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Financial Services Bureau\DMHOFS\RASD\Settlement\FY 2022-23\Final Shift\Training\posted in website\for posting\"/>
    </mc:Choice>
  </mc:AlternateContent>
  <xr:revisionPtr revIDLastSave="0" documentId="13_ncr:1_{2B539495-9588-450A-8270-A8DBDF7A416D}" xr6:coauthVersionLast="47" xr6:coauthVersionMax="47" xr10:uidLastSave="{00000000-0000-0000-0000-000000000000}"/>
  <bookViews>
    <workbookView xWindow="-120" yWindow="-120" windowWidth="29040" windowHeight="15840" tabRatio="883" xr2:uid="{E44CA983-B259-4514-ACF7-A4997301267C}"/>
  </bookViews>
  <sheets>
    <sheet name="Info" sheetId="1" r:id="rId1"/>
    <sheet name="Schedule_A" sheetId="2" r:id="rId2"/>
    <sheet name="Schedule_B" sheetId="3" r:id="rId3"/>
    <sheet name="LAC101" sheetId="6" r:id="rId4"/>
    <sheet name="Schedule_C" sheetId="4" r:id="rId5"/>
    <sheet name="LAC 103" sheetId="13" r:id="rId6"/>
    <sheet name="LAC 102_Wkst" sheetId="24" r:id="rId7"/>
    <sheet name="LAC 102_Funded Program" sheetId="31" r:id="rId8"/>
    <sheet name="FMAP" sheetId="26" r:id="rId9"/>
    <sheet name="LAC CMA" sheetId="9" state="hidden" r:id="rId10"/>
    <sheet name="1961" sheetId="7" r:id="rId11"/>
    <sheet name="1962" sheetId="8" r:id="rId12"/>
    <sheet name="1969_Inst" sheetId="27" r:id="rId13"/>
    <sheet name="1969 (Optional)" sheetId="28" r:id="rId14"/>
    <sheet name="1968" sheetId="29" state="hidden" r:id="rId15"/>
    <sheet name="9A" sheetId="14" r:id="rId16"/>
    <sheet name="Drop List" sheetId="10" state="hidden" r:id="rId17"/>
    <sheet name="Final Shift Worksheet" sheetId="18" r:id="rId18"/>
    <sheet name="Contract Listing" sheetId="1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0">#REF!</definedName>
    <definedName name="\A">#REF!</definedName>
    <definedName name="\D">#REF!</definedName>
    <definedName name="\e">#REF!</definedName>
    <definedName name="\P">#REF!</definedName>
    <definedName name="\s">#REF!</definedName>
    <definedName name="____________LAC102">#REF!</definedName>
    <definedName name="____________LAC103">#REF!</definedName>
    <definedName name="___________LAC101">[1]LAC101!$A$1:$I$34</definedName>
    <definedName name="___________LAC102">#REF!</definedName>
    <definedName name="___________LAC103">#REF!</definedName>
    <definedName name="__________LAC101">[1]LAC101!$A$1:$I$34</definedName>
    <definedName name="__________LAC102">#REF!</definedName>
    <definedName name="__________LAC103">#REF!</definedName>
    <definedName name="__________MH1960">#REF!</definedName>
    <definedName name="__________MH1961">#REF!</definedName>
    <definedName name="__________MH1962">#REF!</definedName>
    <definedName name="__________MH1979">#REF!</definedName>
    <definedName name="_________FFP6">#REF!</definedName>
    <definedName name="_________LAC101">[1]LAC101!$A$1:$I$34</definedName>
    <definedName name="_________LAC102">#REF!</definedName>
    <definedName name="_________LAC103">#REF!</definedName>
    <definedName name="_________MH1960">#REF!</definedName>
    <definedName name="_________MH1961">#REF!</definedName>
    <definedName name="_________MH1962">#REF!</definedName>
    <definedName name="_________MH1979">#REF!</definedName>
    <definedName name="_________SB90">#REF!</definedName>
    <definedName name="________FFP6">#REF!</definedName>
    <definedName name="________LAC101">[2]LAC101!$A$1:$I$34</definedName>
    <definedName name="________LAC102">#REF!</definedName>
    <definedName name="________LAC103">#REF!</definedName>
    <definedName name="________MH1960">#REF!</definedName>
    <definedName name="________MH1961">#REF!</definedName>
    <definedName name="________MH1962">#REF!</definedName>
    <definedName name="________MH1979">#REF!</definedName>
    <definedName name="________SB90">#REF!</definedName>
    <definedName name="_______FFP6">#REF!</definedName>
    <definedName name="_______LAC101">[2]LAC101!$A$1:$I$34</definedName>
    <definedName name="_______LAC102">#REF!</definedName>
    <definedName name="_______LAC103">#REF!</definedName>
    <definedName name="_______MH1960">#REF!</definedName>
    <definedName name="_______MH1961">#REF!</definedName>
    <definedName name="_______MH1962">#REF!</definedName>
    <definedName name="_______MH1979">#REF!</definedName>
    <definedName name="_______SB90">#REF!</definedName>
    <definedName name="______FFP6">#REF!</definedName>
    <definedName name="______LAC101">[2]LAC101!$A$1:$I$34</definedName>
    <definedName name="______LAC102">#REF!</definedName>
    <definedName name="______LAC103">#REF!</definedName>
    <definedName name="______MH1960">#REF!</definedName>
    <definedName name="______MH1961">#REF!</definedName>
    <definedName name="______MH1962">#REF!</definedName>
    <definedName name="______MH1979">#REF!</definedName>
    <definedName name="______SB90">#REF!</definedName>
    <definedName name="_____FFP6">#REF!</definedName>
    <definedName name="_____LAC101">[2]LAC101!$A$1:$I$34</definedName>
    <definedName name="_____LAC102">#REF!</definedName>
    <definedName name="_____LAC103">#REF!</definedName>
    <definedName name="_____MH1960">#REF!</definedName>
    <definedName name="_____MH1961">#REF!</definedName>
    <definedName name="_____MH1962">#REF!</definedName>
    <definedName name="_____MH1979">#REF!</definedName>
    <definedName name="_____SB90">#REF!</definedName>
    <definedName name="____ADT2">[3]ASOC!#REF!</definedName>
    <definedName name="____FFP6">#REF!</definedName>
    <definedName name="____LAC101">[2]LAC101!$A$1:$I$34</definedName>
    <definedName name="____LAC102">#REF!</definedName>
    <definedName name="____LAC103">#REF!</definedName>
    <definedName name="____MH1960">#REF!</definedName>
    <definedName name="____MH1961">#REF!</definedName>
    <definedName name="____MH1962">#REF!</definedName>
    <definedName name="____MH1979">#REF!</definedName>
    <definedName name="____SA123">#REF!</definedName>
    <definedName name="____SA45">#REF!</definedName>
    <definedName name="____SA678">#REF!</definedName>
    <definedName name="____SB90">#REF!</definedName>
    <definedName name="___ADT2">[3]ASOC!#REF!</definedName>
    <definedName name="___FFP6">#REF!</definedName>
    <definedName name="___LAC101">[2]LAC101!$A$1:$I$34</definedName>
    <definedName name="___LAC102">#REF!</definedName>
    <definedName name="___LAC103">#REF!</definedName>
    <definedName name="___MH1960">#REF!</definedName>
    <definedName name="___MH1961">#REF!</definedName>
    <definedName name="___MH1962">#REF!</definedName>
    <definedName name="___MH1979">#REF!</definedName>
    <definedName name="___SA123">#REF!</definedName>
    <definedName name="___SA45">#REF!</definedName>
    <definedName name="___SA678">#REF!</definedName>
    <definedName name="___SB90">#REF!</definedName>
    <definedName name="__ADM1">#REF!</definedName>
    <definedName name="__ADM2">#REF!</definedName>
    <definedName name="__ADT1">#REF!</definedName>
    <definedName name="__ADT2">[3]ASOC!#REF!</definedName>
    <definedName name="__ADT3">#REF!</definedName>
    <definedName name="__ADT4">#REF!</definedName>
    <definedName name="__ADT5">#REF!</definedName>
    <definedName name="__AV442584">[4]SUMMARY_revised!#REF!</definedName>
    <definedName name="__FFP6">#REF!</definedName>
    <definedName name="__LAC102">#REF!</definedName>
    <definedName name="__LAC103">#REF!</definedName>
    <definedName name="__MH1960">#REF!</definedName>
    <definedName name="__MH1961">#REF!</definedName>
    <definedName name="__MH1962">#REF!</definedName>
    <definedName name="__MH1979">#REF!</definedName>
    <definedName name="__SA123">#REF!</definedName>
    <definedName name="__SA45">#REF!</definedName>
    <definedName name="__SA678">#REF!</definedName>
    <definedName name="__SB90">#REF!</definedName>
    <definedName name="__SUM1">#REF!</definedName>
    <definedName name="_00577">#REF!</definedName>
    <definedName name="_00578">#REF!</definedName>
    <definedName name="_00642">#REF!</definedName>
    <definedName name="_00643">#REF!</definedName>
    <definedName name="_00646">#REF!</definedName>
    <definedName name="_00647">#REF!</definedName>
    <definedName name="_00648">#REF!</definedName>
    <definedName name="_00656">#REF!</definedName>
    <definedName name="_00657">#REF!</definedName>
    <definedName name="_00665">#REF!</definedName>
    <definedName name="_00666">#REF!</definedName>
    <definedName name="_00672">#REF!</definedName>
    <definedName name="_00688">#REF!</definedName>
    <definedName name="_00735">#REF!</definedName>
    <definedName name="_00752">#REF!</definedName>
    <definedName name="_00887">#REF!</definedName>
    <definedName name="_00888">#REF!</definedName>
    <definedName name="_00889">#REF!</definedName>
    <definedName name="_00896">#REF!</definedName>
    <definedName name="_00897">#REF!</definedName>
    <definedName name="_00898">#REF!</definedName>
    <definedName name="_00907">#REF!</definedName>
    <definedName name="_00913">#REF!</definedName>
    <definedName name="_00915">#REF!</definedName>
    <definedName name="_00945">#REF!</definedName>
    <definedName name="_01002">#REF!</definedName>
    <definedName name="_01003">#REF!</definedName>
    <definedName name="_01004">#REF!</definedName>
    <definedName name="_01013">#REF!</definedName>
    <definedName name="_01029">#REF!</definedName>
    <definedName name="_01083">#REF!</definedName>
    <definedName name="_01136">#REF!</definedName>
    <definedName name="_01138">#REF!</definedName>
    <definedName name="_01140">#REF!</definedName>
    <definedName name="_01174">#REF!</definedName>
    <definedName name="_01176">#REF!</definedName>
    <definedName name="_01179">#REF!</definedName>
    <definedName name="_01331">#REF!</definedName>
    <definedName name="_01334">#REF!</definedName>
    <definedName name="_01335">#REF!</definedName>
    <definedName name="_01340">#REF!</definedName>
    <definedName name="_01352">#REF!</definedName>
    <definedName name="_01353">#REF!</definedName>
    <definedName name="_01395">#REF!</definedName>
    <definedName name="_01479">#REF!</definedName>
    <definedName name="_01480">#REF!</definedName>
    <definedName name="_01481">#REF!</definedName>
    <definedName name="_01483">#REF!</definedName>
    <definedName name="_01485">#REF!</definedName>
    <definedName name="_01488">#REF!</definedName>
    <definedName name="_01489">#REF!</definedName>
    <definedName name="_01491">#REF!</definedName>
    <definedName name="_01495">#REF!</definedName>
    <definedName name="_01496">#REF!</definedName>
    <definedName name="_01842">#REF!</definedName>
    <definedName name="_01843">#REF!</definedName>
    <definedName name="_01848">#REF!</definedName>
    <definedName name="_01849">#REF!</definedName>
    <definedName name="_01850">#REF!</definedName>
    <definedName name="_01854">#REF!</definedName>
    <definedName name="_01865">#REF!</definedName>
    <definedName name="_01907">#REF!</definedName>
    <definedName name="_02094">#REF!</definedName>
    <definedName name="_02095">#REF!</definedName>
    <definedName name="_02096">#REF!</definedName>
    <definedName name="_02101">#REF!</definedName>
    <definedName name="_02102">#REF!</definedName>
    <definedName name="_02109">#REF!</definedName>
    <definedName name="_02115">#REF!</definedName>
    <definedName name="_02116">#REF!</definedName>
    <definedName name="_02122">#REF!</definedName>
    <definedName name="_02157">#REF!</definedName>
    <definedName name="_02170">#REF!</definedName>
    <definedName name="_02172">#REF!</definedName>
    <definedName name="_02183">#REF!</definedName>
    <definedName name="_02201">#REF!</definedName>
    <definedName name="_02209">#REF!</definedName>
    <definedName name="_02214">#REF!</definedName>
    <definedName name="_02216">#REF!</definedName>
    <definedName name="_02219">#REF!</definedName>
    <definedName name="_02221">#REF!</definedName>
    <definedName name="_02234">#REF!</definedName>
    <definedName name="_02235">#REF!</definedName>
    <definedName name="_02329">#REF!</definedName>
    <definedName name="_02331">#REF!</definedName>
    <definedName name="_02332">#REF!</definedName>
    <definedName name="_02343">#REF!</definedName>
    <definedName name="_02344">#REF!</definedName>
    <definedName name="_02346">#REF!</definedName>
    <definedName name="_02526">#REF!</definedName>
    <definedName name="_02536">#REF!</definedName>
    <definedName name="_02569">#REF!</definedName>
    <definedName name="_02570">#REF!</definedName>
    <definedName name="_02573">#REF!</definedName>
    <definedName name="_02574">#REF!</definedName>
    <definedName name="_02584">#REF!</definedName>
    <definedName name="_02585">#REF!</definedName>
    <definedName name="_02588">#REF!</definedName>
    <definedName name="_02590">#REF!</definedName>
    <definedName name="_02591">#REF!</definedName>
    <definedName name="_02593">#REF!</definedName>
    <definedName name="_02595">#REF!</definedName>
    <definedName name="_02596">#REF!</definedName>
    <definedName name="_02597">#REF!</definedName>
    <definedName name="_02616">#REF!</definedName>
    <definedName name="_02629">#REF!</definedName>
    <definedName name="_02672">#REF!</definedName>
    <definedName name="_02674">#REF!</definedName>
    <definedName name="_02683">#REF!</definedName>
    <definedName name="_04567">#REF!</definedName>
    <definedName name="_04614">#REF!</definedName>
    <definedName name="_04702">#REF!</definedName>
    <definedName name="_04704">#REF!</definedName>
    <definedName name="_04706">#REF!</definedName>
    <definedName name="_04710">#REF!</definedName>
    <definedName name="_04712">#REF!</definedName>
    <definedName name="_04717">#REF!</definedName>
    <definedName name="_04719">#REF!</definedName>
    <definedName name="_04720">#REF!</definedName>
    <definedName name="_04721">#REF!</definedName>
    <definedName name="_04722">#REF!</definedName>
    <definedName name="_04725">#REF!</definedName>
    <definedName name="_04726">#REF!</definedName>
    <definedName name="_04727">#REF!</definedName>
    <definedName name="_04729">#REF!</definedName>
    <definedName name="_04731">#REF!</definedName>
    <definedName name="_04733">#REF!</definedName>
    <definedName name="_04735">#REF!</definedName>
    <definedName name="_04737">#REF!</definedName>
    <definedName name="_04739">#REF!</definedName>
    <definedName name="_05064">#REF!</definedName>
    <definedName name="_05100">#REF!</definedName>
    <definedName name="_05107">#REF!</definedName>
    <definedName name="_05230">#REF!</definedName>
    <definedName name="_05276">#REF!</definedName>
    <definedName name="_05278">#REF!</definedName>
    <definedName name="_05280">#REF!</definedName>
    <definedName name="_05284">#REF!</definedName>
    <definedName name="_05320">#REF!</definedName>
    <definedName name="_05327">#REF!</definedName>
    <definedName name="_05335">#REF!</definedName>
    <definedName name="_05336">#REF!</definedName>
    <definedName name="_05337">#REF!</definedName>
    <definedName name="_05340">#REF!</definedName>
    <definedName name="_05341">#REF!</definedName>
    <definedName name="_05353">#REF!</definedName>
    <definedName name="_05411">#REF!</definedName>
    <definedName name="_05475">#REF!</definedName>
    <definedName name="_05478">#REF!</definedName>
    <definedName name="_05491">#REF!</definedName>
    <definedName name="_05492">#REF!</definedName>
    <definedName name="_05504">#REF!</definedName>
    <definedName name="_05512">#REF!</definedName>
    <definedName name="_05530">#REF!</definedName>
    <definedName name="_0577A">#REF!</definedName>
    <definedName name="_05857">#REF!</definedName>
    <definedName name="_05859">#REF!</definedName>
    <definedName name="_05869">#REF!</definedName>
    <definedName name="_05870">#REF!</definedName>
    <definedName name="_05871">#REF!</definedName>
    <definedName name="_05872">#REF!</definedName>
    <definedName name="_05873">#REF!</definedName>
    <definedName name="_05884">#REF!</definedName>
    <definedName name="_06022">#REF!</definedName>
    <definedName name="_06471">#REF!</definedName>
    <definedName name="_07096">#REF!</definedName>
    <definedName name="_08103">#REF!</definedName>
    <definedName name="_08104">#REF!</definedName>
    <definedName name="_08105">#REF!</definedName>
    <definedName name="_08108">#REF!</definedName>
    <definedName name="_08109">#REF!</definedName>
    <definedName name="_08110">#REF!</definedName>
    <definedName name="_08148">#REF!</definedName>
    <definedName name="_08149">#REF!</definedName>
    <definedName name="_08152">#REF!</definedName>
    <definedName name="_08161">#REF!</definedName>
    <definedName name="_08162">#REF!</definedName>
    <definedName name="_08163">#REF!</definedName>
    <definedName name="_08242">#REF!</definedName>
    <definedName name="_08243">#REF!</definedName>
    <definedName name="_08593">#REF!</definedName>
    <definedName name="_08697">#REF!</definedName>
    <definedName name="_08699">#REF!</definedName>
    <definedName name="_08705">#REF!</definedName>
    <definedName name="_08706">#REF!</definedName>
    <definedName name="_08709">#REF!</definedName>
    <definedName name="_08711">#REF!</definedName>
    <definedName name="_08712">#REF!</definedName>
    <definedName name="_08972">#REF!</definedName>
    <definedName name="_08973">#REF!</definedName>
    <definedName name="_08974">#REF!</definedName>
    <definedName name="_09001">#REF!</definedName>
    <definedName name="_09002">#REF!</definedName>
    <definedName name="_09030">#REF!</definedName>
    <definedName name="_09034">#REF!</definedName>
    <definedName name="_09035">#REF!</definedName>
    <definedName name="_09037">#REF!</definedName>
    <definedName name="_09038">#REF!</definedName>
    <definedName name="_09043">#REF!</definedName>
    <definedName name="_09051">#REF!</definedName>
    <definedName name="_09192">#REF!</definedName>
    <definedName name="_09193">#REF!</definedName>
    <definedName name="_09214">#REF!</definedName>
    <definedName name="_09891">#REF!</definedName>
    <definedName name="_123">#REF!</definedName>
    <definedName name="_1CC">#REF!</definedName>
    <definedName name="_1CF">[3]CSOC!#REF!</definedName>
    <definedName name="_29">#REF!</definedName>
    <definedName name="_2CF">#REF!</definedName>
    <definedName name="_3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3CF">#REF!</definedName>
    <definedName name="_4">#REF!</definedName>
    <definedName name="_40">#REF!</definedName>
    <definedName name="_41">#REF!</definedName>
    <definedName name="_42">#REF!</definedName>
    <definedName name="_43">#REF!</definedName>
    <definedName name="_44">#REF!</definedName>
    <definedName name="_45">#REF!</definedName>
    <definedName name="_46">#REF!</definedName>
    <definedName name="_47">#REF!</definedName>
    <definedName name="_48">#REF!</definedName>
    <definedName name="_49">#REF!</definedName>
    <definedName name="_4CF">#REF!</definedName>
    <definedName name="_5">#REF!</definedName>
    <definedName name="_50">#REF!</definedName>
    <definedName name="_51">#REF!</definedName>
    <definedName name="_52">#REF!</definedName>
    <definedName name="_53">#REF!</definedName>
    <definedName name="_54">#REF!</definedName>
    <definedName name="_55">#REF!</definedName>
    <definedName name="_56">#REF!</definedName>
    <definedName name="_57">#REF!</definedName>
    <definedName name="_58">#REF!</definedName>
    <definedName name="_59">#REF!</definedName>
    <definedName name="_6">#REF!</definedName>
    <definedName name="_60">#REF!</definedName>
    <definedName name="_61">#REF!</definedName>
    <definedName name="_62">#REF!</definedName>
    <definedName name="_63">#REF!</definedName>
    <definedName name="_64">#REF!</definedName>
    <definedName name="_65">#REF!</definedName>
    <definedName name="_66">#REF!</definedName>
    <definedName name="_67">#REF!</definedName>
    <definedName name="_678">#REF!</definedName>
    <definedName name="_68">#REF!</definedName>
    <definedName name="_69">#REF!</definedName>
    <definedName name="_7">#REF!</definedName>
    <definedName name="_70">#REF!</definedName>
    <definedName name="_71">#REF!</definedName>
    <definedName name="_72">#REF!</definedName>
    <definedName name="_73">#REF!</definedName>
    <definedName name="_74">#REF!</definedName>
    <definedName name="_75">#REF!</definedName>
    <definedName name="_76">#REF!</definedName>
    <definedName name="_77">#REF!</definedName>
    <definedName name="_78">#REF!</definedName>
    <definedName name="_79">#REF!</definedName>
    <definedName name="_8">#REF!</definedName>
    <definedName name="_80">#REF!</definedName>
    <definedName name="_81">#REF!</definedName>
    <definedName name="_82">#REF!</definedName>
    <definedName name="_83">#REF!</definedName>
    <definedName name="_84">#REF!</definedName>
    <definedName name="_85">#REF!</definedName>
    <definedName name="_86">#REF!</definedName>
    <definedName name="_87">#REF!</definedName>
    <definedName name="_88">#REF!</definedName>
    <definedName name="_89">#REF!</definedName>
    <definedName name="_9">#REF!</definedName>
    <definedName name="_90">#REF!</definedName>
    <definedName name="_91">#REF!</definedName>
    <definedName name="_92">#REF!</definedName>
    <definedName name="_93">#REF!</definedName>
    <definedName name="_94">#REF!</definedName>
    <definedName name="_95">#REF!</definedName>
    <definedName name="_96">#REF!</definedName>
    <definedName name="_97">#REF!</definedName>
    <definedName name="_98">#REF!</definedName>
    <definedName name="_99">#REF!</definedName>
    <definedName name="_99999">#REF!</definedName>
    <definedName name="_ADJ1">#REF!</definedName>
    <definedName name="_ADM1">#REF!</definedName>
    <definedName name="_ADM2">#REF!</definedName>
    <definedName name="_ADT1">#REF!</definedName>
    <definedName name="_ADT2">[3]ASOC!#REF!</definedName>
    <definedName name="_ADT3">#REF!</definedName>
    <definedName name="_ADT4">#REF!</definedName>
    <definedName name="_ADT5">#REF!</definedName>
    <definedName name="_AV442584">[4]SUMMARY_revised!#REF!</definedName>
    <definedName name="_bgA286">#REF!</definedName>
    <definedName name="_CDD1">#REF!</definedName>
    <definedName name="_EXP1">[5]ACT!$H$71:$W$123</definedName>
    <definedName name="_FFP1">#REF!</definedName>
    <definedName name="_FFP6">#REF!</definedName>
    <definedName name="_Fill" hidden="1">#REF!</definedName>
    <definedName name="_xlnm._FilterDatabase" localSheetId="18" hidden="1">'Contract Listing'!$A$9:$DI$196</definedName>
    <definedName name="_xlnm._FilterDatabase" localSheetId="17" hidden="1">'Final Shift Worksheet'!$A$10:$T$121</definedName>
    <definedName name="_xlnm._FilterDatabase" localSheetId="7" hidden="1">'LAC 102_Funded Program'!$A$22:$BG$22</definedName>
    <definedName name="_xlnm._FilterDatabase" localSheetId="6" hidden="1">'LAC 102_Wkst'!$A$6:$AT$2013</definedName>
    <definedName name="_xlnm._FilterDatabase" localSheetId="5" hidden="1">'LAC 103'!$A$11:$AQ$103</definedName>
    <definedName name="_xlnm._FilterDatabase" localSheetId="9" hidden="1">'LAC CMA'!$A$14:$P$325</definedName>
    <definedName name="_xlnm._FilterDatabase" localSheetId="2" hidden="1">Schedule_B!$A$19:$BF$19</definedName>
    <definedName name="_xlnm._FilterDatabase" localSheetId="4" hidden="1">Schedule_C!$A$19:$L$105</definedName>
    <definedName name="_FIN1">#REF!</definedName>
    <definedName name="_Key1" hidden="1">#REF!</definedName>
    <definedName name="_Key2" hidden="1">#REF!</definedName>
    <definedName name="_LAC101">[2]LAC101!$A$1:$I$34</definedName>
    <definedName name="_LAC102">#REF!</definedName>
    <definedName name="_LAC103">#REF!</definedName>
    <definedName name="_LM1">#REF!</definedName>
    <definedName name="_MH1960">#REF!</definedName>
    <definedName name="_MH1961">#REF!</definedName>
    <definedName name="_MH1962">#REF!</definedName>
    <definedName name="_MH1979">#REF!</definedName>
    <definedName name="_MIS1">#REF!</definedName>
    <definedName name="_new1">#REF!</definedName>
    <definedName name="_new3">#REF!</definedName>
    <definedName name="_off1">#REF!</definedName>
    <definedName name="_ONE1">#REF!</definedName>
    <definedName name="_Order1" hidden="1">255</definedName>
    <definedName name="_Order2" hidden="1">255</definedName>
    <definedName name="_PG1">#REF!</definedName>
    <definedName name="_SA123">#REF!</definedName>
    <definedName name="_SA45">#REF!</definedName>
    <definedName name="_SA678">#REF!</definedName>
    <definedName name="_SB90">#REF!</definedName>
    <definedName name="_SEB1">#REF!</definedName>
    <definedName name="_Sort" hidden="1">#REF!</definedName>
    <definedName name="_ST1">#REF!</definedName>
    <definedName name="_SUM1">#REF!</definedName>
    <definedName name="_UNA1">#REF!</definedName>
    <definedName name="_UNA3">#REF!</definedName>
    <definedName name="_UNA4">#REF!</definedName>
    <definedName name="A">#REF!</definedName>
    <definedName name="AAA">[6]Setup!$B$3</definedName>
    <definedName name="ACA_Period" localSheetId="9">'LAC CMA'!Entire_FiscalYear</definedName>
    <definedName name="ACA_Period">#N/A</definedName>
    <definedName name="ACA_Period1">[7]Setup!$B$8</definedName>
    <definedName name="ACA_Period2">[7]Setup!$B$9</definedName>
    <definedName name="ACAFFPp1">#REF!</definedName>
    <definedName name="ACAFFPp2">#REF!</definedName>
    <definedName name="ACAFFPp3">#REF!</definedName>
    <definedName name="ACCT">#REF!</definedName>
    <definedName name="AD">#REF!</definedName>
    <definedName name="adj">#REF!</definedName>
    <definedName name="adjbud">#REF!</definedName>
    <definedName name="ADM">#REF!</definedName>
    <definedName name="adopted">'[8]final adopt dmh'!$A$4:$G$32</definedName>
    <definedName name="ADT">#REF!</definedName>
    <definedName name="adult">'[9]MHSA-ADULT'!$1:$1048576</definedName>
    <definedName name="all">#REF!</definedName>
    <definedName name="ANT">'[10]FINAL DETAIL'!$AD$1:$AF$99</definedName>
    <definedName name="ASB">#REF!</definedName>
    <definedName name="ASSISTANT_SUPERVISING_PAYROLL_CLERK">#REF!</definedName>
    <definedName name="ASTDIR">#REF!</definedName>
    <definedName name="b">#REF!</definedName>
    <definedName name="BASELINE">#REF!</definedName>
    <definedName name="BEHAVIORAL_SCIENCES_CONSULTANT">#REF!</definedName>
    <definedName name="BNUMBER">#REF!</definedName>
    <definedName name="budget">'[9]Detail-ALPHA'!$1:$1048576</definedName>
    <definedName name="budreq.rev.">'[11]FY 2007 08rev Budget Request'!$B$192:$AZ$382</definedName>
    <definedName name="bureau">'[12]FY0607 ORG CHART'!$A$10:$C$253</definedName>
    <definedName name="ByItem">#REF!</definedName>
    <definedName name="ca">[13]CA!$A$2:$B$138</definedName>
    <definedName name="CAP">#REF!</definedName>
    <definedName name="CBRD">#REF!</definedName>
    <definedName name="CBRD_B">#REF!</definedName>
    <definedName name="cc">#REF!</definedName>
    <definedName name="CC1_">#REF!</definedName>
    <definedName name="ccc">#REF!</definedName>
    <definedName name="ccd">'[14]CCD FUNCT. '!$A$6:$L$3664</definedName>
    <definedName name="cdad">#REF!</definedName>
    <definedName name="CDD">#REF!</definedName>
    <definedName name="CF">#REF!</definedName>
    <definedName name="CF318I">'[15]Item List-Budget'!#REF!</definedName>
    <definedName name="CFA">#REF!</definedName>
    <definedName name="cgf">#REF!</definedName>
    <definedName name="CH">#REF!</definedName>
    <definedName name="CHIEF">#REF!</definedName>
    <definedName name="CHIEF__ACCOUNTING_DIVISION__MH">#REF!</definedName>
    <definedName name="CHIEF__CLAIMS_MANAGEMENT_DIVISION__MH">#REF!</definedName>
    <definedName name="CHIEF__DEPUTY_DIRECTOR__MH">#REF!</definedName>
    <definedName name="CHIEF__PSYCHIATRIC_SOCIAL_WORKER">#REF!</definedName>
    <definedName name="CHIEF_MENTAL_HEALTH_PSYCHIATRIST">#REF!</definedName>
    <definedName name="CHIEF_RESEARCH_ANALYST__BEHAVIOR_SCIENCE">#REF!</definedName>
    <definedName name="children">'[9]MHSA-CHILDREN'!$1:$1048576</definedName>
    <definedName name="class">#REF!</definedName>
    <definedName name="CLERK">#REF!</definedName>
    <definedName name="CLINIC_DRIVER">#REF!</definedName>
    <definedName name="CLINIC_NURSE_I">#REF!</definedName>
    <definedName name="CLINICAL_PSYCHOLOGIST_II">#REF!</definedName>
    <definedName name="clinics">[16]clinics!$C$6:$K$38</definedName>
    <definedName name="CO">[3]CSOC!#REF!</definedName>
    <definedName name="COMMUNITY_MH_PSYCHOLOGIST">#REF!</definedName>
    <definedName name="COMMUNITY_SERVICES_COORDINATOR_I">#REF!</definedName>
    <definedName name="COMMUNITY_SERVICES_COORDINATOR_II">#REF!</definedName>
    <definedName name="COMMUNITY_SERVICES_COUNSELOR">#REF!</definedName>
    <definedName name="COMMUNITY_WORKER">#REF!</definedName>
    <definedName name="CONSERVATOR_ADMINISTRATOR_ASSISTANT">#REF!</definedName>
    <definedName name="CONTRACT_PROGRAM_AUDITOR">#REF!</definedName>
    <definedName name="CONTRACT_TYPE">'[18]Input Data'!#REF!</definedName>
    <definedName name="contractfinal">'[12]summary SABM-Final Adopt'!$B$11:$BF$213</definedName>
    <definedName name="CONVERT">#REF!</definedName>
    <definedName name="County_Code" localSheetId="9">[19]MH1900_INFO!$B$10</definedName>
    <definedName name="County_Code">[7]MH1900_INFO!$B$10</definedName>
    <definedName name="County_Name" localSheetId="9">[19]MH1900_INFO!$B$9</definedName>
    <definedName name="County_Name">[7]MH1900_INFO!$B$9</definedName>
    <definedName name="cp">#REF!</definedName>
    <definedName name="CRITIC">#REF!</definedName>
    <definedName name="cross">'[9]MHSA-CROSS CUTTING'!$1:$1048576</definedName>
    <definedName name="CSOC_LIST">'[20]LOOK-UP'!$A$1:$C$65536</definedName>
    <definedName name="CY">#REF!</definedName>
    <definedName name="d">[21]B002!$A$2:$B$61</definedName>
    <definedName name="data">[9]Data!$1:$1048576</definedName>
    <definedName name="DATA_CONVERSION_EQUIP_OPERATOR_I">#REF!</definedName>
    <definedName name="DATA_PROCESSING_MANAGER_I">#REF!</definedName>
    <definedName name="DATA_PROCESSING_MANAGER_II">#REF!</definedName>
    <definedName name="DATA_PROCESSING_SPECIALIST_I">#REF!</definedName>
    <definedName name="DATA_PROCESSING_SPECIALIST_II">#REF!</definedName>
    <definedName name="DATA_SYSTEMS_ANALYST_AID">#REF!</definedName>
    <definedName name="DATA_SYSTEMS_ANALYST_I">#REF!</definedName>
    <definedName name="DATA_SYSTEMS_ANALYST_II">#REF!</definedName>
    <definedName name="DATA_SYSTEMS_COORDINATOR">#REF!</definedName>
    <definedName name="DATA_SYSTEMS_SUPERVISOR_I">#REF!</definedName>
    <definedName name="DATA_SYSTEMS_SUPERVISOR_II">#REF!</definedName>
    <definedName name="DATA_SYSTEMS_SUPERVISOR_III">#REF!</definedName>
    <definedName name="_xlnm.Database">#REF!</definedName>
    <definedName name="date">#REF!</definedName>
    <definedName name="decoff">#REF!</definedName>
    <definedName name="DEPARTMENTAL_EMPLOYEE_RELATIONS_REP">#REF!</definedName>
    <definedName name="DEPARTMENTAL_PERSONNEL_ASSISTANT">#REF!</definedName>
    <definedName name="DEPARTMENTAL_PERSONNEL_TECHNICIAN">#REF!</definedName>
    <definedName name="DEPUTY_DIRECTOR__MD__MENTAL_HEALTH">#REF!</definedName>
    <definedName name="DEPUTY_DIRECTOR__MENTAL_HEALTH">#REF!</definedName>
    <definedName name="DEPUTY_PUBLIC_CONSERVATOR_ADMR_I">#REF!</definedName>
    <definedName name="DEPUTY_PUBLIC_CONSERVATOR_ADMR_II">#REF!</definedName>
    <definedName name="DEPY_DIR__CHILD___YOUTH_SERVICES__MH">#REF!</definedName>
    <definedName name="DESITEMS">#REF!</definedName>
    <definedName name="DETAIL">#REF!</definedName>
    <definedName name="dhs">[8]dhs!$A$2:$H$7</definedName>
    <definedName name="DIR">#REF!</definedName>
    <definedName name="DIV_CHIEF__LPS_CONSERVATEE_CASE_MGMT">#REF!</definedName>
    <definedName name="DIV_CHIEF__PROGRAM_DEVELOPMENT__MH">#REF!</definedName>
    <definedName name="DIVISION_CHIEF__ISSB">#REF!</definedName>
    <definedName name="DIVISION_CHIEF__PUBLIC_ADMINISTRATOR">#REF!</definedName>
    <definedName name="DIVISION_CHIEF__PUBLIC_GUARDIAN__MH">#REF!</definedName>
    <definedName name="DO">#REF!</definedName>
    <definedName name="ds">#REF!</definedName>
    <definedName name="E">[21]A001!$A$2:$B$28</definedName>
    <definedName name="ec">#REF!</definedName>
    <definedName name="EDP_SENIOR_SUPPORT_ANALYST">#REF!</definedName>
    <definedName name="ee">#REF!</definedName>
    <definedName name="eligib">#REF!</definedName>
    <definedName name="employees">#REF!</definedName>
    <definedName name="EnFFP_BCCTPPp1">#REF!</definedName>
    <definedName name="EnFFP_BCCTPPp2">#REF!</definedName>
    <definedName name="EnFFP_ChMCAPp1">#REF!</definedName>
    <definedName name="EnFFP_ChMCAPp2">#REF!</definedName>
    <definedName name="EnFFP_ChMCAPp4">#REF!</definedName>
    <definedName name="EnFFP_Chp1">#REF!</definedName>
    <definedName name="EnFFP_Chp2">#REF!</definedName>
    <definedName name="Entire_FiscalYear" localSheetId="9">[19]Setup!$B$11</definedName>
    <definedName name="Entire_FiscalYear">[7]Setup!$B$11</definedName>
    <definedName name="EPSDT">#REF!</definedName>
    <definedName name="est">#REF!</definedName>
    <definedName name="ex">#REF!</definedName>
    <definedName name="EXB">#REF!</definedName>
    <definedName name="EXECUTIVE_ASSISTANT__PUBLIC_ADMIN">#REF!</definedName>
    <definedName name="EXECUTIVE_ASST__MH_ADVISORY_BD">#REF!</definedName>
    <definedName name="EXECUTIVE_ASST__NATIVE_AMER_INDIAN_COMM">#REF!</definedName>
    <definedName name="EXECUTIVE_SECRETARY_III">#REF!</definedName>
    <definedName name="EXP">[5]ACT!$H$9:$W$69</definedName>
    <definedName name="EXPALL">[5]ACT!$H$8:$W$122</definedName>
    <definedName name="f">[21]MAA!$C$6:$E$82</definedName>
    <definedName name="FDII">'[22]1112 FUNDING'!$A$2:$C$148</definedName>
    <definedName name="FDSSD">'[23]Fixed Assets'!$A$1:$E$30</definedName>
    <definedName name="ff">#REF!</definedName>
    <definedName name="ffp">#REF!</definedName>
    <definedName name="FIN">#REF!</definedName>
    <definedName name="finalchangencc">#REF!</definedName>
    <definedName name="FINANCE_SPECIALIST__MENTAL_HEALTH">#REF!</definedName>
    <definedName name="FINANCIAL_SPECIALIST_III">#REF!</definedName>
    <definedName name="FIS">#REF!</definedName>
    <definedName name="FISCAL_OFFICER_I">#REF!</definedName>
    <definedName name="FiscalYear" localSheetId="9">[19]Setup!$B$3</definedName>
    <definedName name="FiscalYear">[7]Setup!$B$3</definedName>
    <definedName name="FiscalYear_with_Dash" localSheetId="9">[19]Setup!$B$4</definedName>
    <definedName name="FiscalYear_with_Dash">[7]Setup!$B$4</definedName>
    <definedName name="FO">#REF!</definedName>
    <definedName name="FS">#REF!</definedName>
    <definedName name="FU">'[22]Fund '!$A$5:$C$132</definedName>
    <definedName name="FUND">#REF!</definedName>
    <definedName name="funding">#REF!</definedName>
    <definedName name="fy">#REF!</definedName>
    <definedName name="fys">#REF!</definedName>
    <definedName name="g">#REF!</definedName>
    <definedName name="H">#REF!</definedName>
    <definedName name="HA">[3]CSOC!#REF!</definedName>
    <definedName name="HADPeriod1Rate_New1415" localSheetId="9">[19]MH1901_Schedule_A!$F$15</definedName>
    <definedName name="HADPeriod1Rate_New1415">[24]MH1901_Schedule_A!$F$15</definedName>
    <definedName name="HEAD__CLINICAL_PSYCHOLOGIST">#REF!</definedName>
    <definedName name="HEAD_CLERK">#REF!</definedName>
    <definedName name="HEAD_DEPARTMENTAL_PERSONNEL_TECH">#REF!</definedName>
    <definedName name="HEALTH_CARE_FINANCIAL_ANALYST">#REF!</definedName>
    <definedName name="HERE">#REF!</definedName>
    <definedName name="HTML_CodePage" hidden="1">1252</definedName>
    <definedName name="HTML_Control" localSheetId="9" hidden="1">{"'MH1968_9'!$A$1:$M$95"}</definedName>
    <definedName name="HTML_Control" hidden="1">{"'MH1968_9'!$A$1:$M$95"}</definedName>
    <definedName name="HTML_Control_Conflict" localSheetId="9" hidden="1">{"'MH1968_9'!$A$1:$M$95"}</definedName>
    <definedName name="HTML_Control_Conflict" hidden="1">{"'MH1968_9'!$A$1:$M$95"}</definedName>
    <definedName name="HTML_Control_MH1992_HIDDEN_Conflict" localSheetId="9" hidden="1">{"'MH1968_9'!$A$1:$M$95"}</definedName>
    <definedName name="HTML_Control_MH1992_HIDDEN_Conflict" hidden="1">{"'MH1968_9'!$A$1:$M$95"}</definedName>
    <definedName name="HTML_Description" hidden="1">""</definedName>
    <definedName name="HTML_Email" hidden="1">""</definedName>
    <definedName name="HTML_Header" hidden="1">"MH1968_9"</definedName>
    <definedName name="HTML_LastUpdate" hidden="1">"8/28/00"</definedName>
    <definedName name="HTML_LineAfter" hidden="1">FALSE</definedName>
    <definedName name="HTML_LineBefore" hidden="1">FALSE</definedName>
    <definedName name="HTML_Name" hidden="1">"\"</definedName>
    <definedName name="HTML_OBDlg2" hidden="1">TRUE</definedName>
    <definedName name="HTML_OBDlg4" hidden="1">TRUE</definedName>
    <definedName name="HTML_OS" hidden="1">0</definedName>
    <definedName name="HTML_PathFile" hidden="1">"c:\temp\test"</definedName>
    <definedName name="HTML_Title" hidden="1">"mhtestv4_14"</definedName>
    <definedName name="I">#REF!</definedName>
    <definedName name="IC">#REF!</definedName>
    <definedName name="IE">#REF!</definedName>
    <definedName name="imdate">#REF!</definedName>
    <definedName name="imdd">#REF!</definedName>
    <definedName name="implementation">'[8]final adopt dmh'!$A$43:$G$52</definedName>
    <definedName name="inputp1">#REF!</definedName>
    <definedName name="inputp2">#REF!</definedName>
    <definedName name="inputp3">#REF!</definedName>
    <definedName name="inputp4">#REF!</definedName>
    <definedName name="inputp5">#REF!</definedName>
    <definedName name="inputp6">#REF!</definedName>
    <definedName name="INSTRUCTIONAL_MEDIA_ASSISTANT">#REF!</definedName>
    <definedName name="INSURANCE">[16]ALLOCATION!$A$4:$C$55</definedName>
    <definedName name="INTERMEDIATE_CLERK">#REF!</definedName>
    <definedName name="INTERMEDIATE_STENOGRAPHER">#REF!</definedName>
    <definedName name="INTERMEDIATE_SUPVG_TYPIST_CLERK">#REF!</definedName>
    <definedName name="INTERMEDIATE_TYPIST_CLERK">#REF!</definedName>
    <definedName name="INVENTORY_CONTROL_ASSISTANT_I">#REF!</definedName>
    <definedName name="isCountyLegalEntity" localSheetId="9">[19]MH1900_INFO!$B$11</definedName>
    <definedName name="isCountyLegalEntity">[7]MH1900_INFO!$B$11</definedName>
    <definedName name="isCountyPopulationOver" localSheetId="9">[19]MH1900_INFO!$B$21</definedName>
    <definedName name="isCountyPopulationOver">[7]MH1900_INFO!$B$21</definedName>
    <definedName name="isReportingSDMC" localSheetId="9">[19]MH1900_INFO!$B$12</definedName>
    <definedName name="isReportingSDMC">[7]MH1900_INFO!$B$12</definedName>
    <definedName name="Item">#REF!</definedName>
    <definedName name="ITEM_LIST">'[25]LOOK-UP'!$A$1:$C$171</definedName>
    <definedName name="ITEM_NAME">#REF!</definedName>
    <definedName name="ITEMDES_LIST">#REF!</definedName>
    <definedName name="ITEMS">#REF!</definedName>
    <definedName name="ITEMS_LIST">#REF!</definedName>
    <definedName name="itle">#REF!</definedName>
    <definedName name="ITTT">'[23]Fixed Assets'!$A$1:$E$30</definedName>
    <definedName name="ji">#REF!</definedName>
    <definedName name="jj">#REF!</definedName>
    <definedName name="JS">#REF!</definedName>
    <definedName name="JUSTICE">#REF!</definedName>
    <definedName name="jv">#REF!</definedName>
    <definedName name="k" localSheetId="18">'Contract Listing'!$C$9:$DG$148</definedName>
    <definedName name="katie">#REF!</definedName>
    <definedName name="kc">#REF!</definedName>
    <definedName name="ke">#REF!</definedName>
    <definedName name="KList">#REF!</definedName>
    <definedName name="KWAN">#REF!</definedName>
    <definedName name="KY">[3]ASOC!#REF!</definedName>
    <definedName name="l">'[13]FS Per Provider'!$N$13:$O$151</definedName>
    <definedName name="LAC_100">#REF!</definedName>
    <definedName name="lac103_s1">#REF!</definedName>
    <definedName name="Legal_Entity_Name" localSheetId="9">[19]MH1900_INFO!$B$7</definedName>
    <definedName name="Legal_Entity_Name">[7]MH1900_INFO!$B$7</definedName>
    <definedName name="Legal_Entity_Number" localSheetId="9">[19]MH1900_INFO!$B$8</definedName>
    <definedName name="Legal_Entity_Number">[7]MH1900_INFO!$B$8</definedName>
    <definedName name="LEGISLATIVE___PUBLIC_INFO_OFFICER__MH">#REF!</definedName>
    <definedName name="LETTER">#REF!</definedName>
    <definedName name="LI">#REF!</definedName>
    <definedName name="LIGHT_VEHICLE_DRIVER">#REF!</definedName>
    <definedName name="LIST">#REF!</definedName>
    <definedName name="LM">#REF!</definedName>
    <definedName name="lol">#REF!</definedName>
    <definedName name="LONG">#REF!</definedName>
    <definedName name="MAINREP">#REF!</definedName>
    <definedName name="MANAGEMENT_SECRETARY_III">#REF!</definedName>
    <definedName name="MAX.RATE">#REF!</definedName>
    <definedName name="mca">#REF!</definedName>
    <definedName name="MCA_Subprogram_cont">#REF!,#REF!</definedName>
    <definedName name="MCA_Subprogram_FY1011_256toend_clmn">'[26]MCA Subprogram FY10-11 (070511)'!#REF!</definedName>
    <definedName name="MCA_Subprogram_FY1112_1to255_clmn">#REF!</definedName>
    <definedName name="MCA_Subprogram_FY1112_256toend_clmn">#REF!</definedName>
    <definedName name="MCAP_Period1">[7]Setup!$B$10</definedName>
    <definedName name="MD">#REF!</definedName>
    <definedName name="MED">#REF!</definedName>
    <definedName name="MEDICAL_CASE_WORKER_I">#REF!</definedName>
    <definedName name="MEDICAL_CASE_WORKER_II">#REF!</definedName>
    <definedName name="MEDICAL_DIRECTOR__MD__MENTAL_HEALTH">#REF!</definedName>
    <definedName name="MEDICAL_RECORDS_DIRECTOR_II">#REF!</definedName>
    <definedName name="MEDICAL_TRANSCRIBER_TYPIST">#REF!</definedName>
    <definedName name="MENTAL_HEALTH_ANALYST_I">#REF!</definedName>
    <definedName name="MENTAL_HEALTH_ANALYST_II">#REF!</definedName>
    <definedName name="MENTAL_HEALTH_ANALYST_III">#REF!</definedName>
    <definedName name="MENTAL_HEALTH_CLINICIAN">#REF!</definedName>
    <definedName name="MENTAL_HEALTH_COUNSELOR__RN">#REF!</definedName>
    <definedName name="MENTAL_HEALTH_EDUCATION_CONSULTANT">#REF!</definedName>
    <definedName name="MENTAL_HEALTH_PSYCHIATRIST">#REF!</definedName>
    <definedName name="MH_CLINICAL_DISTRICT_CHIEF">#REF!</definedName>
    <definedName name="MH_CLINICAL_DISTRICT_CHIEF__MD">#REF!</definedName>
    <definedName name="MH_CLINICAL_PROGRAM_HEAD">#REF!</definedName>
    <definedName name="MH_CLINICAL_PROGRAM_MANAGER">#REF!</definedName>
    <definedName name="MH_SERVICES_COORDINATOR_I">#REF!</definedName>
    <definedName name="MH_SERVICES_COORDINATOR_II">#REF!</definedName>
    <definedName name="MH1901_Schedule_A_3">#REF!</definedName>
    <definedName name="MH1960_2">#REF!</definedName>
    <definedName name="MH1966_MODE15_1_Page_Count" localSheetId="9">'[19]MH1966_MODE15_(1)'!$D$5</definedName>
    <definedName name="MH1966_MODE15_1_Page_Count">'[7]MH1966_MODE15_(1)'!$D$5</definedName>
    <definedName name="MH1966_MODE15_2_Page_Count" localSheetId="9">'[19]MH1966_MODE15_(2)'!$D$5</definedName>
    <definedName name="MH1966_MODE15_2_Page_Count">'[7]MH1966_MODE15_(2)'!$D$5</definedName>
    <definedName name="MH1979_HIDDEN" localSheetId="9">#REF!</definedName>
    <definedName name="MH1979_HIDDEN">#REF!</definedName>
    <definedName name="MH1979_XL7" localSheetId="9">#REF!</definedName>
    <definedName name="MH1979_XL7">#REF!</definedName>
    <definedName name="MH1979B_XL7" localSheetId="9">#REF!</definedName>
    <definedName name="MH1979B_XL7">#REF!</definedName>
    <definedName name="MH1992_HIDDEN" localSheetId="9">#REF!</definedName>
    <definedName name="MH1992_HIDDEN">#REF!</definedName>
    <definedName name="MH1992Rollover">[7]Setup!$C$11</definedName>
    <definedName name="mhsaorg">'[8]03-02-07'!$A$17:$D$126</definedName>
    <definedName name="MIS">#REF!</definedName>
    <definedName name="MISCL">#REF!</definedName>
    <definedName name="MISCL1">#REF!</definedName>
    <definedName name="MO">#REF!</definedName>
    <definedName name="Monthly_Salary">#REF!</definedName>
    <definedName name="n">#REF!</definedName>
    <definedName name="name">#REF!</definedName>
    <definedName name="NEG">#REF!</definedName>
    <definedName name="new">#REF!</definedName>
    <definedName name="New_HTML_Control" localSheetId="9" hidden="1">{"'MH1968_9'!$A$1:$M$95"}</definedName>
    <definedName name="New_HTML_Control" hidden="1">{"'MH1968_9'!$A$1:$M$95"}</definedName>
    <definedName name="NEWL">#REF!</definedName>
    <definedName name="NEWLL">#REF!</definedName>
    <definedName name="newname">#REF!</definedName>
    <definedName name="newname2">#REF!</definedName>
    <definedName name="newname3">#REF!</definedName>
    <definedName name="newname4">#REF!</definedName>
    <definedName name="NGA">#REF!</definedName>
    <definedName name="nn">#REF!</definedName>
    <definedName name="nnn">#REF!</definedName>
    <definedName name="nos">#REF!</definedName>
    <definedName name="num">#REF!</definedName>
    <definedName name="NURSING_ASSISTANT__SHERIFF">#REF!</definedName>
    <definedName name="NURSING_ATTENDANT_II">#REF!</definedName>
    <definedName name="NURSING_CARE_SPECIALIST_II">#REF!</definedName>
    <definedName name="nw">#REF!</definedName>
    <definedName name="o">#REF!</definedName>
    <definedName name="OBJECT">#REF!</definedName>
    <definedName name="object1">'[10]FINAL DETAIL'!$AD$1:$AF$99</definedName>
    <definedName name="OBJECT2">'[10]FINAL DETAIL'!$AD$1:$AF$99</definedName>
    <definedName name="OCCUPATIONAL_THERAPIST_II">#REF!</definedName>
    <definedName name="OCCUPATIONAL_THERAPY_SUPERVISOR_I">#REF!</definedName>
    <definedName name="Off">#REF!</definedName>
    <definedName name="offs">#REF!</definedName>
    <definedName name="offset">#REF!</definedName>
    <definedName name="offsets">#REF!</definedName>
    <definedName name="offss">#REF!</definedName>
    <definedName name="offst">#REF!</definedName>
    <definedName name="older">'[9]MHSA-OLDER ADULT'!$1:$1048576</definedName>
    <definedName name="olderadult">'[9]MHSA-OLDER ADULT'!$1:$1048576</definedName>
    <definedName name="ONE">#REF!</definedName>
    <definedName name="ongoing">[8]other!$I$5:'[8]other'!$I$5:$O$35</definedName>
    <definedName name="oo">#REF!</definedName>
    <definedName name="ooo">#REF!</definedName>
    <definedName name="OPER">#REF!</definedName>
    <definedName name="os">#REF!</definedName>
    <definedName name="OTHER">[8]other!$A$5:$G$35</definedName>
    <definedName name="PAGE2">[27]LOG!#REF!</definedName>
    <definedName name="PAGE3">[27]LOG!#REF!</definedName>
    <definedName name="PATIENT_FINANCIAL_SERVICES_WORKER">#REF!</definedName>
    <definedName name="PATIENT_RESOURCES_WORKER">#REF!</definedName>
    <definedName name="PAYROLL_CLERK_I">#REF!</definedName>
    <definedName name="pdate">#REF!</definedName>
    <definedName name="PERSONNEL_OFFICER_III">#REF!</definedName>
    <definedName name="PG">#REF!</definedName>
    <definedName name="PHARMACIST">#REF!</definedName>
    <definedName name="PHARMACY_SERVICES_CHIEF_III">#REF!</definedName>
    <definedName name="PHARMACY_TECHNICIAN">#REF!</definedName>
    <definedName name="PHYSICIAN__MD">#REF!</definedName>
    <definedName name="pkip">#REF!</definedName>
    <definedName name="pmt">#REF!</definedName>
    <definedName name="POSITIONS">#REF!</definedName>
    <definedName name="POSITIONS2">#REF!</definedName>
    <definedName name="PRIN_DEPARTMENTAL_PERSONNEL_ASST">#REF!</definedName>
    <definedName name="PRIN_MENTAL_HEALTH_COUNSELOR__RN">#REF!</definedName>
    <definedName name="_xlnm.Print_Area" localSheetId="15">'9A'!$C$1:$L$49</definedName>
    <definedName name="_xlnm.Print_Area" localSheetId="18">'Contract Listing'!$B$6:$D$137</definedName>
    <definedName name="_xlnm.Print_Area">#REF!</definedName>
    <definedName name="Print_Area_MI">#REF!</definedName>
    <definedName name="PRINT_LETTER">#REF!</definedName>
    <definedName name="_xlnm.Print_Titles" localSheetId="15">'9A'!$1:$7</definedName>
    <definedName name="Print_Titles_MI">#REF!,#REF!</definedName>
    <definedName name="PROCUREMENT_AID">#REF!</definedName>
    <definedName name="PROCUREMENT_ASSISTANT_I">#REF!</definedName>
    <definedName name="PROCUREMENT_ASSISTANT_II">#REF!</definedName>
    <definedName name="PROG_DIR___PATIENTS_RIGHTS___ADVOCACY">#REF!</definedName>
    <definedName name="PROJECT_ADMINISTRATOR__ICSC">#REF!</definedName>
    <definedName name="ProtectionStatus" localSheetId="9">[19]Setup!$B$6</definedName>
    <definedName name="ProtectionStatus">[7]Setup!$B$6</definedName>
    <definedName name="PSB">#REF!</definedName>
    <definedName name="PSYCHIATRIC_SOCIAL_WORK_CONSULTANT">#REF!</definedName>
    <definedName name="PSYCHIATRIC_SOCIAL_WORKER_I">#REF!</definedName>
    <definedName name="PSYCHIATRIC_SOCIAL_WORKER_II">#REF!</definedName>
    <definedName name="PSYCHIATRIC_TECHNICIAN_I">#REF!</definedName>
    <definedName name="PSYCHIATRIC_TECHNICIAN_II">#REF!</definedName>
    <definedName name="PSYCHIATRIC_TECHNICIAN_III">#REF!</definedName>
    <definedName name="PUBLIC_HEALTH_NURSE">#REF!</definedName>
    <definedName name="q">#REF!</definedName>
    <definedName name="qq">#REF!</definedName>
    <definedName name="qqq">#REF!</definedName>
    <definedName name="qqqq">#REF!</definedName>
    <definedName name="qryAll_Contractor_Infor">#REF!</definedName>
    <definedName name="qwqw">#REF!</definedName>
    <definedName name="qz">#REF!</definedName>
    <definedName name="rate">'[17]Input Data'!#REF!</definedName>
    <definedName name="RATES">#REF!</definedName>
    <definedName name="RBRD">#REF!</definedName>
    <definedName name="RBRD_B">#REF!</definedName>
    <definedName name="rd">[28]Proposed_FinalChg_Detail!$A$1:$A$65536</definedName>
    <definedName name="RECREATION_THERAPIST_I">#REF!</definedName>
    <definedName name="RECREATION_THERAPIST_II">#REF!</definedName>
    <definedName name="RECREATION_THERAPY_AIDE">#REF!</definedName>
    <definedName name="RECREATION_THERAPY_ASSISTANT">#REF!</definedName>
    <definedName name="RECREATION_THERAPY_SUPERVISOR">#REF!</definedName>
    <definedName name="ref">#REF!</definedName>
    <definedName name="REHABILITATION_COUNSELOR_II">#REF!</definedName>
    <definedName name="REP">#REF!</definedName>
    <definedName name="RESEARCH_ANALYST_II__BEHAVIOR_SCIENCE">#REF!</definedName>
    <definedName name="RESEARCH_ANALYST_III__BEHAVIOR_SCIENCE">#REF!</definedName>
    <definedName name="RESRED">#REF!</definedName>
    <definedName name="REST">#REF!</definedName>
    <definedName name="revbudreq">'[29]FY 2007 08rev Budget Request'!$B$16:$AZ$392</definedName>
    <definedName name="Revenue">'[30]4BINDERCAONEWFORMAT'!$BQ$10:$BR$121</definedName>
    <definedName name="revenues">#REF!</definedName>
    <definedName name="Revision_Date" localSheetId="9">[19]Setup!$B$12</definedName>
    <definedName name="Revision_Date">[7]Setup!$B$12</definedName>
    <definedName name="revitem_list">#REF!</definedName>
    <definedName name="Rounding" localSheetId="9">[19]Setup!$B$5</definedName>
    <definedName name="Rounding">[7]Setup!$B$5</definedName>
    <definedName name="rr">#REF!</definedName>
    <definedName name="rrr">#REF!</definedName>
    <definedName name="s">#REF!</definedName>
    <definedName name="Salaries">#REF!</definedName>
    <definedName name="SALARY">#REF!</definedName>
    <definedName name="SALSAV">#REF!</definedName>
    <definedName name="SAMHSA">[12]SAMHSA!$A$47:$B$79</definedName>
    <definedName name="SB75_Period">"05/01/16 - 06/30/16"</definedName>
    <definedName name="sb90idea">'[31]ab3632 gross cost'!$B$61:$E$100</definedName>
    <definedName name="sdmc">'[16]sdmc allocatted'!$A$15:$P$117</definedName>
    <definedName name="SDMC_Admin_UR" localSheetId="9">[19]Setup!$B$22</definedName>
    <definedName name="SDMC_Admin_UR">[7]Setup!$B$22</definedName>
    <definedName name="SDMC_Skilled_UR_MAA" localSheetId="9">[19]Setup!$B$23</definedName>
    <definedName name="SDMC_Skilled_UR_MAA">[7]Setup!$B$23</definedName>
    <definedName name="SDMCFFPp1">#REF!</definedName>
    <definedName name="SDMCFFPp2">#REF!</definedName>
    <definedName name="SDMCFFPp3">#REF!</definedName>
    <definedName name="SDMCRatioFFP">[7]Setup!$B$13</definedName>
    <definedName name="SEB">#REF!</definedName>
    <definedName name="SEB_DOLLARS">#REF!</definedName>
    <definedName name="SECRETARY__MH_ADVISORY_BOARD">#REF!</definedName>
    <definedName name="SECRETARY_I">#REF!</definedName>
    <definedName name="SECRETARY_II">#REF!</definedName>
    <definedName name="SECRETARY_III">#REF!</definedName>
    <definedName name="SENIOR_ACCOUNTING_SYSTEMS_TECH">#REF!</definedName>
    <definedName name="SENIOR_CLERK">#REF!</definedName>
    <definedName name="SENIOR_COMMUNITY_WORKER_I">#REF!</definedName>
    <definedName name="SENIOR_COMMUNITY_WORKER_II">#REF!</definedName>
    <definedName name="SENIOR_DEPARTMENTAL_PERSONNEL_ASST">#REF!</definedName>
    <definedName name="SENIOR_DEPARTMENTAL_PERSONNEL_TECH">#REF!</definedName>
    <definedName name="SENIOR_MANAGEMENT_SECRETARY_II">#REF!</definedName>
    <definedName name="SENIOR_MANAGEMENT_SECRETARY_III">#REF!</definedName>
    <definedName name="SENIOR_MEDICAL_STENOGRAPHER">#REF!</definedName>
    <definedName name="SENIOR_MENTAL_HEALTH_COUNSELOR__RN">#REF!</definedName>
    <definedName name="SENIOR_PHYSICIAN__MD">#REF!</definedName>
    <definedName name="SENIOR_SECRETARY_II">#REF!</definedName>
    <definedName name="SENIOR_SECRETARY_III">#REF!</definedName>
    <definedName name="SENIOR_STAFF_NURSE__SHERIFF">#REF!</definedName>
    <definedName name="SENIOR_SYSTEMS_AID">#REF!</definedName>
    <definedName name="SENIOR_TYPIST_CLERK">#REF!</definedName>
    <definedName name="set">#REF!</definedName>
    <definedName name="sheet">'[23]Fixed Assets'!$A$1:$E$30</definedName>
    <definedName name="Sheet1">#REF!</definedName>
    <definedName name="sheet2">'[23]Fixed Assets'!$A$1:$E$30</definedName>
    <definedName name="sheet3">[3]ASOC!#REF!</definedName>
    <definedName name="SOC">#REF!</definedName>
    <definedName name="SOCIAL_WORKER">#REF!</definedName>
    <definedName name="SR_COMMUNITY_MH_PSYCHOLOGIST">#REF!</definedName>
    <definedName name="SR_DATA_CONVERSION_EQUIP_OPERATOR">#REF!</definedName>
    <definedName name="SR_DEPUTY_PUBLIC_CONSERVATOR_ADMR">#REF!</definedName>
    <definedName name="st">#REF!</definedName>
    <definedName name="STAFF_ASSISTANT_I">#REF!</definedName>
    <definedName name="STAFF_ASSISTANT_II">#REF!</definedName>
    <definedName name="STAFF_ASSISTANT_III">#REF!</definedName>
    <definedName name="STAFF_NURSE">#REF!</definedName>
    <definedName name="STAFF_NURSE__SHERIFF">#REF!</definedName>
    <definedName name="STATISTICAL_CLERK">#REF!</definedName>
    <definedName name="STENOGRAPHER">#REF!</definedName>
    <definedName name="stf">#REF!</definedName>
    <definedName name="sto">#REF!</definedName>
    <definedName name="SUBSTANCE_ABUSE_COUNSELOR">#REF!</definedName>
    <definedName name="SUM" localSheetId="9">[19]MH1968!$I$7</definedName>
    <definedName name="SUM">[24]MH1968!$I$7</definedName>
    <definedName name="SUMM">#REF!</definedName>
    <definedName name="SUMMARY">#REF!</definedName>
    <definedName name="SUPERVISING_ADMINISTRATIVE_ASST_I">#REF!</definedName>
    <definedName name="SUPERVISING_ADMINISTRATIVE_ASST_II">#REF!</definedName>
    <definedName name="SUPERVISING_ADMINISTRATIVE_ASST_III">#REF!</definedName>
    <definedName name="SUPERVISING_CLERK">#REF!</definedName>
    <definedName name="SUPERVISING_PAYROLL_CLERK_III">#REF!</definedName>
    <definedName name="SUPERVISING_STAFF_NURSE_I__SHERIFF">#REF!</definedName>
    <definedName name="SUPERVISING_STAFF_NURSE_II__SHERIFF">#REF!</definedName>
    <definedName name="SUPERVISING_TYPIST_CLERK">#REF!</definedName>
    <definedName name="SUPVG_DEPY_PUBLIC_CONSERVATOR_ADMR">#REF!</definedName>
    <definedName name="SUPVG_MENTAL_HEALTH_PSYCHIATRIST">#REF!</definedName>
    <definedName name="SUPVG_PSYCHIATRIC_SOCIAL_WORKER">#REF!</definedName>
    <definedName name="SYSDATE">#REF!</definedName>
    <definedName name="SYSTEMS_AID">#REF!</definedName>
    <definedName name="tab">'[32]LE Table'!$A$1:$E$65536</definedName>
    <definedName name="TABLE">#REF!</definedName>
    <definedName name="tay">'[9]MHSA-TAY'!$1:$1048576</definedName>
    <definedName name="TB">#REF!</definedName>
    <definedName name="test">#REF!</definedName>
    <definedName name="Top_Step">#REF!</definedName>
    <definedName name="TotalContractProviderEnhancedChildrenPayments" localSheetId="9">[19]MH1963!#REF!</definedName>
    <definedName name="TotalContractProviderEnhancedChildrenPayments">[33]MH1963!#REF!</definedName>
    <definedName name="TotalContractProviderEnhancedPregnancyPayments" localSheetId="9">[19]MH1963!#REF!</definedName>
    <definedName name="TotalContractProviderEnhancedPregnancyPayments">[33]MH1963!#REF!</definedName>
    <definedName name="TotalContractProviderMCAPPayments" localSheetId="9">[19]MH1963!#REF!</definedName>
    <definedName name="TotalContractProviderMCAPPayments">[33]MH1963!#REF!</definedName>
    <definedName name="TotalContractProvidersACAPayments1stPeriod" localSheetId="9">[19]MH1963!#REF!</definedName>
    <definedName name="TotalContractProvidersACAPayments1stPeriod">[33]MH1963!#REF!</definedName>
    <definedName name="TotalContractProvidersACAPayments2ndPeriod" localSheetId="9">[19]MH1963!#REF!</definedName>
    <definedName name="TotalContractProvidersACAPayments2ndPeriod">[33]MH1963!#REF!</definedName>
    <definedName name="TotalPaymentContractProviders" localSheetId="9">[19]MH1963!$F$188</definedName>
    <definedName name="TotalPaymentContractProviders">[7]MH1963!$F$80</definedName>
    <definedName name="TOTFC">#REF!</definedName>
    <definedName name="TRAINING_COORDINATOR__MENTAL_HEALTH">#REF!</definedName>
    <definedName name="TRANSCRIBER_TYPIST">#REF!</definedName>
    <definedName name="tt">#REF!</definedName>
    <definedName name="type">#REF!</definedName>
    <definedName name="TYPIST_CLERK">#REF!</definedName>
    <definedName name="UNA">#REF!</definedName>
    <definedName name="UNIT">#REF!</definedName>
    <definedName name="unit1">[34]Sheet1!$A$1:$B$90</definedName>
    <definedName name="unit2">[34]Sheet1!$A$1:$B$90</definedName>
    <definedName name="UNITS">#REF!</definedName>
    <definedName name="VAR">#REF!</definedName>
    <definedName name="vend">#REF!</definedName>
    <definedName name="VLOOKUP">#REF!</definedName>
    <definedName name="VOLUNTEER_PROGRAMS_COORDINATOR_II">#REF!</definedName>
    <definedName name="vv">#REF!</definedName>
    <definedName name="w">#REF!</definedName>
    <definedName name="WAREHOUSE_WORKER_AID">#REF!</definedName>
    <definedName name="WAREHOUSE_WORKER_I">#REF!</definedName>
    <definedName name="WAREHOUSE_WORKER_II">#REF!</definedName>
    <definedName name="weLL">[3]CSOC!#REF!</definedName>
    <definedName name="WELLNESS">[3]CSOC!#REF!</definedName>
    <definedName name="wing">#REF!</definedName>
    <definedName name="WORD_PROCESSOR_I">#REF!</definedName>
    <definedName name="WORD_PROCESSOR_II">#REF!</definedName>
    <definedName name="WSB1PG">#REF!</definedName>
    <definedName name="WSB2PGS">#REF!</definedName>
    <definedName name="WSB3PGS">#REF!</definedName>
    <definedName name="WSB4PGS">#REF!</definedName>
    <definedName name="ww">'[13]Consultion-PEI'!#REF!</definedName>
    <definedName name="www">[13]CA!#REF!</definedName>
    <definedName name="xx">#REF!</definedName>
    <definedName name="Y6G">[35]consolidated!$EM$81</definedName>
    <definedName name="ytd_off">#REF!</definedName>
    <definedName name="z">[13]CA!#REF!</definedName>
    <definedName name="Z_15A8E736_C776_414C_A8FE_617980075D3C_.wvu.FilterData" localSheetId="18" hidden="1">'Contract Listing'!$A$10:$DH$148</definedName>
    <definedName name="Z_15A8E736_C776_414C_A8FE_617980075D3C_.wvu.PrintArea" localSheetId="18" hidden="1">'Contract Listing'!$B$6:$D$137</definedName>
    <definedName name="Z_1903AFAA_4BEE_4BC7_9DD4_C9708FB17C26_.wvu.FilterData" localSheetId="18" hidden="1">'Contract Listing'!$A$10:$DG$148</definedName>
    <definedName name="Z_1903AFAA_4BEE_4BC7_9DD4_C9708FB17C26_.wvu.PrintArea" localSheetId="18" hidden="1">'Contract Listing'!$B$6:$D$137</definedName>
    <definedName name="Z_1A67052B_B93A_49AC_9B36_68D189BDA5C8_.wvu.FilterData" localSheetId="18" hidden="1">'Contract Listing'!$A$10:$DH$148</definedName>
    <definedName name="Z_1A67052B_B93A_49AC_9B36_68D189BDA5C8_.wvu.PrintArea" localSheetId="18" hidden="1">'Contract Listing'!$B$6:$D$137</definedName>
    <definedName name="Z_31987763_C7B6_449A_9523_08BA674FA427_.wvu.FilterData" localSheetId="18" hidden="1">'Contract Listing'!$A$10:$DG$148</definedName>
    <definedName name="Z_37AE09A8_E943_454D_88FA_89AE4D8240BE_.wvu.FilterData" localSheetId="18" hidden="1">'Contract Listing'!$A$10:$DG$148</definedName>
    <definedName name="Z_37AE09A8_E943_454D_88FA_89AE4D8240BE_.wvu.PrintArea" localSheetId="18" hidden="1">'Contract Listing'!$B$6:$D$137</definedName>
    <definedName name="Z_37C0F0D2_30A6_47AA_B72F_A340A54DDDD3_.wvu.FilterData" localSheetId="18" hidden="1">'Contract Listing'!$A$10:$DG$148</definedName>
    <definedName name="Z_37C0F0D2_30A6_47AA_B72F_A340A54DDDD3_.wvu.PrintArea" localSheetId="18" hidden="1">'Contract Listing'!$B$6:$D$137</definedName>
    <definedName name="Z_386696C2_11A2_40F8_BC2C_4BDFB2DF2525_.wvu.FilterData" localSheetId="18" hidden="1">'Contract Listing'!$A$10:$DG$148</definedName>
    <definedName name="Z_386696C2_11A2_40F8_BC2C_4BDFB2DF2525_.wvu.PrintArea" localSheetId="18" hidden="1">'Contract Listing'!$B$6:$D$137</definedName>
    <definedName name="Z_3BA3E339_12BD_40D1_B2C6_C5F966B0CD8C_.wvu.FilterData" localSheetId="18" hidden="1">'Contract Listing'!$A$10:$DG$148</definedName>
    <definedName name="Z_3BA3E339_12BD_40D1_B2C6_C5F966B0CD8C_.wvu.PrintArea" localSheetId="18" hidden="1">'Contract Listing'!$B$6:$D$137</definedName>
    <definedName name="Z_3E1CCE61_EE23_458A_946A_A765C1D603A7_.wvu.FilterData" localSheetId="18" hidden="1">'Contract Listing'!$A$10:$DG$148</definedName>
    <definedName name="Z_47D4A79F_2369_43E2_9E30_70B060281E28_.wvu.FilterData" localSheetId="18" hidden="1">'Contract Listing'!$A$10:$DG$148</definedName>
    <definedName name="Z_4A2A4D3F_7EC9_4625_B9CC_A3AEF1933FA3_.wvu.FilterData" localSheetId="18" hidden="1">'Contract Listing'!$A$10:$DG$148</definedName>
    <definedName name="Z_4A2A4D3F_7EC9_4625_B9CC_A3AEF1933FA3_.wvu.PrintArea" localSheetId="18" hidden="1">'Contract Listing'!$B$6:$D$137</definedName>
    <definedName name="Z_4DFBA3DA_BFDB_43E3_9BA6_7908C656AAD1_.wvu.FilterData" localSheetId="18" hidden="1">'Contract Listing'!$A$10:$DG$148</definedName>
    <definedName name="Z_508EC4A9_432D_4E48_BF62_08F7F65E60B7_.wvu.FilterData" localSheetId="18" hidden="1">'Contract Listing'!$A$10:$DG$148</definedName>
    <definedName name="Z_508EC4A9_432D_4E48_BF62_08F7F65E60B7_.wvu.PrintArea" localSheetId="18" hidden="1">'Contract Listing'!$B$6:$D$137</definedName>
    <definedName name="Z_552FE9D4_743D_4444_BC85_4156F96733AA_.wvu.FilterData" localSheetId="18" hidden="1">'Contract Listing'!$A$10:$DG$148</definedName>
    <definedName name="Z_552FE9D4_743D_4444_BC85_4156F96733AA_.wvu.PrintArea" localSheetId="18" hidden="1">'Contract Listing'!$B$6:$D$137</definedName>
    <definedName name="Z_77B338A5_B22B_452E_ADBD_FA0B34C07083_.wvu.FilterData" localSheetId="18" hidden="1">'Contract Listing'!$A$10:$DG$148</definedName>
    <definedName name="Z_77B338A5_B22B_452E_ADBD_FA0B34C07083_.wvu.PrintArea" localSheetId="18" hidden="1">'Contract Listing'!$B$6:$D$137</definedName>
    <definedName name="Z_85F2B366_D244_42C4_B769_323B32E7102A_.wvu.FilterData" localSheetId="18" hidden="1">'Contract Listing'!$A$10:$DG$148</definedName>
    <definedName name="Z_87714748_AC6D_4F4E_BBC6_153D283B50E3_.wvu.FilterData" localSheetId="18" hidden="1">'Contract Listing'!$A$10:$DG$148</definedName>
    <definedName name="Z_87714748_AC6D_4F4E_BBC6_153D283B50E3_.wvu.PrintArea" localSheetId="18" hidden="1">'Contract Listing'!$B$6:$D$137</definedName>
    <definedName name="Z_8C098EF6_E999_428C_B0D4_DB11D753252B_.wvu.FilterData" localSheetId="18" hidden="1">'Contract Listing'!$A$10:$DH$10</definedName>
    <definedName name="Z_8C098EF6_E999_428C_B0D4_DB11D753252B_.wvu.PrintArea" localSheetId="18" hidden="1">'Contract Listing'!$B$6:$D$137</definedName>
    <definedName name="Z_91C81A18_5A80_475C_858F_951A8A8EE0AD_.wvu.FilterData" localSheetId="18" hidden="1">'Contract Listing'!$A$10:$DG$148</definedName>
    <definedName name="Z_91C81A18_5A80_475C_858F_951A8A8EE0AD_.wvu.PrintArea" localSheetId="18" hidden="1">'Contract Listing'!$B$6:$D$137</definedName>
    <definedName name="Z_9D1B92EA_8ACE_4C43_AD05_4A46096D1669_.wvu.FilterData" localSheetId="18" hidden="1">'Contract Listing'!$A$10:$DG$148</definedName>
    <definedName name="Z_9D1B92EA_8ACE_4C43_AD05_4A46096D1669_.wvu.PrintArea" localSheetId="18" hidden="1">'Contract Listing'!$B$6:$D$137</definedName>
    <definedName name="Z_A24A360D_56D6_4ED4_9FC9_74A0A02C749A_.wvu.FilterData" localSheetId="18" hidden="1">'Contract Listing'!$A$10:$DG$148</definedName>
    <definedName name="Z_A24A360D_56D6_4ED4_9FC9_74A0A02C749A_.wvu.PrintArea" localSheetId="18" hidden="1">'Contract Listing'!$B$6:$D$137</definedName>
    <definedName name="Z_A3D0500B_1F67_4EFA_88C6_F9A24F534213_.wvu.FilterData" localSheetId="18" hidden="1">'Contract Listing'!$A$9:$DG$148</definedName>
    <definedName name="Z_A3D0500B_1F67_4EFA_88C6_F9A24F534213_.wvu.PrintArea" localSheetId="18" hidden="1">'Contract Listing'!$B$6:$D$137</definedName>
    <definedName name="Z_ABB1D0A1_392A_4644_BA6F_941D2903BB50_.wvu.FilterData" localSheetId="18" hidden="1">'Contract Listing'!$A$10:$DG$148</definedName>
    <definedName name="Z_ABB1D0A1_392A_4644_BA6F_941D2903BB50_.wvu.PrintArea" localSheetId="18" hidden="1">'Contract Listing'!$B$6:$D$137</definedName>
    <definedName name="Z_ACD7156B_97D2_4B6C_BE1E_6B07773D7E26_.wvu.Cols" localSheetId="18" hidden="1">'Contract Listing'!#REF!</definedName>
    <definedName name="Z_ACD7156B_97D2_4B6C_BE1E_6B07773D7E26_.wvu.FilterData" localSheetId="18" hidden="1">'Contract Listing'!$A$10:$DG$148</definedName>
    <definedName name="Z_CD8EC7CE_B712_4C72_AE21_7466E89219C8_.wvu.FilterData" localSheetId="18" hidden="1">'Contract Listing'!$A$10:$DG$148</definedName>
    <definedName name="Z_CD8EC7CE_B712_4C72_AE21_7466E89219C8_.wvu.PrintArea" localSheetId="18" hidden="1">'Contract Listing'!$B$6:$D$137</definedName>
    <definedName name="Z_D27F5113_7B95_4C1B_90BB_C8C70DB9BD6C_.wvu.FilterData" localSheetId="18" hidden="1">'Contract Listing'!$A$10:$DG$148</definedName>
    <definedName name="Z_D27F5113_7B95_4C1B_90BB_C8C70DB9BD6C_.wvu.PrintArea" localSheetId="18" hidden="1">'Contract Listing'!$B$6:$D$137</definedName>
    <definedName name="Z_E8681222_26EA_451F_ACAE_F255F5DF2813_.wvu.FilterData" localSheetId="18" hidden="1">'Contract Listing'!$A$10:$DG$148</definedName>
    <definedName name="Z_E8681222_26EA_451F_ACAE_F255F5DF2813_.wvu.PrintArea" localSheetId="18" hidden="1">'Contract Listing'!$B$6:$D$137</definedName>
    <definedName name="Z_EF8316C3_4640_4CEB_96F5_730BAAF57F36_.wvu.FilterData" localSheetId="18" hidden="1">'Contract Listing'!$A$9:$DG$148</definedName>
    <definedName name="Z_EF8316C3_4640_4CEB_96F5_730BAAF57F36_.wvu.PrintArea" localSheetId="18" hidden="1">'Contract Listing'!$B$6:$D$137</definedName>
    <definedName name="Z_F16AD8C3_7FAB_4CAC_9C4C_2A10DD958323_.wvu.FilterData" localSheetId="18" hidden="1">'Contract Listing'!$A$10:$DG$148</definedName>
    <definedName name="Z_F16AD8C3_7FAB_4CAC_9C4C_2A10DD958323_.wvu.PrintArea" localSheetId="18" hidden="1">'Contract Listing'!$B$6:$D$137</definedName>
    <definedName name="Z_F90CB499_32AC_4A15_A02B_29D95410C2E5_.wvu.FilterData" localSheetId="18" hidden="1">'Contract Listing'!$A$10:$DG$148</definedName>
    <definedName name="Z_FB09F24F_A80F_4886_8329_F4E9D0C8EA53_.wvu.FilterData" localSheetId="18" hidden="1">'Contract Listing'!$A$10:$DG$148</definedName>
    <definedName name="Z_FC3DD0D4_964E_4993_ABE8_1074CD1F79B5_.wvu.FilterData" localSheetId="18" hidden="1">'Contract Listing'!$A$10:$DG$148</definedName>
    <definedName name="zx">#REF!</definedName>
    <definedName name="ZZ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" i="31" l="1"/>
  <c r="Q8" i="31"/>
  <c r="Q7" i="31"/>
  <c r="J85" i="18" l="1"/>
  <c r="P86" i="18" l="1"/>
  <c r="O86" i="18"/>
  <c r="R118" i="18"/>
  <c r="Q118" i="18"/>
  <c r="P118" i="18"/>
  <c r="O118" i="18"/>
  <c r="N118" i="18"/>
  <c r="M118" i="18"/>
  <c r="J118" i="18"/>
  <c r="I118" i="18"/>
  <c r="P108" i="18"/>
  <c r="O108" i="18"/>
  <c r="L117" i="18"/>
  <c r="K117" i="18"/>
  <c r="L114" i="18"/>
  <c r="K114" i="18"/>
  <c r="L112" i="18"/>
  <c r="K112" i="18"/>
  <c r="L110" i="18"/>
  <c r="K110" i="18"/>
  <c r="K118" i="18" s="1"/>
  <c r="L107" i="18"/>
  <c r="K107" i="18"/>
  <c r="K108" i="18" s="1"/>
  <c r="P100" i="18"/>
  <c r="O100" i="18"/>
  <c r="L99" i="18"/>
  <c r="K99" i="18"/>
  <c r="L95" i="18"/>
  <c r="K95" i="18"/>
  <c r="L92" i="18"/>
  <c r="K92" i="18"/>
  <c r="L88" i="18"/>
  <c r="K88" i="18"/>
  <c r="L85" i="18"/>
  <c r="K85" i="18"/>
  <c r="L79" i="18"/>
  <c r="K79" i="18"/>
  <c r="L76" i="18"/>
  <c r="K76" i="18"/>
  <c r="L71" i="18"/>
  <c r="K71" i="18"/>
  <c r="L67" i="18"/>
  <c r="K67" i="18"/>
  <c r="L61" i="18"/>
  <c r="K61" i="18"/>
  <c r="L57" i="18"/>
  <c r="K57" i="18"/>
  <c r="L56" i="18"/>
  <c r="K56" i="18"/>
  <c r="L53" i="18"/>
  <c r="K53" i="18"/>
  <c r="L49" i="18"/>
  <c r="K49" i="18"/>
  <c r="L46" i="18"/>
  <c r="K46" i="18"/>
  <c r="L43" i="18"/>
  <c r="K43" i="18"/>
  <c r="L38" i="18"/>
  <c r="K38" i="18"/>
  <c r="L31" i="18"/>
  <c r="K31" i="18"/>
  <c r="L29" i="18"/>
  <c r="K29" i="18"/>
  <c r="L22" i="18"/>
  <c r="K22" i="18"/>
  <c r="L19" i="18"/>
  <c r="K19" i="18"/>
  <c r="L17" i="18"/>
  <c r="K17" i="18"/>
  <c r="L15" i="18"/>
  <c r="K15" i="18"/>
  <c r="L12" i="18"/>
  <c r="K12" i="18"/>
  <c r="C9" i="31"/>
  <c r="D106" i="31"/>
  <c r="D105" i="31"/>
  <c r="D104" i="31"/>
  <c r="D103" i="31"/>
  <c r="D102" i="31"/>
  <c r="D101" i="31"/>
  <c r="D100" i="31"/>
  <c r="D99" i="31"/>
  <c r="D98" i="31"/>
  <c r="D97" i="31"/>
  <c r="D96" i="31"/>
  <c r="D95" i="31"/>
  <c r="D94" i="31"/>
  <c r="D93" i="31"/>
  <c r="D92" i="31"/>
  <c r="D91" i="31"/>
  <c r="D90" i="31"/>
  <c r="D89" i="31"/>
  <c r="D88" i="31"/>
  <c r="D87" i="31"/>
  <c r="D86" i="31"/>
  <c r="D85" i="31"/>
  <c r="D84" i="31"/>
  <c r="D83" i="31"/>
  <c r="D82" i="31"/>
  <c r="D81" i="31"/>
  <c r="D80" i="31"/>
  <c r="D79" i="31"/>
  <c r="D78" i="31"/>
  <c r="D77" i="31"/>
  <c r="D76" i="31"/>
  <c r="D75" i="31"/>
  <c r="D74" i="31"/>
  <c r="D73" i="31"/>
  <c r="D72" i="31"/>
  <c r="D71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K100" i="18" l="1"/>
  <c r="K86" i="18"/>
  <c r="L115" i="18"/>
  <c r="L113" i="18"/>
  <c r="L111" i="18"/>
  <c r="L109" i="18"/>
  <c r="L103" i="18"/>
  <c r="L101" i="18"/>
  <c r="L89" i="18"/>
  <c r="L87" i="18"/>
  <c r="L81" i="18"/>
  <c r="L54" i="18"/>
  <c r="L50" i="18"/>
  <c r="L39" i="18"/>
  <c r="L35" i="18"/>
  <c r="L32" i="18"/>
  <c r="L30" i="18"/>
  <c r="L28" i="18"/>
  <c r="L27" i="18"/>
  <c r="L26" i="18"/>
  <c r="L24" i="18"/>
  <c r="L23" i="18"/>
  <c r="L18" i="18"/>
  <c r="L16" i="18"/>
  <c r="L14" i="18"/>
  <c r="L13" i="18"/>
  <c r="L11" i="18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K9" i="14"/>
  <c r="G28" i="14"/>
  <c r="G32" i="14"/>
  <c r="B109" i="31"/>
  <c r="B108" i="31"/>
  <c r="B107" i="31"/>
  <c r="D7" i="18"/>
  <c r="D6" i="18"/>
  <c r="D2" i="14" l="1"/>
  <c r="D1" i="14"/>
  <c r="AF2022" i="24"/>
  <c r="AE2022" i="24" s="1"/>
  <c r="AC2022" i="24"/>
  <c r="AB2022" i="24" s="1"/>
  <c r="Z2022" i="24"/>
  <c r="Y2022" i="24" s="1"/>
  <c r="AF2021" i="24"/>
  <c r="AE2021" i="24" s="1"/>
  <c r="AC2021" i="24"/>
  <c r="AB2021" i="24" s="1"/>
  <c r="Z2021" i="24"/>
  <c r="Y2021" i="24" s="1"/>
  <c r="C6" i="31"/>
  <c r="E6" i="13" l="1"/>
  <c r="E5" i="13"/>
  <c r="D8" i="6"/>
  <c r="D6" i="6"/>
  <c r="L7" i="4"/>
  <c r="E7" i="4"/>
  <c r="C7" i="3"/>
  <c r="BE105" i="3"/>
  <c r="BD105" i="3"/>
  <c r="BC105" i="3"/>
  <c r="BA105" i="3"/>
  <c r="AZ105" i="3"/>
  <c r="AY105" i="3"/>
  <c r="AX105" i="3"/>
  <c r="AW105" i="3"/>
  <c r="AV105" i="3"/>
  <c r="AU105" i="3"/>
  <c r="AT105" i="3"/>
  <c r="AS105" i="3"/>
  <c r="AQ105" i="3"/>
  <c r="AO105" i="3"/>
  <c r="AN105" i="3"/>
  <c r="AM105" i="3"/>
  <c r="AL105" i="3"/>
  <c r="AK105" i="3"/>
  <c r="AJ105" i="3"/>
  <c r="AI105" i="3"/>
  <c r="AH105" i="3"/>
  <c r="AG105" i="3"/>
  <c r="AF105" i="3"/>
  <c r="AE105" i="3"/>
  <c r="AC105" i="3"/>
  <c r="AA105" i="3"/>
  <c r="Y105" i="3"/>
  <c r="W105" i="3"/>
  <c r="U105" i="3"/>
  <c r="S105" i="3"/>
  <c r="Q105" i="3"/>
  <c r="P105" i="3"/>
  <c r="O105" i="3"/>
  <c r="N105" i="3"/>
  <c r="M105" i="3"/>
  <c r="L105" i="3"/>
  <c r="K105" i="3"/>
  <c r="I105" i="3"/>
  <c r="G105" i="3"/>
  <c r="BG17" i="31" l="1"/>
  <c r="BE17" i="31"/>
  <c r="BC17" i="31"/>
  <c r="BA17" i="31"/>
  <c r="AY17" i="31"/>
  <c r="AW17" i="31"/>
  <c r="AU17" i="31"/>
  <c r="AS17" i="31"/>
  <c r="AQ17" i="31"/>
  <c r="AO17" i="31"/>
  <c r="AM17" i="31"/>
  <c r="AK17" i="31"/>
  <c r="AI17" i="31"/>
  <c r="AG17" i="31"/>
  <c r="AE17" i="31"/>
  <c r="AC17" i="31"/>
  <c r="AA17" i="31"/>
  <c r="Y17" i="31"/>
  <c r="W17" i="31"/>
  <c r="U17" i="31"/>
  <c r="S17" i="31"/>
  <c r="Q17" i="31"/>
  <c r="O17" i="31"/>
  <c r="M17" i="31"/>
  <c r="K17" i="31"/>
  <c r="I17" i="31"/>
  <c r="G17" i="31"/>
  <c r="BG15" i="31"/>
  <c r="BE15" i="31"/>
  <c r="BC15" i="31"/>
  <c r="BA15" i="31"/>
  <c r="AY15" i="31"/>
  <c r="AW15" i="31"/>
  <c r="AU15" i="31"/>
  <c r="AS15" i="31"/>
  <c r="AQ15" i="31"/>
  <c r="AO15" i="31"/>
  <c r="AM15" i="31"/>
  <c r="AK15" i="31"/>
  <c r="AI15" i="31"/>
  <c r="AG15" i="31"/>
  <c r="AE15" i="31"/>
  <c r="AC15" i="31"/>
  <c r="AA15" i="31"/>
  <c r="Y15" i="31"/>
  <c r="W15" i="31"/>
  <c r="U15" i="31"/>
  <c r="S15" i="31"/>
  <c r="Q15" i="31"/>
  <c r="O15" i="31"/>
  <c r="M15" i="31"/>
  <c r="K15" i="31"/>
  <c r="I15" i="31"/>
  <c r="G15" i="31"/>
  <c r="BG14" i="31"/>
  <c r="BE14" i="31"/>
  <c r="BC14" i="31"/>
  <c r="BA14" i="31"/>
  <c r="AY14" i="31"/>
  <c r="AW14" i="31"/>
  <c r="AU14" i="31"/>
  <c r="AS14" i="31"/>
  <c r="AQ14" i="31"/>
  <c r="AO14" i="31"/>
  <c r="AM14" i="31"/>
  <c r="AK14" i="31"/>
  <c r="AI14" i="31"/>
  <c r="AG14" i="31"/>
  <c r="AE14" i="31"/>
  <c r="AC14" i="31"/>
  <c r="AA14" i="31"/>
  <c r="Y14" i="31"/>
  <c r="W14" i="31"/>
  <c r="U14" i="31"/>
  <c r="S14" i="31"/>
  <c r="Q14" i="31"/>
  <c r="O14" i="31"/>
  <c r="M14" i="31"/>
  <c r="K14" i="31"/>
  <c r="I14" i="31"/>
  <c r="G14" i="31"/>
  <c r="BG13" i="31"/>
  <c r="BE13" i="31"/>
  <c r="BC13" i="31"/>
  <c r="BA13" i="31"/>
  <c r="AY13" i="31"/>
  <c r="AW13" i="31"/>
  <c r="AU13" i="31"/>
  <c r="AS13" i="31"/>
  <c r="AQ13" i="31"/>
  <c r="AO13" i="31"/>
  <c r="AM13" i="31"/>
  <c r="AK13" i="31"/>
  <c r="AI13" i="31"/>
  <c r="AG13" i="31"/>
  <c r="AE13" i="31"/>
  <c r="AC13" i="31"/>
  <c r="AA13" i="31"/>
  <c r="Y13" i="31"/>
  <c r="W13" i="31"/>
  <c r="U13" i="31"/>
  <c r="S13" i="31"/>
  <c r="Q13" i="31"/>
  <c r="O13" i="31"/>
  <c r="M13" i="31"/>
  <c r="K13" i="31"/>
  <c r="I13" i="31"/>
  <c r="G13" i="31"/>
  <c r="BG12" i="31"/>
  <c r="BE12" i="31"/>
  <c r="BC12" i="31"/>
  <c r="BA12" i="31"/>
  <c r="AY12" i="31"/>
  <c r="AW12" i="31"/>
  <c r="AU12" i="31"/>
  <c r="AS12" i="31"/>
  <c r="AQ12" i="31"/>
  <c r="AO12" i="31"/>
  <c r="AM12" i="31"/>
  <c r="AK12" i="31"/>
  <c r="AI12" i="31"/>
  <c r="AG12" i="31"/>
  <c r="AE12" i="31"/>
  <c r="AC12" i="31"/>
  <c r="AA12" i="31"/>
  <c r="Y12" i="31"/>
  <c r="W12" i="31"/>
  <c r="U12" i="31"/>
  <c r="S12" i="31"/>
  <c r="Q12" i="31"/>
  <c r="O12" i="31"/>
  <c r="M12" i="31"/>
  <c r="K12" i="31"/>
  <c r="I12" i="31"/>
  <c r="G12" i="31"/>
  <c r="BG108" i="31"/>
  <c r="BF108" i="31"/>
  <c r="BG106" i="31"/>
  <c r="BG105" i="31"/>
  <c r="BG104" i="31"/>
  <c r="BG103" i="31"/>
  <c r="BG102" i="31"/>
  <c r="BG101" i="31"/>
  <c r="BG100" i="31"/>
  <c r="BG99" i="31"/>
  <c r="BG98" i="31"/>
  <c r="BG97" i="31"/>
  <c r="BG96" i="31"/>
  <c r="BG95" i="31"/>
  <c r="BG94" i="31"/>
  <c r="BG93" i="31"/>
  <c r="BG92" i="31"/>
  <c r="BG91" i="31"/>
  <c r="BG90" i="31"/>
  <c r="BG89" i="31"/>
  <c r="BG88" i="31"/>
  <c r="BG87" i="31"/>
  <c r="BG86" i="31"/>
  <c r="BG85" i="31"/>
  <c r="BG84" i="31"/>
  <c r="BG83" i="31"/>
  <c r="BG82" i="31"/>
  <c r="BG81" i="31"/>
  <c r="BG80" i="31"/>
  <c r="BG79" i="31"/>
  <c r="BG78" i="31"/>
  <c r="BG77" i="31"/>
  <c r="BG76" i="31"/>
  <c r="BG75" i="31"/>
  <c r="BG74" i="31"/>
  <c r="BG73" i="31"/>
  <c r="BG72" i="31"/>
  <c r="BG71" i="31"/>
  <c r="BG70" i="31"/>
  <c r="BG69" i="31"/>
  <c r="BG68" i="31"/>
  <c r="BG67" i="31"/>
  <c r="BG66" i="31"/>
  <c r="BG65" i="31"/>
  <c r="BG64" i="31"/>
  <c r="BG63" i="31"/>
  <c r="BG62" i="31"/>
  <c r="BG61" i="31"/>
  <c r="BG60" i="31"/>
  <c r="BG59" i="31"/>
  <c r="BG58" i="31"/>
  <c r="BG57" i="31"/>
  <c r="BG56" i="31"/>
  <c r="BG55" i="31"/>
  <c r="BG54" i="31"/>
  <c r="BG53" i="31"/>
  <c r="BG52" i="31"/>
  <c r="BG51" i="31"/>
  <c r="BG50" i="31"/>
  <c r="BG49" i="31"/>
  <c r="BG48" i="31"/>
  <c r="BG47" i="31"/>
  <c r="BG46" i="31"/>
  <c r="BG45" i="31"/>
  <c r="BG44" i="31"/>
  <c r="BG43" i="31"/>
  <c r="BG42" i="31"/>
  <c r="BG41" i="31"/>
  <c r="BG40" i="31"/>
  <c r="BG39" i="31"/>
  <c r="BG38" i="31"/>
  <c r="BG37" i="31"/>
  <c r="BG36" i="31"/>
  <c r="BG35" i="31"/>
  <c r="BG34" i="31"/>
  <c r="BG33" i="31"/>
  <c r="BG32" i="31"/>
  <c r="BG31" i="31"/>
  <c r="BG30" i="31"/>
  <c r="BG29" i="31"/>
  <c r="BG28" i="31"/>
  <c r="BG27" i="31"/>
  <c r="BG26" i="31"/>
  <c r="BG25" i="31"/>
  <c r="BG24" i="31"/>
  <c r="BG23" i="31"/>
  <c r="BE108" i="31"/>
  <c r="BC108" i="31"/>
  <c r="BA108" i="31"/>
  <c r="AY108" i="31"/>
  <c r="AW108" i="31"/>
  <c r="AU108" i="31"/>
  <c r="AS108" i="31"/>
  <c r="AQ108" i="31"/>
  <c r="AO108" i="31"/>
  <c r="AM108" i="31"/>
  <c r="AK108" i="31"/>
  <c r="AI108" i="31"/>
  <c r="AG108" i="31"/>
  <c r="AE108" i="31"/>
  <c r="AC108" i="31"/>
  <c r="AA108" i="31"/>
  <c r="Y108" i="31"/>
  <c r="W108" i="31"/>
  <c r="U108" i="31"/>
  <c r="S108" i="31"/>
  <c r="Q108" i="31"/>
  <c r="O108" i="31"/>
  <c r="M108" i="31"/>
  <c r="K108" i="31"/>
  <c r="I108" i="31"/>
  <c r="G108" i="31"/>
  <c r="BE106" i="31"/>
  <c r="BC106" i="31"/>
  <c r="BA106" i="31"/>
  <c r="AY106" i="31"/>
  <c r="AW106" i="31"/>
  <c r="AS106" i="31"/>
  <c r="AQ106" i="31"/>
  <c r="AO106" i="31"/>
  <c r="AM106" i="31"/>
  <c r="AK106" i="31"/>
  <c r="AI106" i="31"/>
  <c r="AG106" i="31"/>
  <c r="AE106" i="31"/>
  <c r="AC106" i="31"/>
  <c r="AA106" i="31"/>
  <c r="Y106" i="31"/>
  <c r="W106" i="31"/>
  <c r="U106" i="31"/>
  <c r="S106" i="31"/>
  <c r="Q106" i="31"/>
  <c r="O106" i="31"/>
  <c r="M106" i="31"/>
  <c r="K106" i="31"/>
  <c r="I106" i="31"/>
  <c r="G106" i="31"/>
  <c r="BE105" i="31"/>
  <c r="BC105" i="31"/>
  <c r="BA105" i="31"/>
  <c r="AY105" i="31"/>
  <c r="AW105" i="31"/>
  <c r="AS105" i="31"/>
  <c r="AQ105" i="31"/>
  <c r="AO105" i="31"/>
  <c r="AM105" i="31"/>
  <c r="AK105" i="31"/>
  <c r="AI105" i="31"/>
  <c r="AG105" i="31"/>
  <c r="AE105" i="31"/>
  <c r="AC105" i="31"/>
  <c r="AA105" i="31"/>
  <c r="Y105" i="31"/>
  <c r="W105" i="31"/>
  <c r="U105" i="31"/>
  <c r="S105" i="31"/>
  <c r="Q105" i="31"/>
  <c r="O105" i="31"/>
  <c r="M105" i="31"/>
  <c r="K105" i="31"/>
  <c r="I105" i="31"/>
  <c r="G105" i="31"/>
  <c r="BE104" i="31"/>
  <c r="BC104" i="31"/>
  <c r="BA104" i="31"/>
  <c r="AY104" i="31"/>
  <c r="AW104" i="31"/>
  <c r="AS104" i="31"/>
  <c r="AQ104" i="31"/>
  <c r="AO104" i="31"/>
  <c r="AM104" i="31"/>
  <c r="AK104" i="31"/>
  <c r="AI104" i="31"/>
  <c r="AG104" i="31"/>
  <c r="AE104" i="31"/>
  <c r="AC104" i="31"/>
  <c r="AA104" i="31"/>
  <c r="Y104" i="31"/>
  <c r="W104" i="31"/>
  <c r="U104" i="31"/>
  <c r="S104" i="31"/>
  <c r="Q104" i="31"/>
  <c r="O104" i="31"/>
  <c r="M104" i="31"/>
  <c r="K104" i="31"/>
  <c r="I104" i="31"/>
  <c r="G104" i="31"/>
  <c r="BE103" i="31"/>
  <c r="BC103" i="31"/>
  <c r="BA103" i="31"/>
  <c r="AY103" i="31"/>
  <c r="AW103" i="31"/>
  <c r="AS103" i="31"/>
  <c r="AQ103" i="31"/>
  <c r="AO103" i="31"/>
  <c r="AM103" i="31"/>
  <c r="AK103" i="31"/>
  <c r="AI103" i="31"/>
  <c r="AG103" i="31"/>
  <c r="AE103" i="31"/>
  <c r="AC103" i="31"/>
  <c r="AA103" i="31"/>
  <c r="Y103" i="31"/>
  <c r="W103" i="31"/>
  <c r="U103" i="31"/>
  <c r="S103" i="31"/>
  <c r="Q103" i="31"/>
  <c r="O103" i="31"/>
  <c r="M103" i="31"/>
  <c r="K103" i="31"/>
  <c r="I103" i="31"/>
  <c r="G103" i="31"/>
  <c r="BE102" i="31"/>
  <c r="BC102" i="31"/>
  <c r="BA102" i="31"/>
  <c r="AY102" i="31"/>
  <c r="AW102" i="31"/>
  <c r="AS102" i="31"/>
  <c r="AQ102" i="31"/>
  <c r="AO102" i="31"/>
  <c r="AM102" i="31"/>
  <c r="AK102" i="31"/>
  <c r="AI102" i="31"/>
  <c r="AG102" i="31"/>
  <c r="AE102" i="31"/>
  <c r="AC102" i="31"/>
  <c r="AA102" i="31"/>
  <c r="Y102" i="31"/>
  <c r="W102" i="31"/>
  <c r="U102" i="31"/>
  <c r="S102" i="31"/>
  <c r="Q102" i="31"/>
  <c r="O102" i="31"/>
  <c r="M102" i="31"/>
  <c r="K102" i="31"/>
  <c r="I102" i="31"/>
  <c r="G102" i="31"/>
  <c r="BE101" i="31"/>
  <c r="BC101" i="31"/>
  <c r="BA101" i="31"/>
  <c r="AY101" i="31"/>
  <c r="AW101" i="31"/>
  <c r="AS101" i="31"/>
  <c r="AQ101" i="31"/>
  <c r="AO101" i="31"/>
  <c r="AM101" i="31"/>
  <c r="AK101" i="31"/>
  <c r="AI101" i="31"/>
  <c r="AG101" i="31"/>
  <c r="AE101" i="31"/>
  <c r="AC101" i="31"/>
  <c r="AA101" i="31"/>
  <c r="Y101" i="31"/>
  <c r="W101" i="31"/>
  <c r="U101" i="31"/>
  <c r="S101" i="31"/>
  <c r="Q101" i="31"/>
  <c r="O101" i="31"/>
  <c r="M101" i="31"/>
  <c r="K101" i="31"/>
  <c r="I101" i="31"/>
  <c r="G101" i="31"/>
  <c r="BE100" i="31"/>
  <c r="BC100" i="31"/>
  <c r="BA100" i="31"/>
  <c r="AY100" i="31"/>
  <c r="AW100" i="31"/>
  <c r="AS100" i="31"/>
  <c r="AQ100" i="31"/>
  <c r="AO100" i="31"/>
  <c r="AM100" i="31"/>
  <c r="AK100" i="31"/>
  <c r="AI100" i="31"/>
  <c r="AG100" i="31"/>
  <c r="AE100" i="31"/>
  <c r="AC100" i="31"/>
  <c r="AA100" i="31"/>
  <c r="Y100" i="31"/>
  <c r="W100" i="31"/>
  <c r="U100" i="31"/>
  <c r="S100" i="31"/>
  <c r="Q100" i="31"/>
  <c r="O100" i="31"/>
  <c r="M100" i="31"/>
  <c r="K100" i="31"/>
  <c r="I100" i="31"/>
  <c r="G100" i="31"/>
  <c r="BE99" i="31"/>
  <c r="BC99" i="31"/>
  <c r="BA99" i="31"/>
  <c r="AY99" i="31"/>
  <c r="AW99" i="31"/>
  <c r="AS99" i="31"/>
  <c r="AQ99" i="31"/>
  <c r="AO99" i="31"/>
  <c r="AM99" i="31"/>
  <c r="AK99" i="31"/>
  <c r="AI99" i="31"/>
  <c r="AG99" i="31"/>
  <c r="AE99" i="31"/>
  <c r="AC99" i="31"/>
  <c r="AA99" i="31"/>
  <c r="Y99" i="31"/>
  <c r="W99" i="31"/>
  <c r="U99" i="31"/>
  <c r="S99" i="31"/>
  <c r="Q99" i="31"/>
  <c r="O99" i="31"/>
  <c r="M99" i="31"/>
  <c r="K99" i="31"/>
  <c r="I99" i="31"/>
  <c r="G99" i="31"/>
  <c r="BE98" i="31"/>
  <c r="BC98" i="31"/>
  <c r="BA98" i="31"/>
  <c r="AY98" i="31"/>
  <c r="AW98" i="31"/>
  <c r="AS98" i="31"/>
  <c r="AQ98" i="31"/>
  <c r="AO98" i="31"/>
  <c r="AM98" i="31"/>
  <c r="AK98" i="31"/>
  <c r="AI98" i="31"/>
  <c r="AG98" i="31"/>
  <c r="AE98" i="31"/>
  <c r="AC98" i="31"/>
  <c r="AA98" i="31"/>
  <c r="Y98" i="31"/>
  <c r="W98" i="31"/>
  <c r="U98" i="31"/>
  <c r="S98" i="31"/>
  <c r="Q98" i="31"/>
  <c r="O98" i="31"/>
  <c r="M98" i="31"/>
  <c r="K98" i="31"/>
  <c r="I98" i="31"/>
  <c r="G98" i="31"/>
  <c r="BE97" i="31"/>
  <c r="BC97" i="31"/>
  <c r="BA97" i="31"/>
  <c r="AY97" i="31"/>
  <c r="AW97" i="31"/>
  <c r="AS97" i="31"/>
  <c r="AQ97" i="31"/>
  <c r="AO97" i="31"/>
  <c r="AM97" i="31"/>
  <c r="AK97" i="31"/>
  <c r="AI97" i="31"/>
  <c r="AG97" i="31"/>
  <c r="AE97" i="31"/>
  <c r="AC97" i="31"/>
  <c r="AA97" i="31"/>
  <c r="Y97" i="31"/>
  <c r="W97" i="31"/>
  <c r="U97" i="31"/>
  <c r="S97" i="31"/>
  <c r="Q97" i="31"/>
  <c r="O97" i="31"/>
  <c r="M97" i="31"/>
  <c r="K97" i="31"/>
  <c r="I97" i="31"/>
  <c r="G97" i="31"/>
  <c r="BE96" i="31"/>
  <c r="BC96" i="31"/>
  <c r="BA96" i="31"/>
  <c r="AY96" i="31"/>
  <c r="AW96" i="31"/>
  <c r="AS96" i="31"/>
  <c r="AQ96" i="31"/>
  <c r="AO96" i="31"/>
  <c r="AM96" i="31"/>
  <c r="AK96" i="31"/>
  <c r="AI96" i="31"/>
  <c r="AG96" i="31"/>
  <c r="AE96" i="31"/>
  <c r="AC96" i="31"/>
  <c r="AA96" i="31"/>
  <c r="Y96" i="31"/>
  <c r="W96" i="31"/>
  <c r="U96" i="31"/>
  <c r="S96" i="31"/>
  <c r="Q96" i="31"/>
  <c r="O96" i="31"/>
  <c r="M96" i="31"/>
  <c r="K96" i="31"/>
  <c r="I96" i="31"/>
  <c r="G96" i="31"/>
  <c r="BE95" i="31"/>
  <c r="BC95" i="31"/>
  <c r="BA95" i="31"/>
  <c r="AY95" i="31"/>
  <c r="AW95" i="31"/>
  <c r="AS95" i="31"/>
  <c r="AQ95" i="31"/>
  <c r="AO95" i="31"/>
  <c r="AM95" i="31"/>
  <c r="AK95" i="31"/>
  <c r="AI95" i="31"/>
  <c r="AG95" i="31"/>
  <c r="AE95" i="31"/>
  <c r="AC95" i="31"/>
  <c r="AA95" i="31"/>
  <c r="Y95" i="31"/>
  <c r="W95" i="31"/>
  <c r="U95" i="31"/>
  <c r="S95" i="31"/>
  <c r="Q95" i="31"/>
  <c r="O95" i="31"/>
  <c r="M95" i="31"/>
  <c r="K95" i="31"/>
  <c r="I95" i="31"/>
  <c r="G95" i="31"/>
  <c r="BE94" i="31"/>
  <c r="BC94" i="31"/>
  <c r="BA94" i="31"/>
  <c r="AY94" i="31"/>
  <c r="AW94" i="31"/>
  <c r="AS94" i="31"/>
  <c r="AQ94" i="31"/>
  <c r="AO94" i="31"/>
  <c r="AM94" i="31"/>
  <c r="AK94" i="31"/>
  <c r="AI94" i="31"/>
  <c r="AG94" i="31"/>
  <c r="AE94" i="31"/>
  <c r="AC94" i="31"/>
  <c r="AA94" i="31"/>
  <c r="Y94" i="31"/>
  <c r="W94" i="31"/>
  <c r="U94" i="31"/>
  <c r="S94" i="31"/>
  <c r="Q94" i="31"/>
  <c r="O94" i="31"/>
  <c r="M94" i="31"/>
  <c r="K94" i="31"/>
  <c r="I94" i="31"/>
  <c r="G94" i="31"/>
  <c r="BE93" i="31"/>
  <c r="BC93" i="31"/>
  <c r="BA93" i="31"/>
  <c r="AY93" i="31"/>
  <c r="AW93" i="31"/>
  <c r="AS93" i="31"/>
  <c r="AQ93" i="31"/>
  <c r="AO93" i="31"/>
  <c r="AM93" i="31"/>
  <c r="AK93" i="31"/>
  <c r="AI93" i="31"/>
  <c r="AG93" i="31"/>
  <c r="AE93" i="31"/>
  <c r="AC93" i="31"/>
  <c r="AA93" i="31"/>
  <c r="Y93" i="31"/>
  <c r="W93" i="31"/>
  <c r="U93" i="31"/>
  <c r="S93" i="31"/>
  <c r="Q93" i="31"/>
  <c r="O93" i="31"/>
  <c r="M93" i="31"/>
  <c r="K93" i="31"/>
  <c r="I93" i="31"/>
  <c r="G93" i="31"/>
  <c r="BE92" i="31"/>
  <c r="BC92" i="31"/>
  <c r="BA92" i="31"/>
  <c r="AY92" i="31"/>
  <c r="AW92" i="31"/>
  <c r="AS92" i="31"/>
  <c r="AQ92" i="31"/>
  <c r="AO92" i="31"/>
  <c r="AM92" i="31"/>
  <c r="AK92" i="31"/>
  <c r="AI92" i="31"/>
  <c r="AG92" i="31"/>
  <c r="AE92" i="31"/>
  <c r="AC92" i="31"/>
  <c r="AA92" i="31"/>
  <c r="Y92" i="31"/>
  <c r="W92" i="31"/>
  <c r="U92" i="31"/>
  <c r="S92" i="31"/>
  <c r="Q92" i="31"/>
  <c r="O92" i="31"/>
  <c r="M92" i="31"/>
  <c r="K92" i="31"/>
  <c r="I92" i="31"/>
  <c r="G92" i="31"/>
  <c r="BE91" i="31"/>
  <c r="BC91" i="31"/>
  <c r="BA91" i="31"/>
  <c r="AY91" i="31"/>
  <c r="AW91" i="31"/>
  <c r="AS91" i="31"/>
  <c r="AQ91" i="31"/>
  <c r="AO91" i="31"/>
  <c r="AM91" i="31"/>
  <c r="AK91" i="31"/>
  <c r="AI91" i="31"/>
  <c r="AG91" i="31"/>
  <c r="AE91" i="31"/>
  <c r="AC91" i="31"/>
  <c r="AA91" i="31"/>
  <c r="Y91" i="31"/>
  <c r="W91" i="31"/>
  <c r="U91" i="31"/>
  <c r="S91" i="31"/>
  <c r="Q91" i="31"/>
  <c r="O91" i="31"/>
  <c r="M91" i="31"/>
  <c r="K91" i="31"/>
  <c r="I91" i="31"/>
  <c r="G91" i="31"/>
  <c r="BE90" i="31"/>
  <c r="BC90" i="31"/>
  <c r="BA90" i="31"/>
  <c r="AY90" i="31"/>
  <c r="AW90" i="31"/>
  <c r="AS90" i="31"/>
  <c r="AQ90" i="31"/>
  <c r="AO90" i="31"/>
  <c r="AM90" i="31"/>
  <c r="AK90" i="31"/>
  <c r="AI90" i="31"/>
  <c r="AG90" i="31"/>
  <c r="AE90" i="31"/>
  <c r="AC90" i="31"/>
  <c r="AA90" i="31"/>
  <c r="Y90" i="31"/>
  <c r="W90" i="31"/>
  <c r="U90" i="31"/>
  <c r="S90" i="31"/>
  <c r="Q90" i="31"/>
  <c r="O90" i="31"/>
  <c r="M90" i="31"/>
  <c r="K90" i="31"/>
  <c r="I90" i="31"/>
  <c r="G90" i="31"/>
  <c r="BE89" i="31"/>
  <c r="BC89" i="31"/>
  <c r="BA89" i="31"/>
  <c r="AY89" i="31"/>
  <c r="AW89" i="31"/>
  <c r="AS89" i="31"/>
  <c r="AQ89" i="31"/>
  <c r="AO89" i="31"/>
  <c r="AM89" i="31"/>
  <c r="AK89" i="31"/>
  <c r="AI89" i="31"/>
  <c r="AG89" i="31"/>
  <c r="AE89" i="31"/>
  <c r="AC89" i="31"/>
  <c r="AA89" i="31"/>
  <c r="Y89" i="31"/>
  <c r="W89" i="31"/>
  <c r="U89" i="31"/>
  <c r="S89" i="31"/>
  <c r="Q89" i="31"/>
  <c r="O89" i="31"/>
  <c r="M89" i="31"/>
  <c r="K89" i="31"/>
  <c r="I89" i="31"/>
  <c r="G89" i="31"/>
  <c r="BE88" i="31"/>
  <c r="BC88" i="31"/>
  <c r="BA88" i="31"/>
  <c r="AY88" i="31"/>
  <c r="AW88" i="31"/>
  <c r="AS88" i="31"/>
  <c r="AQ88" i="31"/>
  <c r="AO88" i="31"/>
  <c r="AM88" i="31"/>
  <c r="AK88" i="31"/>
  <c r="AI88" i="31"/>
  <c r="AG88" i="31"/>
  <c r="AE88" i="31"/>
  <c r="AC88" i="31"/>
  <c r="AA88" i="31"/>
  <c r="Y88" i="31"/>
  <c r="W88" i="31"/>
  <c r="U88" i="31"/>
  <c r="S88" i="31"/>
  <c r="Q88" i="31"/>
  <c r="O88" i="31"/>
  <c r="M88" i="31"/>
  <c r="K88" i="31"/>
  <c r="I88" i="31"/>
  <c r="G88" i="31"/>
  <c r="BE87" i="31"/>
  <c r="BC87" i="31"/>
  <c r="BA87" i="31"/>
  <c r="AY87" i="31"/>
  <c r="AW87" i="31"/>
  <c r="AS87" i="31"/>
  <c r="AQ87" i="31"/>
  <c r="AO87" i="31"/>
  <c r="AM87" i="31"/>
  <c r="AK87" i="31"/>
  <c r="AI87" i="31"/>
  <c r="AG87" i="31"/>
  <c r="AE87" i="31"/>
  <c r="AC87" i="31"/>
  <c r="AA87" i="31"/>
  <c r="Y87" i="31"/>
  <c r="W87" i="31"/>
  <c r="U87" i="31"/>
  <c r="S87" i="31"/>
  <c r="Q87" i="31"/>
  <c r="O87" i="31"/>
  <c r="M87" i="31"/>
  <c r="K87" i="31"/>
  <c r="I87" i="31"/>
  <c r="G87" i="31"/>
  <c r="BE86" i="31"/>
  <c r="BC86" i="31"/>
  <c r="BA86" i="31"/>
  <c r="AY86" i="31"/>
  <c r="AW86" i="31"/>
  <c r="AS86" i="31"/>
  <c r="AQ86" i="31"/>
  <c r="AO86" i="31"/>
  <c r="AM86" i="31"/>
  <c r="AK86" i="31"/>
  <c r="AI86" i="31"/>
  <c r="AG86" i="31"/>
  <c r="AE86" i="31"/>
  <c r="AC86" i="31"/>
  <c r="AA86" i="31"/>
  <c r="Y86" i="31"/>
  <c r="W86" i="31"/>
  <c r="U86" i="31"/>
  <c r="S86" i="31"/>
  <c r="Q86" i="31"/>
  <c r="O86" i="31"/>
  <c r="M86" i="31"/>
  <c r="K86" i="31"/>
  <c r="I86" i="31"/>
  <c r="G86" i="31"/>
  <c r="BE85" i="31"/>
  <c r="BC85" i="31"/>
  <c r="BA85" i="31"/>
  <c r="AY85" i="31"/>
  <c r="AW85" i="31"/>
  <c r="AS85" i="31"/>
  <c r="AQ85" i="31"/>
  <c r="AO85" i="31"/>
  <c r="AM85" i="31"/>
  <c r="AK85" i="31"/>
  <c r="AI85" i="31"/>
  <c r="AG85" i="31"/>
  <c r="AE85" i="31"/>
  <c r="AC85" i="31"/>
  <c r="AA85" i="31"/>
  <c r="Y85" i="31"/>
  <c r="W85" i="31"/>
  <c r="U85" i="31"/>
  <c r="S85" i="31"/>
  <c r="Q85" i="31"/>
  <c r="O85" i="31"/>
  <c r="M85" i="31"/>
  <c r="K85" i="31"/>
  <c r="I85" i="31"/>
  <c r="G85" i="31"/>
  <c r="BE84" i="31"/>
  <c r="BC84" i="31"/>
  <c r="BA84" i="31"/>
  <c r="AY84" i="31"/>
  <c r="AW84" i="31"/>
  <c r="AS84" i="31"/>
  <c r="AQ84" i="31"/>
  <c r="AO84" i="31"/>
  <c r="AM84" i="31"/>
  <c r="AK84" i="31"/>
  <c r="AI84" i="31"/>
  <c r="AG84" i="31"/>
  <c r="AE84" i="31"/>
  <c r="AC84" i="31"/>
  <c r="AA84" i="31"/>
  <c r="Y84" i="31"/>
  <c r="W84" i="31"/>
  <c r="U84" i="31"/>
  <c r="S84" i="31"/>
  <c r="Q84" i="31"/>
  <c r="O84" i="31"/>
  <c r="M84" i="31"/>
  <c r="K84" i="31"/>
  <c r="I84" i="31"/>
  <c r="G84" i="31"/>
  <c r="BE83" i="31"/>
  <c r="BC83" i="31"/>
  <c r="BA83" i="31"/>
  <c r="AY83" i="31"/>
  <c r="AW83" i="31"/>
  <c r="AS83" i="31"/>
  <c r="AQ83" i="31"/>
  <c r="AO83" i="31"/>
  <c r="AM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M83" i="31"/>
  <c r="K83" i="31"/>
  <c r="I83" i="31"/>
  <c r="G83" i="31"/>
  <c r="BE82" i="31"/>
  <c r="BC82" i="31"/>
  <c r="BA82" i="31"/>
  <c r="AY82" i="31"/>
  <c r="AW82" i="31"/>
  <c r="AS82" i="31"/>
  <c r="AQ82" i="31"/>
  <c r="AO82" i="31"/>
  <c r="AM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M82" i="31"/>
  <c r="K82" i="31"/>
  <c r="I82" i="31"/>
  <c r="G82" i="31"/>
  <c r="BE81" i="31"/>
  <c r="BC81" i="31"/>
  <c r="BA81" i="31"/>
  <c r="AY81" i="31"/>
  <c r="AW81" i="31"/>
  <c r="AS81" i="31"/>
  <c r="AQ81" i="31"/>
  <c r="AO81" i="31"/>
  <c r="AM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M81" i="31"/>
  <c r="K81" i="31"/>
  <c r="I81" i="31"/>
  <c r="G81" i="31"/>
  <c r="BE80" i="31"/>
  <c r="BC80" i="31"/>
  <c r="BA80" i="31"/>
  <c r="AY80" i="31"/>
  <c r="AW80" i="31"/>
  <c r="AS80" i="31"/>
  <c r="AQ80" i="31"/>
  <c r="AO80" i="31"/>
  <c r="AM80" i="31"/>
  <c r="AK80" i="31"/>
  <c r="AI80" i="31"/>
  <c r="AG80" i="31"/>
  <c r="AE80" i="31"/>
  <c r="AC80" i="31"/>
  <c r="AA80" i="31"/>
  <c r="Y80" i="31"/>
  <c r="W80" i="31"/>
  <c r="U80" i="31"/>
  <c r="S80" i="31"/>
  <c r="Q80" i="31"/>
  <c r="O80" i="31"/>
  <c r="M80" i="31"/>
  <c r="K80" i="31"/>
  <c r="I80" i="31"/>
  <c r="G80" i="31"/>
  <c r="BE79" i="31"/>
  <c r="BC79" i="31"/>
  <c r="BA79" i="31"/>
  <c r="AY79" i="31"/>
  <c r="AW79" i="31"/>
  <c r="AS79" i="31"/>
  <c r="AQ79" i="31"/>
  <c r="AO79" i="31"/>
  <c r="AM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M79" i="31"/>
  <c r="K79" i="31"/>
  <c r="I79" i="31"/>
  <c r="G79" i="31"/>
  <c r="BE78" i="31"/>
  <c r="BC78" i="31"/>
  <c r="BA78" i="31"/>
  <c r="AY78" i="31"/>
  <c r="AW78" i="31"/>
  <c r="AS78" i="31"/>
  <c r="AQ78" i="31"/>
  <c r="AO78" i="31"/>
  <c r="AM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M78" i="31"/>
  <c r="K78" i="31"/>
  <c r="I78" i="31"/>
  <c r="G78" i="31"/>
  <c r="BE77" i="31"/>
  <c r="BC77" i="31"/>
  <c r="BA77" i="31"/>
  <c r="AY77" i="31"/>
  <c r="AW77" i="31"/>
  <c r="AS77" i="31"/>
  <c r="AQ77" i="31"/>
  <c r="AO77" i="31"/>
  <c r="AM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M77" i="31"/>
  <c r="K77" i="31"/>
  <c r="I77" i="31"/>
  <c r="G77" i="31"/>
  <c r="BE76" i="31"/>
  <c r="BC76" i="31"/>
  <c r="BA76" i="31"/>
  <c r="AY76" i="31"/>
  <c r="AW76" i="31"/>
  <c r="AS76" i="31"/>
  <c r="AQ76" i="31"/>
  <c r="AO76" i="31"/>
  <c r="AM76" i="31"/>
  <c r="AK76" i="31"/>
  <c r="AI76" i="31"/>
  <c r="AG76" i="31"/>
  <c r="AE76" i="31"/>
  <c r="AC76" i="31"/>
  <c r="AA76" i="31"/>
  <c r="Y76" i="31"/>
  <c r="W76" i="31"/>
  <c r="U76" i="31"/>
  <c r="S76" i="31"/>
  <c r="Q76" i="31"/>
  <c r="O76" i="31"/>
  <c r="M76" i="31"/>
  <c r="K76" i="31"/>
  <c r="I76" i="31"/>
  <c r="G76" i="31"/>
  <c r="BE75" i="31"/>
  <c r="BC75" i="31"/>
  <c r="BA75" i="31"/>
  <c r="AY75" i="31"/>
  <c r="AW75" i="31"/>
  <c r="AS75" i="31"/>
  <c r="AQ75" i="31"/>
  <c r="AO75" i="31"/>
  <c r="AM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M75" i="31"/>
  <c r="K75" i="31"/>
  <c r="I75" i="31"/>
  <c r="G75" i="31"/>
  <c r="BE74" i="31"/>
  <c r="BC74" i="31"/>
  <c r="BA74" i="31"/>
  <c r="AY74" i="31"/>
  <c r="AW74" i="31"/>
  <c r="AS74" i="31"/>
  <c r="AQ74" i="31"/>
  <c r="AO74" i="31"/>
  <c r="AM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M74" i="31"/>
  <c r="K74" i="31"/>
  <c r="I74" i="31"/>
  <c r="G74" i="31"/>
  <c r="BE73" i="31"/>
  <c r="BC73" i="31"/>
  <c r="BA73" i="31"/>
  <c r="AY73" i="31"/>
  <c r="AW73" i="31"/>
  <c r="AS73" i="31"/>
  <c r="AQ73" i="31"/>
  <c r="AO73" i="31"/>
  <c r="AM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M73" i="31"/>
  <c r="K73" i="31"/>
  <c r="I73" i="31"/>
  <c r="G73" i="31"/>
  <c r="BE72" i="31"/>
  <c r="BC72" i="31"/>
  <c r="BA72" i="31"/>
  <c r="AY72" i="31"/>
  <c r="AW72" i="31"/>
  <c r="AS72" i="31"/>
  <c r="AQ72" i="31"/>
  <c r="AO72" i="31"/>
  <c r="AM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M72" i="31"/>
  <c r="K72" i="31"/>
  <c r="I72" i="31"/>
  <c r="G72" i="31"/>
  <c r="BE71" i="31"/>
  <c r="BC71" i="31"/>
  <c r="BA71" i="31"/>
  <c r="AY71" i="31"/>
  <c r="AW71" i="31"/>
  <c r="AS71" i="31"/>
  <c r="AQ71" i="31"/>
  <c r="AO71" i="31"/>
  <c r="AM71" i="31"/>
  <c r="AK71" i="31"/>
  <c r="AI71" i="31"/>
  <c r="AG71" i="31"/>
  <c r="AE71" i="31"/>
  <c r="AC71" i="31"/>
  <c r="AA71" i="31"/>
  <c r="Y71" i="31"/>
  <c r="W71" i="31"/>
  <c r="U71" i="31"/>
  <c r="S71" i="31"/>
  <c r="Q71" i="31"/>
  <c r="O71" i="31"/>
  <c r="M71" i="31"/>
  <c r="K71" i="31"/>
  <c r="I71" i="31"/>
  <c r="G71" i="31"/>
  <c r="BE70" i="31"/>
  <c r="BC70" i="31"/>
  <c r="BA70" i="31"/>
  <c r="AY70" i="31"/>
  <c r="AW70" i="31"/>
  <c r="AS70" i="31"/>
  <c r="AQ70" i="31"/>
  <c r="AO70" i="31"/>
  <c r="AM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M70" i="31"/>
  <c r="K70" i="31"/>
  <c r="I70" i="31"/>
  <c r="G70" i="31"/>
  <c r="BE69" i="31"/>
  <c r="BC69" i="31"/>
  <c r="BA69" i="31"/>
  <c r="AY69" i="31"/>
  <c r="AW69" i="31"/>
  <c r="AS69" i="31"/>
  <c r="AQ69" i="31"/>
  <c r="AO69" i="31"/>
  <c r="AM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M69" i="31"/>
  <c r="K69" i="31"/>
  <c r="I69" i="31"/>
  <c r="G69" i="31"/>
  <c r="BE68" i="31"/>
  <c r="BC68" i="31"/>
  <c r="BA68" i="31"/>
  <c r="AY68" i="31"/>
  <c r="AW68" i="31"/>
  <c r="AS68" i="31"/>
  <c r="AQ68" i="31"/>
  <c r="AO68" i="31"/>
  <c r="AM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M68" i="31"/>
  <c r="K68" i="31"/>
  <c r="I68" i="31"/>
  <c r="G68" i="31"/>
  <c r="BE67" i="31"/>
  <c r="BC67" i="31"/>
  <c r="BA67" i="31"/>
  <c r="AY67" i="31"/>
  <c r="AW67" i="31"/>
  <c r="AS67" i="31"/>
  <c r="AQ67" i="31"/>
  <c r="AO67" i="31"/>
  <c r="AM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M67" i="31"/>
  <c r="K67" i="31"/>
  <c r="I67" i="31"/>
  <c r="G67" i="31"/>
  <c r="BE66" i="31"/>
  <c r="BC66" i="31"/>
  <c r="BA66" i="31"/>
  <c r="AY66" i="31"/>
  <c r="AW66" i="31"/>
  <c r="AS66" i="31"/>
  <c r="AQ66" i="31"/>
  <c r="AO66" i="31"/>
  <c r="AM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M66" i="31"/>
  <c r="K66" i="31"/>
  <c r="I66" i="31"/>
  <c r="G66" i="31"/>
  <c r="BE65" i="31"/>
  <c r="BC65" i="31"/>
  <c r="BA65" i="31"/>
  <c r="AY65" i="31"/>
  <c r="AW65" i="31"/>
  <c r="AS65" i="31"/>
  <c r="AQ65" i="31"/>
  <c r="AO65" i="31"/>
  <c r="AM65" i="31"/>
  <c r="AK65" i="31"/>
  <c r="AI65" i="31"/>
  <c r="AG65" i="31"/>
  <c r="AE65" i="31"/>
  <c r="AC65" i="31"/>
  <c r="AA65" i="31"/>
  <c r="Y65" i="31"/>
  <c r="W65" i="31"/>
  <c r="U65" i="31"/>
  <c r="S65" i="31"/>
  <c r="Q65" i="31"/>
  <c r="O65" i="31"/>
  <c r="M65" i="31"/>
  <c r="K65" i="31"/>
  <c r="I65" i="31"/>
  <c r="G65" i="31"/>
  <c r="BE64" i="31"/>
  <c r="BC64" i="31"/>
  <c r="BA64" i="31"/>
  <c r="AY64" i="31"/>
  <c r="AW64" i="31"/>
  <c r="AS64" i="31"/>
  <c r="AQ64" i="31"/>
  <c r="AO64" i="31"/>
  <c r="AM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M64" i="31"/>
  <c r="K64" i="31"/>
  <c r="I64" i="31"/>
  <c r="G64" i="31"/>
  <c r="BE63" i="31"/>
  <c r="BC63" i="31"/>
  <c r="BA63" i="31"/>
  <c r="AY63" i="31"/>
  <c r="AW63" i="31"/>
  <c r="AS63" i="31"/>
  <c r="AQ63" i="31"/>
  <c r="AO63" i="31"/>
  <c r="AM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M63" i="31"/>
  <c r="K63" i="31"/>
  <c r="I63" i="31"/>
  <c r="G63" i="31"/>
  <c r="BE62" i="31"/>
  <c r="BC62" i="31"/>
  <c r="BA62" i="31"/>
  <c r="AY62" i="31"/>
  <c r="AW62" i="31"/>
  <c r="AS62" i="31"/>
  <c r="AQ62" i="31"/>
  <c r="AO62" i="31"/>
  <c r="AM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M62" i="31"/>
  <c r="K62" i="31"/>
  <c r="I62" i="31"/>
  <c r="G62" i="31"/>
  <c r="BE61" i="31"/>
  <c r="BC61" i="31"/>
  <c r="BA61" i="31"/>
  <c r="AY61" i="31"/>
  <c r="AW61" i="31"/>
  <c r="AS61" i="31"/>
  <c r="AQ61" i="31"/>
  <c r="AO61" i="31"/>
  <c r="AM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M61" i="31"/>
  <c r="K61" i="31"/>
  <c r="I61" i="31"/>
  <c r="G61" i="31"/>
  <c r="BE60" i="31"/>
  <c r="BC60" i="31"/>
  <c r="BA60" i="31"/>
  <c r="AY60" i="31"/>
  <c r="AW60" i="31"/>
  <c r="AS60" i="31"/>
  <c r="AQ60" i="31"/>
  <c r="AO60" i="31"/>
  <c r="AM60" i="31"/>
  <c r="AK60" i="31"/>
  <c r="AI60" i="31"/>
  <c r="AG60" i="31"/>
  <c r="AE60" i="31"/>
  <c r="AC60" i="31"/>
  <c r="AA60" i="31"/>
  <c r="Y60" i="31"/>
  <c r="W60" i="31"/>
  <c r="U60" i="31"/>
  <c r="S60" i="31"/>
  <c r="Q60" i="31"/>
  <c r="O60" i="31"/>
  <c r="M60" i="31"/>
  <c r="K60" i="31"/>
  <c r="I60" i="31"/>
  <c r="G60" i="31"/>
  <c r="BE59" i="31"/>
  <c r="BC59" i="31"/>
  <c r="BA59" i="31"/>
  <c r="AY59" i="31"/>
  <c r="AW59" i="31"/>
  <c r="AS59" i="31"/>
  <c r="AQ59" i="31"/>
  <c r="AO59" i="31"/>
  <c r="AM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M59" i="31"/>
  <c r="K59" i="31"/>
  <c r="I59" i="31"/>
  <c r="G59" i="31"/>
  <c r="BE58" i="31"/>
  <c r="BC58" i="31"/>
  <c r="BA58" i="31"/>
  <c r="AY58" i="31"/>
  <c r="AW58" i="31"/>
  <c r="AS58" i="31"/>
  <c r="AQ58" i="31"/>
  <c r="AO58" i="31"/>
  <c r="AM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M58" i="31"/>
  <c r="K58" i="31"/>
  <c r="I58" i="31"/>
  <c r="G58" i="31"/>
  <c r="BE57" i="31"/>
  <c r="BC57" i="31"/>
  <c r="BA57" i="31"/>
  <c r="AY57" i="31"/>
  <c r="AW57" i="31"/>
  <c r="AS57" i="31"/>
  <c r="AQ57" i="31"/>
  <c r="AO57" i="31"/>
  <c r="AM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M57" i="31"/>
  <c r="K57" i="31"/>
  <c r="I57" i="31"/>
  <c r="G57" i="31"/>
  <c r="BE56" i="31"/>
  <c r="BC56" i="31"/>
  <c r="BA56" i="31"/>
  <c r="AY56" i="31"/>
  <c r="AW56" i="31"/>
  <c r="AS56" i="31"/>
  <c r="AQ56" i="31"/>
  <c r="AO56" i="31"/>
  <c r="AM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M56" i="31"/>
  <c r="K56" i="31"/>
  <c r="I56" i="31"/>
  <c r="G56" i="31"/>
  <c r="BE55" i="31"/>
  <c r="BC55" i="31"/>
  <c r="BA55" i="31"/>
  <c r="AY55" i="31"/>
  <c r="AW55" i="31"/>
  <c r="AS55" i="31"/>
  <c r="AQ55" i="31"/>
  <c r="AO55" i="31"/>
  <c r="AM55" i="31"/>
  <c r="AK55" i="31"/>
  <c r="AI55" i="31"/>
  <c r="AG55" i="31"/>
  <c r="AE55" i="31"/>
  <c r="AC55" i="31"/>
  <c r="AA55" i="31"/>
  <c r="Y55" i="31"/>
  <c r="W55" i="31"/>
  <c r="U55" i="31"/>
  <c r="S55" i="31"/>
  <c r="Q55" i="31"/>
  <c r="O55" i="31"/>
  <c r="M55" i="31"/>
  <c r="K55" i="31"/>
  <c r="I55" i="31"/>
  <c r="G55" i="31"/>
  <c r="BE54" i="31"/>
  <c r="BC54" i="31"/>
  <c r="BA54" i="31"/>
  <c r="AY54" i="31"/>
  <c r="AW54" i="31"/>
  <c r="AS54" i="31"/>
  <c r="AQ54" i="31"/>
  <c r="AO54" i="31"/>
  <c r="AM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M54" i="31"/>
  <c r="K54" i="31"/>
  <c r="I54" i="31"/>
  <c r="G54" i="31"/>
  <c r="BE53" i="31"/>
  <c r="BC53" i="31"/>
  <c r="BA53" i="31"/>
  <c r="AY53" i="31"/>
  <c r="AW53" i="31"/>
  <c r="AS53" i="31"/>
  <c r="AQ53" i="31"/>
  <c r="AO53" i="31"/>
  <c r="AM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M53" i="31"/>
  <c r="K53" i="31"/>
  <c r="I53" i="31"/>
  <c r="G53" i="31"/>
  <c r="BE52" i="31"/>
  <c r="BC52" i="31"/>
  <c r="BA52" i="31"/>
  <c r="AY52" i="31"/>
  <c r="AW52" i="31"/>
  <c r="AS52" i="31"/>
  <c r="AQ52" i="31"/>
  <c r="AO52" i="31"/>
  <c r="AM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M52" i="31"/>
  <c r="K52" i="31"/>
  <c r="I52" i="31"/>
  <c r="G52" i="31"/>
  <c r="BE51" i="31"/>
  <c r="BC51" i="31"/>
  <c r="BA51" i="31"/>
  <c r="AY51" i="31"/>
  <c r="AW51" i="31"/>
  <c r="AS51" i="31"/>
  <c r="AQ51" i="31"/>
  <c r="AO51" i="31"/>
  <c r="AM51" i="31"/>
  <c r="AK51" i="31"/>
  <c r="AI51" i="31"/>
  <c r="AG51" i="31"/>
  <c r="AE51" i="31"/>
  <c r="AC51" i="31"/>
  <c r="AA51" i="31"/>
  <c r="Y51" i="31"/>
  <c r="W51" i="31"/>
  <c r="U51" i="31"/>
  <c r="S51" i="31"/>
  <c r="Q51" i="31"/>
  <c r="O51" i="31"/>
  <c r="M51" i="31"/>
  <c r="K51" i="31"/>
  <c r="I51" i="31"/>
  <c r="G51" i="31"/>
  <c r="BE50" i="31"/>
  <c r="BC50" i="31"/>
  <c r="BA50" i="31"/>
  <c r="AY50" i="31"/>
  <c r="AW50" i="31"/>
  <c r="AS50" i="31"/>
  <c r="AQ50" i="31"/>
  <c r="AO50" i="31"/>
  <c r="AM50" i="31"/>
  <c r="AK50" i="31"/>
  <c r="AI50" i="31"/>
  <c r="AG50" i="31"/>
  <c r="AE50" i="31"/>
  <c r="AC50" i="31"/>
  <c r="AA50" i="31"/>
  <c r="Y50" i="31"/>
  <c r="W50" i="31"/>
  <c r="U50" i="31"/>
  <c r="S50" i="31"/>
  <c r="Q50" i="31"/>
  <c r="O50" i="31"/>
  <c r="M50" i="31"/>
  <c r="K50" i="31"/>
  <c r="I50" i="31"/>
  <c r="G50" i="31"/>
  <c r="BE49" i="31"/>
  <c r="BC49" i="31"/>
  <c r="BA49" i="31"/>
  <c r="AY49" i="31"/>
  <c r="AW49" i="31"/>
  <c r="AS49" i="31"/>
  <c r="AQ49" i="31"/>
  <c r="AO49" i="31"/>
  <c r="AM49" i="31"/>
  <c r="AK49" i="31"/>
  <c r="AI49" i="31"/>
  <c r="AG49" i="31"/>
  <c r="AE49" i="31"/>
  <c r="AC49" i="31"/>
  <c r="AA49" i="31"/>
  <c r="Y49" i="31"/>
  <c r="W49" i="31"/>
  <c r="U49" i="31"/>
  <c r="S49" i="31"/>
  <c r="Q49" i="31"/>
  <c r="O49" i="31"/>
  <c r="M49" i="31"/>
  <c r="K49" i="31"/>
  <c r="I49" i="31"/>
  <c r="G49" i="31"/>
  <c r="BE48" i="31"/>
  <c r="BC48" i="31"/>
  <c r="BA48" i="31"/>
  <c r="AY48" i="31"/>
  <c r="AW48" i="31"/>
  <c r="AS48" i="31"/>
  <c r="AQ48" i="31"/>
  <c r="AO48" i="31"/>
  <c r="AM48" i="31"/>
  <c r="AK48" i="31"/>
  <c r="AI48" i="31"/>
  <c r="AG48" i="31"/>
  <c r="AE48" i="31"/>
  <c r="AC48" i="31"/>
  <c r="AA48" i="31"/>
  <c r="Y48" i="31"/>
  <c r="W48" i="31"/>
  <c r="U48" i="31"/>
  <c r="S48" i="31"/>
  <c r="Q48" i="31"/>
  <c r="O48" i="31"/>
  <c r="M48" i="31"/>
  <c r="K48" i="31"/>
  <c r="I48" i="31"/>
  <c r="G48" i="31"/>
  <c r="BE47" i="31"/>
  <c r="BC47" i="31"/>
  <c r="BA47" i="31"/>
  <c r="AY47" i="31"/>
  <c r="AW47" i="31"/>
  <c r="AS47" i="31"/>
  <c r="AQ47" i="31"/>
  <c r="AO47" i="31"/>
  <c r="AM47" i="31"/>
  <c r="AK47" i="31"/>
  <c r="AI47" i="31"/>
  <c r="AG47" i="31"/>
  <c r="AE47" i="31"/>
  <c r="AC47" i="31"/>
  <c r="AA47" i="31"/>
  <c r="Y47" i="31"/>
  <c r="W47" i="31"/>
  <c r="U47" i="31"/>
  <c r="S47" i="31"/>
  <c r="Q47" i="31"/>
  <c r="O47" i="31"/>
  <c r="M47" i="31"/>
  <c r="K47" i="31"/>
  <c r="I47" i="31"/>
  <c r="G47" i="31"/>
  <c r="BE46" i="31"/>
  <c r="BC46" i="31"/>
  <c r="BA46" i="31"/>
  <c r="AY46" i="31"/>
  <c r="AW46" i="31"/>
  <c r="AS46" i="31"/>
  <c r="AQ46" i="31"/>
  <c r="AO46" i="31"/>
  <c r="AM46" i="31"/>
  <c r="AK46" i="31"/>
  <c r="AI46" i="31"/>
  <c r="AG46" i="31"/>
  <c r="AE46" i="31"/>
  <c r="AC46" i="31"/>
  <c r="AA46" i="31"/>
  <c r="Y46" i="31"/>
  <c r="W46" i="31"/>
  <c r="U46" i="31"/>
  <c r="S46" i="31"/>
  <c r="Q46" i="31"/>
  <c r="O46" i="31"/>
  <c r="M46" i="31"/>
  <c r="K46" i="31"/>
  <c r="I46" i="31"/>
  <c r="G46" i="31"/>
  <c r="BE45" i="31"/>
  <c r="BC45" i="31"/>
  <c r="BA45" i="31"/>
  <c r="AY45" i="31"/>
  <c r="AW45" i="31"/>
  <c r="AS45" i="31"/>
  <c r="AQ45" i="31"/>
  <c r="AO45" i="31"/>
  <c r="AM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M45" i="31"/>
  <c r="K45" i="31"/>
  <c r="I45" i="31"/>
  <c r="G45" i="31"/>
  <c r="BE44" i="31"/>
  <c r="BC44" i="31"/>
  <c r="BA44" i="31"/>
  <c r="AY44" i="31"/>
  <c r="AW44" i="31"/>
  <c r="AS44" i="31"/>
  <c r="AQ44" i="31"/>
  <c r="AO44" i="31"/>
  <c r="AM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M44" i="31"/>
  <c r="K44" i="31"/>
  <c r="I44" i="31"/>
  <c r="G44" i="31"/>
  <c r="BE43" i="31"/>
  <c r="BC43" i="31"/>
  <c r="BA43" i="31"/>
  <c r="AY43" i="31"/>
  <c r="AW43" i="31"/>
  <c r="AS43" i="31"/>
  <c r="AQ43" i="31"/>
  <c r="AO43" i="31"/>
  <c r="AM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M43" i="31"/>
  <c r="K43" i="31"/>
  <c r="I43" i="31"/>
  <c r="G43" i="31"/>
  <c r="BE42" i="31"/>
  <c r="BC42" i="31"/>
  <c r="BA42" i="31"/>
  <c r="AY42" i="31"/>
  <c r="AW42" i="31"/>
  <c r="AS42" i="31"/>
  <c r="AQ42" i="31"/>
  <c r="AO42" i="31"/>
  <c r="AM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M42" i="31"/>
  <c r="K42" i="31"/>
  <c r="I42" i="31"/>
  <c r="G42" i="31"/>
  <c r="BE41" i="31"/>
  <c r="BC41" i="31"/>
  <c r="BA41" i="31"/>
  <c r="AY41" i="31"/>
  <c r="AW41" i="31"/>
  <c r="AS41" i="31"/>
  <c r="AQ41" i="31"/>
  <c r="AO41" i="31"/>
  <c r="AM41" i="31"/>
  <c r="AK41" i="31"/>
  <c r="AI41" i="31"/>
  <c r="AG41" i="31"/>
  <c r="AE41" i="31"/>
  <c r="AC41" i="31"/>
  <c r="AA41" i="31"/>
  <c r="Y41" i="31"/>
  <c r="W41" i="31"/>
  <c r="U41" i="31"/>
  <c r="S41" i="31"/>
  <c r="Q41" i="31"/>
  <c r="O41" i="31"/>
  <c r="M41" i="31"/>
  <c r="K41" i="31"/>
  <c r="I41" i="31"/>
  <c r="G41" i="31"/>
  <c r="BE40" i="31"/>
  <c r="BC40" i="31"/>
  <c r="BA40" i="31"/>
  <c r="AY40" i="31"/>
  <c r="AW40" i="31"/>
  <c r="AS40" i="31"/>
  <c r="AQ40" i="31"/>
  <c r="AO40" i="31"/>
  <c r="AM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M40" i="31"/>
  <c r="K40" i="31"/>
  <c r="I40" i="31"/>
  <c r="G40" i="31"/>
  <c r="BE39" i="31"/>
  <c r="BC39" i="31"/>
  <c r="BA39" i="31"/>
  <c r="AY39" i="31"/>
  <c r="AW39" i="31"/>
  <c r="AS39" i="31"/>
  <c r="AQ39" i="31"/>
  <c r="AO39" i="31"/>
  <c r="AM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M39" i="31"/>
  <c r="K39" i="31"/>
  <c r="I39" i="31"/>
  <c r="G39" i="31"/>
  <c r="BE38" i="31"/>
  <c r="BC38" i="31"/>
  <c r="BA38" i="31"/>
  <c r="AY38" i="31"/>
  <c r="AW38" i="31"/>
  <c r="AS38" i="31"/>
  <c r="AQ38" i="31"/>
  <c r="AO38" i="31"/>
  <c r="AM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M38" i="31"/>
  <c r="K38" i="31"/>
  <c r="I38" i="31"/>
  <c r="G38" i="31"/>
  <c r="BE37" i="31"/>
  <c r="BC37" i="31"/>
  <c r="BA37" i="31"/>
  <c r="AY37" i="31"/>
  <c r="AW37" i="31"/>
  <c r="AS37" i="31"/>
  <c r="AQ37" i="31"/>
  <c r="AO37" i="31"/>
  <c r="AM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M37" i="31"/>
  <c r="K37" i="31"/>
  <c r="I37" i="31"/>
  <c r="G37" i="31"/>
  <c r="BE36" i="31"/>
  <c r="BC36" i="31"/>
  <c r="BA36" i="31"/>
  <c r="AY36" i="31"/>
  <c r="AW36" i="31"/>
  <c r="AS36" i="31"/>
  <c r="AQ36" i="31"/>
  <c r="AO36" i="31"/>
  <c r="AM36" i="31"/>
  <c r="AK36" i="31"/>
  <c r="AI36" i="31"/>
  <c r="AG36" i="31"/>
  <c r="AE36" i="31"/>
  <c r="AC36" i="31"/>
  <c r="AA36" i="31"/>
  <c r="Y36" i="31"/>
  <c r="W36" i="31"/>
  <c r="U36" i="31"/>
  <c r="S36" i="31"/>
  <c r="Q36" i="31"/>
  <c r="O36" i="31"/>
  <c r="M36" i="31"/>
  <c r="K36" i="31"/>
  <c r="I36" i="31"/>
  <c r="G36" i="31"/>
  <c r="BE35" i="31"/>
  <c r="BC35" i="31"/>
  <c r="BA35" i="31"/>
  <c r="AY35" i="31"/>
  <c r="AW35" i="31"/>
  <c r="AS35" i="31"/>
  <c r="AQ35" i="31"/>
  <c r="AO35" i="31"/>
  <c r="AM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M35" i="31"/>
  <c r="K35" i="31"/>
  <c r="I35" i="31"/>
  <c r="G35" i="31"/>
  <c r="BE34" i="31"/>
  <c r="BC34" i="31"/>
  <c r="BA34" i="31"/>
  <c r="AY34" i="31"/>
  <c r="AW34" i="31"/>
  <c r="AS34" i="31"/>
  <c r="AQ34" i="31"/>
  <c r="AO34" i="31"/>
  <c r="AM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M34" i="31"/>
  <c r="K34" i="31"/>
  <c r="I34" i="31"/>
  <c r="G34" i="31"/>
  <c r="BE33" i="31"/>
  <c r="BC33" i="31"/>
  <c r="BA33" i="31"/>
  <c r="AY33" i="31"/>
  <c r="AW33" i="31"/>
  <c r="AS33" i="31"/>
  <c r="AQ33" i="31"/>
  <c r="AO33" i="31"/>
  <c r="AM33" i="31"/>
  <c r="AK33" i="31"/>
  <c r="AI33" i="31"/>
  <c r="AG33" i="31"/>
  <c r="AE33" i="31"/>
  <c r="AC33" i="31"/>
  <c r="AA33" i="31"/>
  <c r="Y33" i="31"/>
  <c r="W33" i="31"/>
  <c r="U33" i="31"/>
  <c r="S33" i="31"/>
  <c r="Q33" i="31"/>
  <c r="O33" i="31"/>
  <c r="M33" i="31"/>
  <c r="K33" i="31"/>
  <c r="I33" i="31"/>
  <c r="G33" i="31"/>
  <c r="BE32" i="31"/>
  <c r="BC32" i="31"/>
  <c r="BA32" i="31"/>
  <c r="AY32" i="31"/>
  <c r="AW32" i="31"/>
  <c r="AS32" i="31"/>
  <c r="AQ32" i="31"/>
  <c r="AO32" i="31"/>
  <c r="AM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M32" i="31"/>
  <c r="K32" i="31"/>
  <c r="I32" i="31"/>
  <c r="G32" i="31"/>
  <c r="BE31" i="31"/>
  <c r="BC31" i="31"/>
  <c r="BA31" i="31"/>
  <c r="AY31" i="31"/>
  <c r="AW31" i="31"/>
  <c r="AS31" i="31"/>
  <c r="AQ31" i="31"/>
  <c r="AO31" i="31"/>
  <c r="AM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M31" i="31"/>
  <c r="K31" i="31"/>
  <c r="I31" i="31"/>
  <c r="G31" i="31"/>
  <c r="BE30" i="31"/>
  <c r="BC30" i="31"/>
  <c r="BA30" i="31"/>
  <c r="AY30" i="31"/>
  <c r="AW30" i="31"/>
  <c r="AS30" i="31"/>
  <c r="AQ30" i="31"/>
  <c r="AO30" i="31"/>
  <c r="AM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M30" i="31"/>
  <c r="K30" i="31"/>
  <c r="I30" i="31"/>
  <c r="G30" i="31"/>
  <c r="BE29" i="31"/>
  <c r="BC29" i="31"/>
  <c r="BA29" i="31"/>
  <c r="AY29" i="31"/>
  <c r="AW29" i="31"/>
  <c r="AS29" i="31"/>
  <c r="AQ29" i="31"/>
  <c r="AO29" i="31"/>
  <c r="AM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M29" i="31"/>
  <c r="K29" i="31"/>
  <c r="I29" i="31"/>
  <c r="G29" i="31"/>
  <c r="BE28" i="31"/>
  <c r="BC28" i="31"/>
  <c r="BA28" i="31"/>
  <c r="AY28" i="31"/>
  <c r="AW28" i="31"/>
  <c r="AS28" i="31"/>
  <c r="AQ28" i="31"/>
  <c r="AO28" i="31"/>
  <c r="AM28" i="31"/>
  <c r="AK28" i="31"/>
  <c r="AI28" i="31"/>
  <c r="AG28" i="31"/>
  <c r="AE28" i="31"/>
  <c r="AC28" i="31"/>
  <c r="AA28" i="31"/>
  <c r="Y28" i="31"/>
  <c r="W28" i="31"/>
  <c r="U28" i="31"/>
  <c r="S28" i="31"/>
  <c r="Q28" i="31"/>
  <c r="O28" i="31"/>
  <c r="M28" i="31"/>
  <c r="K28" i="31"/>
  <c r="I28" i="31"/>
  <c r="G28" i="31"/>
  <c r="BE27" i="31"/>
  <c r="BC27" i="31"/>
  <c r="BA27" i="31"/>
  <c r="AY27" i="31"/>
  <c r="AW27" i="31"/>
  <c r="AS27" i="31"/>
  <c r="AQ27" i="31"/>
  <c r="AO27" i="31"/>
  <c r="AM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M27" i="31"/>
  <c r="K27" i="31"/>
  <c r="I27" i="31"/>
  <c r="G27" i="31"/>
  <c r="BE26" i="31"/>
  <c r="BC26" i="31"/>
  <c r="BA26" i="31"/>
  <c r="AY26" i="31"/>
  <c r="AW26" i="31"/>
  <c r="AS26" i="31"/>
  <c r="AQ26" i="31"/>
  <c r="AO26" i="31"/>
  <c r="AM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M26" i="31"/>
  <c r="K26" i="31"/>
  <c r="I26" i="31"/>
  <c r="G26" i="31"/>
  <c r="BE25" i="31"/>
  <c r="BC25" i="31"/>
  <c r="BA25" i="31"/>
  <c r="AY25" i="31"/>
  <c r="AW25" i="31"/>
  <c r="AS25" i="31"/>
  <c r="AQ25" i="31"/>
  <c r="AO25" i="31"/>
  <c r="AM25" i="31"/>
  <c r="AK25" i="31"/>
  <c r="AI25" i="31"/>
  <c r="AG25" i="31"/>
  <c r="AE25" i="31"/>
  <c r="AC25" i="31"/>
  <c r="AA25" i="31"/>
  <c r="Y25" i="31"/>
  <c r="W25" i="31"/>
  <c r="U25" i="31"/>
  <c r="S25" i="31"/>
  <c r="Q25" i="31"/>
  <c r="O25" i="31"/>
  <c r="M25" i="31"/>
  <c r="K25" i="31"/>
  <c r="I25" i="31"/>
  <c r="G25" i="31"/>
  <c r="BE24" i="31"/>
  <c r="BC24" i="31"/>
  <c r="BA24" i="31"/>
  <c r="AY24" i="31"/>
  <c r="AW24" i="31"/>
  <c r="AS24" i="31"/>
  <c r="AQ24" i="31"/>
  <c r="AO24" i="31"/>
  <c r="AM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M24" i="31"/>
  <c r="K24" i="31"/>
  <c r="I24" i="31"/>
  <c r="G24" i="31"/>
  <c r="BE23" i="31"/>
  <c r="BC23" i="31"/>
  <c r="BA23" i="31"/>
  <c r="AY23" i="31"/>
  <c r="AW23" i="31"/>
  <c r="AS23" i="31"/>
  <c r="AQ23" i="31"/>
  <c r="AO23" i="31"/>
  <c r="AM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M23" i="31"/>
  <c r="K23" i="31"/>
  <c r="I23" i="31"/>
  <c r="G23" i="31"/>
  <c r="AZ38" i="31"/>
  <c r="AZ31" i="31"/>
  <c r="AZ67" i="31"/>
  <c r="AZ33" i="31"/>
  <c r="AZ57" i="31"/>
  <c r="AZ81" i="31"/>
  <c r="AZ105" i="31"/>
  <c r="AZ25" i="31"/>
  <c r="AZ37" i="31"/>
  <c r="AZ49" i="31"/>
  <c r="AZ61" i="31"/>
  <c r="AZ73" i="31"/>
  <c r="AZ85" i="31"/>
  <c r="AZ97" i="31"/>
  <c r="AZ86" i="31"/>
  <c r="AZ75" i="31"/>
  <c r="AZ26" i="31"/>
  <c r="AZ98" i="31"/>
  <c r="AZ27" i="31"/>
  <c r="AZ39" i="31"/>
  <c r="AZ51" i="31"/>
  <c r="AZ63" i="31"/>
  <c r="AZ87" i="31"/>
  <c r="AZ99" i="31"/>
  <c r="AZ28" i="31"/>
  <c r="AZ40" i="31"/>
  <c r="AZ52" i="31"/>
  <c r="AZ64" i="31"/>
  <c r="AZ76" i="31"/>
  <c r="AZ88" i="31"/>
  <c r="AZ100" i="31"/>
  <c r="AZ50" i="31"/>
  <c r="AZ29" i="31"/>
  <c r="AZ41" i="31"/>
  <c r="AZ53" i="31"/>
  <c r="AZ65" i="31"/>
  <c r="AZ77" i="31"/>
  <c r="AZ89" i="31"/>
  <c r="AZ101" i="31"/>
  <c r="AZ30" i="31"/>
  <c r="AZ42" i="31"/>
  <c r="AZ54" i="31"/>
  <c r="AZ66" i="31"/>
  <c r="AZ78" i="31"/>
  <c r="AZ90" i="31"/>
  <c r="AZ102" i="31"/>
  <c r="AZ103" i="31"/>
  <c r="AZ62" i="31"/>
  <c r="AZ55" i="31"/>
  <c r="AZ91" i="31"/>
  <c r="AZ32" i="31"/>
  <c r="AZ44" i="31"/>
  <c r="AZ56" i="31"/>
  <c r="AZ68" i="31"/>
  <c r="AZ80" i="31"/>
  <c r="AZ92" i="31"/>
  <c r="AZ104" i="31"/>
  <c r="AZ34" i="31"/>
  <c r="AZ46" i="31"/>
  <c r="AZ58" i="31"/>
  <c r="AZ70" i="31"/>
  <c r="AZ82" i="31"/>
  <c r="AZ94" i="31"/>
  <c r="AZ106" i="31"/>
  <c r="AZ23" i="31"/>
  <c r="AZ35" i="31"/>
  <c r="AZ47" i="31"/>
  <c r="AZ59" i="31"/>
  <c r="AZ71" i="31"/>
  <c r="AZ83" i="31"/>
  <c r="AZ95" i="31"/>
  <c r="AZ74" i="31"/>
  <c r="AZ43" i="31"/>
  <c r="AZ79" i="31"/>
  <c r="AZ45" i="31"/>
  <c r="AZ69" i="31"/>
  <c r="AZ93" i="31"/>
  <c r="AZ24" i="31"/>
  <c r="AZ36" i="31"/>
  <c r="AZ48" i="31"/>
  <c r="AZ60" i="31"/>
  <c r="AZ72" i="31"/>
  <c r="AZ84" i="31"/>
  <c r="AZ96" i="31"/>
  <c r="AZ108" i="31"/>
  <c r="BB25" i="31"/>
  <c r="Z42" i="31"/>
  <c r="H33" i="31"/>
  <c r="N30" i="31"/>
  <c r="AB35" i="31"/>
  <c r="L23" i="31"/>
  <c r="J75" i="31"/>
  <c r="AF35" i="31"/>
  <c r="AP23" i="31"/>
  <c r="J94" i="31"/>
  <c r="AV36" i="31"/>
  <c r="AR23" i="31"/>
  <c r="H55" i="31"/>
  <c r="J97" i="31"/>
  <c r="N53" i="31"/>
  <c r="AL28" i="31"/>
  <c r="AX36" i="31"/>
  <c r="AH52" i="31"/>
  <c r="J23" i="31"/>
  <c r="J74" i="31"/>
  <c r="H36" i="31"/>
  <c r="N32" i="31"/>
  <c r="T44" i="31"/>
  <c r="H53" i="31"/>
  <c r="N52" i="31"/>
  <c r="AH28" i="31"/>
  <c r="AX46" i="31"/>
  <c r="F35" i="31"/>
  <c r="H74" i="31"/>
  <c r="L31" i="31"/>
  <c r="N72" i="31"/>
  <c r="BB29" i="31"/>
  <c r="P38" i="31"/>
  <c r="X53" i="31"/>
  <c r="H96" i="31"/>
  <c r="J54" i="31"/>
  <c r="BD29" i="31"/>
  <c r="L52" i="31"/>
  <c r="N92" i="31"/>
  <c r="AF39" i="31"/>
  <c r="AT70" i="31"/>
  <c r="F56" i="31"/>
  <c r="H97" i="31"/>
  <c r="L53" i="31"/>
  <c r="N94" i="31"/>
  <c r="AB31" i="31"/>
  <c r="AP39" i="31"/>
  <c r="R89" i="31"/>
  <c r="H75" i="31"/>
  <c r="N75" i="31"/>
  <c r="AN61" i="31"/>
  <c r="F74" i="31"/>
  <c r="L74" i="31"/>
  <c r="AX40" i="31"/>
  <c r="F76" i="31"/>
  <c r="AV32" i="31"/>
  <c r="F97" i="31"/>
  <c r="F36" i="31"/>
  <c r="L33" i="31"/>
  <c r="V38" i="31"/>
  <c r="F54" i="31"/>
  <c r="AH24" i="31"/>
  <c r="AL32" i="31"/>
  <c r="L75" i="31"/>
  <c r="AL24" i="31"/>
  <c r="F96" i="31"/>
  <c r="J52" i="31"/>
  <c r="L93" i="31"/>
  <c r="AR25" i="31"/>
  <c r="BD33" i="31"/>
  <c r="V42" i="31"/>
  <c r="L95" i="31"/>
  <c r="P34" i="31"/>
  <c r="AV108" i="31"/>
  <c r="L108" i="31"/>
  <c r="F80" i="31"/>
  <c r="J58" i="31"/>
  <c r="N36" i="31"/>
  <c r="P26" i="31"/>
  <c r="AR35" i="31"/>
  <c r="AL44" i="31"/>
  <c r="N108" i="31"/>
  <c r="T23" i="31"/>
  <c r="AV23" i="31"/>
  <c r="F40" i="31"/>
  <c r="F61" i="31"/>
  <c r="F83" i="31"/>
  <c r="F102" i="31"/>
  <c r="H39" i="31"/>
  <c r="H61" i="31"/>
  <c r="H81" i="31"/>
  <c r="H101" i="31"/>
  <c r="J39" i="31"/>
  <c r="J61" i="31"/>
  <c r="J80" i="31"/>
  <c r="J100" i="31"/>
  <c r="L39" i="31"/>
  <c r="L59" i="31"/>
  <c r="L79" i="31"/>
  <c r="L100" i="31"/>
  <c r="N39" i="31"/>
  <c r="N58" i="31"/>
  <c r="N78" i="31"/>
  <c r="N101" i="31"/>
  <c r="Z30" i="31"/>
  <c r="AR31" i="31"/>
  <c r="P33" i="31"/>
  <c r="AJ34" i="31"/>
  <c r="AT35" i="31"/>
  <c r="T37" i="31"/>
  <c r="AL38" i="31"/>
  <c r="AD41" i="31"/>
  <c r="AP42" i="31"/>
  <c r="AJ55" i="31"/>
  <c r="AP64" i="31"/>
  <c r="R74" i="31"/>
  <c r="F38" i="31"/>
  <c r="J38" i="31"/>
  <c r="L99" i="31"/>
  <c r="AT54" i="31"/>
  <c r="V23" i="31"/>
  <c r="BD23" i="31"/>
  <c r="F42" i="31"/>
  <c r="F62" i="31"/>
  <c r="F84" i="31"/>
  <c r="F104" i="31"/>
  <c r="H41" i="31"/>
  <c r="H62" i="31"/>
  <c r="H84" i="31"/>
  <c r="H103" i="31"/>
  <c r="J40" i="31"/>
  <c r="J62" i="31"/>
  <c r="J82" i="31"/>
  <c r="J102" i="31"/>
  <c r="L40" i="31"/>
  <c r="L62" i="31"/>
  <c r="L81" i="31"/>
  <c r="L101" i="31"/>
  <c r="N40" i="31"/>
  <c r="N60" i="31"/>
  <c r="N80" i="31"/>
  <c r="N102" i="31"/>
  <c r="Z26" i="31"/>
  <c r="P29" i="31"/>
  <c r="AJ30" i="31"/>
  <c r="AT31" i="31"/>
  <c r="T33" i="31"/>
  <c r="AL34" i="31"/>
  <c r="AD37" i="31"/>
  <c r="AN38" i="31"/>
  <c r="BD39" i="31"/>
  <c r="AF41" i="31"/>
  <c r="AV42" i="31"/>
  <c r="Z45" i="31"/>
  <c r="AD48" i="31"/>
  <c r="AB56" i="31"/>
  <c r="AH65" i="31"/>
  <c r="X75" i="31"/>
  <c r="P108" i="31"/>
  <c r="AN108" i="31"/>
  <c r="AX91" i="31"/>
  <c r="F100" i="31"/>
  <c r="J78" i="31"/>
  <c r="N56" i="31"/>
  <c r="AX28" i="31"/>
  <c r="AJ38" i="31"/>
  <c r="AP47" i="31"/>
  <c r="X23" i="31"/>
  <c r="F44" i="31"/>
  <c r="F64" i="31"/>
  <c r="F85" i="31"/>
  <c r="H43" i="31"/>
  <c r="H63" i="31"/>
  <c r="H85" i="31"/>
  <c r="H105" i="31"/>
  <c r="J42" i="31"/>
  <c r="J63" i="31"/>
  <c r="J85" i="31"/>
  <c r="J104" i="31"/>
  <c r="L41" i="31"/>
  <c r="L63" i="31"/>
  <c r="L83" i="31"/>
  <c r="L103" i="31"/>
  <c r="N41" i="31"/>
  <c r="N63" i="31"/>
  <c r="N82" i="31"/>
  <c r="N104" i="31"/>
  <c r="P25" i="31"/>
  <c r="AJ26" i="31"/>
  <c r="AT27" i="31"/>
  <c r="T29" i="31"/>
  <c r="AL30" i="31"/>
  <c r="AD33" i="31"/>
  <c r="AN34" i="31"/>
  <c r="BD35" i="31"/>
  <c r="AF37" i="31"/>
  <c r="AT38" i="31"/>
  <c r="X40" i="31"/>
  <c r="AH41" i="31"/>
  <c r="AD45" i="31"/>
  <c r="AF48" i="31"/>
  <c r="P57" i="31"/>
  <c r="V66" i="31"/>
  <c r="AD76" i="31"/>
  <c r="V47" i="31"/>
  <c r="AJ108" i="31"/>
  <c r="R23" i="31"/>
  <c r="H60" i="31"/>
  <c r="L38" i="31"/>
  <c r="N100" i="31"/>
  <c r="AP31" i="31"/>
  <c r="AT39" i="31"/>
  <c r="Z23" i="31"/>
  <c r="F66" i="31"/>
  <c r="F86" i="31"/>
  <c r="H25" i="31"/>
  <c r="H45" i="31"/>
  <c r="H65" i="31"/>
  <c r="H86" i="31"/>
  <c r="J25" i="31"/>
  <c r="J44" i="31"/>
  <c r="J64" i="31"/>
  <c r="J86" i="31"/>
  <c r="J106" i="31"/>
  <c r="L43" i="31"/>
  <c r="L64" i="31"/>
  <c r="L86" i="31"/>
  <c r="L105" i="31"/>
  <c r="N42" i="31"/>
  <c r="N64" i="31"/>
  <c r="N84" i="31"/>
  <c r="N106" i="31"/>
  <c r="T25" i="31"/>
  <c r="AL26" i="31"/>
  <c r="AD29" i="31"/>
  <c r="AN30" i="31"/>
  <c r="BD31" i="31"/>
  <c r="AF33" i="31"/>
  <c r="AT34" i="31"/>
  <c r="X36" i="31"/>
  <c r="AH37" i="31"/>
  <c r="AX38" i="31"/>
  <c r="Z40" i="31"/>
  <c r="AN41" i="31"/>
  <c r="V43" i="31"/>
  <c r="AN45" i="31"/>
  <c r="AP48" i="31"/>
  <c r="AV57" i="31"/>
  <c r="BB66" i="31"/>
  <c r="AR77" i="31"/>
  <c r="AD62" i="31"/>
  <c r="AT23" i="31"/>
  <c r="H79" i="31"/>
  <c r="L57" i="31"/>
  <c r="AX24" i="31"/>
  <c r="T41" i="31"/>
  <c r="T73" i="31"/>
  <c r="AL108" i="31"/>
  <c r="F47" i="31"/>
  <c r="AF23" i="31"/>
  <c r="F48" i="31"/>
  <c r="F68" i="31"/>
  <c r="F88" i="31"/>
  <c r="H48" i="31"/>
  <c r="H67" i="31"/>
  <c r="H87" i="31"/>
  <c r="J46" i="31"/>
  <c r="J66" i="31"/>
  <c r="J87" i="31"/>
  <c r="L26" i="31"/>
  <c r="L45" i="31"/>
  <c r="L65" i="31"/>
  <c r="L87" i="31"/>
  <c r="N24" i="31"/>
  <c r="N44" i="31"/>
  <c r="N65" i="31"/>
  <c r="N87" i="31"/>
  <c r="AD25" i="31"/>
  <c r="AN26" i="31"/>
  <c r="BD27" i="31"/>
  <c r="AF29" i="31"/>
  <c r="AT30" i="31"/>
  <c r="AH33" i="31"/>
  <c r="AX34" i="31"/>
  <c r="Z36" i="31"/>
  <c r="AN37" i="31"/>
  <c r="R39" i="31"/>
  <c r="AB40" i="31"/>
  <c r="AR41" i="31"/>
  <c r="X43" i="31"/>
  <c r="R46" i="31"/>
  <c r="AH49" i="31"/>
  <c r="AN58" i="31"/>
  <c r="AT67" i="31"/>
  <c r="AV79" i="31"/>
  <c r="BD108" i="31"/>
  <c r="F60" i="31"/>
  <c r="H99" i="31"/>
  <c r="J99" i="31"/>
  <c r="N77" i="31"/>
  <c r="AF27" i="31"/>
  <c r="P37" i="31"/>
  <c r="AN42" i="31"/>
  <c r="X106" i="31"/>
  <c r="F25" i="31"/>
  <c r="AH23" i="31"/>
  <c r="F49" i="31"/>
  <c r="F71" i="31"/>
  <c r="F90" i="31"/>
  <c r="H49" i="31"/>
  <c r="H69" i="31"/>
  <c r="H89" i="31"/>
  <c r="J49" i="31"/>
  <c r="J68" i="31"/>
  <c r="J88" i="31"/>
  <c r="L27" i="31"/>
  <c r="L47" i="31"/>
  <c r="L67" i="31"/>
  <c r="L88" i="31"/>
  <c r="N27" i="31"/>
  <c r="N46" i="31"/>
  <c r="N66" i="31"/>
  <c r="N88" i="31"/>
  <c r="AF25" i="31"/>
  <c r="AT26" i="31"/>
  <c r="AH29" i="31"/>
  <c r="AX30" i="31"/>
  <c r="AN33" i="31"/>
  <c r="R35" i="31"/>
  <c r="AB36" i="31"/>
  <c r="AR37" i="31"/>
  <c r="T39" i="31"/>
  <c r="AH40" i="31"/>
  <c r="BB41" i="31"/>
  <c r="Z43" i="31"/>
  <c r="T46" i="31"/>
  <c r="V50" i="31"/>
  <c r="AB59" i="31"/>
  <c r="AH68" i="31"/>
  <c r="R82" i="31"/>
  <c r="AF108" i="31"/>
  <c r="AJ23" i="31"/>
  <c r="F50" i="31"/>
  <c r="F72" i="31"/>
  <c r="F92" i="31"/>
  <c r="H29" i="31"/>
  <c r="H50" i="31"/>
  <c r="H72" i="31"/>
  <c r="H91" i="31"/>
  <c r="J50" i="31"/>
  <c r="J70" i="31"/>
  <c r="J90" i="31"/>
  <c r="L28" i="31"/>
  <c r="L50" i="31"/>
  <c r="L69" i="31"/>
  <c r="L89" i="31"/>
  <c r="N28" i="31"/>
  <c r="N48" i="31"/>
  <c r="N68" i="31"/>
  <c r="N89" i="31"/>
  <c r="AH25" i="31"/>
  <c r="AX26" i="31"/>
  <c r="AN29" i="31"/>
  <c r="R31" i="31"/>
  <c r="AR33" i="31"/>
  <c r="T35" i="31"/>
  <c r="AH36" i="31"/>
  <c r="BB37" i="31"/>
  <c r="V39" i="31"/>
  <c r="AL40" i="31"/>
  <c r="BD41" i="31"/>
  <c r="AF43" i="31"/>
  <c r="AD46" i="31"/>
  <c r="BB50" i="31"/>
  <c r="R60" i="31"/>
  <c r="X69" i="31"/>
  <c r="AD84" i="31"/>
  <c r="AJ71" i="31"/>
  <c r="H38" i="31"/>
  <c r="L77" i="31"/>
  <c r="Z34" i="31"/>
  <c r="H23" i="31"/>
  <c r="AL23" i="31"/>
  <c r="F52" i="31"/>
  <c r="F73" i="31"/>
  <c r="F95" i="31"/>
  <c r="H51" i="31"/>
  <c r="H73" i="31"/>
  <c r="H93" i="31"/>
  <c r="J51" i="31"/>
  <c r="J73" i="31"/>
  <c r="J92" i="31"/>
  <c r="L29" i="31"/>
  <c r="L51" i="31"/>
  <c r="L71" i="31"/>
  <c r="L91" i="31"/>
  <c r="N29" i="31"/>
  <c r="N51" i="31"/>
  <c r="N70" i="31"/>
  <c r="N90" i="31"/>
  <c r="AN25" i="31"/>
  <c r="AR29" i="31"/>
  <c r="T31" i="31"/>
  <c r="AH32" i="31"/>
  <c r="BB33" i="31"/>
  <c r="V35" i="31"/>
  <c r="AL36" i="31"/>
  <c r="BD37" i="31"/>
  <c r="AB39" i="31"/>
  <c r="AV40" i="31"/>
  <c r="P42" i="31"/>
  <c r="AX43" i="31"/>
  <c r="AV46" i="31"/>
  <c r="AT51" i="31"/>
  <c r="P70" i="31"/>
  <c r="AP86" i="31"/>
  <c r="AH108" i="31"/>
  <c r="AT108" i="31"/>
  <c r="N23" i="31"/>
  <c r="F37" i="31"/>
  <c r="F59" i="31"/>
  <c r="F78" i="31"/>
  <c r="F98" i="31"/>
  <c r="H37" i="31"/>
  <c r="H57" i="31"/>
  <c r="H77" i="31"/>
  <c r="H98" i="31"/>
  <c r="J37" i="31"/>
  <c r="J56" i="31"/>
  <c r="J76" i="31"/>
  <c r="J98" i="31"/>
  <c r="L35" i="31"/>
  <c r="L55" i="31"/>
  <c r="L76" i="31"/>
  <c r="L98" i="31"/>
  <c r="N34" i="31"/>
  <c r="N54" i="31"/>
  <c r="N76" i="31"/>
  <c r="N99" i="31"/>
  <c r="AV24" i="31"/>
  <c r="BD25" i="31"/>
  <c r="AB27" i="31"/>
  <c r="AV28" i="31"/>
  <c r="P30" i="31"/>
  <c r="AF31" i="31"/>
  <c r="AX32" i="31"/>
  <c r="V34" i="31"/>
  <c r="AP35" i="31"/>
  <c r="Z38" i="31"/>
  <c r="AR39" i="31"/>
  <c r="P41" i="31"/>
  <c r="AL42" i="31"/>
  <c r="AJ44" i="31"/>
  <c r="AL47" i="31"/>
  <c r="P54" i="31"/>
  <c r="V63" i="31"/>
  <c r="AB72" i="31"/>
  <c r="AR96" i="31"/>
  <c r="AX108" i="31"/>
  <c r="F29" i="31"/>
  <c r="F41" i="31"/>
  <c r="F53" i="31"/>
  <c r="F65" i="31"/>
  <c r="F77" i="31"/>
  <c r="F89" i="31"/>
  <c r="F101" i="31"/>
  <c r="H42" i="31"/>
  <c r="H54" i="31"/>
  <c r="H66" i="31"/>
  <c r="H78" i="31"/>
  <c r="H90" i="31"/>
  <c r="H102" i="31"/>
  <c r="J43" i="31"/>
  <c r="J55" i="31"/>
  <c r="J67" i="31"/>
  <c r="J79" i="31"/>
  <c r="J91" i="31"/>
  <c r="J103" i="31"/>
  <c r="L32" i="31"/>
  <c r="L44" i="31"/>
  <c r="L56" i="31"/>
  <c r="L68" i="31"/>
  <c r="L80" i="31"/>
  <c r="L92" i="31"/>
  <c r="L104" i="31"/>
  <c r="N33" i="31"/>
  <c r="N45" i="31"/>
  <c r="N57" i="31"/>
  <c r="N69" i="31"/>
  <c r="N81" i="31"/>
  <c r="N93" i="31"/>
  <c r="N105" i="31"/>
  <c r="AJ24" i="31"/>
  <c r="R25" i="31"/>
  <c r="AP25" i="31"/>
  <c r="AV26" i="31"/>
  <c r="AD27" i="31"/>
  <c r="BB27" i="31"/>
  <c r="AJ28" i="31"/>
  <c r="R29" i="31"/>
  <c r="AP29" i="31"/>
  <c r="AV30" i="31"/>
  <c r="AD31" i="31"/>
  <c r="BB31" i="31"/>
  <c r="AJ32" i="31"/>
  <c r="R33" i="31"/>
  <c r="AP33" i="31"/>
  <c r="AV34" i="31"/>
  <c r="AD35" i="31"/>
  <c r="BB35" i="31"/>
  <c r="AJ36" i="31"/>
  <c r="R37" i="31"/>
  <c r="AP37" i="31"/>
  <c r="X38" i="31"/>
  <c r="AV38" i="31"/>
  <c r="AD39" i="31"/>
  <c r="BB39" i="31"/>
  <c r="AJ40" i="31"/>
  <c r="R41" i="31"/>
  <c r="AP41" i="31"/>
  <c r="X42" i="31"/>
  <c r="AX42" i="31"/>
  <c r="AJ43" i="31"/>
  <c r="X44" i="31"/>
  <c r="BB44" i="31"/>
  <c r="AP45" i="31"/>
  <c r="AF46" i="31"/>
  <c r="X47" i="31"/>
  <c r="BB47" i="31"/>
  <c r="AR48" i="31"/>
  <c r="AJ49" i="31"/>
  <c r="X50" i="31"/>
  <c r="BD50" i="31"/>
  <c r="AV51" i="31"/>
  <c r="AJ52" i="31"/>
  <c r="Z53" i="31"/>
  <c r="R54" i="31"/>
  <c r="AV54" i="31"/>
  <c r="AL55" i="31"/>
  <c r="AD56" i="31"/>
  <c r="R57" i="31"/>
  <c r="AX57" i="31"/>
  <c r="AP58" i="31"/>
  <c r="AD59" i="31"/>
  <c r="T60" i="31"/>
  <c r="BB60" i="31"/>
  <c r="AP61" i="31"/>
  <c r="AF62" i="31"/>
  <c r="X63" i="31"/>
  <c r="BB63" i="31"/>
  <c r="AR64" i="31"/>
  <c r="AJ65" i="31"/>
  <c r="X66" i="31"/>
  <c r="BD66" i="31"/>
  <c r="AV67" i="31"/>
  <c r="AJ68" i="31"/>
  <c r="Z69" i="31"/>
  <c r="R70" i="31"/>
  <c r="AV70" i="31"/>
  <c r="AL71" i="31"/>
  <c r="AD72" i="31"/>
  <c r="X73" i="31"/>
  <c r="V74" i="31"/>
  <c r="AB75" i="31"/>
  <c r="AH76" i="31"/>
  <c r="AX77" i="31"/>
  <c r="BD79" i="31"/>
  <c r="Z82" i="31"/>
  <c r="AL84" i="31"/>
  <c r="AX86" i="31"/>
  <c r="Z89" i="31"/>
  <c r="T92" i="31"/>
  <c r="AH97" i="31"/>
  <c r="AL43" i="31"/>
  <c r="Z44" i="31"/>
  <c r="BD44" i="31"/>
  <c r="AR45" i="31"/>
  <c r="AJ46" i="31"/>
  <c r="Z47" i="31"/>
  <c r="BD47" i="31"/>
  <c r="AV48" i="31"/>
  <c r="AL49" i="31"/>
  <c r="Z50" i="31"/>
  <c r="R51" i="31"/>
  <c r="AX51" i="31"/>
  <c r="AL52" i="31"/>
  <c r="AD53" i="31"/>
  <c r="T54" i="31"/>
  <c r="AX54" i="31"/>
  <c r="AP55" i="31"/>
  <c r="AF56" i="31"/>
  <c r="T57" i="31"/>
  <c r="BB57" i="31"/>
  <c r="AR58" i="31"/>
  <c r="AF59" i="31"/>
  <c r="X60" i="31"/>
  <c r="BD60" i="31"/>
  <c r="AR61" i="31"/>
  <c r="AJ62" i="31"/>
  <c r="Z63" i="31"/>
  <c r="BD63" i="31"/>
  <c r="AV64" i="31"/>
  <c r="AL65" i="31"/>
  <c r="Z66" i="31"/>
  <c r="R67" i="31"/>
  <c r="AX67" i="31"/>
  <c r="AL68" i="31"/>
  <c r="AD69" i="31"/>
  <c r="T70" i="31"/>
  <c r="AX70" i="31"/>
  <c r="AP71" i="31"/>
  <c r="AH72" i="31"/>
  <c r="Z73" i="31"/>
  <c r="Z74" i="31"/>
  <c r="AF75" i="31"/>
  <c r="AL76" i="31"/>
  <c r="P78" i="31"/>
  <c r="AB80" i="31"/>
  <c r="AN82" i="31"/>
  <c r="V87" i="31"/>
  <c r="AP89" i="31"/>
  <c r="AJ92" i="31"/>
  <c r="V98" i="31"/>
  <c r="E47" i="31"/>
  <c r="F43" i="31"/>
  <c r="F55" i="31"/>
  <c r="F67" i="31"/>
  <c r="F79" i="31"/>
  <c r="F91" i="31"/>
  <c r="F103" i="31"/>
  <c r="H44" i="31"/>
  <c r="H56" i="31"/>
  <c r="H68" i="31"/>
  <c r="H80" i="31"/>
  <c r="H92" i="31"/>
  <c r="H104" i="31"/>
  <c r="J33" i="31"/>
  <c r="J45" i="31"/>
  <c r="J57" i="31"/>
  <c r="J69" i="31"/>
  <c r="J81" i="31"/>
  <c r="J93" i="31"/>
  <c r="J105" i="31"/>
  <c r="L34" i="31"/>
  <c r="L46" i="31"/>
  <c r="L58" i="31"/>
  <c r="L70" i="31"/>
  <c r="L82" i="31"/>
  <c r="L94" i="31"/>
  <c r="L106" i="31"/>
  <c r="N35" i="31"/>
  <c r="N47" i="31"/>
  <c r="N59" i="31"/>
  <c r="N71" i="31"/>
  <c r="N83" i="31"/>
  <c r="N95" i="31"/>
  <c r="P24" i="31"/>
  <c r="AN24" i="31"/>
  <c r="V25" i="31"/>
  <c r="AT25" i="31"/>
  <c r="AB26" i="31"/>
  <c r="AH27" i="31"/>
  <c r="P28" i="31"/>
  <c r="AN28" i="31"/>
  <c r="V29" i="31"/>
  <c r="AT29" i="31"/>
  <c r="AB30" i="31"/>
  <c r="AH31" i="31"/>
  <c r="P32" i="31"/>
  <c r="AN32" i="31"/>
  <c r="V33" i="31"/>
  <c r="AT33" i="31"/>
  <c r="AB34" i="31"/>
  <c r="AH35" i="31"/>
  <c r="P36" i="31"/>
  <c r="AN36" i="31"/>
  <c r="V37" i="31"/>
  <c r="AT37" i="31"/>
  <c r="AB38" i="31"/>
  <c r="AH39" i="31"/>
  <c r="P40" i="31"/>
  <c r="AN40" i="31"/>
  <c r="V41" i="31"/>
  <c r="AT41" i="31"/>
  <c r="AB42" i="31"/>
  <c r="BB42" i="31"/>
  <c r="AP43" i="31"/>
  <c r="AB44" i="31"/>
  <c r="P45" i="31"/>
  <c r="AV45" i="31"/>
  <c r="AN46" i="31"/>
  <c r="AB47" i="31"/>
  <c r="R48" i="31"/>
  <c r="AN49" i="31"/>
  <c r="AD50" i="31"/>
  <c r="V51" i="31"/>
  <c r="AP52" i="31"/>
  <c r="AH53" i="31"/>
  <c r="V54" i="31"/>
  <c r="BB54" i="31"/>
  <c r="AT55" i="31"/>
  <c r="AH56" i="31"/>
  <c r="X57" i="31"/>
  <c r="P58" i="31"/>
  <c r="AT58" i="31"/>
  <c r="AJ59" i="31"/>
  <c r="AB60" i="31"/>
  <c r="P61" i="31"/>
  <c r="AV61" i="31"/>
  <c r="AN62" i="31"/>
  <c r="AB63" i="31"/>
  <c r="R64" i="31"/>
  <c r="AN65" i="31"/>
  <c r="AD66" i="31"/>
  <c r="V67" i="31"/>
  <c r="AP68" i="31"/>
  <c r="AH69" i="31"/>
  <c r="V70" i="31"/>
  <c r="BB70" i="31"/>
  <c r="AT71" i="31"/>
  <c r="AJ72" i="31"/>
  <c r="AD73" i="31"/>
  <c r="AD74" i="31"/>
  <c r="AJ75" i="31"/>
  <c r="AR76" i="31"/>
  <c r="R78" i="31"/>
  <c r="AD80" i="31"/>
  <c r="AP82" i="31"/>
  <c r="BB84" i="31"/>
  <c r="X87" i="31"/>
  <c r="AR89" i="31"/>
  <c r="AN92" i="31"/>
  <c r="BD98" i="31"/>
  <c r="E70" i="31"/>
  <c r="N96" i="31"/>
  <c r="X25" i="31"/>
  <c r="AV25" i="31"/>
  <c r="BB26" i="31"/>
  <c r="AJ27" i="31"/>
  <c r="X29" i="31"/>
  <c r="AV29" i="31"/>
  <c r="AD30" i="31"/>
  <c r="BB30" i="31"/>
  <c r="AJ31" i="31"/>
  <c r="X33" i="31"/>
  <c r="AV33" i="31"/>
  <c r="AD34" i="31"/>
  <c r="BB34" i="31"/>
  <c r="AJ35" i="31"/>
  <c r="R36" i="31"/>
  <c r="AP36" i="31"/>
  <c r="X37" i="31"/>
  <c r="AV37" i="31"/>
  <c r="AD38" i="31"/>
  <c r="BB38" i="31"/>
  <c r="AJ39" i="31"/>
  <c r="R40" i="31"/>
  <c r="AP40" i="31"/>
  <c r="X41" i="31"/>
  <c r="AV41" i="31"/>
  <c r="AD42" i="31"/>
  <c r="BD42" i="31"/>
  <c r="AR43" i="31"/>
  <c r="AD44" i="31"/>
  <c r="R45" i="31"/>
  <c r="AX45" i="31"/>
  <c r="AP46" i="31"/>
  <c r="AD47" i="31"/>
  <c r="T48" i="31"/>
  <c r="BB48" i="31"/>
  <c r="AP49" i="31"/>
  <c r="AF50" i="31"/>
  <c r="X51" i="31"/>
  <c r="BB51" i="31"/>
  <c r="AR52" i="31"/>
  <c r="AJ53" i="31"/>
  <c r="X54" i="31"/>
  <c r="BD54" i="31"/>
  <c r="AV55" i="31"/>
  <c r="AJ56" i="31"/>
  <c r="Z57" i="31"/>
  <c r="R58" i="31"/>
  <c r="AV58" i="31"/>
  <c r="AL59" i="31"/>
  <c r="AD60" i="31"/>
  <c r="R61" i="31"/>
  <c r="AX61" i="31"/>
  <c r="AP62" i="31"/>
  <c r="AD63" i="31"/>
  <c r="T64" i="31"/>
  <c r="BB64" i="31"/>
  <c r="AP65" i="31"/>
  <c r="AF66" i="31"/>
  <c r="X67" i="31"/>
  <c r="BB67" i="31"/>
  <c r="AR68" i="31"/>
  <c r="AJ69" i="31"/>
  <c r="X70" i="31"/>
  <c r="BD70" i="31"/>
  <c r="AV71" i="31"/>
  <c r="AL72" i="31"/>
  <c r="AH73" i="31"/>
  <c r="AF74" i="31"/>
  <c r="AL75" i="31"/>
  <c r="Z78" i="31"/>
  <c r="AL80" i="31"/>
  <c r="AX82" i="31"/>
  <c r="T85" i="31"/>
  <c r="AF87" i="31"/>
  <c r="AT99" i="31"/>
  <c r="E92" i="31"/>
  <c r="AD26" i="31"/>
  <c r="AB23" i="31"/>
  <c r="AX23" i="31"/>
  <c r="F33" i="31"/>
  <c r="F45" i="31"/>
  <c r="F57" i="31"/>
  <c r="F69" i="31"/>
  <c r="F81" i="31"/>
  <c r="F93" i="31"/>
  <c r="F105" i="31"/>
  <c r="H46" i="31"/>
  <c r="H58" i="31"/>
  <c r="H70" i="31"/>
  <c r="H82" i="31"/>
  <c r="H94" i="31"/>
  <c r="H106" i="31"/>
  <c r="J35" i="31"/>
  <c r="J47" i="31"/>
  <c r="J59" i="31"/>
  <c r="J71" i="31"/>
  <c r="J83" i="31"/>
  <c r="J95" i="31"/>
  <c r="L24" i="31"/>
  <c r="L36" i="31"/>
  <c r="L48" i="31"/>
  <c r="L60" i="31"/>
  <c r="L72" i="31"/>
  <c r="L84" i="31"/>
  <c r="L96" i="31"/>
  <c r="N25" i="31"/>
  <c r="N37" i="31"/>
  <c r="N49" i="31"/>
  <c r="N61" i="31"/>
  <c r="N73" i="31"/>
  <c r="N85" i="31"/>
  <c r="N97" i="31"/>
  <c r="Z25" i="31"/>
  <c r="AX25" i="31"/>
  <c r="AF26" i="31"/>
  <c r="BD26" i="31"/>
  <c r="AL27" i="31"/>
  <c r="Z29" i="31"/>
  <c r="AX29" i="31"/>
  <c r="AF30" i="31"/>
  <c r="BD30" i="31"/>
  <c r="AL31" i="31"/>
  <c r="Z33" i="31"/>
  <c r="AX33" i="31"/>
  <c r="AF34" i="31"/>
  <c r="BD34" i="31"/>
  <c r="AL35" i="31"/>
  <c r="T36" i="31"/>
  <c r="AR36" i="31"/>
  <c r="Z37" i="31"/>
  <c r="AX37" i="31"/>
  <c r="AF38" i="31"/>
  <c r="BD38" i="31"/>
  <c r="AL39" i="31"/>
  <c r="T40" i="31"/>
  <c r="AR40" i="31"/>
  <c r="Z41" i="31"/>
  <c r="AX41" i="31"/>
  <c r="AF42" i="31"/>
  <c r="R43" i="31"/>
  <c r="AT43" i="31"/>
  <c r="AF44" i="31"/>
  <c r="T45" i="31"/>
  <c r="BB45" i="31"/>
  <c r="AR46" i="31"/>
  <c r="AF47" i="31"/>
  <c r="X48" i="31"/>
  <c r="BD48" i="31"/>
  <c r="AR49" i="31"/>
  <c r="AJ50" i="31"/>
  <c r="Z51" i="31"/>
  <c r="BD51" i="31"/>
  <c r="AV52" i="31"/>
  <c r="AL53" i="31"/>
  <c r="Z54" i="31"/>
  <c r="R55" i="31"/>
  <c r="AX55" i="31"/>
  <c r="AL56" i="31"/>
  <c r="AD57" i="31"/>
  <c r="T58" i="31"/>
  <c r="AX58" i="31"/>
  <c r="AP59" i="31"/>
  <c r="AF60" i="31"/>
  <c r="T61" i="31"/>
  <c r="BB61" i="31"/>
  <c r="AR62" i="31"/>
  <c r="AF63" i="31"/>
  <c r="X64" i="31"/>
  <c r="BD64" i="31"/>
  <c r="AR65" i="31"/>
  <c r="AJ66" i="31"/>
  <c r="Z67" i="31"/>
  <c r="BD67" i="31"/>
  <c r="AV68" i="31"/>
  <c r="AL69" i="31"/>
  <c r="Z70" i="31"/>
  <c r="R71" i="31"/>
  <c r="AX71" i="31"/>
  <c r="AP72" i="31"/>
  <c r="AJ73" i="31"/>
  <c r="AN74" i="31"/>
  <c r="AT75" i="31"/>
  <c r="BB76" i="31"/>
  <c r="AN78" i="31"/>
  <c r="V83" i="31"/>
  <c r="AH85" i="31"/>
  <c r="AV87" i="31"/>
  <c r="Z90" i="31"/>
  <c r="AB93" i="31"/>
  <c r="AH100" i="31"/>
  <c r="AU101" i="31"/>
  <c r="AU89" i="31"/>
  <c r="AU77" i="31"/>
  <c r="AU65" i="31"/>
  <c r="AU53" i="31"/>
  <c r="AU41" i="31"/>
  <c r="AU29" i="31"/>
  <c r="AU100" i="31"/>
  <c r="AU88" i="31"/>
  <c r="AU76" i="31"/>
  <c r="AU64" i="31"/>
  <c r="AU52" i="31"/>
  <c r="AU40" i="31"/>
  <c r="AU28" i="31"/>
  <c r="AU98" i="31"/>
  <c r="AU86" i="31"/>
  <c r="AU74" i="31"/>
  <c r="AU62" i="31"/>
  <c r="AU50" i="31"/>
  <c r="AU38" i="31"/>
  <c r="AU26" i="31"/>
  <c r="AU97" i="31"/>
  <c r="AU85" i="31"/>
  <c r="AU73" i="31"/>
  <c r="AU61" i="31"/>
  <c r="AU49" i="31"/>
  <c r="AU37" i="31"/>
  <c r="AU25" i="31"/>
  <c r="AU96" i="31"/>
  <c r="AU84" i="31"/>
  <c r="AU72" i="31"/>
  <c r="AU60" i="31"/>
  <c r="AU48" i="31"/>
  <c r="AU36" i="31"/>
  <c r="AU106" i="31"/>
  <c r="AU94" i="31"/>
  <c r="AU82" i="31"/>
  <c r="AU70" i="31"/>
  <c r="AU58" i="31"/>
  <c r="AU46" i="31"/>
  <c r="AU34" i="31"/>
  <c r="AU105" i="31"/>
  <c r="AU93" i="31"/>
  <c r="AU81" i="31"/>
  <c r="AU69" i="31"/>
  <c r="AU57" i="31"/>
  <c r="AU45" i="31"/>
  <c r="AU33" i="31"/>
  <c r="AU95" i="31"/>
  <c r="AU67" i="31"/>
  <c r="AU39" i="31"/>
  <c r="AU83" i="31"/>
  <c r="AU55" i="31"/>
  <c r="AU27" i="31"/>
  <c r="E103" i="31"/>
  <c r="E91" i="31"/>
  <c r="E79" i="31"/>
  <c r="E67" i="31"/>
  <c r="E55" i="31"/>
  <c r="E43" i="31"/>
  <c r="AX106" i="31"/>
  <c r="Z106" i="31"/>
  <c r="AR105" i="31"/>
  <c r="T105" i="31"/>
  <c r="AU79" i="31"/>
  <c r="AU51" i="31"/>
  <c r="AU23" i="31"/>
  <c r="E101" i="31"/>
  <c r="E89" i="31"/>
  <c r="E77" i="31"/>
  <c r="E65" i="31"/>
  <c r="E53" i="31"/>
  <c r="E41" i="31"/>
  <c r="AT106" i="31"/>
  <c r="V106" i="31"/>
  <c r="AN105" i="31"/>
  <c r="P105" i="31"/>
  <c r="AU102" i="31"/>
  <c r="AU71" i="31"/>
  <c r="AU43" i="31"/>
  <c r="E98" i="31"/>
  <c r="E86" i="31"/>
  <c r="E74" i="31"/>
  <c r="E62" i="31"/>
  <c r="E50" i="31"/>
  <c r="E38" i="31"/>
  <c r="AN106" i="31"/>
  <c r="P106" i="31"/>
  <c r="AH105" i="31"/>
  <c r="AU90" i="31"/>
  <c r="AU44" i="31"/>
  <c r="AU87" i="31"/>
  <c r="AU42" i="31"/>
  <c r="AU68" i="31"/>
  <c r="AU30" i="31"/>
  <c r="E105" i="31"/>
  <c r="E88" i="31"/>
  <c r="E72" i="31"/>
  <c r="E57" i="31"/>
  <c r="E40" i="31"/>
  <c r="AD106" i="31"/>
  <c r="AL105" i="31"/>
  <c r="AV104" i="31"/>
  <c r="X104" i="31"/>
  <c r="AP103" i="31"/>
  <c r="R103" i="31"/>
  <c r="AJ102" i="31"/>
  <c r="BB101" i="31"/>
  <c r="AD101" i="31"/>
  <c r="AV100" i="31"/>
  <c r="X100" i="31"/>
  <c r="AP99" i="31"/>
  <c r="R99" i="31"/>
  <c r="AJ98" i="31"/>
  <c r="BB97" i="31"/>
  <c r="AD97" i="31"/>
  <c r="AV96" i="31"/>
  <c r="X96" i="31"/>
  <c r="AP95" i="31"/>
  <c r="R95" i="31"/>
  <c r="AJ94" i="31"/>
  <c r="BB93" i="31"/>
  <c r="AD93" i="31"/>
  <c r="AV92" i="31"/>
  <c r="X92" i="31"/>
  <c r="AP91" i="31"/>
  <c r="R91" i="31"/>
  <c r="AJ90" i="31"/>
  <c r="BB89" i="31"/>
  <c r="AD89" i="31"/>
  <c r="AV88" i="31"/>
  <c r="X88" i="31"/>
  <c r="AP87" i="31"/>
  <c r="AU104" i="31"/>
  <c r="AU63" i="31"/>
  <c r="AU103" i="31"/>
  <c r="AU59" i="31"/>
  <c r="E100" i="31"/>
  <c r="E84" i="31"/>
  <c r="E69" i="31"/>
  <c r="E52" i="31"/>
  <c r="E36" i="31"/>
  <c r="BB106" i="31"/>
  <c r="T106" i="31"/>
  <c r="AD105" i="31"/>
  <c r="AP104" i="31"/>
  <c r="R104" i="31"/>
  <c r="AJ103" i="31"/>
  <c r="BB102" i="31"/>
  <c r="AD102" i="31"/>
  <c r="AV101" i="31"/>
  <c r="X101" i="31"/>
  <c r="AP100" i="31"/>
  <c r="R100" i="31"/>
  <c r="AJ99" i="31"/>
  <c r="BB98" i="31"/>
  <c r="AD98" i="31"/>
  <c r="AV97" i="31"/>
  <c r="X97" i="31"/>
  <c r="AP96" i="31"/>
  <c r="R96" i="31"/>
  <c r="AJ95" i="31"/>
  <c r="BB94" i="31"/>
  <c r="AD94" i="31"/>
  <c r="AV93" i="31"/>
  <c r="X93" i="31"/>
  <c r="AP92" i="31"/>
  <c r="R92" i="31"/>
  <c r="AJ91" i="31"/>
  <c r="BB90" i="31"/>
  <c r="AD90" i="31"/>
  <c r="AU92" i="31"/>
  <c r="AU54" i="31"/>
  <c r="E97" i="31"/>
  <c r="E82" i="31"/>
  <c r="E66" i="31"/>
  <c r="E49" i="31"/>
  <c r="AV106" i="31"/>
  <c r="BD105" i="31"/>
  <c r="Z105" i="31"/>
  <c r="AL104" i="31"/>
  <c r="BD103" i="31"/>
  <c r="AF103" i="31"/>
  <c r="AX102" i="31"/>
  <c r="Z102" i="31"/>
  <c r="AR101" i="31"/>
  <c r="T101" i="31"/>
  <c r="AL100" i="31"/>
  <c r="BD99" i="31"/>
  <c r="AF99" i="31"/>
  <c r="AX98" i="31"/>
  <c r="Z98" i="31"/>
  <c r="AR97" i="31"/>
  <c r="T97" i="31"/>
  <c r="AL96" i="31"/>
  <c r="BD95" i="31"/>
  <c r="AF95" i="31"/>
  <c r="AX94" i="31"/>
  <c r="Z94" i="31"/>
  <c r="AR93" i="31"/>
  <c r="T93" i="31"/>
  <c r="AL92" i="31"/>
  <c r="BD91" i="31"/>
  <c r="AF91" i="31"/>
  <c r="AX90" i="31"/>
  <c r="AU78" i="31"/>
  <c r="E90" i="31"/>
  <c r="E68" i="31"/>
  <c r="E46" i="31"/>
  <c r="R106" i="31"/>
  <c r="R105" i="31"/>
  <c r="Z104" i="31"/>
  <c r="AH103" i="31"/>
  <c r="AR102" i="31"/>
  <c r="BD101" i="31"/>
  <c r="V101" i="31"/>
  <c r="AF100" i="31"/>
  <c r="AR99" i="31"/>
  <c r="T98" i="31"/>
  <c r="AF97" i="31"/>
  <c r="AN96" i="31"/>
  <c r="AX95" i="31"/>
  <c r="T95" i="31"/>
  <c r="AB94" i="31"/>
  <c r="AL93" i="31"/>
  <c r="AX92" i="31"/>
  <c r="P92" i="31"/>
  <c r="Z91" i="31"/>
  <c r="AL90" i="31"/>
  <c r="AX89" i="31"/>
  <c r="X89" i="31"/>
  <c r="AN88" i="31"/>
  <c r="BD87" i="31"/>
  <c r="AD87" i="31"/>
  <c r="AV86" i="31"/>
  <c r="X86" i="31"/>
  <c r="AP85" i="31"/>
  <c r="R85" i="31"/>
  <c r="AJ84" i="31"/>
  <c r="BB83" i="31"/>
  <c r="AD83" i="31"/>
  <c r="AV82" i="31"/>
  <c r="X82" i="31"/>
  <c r="AP81" i="31"/>
  <c r="R81" i="31"/>
  <c r="AJ80" i="31"/>
  <c r="BB79" i="31"/>
  <c r="AD79" i="31"/>
  <c r="AV78" i="31"/>
  <c r="X78" i="31"/>
  <c r="AP77" i="31"/>
  <c r="R77" i="31"/>
  <c r="AJ76" i="31"/>
  <c r="BB75" i="31"/>
  <c r="AD75" i="31"/>
  <c r="AV74" i="31"/>
  <c r="X74" i="31"/>
  <c r="AU75" i="31"/>
  <c r="E87" i="31"/>
  <c r="E64" i="31"/>
  <c r="E45" i="31"/>
  <c r="E23" i="31"/>
  <c r="BB105" i="31"/>
  <c r="BD104" i="31"/>
  <c r="V104" i="31"/>
  <c r="AD103" i="31"/>
  <c r="AP102" i="31"/>
  <c r="R101" i="31"/>
  <c r="AD100" i="31"/>
  <c r="AN99" i="31"/>
  <c r="AV98" i="31"/>
  <c r="R98" i="31"/>
  <c r="AB97" i="31"/>
  <c r="AJ96" i="31"/>
  <c r="AV95" i="31"/>
  <c r="P95" i="31"/>
  <c r="X94" i="31"/>
  <c r="AJ93" i="31"/>
  <c r="AT92" i="31"/>
  <c r="BB91" i="31"/>
  <c r="X91" i="31"/>
  <c r="AH90" i="31"/>
  <c r="AV89" i="31"/>
  <c r="V89" i="31"/>
  <c r="AL88" i="31"/>
  <c r="BB87" i="31"/>
  <c r="AB87" i="31"/>
  <c r="AT86" i="31"/>
  <c r="V86" i="31"/>
  <c r="AN85" i="31"/>
  <c r="P85" i="31"/>
  <c r="AH84" i="31"/>
  <c r="AB83" i="31"/>
  <c r="AT82" i="31"/>
  <c r="V82" i="31"/>
  <c r="AN81" i="31"/>
  <c r="P81" i="31"/>
  <c r="AH80" i="31"/>
  <c r="AB79" i="31"/>
  <c r="AT78" i="31"/>
  <c r="V78" i="31"/>
  <c r="AU66" i="31"/>
  <c r="E85" i="31"/>
  <c r="E63" i="31"/>
  <c r="E44" i="31"/>
  <c r="BD106" i="31"/>
  <c r="BB104" i="31"/>
  <c r="T104" i="31"/>
  <c r="AB103" i="31"/>
  <c r="AN102" i="31"/>
  <c r="AX101" i="31"/>
  <c r="P101" i="31"/>
  <c r="AB100" i="31"/>
  <c r="AL99" i="31"/>
  <c r="AT98" i="31"/>
  <c r="P98" i="31"/>
  <c r="Z97" i="31"/>
  <c r="AH96" i="31"/>
  <c r="AT95" i="31"/>
  <c r="BD94" i="31"/>
  <c r="V94" i="31"/>
  <c r="AH93" i="31"/>
  <c r="AR92" i="31"/>
  <c r="V91" i="31"/>
  <c r="AF90" i="31"/>
  <c r="AT89" i="31"/>
  <c r="T89" i="31"/>
  <c r="AJ88" i="31"/>
  <c r="Z87" i="31"/>
  <c r="AR86" i="31"/>
  <c r="T86" i="31"/>
  <c r="AL85" i="31"/>
  <c r="BD84" i="31"/>
  <c r="AF84" i="31"/>
  <c r="AX83" i="31"/>
  <c r="Z83" i="31"/>
  <c r="AR82" i="31"/>
  <c r="T82" i="31"/>
  <c r="AL81" i="31"/>
  <c r="BD80" i="31"/>
  <c r="AF80" i="31"/>
  <c r="AX79" i="31"/>
  <c r="Z79" i="31"/>
  <c r="AR78" i="31"/>
  <c r="T78" i="31"/>
  <c r="AL77" i="31"/>
  <c r="BD76" i="31"/>
  <c r="AF76" i="31"/>
  <c r="AX75" i="31"/>
  <c r="Z75" i="31"/>
  <c r="AR74" i="31"/>
  <c r="T74" i="31"/>
  <c r="AL73" i="31"/>
  <c r="BD72" i="31"/>
  <c r="AF72" i="31"/>
  <c r="AU56" i="31"/>
  <c r="E106" i="31"/>
  <c r="E83" i="31"/>
  <c r="E61" i="31"/>
  <c r="E42" i="31"/>
  <c r="AX105" i="31"/>
  <c r="AX104" i="31"/>
  <c r="P104" i="31"/>
  <c r="Z103" i="31"/>
  <c r="AL102" i="31"/>
  <c r="AT101" i="31"/>
  <c r="BD100" i="31"/>
  <c r="Z100" i="31"/>
  <c r="AH99" i="31"/>
  <c r="AR98" i="31"/>
  <c r="BD97" i="31"/>
  <c r="V97" i="31"/>
  <c r="AF96" i="31"/>
  <c r="AR95" i="31"/>
  <c r="T94" i="31"/>
  <c r="AU47" i="31"/>
  <c r="E104" i="31"/>
  <c r="E81" i="31"/>
  <c r="E60" i="31"/>
  <c r="E39" i="31"/>
  <c r="AR106" i="31"/>
  <c r="AV105" i="31"/>
  <c r="AT104" i="31"/>
  <c r="BB103" i="31"/>
  <c r="X103" i="31"/>
  <c r="AH102" i="31"/>
  <c r="AP101" i="31"/>
  <c r="BB100" i="31"/>
  <c r="V100" i="31"/>
  <c r="AD99" i="31"/>
  <c r="AP98" i="31"/>
  <c r="R97" i="31"/>
  <c r="AD96" i="31"/>
  <c r="AN95" i="31"/>
  <c r="AV94" i="31"/>
  <c r="AU35" i="31"/>
  <c r="E102" i="31"/>
  <c r="E80" i="31"/>
  <c r="E59" i="31"/>
  <c r="AP106" i="31"/>
  <c r="AT105" i="31"/>
  <c r="AR104" i="31"/>
  <c r="V103" i="31"/>
  <c r="AF102" i="31"/>
  <c r="AN101" i="31"/>
  <c r="T100" i="31"/>
  <c r="AB99" i="31"/>
  <c r="AN98" i="31"/>
  <c r="AX97" i="31"/>
  <c r="P97" i="31"/>
  <c r="AB96" i="31"/>
  <c r="AL95" i="31"/>
  <c r="AT94" i="31"/>
  <c r="P94" i="31"/>
  <c r="Z93" i="31"/>
  <c r="AH92" i="31"/>
  <c r="AT91" i="31"/>
  <c r="BD90" i="31"/>
  <c r="X90" i="31"/>
  <c r="AN89" i="31"/>
  <c r="BD88" i="31"/>
  <c r="AD88" i="31"/>
  <c r="AT87" i="31"/>
  <c r="T87" i="31"/>
  <c r="AL86" i="31"/>
  <c r="BD85" i="31"/>
  <c r="AF85" i="31"/>
  <c r="AX84" i="31"/>
  <c r="Z84" i="31"/>
  <c r="AR83" i="31"/>
  <c r="T83" i="31"/>
  <c r="AL82" i="31"/>
  <c r="BD81" i="31"/>
  <c r="AF81" i="31"/>
  <c r="AX80" i="31"/>
  <c r="Z80" i="31"/>
  <c r="AR79" i="31"/>
  <c r="T79" i="31"/>
  <c r="AL78" i="31"/>
  <c r="BD77" i="31"/>
  <c r="AF77" i="31"/>
  <c r="AX76" i="31"/>
  <c r="Z76" i="31"/>
  <c r="AR75" i="31"/>
  <c r="T75" i="31"/>
  <c r="AL74" i="31"/>
  <c r="BD73" i="31"/>
  <c r="AF73" i="31"/>
  <c r="AX72" i="31"/>
  <c r="Z72" i="31"/>
  <c r="AR71" i="31"/>
  <c r="T71" i="31"/>
  <c r="AL70" i="31"/>
  <c r="BD69" i="31"/>
  <c r="AF69" i="31"/>
  <c r="AX68" i="31"/>
  <c r="Z68" i="31"/>
  <c r="AR67" i="31"/>
  <c r="T67" i="31"/>
  <c r="AL66" i="31"/>
  <c r="BD65" i="31"/>
  <c r="AF65" i="31"/>
  <c r="AX64" i="31"/>
  <c r="Z64" i="31"/>
  <c r="AR63" i="31"/>
  <c r="T63" i="31"/>
  <c r="AL62" i="31"/>
  <c r="BD61" i="31"/>
  <c r="AF61" i="31"/>
  <c r="AX60" i="31"/>
  <c r="Z60" i="31"/>
  <c r="AR59" i="31"/>
  <c r="T59" i="31"/>
  <c r="AL58" i="31"/>
  <c r="BD57" i="31"/>
  <c r="AF57" i="31"/>
  <c r="AX56" i="31"/>
  <c r="Z56" i="31"/>
  <c r="AR55" i="31"/>
  <c r="T55" i="31"/>
  <c r="AL54" i="31"/>
  <c r="BD53" i="31"/>
  <c r="AF53" i="31"/>
  <c r="AX52" i="31"/>
  <c r="Z52" i="31"/>
  <c r="AR51" i="31"/>
  <c r="T51" i="31"/>
  <c r="AL50" i="31"/>
  <c r="BD49" i="31"/>
  <c r="AF49" i="31"/>
  <c r="AX48" i="31"/>
  <c r="Z48" i="31"/>
  <c r="AR47" i="31"/>
  <c r="T47" i="31"/>
  <c r="AL46" i="31"/>
  <c r="BD45" i="31"/>
  <c r="AF45" i="31"/>
  <c r="AX44" i="31"/>
  <c r="AU32" i="31"/>
  <c r="E99" i="31"/>
  <c r="E78" i="31"/>
  <c r="E58" i="31"/>
  <c r="AL106" i="31"/>
  <c r="AP105" i="31"/>
  <c r="AN104" i="31"/>
  <c r="AX103" i="31"/>
  <c r="T103" i="31"/>
  <c r="AB102" i="31"/>
  <c r="AL101" i="31"/>
  <c r="AX100" i="31"/>
  <c r="P100" i="31"/>
  <c r="Z99" i="31"/>
  <c r="AL98" i="31"/>
  <c r="AT97" i="31"/>
  <c r="BD96" i="31"/>
  <c r="Z96" i="31"/>
  <c r="AH95" i="31"/>
  <c r="AR94" i="31"/>
  <c r="BD93" i="31"/>
  <c r="V93" i="31"/>
  <c r="AF92" i="31"/>
  <c r="AR91" i="31"/>
  <c r="V90" i="31"/>
  <c r="AL89" i="31"/>
  <c r="BB88" i="31"/>
  <c r="AB88" i="31"/>
  <c r="AR87" i="31"/>
  <c r="R87" i="31"/>
  <c r="AJ86" i="31"/>
  <c r="BB85" i="31"/>
  <c r="AD85" i="31"/>
  <c r="AV84" i="31"/>
  <c r="X84" i="31"/>
  <c r="AP83" i="31"/>
  <c r="R83" i="31"/>
  <c r="AJ82" i="31"/>
  <c r="BB81" i="31"/>
  <c r="AD81" i="31"/>
  <c r="AV80" i="31"/>
  <c r="X80" i="31"/>
  <c r="AP79" i="31"/>
  <c r="R79" i="31"/>
  <c r="AJ78" i="31"/>
  <c r="BB77" i="31"/>
  <c r="AD77" i="31"/>
  <c r="AV76" i="31"/>
  <c r="X76" i="31"/>
  <c r="AP75" i="31"/>
  <c r="R75" i="31"/>
  <c r="AJ74" i="31"/>
  <c r="BB73" i="31"/>
  <c r="AU31" i="31"/>
  <c r="E96" i="31"/>
  <c r="E76" i="31"/>
  <c r="E56" i="31"/>
  <c r="AJ106" i="31"/>
  <c r="AJ105" i="31"/>
  <c r="AJ104" i="31"/>
  <c r="AV103" i="31"/>
  <c r="P103" i="31"/>
  <c r="X102" i="31"/>
  <c r="AJ101" i="31"/>
  <c r="AT100" i="31"/>
  <c r="BB99" i="31"/>
  <c r="X99" i="31"/>
  <c r="AH98" i="31"/>
  <c r="AP97" i="31"/>
  <c r="BB96" i="31"/>
  <c r="V96" i="31"/>
  <c r="AD95" i="31"/>
  <c r="AP94" i="31"/>
  <c r="R93" i="31"/>
  <c r="AD92" i="31"/>
  <c r="AN91" i="31"/>
  <c r="AV90" i="31"/>
  <c r="T90" i="31"/>
  <c r="AJ89" i="31"/>
  <c r="Z88" i="31"/>
  <c r="AN87" i="31"/>
  <c r="P87" i="31"/>
  <c r="AH86" i="31"/>
  <c r="AB85" i="31"/>
  <c r="AT84" i="31"/>
  <c r="V84" i="31"/>
  <c r="AN83" i="31"/>
  <c r="P83" i="31"/>
  <c r="AH82" i="31"/>
  <c r="AB81" i="31"/>
  <c r="AT80" i="31"/>
  <c r="V80" i="31"/>
  <c r="AN79" i="31"/>
  <c r="P79" i="31"/>
  <c r="AH78" i="31"/>
  <c r="AB77" i="31"/>
  <c r="AT76" i="31"/>
  <c r="V76" i="31"/>
  <c r="AN75" i="31"/>
  <c r="P75" i="31"/>
  <c r="AH74" i="31"/>
  <c r="AB73" i="31"/>
  <c r="AT72" i="31"/>
  <c r="V72" i="31"/>
  <c r="AN71" i="31"/>
  <c r="P71" i="31"/>
  <c r="AH70" i="31"/>
  <c r="AB69" i="31"/>
  <c r="AT68" i="31"/>
  <c r="V68" i="31"/>
  <c r="AN67" i="31"/>
  <c r="P67" i="31"/>
  <c r="AH66" i="31"/>
  <c r="AB65" i="31"/>
  <c r="AT64" i="31"/>
  <c r="V64" i="31"/>
  <c r="AN63" i="31"/>
  <c r="P63" i="31"/>
  <c r="AH62" i="31"/>
  <c r="AB61" i="31"/>
  <c r="AT60" i="31"/>
  <c r="V60" i="31"/>
  <c r="AN59" i="31"/>
  <c r="P59" i="31"/>
  <c r="AH58" i="31"/>
  <c r="AB57" i="31"/>
  <c r="AT56" i="31"/>
  <c r="V56" i="31"/>
  <c r="AN55" i="31"/>
  <c r="P55" i="31"/>
  <c r="AH54" i="31"/>
  <c r="AB53" i="31"/>
  <c r="AT52" i="31"/>
  <c r="V52" i="31"/>
  <c r="AN51" i="31"/>
  <c r="P51" i="31"/>
  <c r="AH50" i="31"/>
  <c r="AB49" i="31"/>
  <c r="AT48" i="31"/>
  <c r="V48" i="31"/>
  <c r="AN47" i="31"/>
  <c r="P47" i="31"/>
  <c r="AH46" i="31"/>
  <c r="AB45" i="31"/>
  <c r="AT44" i="31"/>
  <c r="V44" i="31"/>
  <c r="AN43" i="31"/>
  <c r="P43" i="31"/>
  <c r="AH42" i="31"/>
  <c r="AU24" i="31"/>
  <c r="E95" i="31"/>
  <c r="E75" i="31"/>
  <c r="E54" i="31"/>
  <c r="AH106" i="31"/>
  <c r="AF105" i="31"/>
  <c r="AH104" i="31"/>
  <c r="AT103" i="31"/>
  <c r="BD102" i="31"/>
  <c r="V102" i="31"/>
  <c r="AH101" i="31"/>
  <c r="AR100" i="31"/>
  <c r="V99" i="31"/>
  <c r="AF98" i="31"/>
  <c r="AN97" i="31"/>
  <c r="T96" i="31"/>
  <c r="AB95" i="31"/>
  <c r="AN94" i="31"/>
  <c r="AX93" i="31"/>
  <c r="P93" i="31"/>
  <c r="AB92" i="31"/>
  <c r="AL91" i="31"/>
  <c r="AT90" i="31"/>
  <c r="R90" i="31"/>
  <c r="AH89" i="31"/>
  <c r="AX88" i="31"/>
  <c r="V88" i="31"/>
  <c r="AL87" i="31"/>
  <c r="BD86" i="31"/>
  <c r="AF86" i="31"/>
  <c r="AX85" i="31"/>
  <c r="Z85" i="31"/>
  <c r="AR84" i="31"/>
  <c r="T84" i="31"/>
  <c r="AL83" i="31"/>
  <c r="BD82" i="31"/>
  <c r="AF82" i="31"/>
  <c r="AX81" i="31"/>
  <c r="Z81" i="31"/>
  <c r="AR80" i="31"/>
  <c r="T80" i="31"/>
  <c r="AL79" i="31"/>
  <c r="BD78" i="31"/>
  <c r="AF78" i="31"/>
  <c r="AU99" i="31"/>
  <c r="E94" i="31"/>
  <c r="E73" i="31"/>
  <c r="E51" i="31"/>
  <c r="AF106" i="31"/>
  <c r="AB105" i="31"/>
  <c r="AF104" i="31"/>
  <c r="AR103" i="31"/>
  <c r="T102" i="31"/>
  <c r="AF101" i="31"/>
  <c r="AN100" i="31"/>
  <c r="AX99" i="31"/>
  <c r="T99" i="31"/>
  <c r="AB98" i="31"/>
  <c r="AL97" i="31"/>
  <c r="AX96" i="31"/>
  <c r="P96" i="31"/>
  <c r="Z95" i="31"/>
  <c r="AL94" i="31"/>
  <c r="AT93" i="31"/>
  <c r="BD92" i="31"/>
  <c r="Z92" i="31"/>
  <c r="AH91" i="31"/>
  <c r="AR90" i="31"/>
  <c r="P90" i="31"/>
  <c r="AF89" i="31"/>
  <c r="AT88" i="31"/>
  <c r="T88" i="31"/>
  <c r="AJ87" i="31"/>
  <c r="BB86" i="31"/>
  <c r="AD86" i="31"/>
  <c r="AV85" i="31"/>
  <c r="X85" i="31"/>
  <c r="AP84" i="31"/>
  <c r="R84" i="31"/>
  <c r="AJ83" i="31"/>
  <c r="BB82" i="31"/>
  <c r="AD82" i="31"/>
  <c r="AV81" i="31"/>
  <c r="X81" i="31"/>
  <c r="AP80" i="31"/>
  <c r="R80" i="31"/>
  <c r="AJ79" i="31"/>
  <c r="BB78" i="31"/>
  <c r="AD78" i="31"/>
  <c r="AV77" i="31"/>
  <c r="X77" i="31"/>
  <c r="AP76" i="31"/>
  <c r="AU91" i="31"/>
  <c r="E93" i="31"/>
  <c r="E71" i="31"/>
  <c r="E48" i="31"/>
  <c r="AB106" i="31"/>
  <c r="X105" i="31"/>
  <c r="AD104" i="31"/>
  <c r="AN103" i="31"/>
  <c r="AV102" i="31"/>
  <c r="R102" i="31"/>
  <c r="AB101" i="31"/>
  <c r="AJ100" i="31"/>
  <c r="AV99" i="31"/>
  <c r="P99" i="31"/>
  <c r="X98" i="31"/>
  <c r="AJ97" i="31"/>
  <c r="AT96" i="31"/>
  <c r="BB95" i="31"/>
  <c r="X95" i="31"/>
  <c r="AH94" i="31"/>
  <c r="AP93" i="31"/>
  <c r="BB92" i="31"/>
  <c r="V92" i="31"/>
  <c r="AD91" i="31"/>
  <c r="AP90" i="31"/>
  <c r="BD89" i="31"/>
  <c r="AB89" i="31"/>
  <c r="AR88" i="31"/>
  <c r="R88" i="31"/>
  <c r="AH87" i="31"/>
  <c r="AB86" i="31"/>
  <c r="AT85" i="31"/>
  <c r="V85" i="31"/>
  <c r="AN84" i="31"/>
  <c r="P84" i="31"/>
  <c r="AH83" i="31"/>
  <c r="AB82" i="31"/>
  <c r="AT81" i="31"/>
  <c r="V81" i="31"/>
  <c r="AN80" i="31"/>
  <c r="P80" i="31"/>
  <c r="AH79" i="31"/>
  <c r="AB78" i="31"/>
  <c r="AT77" i="31"/>
  <c r="V77" i="31"/>
  <c r="AN76" i="31"/>
  <c r="P76" i="31"/>
  <c r="AH75" i="31"/>
  <c r="AB74" i="31"/>
  <c r="AT73" i="31"/>
  <c r="V73" i="31"/>
  <c r="AN72" i="31"/>
  <c r="P72" i="31"/>
  <c r="AH71" i="31"/>
  <c r="AB70" i="31"/>
  <c r="AT69" i="31"/>
  <c r="V69" i="31"/>
  <c r="AN68" i="31"/>
  <c r="P68" i="31"/>
  <c r="AH67" i="31"/>
  <c r="AB66" i="31"/>
  <c r="AT65" i="31"/>
  <c r="V65" i="31"/>
  <c r="AN64" i="31"/>
  <c r="P64" i="31"/>
  <c r="AH63" i="31"/>
  <c r="AB62" i="31"/>
  <c r="AT61" i="31"/>
  <c r="V61" i="31"/>
  <c r="AN60" i="31"/>
  <c r="P60" i="31"/>
  <c r="AH59" i="31"/>
  <c r="AB58" i="31"/>
  <c r="AT57" i="31"/>
  <c r="V57" i="31"/>
  <c r="AN56" i="31"/>
  <c r="P56" i="31"/>
  <c r="AH55" i="31"/>
  <c r="AB54" i="31"/>
  <c r="AT53" i="31"/>
  <c r="V53" i="31"/>
  <c r="AN52" i="31"/>
  <c r="P52" i="31"/>
  <c r="AH51" i="31"/>
  <c r="AB50" i="31"/>
  <c r="AT49" i="31"/>
  <c r="V49" i="31"/>
  <c r="AN48" i="31"/>
  <c r="P48" i="31"/>
  <c r="AH47" i="31"/>
  <c r="AB46" i="31"/>
  <c r="AT45" i="31"/>
  <c r="V45" i="31"/>
  <c r="AN44" i="31"/>
  <c r="P44" i="31"/>
  <c r="AH43" i="31"/>
  <c r="AD23" i="31"/>
  <c r="BB23" i="31"/>
  <c r="F46" i="31"/>
  <c r="F58" i="31"/>
  <c r="F70" i="31"/>
  <c r="F82" i="31"/>
  <c r="F94" i="31"/>
  <c r="F106" i="31"/>
  <c r="H35" i="31"/>
  <c r="H47" i="31"/>
  <c r="H59" i="31"/>
  <c r="H71" i="31"/>
  <c r="H83" i="31"/>
  <c r="H95" i="31"/>
  <c r="J36" i="31"/>
  <c r="J48" i="31"/>
  <c r="J60" i="31"/>
  <c r="J72" i="31"/>
  <c r="J84" i="31"/>
  <c r="J96" i="31"/>
  <c r="L25" i="31"/>
  <c r="L37" i="31"/>
  <c r="L49" i="31"/>
  <c r="L61" i="31"/>
  <c r="L73" i="31"/>
  <c r="L85" i="31"/>
  <c r="L97" i="31"/>
  <c r="N26" i="31"/>
  <c r="N38" i="31"/>
  <c r="N50" i="31"/>
  <c r="N62" i="31"/>
  <c r="N74" i="31"/>
  <c r="N86" i="31"/>
  <c r="N98" i="31"/>
  <c r="AT24" i="31"/>
  <c r="AB25" i="31"/>
  <c r="AH26" i="31"/>
  <c r="P27" i="31"/>
  <c r="AN27" i="31"/>
  <c r="AT28" i="31"/>
  <c r="AB29" i="31"/>
  <c r="AH30" i="31"/>
  <c r="P31" i="31"/>
  <c r="AN31" i="31"/>
  <c r="AT32" i="31"/>
  <c r="AB33" i="31"/>
  <c r="AH34" i="31"/>
  <c r="P35" i="31"/>
  <c r="AN35" i="31"/>
  <c r="V36" i="31"/>
  <c r="AT36" i="31"/>
  <c r="AB37" i="31"/>
  <c r="AH38" i="31"/>
  <c r="P39" i="31"/>
  <c r="AN39" i="31"/>
  <c r="V40" i="31"/>
  <c r="AT40" i="31"/>
  <c r="AB41" i="31"/>
  <c r="AJ42" i="31"/>
  <c r="T43" i="31"/>
  <c r="AV43" i="31"/>
  <c r="AH44" i="31"/>
  <c r="X45" i="31"/>
  <c r="P46" i="31"/>
  <c r="AT46" i="31"/>
  <c r="AJ47" i="31"/>
  <c r="AB48" i="31"/>
  <c r="P49" i="31"/>
  <c r="AV49" i="31"/>
  <c r="AN50" i="31"/>
  <c r="AB51" i="31"/>
  <c r="R52" i="31"/>
  <c r="AN53" i="31"/>
  <c r="AD54" i="31"/>
  <c r="V55" i="31"/>
  <c r="AP56" i="31"/>
  <c r="AH57" i="31"/>
  <c r="V58" i="31"/>
  <c r="BB58" i="31"/>
  <c r="AT59" i="31"/>
  <c r="AH60" i="31"/>
  <c r="X61" i="31"/>
  <c r="P62" i="31"/>
  <c r="AT62" i="31"/>
  <c r="AJ63" i="31"/>
  <c r="AB64" i="31"/>
  <c r="P65" i="31"/>
  <c r="AV65" i="31"/>
  <c r="AN66" i="31"/>
  <c r="AB67" i="31"/>
  <c r="R68" i="31"/>
  <c r="AN69" i="31"/>
  <c r="AD70" i="31"/>
  <c r="V71" i="31"/>
  <c r="AR72" i="31"/>
  <c r="AN73" i="31"/>
  <c r="AP74" i="31"/>
  <c r="AV75" i="31"/>
  <c r="P77" i="31"/>
  <c r="AP78" i="31"/>
  <c r="BB80" i="31"/>
  <c r="X83" i="31"/>
  <c r="AJ85" i="31"/>
  <c r="AX87" i="31"/>
  <c r="AB90" i="31"/>
  <c r="AF93" i="31"/>
  <c r="Z101" i="31"/>
  <c r="R49" i="31"/>
  <c r="AX49" i="31"/>
  <c r="AP50" i="31"/>
  <c r="AD51" i="31"/>
  <c r="T52" i="31"/>
  <c r="BB52" i="31"/>
  <c r="AP53" i="31"/>
  <c r="AF54" i="31"/>
  <c r="X55" i="31"/>
  <c r="BB55" i="31"/>
  <c r="AR56" i="31"/>
  <c r="AJ57" i="31"/>
  <c r="X58" i="31"/>
  <c r="BD58" i="31"/>
  <c r="AV59" i="31"/>
  <c r="AJ60" i="31"/>
  <c r="Z61" i="31"/>
  <c r="R62" i="31"/>
  <c r="AV62" i="31"/>
  <c r="AL63" i="31"/>
  <c r="AD64" i="31"/>
  <c r="R65" i="31"/>
  <c r="AX65" i="31"/>
  <c r="AP66" i="31"/>
  <c r="AD67" i="31"/>
  <c r="T68" i="31"/>
  <c r="BB68" i="31"/>
  <c r="AP69" i="31"/>
  <c r="AF70" i="31"/>
  <c r="X71" i="31"/>
  <c r="BB71" i="31"/>
  <c r="AV72" i="31"/>
  <c r="AP73" i="31"/>
  <c r="AT74" i="31"/>
  <c r="T77" i="31"/>
  <c r="AX78" i="31"/>
  <c r="T81" i="31"/>
  <c r="AF83" i="31"/>
  <c r="AR85" i="31"/>
  <c r="P88" i="31"/>
  <c r="AN90" i="31"/>
  <c r="AN93" i="31"/>
  <c r="P102" i="31"/>
  <c r="AU80" i="31"/>
  <c r="T49" i="31"/>
  <c r="BB49" i="31"/>
  <c r="AR50" i="31"/>
  <c r="AF51" i="31"/>
  <c r="X52" i="31"/>
  <c r="BD52" i="31"/>
  <c r="AR53" i="31"/>
  <c r="AJ54" i="31"/>
  <c r="Z55" i="31"/>
  <c r="BD55" i="31"/>
  <c r="AV56" i="31"/>
  <c r="AL57" i="31"/>
  <c r="Z58" i="31"/>
  <c r="R59" i="31"/>
  <c r="AX59" i="31"/>
  <c r="AL60" i="31"/>
  <c r="AD61" i="31"/>
  <c r="T62" i="31"/>
  <c r="AX62" i="31"/>
  <c r="AP63" i="31"/>
  <c r="AF64" i="31"/>
  <c r="T65" i="31"/>
  <c r="BB65" i="31"/>
  <c r="AR66" i="31"/>
  <c r="AF67" i="31"/>
  <c r="X68" i="31"/>
  <c r="BD68" i="31"/>
  <c r="AR69" i="31"/>
  <c r="AJ70" i="31"/>
  <c r="Z71" i="31"/>
  <c r="BD71" i="31"/>
  <c r="AR73" i="31"/>
  <c r="AX74" i="31"/>
  <c r="BD75" i="31"/>
  <c r="Z77" i="31"/>
  <c r="V79" i="31"/>
  <c r="AH81" i="31"/>
  <c r="AT83" i="31"/>
  <c r="P86" i="31"/>
  <c r="AF88" i="31"/>
  <c r="P91" i="31"/>
  <c r="R94" i="31"/>
  <c r="AT102" i="31"/>
  <c r="BB43" i="31"/>
  <c r="AP44" i="31"/>
  <c r="AH45" i="31"/>
  <c r="V46" i="31"/>
  <c r="BB46" i="31"/>
  <c r="AT47" i="31"/>
  <c r="AH48" i="31"/>
  <c r="X49" i="31"/>
  <c r="P50" i="31"/>
  <c r="AT50" i="31"/>
  <c r="AJ51" i="31"/>
  <c r="AB52" i="31"/>
  <c r="P53" i="31"/>
  <c r="AV53" i="31"/>
  <c r="AN54" i="31"/>
  <c r="AB55" i="31"/>
  <c r="R56" i="31"/>
  <c r="AN57" i="31"/>
  <c r="AD58" i="31"/>
  <c r="V59" i="31"/>
  <c r="AP60" i="31"/>
  <c r="AH61" i="31"/>
  <c r="V62" i="31"/>
  <c r="BB62" i="31"/>
  <c r="AT63" i="31"/>
  <c r="AH64" i="31"/>
  <c r="X65" i="31"/>
  <c r="P66" i="31"/>
  <c r="AT66" i="31"/>
  <c r="AJ67" i="31"/>
  <c r="AB68" i="31"/>
  <c r="P69" i="31"/>
  <c r="AV69" i="31"/>
  <c r="AN70" i="31"/>
  <c r="AB71" i="31"/>
  <c r="R72" i="31"/>
  <c r="BB72" i="31"/>
  <c r="AV73" i="31"/>
  <c r="BB74" i="31"/>
  <c r="R76" i="31"/>
  <c r="AH77" i="31"/>
  <c r="X79" i="31"/>
  <c r="AJ81" i="31"/>
  <c r="AV83" i="31"/>
  <c r="R86" i="31"/>
  <c r="AH88" i="31"/>
  <c r="T91" i="31"/>
  <c r="AF94" i="31"/>
  <c r="AL103" i="31"/>
  <c r="AJ25" i="31"/>
  <c r="AP26" i="31"/>
  <c r="AJ29" i="31"/>
  <c r="AV31" i="31"/>
  <c r="AJ33" i="31"/>
  <c r="X35" i="31"/>
  <c r="AV35" i="31"/>
  <c r="AD36" i="31"/>
  <c r="BB36" i="31"/>
  <c r="AJ37" i="31"/>
  <c r="R38" i="31"/>
  <c r="AP38" i="31"/>
  <c r="X39" i="31"/>
  <c r="AV39" i="31"/>
  <c r="AD40" i="31"/>
  <c r="BB40" i="31"/>
  <c r="AJ41" i="31"/>
  <c r="R42" i="31"/>
  <c r="AR42" i="31"/>
  <c r="AB43" i="31"/>
  <c r="BD43" i="31"/>
  <c r="AR44" i="31"/>
  <c r="AJ45" i="31"/>
  <c r="X46" i="31"/>
  <c r="BD46" i="31"/>
  <c r="AV47" i="31"/>
  <c r="AJ48" i="31"/>
  <c r="Z49" i="31"/>
  <c r="R50" i="31"/>
  <c r="AV50" i="31"/>
  <c r="AL51" i="31"/>
  <c r="AD52" i="31"/>
  <c r="R53" i="31"/>
  <c r="AX53" i="31"/>
  <c r="AP54" i="31"/>
  <c r="AD55" i="31"/>
  <c r="T56" i="31"/>
  <c r="BB56" i="31"/>
  <c r="AP57" i="31"/>
  <c r="AF58" i="31"/>
  <c r="X59" i="31"/>
  <c r="BB59" i="31"/>
  <c r="AR60" i="31"/>
  <c r="AJ61" i="31"/>
  <c r="X62" i="31"/>
  <c r="BD62" i="31"/>
  <c r="AV63" i="31"/>
  <c r="AJ64" i="31"/>
  <c r="Z65" i="31"/>
  <c r="R66" i="31"/>
  <c r="AV66" i="31"/>
  <c r="AL67" i="31"/>
  <c r="AD68" i="31"/>
  <c r="R69" i="31"/>
  <c r="AX69" i="31"/>
  <c r="AP70" i="31"/>
  <c r="AD71" i="31"/>
  <c r="T72" i="31"/>
  <c r="P73" i="31"/>
  <c r="AX73" i="31"/>
  <c r="BD74" i="31"/>
  <c r="T76" i="31"/>
  <c r="AJ77" i="31"/>
  <c r="AF79" i="31"/>
  <c r="AR81" i="31"/>
  <c r="BD83" i="31"/>
  <c r="Z86" i="31"/>
  <c r="AP88" i="31"/>
  <c r="AB91" i="31"/>
  <c r="V95" i="31"/>
  <c r="AB104" i="31"/>
  <c r="AV27" i="31"/>
  <c r="P23" i="31"/>
  <c r="AN23" i="31"/>
  <c r="F39" i="31"/>
  <c r="F51" i="31"/>
  <c r="F63" i="31"/>
  <c r="F75" i="31"/>
  <c r="F87" i="31"/>
  <c r="F99" i="31"/>
  <c r="H40" i="31"/>
  <c r="H52" i="31"/>
  <c r="H64" i="31"/>
  <c r="H76" i="31"/>
  <c r="H88" i="31"/>
  <c r="H100" i="31"/>
  <c r="J29" i="31"/>
  <c r="J41" i="31"/>
  <c r="J53" i="31"/>
  <c r="J65" i="31"/>
  <c r="J77" i="31"/>
  <c r="J89" i="31"/>
  <c r="J101" i="31"/>
  <c r="L30" i="31"/>
  <c r="L42" i="31"/>
  <c r="L54" i="31"/>
  <c r="L66" i="31"/>
  <c r="L78" i="31"/>
  <c r="L90" i="31"/>
  <c r="L102" i="31"/>
  <c r="N31" i="31"/>
  <c r="N43" i="31"/>
  <c r="N55" i="31"/>
  <c r="N67" i="31"/>
  <c r="N79" i="31"/>
  <c r="N91" i="31"/>
  <c r="N103" i="31"/>
  <c r="AF24" i="31"/>
  <c r="BD24" i="31"/>
  <c r="AL25" i="31"/>
  <c r="AR26" i="31"/>
  <c r="Z27" i="31"/>
  <c r="AX27" i="31"/>
  <c r="AF28" i="31"/>
  <c r="BD28" i="31"/>
  <c r="AL29" i="31"/>
  <c r="Z31" i="31"/>
  <c r="AX31" i="31"/>
  <c r="AF32" i="31"/>
  <c r="BD32" i="31"/>
  <c r="AL33" i="31"/>
  <c r="T34" i="31"/>
  <c r="Z35" i="31"/>
  <c r="AX35" i="31"/>
  <c r="AF36" i="31"/>
  <c r="BD36" i="31"/>
  <c r="AL37" i="31"/>
  <c r="T38" i="31"/>
  <c r="AR38" i="31"/>
  <c r="Z39" i="31"/>
  <c r="AX39" i="31"/>
  <c r="AF40" i="31"/>
  <c r="BD40" i="31"/>
  <c r="AL41" i="31"/>
  <c r="T42" i="31"/>
  <c r="AT42" i="31"/>
  <c r="AD43" i="31"/>
  <c r="R44" i="31"/>
  <c r="AV44" i="31"/>
  <c r="AL45" i="31"/>
  <c r="Z46" i="31"/>
  <c r="R47" i="31"/>
  <c r="AX47" i="31"/>
  <c r="AL48" i="31"/>
  <c r="AD49" i="31"/>
  <c r="T50" i="31"/>
  <c r="AX50" i="31"/>
  <c r="AP51" i="31"/>
  <c r="AF52" i="31"/>
  <c r="T53" i="31"/>
  <c r="BB53" i="31"/>
  <c r="AR54" i="31"/>
  <c r="AF55" i="31"/>
  <c r="X56" i="31"/>
  <c r="BD56" i="31"/>
  <c r="AR57" i="31"/>
  <c r="AJ58" i="31"/>
  <c r="Z59" i="31"/>
  <c r="BD59" i="31"/>
  <c r="AV60" i="31"/>
  <c r="AL61" i="31"/>
  <c r="Z62" i="31"/>
  <c r="R63" i="31"/>
  <c r="AX63" i="31"/>
  <c r="AL64" i="31"/>
  <c r="AD65" i="31"/>
  <c r="T66" i="31"/>
  <c r="AX66" i="31"/>
  <c r="AP67" i="31"/>
  <c r="AF68" i="31"/>
  <c r="T69" i="31"/>
  <c r="BB69" i="31"/>
  <c r="AR70" i="31"/>
  <c r="AF71" i="31"/>
  <c r="X72" i="31"/>
  <c r="R73" i="31"/>
  <c r="P74" i="31"/>
  <c r="V75" i="31"/>
  <c r="AB76" i="31"/>
  <c r="AN77" i="31"/>
  <c r="AT79" i="31"/>
  <c r="P82" i="31"/>
  <c r="AB84" i="31"/>
  <c r="AN86" i="31"/>
  <c r="P89" i="31"/>
  <c r="AV91" i="31"/>
  <c r="V105" i="31"/>
  <c r="W107" i="31" l="1"/>
  <c r="W109" i="31" s="1"/>
  <c r="M16" i="31"/>
  <c r="M18" i="31" s="1"/>
  <c r="AK16" i="31"/>
  <c r="AK18" i="31" s="1"/>
  <c r="Q16" i="31"/>
  <c r="Q18" i="31" s="1"/>
  <c r="AO16" i="31"/>
  <c r="AO18" i="31" s="1"/>
  <c r="S16" i="31"/>
  <c r="S18" i="31" s="1"/>
  <c r="AQ16" i="31"/>
  <c r="AQ18" i="31" s="1"/>
  <c r="K16" i="31"/>
  <c r="K18" i="31" s="1"/>
  <c r="AI16" i="31"/>
  <c r="AI18" i="31" s="1"/>
  <c r="BG16" i="31"/>
  <c r="BG18" i="31" s="1"/>
  <c r="O16" i="31"/>
  <c r="O18" i="31" s="1"/>
  <c r="AM16" i="31"/>
  <c r="AM18" i="31" s="1"/>
  <c r="W16" i="31"/>
  <c r="W18" i="31" s="1"/>
  <c r="AU16" i="31"/>
  <c r="AU18" i="31" s="1"/>
  <c r="AC16" i="31"/>
  <c r="AC18" i="31" s="1"/>
  <c r="BA16" i="31"/>
  <c r="BA18" i="31" s="1"/>
  <c r="E13" i="31"/>
  <c r="E14" i="31"/>
  <c r="U16" i="31"/>
  <c r="U18" i="31" s="1"/>
  <c r="AS16" i="31"/>
  <c r="AS18" i="31" s="1"/>
  <c r="Y16" i="31"/>
  <c r="Y18" i="31" s="1"/>
  <c r="AW16" i="31"/>
  <c r="AW18" i="31" s="1"/>
  <c r="E15" i="31"/>
  <c r="N5" i="31" s="1"/>
  <c r="AA16" i="31"/>
  <c r="AA18" i="31" s="1"/>
  <c r="AY16" i="31"/>
  <c r="AY18" i="31" s="1"/>
  <c r="G16" i="31"/>
  <c r="G18" i="31" s="1"/>
  <c r="AE16" i="31"/>
  <c r="AE18" i="31" s="1"/>
  <c r="BC16" i="31"/>
  <c r="BC18" i="31" s="1"/>
  <c r="E17" i="31"/>
  <c r="N7" i="31" s="1"/>
  <c r="I16" i="31"/>
  <c r="I18" i="31" s="1"/>
  <c r="AG16" i="31"/>
  <c r="AG18" i="31" s="1"/>
  <c r="BE16" i="31"/>
  <c r="BE18" i="31" s="1"/>
  <c r="Y107" i="31"/>
  <c r="Y109" i="31" s="1"/>
  <c r="BA107" i="31"/>
  <c r="BA109" i="31" s="1"/>
  <c r="U107" i="31"/>
  <c r="U109" i="31" s="1"/>
  <c r="AC107" i="31"/>
  <c r="AC109" i="31" s="1"/>
  <c r="AE107" i="31"/>
  <c r="AE109" i="31" s="1"/>
  <c r="AG107" i="31"/>
  <c r="AG109" i="31" s="1"/>
  <c r="O107" i="31"/>
  <c r="O109" i="31" s="1"/>
  <c r="Q107" i="31"/>
  <c r="S107" i="31"/>
  <c r="S109" i="31" s="1"/>
  <c r="BG107" i="31"/>
  <c r="E12" i="31"/>
  <c r="AI107" i="31"/>
  <c r="AA107" i="31"/>
  <c r="BF82" i="31"/>
  <c r="BC107" i="31"/>
  <c r="AY107" i="31"/>
  <c r="AO107" i="31"/>
  <c r="AU107" i="31"/>
  <c r="BF98" i="31"/>
  <c r="BF106" i="31"/>
  <c r="BF105" i="31"/>
  <c r="AQ107" i="31"/>
  <c r="BF84" i="31"/>
  <c r="BF99" i="31"/>
  <c r="BF94" i="31"/>
  <c r="BF97" i="31"/>
  <c r="BF89" i="31"/>
  <c r="I107" i="31"/>
  <c r="BE107" i="31"/>
  <c r="BF75" i="31"/>
  <c r="BF54" i="31"/>
  <c r="BF73" i="31"/>
  <c r="BF45" i="31"/>
  <c r="BF76" i="31"/>
  <c r="BF41" i="31"/>
  <c r="AW107" i="31"/>
  <c r="BF56" i="31"/>
  <c r="BF48" i="31"/>
  <c r="BF91" i="31"/>
  <c r="AS107" i="31"/>
  <c r="BF101" i="31"/>
  <c r="BF95" i="31"/>
  <c r="BF72" i="31"/>
  <c r="BF53" i="31"/>
  <c r="BF103" i="31"/>
  <c r="BF64" i="31"/>
  <c r="BF67" i="31"/>
  <c r="BF58" i="31"/>
  <c r="BF49" i="31"/>
  <c r="BF81" i="31"/>
  <c r="BF68" i="31"/>
  <c r="BF93" i="31"/>
  <c r="BF90" i="31"/>
  <c r="BF71" i="31"/>
  <c r="BF62" i="31"/>
  <c r="AT107" i="31"/>
  <c r="AT109" i="31" s="1"/>
  <c r="AZ107" i="31"/>
  <c r="AZ109" i="31" s="1"/>
  <c r="BF85" i="31"/>
  <c r="BF96" i="31"/>
  <c r="AK107" i="31"/>
  <c r="BF92" i="31"/>
  <c r="G107" i="31"/>
  <c r="M107" i="31"/>
  <c r="BF87" i="31"/>
  <c r="BF104" i="31"/>
  <c r="AM107" i="31"/>
  <c r="BF38" i="31"/>
  <c r="BF43" i="31"/>
  <c r="BF36" i="31"/>
  <c r="BF79" i="31"/>
  <c r="BD107" i="31"/>
  <c r="BD109" i="31" s="1"/>
  <c r="BF46" i="31"/>
  <c r="BF69" i="31"/>
  <c r="BF55" i="31"/>
  <c r="BF77" i="31"/>
  <c r="BF65" i="31"/>
  <c r="BF63" i="31"/>
  <c r="BF44" i="31"/>
  <c r="BF40" i="31"/>
  <c r="BF57" i="31"/>
  <c r="BF42" i="31"/>
  <c r="AV107" i="31"/>
  <c r="AV109" i="31" s="1"/>
  <c r="BF80" i="31"/>
  <c r="BF50" i="31"/>
  <c r="AF107" i="31"/>
  <c r="AF109" i="31" s="1"/>
  <c r="N107" i="31"/>
  <c r="N109" i="31" s="1"/>
  <c r="BF102" i="31"/>
  <c r="BF66" i="31"/>
  <c r="AJ107" i="31"/>
  <c r="AJ109" i="31" s="1"/>
  <c r="BF47" i="31"/>
  <c r="AL107" i="31"/>
  <c r="AL109" i="31" s="1"/>
  <c r="BF78" i="31"/>
  <c r="BF100" i="31"/>
  <c r="BF39" i="31"/>
  <c r="BF86" i="31"/>
  <c r="BF60" i="31"/>
  <c r="BF51" i="31"/>
  <c r="BF88" i="31"/>
  <c r="AN107" i="31"/>
  <c r="AN109" i="31" s="1"/>
  <c r="BF61" i="31"/>
  <c r="BF52" i="31"/>
  <c r="BF83" i="31"/>
  <c r="K107" i="31"/>
  <c r="BF74" i="31"/>
  <c r="L107" i="31"/>
  <c r="L109" i="31" s="1"/>
  <c r="BF59" i="31"/>
  <c r="P107" i="31"/>
  <c r="P109" i="31" s="1"/>
  <c r="AH107" i="31"/>
  <c r="AH109" i="31" s="1"/>
  <c r="AX107" i="31"/>
  <c r="AX109" i="31" s="1"/>
  <c r="BF70" i="31"/>
  <c r="E16" i="31" l="1"/>
  <c r="Q109" i="31"/>
  <c r="M109" i="31"/>
  <c r="G109" i="31"/>
  <c r="AK109" i="31"/>
  <c r="AW109" i="31"/>
  <c r="AI109" i="31"/>
  <c r="AM109" i="31"/>
  <c r="I109" i="31"/>
  <c r="AA109" i="31"/>
  <c r="AY109" i="31"/>
  <c r="AQ109" i="31"/>
  <c r="K109" i="31"/>
  <c r="AU109" i="31"/>
  <c r="BE109" i="31"/>
  <c r="AO109" i="31"/>
  <c r="BC109" i="31"/>
  <c r="BG109" i="31"/>
  <c r="AS109" i="31"/>
  <c r="AE2011" i="24"/>
  <c r="AA97" i="13" s="1"/>
  <c r="O2011" i="24"/>
  <c r="C1502" i="24"/>
  <c r="A2010" i="24"/>
  <c r="A2009" i="24"/>
  <c r="A2008" i="24"/>
  <c r="A2007" i="24"/>
  <c r="A2006" i="24"/>
  <c r="A2005" i="24"/>
  <c r="A2004" i="24"/>
  <c r="A2003" i="24"/>
  <c r="A2002" i="24"/>
  <c r="A2001" i="24"/>
  <c r="A2000" i="24"/>
  <c r="A1999" i="24"/>
  <c r="A1998" i="24"/>
  <c r="A1997" i="24"/>
  <c r="A1996" i="24"/>
  <c r="A1995" i="24"/>
  <c r="A1994" i="24"/>
  <c r="A1993" i="24"/>
  <c r="A1992" i="24"/>
  <c r="A1991" i="24"/>
  <c r="A1990" i="24"/>
  <c r="A1989" i="24"/>
  <c r="A1988" i="24"/>
  <c r="A1987" i="24"/>
  <c r="A1986" i="24"/>
  <c r="A1985" i="24"/>
  <c r="A1984" i="24"/>
  <c r="A1983" i="24"/>
  <c r="A1982" i="24"/>
  <c r="A1981" i="24"/>
  <c r="A1980" i="24"/>
  <c r="A1979" i="24"/>
  <c r="A1978" i="24"/>
  <c r="A1977" i="24"/>
  <c r="A1976" i="24"/>
  <c r="A1975" i="24"/>
  <c r="A1974" i="24"/>
  <c r="A1973" i="24"/>
  <c r="A1972" i="24"/>
  <c r="A1971" i="24"/>
  <c r="A1970" i="24"/>
  <c r="A1969" i="24"/>
  <c r="A1968" i="24"/>
  <c r="A1967" i="24"/>
  <c r="A1966" i="24"/>
  <c r="A1965" i="24"/>
  <c r="A1964" i="24"/>
  <c r="A1963" i="24"/>
  <c r="A1962" i="24"/>
  <c r="A1961" i="24"/>
  <c r="A1960" i="24"/>
  <c r="A1959" i="24"/>
  <c r="A1958" i="24"/>
  <c r="A1957" i="24"/>
  <c r="A1956" i="24"/>
  <c r="A1955" i="24"/>
  <c r="A1954" i="24"/>
  <c r="A1953" i="24"/>
  <c r="A1952" i="24"/>
  <c r="A1951" i="24"/>
  <c r="A1950" i="24"/>
  <c r="A1949" i="24"/>
  <c r="A1948" i="24"/>
  <c r="A1947" i="24"/>
  <c r="A1946" i="24"/>
  <c r="A1945" i="24"/>
  <c r="A1944" i="24"/>
  <c r="A1943" i="24"/>
  <c r="A1942" i="24"/>
  <c r="A1941" i="24"/>
  <c r="A1940" i="24"/>
  <c r="A1939" i="24"/>
  <c r="A1938" i="24"/>
  <c r="A1937" i="24"/>
  <c r="A1936" i="24"/>
  <c r="A1935" i="24"/>
  <c r="A1934" i="24"/>
  <c r="A1933" i="24"/>
  <c r="A1932" i="24"/>
  <c r="A1931" i="24"/>
  <c r="A1930" i="24"/>
  <c r="A1929" i="24"/>
  <c r="A1928" i="24"/>
  <c r="A1927" i="24"/>
  <c r="A1926" i="24"/>
  <c r="A1925" i="24"/>
  <c r="A1924" i="24"/>
  <c r="A1923" i="24"/>
  <c r="A1922" i="24"/>
  <c r="A1921" i="24"/>
  <c r="A1920" i="24"/>
  <c r="A1919" i="24"/>
  <c r="A1918" i="24"/>
  <c r="A1917" i="24"/>
  <c r="A1916" i="24"/>
  <c r="A1915" i="24"/>
  <c r="A1914" i="24"/>
  <c r="A1913" i="24"/>
  <c r="A1912" i="24"/>
  <c r="A1911" i="24"/>
  <c r="A1910" i="24"/>
  <c r="A1909" i="24"/>
  <c r="A1908" i="24"/>
  <c r="A1907" i="24"/>
  <c r="A1906" i="24"/>
  <c r="A1905" i="24"/>
  <c r="A1904" i="24"/>
  <c r="A1903" i="24"/>
  <c r="A1902" i="24"/>
  <c r="A1901" i="24"/>
  <c r="A1900" i="24"/>
  <c r="A1899" i="24"/>
  <c r="A1898" i="24"/>
  <c r="A1897" i="24"/>
  <c r="A1896" i="24"/>
  <c r="A1895" i="24"/>
  <c r="A1894" i="24"/>
  <c r="A1893" i="24"/>
  <c r="A1892" i="24"/>
  <c r="A1891" i="24"/>
  <c r="A1890" i="24"/>
  <c r="A1889" i="24"/>
  <c r="A1888" i="24"/>
  <c r="A1887" i="24"/>
  <c r="A1886" i="24"/>
  <c r="A1885" i="24"/>
  <c r="A1884" i="24"/>
  <c r="A1883" i="24"/>
  <c r="A1882" i="24"/>
  <c r="A1881" i="24"/>
  <c r="A1880" i="24"/>
  <c r="A1879" i="24"/>
  <c r="A1878" i="24"/>
  <c r="A1877" i="24"/>
  <c r="A1876" i="24"/>
  <c r="A1875" i="24"/>
  <c r="A1874" i="24"/>
  <c r="A1873" i="24"/>
  <c r="A1872" i="24"/>
  <c r="A1871" i="24"/>
  <c r="A1870" i="24"/>
  <c r="A1869" i="24"/>
  <c r="A1868" i="24"/>
  <c r="A1867" i="24"/>
  <c r="A1866" i="24"/>
  <c r="A1865" i="24"/>
  <c r="A1864" i="24"/>
  <c r="A1863" i="24"/>
  <c r="A1862" i="24"/>
  <c r="A1861" i="24"/>
  <c r="A1860" i="24"/>
  <c r="A1859" i="24"/>
  <c r="A1858" i="24"/>
  <c r="A1857" i="24"/>
  <c r="A1856" i="24"/>
  <c r="A1855" i="24"/>
  <c r="A1854" i="24"/>
  <c r="A1853" i="24"/>
  <c r="A1852" i="24"/>
  <c r="A1851" i="24"/>
  <c r="A1850" i="24"/>
  <c r="A1849" i="24"/>
  <c r="A1848" i="24"/>
  <c r="A1847" i="24"/>
  <c r="A1846" i="24"/>
  <c r="A1845" i="24"/>
  <c r="A1844" i="24"/>
  <c r="A1843" i="24"/>
  <c r="A1842" i="24"/>
  <c r="A1841" i="24"/>
  <c r="A1840" i="24"/>
  <c r="A1839" i="24"/>
  <c r="A1838" i="24"/>
  <c r="A1837" i="24"/>
  <c r="A1836" i="24"/>
  <c r="A1835" i="24"/>
  <c r="A1834" i="24"/>
  <c r="A1833" i="24"/>
  <c r="A1832" i="24"/>
  <c r="A1831" i="24"/>
  <c r="A1830" i="24"/>
  <c r="A1829" i="24"/>
  <c r="A1828" i="24"/>
  <c r="A1827" i="24"/>
  <c r="A1826" i="24"/>
  <c r="A1825" i="24"/>
  <c r="A1824" i="24"/>
  <c r="A1823" i="24"/>
  <c r="A1822" i="24"/>
  <c r="A1821" i="24"/>
  <c r="A1820" i="24"/>
  <c r="A1819" i="24"/>
  <c r="A1818" i="24"/>
  <c r="A1817" i="24"/>
  <c r="A1816" i="24"/>
  <c r="A1815" i="24"/>
  <c r="A1814" i="24"/>
  <c r="A1813" i="24"/>
  <c r="A1812" i="24"/>
  <c r="A1811" i="24"/>
  <c r="A1810" i="24"/>
  <c r="A1809" i="24"/>
  <c r="A1808" i="24"/>
  <c r="A1807" i="24"/>
  <c r="A1806" i="24"/>
  <c r="A1805" i="24"/>
  <c r="A1804" i="24"/>
  <c r="A1803" i="24"/>
  <c r="A1802" i="24"/>
  <c r="A1801" i="24"/>
  <c r="A1800" i="24"/>
  <c r="A1799" i="24"/>
  <c r="A1798" i="24"/>
  <c r="A1797" i="24"/>
  <c r="A1796" i="24"/>
  <c r="A1795" i="24"/>
  <c r="A1794" i="24"/>
  <c r="A1793" i="24"/>
  <c r="A1792" i="24"/>
  <c r="A1791" i="24"/>
  <c r="A1790" i="24"/>
  <c r="A1789" i="24"/>
  <c r="A1788" i="24"/>
  <c r="A1787" i="24"/>
  <c r="A1786" i="24"/>
  <c r="A1785" i="24"/>
  <c r="A1784" i="24"/>
  <c r="A1783" i="24"/>
  <c r="A1782" i="24"/>
  <c r="A1781" i="24"/>
  <c r="A1780" i="24"/>
  <c r="A1779" i="24"/>
  <c r="A1778" i="24"/>
  <c r="A1777" i="24"/>
  <c r="A1776" i="24"/>
  <c r="A1775" i="24"/>
  <c r="A1774" i="24"/>
  <c r="A1773" i="24"/>
  <c r="A1772" i="24"/>
  <c r="A1771" i="24"/>
  <c r="A1770" i="24"/>
  <c r="A1769" i="24"/>
  <c r="A1768" i="24"/>
  <c r="A1767" i="24"/>
  <c r="A1766" i="24"/>
  <c r="A1765" i="24"/>
  <c r="A1764" i="24"/>
  <c r="A1763" i="24"/>
  <c r="A1762" i="24"/>
  <c r="A1761" i="24"/>
  <c r="A1760" i="24"/>
  <c r="A1759" i="24"/>
  <c r="A1758" i="24"/>
  <c r="A1757" i="24"/>
  <c r="A1756" i="24"/>
  <c r="A1755" i="24"/>
  <c r="A1754" i="24"/>
  <c r="A1753" i="24"/>
  <c r="A1752" i="24"/>
  <c r="A1751" i="24"/>
  <c r="A1750" i="24"/>
  <c r="A1749" i="24"/>
  <c r="A1748" i="24"/>
  <c r="A1747" i="24"/>
  <c r="A1746" i="24"/>
  <c r="A1745" i="24"/>
  <c r="A1744" i="24"/>
  <c r="A1743" i="24"/>
  <c r="A1742" i="24"/>
  <c r="A1741" i="24"/>
  <c r="A1740" i="24"/>
  <c r="A1739" i="24"/>
  <c r="A1738" i="24"/>
  <c r="A1737" i="24"/>
  <c r="A1736" i="24"/>
  <c r="A1735" i="24"/>
  <c r="A1734" i="24"/>
  <c r="A1733" i="24"/>
  <c r="A1732" i="24"/>
  <c r="A1731" i="24"/>
  <c r="A1730" i="24"/>
  <c r="A1729" i="24"/>
  <c r="A1728" i="24"/>
  <c r="A1727" i="24"/>
  <c r="A1726" i="24"/>
  <c r="A1725" i="24"/>
  <c r="A1724" i="24"/>
  <c r="A1723" i="24"/>
  <c r="A1722" i="24"/>
  <c r="A1721" i="24"/>
  <c r="A1720" i="24"/>
  <c r="A1719" i="24"/>
  <c r="A1718" i="24"/>
  <c r="A1717" i="24"/>
  <c r="A1716" i="24"/>
  <c r="A1715" i="24"/>
  <c r="A1714" i="24"/>
  <c r="A1713" i="24"/>
  <c r="A1712" i="24"/>
  <c r="A1711" i="24"/>
  <c r="A1710" i="24"/>
  <c r="A1709" i="24"/>
  <c r="A1708" i="24"/>
  <c r="A1707" i="24"/>
  <c r="A1706" i="24"/>
  <c r="A1705" i="24"/>
  <c r="A1704" i="24"/>
  <c r="A1703" i="24"/>
  <c r="A1702" i="24"/>
  <c r="A1701" i="24"/>
  <c r="A1700" i="24"/>
  <c r="A1699" i="24"/>
  <c r="A1698" i="24"/>
  <c r="A1697" i="24"/>
  <c r="A1696" i="24"/>
  <c r="A1695" i="24"/>
  <c r="A1694" i="24"/>
  <c r="A1693" i="24"/>
  <c r="A1692" i="24"/>
  <c r="A1691" i="24"/>
  <c r="A1690" i="24"/>
  <c r="A1689" i="24"/>
  <c r="A1688" i="24"/>
  <c r="A1687" i="24"/>
  <c r="A1686" i="24"/>
  <c r="A1685" i="24"/>
  <c r="A1684" i="24"/>
  <c r="A1683" i="24"/>
  <c r="A1682" i="24"/>
  <c r="A1681" i="24"/>
  <c r="A1680" i="24"/>
  <c r="A1679" i="24"/>
  <c r="A1678" i="24"/>
  <c r="A1677" i="24"/>
  <c r="A1676" i="24"/>
  <c r="A1675" i="24"/>
  <c r="A1674" i="24"/>
  <c r="A1673" i="24"/>
  <c r="A1672" i="24"/>
  <c r="A1671" i="24"/>
  <c r="A1670" i="24"/>
  <c r="A1669" i="24"/>
  <c r="A1668" i="24"/>
  <c r="A1667" i="24"/>
  <c r="A1666" i="24"/>
  <c r="A1665" i="24"/>
  <c r="A1664" i="24"/>
  <c r="A1663" i="24"/>
  <c r="A1662" i="24"/>
  <c r="A1661" i="24"/>
  <c r="A1660" i="24"/>
  <c r="A1659" i="24"/>
  <c r="A1658" i="24"/>
  <c r="A1657" i="24"/>
  <c r="A1656" i="24"/>
  <c r="A1655" i="24"/>
  <c r="A1654" i="24"/>
  <c r="A1653" i="24"/>
  <c r="A1652" i="24"/>
  <c r="A1651" i="24"/>
  <c r="A1650" i="24"/>
  <c r="A1649" i="24"/>
  <c r="A1648" i="24"/>
  <c r="A1647" i="24"/>
  <c r="A1646" i="24"/>
  <c r="A1645" i="24"/>
  <c r="A1644" i="24"/>
  <c r="A1643" i="24"/>
  <c r="A1642" i="24"/>
  <c r="A1641" i="24"/>
  <c r="A1640" i="24"/>
  <c r="A1639" i="24"/>
  <c r="A1638" i="24"/>
  <c r="A1637" i="24"/>
  <c r="A1636" i="24"/>
  <c r="A1635" i="24"/>
  <c r="A1634" i="24"/>
  <c r="A1633" i="24"/>
  <c r="A1632" i="24"/>
  <c r="A1631" i="24"/>
  <c r="A1630" i="24"/>
  <c r="A1629" i="24"/>
  <c r="A1628" i="24"/>
  <c r="A1627" i="24"/>
  <c r="A1626" i="24"/>
  <c r="A1625" i="24"/>
  <c r="A1624" i="24"/>
  <c r="A1623" i="24"/>
  <c r="A1622" i="24"/>
  <c r="A1621" i="24"/>
  <c r="A1620" i="24"/>
  <c r="A1619" i="24"/>
  <c r="A1618" i="24"/>
  <c r="A1617" i="24"/>
  <c r="A1616" i="24"/>
  <c r="A1615" i="24"/>
  <c r="A1614" i="24"/>
  <c r="A1613" i="24"/>
  <c r="A1612" i="24"/>
  <c r="A1611" i="24"/>
  <c r="A1610" i="24"/>
  <c r="A1609" i="24"/>
  <c r="A1608" i="24"/>
  <c r="A1607" i="24"/>
  <c r="A1606" i="24"/>
  <c r="A1605" i="24"/>
  <c r="A1604" i="24"/>
  <c r="A1603" i="24"/>
  <c r="A1602" i="24"/>
  <c r="A1601" i="24"/>
  <c r="A1600" i="24"/>
  <c r="A1599" i="24"/>
  <c r="A1598" i="24"/>
  <c r="A1597" i="24"/>
  <c r="A1596" i="24"/>
  <c r="A1595" i="24"/>
  <c r="A1594" i="24"/>
  <c r="A1593" i="24"/>
  <c r="A1592" i="24"/>
  <c r="A1591" i="24"/>
  <c r="A1590" i="24"/>
  <c r="A1589" i="24"/>
  <c r="A1588" i="24"/>
  <c r="A1587" i="24"/>
  <c r="A1586" i="24"/>
  <c r="A1585" i="24"/>
  <c r="A1584" i="24"/>
  <c r="A1583" i="24"/>
  <c r="A1582" i="24"/>
  <c r="A1581" i="24"/>
  <c r="A1580" i="24"/>
  <c r="A1579" i="24"/>
  <c r="A1578" i="24"/>
  <c r="A1577" i="24"/>
  <c r="A1576" i="24"/>
  <c r="A1575" i="24"/>
  <c r="A1574" i="24"/>
  <c r="A1573" i="24"/>
  <c r="A1572" i="24"/>
  <c r="A1571" i="24"/>
  <c r="A1570" i="24"/>
  <c r="A1569" i="24"/>
  <c r="A1568" i="24"/>
  <c r="A1567" i="24"/>
  <c r="A1566" i="24"/>
  <c r="A1565" i="24"/>
  <c r="A1564" i="24"/>
  <c r="A1563" i="24"/>
  <c r="A1562" i="24"/>
  <c r="A1561" i="24"/>
  <c r="A1560" i="24"/>
  <c r="A1559" i="24"/>
  <c r="A1558" i="24"/>
  <c r="A1557" i="24"/>
  <c r="A1556" i="24"/>
  <c r="A1555" i="24"/>
  <c r="A1554" i="24"/>
  <c r="A1553" i="24"/>
  <c r="A1552" i="24"/>
  <c r="A1551" i="24"/>
  <c r="A1550" i="24"/>
  <c r="A1549" i="24"/>
  <c r="A1548" i="24"/>
  <c r="A1547" i="24"/>
  <c r="A1546" i="24"/>
  <c r="A1545" i="24"/>
  <c r="A1544" i="24"/>
  <c r="A1543" i="24"/>
  <c r="A1542" i="24"/>
  <c r="A1541" i="24"/>
  <c r="A1540" i="24"/>
  <c r="A1539" i="24"/>
  <c r="A1538" i="24"/>
  <c r="A1537" i="24"/>
  <c r="A1536" i="24"/>
  <c r="A1535" i="24"/>
  <c r="A1534" i="24"/>
  <c r="A1533" i="24"/>
  <c r="A1532" i="24"/>
  <c r="A1531" i="24"/>
  <c r="A1530" i="24"/>
  <c r="A1529" i="24"/>
  <c r="A1528" i="24"/>
  <c r="A1527" i="24"/>
  <c r="A1526" i="24"/>
  <c r="A1525" i="24"/>
  <c r="A1524" i="24"/>
  <c r="A1523" i="24"/>
  <c r="A1522" i="24"/>
  <c r="A1521" i="24"/>
  <c r="A1520" i="24"/>
  <c r="A1519" i="24"/>
  <c r="A1518" i="24"/>
  <c r="A1517" i="24"/>
  <c r="A1516" i="24"/>
  <c r="A1515" i="24"/>
  <c r="A1514" i="24"/>
  <c r="A1513" i="24"/>
  <c r="A1512" i="24"/>
  <c r="A1511" i="24"/>
  <c r="A1510" i="24"/>
  <c r="A1509" i="24"/>
  <c r="A1508" i="24"/>
  <c r="A1507" i="24"/>
  <c r="A1506" i="24"/>
  <c r="A1505" i="24"/>
  <c r="A1504" i="24"/>
  <c r="A1503" i="24"/>
  <c r="A1502" i="24"/>
  <c r="AQ2010" i="24"/>
  <c r="AP2010" i="24"/>
  <c r="AJ2010" i="24"/>
  <c r="AI2010" i="24"/>
  <c r="AH2010" i="24"/>
  <c r="AG2010" i="24"/>
  <c r="Q2010" i="24"/>
  <c r="AQ2009" i="24"/>
  <c r="AP2009" i="24"/>
  <c r="AJ2009" i="24"/>
  <c r="AI2009" i="24"/>
  <c r="AH2009" i="24"/>
  <c r="AG2009" i="24"/>
  <c r="Q2009" i="24"/>
  <c r="AQ2008" i="24"/>
  <c r="AP2008" i="24"/>
  <c r="AJ2008" i="24"/>
  <c r="AI2008" i="24"/>
  <c r="AH2008" i="24"/>
  <c r="AG2008" i="24"/>
  <c r="Q2008" i="24"/>
  <c r="AQ2007" i="24"/>
  <c r="AP2007" i="24"/>
  <c r="AJ2007" i="24"/>
  <c r="AI2007" i="24"/>
  <c r="AH2007" i="24"/>
  <c r="AG2007" i="24"/>
  <c r="Q2007" i="24"/>
  <c r="AQ2006" i="24"/>
  <c r="AP2006" i="24"/>
  <c r="AJ2006" i="24"/>
  <c r="AI2006" i="24"/>
  <c r="AH2006" i="24"/>
  <c r="AG2006" i="24"/>
  <c r="Q2006" i="24"/>
  <c r="AQ2005" i="24"/>
  <c r="AP2005" i="24"/>
  <c r="AJ2005" i="24"/>
  <c r="AI2005" i="24"/>
  <c r="AH2005" i="24"/>
  <c r="AG2005" i="24"/>
  <c r="Q2005" i="24"/>
  <c r="AQ2004" i="24"/>
  <c r="AP2004" i="24"/>
  <c r="AJ2004" i="24"/>
  <c r="AI2004" i="24"/>
  <c r="AH2004" i="24"/>
  <c r="AG2004" i="24"/>
  <c r="Q2004" i="24"/>
  <c r="AQ2003" i="24"/>
  <c r="AP2003" i="24"/>
  <c r="AJ2003" i="24"/>
  <c r="AI2003" i="24"/>
  <c r="AH2003" i="24"/>
  <c r="AG2003" i="24"/>
  <c r="Q2003" i="24"/>
  <c r="AQ2002" i="24"/>
  <c r="AP2002" i="24"/>
  <c r="AJ2002" i="24"/>
  <c r="AI2002" i="24"/>
  <c r="AH2002" i="24"/>
  <c r="AG2002" i="24"/>
  <c r="Q2002" i="24"/>
  <c r="AQ2001" i="24"/>
  <c r="AP2001" i="24"/>
  <c r="AJ2001" i="24"/>
  <c r="AI2001" i="24"/>
  <c r="AH2001" i="24"/>
  <c r="AG2001" i="24"/>
  <c r="Q2001" i="24"/>
  <c r="AQ2000" i="24"/>
  <c r="AP2000" i="24"/>
  <c r="AJ2000" i="24"/>
  <c r="AI2000" i="24"/>
  <c r="AH2000" i="24"/>
  <c r="AG2000" i="24"/>
  <c r="Q2000" i="24"/>
  <c r="AQ1999" i="24"/>
  <c r="AP1999" i="24"/>
  <c r="AJ1999" i="24"/>
  <c r="AI1999" i="24"/>
  <c r="AH1999" i="24"/>
  <c r="AG1999" i="24"/>
  <c r="Q1999" i="24"/>
  <c r="AQ1998" i="24"/>
  <c r="AP1998" i="24"/>
  <c r="AJ1998" i="24"/>
  <c r="AI1998" i="24"/>
  <c r="AH1998" i="24"/>
  <c r="AG1998" i="24"/>
  <c r="Q1998" i="24"/>
  <c r="AQ1997" i="24"/>
  <c r="AP1997" i="24"/>
  <c r="AJ1997" i="24"/>
  <c r="AI1997" i="24"/>
  <c r="AH1997" i="24"/>
  <c r="AG1997" i="24"/>
  <c r="Q1997" i="24"/>
  <c r="AQ1996" i="24"/>
  <c r="AP1996" i="24"/>
  <c r="AJ1996" i="24"/>
  <c r="AI1996" i="24"/>
  <c r="AH1996" i="24"/>
  <c r="AG1996" i="24"/>
  <c r="Q1996" i="24"/>
  <c r="AQ1995" i="24"/>
  <c r="AP1995" i="24"/>
  <c r="AJ1995" i="24"/>
  <c r="AI1995" i="24"/>
  <c r="AH1995" i="24"/>
  <c r="AG1995" i="24"/>
  <c r="Q1995" i="24"/>
  <c r="AQ1994" i="24"/>
  <c r="AP1994" i="24"/>
  <c r="AJ1994" i="24"/>
  <c r="AI1994" i="24"/>
  <c r="AH1994" i="24"/>
  <c r="AG1994" i="24"/>
  <c r="Q1994" i="24"/>
  <c r="AQ1993" i="24"/>
  <c r="AP1993" i="24"/>
  <c r="AJ1993" i="24"/>
  <c r="AI1993" i="24"/>
  <c r="AH1993" i="24"/>
  <c r="AG1993" i="24"/>
  <c r="Q1993" i="24"/>
  <c r="AQ1992" i="24"/>
  <c r="AP1992" i="24"/>
  <c r="AJ1992" i="24"/>
  <c r="AI1992" i="24"/>
  <c r="AH1992" i="24"/>
  <c r="AG1992" i="24"/>
  <c r="Q1992" i="24"/>
  <c r="AQ1991" i="24"/>
  <c r="AP1991" i="24"/>
  <c r="AJ1991" i="24"/>
  <c r="AI1991" i="24"/>
  <c r="AH1991" i="24"/>
  <c r="AG1991" i="24"/>
  <c r="Q1991" i="24"/>
  <c r="AQ1990" i="24"/>
  <c r="AP1990" i="24"/>
  <c r="AJ1990" i="24"/>
  <c r="AI1990" i="24"/>
  <c r="AH1990" i="24"/>
  <c r="AG1990" i="24"/>
  <c r="Q1990" i="24"/>
  <c r="AQ1989" i="24"/>
  <c r="AP1989" i="24"/>
  <c r="AJ1989" i="24"/>
  <c r="AI1989" i="24"/>
  <c r="AH1989" i="24"/>
  <c r="AG1989" i="24"/>
  <c r="Q1989" i="24"/>
  <c r="AQ1988" i="24"/>
  <c r="AP1988" i="24"/>
  <c r="AJ1988" i="24"/>
  <c r="AI1988" i="24"/>
  <c r="AH1988" i="24"/>
  <c r="AG1988" i="24"/>
  <c r="Q1988" i="24"/>
  <c r="AQ1987" i="24"/>
  <c r="AP1987" i="24"/>
  <c r="AJ1987" i="24"/>
  <c r="AI1987" i="24"/>
  <c r="AH1987" i="24"/>
  <c r="AG1987" i="24"/>
  <c r="Q1987" i="24"/>
  <c r="AQ1986" i="24"/>
  <c r="AP1986" i="24"/>
  <c r="AJ1986" i="24"/>
  <c r="AI1986" i="24"/>
  <c r="AH1986" i="24"/>
  <c r="AG1986" i="24"/>
  <c r="Q1986" i="24"/>
  <c r="AQ1985" i="24"/>
  <c r="AP1985" i="24"/>
  <c r="AJ1985" i="24"/>
  <c r="AI1985" i="24"/>
  <c r="AH1985" i="24"/>
  <c r="AG1985" i="24"/>
  <c r="Q1985" i="24"/>
  <c r="AQ1984" i="24"/>
  <c r="AP1984" i="24"/>
  <c r="AJ1984" i="24"/>
  <c r="AI1984" i="24"/>
  <c r="AH1984" i="24"/>
  <c r="AG1984" i="24"/>
  <c r="Q1984" i="24"/>
  <c r="AQ1983" i="24"/>
  <c r="AP1983" i="24"/>
  <c r="AJ1983" i="24"/>
  <c r="AI1983" i="24"/>
  <c r="AH1983" i="24"/>
  <c r="AG1983" i="24"/>
  <c r="Q1983" i="24"/>
  <c r="AQ1982" i="24"/>
  <c r="AP1982" i="24"/>
  <c r="AJ1982" i="24"/>
  <c r="AI1982" i="24"/>
  <c r="AH1982" i="24"/>
  <c r="AG1982" i="24"/>
  <c r="Q1982" i="24"/>
  <c r="AQ1981" i="24"/>
  <c r="AP1981" i="24"/>
  <c r="AJ1981" i="24"/>
  <c r="AI1981" i="24"/>
  <c r="AH1981" i="24"/>
  <c r="AG1981" i="24"/>
  <c r="Q1981" i="24"/>
  <c r="AQ1980" i="24"/>
  <c r="AP1980" i="24"/>
  <c r="AJ1980" i="24"/>
  <c r="AI1980" i="24"/>
  <c r="AH1980" i="24"/>
  <c r="AG1980" i="24"/>
  <c r="Q1980" i="24"/>
  <c r="AQ1979" i="24"/>
  <c r="AP1979" i="24"/>
  <c r="AJ1979" i="24"/>
  <c r="AI1979" i="24"/>
  <c r="AH1979" i="24"/>
  <c r="AG1979" i="24"/>
  <c r="Q1979" i="24"/>
  <c r="AQ1978" i="24"/>
  <c r="AP1978" i="24"/>
  <c r="AJ1978" i="24"/>
  <c r="AI1978" i="24"/>
  <c r="AH1978" i="24"/>
  <c r="AG1978" i="24"/>
  <c r="Q1978" i="24"/>
  <c r="AQ1977" i="24"/>
  <c r="AP1977" i="24"/>
  <c r="AJ1977" i="24"/>
  <c r="AI1977" i="24"/>
  <c r="AH1977" i="24"/>
  <c r="AG1977" i="24"/>
  <c r="Q1977" i="24"/>
  <c r="AQ1976" i="24"/>
  <c r="AP1976" i="24"/>
  <c r="AJ1976" i="24"/>
  <c r="AI1976" i="24"/>
  <c r="AH1976" i="24"/>
  <c r="AG1976" i="24"/>
  <c r="Q1976" i="24"/>
  <c r="AQ1975" i="24"/>
  <c r="AP1975" i="24"/>
  <c r="AJ1975" i="24"/>
  <c r="AI1975" i="24"/>
  <c r="AH1975" i="24"/>
  <c r="AG1975" i="24"/>
  <c r="Q1975" i="24"/>
  <c r="AQ1974" i="24"/>
  <c r="AP1974" i="24"/>
  <c r="AJ1974" i="24"/>
  <c r="AI1974" i="24"/>
  <c r="AH1974" i="24"/>
  <c r="AG1974" i="24"/>
  <c r="Q1974" i="24"/>
  <c r="AQ1973" i="24"/>
  <c r="AP1973" i="24"/>
  <c r="AJ1973" i="24"/>
  <c r="AI1973" i="24"/>
  <c r="AH1973" i="24"/>
  <c r="AG1973" i="24"/>
  <c r="Q1973" i="24"/>
  <c r="AQ1972" i="24"/>
  <c r="AP1972" i="24"/>
  <c r="AJ1972" i="24"/>
  <c r="AI1972" i="24"/>
  <c r="AH1972" i="24"/>
  <c r="AG1972" i="24"/>
  <c r="Q1972" i="24"/>
  <c r="AQ1971" i="24"/>
  <c r="AP1971" i="24"/>
  <c r="AJ1971" i="24"/>
  <c r="AI1971" i="24"/>
  <c r="AH1971" i="24"/>
  <c r="AG1971" i="24"/>
  <c r="Q1971" i="24"/>
  <c r="AQ1970" i="24"/>
  <c r="AP1970" i="24"/>
  <c r="AJ1970" i="24"/>
  <c r="AI1970" i="24"/>
  <c r="AH1970" i="24"/>
  <c r="AG1970" i="24"/>
  <c r="Q1970" i="24"/>
  <c r="AQ1969" i="24"/>
  <c r="AP1969" i="24"/>
  <c r="AJ1969" i="24"/>
  <c r="AI1969" i="24"/>
  <c r="AH1969" i="24"/>
  <c r="AG1969" i="24"/>
  <c r="Q1969" i="24"/>
  <c r="AQ1968" i="24"/>
  <c r="AP1968" i="24"/>
  <c r="AJ1968" i="24"/>
  <c r="AI1968" i="24"/>
  <c r="AH1968" i="24"/>
  <c r="AG1968" i="24"/>
  <c r="Q1968" i="24"/>
  <c r="AQ1967" i="24"/>
  <c r="AP1967" i="24"/>
  <c r="AJ1967" i="24"/>
  <c r="AI1967" i="24"/>
  <c r="AH1967" i="24"/>
  <c r="AG1967" i="24"/>
  <c r="Q1967" i="24"/>
  <c r="AQ1966" i="24"/>
  <c r="AP1966" i="24"/>
  <c r="AJ1966" i="24"/>
  <c r="AI1966" i="24"/>
  <c r="AH1966" i="24"/>
  <c r="AG1966" i="24"/>
  <c r="Q1966" i="24"/>
  <c r="AQ1965" i="24"/>
  <c r="AP1965" i="24"/>
  <c r="AJ1965" i="24"/>
  <c r="AI1965" i="24"/>
  <c r="AH1965" i="24"/>
  <c r="AG1965" i="24"/>
  <c r="Q1965" i="24"/>
  <c r="AQ1964" i="24"/>
  <c r="AP1964" i="24"/>
  <c r="AJ1964" i="24"/>
  <c r="AI1964" i="24"/>
  <c r="AH1964" i="24"/>
  <c r="AG1964" i="24"/>
  <c r="Q1964" i="24"/>
  <c r="AQ1963" i="24"/>
  <c r="AP1963" i="24"/>
  <c r="AJ1963" i="24"/>
  <c r="AI1963" i="24"/>
  <c r="AH1963" i="24"/>
  <c r="AG1963" i="24"/>
  <c r="Q1963" i="24"/>
  <c r="AQ1962" i="24"/>
  <c r="AP1962" i="24"/>
  <c r="AJ1962" i="24"/>
  <c r="AI1962" i="24"/>
  <c r="AH1962" i="24"/>
  <c r="AG1962" i="24"/>
  <c r="Q1962" i="24"/>
  <c r="AQ1961" i="24"/>
  <c r="AP1961" i="24"/>
  <c r="AJ1961" i="24"/>
  <c r="AI1961" i="24"/>
  <c r="AH1961" i="24"/>
  <c r="AG1961" i="24"/>
  <c r="Q1961" i="24"/>
  <c r="AQ1960" i="24"/>
  <c r="AP1960" i="24"/>
  <c r="AJ1960" i="24"/>
  <c r="AI1960" i="24"/>
  <c r="AH1960" i="24"/>
  <c r="AG1960" i="24"/>
  <c r="Q1960" i="24"/>
  <c r="AQ1959" i="24"/>
  <c r="AP1959" i="24"/>
  <c r="AJ1959" i="24"/>
  <c r="AI1959" i="24"/>
  <c r="AH1959" i="24"/>
  <c r="AG1959" i="24"/>
  <c r="Q1959" i="24"/>
  <c r="AQ1958" i="24"/>
  <c r="AP1958" i="24"/>
  <c r="AJ1958" i="24"/>
  <c r="AI1958" i="24"/>
  <c r="AH1958" i="24"/>
  <c r="AG1958" i="24"/>
  <c r="Q1958" i="24"/>
  <c r="AQ1957" i="24"/>
  <c r="AP1957" i="24"/>
  <c r="AJ1957" i="24"/>
  <c r="AI1957" i="24"/>
  <c r="AH1957" i="24"/>
  <c r="AG1957" i="24"/>
  <c r="Q1957" i="24"/>
  <c r="AQ1956" i="24"/>
  <c r="AP1956" i="24"/>
  <c r="AJ1956" i="24"/>
  <c r="AI1956" i="24"/>
  <c r="AH1956" i="24"/>
  <c r="AG1956" i="24"/>
  <c r="Q1956" i="24"/>
  <c r="AQ1955" i="24"/>
  <c r="AP1955" i="24"/>
  <c r="AJ1955" i="24"/>
  <c r="AI1955" i="24"/>
  <c r="AH1955" i="24"/>
  <c r="AG1955" i="24"/>
  <c r="Q1955" i="24"/>
  <c r="AQ1954" i="24"/>
  <c r="AP1954" i="24"/>
  <c r="AJ1954" i="24"/>
  <c r="AI1954" i="24"/>
  <c r="AH1954" i="24"/>
  <c r="AG1954" i="24"/>
  <c r="Q1954" i="24"/>
  <c r="AQ1953" i="24"/>
  <c r="AP1953" i="24"/>
  <c r="AJ1953" i="24"/>
  <c r="AI1953" i="24"/>
  <c r="AH1953" i="24"/>
  <c r="AG1953" i="24"/>
  <c r="Q1953" i="24"/>
  <c r="AQ1952" i="24"/>
  <c r="AP1952" i="24"/>
  <c r="AJ1952" i="24"/>
  <c r="AI1952" i="24"/>
  <c r="AH1952" i="24"/>
  <c r="AG1952" i="24"/>
  <c r="Q1952" i="24"/>
  <c r="AQ1951" i="24"/>
  <c r="AP1951" i="24"/>
  <c r="AJ1951" i="24"/>
  <c r="AI1951" i="24"/>
  <c r="AH1951" i="24"/>
  <c r="AG1951" i="24"/>
  <c r="Q1951" i="24"/>
  <c r="AQ1950" i="24"/>
  <c r="AP1950" i="24"/>
  <c r="AJ1950" i="24"/>
  <c r="AI1950" i="24"/>
  <c r="AH1950" i="24"/>
  <c r="AG1950" i="24"/>
  <c r="Q1950" i="24"/>
  <c r="AQ1949" i="24"/>
  <c r="AP1949" i="24"/>
  <c r="AJ1949" i="24"/>
  <c r="AI1949" i="24"/>
  <c r="AH1949" i="24"/>
  <c r="AG1949" i="24"/>
  <c r="Q1949" i="24"/>
  <c r="AQ1948" i="24"/>
  <c r="AP1948" i="24"/>
  <c r="AJ1948" i="24"/>
  <c r="AI1948" i="24"/>
  <c r="AH1948" i="24"/>
  <c r="AG1948" i="24"/>
  <c r="Q1948" i="24"/>
  <c r="AQ1947" i="24"/>
  <c r="AP1947" i="24"/>
  <c r="AJ1947" i="24"/>
  <c r="AI1947" i="24"/>
  <c r="AH1947" i="24"/>
  <c r="AG1947" i="24"/>
  <c r="Q1947" i="24"/>
  <c r="AQ1946" i="24"/>
  <c r="AP1946" i="24"/>
  <c r="AJ1946" i="24"/>
  <c r="AI1946" i="24"/>
  <c r="AH1946" i="24"/>
  <c r="AG1946" i="24"/>
  <c r="Q1946" i="24"/>
  <c r="AQ1945" i="24"/>
  <c r="AP1945" i="24"/>
  <c r="AJ1945" i="24"/>
  <c r="AI1945" i="24"/>
  <c r="AH1945" i="24"/>
  <c r="AG1945" i="24"/>
  <c r="Q1945" i="24"/>
  <c r="AQ1944" i="24"/>
  <c r="AP1944" i="24"/>
  <c r="AJ1944" i="24"/>
  <c r="AI1944" i="24"/>
  <c r="AH1944" i="24"/>
  <c r="AG1944" i="24"/>
  <c r="Q1944" i="24"/>
  <c r="AQ1943" i="24"/>
  <c r="AP1943" i="24"/>
  <c r="AJ1943" i="24"/>
  <c r="AI1943" i="24"/>
  <c r="AH1943" i="24"/>
  <c r="AG1943" i="24"/>
  <c r="Q1943" i="24"/>
  <c r="AQ1942" i="24"/>
  <c r="AP1942" i="24"/>
  <c r="AJ1942" i="24"/>
  <c r="AI1942" i="24"/>
  <c r="AH1942" i="24"/>
  <c r="AG1942" i="24"/>
  <c r="Q1942" i="24"/>
  <c r="AQ1941" i="24"/>
  <c r="AP1941" i="24"/>
  <c r="AJ1941" i="24"/>
  <c r="AI1941" i="24"/>
  <c r="AH1941" i="24"/>
  <c r="AG1941" i="24"/>
  <c r="Q1941" i="24"/>
  <c r="AQ1940" i="24"/>
  <c r="AP1940" i="24"/>
  <c r="AJ1940" i="24"/>
  <c r="AI1940" i="24"/>
  <c r="AH1940" i="24"/>
  <c r="AG1940" i="24"/>
  <c r="Q1940" i="24"/>
  <c r="AQ1939" i="24"/>
  <c r="AP1939" i="24"/>
  <c r="AJ1939" i="24"/>
  <c r="AI1939" i="24"/>
  <c r="AH1939" i="24"/>
  <c r="AG1939" i="24"/>
  <c r="Q1939" i="24"/>
  <c r="AQ1938" i="24"/>
  <c r="AP1938" i="24"/>
  <c r="AJ1938" i="24"/>
  <c r="AI1938" i="24"/>
  <c r="AH1938" i="24"/>
  <c r="AG1938" i="24"/>
  <c r="Q1938" i="24"/>
  <c r="AQ1937" i="24"/>
  <c r="AP1937" i="24"/>
  <c r="AJ1937" i="24"/>
  <c r="AI1937" i="24"/>
  <c r="AH1937" i="24"/>
  <c r="AG1937" i="24"/>
  <c r="Q1937" i="24"/>
  <c r="AQ1936" i="24"/>
  <c r="AP1936" i="24"/>
  <c r="AJ1936" i="24"/>
  <c r="AI1936" i="24"/>
  <c r="AH1936" i="24"/>
  <c r="AG1936" i="24"/>
  <c r="Q1936" i="24"/>
  <c r="AQ1935" i="24"/>
  <c r="AP1935" i="24"/>
  <c r="AJ1935" i="24"/>
  <c r="AI1935" i="24"/>
  <c r="AH1935" i="24"/>
  <c r="AG1935" i="24"/>
  <c r="Q1935" i="24"/>
  <c r="AQ1934" i="24"/>
  <c r="AP1934" i="24"/>
  <c r="AJ1934" i="24"/>
  <c r="AI1934" i="24"/>
  <c r="AH1934" i="24"/>
  <c r="AG1934" i="24"/>
  <c r="Q1934" i="24"/>
  <c r="AQ1933" i="24"/>
  <c r="AP1933" i="24"/>
  <c r="AJ1933" i="24"/>
  <c r="AI1933" i="24"/>
  <c r="AH1933" i="24"/>
  <c r="AG1933" i="24"/>
  <c r="Q1933" i="24"/>
  <c r="AQ1932" i="24"/>
  <c r="AP1932" i="24"/>
  <c r="AJ1932" i="24"/>
  <c r="AI1932" i="24"/>
  <c r="AH1932" i="24"/>
  <c r="AG1932" i="24"/>
  <c r="Q1932" i="24"/>
  <c r="AQ1931" i="24"/>
  <c r="AP1931" i="24"/>
  <c r="AJ1931" i="24"/>
  <c r="AI1931" i="24"/>
  <c r="AH1931" i="24"/>
  <c r="AG1931" i="24"/>
  <c r="Q1931" i="24"/>
  <c r="AQ1930" i="24"/>
  <c r="AP1930" i="24"/>
  <c r="AJ1930" i="24"/>
  <c r="AI1930" i="24"/>
  <c r="AH1930" i="24"/>
  <c r="AG1930" i="24"/>
  <c r="Q1930" i="24"/>
  <c r="AQ1929" i="24"/>
  <c r="AP1929" i="24"/>
  <c r="AJ1929" i="24"/>
  <c r="AI1929" i="24"/>
  <c r="AH1929" i="24"/>
  <c r="AG1929" i="24"/>
  <c r="Q1929" i="24"/>
  <c r="AQ1928" i="24"/>
  <c r="AP1928" i="24"/>
  <c r="AJ1928" i="24"/>
  <c r="AI1928" i="24"/>
  <c r="AH1928" i="24"/>
  <c r="AG1928" i="24"/>
  <c r="Q1928" i="24"/>
  <c r="AQ1927" i="24"/>
  <c r="AP1927" i="24"/>
  <c r="AJ1927" i="24"/>
  <c r="AI1927" i="24"/>
  <c r="AH1927" i="24"/>
  <c r="AG1927" i="24"/>
  <c r="Q1927" i="24"/>
  <c r="AQ1926" i="24"/>
  <c r="AP1926" i="24"/>
  <c r="AJ1926" i="24"/>
  <c r="AI1926" i="24"/>
  <c r="AH1926" i="24"/>
  <c r="AG1926" i="24"/>
  <c r="Q1926" i="24"/>
  <c r="AQ1925" i="24"/>
  <c r="AP1925" i="24"/>
  <c r="AJ1925" i="24"/>
  <c r="AI1925" i="24"/>
  <c r="AH1925" i="24"/>
  <c r="AG1925" i="24"/>
  <c r="Q1925" i="24"/>
  <c r="AQ1924" i="24"/>
  <c r="AP1924" i="24"/>
  <c r="AJ1924" i="24"/>
  <c r="AI1924" i="24"/>
  <c r="AH1924" i="24"/>
  <c r="AG1924" i="24"/>
  <c r="Q1924" i="24"/>
  <c r="AQ1923" i="24"/>
  <c r="AP1923" i="24"/>
  <c r="AJ1923" i="24"/>
  <c r="AI1923" i="24"/>
  <c r="AH1923" i="24"/>
  <c r="AG1923" i="24"/>
  <c r="Q1923" i="24"/>
  <c r="AQ1922" i="24"/>
  <c r="AP1922" i="24"/>
  <c r="AJ1922" i="24"/>
  <c r="AI1922" i="24"/>
  <c r="AH1922" i="24"/>
  <c r="AG1922" i="24"/>
  <c r="Q1922" i="24"/>
  <c r="AQ1921" i="24"/>
  <c r="AP1921" i="24"/>
  <c r="AJ1921" i="24"/>
  <c r="AI1921" i="24"/>
  <c r="AH1921" i="24"/>
  <c r="AG1921" i="24"/>
  <c r="Q1921" i="24"/>
  <c r="AQ1920" i="24"/>
  <c r="AP1920" i="24"/>
  <c r="AJ1920" i="24"/>
  <c r="AI1920" i="24"/>
  <c r="AH1920" i="24"/>
  <c r="AG1920" i="24"/>
  <c r="Q1920" i="24"/>
  <c r="AQ1919" i="24"/>
  <c r="AP1919" i="24"/>
  <c r="AJ1919" i="24"/>
  <c r="AI1919" i="24"/>
  <c r="AH1919" i="24"/>
  <c r="AG1919" i="24"/>
  <c r="Q1919" i="24"/>
  <c r="AQ1918" i="24"/>
  <c r="AP1918" i="24"/>
  <c r="AJ1918" i="24"/>
  <c r="AI1918" i="24"/>
  <c r="AH1918" i="24"/>
  <c r="AG1918" i="24"/>
  <c r="Q1918" i="24"/>
  <c r="AQ1917" i="24"/>
  <c r="AP1917" i="24"/>
  <c r="AJ1917" i="24"/>
  <c r="AI1917" i="24"/>
  <c r="AH1917" i="24"/>
  <c r="AG1917" i="24"/>
  <c r="Q1917" i="24"/>
  <c r="AQ1916" i="24"/>
  <c r="AP1916" i="24"/>
  <c r="AJ1916" i="24"/>
  <c r="AI1916" i="24"/>
  <c r="AH1916" i="24"/>
  <c r="AG1916" i="24"/>
  <c r="Q1916" i="24"/>
  <c r="AQ1915" i="24"/>
  <c r="AP1915" i="24"/>
  <c r="AJ1915" i="24"/>
  <c r="AI1915" i="24"/>
  <c r="AH1915" i="24"/>
  <c r="AG1915" i="24"/>
  <c r="Q1915" i="24"/>
  <c r="AQ1914" i="24"/>
  <c r="AP1914" i="24"/>
  <c r="AJ1914" i="24"/>
  <c r="AI1914" i="24"/>
  <c r="AH1914" i="24"/>
  <c r="AG1914" i="24"/>
  <c r="Q1914" i="24"/>
  <c r="AQ1913" i="24"/>
  <c r="AP1913" i="24"/>
  <c r="AJ1913" i="24"/>
  <c r="AI1913" i="24"/>
  <c r="AH1913" i="24"/>
  <c r="AG1913" i="24"/>
  <c r="Q1913" i="24"/>
  <c r="AQ1912" i="24"/>
  <c r="AP1912" i="24"/>
  <c r="AJ1912" i="24"/>
  <c r="AI1912" i="24"/>
  <c r="AH1912" i="24"/>
  <c r="AG1912" i="24"/>
  <c r="Q1912" i="24"/>
  <c r="AQ1911" i="24"/>
  <c r="AP1911" i="24"/>
  <c r="AJ1911" i="24"/>
  <c r="AI1911" i="24"/>
  <c r="AH1911" i="24"/>
  <c r="AG1911" i="24"/>
  <c r="Q1911" i="24"/>
  <c r="AQ1910" i="24"/>
  <c r="AP1910" i="24"/>
  <c r="AJ1910" i="24"/>
  <c r="AI1910" i="24"/>
  <c r="AH1910" i="24"/>
  <c r="AG1910" i="24"/>
  <c r="Q1910" i="24"/>
  <c r="AQ1909" i="24"/>
  <c r="AP1909" i="24"/>
  <c r="AJ1909" i="24"/>
  <c r="AI1909" i="24"/>
  <c r="AH1909" i="24"/>
  <c r="AG1909" i="24"/>
  <c r="Q1909" i="24"/>
  <c r="AQ1908" i="24"/>
  <c r="AP1908" i="24"/>
  <c r="AJ1908" i="24"/>
  <c r="AI1908" i="24"/>
  <c r="AH1908" i="24"/>
  <c r="AG1908" i="24"/>
  <c r="Q1908" i="24"/>
  <c r="AQ1907" i="24"/>
  <c r="AP1907" i="24"/>
  <c r="AJ1907" i="24"/>
  <c r="AI1907" i="24"/>
  <c r="AH1907" i="24"/>
  <c r="AG1907" i="24"/>
  <c r="Q1907" i="24"/>
  <c r="AQ1906" i="24"/>
  <c r="AP1906" i="24"/>
  <c r="AJ1906" i="24"/>
  <c r="AI1906" i="24"/>
  <c r="AH1906" i="24"/>
  <c r="AG1906" i="24"/>
  <c r="Q1906" i="24"/>
  <c r="AQ1905" i="24"/>
  <c r="AP1905" i="24"/>
  <c r="AJ1905" i="24"/>
  <c r="AI1905" i="24"/>
  <c r="AH1905" i="24"/>
  <c r="AG1905" i="24"/>
  <c r="Q1905" i="24"/>
  <c r="AQ1904" i="24"/>
  <c r="AP1904" i="24"/>
  <c r="AJ1904" i="24"/>
  <c r="AI1904" i="24"/>
  <c r="AH1904" i="24"/>
  <c r="AG1904" i="24"/>
  <c r="Q1904" i="24"/>
  <c r="AQ1903" i="24"/>
  <c r="AP1903" i="24"/>
  <c r="AJ1903" i="24"/>
  <c r="AI1903" i="24"/>
  <c r="AH1903" i="24"/>
  <c r="AG1903" i="24"/>
  <c r="Q1903" i="24"/>
  <c r="AQ1902" i="24"/>
  <c r="AP1902" i="24"/>
  <c r="AJ1902" i="24"/>
  <c r="AI1902" i="24"/>
  <c r="AH1902" i="24"/>
  <c r="AG1902" i="24"/>
  <c r="Q1902" i="24"/>
  <c r="AQ1901" i="24"/>
  <c r="AP1901" i="24"/>
  <c r="AJ1901" i="24"/>
  <c r="AI1901" i="24"/>
  <c r="AH1901" i="24"/>
  <c r="AG1901" i="24"/>
  <c r="Q1901" i="24"/>
  <c r="AQ1900" i="24"/>
  <c r="AP1900" i="24"/>
  <c r="AJ1900" i="24"/>
  <c r="AI1900" i="24"/>
  <c r="AH1900" i="24"/>
  <c r="AG1900" i="24"/>
  <c r="Q1900" i="24"/>
  <c r="AQ1899" i="24"/>
  <c r="AP1899" i="24"/>
  <c r="AJ1899" i="24"/>
  <c r="AI1899" i="24"/>
  <c r="AH1899" i="24"/>
  <c r="AG1899" i="24"/>
  <c r="Q1899" i="24"/>
  <c r="AQ1898" i="24"/>
  <c r="AP1898" i="24"/>
  <c r="AJ1898" i="24"/>
  <c r="AI1898" i="24"/>
  <c r="AH1898" i="24"/>
  <c r="AG1898" i="24"/>
  <c r="Q1898" i="24"/>
  <c r="AQ1897" i="24"/>
  <c r="AP1897" i="24"/>
  <c r="AJ1897" i="24"/>
  <c r="AI1897" i="24"/>
  <c r="AH1897" i="24"/>
  <c r="AG1897" i="24"/>
  <c r="Q1897" i="24"/>
  <c r="AQ1896" i="24"/>
  <c r="AP1896" i="24"/>
  <c r="AJ1896" i="24"/>
  <c r="AI1896" i="24"/>
  <c r="AH1896" i="24"/>
  <c r="AG1896" i="24"/>
  <c r="Q1896" i="24"/>
  <c r="AQ1895" i="24"/>
  <c r="AP1895" i="24"/>
  <c r="AJ1895" i="24"/>
  <c r="AI1895" i="24"/>
  <c r="AH1895" i="24"/>
  <c r="AG1895" i="24"/>
  <c r="Q1895" i="24"/>
  <c r="AQ1894" i="24"/>
  <c r="AP1894" i="24"/>
  <c r="AJ1894" i="24"/>
  <c r="AI1894" i="24"/>
  <c r="AH1894" i="24"/>
  <c r="AG1894" i="24"/>
  <c r="Q1894" i="24"/>
  <c r="AQ1893" i="24"/>
  <c r="AP1893" i="24"/>
  <c r="AJ1893" i="24"/>
  <c r="AI1893" i="24"/>
  <c r="AH1893" i="24"/>
  <c r="AG1893" i="24"/>
  <c r="Q1893" i="24"/>
  <c r="AQ1892" i="24"/>
  <c r="AP1892" i="24"/>
  <c r="AJ1892" i="24"/>
  <c r="AI1892" i="24"/>
  <c r="AH1892" i="24"/>
  <c r="AG1892" i="24"/>
  <c r="Q1892" i="24"/>
  <c r="AQ1891" i="24"/>
  <c r="AP1891" i="24"/>
  <c r="AJ1891" i="24"/>
  <c r="AI1891" i="24"/>
  <c r="AH1891" i="24"/>
  <c r="AG1891" i="24"/>
  <c r="Q1891" i="24"/>
  <c r="AQ1890" i="24"/>
  <c r="AP1890" i="24"/>
  <c r="AJ1890" i="24"/>
  <c r="AI1890" i="24"/>
  <c r="AH1890" i="24"/>
  <c r="AG1890" i="24"/>
  <c r="Q1890" i="24"/>
  <c r="AQ1889" i="24"/>
  <c r="AP1889" i="24"/>
  <c r="AJ1889" i="24"/>
  <c r="AI1889" i="24"/>
  <c r="AH1889" i="24"/>
  <c r="AG1889" i="24"/>
  <c r="Q1889" i="24"/>
  <c r="AQ1888" i="24"/>
  <c r="AP1888" i="24"/>
  <c r="AJ1888" i="24"/>
  <c r="AI1888" i="24"/>
  <c r="AH1888" i="24"/>
  <c r="AG1888" i="24"/>
  <c r="Q1888" i="24"/>
  <c r="AQ1887" i="24"/>
  <c r="AP1887" i="24"/>
  <c r="AJ1887" i="24"/>
  <c r="AI1887" i="24"/>
  <c r="AH1887" i="24"/>
  <c r="AG1887" i="24"/>
  <c r="Q1887" i="24"/>
  <c r="AQ1886" i="24"/>
  <c r="AP1886" i="24"/>
  <c r="AJ1886" i="24"/>
  <c r="AI1886" i="24"/>
  <c r="AH1886" i="24"/>
  <c r="AG1886" i="24"/>
  <c r="Q1886" i="24"/>
  <c r="AQ1885" i="24"/>
  <c r="AP1885" i="24"/>
  <c r="AJ1885" i="24"/>
  <c r="AI1885" i="24"/>
  <c r="AH1885" i="24"/>
  <c r="AG1885" i="24"/>
  <c r="Q1885" i="24"/>
  <c r="AQ1884" i="24"/>
  <c r="AP1884" i="24"/>
  <c r="AJ1884" i="24"/>
  <c r="AI1884" i="24"/>
  <c r="AH1884" i="24"/>
  <c r="AG1884" i="24"/>
  <c r="Q1884" i="24"/>
  <c r="AQ1883" i="24"/>
  <c r="AP1883" i="24"/>
  <c r="AJ1883" i="24"/>
  <c r="AI1883" i="24"/>
  <c r="AH1883" i="24"/>
  <c r="AG1883" i="24"/>
  <c r="Q1883" i="24"/>
  <c r="AQ1882" i="24"/>
  <c r="AP1882" i="24"/>
  <c r="AJ1882" i="24"/>
  <c r="AI1882" i="24"/>
  <c r="AH1882" i="24"/>
  <c r="AG1882" i="24"/>
  <c r="Q1882" i="24"/>
  <c r="AQ1881" i="24"/>
  <c r="AP1881" i="24"/>
  <c r="AJ1881" i="24"/>
  <c r="AI1881" i="24"/>
  <c r="AH1881" i="24"/>
  <c r="AG1881" i="24"/>
  <c r="Q1881" i="24"/>
  <c r="AQ1880" i="24"/>
  <c r="AP1880" i="24"/>
  <c r="AJ1880" i="24"/>
  <c r="AI1880" i="24"/>
  <c r="AH1880" i="24"/>
  <c r="AG1880" i="24"/>
  <c r="Q1880" i="24"/>
  <c r="AQ1879" i="24"/>
  <c r="AP1879" i="24"/>
  <c r="AJ1879" i="24"/>
  <c r="AI1879" i="24"/>
  <c r="AH1879" i="24"/>
  <c r="AG1879" i="24"/>
  <c r="Q1879" i="24"/>
  <c r="AQ1878" i="24"/>
  <c r="AP1878" i="24"/>
  <c r="AJ1878" i="24"/>
  <c r="AI1878" i="24"/>
  <c r="AH1878" i="24"/>
  <c r="AG1878" i="24"/>
  <c r="Q1878" i="24"/>
  <c r="AQ1877" i="24"/>
  <c r="AP1877" i="24"/>
  <c r="AJ1877" i="24"/>
  <c r="AI1877" i="24"/>
  <c r="AH1877" i="24"/>
  <c r="AG1877" i="24"/>
  <c r="Q1877" i="24"/>
  <c r="AQ1876" i="24"/>
  <c r="AP1876" i="24"/>
  <c r="AJ1876" i="24"/>
  <c r="AI1876" i="24"/>
  <c r="AH1876" i="24"/>
  <c r="AG1876" i="24"/>
  <c r="Q1876" i="24"/>
  <c r="AQ1875" i="24"/>
  <c r="AP1875" i="24"/>
  <c r="AJ1875" i="24"/>
  <c r="AI1875" i="24"/>
  <c r="AH1875" i="24"/>
  <c r="AG1875" i="24"/>
  <c r="Q1875" i="24"/>
  <c r="AQ1874" i="24"/>
  <c r="AP1874" i="24"/>
  <c r="AJ1874" i="24"/>
  <c r="AI1874" i="24"/>
  <c r="AH1874" i="24"/>
  <c r="AG1874" i="24"/>
  <c r="Q1874" i="24"/>
  <c r="AQ1873" i="24"/>
  <c r="AP1873" i="24"/>
  <c r="AJ1873" i="24"/>
  <c r="AI1873" i="24"/>
  <c r="AH1873" i="24"/>
  <c r="AG1873" i="24"/>
  <c r="Q1873" i="24"/>
  <c r="AQ1872" i="24"/>
  <c r="AP1872" i="24"/>
  <c r="AJ1872" i="24"/>
  <c r="AI1872" i="24"/>
  <c r="AH1872" i="24"/>
  <c r="AG1872" i="24"/>
  <c r="Q1872" i="24"/>
  <c r="AQ1871" i="24"/>
  <c r="AP1871" i="24"/>
  <c r="AJ1871" i="24"/>
  <c r="AI1871" i="24"/>
  <c r="AH1871" i="24"/>
  <c r="AG1871" i="24"/>
  <c r="Q1871" i="24"/>
  <c r="AQ1870" i="24"/>
  <c r="AP1870" i="24"/>
  <c r="AJ1870" i="24"/>
  <c r="AI1870" i="24"/>
  <c r="AH1870" i="24"/>
  <c r="AG1870" i="24"/>
  <c r="Q1870" i="24"/>
  <c r="AQ1869" i="24"/>
  <c r="AP1869" i="24"/>
  <c r="AJ1869" i="24"/>
  <c r="AI1869" i="24"/>
  <c r="AH1869" i="24"/>
  <c r="AG1869" i="24"/>
  <c r="Q1869" i="24"/>
  <c r="AQ1868" i="24"/>
  <c r="AP1868" i="24"/>
  <c r="AJ1868" i="24"/>
  <c r="AI1868" i="24"/>
  <c r="AH1868" i="24"/>
  <c r="AG1868" i="24"/>
  <c r="Q1868" i="24"/>
  <c r="AQ1867" i="24"/>
  <c r="AP1867" i="24"/>
  <c r="AJ1867" i="24"/>
  <c r="AI1867" i="24"/>
  <c r="AH1867" i="24"/>
  <c r="AG1867" i="24"/>
  <c r="Q1867" i="24"/>
  <c r="AQ1866" i="24"/>
  <c r="AP1866" i="24"/>
  <c r="AJ1866" i="24"/>
  <c r="AI1866" i="24"/>
  <c r="AH1866" i="24"/>
  <c r="AG1866" i="24"/>
  <c r="Q1866" i="24"/>
  <c r="AQ1865" i="24"/>
  <c r="AP1865" i="24"/>
  <c r="AJ1865" i="24"/>
  <c r="AI1865" i="24"/>
  <c r="AH1865" i="24"/>
  <c r="AG1865" i="24"/>
  <c r="Q1865" i="24"/>
  <c r="AQ1864" i="24"/>
  <c r="AP1864" i="24"/>
  <c r="AJ1864" i="24"/>
  <c r="AI1864" i="24"/>
  <c r="AH1864" i="24"/>
  <c r="AG1864" i="24"/>
  <c r="Q1864" i="24"/>
  <c r="AQ1863" i="24"/>
  <c r="AP1863" i="24"/>
  <c r="AJ1863" i="24"/>
  <c r="AI1863" i="24"/>
  <c r="AH1863" i="24"/>
  <c r="AG1863" i="24"/>
  <c r="Q1863" i="24"/>
  <c r="AQ1862" i="24"/>
  <c r="AP1862" i="24"/>
  <c r="AJ1862" i="24"/>
  <c r="AI1862" i="24"/>
  <c r="AH1862" i="24"/>
  <c r="AG1862" i="24"/>
  <c r="Q1862" i="24"/>
  <c r="AQ1861" i="24"/>
  <c r="AP1861" i="24"/>
  <c r="AJ1861" i="24"/>
  <c r="AI1861" i="24"/>
  <c r="AH1861" i="24"/>
  <c r="AG1861" i="24"/>
  <c r="Q1861" i="24"/>
  <c r="AQ1860" i="24"/>
  <c r="AP1860" i="24"/>
  <c r="AJ1860" i="24"/>
  <c r="AI1860" i="24"/>
  <c r="AH1860" i="24"/>
  <c r="AG1860" i="24"/>
  <c r="Q1860" i="24"/>
  <c r="AQ1859" i="24"/>
  <c r="AP1859" i="24"/>
  <c r="AJ1859" i="24"/>
  <c r="AI1859" i="24"/>
  <c r="AH1859" i="24"/>
  <c r="AG1859" i="24"/>
  <c r="Q1859" i="24"/>
  <c r="AQ1858" i="24"/>
  <c r="AP1858" i="24"/>
  <c r="AJ1858" i="24"/>
  <c r="AI1858" i="24"/>
  <c r="AH1858" i="24"/>
  <c r="AG1858" i="24"/>
  <c r="Q1858" i="24"/>
  <c r="AQ1857" i="24"/>
  <c r="AP1857" i="24"/>
  <c r="AJ1857" i="24"/>
  <c r="AI1857" i="24"/>
  <c r="AH1857" i="24"/>
  <c r="AG1857" i="24"/>
  <c r="Q1857" i="24"/>
  <c r="AQ1856" i="24"/>
  <c r="AP1856" i="24"/>
  <c r="AJ1856" i="24"/>
  <c r="AI1856" i="24"/>
  <c r="AH1856" i="24"/>
  <c r="AG1856" i="24"/>
  <c r="Q1856" i="24"/>
  <c r="AQ1855" i="24"/>
  <c r="AP1855" i="24"/>
  <c r="AJ1855" i="24"/>
  <c r="AI1855" i="24"/>
  <c r="AH1855" i="24"/>
  <c r="AG1855" i="24"/>
  <c r="Q1855" i="24"/>
  <c r="AQ1854" i="24"/>
  <c r="AP1854" i="24"/>
  <c r="AJ1854" i="24"/>
  <c r="AI1854" i="24"/>
  <c r="AH1854" i="24"/>
  <c r="AG1854" i="24"/>
  <c r="Q1854" i="24"/>
  <c r="AQ1853" i="24"/>
  <c r="AP1853" i="24"/>
  <c r="AJ1853" i="24"/>
  <c r="AI1853" i="24"/>
  <c r="AH1853" i="24"/>
  <c r="AG1853" i="24"/>
  <c r="Q1853" i="24"/>
  <c r="AQ1852" i="24"/>
  <c r="AP1852" i="24"/>
  <c r="AJ1852" i="24"/>
  <c r="AI1852" i="24"/>
  <c r="AH1852" i="24"/>
  <c r="AG1852" i="24"/>
  <c r="Q1852" i="24"/>
  <c r="AQ1851" i="24"/>
  <c r="AP1851" i="24"/>
  <c r="AJ1851" i="24"/>
  <c r="AI1851" i="24"/>
  <c r="AH1851" i="24"/>
  <c r="AG1851" i="24"/>
  <c r="Q1851" i="24"/>
  <c r="AQ1850" i="24"/>
  <c r="AP1850" i="24"/>
  <c r="AJ1850" i="24"/>
  <c r="AI1850" i="24"/>
  <c r="AH1850" i="24"/>
  <c r="AG1850" i="24"/>
  <c r="Q1850" i="24"/>
  <c r="AQ1849" i="24"/>
  <c r="AP1849" i="24"/>
  <c r="AJ1849" i="24"/>
  <c r="AI1849" i="24"/>
  <c r="AH1849" i="24"/>
  <c r="AG1849" i="24"/>
  <c r="Q1849" i="24"/>
  <c r="AQ1848" i="24"/>
  <c r="AP1848" i="24"/>
  <c r="AJ1848" i="24"/>
  <c r="AI1848" i="24"/>
  <c r="AH1848" i="24"/>
  <c r="AG1848" i="24"/>
  <c r="Q1848" i="24"/>
  <c r="AQ1847" i="24"/>
  <c r="AP1847" i="24"/>
  <c r="AJ1847" i="24"/>
  <c r="AI1847" i="24"/>
  <c r="AH1847" i="24"/>
  <c r="AG1847" i="24"/>
  <c r="Q1847" i="24"/>
  <c r="AQ1846" i="24"/>
  <c r="AP1846" i="24"/>
  <c r="AJ1846" i="24"/>
  <c r="AI1846" i="24"/>
  <c r="AH1846" i="24"/>
  <c r="AG1846" i="24"/>
  <c r="Q1846" i="24"/>
  <c r="AQ1845" i="24"/>
  <c r="AP1845" i="24"/>
  <c r="AJ1845" i="24"/>
  <c r="AI1845" i="24"/>
  <c r="AH1845" i="24"/>
  <c r="AG1845" i="24"/>
  <c r="Q1845" i="24"/>
  <c r="AQ1844" i="24"/>
  <c r="AP1844" i="24"/>
  <c r="AJ1844" i="24"/>
  <c r="AI1844" i="24"/>
  <c r="AH1844" i="24"/>
  <c r="AG1844" i="24"/>
  <c r="Q1844" i="24"/>
  <c r="AQ1843" i="24"/>
  <c r="AP1843" i="24"/>
  <c r="AJ1843" i="24"/>
  <c r="AI1843" i="24"/>
  <c r="AH1843" i="24"/>
  <c r="AG1843" i="24"/>
  <c r="Q1843" i="24"/>
  <c r="AQ1842" i="24"/>
  <c r="AP1842" i="24"/>
  <c r="AJ1842" i="24"/>
  <c r="AI1842" i="24"/>
  <c r="AH1842" i="24"/>
  <c r="AG1842" i="24"/>
  <c r="Q1842" i="24"/>
  <c r="AQ1841" i="24"/>
  <c r="AP1841" i="24"/>
  <c r="AJ1841" i="24"/>
  <c r="AI1841" i="24"/>
  <c r="AH1841" i="24"/>
  <c r="AG1841" i="24"/>
  <c r="Q1841" i="24"/>
  <c r="AQ1840" i="24"/>
  <c r="AP1840" i="24"/>
  <c r="AJ1840" i="24"/>
  <c r="AI1840" i="24"/>
  <c r="AH1840" i="24"/>
  <c r="AG1840" i="24"/>
  <c r="Q1840" i="24"/>
  <c r="AQ1839" i="24"/>
  <c r="AP1839" i="24"/>
  <c r="AJ1839" i="24"/>
  <c r="AI1839" i="24"/>
  <c r="AH1839" i="24"/>
  <c r="AG1839" i="24"/>
  <c r="Q1839" i="24"/>
  <c r="AQ1838" i="24"/>
  <c r="AP1838" i="24"/>
  <c r="AJ1838" i="24"/>
  <c r="AI1838" i="24"/>
  <c r="AH1838" i="24"/>
  <c r="AG1838" i="24"/>
  <c r="Q1838" i="24"/>
  <c r="AQ1837" i="24"/>
  <c r="AP1837" i="24"/>
  <c r="AJ1837" i="24"/>
  <c r="AI1837" i="24"/>
  <c r="AH1837" i="24"/>
  <c r="AG1837" i="24"/>
  <c r="Q1837" i="24"/>
  <c r="AQ1836" i="24"/>
  <c r="AP1836" i="24"/>
  <c r="AJ1836" i="24"/>
  <c r="AI1836" i="24"/>
  <c r="AH1836" i="24"/>
  <c r="AG1836" i="24"/>
  <c r="Q1836" i="24"/>
  <c r="AQ1835" i="24"/>
  <c r="AP1835" i="24"/>
  <c r="AJ1835" i="24"/>
  <c r="AI1835" i="24"/>
  <c r="AH1835" i="24"/>
  <c r="AG1835" i="24"/>
  <c r="Q1835" i="24"/>
  <c r="AQ1834" i="24"/>
  <c r="AP1834" i="24"/>
  <c r="AJ1834" i="24"/>
  <c r="AI1834" i="24"/>
  <c r="AH1834" i="24"/>
  <c r="AG1834" i="24"/>
  <c r="Q1834" i="24"/>
  <c r="AQ1833" i="24"/>
  <c r="AP1833" i="24"/>
  <c r="AJ1833" i="24"/>
  <c r="AI1833" i="24"/>
  <c r="AH1833" i="24"/>
  <c r="AG1833" i="24"/>
  <c r="Q1833" i="24"/>
  <c r="AQ1832" i="24"/>
  <c r="AP1832" i="24"/>
  <c r="AJ1832" i="24"/>
  <c r="AI1832" i="24"/>
  <c r="AH1832" i="24"/>
  <c r="AG1832" i="24"/>
  <c r="Q1832" i="24"/>
  <c r="AQ1831" i="24"/>
  <c r="AP1831" i="24"/>
  <c r="AJ1831" i="24"/>
  <c r="AI1831" i="24"/>
  <c r="AH1831" i="24"/>
  <c r="AG1831" i="24"/>
  <c r="Q1831" i="24"/>
  <c r="AQ1830" i="24"/>
  <c r="AP1830" i="24"/>
  <c r="AJ1830" i="24"/>
  <c r="AI1830" i="24"/>
  <c r="AH1830" i="24"/>
  <c r="AG1830" i="24"/>
  <c r="Q1830" i="24"/>
  <c r="AQ1829" i="24"/>
  <c r="AP1829" i="24"/>
  <c r="AJ1829" i="24"/>
  <c r="AI1829" i="24"/>
  <c r="AH1829" i="24"/>
  <c r="AG1829" i="24"/>
  <c r="Q1829" i="24"/>
  <c r="AQ1828" i="24"/>
  <c r="AP1828" i="24"/>
  <c r="AJ1828" i="24"/>
  <c r="AI1828" i="24"/>
  <c r="AH1828" i="24"/>
  <c r="AG1828" i="24"/>
  <c r="Q1828" i="24"/>
  <c r="AQ1827" i="24"/>
  <c r="AP1827" i="24"/>
  <c r="AJ1827" i="24"/>
  <c r="AI1827" i="24"/>
  <c r="AH1827" i="24"/>
  <c r="AG1827" i="24"/>
  <c r="Q1827" i="24"/>
  <c r="AQ1826" i="24"/>
  <c r="AP1826" i="24"/>
  <c r="AJ1826" i="24"/>
  <c r="AI1826" i="24"/>
  <c r="AH1826" i="24"/>
  <c r="AG1826" i="24"/>
  <c r="Q1826" i="24"/>
  <c r="AQ1825" i="24"/>
  <c r="AP1825" i="24"/>
  <c r="AJ1825" i="24"/>
  <c r="AI1825" i="24"/>
  <c r="AH1825" i="24"/>
  <c r="AG1825" i="24"/>
  <c r="Q1825" i="24"/>
  <c r="AQ1824" i="24"/>
  <c r="AP1824" i="24"/>
  <c r="AJ1824" i="24"/>
  <c r="AI1824" i="24"/>
  <c r="AH1824" i="24"/>
  <c r="AG1824" i="24"/>
  <c r="Q1824" i="24"/>
  <c r="AQ1823" i="24"/>
  <c r="AP1823" i="24"/>
  <c r="AJ1823" i="24"/>
  <c r="AI1823" i="24"/>
  <c r="AH1823" i="24"/>
  <c r="AG1823" i="24"/>
  <c r="Q1823" i="24"/>
  <c r="AQ1822" i="24"/>
  <c r="AP1822" i="24"/>
  <c r="AJ1822" i="24"/>
  <c r="AI1822" i="24"/>
  <c r="AH1822" i="24"/>
  <c r="AG1822" i="24"/>
  <c r="Q1822" i="24"/>
  <c r="AQ1821" i="24"/>
  <c r="AP1821" i="24"/>
  <c r="AJ1821" i="24"/>
  <c r="AI1821" i="24"/>
  <c r="AH1821" i="24"/>
  <c r="AG1821" i="24"/>
  <c r="Q1821" i="24"/>
  <c r="AQ1820" i="24"/>
  <c r="AP1820" i="24"/>
  <c r="AJ1820" i="24"/>
  <c r="AI1820" i="24"/>
  <c r="AH1820" i="24"/>
  <c r="AG1820" i="24"/>
  <c r="Q1820" i="24"/>
  <c r="AQ1819" i="24"/>
  <c r="AP1819" i="24"/>
  <c r="AJ1819" i="24"/>
  <c r="AI1819" i="24"/>
  <c r="AH1819" i="24"/>
  <c r="AG1819" i="24"/>
  <c r="Q1819" i="24"/>
  <c r="AQ1818" i="24"/>
  <c r="AP1818" i="24"/>
  <c r="AJ1818" i="24"/>
  <c r="AI1818" i="24"/>
  <c r="AH1818" i="24"/>
  <c r="AG1818" i="24"/>
  <c r="Q1818" i="24"/>
  <c r="AQ1817" i="24"/>
  <c r="AP1817" i="24"/>
  <c r="AJ1817" i="24"/>
  <c r="AI1817" i="24"/>
  <c r="AH1817" i="24"/>
  <c r="AG1817" i="24"/>
  <c r="Q1817" i="24"/>
  <c r="AQ1816" i="24"/>
  <c r="AP1816" i="24"/>
  <c r="AJ1816" i="24"/>
  <c r="AI1816" i="24"/>
  <c r="AH1816" i="24"/>
  <c r="AG1816" i="24"/>
  <c r="Q1816" i="24"/>
  <c r="AQ1815" i="24"/>
  <c r="AP1815" i="24"/>
  <c r="AJ1815" i="24"/>
  <c r="AI1815" i="24"/>
  <c r="AH1815" i="24"/>
  <c r="AG1815" i="24"/>
  <c r="Q1815" i="24"/>
  <c r="AQ1814" i="24"/>
  <c r="AP1814" i="24"/>
  <c r="AJ1814" i="24"/>
  <c r="AI1814" i="24"/>
  <c r="AH1814" i="24"/>
  <c r="AG1814" i="24"/>
  <c r="Q1814" i="24"/>
  <c r="AQ1813" i="24"/>
  <c r="AP1813" i="24"/>
  <c r="AJ1813" i="24"/>
  <c r="AI1813" i="24"/>
  <c r="AH1813" i="24"/>
  <c r="AG1813" i="24"/>
  <c r="Q1813" i="24"/>
  <c r="AQ1812" i="24"/>
  <c r="AP1812" i="24"/>
  <c r="AJ1812" i="24"/>
  <c r="AI1812" i="24"/>
  <c r="AH1812" i="24"/>
  <c r="AG1812" i="24"/>
  <c r="Q1812" i="24"/>
  <c r="AQ1811" i="24"/>
  <c r="AP1811" i="24"/>
  <c r="AJ1811" i="24"/>
  <c r="AI1811" i="24"/>
  <c r="AH1811" i="24"/>
  <c r="AG1811" i="24"/>
  <c r="Q1811" i="24"/>
  <c r="AQ1810" i="24"/>
  <c r="AP1810" i="24"/>
  <c r="AJ1810" i="24"/>
  <c r="AI1810" i="24"/>
  <c r="AH1810" i="24"/>
  <c r="AG1810" i="24"/>
  <c r="Q1810" i="24"/>
  <c r="AQ1809" i="24"/>
  <c r="AP1809" i="24"/>
  <c r="AJ1809" i="24"/>
  <c r="AI1809" i="24"/>
  <c r="AH1809" i="24"/>
  <c r="AG1809" i="24"/>
  <c r="Q1809" i="24"/>
  <c r="AQ1808" i="24"/>
  <c r="AP1808" i="24"/>
  <c r="AJ1808" i="24"/>
  <c r="AI1808" i="24"/>
  <c r="AH1808" i="24"/>
  <c r="AG1808" i="24"/>
  <c r="Q1808" i="24"/>
  <c r="AQ1807" i="24"/>
  <c r="AP1807" i="24"/>
  <c r="AJ1807" i="24"/>
  <c r="AI1807" i="24"/>
  <c r="AH1807" i="24"/>
  <c r="AG1807" i="24"/>
  <c r="Q1807" i="24"/>
  <c r="AQ1806" i="24"/>
  <c r="AP1806" i="24"/>
  <c r="AJ1806" i="24"/>
  <c r="AI1806" i="24"/>
  <c r="AH1806" i="24"/>
  <c r="AG1806" i="24"/>
  <c r="Q1806" i="24"/>
  <c r="AQ1805" i="24"/>
  <c r="AP1805" i="24"/>
  <c r="AJ1805" i="24"/>
  <c r="AI1805" i="24"/>
  <c r="AH1805" i="24"/>
  <c r="AG1805" i="24"/>
  <c r="Q1805" i="24"/>
  <c r="AQ1804" i="24"/>
  <c r="AP1804" i="24"/>
  <c r="AJ1804" i="24"/>
  <c r="AI1804" i="24"/>
  <c r="AH1804" i="24"/>
  <c r="AG1804" i="24"/>
  <c r="Q1804" i="24"/>
  <c r="AQ1803" i="24"/>
  <c r="AP1803" i="24"/>
  <c r="AJ1803" i="24"/>
  <c r="AI1803" i="24"/>
  <c r="AH1803" i="24"/>
  <c r="AG1803" i="24"/>
  <c r="Q1803" i="24"/>
  <c r="AQ1802" i="24"/>
  <c r="AP1802" i="24"/>
  <c r="AJ1802" i="24"/>
  <c r="AI1802" i="24"/>
  <c r="AH1802" i="24"/>
  <c r="AG1802" i="24"/>
  <c r="Q1802" i="24"/>
  <c r="AQ1801" i="24"/>
  <c r="AP1801" i="24"/>
  <c r="AJ1801" i="24"/>
  <c r="AI1801" i="24"/>
  <c r="AH1801" i="24"/>
  <c r="AG1801" i="24"/>
  <c r="Q1801" i="24"/>
  <c r="AQ1800" i="24"/>
  <c r="AP1800" i="24"/>
  <c r="AJ1800" i="24"/>
  <c r="AI1800" i="24"/>
  <c r="AH1800" i="24"/>
  <c r="AG1800" i="24"/>
  <c r="Q1800" i="24"/>
  <c r="AQ1799" i="24"/>
  <c r="AP1799" i="24"/>
  <c r="AJ1799" i="24"/>
  <c r="AI1799" i="24"/>
  <c r="AH1799" i="24"/>
  <c r="AG1799" i="24"/>
  <c r="Q1799" i="24"/>
  <c r="AQ1798" i="24"/>
  <c r="AP1798" i="24"/>
  <c r="AJ1798" i="24"/>
  <c r="AI1798" i="24"/>
  <c r="AH1798" i="24"/>
  <c r="AG1798" i="24"/>
  <c r="Q1798" i="24"/>
  <c r="AQ1797" i="24"/>
  <c r="AP1797" i="24"/>
  <c r="AJ1797" i="24"/>
  <c r="AI1797" i="24"/>
  <c r="AH1797" i="24"/>
  <c r="AG1797" i="24"/>
  <c r="Q1797" i="24"/>
  <c r="AQ1796" i="24"/>
  <c r="AP1796" i="24"/>
  <c r="AJ1796" i="24"/>
  <c r="AI1796" i="24"/>
  <c r="AH1796" i="24"/>
  <c r="AG1796" i="24"/>
  <c r="Q1796" i="24"/>
  <c r="AQ1795" i="24"/>
  <c r="AP1795" i="24"/>
  <c r="AJ1795" i="24"/>
  <c r="AI1795" i="24"/>
  <c r="AH1795" i="24"/>
  <c r="AG1795" i="24"/>
  <c r="Q1795" i="24"/>
  <c r="AQ1794" i="24"/>
  <c r="AP1794" i="24"/>
  <c r="AJ1794" i="24"/>
  <c r="AI1794" i="24"/>
  <c r="AH1794" i="24"/>
  <c r="AG1794" i="24"/>
  <c r="Q1794" i="24"/>
  <c r="AQ1793" i="24"/>
  <c r="AP1793" i="24"/>
  <c r="AJ1793" i="24"/>
  <c r="AI1793" i="24"/>
  <c r="AH1793" i="24"/>
  <c r="AG1793" i="24"/>
  <c r="Q1793" i="24"/>
  <c r="AQ1792" i="24"/>
  <c r="AP1792" i="24"/>
  <c r="AJ1792" i="24"/>
  <c r="AI1792" i="24"/>
  <c r="AH1792" i="24"/>
  <c r="AG1792" i="24"/>
  <c r="Q1792" i="24"/>
  <c r="AQ1791" i="24"/>
  <c r="AP1791" i="24"/>
  <c r="AJ1791" i="24"/>
  <c r="AI1791" i="24"/>
  <c r="AH1791" i="24"/>
  <c r="AG1791" i="24"/>
  <c r="Q1791" i="24"/>
  <c r="AQ1790" i="24"/>
  <c r="AP1790" i="24"/>
  <c r="AJ1790" i="24"/>
  <c r="AI1790" i="24"/>
  <c r="AH1790" i="24"/>
  <c r="AG1790" i="24"/>
  <c r="Q1790" i="24"/>
  <c r="AQ1789" i="24"/>
  <c r="AP1789" i="24"/>
  <c r="AJ1789" i="24"/>
  <c r="AI1789" i="24"/>
  <c r="AH1789" i="24"/>
  <c r="AG1789" i="24"/>
  <c r="Q1789" i="24"/>
  <c r="AQ1788" i="24"/>
  <c r="AP1788" i="24"/>
  <c r="AJ1788" i="24"/>
  <c r="AI1788" i="24"/>
  <c r="AH1788" i="24"/>
  <c r="AG1788" i="24"/>
  <c r="Q1788" i="24"/>
  <c r="AQ1787" i="24"/>
  <c r="AP1787" i="24"/>
  <c r="AJ1787" i="24"/>
  <c r="AI1787" i="24"/>
  <c r="AH1787" i="24"/>
  <c r="AG1787" i="24"/>
  <c r="Q1787" i="24"/>
  <c r="AQ1786" i="24"/>
  <c r="AP1786" i="24"/>
  <c r="AJ1786" i="24"/>
  <c r="AI1786" i="24"/>
  <c r="AH1786" i="24"/>
  <c r="AG1786" i="24"/>
  <c r="Q1786" i="24"/>
  <c r="AQ1785" i="24"/>
  <c r="AP1785" i="24"/>
  <c r="AJ1785" i="24"/>
  <c r="AI1785" i="24"/>
  <c r="AH1785" i="24"/>
  <c r="AG1785" i="24"/>
  <c r="Q1785" i="24"/>
  <c r="AQ1784" i="24"/>
  <c r="AP1784" i="24"/>
  <c r="AJ1784" i="24"/>
  <c r="AI1784" i="24"/>
  <c r="AH1784" i="24"/>
  <c r="AG1784" i="24"/>
  <c r="Q1784" i="24"/>
  <c r="AQ1783" i="24"/>
  <c r="AP1783" i="24"/>
  <c r="AJ1783" i="24"/>
  <c r="AI1783" i="24"/>
  <c r="AH1783" i="24"/>
  <c r="AG1783" i="24"/>
  <c r="Q1783" i="24"/>
  <c r="AQ1782" i="24"/>
  <c r="AP1782" i="24"/>
  <c r="AJ1782" i="24"/>
  <c r="AI1782" i="24"/>
  <c r="AH1782" i="24"/>
  <c r="AG1782" i="24"/>
  <c r="Q1782" i="24"/>
  <c r="AQ1781" i="24"/>
  <c r="AP1781" i="24"/>
  <c r="AJ1781" i="24"/>
  <c r="AI1781" i="24"/>
  <c r="AH1781" i="24"/>
  <c r="AG1781" i="24"/>
  <c r="Q1781" i="24"/>
  <c r="AQ1780" i="24"/>
  <c r="AP1780" i="24"/>
  <c r="AJ1780" i="24"/>
  <c r="AI1780" i="24"/>
  <c r="AH1780" i="24"/>
  <c r="AG1780" i="24"/>
  <c r="Q1780" i="24"/>
  <c r="AQ1779" i="24"/>
  <c r="AP1779" i="24"/>
  <c r="AJ1779" i="24"/>
  <c r="AI1779" i="24"/>
  <c r="AH1779" i="24"/>
  <c r="AG1779" i="24"/>
  <c r="Q1779" i="24"/>
  <c r="AQ1778" i="24"/>
  <c r="AP1778" i="24"/>
  <c r="AJ1778" i="24"/>
  <c r="AI1778" i="24"/>
  <c r="AH1778" i="24"/>
  <c r="AG1778" i="24"/>
  <c r="Q1778" i="24"/>
  <c r="AQ1777" i="24"/>
  <c r="AP1777" i="24"/>
  <c r="AJ1777" i="24"/>
  <c r="AI1777" i="24"/>
  <c r="AH1777" i="24"/>
  <c r="AG1777" i="24"/>
  <c r="Q1777" i="24"/>
  <c r="AQ1776" i="24"/>
  <c r="AP1776" i="24"/>
  <c r="AJ1776" i="24"/>
  <c r="AI1776" i="24"/>
  <c r="AH1776" i="24"/>
  <c r="AG1776" i="24"/>
  <c r="Q1776" i="24"/>
  <c r="AQ1775" i="24"/>
  <c r="AP1775" i="24"/>
  <c r="AJ1775" i="24"/>
  <c r="AI1775" i="24"/>
  <c r="AH1775" i="24"/>
  <c r="AG1775" i="24"/>
  <c r="Q1775" i="24"/>
  <c r="AQ1774" i="24"/>
  <c r="AP1774" i="24"/>
  <c r="AJ1774" i="24"/>
  <c r="AI1774" i="24"/>
  <c r="AH1774" i="24"/>
  <c r="AG1774" i="24"/>
  <c r="Q1774" i="24"/>
  <c r="AQ1773" i="24"/>
  <c r="AP1773" i="24"/>
  <c r="AJ1773" i="24"/>
  <c r="AI1773" i="24"/>
  <c r="AH1773" i="24"/>
  <c r="AG1773" i="24"/>
  <c r="Q1773" i="24"/>
  <c r="AQ1772" i="24"/>
  <c r="AP1772" i="24"/>
  <c r="AJ1772" i="24"/>
  <c r="AI1772" i="24"/>
  <c r="AH1772" i="24"/>
  <c r="AG1772" i="24"/>
  <c r="Q1772" i="24"/>
  <c r="AQ1771" i="24"/>
  <c r="AP1771" i="24"/>
  <c r="AJ1771" i="24"/>
  <c r="AI1771" i="24"/>
  <c r="AH1771" i="24"/>
  <c r="AG1771" i="24"/>
  <c r="Q1771" i="24"/>
  <c r="AQ1770" i="24"/>
  <c r="AP1770" i="24"/>
  <c r="AJ1770" i="24"/>
  <c r="AI1770" i="24"/>
  <c r="AH1770" i="24"/>
  <c r="AG1770" i="24"/>
  <c r="Q1770" i="24"/>
  <c r="AQ1769" i="24"/>
  <c r="AP1769" i="24"/>
  <c r="AJ1769" i="24"/>
  <c r="AI1769" i="24"/>
  <c r="AH1769" i="24"/>
  <c r="AG1769" i="24"/>
  <c r="Q1769" i="24"/>
  <c r="AQ1768" i="24"/>
  <c r="AP1768" i="24"/>
  <c r="AJ1768" i="24"/>
  <c r="AI1768" i="24"/>
  <c r="AH1768" i="24"/>
  <c r="AG1768" i="24"/>
  <c r="Q1768" i="24"/>
  <c r="AQ1767" i="24"/>
  <c r="AP1767" i="24"/>
  <c r="AJ1767" i="24"/>
  <c r="AI1767" i="24"/>
  <c r="AH1767" i="24"/>
  <c r="AG1767" i="24"/>
  <c r="Q1767" i="24"/>
  <c r="AQ1766" i="24"/>
  <c r="AP1766" i="24"/>
  <c r="AJ1766" i="24"/>
  <c r="AI1766" i="24"/>
  <c r="AH1766" i="24"/>
  <c r="AG1766" i="24"/>
  <c r="Q1766" i="24"/>
  <c r="AQ1765" i="24"/>
  <c r="AP1765" i="24"/>
  <c r="AJ1765" i="24"/>
  <c r="AI1765" i="24"/>
  <c r="AH1765" i="24"/>
  <c r="AG1765" i="24"/>
  <c r="Q1765" i="24"/>
  <c r="AQ1764" i="24"/>
  <c r="AP1764" i="24"/>
  <c r="AJ1764" i="24"/>
  <c r="AI1764" i="24"/>
  <c r="AH1764" i="24"/>
  <c r="AG1764" i="24"/>
  <c r="Q1764" i="24"/>
  <c r="AQ1763" i="24"/>
  <c r="AP1763" i="24"/>
  <c r="AJ1763" i="24"/>
  <c r="AI1763" i="24"/>
  <c r="AH1763" i="24"/>
  <c r="AG1763" i="24"/>
  <c r="Q1763" i="24"/>
  <c r="AQ1762" i="24"/>
  <c r="AP1762" i="24"/>
  <c r="AJ1762" i="24"/>
  <c r="AI1762" i="24"/>
  <c r="AH1762" i="24"/>
  <c r="AG1762" i="24"/>
  <c r="Q1762" i="24"/>
  <c r="AQ1761" i="24"/>
  <c r="AP1761" i="24"/>
  <c r="AJ1761" i="24"/>
  <c r="AI1761" i="24"/>
  <c r="AH1761" i="24"/>
  <c r="AG1761" i="24"/>
  <c r="Q1761" i="24"/>
  <c r="AQ1760" i="24"/>
  <c r="AP1760" i="24"/>
  <c r="AJ1760" i="24"/>
  <c r="AI1760" i="24"/>
  <c r="AH1760" i="24"/>
  <c r="AG1760" i="24"/>
  <c r="Q1760" i="24"/>
  <c r="AQ1759" i="24"/>
  <c r="AP1759" i="24"/>
  <c r="AJ1759" i="24"/>
  <c r="AI1759" i="24"/>
  <c r="AH1759" i="24"/>
  <c r="AG1759" i="24"/>
  <c r="Q1759" i="24"/>
  <c r="AQ1758" i="24"/>
  <c r="AP1758" i="24"/>
  <c r="AJ1758" i="24"/>
  <c r="AI1758" i="24"/>
  <c r="AH1758" i="24"/>
  <c r="AG1758" i="24"/>
  <c r="Q1758" i="24"/>
  <c r="AQ1757" i="24"/>
  <c r="AP1757" i="24"/>
  <c r="AJ1757" i="24"/>
  <c r="AI1757" i="24"/>
  <c r="AH1757" i="24"/>
  <c r="AG1757" i="24"/>
  <c r="Q1757" i="24"/>
  <c r="AQ1756" i="24"/>
  <c r="AP1756" i="24"/>
  <c r="AJ1756" i="24"/>
  <c r="AI1756" i="24"/>
  <c r="AH1756" i="24"/>
  <c r="AG1756" i="24"/>
  <c r="Q1756" i="24"/>
  <c r="AQ1755" i="24"/>
  <c r="AP1755" i="24"/>
  <c r="AJ1755" i="24"/>
  <c r="AI1755" i="24"/>
  <c r="AH1755" i="24"/>
  <c r="AG1755" i="24"/>
  <c r="Q1755" i="24"/>
  <c r="AQ1754" i="24"/>
  <c r="AP1754" i="24"/>
  <c r="AJ1754" i="24"/>
  <c r="AI1754" i="24"/>
  <c r="AH1754" i="24"/>
  <c r="AG1754" i="24"/>
  <c r="Q1754" i="24"/>
  <c r="AQ1753" i="24"/>
  <c r="AP1753" i="24"/>
  <c r="AJ1753" i="24"/>
  <c r="AI1753" i="24"/>
  <c r="AH1753" i="24"/>
  <c r="AG1753" i="24"/>
  <c r="Q1753" i="24"/>
  <c r="AQ1752" i="24"/>
  <c r="AP1752" i="24"/>
  <c r="AJ1752" i="24"/>
  <c r="AI1752" i="24"/>
  <c r="AH1752" i="24"/>
  <c r="AG1752" i="24"/>
  <c r="Q1752" i="24"/>
  <c r="AQ1751" i="24"/>
  <c r="AP1751" i="24"/>
  <c r="AJ1751" i="24"/>
  <c r="AI1751" i="24"/>
  <c r="AH1751" i="24"/>
  <c r="AG1751" i="24"/>
  <c r="Q1751" i="24"/>
  <c r="AQ1750" i="24"/>
  <c r="AP1750" i="24"/>
  <c r="AJ1750" i="24"/>
  <c r="AI1750" i="24"/>
  <c r="AH1750" i="24"/>
  <c r="AG1750" i="24"/>
  <c r="Q1750" i="24"/>
  <c r="AQ1749" i="24"/>
  <c r="AP1749" i="24"/>
  <c r="AJ1749" i="24"/>
  <c r="AI1749" i="24"/>
  <c r="AH1749" i="24"/>
  <c r="AG1749" i="24"/>
  <c r="Q1749" i="24"/>
  <c r="AQ1748" i="24"/>
  <c r="AP1748" i="24"/>
  <c r="AJ1748" i="24"/>
  <c r="AI1748" i="24"/>
  <c r="AH1748" i="24"/>
  <c r="AG1748" i="24"/>
  <c r="Q1748" i="24"/>
  <c r="AQ1747" i="24"/>
  <c r="AP1747" i="24"/>
  <c r="AJ1747" i="24"/>
  <c r="AI1747" i="24"/>
  <c r="AH1747" i="24"/>
  <c r="AG1747" i="24"/>
  <c r="Q1747" i="24"/>
  <c r="AQ1746" i="24"/>
  <c r="AP1746" i="24"/>
  <c r="AJ1746" i="24"/>
  <c r="AI1746" i="24"/>
  <c r="AH1746" i="24"/>
  <c r="AG1746" i="24"/>
  <c r="Q1746" i="24"/>
  <c r="AQ1745" i="24"/>
  <c r="AP1745" i="24"/>
  <c r="AJ1745" i="24"/>
  <c r="AI1745" i="24"/>
  <c r="AH1745" i="24"/>
  <c r="AG1745" i="24"/>
  <c r="Q1745" i="24"/>
  <c r="AQ1744" i="24"/>
  <c r="AP1744" i="24"/>
  <c r="AJ1744" i="24"/>
  <c r="AI1744" i="24"/>
  <c r="AH1744" i="24"/>
  <c r="AG1744" i="24"/>
  <c r="Q1744" i="24"/>
  <c r="AQ1743" i="24"/>
  <c r="AP1743" i="24"/>
  <c r="AJ1743" i="24"/>
  <c r="AI1743" i="24"/>
  <c r="AH1743" i="24"/>
  <c r="AG1743" i="24"/>
  <c r="Q1743" i="24"/>
  <c r="AQ1742" i="24"/>
  <c r="AP1742" i="24"/>
  <c r="AJ1742" i="24"/>
  <c r="AI1742" i="24"/>
  <c r="AH1742" i="24"/>
  <c r="AG1742" i="24"/>
  <c r="Q1742" i="24"/>
  <c r="AQ1741" i="24"/>
  <c r="AP1741" i="24"/>
  <c r="AJ1741" i="24"/>
  <c r="AI1741" i="24"/>
  <c r="AH1741" i="24"/>
  <c r="AG1741" i="24"/>
  <c r="Q1741" i="24"/>
  <c r="AQ1740" i="24"/>
  <c r="AP1740" i="24"/>
  <c r="AJ1740" i="24"/>
  <c r="AI1740" i="24"/>
  <c r="AH1740" i="24"/>
  <c r="AG1740" i="24"/>
  <c r="Q1740" i="24"/>
  <c r="AQ1739" i="24"/>
  <c r="AP1739" i="24"/>
  <c r="AJ1739" i="24"/>
  <c r="AI1739" i="24"/>
  <c r="AH1739" i="24"/>
  <c r="AG1739" i="24"/>
  <c r="Q1739" i="24"/>
  <c r="AQ1738" i="24"/>
  <c r="AP1738" i="24"/>
  <c r="AJ1738" i="24"/>
  <c r="AI1738" i="24"/>
  <c r="AH1738" i="24"/>
  <c r="AG1738" i="24"/>
  <c r="Q1738" i="24"/>
  <c r="AQ1737" i="24"/>
  <c r="AP1737" i="24"/>
  <c r="AJ1737" i="24"/>
  <c r="AI1737" i="24"/>
  <c r="AH1737" i="24"/>
  <c r="AG1737" i="24"/>
  <c r="Q1737" i="24"/>
  <c r="AQ1736" i="24"/>
  <c r="AP1736" i="24"/>
  <c r="AJ1736" i="24"/>
  <c r="AI1736" i="24"/>
  <c r="AH1736" i="24"/>
  <c r="AG1736" i="24"/>
  <c r="Q1736" i="24"/>
  <c r="AQ1735" i="24"/>
  <c r="AP1735" i="24"/>
  <c r="AJ1735" i="24"/>
  <c r="AI1735" i="24"/>
  <c r="AH1735" i="24"/>
  <c r="AG1735" i="24"/>
  <c r="Q1735" i="24"/>
  <c r="AQ1734" i="24"/>
  <c r="AP1734" i="24"/>
  <c r="AJ1734" i="24"/>
  <c r="AI1734" i="24"/>
  <c r="AH1734" i="24"/>
  <c r="AG1734" i="24"/>
  <c r="Q1734" i="24"/>
  <c r="AQ1733" i="24"/>
  <c r="AP1733" i="24"/>
  <c r="AJ1733" i="24"/>
  <c r="AI1733" i="24"/>
  <c r="AH1733" i="24"/>
  <c r="AG1733" i="24"/>
  <c r="Q1733" i="24"/>
  <c r="AQ1732" i="24"/>
  <c r="AP1732" i="24"/>
  <c r="AJ1732" i="24"/>
  <c r="AI1732" i="24"/>
  <c r="AH1732" i="24"/>
  <c r="AG1732" i="24"/>
  <c r="Q1732" i="24"/>
  <c r="AQ1731" i="24"/>
  <c r="AP1731" i="24"/>
  <c r="AJ1731" i="24"/>
  <c r="AI1731" i="24"/>
  <c r="AH1731" i="24"/>
  <c r="AG1731" i="24"/>
  <c r="Q1731" i="24"/>
  <c r="AQ1730" i="24"/>
  <c r="AP1730" i="24"/>
  <c r="AJ1730" i="24"/>
  <c r="AI1730" i="24"/>
  <c r="AH1730" i="24"/>
  <c r="AG1730" i="24"/>
  <c r="Q1730" i="24"/>
  <c r="AQ1729" i="24"/>
  <c r="AP1729" i="24"/>
  <c r="AJ1729" i="24"/>
  <c r="AI1729" i="24"/>
  <c r="AH1729" i="24"/>
  <c r="AG1729" i="24"/>
  <c r="Q1729" i="24"/>
  <c r="AQ1728" i="24"/>
  <c r="AP1728" i="24"/>
  <c r="AJ1728" i="24"/>
  <c r="AI1728" i="24"/>
  <c r="AH1728" i="24"/>
  <c r="AG1728" i="24"/>
  <c r="Q1728" i="24"/>
  <c r="AQ1727" i="24"/>
  <c r="AP1727" i="24"/>
  <c r="AJ1727" i="24"/>
  <c r="AI1727" i="24"/>
  <c r="AH1727" i="24"/>
  <c r="AG1727" i="24"/>
  <c r="Q1727" i="24"/>
  <c r="AQ1726" i="24"/>
  <c r="AP1726" i="24"/>
  <c r="AJ1726" i="24"/>
  <c r="AI1726" i="24"/>
  <c r="AH1726" i="24"/>
  <c r="AG1726" i="24"/>
  <c r="Q1726" i="24"/>
  <c r="AQ1725" i="24"/>
  <c r="AP1725" i="24"/>
  <c r="AJ1725" i="24"/>
  <c r="AI1725" i="24"/>
  <c r="AH1725" i="24"/>
  <c r="AG1725" i="24"/>
  <c r="Q1725" i="24"/>
  <c r="AQ1724" i="24"/>
  <c r="AP1724" i="24"/>
  <c r="AJ1724" i="24"/>
  <c r="AI1724" i="24"/>
  <c r="AH1724" i="24"/>
  <c r="AG1724" i="24"/>
  <c r="Q1724" i="24"/>
  <c r="AQ1723" i="24"/>
  <c r="AP1723" i="24"/>
  <c r="AJ1723" i="24"/>
  <c r="AI1723" i="24"/>
  <c r="AH1723" i="24"/>
  <c r="AG1723" i="24"/>
  <c r="Q1723" i="24"/>
  <c r="AQ1722" i="24"/>
  <c r="AP1722" i="24"/>
  <c r="AJ1722" i="24"/>
  <c r="AI1722" i="24"/>
  <c r="AH1722" i="24"/>
  <c r="AG1722" i="24"/>
  <c r="Q1722" i="24"/>
  <c r="AQ1721" i="24"/>
  <c r="AP1721" i="24"/>
  <c r="AJ1721" i="24"/>
  <c r="AI1721" i="24"/>
  <c r="AH1721" i="24"/>
  <c r="AG1721" i="24"/>
  <c r="Q1721" i="24"/>
  <c r="AQ1720" i="24"/>
  <c r="AP1720" i="24"/>
  <c r="AJ1720" i="24"/>
  <c r="AI1720" i="24"/>
  <c r="AH1720" i="24"/>
  <c r="AG1720" i="24"/>
  <c r="Q1720" i="24"/>
  <c r="AQ1719" i="24"/>
  <c r="AP1719" i="24"/>
  <c r="AJ1719" i="24"/>
  <c r="AI1719" i="24"/>
  <c r="AH1719" i="24"/>
  <c r="AG1719" i="24"/>
  <c r="Q1719" i="24"/>
  <c r="AQ1718" i="24"/>
  <c r="AP1718" i="24"/>
  <c r="AJ1718" i="24"/>
  <c r="AI1718" i="24"/>
  <c r="AH1718" i="24"/>
  <c r="AG1718" i="24"/>
  <c r="Q1718" i="24"/>
  <c r="AQ1717" i="24"/>
  <c r="AP1717" i="24"/>
  <c r="AJ1717" i="24"/>
  <c r="AI1717" i="24"/>
  <c r="AH1717" i="24"/>
  <c r="AG1717" i="24"/>
  <c r="Q1717" i="24"/>
  <c r="AQ1716" i="24"/>
  <c r="AP1716" i="24"/>
  <c r="AJ1716" i="24"/>
  <c r="AI1716" i="24"/>
  <c r="AH1716" i="24"/>
  <c r="AG1716" i="24"/>
  <c r="Q1716" i="24"/>
  <c r="AQ1715" i="24"/>
  <c r="AP1715" i="24"/>
  <c r="AJ1715" i="24"/>
  <c r="AI1715" i="24"/>
  <c r="AH1715" i="24"/>
  <c r="AG1715" i="24"/>
  <c r="Q1715" i="24"/>
  <c r="AQ1714" i="24"/>
  <c r="AP1714" i="24"/>
  <c r="AJ1714" i="24"/>
  <c r="AI1714" i="24"/>
  <c r="AH1714" i="24"/>
  <c r="AG1714" i="24"/>
  <c r="Q1714" i="24"/>
  <c r="AQ1713" i="24"/>
  <c r="AP1713" i="24"/>
  <c r="AJ1713" i="24"/>
  <c r="AI1713" i="24"/>
  <c r="AH1713" i="24"/>
  <c r="AG1713" i="24"/>
  <c r="Q1713" i="24"/>
  <c r="AQ1712" i="24"/>
  <c r="AP1712" i="24"/>
  <c r="AJ1712" i="24"/>
  <c r="AI1712" i="24"/>
  <c r="AH1712" i="24"/>
  <c r="AG1712" i="24"/>
  <c r="Q1712" i="24"/>
  <c r="AQ1711" i="24"/>
  <c r="AP1711" i="24"/>
  <c r="AJ1711" i="24"/>
  <c r="AI1711" i="24"/>
  <c r="AH1711" i="24"/>
  <c r="AG1711" i="24"/>
  <c r="Q1711" i="24"/>
  <c r="AQ1710" i="24"/>
  <c r="AP1710" i="24"/>
  <c r="AJ1710" i="24"/>
  <c r="AI1710" i="24"/>
  <c r="AH1710" i="24"/>
  <c r="AG1710" i="24"/>
  <c r="Q1710" i="24"/>
  <c r="AQ1709" i="24"/>
  <c r="AP1709" i="24"/>
  <c r="AJ1709" i="24"/>
  <c r="AI1709" i="24"/>
  <c r="AH1709" i="24"/>
  <c r="AG1709" i="24"/>
  <c r="Q1709" i="24"/>
  <c r="AQ1708" i="24"/>
  <c r="AP1708" i="24"/>
  <c r="AJ1708" i="24"/>
  <c r="AI1708" i="24"/>
  <c r="AH1708" i="24"/>
  <c r="AG1708" i="24"/>
  <c r="Q1708" i="24"/>
  <c r="AQ1707" i="24"/>
  <c r="AP1707" i="24"/>
  <c r="AJ1707" i="24"/>
  <c r="AI1707" i="24"/>
  <c r="AH1707" i="24"/>
  <c r="AG1707" i="24"/>
  <c r="Q1707" i="24"/>
  <c r="AQ1706" i="24"/>
  <c r="AP1706" i="24"/>
  <c r="AJ1706" i="24"/>
  <c r="AI1706" i="24"/>
  <c r="AH1706" i="24"/>
  <c r="AG1706" i="24"/>
  <c r="Q1706" i="24"/>
  <c r="AQ1705" i="24"/>
  <c r="AP1705" i="24"/>
  <c r="AJ1705" i="24"/>
  <c r="AI1705" i="24"/>
  <c r="AH1705" i="24"/>
  <c r="AG1705" i="24"/>
  <c r="Q1705" i="24"/>
  <c r="AQ1704" i="24"/>
  <c r="AP1704" i="24"/>
  <c r="AJ1704" i="24"/>
  <c r="AI1704" i="24"/>
  <c r="AH1704" i="24"/>
  <c r="AG1704" i="24"/>
  <c r="Q1704" i="24"/>
  <c r="AQ1703" i="24"/>
  <c r="AP1703" i="24"/>
  <c r="AJ1703" i="24"/>
  <c r="AI1703" i="24"/>
  <c r="AH1703" i="24"/>
  <c r="AG1703" i="24"/>
  <c r="Q1703" i="24"/>
  <c r="AQ1702" i="24"/>
  <c r="AP1702" i="24"/>
  <c r="AJ1702" i="24"/>
  <c r="AI1702" i="24"/>
  <c r="AH1702" i="24"/>
  <c r="AG1702" i="24"/>
  <c r="Q1702" i="24"/>
  <c r="AQ1701" i="24"/>
  <c r="AP1701" i="24"/>
  <c r="AJ1701" i="24"/>
  <c r="AI1701" i="24"/>
  <c r="AH1701" i="24"/>
  <c r="AG1701" i="24"/>
  <c r="Q1701" i="24"/>
  <c r="AQ1700" i="24"/>
  <c r="AP1700" i="24"/>
  <c r="AJ1700" i="24"/>
  <c r="AI1700" i="24"/>
  <c r="AH1700" i="24"/>
  <c r="AG1700" i="24"/>
  <c r="Q1700" i="24"/>
  <c r="AQ1699" i="24"/>
  <c r="AP1699" i="24"/>
  <c r="AJ1699" i="24"/>
  <c r="AI1699" i="24"/>
  <c r="AH1699" i="24"/>
  <c r="AG1699" i="24"/>
  <c r="Q1699" i="24"/>
  <c r="AQ1698" i="24"/>
  <c r="AP1698" i="24"/>
  <c r="AJ1698" i="24"/>
  <c r="AI1698" i="24"/>
  <c r="AH1698" i="24"/>
  <c r="AG1698" i="24"/>
  <c r="Q1698" i="24"/>
  <c r="AQ1697" i="24"/>
  <c r="AP1697" i="24"/>
  <c r="AJ1697" i="24"/>
  <c r="AI1697" i="24"/>
  <c r="AH1697" i="24"/>
  <c r="AG1697" i="24"/>
  <c r="Q1697" i="24"/>
  <c r="AQ1696" i="24"/>
  <c r="AP1696" i="24"/>
  <c r="AJ1696" i="24"/>
  <c r="AI1696" i="24"/>
  <c r="AH1696" i="24"/>
  <c r="AG1696" i="24"/>
  <c r="Q1696" i="24"/>
  <c r="AQ1695" i="24"/>
  <c r="AP1695" i="24"/>
  <c r="AJ1695" i="24"/>
  <c r="AI1695" i="24"/>
  <c r="AH1695" i="24"/>
  <c r="AG1695" i="24"/>
  <c r="Q1695" i="24"/>
  <c r="AQ1694" i="24"/>
  <c r="AP1694" i="24"/>
  <c r="AJ1694" i="24"/>
  <c r="AI1694" i="24"/>
  <c r="AH1694" i="24"/>
  <c r="AG1694" i="24"/>
  <c r="Q1694" i="24"/>
  <c r="AQ1693" i="24"/>
  <c r="AP1693" i="24"/>
  <c r="AJ1693" i="24"/>
  <c r="AI1693" i="24"/>
  <c r="AH1693" i="24"/>
  <c r="AG1693" i="24"/>
  <c r="Q1693" i="24"/>
  <c r="AQ1692" i="24"/>
  <c r="AP1692" i="24"/>
  <c r="AJ1692" i="24"/>
  <c r="AI1692" i="24"/>
  <c r="AH1692" i="24"/>
  <c r="AG1692" i="24"/>
  <c r="Q1692" i="24"/>
  <c r="AQ1691" i="24"/>
  <c r="AP1691" i="24"/>
  <c r="AJ1691" i="24"/>
  <c r="AI1691" i="24"/>
  <c r="AH1691" i="24"/>
  <c r="AG1691" i="24"/>
  <c r="Q1691" i="24"/>
  <c r="AQ1690" i="24"/>
  <c r="AP1690" i="24"/>
  <c r="AJ1690" i="24"/>
  <c r="AI1690" i="24"/>
  <c r="AH1690" i="24"/>
  <c r="AG1690" i="24"/>
  <c r="Q1690" i="24"/>
  <c r="AQ1689" i="24"/>
  <c r="AP1689" i="24"/>
  <c r="AJ1689" i="24"/>
  <c r="AI1689" i="24"/>
  <c r="AH1689" i="24"/>
  <c r="AG1689" i="24"/>
  <c r="Q1689" i="24"/>
  <c r="AQ1688" i="24"/>
  <c r="AP1688" i="24"/>
  <c r="AJ1688" i="24"/>
  <c r="AI1688" i="24"/>
  <c r="AH1688" i="24"/>
  <c r="AG1688" i="24"/>
  <c r="Q1688" i="24"/>
  <c r="AQ1687" i="24"/>
  <c r="AP1687" i="24"/>
  <c r="AJ1687" i="24"/>
  <c r="AI1687" i="24"/>
  <c r="AH1687" i="24"/>
  <c r="AG1687" i="24"/>
  <c r="Q1687" i="24"/>
  <c r="AQ1686" i="24"/>
  <c r="AP1686" i="24"/>
  <c r="AJ1686" i="24"/>
  <c r="AI1686" i="24"/>
  <c r="AH1686" i="24"/>
  <c r="AG1686" i="24"/>
  <c r="Q1686" i="24"/>
  <c r="AQ1685" i="24"/>
  <c r="AP1685" i="24"/>
  <c r="AJ1685" i="24"/>
  <c r="AI1685" i="24"/>
  <c r="AH1685" i="24"/>
  <c r="AG1685" i="24"/>
  <c r="Q1685" i="24"/>
  <c r="AQ1684" i="24"/>
  <c r="AP1684" i="24"/>
  <c r="AJ1684" i="24"/>
  <c r="AI1684" i="24"/>
  <c r="AH1684" i="24"/>
  <c r="AG1684" i="24"/>
  <c r="Q1684" i="24"/>
  <c r="AQ1683" i="24"/>
  <c r="AP1683" i="24"/>
  <c r="AJ1683" i="24"/>
  <c r="AI1683" i="24"/>
  <c r="AH1683" i="24"/>
  <c r="AG1683" i="24"/>
  <c r="Q1683" i="24"/>
  <c r="AQ1682" i="24"/>
  <c r="AP1682" i="24"/>
  <c r="AJ1682" i="24"/>
  <c r="AI1682" i="24"/>
  <c r="AH1682" i="24"/>
  <c r="AG1682" i="24"/>
  <c r="Q1682" i="24"/>
  <c r="AQ1681" i="24"/>
  <c r="AP1681" i="24"/>
  <c r="AJ1681" i="24"/>
  <c r="AI1681" i="24"/>
  <c r="AH1681" i="24"/>
  <c r="AG1681" i="24"/>
  <c r="Q1681" i="24"/>
  <c r="AQ1680" i="24"/>
  <c r="AP1680" i="24"/>
  <c r="AJ1680" i="24"/>
  <c r="AI1680" i="24"/>
  <c r="AH1680" i="24"/>
  <c r="AG1680" i="24"/>
  <c r="Q1680" i="24"/>
  <c r="AQ1679" i="24"/>
  <c r="AP1679" i="24"/>
  <c r="AJ1679" i="24"/>
  <c r="AI1679" i="24"/>
  <c r="AH1679" i="24"/>
  <c r="AG1679" i="24"/>
  <c r="Q1679" i="24"/>
  <c r="AQ1678" i="24"/>
  <c r="AP1678" i="24"/>
  <c r="AJ1678" i="24"/>
  <c r="AI1678" i="24"/>
  <c r="AH1678" i="24"/>
  <c r="AG1678" i="24"/>
  <c r="Q1678" i="24"/>
  <c r="AQ1677" i="24"/>
  <c r="AP1677" i="24"/>
  <c r="AJ1677" i="24"/>
  <c r="AI1677" i="24"/>
  <c r="AH1677" i="24"/>
  <c r="AG1677" i="24"/>
  <c r="Q1677" i="24"/>
  <c r="AQ1676" i="24"/>
  <c r="AP1676" i="24"/>
  <c r="AJ1676" i="24"/>
  <c r="AI1676" i="24"/>
  <c r="AH1676" i="24"/>
  <c r="AG1676" i="24"/>
  <c r="Q1676" i="24"/>
  <c r="AQ1675" i="24"/>
  <c r="AP1675" i="24"/>
  <c r="AJ1675" i="24"/>
  <c r="AI1675" i="24"/>
  <c r="AH1675" i="24"/>
  <c r="AG1675" i="24"/>
  <c r="Q1675" i="24"/>
  <c r="AQ1674" i="24"/>
  <c r="AP1674" i="24"/>
  <c r="AJ1674" i="24"/>
  <c r="AI1674" i="24"/>
  <c r="AH1674" i="24"/>
  <c r="AG1674" i="24"/>
  <c r="Q1674" i="24"/>
  <c r="AQ1673" i="24"/>
  <c r="AP1673" i="24"/>
  <c r="AJ1673" i="24"/>
  <c r="AI1673" i="24"/>
  <c r="AH1673" i="24"/>
  <c r="AG1673" i="24"/>
  <c r="Q1673" i="24"/>
  <c r="AQ1672" i="24"/>
  <c r="AP1672" i="24"/>
  <c r="AJ1672" i="24"/>
  <c r="AI1672" i="24"/>
  <c r="AH1672" i="24"/>
  <c r="AG1672" i="24"/>
  <c r="Q1672" i="24"/>
  <c r="AQ1671" i="24"/>
  <c r="AP1671" i="24"/>
  <c r="AJ1671" i="24"/>
  <c r="AI1671" i="24"/>
  <c r="AH1671" i="24"/>
  <c r="AG1671" i="24"/>
  <c r="Q1671" i="24"/>
  <c r="AQ1670" i="24"/>
  <c r="AP1670" i="24"/>
  <c r="AJ1670" i="24"/>
  <c r="AI1670" i="24"/>
  <c r="AH1670" i="24"/>
  <c r="AG1670" i="24"/>
  <c r="Q1670" i="24"/>
  <c r="AQ1669" i="24"/>
  <c r="AP1669" i="24"/>
  <c r="AJ1669" i="24"/>
  <c r="AI1669" i="24"/>
  <c r="AH1669" i="24"/>
  <c r="AG1669" i="24"/>
  <c r="Q1669" i="24"/>
  <c r="AQ1668" i="24"/>
  <c r="AP1668" i="24"/>
  <c r="AJ1668" i="24"/>
  <c r="AI1668" i="24"/>
  <c r="AH1668" i="24"/>
  <c r="AG1668" i="24"/>
  <c r="Q1668" i="24"/>
  <c r="AQ1667" i="24"/>
  <c r="AP1667" i="24"/>
  <c r="AJ1667" i="24"/>
  <c r="AI1667" i="24"/>
  <c r="AH1667" i="24"/>
  <c r="AG1667" i="24"/>
  <c r="Q1667" i="24"/>
  <c r="AQ1666" i="24"/>
  <c r="AP1666" i="24"/>
  <c r="AJ1666" i="24"/>
  <c r="AI1666" i="24"/>
  <c r="AH1666" i="24"/>
  <c r="AG1666" i="24"/>
  <c r="Q1666" i="24"/>
  <c r="AQ1665" i="24"/>
  <c r="AP1665" i="24"/>
  <c r="AJ1665" i="24"/>
  <c r="AI1665" i="24"/>
  <c r="AH1665" i="24"/>
  <c r="AG1665" i="24"/>
  <c r="Q1665" i="24"/>
  <c r="AQ1664" i="24"/>
  <c r="AP1664" i="24"/>
  <c r="AJ1664" i="24"/>
  <c r="AI1664" i="24"/>
  <c r="AH1664" i="24"/>
  <c r="AG1664" i="24"/>
  <c r="Q1664" i="24"/>
  <c r="AQ1663" i="24"/>
  <c r="AP1663" i="24"/>
  <c r="AJ1663" i="24"/>
  <c r="AI1663" i="24"/>
  <c r="AH1663" i="24"/>
  <c r="AG1663" i="24"/>
  <c r="Q1663" i="24"/>
  <c r="AQ1662" i="24"/>
  <c r="AP1662" i="24"/>
  <c r="AJ1662" i="24"/>
  <c r="AI1662" i="24"/>
  <c r="AH1662" i="24"/>
  <c r="AG1662" i="24"/>
  <c r="Q1662" i="24"/>
  <c r="AQ1661" i="24"/>
  <c r="AP1661" i="24"/>
  <c r="AJ1661" i="24"/>
  <c r="AI1661" i="24"/>
  <c r="AH1661" i="24"/>
  <c r="AG1661" i="24"/>
  <c r="Q1661" i="24"/>
  <c r="AQ1660" i="24"/>
  <c r="AP1660" i="24"/>
  <c r="AJ1660" i="24"/>
  <c r="AI1660" i="24"/>
  <c r="AH1660" i="24"/>
  <c r="AG1660" i="24"/>
  <c r="Q1660" i="24"/>
  <c r="AQ1659" i="24"/>
  <c r="AP1659" i="24"/>
  <c r="AJ1659" i="24"/>
  <c r="AI1659" i="24"/>
  <c r="AH1659" i="24"/>
  <c r="AG1659" i="24"/>
  <c r="Q1659" i="24"/>
  <c r="AQ1658" i="24"/>
  <c r="AP1658" i="24"/>
  <c r="AJ1658" i="24"/>
  <c r="AI1658" i="24"/>
  <c r="AH1658" i="24"/>
  <c r="AG1658" i="24"/>
  <c r="Q1658" i="24"/>
  <c r="AQ1657" i="24"/>
  <c r="AP1657" i="24"/>
  <c r="AJ1657" i="24"/>
  <c r="AI1657" i="24"/>
  <c r="AH1657" i="24"/>
  <c r="AG1657" i="24"/>
  <c r="Q1657" i="24"/>
  <c r="AQ1656" i="24"/>
  <c r="AP1656" i="24"/>
  <c r="AJ1656" i="24"/>
  <c r="AI1656" i="24"/>
  <c r="AH1656" i="24"/>
  <c r="AG1656" i="24"/>
  <c r="Q1656" i="24"/>
  <c r="AQ1655" i="24"/>
  <c r="AP1655" i="24"/>
  <c r="AJ1655" i="24"/>
  <c r="AI1655" i="24"/>
  <c r="AH1655" i="24"/>
  <c r="AG1655" i="24"/>
  <c r="Q1655" i="24"/>
  <c r="AQ1654" i="24"/>
  <c r="AP1654" i="24"/>
  <c r="AJ1654" i="24"/>
  <c r="AI1654" i="24"/>
  <c r="AH1654" i="24"/>
  <c r="AG1654" i="24"/>
  <c r="Q1654" i="24"/>
  <c r="AQ1653" i="24"/>
  <c r="AP1653" i="24"/>
  <c r="AJ1653" i="24"/>
  <c r="AI1653" i="24"/>
  <c r="AH1653" i="24"/>
  <c r="AG1653" i="24"/>
  <c r="Q1653" i="24"/>
  <c r="AQ1652" i="24"/>
  <c r="AP1652" i="24"/>
  <c r="AJ1652" i="24"/>
  <c r="AI1652" i="24"/>
  <c r="AH1652" i="24"/>
  <c r="AG1652" i="24"/>
  <c r="Q1652" i="24"/>
  <c r="AQ1651" i="24"/>
  <c r="AP1651" i="24"/>
  <c r="AJ1651" i="24"/>
  <c r="AI1651" i="24"/>
  <c r="AH1651" i="24"/>
  <c r="AG1651" i="24"/>
  <c r="Q1651" i="24"/>
  <c r="AQ1650" i="24"/>
  <c r="AP1650" i="24"/>
  <c r="AJ1650" i="24"/>
  <c r="AI1650" i="24"/>
  <c r="AH1650" i="24"/>
  <c r="AG1650" i="24"/>
  <c r="Q1650" i="24"/>
  <c r="AQ1649" i="24"/>
  <c r="AP1649" i="24"/>
  <c r="AJ1649" i="24"/>
  <c r="AI1649" i="24"/>
  <c r="AH1649" i="24"/>
  <c r="AG1649" i="24"/>
  <c r="Q1649" i="24"/>
  <c r="AQ1648" i="24"/>
  <c r="AP1648" i="24"/>
  <c r="AJ1648" i="24"/>
  <c r="AI1648" i="24"/>
  <c r="AH1648" i="24"/>
  <c r="AG1648" i="24"/>
  <c r="Q1648" i="24"/>
  <c r="AQ1647" i="24"/>
  <c r="AP1647" i="24"/>
  <c r="AJ1647" i="24"/>
  <c r="AI1647" i="24"/>
  <c r="AH1647" i="24"/>
  <c r="AG1647" i="24"/>
  <c r="Q1647" i="24"/>
  <c r="AQ1646" i="24"/>
  <c r="AP1646" i="24"/>
  <c r="AJ1646" i="24"/>
  <c r="AI1646" i="24"/>
  <c r="AH1646" i="24"/>
  <c r="AG1646" i="24"/>
  <c r="Q1646" i="24"/>
  <c r="AQ1645" i="24"/>
  <c r="AP1645" i="24"/>
  <c r="AJ1645" i="24"/>
  <c r="AI1645" i="24"/>
  <c r="AH1645" i="24"/>
  <c r="AG1645" i="24"/>
  <c r="Q1645" i="24"/>
  <c r="AQ1644" i="24"/>
  <c r="AP1644" i="24"/>
  <c r="AJ1644" i="24"/>
  <c r="AI1644" i="24"/>
  <c r="AH1644" i="24"/>
  <c r="AG1644" i="24"/>
  <c r="Q1644" i="24"/>
  <c r="AQ1643" i="24"/>
  <c r="AP1643" i="24"/>
  <c r="AJ1643" i="24"/>
  <c r="AI1643" i="24"/>
  <c r="AH1643" i="24"/>
  <c r="AG1643" i="24"/>
  <c r="Q1643" i="24"/>
  <c r="AQ1642" i="24"/>
  <c r="AP1642" i="24"/>
  <c r="AJ1642" i="24"/>
  <c r="AI1642" i="24"/>
  <c r="AH1642" i="24"/>
  <c r="AG1642" i="24"/>
  <c r="Q1642" i="24"/>
  <c r="AQ1641" i="24"/>
  <c r="AP1641" i="24"/>
  <c r="AJ1641" i="24"/>
  <c r="AI1641" i="24"/>
  <c r="AH1641" i="24"/>
  <c r="AG1641" i="24"/>
  <c r="Q1641" i="24"/>
  <c r="AQ1640" i="24"/>
  <c r="AP1640" i="24"/>
  <c r="AJ1640" i="24"/>
  <c r="AI1640" i="24"/>
  <c r="AH1640" i="24"/>
  <c r="AG1640" i="24"/>
  <c r="Q1640" i="24"/>
  <c r="AQ1639" i="24"/>
  <c r="AP1639" i="24"/>
  <c r="AJ1639" i="24"/>
  <c r="AI1639" i="24"/>
  <c r="AH1639" i="24"/>
  <c r="AG1639" i="24"/>
  <c r="Q1639" i="24"/>
  <c r="AQ1638" i="24"/>
  <c r="AP1638" i="24"/>
  <c r="AJ1638" i="24"/>
  <c r="AI1638" i="24"/>
  <c r="AH1638" i="24"/>
  <c r="AG1638" i="24"/>
  <c r="Q1638" i="24"/>
  <c r="AQ1637" i="24"/>
  <c r="AP1637" i="24"/>
  <c r="AJ1637" i="24"/>
  <c r="AI1637" i="24"/>
  <c r="AH1637" i="24"/>
  <c r="AG1637" i="24"/>
  <c r="Q1637" i="24"/>
  <c r="AQ1636" i="24"/>
  <c r="AP1636" i="24"/>
  <c r="AJ1636" i="24"/>
  <c r="AI1636" i="24"/>
  <c r="AH1636" i="24"/>
  <c r="AG1636" i="24"/>
  <c r="Q1636" i="24"/>
  <c r="AQ1635" i="24"/>
  <c r="AP1635" i="24"/>
  <c r="AJ1635" i="24"/>
  <c r="AI1635" i="24"/>
  <c r="AH1635" i="24"/>
  <c r="AG1635" i="24"/>
  <c r="Q1635" i="24"/>
  <c r="AQ1634" i="24"/>
  <c r="AP1634" i="24"/>
  <c r="AJ1634" i="24"/>
  <c r="AI1634" i="24"/>
  <c r="AH1634" i="24"/>
  <c r="AG1634" i="24"/>
  <c r="Q1634" i="24"/>
  <c r="AQ1633" i="24"/>
  <c r="AP1633" i="24"/>
  <c r="AJ1633" i="24"/>
  <c r="AI1633" i="24"/>
  <c r="AH1633" i="24"/>
  <c r="AG1633" i="24"/>
  <c r="Q1633" i="24"/>
  <c r="AQ1632" i="24"/>
  <c r="AP1632" i="24"/>
  <c r="AJ1632" i="24"/>
  <c r="AI1632" i="24"/>
  <c r="AH1632" i="24"/>
  <c r="AG1632" i="24"/>
  <c r="Q1632" i="24"/>
  <c r="AQ1631" i="24"/>
  <c r="AP1631" i="24"/>
  <c r="AJ1631" i="24"/>
  <c r="AI1631" i="24"/>
  <c r="AH1631" i="24"/>
  <c r="AG1631" i="24"/>
  <c r="Q1631" i="24"/>
  <c r="AQ1630" i="24"/>
  <c r="AP1630" i="24"/>
  <c r="AJ1630" i="24"/>
  <c r="AI1630" i="24"/>
  <c r="AH1630" i="24"/>
  <c r="AG1630" i="24"/>
  <c r="Q1630" i="24"/>
  <c r="AQ1629" i="24"/>
  <c r="AP1629" i="24"/>
  <c r="AJ1629" i="24"/>
  <c r="AI1629" i="24"/>
  <c r="AH1629" i="24"/>
  <c r="AG1629" i="24"/>
  <c r="Q1629" i="24"/>
  <c r="AQ1628" i="24"/>
  <c r="AP1628" i="24"/>
  <c r="AJ1628" i="24"/>
  <c r="AI1628" i="24"/>
  <c r="AH1628" i="24"/>
  <c r="AG1628" i="24"/>
  <c r="Q1628" i="24"/>
  <c r="AQ1627" i="24"/>
  <c r="AP1627" i="24"/>
  <c r="AJ1627" i="24"/>
  <c r="AI1627" i="24"/>
  <c r="AH1627" i="24"/>
  <c r="AG1627" i="24"/>
  <c r="Q1627" i="24"/>
  <c r="AQ1626" i="24"/>
  <c r="AP1626" i="24"/>
  <c r="AJ1626" i="24"/>
  <c r="AI1626" i="24"/>
  <c r="AH1626" i="24"/>
  <c r="AG1626" i="24"/>
  <c r="Q1626" i="24"/>
  <c r="AQ1625" i="24"/>
  <c r="AP1625" i="24"/>
  <c r="AJ1625" i="24"/>
  <c r="AI1625" i="24"/>
  <c r="AH1625" i="24"/>
  <c r="AG1625" i="24"/>
  <c r="Q1625" i="24"/>
  <c r="AQ1624" i="24"/>
  <c r="AP1624" i="24"/>
  <c r="AJ1624" i="24"/>
  <c r="AI1624" i="24"/>
  <c r="AH1624" i="24"/>
  <c r="AG1624" i="24"/>
  <c r="Q1624" i="24"/>
  <c r="AQ1623" i="24"/>
  <c r="AP1623" i="24"/>
  <c r="AJ1623" i="24"/>
  <c r="AI1623" i="24"/>
  <c r="AH1623" i="24"/>
  <c r="AG1623" i="24"/>
  <c r="Q1623" i="24"/>
  <c r="AQ1622" i="24"/>
  <c r="AJ1622" i="24"/>
  <c r="AI1622" i="24"/>
  <c r="AH1622" i="24"/>
  <c r="AG1622" i="24"/>
  <c r="Q1622" i="24"/>
  <c r="AQ1621" i="24"/>
  <c r="AJ1621" i="24"/>
  <c r="AI1621" i="24"/>
  <c r="AH1621" i="24"/>
  <c r="AG1621" i="24"/>
  <c r="Q1621" i="24"/>
  <c r="AQ1620" i="24"/>
  <c r="AJ1620" i="24"/>
  <c r="AI1620" i="24"/>
  <c r="AH1620" i="24"/>
  <c r="AG1620" i="24"/>
  <c r="Q1620" i="24"/>
  <c r="AQ1619" i="24"/>
  <c r="AJ1619" i="24"/>
  <c r="AI1619" i="24"/>
  <c r="AH1619" i="24"/>
  <c r="AG1619" i="24"/>
  <c r="Q1619" i="24"/>
  <c r="AQ1618" i="24"/>
  <c r="AJ1618" i="24"/>
  <c r="AI1618" i="24"/>
  <c r="AH1618" i="24"/>
  <c r="AG1618" i="24"/>
  <c r="Q1618" i="24"/>
  <c r="AQ1617" i="24"/>
  <c r="AJ1617" i="24"/>
  <c r="AI1617" i="24"/>
  <c r="AH1617" i="24"/>
  <c r="AG1617" i="24"/>
  <c r="Q1617" i="24"/>
  <c r="AQ1616" i="24"/>
  <c r="AJ1616" i="24"/>
  <c r="AI1616" i="24"/>
  <c r="AH1616" i="24"/>
  <c r="AG1616" i="24"/>
  <c r="Q1616" i="24"/>
  <c r="AQ1615" i="24"/>
  <c r="AJ1615" i="24"/>
  <c r="AI1615" i="24"/>
  <c r="AH1615" i="24"/>
  <c r="AG1615" i="24"/>
  <c r="Q1615" i="24"/>
  <c r="AQ1614" i="24"/>
  <c r="AJ1614" i="24"/>
  <c r="AI1614" i="24"/>
  <c r="AH1614" i="24"/>
  <c r="AG1614" i="24"/>
  <c r="Q1614" i="24"/>
  <c r="AQ1613" i="24"/>
  <c r="AJ1613" i="24"/>
  <c r="AI1613" i="24"/>
  <c r="AH1613" i="24"/>
  <c r="AG1613" i="24"/>
  <c r="Q1613" i="24"/>
  <c r="AQ1612" i="24"/>
  <c r="AJ1612" i="24"/>
  <c r="AI1612" i="24"/>
  <c r="AH1612" i="24"/>
  <c r="AG1612" i="24"/>
  <c r="Q1612" i="24"/>
  <c r="AQ1611" i="24"/>
  <c r="AJ1611" i="24"/>
  <c r="AI1611" i="24"/>
  <c r="AH1611" i="24"/>
  <c r="AG1611" i="24"/>
  <c r="Q1611" i="24"/>
  <c r="AQ1610" i="24"/>
  <c r="AJ1610" i="24"/>
  <c r="AI1610" i="24"/>
  <c r="AH1610" i="24"/>
  <c r="AG1610" i="24"/>
  <c r="Q1610" i="24"/>
  <c r="AQ1609" i="24"/>
  <c r="AJ1609" i="24"/>
  <c r="AI1609" i="24"/>
  <c r="AH1609" i="24"/>
  <c r="AG1609" i="24"/>
  <c r="Q1609" i="24"/>
  <c r="AQ1608" i="24"/>
  <c r="AJ1608" i="24"/>
  <c r="AI1608" i="24"/>
  <c r="AH1608" i="24"/>
  <c r="AG1608" i="24"/>
  <c r="Q1608" i="24"/>
  <c r="AQ1607" i="24"/>
  <c r="AJ1607" i="24"/>
  <c r="AI1607" i="24"/>
  <c r="AH1607" i="24"/>
  <c r="AG1607" i="24"/>
  <c r="Q1607" i="24"/>
  <c r="AQ1606" i="24"/>
  <c r="AJ1606" i="24"/>
  <c r="AI1606" i="24"/>
  <c r="AH1606" i="24"/>
  <c r="AG1606" i="24"/>
  <c r="Q1606" i="24"/>
  <c r="AQ1605" i="24"/>
  <c r="AJ1605" i="24"/>
  <c r="AI1605" i="24"/>
  <c r="AH1605" i="24"/>
  <c r="AG1605" i="24"/>
  <c r="Q1605" i="24"/>
  <c r="AQ1604" i="24"/>
  <c r="AJ1604" i="24"/>
  <c r="AI1604" i="24"/>
  <c r="AH1604" i="24"/>
  <c r="AG1604" i="24"/>
  <c r="Q1604" i="24"/>
  <c r="AQ1603" i="24"/>
  <c r="AJ1603" i="24"/>
  <c r="AI1603" i="24"/>
  <c r="AH1603" i="24"/>
  <c r="AG1603" i="24"/>
  <c r="Q1603" i="24"/>
  <c r="AQ1602" i="24"/>
  <c r="AJ1602" i="24"/>
  <c r="AI1602" i="24"/>
  <c r="AH1602" i="24"/>
  <c r="AG1602" i="24"/>
  <c r="Q1602" i="24"/>
  <c r="AQ1601" i="24"/>
  <c r="AJ1601" i="24"/>
  <c r="AI1601" i="24"/>
  <c r="AH1601" i="24"/>
  <c r="AG1601" i="24"/>
  <c r="Q1601" i="24"/>
  <c r="AQ1600" i="24"/>
  <c r="AJ1600" i="24"/>
  <c r="AI1600" i="24"/>
  <c r="AH1600" i="24"/>
  <c r="AG1600" i="24"/>
  <c r="Q1600" i="24"/>
  <c r="AQ1599" i="24"/>
  <c r="AJ1599" i="24"/>
  <c r="AI1599" i="24"/>
  <c r="AH1599" i="24"/>
  <c r="AG1599" i="24"/>
  <c r="Q1599" i="24"/>
  <c r="AQ1598" i="24"/>
  <c r="AJ1598" i="24"/>
  <c r="AI1598" i="24"/>
  <c r="AH1598" i="24"/>
  <c r="AG1598" i="24"/>
  <c r="Q1598" i="24"/>
  <c r="AQ1597" i="24"/>
  <c r="AJ1597" i="24"/>
  <c r="AI1597" i="24"/>
  <c r="AH1597" i="24"/>
  <c r="AG1597" i="24"/>
  <c r="Q1597" i="24"/>
  <c r="AQ1596" i="24"/>
  <c r="AJ1596" i="24"/>
  <c r="AI1596" i="24"/>
  <c r="AH1596" i="24"/>
  <c r="AG1596" i="24"/>
  <c r="Q1596" i="24"/>
  <c r="AQ1595" i="24"/>
  <c r="AJ1595" i="24"/>
  <c r="AI1595" i="24"/>
  <c r="AH1595" i="24"/>
  <c r="AG1595" i="24"/>
  <c r="Q1595" i="24"/>
  <c r="AQ1594" i="24"/>
  <c r="AJ1594" i="24"/>
  <c r="AI1594" i="24"/>
  <c r="AH1594" i="24"/>
  <c r="AG1594" i="24"/>
  <c r="Q1594" i="24"/>
  <c r="AQ1593" i="24"/>
  <c r="AJ1593" i="24"/>
  <c r="AI1593" i="24"/>
  <c r="AH1593" i="24"/>
  <c r="AG1593" i="24"/>
  <c r="Q1593" i="24"/>
  <c r="AQ1592" i="24"/>
  <c r="AJ1592" i="24"/>
  <c r="AI1592" i="24"/>
  <c r="AH1592" i="24"/>
  <c r="AG1592" i="24"/>
  <c r="Q1592" i="24"/>
  <c r="AQ1591" i="24"/>
  <c r="AJ1591" i="24"/>
  <c r="AI1591" i="24"/>
  <c r="AH1591" i="24"/>
  <c r="AG1591" i="24"/>
  <c r="Q1591" i="24"/>
  <c r="AQ1590" i="24"/>
  <c r="AJ1590" i="24"/>
  <c r="AI1590" i="24"/>
  <c r="AH1590" i="24"/>
  <c r="AG1590" i="24"/>
  <c r="Q1590" i="24"/>
  <c r="AQ1589" i="24"/>
  <c r="AJ1589" i="24"/>
  <c r="AI1589" i="24"/>
  <c r="AH1589" i="24"/>
  <c r="AG1589" i="24"/>
  <c r="Q1589" i="24"/>
  <c r="AQ1588" i="24"/>
  <c r="AJ1588" i="24"/>
  <c r="AI1588" i="24"/>
  <c r="AH1588" i="24"/>
  <c r="AG1588" i="24"/>
  <c r="Q1588" i="24"/>
  <c r="AQ1587" i="24"/>
  <c r="AJ1587" i="24"/>
  <c r="AI1587" i="24"/>
  <c r="AH1587" i="24"/>
  <c r="AG1587" i="24"/>
  <c r="Q1587" i="24"/>
  <c r="AQ1586" i="24"/>
  <c r="AJ1586" i="24"/>
  <c r="AI1586" i="24"/>
  <c r="AH1586" i="24"/>
  <c r="AG1586" i="24"/>
  <c r="Q1586" i="24"/>
  <c r="AQ1585" i="24"/>
  <c r="AJ1585" i="24"/>
  <c r="AI1585" i="24"/>
  <c r="AH1585" i="24"/>
  <c r="AG1585" i="24"/>
  <c r="Q1585" i="24"/>
  <c r="AQ1584" i="24"/>
  <c r="AJ1584" i="24"/>
  <c r="AI1584" i="24"/>
  <c r="AH1584" i="24"/>
  <c r="AG1584" i="24"/>
  <c r="Q1584" i="24"/>
  <c r="AQ1583" i="24"/>
  <c r="AJ1583" i="24"/>
  <c r="AI1583" i="24"/>
  <c r="AH1583" i="24"/>
  <c r="AG1583" i="24"/>
  <c r="Q1583" i="24"/>
  <c r="E37" i="31" s="1"/>
  <c r="BF37" i="31" s="1"/>
  <c r="AQ1582" i="24"/>
  <c r="AJ1582" i="24"/>
  <c r="AI1582" i="24"/>
  <c r="AH1582" i="24"/>
  <c r="AG1582" i="24"/>
  <c r="Q1582" i="24"/>
  <c r="AQ1581" i="24"/>
  <c r="AJ1581" i="24"/>
  <c r="AI1581" i="24"/>
  <c r="AH1581" i="24"/>
  <c r="AG1581" i="24"/>
  <c r="Q1581" i="24"/>
  <c r="AQ1580" i="24"/>
  <c r="AJ1580" i="24"/>
  <c r="AI1580" i="24"/>
  <c r="AH1580" i="24"/>
  <c r="AG1580" i="24"/>
  <c r="Q1580" i="24"/>
  <c r="AQ1579" i="24"/>
  <c r="AJ1579" i="24"/>
  <c r="AI1579" i="24"/>
  <c r="AH1579" i="24"/>
  <c r="AG1579" i="24"/>
  <c r="Q1579" i="24"/>
  <c r="AQ1578" i="24"/>
  <c r="AJ1578" i="24"/>
  <c r="AI1578" i="24"/>
  <c r="AH1578" i="24"/>
  <c r="AG1578" i="24"/>
  <c r="Q1578" i="24"/>
  <c r="AQ1577" i="24"/>
  <c r="AJ1577" i="24"/>
  <c r="AI1577" i="24"/>
  <c r="AH1577" i="24"/>
  <c r="AG1577" i="24"/>
  <c r="Q1577" i="24"/>
  <c r="AQ1576" i="24"/>
  <c r="AJ1576" i="24"/>
  <c r="AI1576" i="24"/>
  <c r="AH1576" i="24"/>
  <c r="AG1576" i="24"/>
  <c r="Q1576" i="24"/>
  <c r="AQ1575" i="24"/>
  <c r="AJ1575" i="24"/>
  <c r="AI1575" i="24"/>
  <c r="AH1575" i="24"/>
  <c r="AG1575" i="24"/>
  <c r="Q1575" i="24"/>
  <c r="AQ1574" i="24"/>
  <c r="AJ1574" i="24"/>
  <c r="AI1574" i="24"/>
  <c r="AH1574" i="24"/>
  <c r="AG1574" i="24"/>
  <c r="Q1574" i="24"/>
  <c r="AQ1573" i="24"/>
  <c r="AJ1573" i="24"/>
  <c r="AI1573" i="24"/>
  <c r="AH1573" i="24"/>
  <c r="AG1573" i="24"/>
  <c r="Q1573" i="24"/>
  <c r="AQ1572" i="24"/>
  <c r="AJ1572" i="24"/>
  <c r="AI1572" i="24"/>
  <c r="AH1572" i="24"/>
  <c r="AG1572" i="24"/>
  <c r="Q1572" i="24"/>
  <c r="AQ1571" i="24"/>
  <c r="AJ1571" i="24"/>
  <c r="AI1571" i="24"/>
  <c r="AH1571" i="24"/>
  <c r="AG1571" i="24"/>
  <c r="Q1571" i="24"/>
  <c r="AQ1570" i="24"/>
  <c r="AJ1570" i="24"/>
  <c r="AI1570" i="24"/>
  <c r="AH1570" i="24"/>
  <c r="AG1570" i="24"/>
  <c r="Q1570" i="24"/>
  <c r="AQ1569" i="24"/>
  <c r="AJ1569" i="24"/>
  <c r="AI1569" i="24"/>
  <c r="AH1569" i="24"/>
  <c r="AG1569" i="24"/>
  <c r="Q1569" i="24"/>
  <c r="AQ1568" i="24"/>
  <c r="AJ1568" i="24"/>
  <c r="AI1568" i="24"/>
  <c r="AH1568" i="24"/>
  <c r="AG1568" i="24"/>
  <c r="Q1568" i="24"/>
  <c r="AQ1567" i="24"/>
  <c r="AJ1567" i="24"/>
  <c r="AI1567" i="24"/>
  <c r="AH1567" i="24"/>
  <c r="AG1567" i="24"/>
  <c r="Q1567" i="24"/>
  <c r="AQ1566" i="24"/>
  <c r="AJ1566" i="24"/>
  <c r="AI1566" i="24"/>
  <c r="AH1566" i="24"/>
  <c r="AG1566" i="24"/>
  <c r="Q1566" i="24"/>
  <c r="AQ1565" i="24"/>
  <c r="AJ1565" i="24"/>
  <c r="AI1565" i="24"/>
  <c r="AH1565" i="24"/>
  <c r="AG1565" i="24"/>
  <c r="Q1565" i="24"/>
  <c r="AQ1564" i="24"/>
  <c r="AJ1564" i="24"/>
  <c r="AI1564" i="24"/>
  <c r="AH1564" i="24"/>
  <c r="AG1564" i="24"/>
  <c r="Q1564" i="24"/>
  <c r="AQ1563" i="24"/>
  <c r="AJ1563" i="24"/>
  <c r="AI1563" i="24"/>
  <c r="AH1563" i="24"/>
  <c r="AG1563" i="24"/>
  <c r="Q1563" i="24"/>
  <c r="AQ1562" i="24"/>
  <c r="AJ1562" i="24"/>
  <c r="AI1562" i="24"/>
  <c r="AH1562" i="24"/>
  <c r="AG1562" i="24"/>
  <c r="Q1562" i="24"/>
  <c r="AQ1561" i="24"/>
  <c r="AJ1561" i="24"/>
  <c r="AI1561" i="24"/>
  <c r="AH1561" i="24"/>
  <c r="AG1561" i="24"/>
  <c r="Q1561" i="24"/>
  <c r="AQ1560" i="24"/>
  <c r="AJ1560" i="24"/>
  <c r="AI1560" i="24"/>
  <c r="AH1560" i="24"/>
  <c r="AG1560" i="24"/>
  <c r="Q1560" i="24"/>
  <c r="AQ1559" i="24"/>
  <c r="AJ1559" i="24"/>
  <c r="AI1559" i="24"/>
  <c r="AH1559" i="24"/>
  <c r="AG1559" i="24"/>
  <c r="Q1559" i="24"/>
  <c r="AQ1558" i="24"/>
  <c r="AJ1558" i="24"/>
  <c r="AI1558" i="24"/>
  <c r="AH1558" i="24"/>
  <c r="AG1558" i="24"/>
  <c r="Q1558" i="24"/>
  <c r="AQ1557" i="24"/>
  <c r="AJ1557" i="24"/>
  <c r="AI1557" i="24"/>
  <c r="AH1557" i="24"/>
  <c r="AG1557" i="24"/>
  <c r="Q1557" i="24"/>
  <c r="AQ1556" i="24"/>
  <c r="AJ1556" i="24"/>
  <c r="AI1556" i="24"/>
  <c r="AH1556" i="24"/>
  <c r="AG1556" i="24"/>
  <c r="Q1556" i="24"/>
  <c r="AQ1555" i="24"/>
  <c r="AJ1555" i="24"/>
  <c r="AI1555" i="24"/>
  <c r="AH1555" i="24"/>
  <c r="AG1555" i="24"/>
  <c r="Q1555" i="24"/>
  <c r="AQ1554" i="24"/>
  <c r="AJ1554" i="24"/>
  <c r="AI1554" i="24"/>
  <c r="AH1554" i="24"/>
  <c r="AG1554" i="24"/>
  <c r="Q1554" i="24"/>
  <c r="AQ1553" i="24"/>
  <c r="AJ1553" i="24"/>
  <c r="AI1553" i="24"/>
  <c r="AH1553" i="24"/>
  <c r="AG1553" i="24"/>
  <c r="Q1553" i="24"/>
  <c r="AQ1552" i="24"/>
  <c r="AJ1552" i="24"/>
  <c r="AI1552" i="24"/>
  <c r="AH1552" i="24"/>
  <c r="AG1552" i="24"/>
  <c r="Q1552" i="24"/>
  <c r="AQ1551" i="24"/>
  <c r="AJ1551" i="24"/>
  <c r="AI1551" i="24"/>
  <c r="AH1551" i="24"/>
  <c r="AG1551" i="24"/>
  <c r="Q1551" i="24"/>
  <c r="AQ1550" i="24"/>
  <c r="AJ1550" i="24"/>
  <c r="AI1550" i="24"/>
  <c r="AH1550" i="24"/>
  <c r="AG1550" i="24"/>
  <c r="Q1550" i="24"/>
  <c r="AQ1549" i="24"/>
  <c r="AJ1549" i="24"/>
  <c r="AI1549" i="24"/>
  <c r="AH1549" i="24"/>
  <c r="AG1549" i="24"/>
  <c r="Q1549" i="24"/>
  <c r="AQ1548" i="24"/>
  <c r="AJ1548" i="24"/>
  <c r="AI1548" i="24"/>
  <c r="AH1548" i="24"/>
  <c r="AG1548" i="24"/>
  <c r="Q1548" i="24"/>
  <c r="AQ1547" i="24"/>
  <c r="AJ1547" i="24"/>
  <c r="AI1547" i="24"/>
  <c r="AH1547" i="24"/>
  <c r="AG1547" i="24"/>
  <c r="Q1547" i="24"/>
  <c r="AQ1546" i="24"/>
  <c r="AJ1546" i="24"/>
  <c r="AI1546" i="24"/>
  <c r="AH1546" i="24"/>
  <c r="AG1546" i="24"/>
  <c r="Q1546" i="24"/>
  <c r="AQ1545" i="24"/>
  <c r="AJ1545" i="24"/>
  <c r="AI1545" i="24"/>
  <c r="AH1545" i="24"/>
  <c r="AG1545" i="24"/>
  <c r="Q1545" i="24"/>
  <c r="AQ1544" i="24"/>
  <c r="AJ1544" i="24"/>
  <c r="AI1544" i="24"/>
  <c r="AH1544" i="24"/>
  <c r="AG1544" i="24"/>
  <c r="Q1544" i="24"/>
  <c r="AQ1543" i="24"/>
  <c r="AJ1543" i="24"/>
  <c r="AI1543" i="24"/>
  <c r="AH1543" i="24"/>
  <c r="AG1543" i="24"/>
  <c r="Q1543" i="24"/>
  <c r="AQ1542" i="24"/>
  <c r="AJ1542" i="24"/>
  <c r="AI1542" i="24"/>
  <c r="AH1542" i="24"/>
  <c r="AG1542" i="24"/>
  <c r="Q1542" i="24"/>
  <c r="AQ1541" i="24"/>
  <c r="AJ1541" i="24"/>
  <c r="AI1541" i="24"/>
  <c r="AH1541" i="24"/>
  <c r="AG1541" i="24"/>
  <c r="Q1541" i="24"/>
  <c r="AQ1540" i="24"/>
  <c r="AJ1540" i="24"/>
  <c r="AI1540" i="24"/>
  <c r="AG1540" i="24"/>
  <c r="Q1540" i="24"/>
  <c r="AQ1539" i="24"/>
  <c r="AJ1539" i="24"/>
  <c r="AI1539" i="24"/>
  <c r="AG1539" i="24"/>
  <c r="Q1539" i="24"/>
  <c r="AQ1538" i="24"/>
  <c r="AJ1538" i="24"/>
  <c r="AI1538" i="24"/>
  <c r="AG1538" i="24"/>
  <c r="Q1538" i="24"/>
  <c r="AQ1537" i="24"/>
  <c r="AJ1537" i="24"/>
  <c r="AI1537" i="24"/>
  <c r="AG1537" i="24"/>
  <c r="Q1537" i="24"/>
  <c r="AQ1536" i="24"/>
  <c r="AJ1536" i="24"/>
  <c r="AI1536" i="24"/>
  <c r="AG1536" i="24"/>
  <c r="Q1536" i="24"/>
  <c r="AQ1535" i="24"/>
  <c r="AJ1535" i="24"/>
  <c r="AI1535" i="24"/>
  <c r="AH1535" i="24"/>
  <c r="AG1535" i="24"/>
  <c r="Q1535" i="24"/>
  <c r="AQ1534" i="24"/>
  <c r="AJ1534" i="24"/>
  <c r="AI1534" i="24"/>
  <c r="AH1534" i="24"/>
  <c r="AG1534" i="24"/>
  <c r="Q1534" i="24"/>
  <c r="AQ1533" i="24"/>
  <c r="AJ1533" i="24"/>
  <c r="AI1533" i="24"/>
  <c r="AH1533" i="24"/>
  <c r="AG1533" i="24"/>
  <c r="Q1533" i="24"/>
  <c r="AQ1532" i="24"/>
  <c r="AJ1532" i="24"/>
  <c r="AI1532" i="24"/>
  <c r="AH1532" i="24"/>
  <c r="AG1532" i="24"/>
  <c r="Q1532" i="24"/>
  <c r="AQ1531" i="24"/>
  <c r="AJ1531" i="24"/>
  <c r="AI1531" i="24"/>
  <c r="AH1531" i="24"/>
  <c r="AG1531" i="24"/>
  <c r="Q1531" i="24"/>
  <c r="AQ1530" i="24"/>
  <c r="AP1530" i="24"/>
  <c r="AJ1530" i="24"/>
  <c r="AI1530" i="24"/>
  <c r="AG1530" i="24"/>
  <c r="Q1530" i="24"/>
  <c r="AQ1529" i="24"/>
  <c r="AP1529" i="24"/>
  <c r="AJ1529" i="24"/>
  <c r="AI1529" i="24"/>
  <c r="AG1529" i="24"/>
  <c r="Q1529" i="24"/>
  <c r="AQ1528" i="24"/>
  <c r="AP1528" i="24"/>
  <c r="AI1528" i="24"/>
  <c r="AG1528" i="24"/>
  <c r="Q1528" i="24"/>
  <c r="AQ1527" i="24"/>
  <c r="AP1527" i="24"/>
  <c r="AI1527" i="24"/>
  <c r="AG1527" i="24"/>
  <c r="Q1527" i="24"/>
  <c r="AQ1526" i="24"/>
  <c r="AP1526" i="24"/>
  <c r="AI1526" i="24"/>
  <c r="AG1526" i="24"/>
  <c r="Q1526" i="24"/>
  <c r="AQ1525" i="24"/>
  <c r="AI1525" i="24"/>
  <c r="AH1525" i="24"/>
  <c r="AG1525" i="24"/>
  <c r="Q1525" i="24"/>
  <c r="AQ1524" i="24"/>
  <c r="AP1524" i="24"/>
  <c r="AI1524" i="24"/>
  <c r="AH1524" i="24"/>
  <c r="AG1524" i="24"/>
  <c r="Q1524" i="24"/>
  <c r="AQ1523" i="24"/>
  <c r="AP1523" i="24"/>
  <c r="AJ1523" i="24"/>
  <c r="AI1523" i="24"/>
  <c r="AH1523" i="24"/>
  <c r="AG1523" i="24"/>
  <c r="Q1523" i="24"/>
  <c r="AQ1522" i="24"/>
  <c r="AJ1522" i="24"/>
  <c r="AI1522" i="24"/>
  <c r="AH1522" i="24"/>
  <c r="AG1522" i="24"/>
  <c r="Q1522" i="24"/>
  <c r="AQ1521" i="24"/>
  <c r="AP1521" i="24"/>
  <c r="AJ1521" i="24"/>
  <c r="AI1521" i="24"/>
  <c r="AH1521" i="24"/>
  <c r="AG1521" i="24"/>
  <c r="Q1521" i="24"/>
  <c r="AQ1520" i="24"/>
  <c r="AP1520" i="24"/>
  <c r="AJ1520" i="24"/>
  <c r="AI1520" i="24"/>
  <c r="AG1520" i="24"/>
  <c r="Q1520" i="24"/>
  <c r="AQ1519" i="24"/>
  <c r="AP1519" i="24"/>
  <c r="AJ1519" i="24"/>
  <c r="AI1519" i="24"/>
  <c r="AG1519" i="24"/>
  <c r="Q1519" i="24"/>
  <c r="AQ1518" i="24"/>
  <c r="AP1518" i="24"/>
  <c r="AI1518" i="24"/>
  <c r="AH1518" i="24"/>
  <c r="AG1518" i="24"/>
  <c r="Q1518" i="24"/>
  <c r="AQ1517" i="24"/>
  <c r="AP1517" i="24"/>
  <c r="AI1517" i="24"/>
  <c r="AH1517" i="24"/>
  <c r="AG1517" i="24"/>
  <c r="Q1517" i="24"/>
  <c r="AQ1516" i="24"/>
  <c r="AP1516" i="24"/>
  <c r="AI1516" i="24"/>
  <c r="AG1516" i="24"/>
  <c r="Q1516" i="24"/>
  <c r="AQ1515" i="24"/>
  <c r="AP1515" i="24"/>
  <c r="AI1515" i="24"/>
  <c r="AG1515" i="24"/>
  <c r="Q1515" i="24"/>
  <c r="AQ1514" i="24"/>
  <c r="AP1514" i="24"/>
  <c r="AI1514" i="24"/>
  <c r="AG1514" i="24"/>
  <c r="Q1514" i="24"/>
  <c r="AQ1513" i="24"/>
  <c r="AP1513" i="24"/>
  <c r="AJ1513" i="24"/>
  <c r="AI1513" i="24"/>
  <c r="AG1513" i="24"/>
  <c r="Q1513" i="24"/>
  <c r="AQ1512" i="24"/>
  <c r="AJ1512" i="24"/>
  <c r="AI1512" i="24"/>
  <c r="AG1512" i="24"/>
  <c r="Q1512" i="24"/>
  <c r="AQ1511" i="24"/>
  <c r="AP1511" i="24"/>
  <c r="AJ1511" i="24"/>
  <c r="AI1511" i="24"/>
  <c r="AG1511" i="24"/>
  <c r="Q1511" i="24"/>
  <c r="AQ1510" i="24"/>
  <c r="AP1510" i="24"/>
  <c r="AI1510" i="24"/>
  <c r="AH1510" i="24"/>
  <c r="AG1510" i="24"/>
  <c r="Q1510" i="24"/>
  <c r="AQ1509" i="24"/>
  <c r="AP1509" i="24"/>
  <c r="AI1509" i="24"/>
  <c r="AH1509" i="24"/>
  <c r="AG1509" i="24"/>
  <c r="Q1509" i="24"/>
  <c r="AQ1508" i="24"/>
  <c r="AP1508" i="24"/>
  <c r="AI1508" i="24"/>
  <c r="AH1508" i="24"/>
  <c r="AG1508" i="24"/>
  <c r="Q1508" i="24"/>
  <c r="AQ1507" i="24"/>
  <c r="AP1507" i="24"/>
  <c r="AI1507" i="24"/>
  <c r="AH1507" i="24"/>
  <c r="AG1507" i="24"/>
  <c r="Q1507" i="24"/>
  <c r="AQ1506" i="24"/>
  <c r="AP1506" i="24"/>
  <c r="AI1506" i="24"/>
  <c r="AG1506" i="24"/>
  <c r="Q1506" i="24"/>
  <c r="AQ1505" i="24"/>
  <c r="AP1505" i="24"/>
  <c r="AI1505" i="24"/>
  <c r="AG1505" i="24"/>
  <c r="Q1505" i="24"/>
  <c r="AQ1504" i="24"/>
  <c r="AJ1504" i="24"/>
  <c r="AI1504" i="24"/>
  <c r="AG1504" i="24"/>
  <c r="Q1504" i="24"/>
  <c r="AQ1503" i="24"/>
  <c r="AJ1503" i="24"/>
  <c r="AI1503" i="24"/>
  <c r="AG1503" i="24"/>
  <c r="Q1503" i="24"/>
  <c r="AQ1502" i="24"/>
  <c r="AP1502" i="24"/>
  <c r="AJ1502" i="24"/>
  <c r="AI1502" i="24"/>
  <c r="AG1502" i="24"/>
  <c r="C1503" i="24"/>
  <c r="C1504" i="24"/>
  <c r="C1505" i="24"/>
  <c r="C1506" i="24"/>
  <c r="C1507" i="24"/>
  <c r="C1508" i="24"/>
  <c r="C1509" i="24"/>
  <c r="C1510" i="24"/>
  <c r="C1511" i="24"/>
  <c r="C1512" i="24"/>
  <c r="C1513" i="24"/>
  <c r="C1514" i="24"/>
  <c r="C1515" i="24"/>
  <c r="C1516" i="24"/>
  <c r="C1517" i="24"/>
  <c r="C1518" i="24"/>
  <c r="C1519" i="24"/>
  <c r="C1520" i="24"/>
  <c r="C1521" i="24"/>
  <c r="C1522" i="24"/>
  <c r="C1523" i="24"/>
  <c r="C1524" i="24"/>
  <c r="C1525" i="24"/>
  <c r="C1526" i="24"/>
  <c r="C1527" i="24"/>
  <c r="C1528" i="24"/>
  <c r="C1529" i="24"/>
  <c r="C1530" i="24"/>
  <c r="C1531" i="24"/>
  <c r="C1532" i="24"/>
  <c r="C1533" i="24"/>
  <c r="C1534" i="24"/>
  <c r="C1535" i="24"/>
  <c r="C1536" i="24"/>
  <c r="C1537" i="24"/>
  <c r="C1538" i="24"/>
  <c r="C1539" i="24"/>
  <c r="C1540" i="24"/>
  <c r="C1541" i="24"/>
  <c r="C1542" i="24"/>
  <c r="C1543" i="24"/>
  <c r="C1544" i="24"/>
  <c r="C1545" i="24"/>
  <c r="C1546" i="24"/>
  <c r="C1547" i="24"/>
  <c r="C1548" i="24"/>
  <c r="C1549" i="24"/>
  <c r="C1550" i="24"/>
  <c r="C1551" i="24"/>
  <c r="C1552" i="24"/>
  <c r="C1553" i="24"/>
  <c r="C1554" i="24"/>
  <c r="C1555" i="24"/>
  <c r="C1556" i="24"/>
  <c r="C1557" i="24"/>
  <c r="C1558" i="24"/>
  <c r="C1559" i="24"/>
  <c r="C1560" i="24"/>
  <c r="C1561" i="24"/>
  <c r="C1562" i="24"/>
  <c r="C1563" i="24"/>
  <c r="C1564" i="24"/>
  <c r="C1565" i="24"/>
  <c r="C1566" i="24"/>
  <c r="C1567" i="24"/>
  <c r="C1568" i="24"/>
  <c r="C1569" i="24"/>
  <c r="C1570" i="24"/>
  <c r="C1571" i="24"/>
  <c r="C1572" i="24"/>
  <c r="C1573" i="24"/>
  <c r="C1574" i="24"/>
  <c r="C1575" i="24"/>
  <c r="C1576" i="24"/>
  <c r="C1577" i="24"/>
  <c r="C1578" i="24"/>
  <c r="C1579" i="24"/>
  <c r="C1580" i="24"/>
  <c r="C1581" i="24"/>
  <c r="C1582" i="24"/>
  <c r="C1583" i="24"/>
  <c r="C1584" i="24"/>
  <c r="C1585" i="24"/>
  <c r="C1586" i="24"/>
  <c r="C1587" i="24"/>
  <c r="C1588" i="24"/>
  <c r="C1589" i="24"/>
  <c r="C1590" i="24"/>
  <c r="C1591" i="24"/>
  <c r="C1592" i="24"/>
  <c r="C1593" i="24"/>
  <c r="C1594" i="24"/>
  <c r="C1595" i="24"/>
  <c r="C1596" i="24"/>
  <c r="C1597" i="24"/>
  <c r="C1598" i="24"/>
  <c r="C1599" i="24"/>
  <c r="C1600" i="24"/>
  <c r="C1601" i="24"/>
  <c r="C1602" i="24"/>
  <c r="C1603" i="24"/>
  <c r="C1604" i="24"/>
  <c r="C1605" i="24"/>
  <c r="C1606" i="24"/>
  <c r="C1607" i="24"/>
  <c r="C1608" i="24"/>
  <c r="C1609" i="24"/>
  <c r="C1610" i="24"/>
  <c r="C1611" i="24"/>
  <c r="C1612" i="24"/>
  <c r="C1613" i="24"/>
  <c r="C1614" i="24"/>
  <c r="C1615" i="24"/>
  <c r="C1616" i="24"/>
  <c r="C1617" i="24"/>
  <c r="C1618" i="24"/>
  <c r="C1619" i="24"/>
  <c r="C1620" i="24"/>
  <c r="C1621" i="24"/>
  <c r="C1622" i="24"/>
  <c r="C1623" i="24"/>
  <c r="C1624" i="24"/>
  <c r="C1625" i="24"/>
  <c r="C1626" i="24"/>
  <c r="C1627" i="24"/>
  <c r="C1628" i="24"/>
  <c r="C1629" i="24"/>
  <c r="C1630" i="24"/>
  <c r="C1631" i="24"/>
  <c r="C1632" i="24"/>
  <c r="C1633" i="24"/>
  <c r="C1634" i="24"/>
  <c r="C1635" i="24"/>
  <c r="C1636" i="24"/>
  <c r="C1637" i="24"/>
  <c r="C1638" i="24"/>
  <c r="C1639" i="24"/>
  <c r="C1640" i="24"/>
  <c r="C1641" i="24"/>
  <c r="C1642" i="24"/>
  <c r="C1643" i="24"/>
  <c r="C1644" i="24"/>
  <c r="C1645" i="24"/>
  <c r="C1646" i="24"/>
  <c r="C1647" i="24"/>
  <c r="C1648" i="24"/>
  <c r="C1649" i="24"/>
  <c r="C1650" i="24"/>
  <c r="C1651" i="24"/>
  <c r="C1652" i="24"/>
  <c r="C1653" i="24"/>
  <c r="C1654" i="24"/>
  <c r="C1655" i="24"/>
  <c r="C1656" i="24"/>
  <c r="C1657" i="24"/>
  <c r="C1658" i="24"/>
  <c r="C1659" i="24"/>
  <c r="C1660" i="24"/>
  <c r="C1661" i="24"/>
  <c r="C1662" i="24"/>
  <c r="C1663" i="24"/>
  <c r="C1664" i="24"/>
  <c r="C1665" i="24"/>
  <c r="C1666" i="24"/>
  <c r="C1667" i="24"/>
  <c r="C1668" i="24"/>
  <c r="C1669" i="24"/>
  <c r="C1670" i="24"/>
  <c r="C1671" i="24"/>
  <c r="C1672" i="24"/>
  <c r="C1673" i="24"/>
  <c r="C1674" i="24"/>
  <c r="C1675" i="24"/>
  <c r="C1676" i="24"/>
  <c r="C1677" i="24"/>
  <c r="C1678" i="24"/>
  <c r="C1679" i="24"/>
  <c r="C1680" i="24"/>
  <c r="C1681" i="24"/>
  <c r="C1682" i="24"/>
  <c r="C1683" i="24"/>
  <c r="C1684" i="24"/>
  <c r="C1685" i="24"/>
  <c r="C1686" i="24"/>
  <c r="C1687" i="24"/>
  <c r="C1688" i="24"/>
  <c r="C1689" i="24"/>
  <c r="C1690" i="24"/>
  <c r="C1691" i="24"/>
  <c r="C1692" i="24"/>
  <c r="C1693" i="24"/>
  <c r="C1694" i="24"/>
  <c r="C1695" i="24"/>
  <c r="C1696" i="24"/>
  <c r="C1697" i="24"/>
  <c r="C1698" i="24"/>
  <c r="C1699" i="24"/>
  <c r="C1700" i="24"/>
  <c r="C1701" i="24"/>
  <c r="C1702" i="24"/>
  <c r="C1703" i="24"/>
  <c r="C1704" i="24"/>
  <c r="C1705" i="24"/>
  <c r="C1706" i="24"/>
  <c r="C1707" i="24"/>
  <c r="C1708" i="24"/>
  <c r="C1709" i="24"/>
  <c r="C1710" i="24"/>
  <c r="C1711" i="24"/>
  <c r="C1712" i="24"/>
  <c r="C1713" i="24"/>
  <c r="C1714" i="24"/>
  <c r="C1715" i="24"/>
  <c r="C1716" i="24"/>
  <c r="C1717" i="24"/>
  <c r="C1718" i="24"/>
  <c r="C1719" i="24"/>
  <c r="C1720" i="24"/>
  <c r="C1721" i="24"/>
  <c r="C1722" i="24"/>
  <c r="C1723" i="24"/>
  <c r="C1724" i="24"/>
  <c r="C1725" i="24"/>
  <c r="C1726" i="24"/>
  <c r="C1727" i="24"/>
  <c r="C1728" i="24"/>
  <c r="C1729" i="24"/>
  <c r="C1730" i="24"/>
  <c r="C1731" i="24"/>
  <c r="C1732" i="24"/>
  <c r="C1733" i="24"/>
  <c r="C1734" i="24"/>
  <c r="C1735" i="24"/>
  <c r="C1736" i="24"/>
  <c r="C1737" i="24"/>
  <c r="C1738" i="24"/>
  <c r="C1739" i="24"/>
  <c r="C1740" i="24"/>
  <c r="C1741" i="24"/>
  <c r="C1742" i="24"/>
  <c r="C1743" i="24"/>
  <c r="C1744" i="24"/>
  <c r="C1745" i="24"/>
  <c r="C1746" i="24"/>
  <c r="C1747" i="24"/>
  <c r="C1748" i="24"/>
  <c r="C1749" i="24"/>
  <c r="C1750" i="24"/>
  <c r="C1751" i="24"/>
  <c r="C1752" i="24"/>
  <c r="C1753" i="24"/>
  <c r="C1754" i="24"/>
  <c r="C1755" i="24"/>
  <c r="C1756" i="24"/>
  <c r="C1757" i="24"/>
  <c r="C1758" i="24"/>
  <c r="C1759" i="24"/>
  <c r="C1760" i="24"/>
  <c r="C1761" i="24"/>
  <c r="C1762" i="24"/>
  <c r="C1763" i="24"/>
  <c r="C1764" i="24"/>
  <c r="C1765" i="24"/>
  <c r="C1766" i="24"/>
  <c r="C1767" i="24"/>
  <c r="C1768" i="24"/>
  <c r="C1769" i="24"/>
  <c r="C1770" i="24"/>
  <c r="C1771" i="24"/>
  <c r="C1772" i="24"/>
  <c r="C1773" i="24"/>
  <c r="C1774" i="24"/>
  <c r="C1775" i="24"/>
  <c r="C1776" i="24"/>
  <c r="C1777" i="24"/>
  <c r="C1778" i="24"/>
  <c r="C1779" i="24"/>
  <c r="C1780" i="24"/>
  <c r="C1781" i="24"/>
  <c r="C1782" i="24"/>
  <c r="C1783" i="24"/>
  <c r="C1784" i="24"/>
  <c r="C1785" i="24"/>
  <c r="C1786" i="24"/>
  <c r="C1787" i="24"/>
  <c r="C1788" i="24"/>
  <c r="C1789" i="24"/>
  <c r="C1790" i="24"/>
  <c r="C1791" i="24"/>
  <c r="C1792" i="24"/>
  <c r="C1793" i="24"/>
  <c r="C1794" i="24"/>
  <c r="C1795" i="24"/>
  <c r="C1796" i="24"/>
  <c r="C1797" i="24"/>
  <c r="C1798" i="24"/>
  <c r="C1799" i="24"/>
  <c r="C1800" i="24"/>
  <c r="C1801" i="24"/>
  <c r="C1802" i="24"/>
  <c r="C1803" i="24"/>
  <c r="C1804" i="24"/>
  <c r="C1805" i="24"/>
  <c r="C1806" i="24"/>
  <c r="C1807" i="24"/>
  <c r="C1808" i="24"/>
  <c r="C1809" i="24"/>
  <c r="C1810" i="24"/>
  <c r="C1811" i="24"/>
  <c r="C1812" i="24"/>
  <c r="C1813" i="24"/>
  <c r="C1814" i="24"/>
  <c r="C1815" i="24"/>
  <c r="C1816" i="24"/>
  <c r="C1817" i="24"/>
  <c r="C1818" i="24"/>
  <c r="C1819" i="24"/>
  <c r="C1820" i="24"/>
  <c r="C1821" i="24"/>
  <c r="C1822" i="24"/>
  <c r="C1823" i="24"/>
  <c r="C1824" i="24"/>
  <c r="C1825" i="24"/>
  <c r="C1826" i="24"/>
  <c r="C1827" i="24"/>
  <c r="C1828" i="24"/>
  <c r="C1829" i="24"/>
  <c r="C1830" i="24"/>
  <c r="C1831" i="24"/>
  <c r="C1832" i="24"/>
  <c r="C1833" i="24"/>
  <c r="C1834" i="24"/>
  <c r="C1835" i="24"/>
  <c r="C1836" i="24"/>
  <c r="C1837" i="24"/>
  <c r="C1838" i="24"/>
  <c r="C1839" i="24"/>
  <c r="C1840" i="24"/>
  <c r="C1841" i="24"/>
  <c r="C1842" i="24"/>
  <c r="C1843" i="24"/>
  <c r="C1844" i="24"/>
  <c r="C1845" i="24"/>
  <c r="C1846" i="24"/>
  <c r="C1847" i="24"/>
  <c r="C1848" i="24"/>
  <c r="C1849" i="24"/>
  <c r="C1850" i="24"/>
  <c r="C1851" i="24"/>
  <c r="C1852" i="24"/>
  <c r="C1853" i="24"/>
  <c r="C1854" i="24"/>
  <c r="C1855" i="24"/>
  <c r="C1856" i="24"/>
  <c r="C1857" i="24"/>
  <c r="C1858" i="24"/>
  <c r="C1859" i="24"/>
  <c r="C1860" i="24"/>
  <c r="C1861" i="24"/>
  <c r="C1862" i="24"/>
  <c r="C1863" i="24"/>
  <c r="C1864" i="24"/>
  <c r="C1865" i="24"/>
  <c r="C1866" i="24"/>
  <c r="C1867" i="24"/>
  <c r="C1868" i="24"/>
  <c r="C1869" i="24"/>
  <c r="C1870" i="24"/>
  <c r="C1871" i="24"/>
  <c r="C1872" i="24"/>
  <c r="C1873" i="24"/>
  <c r="C1874" i="24"/>
  <c r="C1875" i="24"/>
  <c r="C1876" i="24"/>
  <c r="C1877" i="24"/>
  <c r="C1878" i="24"/>
  <c r="C1879" i="24"/>
  <c r="C1880" i="24"/>
  <c r="C1881" i="24"/>
  <c r="C1882" i="24"/>
  <c r="C1883" i="24"/>
  <c r="C1884" i="24"/>
  <c r="C1885" i="24"/>
  <c r="C1886" i="24"/>
  <c r="C1887" i="24"/>
  <c r="C1888" i="24"/>
  <c r="C1889" i="24"/>
  <c r="C1890" i="24"/>
  <c r="C1891" i="24"/>
  <c r="C1892" i="24"/>
  <c r="C1893" i="24"/>
  <c r="C1894" i="24"/>
  <c r="C1895" i="24"/>
  <c r="C1896" i="24"/>
  <c r="C1897" i="24"/>
  <c r="C1898" i="24"/>
  <c r="C1899" i="24"/>
  <c r="C1900" i="24"/>
  <c r="C1901" i="24"/>
  <c r="C1902" i="24"/>
  <c r="C1903" i="24"/>
  <c r="C1904" i="24"/>
  <c r="C1905" i="24"/>
  <c r="C1906" i="24"/>
  <c r="C1907" i="24"/>
  <c r="C1908" i="24"/>
  <c r="C1909" i="24"/>
  <c r="C1910" i="24"/>
  <c r="C1911" i="24"/>
  <c r="C1912" i="24"/>
  <c r="C1913" i="24"/>
  <c r="C1914" i="24"/>
  <c r="C1915" i="24"/>
  <c r="C1916" i="24"/>
  <c r="C1917" i="24"/>
  <c r="C1918" i="24"/>
  <c r="C1919" i="24"/>
  <c r="C1920" i="24"/>
  <c r="C1921" i="24"/>
  <c r="C1922" i="24"/>
  <c r="C1923" i="24"/>
  <c r="C1924" i="24"/>
  <c r="C1925" i="24"/>
  <c r="C1926" i="24"/>
  <c r="C1927" i="24"/>
  <c r="C1928" i="24"/>
  <c r="C1929" i="24"/>
  <c r="C1930" i="24"/>
  <c r="C1931" i="24"/>
  <c r="C1932" i="24"/>
  <c r="C1933" i="24"/>
  <c r="C1934" i="24"/>
  <c r="C1935" i="24"/>
  <c r="C1936" i="24"/>
  <c r="C1937" i="24"/>
  <c r="C1938" i="24"/>
  <c r="C1939" i="24"/>
  <c r="C1940" i="24"/>
  <c r="C1941" i="24"/>
  <c r="C1942" i="24"/>
  <c r="C1943" i="24"/>
  <c r="C1944" i="24"/>
  <c r="C1945" i="24"/>
  <c r="C1946" i="24"/>
  <c r="C1947" i="24"/>
  <c r="C1948" i="24"/>
  <c r="C1949" i="24"/>
  <c r="C1950" i="24"/>
  <c r="C1951" i="24"/>
  <c r="C1952" i="24"/>
  <c r="C1953" i="24"/>
  <c r="C1954" i="24"/>
  <c r="C1955" i="24"/>
  <c r="C1956" i="24"/>
  <c r="C1957" i="24"/>
  <c r="C1958" i="24"/>
  <c r="C1959" i="24"/>
  <c r="C1960" i="24"/>
  <c r="C1961" i="24"/>
  <c r="C1962" i="24"/>
  <c r="C1963" i="24"/>
  <c r="C1964" i="24"/>
  <c r="C1965" i="24"/>
  <c r="C1966" i="24"/>
  <c r="C1967" i="24"/>
  <c r="C1968" i="24"/>
  <c r="C1969" i="24"/>
  <c r="C1970" i="24"/>
  <c r="C1971" i="24"/>
  <c r="C1972" i="24"/>
  <c r="C1973" i="24"/>
  <c r="C1974" i="24"/>
  <c r="C1975" i="24"/>
  <c r="C1976" i="24"/>
  <c r="C1977" i="24"/>
  <c r="C1978" i="24"/>
  <c r="C1979" i="24"/>
  <c r="C1980" i="24"/>
  <c r="C1981" i="24"/>
  <c r="C1982" i="24"/>
  <c r="C1983" i="24"/>
  <c r="C1984" i="24"/>
  <c r="C1985" i="24"/>
  <c r="C1986" i="24"/>
  <c r="C1987" i="24"/>
  <c r="C1988" i="24"/>
  <c r="C1989" i="24"/>
  <c r="C1990" i="24"/>
  <c r="C1991" i="24"/>
  <c r="C1992" i="24"/>
  <c r="C1993" i="24"/>
  <c r="C1994" i="24"/>
  <c r="C1995" i="24"/>
  <c r="C1996" i="24"/>
  <c r="C1997" i="24"/>
  <c r="C1998" i="24"/>
  <c r="C1999" i="24"/>
  <c r="C2000" i="24"/>
  <c r="C2001" i="24"/>
  <c r="C2002" i="24"/>
  <c r="C2003" i="24"/>
  <c r="C2004" i="24"/>
  <c r="C2005" i="24"/>
  <c r="C2006" i="24"/>
  <c r="C2007" i="24"/>
  <c r="C2008" i="24"/>
  <c r="C2009" i="24"/>
  <c r="C2010" i="24"/>
  <c r="E18" i="31" l="1"/>
  <c r="N6" i="31"/>
  <c r="E33" i="3"/>
  <c r="E35" i="31"/>
  <c r="BF35" i="31" s="1"/>
  <c r="E32" i="3"/>
  <c r="AP61" i="24"/>
  <c r="T103" i="3" l="1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2" i="3"/>
  <c r="T38" i="3"/>
  <c r="T34" i="3"/>
  <c r="T32" i="3"/>
  <c r="T30" i="3"/>
  <c r="T22" i="3"/>
  <c r="T20" i="3"/>
  <c r="C1501" i="24"/>
  <c r="C1500" i="24"/>
  <c r="C1499" i="24"/>
  <c r="C1498" i="24"/>
  <c r="C1497" i="24"/>
  <c r="C1496" i="24"/>
  <c r="C1495" i="24"/>
  <c r="C1494" i="24"/>
  <c r="C1493" i="24"/>
  <c r="C1492" i="24"/>
  <c r="C1491" i="24"/>
  <c r="C1490" i="24"/>
  <c r="C1489" i="24"/>
  <c r="C1488" i="24"/>
  <c r="C1487" i="24"/>
  <c r="C1486" i="24"/>
  <c r="C1485" i="24"/>
  <c r="C1484" i="24"/>
  <c r="C1483" i="24"/>
  <c r="C1482" i="24"/>
  <c r="C1481" i="24"/>
  <c r="C1480" i="24"/>
  <c r="C1479" i="24"/>
  <c r="C1478" i="24"/>
  <c r="C1477" i="24"/>
  <c r="C1476" i="24"/>
  <c r="C1475" i="24"/>
  <c r="C1474" i="24"/>
  <c r="C1473" i="24"/>
  <c r="C1472" i="24"/>
  <c r="C1471" i="24"/>
  <c r="C1470" i="24"/>
  <c r="C1469" i="24"/>
  <c r="C1468" i="24"/>
  <c r="C1467" i="24"/>
  <c r="C1466" i="24"/>
  <c r="C1465" i="24"/>
  <c r="C1464" i="24"/>
  <c r="C1463" i="24"/>
  <c r="C1462" i="24"/>
  <c r="C1461" i="24"/>
  <c r="C1460" i="24"/>
  <c r="C1459" i="24"/>
  <c r="C1458" i="24"/>
  <c r="C1457" i="24"/>
  <c r="C1456" i="24"/>
  <c r="C1455" i="24"/>
  <c r="C1454" i="24"/>
  <c r="C1453" i="24"/>
  <c r="C1452" i="24"/>
  <c r="C1451" i="24"/>
  <c r="C1450" i="24"/>
  <c r="C1449" i="24"/>
  <c r="C1448" i="24"/>
  <c r="C1447" i="24"/>
  <c r="C1446" i="24"/>
  <c r="C1445" i="24"/>
  <c r="C1444" i="24"/>
  <c r="C1443" i="24"/>
  <c r="C1442" i="24"/>
  <c r="C1441" i="24"/>
  <c r="C1440" i="24"/>
  <c r="C1439" i="24"/>
  <c r="C1438" i="24"/>
  <c r="C1437" i="24"/>
  <c r="C1436" i="24"/>
  <c r="C1435" i="24"/>
  <c r="C1434" i="24"/>
  <c r="C1433" i="24"/>
  <c r="C1432" i="24"/>
  <c r="C1431" i="24"/>
  <c r="C1430" i="24"/>
  <c r="C1429" i="24"/>
  <c r="C1428" i="24"/>
  <c r="C1427" i="24"/>
  <c r="C1426" i="24"/>
  <c r="C1425" i="24"/>
  <c r="C1424" i="24"/>
  <c r="C1423" i="24"/>
  <c r="C1422" i="24"/>
  <c r="C1421" i="24"/>
  <c r="C1420" i="24"/>
  <c r="C1419" i="24"/>
  <c r="C1418" i="24"/>
  <c r="C1417" i="24"/>
  <c r="C1416" i="24"/>
  <c r="C1415" i="24"/>
  <c r="C1414" i="24"/>
  <c r="C1413" i="24"/>
  <c r="C1412" i="24"/>
  <c r="C1411" i="24"/>
  <c r="C1410" i="24"/>
  <c r="C1409" i="24"/>
  <c r="C1408" i="24"/>
  <c r="C1407" i="24"/>
  <c r="C1406" i="24"/>
  <c r="C1405" i="24"/>
  <c r="C1404" i="24"/>
  <c r="C1403" i="24"/>
  <c r="C1402" i="24"/>
  <c r="C1401" i="24"/>
  <c r="C1400" i="24"/>
  <c r="C1399" i="24"/>
  <c r="C1398" i="24"/>
  <c r="C1397" i="24"/>
  <c r="C1396" i="24"/>
  <c r="C1395" i="24"/>
  <c r="C1394" i="24"/>
  <c r="C1393" i="24"/>
  <c r="C1392" i="24"/>
  <c r="C1391" i="24"/>
  <c r="C1390" i="24"/>
  <c r="C1389" i="24"/>
  <c r="C1388" i="24"/>
  <c r="C1387" i="24"/>
  <c r="C1386" i="24"/>
  <c r="C1385" i="24"/>
  <c r="C1384" i="24"/>
  <c r="C1383" i="24"/>
  <c r="C1382" i="24"/>
  <c r="C1381" i="24"/>
  <c r="C1380" i="24"/>
  <c r="C1379" i="24"/>
  <c r="C1378" i="24"/>
  <c r="C1377" i="24"/>
  <c r="C1376" i="24"/>
  <c r="C1375" i="24"/>
  <c r="C1374" i="24"/>
  <c r="C1373" i="24"/>
  <c r="C1372" i="24"/>
  <c r="C1371" i="24"/>
  <c r="C1370" i="24"/>
  <c r="C1369" i="24"/>
  <c r="C1368" i="24"/>
  <c r="C1367" i="24"/>
  <c r="C1366" i="24"/>
  <c r="C1365" i="24"/>
  <c r="C1364" i="24"/>
  <c r="C1363" i="24"/>
  <c r="C1362" i="24"/>
  <c r="C1361" i="24"/>
  <c r="C1360" i="24"/>
  <c r="C1359" i="24"/>
  <c r="C1358" i="24"/>
  <c r="C1357" i="24"/>
  <c r="C1356" i="24"/>
  <c r="C1355" i="24"/>
  <c r="C1354" i="24"/>
  <c r="C1353" i="24"/>
  <c r="C1352" i="24"/>
  <c r="C1351" i="24"/>
  <c r="C1350" i="24"/>
  <c r="C1349" i="24"/>
  <c r="C1348" i="24"/>
  <c r="C1347" i="24"/>
  <c r="C1346" i="24"/>
  <c r="C1345" i="24"/>
  <c r="C1344" i="24"/>
  <c r="C1343" i="24"/>
  <c r="C1342" i="24"/>
  <c r="C1341" i="24"/>
  <c r="C1340" i="24"/>
  <c r="C1339" i="24"/>
  <c r="C1338" i="24"/>
  <c r="C1337" i="24"/>
  <c r="C1336" i="24"/>
  <c r="C1335" i="24"/>
  <c r="C1334" i="24"/>
  <c r="C1333" i="24"/>
  <c r="C1332" i="24"/>
  <c r="C1331" i="24"/>
  <c r="C1330" i="24"/>
  <c r="C1329" i="24"/>
  <c r="C1328" i="24"/>
  <c r="C1327" i="24"/>
  <c r="C1326" i="24"/>
  <c r="C1325" i="24"/>
  <c r="C1324" i="24"/>
  <c r="C1323" i="24"/>
  <c r="C1322" i="24"/>
  <c r="C1321" i="24"/>
  <c r="C1320" i="24"/>
  <c r="C1319" i="24"/>
  <c r="C1318" i="24"/>
  <c r="C1317" i="24"/>
  <c r="C1316" i="24"/>
  <c r="C1315" i="24"/>
  <c r="C1314" i="24"/>
  <c r="C1313" i="24"/>
  <c r="C1312" i="24"/>
  <c r="C1311" i="24"/>
  <c r="C1310" i="24"/>
  <c r="C1309" i="24"/>
  <c r="C1308" i="24"/>
  <c r="C1307" i="24"/>
  <c r="C1306" i="24"/>
  <c r="C1305" i="24"/>
  <c r="C1304" i="24"/>
  <c r="C1303" i="24"/>
  <c r="C1302" i="24"/>
  <c r="C1301" i="24"/>
  <c r="C1300" i="24"/>
  <c r="C1299" i="24"/>
  <c r="C1298" i="24"/>
  <c r="C1297" i="24"/>
  <c r="C1296" i="24"/>
  <c r="C1295" i="24"/>
  <c r="C1294" i="24"/>
  <c r="C1293" i="24"/>
  <c r="C1292" i="24"/>
  <c r="C1291" i="24"/>
  <c r="C1290" i="24"/>
  <c r="C1289" i="24"/>
  <c r="C1288" i="24"/>
  <c r="C1287" i="24"/>
  <c r="C1286" i="24"/>
  <c r="C1285" i="24"/>
  <c r="C1284" i="24"/>
  <c r="C1283" i="24"/>
  <c r="C1282" i="24"/>
  <c r="C1281" i="24"/>
  <c r="C1280" i="24"/>
  <c r="C1279" i="24"/>
  <c r="C1278" i="24"/>
  <c r="C1277" i="24"/>
  <c r="C1276" i="24"/>
  <c r="C1275" i="24"/>
  <c r="C1274" i="24"/>
  <c r="C1273" i="24"/>
  <c r="C1272" i="24"/>
  <c r="C1271" i="24"/>
  <c r="C1270" i="24"/>
  <c r="C1269" i="24"/>
  <c r="C1268" i="24"/>
  <c r="C1267" i="24"/>
  <c r="C1266" i="24"/>
  <c r="C1265" i="24"/>
  <c r="C1264" i="24"/>
  <c r="C1263" i="24"/>
  <c r="C1262" i="24"/>
  <c r="C1261" i="24"/>
  <c r="C1260" i="24"/>
  <c r="C1259" i="24"/>
  <c r="C1258" i="24"/>
  <c r="C1257" i="24"/>
  <c r="C1256" i="24"/>
  <c r="C1255" i="24"/>
  <c r="C1254" i="24"/>
  <c r="C1253" i="24"/>
  <c r="C1252" i="24"/>
  <c r="C1251" i="24"/>
  <c r="C1250" i="24"/>
  <c r="C1249" i="24"/>
  <c r="C1248" i="24"/>
  <c r="C1247" i="24"/>
  <c r="C1246" i="24"/>
  <c r="C1245" i="24"/>
  <c r="C1244" i="24"/>
  <c r="C1243" i="24"/>
  <c r="C1242" i="24"/>
  <c r="C1241" i="24"/>
  <c r="C1240" i="24"/>
  <c r="C1239" i="24"/>
  <c r="C1238" i="24"/>
  <c r="C1237" i="24"/>
  <c r="C1236" i="24"/>
  <c r="C1235" i="24"/>
  <c r="C1234" i="24"/>
  <c r="C1233" i="24"/>
  <c r="C1232" i="24"/>
  <c r="C1231" i="24"/>
  <c r="C1230" i="24"/>
  <c r="C1229" i="24"/>
  <c r="C1228" i="24"/>
  <c r="C1227" i="24"/>
  <c r="C1226" i="24"/>
  <c r="C1225" i="24"/>
  <c r="C1224" i="24"/>
  <c r="C1223" i="24"/>
  <c r="C1222" i="24"/>
  <c r="C1221" i="24"/>
  <c r="C1220" i="24"/>
  <c r="C1219" i="24"/>
  <c r="C1218" i="24"/>
  <c r="C1217" i="24"/>
  <c r="C1216" i="24"/>
  <c r="C1215" i="24"/>
  <c r="C1214" i="24"/>
  <c r="C1213" i="24"/>
  <c r="C1212" i="24"/>
  <c r="C1211" i="24"/>
  <c r="C1210" i="24"/>
  <c r="C1209" i="24"/>
  <c r="C1208" i="24"/>
  <c r="C1207" i="24"/>
  <c r="C1206" i="24"/>
  <c r="C1205" i="24"/>
  <c r="C1204" i="24"/>
  <c r="C1203" i="24"/>
  <c r="C1202" i="24"/>
  <c r="C1201" i="24"/>
  <c r="C1200" i="24"/>
  <c r="C1199" i="24"/>
  <c r="C1198" i="24"/>
  <c r="C1197" i="24"/>
  <c r="C1196" i="24"/>
  <c r="C1195" i="24"/>
  <c r="C1194" i="24"/>
  <c r="C1193" i="24"/>
  <c r="C1192" i="24"/>
  <c r="C1191" i="24"/>
  <c r="C1190" i="24"/>
  <c r="C1189" i="24"/>
  <c r="C1188" i="24"/>
  <c r="C1187" i="24"/>
  <c r="C1186" i="24"/>
  <c r="C1185" i="24"/>
  <c r="C1184" i="24"/>
  <c r="C1183" i="24"/>
  <c r="C1182" i="24"/>
  <c r="C1181" i="24"/>
  <c r="C1180" i="24"/>
  <c r="C1179" i="24"/>
  <c r="C1178" i="24"/>
  <c r="C1177" i="24"/>
  <c r="C1176" i="24"/>
  <c r="C1175" i="24"/>
  <c r="C1174" i="24"/>
  <c r="C1173" i="24"/>
  <c r="C1172" i="24"/>
  <c r="C1171" i="24"/>
  <c r="C1170" i="24"/>
  <c r="C1169" i="24"/>
  <c r="C1168" i="24"/>
  <c r="C1167" i="24"/>
  <c r="C1166" i="24"/>
  <c r="C1165" i="24"/>
  <c r="C1164" i="24"/>
  <c r="C1163" i="24"/>
  <c r="C1162" i="24"/>
  <c r="C1161" i="24"/>
  <c r="C1160" i="24"/>
  <c r="C1159" i="24"/>
  <c r="C1158" i="24"/>
  <c r="C1157" i="24"/>
  <c r="C1156" i="24"/>
  <c r="C1155" i="24"/>
  <c r="C1154" i="24"/>
  <c r="C1153" i="24"/>
  <c r="C1152" i="24"/>
  <c r="C1151" i="24"/>
  <c r="C1150" i="24"/>
  <c r="C1149" i="24"/>
  <c r="C1148" i="24"/>
  <c r="C1147" i="24"/>
  <c r="C1146" i="24"/>
  <c r="C1145" i="24"/>
  <c r="C1144" i="24"/>
  <c r="C1143" i="24"/>
  <c r="C1142" i="24"/>
  <c r="C1141" i="24"/>
  <c r="C1140" i="24"/>
  <c r="C1139" i="24"/>
  <c r="C1138" i="24"/>
  <c r="C1137" i="24"/>
  <c r="C1136" i="24"/>
  <c r="C1135" i="24"/>
  <c r="C1134" i="24"/>
  <c r="C1133" i="24"/>
  <c r="C1132" i="24"/>
  <c r="C1131" i="24"/>
  <c r="C1130" i="24"/>
  <c r="C1129" i="24"/>
  <c r="C1128" i="24"/>
  <c r="C1127" i="24"/>
  <c r="C1126" i="24"/>
  <c r="C1125" i="24"/>
  <c r="C1124" i="24"/>
  <c r="C1123" i="24"/>
  <c r="C1122" i="24"/>
  <c r="C1121" i="24"/>
  <c r="C1120" i="24"/>
  <c r="C1119" i="24"/>
  <c r="C1118" i="24"/>
  <c r="C1117" i="24"/>
  <c r="C1116" i="24"/>
  <c r="C1115" i="24"/>
  <c r="C1114" i="24"/>
  <c r="C1113" i="24"/>
  <c r="C1112" i="24"/>
  <c r="C1111" i="24"/>
  <c r="C1110" i="24"/>
  <c r="C1109" i="24"/>
  <c r="C1108" i="24"/>
  <c r="C1107" i="24"/>
  <c r="C1106" i="24"/>
  <c r="C1105" i="24"/>
  <c r="C1104" i="24"/>
  <c r="C1103" i="24"/>
  <c r="C1102" i="24"/>
  <c r="C1101" i="24"/>
  <c r="C1100" i="24"/>
  <c r="C1099" i="24"/>
  <c r="C1098" i="24"/>
  <c r="C1097" i="24"/>
  <c r="C1096" i="24"/>
  <c r="C1095" i="24"/>
  <c r="C1094" i="24"/>
  <c r="C1093" i="24"/>
  <c r="C1092" i="24"/>
  <c r="C1091" i="24"/>
  <c r="C1090" i="24"/>
  <c r="C1089" i="24"/>
  <c r="C1088" i="24"/>
  <c r="C1087" i="24"/>
  <c r="C1086" i="24"/>
  <c r="C1085" i="24"/>
  <c r="C1084" i="24"/>
  <c r="C1083" i="24"/>
  <c r="C1082" i="24"/>
  <c r="C1081" i="24"/>
  <c r="C1080" i="24"/>
  <c r="C1079" i="24"/>
  <c r="C1078" i="24"/>
  <c r="C1077" i="24"/>
  <c r="C1076" i="24"/>
  <c r="C1075" i="24"/>
  <c r="C1074" i="24"/>
  <c r="C1073" i="24"/>
  <c r="C1072" i="24"/>
  <c r="C1071" i="24"/>
  <c r="C1070" i="24"/>
  <c r="C1069" i="24"/>
  <c r="C1068" i="24"/>
  <c r="C1067" i="24"/>
  <c r="C1066" i="24"/>
  <c r="C1065" i="24"/>
  <c r="C1064" i="24"/>
  <c r="C1063" i="24"/>
  <c r="C1062" i="24"/>
  <c r="C1061" i="24"/>
  <c r="C1060" i="24"/>
  <c r="C1059" i="24"/>
  <c r="C1058" i="24"/>
  <c r="C1057" i="24"/>
  <c r="C1056" i="24"/>
  <c r="C1055" i="24"/>
  <c r="C1054" i="24"/>
  <c r="C1053" i="24"/>
  <c r="C1052" i="24"/>
  <c r="C1051" i="24"/>
  <c r="C1050" i="24"/>
  <c r="C1049" i="24"/>
  <c r="C1048" i="24"/>
  <c r="C1047" i="24"/>
  <c r="C1046" i="24"/>
  <c r="C1045" i="24"/>
  <c r="C1044" i="24"/>
  <c r="C1043" i="24"/>
  <c r="C1042" i="24"/>
  <c r="C1041" i="24"/>
  <c r="C1040" i="24"/>
  <c r="C1039" i="24"/>
  <c r="C1038" i="24"/>
  <c r="C1037" i="24"/>
  <c r="C1036" i="24"/>
  <c r="C1035" i="24"/>
  <c r="C1034" i="24"/>
  <c r="C1033" i="24"/>
  <c r="C1032" i="24"/>
  <c r="C1031" i="24"/>
  <c r="C1030" i="24"/>
  <c r="C1029" i="24"/>
  <c r="C1028" i="24"/>
  <c r="C1027" i="24"/>
  <c r="C1026" i="24"/>
  <c r="C1025" i="24"/>
  <c r="C1024" i="24"/>
  <c r="C1023" i="24"/>
  <c r="C1022" i="24"/>
  <c r="C1021" i="24"/>
  <c r="C1020" i="24"/>
  <c r="C1019" i="24"/>
  <c r="C1018" i="24"/>
  <c r="C1017" i="24"/>
  <c r="C1016" i="24"/>
  <c r="C1015" i="24"/>
  <c r="C1014" i="24"/>
  <c r="C1013" i="24"/>
  <c r="C1012" i="24"/>
  <c r="C1011" i="24"/>
  <c r="C1010" i="24"/>
  <c r="C1009" i="24"/>
  <c r="C1008" i="24"/>
  <c r="C1007" i="24"/>
  <c r="C1006" i="24"/>
  <c r="C1005" i="24"/>
  <c r="C1004" i="24"/>
  <c r="C1003" i="24"/>
  <c r="C1002" i="24"/>
  <c r="C1001" i="24"/>
  <c r="C1000" i="24"/>
  <c r="C999" i="24"/>
  <c r="C998" i="24"/>
  <c r="C997" i="24"/>
  <c r="C996" i="24"/>
  <c r="C995" i="24"/>
  <c r="C994" i="24"/>
  <c r="C993" i="24"/>
  <c r="C992" i="24"/>
  <c r="C991" i="24"/>
  <c r="C990" i="24"/>
  <c r="C989" i="24"/>
  <c r="C988" i="24"/>
  <c r="C987" i="24"/>
  <c r="C986" i="24"/>
  <c r="C985" i="24"/>
  <c r="C984" i="24"/>
  <c r="C983" i="24"/>
  <c r="C982" i="24"/>
  <c r="C981" i="24"/>
  <c r="C980" i="24"/>
  <c r="C979" i="24"/>
  <c r="C978" i="24"/>
  <c r="C977" i="24"/>
  <c r="C976" i="24"/>
  <c r="C975" i="24"/>
  <c r="C974" i="24"/>
  <c r="C973" i="24"/>
  <c r="C972" i="24"/>
  <c r="C971" i="24"/>
  <c r="C970" i="24"/>
  <c r="C969" i="24"/>
  <c r="C968" i="24"/>
  <c r="C967" i="24"/>
  <c r="C966" i="24"/>
  <c r="C965" i="24"/>
  <c r="C964" i="24"/>
  <c r="C963" i="24"/>
  <c r="C962" i="24"/>
  <c r="C961" i="24"/>
  <c r="C960" i="24"/>
  <c r="C959" i="24"/>
  <c r="C958" i="24"/>
  <c r="C957" i="24"/>
  <c r="C956" i="24"/>
  <c r="C955" i="24"/>
  <c r="C954" i="24"/>
  <c r="C953" i="24"/>
  <c r="C952" i="24"/>
  <c r="C951" i="24"/>
  <c r="C950" i="24"/>
  <c r="C949" i="24"/>
  <c r="C948" i="24"/>
  <c r="C947" i="24"/>
  <c r="C946" i="24"/>
  <c r="C945" i="24"/>
  <c r="C944" i="24"/>
  <c r="C943" i="24"/>
  <c r="C942" i="24"/>
  <c r="C941" i="24"/>
  <c r="C940" i="24"/>
  <c r="C939" i="24"/>
  <c r="C938" i="24"/>
  <c r="C937" i="24"/>
  <c r="C936" i="24"/>
  <c r="C935" i="24"/>
  <c r="C934" i="24"/>
  <c r="C933" i="24"/>
  <c r="C932" i="24"/>
  <c r="C931" i="24"/>
  <c r="C930" i="24"/>
  <c r="C929" i="24"/>
  <c r="C928" i="24"/>
  <c r="C927" i="24"/>
  <c r="C926" i="24"/>
  <c r="C925" i="24"/>
  <c r="C924" i="24"/>
  <c r="C923" i="24"/>
  <c r="C922" i="24"/>
  <c r="C921" i="24"/>
  <c r="C920" i="24"/>
  <c r="C919" i="24"/>
  <c r="C918" i="24"/>
  <c r="C917" i="24"/>
  <c r="C916" i="24"/>
  <c r="C915" i="24"/>
  <c r="C914" i="24"/>
  <c r="C913" i="24"/>
  <c r="C912" i="24"/>
  <c r="C911" i="24"/>
  <c r="C910" i="24"/>
  <c r="C909" i="24"/>
  <c r="C908" i="24"/>
  <c r="C907" i="24"/>
  <c r="C906" i="24"/>
  <c r="C905" i="24"/>
  <c r="C904" i="24"/>
  <c r="C903" i="24"/>
  <c r="C902" i="24"/>
  <c r="C901" i="24"/>
  <c r="C900" i="24"/>
  <c r="C899" i="24"/>
  <c r="C898" i="24"/>
  <c r="C897" i="24"/>
  <c r="C896" i="24"/>
  <c r="C895" i="24"/>
  <c r="C894" i="24"/>
  <c r="C893" i="24"/>
  <c r="C892" i="24"/>
  <c r="C891" i="24"/>
  <c r="C890" i="24"/>
  <c r="C889" i="24"/>
  <c r="C888" i="24"/>
  <c r="C887" i="24"/>
  <c r="C886" i="24"/>
  <c r="C885" i="24"/>
  <c r="C884" i="24"/>
  <c r="C883" i="24"/>
  <c r="C882" i="24"/>
  <c r="C881" i="24"/>
  <c r="C880" i="24"/>
  <c r="C879" i="24"/>
  <c r="C878" i="24"/>
  <c r="C877" i="24"/>
  <c r="C876" i="24"/>
  <c r="C875" i="24"/>
  <c r="C874" i="24"/>
  <c r="C873" i="24"/>
  <c r="C872" i="24"/>
  <c r="C871" i="24"/>
  <c r="C870" i="24"/>
  <c r="C869" i="24"/>
  <c r="C868" i="24"/>
  <c r="C867" i="24"/>
  <c r="C866" i="24"/>
  <c r="C865" i="24"/>
  <c r="C864" i="24"/>
  <c r="C863" i="24"/>
  <c r="C862" i="24"/>
  <c r="C861" i="24"/>
  <c r="C860" i="24"/>
  <c r="C859" i="24"/>
  <c r="C858" i="24"/>
  <c r="C857" i="24"/>
  <c r="C856" i="24"/>
  <c r="C855" i="24"/>
  <c r="C854" i="24"/>
  <c r="C853" i="24"/>
  <c r="C852" i="24"/>
  <c r="C851" i="24"/>
  <c r="C850" i="24"/>
  <c r="C849" i="24"/>
  <c r="C848" i="24"/>
  <c r="C847" i="24"/>
  <c r="C846" i="24"/>
  <c r="C845" i="24"/>
  <c r="C844" i="24"/>
  <c r="C843" i="24"/>
  <c r="C842" i="24"/>
  <c r="C841" i="24"/>
  <c r="C840" i="24"/>
  <c r="C839" i="24"/>
  <c r="C838" i="24"/>
  <c r="C837" i="24"/>
  <c r="C836" i="24"/>
  <c r="C835" i="24"/>
  <c r="C834" i="24"/>
  <c r="C833" i="24"/>
  <c r="C832" i="24"/>
  <c r="C831" i="24"/>
  <c r="C830" i="24"/>
  <c r="C829" i="24"/>
  <c r="C828" i="24"/>
  <c r="C827" i="24"/>
  <c r="C826" i="24"/>
  <c r="C825" i="24"/>
  <c r="C824" i="24"/>
  <c r="C823" i="24"/>
  <c r="C822" i="24"/>
  <c r="C821" i="24"/>
  <c r="C820" i="24"/>
  <c r="C819" i="24"/>
  <c r="C818" i="24"/>
  <c r="C817" i="24"/>
  <c r="C816" i="24"/>
  <c r="C815" i="24"/>
  <c r="C814" i="24"/>
  <c r="C813" i="24"/>
  <c r="C812" i="24"/>
  <c r="C811" i="24"/>
  <c r="C810" i="24"/>
  <c r="C809" i="24"/>
  <c r="C808" i="24"/>
  <c r="C807" i="24"/>
  <c r="C806" i="24"/>
  <c r="C805" i="24"/>
  <c r="C804" i="24"/>
  <c r="C803" i="24"/>
  <c r="C802" i="24"/>
  <c r="C801" i="24"/>
  <c r="C800" i="24"/>
  <c r="C799" i="24"/>
  <c r="C798" i="24"/>
  <c r="C797" i="24"/>
  <c r="C796" i="24"/>
  <c r="C795" i="24"/>
  <c r="C794" i="24"/>
  <c r="C793" i="24"/>
  <c r="C792" i="24"/>
  <c r="C791" i="24"/>
  <c r="C790" i="24"/>
  <c r="C789" i="24"/>
  <c r="C788" i="24"/>
  <c r="C787" i="24"/>
  <c r="C786" i="24"/>
  <c r="C785" i="24"/>
  <c r="C784" i="24"/>
  <c r="C783" i="24"/>
  <c r="C782" i="24"/>
  <c r="C781" i="24"/>
  <c r="C780" i="24"/>
  <c r="C779" i="24"/>
  <c r="C778" i="24"/>
  <c r="C777" i="24"/>
  <c r="C776" i="24"/>
  <c r="C775" i="24"/>
  <c r="C774" i="24"/>
  <c r="C773" i="24"/>
  <c r="C772" i="24"/>
  <c r="C771" i="24"/>
  <c r="C770" i="24"/>
  <c r="C769" i="24"/>
  <c r="C768" i="24"/>
  <c r="C767" i="24"/>
  <c r="C766" i="24"/>
  <c r="C765" i="24"/>
  <c r="C764" i="24"/>
  <c r="C763" i="24"/>
  <c r="C762" i="24"/>
  <c r="C761" i="24"/>
  <c r="C760" i="24"/>
  <c r="C759" i="24"/>
  <c r="C758" i="24"/>
  <c r="C757" i="24"/>
  <c r="C756" i="24"/>
  <c r="C755" i="24"/>
  <c r="C754" i="24"/>
  <c r="C753" i="24"/>
  <c r="C752" i="24"/>
  <c r="C751" i="24"/>
  <c r="C750" i="24"/>
  <c r="C749" i="24"/>
  <c r="C748" i="24"/>
  <c r="C747" i="24"/>
  <c r="C746" i="24"/>
  <c r="C745" i="24"/>
  <c r="C744" i="24"/>
  <c r="C743" i="24"/>
  <c r="C742" i="24"/>
  <c r="C741" i="24"/>
  <c r="C740" i="24"/>
  <c r="C739" i="24"/>
  <c r="C738" i="24"/>
  <c r="C737" i="24"/>
  <c r="C736" i="24"/>
  <c r="C735" i="24"/>
  <c r="C734" i="24"/>
  <c r="C733" i="24"/>
  <c r="C732" i="24"/>
  <c r="C731" i="24"/>
  <c r="C730" i="24"/>
  <c r="C729" i="24"/>
  <c r="C728" i="24"/>
  <c r="C727" i="24"/>
  <c r="C726" i="24"/>
  <c r="C725" i="24"/>
  <c r="C724" i="24"/>
  <c r="C723" i="24"/>
  <c r="C722" i="24"/>
  <c r="C721" i="24"/>
  <c r="C720" i="24"/>
  <c r="C719" i="24"/>
  <c r="C718" i="24"/>
  <c r="C717" i="24"/>
  <c r="C716" i="24"/>
  <c r="C715" i="24"/>
  <c r="C714" i="24"/>
  <c r="C713" i="24"/>
  <c r="C712" i="24"/>
  <c r="C711" i="24"/>
  <c r="C710" i="24"/>
  <c r="C709" i="24"/>
  <c r="C708" i="24"/>
  <c r="C707" i="24"/>
  <c r="C706" i="24"/>
  <c r="C705" i="24"/>
  <c r="C704" i="24"/>
  <c r="C703" i="24"/>
  <c r="C702" i="24"/>
  <c r="C701" i="24"/>
  <c r="C700" i="24"/>
  <c r="C699" i="24"/>
  <c r="C698" i="24"/>
  <c r="C697" i="24"/>
  <c r="C696" i="24"/>
  <c r="C695" i="24"/>
  <c r="C694" i="24"/>
  <c r="C693" i="24"/>
  <c r="C692" i="24"/>
  <c r="C691" i="24"/>
  <c r="C690" i="24"/>
  <c r="C689" i="24"/>
  <c r="C688" i="24"/>
  <c r="C687" i="24"/>
  <c r="C686" i="24"/>
  <c r="C685" i="24"/>
  <c r="C684" i="24"/>
  <c r="C683" i="24"/>
  <c r="C682" i="24"/>
  <c r="C681" i="24"/>
  <c r="C680" i="24"/>
  <c r="C679" i="24"/>
  <c r="C678" i="24"/>
  <c r="C677" i="24"/>
  <c r="C676" i="24"/>
  <c r="C675" i="24"/>
  <c r="C674" i="24"/>
  <c r="C673" i="24"/>
  <c r="C672" i="24"/>
  <c r="C671" i="24"/>
  <c r="C670" i="24"/>
  <c r="C669" i="24"/>
  <c r="C668" i="24"/>
  <c r="C667" i="24"/>
  <c r="C666" i="24"/>
  <c r="C665" i="24"/>
  <c r="C664" i="24"/>
  <c r="C663" i="24"/>
  <c r="C662" i="24"/>
  <c r="C661" i="24"/>
  <c r="C660" i="24"/>
  <c r="C659" i="24"/>
  <c r="C658" i="24"/>
  <c r="C657" i="24"/>
  <c r="C656" i="24"/>
  <c r="C655" i="24"/>
  <c r="C654" i="24"/>
  <c r="C653" i="24"/>
  <c r="C652" i="24"/>
  <c r="C651" i="24"/>
  <c r="C650" i="24"/>
  <c r="C649" i="24"/>
  <c r="C648" i="24"/>
  <c r="C647" i="24"/>
  <c r="C646" i="24"/>
  <c r="C645" i="24"/>
  <c r="C644" i="24"/>
  <c r="C643" i="24"/>
  <c r="C642" i="24"/>
  <c r="C641" i="24"/>
  <c r="C640" i="24"/>
  <c r="C639" i="24"/>
  <c r="C638" i="24"/>
  <c r="C637" i="24"/>
  <c r="C636" i="24"/>
  <c r="C635" i="24"/>
  <c r="C634" i="24"/>
  <c r="C633" i="24"/>
  <c r="C632" i="24"/>
  <c r="C631" i="24"/>
  <c r="C630" i="24"/>
  <c r="C629" i="24"/>
  <c r="C628" i="24"/>
  <c r="C627" i="24"/>
  <c r="C626" i="24"/>
  <c r="C625" i="24"/>
  <c r="C624" i="24"/>
  <c r="C623" i="24"/>
  <c r="C622" i="24"/>
  <c r="C621" i="24"/>
  <c r="C620" i="24"/>
  <c r="C619" i="24"/>
  <c r="C618" i="24"/>
  <c r="C617" i="24"/>
  <c r="C616" i="24"/>
  <c r="C615" i="24"/>
  <c r="C614" i="24"/>
  <c r="C613" i="24"/>
  <c r="C612" i="24"/>
  <c r="C611" i="24"/>
  <c r="C610" i="24"/>
  <c r="C609" i="24"/>
  <c r="C608" i="24"/>
  <c r="C607" i="24"/>
  <c r="C606" i="24"/>
  <c r="C605" i="24"/>
  <c r="C604" i="24"/>
  <c r="C603" i="24"/>
  <c r="C602" i="24"/>
  <c r="C601" i="24"/>
  <c r="C600" i="24"/>
  <c r="C599" i="24"/>
  <c r="C598" i="24"/>
  <c r="C597" i="24"/>
  <c r="C596" i="24"/>
  <c r="C595" i="24"/>
  <c r="C594" i="24"/>
  <c r="C593" i="24"/>
  <c r="C592" i="24"/>
  <c r="C591" i="24"/>
  <c r="C590" i="24"/>
  <c r="C589" i="24"/>
  <c r="C588" i="24"/>
  <c r="C587" i="24"/>
  <c r="C586" i="24"/>
  <c r="C585" i="24"/>
  <c r="C584" i="24"/>
  <c r="C583" i="24"/>
  <c r="C582" i="24"/>
  <c r="C581" i="24"/>
  <c r="C580" i="24"/>
  <c r="C579" i="24"/>
  <c r="C578" i="24"/>
  <c r="C577" i="24"/>
  <c r="C576" i="24"/>
  <c r="C575" i="24"/>
  <c r="C574" i="24"/>
  <c r="C573" i="24"/>
  <c r="C572" i="24"/>
  <c r="C571" i="24"/>
  <c r="C570" i="24"/>
  <c r="C569" i="24"/>
  <c r="C568" i="24"/>
  <c r="C567" i="24"/>
  <c r="C566" i="24"/>
  <c r="C565" i="24"/>
  <c r="C564" i="24"/>
  <c r="C563" i="24"/>
  <c r="C562" i="24"/>
  <c r="C561" i="24"/>
  <c r="C560" i="24"/>
  <c r="C559" i="24"/>
  <c r="C558" i="24"/>
  <c r="C557" i="24"/>
  <c r="C556" i="24"/>
  <c r="C555" i="24"/>
  <c r="C554" i="24"/>
  <c r="C553" i="24"/>
  <c r="C552" i="24"/>
  <c r="C551" i="24"/>
  <c r="C550" i="24"/>
  <c r="C549" i="24"/>
  <c r="C548" i="24"/>
  <c r="C547" i="24"/>
  <c r="C546" i="24"/>
  <c r="C545" i="24"/>
  <c r="C544" i="24"/>
  <c r="C543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AE2028" i="24"/>
  <c r="AB2028" i="24"/>
  <c r="Y2028" i="24"/>
  <c r="I26" i="28" l="1"/>
  <c r="K14" i="4"/>
  <c r="C6" i="9"/>
  <c r="C5" i="9"/>
  <c r="E36" i="4"/>
  <c r="F36" i="4"/>
  <c r="E37" i="4"/>
  <c r="E26" i="28" l="1"/>
  <c r="BE103" i="3" l="1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6" i="3"/>
  <c r="BE25" i="3"/>
  <c r="BE24" i="3"/>
  <c r="BE23" i="3"/>
  <c r="BE22" i="3"/>
  <c r="BE21" i="3"/>
  <c r="BE20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31" i="3"/>
  <c r="AY30" i="3"/>
  <c r="AY29" i="3"/>
  <c r="AY28" i="3"/>
  <c r="AY27" i="3"/>
  <c r="AY26" i="3"/>
  <c r="AY25" i="3"/>
  <c r="AY24" i="3"/>
  <c r="AY23" i="3"/>
  <c r="AY22" i="3"/>
  <c r="AY21" i="3"/>
  <c r="AY20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8" i="3"/>
  <c r="AQ27" i="3"/>
  <c r="AQ26" i="3"/>
  <c r="AQ25" i="3"/>
  <c r="AQ24" i="3"/>
  <c r="AQ23" i="3"/>
  <c r="AQ22" i="3"/>
  <c r="AQ21" i="3"/>
  <c r="AQ20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8" i="3"/>
  <c r="I27" i="3"/>
  <c r="I26" i="3"/>
  <c r="I25" i="3"/>
  <c r="I24" i="3"/>
  <c r="I23" i="3"/>
  <c r="I22" i="3"/>
  <c r="I21" i="3"/>
  <c r="I20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8" i="3"/>
  <c r="G27" i="3"/>
  <c r="G26" i="3"/>
  <c r="G25" i="3"/>
  <c r="G24" i="3"/>
  <c r="G23" i="3"/>
  <c r="G22" i="3"/>
  <c r="G21" i="3"/>
  <c r="G20" i="3"/>
  <c r="D10" i="28"/>
  <c r="D9" i="28"/>
  <c r="A7" i="27"/>
  <c r="J30" i="28" s="1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6" i="24"/>
  <c r="AQ57" i="24"/>
  <c r="AQ58" i="24"/>
  <c r="AQ59" i="24"/>
  <c r="AQ60" i="24"/>
  <c r="AQ61" i="24"/>
  <c r="AQ62" i="24"/>
  <c r="AQ63" i="24"/>
  <c r="AQ64" i="24"/>
  <c r="AQ65" i="24"/>
  <c r="AQ66" i="24"/>
  <c r="AQ67" i="24"/>
  <c r="AQ68" i="24"/>
  <c r="AQ69" i="24"/>
  <c r="AQ70" i="24"/>
  <c r="AQ71" i="24"/>
  <c r="AQ72" i="24"/>
  <c r="AQ73" i="24"/>
  <c r="AQ74" i="24"/>
  <c r="AQ75" i="24"/>
  <c r="AQ76" i="24"/>
  <c r="AQ77" i="24"/>
  <c r="AQ78" i="24"/>
  <c r="AQ79" i="24"/>
  <c r="AQ80" i="24"/>
  <c r="AQ81" i="24"/>
  <c r="AQ82" i="24"/>
  <c r="AQ83" i="24"/>
  <c r="AQ84" i="24"/>
  <c r="AQ85" i="24"/>
  <c r="AQ86" i="24"/>
  <c r="AQ87" i="24"/>
  <c r="AQ88" i="24"/>
  <c r="AQ89" i="24"/>
  <c r="AQ90" i="24"/>
  <c r="AQ91" i="24"/>
  <c r="AQ92" i="24"/>
  <c r="AQ93" i="24"/>
  <c r="AQ94" i="24"/>
  <c r="AQ95" i="24"/>
  <c r="AQ96" i="24"/>
  <c r="AQ97" i="24"/>
  <c r="AQ98" i="24"/>
  <c r="AQ99" i="24"/>
  <c r="AQ100" i="24"/>
  <c r="AQ101" i="24"/>
  <c r="AQ102" i="24"/>
  <c r="AQ103" i="24"/>
  <c r="AQ104" i="24"/>
  <c r="AQ105" i="24"/>
  <c r="AQ106" i="24"/>
  <c r="AQ107" i="24"/>
  <c r="AQ108" i="24"/>
  <c r="AQ109" i="24"/>
  <c r="AQ110" i="24"/>
  <c r="AQ111" i="24"/>
  <c r="AQ112" i="24"/>
  <c r="AQ113" i="24"/>
  <c r="AQ114" i="24"/>
  <c r="AQ115" i="24"/>
  <c r="AQ116" i="24"/>
  <c r="AQ117" i="24"/>
  <c r="AQ118" i="24"/>
  <c r="AQ119" i="24"/>
  <c r="AQ120" i="24"/>
  <c r="AQ121" i="24"/>
  <c r="AQ122" i="24"/>
  <c r="AQ123" i="24"/>
  <c r="AQ124" i="24"/>
  <c r="AQ125" i="24"/>
  <c r="AQ126" i="24"/>
  <c r="AQ127" i="24"/>
  <c r="AQ128" i="24"/>
  <c r="AQ129" i="24"/>
  <c r="AQ130" i="24"/>
  <c r="AQ131" i="24"/>
  <c r="AQ132" i="24"/>
  <c r="AQ133" i="24"/>
  <c r="AQ134" i="24"/>
  <c r="AQ135" i="24"/>
  <c r="AQ136" i="24"/>
  <c r="AQ137" i="24"/>
  <c r="AQ138" i="24"/>
  <c r="AQ139" i="24"/>
  <c r="AQ140" i="24"/>
  <c r="AQ141" i="24"/>
  <c r="AQ142" i="24"/>
  <c r="AQ143" i="24"/>
  <c r="AQ144" i="24"/>
  <c r="AQ145" i="24"/>
  <c r="AQ146" i="24"/>
  <c r="AQ147" i="24"/>
  <c r="AQ148" i="24"/>
  <c r="AQ149" i="24"/>
  <c r="AQ150" i="24"/>
  <c r="AQ151" i="24"/>
  <c r="AQ152" i="24"/>
  <c r="AQ153" i="24"/>
  <c r="AQ154" i="24"/>
  <c r="AQ155" i="24"/>
  <c r="AQ156" i="24"/>
  <c r="AQ157" i="24"/>
  <c r="AQ158" i="24"/>
  <c r="AQ159" i="24"/>
  <c r="AQ160" i="24"/>
  <c r="AQ161" i="24"/>
  <c r="AQ162" i="24"/>
  <c r="AQ163" i="24"/>
  <c r="AQ164" i="24"/>
  <c r="AQ165" i="24"/>
  <c r="AQ166" i="24"/>
  <c r="AQ167" i="24"/>
  <c r="AQ168" i="24"/>
  <c r="AQ169" i="24"/>
  <c r="AQ170" i="24"/>
  <c r="AQ171" i="24"/>
  <c r="AQ172" i="24"/>
  <c r="AQ173" i="24"/>
  <c r="AQ174" i="24"/>
  <c r="AQ175" i="24"/>
  <c r="AQ176" i="24"/>
  <c r="AQ177" i="24"/>
  <c r="AQ178" i="24"/>
  <c r="AQ179" i="24"/>
  <c r="AQ180" i="24"/>
  <c r="AQ181" i="24"/>
  <c r="AQ182" i="24"/>
  <c r="AQ183" i="24"/>
  <c r="AQ184" i="24"/>
  <c r="AQ185" i="24"/>
  <c r="AQ186" i="24"/>
  <c r="AQ187" i="24"/>
  <c r="AQ188" i="24"/>
  <c r="AQ189" i="24"/>
  <c r="AQ190" i="24"/>
  <c r="AQ191" i="24"/>
  <c r="AQ192" i="24"/>
  <c r="AQ193" i="24"/>
  <c r="AQ194" i="24"/>
  <c r="AQ195" i="24"/>
  <c r="AQ196" i="24"/>
  <c r="AQ197" i="24"/>
  <c r="AQ198" i="24"/>
  <c r="AQ199" i="24"/>
  <c r="AQ200" i="24"/>
  <c r="AQ201" i="24"/>
  <c r="AQ202" i="24"/>
  <c r="AQ203" i="24"/>
  <c r="AQ204" i="24"/>
  <c r="AQ205" i="24"/>
  <c r="AQ206" i="24"/>
  <c r="AQ207" i="24"/>
  <c r="AQ208" i="24"/>
  <c r="AQ209" i="24"/>
  <c r="AQ210" i="24"/>
  <c r="AQ211" i="24"/>
  <c r="AQ212" i="24"/>
  <c r="AQ213" i="24"/>
  <c r="AQ214" i="24"/>
  <c r="AQ215" i="24"/>
  <c r="AQ216" i="24"/>
  <c r="AQ217" i="24"/>
  <c r="AQ218" i="24"/>
  <c r="AQ219" i="24"/>
  <c r="AQ220" i="24"/>
  <c r="AQ221" i="24"/>
  <c r="AQ222" i="24"/>
  <c r="AQ223" i="24"/>
  <c r="AQ224" i="24"/>
  <c r="AQ225" i="24"/>
  <c r="AQ226" i="24"/>
  <c r="AQ227" i="24"/>
  <c r="AQ228" i="24"/>
  <c r="AQ229" i="24"/>
  <c r="AQ230" i="24"/>
  <c r="AQ231" i="24"/>
  <c r="AQ232" i="24"/>
  <c r="AQ233" i="24"/>
  <c r="AQ234" i="24"/>
  <c r="AQ235" i="24"/>
  <c r="AQ236" i="24"/>
  <c r="AQ237" i="24"/>
  <c r="AQ238" i="24"/>
  <c r="AQ239" i="24"/>
  <c r="AQ240" i="24"/>
  <c r="AQ241" i="24"/>
  <c r="AQ242" i="24"/>
  <c r="AQ243" i="24"/>
  <c r="AQ244" i="24"/>
  <c r="AQ245" i="24"/>
  <c r="AQ246" i="24"/>
  <c r="AQ247" i="24"/>
  <c r="AQ248" i="24"/>
  <c r="AQ249" i="24"/>
  <c r="AQ250" i="24"/>
  <c r="AQ251" i="24"/>
  <c r="AQ252" i="24"/>
  <c r="AQ253" i="24"/>
  <c r="AQ254" i="24"/>
  <c r="AQ255" i="24"/>
  <c r="AQ256" i="24"/>
  <c r="AQ257" i="24"/>
  <c r="AQ258" i="24"/>
  <c r="AQ259" i="24"/>
  <c r="AQ260" i="24"/>
  <c r="AQ261" i="24"/>
  <c r="AQ262" i="24"/>
  <c r="AQ263" i="24"/>
  <c r="AQ264" i="24"/>
  <c r="AQ265" i="24"/>
  <c r="AQ266" i="24"/>
  <c r="AQ267" i="24"/>
  <c r="AQ268" i="24"/>
  <c r="AQ269" i="24"/>
  <c r="AQ270" i="24"/>
  <c r="AQ271" i="24"/>
  <c r="AQ272" i="24"/>
  <c r="AQ273" i="24"/>
  <c r="AQ274" i="24"/>
  <c r="AQ275" i="24"/>
  <c r="AQ276" i="24"/>
  <c r="AQ277" i="24"/>
  <c r="AQ278" i="24"/>
  <c r="AQ279" i="24"/>
  <c r="AQ280" i="24"/>
  <c r="AQ281" i="24"/>
  <c r="AQ282" i="24"/>
  <c r="AQ283" i="24"/>
  <c r="AQ284" i="24"/>
  <c r="AQ285" i="24"/>
  <c r="AQ286" i="24"/>
  <c r="AQ287" i="24"/>
  <c r="AQ288" i="24"/>
  <c r="AQ289" i="24"/>
  <c r="AQ290" i="24"/>
  <c r="AQ291" i="24"/>
  <c r="AQ292" i="24"/>
  <c r="AQ293" i="24"/>
  <c r="AQ294" i="24"/>
  <c r="AQ295" i="24"/>
  <c r="AQ296" i="24"/>
  <c r="AQ297" i="24"/>
  <c r="AQ298" i="24"/>
  <c r="AQ299" i="24"/>
  <c r="AQ300" i="24"/>
  <c r="AQ301" i="24"/>
  <c r="AQ302" i="24"/>
  <c r="AQ303" i="24"/>
  <c r="AQ304" i="24"/>
  <c r="AQ305" i="24"/>
  <c r="AQ306" i="24"/>
  <c r="AQ307" i="24"/>
  <c r="AQ308" i="24"/>
  <c r="AQ309" i="24"/>
  <c r="AQ310" i="24"/>
  <c r="AQ311" i="24"/>
  <c r="AQ312" i="24"/>
  <c r="AQ313" i="24"/>
  <c r="AQ314" i="24"/>
  <c r="AQ315" i="24"/>
  <c r="AQ316" i="24"/>
  <c r="AQ317" i="24"/>
  <c r="AQ318" i="24"/>
  <c r="AQ319" i="24"/>
  <c r="AQ320" i="24"/>
  <c r="AQ321" i="24"/>
  <c r="AQ322" i="24"/>
  <c r="AQ323" i="24"/>
  <c r="AQ324" i="24"/>
  <c r="AQ325" i="24"/>
  <c r="AQ326" i="24"/>
  <c r="AQ327" i="24"/>
  <c r="AQ328" i="24"/>
  <c r="AQ329" i="24"/>
  <c r="AQ330" i="24"/>
  <c r="AQ331" i="24"/>
  <c r="AQ332" i="24"/>
  <c r="AQ333" i="24"/>
  <c r="AQ334" i="24"/>
  <c r="AQ335" i="24"/>
  <c r="AQ336" i="24"/>
  <c r="AQ337" i="24"/>
  <c r="AQ338" i="24"/>
  <c r="AQ339" i="24"/>
  <c r="AQ340" i="24"/>
  <c r="AQ341" i="24"/>
  <c r="AQ342" i="24"/>
  <c r="AQ343" i="24"/>
  <c r="AQ344" i="24"/>
  <c r="AQ345" i="24"/>
  <c r="AQ346" i="24"/>
  <c r="AQ347" i="24"/>
  <c r="AQ348" i="24"/>
  <c r="AQ349" i="24"/>
  <c r="AQ350" i="24"/>
  <c r="AQ351" i="24"/>
  <c r="AQ352" i="24"/>
  <c r="AQ353" i="24"/>
  <c r="AQ354" i="24"/>
  <c r="AQ355" i="24"/>
  <c r="AQ356" i="24"/>
  <c r="AQ357" i="24"/>
  <c r="AQ358" i="24"/>
  <c r="AQ359" i="24"/>
  <c r="AQ360" i="24"/>
  <c r="AQ361" i="24"/>
  <c r="AQ362" i="24"/>
  <c r="AQ363" i="24"/>
  <c r="AQ364" i="24"/>
  <c r="AQ365" i="24"/>
  <c r="AQ366" i="24"/>
  <c r="AQ367" i="24"/>
  <c r="AQ368" i="24"/>
  <c r="AQ369" i="24"/>
  <c r="AQ370" i="24"/>
  <c r="AQ371" i="24"/>
  <c r="AQ372" i="24"/>
  <c r="AQ373" i="24"/>
  <c r="AQ374" i="24"/>
  <c r="AQ375" i="24"/>
  <c r="AQ376" i="24"/>
  <c r="AQ377" i="24"/>
  <c r="AQ378" i="24"/>
  <c r="AQ379" i="24"/>
  <c r="AQ380" i="24"/>
  <c r="AQ381" i="24"/>
  <c r="AQ382" i="24"/>
  <c r="AQ383" i="24"/>
  <c r="AQ384" i="24"/>
  <c r="AQ385" i="24"/>
  <c r="AQ386" i="24"/>
  <c r="AQ387" i="24"/>
  <c r="AQ388" i="24"/>
  <c r="AQ389" i="24"/>
  <c r="AQ390" i="24"/>
  <c r="AQ391" i="24"/>
  <c r="AQ392" i="24"/>
  <c r="AQ393" i="24"/>
  <c r="AQ394" i="24"/>
  <c r="AQ395" i="24"/>
  <c r="AQ396" i="24"/>
  <c r="AQ397" i="24"/>
  <c r="AQ398" i="24"/>
  <c r="AQ399" i="24"/>
  <c r="AQ400" i="24"/>
  <c r="AQ401" i="24"/>
  <c r="AQ402" i="24"/>
  <c r="AQ403" i="24"/>
  <c r="AQ404" i="24"/>
  <c r="AQ405" i="24"/>
  <c r="AQ406" i="24"/>
  <c r="AQ407" i="24"/>
  <c r="AQ408" i="24"/>
  <c r="AQ409" i="24"/>
  <c r="AQ410" i="24"/>
  <c r="AQ411" i="24"/>
  <c r="AQ412" i="24"/>
  <c r="AQ413" i="24"/>
  <c r="AQ414" i="24"/>
  <c r="AQ415" i="24"/>
  <c r="AQ416" i="24"/>
  <c r="AQ417" i="24"/>
  <c r="AQ418" i="24"/>
  <c r="AQ419" i="24"/>
  <c r="AQ420" i="24"/>
  <c r="AQ421" i="24"/>
  <c r="AQ422" i="24"/>
  <c r="AQ423" i="24"/>
  <c r="AQ424" i="24"/>
  <c r="AQ425" i="24"/>
  <c r="AQ426" i="24"/>
  <c r="AQ427" i="24"/>
  <c r="AQ428" i="24"/>
  <c r="AQ429" i="24"/>
  <c r="AQ430" i="24"/>
  <c r="AQ431" i="24"/>
  <c r="AQ432" i="24"/>
  <c r="AQ433" i="24"/>
  <c r="AQ434" i="24"/>
  <c r="AQ435" i="24"/>
  <c r="AQ436" i="24"/>
  <c r="AQ437" i="24"/>
  <c r="AQ438" i="24"/>
  <c r="AQ439" i="24"/>
  <c r="AQ440" i="24"/>
  <c r="AQ441" i="24"/>
  <c r="AQ442" i="24"/>
  <c r="AQ443" i="24"/>
  <c r="AQ444" i="24"/>
  <c r="AQ445" i="24"/>
  <c r="AQ446" i="24"/>
  <c r="AQ447" i="24"/>
  <c r="AQ448" i="24"/>
  <c r="AQ449" i="24"/>
  <c r="AQ450" i="24"/>
  <c r="AQ451" i="24"/>
  <c r="AQ452" i="24"/>
  <c r="AQ453" i="24"/>
  <c r="AQ454" i="24"/>
  <c r="AQ455" i="24"/>
  <c r="AQ456" i="24"/>
  <c r="AQ457" i="24"/>
  <c r="AQ458" i="24"/>
  <c r="AQ459" i="24"/>
  <c r="AQ460" i="24"/>
  <c r="AQ461" i="24"/>
  <c r="AQ462" i="24"/>
  <c r="AQ463" i="24"/>
  <c r="AQ464" i="24"/>
  <c r="AQ465" i="24"/>
  <c r="AQ466" i="24"/>
  <c r="AQ467" i="24"/>
  <c r="AQ468" i="24"/>
  <c r="AQ469" i="24"/>
  <c r="AQ470" i="24"/>
  <c r="AQ471" i="24"/>
  <c r="AQ472" i="24"/>
  <c r="AQ473" i="24"/>
  <c r="AQ474" i="24"/>
  <c r="AQ475" i="24"/>
  <c r="AQ476" i="24"/>
  <c r="AQ477" i="24"/>
  <c r="AQ478" i="24"/>
  <c r="AQ479" i="24"/>
  <c r="AQ480" i="24"/>
  <c r="AQ481" i="24"/>
  <c r="AQ482" i="24"/>
  <c r="AQ483" i="24"/>
  <c r="AQ484" i="24"/>
  <c r="AQ485" i="24"/>
  <c r="AQ486" i="24"/>
  <c r="AQ487" i="24"/>
  <c r="AQ488" i="24"/>
  <c r="AQ489" i="24"/>
  <c r="AQ490" i="24"/>
  <c r="AQ491" i="24"/>
  <c r="AQ492" i="24"/>
  <c r="AQ493" i="24"/>
  <c r="AQ494" i="24"/>
  <c r="AQ495" i="24"/>
  <c r="AQ496" i="24"/>
  <c r="AQ497" i="24"/>
  <c r="AQ498" i="24"/>
  <c r="AQ499" i="24"/>
  <c r="AQ500" i="24"/>
  <c r="AQ501" i="24"/>
  <c r="AQ502" i="24"/>
  <c r="AQ503" i="24"/>
  <c r="AQ504" i="24"/>
  <c r="AQ505" i="24"/>
  <c r="AQ506" i="24"/>
  <c r="AQ507" i="24"/>
  <c r="AQ508" i="24"/>
  <c r="AQ509" i="24"/>
  <c r="AQ510" i="24"/>
  <c r="AQ511" i="24"/>
  <c r="AQ512" i="24"/>
  <c r="AQ513" i="24"/>
  <c r="AQ514" i="24"/>
  <c r="AQ515" i="24"/>
  <c r="AQ516" i="24"/>
  <c r="AQ517" i="24"/>
  <c r="AQ518" i="24"/>
  <c r="AQ519" i="24"/>
  <c r="AQ520" i="24"/>
  <c r="AQ521" i="24"/>
  <c r="AQ522" i="24"/>
  <c r="AQ523" i="24"/>
  <c r="AQ524" i="24"/>
  <c r="AQ525" i="24"/>
  <c r="AQ526" i="24"/>
  <c r="AQ527" i="24"/>
  <c r="AQ528" i="24"/>
  <c r="AQ529" i="24"/>
  <c r="AQ530" i="24"/>
  <c r="AQ531" i="24"/>
  <c r="AQ532" i="24"/>
  <c r="AQ533" i="24"/>
  <c r="AQ534" i="24"/>
  <c r="AQ535" i="24"/>
  <c r="AQ536" i="24"/>
  <c r="AQ537" i="24"/>
  <c r="AQ538" i="24"/>
  <c r="AQ539" i="24"/>
  <c r="AQ540" i="24"/>
  <c r="AQ541" i="24"/>
  <c r="AQ542" i="24"/>
  <c r="AQ543" i="24"/>
  <c r="AQ544" i="24"/>
  <c r="AQ545" i="24"/>
  <c r="AQ546" i="24"/>
  <c r="AQ547" i="24"/>
  <c r="AQ548" i="24"/>
  <c r="AQ549" i="24"/>
  <c r="AQ550" i="24"/>
  <c r="AQ551" i="24"/>
  <c r="AQ552" i="24"/>
  <c r="AQ553" i="24"/>
  <c r="AQ554" i="24"/>
  <c r="AQ555" i="24"/>
  <c r="AQ556" i="24"/>
  <c r="AQ557" i="24"/>
  <c r="AQ558" i="24"/>
  <c r="AQ559" i="24"/>
  <c r="AQ560" i="24"/>
  <c r="AQ561" i="24"/>
  <c r="AQ562" i="24"/>
  <c r="AQ563" i="24"/>
  <c r="AQ564" i="24"/>
  <c r="AQ565" i="24"/>
  <c r="AQ566" i="24"/>
  <c r="AQ567" i="24"/>
  <c r="AQ568" i="24"/>
  <c r="AQ569" i="24"/>
  <c r="AQ570" i="24"/>
  <c r="AQ571" i="24"/>
  <c r="AQ572" i="24"/>
  <c r="AQ573" i="24"/>
  <c r="AQ574" i="24"/>
  <c r="AQ575" i="24"/>
  <c r="AQ576" i="24"/>
  <c r="AQ577" i="24"/>
  <c r="AQ578" i="24"/>
  <c r="AQ579" i="24"/>
  <c r="AQ580" i="24"/>
  <c r="AQ581" i="24"/>
  <c r="AQ582" i="24"/>
  <c r="AQ583" i="24"/>
  <c r="AQ584" i="24"/>
  <c r="AQ585" i="24"/>
  <c r="AQ586" i="24"/>
  <c r="AQ587" i="24"/>
  <c r="AQ588" i="24"/>
  <c r="AQ589" i="24"/>
  <c r="AQ590" i="24"/>
  <c r="AQ591" i="24"/>
  <c r="AQ592" i="24"/>
  <c r="AQ593" i="24"/>
  <c r="AQ594" i="24"/>
  <c r="AQ595" i="24"/>
  <c r="AQ596" i="24"/>
  <c r="AQ597" i="24"/>
  <c r="AQ598" i="24"/>
  <c r="AQ599" i="24"/>
  <c r="AQ600" i="24"/>
  <c r="AQ601" i="24"/>
  <c r="AQ602" i="24"/>
  <c r="AQ603" i="24"/>
  <c r="AQ604" i="24"/>
  <c r="AQ605" i="24"/>
  <c r="AQ606" i="24"/>
  <c r="AQ607" i="24"/>
  <c r="AQ608" i="24"/>
  <c r="AQ609" i="24"/>
  <c r="AQ610" i="24"/>
  <c r="AQ611" i="24"/>
  <c r="AQ612" i="24"/>
  <c r="AQ613" i="24"/>
  <c r="AQ614" i="24"/>
  <c r="AQ615" i="24"/>
  <c r="AQ616" i="24"/>
  <c r="AQ617" i="24"/>
  <c r="AQ618" i="24"/>
  <c r="AQ619" i="24"/>
  <c r="AQ620" i="24"/>
  <c r="AQ621" i="24"/>
  <c r="AQ622" i="24"/>
  <c r="AQ623" i="24"/>
  <c r="AQ624" i="24"/>
  <c r="AQ625" i="24"/>
  <c r="AQ626" i="24"/>
  <c r="AQ627" i="24"/>
  <c r="AQ628" i="24"/>
  <c r="AQ629" i="24"/>
  <c r="AQ630" i="24"/>
  <c r="AQ631" i="24"/>
  <c r="AQ632" i="24"/>
  <c r="AQ633" i="24"/>
  <c r="AQ634" i="24"/>
  <c r="AQ635" i="24"/>
  <c r="AQ636" i="24"/>
  <c r="AQ637" i="24"/>
  <c r="AQ638" i="24"/>
  <c r="AQ639" i="24"/>
  <c r="AQ640" i="24"/>
  <c r="AQ641" i="24"/>
  <c r="AQ642" i="24"/>
  <c r="AQ643" i="24"/>
  <c r="AQ644" i="24"/>
  <c r="AQ645" i="24"/>
  <c r="AQ646" i="24"/>
  <c r="AQ647" i="24"/>
  <c r="AQ648" i="24"/>
  <c r="AQ649" i="24"/>
  <c r="AQ650" i="24"/>
  <c r="AQ651" i="24"/>
  <c r="AQ652" i="24"/>
  <c r="AQ653" i="24"/>
  <c r="AQ654" i="24"/>
  <c r="AQ655" i="24"/>
  <c r="AQ656" i="24"/>
  <c r="AQ657" i="24"/>
  <c r="AQ658" i="24"/>
  <c r="AQ659" i="24"/>
  <c r="AQ660" i="24"/>
  <c r="AQ661" i="24"/>
  <c r="AQ662" i="24"/>
  <c r="AQ663" i="24"/>
  <c r="AQ664" i="24"/>
  <c r="AQ665" i="24"/>
  <c r="AQ666" i="24"/>
  <c r="AQ667" i="24"/>
  <c r="AQ668" i="24"/>
  <c r="AQ669" i="24"/>
  <c r="AQ670" i="24"/>
  <c r="AQ671" i="24"/>
  <c r="AQ672" i="24"/>
  <c r="AQ673" i="24"/>
  <c r="AQ674" i="24"/>
  <c r="AQ675" i="24"/>
  <c r="AQ676" i="24"/>
  <c r="AQ677" i="24"/>
  <c r="AQ678" i="24"/>
  <c r="AQ679" i="24"/>
  <c r="AQ680" i="24"/>
  <c r="AQ681" i="24"/>
  <c r="AQ682" i="24"/>
  <c r="AQ683" i="24"/>
  <c r="AQ684" i="24"/>
  <c r="AQ685" i="24"/>
  <c r="AQ686" i="24"/>
  <c r="AQ687" i="24"/>
  <c r="AQ688" i="24"/>
  <c r="AQ689" i="24"/>
  <c r="AQ690" i="24"/>
  <c r="AQ691" i="24"/>
  <c r="AQ692" i="24"/>
  <c r="AQ693" i="24"/>
  <c r="AQ694" i="24"/>
  <c r="AQ695" i="24"/>
  <c r="AQ696" i="24"/>
  <c r="AQ697" i="24"/>
  <c r="AQ698" i="24"/>
  <c r="AQ699" i="24"/>
  <c r="AQ700" i="24"/>
  <c r="AQ701" i="24"/>
  <c r="AQ702" i="24"/>
  <c r="AQ703" i="24"/>
  <c r="AQ704" i="24"/>
  <c r="AQ705" i="24"/>
  <c r="AQ706" i="24"/>
  <c r="AQ707" i="24"/>
  <c r="AQ708" i="24"/>
  <c r="AQ709" i="24"/>
  <c r="AQ710" i="24"/>
  <c r="AQ711" i="24"/>
  <c r="AQ712" i="24"/>
  <c r="AQ713" i="24"/>
  <c r="AQ714" i="24"/>
  <c r="AQ715" i="24"/>
  <c r="AQ716" i="24"/>
  <c r="AQ717" i="24"/>
  <c r="AQ718" i="24"/>
  <c r="AQ719" i="24"/>
  <c r="AQ720" i="24"/>
  <c r="AQ721" i="24"/>
  <c r="AQ722" i="24"/>
  <c r="AQ723" i="24"/>
  <c r="AQ724" i="24"/>
  <c r="AQ725" i="24"/>
  <c r="AQ726" i="24"/>
  <c r="AQ727" i="24"/>
  <c r="AQ728" i="24"/>
  <c r="AQ729" i="24"/>
  <c r="AQ730" i="24"/>
  <c r="AQ731" i="24"/>
  <c r="AQ732" i="24"/>
  <c r="AQ733" i="24"/>
  <c r="AQ734" i="24"/>
  <c r="AQ735" i="24"/>
  <c r="AQ736" i="24"/>
  <c r="AQ737" i="24"/>
  <c r="AQ738" i="24"/>
  <c r="AQ739" i="24"/>
  <c r="AQ740" i="24"/>
  <c r="AQ741" i="24"/>
  <c r="AQ742" i="24"/>
  <c r="AQ743" i="24"/>
  <c r="AQ744" i="24"/>
  <c r="AQ745" i="24"/>
  <c r="AQ746" i="24"/>
  <c r="AQ747" i="24"/>
  <c r="AQ748" i="24"/>
  <c r="AQ749" i="24"/>
  <c r="AQ750" i="24"/>
  <c r="AQ751" i="24"/>
  <c r="AQ752" i="24"/>
  <c r="AQ753" i="24"/>
  <c r="AQ754" i="24"/>
  <c r="AQ755" i="24"/>
  <c r="AQ756" i="24"/>
  <c r="AQ757" i="24"/>
  <c r="AQ758" i="24"/>
  <c r="AQ759" i="24"/>
  <c r="AQ760" i="24"/>
  <c r="AQ761" i="24"/>
  <c r="AQ762" i="24"/>
  <c r="AQ763" i="24"/>
  <c r="AQ764" i="24"/>
  <c r="AQ765" i="24"/>
  <c r="AQ766" i="24"/>
  <c r="AQ767" i="24"/>
  <c r="AQ768" i="24"/>
  <c r="AQ769" i="24"/>
  <c r="AQ770" i="24"/>
  <c r="AQ771" i="24"/>
  <c r="AQ772" i="24"/>
  <c r="AQ773" i="24"/>
  <c r="AQ774" i="24"/>
  <c r="AQ775" i="24"/>
  <c r="AQ776" i="24"/>
  <c r="AQ777" i="24"/>
  <c r="AQ778" i="24"/>
  <c r="AQ779" i="24"/>
  <c r="AQ780" i="24"/>
  <c r="AQ781" i="24"/>
  <c r="AQ782" i="24"/>
  <c r="AQ783" i="24"/>
  <c r="AQ784" i="24"/>
  <c r="AQ785" i="24"/>
  <c r="AQ786" i="24"/>
  <c r="AQ787" i="24"/>
  <c r="AQ788" i="24"/>
  <c r="AQ789" i="24"/>
  <c r="AQ790" i="24"/>
  <c r="AQ791" i="24"/>
  <c r="AQ792" i="24"/>
  <c r="AQ793" i="24"/>
  <c r="AQ794" i="24"/>
  <c r="AQ795" i="24"/>
  <c r="AQ796" i="24"/>
  <c r="AQ797" i="24"/>
  <c r="AQ798" i="24"/>
  <c r="AQ799" i="24"/>
  <c r="AQ800" i="24"/>
  <c r="AQ801" i="24"/>
  <c r="AQ802" i="24"/>
  <c r="AQ803" i="24"/>
  <c r="AQ804" i="24"/>
  <c r="AQ805" i="24"/>
  <c r="AQ806" i="24"/>
  <c r="AQ807" i="24"/>
  <c r="AQ808" i="24"/>
  <c r="AQ809" i="24"/>
  <c r="AQ810" i="24"/>
  <c r="AQ811" i="24"/>
  <c r="AQ812" i="24"/>
  <c r="AQ813" i="24"/>
  <c r="AQ814" i="24"/>
  <c r="AQ815" i="24"/>
  <c r="AQ816" i="24"/>
  <c r="AQ817" i="24"/>
  <c r="AQ818" i="24"/>
  <c r="AQ819" i="24"/>
  <c r="AQ820" i="24"/>
  <c r="AQ821" i="24"/>
  <c r="AQ822" i="24"/>
  <c r="AQ823" i="24"/>
  <c r="AQ824" i="24"/>
  <c r="AQ825" i="24"/>
  <c r="AQ826" i="24"/>
  <c r="AQ827" i="24"/>
  <c r="AQ828" i="24"/>
  <c r="AQ829" i="24"/>
  <c r="AQ830" i="24"/>
  <c r="AQ831" i="24"/>
  <c r="AQ832" i="24"/>
  <c r="AQ833" i="24"/>
  <c r="AQ834" i="24"/>
  <c r="AQ835" i="24"/>
  <c r="AQ836" i="24"/>
  <c r="AQ837" i="24"/>
  <c r="AQ838" i="24"/>
  <c r="AQ839" i="24"/>
  <c r="AQ840" i="24"/>
  <c r="AQ841" i="24"/>
  <c r="AQ842" i="24"/>
  <c r="AQ843" i="24"/>
  <c r="AQ844" i="24"/>
  <c r="AQ845" i="24"/>
  <c r="AQ846" i="24"/>
  <c r="AQ847" i="24"/>
  <c r="AQ848" i="24"/>
  <c r="AQ849" i="24"/>
  <c r="AQ850" i="24"/>
  <c r="AQ851" i="24"/>
  <c r="AQ852" i="24"/>
  <c r="AQ853" i="24"/>
  <c r="AQ854" i="24"/>
  <c r="AQ855" i="24"/>
  <c r="AQ856" i="24"/>
  <c r="AQ857" i="24"/>
  <c r="AQ858" i="24"/>
  <c r="AQ859" i="24"/>
  <c r="AQ860" i="24"/>
  <c r="AQ861" i="24"/>
  <c r="AQ862" i="24"/>
  <c r="AQ863" i="24"/>
  <c r="AQ864" i="24"/>
  <c r="AQ865" i="24"/>
  <c r="AQ866" i="24"/>
  <c r="AQ867" i="24"/>
  <c r="AQ868" i="24"/>
  <c r="AQ869" i="24"/>
  <c r="AQ870" i="24"/>
  <c r="AQ871" i="24"/>
  <c r="AQ872" i="24"/>
  <c r="AQ873" i="24"/>
  <c r="AQ874" i="24"/>
  <c r="AQ875" i="24"/>
  <c r="AQ876" i="24"/>
  <c r="AQ877" i="24"/>
  <c r="AQ878" i="24"/>
  <c r="AQ879" i="24"/>
  <c r="AQ880" i="24"/>
  <c r="AQ881" i="24"/>
  <c r="AQ882" i="24"/>
  <c r="AQ883" i="24"/>
  <c r="AQ884" i="24"/>
  <c r="AQ885" i="24"/>
  <c r="AQ886" i="24"/>
  <c r="AQ887" i="24"/>
  <c r="AQ888" i="24"/>
  <c r="AQ889" i="24"/>
  <c r="AQ890" i="24"/>
  <c r="AQ891" i="24"/>
  <c r="AQ892" i="24"/>
  <c r="AQ893" i="24"/>
  <c r="AQ894" i="24"/>
  <c r="AQ895" i="24"/>
  <c r="AQ896" i="24"/>
  <c r="AQ897" i="24"/>
  <c r="AQ898" i="24"/>
  <c r="AQ899" i="24"/>
  <c r="AQ900" i="24"/>
  <c r="AQ901" i="24"/>
  <c r="AQ902" i="24"/>
  <c r="AQ903" i="24"/>
  <c r="AQ904" i="24"/>
  <c r="AQ905" i="24"/>
  <c r="AQ906" i="24"/>
  <c r="AQ907" i="24"/>
  <c r="AQ908" i="24"/>
  <c r="AQ909" i="24"/>
  <c r="AQ910" i="24"/>
  <c r="AQ911" i="24"/>
  <c r="AQ912" i="24"/>
  <c r="AQ913" i="24"/>
  <c r="AQ914" i="24"/>
  <c r="AQ915" i="24"/>
  <c r="AQ916" i="24"/>
  <c r="AQ917" i="24"/>
  <c r="AQ918" i="24"/>
  <c r="AQ919" i="24"/>
  <c r="AQ920" i="24"/>
  <c r="AQ921" i="24"/>
  <c r="AQ922" i="24"/>
  <c r="AQ923" i="24"/>
  <c r="AQ924" i="24"/>
  <c r="AQ925" i="24"/>
  <c r="AQ926" i="24"/>
  <c r="AQ927" i="24"/>
  <c r="AQ928" i="24"/>
  <c r="AQ929" i="24"/>
  <c r="AQ930" i="24"/>
  <c r="AQ931" i="24"/>
  <c r="AQ932" i="24"/>
  <c r="AQ933" i="24"/>
  <c r="AQ934" i="24"/>
  <c r="AQ935" i="24"/>
  <c r="AQ936" i="24"/>
  <c r="AQ937" i="24"/>
  <c r="AQ938" i="24"/>
  <c r="AQ939" i="24"/>
  <c r="AQ940" i="24"/>
  <c r="AQ941" i="24"/>
  <c r="AQ942" i="24"/>
  <c r="AQ943" i="24"/>
  <c r="AQ944" i="24"/>
  <c r="AQ945" i="24"/>
  <c r="AQ946" i="24"/>
  <c r="AQ947" i="24"/>
  <c r="AQ948" i="24"/>
  <c r="AQ949" i="24"/>
  <c r="AQ950" i="24"/>
  <c r="AQ951" i="24"/>
  <c r="AQ952" i="24"/>
  <c r="AQ953" i="24"/>
  <c r="AQ954" i="24"/>
  <c r="AQ955" i="24"/>
  <c r="AQ956" i="24"/>
  <c r="AQ957" i="24"/>
  <c r="AQ958" i="24"/>
  <c r="AQ959" i="24"/>
  <c r="AQ960" i="24"/>
  <c r="AQ961" i="24"/>
  <c r="AQ962" i="24"/>
  <c r="AQ963" i="24"/>
  <c r="AQ964" i="24"/>
  <c r="AQ965" i="24"/>
  <c r="AQ966" i="24"/>
  <c r="AQ967" i="24"/>
  <c r="AQ968" i="24"/>
  <c r="AQ969" i="24"/>
  <c r="AQ970" i="24"/>
  <c r="AQ971" i="24"/>
  <c r="AQ972" i="24"/>
  <c r="AQ973" i="24"/>
  <c r="AQ974" i="24"/>
  <c r="AQ975" i="24"/>
  <c r="AQ976" i="24"/>
  <c r="AQ977" i="24"/>
  <c r="AQ978" i="24"/>
  <c r="AQ979" i="24"/>
  <c r="AQ980" i="24"/>
  <c r="AQ981" i="24"/>
  <c r="AQ982" i="24"/>
  <c r="AQ983" i="24"/>
  <c r="AQ984" i="24"/>
  <c r="AQ985" i="24"/>
  <c r="AQ986" i="24"/>
  <c r="AQ987" i="24"/>
  <c r="AQ988" i="24"/>
  <c r="AQ989" i="24"/>
  <c r="AQ990" i="24"/>
  <c r="AQ991" i="24"/>
  <c r="AQ992" i="24"/>
  <c r="AQ993" i="24"/>
  <c r="AQ994" i="24"/>
  <c r="AQ995" i="24"/>
  <c r="AQ996" i="24"/>
  <c r="AQ997" i="24"/>
  <c r="AQ998" i="24"/>
  <c r="AQ999" i="24"/>
  <c r="AQ1000" i="24"/>
  <c r="AQ1001" i="24"/>
  <c r="AQ1002" i="24"/>
  <c r="AQ1003" i="24"/>
  <c r="AQ1004" i="24"/>
  <c r="AQ1005" i="24"/>
  <c r="AQ1006" i="24"/>
  <c r="AQ1007" i="24"/>
  <c r="AQ1008" i="24"/>
  <c r="AQ1009" i="24"/>
  <c r="AQ1010" i="24"/>
  <c r="AQ1011" i="24"/>
  <c r="AQ1012" i="24"/>
  <c r="AQ1013" i="24"/>
  <c r="AQ1014" i="24"/>
  <c r="AQ1015" i="24"/>
  <c r="AQ1016" i="24"/>
  <c r="AQ1017" i="24"/>
  <c r="AQ1018" i="24"/>
  <c r="AQ1019" i="24"/>
  <c r="AQ1020" i="24"/>
  <c r="AQ1021" i="24"/>
  <c r="AQ1022" i="24"/>
  <c r="AQ1023" i="24"/>
  <c r="AQ1024" i="24"/>
  <c r="AQ1025" i="24"/>
  <c r="AQ1026" i="24"/>
  <c r="AQ1027" i="24"/>
  <c r="AQ1028" i="24"/>
  <c r="AQ1029" i="24"/>
  <c r="AQ1030" i="24"/>
  <c r="AQ1031" i="24"/>
  <c r="AQ1032" i="24"/>
  <c r="AQ1033" i="24"/>
  <c r="AQ1034" i="24"/>
  <c r="AQ1035" i="24"/>
  <c r="AQ1036" i="24"/>
  <c r="AQ1037" i="24"/>
  <c r="AQ1038" i="24"/>
  <c r="AQ1039" i="24"/>
  <c r="AQ1040" i="24"/>
  <c r="AQ1041" i="24"/>
  <c r="AQ1042" i="24"/>
  <c r="AQ1043" i="24"/>
  <c r="AQ1044" i="24"/>
  <c r="AQ1045" i="24"/>
  <c r="AQ1046" i="24"/>
  <c r="AQ1047" i="24"/>
  <c r="AQ1048" i="24"/>
  <c r="AQ1049" i="24"/>
  <c r="AQ1050" i="24"/>
  <c r="AQ1051" i="24"/>
  <c r="AQ1052" i="24"/>
  <c r="AQ1053" i="24"/>
  <c r="AQ1054" i="24"/>
  <c r="AQ1055" i="24"/>
  <c r="AQ1056" i="24"/>
  <c r="AQ1057" i="24"/>
  <c r="AQ1058" i="24"/>
  <c r="AQ1059" i="24"/>
  <c r="AQ1060" i="24"/>
  <c r="AQ1061" i="24"/>
  <c r="AQ1062" i="24"/>
  <c r="AQ1063" i="24"/>
  <c r="AQ1064" i="24"/>
  <c r="AQ1065" i="24"/>
  <c r="AQ1066" i="24"/>
  <c r="AQ1067" i="24"/>
  <c r="AQ1068" i="24"/>
  <c r="AQ1069" i="24"/>
  <c r="AQ1070" i="24"/>
  <c r="AQ1071" i="24"/>
  <c r="AQ1072" i="24"/>
  <c r="AQ1073" i="24"/>
  <c r="AQ1074" i="24"/>
  <c r="AQ1075" i="24"/>
  <c r="AQ1076" i="24"/>
  <c r="AQ1077" i="24"/>
  <c r="AQ1078" i="24"/>
  <c r="AQ1079" i="24"/>
  <c r="AQ1080" i="24"/>
  <c r="AQ1081" i="24"/>
  <c r="AQ1082" i="24"/>
  <c r="AQ1083" i="24"/>
  <c r="AQ1084" i="24"/>
  <c r="AQ1085" i="24"/>
  <c r="AQ1086" i="24"/>
  <c r="AQ1087" i="24"/>
  <c r="AQ1088" i="24"/>
  <c r="AQ1089" i="24"/>
  <c r="AQ1090" i="24"/>
  <c r="AQ1091" i="24"/>
  <c r="AQ1092" i="24"/>
  <c r="AQ1093" i="24"/>
  <c r="AQ1094" i="24"/>
  <c r="AQ1095" i="24"/>
  <c r="AQ1096" i="24"/>
  <c r="AQ1097" i="24"/>
  <c r="AQ1098" i="24"/>
  <c r="AQ1099" i="24"/>
  <c r="AQ1100" i="24"/>
  <c r="AQ1101" i="24"/>
  <c r="AQ1102" i="24"/>
  <c r="AQ1103" i="24"/>
  <c r="AQ1104" i="24"/>
  <c r="AQ1105" i="24"/>
  <c r="AQ1106" i="24"/>
  <c r="AQ1107" i="24"/>
  <c r="AQ1108" i="24"/>
  <c r="AQ1109" i="24"/>
  <c r="AQ1110" i="24"/>
  <c r="AQ1111" i="24"/>
  <c r="AQ1112" i="24"/>
  <c r="AQ1113" i="24"/>
  <c r="AQ1114" i="24"/>
  <c r="AQ1115" i="24"/>
  <c r="AQ1116" i="24"/>
  <c r="AQ1117" i="24"/>
  <c r="AQ1118" i="24"/>
  <c r="AQ1119" i="24"/>
  <c r="AQ1120" i="24"/>
  <c r="AQ1121" i="24"/>
  <c r="AQ1122" i="24"/>
  <c r="AQ1123" i="24"/>
  <c r="AQ1124" i="24"/>
  <c r="AQ1125" i="24"/>
  <c r="AQ1126" i="24"/>
  <c r="AQ1127" i="24"/>
  <c r="AQ1128" i="24"/>
  <c r="AQ1129" i="24"/>
  <c r="AQ1130" i="24"/>
  <c r="AQ1131" i="24"/>
  <c r="AQ1132" i="24"/>
  <c r="AQ1133" i="24"/>
  <c r="AQ1134" i="24"/>
  <c r="AQ1135" i="24"/>
  <c r="AQ1136" i="24"/>
  <c r="AQ1137" i="24"/>
  <c r="AQ1138" i="24"/>
  <c r="AQ1139" i="24"/>
  <c r="AQ1140" i="24"/>
  <c r="AQ1141" i="24"/>
  <c r="AQ1142" i="24"/>
  <c r="AQ1143" i="24"/>
  <c r="AQ1144" i="24"/>
  <c r="AQ1145" i="24"/>
  <c r="AQ1146" i="24"/>
  <c r="AQ1147" i="24"/>
  <c r="AQ1148" i="24"/>
  <c r="AQ1149" i="24"/>
  <c r="AQ1150" i="24"/>
  <c r="AQ1151" i="24"/>
  <c r="AQ1152" i="24"/>
  <c r="AQ1153" i="24"/>
  <c r="AQ1154" i="24"/>
  <c r="AQ1155" i="24"/>
  <c r="AQ1156" i="24"/>
  <c r="AQ1157" i="24"/>
  <c r="AQ1158" i="24"/>
  <c r="AQ1159" i="24"/>
  <c r="AQ1160" i="24"/>
  <c r="AQ1161" i="24"/>
  <c r="AQ1162" i="24"/>
  <c r="AQ1163" i="24"/>
  <c r="AQ1164" i="24"/>
  <c r="AQ1165" i="24"/>
  <c r="AQ1166" i="24"/>
  <c r="AQ1167" i="24"/>
  <c r="AQ1168" i="24"/>
  <c r="AQ1169" i="24"/>
  <c r="AQ1170" i="24"/>
  <c r="AQ1171" i="24"/>
  <c r="AQ1172" i="24"/>
  <c r="AQ1173" i="24"/>
  <c r="AQ1174" i="24"/>
  <c r="AQ1175" i="24"/>
  <c r="AQ1176" i="24"/>
  <c r="AQ1177" i="24"/>
  <c r="AQ1178" i="24"/>
  <c r="AQ1179" i="24"/>
  <c r="AQ1180" i="24"/>
  <c r="AQ1181" i="24"/>
  <c r="AQ1182" i="24"/>
  <c r="AQ1183" i="24"/>
  <c r="AQ1184" i="24"/>
  <c r="AQ1185" i="24"/>
  <c r="AQ1186" i="24"/>
  <c r="AQ1187" i="24"/>
  <c r="AQ1188" i="24"/>
  <c r="AQ1189" i="24"/>
  <c r="AQ1190" i="24"/>
  <c r="AQ1191" i="24"/>
  <c r="AQ1192" i="24"/>
  <c r="AQ1193" i="24"/>
  <c r="AQ1194" i="24"/>
  <c r="AQ1195" i="24"/>
  <c r="AQ1196" i="24"/>
  <c r="AQ1197" i="24"/>
  <c r="AQ1198" i="24"/>
  <c r="AQ1199" i="24"/>
  <c r="AQ1200" i="24"/>
  <c r="AQ1201" i="24"/>
  <c r="AQ1202" i="24"/>
  <c r="AQ1203" i="24"/>
  <c r="AQ1204" i="24"/>
  <c r="AQ1205" i="24"/>
  <c r="AQ1206" i="24"/>
  <c r="AQ1207" i="24"/>
  <c r="AQ1208" i="24"/>
  <c r="AQ1209" i="24"/>
  <c r="AQ1210" i="24"/>
  <c r="AQ1211" i="24"/>
  <c r="AQ1212" i="24"/>
  <c r="AQ1213" i="24"/>
  <c r="AQ1214" i="24"/>
  <c r="AQ1215" i="24"/>
  <c r="AQ1216" i="24"/>
  <c r="AQ1217" i="24"/>
  <c r="AQ1218" i="24"/>
  <c r="AQ1219" i="24"/>
  <c r="AQ1220" i="24"/>
  <c r="AQ1221" i="24"/>
  <c r="AQ1222" i="24"/>
  <c r="AQ1223" i="24"/>
  <c r="AQ1224" i="24"/>
  <c r="AQ1225" i="24"/>
  <c r="AQ1226" i="24"/>
  <c r="AQ1227" i="24"/>
  <c r="AQ1228" i="24"/>
  <c r="AQ1229" i="24"/>
  <c r="AQ1230" i="24"/>
  <c r="AQ1231" i="24"/>
  <c r="AQ1232" i="24"/>
  <c r="AQ1233" i="24"/>
  <c r="AQ1234" i="24"/>
  <c r="AQ1235" i="24"/>
  <c r="AQ1236" i="24"/>
  <c r="AQ1237" i="24"/>
  <c r="AQ1238" i="24"/>
  <c r="AQ1239" i="24"/>
  <c r="AQ1240" i="24"/>
  <c r="AQ1241" i="24"/>
  <c r="AQ1242" i="24"/>
  <c r="AQ1243" i="24"/>
  <c r="AQ1244" i="24"/>
  <c r="AQ1245" i="24"/>
  <c r="AQ1246" i="24"/>
  <c r="AQ1247" i="24"/>
  <c r="AQ1248" i="24"/>
  <c r="AQ1249" i="24"/>
  <c r="AQ1250" i="24"/>
  <c r="AQ1251" i="24"/>
  <c r="AQ1252" i="24"/>
  <c r="AQ1253" i="24"/>
  <c r="AQ1254" i="24"/>
  <c r="AQ1255" i="24"/>
  <c r="AQ1256" i="24"/>
  <c r="AQ1257" i="24"/>
  <c r="AQ1258" i="24"/>
  <c r="AQ1259" i="24"/>
  <c r="AQ1260" i="24"/>
  <c r="AQ1261" i="24"/>
  <c r="AQ1262" i="24"/>
  <c r="AQ1263" i="24"/>
  <c r="AQ1264" i="24"/>
  <c r="AQ1265" i="24"/>
  <c r="AQ1266" i="24"/>
  <c r="AQ1267" i="24"/>
  <c r="AQ1268" i="24"/>
  <c r="AQ1269" i="24"/>
  <c r="AQ1270" i="24"/>
  <c r="AQ1271" i="24"/>
  <c r="AQ1272" i="24"/>
  <c r="AQ1273" i="24"/>
  <c r="AQ1274" i="24"/>
  <c r="AQ1275" i="24"/>
  <c r="AQ1276" i="24"/>
  <c r="AQ1277" i="24"/>
  <c r="AQ1278" i="24"/>
  <c r="AQ1279" i="24"/>
  <c r="AQ1280" i="24"/>
  <c r="AQ1281" i="24"/>
  <c r="AQ1282" i="24"/>
  <c r="AQ1283" i="24"/>
  <c r="AQ1284" i="24"/>
  <c r="AQ1285" i="24"/>
  <c r="AQ1286" i="24"/>
  <c r="AQ1287" i="24"/>
  <c r="AQ1288" i="24"/>
  <c r="AQ1289" i="24"/>
  <c r="AQ1290" i="24"/>
  <c r="AQ1291" i="24"/>
  <c r="AQ1292" i="24"/>
  <c r="AQ1293" i="24"/>
  <c r="AQ1294" i="24"/>
  <c r="AQ1295" i="24"/>
  <c r="AQ1296" i="24"/>
  <c r="AQ1297" i="24"/>
  <c r="AQ1298" i="24"/>
  <c r="AQ1299" i="24"/>
  <c r="AQ1300" i="24"/>
  <c r="AQ1301" i="24"/>
  <c r="AQ1302" i="24"/>
  <c r="AQ1303" i="24"/>
  <c r="AQ1304" i="24"/>
  <c r="AQ1305" i="24"/>
  <c r="AQ1306" i="24"/>
  <c r="AQ1307" i="24"/>
  <c r="AQ1308" i="24"/>
  <c r="AQ1309" i="24"/>
  <c r="AQ1310" i="24"/>
  <c r="AQ1311" i="24"/>
  <c r="AQ1312" i="24"/>
  <c r="AQ1313" i="24"/>
  <c r="AQ1314" i="24"/>
  <c r="AQ1315" i="24"/>
  <c r="AQ1316" i="24"/>
  <c r="AQ1317" i="24"/>
  <c r="AQ1318" i="24"/>
  <c r="AQ1319" i="24"/>
  <c r="AQ1320" i="24"/>
  <c r="AQ1321" i="24"/>
  <c r="AQ1322" i="24"/>
  <c r="AQ1323" i="24"/>
  <c r="AQ1324" i="24"/>
  <c r="AQ1325" i="24"/>
  <c r="AQ1326" i="24"/>
  <c r="AQ1327" i="24"/>
  <c r="AQ1328" i="24"/>
  <c r="AQ1329" i="24"/>
  <c r="AQ1330" i="24"/>
  <c r="AQ1331" i="24"/>
  <c r="AQ1332" i="24"/>
  <c r="AQ1333" i="24"/>
  <c r="AQ1334" i="24"/>
  <c r="AQ1335" i="24"/>
  <c r="AQ1336" i="24"/>
  <c r="AQ1337" i="24"/>
  <c r="AQ1338" i="24"/>
  <c r="AQ1339" i="24"/>
  <c r="AQ1340" i="24"/>
  <c r="AQ1341" i="24"/>
  <c r="AQ1342" i="24"/>
  <c r="AQ1343" i="24"/>
  <c r="AQ1344" i="24"/>
  <c r="AQ1345" i="24"/>
  <c r="AQ1346" i="24"/>
  <c r="AQ1347" i="24"/>
  <c r="AQ1348" i="24"/>
  <c r="AQ1349" i="24"/>
  <c r="AQ1350" i="24"/>
  <c r="AQ1351" i="24"/>
  <c r="AQ1352" i="24"/>
  <c r="AQ1353" i="24"/>
  <c r="AQ1354" i="24"/>
  <c r="AQ1355" i="24"/>
  <c r="AQ1356" i="24"/>
  <c r="AQ1357" i="24"/>
  <c r="AQ1358" i="24"/>
  <c r="AQ1359" i="24"/>
  <c r="AQ1360" i="24"/>
  <c r="AQ1361" i="24"/>
  <c r="AQ1362" i="24"/>
  <c r="AQ1363" i="24"/>
  <c r="AQ1364" i="24"/>
  <c r="AQ1365" i="24"/>
  <c r="AQ1366" i="24"/>
  <c r="AQ1367" i="24"/>
  <c r="AQ1368" i="24"/>
  <c r="AQ1369" i="24"/>
  <c r="AQ1370" i="24"/>
  <c r="AQ1371" i="24"/>
  <c r="AQ1372" i="24"/>
  <c r="AQ1373" i="24"/>
  <c r="AQ1374" i="24"/>
  <c r="AQ1375" i="24"/>
  <c r="AQ1376" i="24"/>
  <c r="AQ1377" i="24"/>
  <c r="AQ1378" i="24"/>
  <c r="AQ1379" i="24"/>
  <c r="AQ1380" i="24"/>
  <c r="AQ1381" i="24"/>
  <c r="AQ1382" i="24"/>
  <c r="AQ1383" i="24"/>
  <c r="AQ1384" i="24"/>
  <c r="AQ1385" i="24"/>
  <c r="AQ1386" i="24"/>
  <c r="AQ1387" i="24"/>
  <c r="AQ1388" i="24"/>
  <c r="AQ1389" i="24"/>
  <c r="AQ1390" i="24"/>
  <c r="AQ1391" i="24"/>
  <c r="AQ1392" i="24"/>
  <c r="AQ1393" i="24"/>
  <c r="AQ1394" i="24"/>
  <c r="AQ1395" i="24"/>
  <c r="AQ1396" i="24"/>
  <c r="AQ1397" i="24"/>
  <c r="AQ1398" i="24"/>
  <c r="AQ1399" i="24"/>
  <c r="AQ1400" i="24"/>
  <c r="AQ1401" i="24"/>
  <c r="AQ1402" i="24"/>
  <c r="AQ1403" i="24"/>
  <c r="AQ1404" i="24"/>
  <c r="AQ1405" i="24"/>
  <c r="AQ1406" i="24"/>
  <c r="AQ1407" i="24"/>
  <c r="AQ1408" i="24"/>
  <c r="AQ1409" i="24"/>
  <c r="AQ1410" i="24"/>
  <c r="AQ1411" i="24"/>
  <c r="AQ1412" i="24"/>
  <c r="AQ1413" i="24"/>
  <c r="AQ1414" i="24"/>
  <c r="AQ1415" i="24"/>
  <c r="AQ1416" i="24"/>
  <c r="AQ1417" i="24"/>
  <c r="AQ1418" i="24"/>
  <c r="AQ1419" i="24"/>
  <c r="AQ1420" i="24"/>
  <c r="AQ1421" i="24"/>
  <c r="AQ1422" i="24"/>
  <c r="AQ1423" i="24"/>
  <c r="AQ1424" i="24"/>
  <c r="AQ1425" i="24"/>
  <c r="AQ1426" i="24"/>
  <c r="AQ1427" i="24"/>
  <c r="AQ1428" i="24"/>
  <c r="AQ1429" i="24"/>
  <c r="AQ1430" i="24"/>
  <c r="AQ1431" i="24"/>
  <c r="AQ1432" i="24"/>
  <c r="AQ1433" i="24"/>
  <c r="AQ1434" i="24"/>
  <c r="AQ1435" i="24"/>
  <c r="AQ1436" i="24"/>
  <c r="AQ1437" i="24"/>
  <c r="AQ1438" i="24"/>
  <c r="AQ1439" i="24"/>
  <c r="AQ1440" i="24"/>
  <c r="AQ1441" i="24"/>
  <c r="AQ1442" i="24"/>
  <c r="AQ1443" i="24"/>
  <c r="AQ1444" i="24"/>
  <c r="AQ1445" i="24"/>
  <c r="AQ1446" i="24"/>
  <c r="AQ1447" i="24"/>
  <c r="AQ1448" i="24"/>
  <c r="AQ1449" i="24"/>
  <c r="AQ1450" i="24"/>
  <c r="AQ1451" i="24"/>
  <c r="AQ1452" i="24"/>
  <c r="AQ1453" i="24"/>
  <c r="AQ1454" i="24"/>
  <c r="AQ1455" i="24"/>
  <c r="AQ1456" i="24"/>
  <c r="AQ1457" i="24"/>
  <c r="AQ1458" i="24"/>
  <c r="AQ1459" i="24"/>
  <c r="AQ1460" i="24"/>
  <c r="AQ1461" i="24"/>
  <c r="AQ1462" i="24"/>
  <c r="AQ1463" i="24"/>
  <c r="AQ1464" i="24"/>
  <c r="AQ1465" i="24"/>
  <c r="AQ1466" i="24"/>
  <c r="AQ1467" i="24"/>
  <c r="AQ1468" i="24"/>
  <c r="AQ1469" i="24"/>
  <c r="AQ1470" i="24"/>
  <c r="AQ1471" i="24"/>
  <c r="AQ1472" i="24"/>
  <c r="AQ1473" i="24"/>
  <c r="AQ1474" i="24"/>
  <c r="AQ1475" i="24"/>
  <c r="AQ1476" i="24"/>
  <c r="AQ1477" i="24"/>
  <c r="AQ1478" i="24"/>
  <c r="AQ1479" i="24"/>
  <c r="AQ1480" i="24"/>
  <c r="AQ1481" i="24"/>
  <c r="AQ1482" i="24"/>
  <c r="AQ1483" i="24"/>
  <c r="AQ1484" i="24"/>
  <c r="AQ1485" i="24"/>
  <c r="AQ1486" i="24"/>
  <c r="AQ1487" i="24"/>
  <c r="AQ1488" i="24"/>
  <c r="AQ1489" i="24"/>
  <c r="AQ1490" i="24"/>
  <c r="AQ1491" i="24"/>
  <c r="AQ1492" i="24"/>
  <c r="AQ1493" i="24"/>
  <c r="AQ1494" i="24"/>
  <c r="AQ1495" i="24"/>
  <c r="AQ1496" i="24"/>
  <c r="AQ1497" i="24"/>
  <c r="AQ1498" i="24"/>
  <c r="AQ1499" i="24"/>
  <c r="AQ1500" i="24"/>
  <c r="AQ1501" i="24"/>
  <c r="AQ2011" i="24" l="1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2" i="3"/>
  <c r="AP40" i="3"/>
  <c r="AP38" i="3"/>
  <c r="AP34" i="3"/>
  <c r="E18" i="28"/>
  <c r="E22" i="28" s="1"/>
  <c r="E30" i="7" l="1"/>
  <c r="E30" i="8"/>
  <c r="D8" i="7" l="1"/>
  <c r="D9" i="7"/>
  <c r="A1501" i="24"/>
  <c r="A1500" i="24"/>
  <c r="A1499" i="24"/>
  <c r="A1498" i="24"/>
  <c r="A1497" i="24"/>
  <c r="A1496" i="24"/>
  <c r="A1495" i="24"/>
  <c r="A1494" i="24"/>
  <c r="A1493" i="24"/>
  <c r="A1492" i="24"/>
  <c r="A1491" i="24"/>
  <c r="A1490" i="24"/>
  <c r="A1489" i="24"/>
  <c r="A1488" i="24"/>
  <c r="A1487" i="24"/>
  <c r="A1486" i="24"/>
  <c r="A1485" i="24"/>
  <c r="A1484" i="24"/>
  <c r="A1483" i="24"/>
  <c r="A1482" i="24"/>
  <c r="A1481" i="24"/>
  <c r="A1480" i="24"/>
  <c r="A1479" i="24"/>
  <c r="A1478" i="24"/>
  <c r="A1477" i="24"/>
  <c r="A1476" i="24"/>
  <c r="A1475" i="24"/>
  <c r="A1474" i="24"/>
  <c r="A1473" i="24"/>
  <c r="A1472" i="24"/>
  <c r="A1471" i="24"/>
  <c r="A1470" i="24"/>
  <c r="A1469" i="24"/>
  <c r="A1468" i="24"/>
  <c r="A1467" i="24"/>
  <c r="A1466" i="24"/>
  <c r="A1465" i="24"/>
  <c r="A1464" i="24"/>
  <c r="A1463" i="24"/>
  <c r="A1462" i="24"/>
  <c r="A1461" i="24"/>
  <c r="A1460" i="24"/>
  <c r="A1459" i="24"/>
  <c r="A1458" i="24"/>
  <c r="A1457" i="24"/>
  <c r="A1456" i="24"/>
  <c r="A1455" i="24"/>
  <c r="A1454" i="24"/>
  <c r="A1453" i="24"/>
  <c r="A1452" i="24"/>
  <c r="A1451" i="24"/>
  <c r="A1450" i="24"/>
  <c r="A1449" i="24"/>
  <c r="A1448" i="24"/>
  <c r="A1447" i="24"/>
  <c r="A1446" i="24"/>
  <c r="A1445" i="24"/>
  <c r="A1444" i="24"/>
  <c r="A1443" i="24"/>
  <c r="A1442" i="24"/>
  <c r="A1441" i="24"/>
  <c r="A1440" i="24"/>
  <c r="A1439" i="24"/>
  <c r="A1438" i="24"/>
  <c r="A1437" i="24"/>
  <c r="A1436" i="24"/>
  <c r="A1435" i="24"/>
  <c r="A1434" i="24"/>
  <c r="A1433" i="24"/>
  <c r="A1432" i="24"/>
  <c r="A1431" i="24"/>
  <c r="A1430" i="24"/>
  <c r="A1429" i="24"/>
  <c r="A1428" i="24"/>
  <c r="A1427" i="24"/>
  <c r="A1426" i="24"/>
  <c r="A1425" i="24"/>
  <c r="A1424" i="24"/>
  <c r="A1423" i="24"/>
  <c r="A1422" i="24"/>
  <c r="A1421" i="24"/>
  <c r="A1420" i="24"/>
  <c r="A1419" i="24"/>
  <c r="A1418" i="24"/>
  <c r="A1417" i="24"/>
  <c r="A1416" i="24"/>
  <c r="A1415" i="24"/>
  <c r="A1414" i="24"/>
  <c r="A1413" i="24"/>
  <c r="A1412" i="24"/>
  <c r="A1411" i="24"/>
  <c r="A1410" i="24"/>
  <c r="A1409" i="24"/>
  <c r="A1408" i="24"/>
  <c r="A1407" i="24"/>
  <c r="A1406" i="24"/>
  <c r="A1405" i="24"/>
  <c r="A1404" i="24"/>
  <c r="A1403" i="24"/>
  <c r="A1402" i="24"/>
  <c r="A1401" i="24"/>
  <c r="A1400" i="24"/>
  <c r="A1399" i="24"/>
  <c r="A1398" i="24"/>
  <c r="A1397" i="24"/>
  <c r="A1396" i="24"/>
  <c r="A1395" i="24"/>
  <c r="A1394" i="24"/>
  <c r="A1393" i="24"/>
  <c r="A1392" i="24"/>
  <c r="A1391" i="24"/>
  <c r="A1390" i="24"/>
  <c r="A1389" i="24"/>
  <c r="A1388" i="24"/>
  <c r="A1387" i="24"/>
  <c r="A1386" i="24"/>
  <c r="A1385" i="24"/>
  <c r="A1384" i="24"/>
  <c r="A1383" i="24"/>
  <c r="A1382" i="24"/>
  <c r="A1381" i="24"/>
  <c r="A1380" i="24"/>
  <c r="A1379" i="24"/>
  <c r="A1378" i="24"/>
  <c r="A1377" i="24"/>
  <c r="A1376" i="24"/>
  <c r="A1375" i="24"/>
  <c r="A1374" i="24"/>
  <c r="A1373" i="24"/>
  <c r="A1372" i="24"/>
  <c r="A1371" i="24"/>
  <c r="A1370" i="24"/>
  <c r="A1369" i="24"/>
  <c r="A1368" i="24"/>
  <c r="A1367" i="24"/>
  <c r="A1366" i="24"/>
  <c r="A1365" i="24"/>
  <c r="A1364" i="24"/>
  <c r="A1363" i="24"/>
  <c r="A1362" i="24"/>
  <c r="A1361" i="24"/>
  <c r="A1360" i="24"/>
  <c r="A1359" i="24"/>
  <c r="A1358" i="24"/>
  <c r="A1357" i="24"/>
  <c r="A1356" i="24"/>
  <c r="A1355" i="24"/>
  <c r="A1354" i="24"/>
  <c r="A1353" i="24"/>
  <c r="A1352" i="24"/>
  <c r="A1351" i="24"/>
  <c r="A1350" i="24"/>
  <c r="A1349" i="24"/>
  <c r="A1348" i="24"/>
  <c r="A1347" i="24"/>
  <c r="A1346" i="24"/>
  <c r="A1345" i="24"/>
  <c r="A1344" i="24"/>
  <c r="A1343" i="24"/>
  <c r="A1342" i="24"/>
  <c r="A1341" i="24"/>
  <c r="A1340" i="24"/>
  <c r="A1339" i="24"/>
  <c r="A1338" i="24"/>
  <c r="A1337" i="24"/>
  <c r="A1336" i="24"/>
  <c r="A1335" i="24"/>
  <c r="A1334" i="24"/>
  <c r="A1333" i="24"/>
  <c r="A1332" i="24"/>
  <c r="A1331" i="24"/>
  <c r="A1330" i="24"/>
  <c r="A1329" i="24"/>
  <c r="A1328" i="24"/>
  <c r="A1327" i="24"/>
  <c r="A1326" i="24"/>
  <c r="A1325" i="24"/>
  <c r="A1324" i="24"/>
  <c r="A1323" i="24"/>
  <c r="A1322" i="24"/>
  <c r="A1321" i="24"/>
  <c r="A1320" i="24"/>
  <c r="A1319" i="24"/>
  <c r="A1318" i="24"/>
  <c r="A1317" i="24"/>
  <c r="A1316" i="24"/>
  <c r="A1315" i="24"/>
  <c r="A1314" i="24"/>
  <c r="A1313" i="24"/>
  <c r="A1312" i="24"/>
  <c r="A1311" i="24"/>
  <c r="A1310" i="24"/>
  <c r="A1309" i="24"/>
  <c r="A1308" i="24"/>
  <c r="A1307" i="24"/>
  <c r="A1306" i="24"/>
  <c r="A1305" i="24"/>
  <c r="A1304" i="24"/>
  <c r="A1303" i="24"/>
  <c r="A1302" i="24"/>
  <c r="A1301" i="24"/>
  <c r="A1300" i="24"/>
  <c r="A1299" i="24"/>
  <c r="A1298" i="24"/>
  <c r="A1297" i="24"/>
  <c r="A1296" i="24"/>
  <c r="A1295" i="24"/>
  <c r="A1294" i="24"/>
  <c r="A1293" i="24"/>
  <c r="A1292" i="24"/>
  <c r="A1291" i="24"/>
  <c r="A1290" i="24"/>
  <c r="A1289" i="24"/>
  <c r="A1288" i="24"/>
  <c r="A1287" i="24"/>
  <c r="A1286" i="24"/>
  <c r="A1285" i="24"/>
  <c r="A1284" i="24"/>
  <c r="A1283" i="24"/>
  <c r="A1282" i="24"/>
  <c r="A1281" i="24"/>
  <c r="A1280" i="24"/>
  <c r="A1279" i="24"/>
  <c r="A1278" i="24"/>
  <c r="A1277" i="24"/>
  <c r="A1276" i="24"/>
  <c r="A1275" i="24"/>
  <c r="A1274" i="24"/>
  <c r="A1273" i="24"/>
  <c r="A1272" i="24"/>
  <c r="A1271" i="24"/>
  <c r="A1270" i="24"/>
  <c r="A1269" i="24"/>
  <c r="A1268" i="24"/>
  <c r="A1267" i="24"/>
  <c r="A1266" i="24"/>
  <c r="A1265" i="24"/>
  <c r="A1264" i="24"/>
  <c r="A1263" i="24"/>
  <c r="A1262" i="24"/>
  <c r="A1261" i="24"/>
  <c r="A1260" i="24"/>
  <c r="A1259" i="24"/>
  <c r="A1258" i="24"/>
  <c r="A1257" i="24"/>
  <c r="A1256" i="24"/>
  <c r="A1255" i="24"/>
  <c r="A1254" i="24"/>
  <c r="A1253" i="24"/>
  <c r="A1252" i="24"/>
  <c r="A1251" i="24"/>
  <c r="A1250" i="24"/>
  <c r="A1249" i="24"/>
  <c r="A1248" i="24"/>
  <c r="A1247" i="24"/>
  <c r="A1246" i="24"/>
  <c r="A1245" i="24"/>
  <c r="A1244" i="24"/>
  <c r="A1243" i="24"/>
  <c r="A1242" i="24"/>
  <c r="A1241" i="24"/>
  <c r="A1240" i="24"/>
  <c r="A1239" i="24"/>
  <c r="A1238" i="24"/>
  <c r="A1237" i="24"/>
  <c r="A1236" i="24"/>
  <c r="A1235" i="24"/>
  <c r="A1234" i="24"/>
  <c r="A1233" i="24"/>
  <c r="A1232" i="24"/>
  <c r="A1231" i="24"/>
  <c r="A1230" i="24"/>
  <c r="A1229" i="24"/>
  <c r="A1228" i="24"/>
  <c r="A1227" i="24"/>
  <c r="A1226" i="24"/>
  <c r="A1225" i="24"/>
  <c r="A1224" i="24"/>
  <c r="A1223" i="24"/>
  <c r="A1222" i="24"/>
  <c r="A1221" i="24"/>
  <c r="A1220" i="24"/>
  <c r="A1219" i="24"/>
  <c r="A1218" i="24"/>
  <c r="A1217" i="24"/>
  <c r="A1216" i="24"/>
  <c r="A1215" i="24"/>
  <c r="A1214" i="24"/>
  <c r="A1213" i="24"/>
  <c r="A1212" i="24"/>
  <c r="A1211" i="24"/>
  <c r="A1210" i="24"/>
  <c r="A1209" i="24"/>
  <c r="A1208" i="24"/>
  <c r="A1207" i="24"/>
  <c r="A1206" i="24"/>
  <c r="A1205" i="24"/>
  <c r="A1204" i="24"/>
  <c r="A1203" i="24"/>
  <c r="A1202" i="24"/>
  <c r="A1201" i="24"/>
  <c r="A1200" i="24"/>
  <c r="A1199" i="24"/>
  <c r="A1198" i="24"/>
  <c r="A1197" i="24"/>
  <c r="A1196" i="24"/>
  <c r="A1195" i="24"/>
  <c r="A1194" i="24"/>
  <c r="A1193" i="24"/>
  <c r="A1192" i="24"/>
  <c r="A1191" i="24"/>
  <c r="A1190" i="24"/>
  <c r="A1189" i="24"/>
  <c r="A1188" i="24"/>
  <c r="A1187" i="24"/>
  <c r="A1186" i="24"/>
  <c r="A1185" i="24"/>
  <c r="A1184" i="24"/>
  <c r="A1183" i="24"/>
  <c r="A1182" i="24"/>
  <c r="A1181" i="24"/>
  <c r="A1180" i="24"/>
  <c r="A1179" i="24"/>
  <c r="A1178" i="24"/>
  <c r="A1177" i="24"/>
  <c r="A1176" i="24"/>
  <c r="A1175" i="24"/>
  <c r="A1174" i="24"/>
  <c r="A1173" i="24"/>
  <c r="A1172" i="24"/>
  <c r="A1171" i="24"/>
  <c r="A1170" i="24"/>
  <c r="A1169" i="24"/>
  <c r="A1168" i="24"/>
  <c r="A1167" i="24"/>
  <c r="A1166" i="24"/>
  <c r="A1165" i="24"/>
  <c r="A1164" i="24"/>
  <c r="A1163" i="24"/>
  <c r="A1162" i="24"/>
  <c r="A1161" i="24"/>
  <c r="A1160" i="24"/>
  <c r="A1159" i="24"/>
  <c r="A1158" i="24"/>
  <c r="A1157" i="24"/>
  <c r="A1156" i="24"/>
  <c r="A1155" i="24"/>
  <c r="A1154" i="24"/>
  <c r="A1153" i="24"/>
  <c r="A1152" i="24"/>
  <c r="A1151" i="24"/>
  <c r="A1150" i="24"/>
  <c r="A1149" i="24"/>
  <c r="A1148" i="24"/>
  <c r="A1147" i="24"/>
  <c r="A1146" i="24"/>
  <c r="A1145" i="24"/>
  <c r="A1144" i="24"/>
  <c r="A1143" i="24"/>
  <c r="A1142" i="24"/>
  <c r="A1141" i="24"/>
  <c r="A1140" i="24"/>
  <c r="A1139" i="24"/>
  <c r="A1138" i="24"/>
  <c r="A1137" i="24"/>
  <c r="A1136" i="24"/>
  <c r="A1135" i="24"/>
  <c r="A1134" i="24"/>
  <c r="A1133" i="24"/>
  <c r="A1132" i="24"/>
  <c r="A1131" i="24"/>
  <c r="A1130" i="24"/>
  <c r="A1129" i="24"/>
  <c r="A1128" i="24"/>
  <c r="A1127" i="24"/>
  <c r="A1126" i="24"/>
  <c r="A1125" i="24"/>
  <c r="A1124" i="24"/>
  <c r="A1123" i="24"/>
  <c r="A1122" i="24"/>
  <c r="A1121" i="24"/>
  <c r="A1120" i="24"/>
  <c r="A1119" i="24"/>
  <c r="A1118" i="24"/>
  <c r="A1117" i="24"/>
  <c r="A1116" i="24"/>
  <c r="A1115" i="24"/>
  <c r="A1114" i="24"/>
  <c r="A1113" i="24"/>
  <c r="A1112" i="24"/>
  <c r="A1111" i="24"/>
  <c r="A1110" i="24"/>
  <c r="A1109" i="24"/>
  <c r="A1108" i="24"/>
  <c r="A1107" i="24"/>
  <c r="A1106" i="24"/>
  <c r="A1105" i="24"/>
  <c r="A1104" i="24"/>
  <c r="A1103" i="24"/>
  <c r="A1102" i="24"/>
  <c r="A1101" i="24"/>
  <c r="A1100" i="24"/>
  <c r="A1099" i="24"/>
  <c r="A1098" i="24"/>
  <c r="A1097" i="24"/>
  <c r="A1096" i="24"/>
  <c r="A1095" i="24"/>
  <c r="A1094" i="24"/>
  <c r="A1093" i="24"/>
  <c r="A1092" i="24"/>
  <c r="A1091" i="24"/>
  <c r="A1090" i="24"/>
  <c r="A1089" i="24"/>
  <c r="A1088" i="24"/>
  <c r="A1087" i="24"/>
  <c r="A1086" i="24"/>
  <c r="A1085" i="24"/>
  <c r="A1084" i="24"/>
  <c r="A1083" i="24"/>
  <c r="A1082" i="24"/>
  <c r="A1081" i="24"/>
  <c r="A1080" i="24"/>
  <c r="A1079" i="24"/>
  <c r="A1078" i="24"/>
  <c r="A1077" i="24"/>
  <c r="A1076" i="24"/>
  <c r="A1075" i="24"/>
  <c r="A1074" i="24"/>
  <c r="A1073" i="24"/>
  <c r="A1072" i="24"/>
  <c r="A1071" i="24"/>
  <c r="A1070" i="24"/>
  <c r="A1069" i="24"/>
  <c r="A1068" i="24"/>
  <c r="A1067" i="24"/>
  <c r="A1066" i="24"/>
  <c r="A1065" i="24"/>
  <c r="A1064" i="24"/>
  <c r="A1063" i="24"/>
  <c r="A1062" i="24"/>
  <c r="A1061" i="24"/>
  <c r="A1060" i="24"/>
  <c r="A1059" i="24"/>
  <c r="A1058" i="24"/>
  <c r="A1057" i="24"/>
  <c r="A1056" i="24"/>
  <c r="A1055" i="24"/>
  <c r="A1054" i="24"/>
  <c r="A1053" i="24"/>
  <c r="A1052" i="24"/>
  <c r="A1051" i="24"/>
  <c r="A1050" i="24"/>
  <c r="A1049" i="24"/>
  <c r="A1048" i="24"/>
  <c r="A1047" i="24"/>
  <c r="A1046" i="24"/>
  <c r="A1045" i="24"/>
  <c r="A1044" i="24"/>
  <c r="A1043" i="24"/>
  <c r="A1042" i="24"/>
  <c r="A1041" i="24"/>
  <c r="A1040" i="24"/>
  <c r="A1039" i="24"/>
  <c r="A1038" i="24"/>
  <c r="A1037" i="24"/>
  <c r="A1036" i="24"/>
  <c r="A1035" i="24"/>
  <c r="A1034" i="24"/>
  <c r="A1033" i="24"/>
  <c r="A1032" i="24"/>
  <c r="A1031" i="24"/>
  <c r="A1030" i="24"/>
  <c r="A1029" i="24"/>
  <c r="A1028" i="24"/>
  <c r="A1027" i="24"/>
  <c r="A1026" i="24"/>
  <c r="A1025" i="24"/>
  <c r="A1024" i="24"/>
  <c r="A1023" i="24"/>
  <c r="A1022" i="24"/>
  <c r="A1021" i="24"/>
  <c r="A1020" i="24"/>
  <c r="A1019" i="24"/>
  <c r="A1018" i="24"/>
  <c r="A1017" i="24"/>
  <c r="A1016" i="24"/>
  <c r="A1015" i="24"/>
  <c r="A1014" i="24"/>
  <c r="A1013" i="24"/>
  <c r="A1012" i="24"/>
  <c r="A1011" i="24"/>
  <c r="A1010" i="24"/>
  <c r="A1009" i="24"/>
  <c r="A1008" i="24"/>
  <c r="A1007" i="24"/>
  <c r="A1006" i="24"/>
  <c r="A1005" i="24"/>
  <c r="A1004" i="24"/>
  <c r="A1003" i="24"/>
  <c r="A1002" i="24"/>
  <c r="A1001" i="24"/>
  <c r="A1000" i="24"/>
  <c r="A999" i="24"/>
  <c r="A998" i="24"/>
  <c r="A997" i="24"/>
  <c r="A996" i="24"/>
  <c r="A995" i="24"/>
  <c r="A994" i="24"/>
  <c r="A993" i="24"/>
  <c r="A992" i="24"/>
  <c r="A991" i="24"/>
  <c r="A990" i="24"/>
  <c r="A989" i="24"/>
  <c r="A988" i="24"/>
  <c r="A987" i="24"/>
  <c r="A986" i="24"/>
  <c r="A985" i="24"/>
  <c r="A984" i="24"/>
  <c r="A983" i="24"/>
  <c r="A982" i="24"/>
  <c r="R64" i="18"/>
  <c r="R101" i="18"/>
  <c r="R87" i="18"/>
  <c r="R18" i="18"/>
  <c r="R16" i="18"/>
  <c r="R14" i="18"/>
  <c r="J120" i="18" l="1"/>
  <c r="R120" i="18" s="1"/>
  <c r="J107" i="18"/>
  <c r="J119" i="18"/>
  <c r="R119" i="18" s="1"/>
  <c r="L120" i="18"/>
  <c r="L105" i="18"/>
  <c r="L104" i="18"/>
  <c r="L91" i="18"/>
  <c r="L90" i="18"/>
  <c r="Q121" i="18"/>
  <c r="P121" i="18"/>
  <c r="O121" i="18"/>
  <c r="M121" i="18"/>
  <c r="K121" i="18"/>
  <c r="I121" i="18"/>
  <c r="Q102" i="18"/>
  <c r="O102" i="18"/>
  <c r="M102" i="18"/>
  <c r="K102" i="18"/>
  <c r="J102" i="18"/>
  <c r="I102" i="18"/>
  <c r="R121" i="18" l="1"/>
  <c r="N7" i="18" s="1"/>
  <c r="T120" i="18"/>
  <c r="J121" i="18"/>
  <c r="N101" i="18"/>
  <c r="N102" i="18" s="1"/>
  <c r="J92" i="18"/>
  <c r="R92" i="18" s="1"/>
  <c r="K28" i="10"/>
  <c r="AJ1498" i="24" s="1"/>
  <c r="K29" i="10"/>
  <c r="AJ1518" i="24" s="1"/>
  <c r="K30" i="10"/>
  <c r="AJ1514" i="24" s="1"/>
  <c r="K31" i="10"/>
  <c r="AJ1515" i="24" s="1"/>
  <c r="K32" i="10"/>
  <c r="K38" i="10"/>
  <c r="K39" i="10"/>
  <c r="K40" i="10"/>
  <c r="K41" i="10"/>
  <c r="K42" i="10"/>
  <c r="K48" i="10"/>
  <c r="K49" i="10"/>
  <c r="K50" i="10"/>
  <c r="K51" i="10"/>
  <c r="K52" i="10"/>
  <c r="K53" i="10"/>
  <c r="AJ754" i="24" s="1"/>
  <c r="K54" i="10"/>
  <c r="K55" i="10"/>
  <c r="K56" i="10"/>
  <c r="K57" i="10"/>
  <c r="K58" i="10"/>
  <c r="K59" i="10"/>
  <c r="K60" i="10"/>
  <c r="K61" i="10"/>
  <c r="K62" i="10"/>
  <c r="AJ52" i="24"/>
  <c r="K78" i="10"/>
  <c r="K79" i="10"/>
  <c r="K80" i="10"/>
  <c r="K81" i="10"/>
  <c r="K82" i="10"/>
  <c r="AJ22" i="24"/>
  <c r="N120" i="18"/>
  <c r="T115" i="18"/>
  <c r="T113" i="18"/>
  <c r="T111" i="18"/>
  <c r="T109" i="18"/>
  <c r="T101" i="18"/>
  <c r="T87" i="18"/>
  <c r="T18" i="18"/>
  <c r="T16" i="18"/>
  <c r="AP1501" i="24"/>
  <c r="AJ1501" i="24"/>
  <c r="AI1501" i="24"/>
  <c r="AG1501" i="24"/>
  <c r="Q1501" i="24"/>
  <c r="AP1500" i="24"/>
  <c r="AI1500" i="24"/>
  <c r="AH1500" i="24"/>
  <c r="AG1500" i="24"/>
  <c r="Q1500" i="24"/>
  <c r="AP1499" i="24"/>
  <c r="AI1499" i="24"/>
  <c r="AH1499" i="24"/>
  <c r="AG1499" i="24"/>
  <c r="Q1499" i="24"/>
  <c r="AP1498" i="24"/>
  <c r="AI1498" i="24"/>
  <c r="AH1498" i="24"/>
  <c r="AG1498" i="24"/>
  <c r="Q1498" i="24"/>
  <c r="AP1497" i="24"/>
  <c r="AI1497" i="24"/>
  <c r="AG1497" i="24"/>
  <c r="Q1497" i="24"/>
  <c r="AP1496" i="24"/>
  <c r="AJ1496" i="24"/>
  <c r="AI1496" i="24"/>
  <c r="AH1496" i="24"/>
  <c r="AG1496" i="24"/>
  <c r="Q1496" i="24"/>
  <c r="AP1495" i="24"/>
  <c r="AJ1495" i="24"/>
  <c r="AI1495" i="24"/>
  <c r="AG1495" i="24"/>
  <c r="Q1495" i="24"/>
  <c r="AJ1494" i="24"/>
  <c r="AI1494" i="24"/>
  <c r="AH1494" i="24"/>
  <c r="AG1494" i="24"/>
  <c r="Q1494" i="24"/>
  <c r="AJ1493" i="24"/>
  <c r="AI1493" i="24"/>
  <c r="AG1493" i="24"/>
  <c r="Q1493" i="24"/>
  <c r="AP1492" i="24"/>
  <c r="AJ1492" i="24"/>
  <c r="AI1492" i="24"/>
  <c r="AH1492" i="24"/>
  <c r="AG1492" i="24"/>
  <c r="Q1492" i="24"/>
  <c r="AP1491" i="24"/>
  <c r="AJ1491" i="24"/>
  <c r="AI1491" i="24"/>
  <c r="AG1491" i="24"/>
  <c r="Q1491" i="24"/>
  <c r="AP1490" i="24"/>
  <c r="AJ1490" i="24"/>
  <c r="AI1490" i="24"/>
  <c r="AH1490" i="24"/>
  <c r="AG1490" i="24"/>
  <c r="Q1490" i="24"/>
  <c r="AP1489" i="24"/>
  <c r="AJ1489" i="24"/>
  <c r="AI1489" i="24"/>
  <c r="AH1489" i="24"/>
  <c r="AG1489" i="24"/>
  <c r="Q1489" i="24"/>
  <c r="AP1488" i="24"/>
  <c r="AI1488" i="24"/>
  <c r="AH1488" i="24"/>
  <c r="AG1488" i="24"/>
  <c r="Q1488" i="24"/>
  <c r="AP1487" i="24"/>
  <c r="AJ1487" i="24"/>
  <c r="AI1487" i="24"/>
  <c r="AG1487" i="24"/>
  <c r="Q1487" i="24"/>
  <c r="AP1486" i="24"/>
  <c r="AJ1486" i="24"/>
  <c r="AI1486" i="24"/>
  <c r="AG1486" i="24"/>
  <c r="Q1486" i="24"/>
  <c r="AP1485" i="24"/>
  <c r="AJ1485" i="24"/>
  <c r="AI1485" i="24"/>
  <c r="AG1485" i="24"/>
  <c r="Q1485" i="24"/>
  <c r="AP1484" i="24"/>
  <c r="AJ1484" i="24"/>
  <c r="AI1484" i="24"/>
  <c r="AG1484" i="24"/>
  <c r="Q1484" i="24"/>
  <c r="AP1483" i="24"/>
  <c r="AJ1483" i="24"/>
  <c r="AI1483" i="24"/>
  <c r="AG1483" i="24"/>
  <c r="Q1483" i="24"/>
  <c r="AP1482" i="24"/>
  <c r="AJ1482" i="24"/>
  <c r="AI1482" i="24"/>
  <c r="AG1482" i="24"/>
  <c r="Q1482" i="24"/>
  <c r="AP1481" i="24"/>
  <c r="AJ1481" i="24"/>
  <c r="AI1481" i="24"/>
  <c r="AG1481" i="24"/>
  <c r="Q1481" i="24"/>
  <c r="AP1480" i="24"/>
  <c r="AI1480" i="24"/>
  <c r="AH1480" i="24"/>
  <c r="AG1480" i="24"/>
  <c r="Q1480" i="24"/>
  <c r="AP1479" i="24"/>
  <c r="AJ1479" i="24"/>
  <c r="AI1479" i="24"/>
  <c r="AH1479" i="24"/>
  <c r="AG1479" i="24"/>
  <c r="Q1479" i="24"/>
  <c r="H34" i="31" s="1"/>
  <c r="AP1478" i="24"/>
  <c r="AJ1478" i="24"/>
  <c r="AI1478" i="24"/>
  <c r="AH1478" i="24"/>
  <c r="AG1478" i="24"/>
  <c r="Q1478" i="24"/>
  <c r="AP1477" i="24"/>
  <c r="AJ1477" i="24"/>
  <c r="AI1477" i="24"/>
  <c r="AH1477" i="24"/>
  <c r="AG1477" i="24"/>
  <c r="Q1477" i="24"/>
  <c r="AP1476" i="24"/>
  <c r="AJ1476" i="24"/>
  <c r="AI1476" i="24"/>
  <c r="AH1476" i="24"/>
  <c r="AG1476" i="24"/>
  <c r="Q1476" i="24"/>
  <c r="AP1475" i="24"/>
  <c r="AJ1475" i="24"/>
  <c r="AI1475" i="24"/>
  <c r="AH1475" i="24"/>
  <c r="AG1475" i="24"/>
  <c r="Q1475" i="24"/>
  <c r="AR34" i="31" s="1"/>
  <c r="AP1474" i="24"/>
  <c r="AJ1474" i="24"/>
  <c r="AI1474" i="24"/>
  <c r="AH1474" i="24"/>
  <c r="AG1474" i="24"/>
  <c r="Q1474" i="24"/>
  <c r="AP1473" i="24"/>
  <c r="AJ1473" i="24"/>
  <c r="AI1473" i="24"/>
  <c r="AG1473" i="24"/>
  <c r="Q1473" i="24"/>
  <c r="R34" i="31" s="1"/>
  <c r="AP1472" i="24"/>
  <c r="AJ1472" i="24"/>
  <c r="AI1472" i="24"/>
  <c r="AH1472" i="24"/>
  <c r="AG1472" i="24"/>
  <c r="Q1472" i="24"/>
  <c r="X34" i="31" s="1"/>
  <c r="AP1471" i="24"/>
  <c r="AJ1471" i="24"/>
  <c r="AI1471" i="24"/>
  <c r="AG1471" i="24"/>
  <c r="Q1471" i="24"/>
  <c r="AP1470" i="24"/>
  <c r="AJ1470" i="24"/>
  <c r="AI1470" i="24"/>
  <c r="AH1470" i="24"/>
  <c r="AG1470" i="24"/>
  <c r="Q1470" i="24"/>
  <c r="AP1469" i="24"/>
  <c r="AP1468" i="24"/>
  <c r="AP1467" i="24"/>
  <c r="AP1466" i="24"/>
  <c r="AP1407" i="24"/>
  <c r="AP1406" i="24"/>
  <c r="AP1405" i="24"/>
  <c r="AP1404" i="24"/>
  <c r="AP1403" i="24"/>
  <c r="AP1399" i="24"/>
  <c r="AP1398" i="24"/>
  <c r="AP1397" i="24"/>
  <c r="AP1396" i="24"/>
  <c r="AP1390" i="24"/>
  <c r="AP1389" i="24"/>
  <c r="AP1388" i="24"/>
  <c r="AP1387" i="24"/>
  <c r="AP1383" i="24"/>
  <c r="AP1382" i="24"/>
  <c r="AP1381" i="24"/>
  <c r="AP1379" i="24"/>
  <c r="AP1378" i="24"/>
  <c r="AP1377" i="24"/>
  <c r="AP1376" i="24"/>
  <c r="AP1375" i="24"/>
  <c r="AP1374" i="24"/>
  <c r="AP1372" i="24"/>
  <c r="AP1371" i="24"/>
  <c r="AP1370" i="24"/>
  <c r="AP1369" i="24"/>
  <c r="AP1368" i="24"/>
  <c r="AP1367" i="24"/>
  <c r="AP1366" i="24"/>
  <c r="AP1365" i="24"/>
  <c r="AP1364" i="24"/>
  <c r="AP1363" i="24"/>
  <c r="AP1362" i="24"/>
  <c r="AP1361" i="24"/>
  <c r="AP1360" i="24"/>
  <c r="AP1359" i="24"/>
  <c r="AP1358" i="24"/>
  <c r="AP1357" i="24"/>
  <c r="AP1356" i="24"/>
  <c r="AP1355" i="24"/>
  <c r="AP1354" i="24"/>
  <c r="AP1353" i="24"/>
  <c r="AP1352" i="24"/>
  <c r="AP1351" i="24"/>
  <c r="AP1350" i="24"/>
  <c r="AP1349" i="24"/>
  <c r="AP1348" i="24"/>
  <c r="AP1347" i="24"/>
  <c r="AP1346" i="24"/>
  <c r="AP1345" i="24"/>
  <c r="AP1344" i="24"/>
  <c r="AP1343" i="24"/>
  <c r="AP1342" i="24"/>
  <c r="AP1341" i="24"/>
  <c r="AP1340" i="24"/>
  <c r="AP1339" i="24"/>
  <c r="AP1338" i="24"/>
  <c r="AP1337" i="24"/>
  <c r="AP1332" i="24"/>
  <c r="AP1331" i="24"/>
  <c r="AP1330" i="24"/>
  <c r="AP1325" i="24"/>
  <c r="AP1324" i="24"/>
  <c r="AP1323" i="24"/>
  <c r="AP1322" i="24"/>
  <c r="AP1321" i="24"/>
  <c r="AP1320" i="24"/>
  <c r="AP1319" i="24"/>
  <c r="AP1318" i="24"/>
  <c r="AP1317" i="24"/>
  <c r="AP1316" i="24"/>
  <c r="AP1310" i="24"/>
  <c r="AP1309" i="24"/>
  <c r="AP1303" i="24"/>
  <c r="AP1302" i="24"/>
  <c r="AP1301" i="24"/>
  <c r="AP1300" i="24"/>
  <c r="AP1299" i="24"/>
  <c r="AP1297" i="24"/>
  <c r="AP1296" i="24"/>
  <c r="AP1295" i="24"/>
  <c r="AP1294" i="24"/>
  <c r="AP1293" i="24"/>
  <c r="AP1292" i="24"/>
  <c r="AP1287" i="24"/>
  <c r="AP1286" i="24"/>
  <c r="AP1285" i="24"/>
  <c r="AP1280" i="24"/>
  <c r="AP1279" i="24"/>
  <c r="AP1278" i="24"/>
  <c r="AP1277" i="24"/>
  <c r="AP1276" i="24"/>
  <c r="AP1275" i="24"/>
  <c r="AP1274" i="24"/>
  <c r="AP1273" i="24"/>
  <c r="AP1272" i="24"/>
  <c r="AP1271" i="24"/>
  <c r="AP1270" i="24"/>
  <c r="AP1264" i="24"/>
  <c r="AP1263" i="24"/>
  <c r="AP1257" i="24"/>
  <c r="AP1256" i="24"/>
  <c r="AP1255" i="24"/>
  <c r="AP1254" i="24"/>
  <c r="AP1253" i="24"/>
  <c r="AP1252" i="24"/>
  <c r="AP1251" i="24"/>
  <c r="AP1250" i="24"/>
  <c r="AP1245" i="24"/>
  <c r="AP1244" i="24"/>
  <c r="AP1243" i="24"/>
  <c r="AP1238" i="24"/>
  <c r="AP1237" i="24"/>
  <c r="AP1236" i="24"/>
  <c r="AP1235" i="24"/>
  <c r="AP1231" i="24"/>
  <c r="AP1230" i="24"/>
  <c r="AP1229" i="24"/>
  <c r="AP1228" i="24"/>
  <c r="AP1224" i="24"/>
  <c r="AP1223" i="24"/>
  <c r="AP1222" i="24"/>
  <c r="AP1221" i="24"/>
  <c r="AP1220" i="24"/>
  <c r="AP1219" i="24"/>
  <c r="AP1218" i="24"/>
  <c r="AP1217" i="24"/>
  <c r="AP1213" i="24"/>
  <c r="AP1212" i="24"/>
  <c r="AP1211" i="24"/>
  <c r="AP1210" i="24"/>
  <c r="AP1207" i="24"/>
  <c r="AP1204" i="24"/>
  <c r="AP1203" i="24"/>
  <c r="AP1202" i="24"/>
  <c r="AP1201" i="24"/>
  <c r="AP1197" i="24"/>
  <c r="AP1196" i="24"/>
  <c r="AP1195" i="24"/>
  <c r="AP1191" i="24"/>
  <c r="AP1190" i="24"/>
  <c r="AP1189" i="24"/>
  <c r="AP1186" i="24"/>
  <c r="AP1185" i="24"/>
  <c r="AP1184" i="24"/>
  <c r="AP1183" i="24"/>
  <c r="AP1180" i="24"/>
  <c r="AP1179" i="24"/>
  <c r="AP1178" i="24"/>
  <c r="AP1177" i="24"/>
  <c r="AP1175" i="24"/>
  <c r="AP1174" i="24"/>
  <c r="AP1173" i="24"/>
  <c r="AP1172" i="24"/>
  <c r="AP1171" i="24"/>
  <c r="AP1169" i="24"/>
  <c r="AP1168" i="24"/>
  <c r="AP1167" i="24"/>
  <c r="AP1166" i="24"/>
  <c r="AP1165" i="24"/>
  <c r="AP1164" i="24"/>
  <c r="AP1163" i="24"/>
  <c r="AP1162" i="24"/>
  <c r="AP1161" i="24"/>
  <c r="AP1160" i="24"/>
  <c r="AP1159" i="24"/>
  <c r="AP1156" i="24"/>
  <c r="AP1155" i="24"/>
  <c r="AP1154" i="24"/>
  <c r="AP1153" i="24"/>
  <c r="AP1150" i="24"/>
  <c r="AP1149" i="24"/>
  <c r="AP1148" i="24"/>
  <c r="AP1147" i="24"/>
  <c r="AP1146" i="24"/>
  <c r="AP1145" i="24"/>
  <c r="AP1144" i="24"/>
  <c r="AP1139" i="24"/>
  <c r="AP1138" i="24"/>
  <c r="AP1133" i="24"/>
  <c r="AP1132" i="24"/>
  <c r="AP1131" i="24"/>
  <c r="AP1130" i="24"/>
  <c r="AP1129" i="24"/>
  <c r="AP1128" i="24"/>
  <c r="AP1127" i="24"/>
  <c r="AP1126" i="24"/>
  <c r="AP1125" i="24"/>
  <c r="AP1122" i="24"/>
  <c r="AP1121" i="24"/>
  <c r="AP1120" i="24"/>
  <c r="AP1119" i="24"/>
  <c r="AP1116" i="24"/>
  <c r="AP1115" i="24"/>
  <c r="AP1114" i="24"/>
  <c r="AP1113" i="24"/>
  <c r="AP1112" i="24"/>
  <c r="AP1111" i="24"/>
  <c r="AP1110" i="24"/>
  <c r="AP1106" i="24"/>
  <c r="AP1105" i="24"/>
  <c r="AP1104" i="24"/>
  <c r="AP1100" i="24"/>
  <c r="AP1099" i="24"/>
  <c r="AP1098" i="24"/>
  <c r="AP1097" i="24"/>
  <c r="AP1096" i="24"/>
  <c r="AP1095" i="24"/>
  <c r="AP1092" i="24"/>
  <c r="AP1091" i="24"/>
  <c r="AP1090" i="24"/>
  <c r="AP1089" i="24"/>
  <c r="AP1086" i="24"/>
  <c r="AP1085" i="24"/>
  <c r="AP1084" i="24"/>
  <c r="AP1083" i="24"/>
  <c r="AP1082" i="24"/>
  <c r="AP1081" i="24"/>
  <c r="AP1080" i="24"/>
  <c r="AP1079" i="24"/>
  <c r="AP1078" i="24"/>
  <c r="AP1077" i="24"/>
  <c r="AP1076" i="24"/>
  <c r="AP1075" i="24"/>
  <c r="AP1074" i="24"/>
  <c r="AP1073" i="24"/>
  <c r="AP1072" i="24"/>
  <c r="AP1071" i="24"/>
  <c r="AP1070" i="24"/>
  <c r="AP1069" i="24"/>
  <c r="AP1068" i="24"/>
  <c r="AP1067" i="24"/>
  <c r="AP1066" i="24"/>
  <c r="AP1065" i="24"/>
  <c r="AP987" i="24"/>
  <c r="AP986" i="24"/>
  <c r="AP985" i="24"/>
  <c r="AP984" i="24"/>
  <c r="AP983" i="24"/>
  <c r="AP982" i="24"/>
  <c r="AP927" i="24"/>
  <c r="AP926" i="24"/>
  <c r="AP919" i="24"/>
  <c r="AP918" i="24"/>
  <c r="AP917" i="24"/>
  <c r="AP912" i="24"/>
  <c r="AP911" i="24"/>
  <c r="AP910" i="24"/>
  <c r="AP909" i="24"/>
  <c r="AP908" i="24"/>
  <c r="AP907" i="24"/>
  <c r="AP902" i="24"/>
  <c r="AP901" i="24"/>
  <c r="AP898" i="24"/>
  <c r="AP897" i="24"/>
  <c r="AP896" i="24"/>
  <c r="AP895" i="24"/>
  <c r="AP894" i="24"/>
  <c r="AP893" i="24"/>
  <c r="AP892" i="24"/>
  <c r="AP891" i="24"/>
  <c r="AP890" i="24"/>
  <c r="AP889" i="24"/>
  <c r="AP887" i="24"/>
  <c r="AP885" i="24"/>
  <c r="AP883" i="24"/>
  <c r="AP877" i="24"/>
  <c r="AP876" i="24"/>
  <c r="AP875" i="24"/>
  <c r="AP874" i="24"/>
  <c r="AP873" i="24"/>
  <c r="AP872" i="24"/>
  <c r="AP871" i="24"/>
  <c r="AP870" i="24"/>
  <c r="AP829" i="24"/>
  <c r="AP828" i="24"/>
  <c r="AP827" i="24"/>
  <c r="AP826" i="24"/>
  <c r="AP825" i="24"/>
  <c r="AP824" i="24"/>
  <c r="AP823" i="24"/>
  <c r="AP822" i="24"/>
  <c r="AP821" i="24"/>
  <c r="AP820" i="24"/>
  <c r="AP819" i="24"/>
  <c r="AP818" i="24"/>
  <c r="AP817" i="24"/>
  <c r="AP816" i="24"/>
  <c r="AP815" i="24"/>
  <c r="AP814" i="24"/>
  <c r="AP805" i="24"/>
  <c r="AP804" i="24"/>
  <c r="AP803" i="24"/>
  <c r="AP802" i="24"/>
  <c r="AP801" i="24"/>
  <c r="AP800" i="24"/>
  <c r="AP799" i="24"/>
  <c r="AP798" i="24"/>
  <c r="AP797" i="24"/>
  <c r="AP796" i="24"/>
  <c r="AP795" i="24"/>
  <c r="AP782" i="24"/>
  <c r="AP781" i="24"/>
  <c r="AP780" i="24"/>
  <c r="AP779" i="24"/>
  <c r="AP778" i="24"/>
  <c r="AP777" i="24"/>
  <c r="AP771" i="24"/>
  <c r="AP770" i="24"/>
  <c r="AP769" i="24"/>
  <c r="AP761" i="24"/>
  <c r="AP760" i="24"/>
  <c r="AP759" i="24"/>
  <c r="AP753" i="24"/>
  <c r="AP752" i="24"/>
  <c r="AP751" i="24"/>
  <c r="AP744" i="24"/>
  <c r="AP743" i="24"/>
  <c r="AP742" i="24"/>
  <c r="AP741" i="24"/>
  <c r="AP740" i="24"/>
  <c r="AP739" i="24"/>
  <c r="AP738" i="24"/>
  <c r="AP737" i="24"/>
  <c r="AP736" i="24"/>
  <c r="AP735" i="24"/>
  <c r="AP734" i="24"/>
  <c r="AP733" i="24"/>
  <c r="AP732" i="24"/>
  <c r="AP731" i="24"/>
  <c r="AP719" i="24"/>
  <c r="AP718" i="24"/>
  <c r="AP716" i="24"/>
  <c r="AP715" i="24"/>
  <c r="AP714" i="24"/>
  <c r="AP712" i="24"/>
  <c r="AP707" i="24"/>
  <c r="AP706" i="24"/>
  <c r="AP704" i="24"/>
  <c r="AP703" i="24"/>
  <c r="AP702" i="24"/>
  <c r="AP701" i="24"/>
  <c r="AP700" i="24"/>
  <c r="AP698" i="24"/>
  <c r="AP697" i="24"/>
  <c r="AP695" i="24"/>
  <c r="AP692" i="24"/>
  <c r="AP690" i="24"/>
  <c r="AP689" i="24"/>
  <c r="AP686" i="24"/>
  <c r="AP685" i="24"/>
  <c r="AP684" i="24"/>
  <c r="AP682" i="24"/>
  <c r="AP681" i="24"/>
  <c r="AP680" i="24"/>
  <c r="AP679" i="24"/>
  <c r="AP678" i="24"/>
  <c r="AP674" i="24"/>
  <c r="AP673" i="24"/>
  <c r="AP669" i="24"/>
  <c r="AP668" i="24"/>
  <c r="AP667" i="24"/>
  <c r="AP666" i="24"/>
  <c r="AP662" i="24"/>
  <c r="AP661" i="24"/>
  <c r="AP659" i="24"/>
  <c r="AP658" i="24"/>
  <c r="AP656" i="24"/>
  <c r="AP655" i="24"/>
  <c r="AP654" i="24"/>
  <c r="AP653" i="24"/>
  <c r="AP651" i="24"/>
  <c r="AP650" i="24"/>
  <c r="AP649" i="24"/>
  <c r="AP560" i="24"/>
  <c r="AP559" i="24"/>
  <c r="AP557" i="24"/>
  <c r="AP553" i="24"/>
  <c r="AP552" i="24"/>
  <c r="AP550" i="24"/>
  <c r="AP549" i="24"/>
  <c r="AP547" i="24"/>
  <c r="AP520" i="24"/>
  <c r="AP519" i="24"/>
  <c r="AP517" i="24"/>
  <c r="AP511" i="24"/>
  <c r="AP510" i="24"/>
  <c r="AP500" i="24"/>
  <c r="AP499" i="24"/>
  <c r="AP498" i="24"/>
  <c r="AP496" i="24"/>
  <c r="AP494" i="24"/>
  <c r="AP493" i="24"/>
  <c r="AP492" i="24"/>
  <c r="AP491" i="24"/>
  <c r="AP479" i="24"/>
  <c r="AP477" i="24"/>
  <c r="AP475" i="24"/>
  <c r="AP470" i="24"/>
  <c r="AP468" i="24"/>
  <c r="AP467" i="24"/>
  <c r="AP465" i="24"/>
  <c r="AP464" i="24"/>
  <c r="AP462" i="24"/>
  <c r="AP461" i="24"/>
  <c r="AP392" i="24"/>
  <c r="AP390" i="24"/>
  <c r="AP387" i="24"/>
  <c r="AP385" i="24"/>
  <c r="AP383" i="24"/>
  <c r="AP380" i="24"/>
  <c r="AP378" i="24"/>
  <c r="AP375" i="24"/>
  <c r="AP372" i="24"/>
  <c r="AP370" i="24"/>
  <c r="AP366" i="24"/>
  <c r="AP364" i="24"/>
  <c r="AP360" i="24"/>
  <c r="AP359" i="24"/>
  <c r="AP330" i="24"/>
  <c r="AP329" i="24"/>
  <c r="AP328" i="24"/>
  <c r="AP326" i="24"/>
  <c r="AP325" i="24"/>
  <c r="AP323" i="24"/>
  <c r="AP322" i="24"/>
  <c r="AP320" i="24"/>
  <c r="AP319" i="24"/>
  <c r="AP313" i="24"/>
  <c r="AP311" i="24"/>
  <c r="AP309" i="24"/>
  <c r="AP308" i="24"/>
  <c r="AP307" i="24"/>
  <c r="AP305" i="24"/>
  <c r="AP304" i="24"/>
  <c r="AP298" i="24"/>
  <c r="AP292" i="24"/>
  <c r="AP291" i="24"/>
  <c r="AP286" i="24"/>
  <c r="AP285" i="24"/>
  <c r="AP279" i="24"/>
  <c r="AP274" i="24"/>
  <c r="AP273" i="24"/>
  <c r="AP271" i="24"/>
  <c r="AP270" i="24"/>
  <c r="AP268" i="24"/>
  <c r="AP266" i="24"/>
  <c r="AP258" i="24"/>
  <c r="AP253" i="24"/>
  <c r="AP252" i="24"/>
  <c r="AP251" i="24"/>
  <c r="AP249" i="24"/>
  <c r="AP248" i="24"/>
  <c r="AP246" i="24"/>
  <c r="AP244" i="24"/>
  <c r="AP243" i="24"/>
  <c r="AP241" i="24"/>
  <c r="AP240" i="24"/>
  <c r="AP226" i="24"/>
  <c r="AP225" i="24"/>
  <c r="AP221" i="24"/>
  <c r="AP220" i="24"/>
  <c r="AP219" i="24"/>
  <c r="AP218" i="24"/>
  <c r="AP185" i="24"/>
  <c r="AP184" i="24"/>
  <c r="AP182" i="24"/>
  <c r="AP143" i="24"/>
  <c r="AP141" i="24"/>
  <c r="AP140" i="24"/>
  <c r="AP139" i="24"/>
  <c r="AP138" i="24"/>
  <c r="AP136" i="24"/>
  <c r="AP135" i="24"/>
  <c r="AP134" i="24"/>
  <c r="AP133" i="24"/>
  <c r="AP131" i="24"/>
  <c r="AP129" i="24"/>
  <c r="AP127" i="24"/>
  <c r="AP126" i="24"/>
  <c r="AP124" i="24"/>
  <c r="AP123" i="24"/>
  <c r="AP122" i="24"/>
  <c r="AP119" i="24"/>
  <c r="AP118" i="24"/>
  <c r="AP116" i="24"/>
  <c r="AP114" i="24"/>
  <c r="AP112" i="24"/>
  <c r="AP94" i="24"/>
  <c r="AP92" i="24"/>
  <c r="AP91" i="24"/>
  <c r="AP90" i="24"/>
  <c r="AP89" i="24"/>
  <c r="AP88" i="24"/>
  <c r="AP87" i="24"/>
  <c r="AP86" i="24"/>
  <c r="AP85" i="24"/>
  <c r="AP80" i="24"/>
  <c r="AP79" i="24"/>
  <c r="AP77" i="24"/>
  <c r="AP76" i="24"/>
  <c r="AP75" i="24"/>
  <c r="AP72" i="24"/>
  <c r="AP43" i="24"/>
  <c r="AP41" i="24"/>
  <c r="AP39" i="24"/>
  <c r="AP37" i="24"/>
  <c r="AP36" i="24"/>
  <c r="AP35" i="24"/>
  <c r="AP32" i="24"/>
  <c r="AP31" i="24"/>
  <c r="AP29" i="24"/>
  <c r="AP28" i="24"/>
  <c r="AP27" i="24"/>
  <c r="AP26" i="24"/>
  <c r="AP23" i="24"/>
  <c r="AP22" i="24"/>
  <c r="AP16" i="24"/>
  <c r="AP15" i="24"/>
  <c r="AP14" i="24"/>
  <c r="AP13" i="24"/>
  <c r="AP12" i="24"/>
  <c r="AG8" i="24"/>
  <c r="AI8" i="24"/>
  <c r="AJ8" i="24"/>
  <c r="AG9" i="24"/>
  <c r="AI9" i="24"/>
  <c r="AJ9" i="24"/>
  <c r="AG10" i="24"/>
  <c r="AH10" i="24"/>
  <c r="AI10" i="24"/>
  <c r="AJ10" i="24"/>
  <c r="AG11" i="24"/>
  <c r="AH11" i="24"/>
  <c r="AI11" i="24"/>
  <c r="AJ11" i="24"/>
  <c r="AG12" i="24"/>
  <c r="AH12" i="24"/>
  <c r="AI12" i="24"/>
  <c r="AJ12" i="24"/>
  <c r="AG13" i="24"/>
  <c r="AH13" i="24"/>
  <c r="AI13" i="24"/>
  <c r="AJ13" i="24"/>
  <c r="AG14" i="24"/>
  <c r="AH14" i="24"/>
  <c r="AI14" i="24"/>
  <c r="AJ14" i="24"/>
  <c r="AG15" i="24"/>
  <c r="AI15" i="24"/>
  <c r="AJ15" i="24"/>
  <c r="AG16" i="24"/>
  <c r="AH16" i="24"/>
  <c r="AI16" i="24"/>
  <c r="AJ16" i="24"/>
  <c r="AG17" i="24"/>
  <c r="AH17" i="24"/>
  <c r="AI17" i="24"/>
  <c r="AJ17" i="24"/>
  <c r="AG18" i="24"/>
  <c r="AH18" i="24"/>
  <c r="AI18" i="24"/>
  <c r="AJ18" i="24"/>
  <c r="AG19" i="24"/>
  <c r="AH19" i="24"/>
  <c r="AI19" i="24"/>
  <c r="AJ19" i="24"/>
  <c r="AG20" i="24"/>
  <c r="AH20" i="24"/>
  <c r="AI20" i="24"/>
  <c r="AG21" i="24"/>
  <c r="AH21" i="24"/>
  <c r="AI21" i="24"/>
  <c r="AJ21" i="24"/>
  <c r="AG22" i="24"/>
  <c r="AH22" i="24"/>
  <c r="AI22" i="24"/>
  <c r="AG23" i="24"/>
  <c r="AH23" i="24"/>
  <c r="AI23" i="24"/>
  <c r="AJ23" i="24"/>
  <c r="AG24" i="24"/>
  <c r="AH24" i="24"/>
  <c r="AI24" i="24"/>
  <c r="AJ24" i="24"/>
  <c r="AG25" i="24"/>
  <c r="AH25" i="24"/>
  <c r="AI25" i="24"/>
  <c r="AJ25" i="24"/>
  <c r="AG26" i="24"/>
  <c r="AI26" i="24"/>
  <c r="AJ26" i="24"/>
  <c r="AG27" i="24"/>
  <c r="AI27" i="24"/>
  <c r="AJ27" i="24"/>
  <c r="AG28" i="24"/>
  <c r="AH28" i="24"/>
  <c r="AI28" i="24"/>
  <c r="AJ28" i="24"/>
  <c r="AG29" i="24"/>
  <c r="AH29" i="24"/>
  <c r="AI29" i="24"/>
  <c r="AJ29" i="24"/>
  <c r="AG30" i="24"/>
  <c r="AH30" i="24"/>
  <c r="AI30" i="24"/>
  <c r="AJ30" i="24"/>
  <c r="AG31" i="24"/>
  <c r="AH31" i="24"/>
  <c r="AI31" i="24"/>
  <c r="AJ31" i="24"/>
  <c r="AG32" i="24"/>
  <c r="AH32" i="24"/>
  <c r="AI32" i="24"/>
  <c r="AJ32" i="24"/>
  <c r="AG33" i="24"/>
  <c r="AH33" i="24"/>
  <c r="AI33" i="24"/>
  <c r="AJ33" i="24"/>
  <c r="AG34" i="24"/>
  <c r="AH34" i="24"/>
  <c r="AI34" i="24"/>
  <c r="AJ34" i="24"/>
  <c r="AG35" i="24"/>
  <c r="AH35" i="24"/>
  <c r="AI35" i="24"/>
  <c r="AJ35" i="24"/>
  <c r="AG36" i="24"/>
  <c r="AH36" i="24"/>
  <c r="AI36" i="24"/>
  <c r="AG37" i="24"/>
  <c r="AH37" i="24"/>
  <c r="AI37" i="24"/>
  <c r="AJ37" i="24"/>
  <c r="AG38" i="24"/>
  <c r="AH38" i="24"/>
  <c r="AI38" i="24"/>
  <c r="AG39" i="24"/>
  <c r="AH39" i="24"/>
  <c r="AI39" i="24"/>
  <c r="AJ39" i="24"/>
  <c r="AG40" i="24"/>
  <c r="AH40" i="24"/>
  <c r="AI40" i="24"/>
  <c r="AJ40" i="24"/>
  <c r="AG41" i="24"/>
  <c r="AI41" i="24"/>
  <c r="AG42" i="24"/>
  <c r="AI42" i="24"/>
  <c r="AJ42" i="24"/>
  <c r="AG43" i="24"/>
  <c r="AH43" i="24"/>
  <c r="AI43" i="24"/>
  <c r="AJ43" i="24"/>
  <c r="AG44" i="24"/>
  <c r="AH44" i="24"/>
  <c r="AI44" i="24"/>
  <c r="AJ44" i="24"/>
  <c r="AG45" i="24"/>
  <c r="AH45" i="24"/>
  <c r="AI45" i="24"/>
  <c r="AJ45" i="24"/>
  <c r="AG46" i="24"/>
  <c r="AH46" i="24"/>
  <c r="AI46" i="24"/>
  <c r="AJ46" i="24"/>
  <c r="AG47" i="24"/>
  <c r="AH47" i="24"/>
  <c r="AI47" i="24"/>
  <c r="AJ47" i="24"/>
  <c r="AG48" i="24"/>
  <c r="AH48" i="24"/>
  <c r="AI48" i="24"/>
  <c r="AJ48" i="24"/>
  <c r="AG49" i="24"/>
  <c r="AH49" i="24"/>
  <c r="AI49" i="24"/>
  <c r="AJ49" i="24"/>
  <c r="AG50" i="24"/>
  <c r="AH50" i="24"/>
  <c r="AI50" i="24"/>
  <c r="AJ50" i="24"/>
  <c r="AG51" i="24"/>
  <c r="AH51" i="24"/>
  <c r="AI51" i="24"/>
  <c r="AJ51" i="24"/>
  <c r="AG52" i="24"/>
  <c r="AH52" i="24"/>
  <c r="AI52" i="24"/>
  <c r="AG53" i="24"/>
  <c r="AH53" i="24"/>
  <c r="AI53" i="24"/>
  <c r="AJ53" i="24"/>
  <c r="AG54" i="24"/>
  <c r="AH54" i="24"/>
  <c r="AI54" i="24"/>
  <c r="AG55" i="24"/>
  <c r="AH55" i="24"/>
  <c r="AI55" i="24"/>
  <c r="AJ55" i="24"/>
  <c r="AG56" i="24"/>
  <c r="AH56" i="24"/>
  <c r="AI56" i="24"/>
  <c r="AJ56" i="24"/>
  <c r="AG57" i="24"/>
  <c r="AH57" i="24"/>
  <c r="AI57" i="24"/>
  <c r="AJ57" i="24"/>
  <c r="AG58" i="24"/>
  <c r="AH58" i="24"/>
  <c r="AI58" i="24"/>
  <c r="AJ58" i="24"/>
  <c r="AG59" i="24"/>
  <c r="AH59" i="24"/>
  <c r="AI59" i="24"/>
  <c r="AJ59" i="24"/>
  <c r="AG60" i="24"/>
  <c r="AH60" i="24"/>
  <c r="AI60" i="24"/>
  <c r="AJ60" i="24"/>
  <c r="AG61" i="24"/>
  <c r="AH61" i="24"/>
  <c r="AI61" i="24"/>
  <c r="AJ61" i="24"/>
  <c r="AG62" i="24"/>
  <c r="AH62" i="24"/>
  <c r="AI62" i="24"/>
  <c r="AJ62" i="24"/>
  <c r="AG63" i="24"/>
  <c r="AH63" i="24"/>
  <c r="AI63" i="24"/>
  <c r="AJ63" i="24"/>
  <c r="AG64" i="24"/>
  <c r="AH64" i="24"/>
  <c r="AI64" i="24"/>
  <c r="AJ64" i="24"/>
  <c r="AG65" i="24"/>
  <c r="AH65" i="24"/>
  <c r="AI65" i="24"/>
  <c r="AJ65" i="24"/>
  <c r="AG66" i="24"/>
  <c r="AH66" i="24"/>
  <c r="AI66" i="24"/>
  <c r="AJ66" i="24"/>
  <c r="AG67" i="24"/>
  <c r="AH67" i="24"/>
  <c r="AI67" i="24"/>
  <c r="AJ67" i="24"/>
  <c r="AG68" i="24"/>
  <c r="AI68" i="24"/>
  <c r="AJ68" i="24"/>
  <c r="AG69" i="24"/>
  <c r="AI69" i="24"/>
  <c r="AJ69" i="24"/>
  <c r="AG70" i="24"/>
  <c r="AI70" i="24"/>
  <c r="AJ70" i="24"/>
  <c r="AG71" i="24"/>
  <c r="AI71" i="24"/>
  <c r="AJ71" i="24"/>
  <c r="AG72" i="24"/>
  <c r="AI72" i="24"/>
  <c r="AJ72" i="24"/>
  <c r="AG73" i="24"/>
  <c r="AI73" i="24"/>
  <c r="AG74" i="24"/>
  <c r="AI74" i="24"/>
  <c r="AJ74" i="24"/>
  <c r="AG75" i="24"/>
  <c r="AI75" i="24"/>
  <c r="AJ75" i="24"/>
  <c r="AG76" i="24"/>
  <c r="AI76" i="24"/>
  <c r="AJ76" i="24"/>
  <c r="AG77" i="24"/>
  <c r="AI77" i="24"/>
  <c r="AJ77" i="24"/>
  <c r="AG78" i="24"/>
  <c r="AI78" i="24"/>
  <c r="AJ78" i="24"/>
  <c r="AG79" i="24"/>
  <c r="AH79" i="24"/>
  <c r="AI79" i="24"/>
  <c r="AJ79" i="24"/>
  <c r="AG80" i="24"/>
  <c r="AH80" i="24"/>
  <c r="AI80" i="24"/>
  <c r="AJ80" i="24"/>
  <c r="AG81" i="24"/>
  <c r="AH81" i="24"/>
  <c r="AI81" i="24"/>
  <c r="AJ81" i="24"/>
  <c r="AG82" i="24"/>
  <c r="AH82" i="24"/>
  <c r="AI82" i="24"/>
  <c r="AJ82" i="24"/>
  <c r="AG83" i="24"/>
  <c r="AH83" i="24"/>
  <c r="AI83" i="24"/>
  <c r="AJ83" i="24"/>
  <c r="AG84" i="24"/>
  <c r="AI84" i="24"/>
  <c r="AJ84" i="24"/>
  <c r="AG85" i="24"/>
  <c r="AI85" i="24"/>
  <c r="AJ85" i="24"/>
  <c r="AG86" i="24"/>
  <c r="AI86" i="24"/>
  <c r="AJ86" i="24"/>
  <c r="AG87" i="24"/>
  <c r="AI87" i="24"/>
  <c r="AJ87" i="24"/>
  <c r="AG88" i="24"/>
  <c r="AI88" i="24"/>
  <c r="AG89" i="24"/>
  <c r="AH89" i="24"/>
  <c r="AI89" i="24"/>
  <c r="AJ89" i="24"/>
  <c r="AG90" i="24"/>
  <c r="AH90" i="24"/>
  <c r="AI90" i="24"/>
  <c r="AJ90" i="24"/>
  <c r="AG91" i="24"/>
  <c r="AH91" i="24"/>
  <c r="AI91" i="24"/>
  <c r="AJ91" i="24"/>
  <c r="AG92" i="24"/>
  <c r="AH92" i="24"/>
  <c r="AI92" i="24"/>
  <c r="AG93" i="24"/>
  <c r="AH93" i="24"/>
  <c r="AI93" i="24"/>
  <c r="AJ93" i="24"/>
  <c r="AG94" i="24"/>
  <c r="AH94" i="24"/>
  <c r="AI94" i="24"/>
  <c r="AJ94" i="24"/>
  <c r="AG95" i="24"/>
  <c r="AH95" i="24"/>
  <c r="AI95" i="24"/>
  <c r="AG96" i="24"/>
  <c r="AH96" i="24"/>
  <c r="AI96" i="24"/>
  <c r="AJ96" i="24"/>
  <c r="AG97" i="24"/>
  <c r="AH97" i="24"/>
  <c r="AI97" i="24"/>
  <c r="AJ97" i="24"/>
  <c r="AG98" i="24"/>
  <c r="AH98" i="24"/>
  <c r="AI98" i="24"/>
  <c r="AJ98" i="24"/>
  <c r="AG99" i="24"/>
  <c r="AH99" i="24"/>
  <c r="AI99" i="24"/>
  <c r="AJ99" i="24"/>
  <c r="AG100" i="24"/>
  <c r="AI100" i="24"/>
  <c r="AJ100" i="24"/>
  <c r="AG101" i="24"/>
  <c r="AI101" i="24"/>
  <c r="AJ101" i="24"/>
  <c r="AG102" i="24"/>
  <c r="AI102" i="24"/>
  <c r="AJ102" i="24"/>
  <c r="AG103" i="24"/>
  <c r="AI103" i="24"/>
  <c r="AJ103" i="24"/>
  <c r="AG104" i="24"/>
  <c r="AI104" i="24"/>
  <c r="AJ104" i="24"/>
  <c r="AG105" i="24"/>
  <c r="AH105" i="24"/>
  <c r="AI105" i="24"/>
  <c r="AJ105" i="24"/>
  <c r="AG106" i="24"/>
  <c r="AH106" i="24"/>
  <c r="AI106" i="24"/>
  <c r="AJ106" i="24"/>
  <c r="AG107" i="24"/>
  <c r="AH107" i="24"/>
  <c r="AI107" i="24"/>
  <c r="AJ107" i="24"/>
  <c r="AG108" i="24"/>
  <c r="AH108" i="24"/>
  <c r="AI108" i="24"/>
  <c r="AJ108" i="24"/>
  <c r="AG109" i="24"/>
  <c r="AH109" i="24"/>
  <c r="AI109" i="24"/>
  <c r="AJ109" i="24"/>
  <c r="AG110" i="24"/>
  <c r="AI110" i="24"/>
  <c r="AJ110" i="24"/>
  <c r="AG111" i="24"/>
  <c r="AI111" i="24"/>
  <c r="AJ111" i="24"/>
  <c r="AG112" i="24"/>
  <c r="AI112" i="24"/>
  <c r="AG113" i="24"/>
  <c r="AH113" i="24"/>
  <c r="AI113" i="24"/>
  <c r="AJ113" i="24"/>
  <c r="AG114" i="24"/>
  <c r="AH114" i="24"/>
  <c r="AI114" i="24"/>
  <c r="AJ114" i="24"/>
  <c r="AG115" i="24"/>
  <c r="AH115" i="24"/>
  <c r="AI115" i="24"/>
  <c r="AJ115" i="24"/>
  <c r="AG116" i="24"/>
  <c r="AH116" i="24"/>
  <c r="AI116" i="24"/>
  <c r="AG117" i="24"/>
  <c r="AH117" i="24"/>
  <c r="AI117" i="24"/>
  <c r="AJ117" i="24"/>
  <c r="AG118" i="24"/>
  <c r="AH118" i="24"/>
  <c r="AI118" i="24"/>
  <c r="AG119" i="24"/>
  <c r="AH119" i="24"/>
  <c r="AI119" i="24"/>
  <c r="AJ119" i="24"/>
  <c r="AG120" i="24"/>
  <c r="AH120" i="24"/>
  <c r="AI120" i="24"/>
  <c r="AJ120" i="24"/>
  <c r="AG121" i="24"/>
  <c r="AH121" i="24"/>
  <c r="AI121" i="24"/>
  <c r="AJ121" i="24"/>
  <c r="AG122" i="24"/>
  <c r="AI122" i="24"/>
  <c r="AJ122" i="24"/>
  <c r="AG123" i="24"/>
  <c r="AI123" i="24"/>
  <c r="AJ123" i="24"/>
  <c r="AG124" i="24"/>
  <c r="AI124" i="24"/>
  <c r="AJ124" i="24"/>
  <c r="AG125" i="24"/>
  <c r="AI125" i="24"/>
  <c r="AG126" i="24"/>
  <c r="AI126" i="24"/>
  <c r="AJ126" i="24"/>
  <c r="AG127" i="24"/>
  <c r="AH127" i="24"/>
  <c r="AI127" i="24"/>
  <c r="AJ127" i="24"/>
  <c r="AG128" i="24"/>
  <c r="AH128" i="24"/>
  <c r="AI128" i="24"/>
  <c r="AJ128" i="24"/>
  <c r="AG129" i="24"/>
  <c r="AH129" i="24"/>
  <c r="AI129" i="24"/>
  <c r="AJ129" i="24"/>
  <c r="AG130" i="24"/>
  <c r="AH130" i="24"/>
  <c r="AI130" i="24"/>
  <c r="AJ130" i="24"/>
  <c r="AG131" i="24"/>
  <c r="AH131" i="24"/>
  <c r="AI131" i="24"/>
  <c r="AJ131" i="24"/>
  <c r="AG132" i="24"/>
  <c r="AI132" i="24"/>
  <c r="AJ132" i="24"/>
  <c r="AG133" i="24"/>
  <c r="AI133" i="24"/>
  <c r="AJ133" i="24"/>
  <c r="AG134" i="24"/>
  <c r="AI134" i="24"/>
  <c r="AJ134" i="24"/>
  <c r="AG135" i="24"/>
  <c r="AI135" i="24"/>
  <c r="AJ135" i="24"/>
  <c r="AG136" i="24"/>
  <c r="AI136" i="24"/>
  <c r="AG137" i="24"/>
  <c r="AH137" i="24"/>
  <c r="AI137" i="24"/>
  <c r="AJ137" i="24"/>
  <c r="AG138" i="24"/>
  <c r="AH138" i="24"/>
  <c r="AI138" i="24"/>
  <c r="AJ138" i="24"/>
  <c r="AG139" i="24"/>
  <c r="AH139" i="24"/>
  <c r="AI139" i="24"/>
  <c r="AJ139" i="24"/>
  <c r="AG140" i="24"/>
  <c r="AH140" i="24"/>
  <c r="AI140" i="24"/>
  <c r="AG141" i="24"/>
  <c r="AH141" i="24"/>
  <c r="AI141" i="24"/>
  <c r="AJ141" i="24"/>
  <c r="AG142" i="24"/>
  <c r="AH142" i="24"/>
  <c r="AI142" i="24"/>
  <c r="AG143" i="24"/>
  <c r="AH143" i="24"/>
  <c r="AI143" i="24"/>
  <c r="AJ143" i="24"/>
  <c r="AG144" i="24"/>
  <c r="AH144" i="24"/>
  <c r="AI144" i="24"/>
  <c r="AJ144" i="24"/>
  <c r="AG145" i="24"/>
  <c r="AH145" i="24"/>
  <c r="AI145" i="24"/>
  <c r="AJ145" i="24"/>
  <c r="AG146" i="24"/>
  <c r="AH146" i="24"/>
  <c r="AI146" i="24"/>
  <c r="AG147" i="24"/>
  <c r="AH147" i="24"/>
  <c r="AI147" i="24"/>
  <c r="AJ147" i="24"/>
  <c r="AG148" i="24"/>
  <c r="AH148" i="24"/>
  <c r="AI148" i="24"/>
  <c r="AJ148" i="24"/>
  <c r="AG149" i="24"/>
  <c r="AH149" i="24"/>
  <c r="AI149" i="24"/>
  <c r="AJ149" i="24"/>
  <c r="AG150" i="24"/>
  <c r="AI150" i="24"/>
  <c r="AJ150" i="24"/>
  <c r="AG151" i="24"/>
  <c r="AI151" i="24"/>
  <c r="AJ151" i="24"/>
  <c r="AG152" i="24"/>
  <c r="AI152" i="24"/>
  <c r="AJ152" i="24"/>
  <c r="AG153" i="24"/>
  <c r="AI153" i="24"/>
  <c r="AJ153" i="24"/>
  <c r="AG154" i="24"/>
  <c r="AI154" i="24"/>
  <c r="AJ154" i="24"/>
  <c r="AG155" i="24"/>
  <c r="AI155" i="24"/>
  <c r="AJ155" i="24"/>
  <c r="AG156" i="24"/>
  <c r="AI156" i="24"/>
  <c r="AJ156" i="24"/>
  <c r="AG157" i="24"/>
  <c r="AI157" i="24"/>
  <c r="AJ157" i="24"/>
  <c r="AG158" i="24"/>
  <c r="AI158" i="24"/>
  <c r="AJ158" i="24"/>
  <c r="AG159" i="24"/>
  <c r="AI159" i="24"/>
  <c r="AG160" i="24"/>
  <c r="AH160" i="24"/>
  <c r="AI160" i="24"/>
  <c r="AG161" i="24"/>
  <c r="AH161" i="24"/>
  <c r="AI161" i="24"/>
  <c r="AJ161" i="24"/>
  <c r="AG162" i="24"/>
  <c r="AI162" i="24"/>
  <c r="AJ162" i="24"/>
  <c r="AG163" i="24"/>
  <c r="AI163" i="24"/>
  <c r="AJ163" i="24"/>
  <c r="AG164" i="24"/>
  <c r="AI164" i="24"/>
  <c r="AJ164" i="24"/>
  <c r="AG165" i="24"/>
  <c r="AI165" i="24"/>
  <c r="AJ165" i="24"/>
  <c r="AG166" i="24"/>
  <c r="AI166" i="24"/>
  <c r="AJ166" i="24"/>
  <c r="AG167" i="24"/>
  <c r="AH167" i="24"/>
  <c r="AI167" i="24"/>
  <c r="AJ167" i="24"/>
  <c r="AG168" i="24"/>
  <c r="AH168" i="24"/>
  <c r="AI168" i="24"/>
  <c r="AJ168" i="24"/>
  <c r="AG169" i="24"/>
  <c r="AH169" i="24"/>
  <c r="AI169" i="24"/>
  <c r="AJ169" i="24"/>
  <c r="AG170" i="24"/>
  <c r="AI170" i="24"/>
  <c r="AJ170" i="24"/>
  <c r="AG171" i="24"/>
  <c r="AI171" i="24"/>
  <c r="AJ171" i="24"/>
  <c r="AG172" i="24"/>
  <c r="AI172" i="24"/>
  <c r="AJ172" i="24"/>
  <c r="AG173" i="24"/>
  <c r="AI173" i="24"/>
  <c r="AG174" i="24"/>
  <c r="AH174" i="24"/>
  <c r="AI174" i="24"/>
  <c r="AJ174" i="24"/>
  <c r="AG175" i="24"/>
  <c r="AH175" i="24"/>
  <c r="AI175" i="24"/>
  <c r="AJ175" i="24"/>
  <c r="AG176" i="24"/>
  <c r="AI176" i="24"/>
  <c r="AJ176" i="24"/>
  <c r="AG177" i="24"/>
  <c r="AI177" i="24"/>
  <c r="AJ177" i="24"/>
  <c r="AG178" i="24"/>
  <c r="AI178" i="24"/>
  <c r="AJ178" i="24"/>
  <c r="AG179" i="24"/>
  <c r="AI179" i="24"/>
  <c r="AJ179" i="24"/>
  <c r="AG180" i="24"/>
  <c r="AI180" i="24"/>
  <c r="AJ180" i="24"/>
  <c r="AG181" i="24"/>
  <c r="AI181" i="24"/>
  <c r="AJ181" i="24"/>
  <c r="AG182" i="24"/>
  <c r="AI182" i="24"/>
  <c r="AJ182" i="24"/>
  <c r="AG183" i="24"/>
  <c r="AI183" i="24"/>
  <c r="AJ183" i="24"/>
  <c r="AG184" i="24"/>
  <c r="AI184" i="24"/>
  <c r="AG185" i="24"/>
  <c r="AI185" i="24"/>
  <c r="AJ185" i="24"/>
  <c r="AG186" i="24"/>
  <c r="AI186" i="24"/>
  <c r="AJ186" i="24"/>
  <c r="AG187" i="24"/>
  <c r="AI187" i="24"/>
  <c r="AJ187" i="24"/>
  <c r="AG188" i="24"/>
  <c r="AI188" i="24"/>
  <c r="AJ188" i="24"/>
  <c r="AG189" i="24"/>
  <c r="AI189" i="24"/>
  <c r="AJ189" i="24"/>
  <c r="AG190" i="24"/>
  <c r="AI190" i="24"/>
  <c r="AJ190" i="24"/>
  <c r="AG191" i="24"/>
  <c r="AI191" i="24"/>
  <c r="AJ191" i="24"/>
  <c r="AG192" i="24"/>
  <c r="AI192" i="24"/>
  <c r="AJ192" i="24"/>
  <c r="AG193" i="24"/>
  <c r="AI193" i="24"/>
  <c r="AJ193" i="24"/>
  <c r="AG194" i="24"/>
  <c r="AI194" i="24"/>
  <c r="AJ194" i="24"/>
  <c r="AG195" i="24"/>
  <c r="AI195" i="24"/>
  <c r="AJ195" i="24"/>
  <c r="AG196" i="24"/>
  <c r="AI196" i="24"/>
  <c r="AJ196" i="24"/>
  <c r="AG197" i="24"/>
  <c r="AI197" i="24"/>
  <c r="AJ197" i="24"/>
  <c r="AG198" i="24"/>
  <c r="AI198" i="24"/>
  <c r="AJ198" i="24"/>
  <c r="AG199" i="24"/>
  <c r="AI199" i="24"/>
  <c r="AJ199" i="24"/>
  <c r="AG200" i="24"/>
  <c r="AI200" i="24"/>
  <c r="AJ200" i="24"/>
  <c r="AG201" i="24"/>
  <c r="AI201" i="24"/>
  <c r="AJ201" i="24"/>
  <c r="AG202" i="24"/>
  <c r="AI202" i="24"/>
  <c r="AJ202" i="24"/>
  <c r="AG203" i="24"/>
  <c r="AI203" i="24"/>
  <c r="AJ203" i="24"/>
  <c r="AG204" i="24"/>
  <c r="AH204" i="24"/>
  <c r="AI204" i="24"/>
  <c r="AJ204" i="24"/>
  <c r="AG205" i="24"/>
  <c r="AH205" i="24"/>
  <c r="AI205" i="24"/>
  <c r="AJ205" i="24"/>
  <c r="AG206" i="24"/>
  <c r="AH206" i="24"/>
  <c r="AI206" i="24"/>
  <c r="AJ206" i="24"/>
  <c r="AG207" i="24"/>
  <c r="AH207" i="24"/>
  <c r="AI207" i="24"/>
  <c r="AJ207" i="24"/>
  <c r="AG208" i="24"/>
  <c r="AH208" i="24"/>
  <c r="AI208" i="24"/>
  <c r="AJ208" i="24"/>
  <c r="AG209" i="24"/>
  <c r="AH209" i="24"/>
  <c r="AI209" i="24"/>
  <c r="AJ209" i="24"/>
  <c r="AG210" i="24"/>
  <c r="AH210" i="24"/>
  <c r="AI210" i="24"/>
  <c r="AJ210" i="24"/>
  <c r="AG211" i="24"/>
  <c r="AH211" i="24"/>
  <c r="AI211" i="24"/>
  <c r="AJ211" i="24"/>
  <c r="AG212" i="24"/>
  <c r="AH212" i="24"/>
  <c r="AI212" i="24"/>
  <c r="AJ212" i="24"/>
  <c r="AG213" i="24"/>
  <c r="AH213" i="24"/>
  <c r="AI213" i="24"/>
  <c r="AJ213" i="24"/>
  <c r="AG214" i="24"/>
  <c r="AH214" i="24"/>
  <c r="AI214" i="24"/>
  <c r="AG215" i="24"/>
  <c r="AH215" i="24"/>
  <c r="AI215" i="24"/>
  <c r="AJ215" i="24"/>
  <c r="AG216" i="24"/>
  <c r="AH216" i="24"/>
  <c r="AI216" i="24"/>
  <c r="AJ216" i="24"/>
  <c r="AG217" i="24"/>
  <c r="AH217" i="24"/>
  <c r="AI217" i="24"/>
  <c r="AJ217" i="24"/>
  <c r="AG218" i="24"/>
  <c r="AI218" i="24"/>
  <c r="AJ218" i="24"/>
  <c r="AG219" i="24"/>
  <c r="AI219" i="24"/>
  <c r="AJ219" i="24"/>
  <c r="AG220" i="24"/>
  <c r="AI220" i="24"/>
  <c r="AJ220" i="24"/>
  <c r="AG221" i="24"/>
  <c r="AI221" i="24"/>
  <c r="AJ221" i="24"/>
  <c r="AG222" i="24"/>
  <c r="AI222" i="24"/>
  <c r="AJ222" i="24"/>
  <c r="AG223" i="24"/>
  <c r="AH223" i="24"/>
  <c r="AI223" i="24"/>
  <c r="AJ223" i="24"/>
  <c r="AG224" i="24"/>
  <c r="AI224" i="24"/>
  <c r="AJ224" i="24"/>
  <c r="AG225" i="24"/>
  <c r="AI225" i="24"/>
  <c r="AJ225" i="24"/>
  <c r="AG226" i="24"/>
  <c r="AI226" i="24"/>
  <c r="AJ226" i="24"/>
  <c r="AG227" i="24"/>
  <c r="AI227" i="24"/>
  <c r="AJ227" i="24"/>
  <c r="AG228" i="24"/>
  <c r="AI228" i="24"/>
  <c r="AJ228" i="24"/>
  <c r="AG229" i="24"/>
  <c r="AI229" i="24"/>
  <c r="AJ229" i="24"/>
  <c r="AG230" i="24"/>
  <c r="AI230" i="24"/>
  <c r="AJ230" i="24"/>
  <c r="AG231" i="24"/>
  <c r="AI231" i="24"/>
  <c r="AJ231" i="24"/>
  <c r="AG232" i="24"/>
  <c r="AI232" i="24"/>
  <c r="AJ232" i="24"/>
  <c r="AG233" i="24"/>
  <c r="AI233" i="24"/>
  <c r="AJ233" i="24"/>
  <c r="AG234" i="24"/>
  <c r="AI234" i="24"/>
  <c r="AG235" i="24"/>
  <c r="AI235" i="24"/>
  <c r="AJ235" i="24"/>
  <c r="AG236" i="24"/>
  <c r="AI236" i="24"/>
  <c r="AJ236" i="24"/>
  <c r="AG237" i="24"/>
  <c r="AI237" i="24"/>
  <c r="AJ237" i="24"/>
  <c r="AG238" i="24"/>
  <c r="AI238" i="24"/>
  <c r="AJ238" i="24"/>
  <c r="AG239" i="24"/>
  <c r="AI239" i="24"/>
  <c r="AJ239" i="24"/>
  <c r="AG240" i="24"/>
  <c r="AI240" i="24"/>
  <c r="AJ240" i="24"/>
  <c r="AG241" i="24"/>
  <c r="AI241" i="24"/>
  <c r="AJ241" i="24"/>
  <c r="AG242" i="24"/>
  <c r="AI242" i="24"/>
  <c r="AJ242" i="24"/>
  <c r="AG243" i="24"/>
  <c r="AI243" i="24"/>
  <c r="AJ243" i="24"/>
  <c r="AG244" i="24"/>
  <c r="AI244" i="24"/>
  <c r="AJ244" i="24"/>
  <c r="AG245" i="24"/>
  <c r="AI245" i="24"/>
  <c r="AJ245" i="24"/>
  <c r="AG246" i="24"/>
  <c r="AI246" i="24"/>
  <c r="AJ246" i="24"/>
  <c r="AG247" i="24"/>
  <c r="AI247" i="24"/>
  <c r="AJ247" i="24"/>
  <c r="AG248" i="24"/>
  <c r="AI248" i="24"/>
  <c r="AJ248" i="24"/>
  <c r="AG249" i="24"/>
  <c r="AI249" i="24"/>
  <c r="AJ249" i="24"/>
  <c r="AG250" i="24"/>
  <c r="AI250" i="24"/>
  <c r="AJ250" i="24"/>
  <c r="AG251" i="24"/>
  <c r="AI251" i="24"/>
  <c r="AJ251" i="24"/>
  <c r="AG252" i="24"/>
  <c r="AI252" i="24"/>
  <c r="AJ252" i="24"/>
  <c r="AG253" i="24"/>
  <c r="AI253" i="24"/>
  <c r="AJ253" i="24"/>
  <c r="AG254" i="24"/>
  <c r="AI254" i="24"/>
  <c r="AG255" i="24"/>
  <c r="AH255" i="24"/>
  <c r="AI255" i="24"/>
  <c r="AJ255" i="24"/>
  <c r="AG256" i="24"/>
  <c r="AH256" i="24"/>
  <c r="AI256" i="24"/>
  <c r="AJ256" i="24"/>
  <c r="AG257" i="24"/>
  <c r="AH257" i="24"/>
  <c r="AI257" i="24"/>
  <c r="AJ257" i="24"/>
  <c r="AG258" i="24"/>
  <c r="AH258" i="24"/>
  <c r="AI258" i="24"/>
  <c r="AG259" i="24"/>
  <c r="AH259" i="24"/>
  <c r="AI259" i="24"/>
  <c r="AJ259" i="24"/>
  <c r="AG260" i="24"/>
  <c r="AH260" i="24"/>
  <c r="AI260" i="24"/>
  <c r="AG261" i="24"/>
  <c r="AH261" i="24"/>
  <c r="AI261" i="24"/>
  <c r="AJ261" i="24"/>
  <c r="AG262" i="24"/>
  <c r="AH262" i="24"/>
  <c r="AI262" i="24"/>
  <c r="AJ262" i="24"/>
  <c r="AG263" i="24"/>
  <c r="AH263" i="24"/>
  <c r="AI263" i="24"/>
  <c r="AG264" i="24"/>
  <c r="AH264" i="24"/>
  <c r="AI264" i="24"/>
  <c r="AJ264" i="24"/>
  <c r="AG265" i="24"/>
  <c r="AI265" i="24"/>
  <c r="AJ265" i="24"/>
  <c r="AG266" i="24"/>
  <c r="AI266" i="24"/>
  <c r="AJ266" i="24"/>
  <c r="AG267" i="24"/>
  <c r="AI267" i="24"/>
  <c r="AJ267" i="24"/>
  <c r="AG268" i="24"/>
  <c r="AI268" i="24"/>
  <c r="AJ268" i="24"/>
  <c r="AG269" i="24"/>
  <c r="AI269" i="24"/>
  <c r="AJ269" i="24"/>
  <c r="AG270" i="24"/>
  <c r="AH270" i="24"/>
  <c r="AI270" i="24"/>
  <c r="AJ270" i="24"/>
  <c r="AG271" i="24"/>
  <c r="AH271" i="24"/>
  <c r="AI271" i="24"/>
  <c r="AJ271" i="24"/>
  <c r="AG272" i="24"/>
  <c r="AH272" i="24"/>
  <c r="AI272" i="24"/>
  <c r="AJ272" i="24"/>
  <c r="AG273" i="24"/>
  <c r="AH273" i="24"/>
  <c r="AI273" i="24"/>
  <c r="AJ273" i="24"/>
  <c r="AG274" i="24"/>
  <c r="AH274" i="24"/>
  <c r="AI274" i="24"/>
  <c r="AJ274" i="24"/>
  <c r="AG275" i="24"/>
  <c r="AI275" i="24"/>
  <c r="AJ275" i="24"/>
  <c r="AG276" i="24"/>
  <c r="AI276" i="24"/>
  <c r="AJ276" i="24"/>
  <c r="AG277" i="24"/>
  <c r="AI277" i="24"/>
  <c r="AJ277" i="24"/>
  <c r="AG278" i="24"/>
  <c r="AI278" i="24"/>
  <c r="AJ278" i="24"/>
  <c r="AG279" i="24"/>
  <c r="AI279" i="24"/>
  <c r="AG280" i="24"/>
  <c r="AI280" i="24"/>
  <c r="AJ280" i="24"/>
  <c r="AG281" i="24"/>
  <c r="AH281" i="24"/>
  <c r="AI281" i="24"/>
  <c r="AJ281" i="24"/>
  <c r="AG282" i="24"/>
  <c r="AI282" i="24"/>
  <c r="AJ282" i="24"/>
  <c r="AG283" i="24"/>
  <c r="AI283" i="24"/>
  <c r="AG284" i="24"/>
  <c r="AI284" i="24"/>
  <c r="AJ284" i="24"/>
  <c r="AG285" i="24"/>
  <c r="AI285" i="24"/>
  <c r="AG286" i="24"/>
  <c r="AI286" i="24"/>
  <c r="AJ286" i="24"/>
  <c r="AG287" i="24"/>
  <c r="AI287" i="24"/>
  <c r="AJ287" i="24"/>
  <c r="AG288" i="24"/>
  <c r="AI288" i="24"/>
  <c r="AJ288" i="24"/>
  <c r="AG289" i="24"/>
  <c r="AI289" i="24"/>
  <c r="AJ289" i="24"/>
  <c r="AG290" i="24"/>
  <c r="AI290" i="24"/>
  <c r="AJ290" i="24"/>
  <c r="AG291" i="24"/>
  <c r="AI291" i="24"/>
  <c r="AJ291" i="24"/>
  <c r="AG292" i="24"/>
  <c r="AI292" i="24"/>
  <c r="AJ292" i="24"/>
  <c r="AG293" i="24"/>
  <c r="AI293" i="24"/>
  <c r="AJ293" i="24"/>
  <c r="AG294" i="24"/>
  <c r="AI294" i="24"/>
  <c r="AJ294" i="24"/>
  <c r="AG295" i="24"/>
  <c r="AI295" i="24"/>
  <c r="AJ295" i="24"/>
  <c r="AG296" i="24"/>
  <c r="AH296" i="24"/>
  <c r="AI296" i="24"/>
  <c r="AJ296" i="24"/>
  <c r="AG297" i="24"/>
  <c r="AH297" i="24"/>
  <c r="AI297" i="24"/>
  <c r="AJ297" i="24"/>
  <c r="AG298" i="24"/>
  <c r="AH298" i="24"/>
  <c r="AI298" i="24"/>
  <c r="AJ298" i="24"/>
  <c r="AG299" i="24"/>
  <c r="AH299" i="24"/>
  <c r="AI299" i="24"/>
  <c r="AJ299" i="24"/>
  <c r="AG300" i="24"/>
  <c r="AH300" i="24"/>
  <c r="AI300" i="24"/>
  <c r="AJ300" i="24"/>
  <c r="AG301" i="24"/>
  <c r="AI301" i="24"/>
  <c r="AJ301" i="24"/>
  <c r="AG302" i="24"/>
  <c r="AI302" i="24"/>
  <c r="AJ302" i="24"/>
  <c r="AG303" i="24"/>
  <c r="AI303" i="24"/>
  <c r="AG304" i="24"/>
  <c r="AI304" i="24"/>
  <c r="AJ304" i="24"/>
  <c r="AG305" i="24"/>
  <c r="AI305" i="24"/>
  <c r="AG306" i="24"/>
  <c r="AI306" i="24"/>
  <c r="AJ306" i="24"/>
  <c r="AG307" i="24"/>
  <c r="AI307" i="24"/>
  <c r="AJ307" i="24"/>
  <c r="AG308" i="24"/>
  <c r="AI308" i="24"/>
  <c r="AJ308" i="24"/>
  <c r="AG309" i="24"/>
  <c r="AI309" i="24"/>
  <c r="AG310" i="24"/>
  <c r="AI310" i="24"/>
  <c r="AJ310" i="24"/>
  <c r="AG311" i="24"/>
  <c r="AI311" i="24"/>
  <c r="AG312" i="24"/>
  <c r="AI312" i="24"/>
  <c r="AJ312" i="24"/>
  <c r="AG313" i="24"/>
  <c r="AI313" i="24"/>
  <c r="AJ313" i="24"/>
  <c r="AG314" i="24"/>
  <c r="AI314" i="24"/>
  <c r="AJ314" i="24"/>
  <c r="AG315" i="24"/>
  <c r="AI315" i="24"/>
  <c r="AJ315" i="24"/>
  <c r="AG316" i="24"/>
  <c r="AI316" i="24"/>
  <c r="AJ316" i="24"/>
  <c r="AG317" i="24"/>
  <c r="AI317" i="24"/>
  <c r="AJ317" i="24"/>
  <c r="AG318" i="24"/>
  <c r="AI318" i="24"/>
  <c r="AJ318" i="24"/>
  <c r="AG319" i="24"/>
  <c r="AI319" i="24"/>
  <c r="AJ319" i="24"/>
  <c r="AG320" i="24"/>
  <c r="AI320" i="24"/>
  <c r="AJ320" i="24"/>
  <c r="AG321" i="24"/>
  <c r="AI321" i="24"/>
  <c r="AJ321" i="24"/>
  <c r="AG322" i="24"/>
  <c r="AI322" i="24"/>
  <c r="AJ322" i="24"/>
  <c r="AG323" i="24"/>
  <c r="AI323" i="24"/>
  <c r="AJ323" i="24"/>
  <c r="AG324" i="24"/>
  <c r="AI324" i="24"/>
  <c r="AJ324" i="24"/>
  <c r="AG325" i="24"/>
  <c r="AI325" i="24"/>
  <c r="AJ325" i="24"/>
  <c r="AG326" i="24"/>
  <c r="AI326" i="24"/>
  <c r="AJ326" i="24"/>
  <c r="AG327" i="24"/>
  <c r="AI327" i="24"/>
  <c r="AJ327" i="24"/>
  <c r="AG328" i="24"/>
  <c r="AI328" i="24"/>
  <c r="AG329" i="24"/>
  <c r="AI329" i="24"/>
  <c r="AG330" i="24"/>
  <c r="AI330" i="24"/>
  <c r="AJ330" i="24"/>
  <c r="AG331" i="24"/>
  <c r="AH331" i="24"/>
  <c r="AI331" i="24"/>
  <c r="AG332" i="24"/>
  <c r="AH332" i="24"/>
  <c r="AI332" i="24"/>
  <c r="AJ332" i="24"/>
  <c r="AG333" i="24"/>
  <c r="AH333" i="24"/>
  <c r="AI333" i="24"/>
  <c r="AJ333" i="24"/>
  <c r="AG334" i="24"/>
  <c r="AH334" i="24"/>
  <c r="AI334" i="24"/>
  <c r="AJ334" i="24"/>
  <c r="AG335" i="24"/>
  <c r="AH335" i="24"/>
  <c r="AI335" i="24"/>
  <c r="AJ335" i="24"/>
  <c r="AG336" i="24"/>
  <c r="AI336" i="24"/>
  <c r="AJ336" i="24"/>
  <c r="AG337" i="24"/>
  <c r="AI337" i="24"/>
  <c r="AJ337" i="24"/>
  <c r="AG338" i="24"/>
  <c r="AI338" i="24"/>
  <c r="AJ338" i="24"/>
  <c r="AG339" i="24"/>
  <c r="AI339" i="24"/>
  <c r="AJ339" i="24"/>
  <c r="AG340" i="24"/>
  <c r="AI340" i="24"/>
  <c r="AJ340" i="24"/>
  <c r="AG341" i="24"/>
  <c r="AI341" i="24"/>
  <c r="AJ341" i="24"/>
  <c r="AG342" i="24"/>
  <c r="AI342" i="24"/>
  <c r="AJ342" i="24"/>
  <c r="AG343" i="24"/>
  <c r="AI343" i="24"/>
  <c r="AJ343" i="24"/>
  <c r="AG344" i="24"/>
  <c r="AI344" i="24"/>
  <c r="AJ344" i="24"/>
  <c r="AG345" i="24"/>
  <c r="AI345" i="24"/>
  <c r="AG346" i="24"/>
  <c r="AH346" i="24"/>
  <c r="AI346" i="24"/>
  <c r="AG347" i="24"/>
  <c r="AH347" i="24"/>
  <c r="AI347" i="24"/>
  <c r="AJ347" i="24"/>
  <c r="AG348" i="24"/>
  <c r="AH348" i="24"/>
  <c r="AI348" i="24"/>
  <c r="AJ348" i="24"/>
  <c r="AG349" i="24"/>
  <c r="AH349" i="24"/>
  <c r="AI349" i="24"/>
  <c r="AJ349" i="24"/>
  <c r="AG350" i="24"/>
  <c r="AH350" i="24"/>
  <c r="AI350" i="24"/>
  <c r="AJ350" i="24"/>
  <c r="AG351" i="24"/>
  <c r="AH351" i="24"/>
  <c r="AI351" i="24"/>
  <c r="AJ351" i="24"/>
  <c r="AG352" i="24"/>
  <c r="AH352" i="24"/>
  <c r="AI352" i="24"/>
  <c r="AJ352" i="24"/>
  <c r="AG353" i="24"/>
  <c r="AH353" i="24"/>
  <c r="AI353" i="24"/>
  <c r="AJ353" i="24"/>
  <c r="AG354" i="24"/>
  <c r="AI354" i="24"/>
  <c r="AJ354" i="24"/>
  <c r="AG355" i="24"/>
  <c r="AI355" i="24"/>
  <c r="AJ355" i="24"/>
  <c r="AG356" i="24"/>
  <c r="AI356" i="24"/>
  <c r="AG357" i="24"/>
  <c r="AI357" i="24"/>
  <c r="AJ357" i="24"/>
  <c r="AG358" i="24"/>
  <c r="AI358" i="24"/>
  <c r="AJ358" i="24"/>
  <c r="AG359" i="24"/>
  <c r="AI359" i="24"/>
  <c r="AJ359" i="24"/>
  <c r="AG360" i="24"/>
  <c r="AI360" i="24"/>
  <c r="AJ360" i="24"/>
  <c r="AG361" i="24"/>
  <c r="AI361" i="24"/>
  <c r="AJ361" i="24"/>
  <c r="AG362" i="24"/>
  <c r="AI362" i="24"/>
  <c r="AJ362" i="24"/>
  <c r="AG363" i="24"/>
  <c r="AI363" i="24"/>
  <c r="AG364" i="24"/>
  <c r="AH364" i="24"/>
  <c r="AI364" i="24"/>
  <c r="AJ364" i="24"/>
  <c r="AG365" i="24"/>
  <c r="AH365" i="24"/>
  <c r="AI365" i="24"/>
  <c r="AJ365" i="24"/>
  <c r="AG366" i="24"/>
  <c r="AH366" i="24"/>
  <c r="AI366" i="24"/>
  <c r="AG367" i="24"/>
  <c r="AH367" i="24"/>
  <c r="AI367" i="24"/>
  <c r="AJ367" i="24"/>
  <c r="AG368" i="24"/>
  <c r="AI368" i="24"/>
  <c r="AJ368" i="24"/>
  <c r="AG369" i="24"/>
  <c r="AI369" i="24"/>
  <c r="AJ369" i="24"/>
  <c r="AG370" i="24"/>
  <c r="AI370" i="24"/>
  <c r="AJ370" i="24"/>
  <c r="AG371" i="24"/>
  <c r="AH371" i="24"/>
  <c r="AI371" i="24"/>
  <c r="AJ371" i="24"/>
  <c r="AG372" i="24"/>
  <c r="AH372" i="24"/>
  <c r="AI372" i="24"/>
  <c r="AJ372" i="24"/>
  <c r="AG373" i="24"/>
  <c r="AH373" i="24"/>
  <c r="AI373" i="24"/>
  <c r="AJ373" i="24"/>
  <c r="AG374" i="24"/>
  <c r="AI374" i="24"/>
  <c r="AJ374" i="24"/>
  <c r="AG375" i="24"/>
  <c r="AH375" i="24"/>
  <c r="AI375" i="24"/>
  <c r="AJ375" i="24"/>
  <c r="AG376" i="24"/>
  <c r="AH376" i="24"/>
  <c r="AI376" i="24"/>
  <c r="AJ376" i="24"/>
  <c r="AG377" i="24"/>
  <c r="AH377" i="24"/>
  <c r="AI377" i="24"/>
  <c r="AG378" i="24"/>
  <c r="AI378" i="24"/>
  <c r="AJ378" i="24"/>
  <c r="AG379" i="24"/>
  <c r="AI379" i="24"/>
  <c r="AJ379" i="24"/>
  <c r="AG380" i="24"/>
  <c r="AI380" i="24"/>
  <c r="AJ380" i="24"/>
  <c r="AG381" i="24"/>
  <c r="AI381" i="24"/>
  <c r="AG382" i="24"/>
  <c r="AI382" i="24"/>
  <c r="AJ382" i="24"/>
  <c r="AG383" i="24"/>
  <c r="AI383" i="24"/>
  <c r="AJ383" i="24"/>
  <c r="AG384" i="24"/>
  <c r="AI384" i="24"/>
  <c r="AJ384" i="24"/>
  <c r="AG385" i="24"/>
  <c r="AI385" i="24"/>
  <c r="AJ385" i="24"/>
  <c r="AG386" i="24"/>
  <c r="AI386" i="24"/>
  <c r="AJ386" i="24"/>
  <c r="AG387" i="24"/>
  <c r="AI387" i="24"/>
  <c r="AG388" i="24"/>
  <c r="AI388" i="24"/>
  <c r="AJ388" i="24"/>
  <c r="AG389" i="24"/>
  <c r="AI389" i="24"/>
  <c r="AJ389" i="24"/>
  <c r="AG390" i="24"/>
  <c r="AI390" i="24"/>
  <c r="AJ390" i="24"/>
  <c r="AG391" i="24"/>
  <c r="AI391" i="24"/>
  <c r="AJ391" i="24"/>
  <c r="AG392" i="24"/>
  <c r="AI392" i="24"/>
  <c r="AJ392" i="24"/>
  <c r="AG393" i="24"/>
  <c r="AI393" i="24"/>
  <c r="AJ393" i="24"/>
  <c r="AG394" i="24"/>
  <c r="AI394" i="24"/>
  <c r="AJ394" i="24"/>
  <c r="AG395" i="24"/>
  <c r="AI395" i="24"/>
  <c r="AJ395" i="24"/>
  <c r="AG396" i="24"/>
  <c r="AI396" i="24"/>
  <c r="AJ396" i="24"/>
  <c r="AG397" i="24"/>
  <c r="AI397" i="24"/>
  <c r="AJ397" i="24"/>
  <c r="AG398" i="24"/>
  <c r="AI398" i="24"/>
  <c r="AJ398" i="24"/>
  <c r="AG399" i="24"/>
  <c r="AI399" i="24"/>
  <c r="AJ399" i="24"/>
  <c r="AG400" i="24"/>
  <c r="AH400" i="24"/>
  <c r="AI400" i="24"/>
  <c r="AJ400" i="24"/>
  <c r="AG401" i="24"/>
  <c r="AH401" i="24"/>
  <c r="AI401" i="24"/>
  <c r="AJ401" i="24"/>
  <c r="AG402" i="24"/>
  <c r="AH402" i="24"/>
  <c r="AI402" i="24"/>
  <c r="AJ402" i="24"/>
  <c r="AG403" i="24"/>
  <c r="AH403" i="24"/>
  <c r="AI403" i="24"/>
  <c r="AJ403" i="24"/>
  <c r="AG404" i="24"/>
  <c r="AH404" i="24"/>
  <c r="AI404" i="24"/>
  <c r="AJ404" i="24"/>
  <c r="AG405" i="24"/>
  <c r="AI405" i="24"/>
  <c r="AJ405" i="24"/>
  <c r="AG406" i="24"/>
  <c r="AI406" i="24"/>
  <c r="AJ406" i="24"/>
  <c r="AG407" i="24"/>
  <c r="AI407" i="24"/>
  <c r="AJ407" i="24"/>
  <c r="AG408" i="24"/>
  <c r="AI408" i="24"/>
  <c r="AJ408" i="24"/>
  <c r="AG409" i="24"/>
  <c r="AI409" i="24"/>
  <c r="AG410" i="24"/>
  <c r="AH410" i="24"/>
  <c r="AI410" i="24"/>
  <c r="AJ410" i="24"/>
  <c r="AG411" i="24"/>
  <c r="AH411" i="24"/>
  <c r="AI411" i="24"/>
  <c r="AJ411" i="24"/>
  <c r="AG412" i="24"/>
  <c r="AH412" i="24"/>
  <c r="AI412" i="24"/>
  <c r="AJ412" i="24"/>
  <c r="AG413" i="24"/>
  <c r="AH413" i="24"/>
  <c r="AI413" i="24"/>
  <c r="AG414" i="24"/>
  <c r="AH414" i="24"/>
  <c r="AI414" i="24"/>
  <c r="AJ414" i="24"/>
  <c r="AG415" i="24"/>
  <c r="AH415" i="24"/>
  <c r="AI415" i="24"/>
  <c r="AG416" i="24"/>
  <c r="AH416" i="24"/>
  <c r="AI416" i="24"/>
  <c r="AJ416" i="24"/>
  <c r="AG417" i="24"/>
  <c r="AH417" i="24"/>
  <c r="AI417" i="24"/>
  <c r="AJ417" i="24"/>
  <c r="AG418" i="24"/>
  <c r="AH418" i="24"/>
  <c r="AI418" i="24"/>
  <c r="AJ418" i="24"/>
  <c r="AG419" i="24"/>
  <c r="AH419" i="24"/>
  <c r="AI419" i="24"/>
  <c r="AJ419" i="24"/>
  <c r="AG420" i="24"/>
  <c r="AH420" i="24"/>
  <c r="AI420" i="24"/>
  <c r="AJ420" i="24"/>
  <c r="AG421" i="24"/>
  <c r="AH421" i="24"/>
  <c r="AI421" i="24"/>
  <c r="AJ421" i="24"/>
  <c r="AG422" i="24"/>
  <c r="AH422" i="24"/>
  <c r="AI422" i="24"/>
  <c r="AJ422" i="24"/>
  <c r="AG423" i="24"/>
  <c r="AH423" i="24"/>
  <c r="AI423" i="24"/>
  <c r="AJ423" i="24"/>
  <c r="AG424" i="24"/>
  <c r="AH424" i="24"/>
  <c r="AI424" i="24"/>
  <c r="AJ424" i="24"/>
  <c r="AG425" i="24"/>
  <c r="AH425" i="24"/>
  <c r="AI425" i="24"/>
  <c r="AJ425" i="24"/>
  <c r="AG426" i="24"/>
  <c r="AH426" i="24"/>
  <c r="AI426" i="24"/>
  <c r="AJ426" i="24"/>
  <c r="AG427" i="24"/>
  <c r="AI427" i="24"/>
  <c r="AJ427" i="24"/>
  <c r="AG428" i="24"/>
  <c r="AI428" i="24"/>
  <c r="AJ428" i="24"/>
  <c r="AG429" i="24"/>
  <c r="AI429" i="24"/>
  <c r="AJ429" i="24"/>
  <c r="AG430" i="24"/>
  <c r="AI430" i="24"/>
  <c r="AJ430" i="24"/>
  <c r="AG431" i="24"/>
  <c r="AI431" i="24"/>
  <c r="AJ431" i="24"/>
  <c r="AG432" i="24"/>
  <c r="AH432" i="24"/>
  <c r="AI432" i="24"/>
  <c r="AJ432" i="24"/>
  <c r="AG433" i="24"/>
  <c r="AH433" i="24"/>
  <c r="AI433" i="24"/>
  <c r="AJ433" i="24"/>
  <c r="AG434" i="24"/>
  <c r="AH434" i="24"/>
  <c r="AI434" i="24"/>
  <c r="AJ434" i="24"/>
  <c r="AG435" i="24"/>
  <c r="AH435" i="24"/>
  <c r="AI435" i="24"/>
  <c r="AJ435" i="24"/>
  <c r="AG436" i="24"/>
  <c r="AH436" i="24"/>
  <c r="AI436" i="24"/>
  <c r="AJ436" i="24"/>
  <c r="AG437" i="24"/>
  <c r="AI437" i="24"/>
  <c r="AJ437" i="24"/>
  <c r="AG438" i="24"/>
  <c r="AI438" i="24"/>
  <c r="AJ438" i="24"/>
  <c r="AG439" i="24"/>
  <c r="AI439" i="24"/>
  <c r="AJ439" i="24"/>
  <c r="AG440" i="24"/>
  <c r="AI440" i="24"/>
  <c r="AJ440" i="24"/>
  <c r="AG441" i="24"/>
  <c r="AI441" i="24"/>
  <c r="AG442" i="24"/>
  <c r="AH442" i="24"/>
  <c r="AI442" i="24"/>
  <c r="AJ442" i="24"/>
  <c r="AG443" i="24"/>
  <c r="AH443" i="24"/>
  <c r="AI443" i="24"/>
  <c r="AJ443" i="24"/>
  <c r="AG444" i="24"/>
  <c r="AH444" i="24"/>
  <c r="AI444" i="24"/>
  <c r="AJ444" i="24"/>
  <c r="AG445" i="24"/>
  <c r="AH445" i="24"/>
  <c r="AI445" i="24"/>
  <c r="AG446" i="24"/>
  <c r="AH446" i="24"/>
  <c r="AI446" i="24"/>
  <c r="AJ446" i="24"/>
  <c r="AG447" i="24"/>
  <c r="AH447" i="24"/>
  <c r="AI447" i="24"/>
  <c r="AG448" i="24"/>
  <c r="AH448" i="24"/>
  <c r="AI448" i="24"/>
  <c r="AJ448" i="24"/>
  <c r="AG449" i="24"/>
  <c r="AH449" i="24"/>
  <c r="AI449" i="24"/>
  <c r="AJ449" i="24"/>
  <c r="AG450" i="24"/>
  <c r="AH450" i="24"/>
  <c r="AI450" i="24"/>
  <c r="AJ450" i="24"/>
  <c r="AG451" i="24"/>
  <c r="AH451" i="24"/>
  <c r="AI451" i="24"/>
  <c r="AJ451" i="24"/>
  <c r="AG452" i="24"/>
  <c r="AH452" i="24"/>
  <c r="AI452" i="24"/>
  <c r="AJ452" i="24"/>
  <c r="AG453" i="24"/>
  <c r="AH453" i="24"/>
  <c r="AI453" i="24"/>
  <c r="AJ453" i="24"/>
  <c r="AG454" i="24"/>
  <c r="AH454" i="24"/>
  <c r="AI454" i="24"/>
  <c r="AJ454" i="24"/>
  <c r="AG455" i="24"/>
  <c r="AH455" i="24"/>
  <c r="AI455" i="24"/>
  <c r="AJ455" i="24"/>
  <c r="AG456" i="24"/>
  <c r="AH456" i="24"/>
  <c r="AI456" i="24"/>
  <c r="AJ456" i="24"/>
  <c r="AG457" i="24"/>
  <c r="AI457" i="24"/>
  <c r="AJ457" i="24"/>
  <c r="AG458" i="24"/>
  <c r="AI458" i="24"/>
  <c r="AJ458" i="24"/>
  <c r="AG459" i="24"/>
  <c r="AI459" i="24"/>
  <c r="AJ459" i="24"/>
  <c r="AG460" i="24"/>
  <c r="AI460" i="24"/>
  <c r="AJ460" i="24"/>
  <c r="AG461" i="24"/>
  <c r="AI461" i="24"/>
  <c r="AJ461" i="24"/>
  <c r="AG462" i="24"/>
  <c r="AI462" i="24"/>
  <c r="AJ462" i="24"/>
  <c r="AG463" i="24"/>
  <c r="AI463" i="24"/>
  <c r="AJ463" i="24"/>
  <c r="AG464" i="24"/>
  <c r="AI464" i="24"/>
  <c r="AJ464" i="24"/>
  <c r="AG465" i="24"/>
  <c r="AI465" i="24"/>
  <c r="AJ465" i="24"/>
  <c r="AG466" i="24"/>
  <c r="AI466" i="24"/>
  <c r="AJ466" i="24"/>
  <c r="AG467" i="24"/>
  <c r="AI467" i="24"/>
  <c r="AJ467" i="24"/>
  <c r="AG468" i="24"/>
  <c r="AI468" i="24"/>
  <c r="AJ468" i="24"/>
  <c r="AG469" i="24"/>
  <c r="AI469" i="24"/>
  <c r="AJ469" i="24"/>
  <c r="AG470" i="24"/>
  <c r="AI470" i="24"/>
  <c r="AJ470" i="24"/>
  <c r="AG471" i="24"/>
  <c r="AI471" i="24"/>
  <c r="AG472" i="24"/>
  <c r="AI472" i="24"/>
  <c r="AJ472" i="24"/>
  <c r="AG473" i="24"/>
  <c r="AH473" i="24"/>
  <c r="AI473" i="24"/>
  <c r="AJ473" i="24"/>
  <c r="AG474" i="24"/>
  <c r="AI474" i="24"/>
  <c r="AJ474" i="24"/>
  <c r="AG475" i="24"/>
  <c r="AI475" i="24"/>
  <c r="AJ475" i="24"/>
  <c r="AG476" i="24"/>
  <c r="AI476" i="24"/>
  <c r="AG477" i="24"/>
  <c r="AI477" i="24"/>
  <c r="AJ477" i="24"/>
  <c r="AG478" i="24"/>
  <c r="AI478" i="24"/>
  <c r="AG479" i="24"/>
  <c r="AI479" i="24"/>
  <c r="AJ479" i="24"/>
  <c r="AG480" i="24"/>
  <c r="AI480" i="24"/>
  <c r="AJ480" i="24"/>
  <c r="AG481" i="24"/>
  <c r="AI481" i="24"/>
  <c r="AJ481" i="24"/>
  <c r="AG482" i="24"/>
  <c r="AI482" i="24"/>
  <c r="AJ482" i="24"/>
  <c r="AG483" i="24"/>
  <c r="AI483" i="24"/>
  <c r="AJ483" i="24"/>
  <c r="AG484" i="24"/>
  <c r="AI484" i="24"/>
  <c r="AJ484" i="24"/>
  <c r="AG485" i="24"/>
  <c r="AH485" i="24"/>
  <c r="AI485" i="24"/>
  <c r="AJ485" i="24"/>
  <c r="AG486" i="24"/>
  <c r="AH486" i="24"/>
  <c r="AI486" i="24"/>
  <c r="AJ486" i="24"/>
  <c r="AG487" i="24"/>
  <c r="AH487" i="24"/>
  <c r="AI487" i="24"/>
  <c r="AJ487" i="24"/>
  <c r="AG488" i="24"/>
  <c r="AH488" i="24"/>
  <c r="AI488" i="24"/>
  <c r="AJ488" i="24"/>
  <c r="AG489" i="24"/>
  <c r="AI489" i="24"/>
  <c r="AJ489" i="24"/>
  <c r="AG490" i="24"/>
  <c r="AH490" i="24"/>
  <c r="AI490" i="24"/>
  <c r="AJ490" i="24"/>
  <c r="AG491" i="24"/>
  <c r="AI491" i="24"/>
  <c r="AJ491" i="24"/>
  <c r="AG492" i="24"/>
  <c r="AI492" i="24"/>
  <c r="AJ492" i="24"/>
  <c r="AG493" i="24"/>
  <c r="AI493" i="24"/>
  <c r="AJ493" i="24"/>
  <c r="AG494" i="24"/>
  <c r="AI494" i="24"/>
  <c r="AJ494" i="24"/>
  <c r="AG495" i="24"/>
  <c r="AI495" i="24"/>
  <c r="AJ495" i="24"/>
  <c r="AG496" i="24"/>
  <c r="AI496" i="24"/>
  <c r="AJ496" i="24"/>
  <c r="AG497" i="24"/>
  <c r="AI497" i="24"/>
  <c r="AJ497" i="24"/>
  <c r="AG498" i="24"/>
  <c r="AI498" i="24"/>
  <c r="AJ498" i="24"/>
  <c r="AG499" i="24"/>
  <c r="AI499" i="24"/>
  <c r="AJ499" i="24"/>
  <c r="AG500" i="24"/>
  <c r="AI500" i="24"/>
  <c r="AG501" i="24"/>
  <c r="AI501" i="24"/>
  <c r="AG502" i="24"/>
  <c r="AI502" i="24"/>
  <c r="AJ502" i="24"/>
  <c r="AG503" i="24"/>
  <c r="AI503" i="24"/>
  <c r="AJ503" i="24"/>
  <c r="AG504" i="24"/>
  <c r="AI504" i="24"/>
  <c r="AJ504" i="24"/>
  <c r="AG505" i="24"/>
  <c r="AI505" i="24"/>
  <c r="AJ505" i="24"/>
  <c r="AG506" i="24"/>
  <c r="AI506" i="24"/>
  <c r="AJ506" i="24"/>
  <c r="AG507" i="24"/>
  <c r="AI507" i="24"/>
  <c r="AJ507" i="24"/>
  <c r="AG508" i="24"/>
  <c r="AI508" i="24"/>
  <c r="AJ508" i="24"/>
  <c r="AG509" i="24"/>
  <c r="AI509" i="24"/>
  <c r="AJ509" i="24"/>
  <c r="AG510" i="24"/>
  <c r="AI510" i="24"/>
  <c r="AJ510" i="24"/>
  <c r="AG511" i="24"/>
  <c r="AI511" i="24"/>
  <c r="AJ511" i="24"/>
  <c r="AG512" i="24"/>
  <c r="AI512" i="24"/>
  <c r="AJ512" i="24"/>
  <c r="AG513" i="24"/>
  <c r="AI513" i="24"/>
  <c r="AJ513" i="24"/>
  <c r="AG514" i="24"/>
  <c r="AI514" i="24"/>
  <c r="AJ514" i="24"/>
  <c r="AG515" i="24"/>
  <c r="AI515" i="24"/>
  <c r="AJ515" i="24"/>
  <c r="AG516" i="24"/>
  <c r="AI516" i="24"/>
  <c r="AJ516" i="24"/>
  <c r="AG517" i="24"/>
  <c r="AI517" i="24"/>
  <c r="AJ517" i="24"/>
  <c r="AG518" i="24"/>
  <c r="AI518" i="24"/>
  <c r="AJ518" i="24"/>
  <c r="AG519" i="24"/>
  <c r="AI519" i="24"/>
  <c r="AJ519" i="24"/>
  <c r="AG520" i="24"/>
  <c r="AI520" i="24"/>
  <c r="AJ520" i="24"/>
  <c r="AG521" i="24"/>
  <c r="AI521" i="24"/>
  <c r="AJ521" i="24"/>
  <c r="AG522" i="24"/>
  <c r="AI522" i="24"/>
  <c r="AJ522" i="24"/>
  <c r="AG523" i="24"/>
  <c r="AI523" i="24"/>
  <c r="AJ523" i="24"/>
  <c r="AG524" i="24"/>
  <c r="AI524" i="24"/>
  <c r="AG525" i="24"/>
  <c r="AI525" i="24"/>
  <c r="AJ525" i="24"/>
  <c r="AG526" i="24"/>
  <c r="AH526" i="24"/>
  <c r="AI526" i="24"/>
  <c r="AJ526" i="24"/>
  <c r="AG527" i="24"/>
  <c r="AH527" i="24"/>
  <c r="AI527" i="24"/>
  <c r="AJ527" i="24"/>
  <c r="AG528" i="24"/>
  <c r="AI528" i="24"/>
  <c r="AJ528" i="24"/>
  <c r="AG529" i="24"/>
  <c r="AI529" i="24"/>
  <c r="AJ529" i="24"/>
  <c r="AG530" i="24"/>
  <c r="AI530" i="24"/>
  <c r="AJ530" i="24"/>
  <c r="AG531" i="24"/>
  <c r="AI531" i="24"/>
  <c r="AJ531" i="24"/>
  <c r="AG532" i="24"/>
  <c r="AI532" i="24"/>
  <c r="AG533" i="24"/>
  <c r="AI533" i="24"/>
  <c r="AJ533" i="24"/>
  <c r="AG534" i="24"/>
  <c r="AI534" i="24"/>
  <c r="AG535" i="24"/>
  <c r="AI535" i="24"/>
  <c r="AJ535" i="24"/>
  <c r="AG536" i="24"/>
  <c r="AI536" i="24"/>
  <c r="AJ536" i="24"/>
  <c r="AG537" i="24"/>
  <c r="AI537" i="24"/>
  <c r="AJ537" i="24"/>
  <c r="AG538" i="24"/>
  <c r="AI538" i="24"/>
  <c r="AJ538" i="24"/>
  <c r="AG539" i="24"/>
  <c r="AH539" i="24"/>
  <c r="AI539" i="24"/>
  <c r="AJ539" i="24"/>
  <c r="AG540" i="24"/>
  <c r="AH540" i="24"/>
  <c r="AI540" i="24"/>
  <c r="AJ540" i="24"/>
  <c r="AG541" i="24"/>
  <c r="AH541" i="24"/>
  <c r="AI541" i="24"/>
  <c r="AJ541" i="24"/>
  <c r="AG542" i="24"/>
  <c r="AH542" i="24"/>
  <c r="AI542" i="24"/>
  <c r="AJ542" i="24"/>
  <c r="AG543" i="24"/>
  <c r="AH543" i="24"/>
  <c r="AI543" i="24"/>
  <c r="AJ543" i="24"/>
  <c r="AG544" i="24"/>
  <c r="AH544" i="24"/>
  <c r="AI544" i="24"/>
  <c r="AJ544" i="24"/>
  <c r="AG545" i="24"/>
  <c r="AH545" i="24"/>
  <c r="AI545" i="24"/>
  <c r="AJ545" i="24"/>
  <c r="AG546" i="24"/>
  <c r="AH546" i="24"/>
  <c r="AI546" i="24"/>
  <c r="AJ546" i="24"/>
  <c r="AG547" i="24"/>
  <c r="AH547" i="24"/>
  <c r="AI547" i="24"/>
  <c r="AJ547" i="24"/>
  <c r="AG548" i="24"/>
  <c r="AH548" i="24"/>
  <c r="AI548" i="24"/>
  <c r="AG549" i="24"/>
  <c r="AH549" i="24"/>
  <c r="AI549" i="24"/>
  <c r="AJ549" i="24"/>
  <c r="AG550" i="24"/>
  <c r="AH550" i="24"/>
  <c r="AI550" i="24"/>
  <c r="AG551" i="24"/>
  <c r="AH551" i="24"/>
  <c r="AI551" i="24"/>
  <c r="AJ551" i="24"/>
  <c r="AG552" i="24"/>
  <c r="AH552" i="24"/>
  <c r="AI552" i="24"/>
  <c r="AG553" i="24"/>
  <c r="AH553" i="24"/>
  <c r="AI553" i="24"/>
  <c r="AJ553" i="24"/>
  <c r="AG554" i="24"/>
  <c r="AH554" i="24"/>
  <c r="AI554" i="24"/>
  <c r="AJ554" i="24"/>
  <c r="AG555" i="24"/>
  <c r="AH555" i="24"/>
  <c r="AI555" i="24"/>
  <c r="AJ555" i="24"/>
  <c r="AG556" i="24"/>
  <c r="AH556" i="24"/>
  <c r="AI556" i="24"/>
  <c r="AJ556" i="24"/>
  <c r="AG557" i="24"/>
  <c r="AH557" i="24"/>
  <c r="AI557" i="24"/>
  <c r="AJ557" i="24"/>
  <c r="AG558" i="24"/>
  <c r="AH558" i="24"/>
  <c r="AI558" i="24"/>
  <c r="AJ558" i="24"/>
  <c r="AG559" i="24"/>
  <c r="AH559" i="24"/>
  <c r="AI559" i="24"/>
  <c r="AJ559" i="24"/>
  <c r="AG560" i="24"/>
  <c r="AH560" i="24"/>
  <c r="AI560" i="24"/>
  <c r="AJ560" i="24"/>
  <c r="AG561" i="24"/>
  <c r="AH561" i="24"/>
  <c r="AI561" i="24"/>
  <c r="AJ561" i="24"/>
  <c r="AG562" i="24"/>
  <c r="AH562" i="24"/>
  <c r="AI562" i="24"/>
  <c r="AJ562" i="24"/>
  <c r="AG563" i="24"/>
  <c r="AH563" i="24"/>
  <c r="AI563" i="24"/>
  <c r="AJ563" i="24"/>
  <c r="AG564" i="24"/>
  <c r="AH564" i="24"/>
  <c r="AI564" i="24"/>
  <c r="AJ564" i="24"/>
  <c r="AG565" i="24"/>
  <c r="AH565" i="24"/>
  <c r="AI565" i="24"/>
  <c r="AG566" i="24"/>
  <c r="AH566" i="24"/>
  <c r="AI566" i="24"/>
  <c r="AJ566" i="24"/>
  <c r="AG567" i="24"/>
  <c r="AH567" i="24"/>
  <c r="AI567" i="24"/>
  <c r="AG568" i="24"/>
  <c r="AH568" i="24"/>
  <c r="AI568" i="24"/>
  <c r="AJ568" i="24"/>
  <c r="AG569" i="24"/>
  <c r="AI569" i="24"/>
  <c r="AJ569" i="24"/>
  <c r="AG570" i="24"/>
  <c r="AI570" i="24"/>
  <c r="AJ570" i="24"/>
  <c r="AG571" i="24"/>
  <c r="AI571" i="24"/>
  <c r="AJ571" i="24"/>
  <c r="AG572" i="24"/>
  <c r="AI572" i="24"/>
  <c r="AJ572" i="24"/>
  <c r="AG573" i="24"/>
  <c r="AI573" i="24"/>
  <c r="AJ573" i="24"/>
  <c r="AG574" i="24"/>
  <c r="AH574" i="24"/>
  <c r="AI574" i="24"/>
  <c r="AJ574" i="24"/>
  <c r="AG575" i="24"/>
  <c r="AI575" i="24"/>
  <c r="AJ575" i="24"/>
  <c r="AG576" i="24"/>
  <c r="AI576" i="24"/>
  <c r="AJ576" i="24"/>
  <c r="AG577" i="24"/>
  <c r="AI577" i="24"/>
  <c r="AJ577" i="24"/>
  <c r="AG578" i="24"/>
  <c r="AI578" i="24"/>
  <c r="AJ578" i="24"/>
  <c r="AG579" i="24"/>
  <c r="AI579" i="24"/>
  <c r="AJ579" i="24"/>
  <c r="AG580" i="24"/>
  <c r="AI580" i="24"/>
  <c r="AJ580" i="24"/>
  <c r="AG581" i="24"/>
  <c r="AH581" i="24"/>
  <c r="AI581" i="24"/>
  <c r="AJ581" i="24"/>
  <c r="AG582" i="24"/>
  <c r="AH582" i="24"/>
  <c r="AI582" i="24"/>
  <c r="AJ582" i="24"/>
  <c r="AG583" i="24"/>
  <c r="AH583" i="24"/>
  <c r="AI583" i="24"/>
  <c r="AJ583" i="24"/>
  <c r="AG584" i="24"/>
  <c r="AH584" i="24"/>
  <c r="AI584" i="24"/>
  <c r="AJ584" i="24"/>
  <c r="AG585" i="24"/>
  <c r="AH585" i="24"/>
  <c r="AI585" i="24"/>
  <c r="AJ585" i="24"/>
  <c r="AG586" i="24"/>
  <c r="AH586" i="24"/>
  <c r="AI586" i="24"/>
  <c r="AJ586" i="24"/>
  <c r="AG587" i="24"/>
  <c r="AH587" i="24"/>
  <c r="AI587" i="24"/>
  <c r="AJ587" i="24"/>
  <c r="AG588" i="24"/>
  <c r="AH588" i="24"/>
  <c r="AI588" i="24"/>
  <c r="AJ588" i="24"/>
  <c r="AG589" i="24"/>
  <c r="AH589" i="24"/>
  <c r="AI589" i="24"/>
  <c r="AJ589" i="24"/>
  <c r="AG590" i="24"/>
  <c r="AH590" i="24"/>
  <c r="AI590" i="24"/>
  <c r="AJ590" i="24"/>
  <c r="AG591" i="24"/>
  <c r="AH591" i="24"/>
  <c r="AI591" i="24"/>
  <c r="AJ591" i="24"/>
  <c r="AG592" i="24"/>
  <c r="AH592" i="24"/>
  <c r="AI592" i="24"/>
  <c r="AJ592" i="24"/>
  <c r="AG593" i="24"/>
  <c r="AH593" i="24"/>
  <c r="AI593" i="24"/>
  <c r="AJ593" i="24"/>
  <c r="AG594" i="24"/>
  <c r="AH594" i="24"/>
  <c r="AI594" i="24"/>
  <c r="AG595" i="24"/>
  <c r="AH595" i="24"/>
  <c r="AI595" i="24"/>
  <c r="AJ595" i="24"/>
  <c r="AG596" i="24"/>
  <c r="AH596" i="24"/>
  <c r="AI596" i="24"/>
  <c r="AJ596" i="24"/>
  <c r="AG597" i="24"/>
  <c r="AH597" i="24"/>
  <c r="AI597" i="24"/>
  <c r="AJ597" i="24"/>
  <c r="AG598" i="24"/>
  <c r="AH598" i="24"/>
  <c r="AI598" i="24"/>
  <c r="AJ598" i="24"/>
  <c r="AG599" i="24"/>
  <c r="AH599" i="24"/>
  <c r="AI599" i="24"/>
  <c r="AJ599" i="24"/>
  <c r="AG600" i="24"/>
  <c r="AH600" i="24"/>
  <c r="AI600" i="24"/>
  <c r="AJ600" i="24"/>
  <c r="AG601" i="24"/>
  <c r="AH601" i="24"/>
  <c r="AI601" i="24"/>
  <c r="AJ601" i="24"/>
  <c r="AG602" i="24"/>
  <c r="AH602" i="24"/>
  <c r="AI602" i="24"/>
  <c r="AJ602" i="24"/>
  <c r="AG603" i="24"/>
  <c r="AH603" i="24"/>
  <c r="AI603" i="24"/>
  <c r="AJ603" i="24"/>
  <c r="AG604" i="24"/>
  <c r="AH604" i="24"/>
  <c r="AI604" i="24"/>
  <c r="AJ604" i="24"/>
  <c r="AG605" i="24"/>
  <c r="AH605" i="24"/>
  <c r="AI605" i="24"/>
  <c r="AJ605" i="24"/>
  <c r="AG606" i="24"/>
  <c r="AH606" i="24"/>
  <c r="AI606" i="24"/>
  <c r="AJ606" i="24"/>
  <c r="AG607" i="24"/>
  <c r="AH607" i="24"/>
  <c r="AI607" i="24"/>
  <c r="AJ607" i="24"/>
  <c r="AG608" i="24"/>
  <c r="AI608" i="24"/>
  <c r="AJ608" i="24"/>
  <c r="AG609" i="24"/>
  <c r="AI609" i="24"/>
  <c r="AJ609" i="24"/>
  <c r="AG610" i="24"/>
  <c r="AI610" i="24"/>
  <c r="AJ610" i="24"/>
  <c r="AG611" i="24"/>
  <c r="AI611" i="24"/>
  <c r="AJ611" i="24"/>
  <c r="AG612" i="24"/>
  <c r="AI612" i="24"/>
  <c r="AJ612" i="24"/>
  <c r="AG613" i="24"/>
  <c r="AI613" i="24"/>
  <c r="AJ613" i="24"/>
  <c r="AG614" i="24"/>
  <c r="AI614" i="24"/>
  <c r="AJ614" i="24"/>
  <c r="AG615" i="24"/>
  <c r="AI615" i="24"/>
  <c r="AJ615" i="24"/>
  <c r="AG616" i="24"/>
  <c r="AI616" i="24"/>
  <c r="AJ616" i="24"/>
  <c r="AG617" i="24"/>
  <c r="AI617" i="24"/>
  <c r="AJ617" i="24"/>
  <c r="AG618" i="24"/>
  <c r="AI618" i="24"/>
  <c r="AJ618" i="24"/>
  <c r="AG619" i="24"/>
  <c r="AI619" i="24"/>
  <c r="AJ619" i="24"/>
  <c r="AG620" i="24"/>
  <c r="AI620" i="24"/>
  <c r="AJ620" i="24"/>
  <c r="AG621" i="24"/>
  <c r="AI621" i="24"/>
  <c r="AJ621" i="24"/>
  <c r="AG622" i="24"/>
  <c r="AI622" i="24"/>
  <c r="AJ622" i="24"/>
  <c r="AG623" i="24"/>
  <c r="AI623" i="24"/>
  <c r="AJ623" i="24"/>
  <c r="AG624" i="24"/>
  <c r="AH624" i="24"/>
  <c r="AI624" i="24"/>
  <c r="AJ624" i="24"/>
  <c r="AG625" i="24"/>
  <c r="AH625" i="24"/>
  <c r="AI625" i="24"/>
  <c r="AJ625" i="24"/>
  <c r="AG626" i="24"/>
  <c r="AH626" i="24"/>
  <c r="AI626" i="24"/>
  <c r="AJ626" i="24"/>
  <c r="AG627" i="24"/>
  <c r="AH627" i="24"/>
  <c r="AI627" i="24"/>
  <c r="AJ627" i="24"/>
  <c r="AG628" i="24"/>
  <c r="AH628" i="24"/>
  <c r="AI628" i="24"/>
  <c r="AJ628" i="24"/>
  <c r="AG629" i="24"/>
  <c r="AI629" i="24"/>
  <c r="AJ629" i="24"/>
  <c r="AG630" i="24"/>
  <c r="AI630" i="24"/>
  <c r="AJ630" i="24"/>
  <c r="AG631" i="24"/>
  <c r="AI631" i="24"/>
  <c r="AJ631" i="24"/>
  <c r="AG632" i="24"/>
  <c r="AI632" i="24"/>
  <c r="AG633" i="24"/>
  <c r="AI633" i="24"/>
  <c r="AG634" i="24"/>
  <c r="AH634" i="24"/>
  <c r="AI634" i="24"/>
  <c r="AJ634" i="24"/>
  <c r="AG635" i="24"/>
  <c r="AI635" i="24"/>
  <c r="AJ635" i="24"/>
  <c r="AG636" i="24"/>
  <c r="AI636" i="24"/>
  <c r="AJ636" i="24"/>
  <c r="AG637" i="24"/>
  <c r="AI637" i="24"/>
  <c r="AG638" i="24"/>
  <c r="AI638" i="24"/>
  <c r="AJ638" i="24"/>
  <c r="AG639" i="24"/>
  <c r="AI639" i="24"/>
  <c r="AG640" i="24"/>
  <c r="AI640" i="24"/>
  <c r="AJ640" i="24"/>
  <c r="AG641" i="24"/>
  <c r="AI641" i="24"/>
  <c r="AJ641" i="24"/>
  <c r="AG642" i="24"/>
  <c r="AI642" i="24"/>
  <c r="AJ642" i="24"/>
  <c r="AG643" i="24"/>
  <c r="AI643" i="24"/>
  <c r="AJ643" i="24"/>
  <c r="AG644" i="24"/>
  <c r="AI644" i="24"/>
  <c r="AJ644" i="24"/>
  <c r="AG645" i="24"/>
  <c r="AI645" i="24"/>
  <c r="AJ645" i="24"/>
  <c r="AG646" i="24"/>
  <c r="AH646" i="24"/>
  <c r="AI646" i="24"/>
  <c r="AJ646" i="24"/>
  <c r="AG647" i="24"/>
  <c r="AH647" i="24"/>
  <c r="AI647" i="24"/>
  <c r="AJ647" i="24"/>
  <c r="AG648" i="24"/>
  <c r="AH648" i="24"/>
  <c r="AI648" i="24"/>
  <c r="AJ648" i="24"/>
  <c r="AG649" i="24"/>
  <c r="AH649" i="24"/>
  <c r="AI649" i="24"/>
  <c r="AJ649" i="24"/>
  <c r="AG650" i="24"/>
  <c r="AH650" i="24"/>
  <c r="AI650" i="24"/>
  <c r="AJ650" i="24"/>
  <c r="AG651" i="24"/>
  <c r="AH651" i="24"/>
  <c r="AI651" i="24"/>
  <c r="AJ651" i="24"/>
  <c r="AG652" i="24"/>
  <c r="AI652" i="24"/>
  <c r="AG653" i="24"/>
  <c r="AI653" i="24"/>
  <c r="AJ653" i="24"/>
  <c r="AG654" i="24"/>
  <c r="AI654" i="24"/>
  <c r="AJ654" i="24"/>
  <c r="AG655" i="24"/>
  <c r="AI655" i="24"/>
  <c r="AJ655" i="24"/>
  <c r="AG656" i="24"/>
  <c r="AI656" i="24"/>
  <c r="AJ656" i="24"/>
  <c r="AG657" i="24"/>
  <c r="AI657" i="24"/>
  <c r="AJ657" i="24"/>
  <c r="AG658" i="24"/>
  <c r="AI658" i="24"/>
  <c r="AJ658" i="24"/>
  <c r="AG659" i="24"/>
  <c r="AI659" i="24"/>
  <c r="AJ659" i="24"/>
  <c r="AG660" i="24"/>
  <c r="AI660" i="24"/>
  <c r="AJ660" i="24"/>
  <c r="AG661" i="24"/>
  <c r="AI661" i="24"/>
  <c r="AJ661" i="24"/>
  <c r="AG662" i="24"/>
  <c r="AI662" i="24"/>
  <c r="AJ662" i="24"/>
  <c r="AG663" i="24"/>
  <c r="AH663" i="24"/>
  <c r="AI663" i="24"/>
  <c r="AJ663" i="24"/>
  <c r="AG664" i="24"/>
  <c r="AI664" i="24"/>
  <c r="AJ664" i="24"/>
  <c r="AG665" i="24"/>
  <c r="AI665" i="24"/>
  <c r="AG666" i="24"/>
  <c r="AI666" i="24"/>
  <c r="AJ666" i="24"/>
  <c r="AG667" i="24"/>
  <c r="AI667" i="24"/>
  <c r="AJ667" i="24"/>
  <c r="AG668" i="24"/>
  <c r="AI668" i="24"/>
  <c r="AG669" i="24"/>
  <c r="AH669" i="24"/>
  <c r="AI669" i="24"/>
  <c r="AJ669" i="24"/>
  <c r="AG670" i="24"/>
  <c r="AH670" i="24"/>
  <c r="AI670" i="24"/>
  <c r="AJ670" i="24"/>
  <c r="AG671" i="24"/>
  <c r="AH671" i="24"/>
  <c r="AI671" i="24"/>
  <c r="AJ671" i="24"/>
  <c r="AG672" i="24"/>
  <c r="AH672" i="24"/>
  <c r="AI672" i="24"/>
  <c r="AG673" i="24"/>
  <c r="AH673" i="24"/>
  <c r="AI673" i="24"/>
  <c r="AJ673" i="24"/>
  <c r="AG674" i="24"/>
  <c r="AH674" i="24"/>
  <c r="AI674" i="24"/>
  <c r="AG675" i="24"/>
  <c r="AH675" i="24"/>
  <c r="AI675" i="24"/>
  <c r="AJ675" i="24"/>
  <c r="AG676" i="24"/>
  <c r="AH676" i="24"/>
  <c r="AI676" i="24"/>
  <c r="AJ676" i="24"/>
  <c r="AG677" i="24"/>
  <c r="AH677" i="24"/>
  <c r="AI677" i="24"/>
  <c r="AJ677" i="24"/>
  <c r="AG678" i="24"/>
  <c r="AI678" i="24"/>
  <c r="AJ678" i="24"/>
  <c r="AG679" i="24"/>
  <c r="AI679" i="24"/>
  <c r="AJ679" i="24"/>
  <c r="AG680" i="24"/>
  <c r="AH680" i="24"/>
  <c r="AI680" i="24"/>
  <c r="AJ680" i="24"/>
  <c r="AG681" i="24"/>
  <c r="AI681" i="24"/>
  <c r="AJ681" i="24"/>
  <c r="AG682" i="24"/>
  <c r="AI682" i="24"/>
  <c r="AJ682" i="24"/>
  <c r="AG683" i="24"/>
  <c r="AH683" i="24"/>
  <c r="AI683" i="24"/>
  <c r="AG684" i="24"/>
  <c r="AI684" i="24"/>
  <c r="AJ684" i="24"/>
  <c r="AG685" i="24"/>
  <c r="AI685" i="24"/>
  <c r="AJ685" i="24"/>
  <c r="AG686" i="24"/>
  <c r="AI686" i="24"/>
  <c r="AJ686" i="24"/>
  <c r="AG687" i="24"/>
  <c r="AH687" i="24"/>
  <c r="AI687" i="24"/>
  <c r="AJ687" i="24"/>
  <c r="AG688" i="24"/>
  <c r="AH688" i="24"/>
  <c r="AI688" i="24"/>
  <c r="AJ688" i="24"/>
  <c r="AG689" i="24"/>
  <c r="AI689" i="24"/>
  <c r="AJ689" i="24"/>
  <c r="AG690" i="24"/>
  <c r="AH690" i="24"/>
  <c r="AI690" i="24"/>
  <c r="AJ690" i="24"/>
  <c r="AG691" i="24"/>
  <c r="AH691" i="24"/>
  <c r="AI691" i="24"/>
  <c r="AJ691" i="24"/>
  <c r="AG692" i="24"/>
  <c r="AH692" i="24"/>
  <c r="AI692" i="24"/>
  <c r="AJ692" i="24"/>
  <c r="AG693" i="24"/>
  <c r="AH693" i="24"/>
  <c r="AI693" i="24"/>
  <c r="AG694" i="24"/>
  <c r="AH694" i="24"/>
  <c r="AI694" i="24"/>
  <c r="AJ694" i="24"/>
  <c r="AG695" i="24"/>
  <c r="AH695" i="24"/>
  <c r="AI695" i="24"/>
  <c r="AJ695" i="24"/>
  <c r="AG696" i="24"/>
  <c r="AI696" i="24"/>
  <c r="AJ696" i="24"/>
  <c r="AG697" i="24"/>
  <c r="AI697" i="24"/>
  <c r="AJ697" i="24"/>
  <c r="AG698" i="24"/>
  <c r="AI698" i="24"/>
  <c r="AJ698" i="24"/>
  <c r="AG699" i="24"/>
  <c r="AI699" i="24"/>
  <c r="AJ699" i="24"/>
  <c r="AG700" i="24"/>
  <c r="AI700" i="24"/>
  <c r="AJ700" i="24"/>
  <c r="AG701" i="24"/>
  <c r="AI701" i="24"/>
  <c r="AJ701" i="24"/>
  <c r="AG702" i="24"/>
  <c r="AI702" i="24"/>
  <c r="AJ702" i="24"/>
  <c r="AG703" i="24"/>
  <c r="AI703" i="24"/>
  <c r="AJ703" i="24"/>
  <c r="AG704" i="24"/>
  <c r="AI704" i="24"/>
  <c r="AJ704" i="24"/>
  <c r="AG705" i="24"/>
  <c r="AI705" i="24"/>
  <c r="AJ705" i="24"/>
  <c r="AG706" i="24"/>
  <c r="AI706" i="24"/>
  <c r="AJ706" i="24"/>
  <c r="AG707" i="24"/>
  <c r="AI707" i="24"/>
  <c r="AJ707" i="24"/>
  <c r="AG708" i="24"/>
  <c r="AI708" i="24"/>
  <c r="AJ708" i="24"/>
  <c r="AG709" i="24"/>
  <c r="AI709" i="24"/>
  <c r="AJ709" i="24"/>
  <c r="AG710" i="24"/>
  <c r="AI710" i="24"/>
  <c r="AJ710" i="24"/>
  <c r="AG711" i="24"/>
  <c r="AI711" i="24"/>
  <c r="AJ711" i="24"/>
  <c r="AG712" i="24"/>
  <c r="AI712" i="24"/>
  <c r="AG713" i="24"/>
  <c r="AI713" i="24"/>
  <c r="AJ713" i="24"/>
  <c r="AG714" i="24"/>
  <c r="AI714" i="24"/>
  <c r="AJ714" i="24"/>
  <c r="AG715" i="24"/>
  <c r="AI715" i="24"/>
  <c r="AJ715" i="24"/>
  <c r="AG716" i="24"/>
  <c r="AI716" i="24"/>
  <c r="AJ716" i="24"/>
  <c r="AG717" i="24"/>
  <c r="AI717" i="24"/>
  <c r="AG718" i="24"/>
  <c r="AI718" i="24"/>
  <c r="AJ718" i="24"/>
  <c r="AG719" i="24"/>
  <c r="AI719" i="24"/>
  <c r="AG720" i="24"/>
  <c r="AI720" i="24"/>
  <c r="AJ720" i="24"/>
  <c r="AG721" i="24"/>
  <c r="AH721" i="24"/>
  <c r="AI721" i="24"/>
  <c r="AJ721" i="24"/>
  <c r="AG722" i="24"/>
  <c r="AH722" i="24"/>
  <c r="AI722" i="24"/>
  <c r="AJ722" i="24"/>
  <c r="AG723" i="24"/>
  <c r="AH723" i="24"/>
  <c r="AI723" i="24"/>
  <c r="AJ723" i="24"/>
  <c r="AG724" i="24"/>
  <c r="AH724" i="24"/>
  <c r="AI724" i="24"/>
  <c r="AJ724" i="24"/>
  <c r="AG725" i="24"/>
  <c r="AI725" i="24"/>
  <c r="AJ725" i="24"/>
  <c r="AG726" i="24"/>
  <c r="AI726" i="24"/>
  <c r="AJ726" i="24"/>
  <c r="AG727" i="24"/>
  <c r="AI727" i="24"/>
  <c r="AJ727" i="24"/>
  <c r="AG728" i="24"/>
  <c r="AI728" i="24"/>
  <c r="AJ728" i="24"/>
  <c r="AG729" i="24"/>
  <c r="AI729" i="24"/>
  <c r="AJ729" i="24"/>
  <c r="AG730" i="24"/>
  <c r="AI730" i="24"/>
  <c r="AJ730" i="24"/>
  <c r="AG731" i="24"/>
  <c r="AI731" i="24"/>
  <c r="AJ731" i="24"/>
  <c r="AG732" i="24"/>
  <c r="AI732" i="24"/>
  <c r="AJ732" i="24"/>
  <c r="AG733" i="24"/>
  <c r="AI733" i="24"/>
  <c r="AJ733" i="24"/>
  <c r="AG734" i="24"/>
  <c r="AI734" i="24"/>
  <c r="AJ734" i="24"/>
  <c r="AG735" i="24"/>
  <c r="AI735" i="24"/>
  <c r="AJ735" i="24"/>
  <c r="AG736" i="24"/>
  <c r="AI736" i="24"/>
  <c r="AJ736" i="24"/>
  <c r="AG737" i="24"/>
  <c r="AI737" i="24"/>
  <c r="AJ737" i="24"/>
  <c r="AG738" i="24"/>
  <c r="AI738" i="24"/>
  <c r="AJ738" i="24"/>
  <c r="AG739" i="24"/>
  <c r="AI739" i="24"/>
  <c r="AJ739" i="24"/>
  <c r="AG740" i="24"/>
  <c r="AI740" i="24"/>
  <c r="AJ740" i="24"/>
  <c r="AG741" i="24"/>
  <c r="AI741" i="24"/>
  <c r="AJ741" i="24"/>
  <c r="AG742" i="24"/>
  <c r="AI742" i="24"/>
  <c r="AJ742" i="24"/>
  <c r="AG743" i="24"/>
  <c r="AI743" i="24"/>
  <c r="AJ743" i="24"/>
  <c r="AG744" i="24"/>
  <c r="AI744" i="24"/>
  <c r="AJ744" i="24"/>
  <c r="AG745" i="24"/>
  <c r="AI745" i="24"/>
  <c r="AG746" i="24"/>
  <c r="AH746" i="24"/>
  <c r="AI746" i="24"/>
  <c r="AJ746" i="24"/>
  <c r="AG747" i="24"/>
  <c r="AH747" i="24"/>
  <c r="AI747" i="24"/>
  <c r="AJ747" i="24"/>
  <c r="AG748" i="24"/>
  <c r="AH748" i="24"/>
  <c r="AI748" i="24"/>
  <c r="AJ748" i="24"/>
  <c r="AG749" i="24"/>
  <c r="AH749" i="24"/>
  <c r="AI749" i="24"/>
  <c r="AG750" i="24"/>
  <c r="AH750" i="24"/>
  <c r="AI750" i="24"/>
  <c r="AJ750" i="24"/>
  <c r="AG751" i="24"/>
  <c r="AH751" i="24"/>
  <c r="AI751" i="24"/>
  <c r="AG752" i="24"/>
  <c r="AH752" i="24"/>
  <c r="AI752" i="24"/>
  <c r="AJ752" i="24"/>
  <c r="AG753" i="24"/>
  <c r="AH753" i="24"/>
  <c r="AI753" i="24"/>
  <c r="AJ753" i="24"/>
  <c r="AG754" i="24"/>
  <c r="AH754" i="24"/>
  <c r="AI754" i="24"/>
  <c r="AG755" i="24"/>
  <c r="AH755" i="24"/>
  <c r="AI755" i="24"/>
  <c r="AJ755" i="24"/>
  <c r="AG756" i="24"/>
  <c r="AH756" i="24"/>
  <c r="AI756" i="24"/>
  <c r="AJ756" i="24"/>
  <c r="AG757" i="24"/>
  <c r="AH757" i="24"/>
  <c r="AI757" i="24"/>
  <c r="AJ757" i="24"/>
  <c r="AG758" i="24"/>
  <c r="AH758" i="24"/>
  <c r="AI758" i="24"/>
  <c r="AJ758" i="24"/>
  <c r="AG759" i="24"/>
  <c r="AI759" i="24"/>
  <c r="AJ759" i="24"/>
  <c r="AG760" i="24"/>
  <c r="AH760" i="24"/>
  <c r="AI760" i="24"/>
  <c r="AJ760" i="24"/>
  <c r="AG761" i="24"/>
  <c r="AI761" i="24"/>
  <c r="AG762" i="24"/>
  <c r="AI762" i="24"/>
  <c r="AJ762" i="24"/>
  <c r="AG763" i="24"/>
  <c r="AH763" i="24"/>
  <c r="AI763" i="24"/>
  <c r="AJ763" i="24"/>
  <c r="AG764" i="24"/>
  <c r="AH764" i="24"/>
  <c r="AI764" i="24"/>
  <c r="AJ764" i="24"/>
  <c r="AG765" i="24"/>
  <c r="AH765" i="24"/>
  <c r="AI765" i="24"/>
  <c r="AJ765" i="24"/>
  <c r="AG766" i="24"/>
  <c r="AH766" i="24"/>
  <c r="AI766" i="24"/>
  <c r="AJ766" i="24"/>
  <c r="AG767" i="24"/>
  <c r="AH767" i="24"/>
  <c r="AI767" i="24"/>
  <c r="AJ767" i="24"/>
  <c r="AG768" i="24"/>
  <c r="AH768" i="24"/>
  <c r="AI768" i="24"/>
  <c r="AJ768" i="24"/>
  <c r="AG769" i="24"/>
  <c r="AH769" i="24"/>
  <c r="AI769" i="24"/>
  <c r="AJ769" i="24"/>
  <c r="AG770" i="24"/>
  <c r="AI770" i="24"/>
  <c r="AJ770" i="24"/>
  <c r="AG771" i="24"/>
  <c r="AI771" i="24"/>
  <c r="AJ771" i="24"/>
  <c r="AG772" i="24"/>
  <c r="AH772" i="24"/>
  <c r="AI772" i="24"/>
  <c r="AJ772" i="24"/>
  <c r="AG773" i="24"/>
  <c r="AI773" i="24"/>
  <c r="AG774" i="24"/>
  <c r="AH774" i="24"/>
  <c r="AI774" i="24"/>
  <c r="AJ774" i="24"/>
  <c r="AG775" i="24"/>
  <c r="AH775" i="24"/>
  <c r="AI775" i="24"/>
  <c r="AJ775" i="24"/>
  <c r="AG776" i="24"/>
  <c r="AH776" i="24"/>
  <c r="AI776" i="24"/>
  <c r="AJ776" i="24"/>
  <c r="AG777" i="24"/>
  <c r="AH777" i="24"/>
  <c r="AI777" i="24"/>
  <c r="AJ777" i="24"/>
  <c r="AG778" i="24"/>
  <c r="AH778" i="24"/>
  <c r="AI778" i="24"/>
  <c r="AJ778" i="24"/>
  <c r="AG779" i="24"/>
  <c r="AH779" i="24"/>
  <c r="AI779" i="24"/>
  <c r="AJ779" i="24"/>
  <c r="AG780" i="24"/>
  <c r="AH780" i="24"/>
  <c r="AI780" i="24"/>
  <c r="AJ780" i="24"/>
  <c r="AG781" i="24"/>
  <c r="AH781" i="24"/>
  <c r="AI781" i="24"/>
  <c r="AG782" i="24"/>
  <c r="AH782" i="24"/>
  <c r="AI782" i="24"/>
  <c r="AG783" i="24"/>
  <c r="AH783" i="24"/>
  <c r="AI783" i="24"/>
  <c r="AG784" i="24"/>
  <c r="AH784" i="24"/>
  <c r="AI784" i="24"/>
  <c r="AJ784" i="24"/>
  <c r="AG785" i="24"/>
  <c r="AH785" i="24"/>
  <c r="AI785" i="24"/>
  <c r="AJ785" i="24"/>
  <c r="AG786" i="24"/>
  <c r="AH786" i="24"/>
  <c r="AI786" i="24"/>
  <c r="AJ786" i="24"/>
  <c r="AG787" i="24"/>
  <c r="AH787" i="24"/>
  <c r="AI787" i="24"/>
  <c r="AJ787" i="24"/>
  <c r="AG788" i="24"/>
  <c r="AI788" i="24"/>
  <c r="AJ788" i="24"/>
  <c r="AG789" i="24"/>
  <c r="AI789" i="24"/>
  <c r="AJ789" i="24"/>
  <c r="AG790" i="24"/>
  <c r="AI790" i="24"/>
  <c r="AJ790" i="24"/>
  <c r="AG791" i="24"/>
  <c r="AI791" i="24"/>
  <c r="AJ791" i="24"/>
  <c r="AG792" i="24"/>
  <c r="AI792" i="24"/>
  <c r="AJ792" i="24"/>
  <c r="AG793" i="24"/>
  <c r="AI793" i="24"/>
  <c r="AJ793" i="24"/>
  <c r="AG794" i="24"/>
  <c r="AI794" i="24"/>
  <c r="AJ794" i="24"/>
  <c r="AG795" i="24"/>
  <c r="AI795" i="24"/>
  <c r="AJ795" i="24"/>
  <c r="AG796" i="24"/>
  <c r="AI796" i="24"/>
  <c r="AJ796" i="24"/>
  <c r="AG797" i="24"/>
  <c r="AI797" i="24"/>
  <c r="AJ797" i="24"/>
  <c r="AG798" i="24"/>
  <c r="AI798" i="24"/>
  <c r="AJ798" i="24"/>
  <c r="AG799" i="24"/>
  <c r="AI799" i="24"/>
  <c r="AJ799" i="24"/>
  <c r="AG800" i="24"/>
  <c r="AI800" i="24"/>
  <c r="AJ800" i="24"/>
  <c r="AG801" i="24"/>
  <c r="AI801" i="24"/>
  <c r="AJ801" i="24"/>
  <c r="AG802" i="24"/>
  <c r="AI802" i="24"/>
  <c r="AJ802" i="24"/>
  <c r="AG803" i="24"/>
  <c r="AI803" i="24"/>
  <c r="AJ803" i="24"/>
  <c r="AG804" i="24"/>
  <c r="AI804" i="24"/>
  <c r="AG805" i="24"/>
  <c r="AH805" i="24"/>
  <c r="AI805" i="24"/>
  <c r="AJ805" i="24"/>
  <c r="AG806" i="24"/>
  <c r="AH806" i="24"/>
  <c r="AI806" i="24"/>
  <c r="AJ806" i="24"/>
  <c r="AG807" i="24"/>
  <c r="AH807" i="24"/>
  <c r="AI807" i="24"/>
  <c r="AJ807" i="24"/>
  <c r="AG808" i="24"/>
  <c r="AI808" i="24"/>
  <c r="AJ808" i="24"/>
  <c r="AG809" i="24"/>
  <c r="AH809" i="24"/>
  <c r="AI809" i="24"/>
  <c r="AJ809" i="24"/>
  <c r="AG810" i="24"/>
  <c r="AI810" i="24"/>
  <c r="AJ810" i="24"/>
  <c r="AG811" i="24"/>
  <c r="AI811" i="24"/>
  <c r="AJ811" i="24"/>
  <c r="AG812" i="24"/>
  <c r="AH812" i="24"/>
  <c r="AI812" i="24"/>
  <c r="AJ812" i="24"/>
  <c r="AG813" i="24"/>
  <c r="AH813" i="24"/>
  <c r="AI813" i="24"/>
  <c r="AJ813" i="24"/>
  <c r="AG814" i="24"/>
  <c r="AH814" i="24"/>
  <c r="AI814" i="24"/>
  <c r="AJ814" i="24"/>
  <c r="AG815" i="24"/>
  <c r="AH815" i="24"/>
  <c r="AI815" i="24"/>
  <c r="AJ815" i="24"/>
  <c r="AG816" i="24"/>
  <c r="AI816" i="24"/>
  <c r="AJ816" i="24"/>
  <c r="AG817" i="24"/>
  <c r="AI817" i="24"/>
  <c r="AJ817" i="24"/>
  <c r="AG818" i="24"/>
  <c r="AH818" i="24"/>
  <c r="AI818" i="24"/>
  <c r="AJ818" i="24"/>
  <c r="AG819" i="24"/>
  <c r="AI819" i="24"/>
  <c r="AG820" i="24"/>
  <c r="AH820" i="24"/>
  <c r="AI820" i="24"/>
  <c r="AJ820" i="24"/>
  <c r="AG821" i="24"/>
  <c r="AH821" i="24"/>
  <c r="AI821" i="24"/>
  <c r="AJ821" i="24"/>
  <c r="AG822" i="24"/>
  <c r="AH822" i="24"/>
  <c r="AI822" i="24"/>
  <c r="AJ822" i="24"/>
  <c r="AG823" i="24"/>
  <c r="AH823" i="24"/>
  <c r="AI823" i="24"/>
  <c r="AG824" i="24"/>
  <c r="AH824" i="24"/>
  <c r="AI824" i="24"/>
  <c r="AJ824" i="24"/>
  <c r="AG825" i="24"/>
  <c r="AH825" i="24"/>
  <c r="AI825" i="24"/>
  <c r="AJ825" i="24"/>
  <c r="AG826" i="24"/>
  <c r="AH826" i="24"/>
  <c r="AI826" i="24"/>
  <c r="AJ826" i="24"/>
  <c r="AG827" i="24"/>
  <c r="AH827" i="24"/>
  <c r="AI827" i="24"/>
  <c r="AJ827" i="24"/>
  <c r="AG828" i="24"/>
  <c r="AH828" i="24"/>
  <c r="AI828" i="24"/>
  <c r="AJ828" i="24"/>
  <c r="AG829" i="24"/>
  <c r="AH829" i="24"/>
  <c r="AI829" i="24"/>
  <c r="AG830" i="24"/>
  <c r="AH830" i="24"/>
  <c r="AI830" i="24"/>
  <c r="AJ830" i="24"/>
  <c r="AG831" i="24"/>
  <c r="AH831" i="24"/>
  <c r="AI831" i="24"/>
  <c r="AJ831" i="24"/>
  <c r="AG832" i="24"/>
  <c r="AH832" i="24"/>
  <c r="AI832" i="24"/>
  <c r="AG833" i="24"/>
  <c r="AH833" i="24"/>
  <c r="AI833" i="24"/>
  <c r="AJ833" i="24"/>
  <c r="AG834" i="24"/>
  <c r="AH834" i="24"/>
  <c r="AI834" i="24"/>
  <c r="AJ834" i="24"/>
  <c r="AG835" i="24"/>
  <c r="AI835" i="24"/>
  <c r="AJ835" i="24"/>
  <c r="AG836" i="24"/>
  <c r="AI836" i="24"/>
  <c r="AJ836" i="24"/>
  <c r="AG837" i="24"/>
  <c r="AI837" i="24"/>
  <c r="AJ837" i="24"/>
  <c r="AG838" i="24"/>
  <c r="AI838" i="24"/>
  <c r="AJ838" i="24"/>
  <c r="AG839" i="24"/>
  <c r="AI839" i="24"/>
  <c r="AJ839" i="24"/>
  <c r="AG840" i="24"/>
  <c r="AI840" i="24"/>
  <c r="AJ840" i="24"/>
  <c r="AG841" i="24"/>
  <c r="AI841" i="24"/>
  <c r="AJ841" i="24"/>
  <c r="AG842" i="24"/>
  <c r="AH842" i="24"/>
  <c r="AI842" i="24"/>
  <c r="AJ842" i="24"/>
  <c r="AG843" i="24"/>
  <c r="AI843" i="24"/>
  <c r="AJ843" i="24"/>
  <c r="AG844" i="24"/>
  <c r="AI844" i="24"/>
  <c r="AJ844" i="24"/>
  <c r="AG845" i="24"/>
  <c r="AI845" i="24"/>
  <c r="AJ845" i="24"/>
  <c r="AG846" i="24"/>
  <c r="AI846" i="24"/>
  <c r="AJ846" i="24"/>
  <c r="AG847" i="24"/>
  <c r="AI847" i="24"/>
  <c r="AJ847" i="24"/>
  <c r="AG848" i="24"/>
  <c r="AI848" i="24"/>
  <c r="AJ848" i="24"/>
  <c r="AG849" i="24"/>
  <c r="AI849" i="24"/>
  <c r="AJ849" i="24"/>
  <c r="AG850" i="24"/>
  <c r="AH850" i="24"/>
  <c r="AI850" i="24"/>
  <c r="AJ850" i="24"/>
  <c r="AG851" i="24"/>
  <c r="AH851" i="24"/>
  <c r="AI851" i="24"/>
  <c r="AJ851" i="24"/>
  <c r="AG852" i="24"/>
  <c r="AH852" i="24"/>
  <c r="AI852" i="24"/>
  <c r="AJ852" i="24"/>
  <c r="AG853" i="24"/>
  <c r="AH853" i="24"/>
  <c r="AI853" i="24"/>
  <c r="AJ853" i="24"/>
  <c r="AG854" i="24"/>
  <c r="AH854" i="24"/>
  <c r="AI854" i="24"/>
  <c r="AJ854" i="24"/>
  <c r="AG855" i="24"/>
  <c r="AH855" i="24"/>
  <c r="AI855" i="24"/>
  <c r="AJ855" i="24"/>
  <c r="AG856" i="24"/>
  <c r="AH856" i="24"/>
  <c r="AI856" i="24"/>
  <c r="AJ856" i="24"/>
  <c r="AG857" i="24"/>
  <c r="AH857" i="24"/>
  <c r="AI857" i="24"/>
  <c r="AJ857" i="24"/>
  <c r="AG858" i="24"/>
  <c r="AH858" i="24"/>
  <c r="AI858" i="24"/>
  <c r="AJ858" i="24"/>
  <c r="AG859" i="24"/>
  <c r="AH859" i="24"/>
  <c r="AI859" i="24"/>
  <c r="AJ859" i="24"/>
  <c r="AG860" i="24"/>
  <c r="AH860" i="24"/>
  <c r="AI860" i="24"/>
  <c r="AJ860" i="24"/>
  <c r="AG861" i="24"/>
  <c r="AH861" i="24"/>
  <c r="AI861" i="24"/>
  <c r="AJ861" i="24"/>
  <c r="AG862" i="24"/>
  <c r="AH862" i="24"/>
  <c r="AI862" i="24"/>
  <c r="AJ862" i="24"/>
  <c r="AG863" i="24"/>
  <c r="AH863" i="24"/>
  <c r="AI863" i="24"/>
  <c r="AJ863" i="24"/>
  <c r="AG864" i="24"/>
  <c r="AH864" i="24"/>
  <c r="AI864" i="24"/>
  <c r="AG865" i="24"/>
  <c r="AH865" i="24"/>
  <c r="AI865" i="24"/>
  <c r="AJ865" i="24"/>
  <c r="AG866" i="24"/>
  <c r="AH866" i="24"/>
  <c r="AI866" i="24"/>
  <c r="AJ866" i="24"/>
  <c r="AG867" i="24"/>
  <c r="AH867" i="24"/>
  <c r="AI867" i="24"/>
  <c r="AJ867" i="24"/>
  <c r="AG868" i="24"/>
  <c r="AI868" i="24"/>
  <c r="AJ868" i="24"/>
  <c r="AG869" i="24"/>
  <c r="AI869" i="24"/>
  <c r="AJ869" i="24"/>
  <c r="AG870" i="24"/>
  <c r="AI870" i="24"/>
  <c r="AJ870" i="24"/>
  <c r="AG871" i="24"/>
  <c r="AI871" i="24"/>
  <c r="AJ871" i="24"/>
  <c r="AG872" i="24"/>
  <c r="AI872" i="24"/>
  <c r="AJ872" i="24"/>
  <c r="AG873" i="24"/>
  <c r="AI873" i="24"/>
  <c r="AJ873" i="24"/>
  <c r="AG874" i="24"/>
  <c r="AI874" i="24"/>
  <c r="AJ874" i="24"/>
  <c r="AG875" i="24"/>
  <c r="AI875" i="24"/>
  <c r="AJ875" i="24"/>
  <c r="AG876" i="24"/>
  <c r="AI876" i="24"/>
  <c r="AJ876" i="24"/>
  <c r="AG877" i="24"/>
  <c r="AI877" i="24"/>
  <c r="AJ877" i="24"/>
  <c r="AG878" i="24"/>
  <c r="AH878" i="24"/>
  <c r="AI878" i="24"/>
  <c r="AJ878" i="24"/>
  <c r="AG879" i="24"/>
  <c r="AI879" i="24"/>
  <c r="AJ879" i="24"/>
  <c r="AG880" i="24"/>
  <c r="AH880" i="24"/>
  <c r="AI880" i="24"/>
  <c r="AJ880" i="24"/>
  <c r="AG881" i="24"/>
  <c r="AH881" i="24"/>
  <c r="AI881" i="24"/>
  <c r="AG882" i="24"/>
  <c r="AH882" i="24"/>
  <c r="AI882" i="24"/>
  <c r="AJ882" i="24"/>
  <c r="AG883" i="24"/>
  <c r="AH883" i="24"/>
  <c r="AI883" i="24"/>
  <c r="AJ883" i="24"/>
  <c r="AG884" i="24"/>
  <c r="AH884" i="24"/>
  <c r="AI884" i="24"/>
  <c r="AJ884" i="24"/>
  <c r="AG885" i="24"/>
  <c r="AH885" i="24"/>
  <c r="AI885" i="24"/>
  <c r="AJ885" i="24"/>
  <c r="AG886" i="24"/>
  <c r="AH886" i="24"/>
  <c r="AI886" i="24"/>
  <c r="AJ886" i="24"/>
  <c r="AG887" i="24"/>
  <c r="AI887" i="24"/>
  <c r="AJ887" i="24"/>
  <c r="AG888" i="24"/>
  <c r="AI888" i="24"/>
  <c r="AJ888" i="24"/>
  <c r="AG889" i="24"/>
  <c r="AI889" i="24"/>
  <c r="AJ889" i="24"/>
  <c r="AG890" i="24"/>
  <c r="AI890" i="24"/>
  <c r="AJ890" i="24"/>
  <c r="AG891" i="24"/>
  <c r="AI891" i="24"/>
  <c r="AJ891" i="24"/>
  <c r="AG892" i="24"/>
  <c r="AI892" i="24"/>
  <c r="AJ892" i="24"/>
  <c r="AG893" i="24"/>
  <c r="AI893" i="24"/>
  <c r="AJ893" i="24"/>
  <c r="AG894" i="24"/>
  <c r="AI894" i="24"/>
  <c r="AJ894" i="24"/>
  <c r="AG895" i="24"/>
  <c r="AI895" i="24"/>
  <c r="AG896" i="24"/>
  <c r="AI896" i="24"/>
  <c r="AJ896" i="24"/>
  <c r="AG897" i="24"/>
  <c r="AI897" i="24"/>
  <c r="AG898" i="24"/>
  <c r="AI898" i="24"/>
  <c r="AJ898" i="24"/>
  <c r="AG899" i="24"/>
  <c r="AI899" i="24"/>
  <c r="AJ899" i="24"/>
  <c r="AG900" i="24"/>
  <c r="AH900" i="24"/>
  <c r="AI900" i="24"/>
  <c r="AJ900" i="24"/>
  <c r="AG901" i="24"/>
  <c r="AI901" i="24"/>
  <c r="AJ901" i="24"/>
  <c r="AG902" i="24"/>
  <c r="AI902" i="24"/>
  <c r="AJ902" i="24"/>
  <c r="AG903" i="24"/>
  <c r="AI903" i="24"/>
  <c r="AJ903" i="24"/>
  <c r="AG904" i="24"/>
  <c r="AI904" i="24"/>
  <c r="AJ904" i="24"/>
  <c r="AG905" i="24"/>
  <c r="AH905" i="24"/>
  <c r="AI905" i="24"/>
  <c r="AJ905" i="24"/>
  <c r="AG906" i="24"/>
  <c r="AH906" i="24"/>
  <c r="AI906" i="24"/>
  <c r="AJ906" i="24"/>
  <c r="AG907" i="24"/>
  <c r="AH907" i="24"/>
  <c r="AI907" i="24"/>
  <c r="AJ907" i="24"/>
  <c r="AG908" i="24"/>
  <c r="AH908" i="24"/>
  <c r="AI908" i="24"/>
  <c r="AJ908" i="24"/>
  <c r="AG909" i="24"/>
  <c r="AH909" i="24"/>
  <c r="AI909" i="24"/>
  <c r="AJ909" i="24"/>
  <c r="AG910" i="24"/>
  <c r="AI910" i="24"/>
  <c r="AJ910" i="24"/>
  <c r="AG911" i="24"/>
  <c r="AI911" i="24"/>
  <c r="AJ911" i="24"/>
  <c r="AG912" i="24"/>
  <c r="AI912" i="24"/>
  <c r="AG913" i="24"/>
  <c r="AH913" i="24"/>
  <c r="AI913" i="24"/>
  <c r="AJ913" i="24"/>
  <c r="AG914" i="24"/>
  <c r="AH914" i="24"/>
  <c r="AI914" i="24"/>
  <c r="AJ914" i="24"/>
  <c r="AG915" i="24"/>
  <c r="AH915" i="24"/>
  <c r="AI915" i="24"/>
  <c r="AJ915" i="24"/>
  <c r="AG916" i="24"/>
  <c r="AH916" i="24"/>
  <c r="AI916" i="24"/>
  <c r="AG917" i="24"/>
  <c r="AH917" i="24"/>
  <c r="AI917" i="24"/>
  <c r="AJ917" i="24"/>
  <c r="AG918" i="24"/>
  <c r="AH918" i="24"/>
  <c r="AI918" i="24"/>
  <c r="AG919" i="24"/>
  <c r="AH919" i="24"/>
  <c r="AI919" i="24"/>
  <c r="AJ919" i="24"/>
  <c r="AG920" i="24"/>
  <c r="AI920" i="24"/>
  <c r="AJ920" i="24"/>
  <c r="AG921" i="24"/>
  <c r="AI921" i="24"/>
  <c r="AJ921" i="24"/>
  <c r="AG922" i="24"/>
  <c r="AH922" i="24"/>
  <c r="AI922" i="24"/>
  <c r="AJ922" i="24"/>
  <c r="AG923" i="24"/>
  <c r="AI923" i="24"/>
  <c r="AJ923" i="24"/>
  <c r="AG924" i="24"/>
  <c r="AI924" i="24"/>
  <c r="AJ924" i="24"/>
  <c r="AG925" i="24"/>
  <c r="AH925" i="24"/>
  <c r="AI925" i="24"/>
  <c r="AJ925" i="24"/>
  <c r="AG926" i="24"/>
  <c r="AI926" i="24"/>
  <c r="AJ926" i="24"/>
  <c r="AG927" i="24"/>
  <c r="AI927" i="24"/>
  <c r="AJ927" i="24"/>
  <c r="AG928" i="24"/>
  <c r="AH928" i="24"/>
  <c r="AI928" i="24"/>
  <c r="AJ928" i="24"/>
  <c r="AG929" i="24"/>
  <c r="AH929" i="24"/>
  <c r="AI929" i="24"/>
  <c r="AJ929" i="24"/>
  <c r="AG930" i="24"/>
  <c r="AH930" i="24"/>
  <c r="AI930" i="24"/>
  <c r="AJ930" i="24"/>
  <c r="AG931" i="24"/>
  <c r="AH931" i="24"/>
  <c r="AI931" i="24"/>
  <c r="AG932" i="24"/>
  <c r="AH932" i="24"/>
  <c r="AI932" i="24"/>
  <c r="AJ932" i="24"/>
  <c r="AG933" i="24"/>
  <c r="AH933" i="24"/>
  <c r="AI933" i="24"/>
  <c r="AJ933" i="24"/>
  <c r="AG934" i="24"/>
  <c r="AH934" i="24"/>
  <c r="AI934" i="24"/>
  <c r="AJ934" i="24"/>
  <c r="AG935" i="24"/>
  <c r="AH935" i="24"/>
  <c r="AI935" i="24"/>
  <c r="AJ935" i="24"/>
  <c r="AG936" i="24"/>
  <c r="AH936" i="24"/>
  <c r="AI936" i="24"/>
  <c r="AJ936" i="24"/>
  <c r="AG937" i="24"/>
  <c r="AH937" i="24"/>
  <c r="AI937" i="24"/>
  <c r="AJ937" i="24"/>
  <c r="AG938" i="24"/>
  <c r="AH938" i="24"/>
  <c r="AI938" i="24"/>
  <c r="AJ938" i="24"/>
  <c r="AG939" i="24"/>
  <c r="AH939" i="24"/>
  <c r="AI939" i="24"/>
  <c r="AJ939" i="24"/>
  <c r="AG940" i="24"/>
  <c r="AH940" i="24"/>
  <c r="AI940" i="24"/>
  <c r="AJ940" i="24"/>
  <c r="AG941" i="24"/>
  <c r="AH941" i="24"/>
  <c r="AI941" i="24"/>
  <c r="AJ941" i="24"/>
  <c r="AG942" i="24"/>
  <c r="AH942" i="24"/>
  <c r="AI942" i="24"/>
  <c r="AJ942" i="24"/>
  <c r="AG943" i="24"/>
  <c r="AH943" i="24"/>
  <c r="AI943" i="24"/>
  <c r="AJ943" i="24"/>
  <c r="AG944" i="24"/>
  <c r="AH944" i="24"/>
  <c r="AI944" i="24"/>
  <c r="AJ944" i="24"/>
  <c r="AG945" i="24"/>
  <c r="AH945" i="24"/>
  <c r="AI945" i="24"/>
  <c r="AJ945" i="24"/>
  <c r="AG946" i="24"/>
  <c r="AH946" i="24"/>
  <c r="AI946" i="24"/>
  <c r="AG947" i="24"/>
  <c r="AH947" i="24"/>
  <c r="AI947" i="24"/>
  <c r="AJ947" i="24"/>
  <c r="AG948" i="24"/>
  <c r="AH948" i="24"/>
  <c r="AI948" i="24"/>
  <c r="AJ948" i="24"/>
  <c r="AG949" i="24"/>
  <c r="AH949" i="24"/>
  <c r="AI949" i="24"/>
  <c r="AJ949" i="24"/>
  <c r="AG950" i="24"/>
  <c r="AH950" i="24"/>
  <c r="AI950" i="24"/>
  <c r="AJ950" i="24"/>
  <c r="AG951" i="24"/>
  <c r="AH951" i="24"/>
  <c r="AI951" i="24"/>
  <c r="AJ951" i="24"/>
  <c r="AG952" i="24"/>
  <c r="AH952" i="24"/>
  <c r="AI952" i="24"/>
  <c r="AJ952" i="24"/>
  <c r="AG953" i="24"/>
  <c r="AH953" i="24"/>
  <c r="AI953" i="24"/>
  <c r="AJ953" i="24"/>
  <c r="AG954" i="24"/>
  <c r="AH954" i="24"/>
  <c r="AI954" i="24"/>
  <c r="AJ954" i="24"/>
  <c r="AG955" i="24"/>
  <c r="AH955" i="24"/>
  <c r="AI955" i="24"/>
  <c r="AJ955" i="24"/>
  <c r="AG956" i="24"/>
  <c r="AH956" i="24"/>
  <c r="AI956" i="24"/>
  <c r="AJ956" i="24"/>
  <c r="AG957" i="24"/>
  <c r="AH957" i="24"/>
  <c r="AI957" i="24"/>
  <c r="AJ957" i="24"/>
  <c r="AG958" i="24"/>
  <c r="AH958" i="24"/>
  <c r="AI958" i="24"/>
  <c r="AJ958" i="24"/>
  <c r="AG959" i="24"/>
  <c r="AH959" i="24"/>
  <c r="AI959" i="24"/>
  <c r="AJ959" i="24"/>
  <c r="AG960" i="24"/>
  <c r="AH960" i="24"/>
  <c r="AI960" i="24"/>
  <c r="AJ960" i="24"/>
  <c r="AG961" i="24"/>
  <c r="AH961" i="24"/>
  <c r="AI961" i="24"/>
  <c r="AJ961" i="24"/>
  <c r="AG962" i="24"/>
  <c r="AH962" i="24"/>
  <c r="AI962" i="24"/>
  <c r="AJ962" i="24"/>
  <c r="AG963" i="24"/>
  <c r="AH963" i="24"/>
  <c r="AI963" i="24"/>
  <c r="AJ963" i="24"/>
  <c r="AG964" i="24"/>
  <c r="AH964" i="24"/>
  <c r="AI964" i="24"/>
  <c r="AJ964" i="24"/>
  <c r="AG965" i="24"/>
  <c r="AH965" i="24"/>
  <c r="AI965" i="24"/>
  <c r="AJ965" i="24"/>
  <c r="AG966" i="24"/>
  <c r="AH966" i="24"/>
  <c r="AI966" i="24"/>
  <c r="AJ966" i="24"/>
  <c r="AG967" i="24"/>
  <c r="AH967" i="24"/>
  <c r="AI967" i="24"/>
  <c r="AJ967" i="24"/>
  <c r="AG968" i="24"/>
  <c r="AH968" i="24"/>
  <c r="AI968" i="24"/>
  <c r="AJ968" i="24"/>
  <c r="AG969" i="24"/>
  <c r="AH969" i="24"/>
  <c r="AI969" i="24"/>
  <c r="AJ969" i="24"/>
  <c r="AG970" i="24"/>
  <c r="AH970" i="24"/>
  <c r="AI970" i="24"/>
  <c r="AJ970" i="24"/>
  <c r="AG971" i="24"/>
  <c r="AH971" i="24"/>
  <c r="AI971" i="24"/>
  <c r="AJ971" i="24"/>
  <c r="AG972" i="24"/>
  <c r="AH972" i="24"/>
  <c r="AI972" i="24"/>
  <c r="AJ972" i="24"/>
  <c r="AG973" i="24"/>
  <c r="AH973" i="24"/>
  <c r="AI973" i="24"/>
  <c r="AJ973" i="24"/>
  <c r="AG974" i="24"/>
  <c r="AH974" i="24"/>
  <c r="AI974" i="24"/>
  <c r="AJ974" i="24"/>
  <c r="AG975" i="24"/>
  <c r="AH975" i="24"/>
  <c r="AI975" i="24"/>
  <c r="AJ975" i="24"/>
  <c r="AG976" i="24"/>
  <c r="AH976" i="24"/>
  <c r="AI976" i="24"/>
  <c r="AJ976" i="24"/>
  <c r="AG977" i="24"/>
  <c r="AH977" i="24"/>
  <c r="AI977" i="24"/>
  <c r="AJ977" i="24"/>
  <c r="AG978" i="24"/>
  <c r="AH978" i="24"/>
  <c r="AI978" i="24"/>
  <c r="AJ978" i="24"/>
  <c r="AG979" i="24"/>
  <c r="AI979" i="24"/>
  <c r="AJ979" i="24"/>
  <c r="AG980" i="24"/>
  <c r="AI980" i="24"/>
  <c r="AJ980" i="24"/>
  <c r="AG981" i="24"/>
  <c r="AI981" i="24"/>
  <c r="AJ981" i="24"/>
  <c r="AG982" i="24"/>
  <c r="AI982" i="24"/>
  <c r="AJ982" i="24"/>
  <c r="AG983" i="24"/>
  <c r="AI983" i="24"/>
  <c r="AJ983" i="24"/>
  <c r="AG984" i="24"/>
  <c r="AI984" i="24"/>
  <c r="AJ984" i="24"/>
  <c r="AG985" i="24"/>
  <c r="AI985" i="24"/>
  <c r="AJ985" i="24"/>
  <c r="AG986" i="24"/>
  <c r="AI986" i="24"/>
  <c r="AJ986" i="24"/>
  <c r="AG987" i="24"/>
  <c r="AI987" i="24"/>
  <c r="AJ987" i="24"/>
  <c r="AG988" i="24"/>
  <c r="AI988" i="24"/>
  <c r="AJ988" i="24"/>
  <c r="AG989" i="24"/>
  <c r="AI989" i="24"/>
  <c r="AJ989" i="24"/>
  <c r="AG990" i="24"/>
  <c r="AH990" i="24"/>
  <c r="AI990" i="24"/>
  <c r="AJ990" i="24"/>
  <c r="AG991" i="24"/>
  <c r="AH991" i="24"/>
  <c r="AI991" i="24"/>
  <c r="AJ991" i="24"/>
  <c r="AG992" i="24"/>
  <c r="AH992" i="24"/>
  <c r="AI992" i="24"/>
  <c r="AJ992" i="24"/>
  <c r="AG993" i="24"/>
  <c r="AH993" i="24"/>
  <c r="AI993" i="24"/>
  <c r="AJ993" i="24"/>
  <c r="AG994" i="24"/>
  <c r="AH994" i="24"/>
  <c r="AI994" i="24"/>
  <c r="AJ994" i="24"/>
  <c r="AG995" i="24"/>
  <c r="AH995" i="24"/>
  <c r="AI995" i="24"/>
  <c r="AJ995" i="24"/>
  <c r="AG996" i="24"/>
  <c r="AH996" i="24"/>
  <c r="AI996" i="24"/>
  <c r="AJ996" i="24"/>
  <c r="AG997" i="24"/>
  <c r="AH997" i="24"/>
  <c r="AI997" i="24"/>
  <c r="AJ997" i="24"/>
  <c r="AG998" i="24"/>
  <c r="AH998" i="24"/>
  <c r="AI998" i="24"/>
  <c r="AJ998" i="24"/>
  <c r="AG999" i="24"/>
  <c r="AH999" i="24"/>
  <c r="AI999" i="24"/>
  <c r="AJ999" i="24"/>
  <c r="AG1000" i="24"/>
  <c r="AH1000" i="24"/>
  <c r="AI1000" i="24"/>
  <c r="AJ1000" i="24"/>
  <c r="AG1001" i="24"/>
  <c r="AH1001" i="24"/>
  <c r="AI1001" i="24"/>
  <c r="AJ1001" i="24"/>
  <c r="AG1002" i="24"/>
  <c r="AH1002" i="24"/>
  <c r="AI1002" i="24"/>
  <c r="AJ1002" i="24"/>
  <c r="AG1003" i="24"/>
  <c r="AH1003" i="24"/>
  <c r="AI1003" i="24"/>
  <c r="AJ1003" i="24"/>
  <c r="AG1004" i="24"/>
  <c r="AH1004" i="24"/>
  <c r="AI1004" i="24"/>
  <c r="AJ1004" i="24"/>
  <c r="AG1005" i="24"/>
  <c r="AH1005" i="24"/>
  <c r="AI1005" i="24"/>
  <c r="AJ1005" i="24"/>
  <c r="AG1006" i="24"/>
  <c r="AH1006" i="24"/>
  <c r="AI1006" i="24"/>
  <c r="AJ1006" i="24"/>
  <c r="AG1007" i="24"/>
  <c r="AH1007" i="24"/>
  <c r="AI1007" i="24"/>
  <c r="AJ1007" i="24"/>
  <c r="AG1008" i="24"/>
  <c r="AH1008" i="24"/>
  <c r="AI1008" i="24"/>
  <c r="AJ1008" i="24"/>
  <c r="AG1009" i="24"/>
  <c r="AH1009" i="24"/>
  <c r="AI1009" i="24"/>
  <c r="AJ1009" i="24"/>
  <c r="AG1010" i="24"/>
  <c r="AH1010" i="24"/>
  <c r="AI1010" i="24"/>
  <c r="AJ1010" i="24"/>
  <c r="AG1011" i="24"/>
  <c r="AH1011" i="24"/>
  <c r="AI1011" i="24"/>
  <c r="AJ1011" i="24"/>
  <c r="AG1012" i="24"/>
  <c r="AH1012" i="24"/>
  <c r="AI1012" i="24"/>
  <c r="AJ1012" i="24"/>
  <c r="AG1013" i="24"/>
  <c r="AH1013" i="24"/>
  <c r="AI1013" i="24"/>
  <c r="AJ1013" i="24"/>
  <c r="AG1014" i="24"/>
  <c r="AH1014" i="24"/>
  <c r="AI1014" i="24"/>
  <c r="AJ1014" i="24"/>
  <c r="AG1015" i="24"/>
  <c r="AH1015" i="24"/>
  <c r="AI1015" i="24"/>
  <c r="AJ1015" i="24"/>
  <c r="AG1016" i="24"/>
  <c r="AH1016" i="24"/>
  <c r="AI1016" i="24"/>
  <c r="AJ1016" i="24"/>
  <c r="AG1017" i="24"/>
  <c r="AH1017" i="24"/>
  <c r="AI1017" i="24"/>
  <c r="AJ1017" i="24"/>
  <c r="AG1018" i="24"/>
  <c r="AH1018" i="24"/>
  <c r="AI1018" i="24"/>
  <c r="AJ1018" i="24"/>
  <c r="AG1019" i="24"/>
  <c r="AH1019" i="24"/>
  <c r="AI1019" i="24"/>
  <c r="AJ1019" i="24"/>
  <c r="AG1020" i="24"/>
  <c r="AH1020" i="24"/>
  <c r="AI1020" i="24"/>
  <c r="AJ1020" i="24"/>
  <c r="AG1021" i="24"/>
  <c r="AH1021" i="24"/>
  <c r="AI1021" i="24"/>
  <c r="AJ1021" i="24"/>
  <c r="AG1022" i="24"/>
  <c r="AH1022" i="24"/>
  <c r="AI1022" i="24"/>
  <c r="AJ1022" i="24"/>
  <c r="AG1023" i="24"/>
  <c r="AH1023" i="24"/>
  <c r="AI1023" i="24"/>
  <c r="AJ1023" i="24"/>
  <c r="AG1024" i="24"/>
  <c r="AH1024" i="24"/>
  <c r="AI1024" i="24"/>
  <c r="AJ1024" i="24"/>
  <c r="AG1025" i="24"/>
  <c r="AH1025" i="24"/>
  <c r="AI1025" i="24"/>
  <c r="AJ1025" i="24"/>
  <c r="AG1026" i="24"/>
  <c r="AH1026" i="24"/>
  <c r="AI1026" i="24"/>
  <c r="AJ1026" i="24"/>
  <c r="AG1027" i="24"/>
  <c r="AH1027" i="24"/>
  <c r="AI1027" i="24"/>
  <c r="AJ1027" i="24"/>
  <c r="AG1028" i="24"/>
  <c r="AH1028" i="24"/>
  <c r="AI1028" i="24"/>
  <c r="AJ1028" i="24"/>
  <c r="AG1029" i="24"/>
  <c r="AH1029" i="24"/>
  <c r="AI1029" i="24"/>
  <c r="AJ1029" i="24"/>
  <c r="AG1030" i="24"/>
  <c r="AH1030" i="24"/>
  <c r="AI1030" i="24"/>
  <c r="AJ1030" i="24"/>
  <c r="AG1031" i="24"/>
  <c r="AH1031" i="24"/>
  <c r="AI1031" i="24"/>
  <c r="AJ1031" i="24"/>
  <c r="AG1032" i="24"/>
  <c r="AH1032" i="24"/>
  <c r="AI1032" i="24"/>
  <c r="AJ1032" i="24"/>
  <c r="AG1033" i="24"/>
  <c r="AH1033" i="24"/>
  <c r="AI1033" i="24"/>
  <c r="AJ1033" i="24"/>
  <c r="AG1034" i="24"/>
  <c r="AH1034" i="24"/>
  <c r="AI1034" i="24"/>
  <c r="AJ1034" i="24"/>
  <c r="AG1035" i="24"/>
  <c r="AH1035" i="24"/>
  <c r="AI1035" i="24"/>
  <c r="AJ1035" i="24"/>
  <c r="AG1036" i="24"/>
  <c r="AH1036" i="24"/>
  <c r="AI1036" i="24"/>
  <c r="AJ1036" i="24"/>
  <c r="AG1037" i="24"/>
  <c r="AH1037" i="24"/>
  <c r="AI1037" i="24"/>
  <c r="AJ1037" i="24"/>
  <c r="AG1038" i="24"/>
  <c r="AH1038" i="24"/>
  <c r="AI1038" i="24"/>
  <c r="AJ1038" i="24"/>
  <c r="AG1039" i="24"/>
  <c r="AH1039" i="24"/>
  <c r="AI1039" i="24"/>
  <c r="AJ1039" i="24"/>
  <c r="AG1040" i="24"/>
  <c r="AH1040" i="24"/>
  <c r="AI1040" i="24"/>
  <c r="AJ1040" i="24"/>
  <c r="AG1041" i="24"/>
  <c r="AH1041" i="24"/>
  <c r="AI1041" i="24"/>
  <c r="AJ1041" i="24"/>
  <c r="AG1042" i="24"/>
  <c r="AH1042" i="24"/>
  <c r="AI1042" i="24"/>
  <c r="AJ1042" i="24"/>
  <c r="AG1043" i="24"/>
  <c r="AH1043" i="24"/>
  <c r="AI1043" i="24"/>
  <c r="AJ1043" i="24"/>
  <c r="AG1044" i="24"/>
  <c r="AH1044" i="24"/>
  <c r="AI1044" i="24"/>
  <c r="AJ1044" i="24"/>
  <c r="AG1045" i="24"/>
  <c r="AH1045" i="24"/>
  <c r="AI1045" i="24"/>
  <c r="AJ1045" i="24"/>
  <c r="AG1046" i="24"/>
  <c r="AH1046" i="24"/>
  <c r="AI1046" i="24"/>
  <c r="AJ1046" i="24"/>
  <c r="AG1047" i="24"/>
  <c r="AH1047" i="24"/>
  <c r="AI1047" i="24"/>
  <c r="AJ1047" i="24"/>
  <c r="AG1048" i="24"/>
  <c r="AH1048" i="24"/>
  <c r="AI1048" i="24"/>
  <c r="AJ1048" i="24"/>
  <c r="AG1049" i="24"/>
  <c r="AH1049" i="24"/>
  <c r="AI1049" i="24"/>
  <c r="AJ1049" i="24"/>
  <c r="AG1050" i="24"/>
  <c r="AH1050" i="24"/>
  <c r="AI1050" i="24"/>
  <c r="AJ1050" i="24"/>
  <c r="AG1051" i="24"/>
  <c r="AH1051" i="24"/>
  <c r="AI1051" i="24"/>
  <c r="AJ1051" i="24"/>
  <c r="AG1052" i="24"/>
  <c r="AH1052" i="24"/>
  <c r="AI1052" i="24"/>
  <c r="AJ1052" i="24"/>
  <c r="AG1053" i="24"/>
  <c r="AH1053" i="24"/>
  <c r="AI1053" i="24"/>
  <c r="AJ1053" i="24"/>
  <c r="AG1054" i="24"/>
  <c r="AH1054" i="24"/>
  <c r="AI1054" i="24"/>
  <c r="AJ1054" i="24"/>
  <c r="AG1055" i="24"/>
  <c r="AH1055" i="24"/>
  <c r="AI1055" i="24"/>
  <c r="AJ1055" i="24"/>
  <c r="AG1056" i="24"/>
  <c r="AH1056" i="24"/>
  <c r="AI1056" i="24"/>
  <c r="AJ1056" i="24"/>
  <c r="AG1057" i="24"/>
  <c r="AH1057" i="24"/>
  <c r="AI1057" i="24"/>
  <c r="AJ1057" i="24"/>
  <c r="AG1058" i="24"/>
  <c r="AH1058" i="24"/>
  <c r="AI1058" i="24"/>
  <c r="AJ1058" i="24"/>
  <c r="AG1059" i="24"/>
  <c r="AI1059" i="24"/>
  <c r="AJ1059" i="24"/>
  <c r="AG1060" i="24"/>
  <c r="AI1060" i="24"/>
  <c r="AJ1060" i="24"/>
  <c r="AG1061" i="24"/>
  <c r="AI1061" i="24"/>
  <c r="AJ1061" i="24"/>
  <c r="AG1062" i="24"/>
  <c r="AI1062" i="24"/>
  <c r="AJ1062" i="24"/>
  <c r="AG1063" i="24"/>
  <c r="AI1063" i="24"/>
  <c r="AJ1063" i="24"/>
  <c r="AG1064" i="24"/>
  <c r="AI1064" i="24"/>
  <c r="AJ1064" i="24"/>
  <c r="AG1065" i="24"/>
  <c r="AI1065" i="24"/>
  <c r="AJ1065" i="24"/>
  <c r="AG1066" i="24"/>
  <c r="AI1066" i="24"/>
  <c r="AJ1066" i="24"/>
  <c r="AG1067" i="24"/>
  <c r="AI1067" i="24"/>
  <c r="AJ1067" i="24"/>
  <c r="AG1068" i="24"/>
  <c r="AI1068" i="24"/>
  <c r="AJ1068" i="24"/>
  <c r="AG1069" i="24"/>
  <c r="AI1069" i="24"/>
  <c r="AJ1069" i="24"/>
  <c r="AG1070" i="24"/>
  <c r="AI1070" i="24"/>
  <c r="AJ1070" i="24"/>
  <c r="AG1071" i="24"/>
  <c r="AI1071" i="24"/>
  <c r="AJ1071" i="24"/>
  <c r="AG1072" i="24"/>
  <c r="AI1072" i="24"/>
  <c r="AJ1072" i="24"/>
  <c r="AG1073" i="24"/>
  <c r="AI1073" i="24"/>
  <c r="AJ1073" i="24"/>
  <c r="AG1074" i="24"/>
  <c r="AI1074" i="24"/>
  <c r="AJ1074" i="24"/>
  <c r="AG1075" i="24"/>
  <c r="AH1075" i="24"/>
  <c r="AI1075" i="24"/>
  <c r="AJ1075" i="24"/>
  <c r="AG1076" i="24"/>
  <c r="AH1076" i="24"/>
  <c r="AI1076" i="24"/>
  <c r="AJ1076" i="24"/>
  <c r="AG1077" i="24"/>
  <c r="AH1077" i="24"/>
  <c r="AI1077" i="24"/>
  <c r="AJ1077" i="24"/>
  <c r="AG1078" i="24"/>
  <c r="AH1078" i="24"/>
  <c r="AI1078" i="24"/>
  <c r="AJ1078" i="24"/>
  <c r="AG1079" i="24"/>
  <c r="AH1079" i="24"/>
  <c r="AI1079" i="24"/>
  <c r="AJ1079" i="24"/>
  <c r="AG1080" i="24"/>
  <c r="AH1080" i="24"/>
  <c r="AI1080" i="24"/>
  <c r="AJ1080" i="24"/>
  <c r="AG1081" i="24"/>
  <c r="AH1081" i="24"/>
  <c r="AI1081" i="24"/>
  <c r="AJ1081" i="24"/>
  <c r="AG1082" i="24"/>
  <c r="AH1082" i="24"/>
  <c r="AI1082" i="24"/>
  <c r="AJ1082" i="24"/>
  <c r="AG1083" i="24"/>
  <c r="AH1083" i="24"/>
  <c r="AI1083" i="24"/>
  <c r="AJ1083" i="24"/>
  <c r="AG1084" i="24"/>
  <c r="AH1084" i="24"/>
  <c r="AI1084" i="24"/>
  <c r="AJ1084" i="24"/>
  <c r="AG1085" i="24"/>
  <c r="AH1085" i="24"/>
  <c r="AI1085" i="24"/>
  <c r="AJ1085" i="24"/>
  <c r="AG1086" i="24"/>
  <c r="AH1086" i="24"/>
  <c r="AI1086" i="24"/>
  <c r="AJ1086" i="24"/>
  <c r="AG1087" i="24"/>
  <c r="AH1087" i="24"/>
  <c r="AI1087" i="24"/>
  <c r="AJ1087" i="24"/>
  <c r="AG1088" i="24"/>
  <c r="AH1088" i="24"/>
  <c r="AI1088" i="24"/>
  <c r="AJ1088" i="24"/>
  <c r="AG1089" i="24"/>
  <c r="AI1089" i="24"/>
  <c r="AJ1089" i="24"/>
  <c r="AG1090" i="24"/>
  <c r="AI1090" i="24"/>
  <c r="AJ1090" i="24"/>
  <c r="AG1091" i="24"/>
  <c r="AI1091" i="24"/>
  <c r="AJ1091" i="24"/>
  <c r="AG1092" i="24"/>
  <c r="AI1092" i="24"/>
  <c r="AJ1092" i="24"/>
  <c r="AG1093" i="24"/>
  <c r="AI1093" i="24"/>
  <c r="AJ1093" i="24"/>
  <c r="AG1094" i="24"/>
  <c r="AI1094" i="24"/>
  <c r="AJ1094" i="24"/>
  <c r="AG1095" i="24"/>
  <c r="AI1095" i="24"/>
  <c r="AJ1095" i="24"/>
  <c r="AG1096" i="24"/>
  <c r="AI1096" i="24"/>
  <c r="AJ1096" i="24"/>
  <c r="AG1097" i="24"/>
  <c r="AI1097" i="24"/>
  <c r="AJ1097" i="24"/>
  <c r="AG1098" i="24"/>
  <c r="AI1098" i="24"/>
  <c r="AJ1098" i="24"/>
  <c r="AG1099" i="24"/>
  <c r="AI1099" i="24"/>
  <c r="AJ1099" i="24"/>
  <c r="AG1100" i="24"/>
  <c r="AI1100" i="24"/>
  <c r="AJ1100" i="24"/>
  <c r="AG1101" i="24"/>
  <c r="AI1101" i="24"/>
  <c r="AJ1101" i="24"/>
  <c r="AG1102" i="24"/>
  <c r="AH1102" i="24"/>
  <c r="AI1102" i="24"/>
  <c r="AJ1102" i="24"/>
  <c r="AG1103" i="24"/>
  <c r="AH1103" i="24"/>
  <c r="AI1103" i="24"/>
  <c r="AJ1103" i="24"/>
  <c r="AG1104" i="24"/>
  <c r="AH1104" i="24"/>
  <c r="AI1104" i="24"/>
  <c r="AJ1104" i="24"/>
  <c r="AG1105" i="24"/>
  <c r="AH1105" i="24"/>
  <c r="AI1105" i="24"/>
  <c r="AJ1105" i="24"/>
  <c r="AG1106" i="24"/>
  <c r="AH1106" i="24"/>
  <c r="AI1106" i="24"/>
  <c r="AJ1106" i="24"/>
  <c r="AG1107" i="24"/>
  <c r="AH1107" i="24"/>
  <c r="AI1107" i="24"/>
  <c r="AJ1107" i="24"/>
  <c r="AG1108" i="24"/>
  <c r="AH1108" i="24"/>
  <c r="AI1108" i="24"/>
  <c r="AJ1108" i="24"/>
  <c r="AG1109" i="24"/>
  <c r="AH1109" i="24"/>
  <c r="AI1109" i="24"/>
  <c r="AJ1109" i="24"/>
  <c r="AG1110" i="24"/>
  <c r="AH1110" i="24"/>
  <c r="AI1110" i="24"/>
  <c r="AJ1110" i="24"/>
  <c r="AG1111" i="24"/>
  <c r="AH1111" i="24"/>
  <c r="AI1111" i="24"/>
  <c r="AJ1111" i="24"/>
  <c r="AG1112" i="24"/>
  <c r="AH1112" i="24"/>
  <c r="AI1112" i="24"/>
  <c r="AJ1112" i="24"/>
  <c r="AG1113" i="24"/>
  <c r="AH1113" i="24"/>
  <c r="AI1113" i="24"/>
  <c r="AJ1113" i="24"/>
  <c r="AG1114" i="24"/>
  <c r="AH1114" i="24"/>
  <c r="AI1114" i="24"/>
  <c r="AJ1114" i="24"/>
  <c r="AG1115" i="24"/>
  <c r="AH1115" i="24"/>
  <c r="AI1115" i="24"/>
  <c r="AJ1115" i="24"/>
  <c r="AG1116" i="24"/>
  <c r="AH1116" i="24"/>
  <c r="AI1116" i="24"/>
  <c r="AJ1116" i="24"/>
  <c r="AG1117" i="24"/>
  <c r="AH1117" i="24"/>
  <c r="AI1117" i="24"/>
  <c r="AJ1117" i="24"/>
  <c r="AG1118" i="24"/>
  <c r="AH1118" i="24"/>
  <c r="AI1118" i="24"/>
  <c r="AJ1118" i="24"/>
  <c r="AG1119" i="24"/>
  <c r="AI1119" i="24"/>
  <c r="AJ1119" i="24"/>
  <c r="AG1120" i="24"/>
  <c r="AI1120" i="24"/>
  <c r="AJ1120" i="24"/>
  <c r="AG1121" i="24"/>
  <c r="AI1121" i="24"/>
  <c r="AJ1121" i="24"/>
  <c r="AG1122" i="24"/>
  <c r="AI1122" i="24"/>
  <c r="AJ1122" i="24"/>
  <c r="AG1123" i="24"/>
  <c r="AI1123" i="24"/>
  <c r="AJ1123" i="24"/>
  <c r="AG1124" i="24"/>
  <c r="AI1124" i="24"/>
  <c r="AJ1124" i="24"/>
  <c r="AG1125" i="24"/>
  <c r="AI1125" i="24"/>
  <c r="AJ1125" i="24"/>
  <c r="AG1126" i="24"/>
  <c r="AI1126" i="24"/>
  <c r="AJ1126" i="24"/>
  <c r="AG1127" i="24"/>
  <c r="AI1127" i="24"/>
  <c r="AJ1127" i="24"/>
  <c r="AG1128" i="24"/>
  <c r="AI1128" i="24"/>
  <c r="AJ1128" i="24"/>
  <c r="AG1129" i="24"/>
  <c r="AI1129" i="24"/>
  <c r="AJ1129" i="24"/>
  <c r="AG1130" i="24"/>
  <c r="AI1130" i="24"/>
  <c r="AJ1130" i="24"/>
  <c r="AG1131" i="24"/>
  <c r="AI1131" i="24"/>
  <c r="AJ1131" i="24"/>
  <c r="AG1132" i="24"/>
  <c r="AI1132" i="24"/>
  <c r="AJ1132" i="24"/>
  <c r="AG1133" i="24"/>
  <c r="AI1133" i="24"/>
  <c r="AJ1133" i="24"/>
  <c r="AG1134" i="24"/>
  <c r="AI1134" i="24"/>
  <c r="AJ1134" i="24"/>
  <c r="AG1135" i="24"/>
  <c r="AH1135" i="24"/>
  <c r="AI1135" i="24"/>
  <c r="AJ1135" i="24"/>
  <c r="AG1136" i="24"/>
  <c r="AH1136" i="24"/>
  <c r="AI1136" i="24"/>
  <c r="AJ1136" i="24"/>
  <c r="AG1137" i="24"/>
  <c r="AH1137" i="24"/>
  <c r="AI1137" i="24"/>
  <c r="AJ1137" i="24"/>
  <c r="AG1138" i="24"/>
  <c r="AH1138" i="24"/>
  <c r="AI1138" i="24"/>
  <c r="AJ1138" i="24"/>
  <c r="AG1139" i="24"/>
  <c r="AH1139" i="24"/>
  <c r="AI1139" i="24"/>
  <c r="AJ1139" i="24"/>
  <c r="AG1140" i="24"/>
  <c r="AH1140" i="24"/>
  <c r="AI1140" i="24"/>
  <c r="AJ1140" i="24"/>
  <c r="AG1141" i="24"/>
  <c r="AH1141" i="24"/>
  <c r="AI1141" i="24"/>
  <c r="AJ1141" i="24"/>
  <c r="AG1142" i="24"/>
  <c r="AH1142" i="24"/>
  <c r="AI1142" i="24"/>
  <c r="AJ1142" i="24"/>
  <c r="AG1143" i="24"/>
  <c r="AH1143" i="24"/>
  <c r="AI1143" i="24"/>
  <c r="AJ1143" i="24"/>
  <c r="AG1144" i="24"/>
  <c r="AH1144" i="24"/>
  <c r="AI1144" i="24"/>
  <c r="AJ1144" i="24"/>
  <c r="AG1145" i="24"/>
  <c r="AH1145" i="24"/>
  <c r="AI1145" i="24"/>
  <c r="AJ1145" i="24"/>
  <c r="AG1146" i="24"/>
  <c r="AI1146" i="24"/>
  <c r="AJ1146" i="24"/>
  <c r="AG1147" i="24"/>
  <c r="AI1147" i="24"/>
  <c r="AJ1147" i="24"/>
  <c r="AG1148" i="24"/>
  <c r="AI1148" i="24"/>
  <c r="AJ1148" i="24"/>
  <c r="AG1149" i="24"/>
  <c r="AI1149" i="24"/>
  <c r="AJ1149" i="24"/>
  <c r="AG1150" i="24"/>
  <c r="AI1150" i="24"/>
  <c r="AJ1150" i="24"/>
  <c r="AG1151" i="24"/>
  <c r="AH1151" i="24"/>
  <c r="AI1151" i="24"/>
  <c r="AJ1151" i="24"/>
  <c r="AG1152" i="24"/>
  <c r="AI1152" i="24"/>
  <c r="AJ1152" i="24"/>
  <c r="AG1153" i="24"/>
  <c r="AI1153" i="24"/>
  <c r="AJ1153" i="24"/>
  <c r="AG1154" i="24"/>
  <c r="AI1154" i="24"/>
  <c r="AJ1154" i="24"/>
  <c r="AG1155" i="24"/>
  <c r="AI1155" i="24"/>
  <c r="AJ1155" i="24"/>
  <c r="AG1156" i="24"/>
  <c r="AI1156" i="24"/>
  <c r="AJ1156" i="24"/>
  <c r="AG1157" i="24"/>
  <c r="AH1157" i="24"/>
  <c r="AI1157" i="24"/>
  <c r="AJ1157" i="24"/>
  <c r="AG1158" i="24"/>
  <c r="AH1158" i="24"/>
  <c r="AI1158" i="24"/>
  <c r="AJ1158" i="24"/>
  <c r="AG1159" i="24"/>
  <c r="AI1159" i="24"/>
  <c r="AJ1159" i="24"/>
  <c r="AG1160" i="24"/>
  <c r="AI1160" i="24"/>
  <c r="AJ1160" i="24"/>
  <c r="AG1161" i="24"/>
  <c r="AH1161" i="24"/>
  <c r="AI1161" i="24"/>
  <c r="AJ1161" i="24"/>
  <c r="AG1162" i="24"/>
  <c r="AH1162" i="24"/>
  <c r="AI1162" i="24"/>
  <c r="AJ1162" i="24"/>
  <c r="AG1163" i="24"/>
  <c r="AH1163" i="24"/>
  <c r="AI1163" i="24"/>
  <c r="AJ1163" i="24"/>
  <c r="AG1164" i="24"/>
  <c r="AH1164" i="24"/>
  <c r="AI1164" i="24"/>
  <c r="AJ1164" i="24"/>
  <c r="AG1165" i="24"/>
  <c r="AH1165" i="24"/>
  <c r="AI1165" i="24"/>
  <c r="AJ1165" i="24"/>
  <c r="AG1166" i="24"/>
  <c r="AH1166" i="24"/>
  <c r="AI1166" i="24"/>
  <c r="AJ1166" i="24"/>
  <c r="AG1167" i="24"/>
  <c r="AH1167" i="24"/>
  <c r="AI1167" i="24"/>
  <c r="AJ1167" i="24"/>
  <c r="AG1168" i="24"/>
  <c r="AH1168" i="24"/>
  <c r="AI1168" i="24"/>
  <c r="AJ1168" i="24"/>
  <c r="AG1169" i="24"/>
  <c r="AH1169" i="24"/>
  <c r="AI1169" i="24"/>
  <c r="AJ1169" i="24"/>
  <c r="AG1170" i="24"/>
  <c r="AH1170" i="24"/>
  <c r="AI1170" i="24"/>
  <c r="AJ1170" i="24"/>
  <c r="AG1171" i="24"/>
  <c r="AH1171" i="24"/>
  <c r="AI1171" i="24"/>
  <c r="AJ1171" i="24"/>
  <c r="AG1172" i="24"/>
  <c r="AH1172" i="24"/>
  <c r="AI1172" i="24"/>
  <c r="AJ1172" i="24"/>
  <c r="AG1173" i="24"/>
  <c r="AH1173" i="24"/>
  <c r="AI1173" i="24"/>
  <c r="AJ1173" i="24"/>
  <c r="AG1174" i="24"/>
  <c r="AH1174" i="24"/>
  <c r="AI1174" i="24"/>
  <c r="AJ1174" i="24"/>
  <c r="AG1175" i="24"/>
  <c r="AH1175" i="24"/>
  <c r="AI1175" i="24"/>
  <c r="AJ1175" i="24"/>
  <c r="AG1176" i="24"/>
  <c r="AH1176" i="24"/>
  <c r="AI1176" i="24"/>
  <c r="AJ1176" i="24"/>
  <c r="AG1177" i="24"/>
  <c r="AI1177" i="24"/>
  <c r="AJ1177" i="24"/>
  <c r="AG1178" i="24"/>
  <c r="AI1178" i="24"/>
  <c r="AJ1178" i="24"/>
  <c r="AG1179" i="24"/>
  <c r="AI1179" i="24"/>
  <c r="AJ1179" i="24"/>
  <c r="AG1180" i="24"/>
  <c r="AI1180" i="24"/>
  <c r="AJ1180" i="24"/>
  <c r="AG1181" i="24"/>
  <c r="AH1181" i="24"/>
  <c r="AI1181" i="24"/>
  <c r="AJ1181" i="24"/>
  <c r="AG1182" i="24"/>
  <c r="AH1182" i="24"/>
  <c r="AI1182" i="24"/>
  <c r="AJ1182" i="24"/>
  <c r="AG1183" i="24"/>
  <c r="AI1183" i="24"/>
  <c r="AJ1183" i="24"/>
  <c r="AG1184" i="24"/>
  <c r="AI1184" i="24"/>
  <c r="AJ1184" i="24"/>
  <c r="AG1185" i="24"/>
  <c r="AI1185" i="24"/>
  <c r="AJ1185" i="24"/>
  <c r="AG1186" i="24"/>
  <c r="AI1186" i="24"/>
  <c r="AJ1186" i="24"/>
  <c r="AG1187" i="24"/>
  <c r="AI1187" i="24"/>
  <c r="AJ1187" i="24"/>
  <c r="AG1188" i="24"/>
  <c r="AI1188" i="24"/>
  <c r="AJ1188" i="24"/>
  <c r="AG1189" i="24"/>
  <c r="AI1189" i="24"/>
  <c r="AJ1189" i="24"/>
  <c r="AG1190" i="24"/>
  <c r="AI1190" i="24"/>
  <c r="AJ1190" i="24"/>
  <c r="AG1191" i="24"/>
  <c r="AI1191" i="24"/>
  <c r="AJ1191" i="24"/>
  <c r="AG1192" i="24"/>
  <c r="AI1192" i="24"/>
  <c r="AJ1192" i="24"/>
  <c r="AG1193" i="24"/>
  <c r="AI1193" i="24"/>
  <c r="AJ1193" i="24"/>
  <c r="AG1194" i="24"/>
  <c r="AI1194" i="24"/>
  <c r="AJ1194" i="24"/>
  <c r="AG1195" i="24"/>
  <c r="AI1195" i="24"/>
  <c r="AJ1195" i="24"/>
  <c r="AG1196" i="24"/>
  <c r="AI1196" i="24"/>
  <c r="AJ1196" i="24"/>
  <c r="AG1197" i="24"/>
  <c r="AI1197" i="24"/>
  <c r="AJ1197" i="24"/>
  <c r="AG1198" i="24"/>
  <c r="AH1198" i="24"/>
  <c r="AI1198" i="24"/>
  <c r="AJ1198" i="24"/>
  <c r="AG1199" i="24"/>
  <c r="AH1199" i="24"/>
  <c r="AI1199" i="24"/>
  <c r="AJ1199" i="24"/>
  <c r="AG1200" i="24"/>
  <c r="AH1200" i="24"/>
  <c r="AI1200" i="24"/>
  <c r="AJ1200" i="24"/>
  <c r="AG1201" i="24"/>
  <c r="AI1201" i="24"/>
  <c r="AJ1201" i="24"/>
  <c r="AG1202" i="24"/>
  <c r="AI1202" i="24"/>
  <c r="AJ1202" i="24"/>
  <c r="AG1203" i="24"/>
  <c r="AI1203" i="24"/>
  <c r="AJ1203" i="24"/>
  <c r="AG1204" i="24"/>
  <c r="AI1204" i="24"/>
  <c r="AJ1204" i="24"/>
  <c r="AG1205" i="24"/>
  <c r="AI1205" i="24"/>
  <c r="AJ1205" i="24"/>
  <c r="AG1206" i="24"/>
  <c r="AI1206" i="24"/>
  <c r="AJ1206" i="24"/>
  <c r="AG1207" i="24"/>
  <c r="AI1207" i="24"/>
  <c r="AJ1207" i="24"/>
  <c r="AG1208" i="24"/>
  <c r="AI1208" i="24"/>
  <c r="AJ1208" i="24"/>
  <c r="AG1209" i="24"/>
  <c r="AI1209" i="24"/>
  <c r="AJ1209" i="24"/>
  <c r="AG1210" i="24"/>
  <c r="AI1210" i="24"/>
  <c r="AJ1210" i="24"/>
  <c r="AG1211" i="24"/>
  <c r="AI1211" i="24"/>
  <c r="AJ1211" i="24"/>
  <c r="AG1212" i="24"/>
  <c r="AI1212" i="24"/>
  <c r="AJ1212" i="24"/>
  <c r="AG1213" i="24"/>
  <c r="AI1213" i="24"/>
  <c r="AJ1213" i="24"/>
  <c r="AG1214" i="24"/>
  <c r="AI1214" i="24"/>
  <c r="AJ1214" i="24"/>
  <c r="AG1215" i="24"/>
  <c r="AI1215" i="24"/>
  <c r="AJ1215" i="24"/>
  <c r="AG1216" i="24"/>
  <c r="AI1216" i="24"/>
  <c r="AJ1216" i="24"/>
  <c r="AG1217" i="24"/>
  <c r="AI1217" i="24"/>
  <c r="AJ1217" i="24"/>
  <c r="AG1218" i="24"/>
  <c r="AI1218" i="24"/>
  <c r="AJ1218" i="24"/>
  <c r="AG1219" i="24"/>
  <c r="AI1219" i="24"/>
  <c r="AJ1219" i="24"/>
  <c r="AG1220" i="24"/>
  <c r="AI1220" i="24"/>
  <c r="AJ1220" i="24"/>
  <c r="AG1221" i="24"/>
  <c r="AI1221" i="24"/>
  <c r="AJ1221" i="24"/>
  <c r="AG1222" i="24"/>
  <c r="AI1222" i="24"/>
  <c r="AJ1222" i="24"/>
  <c r="AG1223" i="24"/>
  <c r="AI1223" i="24"/>
  <c r="AJ1223" i="24"/>
  <c r="AG1224" i="24"/>
  <c r="AI1224" i="24"/>
  <c r="AJ1224" i="24"/>
  <c r="AG1225" i="24"/>
  <c r="AI1225" i="24"/>
  <c r="AJ1225" i="24"/>
  <c r="AG1226" i="24"/>
  <c r="AI1226" i="24"/>
  <c r="AJ1226" i="24"/>
  <c r="AG1227" i="24"/>
  <c r="AH1227" i="24"/>
  <c r="AI1227" i="24"/>
  <c r="AJ1227" i="24"/>
  <c r="AG1228" i="24"/>
  <c r="AH1228" i="24"/>
  <c r="AI1228" i="24"/>
  <c r="AJ1228" i="24"/>
  <c r="AG1229" i="24"/>
  <c r="AH1229" i="24"/>
  <c r="AI1229" i="24"/>
  <c r="AJ1229" i="24"/>
  <c r="AG1230" i="24"/>
  <c r="AH1230" i="24"/>
  <c r="AI1230" i="24"/>
  <c r="AJ1230" i="24"/>
  <c r="AG1231" i="24"/>
  <c r="AH1231" i="24"/>
  <c r="AI1231" i="24"/>
  <c r="AJ1231" i="24"/>
  <c r="AG1232" i="24"/>
  <c r="AH1232" i="24"/>
  <c r="AI1232" i="24"/>
  <c r="AJ1232" i="24"/>
  <c r="AG1233" i="24"/>
  <c r="AH1233" i="24"/>
  <c r="AI1233" i="24"/>
  <c r="AJ1233" i="24"/>
  <c r="AG1234" i="24"/>
  <c r="AH1234" i="24"/>
  <c r="AI1234" i="24"/>
  <c r="AJ1234" i="24"/>
  <c r="AG1235" i="24"/>
  <c r="AH1235" i="24"/>
  <c r="AI1235" i="24"/>
  <c r="AJ1235" i="24"/>
  <c r="AG1236" i="24"/>
  <c r="AH1236" i="24"/>
  <c r="AI1236" i="24"/>
  <c r="AJ1236" i="24"/>
  <c r="AG1237" i="24"/>
  <c r="AH1237" i="24"/>
  <c r="AI1237" i="24"/>
  <c r="AJ1237" i="24"/>
  <c r="AG1238" i="24"/>
  <c r="AH1238" i="24"/>
  <c r="AI1238" i="24"/>
  <c r="AJ1238" i="24"/>
  <c r="AG1239" i="24"/>
  <c r="AH1239" i="24"/>
  <c r="AI1239" i="24"/>
  <c r="AJ1239" i="24"/>
  <c r="AG1240" i="24"/>
  <c r="AH1240" i="24"/>
  <c r="AI1240" i="24"/>
  <c r="AJ1240" i="24"/>
  <c r="AG1241" i="24"/>
  <c r="AH1241" i="24"/>
  <c r="AI1241" i="24"/>
  <c r="AJ1241" i="24"/>
  <c r="AG1242" i="24"/>
  <c r="AH1242" i="24"/>
  <c r="AI1242" i="24"/>
  <c r="AJ1242" i="24"/>
  <c r="AG1243" i="24"/>
  <c r="AH1243" i="24"/>
  <c r="AI1243" i="24"/>
  <c r="AJ1243" i="24"/>
  <c r="AG1244" i="24"/>
  <c r="AH1244" i="24"/>
  <c r="AI1244" i="24"/>
  <c r="AJ1244" i="24"/>
  <c r="AG1245" i="24"/>
  <c r="AH1245" i="24"/>
  <c r="AI1245" i="24"/>
  <c r="AJ1245" i="24"/>
  <c r="AG1246" i="24"/>
  <c r="AH1246" i="24"/>
  <c r="AI1246" i="24"/>
  <c r="AJ1246" i="24"/>
  <c r="AG1247" i="24"/>
  <c r="AH1247" i="24"/>
  <c r="AI1247" i="24"/>
  <c r="AJ1247" i="24"/>
  <c r="AG1248" i="24"/>
  <c r="AH1248" i="24"/>
  <c r="AI1248" i="24"/>
  <c r="AJ1248" i="24"/>
  <c r="AG1249" i="24"/>
  <c r="AH1249" i="24"/>
  <c r="AI1249" i="24"/>
  <c r="AJ1249" i="24"/>
  <c r="AG1250" i="24"/>
  <c r="AH1250" i="24"/>
  <c r="AI1250" i="24"/>
  <c r="AJ1250" i="24"/>
  <c r="AG1251" i="24"/>
  <c r="AH1251" i="24"/>
  <c r="AI1251" i="24"/>
  <c r="AJ1251" i="24"/>
  <c r="AG1252" i="24"/>
  <c r="AH1252" i="24"/>
  <c r="AI1252" i="24"/>
  <c r="AJ1252" i="24"/>
  <c r="AG1253" i="24"/>
  <c r="AH1253" i="24"/>
  <c r="AI1253" i="24"/>
  <c r="AJ1253" i="24"/>
  <c r="AG1254" i="24"/>
  <c r="AH1254" i="24"/>
  <c r="AI1254" i="24"/>
  <c r="AJ1254" i="24"/>
  <c r="AG1255" i="24"/>
  <c r="AH1255" i="24"/>
  <c r="AI1255" i="24"/>
  <c r="AJ1255" i="24"/>
  <c r="AG1256" i="24"/>
  <c r="AH1256" i="24"/>
  <c r="AI1256" i="24"/>
  <c r="AJ1256" i="24"/>
  <c r="AG1257" i="24"/>
  <c r="AH1257" i="24"/>
  <c r="AI1257" i="24"/>
  <c r="AJ1257" i="24"/>
  <c r="AG1258" i="24"/>
  <c r="AH1258" i="24"/>
  <c r="AI1258" i="24"/>
  <c r="AJ1258" i="24"/>
  <c r="AG1259" i="24"/>
  <c r="AH1259" i="24"/>
  <c r="AI1259" i="24"/>
  <c r="AJ1259" i="24"/>
  <c r="AG1260" i="24"/>
  <c r="AH1260" i="24"/>
  <c r="AI1260" i="24"/>
  <c r="AJ1260" i="24"/>
  <c r="AG1261" i="24"/>
  <c r="AH1261" i="24"/>
  <c r="AI1261" i="24"/>
  <c r="AJ1261" i="24"/>
  <c r="AG1262" i="24"/>
  <c r="AH1262" i="24"/>
  <c r="AI1262" i="24"/>
  <c r="AJ1262" i="24"/>
  <c r="AG1263" i="24"/>
  <c r="AH1263" i="24"/>
  <c r="AI1263" i="24"/>
  <c r="AJ1263" i="24"/>
  <c r="AG1264" i="24"/>
  <c r="AI1264" i="24"/>
  <c r="AJ1264" i="24"/>
  <c r="AG1265" i="24"/>
  <c r="AI1265" i="24"/>
  <c r="AJ1265" i="24"/>
  <c r="AG1266" i="24"/>
  <c r="AH1266" i="24"/>
  <c r="AI1266" i="24"/>
  <c r="AJ1266" i="24"/>
  <c r="AG1267" i="24"/>
  <c r="AI1267" i="24"/>
  <c r="AJ1267" i="24"/>
  <c r="AG1268" i="24"/>
  <c r="AH1268" i="24"/>
  <c r="AI1268" i="24"/>
  <c r="AJ1268" i="24"/>
  <c r="AG1269" i="24"/>
  <c r="AH1269" i="24"/>
  <c r="AI1269" i="24"/>
  <c r="AJ1269" i="24"/>
  <c r="AG1270" i="24"/>
  <c r="AI1270" i="24"/>
  <c r="AJ1270" i="24"/>
  <c r="AG1271" i="24"/>
  <c r="AI1271" i="24"/>
  <c r="AJ1271" i="24"/>
  <c r="AG1272" i="24"/>
  <c r="AI1272" i="24"/>
  <c r="AJ1272" i="24"/>
  <c r="AG1273" i="24"/>
  <c r="AI1273" i="24"/>
  <c r="AJ1273" i="24"/>
  <c r="AG1274" i="24"/>
  <c r="AI1274" i="24"/>
  <c r="AJ1274" i="24"/>
  <c r="AG1275" i="24"/>
  <c r="AI1275" i="24"/>
  <c r="AJ1275" i="24"/>
  <c r="AG1276" i="24"/>
  <c r="AH1276" i="24"/>
  <c r="AI1276" i="24"/>
  <c r="AJ1276" i="24"/>
  <c r="AG1277" i="24"/>
  <c r="AH1277" i="24"/>
  <c r="AI1277" i="24"/>
  <c r="AJ1277" i="24"/>
  <c r="AG1278" i="24"/>
  <c r="AI1278" i="24"/>
  <c r="AJ1278" i="24"/>
  <c r="AG1279" i="24"/>
  <c r="AI1279" i="24"/>
  <c r="AJ1279" i="24"/>
  <c r="AG1280" i="24"/>
  <c r="AI1280" i="24"/>
  <c r="AJ1280" i="24"/>
  <c r="AG1281" i="24"/>
  <c r="AI1281" i="24"/>
  <c r="AJ1281" i="24"/>
  <c r="AG1282" i="24"/>
  <c r="AI1282" i="24"/>
  <c r="AJ1282" i="24"/>
  <c r="AG1283" i="24"/>
  <c r="AH1283" i="24"/>
  <c r="AI1283" i="24"/>
  <c r="AJ1283" i="24"/>
  <c r="AG1284" i="24"/>
  <c r="AH1284" i="24"/>
  <c r="AI1284" i="24"/>
  <c r="AJ1284" i="24"/>
  <c r="AG1285" i="24"/>
  <c r="AH1285" i="24"/>
  <c r="AI1285" i="24"/>
  <c r="AJ1285" i="24"/>
  <c r="AG1286" i="24"/>
  <c r="AH1286" i="24"/>
  <c r="AI1286" i="24"/>
  <c r="AJ1286" i="24"/>
  <c r="AG1287" i="24"/>
  <c r="AH1287" i="24"/>
  <c r="AI1287" i="24"/>
  <c r="AJ1287" i="24"/>
  <c r="AG1288" i="24"/>
  <c r="AH1288" i="24"/>
  <c r="AI1288" i="24"/>
  <c r="AJ1288" i="24"/>
  <c r="AG1289" i="24"/>
  <c r="AH1289" i="24"/>
  <c r="AI1289" i="24"/>
  <c r="AJ1289" i="24"/>
  <c r="AG1290" i="24"/>
  <c r="AH1290" i="24"/>
  <c r="AI1290" i="24"/>
  <c r="AJ1290" i="24"/>
  <c r="AG1291" i="24"/>
  <c r="AH1291" i="24"/>
  <c r="AI1291" i="24"/>
  <c r="AJ1291" i="24"/>
  <c r="AG1292" i="24"/>
  <c r="AH1292" i="24"/>
  <c r="AI1292" i="24"/>
  <c r="AJ1292" i="24"/>
  <c r="AG1293" i="24"/>
  <c r="AH1293" i="24"/>
  <c r="AI1293" i="24"/>
  <c r="AJ1293" i="24"/>
  <c r="AG1294" i="24"/>
  <c r="AH1294" i="24"/>
  <c r="AI1294" i="24"/>
  <c r="AJ1294" i="24"/>
  <c r="AG1295" i="24"/>
  <c r="AH1295" i="24"/>
  <c r="AI1295" i="24"/>
  <c r="AJ1295" i="24"/>
  <c r="AG1296" i="24"/>
  <c r="AH1296" i="24"/>
  <c r="AI1296" i="24"/>
  <c r="AJ1296" i="24"/>
  <c r="AG1297" i="24"/>
  <c r="AH1297" i="24"/>
  <c r="AI1297" i="24"/>
  <c r="AJ1297" i="24"/>
  <c r="AG1298" i="24"/>
  <c r="AH1298" i="24"/>
  <c r="AI1298" i="24"/>
  <c r="AJ1298" i="24"/>
  <c r="AG1299" i="24"/>
  <c r="AH1299" i="24"/>
  <c r="AI1299" i="24"/>
  <c r="AJ1299" i="24"/>
  <c r="AG1300" i="24"/>
  <c r="AH1300" i="24"/>
  <c r="AI1300" i="24"/>
  <c r="AJ1300" i="24"/>
  <c r="AG1301" i="24"/>
  <c r="AH1301" i="24"/>
  <c r="AI1301" i="24"/>
  <c r="AJ1301" i="24"/>
  <c r="AG1302" i="24"/>
  <c r="AH1302" i="24"/>
  <c r="AI1302" i="24"/>
  <c r="AJ1302" i="24"/>
  <c r="AG1303" i="24"/>
  <c r="AH1303" i="24"/>
  <c r="AI1303" i="24"/>
  <c r="AJ1303" i="24"/>
  <c r="AG1304" i="24"/>
  <c r="AH1304" i="24"/>
  <c r="AI1304" i="24"/>
  <c r="AJ1304" i="24"/>
  <c r="AG1305" i="24"/>
  <c r="AH1305" i="24"/>
  <c r="AI1305" i="24"/>
  <c r="AJ1305" i="24"/>
  <c r="AG1306" i="24"/>
  <c r="AH1306" i="24"/>
  <c r="AI1306" i="24"/>
  <c r="AJ1306" i="24"/>
  <c r="AG1307" i="24"/>
  <c r="AH1307" i="24"/>
  <c r="AI1307" i="24"/>
  <c r="AJ1307" i="24"/>
  <c r="AG1308" i="24"/>
  <c r="AH1308" i="24"/>
  <c r="AI1308" i="24"/>
  <c r="AJ1308" i="24"/>
  <c r="AG1309" i="24"/>
  <c r="AI1309" i="24"/>
  <c r="AJ1309" i="24"/>
  <c r="AG1310" i="24"/>
  <c r="AI1310" i="24"/>
  <c r="AJ1310" i="24"/>
  <c r="AG1311" i="24"/>
  <c r="AI1311" i="24"/>
  <c r="AJ1311" i="24"/>
  <c r="AG1312" i="24"/>
  <c r="AI1312" i="24"/>
  <c r="AJ1312" i="24"/>
  <c r="AG1313" i="24"/>
  <c r="AI1313" i="24"/>
  <c r="AJ1313" i="24"/>
  <c r="AG1314" i="24"/>
  <c r="AH1314" i="24"/>
  <c r="AI1314" i="24"/>
  <c r="AJ1314" i="24"/>
  <c r="AG1315" i="24"/>
  <c r="AH1315" i="24"/>
  <c r="AI1315" i="24"/>
  <c r="AJ1315" i="24"/>
  <c r="AG1316" i="24"/>
  <c r="AI1316" i="24"/>
  <c r="AJ1316" i="24"/>
  <c r="AG1317" i="24"/>
  <c r="AI1317" i="24"/>
  <c r="AJ1317" i="24"/>
  <c r="AG1318" i="24"/>
  <c r="AI1318" i="24"/>
  <c r="AJ1318" i="24"/>
  <c r="AG1319" i="24"/>
  <c r="AI1319" i="24"/>
  <c r="AJ1319" i="24"/>
  <c r="AG1320" i="24"/>
  <c r="AI1320" i="24"/>
  <c r="AJ1320" i="24"/>
  <c r="AG1321" i="24"/>
  <c r="AH1321" i="24"/>
  <c r="AI1321" i="24"/>
  <c r="AJ1321" i="24"/>
  <c r="AG1322" i="24"/>
  <c r="AH1322" i="24"/>
  <c r="AI1322" i="24"/>
  <c r="AJ1322" i="24"/>
  <c r="AG1323" i="24"/>
  <c r="AI1323" i="24"/>
  <c r="AJ1323" i="24"/>
  <c r="AG1324" i="24"/>
  <c r="AI1324" i="24"/>
  <c r="AJ1324" i="24"/>
  <c r="AG1325" i="24"/>
  <c r="AI1325" i="24"/>
  <c r="AJ1325" i="24"/>
  <c r="AG1326" i="24"/>
  <c r="AI1326" i="24"/>
  <c r="AJ1326" i="24"/>
  <c r="AG1327" i="24"/>
  <c r="AI1327" i="24"/>
  <c r="AJ1327" i="24"/>
  <c r="AG1328" i="24"/>
  <c r="AH1328" i="24"/>
  <c r="AI1328" i="24"/>
  <c r="AJ1328" i="24"/>
  <c r="AG1329" i="24"/>
  <c r="AH1329" i="24"/>
  <c r="AI1329" i="24"/>
  <c r="AJ1329" i="24"/>
  <c r="AG1330" i="24"/>
  <c r="AH1330" i="24"/>
  <c r="AI1330" i="24"/>
  <c r="AJ1330" i="24"/>
  <c r="AG1331" i="24"/>
  <c r="AH1331" i="24"/>
  <c r="AI1331" i="24"/>
  <c r="AJ1331" i="24"/>
  <c r="AG1332" i="24"/>
  <c r="AH1332" i="24"/>
  <c r="AI1332" i="24"/>
  <c r="AJ1332" i="24"/>
  <c r="AG1333" i="24"/>
  <c r="AH1333" i="24"/>
  <c r="AI1333" i="24"/>
  <c r="AJ1333" i="24"/>
  <c r="AG1334" i="24"/>
  <c r="AH1334" i="24"/>
  <c r="AI1334" i="24"/>
  <c r="AJ1334" i="24"/>
  <c r="AG1335" i="24"/>
  <c r="AH1335" i="24"/>
  <c r="AI1335" i="24"/>
  <c r="AJ1335" i="24"/>
  <c r="AG1336" i="24"/>
  <c r="AH1336" i="24"/>
  <c r="AI1336" i="24"/>
  <c r="AJ1336" i="24"/>
  <c r="AG1337" i="24"/>
  <c r="AH1337" i="24"/>
  <c r="AI1337" i="24"/>
  <c r="AJ1337" i="24"/>
  <c r="AG1338" i="24"/>
  <c r="AI1338" i="24"/>
  <c r="AJ1338" i="24"/>
  <c r="AG1339" i="24"/>
  <c r="AI1339" i="24"/>
  <c r="AJ1339" i="24"/>
  <c r="AG1340" i="24"/>
  <c r="AH1340" i="24"/>
  <c r="AI1340" i="24"/>
  <c r="AJ1340" i="24"/>
  <c r="AG1341" i="24"/>
  <c r="AI1341" i="24"/>
  <c r="AJ1341" i="24"/>
  <c r="AG1342" i="24"/>
  <c r="AI1342" i="24"/>
  <c r="AJ1342" i="24"/>
  <c r="AG1343" i="24"/>
  <c r="AH1343" i="24"/>
  <c r="AI1343" i="24"/>
  <c r="AJ1343" i="24"/>
  <c r="AG1344" i="24"/>
  <c r="AI1344" i="24"/>
  <c r="AJ1344" i="24"/>
  <c r="AG1345" i="24"/>
  <c r="AI1345" i="24"/>
  <c r="AJ1345" i="24"/>
  <c r="AG1346" i="24"/>
  <c r="AI1346" i="24"/>
  <c r="AJ1346" i="24"/>
  <c r="AG1347" i="24"/>
  <c r="AI1347" i="24"/>
  <c r="AJ1347" i="24"/>
  <c r="AG1348" i="24"/>
  <c r="AI1348" i="24"/>
  <c r="AJ1348" i="24"/>
  <c r="AG1349" i="24"/>
  <c r="AI1349" i="24"/>
  <c r="AJ1349" i="24"/>
  <c r="AG1350" i="24"/>
  <c r="AI1350" i="24"/>
  <c r="AJ1350" i="24"/>
  <c r="AG1351" i="24"/>
  <c r="AI1351" i="24"/>
  <c r="AJ1351" i="24"/>
  <c r="AG1352" i="24"/>
  <c r="AI1352" i="24"/>
  <c r="AJ1352" i="24"/>
  <c r="AG1353" i="24"/>
  <c r="AI1353" i="24"/>
  <c r="AJ1353" i="24"/>
  <c r="AG1354" i="24"/>
  <c r="AI1354" i="24"/>
  <c r="AJ1354" i="24"/>
  <c r="AG1355" i="24"/>
  <c r="AI1355" i="24"/>
  <c r="AJ1355" i="24"/>
  <c r="AG1356" i="24"/>
  <c r="AI1356" i="24"/>
  <c r="AJ1356" i="24"/>
  <c r="AG1357" i="24"/>
  <c r="AI1357" i="24"/>
  <c r="AJ1357" i="24"/>
  <c r="AG1358" i="24"/>
  <c r="AI1358" i="24"/>
  <c r="AJ1358" i="24"/>
  <c r="AG1359" i="24"/>
  <c r="AI1359" i="24"/>
  <c r="AJ1359" i="24"/>
  <c r="AG1360" i="24"/>
  <c r="AI1360" i="24"/>
  <c r="AJ1360" i="24"/>
  <c r="AG1361" i="24"/>
  <c r="AI1361" i="24"/>
  <c r="AJ1361" i="24"/>
  <c r="AG1362" i="24"/>
  <c r="AI1362" i="24"/>
  <c r="AJ1362" i="24"/>
  <c r="AG1363" i="24"/>
  <c r="AI1363" i="24"/>
  <c r="AJ1363" i="24"/>
  <c r="AG1364" i="24"/>
  <c r="AI1364" i="24"/>
  <c r="AJ1364" i="24"/>
  <c r="AG1365" i="24"/>
  <c r="AI1365" i="24"/>
  <c r="AJ1365" i="24"/>
  <c r="AG1366" i="24"/>
  <c r="AI1366" i="24"/>
  <c r="AJ1366" i="24"/>
  <c r="AG1367" i="24"/>
  <c r="AH1367" i="24"/>
  <c r="AI1367" i="24"/>
  <c r="AJ1367" i="24"/>
  <c r="AG1368" i="24"/>
  <c r="AH1368" i="24"/>
  <c r="AI1368" i="24"/>
  <c r="AJ1368" i="24"/>
  <c r="AG1369" i="24"/>
  <c r="AH1369" i="24"/>
  <c r="AI1369" i="24"/>
  <c r="AJ1369" i="24"/>
  <c r="AG1370" i="24"/>
  <c r="AH1370" i="24"/>
  <c r="AI1370" i="24"/>
  <c r="AJ1370" i="24"/>
  <c r="AG1371" i="24"/>
  <c r="AH1371" i="24"/>
  <c r="AI1371" i="24"/>
  <c r="AJ1371" i="24"/>
  <c r="AG1372" i="24"/>
  <c r="AH1372" i="24"/>
  <c r="AI1372" i="24"/>
  <c r="AJ1372" i="24"/>
  <c r="AG1373" i="24"/>
  <c r="AH1373" i="24"/>
  <c r="AI1373" i="24"/>
  <c r="AJ1373" i="24"/>
  <c r="AG1374" i="24"/>
  <c r="AH1374" i="24"/>
  <c r="AI1374" i="24"/>
  <c r="AJ1374" i="24"/>
  <c r="AG1375" i="24"/>
  <c r="AH1375" i="24"/>
  <c r="AI1375" i="24"/>
  <c r="AJ1375" i="24"/>
  <c r="AG1376" i="24"/>
  <c r="AH1376" i="24"/>
  <c r="AI1376" i="24"/>
  <c r="AJ1376" i="24"/>
  <c r="AG1377" i="24"/>
  <c r="AH1377" i="24"/>
  <c r="AI1377" i="24"/>
  <c r="AJ1377" i="24"/>
  <c r="AG1378" i="24"/>
  <c r="AH1378" i="24"/>
  <c r="AI1378" i="24"/>
  <c r="AJ1378" i="24"/>
  <c r="AG1379" i="24"/>
  <c r="AH1379" i="24"/>
  <c r="AI1379" i="24"/>
  <c r="AJ1379" i="24"/>
  <c r="AG1380" i="24"/>
  <c r="AH1380" i="24"/>
  <c r="AI1380" i="24"/>
  <c r="AJ1380" i="24"/>
  <c r="AG1381" i="24"/>
  <c r="AH1381" i="24"/>
  <c r="AI1381" i="24"/>
  <c r="AJ1381" i="24"/>
  <c r="AG1382" i="24"/>
  <c r="AH1382" i="24"/>
  <c r="AI1382" i="24"/>
  <c r="AJ1382" i="24"/>
  <c r="AG1383" i="24"/>
  <c r="AH1383" i="24"/>
  <c r="AI1383" i="24"/>
  <c r="AJ1383" i="24"/>
  <c r="AG1384" i="24"/>
  <c r="AH1384" i="24"/>
  <c r="AI1384" i="24"/>
  <c r="AJ1384" i="24"/>
  <c r="AG1385" i="24"/>
  <c r="AH1385" i="24"/>
  <c r="AI1385" i="24"/>
  <c r="AJ1385" i="24"/>
  <c r="AG1386" i="24"/>
  <c r="AH1386" i="24"/>
  <c r="AI1386" i="24"/>
  <c r="AJ1386" i="24"/>
  <c r="AG1387" i="24"/>
  <c r="AH1387" i="24"/>
  <c r="AI1387" i="24"/>
  <c r="AJ1387" i="24"/>
  <c r="AG1388" i="24"/>
  <c r="AH1388" i="24"/>
  <c r="AI1388" i="24"/>
  <c r="AJ1388" i="24"/>
  <c r="AG1389" i="24"/>
  <c r="AH1389" i="24"/>
  <c r="AI1389" i="24"/>
  <c r="AJ1389" i="24"/>
  <c r="AG1390" i="24"/>
  <c r="AH1390" i="24"/>
  <c r="AI1390" i="24"/>
  <c r="AJ1390" i="24"/>
  <c r="AG1391" i="24"/>
  <c r="AH1391" i="24"/>
  <c r="AI1391" i="24"/>
  <c r="AJ1391" i="24"/>
  <c r="AG1392" i="24"/>
  <c r="AH1392" i="24"/>
  <c r="AI1392" i="24"/>
  <c r="AJ1392" i="24"/>
  <c r="AG1393" i="24"/>
  <c r="AH1393" i="24"/>
  <c r="AI1393" i="24"/>
  <c r="AJ1393" i="24"/>
  <c r="AG1394" i="24"/>
  <c r="AH1394" i="24"/>
  <c r="AI1394" i="24"/>
  <c r="AJ1394" i="24"/>
  <c r="AG1395" i="24"/>
  <c r="AH1395" i="24"/>
  <c r="AI1395" i="24"/>
  <c r="AJ1395" i="24"/>
  <c r="AG1396" i="24"/>
  <c r="AH1396" i="24"/>
  <c r="AI1396" i="24"/>
  <c r="AJ1396" i="24"/>
  <c r="AG1397" i="24"/>
  <c r="AH1397" i="24"/>
  <c r="AI1397" i="24"/>
  <c r="AJ1397" i="24"/>
  <c r="AG1398" i="24"/>
  <c r="AH1398" i="24"/>
  <c r="AI1398" i="24"/>
  <c r="AJ1398" i="24"/>
  <c r="AG1399" i="24"/>
  <c r="AH1399" i="24"/>
  <c r="AI1399" i="24"/>
  <c r="AJ1399" i="24"/>
  <c r="AG1400" i="24"/>
  <c r="AH1400" i="24"/>
  <c r="AI1400" i="24"/>
  <c r="AJ1400" i="24"/>
  <c r="AG1401" i="24"/>
  <c r="AH1401" i="24"/>
  <c r="AI1401" i="24"/>
  <c r="AJ1401" i="24"/>
  <c r="AG1402" i="24"/>
  <c r="AH1402" i="24"/>
  <c r="AI1402" i="24"/>
  <c r="AJ1402" i="24"/>
  <c r="AG1403" i="24"/>
  <c r="AI1403" i="24"/>
  <c r="AJ1403" i="24"/>
  <c r="AG1404" i="24"/>
  <c r="AI1404" i="24"/>
  <c r="AJ1404" i="24"/>
  <c r="AG1405" i="24"/>
  <c r="AH1405" i="24"/>
  <c r="AI1405" i="24"/>
  <c r="AJ1405" i="24"/>
  <c r="AG1406" i="24"/>
  <c r="AI1406" i="24"/>
  <c r="AJ1406" i="24"/>
  <c r="AG1407" i="24"/>
  <c r="AI1407" i="24"/>
  <c r="AJ1407" i="24"/>
  <c r="AG1408" i="24"/>
  <c r="AH1408" i="24"/>
  <c r="AI1408" i="24"/>
  <c r="AJ1408" i="24"/>
  <c r="AG1409" i="24"/>
  <c r="AH1409" i="24"/>
  <c r="AI1409" i="24"/>
  <c r="AJ1409" i="24"/>
  <c r="AG1410" i="24"/>
  <c r="AI1410" i="24"/>
  <c r="AJ1410" i="24"/>
  <c r="AG1411" i="24"/>
  <c r="AI1411" i="24"/>
  <c r="AJ1411" i="24"/>
  <c r="AG1412" i="24"/>
  <c r="AI1412" i="24"/>
  <c r="AJ1412" i="24"/>
  <c r="AG1413" i="24"/>
  <c r="AI1413" i="24"/>
  <c r="AJ1413" i="24"/>
  <c r="AG1414" i="24"/>
  <c r="AI1414" i="24"/>
  <c r="AJ1414" i="24"/>
  <c r="AG1415" i="24"/>
  <c r="AH1415" i="24"/>
  <c r="AI1415" i="24"/>
  <c r="AJ1415" i="24"/>
  <c r="AG1416" i="24"/>
  <c r="AH1416" i="24"/>
  <c r="AI1416" i="24"/>
  <c r="AJ1416" i="24"/>
  <c r="AG1417" i="24"/>
  <c r="AH1417" i="24"/>
  <c r="AI1417" i="24"/>
  <c r="AJ1417" i="24"/>
  <c r="AG1418" i="24"/>
  <c r="AH1418" i="24"/>
  <c r="AI1418" i="24"/>
  <c r="AJ1418" i="24"/>
  <c r="AG1419" i="24"/>
  <c r="AH1419" i="24"/>
  <c r="AI1419" i="24"/>
  <c r="AJ1419" i="24"/>
  <c r="AG1420" i="24"/>
  <c r="AH1420" i="24"/>
  <c r="AI1420" i="24"/>
  <c r="AJ1420" i="24"/>
  <c r="AG1421" i="24"/>
  <c r="AH1421" i="24"/>
  <c r="AI1421" i="24"/>
  <c r="AJ1421" i="24"/>
  <c r="AG1422" i="24"/>
  <c r="AH1422" i="24"/>
  <c r="AI1422" i="24"/>
  <c r="AJ1422" i="24"/>
  <c r="AG1423" i="24"/>
  <c r="AH1423" i="24"/>
  <c r="AI1423" i="24"/>
  <c r="AJ1423" i="24"/>
  <c r="AG1424" i="24"/>
  <c r="AH1424" i="24"/>
  <c r="AI1424" i="24"/>
  <c r="AJ1424" i="24"/>
  <c r="AG1425" i="24"/>
  <c r="AH1425" i="24"/>
  <c r="AI1425" i="24"/>
  <c r="AJ1425" i="24"/>
  <c r="AG1426" i="24"/>
  <c r="AH1426" i="24"/>
  <c r="AI1426" i="24"/>
  <c r="AJ1426" i="24"/>
  <c r="AG1427" i="24"/>
  <c r="AH1427" i="24"/>
  <c r="AI1427" i="24"/>
  <c r="AJ1427" i="24"/>
  <c r="AG1428" i="24"/>
  <c r="AH1428" i="24"/>
  <c r="AI1428" i="24"/>
  <c r="AJ1428" i="24"/>
  <c r="AG1429" i="24"/>
  <c r="AH1429" i="24"/>
  <c r="AI1429" i="24"/>
  <c r="AJ1429" i="24"/>
  <c r="AG1430" i="24"/>
  <c r="AH1430" i="24"/>
  <c r="AI1430" i="24"/>
  <c r="AJ1430" i="24"/>
  <c r="AG1431" i="24"/>
  <c r="AH1431" i="24"/>
  <c r="AI1431" i="24"/>
  <c r="AJ1431" i="24"/>
  <c r="AG1432" i="24"/>
  <c r="AH1432" i="24"/>
  <c r="AI1432" i="24"/>
  <c r="AJ1432" i="24"/>
  <c r="AG1433" i="24"/>
  <c r="AH1433" i="24"/>
  <c r="AI1433" i="24"/>
  <c r="AJ1433" i="24"/>
  <c r="AG1434" i="24"/>
  <c r="AH1434" i="24"/>
  <c r="AI1434" i="24"/>
  <c r="AJ1434" i="24"/>
  <c r="AG1435" i="24"/>
  <c r="AH1435" i="24"/>
  <c r="AI1435" i="24"/>
  <c r="AJ1435" i="24"/>
  <c r="AG1436" i="24"/>
  <c r="AH1436" i="24"/>
  <c r="AI1436" i="24"/>
  <c r="AJ1436" i="24"/>
  <c r="AG1437" i="24"/>
  <c r="AH1437" i="24"/>
  <c r="AI1437" i="24"/>
  <c r="AJ1437" i="24"/>
  <c r="AG1438" i="24"/>
  <c r="AH1438" i="24"/>
  <c r="AI1438" i="24"/>
  <c r="AJ1438" i="24"/>
  <c r="AG1439" i="24"/>
  <c r="AH1439" i="24"/>
  <c r="AI1439" i="24"/>
  <c r="AJ1439" i="24"/>
  <c r="AG1440" i="24"/>
  <c r="AH1440" i="24"/>
  <c r="AI1440" i="24"/>
  <c r="AJ1440" i="24"/>
  <c r="AG1441" i="24"/>
  <c r="AH1441" i="24"/>
  <c r="AI1441" i="24"/>
  <c r="AJ1441" i="24"/>
  <c r="AG1442" i="24"/>
  <c r="AH1442" i="24"/>
  <c r="AI1442" i="24"/>
  <c r="AJ1442" i="24"/>
  <c r="AG1443" i="24"/>
  <c r="AH1443" i="24"/>
  <c r="AI1443" i="24"/>
  <c r="AJ1443" i="24"/>
  <c r="AG1444" i="24"/>
  <c r="AH1444" i="24"/>
  <c r="AI1444" i="24"/>
  <c r="AJ1444" i="24"/>
  <c r="AG1445" i="24"/>
  <c r="AH1445" i="24"/>
  <c r="AI1445" i="24"/>
  <c r="AJ1445" i="24"/>
  <c r="AG1446" i="24"/>
  <c r="AH1446" i="24"/>
  <c r="AI1446" i="24"/>
  <c r="AJ1446" i="24"/>
  <c r="AG1447" i="24"/>
  <c r="AH1447" i="24"/>
  <c r="AI1447" i="24"/>
  <c r="AJ1447" i="24"/>
  <c r="AG1448" i="24"/>
  <c r="AH1448" i="24"/>
  <c r="AI1448" i="24"/>
  <c r="AJ1448" i="24"/>
  <c r="AG1449" i="24"/>
  <c r="AH1449" i="24"/>
  <c r="AI1449" i="24"/>
  <c r="AJ1449" i="24"/>
  <c r="AG1450" i="24"/>
  <c r="AH1450" i="24"/>
  <c r="AI1450" i="24"/>
  <c r="AJ1450" i="24"/>
  <c r="AG1451" i="24"/>
  <c r="AH1451" i="24"/>
  <c r="AI1451" i="24"/>
  <c r="AJ1451" i="24"/>
  <c r="AG1452" i="24"/>
  <c r="AH1452" i="24"/>
  <c r="AI1452" i="24"/>
  <c r="AJ1452" i="24"/>
  <c r="AG1453" i="24"/>
  <c r="AH1453" i="24"/>
  <c r="AI1453" i="24"/>
  <c r="AJ1453" i="24"/>
  <c r="AG1454" i="24"/>
  <c r="AH1454" i="24"/>
  <c r="AI1454" i="24"/>
  <c r="AJ1454" i="24"/>
  <c r="AG1455" i="24"/>
  <c r="AH1455" i="24"/>
  <c r="AI1455" i="24"/>
  <c r="AJ1455" i="24"/>
  <c r="AG1456" i="24"/>
  <c r="AI1456" i="24"/>
  <c r="AJ1456" i="24"/>
  <c r="AG1457" i="24"/>
  <c r="AH1457" i="24"/>
  <c r="AI1457" i="24"/>
  <c r="AJ1457" i="24"/>
  <c r="AG1458" i="24"/>
  <c r="AI1458" i="24"/>
  <c r="AJ1458" i="24"/>
  <c r="AG1459" i="24"/>
  <c r="AI1459" i="24"/>
  <c r="AJ1459" i="24"/>
  <c r="AG1460" i="24"/>
  <c r="AH1460" i="24"/>
  <c r="AI1460" i="24"/>
  <c r="AJ1460" i="24"/>
  <c r="AG1461" i="24"/>
  <c r="AI1461" i="24"/>
  <c r="AJ1461" i="24"/>
  <c r="AG1462" i="24"/>
  <c r="AI1462" i="24"/>
  <c r="AJ1462" i="24"/>
  <c r="AG1463" i="24"/>
  <c r="AH1463" i="24"/>
  <c r="AI1463" i="24"/>
  <c r="AJ1463" i="24"/>
  <c r="AG1464" i="24"/>
  <c r="AH1464" i="24"/>
  <c r="AI1464" i="24"/>
  <c r="AJ1464" i="24"/>
  <c r="AG1465" i="24"/>
  <c r="AH1465" i="24"/>
  <c r="AI1465" i="24"/>
  <c r="AJ1465" i="24"/>
  <c r="AG1466" i="24"/>
  <c r="AI1466" i="24"/>
  <c r="AJ1466" i="24"/>
  <c r="AG1467" i="24"/>
  <c r="AI1467" i="24"/>
  <c r="AJ1467" i="24"/>
  <c r="AG1468" i="24"/>
  <c r="AI1468" i="24"/>
  <c r="AJ1468" i="24"/>
  <c r="AG1469" i="24"/>
  <c r="AI1469" i="24"/>
  <c r="AJ1469" i="24"/>
  <c r="AJ7" i="24"/>
  <c r="AI7" i="24"/>
  <c r="AG7" i="24"/>
  <c r="I77" i="10"/>
  <c r="I76" i="10"/>
  <c r="I75" i="10"/>
  <c r="I74" i="10"/>
  <c r="I73" i="10"/>
  <c r="I47" i="10"/>
  <c r="AH246" i="24" s="1"/>
  <c r="I46" i="10"/>
  <c r="AH233" i="24" s="1"/>
  <c r="I45" i="10"/>
  <c r="AH1215" i="24" s="1"/>
  <c r="I44" i="10"/>
  <c r="AH645" i="24" s="1"/>
  <c r="I43" i="10"/>
  <c r="I37" i="10"/>
  <c r="I36" i="10"/>
  <c r="I35" i="10"/>
  <c r="I34" i="10"/>
  <c r="I33" i="10"/>
  <c r="I24" i="10"/>
  <c r="AH1147" i="24" s="1"/>
  <c r="I25" i="10"/>
  <c r="AH1501" i="24" s="1"/>
  <c r="I26" i="10"/>
  <c r="AH789" i="24" s="1"/>
  <c r="I27" i="10"/>
  <c r="AH1265" i="24" s="1"/>
  <c r="I23" i="10"/>
  <c r="AH1204" i="24" s="1"/>
  <c r="BD103" i="3"/>
  <c r="BB103" i="3"/>
  <c r="AZ103" i="3"/>
  <c r="AX103" i="3"/>
  <c r="AV103" i="3"/>
  <c r="AT103" i="3"/>
  <c r="AR103" i="3"/>
  <c r="AN103" i="3"/>
  <c r="AL103" i="3"/>
  <c r="AJ103" i="3"/>
  <c r="AH103" i="3"/>
  <c r="AF103" i="3"/>
  <c r="AD103" i="3"/>
  <c r="AB103" i="3"/>
  <c r="Z103" i="3"/>
  <c r="X103" i="3"/>
  <c r="V103" i="3"/>
  <c r="R103" i="3"/>
  <c r="P103" i="3"/>
  <c r="N103" i="3"/>
  <c r="L103" i="3"/>
  <c r="J103" i="3"/>
  <c r="H103" i="3"/>
  <c r="F103" i="3"/>
  <c r="BD102" i="3"/>
  <c r="BB102" i="3"/>
  <c r="AZ102" i="3"/>
  <c r="AX102" i="3"/>
  <c r="AV102" i="3"/>
  <c r="AT102" i="3"/>
  <c r="AR102" i="3"/>
  <c r="AN102" i="3"/>
  <c r="AL102" i="3"/>
  <c r="AJ102" i="3"/>
  <c r="AH102" i="3"/>
  <c r="AF102" i="3"/>
  <c r="AD102" i="3"/>
  <c r="AB102" i="3"/>
  <c r="Z102" i="3"/>
  <c r="X102" i="3"/>
  <c r="V102" i="3"/>
  <c r="R102" i="3"/>
  <c r="P102" i="3"/>
  <c r="N102" i="3"/>
  <c r="L102" i="3"/>
  <c r="J102" i="3"/>
  <c r="H102" i="3"/>
  <c r="F102" i="3"/>
  <c r="BD101" i="3"/>
  <c r="BB101" i="3"/>
  <c r="AZ101" i="3"/>
  <c r="AX101" i="3"/>
  <c r="AV101" i="3"/>
  <c r="AT101" i="3"/>
  <c r="AR101" i="3"/>
  <c r="AN101" i="3"/>
  <c r="AL101" i="3"/>
  <c r="AJ101" i="3"/>
  <c r="AH101" i="3"/>
  <c r="AF101" i="3"/>
  <c r="AD101" i="3"/>
  <c r="AB101" i="3"/>
  <c r="Z101" i="3"/>
  <c r="X101" i="3"/>
  <c r="V101" i="3"/>
  <c r="R101" i="3"/>
  <c r="P101" i="3"/>
  <c r="N101" i="3"/>
  <c r="L101" i="3"/>
  <c r="J101" i="3"/>
  <c r="H101" i="3"/>
  <c r="F101" i="3"/>
  <c r="BD100" i="3"/>
  <c r="BB100" i="3"/>
  <c r="AZ100" i="3"/>
  <c r="AX100" i="3"/>
  <c r="AV100" i="3"/>
  <c r="AT100" i="3"/>
  <c r="AR100" i="3"/>
  <c r="AN100" i="3"/>
  <c r="AL100" i="3"/>
  <c r="AJ100" i="3"/>
  <c r="AH100" i="3"/>
  <c r="AF100" i="3"/>
  <c r="AD100" i="3"/>
  <c r="AB100" i="3"/>
  <c r="Z100" i="3"/>
  <c r="X100" i="3"/>
  <c r="V100" i="3"/>
  <c r="R100" i="3"/>
  <c r="P100" i="3"/>
  <c r="N100" i="3"/>
  <c r="L100" i="3"/>
  <c r="J100" i="3"/>
  <c r="H100" i="3"/>
  <c r="F100" i="3"/>
  <c r="BD99" i="3"/>
  <c r="BB99" i="3"/>
  <c r="AZ99" i="3"/>
  <c r="AX99" i="3"/>
  <c r="AV99" i="3"/>
  <c r="AT99" i="3"/>
  <c r="AR99" i="3"/>
  <c r="AN99" i="3"/>
  <c r="AL99" i="3"/>
  <c r="AJ99" i="3"/>
  <c r="AH99" i="3"/>
  <c r="AF99" i="3"/>
  <c r="AD99" i="3"/>
  <c r="AB99" i="3"/>
  <c r="Z99" i="3"/>
  <c r="X99" i="3"/>
  <c r="V99" i="3"/>
  <c r="R99" i="3"/>
  <c r="P99" i="3"/>
  <c r="N99" i="3"/>
  <c r="L99" i="3"/>
  <c r="J99" i="3"/>
  <c r="H99" i="3"/>
  <c r="F99" i="3"/>
  <c r="BD98" i="3"/>
  <c r="BB98" i="3"/>
  <c r="AZ98" i="3"/>
  <c r="AX98" i="3"/>
  <c r="AV98" i="3"/>
  <c r="AT98" i="3"/>
  <c r="AR98" i="3"/>
  <c r="AN98" i="3"/>
  <c r="AL98" i="3"/>
  <c r="AJ98" i="3"/>
  <c r="AH98" i="3"/>
  <c r="AF98" i="3"/>
  <c r="AD98" i="3"/>
  <c r="AB98" i="3"/>
  <c r="Z98" i="3"/>
  <c r="X98" i="3"/>
  <c r="V98" i="3"/>
  <c r="R98" i="3"/>
  <c r="P98" i="3"/>
  <c r="N98" i="3"/>
  <c r="L98" i="3"/>
  <c r="J98" i="3"/>
  <c r="H98" i="3"/>
  <c r="F98" i="3"/>
  <c r="BD97" i="3"/>
  <c r="BB97" i="3"/>
  <c r="AZ97" i="3"/>
  <c r="AX97" i="3"/>
  <c r="AV97" i="3"/>
  <c r="AT97" i="3"/>
  <c r="AR97" i="3"/>
  <c r="AN97" i="3"/>
  <c r="AL97" i="3"/>
  <c r="AJ97" i="3"/>
  <c r="AH97" i="3"/>
  <c r="AF97" i="3"/>
  <c r="AD97" i="3"/>
  <c r="AB97" i="3"/>
  <c r="Z97" i="3"/>
  <c r="X97" i="3"/>
  <c r="V97" i="3"/>
  <c r="R97" i="3"/>
  <c r="P97" i="3"/>
  <c r="N97" i="3"/>
  <c r="L97" i="3"/>
  <c r="J97" i="3"/>
  <c r="H97" i="3"/>
  <c r="F97" i="3"/>
  <c r="BD96" i="3"/>
  <c r="BB96" i="3"/>
  <c r="AZ96" i="3"/>
  <c r="AX96" i="3"/>
  <c r="AV96" i="3"/>
  <c r="AT96" i="3"/>
  <c r="AR96" i="3"/>
  <c r="AN96" i="3"/>
  <c r="AL96" i="3"/>
  <c r="AJ96" i="3"/>
  <c r="AH96" i="3"/>
  <c r="AF96" i="3"/>
  <c r="AD96" i="3"/>
  <c r="AB96" i="3"/>
  <c r="Z96" i="3"/>
  <c r="X96" i="3"/>
  <c r="V96" i="3"/>
  <c r="R96" i="3"/>
  <c r="P96" i="3"/>
  <c r="N96" i="3"/>
  <c r="L96" i="3"/>
  <c r="J96" i="3"/>
  <c r="H96" i="3"/>
  <c r="F96" i="3"/>
  <c r="BD95" i="3"/>
  <c r="BB95" i="3"/>
  <c r="AZ95" i="3"/>
  <c r="AX95" i="3"/>
  <c r="AV95" i="3"/>
  <c r="AT95" i="3"/>
  <c r="AR95" i="3"/>
  <c r="AN95" i="3"/>
  <c r="AL95" i="3"/>
  <c r="AJ95" i="3"/>
  <c r="AH95" i="3"/>
  <c r="AF95" i="3"/>
  <c r="AD95" i="3"/>
  <c r="AB95" i="3"/>
  <c r="Z95" i="3"/>
  <c r="X95" i="3"/>
  <c r="V95" i="3"/>
  <c r="R95" i="3"/>
  <c r="P95" i="3"/>
  <c r="N95" i="3"/>
  <c r="L95" i="3"/>
  <c r="J95" i="3"/>
  <c r="H95" i="3"/>
  <c r="F95" i="3"/>
  <c r="BD94" i="3"/>
  <c r="BB94" i="3"/>
  <c r="AZ94" i="3"/>
  <c r="AX94" i="3"/>
  <c r="AV94" i="3"/>
  <c r="AT94" i="3"/>
  <c r="AR94" i="3"/>
  <c r="AN94" i="3"/>
  <c r="AL94" i="3"/>
  <c r="AJ94" i="3"/>
  <c r="AH94" i="3"/>
  <c r="AF94" i="3"/>
  <c r="AD94" i="3"/>
  <c r="AB94" i="3"/>
  <c r="Z94" i="3"/>
  <c r="X94" i="3"/>
  <c r="V94" i="3"/>
  <c r="R94" i="3"/>
  <c r="P94" i="3"/>
  <c r="N94" i="3"/>
  <c r="L94" i="3"/>
  <c r="J94" i="3"/>
  <c r="H94" i="3"/>
  <c r="F94" i="3"/>
  <c r="BD93" i="3"/>
  <c r="BB93" i="3"/>
  <c r="AZ93" i="3"/>
  <c r="AX93" i="3"/>
  <c r="AV93" i="3"/>
  <c r="AT93" i="3"/>
  <c r="AR93" i="3"/>
  <c r="AN93" i="3"/>
  <c r="AL93" i="3"/>
  <c r="AJ93" i="3"/>
  <c r="AH93" i="3"/>
  <c r="AF93" i="3"/>
  <c r="AD93" i="3"/>
  <c r="AB93" i="3"/>
  <c r="Z93" i="3"/>
  <c r="X93" i="3"/>
  <c r="V93" i="3"/>
  <c r="R93" i="3"/>
  <c r="P93" i="3"/>
  <c r="N93" i="3"/>
  <c r="L93" i="3"/>
  <c r="J93" i="3"/>
  <c r="H93" i="3"/>
  <c r="F93" i="3"/>
  <c r="BD92" i="3"/>
  <c r="BB92" i="3"/>
  <c r="AZ92" i="3"/>
  <c r="AX92" i="3"/>
  <c r="AV92" i="3"/>
  <c r="AT92" i="3"/>
  <c r="AR92" i="3"/>
  <c r="AN92" i="3"/>
  <c r="AL92" i="3"/>
  <c r="AJ92" i="3"/>
  <c r="AH92" i="3"/>
  <c r="AF92" i="3"/>
  <c r="AD92" i="3"/>
  <c r="AB92" i="3"/>
  <c r="Z92" i="3"/>
  <c r="X92" i="3"/>
  <c r="V92" i="3"/>
  <c r="R92" i="3"/>
  <c r="P92" i="3"/>
  <c r="N92" i="3"/>
  <c r="L92" i="3"/>
  <c r="J92" i="3"/>
  <c r="H92" i="3"/>
  <c r="F92" i="3"/>
  <c r="BD91" i="3"/>
  <c r="BB91" i="3"/>
  <c r="AZ91" i="3"/>
  <c r="AX91" i="3"/>
  <c r="AV91" i="3"/>
  <c r="AT91" i="3"/>
  <c r="AR91" i="3"/>
  <c r="AN91" i="3"/>
  <c r="AL91" i="3"/>
  <c r="AJ91" i="3"/>
  <c r="AH91" i="3"/>
  <c r="AF91" i="3"/>
  <c r="AD91" i="3"/>
  <c r="AB91" i="3"/>
  <c r="Z91" i="3"/>
  <c r="X91" i="3"/>
  <c r="V91" i="3"/>
  <c r="R91" i="3"/>
  <c r="P91" i="3"/>
  <c r="N91" i="3"/>
  <c r="L91" i="3"/>
  <c r="J91" i="3"/>
  <c r="H91" i="3"/>
  <c r="F91" i="3"/>
  <c r="BD90" i="3"/>
  <c r="BB90" i="3"/>
  <c r="AZ90" i="3"/>
  <c r="AX90" i="3"/>
  <c r="AV90" i="3"/>
  <c r="AT90" i="3"/>
  <c r="AR90" i="3"/>
  <c r="AN90" i="3"/>
  <c r="AL90" i="3"/>
  <c r="AJ90" i="3"/>
  <c r="AH90" i="3"/>
  <c r="AF90" i="3"/>
  <c r="AD90" i="3"/>
  <c r="AB90" i="3"/>
  <c r="Z90" i="3"/>
  <c r="X90" i="3"/>
  <c r="V90" i="3"/>
  <c r="R90" i="3"/>
  <c r="P90" i="3"/>
  <c r="N90" i="3"/>
  <c r="L90" i="3"/>
  <c r="J90" i="3"/>
  <c r="H90" i="3"/>
  <c r="F90" i="3"/>
  <c r="BD89" i="3"/>
  <c r="BB89" i="3"/>
  <c r="AZ89" i="3"/>
  <c r="AX89" i="3"/>
  <c r="AV89" i="3"/>
  <c r="AT89" i="3"/>
  <c r="AR89" i="3"/>
  <c r="AN89" i="3"/>
  <c r="AL89" i="3"/>
  <c r="AJ89" i="3"/>
  <c r="AH89" i="3"/>
  <c r="AF89" i="3"/>
  <c r="AD89" i="3"/>
  <c r="AB89" i="3"/>
  <c r="Z89" i="3"/>
  <c r="X89" i="3"/>
  <c r="V89" i="3"/>
  <c r="R89" i="3"/>
  <c r="P89" i="3"/>
  <c r="N89" i="3"/>
  <c r="L89" i="3"/>
  <c r="J89" i="3"/>
  <c r="H89" i="3"/>
  <c r="F89" i="3"/>
  <c r="BD88" i="3"/>
  <c r="BB88" i="3"/>
  <c r="AZ88" i="3"/>
  <c r="AX88" i="3"/>
  <c r="AV88" i="3"/>
  <c r="AT88" i="3"/>
  <c r="AR88" i="3"/>
  <c r="AN88" i="3"/>
  <c r="AL88" i="3"/>
  <c r="AJ88" i="3"/>
  <c r="AH88" i="3"/>
  <c r="AF88" i="3"/>
  <c r="AD88" i="3"/>
  <c r="AB88" i="3"/>
  <c r="Z88" i="3"/>
  <c r="X88" i="3"/>
  <c r="V88" i="3"/>
  <c r="R88" i="3"/>
  <c r="P88" i="3"/>
  <c r="N88" i="3"/>
  <c r="L88" i="3"/>
  <c r="J88" i="3"/>
  <c r="H88" i="3"/>
  <c r="F88" i="3"/>
  <c r="BD87" i="3"/>
  <c r="BB87" i="3"/>
  <c r="AZ87" i="3"/>
  <c r="AX87" i="3"/>
  <c r="AV87" i="3"/>
  <c r="AT87" i="3"/>
  <c r="AR87" i="3"/>
  <c r="AN87" i="3"/>
  <c r="AL87" i="3"/>
  <c r="AJ87" i="3"/>
  <c r="AH87" i="3"/>
  <c r="AF87" i="3"/>
  <c r="AD87" i="3"/>
  <c r="AB87" i="3"/>
  <c r="Z87" i="3"/>
  <c r="X87" i="3"/>
  <c r="V87" i="3"/>
  <c r="R87" i="3"/>
  <c r="P87" i="3"/>
  <c r="N87" i="3"/>
  <c r="L87" i="3"/>
  <c r="J87" i="3"/>
  <c r="H87" i="3"/>
  <c r="F87" i="3"/>
  <c r="BD86" i="3"/>
  <c r="BB86" i="3"/>
  <c r="AZ86" i="3"/>
  <c r="AX86" i="3"/>
  <c r="AV86" i="3"/>
  <c r="AT86" i="3"/>
  <c r="AR86" i="3"/>
  <c r="AN86" i="3"/>
  <c r="AL86" i="3"/>
  <c r="AJ86" i="3"/>
  <c r="AH86" i="3"/>
  <c r="AF86" i="3"/>
  <c r="AD86" i="3"/>
  <c r="AB86" i="3"/>
  <c r="Z86" i="3"/>
  <c r="X86" i="3"/>
  <c r="V86" i="3"/>
  <c r="R86" i="3"/>
  <c r="P86" i="3"/>
  <c r="N86" i="3"/>
  <c r="L86" i="3"/>
  <c r="J86" i="3"/>
  <c r="H86" i="3"/>
  <c r="F86" i="3"/>
  <c r="BD85" i="3"/>
  <c r="BB85" i="3"/>
  <c r="AZ85" i="3"/>
  <c r="AX85" i="3"/>
  <c r="AV85" i="3"/>
  <c r="AT85" i="3"/>
  <c r="AR85" i="3"/>
  <c r="AN85" i="3"/>
  <c r="AL85" i="3"/>
  <c r="AJ85" i="3"/>
  <c r="AH85" i="3"/>
  <c r="AF85" i="3"/>
  <c r="AD85" i="3"/>
  <c r="AB85" i="3"/>
  <c r="Z85" i="3"/>
  <c r="X85" i="3"/>
  <c r="V85" i="3"/>
  <c r="R85" i="3"/>
  <c r="P85" i="3"/>
  <c r="N85" i="3"/>
  <c r="L85" i="3"/>
  <c r="J85" i="3"/>
  <c r="H85" i="3"/>
  <c r="F85" i="3"/>
  <c r="BD84" i="3"/>
  <c r="BB84" i="3"/>
  <c r="AZ84" i="3"/>
  <c r="AX84" i="3"/>
  <c r="AV84" i="3"/>
  <c r="AT84" i="3"/>
  <c r="AR84" i="3"/>
  <c r="AN84" i="3"/>
  <c r="AL84" i="3"/>
  <c r="AJ84" i="3"/>
  <c r="AH84" i="3"/>
  <c r="AF84" i="3"/>
  <c r="AD84" i="3"/>
  <c r="AB84" i="3"/>
  <c r="Z84" i="3"/>
  <c r="X84" i="3"/>
  <c r="V84" i="3"/>
  <c r="R84" i="3"/>
  <c r="P84" i="3"/>
  <c r="N84" i="3"/>
  <c r="L84" i="3"/>
  <c r="J84" i="3"/>
  <c r="H84" i="3"/>
  <c r="F84" i="3"/>
  <c r="BD83" i="3"/>
  <c r="BB83" i="3"/>
  <c r="AZ83" i="3"/>
  <c r="AX83" i="3"/>
  <c r="AV83" i="3"/>
  <c r="AT83" i="3"/>
  <c r="AR83" i="3"/>
  <c r="AN83" i="3"/>
  <c r="AL83" i="3"/>
  <c r="AJ83" i="3"/>
  <c r="AH83" i="3"/>
  <c r="AF83" i="3"/>
  <c r="AD83" i="3"/>
  <c r="AB83" i="3"/>
  <c r="Z83" i="3"/>
  <c r="X83" i="3"/>
  <c r="V83" i="3"/>
  <c r="R83" i="3"/>
  <c r="P83" i="3"/>
  <c r="N83" i="3"/>
  <c r="L83" i="3"/>
  <c r="J83" i="3"/>
  <c r="H83" i="3"/>
  <c r="F83" i="3"/>
  <c r="BD82" i="3"/>
  <c r="BB82" i="3"/>
  <c r="AZ82" i="3"/>
  <c r="AX82" i="3"/>
  <c r="AV82" i="3"/>
  <c r="AT82" i="3"/>
  <c r="AR82" i="3"/>
  <c r="AN82" i="3"/>
  <c r="AL82" i="3"/>
  <c r="AJ82" i="3"/>
  <c r="AH82" i="3"/>
  <c r="AF82" i="3"/>
  <c r="AD82" i="3"/>
  <c r="AB82" i="3"/>
  <c r="Z82" i="3"/>
  <c r="X82" i="3"/>
  <c r="V82" i="3"/>
  <c r="R82" i="3"/>
  <c r="P82" i="3"/>
  <c r="N82" i="3"/>
  <c r="L82" i="3"/>
  <c r="J82" i="3"/>
  <c r="H82" i="3"/>
  <c r="F82" i="3"/>
  <c r="BD81" i="3"/>
  <c r="BB81" i="3"/>
  <c r="AZ81" i="3"/>
  <c r="AX81" i="3"/>
  <c r="AV81" i="3"/>
  <c r="AT81" i="3"/>
  <c r="AR81" i="3"/>
  <c r="AN81" i="3"/>
  <c r="AL81" i="3"/>
  <c r="AJ81" i="3"/>
  <c r="AH81" i="3"/>
  <c r="AF81" i="3"/>
  <c r="AD81" i="3"/>
  <c r="AB81" i="3"/>
  <c r="Z81" i="3"/>
  <c r="X81" i="3"/>
  <c r="V81" i="3"/>
  <c r="R81" i="3"/>
  <c r="P81" i="3"/>
  <c r="N81" i="3"/>
  <c r="L81" i="3"/>
  <c r="J81" i="3"/>
  <c r="H81" i="3"/>
  <c r="F81" i="3"/>
  <c r="BD80" i="3"/>
  <c r="BB80" i="3"/>
  <c r="AZ80" i="3"/>
  <c r="AX80" i="3"/>
  <c r="AV80" i="3"/>
  <c r="AT80" i="3"/>
  <c r="AR80" i="3"/>
  <c r="AN80" i="3"/>
  <c r="AL80" i="3"/>
  <c r="AJ80" i="3"/>
  <c r="AH80" i="3"/>
  <c r="AF80" i="3"/>
  <c r="AD80" i="3"/>
  <c r="AB80" i="3"/>
  <c r="Z80" i="3"/>
  <c r="X80" i="3"/>
  <c r="V80" i="3"/>
  <c r="R80" i="3"/>
  <c r="P80" i="3"/>
  <c r="N80" i="3"/>
  <c r="L80" i="3"/>
  <c r="J80" i="3"/>
  <c r="H80" i="3"/>
  <c r="F80" i="3"/>
  <c r="BD79" i="3"/>
  <c r="BB79" i="3"/>
  <c r="AZ79" i="3"/>
  <c r="AX79" i="3"/>
  <c r="AV79" i="3"/>
  <c r="AT79" i="3"/>
  <c r="AR79" i="3"/>
  <c r="AN79" i="3"/>
  <c r="AL79" i="3"/>
  <c r="AJ79" i="3"/>
  <c r="AH79" i="3"/>
  <c r="AF79" i="3"/>
  <c r="AD79" i="3"/>
  <c r="AB79" i="3"/>
  <c r="Z79" i="3"/>
  <c r="X79" i="3"/>
  <c r="V79" i="3"/>
  <c r="R79" i="3"/>
  <c r="P79" i="3"/>
  <c r="N79" i="3"/>
  <c r="L79" i="3"/>
  <c r="J79" i="3"/>
  <c r="H79" i="3"/>
  <c r="F79" i="3"/>
  <c r="BD78" i="3"/>
  <c r="BB78" i="3"/>
  <c r="AZ78" i="3"/>
  <c r="AX78" i="3"/>
  <c r="AV78" i="3"/>
  <c r="AT78" i="3"/>
  <c r="AR78" i="3"/>
  <c r="AN78" i="3"/>
  <c r="AL78" i="3"/>
  <c r="AJ78" i="3"/>
  <c r="AH78" i="3"/>
  <c r="AF78" i="3"/>
  <c r="AD78" i="3"/>
  <c r="AB78" i="3"/>
  <c r="Z78" i="3"/>
  <c r="X78" i="3"/>
  <c r="V78" i="3"/>
  <c r="R78" i="3"/>
  <c r="P78" i="3"/>
  <c r="N78" i="3"/>
  <c r="L78" i="3"/>
  <c r="J78" i="3"/>
  <c r="H78" i="3"/>
  <c r="F78" i="3"/>
  <c r="BD77" i="3"/>
  <c r="BB77" i="3"/>
  <c r="AZ77" i="3"/>
  <c r="AX77" i="3"/>
  <c r="AV77" i="3"/>
  <c r="AT77" i="3"/>
  <c r="AR77" i="3"/>
  <c r="AN77" i="3"/>
  <c r="AL77" i="3"/>
  <c r="AJ77" i="3"/>
  <c r="AH77" i="3"/>
  <c r="AF77" i="3"/>
  <c r="AD77" i="3"/>
  <c r="AB77" i="3"/>
  <c r="Z77" i="3"/>
  <c r="X77" i="3"/>
  <c r="V77" i="3"/>
  <c r="R77" i="3"/>
  <c r="P77" i="3"/>
  <c r="N77" i="3"/>
  <c r="L77" i="3"/>
  <c r="J77" i="3"/>
  <c r="H77" i="3"/>
  <c r="F77" i="3"/>
  <c r="BD76" i="3"/>
  <c r="BB76" i="3"/>
  <c r="AZ76" i="3"/>
  <c r="AX76" i="3"/>
  <c r="AV76" i="3"/>
  <c r="AT76" i="3"/>
  <c r="AR76" i="3"/>
  <c r="AN76" i="3"/>
  <c r="AL76" i="3"/>
  <c r="AJ76" i="3"/>
  <c r="AH76" i="3"/>
  <c r="AF76" i="3"/>
  <c r="AD76" i="3"/>
  <c r="AB76" i="3"/>
  <c r="Z76" i="3"/>
  <c r="X76" i="3"/>
  <c r="V76" i="3"/>
  <c r="R76" i="3"/>
  <c r="P76" i="3"/>
  <c r="N76" i="3"/>
  <c r="L76" i="3"/>
  <c r="J76" i="3"/>
  <c r="H76" i="3"/>
  <c r="F76" i="3"/>
  <c r="BD75" i="3"/>
  <c r="BB75" i="3"/>
  <c r="AZ75" i="3"/>
  <c r="AX75" i="3"/>
  <c r="AV75" i="3"/>
  <c r="AT75" i="3"/>
  <c r="AR75" i="3"/>
  <c r="AN75" i="3"/>
  <c r="AL75" i="3"/>
  <c r="AJ75" i="3"/>
  <c r="AH75" i="3"/>
  <c r="AF75" i="3"/>
  <c r="AD75" i="3"/>
  <c r="AB75" i="3"/>
  <c r="Z75" i="3"/>
  <c r="X75" i="3"/>
  <c r="V75" i="3"/>
  <c r="R75" i="3"/>
  <c r="P75" i="3"/>
  <c r="N75" i="3"/>
  <c r="L75" i="3"/>
  <c r="J75" i="3"/>
  <c r="H75" i="3"/>
  <c r="F75" i="3"/>
  <c r="BD74" i="3"/>
  <c r="BB74" i="3"/>
  <c r="AZ74" i="3"/>
  <c r="AX74" i="3"/>
  <c r="AV74" i="3"/>
  <c r="AT74" i="3"/>
  <c r="AR74" i="3"/>
  <c r="AN74" i="3"/>
  <c r="AL74" i="3"/>
  <c r="AJ74" i="3"/>
  <c r="AH74" i="3"/>
  <c r="AF74" i="3"/>
  <c r="AD74" i="3"/>
  <c r="AB74" i="3"/>
  <c r="Z74" i="3"/>
  <c r="X74" i="3"/>
  <c r="V74" i="3"/>
  <c r="R74" i="3"/>
  <c r="P74" i="3"/>
  <c r="N74" i="3"/>
  <c r="L74" i="3"/>
  <c r="J74" i="3"/>
  <c r="H74" i="3"/>
  <c r="F74" i="3"/>
  <c r="BD73" i="3"/>
  <c r="BB73" i="3"/>
  <c r="AZ73" i="3"/>
  <c r="AX73" i="3"/>
  <c r="AV73" i="3"/>
  <c r="AT73" i="3"/>
  <c r="AR73" i="3"/>
  <c r="AN73" i="3"/>
  <c r="AL73" i="3"/>
  <c r="AJ73" i="3"/>
  <c r="AH73" i="3"/>
  <c r="AF73" i="3"/>
  <c r="AD73" i="3"/>
  <c r="AB73" i="3"/>
  <c r="Z73" i="3"/>
  <c r="X73" i="3"/>
  <c r="V73" i="3"/>
  <c r="R73" i="3"/>
  <c r="P73" i="3"/>
  <c r="N73" i="3"/>
  <c r="L73" i="3"/>
  <c r="J73" i="3"/>
  <c r="H73" i="3"/>
  <c r="F73" i="3"/>
  <c r="BD72" i="3"/>
  <c r="BB72" i="3"/>
  <c r="AZ72" i="3"/>
  <c r="AX72" i="3"/>
  <c r="AV72" i="3"/>
  <c r="AT72" i="3"/>
  <c r="AR72" i="3"/>
  <c r="AN72" i="3"/>
  <c r="AL72" i="3"/>
  <c r="AJ72" i="3"/>
  <c r="AH72" i="3"/>
  <c r="AF72" i="3"/>
  <c r="AD72" i="3"/>
  <c r="AB72" i="3"/>
  <c r="Z72" i="3"/>
  <c r="X72" i="3"/>
  <c r="V72" i="3"/>
  <c r="R72" i="3"/>
  <c r="P72" i="3"/>
  <c r="N72" i="3"/>
  <c r="L72" i="3"/>
  <c r="J72" i="3"/>
  <c r="H72" i="3"/>
  <c r="F72" i="3"/>
  <c r="BD71" i="3"/>
  <c r="BB71" i="3"/>
  <c r="AZ71" i="3"/>
  <c r="AX71" i="3"/>
  <c r="AV71" i="3"/>
  <c r="AT71" i="3"/>
  <c r="AR71" i="3"/>
  <c r="AN71" i="3"/>
  <c r="AL71" i="3"/>
  <c r="AJ71" i="3"/>
  <c r="AH71" i="3"/>
  <c r="AF71" i="3"/>
  <c r="AD71" i="3"/>
  <c r="AB71" i="3"/>
  <c r="Z71" i="3"/>
  <c r="X71" i="3"/>
  <c r="V71" i="3"/>
  <c r="R71" i="3"/>
  <c r="P71" i="3"/>
  <c r="N71" i="3"/>
  <c r="L71" i="3"/>
  <c r="J71" i="3"/>
  <c r="H71" i="3"/>
  <c r="F71" i="3"/>
  <c r="BD70" i="3"/>
  <c r="BB70" i="3"/>
  <c r="AZ70" i="3"/>
  <c r="AX70" i="3"/>
  <c r="AV70" i="3"/>
  <c r="AT70" i="3"/>
  <c r="AR70" i="3"/>
  <c r="AN70" i="3"/>
  <c r="AL70" i="3"/>
  <c r="AJ70" i="3"/>
  <c r="AH70" i="3"/>
  <c r="AF70" i="3"/>
  <c r="AD70" i="3"/>
  <c r="AB70" i="3"/>
  <c r="Z70" i="3"/>
  <c r="X70" i="3"/>
  <c r="V70" i="3"/>
  <c r="R70" i="3"/>
  <c r="P70" i="3"/>
  <c r="N70" i="3"/>
  <c r="L70" i="3"/>
  <c r="J70" i="3"/>
  <c r="H70" i="3"/>
  <c r="F70" i="3"/>
  <c r="BD69" i="3"/>
  <c r="BB69" i="3"/>
  <c r="AZ69" i="3"/>
  <c r="AX69" i="3"/>
  <c r="AV69" i="3"/>
  <c r="AT69" i="3"/>
  <c r="AR69" i="3"/>
  <c r="AN69" i="3"/>
  <c r="AL69" i="3"/>
  <c r="AJ69" i="3"/>
  <c r="AH69" i="3"/>
  <c r="AF69" i="3"/>
  <c r="AD69" i="3"/>
  <c r="AB69" i="3"/>
  <c r="Z69" i="3"/>
  <c r="X69" i="3"/>
  <c r="V69" i="3"/>
  <c r="R69" i="3"/>
  <c r="P69" i="3"/>
  <c r="N69" i="3"/>
  <c r="L69" i="3"/>
  <c r="J69" i="3"/>
  <c r="H69" i="3"/>
  <c r="F69" i="3"/>
  <c r="BD68" i="3"/>
  <c r="BB68" i="3"/>
  <c r="AZ68" i="3"/>
  <c r="AX68" i="3"/>
  <c r="AV68" i="3"/>
  <c r="AT68" i="3"/>
  <c r="AR68" i="3"/>
  <c r="AN68" i="3"/>
  <c r="AL68" i="3"/>
  <c r="AJ68" i="3"/>
  <c r="AH68" i="3"/>
  <c r="AF68" i="3"/>
  <c r="AD68" i="3"/>
  <c r="AB68" i="3"/>
  <c r="Z68" i="3"/>
  <c r="X68" i="3"/>
  <c r="V68" i="3"/>
  <c r="R68" i="3"/>
  <c r="P68" i="3"/>
  <c r="N68" i="3"/>
  <c r="L68" i="3"/>
  <c r="J68" i="3"/>
  <c r="H68" i="3"/>
  <c r="F68" i="3"/>
  <c r="BD67" i="3"/>
  <c r="BB67" i="3"/>
  <c r="AZ67" i="3"/>
  <c r="AX67" i="3"/>
  <c r="AV67" i="3"/>
  <c r="AT67" i="3"/>
  <c r="AR67" i="3"/>
  <c r="AN67" i="3"/>
  <c r="AL67" i="3"/>
  <c r="AJ67" i="3"/>
  <c r="AH67" i="3"/>
  <c r="AF67" i="3"/>
  <c r="AD67" i="3"/>
  <c r="AB67" i="3"/>
  <c r="Z67" i="3"/>
  <c r="X67" i="3"/>
  <c r="V67" i="3"/>
  <c r="R67" i="3"/>
  <c r="P67" i="3"/>
  <c r="N67" i="3"/>
  <c r="L67" i="3"/>
  <c r="J67" i="3"/>
  <c r="H67" i="3"/>
  <c r="F67" i="3"/>
  <c r="BD66" i="3"/>
  <c r="BB66" i="3"/>
  <c r="AZ66" i="3"/>
  <c r="AX66" i="3"/>
  <c r="AV66" i="3"/>
  <c r="AT66" i="3"/>
  <c r="AR66" i="3"/>
  <c r="AN66" i="3"/>
  <c r="AL66" i="3"/>
  <c r="AJ66" i="3"/>
  <c r="AH66" i="3"/>
  <c r="AF66" i="3"/>
  <c r="AD66" i="3"/>
  <c r="AB66" i="3"/>
  <c r="Z66" i="3"/>
  <c r="X66" i="3"/>
  <c r="V66" i="3"/>
  <c r="R66" i="3"/>
  <c r="P66" i="3"/>
  <c r="N66" i="3"/>
  <c r="L66" i="3"/>
  <c r="J66" i="3"/>
  <c r="H66" i="3"/>
  <c r="F66" i="3"/>
  <c r="BD65" i="3"/>
  <c r="BB65" i="3"/>
  <c r="AZ65" i="3"/>
  <c r="AX65" i="3"/>
  <c r="AV65" i="3"/>
  <c r="AT65" i="3"/>
  <c r="AR65" i="3"/>
  <c r="AN65" i="3"/>
  <c r="AL65" i="3"/>
  <c r="AJ65" i="3"/>
  <c r="AH65" i="3"/>
  <c r="AF65" i="3"/>
  <c r="AD65" i="3"/>
  <c r="AB65" i="3"/>
  <c r="Z65" i="3"/>
  <c r="X65" i="3"/>
  <c r="V65" i="3"/>
  <c r="R65" i="3"/>
  <c r="P65" i="3"/>
  <c r="N65" i="3"/>
  <c r="L65" i="3"/>
  <c r="J65" i="3"/>
  <c r="H65" i="3"/>
  <c r="F65" i="3"/>
  <c r="BD64" i="3"/>
  <c r="BB64" i="3"/>
  <c r="AZ64" i="3"/>
  <c r="AX64" i="3"/>
  <c r="AV64" i="3"/>
  <c r="AT64" i="3"/>
  <c r="AR64" i="3"/>
  <c r="AN64" i="3"/>
  <c r="AL64" i="3"/>
  <c r="AJ64" i="3"/>
  <c r="AH64" i="3"/>
  <c r="AF64" i="3"/>
  <c r="AD64" i="3"/>
  <c r="AB64" i="3"/>
  <c r="Z64" i="3"/>
  <c r="X64" i="3"/>
  <c r="V64" i="3"/>
  <c r="R64" i="3"/>
  <c r="P64" i="3"/>
  <c r="N64" i="3"/>
  <c r="L64" i="3"/>
  <c r="J64" i="3"/>
  <c r="H64" i="3"/>
  <c r="F64" i="3"/>
  <c r="BD63" i="3"/>
  <c r="BB63" i="3"/>
  <c r="AZ63" i="3"/>
  <c r="AX63" i="3"/>
  <c r="AV63" i="3"/>
  <c r="AT63" i="3"/>
  <c r="AR63" i="3"/>
  <c r="AN63" i="3"/>
  <c r="AL63" i="3"/>
  <c r="AJ63" i="3"/>
  <c r="AH63" i="3"/>
  <c r="AF63" i="3"/>
  <c r="AD63" i="3"/>
  <c r="AB63" i="3"/>
  <c r="Z63" i="3"/>
  <c r="X63" i="3"/>
  <c r="V63" i="3"/>
  <c r="R63" i="3"/>
  <c r="P63" i="3"/>
  <c r="N63" i="3"/>
  <c r="L63" i="3"/>
  <c r="J63" i="3"/>
  <c r="H63" i="3"/>
  <c r="F63" i="3"/>
  <c r="BD62" i="3"/>
  <c r="BB62" i="3"/>
  <c r="AZ62" i="3"/>
  <c r="AX62" i="3"/>
  <c r="AV62" i="3"/>
  <c r="AT62" i="3"/>
  <c r="AR62" i="3"/>
  <c r="AN62" i="3"/>
  <c r="AL62" i="3"/>
  <c r="AJ62" i="3"/>
  <c r="AH62" i="3"/>
  <c r="AF62" i="3"/>
  <c r="AD62" i="3"/>
  <c r="AB62" i="3"/>
  <c r="Z62" i="3"/>
  <c r="X62" i="3"/>
  <c r="V62" i="3"/>
  <c r="R62" i="3"/>
  <c r="P62" i="3"/>
  <c r="N62" i="3"/>
  <c r="L62" i="3"/>
  <c r="J62" i="3"/>
  <c r="H62" i="3"/>
  <c r="F62" i="3"/>
  <c r="BD61" i="3"/>
  <c r="BB61" i="3"/>
  <c r="AZ61" i="3"/>
  <c r="AX61" i="3"/>
  <c r="AV61" i="3"/>
  <c r="AT61" i="3"/>
  <c r="AR61" i="3"/>
  <c r="AN61" i="3"/>
  <c r="AL61" i="3"/>
  <c r="AJ61" i="3"/>
  <c r="AH61" i="3"/>
  <c r="AF61" i="3"/>
  <c r="AD61" i="3"/>
  <c r="AB61" i="3"/>
  <c r="Z61" i="3"/>
  <c r="X61" i="3"/>
  <c r="V61" i="3"/>
  <c r="R61" i="3"/>
  <c r="P61" i="3"/>
  <c r="N61" i="3"/>
  <c r="L61" i="3"/>
  <c r="J61" i="3"/>
  <c r="H61" i="3"/>
  <c r="F61" i="3"/>
  <c r="BD60" i="3"/>
  <c r="BB60" i="3"/>
  <c r="AZ60" i="3"/>
  <c r="AX60" i="3"/>
  <c r="AV60" i="3"/>
  <c r="AT60" i="3"/>
  <c r="AR60" i="3"/>
  <c r="AN60" i="3"/>
  <c r="AL60" i="3"/>
  <c r="AJ60" i="3"/>
  <c r="AH60" i="3"/>
  <c r="AF60" i="3"/>
  <c r="AD60" i="3"/>
  <c r="AB60" i="3"/>
  <c r="Z60" i="3"/>
  <c r="X60" i="3"/>
  <c r="V60" i="3"/>
  <c r="R60" i="3"/>
  <c r="P60" i="3"/>
  <c r="N60" i="3"/>
  <c r="L60" i="3"/>
  <c r="J60" i="3"/>
  <c r="H60" i="3"/>
  <c r="F60" i="3"/>
  <c r="BD59" i="3"/>
  <c r="BB59" i="3"/>
  <c r="AZ59" i="3"/>
  <c r="AX59" i="3"/>
  <c r="AV59" i="3"/>
  <c r="AT59" i="3"/>
  <c r="AR59" i="3"/>
  <c r="AN59" i="3"/>
  <c r="AL59" i="3"/>
  <c r="AJ59" i="3"/>
  <c r="AH59" i="3"/>
  <c r="AF59" i="3"/>
  <c r="AD59" i="3"/>
  <c r="AB59" i="3"/>
  <c r="Z59" i="3"/>
  <c r="X59" i="3"/>
  <c r="V59" i="3"/>
  <c r="R59" i="3"/>
  <c r="P59" i="3"/>
  <c r="N59" i="3"/>
  <c r="L59" i="3"/>
  <c r="J59" i="3"/>
  <c r="H59" i="3"/>
  <c r="F59" i="3"/>
  <c r="BD58" i="3"/>
  <c r="BB58" i="3"/>
  <c r="AZ58" i="3"/>
  <c r="AX58" i="3"/>
  <c r="AV58" i="3"/>
  <c r="AT58" i="3"/>
  <c r="AR58" i="3"/>
  <c r="AN58" i="3"/>
  <c r="AL58" i="3"/>
  <c r="AJ58" i="3"/>
  <c r="AH58" i="3"/>
  <c r="AF58" i="3"/>
  <c r="AD58" i="3"/>
  <c r="AB58" i="3"/>
  <c r="Z58" i="3"/>
  <c r="X58" i="3"/>
  <c r="V58" i="3"/>
  <c r="R58" i="3"/>
  <c r="P58" i="3"/>
  <c r="N58" i="3"/>
  <c r="L58" i="3"/>
  <c r="J58" i="3"/>
  <c r="H58" i="3"/>
  <c r="F58" i="3"/>
  <c r="BD57" i="3"/>
  <c r="BB57" i="3"/>
  <c r="AZ57" i="3"/>
  <c r="AX57" i="3"/>
  <c r="AV57" i="3"/>
  <c r="AT57" i="3"/>
  <c r="AR57" i="3"/>
  <c r="AN57" i="3"/>
  <c r="AL57" i="3"/>
  <c r="AJ57" i="3"/>
  <c r="AH57" i="3"/>
  <c r="AF57" i="3"/>
  <c r="AD57" i="3"/>
  <c r="AB57" i="3"/>
  <c r="Z57" i="3"/>
  <c r="X57" i="3"/>
  <c r="V57" i="3"/>
  <c r="R57" i="3"/>
  <c r="P57" i="3"/>
  <c r="N57" i="3"/>
  <c r="L57" i="3"/>
  <c r="J57" i="3"/>
  <c r="H57" i="3"/>
  <c r="F57" i="3"/>
  <c r="BD56" i="3"/>
  <c r="BB56" i="3"/>
  <c r="AZ56" i="3"/>
  <c r="AX56" i="3"/>
  <c r="AV56" i="3"/>
  <c r="AT56" i="3"/>
  <c r="AR56" i="3"/>
  <c r="AN56" i="3"/>
  <c r="AL56" i="3"/>
  <c r="AJ56" i="3"/>
  <c r="AH56" i="3"/>
  <c r="AF56" i="3"/>
  <c r="AD56" i="3"/>
  <c r="AB56" i="3"/>
  <c r="Z56" i="3"/>
  <c r="X56" i="3"/>
  <c r="V56" i="3"/>
  <c r="R56" i="3"/>
  <c r="P56" i="3"/>
  <c r="N56" i="3"/>
  <c r="L56" i="3"/>
  <c r="J56" i="3"/>
  <c r="H56" i="3"/>
  <c r="F56" i="3"/>
  <c r="BD55" i="3"/>
  <c r="BB55" i="3"/>
  <c r="AZ55" i="3"/>
  <c r="AX55" i="3"/>
  <c r="AV55" i="3"/>
  <c r="AT55" i="3"/>
  <c r="AR55" i="3"/>
  <c r="AN55" i="3"/>
  <c r="AL55" i="3"/>
  <c r="AJ55" i="3"/>
  <c r="AH55" i="3"/>
  <c r="AF55" i="3"/>
  <c r="AD55" i="3"/>
  <c r="AB55" i="3"/>
  <c r="Z55" i="3"/>
  <c r="X55" i="3"/>
  <c r="V55" i="3"/>
  <c r="R55" i="3"/>
  <c r="P55" i="3"/>
  <c r="N55" i="3"/>
  <c r="L55" i="3"/>
  <c r="J55" i="3"/>
  <c r="H55" i="3"/>
  <c r="F55" i="3"/>
  <c r="BD54" i="3"/>
  <c r="BB54" i="3"/>
  <c r="AZ54" i="3"/>
  <c r="AX54" i="3"/>
  <c r="AV54" i="3"/>
  <c r="AT54" i="3"/>
  <c r="AR54" i="3"/>
  <c r="AN54" i="3"/>
  <c r="AL54" i="3"/>
  <c r="AJ54" i="3"/>
  <c r="AH54" i="3"/>
  <c r="AF54" i="3"/>
  <c r="AD54" i="3"/>
  <c r="AB54" i="3"/>
  <c r="Z54" i="3"/>
  <c r="X54" i="3"/>
  <c r="V54" i="3"/>
  <c r="R54" i="3"/>
  <c r="P54" i="3"/>
  <c r="N54" i="3"/>
  <c r="L54" i="3"/>
  <c r="J54" i="3"/>
  <c r="H54" i="3"/>
  <c r="F54" i="3"/>
  <c r="BD53" i="3"/>
  <c r="BB53" i="3"/>
  <c r="AZ53" i="3"/>
  <c r="AX53" i="3"/>
  <c r="AV53" i="3"/>
  <c r="AT53" i="3"/>
  <c r="AR53" i="3"/>
  <c r="AN53" i="3"/>
  <c r="AL53" i="3"/>
  <c r="AJ53" i="3"/>
  <c r="AH53" i="3"/>
  <c r="AF53" i="3"/>
  <c r="AD53" i="3"/>
  <c r="AB53" i="3"/>
  <c r="Z53" i="3"/>
  <c r="X53" i="3"/>
  <c r="V53" i="3"/>
  <c r="R53" i="3"/>
  <c r="P53" i="3"/>
  <c r="N53" i="3"/>
  <c r="L53" i="3"/>
  <c r="J53" i="3"/>
  <c r="H53" i="3"/>
  <c r="F53" i="3"/>
  <c r="BD52" i="3"/>
  <c r="BB52" i="3"/>
  <c r="AZ52" i="3"/>
  <c r="AX52" i="3"/>
  <c r="AV52" i="3"/>
  <c r="AT52" i="3"/>
  <c r="AR52" i="3"/>
  <c r="AN52" i="3"/>
  <c r="AL52" i="3"/>
  <c r="AJ52" i="3"/>
  <c r="AH52" i="3"/>
  <c r="AF52" i="3"/>
  <c r="AD52" i="3"/>
  <c r="AB52" i="3"/>
  <c r="Z52" i="3"/>
  <c r="X52" i="3"/>
  <c r="V52" i="3"/>
  <c r="R52" i="3"/>
  <c r="P52" i="3"/>
  <c r="N52" i="3"/>
  <c r="L52" i="3"/>
  <c r="J52" i="3"/>
  <c r="H52" i="3"/>
  <c r="F52" i="3"/>
  <c r="BD51" i="3"/>
  <c r="BB51" i="3"/>
  <c r="AZ51" i="3"/>
  <c r="AX51" i="3"/>
  <c r="AV51" i="3"/>
  <c r="AT51" i="3"/>
  <c r="AR51" i="3"/>
  <c r="AN51" i="3"/>
  <c r="AL51" i="3"/>
  <c r="AJ51" i="3"/>
  <c r="AH51" i="3"/>
  <c r="AF51" i="3"/>
  <c r="AD51" i="3"/>
  <c r="AB51" i="3"/>
  <c r="Z51" i="3"/>
  <c r="X51" i="3"/>
  <c r="V51" i="3"/>
  <c r="R51" i="3"/>
  <c r="P51" i="3"/>
  <c r="N51" i="3"/>
  <c r="L51" i="3"/>
  <c r="J51" i="3"/>
  <c r="H51" i="3"/>
  <c r="F51" i="3"/>
  <c r="BD50" i="3"/>
  <c r="BB50" i="3"/>
  <c r="AZ50" i="3"/>
  <c r="AX50" i="3"/>
  <c r="AV50" i="3"/>
  <c r="AT50" i="3"/>
  <c r="AR50" i="3"/>
  <c r="AN50" i="3"/>
  <c r="AL50" i="3"/>
  <c r="AJ50" i="3"/>
  <c r="AH50" i="3"/>
  <c r="AF50" i="3"/>
  <c r="AD50" i="3"/>
  <c r="AB50" i="3"/>
  <c r="Z50" i="3"/>
  <c r="X50" i="3"/>
  <c r="V50" i="3"/>
  <c r="R50" i="3"/>
  <c r="P50" i="3"/>
  <c r="N50" i="3"/>
  <c r="L50" i="3"/>
  <c r="J50" i="3"/>
  <c r="H50" i="3"/>
  <c r="F50" i="3"/>
  <c r="BD49" i="3"/>
  <c r="BB49" i="3"/>
  <c r="AZ49" i="3"/>
  <c r="AX49" i="3"/>
  <c r="AV49" i="3"/>
  <c r="AT49" i="3"/>
  <c r="AR49" i="3"/>
  <c r="AN49" i="3"/>
  <c r="AL49" i="3"/>
  <c r="AJ49" i="3"/>
  <c r="AH49" i="3"/>
  <c r="AF49" i="3"/>
  <c r="AD49" i="3"/>
  <c r="AB49" i="3"/>
  <c r="Z49" i="3"/>
  <c r="X49" i="3"/>
  <c r="V49" i="3"/>
  <c r="R49" i="3"/>
  <c r="P49" i="3"/>
  <c r="N49" i="3"/>
  <c r="L49" i="3"/>
  <c r="J49" i="3"/>
  <c r="H49" i="3"/>
  <c r="F49" i="3"/>
  <c r="BD48" i="3"/>
  <c r="BB48" i="3"/>
  <c r="AZ48" i="3"/>
  <c r="AX48" i="3"/>
  <c r="AV48" i="3"/>
  <c r="AT48" i="3"/>
  <c r="AR48" i="3"/>
  <c r="AN48" i="3"/>
  <c r="AL48" i="3"/>
  <c r="AJ48" i="3"/>
  <c r="AH48" i="3"/>
  <c r="AF48" i="3"/>
  <c r="AD48" i="3"/>
  <c r="AB48" i="3"/>
  <c r="Z48" i="3"/>
  <c r="X48" i="3"/>
  <c r="V48" i="3"/>
  <c r="R48" i="3"/>
  <c r="P48" i="3"/>
  <c r="N48" i="3"/>
  <c r="L48" i="3"/>
  <c r="J48" i="3"/>
  <c r="H48" i="3"/>
  <c r="F48" i="3"/>
  <c r="BD47" i="3"/>
  <c r="BB47" i="3"/>
  <c r="AZ47" i="3"/>
  <c r="AX47" i="3"/>
  <c r="AV47" i="3"/>
  <c r="AT47" i="3"/>
  <c r="AR47" i="3"/>
  <c r="AN47" i="3"/>
  <c r="AL47" i="3"/>
  <c r="AJ47" i="3"/>
  <c r="AH47" i="3"/>
  <c r="AF47" i="3"/>
  <c r="AD47" i="3"/>
  <c r="AB47" i="3"/>
  <c r="Z47" i="3"/>
  <c r="X47" i="3"/>
  <c r="V47" i="3"/>
  <c r="R47" i="3"/>
  <c r="P47" i="3"/>
  <c r="N47" i="3"/>
  <c r="L47" i="3"/>
  <c r="J47" i="3"/>
  <c r="H47" i="3"/>
  <c r="F47" i="3"/>
  <c r="BD46" i="3"/>
  <c r="BB46" i="3"/>
  <c r="AZ46" i="3"/>
  <c r="AX46" i="3"/>
  <c r="AV46" i="3"/>
  <c r="AT46" i="3"/>
  <c r="AR46" i="3"/>
  <c r="AN46" i="3"/>
  <c r="AL46" i="3"/>
  <c r="AJ46" i="3"/>
  <c r="AH46" i="3"/>
  <c r="AF46" i="3"/>
  <c r="AD46" i="3"/>
  <c r="AB46" i="3"/>
  <c r="Z46" i="3"/>
  <c r="X46" i="3"/>
  <c r="V46" i="3"/>
  <c r="R46" i="3"/>
  <c r="P46" i="3"/>
  <c r="N46" i="3"/>
  <c r="L46" i="3"/>
  <c r="J46" i="3"/>
  <c r="H46" i="3"/>
  <c r="F46" i="3"/>
  <c r="BD45" i="3"/>
  <c r="BB45" i="3"/>
  <c r="AZ45" i="3"/>
  <c r="AX45" i="3"/>
  <c r="AV45" i="3"/>
  <c r="AT45" i="3"/>
  <c r="AR45" i="3"/>
  <c r="AN45" i="3"/>
  <c r="AL45" i="3"/>
  <c r="AJ45" i="3"/>
  <c r="AH45" i="3"/>
  <c r="AF45" i="3"/>
  <c r="AD45" i="3"/>
  <c r="AB45" i="3"/>
  <c r="Z45" i="3"/>
  <c r="X45" i="3"/>
  <c r="V45" i="3"/>
  <c r="R45" i="3"/>
  <c r="P45" i="3"/>
  <c r="N45" i="3"/>
  <c r="L45" i="3"/>
  <c r="J45" i="3"/>
  <c r="H45" i="3"/>
  <c r="F45" i="3"/>
  <c r="BD44" i="3"/>
  <c r="BB44" i="3"/>
  <c r="AZ44" i="3"/>
  <c r="AX44" i="3"/>
  <c r="AV44" i="3"/>
  <c r="AT44" i="3"/>
  <c r="AR44" i="3"/>
  <c r="AN44" i="3"/>
  <c r="AL44" i="3"/>
  <c r="AJ44" i="3"/>
  <c r="AH44" i="3"/>
  <c r="AF44" i="3"/>
  <c r="AD44" i="3"/>
  <c r="AB44" i="3"/>
  <c r="Z44" i="3"/>
  <c r="X44" i="3"/>
  <c r="V44" i="3"/>
  <c r="R44" i="3"/>
  <c r="P44" i="3"/>
  <c r="N44" i="3"/>
  <c r="L44" i="3"/>
  <c r="J44" i="3"/>
  <c r="H44" i="3"/>
  <c r="F44" i="3"/>
  <c r="BD43" i="3"/>
  <c r="BB43" i="3"/>
  <c r="AZ43" i="3"/>
  <c r="AX43" i="3"/>
  <c r="AV43" i="3"/>
  <c r="AT43" i="3"/>
  <c r="AR43" i="3"/>
  <c r="AN43" i="3"/>
  <c r="AL43" i="3"/>
  <c r="AJ43" i="3"/>
  <c r="AH43" i="3"/>
  <c r="AF43" i="3"/>
  <c r="AD43" i="3"/>
  <c r="AB43" i="3"/>
  <c r="Z43" i="3"/>
  <c r="X43" i="3"/>
  <c r="V43" i="3"/>
  <c r="R43" i="3"/>
  <c r="P43" i="3"/>
  <c r="N43" i="3"/>
  <c r="L43" i="3"/>
  <c r="BD42" i="3"/>
  <c r="BB42" i="3"/>
  <c r="AZ42" i="3"/>
  <c r="AX42" i="3"/>
  <c r="AV42" i="3"/>
  <c r="AT42" i="3"/>
  <c r="AR42" i="3"/>
  <c r="AN42" i="3"/>
  <c r="AL42" i="3"/>
  <c r="AJ42" i="3"/>
  <c r="AH42" i="3"/>
  <c r="AF42" i="3"/>
  <c r="AD42" i="3"/>
  <c r="AB42" i="3"/>
  <c r="Z42" i="3"/>
  <c r="X42" i="3"/>
  <c r="V42" i="3"/>
  <c r="R42" i="3"/>
  <c r="P42" i="3"/>
  <c r="N42" i="3"/>
  <c r="L42" i="3"/>
  <c r="J42" i="3"/>
  <c r="H42" i="3"/>
  <c r="F42" i="3"/>
  <c r="BD41" i="3"/>
  <c r="AZ41" i="3"/>
  <c r="AX41" i="3"/>
  <c r="AV41" i="3"/>
  <c r="AT41" i="3"/>
  <c r="AN41" i="3"/>
  <c r="AL41" i="3"/>
  <c r="AJ41" i="3"/>
  <c r="AH41" i="3"/>
  <c r="AF41" i="3"/>
  <c r="P41" i="3"/>
  <c r="N41" i="3"/>
  <c r="L41" i="3"/>
  <c r="BD40" i="3"/>
  <c r="AZ40" i="3"/>
  <c r="AX40" i="3"/>
  <c r="AV40" i="3"/>
  <c r="AT40" i="3"/>
  <c r="AR40" i="3"/>
  <c r="AN40" i="3"/>
  <c r="AL40" i="3"/>
  <c r="AJ40" i="3"/>
  <c r="AH40" i="3"/>
  <c r="AF40" i="3"/>
  <c r="AD40" i="3"/>
  <c r="AB40" i="3"/>
  <c r="Z40" i="3"/>
  <c r="R40" i="3"/>
  <c r="P40" i="3"/>
  <c r="N40" i="3"/>
  <c r="L40" i="3"/>
  <c r="BD39" i="3"/>
  <c r="AZ39" i="3"/>
  <c r="AX39" i="3"/>
  <c r="AV39" i="3"/>
  <c r="AT39" i="3"/>
  <c r="AN39" i="3"/>
  <c r="AL39" i="3"/>
  <c r="AJ39" i="3"/>
  <c r="AH39" i="3"/>
  <c r="AF39" i="3"/>
  <c r="AD39" i="3"/>
  <c r="AB39" i="3"/>
  <c r="Z39" i="3"/>
  <c r="P39" i="3"/>
  <c r="N39" i="3"/>
  <c r="L39" i="3"/>
  <c r="BD38" i="3"/>
  <c r="BB38" i="3"/>
  <c r="AZ38" i="3"/>
  <c r="AX38" i="3"/>
  <c r="AV38" i="3"/>
  <c r="AT38" i="3"/>
  <c r="AR38" i="3"/>
  <c r="AN38" i="3"/>
  <c r="AL38" i="3"/>
  <c r="AJ38" i="3"/>
  <c r="AH38" i="3"/>
  <c r="AF38" i="3"/>
  <c r="AD38" i="3"/>
  <c r="AB38" i="3"/>
  <c r="Z38" i="3"/>
  <c r="X38" i="3"/>
  <c r="V38" i="3"/>
  <c r="R38" i="3"/>
  <c r="P38" i="3"/>
  <c r="N38" i="3"/>
  <c r="L38" i="3"/>
  <c r="J38" i="3"/>
  <c r="H38" i="3"/>
  <c r="F38" i="3"/>
  <c r="BD37" i="3"/>
  <c r="AZ37" i="3"/>
  <c r="AX37" i="3"/>
  <c r="AV37" i="3"/>
  <c r="AT37" i="3"/>
  <c r="AN37" i="3"/>
  <c r="AL37" i="3"/>
  <c r="AJ37" i="3"/>
  <c r="AH37" i="3"/>
  <c r="AF37" i="3"/>
  <c r="P37" i="3"/>
  <c r="N37" i="3"/>
  <c r="L37" i="3"/>
  <c r="BD36" i="3"/>
  <c r="AZ36" i="3"/>
  <c r="AX36" i="3"/>
  <c r="AV36" i="3"/>
  <c r="AT36" i="3"/>
  <c r="AN36" i="3"/>
  <c r="AL36" i="3"/>
  <c r="AJ36" i="3"/>
  <c r="AH36" i="3"/>
  <c r="AF36" i="3"/>
  <c r="AD36" i="3"/>
  <c r="AB36" i="3"/>
  <c r="Z36" i="3"/>
  <c r="P36" i="3"/>
  <c r="N36" i="3"/>
  <c r="L36" i="3"/>
  <c r="BD35" i="3"/>
  <c r="AZ35" i="3"/>
  <c r="AX35" i="3"/>
  <c r="AV35" i="3"/>
  <c r="AT35" i="3"/>
  <c r="AN35" i="3"/>
  <c r="AL35" i="3"/>
  <c r="AJ35" i="3"/>
  <c r="AH35" i="3"/>
  <c r="AF35" i="3"/>
  <c r="AD35" i="3"/>
  <c r="AB35" i="3"/>
  <c r="P35" i="3"/>
  <c r="N35" i="3"/>
  <c r="L35" i="3"/>
  <c r="BD34" i="3"/>
  <c r="BB34" i="3"/>
  <c r="AZ34" i="3"/>
  <c r="AX34" i="3"/>
  <c r="AV34" i="3"/>
  <c r="AT34" i="3"/>
  <c r="AR34" i="3"/>
  <c r="AN34" i="3"/>
  <c r="AL34" i="3"/>
  <c r="AJ34" i="3"/>
  <c r="AH34" i="3"/>
  <c r="AF34" i="3"/>
  <c r="AD34" i="3"/>
  <c r="AB34" i="3"/>
  <c r="Z34" i="3"/>
  <c r="X34" i="3"/>
  <c r="V34" i="3"/>
  <c r="R34" i="3"/>
  <c r="P34" i="3"/>
  <c r="N34" i="3"/>
  <c r="L34" i="3"/>
  <c r="J34" i="3"/>
  <c r="H34" i="3"/>
  <c r="F34" i="3"/>
  <c r="BD33" i="3"/>
  <c r="AZ33" i="3"/>
  <c r="AX33" i="3"/>
  <c r="AV33" i="3"/>
  <c r="AT33" i="3"/>
  <c r="AN33" i="3"/>
  <c r="AL33" i="3"/>
  <c r="AJ33" i="3"/>
  <c r="AH33" i="3"/>
  <c r="AF33" i="3"/>
  <c r="P33" i="3"/>
  <c r="N33" i="3"/>
  <c r="L33" i="3"/>
  <c r="BD32" i="3"/>
  <c r="BB32" i="3"/>
  <c r="AZ32" i="3"/>
  <c r="AX32" i="3"/>
  <c r="AV32" i="3"/>
  <c r="AT32" i="3"/>
  <c r="AN32" i="3"/>
  <c r="AL32" i="3"/>
  <c r="AJ32" i="3"/>
  <c r="AH32" i="3"/>
  <c r="AF32" i="3"/>
  <c r="AD32" i="3"/>
  <c r="AB32" i="3"/>
  <c r="Z32" i="3"/>
  <c r="X32" i="3"/>
  <c r="V32" i="3"/>
  <c r="R32" i="3"/>
  <c r="P32" i="3"/>
  <c r="N32" i="3"/>
  <c r="L32" i="3"/>
  <c r="BD31" i="3"/>
  <c r="AZ31" i="3"/>
  <c r="AX31" i="3"/>
  <c r="AV31" i="3"/>
  <c r="AT31" i="3"/>
  <c r="AN31" i="3"/>
  <c r="AL31" i="3"/>
  <c r="AJ31" i="3"/>
  <c r="AH31" i="3"/>
  <c r="AF31" i="3"/>
  <c r="AD31" i="3"/>
  <c r="AB31" i="3"/>
  <c r="Z31" i="3"/>
  <c r="V31" i="3"/>
  <c r="P31" i="3"/>
  <c r="N31" i="3"/>
  <c r="L31" i="3"/>
  <c r="BD30" i="3"/>
  <c r="AZ30" i="3"/>
  <c r="AX30" i="3"/>
  <c r="AV30" i="3"/>
  <c r="AT30" i="3"/>
  <c r="AN30" i="3"/>
  <c r="AL30" i="3"/>
  <c r="AJ30" i="3"/>
  <c r="AH30" i="3"/>
  <c r="AF30" i="3"/>
  <c r="AD30" i="3"/>
  <c r="AB30" i="3"/>
  <c r="Z30" i="3"/>
  <c r="X30" i="3"/>
  <c r="V30" i="3"/>
  <c r="P30" i="3"/>
  <c r="N30" i="3"/>
  <c r="L30" i="3"/>
  <c r="BD29" i="3"/>
  <c r="AZ29" i="3"/>
  <c r="AX29" i="3"/>
  <c r="AV29" i="3"/>
  <c r="AT29" i="3"/>
  <c r="AN29" i="3"/>
  <c r="AL29" i="3"/>
  <c r="AJ29" i="3"/>
  <c r="AH29" i="3"/>
  <c r="AF29" i="3"/>
  <c r="P29" i="3"/>
  <c r="N29" i="3"/>
  <c r="L29" i="3"/>
  <c r="BD28" i="3"/>
  <c r="AZ28" i="3"/>
  <c r="AX28" i="3"/>
  <c r="AV28" i="3"/>
  <c r="AT28" i="3"/>
  <c r="AN28" i="3"/>
  <c r="AL28" i="3"/>
  <c r="AJ28" i="3"/>
  <c r="AH28" i="3"/>
  <c r="AF28" i="3"/>
  <c r="AD28" i="3"/>
  <c r="AB28" i="3"/>
  <c r="P28" i="3"/>
  <c r="N28" i="3"/>
  <c r="L28" i="3"/>
  <c r="BD27" i="3"/>
  <c r="AZ27" i="3"/>
  <c r="AX27" i="3"/>
  <c r="AV27" i="3"/>
  <c r="AT27" i="3"/>
  <c r="AN27" i="3"/>
  <c r="AL27" i="3"/>
  <c r="AJ27" i="3"/>
  <c r="AH27" i="3"/>
  <c r="AF27" i="3"/>
  <c r="P27" i="3"/>
  <c r="N27" i="3"/>
  <c r="L27" i="3"/>
  <c r="BD26" i="3"/>
  <c r="AZ26" i="3"/>
  <c r="AX26" i="3"/>
  <c r="AV26" i="3"/>
  <c r="AT26" i="3"/>
  <c r="AN26" i="3"/>
  <c r="AL26" i="3"/>
  <c r="AJ26" i="3"/>
  <c r="AH26" i="3"/>
  <c r="AF26" i="3"/>
  <c r="AD26" i="3"/>
  <c r="AB26" i="3"/>
  <c r="Z26" i="3"/>
  <c r="P26" i="3"/>
  <c r="N26" i="3"/>
  <c r="L26" i="3"/>
  <c r="BD25" i="3"/>
  <c r="AZ25" i="3"/>
  <c r="AX25" i="3"/>
  <c r="AV25" i="3"/>
  <c r="AT25" i="3"/>
  <c r="AN25" i="3"/>
  <c r="AL25" i="3"/>
  <c r="AJ25" i="3"/>
  <c r="AH25" i="3"/>
  <c r="AF25" i="3"/>
  <c r="P25" i="3"/>
  <c r="N25" i="3"/>
  <c r="L25" i="3"/>
  <c r="BD24" i="3"/>
  <c r="AZ24" i="3"/>
  <c r="AX24" i="3"/>
  <c r="AV24" i="3"/>
  <c r="AT24" i="3"/>
  <c r="AN24" i="3"/>
  <c r="AL24" i="3"/>
  <c r="AJ24" i="3"/>
  <c r="AH24" i="3"/>
  <c r="AF24" i="3"/>
  <c r="P24" i="3"/>
  <c r="N24" i="3"/>
  <c r="L24" i="3"/>
  <c r="BD23" i="3"/>
  <c r="AZ23" i="3"/>
  <c r="AX23" i="3"/>
  <c r="AV23" i="3"/>
  <c r="AT23" i="3"/>
  <c r="AN23" i="3"/>
  <c r="AL23" i="3"/>
  <c r="AJ23" i="3"/>
  <c r="AH23" i="3"/>
  <c r="AF23" i="3"/>
  <c r="AD23" i="3"/>
  <c r="AB23" i="3"/>
  <c r="Z23" i="3"/>
  <c r="P23" i="3"/>
  <c r="N23" i="3"/>
  <c r="L23" i="3"/>
  <c r="BD22" i="3"/>
  <c r="AZ22" i="3"/>
  <c r="AX22" i="3"/>
  <c r="AV22" i="3"/>
  <c r="AT22" i="3"/>
  <c r="AN22" i="3"/>
  <c r="AL22" i="3"/>
  <c r="AJ22" i="3"/>
  <c r="AH22" i="3"/>
  <c r="AF22" i="3"/>
  <c r="AD22" i="3"/>
  <c r="AB22" i="3"/>
  <c r="Z22" i="3"/>
  <c r="P22" i="3"/>
  <c r="N22" i="3"/>
  <c r="L22" i="3"/>
  <c r="BD21" i="3"/>
  <c r="AZ21" i="3"/>
  <c r="AX21" i="3"/>
  <c r="AV21" i="3"/>
  <c r="AT21" i="3"/>
  <c r="AN21" i="3"/>
  <c r="AL21" i="3"/>
  <c r="AJ21" i="3"/>
  <c r="AH21" i="3"/>
  <c r="AF21" i="3"/>
  <c r="P21" i="3"/>
  <c r="N21" i="3"/>
  <c r="L21" i="3"/>
  <c r="P1502" i="24"/>
  <c r="Q1469" i="24"/>
  <c r="J34" i="31" s="1"/>
  <c r="Q1468" i="24"/>
  <c r="Q1467" i="24"/>
  <c r="Q1466" i="24"/>
  <c r="Q1465" i="24"/>
  <c r="Q1464" i="24"/>
  <c r="Q1463" i="24"/>
  <c r="Q1462" i="24"/>
  <c r="X31" i="3" s="1"/>
  <c r="Q1461" i="24"/>
  <c r="Q1460" i="24"/>
  <c r="Q1459" i="24"/>
  <c r="Q1458" i="24"/>
  <c r="Q1457" i="24"/>
  <c r="Q1456" i="24"/>
  <c r="Q1455" i="24"/>
  <c r="Q1454" i="24"/>
  <c r="Q1453" i="24"/>
  <c r="Q1452" i="24"/>
  <c r="Q1451" i="24"/>
  <c r="Q1450" i="24"/>
  <c r="Q1449" i="24"/>
  <c r="Q1448" i="24"/>
  <c r="Q1447" i="24"/>
  <c r="Q1446" i="24"/>
  <c r="Q1445" i="24"/>
  <c r="Q1444" i="24"/>
  <c r="Q1443" i="24"/>
  <c r="Q1442" i="24"/>
  <c r="Q1441" i="24"/>
  <c r="Q1440" i="24"/>
  <c r="Q1439" i="24"/>
  <c r="Q1438" i="24"/>
  <c r="Q1437" i="24"/>
  <c r="Q1436" i="24"/>
  <c r="Q1435" i="24"/>
  <c r="Q1434" i="24"/>
  <c r="Q1433" i="24"/>
  <c r="Q1432" i="24"/>
  <c r="Q1431" i="24"/>
  <c r="Q1430" i="24"/>
  <c r="Q1429" i="24"/>
  <c r="Q1428" i="24"/>
  <c r="Q1427" i="24"/>
  <c r="Q1426" i="24"/>
  <c r="Q1425" i="24"/>
  <c r="Q1424" i="24"/>
  <c r="E33" i="31" s="1"/>
  <c r="BF33" i="31" s="1"/>
  <c r="Q1423" i="24"/>
  <c r="Q1422" i="24"/>
  <c r="Q1421" i="24"/>
  <c r="Q1420" i="24"/>
  <c r="Q1419" i="24"/>
  <c r="Q1418" i="24"/>
  <c r="Q1417" i="24"/>
  <c r="Q1416" i="24"/>
  <c r="Q1415" i="24"/>
  <c r="Q1414" i="24"/>
  <c r="Q1413" i="24"/>
  <c r="Q1412" i="24"/>
  <c r="Q1411" i="24"/>
  <c r="Q1410" i="24"/>
  <c r="Q1409" i="24"/>
  <c r="Q1408" i="24"/>
  <c r="Q1407" i="24"/>
  <c r="Q1406" i="24"/>
  <c r="Q1405" i="24"/>
  <c r="Q1404" i="24"/>
  <c r="Q1403" i="24"/>
  <c r="Q1402" i="24"/>
  <c r="Q1401" i="24"/>
  <c r="Q1400" i="24"/>
  <c r="Q1399" i="24"/>
  <c r="Q1398" i="24"/>
  <c r="Q1397" i="24"/>
  <c r="Q1396" i="24"/>
  <c r="Q1395" i="24"/>
  <c r="Q1394" i="24"/>
  <c r="Q1393" i="24"/>
  <c r="Q1392" i="24"/>
  <c r="Q1391" i="24"/>
  <c r="Q1390" i="24"/>
  <c r="Q1389" i="24"/>
  <c r="Q1388" i="24"/>
  <c r="Q1387" i="24"/>
  <c r="Q1386" i="24"/>
  <c r="Q1385" i="24"/>
  <c r="Q1384" i="24"/>
  <c r="Q1383" i="24"/>
  <c r="Q1382" i="24"/>
  <c r="Q1381" i="24"/>
  <c r="Q1380" i="24"/>
  <c r="Q1379" i="24"/>
  <c r="Q1378" i="24"/>
  <c r="Q1377" i="24"/>
  <c r="Q1376" i="24"/>
  <c r="Q1375" i="24"/>
  <c r="Q1374" i="24"/>
  <c r="Q1373" i="24"/>
  <c r="Q1372" i="24"/>
  <c r="Q1371" i="24"/>
  <c r="Q1370" i="24"/>
  <c r="Q1369" i="24"/>
  <c r="Q1368" i="24"/>
  <c r="Q1367" i="24"/>
  <c r="Q1366" i="24"/>
  <c r="Q1365" i="24"/>
  <c r="Q1364" i="24"/>
  <c r="Q1363" i="24"/>
  <c r="Q1362" i="24"/>
  <c r="Q1361" i="24"/>
  <c r="Q1360" i="24"/>
  <c r="Q1359" i="24"/>
  <c r="Q1358" i="24"/>
  <c r="Q1357" i="24"/>
  <c r="Q1356" i="24"/>
  <c r="Q1355" i="24"/>
  <c r="Q1354" i="24"/>
  <c r="Q1353" i="24"/>
  <c r="Q1352" i="24"/>
  <c r="Q1351" i="24"/>
  <c r="Q1350" i="24"/>
  <c r="Q1349" i="24"/>
  <c r="Q1348" i="24"/>
  <c r="Q1347" i="24"/>
  <c r="Q1346" i="24"/>
  <c r="Q1345" i="24"/>
  <c r="Q1344" i="24"/>
  <c r="Q1343" i="24"/>
  <c r="Q1342" i="24"/>
  <c r="Q1341" i="24"/>
  <c r="Q1340" i="24"/>
  <c r="Q1339" i="24"/>
  <c r="Q1338" i="24"/>
  <c r="Q1337" i="24"/>
  <c r="Q1336" i="24"/>
  <c r="Q1335" i="24"/>
  <c r="Q1334" i="24"/>
  <c r="Q1333" i="24"/>
  <c r="Q1332" i="24"/>
  <c r="Q1331" i="24"/>
  <c r="Q1330" i="24"/>
  <c r="Q1329" i="24"/>
  <c r="Q1328" i="24"/>
  <c r="Q1327" i="24"/>
  <c r="Q1326" i="24"/>
  <c r="Q1325" i="24"/>
  <c r="Q1324" i="24"/>
  <c r="Q1323" i="24"/>
  <c r="Q1322" i="24"/>
  <c r="Q1321" i="24"/>
  <c r="Q1320" i="24"/>
  <c r="Q1319" i="24"/>
  <c r="Q1318" i="24"/>
  <c r="Q1317" i="24"/>
  <c r="Q1316" i="24"/>
  <c r="Q1315" i="24"/>
  <c r="Q1314" i="24"/>
  <c r="Q1313" i="24"/>
  <c r="Q1312" i="24"/>
  <c r="Q1311" i="24"/>
  <c r="Q1310" i="24"/>
  <c r="Q1309" i="24"/>
  <c r="Q1308" i="24"/>
  <c r="Q1307" i="24"/>
  <c r="Q1306" i="24"/>
  <c r="Q1305" i="24"/>
  <c r="Q1304" i="24"/>
  <c r="Q1303" i="24"/>
  <c r="Q1302" i="24"/>
  <c r="Q1301" i="24"/>
  <c r="Q1300" i="24"/>
  <c r="Q1299" i="24"/>
  <c r="Q1298" i="24"/>
  <c r="Q1297" i="24"/>
  <c r="Q1296" i="24"/>
  <c r="Q1295" i="24"/>
  <c r="Q1294" i="24"/>
  <c r="Q1293" i="24"/>
  <c r="Q1292" i="24"/>
  <c r="Q1291" i="24"/>
  <c r="Q1290" i="24"/>
  <c r="Q1289" i="24"/>
  <c r="Q1288" i="24"/>
  <c r="Q1287" i="24"/>
  <c r="Q1286" i="24"/>
  <c r="Q1285" i="24"/>
  <c r="Q1284" i="24"/>
  <c r="Q1283" i="24"/>
  <c r="Q1282" i="24"/>
  <c r="Q1281" i="24"/>
  <c r="Q1280" i="24"/>
  <c r="Q1279" i="24"/>
  <c r="Q1278" i="24"/>
  <c r="Q1277" i="24"/>
  <c r="Q1276" i="24"/>
  <c r="Q1275" i="24"/>
  <c r="Q1274" i="24"/>
  <c r="Q1273" i="24"/>
  <c r="Q1272" i="24"/>
  <c r="Q1271" i="24"/>
  <c r="Q1270" i="24"/>
  <c r="Q1269" i="24"/>
  <c r="Q1268" i="24"/>
  <c r="Q1267" i="24"/>
  <c r="Q1266" i="24"/>
  <c r="Q1265" i="24"/>
  <c r="Q1264" i="24"/>
  <c r="Q1263" i="24"/>
  <c r="Q1262" i="24"/>
  <c r="Q1261" i="24"/>
  <c r="Q1260" i="24"/>
  <c r="Q1259" i="24"/>
  <c r="Q1258" i="24"/>
  <c r="Q1257" i="24"/>
  <c r="Q1256" i="24"/>
  <c r="Q1255" i="24"/>
  <c r="Q1254" i="24"/>
  <c r="Q1253" i="24"/>
  <c r="Q1252" i="24"/>
  <c r="Q1251" i="24"/>
  <c r="Q1250" i="24"/>
  <c r="Q1249" i="24"/>
  <c r="Q1248" i="24"/>
  <c r="Q1247" i="24"/>
  <c r="Q1246" i="24"/>
  <c r="Q1245" i="24"/>
  <c r="Q1244" i="24"/>
  <c r="Q1243" i="24"/>
  <c r="Q1242" i="24"/>
  <c r="Q1241" i="24"/>
  <c r="Q1240" i="24"/>
  <c r="BB32" i="31" s="1"/>
  <c r="Q1239" i="24"/>
  <c r="Q1238" i="24"/>
  <c r="Q1237" i="24"/>
  <c r="Q1236" i="24"/>
  <c r="AB32" i="31" s="1"/>
  <c r="Q1235" i="24"/>
  <c r="Q1234" i="24"/>
  <c r="Q1233" i="24"/>
  <c r="Q1232" i="24"/>
  <c r="Q1231" i="24"/>
  <c r="Q1230" i="24"/>
  <c r="Q1229" i="24"/>
  <c r="AR32" i="31" s="1"/>
  <c r="Q1228" i="24"/>
  <c r="Q1227" i="24"/>
  <c r="Q1226" i="24"/>
  <c r="Q1225" i="24"/>
  <c r="R32" i="31" s="1"/>
  <c r="Q1224" i="24"/>
  <c r="X32" i="31" s="1"/>
  <c r="Q1223" i="24"/>
  <c r="V32" i="31" s="1"/>
  <c r="Q1222" i="24"/>
  <c r="Q1221" i="24"/>
  <c r="Q1220" i="24"/>
  <c r="Q1219" i="24"/>
  <c r="Q1218" i="24"/>
  <c r="Q1217" i="24"/>
  <c r="Q1216" i="24"/>
  <c r="Q1215" i="24"/>
  <c r="Q1214" i="24"/>
  <c r="Q1213" i="24"/>
  <c r="Q1212" i="24"/>
  <c r="Q1211" i="24"/>
  <c r="Q1210" i="24"/>
  <c r="Q1209" i="24"/>
  <c r="Q1208" i="24"/>
  <c r="Q1207" i="24"/>
  <c r="Q1206" i="24"/>
  <c r="Q1205" i="24"/>
  <c r="Q1204" i="24"/>
  <c r="Q1203" i="24"/>
  <c r="Q1202" i="24"/>
  <c r="Q1201" i="24"/>
  <c r="Q1200" i="24"/>
  <c r="Q1199" i="24"/>
  <c r="Q1198" i="24"/>
  <c r="Q1197" i="24"/>
  <c r="Q1196" i="24"/>
  <c r="Q1195" i="24"/>
  <c r="Q1194" i="24"/>
  <c r="Q1193" i="24"/>
  <c r="Q1192" i="24"/>
  <c r="Q1191" i="24"/>
  <c r="Q1190" i="24"/>
  <c r="Q1189" i="24"/>
  <c r="Q1188" i="24"/>
  <c r="Q1187" i="24"/>
  <c r="Q1186" i="24"/>
  <c r="Q1185" i="24"/>
  <c r="Q1184" i="24"/>
  <c r="Q1183" i="24"/>
  <c r="Q1182" i="24"/>
  <c r="Q1181" i="24"/>
  <c r="Q1180" i="24"/>
  <c r="Q1179" i="24"/>
  <c r="Q1178" i="24"/>
  <c r="Q1177" i="24"/>
  <c r="Q1176" i="24"/>
  <c r="Q1175" i="24"/>
  <c r="Q1174" i="24"/>
  <c r="Q1173" i="24"/>
  <c r="Q1172" i="24"/>
  <c r="Q1171" i="24"/>
  <c r="Q1170" i="24"/>
  <c r="Q1169" i="24"/>
  <c r="Q1168" i="24"/>
  <c r="Q1167" i="24"/>
  <c r="Q1166" i="24"/>
  <c r="Q1165" i="24"/>
  <c r="Q1164" i="24"/>
  <c r="Q1163" i="24"/>
  <c r="Q1162" i="24"/>
  <c r="Q1161" i="24"/>
  <c r="Q1160" i="24"/>
  <c r="Q1159" i="24"/>
  <c r="Q1158" i="24"/>
  <c r="Q1157" i="24"/>
  <c r="Q1156" i="24"/>
  <c r="Q1155" i="24"/>
  <c r="Q1154" i="24"/>
  <c r="Q1153" i="24"/>
  <c r="Q1152" i="24"/>
  <c r="Q1151" i="24"/>
  <c r="Q1150" i="24"/>
  <c r="Q1149" i="24"/>
  <c r="Q1148" i="24"/>
  <c r="Q1147" i="24"/>
  <c r="Q1146" i="24"/>
  <c r="Q1145" i="24"/>
  <c r="Q1144" i="24"/>
  <c r="Q1143" i="24"/>
  <c r="Q1142" i="24"/>
  <c r="Q1141" i="24"/>
  <c r="Q1140" i="24"/>
  <c r="Q1139" i="24"/>
  <c r="Q1138" i="24"/>
  <c r="Q1137" i="24"/>
  <c r="Q1136" i="24"/>
  <c r="Q1135" i="24"/>
  <c r="Q1134" i="24"/>
  <c r="Q1133" i="24"/>
  <c r="Q1132" i="24"/>
  <c r="Q1131" i="24"/>
  <c r="Q1130" i="24"/>
  <c r="Q1129" i="24"/>
  <c r="Q1128" i="24"/>
  <c r="Q1127" i="24"/>
  <c r="Q1126" i="24"/>
  <c r="Q1125" i="24"/>
  <c r="Q1124" i="24"/>
  <c r="Q1123" i="24"/>
  <c r="Q1122" i="24"/>
  <c r="Q1121" i="24"/>
  <c r="Q1120" i="24"/>
  <c r="Q1119" i="24"/>
  <c r="Q1118" i="24"/>
  <c r="Q1117" i="24"/>
  <c r="Q1116" i="24"/>
  <c r="Q1115" i="24"/>
  <c r="Q1114" i="24"/>
  <c r="Q1113" i="24"/>
  <c r="Q1112" i="24"/>
  <c r="Q1111" i="24"/>
  <c r="Q1110" i="24"/>
  <c r="Q1109" i="24"/>
  <c r="Q1108" i="24"/>
  <c r="Q1107" i="24"/>
  <c r="Q1106" i="24"/>
  <c r="Q1105" i="24"/>
  <c r="Q1104" i="24"/>
  <c r="Q1103" i="24"/>
  <c r="Q1102" i="24"/>
  <c r="Q1101" i="24"/>
  <c r="Q1100" i="24"/>
  <c r="Q1099" i="24"/>
  <c r="Q1098" i="24"/>
  <c r="Q1097" i="24"/>
  <c r="Q1096" i="24"/>
  <c r="Q1095" i="24"/>
  <c r="Q1094" i="24"/>
  <c r="Q1093" i="24"/>
  <c r="Q1092" i="24"/>
  <c r="Q1091" i="24"/>
  <c r="Q1090" i="24"/>
  <c r="Q1089" i="24"/>
  <c r="Q1088" i="24"/>
  <c r="Q1087" i="24"/>
  <c r="Q1086" i="24"/>
  <c r="Q1085" i="24"/>
  <c r="Q1084" i="24"/>
  <c r="Q1083" i="24"/>
  <c r="Q1082" i="24"/>
  <c r="Q1081" i="24"/>
  <c r="Q1080" i="24"/>
  <c r="Q1079" i="24"/>
  <c r="Q1078" i="24"/>
  <c r="Q1077" i="24"/>
  <c r="AR30" i="31" s="1"/>
  <c r="Q1076" i="24"/>
  <c r="Q1075" i="24"/>
  <c r="Q1074" i="24"/>
  <c r="Q1073" i="24"/>
  <c r="R30" i="31" s="1"/>
  <c r="Q1072" i="24"/>
  <c r="X30" i="31" s="1"/>
  <c r="Q1071" i="24"/>
  <c r="V30" i="31" s="1"/>
  <c r="Q1070" i="24"/>
  <c r="Q1069" i="24"/>
  <c r="Q1068" i="24"/>
  <c r="Q1067" i="24"/>
  <c r="J30" i="31" s="1"/>
  <c r="Q1066" i="24"/>
  <c r="H30" i="31" s="1"/>
  <c r="Q1065" i="24"/>
  <c r="Q1064" i="24"/>
  <c r="Q1063" i="24"/>
  <c r="Q1062" i="24"/>
  <c r="Q1061" i="24"/>
  <c r="Q1060" i="24"/>
  <c r="Q1059" i="24"/>
  <c r="Q1058" i="24"/>
  <c r="Q1057" i="24"/>
  <c r="Q1056" i="24"/>
  <c r="Q1055" i="24"/>
  <c r="Q1054" i="24"/>
  <c r="Q1053" i="24"/>
  <c r="Q1052" i="24"/>
  <c r="Q1051" i="24"/>
  <c r="Q1050" i="24"/>
  <c r="Q1049" i="24"/>
  <c r="Q1048" i="24"/>
  <c r="Q1047" i="24"/>
  <c r="Q1046" i="24"/>
  <c r="Q1045" i="24"/>
  <c r="Q1044" i="24"/>
  <c r="Q1043" i="24"/>
  <c r="Q1042" i="24"/>
  <c r="Q1041" i="24"/>
  <c r="Q1040" i="24"/>
  <c r="Q1039" i="24"/>
  <c r="Q1038" i="24"/>
  <c r="Q1037" i="24"/>
  <c r="Q1036" i="24"/>
  <c r="Q1035" i="24"/>
  <c r="Q1034" i="24"/>
  <c r="Q1033" i="24"/>
  <c r="Q1032" i="24"/>
  <c r="Q1031" i="24"/>
  <c r="Q1030" i="24"/>
  <c r="Q1029" i="24"/>
  <c r="Q1028" i="24"/>
  <c r="Q1027" i="24"/>
  <c r="Q1026" i="24"/>
  <c r="Q1025" i="24"/>
  <c r="Q1024" i="24"/>
  <c r="Q1023" i="24"/>
  <c r="Q1022" i="24"/>
  <c r="Q1021" i="24"/>
  <c r="Q1020" i="24"/>
  <c r="Q1019" i="24"/>
  <c r="Q1018" i="24"/>
  <c r="Q1017" i="24"/>
  <c r="Q1016" i="24"/>
  <c r="Q1015" i="24"/>
  <c r="Q1014" i="24"/>
  <c r="Q1013" i="24"/>
  <c r="Q1012" i="24"/>
  <c r="Q1011" i="24"/>
  <c r="Q1010" i="24"/>
  <c r="Q1009" i="24"/>
  <c r="Q1008" i="24"/>
  <c r="Q1007" i="24"/>
  <c r="Q1006" i="24"/>
  <c r="Q1005" i="24"/>
  <c r="Q1004" i="24"/>
  <c r="Q1003" i="24"/>
  <c r="Q1002" i="24"/>
  <c r="Q1001" i="24"/>
  <c r="Q1000" i="24"/>
  <c r="Q999" i="24"/>
  <c r="Q998" i="24"/>
  <c r="Q997" i="24"/>
  <c r="Q996" i="24"/>
  <c r="Q995" i="24"/>
  <c r="Q994" i="24"/>
  <c r="Q993" i="24"/>
  <c r="Q992" i="24"/>
  <c r="Q991" i="24"/>
  <c r="Q990" i="24"/>
  <c r="Q989" i="24"/>
  <c r="Q988" i="24"/>
  <c r="Q987" i="24"/>
  <c r="Q986" i="24"/>
  <c r="Q985" i="24"/>
  <c r="Q984" i="24"/>
  <c r="Q983" i="24"/>
  <c r="Q982" i="24"/>
  <c r="Q981" i="24"/>
  <c r="Q980" i="24"/>
  <c r="Q979" i="24"/>
  <c r="Q978" i="24"/>
  <c r="Q977" i="24"/>
  <c r="Q976" i="24"/>
  <c r="Q975" i="24"/>
  <c r="Q974" i="24"/>
  <c r="Q973" i="24"/>
  <c r="Q972" i="24"/>
  <c r="Q971" i="24"/>
  <c r="Q970" i="24"/>
  <c r="Q969" i="24"/>
  <c r="Q968" i="24"/>
  <c r="Q967" i="24"/>
  <c r="Q966" i="24"/>
  <c r="Q965" i="24"/>
  <c r="Q964" i="24"/>
  <c r="Q963" i="24"/>
  <c r="Q962" i="24"/>
  <c r="Q961" i="24"/>
  <c r="Q960" i="24"/>
  <c r="Q959" i="24"/>
  <c r="Q958" i="24"/>
  <c r="Q957" i="24"/>
  <c r="Q956" i="24"/>
  <c r="Q955" i="24"/>
  <c r="Q954" i="24"/>
  <c r="Q953" i="24"/>
  <c r="Q952" i="24"/>
  <c r="Q951" i="24"/>
  <c r="Q950" i="24"/>
  <c r="Q949" i="24"/>
  <c r="Q948" i="24"/>
  <c r="Q947" i="24"/>
  <c r="Q946" i="24"/>
  <c r="Q945" i="24"/>
  <c r="Q944" i="24"/>
  <c r="Q943" i="24"/>
  <c r="Q942" i="24"/>
  <c r="Q941" i="24"/>
  <c r="Q940" i="24"/>
  <c r="Q939" i="24"/>
  <c r="Q938" i="24"/>
  <c r="Q937" i="24"/>
  <c r="Q936" i="24"/>
  <c r="Q935" i="24"/>
  <c r="Q934" i="24"/>
  <c r="Q933" i="24"/>
  <c r="Q932" i="24"/>
  <c r="Q931" i="24"/>
  <c r="Q930" i="24"/>
  <c r="Q929" i="24"/>
  <c r="Q928" i="24"/>
  <c r="Q927" i="24"/>
  <c r="Q926" i="24"/>
  <c r="Q925" i="24"/>
  <c r="Q924" i="24"/>
  <c r="Q923" i="24"/>
  <c r="Q922" i="24"/>
  <c r="Q921" i="24"/>
  <c r="Q920" i="24"/>
  <c r="Q919" i="24"/>
  <c r="Q918" i="24"/>
  <c r="Q917" i="24"/>
  <c r="Q916" i="24"/>
  <c r="Q915" i="24"/>
  <c r="Q914" i="24"/>
  <c r="Q913" i="24"/>
  <c r="Q912" i="24"/>
  <c r="Q911" i="24"/>
  <c r="Q910" i="24"/>
  <c r="R30" i="3" s="1"/>
  <c r="Q909" i="24"/>
  <c r="Q908" i="24"/>
  <c r="Q907" i="24"/>
  <c r="Q906" i="24"/>
  <c r="Q905" i="24"/>
  <c r="Q904" i="24"/>
  <c r="Q903" i="24"/>
  <c r="Q902" i="24"/>
  <c r="Q901" i="24"/>
  <c r="Q900" i="24"/>
  <c r="Q899" i="24"/>
  <c r="Q898" i="24"/>
  <c r="Q897" i="24"/>
  <c r="Q896" i="24"/>
  <c r="Q895" i="24"/>
  <c r="Q894" i="24"/>
  <c r="Q893" i="24"/>
  <c r="Q892" i="24"/>
  <c r="Q891" i="24"/>
  <c r="Q890" i="24"/>
  <c r="Q889" i="24"/>
  <c r="Q888" i="24"/>
  <c r="Q887" i="24"/>
  <c r="Q886" i="24"/>
  <c r="Q885" i="24"/>
  <c r="Q884" i="24"/>
  <c r="Q883" i="24"/>
  <c r="Q882" i="24"/>
  <c r="Q881" i="24"/>
  <c r="Q880" i="24"/>
  <c r="Q879" i="24"/>
  <c r="Q878" i="24"/>
  <c r="Q877" i="24"/>
  <c r="Q876" i="24"/>
  <c r="Q875" i="24"/>
  <c r="Q874" i="24"/>
  <c r="Q873" i="24"/>
  <c r="Q872" i="24"/>
  <c r="Q871" i="24"/>
  <c r="Q870" i="24"/>
  <c r="Q869" i="24"/>
  <c r="Q868" i="24"/>
  <c r="Q867" i="24"/>
  <c r="Q866" i="24"/>
  <c r="Q865" i="24"/>
  <c r="Q864" i="24"/>
  <c r="Q863" i="24"/>
  <c r="Q862" i="24"/>
  <c r="Q861" i="24"/>
  <c r="Q860" i="24"/>
  <c r="Q859" i="24"/>
  <c r="Q858" i="24"/>
  <c r="Q857" i="24"/>
  <c r="Q856" i="24"/>
  <c r="Q855" i="24"/>
  <c r="Q854" i="24"/>
  <c r="Q853" i="24"/>
  <c r="Q852" i="24"/>
  <c r="Q851" i="24"/>
  <c r="Q850" i="24"/>
  <c r="Q849" i="24"/>
  <c r="Q848" i="24"/>
  <c r="Q847" i="24"/>
  <c r="Q846" i="24"/>
  <c r="Q845" i="24"/>
  <c r="Q844" i="24"/>
  <c r="Q843" i="24"/>
  <c r="Q842" i="24"/>
  <c r="Q841" i="24"/>
  <c r="Q840" i="24"/>
  <c r="Q839" i="24"/>
  <c r="Q838" i="24"/>
  <c r="Q837" i="24"/>
  <c r="Q836" i="24"/>
  <c r="Q835" i="24"/>
  <c r="Q834" i="24"/>
  <c r="Q833" i="24"/>
  <c r="Q832" i="24"/>
  <c r="Q831" i="24"/>
  <c r="Q830" i="24"/>
  <c r="Q829" i="24"/>
  <c r="Q828" i="24"/>
  <c r="Q827" i="24"/>
  <c r="Q826" i="24"/>
  <c r="Q825" i="24"/>
  <c r="Q824" i="24"/>
  <c r="Q823" i="24"/>
  <c r="Q822" i="24"/>
  <c r="Q821" i="24"/>
  <c r="Q820" i="24"/>
  <c r="Q819" i="24"/>
  <c r="Q818" i="24"/>
  <c r="Q817" i="24"/>
  <c r="Q816" i="24"/>
  <c r="Q815" i="24"/>
  <c r="Q814" i="24"/>
  <c r="Q813" i="24"/>
  <c r="Q812" i="24"/>
  <c r="Q811" i="24"/>
  <c r="Q810" i="24"/>
  <c r="Q809" i="24"/>
  <c r="Q808" i="24"/>
  <c r="Q807" i="24"/>
  <c r="Q806" i="24"/>
  <c r="Q805" i="24"/>
  <c r="Q804" i="24"/>
  <c r="Q803" i="24"/>
  <c r="Q802" i="24"/>
  <c r="Q801" i="24"/>
  <c r="Q800" i="24"/>
  <c r="Q799" i="24"/>
  <c r="Q798" i="24"/>
  <c r="Q797" i="24"/>
  <c r="Q796" i="24"/>
  <c r="Q795" i="24"/>
  <c r="Q794" i="24"/>
  <c r="Q793" i="24"/>
  <c r="Q792" i="24"/>
  <c r="Q791" i="24"/>
  <c r="Q790" i="24"/>
  <c r="Q789" i="24"/>
  <c r="Q788" i="24"/>
  <c r="Q787" i="24"/>
  <c r="BD20" i="3"/>
  <c r="AZ20" i="3"/>
  <c r="AX20" i="3"/>
  <c r="AV20" i="3"/>
  <c r="AT20" i="3"/>
  <c r="AN20" i="3"/>
  <c r="AL20" i="3"/>
  <c r="AJ20" i="3"/>
  <c r="AH20" i="3"/>
  <c r="AF20" i="3"/>
  <c r="AD20" i="3"/>
  <c r="AB20" i="3"/>
  <c r="Z20" i="3"/>
  <c r="X20" i="3"/>
  <c r="V20" i="3"/>
  <c r="P20" i="3"/>
  <c r="N20" i="3"/>
  <c r="L20" i="3"/>
  <c r="L40" i="14"/>
  <c r="L94" i="18" s="1"/>
  <c r="A981" i="24"/>
  <c r="A980" i="24"/>
  <c r="A979" i="24"/>
  <c r="A978" i="24"/>
  <c r="A977" i="24"/>
  <c r="A976" i="24"/>
  <c r="A975" i="24"/>
  <c r="A974" i="24"/>
  <c r="A973" i="24"/>
  <c r="A972" i="24"/>
  <c r="A971" i="24"/>
  <c r="A970" i="24"/>
  <c r="A969" i="24"/>
  <c r="A968" i="24"/>
  <c r="A967" i="24"/>
  <c r="A966" i="24"/>
  <c r="A965" i="24"/>
  <c r="A964" i="24"/>
  <c r="A963" i="24"/>
  <c r="A962" i="24"/>
  <c r="A961" i="24"/>
  <c r="A960" i="24"/>
  <c r="A959" i="24"/>
  <c r="A958" i="24"/>
  <c r="A957" i="24"/>
  <c r="A956" i="24"/>
  <c r="A955" i="24"/>
  <c r="A954" i="24"/>
  <c r="A953" i="24"/>
  <c r="A952" i="24"/>
  <c r="A951" i="24"/>
  <c r="A950" i="24"/>
  <c r="A949" i="24"/>
  <c r="A948" i="24"/>
  <c r="A947" i="24"/>
  <c r="A946" i="24"/>
  <c r="A945" i="24"/>
  <c r="A944" i="24"/>
  <c r="A943" i="24"/>
  <c r="A942" i="24"/>
  <c r="A941" i="24"/>
  <c r="A940" i="24"/>
  <c r="A939" i="24"/>
  <c r="A938" i="24"/>
  <c r="A937" i="24"/>
  <c r="A936" i="24"/>
  <c r="A935" i="24"/>
  <c r="A934" i="24"/>
  <c r="A933" i="24"/>
  <c r="A932" i="24"/>
  <c r="A931" i="24"/>
  <c r="A930" i="24"/>
  <c r="A929" i="24"/>
  <c r="A928" i="24"/>
  <c r="A927" i="24"/>
  <c r="A926" i="24"/>
  <c r="A925" i="24"/>
  <c r="A924" i="24"/>
  <c r="A923" i="24"/>
  <c r="A922" i="24"/>
  <c r="A921" i="24"/>
  <c r="A920" i="24"/>
  <c r="A919" i="24"/>
  <c r="A918" i="24"/>
  <c r="A917" i="24"/>
  <c r="A916" i="24"/>
  <c r="A915" i="24"/>
  <c r="A914" i="24"/>
  <c r="A913" i="24"/>
  <c r="A912" i="24"/>
  <c r="A911" i="24"/>
  <c r="A910" i="24"/>
  <c r="A909" i="24"/>
  <c r="A908" i="24"/>
  <c r="A907" i="24"/>
  <c r="A906" i="24"/>
  <c r="A905" i="24"/>
  <c r="A904" i="24"/>
  <c r="A903" i="24"/>
  <c r="A902" i="24"/>
  <c r="A901" i="24"/>
  <c r="A900" i="24"/>
  <c r="A899" i="24"/>
  <c r="A898" i="24"/>
  <c r="A897" i="24"/>
  <c r="A896" i="24"/>
  <c r="A895" i="24"/>
  <c r="A894" i="24"/>
  <c r="A893" i="24"/>
  <c r="A892" i="24"/>
  <c r="A891" i="24"/>
  <c r="A890" i="24"/>
  <c r="A889" i="24"/>
  <c r="A888" i="24"/>
  <c r="A887" i="24"/>
  <c r="A886" i="24"/>
  <c r="A885" i="24"/>
  <c r="A884" i="24"/>
  <c r="A883" i="24"/>
  <c r="A882" i="24"/>
  <c r="A881" i="24"/>
  <c r="A880" i="24"/>
  <c r="A879" i="24"/>
  <c r="A878" i="24"/>
  <c r="A877" i="24"/>
  <c r="A876" i="24"/>
  <c r="A875" i="24"/>
  <c r="A874" i="24"/>
  <c r="A873" i="24"/>
  <c r="A872" i="24"/>
  <c r="A871" i="24"/>
  <c r="A870" i="24"/>
  <c r="A869" i="24"/>
  <c r="A868" i="24"/>
  <c r="A867" i="24"/>
  <c r="A866" i="24"/>
  <c r="A865" i="24"/>
  <c r="A864" i="24"/>
  <c r="A863" i="24"/>
  <c r="A862" i="24"/>
  <c r="A861" i="24"/>
  <c r="A860" i="24"/>
  <c r="A859" i="24"/>
  <c r="A858" i="24"/>
  <c r="A857" i="24"/>
  <c r="A856" i="24"/>
  <c r="A855" i="24"/>
  <c r="A854" i="24"/>
  <c r="A853" i="24"/>
  <c r="A852" i="24"/>
  <c r="A851" i="24"/>
  <c r="A850" i="24"/>
  <c r="A849" i="24"/>
  <c r="A848" i="24"/>
  <c r="A847" i="24"/>
  <c r="A846" i="24"/>
  <c r="A845" i="24"/>
  <c r="A844" i="24"/>
  <c r="A843" i="24"/>
  <c r="A842" i="24"/>
  <c r="A841" i="24"/>
  <c r="A840" i="24"/>
  <c r="A839" i="24"/>
  <c r="A838" i="24"/>
  <c r="A837" i="24"/>
  <c r="A836" i="24"/>
  <c r="A835" i="24"/>
  <c r="A834" i="24"/>
  <c r="A833" i="24"/>
  <c r="A832" i="24"/>
  <c r="A831" i="24"/>
  <c r="A830" i="24"/>
  <c r="A829" i="24"/>
  <c r="A828" i="24"/>
  <c r="A827" i="24"/>
  <c r="A826" i="24"/>
  <c r="A825" i="24"/>
  <c r="A824" i="24"/>
  <c r="A823" i="24"/>
  <c r="A822" i="24"/>
  <c r="A821" i="24"/>
  <c r="A820" i="24"/>
  <c r="A819" i="24"/>
  <c r="A818" i="24"/>
  <c r="A817" i="24"/>
  <c r="A816" i="24"/>
  <c r="A815" i="24"/>
  <c r="A814" i="24"/>
  <c r="A813" i="24"/>
  <c r="A812" i="24"/>
  <c r="A811" i="24"/>
  <c r="A810" i="24"/>
  <c r="A809" i="24"/>
  <c r="A808" i="24"/>
  <c r="A807" i="24"/>
  <c r="A806" i="24"/>
  <c r="A805" i="24"/>
  <c r="A804" i="24"/>
  <c r="A803" i="24"/>
  <c r="A802" i="24"/>
  <c r="A801" i="24"/>
  <c r="A800" i="24"/>
  <c r="A799" i="24"/>
  <c r="A798" i="24"/>
  <c r="A797" i="24"/>
  <c r="A796" i="24"/>
  <c r="A795" i="24"/>
  <c r="A794" i="24"/>
  <c r="A793" i="24"/>
  <c r="A792" i="24"/>
  <c r="A791" i="24"/>
  <c r="A790" i="24"/>
  <c r="A789" i="24"/>
  <c r="A788" i="24"/>
  <c r="A787" i="24"/>
  <c r="A786" i="24"/>
  <c r="A785" i="24"/>
  <c r="A784" i="24"/>
  <c r="A783" i="24"/>
  <c r="A782" i="24"/>
  <c r="A781" i="24"/>
  <c r="A780" i="24"/>
  <c r="A779" i="24"/>
  <c r="A778" i="24"/>
  <c r="A777" i="24"/>
  <c r="A776" i="24"/>
  <c r="A775" i="24"/>
  <c r="A774" i="24"/>
  <c r="A773" i="24"/>
  <c r="A772" i="24"/>
  <c r="A771" i="24"/>
  <c r="A770" i="24"/>
  <c r="A769" i="24"/>
  <c r="A768" i="24"/>
  <c r="A767" i="24"/>
  <c r="A766" i="24"/>
  <c r="A765" i="24"/>
  <c r="A764" i="24"/>
  <c r="A763" i="24"/>
  <c r="A762" i="24"/>
  <c r="A761" i="24"/>
  <c r="A760" i="24"/>
  <c r="A759" i="24"/>
  <c r="A758" i="24"/>
  <c r="A757" i="24"/>
  <c r="A756" i="24"/>
  <c r="A755" i="24"/>
  <c r="A754" i="24"/>
  <c r="A753" i="24"/>
  <c r="A752" i="24"/>
  <c r="A751" i="24"/>
  <c r="A750" i="24"/>
  <c r="A749" i="24"/>
  <c r="A748" i="24"/>
  <c r="A747" i="24"/>
  <c r="A746" i="24"/>
  <c r="A745" i="24"/>
  <c r="A744" i="24"/>
  <c r="A743" i="24"/>
  <c r="A742" i="24"/>
  <c r="A741" i="24"/>
  <c r="A740" i="24"/>
  <c r="A739" i="24"/>
  <c r="A738" i="24"/>
  <c r="A737" i="24"/>
  <c r="A736" i="24"/>
  <c r="A735" i="24"/>
  <c r="A734" i="24"/>
  <c r="A733" i="24"/>
  <c r="A732" i="24"/>
  <c r="A731" i="24"/>
  <c r="A730" i="24"/>
  <c r="A729" i="24"/>
  <c r="A728" i="24"/>
  <c r="A727" i="24"/>
  <c r="A726" i="24"/>
  <c r="A725" i="24"/>
  <c r="A724" i="24"/>
  <c r="A723" i="24"/>
  <c r="A722" i="24"/>
  <c r="A721" i="24"/>
  <c r="A720" i="24"/>
  <c r="A719" i="24"/>
  <c r="A718" i="24"/>
  <c r="A717" i="24"/>
  <c r="A716" i="24"/>
  <c r="A715" i="24"/>
  <c r="A714" i="24"/>
  <c r="A713" i="24"/>
  <c r="A712" i="24"/>
  <c r="A711" i="24"/>
  <c r="A710" i="24"/>
  <c r="A709" i="24"/>
  <c r="A708" i="24"/>
  <c r="A707" i="24"/>
  <c r="A706" i="24"/>
  <c r="A705" i="24"/>
  <c r="A704" i="24"/>
  <c r="A703" i="24"/>
  <c r="A702" i="24"/>
  <c r="A701" i="24"/>
  <c r="A700" i="24"/>
  <c r="A699" i="24"/>
  <c r="A698" i="24"/>
  <c r="A697" i="24"/>
  <c r="A696" i="24"/>
  <c r="A695" i="24"/>
  <c r="A694" i="24"/>
  <c r="A693" i="24"/>
  <c r="A692" i="24"/>
  <c r="A691" i="24"/>
  <c r="A690" i="24"/>
  <c r="A689" i="24"/>
  <c r="A688" i="24"/>
  <c r="A687" i="24"/>
  <c r="A686" i="24"/>
  <c r="A685" i="24"/>
  <c r="A684" i="24"/>
  <c r="A683" i="24"/>
  <c r="A682" i="24"/>
  <c r="A681" i="24"/>
  <c r="A680" i="24"/>
  <c r="A679" i="24"/>
  <c r="A678" i="24"/>
  <c r="A677" i="24"/>
  <c r="A676" i="24"/>
  <c r="A675" i="24"/>
  <c r="A674" i="24"/>
  <c r="A673" i="24"/>
  <c r="A672" i="24"/>
  <c r="A671" i="24"/>
  <c r="A670" i="24"/>
  <c r="A669" i="24"/>
  <c r="A668" i="24"/>
  <c r="A667" i="24"/>
  <c r="A666" i="24"/>
  <c r="A665" i="24"/>
  <c r="A664" i="24"/>
  <c r="A663" i="24"/>
  <c r="A662" i="24"/>
  <c r="A661" i="24"/>
  <c r="A660" i="24"/>
  <c r="A659" i="24"/>
  <c r="A658" i="24"/>
  <c r="A657" i="24"/>
  <c r="A656" i="24"/>
  <c r="A655" i="24"/>
  <c r="A654" i="24"/>
  <c r="A653" i="24"/>
  <c r="A652" i="24"/>
  <c r="A651" i="24"/>
  <c r="A650" i="24"/>
  <c r="A649" i="24"/>
  <c r="A648" i="24"/>
  <c r="A647" i="24"/>
  <c r="A646" i="24"/>
  <c r="A645" i="24"/>
  <c r="A644" i="24"/>
  <c r="A643" i="24"/>
  <c r="A642" i="24"/>
  <c r="A641" i="24"/>
  <c r="A640" i="24"/>
  <c r="A639" i="24"/>
  <c r="A638" i="24"/>
  <c r="A637" i="24"/>
  <c r="A636" i="24"/>
  <c r="A635" i="24"/>
  <c r="A634" i="24"/>
  <c r="A633" i="24"/>
  <c r="A632" i="24"/>
  <c r="A631" i="24"/>
  <c r="A630" i="24"/>
  <c r="A629" i="24"/>
  <c r="A628" i="24"/>
  <c r="A627" i="24"/>
  <c r="A626" i="24"/>
  <c r="A625" i="24"/>
  <c r="A624" i="24"/>
  <c r="A623" i="24"/>
  <c r="A622" i="24"/>
  <c r="A621" i="24"/>
  <c r="A620" i="24"/>
  <c r="A619" i="24"/>
  <c r="A618" i="24"/>
  <c r="A617" i="24"/>
  <c r="A616" i="24"/>
  <c r="A615" i="24"/>
  <c r="A614" i="24"/>
  <c r="A613" i="24"/>
  <c r="A612" i="24"/>
  <c r="A611" i="24"/>
  <c r="A610" i="24"/>
  <c r="A609" i="24"/>
  <c r="A608" i="24"/>
  <c r="A607" i="24"/>
  <c r="A606" i="24"/>
  <c r="A605" i="24"/>
  <c r="A604" i="24"/>
  <c r="A603" i="24"/>
  <c r="A602" i="24"/>
  <c r="A601" i="24"/>
  <c r="A600" i="24"/>
  <c r="A599" i="24"/>
  <c r="A598" i="24"/>
  <c r="A597" i="24"/>
  <c r="A596" i="24"/>
  <c r="A595" i="24"/>
  <c r="A594" i="24"/>
  <c r="A593" i="24"/>
  <c r="A592" i="24"/>
  <c r="A591" i="24"/>
  <c r="A590" i="24"/>
  <c r="A589" i="24"/>
  <c r="A588" i="24"/>
  <c r="A587" i="24"/>
  <c r="A586" i="24"/>
  <c r="A585" i="24"/>
  <c r="A584" i="24"/>
  <c r="A583" i="24"/>
  <c r="A582" i="24"/>
  <c r="A581" i="24"/>
  <c r="A580" i="24"/>
  <c r="A579" i="24"/>
  <c r="A578" i="24"/>
  <c r="A577" i="24"/>
  <c r="A576" i="24"/>
  <c r="A575" i="24"/>
  <c r="A574" i="24"/>
  <c r="A573" i="24"/>
  <c r="A572" i="24"/>
  <c r="A571" i="24"/>
  <c r="A570" i="24"/>
  <c r="A569" i="24"/>
  <c r="A568" i="24"/>
  <c r="A567" i="24"/>
  <c r="A566" i="24"/>
  <c r="A565" i="24"/>
  <c r="A564" i="24"/>
  <c r="A563" i="24"/>
  <c r="A562" i="24"/>
  <c r="A561" i="24"/>
  <c r="A560" i="24"/>
  <c r="A559" i="24"/>
  <c r="A558" i="24"/>
  <c r="A557" i="24"/>
  <c r="A556" i="24"/>
  <c r="A555" i="24"/>
  <c r="A554" i="24"/>
  <c r="A553" i="24"/>
  <c r="A552" i="24"/>
  <c r="A551" i="24"/>
  <c r="A550" i="24"/>
  <c r="A549" i="24"/>
  <c r="A548" i="24"/>
  <c r="A547" i="24"/>
  <c r="A546" i="24"/>
  <c r="A545" i="24"/>
  <c r="A544" i="24"/>
  <c r="A543" i="24"/>
  <c r="A542" i="24"/>
  <c r="A541" i="24"/>
  <c r="A540" i="24"/>
  <c r="A539" i="24"/>
  <c r="A538" i="24"/>
  <c r="A537" i="24"/>
  <c r="A536" i="24"/>
  <c r="A535" i="24"/>
  <c r="A534" i="24"/>
  <c r="A533" i="24"/>
  <c r="A532" i="24"/>
  <c r="A531" i="24"/>
  <c r="A530" i="24"/>
  <c r="A529" i="24"/>
  <c r="A528" i="24"/>
  <c r="A527" i="24"/>
  <c r="A526" i="24"/>
  <c r="A525" i="24"/>
  <c r="A524" i="24"/>
  <c r="A523" i="24"/>
  <c r="A522" i="24"/>
  <c r="A521" i="24"/>
  <c r="A520" i="24"/>
  <c r="A519" i="24"/>
  <c r="A518" i="24"/>
  <c r="A517" i="24"/>
  <c r="A516" i="24"/>
  <c r="A515" i="24"/>
  <c r="A514" i="24"/>
  <c r="A513" i="24"/>
  <c r="A512" i="24"/>
  <c r="A511" i="24"/>
  <c r="A510" i="24"/>
  <c r="A509" i="24"/>
  <c r="A508" i="24"/>
  <c r="A507" i="24"/>
  <c r="A506" i="24"/>
  <c r="A505" i="24"/>
  <c r="A504" i="24"/>
  <c r="A503" i="24"/>
  <c r="A502" i="24"/>
  <c r="A501" i="24"/>
  <c r="A500" i="24"/>
  <c r="A499" i="24"/>
  <c r="A498" i="24"/>
  <c r="A497" i="24"/>
  <c r="A496" i="24"/>
  <c r="A495" i="24"/>
  <c r="A494" i="24"/>
  <c r="A493" i="24"/>
  <c r="A492" i="24"/>
  <c r="A491" i="24"/>
  <c r="A490" i="24"/>
  <c r="A489" i="24"/>
  <c r="A488" i="24"/>
  <c r="A487" i="24"/>
  <c r="A486" i="24"/>
  <c r="A485" i="24"/>
  <c r="A484" i="24"/>
  <c r="A483" i="24"/>
  <c r="A482" i="24"/>
  <c r="A481" i="24"/>
  <c r="A480" i="24"/>
  <c r="A479" i="24"/>
  <c r="A478" i="24"/>
  <c r="A477" i="24"/>
  <c r="A476" i="24"/>
  <c r="A475" i="24"/>
  <c r="A474" i="24"/>
  <c r="A473" i="24"/>
  <c r="A472" i="24"/>
  <c r="A471" i="24"/>
  <c r="A470" i="24"/>
  <c r="A469" i="24"/>
  <c r="A468" i="24"/>
  <c r="A467" i="24"/>
  <c r="A466" i="24"/>
  <c r="A465" i="24"/>
  <c r="A464" i="24"/>
  <c r="A463" i="24"/>
  <c r="A462" i="24"/>
  <c r="A461" i="24"/>
  <c r="A460" i="24"/>
  <c r="A459" i="24"/>
  <c r="A458" i="24"/>
  <c r="A457" i="24"/>
  <c r="A456" i="24"/>
  <c r="A455" i="24"/>
  <c r="A454" i="24"/>
  <c r="A453" i="24"/>
  <c r="A452" i="24"/>
  <c r="A451" i="24"/>
  <c r="A450" i="24"/>
  <c r="A449" i="24"/>
  <c r="A448" i="24"/>
  <c r="A447" i="24"/>
  <c r="A446" i="24"/>
  <c r="A445" i="24"/>
  <c r="A444" i="24"/>
  <c r="A443" i="24"/>
  <c r="A442" i="24"/>
  <c r="A441" i="24"/>
  <c r="A440" i="24"/>
  <c r="A439" i="24"/>
  <c r="A438" i="24"/>
  <c r="A437" i="24"/>
  <c r="A436" i="24"/>
  <c r="A435" i="24"/>
  <c r="A434" i="24"/>
  <c r="A433" i="24"/>
  <c r="A432" i="24"/>
  <c r="A431" i="24"/>
  <c r="A430" i="24"/>
  <c r="A429" i="24"/>
  <c r="A428" i="24"/>
  <c r="A427" i="24"/>
  <c r="A426" i="24"/>
  <c r="A425" i="24"/>
  <c r="A424" i="24"/>
  <c r="A423" i="24"/>
  <c r="A422" i="24"/>
  <c r="A421" i="24"/>
  <c r="A420" i="24"/>
  <c r="A419" i="24"/>
  <c r="A418" i="24"/>
  <c r="A417" i="24"/>
  <c r="A416" i="24"/>
  <c r="A415" i="24"/>
  <c r="A414" i="24"/>
  <c r="A413" i="24"/>
  <c r="A412" i="24"/>
  <c r="A411" i="24"/>
  <c r="A410" i="24"/>
  <c r="A409" i="24"/>
  <c r="A408" i="24"/>
  <c r="A407" i="24"/>
  <c r="A406" i="24"/>
  <c r="A405" i="24"/>
  <c r="A404" i="24"/>
  <c r="A403" i="24"/>
  <c r="A402" i="24"/>
  <c r="A401" i="24"/>
  <c r="A400" i="24"/>
  <c r="A399" i="24"/>
  <c r="A398" i="24"/>
  <c r="A397" i="24"/>
  <c r="A396" i="24"/>
  <c r="A395" i="24"/>
  <c r="A394" i="24"/>
  <c r="A393" i="24"/>
  <c r="A392" i="24"/>
  <c r="A391" i="24"/>
  <c r="A390" i="24"/>
  <c r="A389" i="24"/>
  <c r="A388" i="24"/>
  <c r="A387" i="24"/>
  <c r="A386" i="24"/>
  <c r="A385" i="24"/>
  <c r="A384" i="24"/>
  <c r="A383" i="24"/>
  <c r="A382" i="24"/>
  <c r="A381" i="24"/>
  <c r="A380" i="24"/>
  <c r="A379" i="24"/>
  <c r="A378" i="24"/>
  <c r="A377" i="24"/>
  <c r="A376" i="24"/>
  <c r="A375" i="24"/>
  <c r="A374" i="24"/>
  <c r="A373" i="24"/>
  <c r="A372" i="24"/>
  <c r="A371" i="24"/>
  <c r="A370" i="24"/>
  <c r="A369" i="24"/>
  <c r="A368" i="24"/>
  <c r="A367" i="24"/>
  <c r="A366" i="24"/>
  <c r="A365" i="24"/>
  <c r="A364" i="24"/>
  <c r="A363" i="24"/>
  <c r="A362" i="24"/>
  <c r="A361" i="24"/>
  <c r="A360" i="24"/>
  <c r="A359" i="24"/>
  <c r="A358" i="24"/>
  <c r="A357" i="24"/>
  <c r="A356" i="24"/>
  <c r="A355" i="24"/>
  <c r="A354" i="24"/>
  <c r="A353" i="24"/>
  <c r="A352" i="24"/>
  <c r="A351" i="24"/>
  <c r="A350" i="24"/>
  <c r="A349" i="24"/>
  <c r="A348" i="24"/>
  <c r="A347" i="24"/>
  <c r="A346" i="24"/>
  <c r="A345" i="24"/>
  <c r="A344" i="24"/>
  <c r="A343" i="24"/>
  <c r="A342" i="24"/>
  <c r="A341" i="24"/>
  <c r="A340" i="24"/>
  <c r="A339" i="24"/>
  <c r="A338" i="24"/>
  <c r="A337" i="24"/>
  <c r="A336" i="24"/>
  <c r="A335" i="24"/>
  <c r="A334" i="24"/>
  <c r="A333" i="24"/>
  <c r="A332" i="24"/>
  <c r="A331" i="24"/>
  <c r="A330" i="24"/>
  <c r="A329" i="24"/>
  <c r="A328" i="24"/>
  <c r="A327" i="24"/>
  <c r="A326" i="24"/>
  <c r="A325" i="24"/>
  <c r="A324" i="24"/>
  <c r="A323" i="24"/>
  <c r="A322" i="24"/>
  <c r="A321" i="24"/>
  <c r="A320" i="24"/>
  <c r="A319" i="24"/>
  <c r="A318" i="24"/>
  <c r="A317" i="24"/>
  <c r="A316" i="24"/>
  <c r="A315" i="24"/>
  <c r="A314" i="24"/>
  <c r="A313" i="24"/>
  <c r="A312" i="24"/>
  <c r="A311" i="24"/>
  <c r="A310" i="24"/>
  <c r="A309" i="24"/>
  <c r="A308" i="24"/>
  <c r="A307" i="24"/>
  <c r="A306" i="24"/>
  <c r="A305" i="24"/>
  <c r="A304" i="24"/>
  <c r="A303" i="24"/>
  <c r="A302" i="24"/>
  <c r="A301" i="24"/>
  <c r="A300" i="24"/>
  <c r="A299" i="24"/>
  <c r="A298" i="24"/>
  <c r="A297" i="24"/>
  <c r="A296" i="24"/>
  <c r="A295" i="24"/>
  <c r="A294" i="24"/>
  <c r="A293" i="24"/>
  <c r="A292" i="24"/>
  <c r="A291" i="24"/>
  <c r="A290" i="24"/>
  <c r="A289" i="24"/>
  <c r="A288" i="24"/>
  <c r="A287" i="24"/>
  <c r="A286" i="24"/>
  <c r="A285" i="24"/>
  <c r="A284" i="24"/>
  <c r="A283" i="24"/>
  <c r="A282" i="24"/>
  <c r="A281" i="24"/>
  <c r="A280" i="24"/>
  <c r="A279" i="24"/>
  <c r="A278" i="24"/>
  <c r="A277" i="24"/>
  <c r="A276" i="24"/>
  <c r="A275" i="24"/>
  <c r="A274" i="24"/>
  <c r="A273" i="24"/>
  <c r="A272" i="24"/>
  <c r="A271" i="24"/>
  <c r="A270" i="24"/>
  <c r="A269" i="24"/>
  <c r="A268" i="24"/>
  <c r="A267" i="24"/>
  <c r="A266" i="24"/>
  <c r="A265" i="24"/>
  <c r="A264" i="24"/>
  <c r="A263" i="24"/>
  <c r="A262" i="24"/>
  <c r="A261" i="24"/>
  <c r="A260" i="24"/>
  <c r="A259" i="24"/>
  <c r="A258" i="24"/>
  <c r="A257" i="24"/>
  <c r="A256" i="24"/>
  <c r="A255" i="24"/>
  <c r="A254" i="24"/>
  <c r="A253" i="24"/>
  <c r="A252" i="24"/>
  <c r="A251" i="24"/>
  <c r="A250" i="24"/>
  <c r="A249" i="24"/>
  <c r="A248" i="24"/>
  <c r="A247" i="24"/>
  <c r="A246" i="24"/>
  <c r="A245" i="24"/>
  <c r="A244" i="24"/>
  <c r="A243" i="24"/>
  <c r="A242" i="24"/>
  <c r="A241" i="24"/>
  <c r="A240" i="24"/>
  <c r="A239" i="24"/>
  <c r="A238" i="24"/>
  <c r="A237" i="24"/>
  <c r="A236" i="24"/>
  <c r="A235" i="24"/>
  <c r="A234" i="24"/>
  <c r="A233" i="24"/>
  <c r="A232" i="24"/>
  <c r="A231" i="24"/>
  <c r="A230" i="24"/>
  <c r="A229" i="24"/>
  <c r="A228" i="24"/>
  <c r="A227" i="24"/>
  <c r="A226" i="24"/>
  <c r="A225" i="24"/>
  <c r="A224" i="24"/>
  <c r="A223" i="24"/>
  <c r="A222" i="24"/>
  <c r="A221" i="24"/>
  <c r="A220" i="24"/>
  <c r="A219" i="24"/>
  <c r="A218" i="24"/>
  <c r="A217" i="24"/>
  <c r="A216" i="24"/>
  <c r="A215" i="24"/>
  <c r="A214" i="24"/>
  <c r="A213" i="24"/>
  <c r="A212" i="24"/>
  <c r="A211" i="24"/>
  <c r="A210" i="24"/>
  <c r="A209" i="24"/>
  <c r="A208" i="24"/>
  <c r="A207" i="24"/>
  <c r="A206" i="24"/>
  <c r="A205" i="24"/>
  <c r="A204" i="24"/>
  <c r="A203" i="24"/>
  <c r="A202" i="24"/>
  <c r="A201" i="24"/>
  <c r="A200" i="24"/>
  <c r="A199" i="24"/>
  <c r="A198" i="24"/>
  <c r="A197" i="24"/>
  <c r="A196" i="24"/>
  <c r="A195" i="24"/>
  <c r="A194" i="24"/>
  <c r="A193" i="24"/>
  <c r="A192" i="24"/>
  <c r="A191" i="24"/>
  <c r="A190" i="24"/>
  <c r="A189" i="24"/>
  <c r="A188" i="24"/>
  <c r="A187" i="24"/>
  <c r="A186" i="24"/>
  <c r="A185" i="24"/>
  <c r="A184" i="24"/>
  <c r="A183" i="24"/>
  <c r="A182" i="24"/>
  <c r="A181" i="24"/>
  <c r="A180" i="24"/>
  <c r="A179" i="24"/>
  <c r="A178" i="24"/>
  <c r="A177" i="24"/>
  <c r="A176" i="24"/>
  <c r="A175" i="24"/>
  <c r="A174" i="24"/>
  <c r="A173" i="24"/>
  <c r="A172" i="24"/>
  <c r="A171" i="24"/>
  <c r="A170" i="24"/>
  <c r="A169" i="24"/>
  <c r="A168" i="24"/>
  <c r="A167" i="24"/>
  <c r="A166" i="24"/>
  <c r="A165" i="24"/>
  <c r="A164" i="24"/>
  <c r="A163" i="24"/>
  <c r="A162" i="24"/>
  <c r="A161" i="24"/>
  <c r="A160" i="24"/>
  <c r="A159" i="24"/>
  <c r="A158" i="24"/>
  <c r="A157" i="24"/>
  <c r="A156" i="24"/>
  <c r="A155" i="24"/>
  <c r="A154" i="24"/>
  <c r="A153" i="24"/>
  <c r="A152" i="24"/>
  <c r="A151" i="24"/>
  <c r="A150" i="24"/>
  <c r="A149" i="24"/>
  <c r="A148" i="24"/>
  <c r="A147" i="24"/>
  <c r="A146" i="24"/>
  <c r="A145" i="24"/>
  <c r="A144" i="24"/>
  <c r="A143" i="24"/>
  <c r="A142" i="24"/>
  <c r="A141" i="24"/>
  <c r="A140" i="24"/>
  <c r="A139" i="24"/>
  <c r="A138" i="24"/>
  <c r="A137" i="24"/>
  <c r="A136" i="24"/>
  <c r="A135" i="24"/>
  <c r="A134" i="24"/>
  <c r="A133" i="24"/>
  <c r="A132" i="24"/>
  <c r="A131" i="24"/>
  <c r="A130" i="24"/>
  <c r="A129" i="24"/>
  <c r="A128" i="24"/>
  <c r="A127" i="24"/>
  <c r="A126" i="24"/>
  <c r="A125" i="24"/>
  <c r="A124" i="24"/>
  <c r="A123" i="24"/>
  <c r="A122" i="24"/>
  <c r="A121" i="24"/>
  <c r="A120" i="24"/>
  <c r="A119" i="24"/>
  <c r="A118" i="24"/>
  <c r="A117" i="24"/>
  <c r="A116" i="24"/>
  <c r="A115" i="24"/>
  <c r="A114" i="24"/>
  <c r="A113" i="24"/>
  <c r="A112" i="24"/>
  <c r="A111" i="24"/>
  <c r="A110" i="24"/>
  <c r="A109" i="24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H247" i="24" l="1"/>
  <c r="AH1505" i="24"/>
  <c r="AH1313" i="24"/>
  <c r="AH1310" i="24"/>
  <c r="AH1187" i="24"/>
  <c r="AH1180" i="24"/>
  <c r="AH1177" i="24"/>
  <c r="AH1093" i="24"/>
  <c r="AH1090" i="24"/>
  <c r="AH889" i="24"/>
  <c r="AH637" i="24"/>
  <c r="AH193" i="24"/>
  <c r="AJ1500" i="24"/>
  <c r="V31" i="31"/>
  <c r="AH198" i="24"/>
  <c r="AH1506" i="24"/>
  <c r="AH1201" i="24"/>
  <c r="AH1148" i="24"/>
  <c r="AH980" i="24"/>
  <c r="AH835" i="24"/>
  <c r="AH580" i="24"/>
  <c r="AH573" i="24"/>
  <c r="AH538" i="24"/>
  <c r="AH203" i="24"/>
  <c r="AH200" i="24"/>
  <c r="AH506" i="24"/>
  <c r="AH1503" i="24"/>
  <c r="AH463" i="24"/>
  <c r="AH1519" i="24"/>
  <c r="AH1407" i="24"/>
  <c r="AH1404" i="24"/>
  <c r="AH1342" i="24"/>
  <c r="AH1339" i="24"/>
  <c r="AH1063" i="24"/>
  <c r="AH1060" i="24"/>
  <c r="AH662" i="24"/>
  <c r="AH484" i="24"/>
  <c r="AH329" i="24"/>
  <c r="AH317" i="24"/>
  <c r="AH570" i="24"/>
  <c r="AH1528" i="24"/>
  <c r="AH1462" i="24"/>
  <c r="AH1459" i="24"/>
  <c r="AH1456" i="24"/>
  <c r="AH1275" i="24"/>
  <c r="AH1124" i="24"/>
  <c r="AH1121" i="24"/>
  <c r="AH727" i="24"/>
  <c r="AH472" i="24"/>
  <c r="AH290" i="24"/>
  <c r="AH529" i="24"/>
  <c r="AH1502" i="24"/>
  <c r="AH1527" i="24"/>
  <c r="AH1356" i="24"/>
  <c r="AH1312" i="24"/>
  <c r="AH1309" i="24"/>
  <c r="AH1214" i="24"/>
  <c r="AH1179" i="24"/>
  <c r="AH1092" i="24"/>
  <c r="AH1089" i="24"/>
  <c r="AH888" i="24"/>
  <c r="AH610" i="24"/>
  <c r="AH502" i="24"/>
  <c r="AH313" i="24"/>
  <c r="AJ263" i="24"/>
  <c r="AJ1516" i="24"/>
  <c r="AH188" i="24"/>
  <c r="AH1520" i="24"/>
  <c r="AH1526" i="24"/>
  <c r="AH1206" i="24"/>
  <c r="AH1203" i="24"/>
  <c r="AH1150" i="24"/>
  <c r="AH979" i="24"/>
  <c r="AH537" i="24"/>
  <c r="AH249" i="24"/>
  <c r="AH202" i="24"/>
  <c r="AH199" i="24"/>
  <c r="AH1482" i="24"/>
  <c r="AH1484" i="24"/>
  <c r="AH1486" i="24"/>
  <c r="AH572" i="24"/>
  <c r="AH1504" i="24"/>
  <c r="AH1406" i="24"/>
  <c r="AH1403" i="24"/>
  <c r="AH1344" i="24"/>
  <c r="AH1341" i="24"/>
  <c r="AH1338" i="24"/>
  <c r="AH1267" i="24"/>
  <c r="AH1264" i="24"/>
  <c r="AH1062" i="24"/>
  <c r="AH1059" i="24"/>
  <c r="AH844" i="24"/>
  <c r="AH639" i="24"/>
  <c r="AH613" i="24"/>
  <c r="AH525" i="24"/>
  <c r="AH517" i="24"/>
  <c r="AH483" i="24"/>
  <c r="AH316" i="24"/>
  <c r="AJ1497" i="24"/>
  <c r="AJ1499" i="24"/>
  <c r="J32" i="31"/>
  <c r="AH1461" i="24"/>
  <c r="AH1458" i="24"/>
  <c r="AH1123" i="24"/>
  <c r="AH1120" i="24"/>
  <c r="AH788" i="24"/>
  <c r="AH726" i="24"/>
  <c r="AH289" i="24"/>
  <c r="AH187" i="24"/>
  <c r="J31" i="31"/>
  <c r="AH1355" i="24"/>
  <c r="AH1311" i="24"/>
  <c r="AH1216" i="24"/>
  <c r="AH1188" i="24"/>
  <c r="AH1178" i="24"/>
  <c r="AH1094" i="24"/>
  <c r="AH1091" i="24"/>
  <c r="AH894" i="24"/>
  <c r="AH887" i="24"/>
  <c r="AH707" i="24"/>
  <c r="AH616" i="24"/>
  <c r="AH571" i="24"/>
  <c r="AJ1480" i="24"/>
  <c r="AJ1517" i="24"/>
  <c r="AH1205" i="24"/>
  <c r="AH1202" i="24"/>
  <c r="AH1149" i="24"/>
  <c r="AH1146" i="24"/>
  <c r="AH836" i="24"/>
  <c r="AH719" i="24"/>
  <c r="AH660" i="24"/>
  <c r="AH201" i="24"/>
  <c r="AH1064" i="24"/>
  <c r="AH1061" i="24"/>
  <c r="AH843" i="24"/>
  <c r="AH1122" i="24"/>
  <c r="AH1119" i="24"/>
  <c r="AH736" i="24"/>
  <c r="AH725" i="24"/>
  <c r="AH577" i="24"/>
  <c r="AH330" i="24"/>
  <c r="AH186" i="24"/>
  <c r="AH1481" i="24"/>
  <c r="AH1483" i="24"/>
  <c r="AH1485" i="24"/>
  <c r="AH1487" i="24"/>
  <c r="X31" i="31"/>
  <c r="H31" i="31"/>
  <c r="E32" i="31"/>
  <c r="E31" i="31"/>
  <c r="H32" i="31"/>
  <c r="E30" i="31"/>
  <c r="F31" i="31"/>
  <c r="E28" i="3"/>
  <c r="E29" i="31"/>
  <c r="BF29" i="31" s="1"/>
  <c r="F30" i="31"/>
  <c r="T30" i="31"/>
  <c r="AP30" i="31"/>
  <c r="F32" i="31"/>
  <c r="T32" i="31"/>
  <c r="AP32" i="31"/>
  <c r="AD32" i="31"/>
  <c r="AD29" i="3"/>
  <c r="Z32" i="31"/>
  <c r="AP34" i="31"/>
  <c r="E34" i="31"/>
  <c r="F34" i="31"/>
  <c r="BB40" i="3"/>
  <c r="X41" i="3"/>
  <c r="AB29" i="3"/>
  <c r="V39" i="3"/>
  <c r="X39" i="3"/>
  <c r="T31" i="3"/>
  <c r="T28" i="3"/>
  <c r="AH893" i="24"/>
  <c r="AH890" i="24"/>
  <c r="AJ864" i="24"/>
  <c r="AH728" i="24"/>
  <c r="AH705" i="24"/>
  <c r="AH474" i="24"/>
  <c r="AJ366" i="24"/>
  <c r="AH323" i="24"/>
  <c r="AH282" i="24"/>
  <c r="AH1467" i="24"/>
  <c r="AH1413" i="24"/>
  <c r="AH1410" i="24"/>
  <c r="AH1365" i="24"/>
  <c r="AH1362" i="24"/>
  <c r="AH1359" i="24"/>
  <c r="AH1353" i="24"/>
  <c r="AH1350" i="24"/>
  <c r="AH1347" i="24"/>
  <c r="AH1326" i="24"/>
  <c r="AH1323" i="24"/>
  <c r="AH1320" i="24"/>
  <c r="AH1317" i="24"/>
  <c r="AH1281" i="24"/>
  <c r="AH1278" i="24"/>
  <c r="AH1272" i="24"/>
  <c r="AH1224" i="24"/>
  <c r="AH1221" i="24"/>
  <c r="AH1218" i="24"/>
  <c r="AH1212" i="24"/>
  <c r="AH1209" i="24"/>
  <c r="AH1197" i="24"/>
  <c r="AH1194" i="24"/>
  <c r="AH1191" i="24"/>
  <c r="AH1185" i="24"/>
  <c r="AH1155" i="24"/>
  <c r="AH1152" i="24"/>
  <c r="AH1134" i="24"/>
  <c r="AH1131" i="24"/>
  <c r="AH1128" i="24"/>
  <c r="AH1125" i="24"/>
  <c r="AH1101" i="24"/>
  <c r="AH1098" i="24"/>
  <c r="AH1095" i="24"/>
  <c r="AH1074" i="24"/>
  <c r="AH1071" i="24"/>
  <c r="AH1068" i="24"/>
  <c r="AH1065" i="24"/>
  <c r="AH987" i="24"/>
  <c r="AH984" i="24"/>
  <c r="AH981" i="24"/>
  <c r="AH896" i="24"/>
  <c r="AJ761" i="24"/>
  <c r="AH738" i="24"/>
  <c r="AH652" i="24"/>
  <c r="AH643" i="24"/>
  <c r="AH640" i="24"/>
  <c r="AJ594" i="24"/>
  <c r="AJ548" i="24"/>
  <c r="AH530" i="24"/>
  <c r="AH496" i="24"/>
  <c r="AH493" i="24"/>
  <c r="AH477" i="24"/>
  <c r="AH309" i="24"/>
  <c r="AH306" i="24"/>
  <c r="AH285" i="24"/>
  <c r="AH183" i="24"/>
  <c r="AH180" i="24"/>
  <c r="AH177" i="24"/>
  <c r="AJ1488" i="24"/>
  <c r="AH230" i="24"/>
  <c r="AH1515" i="24"/>
  <c r="AH899" i="24"/>
  <c r="AH874" i="24"/>
  <c r="AH849" i="24"/>
  <c r="AH846" i="24"/>
  <c r="AH840" i="24"/>
  <c r="AH837" i="24"/>
  <c r="AH793" i="24"/>
  <c r="AH790" i="24"/>
  <c r="AH715" i="24"/>
  <c r="AH533" i="24"/>
  <c r="AH509" i="24"/>
  <c r="AH503" i="24"/>
  <c r="AH480" i="24"/>
  <c r="AH466" i="24"/>
  <c r="AH388" i="24"/>
  <c r="AH288" i="24"/>
  <c r="AH195" i="24"/>
  <c r="AH192" i="24"/>
  <c r="AH189" i="24"/>
  <c r="AH276" i="24"/>
  <c r="AH1516" i="24"/>
  <c r="AJ912" i="24"/>
  <c r="AH718" i="24"/>
  <c r="AJ665" i="24"/>
  <c r="AH659" i="24"/>
  <c r="AH636" i="24"/>
  <c r="AJ632" i="24"/>
  <c r="AH615" i="24"/>
  <c r="AH612" i="24"/>
  <c r="AH609" i="24"/>
  <c r="AH579" i="24"/>
  <c r="AH576" i="24"/>
  <c r="AH536" i="24"/>
  <c r="AH519" i="24"/>
  <c r="AH516" i="24"/>
  <c r="AH499" i="24"/>
  <c r="AH315" i="24"/>
  <c r="AH312" i="24"/>
  <c r="AH74" i="24"/>
  <c r="AH1513" i="24"/>
  <c r="AH1539" i="24"/>
  <c r="AH86" i="24"/>
  <c r="AH1529" i="24"/>
  <c r="AH895" i="24"/>
  <c r="AH892" i="24"/>
  <c r="AH730" i="24"/>
  <c r="AH704" i="24"/>
  <c r="AH476" i="24"/>
  <c r="AJ1526" i="24"/>
  <c r="AJ1507" i="24"/>
  <c r="AH154" i="24"/>
  <c r="AH1538" i="24"/>
  <c r="AH1469" i="24"/>
  <c r="AH1466" i="24"/>
  <c r="AH1412" i="24"/>
  <c r="AH1364" i="24"/>
  <c r="AH1361" i="24"/>
  <c r="AH1358" i="24"/>
  <c r="AH1352" i="24"/>
  <c r="AH1349" i="24"/>
  <c r="AH1346" i="24"/>
  <c r="AH1325" i="24"/>
  <c r="AH1319" i="24"/>
  <c r="AH1316" i="24"/>
  <c r="AH1280" i="24"/>
  <c r="AH1274" i="24"/>
  <c r="AH1271" i="24"/>
  <c r="AH1226" i="24"/>
  <c r="AH1223" i="24"/>
  <c r="AH1220" i="24"/>
  <c r="AH1217" i="24"/>
  <c r="AH1211" i="24"/>
  <c r="AH1208" i="24"/>
  <c r="AH1196" i="24"/>
  <c r="AH1193" i="24"/>
  <c r="AH1190" i="24"/>
  <c r="AH1184" i="24"/>
  <c r="AH1160" i="24"/>
  <c r="AH1154" i="24"/>
  <c r="AH1133" i="24"/>
  <c r="AH1130" i="24"/>
  <c r="AH1127" i="24"/>
  <c r="AH1100" i="24"/>
  <c r="AH1097" i="24"/>
  <c r="AH1073" i="24"/>
  <c r="AH1070" i="24"/>
  <c r="AH1067" i="24"/>
  <c r="AH989" i="24"/>
  <c r="AH986" i="24"/>
  <c r="AH983" i="24"/>
  <c r="AH740" i="24"/>
  <c r="AH737" i="24"/>
  <c r="AH642" i="24"/>
  <c r="AH532" i="24"/>
  <c r="AH495" i="24"/>
  <c r="AH308" i="24"/>
  <c r="AH284" i="24"/>
  <c r="AH182" i="24"/>
  <c r="AH179" i="24"/>
  <c r="AH176" i="24"/>
  <c r="AJ146" i="24"/>
  <c r="AJ95" i="24"/>
  <c r="AH1471" i="24"/>
  <c r="AH1473" i="24"/>
  <c r="AH1491" i="24"/>
  <c r="AH1493" i="24"/>
  <c r="AH1495" i="24"/>
  <c r="AH1497" i="24"/>
  <c r="AJ1525" i="24"/>
  <c r="AJ1506" i="24"/>
  <c r="AH77" i="24"/>
  <c r="AH1512" i="24"/>
  <c r="AH1537" i="24"/>
  <c r="AH279" i="24"/>
  <c r="AH898" i="24"/>
  <c r="AH876" i="24"/>
  <c r="AH873" i="24"/>
  <c r="AH848" i="24"/>
  <c r="AH845" i="24"/>
  <c r="AH839" i="24"/>
  <c r="AH792" i="24"/>
  <c r="AH717" i="24"/>
  <c r="AH714" i="24"/>
  <c r="AH508" i="24"/>
  <c r="AH505" i="24"/>
  <c r="AH482" i="24"/>
  <c r="AH479" i="24"/>
  <c r="AH465" i="24"/>
  <c r="AH462" i="24"/>
  <c r="AH311" i="24"/>
  <c r="AH287" i="24"/>
  <c r="AH197" i="24"/>
  <c r="AH194" i="24"/>
  <c r="AH191" i="24"/>
  <c r="AH185" i="24"/>
  <c r="AJ1505" i="24"/>
  <c r="AJ1524" i="24"/>
  <c r="AH227" i="24"/>
  <c r="AH1536" i="24"/>
  <c r="AH1530" i="24"/>
  <c r="AH1511" i="24"/>
  <c r="AJ946" i="24"/>
  <c r="AJ931" i="24"/>
  <c r="AH879" i="24"/>
  <c r="AJ829" i="24"/>
  <c r="AJ782" i="24"/>
  <c r="AH661" i="24"/>
  <c r="AH635" i="24"/>
  <c r="AH617" i="24"/>
  <c r="AH614" i="24"/>
  <c r="AH611" i="24"/>
  <c r="AH608" i="24"/>
  <c r="AH578" i="24"/>
  <c r="AH575" i="24"/>
  <c r="AH569" i="24"/>
  <c r="AH535" i="24"/>
  <c r="AH518" i="24"/>
  <c r="AH515" i="24"/>
  <c r="AH314" i="24"/>
  <c r="AJ41" i="24"/>
  <c r="AJ1528" i="24"/>
  <c r="AJ1509" i="24"/>
  <c r="AJ1510" i="24"/>
  <c r="AH151" i="24"/>
  <c r="AH1514" i="24"/>
  <c r="AH1540" i="24"/>
  <c r="AH891" i="24"/>
  <c r="AH729" i="24"/>
  <c r="AH720" i="24"/>
  <c r="AH706" i="24"/>
  <c r="AH703" i="24"/>
  <c r="AH638" i="24"/>
  <c r="AH475" i="24"/>
  <c r="AJ356" i="24"/>
  <c r="AJ303" i="24"/>
  <c r="AH283" i="24"/>
  <c r="AH280" i="24"/>
  <c r="AJ214" i="24"/>
  <c r="AJ125" i="24"/>
  <c r="AJ1527" i="24"/>
  <c r="AJ1508" i="24"/>
  <c r="AH1468" i="24"/>
  <c r="AH1414" i="24"/>
  <c r="AH1411" i="24"/>
  <c r="AH1366" i="24"/>
  <c r="AH1363" i="24"/>
  <c r="AH1360" i="24"/>
  <c r="AH1357" i="24"/>
  <c r="AH1354" i="24"/>
  <c r="AH1351" i="24"/>
  <c r="AH1348" i="24"/>
  <c r="AH1345" i="24"/>
  <c r="AH1327" i="24"/>
  <c r="AH1324" i="24"/>
  <c r="AH1318" i="24"/>
  <c r="AH1282" i="24"/>
  <c r="AH1279" i="24"/>
  <c r="AH1273" i="24"/>
  <c r="AH1270" i="24"/>
  <c r="AH1225" i="24"/>
  <c r="AH1222" i="24"/>
  <c r="AH1219" i="24"/>
  <c r="AH1213" i="24"/>
  <c r="AH1210" i="24"/>
  <c r="AH1207" i="24"/>
  <c r="AH1195" i="24"/>
  <c r="AH1192" i="24"/>
  <c r="AH1189" i="24"/>
  <c r="AH1186" i="24"/>
  <c r="AH1183" i="24"/>
  <c r="AH1159" i="24"/>
  <c r="AH1156" i="24"/>
  <c r="AH1153" i="24"/>
  <c r="AH1132" i="24"/>
  <c r="AH1129" i="24"/>
  <c r="AH1126" i="24"/>
  <c r="AH1099" i="24"/>
  <c r="AH1096" i="24"/>
  <c r="AH1072" i="24"/>
  <c r="AH1069" i="24"/>
  <c r="AH1066" i="24"/>
  <c r="AH988" i="24"/>
  <c r="AH985" i="24"/>
  <c r="AH982" i="24"/>
  <c r="AH897" i="24"/>
  <c r="AH739" i="24"/>
  <c r="AH644" i="24"/>
  <c r="AH641" i="24"/>
  <c r="AH531" i="24"/>
  <c r="AH528" i="24"/>
  <c r="AH501" i="24"/>
  <c r="AH494" i="24"/>
  <c r="AH478" i="24"/>
  <c r="AJ381" i="24"/>
  <c r="AJ331" i="24"/>
  <c r="AH307" i="24"/>
  <c r="AH248" i="24"/>
  <c r="AH245" i="24"/>
  <c r="AH184" i="24"/>
  <c r="AH181" i="24"/>
  <c r="AH178" i="24"/>
  <c r="AH875" i="24"/>
  <c r="AH872" i="24"/>
  <c r="AH847" i="24"/>
  <c r="AH841" i="24"/>
  <c r="AH838" i="24"/>
  <c r="AH794" i="24"/>
  <c r="AH791" i="24"/>
  <c r="AH716" i="24"/>
  <c r="AH713" i="24"/>
  <c r="AH653" i="24"/>
  <c r="AH534" i="24"/>
  <c r="AH507" i="24"/>
  <c r="AH504" i="24"/>
  <c r="AH481" i="24"/>
  <c r="AH464" i="24"/>
  <c r="AH389" i="24"/>
  <c r="AH310" i="24"/>
  <c r="AH286" i="24"/>
  <c r="AH196" i="24"/>
  <c r="AH190" i="24"/>
  <c r="AJ73" i="24"/>
  <c r="P2011" i="24"/>
  <c r="Q1502" i="24"/>
  <c r="X40" i="3"/>
  <c r="R39" i="3"/>
  <c r="V40" i="3"/>
  <c r="V41" i="3"/>
  <c r="R41" i="3"/>
  <c r="H40" i="3"/>
  <c r="J40" i="3"/>
  <c r="F40" i="3"/>
  <c r="T40" i="3"/>
  <c r="AB41" i="3"/>
  <c r="AB27" i="3"/>
  <c r="AD41" i="3"/>
  <c r="AD27" i="3"/>
  <c r="Z41" i="3"/>
  <c r="Z27" i="3"/>
  <c r="T39" i="3"/>
  <c r="T26" i="3"/>
  <c r="T41" i="3"/>
  <c r="T27" i="3"/>
  <c r="T43" i="3"/>
  <c r="T29" i="3"/>
  <c r="AH877" i="24"/>
  <c r="AH871" i="24"/>
  <c r="AH868" i="24"/>
  <c r="AH804" i="24"/>
  <c r="AH801" i="24"/>
  <c r="AH798" i="24"/>
  <c r="AH795" i="24"/>
  <c r="AH408" i="24"/>
  <c r="AH405" i="24"/>
  <c r="AH399" i="24"/>
  <c r="AH396" i="24"/>
  <c r="AH393" i="24"/>
  <c r="AH390" i="24"/>
  <c r="AH254" i="24"/>
  <c r="AH251" i="24"/>
  <c r="AH242" i="24"/>
  <c r="AH239" i="24"/>
  <c r="AH236" i="24"/>
  <c r="AH135" i="24"/>
  <c r="AH132" i="24"/>
  <c r="AH126" i="24"/>
  <c r="AH123" i="24"/>
  <c r="AH15" i="24"/>
  <c r="AH9" i="24"/>
  <c r="AH926" i="24"/>
  <c r="AH923" i="24"/>
  <c r="AH920" i="24"/>
  <c r="AH819" i="24"/>
  <c r="AH816" i="24"/>
  <c r="AH810" i="24"/>
  <c r="AH773" i="24"/>
  <c r="AH770" i="24"/>
  <c r="AH761" i="24"/>
  <c r="AH681" i="24"/>
  <c r="AH678" i="24"/>
  <c r="AH500" i="24"/>
  <c r="AH497" i="24"/>
  <c r="AH491" i="24"/>
  <c r="AH362" i="24"/>
  <c r="AH359" i="24"/>
  <c r="AH356" i="24"/>
  <c r="AH328" i="24"/>
  <c r="AH325" i="24"/>
  <c r="AH322" i="24"/>
  <c r="AH319" i="24"/>
  <c r="AH172" i="24"/>
  <c r="AH166" i="24"/>
  <c r="AH163" i="24"/>
  <c r="AH110" i="24"/>
  <c r="AH104" i="24"/>
  <c r="AH101" i="24"/>
  <c r="AH745" i="24"/>
  <c r="AH742" i="24"/>
  <c r="AH733" i="24"/>
  <c r="AH684" i="24"/>
  <c r="AH668" i="24"/>
  <c r="AH665" i="24"/>
  <c r="AH656" i="24"/>
  <c r="AH631" i="24"/>
  <c r="AH622" i="24"/>
  <c r="AH619" i="24"/>
  <c r="AH469" i="24"/>
  <c r="AH460" i="24"/>
  <c r="AH457" i="24"/>
  <c r="AH374" i="24"/>
  <c r="AH368" i="24"/>
  <c r="AH303" i="24"/>
  <c r="AH294" i="24"/>
  <c r="AH291" i="24"/>
  <c r="AH73" i="24"/>
  <c r="AH70" i="24"/>
  <c r="AH27" i="24"/>
  <c r="AH910" i="24"/>
  <c r="AH904" i="24"/>
  <c r="AH901" i="24"/>
  <c r="AH711" i="24"/>
  <c r="AH708" i="24"/>
  <c r="AH702" i="24"/>
  <c r="AH699" i="24"/>
  <c r="AH696" i="24"/>
  <c r="AH524" i="24"/>
  <c r="AH521" i="24"/>
  <c r="AH512" i="24"/>
  <c r="AH441" i="24"/>
  <c r="AH438" i="24"/>
  <c r="AH429" i="24"/>
  <c r="AH386" i="24"/>
  <c r="AH383" i="24"/>
  <c r="AH380" i="24"/>
  <c r="AH343" i="24"/>
  <c r="AH340" i="24"/>
  <c r="AH337" i="24"/>
  <c r="AH278" i="24"/>
  <c r="AH275" i="24"/>
  <c r="AH269" i="24"/>
  <c r="AH266" i="24"/>
  <c r="AH232" i="24"/>
  <c r="AH229" i="24"/>
  <c r="AH226" i="24"/>
  <c r="AH220" i="24"/>
  <c r="AH159" i="24"/>
  <c r="AH156" i="24"/>
  <c r="AH153" i="24"/>
  <c r="AH150" i="24"/>
  <c r="AH88" i="24"/>
  <c r="AH85" i="24"/>
  <c r="AH76" i="24"/>
  <c r="AH870" i="24"/>
  <c r="AH803" i="24"/>
  <c r="AH800" i="24"/>
  <c r="AH797" i="24"/>
  <c r="AH407" i="24"/>
  <c r="AH398" i="24"/>
  <c r="AH395" i="24"/>
  <c r="AH392" i="24"/>
  <c r="AH253" i="24"/>
  <c r="AH250" i="24"/>
  <c r="AH244" i="24"/>
  <c r="AH241" i="24"/>
  <c r="AH238" i="24"/>
  <c r="AH235" i="24"/>
  <c r="AH134" i="24"/>
  <c r="AH125" i="24"/>
  <c r="AH122" i="24"/>
  <c r="AH42" i="24"/>
  <c r="AH8" i="24"/>
  <c r="AH361" i="24"/>
  <c r="AH358" i="24"/>
  <c r="AH355" i="24"/>
  <c r="AH327" i="24"/>
  <c r="AH324" i="24"/>
  <c r="AH321" i="24"/>
  <c r="AH318" i="24"/>
  <c r="AH171" i="24"/>
  <c r="AH165" i="24"/>
  <c r="AH162" i="24"/>
  <c r="AH112" i="24"/>
  <c r="AH103" i="24"/>
  <c r="AH100" i="24"/>
  <c r="AH744" i="24"/>
  <c r="AH741" i="24"/>
  <c r="AH735" i="24"/>
  <c r="AH732" i="24"/>
  <c r="AH689" i="24"/>
  <c r="AH686" i="24"/>
  <c r="AH667" i="24"/>
  <c r="AH664" i="24"/>
  <c r="AH658" i="24"/>
  <c r="AH655" i="24"/>
  <c r="AH633" i="24"/>
  <c r="AH630" i="24"/>
  <c r="AH621" i="24"/>
  <c r="AH618" i="24"/>
  <c r="AH471" i="24"/>
  <c r="AH468" i="24"/>
  <c r="AH459" i="24"/>
  <c r="AH370" i="24"/>
  <c r="AH305" i="24"/>
  <c r="AH302" i="24"/>
  <c r="AH293" i="24"/>
  <c r="AH72" i="24"/>
  <c r="AH69" i="24"/>
  <c r="AH26" i="24"/>
  <c r="AH912" i="24"/>
  <c r="AH903" i="24"/>
  <c r="AH710" i="24"/>
  <c r="AH701" i="24"/>
  <c r="AH698" i="24"/>
  <c r="AH523" i="24"/>
  <c r="AH520" i="24"/>
  <c r="AH514" i="24"/>
  <c r="AH511" i="24"/>
  <c r="AH440" i="24"/>
  <c r="AH437" i="24"/>
  <c r="AH431" i="24"/>
  <c r="AH428" i="24"/>
  <c r="AH385" i="24"/>
  <c r="AH382" i="24"/>
  <c r="AH379" i="24"/>
  <c r="AH345" i="24"/>
  <c r="AH342" i="24"/>
  <c r="AH339" i="24"/>
  <c r="AH336" i="24"/>
  <c r="AH277" i="24"/>
  <c r="AH268" i="24"/>
  <c r="AH265" i="24"/>
  <c r="AH234" i="24"/>
  <c r="AH231" i="24"/>
  <c r="AH228" i="24"/>
  <c r="AH225" i="24"/>
  <c r="AH222" i="24"/>
  <c r="AH219" i="24"/>
  <c r="AH158" i="24"/>
  <c r="AH155" i="24"/>
  <c r="AH152" i="24"/>
  <c r="AH87" i="24"/>
  <c r="AH84" i="24"/>
  <c r="AH78" i="24"/>
  <c r="AH75" i="24"/>
  <c r="AH7" i="24"/>
  <c r="AH869" i="24"/>
  <c r="AH802" i="24"/>
  <c r="AH799" i="24"/>
  <c r="AH796" i="24"/>
  <c r="AH409" i="24"/>
  <c r="AH406" i="24"/>
  <c r="AH397" i="24"/>
  <c r="AH394" i="24"/>
  <c r="AH391" i="24"/>
  <c r="AH252" i="24"/>
  <c r="AH243" i="24"/>
  <c r="AH240" i="24"/>
  <c r="AH237" i="24"/>
  <c r="AH136" i="24"/>
  <c r="AH133" i="24"/>
  <c r="AH124" i="24"/>
  <c r="AH41" i="24"/>
  <c r="AH927" i="24"/>
  <c r="AH924" i="24"/>
  <c r="AH921" i="24"/>
  <c r="AH817" i="24"/>
  <c r="AH811" i="24"/>
  <c r="AH808" i="24"/>
  <c r="AH771" i="24"/>
  <c r="AH762" i="24"/>
  <c r="AH759" i="24"/>
  <c r="AH682" i="24"/>
  <c r="AH679" i="24"/>
  <c r="AH498" i="24"/>
  <c r="AH492" i="24"/>
  <c r="AH489" i="24"/>
  <c r="AH363" i="24"/>
  <c r="AH360" i="24"/>
  <c r="AH357" i="24"/>
  <c r="AH354" i="24"/>
  <c r="AH326" i="24"/>
  <c r="AH320" i="24"/>
  <c r="AH173" i="24"/>
  <c r="AH170" i="24"/>
  <c r="AH164" i="24"/>
  <c r="AH111" i="24"/>
  <c r="AH102" i="24"/>
  <c r="AH743" i="24"/>
  <c r="AH734" i="24"/>
  <c r="AH731" i="24"/>
  <c r="AH685" i="24"/>
  <c r="AH666" i="24"/>
  <c r="AH657" i="24"/>
  <c r="AH654" i="24"/>
  <c r="AH632" i="24"/>
  <c r="AH629" i="24"/>
  <c r="AH623" i="24"/>
  <c r="AH620" i="24"/>
  <c r="AH470" i="24"/>
  <c r="AH467" i="24"/>
  <c r="AH461" i="24"/>
  <c r="AH458" i="24"/>
  <c r="AH369" i="24"/>
  <c r="AH304" i="24"/>
  <c r="AH301" i="24"/>
  <c r="AH295" i="24"/>
  <c r="AH292" i="24"/>
  <c r="AH71" i="24"/>
  <c r="AH68" i="24"/>
  <c r="AH911" i="24"/>
  <c r="AH902" i="24"/>
  <c r="AH712" i="24"/>
  <c r="AH709" i="24"/>
  <c r="AH700" i="24"/>
  <c r="AH697" i="24"/>
  <c r="AH522" i="24"/>
  <c r="AH513" i="24"/>
  <c r="AH510" i="24"/>
  <c r="AH439" i="24"/>
  <c r="AH430" i="24"/>
  <c r="AH427" i="24"/>
  <c r="AH387" i="24"/>
  <c r="AH384" i="24"/>
  <c r="AH381" i="24"/>
  <c r="AH378" i="24"/>
  <c r="AH344" i="24"/>
  <c r="AH341" i="24"/>
  <c r="AH338" i="24"/>
  <c r="AH267" i="24"/>
  <c r="AH224" i="24"/>
  <c r="AH221" i="24"/>
  <c r="AH218" i="24"/>
  <c r="AH157" i="24"/>
  <c r="BF51" i="3"/>
  <c r="BF63" i="3"/>
  <c r="BF75" i="3"/>
  <c r="BF87" i="3"/>
  <c r="BF99" i="3"/>
  <c r="BF53" i="3"/>
  <c r="BF65" i="3"/>
  <c r="BF77" i="3"/>
  <c r="BF89" i="3"/>
  <c r="BF101" i="3"/>
  <c r="BF42" i="3"/>
  <c r="BF54" i="3"/>
  <c r="BF66" i="3"/>
  <c r="BF78" i="3"/>
  <c r="BF90" i="3"/>
  <c r="BF102" i="3"/>
  <c r="BF55" i="3"/>
  <c r="BF67" i="3"/>
  <c r="BF79" i="3"/>
  <c r="BF91" i="3"/>
  <c r="BF103" i="3"/>
  <c r="BF44" i="3"/>
  <c r="BF56" i="3"/>
  <c r="BF68" i="3"/>
  <c r="BF80" i="3"/>
  <c r="BF92" i="3"/>
  <c r="BF45" i="3"/>
  <c r="BF57" i="3"/>
  <c r="BF69" i="3"/>
  <c r="BF81" i="3"/>
  <c r="BF93" i="3"/>
  <c r="BF46" i="3"/>
  <c r="BF58" i="3"/>
  <c r="BF70" i="3"/>
  <c r="BF82" i="3"/>
  <c r="BF94" i="3"/>
  <c r="BF47" i="3"/>
  <c r="BF59" i="3"/>
  <c r="BF71" i="3"/>
  <c r="BF83" i="3"/>
  <c r="BF95" i="3"/>
  <c r="BF48" i="3"/>
  <c r="BF60" i="3"/>
  <c r="BF72" i="3"/>
  <c r="BF84" i="3"/>
  <c r="BF96" i="3"/>
  <c r="BF49" i="3"/>
  <c r="BF61" i="3"/>
  <c r="BF73" i="3"/>
  <c r="BF85" i="3"/>
  <c r="BF97" i="3"/>
  <c r="BF38" i="3"/>
  <c r="BF50" i="3"/>
  <c r="BF62" i="3"/>
  <c r="BF74" i="3"/>
  <c r="BF86" i="3"/>
  <c r="BF98" i="3"/>
  <c r="BF52" i="3"/>
  <c r="BF64" i="3"/>
  <c r="BF76" i="3"/>
  <c r="BF88" i="3"/>
  <c r="BF100" i="3"/>
  <c r="N16" i="18"/>
  <c r="N18" i="18"/>
  <c r="N87" i="18"/>
  <c r="L102" i="18"/>
  <c r="AJ918" i="24"/>
  <c r="AJ897" i="24"/>
  <c r="AJ819" i="24"/>
  <c r="AJ804" i="24"/>
  <c r="AJ783" i="24"/>
  <c r="AJ717" i="24"/>
  <c r="AJ693" i="24"/>
  <c r="AJ672" i="24"/>
  <c r="AJ639" i="24"/>
  <c r="AJ633" i="24"/>
  <c r="AJ567" i="24"/>
  <c r="AJ552" i="24"/>
  <c r="AJ534" i="24"/>
  <c r="AJ501" i="24"/>
  <c r="AJ471" i="24"/>
  <c r="AJ447" i="24"/>
  <c r="AJ441" i="24"/>
  <c r="AJ387" i="24"/>
  <c r="AJ363" i="24"/>
  <c r="AJ345" i="24"/>
  <c r="AJ309" i="24"/>
  <c r="AJ285" i="24"/>
  <c r="AJ279" i="24"/>
  <c r="AJ258" i="24"/>
  <c r="AJ234" i="24"/>
  <c r="AJ159" i="24"/>
  <c r="AJ54" i="24"/>
  <c r="AJ36" i="24"/>
  <c r="AJ881" i="24"/>
  <c r="AJ773" i="24"/>
  <c r="AJ749" i="24"/>
  <c r="AJ719" i="24"/>
  <c r="AJ683" i="24"/>
  <c r="AJ674" i="24"/>
  <c r="AJ668" i="24"/>
  <c r="AJ524" i="24"/>
  <c r="AJ500" i="24"/>
  <c r="AJ476" i="24"/>
  <c r="AJ413" i="24"/>
  <c r="AJ377" i="24"/>
  <c r="AJ329" i="24"/>
  <c r="AJ311" i="24"/>
  <c r="AJ305" i="24"/>
  <c r="AJ260" i="24"/>
  <c r="AJ254" i="24"/>
  <c r="AJ173" i="24"/>
  <c r="AJ140" i="24"/>
  <c r="AJ116" i="24"/>
  <c r="AJ92" i="24"/>
  <c r="AJ38" i="24"/>
  <c r="AJ20" i="24"/>
  <c r="AJ916" i="24"/>
  <c r="AJ895" i="24"/>
  <c r="AJ832" i="24"/>
  <c r="AJ823" i="24"/>
  <c r="AJ781" i="24"/>
  <c r="AJ751" i="24"/>
  <c r="AJ745" i="24"/>
  <c r="AJ712" i="24"/>
  <c r="AJ652" i="24"/>
  <c r="AJ637" i="24"/>
  <c r="AJ565" i="24"/>
  <c r="AJ550" i="24"/>
  <c r="AJ532" i="24"/>
  <c r="AJ478" i="24"/>
  <c r="AJ445" i="24"/>
  <c r="AJ415" i="24"/>
  <c r="AJ409" i="24"/>
  <c r="AJ346" i="24"/>
  <c r="AJ328" i="24"/>
  <c r="AJ283" i="24"/>
  <c r="AJ184" i="24"/>
  <c r="AJ160" i="24"/>
  <c r="AJ142" i="24"/>
  <c r="AJ136" i="24"/>
  <c r="AJ118" i="24"/>
  <c r="AJ112" i="24"/>
  <c r="AJ88" i="24"/>
  <c r="R31" i="3"/>
  <c r="BB31" i="3"/>
  <c r="AR31" i="3"/>
  <c r="BF31" i="31" l="1"/>
  <c r="BF40" i="3"/>
  <c r="F37" i="4" l="1"/>
  <c r="E38" i="4"/>
  <c r="F38" i="4"/>
  <c r="E39" i="4"/>
  <c r="F39" i="4"/>
  <c r="Q786" i="24" l="1"/>
  <c r="Q785" i="24"/>
  <c r="Q784" i="24"/>
  <c r="Q783" i="24"/>
  <c r="Q782" i="24"/>
  <c r="Q781" i="24"/>
  <c r="Q780" i="24"/>
  <c r="Q779" i="24"/>
  <c r="Q778" i="24"/>
  <c r="Q777" i="24"/>
  <c r="Q776" i="24"/>
  <c r="Q775" i="24"/>
  <c r="Q774" i="24"/>
  <c r="Q773" i="24"/>
  <c r="Q772" i="24"/>
  <c r="Q771" i="24"/>
  <c r="Q770" i="24"/>
  <c r="Q769" i="24"/>
  <c r="Q768" i="24"/>
  <c r="Q767" i="24"/>
  <c r="Q766" i="24"/>
  <c r="Q765" i="24"/>
  <c r="Q764" i="24"/>
  <c r="Q763" i="24"/>
  <c r="Q762" i="24"/>
  <c r="Q761" i="24"/>
  <c r="Q760" i="24"/>
  <c r="Q759" i="24"/>
  <c r="Q758" i="24"/>
  <c r="Q757" i="24"/>
  <c r="Q756" i="24"/>
  <c r="Q755" i="24"/>
  <c r="Q754" i="24"/>
  <c r="Q753" i="24"/>
  <c r="AD28" i="31" s="1"/>
  <c r="Q752" i="24"/>
  <c r="AB28" i="31" s="1"/>
  <c r="Q751" i="24"/>
  <c r="Q750" i="24"/>
  <c r="Q749" i="24"/>
  <c r="Q748" i="24"/>
  <c r="Q747" i="24"/>
  <c r="Q746" i="24"/>
  <c r="Q745" i="24"/>
  <c r="Q744" i="24"/>
  <c r="AR28" i="31" s="1"/>
  <c r="Q743" i="24"/>
  <c r="Q742" i="24"/>
  <c r="Q741" i="24"/>
  <c r="Q740" i="24"/>
  <c r="Q739" i="24"/>
  <c r="Q738" i="24"/>
  <c r="Q737" i="24"/>
  <c r="Q736" i="24"/>
  <c r="Q735" i="24"/>
  <c r="Q734" i="24"/>
  <c r="Q733" i="24"/>
  <c r="Q732" i="24"/>
  <c r="Q731" i="24"/>
  <c r="Q730" i="24"/>
  <c r="Q729" i="24"/>
  <c r="Q728" i="24"/>
  <c r="Q727" i="24"/>
  <c r="Q726" i="24"/>
  <c r="Q725" i="24"/>
  <c r="Q724" i="24"/>
  <c r="Q723" i="24"/>
  <c r="Q722" i="24"/>
  <c r="Q721" i="24"/>
  <c r="T28" i="31" s="1"/>
  <c r="Q720" i="24"/>
  <c r="R28" i="31" s="1"/>
  <c r="Q719" i="24"/>
  <c r="X28" i="31" s="1"/>
  <c r="Q718" i="24"/>
  <c r="V28" i="31" s="1"/>
  <c r="Q717" i="24"/>
  <c r="Q716" i="24"/>
  <c r="Q715" i="24"/>
  <c r="F28" i="31" s="1"/>
  <c r="Q714" i="24"/>
  <c r="J28" i="31" s="1"/>
  <c r="Q713" i="24"/>
  <c r="H28" i="31" s="1"/>
  <c r="Q712" i="24"/>
  <c r="Q711" i="24"/>
  <c r="Q710" i="24"/>
  <c r="Q709" i="24"/>
  <c r="Q708" i="24"/>
  <c r="Q707" i="24"/>
  <c r="Q706" i="24"/>
  <c r="Q705" i="24"/>
  <c r="Q704" i="24"/>
  <c r="Q703" i="24"/>
  <c r="Q702" i="24"/>
  <c r="Q701" i="24"/>
  <c r="Q700" i="24"/>
  <c r="Q699" i="24"/>
  <c r="Q698" i="24"/>
  <c r="Q697" i="24"/>
  <c r="Q696" i="24"/>
  <c r="Q695" i="24"/>
  <c r="Q694" i="24"/>
  <c r="Q693" i="24"/>
  <c r="Q692" i="24"/>
  <c r="Q691" i="24"/>
  <c r="Q690" i="24"/>
  <c r="Q689" i="24"/>
  <c r="Q688" i="24"/>
  <c r="Q687" i="24"/>
  <c r="Q686" i="24"/>
  <c r="Q685" i="24"/>
  <c r="Q684" i="24"/>
  <c r="Q683" i="24"/>
  <c r="Q682" i="24"/>
  <c r="Q681" i="24"/>
  <c r="Q680" i="24"/>
  <c r="Q679" i="24"/>
  <c r="Q678" i="24"/>
  <c r="Q677" i="24"/>
  <c r="Q676" i="24"/>
  <c r="Q675" i="24"/>
  <c r="Q674" i="24"/>
  <c r="Q673" i="24"/>
  <c r="Q672" i="24"/>
  <c r="Q671" i="24"/>
  <c r="Q670" i="24"/>
  <c r="Q669" i="24"/>
  <c r="Q668" i="24"/>
  <c r="Q667" i="24"/>
  <c r="Q666" i="24"/>
  <c r="Q665" i="24"/>
  <c r="Q664" i="24"/>
  <c r="Q663" i="24"/>
  <c r="Q662" i="24"/>
  <c r="Q661" i="24"/>
  <c r="Q660" i="24"/>
  <c r="Q659" i="24"/>
  <c r="Q658" i="24"/>
  <c r="Q657" i="24"/>
  <c r="Q656" i="24"/>
  <c r="Q655" i="24"/>
  <c r="Q654" i="24"/>
  <c r="Q653" i="24"/>
  <c r="Q652" i="24"/>
  <c r="Q651" i="24"/>
  <c r="Q650" i="24"/>
  <c r="Q649" i="24"/>
  <c r="Q648" i="24"/>
  <c r="Q647" i="24"/>
  <c r="Q646" i="24"/>
  <c r="Q645" i="24"/>
  <c r="Q644" i="24"/>
  <c r="Q643" i="24"/>
  <c r="Q642" i="24"/>
  <c r="Q641" i="24"/>
  <c r="Q640" i="24"/>
  <c r="Q639" i="24"/>
  <c r="Q638" i="24"/>
  <c r="Q637" i="24"/>
  <c r="Q636" i="24"/>
  <c r="Q635" i="24"/>
  <c r="Q634" i="24"/>
  <c r="Q633" i="24"/>
  <c r="X27" i="3" s="1"/>
  <c r="Q632" i="24"/>
  <c r="Q631" i="24"/>
  <c r="Q630" i="24"/>
  <c r="Q629" i="24"/>
  <c r="R27" i="3" s="1"/>
  <c r="Q628" i="24"/>
  <c r="Q627" i="24"/>
  <c r="Q626" i="24"/>
  <c r="Q625" i="24"/>
  <c r="Q624" i="24"/>
  <c r="Q623" i="24"/>
  <c r="Q622" i="24"/>
  <c r="Q621" i="24"/>
  <c r="Q620" i="24"/>
  <c r="Q619" i="24"/>
  <c r="Q618" i="24"/>
  <c r="Q617" i="24"/>
  <c r="Q616" i="24"/>
  <c r="Q615" i="24"/>
  <c r="Q614" i="24"/>
  <c r="Q613" i="24"/>
  <c r="Q612" i="24"/>
  <c r="Q611" i="24"/>
  <c r="Q610" i="24"/>
  <c r="Q609" i="24"/>
  <c r="Q608" i="24"/>
  <c r="Q607" i="24"/>
  <c r="Q606" i="24"/>
  <c r="Q605" i="24"/>
  <c r="Q604" i="24"/>
  <c r="Q603" i="24"/>
  <c r="Q602" i="24"/>
  <c r="Q601" i="24"/>
  <c r="Q600" i="24"/>
  <c r="Q599" i="24"/>
  <c r="Q598" i="24"/>
  <c r="Q597" i="24"/>
  <c r="Q596" i="24"/>
  <c r="Q595" i="24"/>
  <c r="Q594" i="24"/>
  <c r="Q593" i="24"/>
  <c r="Q592" i="24"/>
  <c r="Q591" i="24"/>
  <c r="Q590" i="24"/>
  <c r="Q589" i="24"/>
  <c r="Q588" i="24"/>
  <c r="BB30" i="3" s="1"/>
  <c r="Q587" i="24"/>
  <c r="Q586" i="24"/>
  <c r="Q585" i="24"/>
  <c r="Q584" i="24"/>
  <c r="Q583" i="24"/>
  <c r="Q582" i="24"/>
  <c r="Q581" i="24"/>
  <c r="AP30" i="3" s="1"/>
  <c r="Q580" i="24"/>
  <c r="Q579" i="24"/>
  <c r="Q578" i="24"/>
  <c r="Q577" i="24"/>
  <c r="Q576" i="24"/>
  <c r="Q575" i="24"/>
  <c r="Q574" i="24"/>
  <c r="Q573" i="24"/>
  <c r="Q572" i="24"/>
  <c r="AR30" i="3" s="1"/>
  <c r="Q571" i="24"/>
  <c r="Q570" i="24"/>
  <c r="Q569" i="24"/>
  <c r="Q568" i="24"/>
  <c r="Q567" i="24"/>
  <c r="Q566" i="24"/>
  <c r="Q565" i="24"/>
  <c r="Q564" i="24"/>
  <c r="Q563" i="24"/>
  <c r="Q562" i="24"/>
  <c r="H30" i="3" s="1"/>
  <c r="Q561" i="24"/>
  <c r="Q560" i="24"/>
  <c r="Q559" i="24"/>
  <c r="Q558" i="24"/>
  <c r="Q557" i="24"/>
  <c r="Q556" i="24"/>
  <c r="Q555" i="24"/>
  <c r="Q554" i="24"/>
  <c r="Q553" i="24"/>
  <c r="Q552" i="24"/>
  <c r="Q551" i="24"/>
  <c r="Q550" i="24"/>
  <c r="Q549" i="24"/>
  <c r="Q548" i="24"/>
  <c r="Q547" i="24"/>
  <c r="Q546" i="24"/>
  <c r="F30" i="3" s="1"/>
  <c r="Q545" i="24"/>
  <c r="Q544" i="24"/>
  <c r="Q543" i="24"/>
  <c r="Q542" i="24"/>
  <c r="Q541" i="24"/>
  <c r="Q540" i="24"/>
  <c r="AR27" i="31" s="1"/>
  <c r="Q539" i="24"/>
  <c r="Q538" i="24"/>
  <c r="Q537" i="24"/>
  <c r="Q536" i="24"/>
  <c r="Q535" i="24"/>
  <c r="Q534" i="24"/>
  <c r="Q533" i="24"/>
  <c r="Q532" i="24"/>
  <c r="Q531" i="24"/>
  <c r="Q530" i="24"/>
  <c r="Q529" i="24"/>
  <c r="Q528" i="24"/>
  <c r="Q527" i="24"/>
  <c r="Q526" i="24"/>
  <c r="Q525" i="24"/>
  <c r="Q524" i="24"/>
  <c r="Q523" i="24"/>
  <c r="R27" i="31" s="1"/>
  <c r="Q522" i="24"/>
  <c r="X27" i="31" s="1"/>
  <c r="Q521" i="24"/>
  <c r="V27" i="31" s="1"/>
  <c r="Q520" i="24"/>
  <c r="Q519" i="24"/>
  <c r="Q518" i="24"/>
  <c r="Q517" i="24"/>
  <c r="Q516" i="24"/>
  <c r="H27" i="31" s="1"/>
  <c r="Q515" i="24"/>
  <c r="Q514" i="24"/>
  <c r="Q513" i="24"/>
  <c r="Q512" i="24"/>
  <c r="Q511" i="24"/>
  <c r="Q510" i="24"/>
  <c r="Q509" i="24"/>
  <c r="Q508" i="24"/>
  <c r="Q507" i="24"/>
  <c r="Q506" i="24"/>
  <c r="Q505" i="24"/>
  <c r="Q504" i="24"/>
  <c r="Q503" i="24"/>
  <c r="Q502" i="24"/>
  <c r="Q501" i="24"/>
  <c r="Q500" i="24"/>
  <c r="Q499" i="24"/>
  <c r="Q498" i="24"/>
  <c r="Q497" i="24"/>
  <c r="Q496" i="24"/>
  <c r="Q495" i="24"/>
  <c r="Q494" i="24"/>
  <c r="Q493" i="24"/>
  <c r="Q492" i="24"/>
  <c r="Q491" i="24"/>
  <c r="Q490" i="24"/>
  <c r="Q489" i="24"/>
  <c r="Q488" i="24"/>
  <c r="Q487" i="24"/>
  <c r="Q486" i="24"/>
  <c r="Q485" i="24"/>
  <c r="Q484" i="24"/>
  <c r="Q483" i="24"/>
  <c r="Q482" i="24"/>
  <c r="Q481" i="24"/>
  <c r="Q480" i="24"/>
  <c r="Q479" i="24"/>
  <c r="Q478" i="24"/>
  <c r="Q477" i="24"/>
  <c r="Q476" i="24"/>
  <c r="Q475" i="24"/>
  <c r="Q474" i="24"/>
  <c r="Q473" i="24"/>
  <c r="Q472" i="24"/>
  <c r="Q471" i="24"/>
  <c r="Q470" i="24"/>
  <c r="Q469" i="24"/>
  <c r="Q468" i="24"/>
  <c r="Q467" i="24"/>
  <c r="Q466" i="24"/>
  <c r="R26" i="31" s="1"/>
  <c r="Q465" i="24"/>
  <c r="Q464" i="24"/>
  <c r="Q463" i="24"/>
  <c r="Q462" i="24"/>
  <c r="Q461" i="24"/>
  <c r="F26" i="31" s="1"/>
  <c r="Q460" i="24"/>
  <c r="Q459" i="24"/>
  <c r="Q458" i="24"/>
  <c r="Q457" i="24"/>
  <c r="Q456" i="24"/>
  <c r="Q455" i="24"/>
  <c r="Q454" i="24"/>
  <c r="Q453" i="24"/>
  <c r="Q452" i="24"/>
  <c r="Q451" i="24"/>
  <c r="Q450" i="24"/>
  <c r="Q449" i="24"/>
  <c r="Q448" i="24"/>
  <c r="Q447" i="24"/>
  <c r="Q446" i="24"/>
  <c r="Q445" i="24"/>
  <c r="Q444" i="24"/>
  <c r="Q443" i="24"/>
  <c r="Q442" i="24"/>
  <c r="Q441" i="24"/>
  <c r="Q440" i="24"/>
  <c r="Q439" i="24"/>
  <c r="Q438" i="24"/>
  <c r="Q437" i="24"/>
  <c r="Q436" i="24"/>
  <c r="Q435" i="24"/>
  <c r="Q434" i="24"/>
  <c r="Q433" i="24"/>
  <c r="Q432" i="24"/>
  <c r="Q431" i="24"/>
  <c r="Q430" i="24"/>
  <c r="Q429" i="24"/>
  <c r="Q428" i="24"/>
  <c r="Q427" i="24"/>
  <c r="Q426" i="24"/>
  <c r="Q425" i="24"/>
  <c r="Q424" i="24"/>
  <c r="Q423" i="24"/>
  <c r="Q422" i="24"/>
  <c r="Q421" i="24"/>
  <c r="Q420" i="24"/>
  <c r="Q419" i="24"/>
  <c r="Q418" i="24"/>
  <c r="Q417" i="24"/>
  <c r="Q416" i="24"/>
  <c r="Q415" i="24"/>
  <c r="Q414" i="24"/>
  <c r="Q413" i="24"/>
  <c r="Q412" i="24"/>
  <c r="Q411" i="24"/>
  <c r="Q410" i="24"/>
  <c r="Q409" i="24"/>
  <c r="Q408" i="24"/>
  <c r="Q407" i="24"/>
  <c r="Q406" i="24"/>
  <c r="Q405" i="24"/>
  <c r="Q404" i="24"/>
  <c r="Q403" i="24"/>
  <c r="Q402" i="24"/>
  <c r="Q401" i="24"/>
  <c r="E25" i="31" s="1"/>
  <c r="BF25" i="31" s="1"/>
  <c r="Q400" i="24"/>
  <c r="Q399" i="24"/>
  <c r="Q398" i="24"/>
  <c r="Q397" i="24"/>
  <c r="Q396" i="24"/>
  <c r="Q395" i="24"/>
  <c r="Q394" i="24"/>
  <c r="Q393" i="24"/>
  <c r="Q392" i="24"/>
  <c r="Q391" i="24"/>
  <c r="Q390" i="24"/>
  <c r="Q389" i="24"/>
  <c r="Q388" i="24"/>
  <c r="Q387" i="24"/>
  <c r="Q386" i="24"/>
  <c r="Q385" i="24"/>
  <c r="Q384" i="24"/>
  <c r="Q383" i="24"/>
  <c r="Q382" i="24"/>
  <c r="Q381" i="24"/>
  <c r="Q380" i="24"/>
  <c r="Q379" i="24"/>
  <c r="Q378" i="24"/>
  <c r="Q377" i="24"/>
  <c r="Q376" i="24"/>
  <c r="Q375" i="24"/>
  <c r="Q374" i="24"/>
  <c r="Q373" i="24"/>
  <c r="Q372" i="24"/>
  <c r="Q371" i="24"/>
  <c r="Q370" i="24"/>
  <c r="Q369" i="24"/>
  <c r="Q368" i="24"/>
  <c r="Q367" i="24"/>
  <c r="Q366" i="24"/>
  <c r="Q365" i="24"/>
  <c r="Q364" i="24"/>
  <c r="Q363" i="24"/>
  <c r="Q362" i="24"/>
  <c r="Q361" i="24"/>
  <c r="Q360" i="24"/>
  <c r="Q359" i="24"/>
  <c r="Q358" i="24"/>
  <c r="Q357" i="24"/>
  <c r="Q356" i="24"/>
  <c r="Q355" i="24"/>
  <c r="Q354" i="24"/>
  <c r="Q353" i="24"/>
  <c r="Q352" i="24"/>
  <c r="Q351" i="24"/>
  <c r="Q350" i="24"/>
  <c r="Q349" i="24"/>
  <c r="Q348" i="24"/>
  <c r="Q347" i="24"/>
  <c r="Q346" i="24"/>
  <c r="Q345" i="24"/>
  <c r="Q344" i="24"/>
  <c r="Q343" i="24"/>
  <c r="Q342" i="24"/>
  <c r="Q341" i="24"/>
  <c r="Q340" i="24"/>
  <c r="Q339" i="24"/>
  <c r="Q338" i="24"/>
  <c r="Q337" i="24"/>
  <c r="Q336" i="24"/>
  <c r="Q335" i="24"/>
  <c r="Q334" i="24"/>
  <c r="Q333" i="24"/>
  <c r="Q332" i="24"/>
  <c r="Q331" i="24"/>
  <c r="Q330" i="24"/>
  <c r="Q329" i="24"/>
  <c r="Q328" i="24"/>
  <c r="Q327" i="24"/>
  <c r="Q326" i="24"/>
  <c r="Q325" i="24"/>
  <c r="Q324" i="24"/>
  <c r="Q323" i="24"/>
  <c r="Q322" i="24"/>
  <c r="Q321" i="24"/>
  <c r="Q320" i="24"/>
  <c r="Q319" i="24"/>
  <c r="Q318" i="24"/>
  <c r="Q317" i="24"/>
  <c r="Q316" i="24"/>
  <c r="Q315" i="24"/>
  <c r="Q314" i="24"/>
  <c r="Q313" i="24"/>
  <c r="Q312" i="24"/>
  <c r="Q311" i="24"/>
  <c r="Q310" i="24"/>
  <c r="Q309" i="24"/>
  <c r="Q308" i="24"/>
  <c r="Q307" i="24"/>
  <c r="Q306" i="24"/>
  <c r="Q305" i="24"/>
  <c r="Q304" i="24"/>
  <c r="Q303" i="24"/>
  <c r="Q302" i="24"/>
  <c r="Q301" i="24"/>
  <c r="Q300" i="24"/>
  <c r="Q299" i="24"/>
  <c r="Q298" i="24"/>
  <c r="Q297" i="24"/>
  <c r="Q296" i="24"/>
  <c r="Q295" i="24"/>
  <c r="Q294" i="24"/>
  <c r="Q293" i="24"/>
  <c r="Q292" i="24"/>
  <c r="Q291" i="24"/>
  <c r="Q290" i="24"/>
  <c r="Q289" i="24"/>
  <c r="Q288" i="24"/>
  <c r="Q287" i="24"/>
  <c r="Q286" i="24"/>
  <c r="Q285" i="24"/>
  <c r="Q284" i="24"/>
  <c r="Q283" i="24"/>
  <c r="Q282" i="24"/>
  <c r="Q281" i="24"/>
  <c r="Q280" i="24"/>
  <c r="Q279" i="24"/>
  <c r="Q278" i="24"/>
  <c r="Q277" i="24"/>
  <c r="Q276" i="24"/>
  <c r="Q275" i="24"/>
  <c r="Q274" i="24"/>
  <c r="Q273" i="24"/>
  <c r="Q272" i="24"/>
  <c r="Q271" i="24"/>
  <c r="Q270" i="24"/>
  <c r="Q269" i="24"/>
  <c r="Q268" i="24"/>
  <c r="Q267" i="24"/>
  <c r="Q266" i="24"/>
  <c r="Q265" i="24"/>
  <c r="Q264" i="24"/>
  <c r="Q263" i="24"/>
  <c r="Q262" i="24"/>
  <c r="Q261" i="24"/>
  <c r="Q260" i="24"/>
  <c r="Q259" i="24"/>
  <c r="Q258" i="24"/>
  <c r="Q257" i="24"/>
  <c r="Q256" i="24"/>
  <c r="Q255" i="24"/>
  <c r="Q254" i="24"/>
  <c r="Q253" i="24"/>
  <c r="Q252" i="24"/>
  <c r="Q251" i="24"/>
  <c r="Q250" i="24"/>
  <c r="Q249" i="24"/>
  <c r="Q248" i="24"/>
  <c r="Q247" i="24"/>
  <c r="Q246" i="24"/>
  <c r="Q245" i="24"/>
  <c r="Q244" i="24"/>
  <c r="Q243" i="24"/>
  <c r="Q242" i="24"/>
  <c r="Q241" i="24"/>
  <c r="Q240" i="24"/>
  <c r="Q239" i="24"/>
  <c r="Q238" i="24"/>
  <c r="Q237" i="24"/>
  <c r="Q236" i="24"/>
  <c r="Q235" i="24"/>
  <c r="Q234" i="24"/>
  <c r="Q233" i="24"/>
  <c r="Q232" i="24"/>
  <c r="Q231" i="24"/>
  <c r="Q230" i="24"/>
  <c r="Q229" i="24"/>
  <c r="Q228" i="24"/>
  <c r="Q227" i="24"/>
  <c r="Q226" i="24"/>
  <c r="Q225" i="24"/>
  <c r="Q224" i="24"/>
  <c r="Q223" i="24"/>
  <c r="Q222" i="24"/>
  <c r="Q221" i="24"/>
  <c r="Q220" i="24"/>
  <c r="Q219" i="24"/>
  <c r="Q218" i="24"/>
  <c r="Q217" i="24"/>
  <c r="Q216" i="24"/>
  <c r="Q215" i="24"/>
  <c r="Q214" i="24"/>
  <c r="Q213" i="24"/>
  <c r="Q212" i="24"/>
  <c r="Q211" i="24"/>
  <c r="BB24" i="31" s="1"/>
  <c r="Q210" i="24"/>
  <c r="Q209" i="24"/>
  <c r="Q208" i="24"/>
  <c r="Q207" i="24"/>
  <c r="Q206" i="24"/>
  <c r="Q205" i="24"/>
  <c r="Q204" i="24"/>
  <c r="Q203" i="24"/>
  <c r="Q202" i="24"/>
  <c r="Q201" i="24"/>
  <c r="Q200" i="24"/>
  <c r="Q199" i="24"/>
  <c r="Q198" i="24"/>
  <c r="Q197" i="24"/>
  <c r="Q196" i="24"/>
  <c r="Q195" i="24"/>
  <c r="Q194" i="24"/>
  <c r="Q193" i="24"/>
  <c r="Q192" i="24"/>
  <c r="Q191" i="24"/>
  <c r="Q190" i="24"/>
  <c r="Q189" i="24"/>
  <c r="Q188" i="24"/>
  <c r="Q187" i="24"/>
  <c r="Q186" i="24"/>
  <c r="Q185" i="24"/>
  <c r="Q184" i="24"/>
  <c r="Q183" i="24"/>
  <c r="Q182" i="24"/>
  <c r="Q181" i="24"/>
  <c r="Q180" i="24"/>
  <c r="Q179" i="24"/>
  <c r="Q178" i="24"/>
  <c r="Q177" i="24"/>
  <c r="Q176" i="24"/>
  <c r="Q175" i="24"/>
  <c r="Q174" i="24"/>
  <c r="Q173" i="24"/>
  <c r="Q172" i="24"/>
  <c r="Q171" i="24"/>
  <c r="Q170" i="24"/>
  <c r="Q169" i="24"/>
  <c r="Q168" i="24"/>
  <c r="Q167" i="24"/>
  <c r="Q166" i="24"/>
  <c r="Q165" i="24"/>
  <c r="Q164" i="24"/>
  <c r="Q163" i="24"/>
  <c r="Q162" i="24"/>
  <c r="Q161" i="24"/>
  <c r="Q160" i="24"/>
  <c r="Q159" i="24"/>
  <c r="Q158" i="24"/>
  <c r="Q157" i="24"/>
  <c r="Q156" i="24"/>
  <c r="Q155" i="24"/>
  <c r="Q154" i="24"/>
  <c r="Q153" i="24"/>
  <c r="Q152" i="24"/>
  <c r="Q151" i="24"/>
  <c r="Q150" i="24"/>
  <c r="Q149" i="24"/>
  <c r="E30" i="3" s="1"/>
  <c r="Q148" i="24"/>
  <c r="Q147" i="24"/>
  <c r="Q146" i="24"/>
  <c r="Q145" i="24"/>
  <c r="Q144" i="24"/>
  <c r="Q143" i="24"/>
  <c r="Q142" i="24"/>
  <c r="Q141" i="24"/>
  <c r="Q140" i="24"/>
  <c r="Q139" i="24"/>
  <c r="Q138" i="24"/>
  <c r="Q137" i="24"/>
  <c r="Q136" i="24"/>
  <c r="Q135" i="24"/>
  <c r="Q134" i="24"/>
  <c r="Q133" i="24"/>
  <c r="Q132" i="24"/>
  <c r="Q131" i="24"/>
  <c r="Q130" i="24"/>
  <c r="Q129" i="24"/>
  <c r="Q128" i="24"/>
  <c r="Q127" i="24"/>
  <c r="Q126" i="24"/>
  <c r="Q125" i="24"/>
  <c r="Q124" i="24"/>
  <c r="Q123" i="24"/>
  <c r="Q122" i="24"/>
  <c r="Q121" i="24"/>
  <c r="Q120" i="24"/>
  <c r="Q119" i="24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3" i="24"/>
  <c r="Q92" i="24"/>
  <c r="Q91" i="24"/>
  <c r="Q90" i="24"/>
  <c r="Q89" i="24"/>
  <c r="Q88" i="24"/>
  <c r="Q87" i="24"/>
  <c r="Q86" i="24"/>
  <c r="Q85" i="24"/>
  <c r="Q84" i="24"/>
  <c r="Q83" i="24"/>
  <c r="Q82" i="24"/>
  <c r="Q81" i="24"/>
  <c r="Q80" i="24"/>
  <c r="Q79" i="24"/>
  <c r="Q78" i="24"/>
  <c r="Q77" i="24"/>
  <c r="Q76" i="24"/>
  <c r="Q75" i="24"/>
  <c r="Q74" i="24"/>
  <c r="Q73" i="24"/>
  <c r="X22" i="3" s="1"/>
  <c r="Q72" i="24"/>
  <c r="Q71" i="24"/>
  <c r="Q70" i="24"/>
  <c r="Q69" i="24"/>
  <c r="Q68" i="24"/>
  <c r="Q67" i="24"/>
  <c r="Q66" i="24"/>
  <c r="Q65" i="24"/>
  <c r="Q64" i="24"/>
  <c r="Q63" i="24"/>
  <c r="Q62" i="24"/>
  <c r="Q61" i="24"/>
  <c r="Q60" i="24"/>
  <c r="Q59" i="24"/>
  <c r="Q58" i="24"/>
  <c r="Q57" i="24"/>
  <c r="Q56" i="24"/>
  <c r="Q55" i="24"/>
  <c r="Q54" i="24"/>
  <c r="Q53" i="24"/>
  <c r="E24" i="3" s="1"/>
  <c r="Q52" i="24"/>
  <c r="Q51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Q32" i="24"/>
  <c r="Q31" i="24"/>
  <c r="Q30" i="24"/>
  <c r="Q29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BF105" i="3" s="1"/>
  <c r="Q16" i="24"/>
  <c r="Q15" i="24"/>
  <c r="F23" i="31" s="1"/>
  <c r="Q14" i="24"/>
  <c r="Q13" i="24"/>
  <c r="Q12" i="24"/>
  <c r="Q11" i="24"/>
  <c r="Q10" i="24"/>
  <c r="Q9" i="24"/>
  <c r="Q8" i="24"/>
  <c r="Q7" i="24"/>
  <c r="T27" i="31" l="1"/>
  <c r="J27" i="31"/>
  <c r="X26" i="31"/>
  <c r="V26" i="31"/>
  <c r="F27" i="31"/>
  <c r="H26" i="31"/>
  <c r="J26" i="31"/>
  <c r="E22" i="3"/>
  <c r="E21" i="3"/>
  <c r="E20" i="3"/>
  <c r="E29" i="3"/>
  <c r="E34" i="3"/>
  <c r="BF34" i="3" s="1"/>
  <c r="E27" i="3"/>
  <c r="E25" i="3"/>
  <c r="E35" i="3"/>
  <c r="E26" i="3"/>
  <c r="E31" i="3"/>
  <c r="E23" i="3"/>
  <c r="AR108" i="31"/>
  <c r="AR24" i="31"/>
  <c r="AP108" i="31"/>
  <c r="AP24" i="31"/>
  <c r="AB108" i="31"/>
  <c r="AB24" i="31"/>
  <c r="AB107" i="31" s="1"/>
  <c r="AD105" i="3"/>
  <c r="AD108" i="31"/>
  <c r="AD24" i="31"/>
  <c r="AD107" i="31" s="1"/>
  <c r="Z105" i="3"/>
  <c r="Z108" i="31"/>
  <c r="Z24" i="31"/>
  <c r="AP27" i="31"/>
  <c r="AP28" i="31"/>
  <c r="Z28" i="31"/>
  <c r="BB108" i="31"/>
  <c r="BB28" i="31"/>
  <c r="BB107" i="31" s="1"/>
  <c r="E28" i="31"/>
  <c r="E108" i="31"/>
  <c r="E24" i="31"/>
  <c r="AR105" i="3"/>
  <c r="H105" i="3"/>
  <c r="H24" i="31"/>
  <c r="H108" i="31"/>
  <c r="J24" i="31"/>
  <c r="J108" i="31"/>
  <c r="F108" i="31"/>
  <c r="F24" i="31"/>
  <c r="T26" i="31"/>
  <c r="E27" i="31"/>
  <c r="X24" i="31"/>
  <c r="X107" i="31" s="1"/>
  <c r="X108" i="31"/>
  <c r="BB105" i="3"/>
  <c r="V24" i="31"/>
  <c r="V107" i="31" s="1"/>
  <c r="V108" i="31"/>
  <c r="E26" i="31"/>
  <c r="R108" i="31"/>
  <c r="R24" i="31"/>
  <c r="R107" i="31" s="1"/>
  <c r="T105" i="3"/>
  <c r="T108" i="31"/>
  <c r="T24" i="31"/>
  <c r="AP105" i="3"/>
  <c r="J105" i="3"/>
  <c r="F105" i="3"/>
  <c r="V105" i="3"/>
  <c r="X105" i="3"/>
  <c r="AB105" i="3"/>
  <c r="R105" i="3"/>
  <c r="AB25" i="3"/>
  <c r="AR39" i="3"/>
  <c r="AD25" i="3"/>
  <c r="AR41" i="3"/>
  <c r="V37" i="3"/>
  <c r="Z25" i="3"/>
  <c r="J39" i="3"/>
  <c r="H32" i="3"/>
  <c r="H41" i="3"/>
  <c r="T25" i="3"/>
  <c r="AR32" i="3"/>
  <c r="AR33" i="3"/>
  <c r="J32" i="3"/>
  <c r="J41" i="3"/>
  <c r="BF32" i="31"/>
  <c r="F31" i="3"/>
  <c r="H39" i="3"/>
  <c r="AP31" i="3"/>
  <c r="H43" i="3"/>
  <c r="H31" i="3"/>
  <c r="J43" i="3"/>
  <c r="J31" i="3"/>
  <c r="X37" i="3"/>
  <c r="Q2011" i="24"/>
  <c r="BB39" i="3"/>
  <c r="BB41" i="3"/>
  <c r="V33" i="3"/>
  <c r="X33" i="3"/>
  <c r="R33" i="3"/>
  <c r="AP32" i="3"/>
  <c r="F32" i="3"/>
  <c r="AP33" i="3"/>
  <c r="BB33" i="3"/>
  <c r="BB36" i="3"/>
  <c r="BB23" i="3"/>
  <c r="AR36" i="3"/>
  <c r="AR23" i="3"/>
  <c r="AP37" i="3"/>
  <c r="BB37" i="3"/>
  <c r="V22" i="3"/>
  <c r="AR37" i="3"/>
  <c r="AP39" i="3"/>
  <c r="F39" i="3"/>
  <c r="AP41" i="3"/>
  <c r="F41" i="3"/>
  <c r="F43" i="3"/>
  <c r="H33" i="3"/>
  <c r="J33" i="3"/>
  <c r="F33" i="3"/>
  <c r="AB33" i="3"/>
  <c r="AB21" i="3"/>
  <c r="AD33" i="3"/>
  <c r="AD21" i="3"/>
  <c r="Z33" i="3"/>
  <c r="Z21" i="3"/>
  <c r="T35" i="3"/>
  <c r="H36" i="3"/>
  <c r="J36" i="3"/>
  <c r="F36" i="3"/>
  <c r="V36" i="3"/>
  <c r="V23" i="3"/>
  <c r="X36" i="3"/>
  <c r="X23" i="3"/>
  <c r="R36" i="3"/>
  <c r="R23" i="3"/>
  <c r="V35" i="3"/>
  <c r="F35" i="3"/>
  <c r="Z28" i="3"/>
  <c r="H37" i="3"/>
  <c r="Z35" i="3"/>
  <c r="J37" i="3"/>
  <c r="F37" i="3"/>
  <c r="R37" i="3"/>
  <c r="AB37" i="3"/>
  <c r="AB24" i="3"/>
  <c r="AD37" i="3"/>
  <c r="AD24" i="3"/>
  <c r="Z37" i="3"/>
  <c r="Z24" i="3"/>
  <c r="AP36" i="3"/>
  <c r="AP23" i="3"/>
  <c r="T33" i="3"/>
  <c r="T21" i="3"/>
  <c r="T36" i="3"/>
  <c r="T23" i="3"/>
  <c r="T37" i="3"/>
  <c r="T24" i="3"/>
  <c r="X35" i="3"/>
  <c r="BB35" i="3"/>
  <c r="AP22" i="3"/>
  <c r="AR35" i="3"/>
  <c r="H35" i="3"/>
  <c r="R35" i="3"/>
  <c r="J30" i="3"/>
  <c r="BF30" i="3" s="1"/>
  <c r="H27" i="3"/>
  <c r="AP27" i="3"/>
  <c r="AR22" i="3"/>
  <c r="F22" i="3"/>
  <c r="AP35" i="3"/>
  <c r="BB27" i="3"/>
  <c r="J35" i="3"/>
  <c r="V27" i="3"/>
  <c r="H22" i="3"/>
  <c r="AR25" i="3"/>
  <c r="J22" i="3"/>
  <c r="J27" i="3"/>
  <c r="F27" i="3"/>
  <c r="R22" i="3"/>
  <c r="BB22" i="3"/>
  <c r="AR27" i="3"/>
  <c r="AP25" i="3"/>
  <c r="AP21" i="3"/>
  <c r="AP28" i="3"/>
  <c r="AP24" i="3"/>
  <c r="AP20" i="3"/>
  <c r="AP26" i="3"/>
  <c r="H20" i="3"/>
  <c r="J20" i="3"/>
  <c r="R20" i="3"/>
  <c r="AR20" i="3"/>
  <c r="F29" i="3"/>
  <c r="AR29" i="3"/>
  <c r="BB29" i="3"/>
  <c r="R21" i="3"/>
  <c r="H23" i="3"/>
  <c r="H25" i="3"/>
  <c r="J25" i="3"/>
  <c r="R25" i="3"/>
  <c r="V25" i="3"/>
  <c r="X25" i="3"/>
  <c r="BB25" i="3"/>
  <c r="R28" i="3"/>
  <c r="X28" i="3"/>
  <c r="V29" i="3"/>
  <c r="Z29" i="3"/>
  <c r="BB20" i="3"/>
  <c r="J23" i="3"/>
  <c r="V28" i="3"/>
  <c r="H24" i="3"/>
  <c r="AR21" i="3"/>
  <c r="V21" i="3"/>
  <c r="X26" i="3"/>
  <c r="X29" i="3"/>
  <c r="F26" i="3"/>
  <c r="F25" i="3"/>
  <c r="F20" i="3"/>
  <c r="AR24" i="3"/>
  <c r="BB26" i="3"/>
  <c r="F28" i="3"/>
  <c r="X24" i="3"/>
  <c r="BB24" i="3"/>
  <c r="F24" i="3"/>
  <c r="H26" i="3"/>
  <c r="H21" i="3"/>
  <c r="J26" i="3"/>
  <c r="H28" i="3"/>
  <c r="J21" i="3"/>
  <c r="R26" i="3"/>
  <c r="J28" i="3"/>
  <c r="R29" i="3"/>
  <c r="X21" i="3"/>
  <c r="J24" i="3"/>
  <c r="F21" i="3"/>
  <c r="BB21" i="3"/>
  <c r="F23" i="3"/>
  <c r="R24" i="3"/>
  <c r="V26" i="3"/>
  <c r="AR28" i="3"/>
  <c r="BB28" i="3"/>
  <c r="V24" i="3"/>
  <c r="H29" i="3"/>
  <c r="AR26" i="3"/>
  <c r="J29" i="3"/>
  <c r="BE104" i="3"/>
  <c r="BE106" i="3" s="1"/>
  <c r="BC104" i="3"/>
  <c r="BC106" i="3" s="1"/>
  <c r="BA104" i="3"/>
  <c r="BA106" i="3" s="1"/>
  <c r="AY104" i="3"/>
  <c r="AY106" i="3" s="1"/>
  <c r="AW104" i="3"/>
  <c r="AW106" i="3" s="1"/>
  <c r="AU104" i="3"/>
  <c r="AU106" i="3" s="1"/>
  <c r="AS104" i="3"/>
  <c r="AS106" i="3" s="1"/>
  <c r="AO104" i="3"/>
  <c r="AO106" i="3" s="1"/>
  <c r="AM104" i="3"/>
  <c r="AM106" i="3" s="1"/>
  <c r="AK104" i="3"/>
  <c r="AK106" i="3" s="1"/>
  <c r="AI104" i="3"/>
  <c r="AI106" i="3" s="1"/>
  <c r="AG104" i="3"/>
  <c r="AG106" i="3" s="1"/>
  <c r="AE104" i="3"/>
  <c r="AE106" i="3" s="1"/>
  <c r="AC104" i="3"/>
  <c r="AC106" i="3" s="1"/>
  <c r="AA104" i="3"/>
  <c r="AA106" i="3" s="1"/>
  <c r="Y104" i="3"/>
  <c r="Y106" i="3" s="1"/>
  <c r="W104" i="3"/>
  <c r="W106" i="3" s="1"/>
  <c r="U104" i="3"/>
  <c r="U106" i="3" s="1"/>
  <c r="S104" i="3"/>
  <c r="S106" i="3" s="1"/>
  <c r="Q104" i="3"/>
  <c r="Q106" i="3" s="1"/>
  <c r="O104" i="3"/>
  <c r="O106" i="3" s="1"/>
  <c r="M104" i="3"/>
  <c r="M106" i="3" s="1"/>
  <c r="K104" i="3"/>
  <c r="K106" i="3" s="1"/>
  <c r="X109" i="31" l="1"/>
  <c r="AB109" i="31"/>
  <c r="E104" i="3"/>
  <c r="AD109" i="31"/>
  <c r="Z107" i="31"/>
  <c r="Z109" i="31" s="1"/>
  <c r="BB109" i="31"/>
  <c r="V109" i="31"/>
  <c r="R109" i="31"/>
  <c r="E107" i="31"/>
  <c r="E109" i="31" s="1"/>
  <c r="BF26" i="31"/>
  <c r="T107" i="31"/>
  <c r="T109" i="31" s="1"/>
  <c r="AP107" i="31"/>
  <c r="AP109" i="31" s="1"/>
  <c r="BF30" i="31"/>
  <c r="BF28" i="31"/>
  <c r="BF32" i="3"/>
  <c r="J107" i="31"/>
  <c r="J109" i="31" s="1"/>
  <c r="BF27" i="31"/>
  <c r="AR107" i="31"/>
  <c r="AR109" i="31" s="1"/>
  <c r="H107" i="31"/>
  <c r="H109" i="31" s="1"/>
  <c r="BF23" i="31"/>
  <c r="BF34" i="31"/>
  <c r="BF24" i="31"/>
  <c r="F107" i="31"/>
  <c r="F109" i="31" s="1"/>
  <c r="BF31" i="3"/>
  <c r="BF41" i="3"/>
  <c r="BF39" i="3"/>
  <c r="AP43" i="3"/>
  <c r="BF43" i="3" s="1"/>
  <c r="AP29" i="3"/>
  <c r="BF29" i="3" s="1"/>
  <c r="BF37" i="3"/>
  <c r="BF36" i="3"/>
  <c r="BF33" i="3"/>
  <c r="BF27" i="3"/>
  <c r="BF35" i="3"/>
  <c r="BF22" i="3"/>
  <c r="BF21" i="3"/>
  <c r="BF28" i="3"/>
  <c r="BF20" i="3"/>
  <c r="BF25" i="3"/>
  <c r="BF23" i="3"/>
  <c r="BF26" i="3"/>
  <c r="BF24" i="3"/>
  <c r="BD104" i="3"/>
  <c r="BD106" i="3" s="1"/>
  <c r="AV104" i="3"/>
  <c r="AV106" i="3" s="1"/>
  <c r="AH104" i="3"/>
  <c r="AH106" i="3" s="1"/>
  <c r="Z104" i="3"/>
  <c r="Z106" i="3" s="1"/>
  <c r="R104" i="3"/>
  <c r="R106" i="3" s="1"/>
  <c r="H104" i="3"/>
  <c r="H106" i="3" s="1"/>
  <c r="AF104" i="3"/>
  <c r="AF106" i="3" s="1"/>
  <c r="BB104" i="3"/>
  <c r="BB106" i="3" s="1"/>
  <c r="J104" i="3"/>
  <c r="J106" i="3" s="1"/>
  <c r="L104" i="3"/>
  <c r="L106" i="3" s="1"/>
  <c r="AJ104" i="3"/>
  <c r="AJ106" i="3" s="1"/>
  <c r="N104" i="3"/>
  <c r="N106" i="3" s="1"/>
  <c r="AL104" i="3"/>
  <c r="AL106" i="3" s="1"/>
  <c r="P104" i="3"/>
  <c r="P106" i="3" s="1"/>
  <c r="AN104" i="3"/>
  <c r="AN106" i="3" s="1"/>
  <c r="T104" i="3"/>
  <c r="T106" i="3" s="1"/>
  <c r="V104" i="3"/>
  <c r="V106" i="3" s="1"/>
  <c r="AR104" i="3"/>
  <c r="AR106" i="3" s="1"/>
  <c r="X104" i="3"/>
  <c r="X106" i="3" s="1"/>
  <c r="AT104" i="3"/>
  <c r="AT106" i="3" s="1"/>
  <c r="AB104" i="3"/>
  <c r="AB106" i="3" s="1"/>
  <c r="AX104" i="3"/>
  <c r="AX106" i="3" s="1"/>
  <c r="AD104" i="3"/>
  <c r="AD106" i="3" s="1"/>
  <c r="AZ104" i="3"/>
  <c r="AZ106" i="3" s="1"/>
  <c r="F104" i="3"/>
  <c r="F106" i="3" s="1"/>
  <c r="BF107" i="31" l="1"/>
  <c r="BF109" i="31" s="1"/>
  <c r="AP104" i="3"/>
  <c r="AP106" i="3" s="1"/>
  <c r="B5" i="2"/>
  <c r="DE196" i="19"/>
  <c r="DD196" i="19"/>
  <c r="DC196" i="19"/>
  <c r="DB196" i="19"/>
  <c r="DA196" i="19"/>
  <c r="CZ196" i="19"/>
  <c r="CY196" i="19"/>
  <c r="CX196" i="19"/>
  <c r="CW196" i="19"/>
  <c r="CV196" i="19"/>
  <c r="CU196" i="19"/>
  <c r="CT196" i="19"/>
  <c r="CS196" i="19"/>
  <c r="CR196" i="19"/>
  <c r="CQ196" i="19"/>
  <c r="CP196" i="19"/>
  <c r="CO196" i="19"/>
  <c r="CN196" i="19"/>
  <c r="CM196" i="19"/>
  <c r="CL196" i="19"/>
  <c r="CK196" i="19"/>
  <c r="CJ196" i="19"/>
  <c r="CI196" i="19"/>
  <c r="CH196" i="19"/>
  <c r="CG196" i="19"/>
  <c r="CF196" i="19"/>
  <c r="CE196" i="19"/>
  <c r="CD196" i="19"/>
  <c r="CC196" i="19"/>
  <c r="CB196" i="19"/>
  <c r="CA196" i="19"/>
  <c r="BZ196" i="19"/>
  <c r="BY196" i="19"/>
  <c r="BX196" i="19"/>
  <c r="BW196" i="19"/>
  <c r="BV196" i="19"/>
  <c r="BU196" i="19"/>
  <c r="BU198" i="19" s="1"/>
  <c r="BT196" i="19"/>
  <c r="BS196" i="19"/>
  <c r="BR196" i="19"/>
  <c r="BQ196" i="19"/>
  <c r="BP196" i="19"/>
  <c r="BO196" i="19"/>
  <c r="BN196" i="19"/>
  <c r="BM196" i="19"/>
  <c r="BL196" i="19"/>
  <c r="BK196" i="19"/>
  <c r="BJ196" i="19"/>
  <c r="BI196" i="19"/>
  <c r="BI198" i="19" s="1"/>
  <c r="BH196" i="19"/>
  <c r="BG196" i="19"/>
  <c r="BF196" i="19"/>
  <c r="BE196" i="19"/>
  <c r="BD196" i="19"/>
  <c r="BC196" i="19"/>
  <c r="BB196" i="19"/>
  <c r="BA196" i="19"/>
  <c r="AZ196" i="19"/>
  <c r="AY196" i="19"/>
  <c r="AX196" i="19"/>
  <c r="AW196" i="19"/>
  <c r="AW198" i="19" s="1"/>
  <c r="AV196" i="19"/>
  <c r="AU196" i="19"/>
  <c r="AT196" i="19"/>
  <c r="AS196" i="19"/>
  <c r="AR196" i="19"/>
  <c r="AQ196" i="19"/>
  <c r="AP196" i="19"/>
  <c r="AO196" i="19"/>
  <c r="AN196" i="19"/>
  <c r="AM196" i="19"/>
  <c r="AL196" i="19"/>
  <c r="AK196" i="19"/>
  <c r="AK198" i="19" s="1"/>
  <c r="AJ196" i="19"/>
  <c r="AI196" i="19"/>
  <c r="AI198" i="19" s="1"/>
  <c r="AH196" i="19"/>
  <c r="AG196" i="19"/>
  <c r="AF196" i="19"/>
  <c r="AE196" i="19"/>
  <c r="AD196" i="19"/>
  <c r="AC196" i="19"/>
  <c r="AB196" i="19"/>
  <c r="AA196" i="19"/>
  <c r="Z196" i="19"/>
  <c r="Y196" i="19"/>
  <c r="Y198" i="19" s="1"/>
  <c r="X196" i="19"/>
  <c r="W196" i="19"/>
  <c r="W198" i="19" s="1"/>
  <c r="V196" i="19"/>
  <c r="U196" i="19"/>
  <c r="T196" i="19"/>
  <c r="S196" i="19"/>
  <c r="R196" i="19"/>
  <c r="Q196" i="19"/>
  <c r="P196" i="19"/>
  <c r="O196" i="19"/>
  <c r="N196" i="19"/>
  <c r="M196" i="19"/>
  <c r="M198" i="19" s="1"/>
  <c r="L196" i="19"/>
  <c r="K196" i="19"/>
  <c r="K198" i="19" s="1"/>
  <c r="J196" i="19"/>
  <c r="I196" i="19"/>
  <c r="H196" i="19"/>
  <c r="DG195" i="19"/>
  <c r="DG194" i="19"/>
  <c r="DG193" i="19"/>
  <c r="DG192" i="19"/>
  <c r="DG191" i="19"/>
  <c r="DG190" i="19"/>
  <c r="DG188" i="19"/>
  <c r="DG187" i="19"/>
  <c r="DG185" i="19"/>
  <c r="DG184" i="19"/>
  <c r="DG183" i="19"/>
  <c r="DG182" i="19"/>
  <c r="DG180" i="19"/>
  <c r="DG179" i="19"/>
  <c r="DG178" i="19"/>
  <c r="DG177" i="19"/>
  <c r="DG175" i="19"/>
  <c r="DG174" i="19"/>
  <c r="DG173" i="19"/>
  <c r="DG172" i="19"/>
  <c r="DG171" i="19"/>
  <c r="DG170" i="19"/>
  <c r="DG169" i="19"/>
  <c r="DG168" i="19"/>
  <c r="DG167" i="19"/>
  <c r="DG166" i="19"/>
  <c r="DG165" i="19"/>
  <c r="DG164" i="19"/>
  <c r="DG162" i="19"/>
  <c r="DG161" i="19"/>
  <c r="DG160" i="19"/>
  <c r="DG159" i="19"/>
  <c r="DG158" i="19"/>
  <c r="DG157" i="19"/>
  <c r="DG156" i="19"/>
  <c r="DG155" i="19"/>
  <c r="DG154" i="19"/>
  <c r="DG153" i="19"/>
  <c r="DG152" i="19"/>
  <c r="DG151" i="19"/>
  <c r="DG148" i="19"/>
  <c r="DG147" i="19"/>
  <c r="DG146" i="19"/>
  <c r="DG145" i="19"/>
  <c r="DG144" i="19"/>
  <c r="DG143" i="19"/>
  <c r="DG142" i="19"/>
  <c r="DG141" i="19"/>
  <c r="DG140" i="19"/>
  <c r="DG139" i="19"/>
  <c r="DG138" i="19"/>
  <c r="DG137" i="19"/>
  <c r="DG136" i="19"/>
  <c r="DG135" i="19"/>
  <c r="DG134" i="19"/>
  <c r="DG133" i="19"/>
  <c r="DG132" i="19"/>
  <c r="DG131" i="19"/>
  <c r="DG130" i="19"/>
  <c r="DG129" i="19"/>
  <c r="DG128" i="19"/>
  <c r="DG127" i="19"/>
  <c r="DG126" i="19"/>
  <c r="DG125" i="19"/>
  <c r="DG124" i="19"/>
  <c r="DG123" i="19"/>
  <c r="DG122" i="19"/>
  <c r="DG121" i="19"/>
  <c r="DG120" i="19"/>
  <c r="DG119" i="19"/>
  <c r="DG118" i="19"/>
  <c r="DG116" i="19"/>
  <c r="DG115" i="19"/>
  <c r="DG114" i="19"/>
  <c r="DG113" i="19"/>
  <c r="DG112" i="19"/>
  <c r="DG111" i="19"/>
  <c r="DG110" i="19"/>
  <c r="DG109" i="19"/>
  <c r="DG108" i="19"/>
  <c r="DG107" i="19"/>
  <c r="DG106" i="19"/>
  <c r="DG105" i="19"/>
  <c r="DG104" i="19"/>
  <c r="DG103" i="19"/>
  <c r="DG102" i="19"/>
  <c r="DG101" i="19"/>
  <c r="DG100" i="19"/>
  <c r="DG99" i="19"/>
  <c r="DG98" i="19"/>
  <c r="DG97" i="19"/>
  <c r="DG96" i="19"/>
  <c r="DG95" i="19"/>
  <c r="DG94" i="19"/>
  <c r="DG93" i="19"/>
  <c r="DG92" i="19"/>
  <c r="DG91" i="19"/>
  <c r="DG90" i="19"/>
  <c r="DG89" i="19"/>
  <c r="DG88" i="19"/>
  <c r="DG87" i="19"/>
  <c r="DG86" i="19"/>
  <c r="DG85" i="19"/>
  <c r="DG84" i="19"/>
  <c r="DG83" i="19"/>
  <c r="DG82" i="19"/>
  <c r="DG81" i="19"/>
  <c r="DG80" i="19"/>
  <c r="DG79" i="19"/>
  <c r="DG78" i="19"/>
  <c r="DG77" i="19"/>
  <c r="DG76" i="19"/>
  <c r="DG75" i="19"/>
  <c r="DG74" i="19"/>
  <c r="DG73" i="19"/>
  <c r="DG72" i="19"/>
  <c r="DG71" i="19"/>
  <c r="DG70" i="19"/>
  <c r="DG69" i="19"/>
  <c r="DG68" i="19"/>
  <c r="DG67" i="19"/>
  <c r="DG66" i="19"/>
  <c r="DG65" i="19"/>
  <c r="DG64" i="19"/>
  <c r="DG63" i="19"/>
  <c r="DG62" i="19"/>
  <c r="DG61" i="19"/>
  <c r="DG60" i="19"/>
  <c r="DG59" i="19"/>
  <c r="DG58" i="19"/>
  <c r="DG57" i="19"/>
  <c r="DG56" i="19"/>
  <c r="DG55" i="19"/>
  <c r="DG54" i="19"/>
  <c r="DG53" i="19"/>
  <c r="DG52" i="19"/>
  <c r="DG51" i="19"/>
  <c r="DG50" i="19"/>
  <c r="DG49" i="19"/>
  <c r="DG48" i="19"/>
  <c r="DG47" i="19"/>
  <c r="DG46" i="19"/>
  <c r="DG45" i="19"/>
  <c r="DG44" i="19"/>
  <c r="DG43" i="19"/>
  <c r="DG42" i="19"/>
  <c r="DG41" i="19"/>
  <c r="DG40" i="19"/>
  <c r="DG39" i="19"/>
  <c r="DG38" i="19"/>
  <c r="DG37" i="19"/>
  <c r="DG36" i="19"/>
  <c r="DG35" i="19"/>
  <c r="DG34" i="19"/>
  <c r="DG33" i="19"/>
  <c r="DG32" i="19"/>
  <c r="DG31" i="19"/>
  <c r="DG30" i="19"/>
  <c r="DG29" i="19"/>
  <c r="DG28" i="19"/>
  <c r="DG26" i="19"/>
  <c r="DG25" i="19"/>
  <c r="DG24" i="19"/>
  <c r="DG23" i="19"/>
  <c r="DG22" i="19"/>
  <c r="DG21" i="19"/>
  <c r="DG20" i="19"/>
  <c r="DG19" i="19"/>
  <c r="DG18" i="19"/>
  <c r="DG17" i="19"/>
  <c r="DG16" i="19"/>
  <c r="DG15" i="19"/>
  <c r="DG14" i="19"/>
  <c r="DG13" i="19"/>
  <c r="DG12" i="19"/>
  <c r="DG11" i="19"/>
  <c r="DG10" i="19"/>
  <c r="E5" i="19"/>
  <c r="F5" i="19" s="1"/>
  <c r="G5" i="19" s="1"/>
  <c r="H5" i="19" s="1"/>
  <c r="I5" i="19" s="1"/>
  <c r="J5" i="19" s="1"/>
  <c r="K5" i="19" s="1"/>
  <c r="L5" i="19" s="1"/>
  <c r="M5" i="19" s="1"/>
  <c r="N5" i="19" s="1"/>
  <c r="O5" i="19" s="1"/>
  <c r="P5" i="19" s="1"/>
  <c r="Q5" i="19" s="1"/>
  <c r="R5" i="19" s="1"/>
  <c r="S5" i="19" s="1"/>
  <c r="T5" i="19" s="1"/>
  <c r="U5" i="19" s="1"/>
  <c r="V5" i="19" s="1"/>
  <c r="W5" i="19" s="1"/>
  <c r="X5" i="19" s="1"/>
  <c r="Y5" i="19" s="1"/>
  <c r="Z5" i="19" s="1"/>
  <c r="AA5" i="19" s="1"/>
  <c r="AB5" i="19" s="1"/>
  <c r="AC5" i="19" s="1"/>
  <c r="AD5" i="19" s="1"/>
  <c r="AE5" i="19" s="1"/>
  <c r="AF5" i="19" s="1"/>
  <c r="AG5" i="19" s="1"/>
  <c r="AH5" i="19" s="1"/>
  <c r="AI5" i="19" s="1"/>
  <c r="AJ5" i="19" s="1"/>
  <c r="AK5" i="19" s="1"/>
  <c r="AL5" i="19" s="1"/>
  <c r="AM5" i="19" s="1"/>
  <c r="AN5" i="19" s="1"/>
  <c r="AO5" i="19" s="1"/>
  <c r="AP5" i="19" s="1"/>
  <c r="AQ5" i="19" s="1"/>
  <c r="AR5" i="19" s="1"/>
  <c r="AS5" i="19" s="1"/>
  <c r="AT5" i="19" s="1"/>
  <c r="AU5" i="19" s="1"/>
  <c r="AV5" i="19" s="1"/>
  <c r="AW5" i="19" s="1"/>
  <c r="AX5" i="19" s="1"/>
  <c r="AY5" i="19" s="1"/>
  <c r="AZ5" i="19" s="1"/>
  <c r="BA5" i="19" s="1"/>
  <c r="BB5" i="19" s="1"/>
  <c r="BC5" i="19" s="1"/>
  <c r="BD5" i="19" s="1"/>
  <c r="BE5" i="19" s="1"/>
  <c r="BF5" i="19" s="1"/>
  <c r="BG5" i="19" s="1"/>
  <c r="BH5" i="19" s="1"/>
  <c r="BI5" i="19" s="1"/>
  <c r="BJ5" i="19" s="1"/>
  <c r="BK5" i="19" s="1"/>
  <c r="BL5" i="19" s="1"/>
  <c r="BM5" i="19" s="1"/>
  <c r="BN5" i="19" s="1"/>
  <c r="BO5" i="19" s="1"/>
  <c r="BP5" i="19" s="1"/>
  <c r="BQ5" i="19" s="1"/>
  <c r="BR5" i="19" s="1"/>
  <c r="BS5" i="19" s="1"/>
  <c r="BT5" i="19" s="1"/>
  <c r="BU5" i="19" s="1"/>
  <c r="BV5" i="19" s="1"/>
  <c r="BW5" i="19" s="1"/>
  <c r="BX5" i="19" s="1"/>
  <c r="BY5" i="19" s="1"/>
  <c r="BZ5" i="19" s="1"/>
  <c r="CA5" i="19" s="1"/>
  <c r="CB5" i="19" s="1"/>
  <c r="CC5" i="19" s="1"/>
  <c r="CD5" i="19" s="1"/>
  <c r="CE5" i="19" s="1"/>
  <c r="CF5" i="19" s="1"/>
  <c r="CG5" i="19" s="1"/>
  <c r="CH5" i="19" s="1"/>
  <c r="CI5" i="19" s="1"/>
  <c r="CJ5" i="19" s="1"/>
  <c r="CK5" i="19" s="1"/>
  <c r="CL5" i="19" s="1"/>
  <c r="CM5" i="19" s="1"/>
  <c r="CN5" i="19" s="1"/>
  <c r="CO5" i="19" s="1"/>
  <c r="CP5" i="19" s="1"/>
  <c r="CQ5" i="19" s="1"/>
  <c r="CR5" i="19" s="1"/>
  <c r="CS5" i="19" s="1"/>
  <c r="CT5" i="19" s="1"/>
  <c r="CU5" i="19" s="1"/>
  <c r="CV5" i="19" s="1"/>
  <c r="CW5" i="19" s="1"/>
  <c r="CX5" i="19" s="1"/>
  <c r="CY5" i="19" s="1"/>
  <c r="CZ5" i="19" s="1"/>
  <c r="DA5" i="19" s="1"/>
  <c r="DB5" i="19" s="1"/>
  <c r="DC5" i="19" s="1"/>
  <c r="DD5" i="19" s="1"/>
  <c r="DE5" i="19" s="1"/>
  <c r="DF5" i="19" s="1"/>
  <c r="DG5" i="19" s="1"/>
  <c r="N6" i="18"/>
  <c r="T117" i="18"/>
  <c r="T114" i="18"/>
  <c r="T112" i="18"/>
  <c r="T110" i="18"/>
  <c r="R107" i="18"/>
  <c r="I107" i="18"/>
  <c r="I108" i="18" s="1"/>
  <c r="J106" i="18"/>
  <c r="J105" i="18"/>
  <c r="J104" i="18"/>
  <c r="J103" i="18"/>
  <c r="R102" i="18"/>
  <c r="N4" i="18" s="1"/>
  <c r="P102" i="18"/>
  <c r="T102" i="18" s="1"/>
  <c r="J99" i="18"/>
  <c r="R99" i="18" s="1"/>
  <c r="I99" i="18"/>
  <c r="Q99" i="18" s="1"/>
  <c r="J98" i="18"/>
  <c r="J97" i="18"/>
  <c r="J96" i="18"/>
  <c r="J95" i="18"/>
  <c r="R95" i="18" s="1"/>
  <c r="I95" i="18"/>
  <c r="J94" i="18"/>
  <c r="J93" i="18"/>
  <c r="I92" i="18"/>
  <c r="Q92" i="18" s="1"/>
  <c r="J91" i="18"/>
  <c r="J90" i="18"/>
  <c r="J89" i="18"/>
  <c r="R89" i="18" s="1"/>
  <c r="J88" i="18"/>
  <c r="I88" i="18"/>
  <c r="R85" i="18"/>
  <c r="I85" i="18"/>
  <c r="Q85" i="18" s="1"/>
  <c r="J84" i="18"/>
  <c r="J83" i="18"/>
  <c r="J82" i="18"/>
  <c r="R82" i="18" s="1"/>
  <c r="J81" i="18"/>
  <c r="J80" i="18"/>
  <c r="J79" i="18"/>
  <c r="R79" i="18" s="1"/>
  <c r="I79" i="18"/>
  <c r="Q79" i="18" s="1"/>
  <c r="J78" i="18"/>
  <c r="J77" i="18"/>
  <c r="J76" i="18"/>
  <c r="I76" i="18"/>
  <c r="J75" i="18"/>
  <c r="J74" i="18"/>
  <c r="J73" i="18"/>
  <c r="J72" i="18"/>
  <c r="J71" i="18"/>
  <c r="M6" i="31" s="1"/>
  <c r="O6" i="31" s="1"/>
  <c r="I71" i="18"/>
  <c r="J70" i="18"/>
  <c r="J69" i="18"/>
  <c r="M8" i="31" s="1"/>
  <c r="J68" i="18"/>
  <c r="J67" i="18"/>
  <c r="R67" i="18" s="1"/>
  <c r="I67" i="18"/>
  <c r="Q67" i="18" s="1"/>
  <c r="J66" i="18"/>
  <c r="J65" i="18"/>
  <c r="J63" i="18"/>
  <c r="J62" i="18"/>
  <c r="R62" i="18" s="1"/>
  <c r="J61" i="18"/>
  <c r="R61" i="18" s="1"/>
  <c r="I61" i="18"/>
  <c r="Q61" i="18" s="1"/>
  <c r="J60" i="18"/>
  <c r="J59" i="18"/>
  <c r="J58" i="18"/>
  <c r="R58" i="18" s="1"/>
  <c r="J57" i="18"/>
  <c r="R57" i="18" s="1"/>
  <c r="I57" i="18"/>
  <c r="Q57" i="18" s="1"/>
  <c r="J56" i="18"/>
  <c r="R56" i="18" s="1"/>
  <c r="I56" i="18"/>
  <c r="Q56" i="18" s="1"/>
  <c r="J55" i="18"/>
  <c r="J54" i="18"/>
  <c r="J53" i="18"/>
  <c r="R53" i="18" s="1"/>
  <c r="I53" i="18"/>
  <c r="Q53" i="18" s="1"/>
  <c r="J52" i="18"/>
  <c r="J51" i="18"/>
  <c r="J50" i="18"/>
  <c r="J49" i="18"/>
  <c r="R49" i="18" s="1"/>
  <c r="I49" i="18"/>
  <c r="Q49" i="18" s="1"/>
  <c r="J48" i="18"/>
  <c r="J47" i="18"/>
  <c r="J46" i="18"/>
  <c r="R46" i="18" s="1"/>
  <c r="I46" i="18"/>
  <c r="Q46" i="18" s="1"/>
  <c r="J45" i="18"/>
  <c r="J44" i="18"/>
  <c r="J43" i="18"/>
  <c r="I43" i="18"/>
  <c r="Q43" i="18" s="1"/>
  <c r="J42" i="18"/>
  <c r="J41" i="18"/>
  <c r="J40" i="18"/>
  <c r="J39" i="18"/>
  <c r="J38" i="18"/>
  <c r="R38" i="18" s="1"/>
  <c r="I38" i="18"/>
  <c r="Q38" i="18" s="1"/>
  <c r="J37" i="18"/>
  <c r="J36" i="18"/>
  <c r="J35" i="18"/>
  <c r="J34" i="18"/>
  <c r="J33" i="18"/>
  <c r="R33" i="18" s="1"/>
  <c r="J32" i="18"/>
  <c r="J31" i="18"/>
  <c r="R31" i="18" s="1"/>
  <c r="I31" i="18"/>
  <c r="Q31" i="18" s="1"/>
  <c r="J30" i="18"/>
  <c r="J29" i="18"/>
  <c r="R29" i="18" s="1"/>
  <c r="I29" i="18"/>
  <c r="Q29" i="18" s="1"/>
  <c r="J28" i="18"/>
  <c r="J27" i="18"/>
  <c r="J26" i="18"/>
  <c r="J25" i="18"/>
  <c r="J24" i="18"/>
  <c r="J23" i="18"/>
  <c r="J22" i="18"/>
  <c r="R22" i="18" s="1"/>
  <c r="I22" i="18"/>
  <c r="Q22" i="18" s="1"/>
  <c r="J21" i="18"/>
  <c r="J20" i="18"/>
  <c r="J19" i="18"/>
  <c r="R19" i="18" s="1"/>
  <c r="I19" i="18"/>
  <c r="Q19" i="18" s="1"/>
  <c r="J17" i="18"/>
  <c r="R17" i="18" s="1"/>
  <c r="I17" i="18"/>
  <c r="Q17" i="18" s="1"/>
  <c r="J15" i="18"/>
  <c r="R15" i="18" s="1"/>
  <c r="I15" i="18"/>
  <c r="Q15" i="18" s="1"/>
  <c r="J13" i="18"/>
  <c r="R13" i="18" s="1"/>
  <c r="J12" i="18"/>
  <c r="I12" i="18"/>
  <c r="J11" i="18"/>
  <c r="M7" i="18"/>
  <c r="O7" i="18" s="1"/>
  <c r="L7" i="18"/>
  <c r="K7" i="18"/>
  <c r="J7" i="18"/>
  <c r="M6" i="18"/>
  <c r="L6" i="18"/>
  <c r="K6" i="18"/>
  <c r="J6" i="18"/>
  <c r="M5" i="18"/>
  <c r="L5" i="18"/>
  <c r="K5" i="18"/>
  <c r="J5" i="18"/>
  <c r="M4" i="18"/>
  <c r="L4" i="18"/>
  <c r="K4" i="18"/>
  <c r="J4" i="18"/>
  <c r="L3" i="18"/>
  <c r="K3" i="18"/>
  <c r="J3" i="18"/>
  <c r="L2" i="18"/>
  <c r="K2" i="18"/>
  <c r="J2" i="18"/>
  <c r="Q95" i="18" l="1"/>
  <c r="M5" i="31"/>
  <c r="R68" i="18"/>
  <c r="M7" i="31"/>
  <c r="R8" i="31"/>
  <c r="Q71" i="18"/>
  <c r="J86" i="18"/>
  <c r="J108" i="18"/>
  <c r="I86" i="18"/>
  <c r="Q88" i="18"/>
  <c r="Q100" i="18" s="1"/>
  <c r="I100" i="18"/>
  <c r="R88" i="18"/>
  <c r="J100" i="18"/>
  <c r="M2" i="18"/>
  <c r="DG27" i="19"/>
  <c r="DG150" i="19"/>
  <c r="DG163" i="19" s="1"/>
  <c r="O4" i="18"/>
  <c r="O6" i="18"/>
  <c r="T31" i="18"/>
  <c r="DE198" i="19"/>
  <c r="M3" i="18"/>
  <c r="DG189" i="19"/>
  <c r="T19" i="18"/>
  <c r="T12" i="18"/>
  <c r="R21" i="18"/>
  <c r="R96" i="18"/>
  <c r="R37" i="18"/>
  <c r="R44" i="18"/>
  <c r="R30" i="18"/>
  <c r="T30" i="18"/>
  <c r="R45" i="18"/>
  <c r="R51" i="18"/>
  <c r="R66" i="18"/>
  <c r="R90" i="18"/>
  <c r="T90" i="18"/>
  <c r="Q107" i="18"/>
  <c r="Q108" i="18" s="1"/>
  <c r="R36" i="18"/>
  <c r="R52" i="18"/>
  <c r="R83" i="18"/>
  <c r="N91" i="18"/>
  <c r="R91" i="18"/>
  <c r="T91" i="18"/>
  <c r="R80" i="18"/>
  <c r="R65" i="18"/>
  <c r="N23" i="18"/>
  <c r="R23" i="18"/>
  <c r="T23" i="18"/>
  <c r="R84" i="18"/>
  <c r="N105" i="18"/>
  <c r="R105" i="18"/>
  <c r="T105" i="18"/>
  <c r="R75" i="18"/>
  <c r="R24" i="18"/>
  <c r="T24" i="18"/>
  <c r="N39" i="18"/>
  <c r="R39" i="18"/>
  <c r="T39" i="18"/>
  <c r="T57" i="18"/>
  <c r="T107" i="18"/>
  <c r="R97" i="18"/>
  <c r="T29" i="18"/>
  <c r="R40" i="18"/>
  <c r="R69" i="18"/>
  <c r="R77" i="18"/>
  <c r="N94" i="18"/>
  <c r="R63" i="18"/>
  <c r="N81" i="18"/>
  <c r="R81" i="18"/>
  <c r="T81" i="18"/>
  <c r="R25" i="18"/>
  <c r="R26" i="18"/>
  <c r="T26" i="18"/>
  <c r="R32" i="18"/>
  <c r="T32" i="18"/>
  <c r="R41" i="18"/>
  <c r="R47" i="18"/>
  <c r="T53" i="18"/>
  <c r="R59" i="18"/>
  <c r="R70" i="18"/>
  <c r="R78" i="18"/>
  <c r="N104" i="18"/>
  <c r="R104" i="18"/>
  <c r="T104" i="18"/>
  <c r="T56" i="18"/>
  <c r="R106" i="18"/>
  <c r="N11" i="18"/>
  <c r="R11" i="18"/>
  <c r="T11" i="18"/>
  <c r="N27" i="18"/>
  <c r="R27" i="18"/>
  <c r="T27" i="18"/>
  <c r="R42" i="18"/>
  <c r="R48" i="18"/>
  <c r="R54" i="18"/>
  <c r="T54" i="18"/>
  <c r="R60" i="18"/>
  <c r="R103" i="18"/>
  <c r="T103" i="18"/>
  <c r="R74" i="18"/>
  <c r="R98" i="18"/>
  <c r="Q12" i="18"/>
  <c r="R28" i="18"/>
  <c r="T28" i="18"/>
  <c r="R34" i="18"/>
  <c r="R55" i="18"/>
  <c r="R73" i="18"/>
  <c r="R50" i="18"/>
  <c r="T50" i="18"/>
  <c r="N12" i="18"/>
  <c r="R12" i="18"/>
  <c r="R20" i="18"/>
  <c r="R35" i="18"/>
  <c r="T35" i="18"/>
  <c r="R72" i="18"/>
  <c r="N57" i="18"/>
  <c r="N56" i="18"/>
  <c r="M56" i="18"/>
  <c r="N29" i="18"/>
  <c r="N53" i="18"/>
  <c r="M29" i="18"/>
  <c r="M53" i="18"/>
  <c r="M19" i="18"/>
  <c r="N26" i="18"/>
  <c r="N31" i="18"/>
  <c r="N50" i="18"/>
  <c r="N28" i="18"/>
  <c r="M31" i="18"/>
  <c r="N19" i="18"/>
  <c r="N32" i="18"/>
  <c r="N103" i="18"/>
  <c r="M12" i="18"/>
  <c r="N35" i="18"/>
  <c r="M57" i="18"/>
  <c r="N107" i="18"/>
  <c r="N24" i="18"/>
  <c r="N30" i="18"/>
  <c r="N54" i="18"/>
  <c r="M107" i="18"/>
  <c r="M108" i="18" s="1"/>
  <c r="DA198" i="19"/>
  <c r="I198" i="19"/>
  <c r="Q198" i="19"/>
  <c r="AC198" i="19"/>
  <c r="AO198" i="19"/>
  <c r="BA198" i="19"/>
  <c r="BM198" i="19"/>
  <c r="BY198" i="19"/>
  <c r="CK198" i="19"/>
  <c r="CW198" i="19"/>
  <c r="U198" i="19"/>
  <c r="AG198" i="19"/>
  <c r="AS198" i="19"/>
  <c r="V198" i="19"/>
  <c r="AH198" i="19"/>
  <c r="AT198" i="19"/>
  <c r="BF198" i="19"/>
  <c r="BR198" i="19"/>
  <c r="CD198" i="19"/>
  <c r="CP198" i="19"/>
  <c r="P198" i="19"/>
  <c r="AB198" i="19"/>
  <c r="AN198" i="19"/>
  <c r="AZ198" i="19"/>
  <c r="BL198" i="19"/>
  <c r="CJ198" i="19"/>
  <c r="CV198" i="19"/>
  <c r="DF196" i="19"/>
  <c r="DF198" i="19" s="1"/>
  <c r="DG176" i="19"/>
  <c r="R198" i="19"/>
  <c r="AD198" i="19"/>
  <c r="AP198" i="19"/>
  <c r="BB198" i="19"/>
  <c r="BN198" i="19"/>
  <c r="BZ198" i="19"/>
  <c r="CL198" i="19"/>
  <c r="CX198" i="19"/>
  <c r="BE198" i="19"/>
  <c r="BQ198" i="19"/>
  <c r="CC198" i="19"/>
  <c r="CO198" i="19"/>
  <c r="DC198" i="19"/>
  <c r="BX198" i="19"/>
  <c r="H198" i="19"/>
  <c r="T198" i="19"/>
  <c r="AF198" i="19"/>
  <c r="AR198" i="19"/>
  <c r="BD198" i="19"/>
  <c r="BP198" i="19"/>
  <c r="CB198" i="19"/>
  <c r="CN198" i="19"/>
  <c r="CZ198" i="19"/>
  <c r="AU198" i="19"/>
  <c r="BG198" i="19"/>
  <c r="BS198" i="19"/>
  <c r="CE198" i="19"/>
  <c r="CQ198" i="19"/>
  <c r="DG186" i="19"/>
  <c r="J198" i="19"/>
  <c r="DB198" i="19"/>
  <c r="CG198" i="19"/>
  <c r="CS198" i="19"/>
  <c r="DG181" i="19"/>
  <c r="X198" i="19"/>
  <c r="AJ198" i="19"/>
  <c r="AV198" i="19"/>
  <c r="BH198" i="19"/>
  <c r="BT198" i="19"/>
  <c r="CF198" i="19"/>
  <c r="CR198" i="19"/>
  <c r="N198" i="19"/>
  <c r="Z198" i="19"/>
  <c r="AL198" i="19"/>
  <c r="AX198" i="19"/>
  <c r="BJ198" i="19"/>
  <c r="BV198" i="19"/>
  <c r="CH198" i="19"/>
  <c r="CT198" i="19"/>
  <c r="S198" i="19"/>
  <c r="AE198" i="19"/>
  <c r="AQ198" i="19"/>
  <c r="BC198" i="19"/>
  <c r="BO198" i="19"/>
  <c r="CA198" i="19"/>
  <c r="CM198" i="19"/>
  <c r="CY198" i="19"/>
  <c r="O198" i="19"/>
  <c r="AA198" i="19"/>
  <c r="AM198" i="19"/>
  <c r="AY198" i="19"/>
  <c r="BK198" i="19"/>
  <c r="BW198" i="19"/>
  <c r="CI198" i="19"/>
  <c r="CU198" i="19"/>
  <c r="DG196" i="19"/>
  <c r="L198" i="19"/>
  <c r="DD198" i="19"/>
  <c r="DG117" i="19"/>
  <c r="N90" i="18"/>
  <c r="O5" i="31" l="1"/>
  <c r="Q6" i="31" s="1"/>
  <c r="R7" i="31"/>
  <c r="O7" i="31"/>
  <c r="R108" i="18"/>
  <c r="N5" i="18" s="1"/>
  <c r="O5" i="18" s="1"/>
  <c r="DG149" i="19"/>
  <c r="DG198" i="19" s="1"/>
  <c r="J123" i="18"/>
  <c r="I123" i="18"/>
  <c r="R6" i="31" l="1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H26" i="13" s="1"/>
  <c r="G33" i="4"/>
  <c r="H25" i="13" s="1"/>
  <c r="G32" i="4"/>
  <c r="G31" i="4"/>
  <c r="G30" i="4"/>
  <c r="G29" i="4"/>
  <c r="G28" i="4"/>
  <c r="H20" i="13" s="1"/>
  <c r="G27" i="4"/>
  <c r="H19" i="13" s="1"/>
  <c r="G26" i="4"/>
  <c r="G25" i="4"/>
  <c r="H17" i="13" s="1"/>
  <c r="G24" i="4"/>
  <c r="H16" i="13" s="1"/>
  <c r="G23" i="4"/>
  <c r="G22" i="4"/>
  <c r="G21" i="4"/>
  <c r="G20" i="4"/>
  <c r="H12" i="13" s="1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5" i="4"/>
  <c r="F34" i="4"/>
  <c r="F26" i="13" s="1"/>
  <c r="F33" i="4"/>
  <c r="F25" i="13" s="1"/>
  <c r="F32" i="4"/>
  <c r="F24" i="13" s="1"/>
  <c r="F31" i="4"/>
  <c r="F23" i="13" s="1"/>
  <c r="F30" i="4"/>
  <c r="F22" i="13" s="1"/>
  <c r="F29" i="4"/>
  <c r="F21" i="13" s="1"/>
  <c r="F28" i="4"/>
  <c r="F20" i="13" s="1"/>
  <c r="F27" i="4"/>
  <c r="F19" i="13" s="1"/>
  <c r="F26" i="4"/>
  <c r="F18" i="13" s="1"/>
  <c r="F25" i="4"/>
  <c r="F17" i="13" s="1"/>
  <c r="F24" i="4"/>
  <c r="F16" i="13" s="1"/>
  <c r="F23" i="4"/>
  <c r="F15" i="13" s="1"/>
  <c r="F22" i="4"/>
  <c r="F21" i="4"/>
  <c r="F13" i="13" s="1"/>
  <c r="F20" i="4"/>
  <c r="F12" i="13" s="1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5" i="4"/>
  <c r="E34" i="4"/>
  <c r="E26" i="13" s="1"/>
  <c r="E33" i="4"/>
  <c r="E32" i="4"/>
  <c r="E24" i="13" s="1"/>
  <c r="E31" i="4"/>
  <c r="E23" i="13" s="1"/>
  <c r="E30" i="4"/>
  <c r="E22" i="13" s="1"/>
  <c r="E29" i="4"/>
  <c r="E28" i="4"/>
  <c r="E20" i="13" s="1"/>
  <c r="E27" i="4"/>
  <c r="E19" i="13" s="1"/>
  <c r="E26" i="4"/>
  <c r="E25" i="4"/>
  <c r="E17" i="13" s="1"/>
  <c r="E24" i="4"/>
  <c r="E16" i="13" s="1"/>
  <c r="E23" i="4"/>
  <c r="E22" i="4"/>
  <c r="E14" i="13" s="1"/>
  <c r="E21" i="4"/>
  <c r="E13" i="13" s="1"/>
  <c r="E20" i="4"/>
  <c r="D21" i="4"/>
  <c r="D13" i="13" s="1"/>
  <c r="D22" i="4"/>
  <c r="D14" i="13" s="1"/>
  <c r="D23" i="4"/>
  <c r="D15" i="13" s="1"/>
  <c r="D24" i="4"/>
  <c r="D16" i="13" s="1"/>
  <c r="D25" i="4"/>
  <c r="D17" i="13" s="1"/>
  <c r="D26" i="4"/>
  <c r="D18" i="13" s="1"/>
  <c r="D27" i="4"/>
  <c r="D19" i="13" s="1"/>
  <c r="D28" i="4"/>
  <c r="D20" i="13" s="1"/>
  <c r="D29" i="4"/>
  <c r="D21" i="13" s="1"/>
  <c r="D30" i="4"/>
  <c r="D22" i="13" s="1"/>
  <c r="D31" i="4"/>
  <c r="D23" i="13" s="1"/>
  <c r="D32" i="4"/>
  <c r="D24" i="13" s="1"/>
  <c r="D33" i="4"/>
  <c r="D25" i="13" s="1"/>
  <c r="D34" i="4"/>
  <c r="D26" i="13" s="1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20" i="4"/>
  <c r="D12" i="13" s="1"/>
  <c r="BF104" i="3"/>
  <c r="BF106" i="3" s="1"/>
  <c r="Q2" i="31" l="1"/>
  <c r="R5" i="31"/>
  <c r="A29" i="4"/>
  <c r="A26" i="4"/>
  <c r="A34" i="4"/>
  <c r="E12" i="13"/>
  <c r="L50" i="14"/>
  <c r="H21" i="13"/>
  <c r="H22" i="13"/>
  <c r="A23" i="4"/>
  <c r="H23" i="13"/>
  <c r="H24" i="13"/>
  <c r="A21" i="4"/>
  <c r="H13" i="13"/>
  <c r="H14" i="13"/>
  <c r="H15" i="13"/>
  <c r="H18" i="13"/>
  <c r="E21" i="13"/>
  <c r="E18" i="13"/>
  <c r="A22" i="4"/>
  <c r="A30" i="4"/>
  <c r="E15" i="13"/>
  <c r="A24" i="4"/>
  <c r="A32" i="4"/>
  <c r="A28" i="4"/>
  <c r="A33" i="4"/>
  <c r="F14" i="13"/>
  <c r="A27" i="4"/>
  <c r="A25" i="4"/>
  <c r="E25" i="13"/>
  <c r="A31" i="4"/>
  <c r="A20" i="4"/>
  <c r="P2" i="31" l="1"/>
  <c r="O2" i="31" s="1"/>
  <c r="Z96" i="13"/>
  <c r="Y96" i="13"/>
  <c r="X96" i="13"/>
  <c r="W96" i="13"/>
  <c r="V96" i="13"/>
  <c r="U96" i="13"/>
  <c r="S96" i="13"/>
  <c r="Q1" i="31" l="1"/>
  <c r="AA95" i="13"/>
  <c r="AA94" i="13"/>
  <c r="AA93" i="13"/>
  <c r="AA92" i="13"/>
  <c r="AA91" i="13"/>
  <c r="AA90" i="13"/>
  <c r="AA89" i="13"/>
  <c r="AA88" i="13"/>
  <c r="AA87" i="13"/>
  <c r="AA86" i="13"/>
  <c r="AA85" i="13"/>
  <c r="AA84" i="13"/>
  <c r="AA83" i="13"/>
  <c r="AA82" i="13"/>
  <c r="AA81" i="13"/>
  <c r="AA80" i="13"/>
  <c r="AA79" i="13"/>
  <c r="AA78" i="13"/>
  <c r="AA77" i="13"/>
  <c r="AA76" i="13"/>
  <c r="AA75" i="13"/>
  <c r="AA74" i="13"/>
  <c r="AA73" i="13"/>
  <c r="AA72" i="13"/>
  <c r="AA71" i="13"/>
  <c r="AA70" i="13"/>
  <c r="AA69" i="13"/>
  <c r="AA68" i="13"/>
  <c r="AA67" i="13"/>
  <c r="AA66" i="13"/>
  <c r="AA65" i="13"/>
  <c r="AA64" i="13"/>
  <c r="AA63" i="13"/>
  <c r="AA62" i="13"/>
  <c r="AA61" i="13"/>
  <c r="AA60" i="13"/>
  <c r="AA59" i="13"/>
  <c r="AA58" i="13"/>
  <c r="AA57" i="13"/>
  <c r="AA56" i="13"/>
  <c r="AA55" i="13"/>
  <c r="AA54" i="13"/>
  <c r="AA53" i="13"/>
  <c r="AA52" i="13"/>
  <c r="AA51" i="13"/>
  <c r="AA50" i="13"/>
  <c r="AA49" i="13"/>
  <c r="AA48" i="13"/>
  <c r="AA47" i="13"/>
  <c r="AA46" i="13"/>
  <c r="AA45" i="13"/>
  <c r="AA44" i="13"/>
  <c r="AA43" i="13"/>
  <c r="AA42" i="13"/>
  <c r="AA41" i="13"/>
  <c r="AA40" i="13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AA22" i="13"/>
  <c r="AA21" i="13"/>
  <c r="AA20" i="13"/>
  <c r="AA19" i="13"/>
  <c r="AA18" i="13"/>
  <c r="AA17" i="13"/>
  <c r="AA16" i="13"/>
  <c r="AA15" i="13"/>
  <c r="AA14" i="13"/>
  <c r="AA13" i="13"/>
  <c r="AA12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J12" i="13" s="1"/>
  <c r="J26" i="13" l="1"/>
  <c r="I26" i="13" s="1"/>
  <c r="J16" i="13"/>
  <c r="I16" i="13" s="1"/>
  <c r="J18" i="13"/>
  <c r="I18" i="13" s="1"/>
  <c r="J19" i="13"/>
  <c r="I19" i="13" s="1"/>
  <c r="J14" i="13"/>
  <c r="I14" i="13" s="1"/>
  <c r="J15" i="13"/>
  <c r="I15" i="13" s="1"/>
  <c r="J20" i="13"/>
  <c r="I20" i="13" s="1"/>
  <c r="J22" i="13"/>
  <c r="I22" i="13" s="1"/>
  <c r="J21" i="13"/>
  <c r="I21" i="13" s="1"/>
  <c r="J23" i="13"/>
  <c r="I23" i="13" s="1"/>
  <c r="J24" i="13"/>
  <c r="I24" i="13" s="1"/>
  <c r="J13" i="13"/>
  <c r="I13" i="13" s="1"/>
  <c r="J25" i="13"/>
  <c r="I25" i="13" s="1"/>
  <c r="J17" i="13"/>
  <c r="I17" i="13" s="1"/>
  <c r="I12" i="13"/>
  <c r="AA96" i="13"/>
  <c r="AA98" i="13" s="1"/>
  <c r="N26" i="13"/>
  <c r="N18" i="13"/>
  <c r="N17" i="13"/>
  <c r="N19" i="13"/>
  <c r="N15" i="13"/>
  <c r="N21" i="13"/>
  <c r="N23" i="13"/>
  <c r="N24" i="13"/>
  <c r="N14" i="13"/>
  <c r="N16" i="13"/>
  <c r="C20" i="13"/>
  <c r="N20" i="13"/>
  <c r="N22" i="13"/>
  <c r="N13" i="13"/>
  <c r="N25" i="13"/>
  <c r="N12" i="13"/>
  <c r="C26" i="13"/>
  <c r="C25" i="13"/>
  <c r="C12" i="13"/>
  <c r="C17" i="13"/>
  <c r="C16" i="13"/>
  <c r="C19" i="13"/>
  <c r="C24" i="13"/>
  <c r="C14" i="13"/>
  <c r="C15" i="13"/>
  <c r="C18" i="13"/>
  <c r="C21" i="13"/>
  <c r="C13" i="13"/>
  <c r="C22" i="13"/>
  <c r="C23" i="13"/>
  <c r="L35" i="14" l="1"/>
  <c r="P35" i="14" s="1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P25" i="14" l="1"/>
  <c r="U25" i="14" s="1"/>
  <c r="L66" i="18"/>
  <c r="P11" i="14"/>
  <c r="V11" i="14" s="1"/>
  <c r="L34" i="18"/>
  <c r="P22" i="14"/>
  <c r="R22" i="14" s="1"/>
  <c r="L64" i="18"/>
  <c r="T64" i="18" s="1"/>
  <c r="P13" i="14"/>
  <c r="T13" i="14" s="1"/>
  <c r="L40" i="18"/>
  <c r="P12" i="14"/>
  <c r="R12" i="14" s="1"/>
  <c r="L37" i="18"/>
  <c r="P33" i="14"/>
  <c r="V33" i="14" s="1"/>
  <c r="L83" i="18"/>
  <c r="P21" i="14"/>
  <c r="R21" i="14" s="1"/>
  <c r="L60" i="18"/>
  <c r="P32" i="14"/>
  <c r="U32" i="14" s="1"/>
  <c r="L80" i="18"/>
  <c r="P20" i="14"/>
  <c r="V20" i="14" s="1"/>
  <c r="L59" i="18"/>
  <c r="P31" i="14"/>
  <c r="U31" i="14" s="1"/>
  <c r="L78" i="18"/>
  <c r="P17" i="14"/>
  <c r="S17" i="14" s="1"/>
  <c r="L51" i="18"/>
  <c r="P19" i="14"/>
  <c r="T19" i="14" s="1"/>
  <c r="L55" i="18"/>
  <c r="P30" i="14"/>
  <c r="V30" i="14" s="1"/>
  <c r="L75" i="18"/>
  <c r="P28" i="14"/>
  <c r="V28" i="14" s="1"/>
  <c r="L73" i="18"/>
  <c r="P16" i="14"/>
  <c r="U16" i="14" s="1"/>
  <c r="L48" i="18"/>
  <c r="P29" i="14"/>
  <c r="U29" i="14" s="1"/>
  <c r="L74" i="18"/>
  <c r="P27" i="14"/>
  <c r="V27" i="14" s="1"/>
  <c r="L70" i="18"/>
  <c r="P15" i="14"/>
  <c r="T15" i="14" s="1"/>
  <c r="L45" i="18"/>
  <c r="P24" i="14"/>
  <c r="R24" i="14" s="1"/>
  <c r="L65" i="18"/>
  <c r="P23" i="14"/>
  <c r="U23" i="14" s="1"/>
  <c r="L63" i="18"/>
  <c r="P34" i="14"/>
  <c r="U34" i="14" s="1"/>
  <c r="L84" i="18"/>
  <c r="P18" i="14"/>
  <c r="U18" i="14" s="1"/>
  <c r="L52" i="18"/>
  <c r="P26" i="14"/>
  <c r="R26" i="14" s="1"/>
  <c r="L69" i="18"/>
  <c r="N8" i="31" s="1"/>
  <c r="O8" i="31" s="1"/>
  <c r="P14" i="14"/>
  <c r="R14" i="14" s="1"/>
  <c r="L42" i="18"/>
  <c r="S25" i="14"/>
  <c r="V25" i="14"/>
  <c r="T25" i="14"/>
  <c r="V13" i="14"/>
  <c r="U13" i="14"/>
  <c r="S24" i="14"/>
  <c r="T24" i="14"/>
  <c r="U24" i="14"/>
  <c r="V34" i="14"/>
  <c r="T34" i="14"/>
  <c r="V22" i="14"/>
  <c r="U22" i="14"/>
  <c r="T22" i="14"/>
  <c r="U35" i="14"/>
  <c r="T35" i="14"/>
  <c r="R35" i="14"/>
  <c r="S35" i="14"/>
  <c r="V35" i="14"/>
  <c r="V21" i="14"/>
  <c r="U21" i="14"/>
  <c r="S21" i="14"/>
  <c r="T20" i="14"/>
  <c r="U20" i="14"/>
  <c r="S20" i="14"/>
  <c r="R20" i="14"/>
  <c r="R30" i="14"/>
  <c r="U30" i="14"/>
  <c r="S30" i="14"/>
  <c r="T30" i="14"/>
  <c r="T29" i="14"/>
  <c r="V16" i="14"/>
  <c r="T16" i="14"/>
  <c r="S16" i="14"/>
  <c r="R16" i="14"/>
  <c r="R29" i="14" l="1"/>
  <c r="T21" i="14"/>
  <c r="R25" i="14"/>
  <c r="W25" i="14" s="1"/>
  <c r="S18" i="14"/>
  <c r="R34" i="14"/>
  <c r="W34" i="14" s="1"/>
  <c r="T17" i="14"/>
  <c r="V24" i="14"/>
  <c r="W24" i="14" s="1"/>
  <c r="R31" i="14"/>
  <c r="V29" i="14"/>
  <c r="S13" i="14"/>
  <c r="S34" i="14"/>
  <c r="V31" i="14"/>
  <c r="V17" i="14"/>
  <c r="S31" i="14"/>
  <c r="U17" i="14"/>
  <c r="R17" i="14"/>
  <c r="S29" i="14"/>
  <c r="W29" i="14" s="1"/>
  <c r="T31" i="14"/>
  <c r="S28" i="14"/>
  <c r="T28" i="14"/>
  <c r="S11" i="14"/>
  <c r="U28" i="14"/>
  <c r="R32" i="14"/>
  <c r="R11" i="14"/>
  <c r="T11" i="14"/>
  <c r="V32" i="14"/>
  <c r="U11" i="14"/>
  <c r="R28" i="14"/>
  <c r="T32" i="14"/>
  <c r="V23" i="14"/>
  <c r="S32" i="14"/>
  <c r="S23" i="14"/>
  <c r="T23" i="14"/>
  <c r="R23" i="14"/>
  <c r="T12" i="14"/>
  <c r="S14" i="14"/>
  <c r="V18" i="14"/>
  <c r="U14" i="14"/>
  <c r="R13" i="14"/>
  <c r="W13" i="14" s="1"/>
  <c r="V26" i="14"/>
  <c r="U26" i="14"/>
  <c r="R15" i="14"/>
  <c r="U12" i="14"/>
  <c r="S15" i="14"/>
  <c r="U15" i="14"/>
  <c r="S12" i="14"/>
  <c r="V15" i="14"/>
  <c r="T26" i="14"/>
  <c r="V19" i="14"/>
  <c r="T18" i="14"/>
  <c r="U19" i="14"/>
  <c r="S27" i="14"/>
  <c r="R19" i="14"/>
  <c r="R18" i="14"/>
  <c r="S19" i="14"/>
  <c r="T33" i="14"/>
  <c r="S33" i="14"/>
  <c r="R33" i="14"/>
  <c r="U33" i="14"/>
  <c r="U27" i="14"/>
  <c r="S22" i="14"/>
  <c r="W22" i="14" s="1"/>
  <c r="V14" i="14"/>
  <c r="T45" i="18"/>
  <c r="N45" i="18"/>
  <c r="N55" i="18"/>
  <c r="T55" i="18"/>
  <c r="N83" i="18"/>
  <c r="T83" i="18"/>
  <c r="N42" i="18"/>
  <c r="T42" i="18"/>
  <c r="N69" i="18"/>
  <c r="T69" i="18"/>
  <c r="N70" i="18"/>
  <c r="T70" i="18"/>
  <c r="N37" i="18"/>
  <c r="T37" i="18"/>
  <c r="T51" i="18"/>
  <c r="N51" i="18"/>
  <c r="T14" i="14"/>
  <c r="N74" i="18"/>
  <c r="T74" i="18"/>
  <c r="N78" i="18"/>
  <c r="T78" i="18"/>
  <c r="N40" i="18"/>
  <c r="T40" i="18"/>
  <c r="T52" i="18"/>
  <c r="N52" i="18"/>
  <c r="R27" i="14"/>
  <c r="N84" i="18"/>
  <c r="T84" i="18"/>
  <c r="T48" i="18"/>
  <c r="N48" i="18"/>
  <c r="T59" i="18"/>
  <c r="N59" i="18"/>
  <c r="V12" i="14"/>
  <c r="S26" i="14"/>
  <c r="T27" i="14"/>
  <c r="N63" i="18"/>
  <c r="T63" i="18"/>
  <c r="N80" i="18"/>
  <c r="T80" i="18"/>
  <c r="T34" i="18"/>
  <c r="N34" i="18"/>
  <c r="T73" i="18"/>
  <c r="N73" i="18"/>
  <c r="T65" i="18"/>
  <c r="N65" i="18"/>
  <c r="T75" i="18"/>
  <c r="N75" i="18"/>
  <c r="T60" i="18"/>
  <c r="N60" i="18"/>
  <c r="N66" i="18"/>
  <c r="T66" i="18"/>
  <c r="M88" i="18"/>
  <c r="T88" i="18"/>
  <c r="W35" i="14"/>
  <c r="W21" i="14"/>
  <c r="W17" i="14"/>
  <c r="W11" i="14"/>
  <c r="W30" i="14"/>
  <c r="W31" i="14"/>
  <c r="W16" i="14"/>
  <c r="W20" i="14"/>
  <c r="W32" i="14" l="1"/>
  <c r="W14" i="14"/>
  <c r="W23" i="14"/>
  <c r="W28" i="14"/>
  <c r="W26" i="14"/>
  <c r="W12" i="14"/>
  <c r="W33" i="14"/>
  <c r="W15" i="14"/>
  <c r="W19" i="14"/>
  <c r="W18" i="14"/>
  <c r="W27" i="14"/>
  <c r="N88" i="18"/>
  <c r="N49" i="14"/>
  <c r="K49" i="14"/>
  <c r="J49" i="14"/>
  <c r="I49" i="14"/>
  <c r="H49" i="14"/>
  <c r="G49" i="14"/>
  <c r="L48" i="14"/>
  <c r="L47" i="14"/>
  <c r="P47" i="14" s="1"/>
  <c r="L45" i="14"/>
  <c r="P45" i="14" s="1"/>
  <c r="L44" i="14"/>
  <c r="L42" i="14"/>
  <c r="L41" i="14"/>
  <c r="L38" i="14"/>
  <c r="P38" i="14" s="1"/>
  <c r="L37" i="14"/>
  <c r="L10" i="14"/>
  <c r="L9" i="14"/>
  <c r="L21" i="18" s="1"/>
  <c r="P48" i="14" l="1"/>
  <c r="V48" i="14" s="1"/>
  <c r="L119" i="18"/>
  <c r="P42" i="14"/>
  <c r="V42" i="14" s="1"/>
  <c r="L98" i="18"/>
  <c r="P44" i="14"/>
  <c r="U44" i="14" s="1"/>
  <c r="L106" i="18"/>
  <c r="L108" i="18" s="1"/>
  <c r="N21" i="18"/>
  <c r="T21" i="18"/>
  <c r="P10" i="14"/>
  <c r="U10" i="14" s="1"/>
  <c r="L25" i="18"/>
  <c r="P37" i="14"/>
  <c r="T37" i="14" s="1"/>
  <c r="L116" i="18"/>
  <c r="L118" i="18" s="1"/>
  <c r="P41" i="14"/>
  <c r="U41" i="14" s="1"/>
  <c r="L97" i="18"/>
  <c r="T38" i="14"/>
  <c r="S38" i="14"/>
  <c r="V38" i="14"/>
  <c r="U38" i="14"/>
  <c r="R38" i="14"/>
  <c r="R42" i="14"/>
  <c r="V45" i="14"/>
  <c r="R45" i="14"/>
  <c r="U45" i="14"/>
  <c r="S45" i="14"/>
  <c r="T45" i="14"/>
  <c r="T41" i="14"/>
  <c r="S41" i="14"/>
  <c r="R41" i="14"/>
  <c r="T47" i="14"/>
  <c r="R47" i="14"/>
  <c r="S47" i="14"/>
  <c r="U47" i="14"/>
  <c r="V47" i="14"/>
  <c r="U48" i="14"/>
  <c r="T48" i="14"/>
  <c r="R48" i="14"/>
  <c r="O49" i="14"/>
  <c r="P9" i="14"/>
  <c r="P40" i="14"/>
  <c r="U42" i="14" l="1"/>
  <c r="W42" i="14" s="1"/>
  <c r="S42" i="14"/>
  <c r="T42" i="14"/>
  <c r="S48" i="14"/>
  <c r="W48" i="14" s="1"/>
  <c r="V41" i="14"/>
  <c r="W41" i="14" s="1"/>
  <c r="S44" i="14"/>
  <c r="V44" i="14"/>
  <c r="R44" i="14"/>
  <c r="U37" i="14"/>
  <c r="T116" i="18"/>
  <c r="T118" i="18"/>
  <c r="V37" i="14"/>
  <c r="R37" i="14"/>
  <c r="S37" i="14"/>
  <c r="R10" i="14"/>
  <c r="T106" i="18"/>
  <c r="T108" i="18"/>
  <c r="N106" i="18"/>
  <c r="N108" i="18" s="1"/>
  <c r="S10" i="14"/>
  <c r="T10" i="14"/>
  <c r="T98" i="18"/>
  <c r="N98" i="18"/>
  <c r="T44" i="14"/>
  <c r="V10" i="14"/>
  <c r="N97" i="18"/>
  <c r="T97" i="18"/>
  <c r="T119" i="18"/>
  <c r="N119" i="18"/>
  <c r="N121" i="18" s="1"/>
  <c r="L121" i="18"/>
  <c r="T121" i="18" s="1"/>
  <c r="T25" i="18"/>
  <c r="N25" i="18"/>
  <c r="L49" i="14"/>
  <c r="AR2012" i="24" s="1"/>
  <c r="AF2012" i="24" s="1"/>
  <c r="W38" i="14"/>
  <c r="V9" i="14"/>
  <c r="U9" i="14"/>
  <c r="S9" i="14"/>
  <c r="R9" i="14"/>
  <c r="T9" i="14"/>
  <c r="W45" i="14"/>
  <c r="U40" i="14"/>
  <c r="T40" i="14"/>
  <c r="R40" i="14"/>
  <c r="V40" i="14"/>
  <c r="S40" i="14"/>
  <c r="W47" i="14"/>
  <c r="P49" i="14"/>
  <c r="W10" i="14" l="1"/>
  <c r="W37" i="14"/>
  <c r="AF2031" i="24"/>
  <c r="AC2031" i="24"/>
  <c r="AD2031" i="24" s="1"/>
  <c r="Z2031" i="24"/>
  <c r="AA2031" i="24" s="1"/>
  <c r="W44" i="14"/>
  <c r="W50" i="14"/>
  <c r="W40" i="14"/>
  <c r="L127" i="18"/>
  <c r="T49" i="14"/>
  <c r="R49" i="14"/>
  <c r="W9" i="14"/>
  <c r="S49" i="14"/>
  <c r="U49" i="14"/>
  <c r="V49" i="14"/>
  <c r="H114" i="9"/>
  <c r="H113" i="9"/>
  <c r="H112" i="9"/>
  <c r="H111" i="9"/>
  <c r="K325" i="9"/>
  <c r="M325" i="9" s="1"/>
  <c r="J325" i="9"/>
  <c r="K324" i="9"/>
  <c r="M324" i="9" s="1"/>
  <c r="J324" i="9"/>
  <c r="K323" i="9"/>
  <c r="M323" i="9" s="1"/>
  <c r="J323" i="9"/>
  <c r="K322" i="9"/>
  <c r="J322" i="9"/>
  <c r="K321" i="9"/>
  <c r="M321" i="9" s="1"/>
  <c r="J321" i="9"/>
  <c r="K310" i="9"/>
  <c r="K319" i="9" s="1"/>
  <c r="M319" i="9" s="1"/>
  <c r="J310" i="9"/>
  <c r="J317" i="9" s="1"/>
  <c r="K299" i="9"/>
  <c r="K309" i="9" s="1"/>
  <c r="M309" i="9" s="1"/>
  <c r="J299" i="9"/>
  <c r="J302" i="9" s="1"/>
  <c r="K298" i="9"/>
  <c r="M298" i="9" s="1"/>
  <c r="J298" i="9"/>
  <c r="K297" i="9"/>
  <c r="M297" i="9" s="1"/>
  <c r="J297" i="9"/>
  <c r="K272" i="9"/>
  <c r="J272" i="9"/>
  <c r="K262" i="9"/>
  <c r="K264" i="9" s="1"/>
  <c r="M264" i="9" s="1"/>
  <c r="J262" i="9"/>
  <c r="J271" i="9" s="1"/>
  <c r="K250" i="9"/>
  <c r="K258" i="9" s="1"/>
  <c r="J250" i="9"/>
  <c r="J255" i="9" s="1"/>
  <c r="K239" i="9"/>
  <c r="M239" i="9" s="1"/>
  <c r="J239" i="9"/>
  <c r="J247" i="9" s="1"/>
  <c r="K208" i="9"/>
  <c r="K215" i="9" s="1"/>
  <c r="M215" i="9" s="1"/>
  <c r="J208" i="9"/>
  <c r="J237" i="9" s="1"/>
  <c r="K197" i="9"/>
  <c r="K206" i="9" s="1"/>
  <c r="M206" i="9" s="1"/>
  <c r="J197" i="9"/>
  <c r="J206" i="9" s="1"/>
  <c r="K187" i="9"/>
  <c r="K195" i="9" s="1"/>
  <c r="M195" i="9" s="1"/>
  <c r="J187" i="9"/>
  <c r="J194" i="9" s="1"/>
  <c r="K180" i="9"/>
  <c r="K181" i="9" s="1"/>
  <c r="M181" i="9" s="1"/>
  <c r="J180" i="9"/>
  <c r="J184" i="9" s="1"/>
  <c r="K175" i="9"/>
  <c r="M175" i="9" s="1"/>
  <c r="J175" i="9"/>
  <c r="J178" i="9" s="1"/>
  <c r="K168" i="9"/>
  <c r="M168" i="9" s="1"/>
  <c r="J168" i="9"/>
  <c r="J171" i="9" s="1"/>
  <c r="K163" i="9"/>
  <c r="K164" i="9" s="1"/>
  <c r="M164" i="9" s="1"/>
  <c r="J163" i="9"/>
  <c r="J165" i="9" s="1"/>
  <c r="K151" i="9"/>
  <c r="K153" i="9" s="1"/>
  <c r="M153" i="9" s="1"/>
  <c r="J151" i="9"/>
  <c r="J160" i="9" s="1"/>
  <c r="K140" i="9"/>
  <c r="K141" i="9" s="1"/>
  <c r="M141" i="9" s="1"/>
  <c r="J140" i="9"/>
  <c r="J149" i="9" s="1"/>
  <c r="K129" i="9"/>
  <c r="K137" i="9" s="1"/>
  <c r="M137" i="9" s="1"/>
  <c r="J129" i="9"/>
  <c r="J138" i="9" s="1"/>
  <c r="K123" i="9"/>
  <c r="K125" i="9" s="1"/>
  <c r="M125" i="9" s="1"/>
  <c r="J123" i="9"/>
  <c r="J128" i="9" s="1"/>
  <c r="K117" i="9"/>
  <c r="K119" i="9" s="1"/>
  <c r="M119" i="9" s="1"/>
  <c r="J117" i="9"/>
  <c r="J122" i="9" s="1"/>
  <c r="K110" i="9"/>
  <c r="K111" i="9" s="1"/>
  <c r="M111" i="9" s="1"/>
  <c r="J110" i="9"/>
  <c r="J111" i="9" s="1"/>
  <c r="K104" i="9"/>
  <c r="K106" i="9" s="1"/>
  <c r="M106" i="9" s="1"/>
  <c r="J104" i="9"/>
  <c r="J106" i="9" s="1"/>
  <c r="K98" i="9"/>
  <c r="M98" i="9" s="1"/>
  <c r="J98" i="9"/>
  <c r="J103" i="9" s="1"/>
  <c r="K92" i="9"/>
  <c r="K95" i="9" s="1"/>
  <c r="M95" i="9" s="1"/>
  <c r="J92" i="9"/>
  <c r="J94" i="9" s="1"/>
  <c r="K76" i="9"/>
  <c r="K88" i="9" s="1"/>
  <c r="M88" i="9" s="1"/>
  <c r="J76" i="9"/>
  <c r="J80" i="9" s="1"/>
  <c r="K70" i="9"/>
  <c r="K71" i="9" s="1"/>
  <c r="M71" i="9" s="1"/>
  <c r="J70" i="9"/>
  <c r="J73" i="9" s="1"/>
  <c r="K59" i="9"/>
  <c r="K68" i="9" s="1"/>
  <c r="M68" i="9" s="1"/>
  <c r="J59" i="9"/>
  <c r="K48" i="9"/>
  <c r="K56" i="9" s="1"/>
  <c r="M56" i="9" s="1"/>
  <c r="J48" i="9"/>
  <c r="J55" i="9" s="1"/>
  <c r="K43" i="9"/>
  <c r="K47" i="9" s="1"/>
  <c r="M47" i="9" s="1"/>
  <c r="J43" i="9"/>
  <c r="J47" i="9" s="1"/>
  <c r="K42" i="9"/>
  <c r="M42" i="9" s="1"/>
  <c r="J42" i="9"/>
  <c r="K36" i="9"/>
  <c r="K38" i="9" s="1"/>
  <c r="M38" i="9" s="1"/>
  <c r="J36" i="9"/>
  <c r="J41" i="9" s="1"/>
  <c r="K25" i="9"/>
  <c r="K29" i="9" s="1"/>
  <c r="M29" i="9" s="1"/>
  <c r="J25" i="9"/>
  <c r="J27" i="9" s="1"/>
  <c r="K24" i="9"/>
  <c r="M24" i="9" s="1"/>
  <c r="J24" i="9"/>
  <c r="K14" i="9"/>
  <c r="K17" i="9" s="1"/>
  <c r="M17" i="9" s="1"/>
  <c r="J14" i="9"/>
  <c r="J18" i="9" s="1"/>
  <c r="D9" i="8"/>
  <c r="D8" i="8"/>
  <c r="M322" i="9"/>
  <c r="J306" i="9"/>
  <c r="J263" i="9"/>
  <c r="M261" i="9"/>
  <c r="H260" i="9"/>
  <c r="H259" i="9"/>
  <c r="L25" i="13" s="1"/>
  <c r="H258" i="9"/>
  <c r="H257" i="9"/>
  <c r="H256" i="9"/>
  <c r="H255" i="9"/>
  <c r="H254" i="9"/>
  <c r="H253" i="9"/>
  <c r="H252" i="9"/>
  <c r="H251" i="9"/>
  <c r="H249" i="9"/>
  <c r="H248" i="9"/>
  <c r="H247" i="9"/>
  <c r="H246" i="9"/>
  <c r="H245" i="9"/>
  <c r="H244" i="9"/>
  <c r="H243" i="9"/>
  <c r="L23" i="13" s="1"/>
  <c r="H242" i="9"/>
  <c r="H241" i="9"/>
  <c r="H240" i="9"/>
  <c r="H238" i="9"/>
  <c r="H237" i="9"/>
  <c r="H236" i="9"/>
  <c r="H235" i="9"/>
  <c r="H234" i="9"/>
  <c r="H233" i="9"/>
  <c r="H232" i="9"/>
  <c r="H231" i="9"/>
  <c r="L19" i="13" s="1"/>
  <c r="H230" i="9"/>
  <c r="H229" i="9"/>
  <c r="H228" i="9"/>
  <c r="H227" i="9"/>
  <c r="H226" i="9"/>
  <c r="H225" i="9"/>
  <c r="H224" i="9"/>
  <c r="H223" i="9"/>
  <c r="L18" i="13" s="1"/>
  <c r="K222" i="9"/>
  <c r="M222" i="9" s="1"/>
  <c r="H222" i="9"/>
  <c r="H221" i="9"/>
  <c r="H220" i="9"/>
  <c r="H219" i="9"/>
  <c r="K218" i="9"/>
  <c r="M218" i="9" s="1"/>
  <c r="H218" i="9"/>
  <c r="H217" i="9"/>
  <c r="H216" i="9"/>
  <c r="H215" i="9"/>
  <c r="H214" i="9"/>
  <c r="K213" i="9"/>
  <c r="M213" i="9" s="1"/>
  <c r="H213" i="9"/>
  <c r="H212" i="9"/>
  <c r="H211" i="9"/>
  <c r="K210" i="9"/>
  <c r="M210" i="9" s="1"/>
  <c r="H210" i="9"/>
  <c r="H209" i="9"/>
  <c r="H207" i="9"/>
  <c r="H206" i="9"/>
  <c r="H205" i="9"/>
  <c r="H204" i="9"/>
  <c r="H203" i="9"/>
  <c r="H202" i="9"/>
  <c r="H201" i="9"/>
  <c r="H200" i="9"/>
  <c r="H199" i="9"/>
  <c r="H198" i="9"/>
  <c r="L15" i="13" s="1"/>
  <c r="M197" i="9"/>
  <c r="H196" i="9"/>
  <c r="H195" i="9"/>
  <c r="K194" i="9"/>
  <c r="H194" i="9"/>
  <c r="H193" i="9"/>
  <c r="H192" i="9"/>
  <c r="L26" i="13" s="1"/>
  <c r="H191" i="9"/>
  <c r="H190" i="9"/>
  <c r="H189" i="9"/>
  <c r="K188" i="9"/>
  <c r="M188" i="9" s="1"/>
  <c r="H188" i="9"/>
  <c r="M186" i="9"/>
  <c r="H185" i="9"/>
  <c r="H184" i="9"/>
  <c r="H183" i="9"/>
  <c r="K182" i="9"/>
  <c r="M182" i="9" s="1"/>
  <c r="H182" i="9"/>
  <c r="H181" i="9"/>
  <c r="H179" i="9"/>
  <c r="H178" i="9"/>
  <c r="H177" i="9"/>
  <c r="H176" i="9"/>
  <c r="M174" i="9"/>
  <c r="H173" i="9"/>
  <c r="H172" i="9"/>
  <c r="H171" i="9"/>
  <c r="H170" i="9"/>
  <c r="H169" i="9"/>
  <c r="H167" i="9"/>
  <c r="H166" i="9"/>
  <c r="K165" i="9"/>
  <c r="M165" i="9" s="1"/>
  <c r="H165" i="9"/>
  <c r="H164" i="9"/>
  <c r="M162" i="9"/>
  <c r="K149" i="9"/>
  <c r="M149" i="9" s="1"/>
  <c r="J134" i="9"/>
  <c r="J132" i="9"/>
  <c r="H128" i="9"/>
  <c r="H127" i="9"/>
  <c r="H126" i="9"/>
  <c r="H125" i="9"/>
  <c r="H124" i="9"/>
  <c r="H122" i="9"/>
  <c r="H121" i="9"/>
  <c r="H120" i="9"/>
  <c r="H119" i="9"/>
  <c r="H118" i="9"/>
  <c r="M116" i="9"/>
  <c r="M115" i="9"/>
  <c r="M110" i="9"/>
  <c r="K114" i="9"/>
  <c r="M114" i="9" s="1"/>
  <c r="M104" i="9"/>
  <c r="K99" i="9"/>
  <c r="M99" i="9" s="1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K73" i="9"/>
  <c r="M73" i="9" s="1"/>
  <c r="J71" i="9"/>
  <c r="J74" i="9"/>
  <c r="K67" i="9"/>
  <c r="M67" i="9" s="1"/>
  <c r="J68" i="9"/>
  <c r="H58" i="9"/>
  <c r="H57" i="9"/>
  <c r="H56" i="9"/>
  <c r="H55" i="9"/>
  <c r="H54" i="9"/>
  <c r="H53" i="9"/>
  <c r="H52" i="9"/>
  <c r="H51" i="9"/>
  <c r="J50" i="9"/>
  <c r="H50" i="9"/>
  <c r="H49" i="9"/>
  <c r="K46" i="9"/>
  <c r="M46" i="9" s="1"/>
  <c r="H35" i="9"/>
  <c r="H34" i="9"/>
  <c r="H33" i="9"/>
  <c r="H32" i="9"/>
  <c r="H31" i="9"/>
  <c r="H30" i="9"/>
  <c r="J29" i="9"/>
  <c r="H29" i="9"/>
  <c r="H28" i="9"/>
  <c r="H27" i="9"/>
  <c r="H26" i="9"/>
  <c r="H23" i="9"/>
  <c r="H22" i="9"/>
  <c r="H21" i="9"/>
  <c r="H20" i="9"/>
  <c r="H19" i="9"/>
  <c r="H18" i="9"/>
  <c r="H17" i="9"/>
  <c r="H16" i="9"/>
  <c r="H15" i="9"/>
  <c r="K20" i="9"/>
  <c r="M20" i="9" s="1"/>
  <c r="J5" i="2"/>
  <c r="I32" i="6"/>
  <c r="I31" i="6"/>
  <c r="H29" i="6"/>
  <c r="G29" i="6"/>
  <c r="H28" i="6"/>
  <c r="G28" i="6"/>
  <c r="H27" i="6"/>
  <c r="G27" i="6"/>
  <c r="I24" i="6"/>
  <c r="I23" i="6"/>
  <c r="H22" i="6"/>
  <c r="H25" i="6" s="1"/>
  <c r="G22" i="6"/>
  <c r="G25" i="6" s="1"/>
  <c r="H20" i="6"/>
  <c r="G20" i="6"/>
  <c r="I19" i="6"/>
  <c r="I18" i="6"/>
  <c r="I17" i="6"/>
  <c r="I16" i="6"/>
  <c r="J34" i="9" l="1"/>
  <c r="J75" i="9"/>
  <c r="K167" i="9"/>
  <c r="M167" i="9" s="1"/>
  <c r="M43" i="9"/>
  <c r="J137" i="9"/>
  <c r="K216" i="9"/>
  <c r="M216" i="9" s="1"/>
  <c r="K234" i="9"/>
  <c r="M234" i="9" s="1"/>
  <c r="K44" i="9"/>
  <c r="M44" i="9" s="1"/>
  <c r="J130" i="9"/>
  <c r="K209" i="9"/>
  <c r="M209" i="9" s="1"/>
  <c r="K225" i="9"/>
  <c r="M225" i="9" s="1"/>
  <c r="J95" i="9"/>
  <c r="J121" i="9"/>
  <c r="K219" i="9"/>
  <c r="M219" i="9" s="1"/>
  <c r="K228" i="9"/>
  <c r="M228" i="9" s="1"/>
  <c r="K64" i="9"/>
  <c r="M64" i="9" s="1"/>
  <c r="K103" i="9"/>
  <c r="M103" i="9" s="1"/>
  <c r="K148" i="9"/>
  <c r="M148" i="9" s="1"/>
  <c r="J181" i="9"/>
  <c r="J309" i="9"/>
  <c r="M59" i="9"/>
  <c r="J136" i="9"/>
  <c r="J183" i="9"/>
  <c r="K237" i="9"/>
  <c r="M237" i="9" s="1"/>
  <c r="J264" i="9"/>
  <c r="K60" i="9"/>
  <c r="M60" i="9" s="1"/>
  <c r="K212" i="9"/>
  <c r="M212" i="9" s="1"/>
  <c r="K145" i="9"/>
  <c r="M145" i="9" s="1"/>
  <c r="K192" i="9"/>
  <c r="L16" i="13"/>
  <c r="J35" i="9"/>
  <c r="K152" i="9"/>
  <c r="M152" i="9" s="1"/>
  <c r="K154" i="9"/>
  <c r="M154" i="9" s="1"/>
  <c r="L12" i="13"/>
  <c r="K156" i="9"/>
  <c r="M156" i="9" s="1"/>
  <c r="K157" i="9"/>
  <c r="M157" i="9" s="1"/>
  <c r="K160" i="9"/>
  <c r="M160" i="9" s="1"/>
  <c r="K231" i="9"/>
  <c r="M231" i="9" s="1"/>
  <c r="K50" i="9"/>
  <c r="M50" i="9" s="1"/>
  <c r="K109" i="9"/>
  <c r="M109" i="9" s="1"/>
  <c r="O26" i="13"/>
  <c r="K107" i="9"/>
  <c r="M107" i="9" s="1"/>
  <c r="AG2031" i="24"/>
  <c r="L22" i="13"/>
  <c r="J267" i="9"/>
  <c r="K278" i="9"/>
  <c r="M278" i="9" s="1"/>
  <c r="M140" i="9"/>
  <c r="M187" i="9"/>
  <c r="L17" i="13"/>
  <c r="K30" i="9"/>
  <c r="M30" i="9" s="1"/>
  <c r="L14" i="13"/>
  <c r="K249" i="9"/>
  <c r="M249" i="9" s="1"/>
  <c r="K241" i="9"/>
  <c r="M241" i="9" s="1"/>
  <c r="I27" i="6"/>
  <c r="K102" i="9"/>
  <c r="M102" i="9" s="1"/>
  <c r="K121" i="9"/>
  <c r="M121" i="9" s="1"/>
  <c r="K189" i="9"/>
  <c r="M189" i="9" s="1"/>
  <c r="K244" i="9"/>
  <c r="M244" i="9" s="1"/>
  <c r="J278" i="9"/>
  <c r="K240" i="9"/>
  <c r="M240" i="9" s="1"/>
  <c r="K169" i="9"/>
  <c r="M169" i="9" s="1"/>
  <c r="L20" i="13"/>
  <c r="K26" i="9"/>
  <c r="M26" i="9" s="1"/>
  <c r="K35" i="9"/>
  <c r="M35" i="9" s="1"/>
  <c r="L21" i="13"/>
  <c r="K72" i="9"/>
  <c r="M72" i="9" s="1"/>
  <c r="K191" i="9"/>
  <c r="M191" i="9" s="1"/>
  <c r="K246" i="9"/>
  <c r="M246" i="9" s="1"/>
  <c r="J249" i="9"/>
  <c r="I29" i="6"/>
  <c r="I20" i="6"/>
  <c r="J72" i="9"/>
  <c r="J152" i="9"/>
  <c r="M258" i="9"/>
  <c r="J30" i="9"/>
  <c r="J56" i="9"/>
  <c r="J268" i="9"/>
  <c r="M194" i="9"/>
  <c r="J119" i="9"/>
  <c r="M262" i="9"/>
  <c r="O25" i="13"/>
  <c r="J33" i="9"/>
  <c r="O13" i="13"/>
  <c r="W49" i="14"/>
  <c r="W51" i="14" s="1"/>
  <c r="L13" i="13"/>
  <c r="J279" i="9"/>
  <c r="M192" i="9"/>
  <c r="L24" i="13"/>
  <c r="J243" i="9"/>
  <c r="J244" i="9"/>
  <c r="I25" i="6"/>
  <c r="J52" i="9"/>
  <c r="J58" i="9"/>
  <c r="J107" i="9"/>
  <c r="J120" i="9"/>
  <c r="J156" i="9"/>
  <c r="K176" i="9"/>
  <c r="M176" i="9" s="1"/>
  <c r="J53" i="9"/>
  <c r="I22" i="6"/>
  <c r="J26" i="9"/>
  <c r="J32" i="9"/>
  <c r="J57" i="9"/>
  <c r="K53" i="9"/>
  <c r="M53" i="9" s="1"/>
  <c r="J118" i="9"/>
  <c r="K127" i="9"/>
  <c r="M127" i="9" s="1"/>
  <c r="J158" i="9"/>
  <c r="J270" i="9"/>
  <c r="K58" i="9"/>
  <c r="M58" i="9" s="1"/>
  <c r="K158" i="9"/>
  <c r="M158" i="9" s="1"/>
  <c r="J275" i="9"/>
  <c r="J161" i="9"/>
  <c r="J49" i="9"/>
  <c r="M151" i="9"/>
  <c r="K161" i="9"/>
  <c r="M161" i="9" s="1"/>
  <c r="K236" i="9"/>
  <c r="J154" i="9"/>
  <c r="J21" i="9"/>
  <c r="J15" i="9"/>
  <c r="J23" i="9"/>
  <c r="J248" i="9"/>
  <c r="J240" i="9"/>
  <c r="J246" i="9"/>
  <c r="J241" i="9"/>
  <c r="J204" i="9"/>
  <c r="J191" i="9"/>
  <c r="Q33" i="4" s="1"/>
  <c r="J33" i="4" s="1"/>
  <c r="J196" i="9"/>
  <c r="J207" i="9"/>
  <c r="J198" i="9"/>
  <c r="J188" i="9"/>
  <c r="J201" i="9"/>
  <c r="J89" i="9"/>
  <c r="J38" i="9"/>
  <c r="K122" i="9"/>
  <c r="M122" i="9" s="1"/>
  <c r="K128" i="9"/>
  <c r="M128" i="9" s="1"/>
  <c r="J257" i="9"/>
  <c r="K39" i="9"/>
  <c r="M39" i="9" s="1"/>
  <c r="K27" i="9"/>
  <c r="M27" i="9" s="1"/>
  <c r="K32" i="9"/>
  <c r="M32" i="9" s="1"/>
  <c r="J37" i="9"/>
  <c r="K75" i="9"/>
  <c r="M75" i="9" s="1"/>
  <c r="J83" i="9"/>
  <c r="K97" i="9"/>
  <c r="M97" i="9" s="1"/>
  <c r="K126" i="9"/>
  <c r="M126" i="9" s="1"/>
  <c r="K136" i="9"/>
  <c r="M136" i="9" s="1"/>
  <c r="K179" i="9"/>
  <c r="M179" i="9" s="1"/>
  <c r="K184" i="9"/>
  <c r="M184" i="9" s="1"/>
  <c r="J251" i="9"/>
  <c r="J258" i="9"/>
  <c r="M23" i="13" s="1"/>
  <c r="K320" i="9"/>
  <c r="M320" i="9" s="1"/>
  <c r="J91" i="9"/>
  <c r="M92" i="9"/>
  <c r="M123" i="9"/>
  <c r="K172" i="9"/>
  <c r="M172" i="9" s="1"/>
  <c r="M310" i="9"/>
  <c r="J39" i="9"/>
  <c r="K185" i="9"/>
  <c r="M185" i="9" s="1"/>
  <c r="J252" i="9"/>
  <c r="K311" i="9"/>
  <c r="M311" i="9" s="1"/>
  <c r="M70" i="9"/>
  <c r="K94" i="9"/>
  <c r="M94" i="9" s="1"/>
  <c r="K124" i="9"/>
  <c r="M124" i="9" s="1"/>
  <c r="M180" i="9"/>
  <c r="K247" i="9"/>
  <c r="M247" i="9" s="1"/>
  <c r="J260" i="9"/>
  <c r="K313" i="9"/>
  <c r="M313" i="9" s="1"/>
  <c r="K34" i="9"/>
  <c r="M34" i="9" s="1"/>
  <c r="K33" i="9"/>
  <c r="M33" i="9" s="1"/>
  <c r="J77" i="9"/>
  <c r="J86" i="9"/>
  <c r="K248" i="9"/>
  <c r="M248" i="9" s="1"/>
  <c r="K243" i="9"/>
  <c r="K315" i="9"/>
  <c r="M315" i="9" s="1"/>
  <c r="M25" i="9"/>
  <c r="K171" i="9"/>
  <c r="M171" i="9" s="1"/>
  <c r="K178" i="9"/>
  <c r="M178" i="9" s="1"/>
  <c r="J254" i="9"/>
  <c r="K317" i="9"/>
  <c r="M317" i="9" s="1"/>
  <c r="J259" i="9"/>
  <c r="Q32" i="4" s="1"/>
  <c r="J32" i="4" s="1"/>
  <c r="K23" i="9"/>
  <c r="M23" i="9" s="1"/>
  <c r="K85" i="9"/>
  <c r="M85" i="9" s="1"/>
  <c r="M14" i="9"/>
  <c r="J40" i="9"/>
  <c r="J44" i="9"/>
  <c r="J51" i="9"/>
  <c r="J54" i="9"/>
  <c r="M76" i="9"/>
  <c r="M129" i="9"/>
  <c r="J182" i="9"/>
  <c r="J185" i="9"/>
  <c r="J189" i="9"/>
  <c r="J192" i="9"/>
  <c r="M14" i="13" s="1"/>
  <c r="J195" i="9"/>
  <c r="K198" i="9"/>
  <c r="O15" i="13" s="1"/>
  <c r="K201" i="9"/>
  <c r="M201" i="9" s="1"/>
  <c r="K204" i="9"/>
  <c r="M204" i="9" s="1"/>
  <c r="K207" i="9"/>
  <c r="M207" i="9" s="1"/>
  <c r="J253" i="9"/>
  <c r="J256" i="9"/>
  <c r="K263" i="9"/>
  <c r="M263" i="9" s="1"/>
  <c r="K267" i="9"/>
  <c r="M267" i="9" s="1"/>
  <c r="K271" i="9"/>
  <c r="M271" i="9" s="1"/>
  <c r="K275" i="9"/>
  <c r="M275" i="9" s="1"/>
  <c r="K279" i="9"/>
  <c r="M279" i="9" s="1"/>
  <c r="K302" i="9"/>
  <c r="M302" i="9" s="1"/>
  <c r="K306" i="9"/>
  <c r="M306" i="9" s="1"/>
  <c r="K314" i="9"/>
  <c r="M314" i="9" s="1"/>
  <c r="K318" i="9"/>
  <c r="M318" i="9" s="1"/>
  <c r="J126" i="9"/>
  <c r="J318" i="9"/>
  <c r="K40" i="9"/>
  <c r="M40" i="9" s="1"/>
  <c r="K51" i="9"/>
  <c r="M51" i="9" s="1"/>
  <c r="K54" i="9"/>
  <c r="M54" i="9" s="1"/>
  <c r="K57" i="9"/>
  <c r="M57" i="9" s="1"/>
  <c r="J61" i="9"/>
  <c r="J65" i="9"/>
  <c r="J69" i="9"/>
  <c r="J96" i="9"/>
  <c r="J100" i="9"/>
  <c r="J108" i="9"/>
  <c r="J112" i="9"/>
  <c r="K120" i="9"/>
  <c r="M120" i="9" s="1"/>
  <c r="J142" i="9"/>
  <c r="J146" i="9"/>
  <c r="J150" i="9"/>
  <c r="J169" i="9"/>
  <c r="J172" i="9"/>
  <c r="J176" i="9"/>
  <c r="J179" i="9"/>
  <c r="K253" i="9"/>
  <c r="M253" i="9" s="1"/>
  <c r="K256" i="9"/>
  <c r="M256" i="9" s="1"/>
  <c r="K259" i="9"/>
  <c r="K82" i="9"/>
  <c r="M82" i="9" s="1"/>
  <c r="J314" i="9"/>
  <c r="M36" i="9"/>
  <c r="M48" i="9"/>
  <c r="K61" i="9"/>
  <c r="M61" i="9" s="1"/>
  <c r="K65" i="9"/>
  <c r="M65" i="9" s="1"/>
  <c r="K69" i="9"/>
  <c r="M69" i="9" s="1"/>
  <c r="K96" i="9"/>
  <c r="M96" i="9" s="1"/>
  <c r="K100" i="9"/>
  <c r="M100" i="9" s="1"/>
  <c r="K108" i="9"/>
  <c r="M108" i="9" s="1"/>
  <c r="K112" i="9"/>
  <c r="M112" i="9" s="1"/>
  <c r="M117" i="9"/>
  <c r="K130" i="9"/>
  <c r="M130" i="9" s="1"/>
  <c r="K134" i="9"/>
  <c r="M134" i="9" s="1"/>
  <c r="K138" i="9"/>
  <c r="M138" i="9" s="1"/>
  <c r="K142" i="9"/>
  <c r="M142" i="9" s="1"/>
  <c r="K146" i="9"/>
  <c r="M146" i="9" s="1"/>
  <c r="K150" i="9"/>
  <c r="M150" i="9" s="1"/>
  <c r="J166" i="9"/>
  <c r="J211" i="9"/>
  <c r="J214" i="9"/>
  <c r="J217" i="9"/>
  <c r="J220" i="9"/>
  <c r="J223" i="9"/>
  <c r="J226" i="9"/>
  <c r="J229" i="9"/>
  <c r="J232" i="9"/>
  <c r="J235" i="9"/>
  <c r="J238" i="9"/>
  <c r="M250" i="9"/>
  <c r="J276" i="9"/>
  <c r="J280" i="9"/>
  <c r="J303" i="9"/>
  <c r="J307" i="9"/>
  <c r="J311" i="9"/>
  <c r="J315" i="9"/>
  <c r="J319" i="9"/>
  <c r="K15" i="9"/>
  <c r="M15" i="9" s="1"/>
  <c r="K18" i="9"/>
  <c r="M18" i="9" s="1"/>
  <c r="K21" i="9"/>
  <c r="M21" i="9" s="1"/>
  <c r="J45" i="9"/>
  <c r="K77" i="9"/>
  <c r="M77" i="9" s="1"/>
  <c r="K80" i="9"/>
  <c r="M80" i="9" s="1"/>
  <c r="K83" i="9"/>
  <c r="M83" i="9" s="1"/>
  <c r="K86" i="9"/>
  <c r="M86" i="9" s="1"/>
  <c r="K89" i="9"/>
  <c r="M89" i="9" s="1"/>
  <c r="J124" i="9"/>
  <c r="J127" i="9"/>
  <c r="K166" i="9"/>
  <c r="M166" i="9" s="1"/>
  <c r="J199" i="9"/>
  <c r="J202" i="9"/>
  <c r="J205" i="9"/>
  <c r="K211" i="9"/>
  <c r="M211" i="9" s="1"/>
  <c r="K214" i="9"/>
  <c r="M214" i="9" s="1"/>
  <c r="K217" i="9"/>
  <c r="M217" i="9" s="1"/>
  <c r="K220" i="9"/>
  <c r="M220" i="9" s="1"/>
  <c r="K223" i="9"/>
  <c r="K226" i="9"/>
  <c r="M226" i="9" s="1"/>
  <c r="K229" i="9"/>
  <c r="M229" i="9" s="1"/>
  <c r="K232" i="9"/>
  <c r="M232" i="9" s="1"/>
  <c r="K235" i="9"/>
  <c r="M235" i="9" s="1"/>
  <c r="K238" i="9"/>
  <c r="M238" i="9" s="1"/>
  <c r="K268" i="9"/>
  <c r="M268" i="9" s="1"/>
  <c r="K276" i="9"/>
  <c r="M276" i="9" s="1"/>
  <c r="K280" i="9"/>
  <c r="M280" i="9" s="1"/>
  <c r="K303" i="9"/>
  <c r="M303" i="9" s="1"/>
  <c r="K307" i="9"/>
  <c r="M307" i="9" s="1"/>
  <c r="K37" i="9"/>
  <c r="M37" i="9" s="1"/>
  <c r="K41" i="9"/>
  <c r="M41" i="9" s="1"/>
  <c r="K45" i="9"/>
  <c r="M45" i="9" s="1"/>
  <c r="J62" i="9"/>
  <c r="J66" i="9"/>
  <c r="J93" i="9"/>
  <c r="J97" i="9"/>
  <c r="J101" i="9"/>
  <c r="J105" i="9"/>
  <c r="J109" i="9"/>
  <c r="J113" i="9"/>
  <c r="J131" i="9"/>
  <c r="J135" i="9"/>
  <c r="J139" i="9"/>
  <c r="J143" i="9"/>
  <c r="J147" i="9"/>
  <c r="J155" i="9"/>
  <c r="J159" i="9"/>
  <c r="M163" i="9"/>
  <c r="J190" i="9"/>
  <c r="J193" i="9"/>
  <c r="K199" i="9"/>
  <c r="M199" i="9" s="1"/>
  <c r="K202" i="9"/>
  <c r="M202" i="9" s="1"/>
  <c r="K205" i="9"/>
  <c r="M205" i="9" s="1"/>
  <c r="M208" i="9"/>
  <c r="M272" i="9"/>
  <c r="M299" i="9"/>
  <c r="J28" i="9"/>
  <c r="J31" i="9"/>
  <c r="K49" i="9"/>
  <c r="M49" i="9" s="1"/>
  <c r="K52" i="9"/>
  <c r="K55" i="9"/>
  <c r="M55" i="9" s="1"/>
  <c r="K62" i="9"/>
  <c r="M62" i="9" s="1"/>
  <c r="K66" i="9"/>
  <c r="M66" i="9" s="1"/>
  <c r="K74" i="9"/>
  <c r="M74" i="9" s="1"/>
  <c r="K93" i="9"/>
  <c r="M93" i="9" s="1"/>
  <c r="K101" i="9"/>
  <c r="M101" i="9" s="1"/>
  <c r="K105" i="9"/>
  <c r="M105" i="9" s="1"/>
  <c r="K113" i="9"/>
  <c r="M113" i="9" s="1"/>
  <c r="K118" i="9"/>
  <c r="M118" i="9" s="1"/>
  <c r="K131" i="9"/>
  <c r="M131" i="9" s="1"/>
  <c r="K135" i="9"/>
  <c r="M135" i="9" s="1"/>
  <c r="K139" i="9"/>
  <c r="M139" i="9" s="1"/>
  <c r="K143" i="9"/>
  <c r="M143" i="9" s="1"/>
  <c r="K147" i="9"/>
  <c r="M147" i="9" s="1"/>
  <c r="K155" i="9"/>
  <c r="M155" i="9" s="1"/>
  <c r="K159" i="9"/>
  <c r="M159" i="9" s="1"/>
  <c r="J170" i="9"/>
  <c r="J173" i="9"/>
  <c r="J177" i="9"/>
  <c r="K183" i="9"/>
  <c r="M183" i="9" s="1"/>
  <c r="K190" i="9"/>
  <c r="M190" i="9" s="1"/>
  <c r="K193" i="9"/>
  <c r="M193" i="9" s="1"/>
  <c r="K196" i="9"/>
  <c r="M196" i="9" s="1"/>
  <c r="J242" i="9"/>
  <c r="J245" i="9"/>
  <c r="K251" i="9"/>
  <c r="M251" i="9" s="1"/>
  <c r="K254" i="9"/>
  <c r="M254" i="9" s="1"/>
  <c r="K257" i="9"/>
  <c r="M257" i="9" s="1"/>
  <c r="K260" i="9"/>
  <c r="M260" i="9" s="1"/>
  <c r="J265" i="9"/>
  <c r="J269" i="9"/>
  <c r="J273" i="9"/>
  <c r="J277" i="9"/>
  <c r="J281" i="9"/>
  <c r="J300" i="9"/>
  <c r="J304" i="9"/>
  <c r="J308" i="9"/>
  <c r="J312" i="9"/>
  <c r="J316" i="9"/>
  <c r="J320" i="9"/>
  <c r="K133" i="9"/>
  <c r="M133" i="9" s="1"/>
  <c r="J16" i="9"/>
  <c r="J19" i="9"/>
  <c r="J22" i="9"/>
  <c r="K28" i="9"/>
  <c r="M28" i="9" s="1"/>
  <c r="K31" i="9"/>
  <c r="M31" i="9" s="1"/>
  <c r="J46" i="9"/>
  <c r="J78" i="9"/>
  <c r="J81" i="9"/>
  <c r="J84" i="9"/>
  <c r="J87" i="9"/>
  <c r="J90" i="9"/>
  <c r="J164" i="9"/>
  <c r="J167" i="9"/>
  <c r="K170" i="9"/>
  <c r="M170" i="9" s="1"/>
  <c r="K173" i="9"/>
  <c r="M173" i="9" s="1"/>
  <c r="K177" i="9"/>
  <c r="M177" i="9" s="1"/>
  <c r="J209" i="9"/>
  <c r="J212" i="9"/>
  <c r="J215" i="9"/>
  <c r="J218" i="9"/>
  <c r="J221" i="9"/>
  <c r="J224" i="9"/>
  <c r="J227" i="9"/>
  <c r="J230" i="9"/>
  <c r="J233" i="9"/>
  <c r="J236" i="9"/>
  <c r="K242" i="9"/>
  <c r="O19" i="13" s="1"/>
  <c r="K245" i="9"/>
  <c r="M245" i="9" s="1"/>
  <c r="K265" i="9"/>
  <c r="M265" i="9" s="1"/>
  <c r="K269" i="9"/>
  <c r="M269" i="9" s="1"/>
  <c r="K273" i="9"/>
  <c r="M273" i="9" s="1"/>
  <c r="K277" i="9"/>
  <c r="M277" i="9" s="1"/>
  <c r="K281" i="9"/>
  <c r="M281" i="9" s="1"/>
  <c r="K300" i="9"/>
  <c r="M300" i="9" s="1"/>
  <c r="K304" i="9"/>
  <c r="M304" i="9" s="1"/>
  <c r="K308" i="9"/>
  <c r="M308" i="9" s="1"/>
  <c r="K312" i="9"/>
  <c r="M312" i="9" s="1"/>
  <c r="K316" i="9"/>
  <c r="M316" i="9" s="1"/>
  <c r="K91" i="9"/>
  <c r="M91" i="9" s="1"/>
  <c r="K16" i="9"/>
  <c r="M16" i="9" s="1"/>
  <c r="K19" i="9"/>
  <c r="M19" i="9" s="1"/>
  <c r="K22" i="9"/>
  <c r="M22" i="9" s="1"/>
  <c r="J63" i="9"/>
  <c r="J67" i="9"/>
  <c r="K78" i="9"/>
  <c r="M78" i="9" s="1"/>
  <c r="K81" i="9"/>
  <c r="M81" i="9" s="1"/>
  <c r="K84" i="9"/>
  <c r="M84" i="9" s="1"/>
  <c r="K87" i="9"/>
  <c r="M87" i="9" s="1"/>
  <c r="K90" i="9"/>
  <c r="M90" i="9" s="1"/>
  <c r="J102" i="9"/>
  <c r="J114" i="9"/>
  <c r="J125" i="9"/>
  <c r="J144" i="9"/>
  <c r="J148" i="9"/>
  <c r="J200" i="9"/>
  <c r="J203" i="9"/>
  <c r="K221" i="9"/>
  <c r="K224" i="9"/>
  <c r="M224" i="9" s="1"/>
  <c r="K227" i="9"/>
  <c r="M227" i="9" s="1"/>
  <c r="K230" i="9"/>
  <c r="M230" i="9" s="1"/>
  <c r="K233" i="9"/>
  <c r="M233" i="9" s="1"/>
  <c r="K79" i="9"/>
  <c r="M79" i="9" s="1"/>
  <c r="K63" i="9"/>
  <c r="M63" i="9" s="1"/>
  <c r="K132" i="9"/>
  <c r="M132" i="9" s="1"/>
  <c r="K144" i="9"/>
  <c r="M144" i="9" s="1"/>
  <c r="K200" i="9"/>
  <c r="M200" i="9" s="1"/>
  <c r="K203" i="9"/>
  <c r="M203" i="9" s="1"/>
  <c r="J266" i="9"/>
  <c r="J274" i="9"/>
  <c r="J301" i="9"/>
  <c r="J305" i="9"/>
  <c r="J313" i="9"/>
  <c r="K252" i="9"/>
  <c r="M252" i="9" s="1"/>
  <c r="K255" i="9"/>
  <c r="M255" i="9" s="1"/>
  <c r="K266" i="9"/>
  <c r="M266" i="9" s="1"/>
  <c r="K270" i="9"/>
  <c r="M270" i="9" s="1"/>
  <c r="K274" i="9"/>
  <c r="M274" i="9" s="1"/>
  <c r="K301" i="9"/>
  <c r="M301" i="9" s="1"/>
  <c r="K305" i="9"/>
  <c r="M305" i="9" s="1"/>
  <c r="J17" i="9"/>
  <c r="J20" i="9"/>
  <c r="J60" i="9"/>
  <c r="J64" i="9"/>
  <c r="J79" i="9"/>
  <c r="J82" i="9"/>
  <c r="J85" i="9"/>
  <c r="J88" i="9"/>
  <c r="J99" i="9"/>
  <c r="J133" i="9"/>
  <c r="J141" i="9"/>
  <c r="J145" i="9"/>
  <c r="J153" i="9"/>
  <c r="J157" i="9"/>
  <c r="J210" i="9"/>
  <c r="J213" i="9"/>
  <c r="J216" i="9"/>
  <c r="J219" i="9"/>
  <c r="J222" i="9"/>
  <c r="J225" i="9"/>
  <c r="J228" i="9"/>
  <c r="J231" i="9"/>
  <c r="Q27" i="4" s="1"/>
  <c r="J234" i="9"/>
  <c r="H30" i="6"/>
  <c r="H33" i="6" s="1"/>
  <c r="I28" i="6"/>
  <c r="G30" i="6"/>
  <c r="Q26" i="4" l="1"/>
  <c r="Q28" i="4"/>
  <c r="J28" i="4" s="1"/>
  <c r="M26" i="13"/>
  <c r="Q34" i="4"/>
  <c r="J34" i="4" s="1"/>
  <c r="O23" i="13"/>
  <c r="Q22" i="4"/>
  <c r="J22" i="4" s="1"/>
  <c r="J27" i="4"/>
  <c r="J26" i="4"/>
  <c r="Q24" i="4"/>
  <c r="Q30" i="4"/>
  <c r="O14" i="13"/>
  <c r="Q23" i="4"/>
  <c r="Q20" i="4"/>
  <c r="J20" i="4" s="1"/>
  <c r="Q21" i="4"/>
  <c r="J21" i="4" s="1"/>
  <c r="Q25" i="4"/>
  <c r="M221" i="9"/>
  <c r="O17" i="13"/>
  <c r="M21" i="13"/>
  <c r="M52" i="9"/>
  <c r="O12" i="13"/>
  <c r="M236" i="9"/>
  <c r="O20" i="13"/>
  <c r="Q29" i="4"/>
  <c r="Q31" i="4"/>
  <c r="M259" i="9"/>
  <c r="O24" i="13"/>
  <c r="M243" i="9"/>
  <c r="O22" i="13"/>
  <c r="M242" i="9"/>
  <c r="O21" i="13"/>
  <c r="M198" i="9"/>
  <c r="O16" i="13"/>
  <c r="M223" i="9"/>
  <c r="O18" i="13"/>
  <c r="M19" i="13"/>
  <c r="M20" i="13"/>
  <c r="M13" i="13"/>
  <c r="M16" i="13"/>
  <c r="M17" i="13"/>
  <c r="M25" i="13"/>
  <c r="M15" i="13"/>
  <c r="I30" i="6"/>
  <c r="I33" i="6" s="1"/>
  <c r="G33" i="6"/>
  <c r="M22" i="13"/>
  <c r="M12" i="13"/>
  <c r="M24" i="13"/>
  <c r="M18" i="13"/>
  <c r="J118" i="4"/>
  <c r="J117" i="4"/>
  <c r="J116" i="4"/>
  <c r="J115" i="4"/>
  <c r="J114" i="4"/>
  <c r="J113" i="4"/>
  <c r="J112" i="4"/>
  <c r="J111" i="4"/>
  <c r="I104" i="4"/>
  <c r="H104" i="4"/>
  <c r="B104" i="4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H63" i="13"/>
  <c r="F63" i="13"/>
  <c r="D63" i="13"/>
  <c r="H62" i="13"/>
  <c r="F62" i="13"/>
  <c r="D62" i="13"/>
  <c r="H61" i="13"/>
  <c r="F61" i="13"/>
  <c r="D61" i="13"/>
  <c r="H60" i="13"/>
  <c r="F60" i="13"/>
  <c r="D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C21" i="4"/>
  <c r="C22" i="4" s="1"/>
  <c r="C23" i="4" s="1"/>
  <c r="J31" i="4" l="1"/>
  <c r="J29" i="4"/>
  <c r="J25" i="4"/>
  <c r="J23" i="4"/>
  <c r="J30" i="4"/>
  <c r="J24" i="4"/>
  <c r="L15" i="4"/>
  <c r="L11" i="4"/>
  <c r="L14" i="4"/>
  <c r="H96" i="13"/>
  <c r="E105" i="3" s="1"/>
  <c r="E106" i="3" s="1"/>
  <c r="D27" i="13"/>
  <c r="A35" i="4"/>
  <c r="Q35" i="4" s="1"/>
  <c r="J35" i="4" s="1"/>
  <c r="E27" i="13"/>
  <c r="E30" i="13"/>
  <c r="A38" i="4"/>
  <c r="Q38" i="4" s="1"/>
  <c r="J38" i="4" s="1"/>
  <c r="E33" i="13"/>
  <c r="A41" i="4"/>
  <c r="Q41" i="4" s="1"/>
  <c r="J41" i="4" s="1"/>
  <c r="E36" i="13"/>
  <c r="A44" i="4"/>
  <c r="Q44" i="4" s="1"/>
  <c r="J44" i="4" s="1"/>
  <c r="A47" i="4"/>
  <c r="Q47" i="4" s="1"/>
  <c r="J47" i="4" s="1"/>
  <c r="K47" i="4" s="1"/>
  <c r="L47" i="4" s="1"/>
  <c r="G39" i="13" s="1"/>
  <c r="E39" i="13"/>
  <c r="E42" i="13"/>
  <c r="A50" i="4"/>
  <c r="Q50" i="4" s="1"/>
  <c r="J50" i="4" s="1"/>
  <c r="K50" i="4" s="1"/>
  <c r="L50" i="4" s="1"/>
  <c r="G42" i="13" s="1"/>
  <c r="E45" i="13"/>
  <c r="A53" i="4"/>
  <c r="Q53" i="4" s="1"/>
  <c r="J53" i="4" s="1"/>
  <c r="K53" i="4" s="1"/>
  <c r="L53" i="4" s="1"/>
  <c r="G45" i="13" s="1"/>
  <c r="E48" i="13"/>
  <c r="A56" i="4"/>
  <c r="Q56" i="4" s="1"/>
  <c r="J56" i="4" s="1"/>
  <c r="K56" i="4" s="1"/>
  <c r="L56" i="4" s="1"/>
  <c r="G48" i="13" s="1"/>
  <c r="A59" i="4"/>
  <c r="Q59" i="4" s="1"/>
  <c r="J59" i="4" s="1"/>
  <c r="K59" i="4" s="1"/>
  <c r="L59" i="4" s="1"/>
  <c r="G51" i="13" s="1"/>
  <c r="E51" i="13"/>
  <c r="E54" i="13"/>
  <c r="A62" i="4"/>
  <c r="Q62" i="4" s="1"/>
  <c r="J62" i="4" s="1"/>
  <c r="K62" i="4" s="1"/>
  <c r="L62" i="4" s="1"/>
  <c r="G54" i="13" s="1"/>
  <c r="E57" i="13"/>
  <c r="A65" i="4"/>
  <c r="Q65" i="4" s="1"/>
  <c r="J65" i="4" s="1"/>
  <c r="K65" i="4" s="1"/>
  <c r="L65" i="4" s="1"/>
  <c r="G57" i="13" s="1"/>
  <c r="E60" i="13"/>
  <c r="A68" i="4"/>
  <c r="Q68" i="4" s="1"/>
  <c r="J68" i="4" s="1"/>
  <c r="K68" i="4" s="1"/>
  <c r="L68" i="4" s="1"/>
  <c r="G60" i="13" s="1"/>
  <c r="A71" i="4"/>
  <c r="Q71" i="4" s="1"/>
  <c r="J71" i="4" s="1"/>
  <c r="K71" i="4" s="1"/>
  <c r="L71" i="4" s="1"/>
  <c r="G63" i="13" s="1"/>
  <c r="E63" i="13"/>
  <c r="E66" i="13"/>
  <c r="A74" i="4"/>
  <c r="Q74" i="4" s="1"/>
  <c r="J74" i="4" s="1"/>
  <c r="K74" i="4" s="1"/>
  <c r="L74" i="4" s="1"/>
  <c r="G66" i="13" s="1"/>
  <c r="E69" i="13"/>
  <c r="A77" i="4"/>
  <c r="Q77" i="4" s="1"/>
  <c r="J77" i="4" s="1"/>
  <c r="K77" i="4" s="1"/>
  <c r="L77" i="4" s="1"/>
  <c r="G69" i="13" s="1"/>
  <c r="E72" i="13"/>
  <c r="A80" i="4"/>
  <c r="Q80" i="4" s="1"/>
  <c r="J80" i="4" s="1"/>
  <c r="K80" i="4" s="1"/>
  <c r="L80" i="4" s="1"/>
  <c r="G72" i="13" s="1"/>
  <c r="A83" i="4"/>
  <c r="Q83" i="4" s="1"/>
  <c r="J83" i="4" s="1"/>
  <c r="K83" i="4" s="1"/>
  <c r="L83" i="4" s="1"/>
  <c r="G75" i="13" s="1"/>
  <c r="E75" i="13"/>
  <c r="E78" i="13"/>
  <c r="A86" i="4"/>
  <c r="Q86" i="4" s="1"/>
  <c r="J86" i="4" s="1"/>
  <c r="K86" i="4" s="1"/>
  <c r="L86" i="4" s="1"/>
  <c r="G78" i="13" s="1"/>
  <c r="E81" i="13"/>
  <c r="A89" i="4"/>
  <c r="Q89" i="4" s="1"/>
  <c r="J89" i="4" s="1"/>
  <c r="K89" i="4" s="1"/>
  <c r="L89" i="4" s="1"/>
  <c r="G81" i="13" s="1"/>
  <c r="E84" i="13"/>
  <c r="A92" i="4"/>
  <c r="Q92" i="4" s="1"/>
  <c r="J92" i="4" s="1"/>
  <c r="K92" i="4" s="1"/>
  <c r="L92" i="4" s="1"/>
  <c r="G84" i="13" s="1"/>
  <c r="A95" i="4"/>
  <c r="Q95" i="4" s="1"/>
  <c r="J95" i="4" s="1"/>
  <c r="K95" i="4" s="1"/>
  <c r="L95" i="4" s="1"/>
  <c r="G87" i="13" s="1"/>
  <c r="E87" i="13"/>
  <c r="E90" i="13"/>
  <c r="A98" i="4"/>
  <c r="Q98" i="4" s="1"/>
  <c r="J98" i="4" s="1"/>
  <c r="K98" i="4" s="1"/>
  <c r="L98" i="4" s="1"/>
  <c r="G90" i="13" s="1"/>
  <c r="E93" i="13"/>
  <c r="A101" i="4"/>
  <c r="Q101" i="4" s="1"/>
  <c r="J101" i="4" s="1"/>
  <c r="K101" i="4" s="1"/>
  <c r="L101" i="4" s="1"/>
  <c r="G93" i="13" s="1"/>
  <c r="E28" i="13"/>
  <c r="A36" i="4"/>
  <c r="Q36" i="4" s="1"/>
  <c r="J36" i="4" s="1"/>
  <c r="A39" i="4"/>
  <c r="Q39" i="4" s="1"/>
  <c r="J39" i="4" s="1"/>
  <c r="E31" i="13"/>
  <c r="E34" i="13"/>
  <c r="A42" i="4"/>
  <c r="Q42" i="4" s="1"/>
  <c r="J42" i="4" s="1"/>
  <c r="E37" i="13"/>
  <c r="A45" i="4"/>
  <c r="Q45" i="4" s="1"/>
  <c r="J45" i="4" s="1"/>
  <c r="E40" i="13"/>
  <c r="A48" i="4"/>
  <c r="Q48" i="4" s="1"/>
  <c r="J48" i="4" s="1"/>
  <c r="K48" i="4" s="1"/>
  <c r="L48" i="4" s="1"/>
  <c r="G40" i="13" s="1"/>
  <c r="A51" i="4"/>
  <c r="Q51" i="4" s="1"/>
  <c r="J51" i="4" s="1"/>
  <c r="K51" i="4" s="1"/>
  <c r="L51" i="4" s="1"/>
  <c r="G43" i="13" s="1"/>
  <c r="E43" i="13"/>
  <c r="E46" i="13"/>
  <c r="A54" i="4"/>
  <c r="Q54" i="4" s="1"/>
  <c r="J54" i="4" s="1"/>
  <c r="K54" i="4" s="1"/>
  <c r="L54" i="4" s="1"/>
  <c r="G46" i="13" s="1"/>
  <c r="A57" i="4"/>
  <c r="Q57" i="4" s="1"/>
  <c r="J57" i="4" s="1"/>
  <c r="K57" i="4" s="1"/>
  <c r="L57" i="4" s="1"/>
  <c r="G49" i="13" s="1"/>
  <c r="E49" i="13"/>
  <c r="E52" i="13"/>
  <c r="A60" i="4"/>
  <c r="Q60" i="4" s="1"/>
  <c r="J60" i="4" s="1"/>
  <c r="K60" i="4" s="1"/>
  <c r="L60" i="4" s="1"/>
  <c r="G52" i="13" s="1"/>
  <c r="A63" i="4"/>
  <c r="Q63" i="4" s="1"/>
  <c r="J63" i="4" s="1"/>
  <c r="K63" i="4" s="1"/>
  <c r="L63" i="4" s="1"/>
  <c r="G55" i="13" s="1"/>
  <c r="E55" i="13"/>
  <c r="E58" i="13"/>
  <c r="A66" i="4"/>
  <c r="Q66" i="4" s="1"/>
  <c r="J66" i="4" s="1"/>
  <c r="K66" i="4" s="1"/>
  <c r="L66" i="4" s="1"/>
  <c r="G58" i="13" s="1"/>
  <c r="A69" i="4"/>
  <c r="Q69" i="4" s="1"/>
  <c r="J69" i="4" s="1"/>
  <c r="K69" i="4" s="1"/>
  <c r="L69" i="4" s="1"/>
  <c r="G61" i="13" s="1"/>
  <c r="E61" i="13"/>
  <c r="E64" i="13"/>
  <c r="A72" i="4"/>
  <c r="Q72" i="4" s="1"/>
  <c r="J72" i="4" s="1"/>
  <c r="K72" i="4" s="1"/>
  <c r="L72" i="4" s="1"/>
  <c r="G64" i="13" s="1"/>
  <c r="A75" i="4"/>
  <c r="Q75" i="4" s="1"/>
  <c r="J75" i="4" s="1"/>
  <c r="K75" i="4" s="1"/>
  <c r="L75" i="4" s="1"/>
  <c r="G67" i="13" s="1"/>
  <c r="E67" i="13"/>
  <c r="E70" i="13"/>
  <c r="A78" i="4"/>
  <c r="Q78" i="4" s="1"/>
  <c r="J78" i="4" s="1"/>
  <c r="K78" i="4" s="1"/>
  <c r="L78" i="4" s="1"/>
  <c r="G70" i="13" s="1"/>
  <c r="E73" i="13"/>
  <c r="A81" i="4"/>
  <c r="Q81" i="4" s="1"/>
  <c r="J81" i="4" s="1"/>
  <c r="K81" i="4" s="1"/>
  <c r="L81" i="4" s="1"/>
  <c r="G73" i="13" s="1"/>
  <c r="E76" i="13"/>
  <c r="A84" i="4"/>
  <c r="Q84" i="4" s="1"/>
  <c r="J84" i="4" s="1"/>
  <c r="K84" i="4" s="1"/>
  <c r="L84" i="4" s="1"/>
  <c r="G76" i="13" s="1"/>
  <c r="A87" i="4"/>
  <c r="Q87" i="4" s="1"/>
  <c r="J87" i="4" s="1"/>
  <c r="K87" i="4" s="1"/>
  <c r="L87" i="4" s="1"/>
  <c r="G79" i="13" s="1"/>
  <c r="E79" i="13"/>
  <c r="E82" i="13"/>
  <c r="A90" i="4"/>
  <c r="Q90" i="4" s="1"/>
  <c r="J90" i="4" s="1"/>
  <c r="K90" i="4" s="1"/>
  <c r="L90" i="4" s="1"/>
  <c r="G82" i="13" s="1"/>
  <c r="A93" i="4"/>
  <c r="Q93" i="4" s="1"/>
  <c r="J93" i="4" s="1"/>
  <c r="K93" i="4" s="1"/>
  <c r="L93" i="4" s="1"/>
  <c r="G85" i="13" s="1"/>
  <c r="E85" i="13"/>
  <c r="E88" i="13"/>
  <c r="A96" i="4"/>
  <c r="Q96" i="4" s="1"/>
  <c r="J96" i="4" s="1"/>
  <c r="K96" i="4" s="1"/>
  <c r="L96" i="4" s="1"/>
  <c r="G88" i="13" s="1"/>
  <c r="A99" i="4"/>
  <c r="Q99" i="4" s="1"/>
  <c r="J99" i="4" s="1"/>
  <c r="K99" i="4" s="1"/>
  <c r="L99" i="4" s="1"/>
  <c r="G91" i="13" s="1"/>
  <c r="E91" i="13"/>
  <c r="E94" i="13"/>
  <c r="A102" i="4"/>
  <c r="Q102" i="4" s="1"/>
  <c r="J102" i="4" s="1"/>
  <c r="K102" i="4" s="1"/>
  <c r="L102" i="4" s="1"/>
  <c r="G94" i="13" s="1"/>
  <c r="A37" i="4"/>
  <c r="Q37" i="4" s="1"/>
  <c r="J37" i="4" s="1"/>
  <c r="E29" i="13"/>
  <c r="E32" i="13"/>
  <c r="A40" i="4"/>
  <c r="Q40" i="4" s="1"/>
  <c r="J40" i="4" s="1"/>
  <c r="E35" i="13"/>
  <c r="A43" i="4"/>
  <c r="Q43" i="4" s="1"/>
  <c r="J43" i="4" s="1"/>
  <c r="E38" i="13"/>
  <c r="A46" i="4"/>
  <c r="Q46" i="4" s="1"/>
  <c r="J46" i="4" s="1"/>
  <c r="A49" i="4"/>
  <c r="Q49" i="4" s="1"/>
  <c r="J49" i="4" s="1"/>
  <c r="K49" i="4" s="1"/>
  <c r="L49" i="4" s="1"/>
  <c r="G41" i="13" s="1"/>
  <c r="E41" i="13"/>
  <c r="E44" i="13"/>
  <c r="A52" i="4"/>
  <c r="Q52" i="4" s="1"/>
  <c r="J52" i="4" s="1"/>
  <c r="K52" i="4" s="1"/>
  <c r="L52" i="4" s="1"/>
  <c r="G44" i="13" s="1"/>
  <c r="E47" i="13"/>
  <c r="A55" i="4"/>
  <c r="Q55" i="4" s="1"/>
  <c r="J55" i="4" s="1"/>
  <c r="K55" i="4" s="1"/>
  <c r="L55" i="4" s="1"/>
  <c r="G47" i="13" s="1"/>
  <c r="E50" i="13"/>
  <c r="A58" i="4"/>
  <c r="Q58" i="4" s="1"/>
  <c r="J58" i="4" s="1"/>
  <c r="K58" i="4" s="1"/>
  <c r="L58" i="4" s="1"/>
  <c r="G50" i="13" s="1"/>
  <c r="A61" i="4"/>
  <c r="Q61" i="4" s="1"/>
  <c r="J61" i="4" s="1"/>
  <c r="K61" i="4" s="1"/>
  <c r="L61" i="4" s="1"/>
  <c r="G53" i="13" s="1"/>
  <c r="E53" i="13"/>
  <c r="E56" i="13"/>
  <c r="A64" i="4"/>
  <c r="Q64" i="4" s="1"/>
  <c r="J64" i="4" s="1"/>
  <c r="K64" i="4" s="1"/>
  <c r="L64" i="4" s="1"/>
  <c r="G56" i="13" s="1"/>
  <c r="E59" i="13"/>
  <c r="A67" i="4"/>
  <c r="Q67" i="4" s="1"/>
  <c r="J67" i="4" s="1"/>
  <c r="K67" i="4" s="1"/>
  <c r="L67" i="4" s="1"/>
  <c r="G59" i="13" s="1"/>
  <c r="E62" i="13"/>
  <c r="A70" i="4"/>
  <c r="Q70" i="4" s="1"/>
  <c r="J70" i="4" s="1"/>
  <c r="K70" i="4" s="1"/>
  <c r="L70" i="4" s="1"/>
  <c r="G62" i="13" s="1"/>
  <c r="A73" i="4"/>
  <c r="Q73" i="4" s="1"/>
  <c r="J73" i="4" s="1"/>
  <c r="K73" i="4" s="1"/>
  <c r="L73" i="4" s="1"/>
  <c r="G65" i="13" s="1"/>
  <c r="E65" i="13"/>
  <c r="E68" i="13"/>
  <c r="A76" i="4"/>
  <c r="Q76" i="4" s="1"/>
  <c r="J76" i="4" s="1"/>
  <c r="K76" i="4" s="1"/>
  <c r="L76" i="4" s="1"/>
  <c r="G68" i="13" s="1"/>
  <c r="E71" i="13"/>
  <c r="A79" i="4"/>
  <c r="Q79" i="4" s="1"/>
  <c r="J79" i="4" s="1"/>
  <c r="K79" i="4" s="1"/>
  <c r="L79" i="4" s="1"/>
  <c r="G71" i="13" s="1"/>
  <c r="E74" i="13"/>
  <c r="A82" i="4"/>
  <c r="Q82" i="4" s="1"/>
  <c r="J82" i="4" s="1"/>
  <c r="K82" i="4" s="1"/>
  <c r="L82" i="4" s="1"/>
  <c r="G74" i="13" s="1"/>
  <c r="A85" i="4"/>
  <c r="Q85" i="4" s="1"/>
  <c r="J85" i="4" s="1"/>
  <c r="K85" i="4" s="1"/>
  <c r="L85" i="4" s="1"/>
  <c r="G77" i="13" s="1"/>
  <c r="E77" i="13"/>
  <c r="E80" i="13"/>
  <c r="A88" i="4"/>
  <c r="Q88" i="4" s="1"/>
  <c r="J88" i="4" s="1"/>
  <c r="K88" i="4" s="1"/>
  <c r="L88" i="4" s="1"/>
  <c r="G80" i="13" s="1"/>
  <c r="E83" i="13"/>
  <c r="A91" i="4"/>
  <c r="Q91" i="4" s="1"/>
  <c r="J91" i="4" s="1"/>
  <c r="K91" i="4" s="1"/>
  <c r="L91" i="4" s="1"/>
  <c r="G83" i="13" s="1"/>
  <c r="E86" i="13"/>
  <c r="A94" i="4"/>
  <c r="Q94" i="4" s="1"/>
  <c r="J94" i="4" s="1"/>
  <c r="K94" i="4" s="1"/>
  <c r="L94" i="4" s="1"/>
  <c r="G86" i="13" s="1"/>
  <c r="A97" i="4"/>
  <c r="Q97" i="4" s="1"/>
  <c r="J97" i="4" s="1"/>
  <c r="K97" i="4" s="1"/>
  <c r="L97" i="4" s="1"/>
  <c r="G89" i="13" s="1"/>
  <c r="E89" i="13"/>
  <c r="E92" i="13"/>
  <c r="A100" i="4"/>
  <c r="Q100" i="4" s="1"/>
  <c r="J100" i="4" s="1"/>
  <c r="K100" i="4" s="1"/>
  <c r="L100" i="4" s="1"/>
  <c r="G92" i="13" s="1"/>
  <c r="E95" i="13"/>
  <c r="A103" i="4"/>
  <c r="Q103" i="4" s="1"/>
  <c r="J103" i="4" s="1"/>
  <c r="K103" i="4" s="1"/>
  <c r="L103" i="4" s="1"/>
  <c r="G95" i="13" s="1"/>
  <c r="K50" i="14"/>
  <c r="K51" i="14" s="1"/>
  <c r="H50" i="14"/>
  <c r="H51" i="14" s="1"/>
  <c r="L51" i="14"/>
  <c r="G50" i="14"/>
  <c r="G51" i="14" s="1"/>
  <c r="J50" i="14"/>
  <c r="J51" i="14" s="1"/>
  <c r="I50" i="14"/>
  <c r="I51" i="14" s="1"/>
  <c r="C24" i="4"/>
  <c r="C25" i="4" s="1"/>
  <c r="C26" i="4" s="1"/>
  <c r="I105" i="4"/>
  <c r="G104" i="4"/>
  <c r="Q2" i="24" s="1"/>
  <c r="H105" i="4"/>
  <c r="L16" i="4" l="1"/>
  <c r="J104" i="4"/>
  <c r="K31" i="4" s="1"/>
  <c r="L31" i="4" s="1"/>
  <c r="K15" i="4"/>
  <c r="K16" i="4" s="1"/>
  <c r="A73" i="13"/>
  <c r="A37" i="13"/>
  <c r="A69" i="13"/>
  <c r="A33" i="13"/>
  <c r="A92" i="13"/>
  <c r="A74" i="13"/>
  <c r="A38" i="13"/>
  <c r="A56" i="13"/>
  <c r="A89" i="13"/>
  <c r="A53" i="13"/>
  <c r="A88" i="13"/>
  <c r="A70" i="13"/>
  <c r="A52" i="13"/>
  <c r="A34" i="13"/>
  <c r="A84" i="13"/>
  <c r="A66" i="13"/>
  <c r="A48" i="13"/>
  <c r="A30" i="13"/>
  <c r="A71" i="13"/>
  <c r="A35" i="13"/>
  <c r="A85" i="13"/>
  <c r="A67" i="13"/>
  <c r="A49" i="13"/>
  <c r="A31" i="13"/>
  <c r="A63" i="13"/>
  <c r="A27" i="13"/>
  <c r="J27" i="13" s="1"/>
  <c r="A81" i="13"/>
  <c r="A45" i="13"/>
  <c r="A86" i="13"/>
  <c r="A68" i="13"/>
  <c r="A50" i="13"/>
  <c r="A32" i="13"/>
  <c r="A65" i="13"/>
  <c r="A29" i="13"/>
  <c r="A82" i="13"/>
  <c r="A64" i="13"/>
  <c r="A46" i="13"/>
  <c r="A28" i="13"/>
  <c r="A78" i="13"/>
  <c r="A60" i="13"/>
  <c r="A42" i="13"/>
  <c r="A83" i="13"/>
  <c r="A47" i="13"/>
  <c r="A79" i="13"/>
  <c r="A61" i="13"/>
  <c r="A43" i="13"/>
  <c r="A75" i="13"/>
  <c r="A39" i="13"/>
  <c r="A93" i="13"/>
  <c r="A57" i="13"/>
  <c r="A62" i="13"/>
  <c r="A80" i="13"/>
  <c r="A44" i="13"/>
  <c r="A77" i="13"/>
  <c r="A41" i="13"/>
  <c r="A94" i="13"/>
  <c r="A76" i="13"/>
  <c r="A58" i="13"/>
  <c r="A40" i="13"/>
  <c r="A90" i="13"/>
  <c r="A72" i="13"/>
  <c r="A54" i="13"/>
  <c r="A36" i="13"/>
  <c r="A95" i="13"/>
  <c r="A59" i="13"/>
  <c r="A91" i="13"/>
  <c r="A55" i="13"/>
  <c r="A87" i="13"/>
  <c r="A51" i="13"/>
  <c r="C27" i="4"/>
  <c r="J65" i="13" l="1"/>
  <c r="I65" i="13" s="1"/>
  <c r="J89" i="13"/>
  <c r="I89" i="13" s="1"/>
  <c r="J87" i="13"/>
  <c r="I87" i="13" s="1"/>
  <c r="J94" i="13"/>
  <c r="I94" i="13" s="1"/>
  <c r="J79" i="13"/>
  <c r="I79" i="13" s="1"/>
  <c r="J32" i="13"/>
  <c r="I32" i="13" s="1"/>
  <c r="J35" i="13"/>
  <c r="I35" i="13" s="1"/>
  <c r="J56" i="13"/>
  <c r="I56" i="13" s="1"/>
  <c r="J76" i="13"/>
  <c r="I76" i="13" s="1"/>
  <c r="J50" i="13"/>
  <c r="I50" i="13" s="1"/>
  <c r="J68" i="13"/>
  <c r="I68" i="13" s="1"/>
  <c r="J42" i="13"/>
  <c r="I42" i="13" s="1"/>
  <c r="J48" i="13"/>
  <c r="I48" i="13" s="1"/>
  <c r="J92" i="13"/>
  <c r="I92" i="13" s="1"/>
  <c r="J51" i="13"/>
  <c r="I51" i="13" s="1"/>
  <c r="J41" i="13"/>
  <c r="I41" i="13" s="1"/>
  <c r="J91" i="13"/>
  <c r="I91" i="13" s="1"/>
  <c r="J74" i="13"/>
  <c r="I74" i="13" s="1"/>
  <c r="J59" i="13"/>
  <c r="I59" i="13" s="1"/>
  <c r="J80" i="13"/>
  <c r="I80" i="13" s="1"/>
  <c r="J45" i="13"/>
  <c r="I45" i="13" s="1"/>
  <c r="J66" i="13"/>
  <c r="I66" i="13" s="1"/>
  <c r="J33" i="13"/>
  <c r="J85" i="13"/>
  <c r="I85" i="13" s="1"/>
  <c r="J38" i="13"/>
  <c r="I38" i="13" s="1"/>
  <c r="J30" i="13"/>
  <c r="I30" i="13" s="1"/>
  <c r="J44" i="13"/>
  <c r="I44" i="13" s="1"/>
  <c r="J86" i="13"/>
  <c r="I86" i="13" s="1"/>
  <c r="J95" i="13"/>
  <c r="I95" i="13" s="1"/>
  <c r="J60" i="13"/>
  <c r="I60" i="13" s="1"/>
  <c r="J36" i="13"/>
  <c r="I36" i="13" s="1"/>
  <c r="J62" i="13"/>
  <c r="I62" i="13" s="1"/>
  <c r="J78" i="13"/>
  <c r="I78" i="13" s="1"/>
  <c r="J81" i="13"/>
  <c r="I81" i="13" s="1"/>
  <c r="J84" i="13"/>
  <c r="I84" i="13" s="1"/>
  <c r="J69" i="13"/>
  <c r="I69" i="13" s="1"/>
  <c r="J34" i="13"/>
  <c r="I34" i="13" s="1"/>
  <c r="J37" i="13"/>
  <c r="I37" i="13" s="1"/>
  <c r="J61" i="13"/>
  <c r="I61" i="13" s="1"/>
  <c r="J47" i="13"/>
  <c r="I47" i="13" s="1"/>
  <c r="J77" i="13"/>
  <c r="I77" i="13" s="1"/>
  <c r="J54" i="13"/>
  <c r="I54" i="13" s="1"/>
  <c r="J57" i="13"/>
  <c r="I57" i="13" s="1"/>
  <c r="J72" i="13"/>
  <c r="I72" i="13" s="1"/>
  <c r="J46" i="13"/>
  <c r="I46" i="13" s="1"/>
  <c r="J52" i="13"/>
  <c r="I52" i="13" s="1"/>
  <c r="J90" i="13"/>
  <c r="I90" i="13" s="1"/>
  <c r="J39" i="13"/>
  <c r="I39" i="13" s="1"/>
  <c r="J64" i="13"/>
  <c r="I64" i="13" s="1"/>
  <c r="J31" i="13"/>
  <c r="I31" i="13" s="1"/>
  <c r="J70" i="13"/>
  <c r="I70" i="13" s="1"/>
  <c r="J55" i="13"/>
  <c r="I55" i="13" s="1"/>
  <c r="J71" i="13"/>
  <c r="I71" i="13" s="1"/>
  <c r="J83" i="13"/>
  <c r="I83" i="13" s="1"/>
  <c r="J28" i="13"/>
  <c r="I28" i="13" s="1"/>
  <c r="J93" i="13"/>
  <c r="I93" i="13" s="1"/>
  <c r="J63" i="13"/>
  <c r="I63" i="13" s="1"/>
  <c r="J73" i="13"/>
  <c r="I73" i="13" s="1"/>
  <c r="J40" i="13"/>
  <c r="I40" i="13" s="1"/>
  <c r="J75" i="13"/>
  <c r="I75" i="13" s="1"/>
  <c r="J82" i="13"/>
  <c r="I82" i="13" s="1"/>
  <c r="J49" i="13"/>
  <c r="I49" i="13" s="1"/>
  <c r="J88" i="13"/>
  <c r="I88" i="13" s="1"/>
  <c r="J58" i="13"/>
  <c r="I58" i="13" s="1"/>
  <c r="J43" i="13"/>
  <c r="I43" i="13" s="1"/>
  <c r="J29" i="13"/>
  <c r="I29" i="13" s="1"/>
  <c r="J67" i="13"/>
  <c r="I67" i="13" s="1"/>
  <c r="J53" i="13"/>
  <c r="I53" i="13" s="1"/>
  <c r="B1515" i="24"/>
  <c r="U1528" i="24"/>
  <c r="AB1528" i="24" s="1"/>
  <c r="B1592" i="24"/>
  <c r="B1580" i="24"/>
  <c r="B1530" i="24"/>
  <c r="U1507" i="24"/>
  <c r="AB1507" i="24" s="1"/>
  <c r="U1513" i="24"/>
  <c r="AB1513" i="24" s="1"/>
  <c r="U1536" i="24"/>
  <c r="AB1536" i="24" s="1"/>
  <c r="B1607" i="24"/>
  <c r="U1590" i="24"/>
  <c r="AB1590" i="24" s="1"/>
  <c r="B1505" i="24"/>
  <c r="U1603" i="24"/>
  <c r="AB1603" i="24" s="1"/>
  <c r="U1514" i="24"/>
  <c r="AB1514" i="24" s="1"/>
  <c r="B1595" i="24"/>
  <c r="B1502" i="24"/>
  <c r="U1606" i="24"/>
  <c r="AB1606" i="24" s="1"/>
  <c r="B1527" i="24"/>
  <c r="U1532" i="24"/>
  <c r="AB1532" i="24" s="1"/>
  <c r="U1519" i="24"/>
  <c r="AB1519" i="24" s="1"/>
  <c r="B1600" i="24"/>
  <c r="B1504" i="24"/>
  <c r="U1578" i="24"/>
  <c r="AB1578" i="24" s="1"/>
  <c r="U1598" i="24"/>
  <c r="AB1598" i="24" s="1"/>
  <c r="U1612" i="24"/>
  <c r="AB1612" i="24" s="1"/>
  <c r="B1503" i="24"/>
  <c r="B1583" i="24"/>
  <c r="B1506" i="24"/>
  <c r="B1531" i="24"/>
  <c r="B1534" i="24"/>
  <c r="U1509" i="24"/>
  <c r="AB1509" i="24" s="1"/>
  <c r="U1510" i="24"/>
  <c r="AB1510" i="24" s="1"/>
  <c r="B1532" i="24"/>
  <c r="U1533" i="24"/>
  <c r="AB1533" i="24" s="1"/>
  <c r="U1580" i="24"/>
  <c r="AB1580" i="24" s="1"/>
  <c r="U1581" i="24"/>
  <c r="AB1581" i="24" s="1"/>
  <c r="B1533" i="24"/>
  <c r="B1596" i="24"/>
  <c r="B1611" i="24"/>
  <c r="U1522" i="24"/>
  <c r="AB1522" i="24" s="1"/>
  <c r="U1502" i="24"/>
  <c r="AB1502" i="24" s="1"/>
  <c r="B1609" i="24"/>
  <c r="B1593" i="24"/>
  <c r="B1608" i="24"/>
  <c r="U1594" i="24"/>
  <c r="AB1594" i="24" s="1"/>
  <c r="U1601" i="24"/>
  <c r="AB1601" i="24" s="1"/>
  <c r="U1588" i="24"/>
  <c r="AB1588" i="24" s="1"/>
  <c r="B1520" i="24"/>
  <c r="U1506" i="24"/>
  <c r="AB1506" i="24" s="1"/>
  <c r="B1610" i="24"/>
  <c r="B1507" i="24"/>
  <c r="B1510" i="24"/>
  <c r="U1512" i="24"/>
  <c r="AB1512" i="24" s="1"/>
  <c r="U1524" i="24"/>
  <c r="AB1524" i="24" s="1"/>
  <c r="B1508" i="24"/>
  <c r="B1519" i="24"/>
  <c r="U1585" i="24"/>
  <c r="AB1585" i="24" s="1"/>
  <c r="B1597" i="24"/>
  <c r="U1535" i="24"/>
  <c r="AB1535" i="24" s="1"/>
  <c r="B1524" i="24"/>
  <c r="U1518" i="24"/>
  <c r="AB1518" i="24" s="1"/>
  <c r="B1585" i="24"/>
  <c r="B1541" i="24"/>
  <c r="B1601" i="24"/>
  <c r="U1516" i="24"/>
  <c r="AB1516" i="24" s="1"/>
  <c r="B1535" i="24"/>
  <c r="B1528" i="24"/>
  <c r="B1509" i="24"/>
  <c r="B1587" i="24"/>
  <c r="U1537" i="24"/>
  <c r="AB1537" i="24" s="1"/>
  <c r="U1589" i="24"/>
  <c r="AB1589" i="24" s="1"/>
  <c r="B1586" i="24"/>
  <c r="B1612" i="24"/>
  <c r="U1508" i="24"/>
  <c r="AB1508" i="24" s="1"/>
  <c r="B1584" i="24"/>
  <c r="U1596" i="24"/>
  <c r="AB1596" i="24" s="1"/>
  <c r="U1586" i="24"/>
  <c r="AB1586" i="24" s="1"/>
  <c r="U1505" i="24"/>
  <c r="AB1505" i="24" s="1"/>
  <c r="B1537" i="24"/>
  <c r="B1523" i="24"/>
  <c r="B1536" i="24"/>
  <c r="U1584" i="24"/>
  <c r="AB1584" i="24" s="1"/>
  <c r="U1604" i="24"/>
  <c r="AB1604" i="24" s="1"/>
  <c r="U1593" i="24"/>
  <c r="AB1593" i="24" s="1"/>
  <c r="B1594" i="24"/>
  <c r="B1538" i="24"/>
  <c r="B1521" i="24"/>
  <c r="U1579" i="24"/>
  <c r="AB1579" i="24" s="1"/>
  <c r="U1587" i="24"/>
  <c r="AB1587" i="24" s="1"/>
  <c r="B1517" i="24"/>
  <c r="U1523" i="24"/>
  <c r="AB1523" i="24" s="1"/>
  <c r="B1511" i="24"/>
  <c r="B1603" i="24"/>
  <c r="U1539" i="24"/>
  <c r="AB1539" i="24" s="1"/>
  <c r="U1525" i="24"/>
  <c r="AB1525" i="24" s="1"/>
  <c r="U1504" i="24"/>
  <c r="AB1504" i="24" s="1"/>
  <c r="U1526" i="24"/>
  <c r="AB1526" i="24" s="1"/>
  <c r="U1611" i="24"/>
  <c r="AB1611" i="24" s="1"/>
  <c r="U1608" i="24"/>
  <c r="AB1608" i="24" s="1"/>
  <c r="B1602" i="24"/>
  <c r="B1579" i="24"/>
  <c r="U1538" i="24"/>
  <c r="AB1538" i="24" s="1"/>
  <c r="B1604" i="24"/>
  <c r="B1518" i="24"/>
  <c r="U1600" i="24"/>
  <c r="AB1600" i="24" s="1"/>
  <c r="U1609" i="24"/>
  <c r="AB1609" i="24" s="1"/>
  <c r="B1578" i="24"/>
  <c r="B1529" i="24"/>
  <c r="U1517" i="24"/>
  <c r="AB1517" i="24" s="1"/>
  <c r="B1591" i="24"/>
  <c r="U1607" i="24"/>
  <c r="AB1607" i="24" s="1"/>
  <c r="U1605" i="24"/>
  <c r="AB1605" i="24" s="1"/>
  <c r="U1529" i="24"/>
  <c r="AB1529" i="24" s="1"/>
  <c r="U1541" i="24"/>
  <c r="AB1541" i="24" s="1"/>
  <c r="U1610" i="24"/>
  <c r="AB1610" i="24" s="1"/>
  <c r="U1602" i="24"/>
  <c r="AB1602" i="24" s="1"/>
  <c r="U1534" i="24"/>
  <c r="AB1534" i="24" s="1"/>
  <c r="U1503" i="24"/>
  <c r="AB1503" i="24" s="1"/>
  <c r="B1598" i="24"/>
  <c r="B1512" i="24"/>
  <c r="U1591" i="24"/>
  <c r="AB1591" i="24" s="1"/>
  <c r="U1592" i="24"/>
  <c r="AB1592" i="24" s="1"/>
  <c r="B1522" i="24"/>
  <c r="B1525" i="24"/>
  <c r="B1588" i="24"/>
  <c r="B1514" i="24"/>
  <c r="U1511" i="24"/>
  <c r="AB1511" i="24" s="1"/>
  <c r="U1515" i="24"/>
  <c r="AB1515" i="24" s="1"/>
  <c r="U1520" i="24"/>
  <c r="AB1520" i="24" s="1"/>
  <c r="U1521" i="24"/>
  <c r="AB1521" i="24" s="1"/>
  <c r="B1513" i="24"/>
  <c r="U1540" i="24"/>
  <c r="AB1540" i="24" s="1"/>
  <c r="B1589" i="24"/>
  <c r="U1597" i="24"/>
  <c r="AB1597" i="24" s="1"/>
  <c r="B1599" i="24"/>
  <c r="B1605" i="24"/>
  <c r="B1606" i="24"/>
  <c r="U1527" i="24"/>
  <c r="AB1527" i="24" s="1"/>
  <c r="B1590" i="24"/>
  <c r="B1526" i="24"/>
  <c r="U1595" i="24"/>
  <c r="AB1595" i="24" s="1"/>
  <c r="U1583" i="24"/>
  <c r="AB1583" i="24" s="1"/>
  <c r="B1540" i="24"/>
  <c r="U1531" i="24"/>
  <c r="AB1531" i="24" s="1"/>
  <c r="B1539" i="24"/>
  <c r="U1599" i="24"/>
  <c r="AB1599" i="24" s="1"/>
  <c r="B1581" i="24"/>
  <c r="B1582" i="24"/>
  <c r="U1530" i="24"/>
  <c r="AB1530" i="24" s="1"/>
  <c r="U1582" i="24"/>
  <c r="AB1582" i="24" s="1"/>
  <c r="B1516" i="24"/>
  <c r="S1541" i="24"/>
  <c r="S1515" i="24"/>
  <c r="S1598" i="24"/>
  <c r="S1519" i="24"/>
  <c r="S1507" i="24"/>
  <c r="S1502" i="24"/>
  <c r="S1529" i="24"/>
  <c r="S1587" i="24"/>
  <c r="S1604" i="24"/>
  <c r="S1522" i="24"/>
  <c r="S1520" i="24"/>
  <c r="S1535" i="24"/>
  <c r="S1514" i="24"/>
  <c r="S1605" i="24"/>
  <c r="S1609" i="24"/>
  <c r="S1531" i="24"/>
  <c r="S1510" i="24"/>
  <c r="S1504" i="24"/>
  <c r="S1518" i="24"/>
  <c r="S1612" i="24"/>
  <c r="S1580" i="24"/>
  <c r="S1588" i="24"/>
  <c r="S1581" i="24"/>
  <c r="S1534" i="24"/>
  <c r="S1540" i="24"/>
  <c r="S1524" i="24"/>
  <c r="S1600" i="24"/>
  <c r="S1586" i="24"/>
  <c r="S1509" i="24"/>
  <c r="S1579" i="24"/>
  <c r="S1527" i="24"/>
  <c r="S1503" i="24"/>
  <c r="S1506" i="24"/>
  <c r="S1592" i="24"/>
  <c r="S1591" i="24"/>
  <c r="S1595" i="24"/>
  <c r="S1607" i="24"/>
  <c r="S1523" i="24"/>
  <c r="S1516" i="24"/>
  <c r="S1511" i="24"/>
  <c r="S1585" i="24"/>
  <c r="S1513" i="24"/>
  <c r="S1532" i="24"/>
  <c r="S1528" i="24"/>
  <c r="S1583" i="24"/>
  <c r="S1603" i="24"/>
  <c r="S1608" i="24"/>
  <c r="S1536" i="24"/>
  <c r="S1512" i="24"/>
  <c r="S1538" i="24"/>
  <c r="S1601" i="24"/>
  <c r="S1578" i="24"/>
  <c r="S1589" i="24"/>
  <c r="S1526" i="24"/>
  <c r="S1530" i="24"/>
  <c r="S1537" i="24"/>
  <c r="S1602" i="24"/>
  <c r="S1610" i="24"/>
  <c r="S1596" i="24"/>
  <c r="S1539" i="24"/>
  <c r="S1508" i="24"/>
  <c r="S1517" i="24"/>
  <c r="S1584" i="24"/>
  <c r="S1599" i="24"/>
  <c r="S1594" i="24"/>
  <c r="S1582" i="24"/>
  <c r="S1505" i="24"/>
  <c r="S1521" i="24"/>
  <c r="S1525" i="24"/>
  <c r="S1590" i="24"/>
  <c r="S1606" i="24"/>
  <c r="S1597" i="24"/>
  <c r="S1611" i="24"/>
  <c r="S1533" i="24"/>
  <c r="S1593" i="24"/>
  <c r="T1604" i="24"/>
  <c r="T1602" i="24"/>
  <c r="T1606" i="24"/>
  <c r="T1594" i="24"/>
  <c r="V1529" i="24"/>
  <c r="AC1529" i="24" s="1"/>
  <c r="V1511" i="24"/>
  <c r="AC1511" i="24" s="1"/>
  <c r="V1520" i="24"/>
  <c r="AC1520" i="24" s="1"/>
  <c r="V1509" i="24"/>
  <c r="AC1509" i="24" s="1"/>
  <c r="T1517" i="24"/>
  <c r="T1505" i="24"/>
  <c r="T1506" i="24"/>
  <c r="V1590" i="24"/>
  <c r="AC1590" i="24" s="1"/>
  <c r="V1583" i="24"/>
  <c r="AC1583" i="24" s="1"/>
  <c r="V1608" i="24"/>
  <c r="AC1608" i="24" s="1"/>
  <c r="V1588" i="24"/>
  <c r="AC1588" i="24" s="1"/>
  <c r="T1595" i="24"/>
  <c r="T1592" i="24"/>
  <c r="T1581" i="24"/>
  <c r="V1508" i="24"/>
  <c r="AC1508" i="24" s="1"/>
  <c r="V1503" i="24"/>
  <c r="AC1503" i="24" s="1"/>
  <c r="V1522" i="24"/>
  <c r="AC1522" i="24" s="1"/>
  <c r="T1532" i="24"/>
  <c r="T1533" i="24"/>
  <c r="T1512" i="24"/>
  <c r="T1530" i="24"/>
  <c r="V1612" i="24"/>
  <c r="AC1612" i="24" s="1"/>
  <c r="V1598" i="24"/>
  <c r="AC1598" i="24" s="1"/>
  <c r="V1585" i="24"/>
  <c r="AC1585" i="24" s="1"/>
  <c r="T1612" i="24"/>
  <c r="T1608" i="24"/>
  <c r="T1580" i="24"/>
  <c r="V1510" i="24"/>
  <c r="AC1510" i="24" s="1"/>
  <c r="V1525" i="24"/>
  <c r="AC1525" i="24" s="1"/>
  <c r="V1534" i="24"/>
  <c r="AC1534" i="24" s="1"/>
  <c r="T1510" i="24"/>
  <c r="T1513" i="24"/>
  <c r="T1525" i="24"/>
  <c r="T1520" i="24"/>
  <c r="V1580" i="24"/>
  <c r="AC1580" i="24" s="1"/>
  <c r="V1579" i="24"/>
  <c r="AC1579" i="24" s="1"/>
  <c r="T1593" i="24"/>
  <c r="T1603" i="24"/>
  <c r="T1610" i="24"/>
  <c r="V1513" i="24"/>
  <c r="AC1513" i="24" s="1"/>
  <c r="V1538" i="24"/>
  <c r="AC1538" i="24" s="1"/>
  <c r="V1512" i="24"/>
  <c r="AC1512" i="24" s="1"/>
  <c r="T1528" i="24"/>
  <c r="T1526" i="24"/>
  <c r="T1515" i="24"/>
  <c r="T1519" i="24"/>
  <c r="V1607" i="24"/>
  <c r="AC1607" i="24" s="1"/>
  <c r="V1578" i="24"/>
  <c r="AC1578" i="24" s="1"/>
  <c r="T1586" i="24"/>
  <c r="T1591" i="24"/>
  <c r="V1502" i="24"/>
  <c r="AC1502" i="24" s="1"/>
  <c r="V1541" i="24"/>
  <c r="AC1541" i="24" s="1"/>
  <c r="V1524" i="24"/>
  <c r="AC1524" i="24" s="1"/>
  <c r="T1516" i="24"/>
  <c r="T1538" i="24"/>
  <c r="V1594" i="24"/>
  <c r="AC1594" i="24" s="1"/>
  <c r="V1611" i="24"/>
  <c r="AC1611" i="24" s="1"/>
  <c r="T1584" i="24"/>
  <c r="T1502" i="24"/>
  <c r="T1536" i="24"/>
  <c r="T1598" i="24"/>
  <c r="T1609" i="24"/>
  <c r="T1605" i="24"/>
  <c r="T1583" i="24"/>
  <c r="V1536" i="24"/>
  <c r="AC1536" i="24" s="1"/>
  <c r="V1507" i="24"/>
  <c r="AC1507" i="24" s="1"/>
  <c r="V1530" i="24"/>
  <c r="AC1530" i="24" s="1"/>
  <c r="T1524" i="24"/>
  <c r="T1529" i="24"/>
  <c r="T1518" i="24"/>
  <c r="V1605" i="24"/>
  <c r="AC1605" i="24" s="1"/>
  <c r="V1593" i="24"/>
  <c r="AC1593" i="24" s="1"/>
  <c r="V1609" i="24"/>
  <c r="AC1609" i="24" s="1"/>
  <c r="V1595" i="24"/>
  <c r="AC1595" i="24" s="1"/>
  <c r="T1587" i="24"/>
  <c r="T1585" i="24"/>
  <c r="V1535" i="24"/>
  <c r="AC1535" i="24" s="1"/>
  <c r="V1514" i="24"/>
  <c r="AC1514" i="24" s="1"/>
  <c r="V1523" i="24"/>
  <c r="AC1523" i="24" s="1"/>
  <c r="T1504" i="24"/>
  <c r="T1531" i="24"/>
  <c r="T1523" i="24"/>
  <c r="V1596" i="24"/>
  <c r="AC1596" i="24" s="1"/>
  <c r="V1604" i="24"/>
  <c r="AC1604" i="24" s="1"/>
  <c r="V1602" i="24"/>
  <c r="AC1602" i="24" s="1"/>
  <c r="T1589" i="24"/>
  <c r="T1582" i="24"/>
  <c r="T1600" i="24"/>
  <c r="T1599" i="24"/>
  <c r="V1515" i="24"/>
  <c r="AC1515" i="24" s="1"/>
  <c r="V1537" i="24"/>
  <c r="AC1537" i="24" s="1"/>
  <c r="V1532" i="24"/>
  <c r="AC1532" i="24" s="1"/>
  <c r="T1514" i="24"/>
  <c r="T1509" i="24"/>
  <c r="T1507" i="24"/>
  <c r="V1589" i="24"/>
  <c r="AC1589" i="24" s="1"/>
  <c r="V1592" i="24"/>
  <c r="AC1592" i="24" s="1"/>
  <c r="V1586" i="24"/>
  <c r="AC1586" i="24" s="1"/>
  <c r="T1611" i="24"/>
  <c r="T1607" i="24"/>
  <c r="T1601" i="24"/>
  <c r="V1528" i="24"/>
  <c r="AC1528" i="24" s="1"/>
  <c r="V1527" i="24"/>
  <c r="AC1527" i="24" s="1"/>
  <c r="V1526" i="24"/>
  <c r="AC1526" i="24" s="1"/>
  <c r="T1508" i="24"/>
  <c r="T1522" i="24"/>
  <c r="T1540" i="24"/>
  <c r="V1600" i="24"/>
  <c r="AC1600" i="24" s="1"/>
  <c r="V1584" i="24"/>
  <c r="AC1584" i="24" s="1"/>
  <c r="V1581" i="24"/>
  <c r="AC1581" i="24" s="1"/>
  <c r="T1579" i="24"/>
  <c r="T1597" i="24"/>
  <c r="V1516" i="24"/>
  <c r="AC1516" i="24" s="1"/>
  <c r="V1518" i="24"/>
  <c r="AC1518" i="24" s="1"/>
  <c r="V1517" i="24"/>
  <c r="AC1517" i="24" s="1"/>
  <c r="V1519" i="24"/>
  <c r="AC1519" i="24" s="1"/>
  <c r="T1521" i="24"/>
  <c r="T1534" i="24"/>
  <c r="T1541" i="24"/>
  <c r="V1587" i="24"/>
  <c r="AC1587" i="24" s="1"/>
  <c r="V1606" i="24"/>
  <c r="AC1606" i="24" s="1"/>
  <c r="V1582" i="24"/>
  <c r="AC1582" i="24" s="1"/>
  <c r="T1590" i="24"/>
  <c r="T1588" i="24"/>
  <c r="T1578" i="24"/>
  <c r="V1539" i="24"/>
  <c r="AC1539" i="24" s="1"/>
  <c r="V1531" i="24"/>
  <c r="AC1531" i="24" s="1"/>
  <c r="V1540" i="24"/>
  <c r="AC1540" i="24" s="1"/>
  <c r="V1504" i="24"/>
  <c r="AC1504" i="24" s="1"/>
  <c r="T1511" i="24"/>
  <c r="T1503" i="24"/>
  <c r="T1537" i="24"/>
  <c r="V1599" i="24"/>
  <c r="AC1599" i="24" s="1"/>
  <c r="V1610" i="24"/>
  <c r="AC1610" i="24" s="1"/>
  <c r="V1597" i="24"/>
  <c r="AC1597" i="24" s="1"/>
  <c r="T1596" i="24"/>
  <c r="V1505" i="24"/>
  <c r="AC1505" i="24" s="1"/>
  <c r="V1533" i="24"/>
  <c r="AC1533" i="24" s="1"/>
  <c r="V1506" i="24"/>
  <c r="AC1506" i="24" s="1"/>
  <c r="V1521" i="24"/>
  <c r="AC1521" i="24" s="1"/>
  <c r="T1535" i="24"/>
  <c r="T1539" i="24"/>
  <c r="T1527" i="24"/>
  <c r="V1591" i="24"/>
  <c r="AC1591" i="24" s="1"/>
  <c r="V1601" i="24"/>
  <c r="AC1601" i="24" s="1"/>
  <c r="V1603" i="24"/>
  <c r="AC1603" i="24" s="1"/>
  <c r="K32" i="4"/>
  <c r="L32" i="4" s="1"/>
  <c r="G24" i="13" s="1"/>
  <c r="K20" i="4"/>
  <c r="L20" i="4" s="1"/>
  <c r="K45" i="4"/>
  <c r="L45" i="4" s="1"/>
  <c r="G37" i="13" s="1"/>
  <c r="K46" i="4"/>
  <c r="L46" i="4" s="1"/>
  <c r="G38" i="13" s="1"/>
  <c r="K30" i="4"/>
  <c r="L30" i="4" s="1"/>
  <c r="J105" i="4"/>
  <c r="K34" i="4"/>
  <c r="L34" i="4" s="1"/>
  <c r="G26" i="13" s="1"/>
  <c r="K33" i="4"/>
  <c r="L33" i="4" s="1"/>
  <c r="G25" i="13" s="1"/>
  <c r="K21" i="4"/>
  <c r="L21" i="4" s="1"/>
  <c r="K28" i="4"/>
  <c r="L28" i="4" s="1"/>
  <c r="K26" i="4"/>
  <c r="L26" i="4" s="1"/>
  <c r="K22" i="4"/>
  <c r="L22" i="4" s="1"/>
  <c r="K27" i="4"/>
  <c r="L27" i="4" s="1"/>
  <c r="K43" i="4"/>
  <c r="L43" i="4" s="1"/>
  <c r="G35" i="13" s="1"/>
  <c r="K40" i="4"/>
  <c r="L40" i="4" s="1"/>
  <c r="G32" i="13" s="1"/>
  <c r="K37" i="4"/>
  <c r="L37" i="4" s="1"/>
  <c r="G29" i="13" s="1"/>
  <c r="K42" i="4"/>
  <c r="L42" i="4" s="1"/>
  <c r="G34" i="13" s="1"/>
  <c r="K39" i="4"/>
  <c r="L39" i="4" s="1"/>
  <c r="G31" i="13" s="1"/>
  <c r="K36" i="4"/>
  <c r="L36" i="4" s="1"/>
  <c r="G28" i="13" s="1"/>
  <c r="K44" i="4"/>
  <c r="L44" i="4" s="1"/>
  <c r="G36" i="13" s="1"/>
  <c r="K41" i="4"/>
  <c r="L41" i="4" s="1"/>
  <c r="G33" i="13" s="1"/>
  <c r="K38" i="4"/>
  <c r="L38" i="4" s="1"/>
  <c r="G30" i="13" s="1"/>
  <c r="K24" i="4"/>
  <c r="L24" i="4" s="1"/>
  <c r="K23" i="4"/>
  <c r="L23" i="4" s="1"/>
  <c r="K25" i="4"/>
  <c r="L25" i="4" s="1"/>
  <c r="K29" i="4"/>
  <c r="L29" i="4" s="1"/>
  <c r="K35" i="4"/>
  <c r="L35" i="4" s="1"/>
  <c r="G27" i="13" s="1"/>
  <c r="B868" i="24"/>
  <c r="B880" i="24"/>
  <c r="B892" i="24"/>
  <c r="B904" i="24"/>
  <c r="B916" i="24"/>
  <c r="B56" i="24"/>
  <c r="B847" i="24"/>
  <c r="B859" i="24"/>
  <c r="B29" i="24"/>
  <c r="B69" i="24"/>
  <c r="B81" i="24"/>
  <c r="B93" i="24"/>
  <c r="B105" i="24"/>
  <c r="B117" i="24"/>
  <c r="B129" i="24"/>
  <c r="B141" i="24"/>
  <c r="B153" i="24"/>
  <c r="B165" i="24"/>
  <c r="B42" i="24"/>
  <c r="B54" i="24"/>
  <c r="B706" i="24"/>
  <c r="B718" i="24"/>
  <c r="B730" i="24"/>
  <c r="B742" i="24"/>
  <c r="B754" i="24"/>
  <c r="B766" i="24"/>
  <c r="B778" i="24"/>
  <c r="B790" i="24"/>
  <c r="B802" i="24"/>
  <c r="B814" i="24"/>
  <c r="B826" i="24"/>
  <c r="B379" i="24"/>
  <c r="B391" i="24"/>
  <c r="B403" i="24"/>
  <c r="B415" i="24"/>
  <c r="B427" i="24"/>
  <c r="B439" i="24"/>
  <c r="B451" i="24"/>
  <c r="B523" i="24"/>
  <c r="B535" i="24"/>
  <c r="B547" i="24"/>
  <c r="B559" i="24"/>
  <c r="B571" i="24"/>
  <c r="B190" i="24"/>
  <c r="B202" i="24"/>
  <c r="B214" i="24"/>
  <c r="B575" i="24"/>
  <c r="B587" i="24"/>
  <c r="B599" i="24"/>
  <c r="B611" i="24"/>
  <c r="B230" i="24"/>
  <c r="B242" i="24"/>
  <c r="B254" i="24"/>
  <c r="B266" i="24"/>
  <c r="B278" i="24"/>
  <c r="B290" i="24"/>
  <c r="B302" i="24"/>
  <c r="B314" i="24"/>
  <c r="B326" i="24"/>
  <c r="B338" i="24"/>
  <c r="B350" i="24"/>
  <c r="B362" i="24"/>
  <c r="B374" i="24"/>
  <c r="B15" i="24"/>
  <c r="B64" i="24"/>
  <c r="B942" i="24"/>
  <c r="B954" i="24"/>
  <c r="B966" i="24"/>
  <c r="B978" i="24"/>
  <c r="B626" i="24"/>
  <c r="B638" i="24"/>
  <c r="B650" i="24"/>
  <c r="B662" i="24"/>
  <c r="B674" i="24"/>
  <c r="B686" i="24"/>
  <c r="U65" i="24"/>
  <c r="AB65" i="24" s="1"/>
  <c r="U16" i="24"/>
  <c r="AB16" i="24" s="1"/>
  <c r="B869" i="24"/>
  <c r="B881" i="24"/>
  <c r="B893" i="24"/>
  <c r="B905" i="24"/>
  <c r="B917" i="24"/>
  <c r="B57" i="24"/>
  <c r="B848" i="24"/>
  <c r="B860" i="24"/>
  <c r="B30" i="24"/>
  <c r="B70" i="24"/>
  <c r="B82" i="24"/>
  <c r="B94" i="24"/>
  <c r="B106" i="24"/>
  <c r="B118" i="24"/>
  <c r="B130" i="24"/>
  <c r="B142" i="24"/>
  <c r="B154" i="24"/>
  <c r="B166" i="24"/>
  <c r="B43" i="24"/>
  <c r="B55" i="24"/>
  <c r="B707" i="24"/>
  <c r="B719" i="24"/>
  <c r="B731" i="24"/>
  <c r="B743" i="24"/>
  <c r="B755" i="24"/>
  <c r="B767" i="24"/>
  <c r="B779" i="24"/>
  <c r="B791" i="24"/>
  <c r="B803" i="24"/>
  <c r="B815" i="24"/>
  <c r="B827" i="24"/>
  <c r="B380" i="24"/>
  <c r="B392" i="24"/>
  <c r="B404" i="24"/>
  <c r="B416" i="24"/>
  <c r="B428" i="24"/>
  <c r="B440" i="24"/>
  <c r="B452" i="24"/>
  <c r="B524" i="24"/>
  <c r="B536" i="24"/>
  <c r="B548" i="24"/>
  <c r="B560" i="24"/>
  <c r="B572" i="24"/>
  <c r="B191" i="24"/>
  <c r="B203" i="24"/>
  <c r="B215" i="24"/>
  <c r="B576" i="24"/>
  <c r="B588" i="24"/>
  <c r="B600" i="24"/>
  <c r="B612" i="24"/>
  <c r="B231" i="24"/>
  <c r="B243" i="24"/>
  <c r="B255" i="24"/>
  <c r="B267" i="24"/>
  <c r="B279" i="24"/>
  <c r="B291" i="24"/>
  <c r="B303" i="24"/>
  <c r="B315" i="24"/>
  <c r="B327" i="24"/>
  <c r="B339" i="24"/>
  <c r="B351" i="24"/>
  <c r="B363" i="24"/>
  <c r="B375" i="24"/>
  <c r="B16" i="24"/>
  <c r="B65" i="24"/>
  <c r="B943" i="24"/>
  <c r="B955" i="24"/>
  <c r="B967" i="24"/>
  <c r="B979" i="24"/>
  <c r="B627" i="24"/>
  <c r="B639" i="24"/>
  <c r="B651" i="24"/>
  <c r="B663" i="24"/>
  <c r="B675" i="24"/>
  <c r="B687" i="24"/>
  <c r="U64" i="24"/>
  <c r="AB64" i="24" s="1"/>
  <c r="U15" i="24"/>
  <c r="AB15" i="24" s="1"/>
  <c r="B870" i="24"/>
  <c r="B882" i="24"/>
  <c r="B894" i="24"/>
  <c r="B906" i="24"/>
  <c r="B918" i="24"/>
  <c r="B837" i="24"/>
  <c r="B849" i="24"/>
  <c r="B861" i="24"/>
  <c r="B31" i="24"/>
  <c r="B71" i="24"/>
  <c r="B83" i="24"/>
  <c r="B95" i="24"/>
  <c r="B107" i="24"/>
  <c r="B119" i="24"/>
  <c r="B131" i="24"/>
  <c r="B143" i="24"/>
  <c r="B155" i="24"/>
  <c r="B167" i="24"/>
  <c r="B44" i="24"/>
  <c r="B696" i="24"/>
  <c r="B708" i="24"/>
  <c r="B720" i="24"/>
  <c r="B732" i="24"/>
  <c r="B744" i="24"/>
  <c r="B756" i="24"/>
  <c r="B768" i="24"/>
  <c r="B780" i="24"/>
  <c r="B792" i="24"/>
  <c r="B804" i="24"/>
  <c r="B816" i="24"/>
  <c r="B828" i="24"/>
  <c r="B381" i="24"/>
  <c r="B393" i="24"/>
  <c r="B405" i="24"/>
  <c r="B417" i="24"/>
  <c r="B429" i="24"/>
  <c r="B441" i="24"/>
  <c r="B453" i="24"/>
  <c r="B525" i="24"/>
  <c r="B537" i="24"/>
  <c r="B549" i="24"/>
  <c r="B561" i="24"/>
  <c r="B218" i="24"/>
  <c r="B192" i="24"/>
  <c r="B204" i="24"/>
  <c r="B216" i="24"/>
  <c r="B577" i="24"/>
  <c r="B589" i="24"/>
  <c r="B601" i="24"/>
  <c r="B613" i="24"/>
  <c r="B232" i="24"/>
  <c r="B244" i="24"/>
  <c r="B256" i="24"/>
  <c r="B268" i="24"/>
  <c r="B280" i="24"/>
  <c r="B292" i="24"/>
  <c r="B304" i="24"/>
  <c r="B316" i="24"/>
  <c r="B328" i="24"/>
  <c r="B340" i="24"/>
  <c r="B352" i="24"/>
  <c r="B364" i="24"/>
  <c r="B376" i="24"/>
  <c r="B17" i="24"/>
  <c r="B66" i="24"/>
  <c r="B944" i="24"/>
  <c r="B956" i="24"/>
  <c r="B968" i="24"/>
  <c r="B980" i="24"/>
  <c r="B628" i="24"/>
  <c r="B640" i="24"/>
  <c r="B652" i="24"/>
  <c r="B664" i="24"/>
  <c r="B676" i="24"/>
  <c r="B688" i="24"/>
  <c r="U63" i="24"/>
  <c r="AB63" i="24" s="1"/>
  <c r="U14" i="24"/>
  <c r="AB14" i="24" s="1"/>
  <c r="B871" i="24"/>
  <c r="B883" i="24"/>
  <c r="B895" i="24"/>
  <c r="B907" i="24"/>
  <c r="B919" i="24"/>
  <c r="B838" i="24"/>
  <c r="B850" i="24"/>
  <c r="B862" i="24"/>
  <c r="B32" i="24"/>
  <c r="B72" i="24"/>
  <c r="B84" i="24"/>
  <c r="B96" i="24"/>
  <c r="B108" i="24"/>
  <c r="B120" i="24"/>
  <c r="B132" i="24"/>
  <c r="B144" i="24"/>
  <c r="B156" i="24"/>
  <c r="B168" i="24"/>
  <c r="B45" i="24"/>
  <c r="B697" i="24"/>
  <c r="B709" i="24"/>
  <c r="B721" i="24"/>
  <c r="B733" i="24"/>
  <c r="B745" i="24"/>
  <c r="B757" i="24"/>
  <c r="B769" i="24"/>
  <c r="B781" i="24"/>
  <c r="B793" i="24"/>
  <c r="B805" i="24"/>
  <c r="B817" i="24"/>
  <c r="B829" i="24"/>
  <c r="B382" i="24"/>
  <c r="B394" i="24"/>
  <c r="B406" i="24"/>
  <c r="B418" i="24"/>
  <c r="B430" i="24"/>
  <c r="B442" i="24"/>
  <c r="B454" i="24"/>
  <c r="B514" i="24"/>
  <c r="B526" i="24"/>
  <c r="B538" i="24"/>
  <c r="B550" i="24"/>
  <c r="B562" i="24"/>
  <c r="B219" i="24"/>
  <c r="B193" i="24"/>
  <c r="B205" i="24"/>
  <c r="B217" i="24"/>
  <c r="B578" i="24"/>
  <c r="B590" i="24"/>
  <c r="B602" i="24"/>
  <c r="B614" i="24"/>
  <c r="B233" i="24"/>
  <c r="B245" i="24"/>
  <c r="B257" i="24"/>
  <c r="B269" i="24"/>
  <c r="B281" i="24"/>
  <c r="B293" i="24"/>
  <c r="B305" i="24"/>
  <c r="B317" i="24"/>
  <c r="B329" i="24"/>
  <c r="B341" i="24"/>
  <c r="B353" i="24"/>
  <c r="B365" i="24"/>
  <c r="B377" i="24"/>
  <c r="B18" i="24"/>
  <c r="B67" i="24"/>
  <c r="B945" i="24"/>
  <c r="B957" i="24"/>
  <c r="B969" i="24"/>
  <c r="B981" i="24"/>
  <c r="B629" i="24"/>
  <c r="B641" i="24"/>
  <c r="B653" i="24"/>
  <c r="B665" i="24"/>
  <c r="B677" i="24"/>
  <c r="B689" i="24"/>
  <c r="U25" i="24"/>
  <c r="AB25" i="24" s="1"/>
  <c r="U13" i="24"/>
  <c r="AB13" i="24" s="1"/>
  <c r="B872" i="24"/>
  <c r="B884" i="24"/>
  <c r="B896" i="24"/>
  <c r="B908" i="24"/>
  <c r="B920" i="24"/>
  <c r="B839" i="24"/>
  <c r="B851" i="24"/>
  <c r="B863" i="24"/>
  <c r="B33" i="24"/>
  <c r="B73" i="24"/>
  <c r="B85" i="24"/>
  <c r="B97" i="24"/>
  <c r="B109" i="24"/>
  <c r="B121" i="24"/>
  <c r="B133" i="24"/>
  <c r="B145" i="24"/>
  <c r="B157" i="24"/>
  <c r="B181" i="24"/>
  <c r="B46" i="24"/>
  <c r="B698" i="24"/>
  <c r="B710" i="24"/>
  <c r="B722" i="24"/>
  <c r="B734" i="24"/>
  <c r="B746" i="24"/>
  <c r="B758" i="24"/>
  <c r="B770" i="24"/>
  <c r="B782" i="24"/>
  <c r="B794" i="24"/>
  <c r="B806" i="24"/>
  <c r="B818" i="24"/>
  <c r="B830" i="24"/>
  <c r="B383" i="24"/>
  <c r="B395" i="24"/>
  <c r="B407" i="24"/>
  <c r="B419" i="24"/>
  <c r="B431" i="24"/>
  <c r="B443" i="24"/>
  <c r="B455" i="24"/>
  <c r="B515" i="24"/>
  <c r="B527" i="24"/>
  <c r="B539" i="24"/>
  <c r="B551" i="24"/>
  <c r="B563" i="24"/>
  <c r="B220" i="24"/>
  <c r="B194" i="24"/>
  <c r="B206" i="24"/>
  <c r="B928" i="24"/>
  <c r="B579" i="24"/>
  <c r="B591" i="24"/>
  <c r="B603" i="24"/>
  <c r="B615" i="24"/>
  <c r="B234" i="24"/>
  <c r="B246" i="24"/>
  <c r="B258" i="24"/>
  <c r="B270" i="24"/>
  <c r="B282" i="24"/>
  <c r="B294" i="24"/>
  <c r="B306" i="24"/>
  <c r="B318" i="24"/>
  <c r="B330" i="24"/>
  <c r="B342" i="24"/>
  <c r="B354" i="24"/>
  <c r="B366" i="24"/>
  <c r="B7" i="24"/>
  <c r="B19" i="24"/>
  <c r="B934" i="24"/>
  <c r="B946" i="24"/>
  <c r="B958" i="24"/>
  <c r="B970" i="24"/>
  <c r="B618" i="24"/>
  <c r="B630" i="24"/>
  <c r="B642" i="24"/>
  <c r="B654" i="24"/>
  <c r="B666" i="24"/>
  <c r="B678" i="24"/>
  <c r="B690" i="24"/>
  <c r="U24" i="24"/>
  <c r="AB24" i="24" s="1"/>
  <c r="B873" i="24"/>
  <c r="B885" i="24"/>
  <c r="B897" i="24"/>
  <c r="B909" i="24"/>
  <c r="B921" i="24"/>
  <c r="B840" i="24"/>
  <c r="B852" i="24"/>
  <c r="B864" i="24"/>
  <c r="B34" i="24"/>
  <c r="B74" i="24"/>
  <c r="B86" i="24"/>
  <c r="B98" i="24"/>
  <c r="B110" i="24"/>
  <c r="B122" i="24"/>
  <c r="B134" i="24"/>
  <c r="B146" i="24"/>
  <c r="B158" i="24"/>
  <c r="B182" i="24"/>
  <c r="B47" i="24"/>
  <c r="B699" i="24"/>
  <c r="B711" i="24"/>
  <c r="B723" i="24"/>
  <c r="B735" i="24"/>
  <c r="B747" i="24"/>
  <c r="B759" i="24"/>
  <c r="B771" i="24"/>
  <c r="B783" i="24"/>
  <c r="B795" i="24"/>
  <c r="B807" i="24"/>
  <c r="B819" i="24"/>
  <c r="B831" i="24"/>
  <c r="B384" i="24"/>
  <c r="B396" i="24"/>
  <c r="B408" i="24"/>
  <c r="B420" i="24"/>
  <c r="B432" i="24"/>
  <c r="B444" i="24"/>
  <c r="B456" i="24"/>
  <c r="B516" i="24"/>
  <c r="B528" i="24"/>
  <c r="B540" i="24"/>
  <c r="B552" i="24"/>
  <c r="B564" i="24"/>
  <c r="B221" i="24"/>
  <c r="B195" i="24"/>
  <c r="B207" i="24"/>
  <c r="B929" i="24"/>
  <c r="B580" i="24"/>
  <c r="B592" i="24"/>
  <c r="B604" i="24"/>
  <c r="B616" i="24"/>
  <c r="B235" i="24"/>
  <c r="B247" i="24"/>
  <c r="B259" i="24"/>
  <c r="B271" i="24"/>
  <c r="B283" i="24"/>
  <c r="B295" i="24"/>
  <c r="B307" i="24"/>
  <c r="B319" i="24"/>
  <c r="B331" i="24"/>
  <c r="B343" i="24"/>
  <c r="B355" i="24"/>
  <c r="B367" i="24"/>
  <c r="B8" i="24"/>
  <c r="B20" i="24"/>
  <c r="B935" i="24"/>
  <c r="B947" i="24"/>
  <c r="B959" i="24"/>
  <c r="B971" i="24"/>
  <c r="B619" i="24"/>
  <c r="B631" i="24"/>
  <c r="B643" i="24"/>
  <c r="B655" i="24"/>
  <c r="B667" i="24"/>
  <c r="B679" i="24"/>
  <c r="B691" i="24"/>
  <c r="U23" i="24"/>
  <c r="AB23" i="24" s="1"/>
  <c r="U11" i="24"/>
  <c r="AB11" i="24" s="1"/>
  <c r="B874" i="24"/>
  <c r="B886" i="24"/>
  <c r="B898" i="24"/>
  <c r="B910" i="24"/>
  <c r="B922" i="24"/>
  <c r="B841" i="24"/>
  <c r="B853" i="24"/>
  <c r="B865" i="24"/>
  <c r="B35" i="24"/>
  <c r="B75" i="24"/>
  <c r="B87" i="24"/>
  <c r="B99" i="24"/>
  <c r="B111" i="24"/>
  <c r="B123" i="24"/>
  <c r="B135" i="24"/>
  <c r="B147" i="24"/>
  <c r="B159" i="24"/>
  <c r="B183" i="24"/>
  <c r="B48" i="24"/>
  <c r="B700" i="24"/>
  <c r="B712" i="24"/>
  <c r="B724" i="24"/>
  <c r="B736" i="24"/>
  <c r="B748" i="24"/>
  <c r="B760" i="24"/>
  <c r="B772" i="24"/>
  <c r="B784" i="24"/>
  <c r="B796" i="24"/>
  <c r="B808" i="24"/>
  <c r="B820" i="24"/>
  <c r="B832" i="24"/>
  <c r="B385" i="24"/>
  <c r="B397" i="24"/>
  <c r="B409" i="24"/>
  <c r="B421" i="24"/>
  <c r="B433" i="24"/>
  <c r="B445" i="24"/>
  <c r="B457" i="24"/>
  <c r="B517" i="24"/>
  <c r="B529" i="24"/>
  <c r="B541" i="24"/>
  <c r="B553" i="24"/>
  <c r="B565" i="24"/>
  <c r="B222" i="24"/>
  <c r="B196" i="24"/>
  <c r="B208" i="24"/>
  <c r="B930" i="24"/>
  <c r="B581" i="24"/>
  <c r="B593" i="24"/>
  <c r="B605" i="24"/>
  <c r="B617" i="24"/>
  <c r="B236" i="24"/>
  <c r="B248" i="24"/>
  <c r="B260" i="24"/>
  <c r="B272" i="24"/>
  <c r="B284" i="24"/>
  <c r="B296" i="24"/>
  <c r="B308" i="24"/>
  <c r="B320" i="24"/>
  <c r="B332" i="24"/>
  <c r="B344" i="24"/>
  <c r="B356" i="24"/>
  <c r="B368" i="24"/>
  <c r="B9" i="24"/>
  <c r="B21" i="24"/>
  <c r="B936" i="24"/>
  <c r="B948" i="24"/>
  <c r="B960" i="24"/>
  <c r="B972" i="24"/>
  <c r="B620" i="24"/>
  <c r="B632" i="24"/>
  <c r="B644" i="24"/>
  <c r="B656" i="24"/>
  <c r="B668" i="24"/>
  <c r="B680" i="24"/>
  <c r="B692" i="24"/>
  <c r="U22" i="24"/>
  <c r="AB22" i="24" s="1"/>
  <c r="U10" i="24"/>
  <c r="AB10" i="24" s="1"/>
  <c r="B875" i="24"/>
  <c r="B887" i="24"/>
  <c r="B899" i="24"/>
  <c r="B911" i="24"/>
  <c r="B923" i="24"/>
  <c r="B842" i="24"/>
  <c r="B854" i="24"/>
  <c r="B866" i="24"/>
  <c r="B36" i="24"/>
  <c r="B76" i="24"/>
  <c r="B88" i="24"/>
  <c r="B100" i="24"/>
  <c r="B112" i="24"/>
  <c r="B124" i="24"/>
  <c r="B136" i="24"/>
  <c r="B148" i="24"/>
  <c r="B160" i="24"/>
  <c r="B184" i="24"/>
  <c r="B49" i="24"/>
  <c r="B701" i="24"/>
  <c r="B713" i="24"/>
  <c r="B725" i="24"/>
  <c r="B737" i="24"/>
  <c r="B749" i="24"/>
  <c r="B761" i="24"/>
  <c r="B773" i="24"/>
  <c r="B785" i="24"/>
  <c r="B797" i="24"/>
  <c r="B809" i="24"/>
  <c r="B821" i="24"/>
  <c r="B833" i="24"/>
  <c r="B386" i="24"/>
  <c r="B398" i="24"/>
  <c r="B410" i="24"/>
  <c r="B422" i="24"/>
  <c r="B434" i="24"/>
  <c r="B446" i="24"/>
  <c r="B518" i="24"/>
  <c r="B530" i="24"/>
  <c r="B542" i="24"/>
  <c r="B554" i="24"/>
  <c r="B566" i="24"/>
  <c r="B223" i="24"/>
  <c r="B197" i="24"/>
  <c r="B209" i="24"/>
  <c r="B931" i="24"/>
  <c r="B582" i="24"/>
  <c r="B594" i="24"/>
  <c r="B606" i="24"/>
  <c r="B225" i="24"/>
  <c r="B237" i="24"/>
  <c r="B249" i="24"/>
  <c r="B261" i="24"/>
  <c r="B273" i="24"/>
  <c r="B285" i="24"/>
  <c r="B297" i="24"/>
  <c r="B309" i="24"/>
  <c r="B321" i="24"/>
  <c r="B333" i="24"/>
  <c r="B345" i="24"/>
  <c r="B357" i="24"/>
  <c r="B369" i="24"/>
  <c r="B10" i="24"/>
  <c r="B22" i="24"/>
  <c r="B937" i="24"/>
  <c r="B949" i="24"/>
  <c r="B961" i="24"/>
  <c r="B973" i="24"/>
  <c r="B621" i="24"/>
  <c r="B633" i="24"/>
  <c r="B645" i="24"/>
  <c r="B657" i="24"/>
  <c r="B669" i="24"/>
  <c r="B681" i="24"/>
  <c r="B693" i="24"/>
  <c r="U21" i="24"/>
  <c r="AB21" i="24" s="1"/>
  <c r="U9" i="24"/>
  <c r="AB9" i="24" s="1"/>
  <c r="B876" i="24"/>
  <c r="B888" i="24"/>
  <c r="B900" i="24"/>
  <c r="B912" i="24"/>
  <c r="B924" i="24"/>
  <c r="B843" i="24"/>
  <c r="B855" i="24"/>
  <c r="B867" i="24"/>
  <c r="B37" i="24"/>
  <c r="B77" i="24"/>
  <c r="B89" i="24"/>
  <c r="B101" i="24"/>
  <c r="B113" i="24"/>
  <c r="B125" i="24"/>
  <c r="B137" i="24"/>
  <c r="B149" i="24"/>
  <c r="B161" i="24"/>
  <c r="B185" i="24"/>
  <c r="B50" i="24"/>
  <c r="B702" i="24"/>
  <c r="B714" i="24"/>
  <c r="B726" i="24"/>
  <c r="B738" i="24"/>
  <c r="B750" i="24"/>
  <c r="B762" i="24"/>
  <c r="B774" i="24"/>
  <c r="B786" i="24"/>
  <c r="B798" i="24"/>
  <c r="B810" i="24"/>
  <c r="B822" i="24"/>
  <c r="B834" i="24"/>
  <c r="B387" i="24"/>
  <c r="B399" i="24"/>
  <c r="B411" i="24"/>
  <c r="B423" i="24"/>
  <c r="B435" i="24"/>
  <c r="B447" i="24"/>
  <c r="B519" i="24"/>
  <c r="B531" i="24"/>
  <c r="B543" i="24"/>
  <c r="B555" i="24"/>
  <c r="B567" i="24"/>
  <c r="B224" i="24"/>
  <c r="B198" i="24"/>
  <c r="B210" i="24"/>
  <c r="B932" i="24"/>
  <c r="B583" i="24"/>
  <c r="B595" i="24"/>
  <c r="B607" i="24"/>
  <c r="B226" i="24"/>
  <c r="B238" i="24"/>
  <c r="B250" i="24"/>
  <c r="B262" i="24"/>
  <c r="B274" i="24"/>
  <c r="B286" i="24"/>
  <c r="B298" i="24"/>
  <c r="B310" i="24"/>
  <c r="B322" i="24"/>
  <c r="B334" i="24"/>
  <c r="B346" i="24"/>
  <c r="B358" i="24"/>
  <c r="B370" i="24"/>
  <c r="B11" i="24"/>
  <c r="B23" i="24"/>
  <c r="B938" i="24"/>
  <c r="B950" i="24"/>
  <c r="B962" i="24"/>
  <c r="B974" i="24"/>
  <c r="B622" i="24"/>
  <c r="B634" i="24"/>
  <c r="B646" i="24"/>
  <c r="B658" i="24"/>
  <c r="B670" i="24"/>
  <c r="B682" i="24"/>
  <c r="B694" i="24"/>
  <c r="U20" i="24"/>
  <c r="AB20" i="24" s="1"/>
  <c r="U8" i="24"/>
  <c r="AB8" i="24" s="1"/>
  <c r="B877" i="24"/>
  <c r="B889" i="24"/>
  <c r="B901" i="24"/>
  <c r="B913" i="24"/>
  <c r="B925" i="24"/>
  <c r="B844" i="24"/>
  <c r="B856" i="24"/>
  <c r="B26" i="24"/>
  <c r="B38" i="24"/>
  <c r="B78" i="24"/>
  <c r="B90" i="24"/>
  <c r="B102" i="24"/>
  <c r="B114" i="24"/>
  <c r="B126" i="24"/>
  <c r="B138" i="24"/>
  <c r="B150" i="24"/>
  <c r="B162" i="24"/>
  <c r="B174" i="24"/>
  <c r="B186" i="24"/>
  <c r="B51" i="24"/>
  <c r="B703" i="24"/>
  <c r="B715" i="24"/>
  <c r="B727" i="24"/>
  <c r="B739" i="24"/>
  <c r="B751" i="24"/>
  <c r="B763" i="24"/>
  <c r="B775" i="24"/>
  <c r="B787" i="24"/>
  <c r="B799" i="24"/>
  <c r="B811" i="24"/>
  <c r="B823" i="24"/>
  <c r="B835" i="24"/>
  <c r="B388" i="24"/>
  <c r="B400" i="24"/>
  <c r="B412" i="24"/>
  <c r="B424" i="24"/>
  <c r="B436" i="24"/>
  <c r="B448" i="24"/>
  <c r="B520" i="24"/>
  <c r="B532" i="24"/>
  <c r="B544" i="24"/>
  <c r="B556" i="24"/>
  <c r="B568" i="24"/>
  <c r="B40" i="24"/>
  <c r="B199" i="24"/>
  <c r="B211" i="24"/>
  <c r="B933" i="24"/>
  <c r="B584" i="24"/>
  <c r="B596" i="24"/>
  <c r="B608" i="24"/>
  <c r="B227" i="24"/>
  <c r="B239" i="24"/>
  <c r="B251" i="24"/>
  <c r="B263" i="24"/>
  <c r="B275" i="24"/>
  <c r="B287" i="24"/>
  <c r="B299" i="24"/>
  <c r="B311" i="24"/>
  <c r="B323" i="24"/>
  <c r="B335" i="24"/>
  <c r="B347" i="24"/>
  <c r="B359" i="24"/>
  <c r="B371" i="24"/>
  <c r="B12" i="24"/>
  <c r="B24" i="24"/>
  <c r="B939" i="24"/>
  <c r="B951" i="24"/>
  <c r="B963" i="24"/>
  <c r="B975" i="24"/>
  <c r="B623" i="24"/>
  <c r="B635" i="24"/>
  <c r="B647" i="24"/>
  <c r="B659" i="24"/>
  <c r="B671" i="24"/>
  <c r="B683" i="24"/>
  <c r="B695" i="24"/>
  <c r="U19" i="24"/>
  <c r="AB19" i="24" s="1"/>
  <c r="B878" i="24"/>
  <c r="B890" i="24"/>
  <c r="B902" i="24"/>
  <c r="B914" i="24"/>
  <c r="B926" i="24"/>
  <c r="B845" i="24"/>
  <c r="B857" i="24"/>
  <c r="B27" i="24"/>
  <c r="B39" i="24"/>
  <c r="B79" i="24"/>
  <c r="B91" i="24"/>
  <c r="B103" i="24"/>
  <c r="B115" i="24"/>
  <c r="B127" i="24"/>
  <c r="B139" i="24"/>
  <c r="B151" i="24"/>
  <c r="B163" i="24"/>
  <c r="B175" i="24"/>
  <c r="B187" i="24"/>
  <c r="B52" i="24"/>
  <c r="B704" i="24"/>
  <c r="B716" i="24"/>
  <c r="B728" i="24"/>
  <c r="B740" i="24"/>
  <c r="B752" i="24"/>
  <c r="B764" i="24"/>
  <c r="B776" i="24"/>
  <c r="B788" i="24"/>
  <c r="B800" i="24"/>
  <c r="B812" i="24"/>
  <c r="B824" i="24"/>
  <c r="B836" i="24"/>
  <c r="B389" i="24"/>
  <c r="B401" i="24"/>
  <c r="B413" i="24"/>
  <c r="B425" i="24"/>
  <c r="B437" i="24"/>
  <c r="B449" i="24"/>
  <c r="B521" i="24"/>
  <c r="B533" i="24"/>
  <c r="B545" i="24"/>
  <c r="B557" i="24"/>
  <c r="B569" i="24"/>
  <c r="B188" i="24"/>
  <c r="B200" i="24"/>
  <c r="B212" i="24"/>
  <c r="B573" i="24"/>
  <c r="B585" i="24"/>
  <c r="B597" i="24"/>
  <c r="B609" i="24"/>
  <c r="B228" i="24"/>
  <c r="B240" i="24"/>
  <c r="B252" i="24"/>
  <c r="B264" i="24"/>
  <c r="B276" i="24"/>
  <c r="B288" i="24"/>
  <c r="B300" i="24"/>
  <c r="B312" i="24"/>
  <c r="B324" i="24"/>
  <c r="B336" i="24"/>
  <c r="B348" i="24"/>
  <c r="B360" i="24"/>
  <c r="B372" i="24"/>
  <c r="B13" i="24"/>
  <c r="B25" i="24"/>
  <c r="B940" i="24"/>
  <c r="B952" i="24"/>
  <c r="B964" i="24"/>
  <c r="B976" i="24"/>
  <c r="B624" i="24"/>
  <c r="B636" i="24"/>
  <c r="B648" i="24"/>
  <c r="B660" i="24"/>
  <c r="B672" i="24"/>
  <c r="B684" i="24"/>
  <c r="U67" i="24"/>
  <c r="AB67" i="24" s="1"/>
  <c r="U18" i="24"/>
  <c r="AB18" i="24" s="1"/>
  <c r="B879" i="24"/>
  <c r="B891" i="24"/>
  <c r="B903" i="24"/>
  <c r="B915" i="24"/>
  <c r="B927" i="24"/>
  <c r="B846" i="24"/>
  <c r="B858" i="24"/>
  <c r="B28" i="24"/>
  <c r="B68" i="24"/>
  <c r="B80" i="24"/>
  <c r="B92" i="24"/>
  <c r="B104" i="24"/>
  <c r="B116" i="24"/>
  <c r="B128" i="24"/>
  <c r="B140" i="24"/>
  <c r="B152" i="24"/>
  <c r="B164" i="24"/>
  <c r="B41" i="24"/>
  <c r="B53" i="24"/>
  <c r="B705" i="24"/>
  <c r="B717" i="24"/>
  <c r="B729" i="24"/>
  <c r="B741" i="24"/>
  <c r="B753" i="24"/>
  <c r="B765" i="24"/>
  <c r="B777" i="24"/>
  <c r="B789" i="24"/>
  <c r="B801" i="24"/>
  <c r="B813" i="24"/>
  <c r="B825" i="24"/>
  <c r="B378" i="24"/>
  <c r="B390" i="24"/>
  <c r="B402" i="24"/>
  <c r="B414" i="24"/>
  <c r="B426" i="24"/>
  <c r="B438" i="24"/>
  <c r="B450" i="24"/>
  <c r="B522" i="24"/>
  <c r="B534" i="24"/>
  <c r="B546" i="24"/>
  <c r="B558" i="24"/>
  <c r="B570" i="24"/>
  <c r="B189" i="24"/>
  <c r="B201" i="24"/>
  <c r="B213" i="24"/>
  <c r="B574" i="24"/>
  <c r="B586" i="24"/>
  <c r="B598" i="24"/>
  <c r="B610" i="24"/>
  <c r="B229" i="24"/>
  <c r="B241" i="24"/>
  <c r="B253" i="24"/>
  <c r="B265" i="24"/>
  <c r="B277" i="24"/>
  <c r="B289" i="24"/>
  <c r="B301" i="24"/>
  <c r="B313" i="24"/>
  <c r="B325" i="24"/>
  <c r="B337" i="24"/>
  <c r="B349" i="24"/>
  <c r="B361" i="24"/>
  <c r="B373" i="24"/>
  <c r="B14" i="24"/>
  <c r="B63" i="24"/>
  <c r="B941" i="24"/>
  <c r="B953" i="24"/>
  <c r="B965" i="24"/>
  <c r="B977" i="24"/>
  <c r="B625" i="24"/>
  <c r="B637" i="24"/>
  <c r="B649" i="24"/>
  <c r="B661" i="24"/>
  <c r="B673" i="24"/>
  <c r="B685" i="24"/>
  <c r="U66" i="24"/>
  <c r="AB66" i="24" s="1"/>
  <c r="U17" i="24"/>
  <c r="AB17" i="24" s="1"/>
  <c r="U185" i="24"/>
  <c r="AB185" i="24" s="1"/>
  <c r="U12" i="24"/>
  <c r="AB12" i="24" s="1"/>
  <c r="U175" i="24"/>
  <c r="AB175" i="24" s="1"/>
  <c r="U163" i="24"/>
  <c r="AB163" i="24" s="1"/>
  <c r="U151" i="24"/>
  <c r="AB151" i="24" s="1"/>
  <c r="U139" i="24"/>
  <c r="AB139" i="24" s="1"/>
  <c r="U127" i="24"/>
  <c r="AB127" i="24" s="1"/>
  <c r="U115" i="24"/>
  <c r="AB115" i="24" s="1"/>
  <c r="U103" i="24"/>
  <c r="AB103" i="24" s="1"/>
  <c r="U91" i="24"/>
  <c r="AB91" i="24" s="1"/>
  <c r="U79" i="24"/>
  <c r="AB79" i="24" s="1"/>
  <c r="U39" i="24"/>
  <c r="AB39" i="24" s="1"/>
  <c r="U27" i="24"/>
  <c r="AB27" i="24" s="1"/>
  <c r="U646" i="24"/>
  <c r="AB646" i="24" s="1"/>
  <c r="U634" i="24"/>
  <c r="AB634" i="24" s="1"/>
  <c r="U622" i="24"/>
  <c r="AB622" i="24" s="1"/>
  <c r="U346" i="24"/>
  <c r="AB346" i="24" s="1"/>
  <c r="U334" i="24"/>
  <c r="AB334" i="24" s="1"/>
  <c r="U322" i="24"/>
  <c r="AB322" i="24" s="1"/>
  <c r="U310" i="24"/>
  <c r="AB310" i="24" s="1"/>
  <c r="U298" i="24"/>
  <c r="AB298" i="24" s="1"/>
  <c r="U286" i="24"/>
  <c r="AB286" i="24" s="1"/>
  <c r="U274" i="24"/>
  <c r="AB274" i="24" s="1"/>
  <c r="U262" i="24"/>
  <c r="AB262" i="24" s="1"/>
  <c r="U250" i="24"/>
  <c r="AB250" i="24" s="1"/>
  <c r="U238" i="24"/>
  <c r="AB238" i="24" s="1"/>
  <c r="U226" i="24"/>
  <c r="AB226" i="24" s="1"/>
  <c r="U207" i="24"/>
  <c r="AB207" i="24" s="1"/>
  <c r="U195" i="24"/>
  <c r="AB195" i="24" s="1"/>
  <c r="U55" i="24"/>
  <c r="AB55" i="24" s="1"/>
  <c r="U43" i="24"/>
  <c r="AB43" i="24" s="1"/>
  <c r="U615" i="24"/>
  <c r="AB615" i="24" s="1"/>
  <c r="U603" i="24"/>
  <c r="AB603" i="24" s="1"/>
  <c r="U591" i="24"/>
  <c r="AB591" i="24" s="1"/>
  <c r="U579" i="24"/>
  <c r="AB579" i="24" s="1"/>
  <c r="U372" i="24"/>
  <c r="AB372" i="24" s="1"/>
  <c r="U360" i="24"/>
  <c r="AB360" i="24" s="1"/>
  <c r="U567" i="24"/>
  <c r="AB567" i="24" s="1"/>
  <c r="U555" i="24"/>
  <c r="AB555" i="24" s="1"/>
  <c r="U543" i="24"/>
  <c r="AB543" i="24" s="1"/>
  <c r="U531" i="24"/>
  <c r="AB531" i="24" s="1"/>
  <c r="U519" i="24"/>
  <c r="AB519" i="24" s="1"/>
  <c r="U447" i="24"/>
  <c r="AB447" i="24" s="1"/>
  <c r="U435" i="24"/>
  <c r="AB435" i="24" s="1"/>
  <c r="U423" i="24"/>
  <c r="AB423" i="24" s="1"/>
  <c r="U411" i="24"/>
  <c r="AB411" i="24" s="1"/>
  <c r="U399" i="24"/>
  <c r="AB399" i="24" s="1"/>
  <c r="U387" i="24"/>
  <c r="AB387" i="24" s="1"/>
  <c r="U7" i="24"/>
  <c r="AB7" i="24" s="1"/>
  <c r="U187" i="24"/>
  <c r="AB187" i="24" s="1"/>
  <c r="U174" i="24"/>
  <c r="AB174" i="24" s="1"/>
  <c r="U162" i="24"/>
  <c r="AB162" i="24" s="1"/>
  <c r="U150" i="24"/>
  <c r="AB150" i="24" s="1"/>
  <c r="U138" i="24"/>
  <c r="AB138" i="24" s="1"/>
  <c r="U126" i="24"/>
  <c r="AB126" i="24" s="1"/>
  <c r="U114" i="24"/>
  <c r="AB114" i="24" s="1"/>
  <c r="U102" i="24"/>
  <c r="AB102" i="24" s="1"/>
  <c r="U90" i="24"/>
  <c r="AB90" i="24" s="1"/>
  <c r="U78" i="24"/>
  <c r="AB78" i="24" s="1"/>
  <c r="U38" i="24"/>
  <c r="AB38" i="24" s="1"/>
  <c r="U26" i="24"/>
  <c r="AB26" i="24" s="1"/>
  <c r="U645" i="24"/>
  <c r="AB645" i="24" s="1"/>
  <c r="U633" i="24"/>
  <c r="AB633" i="24" s="1"/>
  <c r="U621" i="24"/>
  <c r="AB621" i="24" s="1"/>
  <c r="U345" i="24"/>
  <c r="AB345" i="24" s="1"/>
  <c r="U333" i="24"/>
  <c r="AB333" i="24" s="1"/>
  <c r="U321" i="24"/>
  <c r="AB321" i="24" s="1"/>
  <c r="U309" i="24"/>
  <c r="AB309" i="24" s="1"/>
  <c r="U297" i="24"/>
  <c r="AB297" i="24" s="1"/>
  <c r="U285" i="24"/>
  <c r="AB285" i="24" s="1"/>
  <c r="U273" i="24"/>
  <c r="AB273" i="24" s="1"/>
  <c r="U261" i="24"/>
  <c r="AB261" i="24" s="1"/>
  <c r="U249" i="24"/>
  <c r="AB249" i="24" s="1"/>
  <c r="U237" i="24"/>
  <c r="AB237" i="24" s="1"/>
  <c r="U225" i="24"/>
  <c r="AB225" i="24" s="1"/>
  <c r="U206" i="24"/>
  <c r="AB206" i="24" s="1"/>
  <c r="U194" i="24"/>
  <c r="AB194" i="24" s="1"/>
  <c r="U54" i="24"/>
  <c r="AB54" i="24" s="1"/>
  <c r="U42" i="24"/>
  <c r="AB42" i="24" s="1"/>
  <c r="U614" i="24"/>
  <c r="AB614" i="24" s="1"/>
  <c r="U602" i="24"/>
  <c r="AB602" i="24" s="1"/>
  <c r="U590" i="24"/>
  <c r="AB590" i="24" s="1"/>
  <c r="U578" i="24"/>
  <c r="AB578" i="24" s="1"/>
  <c r="U371" i="24"/>
  <c r="AB371" i="24" s="1"/>
  <c r="U359" i="24"/>
  <c r="AB359" i="24" s="1"/>
  <c r="U566" i="24"/>
  <c r="AB566" i="24" s="1"/>
  <c r="U554" i="24"/>
  <c r="AB554" i="24" s="1"/>
  <c r="U542" i="24"/>
  <c r="AB542" i="24" s="1"/>
  <c r="U530" i="24"/>
  <c r="AB530" i="24" s="1"/>
  <c r="U518" i="24"/>
  <c r="AB518" i="24" s="1"/>
  <c r="U446" i="24"/>
  <c r="AB446" i="24" s="1"/>
  <c r="U434" i="24"/>
  <c r="AB434" i="24" s="1"/>
  <c r="U422" i="24"/>
  <c r="AB422" i="24" s="1"/>
  <c r="U410" i="24"/>
  <c r="AB410" i="24" s="1"/>
  <c r="U398" i="24"/>
  <c r="AB398" i="24" s="1"/>
  <c r="U386" i="24"/>
  <c r="AB386" i="24" s="1"/>
  <c r="U186" i="24"/>
  <c r="AB186" i="24" s="1"/>
  <c r="U161" i="24"/>
  <c r="AB161" i="24" s="1"/>
  <c r="U149" i="24"/>
  <c r="AB149" i="24" s="1"/>
  <c r="U137" i="24"/>
  <c r="AB137" i="24" s="1"/>
  <c r="U125" i="24"/>
  <c r="AB125" i="24" s="1"/>
  <c r="U113" i="24"/>
  <c r="AB113" i="24" s="1"/>
  <c r="U101" i="24"/>
  <c r="AB101" i="24" s="1"/>
  <c r="U89" i="24"/>
  <c r="AB89" i="24" s="1"/>
  <c r="U77" i="24"/>
  <c r="AB77" i="24" s="1"/>
  <c r="U37" i="24"/>
  <c r="AB37" i="24" s="1"/>
  <c r="U644" i="24"/>
  <c r="AB644" i="24" s="1"/>
  <c r="U632" i="24"/>
  <c r="AB632" i="24" s="1"/>
  <c r="U620" i="24"/>
  <c r="AB620" i="24" s="1"/>
  <c r="U344" i="24"/>
  <c r="AB344" i="24" s="1"/>
  <c r="U332" i="24"/>
  <c r="AB332" i="24" s="1"/>
  <c r="U320" i="24"/>
  <c r="AB320" i="24" s="1"/>
  <c r="U308" i="24"/>
  <c r="AB308" i="24" s="1"/>
  <c r="U296" i="24"/>
  <c r="AB296" i="24" s="1"/>
  <c r="U284" i="24"/>
  <c r="AB284" i="24" s="1"/>
  <c r="U272" i="24"/>
  <c r="AB272" i="24" s="1"/>
  <c r="U260" i="24"/>
  <c r="AB260" i="24" s="1"/>
  <c r="U248" i="24"/>
  <c r="AB248" i="24" s="1"/>
  <c r="U236" i="24"/>
  <c r="AB236" i="24" s="1"/>
  <c r="U217" i="24"/>
  <c r="AB217" i="24" s="1"/>
  <c r="U205" i="24"/>
  <c r="AB205" i="24" s="1"/>
  <c r="U193" i="24"/>
  <c r="AB193" i="24" s="1"/>
  <c r="U53" i="24"/>
  <c r="AB53" i="24" s="1"/>
  <c r="U41" i="24"/>
  <c r="AB41" i="24" s="1"/>
  <c r="U613" i="24"/>
  <c r="AB613" i="24" s="1"/>
  <c r="U601" i="24"/>
  <c r="AB601" i="24" s="1"/>
  <c r="U589" i="24"/>
  <c r="AB589" i="24" s="1"/>
  <c r="U577" i="24"/>
  <c r="AB577" i="24" s="1"/>
  <c r="U370" i="24"/>
  <c r="AB370" i="24" s="1"/>
  <c r="U358" i="24"/>
  <c r="AB358" i="24" s="1"/>
  <c r="U565" i="24"/>
  <c r="AB565" i="24" s="1"/>
  <c r="U553" i="24"/>
  <c r="AB553" i="24" s="1"/>
  <c r="U541" i="24"/>
  <c r="AB541" i="24" s="1"/>
  <c r="U529" i="24"/>
  <c r="AB529" i="24" s="1"/>
  <c r="U517" i="24"/>
  <c r="AB517" i="24" s="1"/>
  <c r="U457" i="24"/>
  <c r="AB457" i="24" s="1"/>
  <c r="U445" i="24"/>
  <c r="AB445" i="24" s="1"/>
  <c r="U433" i="24"/>
  <c r="AB433" i="24" s="1"/>
  <c r="U421" i="24"/>
  <c r="AB421" i="24" s="1"/>
  <c r="U409" i="24"/>
  <c r="AB409" i="24" s="1"/>
  <c r="U397" i="24"/>
  <c r="AB397" i="24" s="1"/>
  <c r="U385" i="24"/>
  <c r="AB385" i="24" s="1"/>
  <c r="U184" i="24"/>
  <c r="AB184" i="24" s="1"/>
  <c r="U160" i="24"/>
  <c r="AB160" i="24" s="1"/>
  <c r="U148" i="24"/>
  <c r="AB148" i="24" s="1"/>
  <c r="U136" i="24"/>
  <c r="AB136" i="24" s="1"/>
  <c r="U124" i="24"/>
  <c r="AB124" i="24" s="1"/>
  <c r="U112" i="24"/>
  <c r="AB112" i="24" s="1"/>
  <c r="U100" i="24"/>
  <c r="AB100" i="24" s="1"/>
  <c r="U88" i="24"/>
  <c r="AB88" i="24" s="1"/>
  <c r="U76" i="24"/>
  <c r="AB76" i="24" s="1"/>
  <c r="U36" i="24"/>
  <c r="AB36" i="24" s="1"/>
  <c r="U643" i="24"/>
  <c r="AB643" i="24" s="1"/>
  <c r="U631" i="24"/>
  <c r="AB631" i="24" s="1"/>
  <c r="U619" i="24"/>
  <c r="AB619" i="24" s="1"/>
  <c r="U343" i="24"/>
  <c r="AB343" i="24" s="1"/>
  <c r="U331" i="24"/>
  <c r="AB331" i="24" s="1"/>
  <c r="U319" i="24"/>
  <c r="AB319" i="24" s="1"/>
  <c r="U307" i="24"/>
  <c r="AB307" i="24" s="1"/>
  <c r="U295" i="24"/>
  <c r="AB295" i="24" s="1"/>
  <c r="U283" i="24"/>
  <c r="AB283" i="24" s="1"/>
  <c r="U271" i="24"/>
  <c r="AB271" i="24" s="1"/>
  <c r="U259" i="24"/>
  <c r="AB259" i="24" s="1"/>
  <c r="U247" i="24"/>
  <c r="AB247" i="24" s="1"/>
  <c r="U235" i="24"/>
  <c r="AB235" i="24" s="1"/>
  <c r="U216" i="24"/>
  <c r="AB216" i="24" s="1"/>
  <c r="U204" i="24"/>
  <c r="AB204" i="24" s="1"/>
  <c r="U192" i="24"/>
  <c r="AB192" i="24" s="1"/>
  <c r="U52" i="24"/>
  <c r="AB52" i="24" s="1"/>
  <c r="U224" i="24"/>
  <c r="AB224" i="24" s="1"/>
  <c r="U612" i="24"/>
  <c r="AB612" i="24" s="1"/>
  <c r="U600" i="24"/>
  <c r="AB600" i="24" s="1"/>
  <c r="U588" i="24"/>
  <c r="AB588" i="24" s="1"/>
  <c r="U576" i="24"/>
  <c r="AB576" i="24" s="1"/>
  <c r="U369" i="24"/>
  <c r="AB369" i="24" s="1"/>
  <c r="U357" i="24"/>
  <c r="AB357" i="24" s="1"/>
  <c r="U564" i="24"/>
  <c r="AB564" i="24" s="1"/>
  <c r="U552" i="24"/>
  <c r="AB552" i="24" s="1"/>
  <c r="U540" i="24"/>
  <c r="AB540" i="24" s="1"/>
  <c r="U528" i="24"/>
  <c r="AB528" i="24" s="1"/>
  <c r="U516" i="24"/>
  <c r="AB516" i="24" s="1"/>
  <c r="U456" i="24"/>
  <c r="AB456" i="24" s="1"/>
  <c r="U444" i="24"/>
  <c r="AB444" i="24" s="1"/>
  <c r="U432" i="24"/>
  <c r="AB432" i="24" s="1"/>
  <c r="U420" i="24"/>
  <c r="AB420" i="24" s="1"/>
  <c r="U408" i="24"/>
  <c r="AB408" i="24" s="1"/>
  <c r="U396" i="24"/>
  <c r="AB396" i="24" s="1"/>
  <c r="U384" i="24"/>
  <c r="AB384" i="24" s="1"/>
  <c r="U183" i="24"/>
  <c r="AB183" i="24" s="1"/>
  <c r="U159" i="24"/>
  <c r="AB159" i="24" s="1"/>
  <c r="U147" i="24"/>
  <c r="AB147" i="24" s="1"/>
  <c r="U135" i="24"/>
  <c r="AB135" i="24" s="1"/>
  <c r="U123" i="24"/>
  <c r="AB123" i="24" s="1"/>
  <c r="U111" i="24"/>
  <c r="AB111" i="24" s="1"/>
  <c r="U99" i="24"/>
  <c r="AB99" i="24" s="1"/>
  <c r="U87" i="24"/>
  <c r="AB87" i="24" s="1"/>
  <c r="U75" i="24"/>
  <c r="AB75" i="24" s="1"/>
  <c r="U35" i="24"/>
  <c r="AB35" i="24" s="1"/>
  <c r="U642" i="24"/>
  <c r="AB642" i="24" s="1"/>
  <c r="U630" i="24"/>
  <c r="AB630" i="24" s="1"/>
  <c r="U618" i="24"/>
  <c r="AB618" i="24" s="1"/>
  <c r="U342" i="24"/>
  <c r="AB342" i="24" s="1"/>
  <c r="U330" i="24"/>
  <c r="AB330" i="24" s="1"/>
  <c r="U318" i="24"/>
  <c r="AB318" i="24" s="1"/>
  <c r="U306" i="24"/>
  <c r="AB306" i="24" s="1"/>
  <c r="U294" i="24"/>
  <c r="AB294" i="24" s="1"/>
  <c r="U282" i="24"/>
  <c r="AB282" i="24" s="1"/>
  <c r="U270" i="24"/>
  <c r="AB270" i="24" s="1"/>
  <c r="U258" i="24"/>
  <c r="AB258" i="24" s="1"/>
  <c r="U246" i="24"/>
  <c r="AB246" i="24" s="1"/>
  <c r="U234" i="24"/>
  <c r="AB234" i="24" s="1"/>
  <c r="U215" i="24"/>
  <c r="AB215" i="24" s="1"/>
  <c r="U203" i="24"/>
  <c r="AB203" i="24" s="1"/>
  <c r="U191" i="24"/>
  <c r="AB191" i="24" s="1"/>
  <c r="U51" i="24"/>
  <c r="AB51" i="24" s="1"/>
  <c r="U223" i="24"/>
  <c r="AB223" i="24" s="1"/>
  <c r="U611" i="24"/>
  <c r="AB611" i="24" s="1"/>
  <c r="U599" i="24"/>
  <c r="AB599" i="24" s="1"/>
  <c r="U587" i="24"/>
  <c r="AB587" i="24" s="1"/>
  <c r="U575" i="24"/>
  <c r="AB575" i="24" s="1"/>
  <c r="U368" i="24"/>
  <c r="AB368" i="24" s="1"/>
  <c r="U356" i="24"/>
  <c r="AB356" i="24" s="1"/>
  <c r="U563" i="24"/>
  <c r="AB563" i="24" s="1"/>
  <c r="U551" i="24"/>
  <c r="AB551" i="24" s="1"/>
  <c r="U539" i="24"/>
  <c r="AB539" i="24" s="1"/>
  <c r="U527" i="24"/>
  <c r="AB527" i="24" s="1"/>
  <c r="U515" i="24"/>
  <c r="AB515" i="24" s="1"/>
  <c r="U455" i="24"/>
  <c r="AB455" i="24" s="1"/>
  <c r="U443" i="24"/>
  <c r="AB443" i="24" s="1"/>
  <c r="U431" i="24"/>
  <c r="AB431" i="24" s="1"/>
  <c r="U419" i="24"/>
  <c r="AB419" i="24" s="1"/>
  <c r="U407" i="24"/>
  <c r="AB407" i="24" s="1"/>
  <c r="U395" i="24"/>
  <c r="AB395" i="24" s="1"/>
  <c r="U383" i="24"/>
  <c r="AB383" i="24" s="1"/>
  <c r="U182" i="24"/>
  <c r="AB182" i="24" s="1"/>
  <c r="U158" i="24"/>
  <c r="AB158" i="24" s="1"/>
  <c r="U146" i="24"/>
  <c r="AB146" i="24" s="1"/>
  <c r="U134" i="24"/>
  <c r="AB134" i="24" s="1"/>
  <c r="U122" i="24"/>
  <c r="AB122" i="24" s="1"/>
  <c r="U110" i="24"/>
  <c r="AB110" i="24" s="1"/>
  <c r="U98" i="24"/>
  <c r="AB98" i="24" s="1"/>
  <c r="U86" i="24"/>
  <c r="AB86" i="24" s="1"/>
  <c r="U74" i="24"/>
  <c r="AB74" i="24" s="1"/>
  <c r="U34" i="24"/>
  <c r="AB34" i="24" s="1"/>
  <c r="U641" i="24"/>
  <c r="AB641" i="24" s="1"/>
  <c r="U629" i="24"/>
  <c r="AB629" i="24" s="1"/>
  <c r="U353" i="24"/>
  <c r="AB353" i="24" s="1"/>
  <c r="U341" i="24"/>
  <c r="AB341" i="24" s="1"/>
  <c r="U329" i="24"/>
  <c r="AB329" i="24" s="1"/>
  <c r="U317" i="24"/>
  <c r="AB317" i="24" s="1"/>
  <c r="U305" i="24"/>
  <c r="AB305" i="24" s="1"/>
  <c r="U293" i="24"/>
  <c r="AB293" i="24" s="1"/>
  <c r="U281" i="24"/>
  <c r="AB281" i="24" s="1"/>
  <c r="U269" i="24"/>
  <c r="AB269" i="24" s="1"/>
  <c r="U257" i="24"/>
  <c r="AB257" i="24" s="1"/>
  <c r="U245" i="24"/>
  <c r="AB245" i="24" s="1"/>
  <c r="U233" i="24"/>
  <c r="AB233" i="24" s="1"/>
  <c r="U214" i="24"/>
  <c r="AB214" i="24" s="1"/>
  <c r="U202" i="24"/>
  <c r="AB202" i="24" s="1"/>
  <c r="U190" i="24"/>
  <c r="AB190" i="24" s="1"/>
  <c r="U50" i="24"/>
  <c r="AB50" i="24" s="1"/>
  <c r="U222" i="24"/>
  <c r="AB222" i="24" s="1"/>
  <c r="U610" i="24"/>
  <c r="AB610" i="24" s="1"/>
  <c r="U598" i="24"/>
  <c r="AB598" i="24" s="1"/>
  <c r="U586" i="24"/>
  <c r="AB586" i="24" s="1"/>
  <c r="U574" i="24"/>
  <c r="AB574" i="24" s="1"/>
  <c r="U367" i="24"/>
  <c r="AB367" i="24" s="1"/>
  <c r="U355" i="24"/>
  <c r="AB355" i="24" s="1"/>
  <c r="U562" i="24"/>
  <c r="AB562" i="24" s="1"/>
  <c r="U550" i="24"/>
  <c r="AB550" i="24" s="1"/>
  <c r="U538" i="24"/>
  <c r="AB538" i="24" s="1"/>
  <c r="U526" i="24"/>
  <c r="AB526" i="24" s="1"/>
  <c r="U514" i="24"/>
  <c r="AB514" i="24" s="1"/>
  <c r="U454" i="24"/>
  <c r="AB454" i="24" s="1"/>
  <c r="U442" i="24"/>
  <c r="AB442" i="24" s="1"/>
  <c r="U430" i="24"/>
  <c r="AB430" i="24" s="1"/>
  <c r="U418" i="24"/>
  <c r="AB418" i="24" s="1"/>
  <c r="U406" i="24"/>
  <c r="AB406" i="24" s="1"/>
  <c r="U394" i="24"/>
  <c r="AB394" i="24" s="1"/>
  <c r="U382" i="24"/>
  <c r="AB382" i="24" s="1"/>
  <c r="U181" i="24"/>
  <c r="AB181" i="24" s="1"/>
  <c r="U157" i="24"/>
  <c r="AB157" i="24" s="1"/>
  <c r="U145" i="24"/>
  <c r="AB145" i="24" s="1"/>
  <c r="U133" i="24"/>
  <c r="AB133" i="24" s="1"/>
  <c r="U121" i="24"/>
  <c r="AB121" i="24" s="1"/>
  <c r="U109" i="24"/>
  <c r="AB109" i="24" s="1"/>
  <c r="U97" i="24"/>
  <c r="AB97" i="24" s="1"/>
  <c r="U85" i="24"/>
  <c r="AB85" i="24" s="1"/>
  <c r="U73" i="24"/>
  <c r="AB73" i="24" s="1"/>
  <c r="U33" i="24"/>
  <c r="AB33" i="24" s="1"/>
  <c r="U640" i="24"/>
  <c r="AB640" i="24" s="1"/>
  <c r="U628" i="24"/>
  <c r="AB628" i="24" s="1"/>
  <c r="U352" i="24"/>
  <c r="AB352" i="24" s="1"/>
  <c r="U340" i="24"/>
  <c r="AB340" i="24" s="1"/>
  <c r="U328" i="24"/>
  <c r="AB328" i="24" s="1"/>
  <c r="U316" i="24"/>
  <c r="AB316" i="24" s="1"/>
  <c r="U304" i="24"/>
  <c r="AB304" i="24" s="1"/>
  <c r="U292" i="24"/>
  <c r="AB292" i="24" s="1"/>
  <c r="U280" i="24"/>
  <c r="AB280" i="24" s="1"/>
  <c r="U268" i="24"/>
  <c r="AB268" i="24" s="1"/>
  <c r="U256" i="24"/>
  <c r="AB256" i="24" s="1"/>
  <c r="U244" i="24"/>
  <c r="AB244" i="24" s="1"/>
  <c r="U232" i="24"/>
  <c r="AB232" i="24" s="1"/>
  <c r="U213" i="24"/>
  <c r="AB213" i="24" s="1"/>
  <c r="U201" i="24"/>
  <c r="AB201" i="24" s="1"/>
  <c r="U189" i="24"/>
  <c r="AB189" i="24" s="1"/>
  <c r="U49" i="24"/>
  <c r="AB49" i="24" s="1"/>
  <c r="U221" i="24"/>
  <c r="AB221" i="24" s="1"/>
  <c r="U609" i="24"/>
  <c r="AB609" i="24" s="1"/>
  <c r="U597" i="24"/>
  <c r="AB597" i="24" s="1"/>
  <c r="U585" i="24"/>
  <c r="AB585" i="24" s="1"/>
  <c r="U573" i="24"/>
  <c r="AB573" i="24" s="1"/>
  <c r="U366" i="24"/>
  <c r="AB366" i="24" s="1"/>
  <c r="U354" i="24"/>
  <c r="AB354" i="24" s="1"/>
  <c r="U561" i="24"/>
  <c r="AB561" i="24" s="1"/>
  <c r="U549" i="24"/>
  <c r="AB549" i="24" s="1"/>
  <c r="U537" i="24"/>
  <c r="AB537" i="24" s="1"/>
  <c r="U525" i="24"/>
  <c r="AB525" i="24" s="1"/>
  <c r="U453" i="24"/>
  <c r="AB453" i="24" s="1"/>
  <c r="U441" i="24"/>
  <c r="AB441" i="24" s="1"/>
  <c r="U429" i="24"/>
  <c r="AB429" i="24" s="1"/>
  <c r="U417" i="24"/>
  <c r="AB417" i="24" s="1"/>
  <c r="U405" i="24"/>
  <c r="AB405" i="24" s="1"/>
  <c r="U393" i="24"/>
  <c r="AB393" i="24" s="1"/>
  <c r="U381" i="24"/>
  <c r="AB381" i="24" s="1"/>
  <c r="U168" i="24"/>
  <c r="AB168" i="24" s="1"/>
  <c r="U156" i="24"/>
  <c r="AB156" i="24" s="1"/>
  <c r="U144" i="24"/>
  <c r="AB144" i="24" s="1"/>
  <c r="U132" i="24"/>
  <c r="AB132" i="24" s="1"/>
  <c r="U120" i="24"/>
  <c r="AB120" i="24" s="1"/>
  <c r="U108" i="24"/>
  <c r="AB108" i="24" s="1"/>
  <c r="U96" i="24"/>
  <c r="AB96" i="24" s="1"/>
  <c r="U84" i="24"/>
  <c r="AB84" i="24" s="1"/>
  <c r="U72" i="24"/>
  <c r="AB72" i="24" s="1"/>
  <c r="U32" i="24"/>
  <c r="AB32" i="24" s="1"/>
  <c r="U639" i="24"/>
  <c r="AB639" i="24" s="1"/>
  <c r="U627" i="24"/>
  <c r="AB627" i="24" s="1"/>
  <c r="U351" i="24"/>
  <c r="AB351" i="24" s="1"/>
  <c r="U339" i="24"/>
  <c r="AB339" i="24" s="1"/>
  <c r="U327" i="24"/>
  <c r="AB327" i="24" s="1"/>
  <c r="U315" i="24"/>
  <c r="AB315" i="24" s="1"/>
  <c r="U303" i="24"/>
  <c r="AB303" i="24" s="1"/>
  <c r="U291" i="24"/>
  <c r="AB291" i="24" s="1"/>
  <c r="U279" i="24"/>
  <c r="AB279" i="24" s="1"/>
  <c r="U267" i="24"/>
  <c r="AB267" i="24" s="1"/>
  <c r="U255" i="24"/>
  <c r="AB255" i="24" s="1"/>
  <c r="U243" i="24"/>
  <c r="AB243" i="24" s="1"/>
  <c r="U231" i="24"/>
  <c r="AB231" i="24" s="1"/>
  <c r="U212" i="24"/>
  <c r="AB212" i="24" s="1"/>
  <c r="U200" i="24"/>
  <c r="AB200" i="24" s="1"/>
  <c r="U188" i="24"/>
  <c r="AB188" i="24" s="1"/>
  <c r="U48" i="24"/>
  <c r="AB48" i="24" s="1"/>
  <c r="U220" i="24"/>
  <c r="AB220" i="24" s="1"/>
  <c r="U608" i="24"/>
  <c r="AB608" i="24" s="1"/>
  <c r="U596" i="24"/>
  <c r="AB596" i="24" s="1"/>
  <c r="U584" i="24"/>
  <c r="AB584" i="24" s="1"/>
  <c r="U377" i="24"/>
  <c r="AB377" i="24" s="1"/>
  <c r="U365" i="24"/>
  <c r="AB365" i="24" s="1"/>
  <c r="U572" i="24"/>
  <c r="AB572" i="24" s="1"/>
  <c r="U560" i="24"/>
  <c r="AB560" i="24" s="1"/>
  <c r="U548" i="24"/>
  <c r="AB548" i="24" s="1"/>
  <c r="U536" i="24"/>
  <c r="AB536" i="24" s="1"/>
  <c r="U524" i="24"/>
  <c r="AB524" i="24" s="1"/>
  <c r="U452" i="24"/>
  <c r="AB452" i="24" s="1"/>
  <c r="U440" i="24"/>
  <c r="AB440" i="24" s="1"/>
  <c r="U428" i="24"/>
  <c r="AB428" i="24" s="1"/>
  <c r="U416" i="24"/>
  <c r="AB416" i="24" s="1"/>
  <c r="U404" i="24"/>
  <c r="AB404" i="24" s="1"/>
  <c r="U392" i="24"/>
  <c r="AB392" i="24" s="1"/>
  <c r="U380" i="24"/>
  <c r="AB380" i="24" s="1"/>
  <c r="U167" i="24"/>
  <c r="AB167" i="24" s="1"/>
  <c r="U155" i="24"/>
  <c r="AB155" i="24" s="1"/>
  <c r="U143" i="24"/>
  <c r="AB143" i="24" s="1"/>
  <c r="U131" i="24"/>
  <c r="AB131" i="24" s="1"/>
  <c r="U119" i="24"/>
  <c r="AB119" i="24" s="1"/>
  <c r="U107" i="24"/>
  <c r="AB107" i="24" s="1"/>
  <c r="U95" i="24"/>
  <c r="AB95" i="24" s="1"/>
  <c r="U83" i="24"/>
  <c r="AB83" i="24" s="1"/>
  <c r="U71" i="24"/>
  <c r="AB71" i="24" s="1"/>
  <c r="U31" i="24"/>
  <c r="AB31" i="24" s="1"/>
  <c r="U638" i="24"/>
  <c r="AB638" i="24" s="1"/>
  <c r="U626" i="24"/>
  <c r="AB626" i="24" s="1"/>
  <c r="U350" i="24"/>
  <c r="AB350" i="24" s="1"/>
  <c r="U338" i="24"/>
  <c r="AB338" i="24" s="1"/>
  <c r="U326" i="24"/>
  <c r="AB326" i="24" s="1"/>
  <c r="U314" i="24"/>
  <c r="AB314" i="24" s="1"/>
  <c r="U302" i="24"/>
  <c r="AB302" i="24" s="1"/>
  <c r="U290" i="24"/>
  <c r="AB290" i="24" s="1"/>
  <c r="U278" i="24"/>
  <c r="AB278" i="24" s="1"/>
  <c r="U266" i="24"/>
  <c r="AB266" i="24" s="1"/>
  <c r="U254" i="24"/>
  <c r="AB254" i="24" s="1"/>
  <c r="U242" i="24"/>
  <c r="AB242" i="24" s="1"/>
  <c r="U230" i="24"/>
  <c r="AB230" i="24" s="1"/>
  <c r="U211" i="24"/>
  <c r="AB211" i="24" s="1"/>
  <c r="U199" i="24"/>
  <c r="AB199" i="24" s="1"/>
  <c r="U40" i="24"/>
  <c r="AB40" i="24" s="1"/>
  <c r="U47" i="24"/>
  <c r="AB47" i="24" s="1"/>
  <c r="U219" i="24"/>
  <c r="AB219" i="24" s="1"/>
  <c r="U607" i="24"/>
  <c r="AB607" i="24" s="1"/>
  <c r="U595" i="24"/>
  <c r="AB595" i="24" s="1"/>
  <c r="U583" i="24"/>
  <c r="AB583" i="24" s="1"/>
  <c r="U376" i="24"/>
  <c r="AB376" i="24" s="1"/>
  <c r="U364" i="24"/>
  <c r="AB364" i="24" s="1"/>
  <c r="U571" i="24"/>
  <c r="AB571" i="24" s="1"/>
  <c r="U559" i="24"/>
  <c r="AB559" i="24" s="1"/>
  <c r="U547" i="24"/>
  <c r="AB547" i="24" s="1"/>
  <c r="U535" i="24"/>
  <c r="AB535" i="24" s="1"/>
  <c r="U523" i="24"/>
  <c r="AB523" i="24" s="1"/>
  <c r="U451" i="24"/>
  <c r="AB451" i="24" s="1"/>
  <c r="U439" i="24"/>
  <c r="AB439" i="24" s="1"/>
  <c r="U427" i="24"/>
  <c r="AB427" i="24" s="1"/>
  <c r="U415" i="24"/>
  <c r="AB415" i="24" s="1"/>
  <c r="U403" i="24"/>
  <c r="AB403" i="24" s="1"/>
  <c r="U391" i="24"/>
  <c r="AB391" i="24" s="1"/>
  <c r="U379" i="24"/>
  <c r="AB379" i="24" s="1"/>
  <c r="U166" i="24"/>
  <c r="AB166" i="24" s="1"/>
  <c r="U154" i="24"/>
  <c r="AB154" i="24" s="1"/>
  <c r="U142" i="24"/>
  <c r="AB142" i="24" s="1"/>
  <c r="U130" i="24"/>
  <c r="AB130" i="24" s="1"/>
  <c r="U118" i="24"/>
  <c r="AB118" i="24" s="1"/>
  <c r="U106" i="24"/>
  <c r="AB106" i="24" s="1"/>
  <c r="U94" i="24"/>
  <c r="AB94" i="24" s="1"/>
  <c r="U82" i="24"/>
  <c r="AB82" i="24" s="1"/>
  <c r="U70" i="24"/>
  <c r="AB70" i="24" s="1"/>
  <c r="U30" i="24"/>
  <c r="AB30" i="24" s="1"/>
  <c r="U57" i="24"/>
  <c r="AB57" i="24" s="1"/>
  <c r="U637" i="24"/>
  <c r="AB637" i="24" s="1"/>
  <c r="U625" i="24"/>
  <c r="AB625" i="24" s="1"/>
  <c r="U349" i="24"/>
  <c r="AB349" i="24" s="1"/>
  <c r="U337" i="24"/>
  <c r="AB337" i="24" s="1"/>
  <c r="U325" i="24"/>
  <c r="AB325" i="24" s="1"/>
  <c r="U313" i="24"/>
  <c r="AB313" i="24" s="1"/>
  <c r="U301" i="24"/>
  <c r="AB301" i="24" s="1"/>
  <c r="U289" i="24"/>
  <c r="AB289" i="24" s="1"/>
  <c r="U277" i="24"/>
  <c r="AB277" i="24" s="1"/>
  <c r="U265" i="24"/>
  <c r="AB265" i="24" s="1"/>
  <c r="U253" i="24"/>
  <c r="AB253" i="24" s="1"/>
  <c r="U241" i="24"/>
  <c r="AB241" i="24" s="1"/>
  <c r="U229" i="24"/>
  <c r="AB229" i="24" s="1"/>
  <c r="U210" i="24"/>
  <c r="AB210" i="24" s="1"/>
  <c r="U198" i="24"/>
  <c r="AB198" i="24" s="1"/>
  <c r="U46" i="24"/>
  <c r="AB46" i="24" s="1"/>
  <c r="U218" i="24"/>
  <c r="AB218" i="24" s="1"/>
  <c r="U606" i="24"/>
  <c r="AB606" i="24" s="1"/>
  <c r="U594" i="24"/>
  <c r="AB594" i="24" s="1"/>
  <c r="U582" i="24"/>
  <c r="AB582" i="24" s="1"/>
  <c r="U375" i="24"/>
  <c r="AB375" i="24" s="1"/>
  <c r="U363" i="24"/>
  <c r="AB363" i="24" s="1"/>
  <c r="U570" i="24"/>
  <c r="AB570" i="24" s="1"/>
  <c r="U558" i="24"/>
  <c r="AB558" i="24" s="1"/>
  <c r="U546" i="24"/>
  <c r="AB546" i="24" s="1"/>
  <c r="U534" i="24"/>
  <c r="AB534" i="24" s="1"/>
  <c r="U522" i="24"/>
  <c r="AB522" i="24" s="1"/>
  <c r="U450" i="24"/>
  <c r="AB450" i="24" s="1"/>
  <c r="U438" i="24"/>
  <c r="AB438" i="24" s="1"/>
  <c r="U426" i="24"/>
  <c r="AB426" i="24" s="1"/>
  <c r="U414" i="24"/>
  <c r="AB414" i="24" s="1"/>
  <c r="U402" i="24"/>
  <c r="AB402" i="24" s="1"/>
  <c r="U390" i="24"/>
  <c r="AB390" i="24" s="1"/>
  <c r="U378" i="24"/>
  <c r="AB378" i="24" s="1"/>
  <c r="U165" i="24"/>
  <c r="AB165" i="24" s="1"/>
  <c r="U153" i="24"/>
  <c r="AB153" i="24" s="1"/>
  <c r="U141" i="24"/>
  <c r="AB141" i="24" s="1"/>
  <c r="U129" i="24"/>
  <c r="AB129" i="24" s="1"/>
  <c r="U117" i="24"/>
  <c r="AB117" i="24" s="1"/>
  <c r="U105" i="24"/>
  <c r="AB105" i="24" s="1"/>
  <c r="U93" i="24"/>
  <c r="AB93" i="24" s="1"/>
  <c r="U81" i="24"/>
  <c r="AB81" i="24" s="1"/>
  <c r="U69" i="24"/>
  <c r="AB69" i="24" s="1"/>
  <c r="U29" i="24"/>
  <c r="AB29" i="24" s="1"/>
  <c r="U56" i="24"/>
  <c r="AB56" i="24" s="1"/>
  <c r="U636" i="24"/>
  <c r="AB636" i="24" s="1"/>
  <c r="U624" i="24"/>
  <c r="AB624" i="24" s="1"/>
  <c r="U348" i="24"/>
  <c r="AB348" i="24" s="1"/>
  <c r="U336" i="24"/>
  <c r="AB336" i="24" s="1"/>
  <c r="U324" i="24"/>
  <c r="AB324" i="24" s="1"/>
  <c r="U312" i="24"/>
  <c r="AB312" i="24" s="1"/>
  <c r="U300" i="24"/>
  <c r="AB300" i="24" s="1"/>
  <c r="U288" i="24"/>
  <c r="AB288" i="24" s="1"/>
  <c r="U276" i="24"/>
  <c r="AB276" i="24" s="1"/>
  <c r="U264" i="24"/>
  <c r="AB264" i="24" s="1"/>
  <c r="U252" i="24"/>
  <c r="AB252" i="24" s="1"/>
  <c r="U240" i="24"/>
  <c r="AB240" i="24" s="1"/>
  <c r="U228" i="24"/>
  <c r="AB228" i="24" s="1"/>
  <c r="U209" i="24"/>
  <c r="AB209" i="24" s="1"/>
  <c r="U197" i="24"/>
  <c r="AB197" i="24" s="1"/>
  <c r="U45" i="24"/>
  <c r="AB45" i="24" s="1"/>
  <c r="U617" i="24"/>
  <c r="AB617" i="24" s="1"/>
  <c r="U605" i="24"/>
  <c r="AB605" i="24" s="1"/>
  <c r="U593" i="24"/>
  <c r="AB593" i="24" s="1"/>
  <c r="U581" i="24"/>
  <c r="AB581" i="24" s="1"/>
  <c r="U374" i="24"/>
  <c r="AB374" i="24" s="1"/>
  <c r="U362" i="24"/>
  <c r="AB362" i="24" s="1"/>
  <c r="U569" i="24"/>
  <c r="AB569" i="24" s="1"/>
  <c r="U557" i="24"/>
  <c r="AB557" i="24" s="1"/>
  <c r="U545" i="24"/>
  <c r="AB545" i="24" s="1"/>
  <c r="U533" i="24"/>
  <c r="AB533" i="24" s="1"/>
  <c r="U521" i="24"/>
  <c r="AB521" i="24" s="1"/>
  <c r="U449" i="24"/>
  <c r="AB449" i="24" s="1"/>
  <c r="U437" i="24"/>
  <c r="AB437" i="24" s="1"/>
  <c r="U425" i="24"/>
  <c r="AB425" i="24" s="1"/>
  <c r="U413" i="24"/>
  <c r="AB413" i="24" s="1"/>
  <c r="U401" i="24"/>
  <c r="AB401" i="24" s="1"/>
  <c r="U389" i="24"/>
  <c r="AB389" i="24" s="1"/>
  <c r="U164" i="24"/>
  <c r="AB164" i="24" s="1"/>
  <c r="U152" i="24"/>
  <c r="AB152" i="24" s="1"/>
  <c r="U140" i="24"/>
  <c r="AB140" i="24" s="1"/>
  <c r="U128" i="24"/>
  <c r="AB128" i="24" s="1"/>
  <c r="U116" i="24"/>
  <c r="AB116" i="24" s="1"/>
  <c r="U104" i="24"/>
  <c r="AB104" i="24" s="1"/>
  <c r="U92" i="24"/>
  <c r="AB92" i="24" s="1"/>
  <c r="U80" i="24"/>
  <c r="AB80" i="24" s="1"/>
  <c r="U68" i="24"/>
  <c r="AB68" i="24" s="1"/>
  <c r="U28" i="24"/>
  <c r="AB28" i="24" s="1"/>
  <c r="U635" i="24"/>
  <c r="AB635" i="24" s="1"/>
  <c r="U623" i="24"/>
  <c r="AB623" i="24" s="1"/>
  <c r="U347" i="24"/>
  <c r="AB347" i="24" s="1"/>
  <c r="U335" i="24"/>
  <c r="AB335" i="24" s="1"/>
  <c r="U323" i="24"/>
  <c r="AB323" i="24" s="1"/>
  <c r="U311" i="24"/>
  <c r="AB311" i="24" s="1"/>
  <c r="U299" i="24"/>
  <c r="AB299" i="24" s="1"/>
  <c r="U287" i="24"/>
  <c r="AB287" i="24" s="1"/>
  <c r="U275" i="24"/>
  <c r="AB275" i="24" s="1"/>
  <c r="U263" i="24"/>
  <c r="AB263" i="24" s="1"/>
  <c r="U251" i="24"/>
  <c r="AB251" i="24" s="1"/>
  <c r="U239" i="24"/>
  <c r="AB239" i="24" s="1"/>
  <c r="U227" i="24"/>
  <c r="AB227" i="24" s="1"/>
  <c r="U208" i="24"/>
  <c r="AB208" i="24" s="1"/>
  <c r="U196" i="24"/>
  <c r="AB196" i="24" s="1"/>
  <c r="U44" i="24"/>
  <c r="AB44" i="24" s="1"/>
  <c r="U616" i="24"/>
  <c r="AB616" i="24" s="1"/>
  <c r="U604" i="24"/>
  <c r="AB604" i="24" s="1"/>
  <c r="U592" i="24"/>
  <c r="AB592" i="24" s="1"/>
  <c r="U580" i="24"/>
  <c r="AB580" i="24" s="1"/>
  <c r="U373" i="24"/>
  <c r="AB373" i="24" s="1"/>
  <c r="U361" i="24"/>
  <c r="AB361" i="24" s="1"/>
  <c r="U568" i="24"/>
  <c r="AB568" i="24" s="1"/>
  <c r="U556" i="24"/>
  <c r="AB556" i="24" s="1"/>
  <c r="U544" i="24"/>
  <c r="AB544" i="24" s="1"/>
  <c r="U532" i="24"/>
  <c r="AB532" i="24" s="1"/>
  <c r="U520" i="24"/>
  <c r="AB520" i="24" s="1"/>
  <c r="U448" i="24"/>
  <c r="AB448" i="24" s="1"/>
  <c r="U436" i="24"/>
  <c r="AB436" i="24" s="1"/>
  <c r="U424" i="24"/>
  <c r="AB424" i="24" s="1"/>
  <c r="U412" i="24"/>
  <c r="AB412" i="24" s="1"/>
  <c r="U400" i="24"/>
  <c r="AB400" i="24" s="1"/>
  <c r="U388" i="24"/>
  <c r="AB388" i="24" s="1"/>
  <c r="S550" i="24"/>
  <c r="S524" i="24"/>
  <c r="S571" i="24"/>
  <c r="S448" i="24"/>
  <c r="S386" i="24"/>
  <c r="S547" i="24"/>
  <c r="S438" i="24"/>
  <c r="S541" i="24"/>
  <c r="S451" i="24"/>
  <c r="S441" i="24"/>
  <c r="S528" i="24"/>
  <c r="S56" i="24"/>
  <c r="S574" i="24"/>
  <c r="S589" i="24"/>
  <c r="S575" i="24"/>
  <c r="S583" i="24"/>
  <c r="S18" i="24"/>
  <c r="S13" i="24"/>
  <c r="S346" i="24"/>
  <c r="S250" i="24"/>
  <c r="S249" i="24"/>
  <c r="S261" i="24"/>
  <c r="S334" i="24"/>
  <c r="S237" i="24"/>
  <c r="S253" i="24"/>
  <c r="S335" i="24"/>
  <c r="S328" i="24"/>
  <c r="S307" i="24"/>
  <c r="S350" i="24"/>
  <c r="S532" i="24"/>
  <c r="S399" i="24"/>
  <c r="S394" i="24"/>
  <c r="S411" i="24"/>
  <c r="S568" i="24"/>
  <c r="S403" i="24"/>
  <c r="S401" i="24"/>
  <c r="S534" i="24"/>
  <c r="S405" i="24"/>
  <c r="S457" i="24"/>
  <c r="S387" i="24"/>
  <c r="S523" i="24"/>
  <c r="S404" i="24"/>
  <c r="S573" i="24"/>
  <c r="S578" i="24"/>
  <c r="S588" i="24"/>
  <c r="S605" i="24"/>
  <c r="S15" i="24"/>
  <c r="S20" i="24"/>
  <c r="S309" i="24"/>
  <c r="S338" i="24"/>
  <c r="S322" i="24"/>
  <c r="S282" i="24"/>
  <c r="S230" i="24"/>
  <c r="S314" i="24"/>
  <c r="S236" i="24"/>
  <c r="S273" i="24"/>
  <c r="S226" i="24"/>
  <c r="S240" i="24"/>
  <c r="S549" i="24"/>
  <c r="S563" i="24"/>
  <c r="S428" i="24"/>
  <c r="S446" i="24"/>
  <c r="S520" i="24"/>
  <c r="S384" i="24"/>
  <c r="S537" i="24"/>
  <c r="S521" i="24"/>
  <c r="S425" i="24"/>
  <c r="S455" i="24"/>
  <c r="S449" i="24"/>
  <c r="S554" i="24"/>
  <c r="S594" i="24"/>
  <c r="S610" i="24"/>
  <c r="S611" i="24"/>
  <c r="S595" i="24"/>
  <c r="S25" i="24"/>
  <c r="S9" i="24"/>
  <c r="S278" i="24"/>
  <c r="S327" i="24"/>
  <c r="S262" i="24"/>
  <c r="S324" i="24"/>
  <c r="S292" i="24"/>
  <c r="S329" i="24"/>
  <c r="S312" i="24"/>
  <c r="S268" i="24"/>
  <c r="S286" i="24"/>
  <c r="S341" i="24"/>
  <c r="S570" i="24"/>
  <c r="S515" i="24"/>
  <c r="S542" i="24"/>
  <c r="S431" i="24"/>
  <c r="S551" i="24"/>
  <c r="S398" i="24"/>
  <c r="S442" i="24"/>
  <c r="S436" i="24"/>
  <c r="S548" i="24"/>
  <c r="S379" i="24"/>
  <c r="S392" i="24"/>
  <c r="S422" i="24"/>
  <c r="S420" i="24"/>
  <c r="S531" i="24"/>
  <c r="S219" i="24"/>
  <c r="S585" i="24"/>
  <c r="S596" i="24"/>
  <c r="S593" i="24"/>
  <c r="S590" i="24"/>
  <c r="S63" i="24"/>
  <c r="S10" i="24"/>
  <c r="S293" i="24"/>
  <c r="S266" i="24"/>
  <c r="S275" i="24"/>
  <c r="S339" i="24"/>
  <c r="S255" i="24"/>
  <c r="S267" i="24"/>
  <c r="S316" i="24"/>
  <c r="S256" i="24"/>
  <c r="S248" i="24"/>
  <c r="S228" i="24"/>
  <c r="S522" i="24"/>
  <c r="S517" i="24"/>
  <c r="S378" i="24"/>
  <c r="S454" i="24"/>
  <c r="S413" i="24"/>
  <c r="S393" i="24"/>
  <c r="S535" i="24"/>
  <c r="S385" i="24"/>
  <c r="S390" i="24"/>
  <c r="S419" i="24"/>
  <c r="S223" i="24"/>
  <c r="S580" i="24"/>
  <c r="S604" i="24"/>
  <c r="S577" i="24"/>
  <c r="S16" i="24"/>
  <c r="S11" i="24"/>
  <c r="S257" i="24"/>
  <c r="S243" i="24"/>
  <c r="S280" i="24"/>
  <c r="S289" i="24"/>
  <c r="S297" i="24"/>
  <c r="S265" i="24"/>
  <c r="S287" i="24"/>
  <c r="S258" i="24"/>
  <c r="S333" i="24"/>
  <c r="S295" i="24"/>
  <c r="S326" i="24"/>
  <c r="S538" i="24"/>
  <c r="S439" i="24"/>
  <c r="S426" i="24"/>
  <c r="S421" i="24"/>
  <c r="S389" i="24"/>
  <c r="S380" i="24"/>
  <c r="S452" i="24"/>
  <c r="S388" i="24"/>
  <c r="S556" i="24"/>
  <c r="S430" i="24"/>
  <c r="S423" i="24"/>
  <c r="S395" i="24"/>
  <c r="S424" i="24"/>
  <c r="S400" i="24"/>
  <c r="S445" i="24"/>
  <c r="S222" i="24"/>
  <c r="S612" i="24"/>
  <c r="S587" i="24"/>
  <c r="S579" i="24"/>
  <c r="S66" i="24"/>
  <c r="S7" i="24"/>
  <c r="S283" i="24"/>
  <c r="S343" i="24"/>
  <c r="S294" i="24"/>
  <c r="S246" i="24"/>
  <c r="S317" i="24"/>
  <c r="S225" i="24"/>
  <c r="S321" i="24"/>
  <c r="S330" i="24"/>
  <c r="S302" i="24"/>
  <c r="S290" i="24"/>
  <c r="S239" i="24"/>
  <c r="S558" i="24"/>
  <c r="S564" i="24"/>
  <c r="S566" i="24"/>
  <c r="S559" i="24"/>
  <c r="S540" i="24"/>
  <c r="S543" i="24"/>
  <c r="S519" i="24"/>
  <c r="S557" i="24"/>
  <c r="S383" i="24"/>
  <c r="S525" i="24"/>
  <c r="S555" i="24"/>
  <c r="S427" i="24"/>
  <c r="S218" i="24"/>
  <c r="S57" i="24"/>
  <c r="S582" i="24"/>
  <c r="S601" i="24"/>
  <c r="S617" i="24"/>
  <c r="S24" i="24"/>
  <c r="S8" i="24"/>
  <c r="S298" i="24"/>
  <c r="S347" i="24"/>
  <c r="S277" i="24"/>
  <c r="S279" i="24"/>
  <c r="S284" i="24"/>
  <c r="S233" i="24"/>
  <c r="S252" i="24"/>
  <c r="S336" i="24"/>
  <c r="S353" i="24"/>
  <c r="S305" i="24"/>
  <c r="S281" i="24"/>
  <c r="S414" i="24"/>
  <c r="S456" i="24"/>
  <c r="S402" i="24"/>
  <c r="S539" i="24"/>
  <c r="S397" i="24"/>
  <c r="S408" i="24"/>
  <c r="S533" i="24"/>
  <c r="S224" i="24"/>
  <c r="S598" i="24"/>
  <c r="S591" i="24"/>
  <c r="S616" i="24"/>
  <c r="S614" i="24"/>
  <c r="S64" i="24"/>
  <c r="S21" i="24"/>
  <c r="S259" i="24"/>
  <c r="S285" i="24"/>
  <c r="S315" i="24"/>
  <c r="S244" i="24"/>
  <c r="S254" i="24"/>
  <c r="S231" i="24"/>
  <c r="S245" i="24"/>
  <c r="S351" i="24"/>
  <c r="S291" i="24"/>
  <c r="S274" i="24"/>
  <c r="S323" i="24"/>
  <c r="S526" i="24"/>
  <c r="S443" i="24"/>
  <c r="S447" i="24"/>
  <c r="S514" i="24"/>
  <c r="S567" i="24"/>
  <c r="S391" i="24"/>
  <c r="S409" i="24"/>
  <c r="S434" i="24"/>
  <c r="S565" i="24"/>
  <c r="S418" i="24"/>
  <c r="S536" i="24"/>
  <c r="S429" i="24"/>
  <c r="S435" i="24"/>
  <c r="S381" i="24"/>
  <c r="S221" i="24"/>
  <c r="S597" i="24"/>
  <c r="S602" i="24"/>
  <c r="S613" i="24"/>
  <c r="S600" i="24"/>
  <c r="S19" i="24"/>
  <c r="S14" i="24"/>
  <c r="S348" i="24"/>
  <c r="S238" i="24"/>
  <c r="S276" i="24"/>
  <c r="S272" i="24"/>
  <c r="S271" i="24"/>
  <c r="S349" i="24"/>
  <c r="S251" i="24"/>
  <c r="S318" i="24"/>
  <c r="S242" i="24"/>
  <c r="S247" i="24"/>
  <c r="S229" i="24"/>
  <c r="S546" i="24"/>
  <c r="S569" i="24"/>
  <c r="S433" i="24"/>
  <c r="S518" i="24"/>
  <c r="S406" i="24"/>
  <c r="S416" i="24"/>
  <c r="S440" i="24"/>
  <c r="S544" i="24"/>
  <c r="S220" i="24"/>
  <c r="S615" i="24"/>
  <c r="S581" i="24"/>
  <c r="S609" i="24"/>
  <c r="S576" i="24"/>
  <c r="S12" i="24"/>
  <c r="S65" i="24"/>
  <c r="S232" i="24"/>
  <c r="S310" i="24"/>
  <c r="S344" i="24"/>
  <c r="S306" i="24"/>
  <c r="S301" i="24"/>
  <c r="S270" i="24"/>
  <c r="S269" i="24"/>
  <c r="S235" i="24"/>
  <c r="S320" i="24"/>
  <c r="S288" i="24"/>
  <c r="S263" i="24"/>
  <c r="S410" i="24"/>
  <c r="S561" i="24"/>
  <c r="S545" i="24"/>
  <c r="S417" i="24"/>
  <c r="S412" i="24"/>
  <c r="S382" i="24"/>
  <c r="S407" i="24"/>
  <c r="S552" i="24"/>
  <c r="S453" i="24"/>
  <c r="S415" i="24"/>
  <c r="S586" i="24"/>
  <c r="S608" i="24"/>
  <c r="S584" i="24"/>
  <c r="S607" i="24"/>
  <c r="S22" i="24"/>
  <c r="S23" i="24"/>
  <c r="S352" i="24"/>
  <c r="S313" i="24"/>
  <c r="S299" i="24"/>
  <c r="S342" i="24"/>
  <c r="S337" i="24"/>
  <c r="S300" i="24"/>
  <c r="S331" i="24"/>
  <c r="S234" i="24"/>
  <c r="S241" i="24"/>
  <c r="S303" i="24"/>
  <c r="S311" i="24"/>
  <c r="S572" i="24"/>
  <c r="S553" i="24"/>
  <c r="S437" i="24"/>
  <c r="S396" i="24"/>
  <c r="S560" i="24"/>
  <c r="S529" i="24"/>
  <c r="S450" i="24"/>
  <c r="S444" i="24"/>
  <c r="S516" i="24"/>
  <c r="S432" i="24"/>
  <c r="S527" i="24"/>
  <c r="S562" i="24"/>
  <c r="S530" i="24"/>
  <c r="S606" i="24"/>
  <c r="S599" i="24"/>
  <c r="S592" i="24"/>
  <c r="S603" i="24"/>
  <c r="S67" i="24"/>
  <c r="S17" i="24"/>
  <c r="S308" i="24"/>
  <c r="S304" i="24"/>
  <c r="S227" i="24"/>
  <c r="S332" i="24"/>
  <c r="S319" i="24"/>
  <c r="S345" i="24"/>
  <c r="S340" i="24"/>
  <c r="S296" i="24"/>
  <c r="S264" i="24"/>
  <c r="S260" i="24"/>
  <c r="S325" i="24"/>
  <c r="T206" i="24"/>
  <c r="T194" i="24"/>
  <c r="V214" i="24"/>
  <c r="AC214" i="24" s="1"/>
  <c r="V202" i="24"/>
  <c r="AC202" i="24" s="1"/>
  <c r="V190" i="24"/>
  <c r="AC190" i="24" s="1"/>
  <c r="V167" i="24"/>
  <c r="AC167" i="24" s="1"/>
  <c r="V155" i="24"/>
  <c r="AC155" i="24" s="1"/>
  <c r="V143" i="24"/>
  <c r="AC143" i="24" s="1"/>
  <c r="V131" i="24"/>
  <c r="AC131" i="24" s="1"/>
  <c r="V119" i="24"/>
  <c r="AC119" i="24" s="1"/>
  <c r="V107" i="24"/>
  <c r="AC107" i="24" s="1"/>
  <c r="V95" i="24"/>
  <c r="AC95" i="24" s="1"/>
  <c r="V83" i="24"/>
  <c r="AC83" i="24" s="1"/>
  <c r="V71" i="24"/>
  <c r="AC71" i="24" s="1"/>
  <c r="V31" i="24"/>
  <c r="AC31" i="24" s="1"/>
  <c r="V610" i="24"/>
  <c r="AC610" i="24" s="1"/>
  <c r="V598" i="24"/>
  <c r="AC598" i="24" s="1"/>
  <c r="V586" i="24"/>
  <c r="AC586" i="24" s="1"/>
  <c r="V574" i="24"/>
  <c r="AC574" i="24" s="1"/>
  <c r="S620" i="24"/>
  <c r="S632" i="24"/>
  <c r="S364" i="24"/>
  <c r="S377" i="24"/>
  <c r="S156" i="24"/>
  <c r="S109" i="24"/>
  <c r="S86" i="24"/>
  <c r="S103" i="24"/>
  <c r="S124" i="24"/>
  <c r="S39" i="24"/>
  <c r="S104" i="24"/>
  <c r="S163" i="24"/>
  <c r="S185" i="24"/>
  <c r="S38" i="24"/>
  <c r="S161" i="24"/>
  <c r="S42" i="24"/>
  <c r="S50" i="24"/>
  <c r="S188" i="24"/>
  <c r="S209" i="24"/>
  <c r="S197" i="24"/>
  <c r="T217" i="24"/>
  <c r="T205" i="24"/>
  <c r="T193" i="24"/>
  <c r="V213" i="24"/>
  <c r="AC213" i="24" s="1"/>
  <c r="V201" i="24"/>
  <c r="AC201" i="24" s="1"/>
  <c r="V189" i="24"/>
  <c r="AC189" i="24" s="1"/>
  <c r="V166" i="24"/>
  <c r="AC166" i="24" s="1"/>
  <c r="V154" i="24"/>
  <c r="AC154" i="24" s="1"/>
  <c r="V142" i="24"/>
  <c r="AC142" i="24" s="1"/>
  <c r="V130" i="24"/>
  <c r="AC130" i="24" s="1"/>
  <c r="V118" i="24"/>
  <c r="AC118" i="24" s="1"/>
  <c r="V106" i="24"/>
  <c r="AC106" i="24" s="1"/>
  <c r="V94" i="24"/>
  <c r="AC94" i="24" s="1"/>
  <c r="V82" i="24"/>
  <c r="AC82" i="24" s="1"/>
  <c r="V70" i="24"/>
  <c r="AC70" i="24" s="1"/>
  <c r="V30" i="24"/>
  <c r="AC30" i="24" s="1"/>
  <c r="V609" i="24"/>
  <c r="AC609" i="24" s="1"/>
  <c r="V597" i="24"/>
  <c r="AC597" i="24" s="1"/>
  <c r="V585" i="24"/>
  <c r="AC585" i="24" s="1"/>
  <c r="V573" i="24"/>
  <c r="AC573" i="24" s="1"/>
  <c r="S630" i="24"/>
  <c r="S639" i="24"/>
  <c r="S628" i="24"/>
  <c r="S359" i="24"/>
  <c r="S358" i="24"/>
  <c r="S152" i="24"/>
  <c r="S137" i="24"/>
  <c r="S143" i="24"/>
  <c r="S133" i="24"/>
  <c r="S110" i="24"/>
  <c r="S71" i="24"/>
  <c r="S112" i="24"/>
  <c r="S85" i="24"/>
  <c r="S120" i="24"/>
  <c r="S74" i="24"/>
  <c r="S121" i="24"/>
  <c r="S106" i="24"/>
  <c r="S46" i="24"/>
  <c r="S54" i="24"/>
  <c r="S215" i="24"/>
  <c r="S210" i="24"/>
  <c r="S207" i="24"/>
  <c r="T216" i="24"/>
  <c r="T204" i="24"/>
  <c r="T192" i="24"/>
  <c r="V212" i="24"/>
  <c r="AC212" i="24" s="1"/>
  <c r="V200" i="24"/>
  <c r="AC200" i="24" s="1"/>
  <c r="V188" i="24"/>
  <c r="AC188" i="24" s="1"/>
  <c r="V165" i="24"/>
  <c r="AC165" i="24" s="1"/>
  <c r="V153" i="24"/>
  <c r="AC153" i="24" s="1"/>
  <c r="V141" i="24"/>
  <c r="AC141" i="24" s="1"/>
  <c r="V129" i="24"/>
  <c r="AC129" i="24" s="1"/>
  <c r="V117" i="24"/>
  <c r="AC117" i="24" s="1"/>
  <c r="V105" i="24"/>
  <c r="AC105" i="24" s="1"/>
  <c r="V93" i="24"/>
  <c r="AC93" i="24" s="1"/>
  <c r="V81" i="24"/>
  <c r="AC81" i="24" s="1"/>
  <c r="V69" i="24"/>
  <c r="AC69" i="24" s="1"/>
  <c r="V29" i="24"/>
  <c r="AC29" i="24" s="1"/>
  <c r="V608" i="24"/>
  <c r="AC608" i="24" s="1"/>
  <c r="V596" i="24"/>
  <c r="AC596" i="24" s="1"/>
  <c r="V584" i="24"/>
  <c r="AC584" i="24" s="1"/>
  <c r="V224" i="24"/>
  <c r="AC224" i="24" s="1"/>
  <c r="S623" i="24"/>
  <c r="S633" i="24"/>
  <c r="S619" i="24"/>
  <c r="S646" i="24"/>
  <c r="S372" i="24"/>
  <c r="S357" i="24"/>
  <c r="S144" i="24"/>
  <c r="S97" i="24"/>
  <c r="S68" i="24"/>
  <c r="S90" i="24"/>
  <c r="S142" i="24"/>
  <c r="S105" i="24"/>
  <c r="S128" i="24"/>
  <c r="S116" i="24"/>
  <c r="S140" i="24"/>
  <c r="S88" i="24"/>
  <c r="S52" i="24"/>
  <c r="S49" i="24"/>
  <c r="S43" i="24"/>
  <c r="S205" i="24"/>
  <c r="S217" i="24"/>
  <c r="S198" i="24"/>
  <c r="T215" i="24"/>
  <c r="T203" i="24"/>
  <c r="T191" i="24"/>
  <c r="V211" i="24"/>
  <c r="AC211" i="24" s="1"/>
  <c r="V199" i="24"/>
  <c r="AC199" i="24" s="1"/>
  <c r="V40" i="24"/>
  <c r="AC40" i="24" s="1"/>
  <c r="V164" i="24"/>
  <c r="AC164" i="24" s="1"/>
  <c r="V152" i="24"/>
  <c r="AC152" i="24" s="1"/>
  <c r="V140" i="24"/>
  <c r="AC140" i="24" s="1"/>
  <c r="V128" i="24"/>
  <c r="AC128" i="24" s="1"/>
  <c r="V116" i="24"/>
  <c r="AC116" i="24" s="1"/>
  <c r="V104" i="24"/>
  <c r="AC104" i="24" s="1"/>
  <c r="V92" i="24"/>
  <c r="AC92" i="24" s="1"/>
  <c r="V80" i="24"/>
  <c r="AC80" i="24" s="1"/>
  <c r="V68" i="24"/>
  <c r="AC68" i="24" s="1"/>
  <c r="V28" i="24"/>
  <c r="AC28" i="24" s="1"/>
  <c r="V607" i="24"/>
  <c r="AC607" i="24" s="1"/>
  <c r="V595" i="24"/>
  <c r="AC595" i="24" s="1"/>
  <c r="V583" i="24"/>
  <c r="AC583" i="24" s="1"/>
  <c r="V223" i="24"/>
  <c r="AC223" i="24" s="1"/>
  <c r="S641" i="24"/>
  <c r="S627" i="24"/>
  <c r="S638" i="24"/>
  <c r="S367" i="24"/>
  <c r="S365" i="24"/>
  <c r="S153" i="24"/>
  <c r="S157" i="24"/>
  <c r="S159" i="24"/>
  <c r="S150" i="24"/>
  <c r="S165" i="24"/>
  <c r="S111" i="24"/>
  <c r="S187" i="24"/>
  <c r="S30" i="24"/>
  <c r="S151" i="24"/>
  <c r="S32" i="24"/>
  <c r="S27" i="24"/>
  <c r="S192" i="24"/>
  <c r="S204" i="24"/>
  <c r="S212" i="24"/>
  <c r="T214" i="24"/>
  <c r="T202" i="24"/>
  <c r="T190" i="24"/>
  <c r="V210" i="24"/>
  <c r="AC210" i="24" s="1"/>
  <c r="V198" i="24"/>
  <c r="AC198" i="24" s="1"/>
  <c r="V187" i="24"/>
  <c r="AC187" i="24" s="1"/>
  <c r="V175" i="24"/>
  <c r="AC175" i="24" s="1"/>
  <c r="V163" i="24"/>
  <c r="AC163" i="24" s="1"/>
  <c r="V151" i="24"/>
  <c r="AC151" i="24" s="1"/>
  <c r="V139" i="24"/>
  <c r="AC139" i="24" s="1"/>
  <c r="V127" i="24"/>
  <c r="AC127" i="24" s="1"/>
  <c r="V115" i="24"/>
  <c r="AC115" i="24" s="1"/>
  <c r="V103" i="24"/>
  <c r="AC103" i="24" s="1"/>
  <c r="V91" i="24"/>
  <c r="AC91" i="24" s="1"/>
  <c r="V79" i="24"/>
  <c r="AC79" i="24" s="1"/>
  <c r="V39" i="24"/>
  <c r="AC39" i="24" s="1"/>
  <c r="V27" i="24"/>
  <c r="AC27" i="24" s="1"/>
  <c r="V606" i="24"/>
  <c r="AC606" i="24" s="1"/>
  <c r="V594" i="24"/>
  <c r="AC594" i="24" s="1"/>
  <c r="V582" i="24"/>
  <c r="AC582" i="24" s="1"/>
  <c r="V222" i="24"/>
  <c r="AC222" i="24" s="1"/>
  <c r="S644" i="24"/>
  <c r="S376" i="24"/>
  <c r="S368" i="24"/>
  <c r="S26" i="24"/>
  <c r="S114" i="24"/>
  <c r="S72" i="24"/>
  <c r="S118" i="24"/>
  <c r="S129" i="24"/>
  <c r="S91" i="24"/>
  <c r="S174" i="24"/>
  <c r="S89" i="24"/>
  <c r="S108" i="24"/>
  <c r="S130" i="24"/>
  <c r="S127" i="24"/>
  <c r="S48" i="24"/>
  <c r="S202" i="24"/>
  <c r="S206" i="24"/>
  <c r="S194" i="24"/>
  <c r="T213" i="24"/>
  <c r="T201" i="24"/>
  <c r="T189" i="24"/>
  <c r="V209" i="24"/>
  <c r="AC209" i="24" s="1"/>
  <c r="V197" i="24"/>
  <c r="AC197" i="24" s="1"/>
  <c r="V186" i="24"/>
  <c r="AC186" i="24" s="1"/>
  <c r="V174" i="24"/>
  <c r="AC174" i="24" s="1"/>
  <c r="V162" i="24"/>
  <c r="AC162" i="24" s="1"/>
  <c r="V150" i="24"/>
  <c r="AC150" i="24" s="1"/>
  <c r="V138" i="24"/>
  <c r="AC138" i="24" s="1"/>
  <c r="V126" i="24"/>
  <c r="AC126" i="24" s="1"/>
  <c r="V114" i="24"/>
  <c r="AC114" i="24" s="1"/>
  <c r="V102" i="24"/>
  <c r="AC102" i="24" s="1"/>
  <c r="V90" i="24"/>
  <c r="AC90" i="24" s="1"/>
  <c r="V78" i="24"/>
  <c r="AC78" i="24" s="1"/>
  <c r="V38" i="24"/>
  <c r="AC38" i="24" s="1"/>
  <c r="V26" i="24"/>
  <c r="AC26" i="24" s="1"/>
  <c r="V617" i="24"/>
  <c r="AC617" i="24" s="1"/>
  <c r="V605" i="24"/>
  <c r="AC605" i="24" s="1"/>
  <c r="V593" i="24"/>
  <c r="AC593" i="24" s="1"/>
  <c r="V581" i="24"/>
  <c r="AC581" i="24" s="1"/>
  <c r="V221" i="24"/>
  <c r="AC221" i="24" s="1"/>
  <c r="S636" i="24"/>
  <c r="S621" i="24"/>
  <c r="S618" i="24"/>
  <c r="S626" i="24"/>
  <c r="S366" i="24"/>
  <c r="S374" i="24"/>
  <c r="S82" i="24"/>
  <c r="S160" i="24"/>
  <c r="S175" i="24"/>
  <c r="S135" i="24"/>
  <c r="S167" i="24"/>
  <c r="S119" i="24"/>
  <c r="S95" i="24"/>
  <c r="S168" i="24"/>
  <c r="S115" i="24"/>
  <c r="S189" i="24"/>
  <c r="S203" i="24"/>
  <c r="T212" i="24"/>
  <c r="T200" i="24"/>
  <c r="T188" i="24"/>
  <c r="V208" i="24"/>
  <c r="AC208" i="24" s="1"/>
  <c r="V196" i="24"/>
  <c r="AC196" i="24" s="1"/>
  <c r="V185" i="24"/>
  <c r="AC185" i="24" s="1"/>
  <c r="V161" i="24"/>
  <c r="AC161" i="24" s="1"/>
  <c r="V149" i="24"/>
  <c r="AC149" i="24" s="1"/>
  <c r="V137" i="24"/>
  <c r="AC137" i="24" s="1"/>
  <c r="V125" i="24"/>
  <c r="AC125" i="24" s="1"/>
  <c r="V113" i="24"/>
  <c r="AC113" i="24" s="1"/>
  <c r="V101" i="24"/>
  <c r="AC101" i="24" s="1"/>
  <c r="V89" i="24"/>
  <c r="AC89" i="24" s="1"/>
  <c r="V77" i="24"/>
  <c r="AC77" i="24" s="1"/>
  <c r="V37" i="24"/>
  <c r="AC37" i="24" s="1"/>
  <c r="V616" i="24"/>
  <c r="AC616" i="24" s="1"/>
  <c r="V604" i="24"/>
  <c r="AC604" i="24" s="1"/>
  <c r="V592" i="24"/>
  <c r="AC592" i="24" s="1"/>
  <c r="V580" i="24"/>
  <c r="AC580" i="24" s="1"/>
  <c r="V220" i="24"/>
  <c r="AC220" i="24" s="1"/>
  <c r="S645" i="24"/>
  <c r="S640" i="24"/>
  <c r="S362" i="24"/>
  <c r="S363" i="24"/>
  <c r="S76" i="24"/>
  <c r="S77" i="24"/>
  <c r="S186" i="24"/>
  <c r="S141" i="24"/>
  <c r="S138" i="24"/>
  <c r="S79" i="24"/>
  <c r="S162" i="24"/>
  <c r="S100" i="24"/>
  <c r="S83" i="24"/>
  <c r="S101" i="24"/>
  <c r="S78" i="24"/>
  <c r="S47" i="24"/>
  <c r="S199" i="24"/>
  <c r="S214" i="24"/>
  <c r="T211" i="24"/>
  <c r="T199" i="24"/>
  <c r="T40" i="24"/>
  <c r="V207" i="24"/>
  <c r="AC207" i="24" s="1"/>
  <c r="V195" i="24"/>
  <c r="AC195" i="24" s="1"/>
  <c r="V184" i="24"/>
  <c r="AC184" i="24" s="1"/>
  <c r="V160" i="24"/>
  <c r="AC160" i="24" s="1"/>
  <c r="V148" i="24"/>
  <c r="AC148" i="24" s="1"/>
  <c r="V136" i="24"/>
  <c r="AC136" i="24" s="1"/>
  <c r="V124" i="24"/>
  <c r="AC124" i="24" s="1"/>
  <c r="V112" i="24"/>
  <c r="AC112" i="24" s="1"/>
  <c r="V100" i="24"/>
  <c r="AC100" i="24" s="1"/>
  <c r="V88" i="24"/>
  <c r="AC88" i="24" s="1"/>
  <c r="V76" i="24"/>
  <c r="AC76" i="24" s="1"/>
  <c r="V36" i="24"/>
  <c r="AC36" i="24" s="1"/>
  <c r="V615" i="24"/>
  <c r="AC615" i="24" s="1"/>
  <c r="V603" i="24"/>
  <c r="AC603" i="24" s="1"/>
  <c r="V591" i="24"/>
  <c r="AC591" i="24" s="1"/>
  <c r="V579" i="24"/>
  <c r="AC579" i="24" s="1"/>
  <c r="V219" i="24"/>
  <c r="AC219" i="24" s="1"/>
  <c r="S637" i="24"/>
  <c r="S643" i="24"/>
  <c r="S371" i="24"/>
  <c r="S360" i="24"/>
  <c r="S93" i="24"/>
  <c r="S87" i="24"/>
  <c r="S131" i="24"/>
  <c r="S166" i="24"/>
  <c r="S158" i="24"/>
  <c r="S36" i="24"/>
  <c r="S33" i="24"/>
  <c r="S69" i="24"/>
  <c r="S113" i="24"/>
  <c r="S41" i="24"/>
  <c r="S196" i="24"/>
  <c r="S201" i="24"/>
  <c r="T210" i="24"/>
  <c r="T198" i="24"/>
  <c r="V206" i="24"/>
  <c r="AC206" i="24" s="1"/>
  <c r="V194" i="24"/>
  <c r="AC194" i="24" s="1"/>
  <c r="V183" i="24"/>
  <c r="AC183" i="24" s="1"/>
  <c r="V159" i="24"/>
  <c r="AC159" i="24" s="1"/>
  <c r="V147" i="24"/>
  <c r="AC147" i="24" s="1"/>
  <c r="V135" i="24"/>
  <c r="AC135" i="24" s="1"/>
  <c r="V123" i="24"/>
  <c r="AC123" i="24" s="1"/>
  <c r="V111" i="24"/>
  <c r="AC111" i="24" s="1"/>
  <c r="V99" i="24"/>
  <c r="AC99" i="24" s="1"/>
  <c r="V87" i="24"/>
  <c r="AC87" i="24" s="1"/>
  <c r="V75" i="24"/>
  <c r="AC75" i="24" s="1"/>
  <c r="V35" i="24"/>
  <c r="AC35" i="24" s="1"/>
  <c r="V614" i="24"/>
  <c r="AC614" i="24" s="1"/>
  <c r="V602" i="24"/>
  <c r="AC602" i="24" s="1"/>
  <c r="V590" i="24"/>
  <c r="AC590" i="24" s="1"/>
  <c r="V578" i="24"/>
  <c r="AC578" i="24" s="1"/>
  <c r="V218" i="24"/>
  <c r="AC218" i="24" s="1"/>
  <c r="S625" i="24"/>
  <c r="S361" i="24"/>
  <c r="S375" i="24"/>
  <c r="S99" i="24"/>
  <c r="S70" i="24"/>
  <c r="S145" i="24"/>
  <c r="S81" i="24"/>
  <c r="S134" i="24"/>
  <c r="S139" i="24"/>
  <c r="S34" i="24"/>
  <c r="S28" i="24"/>
  <c r="S94" i="24"/>
  <c r="S29" i="24"/>
  <c r="S84" i="24"/>
  <c r="S51" i="24"/>
  <c r="S53" i="24"/>
  <c r="S44" i="24"/>
  <c r="S193" i="24"/>
  <c r="S200" i="24"/>
  <c r="T209" i="24"/>
  <c r="T197" i="24"/>
  <c r="V217" i="24"/>
  <c r="AC217" i="24" s="1"/>
  <c r="V205" i="24"/>
  <c r="AC205" i="24" s="1"/>
  <c r="V193" i="24"/>
  <c r="AC193" i="24" s="1"/>
  <c r="V182" i="24"/>
  <c r="AC182" i="24" s="1"/>
  <c r="V158" i="24"/>
  <c r="AC158" i="24" s="1"/>
  <c r="V146" i="24"/>
  <c r="AC146" i="24" s="1"/>
  <c r="V134" i="24"/>
  <c r="AC134" i="24" s="1"/>
  <c r="V122" i="24"/>
  <c r="AC122" i="24" s="1"/>
  <c r="V110" i="24"/>
  <c r="AC110" i="24" s="1"/>
  <c r="V98" i="24"/>
  <c r="AC98" i="24" s="1"/>
  <c r="V86" i="24"/>
  <c r="AC86" i="24" s="1"/>
  <c r="V74" i="24"/>
  <c r="AC74" i="24" s="1"/>
  <c r="V34" i="24"/>
  <c r="AC34" i="24" s="1"/>
  <c r="V613" i="24"/>
  <c r="AC613" i="24" s="1"/>
  <c r="V601" i="24"/>
  <c r="AC601" i="24" s="1"/>
  <c r="V589" i="24"/>
  <c r="AC589" i="24" s="1"/>
  <c r="V577" i="24"/>
  <c r="AC577" i="24" s="1"/>
  <c r="S629" i="24"/>
  <c r="S631" i="24"/>
  <c r="S634" i="24"/>
  <c r="S369" i="24"/>
  <c r="S354" i="24"/>
  <c r="S147" i="24"/>
  <c r="S146" i="24"/>
  <c r="S102" i="24"/>
  <c r="S136" i="24"/>
  <c r="S96" i="24"/>
  <c r="S107" i="24"/>
  <c r="S35" i="24"/>
  <c r="S75" i="24"/>
  <c r="S155" i="24"/>
  <c r="S37" i="24"/>
  <c r="S55" i="24"/>
  <c r="S216" i="24"/>
  <c r="S191" i="24"/>
  <c r="T208" i="24"/>
  <c r="T196" i="24"/>
  <c r="V216" i="24"/>
  <c r="AC216" i="24" s="1"/>
  <c r="V204" i="24"/>
  <c r="AC204" i="24" s="1"/>
  <c r="V192" i="24"/>
  <c r="AC192" i="24" s="1"/>
  <c r="V181" i="24"/>
  <c r="AC181" i="24" s="1"/>
  <c r="V157" i="24"/>
  <c r="AC157" i="24" s="1"/>
  <c r="V145" i="24"/>
  <c r="AC145" i="24" s="1"/>
  <c r="V133" i="24"/>
  <c r="AC133" i="24" s="1"/>
  <c r="V121" i="24"/>
  <c r="AC121" i="24" s="1"/>
  <c r="V109" i="24"/>
  <c r="AC109" i="24" s="1"/>
  <c r="V97" i="24"/>
  <c r="AC97" i="24" s="1"/>
  <c r="V85" i="24"/>
  <c r="AC85" i="24" s="1"/>
  <c r="V73" i="24"/>
  <c r="AC73" i="24" s="1"/>
  <c r="V33" i="24"/>
  <c r="AC33" i="24" s="1"/>
  <c r="V612" i="24"/>
  <c r="AC612" i="24" s="1"/>
  <c r="V600" i="24"/>
  <c r="AC600" i="24" s="1"/>
  <c r="V588" i="24"/>
  <c r="AC588" i="24" s="1"/>
  <c r="V576" i="24"/>
  <c r="AC576" i="24" s="1"/>
  <c r="S635" i="24"/>
  <c r="S642" i="24"/>
  <c r="S356" i="24"/>
  <c r="S355" i="24"/>
  <c r="S164" i="24"/>
  <c r="S98" i="24"/>
  <c r="S183" i="24"/>
  <c r="S126" i="24"/>
  <c r="S117" i="24"/>
  <c r="S92" i="24"/>
  <c r="S31" i="24"/>
  <c r="S73" i="24"/>
  <c r="S184" i="24"/>
  <c r="S123" i="24"/>
  <c r="S208" i="24"/>
  <c r="S190" i="24"/>
  <c r="S40" i="24"/>
  <c r="T207" i="24"/>
  <c r="T195" i="24"/>
  <c r="V215" i="24"/>
  <c r="AC215" i="24" s="1"/>
  <c r="V203" i="24"/>
  <c r="AC203" i="24" s="1"/>
  <c r="V191" i="24"/>
  <c r="AC191" i="24" s="1"/>
  <c r="V168" i="24"/>
  <c r="AC168" i="24" s="1"/>
  <c r="V156" i="24"/>
  <c r="AC156" i="24" s="1"/>
  <c r="V144" i="24"/>
  <c r="AC144" i="24" s="1"/>
  <c r="V132" i="24"/>
  <c r="AC132" i="24" s="1"/>
  <c r="V120" i="24"/>
  <c r="AC120" i="24" s="1"/>
  <c r="V108" i="24"/>
  <c r="AC108" i="24" s="1"/>
  <c r="V96" i="24"/>
  <c r="AC96" i="24" s="1"/>
  <c r="V84" i="24"/>
  <c r="AC84" i="24" s="1"/>
  <c r="V72" i="24"/>
  <c r="AC72" i="24" s="1"/>
  <c r="V32" i="24"/>
  <c r="AC32" i="24" s="1"/>
  <c r="V611" i="24"/>
  <c r="AC611" i="24" s="1"/>
  <c r="V599" i="24"/>
  <c r="AC599" i="24" s="1"/>
  <c r="V587" i="24"/>
  <c r="AC587" i="24" s="1"/>
  <c r="V575" i="24"/>
  <c r="AC575" i="24" s="1"/>
  <c r="S624" i="24"/>
  <c r="S622" i="24"/>
  <c r="S373" i="24"/>
  <c r="S370" i="24"/>
  <c r="S154" i="24"/>
  <c r="S182" i="24"/>
  <c r="S122" i="24"/>
  <c r="S125" i="24"/>
  <c r="S148" i="24"/>
  <c r="S181" i="24"/>
  <c r="S149" i="24"/>
  <c r="S132" i="24"/>
  <c r="S80" i="24"/>
  <c r="S45" i="24"/>
  <c r="S195" i="24"/>
  <c r="S213" i="24"/>
  <c r="S211" i="24"/>
  <c r="T572" i="24"/>
  <c r="T560" i="24"/>
  <c r="T548" i="24"/>
  <c r="T536" i="24"/>
  <c r="T524" i="24"/>
  <c r="T452" i="24"/>
  <c r="T440" i="24"/>
  <c r="T428" i="24"/>
  <c r="T416" i="24"/>
  <c r="T404" i="24"/>
  <c r="T392" i="24"/>
  <c r="T380" i="24"/>
  <c r="T64" i="24"/>
  <c r="T15" i="24"/>
  <c r="T218" i="24"/>
  <c r="T377" i="24"/>
  <c r="T365" i="24"/>
  <c r="T353" i="24"/>
  <c r="T341" i="24"/>
  <c r="T329" i="24"/>
  <c r="T317" i="24"/>
  <c r="T305" i="24"/>
  <c r="T293" i="24"/>
  <c r="T281" i="24"/>
  <c r="T269" i="24"/>
  <c r="T257" i="24"/>
  <c r="T245" i="24"/>
  <c r="T233" i="24"/>
  <c r="T184" i="24"/>
  <c r="T160" i="24"/>
  <c r="T148" i="24"/>
  <c r="T136" i="24"/>
  <c r="T124" i="24"/>
  <c r="T112" i="24"/>
  <c r="T100" i="24"/>
  <c r="T88" i="24"/>
  <c r="T76" i="24"/>
  <c r="T36" i="24"/>
  <c r="T646" i="24"/>
  <c r="T634" i="24"/>
  <c r="T622" i="24"/>
  <c r="T610" i="24"/>
  <c r="T598" i="24"/>
  <c r="T586" i="24"/>
  <c r="T574" i="24"/>
  <c r="V562" i="24"/>
  <c r="AC562" i="24" s="1"/>
  <c r="V550" i="24"/>
  <c r="AC550" i="24" s="1"/>
  <c r="V538" i="24"/>
  <c r="AC538" i="24" s="1"/>
  <c r="V526" i="24"/>
  <c r="AC526" i="24" s="1"/>
  <c r="V514" i="24"/>
  <c r="AC514" i="24" s="1"/>
  <c r="V454" i="24"/>
  <c r="AC454" i="24" s="1"/>
  <c r="V442" i="24"/>
  <c r="AC442" i="24" s="1"/>
  <c r="V430" i="24"/>
  <c r="AC430" i="24" s="1"/>
  <c r="V418" i="24"/>
  <c r="AC418" i="24" s="1"/>
  <c r="V406" i="24"/>
  <c r="AC406" i="24" s="1"/>
  <c r="V394" i="24"/>
  <c r="AC394" i="24" s="1"/>
  <c r="V382" i="24"/>
  <c r="AC382" i="24" s="1"/>
  <c r="V346" i="24"/>
  <c r="AC346" i="24" s="1"/>
  <c r="V334" i="24"/>
  <c r="AC334" i="24" s="1"/>
  <c r="V322" i="24"/>
  <c r="AC322" i="24" s="1"/>
  <c r="V310" i="24"/>
  <c r="AC310" i="24" s="1"/>
  <c r="V298" i="24"/>
  <c r="AC298" i="24" s="1"/>
  <c r="V286" i="24"/>
  <c r="AC286" i="24" s="1"/>
  <c r="V274" i="24"/>
  <c r="AC274" i="24" s="1"/>
  <c r="V262" i="24"/>
  <c r="AC262" i="24" s="1"/>
  <c r="V250" i="24"/>
  <c r="AC250" i="24" s="1"/>
  <c r="V238" i="24"/>
  <c r="AC238" i="24" s="1"/>
  <c r="V226" i="24"/>
  <c r="AC226" i="24" s="1"/>
  <c r="V54" i="24"/>
  <c r="AC54" i="24" s="1"/>
  <c r="V42" i="24"/>
  <c r="AC42" i="24" s="1"/>
  <c r="V640" i="24"/>
  <c r="AC640" i="24" s="1"/>
  <c r="V628" i="24"/>
  <c r="AC628" i="24" s="1"/>
  <c r="V66" i="24"/>
  <c r="AC66" i="24" s="1"/>
  <c r="V17" i="24"/>
  <c r="AC17" i="24" s="1"/>
  <c r="T51" i="24"/>
  <c r="V376" i="24"/>
  <c r="AC376" i="24" s="1"/>
  <c r="V364" i="24"/>
  <c r="AC364" i="24" s="1"/>
  <c r="T571" i="24"/>
  <c r="T559" i="24"/>
  <c r="T547" i="24"/>
  <c r="T535" i="24"/>
  <c r="T523" i="24"/>
  <c r="T451" i="24"/>
  <c r="T439" i="24"/>
  <c r="T427" i="24"/>
  <c r="T415" i="24"/>
  <c r="T403" i="24"/>
  <c r="T391" i="24"/>
  <c r="T379" i="24"/>
  <c r="T63" i="24"/>
  <c r="T14" i="24"/>
  <c r="T376" i="24"/>
  <c r="T364" i="24"/>
  <c r="T352" i="24"/>
  <c r="T340" i="24"/>
  <c r="T328" i="24"/>
  <c r="T316" i="24"/>
  <c r="T304" i="24"/>
  <c r="T292" i="24"/>
  <c r="T280" i="24"/>
  <c r="T268" i="24"/>
  <c r="T256" i="24"/>
  <c r="T244" i="24"/>
  <c r="T232" i="24"/>
  <c r="T183" i="24"/>
  <c r="T159" i="24"/>
  <c r="T147" i="24"/>
  <c r="T135" i="24"/>
  <c r="T123" i="24"/>
  <c r="T111" i="24"/>
  <c r="T99" i="24"/>
  <c r="T87" i="24"/>
  <c r="T75" i="24"/>
  <c r="T35" i="24"/>
  <c r="T645" i="24"/>
  <c r="T633" i="24"/>
  <c r="T621" i="24"/>
  <c r="T609" i="24"/>
  <c r="T597" i="24"/>
  <c r="T585" i="24"/>
  <c r="T573" i="24"/>
  <c r="V561" i="24"/>
  <c r="AC561" i="24" s="1"/>
  <c r="V549" i="24"/>
  <c r="AC549" i="24" s="1"/>
  <c r="V537" i="24"/>
  <c r="AC537" i="24" s="1"/>
  <c r="V525" i="24"/>
  <c r="AC525" i="24" s="1"/>
  <c r="V453" i="24"/>
  <c r="AC453" i="24" s="1"/>
  <c r="V441" i="24"/>
  <c r="AC441" i="24" s="1"/>
  <c r="V429" i="24"/>
  <c r="AC429" i="24" s="1"/>
  <c r="V417" i="24"/>
  <c r="AC417" i="24" s="1"/>
  <c r="V405" i="24"/>
  <c r="AC405" i="24" s="1"/>
  <c r="V393" i="24"/>
  <c r="AC393" i="24" s="1"/>
  <c r="V381" i="24"/>
  <c r="AC381" i="24" s="1"/>
  <c r="V345" i="24"/>
  <c r="AC345" i="24" s="1"/>
  <c r="V333" i="24"/>
  <c r="AC333" i="24" s="1"/>
  <c r="V321" i="24"/>
  <c r="AC321" i="24" s="1"/>
  <c r="V309" i="24"/>
  <c r="AC309" i="24" s="1"/>
  <c r="V297" i="24"/>
  <c r="AC297" i="24" s="1"/>
  <c r="V285" i="24"/>
  <c r="AC285" i="24" s="1"/>
  <c r="V273" i="24"/>
  <c r="AC273" i="24" s="1"/>
  <c r="V261" i="24"/>
  <c r="AC261" i="24" s="1"/>
  <c r="V249" i="24"/>
  <c r="AC249" i="24" s="1"/>
  <c r="V237" i="24"/>
  <c r="AC237" i="24" s="1"/>
  <c r="V225" i="24"/>
  <c r="AC225" i="24" s="1"/>
  <c r="V53" i="24"/>
  <c r="AC53" i="24" s="1"/>
  <c r="V41" i="24"/>
  <c r="AC41" i="24" s="1"/>
  <c r="V639" i="24"/>
  <c r="AC639" i="24" s="1"/>
  <c r="V627" i="24"/>
  <c r="AC627" i="24" s="1"/>
  <c r="V65" i="24"/>
  <c r="AC65" i="24" s="1"/>
  <c r="V16" i="24"/>
  <c r="AC16" i="24" s="1"/>
  <c r="T50" i="24"/>
  <c r="V375" i="24"/>
  <c r="AC375" i="24" s="1"/>
  <c r="V363" i="24"/>
  <c r="AC363" i="24" s="1"/>
  <c r="T570" i="24"/>
  <c r="T558" i="24"/>
  <c r="T546" i="24"/>
  <c r="T534" i="24"/>
  <c r="T522" i="24"/>
  <c r="T450" i="24"/>
  <c r="T438" i="24"/>
  <c r="T426" i="24"/>
  <c r="T414" i="24"/>
  <c r="T402" i="24"/>
  <c r="T390" i="24"/>
  <c r="T378" i="24"/>
  <c r="T25" i="24"/>
  <c r="T13" i="24"/>
  <c r="T375" i="24"/>
  <c r="T363" i="24"/>
  <c r="T351" i="24"/>
  <c r="T339" i="24"/>
  <c r="T327" i="24"/>
  <c r="T315" i="24"/>
  <c r="T303" i="24"/>
  <c r="T291" i="24"/>
  <c r="T279" i="24"/>
  <c r="T267" i="24"/>
  <c r="T255" i="24"/>
  <c r="T243" i="24"/>
  <c r="T231" i="24"/>
  <c r="T182" i="24"/>
  <c r="T158" i="24"/>
  <c r="T146" i="24"/>
  <c r="T134" i="24"/>
  <c r="T122" i="24"/>
  <c r="T110" i="24"/>
  <c r="T98" i="24"/>
  <c r="T86" i="24"/>
  <c r="T74" i="24"/>
  <c r="T34" i="24"/>
  <c r="T644" i="24"/>
  <c r="T632" i="24"/>
  <c r="T620" i="24"/>
  <c r="T608" i="24"/>
  <c r="T596" i="24"/>
  <c r="T584" i="24"/>
  <c r="V572" i="24"/>
  <c r="AC572" i="24" s="1"/>
  <c r="V560" i="24"/>
  <c r="AC560" i="24" s="1"/>
  <c r="V548" i="24"/>
  <c r="AC548" i="24" s="1"/>
  <c r="V536" i="24"/>
  <c r="AC536" i="24" s="1"/>
  <c r="V524" i="24"/>
  <c r="AC524" i="24" s="1"/>
  <c r="V452" i="24"/>
  <c r="AC452" i="24" s="1"/>
  <c r="V440" i="24"/>
  <c r="AC440" i="24" s="1"/>
  <c r="V428" i="24"/>
  <c r="AC428" i="24" s="1"/>
  <c r="V416" i="24"/>
  <c r="AC416" i="24" s="1"/>
  <c r="V404" i="24"/>
  <c r="AC404" i="24" s="1"/>
  <c r="V392" i="24"/>
  <c r="AC392" i="24" s="1"/>
  <c r="V380" i="24"/>
  <c r="AC380" i="24" s="1"/>
  <c r="V344" i="24"/>
  <c r="AC344" i="24" s="1"/>
  <c r="V332" i="24"/>
  <c r="AC332" i="24" s="1"/>
  <c r="V320" i="24"/>
  <c r="AC320" i="24" s="1"/>
  <c r="V308" i="24"/>
  <c r="AC308" i="24" s="1"/>
  <c r="V296" i="24"/>
  <c r="AC296" i="24" s="1"/>
  <c r="V284" i="24"/>
  <c r="AC284" i="24" s="1"/>
  <c r="V272" i="24"/>
  <c r="AC272" i="24" s="1"/>
  <c r="V260" i="24"/>
  <c r="AC260" i="24" s="1"/>
  <c r="V248" i="24"/>
  <c r="AC248" i="24" s="1"/>
  <c r="V236" i="24"/>
  <c r="AC236" i="24" s="1"/>
  <c r="V52" i="24"/>
  <c r="AC52" i="24" s="1"/>
  <c r="V638" i="24"/>
  <c r="AC638" i="24" s="1"/>
  <c r="V626" i="24"/>
  <c r="AC626" i="24" s="1"/>
  <c r="V64" i="24"/>
  <c r="AC64" i="24" s="1"/>
  <c r="V15" i="24"/>
  <c r="AC15" i="24" s="1"/>
  <c r="T49" i="24"/>
  <c r="V374" i="24"/>
  <c r="AC374" i="24" s="1"/>
  <c r="V362" i="24"/>
  <c r="AC362" i="24" s="1"/>
  <c r="T569" i="24"/>
  <c r="T557" i="24"/>
  <c r="T545" i="24"/>
  <c r="T533" i="24"/>
  <c r="T521" i="24"/>
  <c r="T449" i="24"/>
  <c r="T437" i="24"/>
  <c r="T425" i="24"/>
  <c r="T413" i="24"/>
  <c r="T401" i="24"/>
  <c r="T389" i="24"/>
  <c r="T24" i="24"/>
  <c r="T12" i="24"/>
  <c r="T374" i="24"/>
  <c r="T362" i="24"/>
  <c r="T350" i="24"/>
  <c r="T338" i="24"/>
  <c r="T326" i="24"/>
  <c r="T314" i="24"/>
  <c r="T302" i="24"/>
  <c r="T290" i="24"/>
  <c r="T278" i="24"/>
  <c r="T266" i="24"/>
  <c r="T254" i="24"/>
  <c r="T242" i="24"/>
  <c r="T230" i="24"/>
  <c r="T181" i="24"/>
  <c r="T157" i="24"/>
  <c r="T145" i="24"/>
  <c r="T133" i="24"/>
  <c r="T121" i="24"/>
  <c r="T109" i="24"/>
  <c r="T97" i="24"/>
  <c r="T85" i="24"/>
  <c r="T73" i="24"/>
  <c r="T33" i="24"/>
  <c r="T643" i="24"/>
  <c r="T631" i="24"/>
  <c r="T619" i="24"/>
  <c r="T607" i="24"/>
  <c r="T595" i="24"/>
  <c r="T583" i="24"/>
  <c r="V571" i="24"/>
  <c r="AC571" i="24" s="1"/>
  <c r="V559" i="24"/>
  <c r="AC559" i="24" s="1"/>
  <c r="V547" i="24"/>
  <c r="AC547" i="24" s="1"/>
  <c r="V535" i="24"/>
  <c r="AC535" i="24" s="1"/>
  <c r="V523" i="24"/>
  <c r="AC523" i="24" s="1"/>
  <c r="V451" i="24"/>
  <c r="AC451" i="24" s="1"/>
  <c r="V439" i="24"/>
  <c r="AC439" i="24" s="1"/>
  <c r="V427" i="24"/>
  <c r="AC427" i="24" s="1"/>
  <c r="V415" i="24"/>
  <c r="AC415" i="24" s="1"/>
  <c r="V403" i="24"/>
  <c r="AC403" i="24" s="1"/>
  <c r="V391" i="24"/>
  <c r="AC391" i="24" s="1"/>
  <c r="V379" i="24"/>
  <c r="AC379" i="24" s="1"/>
  <c r="V343" i="24"/>
  <c r="AC343" i="24" s="1"/>
  <c r="V331" i="24"/>
  <c r="AC331" i="24" s="1"/>
  <c r="V319" i="24"/>
  <c r="AC319" i="24" s="1"/>
  <c r="V307" i="24"/>
  <c r="AC307" i="24" s="1"/>
  <c r="V295" i="24"/>
  <c r="AC295" i="24" s="1"/>
  <c r="V283" i="24"/>
  <c r="AC283" i="24" s="1"/>
  <c r="V271" i="24"/>
  <c r="AC271" i="24" s="1"/>
  <c r="V259" i="24"/>
  <c r="AC259" i="24" s="1"/>
  <c r="V247" i="24"/>
  <c r="AC247" i="24" s="1"/>
  <c r="V235" i="24"/>
  <c r="AC235" i="24" s="1"/>
  <c r="V51" i="24"/>
  <c r="AC51" i="24" s="1"/>
  <c r="V637" i="24"/>
  <c r="AC637" i="24" s="1"/>
  <c r="V625" i="24"/>
  <c r="AC625" i="24" s="1"/>
  <c r="V63" i="24"/>
  <c r="AC63" i="24" s="1"/>
  <c r="V14" i="24"/>
  <c r="AC14" i="24" s="1"/>
  <c r="T48" i="24"/>
  <c r="V373" i="24"/>
  <c r="AC373" i="24" s="1"/>
  <c r="V361" i="24"/>
  <c r="AC361" i="24" s="1"/>
  <c r="T568" i="24"/>
  <c r="T556" i="24"/>
  <c r="T544" i="24"/>
  <c r="T532" i="24"/>
  <c r="T520" i="24"/>
  <c r="T448" i="24"/>
  <c r="T436" i="24"/>
  <c r="T424" i="24"/>
  <c r="T412" i="24"/>
  <c r="T400" i="24"/>
  <c r="T388" i="24"/>
  <c r="T23" i="24"/>
  <c r="T11" i="24"/>
  <c r="T57" i="24"/>
  <c r="T373" i="24"/>
  <c r="T361" i="24"/>
  <c r="T349" i="24"/>
  <c r="T337" i="24"/>
  <c r="T325" i="24"/>
  <c r="T313" i="24"/>
  <c r="T301" i="24"/>
  <c r="T289" i="24"/>
  <c r="T277" i="24"/>
  <c r="T265" i="24"/>
  <c r="T253" i="24"/>
  <c r="T241" i="24"/>
  <c r="T229" i="24"/>
  <c r="T168" i="24"/>
  <c r="T156" i="24"/>
  <c r="T144" i="24"/>
  <c r="T132" i="24"/>
  <c r="T120" i="24"/>
  <c r="T108" i="24"/>
  <c r="T96" i="24"/>
  <c r="T84" i="24"/>
  <c r="T72" i="24"/>
  <c r="T32" i="24"/>
  <c r="T642" i="24"/>
  <c r="T630" i="24"/>
  <c r="T618" i="24"/>
  <c r="T606" i="24"/>
  <c r="T594" i="24"/>
  <c r="T582" i="24"/>
  <c r="V570" i="24"/>
  <c r="AC570" i="24" s="1"/>
  <c r="V558" i="24"/>
  <c r="AC558" i="24" s="1"/>
  <c r="V546" i="24"/>
  <c r="AC546" i="24" s="1"/>
  <c r="V534" i="24"/>
  <c r="AC534" i="24" s="1"/>
  <c r="V522" i="24"/>
  <c r="AC522" i="24" s="1"/>
  <c r="V450" i="24"/>
  <c r="AC450" i="24" s="1"/>
  <c r="V438" i="24"/>
  <c r="AC438" i="24" s="1"/>
  <c r="V426" i="24"/>
  <c r="AC426" i="24" s="1"/>
  <c r="V414" i="24"/>
  <c r="AC414" i="24" s="1"/>
  <c r="V402" i="24"/>
  <c r="AC402" i="24" s="1"/>
  <c r="V390" i="24"/>
  <c r="AC390" i="24" s="1"/>
  <c r="V378" i="24"/>
  <c r="AC378" i="24" s="1"/>
  <c r="V342" i="24"/>
  <c r="AC342" i="24" s="1"/>
  <c r="V330" i="24"/>
  <c r="AC330" i="24" s="1"/>
  <c r="V318" i="24"/>
  <c r="AC318" i="24" s="1"/>
  <c r="V306" i="24"/>
  <c r="AC306" i="24" s="1"/>
  <c r="V294" i="24"/>
  <c r="AC294" i="24" s="1"/>
  <c r="V282" i="24"/>
  <c r="AC282" i="24" s="1"/>
  <c r="V270" i="24"/>
  <c r="AC270" i="24" s="1"/>
  <c r="V258" i="24"/>
  <c r="AC258" i="24" s="1"/>
  <c r="V246" i="24"/>
  <c r="AC246" i="24" s="1"/>
  <c r="V234" i="24"/>
  <c r="AC234" i="24" s="1"/>
  <c r="V50" i="24"/>
  <c r="AC50" i="24" s="1"/>
  <c r="V636" i="24"/>
  <c r="AC636" i="24" s="1"/>
  <c r="V624" i="24"/>
  <c r="AC624" i="24" s="1"/>
  <c r="V25" i="24"/>
  <c r="AC25" i="24" s="1"/>
  <c r="V13" i="24"/>
  <c r="AC13" i="24" s="1"/>
  <c r="T47" i="24"/>
  <c r="V372" i="24"/>
  <c r="AC372" i="24" s="1"/>
  <c r="V360" i="24"/>
  <c r="AC360" i="24" s="1"/>
  <c r="T567" i="24"/>
  <c r="T555" i="24"/>
  <c r="T543" i="24"/>
  <c r="T531" i="24"/>
  <c r="T519" i="24"/>
  <c r="T447" i="24"/>
  <c r="T435" i="24"/>
  <c r="T423" i="24"/>
  <c r="T411" i="24"/>
  <c r="T399" i="24"/>
  <c r="T387" i="24"/>
  <c r="T22" i="24"/>
  <c r="T10" i="24"/>
  <c r="T56" i="24"/>
  <c r="T372" i="24"/>
  <c r="T360" i="24"/>
  <c r="T348" i="24"/>
  <c r="T336" i="24"/>
  <c r="T324" i="24"/>
  <c r="T312" i="24"/>
  <c r="T300" i="24"/>
  <c r="T288" i="24"/>
  <c r="T276" i="24"/>
  <c r="T264" i="24"/>
  <c r="T252" i="24"/>
  <c r="T240" i="24"/>
  <c r="T228" i="24"/>
  <c r="T167" i="24"/>
  <c r="T155" i="24"/>
  <c r="T143" i="24"/>
  <c r="T131" i="24"/>
  <c r="T119" i="24"/>
  <c r="T107" i="24"/>
  <c r="T95" i="24"/>
  <c r="T83" i="24"/>
  <c r="T71" i="24"/>
  <c r="T31" i="24"/>
  <c r="T641" i="24"/>
  <c r="T629" i="24"/>
  <c r="T617" i="24"/>
  <c r="T605" i="24"/>
  <c r="T593" i="24"/>
  <c r="T581" i="24"/>
  <c r="V569" i="24"/>
  <c r="AC569" i="24" s="1"/>
  <c r="V557" i="24"/>
  <c r="AC557" i="24" s="1"/>
  <c r="V545" i="24"/>
  <c r="AC545" i="24" s="1"/>
  <c r="V533" i="24"/>
  <c r="AC533" i="24" s="1"/>
  <c r="V521" i="24"/>
  <c r="AC521" i="24" s="1"/>
  <c r="V449" i="24"/>
  <c r="AC449" i="24" s="1"/>
  <c r="V437" i="24"/>
  <c r="AC437" i="24" s="1"/>
  <c r="V425" i="24"/>
  <c r="AC425" i="24" s="1"/>
  <c r="V413" i="24"/>
  <c r="AC413" i="24" s="1"/>
  <c r="V401" i="24"/>
  <c r="AC401" i="24" s="1"/>
  <c r="V389" i="24"/>
  <c r="AC389" i="24" s="1"/>
  <c r="V353" i="24"/>
  <c r="AC353" i="24" s="1"/>
  <c r="V341" i="24"/>
  <c r="AC341" i="24" s="1"/>
  <c r="V329" i="24"/>
  <c r="AC329" i="24" s="1"/>
  <c r="V317" i="24"/>
  <c r="AC317" i="24" s="1"/>
  <c r="V305" i="24"/>
  <c r="AC305" i="24" s="1"/>
  <c r="V293" i="24"/>
  <c r="AC293" i="24" s="1"/>
  <c r="V281" i="24"/>
  <c r="AC281" i="24" s="1"/>
  <c r="V269" i="24"/>
  <c r="AC269" i="24" s="1"/>
  <c r="V257" i="24"/>
  <c r="AC257" i="24" s="1"/>
  <c r="V245" i="24"/>
  <c r="AC245" i="24" s="1"/>
  <c r="V233" i="24"/>
  <c r="AC233" i="24" s="1"/>
  <c r="V49" i="24"/>
  <c r="AC49" i="24" s="1"/>
  <c r="V635" i="24"/>
  <c r="AC635" i="24" s="1"/>
  <c r="V623" i="24"/>
  <c r="AC623" i="24" s="1"/>
  <c r="V24" i="24"/>
  <c r="AC24" i="24" s="1"/>
  <c r="V12" i="24"/>
  <c r="AC12" i="24" s="1"/>
  <c r="T46" i="24"/>
  <c r="V371" i="24"/>
  <c r="AC371" i="24" s="1"/>
  <c r="V359" i="24"/>
  <c r="AC359" i="24" s="1"/>
  <c r="T566" i="24"/>
  <c r="T554" i="24"/>
  <c r="T542" i="24"/>
  <c r="T530" i="24"/>
  <c r="T518" i="24"/>
  <c r="T446" i="24"/>
  <c r="T434" i="24"/>
  <c r="T422" i="24"/>
  <c r="T410" i="24"/>
  <c r="T398" i="24"/>
  <c r="T386" i="24"/>
  <c r="T21" i="24"/>
  <c r="T9" i="24"/>
  <c r="T224" i="24"/>
  <c r="T371" i="24"/>
  <c r="T359" i="24"/>
  <c r="T347" i="24"/>
  <c r="T335" i="24"/>
  <c r="T323" i="24"/>
  <c r="T311" i="24"/>
  <c r="T299" i="24"/>
  <c r="T287" i="24"/>
  <c r="T275" i="24"/>
  <c r="T263" i="24"/>
  <c r="T251" i="24"/>
  <c r="T239" i="24"/>
  <c r="T227" i="24"/>
  <c r="T166" i="24"/>
  <c r="T154" i="24"/>
  <c r="T142" i="24"/>
  <c r="T130" i="24"/>
  <c r="T118" i="24"/>
  <c r="T106" i="24"/>
  <c r="T94" i="24"/>
  <c r="T82" i="24"/>
  <c r="T70" i="24"/>
  <c r="T30" i="24"/>
  <c r="T640" i="24"/>
  <c r="T628" i="24"/>
  <c r="T616" i="24"/>
  <c r="T604" i="24"/>
  <c r="T592" i="24"/>
  <c r="T580" i="24"/>
  <c r="V568" i="24"/>
  <c r="AC568" i="24" s="1"/>
  <c r="V556" i="24"/>
  <c r="AC556" i="24" s="1"/>
  <c r="V544" i="24"/>
  <c r="AC544" i="24" s="1"/>
  <c r="V532" i="24"/>
  <c r="AC532" i="24" s="1"/>
  <c r="V520" i="24"/>
  <c r="AC520" i="24" s="1"/>
  <c r="V448" i="24"/>
  <c r="AC448" i="24" s="1"/>
  <c r="V436" i="24"/>
  <c r="AC436" i="24" s="1"/>
  <c r="V424" i="24"/>
  <c r="AC424" i="24" s="1"/>
  <c r="V412" i="24"/>
  <c r="AC412" i="24" s="1"/>
  <c r="V400" i="24"/>
  <c r="AC400" i="24" s="1"/>
  <c r="V388" i="24"/>
  <c r="AC388" i="24" s="1"/>
  <c r="V352" i="24"/>
  <c r="AC352" i="24" s="1"/>
  <c r="V340" i="24"/>
  <c r="AC340" i="24" s="1"/>
  <c r="V328" i="24"/>
  <c r="AC328" i="24" s="1"/>
  <c r="V316" i="24"/>
  <c r="AC316" i="24" s="1"/>
  <c r="V304" i="24"/>
  <c r="AC304" i="24" s="1"/>
  <c r="V292" i="24"/>
  <c r="AC292" i="24" s="1"/>
  <c r="V280" i="24"/>
  <c r="AC280" i="24" s="1"/>
  <c r="V268" i="24"/>
  <c r="AC268" i="24" s="1"/>
  <c r="V256" i="24"/>
  <c r="AC256" i="24" s="1"/>
  <c r="V244" i="24"/>
  <c r="AC244" i="24" s="1"/>
  <c r="V232" i="24"/>
  <c r="AC232" i="24" s="1"/>
  <c r="V48" i="24"/>
  <c r="AC48" i="24" s="1"/>
  <c r="V646" i="24"/>
  <c r="AC646" i="24" s="1"/>
  <c r="V634" i="24"/>
  <c r="AC634" i="24" s="1"/>
  <c r="V622" i="24"/>
  <c r="AC622" i="24" s="1"/>
  <c r="V23" i="24"/>
  <c r="AC23" i="24" s="1"/>
  <c r="V11" i="24"/>
  <c r="AC11" i="24" s="1"/>
  <c r="T45" i="24"/>
  <c r="V370" i="24"/>
  <c r="AC370" i="24" s="1"/>
  <c r="V358" i="24"/>
  <c r="AC358" i="24" s="1"/>
  <c r="T565" i="24"/>
  <c r="T553" i="24"/>
  <c r="T541" i="24"/>
  <c r="T529" i="24"/>
  <c r="T517" i="24"/>
  <c r="T457" i="24"/>
  <c r="T445" i="24"/>
  <c r="T433" i="24"/>
  <c r="T421" i="24"/>
  <c r="T409" i="24"/>
  <c r="T397" i="24"/>
  <c r="T385" i="24"/>
  <c r="T20" i="24"/>
  <c r="T8" i="24"/>
  <c r="T223" i="24"/>
  <c r="T370" i="24"/>
  <c r="T358" i="24"/>
  <c r="T346" i="24"/>
  <c r="T334" i="24"/>
  <c r="T322" i="24"/>
  <c r="T310" i="24"/>
  <c r="T298" i="24"/>
  <c r="T286" i="24"/>
  <c r="T274" i="24"/>
  <c r="T262" i="24"/>
  <c r="T250" i="24"/>
  <c r="T238" i="24"/>
  <c r="T226" i="24"/>
  <c r="T165" i="24"/>
  <c r="T153" i="24"/>
  <c r="T141" i="24"/>
  <c r="T129" i="24"/>
  <c r="T117" i="24"/>
  <c r="T105" i="24"/>
  <c r="T93" i="24"/>
  <c r="T81" i="24"/>
  <c r="T69" i="24"/>
  <c r="T29" i="24"/>
  <c r="T639" i="24"/>
  <c r="T627" i="24"/>
  <c r="T615" i="24"/>
  <c r="T603" i="24"/>
  <c r="T591" i="24"/>
  <c r="T579" i="24"/>
  <c r="V567" i="24"/>
  <c r="AC567" i="24" s="1"/>
  <c r="V555" i="24"/>
  <c r="AC555" i="24" s="1"/>
  <c r="V543" i="24"/>
  <c r="AC543" i="24" s="1"/>
  <c r="V531" i="24"/>
  <c r="AC531" i="24" s="1"/>
  <c r="V519" i="24"/>
  <c r="AC519" i="24" s="1"/>
  <c r="V447" i="24"/>
  <c r="AC447" i="24" s="1"/>
  <c r="V435" i="24"/>
  <c r="AC435" i="24" s="1"/>
  <c r="V423" i="24"/>
  <c r="AC423" i="24" s="1"/>
  <c r="V411" i="24"/>
  <c r="AC411" i="24" s="1"/>
  <c r="V399" i="24"/>
  <c r="AC399" i="24" s="1"/>
  <c r="V387" i="24"/>
  <c r="AC387" i="24" s="1"/>
  <c r="V351" i="24"/>
  <c r="AC351" i="24" s="1"/>
  <c r="V339" i="24"/>
  <c r="AC339" i="24" s="1"/>
  <c r="V327" i="24"/>
  <c r="AC327" i="24" s="1"/>
  <c r="V315" i="24"/>
  <c r="AC315" i="24" s="1"/>
  <c r="V303" i="24"/>
  <c r="AC303" i="24" s="1"/>
  <c r="V291" i="24"/>
  <c r="AC291" i="24" s="1"/>
  <c r="V279" i="24"/>
  <c r="AC279" i="24" s="1"/>
  <c r="V267" i="24"/>
  <c r="AC267" i="24" s="1"/>
  <c r="V255" i="24"/>
  <c r="AC255" i="24" s="1"/>
  <c r="V243" i="24"/>
  <c r="AC243" i="24" s="1"/>
  <c r="V231" i="24"/>
  <c r="AC231" i="24" s="1"/>
  <c r="V47" i="24"/>
  <c r="AC47" i="24" s="1"/>
  <c r="V645" i="24"/>
  <c r="AC645" i="24" s="1"/>
  <c r="V633" i="24"/>
  <c r="AC633" i="24" s="1"/>
  <c r="V621" i="24"/>
  <c r="AC621" i="24" s="1"/>
  <c r="V22" i="24"/>
  <c r="AC22" i="24" s="1"/>
  <c r="V10" i="24"/>
  <c r="AC10" i="24" s="1"/>
  <c r="T44" i="24"/>
  <c r="V369" i="24"/>
  <c r="AC369" i="24" s="1"/>
  <c r="V357" i="24"/>
  <c r="AC357" i="24" s="1"/>
  <c r="T564" i="24"/>
  <c r="T552" i="24"/>
  <c r="T540" i="24"/>
  <c r="T528" i="24"/>
  <c r="T516" i="24"/>
  <c r="T456" i="24"/>
  <c r="T444" i="24"/>
  <c r="T432" i="24"/>
  <c r="T420" i="24"/>
  <c r="T408" i="24"/>
  <c r="T396" i="24"/>
  <c r="T384" i="24"/>
  <c r="T19" i="24"/>
  <c r="T7" i="24"/>
  <c r="T222" i="24"/>
  <c r="T369" i="24"/>
  <c r="T357" i="24"/>
  <c r="T345" i="24"/>
  <c r="T333" i="24"/>
  <c r="T321" i="24"/>
  <c r="T309" i="24"/>
  <c r="T297" i="24"/>
  <c r="T285" i="24"/>
  <c r="T273" i="24"/>
  <c r="T261" i="24"/>
  <c r="T249" i="24"/>
  <c r="T237" i="24"/>
  <c r="T225" i="24"/>
  <c r="T164" i="24"/>
  <c r="T152" i="24"/>
  <c r="T140" i="24"/>
  <c r="T128" i="24"/>
  <c r="T116" i="24"/>
  <c r="T104" i="24"/>
  <c r="T92" i="24"/>
  <c r="T80" i="24"/>
  <c r="T68" i="24"/>
  <c r="T28" i="24"/>
  <c r="T638" i="24"/>
  <c r="T626" i="24"/>
  <c r="T614" i="24"/>
  <c r="T602" i="24"/>
  <c r="T590" i="24"/>
  <c r="T578" i="24"/>
  <c r="V566" i="24"/>
  <c r="AC566" i="24" s="1"/>
  <c r="V554" i="24"/>
  <c r="AC554" i="24" s="1"/>
  <c r="V542" i="24"/>
  <c r="AC542" i="24" s="1"/>
  <c r="V530" i="24"/>
  <c r="AC530" i="24" s="1"/>
  <c r="V518" i="24"/>
  <c r="AC518" i="24" s="1"/>
  <c r="V446" i="24"/>
  <c r="AC446" i="24" s="1"/>
  <c r="V434" i="24"/>
  <c r="AC434" i="24" s="1"/>
  <c r="V422" i="24"/>
  <c r="AC422" i="24" s="1"/>
  <c r="V410" i="24"/>
  <c r="AC410" i="24" s="1"/>
  <c r="V398" i="24"/>
  <c r="AC398" i="24" s="1"/>
  <c r="V386" i="24"/>
  <c r="AC386" i="24" s="1"/>
  <c r="V350" i="24"/>
  <c r="AC350" i="24" s="1"/>
  <c r="V338" i="24"/>
  <c r="AC338" i="24" s="1"/>
  <c r="V326" i="24"/>
  <c r="AC326" i="24" s="1"/>
  <c r="V314" i="24"/>
  <c r="AC314" i="24" s="1"/>
  <c r="V302" i="24"/>
  <c r="AC302" i="24" s="1"/>
  <c r="V290" i="24"/>
  <c r="AC290" i="24" s="1"/>
  <c r="V278" i="24"/>
  <c r="AC278" i="24" s="1"/>
  <c r="V266" i="24"/>
  <c r="AC266" i="24" s="1"/>
  <c r="V254" i="24"/>
  <c r="AC254" i="24" s="1"/>
  <c r="V242" i="24"/>
  <c r="AC242" i="24" s="1"/>
  <c r="V230" i="24"/>
  <c r="AC230" i="24" s="1"/>
  <c r="V46" i="24"/>
  <c r="AC46" i="24" s="1"/>
  <c r="V644" i="24"/>
  <c r="AC644" i="24" s="1"/>
  <c r="V632" i="24"/>
  <c r="AC632" i="24" s="1"/>
  <c r="V620" i="24"/>
  <c r="AC620" i="24" s="1"/>
  <c r="V21" i="24"/>
  <c r="AC21" i="24" s="1"/>
  <c r="V9" i="24"/>
  <c r="AC9" i="24" s="1"/>
  <c r="T55" i="24"/>
  <c r="T43" i="24"/>
  <c r="V368" i="24"/>
  <c r="AC368" i="24" s="1"/>
  <c r="V356" i="24"/>
  <c r="AC356" i="24" s="1"/>
  <c r="T563" i="24"/>
  <c r="T551" i="24"/>
  <c r="T539" i="24"/>
  <c r="T527" i="24"/>
  <c r="T515" i="24"/>
  <c r="T455" i="24"/>
  <c r="T443" i="24"/>
  <c r="T431" i="24"/>
  <c r="T419" i="24"/>
  <c r="T407" i="24"/>
  <c r="T395" i="24"/>
  <c r="T383" i="24"/>
  <c r="T67" i="24"/>
  <c r="T18" i="24"/>
  <c r="T221" i="24"/>
  <c r="T368" i="24"/>
  <c r="T356" i="24"/>
  <c r="T344" i="24"/>
  <c r="T332" i="24"/>
  <c r="T320" i="24"/>
  <c r="T308" i="24"/>
  <c r="T296" i="24"/>
  <c r="T284" i="24"/>
  <c r="T272" i="24"/>
  <c r="T260" i="24"/>
  <c r="T248" i="24"/>
  <c r="T236" i="24"/>
  <c r="T187" i="24"/>
  <c r="T175" i="24"/>
  <c r="T163" i="24"/>
  <c r="T151" i="24"/>
  <c r="T139" i="24"/>
  <c r="T127" i="24"/>
  <c r="T115" i="24"/>
  <c r="T103" i="24"/>
  <c r="T91" i="24"/>
  <c r="T79" i="24"/>
  <c r="T39" i="24"/>
  <c r="T27" i="24"/>
  <c r="T637" i="24"/>
  <c r="T625" i="24"/>
  <c r="T613" i="24"/>
  <c r="T601" i="24"/>
  <c r="T589" i="24"/>
  <c r="T577" i="24"/>
  <c r="V565" i="24"/>
  <c r="AC565" i="24" s="1"/>
  <c r="V553" i="24"/>
  <c r="AC553" i="24" s="1"/>
  <c r="V541" i="24"/>
  <c r="AC541" i="24" s="1"/>
  <c r="V529" i="24"/>
  <c r="AC529" i="24" s="1"/>
  <c r="V517" i="24"/>
  <c r="AC517" i="24" s="1"/>
  <c r="V457" i="24"/>
  <c r="AC457" i="24" s="1"/>
  <c r="V445" i="24"/>
  <c r="AC445" i="24" s="1"/>
  <c r="V433" i="24"/>
  <c r="AC433" i="24" s="1"/>
  <c r="V421" i="24"/>
  <c r="AC421" i="24" s="1"/>
  <c r="V409" i="24"/>
  <c r="AC409" i="24" s="1"/>
  <c r="V397" i="24"/>
  <c r="AC397" i="24" s="1"/>
  <c r="V385" i="24"/>
  <c r="AC385" i="24" s="1"/>
  <c r="V349" i="24"/>
  <c r="AC349" i="24" s="1"/>
  <c r="V337" i="24"/>
  <c r="AC337" i="24" s="1"/>
  <c r="V325" i="24"/>
  <c r="AC325" i="24" s="1"/>
  <c r="V313" i="24"/>
  <c r="AC313" i="24" s="1"/>
  <c r="V301" i="24"/>
  <c r="AC301" i="24" s="1"/>
  <c r="V289" i="24"/>
  <c r="AC289" i="24" s="1"/>
  <c r="V277" i="24"/>
  <c r="AC277" i="24" s="1"/>
  <c r="V265" i="24"/>
  <c r="AC265" i="24" s="1"/>
  <c r="V253" i="24"/>
  <c r="AC253" i="24" s="1"/>
  <c r="V241" i="24"/>
  <c r="AC241" i="24" s="1"/>
  <c r="V229" i="24"/>
  <c r="AC229" i="24" s="1"/>
  <c r="V45" i="24"/>
  <c r="AC45" i="24" s="1"/>
  <c r="V57" i="24"/>
  <c r="AC57" i="24" s="1"/>
  <c r="V643" i="24"/>
  <c r="AC643" i="24" s="1"/>
  <c r="V631" i="24"/>
  <c r="AC631" i="24" s="1"/>
  <c r="V619" i="24"/>
  <c r="AC619" i="24" s="1"/>
  <c r="V20" i="24"/>
  <c r="AC20" i="24" s="1"/>
  <c r="V8" i="24"/>
  <c r="AC8" i="24" s="1"/>
  <c r="T54" i="24"/>
  <c r="T42" i="24"/>
  <c r="V367" i="24"/>
  <c r="AC367" i="24" s="1"/>
  <c r="V355" i="24"/>
  <c r="AC355" i="24" s="1"/>
  <c r="T562" i="24"/>
  <c r="T550" i="24"/>
  <c r="T538" i="24"/>
  <c r="T526" i="24"/>
  <c r="T514" i="24"/>
  <c r="T454" i="24"/>
  <c r="T442" i="24"/>
  <c r="T430" i="24"/>
  <c r="T418" i="24"/>
  <c r="T406" i="24"/>
  <c r="T394" i="24"/>
  <c r="T382" i="24"/>
  <c r="T66" i="24"/>
  <c r="T17" i="24"/>
  <c r="T220" i="24"/>
  <c r="T367" i="24"/>
  <c r="T355" i="24"/>
  <c r="T343" i="24"/>
  <c r="T331" i="24"/>
  <c r="T319" i="24"/>
  <c r="T307" i="24"/>
  <c r="T295" i="24"/>
  <c r="T283" i="24"/>
  <c r="T271" i="24"/>
  <c r="T259" i="24"/>
  <c r="T247" i="24"/>
  <c r="T235" i="24"/>
  <c r="T186" i="24"/>
  <c r="T174" i="24"/>
  <c r="T162" i="24"/>
  <c r="T150" i="24"/>
  <c r="T138" i="24"/>
  <c r="T126" i="24"/>
  <c r="T114" i="24"/>
  <c r="T102" i="24"/>
  <c r="T90" i="24"/>
  <c r="T78" i="24"/>
  <c r="T38" i="24"/>
  <c r="T26" i="24"/>
  <c r="T636" i="24"/>
  <c r="T624" i="24"/>
  <c r="T612" i="24"/>
  <c r="T600" i="24"/>
  <c r="T588" i="24"/>
  <c r="T576" i="24"/>
  <c r="V564" i="24"/>
  <c r="AC564" i="24" s="1"/>
  <c r="V552" i="24"/>
  <c r="AC552" i="24" s="1"/>
  <c r="V540" i="24"/>
  <c r="AC540" i="24" s="1"/>
  <c r="V528" i="24"/>
  <c r="AC528" i="24" s="1"/>
  <c r="V516" i="24"/>
  <c r="AC516" i="24" s="1"/>
  <c r="V456" i="24"/>
  <c r="AC456" i="24" s="1"/>
  <c r="V444" i="24"/>
  <c r="AC444" i="24" s="1"/>
  <c r="V432" i="24"/>
  <c r="AC432" i="24" s="1"/>
  <c r="V420" i="24"/>
  <c r="AC420" i="24" s="1"/>
  <c r="V408" i="24"/>
  <c r="AC408" i="24" s="1"/>
  <c r="V396" i="24"/>
  <c r="AC396" i="24" s="1"/>
  <c r="V384" i="24"/>
  <c r="AC384" i="24" s="1"/>
  <c r="V348" i="24"/>
  <c r="AC348" i="24" s="1"/>
  <c r="V336" i="24"/>
  <c r="AC336" i="24" s="1"/>
  <c r="V324" i="24"/>
  <c r="AC324" i="24" s="1"/>
  <c r="V312" i="24"/>
  <c r="AC312" i="24" s="1"/>
  <c r="V300" i="24"/>
  <c r="AC300" i="24" s="1"/>
  <c r="V288" i="24"/>
  <c r="AC288" i="24" s="1"/>
  <c r="V276" i="24"/>
  <c r="AC276" i="24" s="1"/>
  <c r="V264" i="24"/>
  <c r="AC264" i="24" s="1"/>
  <c r="V252" i="24"/>
  <c r="AC252" i="24" s="1"/>
  <c r="V240" i="24"/>
  <c r="AC240" i="24" s="1"/>
  <c r="V228" i="24"/>
  <c r="AC228" i="24" s="1"/>
  <c r="V44" i="24"/>
  <c r="AC44" i="24" s="1"/>
  <c r="V56" i="24"/>
  <c r="AC56" i="24" s="1"/>
  <c r="V642" i="24"/>
  <c r="AC642" i="24" s="1"/>
  <c r="V630" i="24"/>
  <c r="AC630" i="24" s="1"/>
  <c r="V618" i="24"/>
  <c r="AC618" i="24" s="1"/>
  <c r="V19" i="24"/>
  <c r="AC19" i="24" s="1"/>
  <c r="V7" i="24"/>
  <c r="AC7" i="24" s="1"/>
  <c r="T53" i="24"/>
  <c r="T41" i="24"/>
  <c r="V366" i="24"/>
  <c r="AC366" i="24" s="1"/>
  <c r="V354" i="24"/>
  <c r="AC354" i="24" s="1"/>
  <c r="T561" i="24"/>
  <c r="T549" i="24"/>
  <c r="T537" i="24"/>
  <c r="T525" i="24"/>
  <c r="T453" i="24"/>
  <c r="T441" i="24"/>
  <c r="T429" i="24"/>
  <c r="T417" i="24"/>
  <c r="T405" i="24"/>
  <c r="T393" i="24"/>
  <c r="T381" i="24"/>
  <c r="T65" i="24"/>
  <c r="T16" i="24"/>
  <c r="T219" i="24"/>
  <c r="T366" i="24"/>
  <c r="T354" i="24"/>
  <c r="T342" i="24"/>
  <c r="T330" i="24"/>
  <c r="T318" i="24"/>
  <c r="T306" i="24"/>
  <c r="T294" i="24"/>
  <c r="T282" i="24"/>
  <c r="T270" i="24"/>
  <c r="T258" i="24"/>
  <c r="T246" i="24"/>
  <c r="T234" i="24"/>
  <c r="T185" i="24"/>
  <c r="T161" i="24"/>
  <c r="T149" i="24"/>
  <c r="T137" i="24"/>
  <c r="T125" i="24"/>
  <c r="T113" i="24"/>
  <c r="T101" i="24"/>
  <c r="T89" i="24"/>
  <c r="T77" i="24"/>
  <c r="T37" i="24"/>
  <c r="T635" i="24"/>
  <c r="T623" i="24"/>
  <c r="T611" i="24"/>
  <c r="T599" i="24"/>
  <c r="T587" i="24"/>
  <c r="T575" i="24"/>
  <c r="V563" i="24"/>
  <c r="AC563" i="24" s="1"/>
  <c r="V551" i="24"/>
  <c r="AC551" i="24" s="1"/>
  <c r="V539" i="24"/>
  <c r="AC539" i="24" s="1"/>
  <c r="V527" i="24"/>
  <c r="AC527" i="24" s="1"/>
  <c r="V515" i="24"/>
  <c r="AC515" i="24" s="1"/>
  <c r="V455" i="24"/>
  <c r="AC455" i="24" s="1"/>
  <c r="V443" i="24"/>
  <c r="AC443" i="24" s="1"/>
  <c r="V431" i="24"/>
  <c r="AC431" i="24" s="1"/>
  <c r="V419" i="24"/>
  <c r="AC419" i="24" s="1"/>
  <c r="V407" i="24"/>
  <c r="AC407" i="24" s="1"/>
  <c r="V395" i="24"/>
  <c r="AC395" i="24" s="1"/>
  <c r="V383" i="24"/>
  <c r="AC383" i="24" s="1"/>
  <c r="V347" i="24"/>
  <c r="AC347" i="24" s="1"/>
  <c r="V335" i="24"/>
  <c r="AC335" i="24" s="1"/>
  <c r="V323" i="24"/>
  <c r="AC323" i="24" s="1"/>
  <c r="V311" i="24"/>
  <c r="AC311" i="24" s="1"/>
  <c r="V299" i="24"/>
  <c r="AC299" i="24" s="1"/>
  <c r="V287" i="24"/>
  <c r="AC287" i="24" s="1"/>
  <c r="V275" i="24"/>
  <c r="AC275" i="24" s="1"/>
  <c r="V263" i="24"/>
  <c r="AC263" i="24" s="1"/>
  <c r="V251" i="24"/>
  <c r="AC251" i="24" s="1"/>
  <c r="V239" i="24"/>
  <c r="AC239" i="24" s="1"/>
  <c r="V227" i="24"/>
  <c r="AC227" i="24" s="1"/>
  <c r="V55" i="24"/>
  <c r="AC55" i="24" s="1"/>
  <c r="V43" i="24"/>
  <c r="AC43" i="24" s="1"/>
  <c r="V641" i="24"/>
  <c r="AC641" i="24" s="1"/>
  <c r="V629" i="24"/>
  <c r="AC629" i="24" s="1"/>
  <c r="V67" i="24"/>
  <c r="AC67" i="24" s="1"/>
  <c r="V18" i="24"/>
  <c r="AC18" i="24" s="1"/>
  <c r="T52" i="24"/>
  <c r="V377" i="24"/>
  <c r="AC377" i="24" s="1"/>
  <c r="V365" i="24"/>
  <c r="AC365" i="24" s="1"/>
  <c r="C77" i="13"/>
  <c r="Q77" i="13" s="1"/>
  <c r="M77" i="13"/>
  <c r="L77" i="13"/>
  <c r="N77" i="13"/>
  <c r="O77" i="13"/>
  <c r="N39" i="13"/>
  <c r="M39" i="13"/>
  <c r="L39" i="13"/>
  <c r="O39" i="13"/>
  <c r="C39" i="13"/>
  <c r="Q39" i="13" s="1"/>
  <c r="L83" i="13"/>
  <c r="O83" i="13"/>
  <c r="N83" i="13"/>
  <c r="M83" i="13"/>
  <c r="C83" i="13"/>
  <c r="Q83" i="13" s="1"/>
  <c r="L31" i="13"/>
  <c r="C31" i="13"/>
  <c r="O31" i="13"/>
  <c r="N31" i="13"/>
  <c r="M31" i="13"/>
  <c r="C74" i="13"/>
  <c r="Q74" i="13" s="1"/>
  <c r="M74" i="13"/>
  <c r="L74" i="13"/>
  <c r="O74" i="13"/>
  <c r="N74" i="13"/>
  <c r="O64" i="13"/>
  <c r="N64" i="13"/>
  <c r="C64" i="13"/>
  <c r="Q64" i="13" s="1"/>
  <c r="M64" i="13"/>
  <c r="L64" i="13"/>
  <c r="C68" i="13"/>
  <c r="Q68" i="13" s="1"/>
  <c r="N68" i="13"/>
  <c r="M68" i="13"/>
  <c r="O68" i="13"/>
  <c r="L68" i="13"/>
  <c r="O30" i="13"/>
  <c r="N30" i="13"/>
  <c r="C30" i="13"/>
  <c r="L30" i="13"/>
  <c r="M30" i="13"/>
  <c r="O70" i="13"/>
  <c r="N70" i="13"/>
  <c r="C70" i="13"/>
  <c r="Q70" i="13" s="1"/>
  <c r="L70" i="13"/>
  <c r="M70" i="13"/>
  <c r="L44" i="13"/>
  <c r="M44" i="13"/>
  <c r="N44" i="13"/>
  <c r="O44" i="13"/>
  <c r="C44" i="13"/>
  <c r="Q44" i="13" s="1"/>
  <c r="M75" i="13"/>
  <c r="C75" i="13"/>
  <c r="Q75" i="13" s="1"/>
  <c r="L75" i="13"/>
  <c r="O75" i="13"/>
  <c r="N75" i="13"/>
  <c r="C86" i="13"/>
  <c r="Q86" i="13" s="1"/>
  <c r="M86" i="13"/>
  <c r="N86" i="13"/>
  <c r="O86" i="13"/>
  <c r="L86" i="13"/>
  <c r="L48" i="13"/>
  <c r="O48" i="13"/>
  <c r="C48" i="13"/>
  <c r="Q48" i="13" s="1"/>
  <c r="M48" i="13"/>
  <c r="N48" i="13"/>
  <c r="C88" i="13"/>
  <c r="Q88" i="13" s="1"/>
  <c r="M88" i="13"/>
  <c r="N88" i="13"/>
  <c r="L88" i="13"/>
  <c r="O88" i="13"/>
  <c r="L92" i="13"/>
  <c r="N92" i="13"/>
  <c r="C92" i="13"/>
  <c r="Q92" i="13" s="1"/>
  <c r="O92" i="13"/>
  <c r="M92" i="13"/>
  <c r="L42" i="13"/>
  <c r="O42" i="13"/>
  <c r="N42" i="13"/>
  <c r="M42" i="13"/>
  <c r="C42" i="13"/>
  <c r="Q42" i="13" s="1"/>
  <c r="O82" i="13"/>
  <c r="C82" i="13"/>
  <c r="Q82" i="13" s="1"/>
  <c r="N82" i="13"/>
  <c r="M82" i="13"/>
  <c r="L82" i="13"/>
  <c r="M49" i="13"/>
  <c r="L49" i="13"/>
  <c r="C49" i="13"/>
  <c r="Q49" i="13" s="1"/>
  <c r="O49" i="13"/>
  <c r="N49" i="13"/>
  <c r="C40" i="13"/>
  <c r="Q40" i="13" s="1"/>
  <c r="M40" i="13"/>
  <c r="O40" i="13"/>
  <c r="L40" i="13"/>
  <c r="N40" i="13"/>
  <c r="N58" i="13"/>
  <c r="C58" i="13"/>
  <c r="Q58" i="13" s="1"/>
  <c r="L58" i="13"/>
  <c r="M58" i="13"/>
  <c r="O58" i="13"/>
  <c r="N60" i="13"/>
  <c r="C60" i="13"/>
  <c r="Q60" i="13" s="1"/>
  <c r="O60" i="13"/>
  <c r="M60" i="13"/>
  <c r="L60" i="13"/>
  <c r="O67" i="13"/>
  <c r="N67" i="13"/>
  <c r="C67" i="13"/>
  <c r="Q67" i="13" s="1"/>
  <c r="M67" i="13"/>
  <c r="L67" i="13"/>
  <c r="L66" i="13"/>
  <c r="C66" i="13"/>
  <c r="Q66" i="13" s="1"/>
  <c r="M66" i="13"/>
  <c r="O66" i="13"/>
  <c r="N66" i="13"/>
  <c r="L80" i="13"/>
  <c r="M80" i="13"/>
  <c r="N80" i="13"/>
  <c r="O80" i="13"/>
  <c r="C80" i="13"/>
  <c r="Q80" i="13" s="1"/>
  <c r="C43" i="13"/>
  <c r="M43" i="13"/>
  <c r="L43" i="13"/>
  <c r="O43" i="13"/>
  <c r="N43" i="13"/>
  <c r="N29" i="13"/>
  <c r="O29" i="13"/>
  <c r="C29" i="13"/>
  <c r="L29" i="13"/>
  <c r="M29" i="13"/>
  <c r="C45" i="13"/>
  <c r="Q45" i="13" s="1"/>
  <c r="O45" i="13"/>
  <c r="L45" i="13"/>
  <c r="N45" i="13"/>
  <c r="M45" i="13"/>
  <c r="L53" i="13"/>
  <c r="N53" i="13"/>
  <c r="O53" i="13"/>
  <c r="C53" i="13"/>
  <c r="Q53" i="13" s="1"/>
  <c r="M53" i="13"/>
  <c r="N33" i="13"/>
  <c r="C33" i="13"/>
  <c r="Q33" i="13" s="1"/>
  <c r="M33" i="13"/>
  <c r="L33" i="13"/>
  <c r="O33" i="13"/>
  <c r="O90" i="13"/>
  <c r="N90" i="13"/>
  <c r="L90" i="13"/>
  <c r="C90" i="13"/>
  <c r="Q90" i="13" s="1"/>
  <c r="M90" i="13"/>
  <c r="M84" i="13"/>
  <c r="L84" i="13"/>
  <c r="O84" i="13"/>
  <c r="N84" i="13"/>
  <c r="C84" i="13"/>
  <c r="Q84" i="13" s="1"/>
  <c r="N89" i="13"/>
  <c r="C89" i="13"/>
  <c r="Q89" i="13" s="1"/>
  <c r="M89" i="13"/>
  <c r="L89" i="13"/>
  <c r="O89" i="13"/>
  <c r="O87" i="13"/>
  <c r="N87" i="13"/>
  <c r="C87" i="13"/>
  <c r="Q87" i="13" s="1"/>
  <c r="M87" i="13"/>
  <c r="L87" i="13"/>
  <c r="L76" i="13"/>
  <c r="C76" i="13"/>
  <c r="Q76" i="13" s="1"/>
  <c r="O76" i="13"/>
  <c r="N76" i="13"/>
  <c r="M76" i="13"/>
  <c r="C62" i="13"/>
  <c r="Q62" i="13" s="1"/>
  <c r="M62" i="13"/>
  <c r="L62" i="13"/>
  <c r="O62" i="13"/>
  <c r="N62" i="13"/>
  <c r="N61" i="13"/>
  <c r="O61" i="13"/>
  <c r="M61" i="13"/>
  <c r="L61" i="13"/>
  <c r="C61" i="13"/>
  <c r="Q61" i="13" s="1"/>
  <c r="L78" i="13"/>
  <c r="M78" i="13"/>
  <c r="O78" i="13"/>
  <c r="C78" i="13"/>
  <c r="Q78" i="13" s="1"/>
  <c r="N78" i="13"/>
  <c r="C65" i="13"/>
  <c r="Q65" i="13" s="1"/>
  <c r="O65" i="13"/>
  <c r="N65" i="13"/>
  <c r="M65" i="13"/>
  <c r="L65" i="13"/>
  <c r="M81" i="13"/>
  <c r="L81" i="13"/>
  <c r="C81" i="13"/>
  <c r="Q81" i="13" s="1"/>
  <c r="O81" i="13"/>
  <c r="N81" i="13"/>
  <c r="M85" i="13"/>
  <c r="N85" i="13"/>
  <c r="O85" i="13"/>
  <c r="C85" i="13"/>
  <c r="Q85" i="13" s="1"/>
  <c r="L85" i="13"/>
  <c r="N69" i="13"/>
  <c r="C69" i="13"/>
  <c r="Q69" i="13" s="1"/>
  <c r="M69" i="13"/>
  <c r="L69" i="13"/>
  <c r="O69" i="13"/>
  <c r="C79" i="13"/>
  <c r="Q79" i="13" s="1"/>
  <c r="M79" i="13"/>
  <c r="O79" i="13"/>
  <c r="N79" i="13"/>
  <c r="L79" i="13"/>
  <c r="O28" i="13"/>
  <c r="N28" i="13"/>
  <c r="L28" i="13"/>
  <c r="C28" i="13"/>
  <c r="M28" i="13"/>
  <c r="M32" i="13"/>
  <c r="T938" i="24" s="1"/>
  <c r="L32" i="13"/>
  <c r="S752" i="24" s="1"/>
  <c r="N32" i="13"/>
  <c r="U794" i="24" s="1"/>
  <c r="AB794" i="24" s="1"/>
  <c r="O32" i="13"/>
  <c r="V924" i="24" s="1"/>
  <c r="AC924" i="24" s="1"/>
  <c r="C32" i="13"/>
  <c r="Q32" i="13" s="1"/>
  <c r="O27" i="13"/>
  <c r="V173" i="24" s="1"/>
  <c r="AC173" i="24" s="1"/>
  <c r="N27" i="13"/>
  <c r="U169" i="24" s="1"/>
  <c r="AB169" i="24" s="1"/>
  <c r="C27" i="13"/>
  <c r="B178" i="24" s="1"/>
  <c r="L27" i="13"/>
  <c r="S170" i="24" s="1"/>
  <c r="M27" i="13"/>
  <c r="T170" i="24" s="1"/>
  <c r="O35" i="13"/>
  <c r="L35" i="13"/>
  <c r="N35" i="13"/>
  <c r="C35" i="13"/>
  <c r="Q35" i="13" s="1"/>
  <c r="M35" i="13"/>
  <c r="C56" i="13"/>
  <c r="Q56" i="13" s="1"/>
  <c r="N56" i="13"/>
  <c r="M56" i="13"/>
  <c r="O56" i="13"/>
  <c r="L56" i="13"/>
  <c r="C51" i="13"/>
  <c r="Q51" i="13" s="1"/>
  <c r="M51" i="13"/>
  <c r="L51" i="13"/>
  <c r="O51" i="13"/>
  <c r="N51" i="13"/>
  <c r="O54" i="13"/>
  <c r="C54" i="13"/>
  <c r="Q54" i="13" s="1"/>
  <c r="N54" i="13"/>
  <c r="M54" i="13"/>
  <c r="L54" i="13"/>
  <c r="C94" i="13"/>
  <c r="Q94" i="13" s="1"/>
  <c r="O94" i="13"/>
  <c r="N94" i="13"/>
  <c r="M94" i="13"/>
  <c r="L94" i="13"/>
  <c r="L57" i="13"/>
  <c r="C57" i="13"/>
  <c r="Q57" i="13" s="1"/>
  <c r="M57" i="13"/>
  <c r="O57" i="13"/>
  <c r="N57" i="13"/>
  <c r="M34" i="13"/>
  <c r="L34" i="13"/>
  <c r="C34" i="13"/>
  <c r="Q34" i="13" s="1"/>
  <c r="O34" i="13"/>
  <c r="N34" i="13"/>
  <c r="M37" i="13"/>
  <c r="C37" i="13"/>
  <c r="N37" i="13"/>
  <c r="U1575" i="24" s="1"/>
  <c r="AB1575" i="24" s="1"/>
  <c r="O37" i="13"/>
  <c r="V1567" i="24" s="1"/>
  <c r="AC1567" i="24" s="1"/>
  <c r="L37" i="13"/>
  <c r="C55" i="13"/>
  <c r="Q55" i="13" s="1"/>
  <c r="O55" i="13"/>
  <c r="N55" i="13"/>
  <c r="M55" i="13"/>
  <c r="L55" i="13"/>
  <c r="O72" i="13"/>
  <c r="M72" i="13"/>
  <c r="N72" i="13"/>
  <c r="C72" i="13"/>
  <c r="Q72" i="13" s="1"/>
  <c r="L72" i="13"/>
  <c r="N41" i="13"/>
  <c r="O41" i="13"/>
  <c r="C41" i="13"/>
  <c r="Q41" i="13" s="1"/>
  <c r="M41" i="13"/>
  <c r="L41" i="13"/>
  <c r="M47" i="13"/>
  <c r="O47" i="13"/>
  <c r="L47" i="13"/>
  <c r="N47" i="13"/>
  <c r="C47" i="13"/>
  <c r="Q47" i="13" s="1"/>
  <c r="L46" i="13"/>
  <c r="M46" i="13"/>
  <c r="O46" i="13"/>
  <c r="N46" i="13"/>
  <c r="C46" i="13"/>
  <c r="Q46" i="13" s="1"/>
  <c r="O50" i="13"/>
  <c r="C50" i="13"/>
  <c r="Q50" i="13" s="1"/>
  <c r="N50" i="13"/>
  <c r="M50" i="13"/>
  <c r="L50" i="13"/>
  <c r="L63" i="13"/>
  <c r="M63" i="13"/>
  <c r="O63" i="13"/>
  <c r="C63" i="13"/>
  <c r="Q63" i="13" s="1"/>
  <c r="N63" i="13"/>
  <c r="O71" i="13"/>
  <c r="C71" i="13"/>
  <c r="Q71" i="13" s="1"/>
  <c r="N71" i="13"/>
  <c r="M71" i="13"/>
  <c r="L71" i="13"/>
  <c r="O38" i="13"/>
  <c r="M38" i="13"/>
  <c r="N38" i="13"/>
  <c r="L38" i="13"/>
  <c r="C38" i="13"/>
  <c r="Q38" i="13" s="1"/>
  <c r="C59" i="13"/>
  <c r="Q59" i="13" s="1"/>
  <c r="M59" i="13"/>
  <c r="O59" i="13"/>
  <c r="N59" i="13"/>
  <c r="L59" i="13"/>
  <c r="M95" i="13"/>
  <c r="L95" i="13"/>
  <c r="N95" i="13"/>
  <c r="O95" i="13"/>
  <c r="C95" i="13"/>
  <c r="Q95" i="13" s="1"/>
  <c r="C36" i="13"/>
  <c r="M36" i="13"/>
  <c r="T1553" i="24" s="1"/>
  <c r="L36" i="13"/>
  <c r="O36" i="13"/>
  <c r="N36" i="13"/>
  <c r="N91" i="13"/>
  <c r="L91" i="13"/>
  <c r="O91" i="13"/>
  <c r="C91" i="13"/>
  <c r="Q91" i="13" s="1"/>
  <c r="M91" i="13"/>
  <c r="C93" i="13"/>
  <c r="Q93" i="13" s="1"/>
  <c r="O93" i="13"/>
  <c r="N93" i="13"/>
  <c r="M93" i="13"/>
  <c r="L93" i="13"/>
  <c r="C52" i="13"/>
  <c r="Q52" i="13" s="1"/>
  <c r="M52" i="13"/>
  <c r="L52" i="13"/>
  <c r="O52" i="13"/>
  <c r="N52" i="13"/>
  <c r="N73" i="13"/>
  <c r="O73" i="13"/>
  <c r="L73" i="13"/>
  <c r="C73" i="13"/>
  <c r="Q73" i="13" s="1"/>
  <c r="M73" i="13"/>
  <c r="C28" i="4"/>
  <c r="B176" i="24" l="1"/>
  <c r="T1617" i="24"/>
  <c r="B1615" i="24"/>
  <c r="U1616" i="24"/>
  <c r="AB1616" i="24" s="1"/>
  <c r="U1619" i="24"/>
  <c r="AB1619" i="24" s="1"/>
  <c r="S180" i="24"/>
  <c r="V176" i="24"/>
  <c r="AC176" i="24" s="1"/>
  <c r="U179" i="24"/>
  <c r="AB179" i="24" s="1"/>
  <c r="B179" i="24"/>
  <c r="B177" i="24"/>
  <c r="V1614" i="24"/>
  <c r="AC1614" i="24" s="1"/>
  <c r="T1614" i="24"/>
  <c r="B1614" i="24"/>
  <c r="B1613" i="24"/>
  <c r="U1614" i="24"/>
  <c r="AB1614" i="24" s="1"/>
  <c r="S179" i="24"/>
  <c r="V1619" i="24"/>
  <c r="AC1619" i="24" s="1"/>
  <c r="V1617" i="24"/>
  <c r="AC1617" i="24" s="1"/>
  <c r="S1619" i="24"/>
  <c r="T177" i="24"/>
  <c r="S178" i="24"/>
  <c r="V178" i="24"/>
  <c r="AC178" i="24" s="1"/>
  <c r="U178" i="24"/>
  <c r="AB178" i="24" s="1"/>
  <c r="T1619" i="24"/>
  <c r="S1614" i="24"/>
  <c r="B1622" i="24"/>
  <c r="T1615" i="24"/>
  <c r="U177" i="24"/>
  <c r="AB177" i="24" s="1"/>
  <c r="V1615" i="24"/>
  <c r="AC1615" i="24" s="1"/>
  <c r="T1620" i="24"/>
  <c r="V1618" i="24"/>
  <c r="AC1618" i="24" s="1"/>
  <c r="S1616" i="24"/>
  <c r="B1617" i="24"/>
  <c r="U1613" i="24"/>
  <c r="AB1613" i="24" s="1"/>
  <c r="S176" i="24"/>
  <c r="T1621" i="24"/>
  <c r="S1622" i="24"/>
  <c r="T178" i="24"/>
  <c r="B180" i="24"/>
  <c r="V1616" i="24"/>
  <c r="AC1616" i="24" s="1"/>
  <c r="T1613" i="24"/>
  <c r="S1620" i="24"/>
  <c r="S1617" i="24"/>
  <c r="U1622" i="24"/>
  <c r="AB1622" i="24" s="1"/>
  <c r="V180" i="24"/>
  <c r="AC180" i="24" s="1"/>
  <c r="V177" i="24"/>
  <c r="AC177" i="24" s="1"/>
  <c r="U176" i="24"/>
  <c r="AB176" i="24" s="1"/>
  <c r="T1616" i="24"/>
  <c r="U1617" i="24"/>
  <c r="AB1617" i="24" s="1"/>
  <c r="T179" i="24"/>
  <c r="V179" i="24"/>
  <c r="AC179" i="24" s="1"/>
  <c r="V1620" i="24"/>
  <c r="AC1620" i="24" s="1"/>
  <c r="B1619" i="24"/>
  <c r="V1622" i="24"/>
  <c r="AC1622" i="24" s="1"/>
  <c r="T1618" i="24"/>
  <c r="V1621" i="24"/>
  <c r="AC1621" i="24" s="1"/>
  <c r="S1613" i="24"/>
  <c r="U1618" i="24"/>
  <c r="AB1618" i="24" s="1"/>
  <c r="B1616" i="24"/>
  <c r="T176" i="24"/>
  <c r="T180" i="24"/>
  <c r="S177" i="24"/>
  <c r="U180" i="24"/>
  <c r="AB180" i="24" s="1"/>
  <c r="T1622" i="24"/>
  <c r="V1613" i="24"/>
  <c r="AC1613" i="24" s="1"/>
  <c r="S1618" i="24"/>
  <c r="S1621" i="24"/>
  <c r="S1615" i="24"/>
  <c r="U1621" i="24"/>
  <c r="AB1621" i="24" s="1"/>
  <c r="U1620" i="24"/>
  <c r="AB1620" i="24" s="1"/>
  <c r="B1620" i="24"/>
  <c r="B1618" i="24"/>
  <c r="U1615" i="24"/>
  <c r="AB1615" i="24" s="1"/>
  <c r="B1621" i="24"/>
  <c r="B468" i="24"/>
  <c r="AE98" i="13"/>
  <c r="AE100" i="13"/>
  <c r="Q31" i="13"/>
  <c r="AC31" i="13"/>
  <c r="AD31" i="13"/>
  <c r="AB2018" i="24"/>
  <c r="Z2018" i="24"/>
  <c r="Y2018" i="24" s="1"/>
  <c r="Q30" i="13"/>
  <c r="AD30" i="13"/>
  <c r="AC30" i="13"/>
  <c r="Q28" i="13"/>
  <c r="AD28" i="13"/>
  <c r="AC28" i="13"/>
  <c r="Q29" i="13"/>
  <c r="AC29" i="13"/>
  <c r="AD29" i="13"/>
  <c r="J96" i="13"/>
  <c r="U1938" i="24"/>
  <c r="AB1938" i="24" s="1"/>
  <c r="V1873" i="24"/>
  <c r="AC1873" i="24" s="1"/>
  <c r="K25" i="13"/>
  <c r="P25" i="13" s="1"/>
  <c r="S1818" i="24"/>
  <c r="K26" i="13"/>
  <c r="Q26" i="13" s="1"/>
  <c r="T1713" i="24"/>
  <c r="K24" i="13"/>
  <c r="P24" i="13" s="1"/>
  <c r="I33" i="13"/>
  <c r="B1808" i="24"/>
  <c r="W1808" i="24" s="1"/>
  <c r="Q43" i="13"/>
  <c r="V171" i="24"/>
  <c r="AC171" i="24" s="1"/>
  <c r="U170" i="24"/>
  <c r="AB170" i="24" s="1"/>
  <c r="B1567" i="24"/>
  <c r="Q37" i="13"/>
  <c r="B1550" i="24"/>
  <c r="Q36" i="13"/>
  <c r="P26" i="13"/>
  <c r="S173" i="24"/>
  <c r="T171" i="24"/>
  <c r="V170" i="24"/>
  <c r="AC170" i="24" s="1"/>
  <c r="B172" i="24"/>
  <c r="S169" i="24"/>
  <c r="S171" i="24"/>
  <c r="U173" i="24"/>
  <c r="AB173" i="24" s="1"/>
  <c r="T173" i="24"/>
  <c r="U172" i="24"/>
  <c r="AB172" i="24" s="1"/>
  <c r="B170" i="24"/>
  <c r="U171" i="24"/>
  <c r="AB171" i="24" s="1"/>
  <c r="T172" i="24"/>
  <c r="V172" i="24"/>
  <c r="AC172" i="24" s="1"/>
  <c r="S172" i="24"/>
  <c r="B173" i="24"/>
  <c r="T169" i="24"/>
  <c r="B171" i="24"/>
  <c r="B169" i="24"/>
  <c r="V169" i="24"/>
  <c r="AC169" i="24" s="1"/>
  <c r="B1956" i="24"/>
  <c r="W1956" i="24" s="1"/>
  <c r="B1911" i="24"/>
  <c r="W1911" i="24" s="1"/>
  <c r="B1832" i="24"/>
  <c r="W1832" i="24" s="1"/>
  <c r="V1918" i="24"/>
  <c r="AC1918" i="24" s="1"/>
  <c r="B1989" i="24"/>
  <c r="W1989" i="24" s="1"/>
  <c r="B1932" i="24"/>
  <c r="W1932" i="24" s="1"/>
  <c r="B1926" i="24"/>
  <c r="W1926" i="24" s="1"/>
  <c r="U1666" i="24"/>
  <c r="AB1666" i="24" s="1"/>
  <c r="B1814" i="24"/>
  <c r="W1814" i="24" s="1"/>
  <c r="B1807" i="24"/>
  <c r="W1807" i="24" s="1"/>
  <c r="B1902" i="24"/>
  <c r="W1902" i="24" s="1"/>
  <c r="B1796" i="24"/>
  <c r="W1796" i="24" s="1"/>
  <c r="B1549" i="24"/>
  <c r="B1649" i="24"/>
  <c r="W1649" i="24" s="1"/>
  <c r="S1862" i="24"/>
  <c r="T1930" i="24"/>
  <c r="U1864" i="24"/>
  <c r="AB1864" i="24" s="1"/>
  <c r="U1923" i="24"/>
  <c r="AB1923" i="24" s="1"/>
  <c r="T1820" i="24"/>
  <c r="V1975" i="24"/>
  <c r="AC1975" i="24" s="1"/>
  <c r="V1995" i="24"/>
  <c r="AC1995" i="24" s="1"/>
  <c r="T1939" i="24"/>
  <c r="T1994" i="24"/>
  <c r="T1961" i="24"/>
  <c r="U1554" i="24"/>
  <c r="AB1554" i="24" s="1"/>
  <c r="U1544" i="24"/>
  <c r="AB1544" i="24" s="1"/>
  <c r="U1547" i="24"/>
  <c r="AB1547" i="24" s="1"/>
  <c r="U1549" i="24"/>
  <c r="AB1549" i="24" s="1"/>
  <c r="U1551" i="24"/>
  <c r="AB1551" i="24" s="1"/>
  <c r="U1552" i="24"/>
  <c r="AB1552" i="24" s="1"/>
  <c r="U1550" i="24"/>
  <c r="AB1550" i="24" s="1"/>
  <c r="U1545" i="24"/>
  <c r="AB1545" i="24" s="1"/>
  <c r="U1548" i="24"/>
  <c r="AB1548" i="24" s="1"/>
  <c r="U1546" i="24"/>
  <c r="AB1546" i="24" s="1"/>
  <c r="S1564" i="24"/>
  <c r="S1560" i="24"/>
  <c r="S1559" i="24"/>
  <c r="S1569" i="24"/>
  <c r="S1571" i="24"/>
  <c r="S1573" i="24"/>
  <c r="S1556" i="24"/>
  <c r="S1566" i="24"/>
  <c r="S1568" i="24"/>
  <c r="S1563" i="24"/>
  <c r="S1576" i="24"/>
  <c r="S1570" i="24"/>
  <c r="S1562" i="24"/>
  <c r="S1557" i="24"/>
  <c r="S1577" i="24"/>
  <c r="S1574" i="24"/>
  <c r="S1558" i="24"/>
  <c r="S1567" i="24"/>
  <c r="S1572" i="24"/>
  <c r="S1565" i="24"/>
  <c r="B1713" i="24"/>
  <c r="W1713" i="24" s="1"/>
  <c r="B1761" i="24"/>
  <c r="W1761" i="24" s="1"/>
  <c r="B1779" i="24"/>
  <c r="W1779" i="24" s="1"/>
  <c r="B1628" i="24"/>
  <c r="W1628" i="24" s="1"/>
  <c r="B2000" i="24"/>
  <c r="W2000" i="24" s="1"/>
  <c r="B1758" i="24"/>
  <c r="W1758" i="24" s="1"/>
  <c r="B1771" i="24"/>
  <c r="W1771" i="24" s="1"/>
  <c r="B1635" i="24"/>
  <c r="W1635" i="24" s="1"/>
  <c r="B1900" i="24"/>
  <c r="W1900" i="24" s="1"/>
  <c r="B1721" i="24"/>
  <c r="W1721" i="24" s="1"/>
  <c r="B1625" i="24"/>
  <c r="W1625" i="24" s="1"/>
  <c r="B1952" i="24"/>
  <c r="W1952" i="24" s="1"/>
  <c r="B1634" i="24"/>
  <c r="W1634" i="24" s="1"/>
  <c r="B1971" i="24"/>
  <c r="W1971" i="24" s="1"/>
  <c r="B1828" i="24"/>
  <c r="W1828" i="24" s="1"/>
  <c r="B1701" i="24"/>
  <c r="W1701" i="24" s="1"/>
  <c r="B1818" i="24"/>
  <c r="W1818" i="24" s="1"/>
  <c r="B1801" i="24"/>
  <c r="W1801" i="24" s="1"/>
  <c r="B1849" i="24"/>
  <c r="W1849" i="24" s="1"/>
  <c r="B1626" i="24"/>
  <c r="W1626" i="24" s="1"/>
  <c r="B2005" i="24"/>
  <c r="W2005" i="24" s="1"/>
  <c r="B1774" i="24"/>
  <c r="W1774" i="24" s="1"/>
  <c r="B1717" i="24"/>
  <c r="W1717" i="24" s="1"/>
  <c r="B1765" i="24"/>
  <c r="W1765" i="24" s="1"/>
  <c r="B1812" i="24"/>
  <c r="W1812" i="24" s="1"/>
  <c r="B1785" i="24"/>
  <c r="W1785" i="24" s="1"/>
  <c r="B1637" i="24"/>
  <c r="W1637" i="24" s="1"/>
  <c r="B1685" i="24"/>
  <c r="W1685" i="24" s="1"/>
  <c r="B1928" i="24"/>
  <c r="W1928" i="24" s="1"/>
  <c r="B1792" i="24"/>
  <c r="W1792" i="24" s="1"/>
  <c r="B1942" i="24"/>
  <c r="W1942" i="24" s="1"/>
  <c r="B1951" i="24"/>
  <c r="W1951" i="24" s="1"/>
  <c r="B1998" i="24"/>
  <c r="W1998" i="24" s="1"/>
  <c r="B1970" i="24"/>
  <c r="W1970" i="24" s="1"/>
  <c r="B1869" i="24"/>
  <c r="W1869" i="24" s="1"/>
  <c r="B1710" i="24"/>
  <c r="W1710" i="24" s="1"/>
  <c r="B1960" i="24"/>
  <c r="W1960" i="24" s="1"/>
  <c r="B2009" i="24"/>
  <c r="W2009" i="24" s="1"/>
  <c r="B1853" i="24"/>
  <c r="W1853" i="24" s="1"/>
  <c r="B1824" i="24"/>
  <c r="W1824" i="24" s="1"/>
  <c r="B1914" i="24"/>
  <c r="W1914" i="24" s="1"/>
  <c r="B1819" i="24"/>
  <c r="W1819" i="24" s="1"/>
  <c r="B1673" i="24"/>
  <c r="W1673" i="24" s="1"/>
  <c r="B1875" i="24"/>
  <c r="W1875" i="24" s="1"/>
  <c r="B1692" i="24"/>
  <c r="W1692" i="24" s="1"/>
  <c r="B1740" i="24"/>
  <c r="W1740" i="24" s="1"/>
  <c r="B1787" i="24"/>
  <c r="W1787" i="24" s="1"/>
  <c r="B1770" i="24"/>
  <c r="W1770" i="24" s="1"/>
  <c r="B1754" i="24"/>
  <c r="W1754" i="24" s="1"/>
  <c r="B1725" i="24"/>
  <c r="W1725" i="24" s="1"/>
  <c r="B1772" i="24"/>
  <c r="W1772" i="24" s="1"/>
  <c r="B1820" i="24"/>
  <c r="W1820" i="24" s="1"/>
  <c r="B1727" i="24"/>
  <c r="W1727" i="24" s="1"/>
  <c r="B1722" i="24"/>
  <c r="W1722" i="24" s="1"/>
  <c r="B1769" i="24"/>
  <c r="W1769" i="24" s="1"/>
  <c r="B1955" i="24"/>
  <c r="W1955" i="24" s="1"/>
  <c r="B2002" i="24"/>
  <c r="W2002" i="24" s="1"/>
  <c r="B1736" i="24"/>
  <c r="W1736" i="24" s="1"/>
  <c r="B1859" i="24"/>
  <c r="W1859" i="24" s="1"/>
  <c r="B1672" i="24"/>
  <c r="W1672" i="24" s="1"/>
  <c r="B1720" i="24"/>
  <c r="W1720" i="24" s="1"/>
  <c r="B1691" i="24"/>
  <c r="W1691" i="24" s="1"/>
  <c r="B1953" i="24"/>
  <c r="W1953" i="24" s="1"/>
  <c r="B1903" i="24"/>
  <c r="W1903" i="24" s="1"/>
  <c r="B1681" i="24"/>
  <c r="W1681" i="24" s="1"/>
  <c r="B1805" i="24"/>
  <c r="W1805" i="24" s="1"/>
  <c r="B1858" i="24"/>
  <c r="W1858" i="24" s="1"/>
  <c r="B1866" i="24"/>
  <c r="W1866" i="24" s="1"/>
  <c r="B1921" i="24"/>
  <c r="W1921" i="24" s="1"/>
  <c r="B1978" i="24"/>
  <c r="W1978" i="24" s="1"/>
  <c r="B1723" i="24"/>
  <c r="W1723" i="24" s="1"/>
  <c r="B1996" i="24"/>
  <c r="W1996" i="24" s="1"/>
  <c r="B1991" i="24"/>
  <c r="W1991" i="24" s="1"/>
  <c r="B1963" i="24"/>
  <c r="W1963" i="24" s="1"/>
  <c r="B2010" i="24"/>
  <c r="W2010" i="24" s="1"/>
  <c r="B1965" i="24"/>
  <c r="W1965" i="24" s="1"/>
  <c r="B1915" i="24"/>
  <c r="W1915" i="24" s="1"/>
  <c r="B1972" i="24"/>
  <c r="W1972" i="24" s="1"/>
  <c r="B1640" i="24"/>
  <c r="W1640" i="24" s="1"/>
  <c r="B1688" i="24"/>
  <c r="W1688" i="24" s="1"/>
  <c r="B1974" i="24"/>
  <c r="W1974" i="24" s="1"/>
  <c r="B1877" i="24"/>
  <c r="W1877" i="24" s="1"/>
  <c r="B1925" i="24"/>
  <c r="W1925" i="24" s="1"/>
  <c r="B1662" i="24"/>
  <c r="W1662" i="24" s="1"/>
  <c r="B1633" i="24"/>
  <c r="W1633" i="24" s="1"/>
  <c r="B1922" i="24"/>
  <c r="W1922" i="24" s="1"/>
  <c r="B1729" i="24"/>
  <c r="W1729" i="24" s="1"/>
  <c r="B1776" i="24"/>
  <c r="W1776" i="24" s="1"/>
  <c r="B1748" i="24"/>
  <c r="W1748" i="24" s="1"/>
  <c r="B1731" i="24"/>
  <c r="W1731" i="24" s="1"/>
  <c r="B1778" i="24"/>
  <c r="W1778" i="24" s="1"/>
  <c r="B1826" i="24"/>
  <c r="W1826" i="24" s="1"/>
  <c r="B1644" i="24"/>
  <c r="W1644" i="24" s="1"/>
  <c r="B1627" i="24"/>
  <c r="W1627" i="24" s="1"/>
  <c r="B1675" i="24"/>
  <c r="W1675" i="24" s="1"/>
  <c r="B1938" i="24"/>
  <c r="W1938" i="24" s="1"/>
  <c r="B1706" i="24"/>
  <c r="W1706" i="24" s="1"/>
  <c r="B1677" i="24"/>
  <c r="W1677" i="24" s="1"/>
  <c r="B1693" i="24"/>
  <c r="W1693" i="24" s="1"/>
  <c r="B1684" i="24"/>
  <c r="W1684" i="24" s="1"/>
  <c r="B1732" i="24"/>
  <c r="W1732" i="24" s="1"/>
  <c r="B1836" i="24"/>
  <c r="W1836" i="24" s="1"/>
  <c r="B1674" i="24"/>
  <c r="W1674" i="24" s="1"/>
  <c r="B1645" i="24"/>
  <c r="W1645" i="24" s="1"/>
  <c r="B1665" i="24"/>
  <c r="W1665" i="24" s="1"/>
  <c r="B1881" i="24"/>
  <c r="W1881" i="24" s="1"/>
  <c r="B1929" i="24"/>
  <c r="W1929" i="24" s="1"/>
  <c r="B1695" i="24"/>
  <c r="W1695" i="24" s="1"/>
  <c r="B1743" i="24"/>
  <c r="W1743" i="24" s="1"/>
  <c r="B1813" i="24"/>
  <c r="W1813" i="24" s="1"/>
  <c r="B1643" i="24"/>
  <c r="W1643" i="24" s="1"/>
  <c r="B1856" i="24"/>
  <c r="W1856" i="24" s="1"/>
  <c r="B1874" i="24"/>
  <c r="W1874" i="24" s="1"/>
  <c r="B1834" i="24"/>
  <c r="W1834" i="24" s="1"/>
  <c r="B1967" i="24"/>
  <c r="W1967" i="24" s="1"/>
  <c r="B1700" i="24"/>
  <c r="W1700" i="24" s="1"/>
  <c r="B1985" i="24"/>
  <c r="W1985" i="24" s="1"/>
  <c r="B1945" i="24"/>
  <c r="W1945" i="24" s="1"/>
  <c r="B1992" i="24"/>
  <c r="W1992" i="24" s="1"/>
  <c r="B1750" i="24"/>
  <c r="W1750" i="24" s="1"/>
  <c r="B1873" i="24"/>
  <c r="W1873" i="24" s="1"/>
  <c r="B1845" i="24"/>
  <c r="W1845" i="24" s="1"/>
  <c r="B1892" i="24"/>
  <c r="W1892" i="24" s="1"/>
  <c r="B1658" i="24"/>
  <c r="W1658" i="24" s="1"/>
  <c r="B1944" i="24"/>
  <c r="W1944" i="24" s="1"/>
  <c r="B1906" i="24"/>
  <c r="W1906" i="24" s="1"/>
  <c r="B1933" i="24"/>
  <c r="W1933" i="24" s="1"/>
  <c r="B1889" i="24"/>
  <c r="W1889" i="24" s="1"/>
  <c r="B1936" i="24"/>
  <c r="W1936" i="24" s="1"/>
  <c r="B1867" i="24"/>
  <c r="W1867" i="24" s="1"/>
  <c r="B1886" i="24"/>
  <c r="W1886" i="24" s="1"/>
  <c r="B1817" i="24"/>
  <c r="W1817" i="24" s="1"/>
  <c r="B1647" i="24"/>
  <c r="W1647" i="24" s="1"/>
  <c r="B1912" i="24"/>
  <c r="W1912" i="24" s="1"/>
  <c r="B1957" i="24"/>
  <c r="W1957" i="24" s="1"/>
  <c r="B1781" i="24"/>
  <c r="W1781" i="24" s="1"/>
  <c r="B1860" i="24"/>
  <c r="W1860" i="24" s="1"/>
  <c r="B1827" i="24"/>
  <c r="W1827" i="24" s="1"/>
  <c r="B1652" i="24"/>
  <c r="W1652" i="24" s="1"/>
  <c r="B1939" i="24"/>
  <c r="W1939" i="24" s="1"/>
  <c r="B1654" i="24"/>
  <c r="W1654" i="24" s="1"/>
  <c r="B1702" i="24"/>
  <c r="W1702" i="24" s="1"/>
  <c r="B1976" i="24"/>
  <c r="W1976" i="24" s="1"/>
  <c r="B1797" i="24"/>
  <c r="W1797" i="24" s="1"/>
  <c r="B1852" i="24"/>
  <c r="W1852" i="24" s="1"/>
  <c r="B1899" i="24"/>
  <c r="W1899" i="24" s="1"/>
  <c r="B1629" i="24"/>
  <c r="W1629" i="24" s="1"/>
  <c r="B1846" i="24"/>
  <c r="W1846" i="24" s="1"/>
  <c r="B1825" i="24"/>
  <c r="W1825" i="24" s="1"/>
  <c r="B1655" i="24"/>
  <c r="W1655" i="24" s="1"/>
  <c r="B1760" i="24"/>
  <c r="W1760" i="24" s="1"/>
  <c r="B1839" i="24"/>
  <c r="W1839" i="24" s="1"/>
  <c r="B1987" i="24"/>
  <c r="W1987" i="24" s="1"/>
  <c r="B1741" i="24"/>
  <c r="W1741" i="24" s="1"/>
  <c r="B1864" i="24"/>
  <c r="W1864" i="24" s="1"/>
  <c r="B1995" i="24"/>
  <c r="W1995" i="24" s="1"/>
  <c r="X1995" i="24" s="1"/>
  <c r="AD1995" i="24" s="1"/>
  <c r="AF1995" i="24" s="1"/>
  <c r="B1737" i="24"/>
  <c r="W1737" i="24" s="1"/>
  <c r="B1784" i="24"/>
  <c r="W1784" i="24" s="1"/>
  <c r="B1768" i="24"/>
  <c r="W1768" i="24" s="1"/>
  <c r="B1739" i="24"/>
  <c r="W1739" i="24" s="1"/>
  <c r="B1786" i="24"/>
  <c r="W1786" i="24" s="1"/>
  <c r="B1893" i="24"/>
  <c r="W1893" i="24" s="1"/>
  <c r="B1659" i="24"/>
  <c r="W1659" i="24" s="1"/>
  <c r="B1871" i="24"/>
  <c r="W1871" i="24" s="1"/>
  <c r="B1919" i="24"/>
  <c r="W1919" i="24" s="1"/>
  <c r="B1697" i="24"/>
  <c r="W1697" i="24" s="1"/>
  <c r="B1745" i="24"/>
  <c r="W1745" i="24" s="1"/>
  <c r="B1804" i="24"/>
  <c r="W1804" i="24" s="1"/>
  <c r="B1811" i="24"/>
  <c r="W1811" i="24" s="1"/>
  <c r="B1870" i="24"/>
  <c r="W1870" i="24" s="1"/>
  <c r="B1920" i="24"/>
  <c r="W1920" i="24" s="1"/>
  <c r="B1872" i="24"/>
  <c r="W1872" i="24" s="1"/>
  <c r="B1997" i="24"/>
  <c r="W1997" i="24" s="1"/>
  <c r="B1751" i="24"/>
  <c r="W1751" i="24" s="1"/>
  <c r="B1798" i="24"/>
  <c r="W1798" i="24" s="1"/>
  <c r="B1709" i="24"/>
  <c r="W1709" i="24" s="1"/>
  <c r="B1979" i="24"/>
  <c r="W1979" i="24" s="1"/>
  <c r="B1883" i="24"/>
  <c r="W1883" i="24" s="1"/>
  <c r="B1941" i="24"/>
  <c r="W1941" i="24" s="1"/>
  <c r="B1975" i="24"/>
  <c r="W1975" i="24" s="1"/>
  <c r="X1975" i="24" s="1"/>
  <c r="AD1975" i="24" s="1"/>
  <c r="AF1975" i="24" s="1"/>
  <c r="B1744" i="24"/>
  <c r="W1744" i="24" s="1"/>
  <c r="B1707" i="24"/>
  <c r="W1707" i="24" s="1"/>
  <c r="B1977" i="24"/>
  <c r="W1977" i="24" s="1"/>
  <c r="B1734" i="24"/>
  <c r="W1734" i="24" s="1"/>
  <c r="B1850" i="24"/>
  <c r="W1850" i="24" s="1"/>
  <c r="B1829" i="24"/>
  <c r="W1829" i="24" s="1"/>
  <c r="B1876" i="24"/>
  <c r="W1876" i="24" s="1"/>
  <c r="B1764" i="24"/>
  <c r="W1764" i="24" s="1"/>
  <c r="B1795" i="24"/>
  <c r="W1795" i="24" s="1"/>
  <c r="B1803" i="24"/>
  <c r="W1803" i="24" s="1"/>
  <c r="B1696" i="24"/>
  <c r="W1696" i="24" s="1"/>
  <c r="B1946" i="24"/>
  <c r="W1946" i="24" s="1"/>
  <c r="B1924" i="24"/>
  <c r="W1924" i="24" s="1"/>
  <c r="B1686" i="24"/>
  <c r="W1686" i="24" s="1"/>
  <c r="B1927" i="24"/>
  <c r="W1927" i="24" s="1"/>
  <c r="B1753" i="24"/>
  <c r="W1753" i="24" s="1"/>
  <c r="B1800" i="24"/>
  <c r="W1800" i="24" s="1"/>
  <c r="B2001" i="24"/>
  <c r="W2001" i="24" s="1"/>
  <c r="B1755" i="24"/>
  <c r="W1755" i="24" s="1"/>
  <c r="B1843" i="24"/>
  <c r="W1843" i="24" s="1"/>
  <c r="B1918" i="24"/>
  <c r="W1918" i="24" s="1"/>
  <c r="B1668" i="24"/>
  <c r="W1668" i="24" s="1"/>
  <c r="B1716" i="24"/>
  <c r="W1716" i="24" s="1"/>
  <c r="B1791" i="24"/>
  <c r="W1791" i="24" s="1"/>
  <c r="B1961" i="24"/>
  <c r="W1961" i="24" s="1"/>
  <c r="B1730" i="24"/>
  <c r="W1730" i="24" s="1"/>
  <c r="B1844" i="24"/>
  <c r="W1844" i="24" s="1"/>
  <c r="B1986" i="24"/>
  <c r="W1986" i="24" s="1"/>
  <c r="B1756" i="24"/>
  <c r="W1756" i="24" s="1"/>
  <c r="B1793" i="24"/>
  <c r="W1793" i="24" s="1"/>
  <c r="B1698" i="24"/>
  <c r="W1698" i="24" s="1"/>
  <c r="B1948" i="24"/>
  <c r="W1948" i="24" s="1"/>
  <c r="B1937" i="24"/>
  <c r="W1937" i="24" s="1"/>
  <c r="B1905" i="24"/>
  <c r="W1905" i="24" s="1"/>
  <c r="B1712" i="24"/>
  <c r="W1712" i="24" s="1"/>
  <c r="B1984" i="24"/>
  <c r="W1984" i="24" s="1"/>
  <c r="B1993" i="24"/>
  <c r="W1993" i="24" s="1"/>
  <c r="B1901" i="24"/>
  <c r="W1901" i="24" s="1"/>
  <c r="B1667" i="24"/>
  <c r="W1667" i="24" s="1"/>
  <c r="B1630" i="24"/>
  <c r="W1630" i="24" s="1"/>
  <c r="B1879" i="24"/>
  <c r="W1879" i="24" s="1"/>
  <c r="B1657" i="24"/>
  <c r="W1657" i="24" s="1"/>
  <c r="B1773" i="24"/>
  <c r="W1773" i="24" s="1"/>
  <c r="B1990" i="24"/>
  <c r="W1990" i="24" s="1"/>
  <c r="B1724" i="24"/>
  <c r="W1724" i="24" s="1"/>
  <c r="B1699" i="24"/>
  <c r="W1699" i="24" s="1"/>
  <c r="B1969" i="24"/>
  <c r="W1969" i="24" s="1"/>
  <c r="B1636" i="24"/>
  <c r="W1636" i="24" s="1"/>
  <c r="B1897" i="24"/>
  <c r="W1897" i="24" s="1"/>
  <c r="B1954" i="24"/>
  <c r="W1954" i="24" s="1"/>
  <c r="B1982" i="24"/>
  <c r="W1982" i="24" s="1"/>
  <c r="B1682" i="24"/>
  <c r="W1682" i="24" s="1"/>
  <c r="B1968" i="24"/>
  <c r="W1968" i="24" s="1"/>
  <c r="B1940" i="24"/>
  <c r="W1940" i="24" s="1"/>
  <c r="B1708" i="24"/>
  <c r="W1708" i="24" s="1"/>
  <c r="B1958" i="24"/>
  <c r="W1958" i="24" s="1"/>
  <c r="B2007" i="24"/>
  <c r="W2007" i="24" s="1"/>
  <c r="B1891" i="24"/>
  <c r="W1891" i="24" s="1"/>
  <c r="B1669" i="24"/>
  <c r="W1669" i="24" s="1"/>
  <c r="B1719" i="24"/>
  <c r="W1719" i="24" s="1"/>
  <c r="B1623" i="24"/>
  <c r="W1623" i="24" s="1"/>
  <c r="B1950" i="24"/>
  <c r="W1950" i="24" s="1"/>
  <c r="B1632" i="24"/>
  <c r="W1632" i="24" s="1"/>
  <c r="B1931" i="24"/>
  <c r="W1931" i="24" s="1"/>
  <c r="B1715" i="24"/>
  <c r="W1715" i="24" s="1"/>
  <c r="B1837" i="24"/>
  <c r="W1837" i="24" s="1"/>
  <c r="B1884" i="24"/>
  <c r="W1884" i="24" s="1"/>
  <c r="B1705" i="24"/>
  <c r="W1705" i="24" s="1"/>
  <c r="B1851" i="24"/>
  <c r="W1851" i="24" s="1"/>
  <c r="B1898" i="24"/>
  <c r="W1898" i="24" s="1"/>
  <c r="B1848" i="24"/>
  <c r="W1848" i="24" s="1"/>
  <c r="B1676" i="24"/>
  <c r="W1676" i="24" s="1"/>
  <c r="B1962" i="24"/>
  <c r="W1962" i="24" s="1"/>
  <c r="B1916" i="24"/>
  <c r="W1916" i="24" s="1"/>
  <c r="B1678" i="24"/>
  <c r="W1678" i="24" s="1"/>
  <c r="B1802" i="24"/>
  <c r="W1802" i="24" s="1"/>
  <c r="B1842" i="24"/>
  <c r="W1842" i="24" s="1"/>
  <c r="B1821" i="24"/>
  <c r="W1821" i="24" s="1"/>
  <c r="B1651" i="24"/>
  <c r="W1651" i="24" s="1"/>
  <c r="B1703" i="24"/>
  <c r="W1703" i="24" s="1"/>
  <c r="B1923" i="24"/>
  <c r="W1923" i="24" s="1"/>
  <c r="B1653" i="24"/>
  <c r="W1653" i="24" s="1"/>
  <c r="B1660" i="24"/>
  <c r="W1660" i="24" s="1"/>
  <c r="B1913" i="24"/>
  <c r="W1913" i="24" s="1"/>
  <c r="B1679" i="24"/>
  <c r="W1679" i="24" s="1"/>
  <c r="B1862" i="24"/>
  <c r="W1862" i="24" s="1"/>
  <c r="B1910" i="24"/>
  <c r="W1910" i="24" s="1"/>
  <c r="B1935" i="24"/>
  <c r="W1935" i="24" s="1"/>
  <c r="B1841" i="24"/>
  <c r="W1841" i="24" s="1"/>
  <c r="B1671" i="24"/>
  <c r="W1671" i="24" s="1"/>
  <c r="B1861" i="24"/>
  <c r="W1861" i="24" s="1"/>
  <c r="B1718" i="24"/>
  <c r="W1718" i="24" s="1"/>
  <c r="B1670" i="24"/>
  <c r="W1670" i="24" s="1"/>
  <c r="B1638" i="24"/>
  <c r="W1638" i="24" s="1"/>
  <c r="T1769" i="24"/>
  <c r="B1752" i="24"/>
  <c r="W1752" i="24" s="1"/>
  <c r="B1704" i="24"/>
  <c r="W1704" i="24" s="1"/>
  <c r="B1733" i="24"/>
  <c r="W1733" i="24" s="1"/>
  <c r="S1770" i="24"/>
  <c r="B1855" i="24"/>
  <c r="W1855" i="24" s="1"/>
  <c r="B1666" i="24"/>
  <c r="W1666" i="24" s="1"/>
  <c r="S1664" i="24"/>
  <c r="B1631" i="24"/>
  <c r="W1631" i="24" s="1"/>
  <c r="V1959" i="24"/>
  <c r="AC1959" i="24" s="1"/>
  <c r="B1895" i="24"/>
  <c r="W1895" i="24" s="1"/>
  <c r="B1566" i="24"/>
  <c r="V1897" i="24"/>
  <c r="AC1897" i="24" s="1"/>
  <c r="S1943" i="24"/>
  <c r="V1891" i="24"/>
  <c r="AC1891" i="24" s="1"/>
  <c r="U2010" i="24"/>
  <c r="AB2010" i="24" s="1"/>
  <c r="T2006" i="24"/>
  <c r="U1971" i="24"/>
  <c r="AB1971" i="24" s="1"/>
  <c r="S1958" i="24"/>
  <c r="V1557" i="24"/>
  <c r="AC1557" i="24" s="1"/>
  <c r="U1543" i="24"/>
  <c r="AB1543" i="24" s="1"/>
  <c r="V1556" i="24"/>
  <c r="AC1556" i="24" s="1"/>
  <c r="V1570" i="24"/>
  <c r="AC1570" i="24" s="1"/>
  <c r="V1573" i="24"/>
  <c r="AC1573" i="24" s="1"/>
  <c r="V1563" i="24"/>
  <c r="AC1563" i="24" s="1"/>
  <c r="V1564" i="24"/>
  <c r="AC1564" i="24" s="1"/>
  <c r="V1575" i="24"/>
  <c r="AC1575" i="24" s="1"/>
  <c r="V1576" i="24"/>
  <c r="AC1576" i="24" s="1"/>
  <c r="V1569" i="24"/>
  <c r="AC1569" i="24" s="1"/>
  <c r="V1574" i="24"/>
  <c r="AC1574" i="24" s="1"/>
  <c r="V1562" i="24"/>
  <c r="AC1562" i="24" s="1"/>
  <c r="V1560" i="24"/>
  <c r="AC1560" i="24" s="1"/>
  <c r="V1559" i="24"/>
  <c r="AC1559" i="24" s="1"/>
  <c r="V1561" i="24"/>
  <c r="AC1561" i="24" s="1"/>
  <c r="V1571" i="24"/>
  <c r="AC1571" i="24" s="1"/>
  <c r="V1566" i="24"/>
  <c r="AC1566" i="24" s="1"/>
  <c r="V1555" i="24"/>
  <c r="AC1555" i="24" s="1"/>
  <c r="V1558" i="24"/>
  <c r="AC1558" i="24" s="1"/>
  <c r="V1565" i="24"/>
  <c r="AC1565" i="24" s="1"/>
  <c r="V1568" i="24"/>
  <c r="AC1568" i="24" s="1"/>
  <c r="B2008" i="24"/>
  <c r="W2008" i="24" s="1"/>
  <c r="B1949" i="24"/>
  <c r="W1949" i="24" s="1"/>
  <c r="B1908" i="24"/>
  <c r="W1908" i="24" s="1"/>
  <c r="S1794" i="24"/>
  <c r="B1840" i="24"/>
  <c r="W1840" i="24" s="1"/>
  <c r="B1983" i="24"/>
  <c r="W1983" i="24" s="1"/>
  <c r="B1711" i="24"/>
  <c r="W1711" i="24" s="1"/>
  <c r="T1805" i="24"/>
  <c r="B1661" i="24"/>
  <c r="W1661" i="24" s="1"/>
  <c r="B1783" i="24"/>
  <c r="W1783" i="24" s="1"/>
  <c r="T1896" i="24"/>
  <c r="B1749" i="24"/>
  <c r="W1749" i="24" s="1"/>
  <c r="V1858" i="24"/>
  <c r="AC1858" i="24" s="1"/>
  <c r="B1999" i="24"/>
  <c r="W1999" i="24" s="1"/>
  <c r="B1789" i="24"/>
  <c r="W1789" i="24" s="1"/>
  <c r="U1920" i="24"/>
  <c r="AB1920" i="24" s="1"/>
  <c r="T1959" i="24"/>
  <c r="T1978" i="24"/>
  <c r="V1577" i="24"/>
  <c r="AC1577" i="24" s="1"/>
  <c r="T1549" i="24"/>
  <c r="U1542" i="24"/>
  <c r="AB1542" i="24" s="1"/>
  <c r="U1650" i="24"/>
  <c r="AB1650" i="24" s="1"/>
  <c r="V1722" i="24"/>
  <c r="AC1722" i="24" s="1"/>
  <c r="T2010" i="24"/>
  <c r="T1829" i="24"/>
  <c r="T1768" i="24"/>
  <c r="T1995" i="24"/>
  <c r="T1905" i="24"/>
  <c r="T1847" i="24"/>
  <c r="T1873" i="24"/>
  <c r="T1815" i="24"/>
  <c r="T1628" i="24"/>
  <c r="T1892" i="24"/>
  <c r="T1836" i="24"/>
  <c r="T1982" i="24"/>
  <c r="T1736" i="24"/>
  <c r="T1784" i="24"/>
  <c r="T1846" i="24"/>
  <c r="T1686" i="24"/>
  <c r="T1834" i="24"/>
  <c r="T1678" i="24"/>
  <c r="T1947" i="24"/>
  <c r="T1657" i="24"/>
  <c r="T1632" i="24"/>
  <c r="T1967" i="24"/>
  <c r="T1895" i="24"/>
  <c r="T1869" i="24"/>
  <c r="T1981" i="24"/>
  <c r="T1718" i="24"/>
  <c r="T1976" i="24"/>
  <c r="T1675" i="24"/>
  <c r="T1748" i="24"/>
  <c r="T1661" i="24"/>
  <c r="T1793" i="24"/>
  <c r="T1731" i="24"/>
  <c r="T1771" i="24"/>
  <c r="T1926" i="24"/>
  <c r="T1874" i="24"/>
  <c r="T1816" i="24"/>
  <c r="T1629" i="24"/>
  <c r="T1699" i="24"/>
  <c r="T1757" i="24"/>
  <c r="T1707" i="24"/>
  <c r="T1924" i="24"/>
  <c r="T1813" i="24"/>
  <c r="T1626" i="24"/>
  <c r="T1696" i="24"/>
  <c r="T1711" i="24"/>
  <c r="T1855" i="24"/>
  <c r="T1778" i="24"/>
  <c r="T1811" i="24"/>
  <c r="T1655" i="24"/>
  <c r="T1948" i="24"/>
  <c r="T1658" i="24"/>
  <c r="T1979" i="24"/>
  <c r="T1823" i="24"/>
  <c r="T1761" i="24"/>
  <c r="T1984" i="24"/>
  <c r="T1909" i="24"/>
  <c r="T1742" i="24"/>
  <c r="T1752" i="24"/>
  <c r="T2002" i="24"/>
  <c r="T1864" i="24"/>
  <c r="T1945" i="24"/>
  <c r="T1853" i="24"/>
  <c r="T1703" i="24"/>
  <c r="T1810" i="24"/>
  <c r="T1996" i="24"/>
  <c r="T1906" i="24"/>
  <c r="T1714" i="24"/>
  <c r="T1914" i="24"/>
  <c r="T1858" i="24"/>
  <c r="T1807" i="24"/>
  <c r="T1765" i="24"/>
  <c r="T1648" i="24"/>
  <c r="T1889" i="24"/>
  <c r="T1737" i="24"/>
  <c r="T1852" i="24"/>
  <c r="T1797" i="24"/>
  <c r="T1670" i="24"/>
  <c r="T1722" i="24"/>
  <c r="T1775" i="24"/>
  <c r="T1762" i="24"/>
  <c r="T1989" i="24"/>
  <c r="T1910" i="24"/>
  <c r="T1743" i="24"/>
  <c r="T1633" i="24"/>
  <c r="T1991" i="24"/>
  <c r="T1787" i="24"/>
  <c r="T1683" i="24"/>
  <c r="T2003" i="24"/>
  <c r="T1884" i="24"/>
  <c r="T1801" i="24"/>
  <c r="T1883" i="24"/>
  <c r="T1759" i="24"/>
  <c r="T1651" i="24"/>
  <c r="T1760" i="24"/>
  <c r="T1927" i="24"/>
  <c r="T1875" i="24"/>
  <c r="T1630" i="24"/>
  <c r="T1700" i="24"/>
  <c r="T1998" i="24"/>
  <c r="T1915" i="24"/>
  <c r="T1860" i="24"/>
  <c r="T1808" i="24"/>
  <c r="T1825" i="24"/>
  <c r="T1673" i="24"/>
  <c r="T1690" i="24"/>
  <c r="T1725" i="24"/>
  <c r="T1962" i="24"/>
  <c r="T1881" i="24"/>
  <c r="T1728" i="24"/>
  <c r="T1697" i="24"/>
  <c r="T1856" i="24"/>
  <c r="T2007" i="24"/>
  <c r="T1821" i="24"/>
  <c r="T1687" i="24"/>
  <c r="T1799" i="24"/>
  <c r="T1659" i="24"/>
  <c r="T1679" i="24"/>
  <c r="T1987" i="24"/>
  <c r="T1684" i="24"/>
  <c r="T1753" i="24"/>
  <c r="T1644" i="24"/>
  <c r="T1960" i="24"/>
  <c r="T1949" i="24"/>
  <c r="T1901" i="24"/>
  <c r="T1664" i="24"/>
  <c r="T1692" i="24"/>
  <c r="T1719" i="24"/>
  <c r="T1740" i="24"/>
  <c r="T1642" i="24"/>
  <c r="T1680" i="24"/>
  <c r="T1774" i="24"/>
  <c r="T1866" i="24"/>
  <c r="T1715" i="24"/>
  <c r="T1826" i="24"/>
  <c r="T1789" i="24"/>
  <c r="T1956" i="24"/>
  <c r="T1986" i="24"/>
  <c r="T1627" i="24"/>
  <c r="T1712" i="24"/>
  <c r="T1798" i="24"/>
  <c r="T1671" i="24"/>
  <c r="T1785" i="24"/>
  <c r="T1770" i="24"/>
  <c r="T1911" i="24"/>
  <c r="T1665" i="24"/>
  <c r="T1720" i="24"/>
  <c r="T1964" i="24"/>
  <c r="T1920" i="24"/>
  <c r="T1870" i="24"/>
  <c r="T1985" i="24"/>
  <c r="T1965" i="24"/>
  <c r="T1932" i="24"/>
  <c r="T1877" i="24"/>
  <c r="T1958" i="24"/>
  <c r="T1929" i="24"/>
  <c r="T1662" i="24"/>
  <c r="T1681" i="24"/>
  <c r="T1702" i="24"/>
  <c r="T1988" i="24"/>
  <c r="T1943" i="24"/>
  <c r="T1999" i="24"/>
  <c r="T1916" i="24"/>
  <c r="T1861" i="24"/>
  <c r="T1809" i="24"/>
  <c r="T1790" i="24"/>
  <c r="T1779" i="24"/>
  <c r="T1975" i="24"/>
  <c r="T1903" i="24"/>
  <c r="T1872" i="24"/>
  <c r="T1814" i="24"/>
  <c r="T2008" i="24"/>
  <c r="T1822" i="24"/>
  <c r="T1970" i="24"/>
  <c r="T1817" i="24"/>
  <c r="T1688" i="24"/>
  <c r="T1723" i="24"/>
  <c r="T1937" i="24"/>
  <c r="T1878" i="24"/>
  <c r="T1744" i="24"/>
  <c r="T1634" i="24"/>
  <c r="T1704" i="24"/>
  <c r="T1921" i="24"/>
  <c r="T1776" i="24"/>
  <c r="T1693" i="24"/>
  <c r="T1835" i="24"/>
  <c r="T1733" i="24"/>
  <c r="T1745" i="24"/>
  <c r="T1652" i="24"/>
  <c r="T1898" i="24"/>
  <c r="T1843" i="24"/>
  <c r="T1868" i="24"/>
  <c r="T1717" i="24"/>
  <c r="T1997" i="24"/>
  <c r="T1972" i="24"/>
  <c r="T1827" i="24"/>
  <c r="T1952" i="24"/>
  <c r="T1726" i="24"/>
  <c r="T1940" i="24"/>
  <c r="T1954" i="24"/>
  <c r="T1639" i="24"/>
  <c r="T1738" i="24"/>
  <c r="T1786" i="24"/>
  <c r="T1781" i="24"/>
  <c r="T1773" i="24"/>
  <c r="T1890" i="24"/>
  <c r="T1666" i="24"/>
  <c r="T1685" i="24"/>
  <c r="T1754" i="24"/>
  <c r="T1645" i="24"/>
  <c r="T1734" i="24"/>
  <c r="T1653" i="24"/>
  <c r="T1885" i="24"/>
  <c r="T1830" i="24"/>
  <c r="T1802" i="24"/>
  <c r="T1750" i="24"/>
  <c r="T2001" i="24"/>
  <c r="T1918" i="24"/>
  <c r="T1863" i="24"/>
  <c r="T1913" i="24"/>
  <c r="T1637" i="24"/>
  <c r="T1919" i="24"/>
  <c r="T1888" i="24"/>
  <c r="T1791" i="24"/>
  <c r="T1941" i="24"/>
  <c r="T1925" i="24"/>
  <c r="T1893" i="24"/>
  <c r="T1837" i="24"/>
  <c r="T1857" i="24"/>
  <c r="T1806" i="24"/>
  <c r="T1689" i="24"/>
  <c r="T1772" i="24"/>
  <c r="T1938" i="24"/>
  <c r="T1660" i="24"/>
  <c r="T1922" i="24"/>
  <c r="T1721" i="24"/>
  <c r="T1831" i="24"/>
  <c r="T1803" i="24"/>
  <c r="T1973" i="24"/>
  <c r="T1794" i="24"/>
  <c r="T1848" i="24"/>
  <c r="T1977" i="24"/>
  <c r="T1832" i="24"/>
  <c r="T1676" i="24"/>
  <c r="T1800" i="24"/>
  <c r="T1963" i="24"/>
  <c r="T1758" i="24"/>
  <c r="T1650" i="24"/>
  <c r="T1955" i="24"/>
  <c r="T1739" i="24"/>
  <c r="T1894" i="24"/>
  <c r="T1838" i="24"/>
  <c r="T1746" i="24"/>
  <c r="T1640" i="24"/>
  <c r="T1971" i="24"/>
  <c r="T1623" i="24"/>
  <c r="T1708" i="24"/>
  <c r="T1824" i="24"/>
  <c r="T1672" i="24"/>
  <c r="T1724" i="24"/>
  <c r="T1891" i="24"/>
  <c r="T1992" i="24"/>
  <c r="T1912" i="24"/>
  <c r="T1635" i="24"/>
  <c r="T1705" i="24"/>
  <c r="T1780" i="24"/>
  <c r="T1694" i="24"/>
  <c r="T1850" i="24"/>
  <c r="T1795" i="24"/>
  <c r="T1849" i="24"/>
  <c r="T1668" i="24"/>
  <c r="T2004" i="24"/>
  <c r="T1818" i="24"/>
  <c r="T1933" i="24"/>
  <c r="T1946" i="24"/>
  <c r="T1656" i="24"/>
  <c r="T1674" i="24"/>
  <c r="T1928" i="24"/>
  <c r="T2000" i="24"/>
  <c r="T1828" i="24"/>
  <c r="T1983" i="24"/>
  <c r="T1871" i="24"/>
  <c r="T1942" i="24"/>
  <c r="T1968" i="24"/>
  <c r="T1886" i="24"/>
  <c r="T1859" i="24"/>
  <c r="T1624" i="24"/>
  <c r="T1766" i="24"/>
  <c r="T1649" i="24"/>
  <c r="T1788" i="24"/>
  <c r="T1950" i="24"/>
  <c r="T1879" i="24"/>
  <c r="T1755" i="24"/>
  <c r="T1646" i="24"/>
  <c r="T1854" i="24"/>
  <c r="T1804" i="24"/>
  <c r="T1735" i="24"/>
  <c r="T1777" i="24"/>
  <c r="T1654" i="24"/>
  <c r="T2005" i="24"/>
  <c r="T1819" i="24"/>
  <c r="T1934" i="24"/>
  <c r="T1782" i="24"/>
  <c r="T1899" i="24"/>
  <c r="T1844" i="24"/>
  <c r="T1751" i="24"/>
  <c r="T1980" i="24"/>
  <c r="T1908" i="24"/>
  <c r="T1931" i="24"/>
  <c r="T1867" i="24"/>
  <c r="T1917" i="24"/>
  <c r="T1763" i="24"/>
  <c r="T1840" i="24"/>
  <c r="T1839" i="24"/>
  <c r="T1747" i="24"/>
  <c r="T1641" i="24"/>
  <c r="T1767" i="24"/>
  <c r="T1709" i="24"/>
  <c r="T1966" i="24"/>
  <c r="T1882" i="24"/>
  <c r="T1729" i="24"/>
  <c r="T1974" i="24"/>
  <c r="T1902" i="24"/>
  <c r="T1638" i="24"/>
  <c r="T1993" i="24"/>
  <c r="T1764" i="24"/>
  <c r="T1636" i="24"/>
  <c r="T1706" i="24"/>
  <c r="T1667" i="24"/>
  <c r="T1851" i="24"/>
  <c r="T1796" i="24"/>
  <c r="T1783" i="24"/>
  <c r="T1900" i="24"/>
  <c r="T1845" i="24"/>
  <c r="T1631" i="24"/>
  <c r="T2009" i="24"/>
  <c r="T1969" i="24"/>
  <c r="T1936" i="24"/>
  <c r="T1741" i="24"/>
  <c r="T1897" i="24"/>
  <c r="T1842" i="24"/>
  <c r="T1732" i="24"/>
  <c r="T1876" i="24"/>
  <c r="T1841" i="24"/>
  <c r="T1907" i="24"/>
  <c r="S1548" i="24"/>
  <c r="S1550" i="24"/>
  <c r="S1543" i="24"/>
  <c r="S1551" i="24"/>
  <c r="S1544" i="24"/>
  <c r="S1554" i="24"/>
  <c r="S1547" i="24"/>
  <c r="S1545" i="24"/>
  <c r="S1546" i="24"/>
  <c r="S1542" i="24"/>
  <c r="S1553" i="24"/>
  <c r="S1552" i="24"/>
  <c r="U1568" i="24"/>
  <c r="AB1568" i="24" s="1"/>
  <c r="U1573" i="24"/>
  <c r="AB1573" i="24" s="1"/>
  <c r="U1563" i="24"/>
  <c r="AB1563" i="24" s="1"/>
  <c r="U1556" i="24"/>
  <c r="AB1556" i="24" s="1"/>
  <c r="U1565" i="24"/>
  <c r="AB1565" i="24" s="1"/>
  <c r="U1558" i="24"/>
  <c r="AB1558" i="24" s="1"/>
  <c r="U1569" i="24"/>
  <c r="AB1569" i="24" s="1"/>
  <c r="U1557" i="24"/>
  <c r="AB1557" i="24" s="1"/>
  <c r="U1572" i="24"/>
  <c r="AB1572" i="24" s="1"/>
  <c r="U1564" i="24"/>
  <c r="AB1564" i="24" s="1"/>
  <c r="U1562" i="24"/>
  <c r="AB1562" i="24" s="1"/>
  <c r="U1576" i="24"/>
  <c r="AB1576" i="24" s="1"/>
  <c r="U1577" i="24"/>
  <c r="AB1577" i="24" s="1"/>
  <c r="U1567" i="24"/>
  <c r="AB1567" i="24" s="1"/>
  <c r="U1560" i="24"/>
  <c r="AB1560" i="24" s="1"/>
  <c r="U1570" i="24"/>
  <c r="AB1570" i="24" s="1"/>
  <c r="U1571" i="24"/>
  <c r="AB1571" i="24" s="1"/>
  <c r="U1555" i="24"/>
  <c r="AB1555" i="24" s="1"/>
  <c r="U1574" i="24"/>
  <c r="AB1574" i="24" s="1"/>
  <c r="B1782" i="24"/>
  <c r="W1782" i="24" s="1"/>
  <c r="B1735" i="24"/>
  <c r="W1735" i="24" s="1"/>
  <c r="U1830" i="24"/>
  <c r="AB1830" i="24" s="1"/>
  <c r="B1880" i="24"/>
  <c r="W1880" i="24" s="1"/>
  <c r="B1775" i="24"/>
  <c r="W1775" i="24" s="1"/>
  <c r="S1830" i="24"/>
  <c r="B1714" i="24"/>
  <c r="W1714" i="24" s="1"/>
  <c r="B1822" i="24"/>
  <c r="W1822" i="24" s="1"/>
  <c r="B1865" i="24"/>
  <c r="W1865" i="24" s="1"/>
  <c r="B1868" i="24"/>
  <c r="W1868" i="24" s="1"/>
  <c r="T1953" i="24"/>
  <c r="U1561" i="24"/>
  <c r="AB1561" i="24" s="1"/>
  <c r="S2007" i="24"/>
  <c r="U1999" i="24"/>
  <c r="AB1999" i="24" s="1"/>
  <c r="U1566" i="24"/>
  <c r="AB1566" i="24" s="1"/>
  <c r="S1721" i="24"/>
  <c r="T1710" i="24"/>
  <c r="T1647" i="24"/>
  <c r="V1785" i="24"/>
  <c r="AC1785" i="24" s="1"/>
  <c r="T1698" i="24"/>
  <c r="U1759" i="24"/>
  <c r="AB1759" i="24" s="1"/>
  <c r="U1694" i="24"/>
  <c r="AB1694" i="24" s="1"/>
  <c r="V1551" i="24"/>
  <c r="AC1551" i="24" s="1"/>
  <c r="V1548" i="24"/>
  <c r="AC1548" i="24" s="1"/>
  <c r="V1550" i="24"/>
  <c r="AC1550" i="24" s="1"/>
  <c r="V1549" i="24"/>
  <c r="AC1549" i="24" s="1"/>
  <c r="V1553" i="24"/>
  <c r="AC1553" i="24" s="1"/>
  <c r="V1547" i="24"/>
  <c r="AC1547" i="24" s="1"/>
  <c r="V1552" i="24"/>
  <c r="AC1552" i="24" s="1"/>
  <c r="V1542" i="24"/>
  <c r="AC1542" i="24" s="1"/>
  <c r="V1554" i="24"/>
  <c r="AC1554" i="24" s="1"/>
  <c r="V1545" i="24"/>
  <c r="AC1545" i="24" s="1"/>
  <c r="V1546" i="24"/>
  <c r="AC1546" i="24" s="1"/>
  <c r="V1544" i="24"/>
  <c r="AC1544" i="24" s="1"/>
  <c r="T1548" i="24"/>
  <c r="T1546" i="24"/>
  <c r="T1547" i="24"/>
  <c r="T1543" i="24"/>
  <c r="T1554" i="24"/>
  <c r="T1551" i="24"/>
  <c r="T1544" i="24"/>
  <c r="T1552" i="24"/>
  <c r="T1542" i="24"/>
  <c r="T1550" i="24"/>
  <c r="B1564" i="24"/>
  <c r="B1558" i="24"/>
  <c r="B1557" i="24"/>
  <c r="B1563" i="24"/>
  <c r="B1565" i="24"/>
  <c r="B1556" i="24"/>
  <c r="B1562" i="24"/>
  <c r="B1568" i="24"/>
  <c r="B1570" i="24"/>
  <c r="B1561" i="24"/>
  <c r="B1555" i="24"/>
  <c r="B1572" i="24"/>
  <c r="B1573" i="24"/>
  <c r="B1576" i="24"/>
  <c r="B1799" i="24"/>
  <c r="W1799" i="24" s="1"/>
  <c r="U1553" i="24"/>
  <c r="AB1553" i="24" s="1"/>
  <c r="S1852" i="24"/>
  <c r="B1663" i="24"/>
  <c r="W1663" i="24" s="1"/>
  <c r="B1833" i="24"/>
  <c r="W1833" i="24" s="1"/>
  <c r="B1689" i="24"/>
  <c r="W1689" i="24" s="1"/>
  <c r="U1861" i="24"/>
  <c r="AB1861" i="24" s="1"/>
  <c r="B2004" i="24"/>
  <c r="W2004" i="24" s="1"/>
  <c r="B1863" i="24"/>
  <c r="W1863" i="24" s="1"/>
  <c r="B1746" i="24"/>
  <c r="W1746" i="24" s="1"/>
  <c r="B1650" i="24"/>
  <c r="W1650" i="24" s="1"/>
  <c r="B1994" i="24"/>
  <c r="W1994" i="24" s="1"/>
  <c r="B1683" i="24"/>
  <c r="W1683" i="24" s="1"/>
  <c r="V1572" i="24"/>
  <c r="AC1572" i="24" s="1"/>
  <c r="S1555" i="24"/>
  <c r="V1543" i="24"/>
  <c r="AC1543" i="24" s="1"/>
  <c r="U1646" i="24"/>
  <c r="AB1646" i="24" s="1"/>
  <c r="V1720" i="24"/>
  <c r="AC1720" i="24" s="1"/>
  <c r="T1695" i="24"/>
  <c r="T1756" i="24"/>
  <c r="T1691" i="24"/>
  <c r="S1677" i="24"/>
  <c r="U1690" i="24"/>
  <c r="AB1690" i="24" s="1"/>
  <c r="U1625" i="24"/>
  <c r="AB1625" i="24" s="1"/>
  <c r="B1551" i="24"/>
  <c r="B1553" i="24"/>
  <c r="B1548" i="24"/>
  <c r="B1542" i="24"/>
  <c r="B1554" i="24"/>
  <c r="B1545" i="24"/>
  <c r="T1560" i="24"/>
  <c r="T1563" i="24"/>
  <c r="T1574" i="24"/>
  <c r="T1561" i="24"/>
  <c r="T1573" i="24"/>
  <c r="T1564" i="24"/>
  <c r="T1562" i="24"/>
  <c r="T1577" i="24"/>
  <c r="T1567" i="24"/>
  <c r="T1572" i="24"/>
  <c r="T1575" i="24"/>
  <c r="T1556" i="24"/>
  <c r="T1571" i="24"/>
  <c r="T1557" i="24"/>
  <c r="T1568" i="24"/>
  <c r="T1558" i="24"/>
  <c r="T1569" i="24"/>
  <c r="T1559" i="24"/>
  <c r="T1565" i="24"/>
  <c r="T1555" i="24"/>
  <c r="T1566" i="24"/>
  <c r="B1847" i="24"/>
  <c r="W1847" i="24" s="1"/>
  <c r="B1569" i="24"/>
  <c r="T1570" i="24"/>
  <c r="T1944" i="24"/>
  <c r="B1966" i="24"/>
  <c r="W1966" i="24" s="1"/>
  <c r="B1909" i="24"/>
  <c r="W1909" i="24" s="1"/>
  <c r="B2003" i="24"/>
  <c r="W2003" i="24" s="1"/>
  <c r="S1975" i="24"/>
  <c r="B1790" i="24"/>
  <c r="W1790" i="24" s="1"/>
  <c r="S1726" i="24"/>
  <c r="B1544" i="24"/>
  <c r="U1822" i="24"/>
  <c r="AB1822" i="24" s="1"/>
  <c r="B1780" i="24"/>
  <c r="W1780" i="24" s="1"/>
  <c r="B1917" i="24"/>
  <c r="W1917" i="24" s="1"/>
  <c r="S1651" i="24"/>
  <c r="U1775" i="24"/>
  <c r="AB1775" i="24" s="1"/>
  <c r="U1714" i="24"/>
  <c r="AB1714" i="24" s="1"/>
  <c r="U1752" i="24"/>
  <c r="AB1752" i="24" s="1"/>
  <c r="V1698" i="24"/>
  <c r="AC1698" i="24" s="1"/>
  <c r="T1625" i="24"/>
  <c r="U1687" i="24"/>
  <c r="AB1687" i="24" s="1"/>
  <c r="U1682" i="24"/>
  <c r="AB1682" i="24" s="1"/>
  <c r="U1670" i="24"/>
  <c r="AB1670" i="24" s="1"/>
  <c r="T1730" i="24"/>
  <c r="U1665" i="24"/>
  <c r="AB1665" i="24" s="1"/>
  <c r="B1934" i="24"/>
  <c r="W1934" i="24" s="1"/>
  <c r="B1887" i="24"/>
  <c r="W1887" i="24" s="1"/>
  <c r="S1575" i="24"/>
  <c r="B1547" i="24"/>
  <c r="B1728" i="24"/>
  <c r="W1728" i="24" s="1"/>
  <c r="B1680" i="24"/>
  <c r="W1680" i="24" s="1"/>
  <c r="B1766" i="24"/>
  <c r="W1766" i="24" s="1"/>
  <c r="B1762" i="24"/>
  <c r="W1762" i="24" s="1"/>
  <c r="B1560" i="24"/>
  <c r="V1896" i="24"/>
  <c r="AC1896" i="24" s="1"/>
  <c r="B1988" i="24"/>
  <c r="W1988" i="24" s="1"/>
  <c r="T1792" i="24"/>
  <c r="B1947" i="24"/>
  <c r="W1947" i="24" s="1"/>
  <c r="B1577" i="24"/>
  <c r="T1643" i="24"/>
  <c r="U1703" i="24"/>
  <c r="AB1703" i="24" s="1"/>
  <c r="S1686" i="24"/>
  <c r="V1690" i="24"/>
  <c r="AC1690" i="24" s="1"/>
  <c r="T1669" i="24"/>
  <c r="V1624" i="24"/>
  <c r="AC1624" i="24" s="1"/>
  <c r="S1727" i="24"/>
  <c r="V1734" i="24"/>
  <c r="AC1734" i="24" s="1"/>
  <c r="S1846" i="24"/>
  <c r="U1883" i="24"/>
  <c r="AB1883" i="24" s="1"/>
  <c r="T1990" i="24"/>
  <c r="B1694" i="24"/>
  <c r="W1694" i="24" s="1"/>
  <c r="B1646" i="24"/>
  <c r="W1646" i="24" s="1"/>
  <c r="S1549" i="24"/>
  <c r="B1830" i="24"/>
  <c r="W1830" i="24" s="1"/>
  <c r="B2006" i="24"/>
  <c r="W2006" i="24" s="1"/>
  <c r="B1959" i="24"/>
  <c r="W1959" i="24" s="1"/>
  <c r="U1559" i="24"/>
  <c r="AB1559" i="24" s="1"/>
  <c r="B1543" i="24"/>
  <c r="B1831" i="24"/>
  <c r="W1831" i="24" s="1"/>
  <c r="B1888" i="24"/>
  <c r="W1888" i="24" s="1"/>
  <c r="B1815" i="24"/>
  <c r="W1815" i="24" s="1"/>
  <c r="B1894" i="24"/>
  <c r="W1894" i="24" s="1"/>
  <c r="B1559" i="24"/>
  <c r="V1818" i="24"/>
  <c r="AC1818" i="24" s="1"/>
  <c r="T1749" i="24"/>
  <c r="T1682" i="24"/>
  <c r="T1677" i="24"/>
  <c r="U1730" i="24"/>
  <c r="AB1730" i="24" s="1"/>
  <c r="S1815" i="24"/>
  <c r="T1812" i="24"/>
  <c r="T1880" i="24"/>
  <c r="U1814" i="24"/>
  <c r="AB1814" i="24" s="1"/>
  <c r="T1904" i="24"/>
  <c r="S1951" i="24"/>
  <c r="S1804" i="24"/>
  <c r="B1624" i="24"/>
  <c r="W1624" i="24" s="1"/>
  <c r="B1973" i="24"/>
  <c r="W1973" i="24" s="1"/>
  <c r="B1571" i="24"/>
  <c r="S1704" i="24"/>
  <c r="B1980" i="24"/>
  <c r="W1980" i="24" s="1"/>
  <c r="B1816" i="24"/>
  <c r="W1816" i="24" s="1"/>
  <c r="B1757" i="24"/>
  <c r="W1757" i="24" s="1"/>
  <c r="T1576" i="24"/>
  <c r="B1838" i="24"/>
  <c r="W1838" i="24" s="1"/>
  <c r="B1907" i="24"/>
  <c r="W1907" i="24" s="1"/>
  <c r="B1788" i="24"/>
  <c r="W1788" i="24" s="1"/>
  <c r="B1575" i="24"/>
  <c r="B1794" i="24"/>
  <c r="W1794" i="24" s="1"/>
  <c r="T1545" i="24"/>
  <c r="B1810" i="24"/>
  <c r="W1810" i="24" s="1"/>
  <c r="V1687" i="24"/>
  <c r="AC1687" i="24" s="1"/>
  <c r="T1663" i="24"/>
  <c r="V1669" i="24"/>
  <c r="AC1669" i="24" s="1"/>
  <c r="S1810" i="24"/>
  <c r="U1880" i="24"/>
  <c r="AB1880" i="24" s="1"/>
  <c r="V1847" i="24"/>
  <c r="AC1847" i="24" s="1"/>
  <c r="S1867" i="24"/>
  <c r="S1931" i="24"/>
  <c r="V1970" i="24"/>
  <c r="AC1970" i="24" s="1"/>
  <c r="V1805" i="24"/>
  <c r="AC1805" i="24" s="1"/>
  <c r="U1710" i="24"/>
  <c r="AB1710" i="24" s="1"/>
  <c r="U1950" i="24"/>
  <c r="AB1950" i="24" s="1"/>
  <c r="U1671" i="24"/>
  <c r="AB1671" i="24" s="1"/>
  <c r="U1778" i="24"/>
  <c r="AB1778" i="24" s="1"/>
  <c r="U1637" i="24"/>
  <c r="AB1637" i="24" s="1"/>
  <c r="U1719" i="24"/>
  <c r="AB1719" i="24" s="1"/>
  <c r="U1935" i="24"/>
  <c r="AB1935" i="24" s="1"/>
  <c r="U1668" i="24"/>
  <c r="AB1668" i="24" s="1"/>
  <c r="U1723" i="24"/>
  <c r="AB1723" i="24" s="1"/>
  <c r="U1838" i="24"/>
  <c r="AB1838" i="24" s="1"/>
  <c r="U1918" i="24"/>
  <c r="AB1918" i="24" s="1"/>
  <c r="U1781" i="24"/>
  <c r="AB1781" i="24" s="1"/>
  <c r="U1642" i="24"/>
  <c r="AB1642" i="24" s="1"/>
  <c r="U1655" i="24"/>
  <c r="AB1655" i="24" s="1"/>
  <c r="U1948" i="24"/>
  <c r="AB1948" i="24" s="1"/>
  <c r="U1901" i="24"/>
  <c r="AB1901" i="24" s="1"/>
  <c r="U1876" i="24"/>
  <c r="AB1876" i="24" s="1"/>
  <c r="U1708" i="24"/>
  <c r="AB1708" i="24" s="1"/>
  <c r="U1979" i="24"/>
  <c r="AB1979" i="24" s="1"/>
  <c r="U1809" i="24"/>
  <c r="AB1809" i="24" s="1"/>
  <c r="U1699" i="24"/>
  <c r="AB1699" i="24" s="1"/>
  <c r="U1855" i="24"/>
  <c r="AB1855" i="24" s="1"/>
  <c r="U1772" i="24"/>
  <c r="AB1772" i="24" s="1"/>
  <c r="U1629" i="24"/>
  <c r="AB1629" i="24" s="1"/>
  <c r="U1960" i="24"/>
  <c r="AB1960" i="24" s="1"/>
  <c r="U1843" i="24"/>
  <c r="AB1843" i="24" s="1"/>
  <c r="U1889" i="24"/>
  <c r="AB1889" i="24" s="1"/>
  <c r="U1862" i="24"/>
  <c r="AB1862" i="24" s="1"/>
  <c r="U1806" i="24"/>
  <c r="AB1806" i="24" s="1"/>
  <c r="U1667" i="24"/>
  <c r="AB1667" i="24" s="1"/>
  <c r="U1696" i="24"/>
  <c r="AB1696" i="24" s="1"/>
  <c r="U1963" i="24"/>
  <c r="AB1963" i="24" s="1"/>
  <c r="U1673" i="24"/>
  <c r="AB1673" i="24" s="1"/>
  <c r="U1652" i="24"/>
  <c r="AB1652" i="24" s="1"/>
  <c r="U1740" i="24"/>
  <c r="AB1740" i="24" s="1"/>
  <c r="U1962" i="24"/>
  <c r="AB1962" i="24" s="1"/>
  <c r="U1952" i="24"/>
  <c r="AB1952" i="24" s="1"/>
  <c r="U1651" i="24"/>
  <c r="AB1651" i="24" s="1"/>
  <c r="U1991" i="24"/>
  <c r="AB1991" i="24" s="1"/>
  <c r="U1726" i="24"/>
  <c r="AB1726" i="24" s="1"/>
  <c r="U1942" i="24"/>
  <c r="AB1942" i="24" s="1"/>
  <c r="U1891" i="24"/>
  <c r="AB1891" i="24" s="1"/>
  <c r="U1941" i="24"/>
  <c r="AB1941" i="24" s="1"/>
  <c r="U1739" i="24"/>
  <c r="AB1739" i="24" s="1"/>
  <c r="U1751" i="24"/>
  <c r="AB1751" i="24" s="1"/>
  <c r="U1802" i="24"/>
  <c r="AB1802" i="24" s="1"/>
  <c r="U1662" i="24"/>
  <c r="AB1662" i="24" s="1"/>
  <c r="U1972" i="24"/>
  <c r="AB1972" i="24" s="1"/>
  <c r="U1900" i="24"/>
  <c r="AB1900" i="24" s="1"/>
  <c r="U2007" i="24"/>
  <c r="AB2007" i="24" s="1"/>
  <c r="U1888" i="24"/>
  <c r="AB1888" i="24" s="1"/>
  <c r="U1833" i="24"/>
  <c r="AB1833" i="24" s="1"/>
  <c r="U1805" i="24"/>
  <c r="AB1805" i="24" s="1"/>
  <c r="U1990" i="24"/>
  <c r="AB1990" i="24" s="1"/>
  <c r="U1748" i="24"/>
  <c r="AB1748" i="24" s="1"/>
  <c r="U1924" i="24"/>
  <c r="AB1924" i="24" s="1"/>
  <c r="U1866" i="24"/>
  <c r="AB1866" i="24" s="1"/>
  <c r="U1731" i="24"/>
  <c r="AB1731" i="24" s="1"/>
  <c r="U1632" i="24"/>
  <c r="AB1632" i="24" s="1"/>
  <c r="U1856" i="24"/>
  <c r="AB1856" i="24" s="1"/>
  <c r="U1773" i="24"/>
  <c r="AB1773" i="24" s="1"/>
  <c r="U1630" i="24"/>
  <c r="AB1630" i="24" s="1"/>
  <c r="U1715" i="24"/>
  <c r="AB1715" i="24" s="1"/>
  <c r="U1966" i="24"/>
  <c r="AB1966" i="24" s="1"/>
  <c r="U1797" i="24"/>
  <c r="AB1797" i="24" s="1"/>
  <c r="U1735" i="24"/>
  <c r="AB1735" i="24" s="1"/>
  <c r="U1919" i="24"/>
  <c r="AB1919" i="24" s="1"/>
  <c r="U1914" i="24"/>
  <c r="AB1914" i="24" s="1"/>
  <c r="U1638" i="24"/>
  <c r="AB1638" i="24" s="1"/>
  <c r="U1831" i="24"/>
  <c r="AB1831" i="24" s="1"/>
  <c r="U1770" i="24"/>
  <c r="AB1770" i="24" s="1"/>
  <c r="U1627" i="24"/>
  <c r="AB1627" i="24" s="1"/>
  <c r="U1712" i="24"/>
  <c r="AB1712" i="24" s="1"/>
  <c r="U1848" i="24"/>
  <c r="AB1848" i="24" s="1"/>
  <c r="U1672" i="24"/>
  <c r="AB1672" i="24" s="1"/>
  <c r="U1892" i="24"/>
  <c r="AB1892" i="24" s="1"/>
  <c r="U1994" i="24"/>
  <c r="AB1994" i="24" s="1"/>
  <c r="U1984" i="24"/>
  <c r="AB1984" i="24" s="1"/>
  <c r="U1828" i="24"/>
  <c r="AB1828" i="24" s="1"/>
  <c r="U1762" i="24"/>
  <c r="AB1762" i="24" s="1"/>
  <c r="U1688" i="24"/>
  <c r="AB1688" i="24" s="1"/>
  <c r="U1839" i="24"/>
  <c r="AB1839" i="24" s="1"/>
  <c r="U1643" i="24"/>
  <c r="AB1643" i="24" s="1"/>
  <c r="U1769" i="24"/>
  <c r="AB1769" i="24" s="1"/>
  <c r="U1851" i="24"/>
  <c r="AB1851" i="24" s="1"/>
  <c r="U1835" i="24"/>
  <c r="AB1835" i="24" s="1"/>
  <c r="U1810" i="24"/>
  <c r="AB1810" i="24" s="1"/>
  <c r="U1753" i="24"/>
  <c r="AB1753" i="24" s="1"/>
  <c r="U1647" i="24"/>
  <c r="AB1647" i="24" s="1"/>
  <c r="U1980" i="24"/>
  <c r="AB1980" i="24" s="1"/>
  <c r="U1824" i="24"/>
  <c r="AB1824" i="24" s="1"/>
  <c r="U1798" i="24"/>
  <c r="AB1798" i="24" s="1"/>
  <c r="U1736" i="24"/>
  <c r="AB1736" i="24" s="1"/>
  <c r="U1973" i="24"/>
  <c r="AB1973" i="24" s="1"/>
  <c r="U1967" i="24"/>
  <c r="AB1967" i="24" s="1"/>
  <c r="U1678" i="24"/>
  <c r="AB1678" i="24" s="1"/>
  <c r="U1964" i="24"/>
  <c r="AB1964" i="24" s="1"/>
  <c r="U1795" i="24"/>
  <c r="AB1795" i="24" s="1"/>
  <c r="U1733" i="24"/>
  <c r="AB1733" i="24" s="1"/>
  <c r="U1653" i="24"/>
  <c r="AB1653" i="24" s="1"/>
  <c r="U1695" i="24"/>
  <c r="AB1695" i="24" s="1"/>
  <c r="U1631" i="24"/>
  <c r="AB1631" i="24" s="1"/>
  <c r="U1711" i="24"/>
  <c r="AB1711" i="24" s="1"/>
  <c r="U1978" i="24"/>
  <c r="AB1978" i="24" s="1"/>
  <c r="U1817" i="24"/>
  <c r="AB1817" i="24" s="1"/>
  <c r="U1859" i="24"/>
  <c r="AB1859" i="24" s="1"/>
  <c r="U1792" i="24"/>
  <c r="AB1792" i="24" s="1"/>
  <c r="U1724" i="24"/>
  <c r="AB1724" i="24" s="1"/>
  <c r="U2008" i="24"/>
  <c r="AB2008" i="24" s="1"/>
  <c r="U1834" i="24"/>
  <c r="AB1834" i="24" s="1"/>
  <c r="U1749" i="24"/>
  <c r="AB1749" i="24" s="1"/>
  <c r="U1936" i="24"/>
  <c r="AB1936" i="24" s="1"/>
  <c r="U1881" i="24"/>
  <c r="AB1881" i="24" s="1"/>
  <c r="U1709" i="24"/>
  <c r="AB1709" i="24" s="1"/>
  <c r="U1949" i="24"/>
  <c r="AB1949" i="24" s="1"/>
  <c r="U1857" i="24"/>
  <c r="AB1857" i="24" s="1"/>
  <c r="U1774" i="24"/>
  <c r="AB1774" i="24" s="1"/>
  <c r="U1700" i="24"/>
  <c r="AB1700" i="24" s="1"/>
  <c r="U1992" i="24"/>
  <c r="AB1992" i="24" s="1"/>
  <c r="U1788" i="24"/>
  <c r="AB1788" i="24" s="1"/>
  <c r="U2000" i="24"/>
  <c r="AB2000" i="24" s="1"/>
  <c r="U1931" i="24"/>
  <c r="AB1931" i="24" s="1"/>
  <c r="U1765" i="24"/>
  <c r="AB1765" i="24" s="1"/>
  <c r="U1909" i="24"/>
  <c r="AB1909" i="24" s="1"/>
  <c r="U1794" i="24"/>
  <c r="AB1794" i="24" s="1"/>
  <c r="U1997" i="24"/>
  <c r="AB1997" i="24" s="1"/>
  <c r="U1893" i="24"/>
  <c r="AB1893" i="24" s="1"/>
  <c r="U1674" i="24"/>
  <c r="AB1674" i="24" s="1"/>
  <c r="U1691" i="24"/>
  <c r="AB1691" i="24" s="1"/>
  <c r="U1819" i="24"/>
  <c r="AB1819" i="24" s="1"/>
  <c r="U1636" i="24"/>
  <c r="AB1636" i="24" s="1"/>
  <c r="U1669" i="24"/>
  <c r="AB1669" i="24" s="1"/>
  <c r="U1853" i="24"/>
  <c r="AB1853" i="24" s="1"/>
  <c r="U1852" i="24"/>
  <c r="AB1852" i="24" s="1"/>
  <c r="U1847" i="24"/>
  <c r="AB1847" i="24" s="1"/>
  <c r="U1633" i="24"/>
  <c r="AB1633" i="24" s="1"/>
  <c r="U1656" i="24"/>
  <c r="AB1656" i="24" s="1"/>
  <c r="U1981" i="24"/>
  <c r="AB1981" i="24" s="1"/>
  <c r="U1825" i="24"/>
  <c r="AB1825" i="24" s="1"/>
  <c r="U1763" i="24"/>
  <c r="AB1763" i="24" s="1"/>
  <c r="U1737" i="24"/>
  <c r="AB1737" i="24" s="1"/>
  <c r="U1716" i="24"/>
  <c r="AB1716" i="24" s="1"/>
  <c r="U2001" i="24"/>
  <c r="AB2001" i="24" s="1"/>
  <c r="U1961" i="24"/>
  <c r="AB1961" i="24" s="1"/>
  <c r="U1932" i="24"/>
  <c r="AB1932" i="24" s="1"/>
  <c r="U1902" i="24"/>
  <c r="AB1902" i="24" s="1"/>
  <c r="U1968" i="24"/>
  <c r="AB1968" i="24" s="1"/>
  <c r="U1896" i="24"/>
  <c r="AB1896" i="24" s="1"/>
  <c r="U1844" i="24"/>
  <c r="AB1844" i="24" s="1"/>
  <c r="U1639" i="24"/>
  <c r="AB1639" i="24" s="1"/>
  <c r="U1937" i="24"/>
  <c r="AB1937" i="24" s="1"/>
  <c r="U1624" i="24"/>
  <c r="AB1624" i="24" s="1"/>
  <c r="U1705" i="24"/>
  <c r="AB1705" i="24" s="1"/>
  <c r="U1998" i="24"/>
  <c r="AB1998" i="24" s="1"/>
  <c r="U1877" i="24"/>
  <c r="AB1877" i="24" s="1"/>
  <c r="U1957" i="24"/>
  <c r="AB1957" i="24" s="1"/>
  <c r="U1820" i="24"/>
  <c r="AB1820" i="24" s="1"/>
  <c r="U1783" i="24"/>
  <c r="AB1783" i="24" s="1"/>
  <c r="U1757" i="24"/>
  <c r="AB1757" i="24" s="1"/>
  <c r="U1659" i="24"/>
  <c r="AB1659" i="24" s="1"/>
  <c r="U1925" i="24"/>
  <c r="AB1925" i="24" s="1"/>
  <c r="U1750" i="24"/>
  <c r="AB1750" i="24" s="1"/>
  <c r="U1882" i="24"/>
  <c r="AB1882" i="24" s="1"/>
  <c r="U1867" i="24"/>
  <c r="AB1867" i="24" s="1"/>
  <c r="U1812" i="24"/>
  <c r="AB1812" i="24" s="1"/>
  <c r="U1732" i="24"/>
  <c r="AB1732" i="24" s="1"/>
  <c r="U1754" i="24"/>
  <c r="AB1754" i="24" s="1"/>
  <c r="U1648" i="24"/>
  <c r="AB1648" i="24" s="1"/>
  <c r="U1993" i="24"/>
  <c r="AB1993" i="24" s="1"/>
  <c r="U1789" i="24"/>
  <c r="AB1789" i="24" s="1"/>
  <c r="U1969" i="24"/>
  <c r="AB1969" i="24" s="1"/>
  <c r="U1897" i="24"/>
  <c r="AB1897" i="24" s="1"/>
  <c r="U1871" i="24"/>
  <c r="AB1871" i="24" s="1"/>
  <c r="U1845" i="24"/>
  <c r="AB1845" i="24" s="1"/>
  <c r="U2003" i="24"/>
  <c r="AB2003" i="24" s="1"/>
  <c r="U1865" i="24"/>
  <c r="AB1865" i="24" s="1"/>
  <c r="U1915" i="24"/>
  <c r="AB1915" i="24" s="1"/>
  <c r="U1945" i="24"/>
  <c r="AB1945" i="24" s="1"/>
  <c r="U1929" i="24"/>
  <c r="AB1929" i="24" s="1"/>
  <c r="U1873" i="24"/>
  <c r="AB1873" i="24" s="1"/>
  <c r="U1742" i="24"/>
  <c r="AB1742" i="24" s="1"/>
  <c r="U1954" i="24"/>
  <c r="AB1954" i="24" s="1"/>
  <c r="U1842" i="24"/>
  <c r="AB1842" i="24" s="1"/>
  <c r="U1958" i="24"/>
  <c r="AB1958" i="24" s="1"/>
  <c r="U1675" i="24"/>
  <c r="AB1675" i="24" s="1"/>
  <c r="U1976" i="24"/>
  <c r="AB1976" i="24" s="1"/>
  <c r="U1904" i="24"/>
  <c r="AB1904" i="24" s="1"/>
  <c r="U1784" i="24"/>
  <c r="AB1784" i="24" s="1"/>
  <c r="U1870" i="24"/>
  <c r="AB1870" i="24" s="1"/>
  <c r="U1815" i="24"/>
  <c r="AB1815" i="24" s="1"/>
  <c r="U1683" i="24"/>
  <c r="AB1683" i="24" s="1"/>
  <c r="U1890" i="24"/>
  <c r="AB1890" i="24" s="1"/>
  <c r="U1840" i="24"/>
  <c r="AB1840" i="24" s="1"/>
  <c r="U1634" i="24"/>
  <c r="AB1634" i="24" s="1"/>
  <c r="U1649" i="24"/>
  <c r="AB1649" i="24" s="1"/>
  <c r="U1776" i="24"/>
  <c r="AB1776" i="24" s="1"/>
  <c r="U1680" i="24"/>
  <c r="AB1680" i="24" s="1"/>
  <c r="U1701" i="24"/>
  <c r="AB1701" i="24" s="1"/>
  <c r="U1760" i="24"/>
  <c r="AB1760" i="24" s="1"/>
  <c r="U2002" i="24"/>
  <c r="AB2002" i="24" s="1"/>
  <c r="U1955" i="24"/>
  <c r="AB1955" i="24" s="1"/>
  <c r="U1933" i="24"/>
  <c r="AB1933" i="24" s="1"/>
  <c r="U1903" i="24"/>
  <c r="AB1903" i="24" s="1"/>
  <c r="U1836" i="24"/>
  <c r="AB1836" i="24" s="1"/>
  <c r="U1916" i="24"/>
  <c r="AB1916" i="24" s="1"/>
  <c r="U1640" i="24"/>
  <c r="AB1640" i="24" s="1"/>
  <c r="U2004" i="24"/>
  <c r="AB2004" i="24" s="1"/>
  <c r="U1884" i="24"/>
  <c r="AB1884" i="24" s="1"/>
  <c r="U1679" i="24"/>
  <c r="AB1679" i="24" s="1"/>
  <c r="U1921" i="24"/>
  <c r="AB1921" i="24" s="1"/>
  <c r="U1728" i="24"/>
  <c r="AB1728" i="24" s="1"/>
  <c r="U1644" i="24"/>
  <c r="AB1644" i="24" s="1"/>
  <c r="U1811" i="24"/>
  <c r="AB1811" i="24" s="1"/>
  <c r="U1956" i="24"/>
  <c r="AB1956" i="24" s="1"/>
  <c r="U1906" i="24"/>
  <c r="AB1906" i="24" s="1"/>
  <c r="U1927" i="24"/>
  <c r="AB1927" i="24" s="1"/>
  <c r="U1821" i="24"/>
  <c r="AB1821" i="24" s="1"/>
  <c r="U1727" i="24"/>
  <c r="AB1727" i="24" s="1"/>
  <c r="U1816" i="24"/>
  <c r="AB1816" i="24" s="1"/>
  <c r="U1684" i="24"/>
  <c r="AB1684" i="24" s="1"/>
  <c r="U1779" i="24"/>
  <c r="AB1779" i="24" s="1"/>
  <c r="U1692" i="24"/>
  <c r="AB1692" i="24" s="1"/>
  <c r="U1720" i="24"/>
  <c r="AB1720" i="24" s="1"/>
  <c r="U1868" i="24"/>
  <c r="AB1868" i="24" s="1"/>
  <c r="U1813" i="24"/>
  <c r="AB1813" i="24" s="1"/>
  <c r="U1755" i="24"/>
  <c r="AB1755" i="24" s="1"/>
  <c r="U1657" i="24"/>
  <c r="AB1657" i="24" s="1"/>
  <c r="U1858" i="24"/>
  <c r="AB1858" i="24" s="1"/>
  <c r="U1800" i="24"/>
  <c r="AB1800" i="24" s="1"/>
  <c r="U1953" i="24"/>
  <c r="AB1953" i="24" s="1"/>
  <c r="U1717" i="24"/>
  <c r="AB1717" i="24" s="1"/>
  <c r="U1970" i="24"/>
  <c r="AB1970" i="24" s="1"/>
  <c r="U1898" i="24"/>
  <c r="AB1898" i="24" s="1"/>
  <c r="U1846" i="24"/>
  <c r="AB1846" i="24" s="1"/>
  <c r="U2005" i="24"/>
  <c r="AB2005" i="24" s="1"/>
  <c r="U1886" i="24"/>
  <c r="AB1886" i="24" s="1"/>
  <c r="U1885" i="24"/>
  <c r="AB1885" i="24" s="1"/>
  <c r="U1746" i="24"/>
  <c r="AB1746" i="24" s="1"/>
  <c r="U1766" i="24"/>
  <c r="AB1766" i="24" s="1"/>
  <c r="U1910" i="24"/>
  <c r="AB1910" i="24" s="1"/>
  <c r="U1706" i="24"/>
  <c r="AB1706" i="24" s="1"/>
  <c r="U1863" i="24"/>
  <c r="AB1863" i="24" s="1"/>
  <c r="U1807" i="24"/>
  <c r="AB1807" i="24" s="1"/>
  <c r="U1697" i="24"/>
  <c r="AB1697" i="24" s="1"/>
  <c r="U1829" i="24"/>
  <c r="AB1829" i="24" s="1"/>
  <c r="U1677" i="24"/>
  <c r="AB1677" i="24" s="1"/>
  <c r="U1894" i="24"/>
  <c r="AB1894" i="24" s="1"/>
  <c r="U1977" i="24"/>
  <c r="AB1977" i="24" s="1"/>
  <c r="U1905" i="24"/>
  <c r="AB1905" i="24" s="1"/>
  <c r="U1785" i="24"/>
  <c r="AB1785" i="24" s="1"/>
  <c r="U1780" i="24"/>
  <c r="AB1780" i="24" s="1"/>
  <c r="U1660" i="24"/>
  <c r="AB1660" i="24" s="1"/>
  <c r="U1803" i="24"/>
  <c r="AB1803" i="24" s="1"/>
  <c r="U1663" i="24"/>
  <c r="AB1663" i="24" s="1"/>
  <c r="U1799" i="24"/>
  <c r="AB1799" i="24" s="1"/>
  <c r="U1939" i="24"/>
  <c r="AB1939" i="24" s="1"/>
  <c r="U1635" i="24"/>
  <c r="AB1635" i="24" s="1"/>
  <c r="U1777" i="24"/>
  <c r="AB1777" i="24" s="1"/>
  <c r="U1681" i="24"/>
  <c r="AB1681" i="24" s="1"/>
  <c r="U1702" i="24"/>
  <c r="AB1702" i="24" s="1"/>
  <c r="U1982" i="24"/>
  <c r="AB1982" i="24" s="1"/>
  <c r="U1826" i="24"/>
  <c r="AB1826" i="24" s="1"/>
  <c r="U1738" i="24"/>
  <c r="AB1738" i="24" s="1"/>
  <c r="U1745" i="24"/>
  <c r="AB1745" i="24" s="1"/>
  <c r="U1837" i="24"/>
  <c r="AB1837" i="24" s="1"/>
  <c r="U1917" i="24"/>
  <c r="AB1917" i="24" s="1"/>
  <c r="U1974" i="24"/>
  <c r="AB1974" i="24" s="1"/>
  <c r="U1767" i="24"/>
  <c r="AB1767" i="24" s="1"/>
  <c r="U1911" i="24"/>
  <c r="AB1911" i="24" s="1"/>
  <c r="U1878" i="24"/>
  <c r="AB1878" i="24" s="1"/>
  <c r="U1854" i="24"/>
  <c r="AB1854" i="24" s="1"/>
  <c r="U1771" i="24"/>
  <c r="AB1771" i="24" s="1"/>
  <c r="U1940" i="24"/>
  <c r="AB1940" i="24" s="1"/>
  <c r="U1628" i="24"/>
  <c r="AB1628" i="24" s="1"/>
  <c r="U1713" i="24"/>
  <c r="AB1713" i="24" s="1"/>
  <c r="U1793" i="24"/>
  <c r="AB1793" i="24" s="1"/>
  <c r="U1988" i="24"/>
  <c r="AB1988" i="24" s="1"/>
  <c r="U1764" i="24"/>
  <c r="AB1764" i="24" s="1"/>
  <c r="U1908" i="24"/>
  <c r="AB1908" i="24" s="1"/>
  <c r="U1907" i="24"/>
  <c r="AB1907" i="24" s="1"/>
  <c r="U1786" i="24"/>
  <c r="AB1786" i="24" s="1"/>
  <c r="U1926" i="24"/>
  <c r="AB1926" i="24" s="1"/>
  <c r="U1685" i="24"/>
  <c r="AB1685" i="24" s="1"/>
  <c r="U1804" i="24"/>
  <c r="AB1804" i="24" s="1"/>
  <c r="U1985" i="24"/>
  <c r="AB1985" i="24" s="1"/>
  <c r="U1664" i="24"/>
  <c r="AB1664" i="24" s="1"/>
  <c r="U1693" i="24"/>
  <c r="AB1693" i="24" s="1"/>
  <c r="U1721" i="24"/>
  <c r="AB1721" i="24" s="1"/>
  <c r="U1995" i="24"/>
  <c r="AB1995" i="24" s="1"/>
  <c r="U1758" i="24"/>
  <c r="AB1758" i="24" s="1"/>
  <c r="U2009" i="24"/>
  <c r="AB2009" i="24" s="1"/>
  <c r="U1823" i="24"/>
  <c r="AB1823" i="24" s="1"/>
  <c r="U1989" i="24"/>
  <c r="AB1989" i="24" s="1"/>
  <c r="U1818" i="24"/>
  <c r="AB1818" i="24" s="1"/>
  <c r="U1756" i="24"/>
  <c r="AB1756" i="24" s="1"/>
  <c r="U1801" i="24"/>
  <c r="AB1801" i="24" s="1"/>
  <c r="U1959" i="24"/>
  <c r="AB1959" i="24" s="1"/>
  <c r="U1661" i="24"/>
  <c r="AB1661" i="24" s="1"/>
  <c r="U1718" i="24"/>
  <c r="AB1718" i="24" s="1"/>
  <c r="U1790" i="24"/>
  <c r="AB1790" i="24" s="1"/>
  <c r="U1951" i="24"/>
  <c r="AB1951" i="24" s="1"/>
  <c r="U1686" i="24"/>
  <c r="AB1686" i="24" s="1"/>
  <c r="U2006" i="24"/>
  <c r="AB2006" i="24" s="1"/>
  <c r="U1887" i="24"/>
  <c r="AB1887" i="24" s="1"/>
  <c r="U1832" i="24"/>
  <c r="AB1832" i="24" s="1"/>
  <c r="U1641" i="24"/>
  <c r="AB1641" i="24" s="1"/>
  <c r="U1879" i="24"/>
  <c r="AB1879" i="24" s="1"/>
  <c r="U1707" i="24"/>
  <c r="AB1707" i="24" s="1"/>
  <c r="U1946" i="24"/>
  <c r="AB1946" i="24" s="1"/>
  <c r="U1930" i="24"/>
  <c r="AB1930" i="24" s="1"/>
  <c r="U1874" i="24"/>
  <c r="AB1874" i="24" s="1"/>
  <c r="U1743" i="24"/>
  <c r="AB1743" i="24" s="1"/>
  <c r="U1645" i="24"/>
  <c r="AB1645" i="24" s="1"/>
  <c r="U1965" i="24"/>
  <c r="AB1965" i="24" s="1"/>
  <c r="U1796" i="24"/>
  <c r="AB1796" i="24" s="1"/>
  <c r="U1734" i="24"/>
  <c r="AB1734" i="24" s="1"/>
  <c r="U1654" i="24"/>
  <c r="AB1654" i="24" s="1"/>
  <c r="U1623" i="24"/>
  <c r="AB1623" i="24" s="1"/>
  <c r="U1704" i="24"/>
  <c r="AB1704" i="24" s="1"/>
  <c r="U1849" i="24"/>
  <c r="AB1849" i="24" s="1"/>
  <c r="U1676" i="24"/>
  <c r="AB1676" i="24" s="1"/>
  <c r="U1895" i="24"/>
  <c r="AB1895" i="24" s="1"/>
  <c r="U1996" i="24"/>
  <c r="AB1996" i="24" s="1"/>
  <c r="U1689" i="24"/>
  <c r="AB1689" i="24" s="1"/>
  <c r="U1725" i="24"/>
  <c r="AB1725" i="24" s="1"/>
  <c r="U1787" i="24"/>
  <c r="AB1787" i="24" s="1"/>
  <c r="U1782" i="24"/>
  <c r="AB1782" i="24" s="1"/>
  <c r="U1658" i="24"/>
  <c r="AB1658" i="24" s="1"/>
  <c r="U1983" i="24"/>
  <c r="AB1983" i="24" s="1"/>
  <c r="U1827" i="24"/>
  <c r="AB1827" i="24" s="1"/>
  <c r="U1913" i="24"/>
  <c r="AB1913" i="24" s="1"/>
  <c r="U1934" i="24"/>
  <c r="AB1934" i="24" s="1"/>
  <c r="U1722" i="24"/>
  <c r="AB1722" i="24" s="1"/>
  <c r="U1975" i="24"/>
  <c r="AB1975" i="24" s="1"/>
  <c r="U1768" i="24"/>
  <c r="AB1768" i="24" s="1"/>
  <c r="U1912" i="24"/>
  <c r="AB1912" i="24" s="1"/>
  <c r="U1850" i="24"/>
  <c r="AB1850" i="24" s="1"/>
  <c r="U1747" i="24"/>
  <c r="AB1747" i="24" s="1"/>
  <c r="U1761" i="24"/>
  <c r="AB1761" i="24" s="1"/>
  <c r="U1947" i="24"/>
  <c r="AB1947" i="24" s="1"/>
  <c r="U1875" i="24"/>
  <c r="AB1875" i="24" s="1"/>
  <c r="U1744" i="24"/>
  <c r="AB1744" i="24" s="1"/>
  <c r="U1922" i="24"/>
  <c r="AB1922" i="24" s="1"/>
  <c r="U1729" i="24"/>
  <c r="AB1729" i="24" s="1"/>
  <c r="U1698" i="24"/>
  <c r="AB1698" i="24" s="1"/>
  <c r="U1944" i="24"/>
  <c r="AB1944" i="24" s="1"/>
  <c r="U1986" i="24"/>
  <c r="AB1986" i="24" s="1"/>
  <c r="U1928" i="24"/>
  <c r="AB1928" i="24" s="1"/>
  <c r="U1872" i="24"/>
  <c r="AB1872" i="24" s="1"/>
  <c r="U1741" i="24"/>
  <c r="AB1741" i="24" s="1"/>
  <c r="B1742" i="24"/>
  <c r="W1742" i="24" s="1"/>
  <c r="B1759" i="24"/>
  <c r="W1759" i="24" s="1"/>
  <c r="B1854" i="24"/>
  <c r="W1854" i="24" s="1"/>
  <c r="S1757" i="24"/>
  <c r="B1641" i="24"/>
  <c r="W1641" i="24" s="1"/>
  <c r="B1574" i="24"/>
  <c r="B1809" i="24"/>
  <c r="W1809" i="24" s="1"/>
  <c r="S1561" i="24"/>
  <c r="B1878" i="24"/>
  <c r="W1878" i="24" s="1"/>
  <c r="B1690" i="24"/>
  <c r="W1690" i="24" s="1"/>
  <c r="B1546" i="24"/>
  <c r="T1701" i="24"/>
  <c r="B1835" i="24"/>
  <c r="W1835" i="24" s="1"/>
  <c r="T1862" i="24"/>
  <c r="B1763" i="24"/>
  <c r="W1763" i="24" s="1"/>
  <c r="T1727" i="24"/>
  <c r="V1820" i="24"/>
  <c r="AC1820" i="24" s="1"/>
  <c r="S1773" i="24"/>
  <c r="V1844" i="24"/>
  <c r="AC1844" i="24" s="1"/>
  <c r="T1951" i="24"/>
  <c r="T1957" i="24"/>
  <c r="U1869" i="24"/>
  <c r="AB1869" i="24" s="1"/>
  <c r="S1944" i="24"/>
  <c r="S1792" i="24"/>
  <c r="U1860" i="24"/>
  <c r="AB1860" i="24" s="1"/>
  <c r="V1997" i="24"/>
  <c r="AC1997" i="24" s="1"/>
  <c r="V1769" i="24"/>
  <c r="AC1769" i="24" s="1"/>
  <c r="V1917" i="24"/>
  <c r="AC1917" i="24" s="1"/>
  <c r="V1783" i="24"/>
  <c r="AC1783" i="24" s="1"/>
  <c r="V1750" i="24"/>
  <c r="AC1750" i="24" s="1"/>
  <c r="V1640" i="24"/>
  <c r="AC1640" i="24" s="1"/>
  <c r="V1986" i="24"/>
  <c r="AC1986" i="24" s="1"/>
  <c r="V1926" i="24"/>
  <c r="AC1926" i="24" s="1"/>
  <c r="V1876" i="24"/>
  <c r="AC1876" i="24" s="1"/>
  <c r="V1645" i="24"/>
  <c r="AC1645" i="24" s="1"/>
  <c r="V1658" i="24"/>
  <c r="AC1658" i="24" s="1"/>
  <c r="V1983" i="24"/>
  <c r="AC1983" i="24" s="1"/>
  <c r="V1838" i="24"/>
  <c r="AC1838" i="24" s="1"/>
  <c r="V1964" i="24"/>
  <c r="AC1964" i="24" s="1"/>
  <c r="V1905" i="24"/>
  <c r="AC1905" i="24" s="1"/>
  <c r="V1708" i="24"/>
  <c r="AC1708" i="24" s="1"/>
  <c r="V2006" i="24"/>
  <c r="AC2006" i="24" s="1"/>
  <c r="V1923" i="24"/>
  <c r="AC1923" i="24" s="1"/>
  <c r="V1868" i="24"/>
  <c r="AC1868" i="24" s="1"/>
  <c r="V1816" i="24"/>
  <c r="AC1816" i="24" s="1"/>
  <c r="V1932" i="24"/>
  <c r="AC1932" i="24" s="1"/>
  <c r="V1627" i="24"/>
  <c r="AC1627" i="24" s="1"/>
  <c r="V1667" i="24"/>
  <c r="AC1667" i="24" s="1"/>
  <c r="V1892" i="24"/>
  <c r="AC1892" i="24" s="1"/>
  <c r="V1865" i="24"/>
  <c r="AC1865" i="24" s="1"/>
  <c r="V1670" i="24"/>
  <c r="AC1670" i="24" s="1"/>
  <c r="V1833" i="24"/>
  <c r="AC1833" i="24" s="1"/>
  <c r="V1941" i="24"/>
  <c r="AC1941" i="24" s="1"/>
  <c r="V1655" i="24"/>
  <c r="AC1655" i="24" s="1"/>
  <c r="V1744" i="24"/>
  <c r="AC1744" i="24" s="1"/>
  <c r="V1633" i="24"/>
  <c r="AC1633" i="24" s="1"/>
  <c r="V1724" i="24"/>
  <c r="AC1724" i="24" s="1"/>
  <c r="V1693" i="24"/>
  <c r="AC1693" i="24" s="1"/>
  <c r="V1884" i="24"/>
  <c r="AC1884" i="24" s="1"/>
  <c r="V1691" i="24"/>
  <c r="AC1691" i="24" s="1"/>
  <c r="V1927" i="24"/>
  <c r="AC1927" i="24" s="1"/>
  <c r="V1841" i="24"/>
  <c r="AC1841" i="24" s="1"/>
  <c r="V1952" i="24"/>
  <c r="AC1952" i="24" s="1"/>
  <c r="V1747" i="24"/>
  <c r="AC1747" i="24" s="1"/>
  <c r="V1874" i="24"/>
  <c r="AC1874" i="24" s="1"/>
  <c r="V1887" i="24"/>
  <c r="AC1887" i="24" s="1"/>
  <c r="V1682" i="24"/>
  <c r="AC1682" i="24" s="1"/>
  <c r="V1845" i="24"/>
  <c r="AC1845" i="24" s="1"/>
  <c r="V1745" i="24"/>
  <c r="AC1745" i="24" s="1"/>
  <c r="V1834" i="24"/>
  <c r="AC1834" i="24" s="1"/>
  <c r="V1863" i="24"/>
  <c r="AC1863" i="24" s="1"/>
  <c r="V1812" i="24"/>
  <c r="AC1812" i="24" s="1"/>
  <c r="V1756" i="24"/>
  <c r="AC1756" i="24" s="1"/>
  <c r="V1642" i="24"/>
  <c r="AC1642" i="24" s="1"/>
  <c r="V1751" i="24"/>
  <c r="AC1751" i="24" s="1"/>
  <c r="V1742" i="24"/>
  <c r="AC1742" i="24" s="1"/>
  <c r="V1648" i="24"/>
  <c r="AC1648" i="24" s="1"/>
  <c r="V1943" i="24"/>
  <c r="AC1943" i="24" s="1"/>
  <c r="V1942" i="24"/>
  <c r="AC1942" i="24" s="1"/>
  <c r="V1740" i="24"/>
  <c r="AC1740" i="24" s="1"/>
  <c r="V1752" i="24"/>
  <c r="AC1752" i="24" s="1"/>
  <c r="V1646" i="24"/>
  <c r="AC1646" i="24" s="1"/>
  <c r="V1808" i="24"/>
  <c r="AC1808" i="24" s="1"/>
  <c r="V1685" i="24"/>
  <c r="AC1685" i="24" s="1"/>
  <c r="V1702" i="24"/>
  <c r="AC1702" i="24" s="1"/>
  <c r="V1766" i="24"/>
  <c r="AC1766" i="24" s="1"/>
  <c r="V1914" i="24"/>
  <c r="AC1914" i="24" s="1"/>
  <c r="V1709" i="24"/>
  <c r="AC1709" i="24" s="1"/>
  <c r="V2007" i="24"/>
  <c r="AC2007" i="24" s="1"/>
  <c r="V1924" i="24"/>
  <c r="AC1924" i="24" s="1"/>
  <c r="V1869" i="24"/>
  <c r="AC1869" i="24" s="1"/>
  <c r="V1919" i="24"/>
  <c r="AC1919" i="24" s="1"/>
  <c r="V1784" i="24"/>
  <c r="AC1784" i="24" s="1"/>
  <c r="V1656" i="24"/>
  <c r="AC1656" i="24" s="1"/>
  <c r="V1976" i="24"/>
  <c r="AC1976" i="24" s="1"/>
  <c r="V1798" i="24"/>
  <c r="AC1798" i="24" s="1"/>
  <c r="V1913" i="24"/>
  <c r="AC1913" i="24" s="1"/>
  <c r="V1699" i="24"/>
  <c r="AC1699" i="24" s="1"/>
  <c r="V1721" i="24"/>
  <c r="AC1721" i="24" s="1"/>
  <c r="V1980" i="24"/>
  <c r="AC1980" i="24" s="1"/>
  <c r="V1893" i="24"/>
  <c r="AC1893" i="24" s="1"/>
  <c r="V1671" i="24"/>
  <c r="AC1671" i="24" s="1"/>
  <c r="V1967" i="24"/>
  <c r="AC1967" i="24" s="1"/>
  <c r="V2000" i="24"/>
  <c r="AC2000" i="24" s="1"/>
  <c r="V1937" i="24"/>
  <c r="AC1937" i="24" s="1"/>
  <c r="V1910" i="24"/>
  <c r="AC1910" i="24" s="1"/>
  <c r="V1852" i="24"/>
  <c r="AC1852" i="24" s="1"/>
  <c r="V1676" i="24"/>
  <c r="AC1676" i="24" s="1"/>
  <c r="V1704" i="24"/>
  <c r="AC1704" i="24" s="1"/>
  <c r="V1779" i="24"/>
  <c r="AC1779" i="24" s="1"/>
  <c r="V1830" i="24"/>
  <c r="AC1830" i="24" s="1"/>
  <c r="V1989" i="24"/>
  <c r="AC1989" i="24" s="1"/>
  <c r="V1974" i="24"/>
  <c r="AC1974" i="24" s="1"/>
  <c r="V1763" i="24"/>
  <c r="AC1763" i="24" s="1"/>
  <c r="V1778" i="24"/>
  <c r="AC1778" i="24" s="1"/>
  <c r="V1641" i="24"/>
  <c r="AC1641" i="24" s="1"/>
  <c r="V1928" i="24"/>
  <c r="AC1928" i="24" s="1"/>
  <c r="V1727" i="24"/>
  <c r="AC1727" i="24" s="1"/>
  <c r="V1809" i="24"/>
  <c r="AC1809" i="24" s="1"/>
  <c r="V1659" i="24"/>
  <c r="AC1659" i="24" s="1"/>
  <c r="V1855" i="24"/>
  <c r="AC1855" i="24" s="1"/>
  <c r="V1800" i="24"/>
  <c r="AC1800" i="24" s="1"/>
  <c r="V1772" i="24"/>
  <c r="AC1772" i="24" s="1"/>
  <c r="V1940" i="24"/>
  <c r="AC1940" i="24" s="1"/>
  <c r="V1712" i="24"/>
  <c r="AC1712" i="24" s="1"/>
  <c r="V1996" i="24"/>
  <c r="AC1996" i="24" s="1"/>
  <c r="V1939" i="24"/>
  <c r="AC1939" i="24" s="1"/>
  <c r="V1889" i="24"/>
  <c r="AC1889" i="24" s="1"/>
  <c r="V1806" i="24"/>
  <c r="AC1806" i="24" s="1"/>
  <c r="V1888" i="24"/>
  <c r="AC1888" i="24" s="1"/>
  <c r="V1683" i="24"/>
  <c r="AC1683" i="24" s="1"/>
  <c r="V1992" i="24"/>
  <c r="AC1992" i="24" s="1"/>
  <c r="V1958" i="24"/>
  <c r="AC1958" i="24" s="1"/>
  <c r="V1628" i="24"/>
  <c r="AC1628" i="24" s="1"/>
  <c r="V2001" i="24"/>
  <c r="AC2001" i="24" s="1"/>
  <c r="V1911" i="24"/>
  <c r="AC1911" i="24" s="1"/>
  <c r="V1677" i="24"/>
  <c r="AC1677" i="24" s="1"/>
  <c r="V1879" i="24"/>
  <c r="AC1879" i="24" s="1"/>
  <c r="V1821" i="24"/>
  <c r="AC1821" i="24" s="1"/>
  <c r="V1634" i="24"/>
  <c r="AC1634" i="24" s="1"/>
  <c r="V1794" i="24"/>
  <c r="AC1794" i="24" s="1"/>
  <c r="V1695" i="24"/>
  <c r="AC1695" i="24" s="1"/>
  <c r="V1717" i="24"/>
  <c r="AC1717" i="24" s="1"/>
  <c r="V1730" i="24"/>
  <c r="AC1730" i="24" s="1"/>
  <c r="V1998" i="24"/>
  <c r="AC1998" i="24" s="1"/>
  <c r="V1957" i="24"/>
  <c r="AC1957" i="24" s="1"/>
  <c r="V1908" i="24"/>
  <c r="AC1908" i="24" s="1"/>
  <c r="V1850" i="24"/>
  <c r="AC1850" i="24" s="1"/>
  <c r="V1674" i="24"/>
  <c r="AC1674" i="24" s="1"/>
  <c r="V1654" i="24"/>
  <c r="AC1654" i="24" s="1"/>
  <c r="V1791" i="24"/>
  <c r="AC1791" i="24" s="1"/>
  <c r="V1948" i="24"/>
  <c r="AC1948" i="24" s="1"/>
  <c r="V1741" i="24"/>
  <c r="AC1741" i="24" s="1"/>
  <c r="V1753" i="24"/>
  <c r="AC1753" i="24" s="1"/>
  <c r="V1647" i="24"/>
  <c r="AC1647" i="24" s="1"/>
  <c r="V1856" i="24"/>
  <c r="AC1856" i="24" s="1"/>
  <c r="V1801" i="24"/>
  <c r="AC1801" i="24" s="1"/>
  <c r="V1773" i="24"/>
  <c r="AC1773" i="24" s="1"/>
  <c r="V1947" i="24"/>
  <c r="AC1947" i="24" s="1"/>
  <c r="V2010" i="24"/>
  <c r="AC2010" i="24" s="1"/>
  <c r="V1824" i="24"/>
  <c r="AC1824" i="24" s="1"/>
  <c r="V1965" i="24"/>
  <c r="AC1965" i="24" s="1"/>
  <c r="V1936" i="24"/>
  <c r="AC1936" i="24" s="1"/>
  <c r="V1906" i="24"/>
  <c r="AC1906" i="24" s="1"/>
  <c r="V1644" i="24"/>
  <c r="AC1644" i="24" s="1"/>
  <c r="V1977" i="24"/>
  <c r="AC1977" i="24" s="1"/>
  <c r="V1770" i="24"/>
  <c r="AC1770" i="24" s="1"/>
  <c r="V1700" i="24"/>
  <c r="AC1700" i="24" s="1"/>
  <c r="V1710" i="24"/>
  <c r="AC1710" i="24" s="1"/>
  <c r="V1949" i="24"/>
  <c r="AC1949" i="24" s="1"/>
  <c r="V1933" i="24"/>
  <c r="AC1933" i="24" s="1"/>
  <c r="V1902" i="24"/>
  <c r="AC1902" i="24" s="1"/>
  <c r="V1877" i="24"/>
  <c r="AC1877" i="24" s="1"/>
  <c r="V1799" i="24"/>
  <c r="AC1799" i="24" s="1"/>
  <c r="V1990" i="24"/>
  <c r="AC1990" i="24" s="1"/>
  <c r="V1631" i="24"/>
  <c r="AC1631" i="24" s="1"/>
  <c r="V1880" i="24"/>
  <c r="AC1880" i="24" s="1"/>
  <c r="V1822" i="24"/>
  <c r="AC1822" i="24" s="1"/>
  <c r="V1635" i="24"/>
  <c r="AC1635" i="24" s="1"/>
  <c r="V1705" i="24"/>
  <c r="AC1705" i="24" s="1"/>
  <c r="V1757" i="24"/>
  <c r="AC1757" i="24" s="1"/>
  <c r="V1930" i="24"/>
  <c r="AC1930" i="24" s="1"/>
  <c r="V1819" i="24"/>
  <c r="AC1819" i="24" s="1"/>
  <c r="V1761" i="24"/>
  <c r="AC1761" i="24" s="1"/>
  <c r="V1728" i="24"/>
  <c r="AC1728" i="24" s="1"/>
  <c r="V1662" i="24"/>
  <c r="AC1662" i="24" s="1"/>
  <c r="V1723" i="24"/>
  <c r="AC1723" i="24" s="1"/>
  <c r="V1956" i="24"/>
  <c r="AC1956" i="24" s="1"/>
  <c r="V1860" i="24"/>
  <c r="AC1860" i="24" s="1"/>
  <c r="V1810" i="24"/>
  <c r="AC1810" i="24" s="1"/>
  <c r="V1660" i="24"/>
  <c r="AC1660" i="24" s="1"/>
  <c r="V1825" i="24"/>
  <c r="AC1825" i="24" s="1"/>
  <c r="V1637" i="24"/>
  <c r="AC1637" i="24" s="1"/>
  <c r="V1713" i="24"/>
  <c r="AC1713" i="24" s="1"/>
  <c r="V1788" i="24"/>
  <c r="AC1788" i="24" s="1"/>
  <c r="V1944" i="24"/>
  <c r="AC1944" i="24" s="1"/>
  <c r="V1651" i="24"/>
  <c r="AC1651" i="24" s="1"/>
  <c r="V1973" i="24"/>
  <c r="AC1973" i="24" s="1"/>
  <c r="V1901" i="24"/>
  <c r="AC1901" i="24" s="1"/>
  <c r="V1875" i="24"/>
  <c r="AC1875" i="24" s="1"/>
  <c r="V1657" i="24"/>
  <c r="AC1657" i="24" s="1"/>
  <c r="V1945" i="24"/>
  <c r="AC1945" i="24" s="1"/>
  <c r="V1629" i="24"/>
  <c r="AC1629" i="24" s="1"/>
  <c r="V1925" i="24"/>
  <c r="AC1925" i="24" s="1"/>
  <c r="V1846" i="24"/>
  <c r="AC1846" i="24" s="1"/>
  <c r="V2002" i="24"/>
  <c r="AC2002" i="24" s="1"/>
  <c r="V1988" i="24"/>
  <c r="AC1988" i="24" s="1"/>
  <c r="V1912" i="24"/>
  <c r="AC1912" i="24" s="1"/>
  <c r="V1678" i="24"/>
  <c r="AC1678" i="24" s="1"/>
  <c r="V1968" i="24"/>
  <c r="AC1968" i="24" s="1"/>
  <c r="V1991" i="24"/>
  <c r="AC1991" i="24" s="1"/>
  <c r="V1920" i="24"/>
  <c r="AC1920" i="24" s="1"/>
  <c r="V1864" i="24"/>
  <c r="AC1864" i="24" s="1"/>
  <c r="V1813" i="24"/>
  <c r="AC1813" i="24" s="1"/>
  <c r="V1760" i="24"/>
  <c r="AC1760" i="24" s="1"/>
  <c r="V1664" i="24"/>
  <c r="AC1664" i="24" s="1"/>
  <c r="V1895" i="24"/>
  <c r="AC1895" i="24" s="1"/>
  <c r="V1960" i="24"/>
  <c r="AC1960" i="24" s="1"/>
  <c r="V1743" i="24"/>
  <c r="AC1743" i="24" s="1"/>
  <c r="V1632" i="24"/>
  <c r="AC1632" i="24" s="1"/>
  <c r="V1649" i="24"/>
  <c r="AC1649" i="24" s="1"/>
  <c r="V1857" i="24"/>
  <c r="AC1857" i="24" s="1"/>
  <c r="V1802" i="24"/>
  <c r="AC1802" i="24" s="1"/>
  <c r="V1774" i="24"/>
  <c r="AC1774" i="24" s="1"/>
  <c r="V1692" i="24"/>
  <c r="AC1692" i="24" s="1"/>
  <c r="V1789" i="24"/>
  <c r="AC1789" i="24" s="1"/>
  <c r="V1735" i="24"/>
  <c r="AC1735" i="24" s="1"/>
  <c r="V2008" i="24"/>
  <c r="AC2008" i="24" s="1"/>
  <c r="V1870" i="24"/>
  <c r="AC1870" i="24" s="1"/>
  <c r="V1701" i="24"/>
  <c r="AC1701" i="24" s="1"/>
  <c r="V1934" i="24"/>
  <c r="AC1934" i="24" s="1"/>
  <c r="V1903" i="24"/>
  <c r="AC1903" i="24" s="1"/>
  <c r="V1848" i="24"/>
  <c r="AC1848" i="24" s="1"/>
  <c r="V1981" i="24"/>
  <c r="AC1981" i="24" s="1"/>
  <c r="V1894" i="24"/>
  <c r="AC1894" i="24" s="1"/>
  <c r="V1836" i="24"/>
  <c r="AC1836" i="24" s="1"/>
  <c r="V1811" i="24"/>
  <c r="AC1811" i="24" s="1"/>
  <c r="V1672" i="24"/>
  <c r="AC1672" i="24" s="1"/>
  <c r="V1962" i="24"/>
  <c r="AC1962" i="24" s="1"/>
  <c r="V1881" i="24"/>
  <c r="AC1881" i="24" s="1"/>
  <c r="V2004" i="24"/>
  <c r="AC2004" i="24" s="1"/>
  <c r="V1921" i="24"/>
  <c r="AC1921" i="24" s="1"/>
  <c r="V1866" i="24"/>
  <c r="AC1866" i="24" s="1"/>
  <c r="V1814" i="24"/>
  <c r="AC1814" i="24" s="1"/>
  <c r="V1831" i="24"/>
  <c r="AC1831" i="24" s="1"/>
  <c r="V1971" i="24"/>
  <c r="AC1971" i="24" s="1"/>
  <c r="V1696" i="24"/>
  <c r="AC1696" i="24" s="1"/>
  <c r="V1718" i="24"/>
  <c r="AC1718" i="24" s="1"/>
  <c r="V1731" i="24"/>
  <c r="AC1731" i="24" s="1"/>
  <c r="V1898" i="24"/>
  <c r="AC1898" i="24" s="1"/>
  <c r="V1842" i="24"/>
  <c r="AC1842" i="24" s="1"/>
  <c r="V1688" i="24"/>
  <c r="AC1688" i="24" s="1"/>
  <c r="V1862" i="24"/>
  <c r="AC1862" i="24" s="1"/>
  <c r="V1755" i="24"/>
  <c r="AC1755" i="24" s="1"/>
  <c r="V1885" i="24"/>
  <c r="AC1885" i="24" s="1"/>
  <c r="V1827" i="24"/>
  <c r="AC1827" i="24" s="1"/>
  <c r="V1826" i="24"/>
  <c r="AC1826" i="24" s="1"/>
  <c r="V1714" i="24"/>
  <c r="AC1714" i="24" s="1"/>
  <c r="V1955" i="24"/>
  <c r="AC1955" i="24" s="1"/>
  <c r="V1871" i="24"/>
  <c r="AC1871" i="24" s="1"/>
  <c r="V1736" i="24"/>
  <c r="AC1736" i="24" s="1"/>
  <c r="V1758" i="24"/>
  <c r="AC1758" i="24" s="1"/>
  <c r="V1652" i="24"/>
  <c r="AC1652" i="24" s="1"/>
  <c r="V1984" i="24"/>
  <c r="AC1984" i="24" s="1"/>
  <c r="V1839" i="24"/>
  <c r="AC1839" i="24" s="1"/>
  <c r="V2009" i="24"/>
  <c r="AC2009" i="24" s="1"/>
  <c r="V1835" i="24"/>
  <c r="AC1835" i="24" s="1"/>
  <c r="V1807" i="24"/>
  <c r="AC1807" i="24" s="1"/>
  <c r="V1684" i="24"/>
  <c r="AC1684" i="24" s="1"/>
  <c r="V1711" i="24"/>
  <c r="AC1711" i="24" s="1"/>
  <c r="V1733" i="24"/>
  <c r="AC1733" i="24" s="1"/>
  <c r="V1950" i="24"/>
  <c r="AC1950" i="24" s="1"/>
  <c r="V1775" i="24"/>
  <c r="AC1775" i="24" s="1"/>
  <c r="V1972" i="24"/>
  <c r="AC1972" i="24" s="1"/>
  <c r="V1872" i="24"/>
  <c r="AC1872" i="24" s="1"/>
  <c r="V1623" i="24"/>
  <c r="AC1623" i="24" s="1"/>
  <c r="V1636" i="24"/>
  <c r="AC1636" i="24" s="1"/>
  <c r="V1706" i="24"/>
  <c r="AC1706" i="24" s="1"/>
  <c r="V1680" i="24"/>
  <c r="AC1680" i="24" s="1"/>
  <c r="V1732" i="24"/>
  <c r="AC1732" i="24" s="1"/>
  <c r="V1795" i="24"/>
  <c r="AC1795" i="24" s="1"/>
  <c r="V1890" i="24"/>
  <c r="AC1890" i="24" s="1"/>
  <c r="V1668" i="24"/>
  <c r="AC1668" i="24" s="1"/>
  <c r="V1725" i="24"/>
  <c r="AC1725" i="24" s="1"/>
  <c r="V1804" i="24"/>
  <c r="AC1804" i="24" s="1"/>
  <c r="V1786" i="24"/>
  <c r="AC1786" i="24" s="1"/>
  <c r="V1929" i="24"/>
  <c r="AC1929" i="24" s="1"/>
  <c r="V1790" i="24"/>
  <c r="AC1790" i="24" s="1"/>
  <c r="V1840" i="24"/>
  <c r="AC1840" i="24" s="1"/>
  <c r="V1953" i="24"/>
  <c r="AC1953" i="24" s="1"/>
  <c r="V1638" i="24"/>
  <c r="AC1638" i="24" s="1"/>
  <c r="V1978" i="24"/>
  <c r="AC1978" i="24" s="1"/>
  <c r="V1854" i="24"/>
  <c r="AC1854" i="24" s="1"/>
  <c r="V1771" i="24"/>
  <c r="AC1771" i="24" s="1"/>
  <c r="V1853" i="24"/>
  <c r="AC1853" i="24" s="1"/>
  <c r="V1982" i="24"/>
  <c r="AC1982" i="24" s="1"/>
  <c r="V1837" i="24"/>
  <c r="AC1837" i="24" s="1"/>
  <c r="V1673" i="24"/>
  <c r="AC1673" i="24" s="1"/>
  <c r="V1782" i="24"/>
  <c r="AC1782" i="24" s="1"/>
  <c r="V1764" i="24"/>
  <c r="AC1764" i="24" s="1"/>
  <c r="V2005" i="24"/>
  <c r="AC2005" i="24" s="1"/>
  <c r="V1922" i="24"/>
  <c r="AC1922" i="24" s="1"/>
  <c r="V1867" i="24"/>
  <c r="AC1867" i="24" s="1"/>
  <c r="V1815" i="24"/>
  <c r="AC1815" i="24" s="1"/>
  <c r="V1796" i="24"/>
  <c r="AC1796" i="24" s="1"/>
  <c r="V1697" i="24"/>
  <c r="AC1697" i="24" s="1"/>
  <c r="V1719" i="24"/>
  <c r="AC1719" i="24" s="1"/>
  <c r="V1969" i="24"/>
  <c r="AC1969" i="24" s="1"/>
  <c r="V1938" i="24"/>
  <c r="AC1938" i="24" s="1"/>
  <c r="V1625" i="24"/>
  <c r="AC1625" i="24" s="1"/>
  <c r="V1665" i="24"/>
  <c r="AC1665" i="24" s="1"/>
  <c r="V1832" i="24"/>
  <c r="AC1832" i="24" s="1"/>
  <c r="V1643" i="24"/>
  <c r="AC1643" i="24" s="1"/>
  <c r="V1828" i="24"/>
  <c r="AC1828" i="24" s="1"/>
  <c r="V1823" i="24"/>
  <c r="AC1823" i="24" s="1"/>
  <c r="V1694" i="24"/>
  <c r="AC1694" i="24" s="1"/>
  <c r="V1716" i="24"/>
  <c r="AC1716" i="24" s="1"/>
  <c r="V1729" i="24"/>
  <c r="AC1729" i="24" s="1"/>
  <c r="V1817" i="24"/>
  <c r="AC1817" i="24" s="1"/>
  <c r="V1737" i="24"/>
  <c r="AC1737" i="24" s="1"/>
  <c r="V1759" i="24"/>
  <c r="AC1759" i="24" s="1"/>
  <c r="V1653" i="24"/>
  <c r="AC1653" i="24" s="1"/>
  <c r="V1661" i="24"/>
  <c r="AC1661" i="24" s="1"/>
  <c r="V1954" i="24"/>
  <c r="AC1954" i="24" s="1"/>
  <c r="V1985" i="24"/>
  <c r="AC1985" i="24" s="1"/>
  <c r="V1829" i="24"/>
  <c r="AC1829" i="24" s="1"/>
  <c r="V1767" i="24"/>
  <c r="AC1767" i="24" s="1"/>
  <c r="V1915" i="24"/>
  <c r="AC1915" i="24" s="1"/>
  <c r="V1776" i="24"/>
  <c r="AC1776" i="24" s="1"/>
  <c r="V1748" i="24"/>
  <c r="AC1748" i="24" s="1"/>
  <c r="V1883" i="24"/>
  <c r="AC1883" i="24" s="1"/>
  <c r="V1630" i="24"/>
  <c r="AC1630" i="24" s="1"/>
  <c r="V1650" i="24"/>
  <c r="AC1650" i="24" s="1"/>
  <c r="V1951" i="24"/>
  <c r="AC1951" i="24" s="1"/>
  <c r="V1859" i="24"/>
  <c r="AC1859" i="24" s="1"/>
  <c r="V1994" i="24"/>
  <c r="AC1994" i="24" s="1"/>
  <c r="V1679" i="24"/>
  <c r="AC1679" i="24" s="1"/>
  <c r="V1886" i="24"/>
  <c r="AC1886" i="24" s="1"/>
  <c r="V1946" i="24"/>
  <c r="AC1946" i="24" s="1"/>
  <c r="V1626" i="24"/>
  <c r="AC1626" i="24" s="1"/>
  <c r="V1666" i="24"/>
  <c r="AC1666" i="24" s="1"/>
  <c r="V1993" i="24"/>
  <c r="AC1993" i="24" s="1"/>
  <c r="V1777" i="24"/>
  <c r="AC1777" i="24" s="1"/>
  <c r="V1979" i="24"/>
  <c r="AC1979" i="24" s="1"/>
  <c r="V1792" i="24"/>
  <c r="AC1792" i="24" s="1"/>
  <c r="V1907" i="24"/>
  <c r="AC1907" i="24" s="1"/>
  <c r="V1787" i="24"/>
  <c r="AC1787" i="24" s="1"/>
  <c r="V1715" i="24"/>
  <c r="AC1715" i="24" s="1"/>
  <c r="V1803" i="24"/>
  <c r="AC1803" i="24" s="1"/>
  <c r="V1781" i="24"/>
  <c r="AC1781" i="24" s="1"/>
  <c r="V1768" i="24"/>
  <c r="AC1768" i="24" s="1"/>
  <c r="V1916" i="24"/>
  <c r="AC1916" i="24" s="1"/>
  <c r="V1780" i="24"/>
  <c r="AC1780" i="24" s="1"/>
  <c r="V1749" i="24"/>
  <c r="AC1749" i="24" s="1"/>
  <c r="V1639" i="24"/>
  <c r="AC1639" i="24" s="1"/>
  <c r="V1793" i="24"/>
  <c r="AC1793" i="24" s="1"/>
  <c r="V1935" i="24"/>
  <c r="AC1935" i="24" s="1"/>
  <c r="V1849" i="24"/>
  <c r="AC1849" i="24" s="1"/>
  <c r="V1703" i="24"/>
  <c r="AC1703" i="24" s="1"/>
  <c r="V1765" i="24"/>
  <c r="AC1765" i="24" s="1"/>
  <c r="V1739" i="24"/>
  <c r="AC1739" i="24" s="1"/>
  <c r="V1746" i="24"/>
  <c r="AC1746" i="24" s="1"/>
  <c r="V2003" i="24"/>
  <c r="AC2003" i="24" s="1"/>
  <c r="V1963" i="24"/>
  <c r="AC1963" i="24" s="1"/>
  <c r="V1961" i="24"/>
  <c r="AC1961" i="24" s="1"/>
  <c r="V1904" i="24"/>
  <c r="AC1904" i="24" s="1"/>
  <c r="V1882" i="24"/>
  <c r="AC1882" i="24" s="1"/>
  <c r="V1707" i="24"/>
  <c r="AC1707" i="24" s="1"/>
  <c r="V1797" i="24"/>
  <c r="AC1797" i="24" s="1"/>
  <c r="V1681" i="24"/>
  <c r="AC1681" i="24" s="1"/>
  <c r="V1931" i="24"/>
  <c r="AC1931" i="24" s="1"/>
  <c r="V1899" i="24"/>
  <c r="AC1899" i="24" s="1"/>
  <c r="V1843" i="24"/>
  <c r="AC1843" i="24" s="1"/>
  <c r="V1689" i="24"/>
  <c r="AC1689" i="24" s="1"/>
  <c r="V1726" i="24"/>
  <c r="AC1726" i="24" s="1"/>
  <c r="V1999" i="24"/>
  <c r="AC1999" i="24" s="1"/>
  <c r="V1909" i="24"/>
  <c r="AC1909" i="24" s="1"/>
  <c r="V1851" i="24"/>
  <c r="AC1851" i="24" s="1"/>
  <c r="V1675" i="24"/>
  <c r="AC1675" i="24" s="1"/>
  <c r="V1762" i="24"/>
  <c r="AC1762" i="24" s="1"/>
  <c r="V1663" i="24"/>
  <c r="AC1663" i="24" s="1"/>
  <c r="V1861" i="24"/>
  <c r="AC1861" i="24" s="1"/>
  <c r="V1754" i="24"/>
  <c r="AC1754" i="24" s="1"/>
  <c r="V1738" i="24"/>
  <c r="AC1738" i="24" s="1"/>
  <c r="B1806" i="24"/>
  <c r="W1806" i="24" s="1"/>
  <c r="B1552" i="24"/>
  <c r="B1648" i="24"/>
  <c r="W1648" i="24" s="1"/>
  <c r="S1627" i="24"/>
  <c r="B1904" i="24"/>
  <c r="W1904" i="24" s="1"/>
  <c r="B1857" i="24"/>
  <c r="W1857" i="24" s="1"/>
  <c r="X1857" i="24" s="1"/>
  <c r="AD1857" i="24" s="1"/>
  <c r="AF1857" i="24" s="1"/>
  <c r="B1885" i="24"/>
  <c r="W1885" i="24" s="1"/>
  <c r="T1716" i="24"/>
  <c r="B1964" i="24"/>
  <c r="W1964" i="24" s="1"/>
  <c r="B1981" i="24"/>
  <c r="W1981" i="24" s="1"/>
  <c r="B1664" i="24"/>
  <c r="W1664" i="24" s="1"/>
  <c r="S1875" i="24"/>
  <c r="B1747" i="24"/>
  <c r="W1747" i="24" s="1"/>
  <c r="B1890" i="24"/>
  <c r="W1890" i="24" s="1"/>
  <c r="B1943" i="24"/>
  <c r="W1943" i="24" s="1"/>
  <c r="S1807" i="24"/>
  <c r="V1878" i="24"/>
  <c r="AC1878" i="24" s="1"/>
  <c r="U1808" i="24"/>
  <c r="AB1808" i="24" s="1"/>
  <c r="T1865" i="24"/>
  <c r="T1935" i="24"/>
  <c r="U1899" i="24"/>
  <c r="AB1899" i="24" s="1"/>
  <c r="S1789" i="24"/>
  <c r="S1923" i="24"/>
  <c r="V1987" i="24"/>
  <c r="AC1987" i="24" s="1"/>
  <c r="T1887" i="24"/>
  <c r="S1851" i="24"/>
  <c r="S1986" i="24"/>
  <c r="S1782" i="24"/>
  <c r="S1932" i="24"/>
  <c r="S1678" i="24"/>
  <c r="S1747" i="24"/>
  <c r="S1638" i="24"/>
  <c r="S1994" i="24"/>
  <c r="S1925" i="24"/>
  <c r="S1658" i="24"/>
  <c r="S1915" i="24"/>
  <c r="S1722" i="24"/>
  <c r="S1670" i="24"/>
  <c r="S1992" i="24"/>
  <c r="S1902" i="24"/>
  <c r="S1844" i="24"/>
  <c r="S1675" i="24"/>
  <c r="S1888" i="24"/>
  <c r="S1779" i="24"/>
  <c r="S1774" i="24"/>
  <c r="S1758" i="24"/>
  <c r="S1797" i="24"/>
  <c r="S1919" i="24"/>
  <c r="S1691" i="24"/>
  <c r="S1831" i="24"/>
  <c r="S1771" i="24"/>
  <c r="S1832" i="24"/>
  <c r="S1881" i="24"/>
  <c r="S1730" i="24"/>
  <c r="S1742" i="24"/>
  <c r="S1819" i="24"/>
  <c r="S1983" i="24"/>
  <c r="S1995" i="24"/>
  <c r="S1896" i="24"/>
  <c r="S1659" i="24"/>
  <c r="S1962" i="24"/>
  <c r="S1890" i="24"/>
  <c r="S1838" i="24"/>
  <c r="S1633" i="24"/>
  <c r="S1646" i="24"/>
  <c r="S1884" i="24"/>
  <c r="S1857" i="24"/>
  <c r="S1801" i="24"/>
  <c r="S1967" i="24"/>
  <c r="S1981" i="24"/>
  <c r="S1871" i="24"/>
  <c r="S1656" i="24"/>
  <c r="S1765" i="24"/>
  <c r="S1936" i="24"/>
  <c r="S1920" i="24"/>
  <c r="S1696" i="24"/>
  <c r="S1798" i="24"/>
  <c r="S1947" i="24"/>
  <c r="S1687" i="24"/>
  <c r="S1643" i="24"/>
  <c r="S1834" i="24"/>
  <c r="S1732" i="24"/>
  <c r="S1706" i="24"/>
  <c r="S1795" i="24"/>
  <c r="S1939" i="24"/>
  <c r="S1655" i="24"/>
  <c r="S1976" i="24"/>
  <c r="S1739" i="24"/>
  <c r="S1749" i="24"/>
  <c r="S1636" i="24"/>
  <c r="S1987" i="24"/>
  <c r="S1783" i="24"/>
  <c r="S1955" i="24"/>
  <c r="S1933" i="24"/>
  <c r="S1679" i="24"/>
  <c r="S1748" i="24"/>
  <c r="S1639" i="24"/>
  <c r="S1963" i="24"/>
  <c r="S1891" i="24"/>
  <c r="S1865" i="24"/>
  <c r="S1839" i="24"/>
  <c r="S1997" i="24"/>
  <c r="S1859" i="24"/>
  <c r="S1909" i="24"/>
  <c r="S1754" i="24"/>
  <c r="S1775" i="24"/>
  <c r="S1826" i="24"/>
  <c r="S1836" i="24"/>
  <c r="S1889" i="24"/>
  <c r="S1733" i="24"/>
  <c r="S1703" i="24"/>
  <c r="S1829" i="24"/>
  <c r="S1744" i="24"/>
  <c r="S1977" i="24"/>
  <c r="S1821" i="24"/>
  <c r="S1907" i="24"/>
  <c r="S1820" i="24"/>
  <c r="S1912" i="24"/>
  <c r="S1640" i="24"/>
  <c r="S1996" i="24"/>
  <c r="S1956" i="24"/>
  <c r="S1897" i="24"/>
  <c r="S1660" i="24"/>
  <c r="S1910" i="24"/>
  <c r="S1728" i="24"/>
  <c r="S1740" i="24"/>
  <c r="S1634" i="24"/>
  <c r="S1998" i="24"/>
  <c r="S1878" i="24"/>
  <c r="S1959" i="24"/>
  <c r="S1790" i="24"/>
  <c r="S1676" i="24"/>
  <c r="S1805" i="24"/>
  <c r="S1752" i="24"/>
  <c r="S1644" i="24"/>
  <c r="S1816" i="24"/>
  <c r="S1710" i="24"/>
  <c r="S1854" i="24"/>
  <c r="S1952" i="24"/>
  <c r="S1759" i="24"/>
  <c r="S1945" i="24"/>
  <c r="S1877" i="24"/>
  <c r="S1972" i="24"/>
  <c r="S1848" i="24"/>
  <c r="S1793" i="24"/>
  <c r="S1847" i="24"/>
  <c r="S1666" i="24"/>
  <c r="S1989" i="24"/>
  <c r="S1785" i="24"/>
  <c r="S1935" i="24"/>
  <c r="S1750" i="24"/>
  <c r="S1641" i="24"/>
  <c r="S1964" i="24"/>
  <c r="S1948" i="24"/>
  <c r="S1892" i="24"/>
  <c r="S1840" i="24"/>
  <c r="S1999" i="24"/>
  <c r="S1879" i="24"/>
  <c r="S1755" i="24"/>
  <c r="S1647" i="24"/>
  <c r="S1760" i="24"/>
  <c r="S1904" i="24"/>
  <c r="S1661" i="24"/>
  <c r="S1700" i="24"/>
  <c r="S1713" i="24"/>
  <c r="S1993" i="24"/>
  <c r="S1903" i="24"/>
  <c r="S1845" i="24"/>
  <c r="S1823" i="24"/>
  <c r="S1938" i="24"/>
  <c r="S1769" i="24"/>
  <c r="S1780" i="24"/>
  <c r="S1697" i="24"/>
  <c r="S1991" i="24"/>
  <c r="S1688" i="24"/>
  <c r="S1954" i="24"/>
  <c r="S1766" i="24"/>
  <c r="S1707" i="24"/>
  <c r="S2003" i="24"/>
  <c r="S1817" i="24"/>
  <c r="S1812" i="24"/>
  <c r="S1683" i="24"/>
  <c r="S1718" i="24"/>
  <c r="S1899" i="24"/>
  <c r="S1988" i="24"/>
  <c r="S1716" i="24"/>
  <c r="S1911" i="24"/>
  <c r="S1729" i="24"/>
  <c r="S1741" i="24"/>
  <c r="S1635" i="24"/>
  <c r="S1968" i="24"/>
  <c r="S1761" i="24"/>
  <c r="S1905" i="24"/>
  <c r="S1662" i="24"/>
  <c r="S1927" i="24"/>
  <c r="S1872" i="24"/>
  <c r="S1737" i="24"/>
  <c r="S1985" i="24"/>
  <c r="S1657" i="24"/>
  <c r="S1632" i="24"/>
  <c r="S1787" i="24"/>
  <c r="S1698" i="24"/>
  <c r="S1921" i="24"/>
  <c r="S1734" i="24"/>
  <c r="S1950" i="24"/>
  <c r="S1623" i="24"/>
  <c r="S1708" i="24"/>
  <c r="S1781" i="24"/>
  <c r="S1776" i="24"/>
  <c r="S1629" i="24"/>
  <c r="S1693" i="24"/>
  <c r="S1966" i="24"/>
  <c r="S1894" i="24"/>
  <c r="S1784" i="24"/>
  <c r="S1965" i="24"/>
  <c r="S1650" i="24"/>
  <c r="S1970" i="24"/>
  <c r="S1930" i="24"/>
  <c r="S2006" i="24"/>
  <c r="S2000" i="24"/>
  <c r="S1880" i="24"/>
  <c r="S1756" i="24"/>
  <c r="S1648" i="24"/>
  <c r="S1949" i="24"/>
  <c r="S1928" i="24"/>
  <c r="S1873" i="24"/>
  <c r="S1738" i="24"/>
  <c r="S1625" i="24"/>
  <c r="S1701" i="24"/>
  <c r="S1924" i="24"/>
  <c r="S1868" i="24"/>
  <c r="S1745" i="24"/>
  <c r="S1941" i="24"/>
  <c r="S1837" i="24"/>
  <c r="S1940" i="24"/>
  <c r="S1753" i="24"/>
  <c r="S1645" i="24"/>
  <c r="S1973" i="24"/>
  <c r="S1901" i="24"/>
  <c r="S1711" i="24"/>
  <c r="S1842" i="24"/>
  <c r="S1886" i="24"/>
  <c r="S1767" i="24"/>
  <c r="S2008" i="24"/>
  <c r="S1863" i="24"/>
  <c r="S1808" i="24"/>
  <c r="S1652" i="24"/>
  <c r="S1833" i="24"/>
  <c r="S1731" i="24"/>
  <c r="S1705" i="24"/>
  <c r="S1957" i="24"/>
  <c r="S1953" i="24"/>
  <c r="S2001" i="24"/>
  <c r="S1969" i="24"/>
  <c r="S1979" i="24"/>
  <c r="S1762" i="24"/>
  <c r="S1906" i="24"/>
  <c r="S1663" i="24"/>
  <c r="S1680" i="24"/>
  <c r="S1869" i="24"/>
  <c r="S1714" i="24"/>
  <c r="S1916" i="24"/>
  <c r="S1723" i="24"/>
  <c r="S1671" i="24"/>
  <c r="S1913" i="24"/>
  <c r="S1908" i="24"/>
  <c r="S1942" i="24"/>
  <c r="S1922" i="24"/>
  <c r="S1866" i="24"/>
  <c r="S1735" i="24"/>
  <c r="S1637" i="24"/>
  <c r="S1855" i="24"/>
  <c r="S1668" i="24"/>
  <c r="S1689" i="24"/>
  <c r="S1811" i="24"/>
  <c r="S1853" i="24"/>
  <c r="S1980" i="24"/>
  <c r="S1764" i="24"/>
  <c r="S1849" i="24"/>
  <c r="S1667" i="24"/>
  <c r="S1684" i="24"/>
  <c r="S1719" i="24"/>
  <c r="S1772" i="24"/>
  <c r="S2002" i="24"/>
  <c r="S1883" i="24"/>
  <c r="S1882" i="24"/>
  <c r="S1743" i="24"/>
  <c r="S1934" i="24"/>
  <c r="S1929" i="24"/>
  <c r="S1874" i="24"/>
  <c r="S1626" i="24"/>
  <c r="S1702" i="24"/>
  <c r="S1715" i="24"/>
  <c r="S2004" i="24"/>
  <c r="S1917" i="24"/>
  <c r="S1724" i="24"/>
  <c r="S1672" i="24"/>
  <c r="S1885" i="24"/>
  <c r="S1858" i="24"/>
  <c r="S1802" i="24"/>
  <c r="S1699" i="24"/>
  <c r="S1914" i="24"/>
  <c r="S1835" i="24"/>
  <c r="S1824" i="24"/>
  <c r="S1763" i="24"/>
  <c r="S1887" i="24"/>
  <c r="S1624" i="24"/>
  <c r="S1709" i="24"/>
  <c r="S1720" i="24"/>
  <c r="S1813" i="24"/>
  <c r="S1630" i="24"/>
  <c r="S1694" i="24"/>
  <c r="S1796" i="24"/>
  <c r="S1971" i="24"/>
  <c r="S1665" i="24"/>
  <c r="S1893" i="24"/>
  <c r="S1861" i="24"/>
  <c r="S1895" i="24"/>
  <c r="S1870" i="24"/>
  <c r="S1803" i="24"/>
  <c r="S1827" i="24"/>
  <c r="S1712" i="24"/>
  <c r="S1856" i="24"/>
  <c r="S1800" i="24"/>
  <c r="S1669" i="24"/>
  <c r="S1690" i="24"/>
  <c r="S1788" i="24"/>
  <c r="S1937" i="24"/>
  <c r="S1984" i="24"/>
  <c r="S1982" i="24"/>
  <c r="S1814" i="24"/>
  <c r="S1685" i="24"/>
  <c r="S1777" i="24"/>
  <c r="S1653" i="24"/>
  <c r="S1978" i="24"/>
  <c r="S1822" i="24"/>
  <c r="S1631" i="24"/>
  <c r="S1961" i="24"/>
  <c r="S1876" i="24"/>
  <c r="S1682" i="24"/>
  <c r="S1717" i="24"/>
  <c r="S1898" i="24"/>
  <c r="S1841" i="24"/>
  <c r="S2005" i="24"/>
  <c r="S1918" i="24"/>
  <c r="S1860" i="24"/>
  <c r="S1725" i="24"/>
  <c r="S1673" i="24"/>
  <c r="S2009" i="24"/>
  <c r="S1850" i="24"/>
  <c r="S1828" i="24"/>
  <c r="S1960" i="24"/>
  <c r="S1791" i="24"/>
  <c r="S1946" i="24"/>
  <c r="S1746" i="24"/>
  <c r="S1926" i="24"/>
  <c r="S1736" i="24"/>
  <c r="S1825" i="24"/>
  <c r="S1843" i="24"/>
  <c r="S1674" i="24"/>
  <c r="S1768" i="24"/>
  <c r="S1778" i="24"/>
  <c r="S1695" i="24"/>
  <c r="S1654" i="24"/>
  <c r="S1864" i="24"/>
  <c r="S1809" i="24"/>
  <c r="S1990" i="24"/>
  <c r="S1786" i="24"/>
  <c r="S1751" i="24"/>
  <c r="S1642" i="24"/>
  <c r="S1628" i="24"/>
  <c r="S1692" i="24"/>
  <c r="S1649" i="24"/>
  <c r="S1799" i="24"/>
  <c r="S1806" i="24"/>
  <c r="B1882" i="24"/>
  <c r="W1882" i="24" s="1"/>
  <c r="B1823" i="24"/>
  <c r="W1823" i="24" s="1"/>
  <c r="B1930" i="24"/>
  <c r="W1930" i="24" s="1"/>
  <c r="V1686" i="24"/>
  <c r="AC1686" i="24" s="1"/>
  <c r="B1687" i="24"/>
  <c r="W1687" i="24" s="1"/>
  <c r="B1639" i="24"/>
  <c r="W1639" i="24" s="1"/>
  <c r="B1656" i="24"/>
  <c r="W1656" i="24" s="1"/>
  <c r="X1656" i="24" s="1"/>
  <c r="AD1656" i="24" s="1"/>
  <c r="AF1656" i="24" s="1"/>
  <c r="S1681" i="24"/>
  <c r="B1738" i="24"/>
  <c r="W1738" i="24" s="1"/>
  <c r="X1738" i="24" s="1"/>
  <c r="AD1738" i="24" s="1"/>
  <c r="AF1738" i="24" s="1"/>
  <c r="B1767" i="24"/>
  <c r="W1767" i="24" s="1"/>
  <c r="B1642" i="24"/>
  <c r="W1642" i="24" s="1"/>
  <c r="X1642" i="24" s="1"/>
  <c r="AD1642" i="24" s="1"/>
  <c r="AF1642" i="24" s="1"/>
  <c r="B1896" i="24"/>
  <c r="W1896" i="24" s="1"/>
  <c r="B1777" i="24"/>
  <c r="W1777" i="24" s="1"/>
  <c r="B1726" i="24"/>
  <c r="W1726" i="24" s="1"/>
  <c r="U1626" i="24"/>
  <c r="AB1626" i="24" s="1"/>
  <c r="U1841" i="24"/>
  <c r="AB1841" i="24" s="1"/>
  <c r="S1900" i="24"/>
  <c r="T1833" i="24"/>
  <c r="V1900" i="24"/>
  <c r="AC1900" i="24" s="1"/>
  <c r="U1987" i="24"/>
  <c r="AB1987" i="24" s="1"/>
  <c r="T1923" i="24"/>
  <c r="U1791" i="24"/>
  <c r="AB1791" i="24" s="1"/>
  <c r="U1943" i="24"/>
  <c r="AB1943" i="24" s="1"/>
  <c r="V1966" i="24"/>
  <c r="AC1966" i="24" s="1"/>
  <c r="S2010" i="24"/>
  <c r="S1974" i="24"/>
  <c r="B508" i="24"/>
  <c r="B495" i="24"/>
  <c r="B482" i="24"/>
  <c r="B469" i="24"/>
  <c r="B496" i="24"/>
  <c r="B483" i="24"/>
  <c r="B470" i="24"/>
  <c r="B511" i="24"/>
  <c r="B509" i="24"/>
  <c r="B484" i="24"/>
  <c r="B471" i="24"/>
  <c r="B458" i="24"/>
  <c r="B512" i="24"/>
  <c r="B499" i="24"/>
  <c r="B497" i="24"/>
  <c r="B472" i="24"/>
  <c r="B459" i="24"/>
  <c r="B513" i="24"/>
  <c r="B500" i="24"/>
  <c r="B487" i="24"/>
  <c r="B510" i="24"/>
  <c r="B485" i="24"/>
  <c r="B460" i="24"/>
  <c r="B501" i="24"/>
  <c r="B488" i="24"/>
  <c r="B475" i="24"/>
  <c r="B498" i="24"/>
  <c r="B473" i="24"/>
  <c r="B502" i="24"/>
  <c r="B489" i="24"/>
  <c r="B476" i="24"/>
  <c r="B463" i="24"/>
  <c r="B486" i="24"/>
  <c r="B461" i="24"/>
  <c r="B503" i="24"/>
  <c r="B490" i="24"/>
  <c r="B477" i="24"/>
  <c r="B464" i="24"/>
  <c r="B474" i="24"/>
  <c r="B491" i="24"/>
  <c r="B478" i="24"/>
  <c r="B465" i="24"/>
  <c r="B462" i="24"/>
  <c r="B504" i="24"/>
  <c r="B479" i="24"/>
  <c r="B466" i="24"/>
  <c r="B505" i="24"/>
  <c r="B492" i="24"/>
  <c r="B467" i="24"/>
  <c r="B506" i="24"/>
  <c r="B493" i="24"/>
  <c r="B480" i="24"/>
  <c r="B507" i="24"/>
  <c r="B494" i="24"/>
  <c r="B481" i="24"/>
  <c r="T711" i="24"/>
  <c r="T512" i="24"/>
  <c r="T500" i="24"/>
  <c r="T488" i="24"/>
  <c r="T476" i="24"/>
  <c r="T464" i="24"/>
  <c r="T511" i="24"/>
  <c r="T499" i="24"/>
  <c r="T487" i="24"/>
  <c r="T475" i="24"/>
  <c r="T463" i="24"/>
  <c r="T510" i="24"/>
  <c r="T498" i="24"/>
  <c r="T486" i="24"/>
  <c r="T474" i="24"/>
  <c r="T462" i="24"/>
  <c r="T509" i="24"/>
  <c r="T497" i="24"/>
  <c r="T485" i="24"/>
  <c r="T473" i="24"/>
  <c r="T461" i="24"/>
  <c r="T508" i="24"/>
  <c r="T496" i="24"/>
  <c r="T484" i="24"/>
  <c r="T472" i="24"/>
  <c r="T460" i="24"/>
  <c r="T507" i="24"/>
  <c r="T495" i="24"/>
  <c r="T483" i="24"/>
  <c r="T471" i="24"/>
  <c r="T459" i="24"/>
  <c r="T506" i="24"/>
  <c r="T494" i="24"/>
  <c r="T482" i="24"/>
  <c r="T470" i="24"/>
  <c r="T458" i="24"/>
  <c r="T505" i="24"/>
  <c r="T493" i="24"/>
  <c r="T481" i="24"/>
  <c r="T469" i="24"/>
  <c r="T504" i="24"/>
  <c r="T492" i="24"/>
  <c r="T480" i="24"/>
  <c r="T468" i="24"/>
  <c r="T503" i="24"/>
  <c r="T491" i="24"/>
  <c r="T479" i="24"/>
  <c r="T467" i="24"/>
  <c r="T502" i="24"/>
  <c r="T490" i="24"/>
  <c r="T478" i="24"/>
  <c r="T466" i="24"/>
  <c r="T513" i="24"/>
  <c r="T501" i="24"/>
  <c r="T489" i="24"/>
  <c r="T477" i="24"/>
  <c r="T465" i="24"/>
  <c r="S647" i="24"/>
  <c r="S466" i="24"/>
  <c r="S460" i="24"/>
  <c r="S512" i="24"/>
  <c r="S458" i="24"/>
  <c r="S473" i="24"/>
  <c r="S467" i="24"/>
  <c r="S502" i="24"/>
  <c r="S485" i="24"/>
  <c r="S479" i="24"/>
  <c r="S486" i="24"/>
  <c r="S506" i="24"/>
  <c r="S470" i="24"/>
  <c r="S491" i="24"/>
  <c r="S492" i="24"/>
  <c r="S480" i="24"/>
  <c r="S507" i="24"/>
  <c r="S499" i="24"/>
  <c r="S464" i="24"/>
  <c r="S503" i="24"/>
  <c r="S500" i="24"/>
  <c r="S505" i="24"/>
  <c r="S461" i="24"/>
  <c r="S478" i="24"/>
  <c r="S493" i="24"/>
  <c r="S471" i="24"/>
  <c r="S508" i="24"/>
  <c r="S497" i="24"/>
  <c r="S511" i="24"/>
  <c r="S510" i="24"/>
  <c r="S474" i="24"/>
  <c r="S465" i="24"/>
  <c r="S488" i="24"/>
  <c r="S494" i="24"/>
  <c r="S476" i="24"/>
  <c r="S463" i="24"/>
  <c r="S484" i="24"/>
  <c r="S513" i="24"/>
  <c r="S459" i="24"/>
  <c r="S509" i="24"/>
  <c r="S501" i="24"/>
  <c r="S487" i="24"/>
  <c r="S481" i="24"/>
  <c r="S475" i="24"/>
  <c r="S489" i="24"/>
  <c r="S483" i="24"/>
  <c r="S482" i="24"/>
  <c r="S490" i="24"/>
  <c r="S498" i="24"/>
  <c r="S468" i="24"/>
  <c r="S462" i="24"/>
  <c r="S469" i="24"/>
  <c r="S496" i="24"/>
  <c r="S477" i="24"/>
  <c r="S495" i="24"/>
  <c r="S504" i="24"/>
  <c r="S472" i="24"/>
  <c r="U507" i="24"/>
  <c r="AB507" i="24" s="1"/>
  <c r="U495" i="24"/>
  <c r="AB495" i="24" s="1"/>
  <c r="U483" i="24"/>
  <c r="AB483" i="24" s="1"/>
  <c r="U471" i="24"/>
  <c r="AB471" i="24" s="1"/>
  <c r="U459" i="24"/>
  <c r="AB459" i="24" s="1"/>
  <c r="U506" i="24"/>
  <c r="AB506" i="24" s="1"/>
  <c r="U494" i="24"/>
  <c r="AB494" i="24" s="1"/>
  <c r="U482" i="24"/>
  <c r="AB482" i="24" s="1"/>
  <c r="U470" i="24"/>
  <c r="AB470" i="24" s="1"/>
  <c r="U458" i="24"/>
  <c r="AB458" i="24" s="1"/>
  <c r="U505" i="24"/>
  <c r="AB505" i="24" s="1"/>
  <c r="U493" i="24"/>
  <c r="AB493" i="24" s="1"/>
  <c r="U481" i="24"/>
  <c r="AB481" i="24" s="1"/>
  <c r="U469" i="24"/>
  <c r="AB469" i="24" s="1"/>
  <c r="U504" i="24"/>
  <c r="AB504" i="24" s="1"/>
  <c r="U492" i="24"/>
  <c r="AB492" i="24" s="1"/>
  <c r="U480" i="24"/>
  <c r="AB480" i="24" s="1"/>
  <c r="U468" i="24"/>
  <c r="AB468" i="24" s="1"/>
  <c r="U503" i="24"/>
  <c r="AB503" i="24" s="1"/>
  <c r="U491" i="24"/>
  <c r="AB491" i="24" s="1"/>
  <c r="U479" i="24"/>
  <c r="AB479" i="24" s="1"/>
  <c r="U467" i="24"/>
  <c r="AB467" i="24" s="1"/>
  <c r="U502" i="24"/>
  <c r="AB502" i="24" s="1"/>
  <c r="U490" i="24"/>
  <c r="AB490" i="24" s="1"/>
  <c r="U478" i="24"/>
  <c r="AB478" i="24" s="1"/>
  <c r="U466" i="24"/>
  <c r="AB466" i="24" s="1"/>
  <c r="U513" i="24"/>
  <c r="AB513" i="24" s="1"/>
  <c r="U501" i="24"/>
  <c r="AB501" i="24" s="1"/>
  <c r="U489" i="24"/>
  <c r="AB489" i="24" s="1"/>
  <c r="U477" i="24"/>
  <c r="AB477" i="24" s="1"/>
  <c r="U465" i="24"/>
  <c r="AB465" i="24" s="1"/>
  <c r="U512" i="24"/>
  <c r="AB512" i="24" s="1"/>
  <c r="U500" i="24"/>
  <c r="AB500" i="24" s="1"/>
  <c r="U488" i="24"/>
  <c r="AB488" i="24" s="1"/>
  <c r="U476" i="24"/>
  <c r="AB476" i="24" s="1"/>
  <c r="U464" i="24"/>
  <c r="AB464" i="24" s="1"/>
  <c r="U511" i="24"/>
  <c r="AB511" i="24" s="1"/>
  <c r="U499" i="24"/>
  <c r="AB499" i="24" s="1"/>
  <c r="U487" i="24"/>
  <c r="AB487" i="24" s="1"/>
  <c r="U475" i="24"/>
  <c r="AB475" i="24" s="1"/>
  <c r="U463" i="24"/>
  <c r="AB463" i="24" s="1"/>
  <c r="U510" i="24"/>
  <c r="AB510" i="24" s="1"/>
  <c r="U498" i="24"/>
  <c r="AB498" i="24" s="1"/>
  <c r="U486" i="24"/>
  <c r="AB486" i="24" s="1"/>
  <c r="U474" i="24"/>
  <c r="AB474" i="24" s="1"/>
  <c r="U462" i="24"/>
  <c r="AB462" i="24" s="1"/>
  <c r="U509" i="24"/>
  <c r="AB509" i="24" s="1"/>
  <c r="U497" i="24"/>
  <c r="AB497" i="24" s="1"/>
  <c r="U485" i="24"/>
  <c r="AB485" i="24" s="1"/>
  <c r="U473" i="24"/>
  <c r="AB473" i="24" s="1"/>
  <c r="U461" i="24"/>
  <c r="AB461" i="24" s="1"/>
  <c r="U508" i="24"/>
  <c r="AB508" i="24" s="1"/>
  <c r="U496" i="24"/>
  <c r="AB496" i="24" s="1"/>
  <c r="U484" i="24"/>
  <c r="AB484" i="24" s="1"/>
  <c r="U472" i="24"/>
  <c r="AB472" i="24" s="1"/>
  <c r="U460" i="24"/>
  <c r="AB460" i="24" s="1"/>
  <c r="V655" i="24"/>
  <c r="AC655" i="24" s="1"/>
  <c r="V502" i="24"/>
  <c r="AC502" i="24" s="1"/>
  <c r="V490" i="24"/>
  <c r="AC490" i="24" s="1"/>
  <c r="V478" i="24"/>
  <c r="AC478" i="24" s="1"/>
  <c r="V466" i="24"/>
  <c r="AC466" i="24" s="1"/>
  <c r="V513" i="24"/>
  <c r="AC513" i="24" s="1"/>
  <c r="V501" i="24"/>
  <c r="AC501" i="24" s="1"/>
  <c r="V489" i="24"/>
  <c r="AC489" i="24" s="1"/>
  <c r="V477" i="24"/>
  <c r="AC477" i="24" s="1"/>
  <c r="V465" i="24"/>
  <c r="AC465" i="24" s="1"/>
  <c r="V512" i="24"/>
  <c r="AC512" i="24" s="1"/>
  <c r="V500" i="24"/>
  <c r="AC500" i="24" s="1"/>
  <c r="V488" i="24"/>
  <c r="AC488" i="24" s="1"/>
  <c r="V476" i="24"/>
  <c r="AC476" i="24" s="1"/>
  <c r="V464" i="24"/>
  <c r="AC464" i="24" s="1"/>
  <c r="V511" i="24"/>
  <c r="AC511" i="24" s="1"/>
  <c r="V499" i="24"/>
  <c r="AC499" i="24" s="1"/>
  <c r="V487" i="24"/>
  <c r="AC487" i="24" s="1"/>
  <c r="V475" i="24"/>
  <c r="AC475" i="24" s="1"/>
  <c r="V463" i="24"/>
  <c r="AC463" i="24" s="1"/>
  <c r="V510" i="24"/>
  <c r="AC510" i="24" s="1"/>
  <c r="V498" i="24"/>
  <c r="AC498" i="24" s="1"/>
  <c r="V486" i="24"/>
  <c r="AC486" i="24" s="1"/>
  <c r="V474" i="24"/>
  <c r="AC474" i="24" s="1"/>
  <c r="V462" i="24"/>
  <c r="AC462" i="24" s="1"/>
  <c r="V509" i="24"/>
  <c r="AC509" i="24" s="1"/>
  <c r="V497" i="24"/>
  <c r="AC497" i="24" s="1"/>
  <c r="V485" i="24"/>
  <c r="AC485" i="24" s="1"/>
  <c r="V473" i="24"/>
  <c r="AC473" i="24" s="1"/>
  <c r="V461" i="24"/>
  <c r="AC461" i="24" s="1"/>
  <c r="V508" i="24"/>
  <c r="AC508" i="24" s="1"/>
  <c r="V496" i="24"/>
  <c r="AC496" i="24" s="1"/>
  <c r="V484" i="24"/>
  <c r="AC484" i="24" s="1"/>
  <c r="V472" i="24"/>
  <c r="AC472" i="24" s="1"/>
  <c r="V460" i="24"/>
  <c r="AC460" i="24" s="1"/>
  <c r="V507" i="24"/>
  <c r="AC507" i="24" s="1"/>
  <c r="V495" i="24"/>
  <c r="AC495" i="24" s="1"/>
  <c r="V483" i="24"/>
  <c r="AC483" i="24" s="1"/>
  <c r="V471" i="24"/>
  <c r="AC471" i="24" s="1"/>
  <c r="V459" i="24"/>
  <c r="AC459" i="24" s="1"/>
  <c r="V506" i="24"/>
  <c r="AC506" i="24" s="1"/>
  <c r="V494" i="24"/>
  <c r="AC494" i="24" s="1"/>
  <c r="V482" i="24"/>
  <c r="AC482" i="24" s="1"/>
  <c r="V470" i="24"/>
  <c r="AC470" i="24" s="1"/>
  <c r="V458" i="24"/>
  <c r="AC458" i="24" s="1"/>
  <c r="V505" i="24"/>
  <c r="AC505" i="24" s="1"/>
  <c r="V493" i="24"/>
  <c r="AC493" i="24" s="1"/>
  <c r="V481" i="24"/>
  <c r="AC481" i="24" s="1"/>
  <c r="V469" i="24"/>
  <c r="AC469" i="24" s="1"/>
  <c r="V504" i="24"/>
  <c r="AC504" i="24" s="1"/>
  <c r="V492" i="24"/>
  <c r="AC492" i="24" s="1"/>
  <c r="V480" i="24"/>
  <c r="AC480" i="24" s="1"/>
  <c r="V468" i="24"/>
  <c r="AC468" i="24" s="1"/>
  <c r="V503" i="24"/>
  <c r="AC503" i="24" s="1"/>
  <c r="V491" i="24"/>
  <c r="AC491" i="24" s="1"/>
  <c r="V479" i="24"/>
  <c r="AC479" i="24" s="1"/>
  <c r="V467" i="24"/>
  <c r="AC467" i="24" s="1"/>
  <c r="AG2021" i="24"/>
  <c r="T782" i="24"/>
  <c r="U954" i="24"/>
  <c r="AB954" i="24" s="1"/>
  <c r="V768" i="24"/>
  <c r="AC768" i="24" s="1"/>
  <c r="T836" i="24"/>
  <c r="V681" i="24"/>
  <c r="AC681" i="24" s="1"/>
  <c r="T777" i="24"/>
  <c r="T948" i="24"/>
  <c r="V832" i="24"/>
  <c r="AC832" i="24" s="1"/>
  <c r="V709" i="24"/>
  <c r="AC709" i="24" s="1"/>
  <c r="T859" i="24"/>
  <c r="T720" i="24"/>
  <c r="V821" i="24"/>
  <c r="AC821" i="24" s="1"/>
  <c r="V827" i="24"/>
  <c r="AC827" i="24" s="1"/>
  <c r="T937" i="24"/>
  <c r="V678" i="24"/>
  <c r="AC678" i="24" s="1"/>
  <c r="V830" i="24"/>
  <c r="AC830" i="24" s="1"/>
  <c r="T829" i="24"/>
  <c r="S819" i="24"/>
  <c r="V754" i="24"/>
  <c r="AC754" i="24" s="1"/>
  <c r="T866" i="24"/>
  <c r="S706" i="24"/>
  <c r="S697" i="24"/>
  <c r="S681" i="24"/>
  <c r="S684" i="24"/>
  <c r="S685" i="24"/>
  <c r="S661" i="24"/>
  <c r="S703" i="24"/>
  <c r="S692" i="24"/>
  <c r="S660" i="24"/>
  <c r="S669" i="24"/>
  <c r="S709" i="24"/>
  <c r="S689" i="24"/>
  <c r="S655" i="24"/>
  <c r="S700" i="24"/>
  <c r="S686" i="24"/>
  <c r="S694" i="24"/>
  <c r="S688" i="24"/>
  <c r="S650" i="24"/>
  <c r="S718" i="24"/>
  <c r="S699" i="24"/>
  <c r="S671" i="24"/>
  <c r="S712" i="24"/>
  <c r="S668" i="24"/>
  <c r="S715" i="24"/>
  <c r="S693" i="24"/>
  <c r="S651" i="24"/>
  <c r="S649" i="24"/>
  <c r="S676" i="24"/>
  <c r="S702" i="24"/>
  <c r="S704" i="24"/>
  <c r="S664" i="24"/>
  <c r="S672" i="24"/>
  <c r="S673" i="24"/>
  <c r="S682" i="24"/>
  <c r="S695" i="24"/>
  <c r="S717" i="24"/>
  <c r="S696" i="24"/>
  <c r="S648" i="24"/>
  <c r="S708" i="24"/>
  <c r="S657" i="24"/>
  <c r="S674" i="24"/>
  <c r="S675" i="24"/>
  <c r="S665" i="24"/>
  <c r="S719" i="24"/>
  <c r="S679" i="24"/>
  <c r="S713" i="24"/>
  <c r="S666" i="24"/>
  <c r="S658" i="24"/>
  <c r="S663" i="24"/>
  <c r="S701" i="24"/>
  <c r="S652" i="24"/>
  <c r="S687" i="24"/>
  <c r="S705" i="24"/>
  <c r="S680" i="24"/>
  <c r="S653" i="24"/>
  <c r="S690" i="24"/>
  <c r="S667" i="24"/>
  <c r="S659" i="24"/>
  <c r="S677" i="24"/>
  <c r="S670" i="24"/>
  <c r="S710" i="24"/>
  <c r="S716" i="24"/>
  <c r="S707" i="24"/>
  <c r="S656" i="24"/>
  <c r="S662" i="24"/>
  <c r="S678" i="24"/>
  <c r="S714" i="24"/>
  <c r="S654" i="24"/>
  <c r="S711" i="24"/>
  <c r="T704" i="24"/>
  <c r="T683" i="24"/>
  <c r="T789" i="24"/>
  <c r="V690" i="24"/>
  <c r="AC690" i="24" s="1"/>
  <c r="V780" i="24"/>
  <c r="AC780" i="24" s="1"/>
  <c r="T730" i="24"/>
  <c r="V721" i="24"/>
  <c r="AC721" i="24" s="1"/>
  <c r="T744" i="24"/>
  <c r="V838" i="24"/>
  <c r="AC838" i="24" s="1"/>
  <c r="T929" i="24"/>
  <c r="T830" i="24"/>
  <c r="V787" i="24"/>
  <c r="AC787" i="24" s="1"/>
  <c r="V766" i="24"/>
  <c r="AC766" i="24" s="1"/>
  <c r="S734" i="24"/>
  <c r="S683" i="24"/>
  <c r="T716" i="24"/>
  <c r="V707" i="24"/>
  <c r="AC707" i="24" s="1"/>
  <c r="T695" i="24"/>
  <c r="T934" i="24"/>
  <c r="T801" i="24"/>
  <c r="V792" i="24"/>
  <c r="AC792" i="24" s="1"/>
  <c r="T742" i="24"/>
  <c r="V733" i="24"/>
  <c r="AC733" i="24" s="1"/>
  <c r="T843" i="24"/>
  <c r="V680" i="24"/>
  <c r="AC680" i="24" s="1"/>
  <c r="T756" i="24"/>
  <c r="V862" i="24"/>
  <c r="AC862" i="24" s="1"/>
  <c r="V799" i="24"/>
  <c r="AC799" i="24" s="1"/>
  <c r="T933" i="24"/>
  <c r="V813" i="24"/>
  <c r="AC813" i="24" s="1"/>
  <c r="T657" i="24"/>
  <c r="T763" i="24"/>
  <c r="V894" i="24"/>
  <c r="AC894" i="24" s="1"/>
  <c r="U694" i="24"/>
  <c r="AB694" i="24" s="1"/>
  <c r="U707" i="24"/>
  <c r="AB707" i="24" s="1"/>
  <c r="U692" i="24"/>
  <c r="AB692" i="24" s="1"/>
  <c r="U705" i="24"/>
  <c r="AB705" i="24" s="1"/>
  <c r="U715" i="24"/>
  <c r="AB715" i="24" s="1"/>
  <c r="U713" i="24"/>
  <c r="AB713" i="24" s="1"/>
  <c r="U711" i="24"/>
  <c r="AB711" i="24" s="1"/>
  <c r="U709" i="24"/>
  <c r="AB709" i="24" s="1"/>
  <c r="U682" i="24"/>
  <c r="AB682" i="24" s="1"/>
  <c r="U680" i="24"/>
  <c r="AB680" i="24" s="1"/>
  <c r="U690" i="24"/>
  <c r="AB690" i="24" s="1"/>
  <c r="U703" i="24"/>
  <c r="AB703" i="24" s="1"/>
  <c r="U688" i="24"/>
  <c r="AB688" i="24" s="1"/>
  <c r="U701" i="24"/>
  <c r="AB701" i="24" s="1"/>
  <c r="U686" i="24"/>
  <c r="AB686" i="24" s="1"/>
  <c r="U699" i="24"/>
  <c r="AB699" i="24" s="1"/>
  <c r="U684" i="24"/>
  <c r="AB684" i="24" s="1"/>
  <c r="U697" i="24"/>
  <c r="AB697" i="24" s="1"/>
  <c r="U670" i="24"/>
  <c r="AB670" i="24" s="1"/>
  <c r="U668" i="24"/>
  <c r="AB668" i="24" s="1"/>
  <c r="U678" i="24"/>
  <c r="AB678" i="24" s="1"/>
  <c r="U676" i="24"/>
  <c r="AB676" i="24" s="1"/>
  <c r="U674" i="24"/>
  <c r="AB674" i="24" s="1"/>
  <c r="U672" i="24"/>
  <c r="AB672" i="24" s="1"/>
  <c r="U658" i="24"/>
  <c r="AB658" i="24" s="1"/>
  <c r="U656" i="24"/>
  <c r="AB656" i="24" s="1"/>
  <c r="U666" i="24"/>
  <c r="AB666" i="24" s="1"/>
  <c r="U664" i="24"/>
  <c r="AB664" i="24" s="1"/>
  <c r="U662" i="24"/>
  <c r="AB662" i="24" s="1"/>
  <c r="U660" i="24"/>
  <c r="AB660" i="24" s="1"/>
  <c r="U654" i="24"/>
  <c r="AB654" i="24" s="1"/>
  <c r="U652" i="24"/>
  <c r="AB652" i="24" s="1"/>
  <c r="U650" i="24"/>
  <c r="AB650" i="24" s="1"/>
  <c r="U648" i="24"/>
  <c r="AB648" i="24" s="1"/>
  <c r="U718" i="24"/>
  <c r="AB718" i="24" s="1"/>
  <c r="U716" i="24"/>
  <c r="AB716" i="24" s="1"/>
  <c r="U693" i="24"/>
  <c r="AB693" i="24" s="1"/>
  <c r="U706" i="24"/>
  <c r="AB706" i="24" s="1"/>
  <c r="U691" i="24"/>
  <c r="AB691" i="24" s="1"/>
  <c r="U704" i="24"/>
  <c r="AB704" i="24" s="1"/>
  <c r="U714" i="24"/>
  <c r="AB714" i="24" s="1"/>
  <c r="U712" i="24"/>
  <c r="AB712" i="24" s="1"/>
  <c r="U710" i="24"/>
  <c r="AB710" i="24" s="1"/>
  <c r="U695" i="24"/>
  <c r="AB695" i="24" s="1"/>
  <c r="U708" i="24"/>
  <c r="AB708" i="24" s="1"/>
  <c r="U681" i="24"/>
  <c r="AB681" i="24" s="1"/>
  <c r="U679" i="24"/>
  <c r="AB679" i="24" s="1"/>
  <c r="U689" i="24"/>
  <c r="AB689" i="24" s="1"/>
  <c r="U702" i="24"/>
  <c r="AB702" i="24" s="1"/>
  <c r="U687" i="24"/>
  <c r="AB687" i="24" s="1"/>
  <c r="U700" i="24"/>
  <c r="AB700" i="24" s="1"/>
  <c r="U685" i="24"/>
  <c r="AB685" i="24" s="1"/>
  <c r="U698" i="24"/>
  <c r="AB698" i="24" s="1"/>
  <c r="U683" i="24"/>
  <c r="AB683" i="24" s="1"/>
  <c r="U696" i="24"/>
  <c r="AB696" i="24" s="1"/>
  <c r="U669" i="24"/>
  <c r="AB669" i="24" s="1"/>
  <c r="U667" i="24"/>
  <c r="AB667" i="24" s="1"/>
  <c r="U677" i="24"/>
  <c r="AB677" i="24" s="1"/>
  <c r="U675" i="24"/>
  <c r="AB675" i="24" s="1"/>
  <c r="U673" i="24"/>
  <c r="AB673" i="24" s="1"/>
  <c r="U671" i="24"/>
  <c r="AB671" i="24" s="1"/>
  <c r="U657" i="24"/>
  <c r="AB657" i="24" s="1"/>
  <c r="U655" i="24"/>
  <c r="AB655" i="24" s="1"/>
  <c r="U665" i="24"/>
  <c r="AB665" i="24" s="1"/>
  <c r="U663" i="24"/>
  <c r="AB663" i="24" s="1"/>
  <c r="U661" i="24"/>
  <c r="AB661" i="24" s="1"/>
  <c r="U659" i="24"/>
  <c r="AB659" i="24" s="1"/>
  <c r="U651" i="24"/>
  <c r="AB651" i="24" s="1"/>
  <c r="U719" i="24"/>
  <c r="AB719" i="24" s="1"/>
  <c r="U717" i="24"/>
  <c r="AB717" i="24" s="1"/>
  <c r="U649" i="24"/>
  <c r="AB649" i="24" s="1"/>
  <c r="U647" i="24"/>
  <c r="AB647" i="24" s="1"/>
  <c r="U653" i="24"/>
  <c r="AB653" i="24" s="1"/>
  <c r="T728" i="24"/>
  <c r="V719" i="24"/>
  <c r="AC719" i="24" s="1"/>
  <c r="T946" i="24"/>
  <c r="T813" i="24"/>
  <c r="V847" i="24"/>
  <c r="AC847" i="24" s="1"/>
  <c r="V804" i="24"/>
  <c r="AC804" i="24" s="1"/>
  <c r="T648" i="24"/>
  <c r="T754" i="24"/>
  <c r="V745" i="24"/>
  <c r="AC745" i="24" s="1"/>
  <c r="T855" i="24"/>
  <c r="T707" i="24"/>
  <c r="V837" i="24"/>
  <c r="AC837" i="24" s="1"/>
  <c r="T780" i="24"/>
  <c r="T930" i="24"/>
  <c r="V825" i="24"/>
  <c r="AC825" i="24" s="1"/>
  <c r="T669" i="24"/>
  <c r="T775" i="24"/>
  <c r="V918" i="24"/>
  <c r="AC918" i="24" s="1"/>
  <c r="T918" i="24"/>
  <c r="V652" i="24"/>
  <c r="AC652" i="24" s="1"/>
  <c r="V716" i="24"/>
  <c r="AC716" i="24" s="1"/>
  <c r="V685" i="24"/>
  <c r="AC685" i="24" s="1"/>
  <c r="V659" i="24"/>
  <c r="AC659" i="24" s="1"/>
  <c r="V692" i="24"/>
  <c r="AC692" i="24" s="1"/>
  <c r="V704" i="24"/>
  <c r="AC704" i="24" s="1"/>
  <c r="V673" i="24"/>
  <c r="AC673" i="24" s="1"/>
  <c r="V647" i="24"/>
  <c r="AC647" i="24" s="1"/>
  <c r="V718" i="24"/>
  <c r="AC718" i="24" s="1"/>
  <c r="V687" i="24"/>
  <c r="AC687" i="24" s="1"/>
  <c r="V661" i="24"/>
  <c r="AC661" i="24" s="1"/>
  <c r="V694" i="24"/>
  <c r="AC694" i="24" s="1"/>
  <c r="V699" i="24"/>
  <c r="AC699" i="24" s="1"/>
  <c r="V668" i="24"/>
  <c r="AC668" i="24" s="1"/>
  <c r="V706" i="24"/>
  <c r="AC706" i="24" s="1"/>
  <c r="V675" i="24"/>
  <c r="AC675" i="24" s="1"/>
  <c r="V649" i="24"/>
  <c r="AC649" i="24" s="1"/>
  <c r="V713" i="24"/>
  <c r="AC713" i="24" s="1"/>
  <c r="V682" i="24"/>
  <c r="AC682" i="24" s="1"/>
  <c r="V656" i="24"/>
  <c r="AC656" i="24" s="1"/>
  <c r="V663" i="24"/>
  <c r="AC663" i="24" s="1"/>
  <c r="V701" i="24"/>
  <c r="AC701" i="24" s="1"/>
  <c r="V670" i="24"/>
  <c r="AC670" i="24" s="1"/>
  <c r="V651" i="24"/>
  <c r="AC651" i="24" s="1"/>
  <c r="V715" i="24"/>
  <c r="AC715" i="24" s="1"/>
  <c r="V684" i="24"/>
  <c r="AC684" i="24" s="1"/>
  <c r="V658" i="24"/>
  <c r="AC658" i="24" s="1"/>
  <c r="V703" i="24"/>
  <c r="AC703" i="24" s="1"/>
  <c r="V672" i="24"/>
  <c r="AC672" i="24" s="1"/>
  <c r="V717" i="24"/>
  <c r="AC717" i="24" s="1"/>
  <c r="V686" i="24"/>
  <c r="AC686" i="24" s="1"/>
  <c r="V660" i="24"/>
  <c r="AC660" i="24" s="1"/>
  <c r="V693" i="24"/>
  <c r="AC693" i="24" s="1"/>
  <c r="V705" i="24"/>
  <c r="AC705" i="24" s="1"/>
  <c r="V674" i="24"/>
  <c r="AC674" i="24" s="1"/>
  <c r="V648" i="24"/>
  <c r="AC648" i="24" s="1"/>
  <c r="V712" i="24"/>
  <c r="AC712" i="24" s="1"/>
  <c r="V688" i="24"/>
  <c r="AC688" i="24" s="1"/>
  <c r="V662" i="24"/>
  <c r="AC662" i="24" s="1"/>
  <c r="V695" i="24"/>
  <c r="AC695" i="24" s="1"/>
  <c r="V700" i="24"/>
  <c r="AC700" i="24" s="1"/>
  <c r="V669" i="24"/>
  <c r="AC669" i="24" s="1"/>
  <c r="T740" i="24"/>
  <c r="V731" i="24"/>
  <c r="AC731" i="24" s="1"/>
  <c r="T825" i="24"/>
  <c r="V859" i="24"/>
  <c r="AC859" i="24" s="1"/>
  <c r="V816" i="24"/>
  <c r="AC816" i="24" s="1"/>
  <c r="T660" i="24"/>
  <c r="T766" i="24"/>
  <c r="V667" i="24"/>
  <c r="AC667" i="24" s="1"/>
  <c r="V757" i="24"/>
  <c r="AC757" i="24" s="1"/>
  <c r="T867" i="24"/>
  <c r="T719" i="24"/>
  <c r="V849" i="24"/>
  <c r="AC849" i="24" s="1"/>
  <c r="T928" i="24"/>
  <c r="T804" i="24"/>
  <c r="V711" i="24"/>
  <c r="AC711" i="24" s="1"/>
  <c r="T690" i="24"/>
  <c r="T796" i="24"/>
  <c r="V650" i="24"/>
  <c r="AC650" i="24" s="1"/>
  <c r="T671" i="24"/>
  <c r="T752" i="24"/>
  <c r="V653" i="24"/>
  <c r="AC653" i="24" s="1"/>
  <c r="V743" i="24"/>
  <c r="AC743" i="24" s="1"/>
  <c r="T841" i="24"/>
  <c r="V828" i="24"/>
  <c r="AC828" i="24" s="1"/>
  <c r="T672" i="24"/>
  <c r="T778" i="24"/>
  <c r="V679" i="24"/>
  <c r="AC679" i="24" s="1"/>
  <c r="V769" i="24"/>
  <c r="AC769" i="24" s="1"/>
  <c r="T743" i="24"/>
  <c r="T828" i="24"/>
  <c r="V735" i="24"/>
  <c r="AC735" i="24" s="1"/>
  <c r="V702" i="24"/>
  <c r="AC702" i="24" s="1"/>
  <c r="T941" i="24"/>
  <c r="T808" i="24"/>
  <c r="T955" i="24"/>
  <c r="T822" i="24"/>
  <c r="S698" i="24"/>
  <c r="V967" i="24"/>
  <c r="AC967" i="24" s="1"/>
  <c r="V963" i="24"/>
  <c r="AC963" i="24" s="1"/>
  <c r="V959" i="24"/>
  <c r="AC959" i="24" s="1"/>
  <c r="V900" i="24"/>
  <c r="AC900" i="24" s="1"/>
  <c r="V911" i="24"/>
  <c r="AC911" i="24" s="1"/>
  <c r="V922" i="24"/>
  <c r="AC922" i="24" s="1"/>
  <c r="V921" i="24"/>
  <c r="AC921" i="24" s="1"/>
  <c r="V920" i="24"/>
  <c r="AC920" i="24" s="1"/>
  <c r="V907" i="24"/>
  <c r="AC907" i="24" s="1"/>
  <c r="V870" i="24"/>
  <c r="AC870" i="24" s="1"/>
  <c r="V903" i="24"/>
  <c r="AC903" i="24" s="1"/>
  <c r="V952" i="24"/>
  <c r="AC952" i="24" s="1"/>
  <c r="V888" i="24"/>
  <c r="AC888" i="24" s="1"/>
  <c r="V899" i="24"/>
  <c r="AC899" i="24" s="1"/>
  <c r="V910" i="24"/>
  <c r="AC910" i="24" s="1"/>
  <c r="V909" i="24"/>
  <c r="AC909" i="24" s="1"/>
  <c r="V908" i="24"/>
  <c r="AC908" i="24" s="1"/>
  <c r="V895" i="24"/>
  <c r="AC895" i="24" s="1"/>
  <c r="V956" i="24"/>
  <c r="AC956" i="24" s="1"/>
  <c r="V891" i="24"/>
  <c r="AC891" i="24" s="1"/>
  <c r="V940" i="24"/>
  <c r="AC940" i="24" s="1"/>
  <c r="V980" i="24"/>
  <c r="AC980" i="24" s="1"/>
  <c r="V976" i="24"/>
  <c r="AC976" i="24" s="1"/>
  <c r="V972" i="24"/>
  <c r="AC972" i="24" s="1"/>
  <c r="V876" i="24"/>
  <c r="AC876" i="24" s="1"/>
  <c r="V887" i="24"/>
  <c r="AC887" i="24" s="1"/>
  <c r="V898" i="24"/>
  <c r="AC898" i="24" s="1"/>
  <c r="V897" i="24"/>
  <c r="AC897" i="24" s="1"/>
  <c r="V896" i="24"/>
  <c r="AC896" i="24" s="1"/>
  <c r="V883" i="24"/>
  <c r="AC883" i="24" s="1"/>
  <c r="V944" i="24"/>
  <c r="AC944" i="24" s="1"/>
  <c r="V968" i="24"/>
  <c r="AC968" i="24" s="1"/>
  <c r="V964" i="24"/>
  <c r="AC964" i="24" s="1"/>
  <c r="V960" i="24"/>
  <c r="AC960" i="24" s="1"/>
  <c r="V875" i="24"/>
  <c r="AC875" i="24" s="1"/>
  <c r="V886" i="24"/>
  <c r="AC886" i="24" s="1"/>
  <c r="V885" i="24"/>
  <c r="AC885" i="24" s="1"/>
  <c r="V884" i="24"/>
  <c r="AC884" i="24" s="1"/>
  <c r="V871" i="24"/>
  <c r="AC871" i="24" s="1"/>
  <c r="V904" i="24"/>
  <c r="AC904" i="24" s="1"/>
  <c r="V981" i="24"/>
  <c r="AC981" i="24" s="1"/>
  <c r="V950" i="24"/>
  <c r="AC950" i="24" s="1"/>
  <c r="V874" i="24"/>
  <c r="AC874" i="24" s="1"/>
  <c r="V873" i="24"/>
  <c r="AC873" i="24" s="1"/>
  <c r="V872" i="24"/>
  <c r="AC872" i="24" s="1"/>
  <c r="V892" i="24"/>
  <c r="AC892" i="24" s="1"/>
  <c r="V953" i="24"/>
  <c r="AC953" i="24" s="1"/>
  <c r="V925" i="24"/>
  <c r="AC925" i="24" s="1"/>
  <c r="V969" i="24"/>
  <c r="AC969" i="24" s="1"/>
  <c r="V977" i="24"/>
  <c r="AC977" i="24" s="1"/>
  <c r="V973" i="24"/>
  <c r="AC973" i="24" s="1"/>
  <c r="V938" i="24"/>
  <c r="AC938" i="24" s="1"/>
  <c r="V949" i="24"/>
  <c r="AC949" i="24" s="1"/>
  <c r="V945" i="24"/>
  <c r="AC945" i="24" s="1"/>
  <c r="V917" i="24"/>
  <c r="AC917" i="24" s="1"/>
  <c r="V880" i="24"/>
  <c r="AC880" i="24" s="1"/>
  <c r="V941" i="24"/>
  <c r="AC941" i="24" s="1"/>
  <c r="V913" i="24"/>
  <c r="AC913" i="24" s="1"/>
  <c r="V957" i="24"/>
  <c r="AC957" i="24" s="1"/>
  <c r="V965" i="24"/>
  <c r="AC965" i="24" s="1"/>
  <c r="V961" i="24"/>
  <c r="AC961" i="24" s="1"/>
  <c r="V937" i="24"/>
  <c r="AC937" i="24" s="1"/>
  <c r="V948" i="24"/>
  <c r="AC948" i="24" s="1"/>
  <c r="V947" i="24"/>
  <c r="AC947" i="24" s="1"/>
  <c r="V946" i="24"/>
  <c r="AC946" i="24" s="1"/>
  <c r="V905" i="24"/>
  <c r="AC905" i="24" s="1"/>
  <c r="V868" i="24"/>
  <c r="AC868" i="24" s="1"/>
  <c r="V926" i="24"/>
  <c r="AC926" i="24" s="1"/>
  <c r="V901" i="24"/>
  <c r="AC901" i="24" s="1"/>
  <c r="V936" i="24"/>
  <c r="AC936" i="24" s="1"/>
  <c r="V935" i="24"/>
  <c r="AC935" i="24" s="1"/>
  <c r="V934" i="24"/>
  <c r="AC934" i="24" s="1"/>
  <c r="V893" i="24"/>
  <c r="AC893" i="24" s="1"/>
  <c r="V954" i="24"/>
  <c r="AC954" i="24" s="1"/>
  <c r="V914" i="24"/>
  <c r="AC914" i="24" s="1"/>
  <c r="V889" i="24"/>
  <c r="AC889" i="24" s="1"/>
  <c r="V978" i="24"/>
  <c r="AC978" i="24" s="1"/>
  <c r="V974" i="24"/>
  <c r="AC974" i="24" s="1"/>
  <c r="V970" i="24"/>
  <c r="AC970" i="24" s="1"/>
  <c r="V966" i="24"/>
  <c r="AC966" i="24" s="1"/>
  <c r="V962" i="24"/>
  <c r="AC962" i="24" s="1"/>
  <c r="V958" i="24"/>
  <c r="AC958" i="24" s="1"/>
  <c r="V906" i="24"/>
  <c r="AC906" i="24" s="1"/>
  <c r="V869" i="24"/>
  <c r="AC869" i="24" s="1"/>
  <c r="V890" i="24"/>
  <c r="AC890" i="24" s="1"/>
  <c r="V912" i="24"/>
  <c r="AC912" i="24" s="1"/>
  <c r="V882" i="24"/>
  <c r="AC882" i="24" s="1"/>
  <c r="V742" i="24"/>
  <c r="AC742" i="24" s="1"/>
  <c r="V801" i="24"/>
  <c r="AC801" i="24" s="1"/>
  <c r="V844" i="24"/>
  <c r="AC844" i="24" s="1"/>
  <c r="V775" i="24"/>
  <c r="AC775" i="24" s="1"/>
  <c r="V834" i="24"/>
  <c r="AC834" i="24" s="1"/>
  <c r="V749" i="24"/>
  <c r="AC749" i="24" s="1"/>
  <c r="V808" i="24"/>
  <c r="AC808" i="24" s="1"/>
  <c r="V851" i="24"/>
  <c r="AC851" i="24" s="1"/>
  <c r="V723" i="24"/>
  <c r="AC723" i="24" s="1"/>
  <c r="V782" i="24"/>
  <c r="AC782" i="24" s="1"/>
  <c r="V730" i="24"/>
  <c r="AC730" i="24" s="1"/>
  <c r="V789" i="24"/>
  <c r="AC789" i="24" s="1"/>
  <c r="V931" i="24"/>
  <c r="AC931" i="24" s="1"/>
  <c r="V763" i="24"/>
  <c r="AC763" i="24" s="1"/>
  <c r="V822" i="24"/>
  <c r="AC822" i="24" s="1"/>
  <c r="V865" i="24"/>
  <c r="AC865" i="24" s="1"/>
  <c r="V737" i="24"/>
  <c r="AC737" i="24" s="1"/>
  <c r="V975" i="24"/>
  <c r="AC975" i="24" s="1"/>
  <c r="V971" i="24"/>
  <c r="AC971" i="24" s="1"/>
  <c r="V927" i="24"/>
  <c r="AC927" i="24" s="1"/>
  <c r="V902" i="24"/>
  <c r="AC902" i="24" s="1"/>
  <c r="V777" i="24"/>
  <c r="AC777" i="24" s="1"/>
  <c r="V836" i="24"/>
  <c r="AC836" i="24" s="1"/>
  <c r="V751" i="24"/>
  <c r="AC751" i="24" s="1"/>
  <c r="V810" i="24"/>
  <c r="AC810" i="24" s="1"/>
  <c r="V853" i="24"/>
  <c r="AC853" i="24" s="1"/>
  <c r="V725" i="24"/>
  <c r="AC725" i="24" s="1"/>
  <c r="V784" i="24"/>
  <c r="AC784" i="24" s="1"/>
  <c r="V758" i="24"/>
  <c r="AC758" i="24" s="1"/>
  <c r="V955" i="24"/>
  <c r="AC955" i="24" s="1"/>
  <c r="V915" i="24"/>
  <c r="AC915" i="24" s="1"/>
  <c r="V878" i="24"/>
  <c r="AC878" i="24" s="1"/>
  <c r="V877" i="24"/>
  <c r="AC877" i="24" s="1"/>
  <c r="V765" i="24"/>
  <c r="AC765" i="24" s="1"/>
  <c r="V824" i="24"/>
  <c r="AC824" i="24" s="1"/>
  <c r="V867" i="24"/>
  <c r="AC867" i="24" s="1"/>
  <c r="V739" i="24"/>
  <c r="AC739" i="24" s="1"/>
  <c r="V798" i="24"/>
  <c r="AC798" i="24" s="1"/>
  <c r="V841" i="24"/>
  <c r="AC841" i="24" s="1"/>
  <c r="V772" i="24"/>
  <c r="AC772" i="24" s="1"/>
  <c r="V831" i="24"/>
  <c r="AC831" i="24" s="1"/>
  <c r="V746" i="24"/>
  <c r="AC746" i="24" s="1"/>
  <c r="V943" i="24"/>
  <c r="AC943" i="24" s="1"/>
  <c r="V879" i="24"/>
  <c r="AC879" i="24" s="1"/>
  <c r="V753" i="24"/>
  <c r="AC753" i="24" s="1"/>
  <c r="V812" i="24"/>
  <c r="AC812" i="24" s="1"/>
  <c r="V855" i="24"/>
  <c r="AC855" i="24" s="1"/>
  <c r="V727" i="24"/>
  <c r="AC727" i="24" s="1"/>
  <c r="V786" i="24"/>
  <c r="AC786" i="24" s="1"/>
  <c r="V928" i="24"/>
  <c r="AC928" i="24" s="1"/>
  <c r="V760" i="24"/>
  <c r="AC760" i="24" s="1"/>
  <c r="V942" i="24"/>
  <c r="AC942" i="24" s="1"/>
  <c r="V826" i="24"/>
  <c r="AC826" i="24" s="1"/>
  <c r="V741" i="24"/>
  <c r="AC741" i="24" s="1"/>
  <c r="V800" i="24"/>
  <c r="AC800" i="24" s="1"/>
  <c r="V843" i="24"/>
  <c r="AC843" i="24" s="1"/>
  <c r="V774" i="24"/>
  <c r="AC774" i="24" s="1"/>
  <c r="V833" i="24"/>
  <c r="AC833" i="24" s="1"/>
  <c r="V748" i="24"/>
  <c r="AC748" i="24" s="1"/>
  <c r="V807" i="24"/>
  <c r="AC807" i="24" s="1"/>
  <c r="V850" i="24"/>
  <c r="AC850" i="24" s="1"/>
  <c r="V722" i="24"/>
  <c r="AC722" i="24" s="1"/>
  <c r="V979" i="24"/>
  <c r="AC979" i="24" s="1"/>
  <c r="V814" i="24"/>
  <c r="AC814" i="24" s="1"/>
  <c r="V857" i="24"/>
  <c r="AC857" i="24" s="1"/>
  <c r="V729" i="24"/>
  <c r="AC729" i="24" s="1"/>
  <c r="V788" i="24"/>
  <c r="AC788" i="24" s="1"/>
  <c r="V930" i="24"/>
  <c r="AC930" i="24" s="1"/>
  <c r="V762" i="24"/>
  <c r="AC762" i="24" s="1"/>
  <c r="V802" i="24"/>
  <c r="AC802" i="24" s="1"/>
  <c r="V845" i="24"/>
  <c r="AC845" i="24" s="1"/>
  <c r="V776" i="24"/>
  <c r="AC776" i="24" s="1"/>
  <c r="V835" i="24"/>
  <c r="AC835" i="24" s="1"/>
  <c r="V750" i="24"/>
  <c r="AC750" i="24" s="1"/>
  <c r="V809" i="24"/>
  <c r="AC809" i="24" s="1"/>
  <c r="V852" i="24"/>
  <c r="AC852" i="24" s="1"/>
  <c r="V724" i="24"/>
  <c r="AC724" i="24" s="1"/>
  <c r="V783" i="24"/>
  <c r="AC783" i="24" s="1"/>
  <c r="V790" i="24"/>
  <c r="AC790" i="24" s="1"/>
  <c r="V932" i="24"/>
  <c r="AC932" i="24" s="1"/>
  <c r="V764" i="24"/>
  <c r="AC764" i="24" s="1"/>
  <c r="V823" i="24"/>
  <c r="AC823" i="24" s="1"/>
  <c r="V866" i="24"/>
  <c r="AC866" i="24" s="1"/>
  <c r="V738" i="24"/>
  <c r="AC738" i="24" s="1"/>
  <c r="V797" i="24"/>
  <c r="AC797" i="24" s="1"/>
  <c r="V840" i="24"/>
  <c r="AC840" i="24" s="1"/>
  <c r="V919" i="24"/>
  <c r="AC919" i="24" s="1"/>
  <c r="V951" i="24"/>
  <c r="AC951" i="24" s="1"/>
  <c r="V778" i="24"/>
  <c r="AC778" i="24" s="1"/>
  <c r="V752" i="24"/>
  <c r="AC752" i="24" s="1"/>
  <c r="V811" i="24"/>
  <c r="AC811" i="24" s="1"/>
  <c r="V854" i="24"/>
  <c r="AC854" i="24" s="1"/>
  <c r="V726" i="24"/>
  <c r="AC726" i="24" s="1"/>
  <c r="V785" i="24"/>
  <c r="AC785" i="24" s="1"/>
  <c r="V759" i="24"/>
  <c r="AC759" i="24" s="1"/>
  <c r="V818" i="24"/>
  <c r="AC818" i="24" s="1"/>
  <c r="V861" i="24"/>
  <c r="AC861" i="24" s="1"/>
  <c r="T764" i="24"/>
  <c r="V665" i="24"/>
  <c r="AC665" i="24" s="1"/>
  <c r="V755" i="24"/>
  <c r="AC755" i="24" s="1"/>
  <c r="T853" i="24"/>
  <c r="T705" i="24"/>
  <c r="V696" i="24"/>
  <c r="AC696" i="24" s="1"/>
  <c r="T684" i="24"/>
  <c r="T790" i="24"/>
  <c r="V691" i="24"/>
  <c r="AC691" i="24" s="1"/>
  <c r="V781" i="24"/>
  <c r="AC781" i="24" s="1"/>
  <c r="T779" i="24"/>
  <c r="V698" i="24"/>
  <c r="AC698" i="24" s="1"/>
  <c r="V747" i="24"/>
  <c r="AC747" i="24" s="1"/>
  <c r="V839" i="24"/>
  <c r="AC839" i="24" s="1"/>
  <c r="V671" i="24"/>
  <c r="AC671" i="24" s="1"/>
  <c r="V714" i="24"/>
  <c r="AC714" i="24" s="1"/>
  <c r="V728" i="24"/>
  <c r="AC728" i="24" s="1"/>
  <c r="T838" i="24"/>
  <c r="T834" i="24"/>
  <c r="V916" i="24"/>
  <c r="AC916" i="24" s="1"/>
  <c r="U942" i="24"/>
  <c r="AB942" i="24" s="1"/>
  <c r="U940" i="24"/>
  <c r="AB940" i="24" s="1"/>
  <c r="U882" i="24"/>
  <c r="AB882" i="24" s="1"/>
  <c r="U778" i="24"/>
  <c r="AB778" i="24" s="1"/>
  <c r="U880" i="24"/>
  <c r="AB880" i="24" s="1"/>
  <c r="U776" i="24"/>
  <c r="AB776" i="24" s="1"/>
  <c r="U841" i="24"/>
  <c r="AB841" i="24" s="1"/>
  <c r="U890" i="24"/>
  <c r="AB890" i="24" s="1"/>
  <c r="U786" i="24"/>
  <c r="AB786" i="24" s="1"/>
  <c r="U839" i="24"/>
  <c r="AB839" i="24" s="1"/>
  <c r="U888" i="24"/>
  <c r="AB888" i="24" s="1"/>
  <c r="U784" i="24"/>
  <c r="AB784" i="24" s="1"/>
  <c r="U837" i="24"/>
  <c r="AB837" i="24" s="1"/>
  <c r="U886" i="24"/>
  <c r="AB886" i="24" s="1"/>
  <c r="U782" i="24"/>
  <c r="AB782" i="24" s="1"/>
  <c r="U884" i="24"/>
  <c r="AB884" i="24" s="1"/>
  <c r="U780" i="24"/>
  <c r="AB780" i="24" s="1"/>
  <c r="U870" i="24"/>
  <c r="AB870" i="24" s="1"/>
  <c r="U979" i="24"/>
  <c r="AB979" i="24" s="1"/>
  <c r="U766" i="24"/>
  <c r="AB766" i="24" s="1"/>
  <c r="U868" i="24"/>
  <c r="AB868" i="24" s="1"/>
  <c r="U977" i="24"/>
  <c r="AB977" i="24" s="1"/>
  <c r="U764" i="24"/>
  <c r="AB764" i="24" s="1"/>
  <c r="U878" i="24"/>
  <c r="AB878" i="24" s="1"/>
  <c r="U774" i="24"/>
  <c r="AB774" i="24" s="1"/>
  <c r="U876" i="24"/>
  <c r="AB876" i="24" s="1"/>
  <c r="U772" i="24"/>
  <c r="AB772" i="24" s="1"/>
  <c r="U874" i="24"/>
  <c r="AB874" i="24" s="1"/>
  <c r="U770" i="24"/>
  <c r="AB770" i="24" s="1"/>
  <c r="U872" i="24"/>
  <c r="AB872" i="24" s="1"/>
  <c r="U981" i="24"/>
  <c r="AB981" i="24" s="1"/>
  <c r="U768" i="24"/>
  <c r="AB768" i="24" s="1"/>
  <c r="U827" i="24"/>
  <c r="AB827" i="24" s="1"/>
  <c r="U967" i="24"/>
  <c r="AB967" i="24" s="1"/>
  <c r="U929" i="24"/>
  <c r="AB929" i="24" s="1"/>
  <c r="U754" i="24"/>
  <c r="AB754" i="24" s="1"/>
  <c r="U825" i="24"/>
  <c r="AB825" i="24" s="1"/>
  <c r="U965" i="24"/>
  <c r="AB965" i="24" s="1"/>
  <c r="U927" i="24"/>
  <c r="AB927" i="24" s="1"/>
  <c r="U752" i="24"/>
  <c r="AB752" i="24" s="1"/>
  <c r="U835" i="24"/>
  <c r="AB835" i="24" s="1"/>
  <c r="U975" i="24"/>
  <c r="AB975" i="24" s="1"/>
  <c r="U762" i="24"/>
  <c r="AB762" i="24" s="1"/>
  <c r="U833" i="24"/>
  <c r="AB833" i="24" s="1"/>
  <c r="U973" i="24"/>
  <c r="AB973" i="24" s="1"/>
  <c r="U760" i="24"/>
  <c r="AB760" i="24" s="1"/>
  <c r="U831" i="24"/>
  <c r="AB831" i="24" s="1"/>
  <c r="U971" i="24"/>
  <c r="AB971" i="24" s="1"/>
  <c r="U933" i="24"/>
  <c r="AB933" i="24" s="1"/>
  <c r="U758" i="24"/>
  <c r="AB758" i="24" s="1"/>
  <c r="U829" i="24"/>
  <c r="AB829" i="24" s="1"/>
  <c r="U969" i="24"/>
  <c r="AB969" i="24" s="1"/>
  <c r="U931" i="24"/>
  <c r="AB931" i="24" s="1"/>
  <c r="U756" i="24"/>
  <c r="AB756" i="24" s="1"/>
  <c r="U815" i="24"/>
  <c r="AB815" i="24" s="1"/>
  <c r="U917" i="24"/>
  <c r="AB917" i="24" s="1"/>
  <c r="U742" i="24"/>
  <c r="AB742" i="24" s="1"/>
  <c r="U813" i="24"/>
  <c r="AB813" i="24" s="1"/>
  <c r="U953" i="24"/>
  <c r="AB953" i="24" s="1"/>
  <c r="U866" i="24"/>
  <c r="AB866" i="24" s="1"/>
  <c r="U915" i="24"/>
  <c r="AB915" i="24" s="1"/>
  <c r="U740" i="24"/>
  <c r="AB740" i="24" s="1"/>
  <c r="U823" i="24"/>
  <c r="AB823" i="24" s="1"/>
  <c r="U963" i="24"/>
  <c r="AB963" i="24" s="1"/>
  <c r="U925" i="24"/>
  <c r="AB925" i="24" s="1"/>
  <c r="U750" i="24"/>
  <c r="AB750" i="24" s="1"/>
  <c r="U821" i="24"/>
  <c r="AB821" i="24" s="1"/>
  <c r="U961" i="24"/>
  <c r="AB961" i="24" s="1"/>
  <c r="U923" i="24"/>
  <c r="AB923" i="24" s="1"/>
  <c r="U748" i="24"/>
  <c r="AB748" i="24" s="1"/>
  <c r="U819" i="24"/>
  <c r="AB819" i="24" s="1"/>
  <c r="U959" i="24"/>
  <c r="AB959" i="24" s="1"/>
  <c r="U921" i="24"/>
  <c r="AB921" i="24" s="1"/>
  <c r="U746" i="24"/>
  <c r="AB746" i="24" s="1"/>
  <c r="U817" i="24"/>
  <c r="AB817" i="24" s="1"/>
  <c r="U957" i="24"/>
  <c r="AB957" i="24" s="1"/>
  <c r="U919" i="24"/>
  <c r="AB919" i="24" s="1"/>
  <c r="U744" i="24"/>
  <c r="AB744" i="24" s="1"/>
  <c r="U803" i="24"/>
  <c r="AB803" i="24" s="1"/>
  <c r="U856" i="24"/>
  <c r="AB856" i="24" s="1"/>
  <c r="U905" i="24"/>
  <c r="AB905" i="24" s="1"/>
  <c r="U730" i="24"/>
  <c r="AB730" i="24" s="1"/>
  <c r="U801" i="24"/>
  <c r="AB801" i="24" s="1"/>
  <c r="U854" i="24"/>
  <c r="AB854" i="24" s="1"/>
  <c r="U903" i="24"/>
  <c r="AB903" i="24" s="1"/>
  <c r="U728" i="24"/>
  <c r="AB728" i="24" s="1"/>
  <c r="U811" i="24"/>
  <c r="AB811" i="24" s="1"/>
  <c r="U950" i="24"/>
  <c r="AB950" i="24" s="1"/>
  <c r="U864" i="24"/>
  <c r="AB864" i="24" s="1"/>
  <c r="U913" i="24"/>
  <c r="AB913" i="24" s="1"/>
  <c r="U738" i="24"/>
  <c r="AB738" i="24" s="1"/>
  <c r="U809" i="24"/>
  <c r="AB809" i="24" s="1"/>
  <c r="U945" i="24"/>
  <c r="AB945" i="24" s="1"/>
  <c r="U862" i="24"/>
  <c r="AB862" i="24" s="1"/>
  <c r="U911" i="24"/>
  <c r="AB911" i="24" s="1"/>
  <c r="U736" i="24"/>
  <c r="AB736" i="24" s="1"/>
  <c r="U807" i="24"/>
  <c r="AB807" i="24" s="1"/>
  <c r="U941" i="24"/>
  <c r="AB941" i="24" s="1"/>
  <c r="U860" i="24"/>
  <c r="AB860" i="24" s="1"/>
  <c r="U909" i="24"/>
  <c r="AB909" i="24" s="1"/>
  <c r="U734" i="24"/>
  <c r="AB734" i="24" s="1"/>
  <c r="U805" i="24"/>
  <c r="AB805" i="24" s="1"/>
  <c r="U938" i="24"/>
  <c r="AB938" i="24" s="1"/>
  <c r="U858" i="24"/>
  <c r="AB858" i="24" s="1"/>
  <c r="U907" i="24"/>
  <c r="AB907" i="24" s="1"/>
  <c r="U732" i="24"/>
  <c r="AB732" i="24" s="1"/>
  <c r="U791" i="24"/>
  <c r="AB791" i="24" s="1"/>
  <c r="U844" i="24"/>
  <c r="AB844" i="24" s="1"/>
  <c r="U893" i="24"/>
  <c r="AB893" i="24" s="1"/>
  <c r="U789" i="24"/>
  <c r="AB789" i="24" s="1"/>
  <c r="U842" i="24"/>
  <c r="AB842" i="24" s="1"/>
  <c r="U891" i="24"/>
  <c r="AB891" i="24" s="1"/>
  <c r="U799" i="24"/>
  <c r="AB799" i="24" s="1"/>
  <c r="U852" i="24"/>
  <c r="AB852" i="24" s="1"/>
  <c r="U901" i="24"/>
  <c r="AB901" i="24" s="1"/>
  <c r="U726" i="24"/>
  <c r="AB726" i="24" s="1"/>
  <c r="U797" i="24"/>
  <c r="AB797" i="24" s="1"/>
  <c r="U850" i="24"/>
  <c r="AB850" i="24" s="1"/>
  <c r="U899" i="24"/>
  <c r="AB899" i="24" s="1"/>
  <c r="U724" i="24"/>
  <c r="AB724" i="24" s="1"/>
  <c r="U795" i="24"/>
  <c r="AB795" i="24" s="1"/>
  <c r="U848" i="24"/>
  <c r="AB848" i="24" s="1"/>
  <c r="U897" i="24"/>
  <c r="AB897" i="24" s="1"/>
  <c r="U722" i="24"/>
  <c r="AB722" i="24" s="1"/>
  <c r="U793" i="24"/>
  <c r="AB793" i="24" s="1"/>
  <c r="U846" i="24"/>
  <c r="AB846" i="24" s="1"/>
  <c r="U895" i="24"/>
  <c r="AB895" i="24" s="1"/>
  <c r="U720" i="24"/>
  <c r="AB720" i="24" s="1"/>
  <c r="U955" i="24"/>
  <c r="AB955" i="24" s="1"/>
  <c r="U779" i="24"/>
  <c r="AB779" i="24" s="1"/>
  <c r="U881" i="24"/>
  <c r="AB881" i="24" s="1"/>
  <c r="U777" i="24"/>
  <c r="AB777" i="24" s="1"/>
  <c r="U879" i="24"/>
  <c r="AB879" i="24" s="1"/>
  <c r="U787" i="24"/>
  <c r="AB787" i="24" s="1"/>
  <c r="U840" i="24"/>
  <c r="AB840" i="24" s="1"/>
  <c r="U889" i="24"/>
  <c r="AB889" i="24" s="1"/>
  <c r="U785" i="24"/>
  <c r="AB785" i="24" s="1"/>
  <c r="U838" i="24"/>
  <c r="AB838" i="24" s="1"/>
  <c r="U887" i="24"/>
  <c r="AB887" i="24" s="1"/>
  <c r="U783" i="24"/>
  <c r="AB783" i="24" s="1"/>
  <c r="U885" i="24"/>
  <c r="AB885" i="24" s="1"/>
  <c r="U781" i="24"/>
  <c r="AB781" i="24" s="1"/>
  <c r="U883" i="24"/>
  <c r="AB883" i="24" s="1"/>
  <c r="U943" i="24"/>
  <c r="AB943" i="24" s="1"/>
  <c r="U767" i="24"/>
  <c r="AB767" i="24" s="1"/>
  <c r="U869" i="24"/>
  <c r="AB869" i="24" s="1"/>
  <c r="U978" i="24"/>
  <c r="AB978" i="24" s="1"/>
  <c r="U765" i="24"/>
  <c r="AB765" i="24" s="1"/>
  <c r="U836" i="24"/>
  <c r="AB836" i="24" s="1"/>
  <c r="U976" i="24"/>
  <c r="AB976" i="24" s="1"/>
  <c r="U775" i="24"/>
  <c r="AB775" i="24" s="1"/>
  <c r="U877" i="24"/>
  <c r="AB877" i="24" s="1"/>
  <c r="U773" i="24"/>
  <c r="AB773" i="24" s="1"/>
  <c r="U875" i="24"/>
  <c r="AB875" i="24" s="1"/>
  <c r="U771" i="24"/>
  <c r="AB771" i="24" s="1"/>
  <c r="U873" i="24"/>
  <c r="AB873" i="24" s="1"/>
  <c r="U769" i="24"/>
  <c r="AB769" i="24" s="1"/>
  <c r="U871" i="24"/>
  <c r="AB871" i="24" s="1"/>
  <c r="U980" i="24"/>
  <c r="AB980" i="24" s="1"/>
  <c r="U930" i="24"/>
  <c r="AB930" i="24" s="1"/>
  <c r="U755" i="24"/>
  <c r="AB755" i="24" s="1"/>
  <c r="U826" i="24"/>
  <c r="AB826" i="24" s="1"/>
  <c r="U966" i="24"/>
  <c r="AB966" i="24" s="1"/>
  <c r="U928" i="24"/>
  <c r="AB928" i="24" s="1"/>
  <c r="U753" i="24"/>
  <c r="AB753" i="24" s="1"/>
  <c r="U824" i="24"/>
  <c r="AB824" i="24" s="1"/>
  <c r="U964" i="24"/>
  <c r="AB964" i="24" s="1"/>
  <c r="U763" i="24"/>
  <c r="AB763" i="24" s="1"/>
  <c r="U834" i="24"/>
  <c r="AB834" i="24" s="1"/>
  <c r="U974" i="24"/>
  <c r="AB974" i="24" s="1"/>
  <c r="U761" i="24"/>
  <c r="AB761" i="24" s="1"/>
  <c r="U832" i="24"/>
  <c r="AB832" i="24" s="1"/>
  <c r="U972" i="24"/>
  <c r="AB972" i="24" s="1"/>
  <c r="U759" i="24"/>
  <c r="AB759" i="24" s="1"/>
  <c r="U830" i="24"/>
  <c r="AB830" i="24" s="1"/>
  <c r="U970" i="24"/>
  <c r="AB970" i="24" s="1"/>
  <c r="U932" i="24"/>
  <c r="AB932" i="24" s="1"/>
  <c r="U757" i="24"/>
  <c r="AB757" i="24" s="1"/>
  <c r="U828" i="24"/>
  <c r="AB828" i="24" s="1"/>
  <c r="U968" i="24"/>
  <c r="AB968" i="24" s="1"/>
  <c r="U949" i="24"/>
  <c r="AB949" i="24" s="1"/>
  <c r="U918" i="24"/>
  <c r="AB918" i="24" s="1"/>
  <c r="U743" i="24"/>
  <c r="AB743" i="24" s="1"/>
  <c r="U814" i="24"/>
  <c r="AB814" i="24" s="1"/>
  <c r="U956" i="24"/>
  <c r="AB956" i="24" s="1"/>
  <c r="U867" i="24"/>
  <c r="AB867" i="24" s="1"/>
  <c r="U916" i="24"/>
  <c r="AB916" i="24" s="1"/>
  <c r="U741" i="24"/>
  <c r="AB741" i="24" s="1"/>
  <c r="U812" i="24"/>
  <c r="AB812" i="24" s="1"/>
  <c r="U926" i="24"/>
  <c r="AB926" i="24" s="1"/>
  <c r="U751" i="24"/>
  <c r="AB751" i="24" s="1"/>
  <c r="U822" i="24"/>
  <c r="AB822" i="24" s="1"/>
  <c r="U962" i="24"/>
  <c r="AB962" i="24" s="1"/>
  <c r="U924" i="24"/>
  <c r="AB924" i="24" s="1"/>
  <c r="U749" i="24"/>
  <c r="AB749" i="24" s="1"/>
  <c r="U820" i="24"/>
  <c r="AB820" i="24" s="1"/>
  <c r="U960" i="24"/>
  <c r="AB960" i="24" s="1"/>
  <c r="U922" i="24"/>
  <c r="AB922" i="24" s="1"/>
  <c r="U747" i="24"/>
  <c r="AB747" i="24" s="1"/>
  <c r="U818" i="24"/>
  <c r="AB818" i="24" s="1"/>
  <c r="U958" i="24"/>
  <c r="AB958" i="24" s="1"/>
  <c r="U920" i="24"/>
  <c r="AB920" i="24" s="1"/>
  <c r="U745" i="24"/>
  <c r="AB745" i="24" s="1"/>
  <c r="U816" i="24"/>
  <c r="AB816" i="24" s="1"/>
  <c r="U894" i="24"/>
  <c r="AB894" i="24" s="1"/>
  <c r="U951" i="24"/>
  <c r="AB951" i="24" s="1"/>
  <c r="U865" i="24"/>
  <c r="AB865" i="24" s="1"/>
  <c r="U737" i="24"/>
  <c r="AB737" i="24" s="1"/>
  <c r="U939" i="24"/>
  <c r="AB939" i="24" s="1"/>
  <c r="U859" i="24"/>
  <c r="AB859" i="24" s="1"/>
  <c r="U804" i="24"/>
  <c r="AB804" i="24" s="1"/>
  <c r="U731" i="24"/>
  <c r="AB731" i="24" s="1"/>
  <c r="U853" i="24"/>
  <c r="AB853" i="24" s="1"/>
  <c r="U725" i="24"/>
  <c r="AB725" i="24" s="1"/>
  <c r="U847" i="24"/>
  <c r="AB847" i="24" s="1"/>
  <c r="U792" i="24"/>
  <c r="AB792" i="24" s="1"/>
  <c r="U810" i="24"/>
  <c r="AB810" i="24" s="1"/>
  <c r="U910" i="24"/>
  <c r="AB910" i="24" s="1"/>
  <c r="U904" i="24"/>
  <c r="AB904" i="24" s="1"/>
  <c r="U798" i="24"/>
  <c r="AB798" i="24" s="1"/>
  <c r="U898" i="24"/>
  <c r="AB898" i="24" s="1"/>
  <c r="U892" i="24"/>
  <c r="AB892" i="24" s="1"/>
  <c r="U947" i="24"/>
  <c r="AB947" i="24" s="1"/>
  <c r="U863" i="24"/>
  <c r="AB863" i="24" s="1"/>
  <c r="U735" i="24"/>
  <c r="AB735" i="24" s="1"/>
  <c r="U935" i="24"/>
  <c r="AB935" i="24" s="1"/>
  <c r="U857" i="24"/>
  <c r="AB857" i="24" s="1"/>
  <c r="U729" i="24"/>
  <c r="AB729" i="24" s="1"/>
  <c r="U851" i="24"/>
  <c r="AB851" i="24" s="1"/>
  <c r="U723" i="24"/>
  <c r="AB723" i="24" s="1"/>
  <c r="U845" i="24"/>
  <c r="AB845" i="24" s="1"/>
  <c r="U914" i="24"/>
  <c r="AB914" i="24" s="1"/>
  <c r="U808" i="24"/>
  <c r="AB808" i="24" s="1"/>
  <c r="U908" i="24"/>
  <c r="AB908" i="24" s="1"/>
  <c r="U937" i="24"/>
  <c r="AB937" i="24" s="1"/>
  <c r="U948" i="24"/>
  <c r="AB948" i="24" s="1"/>
  <c r="U946" i="24"/>
  <c r="AB946" i="24" s="1"/>
  <c r="U902" i="24"/>
  <c r="AB902" i="24" s="1"/>
  <c r="U796" i="24"/>
  <c r="AB796" i="24" s="1"/>
  <c r="U896" i="24"/>
  <c r="AB896" i="24" s="1"/>
  <c r="U936" i="24"/>
  <c r="AB936" i="24" s="1"/>
  <c r="U934" i="24"/>
  <c r="AB934" i="24" s="1"/>
  <c r="U802" i="24"/>
  <c r="AB802" i="24" s="1"/>
  <c r="U739" i="24"/>
  <c r="AB739" i="24" s="1"/>
  <c r="U944" i="24"/>
  <c r="AB944" i="24" s="1"/>
  <c r="U861" i="24"/>
  <c r="AB861" i="24" s="1"/>
  <c r="U733" i="24"/>
  <c r="AB733" i="24" s="1"/>
  <c r="U790" i="24"/>
  <c r="AB790" i="24" s="1"/>
  <c r="U855" i="24"/>
  <c r="AB855" i="24" s="1"/>
  <c r="U727" i="24"/>
  <c r="AB727" i="24" s="1"/>
  <c r="U849" i="24"/>
  <c r="AB849" i="24" s="1"/>
  <c r="U721" i="24"/>
  <c r="AB721" i="24" s="1"/>
  <c r="U952" i="24"/>
  <c r="AB952" i="24" s="1"/>
  <c r="U843" i="24"/>
  <c r="AB843" i="24" s="1"/>
  <c r="U800" i="24"/>
  <c r="AB800" i="24" s="1"/>
  <c r="U912" i="24"/>
  <c r="AB912" i="24" s="1"/>
  <c r="U806" i="24"/>
  <c r="AB806" i="24" s="1"/>
  <c r="T776" i="24"/>
  <c r="V677" i="24"/>
  <c r="AC677" i="24" s="1"/>
  <c r="V767" i="24"/>
  <c r="AC767" i="24" s="1"/>
  <c r="T865" i="24"/>
  <c r="T717" i="24"/>
  <c r="V708" i="24"/>
  <c r="AC708" i="24" s="1"/>
  <c r="T935" i="24"/>
  <c r="T802" i="24"/>
  <c r="V793" i="24"/>
  <c r="AC793" i="24" s="1"/>
  <c r="T803" i="24"/>
  <c r="V710" i="24"/>
  <c r="AC710" i="24" s="1"/>
  <c r="V771" i="24"/>
  <c r="AC771" i="24" s="1"/>
  <c r="T663" i="24"/>
  <c r="V863" i="24"/>
  <c r="AC863" i="24" s="1"/>
  <c r="V683" i="24"/>
  <c r="AC683" i="24" s="1"/>
  <c r="V740" i="24"/>
  <c r="AC740" i="24" s="1"/>
  <c r="S978" i="24"/>
  <c r="S981" i="24"/>
  <c r="S943" i="24"/>
  <c r="S907" i="24"/>
  <c r="S848" i="24"/>
  <c r="S941" i="24"/>
  <c r="S890" i="24"/>
  <c r="S952" i="24"/>
  <c r="S864" i="24"/>
  <c r="S923" i="24"/>
  <c r="S932" i="24"/>
  <c r="S780" i="24"/>
  <c r="S745" i="24"/>
  <c r="S776" i="24"/>
  <c r="S798" i="24"/>
  <c r="S816" i="24"/>
  <c r="S794" i="24"/>
  <c r="S759" i="24"/>
  <c r="S738" i="24"/>
  <c r="S980" i="24"/>
  <c r="S959" i="24"/>
  <c r="S975" i="24"/>
  <c r="S875" i="24"/>
  <c r="S855" i="24"/>
  <c r="S920" i="24"/>
  <c r="S953" i="24"/>
  <c r="S872" i="24"/>
  <c r="S867" i="24"/>
  <c r="S918" i="24"/>
  <c r="S950" i="24"/>
  <c r="S869" i="24"/>
  <c r="S865" i="24"/>
  <c r="S914" i="24"/>
  <c r="S808" i="24"/>
  <c r="S781" i="24"/>
  <c r="S929" i="24"/>
  <c r="S728" i="24"/>
  <c r="S771" i="24"/>
  <c r="S742" i="24"/>
  <c r="S930" i="24"/>
  <c r="S820" i="24"/>
  <c r="S774" i="24"/>
  <c r="S815" i="24"/>
  <c r="S822" i="24"/>
  <c r="S788" i="24"/>
  <c r="S824" i="24"/>
  <c r="S762" i="24"/>
  <c r="S970" i="24"/>
  <c r="S972" i="24"/>
  <c r="S916" i="24"/>
  <c r="S858" i="24"/>
  <c r="S895" i="24"/>
  <c r="S913" i="24"/>
  <c r="S838" i="24"/>
  <c r="S879" i="24"/>
  <c r="S896" i="24"/>
  <c r="S860" i="24"/>
  <c r="S891" i="24"/>
  <c r="S765" i="24"/>
  <c r="S783" i="24"/>
  <c r="S754" i="24"/>
  <c r="S931" i="24"/>
  <c r="S767" i="24"/>
  <c r="S750" i="24"/>
  <c r="S928" i="24"/>
  <c r="S785" i="24"/>
  <c r="S740" i="24"/>
  <c r="S761" i="24"/>
  <c r="S817" i="24"/>
  <c r="S832" i="24"/>
  <c r="S967" i="24"/>
  <c r="S893" i="24"/>
  <c r="S854" i="24"/>
  <c r="S945" i="24"/>
  <c r="S926" i="24"/>
  <c r="S938" i="24"/>
  <c r="S912" i="24"/>
  <c r="S946" i="24"/>
  <c r="S757" i="24"/>
  <c r="S821" i="24"/>
  <c r="S833" i="24"/>
  <c r="S784" i="24"/>
  <c r="S746" i="24"/>
  <c r="S807" i="24"/>
  <c r="S835" i="24"/>
  <c r="S827" i="24"/>
  <c r="S751" i="24"/>
  <c r="S730" i="24"/>
  <c r="S911" i="24"/>
  <c r="S845" i="24"/>
  <c r="S909" i="24"/>
  <c r="S956" i="24"/>
  <c r="S908" i="24"/>
  <c r="S863" i="24"/>
  <c r="S881" i="24"/>
  <c r="S951" i="24"/>
  <c r="S905" i="24"/>
  <c r="S850" i="24"/>
  <c r="S906" i="24"/>
  <c r="S936" i="24"/>
  <c r="S810" i="24"/>
  <c r="S749" i="24"/>
  <c r="S775" i="24"/>
  <c r="S729" i="24"/>
  <c r="S801" i="24"/>
  <c r="S769" i="24"/>
  <c r="S800" i="24"/>
  <c r="S777" i="24"/>
  <c r="S976" i="24"/>
  <c r="S958" i="24"/>
  <c r="S902" i="24"/>
  <c r="S840" i="24"/>
  <c r="S878" i="24"/>
  <c r="S899" i="24"/>
  <c r="S859" i="24"/>
  <c r="S892" i="24"/>
  <c r="S924" i="24"/>
  <c r="S847" i="24"/>
  <c r="S903" i="24"/>
  <c r="S825" i="24"/>
  <c r="S735" i="24"/>
  <c r="S831" i="24"/>
  <c r="S792" i="24"/>
  <c r="S818" i="24"/>
  <c r="S809" i="24"/>
  <c r="S779" i="24"/>
  <c r="S753" i="24"/>
  <c r="S760" i="24"/>
  <c r="S724" i="24"/>
  <c r="S965" i="24"/>
  <c r="S969" i="24"/>
  <c r="S851" i="24"/>
  <c r="S900" i="24"/>
  <c r="S862" i="24"/>
  <c r="S944" i="24"/>
  <c r="S885" i="24"/>
  <c r="S861" i="24"/>
  <c r="S939" i="24"/>
  <c r="S868" i="24"/>
  <c r="S949" i="24"/>
  <c r="S736" i="24"/>
  <c r="S812" i="24"/>
  <c r="S720" i="24"/>
  <c r="S747" i="24"/>
  <c r="S799" i="24"/>
  <c r="S727" i="24"/>
  <c r="S793" i="24"/>
  <c r="S786" i="24"/>
  <c r="S739" i="24"/>
  <c r="S933" i="24"/>
  <c r="S963" i="24"/>
  <c r="S977" i="24"/>
  <c r="S883" i="24"/>
  <c r="S843" i="24"/>
  <c r="S901" i="24"/>
  <c r="S937" i="24"/>
  <c r="S889" i="24"/>
  <c r="S839" i="24"/>
  <c r="S917" i="24"/>
  <c r="S934" i="24"/>
  <c r="S886" i="24"/>
  <c r="S856" i="24"/>
  <c r="S894" i="24"/>
  <c r="S942" i="24"/>
  <c r="S806" i="24"/>
  <c r="S805" i="24"/>
  <c r="S722" i="24"/>
  <c r="S778" i="24"/>
  <c r="S782" i="24"/>
  <c r="S773" i="24"/>
  <c r="S764" i="24"/>
  <c r="S723" i="24"/>
  <c r="S961" i="24"/>
  <c r="S974" i="24"/>
  <c r="S957" i="24"/>
  <c r="S960" i="24"/>
  <c r="S874" i="24"/>
  <c r="S876" i="24"/>
  <c r="S873" i="24"/>
  <c r="S841" i="24"/>
  <c r="S870" i="24"/>
  <c r="S915" i="24"/>
  <c r="S853" i="24"/>
  <c r="S888" i="24"/>
  <c r="S968" i="24"/>
  <c r="S962" i="24"/>
  <c r="S973" i="24"/>
  <c r="S979" i="24"/>
  <c r="S887" i="24"/>
  <c r="S947" i="24"/>
  <c r="S871" i="24"/>
  <c r="S842" i="24"/>
  <c r="S955" i="24"/>
  <c r="S904" i="24"/>
  <c r="S935" i="24"/>
  <c r="S857" i="24"/>
  <c r="S804" i="24"/>
  <c r="S803" i="24"/>
  <c r="S802" i="24"/>
  <c r="S796" i="24"/>
  <c r="S823" i="24"/>
  <c r="S726" i="24"/>
  <c r="S756" i="24"/>
  <c r="S830" i="24"/>
  <c r="S844" i="24"/>
  <c r="S919" i="24"/>
  <c r="S787" i="24"/>
  <c r="S768" i="24"/>
  <c r="S725" i="24"/>
  <c r="S971" i="24"/>
  <c r="S922" i="24"/>
  <c r="S910" i="24"/>
  <c r="S733" i="24"/>
  <c r="S964" i="24"/>
  <c r="S877" i="24"/>
  <c r="S826" i="24"/>
  <c r="S721" i="24"/>
  <c r="S921" i="24"/>
  <c r="S954" i="24"/>
  <c r="S791" i="24"/>
  <c r="S925" i="24"/>
  <c r="S948" i="24"/>
  <c r="S882" i="24"/>
  <c r="S741" i="24"/>
  <c r="S748" i="24"/>
  <c r="S966" i="24"/>
  <c r="S880" i="24"/>
  <c r="S884" i="24"/>
  <c r="S797" i="24"/>
  <c r="S772" i="24"/>
  <c r="S744" i="24"/>
  <c r="S834" i="24"/>
  <c r="S814" i="24"/>
  <c r="S897" i="24"/>
  <c r="S849" i="24"/>
  <c r="S763" i="24"/>
  <c r="S811" i="24"/>
  <c r="S813" i="24"/>
  <c r="S898" i="24"/>
  <c r="S852" i="24"/>
  <c r="S766" i="24"/>
  <c r="S737" i="24"/>
  <c r="S836" i="24"/>
  <c r="S795" i="24"/>
  <c r="S731" i="24"/>
  <c r="S927" i="24"/>
  <c r="S940" i="24"/>
  <c r="S837" i="24"/>
  <c r="S770" i="24"/>
  <c r="S732" i="24"/>
  <c r="S789" i="24"/>
  <c r="S829" i="24"/>
  <c r="S846" i="24"/>
  <c r="S743" i="24"/>
  <c r="S790" i="24"/>
  <c r="S758" i="24"/>
  <c r="T788" i="24"/>
  <c r="V689" i="24"/>
  <c r="AC689" i="24" s="1"/>
  <c r="V779" i="24"/>
  <c r="AC779" i="24" s="1"/>
  <c r="T729" i="24"/>
  <c r="V720" i="24"/>
  <c r="AC720" i="24" s="1"/>
  <c r="T947" i="24"/>
  <c r="T814" i="24"/>
  <c r="V848" i="24"/>
  <c r="AC848" i="24" s="1"/>
  <c r="V805" i="24"/>
  <c r="AC805" i="24" s="1"/>
  <c r="T649" i="24"/>
  <c r="T815" i="24"/>
  <c r="V734" i="24"/>
  <c r="AC734" i="24" s="1"/>
  <c r="V795" i="24"/>
  <c r="AC795" i="24" s="1"/>
  <c r="V864" i="24"/>
  <c r="AC864" i="24" s="1"/>
  <c r="V664" i="24"/>
  <c r="AC664" i="24" s="1"/>
  <c r="T977" i="24"/>
  <c r="T874" i="24"/>
  <c r="T885" i="24"/>
  <c r="T884" i="24"/>
  <c r="T883" i="24"/>
  <c r="T870" i="24"/>
  <c r="T903" i="24"/>
  <c r="T980" i="24"/>
  <c r="T965" i="24"/>
  <c r="T976" i="24"/>
  <c r="T873" i="24"/>
  <c r="T872" i="24"/>
  <c r="T871" i="24"/>
  <c r="T972" i="24"/>
  <c r="T891" i="24"/>
  <c r="T968" i="24"/>
  <c r="T924" i="24"/>
  <c r="T964" i="24"/>
  <c r="T975" i="24"/>
  <c r="T974" i="24"/>
  <c r="T973" i="24"/>
  <c r="T960" i="24"/>
  <c r="T916" i="24"/>
  <c r="T963" i="24"/>
  <c r="T962" i="24"/>
  <c r="T961" i="24"/>
  <c r="T904" i="24"/>
  <c r="T981" i="24"/>
  <c r="T925" i="24"/>
  <c r="T900" i="24"/>
  <c r="T892" i="24"/>
  <c r="T969" i="24"/>
  <c r="T913" i="24"/>
  <c r="T888" i="24"/>
  <c r="T917" i="24"/>
  <c r="T880" i="24"/>
  <c r="T957" i="24"/>
  <c r="T901" i="24"/>
  <c r="T876" i="24"/>
  <c r="T905" i="24"/>
  <c r="T868" i="24"/>
  <c r="T889" i="24"/>
  <c r="T978" i="24"/>
  <c r="T852" i="24"/>
  <c r="T923" i="24"/>
  <c r="T893" i="24"/>
  <c r="T970" i="24"/>
  <c r="T926" i="24"/>
  <c r="T877" i="24"/>
  <c r="T966" i="24"/>
  <c r="T840" i="24"/>
  <c r="T911" i="24"/>
  <c r="T922" i="24"/>
  <c r="T899" i="24"/>
  <c r="T910" i="24"/>
  <c r="T921" i="24"/>
  <c r="T920" i="24"/>
  <c r="T919" i="24"/>
  <c r="T906" i="24"/>
  <c r="T869" i="24"/>
  <c r="T902" i="24"/>
  <c r="T967" i="24"/>
  <c r="T894" i="24"/>
  <c r="T864" i="24"/>
  <c r="T751" i="24"/>
  <c r="T810" i="24"/>
  <c r="T943" i="24"/>
  <c r="T725" i="24"/>
  <c r="T784" i="24"/>
  <c r="T847" i="24"/>
  <c r="T758" i="24"/>
  <c r="T817" i="24"/>
  <c r="T950" i="24"/>
  <c r="T732" i="24"/>
  <c r="T791" i="24"/>
  <c r="T907" i="24"/>
  <c r="T882" i="24"/>
  <c r="T881" i="24"/>
  <c r="T958" i="24"/>
  <c r="T927" i="24"/>
  <c r="T739" i="24"/>
  <c r="T798" i="24"/>
  <c r="T861" i="24"/>
  <c r="T772" i="24"/>
  <c r="T831" i="24"/>
  <c r="T746" i="24"/>
  <c r="T895" i="24"/>
  <c r="T971" i="24"/>
  <c r="T915" i="24"/>
  <c r="T945" i="24"/>
  <c r="T727" i="24"/>
  <c r="T786" i="24"/>
  <c r="T849" i="24"/>
  <c r="T760" i="24"/>
  <c r="T819" i="24"/>
  <c r="T952" i="24"/>
  <c r="T734" i="24"/>
  <c r="T793" i="24"/>
  <c r="T856" i="24"/>
  <c r="T767" i="24"/>
  <c r="T887" i="24"/>
  <c r="T898" i="24"/>
  <c r="T909" i="24"/>
  <c r="T908" i="24"/>
  <c r="T959" i="24"/>
  <c r="T879" i="24"/>
  <c r="T863" i="24"/>
  <c r="T774" i="24"/>
  <c r="T833" i="24"/>
  <c r="T837" i="24"/>
  <c r="T748" i="24"/>
  <c r="T932" i="24"/>
  <c r="T807" i="24"/>
  <c r="T940" i="24"/>
  <c r="T722" i="24"/>
  <c r="T781" i="24"/>
  <c r="T844" i="24"/>
  <c r="T755" i="24"/>
  <c r="T875" i="24"/>
  <c r="T886" i="24"/>
  <c r="T897" i="24"/>
  <c r="T896" i="24"/>
  <c r="T851" i="24"/>
  <c r="T762" i="24"/>
  <c r="T821" i="24"/>
  <c r="T954" i="24"/>
  <c r="T736" i="24"/>
  <c r="T795" i="24"/>
  <c r="T858" i="24"/>
  <c r="T769" i="24"/>
  <c r="T914" i="24"/>
  <c r="T835" i="24"/>
  <c r="T839" i="24"/>
  <c r="T750" i="24"/>
  <c r="T809" i="24"/>
  <c r="T942" i="24"/>
  <c r="T724" i="24"/>
  <c r="T783" i="24"/>
  <c r="T846" i="24"/>
  <c r="T757" i="24"/>
  <c r="T816" i="24"/>
  <c r="T949" i="24"/>
  <c r="T731" i="24"/>
  <c r="T890" i="24"/>
  <c r="T912" i="24"/>
  <c r="T823" i="24"/>
  <c r="T956" i="24"/>
  <c r="T738" i="24"/>
  <c r="T797" i="24"/>
  <c r="T860" i="24"/>
  <c r="T771" i="24"/>
  <c r="T878" i="24"/>
  <c r="T979" i="24"/>
  <c r="T811" i="24"/>
  <c r="T944" i="24"/>
  <c r="T726" i="24"/>
  <c r="T785" i="24"/>
  <c r="T848" i="24"/>
  <c r="T759" i="24"/>
  <c r="T818" i="24"/>
  <c r="T951" i="24"/>
  <c r="T733" i="24"/>
  <c r="T792" i="24"/>
  <c r="T799" i="24"/>
  <c r="T862" i="24"/>
  <c r="T773" i="24"/>
  <c r="T832" i="24"/>
  <c r="T747" i="24"/>
  <c r="T931" i="24"/>
  <c r="T806" i="24"/>
  <c r="T939" i="24"/>
  <c r="T721" i="24"/>
  <c r="T787" i="24"/>
  <c r="T850" i="24"/>
  <c r="T761" i="24"/>
  <c r="T820" i="24"/>
  <c r="T953" i="24"/>
  <c r="T735" i="24"/>
  <c r="T794" i="24"/>
  <c r="T857" i="24"/>
  <c r="T768" i="24"/>
  <c r="T827" i="24"/>
  <c r="T800" i="24"/>
  <c r="V933" i="24"/>
  <c r="AC933" i="24" s="1"/>
  <c r="V791" i="24"/>
  <c r="AC791" i="24" s="1"/>
  <c r="T741" i="24"/>
  <c r="V732" i="24"/>
  <c r="AC732" i="24" s="1"/>
  <c r="T826" i="24"/>
  <c r="V860" i="24"/>
  <c r="AC860" i="24" s="1"/>
  <c r="V817" i="24"/>
  <c r="AC817" i="24" s="1"/>
  <c r="T661" i="24"/>
  <c r="V770" i="24"/>
  <c r="AC770" i="24" s="1"/>
  <c r="V819" i="24"/>
  <c r="AC819" i="24" s="1"/>
  <c r="T697" i="24"/>
  <c r="V736" i="24"/>
  <c r="AC736" i="24" s="1"/>
  <c r="V676" i="24"/>
  <c r="AC676" i="24" s="1"/>
  <c r="V939" i="24"/>
  <c r="AC939" i="24" s="1"/>
  <c r="S828" i="24"/>
  <c r="S691" i="24"/>
  <c r="U788" i="24"/>
  <c r="AB788" i="24" s="1"/>
  <c r="U906" i="24"/>
  <c r="AB906" i="24" s="1"/>
  <c r="T812" i="24"/>
  <c r="V846" i="24"/>
  <c r="AC846" i="24" s="1"/>
  <c r="V803" i="24"/>
  <c r="AC803" i="24" s="1"/>
  <c r="T647" i="24"/>
  <c r="T753" i="24"/>
  <c r="V654" i="24"/>
  <c r="AC654" i="24" s="1"/>
  <c r="V744" i="24"/>
  <c r="AC744" i="24" s="1"/>
  <c r="T842" i="24"/>
  <c r="V829" i="24"/>
  <c r="AC829" i="24" s="1"/>
  <c r="T673" i="24"/>
  <c r="V794" i="24"/>
  <c r="AC794" i="24" s="1"/>
  <c r="T650" i="24"/>
  <c r="T845" i="24"/>
  <c r="T745" i="24"/>
  <c r="V796" i="24"/>
  <c r="AC796" i="24" s="1"/>
  <c r="T664" i="24"/>
  <c r="V761" i="24"/>
  <c r="AC761" i="24" s="1"/>
  <c r="T665" i="24"/>
  <c r="V929" i="24"/>
  <c r="AC929" i="24" s="1"/>
  <c r="T737" i="24"/>
  <c r="S755" i="24"/>
  <c r="V881" i="24"/>
  <c r="AC881" i="24" s="1"/>
  <c r="V923" i="24"/>
  <c r="AC923" i="24" s="1"/>
  <c r="S866" i="24"/>
  <c r="T678" i="24"/>
  <c r="T699" i="24"/>
  <c r="T652" i="24"/>
  <c r="T685" i="24"/>
  <c r="T692" i="24"/>
  <c r="T713" i="24"/>
  <c r="T666" i="24"/>
  <c r="T680" i="24"/>
  <c r="T701" i="24"/>
  <c r="T654" i="24"/>
  <c r="T687" i="24"/>
  <c r="T708" i="24"/>
  <c r="T694" i="24"/>
  <c r="T715" i="24"/>
  <c r="T668" i="24"/>
  <c r="T675" i="24"/>
  <c r="T696" i="24"/>
  <c r="T682" i="24"/>
  <c r="T703" i="24"/>
  <c r="T656" i="24"/>
  <c r="T689" i="24"/>
  <c r="T710" i="24"/>
  <c r="T670" i="24"/>
  <c r="T677" i="24"/>
  <c r="T698" i="24"/>
  <c r="T651" i="24"/>
  <c r="T658" i="24"/>
  <c r="T691" i="24"/>
  <c r="T712" i="24"/>
  <c r="T679" i="24"/>
  <c r="T700" i="24"/>
  <c r="T653" i="24"/>
  <c r="T686" i="24"/>
  <c r="T693" i="24"/>
  <c r="T714" i="24"/>
  <c r="T667" i="24"/>
  <c r="T681" i="24"/>
  <c r="T702" i="24"/>
  <c r="T655" i="24"/>
  <c r="T688" i="24"/>
  <c r="T709" i="24"/>
  <c r="T662" i="24"/>
  <c r="T718" i="24"/>
  <c r="T824" i="24"/>
  <c r="V858" i="24"/>
  <c r="AC858" i="24" s="1"/>
  <c r="V815" i="24"/>
  <c r="AC815" i="24" s="1"/>
  <c r="T659" i="24"/>
  <c r="T765" i="24"/>
  <c r="V666" i="24"/>
  <c r="AC666" i="24" s="1"/>
  <c r="V756" i="24"/>
  <c r="AC756" i="24" s="1"/>
  <c r="T854" i="24"/>
  <c r="T706" i="24"/>
  <c r="V697" i="24"/>
  <c r="AC697" i="24" s="1"/>
  <c r="T936" i="24"/>
  <c r="V806" i="24"/>
  <c r="AC806" i="24" s="1"/>
  <c r="T674" i="24"/>
  <c r="V657" i="24"/>
  <c r="AC657" i="24" s="1"/>
  <c r="T805" i="24"/>
  <c r="V820" i="24"/>
  <c r="AC820" i="24" s="1"/>
  <c r="T676" i="24"/>
  <c r="T770" i="24"/>
  <c r="V773" i="24"/>
  <c r="AC773" i="24" s="1"/>
  <c r="T723" i="24"/>
  <c r="V842" i="24"/>
  <c r="AC842" i="24" s="1"/>
  <c r="T749" i="24"/>
  <c r="V856" i="24"/>
  <c r="AC856" i="24" s="1"/>
  <c r="U900" i="24"/>
  <c r="AB900" i="24" s="1"/>
  <c r="AD2021" i="24"/>
  <c r="I27" i="13"/>
  <c r="I96" i="13" s="1"/>
  <c r="T62" i="24"/>
  <c r="T61" i="24"/>
  <c r="T60" i="24"/>
  <c r="T59" i="24"/>
  <c r="T58" i="24"/>
  <c r="B58" i="24"/>
  <c r="B59" i="24"/>
  <c r="B60" i="24"/>
  <c r="B61" i="24"/>
  <c r="B62" i="24"/>
  <c r="V62" i="24"/>
  <c r="AC62" i="24" s="1"/>
  <c r="V61" i="24"/>
  <c r="AC61" i="24" s="1"/>
  <c r="V60" i="24"/>
  <c r="AC60" i="24" s="1"/>
  <c r="V59" i="24"/>
  <c r="AC59" i="24" s="1"/>
  <c r="V58" i="24"/>
  <c r="AC58" i="24" s="1"/>
  <c r="B982" i="24"/>
  <c r="B983" i="24"/>
  <c r="B984" i="24"/>
  <c r="B985" i="24"/>
  <c r="B986" i="24"/>
  <c r="B987" i="24"/>
  <c r="B988" i="24"/>
  <c r="B989" i="24"/>
  <c r="B990" i="24"/>
  <c r="B991" i="24"/>
  <c r="B992" i="24"/>
  <c r="B993" i="24"/>
  <c r="B994" i="24"/>
  <c r="B995" i="24"/>
  <c r="B996" i="24"/>
  <c r="B997" i="24"/>
  <c r="B998" i="24"/>
  <c r="B999" i="24"/>
  <c r="B1000" i="24"/>
  <c r="B1001" i="24"/>
  <c r="B1002" i="24"/>
  <c r="B1003" i="24"/>
  <c r="B1004" i="24"/>
  <c r="B1005" i="24"/>
  <c r="B1006" i="24"/>
  <c r="B1007" i="24"/>
  <c r="B1008" i="24"/>
  <c r="B1009" i="24"/>
  <c r="B1010" i="24"/>
  <c r="B1011" i="24"/>
  <c r="B1012" i="24"/>
  <c r="B1013" i="24"/>
  <c r="B1014" i="24"/>
  <c r="B1015" i="24"/>
  <c r="B1016" i="24"/>
  <c r="B1017" i="24"/>
  <c r="B1018" i="24"/>
  <c r="B1019" i="24"/>
  <c r="B1020" i="24"/>
  <c r="B1021" i="24"/>
  <c r="B1022" i="24"/>
  <c r="B1023" i="24"/>
  <c r="B1024" i="24"/>
  <c r="B1025" i="24"/>
  <c r="B1026" i="24"/>
  <c r="B1027" i="24"/>
  <c r="B1028" i="24"/>
  <c r="B1029" i="24"/>
  <c r="B1030" i="24"/>
  <c r="B1031" i="24"/>
  <c r="B1032" i="24"/>
  <c r="B1033" i="24"/>
  <c r="B1034" i="24"/>
  <c r="B1035" i="24"/>
  <c r="B1036" i="24"/>
  <c r="B1037" i="24"/>
  <c r="B1038" i="24"/>
  <c r="B1039" i="24"/>
  <c r="B1040" i="24"/>
  <c r="B1041" i="24"/>
  <c r="B1042" i="24"/>
  <c r="B1043" i="24"/>
  <c r="B1044" i="24"/>
  <c r="B1045" i="24"/>
  <c r="B1046" i="24"/>
  <c r="B1047" i="24"/>
  <c r="B1048" i="24"/>
  <c r="B1049" i="24"/>
  <c r="B1050" i="24"/>
  <c r="B1051" i="24"/>
  <c r="B1052" i="24"/>
  <c r="B1053" i="24"/>
  <c r="B1054" i="24"/>
  <c r="B1055" i="24"/>
  <c r="B1056" i="24"/>
  <c r="B1057" i="24"/>
  <c r="B1058" i="24"/>
  <c r="B1059" i="24"/>
  <c r="B1060" i="24"/>
  <c r="B1061" i="24"/>
  <c r="B1062" i="24"/>
  <c r="B1063" i="24"/>
  <c r="B1064" i="24"/>
  <c r="B1065" i="24"/>
  <c r="B1066" i="24"/>
  <c r="B1067" i="24"/>
  <c r="B1068" i="24"/>
  <c r="B1069" i="24"/>
  <c r="B1070" i="24"/>
  <c r="B1071" i="24"/>
  <c r="B1072" i="24"/>
  <c r="B1073" i="24"/>
  <c r="B1074" i="24"/>
  <c r="B1075" i="24"/>
  <c r="B1076" i="24"/>
  <c r="B1077" i="24"/>
  <c r="B1078" i="24"/>
  <c r="B1079" i="24"/>
  <c r="B1080" i="24"/>
  <c r="B1081" i="24"/>
  <c r="B1082" i="24"/>
  <c r="B1083" i="24"/>
  <c r="B1084" i="24"/>
  <c r="B1085" i="24"/>
  <c r="B1086" i="24"/>
  <c r="B1087" i="24"/>
  <c r="B1088" i="24"/>
  <c r="B1089" i="24"/>
  <c r="B1090" i="24"/>
  <c r="B1091" i="24"/>
  <c r="B1092" i="24"/>
  <c r="B1093" i="24"/>
  <c r="B1094" i="24"/>
  <c r="B1095" i="24"/>
  <c r="B1096" i="24"/>
  <c r="B1097" i="24"/>
  <c r="B1098" i="24"/>
  <c r="B1099" i="24"/>
  <c r="B1100" i="24"/>
  <c r="B1101" i="24"/>
  <c r="B1102" i="24"/>
  <c r="B1103" i="24"/>
  <c r="B1104" i="24"/>
  <c r="B1105" i="24"/>
  <c r="B1106" i="24"/>
  <c r="B1107" i="24"/>
  <c r="B1108" i="24"/>
  <c r="B1109" i="24"/>
  <c r="B1110" i="24"/>
  <c r="B1111" i="24"/>
  <c r="B1112" i="24"/>
  <c r="B1113" i="24"/>
  <c r="B1114" i="24"/>
  <c r="B1115" i="24"/>
  <c r="B1116" i="24"/>
  <c r="B1117" i="24"/>
  <c r="B1118" i="24"/>
  <c r="B1119" i="24"/>
  <c r="B1120" i="24"/>
  <c r="B1121" i="24"/>
  <c r="B1122" i="24"/>
  <c r="B1123" i="24"/>
  <c r="B1124" i="24"/>
  <c r="B1125" i="24"/>
  <c r="B1126" i="24"/>
  <c r="B1127" i="24"/>
  <c r="B1128" i="24"/>
  <c r="B1129" i="24"/>
  <c r="B1130" i="24"/>
  <c r="B1131" i="24"/>
  <c r="B1132" i="24"/>
  <c r="B1133" i="24"/>
  <c r="B1134" i="24"/>
  <c r="B1135" i="24"/>
  <c r="B1136" i="24"/>
  <c r="B1137" i="24"/>
  <c r="B1138" i="24"/>
  <c r="B1139" i="24"/>
  <c r="B1140" i="24"/>
  <c r="B1141" i="24"/>
  <c r="B1142" i="24"/>
  <c r="B1143" i="24"/>
  <c r="B1144" i="24"/>
  <c r="B1145" i="24"/>
  <c r="B1146" i="24"/>
  <c r="B1147" i="24"/>
  <c r="B1148" i="24"/>
  <c r="B1149" i="24"/>
  <c r="B1150" i="24"/>
  <c r="B1151" i="24"/>
  <c r="B1152" i="24"/>
  <c r="B1153" i="24"/>
  <c r="B1154" i="24"/>
  <c r="B1155" i="24"/>
  <c r="B1156" i="24"/>
  <c r="B1157" i="24"/>
  <c r="B1158" i="24"/>
  <c r="B1159" i="24"/>
  <c r="B1160" i="24"/>
  <c r="B1161" i="24"/>
  <c r="B1162" i="24"/>
  <c r="B1163" i="24"/>
  <c r="B1164" i="24"/>
  <c r="B1165" i="24"/>
  <c r="B1166" i="24"/>
  <c r="B1167" i="24"/>
  <c r="B1168" i="24"/>
  <c r="B1169" i="24"/>
  <c r="B1170" i="24"/>
  <c r="B1171" i="24"/>
  <c r="B1172" i="24"/>
  <c r="B1173" i="24"/>
  <c r="B1174" i="24"/>
  <c r="B1175" i="24"/>
  <c r="B1176" i="24"/>
  <c r="B1177" i="24"/>
  <c r="B1178" i="24"/>
  <c r="B1179" i="24"/>
  <c r="B1180" i="24"/>
  <c r="B1181" i="24"/>
  <c r="B1182" i="24"/>
  <c r="B1183" i="24"/>
  <c r="B1184" i="24"/>
  <c r="B1185" i="24"/>
  <c r="B1186" i="24"/>
  <c r="B1187" i="24"/>
  <c r="B1188" i="24"/>
  <c r="B1189" i="24"/>
  <c r="B1190" i="24"/>
  <c r="B1191" i="24"/>
  <c r="B1192" i="24"/>
  <c r="B1193" i="24"/>
  <c r="B1194" i="24"/>
  <c r="B1195" i="24"/>
  <c r="B1196" i="24"/>
  <c r="B1197" i="24"/>
  <c r="B1198" i="24"/>
  <c r="B1199" i="24"/>
  <c r="B1200" i="24"/>
  <c r="B1201" i="24"/>
  <c r="B1202" i="24"/>
  <c r="B1203" i="24"/>
  <c r="B1204" i="24"/>
  <c r="B1205" i="24"/>
  <c r="B1206" i="24"/>
  <c r="B1207" i="24"/>
  <c r="B1208" i="24"/>
  <c r="B1209" i="24"/>
  <c r="B1210" i="24"/>
  <c r="B1211" i="24"/>
  <c r="B1212" i="24"/>
  <c r="B1213" i="24"/>
  <c r="B1214" i="24"/>
  <c r="B1215" i="24"/>
  <c r="B1216" i="24"/>
  <c r="B1217" i="24"/>
  <c r="B1218" i="24"/>
  <c r="B1219" i="24"/>
  <c r="B1220" i="24"/>
  <c r="B1221" i="24"/>
  <c r="B1222" i="24"/>
  <c r="B1223" i="24"/>
  <c r="B1224" i="24"/>
  <c r="B1225" i="24"/>
  <c r="B1226" i="24"/>
  <c r="B1227" i="24"/>
  <c r="B1228" i="24"/>
  <c r="B1229" i="24"/>
  <c r="B1230" i="24"/>
  <c r="B1231" i="24"/>
  <c r="B1232" i="24"/>
  <c r="B1233" i="24"/>
  <c r="B1234" i="24"/>
  <c r="B1235" i="24"/>
  <c r="B1236" i="24"/>
  <c r="B1237" i="24"/>
  <c r="B1238" i="24"/>
  <c r="B1239" i="24"/>
  <c r="B1240" i="24"/>
  <c r="B1241" i="24"/>
  <c r="B1242" i="24"/>
  <c r="B1243" i="24"/>
  <c r="B1244" i="24"/>
  <c r="B1245" i="24"/>
  <c r="B1246" i="24"/>
  <c r="B1247" i="24"/>
  <c r="B1248" i="24"/>
  <c r="B1249" i="24"/>
  <c r="B1250" i="24"/>
  <c r="B1251" i="24"/>
  <c r="B1252" i="24"/>
  <c r="B1253" i="24"/>
  <c r="B1254" i="24"/>
  <c r="B1255" i="24"/>
  <c r="B1256" i="24"/>
  <c r="B1257" i="24"/>
  <c r="B1258" i="24"/>
  <c r="B1259" i="24"/>
  <c r="B1260" i="24"/>
  <c r="B1261" i="24"/>
  <c r="B1262" i="24"/>
  <c r="B1263" i="24"/>
  <c r="B1264" i="24"/>
  <c r="B1265" i="24"/>
  <c r="B1266" i="24"/>
  <c r="B1267" i="24"/>
  <c r="B1268" i="24"/>
  <c r="B1269" i="24"/>
  <c r="B1270" i="24"/>
  <c r="B1271" i="24"/>
  <c r="B1272" i="24"/>
  <c r="B1273" i="24"/>
  <c r="B1274" i="24"/>
  <c r="B1275" i="24"/>
  <c r="B1276" i="24"/>
  <c r="B1277" i="24"/>
  <c r="B1278" i="24"/>
  <c r="B1279" i="24"/>
  <c r="B1280" i="24"/>
  <c r="B1281" i="24"/>
  <c r="B1282" i="24"/>
  <c r="B1283" i="24"/>
  <c r="B1284" i="24"/>
  <c r="B1285" i="24"/>
  <c r="B1286" i="24"/>
  <c r="B1287" i="24"/>
  <c r="B1288" i="24"/>
  <c r="B1289" i="24"/>
  <c r="B1290" i="24"/>
  <c r="B1291" i="24"/>
  <c r="B1292" i="24"/>
  <c r="B1293" i="24"/>
  <c r="B1294" i="24"/>
  <c r="B1295" i="24"/>
  <c r="B1296" i="24"/>
  <c r="B1297" i="24"/>
  <c r="B1298" i="24"/>
  <c r="B1299" i="24"/>
  <c r="B1300" i="24"/>
  <c r="B1301" i="24"/>
  <c r="B1302" i="24"/>
  <c r="B1303" i="24"/>
  <c r="B1304" i="24"/>
  <c r="B1305" i="24"/>
  <c r="B1306" i="24"/>
  <c r="B1307" i="24"/>
  <c r="B1308" i="24"/>
  <c r="B1309" i="24"/>
  <c r="B1310" i="24"/>
  <c r="B1311" i="24"/>
  <c r="B1312" i="24"/>
  <c r="B1313" i="24"/>
  <c r="B1314" i="24"/>
  <c r="B1315" i="24"/>
  <c r="B1316" i="24"/>
  <c r="B1317" i="24"/>
  <c r="B1318" i="24"/>
  <c r="B1319" i="24"/>
  <c r="B1320" i="24"/>
  <c r="B1321" i="24"/>
  <c r="B1322" i="24"/>
  <c r="B1323" i="24"/>
  <c r="B1324" i="24"/>
  <c r="B1325" i="24"/>
  <c r="B1326" i="24"/>
  <c r="B1327" i="24"/>
  <c r="B1328" i="24"/>
  <c r="B1329" i="24"/>
  <c r="B1330" i="24"/>
  <c r="B1331" i="24"/>
  <c r="B1332" i="24"/>
  <c r="B1333" i="24"/>
  <c r="B1334" i="24"/>
  <c r="B1335" i="24"/>
  <c r="B1336" i="24"/>
  <c r="B1337" i="24"/>
  <c r="B1338" i="24"/>
  <c r="B1339" i="24"/>
  <c r="B1340" i="24"/>
  <c r="B1341" i="24"/>
  <c r="B1342" i="24"/>
  <c r="B1343" i="24"/>
  <c r="B1344" i="24"/>
  <c r="B1345" i="24"/>
  <c r="B1346" i="24"/>
  <c r="B1347" i="24"/>
  <c r="B1348" i="24"/>
  <c r="B1349" i="24"/>
  <c r="B1350" i="24"/>
  <c r="B1351" i="24"/>
  <c r="B1352" i="24"/>
  <c r="B1353" i="24"/>
  <c r="B1354" i="24"/>
  <c r="B1355" i="24"/>
  <c r="B1356" i="24"/>
  <c r="B1357" i="24"/>
  <c r="B1358" i="24"/>
  <c r="B1359" i="24"/>
  <c r="B1360" i="24"/>
  <c r="B1361" i="24"/>
  <c r="B1362" i="24"/>
  <c r="B1363" i="24"/>
  <c r="B1364" i="24"/>
  <c r="B1365" i="24"/>
  <c r="B1366" i="24"/>
  <c r="B1367" i="24"/>
  <c r="B1368" i="24"/>
  <c r="B1369" i="24"/>
  <c r="B1370" i="24"/>
  <c r="B1371" i="24"/>
  <c r="B1372" i="24"/>
  <c r="B1373" i="24"/>
  <c r="B1374" i="24"/>
  <c r="B1375" i="24"/>
  <c r="B1376" i="24"/>
  <c r="B1377" i="24"/>
  <c r="B1378" i="24"/>
  <c r="B1379" i="24"/>
  <c r="B1380" i="24"/>
  <c r="B1381" i="24"/>
  <c r="B1382" i="24"/>
  <c r="B1383" i="24"/>
  <c r="B1384" i="24"/>
  <c r="B1385" i="24"/>
  <c r="B1386" i="24"/>
  <c r="B1387" i="24"/>
  <c r="B1388" i="24"/>
  <c r="B1389" i="24"/>
  <c r="B1390" i="24"/>
  <c r="B1391" i="24"/>
  <c r="B1392" i="24"/>
  <c r="B1393" i="24"/>
  <c r="B1394" i="24"/>
  <c r="B1395" i="24"/>
  <c r="B1396" i="24"/>
  <c r="B1397" i="24"/>
  <c r="B1398" i="24"/>
  <c r="B1399" i="24"/>
  <c r="B1400" i="24"/>
  <c r="B1401" i="24"/>
  <c r="B1402" i="24"/>
  <c r="B1403" i="24"/>
  <c r="B1404" i="24"/>
  <c r="B1405" i="24"/>
  <c r="B1406" i="24"/>
  <c r="B1407" i="24"/>
  <c r="B1408" i="24"/>
  <c r="B1409" i="24"/>
  <c r="B1410" i="24"/>
  <c r="B1411" i="24"/>
  <c r="B1412" i="24"/>
  <c r="B1413" i="24"/>
  <c r="B1414" i="24"/>
  <c r="B1415" i="24"/>
  <c r="B1416" i="24"/>
  <c r="B1417" i="24"/>
  <c r="B1418" i="24"/>
  <c r="B1419" i="24"/>
  <c r="B1420" i="24"/>
  <c r="B1421" i="24"/>
  <c r="B1422" i="24"/>
  <c r="B1423" i="24"/>
  <c r="B1424" i="24"/>
  <c r="B1425" i="24"/>
  <c r="B1426" i="24"/>
  <c r="B1427" i="24"/>
  <c r="B1428" i="24"/>
  <c r="B1429" i="24"/>
  <c r="B1430" i="24"/>
  <c r="B1431" i="24"/>
  <c r="B1432" i="24"/>
  <c r="B1433" i="24"/>
  <c r="B1434" i="24"/>
  <c r="B1435" i="24"/>
  <c r="B1436" i="24"/>
  <c r="B1437" i="24"/>
  <c r="B1438" i="24"/>
  <c r="B1439" i="24"/>
  <c r="B1440" i="24"/>
  <c r="B1441" i="24"/>
  <c r="B1442" i="24"/>
  <c r="B1443" i="24"/>
  <c r="B1444" i="24"/>
  <c r="B1445" i="24"/>
  <c r="B1446" i="24"/>
  <c r="B1447" i="24"/>
  <c r="B1448" i="24"/>
  <c r="B1449" i="24"/>
  <c r="B1450" i="24"/>
  <c r="B1451" i="24"/>
  <c r="B1452" i="24"/>
  <c r="B1453" i="24"/>
  <c r="B1454" i="24"/>
  <c r="B1455" i="24"/>
  <c r="B1456" i="24"/>
  <c r="B1457" i="24"/>
  <c r="B1458" i="24"/>
  <c r="B1459" i="24"/>
  <c r="B1460" i="24"/>
  <c r="B1461" i="24"/>
  <c r="B1462" i="24"/>
  <c r="B1463" i="24"/>
  <c r="B1464" i="24"/>
  <c r="B1465" i="24"/>
  <c r="B1466" i="24"/>
  <c r="B1467" i="24"/>
  <c r="B1468" i="24"/>
  <c r="B1469" i="24"/>
  <c r="B1470" i="24"/>
  <c r="B1471" i="24"/>
  <c r="B1472" i="24"/>
  <c r="B1473" i="24"/>
  <c r="B1474" i="24"/>
  <c r="B1475" i="24"/>
  <c r="B1476" i="24"/>
  <c r="B1477" i="24"/>
  <c r="B1478" i="24"/>
  <c r="B1479" i="24"/>
  <c r="B1480" i="24"/>
  <c r="B1481" i="24"/>
  <c r="B1482" i="24"/>
  <c r="B1483" i="24"/>
  <c r="B1484" i="24"/>
  <c r="B1485" i="24"/>
  <c r="B1486" i="24"/>
  <c r="B1487" i="24"/>
  <c r="B1488" i="24"/>
  <c r="B1489" i="24"/>
  <c r="B1490" i="24"/>
  <c r="B1491" i="24"/>
  <c r="B1492" i="24"/>
  <c r="B1493" i="24"/>
  <c r="B1494" i="24"/>
  <c r="B1495" i="24"/>
  <c r="B1496" i="24"/>
  <c r="B1497" i="24"/>
  <c r="B1498" i="24"/>
  <c r="B1499" i="24"/>
  <c r="B1500" i="24"/>
  <c r="B1501" i="24"/>
  <c r="V1501" i="24"/>
  <c r="AC1501" i="24" s="1"/>
  <c r="V1500" i="24"/>
  <c r="AC1500" i="24" s="1"/>
  <c r="V1499" i="24"/>
  <c r="AC1499" i="24" s="1"/>
  <c r="V1498" i="24"/>
  <c r="AC1498" i="24" s="1"/>
  <c r="V1497" i="24"/>
  <c r="AC1497" i="24" s="1"/>
  <c r="V1496" i="24"/>
  <c r="AC1496" i="24" s="1"/>
  <c r="V1495" i="24"/>
  <c r="AC1495" i="24" s="1"/>
  <c r="V1494" i="24"/>
  <c r="AC1494" i="24" s="1"/>
  <c r="V1493" i="24"/>
  <c r="AC1493" i="24" s="1"/>
  <c r="V1492" i="24"/>
  <c r="AC1492" i="24" s="1"/>
  <c r="V1491" i="24"/>
  <c r="AC1491" i="24" s="1"/>
  <c r="V1490" i="24"/>
  <c r="AC1490" i="24" s="1"/>
  <c r="V1489" i="24"/>
  <c r="AC1489" i="24" s="1"/>
  <c r="V1488" i="24"/>
  <c r="AC1488" i="24" s="1"/>
  <c r="V1487" i="24"/>
  <c r="AC1487" i="24" s="1"/>
  <c r="V1486" i="24"/>
  <c r="AC1486" i="24" s="1"/>
  <c r="V1485" i="24"/>
  <c r="AC1485" i="24" s="1"/>
  <c r="V1484" i="24"/>
  <c r="AC1484" i="24" s="1"/>
  <c r="V1483" i="24"/>
  <c r="AC1483" i="24" s="1"/>
  <c r="V1482" i="24"/>
  <c r="AC1482" i="24" s="1"/>
  <c r="V1481" i="24"/>
  <c r="AC1481" i="24" s="1"/>
  <c r="V1480" i="24"/>
  <c r="AC1480" i="24" s="1"/>
  <c r="V1479" i="24"/>
  <c r="AC1479" i="24" s="1"/>
  <c r="V1478" i="24"/>
  <c r="AC1478" i="24" s="1"/>
  <c r="V1477" i="24"/>
  <c r="AC1477" i="24" s="1"/>
  <c r="V1476" i="24"/>
  <c r="AC1476" i="24" s="1"/>
  <c r="V1475" i="24"/>
  <c r="AC1475" i="24" s="1"/>
  <c r="V1474" i="24"/>
  <c r="AC1474" i="24" s="1"/>
  <c r="V1473" i="24"/>
  <c r="AC1473" i="24" s="1"/>
  <c r="V1472" i="24"/>
  <c r="AC1472" i="24" s="1"/>
  <c r="V1471" i="24"/>
  <c r="AC1471" i="24" s="1"/>
  <c r="V1470" i="24"/>
  <c r="AC1470" i="24" s="1"/>
  <c r="V1469" i="24"/>
  <c r="AC1469" i="24" s="1"/>
  <c r="V1468" i="24"/>
  <c r="AC1468" i="24" s="1"/>
  <c r="V1467" i="24"/>
  <c r="AC1467" i="24" s="1"/>
  <c r="V1466" i="24"/>
  <c r="AC1466" i="24" s="1"/>
  <c r="V1465" i="24"/>
  <c r="AC1465" i="24" s="1"/>
  <c r="V1464" i="24"/>
  <c r="AC1464" i="24" s="1"/>
  <c r="V1463" i="24"/>
  <c r="AC1463" i="24" s="1"/>
  <c r="V1462" i="24"/>
  <c r="AC1462" i="24" s="1"/>
  <c r="V1461" i="24"/>
  <c r="AC1461" i="24" s="1"/>
  <c r="V1460" i="24"/>
  <c r="AC1460" i="24" s="1"/>
  <c r="V1459" i="24"/>
  <c r="AC1459" i="24" s="1"/>
  <c r="V1458" i="24"/>
  <c r="AC1458" i="24" s="1"/>
  <c r="V1457" i="24"/>
  <c r="AC1457" i="24" s="1"/>
  <c r="V1456" i="24"/>
  <c r="AC1456" i="24" s="1"/>
  <c r="V1455" i="24"/>
  <c r="AC1455" i="24" s="1"/>
  <c r="V1454" i="24"/>
  <c r="AC1454" i="24" s="1"/>
  <c r="V1453" i="24"/>
  <c r="AC1453" i="24" s="1"/>
  <c r="V1452" i="24"/>
  <c r="AC1452" i="24" s="1"/>
  <c r="V1451" i="24"/>
  <c r="AC1451" i="24" s="1"/>
  <c r="V1450" i="24"/>
  <c r="AC1450" i="24" s="1"/>
  <c r="V1449" i="24"/>
  <c r="AC1449" i="24" s="1"/>
  <c r="V1448" i="24"/>
  <c r="AC1448" i="24" s="1"/>
  <c r="V1447" i="24"/>
  <c r="AC1447" i="24" s="1"/>
  <c r="V1446" i="24"/>
  <c r="AC1446" i="24" s="1"/>
  <c r="V1445" i="24"/>
  <c r="AC1445" i="24" s="1"/>
  <c r="V1444" i="24"/>
  <c r="AC1444" i="24" s="1"/>
  <c r="V1443" i="24"/>
  <c r="AC1443" i="24" s="1"/>
  <c r="V1442" i="24"/>
  <c r="AC1442" i="24" s="1"/>
  <c r="V1441" i="24"/>
  <c r="AC1441" i="24" s="1"/>
  <c r="V1440" i="24"/>
  <c r="AC1440" i="24" s="1"/>
  <c r="V1439" i="24"/>
  <c r="AC1439" i="24" s="1"/>
  <c r="V1438" i="24"/>
  <c r="AC1438" i="24" s="1"/>
  <c r="V1437" i="24"/>
  <c r="AC1437" i="24" s="1"/>
  <c r="V1436" i="24"/>
  <c r="AC1436" i="24" s="1"/>
  <c r="V1435" i="24"/>
  <c r="AC1435" i="24" s="1"/>
  <c r="V1434" i="24"/>
  <c r="AC1434" i="24" s="1"/>
  <c r="V1433" i="24"/>
  <c r="AC1433" i="24" s="1"/>
  <c r="V1432" i="24"/>
  <c r="AC1432" i="24" s="1"/>
  <c r="V1431" i="24"/>
  <c r="AC1431" i="24" s="1"/>
  <c r="V1430" i="24"/>
  <c r="AC1430" i="24" s="1"/>
  <c r="V1429" i="24"/>
  <c r="AC1429" i="24" s="1"/>
  <c r="V1428" i="24"/>
  <c r="AC1428" i="24" s="1"/>
  <c r="V1427" i="24"/>
  <c r="AC1427" i="24" s="1"/>
  <c r="V1426" i="24"/>
  <c r="AC1426" i="24" s="1"/>
  <c r="V1425" i="24"/>
  <c r="AC1425" i="24" s="1"/>
  <c r="V1424" i="24"/>
  <c r="AC1424" i="24" s="1"/>
  <c r="V1423" i="24"/>
  <c r="AC1423" i="24" s="1"/>
  <c r="V1422" i="24"/>
  <c r="AC1422" i="24" s="1"/>
  <c r="V1421" i="24"/>
  <c r="AC1421" i="24" s="1"/>
  <c r="V1420" i="24"/>
  <c r="AC1420" i="24" s="1"/>
  <c r="V1419" i="24"/>
  <c r="AC1419" i="24" s="1"/>
  <c r="V1418" i="24"/>
  <c r="AC1418" i="24" s="1"/>
  <c r="V1417" i="24"/>
  <c r="AC1417" i="24" s="1"/>
  <c r="V1416" i="24"/>
  <c r="AC1416" i="24" s="1"/>
  <c r="V1415" i="24"/>
  <c r="AC1415" i="24" s="1"/>
  <c r="V1414" i="24"/>
  <c r="AC1414" i="24" s="1"/>
  <c r="V1413" i="24"/>
  <c r="AC1413" i="24" s="1"/>
  <c r="V1412" i="24"/>
  <c r="AC1412" i="24" s="1"/>
  <c r="V1411" i="24"/>
  <c r="AC1411" i="24" s="1"/>
  <c r="V1410" i="24"/>
  <c r="AC1410" i="24" s="1"/>
  <c r="V1409" i="24"/>
  <c r="AC1409" i="24" s="1"/>
  <c r="V1408" i="24"/>
  <c r="AC1408" i="24" s="1"/>
  <c r="V1407" i="24"/>
  <c r="AC1407" i="24" s="1"/>
  <c r="V1406" i="24"/>
  <c r="AC1406" i="24" s="1"/>
  <c r="V1405" i="24"/>
  <c r="AC1405" i="24" s="1"/>
  <c r="V1404" i="24"/>
  <c r="AC1404" i="24" s="1"/>
  <c r="V1403" i="24"/>
  <c r="AC1403" i="24" s="1"/>
  <c r="V1402" i="24"/>
  <c r="AC1402" i="24" s="1"/>
  <c r="V1401" i="24"/>
  <c r="AC1401" i="24" s="1"/>
  <c r="V1400" i="24"/>
  <c r="AC1400" i="24" s="1"/>
  <c r="V1399" i="24"/>
  <c r="AC1399" i="24" s="1"/>
  <c r="V1398" i="24"/>
  <c r="AC1398" i="24" s="1"/>
  <c r="V1397" i="24"/>
  <c r="AC1397" i="24" s="1"/>
  <c r="V1396" i="24"/>
  <c r="AC1396" i="24" s="1"/>
  <c r="V1395" i="24"/>
  <c r="AC1395" i="24" s="1"/>
  <c r="V1394" i="24"/>
  <c r="AC1394" i="24" s="1"/>
  <c r="V1393" i="24"/>
  <c r="AC1393" i="24" s="1"/>
  <c r="V1392" i="24"/>
  <c r="AC1392" i="24" s="1"/>
  <c r="V1391" i="24"/>
  <c r="AC1391" i="24" s="1"/>
  <c r="V1390" i="24"/>
  <c r="AC1390" i="24" s="1"/>
  <c r="V1389" i="24"/>
  <c r="AC1389" i="24" s="1"/>
  <c r="V1388" i="24"/>
  <c r="AC1388" i="24" s="1"/>
  <c r="V1387" i="24"/>
  <c r="AC1387" i="24" s="1"/>
  <c r="V1386" i="24"/>
  <c r="AC1386" i="24" s="1"/>
  <c r="V1385" i="24"/>
  <c r="AC1385" i="24" s="1"/>
  <c r="V1384" i="24"/>
  <c r="AC1384" i="24" s="1"/>
  <c r="V1383" i="24"/>
  <c r="AC1383" i="24" s="1"/>
  <c r="V1382" i="24"/>
  <c r="AC1382" i="24" s="1"/>
  <c r="V1381" i="24"/>
  <c r="AC1381" i="24" s="1"/>
  <c r="V1380" i="24"/>
  <c r="AC1380" i="24" s="1"/>
  <c r="V1379" i="24"/>
  <c r="AC1379" i="24" s="1"/>
  <c r="V1378" i="24"/>
  <c r="AC1378" i="24" s="1"/>
  <c r="V1377" i="24"/>
  <c r="AC1377" i="24" s="1"/>
  <c r="V1376" i="24"/>
  <c r="AC1376" i="24" s="1"/>
  <c r="V1375" i="24"/>
  <c r="AC1375" i="24" s="1"/>
  <c r="V1374" i="24"/>
  <c r="AC1374" i="24" s="1"/>
  <c r="V1373" i="24"/>
  <c r="AC1373" i="24" s="1"/>
  <c r="V1372" i="24"/>
  <c r="AC1372" i="24" s="1"/>
  <c r="V1371" i="24"/>
  <c r="AC1371" i="24" s="1"/>
  <c r="V1370" i="24"/>
  <c r="AC1370" i="24" s="1"/>
  <c r="V1369" i="24"/>
  <c r="AC1369" i="24" s="1"/>
  <c r="V1368" i="24"/>
  <c r="AC1368" i="24" s="1"/>
  <c r="V1367" i="24"/>
  <c r="AC1367" i="24" s="1"/>
  <c r="V1366" i="24"/>
  <c r="AC1366" i="24" s="1"/>
  <c r="V1365" i="24"/>
  <c r="AC1365" i="24" s="1"/>
  <c r="V1364" i="24"/>
  <c r="AC1364" i="24" s="1"/>
  <c r="V1363" i="24"/>
  <c r="AC1363" i="24" s="1"/>
  <c r="V1362" i="24"/>
  <c r="AC1362" i="24" s="1"/>
  <c r="V1361" i="24"/>
  <c r="AC1361" i="24" s="1"/>
  <c r="V1360" i="24"/>
  <c r="AC1360" i="24" s="1"/>
  <c r="V1359" i="24"/>
  <c r="AC1359" i="24" s="1"/>
  <c r="V1358" i="24"/>
  <c r="AC1358" i="24" s="1"/>
  <c r="V1357" i="24"/>
  <c r="AC1357" i="24" s="1"/>
  <c r="V1356" i="24"/>
  <c r="AC1356" i="24" s="1"/>
  <c r="V1355" i="24"/>
  <c r="AC1355" i="24" s="1"/>
  <c r="V1354" i="24"/>
  <c r="AC1354" i="24" s="1"/>
  <c r="V1353" i="24"/>
  <c r="AC1353" i="24" s="1"/>
  <c r="V1352" i="24"/>
  <c r="AC1352" i="24" s="1"/>
  <c r="V1351" i="24"/>
  <c r="AC1351" i="24" s="1"/>
  <c r="V1350" i="24"/>
  <c r="AC1350" i="24" s="1"/>
  <c r="V1349" i="24"/>
  <c r="AC1349" i="24" s="1"/>
  <c r="V1348" i="24"/>
  <c r="AC1348" i="24" s="1"/>
  <c r="V1347" i="24"/>
  <c r="AC1347" i="24" s="1"/>
  <c r="V1346" i="24"/>
  <c r="AC1346" i="24" s="1"/>
  <c r="V1345" i="24"/>
  <c r="AC1345" i="24" s="1"/>
  <c r="V1344" i="24"/>
  <c r="AC1344" i="24" s="1"/>
  <c r="V1343" i="24"/>
  <c r="AC1343" i="24" s="1"/>
  <c r="V1342" i="24"/>
  <c r="AC1342" i="24" s="1"/>
  <c r="V1341" i="24"/>
  <c r="AC1341" i="24" s="1"/>
  <c r="V1340" i="24"/>
  <c r="AC1340" i="24" s="1"/>
  <c r="V1339" i="24"/>
  <c r="AC1339" i="24" s="1"/>
  <c r="V1338" i="24"/>
  <c r="AC1338" i="24" s="1"/>
  <c r="V1337" i="24"/>
  <c r="AC1337" i="24" s="1"/>
  <c r="V1336" i="24"/>
  <c r="AC1336" i="24" s="1"/>
  <c r="V1335" i="24"/>
  <c r="AC1335" i="24" s="1"/>
  <c r="V1334" i="24"/>
  <c r="AC1334" i="24" s="1"/>
  <c r="V1333" i="24"/>
  <c r="AC1333" i="24" s="1"/>
  <c r="V1332" i="24"/>
  <c r="AC1332" i="24" s="1"/>
  <c r="V1331" i="24"/>
  <c r="AC1331" i="24" s="1"/>
  <c r="V1330" i="24"/>
  <c r="AC1330" i="24" s="1"/>
  <c r="V1329" i="24"/>
  <c r="AC1329" i="24" s="1"/>
  <c r="V1328" i="24"/>
  <c r="AC1328" i="24" s="1"/>
  <c r="V1327" i="24"/>
  <c r="AC1327" i="24" s="1"/>
  <c r="V1326" i="24"/>
  <c r="AC1326" i="24" s="1"/>
  <c r="V1325" i="24"/>
  <c r="AC1325" i="24" s="1"/>
  <c r="V1324" i="24"/>
  <c r="AC1324" i="24" s="1"/>
  <c r="V1323" i="24"/>
  <c r="AC1323" i="24" s="1"/>
  <c r="V1322" i="24"/>
  <c r="AC1322" i="24" s="1"/>
  <c r="V1321" i="24"/>
  <c r="AC1321" i="24" s="1"/>
  <c r="V1320" i="24"/>
  <c r="AC1320" i="24" s="1"/>
  <c r="V1319" i="24"/>
  <c r="AC1319" i="24" s="1"/>
  <c r="V1318" i="24"/>
  <c r="AC1318" i="24" s="1"/>
  <c r="V1317" i="24"/>
  <c r="AC1317" i="24" s="1"/>
  <c r="V1316" i="24"/>
  <c r="AC1316" i="24" s="1"/>
  <c r="V1315" i="24"/>
  <c r="AC1315" i="24" s="1"/>
  <c r="V1314" i="24"/>
  <c r="AC1314" i="24" s="1"/>
  <c r="V1313" i="24"/>
  <c r="AC1313" i="24" s="1"/>
  <c r="V1312" i="24"/>
  <c r="AC1312" i="24" s="1"/>
  <c r="V1311" i="24"/>
  <c r="AC1311" i="24" s="1"/>
  <c r="V1310" i="24"/>
  <c r="AC1310" i="24" s="1"/>
  <c r="V1309" i="24"/>
  <c r="AC1309" i="24" s="1"/>
  <c r="V1308" i="24"/>
  <c r="AC1308" i="24" s="1"/>
  <c r="V1307" i="24"/>
  <c r="AC1307" i="24" s="1"/>
  <c r="V1306" i="24"/>
  <c r="AC1306" i="24" s="1"/>
  <c r="V1305" i="24"/>
  <c r="AC1305" i="24" s="1"/>
  <c r="V1304" i="24"/>
  <c r="AC1304" i="24" s="1"/>
  <c r="V1303" i="24"/>
  <c r="AC1303" i="24" s="1"/>
  <c r="V1302" i="24"/>
  <c r="AC1302" i="24" s="1"/>
  <c r="V1301" i="24"/>
  <c r="AC1301" i="24" s="1"/>
  <c r="V1300" i="24"/>
  <c r="AC1300" i="24" s="1"/>
  <c r="V1299" i="24"/>
  <c r="AC1299" i="24" s="1"/>
  <c r="V1298" i="24"/>
  <c r="AC1298" i="24" s="1"/>
  <c r="V1297" i="24"/>
  <c r="AC1297" i="24" s="1"/>
  <c r="V1296" i="24"/>
  <c r="AC1296" i="24" s="1"/>
  <c r="V1295" i="24"/>
  <c r="AC1295" i="24" s="1"/>
  <c r="V1294" i="24"/>
  <c r="AC1294" i="24" s="1"/>
  <c r="V1293" i="24"/>
  <c r="AC1293" i="24" s="1"/>
  <c r="V1292" i="24"/>
  <c r="AC1292" i="24" s="1"/>
  <c r="V1291" i="24"/>
  <c r="AC1291" i="24" s="1"/>
  <c r="V1290" i="24"/>
  <c r="AC1290" i="24" s="1"/>
  <c r="V1289" i="24"/>
  <c r="AC1289" i="24" s="1"/>
  <c r="V1288" i="24"/>
  <c r="AC1288" i="24" s="1"/>
  <c r="V1287" i="24"/>
  <c r="AC1287" i="24" s="1"/>
  <c r="V1286" i="24"/>
  <c r="AC1286" i="24" s="1"/>
  <c r="V1285" i="24"/>
  <c r="AC1285" i="24" s="1"/>
  <c r="V1284" i="24"/>
  <c r="AC1284" i="24" s="1"/>
  <c r="V1283" i="24"/>
  <c r="AC1283" i="24" s="1"/>
  <c r="V1282" i="24"/>
  <c r="AC1282" i="24" s="1"/>
  <c r="V1281" i="24"/>
  <c r="AC1281" i="24" s="1"/>
  <c r="V1280" i="24"/>
  <c r="AC1280" i="24" s="1"/>
  <c r="V1279" i="24"/>
  <c r="AC1279" i="24" s="1"/>
  <c r="V1278" i="24"/>
  <c r="AC1278" i="24" s="1"/>
  <c r="V1277" i="24"/>
  <c r="AC1277" i="24" s="1"/>
  <c r="V1276" i="24"/>
  <c r="AC1276" i="24" s="1"/>
  <c r="V1275" i="24"/>
  <c r="AC1275" i="24" s="1"/>
  <c r="V1274" i="24"/>
  <c r="AC1274" i="24" s="1"/>
  <c r="V1273" i="24"/>
  <c r="AC1273" i="24" s="1"/>
  <c r="V1272" i="24"/>
  <c r="AC1272" i="24" s="1"/>
  <c r="V1271" i="24"/>
  <c r="AC1271" i="24" s="1"/>
  <c r="V1270" i="24"/>
  <c r="AC1270" i="24" s="1"/>
  <c r="V1269" i="24"/>
  <c r="AC1269" i="24" s="1"/>
  <c r="V1268" i="24"/>
  <c r="AC1268" i="24" s="1"/>
  <c r="V1267" i="24"/>
  <c r="AC1267" i="24" s="1"/>
  <c r="V1266" i="24"/>
  <c r="AC1266" i="24" s="1"/>
  <c r="V1265" i="24"/>
  <c r="AC1265" i="24" s="1"/>
  <c r="V1264" i="24"/>
  <c r="AC1264" i="24" s="1"/>
  <c r="V1263" i="24"/>
  <c r="AC1263" i="24" s="1"/>
  <c r="V1262" i="24"/>
  <c r="AC1262" i="24" s="1"/>
  <c r="V1261" i="24"/>
  <c r="AC1261" i="24" s="1"/>
  <c r="V1260" i="24"/>
  <c r="AC1260" i="24" s="1"/>
  <c r="V1259" i="24"/>
  <c r="AC1259" i="24" s="1"/>
  <c r="V1258" i="24"/>
  <c r="AC1258" i="24" s="1"/>
  <c r="V1257" i="24"/>
  <c r="AC1257" i="24" s="1"/>
  <c r="V1256" i="24"/>
  <c r="AC1256" i="24" s="1"/>
  <c r="V1255" i="24"/>
  <c r="AC1255" i="24" s="1"/>
  <c r="V1254" i="24"/>
  <c r="AC1254" i="24" s="1"/>
  <c r="V1253" i="24"/>
  <c r="AC1253" i="24" s="1"/>
  <c r="V1252" i="24"/>
  <c r="AC1252" i="24" s="1"/>
  <c r="V1251" i="24"/>
  <c r="AC1251" i="24" s="1"/>
  <c r="V1250" i="24"/>
  <c r="AC1250" i="24" s="1"/>
  <c r="V1249" i="24"/>
  <c r="AC1249" i="24" s="1"/>
  <c r="V1248" i="24"/>
  <c r="AC1248" i="24" s="1"/>
  <c r="V1247" i="24"/>
  <c r="AC1247" i="24" s="1"/>
  <c r="V1246" i="24"/>
  <c r="AC1246" i="24" s="1"/>
  <c r="V1245" i="24"/>
  <c r="AC1245" i="24" s="1"/>
  <c r="V1244" i="24"/>
  <c r="AC1244" i="24" s="1"/>
  <c r="V1243" i="24"/>
  <c r="AC1243" i="24" s="1"/>
  <c r="V1242" i="24"/>
  <c r="AC1242" i="24" s="1"/>
  <c r="V1241" i="24"/>
  <c r="AC1241" i="24" s="1"/>
  <c r="V1240" i="24"/>
  <c r="AC1240" i="24" s="1"/>
  <c r="V1239" i="24"/>
  <c r="AC1239" i="24" s="1"/>
  <c r="V1238" i="24"/>
  <c r="AC1238" i="24" s="1"/>
  <c r="V1237" i="24"/>
  <c r="AC1237" i="24" s="1"/>
  <c r="V1236" i="24"/>
  <c r="AC1236" i="24" s="1"/>
  <c r="V1235" i="24"/>
  <c r="AC1235" i="24" s="1"/>
  <c r="V1234" i="24"/>
  <c r="AC1234" i="24" s="1"/>
  <c r="V1233" i="24"/>
  <c r="AC1233" i="24" s="1"/>
  <c r="V1232" i="24"/>
  <c r="AC1232" i="24" s="1"/>
  <c r="V1231" i="24"/>
  <c r="AC1231" i="24" s="1"/>
  <c r="V1230" i="24"/>
  <c r="AC1230" i="24" s="1"/>
  <c r="V1229" i="24"/>
  <c r="AC1229" i="24" s="1"/>
  <c r="V1228" i="24"/>
  <c r="AC1228" i="24" s="1"/>
  <c r="V1227" i="24"/>
  <c r="AC1227" i="24" s="1"/>
  <c r="V1226" i="24"/>
  <c r="AC1226" i="24" s="1"/>
  <c r="V1225" i="24"/>
  <c r="AC1225" i="24" s="1"/>
  <c r="V1224" i="24"/>
  <c r="AC1224" i="24" s="1"/>
  <c r="V1223" i="24"/>
  <c r="AC1223" i="24" s="1"/>
  <c r="V1222" i="24"/>
  <c r="AC1222" i="24" s="1"/>
  <c r="V1221" i="24"/>
  <c r="AC1221" i="24" s="1"/>
  <c r="V1220" i="24"/>
  <c r="AC1220" i="24" s="1"/>
  <c r="V1219" i="24"/>
  <c r="AC1219" i="24" s="1"/>
  <c r="V1218" i="24"/>
  <c r="AC1218" i="24" s="1"/>
  <c r="V1217" i="24"/>
  <c r="AC1217" i="24" s="1"/>
  <c r="V1216" i="24"/>
  <c r="AC1216" i="24" s="1"/>
  <c r="V1215" i="24"/>
  <c r="AC1215" i="24" s="1"/>
  <c r="V1214" i="24"/>
  <c r="AC1214" i="24" s="1"/>
  <c r="V1213" i="24"/>
  <c r="AC1213" i="24" s="1"/>
  <c r="V1212" i="24"/>
  <c r="AC1212" i="24" s="1"/>
  <c r="V1211" i="24"/>
  <c r="AC1211" i="24" s="1"/>
  <c r="V1210" i="24"/>
  <c r="AC1210" i="24" s="1"/>
  <c r="V1209" i="24"/>
  <c r="AC1209" i="24" s="1"/>
  <c r="V1208" i="24"/>
  <c r="AC1208" i="24" s="1"/>
  <c r="V1207" i="24"/>
  <c r="AC1207" i="24" s="1"/>
  <c r="V1206" i="24"/>
  <c r="AC1206" i="24" s="1"/>
  <c r="V1205" i="24"/>
  <c r="AC1205" i="24" s="1"/>
  <c r="V1204" i="24"/>
  <c r="AC1204" i="24" s="1"/>
  <c r="V1203" i="24"/>
  <c r="AC1203" i="24" s="1"/>
  <c r="V1202" i="24"/>
  <c r="AC1202" i="24" s="1"/>
  <c r="V1201" i="24"/>
  <c r="AC1201" i="24" s="1"/>
  <c r="V1200" i="24"/>
  <c r="AC1200" i="24" s="1"/>
  <c r="V1199" i="24"/>
  <c r="AC1199" i="24" s="1"/>
  <c r="V1198" i="24"/>
  <c r="AC1198" i="24" s="1"/>
  <c r="V1197" i="24"/>
  <c r="AC1197" i="24" s="1"/>
  <c r="V1196" i="24"/>
  <c r="AC1196" i="24" s="1"/>
  <c r="V1195" i="24"/>
  <c r="AC1195" i="24" s="1"/>
  <c r="V1194" i="24"/>
  <c r="AC1194" i="24" s="1"/>
  <c r="V1193" i="24"/>
  <c r="AC1193" i="24" s="1"/>
  <c r="V1192" i="24"/>
  <c r="AC1192" i="24" s="1"/>
  <c r="V1191" i="24"/>
  <c r="AC1191" i="24" s="1"/>
  <c r="V1190" i="24"/>
  <c r="AC1190" i="24" s="1"/>
  <c r="V1189" i="24"/>
  <c r="AC1189" i="24" s="1"/>
  <c r="V1188" i="24"/>
  <c r="AC1188" i="24" s="1"/>
  <c r="V1187" i="24"/>
  <c r="AC1187" i="24" s="1"/>
  <c r="V1186" i="24"/>
  <c r="AC1186" i="24" s="1"/>
  <c r="V1185" i="24"/>
  <c r="AC1185" i="24" s="1"/>
  <c r="V1184" i="24"/>
  <c r="AC1184" i="24" s="1"/>
  <c r="V1183" i="24"/>
  <c r="AC1183" i="24" s="1"/>
  <c r="V1182" i="24"/>
  <c r="AC1182" i="24" s="1"/>
  <c r="V1181" i="24"/>
  <c r="AC1181" i="24" s="1"/>
  <c r="V1180" i="24"/>
  <c r="AC1180" i="24" s="1"/>
  <c r="V1179" i="24"/>
  <c r="AC1179" i="24" s="1"/>
  <c r="V1178" i="24"/>
  <c r="AC1178" i="24" s="1"/>
  <c r="V1177" i="24"/>
  <c r="AC1177" i="24" s="1"/>
  <c r="V1176" i="24"/>
  <c r="AC1176" i="24" s="1"/>
  <c r="V1175" i="24"/>
  <c r="AC1175" i="24" s="1"/>
  <c r="V1174" i="24"/>
  <c r="AC1174" i="24" s="1"/>
  <c r="V1173" i="24"/>
  <c r="AC1173" i="24" s="1"/>
  <c r="V1172" i="24"/>
  <c r="AC1172" i="24" s="1"/>
  <c r="V1171" i="24"/>
  <c r="AC1171" i="24" s="1"/>
  <c r="V1170" i="24"/>
  <c r="AC1170" i="24" s="1"/>
  <c r="V1169" i="24"/>
  <c r="AC1169" i="24" s="1"/>
  <c r="V1168" i="24"/>
  <c r="AC1168" i="24" s="1"/>
  <c r="V1167" i="24"/>
  <c r="AC1167" i="24" s="1"/>
  <c r="V1166" i="24"/>
  <c r="AC1166" i="24" s="1"/>
  <c r="V1165" i="24"/>
  <c r="AC1165" i="24" s="1"/>
  <c r="V1164" i="24"/>
  <c r="AC1164" i="24" s="1"/>
  <c r="V1163" i="24"/>
  <c r="AC1163" i="24" s="1"/>
  <c r="V1162" i="24"/>
  <c r="AC1162" i="24" s="1"/>
  <c r="V1161" i="24"/>
  <c r="AC1161" i="24" s="1"/>
  <c r="V1160" i="24"/>
  <c r="AC1160" i="24" s="1"/>
  <c r="V1159" i="24"/>
  <c r="AC1159" i="24" s="1"/>
  <c r="V1158" i="24"/>
  <c r="AC1158" i="24" s="1"/>
  <c r="V1157" i="24"/>
  <c r="AC1157" i="24" s="1"/>
  <c r="V1156" i="24"/>
  <c r="AC1156" i="24" s="1"/>
  <c r="V1155" i="24"/>
  <c r="AC1155" i="24" s="1"/>
  <c r="V1154" i="24"/>
  <c r="AC1154" i="24" s="1"/>
  <c r="V1153" i="24"/>
  <c r="AC1153" i="24" s="1"/>
  <c r="V1152" i="24"/>
  <c r="AC1152" i="24" s="1"/>
  <c r="V1151" i="24"/>
  <c r="AC1151" i="24" s="1"/>
  <c r="V1150" i="24"/>
  <c r="AC1150" i="24" s="1"/>
  <c r="V1149" i="24"/>
  <c r="AC1149" i="24" s="1"/>
  <c r="V1148" i="24"/>
  <c r="AC1148" i="24" s="1"/>
  <c r="V1147" i="24"/>
  <c r="AC1147" i="24" s="1"/>
  <c r="V1146" i="24"/>
  <c r="AC1146" i="24" s="1"/>
  <c r="V1145" i="24"/>
  <c r="AC1145" i="24" s="1"/>
  <c r="V1144" i="24"/>
  <c r="AC1144" i="24" s="1"/>
  <c r="V1143" i="24"/>
  <c r="AC1143" i="24" s="1"/>
  <c r="V1142" i="24"/>
  <c r="AC1142" i="24" s="1"/>
  <c r="V1141" i="24"/>
  <c r="AC1141" i="24" s="1"/>
  <c r="V1140" i="24"/>
  <c r="AC1140" i="24" s="1"/>
  <c r="V1139" i="24"/>
  <c r="AC1139" i="24" s="1"/>
  <c r="V1138" i="24"/>
  <c r="AC1138" i="24" s="1"/>
  <c r="V1137" i="24"/>
  <c r="AC1137" i="24" s="1"/>
  <c r="V1136" i="24"/>
  <c r="AC1136" i="24" s="1"/>
  <c r="V1135" i="24"/>
  <c r="AC1135" i="24" s="1"/>
  <c r="V1134" i="24"/>
  <c r="AC1134" i="24" s="1"/>
  <c r="V1133" i="24"/>
  <c r="AC1133" i="24" s="1"/>
  <c r="V1132" i="24"/>
  <c r="AC1132" i="24" s="1"/>
  <c r="V1131" i="24"/>
  <c r="AC1131" i="24" s="1"/>
  <c r="V1130" i="24"/>
  <c r="AC1130" i="24" s="1"/>
  <c r="V1129" i="24"/>
  <c r="AC1129" i="24" s="1"/>
  <c r="V1128" i="24"/>
  <c r="AC1128" i="24" s="1"/>
  <c r="V1127" i="24"/>
  <c r="AC1127" i="24" s="1"/>
  <c r="V1126" i="24"/>
  <c r="AC1126" i="24" s="1"/>
  <c r="V1125" i="24"/>
  <c r="AC1125" i="24" s="1"/>
  <c r="V1124" i="24"/>
  <c r="AC1124" i="24" s="1"/>
  <c r="V1123" i="24"/>
  <c r="AC1123" i="24" s="1"/>
  <c r="V1122" i="24"/>
  <c r="AC1122" i="24" s="1"/>
  <c r="V1121" i="24"/>
  <c r="AC1121" i="24" s="1"/>
  <c r="V1120" i="24"/>
  <c r="AC1120" i="24" s="1"/>
  <c r="V1119" i="24"/>
  <c r="AC1119" i="24" s="1"/>
  <c r="V1118" i="24"/>
  <c r="AC1118" i="24" s="1"/>
  <c r="V1117" i="24"/>
  <c r="AC1117" i="24" s="1"/>
  <c r="V1116" i="24"/>
  <c r="AC1116" i="24" s="1"/>
  <c r="V1115" i="24"/>
  <c r="AC1115" i="24" s="1"/>
  <c r="V1114" i="24"/>
  <c r="AC1114" i="24" s="1"/>
  <c r="V1113" i="24"/>
  <c r="AC1113" i="24" s="1"/>
  <c r="V1112" i="24"/>
  <c r="AC1112" i="24" s="1"/>
  <c r="V1111" i="24"/>
  <c r="AC1111" i="24" s="1"/>
  <c r="V1110" i="24"/>
  <c r="AC1110" i="24" s="1"/>
  <c r="V1109" i="24"/>
  <c r="AC1109" i="24" s="1"/>
  <c r="V1108" i="24"/>
  <c r="AC1108" i="24" s="1"/>
  <c r="V1107" i="24"/>
  <c r="AC1107" i="24" s="1"/>
  <c r="V1106" i="24"/>
  <c r="AC1106" i="24" s="1"/>
  <c r="V1105" i="24"/>
  <c r="AC1105" i="24" s="1"/>
  <c r="V1104" i="24"/>
  <c r="AC1104" i="24" s="1"/>
  <c r="V1103" i="24"/>
  <c r="AC1103" i="24" s="1"/>
  <c r="V1102" i="24"/>
  <c r="AC1102" i="24" s="1"/>
  <c r="V1101" i="24"/>
  <c r="AC1101" i="24" s="1"/>
  <c r="V1100" i="24"/>
  <c r="AC1100" i="24" s="1"/>
  <c r="V1099" i="24"/>
  <c r="AC1099" i="24" s="1"/>
  <c r="V1098" i="24"/>
  <c r="AC1098" i="24" s="1"/>
  <c r="V1097" i="24"/>
  <c r="AC1097" i="24" s="1"/>
  <c r="V1096" i="24"/>
  <c r="AC1096" i="24" s="1"/>
  <c r="V1095" i="24"/>
  <c r="AC1095" i="24" s="1"/>
  <c r="V1094" i="24"/>
  <c r="AC1094" i="24" s="1"/>
  <c r="V1093" i="24"/>
  <c r="AC1093" i="24" s="1"/>
  <c r="V1092" i="24"/>
  <c r="AC1092" i="24" s="1"/>
  <c r="V1091" i="24"/>
  <c r="AC1091" i="24" s="1"/>
  <c r="V1090" i="24"/>
  <c r="AC1090" i="24" s="1"/>
  <c r="V1089" i="24"/>
  <c r="AC1089" i="24" s="1"/>
  <c r="V1088" i="24"/>
  <c r="AC1088" i="24" s="1"/>
  <c r="V1087" i="24"/>
  <c r="AC1087" i="24" s="1"/>
  <c r="V1086" i="24"/>
  <c r="AC1086" i="24" s="1"/>
  <c r="V1085" i="24"/>
  <c r="AC1085" i="24" s="1"/>
  <c r="V1084" i="24"/>
  <c r="AC1084" i="24" s="1"/>
  <c r="V1083" i="24"/>
  <c r="AC1083" i="24" s="1"/>
  <c r="V1082" i="24"/>
  <c r="AC1082" i="24" s="1"/>
  <c r="V1081" i="24"/>
  <c r="AC1081" i="24" s="1"/>
  <c r="V1080" i="24"/>
  <c r="AC1080" i="24" s="1"/>
  <c r="V1079" i="24"/>
  <c r="AC1079" i="24" s="1"/>
  <c r="V1078" i="24"/>
  <c r="AC1078" i="24" s="1"/>
  <c r="V1077" i="24"/>
  <c r="AC1077" i="24" s="1"/>
  <c r="V1076" i="24"/>
  <c r="AC1076" i="24" s="1"/>
  <c r="V1075" i="24"/>
  <c r="AC1075" i="24" s="1"/>
  <c r="V1074" i="24"/>
  <c r="AC1074" i="24" s="1"/>
  <c r="V1073" i="24"/>
  <c r="AC1073" i="24" s="1"/>
  <c r="V1072" i="24"/>
  <c r="AC1072" i="24" s="1"/>
  <c r="V1071" i="24"/>
  <c r="AC1071" i="24" s="1"/>
  <c r="V1070" i="24"/>
  <c r="AC1070" i="24" s="1"/>
  <c r="V1069" i="24"/>
  <c r="AC1069" i="24" s="1"/>
  <c r="V1068" i="24"/>
  <c r="AC1068" i="24" s="1"/>
  <c r="V1067" i="24"/>
  <c r="AC1067" i="24" s="1"/>
  <c r="V1066" i="24"/>
  <c r="AC1066" i="24" s="1"/>
  <c r="V1065" i="24"/>
  <c r="AC1065" i="24" s="1"/>
  <c r="V1064" i="24"/>
  <c r="AC1064" i="24" s="1"/>
  <c r="V1063" i="24"/>
  <c r="AC1063" i="24" s="1"/>
  <c r="V1062" i="24"/>
  <c r="AC1062" i="24" s="1"/>
  <c r="V1061" i="24"/>
  <c r="AC1061" i="24" s="1"/>
  <c r="V1060" i="24"/>
  <c r="AC1060" i="24" s="1"/>
  <c r="V1059" i="24"/>
  <c r="AC1059" i="24" s="1"/>
  <c r="V1058" i="24"/>
  <c r="AC1058" i="24" s="1"/>
  <c r="V1057" i="24"/>
  <c r="AC1057" i="24" s="1"/>
  <c r="V1056" i="24"/>
  <c r="AC1056" i="24" s="1"/>
  <c r="V1055" i="24"/>
  <c r="AC1055" i="24" s="1"/>
  <c r="V1054" i="24"/>
  <c r="AC1054" i="24" s="1"/>
  <c r="V1053" i="24"/>
  <c r="AC1053" i="24" s="1"/>
  <c r="V1052" i="24"/>
  <c r="AC1052" i="24" s="1"/>
  <c r="V1051" i="24"/>
  <c r="AC1051" i="24" s="1"/>
  <c r="V1050" i="24"/>
  <c r="AC1050" i="24" s="1"/>
  <c r="V1049" i="24"/>
  <c r="AC1049" i="24" s="1"/>
  <c r="V1048" i="24"/>
  <c r="AC1048" i="24" s="1"/>
  <c r="V1047" i="24"/>
  <c r="AC1047" i="24" s="1"/>
  <c r="V1046" i="24"/>
  <c r="AC1046" i="24" s="1"/>
  <c r="V1045" i="24"/>
  <c r="AC1045" i="24" s="1"/>
  <c r="V1044" i="24"/>
  <c r="AC1044" i="24" s="1"/>
  <c r="V1043" i="24"/>
  <c r="AC1043" i="24" s="1"/>
  <c r="V1042" i="24"/>
  <c r="AC1042" i="24" s="1"/>
  <c r="V1041" i="24"/>
  <c r="AC1041" i="24" s="1"/>
  <c r="V1040" i="24"/>
  <c r="AC1040" i="24" s="1"/>
  <c r="V1039" i="24"/>
  <c r="AC1039" i="24" s="1"/>
  <c r="V1038" i="24"/>
  <c r="AC1038" i="24" s="1"/>
  <c r="V1037" i="24"/>
  <c r="AC1037" i="24" s="1"/>
  <c r="V1036" i="24"/>
  <c r="AC1036" i="24" s="1"/>
  <c r="V1035" i="24"/>
  <c r="AC1035" i="24" s="1"/>
  <c r="V1034" i="24"/>
  <c r="AC1034" i="24" s="1"/>
  <c r="V1033" i="24"/>
  <c r="AC1033" i="24" s="1"/>
  <c r="V1032" i="24"/>
  <c r="AC1032" i="24" s="1"/>
  <c r="V1031" i="24"/>
  <c r="AC1031" i="24" s="1"/>
  <c r="V1030" i="24"/>
  <c r="AC1030" i="24" s="1"/>
  <c r="V1029" i="24"/>
  <c r="AC1029" i="24" s="1"/>
  <c r="V1028" i="24"/>
  <c r="AC1028" i="24" s="1"/>
  <c r="V1027" i="24"/>
  <c r="AC1027" i="24" s="1"/>
  <c r="V1026" i="24"/>
  <c r="AC1026" i="24" s="1"/>
  <c r="V1025" i="24"/>
  <c r="AC1025" i="24" s="1"/>
  <c r="V1024" i="24"/>
  <c r="AC1024" i="24" s="1"/>
  <c r="V1023" i="24"/>
  <c r="AC1023" i="24" s="1"/>
  <c r="V1022" i="24"/>
  <c r="AC1022" i="24" s="1"/>
  <c r="V1021" i="24"/>
  <c r="AC1021" i="24" s="1"/>
  <c r="V1020" i="24"/>
  <c r="AC1020" i="24" s="1"/>
  <c r="V1019" i="24"/>
  <c r="AC1019" i="24" s="1"/>
  <c r="V1018" i="24"/>
  <c r="AC1018" i="24" s="1"/>
  <c r="V1017" i="24"/>
  <c r="AC1017" i="24" s="1"/>
  <c r="V1016" i="24"/>
  <c r="AC1016" i="24" s="1"/>
  <c r="V1015" i="24"/>
  <c r="AC1015" i="24" s="1"/>
  <c r="V1014" i="24"/>
  <c r="AC1014" i="24" s="1"/>
  <c r="V1013" i="24"/>
  <c r="AC1013" i="24" s="1"/>
  <c r="V1012" i="24"/>
  <c r="AC1012" i="24" s="1"/>
  <c r="V1011" i="24"/>
  <c r="AC1011" i="24" s="1"/>
  <c r="V1010" i="24"/>
  <c r="AC1010" i="24" s="1"/>
  <c r="V1009" i="24"/>
  <c r="AC1009" i="24" s="1"/>
  <c r="V1008" i="24"/>
  <c r="AC1008" i="24" s="1"/>
  <c r="V1007" i="24"/>
  <c r="AC1007" i="24" s="1"/>
  <c r="V1006" i="24"/>
  <c r="AC1006" i="24" s="1"/>
  <c r="V1005" i="24"/>
  <c r="AC1005" i="24" s="1"/>
  <c r="V1004" i="24"/>
  <c r="AC1004" i="24" s="1"/>
  <c r="V1003" i="24"/>
  <c r="AC1003" i="24" s="1"/>
  <c r="V1002" i="24"/>
  <c r="AC1002" i="24" s="1"/>
  <c r="V1001" i="24"/>
  <c r="AC1001" i="24" s="1"/>
  <c r="V1000" i="24"/>
  <c r="AC1000" i="24" s="1"/>
  <c r="V999" i="24"/>
  <c r="AC999" i="24" s="1"/>
  <c r="V998" i="24"/>
  <c r="AC998" i="24" s="1"/>
  <c r="V997" i="24"/>
  <c r="AC997" i="24" s="1"/>
  <c r="V996" i="24"/>
  <c r="AC996" i="24" s="1"/>
  <c r="V995" i="24"/>
  <c r="AC995" i="24" s="1"/>
  <c r="V994" i="24"/>
  <c r="AC994" i="24" s="1"/>
  <c r="V993" i="24"/>
  <c r="AC993" i="24" s="1"/>
  <c r="V992" i="24"/>
  <c r="AC992" i="24" s="1"/>
  <c r="V991" i="24"/>
  <c r="AC991" i="24" s="1"/>
  <c r="V990" i="24"/>
  <c r="AC990" i="24" s="1"/>
  <c r="V989" i="24"/>
  <c r="AC989" i="24" s="1"/>
  <c r="V988" i="24"/>
  <c r="AC988" i="24" s="1"/>
  <c r="V987" i="24"/>
  <c r="AC987" i="24" s="1"/>
  <c r="V986" i="24"/>
  <c r="AC986" i="24" s="1"/>
  <c r="V985" i="24"/>
  <c r="AC985" i="24" s="1"/>
  <c r="V984" i="24"/>
  <c r="AC984" i="24" s="1"/>
  <c r="V983" i="24"/>
  <c r="AC983" i="24" s="1"/>
  <c r="V982" i="24"/>
  <c r="AC982" i="24" s="1"/>
  <c r="T1501" i="24"/>
  <c r="T1500" i="24"/>
  <c r="T1499" i="24"/>
  <c r="T1498" i="24"/>
  <c r="T1497" i="24"/>
  <c r="T1496" i="24"/>
  <c r="T1495" i="24"/>
  <c r="T1494" i="24"/>
  <c r="T1493" i="24"/>
  <c r="T1492" i="24"/>
  <c r="T1491" i="24"/>
  <c r="T1490" i="24"/>
  <c r="T1489" i="24"/>
  <c r="T1488" i="24"/>
  <c r="T1487" i="24"/>
  <c r="T1486" i="24"/>
  <c r="T1485" i="24"/>
  <c r="T1484" i="24"/>
  <c r="T1483" i="24"/>
  <c r="T1482" i="24"/>
  <c r="T1481" i="24"/>
  <c r="T1480" i="24"/>
  <c r="T1479" i="24"/>
  <c r="T1478" i="24"/>
  <c r="T1477" i="24"/>
  <c r="T1476" i="24"/>
  <c r="T1475" i="24"/>
  <c r="T1474" i="24"/>
  <c r="T1473" i="24"/>
  <c r="T1472" i="24"/>
  <c r="T1471" i="24"/>
  <c r="T1470" i="24"/>
  <c r="T1469" i="24"/>
  <c r="T1468" i="24"/>
  <c r="T1467" i="24"/>
  <c r="T1466" i="24"/>
  <c r="T1465" i="24"/>
  <c r="T1464" i="24"/>
  <c r="T1463" i="24"/>
  <c r="T1462" i="24"/>
  <c r="T1461" i="24"/>
  <c r="T1460" i="24"/>
  <c r="T1459" i="24"/>
  <c r="T1458" i="24"/>
  <c r="T1457" i="24"/>
  <c r="T1456" i="24"/>
  <c r="T1455" i="24"/>
  <c r="T1454" i="24"/>
  <c r="T1453" i="24"/>
  <c r="T1452" i="24"/>
  <c r="T1451" i="24"/>
  <c r="T1450" i="24"/>
  <c r="T1449" i="24"/>
  <c r="T1448" i="24"/>
  <c r="T1447" i="24"/>
  <c r="T1446" i="24"/>
  <c r="T1445" i="24"/>
  <c r="T1444" i="24"/>
  <c r="T1443" i="24"/>
  <c r="T1442" i="24"/>
  <c r="T1441" i="24"/>
  <c r="T1440" i="24"/>
  <c r="T1439" i="24"/>
  <c r="T1438" i="24"/>
  <c r="T1437" i="24"/>
  <c r="T1436" i="24"/>
  <c r="T1435" i="24"/>
  <c r="T1434" i="24"/>
  <c r="T1433" i="24"/>
  <c r="T1432" i="24"/>
  <c r="T1431" i="24"/>
  <c r="T1430" i="24"/>
  <c r="T1429" i="24"/>
  <c r="T1428" i="24"/>
  <c r="T1427" i="24"/>
  <c r="T1426" i="24"/>
  <c r="T1425" i="24"/>
  <c r="T1424" i="24"/>
  <c r="T1423" i="24"/>
  <c r="T1422" i="24"/>
  <c r="T1421" i="24"/>
  <c r="T1420" i="24"/>
  <c r="T1419" i="24"/>
  <c r="T1418" i="24"/>
  <c r="T1417" i="24"/>
  <c r="T1416" i="24"/>
  <c r="T1415" i="24"/>
  <c r="T1414" i="24"/>
  <c r="T1413" i="24"/>
  <c r="T1412" i="24"/>
  <c r="T1411" i="24"/>
  <c r="T1410" i="24"/>
  <c r="T1409" i="24"/>
  <c r="T1408" i="24"/>
  <c r="T1407" i="24"/>
  <c r="T1406" i="24"/>
  <c r="T1405" i="24"/>
  <c r="T1404" i="24"/>
  <c r="T1403" i="24"/>
  <c r="T1402" i="24"/>
  <c r="T1401" i="24"/>
  <c r="T1400" i="24"/>
  <c r="T1399" i="24"/>
  <c r="T1398" i="24"/>
  <c r="T1397" i="24"/>
  <c r="T1396" i="24"/>
  <c r="T1395" i="24"/>
  <c r="T1394" i="24"/>
  <c r="T1393" i="24"/>
  <c r="T1392" i="24"/>
  <c r="T1391" i="24"/>
  <c r="T1390" i="24"/>
  <c r="T1389" i="24"/>
  <c r="T1388" i="24"/>
  <c r="T1387" i="24"/>
  <c r="T1386" i="24"/>
  <c r="T1385" i="24"/>
  <c r="T1384" i="24"/>
  <c r="T1383" i="24"/>
  <c r="T1382" i="24"/>
  <c r="T1381" i="24"/>
  <c r="T1380" i="24"/>
  <c r="T1379" i="24"/>
  <c r="T1378" i="24"/>
  <c r="T1377" i="24"/>
  <c r="T1376" i="24"/>
  <c r="T1375" i="24"/>
  <c r="T1374" i="24"/>
  <c r="T1373" i="24"/>
  <c r="T1372" i="24"/>
  <c r="T1371" i="24"/>
  <c r="T1370" i="24"/>
  <c r="T1369" i="24"/>
  <c r="T1368" i="24"/>
  <c r="T1367" i="24"/>
  <c r="T1366" i="24"/>
  <c r="T1365" i="24"/>
  <c r="T1364" i="24"/>
  <c r="T1363" i="24"/>
  <c r="T1362" i="24"/>
  <c r="T1361" i="24"/>
  <c r="T1360" i="24"/>
  <c r="T1359" i="24"/>
  <c r="T1358" i="24"/>
  <c r="T1357" i="24"/>
  <c r="T1356" i="24"/>
  <c r="T1355" i="24"/>
  <c r="T1354" i="24"/>
  <c r="T1353" i="24"/>
  <c r="T1352" i="24"/>
  <c r="T1351" i="24"/>
  <c r="T1350" i="24"/>
  <c r="T1349" i="24"/>
  <c r="T1348" i="24"/>
  <c r="T1347" i="24"/>
  <c r="T1346" i="24"/>
  <c r="T1345" i="24"/>
  <c r="T1344" i="24"/>
  <c r="T1343" i="24"/>
  <c r="T1342" i="24"/>
  <c r="T1341" i="24"/>
  <c r="T1340" i="24"/>
  <c r="T1339" i="24"/>
  <c r="T1338" i="24"/>
  <c r="T1337" i="24"/>
  <c r="T1336" i="24"/>
  <c r="T1335" i="24"/>
  <c r="T1334" i="24"/>
  <c r="T1333" i="24"/>
  <c r="T1332" i="24"/>
  <c r="T1331" i="24"/>
  <c r="T1330" i="24"/>
  <c r="T1329" i="24"/>
  <c r="T1328" i="24"/>
  <c r="T1327" i="24"/>
  <c r="T1326" i="24"/>
  <c r="T1325" i="24"/>
  <c r="T1324" i="24"/>
  <c r="T1323" i="24"/>
  <c r="T1322" i="24"/>
  <c r="T1321" i="24"/>
  <c r="T1320" i="24"/>
  <c r="T1319" i="24"/>
  <c r="T1318" i="24"/>
  <c r="T1317" i="24"/>
  <c r="T1316" i="24"/>
  <c r="T1315" i="24"/>
  <c r="T1314" i="24"/>
  <c r="T1313" i="24"/>
  <c r="T1312" i="24"/>
  <c r="T1311" i="24"/>
  <c r="T1310" i="24"/>
  <c r="T1309" i="24"/>
  <c r="T1308" i="24"/>
  <c r="T1307" i="24"/>
  <c r="T1306" i="24"/>
  <c r="T1305" i="24"/>
  <c r="T1304" i="24"/>
  <c r="T1303" i="24"/>
  <c r="T1302" i="24"/>
  <c r="T1301" i="24"/>
  <c r="T1300" i="24"/>
  <c r="T1299" i="24"/>
  <c r="T1298" i="24"/>
  <c r="T1297" i="24"/>
  <c r="T1296" i="24"/>
  <c r="T1295" i="24"/>
  <c r="T1294" i="24"/>
  <c r="T1293" i="24"/>
  <c r="T1292" i="24"/>
  <c r="T1291" i="24"/>
  <c r="T1290" i="24"/>
  <c r="T1289" i="24"/>
  <c r="T1288" i="24"/>
  <c r="T1287" i="24"/>
  <c r="T1286" i="24"/>
  <c r="T1285" i="24"/>
  <c r="T1284" i="24"/>
  <c r="T1283" i="24"/>
  <c r="T1282" i="24"/>
  <c r="T1281" i="24"/>
  <c r="T1280" i="24"/>
  <c r="T1279" i="24"/>
  <c r="T1278" i="24"/>
  <c r="T1277" i="24"/>
  <c r="T1276" i="24"/>
  <c r="T1275" i="24"/>
  <c r="T1274" i="24"/>
  <c r="T1273" i="24"/>
  <c r="T1272" i="24"/>
  <c r="T1271" i="24"/>
  <c r="T1270" i="24"/>
  <c r="T1269" i="24"/>
  <c r="T1268" i="24"/>
  <c r="T1267" i="24"/>
  <c r="T1266" i="24"/>
  <c r="T1265" i="24"/>
  <c r="T1264" i="24"/>
  <c r="T1263" i="24"/>
  <c r="T1262" i="24"/>
  <c r="T1261" i="24"/>
  <c r="T1260" i="24"/>
  <c r="T1259" i="24"/>
  <c r="T1258" i="24"/>
  <c r="T1257" i="24"/>
  <c r="T1256" i="24"/>
  <c r="T1255" i="24"/>
  <c r="T1254" i="24"/>
  <c r="T1253" i="24"/>
  <c r="T1252" i="24"/>
  <c r="T1251" i="24"/>
  <c r="T1250" i="24"/>
  <c r="T1249" i="24"/>
  <c r="T1248" i="24"/>
  <c r="T1247" i="24"/>
  <c r="T1246" i="24"/>
  <c r="T1245" i="24"/>
  <c r="T1244" i="24"/>
  <c r="T1243" i="24"/>
  <c r="T1242" i="24"/>
  <c r="T1241" i="24"/>
  <c r="T1240" i="24"/>
  <c r="T1239" i="24"/>
  <c r="T1238" i="24"/>
  <c r="T1237" i="24"/>
  <c r="T1236" i="24"/>
  <c r="T1235" i="24"/>
  <c r="T1234" i="24"/>
  <c r="T1233" i="24"/>
  <c r="T1232" i="24"/>
  <c r="T1231" i="24"/>
  <c r="T1230" i="24"/>
  <c r="T1229" i="24"/>
  <c r="T1228" i="24"/>
  <c r="T1227" i="24"/>
  <c r="T1226" i="24"/>
  <c r="T1225" i="24"/>
  <c r="T1224" i="24"/>
  <c r="T1223" i="24"/>
  <c r="T1222" i="24"/>
  <c r="T1221" i="24"/>
  <c r="T1220" i="24"/>
  <c r="T1219" i="24"/>
  <c r="T1218" i="24"/>
  <c r="T1217" i="24"/>
  <c r="T1216" i="24"/>
  <c r="T1215" i="24"/>
  <c r="T1214" i="24"/>
  <c r="T1213" i="24"/>
  <c r="T1212" i="24"/>
  <c r="T1211" i="24"/>
  <c r="T1210" i="24"/>
  <c r="T1209" i="24"/>
  <c r="T1208" i="24"/>
  <c r="T1207" i="24"/>
  <c r="T1206" i="24"/>
  <c r="T1205" i="24"/>
  <c r="T1204" i="24"/>
  <c r="T1203" i="24"/>
  <c r="T1202" i="24"/>
  <c r="T1201" i="24"/>
  <c r="T1200" i="24"/>
  <c r="T1199" i="24"/>
  <c r="T1198" i="24"/>
  <c r="T1197" i="24"/>
  <c r="T1196" i="24"/>
  <c r="T1195" i="24"/>
  <c r="T1194" i="24"/>
  <c r="T1193" i="24"/>
  <c r="T1192" i="24"/>
  <c r="T1191" i="24"/>
  <c r="T1190" i="24"/>
  <c r="T1189" i="24"/>
  <c r="T1188" i="24"/>
  <c r="T1187" i="24"/>
  <c r="T1186" i="24"/>
  <c r="T1185" i="24"/>
  <c r="T1184" i="24"/>
  <c r="T1183" i="24"/>
  <c r="T1182" i="24"/>
  <c r="T1181" i="24"/>
  <c r="T1180" i="24"/>
  <c r="T1179" i="24"/>
  <c r="T1178" i="24"/>
  <c r="T1177" i="24"/>
  <c r="T1176" i="24"/>
  <c r="T1175" i="24"/>
  <c r="T1174" i="24"/>
  <c r="T1173" i="24"/>
  <c r="T1172" i="24"/>
  <c r="T1171" i="24"/>
  <c r="T1170" i="24"/>
  <c r="T1169" i="24"/>
  <c r="T1168" i="24"/>
  <c r="T1167" i="24"/>
  <c r="T1166" i="24"/>
  <c r="T1165" i="24"/>
  <c r="T1164" i="24"/>
  <c r="T1163" i="24"/>
  <c r="T1162" i="24"/>
  <c r="T1161" i="24"/>
  <c r="T1160" i="24"/>
  <c r="T1159" i="24"/>
  <c r="T1158" i="24"/>
  <c r="T1157" i="24"/>
  <c r="T1156" i="24"/>
  <c r="T1155" i="24"/>
  <c r="T1154" i="24"/>
  <c r="T1153" i="24"/>
  <c r="T1152" i="24"/>
  <c r="T1151" i="24"/>
  <c r="T1150" i="24"/>
  <c r="T1149" i="24"/>
  <c r="T1148" i="24"/>
  <c r="T1147" i="24"/>
  <c r="T1146" i="24"/>
  <c r="T1145" i="24"/>
  <c r="T1144" i="24"/>
  <c r="T1143" i="24"/>
  <c r="T1142" i="24"/>
  <c r="T1141" i="24"/>
  <c r="T1140" i="24"/>
  <c r="T1139" i="24"/>
  <c r="T1138" i="24"/>
  <c r="T1137" i="24"/>
  <c r="T1136" i="24"/>
  <c r="T1135" i="24"/>
  <c r="T1134" i="24"/>
  <c r="T1133" i="24"/>
  <c r="T1132" i="24"/>
  <c r="T1131" i="24"/>
  <c r="T1130" i="24"/>
  <c r="T1129" i="24"/>
  <c r="T1128" i="24"/>
  <c r="T1127" i="24"/>
  <c r="T1126" i="24"/>
  <c r="T1125" i="24"/>
  <c r="T1124" i="24"/>
  <c r="T1123" i="24"/>
  <c r="T1122" i="24"/>
  <c r="T1121" i="24"/>
  <c r="T1120" i="24"/>
  <c r="T1119" i="24"/>
  <c r="T1118" i="24"/>
  <c r="T1117" i="24"/>
  <c r="T1116" i="24"/>
  <c r="T1115" i="24"/>
  <c r="T1114" i="24"/>
  <c r="T1113" i="24"/>
  <c r="T1112" i="24"/>
  <c r="T1111" i="24"/>
  <c r="T1110" i="24"/>
  <c r="T1109" i="24"/>
  <c r="T1108" i="24"/>
  <c r="T1107" i="24"/>
  <c r="T1106" i="24"/>
  <c r="T1105" i="24"/>
  <c r="T1104" i="24"/>
  <c r="T1103" i="24"/>
  <c r="T1102" i="24"/>
  <c r="T1101" i="24"/>
  <c r="T1100" i="24"/>
  <c r="T1099" i="24"/>
  <c r="T1098" i="24"/>
  <c r="T1097" i="24"/>
  <c r="T1096" i="24"/>
  <c r="T1095" i="24"/>
  <c r="T1094" i="24"/>
  <c r="T1093" i="24"/>
  <c r="T1092" i="24"/>
  <c r="T1091" i="24"/>
  <c r="T1090" i="24"/>
  <c r="T1089" i="24"/>
  <c r="T1088" i="24"/>
  <c r="T1087" i="24"/>
  <c r="T1086" i="24"/>
  <c r="T1085" i="24"/>
  <c r="T1084" i="24"/>
  <c r="T1083" i="24"/>
  <c r="T1082" i="24"/>
  <c r="T1081" i="24"/>
  <c r="T1080" i="24"/>
  <c r="T1079" i="24"/>
  <c r="T1078" i="24"/>
  <c r="T1077" i="24"/>
  <c r="T1076" i="24"/>
  <c r="T1075" i="24"/>
  <c r="T1074" i="24"/>
  <c r="T1073" i="24"/>
  <c r="T1072" i="24"/>
  <c r="T1071" i="24"/>
  <c r="T1070" i="24"/>
  <c r="T1069" i="24"/>
  <c r="T1068" i="24"/>
  <c r="T1067" i="24"/>
  <c r="T1066" i="24"/>
  <c r="T1065" i="24"/>
  <c r="T1064" i="24"/>
  <c r="T1063" i="24"/>
  <c r="T1062" i="24"/>
  <c r="T1061" i="24"/>
  <c r="T1060" i="24"/>
  <c r="T1059" i="24"/>
  <c r="T1058" i="24"/>
  <c r="T1057" i="24"/>
  <c r="T1056" i="24"/>
  <c r="T1055" i="24"/>
  <c r="T1054" i="24"/>
  <c r="T1053" i="24"/>
  <c r="T1052" i="24"/>
  <c r="T1051" i="24"/>
  <c r="T1050" i="24"/>
  <c r="T1049" i="24"/>
  <c r="T1048" i="24"/>
  <c r="T1047" i="24"/>
  <c r="T1046" i="24"/>
  <c r="T1045" i="24"/>
  <c r="T1044" i="24"/>
  <c r="T1043" i="24"/>
  <c r="T1042" i="24"/>
  <c r="T1041" i="24"/>
  <c r="T1040" i="24"/>
  <c r="T1039" i="24"/>
  <c r="T1038" i="24"/>
  <c r="T1037" i="24"/>
  <c r="T1036" i="24"/>
  <c r="T1035" i="24"/>
  <c r="T1034" i="24"/>
  <c r="T1033" i="24"/>
  <c r="T1032" i="24"/>
  <c r="T1031" i="24"/>
  <c r="T1030" i="24"/>
  <c r="T1029" i="24"/>
  <c r="T1028" i="24"/>
  <c r="T1027" i="24"/>
  <c r="T1026" i="24"/>
  <c r="T1025" i="24"/>
  <c r="T1024" i="24"/>
  <c r="T1023" i="24"/>
  <c r="T1022" i="24"/>
  <c r="T1021" i="24"/>
  <c r="T1020" i="24"/>
  <c r="T1019" i="24"/>
  <c r="T1018" i="24"/>
  <c r="T1017" i="24"/>
  <c r="T1016" i="24"/>
  <c r="T1015" i="24"/>
  <c r="T1014" i="24"/>
  <c r="T1013" i="24"/>
  <c r="T1012" i="24"/>
  <c r="T1011" i="24"/>
  <c r="T1010" i="24"/>
  <c r="T1009" i="24"/>
  <c r="T1008" i="24"/>
  <c r="T1007" i="24"/>
  <c r="T1006" i="24"/>
  <c r="T1005" i="24"/>
  <c r="T1004" i="24"/>
  <c r="T1003" i="24"/>
  <c r="T1002" i="24"/>
  <c r="T1001" i="24"/>
  <c r="T1000" i="24"/>
  <c r="T999" i="24"/>
  <c r="T998" i="24"/>
  <c r="T997" i="24"/>
  <c r="T996" i="24"/>
  <c r="T995" i="24"/>
  <c r="T994" i="24"/>
  <c r="T993" i="24"/>
  <c r="T992" i="24"/>
  <c r="T991" i="24"/>
  <c r="T990" i="24"/>
  <c r="T989" i="24"/>
  <c r="T988" i="24"/>
  <c r="T987" i="24"/>
  <c r="T986" i="24"/>
  <c r="T985" i="24"/>
  <c r="T984" i="24"/>
  <c r="T983" i="24"/>
  <c r="T982" i="24"/>
  <c r="U62" i="24"/>
  <c r="AB62" i="24" s="1"/>
  <c r="U61" i="24"/>
  <c r="AB61" i="24" s="1"/>
  <c r="U60" i="24"/>
  <c r="AB60" i="24" s="1"/>
  <c r="U59" i="24"/>
  <c r="AB59" i="24" s="1"/>
  <c r="U58" i="24"/>
  <c r="AB58" i="24" s="1"/>
  <c r="U1501" i="24"/>
  <c r="AB1501" i="24" s="1"/>
  <c r="U1500" i="24"/>
  <c r="AB1500" i="24" s="1"/>
  <c r="U1499" i="24"/>
  <c r="AB1499" i="24" s="1"/>
  <c r="U1498" i="24"/>
  <c r="AB1498" i="24" s="1"/>
  <c r="U1497" i="24"/>
  <c r="AB1497" i="24" s="1"/>
  <c r="U1496" i="24"/>
  <c r="AB1496" i="24" s="1"/>
  <c r="U1495" i="24"/>
  <c r="AB1495" i="24" s="1"/>
  <c r="U1494" i="24"/>
  <c r="AB1494" i="24" s="1"/>
  <c r="U1493" i="24"/>
  <c r="AB1493" i="24" s="1"/>
  <c r="U1492" i="24"/>
  <c r="AB1492" i="24" s="1"/>
  <c r="U1491" i="24"/>
  <c r="AB1491" i="24" s="1"/>
  <c r="U1490" i="24"/>
  <c r="AB1490" i="24" s="1"/>
  <c r="U1489" i="24"/>
  <c r="AB1489" i="24" s="1"/>
  <c r="U1488" i="24"/>
  <c r="AB1488" i="24" s="1"/>
  <c r="U1487" i="24"/>
  <c r="AB1487" i="24" s="1"/>
  <c r="U1486" i="24"/>
  <c r="AB1486" i="24" s="1"/>
  <c r="U1485" i="24"/>
  <c r="AB1485" i="24" s="1"/>
  <c r="U1484" i="24"/>
  <c r="AB1484" i="24" s="1"/>
  <c r="U1483" i="24"/>
  <c r="AB1483" i="24" s="1"/>
  <c r="U1482" i="24"/>
  <c r="AB1482" i="24" s="1"/>
  <c r="U1481" i="24"/>
  <c r="AB1481" i="24" s="1"/>
  <c r="U1480" i="24"/>
  <c r="AB1480" i="24" s="1"/>
  <c r="U1479" i="24"/>
  <c r="AB1479" i="24" s="1"/>
  <c r="U1478" i="24"/>
  <c r="AB1478" i="24" s="1"/>
  <c r="U1477" i="24"/>
  <c r="AB1477" i="24" s="1"/>
  <c r="U1476" i="24"/>
  <c r="AB1476" i="24" s="1"/>
  <c r="U1475" i="24"/>
  <c r="AB1475" i="24" s="1"/>
  <c r="U1474" i="24"/>
  <c r="AB1474" i="24" s="1"/>
  <c r="U1473" i="24"/>
  <c r="AB1473" i="24" s="1"/>
  <c r="U1472" i="24"/>
  <c r="AB1472" i="24" s="1"/>
  <c r="U1471" i="24"/>
  <c r="AB1471" i="24" s="1"/>
  <c r="U1470" i="24"/>
  <c r="AB1470" i="24" s="1"/>
  <c r="U1469" i="24"/>
  <c r="AB1469" i="24" s="1"/>
  <c r="U1468" i="24"/>
  <c r="AB1468" i="24" s="1"/>
  <c r="U1467" i="24"/>
  <c r="AB1467" i="24" s="1"/>
  <c r="U1466" i="24"/>
  <c r="AB1466" i="24" s="1"/>
  <c r="U1465" i="24"/>
  <c r="AB1465" i="24" s="1"/>
  <c r="U1464" i="24"/>
  <c r="AB1464" i="24" s="1"/>
  <c r="U1463" i="24"/>
  <c r="AB1463" i="24" s="1"/>
  <c r="U1462" i="24"/>
  <c r="AB1462" i="24" s="1"/>
  <c r="U1461" i="24"/>
  <c r="AB1461" i="24" s="1"/>
  <c r="U1460" i="24"/>
  <c r="AB1460" i="24" s="1"/>
  <c r="U1459" i="24"/>
  <c r="AB1459" i="24" s="1"/>
  <c r="U1458" i="24"/>
  <c r="AB1458" i="24" s="1"/>
  <c r="U1457" i="24"/>
  <c r="AB1457" i="24" s="1"/>
  <c r="U1456" i="24"/>
  <c r="AB1456" i="24" s="1"/>
  <c r="U1455" i="24"/>
  <c r="AB1455" i="24" s="1"/>
  <c r="U1454" i="24"/>
  <c r="AB1454" i="24" s="1"/>
  <c r="U1453" i="24"/>
  <c r="AB1453" i="24" s="1"/>
  <c r="U1452" i="24"/>
  <c r="AB1452" i="24" s="1"/>
  <c r="U1451" i="24"/>
  <c r="AB1451" i="24" s="1"/>
  <c r="U1450" i="24"/>
  <c r="AB1450" i="24" s="1"/>
  <c r="U1449" i="24"/>
  <c r="AB1449" i="24" s="1"/>
  <c r="U1448" i="24"/>
  <c r="AB1448" i="24" s="1"/>
  <c r="U1447" i="24"/>
  <c r="AB1447" i="24" s="1"/>
  <c r="U1446" i="24"/>
  <c r="AB1446" i="24" s="1"/>
  <c r="U1445" i="24"/>
  <c r="AB1445" i="24" s="1"/>
  <c r="U1444" i="24"/>
  <c r="AB1444" i="24" s="1"/>
  <c r="U1443" i="24"/>
  <c r="AB1443" i="24" s="1"/>
  <c r="U1442" i="24"/>
  <c r="AB1442" i="24" s="1"/>
  <c r="U1441" i="24"/>
  <c r="AB1441" i="24" s="1"/>
  <c r="U1440" i="24"/>
  <c r="AB1440" i="24" s="1"/>
  <c r="U1439" i="24"/>
  <c r="AB1439" i="24" s="1"/>
  <c r="U1438" i="24"/>
  <c r="AB1438" i="24" s="1"/>
  <c r="U1437" i="24"/>
  <c r="AB1437" i="24" s="1"/>
  <c r="U1436" i="24"/>
  <c r="AB1436" i="24" s="1"/>
  <c r="U1435" i="24"/>
  <c r="AB1435" i="24" s="1"/>
  <c r="U1434" i="24"/>
  <c r="AB1434" i="24" s="1"/>
  <c r="U1433" i="24"/>
  <c r="AB1433" i="24" s="1"/>
  <c r="U1432" i="24"/>
  <c r="AB1432" i="24" s="1"/>
  <c r="U1431" i="24"/>
  <c r="AB1431" i="24" s="1"/>
  <c r="U1430" i="24"/>
  <c r="AB1430" i="24" s="1"/>
  <c r="U1429" i="24"/>
  <c r="AB1429" i="24" s="1"/>
  <c r="U1428" i="24"/>
  <c r="AB1428" i="24" s="1"/>
  <c r="U1427" i="24"/>
  <c r="AB1427" i="24" s="1"/>
  <c r="U1426" i="24"/>
  <c r="AB1426" i="24" s="1"/>
  <c r="U1425" i="24"/>
  <c r="AB1425" i="24" s="1"/>
  <c r="U1424" i="24"/>
  <c r="AB1424" i="24" s="1"/>
  <c r="U1423" i="24"/>
  <c r="AB1423" i="24" s="1"/>
  <c r="U1422" i="24"/>
  <c r="AB1422" i="24" s="1"/>
  <c r="U1421" i="24"/>
  <c r="AB1421" i="24" s="1"/>
  <c r="U1420" i="24"/>
  <c r="AB1420" i="24" s="1"/>
  <c r="U1419" i="24"/>
  <c r="AB1419" i="24" s="1"/>
  <c r="U1418" i="24"/>
  <c r="AB1418" i="24" s="1"/>
  <c r="U1417" i="24"/>
  <c r="AB1417" i="24" s="1"/>
  <c r="U1416" i="24"/>
  <c r="AB1416" i="24" s="1"/>
  <c r="U1415" i="24"/>
  <c r="AB1415" i="24" s="1"/>
  <c r="U1414" i="24"/>
  <c r="AB1414" i="24" s="1"/>
  <c r="U1413" i="24"/>
  <c r="AB1413" i="24" s="1"/>
  <c r="U1412" i="24"/>
  <c r="AB1412" i="24" s="1"/>
  <c r="U1411" i="24"/>
  <c r="AB1411" i="24" s="1"/>
  <c r="U1410" i="24"/>
  <c r="AB1410" i="24" s="1"/>
  <c r="U1409" i="24"/>
  <c r="AB1409" i="24" s="1"/>
  <c r="U1408" i="24"/>
  <c r="AB1408" i="24" s="1"/>
  <c r="U1407" i="24"/>
  <c r="AB1407" i="24" s="1"/>
  <c r="U1406" i="24"/>
  <c r="AB1406" i="24" s="1"/>
  <c r="U1405" i="24"/>
  <c r="AB1405" i="24" s="1"/>
  <c r="U1404" i="24"/>
  <c r="AB1404" i="24" s="1"/>
  <c r="U1403" i="24"/>
  <c r="AB1403" i="24" s="1"/>
  <c r="U1402" i="24"/>
  <c r="AB1402" i="24" s="1"/>
  <c r="U1401" i="24"/>
  <c r="AB1401" i="24" s="1"/>
  <c r="U1400" i="24"/>
  <c r="AB1400" i="24" s="1"/>
  <c r="U1399" i="24"/>
  <c r="AB1399" i="24" s="1"/>
  <c r="U1398" i="24"/>
  <c r="AB1398" i="24" s="1"/>
  <c r="U1397" i="24"/>
  <c r="AB1397" i="24" s="1"/>
  <c r="U1396" i="24"/>
  <c r="AB1396" i="24" s="1"/>
  <c r="U1395" i="24"/>
  <c r="AB1395" i="24" s="1"/>
  <c r="U1394" i="24"/>
  <c r="AB1394" i="24" s="1"/>
  <c r="U1393" i="24"/>
  <c r="AB1393" i="24" s="1"/>
  <c r="U1392" i="24"/>
  <c r="AB1392" i="24" s="1"/>
  <c r="U1391" i="24"/>
  <c r="AB1391" i="24" s="1"/>
  <c r="U1390" i="24"/>
  <c r="AB1390" i="24" s="1"/>
  <c r="U1389" i="24"/>
  <c r="AB1389" i="24" s="1"/>
  <c r="U1388" i="24"/>
  <c r="AB1388" i="24" s="1"/>
  <c r="U1387" i="24"/>
  <c r="AB1387" i="24" s="1"/>
  <c r="U1386" i="24"/>
  <c r="AB1386" i="24" s="1"/>
  <c r="U1385" i="24"/>
  <c r="AB1385" i="24" s="1"/>
  <c r="U1384" i="24"/>
  <c r="AB1384" i="24" s="1"/>
  <c r="U1383" i="24"/>
  <c r="AB1383" i="24" s="1"/>
  <c r="U1382" i="24"/>
  <c r="AB1382" i="24" s="1"/>
  <c r="U1381" i="24"/>
  <c r="AB1381" i="24" s="1"/>
  <c r="U1380" i="24"/>
  <c r="AB1380" i="24" s="1"/>
  <c r="U1379" i="24"/>
  <c r="AB1379" i="24" s="1"/>
  <c r="U1378" i="24"/>
  <c r="AB1378" i="24" s="1"/>
  <c r="U1377" i="24"/>
  <c r="AB1377" i="24" s="1"/>
  <c r="U1376" i="24"/>
  <c r="AB1376" i="24" s="1"/>
  <c r="U1375" i="24"/>
  <c r="AB1375" i="24" s="1"/>
  <c r="U1374" i="24"/>
  <c r="AB1374" i="24" s="1"/>
  <c r="U1373" i="24"/>
  <c r="AB1373" i="24" s="1"/>
  <c r="U1372" i="24"/>
  <c r="AB1372" i="24" s="1"/>
  <c r="U1371" i="24"/>
  <c r="AB1371" i="24" s="1"/>
  <c r="U1370" i="24"/>
  <c r="AB1370" i="24" s="1"/>
  <c r="U1369" i="24"/>
  <c r="AB1369" i="24" s="1"/>
  <c r="U1368" i="24"/>
  <c r="AB1368" i="24" s="1"/>
  <c r="U1367" i="24"/>
  <c r="AB1367" i="24" s="1"/>
  <c r="U1366" i="24"/>
  <c r="AB1366" i="24" s="1"/>
  <c r="U1365" i="24"/>
  <c r="AB1365" i="24" s="1"/>
  <c r="U1364" i="24"/>
  <c r="AB1364" i="24" s="1"/>
  <c r="U1363" i="24"/>
  <c r="AB1363" i="24" s="1"/>
  <c r="U1362" i="24"/>
  <c r="AB1362" i="24" s="1"/>
  <c r="U1361" i="24"/>
  <c r="AB1361" i="24" s="1"/>
  <c r="U1360" i="24"/>
  <c r="AB1360" i="24" s="1"/>
  <c r="U1359" i="24"/>
  <c r="AB1359" i="24" s="1"/>
  <c r="U1358" i="24"/>
  <c r="AB1358" i="24" s="1"/>
  <c r="U1357" i="24"/>
  <c r="AB1357" i="24" s="1"/>
  <c r="U1356" i="24"/>
  <c r="AB1356" i="24" s="1"/>
  <c r="U1355" i="24"/>
  <c r="AB1355" i="24" s="1"/>
  <c r="U1354" i="24"/>
  <c r="AB1354" i="24" s="1"/>
  <c r="U1353" i="24"/>
  <c r="AB1353" i="24" s="1"/>
  <c r="U1352" i="24"/>
  <c r="AB1352" i="24" s="1"/>
  <c r="U1351" i="24"/>
  <c r="AB1351" i="24" s="1"/>
  <c r="U1350" i="24"/>
  <c r="AB1350" i="24" s="1"/>
  <c r="U1349" i="24"/>
  <c r="AB1349" i="24" s="1"/>
  <c r="U1348" i="24"/>
  <c r="AB1348" i="24" s="1"/>
  <c r="U1347" i="24"/>
  <c r="AB1347" i="24" s="1"/>
  <c r="U1346" i="24"/>
  <c r="AB1346" i="24" s="1"/>
  <c r="U1345" i="24"/>
  <c r="AB1345" i="24" s="1"/>
  <c r="U1344" i="24"/>
  <c r="AB1344" i="24" s="1"/>
  <c r="U1343" i="24"/>
  <c r="AB1343" i="24" s="1"/>
  <c r="U1342" i="24"/>
  <c r="AB1342" i="24" s="1"/>
  <c r="U1341" i="24"/>
  <c r="AB1341" i="24" s="1"/>
  <c r="U1340" i="24"/>
  <c r="AB1340" i="24" s="1"/>
  <c r="U1339" i="24"/>
  <c r="AB1339" i="24" s="1"/>
  <c r="U1338" i="24"/>
  <c r="AB1338" i="24" s="1"/>
  <c r="U1337" i="24"/>
  <c r="AB1337" i="24" s="1"/>
  <c r="U1336" i="24"/>
  <c r="AB1336" i="24" s="1"/>
  <c r="U1335" i="24"/>
  <c r="AB1335" i="24" s="1"/>
  <c r="U1334" i="24"/>
  <c r="AB1334" i="24" s="1"/>
  <c r="U1333" i="24"/>
  <c r="AB1333" i="24" s="1"/>
  <c r="U1332" i="24"/>
  <c r="AB1332" i="24" s="1"/>
  <c r="U1331" i="24"/>
  <c r="AB1331" i="24" s="1"/>
  <c r="U1330" i="24"/>
  <c r="AB1330" i="24" s="1"/>
  <c r="U1329" i="24"/>
  <c r="AB1329" i="24" s="1"/>
  <c r="U1328" i="24"/>
  <c r="AB1328" i="24" s="1"/>
  <c r="U1327" i="24"/>
  <c r="AB1327" i="24" s="1"/>
  <c r="U1326" i="24"/>
  <c r="AB1326" i="24" s="1"/>
  <c r="U1325" i="24"/>
  <c r="AB1325" i="24" s="1"/>
  <c r="U1324" i="24"/>
  <c r="AB1324" i="24" s="1"/>
  <c r="U1323" i="24"/>
  <c r="AB1323" i="24" s="1"/>
  <c r="U1322" i="24"/>
  <c r="AB1322" i="24" s="1"/>
  <c r="U1321" i="24"/>
  <c r="AB1321" i="24" s="1"/>
  <c r="U1320" i="24"/>
  <c r="AB1320" i="24" s="1"/>
  <c r="U1319" i="24"/>
  <c r="AB1319" i="24" s="1"/>
  <c r="U1318" i="24"/>
  <c r="AB1318" i="24" s="1"/>
  <c r="U1317" i="24"/>
  <c r="AB1317" i="24" s="1"/>
  <c r="U1316" i="24"/>
  <c r="AB1316" i="24" s="1"/>
  <c r="U1315" i="24"/>
  <c r="AB1315" i="24" s="1"/>
  <c r="U1314" i="24"/>
  <c r="AB1314" i="24" s="1"/>
  <c r="U1313" i="24"/>
  <c r="AB1313" i="24" s="1"/>
  <c r="U1312" i="24"/>
  <c r="AB1312" i="24" s="1"/>
  <c r="U1311" i="24"/>
  <c r="AB1311" i="24" s="1"/>
  <c r="U1310" i="24"/>
  <c r="AB1310" i="24" s="1"/>
  <c r="U1309" i="24"/>
  <c r="AB1309" i="24" s="1"/>
  <c r="U1308" i="24"/>
  <c r="AB1308" i="24" s="1"/>
  <c r="U1307" i="24"/>
  <c r="AB1307" i="24" s="1"/>
  <c r="U1306" i="24"/>
  <c r="AB1306" i="24" s="1"/>
  <c r="U1305" i="24"/>
  <c r="AB1305" i="24" s="1"/>
  <c r="U1304" i="24"/>
  <c r="AB1304" i="24" s="1"/>
  <c r="U1303" i="24"/>
  <c r="AB1303" i="24" s="1"/>
  <c r="U1302" i="24"/>
  <c r="AB1302" i="24" s="1"/>
  <c r="U1301" i="24"/>
  <c r="AB1301" i="24" s="1"/>
  <c r="U1300" i="24"/>
  <c r="AB1300" i="24" s="1"/>
  <c r="U1299" i="24"/>
  <c r="AB1299" i="24" s="1"/>
  <c r="U1298" i="24"/>
  <c r="AB1298" i="24" s="1"/>
  <c r="U1297" i="24"/>
  <c r="AB1297" i="24" s="1"/>
  <c r="U1296" i="24"/>
  <c r="AB1296" i="24" s="1"/>
  <c r="U1295" i="24"/>
  <c r="AB1295" i="24" s="1"/>
  <c r="U1294" i="24"/>
  <c r="AB1294" i="24" s="1"/>
  <c r="U1293" i="24"/>
  <c r="AB1293" i="24" s="1"/>
  <c r="U1292" i="24"/>
  <c r="AB1292" i="24" s="1"/>
  <c r="U1291" i="24"/>
  <c r="AB1291" i="24" s="1"/>
  <c r="U1290" i="24"/>
  <c r="AB1290" i="24" s="1"/>
  <c r="U1289" i="24"/>
  <c r="AB1289" i="24" s="1"/>
  <c r="U1288" i="24"/>
  <c r="AB1288" i="24" s="1"/>
  <c r="U1287" i="24"/>
  <c r="AB1287" i="24" s="1"/>
  <c r="U1286" i="24"/>
  <c r="AB1286" i="24" s="1"/>
  <c r="U1285" i="24"/>
  <c r="AB1285" i="24" s="1"/>
  <c r="U1284" i="24"/>
  <c r="AB1284" i="24" s="1"/>
  <c r="U1283" i="24"/>
  <c r="AB1283" i="24" s="1"/>
  <c r="U1282" i="24"/>
  <c r="AB1282" i="24" s="1"/>
  <c r="U1281" i="24"/>
  <c r="AB1281" i="24" s="1"/>
  <c r="U1280" i="24"/>
  <c r="AB1280" i="24" s="1"/>
  <c r="U1279" i="24"/>
  <c r="AB1279" i="24" s="1"/>
  <c r="U1278" i="24"/>
  <c r="AB1278" i="24" s="1"/>
  <c r="U1277" i="24"/>
  <c r="AB1277" i="24" s="1"/>
  <c r="U1276" i="24"/>
  <c r="AB1276" i="24" s="1"/>
  <c r="U1275" i="24"/>
  <c r="AB1275" i="24" s="1"/>
  <c r="U1274" i="24"/>
  <c r="AB1274" i="24" s="1"/>
  <c r="U1273" i="24"/>
  <c r="AB1273" i="24" s="1"/>
  <c r="U1272" i="24"/>
  <c r="AB1272" i="24" s="1"/>
  <c r="U1271" i="24"/>
  <c r="AB1271" i="24" s="1"/>
  <c r="U1270" i="24"/>
  <c r="AB1270" i="24" s="1"/>
  <c r="U1269" i="24"/>
  <c r="AB1269" i="24" s="1"/>
  <c r="U1268" i="24"/>
  <c r="AB1268" i="24" s="1"/>
  <c r="U1267" i="24"/>
  <c r="AB1267" i="24" s="1"/>
  <c r="U1266" i="24"/>
  <c r="AB1266" i="24" s="1"/>
  <c r="U1265" i="24"/>
  <c r="AB1265" i="24" s="1"/>
  <c r="U1264" i="24"/>
  <c r="AB1264" i="24" s="1"/>
  <c r="U1263" i="24"/>
  <c r="AB1263" i="24" s="1"/>
  <c r="U1262" i="24"/>
  <c r="AB1262" i="24" s="1"/>
  <c r="U1261" i="24"/>
  <c r="AB1261" i="24" s="1"/>
  <c r="U1260" i="24"/>
  <c r="AB1260" i="24" s="1"/>
  <c r="U1259" i="24"/>
  <c r="AB1259" i="24" s="1"/>
  <c r="U1258" i="24"/>
  <c r="AB1258" i="24" s="1"/>
  <c r="U1257" i="24"/>
  <c r="AB1257" i="24" s="1"/>
  <c r="U1256" i="24"/>
  <c r="AB1256" i="24" s="1"/>
  <c r="U1255" i="24"/>
  <c r="AB1255" i="24" s="1"/>
  <c r="U1254" i="24"/>
  <c r="AB1254" i="24" s="1"/>
  <c r="U1253" i="24"/>
  <c r="AB1253" i="24" s="1"/>
  <c r="U1252" i="24"/>
  <c r="AB1252" i="24" s="1"/>
  <c r="U1251" i="24"/>
  <c r="AB1251" i="24" s="1"/>
  <c r="U1250" i="24"/>
  <c r="AB1250" i="24" s="1"/>
  <c r="U1249" i="24"/>
  <c r="AB1249" i="24" s="1"/>
  <c r="U1248" i="24"/>
  <c r="AB1248" i="24" s="1"/>
  <c r="U1247" i="24"/>
  <c r="AB1247" i="24" s="1"/>
  <c r="U1246" i="24"/>
  <c r="AB1246" i="24" s="1"/>
  <c r="U1245" i="24"/>
  <c r="AB1245" i="24" s="1"/>
  <c r="U1244" i="24"/>
  <c r="AB1244" i="24" s="1"/>
  <c r="U1243" i="24"/>
  <c r="AB1243" i="24" s="1"/>
  <c r="U1242" i="24"/>
  <c r="AB1242" i="24" s="1"/>
  <c r="U1241" i="24"/>
  <c r="AB1241" i="24" s="1"/>
  <c r="U1240" i="24"/>
  <c r="AB1240" i="24" s="1"/>
  <c r="U1239" i="24"/>
  <c r="AB1239" i="24" s="1"/>
  <c r="U1238" i="24"/>
  <c r="AB1238" i="24" s="1"/>
  <c r="U1237" i="24"/>
  <c r="AB1237" i="24" s="1"/>
  <c r="U1236" i="24"/>
  <c r="AB1236" i="24" s="1"/>
  <c r="U1235" i="24"/>
  <c r="AB1235" i="24" s="1"/>
  <c r="U1234" i="24"/>
  <c r="AB1234" i="24" s="1"/>
  <c r="U1233" i="24"/>
  <c r="AB1233" i="24" s="1"/>
  <c r="U1232" i="24"/>
  <c r="AB1232" i="24" s="1"/>
  <c r="U1231" i="24"/>
  <c r="AB1231" i="24" s="1"/>
  <c r="U1230" i="24"/>
  <c r="AB1230" i="24" s="1"/>
  <c r="U1229" i="24"/>
  <c r="AB1229" i="24" s="1"/>
  <c r="U1228" i="24"/>
  <c r="AB1228" i="24" s="1"/>
  <c r="U1227" i="24"/>
  <c r="AB1227" i="24" s="1"/>
  <c r="U1226" i="24"/>
  <c r="AB1226" i="24" s="1"/>
  <c r="U1225" i="24"/>
  <c r="AB1225" i="24" s="1"/>
  <c r="U1224" i="24"/>
  <c r="AB1224" i="24" s="1"/>
  <c r="U1223" i="24"/>
  <c r="AB1223" i="24" s="1"/>
  <c r="U1222" i="24"/>
  <c r="AB1222" i="24" s="1"/>
  <c r="U1221" i="24"/>
  <c r="AB1221" i="24" s="1"/>
  <c r="U1220" i="24"/>
  <c r="AB1220" i="24" s="1"/>
  <c r="U1219" i="24"/>
  <c r="AB1219" i="24" s="1"/>
  <c r="U1218" i="24"/>
  <c r="AB1218" i="24" s="1"/>
  <c r="U1217" i="24"/>
  <c r="AB1217" i="24" s="1"/>
  <c r="U1216" i="24"/>
  <c r="AB1216" i="24" s="1"/>
  <c r="U1215" i="24"/>
  <c r="AB1215" i="24" s="1"/>
  <c r="U1214" i="24"/>
  <c r="AB1214" i="24" s="1"/>
  <c r="U1213" i="24"/>
  <c r="AB1213" i="24" s="1"/>
  <c r="U1212" i="24"/>
  <c r="AB1212" i="24" s="1"/>
  <c r="U1211" i="24"/>
  <c r="AB1211" i="24" s="1"/>
  <c r="U1210" i="24"/>
  <c r="AB1210" i="24" s="1"/>
  <c r="U1209" i="24"/>
  <c r="AB1209" i="24" s="1"/>
  <c r="U1208" i="24"/>
  <c r="AB1208" i="24" s="1"/>
  <c r="U1207" i="24"/>
  <c r="AB1207" i="24" s="1"/>
  <c r="U1206" i="24"/>
  <c r="AB1206" i="24" s="1"/>
  <c r="U1205" i="24"/>
  <c r="AB1205" i="24" s="1"/>
  <c r="U1204" i="24"/>
  <c r="AB1204" i="24" s="1"/>
  <c r="U1203" i="24"/>
  <c r="AB1203" i="24" s="1"/>
  <c r="U1202" i="24"/>
  <c r="AB1202" i="24" s="1"/>
  <c r="U1201" i="24"/>
  <c r="AB1201" i="24" s="1"/>
  <c r="U1200" i="24"/>
  <c r="AB1200" i="24" s="1"/>
  <c r="U1199" i="24"/>
  <c r="AB1199" i="24" s="1"/>
  <c r="U1198" i="24"/>
  <c r="AB1198" i="24" s="1"/>
  <c r="U1197" i="24"/>
  <c r="AB1197" i="24" s="1"/>
  <c r="U1196" i="24"/>
  <c r="AB1196" i="24" s="1"/>
  <c r="U1195" i="24"/>
  <c r="AB1195" i="24" s="1"/>
  <c r="U1194" i="24"/>
  <c r="AB1194" i="24" s="1"/>
  <c r="U1193" i="24"/>
  <c r="AB1193" i="24" s="1"/>
  <c r="U1192" i="24"/>
  <c r="AB1192" i="24" s="1"/>
  <c r="U1191" i="24"/>
  <c r="AB1191" i="24" s="1"/>
  <c r="U1190" i="24"/>
  <c r="AB1190" i="24" s="1"/>
  <c r="U1189" i="24"/>
  <c r="AB1189" i="24" s="1"/>
  <c r="U1188" i="24"/>
  <c r="AB1188" i="24" s="1"/>
  <c r="U1187" i="24"/>
  <c r="AB1187" i="24" s="1"/>
  <c r="U1186" i="24"/>
  <c r="AB1186" i="24" s="1"/>
  <c r="U1185" i="24"/>
  <c r="AB1185" i="24" s="1"/>
  <c r="U1184" i="24"/>
  <c r="AB1184" i="24" s="1"/>
  <c r="U1183" i="24"/>
  <c r="AB1183" i="24" s="1"/>
  <c r="U1182" i="24"/>
  <c r="AB1182" i="24" s="1"/>
  <c r="U1181" i="24"/>
  <c r="AB1181" i="24" s="1"/>
  <c r="U1180" i="24"/>
  <c r="AB1180" i="24" s="1"/>
  <c r="U1179" i="24"/>
  <c r="AB1179" i="24" s="1"/>
  <c r="U1178" i="24"/>
  <c r="AB1178" i="24" s="1"/>
  <c r="U1177" i="24"/>
  <c r="AB1177" i="24" s="1"/>
  <c r="U1176" i="24"/>
  <c r="AB1176" i="24" s="1"/>
  <c r="U1175" i="24"/>
  <c r="AB1175" i="24" s="1"/>
  <c r="U1174" i="24"/>
  <c r="AB1174" i="24" s="1"/>
  <c r="U1173" i="24"/>
  <c r="AB1173" i="24" s="1"/>
  <c r="U1172" i="24"/>
  <c r="AB1172" i="24" s="1"/>
  <c r="U1171" i="24"/>
  <c r="AB1171" i="24" s="1"/>
  <c r="U1170" i="24"/>
  <c r="AB1170" i="24" s="1"/>
  <c r="U1169" i="24"/>
  <c r="AB1169" i="24" s="1"/>
  <c r="U1168" i="24"/>
  <c r="AB1168" i="24" s="1"/>
  <c r="U1167" i="24"/>
  <c r="AB1167" i="24" s="1"/>
  <c r="U1166" i="24"/>
  <c r="AB1166" i="24" s="1"/>
  <c r="U1165" i="24"/>
  <c r="AB1165" i="24" s="1"/>
  <c r="U1164" i="24"/>
  <c r="AB1164" i="24" s="1"/>
  <c r="U1163" i="24"/>
  <c r="AB1163" i="24" s="1"/>
  <c r="U1162" i="24"/>
  <c r="AB1162" i="24" s="1"/>
  <c r="U1161" i="24"/>
  <c r="AB1161" i="24" s="1"/>
  <c r="U1160" i="24"/>
  <c r="AB1160" i="24" s="1"/>
  <c r="U1159" i="24"/>
  <c r="AB1159" i="24" s="1"/>
  <c r="U1158" i="24"/>
  <c r="AB1158" i="24" s="1"/>
  <c r="U1157" i="24"/>
  <c r="AB1157" i="24" s="1"/>
  <c r="U1156" i="24"/>
  <c r="AB1156" i="24" s="1"/>
  <c r="U1155" i="24"/>
  <c r="AB1155" i="24" s="1"/>
  <c r="U1154" i="24"/>
  <c r="AB1154" i="24" s="1"/>
  <c r="U1153" i="24"/>
  <c r="AB1153" i="24" s="1"/>
  <c r="U1152" i="24"/>
  <c r="AB1152" i="24" s="1"/>
  <c r="U1151" i="24"/>
  <c r="AB1151" i="24" s="1"/>
  <c r="U1150" i="24"/>
  <c r="AB1150" i="24" s="1"/>
  <c r="U1149" i="24"/>
  <c r="AB1149" i="24" s="1"/>
  <c r="U1148" i="24"/>
  <c r="AB1148" i="24" s="1"/>
  <c r="U1147" i="24"/>
  <c r="AB1147" i="24" s="1"/>
  <c r="U1146" i="24"/>
  <c r="AB1146" i="24" s="1"/>
  <c r="U1145" i="24"/>
  <c r="AB1145" i="24" s="1"/>
  <c r="U1144" i="24"/>
  <c r="AB1144" i="24" s="1"/>
  <c r="U1143" i="24"/>
  <c r="AB1143" i="24" s="1"/>
  <c r="U1142" i="24"/>
  <c r="AB1142" i="24" s="1"/>
  <c r="U1141" i="24"/>
  <c r="AB1141" i="24" s="1"/>
  <c r="U1140" i="24"/>
  <c r="AB1140" i="24" s="1"/>
  <c r="U1139" i="24"/>
  <c r="AB1139" i="24" s="1"/>
  <c r="U1138" i="24"/>
  <c r="AB1138" i="24" s="1"/>
  <c r="U1137" i="24"/>
  <c r="AB1137" i="24" s="1"/>
  <c r="U1136" i="24"/>
  <c r="AB1136" i="24" s="1"/>
  <c r="U1135" i="24"/>
  <c r="AB1135" i="24" s="1"/>
  <c r="U1134" i="24"/>
  <c r="AB1134" i="24" s="1"/>
  <c r="U1133" i="24"/>
  <c r="AB1133" i="24" s="1"/>
  <c r="U1132" i="24"/>
  <c r="AB1132" i="24" s="1"/>
  <c r="U1131" i="24"/>
  <c r="AB1131" i="24" s="1"/>
  <c r="U1130" i="24"/>
  <c r="AB1130" i="24" s="1"/>
  <c r="U1129" i="24"/>
  <c r="AB1129" i="24" s="1"/>
  <c r="U1128" i="24"/>
  <c r="AB1128" i="24" s="1"/>
  <c r="U1127" i="24"/>
  <c r="AB1127" i="24" s="1"/>
  <c r="U1126" i="24"/>
  <c r="AB1126" i="24" s="1"/>
  <c r="U1125" i="24"/>
  <c r="AB1125" i="24" s="1"/>
  <c r="U1124" i="24"/>
  <c r="AB1124" i="24" s="1"/>
  <c r="U1123" i="24"/>
  <c r="AB1123" i="24" s="1"/>
  <c r="U1122" i="24"/>
  <c r="AB1122" i="24" s="1"/>
  <c r="U1121" i="24"/>
  <c r="AB1121" i="24" s="1"/>
  <c r="U1120" i="24"/>
  <c r="AB1120" i="24" s="1"/>
  <c r="U1119" i="24"/>
  <c r="AB1119" i="24" s="1"/>
  <c r="U1118" i="24"/>
  <c r="AB1118" i="24" s="1"/>
  <c r="U1117" i="24"/>
  <c r="AB1117" i="24" s="1"/>
  <c r="U1116" i="24"/>
  <c r="AB1116" i="24" s="1"/>
  <c r="U1115" i="24"/>
  <c r="AB1115" i="24" s="1"/>
  <c r="U1114" i="24"/>
  <c r="AB1114" i="24" s="1"/>
  <c r="U1113" i="24"/>
  <c r="AB1113" i="24" s="1"/>
  <c r="U1112" i="24"/>
  <c r="AB1112" i="24" s="1"/>
  <c r="U1111" i="24"/>
  <c r="AB1111" i="24" s="1"/>
  <c r="U1110" i="24"/>
  <c r="AB1110" i="24" s="1"/>
  <c r="U1109" i="24"/>
  <c r="AB1109" i="24" s="1"/>
  <c r="U1108" i="24"/>
  <c r="AB1108" i="24" s="1"/>
  <c r="U1107" i="24"/>
  <c r="AB1107" i="24" s="1"/>
  <c r="U1106" i="24"/>
  <c r="AB1106" i="24" s="1"/>
  <c r="U1105" i="24"/>
  <c r="AB1105" i="24" s="1"/>
  <c r="U1104" i="24"/>
  <c r="AB1104" i="24" s="1"/>
  <c r="U1103" i="24"/>
  <c r="AB1103" i="24" s="1"/>
  <c r="U1102" i="24"/>
  <c r="AB1102" i="24" s="1"/>
  <c r="U1101" i="24"/>
  <c r="AB1101" i="24" s="1"/>
  <c r="U1100" i="24"/>
  <c r="AB1100" i="24" s="1"/>
  <c r="U1099" i="24"/>
  <c r="AB1099" i="24" s="1"/>
  <c r="U1098" i="24"/>
  <c r="AB1098" i="24" s="1"/>
  <c r="U1097" i="24"/>
  <c r="AB1097" i="24" s="1"/>
  <c r="U1096" i="24"/>
  <c r="AB1096" i="24" s="1"/>
  <c r="U1095" i="24"/>
  <c r="AB1095" i="24" s="1"/>
  <c r="U1094" i="24"/>
  <c r="AB1094" i="24" s="1"/>
  <c r="U1093" i="24"/>
  <c r="AB1093" i="24" s="1"/>
  <c r="U1092" i="24"/>
  <c r="AB1092" i="24" s="1"/>
  <c r="U1091" i="24"/>
  <c r="AB1091" i="24" s="1"/>
  <c r="U1090" i="24"/>
  <c r="AB1090" i="24" s="1"/>
  <c r="U1089" i="24"/>
  <c r="AB1089" i="24" s="1"/>
  <c r="U1088" i="24"/>
  <c r="AB1088" i="24" s="1"/>
  <c r="U1087" i="24"/>
  <c r="AB1087" i="24" s="1"/>
  <c r="U1086" i="24"/>
  <c r="AB1086" i="24" s="1"/>
  <c r="U1085" i="24"/>
  <c r="AB1085" i="24" s="1"/>
  <c r="U1084" i="24"/>
  <c r="AB1084" i="24" s="1"/>
  <c r="U1083" i="24"/>
  <c r="AB1083" i="24" s="1"/>
  <c r="U1082" i="24"/>
  <c r="AB1082" i="24" s="1"/>
  <c r="U1081" i="24"/>
  <c r="AB1081" i="24" s="1"/>
  <c r="U1080" i="24"/>
  <c r="AB1080" i="24" s="1"/>
  <c r="U1079" i="24"/>
  <c r="AB1079" i="24" s="1"/>
  <c r="U1078" i="24"/>
  <c r="AB1078" i="24" s="1"/>
  <c r="U1077" i="24"/>
  <c r="AB1077" i="24" s="1"/>
  <c r="U1076" i="24"/>
  <c r="AB1076" i="24" s="1"/>
  <c r="U1075" i="24"/>
  <c r="AB1075" i="24" s="1"/>
  <c r="U1074" i="24"/>
  <c r="AB1074" i="24" s="1"/>
  <c r="U1073" i="24"/>
  <c r="AB1073" i="24" s="1"/>
  <c r="U1072" i="24"/>
  <c r="AB1072" i="24" s="1"/>
  <c r="U1071" i="24"/>
  <c r="AB1071" i="24" s="1"/>
  <c r="U1070" i="24"/>
  <c r="AB1070" i="24" s="1"/>
  <c r="U1069" i="24"/>
  <c r="AB1069" i="24" s="1"/>
  <c r="U1068" i="24"/>
  <c r="AB1068" i="24" s="1"/>
  <c r="U1067" i="24"/>
  <c r="AB1067" i="24" s="1"/>
  <c r="U1066" i="24"/>
  <c r="AB1066" i="24" s="1"/>
  <c r="U1065" i="24"/>
  <c r="AB1065" i="24" s="1"/>
  <c r="U1064" i="24"/>
  <c r="AB1064" i="24" s="1"/>
  <c r="U1063" i="24"/>
  <c r="AB1063" i="24" s="1"/>
  <c r="U1062" i="24"/>
  <c r="AB1062" i="24" s="1"/>
  <c r="U1061" i="24"/>
  <c r="AB1061" i="24" s="1"/>
  <c r="U1060" i="24"/>
  <c r="AB1060" i="24" s="1"/>
  <c r="U1059" i="24"/>
  <c r="AB1059" i="24" s="1"/>
  <c r="U1058" i="24"/>
  <c r="AB1058" i="24" s="1"/>
  <c r="U1057" i="24"/>
  <c r="AB1057" i="24" s="1"/>
  <c r="U1056" i="24"/>
  <c r="AB1056" i="24" s="1"/>
  <c r="U1055" i="24"/>
  <c r="AB1055" i="24" s="1"/>
  <c r="U1054" i="24"/>
  <c r="AB1054" i="24" s="1"/>
  <c r="U1053" i="24"/>
  <c r="AB1053" i="24" s="1"/>
  <c r="U1052" i="24"/>
  <c r="AB1052" i="24" s="1"/>
  <c r="U1051" i="24"/>
  <c r="AB1051" i="24" s="1"/>
  <c r="U1050" i="24"/>
  <c r="AB1050" i="24" s="1"/>
  <c r="U1049" i="24"/>
  <c r="AB1049" i="24" s="1"/>
  <c r="U1048" i="24"/>
  <c r="AB1048" i="24" s="1"/>
  <c r="U1047" i="24"/>
  <c r="AB1047" i="24" s="1"/>
  <c r="U1046" i="24"/>
  <c r="AB1046" i="24" s="1"/>
  <c r="U1045" i="24"/>
  <c r="AB1045" i="24" s="1"/>
  <c r="U1044" i="24"/>
  <c r="AB1044" i="24" s="1"/>
  <c r="U1043" i="24"/>
  <c r="AB1043" i="24" s="1"/>
  <c r="U1042" i="24"/>
  <c r="AB1042" i="24" s="1"/>
  <c r="U1041" i="24"/>
  <c r="AB1041" i="24" s="1"/>
  <c r="U1040" i="24"/>
  <c r="AB1040" i="24" s="1"/>
  <c r="U1039" i="24"/>
  <c r="AB1039" i="24" s="1"/>
  <c r="U1038" i="24"/>
  <c r="AB1038" i="24" s="1"/>
  <c r="U1037" i="24"/>
  <c r="AB1037" i="24" s="1"/>
  <c r="U1036" i="24"/>
  <c r="AB1036" i="24" s="1"/>
  <c r="U1035" i="24"/>
  <c r="AB1035" i="24" s="1"/>
  <c r="U1034" i="24"/>
  <c r="AB1034" i="24" s="1"/>
  <c r="U1033" i="24"/>
  <c r="AB1033" i="24" s="1"/>
  <c r="U1032" i="24"/>
  <c r="AB1032" i="24" s="1"/>
  <c r="U1031" i="24"/>
  <c r="AB1031" i="24" s="1"/>
  <c r="U1030" i="24"/>
  <c r="AB1030" i="24" s="1"/>
  <c r="U1029" i="24"/>
  <c r="AB1029" i="24" s="1"/>
  <c r="U1028" i="24"/>
  <c r="AB1028" i="24" s="1"/>
  <c r="U1027" i="24"/>
  <c r="AB1027" i="24" s="1"/>
  <c r="U1026" i="24"/>
  <c r="AB1026" i="24" s="1"/>
  <c r="U1025" i="24"/>
  <c r="AB1025" i="24" s="1"/>
  <c r="U1024" i="24"/>
  <c r="AB1024" i="24" s="1"/>
  <c r="U1023" i="24"/>
  <c r="AB1023" i="24" s="1"/>
  <c r="U1022" i="24"/>
  <c r="AB1022" i="24" s="1"/>
  <c r="U1021" i="24"/>
  <c r="AB1021" i="24" s="1"/>
  <c r="U1020" i="24"/>
  <c r="AB1020" i="24" s="1"/>
  <c r="U1019" i="24"/>
  <c r="AB1019" i="24" s="1"/>
  <c r="U1018" i="24"/>
  <c r="AB1018" i="24" s="1"/>
  <c r="U1017" i="24"/>
  <c r="AB1017" i="24" s="1"/>
  <c r="U1016" i="24"/>
  <c r="AB1016" i="24" s="1"/>
  <c r="U1015" i="24"/>
  <c r="AB1015" i="24" s="1"/>
  <c r="U1014" i="24"/>
  <c r="AB1014" i="24" s="1"/>
  <c r="U1013" i="24"/>
  <c r="AB1013" i="24" s="1"/>
  <c r="U1012" i="24"/>
  <c r="AB1012" i="24" s="1"/>
  <c r="U1011" i="24"/>
  <c r="AB1011" i="24" s="1"/>
  <c r="U1010" i="24"/>
  <c r="AB1010" i="24" s="1"/>
  <c r="U1009" i="24"/>
  <c r="AB1009" i="24" s="1"/>
  <c r="U1008" i="24"/>
  <c r="AB1008" i="24" s="1"/>
  <c r="U1007" i="24"/>
  <c r="AB1007" i="24" s="1"/>
  <c r="U1006" i="24"/>
  <c r="AB1006" i="24" s="1"/>
  <c r="U1005" i="24"/>
  <c r="AB1005" i="24" s="1"/>
  <c r="U1004" i="24"/>
  <c r="AB1004" i="24" s="1"/>
  <c r="U1003" i="24"/>
  <c r="AB1003" i="24" s="1"/>
  <c r="U1002" i="24"/>
  <c r="AB1002" i="24" s="1"/>
  <c r="U1001" i="24"/>
  <c r="AB1001" i="24" s="1"/>
  <c r="U1000" i="24"/>
  <c r="AB1000" i="24" s="1"/>
  <c r="U999" i="24"/>
  <c r="AB999" i="24" s="1"/>
  <c r="U998" i="24"/>
  <c r="AB998" i="24" s="1"/>
  <c r="U997" i="24"/>
  <c r="AB997" i="24" s="1"/>
  <c r="U996" i="24"/>
  <c r="AB996" i="24" s="1"/>
  <c r="U995" i="24"/>
  <c r="AB995" i="24" s="1"/>
  <c r="U994" i="24"/>
  <c r="AB994" i="24" s="1"/>
  <c r="U993" i="24"/>
  <c r="AB993" i="24" s="1"/>
  <c r="U992" i="24"/>
  <c r="AB992" i="24" s="1"/>
  <c r="U991" i="24"/>
  <c r="AB991" i="24" s="1"/>
  <c r="U990" i="24"/>
  <c r="AB990" i="24" s="1"/>
  <c r="U989" i="24"/>
  <c r="AB989" i="24" s="1"/>
  <c r="U988" i="24"/>
  <c r="AB988" i="24" s="1"/>
  <c r="U987" i="24"/>
  <c r="AB987" i="24" s="1"/>
  <c r="U986" i="24"/>
  <c r="AB986" i="24" s="1"/>
  <c r="U985" i="24"/>
  <c r="AB985" i="24" s="1"/>
  <c r="U984" i="24"/>
  <c r="AB984" i="24" s="1"/>
  <c r="U983" i="24"/>
  <c r="AB983" i="24" s="1"/>
  <c r="U982" i="24"/>
  <c r="AB982" i="24" s="1"/>
  <c r="K52" i="13"/>
  <c r="P52" i="13" s="1"/>
  <c r="R52" i="13" s="1"/>
  <c r="T52" i="13" s="1"/>
  <c r="K57" i="13"/>
  <c r="P57" i="13" s="1"/>
  <c r="R57" i="13" s="1"/>
  <c r="T57" i="13" s="1"/>
  <c r="K61" i="13"/>
  <c r="P61" i="13" s="1"/>
  <c r="R61" i="13" s="1"/>
  <c r="T61" i="13" s="1"/>
  <c r="K80" i="13"/>
  <c r="P80" i="13" s="1"/>
  <c r="R80" i="13" s="1"/>
  <c r="T80" i="13" s="1"/>
  <c r="K67" i="13"/>
  <c r="P67" i="13" s="1"/>
  <c r="R67" i="13" s="1"/>
  <c r="T67" i="13" s="1"/>
  <c r="K59" i="13"/>
  <c r="P59" i="13" s="1"/>
  <c r="R59" i="13" s="1"/>
  <c r="T59" i="13" s="1"/>
  <c r="K63" i="13"/>
  <c r="P63" i="13" s="1"/>
  <c r="R63" i="13" s="1"/>
  <c r="T63" i="13" s="1"/>
  <c r="K76" i="13"/>
  <c r="P76" i="13" s="1"/>
  <c r="R76" i="13" s="1"/>
  <c r="T76" i="13" s="1"/>
  <c r="K84" i="13"/>
  <c r="P84" i="13" s="1"/>
  <c r="R84" i="13" s="1"/>
  <c r="T84" i="13" s="1"/>
  <c r="K45" i="13"/>
  <c r="P45" i="13" s="1"/>
  <c r="R45" i="13" s="1"/>
  <c r="T45" i="13" s="1"/>
  <c r="K38" i="13"/>
  <c r="K72" i="13"/>
  <c r="P72" i="13" s="1"/>
  <c r="R72" i="13" s="1"/>
  <c r="T72" i="13" s="1"/>
  <c r="K37" i="13"/>
  <c r="K28" i="13"/>
  <c r="P28" i="13" s="1"/>
  <c r="K69" i="13"/>
  <c r="P69" i="13" s="1"/>
  <c r="R69" i="13" s="1"/>
  <c r="T69" i="13" s="1"/>
  <c r="K33" i="13"/>
  <c r="P33" i="13" s="1"/>
  <c r="K82" i="13"/>
  <c r="P82" i="13" s="1"/>
  <c r="R82" i="13" s="1"/>
  <c r="T82" i="13" s="1"/>
  <c r="K39" i="13"/>
  <c r="P39" i="13" s="1"/>
  <c r="R39" i="13" s="1"/>
  <c r="T39" i="13" s="1"/>
  <c r="K36" i="13"/>
  <c r="K47" i="13"/>
  <c r="P47" i="13" s="1"/>
  <c r="R47" i="13" s="1"/>
  <c r="T47" i="13" s="1"/>
  <c r="K74" i="13"/>
  <c r="P74" i="13" s="1"/>
  <c r="R74" i="13" s="1"/>
  <c r="T74" i="13" s="1"/>
  <c r="K73" i="13"/>
  <c r="P73" i="13" s="1"/>
  <c r="R73" i="13" s="1"/>
  <c r="T73" i="13" s="1"/>
  <c r="K95" i="13"/>
  <c r="P95" i="13" s="1"/>
  <c r="R95" i="13" s="1"/>
  <c r="T95" i="13" s="1"/>
  <c r="K51" i="13"/>
  <c r="P51" i="13" s="1"/>
  <c r="R51" i="13" s="1"/>
  <c r="T51" i="13" s="1"/>
  <c r="K29" i="13"/>
  <c r="P29" i="13" s="1"/>
  <c r="K42" i="13"/>
  <c r="P42" i="13" s="1"/>
  <c r="R42" i="13" s="1"/>
  <c r="T42" i="13" s="1"/>
  <c r="K86" i="13"/>
  <c r="P86" i="13" s="1"/>
  <c r="R86" i="13" s="1"/>
  <c r="T86" i="13" s="1"/>
  <c r="K93" i="13"/>
  <c r="P93" i="13" s="1"/>
  <c r="R93" i="13" s="1"/>
  <c r="T93" i="13" s="1"/>
  <c r="K27" i="13"/>
  <c r="Q27" i="13" s="1"/>
  <c r="K85" i="13"/>
  <c r="P85" i="13" s="1"/>
  <c r="R85" i="13" s="1"/>
  <c r="T85" i="13" s="1"/>
  <c r="K87" i="13"/>
  <c r="P87" i="13" s="1"/>
  <c r="R87" i="13" s="1"/>
  <c r="T87" i="13" s="1"/>
  <c r="K53" i="13"/>
  <c r="P53" i="13" s="1"/>
  <c r="R53" i="13" s="1"/>
  <c r="T53" i="13" s="1"/>
  <c r="K40" i="13"/>
  <c r="P40" i="13" s="1"/>
  <c r="R40" i="13" s="1"/>
  <c r="T40" i="13" s="1"/>
  <c r="K70" i="13"/>
  <c r="P70" i="13" s="1"/>
  <c r="R70" i="13" s="1"/>
  <c r="T70" i="13" s="1"/>
  <c r="K68" i="13"/>
  <c r="P68" i="13" s="1"/>
  <c r="R68" i="13" s="1"/>
  <c r="T68" i="13" s="1"/>
  <c r="K34" i="13"/>
  <c r="P34" i="13" s="1"/>
  <c r="K94" i="13"/>
  <c r="P94" i="13" s="1"/>
  <c r="R94" i="13" s="1"/>
  <c r="T94" i="13" s="1"/>
  <c r="K65" i="13"/>
  <c r="P65" i="13" s="1"/>
  <c r="R65" i="13" s="1"/>
  <c r="T65" i="13" s="1"/>
  <c r="K60" i="13"/>
  <c r="P60" i="13" s="1"/>
  <c r="R60" i="13" s="1"/>
  <c r="T60" i="13" s="1"/>
  <c r="K88" i="13"/>
  <c r="P88" i="13" s="1"/>
  <c r="R88" i="13" s="1"/>
  <c r="T88" i="13" s="1"/>
  <c r="K91" i="13"/>
  <c r="P91" i="13" s="1"/>
  <c r="R91" i="13" s="1"/>
  <c r="T91" i="13" s="1"/>
  <c r="K90" i="13"/>
  <c r="P90" i="13" s="1"/>
  <c r="R90" i="13" s="1"/>
  <c r="T90" i="13" s="1"/>
  <c r="K31" i="13"/>
  <c r="P31" i="13" s="1"/>
  <c r="K50" i="13"/>
  <c r="P50" i="13" s="1"/>
  <c r="R50" i="13" s="1"/>
  <c r="T50" i="13" s="1"/>
  <c r="K32" i="13"/>
  <c r="K78" i="13"/>
  <c r="P78" i="13" s="1"/>
  <c r="R78" i="13" s="1"/>
  <c r="T78" i="13" s="1"/>
  <c r="K66" i="13"/>
  <c r="P66" i="13" s="1"/>
  <c r="R66" i="13" s="1"/>
  <c r="T66" i="13" s="1"/>
  <c r="K49" i="13"/>
  <c r="P49" i="13" s="1"/>
  <c r="R49" i="13" s="1"/>
  <c r="T49" i="13" s="1"/>
  <c r="K75" i="13"/>
  <c r="P75" i="13" s="1"/>
  <c r="R75" i="13" s="1"/>
  <c r="T75" i="13" s="1"/>
  <c r="K64" i="13"/>
  <c r="P64" i="13" s="1"/>
  <c r="R64" i="13" s="1"/>
  <c r="T64" i="13" s="1"/>
  <c r="K56" i="13"/>
  <c r="P56" i="13" s="1"/>
  <c r="R56" i="13" s="1"/>
  <c r="T56" i="13" s="1"/>
  <c r="K62" i="13"/>
  <c r="P62" i="13" s="1"/>
  <c r="R62" i="13" s="1"/>
  <c r="T62" i="13" s="1"/>
  <c r="K48" i="13"/>
  <c r="P48" i="13" s="1"/>
  <c r="R48" i="13" s="1"/>
  <c r="T48" i="13" s="1"/>
  <c r="K83" i="13"/>
  <c r="P83" i="13" s="1"/>
  <c r="R83" i="13" s="1"/>
  <c r="T83" i="13" s="1"/>
  <c r="K71" i="13"/>
  <c r="P71" i="13" s="1"/>
  <c r="R71" i="13" s="1"/>
  <c r="T71" i="13" s="1"/>
  <c r="K46" i="13"/>
  <c r="P46" i="13" s="1"/>
  <c r="R46" i="13" s="1"/>
  <c r="T46" i="13" s="1"/>
  <c r="K41" i="13"/>
  <c r="P41" i="13" s="1"/>
  <c r="R41" i="13" s="1"/>
  <c r="T41" i="13" s="1"/>
  <c r="K55" i="13"/>
  <c r="P55" i="13" s="1"/>
  <c r="R55" i="13" s="1"/>
  <c r="T55" i="13" s="1"/>
  <c r="K54" i="13"/>
  <c r="P54" i="13" s="1"/>
  <c r="R54" i="13" s="1"/>
  <c r="T54" i="13" s="1"/>
  <c r="K79" i="13"/>
  <c r="P79" i="13" s="1"/>
  <c r="R79" i="13" s="1"/>
  <c r="T79" i="13" s="1"/>
  <c r="K44" i="13"/>
  <c r="P44" i="13" s="1"/>
  <c r="R44" i="13" s="1"/>
  <c r="T44" i="13" s="1"/>
  <c r="K30" i="13"/>
  <c r="P30" i="13" s="1"/>
  <c r="K35" i="13"/>
  <c r="P35" i="13" s="1"/>
  <c r="K81" i="13"/>
  <c r="P81" i="13" s="1"/>
  <c r="R81" i="13" s="1"/>
  <c r="T81" i="13" s="1"/>
  <c r="K89" i="13"/>
  <c r="P89" i="13" s="1"/>
  <c r="R89" i="13" s="1"/>
  <c r="T89" i="13" s="1"/>
  <c r="K43" i="13"/>
  <c r="K58" i="13"/>
  <c r="P58" i="13" s="1"/>
  <c r="R58" i="13" s="1"/>
  <c r="T58" i="13" s="1"/>
  <c r="K92" i="13"/>
  <c r="P92" i="13" s="1"/>
  <c r="R92" i="13" s="1"/>
  <c r="T92" i="13" s="1"/>
  <c r="K77" i="13"/>
  <c r="P77" i="13" s="1"/>
  <c r="R77" i="13" s="1"/>
  <c r="T77" i="13" s="1"/>
  <c r="C29" i="4"/>
  <c r="X1873" i="24" l="1"/>
  <c r="AD1873" i="24" s="1"/>
  <c r="AF1873" i="24" s="1"/>
  <c r="AK1873" i="24" s="1"/>
  <c r="Q25" i="13"/>
  <c r="AB57" i="13"/>
  <c r="AE57" i="13"/>
  <c r="AB44" i="13"/>
  <c r="AE44" i="13"/>
  <c r="AB84" i="13"/>
  <c r="AE84" i="13"/>
  <c r="AB92" i="13"/>
  <c r="AE92" i="13"/>
  <c r="AB76" i="13"/>
  <c r="AE76" i="13"/>
  <c r="AB59" i="13"/>
  <c r="AE59" i="13"/>
  <c r="AB65" i="13"/>
  <c r="AE65" i="13"/>
  <c r="AB79" i="13"/>
  <c r="AE79" i="13"/>
  <c r="AB77" i="13"/>
  <c r="AE77" i="13"/>
  <c r="AB46" i="13"/>
  <c r="AE46" i="13"/>
  <c r="AB83" i="13"/>
  <c r="AE83" i="13"/>
  <c r="AB85" i="13"/>
  <c r="AE85" i="13"/>
  <c r="AB48" i="13"/>
  <c r="AE48" i="13"/>
  <c r="AB67" i="13"/>
  <c r="AE67" i="13"/>
  <c r="AB40" i="13"/>
  <c r="AE40" i="13"/>
  <c r="AB53" i="13"/>
  <c r="AE53" i="13"/>
  <c r="AB90" i="13"/>
  <c r="AE90" i="13"/>
  <c r="AB89" i="13"/>
  <c r="AE89" i="13"/>
  <c r="AB91" i="13"/>
  <c r="AE91" i="13"/>
  <c r="AB82" i="13"/>
  <c r="AE82" i="13"/>
  <c r="AB88" i="13"/>
  <c r="AE88" i="13"/>
  <c r="AB80" i="13"/>
  <c r="AE80" i="13"/>
  <c r="AB47" i="13"/>
  <c r="AE47" i="13"/>
  <c r="AB39" i="13"/>
  <c r="AE39" i="13"/>
  <c r="AB81" i="13"/>
  <c r="AE81" i="13"/>
  <c r="AB62" i="13"/>
  <c r="AE62" i="13"/>
  <c r="AB93" i="13"/>
  <c r="AE93" i="13"/>
  <c r="AB56" i="13"/>
  <c r="AE56" i="13"/>
  <c r="AB60" i="13"/>
  <c r="AE60" i="13"/>
  <c r="AB86" i="13"/>
  <c r="AE86" i="13"/>
  <c r="AB69" i="13"/>
  <c r="AE69" i="13"/>
  <c r="AB61" i="13"/>
  <c r="AE61" i="13"/>
  <c r="AB42" i="13"/>
  <c r="AE42" i="13"/>
  <c r="AB94" i="13"/>
  <c r="AE94" i="13"/>
  <c r="AB51" i="13"/>
  <c r="AE51" i="13"/>
  <c r="AB54" i="13"/>
  <c r="AE54" i="13"/>
  <c r="AB95" i="13"/>
  <c r="AE95" i="13"/>
  <c r="AB64" i="13"/>
  <c r="AE64" i="13"/>
  <c r="AB66" i="13"/>
  <c r="AE66" i="13"/>
  <c r="AB68" i="13"/>
  <c r="AE68" i="13"/>
  <c r="AB55" i="13"/>
  <c r="AE55" i="13"/>
  <c r="AB78" i="13"/>
  <c r="AE78" i="13"/>
  <c r="AB70" i="13"/>
  <c r="AE70" i="13"/>
  <c r="AB73" i="13"/>
  <c r="AE73" i="13"/>
  <c r="AB45" i="13"/>
  <c r="AE45" i="13"/>
  <c r="AB52" i="13"/>
  <c r="AE52" i="13"/>
  <c r="AB74" i="13"/>
  <c r="AE74" i="13"/>
  <c r="AB75" i="13"/>
  <c r="AE75" i="13"/>
  <c r="AB49" i="13"/>
  <c r="AE49" i="13"/>
  <c r="AB41" i="13"/>
  <c r="AE41" i="13"/>
  <c r="AB72" i="13"/>
  <c r="AE72" i="13"/>
  <c r="AB50" i="13"/>
  <c r="AE50" i="13"/>
  <c r="AB58" i="13"/>
  <c r="AE58" i="13"/>
  <c r="AB71" i="13"/>
  <c r="AE71" i="13"/>
  <c r="AB87" i="13"/>
  <c r="AE87" i="13"/>
  <c r="AB63" i="13"/>
  <c r="AE63" i="13"/>
  <c r="X1918" i="24"/>
  <c r="AD1918" i="24" s="1"/>
  <c r="AF1918" i="24" s="1"/>
  <c r="AL1918" i="24" s="1"/>
  <c r="X1896" i="24"/>
  <c r="AD1896" i="24" s="1"/>
  <c r="AF1896" i="24" s="1"/>
  <c r="AM1896" i="24" s="1"/>
  <c r="X1767" i="24"/>
  <c r="AD1767" i="24" s="1"/>
  <c r="AF1767" i="24" s="1"/>
  <c r="AN1767" i="24" s="1"/>
  <c r="X1904" i="24"/>
  <c r="AD1904" i="24" s="1"/>
  <c r="AF1904" i="24" s="1"/>
  <c r="AK1904" i="24" s="1"/>
  <c r="X1943" i="24"/>
  <c r="AD1943" i="24" s="1"/>
  <c r="AF1943" i="24" s="1"/>
  <c r="AL1943" i="24" s="1"/>
  <c r="X1981" i="24"/>
  <c r="AD1981" i="24" s="1"/>
  <c r="AF1981" i="24" s="1"/>
  <c r="AN1981" i="24" s="1"/>
  <c r="X1690" i="24"/>
  <c r="AD1690" i="24" s="1"/>
  <c r="AF1690" i="24" s="1"/>
  <c r="AK1690" i="24" s="1"/>
  <c r="X1624" i="24"/>
  <c r="AD1624" i="24" s="1"/>
  <c r="AF1624" i="24" s="1"/>
  <c r="AL1624" i="24" s="1"/>
  <c r="X1964" i="24"/>
  <c r="AD1964" i="24" s="1"/>
  <c r="AF1964" i="24" s="1"/>
  <c r="AN1964" i="24" s="1"/>
  <c r="X1687" i="24"/>
  <c r="AD1687" i="24" s="1"/>
  <c r="AF1687" i="24" s="1"/>
  <c r="AN1687" i="24" s="1"/>
  <c r="X1885" i="24"/>
  <c r="AD1885" i="24" s="1"/>
  <c r="AF1885" i="24" s="1"/>
  <c r="AN1885" i="24" s="1"/>
  <c r="X1847" i="24"/>
  <c r="AD1847" i="24" s="1"/>
  <c r="AF1847" i="24" s="1"/>
  <c r="AM1847" i="24" s="1"/>
  <c r="X1830" i="24"/>
  <c r="AD1830" i="24" s="1"/>
  <c r="AF1830" i="24" s="1"/>
  <c r="AN1830" i="24" s="1"/>
  <c r="X1669" i="24"/>
  <c r="AD1669" i="24" s="1"/>
  <c r="AF1669" i="24" s="1"/>
  <c r="AM1669" i="24" s="1"/>
  <c r="X1809" i="24"/>
  <c r="AD1809" i="24" s="1"/>
  <c r="AF1809" i="24" s="1"/>
  <c r="AM1809" i="24" s="1"/>
  <c r="X1726" i="24"/>
  <c r="AD1726" i="24" s="1"/>
  <c r="AF1726" i="24" s="1"/>
  <c r="AN1726" i="24" s="1"/>
  <c r="X1823" i="24"/>
  <c r="AD1823" i="24" s="1"/>
  <c r="AF1823" i="24" s="1"/>
  <c r="AN1823" i="24" s="1"/>
  <c r="X1806" i="24"/>
  <c r="AD1806" i="24" s="1"/>
  <c r="AF1806" i="24" s="1"/>
  <c r="AM1806" i="24" s="1"/>
  <c r="X1930" i="24"/>
  <c r="AD1930" i="24" s="1"/>
  <c r="AF1930" i="24" s="1"/>
  <c r="AL1930" i="24" s="1"/>
  <c r="X1838" i="24"/>
  <c r="AD1838" i="24" s="1"/>
  <c r="AF1838" i="24" s="1"/>
  <c r="AK1838" i="24" s="1"/>
  <c r="X1841" i="24"/>
  <c r="AD1841" i="24" s="1"/>
  <c r="AF1841" i="24" s="1"/>
  <c r="AK1841" i="24" s="1"/>
  <c r="X1800" i="24"/>
  <c r="AD1800" i="24" s="1"/>
  <c r="AF1800" i="24" s="1"/>
  <c r="AL1800" i="24" s="1"/>
  <c r="X1997" i="24"/>
  <c r="AD1997" i="24" s="1"/>
  <c r="AF1997" i="24" s="1"/>
  <c r="AN1997" i="24" s="1"/>
  <c r="X1949" i="24"/>
  <c r="AD1949" i="24" s="1"/>
  <c r="AF1949" i="24" s="1"/>
  <c r="AM1949" i="24" s="1"/>
  <c r="X1648" i="24"/>
  <c r="AD1648" i="24" s="1"/>
  <c r="AF1648" i="24" s="1"/>
  <c r="AL1648" i="24" s="1"/>
  <c r="X1747" i="24"/>
  <c r="AD1747" i="24" s="1"/>
  <c r="AF1747" i="24" s="1"/>
  <c r="AK1747" i="24" s="1"/>
  <c r="X1742" i="24"/>
  <c r="AD1742" i="24" s="1"/>
  <c r="AF1742" i="24" s="1"/>
  <c r="AL1742" i="24" s="1"/>
  <c r="X1746" i="24"/>
  <c r="AD1746" i="24" s="1"/>
  <c r="AF1746" i="24" s="1"/>
  <c r="AN1746" i="24" s="1"/>
  <c r="X1810" i="24"/>
  <c r="AD1810" i="24" s="1"/>
  <c r="AF1810" i="24" s="1"/>
  <c r="AN1810" i="24" s="1"/>
  <c r="X1728" i="24"/>
  <c r="AD1728" i="24" s="1"/>
  <c r="AF1728" i="24" s="1"/>
  <c r="AN1728" i="24" s="1"/>
  <c r="X1909" i="24"/>
  <c r="AD1909" i="24" s="1"/>
  <c r="AF1909" i="24" s="1"/>
  <c r="AK1909" i="24" s="1"/>
  <c r="X1863" i="24"/>
  <c r="AD1863" i="24" s="1"/>
  <c r="AF1863" i="24" s="1"/>
  <c r="AN1863" i="24" s="1"/>
  <c r="X1714" i="24"/>
  <c r="AD1714" i="24" s="1"/>
  <c r="AF1714" i="24" s="1"/>
  <c r="AL1714" i="24" s="1"/>
  <c r="X1661" i="24"/>
  <c r="AD1661" i="24" s="1"/>
  <c r="AF1661" i="24" s="1"/>
  <c r="AN1661" i="24" s="1"/>
  <c r="X1660" i="24"/>
  <c r="AD1660" i="24" s="1"/>
  <c r="AF1660" i="24" s="1"/>
  <c r="AM1660" i="24" s="1"/>
  <c r="X1848" i="24"/>
  <c r="AD1848" i="24" s="1"/>
  <c r="AF1848" i="24" s="1"/>
  <c r="AK1848" i="24" s="1"/>
  <c r="X1969" i="24"/>
  <c r="AD1969" i="24" s="1"/>
  <c r="AF1969" i="24" s="1"/>
  <c r="AM1969" i="24" s="1"/>
  <c r="X1712" i="24"/>
  <c r="AD1712" i="24" s="1"/>
  <c r="AF1712" i="24" s="1"/>
  <c r="AM1712" i="24" s="1"/>
  <c r="X1716" i="24"/>
  <c r="AD1716" i="24" s="1"/>
  <c r="AF1716" i="24" s="1"/>
  <c r="AL1716" i="24" s="1"/>
  <c r="X1941" i="24"/>
  <c r="AD1941" i="24" s="1"/>
  <c r="AF1941" i="24" s="1"/>
  <c r="AL1941" i="24" s="1"/>
  <c r="X1745" i="24"/>
  <c r="AD1745" i="24" s="1"/>
  <c r="AF1745" i="24" s="1"/>
  <c r="AK1745" i="24" s="1"/>
  <c r="X1891" i="24"/>
  <c r="AD1891" i="24" s="1"/>
  <c r="AF1891" i="24" s="1"/>
  <c r="AN1891" i="24" s="1"/>
  <c r="X1699" i="24"/>
  <c r="AD1699" i="24" s="1"/>
  <c r="AF1699" i="24" s="1"/>
  <c r="AL1699" i="24" s="1"/>
  <c r="X1794" i="24"/>
  <c r="AD1794" i="24" s="1"/>
  <c r="AF1794" i="24" s="1"/>
  <c r="AM1794" i="24" s="1"/>
  <c r="X1689" i="24"/>
  <c r="AD1689" i="24" s="1"/>
  <c r="AF1689" i="24" s="1"/>
  <c r="AN1689" i="24" s="1"/>
  <c r="X1773" i="24"/>
  <c r="AD1773" i="24" s="1"/>
  <c r="AF1773" i="24" s="1"/>
  <c r="AK1773" i="24" s="1"/>
  <c r="X1755" i="24"/>
  <c r="AD1755" i="24" s="1"/>
  <c r="AF1755" i="24" s="1"/>
  <c r="AN1755" i="24" s="1"/>
  <c r="X1907" i="24"/>
  <c r="AD1907" i="24" s="1"/>
  <c r="AF1907" i="24" s="1"/>
  <c r="AN1907" i="24" s="1"/>
  <c r="X1815" i="24"/>
  <c r="AD1815" i="24" s="1"/>
  <c r="AF1815" i="24" s="1"/>
  <c r="AM1815" i="24" s="1"/>
  <c r="X1780" i="24"/>
  <c r="AD1780" i="24" s="1"/>
  <c r="AF1780" i="24" s="1"/>
  <c r="AK1780" i="24" s="1"/>
  <c r="X1663" i="24"/>
  <c r="AD1663" i="24" s="1"/>
  <c r="AF1663" i="24" s="1"/>
  <c r="AM1663" i="24" s="1"/>
  <c r="X1735" i="24"/>
  <c r="AD1735" i="24" s="1"/>
  <c r="AF1735" i="24" s="1"/>
  <c r="AM1735" i="24" s="1"/>
  <c r="X1671" i="24"/>
  <c r="AD1671" i="24" s="1"/>
  <c r="AF1671" i="24" s="1"/>
  <c r="AL1671" i="24" s="1"/>
  <c r="X1837" i="24"/>
  <c r="AD1837" i="24" s="1"/>
  <c r="AF1837" i="24" s="1"/>
  <c r="AN1837" i="24" s="1"/>
  <c r="X1940" i="24"/>
  <c r="AD1940" i="24" s="1"/>
  <c r="AF1940" i="24" s="1"/>
  <c r="AK1940" i="24" s="1"/>
  <c r="X1657" i="24"/>
  <c r="AD1657" i="24" s="1"/>
  <c r="AF1657" i="24" s="1"/>
  <c r="AM1657" i="24" s="1"/>
  <c r="X1793" i="24"/>
  <c r="AD1793" i="24" s="1"/>
  <c r="AF1793" i="24" s="1"/>
  <c r="AK1793" i="24" s="1"/>
  <c r="X2001" i="24"/>
  <c r="AD2001" i="24" s="1"/>
  <c r="AF2001" i="24" s="1"/>
  <c r="AN2001" i="24" s="1"/>
  <c r="X1829" i="24"/>
  <c r="AD1829" i="24" s="1"/>
  <c r="AF1829" i="24" s="1"/>
  <c r="AL1829" i="24" s="1"/>
  <c r="X1751" i="24"/>
  <c r="AD1751" i="24" s="1"/>
  <c r="AF1751" i="24" s="1"/>
  <c r="AL1751" i="24" s="1"/>
  <c r="X1821" i="24"/>
  <c r="AD1821" i="24" s="1"/>
  <c r="AF1821" i="24" s="1"/>
  <c r="X1641" i="24"/>
  <c r="AD1641" i="24" s="1"/>
  <c r="AF1641" i="24" s="1"/>
  <c r="X1831" i="24"/>
  <c r="AD1831" i="24" s="1"/>
  <c r="AF1831" i="24" s="1"/>
  <c r="X1999" i="24"/>
  <c r="AD1999" i="24" s="1"/>
  <c r="AF1999" i="24" s="1"/>
  <c r="X1855" i="24"/>
  <c r="AD1855" i="24" s="1"/>
  <c r="AF1855" i="24" s="1"/>
  <c r="X1935" i="24"/>
  <c r="AD1935" i="24" s="1"/>
  <c r="AF1935" i="24" s="1"/>
  <c r="X1802" i="24"/>
  <c r="AD1802" i="24" s="1"/>
  <c r="AF1802" i="24" s="1"/>
  <c r="X1931" i="24"/>
  <c r="AD1931" i="24" s="1"/>
  <c r="AF1931" i="24" s="1"/>
  <c r="X1682" i="24"/>
  <c r="AD1682" i="24" s="1"/>
  <c r="AF1682" i="24" s="1"/>
  <c r="X1630" i="24"/>
  <c r="AD1630" i="24" s="1"/>
  <c r="AF1630" i="24" s="1"/>
  <c r="X1986" i="24"/>
  <c r="AD1986" i="24" s="1"/>
  <c r="AF1986" i="24" s="1"/>
  <c r="X1753" i="24"/>
  <c r="AD1753" i="24" s="1"/>
  <c r="AF1753" i="24" s="1"/>
  <c r="X1734" i="24"/>
  <c r="AD1734" i="24" s="1"/>
  <c r="AF1734" i="24" s="1"/>
  <c r="X1872" i="24"/>
  <c r="AD1872" i="24" s="1"/>
  <c r="AF1872" i="24" s="1"/>
  <c r="X1739" i="24"/>
  <c r="AD1739" i="24" s="1"/>
  <c r="AF1739" i="24" s="1"/>
  <c r="X1846" i="24"/>
  <c r="AD1846" i="24" s="1"/>
  <c r="AF1846" i="24" s="1"/>
  <c r="X1781" i="24"/>
  <c r="AD1781" i="24" s="1"/>
  <c r="AF1781" i="24" s="1"/>
  <c r="X1658" i="24"/>
  <c r="AD1658" i="24" s="1"/>
  <c r="AF1658" i="24" s="1"/>
  <c r="X1856" i="24"/>
  <c r="AD1856" i="24" s="1"/>
  <c r="AF1856" i="24" s="1"/>
  <c r="X1684" i="24"/>
  <c r="AD1684" i="24" s="1"/>
  <c r="AF1684" i="24" s="1"/>
  <c r="X1776" i="24"/>
  <c r="AD1776" i="24" s="1"/>
  <c r="AF1776" i="24" s="1"/>
  <c r="X1965" i="24"/>
  <c r="AD1965" i="24" s="1"/>
  <c r="AF1965" i="24" s="1"/>
  <c r="X1903" i="24"/>
  <c r="AD1903" i="24" s="1"/>
  <c r="AF1903" i="24" s="1"/>
  <c r="X1820" i="24"/>
  <c r="AD1820" i="24" s="1"/>
  <c r="AF1820" i="24" s="1"/>
  <c r="X1824" i="24"/>
  <c r="AD1824" i="24" s="1"/>
  <c r="AF1824" i="24" s="1"/>
  <c r="X1685" i="24"/>
  <c r="AD1685" i="24" s="1"/>
  <c r="AF1685" i="24" s="1"/>
  <c r="X1701" i="24"/>
  <c r="AD1701" i="24" s="1"/>
  <c r="AF1701" i="24" s="1"/>
  <c r="X1628" i="24"/>
  <c r="AD1628" i="24" s="1"/>
  <c r="AF1628" i="24" s="1"/>
  <c r="X1902" i="24"/>
  <c r="AD1902" i="24" s="1"/>
  <c r="AF1902" i="24" s="1"/>
  <c r="X1777" i="24"/>
  <c r="AD1777" i="24" s="1"/>
  <c r="AF1777" i="24" s="1"/>
  <c r="X1882" i="24"/>
  <c r="AD1882" i="24" s="1"/>
  <c r="AF1882" i="24" s="1"/>
  <c r="X1757" i="24"/>
  <c r="AD1757" i="24" s="1"/>
  <c r="AF1757" i="24" s="1"/>
  <c r="X1683" i="24"/>
  <c r="AD1683" i="24" s="1"/>
  <c r="AF1683" i="24" s="1"/>
  <c r="X1799" i="24"/>
  <c r="AD1799" i="24" s="1"/>
  <c r="AF1799" i="24" s="1"/>
  <c r="X2008" i="24"/>
  <c r="AD2008" i="24" s="1"/>
  <c r="AF2008" i="24" s="1"/>
  <c r="X1910" i="24"/>
  <c r="AD1910" i="24" s="1"/>
  <c r="AF1910" i="24" s="1"/>
  <c r="X1678" i="24"/>
  <c r="AD1678" i="24" s="1"/>
  <c r="AF1678" i="24" s="1"/>
  <c r="X1632" i="24"/>
  <c r="AD1632" i="24" s="1"/>
  <c r="AF1632" i="24" s="1"/>
  <c r="X1982" i="24"/>
  <c r="AD1982" i="24" s="1"/>
  <c r="AF1982" i="24" s="1"/>
  <c r="X1667" i="24"/>
  <c r="AD1667" i="24" s="1"/>
  <c r="AF1667" i="24" s="1"/>
  <c r="X1844" i="24"/>
  <c r="AD1844" i="24" s="1"/>
  <c r="AF1844" i="24" s="1"/>
  <c r="X1927" i="24"/>
  <c r="AD1927" i="24" s="1"/>
  <c r="AF1927" i="24" s="1"/>
  <c r="X1977" i="24"/>
  <c r="AD1977" i="24" s="1"/>
  <c r="AF1977" i="24" s="1"/>
  <c r="X1920" i="24"/>
  <c r="AD1920" i="24" s="1"/>
  <c r="AF1920" i="24" s="1"/>
  <c r="X1768" i="24"/>
  <c r="AD1768" i="24" s="1"/>
  <c r="AF1768" i="24" s="1"/>
  <c r="X1629" i="24"/>
  <c r="AD1629" i="24" s="1"/>
  <c r="AF1629" i="24" s="1"/>
  <c r="X1957" i="24"/>
  <c r="AD1957" i="24" s="1"/>
  <c r="AF1957" i="24" s="1"/>
  <c r="X1892" i="24"/>
  <c r="AD1892" i="24" s="1"/>
  <c r="AF1892" i="24" s="1"/>
  <c r="X1643" i="24"/>
  <c r="AD1643" i="24" s="1"/>
  <c r="AF1643" i="24" s="1"/>
  <c r="X1693" i="24"/>
  <c r="AD1693" i="24" s="1"/>
  <c r="AF1693" i="24" s="1"/>
  <c r="X1729" i="24"/>
  <c r="AD1729" i="24" s="1"/>
  <c r="AF1729" i="24" s="1"/>
  <c r="X2010" i="24"/>
  <c r="AD2010" i="24" s="1"/>
  <c r="AF2010" i="24" s="1"/>
  <c r="X1953" i="24"/>
  <c r="AD1953" i="24" s="1"/>
  <c r="AF1953" i="24" s="1"/>
  <c r="X1772" i="24"/>
  <c r="AD1772" i="24" s="1"/>
  <c r="AF1772" i="24" s="1"/>
  <c r="X1853" i="24"/>
  <c r="AD1853" i="24" s="1"/>
  <c r="AF1853" i="24" s="1"/>
  <c r="X1637" i="24"/>
  <c r="AD1637" i="24" s="1"/>
  <c r="AF1637" i="24" s="1"/>
  <c r="X1828" i="24"/>
  <c r="AD1828" i="24" s="1"/>
  <c r="AF1828" i="24" s="1"/>
  <c r="X1779" i="24"/>
  <c r="AD1779" i="24" s="1"/>
  <c r="AF1779" i="24" s="1"/>
  <c r="X1807" i="24"/>
  <c r="AD1807" i="24" s="1"/>
  <c r="AF1807" i="24" s="1"/>
  <c r="X1763" i="24"/>
  <c r="AD1763" i="24" s="1"/>
  <c r="AF1763" i="24" s="1"/>
  <c r="X1854" i="24"/>
  <c r="AD1854" i="24" s="1"/>
  <c r="AF1854" i="24" s="1"/>
  <c r="X1816" i="24"/>
  <c r="AD1816" i="24" s="1"/>
  <c r="AF1816" i="24" s="1"/>
  <c r="X1762" i="24"/>
  <c r="AD1762" i="24" s="1"/>
  <c r="AF1762" i="24" s="1"/>
  <c r="X1790" i="24"/>
  <c r="AD1790" i="24" s="1"/>
  <c r="AF1790" i="24" s="1"/>
  <c r="X1994" i="24"/>
  <c r="AD1994" i="24" s="1"/>
  <c r="AF1994" i="24" s="1"/>
  <c r="X1868" i="24"/>
  <c r="AD1868" i="24" s="1"/>
  <c r="AF1868" i="24" s="1"/>
  <c r="X1749" i="24"/>
  <c r="AD1749" i="24" s="1"/>
  <c r="AF1749" i="24" s="1"/>
  <c r="X1733" i="24"/>
  <c r="AD1733" i="24" s="1"/>
  <c r="AF1733" i="24" s="1"/>
  <c r="X1862" i="24"/>
  <c r="AD1862" i="24" s="1"/>
  <c r="AF1862" i="24" s="1"/>
  <c r="X1916" i="24"/>
  <c r="AD1916" i="24" s="1"/>
  <c r="AF1916" i="24" s="1"/>
  <c r="X1950" i="24"/>
  <c r="AD1950" i="24" s="1"/>
  <c r="AF1950" i="24" s="1"/>
  <c r="X1954" i="24"/>
  <c r="AD1954" i="24" s="1"/>
  <c r="AF1954" i="24" s="1"/>
  <c r="X1901" i="24"/>
  <c r="AD1901" i="24" s="1"/>
  <c r="AF1901" i="24" s="1"/>
  <c r="X1730" i="24"/>
  <c r="AD1730" i="24" s="1"/>
  <c r="AF1730" i="24" s="1"/>
  <c r="X1686" i="24"/>
  <c r="AD1686" i="24" s="1"/>
  <c r="AF1686" i="24" s="1"/>
  <c r="X1707" i="24"/>
  <c r="AD1707" i="24" s="1"/>
  <c r="AF1707" i="24" s="1"/>
  <c r="X1870" i="24"/>
  <c r="AD1870" i="24" s="1"/>
  <c r="AF1870" i="24" s="1"/>
  <c r="X1784" i="24"/>
  <c r="AD1784" i="24" s="1"/>
  <c r="AF1784" i="24" s="1"/>
  <c r="X1899" i="24"/>
  <c r="AD1899" i="24" s="1"/>
  <c r="AF1899" i="24" s="1"/>
  <c r="X1912" i="24"/>
  <c r="AD1912" i="24" s="1"/>
  <c r="AF1912" i="24" s="1"/>
  <c r="X1845" i="24"/>
  <c r="AD1845" i="24" s="1"/>
  <c r="AF1845" i="24" s="1"/>
  <c r="X1813" i="24"/>
  <c r="AD1813" i="24" s="1"/>
  <c r="AF1813" i="24" s="1"/>
  <c r="X1677" i="24"/>
  <c r="AD1677" i="24" s="1"/>
  <c r="AF1677" i="24" s="1"/>
  <c r="X1922" i="24"/>
  <c r="AD1922" i="24" s="1"/>
  <c r="AF1922" i="24" s="1"/>
  <c r="X1963" i="24"/>
  <c r="AD1963" i="24" s="1"/>
  <c r="AF1963" i="24" s="1"/>
  <c r="X1691" i="24"/>
  <c r="AD1691" i="24" s="1"/>
  <c r="AF1691" i="24" s="1"/>
  <c r="X1725" i="24"/>
  <c r="AD1725" i="24" s="1"/>
  <c r="AF1725" i="24" s="1"/>
  <c r="X2009" i="24"/>
  <c r="AD2009" i="24" s="1"/>
  <c r="AF2009" i="24" s="1"/>
  <c r="X1785" i="24"/>
  <c r="AD1785" i="24" s="1"/>
  <c r="AF1785" i="24" s="1"/>
  <c r="X1971" i="24"/>
  <c r="AD1971" i="24" s="1"/>
  <c r="AF1971" i="24" s="1"/>
  <c r="X1761" i="24"/>
  <c r="AD1761" i="24" s="1"/>
  <c r="AF1761" i="24" s="1"/>
  <c r="X1814" i="24"/>
  <c r="AD1814" i="24" s="1"/>
  <c r="AF1814" i="24" s="1"/>
  <c r="AK1642" i="24"/>
  <c r="AN1642" i="24"/>
  <c r="AL1642" i="24"/>
  <c r="AM1642" i="24"/>
  <c r="X1890" i="24"/>
  <c r="AD1890" i="24" s="1"/>
  <c r="AF1890" i="24" s="1"/>
  <c r="X1759" i="24"/>
  <c r="AD1759" i="24" s="1"/>
  <c r="AF1759" i="24" s="1"/>
  <c r="X1980" i="24"/>
  <c r="AD1980" i="24" s="1"/>
  <c r="AF1980" i="24" s="1"/>
  <c r="X1959" i="24"/>
  <c r="AD1959" i="24" s="1"/>
  <c r="AF1959" i="24" s="1"/>
  <c r="X1766" i="24"/>
  <c r="AD1766" i="24" s="1"/>
  <c r="AF1766" i="24" s="1"/>
  <c r="X1650" i="24"/>
  <c r="AD1650" i="24" s="1"/>
  <c r="AF1650" i="24" s="1"/>
  <c r="X1865" i="24"/>
  <c r="AD1865" i="24" s="1"/>
  <c r="AF1865" i="24" s="1"/>
  <c r="X1704" i="24"/>
  <c r="AD1704" i="24" s="1"/>
  <c r="AF1704" i="24" s="1"/>
  <c r="X1679" i="24"/>
  <c r="AD1679" i="24" s="1"/>
  <c r="AF1679" i="24" s="1"/>
  <c r="X1962" i="24"/>
  <c r="AD1962" i="24" s="1"/>
  <c r="AF1962" i="24" s="1"/>
  <c r="X1623" i="24"/>
  <c r="AD1623" i="24" s="1"/>
  <c r="AF1623" i="24" s="1"/>
  <c r="X1897" i="24"/>
  <c r="AD1897" i="24" s="1"/>
  <c r="AF1897" i="24" s="1"/>
  <c r="X1993" i="24"/>
  <c r="AD1993" i="24" s="1"/>
  <c r="AF1993" i="24" s="1"/>
  <c r="X1961" i="24"/>
  <c r="AD1961" i="24" s="1"/>
  <c r="AF1961" i="24" s="1"/>
  <c r="X1924" i="24"/>
  <c r="AD1924" i="24" s="1"/>
  <c r="AF1924" i="24" s="1"/>
  <c r="X1744" i="24"/>
  <c r="AD1744" i="24" s="1"/>
  <c r="AF1744" i="24" s="1"/>
  <c r="X1811" i="24"/>
  <c r="AD1811" i="24" s="1"/>
  <c r="AF1811" i="24" s="1"/>
  <c r="X1737" i="24"/>
  <c r="AD1737" i="24" s="1"/>
  <c r="AF1737" i="24" s="1"/>
  <c r="X1852" i="24"/>
  <c r="AD1852" i="24" s="1"/>
  <c r="AF1852" i="24" s="1"/>
  <c r="X1647" i="24"/>
  <c r="AD1647" i="24" s="1"/>
  <c r="AF1647" i="24" s="1"/>
  <c r="X1743" i="24"/>
  <c r="AD1743" i="24" s="1"/>
  <c r="AF1743" i="24" s="1"/>
  <c r="X1706" i="24"/>
  <c r="AD1706" i="24" s="1"/>
  <c r="AF1706" i="24" s="1"/>
  <c r="X1633" i="24"/>
  <c r="AD1633" i="24" s="1"/>
  <c r="AF1633" i="24" s="1"/>
  <c r="X1991" i="24"/>
  <c r="AD1991" i="24" s="1"/>
  <c r="AF1991" i="24" s="1"/>
  <c r="X1720" i="24"/>
  <c r="AD1720" i="24" s="1"/>
  <c r="AF1720" i="24" s="1"/>
  <c r="X1754" i="24"/>
  <c r="AD1754" i="24" s="1"/>
  <c r="AF1754" i="24" s="1"/>
  <c r="X1960" i="24"/>
  <c r="AD1960" i="24" s="1"/>
  <c r="AF1960" i="24" s="1"/>
  <c r="X1812" i="24"/>
  <c r="AD1812" i="24" s="1"/>
  <c r="AF1812" i="24" s="1"/>
  <c r="X1634" i="24"/>
  <c r="AD1634" i="24" s="1"/>
  <c r="AF1634" i="24" s="1"/>
  <c r="X1713" i="24"/>
  <c r="AD1713" i="24" s="1"/>
  <c r="AF1713" i="24" s="1"/>
  <c r="X1835" i="24"/>
  <c r="AD1835" i="24" s="1"/>
  <c r="AF1835" i="24" s="1"/>
  <c r="X2006" i="24"/>
  <c r="AD2006" i="24" s="1"/>
  <c r="AF2006" i="24" s="1"/>
  <c r="X1680" i="24"/>
  <c r="AD1680" i="24" s="1"/>
  <c r="AF1680" i="24" s="1"/>
  <c r="X2003" i="24"/>
  <c r="AD2003" i="24" s="1"/>
  <c r="AF2003" i="24" s="1"/>
  <c r="X1822" i="24"/>
  <c r="AD1822" i="24" s="1"/>
  <c r="AF1822" i="24" s="1"/>
  <c r="X1783" i="24"/>
  <c r="AD1783" i="24" s="1"/>
  <c r="AF1783" i="24" s="1"/>
  <c r="X1752" i="24"/>
  <c r="AD1752" i="24" s="1"/>
  <c r="AF1752" i="24" s="1"/>
  <c r="X1913" i="24"/>
  <c r="AD1913" i="24" s="1"/>
  <c r="AF1913" i="24" s="1"/>
  <c r="X1676" i="24"/>
  <c r="AD1676" i="24" s="1"/>
  <c r="AF1676" i="24" s="1"/>
  <c r="X1719" i="24"/>
  <c r="AD1719" i="24" s="1"/>
  <c r="AF1719" i="24" s="1"/>
  <c r="X1636" i="24"/>
  <c r="AD1636" i="24" s="1"/>
  <c r="AF1636" i="24" s="1"/>
  <c r="X1984" i="24"/>
  <c r="AD1984" i="24" s="1"/>
  <c r="AF1984" i="24" s="1"/>
  <c r="X1791" i="24"/>
  <c r="AD1791" i="24" s="1"/>
  <c r="AF1791" i="24" s="1"/>
  <c r="X1946" i="24"/>
  <c r="AD1946" i="24" s="1"/>
  <c r="AF1946" i="24" s="1"/>
  <c r="AN1975" i="24"/>
  <c r="AL1975" i="24"/>
  <c r="AK1975" i="24"/>
  <c r="AM1975" i="24"/>
  <c r="X1804" i="24"/>
  <c r="AD1804" i="24" s="1"/>
  <c r="AF1804" i="24" s="1"/>
  <c r="AK1995" i="24"/>
  <c r="AN1995" i="24"/>
  <c r="AM1995" i="24"/>
  <c r="AL1995" i="24"/>
  <c r="X1797" i="24"/>
  <c r="AD1797" i="24" s="1"/>
  <c r="AF1797" i="24" s="1"/>
  <c r="X1817" i="24"/>
  <c r="AD1817" i="24" s="1"/>
  <c r="AF1817" i="24" s="1"/>
  <c r="X1750" i="24"/>
  <c r="AD1750" i="24" s="1"/>
  <c r="AF1750" i="24" s="1"/>
  <c r="X1695" i="24"/>
  <c r="AD1695" i="24" s="1"/>
  <c r="AF1695" i="24" s="1"/>
  <c r="X1938" i="24"/>
  <c r="AD1938" i="24" s="1"/>
  <c r="AF1938" i="24" s="1"/>
  <c r="X1662" i="24"/>
  <c r="AD1662" i="24" s="1"/>
  <c r="AF1662" i="24" s="1"/>
  <c r="X1996" i="24"/>
  <c r="AD1996" i="24" s="1"/>
  <c r="AF1996" i="24" s="1"/>
  <c r="X1672" i="24"/>
  <c r="AD1672" i="24" s="1"/>
  <c r="AF1672" i="24" s="1"/>
  <c r="X1770" i="24"/>
  <c r="AD1770" i="24" s="1"/>
  <c r="AF1770" i="24" s="1"/>
  <c r="X1710" i="24"/>
  <c r="AD1710" i="24" s="1"/>
  <c r="AF1710" i="24" s="1"/>
  <c r="X1765" i="24"/>
  <c r="AD1765" i="24" s="1"/>
  <c r="AF1765" i="24" s="1"/>
  <c r="X1952" i="24"/>
  <c r="AD1952" i="24" s="1"/>
  <c r="AF1952" i="24" s="1"/>
  <c r="X1926" i="24"/>
  <c r="AD1926" i="24" s="1"/>
  <c r="AF1926" i="24" s="1"/>
  <c r="AM1738" i="24"/>
  <c r="AL1738" i="24"/>
  <c r="AK1738" i="24"/>
  <c r="AN1738" i="24"/>
  <c r="X1696" i="24"/>
  <c r="AD1696" i="24" s="1"/>
  <c r="AF1696" i="24" s="1"/>
  <c r="X1864" i="24"/>
  <c r="AD1864" i="24" s="1"/>
  <c r="AF1864" i="24" s="1"/>
  <c r="X1976" i="24"/>
  <c r="AD1976" i="24" s="1"/>
  <c r="AF1976" i="24" s="1"/>
  <c r="X1886" i="24"/>
  <c r="AD1886" i="24" s="1"/>
  <c r="AF1886" i="24" s="1"/>
  <c r="X1992" i="24"/>
  <c r="AD1992" i="24" s="1"/>
  <c r="AF1992" i="24" s="1"/>
  <c r="X1929" i="24"/>
  <c r="AD1929" i="24" s="1"/>
  <c r="AF1929" i="24" s="1"/>
  <c r="X1675" i="24"/>
  <c r="AD1675" i="24" s="1"/>
  <c r="AF1675" i="24" s="1"/>
  <c r="X1925" i="24"/>
  <c r="AD1925" i="24" s="1"/>
  <c r="AF1925" i="24" s="1"/>
  <c r="X1723" i="24"/>
  <c r="AD1723" i="24" s="1"/>
  <c r="AF1723" i="24" s="1"/>
  <c r="X1859" i="24"/>
  <c r="AD1859" i="24" s="1"/>
  <c r="AF1859" i="24" s="1"/>
  <c r="X1787" i="24"/>
  <c r="AD1787" i="24" s="1"/>
  <c r="AF1787" i="24" s="1"/>
  <c r="X1869" i="24"/>
  <c r="AD1869" i="24" s="1"/>
  <c r="AF1869" i="24" s="1"/>
  <c r="X1717" i="24"/>
  <c r="AD1717" i="24" s="1"/>
  <c r="AF1717" i="24" s="1"/>
  <c r="X1625" i="24"/>
  <c r="AD1625" i="24" s="1"/>
  <c r="AF1625" i="24" s="1"/>
  <c r="X1932" i="24"/>
  <c r="AD1932" i="24" s="1"/>
  <c r="AF1932" i="24" s="1"/>
  <c r="X1664" i="24"/>
  <c r="AD1664" i="24" s="1"/>
  <c r="AF1664" i="24" s="1"/>
  <c r="X1973" i="24"/>
  <c r="AD1973" i="24" s="1"/>
  <c r="AF1973" i="24" s="1"/>
  <c r="X1966" i="24"/>
  <c r="AD1966" i="24" s="1"/>
  <c r="AF1966" i="24" s="1"/>
  <c r="X2004" i="24"/>
  <c r="AD2004" i="24" s="1"/>
  <c r="AF2004" i="24" s="1"/>
  <c r="X1638" i="24"/>
  <c r="AD1638" i="24" s="1"/>
  <c r="AF1638" i="24" s="1"/>
  <c r="X1653" i="24"/>
  <c r="AD1653" i="24" s="1"/>
  <c r="AF1653" i="24" s="1"/>
  <c r="X1898" i="24"/>
  <c r="AD1898" i="24" s="1"/>
  <c r="AF1898" i="24" s="1"/>
  <c r="X1905" i="24"/>
  <c r="AD1905" i="24" s="1"/>
  <c r="AF1905" i="24" s="1"/>
  <c r="X1668" i="24"/>
  <c r="AD1668" i="24" s="1"/>
  <c r="AF1668" i="24" s="1"/>
  <c r="X1803" i="24"/>
  <c r="AD1803" i="24" s="1"/>
  <c r="AF1803" i="24" s="1"/>
  <c r="X1883" i="24"/>
  <c r="AD1883" i="24" s="1"/>
  <c r="AF1883" i="24" s="1"/>
  <c r="X1697" i="24"/>
  <c r="AD1697" i="24" s="1"/>
  <c r="AF1697" i="24" s="1"/>
  <c r="X1741" i="24"/>
  <c r="AD1741" i="24" s="1"/>
  <c r="AF1741" i="24" s="1"/>
  <c r="X1702" i="24"/>
  <c r="AD1702" i="24" s="1"/>
  <c r="AF1702" i="24" s="1"/>
  <c r="X1867" i="24"/>
  <c r="AD1867" i="24" s="1"/>
  <c r="AF1867" i="24" s="1"/>
  <c r="X1945" i="24"/>
  <c r="AD1945" i="24" s="1"/>
  <c r="AF1945" i="24" s="1"/>
  <c r="X1881" i="24"/>
  <c r="AD1881" i="24" s="1"/>
  <c r="AF1881" i="24" s="1"/>
  <c r="X1627" i="24"/>
  <c r="AD1627" i="24" s="1"/>
  <c r="AF1627" i="24" s="1"/>
  <c r="X1877" i="24"/>
  <c r="AD1877" i="24" s="1"/>
  <c r="AF1877" i="24" s="1"/>
  <c r="X1978" i="24"/>
  <c r="AD1978" i="24" s="1"/>
  <c r="AF1978" i="24" s="1"/>
  <c r="X1736" i="24"/>
  <c r="AD1736" i="24" s="1"/>
  <c r="AF1736" i="24" s="1"/>
  <c r="X1740" i="24"/>
  <c r="AD1740" i="24" s="1"/>
  <c r="AF1740" i="24" s="1"/>
  <c r="X1970" i="24"/>
  <c r="AD1970" i="24" s="1"/>
  <c r="AF1970" i="24" s="1"/>
  <c r="X1774" i="24"/>
  <c r="AD1774" i="24" s="1"/>
  <c r="AF1774" i="24" s="1"/>
  <c r="X1721" i="24"/>
  <c r="AD1721" i="24" s="1"/>
  <c r="AF1721" i="24" s="1"/>
  <c r="X1989" i="24"/>
  <c r="AD1989" i="24" s="1"/>
  <c r="AF1989" i="24" s="1"/>
  <c r="AL1656" i="24"/>
  <c r="AK1656" i="24"/>
  <c r="AN1656" i="24"/>
  <c r="AM1656" i="24"/>
  <c r="X1646" i="24"/>
  <c r="AD1646" i="24" s="1"/>
  <c r="AF1646" i="24" s="1"/>
  <c r="X1775" i="24"/>
  <c r="AD1775" i="24" s="1"/>
  <c r="AF1775" i="24" s="1"/>
  <c r="X1711" i="24"/>
  <c r="AD1711" i="24" s="1"/>
  <c r="AF1711" i="24" s="1"/>
  <c r="X1895" i="24"/>
  <c r="AD1895" i="24" s="1"/>
  <c r="AF1895" i="24" s="1"/>
  <c r="X1670" i="24"/>
  <c r="AD1670" i="24" s="1"/>
  <c r="AF1670" i="24" s="1"/>
  <c r="X1923" i="24"/>
  <c r="AD1923" i="24" s="1"/>
  <c r="AF1923" i="24" s="1"/>
  <c r="X1851" i="24"/>
  <c r="AD1851" i="24" s="1"/>
  <c r="AF1851" i="24" s="1"/>
  <c r="X2007" i="24"/>
  <c r="AD2007" i="24" s="1"/>
  <c r="AF2007" i="24" s="1"/>
  <c r="X1724" i="24"/>
  <c r="AD1724" i="24" s="1"/>
  <c r="AF1724" i="24" s="1"/>
  <c r="X1937" i="24"/>
  <c r="AD1937" i="24" s="1"/>
  <c r="AF1937" i="24" s="1"/>
  <c r="X1795" i="24"/>
  <c r="AD1795" i="24" s="1"/>
  <c r="AF1795" i="24" s="1"/>
  <c r="X1979" i="24"/>
  <c r="AD1979" i="24" s="1"/>
  <c r="AF1979" i="24" s="1"/>
  <c r="X1919" i="24"/>
  <c r="AD1919" i="24" s="1"/>
  <c r="AF1919" i="24" s="1"/>
  <c r="X1987" i="24"/>
  <c r="AD1987" i="24" s="1"/>
  <c r="AF1987" i="24" s="1"/>
  <c r="X1654" i="24"/>
  <c r="AD1654" i="24" s="1"/>
  <c r="AF1654" i="24" s="1"/>
  <c r="X1936" i="24"/>
  <c r="AD1936" i="24" s="1"/>
  <c r="AF1936" i="24" s="1"/>
  <c r="X1985" i="24"/>
  <c r="AD1985" i="24" s="1"/>
  <c r="AF1985" i="24" s="1"/>
  <c r="X1665" i="24"/>
  <c r="AD1665" i="24" s="1"/>
  <c r="AF1665" i="24" s="1"/>
  <c r="X1644" i="24"/>
  <c r="AD1644" i="24" s="1"/>
  <c r="AF1644" i="24" s="1"/>
  <c r="X1974" i="24"/>
  <c r="AD1974" i="24" s="1"/>
  <c r="AF1974" i="24" s="1"/>
  <c r="X1921" i="24"/>
  <c r="AD1921" i="24" s="1"/>
  <c r="AF1921" i="24" s="1"/>
  <c r="X2002" i="24"/>
  <c r="AD2002" i="24" s="1"/>
  <c r="AF2002" i="24" s="1"/>
  <c r="X1692" i="24"/>
  <c r="AD1692" i="24" s="1"/>
  <c r="AF1692" i="24" s="1"/>
  <c r="X1998" i="24"/>
  <c r="AD1998" i="24" s="1"/>
  <c r="AF1998" i="24" s="1"/>
  <c r="X2005" i="24"/>
  <c r="AD2005" i="24" s="1"/>
  <c r="AF2005" i="24" s="1"/>
  <c r="X1900" i="24"/>
  <c r="AD1900" i="24" s="1"/>
  <c r="AF1900" i="24" s="1"/>
  <c r="X1639" i="24"/>
  <c r="AD1639" i="24" s="1"/>
  <c r="AF1639" i="24" s="1"/>
  <c r="X1878" i="24"/>
  <c r="AD1878" i="24" s="1"/>
  <c r="AF1878" i="24" s="1"/>
  <c r="X1694" i="24"/>
  <c r="AD1694" i="24" s="1"/>
  <c r="AF1694" i="24" s="1"/>
  <c r="X1887" i="24"/>
  <c r="AD1887" i="24" s="1"/>
  <c r="AF1887" i="24" s="1"/>
  <c r="X1880" i="24"/>
  <c r="AD1880" i="24" s="1"/>
  <c r="AF1880" i="24" s="1"/>
  <c r="X1983" i="24"/>
  <c r="AD1983" i="24" s="1"/>
  <c r="AF1983" i="24" s="1"/>
  <c r="X1718" i="24"/>
  <c r="AD1718" i="24" s="1"/>
  <c r="AF1718" i="24" s="1"/>
  <c r="X1703" i="24"/>
  <c r="AD1703" i="24" s="1"/>
  <c r="AF1703" i="24" s="1"/>
  <c r="X1705" i="24"/>
  <c r="AD1705" i="24" s="1"/>
  <c r="AF1705" i="24" s="1"/>
  <c r="X1958" i="24"/>
  <c r="AD1958" i="24" s="1"/>
  <c r="AF1958" i="24" s="1"/>
  <c r="X1990" i="24"/>
  <c r="AD1990" i="24" s="1"/>
  <c r="AF1990" i="24" s="1"/>
  <c r="X1948" i="24"/>
  <c r="AD1948" i="24" s="1"/>
  <c r="AF1948" i="24" s="1"/>
  <c r="X1843" i="24"/>
  <c r="AD1843" i="24" s="1"/>
  <c r="AF1843" i="24" s="1"/>
  <c r="X1764" i="24"/>
  <c r="AD1764" i="24" s="1"/>
  <c r="AF1764" i="24" s="1"/>
  <c r="X1709" i="24"/>
  <c r="AD1709" i="24" s="1"/>
  <c r="AF1709" i="24" s="1"/>
  <c r="X1871" i="24"/>
  <c r="AD1871" i="24" s="1"/>
  <c r="AF1871" i="24" s="1"/>
  <c r="X1839" i="24"/>
  <c r="AD1839" i="24" s="1"/>
  <c r="AF1839" i="24" s="1"/>
  <c r="X1939" i="24"/>
  <c r="AD1939" i="24" s="1"/>
  <c r="AF1939" i="24" s="1"/>
  <c r="X1889" i="24"/>
  <c r="AD1889" i="24" s="1"/>
  <c r="AF1889" i="24" s="1"/>
  <c r="X1700" i="24"/>
  <c r="AD1700" i="24" s="1"/>
  <c r="AF1700" i="24" s="1"/>
  <c r="X1645" i="24"/>
  <c r="AD1645" i="24" s="1"/>
  <c r="AF1645" i="24" s="1"/>
  <c r="X1826" i="24"/>
  <c r="AD1826" i="24" s="1"/>
  <c r="AF1826" i="24" s="1"/>
  <c r="X1688" i="24"/>
  <c r="AD1688" i="24" s="1"/>
  <c r="AF1688" i="24" s="1"/>
  <c r="X1866" i="24"/>
  <c r="AD1866" i="24" s="1"/>
  <c r="AF1866" i="24" s="1"/>
  <c r="X1955" i="24"/>
  <c r="AD1955" i="24" s="1"/>
  <c r="AF1955" i="24" s="1"/>
  <c r="X1875" i="24"/>
  <c r="AD1875" i="24" s="1"/>
  <c r="AF1875" i="24" s="1"/>
  <c r="X1951" i="24"/>
  <c r="AD1951" i="24" s="1"/>
  <c r="AF1951" i="24" s="1"/>
  <c r="X1626" i="24"/>
  <c r="AD1626" i="24" s="1"/>
  <c r="AF1626" i="24" s="1"/>
  <c r="X1635" i="24"/>
  <c r="AD1635" i="24" s="1"/>
  <c r="AF1635" i="24" s="1"/>
  <c r="X1832" i="24"/>
  <c r="AD1832" i="24" s="1"/>
  <c r="AF1832" i="24" s="1"/>
  <c r="X1788" i="24"/>
  <c r="AD1788" i="24" s="1"/>
  <c r="AF1788" i="24" s="1"/>
  <c r="X1894" i="24"/>
  <c r="AD1894" i="24" s="1"/>
  <c r="AF1894" i="24" s="1"/>
  <c r="X1947" i="24"/>
  <c r="AD1947" i="24" s="1"/>
  <c r="AF1947" i="24" s="1"/>
  <c r="X1934" i="24"/>
  <c r="AD1934" i="24" s="1"/>
  <c r="AF1934" i="24" s="1"/>
  <c r="X1917" i="24"/>
  <c r="AD1917" i="24" s="1"/>
  <c r="AF1917" i="24" s="1"/>
  <c r="X1833" i="24"/>
  <c r="AD1833" i="24" s="1"/>
  <c r="AF1833" i="24" s="1"/>
  <c r="X1840" i="24"/>
  <c r="AD1840" i="24" s="1"/>
  <c r="AF1840" i="24" s="1"/>
  <c r="X1631" i="24"/>
  <c r="AD1631" i="24" s="1"/>
  <c r="AF1631" i="24" s="1"/>
  <c r="X1861" i="24"/>
  <c r="AD1861" i="24" s="1"/>
  <c r="AF1861" i="24" s="1"/>
  <c r="X1651" i="24"/>
  <c r="AD1651" i="24" s="1"/>
  <c r="AF1651" i="24" s="1"/>
  <c r="X1884" i="24"/>
  <c r="AD1884" i="24" s="1"/>
  <c r="AF1884" i="24" s="1"/>
  <c r="X1708" i="24"/>
  <c r="AD1708" i="24" s="1"/>
  <c r="AF1708" i="24" s="1"/>
  <c r="X1698" i="24"/>
  <c r="AD1698" i="24" s="1"/>
  <c r="AF1698" i="24" s="1"/>
  <c r="X1876" i="24"/>
  <c r="AD1876" i="24" s="1"/>
  <c r="AF1876" i="24" s="1"/>
  <c r="X1798" i="24"/>
  <c r="AD1798" i="24" s="1"/>
  <c r="AF1798" i="24" s="1"/>
  <c r="X1659" i="24"/>
  <c r="AD1659" i="24" s="1"/>
  <c r="AF1659" i="24" s="1"/>
  <c r="X1760" i="24"/>
  <c r="AD1760" i="24" s="1"/>
  <c r="AF1760" i="24" s="1"/>
  <c r="X1652" i="24"/>
  <c r="AD1652" i="24" s="1"/>
  <c r="AF1652" i="24" s="1"/>
  <c r="X1933" i="24"/>
  <c r="AD1933" i="24" s="1"/>
  <c r="AF1933" i="24" s="1"/>
  <c r="X1967" i="24"/>
  <c r="AD1967" i="24" s="1"/>
  <c r="AF1967" i="24" s="1"/>
  <c r="X1674" i="24"/>
  <c r="AD1674" i="24" s="1"/>
  <c r="AF1674" i="24" s="1"/>
  <c r="X1778" i="24"/>
  <c r="AD1778" i="24" s="1"/>
  <c r="AF1778" i="24" s="1"/>
  <c r="X1640" i="24"/>
  <c r="AD1640" i="24" s="1"/>
  <c r="AF1640" i="24" s="1"/>
  <c r="X1858" i="24"/>
  <c r="AD1858" i="24" s="1"/>
  <c r="AF1858" i="24" s="1"/>
  <c r="X1769" i="24"/>
  <c r="AD1769" i="24" s="1"/>
  <c r="AF1769" i="24" s="1"/>
  <c r="X1673" i="24"/>
  <c r="AD1673" i="24" s="1"/>
  <c r="AF1673" i="24" s="1"/>
  <c r="X1942" i="24"/>
  <c r="AD1942" i="24" s="1"/>
  <c r="AF1942" i="24" s="1"/>
  <c r="X1849" i="24"/>
  <c r="AD1849" i="24" s="1"/>
  <c r="AF1849" i="24" s="1"/>
  <c r="X1771" i="24"/>
  <c r="AD1771" i="24" s="1"/>
  <c r="AF1771" i="24" s="1"/>
  <c r="X1649" i="24"/>
  <c r="AD1649" i="24" s="1"/>
  <c r="AF1649" i="24" s="1"/>
  <c r="X1911" i="24"/>
  <c r="AD1911" i="24" s="1"/>
  <c r="AF1911" i="24" s="1"/>
  <c r="X1893" i="24"/>
  <c r="AD1893" i="24" s="1"/>
  <c r="AF1893" i="24" s="1"/>
  <c r="X1655" i="24"/>
  <c r="AD1655" i="24" s="1"/>
  <c r="AF1655" i="24" s="1"/>
  <c r="X1827" i="24"/>
  <c r="AD1827" i="24" s="1"/>
  <c r="AF1827" i="24" s="1"/>
  <c r="X1906" i="24"/>
  <c r="AD1906" i="24" s="1"/>
  <c r="AF1906" i="24" s="1"/>
  <c r="X1834" i="24"/>
  <c r="AD1834" i="24" s="1"/>
  <c r="AF1834" i="24" s="1"/>
  <c r="X1836" i="24"/>
  <c r="AD1836" i="24" s="1"/>
  <c r="AF1836" i="24" s="1"/>
  <c r="X1731" i="24"/>
  <c r="AD1731" i="24" s="1"/>
  <c r="AF1731" i="24" s="1"/>
  <c r="X1972" i="24"/>
  <c r="AD1972" i="24" s="1"/>
  <c r="AF1972" i="24" s="1"/>
  <c r="X1805" i="24"/>
  <c r="AD1805" i="24" s="1"/>
  <c r="AF1805" i="24" s="1"/>
  <c r="X1722" i="24"/>
  <c r="AD1722" i="24" s="1"/>
  <c r="AF1722" i="24" s="1"/>
  <c r="X1819" i="24"/>
  <c r="AD1819" i="24" s="1"/>
  <c r="AF1819" i="24" s="1"/>
  <c r="X1792" i="24"/>
  <c r="AD1792" i="24" s="1"/>
  <c r="AF1792" i="24" s="1"/>
  <c r="X1801" i="24"/>
  <c r="AD1801" i="24" s="1"/>
  <c r="AF1801" i="24" s="1"/>
  <c r="X1758" i="24"/>
  <c r="AD1758" i="24" s="1"/>
  <c r="AF1758" i="24" s="1"/>
  <c r="X1956" i="24"/>
  <c r="AD1956" i="24" s="1"/>
  <c r="AF1956" i="24" s="1"/>
  <c r="AN1857" i="24"/>
  <c r="AM1857" i="24"/>
  <c r="AL1857" i="24"/>
  <c r="AK1857" i="24"/>
  <c r="X1888" i="24"/>
  <c r="AD1888" i="24" s="1"/>
  <c r="AF1888" i="24" s="1"/>
  <c r="X1988" i="24"/>
  <c r="AD1988" i="24" s="1"/>
  <c r="AF1988" i="24" s="1"/>
  <c r="X1782" i="24"/>
  <c r="AD1782" i="24" s="1"/>
  <c r="AF1782" i="24" s="1"/>
  <c r="X1789" i="24"/>
  <c r="AD1789" i="24" s="1"/>
  <c r="AF1789" i="24" s="1"/>
  <c r="X1908" i="24"/>
  <c r="AD1908" i="24" s="1"/>
  <c r="AF1908" i="24" s="1"/>
  <c r="X1666" i="24"/>
  <c r="AD1666" i="24" s="1"/>
  <c r="AF1666" i="24" s="1"/>
  <c r="X1842" i="24"/>
  <c r="AD1842" i="24" s="1"/>
  <c r="AF1842" i="24" s="1"/>
  <c r="X1715" i="24"/>
  <c r="AD1715" i="24" s="1"/>
  <c r="AF1715" i="24" s="1"/>
  <c r="X1968" i="24"/>
  <c r="AD1968" i="24" s="1"/>
  <c r="AF1968" i="24" s="1"/>
  <c r="X1879" i="24"/>
  <c r="AD1879" i="24" s="1"/>
  <c r="AF1879" i="24" s="1"/>
  <c r="X1756" i="24"/>
  <c r="AD1756" i="24" s="1"/>
  <c r="AF1756" i="24" s="1"/>
  <c r="X1850" i="24"/>
  <c r="AD1850" i="24" s="1"/>
  <c r="AF1850" i="24" s="1"/>
  <c r="X1786" i="24"/>
  <c r="AD1786" i="24" s="1"/>
  <c r="AF1786" i="24" s="1"/>
  <c r="X1825" i="24"/>
  <c r="AD1825" i="24" s="1"/>
  <c r="AF1825" i="24" s="1"/>
  <c r="X1860" i="24"/>
  <c r="AD1860" i="24" s="1"/>
  <c r="AF1860" i="24" s="1"/>
  <c r="X1944" i="24"/>
  <c r="AD1944" i="24" s="1"/>
  <c r="AF1944" i="24" s="1"/>
  <c r="X1874" i="24"/>
  <c r="AD1874" i="24" s="1"/>
  <c r="AF1874" i="24" s="1"/>
  <c r="X1732" i="24"/>
  <c r="AD1732" i="24" s="1"/>
  <c r="AF1732" i="24" s="1"/>
  <c r="X1748" i="24"/>
  <c r="AD1748" i="24" s="1"/>
  <c r="AF1748" i="24" s="1"/>
  <c r="X1915" i="24"/>
  <c r="AD1915" i="24" s="1"/>
  <c r="AF1915" i="24" s="1"/>
  <c r="X1681" i="24"/>
  <c r="AD1681" i="24" s="1"/>
  <c r="AF1681" i="24" s="1"/>
  <c r="X1727" i="24"/>
  <c r="AD1727" i="24" s="1"/>
  <c r="AF1727" i="24" s="1"/>
  <c r="X1914" i="24"/>
  <c r="AD1914" i="24" s="1"/>
  <c r="AF1914" i="24" s="1"/>
  <c r="X1928" i="24"/>
  <c r="AD1928" i="24" s="1"/>
  <c r="AF1928" i="24" s="1"/>
  <c r="X1818" i="24"/>
  <c r="AD1818" i="24" s="1"/>
  <c r="AF1818" i="24" s="1"/>
  <c r="X2000" i="24"/>
  <c r="AD2000" i="24" s="1"/>
  <c r="AF2000" i="24" s="1"/>
  <c r="X1796" i="24"/>
  <c r="AD1796" i="24" s="1"/>
  <c r="AF1796" i="24" s="1"/>
  <c r="X1808" i="24"/>
  <c r="AD1808" i="24" s="1"/>
  <c r="AF1808" i="24" s="1"/>
  <c r="P36" i="13"/>
  <c r="R1552" i="24"/>
  <c r="Y1552" i="24" s="1"/>
  <c r="Z1552" i="24" s="1"/>
  <c r="R1553" i="24"/>
  <c r="Y1553" i="24" s="1"/>
  <c r="AA1553" i="24" s="1"/>
  <c r="R1554" i="24"/>
  <c r="Y1554" i="24" s="1"/>
  <c r="AA1554" i="24" s="1"/>
  <c r="R1542" i="24"/>
  <c r="Y1542" i="24" s="1"/>
  <c r="Z1542" i="24" s="1"/>
  <c r="R1543" i="24"/>
  <c r="Y1543" i="24" s="1"/>
  <c r="Z1543" i="24" s="1"/>
  <c r="R1544" i="24"/>
  <c r="Y1544" i="24" s="1"/>
  <c r="Z1544" i="24" s="1"/>
  <c r="R1545" i="24"/>
  <c r="Y1545" i="24" s="1"/>
  <c r="AA1545" i="24" s="1"/>
  <c r="R1546" i="24"/>
  <c r="Y1546" i="24" s="1"/>
  <c r="Z1546" i="24" s="1"/>
  <c r="R1547" i="24"/>
  <c r="Y1547" i="24" s="1"/>
  <c r="AA1547" i="24" s="1"/>
  <c r="R1548" i="24"/>
  <c r="Y1548" i="24" s="1"/>
  <c r="Z1548" i="24" s="1"/>
  <c r="R1549" i="24"/>
  <c r="Y1549" i="24" s="1"/>
  <c r="Z1549" i="24" s="1"/>
  <c r="R1550" i="24"/>
  <c r="Y1550" i="24" s="1"/>
  <c r="AA1550" i="24" s="1"/>
  <c r="R1551" i="24"/>
  <c r="Y1551" i="24" s="1"/>
  <c r="AA1551" i="24" s="1"/>
  <c r="P43" i="13"/>
  <c r="R43" i="13" s="1"/>
  <c r="T43" i="13" s="1"/>
  <c r="R1576" i="24"/>
  <c r="Y1576" i="24" s="1"/>
  <c r="Z1576" i="24" s="1"/>
  <c r="R1564" i="24"/>
  <c r="Y1564" i="24" s="1"/>
  <c r="Z1564" i="24" s="1"/>
  <c r="R1577" i="24"/>
  <c r="Y1577" i="24" s="1"/>
  <c r="Z1577" i="24" s="1"/>
  <c r="R1565" i="24"/>
  <c r="Y1565" i="24" s="1"/>
  <c r="Z1565" i="24" s="1"/>
  <c r="R1566" i="24"/>
  <c r="Y1566" i="24" s="1"/>
  <c r="Z1566" i="24" s="1"/>
  <c r="R1567" i="24"/>
  <c r="Y1567" i="24" s="1"/>
  <c r="Z1567" i="24" s="1"/>
  <c r="R1555" i="24"/>
  <c r="Y1555" i="24" s="1"/>
  <c r="Z1555" i="24" s="1"/>
  <c r="R1568" i="24"/>
  <c r="Y1568" i="24" s="1"/>
  <c r="Z1568" i="24" s="1"/>
  <c r="R1556" i="24"/>
  <c r="Y1556" i="24" s="1"/>
  <c r="Z1556" i="24" s="1"/>
  <c r="R1569" i="24"/>
  <c r="Y1569" i="24" s="1"/>
  <c r="Z1569" i="24" s="1"/>
  <c r="R1557" i="24"/>
  <c r="Y1557" i="24" s="1"/>
  <c r="Z1557" i="24" s="1"/>
  <c r="R1570" i="24"/>
  <c r="Y1570" i="24" s="1"/>
  <c r="Z1570" i="24" s="1"/>
  <c r="R1558" i="24"/>
  <c r="Y1558" i="24" s="1"/>
  <c r="Z1558" i="24" s="1"/>
  <c r="R1571" i="24"/>
  <c r="Y1571" i="24" s="1"/>
  <c r="Z1571" i="24" s="1"/>
  <c r="R1559" i="24"/>
  <c r="Y1559" i="24" s="1"/>
  <c r="Z1559" i="24" s="1"/>
  <c r="R1572" i="24"/>
  <c r="Y1572" i="24" s="1"/>
  <c r="Z1572" i="24" s="1"/>
  <c r="R1560" i="24"/>
  <c r="Y1560" i="24" s="1"/>
  <c r="Z1560" i="24" s="1"/>
  <c r="R1573" i="24"/>
  <c r="Y1573" i="24" s="1"/>
  <c r="Z1573" i="24" s="1"/>
  <c r="R1561" i="24"/>
  <c r="Y1561" i="24" s="1"/>
  <c r="Z1561" i="24" s="1"/>
  <c r="R1574" i="24"/>
  <c r="Y1574" i="24" s="1"/>
  <c r="Z1574" i="24" s="1"/>
  <c r="R1562" i="24"/>
  <c r="Y1562" i="24" s="1"/>
  <c r="Z1562" i="24" s="1"/>
  <c r="R1575" i="24"/>
  <c r="Y1575" i="24" s="1"/>
  <c r="Z1575" i="24" s="1"/>
  <c r="R1563" i="24"/>
  <c r="Y1563" i="24" s="1"/>
  <c r="Z1563" i="24" s="1"/>
  <c r="AB2011" i="24"/>
  <c r="AC2011" i="24"/>
  <c r="P37" i="13"/>
  <c r="P38" i="13"/>
  <c r="P32" i="13"/>
  <c r="E27" i="28"/>
  <c r="E24" i="28"/>
  <c r="AA2018" i="24"/>
  <c r="I20" i="28"/>
  <c r="P27" i="13"/>
  <c r="AN36" i="13"/>
  <c r="AO36" i="13" s="1"/>
  <c r="AQ36" i="13" s="1"/>
  <c r="AJ51" i="13"/>
  <c r="AO51" i="13" s="1"/>
  <c r="AQ51" i="13" s="1"/>
  <c r="AJ16" i="13"/>
  <c r="AO16" i="13" s="1"/>
  <c r="AK16" i="13"/>
  <c r="AL16" i="13"/>
  <c r="AJ21" i="13"/>
  <c r="AO21" i="13" s="1"/>
  <c r="AK21" i="13"/>
  <c r="AL21" i="13"/>
  <c r="AM21" i="13"/>
  <c r="AJ15" i="13"/>
  <c r="AO15" i="13" s="1"/>
  <c r="AQ15" i="13" s="1"/>
  <c r="AK15" i="13"/>
  <c r="AL15" i="13"/>
  <c r="AJ20" i="13"/>
  <c r="AO20" i="13" s="1"/>
  <c r="AQ20" i="13" s="1"/>
  <c r="AK20" i="13"/>
  <c r="AL20" i="13"/>
  <c r="AM20" i="13"/>
  <c r="AN35" i="13"/>
  <c r="AO35" i="13" s="1"/>
  <c r="AQ35" i="13" s="1"/>
  <c r="AJ50" i="13"/>
  <c r="AO50" i="13" s="1"/>
  <c r="AQ50" i="13" s="1"/>
  <c r="AJ14" i="13"/>
  <c r="AO14" i="13" s="1"/>
  <c r="AQ14" i="13" s="1"/>
  <c r="AK14" i="13"/>
  <c r="AL14" i="13"/>
  <c r="AJ19" i="13"/>
  <c r="AO19" i="13" s="1"/>
  <c r="AQ19" i="13" s="1"/>
  <c r="AK19" i="13"/>
  <c r="AL19" i="13"/>
  <c r="AM19" i="13"/>
  <c r="AN34" i="13"/>
  <c r="AO34" i="13" s="1"/>
  <c r="AQ34" i="13" s="1"/>
  <c r="AJ49" i="13"/>
  <c r="AO49" i="13" s="1"/>
  <c r="AQ49" i="13" s="1"/>
  <c r="AJ18" i="13"/>
  <c r="AO18" i="13" s="1"/>
  <c r="AQ18" i="13" s="1"/>
  <c r="AK18" i="13"/>
  <c r="AL18" i="13"/>
  <c r="AM18" i="13"/>
  <c r="AN33" i="13"/>
  <c r="AO33" i="13" s="1"/>
  <c r="AQ33" i="13" s="1"/>
  <c r="AJ48" i="13"/>
  <c r="AO48" i="13" s="1"/>
  <c r="AQ48" i="13" s="1"/>
  <c r="AJ13" i="13"/>
  <c r="AO13" i="13" s="1"/>
  <c r="AQ13" i="13" s="1"/>
  <c r="AK13" i="13"/>
  <c r="AL13" i="13"/>
  <c r="AJ17" i="13"/>
  <c r="AO17" i="13" s="1"/>
  <c r="AQ17" i="13" s="1"/>
  <c r="AK17" i="13"/>
  <c r="AL17" i="13"/>
  <c r="AM17" i="13"/>
  <c r="AN32" i="13"/>
  <c r="AO32" i="13" s="1"/>
  <c r="AQ32" i="13" s="1"/>
  <c r="AJ47" i="13"/>
  <c r="AO47" i="13" s="1"/>
  <c r="AQ47" i="13" s="1"/>
  <c r="AL12" i="13"/>
  <c r="AK12" i="13"/>
  <c r="AJ12" i="13"/>
  <c r="AO12" i="13" s="1"/>
  <c r="AQ12" i="13" s="1"/>
  <c r="S1368" i="24"/>
  <c r="S1117" i="24"/>
  <c r="S1463" i="24"/>
  <c r="S1209" i="24"/>
  <c r="S1244" i="24"/>
  <c r="S1372" i="24"/>
  <c r="S1119" i="24"/>
  <c r="S1434" i="24"/>
  <c r="S1468" i="24"/>
  <c r="S1234" i="24"/>
  <c r="S1018" i="24"/>
  <c r="S984" i="24"/>
  <c r="S1457" i="24"/>
  <c r="S1203" i="24"/>
  <c r="S1326" i="24"/>
  <c r="S1038" i="24"/>
  <c r="S1464" i="24"/>
  <c r="S1264" i="24"/>
  <c r="S1238" i="24"/>
  <c r="S1066" i="24"/>
  <c r="S1352" i="24"/>
  <c r="S1334" i="24"/>
  <c r="S1374" i="24"/>
  <c r="S1096" i="24"/>
  <c r="S1333" i="24"/>
  <c r="S1491" i="24"/>
  <c r="S1227" i="24"/>
  <c r="S1211" i="24"/>
  <c r="S1224" i="24"/>
  <c r="S1336" i="24"/>
  <c r="S1403" i="24"/>
  <c r="S1301" i="24"/>
  <c r="S1163" i="24"/>
  <c r="S1218" i="24"/>
  <c r="S1115" i="24"/>
  <c r="S1039" i="24"/>
  <c r="S1059" i="24"/>
  <c r="S1410" i="24"/>
  <c r="S1090" i="24"/>
  <c r="S1112" i="24"/>
  <c r="S1429" i="24"/>
  <c r="S1439" i="24"/>
  <c r="S1259" i="24"/>
  <c r="S1260" i="24"/>
  <c r="S1485" i="24"/>
  <c r="S1263" i="24"/>
  <c r="S1075" i="24"/>
  <c r="S1142" i="24"/>
  <c r="S1304" i="24"/>
  <c r="S1344" i="24"/>
  <c r="S1380" i="24"/>
  <c r="S1153" i="24"/>
  <c r="S1450" i="24"/>
  <c r="S1023" i="24"/>
  <c r="S1139" i="24"/>
  <c r="S1085" i="24"/>
  <c r="S1241" i="24"/>
  <c r="S1300" i="24"/>
  <c r="S1337" i="24"/>
  <c r="S1094" i="24"/>
  <c r="S1031" i="24"/>
  <c r="S1239" i="24"/>
  <c r="S1077" i="24"/>
  <c r="S1270" i="24"/>
  <c r="S1009" i="24"/>
  <c r="S1037" i="24"/>
  <c r="S1245" i="24"/>
  <c r="S1289" i="24"/>
  <c r="S1367" i="24"/>
  <c r="S1000" i="24"/>
  <c r="S1004" i="24"/>
  <c r="S986" i="24"/>
  <c r="S1054" i="24"/>
  <c r="S1021" i="24"/>
  <c r="S1208" i="24"/>
  <c r="S1392" i="24"/>
  <c r="S1256" i="24"/>
  <c r="S1221" i="24"/>
  <c r="S1484" i="24"/>
  <c r="S1482" i="24"/>
  <c r="S1060" i="24"/>
  <c r="S1296" i="24"/>
  <c r="S1339" i="24"/>
  <c r="S1055" i="24"/>
  <c r="S1299" i="24"/>
  <c r="S1130" i="24"/>
  <c r="S1006" i="24"/>
  <c r="S1189" i="24"/>
  <c r="S1486" i="24"/>
  <c r="S1225" i="24"/>
  <c r="S1425" i="24"/>
  <c r="S1247" i="24"/>
  <c r="S1179" i="24"/>
  <c r="S1103" i="24"/>
  <c r="S1377" i="24"/>
  <c r="S1343" i="24"/>
  <c r="S1382" i="24"/>
  <c r="S1053" i="24"/>
  <c r="S1181" i="24"/>
  <c r="S1067" i="24"/>
  <c r="S1275" i="24"/>
  <c r="S1314" i="24"/>
  <c r="S1068" i="24"/>
  <c r="S1305" i="24"/>
  <c r="S1307" i="24"/>
  <c r="S1134" i="24"/>
  <c r="S1098" i="24"/>
  <c r="S1073" i="24"/>
  <c r="S1281" i="24"/>
  <c r="S1321" i="24"/>
  <c r="S1093" i="24"/>
  <c r="S1271" i="24"/>
  <c r="S1114" i="24"/>
  <c r="S1414" i="24"/>
  <c r="S1487" i="24"/>
  <c r="S1370" i="24"/>
  <c r="S982" i="24"/>
  <c r="S1178" i="24"/>
  <c r="S1171" i="24"/>
  <c r="S1472" i="24"/>
  <c r="S1207" i="24"/>
  <c r="S1407" i="24"/>
  <c r="S1331" i="24"/>
  <c r="S1083" i="24"/>
  <c r="S1100" i="24"/>
  <c r="S1033" i="24"/>
  <c r="S1435" i="24"/>
  <c r="S1140" i="24"/>
  <c r="S997" i="24"/>
  <c r="S1046" i="24"/>
  <c r="S1290" i="24"/>
  <c r="S1493" i="24"/>
  <c r="S1330" i="24"/>
  <c r="S1257" i="24"/>
  <c r="S1052" i="24"/>
  <c r="S1318" i="24"/>
  <c r="S1092" i="24"/>
  <c r="S1047" i="24"/>
  <c r="S1150" i="24"/>
  <c r="S1261" i="24"/>
  <c r="S1461" i="24"/>
  <c r="S1029" i="24"/>
  <c r="S1475" i="24"/>
  <c r="S1418" i="24"/>
  <c r="S1108" i="24"/>
  <c r="S1313" i="24"/>
  <c r="S1357" i="24"/>
  <c r="S1136" i="24"/>
  <c r="S1388" i="24"/>
  <c r="S1003" i="24"/>
  <c r="S1122" i="24"/>
  <c r="S1194" i="24"/>
  <c r="S1172" i="24"/>
  <c r="S1168" i="24"/>
  <c r="S1471" i="24"/>
  <c r="S1204" i="24"/>
  <c r="S1243" i="24"/>
  <c r="S1443" i="24"/>
  <c r="S1062" i="24"/>
  <c r="S1116" i="24"/>
  <c r="S1184" i="24"/>
  <c r="S1327" i="24"/>
  <c r="S1332" i="24"/>
  <c r="S1280" i="24"/>
  <c r="S1049" i="24"/>
  <c r="S1423" i="24"/>
  <c r="S1293" i="24"/>
  <c r="S1306" i="24"/>
  <c r="S1086" i="24"/>
  <c r="S1340" i="24"/>
  <c r="S1002" i="24"/>
  <c r="S1088" i="24"/>
  <c r="S1441" i="24"/>
  <c r="S1017" i="24"/>
  <c r="S1342" i="24"/>
  <c r="S1186" i="24"/>
  <c r="S1222" i="24"/>
  <c r="S1422" i="24"/>
  <c r="S1167" i="24"/>
  <c r="S1297" i="24"/>
  <c r="S1188" i="24"/>
  <c r="S1308" i="24"/>
  <c r="S1235" i="24"/>
  <c r="S1232" i="24"/>
  <c r="S1488" i="24"/>
  <c r="S1454" i="24"/>
  <c r="S989" i="24"/>
  <c r="S1268" i="24"/>
  <c r="S1302" i="24"/>
  <c r="S1354" i="24"/>
  <c r="S1398" i="24"/>
  <c r="S1395" i="24"/>
  <c r="S1424" i="24"/>
  <c r="S1109" i="24"/>
  <c r="S1411" i="24"/>
  <c r="S1322" i="24"/>
  <c r="S1262" i="24"/>
  <c r="S1240" i="24"/>
  <c r="S1480" i="24"/>
  <c r="S1440" i="24"/>
  <c r="S1007" i="24"/>
  <c r="S1101" i="24"/>
  <c r="S1279" i="24"/>
  <c r="S1197" i="24"/>
  <c r="S1214" i="24"/>
  <c r="S1265" i="24"/>
  <c r="S1027" i="24"/>
  <c r="S1323" i="24"/>
  <c r="S1311" i="24"/>
  <c r="S1132" i="24"/>
  <c r="S1144" i="24"/>
  <c r="S1401" i="24"/>
  <c r="S1483" i="24"/>
  <c r="S1080" i="24"/>
  <c r="S1056" i="24"/>
  <c r="S1131" i="24"/>
  <c r="S1133" i="24"/>
  <c r="S1465" i="24"/>
  <c r="S1147" i="24"/>
  <c r="S1258" i="24"/>
  <c r="S1458" i="24"/>
  <c r="S1072" i="24"/>
  <c r="S1315" i="24"/>
  <c r="S1501" i="24"/>
  <c r="S988" i="24"/>
  <c r="S1169" i="24"/>
  <c r="S1028" i="24"/>
  <c r="S1286" i="24"/>
  <c r="S1236" i="24"/>
  <c r="S1158" i="24"/>
  <c r="S1358" i="24"/>
  <c r="S1206" i="24"/>
  <c r="S1460" i="24"/>
  <c r="S1011" i="24"/>
  <c r="S1087" i="24"/>
  <c r="S1405" i="24"/>
  <c r="S1476" i="24"/>
  <c r="S993" i="24"/>
  <c r="S1276" i="24"/>
  <c r="S1015" i="24"/>
  <c r="S1102" i="24"/>
  <c r="S1355" i="24"/>
  <c r="S1106" i="24"/>
  <c r="S1048" i="24"/>
  <c r="S1138" i="24"/>
  <c r="S1174" i="24"/>
  <c r="S992" i="24"/>
  <c r="S1035" i="24"/>
  <c r="S1030" i="24"/>
  <c r="S1045" i="24"/>
  <c r="S1128" i="24"/>
  <c r="S1345" i="24"/>
  <c r="S1399" i="24"/>
  <c r="S1127" i="24"/>
  <c r="S1196" i="24"/>
  <c r="S1180" i="24"/>
  <c r="S1216" i="24"/>
  <c r="S1496" i="24"/>
  <c r="S1416" i="24"/>
  <c r="S1123" i="24"/>
  <c r="S1183" i="24"/>
  <c r="S1219" i="24"/>
  <c r="S1497" i="24"/>
  <c r="S1419" i="24"/>
  <c r="S1155" i="24"/>
  <c r="S1124" i="24"/>
  <c r="S1310" i="24"/>
  <c r="S1294" i="24"/>
  <c r="S1020" i="24"/>
  <c r="S1363" i="24"/>
  <c r="S1402" i="24"/>
  <c r="S1383" i="24"/>
  <c r="S1415" i="24"/>
  <c r="S1064" i="24"/>
  <c r="S1366" i="24"/>
  <c r="S1272" i="24"/>
  <c r="S1154" i="24"/>
  <c r="S1159" i="24"/>
  <c r="S1495" i="24"/>
  <c r="S1034" i="24"/>
  <c r="S1242" i="24"/>
  <c r="S1182" i="24"/>
  <c r="S1166" i="24"/>
  <c r="S1165" i="24"/>
  <c r="S1470" i="24"/>
  <c r="S1201" i="24"/>
  <c r="S1149" i="24"/>
  <c r="S1121" i="24"/>
  <c r="S1320" i="24"/>
  <c r="S1361" i="24"/>
  <c r="S1397" i="24"/>
  <c r="S987" i="24"/>
  <c r="S1187" i="24"/>
  <c r="S999" i="24"/>
  <c r="S1036" i="24"/>
  <c r="S1217" i="24"/>
  <c r="S1078" i="24"/>
  <c r="S1032" i="24"/>
  <c r="S1145" i="24"/>
  <c r="S1175" i="24"/>
  <c r="S1125" i="24"/>
  <c r="S1141" i="24"/>
  <c r="S1118" i="24"/>
  <c r="S1329" i="24"/>
  <c r="S1252" i="24"/>
  <c r="S1494" i="24"/>
  <c r="S1452" i="24"/>
  <c r="S1453" i="24"/>
  <c r="S1283" i="24"/>
  <c r="S1226" i="24"/>
  <c r="S1255" i="24"/>
  <c r="S1455" i="24"/>
  <c r="S1012" i="24"/>
  <c r="S1408" i="24"/>
  <c r="S1120" i="24"/>
  <c r="S1373" i="24"/>
  <c r="S1500" i="24"/>
  <c r="S1164" i="24"/>
  <c r="S1295" i="24"/>
  <c r="S1451" i="24"/>
  <c r="S1014" i="24"/>
  <c r="S1195" i="24"/>
  <c r="S1231" i="24"/>
  <c r="S1431" i="24"/>
  <c r="S1126" i="24"/>
  <c r="S1193" i="24"/>
  <c r="S1070" i="24"/>
  <c r="S1278" i="24"/>
  <c r="S991" i="24"/>
  <c r="S1253" i="24"/>
  <c r="S1202" i="24"/>
  <c r="S1237" i="24"/>
  <c r="S1437" i="24"/>
  <c r="S1146" i="24"/>
  <c r="S1324" i="24"/>
  <c r="S1396" i="24"/>
  <c r="S1394" i="24"/>
  <c r="S1024" i="24"/>
  <c r="S1433" i="24"/>
  <c r="S1375" i="24"/>
  <c r="S1173" i="24"/>
  <c r="S1473" i="24"/>
  <c r="S1051" i="24"/>
  <c r="S1246" i="24"/>
  <c r="S1316" i="24"/>
  <c r="S1335" i="24"/>
  <c r="S1400" i="24"/>
  <c r="S1369" i="24"/>
  <c r="S1417" i="24"/>
  <c r="S1063" i="24"/>
  <c r="S1254" i="24"/>
  <c r="S1050" i="24"/>
  <c r="S1190" i="24"/>
  <c r="S1177" i="24"/>
  <c r="S1474" i="24"/>
  <c r="S1213" i="24"/>
  <c r="S1432" i="24"/>
  <c r="S1413" i="24"/>
  <c r="S1288" i="24"/>
  <c r="S998" i="24"/>
  <c r="S1229" i="24"/>
  <c r="S1291" i="24"/>
  <c r="S1143" i="24"/>
  <c r="S1356" i="24"/>
  <c r="S1379" i="24"/>
  <c r="S1412" i="24"/>
  <c r="S1084" i="24"/>
  <c r="S1042" i="24"/>
  <c r="S1157" i="24"/>
  <c r="S1025" i="24"/>
  <c r="S1233" i="24"/>
  <c r="S1347" i="24"/>
  <c r="S1267" i="24"/>
  <c r="S1467" i="24"/>
  <c r="S996" i="24"/>
  <c r="S1110" i="24"/>
  <c r="S1082" i="24"/>
  <c r="S1205" i="24"/>
  <c r="S1199" i="24"/>
  <c r="S1273" i="24"/>
  <c r="S1008" i="24"/>
  <c r="S1200" i="24"/>
  <c r="S1430" i="24"/>
  <c r="S1176" i="24"/>
  <c r="S1151" i="24"/>
  <c r="S1111" i="24"/>
  <c r="S1215" i="24"/>
  <c r="S1469" i="24"/>
  <c r="S1338" i="24"/>
  <c r="S1161" i="24"/>
  <c r="S1185" i="24"/>
  <c r="S1210" i="24"/>
  <c r="S1351" i="24"/>
  <c r="S1069" i="24"/>
  <c r="S1129" i="24"/>
  <c r="S1436" i="24"/>
  <c r="S1249" i="24"/>
  <c r="S1489" i="24"/>
  <c r="S1449" i="24"/>
  <c r="S994" i="24"/>
  <c r="S1277" i="24"/>
  <c r="S1348" i="24"/>
  <c r="S1346" i="24"/>
  <c r="S1498" i="24"/>
  <c r="S1019" i="24"/>
  <c r="S1274" i="24"/>
  <c r="S1499" i="24"/>
  <c r="S1074" i="24"/>
  <c r="S1071" i="24"/>
  <c r="S1456" i="24"/>
  <c r="S1448" i="24"/>
  <c r="S1061" i="24"/>
  <c r="S1359" i="24"/>
  <c r="S1269" i="24"/>
  <c r="S1381" i="24"/>
  <c r="S1447" i="24"/>
  <c r="S1081" i="24"/>
  <c r="S1309" i="24"/>
  <c r="S1095" i="24"/>
  <c r="S1312" i="24"/>
  <c r="S1328" i="24"/>
  <c r="S1362" i="24"/>
  <c r="S1389" i="24"/>
  <c r="S1378" i="24"/>
  <c r="S1212" i="24"/>
  <c r="S1462" i="24"/>
  <c r="S1466" i="24"/>
  <c r="S1016" i="24"/>
  <c r="S1043" i="24"/>
  <c r="S1251" i="24"/>
  <c r="S1376" i="24"/>
  <c r="S1005" i="24"/>
  <c r="S990" i="24"/>
  <c r="S1041" i="24"/>
  <c r="S1285" i="24"/>
  <c r="S1319" i="24"/>
  <c r="S1065" i="24"/>
  <c r="S1089" i="24"/>
  <c r="S1353" i="24"/>
  <c r="S1390" i="24"/>
  <c r="S1406" i="24"/>
  <c r="S1360" i="24"/>
  <c r="S1459" i="24"/>
  <c r="S1409" i="24"/>
  <c r="S1022" i="24"/>
  <c r="S1365" i="24"/>
  <c r="S1230" i="24"/>
  <c r="S1490" i="24"/>
  <c r="S1404" i="24"/>
  <c r="S1099" i="24"/>
  <c r="S1350" i="24"/>
  <c r="S1097" i="24"/>
  <c r="S1148" i="24"/>
  <c r="S1481" i="24"/>
  <c r="S1156" i="24"/>
  <c r="S1057" i="24"/>
  <c r="S1091" i="24"/>
  <c r="S1386" i="24"/>
  <c r="S1364" i="24"/>
  <c r="S1384" i="24"/>
  <c r="S1385" i="24"/>
  <c r="S1044" i="24"/>
  <c r="S1170" i="24"/>
  <c r="S1250" i="24"/>
  <c r="S1107" i="24"/>
  <c r="S1104" i="24"/>
  <c r="S1317" i="24"/>
  <c r="S1391" i="24"/>
  <c r="S1040" i="24"/>
  <c r="S1479" i="24"/>
  <c r="S1248" i="24"/>
  <c r="S1079" i="24"/>
  <c r="S1287" i="24"/>
  <c r="S1477" i="24"/>
  <c r="S1446" i="24"/>
  <c r="S1282" i="24"/>
  <c r="S995" i="24"/>
  <c r="S1013" i="24"/>
  <c r="S985" i="24"/>
  <c r="S1105" i="24"/>
  <c r="S1341" i="24"/>
  <c r="S1325" i="24"/>
  <c r="S1135" i="24"/>
  <c r="S1113" i="24"/>
  <c r="S1442" i="24"/>
  <c r="S1371" i="24"/>
  <c r="S1137" i="24"/>
  <c r="S1220" i="24"/>
  <c r="S1426" i="24"/>
  <c r="S1478" i="24"/>
  <c r="S1445" i="24"/>
  <c r="S1058" i="24"/>
  <c r="S1266" i="24"/>
  <c r="S1303" i="24"/>
  <c r="S983" i="24"/>
  <c r="S1292" i="24"/>
  <c r="S1349" i="24"/>
  <c r="S1223" i="24"/>
  <c r="S1010" i="24"/>
  <c r="S1192" i="24"/>
  <c r="S1492" i="24"/>
  <c r="S1228" i="24"/>
  <c r="S1428" i="24"/>
  <c r="S1387" i="24"/>
  <c r="S1191" i="24"/>
  <c r="S1438" i="24"/>
  <c r="S1421" i="24"/>
  <c r="S1444" i="24"/>
  <c r="S1160" i="24"/>
  <c r="S1162" i="24"/>
  <c r="S1198" i="24"/>
  <c r="S1001" i="24"/>
  <c r="S1393" i="24"/>
  <c r="S1420" i="24"/>
  <c r="S1427" i="24"/>
  <c r="S1152" i="24"/>
  <c r="S1076" i="24"/>
  <c r="S1284" i="24"/>
  <c r="S1026" i="24"/>
  <c r="S1298" i="24"/>
  <c r="S60" i="24"/>
  <c r="S58" i="24"/>
  <c r="S61" i="24"/>
  <c r="S59" i="24"/>
  <c r="S62" i="24"/>
  <c r="C30" i="4"/>
  <c r="AN1918" i="24" l="1"/>
  <c r="AL1873" i="24"/>
  <c r="AM1873" i="24"/>
  <c r="AN1873" i="24"/>
  <c r="AK1918" i="24"/>
  <c r="AL1838" i="24"/>
  <c r="AM1918" i="24"/>
  <c r="AM1930" i="24"/>
  <c r="AB43" i="13"/>
  <c r="AE43" i="13"/>
  <c r="AN1624" i="24"/>
  <c r="AN1896" i="24"/>
  <c r="AN1838" i="24"/>
  <c r="AK1896" i="24"/>
  <c r="AL1964" i="24"/>
  <c r="AL1896" i="24"/>
  <c r="AK1624" i="24"/>
  <c r="AK1997" i="24"/>
  <c r="AK1755" i="24"/>
  <c r="AL1981" i="24"/>
  <c r="AM1810" i="24"/>
  <c r="AA1544" i="24"/>
  <c r="Z1554" i="24"/>
  <c r="AM1624" i="24"/>
  <c r="AA1549" i="24"/>
  <c r="AA1548" i="24"/>
  <c r="Z1547" i="24"/>
  <c r="AL1997" i="24"/>
  <c r="AM1964" i="24"/>
  <c r="AL1660" i="24"/>
  <c r="AA1552" i="24"/>
  <c r="AA1546" i="24"/>
  <c r="Z1545" i="24"/>
  <c r="AM1671" i="24"/>
  <c r="Z1550" i="24"/>
  <c r="AA1542" i="24"/>
  <c r="AA1543" i="24"/>
  <c r="AK1767" i="24"/>
  <c r="AN1943" i="24"/>
  <c r="Z1551" i="24"/>
  <c r="Z1553" i="24"/>
  <c r="AK1800" i="24"/>
  <c r="AN1800" i="24"/>
  <c r="AK1716" i="24"/>
  <c r="AN1847" i="24"/>
  <c r="AK1981" i="24"/>
  <c r="AK1751" i="24"/>
  <c r="AM1981" i="24"/>
  <c r="AL1663" i="24"/>
  <c r="AN1773" i="24"/>
  <c r="AL1728" i="24"/>
  <c r="AM1800" i="24"/>
  <c r="AK1742" i="24"/>
  <c r="AN1809" i="24"/>
  <c r="AM1767" i="24"/>
  <c r="AK1809" i="24"/>
  <c r="AM1823" i="24"/>
  <c r="AK1671" i="24"/>
  <c r="AL1690" i="24"/>
  <c r="AK1689" i="24"/>
  <c r="AL1767" i="24"/>
  <c r="AK1969" i="24"/>
  <c r="AK1964" i="24"/>
  <c r="AK1943" i="24"/>
  <c r="AL1755" i="24"/>
  <c r="AN1663" i="24"/>
  <c r="AM1780" i="24"/>
  <c r="AN1780" i="24"/>
  <c r="AL1780" i="24"/>
  <c r="AM1941" i="24"/>
  <c r="AK1687" i="24"/>
  <c r="AL1687" i="24"/>
  <c r="AL2001" i="24"/>
  <c r="AM2001" i="24"/>
  <c r="AL1735" i="24"/>
  <c r="AM1829" i="24"/>
  <c r="AN1660" i="24"/>
  <c r="AK1823" i="24"/>
  <c r="AA1558" i="24"/>
  <c r="AK1735" i="24"/>
  <c r="AK1660" i="24"/>
  <c r="AK1726" i="24"/>
  <c r="AA1572" i="24"/>
  <c r="AA1573" i="24"/>
  <c r="AA1575" i="24"/>
  <c r="AA1569" i="24"/>
  <c r="AM1661" i="24"/>
  <c r="AA1556" i="24"/>
  <c r="AA1564" i="24"/>
  <c r="AA1570" i="24"/>
  <c r="AA1559" i="24"/>
  <c r="AA1560" i="24"/>
  <c r="AA1562" i="24"/>
  <c r="AM1885" i="24"/>
  <c r="AA1571" i="24"/>
  <c r="AA1565" i="24"/>
  <c r="AK1941" i="24"/>
  <c r="AA1563" i="24"/>
  <c r="AA1577" i="24"/>
  <c r="AA1557" i="24"/>
  <c r="AA1555" i="24"/>
  <c r="AA1574" i="24"/>
  <c r="AA1576" i="24"/>
  <c r="AA1568" i="24"/>
  <c r="AA1567" i="24"/>
  <c r="AA1561" i="24"/>
  <c r="AA1566" i="24"/>
  <c r="AL1773" i="24"/>
  <c r="AN1671" i="24"/>
  <c r="AN1829" i="24"/>
  <c r="AN1745" i="24"/>
  <c r="AK1661" i="24"/>
  <c r="AN1742" i="24"/>
  <c r="AK1885" i="24"/>
  <c r="AM1726" i="24"/>
  <c r="AM1773" i="24"/>
  <c r="AL1847" i="24"/>
  <c r="AK1829" i="24"/>
  <c r="AL1745" i="24"/>
  <c r="AL1661" i="24"/>
  <c r="AL1885" i="24"/>
  <c r="AM1687" i="24"/>
  <c r="AK1810" i="24"/>
  <c r="AM1997" i="24"/>
  <c r="AM1755" i="24"/>
  <c r="AL1809" i="24"/>
  <c r="AN1716" i="24"/>
  <c r="AL1810" i="24"/>
  <c r="AM1904" i="24"/>
  <c r="AL1746" i="24"/>
  <c r="AM1943" i="24"/>
  <c r="AL1904" i="24"/>
  <c r="AM1751" i="24"/>
  <c r="AM1745" i="24"/>
  <c r="AL1726" i="24"/>
  <c r="AK1847" i="24"/>
  <c r="AN1909" i="24"/>
  <c r="AN1806" i="24"/>
  <c r="AN1930" i="24"/>
  <c r="AM1690" i="24"/>
  <c r="AL1969" i="24"/>
  <c r="AN1690" i="24"/>
  <c r="AL1848" i="24"/>
  <c r="AL1837" i="24"/>
  <c r="AN1751" i="24"/>
  <c r="AL1891" i="24"/>
  <c r="AM1891" i="24"/>
  <c r="AM1716" i="24"/>
  <c r="AM1742" i="24"/>
  <c r="AK1663" i="24"/>
  <c r="AM1648" i="24"/>
  <c r="AK1806" i="24"/>
  <c r="AK2001" i="24"/>
  <c r="AN1904" i="24"/>
  <c r="AN1712" i="24"/>
  <c r="AK1830" i="24"/>
  <c r="AK1712" i="24"/>
  <c r="AL1830" i="24"/>
  <c r="AL1712" i="24"/>
  <c r="AM1830" i="24"/>
  <c r="AK1930" i="24"/>
  <c r="AL1823" i="24"/>
  <c r="AN1794" i="24"/>
  <c r="AK1669" i="24"/>
  <c r="AM1747" i="24"/>
  <c r="AK1648" i="24"/>
  <c r="AN1949" i="24"/>
  <c r="AL1794" i="24"/>
  <c r="AN1669" i="24"/>
  <c r="AM1863" i="24"/>
  <c r="AN1747" i="24"/>
  <c r="AK1949" i="24"/>
  <c r="AM1838" i="24"/>
  <c r="AN1657" i="24"/>
  <c r="AL1669" i="24"/>
  <c r="AK1863" i="24"/>
  <c r="AL1747" i="24"/>
  <c r="AK1657" i="24"/>
  <c r="AL1863" i="24"/>
  <c r="AK1699" i="24"/>
  <c r="AN1848" i="24"/>
  <c r="AM1909" i="24"/>
  <c r="AN1940" i="24"/>
  <c r="AL1907" i="24"/>
  <c r="AK1891" i="24"/>
  <c r="AL1909" i="24"/>
  <c r="AM1940" i="24"/>
  <c r="AM1907" i="24"/>
  <c r="AN1969" i="24"/>
  <c r="AK1815" i="24"/>
  <c r="AL1949" i="24"/>
  <c r="AM1848" i="24"/>
  <c r="AL1806" i="24"/>
  <c r="AK1907" i="24"/>
  <c r="AL1940" i="24"/>
  <c r="AL1841" i="24"/>
  <c r="AL1793" i="24"/>
  <c r="AM1689" i="24"/>
  <c r="AM1841" i="24"/>
  <c r="AO1857" i="24"/>
  <c r="AR1857" i="24" s="1"/>
  <c r="AN1793" i="24"/>
  <c r="AN1735" i="24"/>
  <c r="AN1841" i="24"/>
  <c r="AM1793" i="24"/>
  <c r="AK1794" i="24"/>
  <c r="AM1714" i="24"/>
  <c r="AK1728" i="24"/>
  <c r="AK1746" i="24"/>
  <c r="AK1837" i="24"/>
  <c r="AN1648" i="24"/>
  <c r="AN1714" i="24"/>
  <c r="AM1699" i="24"/>
  <c r="AN1815" i="24"/>
  <c r="AK1714" i="24"/>
  <c r="AM1728" i="24"/>
  <c r="AM1746" i="24"/>
  <c r="AM1837" i="24"/>
  <c r="AL1657" i="24"/>
  <c r="AN1699" i="24"/>
  <c r="AL1815" i="24"/>
  <c r="AN1941" i="24"/>
  <c r="AL1689" i="24"/>
  <c r="AN1796" i="24"/>
  <c r="AL1796" i="24"/>
  <c r="AK1796" i="24"/>
  <c r="AM1796" i="24"/>
  <c r="AN1860" i="24"/>
  <c r="AM1860" i="24"/>
  <c r="AL1860" i="24"/>
  <c r="AK1860" i="24"/>
  <c r="AL1756" i="24"/>
  <c r="AK1756" i="24"/>
  <c r="AN1756" i="24"/>
  <c r="AM1756" i="24"/>
  <c r="AL1782" i="24"/>
  <c r="AK1782" i="24"/>
  <c r="AM1782" i="24"/>
  <c r="AN1782" i="24"/>
  <c r="AN1836" i="24"/>
  <c r="AM1836" i="24"/>
  <c r="AL1836" i="24"/>
  <c r="AK1836" i="24"/>
  <c r="AL1771" i="24"/>
  <c r="AK1771" i="24"/>
  <c r="AN1771" i="24"/>
  <c r="AM1771" i="24"/>
  <c r="AN1760" i="24"/>
  <c r="AL1760" i="24"/>
  <c r="AM1760" i="24"/>
  <c r="AK1760" i="24"/>
  <c r="AM1788" i="24"/>
  <c r="AK1788" i="24"/>
  <c r="AN1788" i="24"/>
  <c r="AL1788" i="24"/>
  <c r="AN1889" i="24"/>
  <c r="AM1889" i="24"/>
  <c r="AL1889" i="24"/>
  <c r="AK1889" i="24"/>
  <c r="AK1718" i="24"/>
  <c r="AN1718" i="24"/>
  <c r="AM1718" i="24"/>
  <c r="AL1718" i="24"/>
  <c r="AN2005" i="24"/>
  <c r="AK2005" i="24"/>
  <c r="AL2005" i="24"/>
  <c r="AM2005" i="24"/>
  <c r="AN1919" i="24"/>
  <c r="AM1919" i="24"/>
  <c r="AK1919" i="24"/>
  <c r="AL1919" i="24"/>
  <c r="AK1670" i="24"/>
  <c r="AN1670" i="24"/>
  <c r="AM1670" i="24"/>
  <c r="AL1670" i="24"/>
  <c r="AL1877" i="24"/>
  <c r="AK1877" i="24"/>
  <c r="AN1877" i="24"/>
  <c r="AM1877" i="24"/>
  <c r="AK1966" i="24"/>
  <c r="AM1966" i="24"/>
  <c r="AN1966" i="24"/>
  <c r="AL1966" i="24"/>
  <c r="AL1859" i="24"/>
  <c r="AK1859" i="24"/>
  <c r="AN1859" i="24"/>
  <c r="AM1859" i="24"/>
  <c r="AN1750" i="24"/>
  <c r="AM1750" i="24"/>
  <c r="AL1750" i="24"/>
  <c r="AK1750" i="24"/>
  <c r="AL1946" i="24"/>
  <c r="AM1946" i="24"/>
  <c r="AK1946" i="24"/>
  <c r="AN1946" i="24"/>
  <c r="AK1897" i="24"/>
  <c r="AN1897" i="24"/>
  <c r="AM1897" i="24"/>
  <c r="AL1897" i="24"/>
  <c r="AM1814" i="24"/>
  <c r="AK1814" i="24"/>
  <c r="AN1814" i="24"/>
  <c r="AL1814" i="24"/>
  <c r="AK1912" i="24"/>
  <c r="AN1912" i="24"/>
  <c r="AL1912" i="24"/>
  <c r="AM1912" i="24"/>
  <c r="AN1733" i="24"/>
  <c r="AL1733" i="24"/>
  <c r="AK1733" i="24"/>
  <c r="AM1733" i="24"/>
  <c r="AL1637" i="24"/>
  <c r="AK1637" i="24"/>
  <c r="AN1637" i="24"/>
  <c r="AM1637" i="24"/>
  <c r="AL1920" i="24"/>
  <c r="AM1920" i="24"/>
  <c r="AN1920" i="24"/>
  <c r="AK1920" i="24"/>
  <c r="AN1757" i="24"/>
  <c r="AL1757" i="24"/>
  <c r="AK1757" i="24"/>
  <c r="AM1757" i="24"/>
  <c r="AN1684" i="24"/>
  <c r="AL1684" i="24"/>
  <c r="AK1684" i="24"/>
  <c r="AM1684" i="24"/>
  <c r="AN1931" i="24"/>
  <c r="AL1931" i="24"/>
  <c r="AM1931" i="24"/>
  <c r="AK1931" i="24"/>
  <c r="AL2000" i="24"/>
  <c r="AK2000" i="24"/>
  <c r="AN2000" i="24"/>
  <c r="AM2000" i="24"/>
  <c r="AN1825" i="24"/>
  <c r="AL1825" i="24"/>
  <c r="AM1825" i="24"/>
  <c r="AK1825" i="24"/>
  <c r="AN1879" i="24"/>
  <c r="AM1879" i="24"/>
  <c r="AK1879" i="24"/>
  <c r="AL1879" i="24"/>
  <c r="AL1988" i="24"/>
  <c r="AK1988" i="24"/>
  <c r="AN1988" i="24"/>
  <c r="AM1988" i="24"/>
  <c r="AL1834" i="24"/>
  <c r="AK1834" i="24"/>
  <c r="AM1834" i="24"/>
  <c r="AN1834" i="24"/>
  <c r="AN1849" i="24"/>
  <c r="AM1849" i="24"/>
  <c r="AL1849" i="24"/>
  <c r="AK1849" i="24"/>
  <c r="AK1659" i="24"/>
  <c r="AN1659" i="24"/>
  <c r="AM1659" i="24"/>
  <c r="AL1659" i="24"/>
  <c r="AL1708" i="24"/>
  <c r="AK1708" i="24"/>
  <c r="AM1708" i="24"/>
  <c r="AN1708" i="24"/>
  <c r="AM1832" i="24"/>
  <c r="AL1832" i="24"/>
  <c r="AK1832" i="24"/>
  <c r="AN1832" i="24"/>
  <c r="AL1939" i="24"/>
  <c r="AK1939" i="24"/>
  <c r="AM1939" i="24"/>
  <c r="AN1939" i="24"/>
  <c r="AM1983" i="24"/>
  <c r="AL1983" i="24"/>
  <c r="AK1983" i="24"/>
  <c r="AN1983" i="24"/>
  <c r="AN1998" i="24"/>
  <c r="AM1998" i="24"/>
  <c r="AL1998" i="24"/>
  <c r="AK1998" i="24"/>
  <c r="AL1979" i="24"/>
  <c r="AK1979" i="24"/>
  <c r="AM1979" i="24"/>
  <c r="AN1979" i="24"/>
  <c r="AN1895" i="24"/>
  <c r="AM1895" i="24"/>
  <c r="AK1895" i="24"/>
  <c r="AL1895" i="24"/>
  <c r="AL1627" i="24"/>
  <c r="AN1627" i="24"/>
  <c r="AM1627" i="24"/>
  <c r="AK1627" i="24"/>
  <c r="AN1973" i="24"/>
  <c r="AL1973" i="24"/>
  <c r="AK1973" i="24"/>
  <c r="AM1973" i="24"/>
  <c r="AM1723" i="24"/>
  <c r="AL1723" i="24"/>
  <c r="AK1723" i="24"/>
  <c r="AN1723" i="24"/>
  <c r="AN1817" i="24"/>
  <c r="AM1817" i="24"/>
  <c r="AL1817" i="24"/>
  <c r="AK1817" i="24"/>
  <c r="AK1791" i="24"/>
  <c r="AN1791" i="24"/>
  <c r="AM1791" i="24"/>
  <c r="AL1791" i="24"/>
  <c r="AL1623" i="24"/>
  <c r="AN1623" i="24"/>
  <c r="AM1623" i="24"/>
  <c r="AK1623" i="24"/>
  <c r="AN1761" i="24"/>
  <c r="AM1761" i="24"/>
  <c r="AL1761" i="24"/>
  <c r="AK1761" i="24"/>
  <c r="AN1899" i="24"/>
  <c r="AK1899" i="24"/>
  <c r="AL1899" i="24"/>
  <c r="AM1899" i="24"/>
  <c r="AL1749" i="24"/>
  <c r="AK1749" i="24"/>
  <c r="AN1749" i="24"/>
  <c r="AM1749" i="24"/>
  <c r="AN1853" i="24"/>
  <c r="AM1853" i="24"/>
  <c r="AL1853" i="24"/>
  <c r="AK1853" i="24"/>
  <c r="AN1977" i="24"/>
  <c r="AL1977" i="24"/>
  <c r="AK1977" i="24"/>
  <c r="AM1977" i="24"/>
  <c r="AL1882" i="24"/>
  <c r="AM1882" i="24"/>
  <c r="AK1882" i="24"/>
  <c r="AN1882" i="24"/>
  <c r="AN1856" i="24"/>
  <c r="AM1856" i="24"/>
  <c r="AL1856" i="24"/>
  <c r="AK1856" i="24"/>
  <c r="AM1802" i="24"/>
  <c r="AN1802" i="24"/>
  <c r="AL1802" i="24"/>
  <c r="AK1802" i="24"/>
  <c r="AK1818" i="24"/>
  <c r="AM1818" i="24"/>
  <c r="AN1818" i="24"/>
  <c r="AL1818" i="24"/>
  <c r="AN1786" i="24"/>
  <c r="AM1786" i="24"/>
  <c r="AL1786" i="24"/>
  <c r="AK1786" i="24"/>
  <c r="AL1968" i="24"/>
  <c r="AN1968" i="24"/>
  <c r="AM1968" i="24"/>
  <c r="AK1968" i="24"/>
  <c r="AK1888" i="24"/>
  <c r="AN1888" i="24"/>
  <c r="AM1888" i="24"/>
  <c r="AL1888" i="24"/>
  <c r="AL1906" i="24"/>
  <c r="AN1906" i="24"/>
  <c r="AM1906" i="24"/>
  <c r="AK1906" i="24"/>
  <c r="AN1942" i="24"/>
  <c r="AL1942" i="24"/>
  <c r="AM1942" i="24"/>
  <c r="AK1942" i="24"/>
  <c r="AM1798" i="24"/>
  <c r="AN1798" i="24"/>
  <c r="AL1798" i="24"/>
  <c r="AK1798" i="24"/>
  <c r="AK1884" i="24"/>
  <c r="AN1884" i="24"/>
  <c r="AM1884" i="24"/>
  <c r="AL1884" i="24"/>
  <c r="AK1635" i="24"/>
  <c r="AL1635" i="24"/>
  <c r="AN1635" i="24"/>
  <c r="AM1635" i="24"/>
  <c r="AK1839" i="24"/>
  <c r="AN1839" i="24"/>
  <c r="AM1839" i="24"/>
  <c r="AL1839" i="24"/>
  <c r="AM1880" i="24"/>
  <c r="AL1880" i="24"/>
  <c r="AN1880" i="24"/>
  <c r="AK1880" i="24"/>
  <c r="AL1639" i="24"/>
  <c r="AK1639" i="24"/>
  <c r="AN1639" i="24"/>
  <c r="AM1639" i="24"/>
  <c r="AN1692" i="24"/>
  <c r="AM1692" i="24"/>
  <c r="AL1692" i="24"/>
  <c r="AK1692" i="24"/>
  <c r="AL1795" i="24"/>
  <c r="AK1795" i="24"/>
  <c r="AN1795" i="24"/>
  <c r="AM1795" i="24"/>
  <c r="AL1711" i="24"/>
  <c r="AK1711" i="24"/>
  <c r="AN1711" i="24"/>
  <c r="AM1711" i="24"/>
  <c r="AN1881" i="24"/>
  <c r="AL1881" i="24"/>
  <c r="AK1881" i="24"/>
  <c r="AM1881" i="24"/>
  <c r="AK1664" i="24"/>
  <c r="AN1664" i="24"/>
  <c r="AM1664" i="24"/>
  <c r="AL1664" i="24"/>
  <c r="AM1925" i="24"/>
  <c r="AL1925" i="24"/>
  <c r="AK1925" i="24"/>
  <c r="AN1925" i="24"/>
  <c r="AL1926" i="24"/>
  <c r="AM1926" i="24"/>
  <c r="AK1926" i="24"/>
  <c r="AN1926" i="24"/>
  <c r="AN1797" i="24"/>
  <c r="AM1797" i="24"/>
  <c r="AL1797" i="24"/>
  <c r="AK1797" i="24"/>
  <c r="AL1984" i="24"/>
  <c r="AK1984" i="24"/>
  <c r="AN1984" i="24"/>
  <c r="AM1984" i="24"/>
  <c r="AN2003" i="24"/>
  <c r="AM2003" i="24"/>
  <c r="AL2003" i="24"/>
  <c r="AK2003" i="24"/>
  <c r="AN1713" i="24"/>
  <c r="AL1713" i="24"/>
  <c r="AK1713" i="24"/>
  <c r="AM1713" i="24"/>
  <c r="AN1962" i="24"/>
  <c r="AL1962" i="24"/>
  <c r="AM1962" i="24"/>
  <c r="AK1962" i="24"/>
  <c r="AM1971" i="24"/>
  <c r="AN1971" i="24"/>
  <c r="AL1971" i="24"/>
  <c r="AK1971" i="24"/>
  <c r="AN1784" i="24"/>
  <c r="AM1784" i="24"/>
  <c r="AL1784" i="24"/>
  <c r="AK1784" i="24"/>
  <c r="AK1868" i="24"/>
  <c r="AN1868" i="24"/>
  <c r="AM1868" i="24"/>
  <c r="AL1868" i="24"/>
  <c r="AN1772" i="24"/>
  <c r="AM1772" i="24"/>
  <c r="AL1772" i="24"/>
  <c r="AK1772" i="24"/>
  <c r="AM1927" i="24"/>
  <c r="AK1927" i="24"/>
  <c r="AN1927" i="24"/>
  <c r="AL1927" i="24"/>
  <c r="AM1777" i="24"/>
  <c r="AL1777" i="24"/>
  <c r="AK1777" i="24"/>
  <c r="AN1777" i="24"/>
  <c r="AL1658" i="24"/>
  <c r="AK1658" i="24"/>
  <c r="AN1658" i="24"/>
  <c r="AM1658" i="24"/>
  <c r="AM1935" i="24"/>
  <c r="AK1935" i="24"/>
  <c r="AN1935" i="24"/>
  <c r="AL1935" i="24"/>
  <c r="AL1928" i="24"/>
  <c r="AK1928" i="24"/>
  <c r="AN1928" i="24"/>
  <c r="AM1928" i="24"/>
  <c r="AM1715" i="24"/>
  <c r="AL1715" i="24"/>
  <c r="AK1715" i="24"/>
  <c r="AN1715" i="24"/>
  <c r="AL1956" i="24"/>
  <c r="AN1956" i="24"/>
  <c r="AM1956" i="24"/>
  <c r="AK1956" i="24"/>
  <c r="AM1827" i="24"/>
  <c r="AK1827" i="24"/>
  <c r="AL1827" i="24"/>
  <c r="AN1827" i="24"/>
  <c r="AL1673" i="24"/>
  <c r="AN1673" i="24"/>
  <c r="AM1673" i="24"/>
  <c r="AK1673" i="24"/>
  <c r="AK1876" i="24"/>
  <c r="AN1876" i="24"/>
  <c r="AL1876" i="24"/>
  <c r="AM1876" i="24"/>
  <c r="AK1651" i="24"/>
  <c r="AN1651" i="24"/>
  <c r="AM1651" i="24"/>
  <c r="AL1651" i="24"/>
  <c r="AN1626" i="24"/>
  <c r="AK1626" i="24"/>
  <c r="AM1626" i="24"/>
  <c r="AL1626" i="24"/>
  <c r="AN1871" i="24"/>
  <c r="AM1871" i="24"/>
  <c r="AL1871" i="24"/>
  <c r="AK1871" i="24"/>
  <c r="AK2002" i="24"/>
  <c r="AL2002" i="24"/>
  <c r="AM2002" i="24"/>
  <c r="AN2002" i="24"/>
  <c r="AK1775" i="24"/>
  <c r="AN1775" i="24"/>
  <c r="AM1775" i="24"/>
  <c r="AL1775" i="24"/>
  <c r="AL1945" i="24"/>
  <c r="AN1945" i="24"/>
  <c r="AM1945" i="24"/>
  <c r="AK1945" i="24"/>
  <c r="AN1675" i="24"/>
  <c r="AM1675" i="24"/>
  <c r="AL1675" i="24"/>
  <c r="AK1675" i="24"/>
  <c r="AK1952" i="24"/>
  <c r="AN1952" i="24"/>
  <c r="AM1952" i="24"/>
  <c r="AL1952" i="24"/>
  <c r="AK1636" i="24"/>
  <c r="AN1636" i="24"/>
  <c r="AM1636" i="24"/>
  <c r="AL1636" i="24"/>
  <c r="AK1680" i="24"/>
  <c r="AM1680" i="24"/>
  <c r="AN1680" i="24"/>
  <c r="AL1680" i="24"/>
  <c r="AK1634" i="24"/>
  <c r="AN1634" i="24"/>
  <c r="AM1634" i="24"/>
  <c r="AL1634" i="24"/>
  <c r="AN1679" i="24"/>
  <c r="AM1679" i="24"/>
  <c r="AL1679" i="24"/>
  <c r="AK1679" i="24"/>
  <c r="AO1642" i="24"/>
  <c r="AR1642" i="24" s="1"/>
  <c r="AN1785" i="24"/>
  <c r="AK1785" i="24"/>
  <c r="AL1785" i="24"/>
  <c r="AM1785" i="24"/>
  <c r="AN1870" i="24"/>
  <c r="AM1870" i="24"/>
  <c r="AL1870" i="24"/>
  <c r="AK1870" i="24"/>
  <c r="AN1994" i="24"/>
  <c r="AM1994" i="24"/>
  <c r="AL1994" i="24"/>
  <c r="AK1994" i="24"/>
  <c r="AK1953" i="24"/>
  <c r="AN1953" i="24"/>
  <c r="AL1953" i="24"/>
  <c r="AM1953" i="24"/>
  <c r="AN1844" i="24"/>
  <c r="AM1844" i="24"/>
  <c r="AL1844" i="24"/>
  <c r="AK1844" i="24"/>
  <c r="AM1902" i="24"/>
  <c r="AK1902" i="24"/>
  <c r="AN1902" i="24"/>
  <c r="AL1902" i="24"/>
  <c r="AN1781" i="24"/>
  <c r="AM1781" i="24"/>
  <c r="AL1781" i="24"/>
  <c r="AK1781" i="24"/>
  <c r="AN1855" i="24"/>
  <c r="AK1855" i="24"/>
  <c r="AM1855" i="24"/>
  <c r="AL1855" i="24"/>
  <c r="AL1914" i="24"/>
  <c r="AN1914" i="24"/>
  <c r="AM1914" i="24"/>
  <c r="AK1914" i="24"/>
  <c r="AL1842" i="24"/>
  <c r="AK1842" i="24"/>
  <c r="AN1842" i="24"/>
  <c r="AM1842" i="24"/>
  <c r="AN1758" i="24"/>
  <c r="AL1758" i="24"/>
  <c r="AK1758" i="24"/>
  <c r="AM1758" i="24"/>
  <c r="AK1655" i="24"/>
  <c r="AN1655" i="24"/>
  <c r="AM1655" i="24"/>
  <c r="AL1655" i="24"/>
  <c r="AN1769" i="24"/>
  <c r="AM1769" i="24"/>
  <c r="AL1769" i="24"/>
  <c r="AK1769" i="24"/>
  <c r="AK1861" i="24"/>
  <c r="AN1861" i="24"/>
  <c r="AM1861" i="24"/>
  <c r="AL1861" i="24"/>
  <c r="AN1951" i="24"/>
  <c r="AM1951" i="24"/>
  <c r="AL1951" i="24"/>
  <c r="AK1951" i="24"/>
  <c r="AN1709" i="24"/>
  <c r="AL1709" i="24"/>
  <c r="AK1709" i="24"/>
  <c r="AM1709" i="24"/>
  <c r="AN1921" i="24"/>
  <c r="AM1921" i="24"/>
  <c r="AL1921" i="24"/>
  <c r="AK1921" i="24"/>
  <c r="AM1646" i="24"/>
  <c r="AL1646" i="24"/>
  <c r="AK1646" i="24"/>
  <c r="AN1646" i="24"/>
  <c r="AL1867" i="24"/>
  <c r="AK1867" i="24"/>
  <c r="AN1867" i="24"/>
  <c r="AM1867" i="24"/>
  <c r="AM1929" i="24"/>
  <c r="AK1929" i="24"/>
  <c r="AL1929" i="24"/>
  <c r="AN1929" i="24"/>
  <c r="AM1765" i="24"/>
  <c r="AL1765" i="24"/>
  <c r="AK1765" i="24"/>
  <c r="AN1765" i="24"/>
  <c r="AM1719" i="24"/>
  <c r="AL1719" i="24"/>
  <c r="AK1719" i="24"/>
  <c r="AN1719" i="24"/>
  <c r="AN2006" i="24"/>
  <c r="AM2006" i="24"/>
  <c r="AL2006" i="24"/>
  <c r="AK2006" i="24"/>
  <c r="AK1812" i="24"/>
  <c r="AN1812" i="24"/>
  <c r="AM1812" i="24"/>
  <c r="AL1812" i="24"/>
  <c r="AK1647" i="24"/>
  <c r="AN1647" i="24"/>
  <c r="AM1647" i="24"/>
  <c r="AL1647" i="24"/>
  <c r="AN1704" i="24"/>
  <c r="AL1704" i="24"/>
  <c r="AK1704" i="24"/>
  <c r="AM1704" i="24"/>
  <c r="AN2009" i="24"/>
  <c r="AM2009" i="24"/>
  <c r="AL2009" i="24"/>
  <c r="AK2009" i="24"/>
  <c r="AM1707" i="24"/>
  <c r="AL1707" i="24"/>
  <c r="AK1707" i="24"/>
  <c r="AN1707" i="24"/>
  <c r="AN1790" i="24"/>
  <c r="AL1790" i="24"/>
  <c r="AK1790" i="24"/>
  <c r="AM1790" i="24"/>
  <c r="AN2010" i="24"/>
  <c r="AM2010" i="24"/>
  <c r="AL2010" i="24"/>
  <c r="AK2010" i="24"/>
  <c r="AL1667" i="24"/>
  <c r="AK1667" i="24"/>
  <c r="AN1667" i="24"/>
  <c r="AM1667" i="24"/>
  <c r="AN1628" i="24"/>
  <c r="AM1628" i="24"/>
  <c r="AL1628" i="24"/>
  <c r="AK1628" i="24"/>
  <c r="AL1846" i="24"/>
  <c r="AK1846" i="24"/>
  <c r="AN1846" i="24"/>
  <c r="AM1846" i="24"/>
  <c r="AM1727" i="24"/>
  <c r="AL1727" i="24"/>
  <c r="AK1727" i="24"/>
  <c r="AN1727" i="24"/>
  <c r="AN1801" i="24"/>
  <c r="AM1801" i="24"/>
  <c r="AL1801" i="24"/>
  <c r="AK1801" i="24"/>
  <c r="AN1893" i="24"/>
  <c r="AM1893" i="24"/>
  <c r="AL1893" i="24"/>
  <c r="AK1893" i="24"/>
  <c r="AN1858" i="24"/>
  <c r="AK1858" i="24"/>
  <c r="AL1858" i="24"/>
  <c r="AM1858" i="24"/>
  <c r="AL1631" i="24"/>
  <c r="AN1631" i="24"/>
  <c r="AM1631" i="24"/>
  <c r="AK1631" i="24"/>
  <c r="AM1875" i="24"/>
  <c r="AN1875" i="24"/>
  <c r="AK1875" i="24"/>
  <c r="AL1875" i="24"/>
  <c r="AM1764" i="24"/>
  <c r="AN1764" i="24"/>
  <c r="AK1764" i="24"/>
  <c r="AL1764" i="24"/>
  <c r="AK1974" i="24"/>
  <c r="AN1974" i="24"/>
  <c r="AM1974" i="24"/>
  <c r="AL1974" i="24"/>
  <c r="AN1989" i="24"/>
  <c r="AM1989" i="24"/>
  <c r="AL1989" i="24"/>
  <c r="AK1989" i="24"/>
  <c r="AN1702" i="24"/>
  <c r="AK1702" i="24"/>
  <c r="AM1702" i="24"/>
  <c r="AL1702" i="24"/>
  <c r="AL1992" i="24"/>
  <c r="AK1992" i="24"/>
  <c r="AN1992" i="24"/>
  <c r="AM1992" i="24"/>
  <c r="AL1696" i="24"/>
  <c r="AN1696" i="24"/>
  <c r="AM1696" i="24"/>
  <c r="AK1696" i="24"/>
  <c r="AN1710" i="24"/>
  <c r="AL1710" i="24"/>
  <c r="AK1710" i="24"/>
  <c r="AM1710" i="24"/>
  <c r="AN1676" i="24"/>
  <c r="AL1676" i="24"/>
  <c r="AK1676" i="24"/>
  <c r="AM1676" i="24"/>
  <c r="AM1960" i="24"/>
  <c r="AK1960" i="24"/>
  <c r="AL1960" i="24"/>
  <c r="AN1960" i="24"/>
  <c r="AN1852" i="24"/>
  <c r="AM1852" i="24"/>
  <c r="AK1852" i="24"/>
  <c r="AL1852" i="24"/>
  <c r="AN1865" i="24"/>
  <c r="AM1865" i="24"/>
  <c r="AL1865" i="24"/>
  <c r="AK1865" i="24"/>
  <c r="AN1725" i="24"/>
  <c r="AL1725" i="24"/>
  <c r="AK1725" i="24"/>
  <c r="AM1725" i="24"/>
  <c r="AK1686" i="24"/>
  <c r="AN1686" i="24"/>
  <c r="AM1686" i="24"/>
  <c r="AL1686" i="24"/>
  <c r="AN1762" i="24"/>
  <c r="AL1762" i="24"/>
  <c r="AK1762" i="24"/>
  <c r="AM1762" i="24"/>
  <c r="AL1729" i="24"/>
  <c r="AK1729" i="24"/>
  <c r="AM1729" i="24"/>
  <c r="AN1729" i="24"/>
  <c r="AK1982" i="24"/>
  <c r="AN1982" i="24"/>
  <c r="AM1982" i="24"/>
  <c r="AL1982" i="24"/>
  <c r="AN1701" i="24"/>
  <c r="AL1701" i="24"/>
  <c r="AK1701" i="24"/>
  <c r="AM1701" i="24"/>
  <c r="AK1739" i="24"/>
  <c r="AM1739" i="24"/>
  <c r="AL1739" i="24"/>
  <c r="AN1739" i="24"/>
  <c r="AM1681" i="24"/>
  <c r="AK1681" i="24"/>
  <c r="AL1681" i="24"/>
  <c r="AN1681" i="24"/>
  <c r="AN1792" i="24"/>
  <c r="AL1792" i="24"/>
  <c r="AM1792" i="24"/>
  <c r="AK1792" i="24"/>
  <c r="AN1640" i="24"/>
  <c r="AK1640" i="24"/>
  <c r="AL1640" i="24"/>
  <c r="AM1640" i="24"/>
  <c r="AN1840" i="24"/>
  <c r="AM1840" i="24"/>
  <c r="AL1840" i="24"/>
  <c r="AK1840" i="24"/>
  <c r="AM1955" i="24"/>
  <c r="AL1955" i="24"/>
  <c r="AN1955" i="24"/>
  <c r="AK1955" i="24"/>
  <c r="AN1843" i="24"/>
  <c r="AM1843" i="24"/>
  <c r="AL1843" i="24"/>
  <c r="AK1843" i="24"/>
  <c r="AM1644" i="24"/>
  <c r="AL1644" i="24"/>
  <c r="AK1644" i="24"/>
  <c r="AN1644" i="24"/>
  <c r="AK1721" i="24"/>
  <c r="AM1721" i="24"/>
  <c r="AL1721" i="24"/>
  <c r="AN1721" i="24"/>
  <c r="AL1741" i="24"/>
  <c r="AK1741" i="24"/>
  <c r="AN1741" i="24"/>
  <c r="AM1741" i="24"/>
  <c r="AL1886" i="24"/>
  <c r="AN1886" i="24"/>
  <c r="AM1886" i="24"/>
  <c r="AK1886" i="24"/>
  <c r="AN1770" i="24"/>
  <c r="AM1770" i="24"/>
  <c r="AL1770" i="24"/>
  <c r="AK1770" i="24"/>
  <c r="AO1995" i="24"/>
  <c r="AR1995" i="24" s="1"/>
  <c r="AN1913" i="24"/>
  <c r="AL1913" i="24"/>
  <c r="AK1913" i="24"/>
  <c r="AM1913" i="24"/>
  <c r="AN1754" i="24"/>
  <c r="AL1754" i="24"/>
  <c r="AM1754" i="24"/>
  <c r="AK1754" i="24"/>
  <c r="AN1737" i="24"/>
  <c r="AM1737" i="24"/>
  <c r="AL1737" i="24"/>
  <c r="AK1737" i="24"/>
  <c r="AL1650" i="24"/>
  <c r="AK1650" i="24"/>
  <c r="AN1650" i="24"/>
  <c r="AM1650" i="24"/>
  <c r="AK1691" i="24"/>
  <c r="AL1691" i="24"/>
  <c r="AN1691" i="24"/>
  <c r="AM1691" i="24"/>
  <c r="AN1730" i="24"/>
  <c r="AM1730" i="24"/>
  <c r="AL1730" i="24"/>
  <c r="AK1730" i="24"/>
  <c r="AN1816" i="24"/>
  <c r="AK1816" i="24"/>
  <c r="AM1816" i="24"/>
  <c r="AL1816" i="24"/>
  <c r="AK1693" i="24"/>
  <c r="AL1693" i="24"/>
  <c r="AN1693" i="24"/>
  <c r="AM1693" i="24"/>
  <c r="AN1632" i="24"/>
  <c r="AM1632" i="24"/>
  <c r="AL1632" i="24"/>
  <c r="AK1632" i="24"/>
  <c r="AM1685" i="24"/>
  <c r="AK1685" i="24"/>
  <c r="AL1685" i="24"/>
  <c r="AN1685" i="24"/>
  <c r="AK1872" i="24"/>
  <c r="AN1872" i="24"/>
  <c r="AM1872" i="24"/>
  <c r="AL1872" i="24"/>
  <c r="AN1915" i="24"/>
  <c r="AM1915" i="24"/>
  <c r="AK1915" i="24"/>
  <c r="AL1915" i="24"/>
  <c r="AN1850" i="24"/>
  <c r="AL1850" i="24"/>
  <c r="AK1850" i="24"/>
  <c r="AM1850" i="24"/>
  <c r="AM1819" i="24"/>
  <c r="AL1819" i="24"/>
  <c r="AN1819" i="24"/>
  <c r="AK1819" i="24"/>
  <c r="AL1778" i="24"/>
  <c r="AK1778" i="24"/>
  <c r="AN1778" i="24"/>
  <c r="AM1778" i="24"/>
  <c r="AL1833" i="24"/>
  <c r="AN1833" i="24"/>
  <c r="AK1833" i="24"/>
  <c r="AM1833" i="24"/>
  <c r="AK1866" i="24"/>
  <c r="AL1866" i="24"/>
  <c r="AN1866" i="24"/>
  <c r="AM1866" i="24"/>
  <c r="AM1948" i="24"/>
  <c r="AL1948" i="24"/>
  <c r="AK1948" i="24"/>
  <c r="AN1948" i="24"/>
  <c r="AN1887" i="24"/>
  <c r="AM1887" i="24"/>
  <c r="AL1887" i="24"/>
  <c r="AK1887" i="24"/>
  <c r="AN1665" i="24"/>
  <c r="AL1665" i="24"/>
  <c r="AM1665" i="24"/>
  <c r="AK1665" i="24"/>
  <c r="AM1937" i="24"/>
  <c r="AK1937" i="24"/>
  <c r="AN1937" i="24"/>
  <c r="AL1937" i="24"/>
  <c r="AN1774" i="24"/>
  <c r="AM1774" i="24"/>
  <c r="AL1774" i="24"/>
  <c r="AK1774" i="24"/>
  <c r="AL1697" i="24"/>
  <c r="AM1697" i="24"/>
  <c r="AN1697" i="24"/>
  <c r="AK1697" i="24"/>
  <c r="AL1932" i="24"/>
  <c r="AK1932" i="24"/>
  <c r="AN1932" i="24"/>
  <c r="AM1932" i="24"/>
  <c r="AL1976" i="24"/>
  <c r="AK1976" i="24"/>
  <c r="AN1976" i="24"/>
  <c r="AM1976" i="24"/>
  <c r="AN1672" i="24"/>
  <c r="AL1672" i="24"/>
  <c r="AK1672" i="24"/>
  <c r="AM1672" i="24"/>
  <c r="AK1804" i="24"/>
  <c r="AM1804" i="24"/>
  <c r="AN1804" i="24"/>
  <c r="AL1804" i="24"/>
  <c r="AN1752" i="24"/>
  <c r="AK1752" i="24"/>
  <c r="AM1752" i="24"/>
  <c r="AL1752" i="24"/>
  <c r="AN1720" i="24"/>
  <c r="AM1720" i="24"/>
  <c r="AL1720" i="24"/>
  <c r="AK1720" i="24"/>
  <c r="AN1811" i="24"/>
  <c r="AM1811" i="24"/>
  <c r="AL1811" i="24"/>
  <c r="AK1811" i="24"/>
  <c r="AM1766" i="24"/>
  <c r="AK1766" i="24"/>
  <c r="AL1766" i="24"/>
  <c r="AN1766" i="24"/>
  <c r="AK1963" i="24"/>
  <c r="AM1963" i="24"/>
  <c r="AL1963" i="24"/>
  <c r="AN1963" i="24"/>
  <c r="AK1901" i="24"/>
  <c r="AL1901" i="24"/>
  <c r="AN1901" i="24"/>
  <c r="AM1901" i="24"/>
  <c r="AK1854" i="24"/>
  <c r="AL1854" i="24"/>
  <c r="AN1854" i="24"/>
  <c r="AM1854" i="24"/>
  <c r="AK1643" i="24"/>
  <c r="AN1643" i="24"/>
  <c r="AM1643" i="24"/>
  <c r="AL1643" i="24"/>
  <c r="AK1678" i="24"/>
  <c r="AN1678" i="24"/>
  <c r="AM1678" i="24"/>
  <c r="AL1678" i="24"/>
  <c r="AN1824" i="24"/>
  <c r="AL1824" i="24"/>
  <c r="AM1824" i="24"/>
  <c r="AK1824" i="24"/>
  <c r="AK1734" i="24"/>
  <c r="AN1734" i="24"/>
  <c r="AM1734" i="24"/>
  <c r="AL1734" i="24"/>
  <c r="AN1748" i="24"/>
  <c r="AL1748" i="24"/>
  <c r="AK1748" i="24"/>
  <c r="AM1748" i="24"/>
  <c r="AN1722" i="24"/>
  <c r="AM1722" i="24"/>
  <c r="AL1722" i="24"/>
  <c r="AK1722" i="24"/>
  <c r="AK1674" i="24"/>
  <c r="AN1674" i="24"/>
  <c r="AM1674" i="24"/>
  <c r="AL1674" i="24"/>
  <c r="AL1698" i="24"/>
  <c r="AM1698" i="24"/>
  <c r="AK1698" i="24"/>
  <c r="AN1698" i="24"/>
  <c r="AL1917" i="24"/>
  <c r="AK1917" i="24"/>
  <c r="AN1917" i="24"/>
  <c r="AM1917" i="24"/>
  <c r="AM1688" i="24"/>
  <c r="AL1688" i="24"/>
  <c r="AK1688" i="24"/>
  <c r="AN1688" i="24"/>
  <c r="AN1990" i="24"/>
  <c r="AM1990" i="24"/>
  <c r="AL1990" i="24"/>
  <c r="AK1990" i="24"/>
  <c r="AN1694" i="24"/>
  <c r="AM1694" i="24"/>
  <c r="AL1694" i="24"/>
  <c r="AK1694" i="24"/>
  <c r="AN1985" i="24"/>
  <c r="AM1985" i="24"/>
  <c r="AL1985" i="24"/>
  <c r="AK1985" i="24"/>
  <c r="AN1724" i="24"/>
  <c r="AM1724" i="24"/>
  <c r="AL1724" i="24"/>
  <c r="AK1724" i="24"/>
  <c r="AN1970" i="24"/>
  <c r="AL1970" i="24"/>
  <c r="AK1970" i="24"/>
  <c r="AM1970" i="24"/>
  <c r="AN1883" i="24"/>
  <c r="AM1883" i="24"/>
  <c r="AK1883" i="24"/>
  <c r="AL1883" i="24"/>
  <c r="AN1898" i="24"/>
  <c r="AL1898" i="24"/>
  <c r="AK1898" i="24"/>
  <c r="AM1898" i="24"/>
  <c r="AK1625" i="24"/>
  <c r="AL1625" i="24"/>
  <c r="AM1625" i="24"/>
  <c r="AN1625" i="24"/>
  <c r="AN1864" i="24"/>
  <c r="AM1864" i="24"/>
  <c r="AL1864" i="24"/>
  <c r="AK1864" i="24"/>
  <c r="AM1996" i="24"/>
  <c r="AL1996" i="24"/>
  <c r="AK1996" i="24"/>
  <c r="AN1996" i="24"/>
  <c r="AK1783" i="24"/>
  <c r="AN1783" i="24"/>
  <c r="AM1783" i="24"/>
  <c r="AL1783" i="24"/>
  <c r="AN1991" i="24"/>
  <c r="AM1991" i="24"/>
  <c r="AL1991" i="24"/>
  <c r="AK1991" i="24"/>
  <c r="AN1744" i="24"/>
  <c r="AM1744" i="24"/>
  <c r="AL1744" i="24"/>
  <c r="AK1744" i="24"/>
  <c r="AK1959" i="24"/>
  <c r="AN1959" i="24"/>
  <c r="AM1959" i="24"/>
  <c r="AL1959" i="24"/>
  <c r="AL1922" i="24"/>
  <c r="AM1922" i="24"/>
  <c r="AK1922" i="24"/>
  <c r="AN1922" i="24"/>
  <c r="AN1954" i="24"/>
  <c r="AL1954" i="24"/>
  <c r="AK1954" i="24"/>
  <c r="AM1954" i="24"/>
  <c r="AN1763" i="24"/>
  <c r="AM1763" i="24"/>
  <c r="AL1763" i="24"/>
  <c r="AK1763" i="24"/>
  <c r="AN1892" i="24"/>
  <c r="AM1892" i="24"/>
  <c r="AL1892" i="24"/>
  <c r="AK1892" i="24"/>
  <c r="AN1910" i="24"/>
  <c r="AL1910" i="24"/>
  <c r="AM1910" i="24"/>
  <c r="AK1910" i="24"/>
  <c r="AK1820" i="24"/>
  <c r="AL1820" i="24"/>
  <c r="AM1820" i="24"/>
  <c r="AN1820" i="24"/>
  <c r="AL1753" i="24"/>
  <c r="AK1753" i="24"/>
  <c r="AN1753" i="24"/>
  <c r="AM1753" i="24"/>
  <c r="AN1999" i="24"/>
  <c r="AM1999" i="24"/>
  <c r="AL1999" i="24"/>
  <c r="AK1999" i="24"/>
  <c r="AN1732" i="24"/>
  <c r="AM1732" i="24"/>
  <c r="AL1732" i="24"/>
  <c r="AK1732" i="24"/>
  <c r="AK1666" i="24"/>
  <c r="AM1666" i="24"/>
  <c r="AL1666" i="24"/>
  <c r="AN1666" i="24"/>
  <c r="AN1805" i="24"/>
  <c r="AM1805" i="24"/>
  <c r="AL1805" i="24"/>
  <c r="AK1805" i="24"/>
  <c r="AM1967" i="24"/>
  <c r="AL1967" i="24"/>
  <c r="AK1967" i="24"/>
  <c r="AN1967" i="24"/>
  <c r="AK1934" i="24"/>
  <c r="AL1934" i="24"/>
  <c r="AN1934" i="24"/>
  <c r="AM1934" i="24"/>
  <c r="AN1826" i="24"/>
  <c r="AM1826" i="24"/>
  <c r="AL1826" i="24"/>
  <c r="AK1826" i="24"/>
  <c r="AM1958" i="24"/>
  <c r="AN1958" i="24"/>
  <c r="AL1958" i="24"/>
  <c r="AK1958" i="24"/>
  <c r="AL1878" i="24"/>
  <c r="AN1878" i="24"/>
  <c r="AM1878" i="24"/>
  <c r="AK1878" i="24"/>
  <c r="AK1936" i="24"/>
  <c r="AN1936" i="24"/>
  <c r="AM1936" i="24"/>
  <c r="AL1936" i="24"/>
  <c r="AM2007" i="24"/>
  <c r="AL2007" i="24"/>
  <c r="AK2007" i="24"/>
  <c r="AN2007" i="24"/>
  <c r="AN1740" i="24"/>
  <c r="AK1740" i="24"/>
  <c r="AM1740" i="24"/>
  <c r="AL1740" i="24"/>
  <c r="AM1803" i="24"/>
  <c r="AL1803" i="24"/>
  <c r="AK1803" i="24"/>
  <c r="AN1803" i="24"/>
  <c r="AK1653" i="24"/>
  <c r="AN1653" i="24"/>
  <c r="AM1653" i="24"/>
  <c r="AL1653" i="24"/>
  <c r="AN1717" i="24"/>
  <c r="AL1717" i="24"/>
  <c r="AK1717" i="24"/>
  <c r="AM1717" i="24"/>
  <c r="AM1662" i="24"/>
  <c r="AL1662" i="24"/>
  <c r="AN1662" i="24"/>
  <c r="AK1662" i="24"/>
  <c r="AO1975" i="24"/>
  <c r="AR1975" i="24" s="1"/>
  <c r="AN1822" i="24"/>
  <c r="AM1822" i="24"/>
  <c r="AL1822" i="24"/>
  <c r="AK1822" i="24"/>
  <c r="AN1835" i="24"/>
  <c r="AM1835" i="24"/>
  <c r="AL1835" i="24"/>
  <c r="AK1835" i="24"/>
  <c r="AM1633" i="24"/>
  <c r="AL1633" i="24"/>
  <c r="AK1633" i="24"/>
  <c r="AN1633" i="24"/>
  <c r="AM1924" i="24"/>
  <c r="AN1924" i="24"/>
  <c r="AL1924" i="24"/>
  <c r="AK1924" i="24"/>
  <c r="AN1980" i="24"/>
  <c r="AM1980" i="24"/>
  <c r="AL1980" i="24"/>
  <c r="AK1980" i="24"/>
  <c r="AM1677" i="24"/>
  <c r="AN1677" i="24"/>
  <c r="AL1677" i="24"/>
  <c r="AK1677" i="24"/>
  <c r="AM1950" i="24"/>
  <c r="AK1950" i="24"/>
  <c r="AN1950" i="24"/>
  <c r="AL1950" i="24"/>
  <c r="AK1807" i="24"/>
  <c r="AN1807" i="24"/>
  <c r="AM1807" i="24"/>
  <c r="AL1807" i="24"/>
  <c r="AN1957" i="24"/>
  <c r="AM1957" i="24"/>
  <c r="AL1957" i="24"/>
  <c r="AK1957" i="24"/>
  <c r="AK2008" i="24"/>
  <c r="AN2008" i="24"/>
  <c r="AM2008" i="24"/>
  <c r="AL2008" i="24"/>
  <c r="AN1903" i="24"/>
  <c r="AK1903" i="24"/>
  <c r="AL1903" i="24"/>
  <c r="AM1903" i="24"/>
  <c r="AN1986" i="24"/>
  <c r="AM1986" i="24"/>
  <c r="AL1986" i="24"/>
  <c r="AK1986" i="24"/>
  <c r="AK1831" i="24"/>
  <c r="AN1831" i="24"/>
  <c r="AM1831" i="24"/>
  <c r="AL1831" i="24"/>
  <c r="AK1874" i="24"/>
  <c r="AN1874" i="24"/>
  <c r="AM1874" i="24"/>
  <c r="AL1874" i="24"/>
  <c r="AK1908" i="24"/>
  <c r="AM1908" i="24"/>
  <c r="AL1908" i="24"/>
  <c r="AN1908" i="24"/>
  <c r="AN1972" i="24"/>
  <c r="AM1972" i="24"/>
  <c r="AL1972" i="24"/>
  <c r="AK1972" i="24"/>
  <c r="AN1911" i="24"/>
  <c r="AM1911" i="24"/>
  <c r="AK1911" i="24"/>
  <c r="AL1911" i="24"/>
  <c r="AM1933" i="24"/>
  <c r="AK1933" i="24"/>
  <c r="AN1933" i="24"/>
  <c r="AL1933" i="24"/>
  <c r="AL1947" i="24"/>
  <c r="AK1947" i="24"/>
  <c r="AN1947" i="24"/>
  <c r="AM1947" i="24"/>
  <c r="AK1645" i="24"/>
  <c r="AN1645" i="24"/>
  <c r="AM1645" i="24"/>
  <c r="AL1645" i="24"/>
  <c r="AN1705" i="24"/>
  <c r="AL1705" i="24"/>
  <c r="AK1705" i="24"/>
  <c r="AM1705" i="24"/>
  <c r="AL1654" i="24"/>
  <c r="AK1654" i="24"/>
  <c r="AN1654" i="24"/>
  <c r="AM1654" i="24"/>
  <c r="AM1851" i="24"/>
  <c r="AK1851" i="24"/>
  <c r="AL1851" i="24"/>
  <c r="AN1851" i="24"/>
  <c r="AK1736" i="24"/>
  <c r="AL1736" i="24"/>
  <c r="AN1736" i="24"/>
  <c r="AM1736" i="24"/>
  <c r="AL1668" i="24"/>
  <c r="AK1668" i="24"/>
  <c r="AM1668" i="24"/>
  <c r="AN1668" i="24"/>
  <c r="AN1638" i="24"/>
  <c r="AL1638" i="24"/>
  <c r="AK1638" i="24"/>
  <c r="AM1638" i="24"/>
  <c r="AM1869" i="24"/>
  <c r="AN1869" i="24"/>
  <c r="AL1869" i="24"/>
  <c r="AK1869" i="24"/>
  <c r="AK1938" i="24"/>
  <c r="AN1938" i="24"/>
  <c r="AL1938" i="24"/>
  <c r="AM1938" i="24"/>
  <c r="AL1706" i="24"/>
  <c r="AK1706" i="24"/>
  <c r="AM1706" i="24"/>
  <c r="AN1706" i="24"/>
  <c r="AL1961" i="24"/>
  <c r="AK1961" i="24"/>
  <c r="AN1961" i="24"/>
  <c r="AM1961" i="24"/>
  <c r="AK1759" i="24"/>
  <c r="AM1759" i="24"/>
  <c r="AL1759" i="24"/>
  <c r="AN1759" i="24"/>
  <c r="AL1813" i="24"/>
  <c r="AK1813" i="24"/>
  <c r="AN1813" i="24"/>
  <c r="AM1813" i="24"/>
  <c r="AL1916" i="24"/>
  <c r="AK1916" i="24"/>
  <c r="AM1916" i="24"/>
  <c r="AN1916" i="24"/>
  <c r="AN1779" i="24"/>
  <c r="AK1779" i="24"/>
  <c r="AL1779" i="24"/>
  <c r="AM1779" i="24"/>
  <c r="AM1629" i="24"/>
  <c r="AN1629" i="24"/>
  <c r="AK1629" i="24"/>
  <c r="AL1629" i="24"/>
  <c r="AL1799" i="24"/>
  <c r="AK1799" i="24"/>
  <c r="AN1799" i="24"/>
  <c r="AM1799" i="24"/>
  <c r="AK1965" i="24"/>
  <c r="AL1965" i="24"/>
  <c r="AN1965" i="24"/>
  <c r="AM1965" i="24"/>
  <c r="AN1630" i="24"/>
  <c r="AL1630" i="24"/>
  <c r="AM1630" i="24"/>
  <c r="AK1630" i="24"/>
  <c r="AK1641" i="24"/>
  <c r="AM1641" i="24"/>
  <c r="AN1641" i="24"/>
  <c r="AL1641" i="24"/>
  <c r="AK1808" i="24"/>
  <c r="AN1808" i="24"/>
  <c r="AM1808" i="24"/>
  <c r="AL1808" i="24"/>
  <c r="AL1944" i="24"/>
  <c r="AK1944" i="24"/>
  <c r="AN1944" i="24"/>
  <c r="AM1944" i="24"/>
  <c r="AN1789" i="24"/>
  <c r="AK1789" i="24"/>
  <c r="AM1789" i="24"/>
  <c r="AL1789" i="24"/>
  <c r="AM1731" i="24"/>
  <c r="AL1731" i="24"/>
  <c r="AK1731" i="24"/>
  <c r="AN1731" i="24"/>
  <c r="AN1649" i="24"/>
  <c r="AM1649" i="24"/>
  <c r="AL1649" i="24"/>
  <c r="AK1649" i="24"/>
  <c r="AL1652" i="24"/>
  <c r="AK1652" i="24"/>
  <c r="AN1652" i="24"/>
  <c r="AM1652" i="24"/>
  <c r="AL1894" i="24"/>
  <c r="AN1894" i="24"/>
  <c r="AM1894" i="24"/>
  <c r="AK1894" i="24"/>
  <c r="AN1700" i="24"/>
  <c r="AL1700" i="24"/>
  <c r="AM1700" i="24"/>
  <c r="AK1700" i="24"/>
  <c r="AL1703" i="24"/>
  <c r="AK1703" i="24"/>
  <c r="AN1703" i="24"/>
  <c r="AM1703" i="24"/>
  <c r="AL1900" i="24"/>
  <c r="AN1900" i="24"/>
  <c r="AM1900" i="24"/>
  <c r="AK1900" i="24"/>
  <c r="AL1987" i="24"/>
  <c r="AK1987" i="24"/>
  <c r="AN1987" i="24"/>
  <c r="AM1987" i="24"/>
  <c r="AL1923" i="24"/>
  <c r="AM1923" i="24"/>
  <c r="AK1923" i="24"/>
  <c r="AN1923" i="24"/>
  <c r="AO1656" i="24"/>
  <c r="AR1656" i="24" s="1"/>
  <c r="AN1978" i="24"/>
  <c r="AM1978" i="24"/>
  <c r="AL1978" i="24"/>
  <c r="AK1978" i="24"/>
  <c r="AM1905" i="24"/>
  <c r="AL1905" i="24"/>
  <c r="AK1905" i="24"/>
  <c r="AN1905" i="24"/>
  <c r="AL2004" i="24"/>
  <c r="AK2004" i="24"/>
  <c r="AN2004" i="24"/>
  <c r="AM2004" i="24"/>
  <c r="AN1787" i="24"/>
  <c r="AK1787" i="24"/>
  <c r="AM1787" i="24"/>
  <c r="AL1787" i="24"/>
  <c r="AO1738" i="24"/>
  <c r="AR1738" i="24" s="1"/>
  <c r="AM1695" i="24"/>
  <c r="AK1695" i="24"/>
  <c r="AN1695" i="24"/>
  <c r="AL1695" i="24"/>
  <c r="AK1743" i="24"/>
  <c r="AL1743" i="24"/>
  <c r="AM1743" i="24"/>
  <c r="AN1743" i="24"/>
  <c r="AL1993" i="24"/>
  <c r="AK1993" i="24"/>
  <c r="AN1993" i="24"/>
  <c r="AM1993" i="24"/>
  <c r="AL1890" i="24"/>
  <c r="AN1890" i="24"/>
  <c r="AM1890" i="24"/>
  <c r="AK1890" i="24"/>
  <c r="AM1845" i="24"/>
  <c r="AN1845" i="24"/>
  <c r="AK1845" i="24"/>
  <c r="AL1845" i="24"/>
  <c r="AN1862" i="24"/>
  <c r="AM1862" i="24"/>
  <c r="AL1862" i="24"/>
  <c r="AK1862" i="24"/>
  <c r="AL1828" i="24"/>
  <c r="AK1828" i="24"/>
  <c r="AN1828" i="24"/>
  <c r="AM1828" i="24"/>
  <c r="AM1768" i="24"/>
  <c r="AN1768" i="24"/>
  <c r="AK1768" i="24"/>
  <c r="AL1768" i="24"/>
  <c r="AM1683" i="24"/>
  <c r="AL1683" i="24"/>
  <c r="AK1683" i="24"/>
  <c r="AN1683" i="24"/>
  <c r="AM1776" i="24"/>
  <c r="AL1776" i="24"/>
  <c r="AK1776" i="24"/>
  <c r="AN1776" i="24"/>
  <c r="AK1682" i="24"/>
  <c r="AN1682" i="24"/>
  <c r="AM1682" i="24"/>
  <c r="AL1682" i="24"/>
  <c r="AN1821" i="24"/>
  <c r="AM1821" i="24"/>
  <c r="AL1821" i="24"/>
  <c r="AK1821" i="24"/>
  <c r="AQ16" i="13"/>
  <c r="Q4" i="13" s="1"/>
  <c r="AP16" i="13"/>
  <c r="R38" i="13"/>
  <c r="T38" i="13" s="1"/>
  <c r="R37" i="13"/>
  <c r="T37" i="13" s="1"/>
  <c r="E32" i="28"/>
  <c r="E30" i="28"/>
  <c r="AQ21" i="13"/>
  <c r="Q5" i="13" s="1"/>
  <c r="C31" i="4"/>
  <c r="AO1873" i="24" l="1"/>
  <c r="AR1873" i="24" s="1"/>
  <c r="AO1918" i="24"/>
  <c r="AR1918" i="24" s="1"/>
  <c r="AB38" i="13"/>
  <c r="AE38" i="13"/>
  <c r="AB37" i="13"/>
  <c r="AE37" i="13"/>
  <c r="AO1838" i="24"/>
  <c r="AR1838" i="24" s="1"/>
  <c r="AO1896" i="24"/>
  <c r="AR1896" i="24" s="1"/>
  <c r="AO1997" i="24"/>
  <c r="AR1997" i="24" s="1"/>
  <c r="AO1624" i="24"/>
  <c r="AR1624" i="24" s="1"/>
  <c r="AO1809" i="24"/>
  <c r="AR1809" i="24" s="1"/>
  <c r="AO1969" i="24"/>
  <c r="AR1969" i="24" s="1"/>
  <c r="AO1742" i="24"/>
  <c r="AR1742" i="24" s="1"/>
  <c r="AO1755" i="24"/>
  <c r="AR1755" i="24" s="1"/>
  <c r="AO1964" i="24"/>
  <c r="AR1964" i="24" s="1"/>
  <c r="AO1800" i="24"/>
  <c r="AR1800" i="24" s="1"/>
  <c r="AO1773" i="24"/>
  <c r="AR1773" i="24" s="1"/>
  <c r="AO1648" i="24"/>
  <c r="AR1648" i="24" s="1"/>
  <c r="AO1930" i="24"/>
  <c r="AR1930" i="24" s="1"/>
  <c r="AO1837" i="24"/>
  <c r="AR1837" i="24" s="1"/>
  <c r="AO1943" i="24"/>
  <c r="AR1943" i="24" s="1"/>
  <c r="AO1751" i="24"/>
  <c r="AR1751" i="24" s="1"/>
  <c r="AO1767" i="24"/>
  <c r="AR1767" i="24" s="1"/>
  <c r="AO1687" i="24"/>
  <c r="AR1687" i="24" s="1"/>
  <c r="AO1660" i="24"/>
  <c r="AR1660" i="24" s="1"/>
  <c r="AO1780" i="24"/>
  <c r="AR1780" i="24" s="1"/>
  <c r="AO1671" i="24"/>
  <c r="AR1671" i="24" s="1"/>
  <c r="AO1981" i="24"/>
  <c r="AR1981" i="24" s="1"/>
  <c r="AO1735" i="24"/>
  <c r="AR1735" i="24" s="1"/>
  <c r="AO1941" i="24"/>
  <c r="AR1941" i="24" s="1"/>
  <c r="AO1663" i="24"/>
  <c r="AR1663" i="24" s="1"/>
  <c r="AO1940" i="24"/>
  <c r="AR1940" i="24" s="1"/>
  <c r="AO1745" i="24"/>
  <c r="AR1745" i="24" s="1"/>
  <c r="AO1661" i="24"/>
  <c r="AR1661" i="24" s="1"/>
  <c r="AO1712" i="24"/>
  <c r="AR1712" i="24" s="1"/>
  <c r="AO1823" i="24"/>
  <c r="AR1823" i="24" s="1"/>
  <c r="AO2001" i="24"/>
  <c r="AR2001" i="24" s="1"/>
  <c r="AO1794" i="24"/>
  <c r="AR1794" i="24" s="1"/>
  <c r="AO1847" i="24"/>
  <c r="AR1847" i="24" s="1"/>
  <c r="AO1810" i="24"/>
  <c r="AR1810" i="24" s="1"/>
  <c r="AO1848" i="24"/>
  <c r="AR1848" i="24" s="1"/>
  <c r="AO1726" i="24"/>
  <c r="AR1726" i="24" s="1"/>
  <c r="AO1830" i="24"/>
  <c r="AR1830" i="24" s="1"/>
  <c r="AO1829" i="24"/>
  <c r="AR1829" i="24" s="1"/>
  <c r="AO1815" i="24"/>
  <c r="AR1815" i="24" s="1"/>
  <c r="AO1904" i="24"/>
  <c r="AR1904" i="24" s="1"/>
  <c r="AO1747" i="24"/>
  <c r="AR1747" i="24" s="1"/>
  <c r="AO1806" i="24"/>
  <c r="AR1806" i="24" s="1"/>
  <c r="AO1690" i="24"/>
  <c r="AR1690" i="24" s="1"/>
  <c r="AO1716" i="24"/>
  <c r="AR1716" i="24" s="1"/>
  <c r="AO1885" i="24"/>
  <c r="AR1885" i="24" s="1"/>
  <c r="AO1863" i="24"/>
  <c r="AR1863" i="24" s="1"/>
  <c r="AO1949" i="24"/>
  <c r="AR1949" i="24" s="1"/>
  <c r="AO1689" i="24"/>
  <c r="AR1689" i="24" s="1"/>
  <c r="AO1891" i="24"/>
  <c r="AR1891" i="24" s="1"/>
  <c r="AO1793" i="24"/>
  <c r="AR1793" i="24" s="1"/>
  <c r="AO1699" i="24"/>
  <c r="AR1699" i="24" s="1"/>
  <c r="AO1728" i="24"/>
  <c r="AR1728" i="24" s="1"/>
  <c r="AO1841" i="24"/>
  <c r="AR1841" i="24" s="1"/>
  <c r="AO1669" i="24"/>
  <c r="AR1669" i="24" s="1"/>
  <c r="AO1907" i="24"/>
  <c r="AR1907" i="24" s="1"/>
  <c r="AO1853" i="24"/>
  <c r="AR1853" i="24" s="1"/>
  <c r="AO1746" i="24"/>
  <c r="AR1746" i="24" s="1"/>
  <c r="AO1909" i="24"/>
  <c r="AR1909" i="24" s="1"/>
  <c r="AO1883" i="24"/>
  <c r="AR1883" i="24" s="1"/>
  <c r="AO1688" i="24"/>
  <c r="AR1688" i="24" s="1"/>
  <c r="AO1672" i="24"/>
  <c r="AR1672" i="24" s="1"/>
  <c r="AO1657" i="24"/>
  <c r="AR1657" i="24" s="1"/>
  <c r="AO1714" i="24"/>
  <c r="AR1714" i="24" s="1"/>
  <c r="AO1905" i="24"/>
  <c r="AR1905" i="24" s="1"/>
  <c r="AO1962" i="24"/>
  <c r="AR1962" i="24" s="1"/>
  <c r="AO1942" i="24"/>
  <c r="AR1942" i="24" s="1"/>
  <c r="AO1968" i="24"/>
  <c r="AR1968" i="24" s="1"/>
  <c r="AO1802" i="24"/>
  <c r="AR1802" i="24" s="1"/>
  <c r="AO1679" i="24"/>
  <c r="AR1679" i="24" s="1"/>
  <c r="AO1986" i="24"/>
  <c r="AR1986" i="24" s="1"/>
  <c r="AO1957" i="24"/>
  <c r="AR1957" i="24" s="1"/>
  <c r="AO1677" i="24"/>
  <c r="AR1677" i="24" s="1"/>
  <c r="AO1694" i="24"/>
  <c r="AR1694" i="24" s="1"/>
  <c r="AO1722" i="24"/>
  <c r="AR1722" i="24" s="1"/>
  <c r="AO1824" i="24"/>
  <c r="AR1824" i="24" s="1"/>
  <c r="AO1766" i="24"/>
  <c r="AR1766" i="24" s="1"/>
  <c r="AO1774" i="24"/>
  <c r="AR1774" i="24" s="1"/>
  <c r="AO1887" i="24"/>
  <c r="AR1887" i="24" s="1"/>
  <c r="AO1858" i="24"/>
  <c r="AR1858" i="24" s="1"/>
  <c r="AO1978" i="24"/>
  <c r="AR1978" i="24" s="1"/>
  <c r="AO1760" i="24"/>
  <c r="AR1760" i="24" s="1"/>
  <c r="AO1761" i="24"/>
  <c r="AR1761" i="24" s="1"/>
  <c r="AO1630" i="24"/>
  <c r="AR1630" i="24" s="1"/>
  <c r="AO1869" i="24"/>
  <c r="AR1869" i="24" s="1"/>
  <c r="AO1754" i="24"/>
  <c r="AR1754" i="24" s="1"/>
  <c r="AO1629" i="24"/>
  <c r="AR1629" i="24" s="1"/>
  <c r="AO1732" i="24"/>
  <c r="AR1732" i="24" s="1"/>
  <c r="AO1763" i="24"/>
  <c r="AR1763" i="24" s="1"/>
  <c r="AO1790" i="24"/>
  <c r="AR1790" i="24" s="1"/>
  <c r="AO1704" i="24"/>
  <c r="AR1704" i="24" s="1"/>
  <c r="AO1929" i="24"/>
  <c r="AR1929" i="24" s="1"/>
  <c r="AO1646" i="24"/>
  <c r="AR1646" i="24" s="1"/>
  <c r="AO1951" i="24"/>
  <c r="AR1951" i="24" s="1"/>
  <c r="AO1914" i="24"/>
  <c r="AR1914" i="24" s="1"/>
  <c r="AO1994" i="24"/>
  <c r="AR1994" i="24" s="1"/>
  <c r="AO1675" i="24"/>
  <c r="AR1675" i="24" s="1"/>
  <c r="AO1723" i="24"/>
  <c r="AR1723" i="24" s="1"/>
  <c r="AO1895" i="24"/>
  <c r="AR1895" i="24" s="1"/>
  <c r="AO1983" i="24"/>
  <c r="AR1983" i="24" s="1"/>
  <c r="AO1825" i="24"/>
  <c r="AR1825" i="24" s="1"/>
  <c r="AO1750" i="24"/>
  <c r="AR1750" i="24" s="1"/>
  <c r="AO1836" i="24"/>
  <c r="AR1836" i="24" s="1"/>
  <c r="AO1860" i="24"/>
  <c r="AR1860" i="24" s="1"/>
  <c r="AO1776" i="24"/>
  <c r="AR1776" i="24" s="1"/>
  <c r="AO1890" i="24"/>
  <c r="AR1890" i="24" s="1"/>
  <c r="AO1779" i="24"/>
  <c r="AR1779" i="24" s="1"/>
  <c r="AO1980" i="24"/>
  <c r="AR1980" i="24" s="1"/>
  <c r="AO1835" i="24"/>
  <c r="AR1835" i="24" s="1"/>
  <c r="AO1936" i="24"/>
  <c r="AR1936" i="24" s="1"/>
  <c r="AO1954" i="24"/>
  <c r="AR1954" i="24" s="1"/>
  <c r="AO1996" i="24"/>
  <c r="AR1996" i="24" s="1"/>
  <c r="AO1724" i="24"/>
  <c r="AR1724" i="24" s="1"/>
  <c r="AO1990" i="24"/>
  <c r="AR1990" i="24" s="1"/>
  <c r="AO1811" i="24"/>
  <c r="AR1811" i="24" s="1"/>
  <c r="AO1816" i="24"/>
  <c r="AR1816" i="24" s="1"/>
  <c r="AO1650" i="24"/>
  <c r="AR1650" i="24" s="1"/>
  <c r="AO1913" i="24"/>
  <c r="AR1913" i="24" s="1"/>
  <c r="AO1701" i="24"/>
  <c r="AR1701" i="24" s="1"/>
  <c r="AO1762" i="24"/>
  <c r="AR1762" i="24" s="1"/>
  <c r="AO1875" i="24"/>
  <c r="AR1875" i="24" s="1"/>
  <c r="AO1893" i="24"/>
  <c r="AR1893" i="24" s="1"/>
  <c r="AO1667" i="24"/>
  <c r="AR1667" i="24" s="1"/>
  <c r="AO1758" i="24"/>
  <c r="AR1758" i="24" s="1"/>
  <c r="AO1945" i="24"/>
  <c r="AR1945" i="24" s="1"/>
  <c r="AO1871" i="24"/>
  <c r="AR1871" i="24" s="1"/>
  <c r="AO1956" i="24"/>
  <c r="AR1956" i="24" s="1"/>
  <c r="AO1784" i="24"/>
  <c r="AR1784" i="24" s="1"/>
  <c r="AO1797" i="24"/>
  <c r="AR1797" i="24" s="1"/>
  <c r="AO1880" i="24"/>
  <c r="AR1880" i="24" s="1"/>
  <c r="AO1906" i="24"/>
  <c r="AR1906" i="24" s="1"/>
  <c r="AO1786" i="24"/>
  <c r="AR1786" i="24" s="1"/>
  <c r="AO1856" i="24"/>
  <c r="AR1856" i="24" s="1"/>
  <c r="AO1979" i="24"/>
  <c r="AR1979" i="24" s="1"/>
  <c r="AO1939" i="24"/>
  <c r="AR1939" i="24" s="1"/>
  <c r="AO1757" i="24"/>
  <c r="AR1757" i="24" s="1"/>
  <c r="AO1733" i="24"/>
  <c r="AR1733" i="24" s="1"/>
  <c r="AO1644" i="24"/>
  <c r="AR1644" i="24" s="1"/>
  <c r="AO1676" i="24"/>
  <c r="AR1676" i="24" s="1"/>
  <c r="AO1703" i="24"/>
  <c r="AR1703" i="24" s="1"/>
  <c r="AO1652" i="24"/>
  <c r="AR1652" i="24" s="1"/>
  <c r="AO1740" i="24"/>
  <c r="AR1740" i="24" s="1"/>
  <c r="AO1700" i="24"/>
  <c r="AR1700" i="24" s="1"/>
  <c r="AO1649" i="24"/>
  <c r="AR1649" i="24" s="1"/>
  <c r="AO1641" i="24"/>
  <c r="AR1641" i="24" s="1"/>
  <c r="AO1654" i="24"/>
  <c r="AR1654" i="24" s="1"/>
  <c r="AO1958" i="24"/>
  <c r="AR1958" i="24" s="1"/>
  <c r="AO1934" i="24"/>
  <c r="AR1934" i="24" s="1"/>
  <c r="AO1753" i="24"/>
  <c r="AR1753" i="24" s="1"/>
  <c r="AO1843" i="24"/>
  <c r="AR1843" i="24" s="1"/>
  <c r="AO1812" i="24"/>
  <c r="AR1812" i="24" s="1"/>
  <c r="AO1842" i="24"/>
  <c r="AR1842" i="24" s="1"/>
  <c r="AO1785" i="24"/>
  <c r="AR1785" i="24" s="1"/>
  <c r="AO1715" i="24"/>
  <c r="AR1715" i="24" s="1"/>
  <c r="AO1926" i="24"/>
  <c r="AR1926" i="24" s="1"/>
  <c r="AO1881" i="24"/>
  <c r="AR1881" i="24" s="1"/>
  <c r="AO1623" i="24"/>
  <c r="AR1623" i="24" s="1"/>
  <c r="AO1889" i="24"/>
  <c r="AR1889" i="24" s="1"/>
  <c r="AO1993" i="24"/>
  <c r="AR1993" i="24" s="1"/>
  <c r="AO1947" i="24"/>
  <c r="AR1947" i="24" s="1"/>
  <c r="AO1950" i="24"/>
  <c r="AR1950" i="24" s="1"/>
  <c r="AO2007" i="24"/>
  <c r="AR2007" i="24" s="1"/>
  <c r="AO1666" i="24"/>
  <c r="AR1666" i="24" s="1"/>
  <c r="AO1982" i="24"/>
  <c r="AR1982" i="24" s="1"/>
  <c r="AO1686" i="24"/>
  <c r="AR1686" i="24" s="1"/>
  <c r="AO1710" i="24"/>
  <c r="AR1710" i="24" s="1"/>
  <c r="AO1974" i="24"/>
  <c r="AR1974" i="24" s="1"/>
  <c r="AO1628" i="24"/>
  <c r="AR1628" i="24" s="1"/>
  <c r="AO2006" i="24"/>
  <c r="AR2006" i="24" s="1"/>
  <c r="AO1953" i="24"/>
  <c r="AR1953" i="24" s="1"/>
  <c r="AO1626" i="24"/>
  <c r="AR1626" i="24" s="1"/>
  <c r="AO1658" i="24"/>
  <c r="AR1658" i="24" s="1"/>
  <c r="AO1882" i="24"/>
  <c r="AR1882" i="24" s="1"/>
  <c r="AO1912" i="24"/>
  <c r="AR1912" i="24" s="1"/>
  <c r="AO1919" i="24"/>
  <c r="AR1919" i="24" s="1"/>
  <c r="AO1987" i="24"/>
  <c r="AR1987" i="24" s="1"/>
  <c r="AO1831" i="24"/>
  <c r="AR1831" i="24" s="1"/>
  <c r="AO2008" i="24"/>
  <c r="AR2008" i="24" s="1"/>
  <c r="AO1674" i="24"/>
  <c r="AR1674" i="24" s="1"/>
  <c r="AO1734" i="24"/>
  <c r="AR1734" i="24" s="1"/>
  <c r="AO1643" i="24"/>
  <c r="AR1643" i="24" s="1"/>
  <c r="AO1963" i="24"/>
  <c r="AR1963" i="24" s="1"/>
  <c r="AO1866" i="24"/>
  <c r="AR1866" i="24" s="1"/>
  <c r="AO1640" i="24"/>
  <c r="AR1640" i="24" s="1"/>
  <c r="AO1680" i="24"/>
  <c r="AR1680" i="24" s="1"/>
  <c r="AO1775" i="24"/>
  <c r="AR1775" i="24" s="1"/>
  <c r="AO1839" i="24"/>
  <c r="AR1839" i="24" s="1"/>
  <c r="AO1888" i="24"/>
  <c r="AR1888" i="24" s="1"/>
  <c r="AO1818" i="24"/>
  <c r="AR1818" i="24" s="1"/>
  <c r="AO1749" i="24"/>
  <c r="AR1749" i="24" s="1"/>
  <c r="AO1771" i="24"/>
  <c r="AR1771" i="24" s="1"/>
  <c r="AO1756" i="24"/>
  <c r="AR1756" i="24" s="1"/>
  <c r="AO1768" i="24"/>
  <c r="AR1768" i="24" s="1"/>
  <c r="AO1944" i="24"/>
  <c r="AR1944" i="24" s="1"/>
  <c r="AO1813" i="24"/>
  <c r="AR1813" i="24" s="1"/>
  <c r="AO1706" i="24"/>
  <c r="AR1706" i="24" s="1"/>
  <c r="AO1653" i="24"/>
  <c r="AR1653" i="24" s="1"/>
  <c r="AO1967" i="24"/>
  <c r="AR1967" i="24" s="1"/>
  <c r="AO1872" i="24"/>
  <c r="AR1872" i="24" s="1"/>
  <c r="AO1693" i="24"/>
  <c r="AR1693" i="24" s="1"/>
  <c r="AO1725" i="24"/>
  <c r="AR1725" i="24" s="1"/>
  <c r="AO1702" i="24"/>
  <c r="AR1702" i="24" s="1"/>
  <c r="AO1764" i="24"/>
  <c r="AR1764" i="24" s="1"/>
  <c r="AO1684" i="24"/>
  <c r="AR1684" i="24" s="1"/>
  <c r="AO1966" i="24"/>
  <c r="AR1966" i="24" s="1"/>
  <c r="AO1845" i="24"/>
  <c r="AR1845" i="24" s="1"/>
  <c r="AO1787" i="24"/>
  <c r="AR1787" i="24" s="1"/>
  <c r="AO1900" i="24"/>
  <c r="AR1900" i="24" s="1"/>
  <c r="AO1894" i="24"/>
  <c r="AR1894" i="24" s="1"/>
  <c r="AO1736" i="24"/>
  <c r="AR1736" i="24" s="1"/>
  <c r="AO1705" i="24"/>
  <c r="AR1705" i="24" s="1"/>
  <c r="AO1633" i="24"/>
  <c r="AR1633" i="24" s="1"/>
  <c r="AO1662" i="24"/>
  <c r="AR1662" i="24" s="1"/>
  <c r="AO1826" i="24"/>
  <c r="AR1826" i="24" s="1"/>
  <c r="AO1970" i="24"/>
  <c r="AR1970" i="24" s="1"/>
  <c r="AO1833" i="24"/>
  <c r="AR1833" i="24" s="1"/>
  <c r="AO1850" i="24"/>
  <c r="AR1850" i="24" s="1"/>
  <c r="AO1691" i="24"/>
  <c r="AR1691" i="24" s="1"/>
  <c r="AO1955" i="24"/>
  <c r="AR1955" i="24" s="1"/>
  <c r="AO1729" i="24"/>
  <c r="AR1729" i="24" s="1"/>
  <c r="AO1960" i="24"/>
  <c r="AR1960" i="24" s="1"/>
  <c r="AO1696" i="24"/>
  <c r="AR1696" i="24" s="1"/>
  <c r="AO1902" i="24"/>
  <c r="AR1902" i="24" s="1"/>
  <c r="AO1777" i="24"/>
  <c r="AR1777" i="24" s="1"/>
  <c r="AO1925" i="24"/>
  <c r="AR1925" i="24" s="1"/>
  <c r="AO1708" i="24"/>
  <c r="AR1708" i="24" s="1"/>
  <c r="AO1834" i="24"/>
  <c r="AR1834" i="24" s="1"/>
  <c r="AO1637" i="24"/>
  <c r="AR1637" i="24" s="1"/>
  <c r="AO1814" i="24"/>
  <c r="AR1814" i="24" s="1"/>
  <c r="AO1682" i="24"/>
  <c r="AR1682" i="24" s="1"/>
  <c r="AO1731" i="24"/>
  <c r="AR1731" i="24" s="1"/>
  <c r="AO1933" i="24"/>
  <c r="AR1933" i="24" s="1"/>
  <c r="AO1803" i="24"/>
  <c r="AR1803" i="24" s="1"/>
  <c r="AO1820" i="24"/>
  <c r="AR1820" i="24" s="1"/>
  <c r="AO1959" i="24"/>
  <c r="AR1959" i="24" s="1"/>
  <c r="AO1783" i="24"/>
  <c r="AR1783" i="24" s="1"/>
  <c r="AO1625" i="24"/>
  <c r="AR1625" i="24" s="1"/>
  <c r="AO1917" i="24"/>
  <c r="AR1917" i="24" s="1"/>
  <c r="AO1752" i="24"/>
  <c r="AR1752" i="24" s="1"/>
  <c r="AO1976" i="24"/>
  <c r="AR1976" i="24" s="1"/>
  <c r="AO1721" i="24"/>
  <c r="AR1721" i="24" s="1"/>
  <c r="AO1792" i="24"/>
  <c r="AR1792" i="24" s="1"/>
  <c r="AO1739" i="24"/>
  <c r="AR1739" i="24" s="1"/>
  <c r="AO1989" i="24"/>
  <c r="AR1989" i="24" s="1"/>
  <c r="AO1921" i="24"/>
  <c r="AR1921" i="24" s="1"/>
  <c r="AO1655" i="24"/>
  <c r="AR1655" i="24" s="1"/>
  <c r="AO1827" i="24"/>
  <c r="AR1827" i="24" s="1"/>
  <c r="AO1928" i="24"/>
  <c r="AR1928" i="24" s="1"/>
  <c r="AO1984" i="24"/>
  <c r="AR1984" i="24" s="1"/>
  <c r="AO1711" i="24"/>
  <c r="AR1711" i="24" s="1"/>
  <c r="AO1639" i="24"/>
  <c r="AR1639" i="24" s="1"/>
  <c r="AO1977" i="24"/>
  <c r="AR1977" i="24" s="1"/>
  <c r="AO1743" i="24"/>
  <c r="AR1743" i="24" s="1"/>
  <c r="AO1638" i="24"/>
  <c r="AR1638" i="24" s="1"/>
  <c r="AO1908" i="24"/>
  <c r="AR1908" i="24" s="1"/>
  <c r="AO1805" i="24"/>
  <c r="AR1805" i="24" s="1"/>
  <c r="AO1999" i="24"/>
  <c r="AR1999" i="24" s="1"/>
  <c r="AO1910" i="24"/>
  <c r="AR1910" i="24" s="1"/>
  <c r="AO1744" i="24"/>
  <c r="AR1744" i="24" s="1"/>
  <c r="AO1854" i="24"/>
  <c r="AR1854" i="24" s="1"/>
  <c r="AO1685" i="24"/>
  <c r="AR1685" i="24" s="1"/>
  <c r="AO1886" i="24"/>
  <c r="AR1886" i="24" s="1"/>
  <c r="AO1865" i="24"/>
  <c r="AR1865" i="24" s="1"/>
  <c r="AO1727" i="24"/>
  <c r="AR1727" i="24" s="1"/>
  <c r="AO1707" i="24"/>
  <c r="AR1707" i="24" s="1"/>
  <c r="AO1719" i="24"/>
  <c r="AR1719" i="24" s="1"/>
  <c r="AO1844" i="24"/>
  <c r="AR1844" i="24" s="1"/>
  <c r="AO1870" i="24"/>
  <c r="AR1870" i="24" s="1"/>
  <c r="AO1636" i="24"/>
  <c r="AR1636" i="24" s="1"/>
  <c r="AO2002" i="24"/>
  <c r="AR2002" i="24" s="1"/>
  <c r="AO1651" i="24"/>
  <c r="AR1651" i="24" s="1"/>
  <c r="AO1868" i="24"/>
  <c r="AR1868" i="24" s="1"/>
  <c r="AO1635" i="24"/>
  <c r="AR1635" i="24" s="1"/>
  <c r="AO1899" i="24"/>
  <c r="AR1899" i="24" s="1"/>
  <c r="AO1973" i="24"/>
  <c r="AR1973" i="24" s="1"/>
  <c r="AO1877" i="24"/>
  <c r="AR1877" i="24" s="1"/>
  <c r="AO2005" i="24"/>
  <c r="AR2005" i="24" s="1"/>
  <c r="AO1788" i="24"/>
  <c r="AR1788" i="24" s="1"/>
  <c r="AO1828" i="24"/>
  <c r="AR1828" i="24" s="1"/>
  <c r="AO1808" i="24"/>
  <c r="AR1808" i="24" s="1"/>
  <c r="AO1965" i="24"/>
  <c r="AR1965" i="24" s="1"/>
  <c r="AO1759" i="24"/>
  <c r="AR1759" i="24" s="1"/>
  <c r="AO1851" i="24"/>
  <c r="AR1851" i="24" s="1"/>
  <c r="AO1911" i="24"/>
  <c r="AR1911" i="24" s="1"/>
  <c r="AO1878" i="24"/>
  <c r="AR1878" i="24" s="1"/>
  <c r="AO1898" i="24"/>
  <c r="AR1898" i="24" s="1"/>
  <c r="AO1698" i="24"/>
  <c r="AR1698" i="24" s="1"/>
  <c r="AO1748" i="24"/>
  <c r="AR1748" i="24" s="1"/>
  <c r="AO1948" i="24"/>
  <c r="AR1948" i="24" s="1"/>
  <c r="AO1915" i="24"/>
  <c r="AR1915" i="24" s="1"/>
  <c r="AO1632" i="24"/>
  <c r="AR1632" i="24" s="1"/>
  <c r="AO1840" i="24"/>
  <c r="AR1840" i="24" s="1"/>
  <c r="AO1647" i="24"/>
  <c r="AR1647" i="24" s="1"/>
  <c r="AO1855" i="24"/>
  <c r="AR1855" i="24" s="1"/>
  <c r="AO1713" i="24"/>
  <c r="AR1713" i="24" s="1"/>
  <c r="AO1791" i="24"/>
  <c r="AR1791" i="24" s="1"/>
  <c r="AO1988" i="24"/>
  <c r="AR1988" i="24" s="1"/>
  <c r="AO2000" i="24"/>
  <c r="AR2000" i="24" s="1"/>
  <c r="AO1695" i="24"/>
  <c r="AR1695" i="24" s="1"/>
  <c r="AO2004" i="24"/>
  <c r="AR2004" i="24" s="1"/>
  <c r="AO1923" i="24"/>
  <c r="AR1923" i="24" s="1"/>
  <c r="AO1903" i="24"/>
  <c r="AR1903" i="24" s="1"/>
  <c r="AO1717" i="24"/>
  <c r="AR1717" i="24" s="1"/>
  <c r="AO1932" i="24"/>
  <c r="AR1932" i="24" s="1"/>
  <c r="AO1937" i="24"/>
  <c r="AR1937" i="24" s="1"/>
  <c r="AO1778" i="24"/>
  <c r="AR1778" i="24" s="1"/>
  <c r="AO1730" i="24"/>
  <c r="AR1730" i="24" s="1"/>
  <c r="AO1737" i="24"/>
  <c r="AR1737" i="24" s="1"/>
  <c r="AO1681" i="24"/>
  <c r="AR1681" i="24" s="1"/>
  <c r="AO2010" i="24"/>
  <c r="AR2010" i="24" s="1"/>
  <c r="AO2009" i="24"/>
  <c r="AR2009" i="24" s="1"/>
  <c r="AO1867" i="24"/>
  <c r="AR1867" i="24" s="1"/>
  <c r="AO1861" i="24"/>
  <c r="AR1861" i="24" s="1"/>
  <c r="AO1935" i="24"/>
  <c r="AR1935" i="24" s="1"/>
  <c r="AO1927" i="24"/>
  <c r="AR1927" i="24" s="1"/>
  <c r="AO1795" i="24"/>
  <c r="AR1795" i="24" s="1"/>
  <c r="AO1817" i="24"/>
  <c r="AR1817" i="24" s="1"/>
  <c r="AO1627" i="24"/>
  <c r="AR1627" i="24" s="1"/>
  <c r="AO1998" i="24"/>
  <c r="AR1998" i="24" s="1"/>
  <c r="AO1659" i="24"/>
  <c r="AR1659" i="24" s="1"/>
  <c r="AO1897" i="24"/>
  <c r="AR1897" i="24" s="1"/>
  <c r="AO1796" i="24"/>
  <c r="AR1796" i="24" s="1"/>
  <c r="AO1821" i="24"/>
  <c r="AR1821" i="24" s="1"/>
  <c r="AO1645" i="24"/>
  <c r="AR1645" i="24" s="1"/>
  <c r="AO1874" i="24"/>
  <c r="AR1874" i="24" s="1"/>
  <c r="AO1807" i="24"/>
  <c r="AR1807" i="24" s="1"/>
  <c r="AO1892" i="24"/>
  <c r="AR1892" i="24" s="1"/>
  <c r="AO1991" i="24"/>
  <c r="AR1991" i="24" s="1"/>
  <c r="AO1864" i="24"/>
  <c r="AR1864" i="24" s="1"/>
  <c r="AO1678" i="24"/>
  <c r="AR1678" i="24" s="1"/>
  <c r="AO1901" i="24"/>
  <c r="AR1901" i="24" s="1"/>
  <c r="AO1804" i="24"/>
  <c r="AR1804" i="24" s="1"/>
  <c r="AO1741" i="24"/>
  <c r="AR1741" i="24" s="1"/>
  <c r="AO1992" i="24"/>
  <c r="AR1992" i="24" s="1"/>
  <c r="AO1765" i="24"/>
  <c r="AR1765" i="24" s="1"/>
  <c r="AO1769" i="24"/>
  <c r="AR1769" i="24" s="1"/>
  <c r="AO1781" i="24"/>
  <c r="AR1781" i="24" s="1"/>
  <c r="AO1634" i="24"/>
  <c r="AR1634" i="24" s="1"/>
  <c r="AO1952" i="24"/>
  <c r="AR1952" i="24" s="1"/>
  <c r="AO1876" i="24"/>
  <c r="AR1876" i="24" s="1"/>
  <c r="AO1664" i="24"/>
  <c r="AR1664" i="24" s="1"/>
  <c r="AO1884" i="24"/>
  <c r="AR1884" i="24" s="1"/>
  <c r="AO1832" i="24"/>
  <c r="AR1832" i="24" s="1"/>
  <c r="AO1849" i="24"/>
  <c r="AR1849" i="24" s="1"/>
  <c r="AO1931" i="24"/>
  <c r="AR1931" i="24" s="1"/>
  <c r="AO1920" i="24"/>
  <c r="AR1920" i="24" s="1"/>
  <c r="AO1859" i="24"/>
  <c r="AR1859" i="24" s="1"/>
  <c r="AO1782" i="24"/>
  <c r="AR1782" i="24" s="1"/>
  <c r="AO1683" i="24"/>
  <c r="AR1683" i="24" s="1"/>
  <c r="AO1862" i="24"/>
  <c r="AR1862" i="24" s="1"/>
  <c r="AO1789" i="24"/>
  <c r="AR1789" i="24" s="1"/>
  <c r="AO1799" i="24"/>
  <c r="AR1799" i="24" s="1"/>
  <c r="AO1916" i="24"/>
  <c r="AR1916" i="24" s="1"/>
  <c r="AO1961" i="24"/>
  <c r="AR1961" i="24" s="1"/>
  <c r="AO1938" i="24"/>
  <c r="AR1938" i="24" s="1"/>
  <c r="AO1668" i="24"/>
  <c r="AR1668" i="24" s="1"/>
  <c r="AO1972" i="24"/>
  <c r="AR1972" i="24" s="1"/>
  <c r="AO1924" i="24"/>
  <c r="AR1924" i="24" s="1"/>
  <c r="AO1822" i="24"/>
  <c r="AR1822" i="24" s="1"/>
  <c r="AO1922" i="24"/>
  <c r="AR1922" i="24" s="1"/>
  <c r="AO1985" i="24"/>
  <c r="AR1985" i="24" s="1"/>
  <c r="AO1720" i="24"/>
  <c r="AR1720" i="24" s="1"/>
  <c r="AO1697" i="24"/>
  <c r="AR1697" i="24" s="1"/>
  <c r="AO1665" i="24"/>
  <c r="AR1665" i="24" s="1"/>
  <c r="AO1819" i="24"/>
  <c r="AR1819" i="24" s="1"/>
  <c r="AO1770" i="24"/>
  <c r="AR1770" i="24" s="1"/>
  <c r="AO1852" i="24"/>
  <c r="AR1852" i="24" s="1"/>
  <c r="AO1631" i="24"/>
  <c r="AR1631" i="24" s="1"/>
  <c r="AO1801" i="24"/>
  <c r="AR1801" i="24" s="1"/>
  <c r="AO1846" i="24"/>
  <c r="AR1846" i="24" s="1"/>
  <c r="AO1709" i="24"/>
  <c r="AR1709" i="24" s="1"/>
  <c r="AO1673" i="24"/>
  <c r="AR1673" i="24" s="1"/>
  <c r="AO1772" i="24"/>
  <c r="AR1772" i="24" s="1"/>
  <c r="AO1971" i="24"/>
  <c r="AR1971" i="24" s="1"/>
  <c r="AO2003" i="24"/>
  <c r="AR2003" i="24" s="1"/>
  <c r="AO1692" i="24"/>
  <c r="AR1692" i="24" s="1"/>
  <c r="AO1798" i="24"/>
  <c r="AR1798" i="24" s="1"/>
  <c r="AO1879" i="24"/>
  <c r="AR1879" i="24" s="1"/>
  <c r="AO1946" i="24"/>
  <c r="AR1946" i="24" s="1"/>
  <c r="AO1670" i="24"/>
  <c r="AR1670" i="24" s="1"/>
  <c r="AO1718" i="24"/>
  <c r="AR1718" i="24" s="1"/>
  <c r="AP365" i="24"/>
  <c r="C32" i="4"/>
  <c r="C33" i="4" l="1"/>
  <c r="AP62" i="24" l="1"/>
  <c r="C34" i="4"/>
  <c r="C35" i="4" l="1"/>
  <c r="C36" i="4" l="1"/>
  <c r="C37" i="4" l="1"/>
  <c r="C38" i="4" l="1"/>
  <c r="C39" i="4" l="1"/>
  <c r="C40" i="4" l="1"/>
  <c r="C41" i="4" l="1"/>
  <c r="C42" i="4" l="1"/>
  <c r="C43" i="4" l="1"/>
  <c r="C44" i="4" l="1"/>
  <c r="C45" i="4" l="1"/>
  <c r="C46" i="4" l="1"/>
  <c r="C47" i="4" l="1"/>
  <c r="C48" i="4" l="1"/>
  <c r="C49" i="4" l="1"/>
  <c r="C50" i="4" l="1"/>
  <c r="C51" i="4" l="1"/>
  <c r="C52" i="4" l="1"/>
  <c r="C53" i="4" l="1"/>
  <c r="C54" i="4" l="1"/>
  <c r="C55" i="4" l="1"/>
  <c r="C56" i="4" l="1"/>
  <c r="C57" i="4" l="1"/>
  <c r="C58" i="4" l="1"/>
  <c r="C59" i="4" l="1"/>
  <c r="C60" i="4" l="1"/>
  <c r="C61" i="4" l="1"/>
  <c r="C62" i="4" l="1"/>
  <c r="C63" i="4" l="1"/>
  <c r="C64" i="4" l="1"/>
  <c r="C65" i="4" l="1"/>
  <c r="C66" i="4" l="1"/>
  <c r="C67" i="4" l="1"/>
  <c r="C68" i="4" l="1"/>
  <c r="C69" i="4" l="1"/>
  <c r="C70" i="4" l="1"/>
  <c r="C71" i="4" l="1"/>
  <c r="C72" i="4" l="1"/>
  <c r="C73" i="4" l="1"/>
  <c r="C74" i="4" l="1"/>
  <c r="C75" i="4" l="1"/>
  <c r="C76" i="4" l="1"/>
  <c r="C77" i="4" l="1"/>
  <c r="C78" i="4" l="1"/>
  <c r="C79" i="4" l="1"/>
  <c r="C80" i="4" l="1"/>
  <c r="C81" i="4" l="1"/>
  <c r="C82" i="4" l="1"/>
  <c r="C83" i="4" l="1"/>
  <c r="C84" i="4" l="1"/>
  <c r="C85" i="4" l="1"/>
  <c r="C86" i="4" l="1"/>
  <c r="C87" i="4" l="1"/>
  <c r="C88" i="4" l="1"/>
  <c r="C89" i="4" l="1"/>
  <c r="C90" i="4" l="1"/>
  <c r="C91" i="4" l="1"/>
  <c r="C92" i="4" l="1"/>
  <c r="C93" i="4" l="1"/>
  <c r="C94" i="4" l="1"/>
  <c r="C95" i="4" l="1"/>
  <c r="C96" i="4" l="1"/>
  <c r="C97" i="4" l="1"/>
  <c r="C98" i="4" l="1"/>
  <c r="C99" i="4" l="1"/>
  <c r="C100" i="4" l="1"/>
  <c r="C101" i="4" l="1"/>
  <c r="C102" i="4" l="1"/>
  <c r="C103" i="4" l="1"/>
  <c r="K104" i="4"/>
  <c r="G14" i="13"/>
  <c r="K14" i="13" l="1"/>
  <c r="P14" i="13" s="1"/>
  <c r="G12" i="13"/>
  <c r="I111" i="4" a="1"/>
  <c r="I111" i="4" s="1"/>
  <c r="E115" i="4" a="1"/>
  <c r="E115" i="4" s="1"/>
  <c r="K115" i="4" a="1"/>
  <c r="K115" i="4" s="1"/>
  <c r="K113" i="4" a="1"/>
  <c r="K113" i="4" s="1"/>
  <c r="K114" i="4" a="1"/>
  <c r="K114" i="4" s="1"/>
  <c r="K116" i="4" a="1"/>
  <c r="K116" i="4" s="1"/>
  <c r="I112" i="4" a="1"/>
  <c r="I112" i="4" s="1"/>
  <c r="I113" i="4" a="1"/>
  <c r="I113" i="4" s="1"/>
  <c r="K112" i="4" a="1"/>
  <c r="K112" i="4" s="1"/>
  <c r="E114" i="4" a="1"/>
  <c r="E114" i="4" s="1"/>
  <c r="E116" i="4" a="1"/>
  <c r="E116" i="4" s="1"/>
  <c r="L104" i="4"/>
  <c r="K117" i="4" a="1"/>
  <c r="K117" i="4" s="1"/>
  <c r="E117" i="4" a="1"/>
  <c r="E117" i="4" s="1"/>
  <c r="E113" i="4" a="1"/>
  <c r="E113" i="4" s="1"/>
  <c r="K111" i="4" a="1"/>
  <c r="K111" i="4" s="1"/>
  <c r="G19" i="13"/>
  <c r="G22" i="13"/>
  <c r="G21" i="13"/>
  <c r="G20" i="13"/>
  <c r="G23" i="13"/>
  <c r="G15" i="13"/>
  <c r="G13" i="13"/>
  <c r="G18" i="13"/>
  <c r="G17" i="13"/>
  <c r="E112" i="4" a="1"/>
  <c r="E112" i="4" s="1"/>
  <c r="G16" i="13"/>
  <c r="K16" i="13" l="1"/>
  <c r="K20" i="13"/>
  <c r="K22" i="13"/>
  <c r="K12" i="13"/>
  <c r="K19" i="13"/>
  <c r="K21" i="13"/>
  <c r="K13" i="13"/>
  <c r="R34" i="24" s="1"/>
  <c r="Y34" i="24" s="1"/>
  <c r="K17" i="13"/>
  <c r="K18" i="13"/>
  <c r="K15" i="13"/>
  <c r="K23" i="13"/>
  <c r="R1909" i="24"/>
  <c r="Y1909" i="24" s="1"/>
  <c r="R1759" i="24"/>
  <c r="Y1759" i="24" s="1"/>
  <c r="R1997" i="24"/>
  <c r="Y1997" i="24" s="1"/>
  <c r="R1887" i="24"/>
  <c r="Y1887" i="24" s="1"/>
  <c r="R1792" i="24"/>
  <c r="Y1792" i="24" s="1"/>
  <c r="R1667" i="24"/>
  <c r="Y1667" i="24" s="1"/>
  <c r="R1923" i="24"/>
  <c r="Y1923" i="24" s="1"/>
  <c r="R1756" i="24"/>
  <c r="Y1756" i="24" s="1"/>
  <c r="R1973" i="24"/>
  <c r="Y1973" i="24" s="1"/>
  <c r="R1864" i="24"/>
  <c r="Y1864" i="24" s="1"/>
  <c r="R1709" i="24"/>
  <c r="Y1709" i="24" s="1"/>
  <c r="R1952" i="24"/>
  <c r="Y1952" i="24" s="1"/>
  <c r="R1789" i="24"/>
  <c r="Y1789" i="24" s="1"/>
  <c r="R2010" i="24"/>
  <c r="Y2010" i="24" s="1"/>
  <c r="R1862" i="24"/>
  <c r="Y1862" i="24" s="1"/>
  <c r="R1769" i="24"/>
  <c r="Y1769" i="24" s="1"/>
  <c r="R2007" i="24"/>
  <c r="Y2007" i="24" s="1"/>
  <c r="R1841" i="24"/>
  <c r="Y1841" i="24" s="1"/>
  <c r="R1691" i="24"/>
  <c r="Y1691" i="24" s="1"/>
  <c r="R1933" i="24"/>
  <c r="Y1933" i="24" s="1"/>
  <c r="R1784" i="24"/>
  <c r="Y1784" i="24" s="1"/>
  <c r="R2005" i="24"/>
  <c r="Y2005" i="24" s="1"/>
  <c r="R1857" i="24"/>
  <c r="Y1857" i="24" s="1"/>
  <c r="R1702" i="24"/>
  <c r="Y1702" i="24" s="1"/>
  <c r="R1964" i="24"/>
  <c r="Y1964" i="24" s="1"/>
  <c r="R1817" i="24"/>
  <c r="Y1817" i="24" s="1"/>
  <c r="R1701" i="24"/>
  <c r="Y1701" i="24" s="1"/>
  <c r="R1911" i="24"/>
  <c r="Y1911" i="24" s="1"/>
  <c r="R1762" i="24"/>
  <c r="Y1762" i="24" s="1"/>
  <c r="R2000" i="24"/>
  <c r="Y2000" i="24" s="1"/>
  <c r="R1854" i="24"/>
  <c r="Y1854" i="24" s="1"/>
  <c r="R1714" i="24"/>
  <c r="Y1714" i="24" s="1"/>
  <c r="R1890" i="24"/>
  <c r="Y1890" i="24" s="1"/>
  <c r="R1743" i="24"/>
  <c r="Y1743" i="24" s="1"/>
  <c r="R1996" i="24"/>
  <c r="Y1996" i="24" s="1"/>
  <c r="R1868" i="24"/>
  <c r="Y1868" i="24" s="1"/>
  <c r="R1776" i="24"/>
  <c r="Y1776" i="24" s="1"/>
  <c r="R1652" i="24"/>
  <c r="Y1652" i="24" s="1"/>
  <c r="R1905" i="24"/>
  <c r="Y1905" i="24" s="1"/>
  <c r="R1741" i="24"/>
  <c r="Y1741" i="24" s="1"/>
  <c r="R1972" i="24"/>
  <c r="Y1972" i="24" s="1"/>
  <c r="R1845" i="24"/>
  <c r="Y1845" i="24" s="1"/>
  <c r="R1695" i="24"/>
  <c r="Y1695" i="24" s="1"/>
  <c r="R1937" i="24"/>
  <c r="Y1937" i="24" s="1"/>
  <c r="R1771" i="24"/>
  <c r="Y1771" i="24" s="1"/>
  <c r="R2009" i="24"/>
  <c r="Y2009" i="24" s="1"/>
  <c r="R1843" i="24"/>
  <c r="Y1843" i="24" s="1"/>
  <c r="R1753" i="24"/>
  <c r="Y1753" i="24" s="1"/>
  <c r="R1988" i="24"/>
  <c r="Y1988" i="24" s="1"/>
  <c r="R1840" i="24"/>
  <c r="Y1840" i="24" s="1"/>
  <c r="R1690" i="24"/>
  <c r="Y1690" i="24" s="1"/>
  <c r="R1916" i="24"/>
  <c r="Y1916" i="24" s="1"/>
  <c r="R1767" i="24"/>
  <c r="Y1767" i="24" s="1"/>
  <c r="R1986" i="24"/>
  <c r="Y1986" i="24" s="1"/>
  <c r="R1838" i="24"/>
  <c r="Y1838" i="24" s="1"/>
  <c r="R1688" i="24"/>
  <c r="Y1688" i="24" s="1"/>
  <c r="R1945" i="24"/>
  <c r="Y1945" i="24" s="1"/>
  <c r="R1816" i="24"/>
  <c r="Y1816" i="24" s="1"/>
  <c r="R1687" i="24"/>
  <c r="Y1687" i="24" s="1"/>
  <c r="R1892" i="24"/>
  <c r="Y1892" i="24" s="1"/>
  <c r="R1747" i="24"/>
  <c r="Y1747" i="24" s="1"/>
  <c r="R1981" i="24"/>
  <c r="Y1981" i="24" s="1"/>
  <c r="R1853" i="24"/>
  <c r="Y1853" i="24" s="1"/>
  <c r="R1699" i="24"/>
  <c r="Y1699" i="24" s="1"/>
  <c r="R1889" i="24"/>
  <c r="Y1889" i="24" s="1"/>
  <c r="R1728" i="24"/>
  <c r="Y1728" i="24" s="1"/>
  <c r="R1977" i="24"/>
  <c r="Y1977" i="24" s="1"/>
  <c r="R1850" i="24"/>
  <c r="Y1850" i="24" s="1"/>
  <c r="R1775" i="24"/>
  <c r="Y1775" i="24" s="1"/>
  <c r="R1638" i="24"/>
  <c r="Y1638" i="24" s="1"/>
  <c r="R1886" i="24"/>
  <c r="Y1886" i="24" s="1"/>
  <c r="R1724" i="24"/>
  <c r="Y1724" i="24" s="1"/>
  <c r="R1953" i="24"/>
  <c r="Y1953" i="24" s="1"/>
  <c r="R1826" i="24"/>
  <c r="Y1826" i="24" s="1"/>
  <c r="R1680" i="24"/>
  <c r="Y1680" i="24" s="1"/>
  <c r="R1936" i="24"/>
  <c r="Y1936" i="24" s="1"/>
  <c r="R1754" i="24"/>
  <c r="Y1754" i="24" s="1"/>
  <c r="R2008" i="24"/>
  <c r="Y2008" i="24" s="1"/>
  <c r="R1824" i="24"/>
  <c r="Y1824" i="24" s="1"/>
  <c r="R1736" i="24"/>
  <c r="Y1736" i="24" s="1"/>
  <c r="R1969" i="24"/>
  <c r="Y1969" i="24" s="1"/>
  <c r="R1821" i="24"/>
  <c r="Y1821" i="24" s="1"/>
  <c r="R1676" i="24"/>
  <c r="Y1676" i="24" s="1"/>
  <c r="R1897" i="24"/>
  <c r="Y1897" i="24" s="1"/>
  <c r="R1750" i="24"/>
  <c r="Y1750" i="24" s="1"/>
  <c r="R1985" i="24"/>
  <c r="Y1985" i="24" s="1"/>
  <c r="R1819" i="24"/>
  <c r="Y1819" i="24" s="1"/>
  <c r="R1674" i="24"/>
  <c r="Y1674" i="24" s="1"/>
  <c r="R1931" i="24"/>
  <c r="Y1931" i="24" s="1"/>
  <c r="R1800" i="24"/>
  <c r="Y1800" i="24" s="1"/>
  <c r="R1672" i="24"/>
  <c r="Y1672" i="24" s="1"/>
  <c r="R1873" i="24"/>
  <c r="Y1873" i="24" s="1"/>
  <c r="R1730" i="24"/>
  <c r="Y1730" i="24" s="1"/>
  <c r="R1962" i="24"/>
  <c r="Y1962" i="24" s="1"/>
  <c r="R1852" i="24"/>
  <c r="Y1852" i="24" s="1"/>
  <c r="R1684" i="24"/>
  <c r="Y1684" i="24" s="1"/>
  <c r="R1888" i="24"/>
  <c r="Y1888" i="24" s="1"/>
  <c r="R1727" i="24"/>
  <c r="Y1727" i="24" s="1"/>
  <c r="R1958" i="24"/>
  <c r="Y1958" i="24" s="1"/>
  <c r="R1849" i="24"/>
  <c r="Y1849" i="24" s="1"/>
  <c r="R1774" i="24"/>
  <c r="Y1774" i="24" s="1"/>
  <c r="R1637" i="24"/>
  <c r="Y1637" i="24" s="1"/>
  <c r="R1885" i="24"/>
  <c r="Y1885" i="24" s="1"/>
  <c r="R1711" i="24"/>
  <c r="Y1711" i="24" s="1"/>
  <c r="R1938" i="24"/>
  <c r="Y1938" i="24" s="1"/>
  <c r="R1808" i="24"/>
  <c r="Y1808" i="24" s="1"/>
  <c r="R1679" i="24"/>
  <c r="Y1679" i="24" s="1"/>
  <c r="R1921" i="24"/>
  <c r="Y1921" i="24" s="1"/>
  <c r="R1737" i="24"/>
  <c r="Y1737" i="24" s="1"/>
  <c r="R1989" i="24"/>
  <c r="Y1989" i="24" s="1"/>
  <c r="R1823" i="24"/>
  <c r="Y1823" i="24" s="1"/>
  <c r="R1720" i="24"/>
  <c r="Y1720" i="24" s="1"/>
  <c r="R1950" i="24"/>
  <c r="Y1950" i="24" s="1"/>
  <c r="R1803" i="24"/>
  <c r="Y1803" i="24" s="1"/>
  <c r="R1662" i="24"/>
  <c r="Y1662" i="24" s="1"/>
  <c r="R1878" i="24"/>
  <c r="Y1878" i="24" s="1"/>
  <c r="R1734" i="24"/>
  <c r="Y1734" i="24" s="1"/>
  <c r="R1984" i="24"/>
  <c r="Y1984" i="24" s="1"/>
  <c r="R1801" i="24"/>
  <c r="Y1801" i="24" s="1"/>
  <c r="R1673" i="24"/>
  <c r="Y1673" i="24" s="1"/>
  <c r="R1930" i="24"/>
  <c r="Y1930" i="24" s="1"/>
  <c r="R1799" i="24"/>
  <c r="Y1799" i="24" s="1"/>
  <c r="R1658" i="24"/>
  <c r="Y1658" i="24" s="1"/>
  <c r="R1855" i="24"/>
  <c r="Y1855" i="24" s="1"/>
  <c r="R1715" i="24"/>
  <c r="Y1715" i="24" s="1"/>
  <c r="R1961" i="24"/>
  <c r="Y1961" i="24" s="1"/>
  <c r="R1833" i="24"/>
  <c r="Y1833" i="24" s="1"/>
  <c r="R1670" i="24"/>
  <c r="Y1670" i="24" s="1"/>
  <c r="R1869" i="24"/>
  <c r="Y1869" i="24" s="1"/>
  <c r="R1726" i="24"/>
  <c r="Y1726" i="24" s="1"/>
  <c r="R1957" i="24"/>
  <c r="Y1957" i="24" s="1"/>
  <c r="R1830" i="24"/>
  <c r="Y1830" i="24" s="1"/>
  <c r="R1758" i="24"/>
  <c r="Y1758" i="24" s="1"/>
  <c r="R1636" i="24"/>
  <c r="Y1636" i="24" s="1"/>
  <c r="R1867" i="24"/>
  <c r="Y1867" i="24" s="1"/>
  <c r="R1696" i="24"/>
  <c r="Y1696" i="24" s="1"/>
  <c r="R1922" i="24"/>
  <c r="Y1922" i="24" s="1"/>
  <c r="R1790" i="24"/>
  <c r="Y1790" i="24" s="1"/>
  <c r="R1665" i="24"/>
  <c r="Y1665" i="24" s="1"/>
  <c r="R1902" i="24"/>
  <c r="Y1902" i="24" s="1"/>
  <c r="R1722" i="24"/>
  <c r="Y1722" i="24" s="1"/>
  <c r="R1970" i="24"/>
  <c r="Y1970" i="24" s="1"/>
  <c r="R1822" i="24"/>
  <c r="Y1822" i="24" s="1"/>
  <c r="R1707" i="24"/>
  <c r="Y1707" i="24" s="1"/>
  <c r="R1949" i="24"/>
  <c r="Y1949" i="24" s="1"/>
  <c r="R1785" i="24"/>
  <c r="Y1785" i="24" s="1"/>
  <c r="R1646" i="24"/>
  <c r="Y1646" i="24" s="1"/>
  <c r="R1877" i="24"/>
  <c r="Y1877" i="24" s="1"/>
  <c r="R1718" i="24"/>
  <c r="Y1718" i="24" s="1"/>
  <c r="R1965" i="24"/>
  <c r="Y1965" i="24" s="1"/>
  <c r="R1783" i="24"/>
  <c r="Y1783" i="24" s="1"/>
  <c r="R1659" i="24"/>
  <c r="Y1659" i="24" s="1"/>
  <c r="R1914" i="24"/>
  <c r="Y1914" i="24" s="1"/>
  <c r="R1798" i="24"/>
  <c r="Y1798" i="24" s="1"/>
  <c r="R1642" i="24"/>
  <c r="Y1642" i="24" s="1"/>
  <c r="R1836" i="24"/>
  <c r="Y1836" i="24" s="1"/>
  <c r="R1700" i="24"/>
  <c r="Y1700" i="24" s="1"/>
  <c r="R1960" i="24"/>
  <c r="Y1960" i="24" s="1"/>
  <c r="R1814" i="24"/>
  <c r="Y1814" i="24" s="1"/>
  <c r="R1656" i="24"/>
  <c r="Y1656" i="24" s="1"/>
  <c r="R1999" i="24"/>
  <c r="Y1999" i="24" s="1"/>
  <c r="R1851" i="24"/>
  <c r="Y1851" i="24" s="1"/>
  <c r="R1713" i="24"/>
  <c r="Y1713" i="24" s="1"/>
  <c r="R1940" i="24"/>
  <c r="Y1940" i="24" s="1"/>
  <c r="R1829" i="24"/>
  <c r="Y1829" i="24" s="1"/>
  <c r="R1757" i="24"/>
  <c r="Y1757" i="24" s="1"/>
  <c r="R1995" i="24"/>
  <c r="Y1995" i="24" s="1"/>
  <c r="R1848" i="24"/>
  <c r="Y1848" i="24" s="1"/>
  <c r="R1681" i="24"/>
  <c r="Y1681" i="24" s="1"/>
  <c r="R1904" i="24"/>
  <c r="Y1904" i="24" s="1"/>
  <c r="R1772" i="24"/>
  <c r="Y1772" i="24" s="1"/>
  <c r="R1650" i="24"/>
  <c r="Y1650" i="24" s="1"/>
  <c r="R1901" i="24"/>
  <c r="Y1901" i="24" s="1"/>
  <c r="R1721" i="24"/>
  <c r="Y1721" i="24" s="1"/>
  <c r="R1951" i="24"/>
  <c r="Y1951" i="24" s="1"/>
  <c r="R1806" i="24"/>
  <c r="Y1806" i="24" s="1"/>
  <c r="R1693" i="24"/>
  <c r="Y1693" i="24" s="1"/>
  <c r="R1948" i="24"/>
  <c r="Y1948" i="24" s="1"/>
  <c r="R1768" i="24"/>
  <c r="Y1768" i="24" s="1"/>
  <c r="R1629" i="24"/>
  <c r="Y1629" i="24" s="1"/>
  <c r="R1876" i="24"/>
  <c r="Y1876" i="24" s="1"/>
  <c r="R1705" i="24"/>
  <c r="Y1705" i="24" s="1"/>
  <c r="R1946" i="24"/>
  <c r="Y1946" i="24" s="1"/>
  <c r="R1766" i="24"/>
  <c r="Y1766" i="24" s="1"/>
  <c r="R1644" i="24"/>
  <c r="Y1644" i="24" s="1"/>
  <c r="R1913" i="24"/>
  <c r="Y1913" i="24" s="1"/>
  <c r="R1782" i="24"/>
  <c r="Y1782" i="24" s="1"/>
  <c r="R1626" i="24"/>
  <c r="Y1626" i="24" s="1"/>
  <c r="R1835" i="24"/>
  <c r="Y1835" i="24" s="1"/>
  <c r="R1686" i="24"/>
  <c r="Y1686" i="24" s="1"/>
  <c r="R1942" i="24"/>
  <c r="Y1942" i="24" s="1"/>
  <c r="R1796" i="24"/>
  <c r="Y1796" i="24" s="1"/>
  <c r="R1655" i="24"/>
  <c r="Y1655" i="24" s="1"/>
  <c r="R1980" i="24"/>
  <c r="Y1980" i="24" s="1"/>
  <c r="R1832" i="24"/>
  <c r="Y1832" i="24" s="1"/>
  <c r="R1698" i="24"/>
  <c r="Y1698" i="24" s="1"/>
  <c r="R1926" i="24"/>
  <c r="Y1926" i="24" s="1"/>
  <c r="R1828" i="24"/>
  <c r="Y1828" i="24" s="1"/>
  <c r="R1742" i="24"/>
  <c r="Y1742" i="24" s="1"/>
  <c r="R1976" i="24"/>
  <c r="Y1976" i="24" s="1"/>
  <c r="R1847" i="24"/>
  <c r="Y1847" i="24" s="1"/>
  <c r="R1666" i="24"/>
  <c r="Y1666" i="24" s="1"/>
  <c r="R1903" i="24"/>
  <c r="Y1903" i="24" s="1"/>
  <c r="R1755" i="24"/>
  <c r="Y1755" i="24" s="1"/>
  <c r="R1649" i="24"/>
  <c r="Y1649" i="24" s="1"/>
  <c r="R1900" i="24"/>
  <c r="Y1900" i="24" s="1"/>
  <c r="R1708" i="24"/>
  <c r="Y1708" i="24" s="1"/>
  <c r="R1935" i="24"/>
  <c r="Y1935" i="24" s="1"/>
  <c r="R1805" i="24"/>
  <c r="Y1805" i="24" s="1"/>
  <c r="R1677" i="24"/>
  <c r="Y1677" i="24" s="1"/>
  <c r="R1934" i="24"/>
  <c r="Y1934" i="24" s="1"/>
  <c r="R1752" i="24"/>
  <c r="Y1752" i="24" s="1"/>
  <c r="R2006" i="24"/>
  <c r="Y2006" i="24" s="1"/>
  <c r="R1860" i="24"/>
  <c r="Y1860" i="24" s="1"/>
  <c r="R1689" i="24"/>
  <c r="Y1689" i="24" s="1"/>
  <c r="R1932" i="24"/>
  <c r="Y1932" i="24" s="1"/>
  <c r="R1749" i="24"/>
  <c r="Y1749" i="24" s="1"/>
  <c r="R1643" i="24"/>
  <c r="Y1643" i="24" s="1"/>
  <c r="R1912" i="24"/>
  <c r="Y1912" i="24" s="1"/>
  <c r="R1781" i="24"/>
  <c r="Y1781" i="24" s="1"/>
  <c r="R2001" i="24"/>
  <c r="Y2001" i="24" s="1"/>
  <c r="R1834" i="24"/>
  <c r="Y1834" i="24" s="1"/>
  <c r="R1685" i="24"/>
  <c r="Y1685" i="24" s="1"/>
  <c r="R1928" i="24"/>
  <c r="Y1928" i="24" s="1"/>
  <c r="R1778" i="24"/>
  <c r="Y1778" i="24" s="1"/>
  <c r="R1654" i="24"/>
  <c r="Y1654" i="24" s="1"/>
  <c r="R1979" i="24"/>
  <c r="Y1979" i="24" s="1"/>
  <c r="R1831" i="24"/>
  <c r="Y1831" i="24" s="1"/>
  <c r="R1683" i="24"/>
  <c r="Y1683" i="24" s="1"/>
  <c r="R1925" i="24"/>
  <c r="Y1925" i="24" s="1"/>
  <c r="R1812" i="24"/>
  <c r="Y1812" i="24" s="1"/>
  <c r="R1725" i="24"/>
  <c r="Y1725" i="24" s="1"/>
  <c r="R1975" i="24"/>
  <c r="Y1975" i="24" s="1"/>
  <c r="R1846" i="24"/>
  <c r="Y1846" i="24" s="1"/>
  <c r="R1651" i="24"/>
  <c r="Y1651" i="24" s="1"/>
  <c r="R1884" i="24"/>
  <c r="Y1884" i="24" s="1"/>
  <c r="R1740" i="24"/>
  <c r="Y1740" i="24" s="1"/>
  <c r="R1634" i="24"/>
  <c r="Y1634" i="24" s="1"/>
  <c r="R1881" i="24"/>
  <c r="Y1881" i="24" s="1"/>
  <c r="R1694" i="24"/>
  <c r="Y1694" i="24" s="1"/>
  <c r="R1920" i="24"/>
  <c r="Y1920" i="24" s="1"/>
  <c r="R1804" i="24"/>
  <c r="Y1804" i="24" s="1"/>
  <c r="R1663" i="24"/>
  <c r="Y1663" i="24" s="1"/>
  <c r="R1917" i="24"/>
  <c r="Y1917" i="24" s="1"/>
  <c r="R1751" i="24"/>
  <c r="Y1751" i="24" s="1"/>
  <c r="R1987" i="24"/>
  <c r="Y1987" i="24" s="1"/>
  <c r="R1859" i="24"/>
  <c r="Y1859" i="24" s="1"/>
  <c r="R1675" i="24"/>
  <c r="Y1675" i="24" s="1"/>
  <c r="R1915" i="24"/>
  <c r="Y1915" i="24" s="1"/>
  <c r="R1733" i="24"/>
  <c r="Y1733" i="24" s="1"/>
  <c r="R1627" i="24"/>
  <c r="Y1627" i="24" s="1"/>
  <c r="R1893" i="24"/>
  <c r="Y1893" i="24" s="1"/>
  <c r="R1780" i="24"/>
  <c r="Y1780" i="24" s="1"/>
  <c r="R1982" i="24"/>
  <c r="Y1982" i="24" s="1"/>
  <c r="R1815" i="24"/>
  <c r="Y1815" i="24" s="1"/>
  <c r="R1671" i="24"/>
  <c r="Y1671" i="24" s="1"/>
  <c r="R1910" i="24"/>
  <c r="Y1910" i="24" s="1"/>
  <c r="R1761" i="24"/>
  <c r="Y1761" i="24" s="1"/>
  <c r="R1640" i="24"/>
  <c r="Y1640" i="24" s="1"/>
  <c r="R1978" i="24"/>
  <c r="Y1978" i="24" s="1"/>
  <c r="R1813" i="24"/>
  <c r="Y1813" i="24" s="1"/>
  <c r="R1669" i="24"/>
  <c r="Y1669" i="24" s="1"/>
  <c r="R1924" i="24"/>
  <c r="Y1924" i="24" s="1"/>
  <c r="R1811" i="24"/>
  <c r="Y1811" i="24" s="1"/>
  <c r="R1712" i="24"/>
  <c r="Y1712" i="24" s="1"/>
  <c r="R1956" i="24"/>
  <c r="Y1956" i="24" s="1"/>
  <c r="R1827" i="24"/>
  <c r="Y1827" i="24" s="1"/>
  <c r="R1635" i="24"/>
  <c r="Y1635" i="24" s="1"/>
  <c r="R1883" i="24"/>
  <c r="Y1883" i="24" s="1"/>
  <c r="R1739" i="24"/>
  <c r="Y1739" i="24" s="1"/>
  <c r="R1992" i="24"/>
  <c r="Y1992" i="24" s="1"/>
  <c r="R1863" i="24"/>
  <c r="Y1863" i="24" s="1"/>
  <c r="R1678" i="24"/>
  <c r="Y1678" i="24" s="1"/>
  <c r="R1919" i="24"/>
  <c r="Y1919" i="24" s="1"/>
  <c r="R1788" i="24"/>
  <c r="Y1788" i="24" s="1"/>
  <c r="R1647" i="24"/>
  <c r="Y1647" i="24" s="1"/>
  <c r="R1898" i="24"/>
  <c r="Y1898" i="24" s="1"/>
  <c r="R1735" i="24"/>
  <c r="Y1735" i="24" s="1"/>
  <c r="R1968" i="24"/>
  <c r="Y1968" i="24" s="1"/>
  <c r="R1858" i="24"/>
  <c r="Y1858" i="24" s="1"/>
  <c r="R1661" i="24"/>
  <c r="Y1661" i="24" s="1"/>
  <c r="R1896" i="24"/>
  <c r="Y1896" i="24" s="1"/>
  <c r="R1732" i="24"/>
  <c r="Y1732" i="24" s="1"/>
  <c r="R2004" i="24"/>
  <c r="Y2004" i="24" s="1"/>
  <c r="R1874" i="24"/>
  <c r="Y1874" i="24" s="1"/>
  <c r="R1765" i="24"/>
  <c r="Y1765" i="24" s="1"/>
  <c r="R1963" i="24"/>
  <c r="Y1963" i="24" s="1"/>
  <c r="R1797" i="24"/>
  <c r="Y1797" i="24" s="1"/>
  <c r="R1657" i="24"/>
  <c r="Y1657" i="24" s="1"/>
  <c r="R1891" i="24"/>
  <c r="Y1891" i="24" s="1"/>
  <c r="R1746" i="24"/>
  <c r="Y1746" i="24" s="1"/>
  <c r="R1623" i="24"/>
  <c r="Y1623" i="24" s="1"/>
  <c r="R1959" i="24"/>
  <c r="Y1959" i="24" s="1"/>
  <c r="R1795" i="24"/>
  <c r="Y1795" i="24" s="1"/>
  <c r="R1653" i="24"/>
  <c r="Y1653" i="24" s="1"/>
  <c r="R1908" i="24"/>
  <c r="Y1908" i="24" s="1"/>
  <c r="R1810" i="24"/>
  <c r="Y1810" i="24" s="1"/>
  <c r="R1697" i="24"/>
  <c r="Y1697" i="24" s="1"/>
  <c r="R1955" i="24"/>
  <c r="Y1955" i="24" s="1"/>
  <c r="R1809" i="24"/>
  <c r="Y1809" i="24" s="1"/>
  <c r="R1994" i="24"/>
  <c r="Y1994" i="24" s="1"/>
  <c r="R1882" i="24"/>
  <c r="Y1882" i="24" s="1"/>
  <c r="R1738" i="24"/>
  <c r="Y1738" i="24" s="1"/>
  <c r="R1991" i="24"/>
  <c r="Y1991" i="24" s="1"/>
  <c r="R1844" i="24"/>
  <c r="Y1844" i="24" s="1"/>
  <c r="R1664" i="24"/>
  <c r="Y1664" i="24" s="1"/>
  <c r="R1918" i="24"/>
  <c r="Y1918" i="24" s="1"/>
  <c r="R1787" i="24"/>
  <c r="Y1787" i="24" s="1"/>
  <c r="R1632" i="24"/>
  <c r="Y1632" i="24" s="1"/>
  <c r="R1879" i="24"/>
  <c r="Y1879" i="24" s="1"/>
  <c r="R1719" i="24"/>
  <c r="Y1719" i="24" s="1"/>
  <c r="R1967" i="24"/>
  <c r="Y1967" i="24" s="1"/>
  <c r="R1839" i="24"/>
  <c r="Y1839" i="24" s="1"/>
  <c r="R1660" i="24"/>
  <c r="Y1660" i="24" s="1"/>
  <c r="R1895" i="24"/>
  <c r="Y1895" i="24" s="1"/>
  <c r="R1717" i="24"/>
  <c r="Y1717" i="24" s="1"/>
  <c r="R2003" i="24"/>
  <c r="Y2003" i="24" s="1"/>
  <c r="R1856" i="24"/>
  <c r="Y1856" i="24" s="1"/>
  <c r="R1748" i="24"/>
  <c r="Y1748" i="24" s="1"/>
  <c r="R1944" i="24"/>
  <c r="Y1944" i="24" s="1"/>
  <c r="R1779" i="24"/>
  <c r="Y1779" i="24" s="1"/>
  <c r="R1641" i="24"/>
  <c r="Y1641" i="24" s="1"/>
  <c r="R1872" i="24"/>
  <c r="Y1872" i="24" s="1"/>
  <c r="R1745" i="24"/>
  <c r="Y1745" i="24" s="1"/>
  <c r="R1941" i="24"/>
  <c r="Y1941" i="24" s="1"/>
  <c r="R1777" i="24"/>
  <c r="Y1777" i="24" s="1"/>
  <c r="R1639" i="24"/>
  <c r="Y1639" i="24" s="1"/>
  <c r="R1907" i="24"/>
  <c r="Y1907" i="24" s="1"/>
  <c r="R1794" i="24"/>
  <c r="Y1794" i="24" s="1"/>
  <c r="R1682" i="24"/>
  <c r="Y1682" i="24" s="1"/>
  <c r="R1954" i="24"/>
  <c r="Y1954" i="24" s="1"/>
  <c r="R1791" i="24"/>
  <c r="Y1791" i="24" s="1"/>
  <c r="R1993" i="24"/>
  <c r="Y1993" i="24" s="1"/>
  <c r="R1866" i="24"/>
  <c r="Y1866" i="24" s="1"/>
  <c r="R1723" i="24"/>
  <c r="Y1723" i="24" s="1"/>
  <c r="R1990" i="24"/>
  <c r="Y1990" i="24" s="1"/>
  <c r="R1825" i="24"/>
  <c r="Y1825" i="24" s="1"/>
  <c r="R1648" i="24"/>
  <c r="Y1648" i="24" s="1"/>
  <c r="R1899" i="24"/>
  <c r="Y1899" i="24" s="1"/>
  <c r="R1786" i="24"/>
  <c r="Y1786" i="24" s="1"/>
  <c r="R1631" i="24"/>
  <c r="Y1631" i="24" s="1"/>
  <c r="R1861" i="24"/>
  <c r="Y1861" i="24" s="1"/>
  <c r="R1706" i="24"/>
  <c r="Y1706" i="24" s="1"/>
  <c r="R1966" i="24"/>
  <c r="Y1966" i="24" s="1"/>
  <c r="R1820" i="24"/>
  <c r="Y1820" i="24" s="1"/>
  <c r="R1645" i="24"/>
  <c r="Y1645" i="24" s="1"/>
  <c r="R1894" i="24"/>
  <c r="Y1894" i="24" s="1"/>
  <c r="R1704" i="24"/>
  <c r="Y1704" i="24" s="1"/>
  <c r="R2002" i="24"/>
  <c r="Y2002" i="24" s="1"/>
  <c r="R1837" i="24"/>
  <c r="Y1837" i="24" s="1"/>
  <c r="R1731" i="24"/>
  <c r="Y1731" i="24" s="1"/>
  <c r="R1943" i="24"/>
  <c r="Y1943" i="24" s="1"/>
  <c r="R1764" i="24"/>
  <c r="Y1764" i="24" s="1"/>
  <c r="R1625" i="24"/>
  <c r="Y1625" i="24" s="1"/>
  <c r="R1871" i="24"/>
  <c r="Y1871" i="24" s="1"/>
  <c r="R1744" i="24"/>
  <c r="Y1744" i="24" s="1"/>
  <c r="R1927" i="24"/>
  <c r="Y1927" i="24" s="1"/>
  <c r="R1760" i="24"/>
  <c r="Y1760" i="24" s="1"/>
  <c r="R1998" i="24"/>
  <c r="Y1998" i="24" s="1"/>
  <c r="R1906" i="24"/>
  <c r="Y1906" i="24" s="1"/>
  <c r="R1793" i="24"/>
  <c r="Y1793" i="24" s="1"/>
  <c r="R1668" i="24"/>
  <c r="Y1668" i="24" s="1"/>
  <c r="R1939" i="24"/>
  <c r="Y1939" i="24" s="1"/>
  <c r="R1773" i="24"/>
  <c r="Y1773" i="24" s="1"/>
  <c r="R1974" i="24"/>
  <c r="Y1974" i="24" s="1"/>
  <c r="R1865" i="24"/>
  <c r="Y1865" i="24" s="1"/>
  <c r="R1710" i="24"/>
  <c r="Y1710" i="24" s="1"/>
  <c r="R1971" i="24"/>
  <c r="Y1971" i="24" s="1"/>
  <c r="R1807" i="24"/>
  <c r="Y1807" i="24" s="1"/>
  <c r="R1633" i="24"/>
  <c r="Y1633" i="24" s="1"/>
  <c r="R1880" i="24"/>
  <c r="Y1880" i="24" s="1"/>
  <c r="R1770" i="24"/>
  <c r="Y1770" i="24" s="1"/>
  <c r="R1630" i="24"/>
  <c r="Y1630" i="24" s="1"/>
  <c r="R1842" i="24"/>
  <c r="Y1842" i="24" s="1"/>
  <c r="R1692" i="24"/>
  <c r="Y1692" i="24" s="1"/>
  <c r="R1947" i="24"/>
  <c r="Y1947" i="24" s="1"/>
  <c r="R1802" i="24"/>
  <c r="Y1802" i="24" s="1"/>
  <c r="R1628" i="24"/>
  <c r="Y1628" i="24" s="1"/>
  <c r="R1875" i="24"/>
  <c r="Y1875" i="24" s="1"/>
  <c r="R1703" i="24"/>
  <c r="Y1703" i="24" s="1"/>
  <c r="R1983" i="24"/>
  <c r="Y1983" i="24" s="1"/>
  <c r="R1818" i="24"/>
  <c r="Y1818" i="24" s="1"/>
  <c r="R1716" i="24"/>
  <c r="Y1716" i="24" s="1"/>
  <c r="R1929" i="24"/>
  <c r="Y1929" i="24" s="1"/>
  <c r="R1763" i="24"/>
  <c r="Y1763" i="24" s="1"/>
  <c r="R1624" i="24"/>
  <c r="Y1624" i="24" s="1"/>
  <c r="R1870" i="24"/>
  <c r="Y1870" i="24" s="1"/>
  <c r="R1729" i="24"/>
  <c r="Y1729" i="24" s="1"/>
  <c r="P21" i="13"/>
  <c r="R1535" i="24"/>
  <c r="Y1535" i="24" s="1"/>
  <c r="R1534" i="24"/>
  <c r="Y1534" i="24" s="1"/>
  <c r="R1533" i="24"/>
  <c r="Y1533" i="24" s="1"/>
  <c r="R1532" i="24"/>
  <c r="Y1532" i="24" s="1"/>
  <c r="R1531" i="24"/>
  <c r="Y1531" i="24" s="1"/>
  <c r="R1530" i="24"/>
  <c r="Y1530" i="24" s="1"/>
  <c r="R1529" i="24"/>
  <c r="Y1529" i="24" s="1"/>
  <c r="R1528" i="24"/>
  <c r="Y1528" i="24" s="1"/>
  <c r="R1527" i="24"/>
  <c r="Y1527" i="24" s="1"/>
  <c r="R1526" i="24"/>
  <c r="Y1526" i="24" s="1"/>
  <c r="R1525" i="24"/>
  <c r="Y1525" i="24" s="1"/>
  <c r="R1524" i="24"/>
  <c r="Y1524" i="24" s="1"/>
  <c r="R1523" i="24"/>
  <c r="Y1523" i="24" s="1"/>
  <c r="R1541" i="24"/>
  <c r="Y1541" i="24" s="1"/>
  <c r="R1540" i="24"/>
  <c r="Y1540" i="24" s="1"/>
  <c r="R1539" i="24"/>
  <c r="Y1539" i="24" s="1"/>
  <c r="R1538" i="24"/>
  <c r="Y1538" i="24" s="1"/>
  <c r="R1537" i="24"/>
  <c r="Y1537" i="24" s="1"/>
  <c r="R1536" i="24"/>
  <c r="Y1536" i="24" s="1"/>
  <c r="R1503" i="24"/>
  <c r="Y1503" i="24" s="1"/>
  <c r="R1502" i="24"/>
  <c r="Y1502" i="24" s="1"/>
  <c r="R1504" i="24"/>
  <c r="Y1504" i="24" s="1"/>
  <c r="R1522" i="24"/>
  <c r="Y1522" i="24" s="1"/>
  <c r="R1521" i="24"/>
  <c r="Y1521" i="24" s="1"/>
  <c r="R1520" i="24"/>
  <c r="Y1520" i="24" s="1"/>
  <c r="R1519" i="24"/>
  <c r="Y1519" i="24" s="1"/>
  <c r="R1518" i="24"/>
  <c r="Y1518" i="24" s="1"/>
  <c r="R1517" i="24"/>
  <c r="Y1517" i="24" s="1"/>
  <c r="R1516" i="24"/>
  <c r="Y1516" i="24" s="1"/>
  <c r="R1515" i="24"/>
  <c r="Y1515" i="24" s="1"/>
  <c r="R1514" i="24"/>
  <c r="Y1514" i="24" s="1"/>
  <c r="R1513" i="24"/>
  <c r="Y1513" i="24" s="1"/>
  <c r="R1512" i="24"/>
  <c r="Y1512" i="24" s="1"/>
  <c r="R1511" i="24"/>
  <c r="Y1511" i="24" s="1"/>
  <c r="R1510" i="24"/>
  <c r="Y1510" i="24" s="1"/>
  <c r="R1509" i="24"/>
  <c r="Y1509" i="24" s="1"/>
  <c r="R1508" i="24"/>
  <c r="Y1508" i="24" s="1"/>
  <c r="R1507" i="24"/>
  <c r="Y1507" i="24" s="1"/>
  <c r="R1506" i="24"/>
  <c r="Y1506" i="24" s="1"/>
  <c r="R1505" i="24"/>
  <c r="Y1505" i="24" s="1"/>
  <c r="R1612" i="24"/>
  <c r="Y1612" i="24" s="1"/>
  <c r="R1600" i="24"/>
  <c r="Y1600" i="24" s="1"/>
  <c r="R1588" i="24"/>
  <c r="Y1588" i="24" s="1"/>
  <c r="R1613" i="24"/>
  <c r="Y1613" i="24" s="1"/>
  <c r="R1601" i="24"/>
  <c r="Y1601" i="24" s="1"/>
  <c r="R1589" i="24"/>
  <c r="Y1589" i="24" s="1"/>
  <c r="R1614" i="24"/>
  <c r="Y1614" i="24" s="1"/>
  <c r="R1602" i="24"/>
  <c r="Y1602" i="24" s="1"/>
  <c r="R1590" i="24"/>
  <c r="Y1590" i="24" s="1"/>
  <c r="R1578" i="24"/>
  <c r="Y1578" i="24" s="1"/>
  <c r="R1615" i="24"/>
  <c r="Y1615" i="24" s="1"/>
  <c r="R1603" i="24"/>
  <c r="Y1603" i="24" s="1"/>
  <c r="R1591" i="24"/>
  <c r="Y1591" i="24" s="1"/>
  <c r="R1579" i="24"/>
  <c r="Y1579" i="24" s="1"/>
  <c r="R1616" i="24"/>
  <c r="Y1616" i="24" s="1"/>
  <c r="R1604" i="24"/>
  <c r="Y1604" i="24" s="1"/>
  <c r="R1592" i="24"/>
  <c r="Y1592" i="24" s="1"/>
  <c r="R1580" i="24"/>
  <c r="Y1580" i="24" s="1"/>
  <c r="R1617" i="24"/>
  <c r="Y1617" i="24" s="1"/>
  <c r="R1605" i="24"/>
  <c r="Y1605" i="24" s="1"/>
  <c r="R1593" i="24"/>
  <c r="Y1593" i="24" s="1"/>
  <c r="R1581" i="24"/>
  <c r="Y1581" i="24" s="1"/>
  <c r="R1618" i="24"/>
  <c r="Y1618" i="24" s="1"/>
  <c r="R1606" i="24"/>
  <c r="Y1606" i="24" s="1"/>
  <c r="R1594" i="24"/>
  <c r="Y1594" i="24" s="1"/>
  <c r="R1582" i="24"/>
  <c r="Y1582" i="24" s="1"/>
  <c r="R1619" i="24"/>
  <c r="Y1619" i="24" s="1"/>
  <c r="R1607" i="24"/>
  <c r="Y1607" i="24" s="1"/>
  <c r="R1595" i="24"/>
  <c r="Y1595" i="24" s="1"/>
  <c r="R1583" i="24"/>
  <c r="Y1583" i="24" s="1"/>
  <c r="R1620" i="24"/>
  <c r="Y1620" i="24" s="1"/>
  <c r="R1608" i="24"/>
  <c r="Y1608" i="24" s="1"/>
  <c r="R1596" i="24"/>
  <c r="Y1596" i="24" s="1"/>
  <c r="R1584" i="24"/>
  <c r="Y1584" i="24" s="1"/>
  <c r="R1621" i="24"/>
  <c r="Y1621" i="24" s="1"/>
  <c r="R1609" i="24"/>
  <c r="Y1609" i="24" s="1"/>
  <c r="R1597" i="24"/>
  <c r="Y1597" i="24" s="1"/>
  <c r="R1585" i="24"/>
  <c r="Y1585" i="24" s="1"/>
  <c r="R1622" i="24"/>
  <c r="Y1622" i="24" s="1"/>
  <c r="R1610" i="24"/>
  <c r="Y1610" i="24" s="1"/>
  <c r="R1598" i="24"/>
  <c r="Y1598" i="24" s="1"/>
  <c r="R1586" i="24"/>
  <c r="Y1586" i="24" s="1"/>
  <c r="R1611" i="24"/>
  <c r="Y1611" i="24" s="1"/>
  <c r="R1599" i="24"/>
  <c r="Y1599" i="24" s="1"/>
  <c r="R1587" i="24"/>
  <c r="Y1587" i="24" s="1"/>
  <c r="R197" i="24"/>
  <c r="Y197" i="24" s="1"/>
  <c r="R86" i="24"/>
  <c r="Y86" i="24" s="1"/>
  <c r="R89" i="24"/>
  <c r="Y89" i="24" s="1"/>
  <c r="R120" i="24"/>
  <c r="Y120" i="24" s="1"/>
  <c r="R100" i="24"/>
  <c r="Y100" i="24" s="1"/>
  <c r="R96" i="24"/>
  <c r="Y96" i="24" s="1"/>
  <c r="R113" i="24"/>
  <c r="Y113" i="24" s="1"/>
  <c r="R148" i="24"/>
  <c r="Y148" i="24" s="1"/>
  <c r="R79" i="24"/>
  <c r="Y79" i="24" s="1"/>
  <c r="R146" i="24"/>
  <c r="Y146" i="24" s="1"/>
  <c r="R124" i="24"/>
  <c r="Y124" i="24" s="1"/>
  <c r="R103" i="24"/>
  <c r="Y103" i="24" s="1"/>
  <c r="AA103" i="24" s="1"/>
  <c r="R131" i="24"/>
  <c r="Y131" i="24" s="1"/>
  <c r="R125" i="24"/>
  <c r="Y125" i="24" s="1"/>
  <c r="R82" i="24"/>
  <c r="Y82" i="24" s="1"/>
  <c r="R115" i="24"/>
  <c r="Y115" i="24" s="1"/>
  <c r="R127" i="24"/>
  <c r="Y127" i="24" s="1"/>
  <c r="R78" i="24"/>
  <c r="Y78" i="24" s="1"/>
  <c r="R99" i="24"/>
  <c r="Y99" i="24" s="1"/>
  <c r="R114" i="24"/>
  <c r="Y114" i="24" s="1"/>
  <c r="R75" i="24"/>
  <c r="Y75" i="24" s="1"/>
  <c r="R88" i="24"/>
  <c r="Y88" i="24" s="1"/>
  <c r="R133" i="24"/>
  <c r="Y133" i="24" s="1"/>
  <c r="R91" i="24"/>
  <c r="Y91" i="24" s="1"/>
  <c r="AA91" i="24" s="1"/>
  <c r="R129" i="24"/>
  <c r="Y129" i="24" s="1"/>
  <c r="R141" i="24"/>
  <c r="Y141" i="24" s="1"/>
  <c r="R107" i="24"/>
  <c r="Y107" i="24" s="1"/>
  <c r="R128" i="24"/>
  <c r="Y128" i="24" s="1"/>
  <c r="R110" i="24"/>
  <c r="Y110" i="24" s="1"/>
  <c r="R76" i="24"/>
  <c r="Y76" i="24" s="1"/>
  <c r="R137" i="24"/>
  <c r="Y137" i="24" s="1"/>
  <c r="R158" i="24"/>
  <c r="Y158" i="24" s="1"/>
  <c r="R139" i="24"/>
  <c r="Y139" i="24" s="1"/>
  <c r="R84" i="24"/>
  <c r="Y84" i="24" s="1"/>
  <c r="R112" i="24"/>
  <c r="Y112" i="24" s="1"/>
  <c r="R130" i="24"/>
  <c r="Y130" i="24" s="1"/>
  <c r="AA130" i="24" s="1"/>
  <c r="R134" i="24"/>
  <c r="Y134" i="24" s="1"/>
  <c r="R138" i="24"/>
  <c r="Y138" i="24" s="1"/>
  <c r="R144" i="24"/>
  <c r="Y144" i="24" s="1"/>
  <c r="R102" i="24"/>
  <c r="Y102" i="24" s="1"/>
  <c r="R150" i="24"/>
  <c r="Y150" i="24" s="1"/>
  <c r="R126" i="24"/>
  <c r="Y126" i="24" s="1"/>
  <c r="R80" i="24"/>
  <c r="Y80" i="24" s="1"/>
  <c r="R108" i="24"/>
  <c r="Y108" i="24" s="1"/>
  <c r="Z108" i="24" s="1"/>
  <c r="R118" i="24"/>
  <c r="Y118" i="24" s="1"/>
  <c r="R152" i="24"/>
  <c r="Y152" i="24" s="1"/>
  <c r="R132" i="24"/>
  <c r="Y132" i="24" s="1"/>
  <c r="R140" i="24"/>
  <c r="Y140" i="24" s="1"/>
  <c r="Z140" i="24" s="1"/>
  <c r="R154" i="24"/>
  <c r="Y154" i="24" s="1"/>
  <c r="R155" i="24"/>
  <c r="Y155" i="24" s="1"/>
  <c r="R77" i="24"/>
  <c r="Y77" i="24" s="1"/>
  <c r="R156" i="24"/>
  <c r="Y156" i="24" s="1"/>
  <c r="R143" i="24"/>
  <c r="Y143" i="24" s="1"/>
  <c r="R157" i="24"/>
  <c r="Y157" i="24" s="1"/>
  <c r="R81" i="24"/>
  <c r="Y81" i="24" s="1"/>
  <c r="R119" i="24"/>
  <c r="Y119" i="24" s="1"/>
  <c r="Z119" i="24" s="1"/>
  <c r="R121" i="24"/>
  <c r="Y121" i="24" s="1"/>
  <c r="R116" i="24"/>
  <c r="Y116" i="24" s="1"/>
  <c r="R153" i="24"/>
  <c r="Y153" i="24" s="1"/>
  <c r="R85" i="24"/>
  <c r="Y85" i="24" s="1"/>
  <c r="AA85" i="24" s="1"/>
  <c r="R105" i="24"/>
  <c r="Y105" i="24" s="1"/>
  <c r="R83" i="24"/>
  <c r="Y83" i="24" s="1"/>
  <c r="R135" i="24"/>
  <c r="Y135" i="24" s="1"/>
  <c r="R136" i="24"/>
  <c r="Y136" i="24" s="1"/>
  <c r="R122" i="24"/>
  <c r="Y122" i="24" s="1"/>
  <c r="R106" i="24"/>
  <c r="Y106" i="24" s="1"/>
  <c r="R104" i="24"/>
  <c r="Y104" i="24" s="1"/>
  <c r="R142" i="24"/>
  <c r="Y142" i="24" s="1"/>
  <c r="Z142" i="24" s="1"/>
  <c r="R93" i="24"/>
  <c r="Y93" i="24" s="1"/>
  <c r="R94" i="24"/>
  <c r="Y94" i="24" s="1"/>
  <c r="R59" i="24"/>
  <c r="Y59" i="24" s="1"/>
  <c r="R58" i="24"/>
  <c r="Y58" i="24" s="1"/>
  <c r="R62" i="24"/>
  <c r="Y62" i="24" s="1"/>
  <c r="R61" i="24"/>
  <c r="Y61" i="24" s="1"/>
  <c r="R60" i="24"/>
  <c r="Y60" i="24" s="1"/>
  <c r="R145" i="24"/>
  <c r="Y145" i="24" s="1"/>
  <c r="R117" i="24"/>
  <c r="Y117" i="24" s="1"/>
  <c r="R147" i="24"/>
  <c r="Y147" i="24" s="1"/>
  <c r="R123" i="24"/>
  <c r="Y123" i="24" s="1"/>
  <c r="R90" i="24"/>
  <c r="Y90" i="24" s="1"/>
  <c r="R149" i="24"/>
  <c r="Y149" i="24" s="1"/>
  <c r="R98" i="24"/>
  <c r="Y98" i="24" s="1"/>
  <c r="R87" i="24"/>
  <c r="Y87" i="24" s="1"/>
  <c r="R92" i="24"/>
  <c r="Y92" i="24" s="1"/>
  <c r="R95" i="24"/>
  <c r="Y95" i="24" s="1"/>
  <c r="R109" i="24"/>
  <c r="Y109" i="24" s="1"/>
  <c r="R151" i="24"/>
  <c r="Y151" i="24" s="1"/>
  <c r="R101" i="24"/>
  <c r="Y101" i="24" s="1"/>
  <c r="R111" i="24"/>
  <c r="Y111" i="24" s="1"/>
  <c r="R97" i="24"/>
  <c r="Y97" i="24" s="1"/>
  <c r="AA96" i="24"/>
  <c r="Z96" i="24"/>
  <c r="AA124" i="24"/>
  <c r="Z124" i="24"/>
  <c r="AA127" i="24"/>
  <c r="Z127" i="24"/>
  <c r="AA78" i="24"/>
  <c r="Z78" i="24"/>
  <c r="AA99" i="24"/>
  <c r="Z99" i="24"/>
  <c r="AA114" i="24"/>
  <c r="Z114" i="24"/>
  <c r="AA131" i="24"/>
  <c r="Z131" i="24"/>
  <c r="AA113" i="24"/>
  <c r="Z113" i="24"/>
  <c r="Z103" i="24"/>
  <c r="AA115" i="24"/>
  <c r="Z115" i="24"/>
  <c r="AA75" i="24"/>
  <c r="Z75" i="24"/>
  <c r="AA88" i="24"/>
  <c r="Z88" i="24"/>
  <c r="AA133" i="24"/>
  <c r="Z133" i="24"/>
  <c r="AA82" i="24"/>
  <c r="Z82" i="24"/>
  <c r="AA148" i="24"/>
  <c r="Z148" i="24"/>
  <c r="AA125" i="24"/>
  <c r="Z125" i="24"/>
  <c r="AA129" i="24"/>
  <c r="Z129" i="24"/>
  <c r="AA141" i="24"/>
  <c r="Z141" i="24"/>
  <c r="AA107" i="24"/>
  <c r="Z107" i="24"/>
  <c r="AA197" i="24"/>
  <c r="Z197" i="24"/>
  <c r="AA89" i="24"/>
  <c r="Z89" i="24"/>
  <c r="AA146" i="24"/>
  <c r="Z146" i="24"/>
  <c r="AA128" i="24"/>
  <c r="Z128" i="24"/>
  <c r="AA110" i="24"/>
  <c r="Z110" i="24"/>
  <c r="AA76" i="24"/>
  <c r="Z76" i="24"/>
  <c r="AA137" i="24"/>
  <c r="Z137" i="24"/>
  <c r="AA158" i="24"/>
  <c r="Z158" i="24"/>
  <c r="AA139" i="24"/>
  <c r="Z139" i="24"/>
  <c r="AA84" i="24"/>
  <c r="Z84" i="24"/>
  <c r="AA112" i="24"/>
  <c r="Z112" i="24"/>
  <c r="Z130" i="24"/>
  <c r="AA134" i="24"/>
  <c r="Z134" i="24"/>
  <c r="AA138" i="24"/>
  <c r="Z138" i="24"/>
  <c r="AA144" i="24"/>
  <c r="Z144" i="24"/>
  <c r="AA102" i="24"/>
  <c r="Z102" i="24"/>
  <c r="AA150" i="24"/>
  <c r="Z150" i="24"/>
  <c r="AA126" i="24"/>
  <c r="Z126" i="24"/>
  <c r="AA80" i="24"/>
  <c r="Z80" i="24"/>
  <c r="AA108" i="24"/>
  <c r="AA118" i="24"/>
  <c r="Z118" i="24"/>
  <c r="AA152" i="24"/>
  <c r="Z152" i="24"/>
  <c r="AA120" i="24"/>
  <c r="Z120" i="24"/>
  <c r="AA79" i="24"/>
  <c r="Z79" i="24"/>
  <c r="AA132" i="24"/>
  <c r="Z132" i="24"/>
  <c r="AA154" i="24"/>
  <c r="Z154" i="24"/>
  <c r="AA155" i="24"/>
  <c r="Z155" i="24"/>
  <c r="AA77" i="24"/>
  <c r="Z77" i="24"/>
  <c r="AA100" i="24"/>
  <c r="Z100" i="24"/>
  <c r="AA156" i="24"/>
  <c r="Z156" i="24"/>
  <c r="AA143" i="24"/>
  <c r="Z143" i="24"/>
  <c r="AA157" i="24"/>
  <c r="Z157" i="24"/>
  <c r="AA81" i="24"/>
  <c r="Z81" i="24"/>
  <c r="AA119" i="24"/>
  <c r="AA121" i="24"/>
  <c r="Z121" i="24"/>
  <c r="AA116" i="24"/>
  <c r="Z116" i="24"/>
  <c r="AA153" i="24"/>
  <c r="Z153" i="24"/>
  <c r="AA105" i="24"/>
  <c r="Z105" i="24"/>
  <c r="AA83" i="24"/>
  <c r="Z83" i="24"/>
  <c r="AA135" i="24"/>
  <c r="Z135" i="24"/>
  <c r="AA136" i="24"/>
  <c r="Z136" i="24"/>
  <c r="AA122" i="24"/>
  <c r="Z122" i="24"/>
  <c r="AA106" i="24"/>
  <c r="Z106" i="24"/>
  <c r="AA104" i="24"/>
  <c r="Z104" i="24"/>
  <c r="AA142" i="24"/>
  <c r="AA93" i="24"/>
  <c r="Z93" i="24"/>
  <c r="AA94" i="24"/>
  <c r="Z94" i="24"/>
  <c r="AA86" i="24"/>
  <c r="Z86" i="24"/>
  <c r="P12" i="13"/>
  <c r="R950" i="24"/>
  <c r="Y950" i="24" s="1"/>
  <c r="R940" i="24"/>
  <c r="Y940" i="24" s="1"/>
  <c r="R968" i="24"/>
  <c r="Y968" i="24" s="1"/>
  <c r="R967" i="24"/>
  <c r="Y967" i="24" s="1"/>
  <c r="R1465" i="24"/>
  <c r="Y1465" i="24" s="1"/>
  <c r="R1332" i="24"/>
  <c r="Y1332" i="24" s="1"/>
  <c r="R963" i="24"/>
  <c r="Y963" i="24" s="1"/>
  <c r="R953" i="24"/>
  <c r="Y953" i="24" s="1"/>
  <c r="R939" i="24"/>
  <c r="Y939" i="24" s="1"/>
  <c r="R955" i="24"/>
  <c r="Y955" i="24" s="1"/>
  <c r="R1469" i="24"/>
  <c r="Y1469" i="24" s="1"/>
  <c r="R1419" i="24"/>
  <c r="Y1419" i="24" s="1"/>
  <c r="R984" i="24"/>
  <c r="Y984" i="24" s="1"/>
  <c r="R1141" i="24"/>
  <c r="Y1141" i="24" s="1"/>
  <c r="R1324" i="24"/>
  <c r="Y1324" i="24" s="1"/>
  <c r="R1004" i="24"/>
  <c r="Y1004" i="24" s="1"/>
  <c r="R1441" i="24"/>
  <c r="Y1441" i="24" s="1"/>
  <c r="R1401" i="24"/>
  <c r="Y1401" i="24" s="1"/>
  <c r="R1266" i="24"/>
  <c r="Y1266" i="24" s="1"/>
  <c r="R1224" i="24"/>
  <c r="Y1224" i="24" s="1"/>
  <c r="R1244" i="24"/>
  <c r="Y1244" i="24" s="1"/>
  <c r="R1493" i="24"/>
  <c r="Y1493" i="24" s="1"/>
  <c r="R1144" i="24"/>
  <c r="Y1144" i="24" s="1"/>
  <c r="R982" i="24"/>
  <c r="Y982" i="24" s="1"/>
  <c r="R1369" i="24"/>
  <c r="Y1369" i="24" s="1"/>
  <c r="R1234" i="24"/>
  <c r="Y1234" i="24" s="1"/>
  <c r="R1145" i="24"/>
  <c r="Y1145" i="24" s="1"/>
  <c r="R1305" i="24"/>
  <c r="Y1305" i="24" s="1"/>
  <c r="R1086" i="24"/>
  <c r="Y1086" i="24" s="1"/>
  <c r="R1258" i="24"/>
  <c r="Y1258" i="24" s="1"/>
  <c r="R991" i="24"/>
  <c r="Y991" i="24" s="1"/>
  <c r="R1236" i="24"/>
  <c r="Y1236" i="24" s="1"/>
  <c r="R1428" i="24"/>
  <c r="Y1428" i="24" s="1"/>
  <c r="R1147" i="24"/>
  <c r="Y1147" i="24" s="1"/>
  <c r="R993" i="24"/>
  <c r="Y993" i="24" s="1"/>
  <c r="R1104" i="24"/>
  <c r="Y1104" i="24" s="1"/>
  <c r="R1377" i="24"/>
  <c r="Y1377" i="24" s="1"/>
  <c r="R1474" i="24"/>
  <c r="Y1474" i="24" s="1"/>
  <c r="R958" i="24"/>
  <c r="Y958" i="24" s="1"/>
  <c r="R960" i="24"/>
  <c r="Y960" i="24" s="1"/>
  <c r="R974" i="24"/>
  <c r="Y974" i="24" s="1"/>
  <c r="R935" i="24"/>
  <c r="Y935" i="24" s="1"/>
  <c r="R1458" i="24"/>
  <c r="Y1458" i="24" s="1"/>
  <c r="R1363" i="24"/>
  <c r="Y1363" i="24" s="1"/>
  <c r="R1467" i="24"/>
  <c r="Y1467" i="24" s="1"/>
  <c r="R1204" i="24"/>
  <c r="Y1204" i="24" s="1"/>
  <c r="R1122" i="24"/>
  <c r="Y1122" i="24" s="1"/>
  <c r="R1328" i="24"/>
  <c r="Y1328" i="24" s="1"/>
  <c r="R1128" i="24"/>
  <c r="Y1128" i="24" s="1"/>
  <c r="R1285" i="24"/>
  <c r="Y1285" i="24" s="1"/>
  <c r="R1169" i="24"/>
  <c r="Y1169" i="24" s="1"/>
  <c r="R1196" i="24"/>
  <c r="Y1196" i="24" s="1"/>
  <c r="R996" i="24"/>
  <c r="Y996" i="24" s="1"/>
  <c r="R1487" i="24"/>
  <c r="Y1487" i="24" s="1"/>
  <c r="R1133" i="24"/>
  <c r="Y1133" i="24" s="1"/>
  <c r="R1321" i="24"/>
  <c r="Y1321" i="24" s="1"/>
  <c r="R1209" i="24"/>
  <c r="Y1209" i="24" s="1"/>
  <c r="R1250" i="24"/>
  <c r="Y1250" i="24" s="1"/>
  <c r="R1111" i="24"/>
  <c r="Y1111" i="24" s="1"/>
  <c r="R1045" i="24"/>
  <c r="Y1045" i="24" s="1"/>
  <c r="R1077" i="24"/>
  <c r="Y1077" i="24" s="1"/>
  <c r="R1438" i="24"/>
  <c r="Y1438" i="24" s="1"/>
  <c r="R1384" i="24"/>
  <c r="Y1384" i="24" s="1"/>
  <c r="R1125" i="24"/>
  <c r="Y1125" i="24" s="1"/>
  <c r="R1079" i="24"/>
  <c r="Y1079" i="24" s="1"/>
  <c r="R1406" i="24"/>
  <c r="Y1406" i="24" s="1"/>
  <c r="R1344" i="24"/>
  <c r="Y1344" i="24" s="1"/>
  <c r="R1443" i="24"/>
  <c r="Y1443" i="24" s="1"/>
  <c r="R1261" i="24"/>
  <c r="Y1261" i="24" s="1"/>
  <c r="R1475" i="24"/>
  <c r="Y1475" i="24" s="1"/>
  <c r="R1315" i="24"/>
  <c r="Y1315" i="24" s="1"/>
  <c r="R947" i="24"/>
  <c r="Y947" i="24" s="1"/>
  <c r="R938" i="24"/>
  <c r="Y938" i="24" s="1"/>
  <c r="R936" i="24"/>
  <c r="Y936" i="24" s="1"/>
  <c r="R961" i="24"/>
  <c r="Y961" i="24" s="1"/>
  <c r="R1486" i="24"/>
  <c r="Y1486" i="24" s="1"/>
  <c r="R1217" i="24"/>
  <c r="Y1217" i="24" s="1"/>
  <c r="R983" i="24"/>
  <c r="Y983" i="24" s="1"/>
  <c r="R1411" i="24"/>
  <c r="Y1411" i="24" s="1"/>
  <c r="R1005" i="24"/>
  <c r="Y1005" i="24" s="1"/>
  <c r="R1025" i="24"/>
  <c r="Y1025" i="24" s="1"/>
  <c r="R1080" i="24"/>
  <c r="Y1080" i="24" s="1"/>
  <c r="R1323" i="24"/>
  <c r="Y1323" i="24" s="1"/>
  <c r="R1036" i="24"/>
  <c r="Y1036" i="24" s="1"/>
  <c r="R1146" i="24"/>
  <c r="Y1146" i="24" s="1"/>
  <c r="R1271" i="24"/>
  <c r="Y1271" i="24" s="1"/>
  <c r="R1335" i="24"/>
  <c r="Y1335" i="24" s="1"/>
  <c r="R1097" i="24"/>
  <c r="Y1097" i="24" s="1"/>
  <c r="R1001" i="24"/>
  <c r="Y1001" i="24" s="1"/>
  <c r="R1297" i="24"/>
  <c r="Y1297" i="24" s="1"/>
  <c r="R1416" i="24"/>
  <c r="Y1416" i="24" s="1"/>
  <c r="R1175" i="24"/>
  <c r="Y1175" i="24" s="1"/>
  <c r="R1457" i="24"/>
  <c r="Y1457" i="24" s="1"/>
  <c r="R1029" i="24"/>
  <c r="Y1029" i="24" s="1"/>
  <c r="R1284" i="24"/>
  <c r="Y1284" i="24" s="1"/>
  <c r="R1451" i="24"/>
  <c r="Y1451" i="24" s="1"/>
  <c r="R1027" i="24"/>
  <c r="Y1027" i="24" s="1"/>
  <c r="R1208" i="24"/>
  <c r="Y1208" i="24" s="1"/>
  <c r="R1233" i="24"/>
  <c r="Y1233" i="24" s="1"/>
  <c r="R1195" i="24"/>
  <c r="Y1195" i="24" s="1"/>
  <c r="R1179" i="24"/>
  <c r="Y1179" i="24" s="1"/>
  <c r="R1075" i="24"/>
  <c r="Y1075" i="24" s="1"/>
  <c r="R1078" i="24"/>
  <c r="Y1078" i="24" s="1"/>
  <c r="R1498" i="24"/>
  <c r="Y1498" i="24" s="1"/>
  <c r="R1137" i="24"/>
  <c r="Y1137" i="24" s="1"/>
  <c r="R1299" i="24"/>
  <c r="Y1299" i="24" s="1"/>
  <c r="R1084" i="24"/>
  <c r="Y1084" i="24" s="1"/>
  <c r="R1055" i="24"/>
  <c r="Y1055" i="24" s="1"/>
  <c r="R1254" i="24"/>
  <c r="Y1254" i="24" s="1"/>
  <c r="R1300" i="24"/>
  <c r="Y1300" i="24" s="1"/>
  <c r="R1123" i="24"/>
  <c r="Y1123" i="24" s="1"/>
  <c r="R1499" i="24"/>
  <c r="Y1499" i="24" s="1"/>
  <c r="R1292" i="24"/>
  <c r="Y1292" i="24" s="1"/>
  <c r="R1367" i="24"/>
  <c r="Y1367" i="24" s="1"/>
  <c r="R1099" i="24"/>
  <c r="Y1099" i="24" s="1"/>
  <c r="R1351" i="24"/>
  <c r="Y1351" i="24" s="1"/>
  <c r="R1409" i="24"/>
  <c r="Y1409" i="24" s="1"/>
  <c r="R1382" i="24"/>
  <c r="Y1382" i="24" s="1"/>
  <c r="R1071" i="24"/>
  <c r="Y1071" i="24" s="1"/>
  <c r="R1038" i="24"/>
  <c r="Y1038" i="24" s="1"/>
  <c r="R1064" i="24"/>
  <c r="Y1064" i="24" s="1"/>
  <c r="R1200" i="24"/>
  <c r="Y1200" i="24" s="1"/>
  <c r="R1098" i="24"/>
  <c r="Y1098" i="24" s="1"/>
  <c r="R1334" i="24"/>
  <c r="Y1334" i="24" s="1"/>
  <c r="R1028" i="24"/>
  <c r="Y1028" i="24" s="1"/>
  <c r="R1280" i="24"/>
  <c r="Y1280" i="24" s="1"/>
  <c r="R1202" i="24"/>
  <c r="Y1202" i="24" s="1"/>
  <c r="R1391" i="24"/>
  <c r="Y1391" i="24" s="1"/>
  <c r="R1442" i="24"/>
  <c r="Y1442" i="24" s="1"/>
  <c r="R980" i="24"/>
  <c r="Y980" i="24" s="1"/>
  <c r="R976" i="24"/>
  <c r="Y976" i="24" s="1"/>
  <c r="R962" i="24"/>
  <c r="Y962" i="24" s="1"/>
  <c r="R959" i="24"/>
  <c r="Y959" i="24" s="1"/>
  <c r="R1480" i="24"/>
  <c r="Y1480" i="24" s="1"/>
  <c r="R1158" i="24"/>
  <c r="Y1158" i="24" s="1"/>
  <c r="R1310" i="24"/>
  <c r="Y1310" i="24" s="1"/>
  <c r="R1319" i="24"/>
  <c r="Y1319" i="24" s="1"/>
  <c r="R1166" i="24"/>
  <c r="Y1166" i="24" s="1"/>
  <c r="R1002" i="24"/>
  <c r="Y1002" i="24" s="1"/>
  <c r="R1455" i="24"/>
  <c r="Y1455" i="24" s="1"/>
  <c r="R1100" i="24"/>
  <c r="Y1100" i="24" s="1"/>
  <c r="R1212" i="24"/>
  <c r="Y1212" i="24" s="1"/>
  <c r="R1159" i="24"/>
  <c r="Y1159" i="24" s="1"/>
  <c r="R1215" i="24"/>
  <c r="Y1215" i="24" s="1"/>
  <c r="R1256" i="24"/>
  <c r="Y1256" i="24" s="1"/>
  <c r="R1168" i="24"/>
  <c r="Y1168" i="24" s="1"/>
  <c r="R1410" i="24"/>
  <c r="Y1410" i="24" s="1"/>
  <c r="R1161" i="24"/>
  <c r="Y1161" i="24" s="1"/>
  <c r="R1388" i="24"/>
  <c r="Y1388" i="24" s="1"/>
  <c r="R1479" i="24"/>
  <c r="Y1479" i="24" s="1"/>
  <c r="R1434" i="24"/>
  <c r="Y1434" i="24" s="1"/>
  <c r="R1092" i="24"/>
  <c r="Y1092" i="24" s="1"/>
  <c r="R1269" i="24"/>
  <c r="Y1269" i="24" s="1"/>
  <c r="R1343" i="24"/>
  <c r="Y1343" i="24" s="1"/>
  <c r="R1448" i="24"/>
  <c r="Y1448" i="24" s="1"/>
  <c r="R1427" i="24"/>
  <c r="Y1427" i="24" s="1"/>
  <c r="R1117" i="24"/>
  <c r="Y1117" i="24" s="1"/>
  <c r="R1109" i="24"/>
  <c r="Y1109" i="24" s="1"/>
  <c r="R1339" i="24"/>
  <c r="Y1339" i="24" s="1"/>
  <c r="R1007" i="24"/>
  <c r="Y1007" i="24" s="1"/>
  <c r="R1273" i="24"/>
  <c r="Y1273" i="24" s="1"/>
  <c r="R1485" i="24"/>
  <c r="Y1485" i="24" s="1"/>
  <c r="R1021" i="24"/>
  <c r="Y1021" i="24" s="1"/>
  <c r="R1387" i="24"/>
  <c r="Y1387" i="24" s="1"/>
  <c r="R1222" i="24"/>
  <c r="Y1222" i="24" s="1"/>
  <c r="R1238" i="24"/>
  <c r="Y1238" i="24" s="1"/>
  <c r="R1336" i="24"/>
  <c r="Y1336" i="24" s="1"/>
  <c r="R1282" i="24"/>
  <c r="Y1282" i="24" s="1"/>
  <c r="R1019" i="24"/>
  <c r="Y1019" i="24" s="1"/>
  <c r="R1276" i="24"/>
  <c r="Y1276" i="24" s="1"/>
  <c r="R1316" i="24"/>
  <c r="Y1316" i="24" s="1"/>
  <c r="R1220" i="24"/>
  <c r="Y1220" i="24" s="1"/>
  <c r="R1157" i="24"/>
  <c r="Y1157" i="24" s="1"/>
  <c r="R1115" i="24"/>
  <c r="Y1115" i="24" s="1"/>
  <c r="R1088" i="24"/>
  <c r="Y1088" i="24" s="1"/>
  <c r="R1223" i="24"/>
  <c r="Y1223" i="24" s="1"/>
  <c r="R1053" i="24"/>
  <c r="Y1053" i="24" s="1"/>
  <c r="R1402" i="24"/>
  <c r="Y1402" i="24" s="1"/>
  <c r="R1338" i="24"/>
  <c r="Y1338" i="24" s="1"/>
  <c r="R1232" i="24"/>
  <c r="Y1232" i="24" s="1"/>
  <c r="R1052" i="24"/>
  <c r="Y1052" i="24" s="1"/>
  <c r="R1085" i="24"/>
  <c r="Y1085" i="24" s="1"/>
  <c r="R1152" i="24"/>
  <c r="Y1152" i="24" s="1"/>
  <c r="R1313" i="24"/>
  <c r="Y1313" i="24" s="1"/>
  <c r="R1140" i="24"/>
  <c r="Y1140" i="24" s="1"/>
  <c r="R1240" i="24"/>
  <c r="Y1240" i="24" s="1"/>
  <c r="R1089" i="24"/>
  <c r="Y1089" i="24" s="1"/>
  <c r="R1239" i="24"/>
  <c r="Y1239" i="24" s="1"/>
  <c r="R1414" i="24"/>
  <c r="Y1414" i="24" s="1"/>
  <c r="R988" i="24"/>
  <c r="Y988" i="24" s="1"/>
  <c r="R1151" i="24"/>
  <c r="Y1151" i="24" s="1"/>
  <c r="R1422" i="24"/>
  <c r="Y1422" i="24" s="1"/>
  <c r="R1074" i="24"/>
  <c r="Y1074" i="24" s="1"/>
  <c r="R1060" i="24"/>
  <c r="Y1060" i="24" s="1"/>
  <c r="R948" i="24"/>
  <c r="Y948" i="24" s="1"/>
  <c r="R970" i="24"/>
  <c r="Y970" i="24" s="1"/>
  <c r="R964" i="24"/>
  <c r="Y964" i="24" s="1"/>
  <c r="R977" i="24"/>
  <c r="Y977" i="24" s="1"/>
  <c r="R1500" i="24"/>
  <c r="Y1500" i="24" s="1"/>
  <c r="R1407" i="24"/>
  <c r="Y1407" i="24" s="1"/>
  <c r="R1492" i="24"/>
  <c r="Y1492" i="24" s="1"/>
  <c r="R1463" i="24"/>
  <c r="Y1463" i="24" s="1"/>
  <c r="R1375" i="24"/>
  <c r="Y1375" i="24" s="1"/>
  <c r="R1228" i="24"/>
  <c r="Y1228" i="24" s="1"/>
  <c r="R1368" i="24"/>
  <c r="Y1368" i="24" s="1"/>
  <c r="R1501" i="24"/>
  <c r="Y1501" i="24" s="1"/>
  <c r="R1473" i="24"/>
  <c r="Y1473" i="24" s="1"/>
  <c r="R1389" i="24"/>
  <c r="Y1389" i="24" s="1"/>
  <c r="R1107" i="24"/>
  <c r="Y1107" i="24" s="1"/>
  <c r="R1417" i="24"/>
  <c r="Y1417" i="24" s="1"/>
  <c r="R1154" i="24"/>
  <c r="Y1154" i="24" s="1"/>
  <c r="R999" i="24"/>
  <c r="Y999" i="24" s="1"/>
  <c r="R943" i="24"/>
  <c r="Y943" i="24" s="1"/>
  <c r="R937" i="24"/>
  <c r="Y937" i="24" s="1"/>
  <c r="R941" i="24"/>
  <c r="Y941" i="24" s="1"/>
  <c r="R971" i="24"/>
  <c r="Y971" i="24" s="1"/>
  <c r="R1477" i="24"/>
  <c r="Y1477" i="24" s="1"/>
  <c r="R1130" i="24"/>
  <c r="Y1130" i="24" s="1"/>
  <c r="R1306" i="24"/>
  <c r="Y1306" i="24" s="1"/>
  <c r="R1423" i="24"/>
  <c r="Y1423" i="24" s="1"/>
  <c r="R1059" i="24"/>
  <c r="Y1059" i="24" s="1"/>
  <c r="R1015" i="24"/>
  <c r="Y1015" i="24" s="1"/>
  <c r="R1127" i="24"/>
  <c r="Y1127" i="24" s="1"/>
  <c r="R1287" i="24"/>
  <c r="Y1287" i="24" s="1"/>
  <c r="R1143" i="24"/>
  <c r="Y1143" i="24" s="1"/>
  <c r="R1016" i="24"/>
  <c r="Y1016" i="24" s="1"/>
  <c r="R995" i="24"/>
  <c r="Y995" i="24" s="1"/>
  <c r="R1011" i="24"/>
  <c r="Y1011" i="24" s="1"/>
  <c r="R1040" i="24"/>
  <c r="Y1040" i="24" s="1"/>
  <c r="R1290" i="24"/>
  <c r="Y1290" i="24" s="1"/>
  <c r="R1340" i="24"/>
  <c r="Y1340" i="24" s="1"/>
  <c r="R1459" i="24"/>
  <c r="Y1459" i="24" s="1"/>
  <c r="R1496" i="24"/>
  <c r="Y1496" i="24" s="1"/>
  <c r="R1326" i="24"/>
  <c r="Y1326" i="24" s="1"/>
  <c r="R1283" i="24"/>
  <c r="Y1283" i="24" s="1"/>
  <c r="R1440" i="24"/>
  <c r="Y1440" i="24" s="1"/>
  <c r="R1484" i="24"/>
  <c r="Y1484" i="24" s="1"/>
  <c r="R1167" i="24"/>
  <c r="Y1167" i="24" s="1"/>
  <c r="R1374" i="24"/>
  <c r="Y1374" i="24" s="1"/>
  <c r="R1129" i="24"/>
  <c r="Y1129" i="24" s="1"/>
  <c r="R1433" i="24"/>
  <c r="Y1433" i="24" s="1"/>
  <c r="R1142" i="24"/>
  <c r="Y1142" i="24" s="1"/>
  <c r="R1193" i="24"/>
  <c r="Y1193" i="24" s="1"/>
  <c r="R1447" i="24"/>
  <c r="Y1447" i="24" s="1"/>
  <c r="R1253" i="24"/>
  <c r="Y1253" i="24" s="1"/>
  <c r="R1103" i="24"/>
  <c r="Y1103" i="24" s="1"/>
  <c r="R1383" i="24"/>
  <c r="Y1383" i="24" s="1"/>
  <c r="R1047" i="24"/>
  <c r="Y1047" i="24" s="1"/>
  <c r="R1176" i="24"/>
  <c r="Y1176" i="24" s="1"/>
  <c r="R1360" i="24"/>
  <c r="Y1360" i="24" s="1"/>
  <c r="R1372" i="24"/>
  <c r="Y1372" i="24" s="1"/>
  <c r="R1198" i="24"/>
  <c r="Y1198" i="24" s="1"/>
  <c r="R1483" i="24"/>
  <c r="Y1483" i="24" s="1"/>
  <c r="R1275" i="24"/>
  <c r="Y1275" i="24" s="1"/>
  <c r="R1399" i="24"/>
  <c r="Y1399" i="24" s="1"/>
  <c r="R1181" i="24"/>
  <c r="Y1181" i="24" s="1"/>
  <c r="R1302" i="24"/>
  <c r="Y1302" i="24" s="1"/>
  <c r="R1263" i="24"/>
  <c r="Y1263" i="24" s="1"/>
  <c r="R1320" i="24"/>
  <c r="Y1320" i="24" s="1"/>
  <c r="R997" i="24"/>
  <c r="Y997" i="24" s="1"/>
  <c r="R1415" i="24"/>
  <c r="Y1415" i="24" s="1"/>
  <c r="R1245" i="24"/>
  <c r="Y1245" i="24" s="1"/>
  <c r="R1194" i="24"/>
  <c r="Y1194" i="24" s="1"/>
  <c r="R1347" i="24"/>
  <c r="Y1347" i="24" s="1"/>
  <c r="R994" i="24"/>
  <c r="Y994" i="24" s="1"/>
  <c r="R1211" i="24"/>
  <c r="Y1211" i="24" s="1"/>
  <c r="R1286" i="24"/>
  <c r="Y1286" i="24" s="1"/>
  <c r="R992" i="24"/>
  <c r="Y992" i="24" s="1"/>
  <c r="R1349" i="24"/>
  <c r="Y1349" i="24" s="1"/>
  <c r="R1393" i="24"/>
  <c r="Y1393" i="24" s="1"/>
  <c r="R1230" i="24"/>
  <c r="Y1230" i="24" s="1"/>
  <c r="R1170" i="24"/>
  <c r="Y1170" i="24" s="1"/>
  <c r="R1294" i="24"/>
  <c r="Y1294" i="24" s="1"/>
  <c r="R1243" i="24"/>
  <c r="Y1243" i="24" s="1"/>
  <c r="R1121" i="24"/>
  <c r="Y1121" i="24" s="1"/>
  <c r="R1270" i="24"/>
  <c r="Y1270" i="24" s="1"/>
  <c r="R1267" i="24"/>
  <c r="Y1267" i="24" s="1"/>
  <c r="R1381" i="24"/>
  <c r="Y1381" i="24" s="1"/>
  <c r="R1110" i="24"/>
  <c r="Y1110" i="24" s="1"/>
  <c r="R1330" i="24"/>
  <c r="Y1330" i="24" s="1"/>
  <c r="R1355" i="24"/>
  <c r="Y1355" i="24" s="1"/>
  <c r="R1201" i="24"/>
  <c r="Y1201" i="24" s="1"/>
  <c r="R1426" i="24"/>
  <c r="Y1426" i="24" s="1"/>
  <c r="R1022" i="24"/>
  <c r="Y1022" i="24" s="1"/>
  <c r="R1325" i="24"/>
  <c r="Y1325" i="24" s="1"/>
  <c r="R1013" i="24"/>
  <c r="Y1013" i="24" s="1"/>
  <c r="R1114" i="24"/>
  <c r="Y1114" i="24" s="1"/>
  <c r="R1073" i="24"/>
  <c r="Y1073" i="24" s="1"/>
  <c r="R1135" i="24"/>
  <c r="Y1135" i="24" s="1"/>
  <c r="R1278" i="24"/>
  <c r="Y1278" i="24" s="1"/>
  <c r="R1070" i="24"/>
  <c r="Y1070" i="24" s="1"/>
  <c r="R1037" i="24"/>
  <c r="Y1037" i="24" s="1"/>
  <c r="R1018" i="24"/>
  <c r="Y1018" i="24" s="1"/>
  <c r="R1035" i="24"/>
  <c r="Y1035" i="24" s="1"/>
  <c r="R1395" i="24"/>
  <c r="Y1395" i="24" s="1"/>
  <c r="R990" i="24"/>
  <c r="Y990" i="24" s="1"/>
  <c r="R942" i="24"/>
  <c r="Y942" i="24" s="1"/>
  <c r="R975" i="24"/>
  <c r="Y975" i="24" s="1"/>
  <c r="R934" i="24"/>
  <c r="Y934" i="24" s="1"/>
  <c r="R957" i="24"/>
  <c r="Y957" i="24" s="1"/>
  <c r="R1241" i="24"/>
  <c r="Y1241" i="24" s="1"/>
  <c r="R1155" i="24"/>
  <c r="Y1155" i="24" s="1"/>
  <c r="R1034" i="24"/>
  <c r="Y1034" i="24" s="1"/>
  <c r="R1331" i="24"/>
  <c r="Y1331" i="24" s="1"/>
  <c r="R1478" i="24"/>
  <c r="Y1478" i="24" s="1"/>
  <c r="R1361" i="24"/>
  <c r="Y1361" i="24" s="1"/>
  <c r="R1454" i="24"/>
  <c r="Y1454" i="24" s="1"/>
  <c r="R1112" i="24"/>
  <c r="Y1112" i="24" s="1"/>
  <c r="R1203" i="24"/>
  <c r="Y1203" i="24" s="1"/>
  <c r="R1235" i="24"/>
  <c r="Y1235" i="24" s="1"/>
  <c r="R1322" i="24"/>
  <c r="Y1322" i="24" s="1"/>
  <c r="R1412" i="24"/>
  <c r="Y1412" i="24" s="1"/>
  <c r="R1357" i="24"/>
  <c r="Y1357" i="24" s="1"/>
  <c r="R1096" i="24"/>
  <c r="Y1096" i="24" s="1"/>
  <c r="R1400" i="24"/>
  <c r="Y1400" i="24" s="1"/>
  <c r="R1470" i="24"/>
  <c r="Y1470" i="24" s="1"/>
  <c r="R1304" i="24"/>
  <c r="Y1304" i="24" s="1"/>
  <c r="R1359" i="24"/>
  <c r="Y1359" i="24" s="1"/>
  <c r="R1051" i="24"/>
  <c r="Y1051" i="24" s="1"/>
  <c r="R1462" i="24"/>
  <c r="Y1462" i="24" s="1"/>
  <c r="R1048" i="24"/>
  <c r="Y1048" i="24" s="1"/>
  <c r="R1186" i="24"/>
  <c r="Y1186" i="24" s="1"/>
  <c r="R1242" i="24"/>
  <c r="Y1242" i="24" s="1"/>
  <c r="R1446" i="24"/>
  <c r="Y1446" i="24" s="1"/>
  <c r="R1118" i="24"/>
  <c r="Y1118" i="24" s="1"/>
  <c r="R1006" i="24"/>
  <c r="Y1006" i="24" s="1"/>
  <c r="R1087" i="24"/>
  <c r="Y1087" i="24" s="1"/>
  <c r="R1163" i="24"/>
  <c r="Y1163" i="24" s="1"/>
  <c r="R1229" i="24"/>
  <c r="Y1229" i="24" s="1"/>
  <c r="R1333" i="24"/>
  <c r="Y1333" i="24" s="1"/>
  <c r="R1108" i="24"/>
  <c r="Y1108" i="24" s="1"/>
  <c r="R1398" i="24"/>
  <c r="Y1398" i="24" s="1"/>
  <c r="R1346" i="24"/>
  <c r="Y1346" i="24" s="1"/>
  <c r="R1031" i="24"/>
  <c r="Y1031" i="24" s="1"/>
  <c r="R1082" i="24"/>
  <c r="Y1082" i="24" s="1"/>
  <c r="R1342" i="24"/>
  <c r="Y1342" i="24" s="1"/>
  <c r="R1214" i="24"/>
  <c r="Y1214" i="24" s="1"/>
  <c r="R1314" i="24"/>
  <c r="Y1314" i="24" s="1"/>
  <c r="R1461" i="24"/>
  <c r="Y1461" i="24" s="1"/>
  <c r="R1165" i="24"/>
  <c r="Y1165" i="24" s="1"/>
  <c r="R1049" i="24"/>
  <c r="Y1049" i="24" s="1"/>
  <c r="R1265" i="24"/>
  <c r="Y1265" i="24" s="1"/>
  <c r="R1081" i="24"/>
  <c r="Y1081" i="24" s="1"/>
  <c r="R1206" i="24"/>
  <c r="Y1206" i="24" s="1"/>
  <c r="R1371" i="24"/>
  <c r="Y1371" i="24" s="1"/>
  <c r="R1352" i="24"/>
  <c r="Y1352" i="24" s="1"/>
  <c r="R951" i="24"/>
  <c r="Y951" i="24" s="1"/>
  <c r="R969" i="24"/>
  <c r="Y969" i="24" s="1"/>
  <c r="R944" i="24"/>
  <c r="Y944" i="24" s="1"/>
  <c r="R965" i="24"/>
  <c r="Y965" i="24" s="1"/>
  <c r="R1063" i="24"/>
  <c r="Y1063" i="24" s="1"/>
  <c r="R1149" i="24"/>
  <c r="Y1149" i="24" s="1"/>
  <c r="R987" i="24"/>
  <c r="Y987" i="24" s="1"/>
  <c r="R1083" i="24"/>
  <c r="Y1083" i="24" s="1"/>
  <c r="R1495" i="24"/>
  <c r="Y1495" i="24" s="1"/>
  <c r="R1327" i="24"/>
  <c r="Y1327" i="24" s="1"/>
  <c r="R1039" i="24"/>
  <c r="Y1039" i="24" s="1"/>
  <c r="R1008" i="24"/>
  <c r="Y1008" i="24" s="1"/>
  <c r="R1494" i="24"/>
  <c r="Y1494" i="24" s="1"/>
  <c r="R1418" i="24"/>
  <c r="Y1418" i="24" s="1"/>
  <c r="R1030" i="24"/>
  <c r="Y1030" i="24" s="1"/>
  <c r="R1308" i="24"/>
  <c r="Y1308" i="24" s="1"/>
  <c r="R1358" i="24"/>
  <c r="Y1358" i="24" s="1"/>
  <c r="R1303" i="24"/>
  <c r="Y1303" i="24" s="1"/>
  <c r="R1095" i="24"/>
  <c r="Y1095" i="24" s="1"/>
  <c r="R1296" i="24"/>
  <c r="Y1296" i="24" s="1"/>
  <c r="R1476" i="24"/>
  <c r="Y1476" i="24" s="1"/>
  <c r="R1056" i="24"/>
  <c r="Y1056" i="24" s="1"/>
  <c r="R985" i="24"/>
  <c r="Y985" i="24" s="1"/>
  <c r="R1432" i="24"/>
  <c r="Y1432" i="24" s="1"/>
  <c r="R1190" i="24"/>
  <c r="Y1190" i="24" s="1"/>
  <c r="R1134" i="24"/>
  <c r="Y1134" i="24" s="1"/>
  <c r="R1362" i="24"/>
  <c r="Y1362" i="24" s="1"/>
  <c r="R1138" i="24"/>
  <c r="Y1138" i="24" s="1"/>
  <c r="R1471" i="24"/>
  <c r="Y1471" i="24" s="1"/>
  <c r="R1210" i="24"/>
  <c r="Y1210" i="24" s="1"/>
  <c r="R1396" i="24"/>
  <c r="Y1396" i="24" s="1"/>
  <c r="R1365" i="24"/>
  <c r="Y1365" i="24" s="1"/>
  <c r="R1489" i="24"/>
  <c r="Y1489" i="24" s="1"/>
  <c r="R1490" i="24"/>
  <c r="Y1490" i="24" s="1"/>
  <c r="R1403" i="24"/>
  <c r="Y1403" i="24" s="1"/>
  <c r="R1174" i="24"/>
  <c r="Y1174" i="24" s="1"/>
  <c r="R1162" i="24"/>
  <c r="Y1162" i="24" s="1"/>
  <c r="R946" i="24"/>
  <c r="Y946" i="24" s="1"/>
  <c r="R952" i="24"/>
  <c r="Y952" i="24" s="1"/>
  <c r="R966" i="24"/>
  <c r="Y966" i="24" s="1"/>
  <c r="R981" i="24"/>
  <c r="Y981" i="24" s="1"/>
  <c r="R1312" i="24"/>
  <c r="Y1312" i="24" s="1"/>
  <c r="R1356" i="24"/>
  <c r="Y1356" i="24" s="1"/>
  <c r="R1197" i="24"/>
  <c r="Y1197" i="24" s="1"/>
  <c r="R1124" i="24"/>
  <c r="Y1124" i="24" s="1"/>
  <c r="R1491" i="24"/>
  <c r="Y1491" i="24" s="1"/>
  <c r="R1091" i="24"/>
  <c r="Y1091" i="24" s="1"/>
  <c r="R1450" i="24"/>
  <c r="Y1450" i="24" s="1"/>
  <c r="R1431" i="24"/>
  <c r="Y1431" i="24" s="1"/>
  <c r="R1062" i="24"/>
  <c r="Y1062" i="24" s="1"/>
  <c r="R1437" i="24"/>
  <c r="Y1437" i="24" s="1"/>
  <c r="R1225" i="24"/>
  <c r="Y1225" i="24" s="1"/>
  <c r="R1464" i="24"/>
  <c r="Y1464" i="24" s="1"/>
  <c r="R1113" i="24"/>
  <c r="Y1113" i="24" s="1"/>
  <c r="R1182" i="24"/>
  <c r="Y1182" i="24" s="1"/>
  <c r="R1139" i="24"/>
  <c r="Y1139" i="24" s="1"/>
  <c r="R1101" i="24"/>
  <c r="Y1101" i="24" s="1"/>
  <c r="R1482" i="24"/>
  <c r="Y1482" i="24" s="1"/>
  <c r="R1131" i="24"/>
  <c r="Y1131" i="24" s="1"/>
  <c r="R1318" i="24"/>
  <c r="Y1318" i="24" s="1"/>
  <c r="R1394" i="24"/>
  <c r="Y1394" i="24" s="1"/>
  <c r="R1421" i="24"/>
  <c r="Y1421" i="24" s="1"/>
  <c r="R998" i="24"/>
  <c r="Y998" i="24" s="1"/>
  <c r="R1042" i="24"/>
  <c r="Y1042" i="24" s="1"/>
  <c r="R1067" i="24"/>
  <c r="Y1067" i="24" s="1"/>
  <c r="R1072" i="24"/>
  <c r="Y1072" i="24" s="1"/>
  <c r="R1317" i="24"/>
  <c r="Y1317" i="24" s="1"/>
  <c r="R1413" i="24"/>
  <c r="Y1413" i="24" s="1"/>
  <c r="R1262" i="24"/>
  <c r="Y1262" i="24" s="1"/>
  <c r="R1192" i="24"/>
  <c r="Y1192" i="24" s="1"/>
  <c r="R1010" i="24"/>
  <c r="Y1010" i="24" s="1"/>
  <c r="R1058" i="24"/>
  <c r="Y1058" i="24" s="1"/>
  <c r="R1439" i="24"/>
  <c r="Y1439" i="24" s="1"/>
  <c r="R1472" i="24"/>
  <c r="Y1472" i="24" s="1"/>
  <c r="R1281" i="24"/>
  <c r="Y1281" i="24" s="1"/>
  <c r="R1185" i="24"/>
  <c r="Y1185" i="24" s="1"/>
  <c r="R1298" i="24"/>
  <c r="Y1298" i="24" s="1"/>
  <c r="R1408" i="24"/>
  <c r="Y1408" i="24" s="1"/>
  <c r="R1392" i="24"/>
  <c r="Y1392" i="24" s="1"/>
  <c r="R1259" i="24"/>
  <c r="Y1259" i="24" s="1"/>
  <c r="R1033" i="24"/>
  <c r="Y1033" i="24" s="1"/>
  <c r="R1272" i="24"/>
  <c r="Y1272" i="24" s="1"/>
  <c r="R1277" i="24"/>
  <c r="Y1277" i="24" s="1"/>
  <c r="R1173" i="24"/>
  <c r="Y1173" i="24" s="1"/>
  <c r="R1279" i="24"/>
  <c r="Y1279" i="24" s="1"/>
  <c r="R949" i="24"/>
  <c r="Y949" i="24" s="1"/>
  <c r="R979" i="24"/>
  <c r="Y979" i="24" s="1"/>
  <c r="R945" i="24"/>
  <c r="Y945" i="24" s="1"/>
  <c r="R956" i="24"/>
  <c r="Y956" i="24" s="1"/>
  <c r="R1180" i="24"/>
  <c r="Y1180" i="24" s="1"/>
  <c r="R1156" i="24"/>
  <c r="Y1156" i="24" s="1"/>
  <c r="R1404" i="24"/>
  <c r="Y1404" i="24" s="1"/>
  <c r="R1020" i="24"/>
  <c r="Y1020" i="24" s="1"/>
  <c r="R1385" i="24"/>
  <c r="Y1385" i="24" s="1"/>
  <c r="R1274" i="24"/>
  <c r="Y1274" i="24" s="1"/>
  <c r="R1178" i="24"/>
  <c r="Y1178" i="24" s="1"/>
  <c r="R1268" i="24"/>
  <c r="Y1268" i="24" s="1"/>
  <c r="R1000" i="24"/>
  <c r="Y1000" i="24" s="1"/>
  <c r="R1177" i="24"/>
  <c r="Y1177" i="24" s="1"/>
  <c r="R1023" i="24"/>
  <c r="Y1023" i="24" s="1"/>
  <c r="R1120" i="24"/>
  <c r="Y1120" i="24" s="1"/>
  <c r="R1497" i="24"/>
  <c r="Y1497" i="24" s="1"/>
  <c r="R1160" i="24"/>
  <c r="Y1160" i="24" s="1"/>
  <c r="R1466" i="24"/>
  <c r="Y1466" i="24" s="1"/>
  <c r="R1452" i="24"/>
  <c r="Y1452" i="24" s="1"/>
  <c r="R1350" i="24"/>
  <c r="Y1350" i="24" s="1"/>
  <c r="R1264" i="24"/>
  <c r="Y1264" i="24" s="1"/>
  <c r="R1046" i="24"/>
  <c r="Y1046" i="24" s="1"/>
  <c r="R1050" i="24"/>
  <c r="Y1050" i="24" s="1"/>
  <c r="R1289" i="24"/>
  <c r="Y1289" i="24" s="1"/>
  <c r="R1449" i="24"/>
  <c r="Y1449" i="24" s="1"/>
  <c r="R1237" i="24"/>
  <c r="Y1237" i="24" s="1"/>
  <c r="R1380" i="24"/>
  <c r="Y1380" i="24" s="1"/>
  <c r="R1003" i="24"/>
  <c r="Y1003" i="24" s="1"/>
  <c r="R1390" i="24"/>
  <c r="Y1390" i="24" s="1"/>
  <c r="R1337" i="24"/>
  <c r="Y1337" i="24" s="1"/>
  <c r="R1453" i="24"/>
  <c r="Y1453" i="24" s="1"/>
  <c r="R1456" i="24"/>
  <c r="Y1456" i="24" s="1"/>
  <c r="R1017" i="24"/>
  <c r="Y1017" i="24" s="1"/>
  <c r="R1373" i="24"/>
  <c r="Y1373" i="24" s="1"/>
  <c r="R1221" i="24"/>
  <c r="Y1221" i="24" s="1"/>
  <c r="R978" i="24"/>
  <c r="Y978" i="24" s="1"/>
  <c r="R973" i="24"/>
  <c r="Y973" i="24" s="1"/>
  <c r="R972" i="24"/>
  <c r="Y972" i="24" s="1"/>
  <c r="R954" i="24"/>
  <c r="Y954" i="24" s="1"/>
  <c r="R1445" i="24"/>
  <c r="Y1445" i="24" s="1"/>
  <c r="R1184" i="24"/>
  <c r="Y1184" i="24" s="1"/>
  <c r="R1102" i="24"/>
  <c r="Y1102" i="24" s="1"/>
  <c r="R1227" i="24"/>
  <c r="Y1227" i="24" s="1"/>
  <c r="R1207" i="24"/>
  <c r="Y1207" i="24" s="1"/>
  <c r="R1293" i="24"/>
  <c r="Y1293" i="24" s="1"/>
  <c r="R1341" i="24"/>
  <c r="Y1341" i="24" s="1"/>
  <c r="R1164" i="24"/>
  <c r="Y1164" i="24" s="1"/>
  <c r="R989" i="24"/>
  <c r="Y989" i="24" s="1"/>
  <c r="R1044" i="24"/>
  <c r="Y1044" i="24" s="1"/>
  <c r="R1065" i="24"/>
  <c r="Y1065" i="24" s="1"/>
  <c r="R1090" i="24"/>
  <c r="Y1090" i="24" s="1"/>
  <c r="R1488" i="24"/>
  <c r="Y1488" i="24" s="1"/>
  <c r="R1379" i="24"/>
  <c r="Y1379" i="24" s="1"/>
  <c r="R1444" i="24"/>
  <c r="Y1444" i="24" s="1"/>
  <c r="R1106" i="24"/>
  <c r="Y1106" i="24" s="1"/>
  <c r="R1288" i="24"/>
  <c r="Y1288" i="24" s="1"/>
  <c r="R1126" i="24"/>
  <c r="Y1126" i="24" s="1"/>
  <c r="R1353" i="24"/>
  <c r="Y1353" i="24" s="1"/>
  <c r="R1378" i="24"/>
  <c r="Y1378" i="24" s="1"/>
  <c r="R1255" i="24"/>
  <c r="Y1255" i="24" s="1"/>
  <c r="R1189" i="24"/>
  <c r="Y1189" i="24" s="1"/>
  <c r="R1148" i="24"/>
  <c r="Y1148" i="24" s="1"/>
  <c r="R1191" i="24"/>
  <c r="Y1191" i="24" s="1"/>
  <c r="R1061" i="24"/>
  <c r="Y1061" i="24" s="1"/>
  <c r="R1188" i="24"/>
  <c r="Y1188" i="24" s="1"/>
  <c r="R1105" i="24"/>
  <c r="Y1105" i="24" s="1"/>
  <c r="R1436" i="24"/>
  <c r="Y1436" i="24" s="1"/>
  <c r="R1216" i="24"/>
  <c r="Y1216" i="24" s="1"/>
  <c r="R1057" i="24"/>
  <c r="Y1057" i="24" s="1"/>
  <c r="R1054" i="24"/>
  <c r="Y1054" i="24" s="1"/>
  <c r="R1012" i="24"/>
  <c r="Y1012" i="24" s="1"/>
  <c r="R1132" i="24"/>
  <c r="Y1132" i="24" s="1"/>
  <c r="R1291" i="24"/>
  <c r="Y1291" i="24" s="1"/>
  <c r="R1246" i="24"/>
  <c r="Y1246" i="24" s="1"/>
  <c r="R1366" i="24"/>
  <c r="Y1366" i="24" s="1"/>
  <c r="R1026" i="24"/>
  <c r="Y1026" i="24" s="1"/>
  <c r="R1150" i="24"/>
  <c r="Y1150" i="24" s="1"/>
  <c r="R1420" i="24"/>
  <c r="Y1420" i="24" s="1"/>
  <c r="R1153" i="24"/>
  <c r="Y1153" i="24" s="1"/>
  <c r="R1213" i="24"/>
  <c r="Y1213" i="24" s="1"/>
  <c r="R1043" i="24"/>
  <c r="Y1043" i="24" s="1"/>
  <c r="R1260" i="24"/>
  <c r="Y1260" i="24" s="1"/>
  <c r="R1348" i="24"/>
  <c r="Y1348" i="24" s="1"/>
  <c r="R1376" i="24"/>
  <c r="Y1376" i="24" s="1"/>
  <c r="R1257" i="24"/>
  <c r="Y1257" i="24" s="1"/>
  <c r="R1468" i="24"/>
  <c r="Y1468" i="24" s="1"/>
  <c r="R1429" i="24"/>
  <c r="Y1429" i="24" s="1"/>
  <c r="R1093" i="24"/>
  <c r="Y1093" i="24" s="1"/>
  <c r="R1171" i="24"/>
  <c r="Y1171" i="24" s="1"/>
  <c r="R1301" i="24"/>
  <c r="Y1301" i="24" s="1"/>
  <c r="R1231" i="24"/>
  <c r="Y1231" i="24" s="1"/>
  <c r="R1354" i="24"/>
  <c r="Y1354" i="24" s="1"/>
  <c r="R1226" i="24"/>
  <c r="Y1226" i="24" s="1"/>
  <c r="R1136" i="24"/>
  <c r="Y1136" i="24" s="1"/>
  <c r="R1068" i="24"/>
  <c r="Y1068" i="24" s="1"/>
  <c r="R986" i="24"/>
  <c r="Y986" i="24" s="1"/>
  <c r="R1014" i="24"/>
  <c r="Y1014" i="24" s="1"/>
  <c r="R1032" i="24"/>
  <c r="Y1032" i="24" s="1"/>
  <c r="R1311" i="24"/>
  <c r="Y1311" i="24" s="1"/>
  <c r="R1183" i="24"/>
  <c r="Y1183" i="24" s="1"/>
  <c r="R1397" i="24"/>
  <c r="Y1397" i="24" s="1"/>
  <c r="R1252" i="24"/>
  <c r="Y1252" i="24" s="1"/>
  <c r="R1009" i="24"/>
  <c r="Y1009" i="24" s="1"/>
  <c r="R1187" i="24"/>
  <c r="Y1187" i="24" s="1"/>
  <c r="R1481" i="24"/>
  <c r="Y1481" i="24" s="1"/>
  <c r="R1425" i="24"/>
  <c r="Y1425" i="24" s="1"/>
  <c r="R1364" i="24"/>
  <c r="Y1364" i="24" s="1"/>
  <c r="R1249" i="24"/>
  <c r="Y1249" i="24" s="1"/>
  <c r="R1218" i="24"/>
  <c r="Y1218" i="24" s="1"/>
  <c r="R1295" i="24"/>
  <c r="Y1295" i="24" s="1"/>
  <c r="R1424" i="24"/>
  <c r="Y1424" i="24" s="1"/>
  <c r="R1119" i="24"/>
  <c r="Y1119" i="24" s="1"/>
  <c r="R1435" i="24"/>
  <c r="Y1435" i="24" s="1"/>
  <c r="R1460" i="24"/>
  <c r="Y1460" i="24" s="1"/>
  <c r="R1205" i="24"/>
  <c r="Y1205" i="24" s="1"/>
  <c r="R1386" i="24"/>
  <c r="Y1386" i="24" s="1"/>
  <c r="R1309" i="24"/>
  <c r="Y1309" i="24" s="1"/>
  <c r="R1116" i="24"/>
  <c r="Y1116" i="24" s="1"/>
  <c r="R1251" i="24"/>
  <c r="Y1251" i="24" s="1"/>
  <c r="R1172" i="24"/>
  <c r="Y1172" i="24" s="1"/>
  <c r="R1345" i="24"/>
  <c r="Y1345" i="24" s="1"/>
  <c r="R1307" i="24"/>
  <c r="Y1307" i="24" s="1"/>
  <c r="R1041" i="24"/>
  <c r="Y1041" i="24" s="1"/>
  <c r="R1247" i="24"/>
  <c r="Y1247" i="24" s="1"/>
  <c r="R1329" i="24"/>
  <c r="Y1329" i="24" s="1"/>
  <c r="R1248" i="24"/>
  <c r="Y1248" i="24" s="1"/>
  <c r="R1430" i="24"/>
  <c r="Y1430" i="24" s="1"/>
  <c r="R1069" i="24"/>
  <c r="Y1069" i="24" s="1"/>
  <c r="R1219" i="24"/>
  <c r="Y1219" i="24" s="1"/>
  <c r="R1076" i="24"/>
  <c r="Y1076" i="24" s="1"/>
  <c r="R1199" i="24"/>
  <c r="Y1199" i="24" s="1"/>
  <c r="R1066" i="24"/>
  <c r="Y1066" i="24" s="1"/>
  <c r="R1024" i="24"/>
  <c r="Y1024" i="24" s="1"/>
  <c r="R1405" i="24"/>
  <c r="Y1405" i="24" s="1"/>
  <c r="R1094" i="24"/>
  <c r="Y1094" i="24" s="1"/>
  <c r="R1370" i="24"/>
  <c r="Y1370" i="24" s="1"/>
  <c r="AA145" i="24"/>
  <c r="Z145" i="24"/>
  <c r="AA117" i="24"/>
  <c r="Z117" i="24"/>
  <c r="AA147" i="24"/>
  <c r="Z147" i="24"/>
  <c r="AA123" i="24"/>
  <c r="Z123" i="24"/>
  <c r="AA90" i="24"/>
  <c r="Z90" i="24"/>
  <c r="AA149" i="24"/>
  <c r="Z149" i="24"/>
  <c r="AA98" i="24"/>
  <c r="Z98" i="24"/>
  <c r="AA87" i="24"/>
  <c r="Z87" i="24"/>
  <c r="AA92" i="24"/>
  <c r="Z92" i="24"/>
  <c r="AA95" i="24"/>
  <c r="Z95" i="24"/>
  <c r="AA109" i="24"/>
  <c r="Z109" i="24"/>
  <c r="AA151" i="24"/>
  <c r="Z151" i="24"/>
  <c r="AA101" i="24"/>
  <c r="Z101" i="24"/>
  <c r="AA111" i="24"/>
  <c r="Z111" i="24"/>
  <c r="AA97" i="24"/>
  <c r="Z97" i="24"/>
  <c r="R174" i="24"/>
  <c r="Y174" i="24" s="1"/>
  <c r="R159" i="24"/>
  <c r="Y159" i="24" s="1"/>
  <c r="R71" i="24"/>
  <c r="Y71" i="24" s="1"/>
  <c r="R69" i="24"/>
  <c r="Y69" i="24" s="1"/>
  <c r="R165" i="24"/>
  <c r="Y165" i="24" s="1"/>
  <c r="R72" i="24"/>
  <c r="Y72" i="24" s="1"/>
  <c r="R221" i="24"/>
  <c r="Y221" i="24" s="1"/>
  <c r="R365" i="24"/>
  <c r="Y365" i="24" s="1"/>
  <c r="R74" i="24"/>
  <c r="Y74" i="24" s="1"/>
  <c r="R33" i="24"/>
  <c r="Y33" i="24" s="1"/>
  <c r="R167" i="24"/>
  <c r="Y167" i="24" s="1"/>
  <c r="R166" i="24"/>
  <c r="Y166" i="24" s="1"/>
  <c r="R169" i="24"/>
  <c r="Y169" i="24" s="1"/>
  <c r="R163" i="24"/>
  <c r="Y163" i="24" s="1"/>
  <c r="R36" i="24"/>
  <c r="Y36" i="24" s="1"/>
  <c r="R170" i="24"/>
  <c r="Y170" i="24" s="1"/>
  <c r="R162" i="24"/>
  <c r="Y162" i="24" s="1"/>
  <c r="R173" i="24"/>
  <c r="Y173" i="24" s="1"/>
  <c r="R164" i="24"/>
  <c r="Y164" i="24" s="1"/>
  <c r="R596" i="24"/>
  <c r="Y596" i="24" s="1"/>
  <c r="R358" i="24"/>
  <c r="Y358" i="24" s="1"/>
  <c r="R160" i="24"/>
  <c r="Y160" i="24" s="1"/>
  <c r="R161" i="24"/>
  <c r="Y161" i="24" s="1"/>
  <c r="R172" i="24"/>
  <c r="Y172" i="24" s="1"/>
  <c r="R73" i="24"/>
  <c r="Y73" i="24" s="1"/>
  <c r="R68" i="24"/>
  <c r="Y68" i="24" s="1"/>
  <c r="R171" i="24"/>
  <c r="Y171" i="24" s="1"/>
  <c r="R70" i="24"/>
  <c r="Y70" i="24" s="1"/>
  <c r="R168" i="24"/>
  <c r="Y168" i="24" s="1"/>
  <c r="R930" i="24"/>
  <c r="Y930" i="24" s="1"/>
  <c r="R932" i="24"/>
  <c r="Y932" i="24" s="1"/>
  <c r="R558" i="24"/>
  <c r="Y558" i="24" s="1"/>
  <c r="R462" i="24"/>
  <c r="Y462" i="24" s="1"/>
  <c r="R510" i="24"/>
  <c r="Y510" i="24" s="1"/>
  <c r="R431" i="24"/>
  <c r="Y431" i="24" s="1"/>
  <c r="R446" i="24"/>
  <c r="Y446" i="24" s="1"/>
  <c r="R404" i="24"/>
  <c r="Y404" i="24" s="1"/>
  <c r="R7" i="24"/>
  <c r="Y7" i="24" s="1"/>
  <c r="R459" i="24"/>
  <c r="Y459" i="24" s="1"/>
  <c r="R399" i="24"/>
  <c r="Y399" i="24" s="1"/>
  <c r="R449" i="24"/>
  <c r="Y449" i="24" s="1"/>
  <c r="R535" i="24"/>
  <c r="Y535" i="24" s="1"/>
  <c r="R428" i="24"/>
  <c r="Y428" i="24" s="1"/>
  <c r="R532" i="24"/>
  <c r="Y532" i="24" s="1"/>
  <c r="K118" i="4"/>
  <c r="R606" i="24"/>
  <c r="Y606" i="24" s="1"/>
  <c r="R421" i="24"/>
  <c r="Y421" i="24" s="1"/>
  <c r="R590" i="24"/>
  <c r="Y590" i="24" s="1"/>
  <c r="R564" i="24"/>
  <c r="Y564" i="24" s="1"/>
  <c r="R571" i="24"/>
  <c r="Y571" i="24" s="1"/>
  <c r="R928" i="24"/>
  <c r="Y928" i="24" s="1"/>
  <c r="R570" i="24"/>
  <c r="Y570" i="24" s="1"/>
  <c r="R435" i="24"/>
  <c r="Y435" i="24" s="1"/>
  <c r="R491" i="24"/>
  <c r="Y491" i="24" s="1"/>
  <c r="R513" i="24"/>
  <c r="Y513" i="24" s="1"/>
  <c r="R617" i="24"/>
  <c r="Y617" i="24" s="1"/>
  <c r="R434" i="24"/>
  <c r="Y434" i="24" s="1"/>
  <c r="R565" i="24"/>
  <c r="Y565" i="24" s="1"/>
  <c r="E118" i="4"/>
  <c r="F111" i="4" s="1"/>
  <c r="R408" i="24"/>
  <c r="Y408" i="24" s="1"/>
  <c r="R403" i="24"/>
  <c r="Y403" i="24" s="1"/>
  <c r="R543" i="24"/>
  <c r="Y543" i="24" s="1"/>
  <c r="P16" i="13"/>
  <c r="R238" i="24"/>
  <c r="Y238" i="24" s="1"/>
  <c r="R276" i="24"/>
  <c r="Y276" i="24" s="1"/>
  <c r="R310" i="24"/>
  <c r="Y310" i="24" s="1"/>
  <c r="R317" i="24"/>
  <c r="Y317" i="24" s="1"/>
  <c r="R245" i="24"/>
  <c r="Y245" i="24" s="1"/>
  <c r="R279" i="24"/>
  <c r="Y279" i="24" s="1"/>
  <c r="R333" i="24"/>
  <c r="Y333" i="24" s="1"/>
  <c r="R312" i="24"/>
  <c r="Y312" i="24" s="1"/>
  <c r="R274" i="24"/>
  <c r="Y274" i="24" s="1"/>
  <c r="R307" i="24"/>
  <c r="Y307" i="24" s="1"/>
  <c r="P18" i="13"/>
  <c r="R594" i="24"/>
  <c r="Y594" i="24" s="1"/>
  <c r="R610" i="24"/>
  <c r="Y610" i="24" s="1"/>
  <c r="R611" i="24"/>
  <c r="Y611" i="24" s="1"/>
  <c r="R605" i="24"/>
  <c r="Y605" i="24" s="1"/>
  <c r="R592" i="24"/>
  <c r="Y592" i="24" s="1"/>
  <c r="R574" i="24"/>
  <c r="Y574" i="24" s="1"/>
  <c r="R586" i="24"/>
  <c r="Y586" i="24" s="1"/>
  <c r="R582" i="24"/>
  <c r="Y582" i="24" s="1"/>
  <c r="R580" i="24"/>
  <c r="Y580" i="24" s="1"/>
  <c r="R603" i="24"/>
  <c r="Y603" i="24" s="1"/>
  <c r="R597" i="24"/>
  <c r="Y597" i="24" s="1"/>
  <c r="R598" i="24"/>
  <c r="Y598" i="24" s="1"/>
  <c r="R612" i="24"/>
  <c r="Y612" i="24" s="1"/>
  <c r="R573" i="24"/>
  <c r="Y573" i="24" s="1"/>
  <c r="R589" i="24"/>
  <c r="Y589" i="24" s="1"/>
  <c r="R578" i="24"/>
  <c r="Y578" i="24" s="1"/>
  <c r="R593" i="24"/>
  <c r="Y593" i="24" s="1"/>
  <c r="R576" i="24"/>
  <c r="Y576" i="24" s="1"/>
  <c r="R579" i="24"/>
  <c r="Y579" i="24" s="1"/>
  <c r="R599" i="24"/>
  <c r="Y599" i="24" s="1"/>
  <c r="R591" i="24"/>
  <c r="Y591" i="24" s="1"/>
  <c r="R614" i="24"/>
  <c r="Y614" i="24" s="1"/>
  <c r="R577" i="24"/>
  <c r="Y577" i="24" s="1"/>
  <c r="R595" i="24"/>
  <c r="Y595" i="24" s="1"/>
  <c r="R604" i="24"/>
  <c r="Y604" i="24" s="1"/>
  <c r="R575" i="24"/>
  <c r="Y575" i="24" s="1"/>
  <c r="R609" i="24"/>
  <c r="Y609" i="24" s="1"/>
  <c r="R588" i="24"/>
  <c r="Y588" i="24" s="1"/>
  <c r="R600" i="24"/>
  <c r="Y600" i="24" s="1"/>
  <c r="R587" i="24"/>
  <c r="Y587" i="24" s="1"/>
  <c r="R584" i="24"/>
  <c r="Y584" i="24" s="1"/>
  <c r="R602" i="24"/>
  <c r="Y602" i="24" s="1"/>
  <c r="R472" i="24"/>
  <c r="Y472" i="24" s="1"/>
  <c r="R432" i="24"/>
  <c r="Y432" i="24" s="1"/>
  <c r="R427" i="24"/>
  <c r="Y427" i="24" s="1"/>
  <c r="R424" i="24"/>
  <c r="Y424" i="24" s="1"/>
  <c r="R402" i="24"/>
  <c r="Y402" i="24" s="1"/>
  <c r="R608" i="24"/>
  <c r="Y608" i="24" s="1"/>
  <c r="R8" i="24"/>
  <c r="Y8" i="24" s="1"/>
  <c r="R454" i="24"/>
  <c r="Y454" i="24" s="1"/>
  <c r="R583" i="24"/>
  <c r="Y583" i="24" s="1"/>
  <c r="R423" i="24"/>
  <c r="Y423" i="24" s="1"/>
  <c r="R607" i="24"/>
  <c r="Y607" i="24" s="1"/>
  <c r="R188" i="24"/>
  <c r="Y188" i="24" s="1"/>
  <c r="R461" i="24"/>
  <c r="Y461" i="24" s="1"/>
  <c r="R581" i="24"/>
  <c r="Y581" i="24" s="1"/>
  <c r="R420" i="24"/>
  <c r="Y420" i="24" s="1"/>
  <c r="R415" i="24"/>
  <c r="Y415" i="24" s="1"/>
  <c r="R473" i="24"/>
  <c r="Y473" i="24" s="1"/>
  <c r="R396" i="24"/>
  <c r="Y396" i="24" s="1"/>
  <c r="R517" i="24"/>
  <c r="Y517" i="24" s="1"/>
  <c r="R522" i="24"/>
  <c r="Y522" i="24" s="1"/>
  <c r="R494" i="24"/>
  <c r="Y494" i="24" s="1"/>
  <c r="R394" i="24"/>
  <c r="Y394" i="24" s="1"/>
  <c r="R546" i="24"/>
  <c r="Y546" i="24" s="1"/>
  <c r="R613" i="24"/>
  <c r="Y613" i="24" s="1"/>
  <c r="R443" i="24"/>
  <c r="Y443" i="24" s="1"/>
  <c r="R524" i="24"/>
  <c r="Y524" i="24" s="1"/>
  <c r="R480" i="24"/>
  <c r="Y480" i="24" s="1"/>
  <c r="P15" i="13"/>
  <c r="R201" i="24"/>
  <c r="Y201" i="24" s="1"/>
  <c r="R189" i="24"/>
  <c r="Y189" i="24" s="1"/>
  <c r="R530" i="24"/>
  <c r="Y530" i="24" s="1"/>
  <c r="R495" i="24"/>
  <c r="Y495" i="24" s="1"/>
  <c r="R567" i="24"/>
  <c r="Y567" i="24" s="1"/>
  <c r="R409" i="24"/>
  <c r="Y409" i="24" s="1"/>
  <c r="R615" i="24"/>
  <c r="Y615" i="24" s="1"/>
  <c r="R453" i="24"/>
  <c r="Y453" i="24" s="1"/>
  <c r="R18" i="24"/>
  <c r="Y18" i="24" s="1"/>
  <c r="R65" i="24"/>
  <c r="Y65" i="24" s="1"/>
  <c r="R21" i="24"/>
  <c r="Y21" i="24" s="1"/>
  <c r="R66" i="24"/>
  <c r="Y66" i="24" s="1"/>
  <c r="R64" i="24"/>
  <c r="Y64" i="24" s="1"/>
  <c r="R16" i="24"/>
  <c r="Y16" i="24" s="1"/>
  <c r="R19" i="24"/>
  <c r="Y19" i="24" s="1"/>
  <c r="R12" i="24"/>
  <c r="Y12" i="24" s="1"/>
  <c r="R67" i="24"/>
  <c r="Y67" i="24" s="1"/>
  <c r="R17" i="24"/>
  <c r="Y17" i="24" s="1"/>
  <c r="R15" i="24"/>
  <c r="Y15" i="24" s="1"/>
  <c r="R11" i="24"/>
  <c r="Y11" i="24" s="1"/>
  <c r="R20" i="24"/>
  <c r="Y20" i="24" s="1"/>
  <c r="R63" i="24"/>
  <c r="Y63" i="24" s="1"/>
  <c r="R14" i="24"/>
  <c r="Y14" i="24" s="1"/>
  <c r="R10" i="24"/>
  <c r="Y10" i="24" s="1"/>
  <c r="R13" i="24"/>
  <c r="Y13" i="24" s="1"/>
  <c r="G96" i="13"/>
  <c r="R419" i="24"/>
  <c r="Y419" i="24" s="1"/>
  <c r="P17" i="13"/>
  <c r="R549" i="24"/>
  <c r="Y549" i="24" s="1"/>
  <c r="R545" i="24"/>
  <c r="Y545" i="24" s="1"/>
  <c r="R477" i="24"/>
  <c r="Y477" i="24" s="1"/>
  <c r="R440" i="24"/>
  <c r="Y440" i="24" s="1"/>
  <c r="R458" i="24"/>
  <c r="Y458" i="24" s="1"/>
  <c r="R398" i="24"/>
  <c r="Y398" i="24" s="1"/>
  <c r="R410" i="24"/>
  <c r="Y410" i="24" s="1"/>
  <c r="R450" i="24"/>
  <c r="Y450" i="24" s="1"/>
  <c r="R547" i="24"/>
  <c r="Y547" i="24" s="1"/>
  <c r="R531" i="24"/>
  <c r="Y531" i="24" s="1"/>
  <c r="R430" i="24"/>
  <c r="Y430" i="24" s="1"/>
  <c r="R497" i="24"/>
  <c r="Y497" i="24" s="1"/>
  <c r="R548" i="24"/>
  <c r="Y548" i="24" s="1"/>
  <c r="R488" i="24"/>
  <c r="Y488" i="24" s="1"/>
  <c r="R541" i="24"/>
  <c r="Y541" i="24" s="1"/>
  <c r="R542" i="24"/>
  <c r="Y542" i="24" s="1"/>
  <c r="R456" i="24"/>
  <c r="Y456" i="24" s="1"/>
  <c r="R536" i="24"/>
  <c r="Y536" i="24" s="1"/>
  <c r="R496" i="24"/>
  <c r="Y496" i="24" s="1"/>
  <c r="R470" i="24"/>
  <c r="Y470" i="24" s="1"/>
  <c r="R475" i="24"/>
  <c r="Y475" i="24" s="1"/>
  <c r="R452" i="24"/>
  <c r="Y452" i="24" s="1"/>
  <c r="R506" i="24"/>
  <c r="Y506" i="24" s="1"/>
  <c r="R414" i="24"/>
  <c r="Y414" i="24" s="1"/>
  <c r="R412" i="24"/>
  <c r="Y412" i="24" s="1"/>
  <c r="R502" i="24"/>
  <c r="Y502" i="24" s="1"/>
  <c r="R397" i="24"/>
  <c r="Y397" i="24" s="1"/>
  <c r="R521" i="24"/>
  <c r="Y521" i="24" s="1"/>
  <c r="R483" i="24"/>
  <c r="Y483" i="24" s="1"/>
  <c r="R563" i="24"/>
  <c r="Y563" i="24" s="1"/>
  <c r="R487" i="24"/>
  <c r="Y487" i="24" s="1"/>
  <c r="R416" i="24"/>
  <c r="Y416" i="24" s="1"/>
  <c r="R503" i="24"/>
  <c r="Y503" i="24" s="1"/>
  <c r="R401" i="24"/>
  <c r="Y401" i="24" s="1"/>
  <c r="R425" i="24"/>
  <c r="Y425" i="24" s="1"/>
  <c r="R505" i="24"/>
  <c r="Y505" i="24" s="1"/>
  <c r="R448" i="24"/>
  <c r="Y448" i="24" s="1"/>
  <c r="R400" i="24"/>
  <c r="Y400" i="24" s="1"/>
  <c r="R465" i="24"/>
  <c r="Y465" i="24" s="1"/>
  <c r="R437" i="24"/>
  <c r="Y437" i="24" s="1"/>
  <c r="R490" i="24"/>
  <c r="Y490" i="24" s="1"/>
  <c r="R436" i="24"/>
  <c r="Y436" i="24" s="1"/>
  <c r="R442" i="24"/>
  <c r="Y442" i="24" s="1"/>
  <c r="R519" i="24"/>
  <c r="Y519" i="24" s="1"/>
  <c r="R489" i="24"/>
  <c r="Y489" i="24" s="1"/>
  <c r="R422" i="24"/>
  <c r="Y422" i="24" s="1"/>
  <c r="R507" i="24"/>
  <c r="Y507" i="24" s="1"/>
  <c r="R518" i="24"/>
  <c r="Y518" i="24" s="1"/>
  <c r="R566" i="24"/>
  <c r="Y566" i="24" s="1"/>
  <c r="R561" i="24"/>
  <c r="Y561" i="24" s="1"/>
  <c r="R499" i="24"/>
  <c r="Y499" i="24" s="1"/>
  <c r="R433" i="24"/>
  <c r="Y433" i="24" s="1"/>
  <c r="R482" i="24"/>
  <c r="Y482" i="24" s="1"/>
  <c r="R554" i="24"/>
  <c r="Y554" i="24" s="1"/>
  <c r="R527" i="24"/>
  <c r="Y527" i="24" s="1"/>
  <c r="R451" i="24"/>
  <c r="Y451" i="24" s="1"/>
  <c r="R479" i="24"/>
  <c r="Y479" i="24" s="1"/>
  <c r="R418" i="24"/>
  <c r="Y418" i="24" s="1"/>
  <c r="R526" i="24"/>
  <c r="Y526" i="24" s="1"/>
  <c r="R463" i="24"/>
  <c r="Y463" i="24" s="1"/>
  <c r="R523" i="24"/>
  <c r="Y523" i="24" s="1"/>
  <c r="R569" i="24"/>
  <c r="Y569" i="24" s="1"/>
  <c r="R439" i="24"/>
  <c r="Y439" i="24" s="1"/>
  <c r="R469" i="24"/>
  <c r="Y469" i="24" s="1"/>
  <c r="R464" i="24"/>
  <c r="Y464" i="24" s="1"/>
  <c r="R509" i="24"/>
  <c r="Y509" i="24" s="1"/>
  <c r="R481" i="24"/>
  <c r="Y481" i="24" s="1"/>
  <c r="R474" i="24"/>
  <c r="Y474" i="24" s="1"/>
  <c r="R441" i="24"/>
  <c r="Y441" i="24" s="1"/>
  <c r="R504" i="24"/>
  <c r="Y504" i="24" s="1"/>
  <c r="R501" i="24"/>
  <c r="Y501" i="24" s="1"/>
  <c r="R471" i="24"/>
  <c r="Y471" i="24" s="1"/>
  <c r="R534" i="24"/>
  <c r="Y534" i="24" s="1"/>
  <c r="R568" i="24"/>
  <c r="Y568" i="24" s="1"/>
  <c r="R553" i="24"/>
  <c r="Y553" i="24" s="1"/>
  <c r="R498" i="24"/>
  <c r="Y498" i="24" s="1"/>
  <c r="R512" i="24"/>
  <c r="Y512" i="24" s="1"/>
  <c r="R552" i="24"/>
  <c r="Y552" i="24" s="1"/>
  <c r="R511" i="24"/>
  <c r="Y511" i="24" s="1"/>
  <c r="R478" i="24"/>
  <c r="Y478" i="24" s="1"/>
  <c r="R426" i="24"/>
  <c r="Y426" i="24" s="1"/>
  <c r="R457" i="24"/>
  <c r="Y457" i="24" s="1"/>
  <c r="R516" i="24"/>
  <c r="Y516" i="24" s="1"/>
  <c r="R551" i="24"/>
  <c r="Y551" i="24" s="1"/>
  <c r="R485" i="24"/>
  <c r="Y485" i="24" s="1"/>
  <c r="R515" i="24"/>
  <c r="Y515" i="24" s="1"/>
  <c r="R550" i="24"/>
  <c r="Y550" i="24" s="1"/>
  <c r="R455" i="24"/>
  <c r="Y455" i="24" s="1"/>
  <c r="R445" i="24"/>
  <c r="Y445" i="24" s="1"/>
  <c r="R407" i="24"/>
  <c r="Y407" i="24" s="1"/>
  <c r="R529" i="24"/>
  <c r="Y529" i="24" s="1"/>
  <c r="R395" i="24"/>
  <c r="Y395" i="24" s="1"/>
  <c r="R406" i="24"/>
  <c r="Y406" i="24" s="1"/>
  <c r="R557" i="24"/>
  <c r="Y557" i="24" s="1"/>
  <c r="R417" i="24"/>
  <c r="Y417" i="24" s="1"/>
  <c r="R525" i="24"/>
  <c r="Y525" i="24" s="1"/>
  <c r="R486" i="24"/>
  <c r="Y486" i="24" s="1"/>
  <c r="R555" i="24"/>
  <c r="Y555" i="24" s="1"/>
  <c r="R405" i="24"/>
  <c r="Y405" i="24" s="1"/>
  <c r="R411" i="24"/>
  <c r="Y411" i="24" s="1"/>
  <c r="R544" i="24"/>
  <c r="Y544" i="24" s="1"/>
  <c r="R559" i="24"/>
  <c r="Y559" i="24" s="1"/>
  <c r="R562" i="24"/>
  <c r="Y562" i="24" s="1"/>
  <c r="R460" i="24"/>
  <c r="Y460" i="24" s="1"/>
  <c r="R533" i="24"/>
  <c r="Y533" i="24" s="1"/>
  <c r="R413" i="24"/>
  <c r="Y413" i="24" s="1"/>
  <c r="R466" i="24"/>
  <c r="Y466" i="24" s="1"/>
  <c r="R476" i="24"/>
  <c r="Y476" i="24" s="1"/>
  <c r="R556" i="24"/>
  <c r="Y556" i="24" s="1"/>
  <c r="R444" i="24"/>
  <c r="Y444" i="24" s="1"/>
  <c r="R468" i="24"/>
  <c r="Y468" i="24" s="1"/>
  <c r="R560" i="24"/>
  <c r="Y560" i="24" s="1"/>
  <c r="R528" i="24"/>
  <c r="Y528" i="24" s="1"/>
  <c r="R538" i="24"/>
  <c r="Y538" i="24" s="1"/>
  <c r="R520" i="24"/>
  <c r="Y520" i="24" s="1"/>
  <c r="R447" i="24"/>
  <c r="Y447" i="24" s="1"/>
  <c r="R492" i="24"/>
  <c r="Y492" i="24" s="1"/>
  <c r="R438" i="24"/>
  <c r="Y438" i="24" s="1"/>
  <c r="R537" i="24"/>
  <c r="Y537" i="24" s="1"/>
  <c r="R378" i="24"/>
  <c r="Y378" i="24" s="1"/>
  <c r="R601" i="24"/>
  <c r="Y601" i="24" s="1"/>
  <c r="R493" i="24"/>
  <c r="Y493" i="24" s="1"/>
  <c r="R616" i="24"/>
  <c r="Y616" i="24" s="1"/>
  <c r="R500" i="24"/>
  <c r="Y500" i="24" s="1"/>
  <c r="R508" i="24"/>
  <c r="Y508" i="24" s="1"/>
  <c r="R539" i="24"/>
  <c r="Y539" i="24" s="1"/>
  <c r="R572" i="24"/>
  <c r="Y572" i="24" s="1"/>
  <c r="R748" i="24"/>
  <c r="Y748" i="24" s="1"/>
  <c r="R743" i="24"/>
  <c r="Y743" i="24" s="1"/>
  <c r="R50" i="24"/>
  <c r="Y50" i="24" s="1"/>
  <c r="R821" i="24"/>
  <c r="Y821" i="24" s="1"/>
  <c r="R746" i="24"/>
  <c r="Y746" i="24" s="1"/>
  <c r="R48" i="24"/>
  <c r="Y48" i="24" s="1"/>
  <c r="R829" i="24"/>
  <c r="Y829" i="24" s="1"/>
  <c r="R817" i="24"/>
  <c r="Y817" i="24" s="1"/>
  <c r="R761" i="24"/>
  <c r="Y761" i="24" s="1"/>
  <c r="R696" i="24"/>
  <c r="Y696" i="24" s="1"/>
  <c r="R801" i="24"/>
  <c r="Y801" i="24" s="1"/>
  <c r="R751" i="24"/>
  <c r="Y751" i="24" s="1"/>
  <c r="R49" i="24"/>
  <c r="Y49" i="24" s="1"/>
  <c r="R807" i="24"/>
  <c r="Y807" i="24" s="1"/>
  <c r="R733" i="24"/>
  <c r="Y733" i="24" s="1"/>
  <c r="R808" i="24"/>
  <c r="Y808" i="24" s="1"/>
  <c r="R705" i="24"/>
  <c r="Y705" i="24" s="1"/>
  <c r="R742" i="24"/>
  <c r="Y742" i="24" s="1"/>
  <c r="R809" i="24"/>
  <c r="Y809" i="24" s="1"/>
  <c r="R736" i="24"/>
  <c r="Y736" i="24" s="1"/>
  <c r="R788" i="24"/>
  <c r="Y788" i="24" s="1"/>
  <c r="R776" i="24"/>
  <c r="Y776" i="24" s="1"/>
  <c r="R819" i="24"/>
  <c r="Y819" i="24" s="1"/>
  <c r="R834" i="24"/>
  <c r="Y834" i="24" s="1"/>
  <c r="R791" i="24"/>
  <c r="Y791" i="24" s="1"/>
  <c r="R731" i="24"/>
  <c r="Y731" i="24" s="1"/>
  <c r="R716" i="24"/>
  <c r="Y716" i="24" s="1"/>
  <c r="R738" i="24"/>
  <c r="Y738" i="24" s="1"/>
  <c r="R810" i="24"/>
  <c r="Y810" i="24" s="1"/>
  <c r="R782" i="24"/>
  <c r="Y782" i="24" s="1"/>
  <c r="R799" i="24"/>
  <c r="Y799" i="24" s="1"/>
  <c r="R777" i="24"/>
  <c r="Y777" i="24" s="1"/>
  <c r="R796" i="24"/>
  <c r="Y796" i="24" s="1"/>
  <c r="R708" i="24"/>
  <c r="Y708" i="24" s="1"/>
  <c r="R719" i="24"/>
  <c r="Y719" i="24" s="1"/>
  <c r="R757" i="24"/>
  <c r="Y757" i="24" s="1"/>
  <c r="R783" i="24"/>
  <c r="Y783" i="24" s="1"/>
  <c r="R728" i="24"/>
  <c r="Y728" i="24" s="1"/>
  <c r="R805" i="24"/>
  <c r="Y805" i="24" s="1"/>
  <c r="R768" i="24"/>
  <c r="Y768" i="24" s="1"/>
  <c r="R802" i="24"/>
  <c r="Y802" i="24" s="1"/>
  <c r="R800" i="24"/>
  <c r="Y800" i="24" s="1"/>
  <c r="R709" i="24"/>
  <c r="Y709" i="24" s="1"/>
  <c r="R755" i="24"/>
  <c r="Y755" i="24" s="1"/>
  <c r="R790" i="24"/>
  <c r="Y790" i="24" s="1"/>
  <c r="R797" i="24"/>
  <c r="Y797" i="24" s="1"/>
  <c r="R47" i="24"/>
  <c r="Y47" i="24" s="1"/>
  <c r="R51" i="24"/>
  <c r="Y51" i="24" s="1"/>
  <c r="R55" i="24"/>
  <c r="Y55" i="24" s="1"/>
  <c r="R725" i="24"/>
  <c r="Y725" i="24" s="1"/>
  <c r="R702" i="24"/>
  <c r="Y702" i="24" s="1"/>
  <c r="R780" i="24"/>
  <c r="Y780" i="24" s="1"/>
  <c r="R734" i="24"/>
  <c r="Y734" i="24" s="1"/>
  <c r="R781" i="24"/>
  <c r="Y781" i="24" s="1"/>
  <c r="R831" i="24"/>
  <c r="Y831" i="24" s="1"/>
  <c r="R804" i="24"/>
  <c r="Y804" i="24" s="1"/>
  <c r="R739" i="24"/>
  <c r="Y739" i="24" s="1"/>
  <c r="R798" i="24"/>
  <c r="Y798" i="24" s="1"/>
  <c r="R699" i="24"/>
  <c r="Y699" i="24" s="1"/>
  <c r="R749" i="24"/>
  <c r="Y749" i="24" s="1"/>
  <c r="R710" i="24"/>
  <c r="Y710" i="24" s="1"/>
  <c r="R714" i="24"/>
  <c r="Y714" i="24" s="1"/>
  <c r="R715" i="24"/>
  <c r="Y715" i="24" s="1"/>
  <c r="R752" i="24"/>
  <c r="Y752" i="24" s="1"/>
  <c r="R711" i="24"/>
  <c r="Y711" i="24" s="1"/>
  <c r="R784" i="24"/>
  <c r="Y784" i="24" s="1"/>
  <c r="R762" i="24"/>
  <c r="Y762" i="24" s="1"/>
  <c r="R724" i="24"/>
  <c r="Y724" i="24" s="1"/>
  <c r="R701" i="24"/>
  <c r="Y701" i="24" s="1"/>
  <c r="R754" i="24"/>
  <c r="Y754" i="24" s="1"/>
  <c r="R771" i="24"/>
  <c r="Y771" i="24" s="1"/>
  <c r="R729" i="24"/>
  <c r="Y729" i="24" s="1"/>
  <c r="R803" i="24"/>
  <c r="Y803" i="24" s="1"/>
  <c r="R700" i="24"/>
  <c r="Y700" i="24" s="1"/>
  <c r="R787" i="24"/>
  <c r="Y787" i="24" s="1"/>
  <c r="R827" i="24"/>
  <c r="Y827" i="24" s="1"/>
  <c r="R723" i="24"/>
  <c r="Y723" i="24" s="1"/>
  <c r="R772" i="24"/>
  <c r="Y772" i="24" s="1"/>
  <c r="R712" i="24"/>
  <c r="Y712" i="24" s="1"/>
  <c r="R737" i="24"/>
  <c r="Y737" i="24" s="1"/>
  <c r="R792" i="24"/>
  <c r="Y792" i="24" s="1"/>
  <c r="R52" i="24"/>
  <c r="Y52" i="24" s="1"/>
  <c r="R822" i="24"/>
  <c r="Y822" i="24" s="1"/>
  <c r="R698" i="24"/>
  <c r="Y698" i="24" s="1"/>
  <c r="R779" i="24"/>
  <c r="Y779" i="24" s="1"/>
  <c r="R706" i="24"/>
  <c r="Y706" i="24" s="1"/>
  <c r="R830" i="24"/>
  <c r="Y830" i="24" s="1"/>
  <c r="R813" i="24"/>
  <c r="Y813" i="24" s="1"/>
  <c r="R765" i="24"/>
  <c r="Y765" i="24" s="1"/>
  <c r="R722" i="24"/>
  <c r="Y722" i="24" s="1"/>
  <c r="R836" i="24"/>
  <c r="Y836" i="24" s="1"/>
  <c r="R764" i="24"/>
  <c r="Y764" i="24" s="1"/>
  <c r="R741" i="24"/>
  <c r="Y741" i="24" s="1"/>
  <c r="R812" i="24"/>
  <c r="Y812" i="24" s="1"/>
  <c r="R811" i="24"/>
  <c r="Y811" i="24" s="1"/>
  <c r="R730" i="24"/>
  <c r="Y730" i="24" s="1"/>
  <c r="R766" i="24"/>
  <c r="Y766" i="24" s="1"/>
  <c r="R703" i="24"/>
  <c r="Y703" i="24" s="1"/>
  <c r="R785" i="24"/>
  <c r="Y785" i="24" s="1"/>
  <c r="R717" i="24"/>
  <c r="Y717" i="24" s="1"/>
  <c r="R814" i="24"/>
  <c r="Y814" i="24" s="1"/>
  <c r="R786" i="24"/>
  <c r="Y786" i="24" s="1"/>
  <c r="R795" i="24"/>
  <c r="Y795" i="24" s="1"/>
  <c r="R773" i="24"/>
  <c r="Y773" i="24" s="1"/>
  <c r="R793" i="24"/>
  <c r="Y793" i="24" s="1"/>
  <c r="R718" i="24"/>
  <c r="Y718" i="24" s="1"/>
  <c r="R823" i="24"/>
  <c r="Y823" i="24" s="1"/>
  <c r="R824" i="24"/>
  <c r="Y824" i="24" s="1"/>
  <c r="R826" i="24"/>
  <c r="Y826" i="24" s="1"/>
  <c r="R727" i="24"/>
  <c r="Y727" i="24" s="1"/>
  <c r="R735" i="24"/>
  <c r="Y735" i="24" s="1"/>
  <c r="R745" i="24"/>
  <c r="Y745" i="24" s="1"/>
  <c r="R794" i="24"/>
  <c r="Y794" i="24" s="1"/>
  <c r="R760" i="24"/>
  <c r="Y760" i="24" s="1"/>
  <c r="R45" i="24"/>
  <c r="Y45" i="24" s="1"/>
  <c r="R825" i="24"/>
  <c r="Y825" i="24" s="1"/>
  <c r="R697" i="24"/>
  <c r="Y697" i="24" s="1"/>
  <c r="R832" i="24"/>
  <c r="Y832" i="24" s="1"/>
  <c r="R816" i="24"/>
  <c r="Y816" i="24" s="1"/>
  <c r="R806" i="24"/>
  <c r="Y806" i="24" s="1"/>
  <c r="R759" i="24"/>
  <c r="Y759" i="24" s="1"/>
  <c r="R713" i="24"/>
  <c r="Y713" i="24" s="1"/>
  <c r="R53" i="24"/>
  <c r="Y53" i="24" s="1"/>
  <c r="R707" i="24"/>
  <c r="Y707" i="24" s="1"/>
  <c r="R54" i="24"/>
  <c r="Y54" i="24" s="1"/>
  <c r="R778" i="24"/>
  <c r="Y778" i="24" s="1"/>
  <c r="R732" i="24"/>
  <c r="Y732" i="24" s="1"/>
  <c r="R720" i="24"/>
  <c r="Y720" i="24" s="1"/>
  <c r="R769" i="24"/>
  <c r="Y769" i="24" s="1"/>
  <c r="R744" i="24"/>
  <c r="Y744" i="24" s="1"/>
  <c r="R763" i="24"/>
  <c r="Y763" i="24" s="1"/>
  <c r="R815" i="24"/>
  <c r="Y815" i="24" s="1"/>
  <c r="R833" i="24"/>
  <c r="Y833" i="24" s="1"/>
  <c r="R767" i="24"/>
  <c r="Y767" i="24" s="1"/>
  <c r="R721" i="24"/>
  <c r="Y721" i="24" s="1"/>
  <c r="R789" i="24"/>
  <c r="Y789" i="24" s="1"/>
  <c r="R740" i="24"/>
  <c r="Y740" i="24" s="1"/>
  <c r="R750" i="24"/>
  <c r="Y750" i="24" s="1"/>
  <c r="R770" i="24"/>
  <c r="Y770" i="24" s="1"/>
  <c r="R756" i="24"/>
  <c r="Y756" i="24" s="1"/>
  <c r="R835" i="24"/>
  <c r="Y835" i="24" s="1"/>
  <c r="R758" i="24"/>
  <c r="Y758" i="24" s="1"/>
  <c r="R828" i="24"/>
  <c r="Y828" i="24" s="1"/>
  <c r="R704" i="24"/>
  <c r="Y704" i="24" s="1"/>
  <c r="R818" i="24"/>
  <c r="Y818" i="24" s="1"/>
  <c r="R747" i="24"/>
  <c r="Y747" i="24" s="1"/>
  <c r="R44" i="24"/>
  <c r="Y44" i="24" s="1"/>
  <c r="R43" i="24"/>
  <c r="Y43" i="24" s="1"/>
  <c r="R774" i="24"/>
  <c r="Y774" i="24" s="1"/>
  <c r="R820" i="24"/>
  <c r="Y820" i="24" s="1"/>
  <c r="R753" i="24"/>
  <c r="Y753" i="24" s="1"/>
  <c r="R726" i="24"/>
  <c r="Y726" i="24" s="1"/>
  <c r="R775" i="24"/>
  <c r="Y775" i="24" s="1"/>
  <c r="P20" i="13"/>
  <c r="R46" i="24"/>
  <c r="Y46" i="24" s="1"/>
  <c r="R393" i="24"/>
  <c r="Y393" i="24" s="1"/>
  <c r="R467" i="24"/>
  <c r="Y467" i="24" s="1"/>
  <c r="R213" i="24"/>
  <c r="Y213" i="24" s="1"/>
  <c r="R429" i="24"/>
  <c r="Y429" i="24" s="1"/>
  <c r="R484" i="24"/>
  <c r="Y484" i="24" s="1"/>
  <c r="R514" i="24"/>
  <c r="Y514" i="24" s="1"/>
  <c r="R540" i="24"/>
  <c r="Y540" i="24" s="1"/>
  <c r="R585" i="24"/>
  <c r="Y585" i="24" s="1"/>
  <c r="R912" i="24"/>
  <c r="Y912" i="24" s="1"/>
  <c r="R924" i="24"/>
  <c r="Y924" i="24" s="1"/>
  <c r="R888" i="24"/>
  <c r="Y888" i="24" s="1"/>
  <c r="R925" i="24"/>
  <c r="Y925" i="24" s="1"/>
  <c r="R890" i="24"/>
  <c r="Y890" i="24" s="1"/>
  <c r="R893" i="24"/>
  <c r="Y893" i="24" s="1"/>
  <c r="R870" i="24"/>
  <c r="Y870" i="24" s="1"/>
  <c r="R917" i="24"/>
  <c r="Y917" i="24" s="1"/>
  <c r="R907" i="24"/>
  <c r="Y907" i="24" s="1"/>
  <c r="R899" i="24"/>
  <c r="Y899" i="24" s="1"/>
  <c r="R897" i="24"/>
  <c r="Y897" i="24" s="1"/>
  <c r="R898" i="24"/>
  <c r="Y898" i="24" s="1"/>
  <c r="R909" i="24"/>
  <c r="Y909" i="24" s="1"/>
  <c r="R900" i="24"/>
  <c r="Y900" i="24" s="1"/>
  <c r="R880" i="24"/>
  <c r="Y880" i="24" s="1"/>
  <c r="R901" i="24"/>
  <c r="Y901" i="24" s="1"/>
  <c r="R914" i="24"/>
  <c r="Y914" i="24" s="1"/>
  <c r="R887" i="24"/>
  <c r="Y887" i="24" s="1"/>
  <c r="R875" i="24"/>
  <c r="Y875" i="24" s="1"/>
  <c r="R882" i="24"/>
  <c r="Y882" i="24" s="1"/>
  <c r="R877" i="24"/>
  <c r="Y877" i="24" s="1"/>
  <c r="R868" i="24"/>
  <c r="Y868" i="24" s="1"/>
  <c r="R908" i="24"/>
  <c r="Y908" i="24" s="1"/>
  <c r="R919" i="24"/>
  <c r="Y919" i="24" s="1"/>
  <c r="R922" i="24"/>
  <c r="Y922" i="24" s="1"/>
  <c r="R910" i="24"/>
  <c r="Y910" i="24" s="1"/>
  <c r="R916" i="24"/>
  <c r="Y916" i="24" s="1"/>
  <c r="R921" i="24"/>
  <c r="Y921" i="24" s="1"/>
  <c r="R886" i="24"/>
  <c r="Y886" i="24" s="1"/>
  <c r="R918" i="24"/>
  <c r="Y918" i="24" s="1"/>
  <c r="R883" i="24"/>
  <c r="Y883" i="24" s="1"/>
  <c r="R874" i="24"/>
  <c r="Y874" i="24" s="1"/>
  <c r="R927" i="24"/>
  <c r="Y927" i="24" s="1"/>
  <c r="R869" i="24"/>
  <c r="Y869" i="24" s="1"/>
  <c r="R892" i="24"/>
  <c r="Y892" i="24" s="1"/>
  <c r="R920" i="24"/>
  <c r="Y920" i="24" s="1"/>
  <c r="R881" i="24"/>
  <c r="Y881" i="24" s="1"/>
  <c r="R891" i="24"/>
  <c r="Y891" i="24" s="1"/>
  <c r="R905" i="24"/>
  <c r="Y905" i="24" s="1"/>
  <c r="R871" i="24"/>
  <c r="Y871" i="24" s="1"/>
  <c r="R884" i="24"/>
  <c r="Y884" i="24" s="1"/>
  <c r="R915" i="24"/>
  <c r="Y915" i="24" s="1"/>
  <c r="R895" i="24"/>
  <c r="Y895" i="24" s="1"/>
  <c r="R903" i="24"/>
  <c r="Y903" i="24" s="1"/>
  <c r="R889" i="24"/>
  <c r="Y889" i="24" s="1"/>
  <c r="R904" i="24"/>
  <c r="Y904" i="24" s="1"/>
  <c r="R926" i="24"/>
  <c r="Y926" i="24" s="1"/>
  <c r="R879" i="24"/>
  <c r="Y879" i="24" s="1"/>
  <c r="R913" i="24"/>
  <c r="Y913" i="24" s="1"/>
  <c r="R923" i="24"/>
  <c r="Y923" i="24" s="1"/>
  <c r="R906" i="24"/>
  <c r="Y906" i="24" s="1"/>
  <c r="R885" i="24"/>
  <c r="Y885" i="24" s="1"/>
  <c r="R911" i="24"/>
  <c r="Y911" i="24" s="1"/>
  <c r="R894" i="24"/>
  <c r="Y894" i="24" s="1"/>
  <c r="R896" i="24"/>
  <c r="Y896" i="24" s="1"/>
  <c r="R873" i="24"/>
  <c r="Y873" i="24" s="1"/>
  <c r="R878" i="24"/>
  <c r="Y878" i="24" s="1"/>
  <c r="R876" i="24"/>
  <c r="Y876" i="24" s="1"/>
  <c r="R902" i="24"/>
  <c r="Y902" i="24" s="1"/>
  <c r="R872" i="24"/>
  <c r="Y872" i="24" s="1"/>
  <c r="P22" i="13"/>
  <c r="R57" i="24"/>
  <c r="Y57" i="24" s="1"/>
  <c r="R852" i="24"/>
  <c r="Y852" i="24" s="1"/>
  <c r="R847" i="24"/>
  <c r="Y847" i="24" s="1"/>
  <c r="R848" i="24"/>
  <c r="Y848" i="24" s="1"/>
  <c r="R865" i="24"/>
  <c r="Y865" i="24" s="1"/>
  <c r="R841" i="24"/>
  <c r="Y841" i="24" s="1"/>
  <c r="R844" i="24"/>
  <c r="Y844" i="24" s="1"/>
  <c r="R862" i="24"/>
  <c r="Y862" i="24" s="1"/>
  <c r="R56" i="24"/>
  <c r="Y56" i="24" s="1"/>
  <c r="R861" i="24"/>
  <c r="Y861" i="24" s="1"/>
  <c r="R863" i="24"/>
  <c r="Y863" i="24" s="1"/>
  <c r="R837" i="24"/>
  <c r="Y837" i="24" s="1"/>
  <c r="R846" i="24"/>
  <c r="Y846" i="24" s="1"/>
  <c r="R857" i="24"/>
  <c r="Y857" i="24" s="1"/>
  <c r="R840" i="24"/>
  <c r="Y840" i="24" s="1"/>
  <c r="R853" i="24"/>
  <c r="Y853" i="24" s="1"/>
  <c r="R864" i="24"/>
  <c r="Y864" i="24" s="1"/>
  <c r="R860" i="24"/>
  <c r="Y860" i="24" s="1"/>
  <c r="R851" i="24"/>
  <c r="Y851" i="24" s="1"/>
  <c r="R842" i="24"/>
  <c r="Y842" i="24" s="1"/>
  <c r="R854" i="24"/>
  <c r="Y854" i="24" s="1"/>
  <c r="R849" i="24"/>
  <c r="Y849" i="24" s="1"/>
  <c r="R859" i="24"/>
  <c r="Y859" i="24" s="1"/>
  <c r="R858" i="24"/>
  <c r="Y858" i="24" s="1"/>
  <c r="R866" i="24"/>
  <c r="Y866" i="24" s="1"/>
  <c r="R845" i="24"/>
  <c r="Y845" i="24" s="1"/>
  <c r="R850" i="24"/>
  <c r="Y850" i="24" s="1"/>
  <c r="R855" i="24"/>
  <c r="Y855" i="24" s="1"/>
  <c r="R839" i="24"/>
  <c r="Y839" i="24" s="1"/>
  <c r="R867" i="24"/>
  <c r="Y867" i="24" s="1"/>
  <c r="R843" i="24"/>
  <c r="Y843" i="24" s="1"/>
  <c r="R856" i="24"/>
  <c r="Y856" i="24" s="1"/>
  <c r="R838" i="24"/>
  <c r="Y838" i="24" s="1"/>
  <c r="P23" i="13"/>
  <c r="R933" i="24"/>
  <c r="Y933" i="24" s="1"/>
  <c r="R929" i="24"/>
  <c r="Y929" i="24" s="1"/>
  <c r="R931" i="24"/>
  <c r="Y931" i="24" s="1"/>
  <c r="R675" i="24"/>
  <c r="Y675" i="24" s="1"/>
  <c r="R629" i="24"/>
  <c r="Y629" i="24" s="1"/>
  <c r="R673" i="24"/>
  <c r="Y673" i="24" s="1"/>
  <c r="R683" i="24"/>
  <c r="Y683" i="24" s="1"/>
  <c r="R694" i="24"/>
  <c r="Y694" i="24" s="1"/>
  <c r="R656" i="24"/>
  <c r="Y656" i="24" s="1"/>
  <c r="R632" i="24"/>
  <c r="Y632" i="24" s="1"/>
  <c r="R639" i="24"/>
  <c r="Y639" i="24" s="1"/>
  <c r="R643" i="24"/>
  <c r="Y643" i="24" s="1"/>
  <c r="R669" i="24"/>
  <c r="Y669" i="24" s="1"/>
  <c r="R679" i="24"/>
  <c r="Y679" i="24" s="1"/>
  <c r="R628" i="24"/>
  <c r="Y628" i="24" s="1"/>
  <c r="R627" i="24"/>
  <c r="Y627" i="24" s="1"/>
  <c r="R649" i="24"/>
  <c r="Y649" i="24" s="1"/>
  <c r="R658" i="24"/>
  <c r="Y658" i="24" s="1"/>
  <c r="R651" i="24"/>
  <c r="Y651" i="24" s="1"/>
  <c r="R619" i="24"/>
  <c r="Y619" i="24" s="1"/>
  <c r="R661" i="24"/>
  <c r="Y661" i="24" s="1"/>
  <c r="R644" i="24"/>
  <c r="Y644" i="24" s="1"/>
  <c r="R626" i="24"/>
  <c r="Y626" i="24" s="1"/>
  <c r="R647" i="24"/>
  <c r="Y647" i="24" s="1"/>
  <c r="AA647" i="24" s="1"/>
  <c r="R682" i="24"/>
  <c r="Y682" i="24" s="1"/>
  <c r="R695" i="24"/>
  <c r="Y695" i="24" s="1"/>
  <c r="R672" i="24"/>
  <c r="Y672" i="24" s="1"/>
  <c r="R636" i="24"/>
  <c r="Y636" i="24" s="1"/>
  <c r="R684" i="24"/>
  <c r="Y684" i="24" s="1"/>
  <c r="R625" i="24"/>
  <c r="Y625" i="24" s="1"/>
  <c r="R642" i="24"/>
  <c r="Y642" i="24" s="1"/>
  <c r="R650" i="24"/>
  <c r="Y650" i="24" s="1"/>
  <c r="R633" i="24"/>
  <c r="Y633" i="24" s="1"/>
  <c r="R657" i="24"/>
  <c r="Y657" i="24" s="1"/>
  <c r="R640" i="24"/>
  <c r="Y640" i="24" s="1"/>
  <c r="R685" i="24"/>
  <c r="Y685" i="24" s="1"/>
  <c r="R674" i="24"/>
  <c r="Y674" i="24" s="1"/>
  <c r="R689" i="24"/>
  <c r="Y689" i="24" s="1"/>
  <c r="R660" i="24"/>
  <c r="Y660" i="24" s="1"/>
  <c r="R688" i="24"/>
  <c r="Y688" i="24" s="1"/>
  <c r="R623" i="24"/>
  <c r="Y623" i="24" s="1"/>
  <c r="R622" i="24"/>
  <c r="Y622" i="24" s="1"/>
  <c r="R648" i="24"/>
  <c r="Y648" i="24" s="1"/>
  <c r="AA648" i="24" s="1"/>
  <c r="R662" i="24"/>
  <c r="Y662" i="24" s="1"/>
  <c r="R676" i="24"/>
  <c r="Y676" i="24" s="1"/>
  <c r="R652" i="24"/>
  <c r="Y652" i="24" s="1"/>
  <c r="R630" i="24"/>
  <c r="Y630" i="24" s="1"/>
  <c r="R624" i="24"/>
  <c r="Y624" i="24" s="1"/>
  <c r="R678" i="24"/>
  <c r="Y678" i="24" s="1"/>
  <c r="R641" i="24"/>
  <c r="Y641" i="24" s="1"/>
  <c r="R681" i="24"/>
  <c r="Y681" i="24" s="1"/>
  <c r="R664" i="24"/>
  <c r="Y664" i="24" s="1"/>
  <c r="R663" i="24"/>
  <c r="Y663" i="24" s="1"/>
  <c r="R621" i="24"/>
  <c r="Y621" i="24" s="1"/>
  <c r="R646" i="24"/>
  <c r="Y646" i="24" s="1"/>
  <c r="R693" i="24"/>
  <c r="Y693" i="24" s="1"/>
  <c r="R620" i="24"/>
  <c r="Y620" i="24" s="1"/>
  <c r="R635" i="24"/>
  <c r="Y635" i="24" s="1"/>
  <c r="R655" i="24"/>
  <c r="Y655" i="24" s="1"/>
  <c r="R659" i="24"/>
  <c r="Y659" i="24" s="1"/>
  <c r="R634" i="24"/>
  <c r="Y634" i="24" s="1"/>
  <c r="R665" i="24"/>
  <c r="Y665" i="24" s="1"/>
  <c r="R645" i="24"/>
  <c r="Y645" i="24" s="1"/>
  <c r="R667" i="24"/>
  <c r="Y667" i="24" s="1"/>
  <c r="R666" i="24"/>
  <c r="Y666" i="24" s="1"/>
  <c r="R638" i="24"/>
  <c r="Y638" i="24" s="1"/>
  <c r="R670" i="24"/>
  <c r="Y670" i="24" s="1"/>
  <c r="R631" i="24"/>
  <c r="Y631" i="24" s="1"/>
  <c r="R686" i="24"/>
  <c r="Y686" i="24" s="1"/>
  <c r="R687" i="24"/>
  <c r="Y687" i="24" s="1"/>
  <c r="R671" i="24"/>
  <c r="Y671" i="24" s="1"/>
  <c r="R680" i="24"/>
  <c r="Y680" i="24" s="1"/>
  <c r="R677" i="24"/>
  <c r="Y677" i="24" s="1"/>
  <c r="R637" i="24"/>
  <c r="Y637" i="24" s="1"/>
  <c r="R691" i="24"/>
  <c r="Y691" i="24" s="1"/>
  <c r="R618" i="24"/>
  <c r="Y618" i="24" s="1"/>
  <c r="R692" i="24"/>
  <c r="Y692" i="24" s="1"/>
  <c r="R668" i="24"/>
  <c r="Y668" i="24" s="1"/>
  <c r="R654" i="24"/>
  <c r="Y654" i="24" s="1"/>
  <c r="R653" i="24"/>
  <c r="Y653" i="24" s="1"/>
  <c r="R690" i="24"/>
  <c r="Y690" i="24" s="1"/>
  <c r="P19" i="13"/>
  <c r="I114" i="4"/>
  <c r="AJ41" i="13" l="1"/>
  <c r="AO41" i="13" s="1"/>
  <c r="AQ41" i="13" s="1"/>
  <c r="R23" i="24"/>
  <c r="Y23" i="24" s="1"/>
  <c r="R198" i="24"/>
  <c r="Y198" i="24" s="1"/>
  <c r="R40" i="24"/>
  <c r="Y40" i="24" s="1"/>
  <c r="R228" i="24"/>
  <c r="Y228" i="24" s="1"/>
  <c r="R329" i="24"/>
  <c r="Y329" i="24" s="1"/>
  <c r="R284" i="24"/>
  <c r="Y284" i="24" s="1"/>
  <c r="R353" i="24"/>
  <c r="Y353" i="24" s="1"/>
  <c r="R262" i="24"/>
  <c r="Y262" i="24" s="1"/>
  <c r="R226" i="24"/>
  <c r="Y226" i="24" s="1"/>
  <c r="R282" i="24"/>
  <c r="Y282" i="24" s="1"/>
  <c r="R291" i="24"/>
  <c r="Y291" i="24" s="1"/>
  <c r="R251" i="24"/>
  <c r="Y251" i="24" s="1"/>
  <c r="R320" i="24"/>
  <c r="Y320" i="24" s="1"/>
  <c r="R305" i="24"/>
  <c r="Y305" i="24" s="1"/>
  <c r="R31" i="24"/>
  <c r="Y31" i="24" s="1"/>
  <c r="R39" i="24"/>
  <c r="Y39" i="24" s="1"/>
  <c r="R29" i="24"/>
  <c r="Y29" i="24" s="1"/>
  <c r="R374" i="24"/>
  <c r="Y374" i="24" s="1"/>
  <c r="R366" i="24"/>
  <c r="Y366" i="24" s="1"/>
  <c r="R175" i="24"/>
  <c r="Y175" i="24" s="1"/>
  <c r="R200" i="24"/>
  <c r="Y200" i="24" s="1"/>
  <c r="R227" i="24"/>
  <c r="Y227" i="24" s="1"/>
  <c r="R306" i="24"/>
  <c r="Y306" i="24" s="1"/>
  <c r="R289" i="24"/>
  <c r="Y289" i="24" s="1"/>
  <c r="R324" i="24"/>
  <c r="Y324" i="24" s="1"/>
  <c r="R313" i="24"/>
  <c r="Y313" i="24" s="1"/>
  <c r="R283" i="24"/>
  <c r="Y283" i="24" s="1"/>
  <c r="R303" i="24"/>
  <c r="Y303" i="24" s="1"/>
  <c r="R309" i="24"/>
  <c r="Y309" i="24" s="1"/>
  <c r="R340" i="24"/>
  <c r="Y340" i="24" s="1"/>
  <c r="R281" i="24"/>
  <c r="Y281" i="24" s="1"/>
  <c r="R372" i="24"/>
  <c r="Y372" i="24" s="1"/>
  <c r="R375" i="24"/>
  <c r="Y375" i="24" s="1"/>
  <c r="R178" i="24"/>
  <c r="Y178" i="24" s="1"/>
  <c r="R387" i="24"/>
  <c r="Y387" i="24" s="1"/>
  <c r="R385" i="24"/>
  <c r="Y385" i="24" s="1"/>
  <c r="R216" i="24"/>
  <c r="Y216" i="24" s="1"/>
  <c r="R202" i="24"/>
  <c r="Y202" i="24" s="1"/>
  <c r="R318" i="24"/>
  <c r="Y318" i="24" s="1"/>
  <c r="R301" i="24"/>
  <c r="Y301" i="24" s="1"/>
  <c r="R280" i="24"/>
  <c r="Y280" i="24" s="1"/>
  <c r="R272" i="24"/>
  <c r="Y272" i="24" s="1"/>
  <c r="R335" i="24"/>
  <c r="Y335" i="24" s="1"/>
  <c r="R273" i="24"/>
  <c r="Y273" i="24" s="1"/>
  <c r="R243" i="24"/>
  <c r="Y243" i="24" s="1"/>
  <c r="R286" i="24"/>
  <c r="Y286" i="24" s="1"/>
  <c r="R254" i="24"/>
  <c r="Y254" i="24" s="1"/>
  <c r="R342" i="24"/>
  <c r="Y342" i="24" s="1"/>
  <c r="R26" i="24"/>
  <c r="Y26" i="24" s="1"/>
  <c r="R183" i="24"/>
  <c r="Y183" i="24" s="1"/>
  <c r="R373" i="24"/>
  <c r="Y373" i="24" s="1"/>
  <c r="R218" i="24"/>
  <c r="Y218" i="24" s="1"/>
  <c r="R176" i="24"/>
  <c r="Y176" i="24" s="1"/>
  <c r="R212" i="24"/>
  <c r="Y212" i="24" s="1"/>
  <c r="R389" i="24"/>
  <c r="Y389" i="24" s="1"/>
  <c r="R25" i="24"/>
  <c r="Y25" i="24" s="1"/>
  <c r="R199" i="24"/>
  <c r="Y199" i="24" s="1"/>
  <c r="R209" i="24"/>
  <c r="Y209" i="24" s="1"/>
  <c r="R392" i="24"/>
  <c r="Y392" i="24" s="1"/>
  <c r="R314" i="24"/>
  <c r="Y314" i="24" s="1"/>
  <c r="R325" i="24"/>
  <c r="Y325" i="24" s="1"/>
  <c r="R328" i="24"/>
  <c r="Y328" i="24" s="1"/>
  <c r="R294" i="24"/>
  <c r="Y294" i="24" s="1"/>
  <c r="R326" i="24"/>
  <c r="Y326" i="24" s="1"/>
  <c r="R288" i="24"/>
  <c r="Y288" i="24" s="1"/>
  <c r="R316" i="24"/>
  <c r="Y316" i="24" s="1"/>
  <c r="R232" i="24"/>
  <c r="Y232" i="24" s="1"/>
  <c r="R322" i="24"/>
  <c r="Y322" i="24" s="1"/>
  <c r="R250" i="24"/>
  <c r="Y250" i="24" s="1"/>
  <c r="R261" i="24"/>
  <c r="Y261" i="24" s="1"/>
  <c r="R390" i="24"/>
  <c r="Y390" i="24" s="1"/>
  <c r="R177" i="24"/>
  <c r="Y177" i="24" s="1"/>
  <c r="AJ40" i="13" s="1"/>
  <c r="AO40" i="13" s="1"/>
  <c r="AQ40" i="13" s="1"/>
  <c r="R182" i="24"/>
  <c r="Y182" i="24" s="1"/>
  <c r="R180" i="24"/>
  <c r="Y180" i="24" s="1"/>
  <c r="R367" i="24"/>
  <c r="Y367" i="24" s="1"/>
  <c r="R222" i="24"/>
  <c r="Y222" i="24" s="1"/>
  <c r="R386" i="24"/>
  <c r="Y386" i="24" s="1"/>
  <c r="R382" i="24"/>
  <c r="Y382" i="24" s="1"/>
  <c r="R217" i="24"/>
  <c r="Y217" i="24" s="1"/>
  <c r="R191" i="24"/>
  <c r="Y191" i="24" s="1"/>
  <c r="R248" i="24"/>
  <c r="Y248" i="24" s="1"/>
  <c r="R293" i="24"/>
  <c r="Y293" i="24" s="1"/>
  <c r="R349" i="24"/>
  <c r="Y349" i="24" s="1"/>
  <c r="R241" i="24"/>
  <c r="Y241" i="24" s="1"/>
  <c r="R244" i="24"/>
  <c r="Y244" i="24" s="1"/>
  <c r="R298" i="24"/>
  <c r="Y298" i="24" s="1"/>
  <c r="R351" i="24"/>
  <c r="Y351" i="24" s="1"/>
  <c r="R348" i="24"/>
  <c r="Y348" i="24" s="1"/>
  <c r="R236" i="24"/>
  <c r="Y236" i="24" s="1"/>
  <c r="R344" i="24"/>
  <c r="Y344" i="24" s="1"/>
  <c r="R275" i="24"/>
  <c r="Y275" i="24" s="1"/>
  <c r="R27" i="24"/>
  <c r="Y27" i="24" s="1"/>
  <c r="R184" i="24"/>
  <c r="Y184" i="24" s="1"/>
  <c r="R364" i="24"/>
  <c r="Y364" i="24" s="1"/>
  <c r="R224" i="24"/>
  <c r="Y224" i="24" s="1"/>
  <c r="R42" i="24"/>
  <c r="Y42" i="24" s="1"/>
  <c r="R193" i="24"/>
  <c r="Y193" i="24" s="1"/>
  <c r="R383" i="24"/>
  <c r="Y383" i="24" s="1"/>
  <c r="R22" i="24"/>
  <c r="Y22" i="24" s="1"/>
  <c r="R208" i="24"/>
  <c r="Y208" i="24" s="1"/>
  <c r="R196" i="24"/>
  <c r="Y196" i="24" s="1"/>
  <c r="R321" i="24"/>
  <c r="Y321" i="24" s="1"/>
  <c r="R247" i="24"/>
  <c r="Y247" i="24" s="1"/>
  <c r="R231" i="24"/>
  <c r="Y231" i="24" s="1"/>
  <c r="R296" i="24"/>
  <c r="Y296" i="24" s="1"/>
  <c r="R258" i="24"/>
  <c r="Y258" i="24" s="1"/>
  <c r="R347" i="24"/>
  <c r="Y347" i="24" s="1"/>
  <c r="R343" i="24"/>
  <c r="Y343" i="24" s="1"/>
  <c r="R297" i="24"/>
  <c r="Y297" i="24" s="1"/>
  <c r="R237" i="24"/>
  <c r="Y237" i="24" s="1"/>
  <c r="R240" i="24"/>
  <c r="Y240" i="24" s="1"/>
  <c r="R225" i="24"/>
  <c r="Y225" i="24" s="1"/>
  <c r="R186" i="24"/>
  <c r="Y186" i="24" s="1"/>
  <c r="R354" i="24"/>
  <c r="Y354" i="24" s="1"/>
  <c r="R361" i="24"/>
  <c r="Y361" i="24" s="1"/>
  <c r="R220" i="24"/>
  <c r="Y220" i="24" s="1"/>
  <c r="R28" i="24"/>
  <c r="Y28" i="24" s="1"/>
  <c r="R187" i="24"/>
  <c r="Y187" i="24" s="1"/>
  <c r="R194" i="24"/>
  <c r="Y194" i="24" s="1"/>
  <c r="R24" i="24"/>
  <c r="Y24" i="24" s="1"/>
  <c r="R190" i="24"/>
  <c r="Y190" i="24" s="1"/>
  <c r="R214" i="24"/>
  <c r="Y214" i="24" s="1"/>
  <c r="R295" i="24"/>
  <c r="Y295" i="24" s="1"/>
  <c r="R300" i="24"/>
  <c r="Y300" i="24" s="1"/>
  <c r="R252" i="24"/>
  <c r="Y252" i="24" s="1"/>
  <c r="R234" i="24"/>
  <c r="Y234" i="24" s="1"/>
  <c r="R338" i="24"/>
  <c r="Y338" i="24" s="1"/>
  <c r="R277" i="24"/>
  <c r="Y277" i="24" s="1"/>
  <c r="R267" i="24"/>
  <c r="Y267" i="24" s="1"/>
  <c r="R302" i="24"/>
  <c r="Y302" i="24" s="1"/>
  <c r="R290" i="24"/>
  <c r="Y290" i="24" s="1"/>
  <c r="R352" i="24"/>
  <c r="Y352" i="24" s="1"/>
  <c r="R259" i="24"/>
  <c r="Y259" i="24" s="1"/>
  <c r="R179" i="24"/>
  <c r="Y179" i="24" s="1"/>
  <c r="R357" i="24"/>
  <c r="Y357" i="24" s="1"/>
  <c r="R363" i="24"/>
  <c r="Y363" i="24" s="1"/>
  <c r="R371" i="24"/>
  <c r="Y371" i="24" s="1"/>
  <c r="R223" i="24"/>
  <c r="Y223" i="24" s="1"/>
  <c r="R211" i="24"/>
  <c r="Y211" i="24" s="1"/>
  <c r="R192" i="24"/>
  <c r="Y192" i="24" s="1"/>
  <c r="R278" i="24"/>
  <c r="Y278" i="24" s="1"/>
  <c r="R308" i="24"/>
  <c r="Y308" i="24" s="1"/>
  <c r="R327" i="24"/>
  <c r="Y327" i="24" s="1"/>
  <c r="R331" i="24"/>
  <c r="Y331" i="24" s="1"/>
  <c r="R229" i="24"/>
  <c r="Y229" i="24" s="1"/>
  <c r="R350" i="24"/>
  <c r="Y350" i="24" s="1"/>
  <c r="R345" i="24"/>
  <c r="Y345" i="24" s="1"/>
  <c r="R230" i="24"/>
  <c r="Y230" i="24" s="1"/>
  <c r="R249" i="24"/>
  <c r="Y249" i="24" s="1"/>
  <c r="R265" i="24"/>
  <c r="Y265" i="24" s="1"/>
  <c r="R319" i="24"/>
  <c r="Y319" i="24" s="1"/>
  <c r="R356" i="24"/>
  <c r="Y356" i="24" s="1"/>
  <c r="R181" i="24"/>
  <c r="Y181" i="24" s="1"/>
  <c r="R377" i="24"/>
  <c r="Y377" i="24" s="1"/>
  <c r="R368" i="24"/>
  <c r="Y368" i="24" s="1"/>
  <c r="R219" i="24"/>
  <c r="Y219" i="24" s="1"/>
  <c r="R41" i="24"/>
  <c r="Y41" i="24" s="1"/>
  <c r="R388" i="24"/>
  <c r="Y388" i="24" s="1"/>
  <c r="R204" i="24"/>
  <c r="Y204" i="24" s="1"/>
  <c r="R206" i="24"/>
  <c r="Y206" i="24" s="1"/>
  <c r="R215" i="24"/>
  <c r="Y215" i="24" s="1"/>
  <c r="R269" i="24"/>
  <c r="Y269" i="24" s="1"/>
  <c r="R246" i="24"/>
  <c r="Y246" i="24" s="1"/>
  <c r="R233" i="24"/>
  <c r="Y233" i="24" s="1"/>
  <c r="R292" i="24"/>
  <c r="Y292" i="24" s="1"/>
  <c r="R341" i="24"/>
  <c r="Y341" i="24" s="1"/>
  <c r="R334" i="24"/>
  <c r="Y334" i="24" s="1"/>
  <c r="R311" i="24"/>
  <c r="Y311" i="24" s="1"/>
  <c r="R255" i="24"/>
  <c r="Y255" i="24" s="1"/>
  <c r="R235" i="24"/>
  <c r="Y235" i="24" s="1"/>
  <c r="R264" i="24"/>
  <c r="Y264" i="24" s="1"/>
  <c r="R285" i="24"/>
  <c r="Y285" i="24" s="1"/>
  <c r="R37" i="24"/>
  <c r="Y37" i="24" s="1"/>
  <c r="R355" i="24"/>
  <c r="Y355" i="24" s="1"/>
  <c r="R360" i="24"/>
  <c r="Y360" i="24" s="1"/>
  <c r="R376" i="24"/>
  <c r="Y376" i="24" s="1"/>
  <c r="R38" i="24"/>
  <c r="Y38" i="24" s="1"/>
  <c r="R207" i="24"/>
  <c r="Y207" i="24" s="1"/>
  <c r="R381" i="24"/>
  <c r="Y381" i="24" s="1"/>
  <c r="R379" i="24"/>
  <c r="Y379" i="24" s="1"/>
  <c r="R384" i="24"/>
  <c r="Y384" i="24" s="1"/>
  <c r="P13" i="13"/>
  <c r="R203" i="24"/>
  <c r="Y203" i="24" s="1"/>
  <c r="R210" i="24"/>
  <c r="Y210" i="24" s="1"/>
  <c r="R195" i="24"/>
  <c r="Y195" i="24" s="1"/>
  <c r="R263" i="24"/>
  <c r="Y263" i="24" s="1"/>
  <c r="R336" i="24"/>
  <c r="Y336" i="24" s="1"/>
  <c r="R323" i="24"/>
  <c r="Y323" i="24" s="1"/>
  <c r="R257" i="24"/>
  <c r="Y257" i="24" s="1"/>
  <c r="R337" i="24"/>
  <c r="Y337" i="24" s="1"/>
  <c r="R299" i="24"/>
  <c r="Y299" i="24" s="1"/>
  <c r="R332" i="24"/>
  <c r="Y332" i="24" s="1"/>
  <c r="R287" i="24"/>
  <c r="Y287" i="24" s="1"/>
  <c r="R260" i="24"/>
  <c r="Y260" i="24" s="1"/>
  <c r="R239" i="24"/>
  <c r="Y239" i="24" s="1"/>
  <c r="R266" i="24"/>
  <c r="Y266" i="24" s="1"/>
  <c r="R391" i="24"/>
  <c r="Y391" i="24" s="1"/>
  <c r="R32" i="24"/>
  <c r="Y32" i="24" s="1"/>
  <c r="R35" i="24"/>
  <c r="Y35" i="24" s="1"/>
  <c r="R362" i="24"/>
  <c r="Y362" i="24" s="1"/>
  <c r="R359" i="24"/>
  <c r="Y359" i="24" s="1"/>
  <c r="R380" i="24"/>
  <c r="Y380" i="24" s="1"/>
  <c r="R205" i="24"/>
  <c r="Y205" i="24" s="1"/>
  <c r="R271" i="24"/>
  <c r="Y271" i="24" s="1"/>
  <c r="R346" i="24"/>
  <c r="Y346" i="24" s="1"/>
  <c r="R315" i="24"/>
  <c r="Y315" i="24" s="1"/>
  <c r="R268" i="24"/>
  <c r="Y268" i="24" s="1"/>
  <c r="R339" i="24"/>
  <c r="Y339" i="24" s="1"/>
  <c r="R253" i="24"/>
  <c r="Y253" i="24" s="1"/>
  <c r="R304" i="24"/>
  <c r="Y304" i="24" s="1"/>
  <c r="R242" i="24"/>
  <c r="Y242" i="24" s="1"/>
  <c r="R330" i="24"/>
  <c r="Y330" i="24" s="1"/>
  <c r="R270" i="24"/>
  <c r="Y270" i="24" s="1"/>
  <c r="R256" i="24"/>
  <c r="Y256" i="24" s="1"/>
  <c r="R30" i="24"/>
  <c r="Y30" i="24" s="1"/>
  <c r="R185" i="24"/>
  <c r="Y185" i="24" s="1"/>
  <c r="R369" i="24"/>
  <c r="Y369" i="24" s="1"/>
  <c r="R370" i="24"/>
  <c r="Y370" i="24" s="1"/>
  <c r="Z2026" i="24"/>
  <c r="Z2027" i="24"/>
  <c r="Z2020" i="24"/>
  <c r="R9" i="24"/>
  <c r="Y9" i="24" s="1"/>
  <c r="Z1514" i="24"/>
  <c r="AA1514" i="24"/>
  <c r="Z1536" i="24"/>
  <c r="AA1536" i="24"/>
  <c r="AA1529" i="24"/>
  <c r="Z1529" i="24"/>
  <c r="Z1929" i="24"/>
  <c r="AA1929" i="24"/>
  <c r="AA1770" i="24"/>
  <c r="Z1770" i="24"/>
  <c r="Z1906" i="24"/>
  <c r="AA1906" i="24"/>
  <c r="Z1704" i="24"/>
  <c r="AA1704" i="24"/>
  <c r="Z1990" i="24"/>
  <c r="AA1990" i="24"/>
  <c r="AA1745" i="24"/>
  <c r="Z1745" i="24"/>
  <c r="Z1967" i="24"/>
  <c r="AA1967" i="24"/>
  <c r="AA1809" i="24"/>
  <c r="Z1809" i="24"/>
  <c r="Z1797" i="24"/>
  <c r="AA1797" i="24"/>
  <c r="Z1647" i="24"/>
  <c r="AA1647" i="24"/>
  <c r="AA1811" i="24"/>
  <c r="Z1811" i="24"/>
  <c r="AA1893" i="24"/>
  <c r="Z1893" i="24"/>
  <c r="Z1694" i="24"/>
  <c r="AA1694" i="24"/>
  <c r="AA1831" i="24"/>
  <c r="Z1831" i="24"/>
  <c r="Z1932" i="24"/>
  <c r="AA1932" i="24"/>
  <c r="AA1755" i="24"/>
  <c r="Z1755" i="24"/>
  <c r="Z1796" i="24"/>
  <c r="AA1796" i="24"/>
  <c r="AA1629" i="24"/>
  <c r="Z1629" i="24"/>
  <c r="Z1848" i="24"/>
  <c r="AA1848" i="24"/>
  <c r="AA1836" i="24"/>
  <c r="Z1836" i="24"/>
  <c r="AA1707" i="24"/>
  <c r="Z1707" i="24"/>
  <c r="Z1830" i="24"/>
  <c r="AA1830" i="24"/>
  <c r="AA1673" i="24"/>
  <c r="Z1673" i="24"/>
  <c r="AA1921" i="24"/>
  <c r="Z1921" i="24"/>
  <c r="Z1684" i="24"/>
  <c r="AA1684" i="24"/>
  <c r="Z1897" i="24"/>
  <c r="AA1897" i="24"/>
  <c r="AA1724" i="24"/>
  <c r="Z1724" i="24"/>
  <c r="Z1892" i="24"/>
  <c r="AA1892" i="24"/>
  <c r="AA1753" i="24"/>
  <c r="Z1753" i="24"/>
  <c r="Z1868" i="24"/>
  <c r="AA1868" i="24"/>
  <c r="AA1702" i="24"/>
  <c r="Z1702" i="24"/>
  <c r="AA1952" i="24"/>
  <c r="Z1952" i="24"/>
  <c r="Z1515" i="24"/>
  <c r="AA1515" i="24"/>
  <c r="AA1537" i="24"/>
  <c r="Z1537" i="24"/>
  <c r="AA1530" i="24"/>
  <c r="Z1530" i="24"/>
  <c r="Z1716" i="24"/>
  <c r="AA1716" i="24"/>
  <c r="AA1880" i="24"/>
  <c r="Z1880" i="24"/>
  <c r="Z1998" i="24"/>
  <c r="AA1998" i="24"/>
  <c r="Z1894" i="24"/>
  <c r="AA1894" i="24"/>
  <c r="Z1723" i="24"/>
  <c r="AA1723" i="24"/>
  <c r="AA1872" i="24"/>
  <c r="Z1872" i="24"/>
  <c r="Z1719" i="24"/>
  <c r="AA1719" i="24"/>
  <c r="Z1955" i="24"/>
  <c r="AA1955" i="24"/>
  <c r="AA1963" i="24"/>
  <c r="Z1963" i="24"/>
  <c r="Z1788" i="24"/>
  <c r="AA1788" i="24"/>
  <c r="Z1924" i="24"/>
  <c r="AA1924" i="24"/>
  <c r="AA1627" i="24"/>
  <c r="Z1627" i="24"/>
  <c r="Z1881" i="24"/>
  <c r="AA1881" i="24"/>
  <c r="Z1979" i="24"/>
  <c r="AA1979" i="24"/>
  <c r="AA1689" i="24"/>
  <c r="Z1689" i="24"/>
  <c r="Z1903" i="24"/>
  <c r="AA1903" i="24"/>
  <c r="Z1942" i="24"/>
  <c r="AA1942" i="24"/>
  <c r="Z1768" i="24"/>
  <c r="AA1768" i="24"/>
  <c r="AA1995" i="24"/>
  <c r="Z1995" i="24"/>
  <c r="Z1642" i="24"/>
  <c r="AA1642" i="24"/>
  <c r="Z1822" i="24"/>
  <c r="AA1822" i="24"/>
  <c r="Z1957" i="24"/>
  <c r="AA1957" i="24"/>
  <c r="AA1801" i="24"/>
  <c r="Z1801" i="24"/>
  <c r="Z1679" i="24"/>
  <c r="AA1679" i="24"/>
  <c r="Z1852" i="24"/>
  <c r="AA1852" i="24"/>
  <c r="Z1676" i="24"/>
  <c r="AA1676" i="24"/>
  <c r="AA1886" i="24"/>
  <c r="Z1886" i="24"/>
  <c r="AA1687" i="24"/>
  <c r="Z1687" i="24"/>
  <c r="AA1843" i="24"/>
  <c r="Z1843" i="24"/>
  <c r="Z1996" i="24"/>
  <c r="AA1996" i="24"/>
  <c r="AA1857" i="24"/>
  <c r="Z1857" i="24"/>
  <c r="Z1709" i="24"/>
  <c r="AA1709" i="24"/>
  <c r="Z1516" i="24"/>
  <c r="AA1516" i="24"/>
  <c r="AA1538" i="24"/>
  <c r="Z1538" i="24"/>
  <c r="Z1531" i="24"/>
  <c r="AA1531" i="24"/>
  <c r="AA1818" i="24"/>
  <c r="Z1818" i="24"/>
  <c r="Z1633" i="24"/>
  <c r="AA1633" i="24"/>
  <c r="AA1760" i="24"/>
  <c r="Z1760" i="24"/>
  <c r="Z1645" i="24"/>
  <c r="AA1645" i="24"/>
  <c r="Z1866" i="24"/>
  <c r="AA1866" i="24"/>
  <c r="Z1641" i="24"/>
  <c r="AA1641" i="24"/>
  <c r="AA1879" i="24"/>
  <c r="Z1879" i="24"/>
  <c r="AA1697" i="24"/>
  <c r="Z1697" i="24"/>
  <c r="Z1765" i="24"/>
  <c r="AA1765" i="24"/>
  <c r="Z1919" i="24"/>
  <c r="AA1919" i="24"/>
  <c r="AA1669" i="24"/>
  <c r="Z1669" i="24"/>
  <c r="Z1733" i="24"/>
  <c r="AA1733" i="24"/>
  <c r="AA1634" i="24"/>
  <c r="Z1634" i="24"/>
  <c r="AA1654" i="24"/>
  <c r="Z1654" i="24"/>
  <c r="AA1860" i="24"/>
  <c r="Z1860" i="24"/>
  <c r="AA1666" i="24"/>
  <c r="Z1666" i="24"/>
  <c r="Z1686" i="24"/>
  <c r="AA1686" i="24"/>
  <c r="AA1948" i="24"/>
  <c r="Z1948" i="24"/>
  <c r="Z1757" i="24"/>
  <c r="AA1757" i="24"/>
  <c r="AA1798" i="24"/>
  <c r="Z1798" i="24"/>
  <c r="AA1970" i="24"/>
  <c r="Z1970" i="24"/>
  <c r="AA1726" i="24"/>
  <c r="Z1726" i="24"/>
  <c r="AA1984" i="24"/>
  <c r="Z1984" i="24"/>
  <c r="AA1808" i="24"/>
  <c r="Z1808" i="24"/>
  <c r="AA1962" i="24"/>
  <c r="Z1962" i="24"/>
  <c r="AA1821" i="24"/>
  <c r="Z1821" i="24"/>
  <c r="Z1638" i="24"/>
  <c r="AA1638" i="24"/>
  <c r="AA1816" i="24"/>
  <c r="Z1816" i="24"/>
  <c r="Z2009" i="24"/>
  <c r="AA2009" i="24"/>
  <c r="Z1743" i="24"/>
  <c r="AA1743" i="24"/>
  <c r="Z2005" i="24"/>
  <c r="AA2005" i="24"/>
  <c r="Z1864" i="24"/>
  <c r="AA1864" i="24"/>
  <c r="Z1505" i="24"/>
  <c r="AA1505" i="24"/>
  <c r="AA1517" i="24"/>
  <c r="Z1517" i="24"/>
  <c r="AA1539" i="24"/>
  <c r="Z1539" i="24"/>
  <c r="Z1532" i="24"/>
  <c r="AA1532" i="24"/>
  <c r="Z1983" i="24"/>
  <c r="AA1983" i="24"/>
  <c r="AA1807" i="24"/>
  <c r="Z1807" i="24"/>
  <c r="Z1927" i="24"/>
  <c r="AA1927" i="24"/>
  <c r="AA1820" i="24"/>
  <c r="Z1820" i="24"/>
  <c r="AA1993" i="24"/>
  <c r="Z1993" i="24"/>
  <c r="AA1779" i="24"/>
  <c r="Z1779" i="24"/>
  <c r="AA1632" i="24"/>
  <c r="Z1632" i="24"/>
  <c r="Z1810" i="24"/>
  <c r="AA1810" i="24"/>
  <c r="AA1874" i="24"/>
  <c r="Z1874" i="24"/>
  <c r="Z1678" i="24"/>
  <c r="AA1678" i="24"/>
  <c r="Z1813" i="24"/>
  <c r="AA1813" i="24"/>
  <c r="Z1915" i="24"/>
  <c r="AA1915" i="24"/>
  <c r="Z1740" i="24"/>
  <c r="AA1740" i="24"/>
  <c r="Z1778" i="24"/>
  <c r="AA1778" i="24"/>
  <c r="Z2006" i="24"/>
  <c r="AA2006" i="24"/>
  <c r="Z1847" i="24"/>
  <c r="AA1847" i="24"/>
  <c r="AA1835" i="24"/>
  <c r="Z1835" i="24"/>
  <c r="Z1693" i="24"/>
  <c r="AA1693" i="24"/>
  <c r="AA1829" i="24"/>
  <c r="Z1829" i="24"/>
  <c r="AA1914" i="24"/>
  <c r="Z1914" i="24"/>
  <c r="AA1722" i="24"/>
  <c r="Z1722" i="24"/>
  <c r="Z1869" i="24"/>
  <c r="AA1869" i="24"/>
  <c r="Z1734" i="24"/>
  <c r="AA1734" i="24"/>
  <c r="Z1938" i="24"/>
  <c r="AA1938" i="24"/>
  <c r="AA1730" i="24"/>
  <c r="Z1730" i="24"/>
  <c r="Z1969" i="24"/>
  <c r="AA1969" i="24"/>
  <c r="AA1775" i="24"/>
  <c r="Z1775" i="24"/>
  <c r="Z1945" i="24"/>
  <c r="AA1945" i="24"/>
  <c r="Z1771" i="24"/>
  <c r="AA1771" i="24"/>
  <c r="AA1890" i="24"/>
  <c r="Z1890" i="24"/>
  <c r="AA1784" i="24"/>
  <c r="Z1784" i="24"/>
  <c r="AA1973" i="24"/>
  <c r="Z1973" i="24"/>
  <c r="Z1506" i="24"/>
  <c r="AA1506" i="24"/>
  <c r="Z1518" i="24"/>
  <c r="AA1518" i="24"/>
  <c r="AA1540" i="24"/>
  <c r="Z1540" i="24"/>
  <c r="AA1533" i="24"/>
  <c r="Z1533" i="24"/>
  <c r="Z1703" i="24"/>
  <c r="AA1703" i="24"/>
  <c r="Z1971" i="24"/>
  <c r="AA1971" i="24"/>
  <c r="Z1744" i="24"/>
  <c r="AA1744" i="24"/>
  <c r="Z1966" i="24"/>
  <c r="AA1966" i="24"/>
  <c r="Z1791" i="24"/>
  <c r="AA1791" i="24"/>
  <c r="Z1944" i="24"/>
  <c r="AA1944" i="24"/>
  <c r="Z1787" i="24"/>
  <c r="AA1787" i="24"/>
  <c r="Z1908" i="24"/>
  <c r="AA1908" i="24"/>
  <c r="Z2004" i="24"/>
  <c r="AA2004" i="24"/>
  <c r="AA1863" i="24"/>
  <c r="Z1863" i="24"/>
  <c r="Z1978" i="24"/>
  <c r="AA1978" i="24"/>
  <c r="Z1675" i="24"/>
  <c r="AA1675" i="24"/>
  <c r="Z1884" i="24"/>
  <c r="AA1884" i="24"/>
  <c r="Z1928" i="24"/>
  <c r="AA1928" i="24"/>
  <c r="Z1752" i="24"/>
  <c r="AA1752" i="24"/>
  <c r="Z1976" i="24"/>
  <c r="AA1976" i="24"/>
  <c r="Z1626" i="24"/>
  <c r="AA1626" i="24"/>
  <c r="Z1806" i="24"/>
  <c r="AA1806" i="24"/>
  <c r="Z1940" i="24"/>
  <c r="AA1940" i="24"/>
  <c r="Z1659" i="24"/>
  <c r="AA1659" i="24"/>
  <c r="Z1902" i="24"/>
  <c r="AA1902" i="24"/>
  <c r="Z1670" i="24"/>
  <c r="AA1670" i="24"/>
  <c r="Z1878" i="24"/>
  <c r="AA1878" i="24"/>
  <c r="Z1711" i="24"/>
  <c r="AA1711" i="24"/>
  <c r="AA1873" i="24"/>
  <c r="Z1873" i="24"/>
  <c r="Z1736" i="24"/>
  <c r="AA1736" i="24"/>
  <c r="AA1850" i="24"/>
  <c r="Z1850" i="24"/>
  <c r="AA1688" i="24"/>
  <c r="Z1688" i="24"/>
  <c r="AA1937" i="24"/>
  <c r="Z1937" i="24"/>
  <c r="Z1714" i="24"/>
  <c r="AA1714" i="24"/>
  <c r="AA1933" i="24"/>
  <c r="Z1933" i="24"/>
  <c r="Z1756" i="24"/>
  <c r="AA1756" i="24"/>
  <c r="Z1507" i="24"/>
  <c r="AA1507" i="24"/>
  <c r="AA1519" i="24"/>
  <c r="Z1519" i="24"/>
  <c r="Z1541" i="24"/>
  <c r="AA1541" i="24"/>
  <c r="AA1534" i="24"/>
  <c r="Z1534" i="24"/>
  <c r="Z1875" i="24"/>
  <c r="AA1875" i="24"/>
  <c r="Z1710" i="24"/>
  <c r="AA1710" i="24"/>
  <c r="AA1871" i="24"/>
  <c r="Z1871" i="24"/>
  <c r="AA1706" i="24"/>
  <c r="Z1706" i="24"/>
  <c r="AA1954" i="24"/>
  <c r="Z1954" i="24"/>
  <c r="AA1748" i="24"/>
  <c r="Z1748" i="24"/>
  <c r="Z1918" i="24"/>
  <c r="AA1918" i="24"/>
  <c r="AA1653" i="24"/>
  <c r="Z1653" i="24"/>
  <c r="AA1732" i="24"/>
  <c r="Z1732" i="24"/>
  <c r="Z1992" i="24"/>
  <c r="AA1992" i="24"/>
  <c r="Z1640" i="24"/>
  <c r="AA1640" i="24"/>
  <c r="AA1859" i="24"/>
  <c r="Z1859" i="24"/>
  <c r="AA1651" i="24"/>
  <c r="Z1651" i="24"/>
  <c r="AA1685" i="24"/>
  <c r="Z1685" i="24"/>
  <c r="Z1934" i="24"/>
  <c r="AA1934" i="24"/>
  <c r="AA1742" i="24"/>
  <c r="Z1742" i="24"/>
  <c r="AA1782" i="24"/>
  <c r="Z1782" i="24"/>
  <c r="Z1951" i="24"/>
  <c r="AA1951" i="24"/>
  <c r="AA1713" i="24"/>
  <c r="Z1713" i="24"/>
  <c r="Z1783" i="24"/>
  <c r="AA1783" i="24"/>
  <c r="AA1665" i="24"/>
  <c r="Z1665" i="24"/>
  <c r="AA1833" i="24"/>
  <c r="Z1833" i="24"/>
  <c r="AA1662" i="24"/>
  <c r="Z1662" i="24"/>
  <c r="Z1885" i="24"/>
  <c r="AA1885" i="24"/>
  <c r="Z1672" i="24"/>
  <c r="AA1672" i="24"/>
  <c r="Z1824" i="24"/>
  <c r="AA1824" i="24"/>
  <c r="AA1977" i="24"/>
  <c r="Z1977" i="24"/>
  <c r="Z1838" i="24"/>
  <c r="AA1838" i="24"/>
  <c r="Z1695" i="24"/>
  <c r="AA1695" i="24"/>
  <c r="AA1854" i="24"/>
  <c r="Z1854" i="24"/>
  <c r="AA1691" i="24"/>
  <c r="Z1691" i="24"/>
  <c r="Z1923" i="24"/>
  <c r="AA1923" i="24"/>
  <c r="Z1508" i="24"/>
  <c r="AA1508" i="24"/>
  <c r="AA1520" i="24"/>
  <c r="Z1520" i="24"/>
  <c r="AA1523" i="24"/>
  <c r="Z1523" i="24"/>
  <c r="Z1535" i="24"/>
  <c r="AA1535" i="24"/>
  <c r="Z1628" i="24"/>
  <c r="AA1628" i="24"/>
  <c r="Z1865" i="24"/>
  <c r="AA1865" i="24"/>
  <c r="AA1625" i="24"/>
  <c r="Z1625" i="24"/>
  <c r="Z1861" i="24"/>
  <c r="AA1861" i="24"/>
  <c r="Z1682" i="24"/>
  <c r="AA1682" i="24"/>
  <c r="Z1856" i="24"/>
  <c r="AA1856" i="24"/>
  <c r="AA1664" i="24"/>
  <c r="Z1664" i="24"/>
  <c r="AA1795" i="24"/>
  <c r="Z1795" i="24"/>
  <c r="Z1896" i="24"/>
  <c r="AA1896" i="24"/>
  <c r="AA1739" i="24"/>
  <c r="Z1739" i="24"/>
  <c r="AA1761" i="24"/>
  <c r="Z1761" i="24"/>
  <c r="Z1987" i="24"/>
  <c r="AA1987" i="24"/>
  <c r="AA1846" i="24"/>
  <c r="Z1846" i="24"/>
  <c r="AA1834" i="24"/>
  <c r="Z1834" i="24"/>
  <c r="Z1677" i="24"/>
  <c r="AA1677" i="24"/>
  <c r="AA1828" i="24"/>
  <c r="Z1828" i="24"/>
  <c r="AA1913" i="24"/>
  <c r="Z1913" i="24"/>
  <c r="Z1721" i="24"/>
  <c r="AA1721" i="24"/>
  <c r="Z1851" i="24"/>
  <c r="AA1851" i="24"/>
  <c r="AA1965" i="24"/>
  <c r="Z1965" i="24"/>
  <c r="AA1790" i="24"/>
  <c r="Z1790" i="24"/>
  <c r="AA1961" i="24"/>
  <c r="Z1961" i="24"/>
  <c r="AA1803" i="24"/>
  <c r="Z1803" i="24"/>
  <c r="Z1637" i="24"/>
  <c r="AA1637" i="24"/>
  <c r="Z1800" i="24"/>
  <c r="AA1800" i="24"/>
  <c r="Z2008" i="24"/>
  <c r="AA2008" i="24"/>
  <c r="AA1728" i="24"/>
  <c r="Z1728" i="24"/>
  <c r="AA1986" i="24"/>
  <c r="Z1986" i="24"/>
  <c r="AA1845" i="24"/>
  <c r="Z1845" i="24"/>
  <c r="AA2000" i="24"/>
  <c r="Z2000" i="24"/>
  <c r="Z1841" i="24"/>
  <c r="AA1841" i="24"/>
  <c r="AA1667" i="24"/>
  <c r="Z1667" i="24"/>
  <c r="AA1509" i="24"/>
  <c r="Z1509" i="24"/>
  <c r="AA1521" i="24"/>
  <c r="Z1521" i="24"/>
  <c r="Z1524" i="24"/>
  <c r="AA1524" i="24"/>
  <c r="Z1802" i="24"/>
  <c r="AA1802" i="24"/>
  <c r="Z1974" i="24"/>
  <c r="AA1974" i="24"/>
  <c r="Z1764" i="24"/>
  <c r="AA1764" i="24"/>
  <c r="AA1631" i="24"/>
  <c r="Z1631" i="24"/>
  <c r="Z1794" i="24"/>
  <c r="AA1794" i="24"/>
  <c r="AA2003" i="24"/>
  <c r="Z2003" i="24"/>
  <c r="Z1844" i="24"/>
  <c r="AA1844" i="24"/>
  <c r="AA1959" i="24"/>
  <c r="Z1959" i="24"/>
  <c r="AA1661" i="24"/>
  <c r="Z1661" i="24"/>
  <c r="AA1883" i="24"/>
  <c r="Z1883" i="24"/>
  <c r="AA1910" i="24"/>
  <c r="Z1910" i="24"/>
  <c r="Z1751" i="24"/>
  <c r="AA1751" i="24"/>
  <c r="Z1975" i="24"/>
  <c r="AA1975" i="24"/>
  <c r="Z2001" i="24"/>
  <c r="AA2001" i="24"/>
  <c r="Z1805" i="24"/>
  <c r="AA1805" i="24"/>
  <c r="AA1926" i="24"/>
  <c r="Z1926" i="24"/>
  <c r="Z1644" i="24"/>
  <c r="AA1644" i="24"/>
  <c r="AA1901" i="24"/>
  <c r="Z1901" i="24"/>
  <c r="Z1999" i="24"/>
  <c r="AA1999" i="24"/>
  <c r="Z1718" i="24"/>
  <c r="AA1718" i="24"/>
  <c r="AA1922" i="24"/>
  <c r="Z1922" i="24"/>
  <c r="AA1715" i="24"/>
  <c r="Z1715" i="24"/>
  <c r="Z1950" i="24"/>
  <c r="AA1950" i="24"/>
  <c r="Z1774" i="24"/>
  <c r="AA1774" i="24"/>
  <c r="Z1931" i="24"/>
  <c r="AA1931" i="24"/>
  <c r="Z1754" i="24"/>
  <c r="AA1754" i="24"/>
  <c r="AA1889" i="24"/>
  <c r="Z1889" i="24"/>
  <c r="AA1767" i="24"/>
  <c r="Z1767" i="24"/>
  <c r="Z1972" i="24"/>
  <c r="AA1972" i="24"/>
  <c r="Z1762" i="24"/>
  <c r="AA1762" i="24"/>
  <c r="Z2007" i="24"/>
  <c r="AA2007" i="24"/>
  <c r="Z1792" i="24"/>
  <c r="AA1792" i="24"/>
  <c r="AA1510" i="24"/>
  <c r="Z1510" i="24"/>
  <c r="AA1522" i="24"/>
  <c r="Z1522" i="24"/>
  <c r="Z1525" i="24"/>
  <c r="AA1525" i="24"/>
  <c r="Z1729" i="24"/>
  <c r="AA1729" i="24"/>
  <c r="Z1947" i="24"/>
  <c r="AA1947" i="24"/>
  <c r="Z1773" i="24"/>
  <c r="AA1773" i="24"/>
  <c r="AA1943" i="24"/>
  <c r="Z1943" i="24"/>
  <c r="AA1786" i="24"/>
  <c r="Z1786" i="24"/>
  <c r="AA1907" i="24"/>
  <c r="Z1907" i="24"/>
  <c r="Z1717" i="24"/>
  <c r="AA1717" i="24"/>
  <c r="AA1991" i="24"/>
  <c r="Z1991" i="24"/>
  <c r="Z1623" i="24"/>
  <c r="AA1623" i="24"/>
  <c r="Z1858" i="24"/>
  <c r="AA1858" i="24"/>
  <c r="Z1635" i="24"/>
  <c r="AA1635" i="24"/>
  <c r="AA1671" i="24"/>
  <c r="Z1671" i="24"/>
  <c r="AA1917" i="24"/>
  <c r="Z1917" i="24"/>
  <c r="Z1725" i="24"/>
  <c r="AA1725" i="24"/>
  <c r="AA1781" i="24"/>
  <c r="Z1781" i="24"/>
  <c r="AA1935" i="24"/>
  <c r="Z1935" i="24"/>
  <c r="AA1698" i="24"/>
  <c r="Z1698" i="24"/>
  <c r="AA1766" i="24"/>
  <c r="Z1766" i="24"/>
  <c r="AA1650" i="24"/>
  <c r="Z1650" i="24"/>
  <c r="AA1656" i="24"/>
  <c r="Z1656" i="24"/>
  <c r="AA1877" i="24"/>
  <c r="Z1877" i="24"/>
  <c r="Z1696" i="24"/>
  <c r="AA1696" i="24"/>
  <c r="AA1855" i="24"/>
  <c r="Z1855" i="24"/>
  <c r="AA1720" i="24"/>
  <c r="Z1720" i="24"/>
  <c r="AA1849" i="24"/>
  <c r="Z1849" i="24"/>
  <c r="AA1674" i="24"/>
  <c r="Z1674" i="24"/>
  <c r="AA1936" i="24"/>
  <c r="Z1936" i="24"/>
  <c r="Z1699" i="24"/>
  <c r="AA1699" i="24"/>
  <c r="Z1916" i="24"/>
  <c r="AA1916" i="24"/>
  <c r="Z1741" i="24"/>
  <c r="AA1741" i="24"/>
  <c r="AA1911" i="24"/>
  <c r="Z1911" i="24"/>
  <c r="Z1769" i="24"/>
  <c r="AA1769" i="24"/>
  <c r="Z1887" i="24"/>
  <c r="AA1887" i="24"/>
  <c r="Z1511" i="24"/>
  <c r="AA1511" i="24"/>
  <c r="AA1504" i="24"/>
  <c r="Z1504" i="24"/>
  <c r="Z1526" i="24"/>
  <c r="AA1526" i="24"/>
  <c r="Z1870" i="24"/>
  <c r="AA1870" i="24"/>
  <c r="AA1692" i="24"/>
  <c r="Z1692" i="24"/>
  <c r="Z1939" i="24"/>
  <c r="AA1939" i="24"/>
  <c r="Z1731" i="24"/>
  <c r="AA1731" i="24"/>
  <c r="AA1899" i="24"/>
  <c r="Z1899" i="24"/>
  <c r="AA1639" i="24"/>
  <c r="Z1639" i="24"/>
  <c r="AA1895" i="24"/>
  <c r="Z1895" i="24"/>
  <c r="Z1738" i="24"/>
  <c r="AA1738" i="24"/>
  <c r="Z1746" i="24"/>
  <c r="AA1746" i="24"/>
  <c r="Z1968" i="24"/>
  <c r="AA1968" i="24"/>
  <c r="Z1827" i="24"/>
  <c r="AA1827" i="24"/>
  <c r="AA1815" i="24"/>
  <c r="Z1815" i="24"/>
  <c r="Z1663" i="24"/>
  <c r="AA1663" i="24"/>
  <c r="Z1812" i="24"/>
  <c r="AA1812" i="24"/>
  <c r="AA1912" i="24"/>
  <c r="Z1912" i="24"/>
  <c r="Z1708" i="24"/>
  <c r="AA1708" i="24"/>
  <c r="AA1832" i="24"/>
  <c r="Z1832" i="24"/>
  <c r="Z1946" i="24"/>
  <c r="AA1946" i="24"/>
  <c r="AA1772" i="24"/>
  <c r="Z1772" i="24"/>
  <c r="Z1814" i="24"/>
  <c r="AA1814" i="24"/>
  <c r="Z1646" i="24"/>
  <c r="AA1646" i="24"/>
  <c r="AA1867" i="24"/>
  <c r="Z1867" i="24"/>
  <c r="Z1658" i="24"/>
  <c r="AA1658" i="24"/>
  <c r="AA1823" i="24"/>
  <c r="Z1823" i="24"/>
  <c r="Z1958" i="24"/>
  <c r="AA1958" i="24"/>
  <c r="AA1819" i="24"/>
  <c r="Z1819" i="24"/>
  <c r="AA1680" i="24"/>
  <c r="Z1680" i="24"/>
  <c r="AA1853" i="24"/>
  <c r="Z1853" i="24"/>
  <c r="Z1690" i="24"/>
  <c r="AA1690" i="24"/>
  <c r="AA1905" i="24"/>
  <c r="Z1905" i="24"/>
  <c r="AA1701" i="24"/>
  <c r="Z1701" i="24"/>
  <c r="Z1862" i="24"/>
  <c r="AA1862" i="24"/>
  <c r="AA1997" i="24"/>
  <c r="Z1997" i="24"/>
  <c r="Z1512" i="24"/>
  <c r="AA1512" i="24"/>
  <c r="Z1502" i="24"/>
  <c r="AA1502" i="24"/>
  <c r="Z1527" i="24"/>
  <c r="AA1527" i="24"/>
  <c r="Z1624" i="24"/>
  <c r="AA1624" i="24"/>
  <c r="Z1842" i="24"/>
  <c r="AA1842" i="24"/>
  <c r="AA1668" i="24"/>
  <c r="Z1668" i="24"/>
  <c r="AA1837" i="24"/>
  <c r="Z1837" i="24"/>
  <c r="Z1648" i="24"/>
  <c r="AA1648" i="24"/>
  <c r="AA1777" i="24"/>
  <c r="Z1777" i="24"/>
  <c r="AA1660" i="24"/>
  <c r="Z1660" i="24"/>
  <c r="Z1882" i="24"/>
  <c r="AA1882" i="24"/>
  <c r="AA1891" i="24"/>
  <c r="Z1891" i="24"/>
  <c r="AA1735" i="24"/>
  <c r="Z1735" i="24"/>
  <c r="Z1956" i="24"/>
  <c r="AA1956" i="24"/>
  <c r="Z1982" i="24"/>
  <c r="AA1982" i="24"/>
  <c r="Z1804" i="24"/>
  <c r="AA1804" i="24"/>
  <c r="AA1925" i="24"/>
  <c r="Z1925" i="24"/>
  <c r="AA1643" i="24"/>
  <c r="Z1643" i="24"/>
  <c r="Z1900" i="24"/>
  <c r="AA1900" i="24"/>
  <c r="Z1980" i="24"/>
  <c r="AA1980" i="24"/>
  <c r="Z1705" i="24"/>
  <c r="AA1705" i="24"/>
  <c r="AA1904" i="24"/>
  <c r="Z1904" i="24"/>
  <c r="Z1960" i="24"/>
  <c r="AA1960" i="24"/>
  <c r="AA1785" i="24"/>
  <c r="Z1785" i="24"/>
  <c r="AA1636" i="24"/>
  <c r="Z1636" i="24"/>
  <c r="AA1799" i="24"/>
  <c r="Z1799" i="24"/>
  <c r="Z1989" i="24"/>
  <c r="AA1989" i="24"/>
  <c r="Z1727" i="24"/>
  <c r="AA1727" i="24"/>
  <c r="Z1985" i="24"/>
  <c r="AA1985" i="24"/>
  <c r="AA1826" i="24"/>
  <c r="Z1826" i="24"/>
  <c r="Z1981" i="24"/>
  <c r="AA1981" i="24"/>
  <c r="Z1840" i="24"/>
  <c r="AA1840" i="24"/>
  <c r="Z1652" i="24"/>
  <c r="AA1652" i="24"/>
  <c r="AA1817" i="24"/>
  <c r="Z1817" i="24"/>
  <c r="AA2010" i="24"/>
  <c r="Z2010" i="24"/>
  <c r="Z1759" i="24"/>
  <c r="AA1759" i="24"/>
  <c r="AA1513" i="24"/>
  <c r="Z1513" i="24"/>
  <c r="AA1503" i="24"/>
  <c r="Z1503" i="24"/>
  <c r="AA1528" i="24"/>
  <c r="Z1528" i="24"/>
  <c r="Z1763" i="24"/>
  <c r="AA1763" i="24"/>
  <c r="Z1630" i="24"/>
  <c r="AA1630" i="24"/>
  <c r="AA1793" i="24"/>
  <c r="Z1793" i="24"/>
  <c r="AA2002" i="24"/>
  <c r="Z2002" i="24"/>
  <c r="Z1825" i="24"/>
  <c r="AA1825" i="24"/>
  <c r="AA1941" i="24"/>
  <c r="Z1941" i="24"/>
  <c r="Z1839" i="24"/>
  <c r="AA1839" i="24"/>
  <c r="AA1994" i="24"/>
  <c r="Z1994" i="24"/>
  <c r="Z1657" i="24"/>
  <c r="AA1657" i="24"/>
  <c r="Z1898" i="24"/>
  <c r="AA1898" i="24"/>
  <c r="AA1712" i="24"/>
  <c r="Z1712" i="24"/>
  <c r="AA1780" i="24"/>
  <c r="Z1780" i="24"/>
  <c r="AA1920" i="24"/>
  <c r="Z1920" i="24"/>
  <c r="AA1683" i="24"/>
  <c r="Z1683" i="24"/>
  <c r="AA1749" i="24"/>
  <c r="Z1749" i="24"/>
  <c r="AA1649" i="24"/>
  <c r="Z1649" i="24"/>
  <c r="Z1655" i="24"/>
  <c r="AA1655" i="24"/>
  <c r="AA1876" i="24"/>
  <c r="Z1876" i="24"/>
  <c r="AA1681" i="24"/>
  <c r="Z1681" i="24"/>
  <c r="AA1700" i="24"/>
  <c r="Z1700" i="24"/>
  <c r="Z1949" i="24"/>
  <c r="AA1949" i="24"/>
  <c r="AA1758" i="24"/>
  <c r="Z1758" i="24"/>
  <c r="AA1930" i="24"/>
  <c r="Z1930" i="24"/>
  <c r="Z1737" i="24"/>
  <c r="AA1737" i="24"/>
  <c r="AA1888" i="24"/>
  <c r="Z1888" i="24"/>
  <c r="AA1750" i="24"/>
  <c r="Z1750" i="24"/>
  <c r="Z1953" i="24"/>
  <c r="AA1953" i="24"/>
  <c r="Z1747" i="24"/>
  <c r="AA1747" i="24"/>
  <c r="AA1988" i="24"/>
  <c r="Z1988" i="24"/>
  <c r="Z1776" i="24"/>
  <c r="AA1776" i="24"/>
  <c r="Z1964" i="24"/>
  <c r="AA1964" i="24"/>
  <c r="Z1789" i="24"/>
  <c r="AA1789" i="24"/>
  <c r="AA1909" i="24"/>
  <c r="Z1909" i="24"/>
  <c r="Z1586" i="24"/>
  <c r="AA1586" i="24"/>
  <c r="Z1583" i="24"/>
  <c r="AA1583" i="24"/>
  <c r="Z1580" i="24"/>
  <c r="AA1580" i="24"/>
  <c r="Z1614" i="24"/>
  <c r="AA1614" i="24"/>
  <c r="Z1598" i="24"/>
  <c r="AA1598" i="24"/>
  <c r="Z1595" i="24"/>
  <c r="AA1595" i="24"/>
  <c r="Z1592" i="24"/>
  <c r="AA1592" i="24"/>
  <c r="Z1589" i="24"/>
  <c r="AA1589" i="24"/>
  <c r="Z1610" i="24"/>
  <c r="AA1610" i="24"/>
  <c r="Z1607" i="24"/>
  <c r="AA1607" i="24"/>
  <c r="Z1604" i="24"/>
  <c r="AA1604" i="24"/>
  <c r="Z1601" i="24"/>
  <c r="AA1601" i="24"/>
  <c r="Z1622" i="24"/>
  <c r="AA1622" i="24"/>
  <c r="Z1619" i="24"/>
  <c r="AA1619" i="24"/>
  <c r="Z1616" i="24"/>
  <c r="AA1616" i="24"/>
  <c r="Z1613" i="24"/>
  <c r="AA1613" i="24"/>
  <c r="Z1585" i="24"/>
  <c r="AA1585" i="24"/>
  <c r="Z1582" i="24"/>
  <c r="AA1582" i="24"/>
  <c r="Z1579" i="24"/>
  <c r="AA1579" i="24"/>
  <c r="Z1588" i="24"/>
  <c r="AA1588" i="24"/>
  <c r="Z1597" i="24"/>
  <c r="AA1597" i="24"/>
  <c r="Z1594" i="24"/>
  <c r="AA1594" i="24"/>
  <c r="Z1591" i="24"/>
  <c r="AA1591" i="24"/>
  <c r="Z1600" i="24"/>
  <c r="AA1600" i="24"/>
  <c r="Z1609" i="24"/>
  <c r="AA1609" i="24"/>
  <c r="Z1606" i="24"/>
  <c r="AA1606" i="24"/>
  <c r="Z1603" i="24"/>
  <c r="AA1603" i="24"/>
  <c r="Z1612" i="24"/>
  <c r="AA1612" i="24"/>
  <c r="Z1621" i="24"/>
  <c r="AA1621" i="24"/>
  <c r="Z1618" i="24"/>
  <c r="AA1618" i="24"/>
  <c r="Z1615" i="24"/>
  <c r="AA1615" i="24"/>
  <c r="Z1584" i="24"/>
  <c r="AA1584" i="24"/>
  <c r="Z1581" i="24"/>
  <c r="AA1581" i="24"/>
  <c r="Z1587" i="24"/>
  <c r="AA1587" i="24"/>
  <c r="Z1596" i="24"/>
  <c r="AA1596" i="24"/>
  <c r="Z1593" i="24"/>
  <c r="AA1593" i="24"/>
  <c r="Z1578" i="24"/>
  <c r="AA1578" i="24"/>
  <c r="Z1599" i="24"/>
  <c r="AA1599" i="24"/>
  <c r="Z1608" i="24"/>
  <c r="AA1608" i="24"/>
  <c r="Z1605" i="24"/>
  <c r="AA1605" i="24"/>
  <c r="Z1590" i="24"/>
  <c r="AA1590" i="24"/>
  <c r="Z1611" i="24"/>
  <c r="AA1611" i="24"/>
  <c r="Z1620" i="24"/>
  <c r="AA1620" i="24"/>
  <c r="Z1617" i="24"/>
  <c r="AA1617" i="24"/>
  <c r="Z1602" i="24"/>
  <c r="AA1602" i="24"/>
  <c r="L114" i="4"/>
  <c r="AE2" i="24"/>
  <c r="AA140" i="24"/>
  <c r="Z91" i="24"/>
  <c r="Z85" i="24"/>
  <c r="AA60" i="24"/>
  <c r="Z60" i="24"/>
  <c r="AA61" i="24"/>
  <c r="Z61" i="24"/>
  <c r="AA62" i="24"/>
  <c r="Z62" i="24"/>
  <c r="AA58" i="24"/>
  <c r="Z58" i="24"/>
  <c r="AA59" i="24"/>
  <c r="Z59" i="24"/>
  <c r="AA46" i="24"/>
  <c r="Z46" i="24"/>
  <c r="AA47" i="24"/>
  <c r="Z47" i="24"/>
  <c r="AA539" i="24"/>
  <c r="Z539" i="24"/>
  <c r="AA207" i="24"/>
  <c r="Z207" i="24"/>
  <c r="AA533" i="24"/>
  <c r="Z533" i="24"/>
  <c r="AA525" i="24"/>
  <c r="Z525" i="24"/>
  <c r="AA485" i="24"/>
  <c r="Z485" i="24"/>
  <c r="AA534" i="24"/>
  <c r="Z534" i="24"/>
  <c r="AA569" i="24"/>
  <c r="Z569" i="24"/>
  <c r="AA381" i="24"/>
  <c r="Z381" i="24"/>
  <c r="AA379" i="24"/>
  <c r="Z379" i="24"/>
  <c r="AA483" i="24"/>
  <c r="Z483" i="24"/>
  <c r="AA384" i="24"/>
  <c r="Z384" i="24"/>
  <c r="AA410" i="24"/>
  <c r="Z410" i="24"/>
  <c r="AA67" i="24"/>
  <c r="Z67" i="24"/>
  <c r="AA203" i="24"/>
  <c r="Z203" i="24"/>
  <c r="AA210" i="24"/>
  <c r="Z210" i="24"/>
  <c r="AA195" i="24"/>
  <c r="Z195" i="24"/>
  <c r="AA517" i="24"/>
  <c r="Z517" i="24"/>
  <c r="AA454" i="24"/>
  <c r="Z454" i="24"/>
  <c r="AA588" i="24"/>
  <c r="Z588" i="24"/>
  <c r="AA578" i="24"/>
  <c r="Z578" i="24"/>
  <c r="AA605" i="24"/>
  <c r="Z605" i="24"/>
  <c r="AA263" i="24"/>
  <c r="Z263" i="24"/>
  <c r="AA336" i="24"/>
  <c r="Z336" i="24"/>
  <c r="AA323" i="24"/>
  <c r="Z323" i="24"/>
  <c r="AA257" i="24"/>
  <c r="Z257" i="24"/>
  <c r="AA337" i="24"/>
  <c r="Z337" i="24"/>
  <c r="AA299" i="24"/>
  <c r="Z299" i="24"/>
  <c r="AA332" i="24"/>
  <c r="Z332" i="24"/>
  <c r="AA287" i="24"/>
  <c r="Z287" i="24"/>
  <c r="AA260" i="24"/>
  <c r="Z260" i="24"/>
  <c r="AA239" i="24"/>
  <c r="Z239" i="24"/>
  <c r="AA266" i="24"/>
  <c r="Z266" i="24"/>
  <c r="AA391" i="24"/>
  <c r="Z391" i="24"/>
  <c r="AA535" i="24"/>
  <c r="Z535" i="24"/>
  <c r="AA32" i="24"/>
  <c r="Z32" i="24"/>
  <c r="AA596" i="24"/>
  <c r="Z596" i="24"/>
  <c r="AA35" i="24"/>
  <c r="Z35" i="24"/>
  <c r="AA362" i="24"/>
  <c r="Z362" i="24"/>
  <c r="AA359" i="24"/>
  <c r="Z359" i="24"/>
  <c r="AA72" i="24"/>
  <c r="Z72" i="24"/>
  <c r="AA1199" i="24"/>
  <c r="Z1199" i="24"/>
  <c r="AA1251" i="24"/>
  <c r="Z1251" i="24"/>
  <c r="AA1364" i="24"/>
  <c r="Z1364" i="24"/>
  <c r="AA1068" i="24"/>
  <c r="Z1068" i="24"/>
  <c r="AA1348" i="24"/>
  <c r="Z1348" i="24"/>
  <c r="AA1012" i="24"/>
  <c r="Z1012" i="24"/>
  <c r="AA1378" i="24"/>
  <c r="Z1378" i="24"/>
  <c r="AA1164" i="24"/>
  <c r="Z1164" i="24"/>
  <c r="AA1221" i="24"/>
  <c r="Z1221" i="24"/>
  <c r="AA1050" i="24"/>
  <c r="Z1050" i="24"/>
  <c r="AA1268" i="24"/>
  <c r="Z1268" i="24"/>
  <c r="AA1279" i="24"/>
  <c r="Z1279" i="24"/>
  <c r="AA1439" i="24"/>
  <c r="Z1439" i="24"/>
  <c r="AA1394" i="24"/>
  <c r="Z1394" i="24"/>
  <c r="AA1431" i="24"/>
  <c r="Z1431" i="24"/>
  <c r="AA1162" i="24"/>
  <c r="Z1162" i="24"/>
  <c r="AA1190" i="24"/>
  <c r="Z1190" i="24"/>
  <c r="AA1494" i="24"/>
  <c r="Z1494" i="24"/>
  <c r="Z951" i="24"/>
  <c r="AA951" i="24"/>
  <c r="AA1082" i="24"/>
  <c r="Z1082" i="24"/>
  <c r="AA1242" i="24"/>
  <c r="Z1242" i="24"/>
  <c r="AA1322" i="24"/>
  <c r="Z1322" i="24"/>
  <c r="Z934" i="24"/>
  <c r="AA934" i="24"/>
  <c r="AA1114" i="24"/>
  <c r="Z1114" i="24"/>
  <c r="AA1121" i="24"/>
  <c r="Z1121" i="24"/>
  <c r="AA1194" i="24"/>
  <c r="Z1194" i="24"/>
  <c r="AA1372" i="24"/>
  <c r="Z1372" i="24"/>
  <c r="AA1374" i="24"/>
  <c r="Z1374" i="24"/>
  <c r="AA995" i="24"/>
  <c r="Z995" i="24"/>
  <c r="Z941" i="24"/>
  <c r="AA941" i="24"/>
  <c r="AA1375" i="24"/>
  <c r="Z1375" i="24"/>
  <c r="AA1151" i="24"/>
  <c r="Z1151" i="24"/>
  <c r="AA1338" i="24"/>
  <c r="Z1338" i="24"/>
  <c r="AA1336" i="24"/>
  <c r="Z1336" i="24"/>
  <c r="AA1448" i="24"/>
  <c r="Z1448" i="24"/>
  <c r="AA1159" i="24"/>
  <c r="Z1159" i="24"/>
  <c r="Z976" i="24"/>
  <c r="AA976" i="24"/>
  <c r="AA1071" i="24"/>
  <c r="Z1071" i="24"/>
  <c r="AA1084" i="24"/>
  <c r="Z1084" i="24"/>
  <c r="AA1284" i="24"/>
  <c r="Z1284" i="24"/>
  <c r="AA1323" i="24"/>
  <c r="Z1323" i="24"/>
  <c r="AA1315" i="24"/>
  <c r="Z1315" i="24"/>
  <c r="AA1111" i="24"/>
  <c r="Z1111" i="24"/>
  <c r="AA1122" i="24"/>
  <c r="Z1122" i="24"/>
  <c r="AA993" i="24"/>
  <c r="Z993" i="24"/>
  <c r="AA1144" i="24"/>
  <c r="Z1144" i="24"/>
  <c r="AA1469" i="24"/>
  <c r="Z1469" i="24"/>
  <c r="AA52" i="24"/>
  <c r="Z52" i="24"/>
  <c r="AA508" i="24"/>
  <c r="Z508" i="24"/>
  <c r="AA447" i="24"/>
  <c r="Z447" i="24"/>
  <c r="AA380" i="24"/>
  <c r="Z380" i="24"/>
  <c r="AA417" i="24"/>
  <c r="Z417" i="24"/>
  <c r="AA551" i="24"/>
  <c r="Z551" i="24"/>
  <c r="AA471" i="24"/>
  <c r="Z471" i="24"/>
  <c r="AA523" i="24"/>
  <c r="Z523" i="24"/>
  <c r="AA499" i="24"/>
  <c r="Z499" i="24"/>
  <c r="AA437" i="24"/>
  <c r="Z437" i="24"/>
  <c r="AA521" i="24"/>
  <c r="Z521" i="24"/>
  <c r="AA536" i="24"/>
  <c r="Z536" i="24"/>
  <c r="AA398" i="24"/>
  <c r="Z398" i="24"/>
  <c r="AA10" i="24"/>
  <c r="Z10" i="24"/>
  <c r="AA12" i="24"/>
  <c r="Z12" i="24"/>
  <c r="AA567" i="24"/>
  <c r="Z567" i="24"/>
  <c r="AA205" i="24"/>
  <c r="Z205" i="24"/>
  <c r="AA396" i="24"/>
  <c r="Z396" i="24"/>
  <c r="AA8" i="24"/>
  <c r="Z8" i="24"/>
  <c r="AA609" i="24"/>
  <c r="Z609" i="24"/>
  <c r="AA589" i="24"/>
  <c r="Z589" i="24"/>
  <c r="AA611" i="24"/>
  <c r="Z611" i="24"/>
  <c r="AA271" i="24"/>
  <c r="Z271" i="24"/>
  <c r="AA346" i="24"/>
  <c r="Z346" i="24"/>
  <c r="AA315" i="24"/>
  <c r="Z315" i="24"/>
  <c r="AA268" i="24"/>
  <c r="Z268" i="24"/>
  <c r="AA339" i="24"/>
  <c r="Z339" i="24"/>
  <c r="AA253" i="24"/>
  <c r="Z253" i="24"/>
  <c r="AA304" i="24"/>
  <c r="Z304" i="24"/>
  <c r="AA242" i="24"/>
  <c r="Z242" i="24"/>
  <c r="AA330" i="24"/>
  <c r="Z330" i="24"/>
  <c r="AA270" i="24"/>
  <c r="Z270" i="24"/>
  <c r="AA256" i="24"/>
  <c r="Z256" i="24"/>
  <c r="AA435" i="24"/>
  <c r="Z435" i="24"/>
  <c r="AA449" i="24"/>
  <c r="Z449" i="24"/>
  <c r="AA172" i="24"/>
  <c r="Z172" i="24"/>
  <c r="AA30" i="24"/>
  <c r="Z30" i="24"/>
  <c r="AA185" i="24"/>
  <c r="Z185" i="24"/>
  <c r="AA369" i="24"/>
  <c r="Z369" i="24"/>
  <c r="AA370" i="24"/>
  <c r="Z370" i="24"/>
  <c r="AA34" i="24"/>
  <c r="Z34" i="24"/>
  <c r="AA1076" i="24"/>
  <c r="Z1076" i="24"/>
  <c r="AA1116" i="24"/>
  <c r="Z1116" i="24"/>
  <c r="AA1425" i="24"/>
  <c r="Z1425" i="24"/>
  <c r="AA1136" i="24"/>
  <c r="Z1136" i="24"/>
  <c r="AA1260" i="24"/>
  <c r="Z1260" i="24"/>
  <c r="AA1054" i="24"/>
  <c r="Z1054" i="24"/>
  <c r="AA1353" i="24"/>
  <c r="Z1353" i="24"/>
  <c r="AA1341" i="24"/>
  <c r="Z1341" i="24"/>
  <c r="AA1373" i="24"/>
  <c r="Z1373" i="24"/>
  <c r="AA1046" i="24"/>
  <c r="Z1046" i="24"/>
  <c r="AA1178" i="24"/>
  <c r="Z1178" i="24"/>
  <c r="AA1173" i="24"/>
  <c r="Z1173" i="24"/>
  <c r="AA1058" i="24"/>
  <c r="Z1058" i="24"/>
  <c r="AA1318" i="24"/>
  <c r="Z1318" i="24"/>
  <c r="AA1450" i="24"/>
  <c r="Z1450" i="24"/>
  <c r="AA1174" i="24"/>
  <c r="Z1174" i="24"/>
  <c r="AA1432" i="24"/>
  <c r="Z1432" i="24"/>
  <c r="AA1008" i="24"/>
  <c r="Z1008" i="24"/>
  <c r="AA1352" i="24"/>
  <c r="Z1352" i="24"/>
  <c r="AA1031" i="24"/>
  <c r="Z1031" i="24"/>
  <c r="AA1186" i="24"/>
  <c r="Z1186" i="24"/>
  <c r="AA1235" i="24"/>
  <c r="Z1235" i="24"/>
  <c r="Z975" i="24"/>
  <c r="AA975" i="24"/>
  <c r="AA1013" i="24"/>
  <c r="Z1013" i="24"/>
  <c r="AA1243" i="24"/>
  <c r="Z1243" i="24"/>
  <c r="AA1245" i="24"/>
  <c r="Z1245" i="24"/>
  <c r="AA1360" i="24"/>
  <c r="Z1360" i="24"/>
  <c r="AA1167" i="24"/>
  <c r="Z1167" i="24"/>
  <c r="AA1016" i="24"/>
  <c r="Z1016" i="24"/>
  <c r="AA937" i="24"/>
  <c r="Z937" i="24"/>
  <c r="AA1463" i="24"/>
  <c r="Z1463" i="24"/>
  <c r="AA988" i="24"/>
  <c r="Z988" i="24"/>
  <c r="AA1402" i="24"/>
  <c r="Z1402" i="24"/>
  <c r="AA1238" i="24"/>
  <c r="Z1238" i="24"/>
  <c r="AA1343" i="24"/>
  <c r="Z1343" i="24"/>
  <c r="AA1212" i="24"/>
  <c r="Z1212" i="24"/>
  <c r="Z980" i="24"/>
  <c r="AA980" i="24"/>
  <c r="AA1382" i="24"/>
  <c r="Z1382" i="24"/>
  <c r="AA1299" i="24"/>
  <c r="Z1299" i="24"/>
  <c r="AA1029" i="24"/>
  <c r="Z1029" i="24"/>
  <c r="AA1080" i="24"/>
  <c r="Z1080" i="24"/>
  <c r="AA1475" i="24"/>
  <c r="Z1475" i="24"/>
  <c r="AA1250" i="24"/>
  <c r="Z1250" i="24"/>
  <c r="AA1204" i="24"/>
  <c r="Z1204" i="24"/>
  <c r="AA1147" i="24"/>
  <c r="Z1147" i="24"/>
  <c r="AA1493" i="24"/>
  <c r="Z1493" i="24"/>
  <c r="Z955" i="24"/>
  <c r="AA955" i="24"/>
  <c r="AA585" i="24"/>
  <c r="Z585" i="24"/>
  <c r="AA500" i="24"/>
  <c r="Z500" i="24"/>
  <c r="AA520" i="24"/>
  <c r="Z520" i="24"/>
  <c r="AA460" i="24"/>
  <c r="Z460" i="24"/>
  <c r="AA557" i="24"/>
  <c r="Z557" i="24"/>
  <c r="AA516" i="24"/>
  <c r="Z516" i="24"/>
  <c r="AA501" i="24"/>
  <c r="Z501" i="24"/>
  <c r="AA463" i="24"/>
  <c r="Z463" i="24"/>
  <c r="AA561" i="24"/>
  <c r="Z561" i="24"/>
  <c r="AA465" i="24"/>
  <c r="Z465" i="24"/>
  <c r="AA397" i="24"/>
  <c r="Z397" i="24"/>
  <c r="AA456" i="24"/>
  <c r="Z456" i="24"/>
  <c r="AA458" i="24"/>
  <c r="Z458" i="24"/>
  <c r="AA23" i="24"/>
  <c r="Z23" i="24"/>
  <c r="AA19" i="24"/>
  <c r="Z19" i="24"/>
  <c r="AA495" i="24"/>
  <c r="Z495" i="24"/>
  <c r="AA198" i="24"/>
  <c r="Z198" i="24"/>
  <c r="AA40" i="24"/>
  <c r="Z40" i="24"/>
  <c r="AA473" i="24"/>
  <c r="Z473" i="24"/>
  <c r="AA608" i="24"/>
  <c r="Z608" i="24"/>
  <c r="AA575" i="24"/>
  <c r="Z575" i="24"/>
  <c r="AA573" i="24"/>
  <c r="Z573" i="24"/>
  <c r="AA610" i="24"/>
  <c r="Z610" i="24"/>
  <c r="AA228" i="24"/>
  <c r="Z228" i="24"/>
  <c r="AA329" i="24"/>
  <c r="Z329" i="24"/>
  <c r="AA284" i="24"/>
  <c r="Z284" i="24"/>
  <c r="AA353" i="24"/>
  <c r="Z353" i="24"/>
  <c r="AA262" i="24"/>
  <c r="Z262" i="24"/>
  <c r="AA226" i="24"/>
  <c r="Z226" i="24"/>
  <c r="AA282" i="24"/>
  <c r="Z282" i="24"/>
  <c r="AA291" i="24"/>
  <c r="Z291" i="24"/>
  <c r="AA251" i="24"/>
  <c r="Z251" i="24"/>
  <c r="AA320" i="24"/>
  <c r="Z320" i="24"/>
  <c r="AA305" i="24"/>
  <c r="Z305" i="24"/>
  <c r="AA570" i="24"/>
  <c r="Z570" i="24"/>
  <c r="AA399" i="24"/>
  <c r="Z399" i="24"/>
  <c r="AA31" i="24"/>
  <c r="Z31" i="24"/>
  <c r="AA39" i="24"/>
  <c r="Z39" i="24"/>
  <c r="AA164" i="24"/>
  <c r="Z164" i="24"/>
  <c r="AA29" i="24"/>
  <c r="Z29" i="24"/>
  <c r="AA374" i="24"/>
  <c r="Z374" i="24"/>
  <c r="AA366" i="24"/>
  <c r="Z366" i="24"/>
  <c r="AA175" i="24"/>
  <c r="Z175" i="24"/>
  <c r="AA1219" i="24"/>
  <c r="Z1219" i="24"/>
  <c r="AA1309" i="24"/>
  <c r="Z1309" i="24"/>
  <c r="AA1481" i="24"/>
  <c r="Z1481" i="24"/>
  <c r="AA1226" i="24"/>
  <c r="Z1226" i="24"/>
  <c r="AA1043" i="24"/>
  <c r="Z1043" i="24"/>
  <c r="AA1057" i="24"/>
  <c r="Z1057" i="24"/>
  <c r="AA1126" i="24"/>
  <c r="Z1126" i="24"/>
  <c r="AA1293" i="24"/>
  <c r="Z1293" i="24"/>
  <c r="AA1017" i="24"/>
  <c r="Z1017" i="24"/>
  <c r="AA1264" i="24"/>
  <c r="Z1264" i="24"/>
  <c r="AA1274" i="24"/>
  <c r="Z1274" i="24"/>
  <c r="AA1277" i="24"/>
  <c r="Z1277" i="24"/>
  <c r="AA1010" i="24"/>
  <c r="Z1010" i="24"/>
  <c r="AA1131" i="24"/>
  <c r="Z1131" i="24"/>
  <c r="AA1091" i="24"/>
  <c r="Z1091" i="24"/>
  <c r="AA1403" i="24"/>
  <c r="Z1403" i="24"/>
  <c r="AA985" i="24"/>
  <c r="Z985" i="24"/>
  <c r="AA1039" i="24"/>
  <c r="Z1039" i="24"/>
  <c r="AA1371" i="24"/>
  <c r="Z1371" i="24"/>
  <c r="AA1346" i="24"/>
  <c r="Z1346" i="24"/>
  <c r="AA1048" i="24"/>
  <c r="Z1048" i="24"/>
  <c r="AA1203" i="24"/>
  <c r="Z1203" i="24"/>
  <c r="Z942" i="24"/>
  <c r="AA942" i="24"/>
  <c r="AA1325" i="24"/>
  <c r="Z1325" i="24"/>
  <c r="AA1294" i="24"/>
  <c r="Z1294" i="24"/>
  <c r="AA1415" i="24"/>
  <c r="Z1415" i="24"/>
  <c r="AA1176" i="24"/>
  <c r="Z1176" i="24"/>
  <c r="AA1484" i="24"/>
  <c r="Z1484" i="24"/>
  <c r="AA1143" i="24"/>
  <c r="Z1143" i="24"/>
  <c r="Z943" i="24"/>
  <c r="AA943" i="24"/>
  <c r="AA1492" i="24"/>
  <c r="Z1492" i="24"/>
  <c r="AA1414" i="24"/>
  <c r="Z1414" i="24"/>
  <c r="AA1053" i="24"/>
  <c r="Z1053" i="24"/>
  <c r="AA1222" i="24"/>
  <c r="Z1222" i="24"/>
  <c r="AA1269" i="24"/>
  <c r="Z1269" i="24"/>
  <c r="AA1100" i="24"/>
  <c r="Z1100" i="24"/>
  <c r="AA1442" i="24"/>
  <c r="Z1442" i="24"/>
  <c r="AA1409" i="24"/>
  <c r="Z1409" i="24"/>
  <c r="AA1137" i="24"/>
  <c r="Z1137" i="24"/>
  <c r="AA1457" i="24"/>
  <c r="Z1457" i="24"/>
  <c r="AA1025" i="24"/>
  <c r="Z1025" i="24"/>
  <c r="AA1261" i="24"/>
  <c r="Z1261" i="24"/>
  <c r="AA1209" i="24"/>
  <c r="Z1209" i="24"/>
  <c r="AA1467" i="24"/>
  <c r="Z1467" i="24"/>
  <c r="AA1428" i="24"/>
  <c r="Z1428" i="24"/>
  <c r="AA1244" i="24"/>
  <c r="Z1244" i="24"/>
  <c r="Z939" i="24"/>
  <c r="AA939" i="24"/>
  <c r="AA540" i="24"/>
  <c r="Z540" i="24"/>
  <c r="AA616" i="24"/>
  <c r="Z616" i="24"/>
  <c r="AA538" i="24"/>
  <c r="Z538" i="24"/>
  <c r="AA562" i="24"/>
  <c r="Z562" i="24"/>
  <c r="AA406" i="24"/>
  <c r="Z406" i="24"/>
  <c r="AA457" i="24"/>
  <c r="Z457" i="24"/>
  <c r="AA504" i="24"/>
  <c r="Z504" i="24"/>
  <c r="AA526" i="24"/>
  <c r="Z526" i="24"/>
  <c r="AA566" i="24"/>
  <c r="Z566" i="24"/>
  <c r="AA400" i="24"/>
  <c r="Z400" i="24"/>
  <c r="AA502" i="24"/>
  <c r="Z502" i="24"/>
  <c r="AA542" i="24"/>
  <c r="Z542" i="24"/>
  <c r="AA440" i="24"/>
  <c r="Z440" i="24"/>
  <c r="AA14" i="24"/>
  <c r="Z14" i="24"/>
  <c r="AA16" i="24"/>
  <c r="Z16" i="24"/>
  <c r="AA530" i="24"/>
  <c r="Z530" i="24"/>
  <c r="AA200" i="24"/>
  <c r="Z200" i="24"/>
  <c r="AA480" i="24"/>
  <c r="Z480" i="24"/>
  <c r="AA415" i="24"/>
  <c r="Z415" i="24"/>
  <c r="AA402" i="24"/>
  <c r="Z402" i="24"/>
  <c r="AA604" i="24"/>
  <c r="Z604" i="24"/>
  <c r="AA612" i="24"/>
  <c r="Z612" i="24"/>
  <c r="AA594" i="24"/>
  <c r="Z594" i="24"/>
  <c r="AA227" i="24"/>
  <c r="Z227" i="24"/>
  <c r="AA306" i="24"/>
  <c r="Z306" i="24"/>
  <c r="AA289" i="24"/>
  <c r="Z289" i="24"/>
  <c r="AA324" i="24"/>
  <c r="Z324" i="24"/>
  <c r="AA313" i="24"/>
  <c r="Z313" i="24"/>
  <c r="AA283" i="24"/>
  <c r="Z283" i="24"/>
  <c r="AA303" i="24"/>
  <c r="Z303" i="24"/>
  <c r="AA309" i="24"/>
  <c r="Z309" i="24"/>
  <c r="AA340" i="24"/>
  <c r="Z340" i="24"/>
  <c r="AA281" i="24"/>
  <c r="Z281" i="24"/>
  <c r="AA543" i="24"/>
  <c r="Z543" i="24"/>
  <c r="AA459" i="24"/>
  <c r="Z459" i="24"/>
  <c r="AA168" i="24"/>
  <c r="Z168" i="24"/>
  <c r="AA161" i="24"/>
  <c r="Z161" i="24"/>
  <c r="AA173" i="24"/>
  <c r="Z173" i="24"/>
  <c r="AA167" i="24"/>
  <c r="Z167" i="24"/>
  <c r="AA372" i="24"/>
  <c r="Z372" i="24"/>
  <c r="AA375" i="24"/>
  <c r="Z375" i="24"/>
  <c r="AA178" i="24"/>
  <c r="Z178" i="24"/>
  <c r="AA1069" i="24"/>
  <c r="Z1069" i="24"/>
  <c r="AA1386" i="24"/>
  <c r="Z1386" i="24"/>
  <c r="AA1187" i="24"/>
  <c r="Z1187" i="24"/>
  <c r="AA1354" i="24"/>
  <c r="Z1354" i="24"/>
  <c r="AA1213" i="24"/>
  <c r="Z1213" i="24"/>
  <c r="AA1216" i="24"/>
  <c r="Z1216" i="24"/>
  <c r="AA1288" i="24"/>
  <c r="Z1288" i="24"/>
  <c r="AA1207" i="24"/>
  <c r="Z1207" i="24"/>
  <c r="AA1456" i="24"/>
  <c r="Z1456" i="24"/>
  <c r="AA1350" i="24"/>
  <c r="Z1350" i="24"/>
  <c r="AA1385" i="24"/>
  <c r="Z1385" i="24"/>
  <c r="AA1272" i="24"/>
  <c r="Z1272" i="24"/>
  <c r="AA1192" i="24"/>
  <c r="Z1192" i="24"/>
  <c r="AA1482" i="24"/>
  <c r="Z1482" i="24"/>
  <c r="AA1491" i="24"/>
  <c r="Z1491" i="24"/>
  <c r="AA1490" i="24"/>
  <c r="Z1490" i="24"/>
  <c r="AA1056" i="24"/>
  <c r="Z1056" i="24"/>
  <c r="AA1327" i="24"/>
  <c r="Z1327" i="24"/>
  <c r="AA1206" i="24"/>
  <c r="Z1206" i="24"/>
  <c r="AA1398" i="24"/>
  <c r="Z1398" i="24"/>
  <c r="AA1462" i="24"/>
  <c r="Z1462" i="24"/>
  <c r="AA1112" i="24"/>
  <c r="Z1112" i="24"/>
  <c r="AA990" i="24"/>
  <c r="Z990" i="24"/>
  <c r="AA1022" i="24"/>
  <c r="Z1022" i="24"/>
  <c r="AA1170" i="24"/>
  <c r="Z1170" i="24"/>
  <c r="AA997" i="24"/>
  <c r="Z997" i="24"/>
  <c r="AA1047" i="24"/>
  <c r="Z1047" i="24"/>
  <c r="AA1440" i="24"/>
  <c r="Z1440" i="24"/>
  <c r="AA1287" i="24"/>
  <c r="Z1287" i="24"/>
  <c r="AA999" i="24"/>
  <c r="Z999" i="24"/>
  <c r="AA1407" i="24"/>
  <c r="Z1407" i="24"/>
  <c r="AA1239" i="24"/>
  <c r="Z1239" i="24"/>
  <c r="AA1223" i="24"/>
  <c r="Z1223" i="24"/>
  <c r="AA1387" i="24"/>
  <c r="Z1387" i="24"/>
  <c r="AA1092" i="24"/>
  <c r="Z1092" i="24"/>
  <c r="AA1455" i="24"/>
  <c r="Z1455" i="24"/>
  <c r="AA1391" i="24"/>
  <c r="Z1391" i="24"/>
  <c r="AA1351" i="24"/>
  <c r="Z1351" i="24"/>
  <c r="AA1498" i="24"/>
  <c r="Z1498" i="24"/>
  <c r="AA1175" i="24"/>
  <c r="Z1175" i="24"/>
  <c r="AA1005" i="24"/>
  <c r="Z1005" i="24"/>
  <c r="AA1443" i="24"/>
  <c r="Z1443" i="24"/>
  <c r="AA1321" i="24"/>
  <c r="Z1321" i="24"/>
  <c r="AA1363" i="24"/>
  <c r="Z1363" i="24"/>
  <c r="AA1236" i="24"/>
  <c r="Z1236" i="24"/>
  <c r="AA1224" i="24"/>
  <c r="Z1224" i="24"/>
  <c r="AA953" i="24"/>
  <c r="Z953" i="24"/>
  <c r="AA56" i="24"/>
  <c r="Z56" i="24"/>
  <c r="AA514" i="24"/>
  <c r="Z514" i="24"/>
  <c r="AA45" i="24"/>
  <c r="Z45" i="24"/>
  <c r="AA493" i="24"/>
  <c r="Z493" i="24"/>
  <c r="AA528" i="24"/>
  <c r="Z528" i="24"/>
  <c r="AA559" i="24"/>
  <c r="Z559" i="24"/>
  <c r="AA395" i="24"/>
  <c r="Z395" i="24"/>
  <c r="AA426" i="24"/>
  <c r="Z426" i="24"/>
  <c r="AA387" i="24"/>
  <c r="Z387" i="24"/>
  <c r="AA418" i="24"/>
  <c r="Z418" i="24"/>
  <c r="AA518" i="24"/>
  <c r="Z518" i="24"/>
  <c r="AA448" i="24"/>
  <c r="Z448" i="24"/>
  <c r="AA412" i="24"/>
  <c r="Z412" i="24"/>
  <c r="AA541" i="24"/>
  <c r="Z541" i="24"/>
  <c r="AA385" i="24"/>
  <c r="Z385" i="24"/>
  <c r="AA216" i="24"/>
  <c r="Z216" i="24"/>
  <c r="AA202" i="24"/>
  <c r="Z202" i="24"/>
  <c r="AA524" i="24"/>
  <c r="Z524" i="24"/>
  <c r="AA420" i="24"/>
  <c r="Z420" i="24"/>
  <c r="AA424" i="24"/>
  <c r="Z424" i="24"/>
  <c r="AA595" i="24"/>
  <c r="Z595" i="24"/>
  <c r="AA598" i="24"/>
  <c r="Z598" i="24"/>
  <c r="AA318" i="24"/>
  <c r="Z318" i="24"/>
  <c r="AA301" i="24"/>
  <c r="Z301" i="24"/>
  <c r="AA280" i="24"/>
  <c r="Z280" i="24"/>
  <c r="AA272" i="24"/>
  <c r="Z272" i="24"/>
  <c r="AA335" i="24"/>
  <c r="Z335" i="24"/>
  <c r="AA273" i="24"/>
  <c r="Z273" i="24"/>
  <c r="AA243" i="24"/>
  <c r="Z243" i="24"/>
  <c r="AA286" i="24"/>
  <c r="Z286" i="24"/>
  <c r="AA254" i="24"/>
  <c r="Z254" i="24"/>
  <c r="AA342" i="24"/>
  <c r="Z342" i="24"/>
  <c r="AA403" i="24"/>
  <c r="Z403" i="24"/>
  <c r="AA571" i="24"/>
  <c r="Z571" i="24"/>
  <c r="AA7" i="24"/>
  <c r="Z7" i="24"/>
  <c r="AA70" i="24"/>
  <c r="Z70" i="24"/>
  <c r="AA26" i="24"/>
  <c r="Z26" i="24"/>
  <c r="AA162" i="24"/>
  <c r="Z162" i="24"/>
  <c r="AA183" i="24"/>
  <c r="Z183" i="24"/>
  <c r="AA373" i="24"/>
  <c r="Z373" i="24"/>
  <c r="AA218" i="24"/>
  <c r="Z218" i="24"/>
  <c r="AA176" i="24"/>
  <c r="Z176" i="24"/>
  <c r="AA1430" i="24"/>
  <c r="Z1430" i="24"/>
  <c r="AA1205" i="24"/>
  <c r="Z1205" i="24"/>
  <c r="AA1009" i="24"/>
  <c r="Z1009" i="24"/>
  <c r="AA1231" i="24"/>
  <c r="Z1231" i="24"/>
  <c r="AA1153" i="24"/>
  <c r="Z1153" i="24"/>
  <c r="AA1436" i="24"/>
  <c r="Z1436" i="24"/>
  <c r="AA1106" i="24"/>
  <c r="Z1106" i="24"/>
  <c r="AA1227" i="24"/>
  <c r="Z1227" i="24"/>
  <c r="AA1453" i="24"/>
  <c r="Z1453" i="24"/>
  <c r="AA1452" i="24"/>
  <c r="Z1452" i="24"/>
  <c r="AA1020" i="24"/>
  <c r="Z1020" i="24"/>
  <c r="AA1033" i="24"/>
  <c r="Z1033" i="24"/>
  <c r="AA1262" i="24"/>
  <c r="Z1262" i="24"/>
  <c r="AA1101" i="24"/>
  <c r="Z1101" i="24"/>
  <c r="AA1124" i="24"/>
  <c r="Z1124" i="24"/>
  <c r="AA1489" i="24"/>
  <c r="Z1489" i="24"/>
  <c r="AA1476" i="24"/>
  <c r="Z1476" i="24"/>
  <c r="AA1495" i="24"/>
  <c r="Z1495" i="24"/>
  <c r="AA1081" i="24"/>
  <c r="Z1081" i="24"/>
  <c r="AA1108" i="24"/>
  <c r="Z1108" i="24"/>
  <c r="AA1051" i="24"/>
  <c r="Z1051" i="24"/>
  <c r="AA1454" i="24"/>
  <c r="Z1454" i="24"/>
  <c r="AA1395" i="24"/>
  <c r="Z1395" i="24"/>
  <c r="AA1426" i="24"/>
  <c r="Z1426" i="24"/>
  <c r="AA1230" i="24"/>
  <c r="Z1230" i="24"/>
  <c r="AA1320" i="24"/>
  <c r="Z1320" i="24"/>
  <c r="AA1383" i="24"/>
  <c r="Z1383" i="24"/>
  <c r="AA1283" i="24"/>
  <c r="Z1283" i="24"/>
  <c r="AA1127" i="24"/>
  <c r="Z1127" i="24"/>
  <c r="AA1154" i="24"/>
  <c r="Z1154" i="24"/>
  <c r="AA1500" i="24"/>
  <c r="Z1500" i="24"/>
  <c r="AA1089" i="24"/>
  <c r="Z1089" i="24"/>
  <c r="AA1088" i="24"/>
  <c r="Z1088" i="24"/>
  <c r="AA1021" i="24"/>
  <c r="Z1021" i="24"/>
  <c r="AA1434" i="24"/>
  <c r="Z1434" i="24"/>
  <c r="AA1002" i="24"/>
  <c r="Z1002" i="24"/>
  <c r="AA1202" i="24"/>
  <c r="Z1202" i="24"/>
  <c r="AA1099" i="24"/>
  <c r="Z1099" i="24"/>
  <c r="AA1078" i="24"/>
  <c r="Z1078" i="24"/>
  <c r="AA1416" i="24"/>
  <c r="Z1416" i="24"/>
  <c r="AA1411" i="24"/>
  <c r="Z1411" i="24"/>
  <c r="AA1344" i="24"/>
  <c r="Z1344" i="24"/>
  <c r="AA1133" i="24"/>
  <c r="Z1133" i="24"/>
  <c r="AA1458" i="24"/>
  <c r="Z1458" i="24"/>
  <c r="AA991" i="24"/>
  <c r="Z991" i="24"/>
  <c r="AA1266" i="24"/>
  <c r="Z1266" i="24"/>
  <c r="AA963" i="24"/>
  <c r="Z963" i="24"/>
  <c r="AA484" i="24"/>
  <c r="Z484" i="24"/>
  <c r="AA48" i="24"/>
  <c r="Z48" i="24"/>
  <c r="AA212" i="24"/>
  <c r="Z212" i="24"/>
  <c r="AA560" i="24"/>
  <c r="Z560" i="24"/>
  <c r="AA389" i="24"/>
  <c r="Z389" i="24"/>
  <c r="AA529" i="24"/>
  <c r="Z529" i="24"/>
  <c r="AA478" i="24"/>
  <c r="Z478" i="24"/>
  <c r="AA441" i="24"/>
  <c r="Z441" i="24"/>
  <c r="AA479" i="24"/>
  <c r="Z479" i="24"/>
  <c r="AA507" i="24"/>
  <c r="Z507" i="24"/>
  <c r="AA505" i="24"/>
  <c r="Z505" i="24"/>
  <c r="AA414" i="24"/>
  <c r="Z414" i="24"/>
  <c r="AA488" i="24"/>
  <c r="Z488" i="24"/>
  <c r="AA477" i="24"/>
  <c r="Z477" i="24"/>
  <c r="AA25" i="24"/>
  <c r="Z25" i="24"/>
  <c r="AA199" i="24"/>
  <c r="Z199" i="24"/>
  <c r="AA209" i="24"/>
  <c r="Z209" i="24"/>
  <c r="AA392" i="24"/>
  <c r="Z392" i="24"/>
  <c r="AA581" i="24"/>
  <c r="Z581" i="24"/>
  <c r="AA427" i="24"/>
  <c r="Z427" i="24"/>
  <c r="AA577" i="24"/>
  <c r="Z577" i="24"/>
  <c r="AA597" i="24"/>
  <c r="Z597" i="24"/>
  <c r="AA314" i="24"/>
  <c r="Z314" i="24"/>
  <c r="AA325" i="24"/>
  <c r="Z325" i="24"/>
  <c r="AA328" i="24"/>
  <c r="Z328" i="24"/>
  <c r="AA294" i="24"/>
  <c r="Z294" i="24"/>
  <c r="AA326" i="24"/>
  <c r="Z326" i="24"/>
  <c r="AA288" i="24"/>
  <c r="Z288" i="24"/>
  <c r="AA316" i="24"/>
  <c r="Z316" i="24"/>
  <c r="AA232" i="24"/>
  <c r="Z232" i="24"/>
  <c r="AA322" i="24"/>
  <c r="Z322" i="24"/>
  <c r="AA250" i="24"/>
  <c r="Z250" i="24"/>
  <c r="AA261" i="24"/>
  <c r="Z261" i="24"/>
  <c r="AA408" i="24"/>
  <c r="Z408" i="24"/>
  <c r="AA564" i="24"/>
  <c r="Z564" i="24"/>
  <c r="AA390" i="24"/>
  <c r="Z390" i="24"/>
  <c r="AA171" i="24"/>
  <c r="Z171" i="24"/>
  <c r="AA177" i="24"/>
  <c r="Z177" i="24"/>
  <c r="AA182" i="24"/>
  <c r="Z182" i="24"/>
  <c r="AA180" i="24"/>
  <c r="Z180" i="24"/>
  <c r="AA367" i="24"/>
  <c r="Z367" i="24"/>
  <c r="AA222" i="24"/>
  <c r="Z222" i="24"/>
  <c r="AA165" i="24"/>
  <c r="Z165" i="24"/>
  <c r="AA1248" i="24"/>
  <c r="Z1248" i="24"/>
  <c r="AA1460" i="24"/>
  <c r="Z1460" i="24"/>
  <c r="AA1252" i="24"/>
  <c r="Z1252" i="24"/>
  <c r="AA1301" i="24"/>
  <c r="Z1301" i="24"/>
  <c r="AA1420" i="24"/>
  <c r="Z1420" i="24"/>
  <c r="AA1105" i="24"/>
  <c r="Z1105" i="24"/>
  <c r="AA1444" i="24"/>
  <c r="Z1444" i="24"/>
  <c r="AA1102" i="24"/>
  <c r="Z1102" i="24"/>
  <c r="AA1337" i="24"/>
  <c r="Z1337" i="24"/>
  <c r="AA1466" i="24"/>
  <c r="Z1466" i="24"/>
  <c r="AA1404" i="24"/>
  <c r="Z1404" i="24"/>
  <c r="AA1259" i="24"/>
  <c r="Z1259" i="24"/>
  <c r="AA1413" i="24"/>
  <c r="Z1413" i="24"/>
  <c r="AA1139" i="24"/>
  <c r="Z1139" i="24"/>
  <c r="AA1197" i="24"/>
  <c r="Z1197" i="24"/>
  <c r="AA1365" i="24"/>
  <c r="Z1365" i="24"/>
  <c r="AA1296" i="24"/>
  <c r="Z1296" i="24"/>
  <c r="AA1083" i="24"/>
  <c r="Z1083" i="24"/>
  <c r="AA1265" i="24"/>
  <c r="Z1265" i="24"/>
  <c r="AA1333" i="24"/>
  <c r="Z1333" i="24"/>
  <c r="AA1359" i="24"/>
  <c r="Z1359" i="24"/>
  <c r="AA1361" i="24"/>
  <c r="Z1361" i="24"/>
  <c r="AA1035" i="24"/>
  <c r="Z1035" i="24"/>
  <c r="AA1201" i="24"/>
  <c r="Z1201" i="24"/>
  <c r="AA1393" i="24"/>
  <c r="Z1393" i="24"/>
  <c r="AA1263" i="24"/>
  <c r="Z1263" i="24"/>
  <c r="AA1103" i="24"/>
  <c r="Z1103" i="24"/>
  <c r="AA1326" i="24"/>
  <c r="Z1326" i="24"/>
  <c r="AA1015" i="24"/>
  <c r="Z1015" i="24"/>
  <c r="AA1417" i="24"/>
  <c r="Z1417" i="24"/>
  <c r="Z977" i="24"/>
  <c r="AA977" i="24"/>
  <c r="AA1240" i="24"/>
  <c r="Z1240" i="24"/>
  <c r="AA1115" i="24"/>
  <c r="Z1115" i="24"/>
  <c r="AA1485" i="24"/>
  <c r="Z1485" i="24"/>
  <c r="AA1479" i="24"/>
  <c r="Z1479" i="24"/>
  <c r="AA1166" i="24"/>
  <c r="Z1166" i="24"/>
  <c r="AA1280" i="24"/>
  <c r="Z1280" i="24"/>
  <c r="AA1367" i="24"/>
  <c r="Z1367" i="24"/>
  <c r="AA1075" i="24"/>
  <c r="Z1075" i="24"/>
  <c r="AA1297" i="24"/>
  <c r="Z1297" i="24"/>
  <c r="AA983" i="24"/>
  <c r="Z983" i="24"/>
  <c r="AA1406" i="24"/>
  <c r="Z1406" i="24"/>
  <c r="AA1487" i="24"/>
  <c r="Z1487" i="24"/>
  <c r="Z935" i="24"/>
  <c r="AA935" i="24"/>
  <c r="AA1258" i="24"/>
  <c r="Z1258" i="24"/>
  <c r="AA1401" i="24"/>
  <c r="Z1401" i="24"/>
  <c r="AA1332" i="24"/>
  <c r="Z1332" i="24"/>
  <c r="AA429" i="24"/>
  <c r="Z429" i="24"/>
  <c r="AA54" i="24"/>
  <c r="Z54" i="24"/>
  <c r="AA601" i="24"/>
  <c r="Z601" i="24"/>
  <c r="AA468" i="24"/>
  <c r="Z468" i="24"/>
  <c r="AA386" i="24"/>
  <c r="Z386" i="24"/>
  <c r="AA407" i="24"/>
  <c r="Z407" i="24"/>
  <c r="AA511" i="24"/>
  <c r="Z511" i="24"/>
  <c r="AA474" i="24"/>
  <c r="Z474" i="24"/>
  <c r="AA451" i="24"/>
  <c r="Z451" i="24"/>
  <c r="AA422" i="24"/>
  <c r="Z422" i="24"/>
  <c r="AA425" i="24"/>
  <c r="Z425" i="24"/>
  <c r="AA382" i="24"/>
  <c r="Z382" i="24"/>
  <c r="AA548" i="24"/>
  <c r="Z548" i="24"/>
  <c r="AA545" i="24"/>
  <c r="Z545" i="24"/>
  <c r="AA20" i="24"/>
  <c r="Z20" i="24"/>
  <c r="AA21" i="24"/>
  <c r="Z21" i="24"/>
  <c r="AA217" i="24"/>
  <c r="Z217" i="24"/>
  <c r="AA191" i="24"/>
  <c r="Z191" i="24"/>
  <c r="AA443" i="24"/>
  <c r="Z443" i="24"/>
  <c r="AA461" i="24"/>
  <c r="Z461" i="24"/>
  <c r="AA432" i="24"/>
  <c r="Z432" i="24"/>
  <c r="AA614" i="24"/>
  <c r="Z614" i="24"/>
  <c r="AA603" i="24"/>
  <c r="Z603" i="24"/>
  <c r="AA248" i="24"/>
  <c r="Z248" i="24"/>
  <c r="AA293" i="24"/>
  <c r="Z293" i="24"/>
  <c r="AA349" i="24"/>
  <c r="Z349" i="24"/>
  <c r="AA241" i="24"/>
  <c r="Z241" i="24"/>
  <c r="AA244" i="24"/>
  <c r="Z244" i="24"/>
  <c r="AA298" i="24"/>
  <c r="Z298" i="24"/>
  <c r="AA351" i="24"/>
  <c r="Z351" i="24"/>
  <c r="AA348" i="24"/>
  <c r="Z348" i="24"/>
  <c r="AA236" i="24"/>
  <c r="Z236" i="24"/>
  <c r="AA344" i="24"/>
  <c r="Z344" i="24"/>
  <c r="AA275" i="24"/>
  <c r="Z275" i="24"/>
  <c r="AA590" i="24"/>
  <c r="Z590" i="24"/>
  <c r="AA404" i="24"/>
  <c r="Z404" i="24"/>
  <c r="AA27" i="24"/>
  <c r="Z27" i="24"/>
  <c r="AA160" i="24"/>
  <c r="Z160" i="24"/>
  <c r="AA170" i="24"/>
  <c r="Z170" i="24"/>
  <c r="AA184" i="24"/>
  <c r="Z184" i="24"/>
  <c r="AA364" i="24"/>
  <c r="Z364" i="24"/>
  <c r="AA224" i="24"/>
  <c r="Z224" i="24"/>
  <c r="AA69" i="24"/>
  <c r="Z69" i="24"/>
  <c r="AA1329" i="24"/>
  <c r="Z1329" i="24"/>
  <c r="AA1435" i="24"/>
  <c r="Z1435" i="24"/>
  <c r="AA1397" i="24"/>
  <c r="Z1397" i="24"/>
  <c r="AA1171" i="24"/>
  <c r="Z1171" i="24"/>
  <c r="AA1150" i="24"/>
  <c r="Z1150" i="24"/>
  <c r="AA1188" i="24"/>
  <c r="Z1188" i="24"/>
  <c r="AA1379" i="24"/>
  <c r="Z1379" i="24"/>
  <c r="AA1184" i="24"/>
  <c r="Z1184" i="24"/>
  <c r="AA1390" i="24"/>
  <c r="Z1390" i="24"/>
  <c r="AA1160" i="24"/>
  <c r="Z1160" i="24"/>
  <c r="AA1156" i="24"/>
  <c r="Z1156" i="24"/>
  <c r="AA1392" i="24"/>
  <c r="Z1392" i="24"/>
  <c r="AA1317" i="24"/>
  <c r="Z1317" i="24"/>
  <c r="AA1182" i="24"/>
  <c r="Z1182" i="24"/>
  <c r="AA1356" i="24"/>
  <c r="Z1356" i="24"/>
  <c r="AA1396" i="24"/>
  <c r="Z1396" i="24"/>
  <c r="AA1095" i="24"/>
  <c r="Z1095" i="24"/>
  <c r="AA987" i="24"/>
  <c r="Z987" i="24"/>
  <c r="AA1049" i="24"/>
  <c r="Z1049" i="24"/>
  <c r="AA1229" i="24"/>
  <c r="Z1229" i="24"/>
  <c r="AA1304" i="24"/>
  <c r="Z1304" i="24"/>
  <c r="AA1478" i="24"/>
  <c r="Z1478" i="24"/>
  <c r="AA1018" i="24"/>
  <c r="Z1018" i="24"/>
  <c r="AA1355" i="24"/>
  <c r="Z1355" i="24"/>
  <c r="AA1349" i="24"/>
  <c r="Z1349" i="24"/>
  <c r="AA1302" i="24"/>
  <c r="Z1302" i="24"/>
  <c r="AA1253" i="24"/>
  <c r="Z1253" i="24"/>
  <c r="AA1496" i="24"/>
  <c r="Z1496" i="24"/>
  <c r="AA1059" i="24"/>
  <c r="Z1059" i="24"/>
  <c r="AA1107" i="24"/>
  <c r="Z1107" i="24"/>
  <c r="Z964" i="24"/>
  <c r="AA964" i="24"/>
  <c r="AA1140" i="24"/>
  <c r="Z1140" i="24"/>
  <c r="AA1157" i="24"/>
  <c r="Z1157" i="24"/>
  <c r="AA1273" i="24"/>
  <c r="Z1273" i="24"/>
  <c r="AA1388" i="24"/>
  <c r="Z1388" i="24"/>
  <c r="AA1319" i="24"/>
  <c r="Z1319" i="24"/>
  <c r="AA1028" i="24"/>
  <c r="Z1028" i="24"/>
  <c r="AA1292" i="24"/>
  <c r="Z1292" i="24"/>
  <c r="AA1179" i="24"/>
  <c r="Z1179" i="24"/>
  <c r="AA1001" i="24"/>
  <c r="Z1001" i="24"/>
  <c r="AA1217" i="24"/>
  <c r="Z1217" i="24"/>
  <c r="AA1079" i="24"/>
  <c r="Z1079" i="24"/>
  <c r="AA996" i="24"/>
  <c r="Z996" i="24"/>
  <c r="Z974" i="24"/>
  <c r="AA974" i="24"/>
  <c r="AA1086" i="24"/>
  <c r="Z1086" i="24"/>
  <c r="AA1441" i="24"/>
  <c r="Z1441" i="24"/>
  <c r="AA1465" i="24"/>
  <c r="Z1465" i="24"/>
  <c r="AA619" i="24"/>
  <c r="Z619" i="24"/>
  <c r="AA213" i="24"/>
  <c r="Z213" i="24"/>
  <c r="AA43" i="24"/>
  <c r="Z43" i="24"/>
  <c r="AA378" i="24"/>
  <c r="Z378" i="24"/>
  <c r="AA444" i="24"/>
  <c r="Z444" i="24"/>
  <c r="AA544" i="24"/>
  <c r="Z544" i="24"/>
  <c r="AA445" i="24"/>
  <c r="Z445" i="24"/>
  <c r="AA552" i="24"/>
  <c r="Z552" i="24"/>
  <c r="AA481" i="24"/>
  <c r="Z481" i="24"/>
  <c r="AA527" i="24"/>
  <c r="Z527" i="24"/>
  <c r="AA489" i="24"/>
  <c r="Z489" i="24"/>
  <c r="AA401" i="24"/>
  <c r="Z401" i="24"/>
  <c r="AA506" i="24"/>
  <c r="Z506" i="24"/>
  <c r="AA497" i="24"/>
  <c r="Z497" i="24"/>
  <c r="AA549" i="24"/>
  <c r="Z549" i="24"/>
  <c r="AA11" i="24"/>
  <c r="Z11" i="24"/>
  <c r="AA189" i="24"/>
  <c r="Z189" i="24"/>
  <c r="AA201" i="24"/>
  <c r="Z201" i="24"/>
  <c r="AA613" i="24"/>
  <c r="Z613" i="24"/>
  <c r="AA188" i="24"/>
  <c r="Z188" i="24"/>
  <c r="AA472" i="24"/>
  <c r="Z472" i="24"/>
  <c r="AA591" i="24"/>
  <c r="Z591" i="24"/>
  <c r="AA580" i="24"/>
  <c r="Z580" i="24"/>
  <c r="AA307" i="24"/>
  <c r="Z307" i="24"/>
  <c r="AA274" i="24"/>
  <c r="Z274" i="24"/>
  <c r="AA312" i="24"/>
  <c r="Z312" i="24"/>
  <c r="AA333" i="24"/>
  <c r="Z333" i="24"/>
  <c r="AA279" i="24"/>
  <c r="Z279" i="24"/>
  <c r="AA245" i="24"/>
  <c r="Z245" i="24"/>
  <c r="AA317" i="24"/>
  <c r="Z317" i="24"/>
  <c r="AA310" i="24"/>
  <c r="Z310" i="24"/>
  <c r="AA276" i="24"/>
  <c r="Z276" i="24"/>
  <c r="AA238" i="24"/>
  <c r="Z238" i="24"/>
  <c r="AA565" i="24"/>
  <c r="Z565" i="24"/>
  <c r="AA421" i="24"/>
  <c r="Z421" i="24"/>
  <c r="AA446" i="24"/>
  <c r="Z446" i="24"/>
  <c r="AA68" i="24"/>
  <c r="Z68" i="24"/>
  <c r="AA358" i="24"/>
  <c r="Z358" i="24"/>
  <c r="AA36" i="24"/>
  <c r="Z36" i="24"/>
  <c r="AA33" i="24"/>
  <c r="Z33" i="24"/>
  <c r="AA365" i="24"/>
  <c r="Z365" i="24"/>
  <c r="AA221" i="24"/>
  <c r="Z221" i="24"/>
  <c r="AA71" i="24"/>
  <c r="Z71" i="24"/>
  <c r="AA1370" i="24"/>
  <c r="Z1370" i="24"/>
  <c r="AA1247" i="24"/>
  <c r="Z1247" i="24"/>
  <c r="AA1119" i="24"/>
  <c r="Z1119" i="24"/>
  <c r="AA1183" i="24"/>
  <c r="Z1183" i="24"/>
  <c r="AA1093" i="24"/>
  <c r="Z1093" i="24"/>
  <c r="AA1026" i="24"/>
  <c r="Z1026" i="24"/>
  <c r="AA1061" i="24"/>
  <c r="Z1061" i="24"/>
  <c r="AA1488" i="24"/>
  <c r="Z1488" i="24"/>
  <c r="AA1445" i="24"/>
  <c r="Z1445" i="24"/>
  <c r="AA1003" i="24"/>
  <c r="Z1003" i="24"/>
  <c r="AA1497" i="24"/>
  <c r="Z1497" i="24"/>
  <c r="AA1180" i="24"/>
  <c r="Z1180" i="24"/>
  <c r="AA1408" i="24"/>
  <c r="Z1408" i="24"/>
  <c r="AA1072" i="24"/>
  <c r="Z1072" i="24"/>
  <c r="AA1113" i="24"/>
  <c r="Z1113" i="24"/>
  <c r="AA1312" i="24"/>
  <c r="Z1312" i="24"/>
  <c r="AA1210" i="24"/>
  <c r="Z1210" i="24"/>
  <c r="AA1303" i="24"/>
  <c r="Z1303" i="24"/>
  <c r="AA1149" i="24"/>
  <c r="Z1149" i="24"/>
  <c r="AA1165" i="24"/>
  <c r="Z1165" i="24"/>
  <c r="AA1163" i="24"/>
  <c r="Z1163" i="24"/>
  <c r="AA1470" i="24"/>
  <c r="Z1470" i="24"/>
  <c r="AA1331" i="24"/>
  <c r="Z1331" i="24"/>
  <c r="AA1037" i="24"/>
  <c r="Z1037" i="24"/>
  <c r="AA1330" i="24"/>
  <c r="Z1330" i="24"/>
  <c r="AA992" i="24"/>
  <c r="Z992" i="24"/>
  <c r="AA1181" i="24"/>
  <c r="Z1181" i="24"/>
  <c r="AA1447" i="24"/>
  <c r="Z1447" i="24"/>
  <c r="AA1459" i="24"/>
  <c r="Z1459" i="24"/>
  <c r="AA1423" i="24"/>
  <c r="Z1423" i="24"/>
  <c r="AA1389" i="24"/>
  <c r="Z1389" i="24"/>
  <c r="Z970" i="24"/>
  <c r="AA970" i="24"/>
  <c r="AA1313" i="24"/>
  <c r="Z1313" i="24"/>
  <c r="AA1220" i="24"/>
  <c r="Z1220" i="24"/>
  <c r="AA1007" i="24"/>
  <c r="Z1007" i="24"/>
  <c r="AA1161" i="24"/>
  <c r="Z1161" i="24"/>
  <c r="AA1310" i="24"/>
  <c r="Z1310" i="24"/>
  <c r="AA1334" i="24"/>
  <c r="Z1334" i="24"/>
  <c r="AA1499" i="24"/>
  <c r="Z1499" i="24"/>
  <c r="AA1195" i="24"/>
  <c r="Z1195" i="24"/>
  <c r="AA1097" i="24"/>
  <c r="Z1097" i="24"/>
  <c r="AA1486" i="24"/>
  <c r="Z1486" i="24"/>
  <c r="AA1125" i="24"/>
  <c r="Z1125" i="24"/>
  <c r="AA1196" i="24"/>
  <c r="Z1196" i="24"/>
  <c r="Z960" i="24"/>
  <c r="AA960" i="24"/>
  <c r="AA1305" i="24"/>
  <c r="Z1305" i="24"/>
  <c r="AA1004" i="24"/>
  <c r="Z1004" i="24"/>
  <c r="Z967" i="24"/>
  <c r="AA967" i="24"/>
  <c r="AA467" i="24"/>
  <c r="Z467" i="24"/>
  <c r="AA44" i="24"/>
  <c r="Z44" i="24"/>
  <c r="AA53" i="24"/>
  <c r="Z53" i="24"/>
  <c r="AA50" i="24"/>
  <c r="Z50" i="24"/>
  <c r="AA193" i="24"/>
  <c r="Z193" i="24"/>
  <c r="AA556" i="24"/>
  <c r="Z556" i="24"/>
  <c r="AA411" i="24"/>
  <c r="Z411" i="24"/>
  <c r="AA383" i="24"/>
  <c r="Z383" i="24"/>
  <c r="AA512" i="24"/>
  <c r="Z512" i="24"/>
  <c r="AA509" i="24"/>
  <c r="Z509" i="24"/>
  <c r="AA554" i="24"/>
  <c r="Z554" i="24"/>
  <c r="AA519" i="24"/>
  <c r="Z519" i="24"/>
  <c r="AA503" i="24"/>
  <c r="Z503" i="24"/>
  <c r="AA452" i="24"/>
  <c r="Z452" i="24"/>
  <c r="AA430" i="24"/>
  <c r="Z430" i="24"/>
  <c r="AA22" i="24"/>
  <c r="Z22" i="24"/>
  <c r="AA18" i="24"/>
  <c r="Z18" i="24"/>
  <c r="AA208" i="24"/>
  <c r="Z208" i="24"/>
  <c r="AA196" i="24"/>
  <c r="Z196" i="24"/>
  <c r="AA546" i="24"/>
  <c r="Z546" i="24"/>
  <c r="AA607" i="24"/>
  <c r="Z607" i="24"/>
  <c r="AA602" i="24"/>
  <c r="Z602" i="24"/>
  <c r="AA599" i="24"/>
  <c r="Z599" i="24"/>
  <c r="AA582" i="24"/>
  <c r="Z582" i="24"/>
  <c r="AA321" i="24"/>
  <c r="Z321" i="24"/>
  <c r="AA247" i="24"/>
  <c r="Z247" i="24"/>
  <c r="AA231" i="24"/>
  <c r="Z231" i="24"/>
  <c r="AA296" i="24"/>
  <c r="Z296" i="24"/>
  <c r="AA258" i="24"/>
  <c r="Z258" i="24"/>
  <c r="AA347" i="24"/>
  <c r="Z347" i="24"/>
  <c r="AA343" i="24"/>
  <c r="Z343" i="24"/>
  <c r="AA297" i="24"/>
  <c r="Z297" i="24"/>
  <c r="AA237" i="24"/>
  <c r="Z237" i="24"/>
  <c r="AA240" i="24"/>
  <c r="Z240" i="24"/>
  <c r="AA225" i="24"/>
  <c r="Z225" i="24"/>
  <c r="AA434" i="24"/>
  <c r="Z434" i="24"/>
  <c r="AA606" i="24"/>
  <c r="Z606" i="24"/>
  <c r="AA431" i="24"/>
  <c r="Z431" i="24"/>
  <c r="AA186" i="24"/>
  <c r="Z186" i="24"/>
  <c r="AA354" i="24"/>
  <c r="Z354" i="24"/>
  <c r="AA163" i="24"/>
  <c r="Z163" i="24"/>
  <c r="AA74" i="24"/>
  <c r="Z74" i="24"/>
  <c r="AA361" i="24"/>
  <c r="Z361" i="24"/>
  <c r="AA220" i="24"/>
  <c r="Z220" i="24"/>
  <c r="AA28" i="24"/>
  <c r="Z28" i="24"/>
  <c r="AA1094" i="24"/>
  <c r="Z1094" i="24"/>
  <c r="AA1041" i="24"/>
  <c r="Z1041" i="24"/>
  <c r="AA1424" i="24"/>
  <c r="Z1424" i="24"/>
  <c r="AA1311" i="24"/>
  <c r="Z1311" i="24"/>
  <c r="AA1429" i="24"/>
  <c r="Z1429" i="24"/>
  <c r="AA1366" i="24"/>
  <c r="Z1366" i="24"/>
  <c r="AA1191" i="24"/>
  <c r="Z1191" i="24"/>
  <c r="AA1090" i="24"/>
  <c r="Z1090" i="24"/>
  <c r="Z954" i="24"/>
  <c r="AA954" i="24"/>
  <c r="AA1380" i="24"/>
  <c r="Z1380" i="24"/>
  <c r="AA1120" i="24"/>
  <c r="Z1120" i="24"/>
  <c r="Z956" i="24"/>
  <c r="AA956" i="24"/>
  <c r="AA1298" i="24"/>
  <c r="Z1298" i="24"/>
  <c r="AA1067" i="24"/>
  <c r="Z1067" i="24"/>
  <c r="AA1464" i="24"/>
  <c r="Z1464" i="24"/>
  <c r="Z981" i="24"/>
  <c r="AA981" i="24"/>
  <c r="AA1471" i="24"/>
  <c r="Z1471" i="24"/>
  <c r="AA1358" i="24"/>
  <c r="Z1358" i="24"/>
  <c r="AA1063" i="24"/>
  <c r="Z1063" i="24"/>
  <c r="AA1461" i="24"/>
  <c r="Z1461" i="24"/>
  <c r="AA1087" i="24"/>
  <c r="Z1087" i="24"/>
  <c r="AA1400" i="24"/>
  <c r="Z1400" i="24"/>
  <c r="AA1034" i="24"/>
  <c r="Z1034" i="24"/>
  <c r="AA1070" i="24"/>
  <c r="Z1070" i="24"/>
  <c r="AA1110" i="24"/>
  <c r="Z1110" i="24"/>
  <c r="AA1286" i="24"/>
  <c r="Z1286" i="24"/>
  <c r="AA1399" i="24"/>
  <c r="Z1399" i="24"/>
  <c r="AA1193" i="24"/>
  <c r="Z1193" i="24"/>
  <c r="AA1340" i="24"/>
  <c r="Z1340" i="24"/>
  <c r="AA1306" i="24"/>
  <c r="Z1306" i="24"/>
  <c r="AA1473" i="24"/>
  <c r="Z1473" i="24"/>
  <c r="Z948" i="24"/>
  <c r="AA948" i="24"/>
  <c r="AA1152" i="24"/>
  <c r="Z1152" i="24"/>
  <c r="AA1316" i="24"/>
  <c r="Z1316" i="24"/>
  <c r="AA1339" i="24"/>
  <c r="Z1339" i="24"/>
  <c r="AA1410" i="24"/>
  <c r="Z1410" i="24"/>
  <c r="AA1158" i="24"/>
  <c r="Z1158" i="24"/>
  <c r="AA1098" i="24"/>
  <c r="Z1098" i="24"/>
  <c r="AA1123" i="24"/>
  <c r="Z1123" i="24"/>
  <c r="AA1233" i="24"/>
  <c r="Z1233" i="24"/>
  <c r="AA1335" i="24"/>
  <c r="Z1335" i="24"/>
  <c r="AA961" i="24"/>
  <c r="Z961" i="24"/>
  <c r="AA1384" i="24"/>
  <c r="Z1384" i="24"/>
  <c r="AA1169" i="24"/>
  <c r="Z1169" i="24"/>
  <c r="Z958" i="24"/>
  <c r="AA958" i="24"/>
  <c r="AA1145" i="24"/>
  <c r="Z1145" i="24"/>
  <c r="AA1324" i="24"/>
  <c r="Z1324" i="24"/>
  <c r="Z968" i="24"/>
  <c r="AA968" i="24"/>
  <c r="AA194" i="24"/>
  <c r="Z194" i="24"/>
  <c r="AA537" i="24"/>
  <c r="Z537" i="24"/>
  <c r="AA476" i="24"/>
  <c r="Z476" i="24"/>
  <c r="AA405" i="24"/>
  <c r="Z405" i="24"/>
  <c r="AA455" i="24"/>
  <c r="Z455" i="24"/>
  <c r="AA498" i="24"/>
  <c r="Z498" i="24"/>
  <c r="AA464" i="24"/>
  <c r="Z464" i="24"/>
  <c r="AA482" i="24"/>
  <c r="Z482" i="24"/>
  <c r="AA442" i="24"/>
  <c r="Z442" i="24"/>
  <c r="AA416" i="24"/>
  <c r="Z416" i="24"/>
  <c r="AA475" i="24"/>
  <c r="Z475" i="24"/>
  <c r="AA531" i="24"/>
  <c r="Z531" i="24"/>
  <c r="AA419" i="24"/>
  <c r="Z419" i="24"/>
  <c r="AA24" i="24"/>
  <c r="Z24" i="24"/>
  <c r="AA453" i="24"/>
  <c r="Z453" i="24"/>
  <c r="AA190" i="24"/>
  <c r="Z190" i="24"/>
  <c r="AA214" i="24"/>
  <c r="Z214" i="24"/>
  <c r="AA394" i="24"/>
  <c r="Z394" i="24"/>
  <c r="AA423" i="24"/>
  <c r="Z423" i="24"/>
  <c r="AA584" i="24"/>
  <c r="Z584" i="24"/>
  <c r="AA579" i="24"/>
  <c r="Z579" i="24"/>
  <c r="AA586" i="24"/>
  <c r="Z586" i="24"/>
  <c r="AA295" i="24"/>
  <c r="Z295" i="24"/>
  <c r="AA300" i="24"/>
  <c r="Z300" i="24"/>
  <c r="AA252" i="24"/>
  <c r="Z252" i="24"/>
  <c r="AA234" i="24"/>
  <c r="Z234" i="24"/>
  <c r="AA338" i="24"/>
  <c r="Z338" i="24"/>
  <c r="AA277" i="24"/>
  <c r="Z277" i="24"/>
  <c r="AA267" i="24"/>
  <c r="Z267" i="24"/>
  <c r="AA302" i="24"/>
  <c r="Z302" i="24"/>
  <c r="AA290" i="24"/>
  <c r="Z290" i="24"/>
  <c r="AA352" i="24"/>
  <c r="Z352" i="24"/>
  <c r="AA259" i="24"/>
  <c r="Z259" i="24"/>
  <c r="AA617" i="24"/>
  <c r="Z617" i="24"/>
  <c r="AA510" i="24"/>
  <c r="Z510" i="24"/>
  <c r="AA179" i="24"/>
  <c r="Z179" i="24"/>
  <c r="AA357" i="24"/>
  <c r="Z357" i="24"/>
  <c r="AA169" i="24"/>
  <c r="Z169" i="24"/>
  <c r="AA363" i="24"/>
  <c r="Z363" i="24"/>
  <c r="AA371" i="24"/>
  <c r="Z371" i="24"/>
  <c r="AA223" i="24"/>
  <c r="Z223" i="24"/>
  <c r="AA159" i="24"/>
  <c r="Z159" i="24"/>
  <c r="AA1405" i="24"/>
  <c r="Z1405" i="24"/>
  <c r="AA1307" i="24"/>
  <c r="Z1307" i="24"/>
  <c r="AA1295" i="24"/>
  <c r="Z1295" i="24"/>
  <c r="AA1032" i="24"/>
  <c r="Z1032" i="24"/>
  <c r="AA1468" i="24"/>
  <c r="Z1468" i="24"/>
  <c r="AA1246" i="24"/>
  <c r="Z1246" i="24"/>
  <c r="AA1148" i="24"/>
  <c r="Z1148" i="24"/>
  <c r="AA1065" i="24"/>
  <c r="Z1065" i="24"/>
  <c r="Z972" i="24"/>
  <c r="AA972" i="24"/>
  <c r="AA1237" i="24"/>
  <c r="Z1237" i="24"/>
  <c r="AA1023" i="24"/>
  <c r="Z1023" i="24"/>
  <c r="Z945" i="24"/>
  <c r="AA945" i="24"/>
  <c r="AA1185" i="24"/>
  <c r="Z1185" i="24"/>
  <c r="AA1042" i="24"/>
  <c r="Z1042" i="24"/>
  <c r="AA1225" i="24"/>
  <c r="Z1225" i="24"/>
  <c r="Z966" i="24"/>
  <c r="AA966" i="24"/>
  <c r="AA1138" i="24"/>
  <c r="Z1138" i="24"/>
  <c r="AA1308" i="24"/>
  <c r="Z1308" i="24"/>
  <c r="Z965" i="24"/>
  <c r="AA965" i="24"/>
  <c r="AA1314" i="24"/>
  <c r="Z1314" i="24"/>
  <c r="AA1006" i="24"/>
  <c r="Z1006" i="24"/>
  <c r="AA1096" i="24"/>
  <c r="Z1096" i="24"/>
  <c r="AA1155" i="24"/>
  <c r="Z1155" i="24"/>
  <c r="AA1278" i="24"/>
  <c r="Z1278" i="24"/>
  <c r="AA1381" i="24"/>
  <c r="Z1381" i="24"/>
  <c r="AA1211" i="24"/>
  <c r="Z1211" i="24"/>
  <c r="AA1275" i="24"/>
  <c r="Z1275" i="24"/>
  <c r="AA1142" i="24"/>
  <c r="Z1142" i="24"/>
  <c r="AA1290" i="24"/>
  <c r="Z1290" i="24"/>
  <c r="AA1130" i="24"/>
  <c r="Z1130" i="24"/>
  <c r="AA1501" i="24"/>
  <c r="Z1501" i="24"/>
  <c r="AA1060" i="24"/>
  <c r="Z1060" i="24"/>
  <c r="AA1085" i="24"/>
  <c r="Z1085" i="24"/>
  <c r="AA1276" i="24"/>
  <c r="Z1276" i="24"/>
  <c r="AA1109" i="24"/>
  <c r="Z1109" i="24"/>
  <c r="AA1168" i="24"/>
  <c r="Z1168" i="24"/>
  <c r="AA1480" i="24"/>
  <c r="Z1480" i="24"/>
  <c r="AA1200" i="24"/>
  <c r="Z1200" i="24"/>
  <c r="AA1300" i="24"/>
  <c r="Z1300" i="24"/>
  <c r="AA1208" i="24"/>
  <c r="Z1208" i="24"/>
  <c r="AA1271" i="24"/>
  <c r="Z1271" i="24"/>
  <c r="AA936" i="24"/>
  <c r="Z936" i="24"/>
  <c r="AA1438" i="24"/>
  <c r="Z1438" i="24"/>
  <c r="AA1285" i="24"/>
  <c r="Z1285" i="24"/>
  <c r="AA1474" i="24"/>
  <c r="Z1474" i="24"/>
  <c r="AA1234" i="24"/>
  <c r="Z1234" i="24"/>
  <c r="AA1141" i="24"/>
  <c r="Z1141" i="24"/>
  <c r="Z940" i="24"/>
  <c r="AA940" i="24"/>
  <c r="AA393" i="24"/>
  <c r="Z393" i="24"/>
  <c r="AA55" i="24"/>
  <c r="Z55" i="24"/>
  <c r="AA49" i="24"/>
  <c r="Z49" i="24"/>
  <c r="AA438" i="24"/>
  <c r="Z438" i="24"/>
  <c r="AA466" i="24"/>
  <c r="Z466" i="24"/>
  <c r="AA555" i="24"/>
  <c r="Z555" i="24"/>
  <c r="AA550" i="24"/>
  <c r="Z550" i="24"/>
  <c r="AA553" i="24"/>
  <c r="Z553" i="24"/>
  <c r="AA469" i="24"/>
  <c r="Z469" i="24"/>
  <c r="AA433" i="24"/>
  <c r="Z433" i="24"/>
  <c r="AA436" i="24"/>
  <c r="Z436" i="24"/>
  <c r="AA487" i="24"/>
  <c r="Z487" i="24"/>
  <c r="AA470" i="24"/>
  <c r="Z470" i="24"/>
  <c r="AA547" i="24"/>
  <c r="Z547" i="24"/>
  <c r="AA15" i="24"/>
  <c r="Z15" i="24"/>
  <c r="AA615" i="24"/>
  <c r="Z615" i="24"/>
  <c r="AA211" i="24"/>
  <c r="Z211" i="24"/>
  <c r="AA192" i="24"/>
  <c r="Z192" i="24"/>
  <c r="AA494" i="24"/>
  <c r="Z494" i="24"/>
  <c r="AA583" i="24"/>
  <c r="Z583" i="24"/>
  <c r="AA587" i="24"/>
  <c r="Z587" i="24"/>
  <c r="AA576" i="24"/>
  <c r="Z576" i="24"/>
  <c r="AA574" i="24"/>
  <c r="Z574" i="24"/>
  <c r="AA278" i="24"/>
  <c r="Z278" i="24"/>
  <c r="AA308" i="24"/>
  <c r="Z308" i="24"/>
  <c r="AA327" i="24"/>
  <c r="Z327" i="24"/>
  <c r="AA331" i="24"/>
  <c r="Z331" i="24"/>
  <c r="AA229" i="24"/>
  <c r="Z229" i="24"/>
  <c r="AA350" i="24"/>
  <c r="Z350" i="24"/>
  <c r="AA345" i="24"/>
  <c r="Z345" i="24"/>
  <c r="AA230" i="24"/>
  <c r="Z230" i="24"/>
  <c r="AA249" i="24"/>
  <c r="Z249" i="24"/>
  <c r="AA265" i="24"/>
  <c r="Z265" i="24"/>
  <c r="AA319" i="24"/>
  <c r="Z319" i="24"/>
  <c r="AA513" i="24"/>
  <c r="Z513" i="24"/>
  <c r="AA532" i="24"/>
  <c r="Z532" i="24"/>
  <c r="AA462" i="24"/>
  <c r="Z462" i="24"/>
  <c r="AA73" i="24"/>
  <c r="Z73" i="24"/>
  <c r="AA356" i="24"/>
  <c r="Z356" i="24"/>
  <c r="AA181" i="24"/>
  <c r="Z181" i="24"/>
  <c r="AA377" i="24"/>
  <c r="Z377" i="24"/>
  <c r="AA368" i="24"/>
  <c r="Z368" i="24"/>
  <c r="AA219" i="24"/>
  <c r="Z219" i="24"/>
  <c r="AA174" i="24"/>
  <c r="Z174" i="24"/>
  <c r="AA1024" i="24"/>
  <c r="Z1024" i="24"/>
  <c r="AA1345" i="24"/>
  <c r="Z1345" i="24"/>
  <c r="AA1218" i="24"/>
  <c r="Z1218" i="24"/>
  <c r="AA1014" i="24"/>
  <c r="Z1014" i="24"/>
  <c r="AA1257" i="24"/>
  <c r="Z1257" i="24"/>
  <c r="AA1291" i="24"/>
  <c r="Z1291" i="24"/>
  <c r="AA1189" i="24"/>
  <c r="Z1189" i="24"/>
  <c r="AA1044" i="24"/>
  <c r="Z1044" i="24"/>
  <c r="Z973" i="24"/>
  <c r="AA973" i="24"/>
  <c r="AA1449" i="24"/>
  <c r="Z1449" i="24"/>
  <c r="AA1177" i="24"/>
  <c r="Z1177" i="24"/>
  <c r="Z979" i="24"/>
  <c r="AA979" i="24"/>
  <c r="AA1281" i="24"/>
  <c r="Z1281" i="24"/>
  <c r="AA998" i="24"/>
  <c r="Z998" i="24"/>
  <c r="AA1437" i="24"/>
  <c r="Z1437" i="24"/>
  <c r="Z952" i="24"/>
  <c r="AA952" i="24"/>
  <c r="AA1362" i="24"/>
  <c r="Z1362" i="24"/>
  <c r="AA1030" i="24"/>
  <c r="Z1030" i="24"/>
  <c r="AA944" i="24"/>
  <c r="Z944" i="24"/>
  <c r="AA1214" i="24"/>
  <c r="Z1214" i="24"/>
  <c r="AA1118" i="24"/>
  <c r="Z1118" i="24"/>
  <c r="AA1357" i="24"/>
  <c r="Z1357" i="24"/>
  <c r="AA1241" i="24"/>
  <c r="Z1241" i="24"/>
  <c r="AA1135" i="24"/>
  <c r="Z1135" i="24"/>
  <c r="AA1267" i="24"/>
  <c r="Z1267" i="24"/>
  <c r="AA994" i="24"/>
  <c r="Z994" i="24"/>
  <c r="AA1483" i="24"/>
  <c r="Z1483" i="24"/>
  <c r="AA1433" i="24"/>
  <c r="Z1433" i="24"/>
  <c r="AA1040" i="24"/>
  <c r="Z1040" i="24"/>
  <c r="AA1477" i="24"/>
  <c r="Z1477" i="24"/>
  <c r="AA1368" i="24"/>
  <c r="Z1368" i="24"/>
  <c r="AA1074" i="24"/>
  <c r="Z1074" i="24"/>
  <c r="AA1052" i="24"/>
  <c r="Z1052" i="24"/>
  <c r="AA1019" i="24"/>
  <c r="Z1019" i="24"/>
  <c r="AA1117" i="24"/>
  <c r="Z1117" i="24"/>
  <c r="AA1256" i="24"/>
  <c r="Z1256" i="24"/>
  <c r="Z959" i="24"/>
  <c r="AA959" i="24"/>
  <c r="AA1064" i="24"/>
  <c r="Z1064" i="24"/>
  <c r="AA1254" i="24"/>
  <c r="Z1254" i="24"/>
  <c r="AA1027" i="24"/>
  <c r="Z1027" i="24"/>
  <c r="AA1146" i="24"/>
  <c r="Z1146" i="24"/>
  <c r="AA938" i="24"/>
  <c r="Z938" i="24"/>
  <c r="AA1077" i="24"/>
  <c r="Z1077" i="24"/>
  <c r="AA1128" i="24"/>
  <c r="Z1128" i="24"/>
  <c r="AA1377" i="24"/>
  <c r="Z1377" i="24"/>
  <c r="AA1369" i="24"/>
  <c r="Z1369" i="24"/>
  <c r="AA984" i="24"/>
  <c r="Z984" i="24"/>
  <c r="Z950" i="24"/>
  <c r="AA950" i="24"/>
  <c r="AA618" i="24"/>
  <c r="Z618" i="24"/>
  <c r="AA41" i="24"/>
  <c r="Z41" i="24"/>
  <c r="AA51" i="24"/>
  <c r="Z51" i="24"/>
  <c r="AA572" i="24"/>
  <c r="Z572" i="24"/>
  <c r="AA492" i="24"/>
  <c r="Z492" i="24"/>
  <c r="AA413" i="24"/>
  <c r="Z413" i="24"/>
  <c r="AA486" i="24"/>
  <c r="Z486" i="24"/>
  <c r="AA515" i="24"/>
  <c r="Z515" i="24"/>
  <c r="AA568" i="24"/>
  <c r="Z568" i="24"/>
  <c r="AA439" i="24"/>
  <c r="Z439" i="24"/>
  <c r="AA388" i="24"/>
  <c r="Z388" i="24"/>
  <c r="AA490" i="24"/>
  <c r="Z490" i="24"/>
  <c r="AA563" i="24"/>
  <c r="Z563" i="24"/>
  <c r="AA496" i="24"/>
  <c r="Z496" i="24"/>
  <c r="AA450" i="24"/>
  <c r="Z450" i="24"/>
  <c r="AA13" i="24"/>
  <c r="Z13" i="24"/>
  <c r="AA17" i="24"/>
  <c r="AF2020" i="24" s="1"/>
  <c r="Z17" i="24"/>
  <c r="AA409" i="24"/>
  <c r="Z409" i="24"/>
  <c r="AA204" i="24"/>
  <c r="Z204" i="24"/>
  <c r="AA206" i="24"/>
  <c r="Z206" i="24"/>
  <c r="AA522" i="24"/>
  <c r="Z522" i="24"/>
  <c r="AA215" i="24"/>
  <c r="Z215" i="24"/>
  <c r="AA600" i="24"/>
  <c r="Z600" i="24"/>
  <c r="AA593" i="24"/>
  <c r="Z593" i="24"/>
  <c r="AA592" i="24"/>
  <c r="Z592" i="24"/>
  <c r="AA269" i="24"/>
  <c r="Z269" i="24"/>
  <c r="AA246" i="24"/>
  <c r="Z246" i="24"/>
  <c r="AA233" i="24"/>
  <c r="Z233" i="24"/>
  <c r="AA292" i="24"/>
  <c r="Z292" i="24"/>
  <c r="AA341" i="24"/>
  <c r="Z341" i="24"/>
  <c r="AA334" i="24"/>
  <c r="Z334" i="24"/>
  <c r="AA311" i="24"/>
  <c r="Z311" i="24"/>
  <c r="AA255" i="24"/>
  <c r="Z255" i="24"/>
  <c r="AA235" i="24"/>
  <c r="Z235" i="24"/>
  <c r="AA264" i="24"/>
  <c r="Z264" i="24"/>
  <c r="AA285" i="24"/>
  <c r="Z285" i="24"/>
  <c r="AA491" i="24"/>
  <c r="Z491" i="24"/>
  <c r="AA428" i="24"/>
  <c r="Z428" i="24"/>
  <c r="AA558" i="24"/>
  <c r="Z558" i="24"/>
  <c r="AA37" i="24"/>
  <c r="Z37" i="24"/>
  <c r="AA355" i="24"/>
  <c r="Z355" i="24"/>
  <c r="AA166" i="24"/>
  <c r="Z166" i="24"/>
  <c r="AA360" i="24"/>
  <c r="Z360" i="24"/>
  <c r="AA376" i="24"/>
  <c r="Z376" i="24"/>
  <c r="AA38" i="24"/>
  <c r="Z38" i="24"/>
  <c r="AA1066" i="24"/>
  <c r="Z1066" i="24"/>
  <c r="AA1172" i="24"/>
  <c r="Z1172" i="24"/>
  <c r="AA1249" i="24"/>
  <c r="Z1249" i="24"/>
  <c r="AA986" i="24"/>
  <c r="Z986" i="24"/>
  <c r="AA1376" i="24"/>
  <c r="Z1376" i="24"/>
  <c r="AA1132" i="24"/>
  <c r="Z1132" i="24"/>
  <c r="AA1255" i="24"/>
  <c r="Z1255" i="24"/>
  <c r="AA989" i="24"/>
  <c r="Z989" i="24"/>
  <c r="Z978" i="24"/>
  <c r="AA978" i="24"/>
  <c r="AA1289" i="24"/>
  <c r="Z1289" i="24"/>
  <c r="AA1000" i="24"/>
  <c r="Z1000" i="24"/>
  <c r="Z949" i="24"/>
  <c r="AA949" i="24"/>
  <c r="AA1472" i="24"/>
  <c r="Z1472" i="24"/>
  <c r="AA1421" i="24"/>
  <c r="Z1421" i="24"/>
  <c r="AA1062" i="24"/>
  <c r="Z1062" i="24"/>
  <c r="AA946" i="24"/>
  <c r="Z946" i="24"/>
  <c r="AA1134" i="24"/>
  <c r="Z1134" i="24"/>
  <c r="AA1418" i="24"/>
  <c r="Z1418" i="24"/>
  <c r="Z969" i="24"/>
  <c r="AA969" i="24"/>
  <c r="AA1342" i="24"/>
  <c r="Z1342" i="24"/>
  <c r="AA1446" i="24"/>
  <c r="Z1446" i="24"/>
  <c r="AA1412" i="24"/>
  <c r="Z1412" i="24"/>
  <c r="Z957" i="24"/>
  <c r="AA957" i="24"/>
  <c r="AA1073" i="24"/>
  <c r="Z1073" i="24"/>
  <c r="AA1270" i="24"/>
  <c r="Z1270" i="24"/>
  <c r="AA1347" i="24"/>
  <c r="Z1347" i="24"/>
  <c r="AA1198" i="24"/>
  <c r="Z1198" i="24"/>
  <c r="AA1129" i="24"/>
  <c r="Z1129" i="24"/>
  <c r="AA1011" i="24"/>
  <c r="Z1011" i="24"/>
  <c r="AA971" i="24"/>
  <c r="Z971" i="24"/>
  <c r="AA1228" i="24"/>
  <c r="Z1228" i="24"/>
  <c r="AA1422" i="24"/>
  <c r="Z1422" i="24"/>
  <c r="AA1232" i="24"/>
  <c r="Z1232" i="24"/>
  <c r="AA1282" i="24"/>
  <c r="Z1282" i="24"/>
  <c r="AA1427" i="24"/>
  <c r="Z1427" i="24"/>
  <c r="AA1215" i="24"/>
  <c r="Z1215" i="24"/>
  <c r="Z962" i="24"/>
  <c r="AA962" i="24"/>
  <c r="AA1038" i="24"/>
  <c r="Z1038" i="24"/>
  <c r="AA1055" i="24"/>
  <c r="Z1055" i="24"/>
  <c r="AA1451" i="24"/>
  <c r="Z1451" i="24"/>
  <c r="AA1036" i="24"/>
  <c r="Z1036" i="24"/>
  <c r="Z947" i="24"/>
  <c r="AA947" i="24"/>
  <c r="AA1045" i="24"/>
  <c r="Z1045" i="24"/>
  <c r="AA1328" i="24"/>
  <c r="Z1328" i="24"/>
  <c r="AA1104" i="24"/>
  <c r="Z1104" i="24"/>
  <c r="AA982" i="24"/>
  <c r="Z982" i="24"/>
  <c r="AA1419" i="24"/>
  <c r="Z1419" i="24"/>
  <c r="Z667" i="24"/>
  <c r="AA667" i="24"/>
  <c r="Z675" i="24"/>
  <c r="AA675" i="24"/>
  <c r="Z698" i="24"/>
  <c r="AA698" i="24"/>
  <c r="Z688" i="24"/>
  <c r="AA688" i="24"/>
  <c r="Z691" i="24"/>
  <c r="AA691" i="24"/>
  <c r="Z681" i="24"/>
  <c r="AA681" i="24"/>
  <c r="Z660" i="24"/>
  <c r="AA660" i="24"/>
  <c r="Z672" i="24"/>
  <c r="AA672" i="24"/>
  <c r="Z699" i="24"/>
  <c r="AA699" i="24"/>
  <c r="Z719" i="24"/>
  <c r="AA719" i="24"/>
  <c r="Z693" i="24"/>
  <c r="AA693" i="24"/>
  <c r="Z664" i="24"/>
  <c r="AA664" i="24"/>
  <c r="Z665" i="24"/>
  <c r="AA665" i="24"/>
  <c r="Z689" i="24"/>
  <c r="AA689" i="24"/>
  <c r="Z695" i="24"/>
  <c r="AA695" i="24"/>
  <c r="Z679" i="24"/>
  <c r="AA679" i="24"/>
  <c r="Z718" i="24"/>
  <c r="AA718" i="24"/>
  <c r="Z708" i="24"/>
  <c r="AA708" i="24"/>
  <c r="Z696" i="24"/>
  <c r="AA696" i="24"/>
  <c r="Z687" i="24"/>
  <c r="AA687" i="24"/>
  <c r="Z650" i="24"/>
  <c r="AA650" i="24"/>
  <c r="Z677" i="24"/>
  <c r="AA677" i="24"/>
  <c r="Z678" i="24"/>
  <c r="AA678" i="24"/>
  <c r="Z674" i="24"/>
  <c r="AA674" i="24"/>
  <c r="Z682" i="24"/>
  <c r="AA682" i="24"/>
  <c r="Z669" i="24"/>
  <c r="AA669" i="24"/>
  <c r="Z697" i="24"/>
  <c r="AA697" i="24"/>
  <c r="Z701" i="24"/>
  <c r="AA701" i="24"/>
  <c r="Z662" i="24"/>
  <c r="AA662" i="24"/>
  <c r="Z680" i="24"/>
  <c r="AA680" i="24"/>
  <c r="Z659" i="24"/>
  <c r="AA659" i="24"/>
  <c r="Z685" i="24"/>
  <c r="AA685" i="24"/>
  <c r="Z652" i="24"/>
  <c r="AA652" i="24"/>
  <c r="AG2022" i="24" s="1"/>
  <c r="Z704" i="24"/>
  <c r="AA704" i="24"/>
  <c r="Z671" i="24"/>
  <c r="AA671" i="24"/>
  <c r="Z655" i="24"/>
  <c r="AA655" i="24"/>
  <c r="Z712" i="24"/>
  <c r="AA712" i="24"/>
  <c r="Z709" i="24"/>
  <c r="AA709" i="24"/>
  <c r="Z690" i="24"/>
  <c r="AA690" i="24"/>
  <c r="Z686" i="24"/>
  <c r="AA686" i="24"/>
  <c r="Z676" i="24"/>
  <c r="AA676" i="24"/>
  <c r="Z661" i="24"/>
  <c r="AA661" i="24"/>
  <c r="Z656" i="24"/>
  <c r="AA656" i="24"/>
  <c r="Z711" i="24"/>
  <c r="AA711" i="24"/>
  <c r="Z705" i="24"/>
  <c r="AA705" i="24"/>
  <c r="Z653" i="24"/>
  <c r="AA653" i="24"/>
  <c r="Z707" i="24"/>
  <c r="AA707" i="24"/>
  <c r="Z717" i="24"/>
  <c r="AA717" i="24"/>
  <c r="Z651" i="24"/>
  <c r="AA651" i="24"/>
  <c r="Z683" i="24"/>
  <c r="AA683" i="24"/>
  <c r="Z715" i="24"/>
  <c r="AA715" i="24"/>
  <c r="Z702" i="24"/>
  <c r="AA702" i="24"/>
  <c r="Z716" i="24"/>
  <c r="AA716" i="24"/>
  <c r="Z670" i="24"/>
  <c r="AA670" i="24"/>
  <c r="Z668" i="24"/>
  <c r="AA668" i="24"/>
  <c r="Z658" i="24"/>
  <c r="AA658" i="24"/>
  <c r="Z673" i="24"/>
  <c r="AA673" i="24"/>
  <c r="Z713" i="24"/>
  <c r="AA713" i="24"/>
  <c r="Z703" i="24"/>
  <c r="AA703" i="24"/>
  <c r="Z706" i="24"/>
  <c r="AA706" i="24"/>
  <c r="Z700" i="24"/>
  <c r="AA700" i="24"/>
  <c r="Z714" i="24"/>
  <c r="AA714" i="24"/>
  <c r="Z657" i="24"/>
  <c r="AA657" i="24"/>
  <c r="Z694" i="24"/>
  <c r="AA694" i="24"/>
  <c r="Z654" i="24"/>
  <c r="AA654" i="24"/>
  <c r="Z692" i="24"/>
  <c r="AA692" i="24"/>
  <c r="Z666" i="24"/>
  <c r="AA666" i="24"/>
  <c r="Z663" i="24"/>
  <c r="AA663" i="24"/>
  <c r="Z684" i="24"/>
  <c r="AA684" i="24"/>
  <c r="Z649" i="24"/>
  <c r="AA649" i="24"/>
  <c r="Z710" i="24"/>
  <c r="AA710" i="24"/>
  <c r="AA792" i="24"/>
  <c r="Z792" i="24"/>
  <c r="Z788" i="24"/>
  <c r="AA788" i="24"/>
  <c r="Z898" i="24"/>
  <c r="AA898" i="24"/>
  <c r="Z769" i="24"/>
  <c r="AA769" i="24"/>
  <c r="Z796" i="24"/>
  <c r="AA796" i="24"/>
  <c r="Z849" i="24"/>
  <c r="AA849" i="24"/>
  <c r="AA861" i="24"/>
  <c r="Z861" i="24"/>
  <c r="AA902" i="24"/>
  <c r="Z902" i="24"/>
  <c r="AA926" i="24"/>
  <c r="Z926" i="24"/>
  <c r="AA892" i="24"/>
  <c r="Z892" i="24"/>
  <c r="Z908" i="24"/>
  <c r="AA908" i="24"/>
  <c r="AA897" i="24"/>
  <c r="Z897" i="24"/>
  <c r="Z726" i="24"/>
  <c r="AA726" i="24"/>
  <c r="AA756" i="24"/>
  <c r="Z756" i="24"/>
  <c r="Z720" i="24"/>
  <c r="AA720" i="24"/>
  <c r="Z825" i="24"/>
  <c r="AA825" i="24"/>
  <c r="AA773" i="24"/>
  <c r="Z773" i="24"/>
  <c r="AA764" i="24"/>
  <c r="Z764" i="24"/>
  <c r="AA737" i="24"/>
  <c r="Z737" i="24"/>
  <c r="Z724" i="24"/>
  <c r="AA724" i="24"/>
  <c r="Z804" i="24"/>
  <c r="AA804" i="24"/>
  <c r="Z755" i="24"/>
  <c r="AA755" i="24"/>
  <c r="AA777" i="24"/>
  <c r="Z777" i="24"/>
  <c r="Z736" i="24"/>
  <c r="AA736" i="24"/>
  <c r="AA817" i="24"/>
  <c r="Z817" i="24"/>
  <c r="Z928" i="24"/>
  <c r="AA928" i="24"/>
  <c r="Z863" i="24"/>
  <c r="AA863" i="24"/>
  <c r="Z835" i="24"/>
  <c r="AA835" i="24"/>
  <c r="AA790" i="24"/>
  <c r="Z790" i="24"/>
  <c r="Z761" i="24"/>
  <c r="AA761" i="24"/>
  <c r="Z838" i="24"/>
  <c r="AA838" i="24"/>
  <c r="AA854" i="24"/>
  <c r="Z854" i="24"/>
  <c r="Z876" i="24"/>
  <c r="AA876" i="24"/>
  <c r="AA904" i="24"/>
  <c r="Z904" i="24"/>
  <c r="AA869" i="24"/>
  <c r="Z869" i="24"/>
  <c r="Z868" i="24"/>
  <c r="AA868" i="24"/>
  <c r="AA899" i="24"/>
  <c r="Z899" i="24"/>
  <c r="Z753" i="24"/>
  <c r="AA753" i="24"/>
  <c r="Z770" i="24"/>
  <c r="AA770" i="24"/>
  <c r="Z732" i="24"/>
  <c r="AA732" i="24"/>
  <c r="AA795" i="24"/>
  <c r="Z795" i="24"/>
  <c r="AA836" i="24"/>
  <c r="Z836" i="24"/>
  <c r="Z762" i="24"/>
  <c r="AA762" i="24"/>
  <c r="Z831" i="24"/>
  <c r="AA831" i="24"/>
  <c r="Z799" i="24"/>
  <c r="AA799" i="24"/>
  <c r="AA809" i="24"/>
  <c r="Z809" i="24"/>
  <c r="AA829" i="24"/>
  <c r="Z829" i="24"/>
  <c r="AA920" i="24"/>
  <c r="Z920" i="24"/>
  <c r="Z741" i="24"/>
  <c r="AA741" i="24"/>
  <c r="Z842" i="24"/>
  <c r="AA842" i="24"/>
  <c r="AA862" i="24"/>
  <c r="Z862" i="24"/>
  <c r="AA878" i="24"/>
  <c r="Z878" i="24"/>
  <c r="AA889" i="24"/>
  <c r="Z889" i="24"/>
  <c r="Z927" i="24"/>
  <c r="AA927" i="24"/>
  <c r="AA877" i="24"/>
  <c r="Z877" i="24"/>
  <c r="AA907" i="24"/>
  <c r="Z907" i="24"/>
  <c r="Z820" i="24"/>
  <c r="AA820" i="24"/>
  <c r="Z750" i="24"/>
  <c r="AA750" i="24"/>
  <c r="AA778" i="24"/>
  <c r="Z778" i="24"/>
  <c r="Z760" i="24"/>
  <c r="AA760" i="24"/>
  <c r="Z786" i="24"/>
  <c r="AA786" i="24"/>
  <c r="Z722" i="24"/>
  <c r="AA722" i="24"/>
  <c r="Z772" i="24"/>
  <c r="AA772" i="24"/>
  <c r="AA784" i="24"/>
  <c r="Z784" i="24"/>
  <c r="Z781" i="24"/>
  <c r="AA781" i="24"/>
  <c r="Z800" i="24"/>
  <c r="AA800" i="24"/>
  <c r="AA782" i="24"/>
  <c r="Z782" i="24"/>
  <c r="AA742" i="24"/>
  <c r="Z742" i="24"/>
  <c r="AA872" i="24"/>
  <c r="Z872" i="24"/>
  <c r="AA793" i="24"/>
  <c r="Z793" i="24"/>
  <c r="Z873" i="24"/>
  <c r="AA873" i="24"/>
  <c r="AA903" i="24"/>
  <c r="Z903" i="24"/>
  <c r="AA874" i="24"/>
  <c r="Z874" i="24"/>
  <c r="AA882" i="24"/>
  <c r="Z882" i="24"/>
  <c r="Z917" i="24"/>
  <c r="AA917" i="24"/>
  <c r="AA774" i="24"/>
  <c r="Z774" i="24"/>
  <c r="AA740" i="24"/>
  <c r="Z740" i="24"/>
  <c r="Z794" i="24"/>
  <c r="AA794" i="24"/>
  <c r="AA814" i="24"/>
  <c r="Z814" i="24"/>
  <c r="AA765" i="24"/>
  <c r="Z765" i="24"/>
  <c r="Z723" i="24"/>
  <c r="AA723" i="24"/>
  <c r="AA734" i="24"/>
  <c r="Z734" i="24"/>
  <c r="AA802" i="24"/>
  <c r="Z802" i="24"/>
  <c r="AA810" i="24"/>
  <c r="Z810" i="24"/>
  <c r="AA746" i="24"/>
  <c r="Z746" i="24"/>
  <c r="Z933" i="24"/>
  <c r="AA933" i="24"/>
  <c r="Z775" i="24"/>
  <c r="AA775" i="24"/>
  <c r="AA856" i="24"/>
  <c r="Z856" i="24"/>
  <c r="Z843" i="24"/>
  <c r="AA843" i="24"/>
  <c r="Z867" i="24"/>
  <c r="AA867" i="24"/>
  <c r="AA860" i="24"/>
  <c r="Z860" i="24"/>
  <c r="Z841" i="24"/>
  <c r="AA841" i="24"/>
  <c r="Z896" i="24"/>
  <c r="AA896" i="24"/>
  <c r="Z895" i="24"/>
  <c r="AA895" i="24"/>
  <c r="Z883" i="24"/>
  <c r="AA883" i="24"/>
  <c r="AA875" i="24"/>
  <c r="Z875" i="24"/>
  <c r="AA870" i="24"/>
  <c r="Z870" i="24"/>
  <c r="Z789" i="24"/>
  <c r="AA789" i="24"/>
  <c r="AA745" i="24"/>
  <c r="Z745" i="24"/>
  <c r="Z813" i="24"/>
  <c r="AA813" i="24"/>
  <c r="Z827" i="24"/>
  <c r="AA827" i="24"/>
  <c r="Z752" i="24"/>
  <c r="AA752" i="24"/>
  <c r="Z780" i="24"/>
  <c r="AA780" i="24"/>
  <c r="AA768" i="24"/>
  <c r="Z768" i="24"/>
  <c r="Z738" i="24"/>
  <c r="AA738" i="24"/>
  <c r="Z808" i="24"/>
  <c r="AA808" i="24"/>
  <c r="Z821" i="24"/>
  <c r="AA821" i="24"/>
  <c r="Z859" i="24"/>
  <c r="AA859" i="24"/>
  <c r="Z839" i="24"/>
  <c r="AA839" i="24"/>
  <c r="AA864" i="24"/>
  <c r="Z864" i="24"/>
  <c r="AA865" i="24"/>
  <c r="Z865" i="24"/>
  <c r="AA894" i="24"/>
  <c r="Z894" i="24"/>
  <c r="AA915" i="24"/>
  <c r="Z915" i="24"/>
  <c r="AA918" i="24"/>
  <c r="Z918" i="24"/>
  <c r="AA887" i="24"/>
  <c r="Z887" i="24"/>
  <c r="AA893" i="24"/>
  <c r="Z893" i="24"/>
  <c r="AA721" i="24"/>
  <c r="Z721" i="24"/>
  <c r="Z735" i="24"/>
  <c r="AA735" i="24"/>
  <c r="Z785" i="24"/>
  <c r="AA785" i="24"/>
  <c r="AA830" i="24"/>
  <c r="Z830" i="24"/>
  <c r="Z787" i="24"/>
  <c r="AA787" i="24"/>
  <c r="AA805" i="24"/>
  <c r="Z805" i="24"/>
  <c r="AA733" i="24"/>
  <c r="Z733" i="24"/>
  <c r="Z919" i="24"/>
  <c r="AA919" i="24"/>
  <c r="Z739" i="24"/>
  <c r="AA739" i="24"/>
  <c r="Z844" i="24"/>
  <c r="AA844" i="24"/>
  <c r="AA855" i="24"/>
  <c r="Z855" i="24"/>
  <c r="AA853" i="24"/>
  <c r="Z853" i="24"/>
  <c r="Z848" i="24"/>
  <c r="AA848" i="24"/>
  <c r="Z911" i="24"/>
  <c r="AA911" i="24"/>
  <c r="Z884" i="24"/>
  <c r="AA884" i="24"/>
  <c r="AA886" i="24"/>
  <c r="Z886" i="24"/>
  <c r="Z914" i="24"/>
  <c r="AA914" i="24"/>
  <c r="Z890" i="24"/>
  <c r="AA890" i="24"/>
  <c r="Z747" i="24"/>
  <c r="AA747" i="24"/>
  <c r="AA767" i="24"/>
  <c r="Z767" i="24"/>
  <c r="AA727" i="24"/>
  <c r="Z727" i="24"/>
  <c r="AA725" i="24"/>
  <c r="Z725" i="24"/>
  <c r="AA728" i="24"/>
  <c r="Z728" i="24"/>
  <c r="Z731" i="24"/>
  <c r="AA731" i="24"/>
  <c r="Z807" i="24"/>
  <c r="AA807" i="24"/>
  <c r="AA743" i="24"/>
  <c r="Z743" i="24"/>
  <c r="Z879" i="24"/>
  <c r="AA879" i="24"/>
  <c r="AA851" i="24"/>
  <c r="Z851" i="24"/>
  <c r="AA850" i="24"/>
  <c r="Z850" i="24"/>
  <c r="AA840" i="24"/>
  <c r="Z840" i="24"/>
  <c r="Z847" i="24"/>
  <c r="AA847" i="24"/>
  <c r="Z885" i="24"/>
  <c r="AA885" i="24"/>
  <c r="Z871" i="24"/>
  <c r="AA871" i="24"/>
  <c r="Z921" i="24"/>
  <c r="AA921" i="24"/>
  <c r="AA901" i="24"/>
  <c r="Z901" i="24"/>
  <c r="Z925" i="24"/>
  <c r="AA925" i="24"/>
  <c r="AA818" i="24"/>
  <c r="Z818" i="24"/>
  <c r="AA833" i="24"/>
  <c r="Z833" i="24"/>
  <c r="Z759" i="24"/>
  <c r="AA759" i="24"/>
  <c r="AA826" i="24"/>
  <c r="Z826" i="24"/>
  <c r="AA766" i="24"/>
  <c r="Z766" i="24"/>
  <c r="Z779" i="24"/>
  <c r="AA779" i="24"/>
  <c r="AA803" i="24"/>
  <c r="Z803" i="24"/>
  <c r="AA783" i="24"/>
  <c r="Z783" i="24"/>
  <c r="Z791" i="24"/>
  <c r="AA791" i="24"/>
  <c r="AA748" i="24"/>
  <c r="Z748" i="24"/>
  <c r="AA845" i="24"/>
  <c r="Z845" i="24"/>
  <c r="Z857" i="24"/>
  <c r="AA857" i="24"/>
  <c r="AA852" i="24"/>
  <c r="Z852" i="24"/>
  <c r="AA906" i="24"/>
  <c r="Z906" i="24"/>
  <c r="Z905" i="24"/>
  <c r="AA905" i="24"/>
  <c r="Z916" i="24"/>
  <c r="AA916" i="24"/>
  <c r="Z880" i="24"/>
  <c r="AA880" i="24"/>
  <c r="AA888" i="24"/>
  <c r="Z888" i="24"/>
  <c r="AA815" i="24"/>
  <c r="Z815" i="24"/>
  <c r="AA806" i="24"/>
  <c r="Z806" i="24"/>
  <c r="AA824" i="24"/>
  <c r="Z824" i="24"/>
  <c r="AA730" i="24"/>
  <c r="Z730" i="24"/>
  <c r="AA729" i="24"/>
  <c r="Z729" i="24"/>
  <c r="AA749" i="24"/>
  <c r="Z749" i="24"/>
  <c r="AA757" i="24"/>
  <c r="Z757" i="24"/>
  <c r="Z834" i="24"/>
  <c r="AA834" i="24"/>
  <c r="AA751" i="24"/>
  <c r="Z751" i="24"/>
  <c r="AA866" i="24"/>
  <c r="Z866" i="24"/>
  <c r="Z891" i="24"/>
  <c r="AA891" i="24"/>
  <c r="Z910" i="24"/>
  <c r="AA910" i="24"/>
  <c r="Z900" i="24"/>
  <c r="AA900" i="24"/>
  <c r="Z924" i="24"/>
  <c r="AA924" i="24"/>
  <c r="Z828" i="24"/>
  <c r="AA828" i="24"/>
  <c r="AA763" i="24"/>
  <c r="Z763" i="24"/>
  <c r="AA816" i="24"/>
  <c r="Z816" i="24"/>
  <c r="Z823" i="24"/>
  <c r="AA823" i="24"/>
  <c r="AA811" i="24"/>
  <c r="Z811" i="24"/>
  <c r="AA822" i="24"/>
  <c r="Z822" i="24"/>
  <c r="AA771" i="24"/>
  <c r="Z771" i="24"/>
  <c r="Z819" i="24"/>
  <c r="AA819" i="24"/>
  <c r="AA801" i="24"/>
  <c r="Z801" i="24"/>
  <c r="Z932" i="24"/>
  <c r="AA932" i="24"/>
  <c r="AA931" i="24"/>
  <c r="Z931" i="24"/>
  <c r="AA846" i="24"/>
  <c r="Z846" i="24"/>
  <c r="Z923" i="24"/>
  <c r="AA923" i="24"/>
  <c r="AA929" i="24"/>
  <c r="Z929" i="24"/>
  <c r="Z858" i="24"/>
  <c r="AA858" i="24"/>
  <c r="AA837" i="24"/>
  <c r="Z837" i="24"/>
  <c r="AA913" i="24"/>
  <c r="Z913" i="24"/>
  <c r="AA881" i="24"/>
  <c r="Z881" i="24"/>
  <c r="Z922" i="24"/>
  <c r="AA922" i="24"/>
  <c r="Z909" i="24"/>
  <c r="AA909" i="24"/>
  <c r="AA912" i="24"/>
  <c r="Z912" i="24"/>
  <c r="Z758" i="24"/>
  <c r="AA758" i="24"/>
  <c r="Z744" i="24"/>
  <c r="AA744" i="24"/>
  <c r="AA832" i="24"/>
  <c r="Z832" i="24"/>
  <c r="Z812" i="24"/>
  <c r="AA812" i="24"/>
  <c r="Z754" i="24"/>
  <c r="AA754" i="24"/>
  <c r="AA798" i="24"/>
  <c r="Z798" i="24"/>
  <c r="AA797" i="24"/>
  <c r="Z797" i="24"/>
  <c r="AA776" i="24"/>
  <c r="Z776" i="24"/>
  <c r="AA930" i="24"/>
  <c r="Z930" i="24"/>
  <c r="Z647" i="24"/>
  <c r="Z648" i="24"/>
  <c r="AA2022" i="24"/>
  <c r="AA643" i="24"/>
  <c r="Z643" i="24"/>
  <c r="AA630" i="24"/>
  <c r="Z630" i="24"/>
  <c r="AA640" i="24"/>
  <c r="Z640" i="24"/>
  <c r="AJ43" i="13"/>
  <c r="AO43" i="13" s="1"/>
  <c r="AQ43" i="13" s="1"/>
  <c r="Z626" i="24"/>
  <c r="AA626" i="24"/>
  <c r="AA639" i="24"/>
  <c r="Z639" i="24"/>
  <c r="AJ37" i="13"/>
  <c r="AO37" i="13" s="1"/>
  <c r="AQ37" i="13" s="1"/>
  <c r="Z63" i="24"/>
  <c r="AA63" i="24"/>
  <c r="Z64" i="24"/>
  <c r="AA64" i="24"/>
  <c r="Z635" i="24"/>
  <c r="AA635" i="24"/>
  <c r="AA644" i="24"/>
  <c r="Z644" i="24"/>
  <c r="AA632" i="24"/>
  <c r="Z632" i="24"/>
  <c r="AA66" i="24"/>
  <c r="Z66" i="24"/>
  <c r="Z634" i="24"/>
  <c r="AA634" i="24"/>
  <c r="Z620" i="24"/>
  <c r="AA620" i="24"/>
  <c r="Z633" i="24"/>
  <c r="AA633" i="24"/>
  <c r="AA624" i="24"/>
  <c r="Z624" i="24"/>
  <c r="Z631" i="24"/>
  <c r="AA631" i="24"/>
  <c r="AJ38" i="13"/>
  <c r="AO38" i="13" s="1"/>
  <c r="AQ38" i="13" s="1"/>
  <c r="Z65" i="24"/>
  <c r="AA65" i="24"/>
  <c r="Z646" i="24"/>
  <c r="AA646" i="24"/>
  <c r="AA642" i="24"/>
  <c r="Z642" i="24"/>
  <c r="Z622" i="24"/>
  <c r="AA622" i="24"/>
  <c r="AA621" i="24"/>
  <c r="Z621" i="24"/>
  <c r="AA625" i="24"/>
  <c r="Z625" i="24"/>
  <c r="AA623" i="24"/>
  <c r="Z623" i="24"/>
  <c r="Z629" i="24"/>
  <c r="AA629" i="24"/>
  <c r="Z638" i="24"/>
  <c r="AA638" i="24"/>
  <c r="Z636" i="24"/>
  <c r="AA636" i="24"/>
  <c r="AA627" i="24"/>
  <c r="Z627" i="24"/>
  <c r="Z57" i="24"/>
  <c r="AA57" i="24"/>
  <c r="Z645" i="24"/>
  <c r="AA645" i="24"/>
  <c r="AA628" i="24"/>
  <c r="Z628" i="24"/>
  <c r="AA637" i="24"/>
  <c r="Z637" i="24"/>
  <c r="Z641" i="24"/>
  <c r="AA641" i="24"/>
  <c r="AJ46" i="13"/>
  <c r="AO46" i="13" s="1"/>
  <c r="AQ46" i="13" s="1"/>
  <c r="AJ31" i="13"/>
  <c r="AJ30" i="13"/>
  <c r="AO30" i="13" s="1"/>
  <c r="AQ30" i="13" s="1"/>
  <c r="AJ45" i="13"/>
  <c r="AO45" i="13" s="1"/>
  <c r="AQ45" i="13" s="1"/>
  <c r="AJ42" i="13"/>
  <c r="AO42" i="13" s="1"/>
  <c r="AQ42" i="13" s="1"/>
  <c r="AJ29" i="13"/>
  <c r="AO29" i="13" s="1"/>
  <c r="AQ29" i="13" s="1"/>
  <c r="AJ27" i="13"/>
  <c r="AO27" i="13" s="1"/>
  <c r="AQ27" i="13" s="1"/>
  <c r="AJ44" i="13"/>
  <c r="AO44" i="13" s="1"/>
  <c r="AQ44" i="13" s="1"/>
  <c r="AJ28" i="13"/>
  <c r="AO28" i="13" s="1"/>
  <c r="AQ28" i="13" s="1"/>
  <c r="AJ39" i="13"/>
  <c r="AO39" i="13" s="1"/>
  <c r="AQ39" i="13" s="1"/>
  <c r="AA2027" i="24"/>
  <c r="L112" i="4"/>
  <c r="L115" i="4"/>
  <c r="L111" i="4"/>
  <c r="L113" i="4"/>
  <c r="L117" i="4"/>
  <c r="L116" i="4"/>
  <c r="F117" i="4"/>
  <c r="F114" i="4"/>
  <c r="F112" i="4"/>
  <c r="F113" i="4"/>
  <c r="F116" i="4"/>
  <c r="F115" i="4"/>
  <c r="AA42" i="24" l="1"/>
  <c r="Z42" i="24"/>
  <c r="AA187" i="24"/>
  <c r="Z187" i="24"/>
  <c r="AA9" i="24"/>
  <c r="Z9" i="24"/>
  <c r="AJ23" i="13"/>
  <c r="AO23" i="13" s="1"/>
  <c r="AQ23" i="13" s="1"/>
  <c r="Z2023" i="24"/>
  <c r="Y2023" i="24" s="1"/>
  <c r="AA2023" i="24" s="1"/>
  <c r="AJ22" i="13"/>
  <c r="AO22" i="13" s="1"/>
  <c r="AQ22" i="13" s="1"/>
  <c r="AJ25" i="13"/>
  <c r="AO25" i="13" s="1"/>
  <c r="AQ25" i="13" s="1"/>
  <c r="AJ24" i="13"/>
  <c r="AO24" i="13" s="1"/>
  <c r="AQ24" i="13" s="1"/>
  <c r="AJ26" i="13"/>
  <c r="Y2011" i="24"/>
  <c r="Y2" i="24" s="1"/>
  <c r="AE2020" i="24"/>
  <c r="AG2020" i="24" s="1"/>
  <c r="Y2020" i="24"/>
  <c r="AA2020" i="24" s="1"/>
  <c r="AC2023" i="24"/>
  <c r="AB2023" i="24" s="1"/>
  <c r="AD2023" i="24" s="1"/>
  <c r="AC2020" i="24"/>
  <c r="AB2020" i="24" s="1"/>
  <c r="AF2023" i="24"/>
  <c r="AE2023" i="24" s="1"/>
  <c r="AC2027" i="24"/>
  <c r="AD2027" i="24" s="1"/>
  <c r="AF2027" i="24"/>
  <c r="AG2027" i="24" s="1"/>
  <c r="AC2026" i="24"/>
  <c r="AF2026" i="24"/>
  <c r="W1603" i="24"/>
  <c r="X1603" i="24" s="1"/>
  <c r="AD1603" i="24" s="1"/>
  <c r="AF1603" i="24" s="1"/>
  <c r="W1592" i="24"/>
  <c r="X1592" i="24" s="1"/>
  <c r="AD1592" i="24" s="1"/>
  <c r="AF1592" i="24" s="1"/>
  <c r="W1572" i="24"/>
  <c r="X1572" i="24" s="1"/>
  <c r="AD1572" i="24" s="1"/>
  <c r="AF1572" i="24" s="1"/>
  <c r="W1562" i="24"/>
  <c r="X1562" i="24" s="1"/>
  <c r="AD1562" i="24" s="1"/>
  <c r="AF1562" i="24" s="1"/>
  <c r="W1567" i="24"/>
  <c r="X1567" i="24" s="1"/>
  <c r="AD1567" i="24" s="1"/>
  <c r="AF1567" i="24" s="1"/>
  <c r="W1587" i="24"/>
  <c r="X1587" i="24" s="1"/>
  <c r="AD1587" i="24" s="1"/>
  <c r="AF1587" i="24" s="1"/>
  <c r="W1618" i="24"/>
  <c r="X1618" i="24" s="1"/>
  <c r="AD1618" i="24" s="1"/>
  <c r="AF1618" i="24" s="1"/>
  <c r="W1608" i="24"/>
  <c r="X1608" i="24" s="1"/>
  <c r="AD1608" i="24" s="1"/>
  <c r="AF1608" i="24" s="1"/>
  <c r="W1597" i="24"/>
  <c r="X1597" i="24" s="1"/>
  <c r="AD1597" i="24" s="1"/>
  <c r="AF1597" i="24" s="1"/>
  <c r="W1577" i="24"/>
  <c r="X1577" i="24" s="1"/>
  <c r="AD1577" i="24" s="1"/>
  <c r="AF1577" i="24" s="1"/>
  <c r="W1582" i="24"/>
  <c r="X1582" i="24" s="1"/>
  <c r="AD1582" i="24" s="1"/>
  <c r="AF1582" i="24" s="1"/>
  <c r="W1559" i="24"/>
  <c r="X1559" i="24" s="1"/>
  <c r="AD1559" i="24" s="1"/>
  <c r="AF1559" i="24" s="1"/>
  <c r="W1613" i="24"/>
  <c r="X1613" i="24" s="1"/>
  <c r="AD1613" i="24" s="1"/>
  <c r="AF1613" i="24" s="1"/>
  <c r="W1604" i="24"/>
  <c r="X1604" i="24" s="1"/>
  <c r="AD1604" i="24" s="1"/>
  <c r="AF1604" i="24" s="1"/>
  <c r="W1593" i="24"/>
  <c r="X1593" i="24" s="1"/>
  <c r="AD1593" i="24" s="1"/>
  <c r="AF1593" i="24" s="1"/>
  <c r="W1573" i="24"/>
  <c r="X1573" i="24" s="1"/>
  <c r="AD1573" i="24" s="1"/>
  <c r="AF1573" i="24" s="1"/>
  <c r="W1563" i="24"/>
  <c r="X1563" i="24" s="1"/>
  <c r="AD1563" i="24" s="1"/>
  <c r="AF1563" i="24" s="1"/>
  <c r="W1568" i="24"/>
  <c r="X1568" i="24" s="1"/>
  <c r="AD1568" i="24" s="1"/>
  <c r="AF1568" i="24" s="1"/>
  <c r="W1555" i="24"/>
  <c r="X1555" i="24" s="1"/>
  <c r="AD1555" i="24" s="1"/>
  <c r="AF1555" i="24" s="1"/>
  <c r="W1588" i="24"/>
  <c r="X1588" i="24" s="1"/>
  <c r="AD1588" i="24" s="1"/>
  <c r="AF1588" i="24" s="1"/>
  <c r="W1583" i="24"/>
  <c r="X1583" i="24" s="1"/>
  <c r="AD1583" i="24" s="1"/>
  <c r="AF1583" i="24" s="1"/>
  <c r="W1614" i="24"/>
  <c r="X1614" i="24" s="1"/>
  <c r="AD1614" i="24" s="1"/>
  <c r="AF1614" i="24" s="1"/>
  <c r="W1599" i="24"/>
  <c r="X1599" i="24" s="1"/>
  <c r="AD1599" i="24" s="1"/>
  <c r="AF1599" i="24" s="1"/>
  <c r="W1578" i="24"/>
  <c r="X1578" i="24" s="1"/>
  <c r="AD1578" i="24" s="1"/>
  <c r="AF1578" i="24" s="1"/>
  <c r="W1609" i="24"/>
  <c r="X1609" i="24" s="1"/>
  <c r="AD1609" i="24" s="1"/>
  <c r="AF1609" i="24" s="1"/>
  <c r="W1619" i="24"/>
  <c r="X1619" i="24" s="1"/>
  <c r="AD1619" i="24" s="1"/>
  <c r="AF1619" i="24" s="1"/>
  <c r="W1560" i="24"/>
  <c r="X1560" i="24" s="1"/>
  <c r="AD1560" i="24" s="1"/>
  <c r="AF1560" i="24" s="1"/>
  <c r="W1606" i="24"/>
  <c r="X1606" i="24" s="1"/>
  <c r="AD1606" i="24" s="1"/>
  <c r="AF1606" i="24" s="1"/>
  <c r="W1570" i="24"/>
  <c r="X1570" i="24" s="1"/>
  <c r="AD1570" i="24" s="1"/>
  <c r="AF1570" i="24" s="1"/>
  <c r="W1557" i="24"/>
  <c r="X1557" i="24" s="1"/>
  <c r="AD1557" i="24" s="1"/>
  <c r="AF1557" i="24" s="1"/>
  <c r="W1590" i="24"/>
  <c r="X1590" i="24" s="1"/>
  <c r="AD1590" i="24" s="1"/>
  <c r="AF1590" i="24" s="1"/>
  <c r="W1565" i="24"/>
  <c r="X1565" i="24" s="1"/>
  <c r="AD1565" i="24" s="1"/>
  <c r="AF1565" i="24" s="1"/>
  <c r="W1621" i="24"/>
  <c r="X1621" i="24" s="1"/>
  <c r="AD1621" i="24" s="1"/>
  <c r="AF1621" i="24" s="1"/>
  <c r="W1585" i="24"/>
  <c r="X1585" i="24" s="1"/>
  <c r="AD1585" i="24" s="1"/>
  <c r="AF1585" i="24" s="1"/>
  <c r="W1616" i="24"/>
  <c r="X1616" i="24" s="1"/>
  <c r="AD1616" i="24" s="1"/>
  <c r="AF1616" i="24" s="1"/>
  <c r="W1580" i="24"/>
  <c r="X1580" i="24" s="1"/>
  <c r="AD1580" i="24" s="1"/>
  <c r="AF1580" i="24" s="1"/>
  <c r="W1598" i="24"/>
  <c r="X1598" i="24" s="1"/>
  <c r="AD1598" i="24" s="1"/>
  <c r="AF1598" i="24" s="1"/>
  <c r="W1611" i="24"/>
  <c r="X1611" i="24" s="1"/>
  <c r="AD1611" i="24" s="1"/>
  <c r="AF1611" i="24" s="1"/>
  <c r="W1595" i="24"/>
  <c r="X1595" i="24" s="1"/>
  <c r="AD1595" i="24" s="1"/>
  <c r="AF1595" i="24" s="1"/>
  <c r="W1601" i="24"/>
  <c r="X1601" i="24" s="1"/>
  <c r="AD1601" i="24" s="1"/>
  <c r="AF1601" i="24" s="1"/>
  <c r="W1575" i="24"/>
  <c r="X1575" i="24" s="1"/>
  <c r="AD1575" i="24" s="1"/>
  <c r="AF1575" i="24" s="1"/>
  <c r="W1605" i="24"/>
  <c r="X1605" i="24" s="1"/>
  <c r="AD1605" i="24" s="1"/>
  <c r="AF1605" i="24" s="1"/>
  <c r="W1564" i="24"/>
  <c r="X1564" i="24" s="1"/>
  <c r="AD1564" i="24" s="1"/>
  <c r="AF1564" i="24" s="1"/>
  <c r="W1556" i="24"/>
  <c r="X1556" i="24" s="1"/>
  <c r="AD1556" i="24" s="1"/>
  <c r="AF1556" i="24" s="1"/>
  <c r="W1569" i="24"/>
  <c r="X1569" i="24" s="1"/>
  <c r="AD1569" i="24" s="1"/>
  <c r="AF1569" i="24" s="1"/>
  <c r="W1589" i="24"/>
  <c r="X1589" i="24" s="1"/>
  <c r="AD1589" i="24" s="1"/>
  <c r="AF1589" i="24" s="1"/>
  <c r="W1620" i="24"/>
  <c r="X1620" i="24" s="1"/>
  <c r="AD1620" i="24" s="1"/>
  <c r="AF1620" i="24" s="1"/>
  <c r="W1600" i="24"/>
  <c r="X1600" i="24" s="1"/>
  <c r="AD1600" i="24" s="1"/>
  <c r="AF1600" i="24" s="1"/>
  <c r="W1584" i="24"/>
  <c r="X1584" i="24" s="1"/>
  <c r="AD1584" i="24" s="1"/>
  <c r="AF1584" i="24" s="1"/>
  <c r="W1615" i="24"/>
  <c r="X1615" i="24" s="1"/>
  <c r="AD1615" i="24" s="1"/>
  <c r="AF1615" i="24" s="1"/>
  <c r="W1579" i="24"/>
  <c r="X1579" i="24" s="1"/>
  <c r="AD1579" i="24" s="1"/>
  <c r="AF1579" i="24" s="1"/>
  <c r="W1610" i="24"/>
  <c r="X1610" i="24" s="1"/>
  <c r="AD1610" i="24" s="1"/>
  <c r="AF1610" i="24" s="1"/>
  <c r="W1594" i="24"/>
  <c r="X1594" i="24" s="1"/>
  <c r="AD1594" i="24" s="1"/>
  <c r="AF1594" i="24" s="1"/>
  <c r="W1574" i="24"/>
  <c r="X1574" i="24" s="1"/>
  <c r="AD1574" i="24" s="1"/>
  <c r="AF1574" i="24" s="1"/>
  <c r="Z2011" i="24"/>
  <c r="W1558" i="24"/>
  <c r="X1558" i="24" s="1"/>
  <c r="AD1558" i="24" s="1"/>
  <c r="AF1558" i="24" s="1"/>
  <c r="W1571" i="24"/>
  <c r="X1571" i="24" s="1"/>
  <c r="AD1571" i="24" s="1"/>
  <c r="AF1571" i="24" s="1"/>
  <c r="W1602" i="24"/>
  <c r="X1602" i="24" s="1"/>
  <c r="AD1602" i="24" s="1"/>
  <c r="AF1602" i="24" s="1"/>
  <c r="W1591" i="24"/>
  <c r="X1591" i="24" s="1"/>
  <c r="AD1591" i="24" s="1"/>
  <c r="AF1591" i="24" s="1"/>
  <c r="W1561" i="24"/>
  <c r="X1561" i="24" s="1"/>
  <c r="AD1561" i="24" s="1"/>
  <c r="AF1561" i="24" s="1"/>
  <c r="W1622" i="24"/>
  <c r="X1622" i="24" s="1"/>
  <c r="AD1622" i="24" s="1"/>
  <c r="AF1622" i="24" s="1"/>
  <c r="W1586" i="24"/>
  <c r="X1586" i="24" s="1"/>
  <c r="AD1586" i="24" s="1"/>
  <c r="AF1586" i="24" s="1"/>
  <c r="W1617" i="24"/>
  <c r="X1617" i="24" s="1"/>
  <c r="AD1617" i="24" s="1"/>
  <c r="AF1617" i="24" s="1"/>
  <c r="W1612" i="24"/>
  <c r="X1612" i="24" s="1"/>
  <c r="AD1612" i="24" s="1"/>
  <c r="AF1612" i="24" s="1"/>
  <c r="W1607" i="24"/>
  <c r="X1607" i="24" s="1"/>
  <c r="AD1607" i="24" s="1"/>
  <c r="AF1607" i="24" s="1"/>
  <c r="W1596" i="24"/>
  <c r="X1596" i="24" s="1"/>
  <c r="AD1596" i="24" s="1"/>
  <c r="AF1596" i="24" s="1"/>
  <c r="W1576" i="24"/>
  <c r="X1576" i="24" s="1"/>
  <c r="AD1576" i="24" s="1"/>
  <c r="AF1576" i="24" s="1"/>
  <c r="W1581" i="24"/>
  <c r="X1581" i="24" s="1"/>
  <c r="AD1581" i="24" s="1"/>
  <c r="AF1581" i="24" s="1"/>
  <c r="W1566" i="24"/>
  <c r="X1566" i="24" s="1"/>
  <c r="AD1566" i="24" s="1"/>
  <c r="AF1566" i="24" s="1"/>
  <c r="AA2011" i="24"/>
  <c r="W1532" i="24"/>
  <c r="X1532" i="24" s="1"/>
  <c r="AD1532" i="24" s="1"/>
  <c r="AF1532" i="24" s="1"/>
  <c r="AP1532" i="24" s="1"/>
  <c r="W1547" i="24"/>
  <c r="X1547" i="24" s="1"/>
  <c r="AD1547" i="24" s="1"/>
  <c r="AF1547" i="24" s="1"/>
  <c r="W1512" i="24"/>
  <c r="X1512" i="24" s="1"/>
  <c r="AD1512" i="24" s="1"/>
  <c r="AF1512" i="24" s="1"/>
  <c r="AP1512" i="24" s="1"/>
  <c r="W1506" i="24"/>
  <c r="X1506" i="24" s="1"/>
  <c r="AD1506" i="24" s="1"/>
  <c r="AF1506" i="24" s="1"/>
  <c r="W1525" i="24"/>
  <c r="X1525" i="24" s="1"/>
  <c r="AD1525" i="24" s="1"/>
  <c r="AF1525" i="24" s="1"/>
  <c r="AP1525" i="24" s="1"/>
  <c r="W1518" i="24"/>
  <c r="X1518" i="24" s="1"/>
  <c r="AD1518" i="24" s="1"/>
  <c r="AF1518" i="24" s="1"/>
  <c r="W1537" i="24"/>
  <c r="X1537" i="24" s="1"/>
  <c r="AD1537" i="24" s="1"/>
  <c r="AF1537" i="24" s="1"/>
  <c r="AP1537" i="24" s="1"/>
  <c r="W1535" i="24"/>
  <c r="X1535" i="24" s="1"/>
  <c r="AD1535" i="24" s="1"/>
  <c r="AF1535" i="24" s="1"/>
  <c r="W1540" i="24"/>
  <c r="X1540" i="24" s="1"/>
  <c r="AD1540" i="24" s="1"/>
  <c r="AF1540" i="24" s="1"/>
  <c r="AP1540" i="24" s="1"/>
  <c r="W1534" i="24"/>
  <c r="X1534" i="24" s="1"/>
  <c r="AD1534" i="24" s="1"/>
  <c r="AF1534" i="24" s="1"/>
  <c r="AP1534" i="24" s="1"/>
  <c r="W1543" i="24"/>
  <c r="X1543" i="24" s="1"/>
  <c r="AD1543" i="24" s="1"/>
  <c r="AF1543" i="24" s="1"/>
  <c r="W1531" i="24"/>
  <c r="X1531" i="24" s="1"/>
  <c r="AD1531" i="24" s="1"/>
  <c r="AF1531" i="24" s="1"/>
  <c r="AP1531" i="24" s="1"/>
  <c r="W1541" i="24"/>
  <c r="X1541" i="24" s="1"/>
  <c r="AD1541" i="24" s="1"/>
  <c r="AF1541" i="24" s="1"/>
  <c r="W1550" i="24"/>
  <c r="X1550" i="24" s="1"/>
  <c r="AD1550" i="24" s="1"/>
  <c r="AF1550" i="24" s="1"/>
  <c r="W1502" i="24"/>
  <c r="X1502" i="24" s="1"/>
  <c r="AD1502" i="24" s="1"/>
  <c r="AF1502" i="24" s="1"/>
  <c r="W1521" i="24"/>
  <c r="X1521" i="24" s="1"/>
  <c r="AD1521" i="24" s="1"/>
  <c r="AF1521" i="24" s="1"/>
  <c r="W1514" i="24"/>
  <c r="X1514" i="24" s="1"/>
  <c r="AD1514" i="24" s="1"/>
  <c r="AF1514" i="24" s="1"/>
  <c r="W1553" i="24"/>
  <c r="X1553" i="24" s="1"/>
  <c r="AD1553" i="24" s="1"/>
  <c r="AF1553" i="24" s="1"/>
  <c r="W1545" i="24"/>
  <c r="X1545" i="24" s="1"/>
  <c r="AD1545" i="24" s="1"/>
  <c r="AF1545" i="24" s="1"/>
  <c r="W1510" i="24"/>
  <c r="X1510" i="24" s="1"/>
  <c r="AD1510" i="24" s="1"/>
  <c r="AF1510" i="24" s="1"/>
  <c r="W1549" i="24"/>
  <c r="X1549" i="24" s="1"/>
  <c r="AD1549" i="24" s="1"/>
  <c r="AF1549" i="24" s="1"/>
  <c r="W1533" i="24"/>
  <c r="X1533" i="24" s="1"/>
  <c r="AD1533" i="24" s="1"/>
  <c r="AF1533" i="24" s="1"/>
  <c r="AP1533" i="24" s="1"/>
  <c r="W1513" i="24"/>
  <c r="X1513" i="24" s="1"/>
  <c r="AD1513" i="24" s="1"/>
  <c r="AF1513" i="24" s="1"/>
  <c r="W1544" i="24"/>
  <c r="X1544" i="24" s="1"/>
  <c r="AD1544" i="24" s="1"/>
  <c r="AF1544" i="24" s="1"/>
  <c r="W1554" i="24"/>
  <c r="X1554" i="24" s="1"/>
  <c r="AD1554" i="24" s="1"/>
  <c r="AF1554" i="24" s="1"/>
  <c r="W1504" i="24"/>
  <c r="X1504" i="24" s="1"/>
  <c r="AD1504" i="24" s="1"/>
  <c r="AF1504" i="24" s="1"/>
  <c r="W1515" i="24"/>
  <c r="X1515" i="24" s="1"/>
  <c r="AD1515" i="24" s="1"/>
  <c r="AF1515" i="24" s="1"/>
  <c r="W1508" i="24"/>
  <c r="X1508" i="24" s="1"/>
  <c r="AD1508" i="24" s="1"/>
  <c r="AF1508" i="24" s="1"/>
  <c r="W1527" i="24"/>
  <c r="X1527" i="24" s="1"/>
  <c r="AD1527" i="24" s="1"/>
  <c r="AF1527" i="24" s="1"/>
  <c r="W1520" i="24"/>
  <c r="X1520" i="24" s="1"/>
  <c r="AD1520" i="24" s="1"/>
  <c r="AF1520" i="24" s="1"/>
  <c r="W1552" i="24"/>
  <c r="X1552" i="24" s="1"/>
  <c r="AD1552" i="24" s="1"/>
  <c r="AF1552" i="24" s="1"/>
  <c r="W1539" i="24"/>
  <c r="X1539" i="24" s="1"/>
  <c r="AD1539" i="24" s="1"/>
  <c r="AF1539" i="24" s="1"/>
  <c r="AP1539" i="24" s="1"/>
  <c r="W1523" i="24"/>
  <c r="X1523" i="24" s="1"/>
  <c r="AD1523" i="24" s="1"/>
  <c r="AF1523" i="24" s="1"/>
  <c r="W1522" i="24"/>
  <c r="X1522" i="24" s="1"/>
  <c r="AD1522" i="24" s="1"/>
  <c r="AF1522" i="24" s="1"/>
  <c r="W1511" i="24"/>
  <c r="X1511" i="24" s="1"/>
  <c r="AD1511" i="24" s="1"/>
  <c r="AF1511" i="24" s="1"/>
  <c r="W1505" i="24"/>
  <c r="X1505" i="24" s="1"/>
  <c r="AD1505" i="24" s="1"/>
  <c r="AF1505" i="24" s="1"/>
  <c r="W1551" i="24"/>
  <c r="X1551" i="24" s="1"/>
  <c r="AD1551" i="24" s="1"/>
  <c r="AF1551" i="24" s="1"/>
  <c r="W1542" i="24"/>
  <c r="X1542" i="24" s="1"/>
  <c r="AD1542" i="24" s="1"/>
  <c r="AF1542" i="24" s="1"/>
  <c r="W1529" i="24"/>
  <c r="X1529" i="24" s="1"/>
  <c r="AD1529" i="24" s="1"/>
  <c r="AF1529" i="24" s="1"/>
  <c r="W1536" i="24"/>
  <c r="X1536" i="24" s="1"/>
  <c r="AD1536" i="24" s="1"/>
  <c r="AF1536" i="24" s="1"/>
  <c r="AP1536" i="24" s="1"/>
  <c r="W1546" i="24"/>
  <c r="X1546" i="24" s="1"/>
  <c r="AD1546" i="24" s="1"/>
  <c r="AF1546" i="24" s="1"/>
  <c r="W1530" i="24"/>
  <c r="X1530" i="24" s="1"/>
  <c r="AD1530" i="24" s="1"/>
  <c r="AF1530" i="24" s="1"/>
  <c r="W1517" i="24"/>
  <c r="X1517" i="24" s="1"/>
  <c r="AD1517" i="24" s="1"/>
  <c r="AF1517" i="24" s="1"/>
  <c r="W1503" i="24"/>
  <c r="X1503" i="24" s="1"/>
  <c r="AD1503" i="24" s="1"/>
  <c r="AF1503" i="24" s="1"/>
  <c r="W1524" i="24"/>
  <c r="X1524" i="24" s="1"/>
  <c r="AD1524" i="24" s="1"/>
  <c r="AF1524" i="24" s="1"/>
  <c r="W1499" i="24"/>
  <c r="X1499" i="24" s="1"/>
  <c r="AD1499" i="24" s="1"/>
  <c r="AF1499" i="24" s="1"/>
  <c r="W1492" i="24"/>
  <c r="X1492" i="24" s="1"/>
  <c r="AD1492" i="24" s="1"/>
  <c r="AF1492" i="24" s="1"/>
  <c r="W1487" i="24"/>
  <c r="X1487" i="24" s="1"/>
  <c r="AD1487" i="24" s="1"/>
  <c r="AF1487" i="24" s="1"/>
  <c r="W1479" i="24"/>
  <c r="X1479" i="24" s="1"/>
  <c r="AD1479" i="24" s="1"/>
  <c r="AF1479" i="24" s="1"/>
  <c r="W1461" i="24"/>
  <c r="X1461" i="24" s="1"/>
  <c r="AD1461" i="24" s="1"/>
  <c r="AF1461" i="24" s="1"/>
  <c r="W1456" i="24"/>
  <c r="X1456" i="24" s="1"/>
  <c r="AD1456" i="24" s="1"/>
  <c r="AF1456" i="24" s="1"/>
  <c r="W1451" i="24"/>
  <c r="X1451" i="24" s="1"/>
  <c r="AD1451" i="24" s="1"/>
  <c r="AF1451" i="24" s="1"/>
  <c r="W1446" i="24"/>
  <c r="X1446" i="24" s="1"/>
  <c r="AD1446" i="24" s="1"/>
  <c r="AF1446" i="24" s="1"/>
  <c r="W1440" i="24"/>
  <c r="X1440" i="24" s="1"/>
  <c r="AD1440" i="24" s="1"/>
  <c r="AF1440" i="24" s="1"/>
  <c r="W1435" i="24"/>
  <c r="X1435" i="24" s="1"/>
  <c r="AD1435" i="24" s="1"/>
  <c r="AF1435" i="24" s="1"/>
  <c r="W1430" i="24"/>
  <c r="X1430" i="24" s="1"/>
  <c r="AD1430" i="24" s="1"/>
  <c r="AF1430" i="24" s="1"/>
  <c r="W1425" i="24"/>
  <c r="X1425" i="24" s="1"/>
  <c r="AD1425" i="24" s="1"/>
  <c r="AF1425" i="24" s="1"/>
  <c r="W1417" i="24"/>
  <c r="X1417" i="24" s="1"/>
  <c r="AD1417" i="24" s="1"/>
  <c r="AF1417" i="24" s="1"/>
  <c r="W1406" i="24"/>
  <c r="X1406" i="24" s="1"/>
  <c r="AD1406" i="24" s="1"/>
  <c r="AF1406" i="24" s="1"/>
  <c r="W1396" i="24"/>
  <c r="X1396" i="24" s="1"/>
  <c r="AD1396" i="24" s="1"/>
  <c r="AF1396" i="24" s="1"/>
  <c r="W1383" i="24"/>
  <c r="X1383" i="24" s="1"/>
  <c r="AD1383" i="24" s="1"/>
  <c r="AF1383" i="24" s="1"/>
  <c r="W1376" i="24"/>
  <c r="X1376" i="24" s="1"/>
  <c r="AD1376" i="24" s="1"/>
  <c r="AF1376" i="24" s="1"/>
  <c r="W1373" i="24"/>
  <c r="X1373" i="24" s="1"/>
  <c r="AD1373" i="24" s="1"/>
  <c r="AF1373" i="24" s="1"/>
  <c r="AP1373" i="24" s="1"/>
  <c r="W1368" i="24"/>
  <c r="X1368" i="24" s="1"/>
  <c r="AD1368" i="24" s="1"/>
  <c r="AF1368" i="24" s="1"/>
  <c r="W1363" i="24"/>
  <c r="X1363" i="24" s="1"/>
  <c r="AD1363" i="24" s="1"/>
  <c r="AF1363" i="24" s="1"/>
  <c r="W1358" i="24"/>
  <c r="X1358" i="24" s="1"/>
  <c r="AD1358" i="24" s="1"/>
  <c r="AF1358" i="24" s="1"/>
  <c r="W1351" i="24"/>
  <c r="X1351" i="24" s="1"/>
  <c r="AD1351" i="24" s="1"/>
  <c r="AF1351" i="24" s="1"/>
  <c r="W1346" i="24"/>
  <c r="X1346" i="24" s="1"/>
  <c r="AD1346" i="24" s="1"/>
  <c r="AF1346" i="24" s="1"/>
  <c r="W1341" i="24"/>
  <c r="X1341" i="24" s="1"/>
  <c r="AD1341" i="24" s="1"/>
  <c r="AF1341" i="24" s="1"/>
  <c r="W1334" i="24"/>
  <c r="X1334" i="24" s="1"/>
  <c r="AD1334" i="24" s="1"/>
  <c r="AF1334" i="24" s="1"/>
  <c r="W1329" i="24"/>
  <c r="X1329" i="24" s="1"/>
  <c r="AD1329" i="24" s="1"/>
  <c r="AF1329" i="24" s="1"/>
  <c r="AP1329" i="24" s="1"/>
  <c r="W1324" i="24"/>
  <c r="X1324" i="24" s="1"/>
  <c r="AD1324" i="24" s="1"/>
  <c r="AF1324" i="24" s="1"/>
  <c r="W1321" i="24"/>
  <c r="X1321" i="24" s="1"/>
  <c r="AD1321" i="24" s="1"/>
  <c r="AF1321" i="24" s="1"/>
  <c r="W1317" i="24"/>
  <c r="X1317" i="24" s="1"/>
  <c r="AD1317" i="24" s="1"/>
  <c r="AF1317" i="24" s="1"/>
  <c r="W1312" i="24"/>
  <c r="X1312" i="24" s="1"/>
  <c r="AD1312" i="24" s="1"/>
  <c r="AF1312" i="24" s="1"/>
  <c r="W1307" i="24"/>
  <c r="X1307" i="24" s="1"/>
  <c r="AD1307" i="24" s="1"/>
  <c r="AF1307" i="24" s="1"/>
  <c r="AP1307" i="24" s="1"/>
  <c r="W1296" i="24"/>
  <c r="X1296" i="24" s="1"/>
  <c r="AD1296" i="24" s="1"/>
  <c r="AF1296" i="24" s="1"/>
  <c r="W1289" i="24"/>
  <c r="X1289" i="24" s="1"/>
  <c r="AD1289" i="24" s="1"/>
  <c r="AF1289" i="24" s="1"/>
  <c r="W1284" i="24"/>
  <c r="X1284" i="24" s="1"/>
  <c r="AD1284" i="24" s="1"/>
  <c r="AF1284" i="24" s="1"/>
  <c r="AP1284" i="24" s="1"/>
  <c r="W1279" i="24"/>
  <c r="X1279" i="24" s="1"/>
  <c r="AD1279" i="24" s="1"/>
  <c r="AF1279" i="24" s="1"/>
  <c r="W1276" i="24"/>
  <c r="X1276" i="24" s="1"/>
  <c r="AD1276" i="24" s="1"/>
  <c r="AF1276" i="24" s="1"/>
  <c r="W1271" i="24"/>
  <c r="X1271" i="24" s="1"/>
  <c r="AD1271" i="24" s="1"/>
  <c r="AF1271" i="24" s="1"/>
  <c r="W1266" i="24"/>
  <c r="X1266" i="24" s="1"/>
  <c r="AD1266" i="24" s="1"/>
  <c r="AF1266" i="24" s="1"/>
  <c r="W1259" i="24"/>
  <c r="X1259" i="24" s="1"/>
  <c r="AD1259" i="24" s="1"/>
  <c r="AF1259" i="24" s="1"/>
  <c r="AP1259" i="24" s="1"/>
  <c r="W1251" i="24"/>
  <c r="X1251" i="24" s="1"/>
  <c r="AD1251" i="24" s="1"/>
  <c r="AF1251" i="24" s="1"/>
  <c r="W1247" i="24"/>
  <c r="X1247" i="24" s="1"/>
  <c r="AD1247" i="24" s="1"/>
  <c r="AF1247" i="24" s="1"/>
  <c r="W1242" i="24"/>
  <c r="X1242" i="24" s="1"/>
  <c r="AD1242" i="24" s="1"/>
  <c r="AF1242" i="24" s="1"/>
  <c r="AP1242" i="24" s="1"/>
  <c r="W1228" i="24"/>
  <c r="X1228" i="24" s="1"/>
  <c r="AD1228" i="24" s="1"/>
  <c r="AF1228" i="24" s="1"/>
  <c r="W1223" i="24"/>
  <c r="X1223" i="24" s="1"/>
  <c r="AD1223" i="24" s="1"/>
  <c r="AF1223" i="24" s="1"/>
  <c r="W1218" i="24"/>
  <c r="X1218" i="24" s="1"/>
  <c r="AD1218" i="24" s="1"/>
  <c r="AF1218" i="24" s="1"/>
  <c r="W1208" i="24"/>
  <c r="X1208" i="24" s="1"/>
  <c r="AD1208" i="24" s="1"/>
  <c r="AF1208" i="24" s="1"/>
  <c r="AP1208" i="24" s="1"/>
  <c r="W1195" i="24"/>
  <c r="X1195" i="24" s="1"/>
  <c r="AD1195" i="24" s="1"/>
  <c r="AF1195" i="24" s="1"/>
  <c r="W1180" i="24"/>
  <c r="X1180" i="24" s="1"/>
  <c r="AD1180" i="24" s="1"/>
  <c r="AF1180" i="24" s="1"/>
  <c r="W1176" i="24"/>
  <c r="X1176" i="24" s="1"/>
  <c r="AD1176" i="24" s="1"/>
  <c r="AF1176" i="24" s="1"/>
  <c r="W1172" i="24"/>
  <c r="X1172" i="24" s="1"/>
  <c r="AD1172" i="24" s="1"/>
  <c r="AF1172" i="24" s="1"/>
  <c r="W1169" i="24"/>
  <c r="X1169" i="24" s="1"/>
  <c r="AD1169" i="24" s="1"/>
  <c r="AF1169" i="24" s="1"/>
  <c r="W1166" i="24"/>
  <c r="X1166" i="24" s="1"/>
  <c r="AD1166" i="24" s="1"/>
  <c r="AF1166" i="24" s="1"/>
  <c r="W1163" i="24"/>
  <c r="X1163" i="24" s="1"/>
  <c r="AD1163" i="24" s="1"/>
  <c r="AF1163" i="24" s="1"/>
  <c r="W1148" i="24"/>
  <c r="X1148" i="24" s="1"/>
  <c r="AD1148" i="24" s="1"/>
  <c r="AF1148" i="24" s="1"/>
  <c r="W1141" i="24"/>
  <c r="X1141" i="24" s="1"/>
  <c r="AD1141" i="24" s="1"/>
  <c r="AF1141" i="24" s="1"/>
  <c r="W1136" i="24"/>
  <c r="X1136" i="24" s="1"/>
  <c r="AD1136" i="24" s="1"/>
  <c r="AF1136" i="24" s="1"/>
  <c r="AP1136" i="24" s="1"/>
  <c r="W1123" i="24"/>
  <c r="X1123" i="24" s="1"/>
  <c r="AD1123" i="24" s="1"/>
  <c r="AF1123" i="24" s="1"/>
  <c r="W1114" i="24"/>
  <c r="X1114" i="24" s="1"/>
  <c r="AD1114" i="24" s="1"/>
  <c r="AF1114" i="24" s="1"/>
  <c r="W1103" i="24"/>
  <c r="X1103" i="24" s="1"/>
  <c r="AD1103" i="24" s="1"/>
  <c r="AF1103" i="24" s="1"/>
  <c r="AP1103" i="24" s="1"/>
  <c r="W1096" i="24"/>
  <c r="X1096" i="24" s="1"/>
  <c r="AD1096" i="24" s="1"/>
  <c r="AF1096" i="24" s="1"/>
  <c r="W1093" i="24"/>
  <c r="X1093" i="24" s="1"/>
  <c r="AD1093" i="24" s="1"/>
  <c r="AF1093" i="24" s="1"/>
  <c r="W1080" i="24"/>
  <c r="X1080" i="24" s="1"/>
  <c r="AD1080" i="24" s="1"/>
  <c r="AF1080" i="24" s="1"/>
  <c r="W1076" i="24"/>
  <c r="X1076" i="24" s="1"/>
  <c r="AD1076" i="24" s="1"/>
  <c r="AF1076" i="24" s="1"/>
  <c r="W1056" i="24"/>
  <c r="X1056" i="24" s="1"/>
  <c r="AD1056" i="24" s="1"/>
  <c r="AF1056" i="24" s="1"/>
  <c r="W1051" i="24"/>
  <c r="X1051" i="24" s="1"/>
  <c r="AD1051" i="24" s="1"/>
  <c r="AF1051" i="24" s="1"/>
  <c r="W1046" i="24"/>
  <c r="X1046" i="24" s="1"/>
  <c r="AD1046" i="24" s="1"/>
  <c r="AF1046" i="24" s="1"/>
  <c r="W1041" i="24"/>
  <c r="X1041" i="24" s="1"/>
  <c r="AD1041" i="24" s="1"/>
  <c r="AF1041" i="24" s="1"/>
  <c r="W1036" i="24"/>
  <c r="X1036" i="24" s="1"/>
  <c r="AD1036" i="24" s="1"/>
  <c r="AF1036" i="24" s="1"/>
  <c r="W1031" i="24"/>
  <c r="X1031" i="24" s="1"/>
  <c r="AD1031" i="24" s="1"/>
  <c r="AF1031" i="24" s="1"/>
  <c r="W1026" i="24"/>
  <c r="X1026" i="24" s="1"/>
  <c r="AD1026" i="24" s="1"/>
  <c r="AF1026" i="24" s="1"/>
  <c r="W1023" i="24"/>
  <c r="X1023" i="24" s="1"/>
  <c r="AD1023" i="24" s="1"/>
  <c r="AF1023" i="24" s="1"/>
  <c r="W1018" i="24"/>
  <c r="X1018" i="24" s="1"/>
  <c r="AD1018" i="24" s="1"/>
  <c r="AF1018" i="24" s="1"/>
  <c r="W1012" i="24"/>
  <c r="X1012" i="24" s="1"/>
  <c r="AD1012" i="24" s="1"/>
  <c r="AF1012" i="24" s="1"/>
  <c r="W1007" i="24"/>
  <c r="X1007" i="24" s="1"/>
  <c r="AD1007" i="24" s="1"/>
  <c r="AF1007" i="24" s="1"/>
  <c r="W1002" i="24"/>
  <c r="X1002" i="24" s="1"/>
  <c r="AD1002" i="24" s="1"/>
  <c r="AF1002" i="24" s="1"/>
  <c r="W994" i="24"/>
  <c r="X994" i="24" s="1"/>
  <c r="AD994" i="24" s="1"/>
  <c r="AF994" i="24" s="1"/>
  <c r="W987" i="24"/>
  <c r="X987" i="24" s="1"/>
  <c r="AD987" i="24" s="1"/>
  <c r="AF987" i="24" s="1"/>
  <c r="W982" i="24"/>
  <c r="X982" i="24" s="1"/>
  <c r="AD982" i="24" s="1"/>
  <c r="AF982" i="24" s="1"/>
  <c r="W1495" i="24"/>
  <c r="X1495" i="24" s="1"/>
  <c r="AD1495" i="24" s="1"/>
  <c r="AF1495" i="24" s="1"/>
  <c r="W1485" i="24"/>
  <c r="X1485" i="24" s="1"/>
  <c r="AD1485" i="24" s="1"/>
  <c r="AF1485" i="24" s="1"/>
  <c r="W1481" i="24"/>
  <c r="X1481" i="24" s="1"/>
  <c r="AD1481" i="24" s="1"/>
  <c r="AF1481" i="24" s="1"/>
  <c r="W1477" i="24"/>
  <c r="X1477" i="24" s="1"/>
  <c r="AD1477" i="24" s="1"/>
  <c r="AF1477" i="24" s="1"/>
  <c r="W1471" i="24"/>
  <c r="X1471" i="24" s="1"/>
  <c r="AD1471" i="24" s="1"/>
  <c r="AF1471" i="24" s="1"/>
  <c r="W1464" i="24"/>
  <c r="X1464" i="24" s="1"/>
  <c r="AD1464" i="24" s="1"/>
  <c r="AF1464" i="24" s="1"/>
  <c r="W1454" i="24"/>
  <c r="X1454" i="24" s="1"/>
  <c r="AD1454" i="24" s="1"/>
  <c r="AF1454" i="24" s="1"/>
  <c r="W1449" i="24"/>
  <c r="X1449" i="24" s="1"/>
  <c r="AD1449" i="24" s="1"/>
  <c r="AF1449" i="24" s="1"/>
  <c r="W1443" i="24"/>
  <c r="X1443" i="24" s="1"/>
  <c r="AD1443" i="24" s="1"/>
  <c r="AF1443" i="24" s="1"/>
  <c r="W1438" i="24"/>
  <c r="X1438" i="24" s="1"/>
  <c r="AD1438" i="24" s="1"/>
  <c r="AF1438" i="24" s="1"/>
  <c r="W1433" i="24"/>
  <c r="X1433" i="24" s="1"/>
  <c r="AD1433" i="24" s="1"/>
  <c r="AF1433" i="24" s="1"/>
  <c r="W1428" i="24"/>
  <c r="X1428" i="24" s="1"/>
  <c r="AD1428" i="24" s="1"/>
  <c r="AF1428" i="24" s="1"/>
  <c r="W1423" i="24"/>
  <c r="X1423" i="24" s="1"/>
  <c r="AD1423" i="24" s="1"/>
  <c r="AF1423" i="24" s="1"/>
  <c r="W1420" i="24"/>
  <c r="X1420" i="24" s="1"/>
  <c r="AD1420" i="24" s="1"/>
  <c r="AF1420" i="24" s="1"/>
  <c r="W1414" i="24"/>
  <c r="X1414" i="24" s="1"/>
  <c r="AD1414" i="24" s="1"/>
  <c r="AF1414" i="24" s="1"/>
  <c r="AP1414" i="24" s="1"/>
  <c r="W1409" i="24"/>
  <c r="X1409" i="24" s="1"/>
  <c r="AD1409" i="24" s="1"/>
  <c r="AF1409" i="24" s="1"/>
  <c r="AP1409" i="24" s="1"/>
  <c r="W1404" i="24"/>
  <c r="X1404" i="24" s="1"/>
  <c r="AD1404" i="24" s="1"/>
  <c r="AF1404" i="24" s="1"/>
  <c r="W1402" i="24"/>
  <c r="X1402" i="24" s="1"/>
  <c r="AD1402" i="24" s="1"/>
  <c r="AF1402" i="24" s="1"/>
  <c r="W1399" i="24"/>
  <c r="X1399" i="24" s="1"/>
  <c r="AD1399" i="24" s="1"/>
  <c r="AF1399" i="24" s="1"/>
  <c r="W1393" i="24"/>
  <c r="X1393" i="24" s="1"/>
  <c r="AD1393" i="24" s="1"/>
  <c r="AF1393" i="24" s="1"/>
  <c r="W1387" i="24"/>
  <c r="X1387" i="24" s="1"/>
  <c r="AD1387" i="24" s="1"/>
  <c r="AF1387" i="24" s="1"/>
  <c r="W1385" i="24"/>
  <c r="X1385" i="24" s="1"/>
  <c r="AD1385" i="24" s="1"/>
  <c r="AF1385" i="24" s="1"/>
  <c r="AP1385" i="24" s="1"/>
  <c r="W1382" i="24"/>
  <c r="X1382" i="24" s="1"/>
  <c r="AD1382" i="24" s="1"/>
  <c r="AF1382" i="24" s="1"/>
  <c r="W1379" i="24"/>
  <c r="X1379" i="24" s="1"/>
  <c r="AD1379" i="24" s="1"/>
  <c r="AF1379" i="24" s="1"/>
  <c r="W1371" i="24"/>
  <c r="X1371" i="24" s="1"/>
  <c r="AD1371" i="24" s="1"/>
  <c r="AF1371" i="24" s="1"/>
  <c r="W1366" i="24"/>
  <c r="X1366" i="24" s="1"/>
  <c r="AD1366" i="24" s="1"/>
  <c r="AF1366" i="24" s="1"/>
  <c r="W1361" i="24"/>
  <c r="X1361" i="24" s="1"/>
  <c r="AD1361" i="24" s="1"/>
  <c r="AF1361" i="24" s="1"/>
  <c r="W1356" i="24"/>
  <c r="X1356" i="24" s="1"/>
  <c r="AD1356" i="24" s="1"/>
  <c r="AF1356" i="24" s="1"/>
  <c r="W1354" i="24"/>
  <c r="X1354" i="24" s="1"/>
  <c r="AD1354" i="24" s="1"/>
  <c r="AF1354" i="24" s="1"/>
  <c r="W1349" i="24"/>
  <c r="X1349" i="24" s="1"/>
  <c r="AD1349" i="24" s="1"/>
  <c r="AF1349" i="24" s="1"/>
  <c r="W1344" i="24"/>
  <c r="X1344" i="24" s="1"/>
  <c r="AD1344" i="24" s="1"/>
  <c r="AF1344" i="24" s="1"/>
  <c r="W1339" i="24"/>
  <c r="X1339" i="24" s="1"/>
  <c r="AD1339" i="24" s="1"/>
  <c r="AF1339" i="24" s="1"/>
  <c r="W1336" i="24"/>
  <c r="X1336" i="24" s="1"/>
  <c r="AD1336" i="24" s="1"/>
  <c r="AF1336" i="24" s="1"/>
  <c r="W1332" i="24"/>
  <c r="X1332" i="24" s="1"/>
  <c r="AD1332" i="24" s="1"/>
  <c r="AF1332" i="24" s="1"/>
  <c r="W1327" i="24"/>
  <c r="X1327" i="24" s="1"/>
  <c r="AD1327" i="24" s="1"/>
  <c r="AF1327" i="24" s="1"/>
  <c r="AP1327" i="24" s="1"/>
  <c r="W1320" i="24"/>
  <c r="X1320" i="24" s="1"/>
  <c r="AD1320" i="24" s="1"/>
  <c r="AF1320" i="24" s="1"/>
  <c r="W1310" i="24"/>
  <c r="X1310" i="24" s="1"/>
  <c r="AD1310" i="24" s="1"/>
  <c r="AF1310" i="24" s="1"/>
  <c r="W1304" i="24"/>
  <c r="X1304" i="24" s="1"/>
  <c r="AD1304" i="24" s="1"/>
  <c r="AF1304" i="24" s="1"/>
  <c r="AP1304" i="24" s="1"/>
  <c r="W1299" i="24"/>
  <c r="X1299" i="24" s="1"/>
  <c r="AD1299" i="24" s="1"/>
  <c r="AF1299" i="24" s="1"/>
  <c r="W1294" i="24"/>
  <c r="X1294" i="24" s="1"/>
  <c r="AD1294" i="24" s="1"/>
  <c r="AF1294" i="24" s="1"/>
  <c r="W1291" i="24"/>
  <c r="X1291" i="24" s="1"/>
  <c r="AD1291" i="24" s="1"/>
  <c r="AF1291" i="24" s="1"/>
  <c r="W1287" i="24"/>
  <c r="X1287" i="24" s="1"/>
  <c r="AD1287" i="24" s="1"/>
  <c r="AF1287" i="24" s="1"/>
  <c r="W1282" i="24"/>
  <c r="X1282" i="24" s="1"/>
  <c r="AD1282" i="24" s="1"/>
  <c r="AF1282" i="24" s="1"/>
  <c r="AP1282" i="24" s="1"/>
  <c r="W1277" i="24"/>
  <c r="X1277" i="24" s="1"/>
  <c r="AD1277" i="24" s="1"/>
  <c r="AF1277" i="24" s="1"/>
  <c r="W1274" i="24"/>
  <c r="X1274" i="24" s="1"/>
  <c r="AD1274" i="24" s="1"/>
  <c r="AF1274" i="24" s="1"/>
  <c r="W1269" i="24"/>
  <c r="X1269" i="24" s="1"/>
  <c r="AD1269" i="24" s="1"/>
  <c r="AF1269" i="24" s="1"/>
  <c r="W1264" i="24"/>
  <c r="X1264" i="24" s="1"/>
  <c r="AD1264" i="24" s="1"/>
  <c r="AF1264" i="24" s="1"/>
  <c r="W1262" i="24"/>
  <c r="X1262" i="24" s="1"/>
  <c r="AD1262" i="24" s="1"/>
  <c r="AF1262" i="24" s="1"/>
  <c r="AP1262" i="24" s="1"/>
  <c r="W1257" i="24"/>
  <c r="X1257" i="24" s="1"/>
  <c r="AD1257" i="24" s="1"/>
  <c r="AF1257" i="24" s="1"/>
  <c r="W1254" i="24"/>
  <c r="X1254" i="24" s="1"/>
  <c r="AD1254" i="24" s="1"/>
  <c r="AF1254" i="24" s="1"/>
  <c r="W1249" i="24"/>
  <c r="X1249" i="24" s="1"/>
  <c r="AD1249" i="24" s="1"/>
  <c r="AF1249" i="24" s="1"/>
  <c r="W1240" i="24"/>
  <c r="X1240" i="24" s="1"/>
  <c r="AD1240" i="24" s="1"/>
  <c r="AF1240" i="24" s="1"/>
  <c r="AP1240" i="24" s="1"/>
  <c r="W1239" i="24"/>
  <c r="X1239" i="24" s="1"/>
  <c r="AD1239" i="24" s="1"/>
  <c r="AF1239" i="24" s="1"/>
  <c r="AP1239" i="24" s="1"/>
  <c r="W1234" i="24"/>
  <c r="X1234" i="24" s="1"/>
  <c r="AD1234" i="24" s="1"/>
  <c r="AF1234" i="24" s="1"/>
  <c r="W1231" i="24"/>
  <c r="X1231" i="24" s="1"/>
  <c r="AD1231" i="24" s="1"/>
  <c r="AF1231" i="24" s="1"/>
  <c r="W1226" i="24"/>
  <c r="X1226" i="24" s="1"/>
  <c r="AD1226" i="24" s="1"/>
  <c r="AF1226" i="24" s="1"/>
  <c r="AP1226" i="24" s="1"/>
  <c r="W1221" i="24"/>
  <c r="X1221" i="24" s="1"/>
  <c r="AD1221" i="24" s="1"/>
  <c r="AF1221" i="24" s="1"/>
  <c r="W1211" i="24"/>
  <c r="X1211" i="24" s="1"/>
  <c r="AD1211" i="24" s="1"/>
  <c r="AF1211" i="24" s="1"/>
  <c r="W1204" i="24"/>
  <c r="X1204" i="24" s="1"/>
  <c r="AD1204" i="24" s="1"/>
  <c r="AF1204" i="24" s="1"/>
  <c r="W1200" i="24"/>
  <c r="X1200" i="24" s="1"/>
  <c r="AD1200" i="24" s="1"/>
  <c r="AF1200" i="24" s="1"/>
  <c r="W1197" i="24"/>
  <c r="X1197" i="24" s="1"/>
  <c r="AD1197" i="24" s="1"/>
  <c r="AF1197" i="24" s="1"/>
  <c r="W1193" i="24"/>
  <c r="X1193" i="24" s="1"/>
  <c r="AD1193" i="24" s="1"/>
  <c r="AF1193" i="24" s="1"/>
  <c r="AP1193" i="24" s="1"/>
  <c r="W1188" i="24"/>
  <c r="X1188" i="24" s="1"/>
  <c r="AD1188" i="24" s="1"/>
  <c r="AF1188" i="24" s="1"/>
  <c r="W1186" i="24"/>
  <c r="X1186" i="24" s="1"/>
  <c r="AD1186" i="24" s="1"/>
  <c r="AF1186" i="24" s="1"/>
  <c r="W1182" i="24"/>
  <c r="X1182" i="24" s="1"/>
  <c r="AD1182" i="24" s="1"/>
  <c r="AF1182" i="24" s="1"/>
  <c r="AP1182" i="24" s="1"/>
  <c r="W1168" i="24"/>
  <c r="X1168" i="24" s="1"/>
  <c r="AD1168" i="24" s="1"/>
  <c r="AF1168" i="24" s="1"/>
  <c r="W1162" i="24"/>
  <c r="X1162" i="24" s="1"/>
  <c r="AD1162" i="24" s="1"/>
  <c r="AF1162" i="24" s="1"/>
  <c r="W1156" i="24"/>
  <c r="X1156" i="24" s="1"/>
  <c r="AD1156" i="24" s="1"/>
  <c r="AF1156" i="24" s="1"/>
  <c r="W1153" i="24"/>
  <c r="X1153" i="24" s="1"/>
  <c r="AD1153" i="24" s="1"/>
  <c r="AF1153" i="24" s="1"/>
  <c r="W1151" i="24"/>
  <c r="X1151" i="24" s="1"/>
  <c r="AD1151" i="24" s="1"/>
  <c r="AF1151" i="24" s="1"/>
  <c r="AP1151" i="24" s="1"/>
  <c r="W1146" i="24"/>
  <c r="X1146" i="24" s="1"/>
  <c r="AD1146" i="24" s="1"/>
  <c r="AF1146" i="24" s="1"/>
  <c r="W1139" i="24"/>
  <c r="X1139" i="24" s="1"/>
  <c r="AD1139" i="24" s="1"/>
  <c r="AF1139" i="24" s="1"/>
  <c r="W1134" i="24"/>
  <c r="X1134" i="24" s="1"/>
  <c r="AD1134" i="24" s="1"/>
  <c r="AF1134" i="24" s="1"/>
  <c r="AP1134" i="24" s="1"/>
  <c r="W1129" i="24"/>
  <c r="X1129" i="24" s="1"/>
  <c r="AD1129" i="24" s="1"/>
  <c r="AF1129" i="24" s="1"/>
  <c r="W1122" i="24"/>
  <c r="X1122" i="24" s="1"/>
  <c r="AD1122" i="24" s="1"/>
  <c r="AF1122" i="24" s="1"/>
  <c r="W1120" i="24"/>
  <c r="X1120" i="24" s="1"/>
  <c r="AD1120" i="24" s="1"/>
  <c r="AF1120" i="24" s="1"/>
  <c r="W1117" i="24"/>
  <c r="X1117" i="24" s="1"/>
  <c r="AD1117" i="24" s="1"/>
  <c r="AF1117" i="24" s="1"/>
  <c r="AP1117" i="24" s="1"/>
  <c r="W1106" i="24"/>
  <c r="X1106" i="24" s="1"/>
  <c r="AD1106" i="24" s="1"/>
  <c r="AF1106" i="24" s="1"/>
  <c r="W1099" i="24"/>
  <c r="X1099" i="24" s="1"/>
  <c r="AD1099" i="24" s="1"/>
  <c r="AF1099" i="24" s="1"/>
  <c r="W1092" i="24"/>
  <c r="X1092" i="24" s="1"/>
  <c r="AD1092" i="24" s="1"/>
  <c r="AF1092" i="24" s="1"/>
  <c r="W1087" i="24"/>
  <c r="X1087" i="24" s="1"/>
  <c r="AD1087" i="24" s="1"/>
  <c r="AF1087" i="24" s="1"/>
  <c r="AP1087" i="24" s="1"/>
  <c r="W1083" i="24"/>
  <c r="X1083" i="24" s="1"/>
  <c r="AD1083" i="24" s="1"/>
  <c r="AF1083" i="24" s="1"/>
  <c r="W1074" i="24"/>
  <c r="X1074" i="24" s="1"/>
  <c r="AD1074" i="24" s="1"/>
  <c r="AF1074" i="24" s="1"/>
  <c r="W1069" i="24"/>
  <c r="X1069" i="24" s="1"/>
  <c r="AD1069" i="24" s="1"/>
  <c r="AF1069" i="24" s="1"/>
  <c r="W1059" i="24"/>
  <c r="X1059" i="24" s="1"/>
  <c r="AD1059" i="24" s="1"/>
  <c r="AF1059" i="24" s="1"/>
  <c r="W1054" i="24"/>
  <c r="X1054" i="24" s="1"/>
  <c r="AD1054" i="24" s="1"/>
  <c r="AF1054" i="24" s="1"/>
  <c r="W1049" i="24"/>
  <c r="X1049" i="24" s="1"/>
  <c r="AD1049" i="24" s="1"/>
  <c r="AF1049" i="24" s="1"/>
  <c r="W1044" i="24"/>
  <c r="X1044" i="24" s="1"/>
  <c r="AD1044" i="24" s="1"/>
  <c r="AF1044" i="24" s="1"/>
  <c r="W1039" i="24"/>
  <c r="X1039" i="24" s="1"/>
  <c r="AD1039" i="24" s="1"/>
  <c r="AF1039" i="24" s="1"/>
  <c r="W1034" i="24"/>
  <c r="X1034" i="24" s="1"/>
  <c r="AD1034" i="24" s="1"/>
  <c r="AF1034" i="24" s="1"/>
  <c r="W1029" i="24"/>
  <c r="X1029" i="24" s="1"/>
  <c r="AD1029" i="24" s="1"/>
  <c r="AF1029" i="24" s="1"/>
  <c r="W1024" i="24"/>
  <c r="X1024" i="24" s="1"/>
  <c r="AD1024" i="24" s="1"/>
  <c r="AF1024" i="24" s="1"/>
  <c r="W1021" i="24"/>
  <c r="X1021" i="24" s="1"/>
  <c r="AD1021" i="24" s="1"/>
  <c r="AF1021" i="24" s="1"/>
  <c r="W1016" i="24"/>
  <c r="X1016" i="24" s="1"/>
  <c r="AD1016" i="24" s="1"/>
  <c r="AF1016" i="24" s="1"/>
  <c r="W1015" i="24"/>
  <c r="X1015" i="24" s="1"/>
  <c r="AD1015" i="24" s="1"/>
  <c r="AF1015" i="24" s="1"/>
  <c r="W1010" i="24"/>
  <c r="X1010" i="24" s="1"/>
  <c r="AD1010" i="24" s="1"/>
  <c r="AF1010" i="24" s="1"/>
  <c r="W1005" i="24"/>
  <c r="X1005" i="24" s="1"/>
  <c r="AD1005" i="24" s="1"/>
  <c r="AF1005" i="24" s="1"/>
  <c r="W1000" i="24"/>
  <c r="X1000" i="24" s="1"/>
  <c r="AD1000" i="24" s="1"/>
  <c r="AF1000" i="24" s="1"/>
  <c r="W997" i="24"/>
  <c r="X997" i="24" s="1"/>
  <c r="AD997" i="24" s="1"/>
  <c r="AF997" i="24" s="1"/>
  <c r="W991" i="24"/>
  <c r="X991" i="24" s="1"/>
  <c r="AD991" i="24" s="1"/>
  <c r="AF991" i="24" s="1"/>
  <c r="W989" i="24"/>
  <c r="X989" i="24" s="1"/>
  <c r="AD989" i="24" s="1"/>
  <c r="AF989" i="24" s="1"/>
  <c r="AP989" i="24" s="1"/>
  <c r="W985" i="24"/>
  <c r="X985" i="24" s="1"/>
  <c r="AD985" i="24" s="1"/>
  <c r="AF985" i="24" s="1"/>
  <c r="W61" i="24"/>
  <c r="X61" i="24" s="1"/>
  <c r="AD61" i="24" s="1"/>
  <c r="AF61" i="24" s="1"/>
  <c r="W1501" i="24"/>
  <c r="X1501" i="24" s="1"/>
  <c r="AD1501" i="24" s="1"/>
  <c r="AF1501" i="24" s="1"/>
  <c r="W1496" i="24"/>
  <c r="X1496" i="24" s="1"/>
  <c r="AD1496" i="24" s="1"/>
  <c r="AF1496" i="24" s="1"/>
  <c r="W1494" i="24"/>
  <c r="X1494" i="24" s="1"/>
  <c r="AD1494" i="24" s="1"/>
  <c r="AF1494" i="24" s="1"/>
  <c r="AP1494" i="24" s="1"/>
  <c r="W1489" i="24"/>
  <c r="X1489" i="24" s="1"/>
  <c r="AD1489" i="24" s="1"/>
  <c r="AF1489" i="24" s="1"/>
  <c r="W1484" i="24"/>
  <c r="X1484" i="24" s="1"/>
  <c r="AD1484" i="24" s="1"/>
  <c r="AF1484" i="24" s="1"/>
  <c r="W1480" i="24"/>
  <c r="X1480" i="24" s="1"/>
  <c r="AD1480" i="24" s="1"/>
  <c r="AF1480" i="24" s="1"/>
  <c r="W1476" i="24"/>
  <c r="X1476" i="24" s="1"/>
  <c r="AD1476" i="24" s="1"/>
  <c r="AF1476" i="24" s="1"/>
  <c r="W1473" i="24"/>
  <c r="X1473" i="24" s="1"/>
  <c r="AD1473" i="24" s="1"/>
  <c r="AF1473" i="24" s="1"/>
  <c r="W1470" i="24"/>
  <c r="X1470" i="24" s="1"/>
  <c r="AD1470" i="24" s="1"/>
  <c r="AF1470" i="24" s="1"/>
  <c r="W1467" i="24"/>
  <c r="X1467" i="24" s="1"/>
  <c r="AD1467" i="24" s="1"/>
  <c r="AF1467" i="24" s="1"/>
  <c r="W1463" i="24"/>
  <c r="X1463" i="24" s="1"/>
  <c r="AD1463" i="24" s="1"/>
  <c r="AF1463" i="24" s="1"/>
  <c r="W1458" i="24"/>
  <c r="X1458" i="24" s="1"/>
  <c r="AD1458" i="24" s="1"/>
  <c r="AF1458" i="24" s="1"/>
  <c r="W1453" i="24"/>
  <c r="X1453" i="24" s="1"/>
  <c r="AD1453" i="24" s="1"/>
  <c r="AF1453" i="24" s="1"/>
  <c r="W1448" i="24"/>
  <c r="X1448" i="24" s="1"/>
  <c r="AD1448" i="24" s="1"/>
  <c r="AF1448" i="24" s="1"/>
  <c r="W1432" i="24"/>
  <c r="X1432" i="24" s="1"/>
  <c r="AD1432" i="24" s="1"/>
  <c r="AF1432" i="24" s="1"/>
  <c r="W1427" i="24"/>
  <c r="X1427" i="24" s="1"/>
  <c r="AD1427" i="24" s="1"/>
  <c r="AF1427" i="24" s="1"/>
  <c r="W1422" i="24"/>
  <c r="X1422" i="24" s="1"/>
  <c r="AD1422" i="24" s="1"/>
  <c r="AF1422" i="24" s="1"/>
  <c r="W1419" i="24"/>
  <c r="X1419" i="24" s="1"/>
  <c r="AD1419" i="24" s="1"/>
  <c r="AF1419" i="24" s="1"/>
  <c r="W1413" i="24"/>
  <c r="X1413" i="24" s="1"/>
  <c r="AD1413" i="24" s="1"/>
  <c r="AF1413" i="24" s="1"/>
  <c r="AP1413" i="24" s="1"/>
  <c r="W1408" i="24"/>
  <c r="X1408" i="24" s="1"/>
  <c r="AD1408" i="24" s="1"/>
  <c r="AF1408" i="24" s="1"/>
  <c r="AP1408" i="24" s="1"/>
  <c r="W1401" i="24"/>
  <c r="X1401" i="24" s="1"/>
  <c r="AD1401" i="24" s="1"/>
  <c r="AF1401" i="24" s="1"/>
  <c r="W1398" i="24"/>
  <c r="X1398" i="24" s="1"/>
  <c r="AD1398" i="24" s="1"/>
  <c r="AF1398" i="24" s="1"/>
  <c r="W1394" i="24"/>
  <c r="X1394" i="24" s="1"/>
  <c r="AD1394" i="24" s="1"/>
  <c r="AF1394" i="24" s="1"/>
  <c r="AP1394" i="24" s="1"/>
  <c r="W1392" i="24"/>
  <c r="X1392" i="24" s="1"/>
  <c r="AD1392" i="24" s="1"/>
  <c r="AF1392" i="24" s="1"/>
  <c r="W1389" i="24"/>
  <c r="X1389" i="24" s="1"/>
  <c r="AD1389" i="24" s="1"/>
  <c r="AF1389" i="24" s="1"/>
  <c r="W1384" i="24"/>
  <c r="X1384" i="24" s="1"/>
  <c r="AD1384" i="24" s="1"/>
  <c r="AF1384" i="24" s="1"/>
  <c r="AP1384" i="24" s="1"/>
  <c r="W1380" i="24"/>
  <c r="X1380" i="24" s="1"/>
  <c r="AD1380" i="24" s="1"/>
  <c r="AF1380" i="24" s="1"/>
  <c r="W1378" i="24"/>
  <c r="X1378" i="24" s="1"/>
  <c r="AD1378" i="24" s="1"/>
  <c r="AF1378" i="24" s="1"/>
  <c r="W1365" i="24"/>
  <c r="X1365" i="24" s="1"/>
  <c r="AD1365" i="24" s="1"/>
  <c r="AF1365" i="24" s="1"/>
  <c r="W1360" i="24"/>
  <c r="X1360" i="24" s="1"/>
  <c r="AD1360" i="24" s="1"/>
  <c r="AF1360" i="24" s="1"/>
  <c r="W1353" i="24"/>
  <c r="X1353" i="24" s="1"/>
  <c r="AD1353" i="24" s="1"/>
  <c r="AF1353" i="24" s="1"/>
  <c r="W1348" i="24"/>
  <c r="X1348" i="24" s="1"/>
  <c r="AD1348" i="24" s="1"/>
  <c r="AF1348" i="24" s="1"/>
  <c r="W1343" i="24"/>
  <c r="X1343" i="24" s="1"/>
  <c r="AD1343" i="24" s="1"/>
  <c r="AF1343" i="24" s="1"/>
  <c r="W1338" i="24"/>
  <c r="X1338" i="24" s="1"/>
  <c r="AD1338" i="24" s="1"/>
  <c r="AF1338" i="24" s="1"/>
  <c r="W1331" i="24"/>
  <c r="X1331" i="24" s="1"/>
  <c r="AD1331" i="24" s="1"/>
  <c r="AF1331" i="24" s="1"/>
  <c r="W1326" i="24"/>
  <c r="X1326" i="24" s="1"/>
  <c r="AD1326" i="24" s="1"/>
  <c r="AF1326" i="24" s="1"/>
  <c r="AP1326" i="24" s="1"/>
  <c r="W1319" i="24"/>
  <c r="X1319" i="24" s="1"/>
  <c r="AD1319" i="24" s="1"/>
  <c r="AF1319" i="24" s="1"/>
  <c r="W1314" i="24"/>
  <c r="X1314" i="24" s="1"/>
  <c r="AD1314" i="24" s="1"/>
  <c r="AF1314" i="24" s="1"/>
  <c r="W1309" i="24"/>
  <c r="X1309" i="24" s="1"/>
  <c r="AD1309" i="24" s="1"/>
  <c r="AF1309" i="24" s="1"/>
  <c r="W1303" i="24"/>
  <c r="X1303" i="24" s="1"/>
  <c r="AD1303" i="24" s="1"/>
  <c r="AF1303" i="24" s="1"/>
  <c r="W1298" i="24"/>
  <c r="X1298" i="24" s="1"/>
  <c r="AD1298" i="24" s="1"/>
  <c r="AF1298" i="24" s="1"/>
  <c r="AP1298" i="24" s="1"/>
  <c r="W1293" i="24"/>
  <c r="X1293" i="24" s="1"/>
  <c r="AD1293" i="24" s="1"/>
  <c r="AF1293" i="24" s="1"/>
  <c r="W1286" i="24"/>
  <c r="X1286" i="24" s="1"/>
  <c r="AD1286" i="24" s="1"/>
  <c r="AF1286" i="24" s="1"/>
  <c r="W1281" i="24"/>
  <c r="X1281" i="24" s="1"/>
  <c r="AD1281" i="24" s="1"/>
  <c r="AF1281" i="24" s="1"/>
  <c r="AP1281" i="24" s="1"/>
  <c r="W1268" i="24"/>
  <c r="X1268" i="24" s="1"/>
  <c r="AD1268" i="24" s="1"/>
  <c r="AF1268" i="24" s="1"/>
  <c r="W1261" i="24"/>
  <c r="X1261" i="24" s="1"/>
  <c r="AD1261" i="24" s="1"/>
  <c r="AF1261" i="24" s="1"/>
  <c r="AP1261" i="24" s="1"/>
  <c r="W1256" i="24"/>
  <c r="X1256" i="24" s="1"/>
  <c r="AD1256" i="24" s="1"/>
  <c r="AF1256" i="24" s="1"/>
  <c r="W1244" i="24"/>
  <c r="X1244" i="24" s="1"/>
  <c r="AD1244" i="24" s="1"/>
  <c r="AF1244" i="24" s="1"/>
  <c r="W1238" i="24"/>
  <c r="X1238" i="24" s="1"/>
  <c r="AD1238" i="24" s="1"/>
  <c r="AF1238" i="24" s="1"/>
  <c r="W1233" i="24"/>
  <c r="X1233" i="24" s="1"/>
  <c r="AD1233" i="24" s="1"/>
  <c r="AF1233" i="24" s="1"/>
  <c r="W1225" i="24"/>
  <c r="X1225" i="24" s="1"/>
  <c r="AD1225" i="24" s="1"/>
  <c r="AF1225" i="24" s="1"/>
  <c r="AP1225" i="24" s="1"/>
  <c r="W1220" i="24"/>
  <c r="X1220" i="24" s="1"/>
  <c r="AD1220" i="24" s="1"/>
  <c r="AF1220" i="24" s="1"/>
  <c r="W1214" i="24"/>
  <c r="X1214" i="24" s="1"/>
  <c r="AD1214" i="24" s="1"/>
  <c r="AF1214" i="24" s="1"/>
  <c r="W1210" i="24"/>
  <c r="X1210" i="24" s="1"/>
  <c r="AD1210" i="24" s="1"/>
  <c r="AF1210" i="24" s="1"/>
  <c r="W1206" i="24"/>
  <c r="X1206" i="24" s="1"/>
  <c r="AD1206" i="24" s="1"/>
  <c r="AF1206" i="24" s="1"/>
  <c r="W1201" i="24"/>
  <c r="X1201" i="24" s="1"/>
  <c r="AD1201" i="24" s="1"/>
  <c r="AF1201" i="24" s="1"/>
  <c r="W1192" i="24"/>
  <c r="X1192" i="24" s="1"/>
  <c r="AD1192" i="24" s="1"/>
  <c r="AF1192" i="24" s="1"/>
  <c r="AP1192" i="24" s="1"/>
  <c r="W1174" i="24"/>
  <c r="X1174" i="24" s="1"/>
  <c r="AD1174" i="24" s="1"/>
  <c r="AF1174" i="24" s="1"/>
  <c r="W1161" i="24"/>
  <c r="X1161" i="24" s="1"/>
  <c r="AD1161" i="24" s="1"/>
  <c r="AF1161" i="24" s="1"/>
  <c r="W1157" i="24"/>
  <c r="X1157" i="24" s="1"/>
  <c r="AD1157" i="24" s="1"/>
  <c r="AF1157" i="24" s="1"/>
  <c r="W1155" i="24"/>
  <c r="X1155" i="24" s="1"/>
  <c r="AD1155" i="24" s="1"/>
  <c r="AF1155" i="24" s="1"/>
  <c r="W1150" i="24"/>
  <c r="X1150" i="24" s="1"/>
  <c r="AD1150" i="24" s="1"/>
  <c r="AF1150" i="24" s="1"/>
  <c r="W1145" i="24"/>
  <c r="X1145" i="24" s="1"/>
  <c r="AD1145" i="24" s="1"/>
  <c r="AF1145" i="24" s="1"/>
  <c r="W1142" i="24"/>
  <c r="X1142" i="24" s="1"/>
  <c r="AD1142" i="24" s="1"/>
  <c r="AF1142" i="24" s="1"/>
  <c r="W1138" i="24"/>
  <c r="X1138" i="24" s="1"/>
  <c r="AD1138" i="24" s="1"/>
  <c r="AF1138" i="24" s="1"/>
  <c r="W1133" i="24"/>
  <c r="X1133" i="24" s="1"/>
  <c r="AD1133" i="24" s="1"/>
  <c r="AF1133" i="24" s="1"/>
  <c r="W1128" i="24"/>
  <c r="X1128" i="24" s="1"/>
  <c r="AD1128" i="24" s="1"/>
  <c r="AF1128" i="24" s="1"/>
  <c r="W1119" i="24"/>
  <c r="X1119" i="24" s="1"/>
  <c r="AD1119" i="24" s="1"/>
  <c r="AF1119" i="24" s="1"/>
  <c r="W1116" i="24"/>
  <c r="X1116" i="24" s="1"/>
  <c r="AD1116" i="24" s="1"/>
  <c r="AF1116" i="24" s="1"/>
  <c r="W1111" i="24"/>
  <c r="X1111" i="24" s="1"/>
  <c r="AD1111" i="24" s="1"/>
  <c r="AF1111" i="24" s="1"/>
  <c r="W1108" i="24"/>
  <c r="X1108" i="24" s="1"/>
  <c r="AD1108" i="24" s="1"/>
  <c r="AF1108" i="24" s="1"/>
  <c r="W1105" i="24"/>
  <c r="X1105" i="24" s="1"/>
  <c r="AD1105" i="24" s="1"/>
  <c r="AF1105" i="24" s="1"/>
  <c r="W1101" i="24"/>
  <c r="X1101" i="24" s="1"/>
  <c r="AD1101" i="24" s="1"/>
  <c r="AF1101" i="24" s="1"/>
  <c r="AP1101" i="24" s="1"/>
  <c r="W1086" i="24"/>
  <c r="X1086" i="24" s="1"/>
  <c r="AD1086" i="24" s="1"/>
  <c r="AF1086" i="24" s="1"/>
  <c r="W1082" i="24"/>
  <c r="X1082" i="24" s="1"/>
  <c r="AD1082" i="24" s="1"/>
  <c r="AF1082" i="24" s="1"/>
  <c r="W1078" i="24"/>
  <c r="X1078" i="24" s="1"/>
  <c r="AD1078" i="24" s="1"/>
  <c r="AF1078" i="24" s="1"/>
  <c r="W1073" i="24"/>
  <c r="X1073" i="24" s="1"/>
  <c r="AD1073" i="24" s="1"/>
  <c r="AF1073" i="24" s="1"/>
  <c r="W1068" i="24"/>
  <c r="X1068" i="24" s="1"/>
  <c r="AD1068" i="24" s="1"/>
  <c r="AF1068" i="24" s="1"/>
  <c r="W1063" i="24"/>
  <c r="X1063" i="24" s="1"/>
  <c r="AD1063" i="24" s="1"/>
  <c r="AF1063" i="24" s="1"/>
  <c r="W1058" i="24"/>
  <c r="X1058" i="24" s="1"/>
  <c r="AD1058" i="24" s="1"/>
  <c r="AF1058" i="24" s="1"/>
  <c r="W1053" i="24"/>
  <c r="X1053" i="24" s="1"/>
  <c r="AD1053" i="24" s="1"/>
  <c r="AF1053" i="24" s="1"/>
  <c r="W1048" i="24"/>
  <c r="X1048" i="24" s="1"/>
  <c r="AD1048" i="24" s="1"/>
  <c r="AF1048" i="24" s="1"/>
  <c r="W1043" i="24"/>
  <c r="X1043" i="24" s="1"/>
  <c r="AD1043" i="24" s="1"/>
  <c r="AF1043" i="24" s="1"/>
  <c r="W1038" i="24"/>
  <c r="X1038" i="24" s="1"/>
  <c r="AD1038" i="24" s="1"/>
  <c r="AF1038" i="24" s="1"/>
  <c r="W1033" i="24"/>
  <c r="X1033" i="24" s="1"/>
  <c r="AD1033" i="24" s="1"/>
  <c r="AF1033" i="24" s="1"/>
  <c r="W1028" i="24"/>
  <c r="X1028" i="24" s="1"/>
  <c r="AD1028" i="24" s="1"/>
  <c r="AF1028" i="24" s="1"/>
  <c r="W1020" i="24"/>
  <c r="X1020" i="24" s="1"/>
  <c r="AD1020" i="24" s="1"/>
  <c r="AF1020" i="24" s="1"/>
  <c r="W1009" i="24"/>
  <c r="X1009" i="24" s="1"/>
  <c r="AD1009" i="24" s="1"/>
  <c r="AF1009" i="24" s="1"/>
  <c r="W1004" i="24"/>
  <c r="X1004" i="24" s="1"/>
  <c r="AD1004" i="24" s="1"/>
  <c r="AF1004" i="24" s="1"/>
  <c r="W999" i="24"/>
  <c r="X999" i="24" s="1"/>
  <c r="AD999" i="24" s="1"/>
  <c r="AF999" i="24" s="1"/>
  <c r="W996" i="24"/>
  <c r="X996" i="24" s="1"/>
  <c r="AD996" i="24" s="1"/>
  <c r="AF996" i="24" s="1"/>
  <c r="W992" i="24"/>
  <c r="X992" i="24" s="1"/>
  <c r="AD992" i="24" s="1"/>
  <c r="AF992" i="24" s="1"/>
  <c r="AP992" i="24" s="1"/>
  <c r="W984" i="24"/>
  <c r="X984" i="24" s="1"/>
  <c r="AD984" i="24" s="1"/>
  <c r="AF984" i="24" s="1"/>
  <c r="W1498" i="24"/>
  <c r="X1498" i="24" s="1"/>
  <c r="AD1498" i="24" s="1"/>
  <c r="AF1498" i="24" s="1"/>
  <c r="W1491" i="24"/>
  <c r="X1491" i="24" s="1"/>
  <c r="AD1491" i="24" s="1"/>
  <c r="AF1491" i="24" s="1"/>
  <c r="W1486" i="24"/>
  <c r="X1486" i="24" s="1"/>
  <c r="AD1486" i="24" s="1"/>
  <c r="AF1486" i="24" s="1"/>
  <c r="W1482" i="24"/>
  <c r="X1482" i="24" s="1"/>
  <c r="AD1482" i="24" s="1"/>
  <c r="AF1482" i="24" s="1"/>
  <c r="W1474" i="24"/>
  <c r="X1474" i="24" s="1"/>
  <c r="AD1474" i="24" s="1"/>
  <c r="AF1474" i="24" s="1"/>
  <c r="W1468" i="24"/>
  <c r="X1468" i="24" s="1"/>
  <c r="AD1468" i="24" s="1"/>
  <c r="AF1468" i="24" s="1"/>
  <c r="W1466" i="24"/>
  <c r="X1466" i="24" s="1"/>
  <c r="AD1466" i="24" s="1"/>
  <c r="AF1466" i="24" s="1"/>
  <c r="W1460" i="24"/>
  <c r="X1460" i="24" s="1"/>
  <c r="AD1460" i="24" s="1"/>
  <c r="AF1460" i="24" s="1"/>
  <c r="W1455" i="24"/>
  <c r="X1455" i="24" s="1"/>
  <c r="AD1455" i="24" s="1"/>
  <c r="AF1455" i="24" s="1"/>
  <c r="W1450" i="24"/>
  <c r="X1450" i="24" s="1"/>
  <c r="AD1450" i="24" s="1"/>
  <c r="AF1450" i="24" s="1"/>
  <c r="W1445" i="24"/>
  <c r="X1445" i="24" s="1"/>
  <c r="AD1445" i="24" s="1"/>
  <c r="AF1445" i="24" s="1"/>
  <c r="W1439" i="24"/>
  <c r="X1439" i="24" s="1"/>
  <c r="AD1439" i="24" s="1"/>
  <c r="AF1439" i="24" s="1"/>
  <c r="W1429" i="24"/>
  <c r="X1429" i="24" s="1"/>
  <c r="AD1429" i="24" s="1"/>
  <c r="AF1429" i="24" s="1"/>
  <c r="W1424" i="24"/>
  <c r="X1424" i="24" s="1"/>
  <c r="AD1424" i="24" s="1"/>
  <c r="AF1424" i="24" s="1"/>
  <c r="W1415" i="24"/>
  <c r="X1415" i="24" s="1"/>
  <c r="AD1415" i="24" s="1"/>
  <c r="AF1415" i="24" s="1"/>
  <c r="W1410" i="24"/>
  <c r="X1410" i="24" s="1"/>
  <c r="AD1410" i="24" s="1"/>
  <c r="AF1410" i="24" s="1"/>
  <c r="AP1410" i="24" s="1"/>
  <c r="W1403" i="24"/>
  <c r="X1403" i="24" s="1"/>
  <c r="AD1403" i="24" s="1"/>
  <c r="AF1403" i="24" s="1"/>
  <c r="W1395" i="24"/>
  <c r="X1395" i="24" s="1"/>
  <c r="AD1395" i="24" s="1"/>
  <c r="AF1395" i="24" s="1"/>
  <c r="AP1395" i="24" s="1"/>
  <c r="W1391" i="24"/>
  <c r="X1391" i="24" s="1"/>
  <c r="AD1391" i="24" s="1"/>
  <c r="AF1391" i="24" s="1"/>
  <c r="W1388" i="24"/>
  <c r="X1388" i="24" s="1"/>
  <c r="AD1388" i="24" s="1"/>
  <c r="AF1388" i="24" s="1"/>
  <c r="W1386" i="24"/>
  <c r="X1386" i="24" s="1"/>
  <c r="AD1386" i="24" s="1"/>
  <c r="AF1386" i="24" s="1"/>
  <c r="AP1386" i="24" s="1"/>
  <c r="W1381" i="24"/>
  <c r="X1381" i="24" s="1"/>
  <c r="AD1381" i="24" s="1"/>
  <c r="AF1381" i="24" s="1"/>
  <c r="W1375" i="24"/>
  <c r="X1375" i="24" s="1"/>
  <c r="AD1375" i="24" s="1"/>
  <c r="AF1375" i="24" s="1"/>
  <c r="W1372" i="24"/>
  <c r="X1372" i="24" s="1"/>
  <c r="AD1372" i="24" s="1"/>
  <c r="AF1372" i="24" s="1"/>
  <c r="W1355" i="24"/>
  <c r="X1355" i="24" s="1"/>
  <c r="AD1355" i="24" s="1"/>
  <c r="AF1355" i="24" s="1"/>
  <c r="W1350" i="24"/>
  <c r="X1350" i="24" s="1"/>
  <c r="AD1350" i="24" s="1"/>
  <c r="AF1350" i="24" s="1"/>
  <c r="W1337" i="24"/>
  <c r="X1337" i="24" s="1"/>
  <c r="AD1337" i="24" s="1"/>
  <c r="AF1337" i="24" s="1"/>
  <c r="W1333" i="24"/>
  <c r="X1333" i="24" s="1"/>
  <c r="AD1333" i="24" s="1"/>
  <c r="AF1333" i="24" s="1"/>
  <c r="W1328" i="24"/>
  <c r="X1328" i="24" s="1"/>
  <c r="AD1328" i="24" s="1"/>
  <c r="AF1328" i="24" s="1"/>
  <c r="AP1328" i="24" s="1"/>
  <c r="W1316" i="24"/>
  <c r="X1316" i="24" s="1"/>
  <c r="AD1316" i="24" s="1"/>
  <c r="AF1316" i="24" s="1"/>
  <c r="W1305" i="24"/>
  <c r="X1305" i="24" s="1"/>
  <c r="AD1305" i="24" s="1"/>
  <c r="AF1305" i="24" s="1"/>
  <c r="W1300" i="24"/>
  <c r="X1300" i="24" s="1"/>
  <c r="AD1300" i="24" s="1"/>
  <c r="AF1300" i="24" s="1"/>
  <c r="W1292" i="24"/>
  <c r="X1292" i="24" s="1"/>
  <c r="AD1292" i="24" s="1"/>
  <c r="AF1292" i="24" s="1"/>
  <c r="W1288" i="24"/>
  <c r="X1288" i="24" s="1"/>
  <c r="AD1288" i="24" s="1"/>
  <c r="AF1288" i="24" s="1"/>
  <c r="W1283" i="24"/>
  <c r="X1283" i="24" s="1"/>
  <c r="AD1283" i="24" s="1"/>
  <c r="AF1283" i="24" s="1"/>
  <c r="AP1283" i="24" s="1"/>
  <c r="W1275" i="24"/>
  <c r="X1275" i="24" s="1"/>
  <c r="AD1275" i="24" s="1"/>
  <c r="AF1275" i="24" s="1"/>
  <c r="W1270" i="24"/>
  <c r="X1270" i="24" s="1"/>
  <c r="AD1270" i="24" s="1"/>
  <c r="AF1270" i="24" s="1"/>
  <c r="W1263" i="24"/>
  <c r="X1263" i="24" s="1"/>
  <c r="AD1263" i="24" s="1"/>
  <c r="AF1263" i="24" s="1"/>
  <c r="W1258" i="24"/>
  <c r="X1258" i="24" s="1"/>
  <c r="AD1258" i="24" s="1"/>
  <c r="AF1258" i="24" s="1"/>
  <c r="AP1258" i="24" s="1"/>
  <c r="W1255" i="24"/>
  <c r="X1255" i="24" s="1"/>
  <c r="AD1255" i="24" s="1"/>
  <c r="AF1255" i="24" s="1"/>
  <c r="W1250" i="24"/>
  <c r="X1250" i="24" s="1"/>
  <c r="AD1250" i="24" s="1"/>
  <c r="AF1250" i="24" s="1"/>
  <c r="W1246" i="24"/>
  <c r="X1246" i="24" s="1"/>
  <c r="AD1246" i="24" s="1"/>
  <c r="AF1246" i="24" s="1"/>
  <c r="W1235" i="24"/>
  <c r="X1235" i="24" s="1"/>
  <c r="AD1235" i="24" s="1"/>
  <c r="AF1235" i="24" s="1"/>
  <c r="W1232" i="24"/>
  <c r="X1232" i="24" s="1"/>
  <c r="AD1232" i="24" s="1"/>
  <c r="AF1232" i="24" s="1"/>
  <c r="W1227" i="24"/>
  <c r="X1227" i="24" s="1"/>
  <c r="AD1227" i="24" s="1"/>
  <c r="AF1227" i="24" s="1"/>
  <c r="AP1227" i="24" s="1"/>
  <c r="W1215" i="24"/>
  <c r="X1215" i="24" s="1"/>
  <c r="AD1215" i="24" s="1"/>
  <c r="AF1215" i="24" s="1"/>
  <c r="W1202" i="24"/>
  <c r="X1202" i="24" s="1"/>
  <c r="AD1202" i="24" s="1"/>
  <c r="AF1202" i="24" s="1"/>
  <c r="W1198" i="24"/>
  <c r="X1198" i="24" s="1"/>
  <c r="AD1198" i="24" s="1"/>
  <c r="AF1198" i="24" s="1"/>
  <c r="W1194" i="24"/>
  <c r="X1194" i="24" s="1"/>
  <c r="AD1194" i="24" s="1"/>
  <c r="AF1194" i="24" s="1"/>
  <c r="AP1194" i="24" s="1"/>
  <c r="W1189" i="24"/>
  <c r="X1189" i="24" s="1"/>
  <c r="AD1189" i="24" s="1"/>
  <c r="AF1189" i="24" s="1"/>
  <c r="W1187" i="24"/>
  <c r="X1187" i="24" s="1"/>
  <c r="AD1187" i="24" s="1"/>
  <c r="AF1187" i="24" s="1"/>
  <c r="W1183" i="24"/>
  <c r="X1183" i="24" s="1"/>
  <c r="AD1183" i="24" s="1"/>
  <c r="AF1183" i="24" s="1"/>
  <c r="W1179" i="24"/>
  <c r="X1179" i="24" s="1"/>
  <c r="AD1179" i="24" s="1"/>
  <c r="AF1179" i="24" s="1"/>
  <c r="W1177" i="24"/>
  <c r="X1177" i="24" s="1"/>
  <c r="AD1177" i="24" s="1"/>
  <c r="AF1177" i="24" s="1"/>
  <c r="W1171" i="24"/>
  <c r="X1171" i="24" s="1"/>
  <c r="AD1171" i="24" s="1"/>
  <c r="AF1171" i="24" s="1"/>
  <c r="W1165" i="24"/>
  <c r="X1165" i="24" s="1"/>
  <c r="AD1165" i="24" s="1"/>
  <c r="AF1165" i="24" s="1"/>
  <c r="W1159" i="24"/>
  <c r="X1159" i="24" s="1"/>
  <c r="AD1159" i="24" s="1"/>
  <c r="AF1159" i="24" s="1"/>
  <c r="W1152" i="24"/>
  <c r="X1152" i="24" s="1"/>
  <c r="AD1152" i="24" s="1"/>
  <c r="AF1152" i="24" s="1"/>
  <c r="AP1152" i="24" s="1"/>
  <c r="W1147" i="24"/>
  <c r="X1147" i="24" s="1"/>
  <c r="AD1147" i="24" s="1"/>
  <c r="AF1147" i="24" s="1"/>
  <c r="W1144" i="24"/>
  <c r="X1144" i="24" s="1"/>
  <c r="AD1144" i="24" s="1"/>
  <c r="AF1144" i="24" s="1"/>
  <c r="W1140" i="24"/>
  <c r="X1140" i="24" s="1"/>
  <c r="AD1140" i="24" s="1"/>
  <c r="AF1140" i="24" s="1"/>
  <c r="W1135" i="24"/>
  <c r="X1135" i="24" s="1"/>
  <c r="AD1135" i="24" s="1"/>
  <c r="AF1135" i="24" s="1"/>
  <c r="AP1135" i="24" s="1"/>
  <c r="W1130" i="24"/>
  <c r="X1130" i="24" s="1"/>
  <c r="AD1130" i="24" s="1"/>
  <c r="AF1130" i="24" s="1"/>
  <c r="W1125" i="24"/>
  <c r="X1125" i="24" s="1"/>
  <c r="AD1125" i="24" s="1"/>
  <c r="AF1125" i="24" s="1"/>
  <c r="W1113" i="24"/>
  <c r="X1113" i="24" s="1"/>
  <c r="AD1113" i="24" s="1"/>
  <c r="AF1113" i="24" s="1"/>
  <c r="W1110" i="24"/>
  <c r="X1110" i="24" s="1"/>
  <c r="AD1110" i="24" s="1"/>
  <c r="AF1110" i="24" s="1"/>
  <c r="W1107" i="24"/>
  <c r="X1107" i="24" s="1"/>
  <c r="AD1107" i="24" s="1"/>
  <c r="AF1107" i="24" s="1"/>
  <c r="W1102" i="24"/>
  <c r="X1102" i="24" s="1"/>
  <c r="AD1102" i="24" s="1"/>
  <c r="AF1102" i="24" s="1"/>
  <c r="AP1102" i="24" s="1"/>
  <c r="W1100" i="24"/>
  <c r="X1100" i="24" s="1"/>
  <c r="AD1100" i="24" s="1"/>
  <c r="AF1100" i="24" s="1"/>
  <c r="W1095" i="24"/>
  <c r="X1095" i="24" s="1"/>
  <c r="AD1095" i="24" s="1"/>
  <c r="AF1095" i="24" s="1"/>
  <c r="W1089" i="24"/>
  <c r="X1089" i="24" s="1"/>
  <c r="AD1089" i="24" s="1"/>
  <c r="AF1089" i="24" s="1"/>
  <c r="W1070" i="24"/>
  <c r="X1070" i="24" s="1"/>
  <c r="AD1070" i="24" s="1"/>
  <c r="AF1070" i="24" s="1"/>
  <c r="W1065" i="24"/>
  <c r="X1065" i="24" s="1"/>
  <c r="AD1065" i="24" s="1"/>
  <c r="AF1065" i="24" s="1"/>
  <c r="W1064" i="24"/>
  <c r="X1064" i="24" s="1"/>
  <c r="AD1064" i="24" s="1"/>
  <c r="AF1064" i="24" s="1"/>
  <c r="W1060" i="24"/>
  <c r="X1060" i="24" s="1"/>
  <c r="AD1060" i="24" s="1"/>
  <c r="AF1060" i="24" s="1"/>
  <c r="W1055" i="24"/>
  <c r="X1055" i="24" s="1"/>
  <c r="AD1055" i="24" s="1"/>
  <c r="AF1055" i="24" s="1"/>
  <c r="W1050" i="24"/>
  <c r="X1050" i="24" s="1"/>
  <c r="AD1050" i="24" s="1"/>
  <c r="AF1050" i="24" s="1"/>
  <c r="W1045" i="24"/>
  <c r="X1045" i="24" s="1"/>
  <c r="AD1045" i="24" s="1"/>
  <c r="AF1045" i="24" s="1"/>
  <c r="W1040" i="24"/>
  <c r="X1040" i="24" s="1"/>
  <c r="AD1040" i="24" s="1"/>
  <c r="AF1040" i="24" s="1"/>
  <c r="W1035" i="24"/>
  <c r="X1035" i="24" s="1"/>
  <c r="AD1035" i="24" s="1"/>
  <c r="AF1035" i="24" s="1"/>
  <c r="W1030" i="24"/>
  <c r="X1030" i="24" s="1"/>
  <c r="AD1030" i="24" s="1"/>
  <c r="AF1030" i="24" s="1"/>
  <c r="W1025" i="24"/>
  <c r="X1025" i="24" s="1"/>
  <c r="AD1025" i="24" s="1"/>
  <c r="AF1025" i="24" s="1"/>
  <c r="W1017" i="24"/>
  <c r="X1017" i="24" s="1"/>
  <c r="AD1017" i="24" s="1"/>
  <c r="AF1017" i="24" s="1"/>
  <c r="W1011" i="24"/>
  <c r="X1011" i="24" s="1"/>
  <c r="AD1011" i="24" s="1"/>
  <c r="AF1011" i="24" s="1"/>
  <c r="W1006" i="24"/>
  <c r="X1006" i="24" s="1"/>
  <c r="AD1006" i="24" s="1"/>
  <c r="AF1006" i="24" s="1"/>
  <c r="W1001" i="24"/>
  <c r="X1001" i="24" s="1"/>
  <c r="AD1001" i="24" s="1"/>
  <c r="AF1001" i="24" s="1"/>
  <c r="W990" i="24"/>
  <c r="X990" i="24" s="1"/>
  <c r="AD990" i="24" s="1"/>
  <c r="AF990" i="24" s="1"/>
  <c r="W62" i="24"/>
  <c r="X62" i="24" s="1"/>
  <c r="AD62" i="24" s="1"/>
  <c r="AF62" i="24" s="1"/>
  <c r="W60" i="24"/>
  <c r="X60" i="24" s="1"/>
  <c r="AD60" i="24" s="1"/>
  <c r="AF60" i="24" s="1"/>
  <c r="AN60" i="24" s="1"/>
  <c r="W975" i="24"/>
  <c r="X975" i="24" s="1"/>
  <c r="AD975" i="24" s="1"/>
  <c r="AF975" i="24" s="1"/>
  <c r="AM975" i="24" s="1"/>
  <c r="W971" i="24"/>
  <c r="X971" i="24" s="1"/>
  <c r="AD971" i="24" s="1"/>
  <c r="AF971" i="24" s="1"/>
  <c r="AL971" i="24" s="1"/>
  <c r="W59" i="24"/>
  <c r="X59" i="24" s="1"/>
  <c r="AD59" i="24" s="1"/>
  <c r="AF59" i="24" s="1"/>
  <c r="AN59" i="24" s="1"/>
  <c r="AL26" i="13"/>
  <c r="AD2020" i="24"/>
  <c r="AK26" i="13"/>
  <c r="AL31" i="13"/>
  <c r="AO31" i="13" s="1"/>
  <c r="AQ31" i="13" s="1"/>
  <c r="L118" i="4"/>
  <c r="AA2026" i="24"/>
  <c r="AA2028" i="24" s="1"/>
  <c r="Z2028" i="24"/>
  <c r="W961" i="24"/>
  <c r="X961" i="24" s="1"/>
  <c r="AD961" i="24" s="1"/>
  <c r="AF961" i="24" s="1"/>
  <c r="AL961" i="24" s="1"/>
  <c r="W937" i="24"/>
  <c r="X937" i="24" s="1"/>
  <c r="AD937" i="24" s="1"/>
  <c r="AF937" i="24" s="1"/>
  <c r="AK937" i="24" s="1"/>
  <c r="W940" i="24"/>
  <c r="X940" i="24" s="1"/>
  <c r="AD940" i="24" s="1"/>
  <c r="AF940" i="24" s="1"/>
  <c r="AP940" i="24" s="1"/>
  <c r="W948" i="24"/>
  <c r="X948" i="24" s="1"/>
  <c r="AD948" i="24" s="1"/>
  <c r="AF948" i="24" s="1"/>
  <c r="AL948" i="24" s="1"/>
  <c r="W950" i="24"/>
  <c r="X950" i="24" s="1"/>
  <c r="AD950" i="24" s="1"/>
  <c r="AF950" i="24" s="1"/>
  <c r="AM950" i="24" s="1"/>
  <c r="W953" i="24"/>
  <c r="X953" i="24" s="1"/>
  <c r="AD953" i="24" s="1"/>
  <c r="AF953" i="24" s="1"/>
  <c r="AP953" i="24" s="1"/>
  <c r="W958" i="24"/>
  <c r="X958" i="24" s="1"/>
  <c r="AD958" i="24" s="1"/>
  <c r="AF958" i="24" s="1"/>
  <c r="AL958" i="24" s="1"/>
  <c r="W963" i="24"/>
  <c r="X963" i="24" s="1"/>
  <c r="AD963" i="24" s="1"/>
  <c r="AF963" i="24" s="1"/>
  <c r="AN963" i="24" s="1"/>
  <c r="AP59" i="24"/>
  <c r="W968" i="24"/>
  <c r="X968" i="24" s="1"/>
  <c r="AD968" i="24" s="1"/>
  <c r="AF968" i="24" s="1"/>
  <c r="AM968" i="24" s="1"/>
  <c r="W942" i="24"/>
  <c r="X942" i="24" s="1"/>
  <c r="AD942" i="24" s="1"/>
  <c r="AF942" i="24" s="1"/>
  <c r="AM942" i="24" s="1"/>
  <c r="W973" i="24"/>
  <c r="X973" i="24" s="1"/>
  <c r="AD973" i="24" s="1"/>
  <c r="AF973" i="24" s="1"/>
  <c r="AP973" i="24" s="1"/>
  <c r="W947" i="24"/>
  <c r="X947" i="24" s="1"/>
  <c r="AD947" i="24" s="1"/>
  <c r="AF947" i="24" s="1"/>
  <c r="AN947" i="24" s="1"/>
  <c r="W951" i="24"/>
  <c r="X951" i="24" s="1"/>
  <c r="AD951" i="24" s="1"/>
  <c r="AF951" i="24" s="1"/>
  <c r="AK951" i="24" s="1"/>
  <c r="W956" i="24"/>
  <c r="X956" i="24" s="1"/>
  <c r="AD956" i="24" s="1"/>
  <c r="AF956" i="24" s="1"/>
  <c r="AL956" i="24" s="1"/>
  <c r="W966" i="24"/>
  <c r="X966" i="24" s="1"/>
  <c r="AD966" i="24" s="1"/>
  <c r="AF966" i="24" s="1"/>
  <c r="AP966" i="24" s="1"/>
  <c r="W980" i="24"/>
  <c r="X980" i="24" s="1"/>
  <c r="AD980" i="24" s="1"/>
  <c r="AF980" i="24" s="1"/>
  <c r="AM980" i="24" s="1"/>
  <c r="W960" i="24"/>
  <c r="X960" i="24" s="1"/>
  <c r="AD960" i="24" s="1"/>
  <c r="AF960" i="24" s="1"/>
  <c r="AN960" i="24" s="1"/>
  <c r="W970" i="24"/>
  <c r="X970" i="24" s="1"/>
  <c r="AD970" i="24" s="1"/>
  <c r="AF970" i="24" s="1"/>
  <c r="AP970" i="24" s="1"/>
  <c r="W357" i="24"/>
  <c r="X357" i="24" s="1"/>
  <c r="AD357" i="24" s="1"/>
  <c r="AF357" i="24" s="1"/>
  <c r="W354" i="24"/>
  <c r="X354" i="24" s="1"/>
  <c r="AD354" i="24" s="1"/>
  <c r="AF354" i="24" s="1"/>
  <c r="W223" i="24"/>
  <c r="X223" i="24" s="1"/>
  <c r="AD223" i="24" s="1"/>
  <c r="AF223" i="24" s="1"/>
  <c r="AP223" i="24" s="1"/>
  <c r="W358" i="24"/>
  <c r="X358" i="24" s="1"/>
  <c r="AD358" i="24" s="1"/>
  <c r="AF358" i="24" s="1"/>
  <c r="W369" i="24"/>
  <c r="X369" i="24" s="1"/>
  <c r="AD369" i="24" s="1"/>
  <c r="AF369" i="24" s="1"/>
  <c r="AP369" i="24" s="1"/>
  <c r="W365" i="24"/>
  <c r="X365" i="24" s="1"/>
  <c r="AD365" i="24" s="1"/>
  <c r="AF365" i="24" s="1"/>
  <c r="W364" i="24"/>
  <c r="X364" i="24" s="1"/>
  <c r="AD364" i="24" s="1"/>
  <c r="AF364" i="24" s="1"/>
  <c r="W374" i="24"/>
  <c r="X374" i="24" s="1"/>
  <c r="AD374" i="24" s="1"/>
  <c r="AF374" i="24" s="1"/>
  <c r="AP374" i="24" s="1"/>
  <c r="W367" i="24"/>
  <c r="X367" i="24" s="1"/>
  <c r="AD367" i="24" s="1"/>
  <c r="AF367" i="24" s="1"/>
  <c r="W362" i="24"/>
  <c r="X362" i="24" s="1"/>
  <c r="AD362" i="24" s="1"/>
  <c r="AF362" i="24" s="1"/>
  <c r="AP362" i="24" s="1"/>
  <c r="W359" i="24"/>
  <c r="X359" i="24" s="1"/>
  <c r="AD359" i="24" s="1"/>
  <c r="AF359" i="24" s="1"/>
  <c r="W372" i="24"/>
  <c r="X372" i="24" s="1"/>
  <c r="AD372" i="24" s="1"/>
  <c r="AF372" i="24" s="1"/>
  <c r="W368" i="24"/>
  <c r="X368" i="24" s="1"/>
  <c r="AD368" i="24" s="1"/>
  <c r="AF368" i="24" s="1"/>
  <c r="AP368" i="24" s="1"/>
  <c r="W360" i="24"/>
  <c r="X360" i="24" s="1"/>
  <c r="AD360" i="24" s="1"/>
  <c r="AF360" i="24" s="1"/>
  <c r="W370" i="24"/>
  <c r="X370" i="24" s="1"/>
  <c r="AD370" i="24" s="1"/>
  <c r="AF370" i="24" s="1"/>
  <c r="W363" i="24"/>
  <c r="X363" i="24" s="1"/>
  <c r="AD363" i="24" s="1"/>
  <c r="AF363" i="24" s="1"/>
  <c r="W377" i="24"/>
  <c r="X377" i="24" s="1"/>
  <c r="AD377" i="24" s="1"/>
  <c r="AF377" i="24" s="1"/>
  <c r="W375" i="24"/>
  <c r="X375" i="24" s="1"/>
  <c r="AD375" i="24" s="1"/>
  <c r="AF375" i="24" s="1"/>
  <c r="W376" i="24"/>
  <c r="X376" i="24" s="1"/>
  <c r="AD376" i="24" s="1"/>
  <c r="AF376" i="24" s="1"/>
  <c r="AP376" i="24" s="1"/>
  <c r="W220" i="24"/>
  <c r="X220" i="24" s="1"/>
  <c r="AD220" i="24" s="1"/>
  <c r="AF220" i="24" s="1"/>
  <c r="W221" i="24"/>
  <c r="X221" i="24" s="1"/>
  <c r="AD221" i="24" s="1"/>
  <c r="AF221" i="24" s="1"/>
  <c r="W218" i="24"/>
  <c r="X218" i="24" s="1"/>
  <c r="AD218" i="24" s="1"/>
  <c r="AF218" i="24" s="1"/>
  <c r="W222" i="24"/>
  <c r="X222" i="24" s="1"/>
  <c r="AD222" i="24" s="1"/>
  <c r="AF222" i="24" s="1"/>
  <c r="AP222" i="24" s="1"/>
  <c r="AP60" i="24"/>
  <c r="AP975" i="24"/>
  <c r="W949" i="24"/>
  <c r="X949" i="24" s="1"/>
  <c r="AD949" i="24" s="1"/>
  <c r="AF949" i="24" s="1"/>
  <c r="W945" i="24"/>
  <c r="X945" i="24" s="1"/>
  <c r="AD945" i="24" s="1"/>
  <c r="AF945" i="24" s="1"/>
  <c r="W941" i="24"/>
  <c r="X941" i="24" s="1"/>
  <c r="AD941" i="24" s="1"/>
  <c r="AF941" i="24" s="1"/>
  <c r="W979" i="24"/>
  <c r="X979" i="24" s="1"/>
  <c r="AD979" i="24" s="1"/>
  <c r="AF979" i="24" s="1"/>
  <c r="W974" i="24"/>
  <c r="X974" i="24" s="1"/>
  <c r="AD974" i="24" s="1"/>
  <c r="AF974" i="24" s="1"/>
  <c r="W969" i="24"/>
  <c r="X969" i="24" s="1"/>
  <c r="AD969" i="24" s="1"/>
  <c r="AF969" i="24" s="1"/>
  <c r="W964" i="24"/>
  <c r="X964" i="24" s="1"/>
  <c r="AD964" i="24" s="1"/>
  <c r="AF964" i="24" s="1"/>
  <c r="W959" i="24"/>
  <c r="X959" i="24" s="1"/>
  <c r="AD959" i="24" s="1"/>
  <c r="AF959" i="24" s="1"/>
  <c r="W954" i="24"/>
  <c r="X954" i="24" s="1"/>
  <c r="AD954" i="24" s="1"/>
  <c r="AF954" i="24" s="1"/>
  <c r="AP978" i="24"/>
  <c r="W58" i="24"/>
  <c r="X58" i="24" s="1"/>
  <c r="AD58" i="24" s="1"/>
  <c r="AF58" i="24" s="1"/>
  <c r="W962" i="24"/>
  <c r="X962" i="24" s="1"/>
  <c r="AD962" i="24" s="1"/>
  <c r="AF962" i="24" s="1"/>
  <c r="W952" i="24"/>
  <c r="X952" i="24" s="1"/>
  <c r="AD952" i="24" s="1"/>
  <c r="AF952" i="24" s="1"/>
  <c r="W943" i="24"/>
  <c r="X943" i="24" s="1"/>
  <c r="AD943" i="24" s="1"/>
  <c r="AF943" i="24" s="1"/>
  <c r="W939" i="24"/>
  <c r="X939" i="24" s="1"/>
  <c r="AD939" i="24" s="1"/>
  <c r="AF939" i="24" s="1"/>
  <c r="W934" i="24"/>
  <c r="X934" i="24" s="1"/>
  <c r="AD934" i="24" s="1"/>
  <c r="AF934" i="24" s="1"/>
  <c r="W977" i="24"/>
  <c r="X977" i="24" s="1"/>
  <c r="AD977" i="24" s="1"/>
  <c r="AF977" i="24" s="1"/>
  <c r="W972" i="24"/>
  <c r="X972" i="24" s="1"/>
  <c r="AD972" i="24" s="1"/>
  <c r="AF972" i="24" s="1"/>
  <c r="F118" i="4"/>
  <c r="W867" i="24"/>
  <c r="X867" i="24" s="1"/>
  <c r="AD867" i="24" s="1"/>
  <c r="AF867" i="24" s="1"/>
  <c r="AN867" i="24" s="1"/>
  <c r="W509" i="24"/>
  <c r="X509" i="24" s="1"/>
  <c r="AD509" i="24" s="1"/>
  <c r="AF509" i="24" s="1"/>
  <c r="AP509" i="24" s="1"/>
  <c r="W915" i="24"/>
  <c r="X915" i="24" s="1"/>
  <c r="AD915" i="24" s="1"/>
  <c r="AF915" i="24" s="1"/>
  <c r="W200" i="24"/>
  <c r="X200" i="24" s="1"/>
  <c r="AD200" i="24" s="1"/>
  <c r="AF200" i="24" s="1"/>
  <c r="AL200" i="24" s="1"/>
  <c r="W748" i="24"/>
  <c r="X748" i="24" s="1"/>
  <c r="AD748" i="24" s="1"/>
  <c r="AF748" i="24" s="1"/>
  <c r="W636" i="24"/>
  <c r="X636" i="24" s="1"/>
  <c r="AD636" i="24" s="1"/>
  <c r="AF636" i="24" s="1"/>
  <c r="AP636" i="24" s="1"/>
  <c r="W63" i="24"/>
  <c r="X63" i="24" s="1"/>
  <c r="AD63" i="24" s="1"/>
  <c r="AF63" i="24" s="1"/>
  <c r="AK63" i="24" s="1"/>
  <c r="W631" i="24"/>
  <c r="X631" i="24" s="1"/>
  <c r="AD631" i="24" s="1"/>
  <c r="AF631" i="24" s="1"/>
  <c r="W491" i="24"/>
  <c r="X491" i="24" s="1"/>
  <c r="AD491" i="24" s="1"/>
  <c r="AF491" i="24" s="1"/>
  <c r="AN491" i="24" s="1"/>
  <c r="W86" i="24"/>
  <c r="X86" i="24" s="1"/>
  <c r="AD86" i="24" s="1"/>
  <c r="AF86" i="24" s="1"/>
  <c r="AN86" i="24" s="1"/>
  <c r="W700" i="24"/>
  <c r="X700" i="24" s="1"/>
  <c r="AD700" i="24" s="1"/>
  <c r="AF700" i="24" s="1"/>
  <c r="AL700" i="24" s="1"/>
  <c r="W262" i="24"/>
  <c r="X262" i="24" s="1"/>
  <c r="AD262" i="24" s="1"/>
  <c r="AF262" i="24" s="1"/>
  <c r="W894" i="24"/>
  <c r="X894" i="24" s="1"/>
  <c r="AD894" i="24" s="1"/>
  <c r="AF894" i="24" s="1"/>
  <c r="AM894" i="24" s="1"/>
  <c r="W721" i="24"/>
  <c r="X721" i="24" s="1"/>
  <c r="AD721" i="24" s="1"/>
  <c r="AF721" i="24" s="1"/>
  <c r="W810" i="24"/>
  <c r="X810" i="24" s="1"/>
  <c r="AD810" i="24" s="1"/>
  <c r="AF810" i="24" s="1"/>
  <c r="W568" i="24"/>
  <c r="X568" i="24" s="1"/>
  <c r="AD568" i="24" s="1"/>
  <c r="AF568" i="24" s="1"/>
  <c r="W498" i="24"/>
  <c r="X498" i="24" s="1"/>
  <c r="AD498" i="24" s="1"/>
  <c r="AF498" i="24" s="1"/>
  <c r="AL498" i="24" s="1"/>
  <c r="W641" i="24"/>
  <c r="X641" i="24" s="1"/>
  <c r="AD641" i="24" s="1"/>
  <c r="AF641" i="24" s="1"/>
  <c r="AP641" i="24" s="1"/>
  <c r="W320" i="24"/>
  <c r="X320" i="24" s="1"/>
  <c r="AD320" i="24" s="1"/>
  <c r="AF320" i="24" s="1"/>
  <c r="AK320" i="24" s="1"/>
  <c r="W590" i="24"/>
  <c r="X590" i="24" s="1"/>
  <c r="AD590" i="24" s="1"/>
  <c r="AF590" i="24" s="1"/>
  <c r="AK590" i="24" s="1"/>
  <c r="W124" i="24"/>
  <c r="X124" i="24" s="1"/>
  <c r="AD124" i="24" s="1"/>
  <c r="AF124" i="24" s="1"/>
  <c r="AK124" i="24" s="1"/>
  <c r="W380" i="24"/>
  <c r="X380" i="24" s="1"/>
  <c r="AD380" i="24" s="1"/>
  <c r="AF380" i="24" s="1"/>
  <c r="AK380" i="24" s="1"/>
  <c r="W451" i="24"/>
  <c r="X451" i="24" s="1"/>
  <c r="AD451" i="24" s="1"/>
  <c r="AF451" i="24" s="1"/>
  <c r="AP451" i="24" s="1"/>
  <c r="W12" i="24"/>
  <c r="X12" i="24" s="1"/>
  <c r="AD12" i="24" s="1"/>
  <c r="AF12" i="24" s="1"/>
  <c r="AL12" i="24" s="1"/>
  <c r="W298" i="24"/>
  <c r="X298" i="24" s="1"/>
  <c r="AD298" i="24" s="1"/>
  <c r="AF298" i="24" s="1"/>
  <c r="AN298" i="24" s="1"/>
  <c r="W257" i="24"/>
  <c r="X257" i="24" s="1"/>
  <c r="AD257" i="24" s="1"/>
  <c r="AF257" i="24" s="1"/>
  <c r="AP257" i="24" s="1"/>
  <c r="W144" i="24"/>
  <c r="X144" i="24" s="1"/>
  <c r="AD144" i="24" s="1"/>
  <c r="AF144" i="24" s="1"/>
  <c r="AP144" i="24" s="1"/>
  <c r="W81" i="24"/>
  <c r="X81" i="24" s="1"/>
  <c r="AD81" i="24" s="1"/>
  <c r="AF81" i="24" s="1"/>
  <c r="W661" i="24"/>
  <c r="X661" i="24" s="1"/>
  <c r="AD661" i="24" s="1"/>
  <c r="AF661" i="24" s="1"/>
  <c r="AN661" i="24" s="1"/>
  <c r="W134" i="24"/>
  <c r="X134" i="24" s="1"/>
  <c r="AD134" i="24" s="1"/>
  <c r="AF134" i="24" s="1"/>
  <c r="AN134" i="24" s="1"/>
  <c r="W98" i="24"/>
  <c r="X98" i="24" s="1"/>
  <c r="AD98" i="24" s="1"/>
  <c r="AF98" i="24" s="1"/>
  <c r="AM98" i="24" s="1"/>
  <c r="W227" i="24"/>
  <c r="X227" i="24" s="1"/>
  <c r="AD227" i="24" s="1"/>
  <c r="AF227" i="24" s="1"/>
  <c r="AP227" i="24" s="1"/>
  <c r="W646" i="24"/>
  <c r="X646" i="24" s="1"/>
  <c r="AD646" i="24" s="1"/>
  <c r="AF646" i="24" s="1"/>
  <c r="AP646" i="24" s="1"/>
  <c r="W775" i="24"/>
  <c r="X775" i="24" s="1"/>
  <c r="AD775" i="24" s="1"/>
  <c r="AF775" i="24" s="1"/>
  <c r="W139" i="24"/>
  <c r="X139" i="24" s="1"/>
  <c r="AD139" i="24" s="1"/>
  <c r="AF139" i="24" s="1"/>
  <c r="AN139" i="24" s="1"/>
  <c r="W45" i="24"/>
  <c r="X45" i="24" s="1"/>
  <c r="AD45" i="24" s="1"/>
  <c r="AF45" i="24" s="1"/>
  <c r="W671" i="24"/>
  <c r="X671" i="24" s="1"/>
  <c r="AD671" i="24" s="1"/>
  <c r="AF671" i="24" s="1"/>
  <c r="W215" i="24"/>
  <c r="X215" i="24" s="1"/>
  <c r="AD215" i="24" s="1"/>
  <c r="AF215" i="24" s="1"/>
  <c r="AP215" i="24" s="1"/>
  <c r="W738" i="24"/>
  <c r="X738" i="24" s="1"/>
  <c r="AD738" i="24" s="1"/>
  <c r="AF738" i="24" s="1"/>
  <c r="AM738" i="24" s="1"/>
  <c r="W926" i="24"/>
  <c r="X926" i="24" s="1"/>
  <c r="AD926" i="24" s="1"/>
  <c r="AF926" i="24" s="1"/>
  <c r="AN926" i="24" s="1"/>
  <c r="W600" i="24"/>
  <c r="X600" i="24" s="1"/>
  <c r="AD600" i="24" s="1"/>
  <c r="AF600" i="24" s="1"/>
  <c r="AK600" i="24" s="1"/>
  <c r="W907" i="24"/>
  <c r="X907" i="24" s="1"/>
  <c r="AD907" i="24" s="1"/>
  <c r="AF907" i="24" s="1"/>
  <c r="AN907" i="24" s="1"/>
  <c r="W107" i="24"/>
  <c r="X107" i="24" s="1"/>
  <c r="AD107" i="24" s="1"/>
  <c r="AF107" i="24" s="1"/>
  <c r="W758" i="24"/>
  <c r="X758" i="24" s="1"/>
  <c r="AD758" i="24" s="1"/>
  <c r="AF758" i="24" s="1"/>
  <c r="AN758" i="24" s="1"/>
  <c r="W710" i="24"/>
  <c r="X710" i="24" s="1"/>
  <c r="AD710" i="24" s="1"/>
  <c r="AF710" i="24" s="1"/>
  <c r="W149" i="24"/>
  <c r="X149" i="24" s="1"/>
  <c r="AD149" i="24" s="1"/>
  <c r="AF149" i="24" s="1"/>
  <c r="AM149" i="24" s="1"/>
  <c r="W618" i="24"/>
  <c r="X618" i="24" s="1"/>
  <c r="AD618" i="24" s="1"/>
  <c r="AF618" i="24" s="1"/>
  <c r="AP618" i="24" s="1"/>
  <c r="W252" i="24"/>
  <c r="X252" i="24" s="1"/>
  <c r="AD252" i="24" s="1"/>
  <c r="AF252" i="24" s="1"/>
  <c r="AN252" i="24" s="1"/>
  <c r="W788" i="24"/>
  <c r="X788" i="24" s="1"/>
  <c r="AD788" i="24" s="1"/>
  <c r="AF788" i="24" s="1"/>
  <c r="AN788" i="24" s="1"/>
  <c r="W25" i="24"/>
  <c r="X25" i="24" s="1"/>
  <c r="AD25" i="24" s="1"/>
  <c r="AF25" i="24" s="1"/>
  <c r="AK25" i="24" s="1"/>
  <c r="W332" i="24"/>
  <c r="X332" i="24" s="1"/>
  <c r="AD332" i="24" s="1"/>
  <c r="AF332" i="24" s="1"/>
  <c r="AK332" i="24" s="1"/>
  <c r="W487" i="24"/>
  <c r="X487" i="24" s="1"/>
  <c r="AD487" i="24" s="1"/>
  <c r="AF487" i="24" s="1"/>
  <c r="AP487" i="24" s="1"/>
  <c r="W91" i="24"/>
  <c r="X91" i="24" s="1"/>
  <c r="AD91" i="24" s="1"/>
  <c r="AF91" i="24" s="1"/>
  <c r="AN91" i="24" s="1"/>
  <c r="W585" i="24"/>
  <c r="X585" i="24" s="1"/>
  <c r="AD585" i="24" s="1"/>
  <c r="AF585" i="24" s="1"/>
  <c r="AM585" i="24" s="1"/>
  <c r="W349" i="24"/>
  <c r="X349" i="24" s="1"/>
  <c r="AD349" i="24" s="1"/>
  <c r="AF349" i="24" s="1"/>
  <c r="AM349" i="24" s="1"/>
  <c r="W743" i="24"/>
  <c r="X743" i="24" s="1"/>
  <c r="AD743" i="24" s="1"/>
  <c r="AF743" i="24" s="1"/>
  <c r="AL743" i="24" s="1"/>
  <c r="W76" i="24"/>
  <c r="X76" i="24" s="1"/>
  <c r="AD76" i="24" s="1"/>
  <c r="AF76" i="24" s="1"/>
  <c r="AK76" i="24" s="1"/>
  <c r="W716" i="24"/>
  <c r="X716" i="24" s="1"/>
  <c r="AD716" i="24" s="1"/>
  <c r="AF716" i="24" s="1"/>
  <c r="AL716" i="24" s="1"/>
  <c r="W15" i="24"/>
  <c r="X15" i="24" s="1"/>
  <c r="AD15" i="24" s="1"/>
  <c r="AF15" i="24" s="1"/>
  <c r="AK15" i="24" s="1"/>
  <c r="W385" i="24"/>
  <c r="X385" i="24" s="1"/>
  <c r="AD385" i="24" s="1"/>
  <c r="AF385" i="24" s="1"/>
  <c r="AL385" i="24" s="1"/>
  <c r="W175" i="24"/>
  <c r="X175" i="24" s="1"/>
  <c r="AD175" i="24" s="1"/>
  <c r="AF175" i="24" s="1"/>
  <c r="AP175" i="24" s="1"/>
  <c r="W651" i="24"/>
  <c r="X651" i="24" s="1"/>
  <c r="AD651" i="24" s="1"/>
  <c r="AF651" i="24" s="1"/>
  <c r="AL651" i="24" s="1"/>
  <c r="W503" i="24"/>
  <c r="X503" i="24" s="1"/>
  <c r="AD503" i="24" s="1"/>
  <c r="AF503" i="24" s="1"/>
  <c r="W456" i="24"/>
  <c r="X456" i="24" s="1"/>
  <c r="AD456" i="24" s="1"/>
  <c r="AF456" i="24" s="1"/>
  <c r="AP456" i="24" s="1"/>
  <c r="W267" i="24"/>
  <c r="X267" i="24" s="1"/>
  <c r="AD267" i="24" s="1"/>
  <c r="AF267" i="24" s="1"/>
  <c r="W152" i="24"/>
  <c r="X152" i="24" s="1"/>
  <c r="AD152" i="24" s="1"/>
  <c r="AF152" i="24" s="1"/>
  <c r="AP152" i="24" s="1"/>
  <c r="W880" i="24"/>
  <c r="X880" i="24" s="1"/>
  <c r="AD880" i="24" s="1"/>
  <c r="AF880" i="24" s="1"/>
  <c r="AM880" i="24" s="1"/>
  <c r="W164" i="24"/>
  <c r="X164" i="24" s="1"/>
  <c r="AD164" i="24" s="1"/>
  <c r="AF164" i="24" s="1"/>
  <c r="AP164" i="24" s="1"/>
  <c r="W343" i="24"/>
  <c r="X343" i="24" s="1"/>
  <c r="AD343" i="24" s="1"/>
  <c r="AF343" i="24" s="1"/>
  <c r="AP343" i="24" s="1"/>
  <c r="W338" i="24"/>
  <c r="X338" i="24" s="1"/>
  <c r="AD338" i="24" s="1"/>
  <c r="AF338" i="24" s="1"/>
  <c r="AP338" i="24" s="1"/>
  <c r="W705" i="24"/>
  <c r="X705" i="24" s="1"/>
  <c r="AD705" i="24" s="1"/>
  <c r="AF705" i="24" s="1"/>
  <c r="W40" i="24"/>
  <c r="X40" i="24" s="1"/>
  <c r="AD40" i="24" s="1"/>
  <c r="AF40" i="24" s="1"/>
  <c r="AM40" i="24" s="1"/>
  <c r="W874" i="24"/>
  <c r="X874" i="24" s="1"/>
  <c r="AD874" i="24" s="1"/>
  <c r="AF874" i="24" s="1"/>
  <c r="AM874" i="24" s="1"/>
  <c r="W687" i="24"/>
  <c r="X687" i="24" s="1"/>
  <c r="AD687" i="24" s="1"/>
  <c r="AF687" i="24" s="1"/>
  <c r="AP687" i="24" s="1"/>
  <c r="W157" i="24"/>
  <c r="X157" i="24" s="1"/>
  <c r="AD157" i="24" s="1"/>
  <c r="AF157" i="24" s="1"/>
  <c r="W858" i="24"/>
  <c r="X858" i="24" s="1"/>
  <c r="AD858" i="24" s="1"/>
  <c r="AF858" i="24" s="1"/>
  <c r="AN858" i="24" s="1"/>
  <c r="W420" i="24"/>
  <c r="X420" i="24" s="1"/>
  <c r="AD420" i="24" s="1"/>
  <c r="AF420" i="24" s="1"/>
  <c r="AN420" i="24" s="1"/>
  <c r="W656" i="24"/>
  <c r="X656" i="24" s="1"/>
  <c r="AD656" i="24" s="1"/>
  <c r="AF656" i="24" s="1"/>
  <c r="AN656" i="24" s="1"/>
  <c r="W425" i="24"/>
  <c r="X425" i="24" s="1"/>
  <c r="AD425" i="24" s="1"/>
  <c r="AF425" i="24" s="1"/>
  <c r="AN425" i="24" s="1"/>
  <c r="W272" i="24"/>
  <c r="X272" i="24" s="1"/>
  <c r="AD272" i="24" s="1"/>
  <c r="AF272" i="24" s="1"/>
  <c r="W692" i="24"/>
  <c r="X692" i="24" s="1"/>
  <c r="AD692" i="24" s="1"/>
  <c r="AF692" i="24" s="1"/>
  <c r="AL692" i="24" s="1"/>
  <c r="W793" i="24"/>
  <c r="X793" i="24" s="1"/>
  <c r="AD793" i="24" s="1"/>
  <c r="AF793" i="24" s="1"/>
  <c r="AN793" i="24" s="1"/>
  <c r="W464" i="24"/>
  <c r="X464" i="24" s="1"/>
  <c r="AD464" i="24" s="1"/>
  <c r="AF464" i="24" s="1"/>
  <c r="AL464" i="24" s="1"/>
  <c r="W854" i="24"/>
  <c r="X854" i="24" s="1"/>
  <c r="AD854" i="24" s="1"/>
  <c r="AF854" i="24" s="1"/>
  <c r="AN854" i="24" s="1"/>
  <c r="W826" i="24"/>
  <c r="X826" i="24" s="1"/>
  <c r="AD826" i="24" s="1"/>
  <c r="AF826" i="24" s="1"/>
  <c r="AK826" i="24" s="1"/>
  <c r="W849" i="24"/>
  <c r="X849" i="24" s="1"/>
  <c r="AD849" i="24" s="1"/>
  <c r="AF849" i="24" s="1"/>
  <c r="AL849" i="24" s="1"/>
  <c r="W129" i="24"/>
  <c r="X129" i="24" s="1"/>
  <c r="AD129" i="24" s="1"/>
  <c r="AF129" i="24" s="1"/>
  <c r="AL129" i="24" s="1"/>
  <c r="W30" i="24"/>
  <c r="X30" i="24" s="1"/>
  <c r="AD30" i="24" s="1"/>
  <c r="AF30" i="24" s="1"/>
  <c r="AN30" i="24" s="1"/>
  <c r="W626" i="24"/>
  <c r="X626" i="24" s="1"/>
  <c r="AD626" i="24" s="1"/>
  <c r="AF626" i="24" s="1"/>
  <c r="W57" i="24"/>
  <c r="X57" i="24" s="1"/>
  <c r="AD57" i="24" s="1"/>
  <c r="AF57" i="24" s="1"/>
  <c r="AL57" i="24" s="1"/>
  <c r="W352" i="24"/>
  <c r="X352" i="24" s="1"/>
  <c r="AD352" i="24" s="1"/>
  <c r="AF352" i="24" s="1"/>
  <c r="W527" i="24"/>
  <c r="X527" i="24" s="1"/>
  <c r="AD527" i="24" s="1"/>
  <c r="AF527" i="24" s="1"/>
  <c r="AP527" i="24" s="1"/>
  <c r="W888" i="24"/>
  <c r="X888" i="24" s="1"/>
  <c r="AD888" i="24" s="1"/>
  <c r="AF888" i="24" s="1"/>
  <c r="W35" i="24"/>
  <c r="X35" i="24" s="1"/>
  <c r="AD35" i="24" s="1"/>
  <c r="AF35" i="24" s="1"/>
  <c r="AK35" i="24" s="1"/>
  <c r="W754" i="24"/>
  <c r="X754" i="24" s="1"/>
  <c r="AD754" i="24" s="1"/>
  <c r="AF754" i="24" s="1"/>
  <c r="AM754" i="24" s="1"/>
  <c r="W102" i="24"/>
  <c r="X102" i="24" s="1"/>
  <c r="AD102" i="24" s="1"/>
  <c r="AF102" i="24" s="1"/>
  <c r="W247" i="24"/>
  <c r="X247" i="24" s="1"/>
  <c r="AD247" i="24" s="1"/>
  <c r="AF247" i="24" s="1"/>
  <c r="W544" i="24"/>
  <c r="X544" i="24" s="1"/>
  <c r="AD544" i="24" s="1"/>
  <c r="AF544" i="24" s="1"/>
  <c r="W831" i="24"/>
  <c r="X831" i="24" s="1"/>
  <c r="AD831" i="24" s="1"/>
  <c r="AF831" i="24" s="1"/>
  <c r="W564" i="24"/>
  <c r="X564" i="24" s="1"/>
  <c r="AD564" i="24" s="1"/>
  <c r="AF564" i="24" s="1"/>
  <c r="W176" i="24"/>
  <c r="X176" i="24" s="1"/>
  <c r="AD176" i="24" s="1"/>
  <c r="AF176" i="24" s="1"/>
  <c r="W863" i="24"/>
  <c r="X863" i="24" s="1"/>
  <c r="AD863" i="24" s="1"/>
  <c r="AF863" i="24" s="1"/>
  <c r="AM863" i="24" s="1"/>
  <c r="W922" i="24"/>
  <c r="X922" i="24" s="1"/>
  <c r="AD922" i="24" s="1"/>
  <c r="AF922" i="24" s="1"/>
  <c r="W317" i="24"/>
  <c r="X317" i="24" s="1"/>
  <c r="AD317" i="24" s="1"/>
  <c r="AF317" i="24" s="1"/>
  <c r="AL317" i="24" s="1"/>
  <c r="W733" i="24"/>
  <c r="X733" i="24" s="1"/>
  <c r="AD733" i="24" s="1"/>
  <c r="AF733" i="24" s="1"/>
  <c r="AK733" i="24" s="1"/>
  <c r="W217" i="24"/>
  <c r="X217" i="24" s="1"/>
  <c r="AD217" i="24" s="1"/>
  <c r="AF217" i="24" s="1"/>
  <c r="AL217" i="24" s="1"/>
  <c r="W724" i="24"/>
  <c r="X724" i="24" s="1"/>
  <c r="AD724" i="24" s="1"/>
  <c r="AF724" i="24" s="1"/>
  <c r="AN724" i="24" s="1"/>
  <c r="W884" i="24"/>
  <c r="X884" i="24" s="1"/>
  <c r="AD884" i="24" s="1"/>
  <c r="AF884" i="24" s="1"/>
  <c r="AK884" i="24" s="1"/>
  <c r="W749" i="24"/>
  <c r="X749" i="24" s="1"/>
  <c r="AD749" i="24" s="1"/>
  <c r="AF749" i="24" s="1"/>
  <c r="AP749" i="24" s="1"/>
  <c r="W686" i="24"/>
  <c r="X686" i="24" s="1"/>
  <c r="AD686" i="24" s="1"/>
  <c r="AF686" i="24" s="1"/>
  <c r="W499" i="24"/>
  <c r="X499" i="24" s="1"/>
  <c r="AD499" i="24" s="1"/>
  <c r="AF499" i="24" s="1"/>
  <c r="W586" i="24"/>
  <c r="X586" i="24" s="1"/>
  <c r="AD586" i="24" s="1"/>
  <c r="AF586" i="24" s="1"/>
  <c r="W647" i="24"/>
  <c r="X647" i="24" s="1"/>
  <c r="AD647" i="24" s="1"/>
  <c r="AF647" i="24" s="1"/>
  <c r="AP647" i="24" s="1"/>
  <c r="W339" i="24"/>
  <c r="X339" i="24" s="1"/>
  <c r="AD339" i="24" s="1"/>
  <c r="AF339" i="24" s="1"/>
  <c r="AP339" i="24" s="1"/>
  <c r="W814" i="24"/>
  <c r="X814" i="24" s="1"/>
  <c r="AD814" i="24" s="1"/>
  <c r="AF814" i="24" s="1"/>
  <c r="W652" i="24"/>
  <c r="X652" i="24" s="1"/>
  <c r="AD652" i="24" s="1"/>
  <c r="AF652" i="24" s="1"/>
  <c r="AP652" i="24" s="1"/>
  <c r="W545" i="24"/>
  <c r="X545" i="24" s="1"/>
  <c r="AD545" i="24" s="1"/>
  <c r="AF545" i="24" s="1"/>
  <c r="AP545" i="24" s="1"/>
  <c r="W772" i="24"/>
  <c r="X772" i="24" s="1"/>
  <c r="AD772" i="24" s="1"/>
  <c r="AF772" i="24" s="1"/>
  <c r="AP772" i="24" s="1"/>
  <c r="W840" i="24"/>
  <c r="X840" i="24" s="1"/>
  <c r="AD840" i="24" s="1"/>
  <c r="AF840" i="24" s="1"/>
  <c r="W755" i="24"/>
  <c r="X755" i="24" s="1"/>
  <c r="AD755" i="24" s="1"/>
  <c r="AF755" i="24" s="1"/>
  <c r="W627" i="24"/>
  <c r="X627" i="24" s="1"/>
  <c r="AD627" i="24" s="1"/>
  <c r="AF627" i="24" s="1"/>
  <c r="AP627" i="24" s="1"/>
  <c r="W596" i="24"/>
  <c r="X596" i="24" s="1"/>
  <c r="AD596" i="24" s="1"/>
  <c r="AF596" i="24" s="1"/>
  <c r="W835" i="24"/>
  <c r="X835" i="24" s="1"/>
  <c r="AD835" i="24" s="1"/>
  <c r="AF835" i="24" s="1"/>
  <c r="AP835" i="24" s="1"/>
  <c r="W794" i="24"/>
  <c r="X794" i="24" s="1"/>
  <c r="AD794" i="24" s="1"/>
  <c r="AF794" i="24" s="1"/>
  <c r="W70" i="24"/>
  <c r="X70" i="24" s="1"/>
  <c r="AD70" i="24" s="1"/>
  <c r="AF70" i="24" s="1"/>
  <c r="AP70" i="24" s="1"/>
  <c r="W908" i="24"/>
  <c r="X908" i="24" s="1"/>
  <c r="AD908" i="24" s="1"/>
  <c r="AF908" i="24" s="1"/>
  <c r="W622" i="24"/>
  <c r="X622" i="24" s="1"/>
  <c r="AD622" i="24" s="1"/>
  <c r="AF622" i="24" s="1"/>
  <c r="AP622" i="24" s="1"/>
  <c r="W923" i="24"/>
  <c r="X923" i="24" s="1"/>
  <c r="AD923" i="24" s="1"/>
  <c r="AF923" i="24" s="1"/>
  <c r="AP923" i="24" s="1"/>
  <c r="W781" i="24"/>
  <c r="X781" i="24" s="1"/>
  <c r="AD781" i="24" s="1"/>
  <c r="AF781" i="24" s="1"/>
  <c r="W243" i="24"/>
  <c r="X243" i="24" s="1"/>
  <c r="AD243" i="24" s="1"/>
  <c r="AF243" i="24" s="1"/>
  <c r="W803" i="24"/>
  <c r="X803" i="24" s="1"/>
  <c r="AD803" i="24" s="1"/>
  <c r="AF803" i="24" s="1"/>
  <c r="W430" i="24"/>
  <c r="X430" i="24" s="1"/>
  <c r="AD430" i="24" s="1"/>
  <c r="AF430" i="24" s="1"/>
  <c r="AP430" i="24" s="1"/>
  <c r="W550" i="24"/>
  <c r="X550" i="24" s="1"/>
  <c r="AD550" i="24" s="1"/>
  <c r="AF550" i="24" s="1"/>
  <c r="W798" i="24"/>
  <c r="X798" i="24" s="1"/>
  <c r="AD798" i="24" s="1"/>
  <c r="AF798" i="24" s="1"/>
  <c r="W762" i="24"/>
  <c r="X762" i="24" s="1"/>
  <c r="AD762" i="24" s="1"/>
  <c r="AF762" i="24" s="1"/>
  <c r="AP762" i="24" s="1"/>
  <c r="W483" i="24"/>
  <c r="X483" i="24" s="1"/>
  <c r="AD483" i="24" s="1"/>
  <c r="AF483" i="24" s="1"/>
  <c r="W492" i="24"/>
  <c r="X492" i="24" s="1"/>
  <c r="AD492" i="24" s="1"/>
  <c r="AF492" i="24" s="1"/>
  <c r="W36" i="24"/>
  <c r="X36" i="24" s="1"/>
  <c r="AD36" i="24" s="1"/>
  <c r="AF36" i="24" s="1"/>
  <c r="W881" i="24"/>
  <c r="X881" i="24" s="1"/>
  <c r="AD881" i="24" s="1"/>
  <c r="AF881" i="24" s="1"/>
  <c r="AP881" i="24" s="1"/>
  <c r="W506" i="24"/>
  <c r="X506" i="24" s="1"/>
  <c r="AD506" i="24" s="1"/>
  <c r="AF506" i="24" s="1"/>
  <c r="W233" i="24"/>
  <c r="X233" i="24" s="1"/>
  <c r="AD233" i="24" s="1"/>
  <c r="AF233" i="24" s="1"/>
  <c r="AP233" i="24" s="1"/>
  <c r="W103" i="24"/>
  <c r="X103" i="24" s="1"/>
  <c r="AD103" i="24" s="1"/>
  <c r="AF103" i="24" s="1"/>
  <c r="AP103" i="24" s="1"/>
  <c r="W327" i="24"/>
  <c r="X327" i="24" s="1"/>
  <c r="AD327" i="24" s="1"/>
  <c r="AF327" i="24" s="1"/>
  <c r="AP327" i="24" s="1"/>
  <c r="W776" i="24"/>
  <c r="X776" i="24" s="1"/>
  <c r="AD776" i="24" s="1"/>
  <c r="AF776" i="24" s="1"/>
  <c r="AP776" i="24" s="1"/>
  <c r="W601" i="24"/>
  <c r="X601" i="24" s="1"/>
  <c r="AD601" i="24" s="1"/>
  <c r="AF601" i="24" s="1"/>
  <c r="W885" i="24"/>
  <c r="X885" i="24" s="1"/>
  <c r="AD885" i="24" s="1"/>
  <c r="AF885" i="24" s="1"/>
  <c r="W304" i="24"/>
  <c r="X304" i="24" s="1"/>
  <c r="AD304" i="24" s="1"/>
  <c r="AF304" i="24" s="1"/>
  <c r="W591" i="24"/>
  <c r="X591" i="24" s="1"/>
  <c r="AD591" i="24" s="1"/>
  <c r="AF591" i="24" s="1"/>
  <c r="W46" i="24"/>
  <c r="X46" i="24" s="1"/>
  <c r="AD46" i="24" s="1"/>
  <c r="AF46" i="24" s="1"/>
  <c r="AP46" i="24" s="1"/>
  <c r="W435" i="24"/>
  <c r="X435" i="24" s="1"/>
  <c r="AD435" i="24" s="1"/>
  <c r="AF435" i="24" s="1"/>
  <c r="AP435" i="24" s="1"/>
  <c r="W253" i="24"/>
  <c r="X253" i="24" s="1"/>
  <c r="AD253" i="24" s="1"/>
  <c r="AF253" i="24" s="1"/>
  <c r="W147" i="24"/>
  <c r="X147" i="24" s="1"/>
  <c r="AD147" i="24" s="1"/>
  <c r="AF147" i="24" s="1"/>
  <c r="W258" i="24"/>
  <c r="X258" i="24" s="1"/>
  <c r="AD258" i="24" s="1"/>
  <c r="AF258" i="24" s="1"/>
  <c r="W158" i="24"/>
  <c r="X158" i="24" s="1"/>
  <c r="AD158" i="24" s="1"/>
  <c r="AF158" i="24" s="1"/>
  <c r="AP158" i="24" s="1"/>
  <c r="W711" i="24"/>
  <c r="X711" i="24" s="1"/>
  <c r="AD711" i="24" s="1"/>
  <c r="AF711" i="24" s="1"/>
  <c r="AP711" i="24" s="1"/>
  <c r="W238" i="24"/>
  <c r="X238" i="24" s="1"/>
  <c r="AD238" i="24" s="1"/>
  <c r="AF238" i="24" s="1"/>
  <c r="AP238" i="24" s="1"/>
  <c r="W165" i="24"/>
  <c r="X165" i="24" s="1"/>
  <c r="AD165" i="24" s="1"/>
  <c r="AF165" i="24" s="1"/>
  <c r="AP165" i="24" s="1"/>
  <c r="W538" i="24"/>
  <c r="X538" i="24" s="1"/>
  <c r="AD538" i="24" s="1"/>
  <c r="AF538" i="24" s="1"/>
  <c r="W172" i="24"/>
  <c r="X172" i="24" s="1"/>
  <c r="AD172" i="24" s="1"/>
  <c r="AF172" i="24" s="1"/>
  <c r="AP172" i="24" s="1"/>
  <c r="W903" i="24"/>
  <c r="X903" i="24" s="1"/>
  <c r="AD903" i="24" s="1"/>
  <c r="AF903" i="24" s="1"/>
  <c r="AP903" i="24" s="1"/>
  <c r="W403" i="24"/>
  <c r="X403" i="24" s="1"/>
  <c r="AD403" i="24" s="1"/>
  <c r="AF403" i="24" s="1"/>
  <c r="AP403" i="24" s="1"/>
  <c r="W818" i="24"/>
  <c r="X818" i="24" s="1"/>
  <c r="AD818" i="24" s="1"/>
  <c r="AF818" i="24" s="1"/>
  <c r="W859" i="24"/>
  <c r="X859" i="24" s="1"/>
  <c r="AD859" i="24" s="1"/>
  <c r="AF859" i="24" s="1"/>
  <c r="W528" i="24"/>
  <c r="X528" i="24" s="1"/>
  <c r="AD528" i="24" s="1"/>
  <c r="AF528" i="24" s="1"/>
  <c r="AP528" i="24" s="1"/>
  <c r="W445" i="24"/>
  <c r="X445" i="24" s="1"/>
  <c r="AD445" i="24" s="1"/>
  <c r="AF445" i="24" s="1"/>
  <c r="AP445" i="24" s="1"/>
  <c r="W20" i="24"/>
  <c r="X20" i="24" s="1"/>
  <c r="AD20" i="24" s="1"/>
  <c r="AF20" i="24" s="1"/>
  <c r="AP20" i="24" s="1"/>
  <c r="W191" i="24"/>
  <c r="X191" i="24" s="1"/>
  <c r="AD191" i="24" s="1"/>
  <c r="AF191" i="24" s="1"/>
  <c r="W299" i="24"/>
  <c r="X299" i="24" s="1"/>
  <c r="AD299" i="24" s="1"/>
  <c r="AF299" i="24" s="1"/>
  <c r="AP299" i="24" s="1"/>
  <c r="W688" i="24"/>
  <c r="X688" i="24" s="1"/>
  <c r="AD688" i="24" s="1"/>
  <c r="AF688" i="24" s="1"/>
  <c r="AP688" i="24" s="1"/>
  <c r="W855" i="24"/>
  <c r="X855" i="24" s="1"/>
  <c r="AD855" i="24" s="1"/>
  <c r="AF855" i="24" s="1"/>
  <c r="W730" i="24"/>
  <c r="X730" i="24" s="1"/>
  <c r="AD730" i="24" s="1"/>
  <c r="AF730" i="24" s="1"/>
  <c r="W789" i="24"/>
  <c r="X789" i="24" s="1"/>
  <c r="AD789" i="24" s="1"/>
  <c r="AF789" i="24" s="1"/>
  <c r="W52" i="24"/>
  <c r="X52" i="24" s="1"/>
  <c r="AD52" i="24" s="1"/>
  <c r="AF52" i="24" s="1"/>
  <c r="AP52" i="24" s="1"/>
  <c r="W488" i="24"/>
  <c r="X488" i="24" s="1"/>
  <c r="AD488" i="24" s="1"/>
  <c r="AF488" i="24" s="1"/>
  <c r="W228" i="24"/>
  <c r="X228" i="24" s="1"/>
  <c r="AD228" i="24" s="1"/>
  <c r="AF228" i="24" s="1"/>
  <c r="AP228" i="24" s="1"/>
  <c r="W426" i="24"/>
  <c r="X426" i="24" s="1"/>
  <c r="AD426" i="24" s="1"/>
  <c r="AF426" i="24" s="1"/>
  <c r="W309" i="24"/>
  <c r="X309" i="24" s="1"/>
  <c r="AD309" i="24" s="1"/>
  <c r="AF309" i="24" s="1"/>
  <c r="W408" i="24"/>
  <c r="X408" i="24" s="1"/>
  <c r="AD408" i="24" s="1"/>
  <c r="AF408" i="24" s="1"/>
  <c r="AP408" i="24" s="1"/>
  <c r="W811" i="24"/>
  <c r="X811" i="24" s="1"/>
  <c r="AD811" i="24" s="1"/>
  <c r="AF811" i="24" s="1"/>
  <c r="AP811" i="24" s="1"/>
  <c r="W667" i="24"/>
  <c r="X667" i="24" s="1"/>
  <c r="AD667" i="24" s="1"/>
  <c r="AF667" i="24" s="1"/>
  <c r="W560" i="24"/>
  <c r="X560" i="24" s="1"/>
  <c r="AD560" i="24" s="1"/>
  <c r="AF560" i="24" s="1"/>
  <c r="W581" i="24"/>
  <c r="X581" i="24" s="1"/>
  <c r="AD581" i="24" s="1"/>
  <c r="AF581" i="24" s="1"/>
  <c r="W767" i="24"/>
  <c r="X767" i="24" s="1"/>
  <c r="AD767" i="24" s="1"/>
  <c r="AF767" i="24" s="1"/>
  <c r="AP767" i="24" s="1"/>
  <c r="W140" i="24"/>
  <c r="X140" i="24" s="1"/>
  <c r="AD140" i="24" s="1"/>
  <c r="AF140" i="24" s="1"/>
  <c r="W130" i="24"/>
  <c r="X130" i="24" s="1"/>
  <c r="AD130" i="24" s="1"/>
  <c r="AF130" i="24" s="1"/>
  <c r="AP130" i="24" s="1"/>
  <c r="W135" i="24"/>
  <c r="X135" i="24" s="1"/>
  <c r="AD135" i="24" s="1"/>
  <c r="AF135" i="24" s="1"/>
  <c r="W179" i="24"/>
  <c r="X179" i="24" s="1"/>
  <c r="AD179" i="24" s="1"/>
  <c r="AF179" i="24" s="1"/>
  <c r="AP179" i="24" s="1"/>
  <c r="W657" i="24"/>
  <c r="X657" i="24" s="1"/>
  <c r="AD657" i="24" s="1"/>
  <c r="AF657" i="24" s="1"/>
  <c r="AP657" i="24" s="1"/>
  <c r="W823" i="24"/>
  <c r="X823" i="24" s="1"/>
  <c r="AD823" i="24" s="1"/>
  <c r="AF823" i="24" s="1"/>
  <c r="W693" i="24"/>
  <c r="X693" i="24" s="1"/>
  <c r="AD693" i="24" s="1"/>
  <c r="AF693" i="24" s="1"/>
  <c r="AP693" i="24" s="1"/>
  <c r="W31" i="24"/>
  <c r="X31" i="24" s="1"/>
  <c r="AD31" i="24" s="1"/>
  <c r="AF31" i="24" s="1"/>
  <c r="W513" i="24"/>
  <c r="X513" i="24" s="1"/>
  <c r="AD513" i="24" s="1"/>
  <c r="AF513" i="24" s="1"/>
  <c r="AP513" i="24" s="1"/>
  <c r="W77" i="24"/>
  <c r="X77" i="24" s="1"/>
  <c r="AD77" i="24" s="1"/>
  <c r="AF77" i="24" s="1"/>
  <c r="W421" i="24"/>
  <c r="X421" i="24" s="1"/>
  <c r="AD421" i="24" s="1"/>
  <c r="AF421" i="24" s="1"/>
  <c r="W555" i="24"/>
  <c r="X555" i="24" s="1"/>
  <c r="AD555" i="24" s="1"/>
  <c r="AF555" i="24" s="1"/>
  <c r="W82" i="24"/>
  <c r="X82" i="24" s="1"/>
  <c r="AD82" i="24" s="1"/>
  <c r="AF82" i="24" s="1"/>
  <c r="AP82" i="24" s="1"/>
  <c r="W264" i="24"/>
  <c r="X264" i="24" s="1"/>
  <c r="AD264" i="24" s="1"/>
  <c r="AF264" i="24" s="1"/>
  <c r="W184" i="24"/>
  <c r="X184" i="24" s="1"/>
  <c r="AD184" i="24" s="1"/>
  <c r="AF184" i="24" s="1"/>
  <c r="W440" i="24"/>
  <c r="X440" i="24" s="1"/>
  <c r="AD440" i="24" s="1"/>
  <c r="AF440" i="24" s="1"/>
  <c r="AP440" i="24" s="1"/>
  <c r="W314" i="24"/>
  <c r="X314" i="24" s="1"/>
  <c r="AD314" i="24" s="1"/>
  <c r="AF314" i="24" s="1"/>
  <c r="W13" i="24"/>
  <c r="X13" i="24" s="1"/>
  <c r="AD13" i="24" s="1"/>
  <c r="AF13" i="24" s="1"/>
  <c r="W569" i="24"/>
  <c r="X569" i="24" s="1"/>
  <c r="AD569" i="24" s="1"/>
  <c r="AF569" i="24" s="1"/>
  <c r="W216" i="24"/>
  <c r="X216" i="24" s="1"/>
  <c r="AD216" i="24" s="1"/>
  <c r="AF216" i="24" s="1"/>
  <c r="W344" i="24"/>
  <c r="X344" i="24" s="1"/>
  <c r="AD344" i="24" s="1"/>
  <c r="AF344" i="24" s="1"/>
  <c r="AP344" i="24" s="1"/>
  <c r="W927" i="24"/>
  <c r="X927" i="24" s="1"/>
  <c r="AD927" i="24" s="1"/>
  <c r="AF927" i="24" s="1"/>
  <c r="W248" i="24"/>
  <c r="X248" i="24" s="1"/>
  <c r="AD248" i="24" s="1"/>
  <c r="AF248" i="24" s="1"/>
  <c r="W413" i="24"/>
  <c r="X413" i="24" s="1"/>
  <c r="AD413" i="24" s="1"/>
  <c r="AF413" i="24" s="1"/>
  <c r="AP413" i="24" s="1"/>
  <c r="W186" i="24"/>
  <c r="X186" i="24" s="1"/>
  <c r="AD186" i="24" s="1"/>
  <c r="AF186" i="24" s="1"/>
  <c r="AP200" i="24"/>
  <c r="AP580" i="24"/>
  <c r="AP63" i="24"/>
  <c r="AP590" i="24"/>
  <c r="W255" i="24"/>
  <c r="X255" i="24" s="1"/>
  <c r="AD255" i="24" s="1"/>
  <c r="AF255" i="24" s="1"/>
  <c r="AP255" i="24" s="1"/>
  <c r="W562" i="24"/>
  <c r="X562" i="24" s="1"/>
  <c r="AD562" i="24" s="1"/>
  <c r="AF562" i="24" s="1"/>
  <c r="AP562" i="24" s="1"/>
  <c r="W778" i="24"/>
  <c r="X778" i="24" s="1"/>
  <c r="AD778" i="24" s="1"/>
  <c r="AF778" i="24" s="1"/>
  <c r="W99" i="24"/>
  <c r="X99" i="24" s="1"/>
  <c r="AD99" i="24" s="1"/>
  <c r="AF99" i="24" s="1"/>
  <c r="W54" i="24"/>
  <c r="X54" i="24" s="1"/>
  <c r="AD54" i="24" s="1"/>
  <c r="AF54" i="24" s="1"/>
  <c r="AP54" i="24" s="1"/>
  <c r="W501" i="24"/>
  <c r="X501" i="24" s="1"/>
  <c r="AD501" i="24" s="1"/>
  <c r="AF501" i="24" s="1"/>
  <c r="AP501" i="24" s="1"/>
  <c r="W494" i="24"/>
  <c r="X494" i="24" s="1"/>
  <c r="AD494" i="24" s="1"/>
  <c r="AF494" i="24" s="1"/>
  <c r="W786" i="24"/>
  <c r="X786" i="24" s="1"/>
  <c r="AD786" i="24" s="1"/>
  <c r="AF786" i="24" s="1"/>
  <c r="W485" i="24"/>
  <c r="X485" i="24" s="1"/>
  <c r="AD485" i="24" s="1"/>
  <c r="AF485" i="24" s="1"/>
  <c r="W783" i="24"/>
  <c r="X783" i="24" s="1"/>
  <c r="AD783" i="24" s="1"/>
  <c r="AF783" i="24" s="1"/>
  <c r="AP783" i="24" s="1"/>
  <c r="W489" i="24"/>
  <c r="X489" i="24" s="1"/>
  <c r="AD489" i="24" s="1"/>
  <c r="AF489" i="24" s="1"/>
  <c r="AP489" i="24" s="1"/>
  <c r="W746" i="24"/>
  <c r="X746" i="24" s="1"/>
  <c r="AD746" i="24" s="1"/>
  <c r="AF746" i="24" s="1"/>
  <c r="AP746" i="24" s="1"/>
  <c r="W450" i="24"/>
  <c r="X450" i="24" s="1"/>
  <c r="AD450" i="24" s="1"/>
  <c r="AF450" i="24" s="1"/>
  <c r="W918" i="24"/>
  <c r="X918" i="24" s="1"/>
  <c r="AD918" i="24" s="1"/>
  <c r="AF918" i="24" s="1"/>
  <c r="W674" i="24"/>
  <c r="X674" i="24" s="1"/>
  <c r="AD674" i="24" s="1"/>
  <c r="AF674" i="24" s="1"/>
  <c r="W593" i="24"/>
  <c r="X593" i="24" s="1"/>
  <c r="AD593" i="24" s="1"/>
  <c r="AF593" i="24" s="1"/>
  <c r="W892" i="24"/>
  <c r="X892" i="24" s="1"/>
  <c r="AD892" i="24" s="1"/>
  <c r="AF892" i="24" s="1"/>
  <c r="W26" i="24"/>
  <c r="X26" i="24" s="1"/>
  <c r="AD26" i="24" s="1"/>
  <c r="AF26" i="24" s="1"/>
  <c r="W230" i="24"/>
  <c r="X230" i="24" s="1"/>
  <c r="AD230" i="24" s="1"/>
  <c r="AF230" i="24" s="1"/>
  <c r="AP230" i="24" s="1"/>
  <c r="W177" i="24"/>
  <c r="X177" i="24" s="1"/>
  <c r="AD177" i="24" s="1"/>
  <c r="AF177" i="24" s="1"/>
  <c r="AP177" i="24" s="1"/>
  <c r="W552" i="24"/>
  <c r="X552" i="24" s="1"/>
  <c r="AD552" i="24" s="1"/>
  <c r="AF552" i="24" s="1"/>
  <c r="W96" i="24"/>
  <c r="X96" i="24" s="1"/>
  <c r="AD96" i="24" s="1"/>
  <c r="AF96" i="24" s="1"/>
  <c r="W240" i="24"/>
  <c r="X240" i="24" s="1"/>
  <c r="AD240" i="24" s="1"/>
  <c r="AF240" i="24" s="1"/>
  <c r="W905" i="24"/>
  <c r="X905" i="24" s="1"/>
  <c r="AD905" i="24" s="1"/>
  <c r="AF905" i="24" s="1"/>
  <c r="AP905" i="24" s="1"/>
  <c r="W525" i="24"/>
  <c r="X525" i="24" s="1"/>
  <c r="AD525" i="24" s="1"/>
  <c r="AF525" i="24" s="1"/>
  <c r="AP525" i="24" s="1"/>
  <c r="W816" i="24"/>
  <c r="X816" i="24" s="1"/>
  <c r="AD816" i="24" s="1"/>
  <c r="AF816" i="24" s="1"/>
  <c r="W415" i="24"/>
  <c r="X415" i="24" s="1"/>
  <c r="AD415" i="24" s="1"/>
  <c r="AF415" i="24" s="1"/>
  <c r="AP415" i="24" s="1"/>
  <c r="W820" i="24"/>
  <c r="X820" i="24" s="1"/>
  <c r="AD820" i="24" s="1"/>
  <c r="AF820" i="24" s="1"/>
  <c r="W423" i="24"/>
  <c r="X423" i="24" s="1"/>
  <c r="AD423" i="24" s="1"/>
  <c r="AF423" i="24" s="1"/>
  <c r="W203" i="24"/>
  <c r="X203" i="24" s="1"/>
  <c r="AD203" i="24" s="1"/>
  <c r="AF203" i="24" s="1"/>
  <c r="W48" i="24"/>
  <c r="X48" i="24" s="1"/>
  <c r="AD48" i="24" s="1"/>
  <c r="AF48" i="24" s="1"/>
  <c r="AP48" i="24" s="1"/>
  <c r="W913" i="24"/>
  <c r="X913" i="24" s="1"/>
  <c r="AD913" i="24" s="1"/>
  <c r="AF913" i="24" s="1"/>
  <c r="AP913" i="24" s="1"/>
  <c r="W708" i="24"/>
  <c r="X708" i="24" s="1"/>
  <c r="AD708" i="24" s="1"/>
  <c r="AF708" i="24" s="1"/>
  <c r="AP708" i="24" s="1"/>
  <c r="W260" i="24"/>
  <c r="X260" i="24" s="1"/>
  <c r="AD260" i="24" s="1"/>
  <c r="AF260" i="24" s="1"/>
  <c r="AP260" i="24" s="1"/>
  <c r="W22" i="24"/>
  <c r="X22" i="24" s="1"/>
  <c r="AD22" i="24" s="1"/>
  <c r="AF22" i="24" s="1"/>
  <c r="W496" i="24"/>
  <c r="X496" i="24" s="1"/>
  <c r="AD496" i="24" s="1"/>
  <c r="AF496" i="24" s="1"/>
  <c r="W534" i="24"/>
  <c r="X534" i="24" s="1"/>
  <c r="AD534" i="24" s="1"/>
  <c r="AF534" i="24" s="1"/>
  <c r="AP534" i="24" s="1"/>
  <c r="W383" i="24"/>
  <c r="X383" i="24" s="1"/>
  <c r="AD383" i="24" s="1"/>
  <c r="AF383" i="24" s="1"/>
  <c r="W504" i="24"/>
  <c r="X504" i="24" s="1"/>
  <c r="AD504" i="24" s="1"/>
  <c r="AF504" i="24" s="1"/>
  <c r="W56" i="24"/>
  <c r="X56" i="24" s="1"/>
  <c r="AD56" i="24" s="1"/>
  <c r="AF56" i="24" s="1"/>
  <c r="W598" i="24"/>
  <c r="X598" i="24" s="1"/>
  <c r="AD598" i="24" s="1"/>
  <c r="AF598" i="24" s="1"/>
  <c r="W813" i="24"/>
  <c r="X813" i="24" s="1"/>
  <c r="AD813" i="24" s="1"/>
  <c r="AF813" i="24" s="1"/>
  <c r="AP813" i="24" s="1"/>
  <c r="W418" i="24"/>
  <c r="X418" i="24" s="1"/>
  <c r="AD418" i="24" s="1"/>
  <c r="AF418" i="24" s="1"/>
  <c r="W603" i="24"/>
  <c r="X603" i="24" s="1"/>
  <c r="AD603" i="24" s="1"/>
  <c r="AF603" i="24" s="1"/>
  <c r="W634" i="24"/>
  <c r="X634" i="24" s="1"/>
  <c r="AD634" i="24" s="1"/>
  <c r="AF634" i="24" s="1"/>
  <c r="AP634" i="24" s="1"/>
  <c r="W808" i="24"/>
  <c r="X808" i="24" s="1"/>
  <c r="AD808" i="24" s="1"/>
  <c r="AF808" i="24" s="1"/>
  <c r="AP808" i="24" s="1"/>
  <c r="W899" i="24"/>
  <c r="X899" i="24" s="1"/>
  <c r="AD899" i="24" s="1"/>
  <c r="AF899" i="24" s="1"/>
  <c r="W49" i="24"/>
  <c r="X49" i="24" s="1"/>
  <c r="AD49" i="24" s="1"/>
  <c r="AF49" i="24" s="1"/>
  <c r="AP49" i="24" s="1"/>
  <c r="W142" i="24"/>
  <c r="X142" i="24" s="1"/>
  <c r="AD142" i="24" s="1"/>
  <c r="AF142" i="24" s="1"/>
  <c r="AP142" i="24" s="1"/>
  <c r="W624" i="24"/>
  <c r="X624" i="24" s="1"/>
  <c r="AD624" i="24" s="1"/>
  <c r="AF624" i="24" s="1"/>
  <c r="AP624" i="24" s="1"/>
  <c r="W619" i="24"/>
  <c r="X619" i="24" s="1"/>
  <c r="AD619" i="24" s="1"/>
  <c r="AF619" i="24" s="1"/>
  <c r="AP619" i="24" s="1"/>
  <c r="W410" i="24"/>
  <c r="X410" i="24" s="1"/>
  <c r="AD410" i="24" s="1"/>
  <c r="AF410" i="24" s="1"/>
  <c r="AP410" i="24" s="1"/>
  <c r="W722" i="24"/>
  <c r="X722" i="24" s="1"/>
  <c r="AD722" i="24" s="1"/>
  <c r="AF722" i="24" s="1"/>
  <c r="W639" i="24"/>
  <c r="X639" i="24" s="1"/>
  <c r="AD639" i="24" s="1"/>
  <c r="AF639" i="24" s="1"/>
  <c r="AP639" i="24" s="1"/>
  <c r="W43" i="24"/>
  <c r="X43" i="24" s="1"/>
  <c r="AD43" i="24" s="1"/>
  <c r="AF43" i="24" s="1"/>
  <c r="W741" i="24"/>
  <c r="X741" i="24" s="1"/>
  <c r="AD741" i="24" s="1"/>
  <c r="AF741" i="24" s="1"/>
  <c r="W920" i="24"/>
  <c r="X920" i="24" s="1"/>
  <c r="AD920" i="24" s="1"/>
  <c r="AF920" i="24" s="1"/>
  <c r="AP920" i="24" s="1"/>
  <c r="W757" i="24"/>
  <c r="X757" i="24" s="1"/>
  <c r="AD757" i="24" s="1"/>
  <c r="AF757" i="24" s="1"/>
  <c r="W38" i="24"/>
  <c r="X38" i="24" s="1"/>
  <c r="AD38" i="24" s="1"/>
  <c r="AF38" i="24" s="1"/>
  <c r="AP38" i="24" s="1"/>
  <c r="W542" i="24"/>
  <c r="X542" i="24" s="1"/>
  <c r="AD542" i="24" s="1"/>
  <c r="AF542" i="24" s="1"/>
  <c r="AP542" i="24" s="1"/>
  <c r="W529" i="24"/>
  <c r="X529" i="24" s="1"/>
  <c r="AD529" i="24" s="1"/>
  <c r="AF529" i="24" s="1"/>
  <c r="AP529" i="24" s="1"/>
  <c r="W736" i="24"/>
  <c r="X736" i="24" s="1"/>
  <c r="AD736" i="24" s="1"/>
  <c r="AF736" i="24" s="1"/>
  <c r="W731" i="24"/>
  <c r="X731" i="24" s="1"/>
  <c r="AD731" i="24" s="1"/>
  <c r="AF731" i="24" s="1"/>
  <c r="W567" i="24"/>
  <c r="X567" i="24" s="1"/>
  <c r="AD567" i="24" s="1"/>
  <c r="AF567" i="24" s="1"/>
  <c r="AP567" i="24" s="1"/>
  <c r="W265" i="24"/>
  <c r="X265" i="24" s="1"/>
  <c r="AD265" i="24" s="1"/>
  <c r="AF265" i="24" s="1"/>
  <c r="AP265" i="24" s="1"/>
  <c r="W515" i="24"/>
  <c r="X515" i="24" s="1"/>
  <c r="AD515" i="24" s="1"/>
  <c r="AF515" i="24" s="1"/>
  <c r="AP515" i="24" s="1"/>
  <c r="W193" i="24"/>
  <c r="X193" i="24" s="1"/>
  <c r="AD193" i="24" s="1"/>
  <c r="AF193" i="24" s="1"/>
  <c r="W588" i="24"/>
  <c r="X588" i="24" s="1"/>
  <c r="AD588" i="24" s="1"/>
  <c r="AF588" i="24" s="1"/>
  <c r="W703" i="24"/>
  <c r="X703" i="24" s="1"/>
  <c r="AD703" i="24" s="1"/>
  <c r="AF703" i="24" s="1"/>
  <c r="W28" i="24"/>
  <c r="X28" i="24" s="1"/>
  <c r="AD28" i="24" s="1"/>
  <c r="AF28" i="24" s="1"/>
  <c r="W181" i="24"/>
  <c r="X181" i="24" s="1"/>
  <c r="AD181" i="24" s="1"/>
  <c r="AF181" i="24" s="1"/>
  <c r="AP181" i="24" s="1"/>
  <c r="W520" i="24"/>
  <c r="X520" i="24" s="1"/>
  <c r="AD520" i="24" s="1"/>
  <c r="AF520" i="24" s="1"/>
  <c r="W329" i="24"/>
  <c r="X329" i="24" s="1"/>
  <c r="AD329" i="24" s="1"/>
  <c r="AF329" i="24" s="1"/>
  <c r="W245" i="24"/>
  <c r="X245" i="24" s="1"/>
  <c r="AD245" i="24" s="1"/>
  <c r="AF245" i="24" s="1"/>
  <c r="AP245" i="24" s="1"/>
  <c r="W608" i="24"/>
  <c r="X608" i="24" s="1"/>
  <c r="AD608" i="24" s="1"/>
  <c r="AF608" i="24" s="1"/>
  <c r="W225" i="24"/>
  <c r="X225" i="24" s="1"/>
  <c r="AD225" i="24" s="1"/>
  <c r="AF225" i="24" s="1"/>
  <c r="W644" i="24"/>
  <c r="X644" i="24" s="1"/>
  <c r="AD644" i="24" s="1"/>
  <c r="AF644" i="24" s="1"/>
  <c r="AP644" i="24" s="1"/>
  <c r="W405" i="24"/>
  <c r="X405" i="24" s="1"/>
  <c r="AD405" i="24" s="1"/>
  <c r="AF405" i="24" s="1"/>
  <c r="AP405" i="24" s="1"/>
  <c r="W928" i="24"/>
  <c r="X928" i="24" s="1"/>
  <c r="AD928" i="24" s="1"/>
  <c r="AF928" i="24" s="1"/>
  <c r="W250" i="24"/>
  <c r="X250" i="24" s="1"/>
  <c r="AD250" i="24" s="1"/>
  <c r="AF250" i="24" s="1"/>
  <c r="AP250" i="24" s="1"/>
  <c r="W791" i="24"/>
  <c r="X791" i="24" s="1"/>
  <c r="AD791" i="24" s="1"/>
  <c r="AF791" i="24" s="1"/>
  <c r="W886" i="24"/>
  <c r="X886" i="24" s="1"/>
  <c r="AD886" i="24" s="1"/>
  <c r="AF886" i="24" s="1"/>
  <c r="AP886" i="24" s="1"/>
  <c r="W878" i="24"/>
  <c r="X878" i="24" s="1"/>
  <c r="AD878" i="24" s="1"/>
  <c r="AF878" i="24" s="1"/>
  <c r="AP878" i="24" s="1"/>
  <c r="W695" i="24"/>
  <c r="X695" i="24" s="1"/>
  <c r="AD695" i="24" s="1"/>
  <c r="AF695" i="24" s="1"/>
  <c r="W270" i="24"/>
  <c r="X270" i="24" s="1"/>
  <c r="AD270" i="24" s="1"/>
  <c r="AF270" i="24" s="1"/>
  <c r="W311" i="24"/>
  <c r="X311" i="24" s="1"/>
  <c r="AD311" i="24" s="1"/>
  <c r="AF311" i="24" s="1"/>
  <c r="W557" i="24"/>
  <c r="X557" i="24" s="1"/>
  <c r="AD557" i="24" s="1"/>
  <c r="AF557" i="24" s="1"/>
  <c r="W547" i="24"/>
  <c r="X547" i="24" s="1"/>
  <c r="AD547" i="24" s="1"/>
  <c r="AF547" i="24" s="1"/>
  <c r="W89" i="24"/>
  <c r="X89" i="24" s="1"/>
  <c r="AD89" i="24" s="1"/>
  <c r="AF89" i="24" s="1"/>
  <c r="W160" i="24"/>
  <c r="X160" i="24" s="1"/>
  <c r="AD160" i="24" s="1"/>
  <c r="AF160" i="24" s="1"/>
  <c r="AP160" i="24" s="1"/>
  <c r="W689" i="24"/>
  <c r="X689" i="24" s="1"/>
  <c r="AD689" i="24" s="1"/>
  <c r="AF689" i="24" s="1"/>
  <c r="W198" i="24"/>
  <c r="X198" i="24" s="1"/>
  <c r="AD198" i="24" s="1"/>
  <c r="AF198" i="24" s="1"/>
  <c r="W79" i="24"/>
  <c r="X79" i="24" s="1"/>
  <c r="AD79" i="24" s="1"/>
  <c r="AF79" i="24" s="1"/>
  <c r="W301" i="24"/>
  <c r="X301" i="24" s="1"/>
  <c r="AD301" i="24" s="1"/>
  <c r="AF301" i="24" s="1"/>
  <c r="AP301" i="24" s="1"/>
  <c r="W664" i="24"/>
  <c r="X664" i="24" s="1"/>
  <c r="AD664" i="24" s="1"/>
  <c r="AF664" i="24" s="1"/>
  <c r="AP664" i="24" s="1"/>
  <c r="W649" i="24"/>
  <c r="X649" i="24" s="1"/>
  <c r="AD649" i="24" s="1"/>
  <c r="AF649" i="24" s="1"/>
  <c r="W306" i="24"/>
  <c r="X306" i="24" s="1"/>
  <c r="AD306" i="24" s="1"/>
  <c r="AF306" i="24" s="1"/>
  <c r="AP306" i="24" s="1"/>
  <c r="W167" i="24"/>
  <c r="X167" i="24" s="1"/>
  <c r="AD167" i="24" s="1"/>
  <c r="AF167" i="24" s="1"/>
  <c r="AP167" i="24" s="1"/>
  <c r="W127" i="24"/>
  <c r="X127" i="24" s="1"/>
  <c r="AD127" i="24" s="1"/>
  <c r="AF127" i="24" s="1"/>
  <c r="W17" i="24"/>
  <c r="X17" i="24" s="1"/>
  <c r="AD17" i="24" s="1"/>
  <c r="AF17" i="24" s="1"/>
  <c r="AP17" i="24" s="1"/>
  <c r="W137" i="24"/>
  <c r="X137" i="24" s="1"/>
  <c r="AD137" i="24" s="1"/>
  <c r="AF137" i="24" s="1"/>
  <c r="AP137" i="24" s="1"/>
  <c r="W698" i="24"/>
  <c r="X698" i="24" s="1"/>
  <c r="AD698" i="24" s="1"/>
  <c r="AF698" i="24" s="1"/>
  <c r="W84" i="24"/>
  <c r="X84" i="24" s="1"/>
  <c r="AD84" i="24" s="1"/>
  <c r="AF84" i="24" s="1"/>
  <c r="AP84" i="24" s="1"/>
  <c r="W324" i="24"/>
  <c r="X324" i="24" s="1"/>
  <c r="AD324" i="24" s="1"/>
  <c r="AF324" i="24" s="1"/>
  <c r="AP324" i="24" s="1"/>
  <c r="W275" i="24"/>
  <c r="X275" i="24" s="1"/>
  <c r="AD275" i="24" s="1"/>
  <c r="AF275" i="24" s="1"/>
  <c r="AP275" i="24" s="1"/>
  <c r="W24" i="24"/>
  <c r="X24" i="24" s="1"/>
  <c r="AD24" i="24" s="1"/>
  <c r="AF24" i="24" s="1"/>
  <c r="W132" i="24"/>
  <c r="X132" i="24" s="1"/>
  <c r="AD132" i="24" s="1"/>
  <c r="AF132" i="24" s="1"/>
  <c r="AP132" i="24" s="1"/>
  <c r="W105" i="24"/>
  <c r="X105" i="24" s="1"/>
  <c r="AD105" i="24" s="1"/>
  <c r="AF105" i="24" s="1"/>
  <c r="AP105" i="24" s="1"/>
  <c r="W235" i="24"/>
  <c r="X235" i="24" s="1"/>
  <c r="AD235" i="24" s="1"/>
  <c r="AF235" i="24" s="1"/>
  <c r="AP235" i="24" s="1"/>
  <c r="W16" i="24"/>
  <c r="X16" i="24" s="1"/>
  <c r="AD16" i="24" s="1"/>
  <c r="AF16" i="24" s="1"/>
  <c r="W351" i="24"/>
  <c r="X351" i="24" s="1"/>
  <c r="AD351" i="24" s="1"/>
  <c r="AF351" i="24" s="1"/>
  <c r="AP351" i="24" s="1"/>
  <c r="W629" i="24"/>
  <c r="X629" i="24" s="1"/>
  <c r="AD629" i="24" s="1"/>
  <c r="AF629" i="24" s="1"/>
  <c r="AP629" i="24" s="1"/>
  <c r="W10" i="24"/>
  <c r="X10" i="24" s="1"/>
  <c r="AD10" i="24" s="1"/>
  <c r="AF10" i="24" s="1"/>
  <c r="AP10" i="24" s="1"/>
  <c r="W713" i="24"/>
  <c r="X713" i="24" s="1"/>
  <c r="AD713" i="24" s="1"/>
  <c r="AF713" i="24" s="1"/>
  <c r="AP713" i="24" s="1"/>
  <c r="W861" i="24"/>
  <c r="X861" i="24" s="1"/>
  <c r="AD861" i="24" s="1"/>
  <c r="AF861" i="24" s="1"/>
  <c r="W341" i="24"/>
  <c r="X341" i="24" s="1"/>
  <c r="AD341" i="24" s="1"/>
  <c r="AF341" i="24" s="1"/>
  <c r="AP341" i="24" s="1"/>
  <c r="W150" i="24"/>
  <c r="X150" i="24" s="1"/>
  <c r="AD150" i="24" s="1"/>
  <c r="AF150" i="24" s="1"/>
  <c r="AP150" i="24" s="1"/>
  <c r="W7" i="24"/>
  <c r="X7" i="24" s="1"/>
  <c r="AD7" i="24" s="1"/>
  <c r="AP213" i="24"/>
  <c r="I13" i="28"/>
  <c r="AP807" i="24"/>
  <c r="AP758" i="24"/>
  <c r="W921" i="24"/>
  <c r="X921" i="24" s="1"/>
  <c r="AD921" i="24" s="1"/>
  <c r="AF921" i="24" s="1"/>
  <c r="AP921" i="24" s="1"/>
  <c r="W151" i="24"/>
  <c r="X151" i="24" s="1"/>
  <c r="AD151" i="24" s="1"/>
  <c r="AF151" i="24" s="1"/>
  <c r="AP151" i="24" s="1"/>
  <c r="W869" i="24"/>
  <c r="X869" i="24" s="1"/>
  <c r="AD869" i="24" s="1"/>
  <c r="AF869" i="24" s="1"/>
  <c r="AP869" i="24" s="1"/>
  <c r="W55" i="24"/>
  <c r="X55" i="24" s="1"/>
  <c r="AD55" i="24" s="1"/>
  <c r="AF55" i="24" s="1"/>
  <c r="AP55" i="24" s="1"/>
  <c r="W630" i="24"/>
  <c r="X630" i="24" s="1"/>
  <c r="AD630" i="24" s="1"/>
  <c r="AF630" i="24" s="1"/>
  <c r="AP630" i="24" s="1"/>
  <c r="W508" i="24"/>
  <c r="X508" i="24" s="1"/>
  <c r="AD508" i="24" s="1"/>
  <c r="AF508" i="24" s="1"/>
  <c r="W490" i="24"/>
  <c r="X490" i="24" s="1"/>
  <c r="AD490" i="24" s="1"/>
  <c r="AF490" i="24" s="1"/>
  <c r="AP490" i="24" s="1"/>
  <c r="W297" i="24"/>
  <c r="X297" i="24" s="1"/>
  <c r="AD297" i="24" s="1"/>
  <c r="AF297" i="24" s="1"/>
  <c r="AP297" i="24" s="1"/>
  <c r="W796" i="24"/>
  <c r="X796" i="24" s="1"/>
  <c r="AD796" i="24" s="1"/>
  <c r="AF796" i="24" s="1"/>
  <c r="W821" i="24"/>
  <c r="X821" i="24" s="1"/>
  <c r="AD821" i="24" s="1"/>
  <c r="AF821" i="24" s="1"/>
  <c r="W416" i="24"/>
  <c r="X416" i="24" s="1"/>
  <c r="AD416" i="24" s="1"/>
  <c r="AF416" i="24" s="1"/>
  <c r="AP416" i="24" s="1"/>
  <c r="W182" i="24"/>
  <c r="X182" i="24" s="1"/>
  <c r="AD182" i="24" s="1"/>
  <c r="AF182" i="24" s="1"/>
  <c r="W801" i="24"/>
  <c r="X801" i="24" s="1"/>
  <c r="AD801" i="24" s="1"/>
  <c r="AF801" i="24" s="1"/>
  <c r="W809" i="24"/>
  <c r="X809" i="24" s="1"/>
  <c r="AD809" i="24" s="1"/>
  <c r="AF809" i="24" s="1"/>
  <c r="AP809" i="24" s="1"/>
  <c r="W537" i="24"/>
  <c r="X537" i="24" s="1"/>
  <c r="AD537" i="24" s="1"/>
  <c r="AF537" i="24" s="1"/>
  <c r="W709" i="24"/>
  <c r="X709" i="24" s="1"/>
  <c r="AD709" i="24" s="1"/>
  <c r="AF709" i="24" s="1"/>
  <c r="AP709" i="24" s="1"/>
  <c r="W715" i="24"/>
  <c r="X715" i="24" s="1"/>
  <c r="AD715" i="24" s="1"/>
  <c r="AF715" i="24" s="1"/>
  <c r="W765" i="24"/>
  <c r="X765" i="24" s="1"/>
  <c r="AD765" i="24" s="1"/>
  <c r="AF765" i="24" s="1"/>
  <c r="AP765" i="24" s="1"/>
  <c r="W323" i="24"/>
  <c r="X323" i="24" s="1"/>
  <c r="AD323" i="24" s="1"/>
  <c r="AF323" i="24" s="1"/>
  <c r="W760" i="24"/>
  <c r="X760" i="24" s="1"/>
  <c r="AD760" i="24" s="1"/>
  <c r="AF760" i="24" s="1"/>
  <c r="W521" i="24"/>
  <c r="X521" i="24" s="1"/>
  <c r="AD521" i="24" s="1"/>
  <c r="AF521" i="24" s="1"/>
  <c r="AP521" i="24" s="1"/>
  <c r="W645" i="24"/>
  <c r="X645" i="24" s="1"/>
  <c r="AD645" i="24" s="1"/>
  <c r="AF645" i="24" s="1"/>
  <c r="AP645" i="24" s="1"/>
  <c r="W609" i="24"/>
  <c r="X609" i="24" s="1"/>
  <c r="AD609" i="24" s="1"/>
  <c r="AF609" i="24" s="1"/>
  <c r="W779" i="24"/>
  <c r="X779" i="24" s="1"/>
  <c r="AD779" i="24" s="1"/>
  <c r="AF779" i="24" s="1"/>
  <c r="W325" i="24"/>
  <c r="X325" i="24" s="1"/>
  <c r="AD325" i="24" s="1"/>
  <c r="AF325" i="24" s="1"/>
  <c r="W236" i="24"/>
  <c r="X236" i="24" s="1"/>
  <c r="AD236" i="24" s="1"/>
  <c r="AF236" i="24" s="1"/>
  <c r="AP236" i="24" s="1"/>
  <c r="W337" i="24"/>
  <c r="X337" i="24" s="1"/>
  <c r="AD337" i="24" s="1"/>
  <c r="AF337" i="24" s="1"/>
  <c r="AP337" i="24" s="1"/>
  <c r="W898" i="24"/>
  <c r="X898" i="24" s="1"/>
  <c r="AD898" i="24" s="1"/>
  <c r="AF898" i="24" s="1"/>
  <c r="W27" i="24"/>
  <c r="X27" i="24" s="1"/>
  <c r="AD27" i="24" s="1"/>
  <c r="AF27" i="24" s="1"/>
  <c r="W44" i="24"/>
  <c r="X44" i="24" s="1"/>
  <c r="AD44" i="24" s="1"/>
  <c r="AF44" i="24" s="1"/>
  <c r="AP44" i="24" s="1"/>
  <c r="W128" i="24"/>
  <c r="X128" i="24" s="1"/>
  <c r="AD128" i="24" s="1"/>
  <c r="AF128" i="24" s="1"/>
  <c r="AP128" i="24" s="1"/>
  <c r="W433" i="24"/>
  <c r="X433" i="24" s="1"/>
  <c r="AD433" i="24" s="1"/>
  <c r="AF433" i="24" s="1"/>
  <c r="AP433" i="24" s="1"/>
  <c r="W379" i="24"/>
  <c r="X379" i="24" s="1"/>
  <c r="AD379" i="24" s="1"/>
  <c r="AF379" i="24" s="1"/>
  <c r="AP379" i="24" s="1"/>
  <c r="W770" i="24"/>
  <c r="X770" i="24" s="1"/>
  <c r="AD770" i="24" s="1"/>
  <c r="AF770" i="24" s="1"/>
  <c r="W101" i="24"/>
  <c r="X101" i="24" s="1"/>
  <c r="AD101" i="24" s="1"/>
  <c r="AF101" i="24" s="1"/>
  <c r="AP101" i="24" s="1"/>
  <c r="W911" i="24"/>
  <c r="X911" i="24" s="1"/>
  <c r="AD911" i="24" s="1"/>
  <c r="AF911" i="24" s="1"/>
  <c r="W39" i="24"/>
  <c r="X39" i="24" s="1"/>
  <c r="AD39" i="24" s="1"/>
  <c r="AF39" i="24" s="1"/>
  <c r="W543" i="24"/>
  <c r="X543" i="24" s="1"/>
  <c r="AD543" i="24" s="1"/>
  <c r="AF543" i="24" s="1"/>
  <c r="AP543" i="24" s="1"/>
  <c r="W873" i="24"/>
  <c r="X873" i="24" s="1"/>
  <c r="AD873" i="24" s="1"/>
  <c r="AF873" i="24" s="1"/>
  <c r="W720" i="24"/>
  <c r="X720" i="24" s="1"/>
  <c r="AD720" i="24" s="1"/>
  <c r="AF720" i="24" s="1"/>
  <c r="AP720" i="24" s="1"/>
  <c r="W853" i="24"/>
  <c r="X853" i="24" s="1"/>
  <c r="AD853" i="24" s="1"/>
  <c r="AF853" i="24" s="1"/>
  <c r="W319" i="24"/>
  <c r="X319" i="24" s="1"/>
  <c r="AD319" i="24" s="1"/>
  <c r="AF319" i="24" s="1"/>
  <c r="W241" i="24"/>
  <c r="X241" i="24" s="1"/>
  <c r="AD241" i="24" s="1"/>
  <c r="AF241" i="24" s="1"/>
  <c r="W925" i="24"/>
  <c r="X925" i="24" s="1"/>
  <c r="AD925" i="24" s="1"/>
  <c r="AF925" i="24" s="1"/>
  <c r="AP925" i="24" s="1"/>
  <c r="W625" i="24"/>
  <c r="X625" i="24" s="1"/>
  <c r="AD625" i="24" s="1"/>
  <c r="AF625" i="24" s="1"/>
  <c r="AP625" i="24" s="1"/>
  <c r="W307" i="24"/>
  <c r="X307" i="24" s="1"/>
  <c r="AD307" i="24" s="1"/>
  <c r="AF307" i="24" s="1"/>
  <c r="W806" i="24"/>
  <c r="X806" i="24" s="1"/>
  <c r="AD806" i="24" s="1"/>
  <c r="AF806" i="24" s="1"/>
  <c r="W704" i="24"/>
  <c r="X704" i="24" s="1"/>
  <c r="AD704" i="24" s="1"/>
  <c r="AF704" i="24" s="1"/>
  <c r="W857" i="24"/>
  <c r="X857" i="24" s="1"/>
  <c r="AD857" i="24" s="1"/>
  <c r="AF857" i="24" s="1"/>
  <c r="W189" i="24"/>
  <c r="X189" i="24" s="1"/>
  <c r="AD189" i="24" s="1"/>
  <c r="AF189" i="24" s="1"/>
  <c r="W848" i="24"/>
  <c r="X848" i="24" s="1"/>
  <c r="AD848" i="24" s="1"/>
  <c r="AF848" i="24" s="1"/>
  <c r="W161" i="24"/>
  <c r="X161" i="24" s="1"/>
  <c r="AD161" i="24" s="1"/>
  <c r="AF161" i="24" s="1"/>
  <c r="AP161" i="24" s="1"/>
  <c r="W23" i="24"/>
  <c r="X23" i="24" s="1"/>
  <c r="AD23" i="24" s="1"/>
  <c r="AF23" i="24" s="1"/>
  <c r="W106" i="24"/>
  <c r="X106" i="24" s="1"/>
  <c r="AD106" i="24" s="1"/>
  <c r="AF106" i="24" s="1"/>
  <c r="AP106" i="24" s="1"/>
  <c r="W8" i="24"/>
  <c r="X8" i="24" s="1"/>
  <c r="AD8" i="24" s="1"/>
  <c r="AF8" i="24" s="1"/>
  <c r="AP8" i="24" s="1"/>
  <c r="W302" i="24"/>
  <c r="X302" i="24" s="1"/>
  <c r="AD302" i="24" s="1"/>
  <c r="AF302" i="24" s="1"/>
  <c r="AP302" i="24" s="1"/>
  <c r="W879" i="24"/>
  <c r="X879" i="24" s="1"/>
  <c r="AD879" i="24" s="1"/>
  <c r="AF879" i="24" s="1"/>
  <c r="AP879" i="24" s="1"/>
  <c r="W932" i="24"/>
  <c r="X932" i="24" s="1"/>
  <c r="AD932" i="24" s="1"/>
  <c r="AF932" i="24" s="1"/>
  <c r="W728" i="24"/>
  <c r="X728" i="24" s="1"/>
  <c r="AD728" i="24" s="1"/>
  <c r="AF728" i="24" s="1"/>
  <c r="W699" i="24"/>
  <c r="X699" i="24" s="1"/>
  <c r="AD699" i="24" s="1"/>
  <c r="AF699" i="24" s="1"/>
  <c r="AP699" i="24" s="1"/>
  <c r="W843" i="24"/>
  <c r="X843" i="24" s="1"/>
  <c r="AD843" i="24" s="1"/>
  <c r="AF843" i="24" s="1"/>
  <c r="W516" i="24"/>
  <c r="X516" i="24" s="1"/>
  <c r="AD516" i="24" s="1"/>
  <c r="AF516" i="24" s="1"/>
  <c r="AP516" i="24" s="1"/>
  <c r="W29" i="24"/>
  <c r="X29" i="24" s="1"/>
  <c r="AD29" i="24" s="1"/>
  <c r="AF29" i="24" s="1"/>
  <c r="W97" i="24"/>
  <c r="X97" i="24" s="1"/>
  <c r="AD97" i="24" s="1"/>
  <c r="AF97" i="24" s="1"/>
  <c r="W893" i="24"/>
  <c r="X893" i="24" s="1"/>
  <c r="AD893" i="24" s="1"/>
  <c r="AF893" i="24" s="1"/>
  <c r="W261" i="24"/>
  <c r="X261" i="24" s="1"/>
  <c r="AD261" i="24" s="1"/>
  <c r="AF261" i="24" s="1"/>
  <c r="AP261" i="24" s="1"/>
  <c r="W90" i="24"/>
  <c r="X90" i="24" s="1"/>
  <c r="AD90" i="24" s="1"/>
  <c r="AF90" i="24" s="1"/>
  <c r="W589" i="24"/>
  <c r="X589" i="24" s="1"/>
  <c r="AD589" i="24" s="1"/>
  <c r="AF589" i="24" s="1"/>
  <c r="W406" i="24"/>
  <c r="X406" i="24" s="1"/>
  <c r="AD406" i="24" s="1"/>
  <c r="AF406" i="24" s="1"/>
  <c r="AP406" i="24" s="1"/>
  <c r="W526" i="24"/>
  <c r="X526" i="24" s="1"/>
  <c r="AD526" i="24" s="1"/>
  <c r="AF526" i="24" s="1"/>
  <c r="AP526" i="24" s="1"/>
  <c r="W455" i="24"/>
  <c r="X455" i="24" s="1"/>
  <c r="AD455" i="24" s="1"/>
  <c r="AF455" i="24" s="1"/>
  <c r="W271" i="24"/>
  <c r="X271" i="24" s="1"/>
  <c r="AD271" i="24" s="1"/>
  <c r="AF271" i="24" s="1"/>
  <c r="W604" i="24"/>
  <c r="X604" i="24" s="1"/>
  <c r="AD604" i="24" s="1"/>
  <c r="AF604" i="24" s="1"/>
  <c r="W563" i="24"/>
  <c r="X563" i="24" s="1"/>
  <c r="AD563" i="24" s="1"/>
  <c r="AF563" i="24" s="1"/>
  <c r="AP563" i="24" s="1"/>
  <c r="W463" i="24"/>
  <c r="X463" i="24" s="1"/>
  <c r="AD463" i="24" s="1"/>
  <c r="AF463" i="24" s="1"/>
  <c r="AP463" i="24" s="1"/>
  <c r="W458" i="24"/>
  <c r="X458" i="24" s="1"/>
  <c r="AD458" i="24" s="1"/>
  <c r="AF458" i="24" s="1"/>
  <c r="AP458" i="24" s="1"/>
  <c r="W80" i="24"/>
  <c r="X80" i="24" s="1"/>
  <c r="AD80" i="24" s="1"/>
  <c r="AF80" i="24" s="1"/>
  <c r="W887" i="24"/>
  <c r="X887" i="24" s="1"/>
  <c r="AD887" i="24" s="1"/>
  <c r="AF887" i="24" s="1"/>
  <c r="W614" i="24"/>
  <c r="X614" i="24" s="1"/>
  <c r="AD614" i="24" s="1"/>
  <c r="AF614" i="24" s="1"/>
  <c r="W276" i="24"/>
  <c r="X276" i="24" s="1"/>
  <c r="AD276" i="24" s="1"/>
  <c r="AF276" i="24" s="1"/>
  <c r="AP276" i="24" s="1"/>
  <c r="W784" i="24"/>
  <c r="X784" i="24" s="1"/>
  <c r="AD784" i="24" s="1"/>
  <c r="AF784" i="24" s="1"/>
  <c r="AP784" i="24" s="1"/>
  <c r="W133" i="24"/>
  <c r="X133" i="24" s="1"/>
  <c r="AD133" i="24" s="1"/>
  <c r="AF133" i="24" s="1"/>
  <c r="W901" i="24"/>
  <c r="X901" i="24" s="1"/>
  <c r="AD901" i="24" s="1"/>
  <c r="AF901" i="24" s="1"/>
  <c r="W342" i="24"/>
  <c r="X342" i="24" s="1"/>
  <c r="AD342" i="24" s="1"/>
  <c r="AF342" i="24" s="1"/>
  <c r="AP342" i="24" s="1"/>
  <c r="W825" i="24"/>
  <c r="X825" i="24" s="1"/>
  <c r="AD825" i="24" s="1"/>
  <c r="AF825" i="24" s="1"/>
  <c r="W670" i="24"/>
  <c r="X670" i="24" s="1"/>
  <c r="AD670" i="24" s="1"/>
  <c r="AF670" i="24" s="1"/>
  <c r="AP670" i="24" s="1"/>
  <c r="W156" i="24"/>
  <c r="X156" i="24" s="1"/>
  <c r="AD156" i="24" s="1"/>
  <c r="AF156" i="24" s="1"/>
  <c r="AP156" i="24" s="1"/>
  <c r="W774" i="24"/>
  <c r="X774" i="24" s="1"/>
  <c r="AD774" i="24" s="1"/>
  <c r="AF774" i="24" s="1"/>
  <c r="AP774" i="24" s="1"/>
  <c r="W599" i="24"/>
  <c r="X599" i="24" s="1"/>
  <c r="AD599" i="24" s="1"/>
  <c r="AF599" i="24" s="1"/>
  <c r="W448" i="24"/>
  <c r="X448" i="24" s="1"/>
  <c r="AD448" i="24" s="1"/>
  <c r="AF448" i="24" s="1"/>
  <c r="AP448" i="24" s="1"/>
  <c r="W883" i="24"/>
  <c r="X883" i="24" s="1"/>
  <c r="AD883" i="24" s="1"/>
  <c r="AF883" i="24" s="1"/>
  <c r="W67" i="24"/>
  <c r="X67" i="24" s="1"/>
  <c r="AD67" i="24" s="1"/>
  <c r="AF67" i="24" s="1"/>
  <c r="W584" i="24"/>
  <c r="X584" i="24" s="1"/>
  <c r="AD584" i="24" s="1"/>
  <c r="AF584" i="24" s="1"/>
  <c r="W635" i="24"/>
  <c r="X635" i="24" s="1"/>
  <c r="AD635" i="24" s="1"/>
  <c r="AF635" i="24" s="1"/>
  <c r="AP635" i="24" s="1"/>
  <c r="W906" i="24"/>
  <c r="X906" i="24" s="1"/>
  <c r="AD906" i="24" s="1"/>
  <c r="AF906" i="24" s="1"/>
  <c r="AP906" i="24" s="1"/>
  <c r="W312" i="24"/>
  <c r="X312" i="24" s="1"/>
  <c r="AD312" i="24" s="1"/>
  <c r="AF312" i="24" s="1"/>
  <c r="AP312" i="24" s="1"/>
  <c r="W428" i="24"/>
  <c r="X428" i="24" s="1"/>
  <c r="AD428" i="24" s="1"/>
  <c r="AF428" i="24" s="1"/>
  <c r="AP428" i="24" s="1"/>
  <c r="W316" i="24"/>
  <c r="X316" i="24" s="1"/>
  <c r="AD316" i="24" s="1"/>
  <c r="AF316" i="24" s="1"/>
  <c r="W75" i="24"/>
  <c r="X75" i="24" s="1"/>
  <c r="AD75" i="24" s="1"/>
  <c r="AF75" i="24" s="1"/>
  <c r="W752" i="24"/>
  <c r="X752" i="24" s="1"/>
  <c r="AD752" i="24" s="1"/>
  <c r="AF752" i="24" s="1"/>
  <c r="W85" i="24"/>
  <c r="X85" i="24" s="1"/>
  <c r="AD85" i="24" s="1"/>
  <c r="AF85" i="24" s="1"/>
  <c r="W266" i="24"/>
  <c r="X266" i="24" s="1"/>
  <c r="AD266" i="24" s="1"/>
  <c r="AF266" i="24" s="1"/>
  <c r="W830" i="24"/>
  <c r="X830" i="24" s="1"/>
  <c r="AD830" i="24" s="1"/>
  <c r="AF830" i="24" s="1"/>
  <c r="AP830" i="24" s="1"/>
  <c r="W194" i="24"/>
  <c r="X194" i="24" s="1"/>
  <c r="AD194" i="24" s="1"/>
  <c r="AF194" i="24" s="1"/>
  <c r="W199" i="24"/>
  <c r="X199" i="24" s="1"/>
  <c r="AD199" i="24" s="1"/>
  <c r="AF199" i="24" s="1"/>
  <c r="W330" i="24"/>
  <c r="X330" i="24" s="1"/>
  <c r="AD330" i="24" s="1"/>
  <c r="AF330" i="24" s="1"/>
  <c r="W640" i="24"/>
  <c r="X640" i="24" s="1"/>
  <c r="AD640" i="24" s="1"/>
  <c r="AF640" i="24" s="1"/>
  <c r="AP640" i="24" s="1"/>
  <c r="W511" i="24"/>
  <c r="X511" i="24" s="1"/>
  <c r="AD511" i="24" s="1"/>
  <c r="AF511" i="24" s="1"/>
  <c r="W11" i="24"/>
  <c r="X11" i="24" s="1"/>
  <c r="AD11" i="24" s="1"/>
  <c r="AF11" i="24" s="1"/>
  <c r="AP11" i="24" s="1"/>
  <c r="W401" i="24"/>
  <c r="X401" i="24" s="1"/>
  <c r="AD401" i="24" s="1"/>
  <c r="AF401" i="24" s="1"/>
  <c r="AP401" i="24" s="1"/>
  <c r="W747" i="24"/>
  <c r="X747" i="24" s="1"/>
  <c r="AD747" i="24" s="1"/>
  <c r="AF747" i="24" s="1"/>
  <c r="AP747" i="24" s="1"/>
  <c r="W443" i="24"/>
  <c r="X443" i="24" s="1"/>
  <c r="AD443" i="24" s="1"/>
  <c r="AF443" i="24" s="1"/>
  <c r="AP443" i="24" s="1"/>
  <c r="W838" i="24"/>
  <c r="X838" i="24" s="1"/>
  <c r="AD838" i="24" s="1"/>
  <c r="AF838" i="24" s="1"/>
  <c r="W411" i="24"/>
  <c r="X411" i="24" s="1"/>
  <c r="AD411" i="24" s="1"/>
  <c r="AF411" i="24" s="1"/>
  <c r="AP411" i="24" s="1"/>
  <c r="W650" i="24"/>
  <c r="X650" i="24" s="1"/>
  <c r="AD650" i="24" s="1"/>
  <c r="AF650" i="24" s="1"/>
  <c r="W384" i="24"/>
  <c r="X384" i="24" s="1"/>
  <c r="AD384" i="24" s="1"/>
  <c r="AF384" i="24" s="1"/>
  <c r="AP384" i="24" s="1"/>
  <c r="W68" i="24"/>
  <c r="X68" i="24" s="1"/>
  <c r="AD68" i="24" s="1"/>
  <c r="AF68" i="24" s="1"/>
  <c r="AP68" i="24" s="1"/>
  <c r="W174" i="24"/>
  <c r="X174" i="24" s="1"/>
  <c r="AD174" i="24" s="1"/>
  <c r="AF174" i="24" s="1"/>
  <c r="AP174" i="24" s="1"/>
  <c r="W438" i="24"/>
  <c r="X438" i="24" s="1"/>
  <c r="AD438" i="24" s="1"/>
  <c r="AF438" i="24" s="1"/>
  <c r="AP438" i="24" s="1"/>
  <c r="W94" i="24"/>
  <c r="X94" i="24" s="1"/>
  <c r="AD94" i="24" s="1"/>
  <c r="AF94" i="24" s="1"/>
  <c r="W143" i="24"/>
  <c r="X143" i="24" s="1"/>
  <c r="AD143" i="24" s="1"/>
  <c r="AF143" i="24" s="1"/>
  <c r="AP288" i="24"/>
  <c r="AP25" i="24"/>
  <c r="AP332" i="24"/>
  <c r="AP389" i="24"/>
  <c r="AL149" i="24" l="1"/>
  <c r="AK262" i="24"/>
  <c r="AP262" i="24"/>
  <c r="AL81" i="24"/>
  <c r="AP81" i="24"/>
  <c r="AN568" i="24"/>
  <c r="AP568" i="24"/>
  <c r="AL831" i="24"/>
  <c r="AP831" i="24"/>
  <c r="AL107" i="24"/>
  <c r="AP107" i="24"/>
  <c r="AL721" i="24"/>
  <c r="AP721" i="24"/>
  <c r="AK618" i="24"/>
  <c r="AM700" i="24"/>
  <c r="AN971" i="24"/>
  <c r="AM971" i="24"/>
  <c r="AP971" i="24"/>
  <c r="AP149" i="24"/>
  <c r="AK975" i="24"/>
  <c r="AL975" i="24"/>
  <c r="AN975" i="24"/>
  <c r="AL60" i="24"/>
  <c r="AM91" i="24"/>
  <c r="AM385" i="24"/>
  <c r="AL91" i="24"/>
  <c r="AK91" i="24"/>
  <c r="AN385" i="24"/>
  <c r="AK721" i="24"/>
  <c r="AM646" i="24"/>
  <c r="AL646" i="24"/>
  <c r="AM721" i="24"/>
  <c r="AK385" i="24"/>
  <c r="AM60" i="24"/>
  <c r="AL63" i="24"/>
  <c r="AK60" i="24"/>
  <c r="AN63" i="24"/>
  <c r="AK152" i="24"/>
  <c r="AN700" i="24"/>
  <c r="AK880" i="24"/>
  <c r="AN880" i="24"/>
  <c r="AP1561" i="24"/>
  <c r="AN1561" i="24"/>
  <c r="AL1561" i="24"/>
  <c r="AK1561" i="24"/>
  <c r="AM1561" i="24"/>
  <c r="AN1600" i="24"/>
  <c r="AM1600" i="24"/>
  <c r="AL1600" i="24"/>
  <c r="AK1600" i="24"/>
  <c r="AP1600" i="24"/>
  <c r="AP1580" i="24"/>
  <c r="AK1580" i="24"/>
  <c r="AL1580" i="24"/>
  <c r="AN1580" i="24"/>
  <c r="AM1580" i="24"/>
  <c r="AM1578" i="24"/>
  <c r="AL1578" i="24"/>
  <c r="AK1578" i="24"/>
  <c r="AP1578" i="24"/>
  <c r="AN1578" i="24"/>
  <c r="AM1559" i="24"/>
  <c r="AP1559" i="24"/>
  <c r="AN1559" i="24"/>
  <c r="AL1559" i="24"/>
  <c r="AK1559" i="24"/>
  <c r="AP1591" i="24"/>
  <c r="AN1591" i="24"/>
  <c r="AM1591" i="24"/>
  <c r="AL1591" i="24"/>
  <c r="AK1591" i="24"/>
  <c r="AP1620" i="24"/>
  <c r="AN1620" i="24"/>
  <c r="AL1620" i="24"/>
  <c r="AK1620" i="24"/>
  <c r="AM1620" i="24"/>
  <c r="AL1616" i="24"/>
  <c r="AN1616" i="24"/>
  <c r="AM1616" i="24"/>
  <c r="AK1616" i="24"/>
  <c r="AP1616" i="24"/>
  <c r="AL1599" i="24"/>
  <c r="AK1599" i="24"/>
  <c r="AP1599" i="24"/>
  <c r="AN1599" i="24"/>
  <c r="AM1599" i="24"/>
  <c r="AM1582" i="24"/>
  <c r="AL1582" i="24"/>
  <c r="AK1582" i="24"/>
  <c r="AP1582" i="24"/>
  <c r="AN1582" i="24"/>
  <c r="AP1602" i="24"/>
  <c r="AM1602" i="24"/>
  <c r="AK1602" i="24"/>
  <c r="AN1602" i="24"/>
  <c r="AL1602" i="24"/>
  <c r="AP1589" i="24"/>
  <c r="AN1589" i="24"/>
  <c r="AM1589" i="24"/>
  <c r="AL1589" i="24"/>
  <c r="AK1589" i="24"/>
  <c r="AP1585" i="24"/>
  <c r="AN1585" i="24"/>
  <c r="AM1585" i="24"/>
  <c r="AL1585" i="24"/>
  <c r="AK1585" i="24"/>
  <c r="AN1614" i="24"/>
  <c r="AM1614" i="24"/>
  <c r="AL1614" i="24"/>
  <c r="AK1614" i="24"/>
  <c r="AP1614" i="24"/>
  <c r="AP1577" i="24"/>
  <c r="AN1577" i="24"/>
  <c r="AM1577" i="24"/>
  <c r="AL1577" i="24"/>
  <c r="AK1577" i="24"/>
  <c r="AN1566" i="24"/>
  <c r="AM1566" i="24"/>
  <c r="AK1566" i="24"/>
  <c r="AL1566" i="24"/>
  <c r="AP1566" i="24"/>
  <c r="AP1571" i="24"/>
  <c r="AN1571" i="24"/>
  <c r="AM1571" i="24"/>
  <c r="AL1571" i="24"/>
  <c r="AK1571" i="24"/>
  <c r="AK1569" i="24"/>
  <c r="AM1569" i="24"/>
  <c r="AP1569" i="24"/>
  <c r="AN1569" i="24"/>
  <c r="AL1569" i="24"/>
  <c r="AL1621" i="24"/>
  <c r="AK1621" i="24"/>
  <c r="AN1621" i="24"/>
  <c r="AP1621" i="24"/>
  <c r="AM1621" i="24"/>
  <c r="AP1583" i="24"/>
  <c r="AN1583" i="24"/>
  <c r="AM1583" i="24"/>
  <c r="AL1583" i="24"/>
  <c r="AK1583" i="24"/>
  <c r="AL1597" i="24"/>
  <c r="AK1597" i="24"/>
  <c r="AP1597" i="24"/>
  <c r="AN1597" i="24"/>
  <c r="AM1597" i="24"/>
  <c r="AP1581" i="24"/>
  <c r="AN1581" i="24"/>
  <c r="AM1581" i="24"/>
  <c r="AL1581" i="24"/>
  <c r="AK1581" i="24"/>
  <c r="AL1558" i="24"/>
  <c r="AK1558" i="24"/>
  <c r="AN1558" i="24"/>
  <c r="AM1558" i="24"/>
  <c r="AP1558" i="24"/>
  <c r="AM1556" i="24"/>
  <c r="AK1556" i="24"/>
  <c r="AN1556" i="24"/>
  <c r="AL1556" i="24"/>
  <c r="AP1556" i="24"/>
  <c r="AP1565" i="24"/>
  <c r="AN1565" i="24"/>
  <c r="AL1565" i="24"/>
  <c r="AK1565" i="24"/>
  <c r="AM1565" i="24"/>
  <c r="AM1588" i="24"/>
  <c r="AK1588" i="24"/>
  <c r="AL1588" i="24"/>
  <c r="AP1588" i="24"/>
  <c r="AN1588" i="24"/>
  <c r="AK1608" i="24"/>
  <c r="AM1608" i="24"/>
  <c r="AL1608" i="24"/>
  <c r="AN1608" i="24"/>
  <c r="AP1608" i="24"/>
  <c r="AM1576" i="24"/>
  <c r="AP1576" i="24"/>
  <c r="AK1576" i="24"/>
  <c r="AN1576" i="24"/>
  <c r="AL1576" i="24"/>
  <c r="AN1564" i="24"/>
  <c r="AL1564" i="24"/>
  <c r="AM1564" i="24"/>
  <c r="AK1564" i="24"/>
  <c r="AP1564" i="24"/>
  <c r="AP1590" i="24"/>
  <c r="AN1590" i="24"/>
  <c r="AM1590" i="24"/>
  <c r="AL1590" i="24"/>
  <c r="AK1590" i="24"/>
  <c r="AK1555" i="24"/>
  <c r="AP1555" i="24"/>
  <c r="AN1555" i="24"/>
  <c r="AM1555" i="24"/>
  <c r="AL1555" i="24"/>
  <c r="AP1618" i="24"/>
  <c r="AN1618" i="24"/>
  <c r="AL1618" i="24"/>
  <c r="AM1618" i="24"/>
  <c r="AK1618" i="24"/>
  <c r="AP1596" i="24"/>
  <c r="AK1596" i="24"/>
  <c r="AL1596" i="24"/>
  <c r="AM1596" i="24"/>
  <c r="AN1596" i="24"/>
  <c r="AN1574" i="24"/>
  <c r="AM1574" i="24"/>
  <c r="AL1574" i="24"/>
  <c r="AK1574" i="24"/>
  <c r="AP1574" i="24"/>
  <c r="AL1605" i="24"/>
  <c r="AP1605" i="24"/>
  <c r="AN1605" i="24"/>
  <c r="AM1605" i="24"/>
  <c r="AK1605" i="24"/>
  <c r="AM1557" i="24"/>
  <c r="AN1557" i="24"/>
  <c r="AL1557" i="24"/>
  <c r="AK1557" i="24"/>
  <c r="AP1557" i="24"/>
  <c r="AN1568" i="24"/>
  <c r="AL1568" i="24"/>
  <c r="AP1568" i="24"/>
  <c r="AM1568" i="24"/>
  <c r="AK1568" i="24"/>
  <c r="AP1587" i="24"/>
  <c r="AN1587" i="24"/>
  <c r="AM1587" i="24"/>
  <c r="AL1587" i="24"/>
  <c r="AK1587" i="24"/>
  <c r="AK1607" i="24"/>
  <c r="AP1607" i="24"/>
  <c r="AM1607" i="24"/>
  <c r="AN1607" i="24"/>
  <c r="AL1607" i="24"/>
  <c r="AM1594" i="24"/>
  <c r="AL1594" i="24"/>
  <c r="AK1594" i="24"/>
  <c r="AP1594" i="24"/>
  <c r="AN1594" i="24"/>
  <c r="AN1575" i="24"/>
  <c r="AM1575" i="24"/>
  <c r="AL1575" i="24"/>
  <c r="AK1575" i="24"/>
  <c r="AP1575" i="24"/>
  <c r="AM1570" i="24"/>
  <c r="AL1570" i="24"/>
  <c r="AK1570" i="24"/>
  <c r="AP1570" i="24"/>
  <c r="AN1570" i="24"/>
  <c r="AL1563" i="24"/>
  <c r="AK1563" i="24"/>
  <c r="AP1563" i="24"/>
  <c r="AN1563" i="24"/>
  <c r="AM1563" i="24"/>
  <c r="AL1567" i="24"/>
  <c r="AK1567" i="24"/>
  <c r="AP1567" i="24"/>
  <c r="AN1567" i="24"/>
  <c r="AM1567" i="24"/>
  <c r="AK1612" i="24"/>
  <c r="AP1612" i="24"/>
  <c r="AN1612" i="24"/>
  <c r="AM1612" i="24"/>
  <c r="AL1612" i="24"/>
  <c r="AP1610" i="24"/>
  <c r="AN1610" i="24"/>
  <c r="AM1610" i="24"/>
  <c r="AL1610" i="24"/>
  <c r="AK1610" i="24"/>
  <c r="AL1601" i="24"/>
  <c r="AP1601" i="24"/>
  <c r="AN1601" i="24"/>
  <c r="AM1601" i="24"/>
  <c r="AK1601" i="24"/>
  <c r="AP1606" i="24"/>
  <c r="AN1606" i="24"/>
  <c r="AM1606" i="24"/>
  <c r="AL1606" i="24"/>
  <c r="AK1606" i="24"/>
  <c r="AP1573" i="24"/>
  <c r="AN1573" i="24"/>
  <c r="AM1573" i="24"/>
  <c r="AL1573" i="24"/>
  <c r="AK1573" i="24"/>
  <c r="AP1562" i="24"/>
  <c r="AN1562" i="24"/>
  <c r="AM1562" i="24"/>
  <c r="AL1562" i="24"/>
  <c r="AK1562" i="24"/>
  <c r="AM1617" i="24"/>
  <c r="AL1617" i="24"/>
  <c r="AP1617" i="24"/>
  <c r="AN1617" i="24"/>
  <c r="AK1617" i="24"/>
  <c r="AP1579" i="24"/>
  <c r="AN1579" i="24"/>
  <c r="AM1579" i="24"/>
  <c r="AL1579" i="24"/>
  <c r="AK1579" i="24"/>
  <c r="AL1595" i="24"/>
  <c r="AK1595" i="24"/>
  <c r="AP1595" i="24"/>
  <c r="AN1595" i="24"/>
  <c r="AM1595" i="24"/>
  <c r="AN1560" i="24"/>
  <c r="AL1560" i="24"/>
  <c r="AP1560" i="24"/>
  <c r="AM1560" i="24"/>
  <c r="AK1560" i="24"/>
  <c r="AP1593" i="24"/>
  <c r="AN1593" i="24"/>
  <c r="AM1593" i="24"/>
  <c r="AL1593" i="24"/>
  <c r="AK1593" i="24"/>
  <c r="AP1572" i="24"/>
  <c r="AN1572" i="24"/>
  <c r="AM1572" i="24"/>
  <c r="AL1572" i="24"/>
  <c r="AK1572" i="24"/>
  <c r="AM1586" i="24"/>
  <c r="AL1586" i="24"/>
  <c r="AK1586" i="24"/>
  <c r="AP1586" i="24"/>
  <c r="AN1586" i="24"/>
  <c r="AK1615" i="24"/>
  <c r="AP1615" i="24"/>
  <c r="AN1615" i="24"/>
  <c r="AL1615" i="24"/>
  <c r="AM1615" i="24"/>
  <c r="AM1611" i="24"/>
  <c r="AP1611" i="24"/>
  <c r="AN1611" i="24"/>
  <c r="AL1611" i="24"/>
  <c r="AK1611" i="24"/>
  <c r="AL1619" i="24"/>
  <c r="AN1619" i="24"/>
  <c r="AM1619" i="24"/>
  <c r="AP1619" i="24"/>
  <c r="AK1619" i="24"/>
  <c r="AP1604" i="24"/>
  <c r="AN1604" i="24"/>
  <c r="AM1604" i="24"/>
  <c r="AL1604" i="24"/>
  <c r="AK1604" i="24"/>
  <c r="AM1592" i="24"/>
  <c r="AP1592" i="24"/>
  <c r="AK1592" i="24"/>
  <c r="AN1592" i="24"/>
  <c r="AL1592" i="24"/>
  <c r="AP1622" i="24"/>
  <c r="AM1622" i="24"/>
  <c r="AK1622" i="24"/>
  <c r="AL1622" i="24"/>
  <c r="AN1622" i="24"/>
  <c r="AM1584" i="24"/>
  <c r="AP1584" i="24"/>
  <c r="AK1584" i="24"/>
  <c r="AL1584" i="24"/>
  <c r="AN1584" i="24"/>
  <c r="AM1598" i="24"/>
  <c r="AL1598" i="24"/>
  <c r="AK1598" i="24"/>
  <c r="AP1598" i="24"/>
  <c r="AN1598" i="24"/>
  <c r="AN1609" i="24"/>
  <c r="AK1609" i="24"/>
  <c r="AM1609" i="24"/>
  <c r="AL1609" i="24"/>
  <c r="AP1609" i="24"/>
  <c r="AN1613" i="24"/>
  <c r="AK1613" i="24"/>
  <c r="AM1613" i="24"/>
  <c r="AL1613" i="24"/>
  <c r="AP1613" i="24"/>
  <c r="AP1603" i="24"/>
  <c r="AN1603" i="24"/>
  <c r="AM1603" i="24"/>
  <c r="AL1603" i="24"/>
  <c r="AK1603" i="24"/>
  <c r="AK971" i="24"/>
  <c r="AM59" i="24"/>
  <c r="AK1549" i="24"/>
  <c r="AP1549" i="24"/>
  <c r="AN1549" i="24"/>
  <c r="AM1549" i="24"/>
  <c r="AL1549" i="24"/>
  <c r="AK1503" i="24"/>
  <c r="AL1503" i="24"/>
  <c r="AP1503" i="24"/>
  <c r="AN1503" i="24"/>
  <c r="AM1503" i="24"/>
  <c r="AK1539" i="24"/>
  <c r="AN1539" i="24"/>
  <c r="AM1539" i="24"/>
  <c r="AL1539" i="24"/>
  <c r="AL1510" i="24"/>
  <c r="AK1510" i="24"/>
  <c r="AN1510" i="24"/>
  <c r="AM1510" i="24"/>
  <c r="AN1543" i="24"/>
  <c r="AM1543" i="24"/>
  <c r="AL1543" i="24"/>
  <c r="AP1543" i="24"/>
  <c r="AK1543" i="24"/>
  <c r="AK1531" i="24"/>
  <c r="AN1531" i="24"/>
  <c r="AM1531" i="24"/>
  <c r="AL1531" i="24"/>
  <c r="AN1517" i="24"/>
  <c r="AM1517" i="24"/>
  <c r="AL1517" i="24"/>
  <c r="AK1517" i="24"/>
  <c r="AM1552" i="24"/>
  <c r="AK1552" i="24"/>
  <c r="AP1552" i="24"/>
  <c r="AN1552" i="24"/>
  <c r="AL1552" i="24"/>
  <c r="AK1545" i="24"/>
  <c r="AP1545" i="24"/>
  <c r="AN1545" i="24"/>
  <c r="AM1545" i="24"/>
  <c r="AL1545" i="24"/>
  <c r="AK1534" i="24"/>
  <c r="AN1534" i="24"/>
  <c r="AM1534" i="24"/>
  <c r="AL1534" i="24"/>
  <c r="AN1523" i="24"/>
  <c r="AM1523" i="24"/>
  <c r="AL1523" i="24"/>
  <c r="AK1523" i="24"/>
  <c r="AL1530" i="24"/>
  <c r="AM1530" i="24"/>
  <c r="AK1530" i="24"/>
  <c r="AN1530" i="24"/>
  <c r="AN1520" i="24"/>
  <c r="AM1520" i="24"/>
  <c r="AL1520" i="24"/>
  <c r="AK1520" i="24"/>
  <c r="AK1540" i="24"/>
  <c r="AM1540" i="24"/>
  <c r="AN1540" i="24"/>
  <c r="AL1540" i="24"/>
  <c r="AP1546" i="24"/>
  <c r="AM1546" i="24"/>
  <c r="AN1546" i="24"/>
  <c r="AK1546" i="24"/>
  <c r="AL1546" i="24"/>
  <c r="AN1527" i="24"/>
  <c r="AM1527" i="24"/>
  <c r="AL1527" i="24"/>
  <c r="AK1527" i="24"/>
  <c r="AK1553" i="24"/>
  <c r="AP1553" i="24"/>
  <c r="AN1553" i="24"/>
  <c r="AM1553" i="24"/>
  <c r="AL1553" i="24"/>
  <c r="AK1535" i="24"/>
  <c r="AP1535" i="24"/>
  <c r="AN1535" i="24"/>
  <c r="AM1535" i="24"/>
  <c r="AL1535" i="24"/>
  <c r="AN1536" i="24"/>
  <c r="AL1536" i="24"/>
  <c r="AM1536" i="24"/>
  <c r="AK1536" i="24"/>
  <c r="AN1508" i="24"/>
  <c r="AM1508" i="24"/>
  <c r="AL1508" i="24"/>
  <c r="AK1508" i="24"/>
  <c r="AK1537" i="24"/>
  <c r="AM1537" i="24"/>
  <c r="AL1537" i="24"/>
  <c r="AN1537" i="24"/>
  <c r="AL1529" i="24"/>
  <c r="AM1529" i="24"/>
  <c r="AK1529" i="24"/>
  <c r="AN1529" i="24"/>
  <c r="AK1515" i="24"/>
  <c r="AL1515" i="24"/>
  <c r="AN1515" i="24"/>
  <c r="AM1515" i="24"/>
  <c r="AK1514" i="24"/>
  <c r="AN1514" i="24"/>
  <c r="AL1514" i="24"/>
  <c r="AM1514" i="24"/>
  <c r="AM1518" i="24"/>
  <c r="AL1518" i="24"/>
  <c r="AK1518" i="24"/>
  <c r="AN1518" i="24"/>
  <c r="AL1542" i="24"/>
  <c r="AN1542" i="24"/>
  <c r="AM1542" i="24"/>
  <c r="AK1542" i="24"/>
  <c r="AP1542" i="24"/>
  <c r="AP1504" i="24"/>
  <c r="AN1504" i="24"/>
  <c r="AM1504" i="24"/>
  <c r="AL1504" i="24"/>
  <c r="AK1504" i="24"/>
  <c r="AN1521" i="24"/>
  <c r="AM1521" i="24"/>
  <c r="AL1521" i="24"/>
  <c r="AK1521" i="24"/>
  <c r="AK1525" i="24"/>
  <c r="AN1525" i="24"/>
  <c r="AM1525" i="24"/>
  <c r="AL1525" i="24"/>
  <c r="AL59" i="24"/>
  <c r="AK1551" i="24"/>
  <c r="AM1551" i="24"/>
  <c r="AL1551" i="24"/>
  <c r="AP1551" i="24"/>
  <c r="AN1551" i="24"/>
  <c r="AN1554" i="24"/>
  <c r="AP1554" i="24"/>
  <c r="AL1554" i="24"/>
  <c r="AM1554" i="24"/>
  <c r="AK1554" i="24"/>
  <c r="AN1502" i="24"/>
  <c r="AM1502" i="24"/>
  <c r="AL1502" i="24"/>
  <c r="AK1502" i="24"/>
  <c r="AM1506" i="24"/>
  <c r="AL1506" i="24"/>
  <c r="AK1506" i="24"/>
  <c r="AN1506" i="24"/>
  <c r="AN1524" i="24"/>
  <c r="AM1524" i="24"/>
  <c r="AL1524" i="24"/>
  <c r="AK1524" i="24"/>
  <c r="AN1505" i="24"/>
  <c r="AM1505" i="24"/>
  <c r="AL1505" i="24"/>
  <c r="AK1505" i="24"/>
  <c r="AN1544" i="24"/>
  <c r="AL1544" i="24"/>
  <c r="AP1544" i="24"/>
  <c r="AM1544" i="24"/>
  <c r="AK1544" i="24"/>
  <c r="AM1512" i="24"/>
  <c r="AN1512" i="24"/>
  <c r="AK1512" i="24"/>
  <c r="AL1512" i="24"/>
  <c r="AM1511" i="24"/>
  <c r="AN1511" i="24"/>
  <c r="AL1511" i="24"/>
  <c r="AK1511" i="24"/>
  <c r="AN1513" i="24"/>
  <c r="AM1513" i="24"/>
  <c r="AL1513" i="24"/>
  <c r="AK1513" i="24"/>
  <c r="AL1550" i="24"/>
  <c r="AN1550" i="24"/>
  <c r="AP1550" i="24"/>
  <c r="AM1550" i="24"/>
  <c r="AK1550" i="24"/>
  <c r="AP1547" i="24"/>
  <c r="AK1547" i="24"/>
  <c r="AL1547" i="24"/>
  <c r="AN1547" i="24"/>
  <c r="AM1547" i="24"/>
  <c r="AM1522" i="24"/>
  <c r="AL1522" i="24"/>
  <c r="AK1522" i="24"/>
  <c r="AP1522" i="24"/>
  <c r="AN1522" i="24"/>
  <c r="AM1533" i="24"/>
  <c r="AL1533" i="24"/>
  <c r="AN1533" i="24"/>
  <c r="AK1533" i="24"/>
  <c r="AK1541" i="24"/>
  <c r="AP1541" i="24"/>
  <c r="AN1541" i="24"/>
  <c r="AM1541" i="24"/>
  <c r="AL1541" i="24"/>
  <c r="AN1532" i="24"/>
  <c r="AM1532" i="24"/>
  <c r="AL1532" i="24"/>
  <c r="AK1532" i="24"/>
  <c r="AL618" i="24"/>
  <c r="AN618" i="24"/>
  <c r="AL349" i="24"/>
  <c r="AN349" i="24"/>
  <c r="AM618" i="24"/>
  <c r="AK149" i="24"/>
  <c r="AM63" i="24"/>
  <c r="AN149" i="24"/>
  <c r="AK59" i="24"/>
  <c r="AN175" i="24"/>
  <c r="AK738" i="24"/>
  <c r="AL738" i="24"/>
  <c r="AN738" i="24"/>
  <c r="AK687" i="24"/>
  <c r="AM687" i="24"/>
  <c r="AL687" i="24"/>
  <c r="AN687" i="24"/>
  <c r="AP585" i="24"/>
  <c r="AL585" i="24"/>
  <c r="AK585" i="24"/>
  <c r="AL641" i="24"/>
  <c r="AL175" i="24"/>
  <c r="AN636" i="24"/>
  <c r="AK641" i="24"/>
  <c r="AM227" i="24"/>
  <c r="AK227" i="24"/>
  <c r="AO26" i="13"/>
  <c r="AK175" i="24"/>
  <c r="AM641" i="24"/>
  <c r="AL636" i="24"/>
  <c r="AM152" i="24"/>
  <c r="AN487" i="24"/>
  <c r="AN585" i="24"/>
  <c r="AN227" i="24"/>
  <c r="AC2024" i="24"/>
  <c r="AL227" i="24"/>
  <c r="AM175" i="24"/>
  <c r="AF2024" i="24"/>
  <c r="AL152" i="24"/>
  <c r="AN152" i="24"/>
  <c r="AL487" i="24"/>
  <c r="AP512" i="24"/>
  <c r="AK710" i="24"/>
  <c r="AP710" i="24"/>
  <c r="AK671" i="24"/>
  <c r="AP671" i="24"/>
  <c r="AN45" i="24"/>
  <c r="AP45" i="24"/>
  <c r="AK775" i="24"/>
  <c r="AP775" i="24"/>
  <c r="AK810" i="24"/>
  <c r="AP810" i="24"/>
  <c r="AL748" i="24"/>
  <c r="AP748" i="24"/>
  <c r="AM915" i="24"/>
  <c r="AP915" i="24"/>
  <c r="AL62" i="24"/>
  <c r="AM62" i="24"/>
  <c r="AN62" i="24"/>
  <c r="AK62" i="24"/>
  <c r="AP990" i="24"/>
  <c r="AN990" i="24"/>
  <c r="AM990" i="24"/>
  <c r="AL990" i="24"/>
  <c r="AK990" i="24"/>
  <c r="AP1001" i="24"/>
  <c r="AN1001" i="24"/>
  <c r="AM1001" i="24"/>
  <c r="AL1001" i="24"/>
  <c r="AK1001" i="24"/>
  <c r="AP1006" i="24"/>
  <c r="AN1006" i="24"/>
  <c r="AM1006" i="24"/>
  <c r="AL1006" i="24"/>
  <c r="AK1006" i="24"/>
  <c r="AP1011" i="24"/>
  <c r="AN1011" i="24"/>
  <c r="AM1011" i="24"/>
  <c r="AL1011" i="24"/>
  <c r="AK1011" i="24"/>
  <c r="AP1017" i="24"/>
  <c r="AN1017" i="24"/>
  <c r="AM1017" i="24"/>
  <c r="AL1017" i="24"/>
  <c r="AK1017" i="24"/>
  <c r="AP1025" i="24"/>
  <c r="AN1025" i="24"/>
  <c r="AM1025" i="24"/>
  <c r="AL1025" i="24"/>
  <c r="AK1025" i="24"/>
  <c r="AP1030" i="24"/>
  <c r="AN1030" i="24"/>
  <c r="AM1030" i="24"/>
  <c r="AL1030" i="24"/>
  <c r="AK1030" i="24"/>
  <c r="AP1035" i="24"/>
  <c r="AN1035" i="24"/>
  <c r="AM1035" i="24"/>
  <c r="AL1035" i="24"/>
  <c r="AK1035" i="24"/>
  <c r="AP1040" i="24"/>
  <c r="AN1040" i="24"/>
  <c r="AM1040" i="24"/>
  <c r="AL1040" i="24"/>
  <c r="AK1040" i="24"/>
  <c r="AP1045" i="24"/>
  <c r="AN1045" i="24"/>
  <c r="AM1045" i="24"/>
  <c r="AL1045" i="24"/>
  <c r="AK1045" i="24"/>
  <c r="AP1050" i="24"/>
  <c r="AN1050" i="24"/>
  <c r="AM1050" i="24"/>
  <c r="AL1050" i="24"/>
  <c r="AK1050" i="24"/>
  <c r="AP1055" i="24"/>
  <c r="AN1055" i="24"/>
  <c r="AM1055" i="24"/>
  <c r="AL1055" i="24"/>
  <c r="AK1055" i="24"/>
  <c r="AP1060" i="24"/>
  <c r="AN1060" i="24"/>
  <c r="AM1060" i="24"/>
  <c r="AL1060" i="24"/>
  <c r="AK1060" i="24"/>
  <c r="AP1064" i="24"/>
  <c r="AN1064" i="24"/>
  <c r="AM1064" i="24"/>
  <c r="AL1064" i="24"/>
  <c r="AK1064" i="24"/>
  <c r="AN1065" i="24"/>
  <c r="AM1065" i="24"/>
  <c r="AL1065" i="24"/>
  <c r="AK1065" i="24"/>
  <c r="AN1070" i="24"/>
  <c r="AM1070" i="24"/>
  <c r="AL1070" i="24"/>
  <c r="AK1070" i="24"/>
  <c r="AN1089" i="24"/>
  <c r="AM1089" i="24"/>
  <c r="AL1089" i="24"/>
  <c r="AK1089" i="24"/>
  <c r="AN1095" i="24"/>
  <c r="AM1095" i="24"/>
  <c r="AL1095" i="24"/>
  <c r="AK1095" i="24"/>
  <c r="AN1100" i="24"/>
  <c r="AM1100" i="24"/>
  <c r="AL1100" i="24"/>
  <c r="AK1100" i="24"/>
  <c r="AN1102" i="24"/>
  <c r="AM1102" i="24"/>
  <c r="AL1102" i="24"/>
  <c r="AK1102" i="24"/>
  <c r="AP1107" i="24"/>
  <c r="AN1107" i="24"/>
  <c r="AM1107" i="24"/>
  <c r="AL1107" i="24"/>
  <c r="AK1107" i="24"/>
  <c r="AN1110" i="24"/>
  <c r="AM1110" i="24"/>
  <c r="AL1110" i="24"/>
  <c r="AK1110" i="24"/>
  <c r="AN1113" i="24"/>
  <c r="AM1113" i="24"/>
  <c r="AL1113" i="24"/>
  <c r="AK1113" i="24"/>
  <c r="AN1125" i="24"/>
  <c r="AM1125" i="24"/>
  <c r="AL1125" i="24"/>
  <c r="AK1125" i="24"/>
  <c r="AN1130" i="24"/>
  <c r="AM1130" i="24"/>
  <c r="AL1130" i="24"/>
  <c r="AK1130" i="24"/>
  <c r="AN1135" i="24"/>
  <c r="AM1135" i="24"/>
  <c r="AL1135" i="24"/>
  <c r="AK1135" i="24"/>
  <c r="AP1140" i="24"/>
  <c r="AN1140" i="24"/>
  <c r="AM1140" i="24"/>
  <c r="AL1140" i="24"/>
  <c r="AK1140" i="24"/>
  <c r="AN1144" i="24"/>
  <c r="AM1144" i="24"/>
  <c r="AL1144" i="24"/>
  <c r="AK1144" i="24"/>
  <c r="AN1147" i="24"/>
  <c r="AM1147" i="24"/>
  <c r="AL1147" i="24"/>
  <c r="AK1147" i="24"/>
  <c r="AN1152" i="24"/>
  <c r="AM1152" i="24"/>
  <c r="AL1152" i="24"/>
  <c r="AK1152" i="24"/>
  <c r="AN1159" i="24"/>
  <c r="AM1159" i="24"/>
  <c r="AL1159" i="24"/>
  <c r="AK1159" i="24"/>
  <c r="AN1165" i="24"/>
  <c r="AM1165" i="24"/>
  <c r="AL1165" i="24"/>
  <c r="AK1165" i="24"/>
  <c r="AN1171" i="24"/>
  <c r="AM1171" i="24"/>
  <c r="AL1171" i="24"/>
  <c r="AK1171" i="24"/>
  <c r="AN1177" i="24"/>
  <c r="AM1177" i="24"/>
  <c r="AL1177" i="24"/>
  <c r="AK1177" i="24"/>
  <c r="AN1179" i="24"/>
  <c r="AM1179" i="24"/>
  <c r="AL1179" i="24"/>
  <c r="AK1179" i="24"/>
  <c r="AN1183" i="24"/>
  <c r="AM1183" i="24"/>
  <c r="AL1183" i="24"/>
  <c r="AK1183" i="24"/>
  <c r="AP1187" i="24"/>
  <c r="AN1187" i="24"/>
  <c r="AM1187" i="24"/>
  <c r="AL1187" i="24"/>
  <c r="AK1187" i="24"/>
  <c r="AN1189" i="24"/>
  <c r="AM1189" i="24"/>
  <c r="AL1189" i="24"/>
  <c r="AK1189" i="24"/>
  <c r="AN1194" i="24"/>
  <c r="AM1194" i="24"/>
  <c r="AL1194" i="24"/>
  <c r="AK1194" i="24"/>
  <c r="AP1198" i="24"/>
  <c r="AN1198" i="24"/>
  <c r="AM1198" i="24"/>
  <c r="AL1198" i="24"/>
  <c r="AK1198" i="24"/>
  <c r="AN1202" i="24"/>
  <c r="AM1202" i="24"/>
  <c r="AL1202" i="24"/>
  <c r="AK1202" i="24"/>
  <c r="AP1215" i="24"/>
  <c r="AN1215" i="24"/>
  <c r="AM1215" i="24"/>
  <c r="AL1215" i="24"/>
  <c r="AK1215" i="24"/>
  <c r="AN1227" i="24"/>
  <c r="AM1227" i="24"/>
  <c r="AL1227" i="24"/>
  <c r="AK1227" i="24"/>
  <c r="AP1232" i="24"/>
  <c r="AN1232" i="24"/>
  <c r="AM1232" i="24"/>
  <c r="AL1232" i="24"/>
  <c r="AK1232" i="24"/>
  <c r="AN1235" i="24"/>
  <c r="AM1235" i="24"/>
  <c r="AL1235" i="24"/>
  <c r="AK1235" i="24"/>
  <c r="AP1246" i="24"/>
  <c r="AN1246" i="24"/>
  <c r="AM1246" i="24"/>
  <c r="AL1246" i="24"/>
  <c r="AK1246" i="24"/>
  <c r="AN1250" i="24"/>
  <c r="AM1250" i="24"/>
  <c r="AL1250" i="24"/>
  <c r="AK1250" i="24"/>
  <c r="AN1255" i="24"/>
  <c r="AM1255" i="24"/>
  <c r="AL1255" i="24"/>
  <c r="AK1255" i="24"/>
  <c r="AN1258" i="24"/>
  <c r="AM1258" i="24"/>
  <c r="AL1258" i="24"/>
  <c r="AK1258" i="24"/>
  <c r="AN1263" i="24"/>
  <c r="AM1263" i="24"/>
  <c r="AL1263" i="24"/>
  <c r="AK1263" i="24"/>
  <c r="AP1265" i="24"/>
  <c r="AN1270" i="24"/>
  <c r="AM1270" i="24"/>
  <c r="AL1270" i="24"/>
  <c r="AK1270" i="24"/>
  <c r="AN1275" i="24"/>
  <c r="AM1275" i="24"/>
  <c r="AL1275" i="24"/>
  <c r="AK1275" i="24"/>
  <c r="AN1283" i="24"/>
  <c r="AM1283" i="24"/>
  <c r="AL1283" i="24"/>
  <c r="AK1283" i="24"/>
  <c r="AP1288" i="24"/>
  <c r="AN1288" i="24"/>
  <c r="AM1288" i="24"/>
  <c r="AL1288" i="24"/>
  <c r="AK1288" i="24"/>
  <c r="AN1292" i="24"/>
  <c r="AM1292" i="24"/>
  <c r="AL1292" i="24"/>
  <c r="AK1292" i="24"/>
  <c r="AN1300" i="24"/>
  <c r="AM1300" i="24"/>
  <c r="AL1300" i="24"/>
  <c r="AK1300" i="24"/>
  <c r="AP1305" i="24"/>
  <c r="AN1305" i="24"/>
  <c r="AM1305" i="24"/>
  <c r="AL1305" i="24"/>
  <c r="AK1305" i="24"/>
  <c r="AP1311" i="24"/>
  <c r="AN1316" i="24"/>
  <c r="AM1316" i="24"/>
  <c r="AL1316" i="24"/>
  <c r="AK1316" i="24"/>
  <c r="AN1328" i="24"/>
  <c r="AM1328" i="24"/>
  <c r="AL1328" i="24"/>
  <c r="AK1328" i="24"/>
  <c r="AP1333" i="24"/>
  <c r="AN1333" i="24"/>
  <c r="AM1333" i="24"/>
  <c r="AL1333" i="24"/>
  <c r="AK1333" i="24"/>
  <c r="AN1337" i="24"/>
  <c r="AM1337" i="24"/>
  <c r="AL1337" i="24"/>
  <c r="AK1337" i="24"/>
  <c r="AN1350" i="24"/>
  <c r="AM1350" i="24"/>
  <c r="AL1350" i="24"/>
  <c r="AK1350" i="24"/>
  <c r="AN1355" i="24"/>
  <c r="AM1355" i="24"/>
  <c r="AL1355" i="24"/>
  <c r="AK1355" i="24"/>
  <c r="AN1372" i="24"/>
  <c r="AM1372" i="24"/>
  <c r="AL1372" i="24"/>
  <c r="AK1372" i="24"/>
  <c r="AN1375" i="24"/>
  <c r="AM1375" i="24"/>
  <c r="AL1375" i="24"/>
  <c r="AK1375" i="24"/>
  <c r="AN1381" i="24"/>
  <c r="AM1381" i="24"/>
  <c r="AL1381" i="24"/>
  <c r="AK1381" i="24"/>
  <c r="AN1386" i="24"/>
  <c r="AM1386" i="24"/>
  <c r="AL1386" i="24"/>
  <c r="AK1386" i="24"/>
  <c r="AN1388" i="24"/>
  <c r="AM1388" i="24"/>
  <c r="AL1388" i="24"/>
  <c r="AK1388" i="24"/>
  <c r="AP1391" i="24"/>
  <c r="AN1391" i="24"/>
  <c r="AM1391" i="24"/>
  <c r="AL1391" i="24"/>
  <c r="AK1391" i="24"/>
  <c r="AN1395" i="24"/>
  <c r="AM1395" i="24"/>
  <c r="AL1395" i="24"/>
  <c r="AK1395" i="24"/>
  <c r="AP1400" i="24"/>
  <c r="AN1403" i="24"/>
  <c r="AM1403" i="24"/>
  <c r="AL1403" i="24"/>
  <c r="AK1403" i="24"/>
  <c r="AN1410" i="24"/>
  <c r="AM1410" i="24"/>
  <c r="AL1410" i="24"/>
  <c r="AK1410" i="24"/>
  <c r="AP1415" i="24"/>
  <c r="AN1415" i="24"/>
  <c r="AM1415" i="24"/>
  <c r="AL1415" i="24"/>
  <c r="AK1415" i="24"/>
  <c r="AP1424" i="24"/>
  <c r="AN1424" i="24"/>
  <c r="AM1424" i="24"/>
  <c r="AL1424" i="24"/>
  <c r="AK1424" i="24"/>
  <c r="AP1429" i="24"/>
  <c r="AN1429" i="24"/>
  <c r="AM1429" i="24"/>
  <c r="AL1429" i="24"/>
  <c r="AK1429" i="24"/>
  <c r="AP1439" i="24"/>
  <c r="AN1439" i="24"/>
  <c r="AM1439" i="24"/>
  <c r="AL1439" i="24"/>
  <c r="AK1439" i="24"/>
  <c r="AP1445" i="24"/>
  <c r="AN1445" i="24"/>
  <c r="AM1445" i="24"/>
  <c r="AL1445" i="24"/>
  <c r="AK1445" i="24"/>
  <c r="AP1450" i="24"/>
  <c r="AN1450" i="24"/>
  <c r="AM1450" i="24"/>
  <c r="AL1450" i="24"/>
  <c r="AK1450" i="24"/>
  <c r="AP1455" i="24"/>
  <c r="AN1455" i="24"/>
  <c r="AM1455" i="24"/>
  <c r="AL1455" i="24"/>
  <c r="AK1455" i="24"/>
  <c r="AP1460" i="24"/>
  <c r="AN1460" i="24"/>
  <c r="AM1460" i="24"/>
  <c r="AL1460" i="24"/>
  <c r="AK1460" i="24"/>
  <c r="AN1466" i="24"/>
  <c r="AM1466" i="24"/>
  <c r="AL1466" i="24"/>
  <c r="AK1466" i="24"/>
  <c r="AN1468" i="24"/>
  <c r="AM1468" i="24"/>
  <c r="AL1468" i="24"/>
  <c r="AK1468" i="24"/>
  <c r="AN1474" i="24"/>
  <c r="AM1474" i="24"/>
  <c r="AL1474" i="24"/>
  <c r="AK1474" i="24"/>
  <c r="AN1482" i="24"/>
  <c r="AM1482" i="24"/>
  <c r="AL1482" i="24"/>
  <c r="AK1482" i="24"/>
  <c r="AN1486" i="24"/>
  <c r="AM1486" i="24"/>
  <c r="AL1486" i="24"/>
  <c r="AK1486" i="24"/>
  <c r="AN1491" i="24"/>
  <c r="AM1491" i="24"/>
  <c r="AL1491" i="24"/>
  <c r="AK1491" i="24"/>
  <c r="AN1498" i="24"/>
  <c r="AM1498" i="24"/>
  <c r="AL1498" i="24"/>
  <c r="AK1498" i="24"/>
  <c r="AN984" i="24"/>
  <c r="AM984" i="24"/>
  <c r="AL984" i="24"/>
  <c r="AK984" i="24"/>
  <c r="AN992" i="24"/>
  <c r="AM992" i="24"/>
  <c r="AL992" i="24"/>
  <c r="AK992" i="24"/>
  <c r="AP996" i="24"/>
  <c r="AN996" i="24"/>
  <c r="AM996" i="24"/>
  <c r="AL996" i="24"/>
  <c r="AK996" i="24"/>
  <c r="AP999" i="24"/>
  <c r="AN999" i="24"/>
  <c r="AM999" i="24"/>
  <c r="AL999" i="24"/>
  <c r="AK999" i="24"/>
  <c r="AP1004" i="24"/>
  <c r="AN1004" i="24"/>
  <c r="AM1004" i="24"/>
  <c r="AL1004" i="24"/>
  <c r="AK1004" i="24"/>
  <c r="AP1009" i="24"/>
  <c r="AN1009" i="24"/>
  <c r="AM1009" i="24"/>
  <c r="AL1009" i="24"/>
  <c r="AK1009" i="24"/>
  <c r="AP1020" i="24"/>
  <c r="AN1020" i="24"/>
  <c r="AM1020" i="24"/>
  <c r="AL1020" i="24"/>
  <c r="AK1020" i="24"/>
  <c r="AP1028" i="24"/>
  <c r="AN1028" i="24"/>
  <c r="AM1028" i="24"/>
  <c r="AL1028" i="24"/>
  <c r="AK1028" i="24"/>
  <c r="AP1033" i="24"/>
  <c r="AN1033" i="24"/>
  <c r="AM1033" i="24"/>
  <c r="AL1033" i="24"/>
  <c r="AK1033" i="24"/>
  <c r="AP1038" i="24"/>
  <c r="AN1038" i="24"/>
  <c r="AM1038" i="24"/>
  <c r="AL1038" i="24"/>
  <c r="AK1038" i="24"/>
  <c r="AP1043" i="24"/>
  <c r="AN1043" i="24"/>
  <c r="AM1043" i="24"/>
  <c r="AL1043" i="24"/>
  <c r="AK1043" i="24"/>
  <c r="AP1048" i="24"/>
  <c r="AN1048" i="24"/>
  <c r="AM1048" i="24"/>
  <c r="AL1048" i="24"/>
  <c r="AK1048" i="24"/>
  <c r="AP1053" i="24"/>
  <c r="AN1053" i="24"/>
  <c r="AM1053" i="24"/>
  <c r="AL1053" i="24"/>
  <c r="AK1053" i="24"/>
  <c r="AP1058" i="24"/>
  <c r="AN1058" i="24"/>
  <c r="AM1058" i="24"/>
  <c r="AL1058" i="24"/>
  <c r="AK1058" i="24"/>
  <c r="AP1063" i="24"/>
  <c r="AN1063" i="24"/>
  <c r="AM1063" i="24"/>
  <c r="AL1063" i="24"/>
  <c r="AK1063" i="24"/>
  <c r="AN1068" i="24"/>
  <c r="AM1068" i="24"/>
  <c r="AL1068" i="24"/>
  <c r="AK1068" i="24"/>
  <c r="AN1073" i="24"/>
  <c r="AM1073" i="24"/>
  <c r="AL1073" i="24"/>
  <c r="AK1073" i="24"/>
  <c r="AN1078" i="24"/>
  <c r="AM1078" i="24"/>
  <c r="AL1078" i="24"/>
  <c r="AK1078" i="24"/>
  <c r="AN1082" i="24"/>
  <c r="AM1082" i="24"/>
  <c r="AL1082" i="24"/>
  <c r="AK1082" i="24"/>
  <c r="AN1086" i="24"/>
  <c r="AM1086" i="24"/>
  <c r="AL1086" i="24"/>
  <c r="AK1086" i="24"/>
  <c r="AN1101" i="24"/>
  <c r="AM1101" i="24"/>
  <c r="AL1101" i="24"/>
  <c r="AK1101" i="24"/>
  <c r="AN1105" i="24"/>
  <c r="AM1105" i="24"/>
  <c r="AL1105" i="24"/>
  <c r="AK1105" i="24"/>
  <c r="AP1108" i="24"/>
  <c r="AN1108" i="24"/>
  <c r="AM1108" i="24"/>
  <c r="AL1108" i="24"/>
  <c r="AK1108" i="24"/>
  <c r="AN1111" i="24"/>
  <c r="AM1111" i="24"/>
  <c r="AL1111" i="24"/>
  <c r="AK1111" i="24"/>
  <c r="AN1116" i="24"/>
  <c r="AM1116" i="24"/>
  <c r="AL1116" i="24"/>
  <c r="AK1116" i="24"/>
  <c r="AN1119" i="24"/>
  <c r="AM1119" i="24"/>
  <c r="AL1119" i="24"/>
  <c r="AK1119" i="24"/>
  <c r="AN1128" i="24"/>
  <c r="AM1128" i="24"/>
  <c r="AL1128" i="24"/>
  <c r="AK1128" i="24"/>
  <c r="AN1133" i="24"/>
  <c r="AM1133" i="24"/>
  <c r="AL1133" i="24"/>
  <c r="AK1133" i="24"/>
  <c r="AN1138" i="24"/>
  <c r="AM1138" i="24"/>
  <c r="AL1138" i="24"/>
  <c r="AK1138" i="24"/>
  <c r="AP1142" i="24"/>
  <c r="AN1142" i="24"/>
  <c r="AM1142" i="24"/>
  <c r="AL1142" i="24"/>
  <c r="AK1142" i="24"/>
  <c r="AN1145" i="24"/>
  <c r="AM1145" i="24"/>
  <c r="AL1145" i="24"/>
  <c r="AK1145" i="24"/>
  <c r="AN1150" i="24"/>
  <c r="AM1150" i="24"/>
  <c r="AL1150" i="24"/>
  <c r="AK1150" i="24"/>
  <c r="AN1155" i="24"/>
  <c r="AM1155" i="24"/>
  <c r="AL1155" i="24"/>
  <c r="AK1155" i="24"/>
  <c r="AP1157" i="24"/>
  <c r="AN1157" i="24"/>
  <c r="AM1157" i="24"/>
  <c r="AL1157" i="24"/>
  <c r="AK1157" i="24"/>
  <c r="AN1161" i="24"/>
  <c r="AM1161" i="24"/>
  <c r="AL1161" i="24"/>
  <c r="AK1161" i="24"/>
  <c r="AN1174" i="24"/>
  <c r="AM1174" i="24"/>
  <c r="AL1174" i="24"/>
  <c r="AK1174" i="24"/>
  <c r="AN1192" i="24"/>
  <c r="AM1192" i="24"/>
  <c r="AL1192" i="24"/>
  <c r="AK1192" i="24"/>
  <c r="AN1201" i="24"/>
  <c r="AM1201" i="24"/>
  <c r="AL1201" i="24"/>
  <c r="AK1201" i="24"/>
  <c r="AP1206" i="24"/>
  <c r="AN1206" i="24"/>
  <c r="AM1206" i="24"/>
  <c r="AL1206" i="24"/>
  <c r="AK1206" i="24"/>
  <c r="AN1210" i="24"/>
  <c r="AM1210" i="24"/>
  <c r="AL1210" i="24"/>
  <c r="AK1210" i="24"/>
  <c r="AP1214" i="24"/>
  <c r="AN1214" i="24"/>
  <c r="AM1214" i="24"/>
  <c r="AL1214" i="24"/>
  <c r="AK1214" i="24"/>
  <c r="AN1220" i="24"/>
  <c r="AM1220" i="24"/>
  <c r="AL1220" i="24"/>
  <c r="AK1220" i="24"/>
  <c r="AN1225" i="24"/>
  <c r="AM1225" i="24"/>
  <c r="AL1225" i="24"/>
  <c r="AK1225" i="24"/>
  <c r="AP1233" i="24"/>
  <c r="AN1233" i="24"/>
  <c r="AM1233" i="24"/>
  <c r="AL1233" i="24"/>
  <c r="AK1233" i="24"/>
  <c r="AN1238" i="24"/>
  <c r="AM1238" i="24"/>
  <c r="AL1238" i="24"/>
  <c r="AK1238" i="24"/>
  <c r="AN1244" i="24"/>
  <c r="AM1244" i="24"/>
  <c r="AL1244" i="24"/>
  <c r="AK1244" i="24"/>
  <c r="AN1256" i="24"/>
  <c r="AM1256" i="24"/>
  <c r="AL1256" i="24"/>
  <c r="AK1256" i="24"/>
  <c r="AN1261" i="24"/>
  <c r="AM1261" i="24"/>
  <c r="AL1261" i="24"/>
  <c r="AK1261" i="24"/>
  <c r="AP1268" i="24"/>
  <c r="AN1268" i="24"/>
  <c r="AM1268" i="24"/>
  <c r="AL1268" i="24"/>
  <c r="AK1268" i="24"/>
  <c r="AN1281" i="24"/>
  <c r="AM1281" i="24"/>
  <c r="AL1281" i="24"/>
  <c r="AK1281" i="24"/>
  <c r="AN1286" i="24"/>
  <c r="AM1286" i="24"/>
  <c r="AL1286" i="24"/>
  <c r="AK1286" i="24"/>
  <c r="AP1290" i="24"/>
  <c r="AN1293" i="24"/>
  <c r="AM1293" i="24"/>
  <c r="AL1293" i="24"/>
  <c r="AK1293" i="24"/>
  <c r="AN1298" i="24"/>
  <c r="AM1298" i="24"/>
  <c r="AL1298" i="24"/>
  <c r="AK1298" i="24"/>
  <c r="AN1303" i="24"/>
  <c r="AM1303" i="24"/>
  <c r="AL1303" i="24"/>
  <c r="AK1303" i="24"/>
  <c r="AN1309" i="24"/>
  <c r="AM1309" i="24"/>
  <c r="AL1309" i="24"/>
  <c r="AK1309" i="24"/>
  <c r="AP1314" i="24"/>
  <c r="AN1314" i="24"/>
  <c r="AM1314" i="24"/>
  <c r="AL1314" i="24"/>
  <c r="AK1314" i="24"/>
  <c r="AN1319" i="24"/>
  <c r="AM1319" i="24"/>
  <c r="AL1319" i="24"/>
  <c r="AK1319" i="24"/>
  <c r="AN1326" i="24"/>
  <c r="AM1326" i="24"/>
  <c r="AL1326" i="24"/>
  <c r="AK1326" i="24"/>
  <c r="AN1331" i="24"/>
  <c r="AM1331" i="24"/>
  <c r="AL1331" i="24"/>
  <c r="AK1331" i="24"/>
  <c r="AP1335" i="24"/>
  <c r="AN1338" i="24"/>
  <c r="AM1338" i="24"/>
  <c r="AL1338" i="24"/>
  <c r="AK1338" i="24"/>
  <c r="AN1343" i="24"/>
  <c r="AM1343" i="24"/>
  <c r="AL1343" i="24"/>
  <c r="AK1343" i="24"/>
  <c r="AN1348" i="24"/>
  <c r="AM1348" i="24"/>
  <c r="AL1348" i="24"/>
  <c r="AK1348" i="24"/>
  <c r="AN1353" i="24"/>
  <c r="AM1353" i="24"/>
  <c r="AL1353" i="24"/>
  <c r="AK1353" i="24"/>
  <c r="AN1360" i="24"/>
  <c r="AM1360" i="24"/>
  <c r="AL1360" i="24"/>
  <c r="AK1360" i="24"/>
  <c r="AN1365" i="24"/>
  <c r="AM1365" i="24"/>
  <c r="AL1365" i="24"/>
  <c r="AK1365" i="24"/>
  <c r="AN1378" i="24"/>
  <c r="AM1378" i="24"/>
  <c r="AL1378" i="24"/>
  <c r="AK1378" i="24"/>
  <c r="AP1380" i="24"/>
  <c r="AN1380" i="24"/>
  <c r="AM1380" i="24"/>
  <c r="AL1380" i="24"/>
  <c r="AK1380" i="24"/>
  <c r="AN1384" i="24"/>
  <c r="AM1384" i="24"/>
  <c r="AL1384" i="24"/>
  <c r="AK1384" i="24"/>
  <c r="AN1389" i="24"/>
  <c r="AM1389" i="24"/>
  <c r="AL1389" i="24"/>
  <c r="AK1389" i="24"/>
  <c r="AP1392" i="24"/>
  <c r="AN1392" i="24"/>
  <c r="AM1392" i="24"/>
  <c r="AL1392" i="24"/>
  <c r="AK1392" i="24"/>
  <c r="AN1394" i="24"/>
  <c r="AM1394" i="24"/>
  <c r="AL1394" i="24"/>
  <c r="AK1394" i="24"/>
  <c r="AN1398" i="24"/>
  <c r="AM1398" i="24"/>
  <c r="AL1398" i="24"/>
  <c r="AK1398" i="24"/>
  <c r="AP1401" i="24"/>
  <c r="AN1401" i="24"/>
  <c r="AM1401" i="24"/>
  <c r="AL1401" i="24"/>
  <c r="AK1401" i="24"/>
  <c r="AN1408" i="24"/>
  <c r="AM1408" i="24"/>
  <c r="AL1408" i="24"/>
  <c r="AK1408" i="24"/>
  <c r="AN1413" i="24"/>
  <c r="AM1413" i="24"/>
  <c r="AL1413" i="24"/>
  <c r="AK1413" i="24"/>
  <c r="AP1419" i="24"/>
  <c r="AN1419" i="24"/>
  <c r="AM1419" i="24"/>
  <c r="AL1419" i="24"/>
  <c r="AK1419" i="24"/>
  <c r="AP1422" i="24"/>
  <c r="AN1422" i="24"/>
  <c r="AM1422" i="24"/>
  <c r="AL1422" i="24"/>
  <c r="AK1422" i="24"/>
  <c r="AP1427" i="24"/>
  <c r="AN1427" i="24"/>
  <c r="AM1427" i="24"/>
  <c r="AL1427" i="24"/>
  <c r="AK1427" i="24"/>
  <c r="AP1432" i="24"/>
  <c r="AN1432" i="24"/>
  <c r="AM1432" i="24"/>
  <c r="AL1432" i="24"/>
  <c r="AK1432" i="24"/>
  <c r="AP1448" i="24"/>
  <c r="AN1448" i="24"/>
  <c r="AM1448" i="24"/>
  <c r="AL1448" i="24"/>
  <c r="AK1448" i="24"/>
  <c r="AP1453" i="24"/>
  <c r="AN1453" i="24"/>
  <c r="AM1453" i="24"/>
  <c r="AL1453" i="24"/>
  <c r="AK1453" i="24"/>
  <c r="AP1458" i="24"/>
  <c r="AN1458" i="24"/>
  <c r="AM1458" i="24"/>
  <c r="AL1458" i="24"/>
  <c r="AK1458" i="24"/>
  <c r="AP1463" i="24"/>
  <c r="AN1463" i="24"/>
  <c r="AM1463" i="24"/>
  <c r="AL1463" i="24"/>
  <c r="AK1463" i="24"/>
  <c r="AN1467" i="24"/>
  <c r="AM1467" i="24"/>
  <c r="AL1467" i="24"/>
  <c r="AK1467" i="24"/>
  <c r="AN1470" i="24"/>
  <c r="AM1470" i="24"/>
  <c r="AL1470" i="24"/>
  <c r="AK1470" i="24"/>
  <c r="AN1473" i="24"/>
  <c r="AM1473" i="24"/>
  <c r="AL1473" i="24"/>
  <c r="AK1473" i="24"/>
  <c r="AN1476" i="24"/>
  <c r="AM1476" i="24"/>
  <c r="AL1476" i="24"/>
  <c r="AK1476" i="24"/>
  <c r="AN1480" i="24"/>
  <c r="AM1480" i="24"/>
  <c r="AL1480" i="24"/>
  <c r="AK1480" i="24"/>
  <c r="AN1484" i="24"/>
  <c r="AM1484" i="24"/>
  <c r="AL1484" i="24"/>
  <c r="AK1484" i="24"/>
  <c r="AN1489" i="24"/>
  <c r="AM1489" i="24"/>
  <c r="AL1489" i="24"/>
  <c r="AK1489" i="24"/>
  <c r="AN1494" i="24"/>
  <c r="AM1494" i="24"/>
  <c r="AL1494" i="24"/>
  <c r="AK1494" i="24"/>
  <c r="AN1496" i="24"/>
  <c r="AM1496" i="24"/>
  <c r="AL1496" i="24"/>
  <c r="AK1496" i="24"/>
  <c r="AN1501" i="24"/>
  <c r="AM1501" i="24"/>
  <c r="AL1501" i="24"/>
  <c r="AK1501" i="24"/>
  <c r="AK61" i="24"/>
  <c r="AL61" i="24"/>
  <c r="AM61" i="24"/>
  <c r="AN61" i="24"/>
  <c r="AN985" i="24"/>
  <c r="AM985" i="24"/>
  <c r="AL985" i="24"/>
  <c r="AK985" i="24"/>
  <c r="AN989" i="24"/>
  <c r="AM989" i="24"/>
  <c r="AL989" i="24"/>
  <c r="AK989" i="24"/>
  <c r="AP991" i="24"/>
  <c r="AN991" i="24"/>
  <c r="AM991" i="24"/>
  <c r="AL991" i="24"/>
  <c r="AK991" i="24"/>
  <c r="AP997" i="24"/>
  <c r="AN997" i="24"/>
  <c r="AM997" i="24"/>
  <c r="AL997" i="24"/>
  <c r="AK997" i="24"/>
  <c r="AP1000" i="24"/>
  <c r="AN1000" i="24"/>
  <c r="AM1000" i="24"/>
  <c r="AL1000" i="24"/>
  <c r="AK1000" i="24"/>
  <c r="AP1005" i="24"/>
  <c r="AN1005" i="24"/>
  <c r="AM1005" i="24"/>
  <c r="AL1005" i="24"/>
  <c r="AK1005" i="24"/>
  <c r="AP1010" i="24"/>
  <c r="AN1010" i="24"/>
  <c r="AM1010" i="24"/>
  <c r="AL1010" i="24"/>
  <c r="AK1010" i="24"/>
  <c r="AP1015" i="24"/>
  <c r="AN1015" i="24"/>
  <c r="AM1015" i="24"/>
  <c r="AL1015" i="24"/>
  <c r="AK1015" i="24"/>
  <c r="AP1016" i="24"/>
  <c r="AN1016" i="24"/>
  <c r="AM1016" i="24"/>
  <c r="AL1016" i="24"/>
  <c r="AK1016" i="24"/>
  <c r="AP1021" i="24"/>
  <c r="AN1021" i="24"/>
  <c r="AM1021" i="24"/>
  <c r="AL1021" i="24"/>
  <c r="AK1021" i="24"/>
  <c r="AP1024" i="24"/>
  <c r="AN1024" i="24"/>
  <c r="AM1024" i="24"/>
  <c r="AL1024" i="24"/>
  <c r="AK1024" i="24"/>
  <c r="AP1029" i="24"/>
  <c r="AN1029" i="24"/>
  <c r="AM1029" i="24"/>
  <c r="AL1029" i="24"/>
  <c r="AK1029" i="24"/>
  <c r="AP1034" i="24"/>
  <c r="AN1034" i="24"/>
  <c r="AM1034" i="24"/>
  <c r="AL1034" i="24"/>
  <c r="AK1034" i="24"/>
  <c r="AP1039" i="24"/>
  <c r="AN1039" i="24"/>
  <c r="AM1039" i="24"/>
  <c r="AL1039" i="24"/>
  <c r="AK1039" i="24"/>
  <c r="AP1044" i="24"/>
  <c r="AN1044" i="24"/>
  <c r="AM1044" i="24"/>
  <c r="AL1044" i="24"/>
  <c r="AK1044" i="24"/>
  <c r="AP1049" i="24"/>
  <c r="AN1049" i="24"/>
  <c r="AM1049" i="24"/>
  <c r="AL1049" i="24"/>
  <c r="AK1049" i="24"/>
  <c r="AP1054" i="24"/>
  <c r="AN1054" i="24"/>
  <c r="AM1054" i="24"/>
  <c r="AL1054" i="24"/>
  <c r="AK1054" i="24"/>
  <c r="AP1059" i="24"/>
  <c r="AN1059" i="24"/>
  <c r="AM1059" i="24"/>
  <c r="AL1059" i="24"/>
  <c r="AK1059" i="24"/>
  <c r="AN1069" i="24"/>
  <c r="AM1069" i="24"/>
  <c r="AL1069" i="24"/>
  <c r="AK1069" i="24"/>
  <c r="AN1074" i="24"/>
  <c r="AM1074" i="24"/>
  <c r="AL1074" i="24"/>
  <c r="AK1074" i="24"/>
  <c r="AN1083" i="24"/>
  <c r="AM1083" i="24"/>
  <c r="AL1083" i="24"/>
  <c r="AK1083" i="24"/>
  <c r="AN1087" i="24"/>
  <c r="AM1087" i="24"/>
  <c r="AL1087" i="24"/>
  <c r="AK1087" i="24"/>
  <c r="AN1092" i="24"/>
  <c r="AM1092" i="24"/>
  <c r="AL1092" i="24"/>
  <c r="AK1092" i="24"/>
  <c r="AN1099" i="24"/>
  <c r="AM1099" i="24"/>
  <c r="AL1099" i="24"/>
  <c r="AK1099" i="24"/>
  <c r="AN1106" i="24"/>
  <c r="AM1106" i="24"/>
  <c r="AL1106" i="24"/>
  <c r="AK1106" i="24"/>
  <c r="AP1109" i="24"/>
  <c r="AN1117" i="24"/>
  <c r="AM1117" i="24"/>
  <c r="AL1117" i="24"/>
  <c r="AK1117" i="24"/>
  <c r="AN1120" i="24"/>
  <c r="AM1120" i="24"/>
  <c r="AL1120" i="24"/>
  <c r="AK1120" i="24"/>
  <c r="AN1122" i="24"/>
  <c r="AM1122" i="24"/>
  <c r="AL1122" i="24"/>
  <c r="AK1122" i="24"/>
  <c r="AN1129" i="24"/>
  <c r="AM1129" i="24"/>
  <c r="AL1129" i="24"/>
  <c r="AK1129" i="24"/>
  <c r="AN1134" i="24"/>
  <c r="AM1134" i="24"/>
  <c r="AL1134" i="24"/>
  <c r="AK1134" i="24"/>
  <c r="AN1139" i="24"/>
  <c r="AM1139" i="24"/>
  <c r="AL1139" i="24"/>
  <c r="AK1139" i="24"/>
  <c r="AP1143" i="24"/>
  <c r="AN1146" i="24"/>
  <c r="AM1146" i="24"/>
  <c r="AL1146" i="24"/>
  <c r="AK1146" i="24"/>
  <c r="AN1151" i="24"/>
  <c r="AM1151" i="24"/>
  <c r="AL1151" i="24"/>
  <c r="AK1151" i="24"/>
  <c r="AN1153" i="24"/>
  <c r="AM1153" i="24"/>
  <c r="AL1153" i="24"/>
  <c r="AK1153" i="24"/>
  <c r="AN1156" i="24"/>
  <c r="AM1156" i="24"/>
  <c r="AL1156" i="24"/>
  <c r="AK1156" i="24"/>
  <c r="AP1158" i="24"/>
  <c r="AN1162" i="24"/>
  <c r="AM1162" i="24"/>
  <c r="AL1162" i="24"/>
  <c r="AK1162" i="24"/>
  <c r="AN1168" i="24"/>
  <c r="AM1168" i="24"/>
  <c r="AL1168" i="24"/>
  <c r="AK1168" i="24"/>
  <c r="AN1182" i="24"/>
  <c r="AM1182" i="24"/>
  <c r="AL1182" i="24"/>
  <c r="AK1182" i="24"/>
  <c r="AN1186" i="24"/>
  <c r="AM1186" i="24"/>
  <c r="AL1186" i="24"/>
  <c r="AK1186" i="24"/>
  <c r="AP1188" i="24"/>
  <c r="AN1188" i="24"/>
  <c r="AM1188" i="24"/>
  <c r="AL1188" i="24"/>
  <c r="AK1188" i="24"/>
  <c r="AN1193" i="24"/>
  <c r="AM1193" i="24"/>
  <c r="AL1193" i="24"/>
  <c r="AK1193" i="24"/>
  <c r="AN1197" i="24"/>
  <c r="AM1197" i="24"/>
  <c r="AL1197" i="24"/>
  <c r="AK1197" i="24"/>
  <c r="AP1200" i="24"/>
  <c r="AN1200" i="24"/>
  <c r="AM1200" i="24"/>
  <c r="AL1200" i="24"/>
  <c r="AK1200" i="24"/>
  <c r="AN1204" i="24"/>
  <c r="AM1204" i="24"/>
  <c r="AL1204" i="24"/>
  <c r="AK1204" i="24"/>
  <c r="AN1211" i="24"/>
  <c r="AM1211" i="24"/>
  <c r="AL1211" i="24"/>
  <c r="AK1211" i="24"/>
  <c r="AN1221" i="24"/>
  <c r="AM1221" i="24"/>
  <c r="AL1221" i="24"/>
  <c r="AK1221" i="24"/>
  <c r="AN1226" i="24"/>
  <c r="AM1226" i="24"/>
  <c r="AL1226" i="24"/>
  <c r="AK1226" i="24"/>
  <c r="AN1231" i="24"/>
  <c r="AM1231" i="24"/>
  <c r="AL1231" i="24"/>
  <c r="AK1231" i="24"/>
  <c r="AP1234" i="24"/>
  <c r="AN1234" i="24"/>
  <c r="AM1234" i="24"/>
  <c r="AL1234" i="24"/>
  <c r="AK1234" i="24"/>
  <c r="AN1239" i="24"/>
  <c r="AM1239" i="24"/>
  <c r="AL1239" i="24"/>
  <c r="AK1239" i="24"/>
  <c r="AN1240" i="24"/>
  <c r="AM1240" i="24"/>
  <c r="AL1240" i="24"/>
  <c r="AK1240" i="24"/>
  <c r="AP1249" i="24"/>
  <c r="AN1249" i="24"/>
  <c r="AM1249" i="24"/>
  <c r="AL1249" i="24"/>
  <c r="AK1249" i="24"/>
  <c r="AN1254" i="24"/>
  <c r="AM1254" i="24"/>
  <c r="AL1254" i="24"/>
  <c r="AK1254" i="24"/>
  <c r="AN1257" i="24"/>
  <c r="AM1257" i="24"/>
  <c r="AL1257" i="24"/>
  <c r="AK1257" i="24"/>
  <c r="AN1262" i="24"/>
  <c r="AM1262" i="24"/>
  <c r="AL1262" i="24"/>
  <c r="AK1262" i="24"/>
  <c r="AN1264" i="24"/>
  <c r="AM1264" i="24"/>
  <c r="AL1264" i="24"/>
  <c r="AK1264" i="24"/>
  <c r="AP1269" i="24"/>
  <c r="AN1269" i="24"/>
  <c r="AM1269" i="24"/>
  <c r="AL1269" i="24"/>
  <c r="AK1269" i="24"/>
  <c r="AN1274" i="24"/>
  <c r="AM1274" i="24"/>
  <c r="AL1274" i="24"/>
  <c r="AK1274" i="24"/>
  <c r="AN1277" i="24"/>
  <c r="AM1277" i="24"/>
  <c r="AL1277" i="24"/>
  <c r="AK1277" i="24"/>
  <c r="AN1282" i="24"/>
  <c r="AM1282" i="24"/>
  <c r="AL1282" i="24"/>
  <c r="AK1282" i="24"/>
  <c r="AN1287" i="24"/>
  <c r="AM1287" i="24"/>
  <c r="AL1287" i="24"/>
  <c r="AK1287" i="24"/>
  <c r="AP1291" i="24"/>
  <c r="AN1291" i="24"/>
  <c r="AM1291" i="24"/>
  <c r="AL1291" i="24"/>
  <c r="AK1291" i="24"/>
  <c r="AN1294" i="24"/>
  <c r="AM1294" i="24"/>
  <c r="AL1294" i="24"/>
  <c r="AK1294" i="24"/>
  <c r="AN1299" i="24"/>
  <c r="AM1299" i="24"/>
  <c r="AL1299" i="24"/>
  <c r="AK1299" i="24"/>
  <c r="AN1304" i="24"/>
  <c r="AM1304" i="24"/>
  <c r="AL1304" i="24"/>
  <c r="AK1304" i="24"/>
  <c r="AN1310" i="24"/>
  <c r="AM1310" i="24"/>
  <c r="AL1310" i="24"/>
  <c r="AK1310" i="24"/>
  <c r="AP1315" i="24"/>
  <c r="AN1320" i="24"/>
  <c r="AM1320" i="24"/>
  <c r="AL1320" i="24"/>
  <c r="AK1320" i="24"/>
  <c r="AN1327" i="24"/>
  <c r="AM1327" i="24"/>
  <c r="AL1327" i="24"/>
  <c r="AK1327" i="24"/>
  <c r="AN1332" i="24"/>
  <c r="AM1332" i="24"/>
  <c r="AL1332" i="24"/>
  <c r="AK1332" i="24"/>
  <c r="AP1336" i="24"/>
  <c r="AN1336" i="24"/>
  <c r="AM1336" i="24"/>
  <c r="AL1336" i="24"/>
  <c r="AK1336" i="24"/>
  <c r="AN1339" i="24"/>
  <c r="AM1339" i="24"/>
  <c r="AL1339" i="24"/>
  <c r="AK1339" i="24"/>
  <c r="AN1344" i="24"/>
  <c r="AM1344" i="24"/>
  <c r="AL1344" i="24"/>
  <c r="AK1344" i="24"/>
  <c r="AN1349" i="24"/>
  <c r="AM1349" i="24"/>
  <c r="AL1349" i="24"/>
  <c r="AK1349" i="24"/>
  <c r="AN1354" i="24"/>
  <c r="AM1354" i="24"/>
  <c r="AL1354" i="24"/>
  <c r="AK1354" i="24"/>
  <c r="AN1356" i="24"/>
  <c r="AM1356" i="24"/>
  <c r="AL1356" i="24"/>
  <c r="AK1356" i="24"/>
  <c r="AN1361" i="24"/>
  <c r="AM1361" i="24"/>
  <c r="AL1361" i="24"/>
  <c r="AK1361" i="24"/>
  <c r="AN1366" i="24"/>
  <c r="AM1366" i="24"/>
  <c r="AL1366" i="24"/>
  <c r="AK1366" i="24"/>
  <c r="AN1371" i="24"/>
  <c r="AM1371" i="24"/>
  <c r="AL1371" i="24"/>
  <c r="AK1371" i="24"/>
  <c r="AN1379" i="24"/>
  <c r="AM1379" i="24"/>
  <c r="AL1379" i="24"/>
  <c r="AK1379" i="24"/>
  <c r="AN1382" i="24"/>
  <c r="AM1382" i="24"/>
  <c r="AL1382" i="24"/>
  <c r="AK1382" i="24"/>
  <c r="AN1385" i="24"/>
  <c r="AM1385" i="24"/>
  <c r="AL1385" i="24"/>
  <c r="AK1385" i="24"/>
  <c r="AN1387" i="24"/>
  <c r="AM1387" i="24"/>
  <c r="AL1387" i="24"/>
  <c r="AK1387" i="24"/>
  <c r="AP1393" i="24"/>
  <c r="AN1393" i="24"/>
  <c r="AM1393" i="24"/>
  <c r="AL1393" i="24"/>
  <c r="AK1393" i="24"/>
  <c r="AN1399" i="24"/>
  <c r="AM1399" i="24"/>
  <c r="AL1399" i="24"/>
  <c r="AK1399" i="24"/>
  <c r="AP1402" i="24"/>
  <c r="AN1402" i="24"/>
  <c r="AM1402" i="24"/>
  <c r="AL1402" i="24"/>
  <c r="AK1402" i="24"/>
  <c r="AN1404" i="24"/>
  <c r="AM1404" i="24"/>
  <c r="AL1404" i="24"/>
  <c r="AK1404" i="24"/>
  <c r="AN1409" i="24"/>
  <c r="AM1409" i="24"/>
  <c r="AL1409" i="24"/>
  <c r="AK1409" i="24"/>
  <c r="AN1414" i="24"/>
  <c r="AM1414" i="24"/>
  <c r="AL1414" i="24"/>
  <c r="AK1414" i="24"/>
  <c r="AP1420" i="24"/>
  <c r="AN1420" i="24"/>
  <c r="AM1420" i="24"/>
  <c r="AL1420" i="24"/>
  <c r="AK1420" i="24"/>
  <c r="AP1423" i="24"/>
  <c r="AN1423" i="24"/>
  <c r="AM1423" i="24"/>
  <c r="AL1423" i="24"/>
  <c r="AK1423" i="24"/>
  <c r="AP1428" i="24"/>
  <c r="AN1428" i="24"/>
  <c r="AM1428" i="24"/>
  <c r="AL1428" i="24"/>
  <c r="AK1428" i="24"/>
  <c r="AP1433" i="24"/>
  <c r="AN1433" i="24"/>
  <c r="AM1433" i="24"/>
  <c r="AL1433" i="24"/>
  <c r="AK1433" i="24"/>
  <c r="AP1438" i="24"/>
  <c r="AN1438" i="24"/>
  <c r="AM1438" i="24"/>
  <c r="AL1438" i="24"/>
  <c r="AK1438" i="24"/>
  <c r="AP1443" i="24"/>
  <c r="AN1443" i="24"/>
  <c r="AM1443" i="24"/>
  <c r="AL1443" i="24"/>
  <c r="AK1443" i="24"/>
  <c r="AP1449" i="24"/>
  <c r="AN1449" i="24"/>
  <c r="AM1449" i="24"/>
  <c r="AL1449" i="24"/>
  <c r="AK1449" i="24"/>
  <c r="AP1454" i="24"/>
  <c r="AN1454" i="24"/>
  <c r="AM1454" i="24"/>
  <c r="AL1454" i="24"/>
  <c r="AK1454" i="24"/>
  <c r="AP1459" i="24"/>
  <c r="AP1464" i="24"/>
  <c r="AN1464" i="24"/>
  <c r="AM1464" i="24"/>
  <c r="AL1464" i="24"/>
  <c r="AK1464" i="24"/>
  <c r="AN1471" i="24"/>
  <c r="AM1471" i="24"/>
  <c r="AL1471" i="24"/>
  <c r="AK1471" i="24"/>
  <c r="AN1477" i="24"/>
  <c r="AM1477" i="24"/>
  <c r="AL1477" i="24"/>
  <c r="AK1477" i="24"/>
  <c r="AN1481" i="24"/>
  <c r="AM1481" i="24"/>
  <c r="AL1481" i="24"/>
  <c r="AK1481" i="24"/>
  <c r="AN1485" i="24"/>
  <c r="AM1485" i="24"/>
  <c r="AL1485" i="24"/>
  <c r="AK1485" i="24"/>
  <c r="AN1495" i="24"/>
  <c r="AM1495" i="24"/>
  <c r="AL1495" i="24"/>
  <c r="AK1495" i="24"/>
  <c r="AN982" i="24"/>
  <c r="AM982" i="24"/>
  <c r="AL982" i="24"/>
  <c r="AK982" i="24"/>
  <c r="AN987" i="24"/>
  <c r="AM987" i="24"/>
  <c r="AL987" i="24"/>
  <c r="AK987" i="24"/>
  <c r="AP994" i="24"/>
  <c r="AN994" i="24"/>
  <c r="AM994" i="24"/>
  <c r="AL994" i="24"/>
  <c r="AK994" i="24"/>
  <c r="AP1002" i="24"/>
  <c r="AN1002" i="24"/>
  <c r="AM1002" i="24"/>
  <c r="AL1002" i="24"/>
  <c r="AK1002" i="24"/>
  <c r="AP1007" i="24"/>
  <c r="AN1007" i="24"/>
  <c r="AM1007" i="24"/>
  <c r="AL1007" i="24"/>
  <c r="AK1007" i="24"/>
  <c r="AP1012" i="24"/>
  <c r="AN1012" i="24"/>
  <c r="AM1012" i="24"/>
  <c r="AL1012" i="24"/>
  <c r="AK1012" i="24"/>
  <c r="AP1018" i="24"/>
  <c r="AN1018" i="24"/>
  <c r="AM1018" i="24"/>
  <c r="AL1018" i="24"/>
  <c r="AK1018" i="24"/>
  <c r="AP1023" i="24"/>
  <c r="AN1023" i="24"/>
  <c r="AM1023" i="24"/>
  <c r="AL1023" i="24"/>
  <c r="AK1023" i="24"/>
  <c r="AP1026" i="24"/>
  <c r="AN1026" i="24"/>
  <c r="AM1026" i="24"/>
  <c r="AL1026" i="24"/>
  <c r="AK1026" i="24"/>
  <c r="AP1031" i="24"/>
  <c r="AN1031" i="24"/>
  <c r="AM1031" i="24"/>
  <c r="AL1031" i="24"/>
  <c r="AK1031" i="24"/>
  <c r="AP1036" i="24"/>
  <c r="AN1036" i="24"/>
  <c r="AM1036" i="24"/>
  <c r="AL1036" i="24"/>
  <c r="AK1036" i="24"/>
  <c r="AP1041" i="24"/>
  <c r="AN1041" i="24"/>
  <c r="AM1041" i="24"/>
  <c r="AL1041" i="24"/>
  <c r="AK1041" i="24"/>
  <c r="AP1046" i="24"/>
  <c r="AN1046" i="24"/>
  <c r="AM1046" i="24"/>
  <c r="AL1046" i="24"/>
  <c r="AK1046" i="24"/>
  <c r="AP1051" i="24"/>
  <c r="AN1051" i="24"/>
  <c r="AM1051" i="24"/>
  <c r="AL1051" i="24"/>
  <c r="AK1051" i="24"/>
  <c r="AP1056" i="24"/>
  <c r="AN1056" i="24"/>
  <c r="AM1056" i="24"/>
  <c r="AL1056" i="24"/>
  <c r="AK1056" i="24"/>
  <c r="AP1061" i="24"/>
  <c r="AN1076" i="24"/>
  <c r="AM1076" i="24"/>
  <c r="AL1076" i="24"/>
  <c r="AK1076" i="24"/>
  <c r="AN1080" i="24"/>
  <c r="AM1080" i="24"/>
  <c r="AL1080" i="24"/>
  <c r="AK1080" i="24"/>
  <c r="AP1093" i="24"/>
  <c r="AN1093" i="24"/>
  <c r="AM1093" i="24"/>
  <c r="AL1093" i="24"/>
  <c r="AK1093" i="24"/>
  <c r="AN1096" i="24"/>
  <c r="AM1096" i="24"/>
  <c r="AL1096" i="24"/>
  <c r="AK1096" i="24"/>
  <c r="AN1103" i="24"/>
  <c r="AM1103" i="24"/>
  <c r="AL1103" i="24"/>
  <c r="AK1103" i="24"/>
  <c r="AN1114" i="24"/>
  <c r="AM1114" i="24"/>
  <c r="AL1114" i="24"/>
  <c r="AK1114" i="24"/>
  <c r="AP1123" i="24"/>
  <c r="AN1123" i="24"/>
  <c r="AM1123" i="24"/>
  <c r="AL1123" i="24"/>
  <c r="AK1123" i="24"/>
  <c r="AN1136" i="24"/>
  <c r="AM1136" i="24"/>
  <c r="AL1136" i="24"/>
  <c r="AK1136" i="24"/>
  <c r="AP1141" i="24"/>
  <c r="AN1141" i="24"/>
  <c r="AM1141" i="24"/>
  <c r="AL1141" i="24"/>
  <c r="AK1141" i="24"/>
  <c r="AN1148" i="24"/>
  <c r="AM1148" i="24"/>
  <c r="AL1148" i="24"/>
  <c r="AK1148" i="24"/>
  <c r="AN1163" i="24"/>
  <c r="AM1163" i="24"/>
  <c r="AL1163" i="24"/>
  <c r="AK1163" i="24"/>
  <c r="AN1166" i="24"/>
  <c r="AM1166" i="24"/>
  <c r="AL1166" i="24"/>
  <c r="AK1166" i="24"/>
  <c r="AN1169" i="24"/>
  <c r="AM1169" i="24"/>
  <c r="AL1169" i="24"/>
  <c r="AK1169" i="24"/>
  <c r="AN1172" i="24"/>
  <c r="AM1172" i="24"/>
  <c r="AL1172" i="24"/>
  <c r="AK1172" i="24"/>
  <c r="AP1176" i="24"/>
  <c r="AN1176" i="24"/>
  <c r="AM1176" i="24"/>
  <c r="AL1176" i="24"/>
  <c r="AK1176" i="24"/>
  <c r="AN1180" i="24"/>
  <c r="AM1180" i="24"/>
  <c r="AL1180" i="24"/>
  <c r="AK1180" i="24"/>
  <c r="AN1195" i="24"/>
  <c r="AM1195" i="24"/>
  <c r="AL1195" i="24"/>
  <c r="AK1195" i="24"/>
  <c r="AN1208" i="24"/>
  <c r="AM1208" i="24"/>
  <c r="AL1208" i="24"/>
  <c r="AK1208" i="24"/>
  <c r="AN1218" i="24"/>
  <c r="AM1218" i="24"/>
  <c r="AL1218" i="24"/>
  <c r="AK1218" i="24"/>
  <c r="AN1223" i="24"/>
  <c r="AM1223" i="24"/>
  <c r="AL1223" i="24"/>
  <c r="AK1223" i="24"/>
  <c r="AN1228" i="24"/>
  <c r="AM1228" i="24"/>
  <c r="AL1228" i="24"/>
  <c r="AK1228" i="24"/>
  <c r="AN1242" i="24"/>
  <c r="AM1242" i="24"/>
  <c r="AL1242" i="24"/>
  <c r="AK1242" i="24"/>
  <c r="AP1247" i="24"/>
  <c r="AN1247" i="24"/>
  <c r="AM1247" i="24"/>
  <c r="AL1247" i="24"/>
  <c r="AK1247" i="24"/>
  <c r="AN1251" i="24"/>
  <c r="AM1251" i="24"/>
  <c r="AL1251" i="24"/>
  <c r="AK1251" i="24"/>
  <c r="AN1259" i="24"/>
  <c r="AM1259" i="24"/>
  <c r="AL1259" i="24"/>
  <c r="AK1259" i="24"/>
  <c r="AP1266" i="24"/>
  <c r="AN1266" i="24"/>
  <c r="AM1266" i="24"/>
  <c r="AL1266" i="24"/>
  <c r="AK1266" i="24"/>
  <c r="AN1271" i="24"/>
  <c r="AM1271" i="24"/>
  <c r="AL1271" i="24"/>
  <c r="AK1271" i="24"/>
  <c r="AN1276" i="24"/>
  <c r="AM1276" i="24"/>
  <c r="AL1276" i="24"/>
  <c r="AK1276" i="24"/>
  <c r="AN1279" i="24"/>
  <c r="AM1279" i="24"/>
  <c r="AL1279" i="24"/>
  <c r="AK1279" i="24"/>
  <c r="AN1284" i="24"/>
  <c r="AM1284" i="24"/>
  <c r="AL1284" i="24"/>
  <c r="AK1284" i="24"/>
  <c r="AP1289" i="24"/>
  <c r="AN1289" i="24"/>
  <c r="AM1289" i="24"/>
  <c r="AL1289" i="24"/>
  <c r="AK1289" i="24"/>
  <c r="AN1296" i="24"/>
  <c r="AM1296" i="24"/>
  <c r="AL1296" i="24"/>
  <c r="AK1296" i="24"/>
  <c r="AN1307" i="24"/>
  <c r="AM1307" i="24"/>
  <c r="AL1307" i="24"/>
  <c r="AK1307" i="24"/>
  <c r="AP1312" i="24"/>
  <c r="AN1312" i="24"/>
  <c r="AM1312" i="24"/>
  <c r="AL1312" i="24"/>
  <c r="AK1312" i="24"/>
  <c r="AN1317" i="24"/>
  <c r="AM1317" i="24"/>
  <c r="AL1317" i="24"/>
  <c r="AK1317" i="24"/>
  <c r="AN1321" i="24"/>
  <c r="AM1321" i="24"/>
  <c r="AL1321" i="24"/>
  <c r="AK1321" i="24"/>
  <c r="AN1324" i="24"/>
  <c r="AM1324" i="24"/>
  <c r="AL1324" i="24"/>
  <c r="AK1324" i="24"/>
  <c r="AN1329" i="24"/>
  <c r="AM1329" i="24"/>
  <c r="AL1329" i="24"/>
  <c r="AK1329" i="24"/>
  <c r="AP1334" i="24"/>
  <c r="AN1334" i="24"/>
  <c r="AM1334" i="24"/>
  <c r="AL1334" i="24"/>
  <c r="AK1334" i="24"/>
  <c r="AN1341" i="24"/>
  <c r="AM1341" i="24"/>
  <c r="AL1341" i="24"/>
  <c r="AK1341" i="24"/>
  <c r="AN1346" i="24"/>
  <c r="AM1346" i="24"/>
  <c r="AL1346" i="24"/>
  <c r="AK1346" i="24"/>
  <c r="AN1351" i="24"/>
  <c r="AM1351" i="24"/>
  <c r="AL1351" i="24"/>
  <c r="AK1351" i="24"/>
  <c r="AN1358" i="24"/>
  <c r="AM1358" i="24"/>
  <c r="AL1358" i="24"/>
  <c r="AK1358" i="24"/>
  <c r="AN1363" i="24"/>
  <c r="AM1363" i="24"/>
  <c r="AL1363" i="24"/>
  <c r="AK1363" i="24"/>
  <c r="AN1368" i="24"/>
  <c r="AM1368" i="24"/>
  <c r="AL1368" i="24"/>
  <c r="AK1368" i="24"/>
  <c r="AN1373" i="24"/>
  <c r="AM1373" i="24"/>
  <c r="AL1373" i="24"/>
  <c r="AK1373" i="24"/>
  <c r="AN1376" i="24"/>
  <c r="AM1376" i="24"/>
  <c r="AL1376" i="24"/>
  <c r="AK1376" i="24"/>
  <c r="AN1383" i="24"/>
  <c r="AM1383" i="24"/>
  <c r="AL1383" i="24"/>
  <c r="AK1383" i="24"/>
  <c r="AN1396" i="24"/>
  <c r="AM1396" i="24"/>
  <c r="AL1396" i="24"/>
  <c r="AK1396" i="24"/>
  <c r="AN1406" i="24"/>
  <c r="AM1406" i="24"/>
  <c r="AL1406" i="24"/>
  <c r="AK1406" i="24"/>
  <c r="AP1417" i="24"/>
  <c r="AN1417" i="24"/>
  <c r="AM1417" i="24"/>
  <c r="AL1417" i="24"/>
  <c r="AK1417" i="24"/>
  <c r="AP1425" i="24"/>
  <c r="AN1425" i="24"/>
  <c r="AM1425" i="24"/>
  <c r="AL1425" i="24"/>
  <c r="AK1425" i="24"/>
  <c r="AP1430" i="24"/>
  <c r="AN1430" i="24"/>
  <c r="AM1430" i="24"/>
  <c r="AL1430" i="24"/>
  <c r="AK1430" i="24"/>
  <c r="AP1435" i="24"/>
  <c r="AN1435" i="24"/>
  <c r="AM1435" i="24"/>
  <c r="AL1435" i="24"/>
  <c r="AK1435" i="24"/>
  <c r="AP1440" i="24"/>
  <c r="AN1440" i="24"/>
  <c r="AM1440" i="24"/>
  <c r="AL1440" i="24"/>
  <c r="AK1440" i="24"/>
  <c r="AP1446" i="24"/>
  <c r="AN1446" i="24"/>
  <c r="AM1446" i="24"/>
  <c r="AL1446" i="24"/>
  <c r="AK1446" i="24"/>
  <c r="AP1451" i="24"/>
  <c r="AN1451" i="24"/>
  <c r="AM1451" i="24"/>
  <c r="AL1451" i="24"/>
  <c r="AK1451" i="24"/>
  <c r="AP1456" i="24"/>
  <c r="AN1456" i="24"/>
  <c r="AM1456" i="24"/>
  <c r="AL1456" i="24"/>
  <c r="AK1456" i="24"/>
  <c r="AP1461" i="24"/>
  <c r="AN1461" i="24"/>
  <c r="AM1461" i="24"/>
  <c r="AL1461" i="24"/>
  <c r="AK1461" i="24"/>
  <c r="AP1465" i="24"/>
  <c r="AN1479" i="24"/>
  <c r="AM1479" i="24"/>
  <c r="AL1479" i="24"/>
  <c r="AK1479" i="24"/>
  <c r="AN1487" i="24"/>
  <c r="AM1487" i="24"/>
  <c r="AL1487" i="24"/>
  <c r="AK1487" i="24"/>
  <c r="AN1492" i="24"/>
  <c r="AM1492" i="24"/>
  <c r="AL1492" i="24"/>
  <c r="AK1492" i="24"/>
  <c r="AN1499" i="24"/>
  <c r="AM1499" i="24"/>
  <c r="AL1499" i="24"/>
  <c r="AK1499" i="24"/>
  <c r="AK922" i="24"/>
  <c r="AP922" i="24"/>
  <c r="AM564" i="24"/>
  <c r="AP564" i="24"/>
  <c r="AK544" i="24"/>
  <c r="AP544" i="24"/>
  <c r="AN102" i="24"/>
  <c r="AP102" i="24"/>
  <c r="AL888" i="24"/>
  <c r="AP888" i="24"/>
  <c r="AN157" i="24"/>
  <c r="AP157" i="24"/>
  <c r="AL880" i="24"/>
  <c r="AO880" i="24" s="1"/>
  <c r="AP880" i="24"/>
  <c r="I43" i="3"/>
  <c r="I29" i="3"/>
  <c r="AM716" i="24"/>
  <c r="AN25" i="24"/>
  <c r="AL25" i="24"/>
  <c r="AL758" i="24"/>
  <c r="AK758" i="24"/>
  <c r="AK527" i="24"/>
  <c r="AM25" i="24"/>
  <c r="AM527" i="24"/>
  <c r="AM758" i="24"/>
  <c r="AL527" i="24"/>
  <c r="AP505" i="24"/>
  <c r="AN527" i="24"/>
  <c r="AL338" i="24"/>
  <c r="AN12" i="24"/>
  <c r="AN15" i="24"/>
  <c r="AN671" i="24"/>
  <c r="AM15" i="24"/>
  <c r="W680" i="24"/>
  <c r="X680" i="24" s="1"/>
  <c r="AD680" i="24" s="1"/>
  <c r="AF680" i="24" s="1"/>
  <c r="AL680" i="24" s="1"/>
  <c r="W678" i="24"/>
  <c r="X678" i="24" s="1"/>
  <c r="AD678" i="24" s="1"/>
  <c r="AF678" i="24" s="1"/>
  <c r="W683" i="24"/>
  <c r="X683" i="24" s="1"/>
  <c r="AD683" i="24" s="1"/>
  <c r="AF683" i="24" s="1"/>
  <c r="AP683" i="24" s="1"/>
  <c r="W679" i="24"/>
  <c r="X679" i="24" s="1"/>
  <c r="AD679" i="24" s="1"/>
  <c r="AF679" i="24" s="1"/>
  <c r="AN679" i="24" s="1"/>
  <c r="W675" i="24"/>
  <c r="X675" i="24" s="1"/>
  <c r="AD675" i="24" s="1"/>
  <c r="AF675" i="24" s="1"/>
  <c r="AN675" i="24" s="1"/>
  <c r="W684" i="24"/>
  <c r="X684" i="24" s="1"/>
  <c r="AD684" i="24" s="1"/>
  <c r="AF684" i="24" s="1"/>
  <c r="AL684" i="24" s="1"/>
  <c r="W677" i="24"/>
  <c r="X677" i="24" s="1"/>
  <c r="AD677" i="24" s="1"/>
  <c r="AF677" i="24" s="1"/>
  <c r="AP677" i="24" s="1"/>
  <c r="W682" i="24"/>
  <c r="X682" i="24" s="1"/>
  <c r="AD682" i="24" s="1"/>
  <c r="AF682" i="24" s="1"/>
  <c r="AK682" i="24" s="1"/>
  <c r="W685" i="24"/>
  <c r="X685" i="24" s="1"/>
  <c r="AD685" i="24" s="1"/>
  <c r="AF685" i="24" s="1"/>
  <c r="AK685" i="24" s="1"/>
  <c r="AL671" i="24"/>
  <c r="AM748" i="24"/>
  <c r="AK748" i="24"/>
  <c r="AN748" i="24"/>
  <c r="AN716" i="24"/>
  <c r="AK12" i="24"/>
  <c r="AK716" i="24"/>
  <c r="AM671" i="24"/>
  <c r="AM12" i="24"/>
  <c r="AN76" i="24"/>
  <c r="AN338" i="24"/>
  <c r="AM338" i="24"/>
  <c r="AM76" i="24"/>
  <c r="AL451" i="24"/>
  <c r="AM451" i="24"/>
  <c r="AK81" i="24"/>
  <c r="AM200" i="24"/>
  <c r="AN451" i="24"/>
  <c r="AN81" i="24"/>
  <c r="AN200" i="24"/>
  <c r="AK200" i="24"/>
  <c r="AK451" i="24"/>
  <c r="AM81" i="24"/>
  <c r="AG2023" i="24"/>
  <c r="AG2024" i="24" s="1"/>
  <c r="AE2024" i="24"/>
  <c r="AL76" i="24"/>
  <c r="AF2028" i="24"/>
  <c r="AG2026" i="24"/>
  <c r="AG2028" i="24" s="1"/>
  <c r="AK338" i="24"/>
  <c r="AD2026" i="24"/>
  <c r="AD2028" i="24" s="1"/>
  <c r="AC2028" i="24"/>
  <c r="AK487" i="24"/>
  <c r="AM568" i="24"/>
  <c r="AP482" i="24"/>
  <c r="AK568" i="24"/>
  <c r="AM487" i="24"/>
  <c r="AL568" i="24"/>
  <c r="AD2022" i="24"/>
  <c r="AD2024" i="24" s="1"/>
  <c r="AB2024" i="24"/>
  <c r="AL164" i="24"/>
  <c r="AK349" i="24"/>
  <c r="AM775" i="24"/>
  <c r="AK700" i="24"/>
  <c r="AK144" i="24"/>
  <c r="AK509" i="24"/>
  <c r="AM164" i="24"/>
  <c r="AN775" i="24"/>
  <c r="AN144" i="24"/>
  <c r="AM509" i="24"/>
  <c r="AL775" i="24"/>
  <c r="AL144" i="24"/>
  <c r="AL509" i="24"/>
  <c r="AK164" i="24"/>
  <c r="AM144" i="24"/>
  <c r="AN509" i="24"/>
  <c r="AN164" i="24"/>
  <c r="AM124" i="24"/>
  <c r="AN124" i="24"/>
  <c r="AL124" i="24"/>
  <c r="AP349" i="24"/>
  <c r="AN641" i="24"/>
  <c r="AK915" i="24"/>
  <c r="AM651" i="24"/>
  <c r="AM262" i="24"/>
  <c r="AN544" i="24"/>
  <c r="AM600" i="24"/>
  <c r="AL600" i="24"/>
  <c r="AL257" i="24"/>
  <c r="AP867" i="24"/>
  <c r="AM257" i="24"/>
  <c r="AM86" i="24"/>
  <c r="AM590" i="24"/>
  <c r="AN257" i="24"/>
  <c r="AK86" i="24"/>
  <c r="AN590" i="24"/>
  <c r="AL858" i="24"/>
  <c r="AK257" i="24"/>
  <c r="AL86" i="24"/>
  <c r="AL590" i="24"/>
  <c r="AM953" i="24"/>
  <c r="AP858" i="24"/>
  <c r="AK858" i="24"/>
  <c r="AM858" i="24"/>
  <c r="AP946" i="24"/>
  <c r="AN948" i="24"/>
  <c r="AK948" i="24"/>
  <c r="AN320" i="24"/>
  <c r="AL320" i="24"/>
  <c r="AK961" i="24"/>
  <c r="AM320" i="24"/>
  <c r="AK973" i="24"/>
  <c r="AL973" i="24"/>
  <c r="AM973" i="24"/>
  <c r="AK646" i="24"/>
  <c r="AN973" i="24"/>
  <c r="AN646" i="24"/>
  <c r="AK958" i="24"/>
  <c r="AL937" i="24"/>
  <c r="AM958" i="24"/>
  <c r="AN958" i="24"/>
  <c r="AM961" i="24"/>
  <c r="AP958" i="24"/>
  <c r="AL942" i="24"/>
  <c r="AP942" i="24"/>
  <c r="AN942" i="24"/>
  <c r="AK942" i="24"/>
  <c r="AP937" i="24"/>
  <c r="AP955" i="24"/>
  <c r="AP948" i="24"/>
  <c r="AM948" i="24"/>
  <c r="AP944" i="24"/>
  <c r="AL940" i="24"/>
  <c r="AN961" i="24"/>
  <c r="AL922" i="24"/>
  <c r="AP981" i="24"/>
  <c r="AP961" i="24"/>
  <c r="AL968" i="24"/>
  <c r="AM937" i="24"/>
  <c r="AN937" i="24"/>
  <c r="AN953" i="24"/>
  <c r="AK950" i="24"/>
  <c r="AK968" i="24"/>
  <c r="AK940" i="24"/>
  <c r="AN968" i="24"/>
  <c r="AM940" i="24"/>
  <c r="AN950" i="24"/>
  <c r="AN940" i="24"/>
  <c r="AP950" i="24"/>
  <c r="AL950" i="24"/>
  <c r="AK953" i="24"/>
  <c r="AL953" i="24"/>
  <c r="AP968" i="24"/>
  <c r="AP963" i="24"/>
  <c r="AP976" i="24"/>
  <c r="AK963" i="24"/>
  <c r="AL963" i="24"/>
  <c r="AM963" i="24"/>
  <c r="AM380" i="24"/>
  <c r="AN951" i="24"/>
  <c r="AK651" i="24"/>
  <c r="AN831" i="24"/>
  <c r="AN262" i="24"/>
  <c r="AN651" i="24"/>
  <c r="AK831" i="24"/>
  <c r="AL262" i="24"/>
  <c r="AN915" i="24"/>
  <c r="AM831" i="24"/>
  <c r="AP929" i="24"/>
  <c r="AL915" i="24"/>
  <c r="AN380" i="24"/>
  <c r="AL380" i="24"/>
  <c r="AK343" i="24"/>
  <c r="AM139" i="24"/>
  <c r="AN343" i="24"/>
  <c r="AK926" i="24"/>
  <c r="AL139" i="24"/>
  <c r="AM343" i="24"/>
  <c r="AK139" i="24"/>
  <c r="AL343" i="24"/>
  <c r="AL951" i="24"/>
  <c r="AN966" i="24"/>
  <c r="AM966" i="24"/>
  <c r="AM922" i="24"/>
  <c r="AN956" i="24"/>
  <c r="AK956" i="24"/>
  <c r="AP951" i="24"/>
  <c r="AM956" i="24"/>
  <c r="AK947" i="24"/>
  <c r="AM951" i="24"/>
  <c r="AK966" i="24"/>
  <c r="AP729" i="24"/>
  <c r="AL966" i="24"/>
  <c r="AP956" i="24"/>
  <c r="AL947" i="24"/>
  <c r="AM947" i="24"/>
  <c r="AP980" i="24"/>
  <c r="AK980" i="24"/>
  <c r="AP947" i="24"/>
  <c r="AN980" i="24"/>
  <c r="AL980" i="24"/>
  <c r="AP960" i="24"/>
  <c r="AK960" i="24"/>
  <c r="AL960" i="24"/>
  <c r="AL15" i="24"/>
  <c r="AM332" i="24"/>
  <c r="AN98" i="24"/>
  <c r="AM636" i="24"/>
  <c r="AN332" i="24"/>
  <c r="AM107" i="24"/>
  <c r="AP98" i="24"/>
  <c r="AN107" i="24"/>
  <c r="AL98" i="24"/>
  <c r="AK107" i="24"/>
  <c r="AK98" i="24"/>
  <c r="AN894" i="24"/>
  <c r="AM710" i="24"/>
  <c r="AK894" i="24"/>
  <c r="AL332" i="24"/>
  <c r="AL874" i="24"/>
  <c r="AL710" i="24"/>
  <c r="AL894" i="24"/>
  <c r="AN710" i="24"/>
  <c r="AN874" i="24"/>
  <c r="AM926" i="24"/>
  <c r="AK874" i="24"/>
  <c r="AL926" i="24"/>
  <c r="AK636" i="24"/>
  <c r="AP965" i="24"/>
  <c r="AM960" i="24"/>
  <c r="AK970" i="24"/>
  <c r="AL970" i="24"/>
  <c r="AM970" i="24"/>
  <c r="AN970" i="24"/>
  <c r="AK267" i="24"/>
  <c r="AP267" i="24"/>
  <c r="AN218" i="24"/>
  <c r="AM218" i="24"/>
  <c r="AL218" i="24"/>
  <c r="AK218" i="24"/>
  <c r="AP363" i="24"/>
  <c r="AN363" i="24"/>
  <c r="AM363" i="24"/>
  <c r="AK363" i="24"/>
  <c r="AL363" i="24"/>
  <c r="AN374" i="24"/>
  <c r="AM374" i="24"/>
  <c r="AL374" i="24"/>
  <c r="AK374" i="24"/>
  <c r="AN272" i="24"/>
  <c r="AP272" i="24"/>
  <c r="AP954" i="24"/>
  <c r="AN954" i="24"/>
  <c r="AM954" i="24"/>
  <c r="AL954" i="24"/>
  <c r="AK954" i="24"/>
  <c r="AN221" i="24"/>
  <c r="AM221" i="24"/>
  <c r="AL221" i="24"/>
  <c r="AK221" i="24"/>
  <c r="AN364" i="24"/>
  <c r="AM364" i="24"/>
  <c r="AL364" i="24"/>
  <c r="AK364" i="24"/>
  <c r="AP242" i="24"/>
  <c r="AP536" i="24"/>
  <c r="AP972" i="24"/>
  <c r="AN972" i="24"/>
  <c r="AM972" i="24"/>
  <c r="AL972" i="24"/>
  <c r="AK972" i="24"/>
  <c r="AN58" i="24"/>
  <c r="AM58" i="24"/>
  <c r="AP58" i="24"/>
  <c r="AL58" i="24"/>
  <c r="AK58" i="24"/>
  <c r="AL959" i="24"/>
  <c r="AK959" i="24"/>
  <c r="AP959" i="24"/>
  <c r="AN959" i="24"/>
  <c r="AM959" i="24"/>
  <c r="AN220" i="24"/>
  <c r="AM220" i="24"/>
  <c r="AL220" i="24"/>
  <c r="AK220" i="24"/>
  <c r="AN370" i="24"/>
  <c r="AM370" i="24"/>
  <c r="AL370" i="24"/>
  <c r="AK370" i="24"/>
  <c r="AN365" i="24"/>
  <c r="AM365" i="24"/>
  <c r="AL365" i="24"/>
  <c r="AK365" i="24"/>
  <c r="AP224" i="24"/>
  <c r="AM176" i="24"/>
  <c r="AP176" i="24"/>
  <c r="AL626" i="24"/>
  <c r="AP626" i="24"/>
  <c r="AN705" i="24"/>
  <c r="AP705" i="24"/>
  <c r="AL503" i="24"/>
  <c r="AP503" i="24"/>
  <c r="AP95" i="24"/>
  <c r="AL631" i="24"/>
  <c r="AP631" i="24"/>
  <c r="AN977" i="24"/>
  <c r="AM977" i="24"/>
  <c r="AL977" i="24"/>
  <c r="AK977" i="24"/>
  <c r="AP977" i="24"/>
  <c r="AP964" i="24"/>
  <c r="AN964" i="24"/>
  <c r="AM964" i="24"/>
  <c r="AL964" i="24"/>
  <c r="AK964" i="24"/>
  <c r="AP373" i="24"/>
  <c r="AN369" i="24"/>
  <c r="AM369" i="24"/>
  <c r="AL369" i="24"/>
  <c r="AK369" i="24"/>
  <c r="AP358" i="24"/>
  <c r="AN358" i="24"/>
  <c r="AM358" i="24"/>
  <c r="AK358" i="24"/>
  <c r="AL358" i="24"/>
  <c r="AM934" i="24"/>
  <c r="AL934" i="24"/>
  <c r="AK934" i="24"/>
  <c r="AP934" i="24"/>
  <c r="AN934" i="24"/>
  <c r="AP969" i="24"/>
  <c r="AN969" i="24"/>
  <c r="AM969" i="24"/>
  <c r="AL969" i="24"/>
  <c r="AK969" i="24"/>
  <c r="AN376" i="24"/>
  <c r="AM376" i="24"/>
  <c r="AL376" i="24"/>
  <c r="AK376" i="24"/>
  <c r="AN360" i="24"/>
  <c r="AM360" i="24"/>
  <c r="AL360" i="24"/>
  <c r="AK360" i="24"/>
  <c r="AP355" i="24"/>
  <c r="AK30" i="24"/>
  <c r="AP30" i="24"/>
  <c r="AP939" i="24"/>
  <c r="AN939" i="24"/>
  <c r="AM939" i="24"/>
  <c r="AL939" i="24"/>
  <c r="AK939" i="24"/>
  <c r="AP974" i="24"/>
  <c r="AN974" i="24"/>
  <c r="AM974" i="24"/>
  <c r="AL974" i="24"/>
  <c r="AK974" i="24"/>
  <c r="AN375" i="24"/>
  <c r="AM375" i="24"/>
  <c r="AL375" i="24"/>
  <c r="AK375" i="24"/>
  <c r="AN368" i="24"/>
  <c r="AM368" i="24"/>
  <c r="AL368" i="24"/>
  <c r="AK368" i="24"/>
  <c r="AN223" i="24"/>
  <c r="AM223" i="24"/>
  <c r="AL223" i="24"/>
  <c r="AK223" i="24"/>
  <c r="AP554" i="24"/>
  <c r="AP943" i="24"/>
  <c r="AN943" i="24"/>
  <c r="AM943" i="24"/>
  <c r="AL943" i="24"/>
  <c r="AK943" i="24"/>
  <c r="AM979" i="24"/>
  <c r="AL979" i="24"/>
  <c r="AK979" i="24"/>
  <c r="AP979" i="24"/>
  <c r="AN979" i="24"/>
  <c r="AP377" i="24"/>
  <c r="AN377" i="24"/>
  <c r="AM377" i="24"/>
  <c r="AL377" i="24"/>
  <c r="AK377" i="24"/>
  <c r="AN372" i="24"/>
  <c r="AM372" i="24"/>
  <c r="AL372" i="24"/>
  <c r="AK372" i="24"/>
  <c r="AP354" i="24"/>
  <c r="AN354" i="24"/>
  <c r="AM354" i="24"/>
  <c r="AL354" i="24"/>
  <c r="AK354" i="24"/>
  <c r="AP952" i="24"/>
  <c r="AN952" i="24"/>
  <c r="AM952" i="24"/>
  <c r="AL952" i="24"/>
  <c r="AK952" i="24"/>
  <c r="AP936" i="24"/>
  <c r="AN359" i="24"/>
  <c r="AM359" i="24"/>
  <c r="AL359" i="24"/>
  <c r="AK359" i="24"/>
  <c r="AP357" i="24"/>
  <c r="AK357" i="24"/>
  <c r="AN357" i="24"/>
  <c r="AM357" i="24"/>
  <c r="AL357" i="24"/>
  <c r="AP957" i="24"/>
  <c r="AN941" i="24"/>
  <c r="AM941" i="24"/>
  <c r="AL941" i="24"/>
  <c r="AK941" i="24"/>
  <c r="AP941" i="24"/>
  <c r="AN362" i="24"/>
  <c r="AM362" i="24"/>
  <c r="AL362" i="24"/>
  <c r="AK362" i="24"/>
  <c r="AP356" i="24"/>
  <c r="AP962" i="24"/>
  <c r="AN962" i="24"/>
  <c r="AM962" i="24"/>
  <c r="AL962" i="24"/>
  <c r="AK962" i="24"/>
  <c r="AN945" i="24"/>
  <c r="AM945" i="24"/>
  <c r="AL945" i="24"/>
  <c r="AK945" i="24"/>
  <c r="AP945" i="24"/>
  <c r="AP367" i="24"/>
  <c r="AN367" i="24"/>
  <c r="AM367" i="24"/>
  <c r="AL367" i="24"/>
  <c r="AK367" i="24"/>
  <c r="AK247" i="24"/>
  <c r="AP247" i="24"/>
  <c r="AN352" i="24"/>
  <c r="AP352" i="24"/>
  <c r="AP967" i="24"/>
  <c r="AP949" i="24"/>
  <c r="AN949" i="24"/>
  <c r="AM949" i="24"/>
  <c r="AL949" i="24"/>
  <c r="AK949" i="24"/>
  <c r="AP371" i="24"/>
  <c r="AN222" i="24"/>
  <c r="AM222" i="24"/>
  <c r="AL222" i="24"/>
  <c r="AK222" i="24"/>
  <c r="AP361" i="24"/>
  <c r="AN215" i="24"/>
  <c r="AM743" i="24"/>
  <c r="AK867" i="24"/>
  <c r="AL867" i="24"/>
  <c r="AM867" i="24"/>
  <c r="AL134" i="24"/>
  <c r="AM35" i="24"/>
  <c r="AM692" i="24"/>
  <c r="AN692" i="24"/>
  <c r="AK692" i="24"/>
  <c r="AP195" i="24"/>
  <c r="AN247" i="24"/>
  <c r="AN888" i="24"/>
  <c r="AL544" i="24"/>
  <c r="AK217" i="24"/>
  <c r="AK252" i="24"/>
  <c r="AN600" i="24"/>
  <c r="AN721" i="24"/>
  <c r="AO721" i="24" s="1"/>
  <c r="AR721" i="24" s="1"/>
  <c r="AL656" i="24"/>
  <c r="AM705" i="24"/>
  <c r="AM252" i="24"/>
  <c r="AN176" i="24"/>
  <c r="AM656" i="24"/>
  <c r="AK705" i="24"/>
  <c r="AL176" i="24"/>
  <c r="AK631" i="24"/>
  <c r="AK656" i="24"/>
  <c r="AL705" i="24"/>
  <c r="AL252" i="24"/>
  <c r="AN503" i="24"/>
  <c r="AN631" i="24"/>
  <c r="AM631" i="24"/>
  <c r="AM503" i="24"/>
  <c r="AK503" i="24"/>
  <c r="AP600" i="24"/>
  <c r="AK626" i="24"/>
  <c r="AN626" i="24"/>
  <c r="AL564" i="24"/>
  <c r="AM733" i="24"/>
  <c r="AP572" i="24"/>
  <c r="AK888" i="24"/>
  <c r="AP57" i="24"/>
  <c r="AL215" i="24"/>
  <c r="AM134" i="24"/>
  <c r="AK498" i="24"/>
  <c r="AM420" i="24"/>
  <c r="AL267" i="24"/>
  <c r="AN267" i="24"/>
  <c r="AM267" i="24"/>
  <c r="AM788" i="24"/>
  <c r="AM498" i="24"/>
  <c r="AN498" i="24"/>
  <c r="AL788" i="24"/>
  <c r="AK788" i="24"/>
  <c r="AP610" i="24"/>
  <c r="AP788" i="24"/>
  <c r="AM102" i="24"/>
  <c r="AK102" i="24"/>
  <c r="AP190" i="24"/>
  <c r="AM215" i="24"/>
  <c r="AK743" i="24"/>
  <c r="AN743" i="24"/>
  <c r="AK215" i="24"/>
  <c r="AK134" i="24"/>
  <c r="AL352" i="24"/>
  <c r="AN922" i="24"/>
  <c r="AP642" i="24"/>
  <c r="AL884" i="24"/>
  <c r="AN733" i="24"/>
  <c r="AN35" i="24"/>
  <c r="AM30" i="24"/>
  <c r="AK456" i="24"/>
  <c r="AM298" i="24"/>
  <c r="AP793" i="24"/>
  <c r="AK57" i="24"/>
  <c r="AN57" i="24"/>
  <c r="AM884" i="24"/>
  <c r="AL30" i="24"/>
  <c r="AP724" i="24"/>
  <c r="AM888" i="24"/>
  <c r="AN217" i="24"/>
  <c r="AK352" i="24"/>
  <c r="AP884" i="24"/>
  <c r="AM57" i="24"/>
  <c r="AN849" i="24"/>
  <c r="AL420" i="24"/>
  <c r="AK907" i="24"/>
  <c r="AN884" i="24"/>
  <c r="AL247" i="24"/>
  <c r="AM464" i="24"/>
  <c r="AL45" i="24"/>
  <c r="AP217" i="24"/>
  <c r="AP863" i="24"/>
  <c r="AP849" i="24"/>
  <c r="AP317" i="24"/>
  <c r="AN464" i="24"/>
  <c r="AM247" i="24"/>
  <c r="AL35" i="24"/>
  <c r="AL793" i="24"/>
  <c r="AL724" i="24"/>
  <c r="AL733" i="24"/>
  <c r="AK176" i="24"/>
  <c r="AM626" i="24"/>
  <c r="AL272" i="24"/>
  <c r="AK564" i="24"/>
  <c r="AP854" i="24"/>
  <c r="AL40" i="24"/>
  <c r="AM317" i="24"/>
  <c r="AM129" i="24"/>
  <c r="AN317" i="24"/>
  <c r="AM272" i="24"/>
  <c r="AL102" i="24"/>
  <c r="AK272" i="24"/>
  <c r="AM724" i="24"/>
  <c r="AL826" i="24"/>
  <c r="AL157" i="24"/>
  <c r="AK157" i="24"/>
  <c r="AK724" i="24"/>
  <c r="AK793" i="24"/>
  <c r="AM793" i="24"/>
  <c r="AN129" i="24"/>
  <c r="AN40" i="24"/>
  <c r="AL907" i="24"/>
  <c r="AK45" i="24"/>
  <c r="AL298" i="24"/>
  <c r="AN810" i="24"/>
  <c r="AN863" i="24"/>
  <c r="AK491" i="24"/>
  <c r="AM907" i="24"/>
  <c r="AM45" i="24"/>
  <c r="AK298" i="24"/>
  <c r="AM810" i="24"/>
  <c r="AL863" i="24"/>
  <c r="AL491" i="24"/>
  <c r="AP754" i="24"/>
  <c r="AL661" i="24"/>
  <c r="AL810" i="24"/>
  <c r="AM491" i="24"/>
  <c r="AK754" i="24"/>
  <c r="AL854" i="24"/>
  <c r="AM661" i="24"/>
  <c r="AL754" i="24"/>
  <c r="AK854" i="24"/>
  <c r="AP40" i="24"/>
  <c r="AK661" i="24"/>
  <c r="AN754" i="24"/>
  <c r="AP425" i="24"/>
  <c r="AL425" i="24"/>
  <c r="AM425" i="24"/>
  <c r="AK425" i="24"/>
  <c r="AP615" i="24"/>
  <c r="AM456" i="24"/>
  <c r="AK863" i="24"/>
  <c r="AN456" i="24"/>
  <c r="AK129" i="24"/>
  <c r="AK40" i="24"/>
  <c r="AM854" i="24"/>
  <c r="AK317" i="24"/>
  <c r="AK464" i="24"/>
  <c r="AM157" i="24"/>
  <c r="AM826" i="24"/>
  <c r="AM544" i="24"/>
  <c r="AM217" i="24"/>
  <c r="AN564" i="24"/>
  <c r="AK849" i="24"/>
  <c r="AN826" i="24"/>
  <c r="AP420" i="24"/>
  <c r="AM352" i="24"/>
  <c r="AP839" i="24"/>
  <c r="AK420" i="24"/>
  <c r="AL456" i="24"/>
  <c r="AP541" i="24"/>
  <c r="AP844" i="24"/>
  <c r="AM849" i="24"/>
  <c r="AK838" i="24"/>
  <c r="AM838" i="24"/>
  <c r="AN838" i="24"/>
  <c r="AP838" i="24"/>
  <c r="AL838" i="24"/>
  <c r="AN428" i="24"/>
  <c r="AL428" i="24"/>
  <c r="AK428" i="24"/>
  <c r="AM428" i="24"/>
  <c r="AL11" i="24"/>
  <c r="AM11" i="24"/>
  <c r="AK11" i="24"/>
  <c r="AN11" i="24"/>
  <c r="AP145" i="24"/>
  <c r="AK156" i="24"/>
  <c r="AM156" i="24"/>
  <c r="AL156" i="24"/>
  <c r="AN156" i="24"/>
  <c r="AM887" i="24"/>
  <c r="AL887" i="24"/>
  <c r="AN887" i="24"/>
  <c r="AK887" i="24"/>
  <c r="AK516" i="24"/>
  <c r="AL516" i="24"/>
  <c r="AN516" i="24"/>
  <c r="AM516" i="24"/>
  <c r="AP792" i="24"/>
  <c r="AN307" i="24"/>
  <c r="AK307" i="24"/>
  <c r="AL307" i="24"/>
  <c r="AM307" i="24"/>
  <c r="AK911" i="24"/>
  <c r="AN911" i="24"/>
  <c r="AL911" i="24"/>
  <c r="AM911" i="24"/>
  <c r="AK898" i="24"/>
  <c r="AM898" i="24"/>
  <c r="AL898" i="24"/>
  <c r="AN898" i="24"/>
  <c r="AK715" i="24"/>
  <c r="AN715" i="24"/>
  <c r="AM715" i="24"/>
  <c r="AL715" i="24"/>
  <c r="AO227" i="24"/>
  <c r="AK629" i="24"/>
  <c r="AN629" i="24"/>
  <c r="AM629" i="24"/>
  <c r="AL629" i="24"/>
  <c r="AM24" i="24"/>
  <c r="AL24" i="24"/>
  <c r="AK24" i="24"/>
  <c r="AN24" i="24"/>
  <c r="AP24" i="24"/>
  <c r="AL127" i="24"/>
  <c r="AM127" i="24"/>
  <c r="AN127" i="24"/>
  <c r="AK127" i="24"/>
  <c r="AM557" i="24"/>
  <c r="AK557" i="24"/>
  <c r="AL557" i="24"/>
  <c r="AN557" i="24"/>
  <c r="AK644" i="24"/>
  <c r="AM644" i="24"/>
  <c r="AN644" i="24"/>
  <c r="AL644" i="24"/>
  <c r="AN588" i="24"/>
  <c r="AP588" i="24"/>
  <c r="AL588" i="24"/>
  <c r="AM588" i="24"/>
  <c r="AK588" i="24"/>
  <c r="AM529" i="24"/>
  <c r="AL529" i="24"/>
  <c r="AN529" i="24"/>
  <c r="AK529" i="24"/>
  <c r="AN142" i="24"/>
  <c r="AK142" i="24"/>
  <c r="AM142" i="24"/>
  <c r="AL142" i="24"/>
  <c r="AN598" i="24"/>
  <c r="AK598" i="24"/>
  <c r="AM598" i="24"/>
  <c r="AP598" i="24"/>
  <c r="AL598" i="24"/>
  <c r="AN708" i="24"/>
  <c r="AM708" i="24"/>
  <c r="AL708" i="24"/>
  <c r="AK708" i="24"/>
  <c r="AM820" i="24"/>
  <c r="AK820" i="24"/>
  <c r="AL820" i="24"/>
  <c r="AN820" i="24"/>
  <c r="AK96" i="24"/>
  <c r="AM96" i="24"/>
  <c r="AL96" i="24"/>
  <c r="AP96" i="24"/>
  <c r="AN96" i="24"/>
  <c r="AN892" i="24"/>
  <c r="AL892" i="24"/>
  <c r="AK892" i="24"/>
  <c r="AM892" i="24"/>
  <c r="AL485" i="24"/>
  <c r="AP485" i="24"/>
  <c r="AK485" i="24"/>
  <c r="AN485" i="24"/>
  <c r="AM485" i="24"/>
  <c r="AN255" i="24"/>
  <c r="AM255" i="24"/>
  <c r="AL255" i="24"/>
  <c r="AK255" i="24"/>
  <c r="AL344" i="24"/>
  <c r="AN344" i="24"/>
  <c r="AM344" i="24"/>
  <c r="AK344" i="24"/>
  <c r="AP64" i="24"/>
  <c r="AK408" i="24"/>
  <c r="AN408" i="24"/>
  <c r="AL408" i="24"/>
  <c r="AM408" i="24"/>
  <c r="AL818" i="24"/>
  <c r="AN818" i="24"/>
  <c r="AM818" i="24"/>
  <c r="AK818" i="24"/>
  <c r="AK591" i="24"/>
  <c r="AL591" i="24"/>
  <c r="AP591" i="24"/>
  <c r="AN591" i="24"/>
  <c r="AM591" i="24"/>
  <c r="AN803" i="24"/>
  <c r="AK803" i="24"/>
  <c r="AM803" i="24"/>
  <c r="AL803" i="24"/>
  <c r="AL627" i="24"/>
  <c r="AN627" i="24"/>
  <c r="AK627" i="24"/>
  <c r="AM627" i="24"/>
  <c r="AM339" i="24"/>
  <c r="AK339" i="24"/>
  <c r="AL339" i="24"/>
  <c r="AN339" i="24"/>
  <c r="AK635" i="24"/>
  <c r="AL635" i="24"/>
  <c r="AN635" i="24"/>
  <c r="AM635" i="24"/>
  <c r="AN747" i="24"/>
  <c r="AM747" i="24"/>
  <c r="AK747" i="24"/>
  <c r="AL747" i="24"/>
  <c r="AM68" i="24"/>
  <c r="AK68" i="24"/>
  <c r="AL68" i="24"/>
  <c r="AN68" i="24"/>
  <c r="AK511" i="24"/>
  <c r="AL511" i="24"/>
  <c r="AN511" i="24"/>
  <c r="AM511" i="24"/>
  <c r="AL266" i="24"/>
  <c r="AN266" i="24"/>
  <c r="AM266" i="24"/>
  <c r="AK266" i="24"/>
  <c r="AL906" i="24"/>
  <c r="AK906" i="24"/>
  <c r="AM906" i="24"/>
  <c r="AN906" i="24"/>
  <c r="AN670" i="24"/>
  <c r="AK670" i="24"/>
  <c r="AM670" i="24"/>
  <c r="AL670" i="24"/>
  <c r="AK604" i="24"/>
  <c r="AN604" i="24"/>
  <c r="AL604" i="24"/>
  <c r="AM604" i="24"/>
  <c r="AP604" i="24"/>
  <c r="AP571" i="24"/>
  <c r="AK843" i="24"/>
  <c r="AN843" i="24"/>
  <c r="AP843" i="24"/>
  <c r="AM843" i="24"/>
  <c r="AL843" i="24"/>
  <c r="AM106" i="24"/>
  <c r="AN106" i="24"/>
  <c r="AL106" i="24"/>
  <c r="AK106" i="24"/>
  <c r="AK625" i="24"/>
  <c r="AM625" i="24"/>
  <c r="AL625" i="24"/>
  <c r="AN625" i="24"/>
  <c r="AK101" i="24"/>
  <c r="AN101" i="24"/>
  <c r="AM101" i="24"/>
  <c r="AL101" i="24"/>
  <c r="AK337" i="24"/>
  <c r="AL337" i="24"/>
  <c r="AM337" i="24"/>
  <c r="AN337" i="24"/>
  <c r="AK709" i="24"/>
  <c r="AL709" i="24"/>
  <c r="AN709" i="24"/>
  <c r="AM709" i="24"/>
  <c r="AK297" i="24"/>
  <c r="AL297" i="24"/>
  <c r="AN297" i="24"/>
  <c r="AM297" i="24"/>
  <c r="AK351" i="24"/>
  <c r="AM351" i="24"/>
  <c r="AL351" i="24"/>
  <c r="AN351" i="24"/>
  <c r="AN79" i="24"/>
  <c r="AM79" i="24"/>
  <c r="AL79" i="24"/>
  <c r="AK79" i="24"/>
  <c r="AM311" i="24"/>
  <c r="AL311" i="24"/>
  <c r="AK311" i="24"/>
  <c r="AN311" i="24"/>
  <c r="AK225" i="24"/>
  <c r="AM225" i="24"/>
  <c r="AN225" i="24"/>
  <c r="AL225" i="24"/>
  <c r="AL193" i="24"/>
  <c r="AM193" i="24"/>
  <c r="AP193" i="24"/>
  <c r="AK193" i="24"/>
  <c r="AN193" i="24"/>
  <c r="AN542" i="24"/>
  <c r="AM542" i="24"/>
  <c r="AK542" i="24"/>
  <c r="AL542" i="24"/>
  <c r="AN49" i="24"/>
  <c r="AM49" i="24"/>
  <c r="AL49" i="24"/>
  <c r="AK49" i="24"/>
  <c r="AN415" i="24"/>
  <c r="AL415" i="24"/>
  <c r="AM415" i="24"/>
  <c r="AK415" i="24"/>
  <c r="AP847" i="24"/>
  <c r="AK593" i="24"/>
  <c r="AP593" i="24"/>
  <c r="AM593" i="24"/>
  <c r="AL593" i="24"/>
  <c r="AN593" i="24"/>
  <c r="AK786" i="24"/>
  <c r="AN786" i="24"/>
  <c r="AP786" i="24"/>
  <c r="AL786" i="24"/>
  <c r="AM786" i="24"/>
  <c r="AP206" i="24"/>
  <c r="AK82" i="24"/>
  <c r="AN82" i="24"/>
  <c r="AM82" i="24"/>
  <c r="AL82" i="24"/>
  <c r="AK309" i="24"/>
  <c r="AL309" i="24"/>
  <c r="AM309" i="24"/>
  <c r="AN309" i="24"/>
  <c r="AK688" i="24"/>
  <c r="AN688" i="24"/>
  <c r="AM688" i="24"/>
  <c r="AL688" i="24"/>
  <c r="AL403" i="24"/>
  <c r="AK403" i="24"/>
  <c r="AM403" i="24"/>
  <c r="AN403" i="24"/>
  <c r="AM243" i="24"/>
  <c r="AL243" i="24"/>
  <c r="AK243" i="24"/>
  <c r="AN243" i="24"/>
  <c r="AL755" i="24"/>
  <c r="AP755" i="24"/>
  <c r="AN755" i="24"/>
  <c r="AK755" i="24"/>
  <c r="AM755" i="24"/>
  <c r="AK647" i="24"/>
  <c r="AM647" i="24"/>
  <c r="AN647" i="24"/>
  <c r="AL647" i="24"/>
  <c r="AK236" i="24"/>
  <c r="AM236" i="24"/>
  <c r="AL236" i="24"/>
  <c r="AN236" i="24"/>
  <c r="AL490" i="24"/>
  <c r="AK490" i="24"/>
  <c r="AN490" i="24"/>
  <c r="AM490" i="24"/>
  <c r="AL270" i="24"/>
  <c r="AN270" i="24"/>
  <c r="AK270" i="24"/>
  <c r="AM270" i="24"/>
  <c r="AP842" i="24"/>
  <c r="AK38" i="24"/>
  <c r="AM38" i="24"/>
  <c r="AL38" i="24"/>
  <c r="AN38" i="24"/>
  <c r="AM899" i="24"/>
  <c r="AP899" i="24"/>
  <c r="AL899" i="24"/>
  <c r="AK899" i="24"/>
  <c r="AN899" i="24"/>
  <c r="AN56" i="24"/>
  <c r="AK56" i="24"/>
  <c r="AP56" i="24"/>
  <c r="AM56" i="24"/>
  <c r="AL56" i="24"/>
  <c r="AL816" i="24"/>
  <c r="AN816" i="24"/>
  <c r="AK816" i="24"/>
  <c r="AM816" i="24"/>
  <c r="AL552" i="24"/>
  <c r="AM552" i="24"/>
  <c r="AN552" i="24"/>
  <c r="AK552" i="24"/>
  <c r="AP211" i="24"/>
  <c r="AK130" i="24"/>
  <c r="AL130" i="24"/>
  <c r="AN130" i="24"/>
  <c r="AM130" i="24"/>
  <c r="AP426" i="24"/>
  <c r="AM426" i="24"/>
  <c r="AK426" i="24"/>
  <c r="AL426" i="24"/>
  <c r="AN426" i="24"/>
  <c r="AL903" i="24"/>
  <c r="AM903" i="24"/>
  <c r="AK903" i="24"/>
  <c r="AN903" i="24"/>
  <c r="AL711" i="24"/>
  <c r="AM711" i="24"/>
  <c r="AN711" i="24"/>
  <c r="AK711" i="24"/>
  <c r="AN304" i="24"/>
  <c r="AL304" i="24"/>
  <c r="AM304" i="24"/>
  <c r="AK304" i="24"/>
  <c r="AK881" i="24"/>
  <c r="AL881" i="24"/>
  <c r="AM881" i="24"/>
  <c r="AN881" i="24"/>
  <c r="AL781" i="24"/>
  <c r="AK781" i="24"/>
  <c r="AN781" i="24"/>
  <c r="AM781" i="24"/>
  <c r="AL840" i="24"/>
  <c r="AM840" i="24"/>
  <c r="AK840" i="24"/>
  <c r="AP840" i="24"/>
  <c r="AN840" i="24"/>
  <c r="AM586" i="24"/>
  <c r="AP586" i="24"/>
  <c r="AL586" i="24"/>
  <c r="AN586" i="24"/>
  <c r="AK586" i="24"/>
  <c r="AL770" i="24"/>
  <c r="AN770" i="24"/>
  <c r="AM770" i="24"/>
  <c r="AK770" i="24"/>
  <c r="AK537" i="24"/>
  <c r="AL537" i="24"/>
  <c r="AM537" i="24"/>
  <c r="AP537" i="24"/>
  <c r="AN537" i="24"/>
  <c r="AN16" i="24"/>
  <c r="AM16" i="24"/>
  <c r="AL16" i="24"/>
  <c r="AK16" i="24"/>
  <c r="AM275" i="24"/>
  <c r="AN275" i="24"/>
  <c r="AL275" i="24"/>
  <c r="AK275" i="24"/>
  <c r="AL674" i="24"/>
  <c r="AN674" i="24"/>
  <c r="AK674" i="24"/>
  <c r="AM674" i="24"/>
  <c r="AO91" i="24"/>
  <c r="AR91" i="24" s="1"/>
  <c r="AL650" i="24"/>
  <c r="AM650" i="24"/>
  <c r="AN650" i="24"/>
  <c r="AK650" i="24"/>
  <c r="AN640" i="24"/>
  <c r="AM640" i="24"/>
  <c r="AL640" i="24"/>
  <c r="AK640" i="24"/>
  <c r="AP594" i="24"/>
  <c r="AN271" i="24"/>
  <c r="AK271" i="24"/>
  <c r="AL271" i="24"/>
  <c r="AM271" i="24"/>
  <c r="AK161" i="24"/>
  <c r="AN161" i="24"/>
  <c r="AL161" i="24"/>
  <c r="AM161" i="24"/>
  <c r="AN925" i="24"/>
  <c r="AM925" i="24"/>
  <c r="AK925" i="24"/>
  <c r="AL925" i="24"/>
  <c r="AL325" i="24"/>
  <c r="AK325" i="24"/>
  <c r="AM325" i="24"/>
  <c r="AN325" i="24"/>
  <c r="AF7" i="24"/>
  <c r="AP578" i="24"/>
  <c r="AN198" i="24"/>
  <c r="AK198" i="24"/>
  <c r="AL198" i="24"/>
  <c r="AP198" i="24"/>
  <c r="AM198" i="24"/>
  <c r="AK695" i="24"/>
  <c r="AN695" i="24"/>
  <c r="AL695" i="24"/>
  <c r="AM695" i="24"/>
  <c r="AK608" i="24"/>
  <c r="AN608" i="24"/>
  <c r="AL608" i="24"/>
  <c r="AM608" i="24"/>
  <c r="AP608" i="24"/>
  <c r="AK757" i="24"/>
  <c r="AN757" i="24"/>
  <c r="AP757" i="24"/>
  <c r="AM757" i="24"/>
  <c r="AL757" i="24"/>
  <c r="AM808" i="24"/>
  <c r="AK808" i="24"/>
  <c r="AN808" i="24"/>
  <c r="AL808" i="24"/>
  <c r="AM504" i="24"/>
  <c r="AK504" i="24"/>
  <c r="AN504" i="24"/>
  <c r="AP504" i="24"/>
  <c r="AL504" i="24"/>
  <c r="AP214" i="24"/>
  <c r="AL177" i="24"/>
  <c r="AM177" i="24"/>
  <c r="AN177" i="24"/>
  <c r="AK177" i="24"/>
  <c r="AK494" i="24"/>
  <c r="AL494" i="24"/>
  <c r="AN494" i="24"/>
  <c r="AM494" i="24"/>
  <c r="AK216" i="24"/>
  <c r="AL216" i="24"/>
  <c r="AP216" i="24"/>
  <c r="AM216" i="24"/>
  <c r="AN216" i="24"/>
  <c r="AN555" i="24"/>
  <c r="AM555" i="24"/>
  <c r="AL555" i="24"/>
  <c r="AP555" i="24"/>
  <c r="AK555" i="24"/>
  <c r="AP333" i="24"/>
  <c r="AK228" i="24"/>
  <c r="AL228" i="24"/>
  <c r="AN228" i="24"/>
  <c r="AM228" i="24"/>
  <c r="AN172" i="24"/>
  <c r="AM172" i="24"/>
  <c r="AK172" i="24"/>
  <c r="AL172" i="24"/>
  <c r="AP864" i="24"/>
  <c r="AL885" i="24"/>
  <c r="AM885" i="24"/>
  <c r="AK885" i="24"/>
  <c r="AN885" i="24"/>
  <c r="AK923" i="24"/>
  <c r="AN923" i="24"/>
  <c r="AM923" i="24"/>
  <c r="AL923" i="24"/>
  <c r="AP616" i="24"/>
  <c r="AM499" i="24"/>
  <c r="AL499" i="24"/>
  <c r="AK499" i="24"/>
  <c r="AN499" i="24"/>
  <c r="AM848" i="24"/>
  <c r="AK848" i="24"/>
  <c r="AL848" i="24"/>
  <c r="AN848" i="24"/>
  <c r="AP848" i="24"/>
  <c r="AK779" i="24"/>
  <c r="AL779" i="24"/>
  <c r="AM779" i="24"/>
  <c r="AN779" i="24"/>
  <c r="AP188" i="24"/>
  <c r="AK324" i="24"/>
  <c r="AM324" i="24"/>
  <c r="AL324" i="24"/>
  <c r="AN324" i="24"/>
  <c r="AP727" i="24"/>
  <c r="AN878" i="24"/>
  <c r="AM878" i="24"/>
  <c r="AK878" i="24"/>
  <c r="AL878" i="24"/>
  <c r="AK920" i="24"/>
  <c r="AM920" i="24"/>
  <c r="AL920" i="24"/>
  <c r="AN920" i="24"/>
  <c r="AM634" i="24"/>
  <c r="AL634" i="24"/>
  <c r="AN634" i="24"/>
  <c r="AK634" i="24"/>
  <c r="AK383" i="24"/>
  <c r="AM383" i="24"/>
  <c r="AN383" i="24"/>
  <c r="AL383" i="24"/>
  <c r="AK913" i="24"/>
  <c r="AN913" i="24"/>
  <c r="AL913" i="24"/>
  <c r="AM913" i="24"/>
  <c r="AM525" i="24"/>
  <c r="AL525" i="24"/>
  <c r="AK525" i="24"/>
  <c r="AN525" i="24"/>
  <c r="AK918" i="24"/>
  <c r="AN918" i="24"/>
  <c r="AM918" i="24"/>
  <c r="AL918" i="24"/>
  <c r="AM140" i="24"/>
  <c r="AL140" i="24"/>
  <c r="AN140" i="24"/>
  <c r="AK140" i="24"/>
  <c r="AP488" i="24"/>
  <c r="AM488" i="24"/>
  <c r="AK488" i="24"/>
  <c r="AL488" i="24"/>
  <c r="AN488" i="24"/>
  <c r="AK299" i="24"/>
  <c r="AL299" i="24"/>
  <c r="AN299" i="24"/>
  <c r="AM299" i="24"/>
  <c r="AK538" i="24"/>
  <c r="AN538" i="24"/>
  <c r="AP538" i="24"/>
  <c r="AL538" i="24"/>
  <c r="AM538" i="24"/>
  <c r="AK158" i="24"/>
  <c r="AM158" i="24"/>
  <c r="AN158" i="24"/>
  <c r="AL158" i="24"/>
  <c r="AP601" i="24"/>
  <c r="AK601" i="24"/>
  <c r="AL601" i="24"/>
  <c r="AM601" i="24"/>
  <c r="AN601" i="24"/>
  <c r="AK36" i="24"/>
  <c r="AL36" i="24"/>
  <c r="AN36" i="24"/>
  <c r="AM36" i="24"/>
  <c r="AM622" i="24"/>
  <c r="AL622" i="24"/>
  <c r="AN622" i="24"/>
  <c r="AK622" i="24"/>
  <c r="AP196" i="24"/>
  <c r="AN686" i="24"/>
  <c r="AM686" i="24"/>
  <c r="AL686" i="24"/>
  <c r="AK686" i="24"/>
  <c r="AK893" i="24"/>
  <c r="AM893" i="24"/>
  <c r="AL893" i="24"/>
  <c r="AN893" i="24"/>
  <c r="AP508" i="24"/>
  <c r="AM508" i="24"/>
  <c r="AK508" i="24"/>
  <c r="AL508" i="24"/>
  <c r="AN508" i="24"/>
  <c r="AP335" i="24"/>
  <c r="AL330" i="24"/>
  <c r="AM330" i="24"/>
  <c r="AN330" i="24"/>
  <c r="AK330" i="24"/>
  <c r="AK85" i="24"/>
  <c r="AL85" i="24"/>
  <c r="AN85" i="24"/>
  <c r="AM85" i="24"/>
  <c r="AK584" i="24"/>
  <c r="AM584" i="24"/>
  <c r="AL584" i="24"/>
  <c r="AN584" i="24"/>
  <c r="AP584" i="24"/>
  <c r="AN455" i="24"/>
  <c r="AP455" i="24"/>
  <c r="AM455" i="24"/>
  <c r="AL455" i="24"/>
  <c r="AK455" i="24"/>
  <c r="AK97" i="24"/>
  <c r="AN97" i="24"/>
  <c r="AL97" i="24"/>
  <c r="AP97" i="24"/>
  <c r="AM97" i="24"/>
  <c r="AL728" i="24"/>
  <c r="AN728" i="24"/>
  <c r="AK728" i="24"/>
  <c r="AP728" i="24"/>
  <c r="AM728" i="24"/>
  <c r="AL319" i="24"/>
  <c r="AM319" i="24"/>
  <c r="AN319" i="24"/>
  <c r="AK319" i="24"/>
  <c r="AK678" i="24"/>
  <c r="AL678" i="24"/>
  <c r="AM678" i="24"/>
  <c r="AN678" i="24"/>
  <c r="AK609" i="24"/>
  <c r="AL609" i="24"/>
  <c r="AM609" i="24"/>
  <c r="AN609" i="24"/>
  <c r="AP609" i="24"/>
  <c r="AK630" i="24"/>
  <c r="AL630" i="24"/>
  <c r="AM630" i="24"/>
  <c r="AN630" i="24"/>
  <c r="I27" i="28"/>
  <c r="AN150" i="24"/>
  <c r="AK150" i="24"/>
  <c r="AM150" i="24"/>
  <c r="AL150" i="24"/>
  <c r="AN235" i="24"/>
  <c r="AM235" i="24"/>
  <c r="AL235" i="24"/>
  <c r="AK235" i="24"/>
  <c r="AN84" i="24"/>
  <c r="AM84" i="24"/>
  <c r="AL84" i="24"/>
  <c r="AK84" i="24"/>
  <c r="AK167" i="24"/>
  <c r="AL167" i="24"/>
  <c r="AM167" i="24"/>
  <c r="AN167" i="24"/>
  <c r="AM689" i="24"/>
  <c r="AN689" i="24"/>
  <c r="AL689" i="24"/>
  <c r="AK689" i="24"/>
  <c r="AK886" i="24"/>
  <c r="AM886" i="24"/>
  <c r="AL886" i="24"/>
  <c r="AN886" i="24"/>
  <c r="AK515" i="24"/>
  <c r="AL515" i="24"/>
  <c r="AM515" i="24"/>
  <c r="AN515" i="24"/>
  <c r="AN741" i="24"/>
  <c r="AK741" i="24"/>
  <c r="AM741" i="24"/>
  <c r="AL741" i="24"/>
  <c r="AK603" i="24"/>
  <c r="AN603" i="24"/>
  <c r="AL603" i="24"/>
  <c r="AP603" i="24"/>
  <c r="AM603" i="24"/>
  <c r="AN48" i="24"/>
  <c r="AK48" i="24"/>
  <c r="AL48" i="24"/>
  <c r="AM48" i="24"/>
  <c r="AK905" i="24"/>
  <c r="AL905" i="24"/>
  <c r="AM905" i="24"/>
  <c r="AN905" i="24"/>
  <c r="AP450" i="24"/>
  <c r="AK450" i="24"/>
  <c r="AN450" i="24"/>
  <c r="AL450" i="24"/>
  <c r="AM450" i="24"/>
  <c r="AK501" i="24"/>
  <c r="AM501" i="24"/>
  <c r="AL501" i="24"/>
  <c r="AN501" i="24"/>
  <c r="AK569" i="24"/>
  <c r="AP569" i="24"/>
  <c r="AL569" i="24"/>
  <c r="AN569" i="24"/>
  <c r="AM569" i="24"/>
  <c r="AP421" i="24"/>
  <c r="AN421" i="24"/>
  <c r="AL421" i="24"/>
  <c r="AM421" i="24"/>
  <c r="AK421" i="24"/>
  <c r="AN823" i="24"/>
  <c r="AM823" i="24"/>
  <c r="AL823" i="24"/>
  <c r="AK823" i="24"/>
  <c r="AL52" i="24"/>
  <c r="AN52" i="24"/>
  <c r="AM52" i="24"/>
  <c r="AK52" i="24"/>
  <c r="AP845" i="24"/>
  <c r="AL258" i="24"/>
  <c r="AK258" i="24"/>
  <c r="AN258" i="24"/>
  <c r="AM258" i="24"/>
  <c r="AP289" i="24"/>
  <c r="AM492" i="24"/>
  <c r="AK492" i="24"/>
  <c r="AL492" i="24"/>
  <c r="AN492" i="24"/>
  <c r="AP850" i="24"/>
  <c r="AP675" i="24"/>
  <c r="AP574" i="24"/>
  <c r="AN241" i="24"/>
  <c r="AK241" i="24"/>
  <c r="AM241" i="24"/>
  <c r="AL241" i="24"/>
  <c r="AM809" i="24"/>
  <c r="AL809" i="24"/>
  <c r="AK809" i="24"/>
  <c r="AN809" i="24"/>
  <c r="AO149" i="24"/>
  <c r="AR149" i="24" s="1"/>
  <c r="AN411" i="24"/>
  <c r="AM411" i="24"/>
  <c r="AK411" i="24"/>
  <c r="AL411" i="24"/>
  <c r="AK199" i="24"/>
  <c r="AP199" i="24"/>
  <c r="AN199" i="24"/>
  <c r="AM199" i="24"/>
  <c r="AL199" i="24"/>
  <c r="AN752" i="24"/>
  <c r="AM752" i="24"/>
  <c r="AL752" i="24"/>
  <c r="AK752" i="24"/>
  <c r="AK67" i="24"/>
  <c r="AN67" i="24"/>
  <c r="AL67" i="24"/>
  <c r="AP67" i="24"/>
  <c r="AM67" i="24"/>
  <c r="AK901" i="24"/>
  <c r="AN901" i="24"/>
  <c r="AM901" i="24"/>
  <c r="AL901" i="24"/>
  <c r="AM526" i="24"/>
  <c r="AN526" i="24"/>
  <c r="AL526" i="24"/>
  <c r="AK526" i="24"/>
  <c r="AP486" i="24"/>
  <c r="AK932" i="24"/>
  <c r="AP932" i="24"/>
  <c r="AN932" i="24"/>
  <c r="AL932" i="24"/>
  <c r="AM932" i="24"/>
  <c r="AM853" i="24"/>
  <c r="AN853" i="24"/>
  <c r="AP853" i="24"/>
  <c r="AK853" i="24"/>
  <c r="AL853" i="24"/>
  <c r="AK379" i="24"/>
  <c r="AN379" i="24"/>
  <c r="AL379" i="24"/>
  <c r="AM379" i="24"/>
  <c r="AK645" i="24"/>
  <c r="AN645" i="24"/>
  <c r="AL645" i="24"/>
  <c r="AM645" i="24"/>
  <c r="AK801" i="24"/>
  <c r="AN801" i="24"/>
  <c r="AM801" i="24"/>
  <c r="AL801" i="24"/>
  <c r="AK55" i="24"/>
  <c r="AL55" i="24"/>
  <c r="AM55" i="24"/>
  <c r="AN55" i="24"/>
  <c r="AK105" i="24"/>
  <c r="AM105" i="24"/>
  <c r="AN105" i="24"/>
  <c r="AL105" i="24"/>
  <c r="AK698" i="24"/>
  <c r="AM698" i="24"/>
  <c r="AL698" i="24"/>
  <c r="AN698" i="24"/>
  <c r="AK791" i="24"/>
  <c r="AN791" i="24"/>
  <c r="AL791" i="24"/>
  <c r="AM791" i="24"/>
  <c r="AP791" i="24"/>
  <c r="AK245" i="24"/>
  <c r="AL245" i="24"/>
  <c r="AN245" i="24"/>
  <c r="AM245" i="24"/>
  <c r="AK265" i="24"/>
  <c r="AN265" i="24"/>
  <c r="AM265" i="24"/>
  <c r="AL265" i="24"/>
  <c r="AK43" i="24"/>
  <c r="AN43" i="24"/>
  <c r="AM43" i="24"/>
  <c r="AL43" i="24"/>
  <c r="AM534" i="24"/>
  <c r="AK534" i="24"/>
  <c r="AN534" i="24"/>
  <c r="AL534" i="24"/>
  <c r="AK240" i="24"/>
  <c r="AN240" i="24"/>
  <c r="AL240" i="24"/>
  <c r="AM240" i="24"/>
  <c r="AL746" i="24"/>
  <c r="AN746" i="24"/>
  <c r="AK746" i="24"/>
  <c r="AM746" i="24"/>
  <c r="AK13" i="24"/>
  <c r="AN13" i="24"/>
  <c r="AM13" i="24"/>
  <c r="AL13" i="24"/>
  <c r="AL77" i="24"/>
  <c r="AK77" i="24"/>
  <c r="AN77" i="24"/>
  <c r="AM77" i="24"/>
  <c r="AM657" i="24"/>
  <c r="AL657" i="24"/>
  <c r="AN657" i="24"/>
  <c r="AK657" i="24"/>
  <c r="AK767" i="24"/>
  <c r="AN767" i="24"/>
  <c r="AM767" i="24"/>
  <c r="AL767" i="24"/>
  <c r="AP576" i="24"/>
  <c r="AP191" i="24"/>
  <c r="AL191" i="24"/>
  <c r="AK191" i="24"/>
  <c r="AM191" i="24"/>
  <c r="AN191" i="24"/>
  <c r="AL776" i="24"/>
  <c r="AM776" i="24"/>
  <c r="AK776" i="24"/>
  <c r="AN776" i="24"/>
  <c r="AK908" i="24"/>
  <c r="AL908" i="24"/>
  <c r="AM908" i="24"/>
  <c r="AN908" i="24"/>
  <c r="AM772" i="24"/>
  <c r="AK772" i="24"/>
  <c r="AN772" i="24"/>
  <c r="AL772" i="24"/>
  <c r="AK749" i="24"/>
  <c r="AL749" i="24"/>
  <c r="AM749" i="24"/>
  <c r="AN749" i="24"/>
  <c r="AL384" i="24"/>
  <c r="AN384" i="24"/>
  <c r="AM384" i="24"/>
  <c r="AK384" i="24"/>
  <c r="AM133" i="24"/>
  <c r="AK133" i="24"/>
  <c r="AN133" i="24"/>
  <c r="AL133" i="24"/>
  <c r="AL720" i="24"/>
  <c r="AM720" i="24"/>
  <c r="AN720" i="24"/>
  <c r="AK720" i="24"/>
  <c r="AM433" i="24"/>
  <c r="AL433" i="24"/>
  <c r="AN433" i="24"/>
  <c r="AK433" i="24"/>
  <c r="AK341" i="24"/>
  <c r="AM341" i="24"/>
  <c r="AL341" i="24"/>
  <c r="AN341" i="24"/>
  <c r="AK132" i="24"/>
  <c r="AM132" i="24"/>
  <c r="AL132" i="24"/>
  <c r="AN132" i="24"/>
  <c r="AP573" i="24"/>
  <c r="AM306" i="24"/>
  <c r="AK306" i="24"/>
  <c r="AN306" i="24"/>
  <c r="AL306" i="24"/>
  <c r="AN160" i="24"/>
  <c r="AM160" i="24"/>
  <c r="AK160" i="24"/>
  <c r="AL160" i="24"/>
  <c r="AN250" i="24"/>
  <c r="AL250" i="24"/>
  <c r="AK250" i="24"/>
  <c r="AM250" i="24"/>
  <c r="AN329" i="24"/>
  <c r="AK329" i="24"/>
  <c r="AL329" i="24"/>
  <c r="AM329" i="24"/>
  <c r="AM567" i="24"/>
  <c r="AK567" i="24"/>
  <c r="AN567" i="24"/>
  <c r="AL567" i="24"/>
  <c r="AN639" i="24"/>
  <c r="AM639" i="24"/>
  <c r="AL639" i="24"/>
  <c r="AK639" i="24"/>
  <c r="AM496" i="24"/>
  <c r="AL496" i="24"/>
  <c r="AK496" i="24"/>
  <c r="AN496" i="24"/>
  <c r="AL203" i="24"/>
  <c r="AN203" i="24"/>
  <c r="AM203" i="24"/>
  <c r="AK203" i="24"/>
  <c r="AP203" i="24"/>
  <c r="AP583" i="24"/>
  <c r="AN54" i="24"/>
  <c r="AM54" i="24"/>
  <c r="AK54" i="24"/>
  <c r="AL54" i="24"/>
  <c r="AK186" i="24"/>
  <c r="AN186" i="24"/>
  <c r="AM186" i="24"/>
  <c r="AL186" i="24"/>
  <c r="AP186" i="24"/>
  <c r="AK314" i="24"/>
  <c r="AN314" i="24"/>
  <c r="AP314" i="24"/>
  <c r="AL314" i="24"/>
  <c r="AM314" i="24"/>
  <c r="AN513" i="24"/>
  <c r="AL513" i="24"/>
  <c r="AM513" i="24"/>
  <c r="AK513" i="24"/>
  <c r="AK179" i="24"/>
  <c r="AM179" i="24"/>
  <c r="AN179" i="24"/>
  <c r="AL179" i="24"/>
  <c r="AL581" i="24"/>
  <c r="AN581" i="24"/>
  <c r="AM581" i="24"/>
  <c r="AK581" i="24"/>
  <c r="AP581" i="24"/>
  <c r="AK789" i="24"/>
  <c r="AM789" i="24"/>
  <c r="AL789" i="24"/>
  <c r="AN789" i="24"/>
  <c r="AP789" i="24"/>
  <c r="AK20" i="24"/>
  <c r="AM20" i="24"/>
  <c r="AN20" i="24"/>
  <c r="AL20" i="24"/>
  <c r="AK165" i="24"/>
  <c r="AL165" i="24"/>
  <c r="AN165" i="24"/>
  <c r="AM165" i="24"/>
  <c r="AK147" i="24"/>
  <c r="AL147" i="24"/>
  <c r="AP147" i="24"/>
  <c r="AM147" i="24"/>
  <c r="AN147" i="24"/>
  <c r="AL483" i="24"/>
  <c r="AM483" i="24"/>
  <c r="AP483" i="24"/>
  <c r="AN483" i="24"/>
  <c r="AK483" i="24"/>
  <c r="AK70" i="24"/>
  <c r="AL70" i="24"/>
  <c r="AM70" i="24"/>
  <c r="AN70" i="24"/>
  <c r="AN23" i="24"/>
  <c r="AM23" i="24"/>
  <c r="AL23" i="24"/>
  <c r="AK23" i="24"/>
  <c r="AN342" i="24"/>
  <c r="AM342" i="24"/>
  <c r="AK342" i="24"/>
  <c r="AL342" i="24"/>
  <c r="AL143" i="24"/>
  <c r="AN143" i="24"/>
  <c r="AM143" i="24"/>
  <c r="AK143" i="24"/>
  <c r="AN883" i="24"/>
  <c r="AK883" i="24"/>
  <c r="AM883" i="24"/>
  <c r="AL883" i="24"/>
  <c r="AL406" i="24"/>
  <c r="AN406" i="24"/>
  <c r="AM406" i="24"/>
  <c r="AK406" i="24"/>
  <c r="AP388" i="24"/>
  <c r="AK75" i="24"/>
  <c r="AL75" i="24"/>
  <c r="AM75" i="24"/>
  <c r="AN75" i="24"/>
  <c r="AK784" i="24"/>
  <c r="AL784" i="24"/>
  <c r="AN784" i="24"/>
  <c r="AM784" i="24"/>
  <c r="AK463" i="24"/>
  <c r="AN463" i="24"/>
  <c r="AL463" i="24"/>
  <c r="AM463" i="24"/>
  <c r="AN879" i="24"/>
  <c r="AK879" i="24"/>
  <c r="AL879" i="24"/>
  <c r="AM879" i="24"/>
  <c r="AM189" i="24"/>
  <c r="AP189" i="24"/>
  <c r="AN189" i="24"/>
  <c r="AK189" i="24"/>
  <c r="AL189" i="24"/>
  <c r="AN128" i="24"/>
  <c r="AM128" i="24"/>
  <c r="AK128" i="24"/>
  <c r="AL128" i="24"/>
  <c r="AK521" i="24"/>
  <c r="AN521" i="24"/>
  <c r="AL521" i="24"/>
  <c r="AM521" i="24"/>
  <c r="AN416" i="24"/>
  <c r="AM416" i="24"/>
  <c r="AK416" i="24"/>
  <c r="AL416" i="24"/>
  <c r="AK869" i="24"/>
  <c r="AM869" i="24"/>
  <c r="AL869" i="24"/>
  <c r="AN869" i="24"/>
  <c r="AP861" i="24"/>
  <c r="AL861" i="24"/>
  <c r="AM861" i="24"/>
  <c r="AN861" i="24"/>
  <c r="AK861" i="24"/>
  <c r="AM137" i="24"/>
  <c r="AN137" i="24"/>
  <c r="AK137" i="24"/>
  <c r="AL137" i="24"/>
  <c r="AK649" i="24"/>
  <c r="AM649" i="24"/>
  <c r="AL649" i="24"/>
  <c r="AN649" i="24"/>
  <c r="AK89" i="24"/>
  <c r="AL89" i="24"/>
  <c r="AM89" i="24"/>
  <c r="AN89" i="24"/>
  <c r="AP208" i="24"/>
  <c r="AL520" i="24"/>
  <c r="AK520" i="24"/>
  <c r="AM520" i="24"/>
  <c r="AN520" i="24"/>
  <c r="AK722" i="24"/>
  <c r="AM722" i="24"/>
  <c r="AL722" i="24"/>
  <c r="AP722" i="24"/>
  <c r="AN722" i="24"/>
  <c r="AN22" i="24"/>
  <c r="AL22" i="24"/>
  <c r="AM22" i="24"/>
  <c r="AK22" i="24"/>
  <c r="AK230" i="24"/>
  <c r="AL230" i="24"/>
  <c r="AN230" i="24"/>
  <c r="AM230" i="24"/>
  <c r="AN489" i="24"/>
  <c r="AM489" i="24"/>
  <c r="AK489" i="24"/>
  <c r="AL489" i="24"/>
  <c r="AL99" i="24"/>
  <c r="AK99" i="24"/>
  <c r="AM99" i="24"/>
  <c r="AN99" i="24"/>
  <c r="AP99" i="24"/>
  <c r="AK413" i="24"/>
  <c r="AM413" i="24"/>
  <c r="AN413" i="24"/>
  <c r="AL413" i="24"/>
  <c r="AN440" i="24"/>
  <c r="AL440" i="24"/>
  <c r="AM440" i="24"/>
  <c r="AK440" i="24"/>
  <c r="AK135" i="24"/>
  <c r="AM135" i="24"/>
  <c r="AL135" i="24"/>
  <c r="AN135" i="24"/>
  <c r="AM445" i="24"/>
  <c r="AL445" i="24"/>
  <c r="AN445" i="24"/>
  <c r="AK445" i="24"/>
  <c r="AK327" i="24"/>
  <c r="AM327" i="24"/>
  <c r="AL327" i="24"/>
  <c r="AN327" i="24"/>
  <c r="AL762" i="24"/>
  <c r="AM762" i="24"/>
  <c r="AN762" i="24"/>
  <c r="AK762" i="24"/>
  <c r="AP201" i="24"/>
  <c r="AP900" i="24"/>
  <c r="AM458" i="24"/>
  <c r="AK458" i="24"/>
  <c r="AL458" i="24"/>
  <c r="AN458" i="24"/>
  <c r="AP579" i="24"/>
  <c r="AK182" i="24"/>
  <c r="AM182" i="24"/>
  <c r="AN182" i="24"/>
  <c r="AL182" i="24"/>
  <c r="AN94" i="24"/>
  <c r="AL94" i="24"/>
  <c r="AM94" i="24"/>
  <c r="AK94" i="24"/>
  <c r="AN438" i="24"/>
  <c r="AK438" i="24"/>
  <c r="AM438" i="24"/>
  <c r="AL438" i="24"/>
  <c r="AM443" i="24"/>
  <c r="AN443" i="24"/>
  <c r="AK443" i="24"/>
  <c r="AL443" i="24"/>
  <c r="AN316" i="24"/>
  <c r="AP316" i="24"/>
  <c r="AK316" i="24"/>
  <c r="AM316" i="24"/>
  <c r="AL316" i="24"/>
  <c r="AN448" i="24"/>
  <c r="AL448" i="24"/>
  <c r="AM448" i="24"/>
  <c r="AK448" i="24"/>
  <c r="AP481" i="24"/>
  <c r="AN589" i="24"/>
  <c r="AK589" i="24"/>
  <c r="AM589" i="24"/>
  <c r="AL589" i="24"/>
  <c r="AP589" i="24"/>
  <c r="AN29" i="24"/>
  <c r="AM29" i="24"/>
  <c r="AL29" i="24"/>
  <c r="AK29" i="24"/>
  <c r="AN857" i="24"/>
  <c r="AL857" i="24"/>
  <c r="AM857" i="24"/>
  <c r="AK857" i="24"/>
  <c r="AP857" i="24"/>
  <c r="AK873" i="24"/>
  <c r="AN873" i="24"/>
  <c r="AL873" i="24"/>
  <c r="AM873" i="24"/>
  <c r="AL44" i="24"/>
  <c r="AK44" i="24"/>
  <c r="AN44" i="24"/>
  <c r="AM44" i="24"/>
  <c r="AL760" i="24"/>
  <c r="AN760" i="24"/>
  <c r="AM760" i="24"/>
  <c r="AK760" i="24"/>
  <c r="AK821" i="24"/>
  <c r="AL821" i="24"/>
  <c r="AN821" i="24"/>
  <c r="AM821" i="24"/>
  <c r="AN713" i="24"/>
  <c r="AK713" i="24"/>
  <c r="AM713" i="24"/>
  <c r="AL713" i="24"/>
  <c r="AL664" i="24"/>
  <c r="AN664" i="24"/>
  <c r="AK664" i="24"/>
  <c r="AM664" i="24"/>
  <c r="AL928" i="24"/>
  <c r="AN928" i="24"/>
  <c r="AM928" i="24"/>
  <c r="AK928" i="24"/>
  <c r="AP928" i="24"/>
  <c r="AK181" i="24"/>
  <c r="AM181" i="24"/>
  <c r="AL181" i="24"/>
  <c r="AN181" i="24"/>
  <c r="AL731" i="24"/>
  <c r="AM731" i="24"/>
  <c r="AN731" i="24"/>
  <c r="AK731" i="24"/>
  <c r="AM410" i="24"/>
  <c r="AN410" i="24"/>
  <c r="AL410" i="24"/>
  <c r="AK410" i="24"/>
  <c r="AP418" i="24"/>
  <c r="AM418" i="24"/>
  <c r="AL418" i="24"/>
  <c r="AK418" i="24"/>
  <c r="AN418" i="24"/>
  <c r="AL423" i="24"/>
  <c r="AK423" i="24"/>
  <c r="AN423" i="24"/>
  <c r="AM423" i="24"/>
  <c r="AP423" i="24"/>
  <c r="AP852" i="24"/>
  <c r="AK778" i="24"/>
  <c r="AL778" i="24"/>
  <c r="AN778" i="24"/>
  <c r="AM778" i="24"/>
  <c r="AN31" i="24"/>
  <c r="AM31" i="24"/>
  <c r="AK31" i="24"/>
  <c r="AL31" i="24"/>
  <c r="AN560" i="24"/>
  <c r="AL560" i="24"/>
  <c r="AK560" i="24"/>
  <c r="AM560" i="24"/>
  <c r="AL730" i="24"/>
  <c r="AM730" i="24"/>
  <c r="AN730" i="24"/>
  <c r="AP730" i="24"/>
  <c r="AK730" i="24"/>
  <c r="AL238" i="24"/>
  <c r="AK238" i="24"/>
  <c r="AM238" i="24"/>
  <c r="AN238" i="24"/>
  <c r="AL253" i="24"/>
  <c r="AN253" i="24"/>
  <c r="AK253" i="24"/>
  <c r="AM253" i="24"/>
  <c r="AN103" i="24"/>
  <c r="AM103" i="24"/>
  <c r="AK103" i="24"/>
  <c r="AL103" i="24"/>
  <c r="AL798" i="24"/>
  <c r="AM798" i="24"/>
  <c r="AK798" i="24"/>
  <c r="AN798" i="24"/>
  <c r="AK794" i="24"/>
  <c r="AN794" i="24"/>
  <c r="AL794" i="24"/>
  <c r="AP794" i="24"/>
  <c r="AM794" i="24"/>
  <c r="AK545" i="24"/>
  <c r="AL545" i="24"/>
  <c r="AM545" i="24"/>
  <c r="AN545" i="24"/>
  <c r="AL699" i="24"/>
  <c r="AN699" i="24"/>
  <c r="AM699" i="24"/>
  <c r="AK699" i="24"/>
  <c r="AK174" i="24"/>
  <c r="AN174" i="24"/>
  <c r="AL174" i="24"/>
  <c r="AM174" i="24"/>
  <c r="AK599" i="24"/>
  <c r="AP599" i="24"/>
  <c r="AN599" i="24"/>
  <c r="AL599" i="24"/>
  <c r="AM599" i="24"/>
  <c r="AM276" i="24"/>
  <c r="AK276" i="24"/>
  <c r="AL276" i="24"/>
  <c r="AN276" i="24"/>
  <c r="AK563" i="24"/>
  <c r="AN563" i="24"/>
  <c r="AL563" i="24"/>
  <c r="AM563" i="24"/>
  <c r="AL90" i="24"/>
  <c r="AK90" i="24"/>
  <c r="AN90" i="24"/>
  <c r="AM90" i="24"/>
  <c r="AL302" i="24"/>
  <c r="AN302" i="24"/>
  <c r="AM302" i="24"/>
  <c r="AK302" i="24"/>
  <c r="AM704" i="24"/>
  <c r="AN704" i="24"/>
  <c r="AL704" i="24"/>
  <c r="AK704" i="24"/>
  <c r="AK543" i="24"/>
  <c r="AL543" i="24"/>
  <c r="AN543" i="24"/>
  <c r="AM543" i="24"/>
  <c r="AK27" i="24"/>
  <c r="AM27" i="24"/>
  <c r="AN27" i="24"/>
  <c r="AL27" i="24"/>
  <c r="AK323" i="24"/>
  <c r="AL323" i="24"/>
  <c r="AN323" i="24"/>
  <c r="AM323" i="24"/>
  <c r="AP862" i="24"/>
  <c r="AN151" i="24"/>
  <c r="AM151" i="24"/>
  <c r="AL151" i="24"/>
  <c r="AK151" i="24"/>
  <c r="AK10" i="24"/>
  <c r="AM10" i="24"/>
  <c r="AN10" i="24"/>
  <c r="AL10" i="24"/>
  <c r="AK17" i="24"/>
  <c r="AM17" i="24"/>
  <c r="AL17" i="24"/>
  <c r="AN17" i="24"/>
  <c r="AP931" i="24"/>
  <c r="AN547" i="24"/>
  <c r="AK547" i="24"/>
  <c r="AL547" i="24"/>
  <c r="AM547" i="24"/>
  <c r="AK28" i="24"/>
  <c r="AN28" i="24"/>
  <c r="AL28" i="24"/>
  <c r="AM28" i="24"/>
  <c r="AL619" i="24"/>
  <c r="AN619" i="24"/>
  <c r="AM619" i="24"/>
  <c r="AK619" i="24"/>
  <c r="AK260" i="24"/>
  <c r="AN260" i="24"/>
  <c r="AL260" i="24"/>
  <c r="AM260" i="24"/>
  <c r="AK26" i="24"/>
  <c r="AN26" i="24"/>
  <c r="AL26" i="24"/>
  <c r="AM26" i="24"/>
  <c r="AP540" i="24"/>
  <c r="AN248" i="24"/>
  <c r="AM248" i="24"/>
  <c r="AL248" i="24"/>
  <c r="AK248" i="24"/>
  <c r="AK184" i="24"/>
  <c r="AN184" i="24"/>
  <c r="AM184" i="24"/>
  <c r="AL184" i="24"/>
  <c r="AL667" i="24"/>
  <c r="AM667" i="24"/>
  <c r="AN667" i="24"/>
  <c r="AK667" i="24"/>
  <c r="AP855" i="24"/>
  <c r="AM855" i="24"/>
  <c r="AL855" i="24"/>
  <c r="AN855" i="24"/>
  <c r="AK855" i="24"/>
  <c r="AM528" i="24"/>
  <c r="AN528" i="24"/>
  <c r="AL528" i="24"/>
  <c r="AK528" i="24"/>
  <c r="AM435" i="24"/>
  <c r="AN435" i="24"/>
  <c r="AK435" i="24"/>
  <c r="AL435" i="24"/>
  <c r="AM233" i="24"/>
  <c r="AN233" i="24"/>
  <c r="AK233" i="24"/>
  <c r="AL233" i="24"/>
  <c r="AM550" i="24"/>
  <c r="AL550" i="24"/>
  <c r="AN550" i="24"/>
  <c r="AK550" i="24"/>
  <c r="AK835" i="24"/>
  <c r="AM835" i="24"/>
  <c r="AL835" i="24"/>
  <c r="AN835" i="24"/>
  <c r="AK652" i="24"/>
  <c r="AL652" i="24"/>
  <c r="AN652" i="24"/>
  <c r="AM652" i="24"/>
  <c r="AK825" i="24"/>
  <c r="AL825" i="24"/>
  <c r="AN825" i="24"/>
  <c r="AM825" i="24"/>
  <c r="AN80" i="24"/>
  <c r="AL80" i="24"/>
  <c r="AM80" i="24"/>
  <c r="AK80" i="24"/>
  <c r="AK194" i="24"/>
  <c r="AP194" i="24"/>
  <c r="AM194" i="24"/>
  <c r="AL194" i="24"/>
  <c r="AN194" i="24"/>
  <c r="AK401" i="24"/>
  <c r="AL401" i="24"/>
  <c r="AN401" i="24"/>
  <c r="AM401" i="24"/>
  <c r="AN830" i="24"/>
  <c r="AK830" i="24"/>
  <c r="AL830" i="24"/>
  <c r="AM830" i="24"/>
  <c r="AK312" i="24"/>
  <c r="AL312" i="24"/>
  <c r="AN312" i="24"/>
  <c r="AM312" i="24"/>
  <c r="AK774" i="24"/>
  <c r="AL774" i="24"/>
  <c r="AM774" i="24"/>
  <c r="AN774" i="24"/>
  <c r="AN614" i="24"/>
  <c r="AK614" i="24"/>
  <c r="AP614" i="24"/>
  <c r="AL614" i="24"/>
  <c r="AM614" i="24"/>
  <c r="AL261" i="24"/>
  <c r="AN261" i="24"/>
  <c r="AM261" i="24"/>
  <c r="AK261" i="24"/>
  <c r="AL8" i="24"/>
  <c r="AM8" i="24"/>
  <c r="AN8" i="24"/>
  <c r="AK8" i="24"/>
  <c r="AN806" i="24"/>
  <c r="AP806" i="24"/>
  <c r="AM806" i="24"/>
  <c r="AL806" i="24"/>
  <c r="AK806" i="24"/>
  <c r="AK39" i="24"/>
  <c r="AL39" i="24"/>
  <c r="AN39" i="24"/>
  <c r="AM39" i="24"/>
  <c r="AK765" i="24"/>
  <c r="AN765" i="24"/>
  <c r="AL765" i="24"/>
  <c r="AM765" i="24"/>
  <c r="AM796" i="24"/>
  <c r="AN796" i="24"/>
  <c r="AL796" i="24"/>
  <c r="AK796" i="24"/>
  <c r="AN921" i="24"/>
  <c r="AK921" i="24"/>
  <c r="AM921" i="24"/>
  <c r="AL921" i="24"/>
  <c r="AP837" i="24"/>
  <c r="AN301" i="24"/>
  <c r="AM301" i="24"/>
  <c r="AK301" i="24"/>
  <c r="AL301" i="24"/>
  <c r="AM405" i="24"/>
  <c r="AL405" i="24"/>
  <c r="AN405" i="24"/>
  <c r="AK405" i="24"/>
  <c r="AN703" i="24"/>
  <c r="AM703" i="24"/>
  <c r="AL703" i="24"/>
  <c r="AK703" i="24"/>
  <c r="AK736" i="24"/>
  <c r="AL736" i="24"/>
  <c r="AN736" i="24"/>
  <c r="AM736" i="24"/>
  <c r="AK624" i="24"/>
  <c r="AN624" i="24"/>
  <c r="AM624" i="24"/>
  <c r="AL624" i="24"/>
  <c r="AK813" i="24"/>
  <c r="AM813" i="24"/>
  <c r="AN813" i="24"/>
  <c r="AL813" i="24"/>
  <c r="AP66" i="24"/>
  <c r="AK783" i="24"/>
  <c r="AM783" i="24"/>
  <c r="AL783" i="24"/>
  <c r="AN783" i="24"/>
  <c r="AN562" i="24"/>
  <c r="AM562" i="24"/>
  <c r="AK562" i="24"/>
  <c r="AL562" i="24"/>
  <c r="AK927" i="24"/>
  <c r="AL927" i="24"/>
  <c r="AN927" i="24"/>
  <c r="AM927" i="24"/>
  <c r="AK264" i="24"/>
  <c r="AP264" i="24"/>
  <c r="AL264" i="24"/>
  <c r="AM264" i="24"/>
  <c r="AN264" i="24"/>
  <c r="AK693" i="24"/>
  <c r="AN693" i="24"/>
  <c r="AM693" i="24"/>
  <c r="AL693" i="24"/>
  <c r="AK811" i="24"/>
  <c r="AN811" i="24"/>
  <c r="AL811" i="24"/>
  <c r="AM811" i="24"/>
  <c r="AM859" i="24"/>
  <c r="AP859" i="24"/>
  <c r="AL859" i="24"/>
  <c r="AN859" i="24"/>
  <c r="AK859" i="24"/>
  <c r="AN46" i="24"/>
  <c r="AL46" i="24"/>
  <c r="AM46" i="24"/>
  <c r="AK46" i="24"/>
  <c r="AL506" i="24"/>
  <c r="AP506" i="24"/>
  <c r="AK506" i="24"/>
  <c r="AM506" i="24"/>
  <c r="AN506" i="24"/>
  <c r="AK430" i="24"/>
  <c r="AN430" i="24"/>
  <c r="AL430" i="24"/>
  <c r="AM430" i="24"/>
  <c r="AP596" i="24"/>
  <c r="AL596" i="24"/>
  <c r="AN596" i="24"/>
  <c r="AK596" i="24"/>
  <c r="AM596" i="24"/>
  <c r="AK814" i="24"/>
  <c r="AL814" i="24"/>
  <c r="AM814" i="24"/>
  <c r="AN814" i="24"/>
  <c r="AO975" i="24" l="1"/>
  <c r="AR975" i="24" s="1"/>
  <c r="AO971" i="24"/>
  <c r="AR971" i="24" s="1"/>
  <c r="AO700" i="24"/>
  <c r="AR700" i="24" s="1"/>
  <c r="AO349" i="24"/>
  <c r="AC2032" i="24"/>
  <c r="AR227" i="24"/>
  <c r="AM677" i="24"/>
  <c r="AN677" i="24"/>
  <c r="AK677" i="24"/>
  <c r="AL677" i="24"/>
  <c r="AO175" i="24"/>
  <c r="AR175" i="24" s="1"/>
  <c r="AO385" i="24"/>
  <c r="AR880" i="24"/>
  <c r="AO738" i="24"/>
  <c r="AR738" i="24" s="1"/>
  <c r="AO63" i="24"/>
  <c r="AR63" i="24" s="1"/>
  <c r="AO1461" i="24"/>
  <c r="AR1461" i="24" s="1"/>
  <c r="AO1276" i="24"/>
  <c r="AR1276" i="24" s="1"/>
  <c r="AO1031" i="24"/>
  <c r="AR1031" i="24" s="1"/>
  <c r="AO1485" i="24"/>
  <c r="AR1485" i="24" s="1"/>
  <c r="AO1471" i="24"/>
  <c r="AR1471" i="24" s="1"/>
  <c r="AO1443" i="24"/>
  <c r="AR1443" i="24" s="1"/>
  <c r="AO1387" i="24"/>
  <c r="AR1387" i="24" s="1"/>
  <c r="AO1379" i="24"/>
  <c r="AR1379" i="24" s="1"/>
  <c r="AO1361" i="24"/>
  <c r="AR1361" i="24" s="1"/>
  <c r="AO1349" i="24"/>
  <c r="AR1349" i="24" s="1"/>
  <c r="AO1336" i="24"/>
  <c r="AR1336" i="24" s="1"/>
  <c r="AO1257" i="24"/>
  <c r="AR1257" i="24" s="1"/>
  <c r="AO1182" i="24"/>
  <c r="AR1182" i="24" s="1"/>
  <c r="AO1168" i="24"/>
  <c r="AR1168" i="24" s="1"/>
  <c r="AO1034" i="24"/>
  <c r="AR1034" i="24" s="1"/>
  <c r="AO1365" i="24"/>
  <c r="AR1365" i="24" s="1"/>
  <c r="AO1348" i="24"/>
  <c r="AR1348" i="24" s="1"/>
  <c r="AO1261" i="24"/>
  <c r="AR1261" i="24" s="1"/>
  <c r="AO1244" i="24"/>
  <c r="AR1244" i="24" s="1"/>
  <c r="AO1174" i="24"/>
  <c r="AR1174" i="24" s="1"/>
  <c r="AO1157" i="24"/>
  <c r="AR1157" i="24" s="1"/>
  <c r="AO1038" i="24"/>
  <c r="AR1038" i="24" s="1"/>
  <c r="AO60" i="24"/>
  <c r="AR60" i="24" s="1"/>
  <c r="AO59" i="24"/>
  <c r="AR59" i="24" s="1"/>
  <c r="AO641" i="24"/>
  <c r="AR641" i="24" s="1"/>
  <c r="AF2032" i="24"/>
  <c r="AO1603" i="24"/>
  <c r="AR1603" i="24" s="1"/>
  <c r="AO1572" i="24"/>
  <c r="AR1572" i="24" s="1"/>
  <c r="AO1618" i="24"/>
  <c r="AR1618" i="24" s="1"/>
  <c r="AO1591" i="24"/>
  <c r="AR1591" i="24" s="1"/>
  <c r="AO1611" i="24"/>
  <c r="AR1611" i="24" s="1"/>
  <c r="AO1601" i="24"/>
  <c r="AR1601" i="24" s="1"/>
  <c r="AO1605" i="24"/>
  <c r="AR1605" i="24" s="1"/>
  <c r="AO1614" i="24"/>
  <c r="AR1614" i="24" s="1"/>
  <c r="AO1600" i="24"/>
  <c r="AR1600" i="24" s="1"/>
  <c r="AO1517" i="24"/>
  <c r="AR1517" i="24" s="1"/>
  <c r="AO1610" i="24"/>
  <c r="AR1610" i="24" s="1"/>
  <c r="AO1608" i="24"/>
  <c r="AR1608" i="24" s="1"/>
  <c r="AO1579" i="24"/>
  <c r="AR1579" i="24" s="1"/>
  <c r="AO1620" i="24"/>
  <c r="AR1620" i="24" s="1"/>
  <c r="AO1570" i="24"/>
  <c r="AR1570" i="24" s="1"/>
  <c r="AO1565" i="24"/>
  <c r="AR1565" i="24" s="1"/>
  <c r="AO1508" i="24"/>
  <c r="AR1508" i="24" s="1"/>
  <c r="AO1583" i="24"/>
  <c r="AR1583" i="24" s="1"/>
  <c r="AO1585" i="24"/>
  <c r="AR1585" i="24" s="1"/>
  <c r="AO1592" i="24"/>
  <c r="AR1592" i="24" s="1"/>
  <c r="AO1615" i="24"/>
  <c r="AR1615" i="24" s="1"/>
  <c r="AO1595" i="24"/>
  <c r="AR1595" i="24" s="1"/>
  <c r="AO1562" i="24"/>
  <c r="AR1562" i="24" s="1"/>
  <c r="AO1587" i="24"/>
  <c r="AR1587" i="24" s="1"/>
  <c r="AO1589" i="24"/>
  <c r="AR1589" i="24" s="1"/>
  <c r="AO1582" i="24"/>
  <c r="AR1582" i="24" s="1"/>
  <c r="AO1580" i="24"/>
  <c r="AR1580" i="24" s="1"/>
  <c r="AO1556" i="24"/>
  <c r="AR1556" i="24" s="1"/>
  <c r="AO1613" i="24"/>
  <c r="AR1613" i="24" s="1"/>
  <c r="AO1563" i="24"/>
  <c r="AR1563" i="24" s="1"/>
  <c r="AO1586" i="24"/>
  <c r="AR1586" i="24" s="1"/>
  <c r="AO1555" i="24"/>
  <c r="AR1555" i="24" s="1"/>
  <c r="AO1588" i="24"/>
  <c r="AR1588" i="24" s="1"/>
  <c r="AO1621" i="24"/>
  <c r="AR1621" i="24" s="1"/>
  <c r="AO1584" i="24"/>
  <c r="AR1584" i="24" s="1"/>
  <c r="AO1560" i="24"/>
  <c r="AR1560" i="24" s="1"/>
  <c r="AO1594" i="24"/>
  <c r="AR1594" i="24" s="1"/>
  <c r="AO1596" i="24"/>
  <c r="AR1596" i="24" s="1"/>
  <c r="AO1590" i="24"/>
  <c r="AR1590" i="24" s="1"/>
  <c r="AO1576" i="24"/>
  <c r="AR1576" i="24" s="1"/>
  <c r="AO1604" i="24"/>
  <c r="AR1604" i="24" s="1"/>
  <c r="AO1573" i="24"/>
  <c r="AR1573" i="24" s="1"/>
  <c r="AO1612" i="24"/>
  <c r="AR1612" i="24" s="1"/>
  <c r="AO1568" i="24"/>
  <c r="AR1568" i="24" s="1"/>
  <c r="AO1597" i="24"/>
  <c r="AR1597" i="24" s="1"/>
  <c r="AO1566" i="24"/>
  <c r="AR1566" i="24" s="1"/>
  <c r="AO1558" i="24"/>
  <c r="AR1558" i="24" s="1"/>
  <c r="AO1599" i="24"/>
  <c r="AR1599" i="24" s="1"/>
  <c r="AO1578" i="24"/>
  <c r="AR1578" i="24" s="1"/>
  <c r="AO1609" i="24"/>
  <c r="AR1609" i="24" s="1"/>
  <c r="AO1617" i="24"/>
  <c r="AR1617" i="24" s="1"/>
  <c r="AO1602" i="24"/>
  <c r="AR1602" i="24" s="1"/>
  <c r="AO1581" i="24"/>
  <c r="AR1581" i="24" s="1"/>
  <c r="AO1561" i="24"/>
  <c r="AR1561" i="24" s="1"/>
  <c r="AO1622" i="24"/>
  <c r="AR1622" i="24" s="1"/>
  <c r="AO1567" i="24"/>
  <c r="AR1567" i="24" s="1"/>
  <c r="AO1574" i="24"/>
  <c r="AR1574" i="24" s="1"/>
  <c r="AO1569" i="24"/>
  <c r="AR1569" i="24" s="1"/>
  <c r="AO1577" i="24"/>
  <c r="AR1577" i="24" s="1"/>
  <c r="AO1616" i="24"/>
  <c r="AR1616" i="24" s="1"/>
  <c r="AO1619" i="24"/>
  <c r="AR1619" i="24" s="1"/>
  <c r="AO1606" i="24"/>
  <c r="AR1606" i="24" s="1"/>
  <c r="AO1575" i="24"/>
  <c r="AR1575" i="24" s="1"/>
  <c r="AO1564" i="24"/>
  <c r="AR1564" i="24" s="1"/>
  <c r="AO1571" i="24"/>
  <c r="AR1571" i="24" s="1"/>
  <c r="AO1536" i="24"/>
  <c r="AR1536" i="24" s="1"/>
  <c r="AO1598" i="24"/>
  <c r="AR1598" i="24" s="1"/>
  <c r="AO1593" i="24"/>
  <c r="AR1593" i="24" s="1"/>
  <c r="AO1607" i="24"/>
  <c r="AR1607" i="24" s="1"/>
  <c r="AO1557" i="24"/>
  <c r="AR1557" i="24" s="1"/>
  <c r="AO1559" i="24"/>
  <c r="AR1559" i="24" s="1"/>
  <c r="AO585" i="24"/>
  <c r="AR585" i="24" s="1"/>
  <c r="AO687" i="24"/>
  <c r="AR687" i="24" s="1"/>
  <c r="AO1520" i="24"/>
  <c r="AR1520" i="24" s="1"/>
  <c r="AO1546" i="24"/>
  <c r="AR1546" i="24" s="1"/>
  <c r="AO1532" i="24"/>
  <c r="AR1532" i="24" s="1"/>
  <c r="AO1530" i="24"/>
  <c r="AR1530" i="24" s="1"/>
  <c r="AO152" i="24"/>
  <c r="AR152" i="24" s="1"/>
  <c r="AO618" i="24"/>
  <c r="AR618" i="24" s="1"/>
  <c r="AO1518" i="24"/>
  <c r="AR1518" i="24" s="1"/>
  <c r="AO1502" i="24"/>
  <c r="AR1502" i="24" s="1"/>
  <c r="AO1524" i="24"/>
  <c r="AR1524" i="24" s="1"/>
  <c r="AO487" i="24"/>
  <c r="AR487" i="24" s="1"/>
  <c r="AO1543" i="24"/>
  <c r="AR1543" i="24" s="1"/>
  <c r="AO1539" i="24"/>
  <c r="AR1539" i="24" s="1"/>
  <c r="AO1550" i="24"/>
  <c r="AR1550" i="24" s="1"/>
  <c r="AO1506" i="24"/>
  <c r="AR1506" i="24" s="1"/>
  <c r="AN680" i="24"/>
  <c r="AO1515" i="24"/>
  <c r="AR1515" i="24" s="1"/>
  <c r="AO1552" i="24"/>
  <c r="AR1552" i="24" s="1"/>
  <c r="AM680" i="24"/>
  <c r="AO1512" i="24"/>
  <c r="AR1512" i="24" s="1"/>
  <c r="AO1505" i="24"/>
  <c r="AR1505" i="24" s="1"/>
  <c r="AO1504" i="24"/>
  <c r="AR1504" i="24" s="1"/>
  <c r="AO1535" i="24"/>
  <c r="AR1535" i="24" s="1"/>
  <c r="AK680" i="24"/>
  <c r="AO1529" i="24"/>
  <c r="AR1529" i="24" s="1"/>
  <c r="AO1522" i="24"/>
  <c r="AR1522" i="24" s="1"/>
  <c r="AO1551" i="24"/>
  <c r="AR1551" i="24" s="1"/>
  <c r="AO1534" i="24"/>
  <c r="AR1534" i="24" s="1"/>
  <c r="AO1503" i="24"/>
  <c r="AR1503" i="24" s="1"/>
  <c r="AO1513" i="24"/>
  <c r="AR1513" i="24" s="1"/>
  <c r="AO1510" i="24"/>
  <c r="AR1510" i="24" s="1"/>
  <c r="AP7" i="24"/>
  <c r="AO1554" i="24"/>
  <c r="AR1554" i="24" s="1"/>
  <c r="AO1553" i="24"/>
  <c r="AR1553" i="24" s="1"/>
  <c r="AO1542" i="24"/>
  <c r="AR1542" i="24" s="1"/>
  <c r="AO1527" i="24"/>
  <c r="AR1527" i="24" s="1"/>
  <c r="AO1540" i="24"/>
  <c r="AR1540" i="24" s="1"/>
  <c r="AO1541" i="24"/>
  <c r="AR1541" i="24" s="1"/>
  <c r="AO1511" i="24"/>
  <c r="AR1511" i="24" s="1"/>
  <c r="AO1544" i="24"/>
  <c r="AR1544" i="24" s="1"/>
  <c r="AO1525" i="24"/>
  <c r="AR1525" i="24" s="1"/>
  <c r="AO1514" i="24"/>
  <c r="AR1514" i="24" s="1"/>
  <c r="AO1537" i="24"/>
  <c r="AR1537" i="24" s="1"/>
  <c r="AO1523" i="24"/>
  <c r="AR1523" i="24" s="1"/>
  <c r="AO1545" i="24"/>
  <c r="AR1545" i="24" s="1"/>
  <c r="AO1533" i="24"/>
  <c r="AR1533" i="24" s="1"/>
  <c r="AO1547" i="24"/>
  <c r="AR1547" i="24" s="1"/>
  <c r="AO1521" i="24"/>
  <c r="AR1521" i="24" s="1"/>
  <c r="AO1531" i="24"/>
  <c r="AR1531" i="24" s="1"/>
  <c r="AO1549" i="24"/>
  <c r="AR1549" i="24" s="1"/>
  <c r="AO25" i="24"/>
  <c r="AO758" i="24"/>
  <c r="AR758" i="24" s="1"/>
  <c r="AO1386" i="24"/>
  <c r="AR1386" i="24" s="1"/>
  <c r="AO1372" i="24"/>
  <c r="AR1372" i="24" s="1"/>
  <c r="AO1333" i="24"/>
  <c r="AR1333" i="24" s="1"/>
  <c r="AO1283" i="24"/>
  <c r="AR1283" i="24" s="1"/>
  <c r="AO1270" i="24"/>
  <c r="AR1270" i="24" s="1"/>
  <c r="AO1100" i="24"/>
  <c r="AR1100" i="24" s="1"/>
  <c r="AN684" i="24"/>
  <c r="AO1070" i="24"/>
  <c r="AR1070" i="24" s="1"/>
  <c r="AO1025" i="24"/>
  <c r="AR1025" i="24" s="1"/>
  <c r="AO1092" i="24"/>
  <c r="AR1092" i="24" s="1"/>
  <c r="AO1074" i="24"/>
  <c r="AR1074" i="24" s="1"/>
  <c r="AO1021" i="24"/>
  <c r="AR1021" i="24" s="1"/>
  <c r="AO1494" i="24"/>
  <c r="AR1494" i="24" s="1"/>
  <c r="AO1086" i="24"/>
  <c r="AR1086" i="24" s="1"/>
  <c r="AO1073" i="24"/>
  <c r="AR1073" i="24" s="1"/>
  <c r="AO1020" i="24"/>
  <c r="AR1020" i="24" s="1"/>
  <c r="AO1415" i="24"/>
  <c r="AR1415" i="24" s="1"/>
  <c r="AO1316" i="24"/>
  <c r="AR1316" i="24" s="1"/>
  <c r="AO1258" i="24"/>
  <c r="AR1258" i="24" s="1"/>
  <c r="AO1246" i="24"/>
  <c r="AR1246" i="24" s="1"/>
  <c r="AO1194" i="24"/>
  <c r="AR1194" i="24" s="1"/>
  <c r="AO1060" i="24"/>
  <c r="AR1060" i="24" s="1"/>
  <c r="AO1001" i="24"/>
  <c r="AR1001" i="24" s="1"/>
  <c r="AO62" i="24"/>
  <c r="AR62" i="24" s="1"/>
  <c r="AO1417" i="24"/>
  <c r="AR1417" i="24" s="1"/>
  <c r="AO1284" i="24"/>
  <c r="AR1284" i="24" s="1"/>
  <c r="AO1271" i="24"/>
  <c r="AR1271" i="24" s="1"/>
  <c r="AO1136" i="24"/>
  <c r="AR1136" i="24" s="1"/>
  <c r="AO1123" i="24"/>
  <c r="AR1123" i="24" s="1"/>
  <c r="AO1051" i="24"/>
  <c r="AR1051" i="24" s="1"/>
  <c r="AO987" i="24"/>
  <c r="AR987" i="24" s="1"/>
  <c r="AO1495" i="24"/>
  <c r="AR1495" i="24" s="1"/>
  <c r="AO1481" i="24"/>
  <c r="AR1481" i="24" s="1"/>
  <c r="AO1464" i="24"/>
  <c r="AR1464" i="24" s="1"/>
  <c r="AO1385" i="24"/>
  <c r="AR1385" i="24" s="1"/>
  <c r="AO1371" i="24"/>
  <c r="AR1371" i="24" s="1"/>
  <c r="AO1356" i="24"/>
  <c r="AR1356" i="24" s="1"/>
  <c r="AO1344" i="24"/>
  <c r="AR1344" i="24" s="1"/>
  <c r="AO1264" i="24"/>
  <c r="AR1264" i="24" s="1"/>
  <c r="AO1254" i="24"/>
  <c r="AR1254" i="24" s="1"/>
  <c r="AO1162" i="24"/>
  <c r="AR1162" i="24" s="1"/>
  <c r="AO1054" i="24"/>
  <c r="AR1054" i="24" s="1"/>
  <c r="AO1000" i="24"/>
  <c r="AR1000" i="24" s="1"/>
  <c r="AO1458" i="24"/>
  <c r="AR1458" i="24" s="1"/>
  <c r="AO1378" i="24"/>
  <c r="AR1378" i="24" s="1"/>
  <c r="AO1360" i="24"/>
  <c r="AR1360" i="24" s="1"/>
  <c r="AO1343" i="24"/>
  <c r="AR1343" i="24" s="1"/>
  <c r="AO1256" i="24"/>
  <c r="AR1256" i="24" s="1"/>
  <c r="AO1238" i="24"/>
  <c r="AR1238" i="24" s="1"/>
  <c r="AO1192" i="24"/>
  <c r="AR1192" i="24" s="1"/>
  <c r="AO1058" i="24"/>
  <c r="AR1058" i="24" s="1"/>
  <c r="AO996" i="24"/>
  <c r="AR996" i="24" s="1"/>
  <c r="AO1445" i="24"/>
  <c r="AR1445" i="24" s="1"/>
  <c r="AO1403" i="24"/>
  <c r="AR1403" i="24" s="1"/>
  <c r="AO1305" i="24"/>
  <c r="AR1305" i="24" s="1"/>
  <c r="AO1232" i="24"/>
  <c r="AR1232" i="24" s="1"/>
  <c r="AO1183" i="24"/>
  <c r="AR1183" i="24" s="1"/>
  <c r="AO1171" i="24"/>
  <c r="AR1171" i="24" s="1"/>
  <c r="AO1152" i="24"/>
  <c r="AR1152" i="24" s="1"/>
  <c r="AL683" i="24"/>
  <c r="AO992" i="24"/>
  <c r="AO1491" i="24"/>
  <c r="AR1491" i="24" s="1"/>
  <c r="AO1466" i="24"/>
  <c r="AR1466" i="24" s="1"/>
  <c r="AO1439" i="24"/>
  <c r="AR1439" i="24" s="1"/>
  <c r="AO1300" i="24"/>
  <c r="AR1300" i="24" s="1"/>
  <c r="AO1288" i="24"/>
  <c r="AR1288" i="24" s="1"/>
  <c r="AO1227" i="24"/>
  <c r="AR1227" i="24" s="1"/>
  <c r="AO1215" i="24"/>
  <c r="AR1215" i="24" s="1"/>
  <c r="AO1135" i="24"/>
  <c r="AR1135" i="24" s="1"/>
  <c r="AO1113" i="24"/>
  <c r="AR1113" i="24" s="1"/>
  <c r="AO1030" i="24"/>
  <c r="AR1030" i="24" s="1"/>
  <c r="AO1388" i="24"/>
  <c r="AR1388" i="24" s="1"/>
  <c r="AO1375" i="24"/>
  <c r="AR1375" i="24" s="1"/>
  <c r="AO1350" i="24"/>
  <c r="AR1350" i="24" s="1"/>
  <c r="AO1337" i="24"/>
  <c r="AR1337" i="24" s="1"/>
  <c r="AO1275" i="24"/>
  <c r="AR1275" i="24" s="1"/>
  <c r="AO1198" i="24"/>
  <c r="AR1198" i="24" s="1"/>
  <c r="AO1102" i="24"/>
  <c r="AR1102" i="24" s="1"/>
  <c r="AO1089" i="24"/>
  <c r="AR1089" i="24" s="1"/>
  <c r="AO1064" i="24"/>
  <c r="AR1064" i="24" s="1"/>
  <c r="AO1006" i="24"/>
  <c r="AR1006" i="24" s="1"/>
  <c r="AO1450" i="24"/>
  <c r="AR1450" i="24" s="1"/>
  <c r="AO1263" i="24"/>
  <c r="AR1263" i="24" s="1"/>
  <c r="AO1250" i="24"/>
  <c r="AR1250" i="24" s="1"/>
  <c r="AO1187" i="24"/>
  <c r="AR1187" i="24" s="1"/>
  <c r="AO1040" i="24"/>
  <c r="AR1040" i="24" s="1"/>
  <c r="I104" i="3"/>
  <c r="I106" i="3" s="1"/>
  <c r="AO1440" i="24"/>
  <c r="AR1440" i="24" s="1"/>
  <c r="AO1279" i="24"/>
  <c r="AR1279" i="24" s="1"/>
  <c r="AO1266" i="24"/>
  <c r="AR1266" i="24" s="1"/>
  <c r="AO1012" i="24"/>
  <c r="AR1012" i="24" s="1"/>
  <c r="AO982" i="24"/>
  <c r="AR982" i="24" s="1"/>
  <c r="AO1477" i="24"/>
  <c r="AR1477" i="24" s="1"/>
  <c r="AO1423" i="24"/>
  <c r="AR1423" i="24" s="1"/>
  <c r="AO1382" i="24"/>
  <c r="AR1382" i="24" s="1"/>
  <c r="AO1366" i="24"/>
  <c r="AR1366" i="24" s="1"/>
  <c r="AO1354" i="24"/>
  <c r="AR1354" i="24" s="1"/>
  <c r="AO1339" i="24"/>
  <c r="AR1339" i="24" s="1"/>
  <c r="AO1262" i="24"/>
  <c r="AR1262" i="24" s="1"/>
  <c r="AO1249" i="24"/>
  <c r="AR1249" i="24" s="1"/>
  <c r="AO1186" i="24"/>
  <c r="AR1186" i="24" s="1"/>
  <c r="AO1016" i="24"/>
  <c r="AR1016" i="24" s="1"/>
  <c r="AO1419" i="24"/>
  <c r="AR1419" i="24" s="1"/>
  <c r="AO1353" i="24"/>
  <c r="AR1353" i="24" s="1"/>
  <c r="AO1338" i="24"/>
  <c r="AR1338" i="24" s="1"/>
  <c r="AO1233" i="24"/>
  <c r="AR1233" i="24" s="1"/>
  <c r="AO1161" i="24"/>
  <c r="AR1161" i="24" s="1"/>
  <c r="AO1410" i="24"/>
  <c r="AR1410" i="24" s="1"/>
  <c r="AO1179" i="24"/>
  <c r="AR1179" i="24" s="1"/>
  <c r="AO1165" i="24"/>
  <c r="AR1165" i="24" s="1"/>
  <c r="AO1147" i="24"/>
  <c r="AR1147" i="24" s="1"/>
  <c r="AO1055" i="24"/>
  <c r="AR1055" i="24" s="1"/>
  <c r="AO1383" i="24"/>
  <c r="AR1383" i="24" s="1"/>
  <c r="AO1368" i="24"/>
  <c r="AR1368" i="24" s="1"/>
  <c r="AO1351" i="24"/>
  <c r="AR1351" i="24" s="1"/>
  <c r="AO1334" i="24"/>
  <c r="AR1334" i="24" s="1"/>
  <c r="AO1247" i="24"/>
  <c r="AR1247" i="24" s="1"/>
  <c r="AO1114" i="24"/>
  <c r="AR1114" i="24" s="1"/>
  <c r="AO1093" i="24"/>
  <c r="AR1093" i="24" s="1"/>
  <c r="AO1046" i="24"/>
  <c r="AR1046" i="24" s="1"/>
  <c r="AO1327" i="24"/>
  <c r="AR1327" i="24" s="1"/>
  <c r="AO1239" i="24"/>
  <c r="AR1239" i="24" s="1"/>
  <c r="AO1151" i="24"/>
  <c r="AR1151" i="24" s="1"/>
  <c r="AO1049" i="24"/>
  <c r="AR1049" i="24" s="1"/>
  <c r="AO997" i="24"/>
  <c r="AR997" i="24" s="1"/>
  <c r="AO1453" i="24"/>
  <c r="AR1453" i="24" s="1"/>
  <c r="AO1401" i="24"/>
  <c r="AR1401" i="24" s="1"/>
  <c r="AO1326" i="24"/>
  <c r="AR1326" i="24" s="1"/>
  <c r="AO1220" i="24"/>
  <c r="AR1220" i="24" s="1"/>
  <c r="AO1150" i="24"/>
  <c r="AR1150" i="24" s="1"/>
  <c r="AO1053" i="24"/>
  <c r="AR1053" i="24" s="1"/>
  <c r="AO1451" i="24"/>
  <c r="AR1451" i="24" s="1"/>
  <c r="AO1321" i="24"/>
  <c r="AR1321" i="24" s="1"/>
  <c r="AO1228" i="24"/>
  <c r="AR1228" i="24" s="1"/>
  <c r="AO1023" i="24"/>
  <c r="AR1023" i="24" s="1"/>
  <c r="AO1433" i="24"/>
  <c r="AR1433" i="24" s="1"/>
  <c r="AO1409" i="24"/>
  <c r="AR1409" i="24" s="1"/>
  <c r="AO1310" i="24"/>
  <c r="AR1310" i="24" s="1"/>
  <c r="AO1294" i="24"/>
  <c r="AR1294" i="24" s="1"/>
  <c r="AO1226" i="24"/>
  <c r="AR1226" i="24" s="1"/>
  <c r="AO1204" i="24"/>
  <c r="AR1204" i="24" s="1"/>
  <c r="AO1139" i="24"/>
  <c r="AR1139" i="24" s="1"/>
  <c r="AO1122" i="24"/>
  <c r="AR1122" i="24" s="1"/>
  <c r="AO1024" i="24"/>
  <c r="AR1024" i="24" s="1"/>
  <c r="AO1427" i="24"/>
  <c r="AR1427" i="24" s="1"/>
  <c r="AO1392" i="24"/>
  <c r="AR1392" i="24" s="1"/>
  <c r="AO1309" i="24"/>
  <c r="AR1309" i="24" s="1"/>
  <c r="AO1293" i="24"/>
  <c r="AR1293" i="24" s="1"/>
  <c r="AO1206" i="24"/>
  <c r="AR1206" i="24" s="1"/>
  <c r="AO1138" i="24"/>
  <c r="AR1138" i="24" s="1"/>
  <c r="AO1111" i="24"/>
  <c r="AR1111" i="24" s="1"/>
  <c r="AO1028" i="24"/>
  <c r="AR1028" i="24" s="1"/>
  <c r="AO1499" i="24"/>
  <c r="AR1499" i="24" s="1"/>
  <c r="AO1425" i="24"/>
  <c r="AR1425" i="24" s="1"/>
  <c r="AO1307" i="24"/>
  <c r="AR1307" i="24" s="1"/>
  <c r="AO1289" i="24"/>
  <c r="AR1289" i="24" s="1"/>
  <c r="AO1172" i="24"/>
  <c r="AR1172" i="24" s="1"/>
  <c r="AO1163" i="24"/>
  <c r="AR1163" i="24" s="1"/>
  <c r="AO1141" i="24"/>
  <c r="AR1141" i="24" s="1"/>
  <c r="AO1056" i="24"/>
  <c r="AR1056" i="24" s="1"/>
  <c r="AO994" i="24"/>
  <c r="AR994" i="24" s="1"/>
  <c r="AO1399" i="24"/>
  <c r="AR1399" i="24" s="1"/>
  <c r="AO1282" i="24"/>
  <c r="AR1282" i="24" s="1"/>
  <c r="AO1269" i="24"/>
  <c r="AR1269" i="24" s="1"/>
  <c r="AO1193" i="24"/>
  <c r="AR1193" i="24" s="1"/>
  <c r="AO1099" i="24"/>
  <c r="AR1099" i="24" s="1"/>
  <c r="AO1083" i="24"/>
  <c r="AR1083" i="24" s="1"/>
  <c r="AO1059" i="24"/>
  <c r="AR1059" i="24" s="1"/>
  <c r="AO1005" i="24"/>
  <c r="AR1005" i="24" s="1"/>
  <c r="AO985" i="24"/>
  <c r="AR985" i="24" s="1"/>
  <c r="AO1496" i="24"/>
  <c r="AR1496" i="24" s="1"/>
  <c r="AO1484" i="24"/>
  <c r="AR1484" i="24" s="1"/>
  <c r="AO1473" i="24"/>
  <c r="AR1473" i="24" s="1"/>
  <c r="AO1463" i="24"/>
  <c r="AR1463" i="24" s="1"/>
  <c r="AO1380" i="24"/>
  <c r="AR1380" i="24" s="1"/>
  <c r="AO1281" i="24"/>
  <c r="AR1281" i="24" s="1"/>
  <c r="AO1101" i="24"/>
  <c r="AR1101" i="24" s="1"/>
  <c r="AO1078" i="24"/>
  <c r="AR1078" i="24" s="1"/>
  <c r="AO1063" i="24"/>
  <c r="AR1063" i="24" s="1"/>
  <c r="AO999" i="24"/>
  <c r="AR999" i="24" s="1"/>
  <c r="AO1424" i="24"/>
  <c r="AR1424" i="24" s="1"/>
  <c r="AO1235" i="24"/>
  <c r="AR1235" i="24" s="1"/>
  <c r="AO1177" i="24"/>
  <c r="AR1177" i="24" s="1"/>
  <c r="AO1159" i="24"/>
  <c r="AR1159" i="24" s="1"/>
  <c r="AO1144" i="24"/>
  <c r="AR1144" i="24" s="1"/>
  <c r="AO1017" i="24"/>
  <c r="AR1017" i="24" s="1"/>
  <c r="AO1435" i="24"/>
  <c r="AR1435" i="24" s="1"/>
  <c r="AO1406" i="24"/>
  <c r="AR1406" i="24" s="1"/>
  <c r="AO1376" i="24"/>
  <c r="AR1376" i="24" s="1"/>
  <c r="AO1363" i="24"/>
  <c r="AR1363" i="24" s="1"/>
  <c r="AO1346" i="24"/>
  <c r="AR1346" i="24" s="1"/>
  <c r="AO1259" i="24"/>
  <c r="AR1259" i="24" s="1"/>
  <c r="AO1103" i="24"/>
  <c r="AR1103" i="24" s="1"/>
  <c r="AO1007" i="24"/>
  <c r="AR1007" i="24" s="1"/>
  <c r="AO1420" i="24"/>
  <c r="AR1420" i="24" s="1"/>
  <c r="AO1320" i="24"/>
  <c r="AR1320" i="24" s="1"/>
  <c r="AO1234" i="24"/>
  <c r="AR1234" i="24" s="1"/>
  <c r="AO1156" i="24"/>
  <c r="AR1156" i="24" s="1"/>
  <c r="AO1146" i="24"/>
  <c r="AR1146" i="24" s="1"/>
  <c r="AO1015" i="24"/>
  <c r="AR1015" i="24" s="1"/>
  <c r="AO1413" i="24"/>
  <c r="AR1413" i="24" s="1"/>
  <c r="AO1319" i="24"/>
  <c r="AR1319" i="24" s="1"/>
  <c r="AO1214" i="24"/>
  <c r="AR1214" i="24" s="1"/>
  <c r="AO1145" i="24"/>
  <c r="AR1145" i="24" s="1"/>
  <c r="AO1009" i="24"/>
  <c r="AR1009" i="24" s="1"/>
  <c r="AO984" i="24"/>
  <c r="AR984" i="24" s="1"/>
  <c r="AO1486" i="24"/>
  <c r="AR1486" i="24" s="1"/>
  <c r="AO1474" i="24"/>
  <c r="AR1474" i="24" s="1"/>
  <c r="AO1460" i="24"/>
  <c r="AR1460" i="24" s="1"/>
  <c r="AO1395" i="24"/>
  <c r="AR1395" i="24" s="1"/>
  <c r="AO1130" i="24"/>
  <c r="AR1130" i="24" s="1"/>
  <c r="AO1110" i="24"/>
  <c r="AR1110" i="24" s="1"/>
  <c r="AO1050" i="24"/>
  <c r="AR1050" i="24" s="1"/>
  <c r="AO1329" i="24"/>
  <c r="AR1329" i="24" s="1"/>
  <c r="AO1317" i="24"/>
  <c r="AR1317" i="24" s="1"/>
  <c r="AO1242" i="24"/>
  <c r="AR1242" i="24" s="1"/>
  <c r="AO1223" i="24"/>
  <c r="AR1223" i="24" s="1"/>
  <c r="AO1208" i="24"/>
  <c r="AR1208" i="24" s="1"/>
  <c r="AO1180" i="24"/>
  <c r="AR1180" i="24" s="1"/>
  <c r="AO1080" i="24"/>
  <c r="AR1080" i="24" s="1"/>
  <c r="AO1041" i="24"/>
  <c r="AR1041" i="24" s="1"/>
  <c r="AO1454" i="24"/>
  <c r="AR1454" i="24" s="1"/>
  <c r="AO1404" i="24"/>
  <c r="AR1404" i="24" s="1"/>
  <c r="AO1304" i="24"/>
  <c r="AR1304" i="24" s="1"/>
  <c r="AO1291" i="24"/>
  <c r="AR1291" i="24" s="1"/>
  <c r="AO1221" i="24"/>
  <c r="AR1221" i="24" s="1"/>
  <c r="AO1200" i="24"/>
  <c r="AR1200" i="24" s="1"/>
  <c r="AO1134" i="24"/>
  <c r="AR1134" i="24" s="1"/>
  <c r="AO1120" i="24"/>
  <c r="AR1120" i="24" s="1"/>
  <c r="AO1044" i="24"/>
  <c r="AR1044" i="24" s="1"/>
  <c r="AO991" i="24"/>
  <c r="AR991" i="24" s="1"/>
  <c r="AO1448" i="24"/>
  <c r="AR1448" i="24" s="1"/>
  <c r="AO1398" i="24"/>
  <c r="AR1398" i="24" s="1"/>
  <c r="AO1303" i="24"/>
  <c r="AR1303" i="24" s="1"/>
  <c r="AO1133" i="24"/>
  <c r="AR1133" i="24" s="1"/>
  <c r="AO1119" i="24"/>
  <c r="AR1119" i="24" s="1"/>
  <c r="AO1108" i="24"/>
  <c r="AR1108" i="24" s="1"/>
  <c r="AO1048" i="24"/>
  <c r="AR1048" i="24" s="1"/>
  <c r="AK683" i="24"/>
  <c r="AO1492" i="24"/>
  <c r="AR1492" i="24" s="1"/>
  <c r="AO1479" i="24"/>
  <c r="AR1479" i="24" s="1"/>
  <c r="AO1446" i="24"/>
  <c r="AR1446" i="24" s="1"/>
  <c r="AO1169" i="24"/>
  <c r="AR1169" i="24" s="1"/>
  <c r="AO1018" i="24"/>
  <c r="AR1018" i="24" s="1"/>
  <c r="AO1428" i="24"/>
  <c r="AR1428" i="24" s="1"/>
  <c r="AO1393" i="24"/>
  <c r="AR1393" i="24" s="1"/>
  <c r="AO1277" i="24"/>
  <c r="AR1277" i="24" s="1"/>
  <c r="AO1188" i="24"/>
  <c r="AR1188" i="24" s="1"/>
  <c r="AO1480" i="24"/>
  <c r="AR1480" i="24" s="1"/>
  <c r="AO1470" i="24"/>
  <c r="AR1470" i="24" s="1"/>
  <c r="AO1422" i="24"/>
  <c r="AR1422" i="24" s="1"/>
  <c r="AO1389" i="24"/>
  <c r="AR1389" i="24" s="1"/>
  <c r="AM683" i="24"/>
  <c r="AK679" i="24"/>
  <c r="AO1140" i="24"/>
  <c r="AR1140" i="24" s="1"/>
  <c r="AO1035" i="24"/>
  <c r="AR1035" i="24" s="1"/>
  <c r="AN683" i="24"/>
  <c r="AO1456" i="24"/>
  <c r="AR1456" i="24" s="1"/>
  <c r="AO1396" i="24"/>
  <c r="AR1396" i="24" s="1"/>
  <c r="AO1373" i="24"/>
  <c r="AR1373" i="24" s="1"/>
  <c r="AO1358" i="24"/>
  <c r="AR1358" i="24" s="1"/>
  <c r="AO1341" i="24"/>
  <c r="AR1341" i="24" s="1"/>
  <c r="AO1251" i="24"/>
  <c r="AR1251" i="24" s="1"/>
  <c r="AO1096" i="24"/>
  <c r="AR1096" i="24" s="1"/>
  <c r="AO1026" i="24"/>
  <c r="AR1026" i="24" s="1"/>
  <c r="AO1438" i="24"/>
  <c r="AR1438" i="24" s="1"/>
  <c r="AO1332" i="24"/>
  <c r="AR1332" i="24" s="1"/>
  <c r="AO1240" i="24"/>
  <c r="AR1240" i="24" s="1"/>
  <c r="AO1153" i="24"/>
  <c r="AR1153" i="24" s="1"/>
  <c r="AO1029" i="24"/>
  <c r="AR1029" i="24" s="1"/>
  <c r="AO1432" i="24"/>
  <c r="AR1432" i="24" s="1"/>
  <c r="AO1408" i="24"/>
  <c r="AR1408" i="24" s="1"/>
  <c r="AO1331" i="24"/>
  <c r="AR1331" i="24" s="1"/>
  <c r="AO1314" i="24"/>
  <c r="AR1314" i="24" s="1"/>
  <c r="AO1225" i="24"/>
  <c r="AR1225" i="24" s="1"/>
  <c r="AO1155" i="24"/>
  <c r="AR1155" i="24" s="1"/>
  <c r="AO1142" i="24"/>
  <c r="AR1142" i="24" s="1"/>
  <c r="AO1033" i="24"/>
  <c r="AR1033" i="24" s="1"/>
  <c r="AO1498" i="24"/>
  <c r="AR1498" i="24" s="1"/>
  <c r="AO1482" i="24"/>
  <c r="AR1482" i="24" s="1"/>
  <c r="AO1468" i="24"/>
  <c r="AR1468" i="24" s="1"/>
  <c r="AO1391" i="24"/>
  <c r="AR1391" i="24" s="1"/>
  <c r="AO1292" i="24"/>
  <c r="AR1292" i="24" s="1"/>
  <c r="AO1125" i="24"/>
  <c r="AR1125" i="24" s="1"/>
  <c r="AO1107" i="24"/>
  <c r="AR1107" i="24" s="1"/>
  <c r="AO1011" i="24"/>
  <c r="AR1011" i="24" s="1"/>
  <c r="AO1430" i="24"/>
  <c r="AR1430" i="24" s="1"/>
  <c r="AO1324" i="24"/>
  <c r="AR1324" i="24" s="1"/>
  <c r="AO1312" i="24"/>
  <c r="AR1312" i="24" s="1"/>
  <c r="AO1218" i="24"/>
  <c r="AR1218" i="24" s="1"/>
  <c r="AO1195" i="24"/>
  <c r="AR1195" i="24" s="1"/>
  <c r="AO1176" i="24"/>
  <c r="AR1176" i="24" s="1"/>
  <c r="AO1076" i="24"/>
  <c r="AR1076" i="24" s="1"/>
  <c r="AO1002" i="24"/>
  <c r="AR1002" i="24" s="1"/>
  <c r="AO1414" i="24"/>
  <c r="AR1414" i="24" s="1"/>
  <c r="AO1402" i="24"/>
  <c r="AR1402" i="24" s="1"/>
  <c r="AO1299" i="24"/>
  <c r="AR1299" i="24" s="1"/>
  <c r="AO1231" i="24"/>
  <c r="AR1231" i="24" s="1"/>
  <c r="AO1211" i="24"/>
  <c r="AR1211" i="24" s="1"/>
  <c r="AO1129" i="24"/>
  <c r="AR1129" i="24" s="1"/>
  <c r="AO1117" i="24"/>
  <c r="AR1117" i="24" s="1"/>
  <c r="AO1010" i="24"/>
  <c r="AR1010" i="24" s="1"/>
  <c r="AO1394" i="24"/>
  <c r="AR1394" i="24" s="1"/>
  <c r="AO1298" i="24"/>
  <c r="AR1298" i="24" s="1"/>
  <c r="AO1210" i="24"/>
  <c r="AR1210" i="24" s="1"/>
  <c r="AO1128" i="24"/>
  <c r="AR1128" i="24" s="1"/>
  <c r="AO1116" i="24"/>
  <c r="AR1116" i="24" s="1"/>
  <c r="AO1004" i="24"/>
  <c r="AR1004" i="24" s="1"/>
  <c r="AO1455" i="24"/>
  <c r="AR1455" i="24" s="1"/>
  <c r="AO1381" i="24"/>
  <c r="AR1381" i="24" s="1"/>
  <c r="AO1355" i="24"/>
  <c r="AR1355" i="24" s="1"/>
  <c r="AO1202" i="24"/>
  <c r="AR1202" i="24" s="1"/>
  <c r="AO1095" i="24"/>
  <c r="AR1095" i="24" s="1"/>
  <c r="AO1065" i="24"/>
  <c r="AR1065" i="24" s="1"/>
  <c r="AO1045" i="24"/>
  <c r="AR1045" i="24" s="1"/>
  <c r="AO990" i="24"/>
  <c r="AR990" i="24" s="1"/>
  <c r="AO1487" i="24"/>
  <c r="AR1487" i="24" s="1"/>
  <c r="AO1296" i="24"/>
  <c r="AR1296" i="24" s="1"/>
  <c r="AO1166" i="24"/>
  <c r="AR1166" i="24" s="1"/>
  <c r="AO1148" i="24"/>
  <c r="AR1148" i="24" s="1"/>
  <c r="AO1036" i="24"/>
  <c r="AR1036" i="24" s="1"/>
  <c r="AO1449" i="24"/>
  <c r="AR1449" i="24" s="1"/>
  <c r="AO1287" i="24"/>
  <c r="AR1287" i="24" s="1"/>
  <c r="AO1274" i="24"/>
  <c r="AR1274" i="24" s="1"/>
  <c r="AO1197" i="24"/>
  <c r="AR1197" i="24" s="1"/>
  <c r="AO1106" i="24"/>
  <c r="AR1106" i="24" s="1"/>
  <c r="AO1087" i="24"/>
  <c r="AR1087" i="24" s="1"/>
  <c r="AO1069" i="24"/>
  <c r="AR1069" i="24" s="1"/>
  <c r="AO1039" i="24"/>
  <c r="AR1039" i="24" s="1"/>
  <c r="AO989" i="24"/>
  <c r="AR989" i="24" s="1"/>
  <c r="AO1501" i="24"/>
  <c r="AR1501" i="24" s="1"/>
  <c r="AO1489" i="24"/>
  <c r="AR1489" i="24" s="1"/>
  <c r="AO1476" i="24"/>
  <c r="AR1476" i="24" s="1"/>
  <c r="AO1467" i="24"/>
  <c r="AR1467" i="24" s="1"/>
  <c r="AO1384" i="24"/>
  <c r="AR1384" i="24" s="1"/>
  <c r="AO1286" i="24"/>
  <c r="AR1286" i="24" s="1"/>
  <c r="AO1268" i="24"/>
  <c r="AR1268" i="24" s="1"/>
  <c r="AO1201" i="24"/>
  <c r="AR1201" i="24" s="1"/>
  <c r="AO1105" i="24"/>
  <c r="AR1105" i="24" s="1"/>
  <c r="AO1082" i="24"/>
  <c r="AR1082" i="24" s="1"/>
  <c r="AO1068" i="24"/>
  <c r="AR1068" i="24" s="1"/>
  <c r="AO1043" i="24"/>
  <c r="AR1043" i="24" s="1"/>
  <c r="AO1429" i="24"/>
  <c r="AR1429" i="24" s="1"/>
  <c r="AO1328" i="24"/>
  <c r="AR1328" i="24" s="1"/>
  <c r="AO1255" i="24"/>
  <c r="AR1255" i="24" s="1"/>
  <c r="AO1189" i="24"/>
  <c r="AR1189" i="24" s="1"/>
  <c r="AO61" i="24"/>
  <c r="AR61" i="24" s="1"/>
  <c r="G43" i="3"/>
  <c r="G29" i="3"/>
  <c r="AO527" i="24"/>
  <c r="AR527" i="24" s="1"/>
  <c r="AL682" i="24"/>
  <c r="AN682" i="24"/>
  <c r="AM682" i="24"/>
  <c r="AO15" i="24"/>
  <c r="AR349" i="24"/>
  <c r="AO262" i="24"/>
  <c r="AO76" i="24"/>
  <c r="AR76" i="24" s="1"/>
  <c r="AO671" i="24"/>
  <c r="AR671" i="24" s="1"/>
  <c r="AM679" i="24"/>
  <c r="AL679" i="24"/>
  <c r="AL675" i="24"/>
  <c r="AM675" i="24"/>
  <c r="AO451" i="24"/>
  <c r="AR451" i="24" s="1"/>
  <c r="AK675" i="24"/>
  <c r="AO200" i="24"/>
  <c r="AO748" i="24"/>
  <c r="AR748" i="24" s="1"/>
  <c r="AO568" i="24"/>
  <c r="AR568" i="24" s="1"/>
  <c r="AO164" i="24"/>
  <c r="AR164" i="24" s="1"/>
  <c r="AO12" i="24"/>
  <c r="AM684" i="24"/>
  <c r="AO81" i="24"/>
  <c r="AR81" i="24" s="1"/>
  <c r="AK684" i="24"/>
  <c r="AN685" i="24"/>
  <c r="AM685" i="24"/>
  <c r="AL685" i="24"/>
  <c r="AO257" i="24"/>
  <c r="AR257" i="24" s="1"/>
  <c r="AO338" i="24"/>
  <c r="AR338" i="24" s="1"/>
  <c r="AO716" i="24"/>
  <c r="AR716" i="24" s="1"/>
  <c r="AF2029" i="24"/>
  <c r="AO926" i="24"/>
  <c r="AR926" i="24" s="1"/>
  <c r="AO320" i="24"/>
  <c r="AR320" i="24" s="1"/>
  <c r="AO144" i="24"/>
  <c r="AR144" i="24" s="1"/>
  <c r="AG2029" i="24"/>
  <c r="AG2030" i="24" s="1"/>
  <c r="AG2032" i="24"/>
  <c r="AC2029" i="24"/>
  <c r="AB2032" i="24"/>
  <c r="AB2029" i="24"/>
  <c r="AD2032" i="24"/>
  <c r="AD2029" i="24"/>
  <c r="AD2030" i="24" s="1"/>
  <c r="AE2029" i="24"/>
  <c r="AE2032" i="24"/>
  <c r="AO509" i="24"/>
  <c r="AR509" i="24" s="1"/>
  <c r="AO710" i="24"/>
  <c r="AR710" i="24" s="1"/>
  <c r="AO915" i="24"/>
  <c r="AR915" i="24" s="1"/>
  <c r="AO124" i="24"/>
  <c r="AR124" i="24" s="1"/>
  <c r="AO775" i="24"/>
  <c r="AR775" i="24" s="1"/>
  <c r="AO343" i="24"/>
  <c r="AR343" i="24" s="1"/>
  <c r="AO252" i="24"/>
  <c r="AO86" i="24"/>
  <c r="AR86" i="24" s="1"/>
  <c r="AO600" i="24"/>
  <c r="AR600" i="24" s="1"/>
  <c r="AO858" i="24"/>
  <c r="AR858" i="24" s="1"/>
  <c r="AO646" i="24"/>
  <c r="AR646" i="24" s="1"/>
  <c r="AO590" i="24"/>
  <c r="AR590" i="24" s="1"/>
  <c r="AO139" i="24"/>
  <c r="AR139" i="24" s="1"/>
  <c r="AO961" i="24"/>
  <c r="AR961" i="24" s="1"/>
  <c r="AO948" i="24"/>
  <c r="AR948" i="24" s="1"/>
  <c r="AO973" i="24"/>
  <c r="AR973" i="24" s="1"/>
  <c r="AO942" i="24"/>
  <c r="AR942" i="24" s="1"/>
  <c r="AO958" i="24"/>
  <c r="AR958" i="24" s="1"/>
  <c r="AO937" i="24"/>
  <c r="AR937" i="24" s="1"/>
  <c r="AO940" i="24"/>
  <c r="AR940" i="24" s="1"/>
  <c r="AO380" i="24"/>
  <c r="AO968" i="24"/>
  <c r="AR968" i="24" s="1"/>
  <c r="AO963" i="24"/>
  <c r="AR963" i="24" s="1"/>
  <c r="AO831" i="24"/>
  <c r="AR831" i="24" s="1"/>
  <c r="AO950" i="24"/>
  <c r="AR950" i="24" s="1"/>
  <c r="AO922" i="24"/>
  <c r="AR922" i="24" s="1"/>
  <c r="AO953" i="24"/>
  <c r="AR953" i="24" s="1"/>
  <c r="AO651" i="24"/>
  <c r="AR651" i="24" s="1"/>
  <c r="AO966" i="24"/>
  <c r="AR966" i="24" s="1"/>
  <c r="AO951" i="24"/>
  <c r="AR951" i="24" s="1"/>
  <c r="AO956" i="24"/>
  <c r="AR956" i="24" s="1"/>
  <c r="AO947" i="24"/>
  <c r="AR947" i="24" s="1"/>
  <c r="AO980" i="24"/>
  <c r="AR980" i="24" s="1"/>
  <c r="AO564" i="24"/>
  <c r="AR564" i="24" s="1"/>
  <c r="AO636" i="24"/>
  <c r="AR636" i="24" s="1"/>
  <c r="AO874" i="24"/>
  <c r="AR874" i="24" s="1"/>
  <c r="AO960" i="24"/>
  <c r="AR960" i="24" s="1"/>
  <c r="AO98" i="24"/>
  <c r="AR98" i="24" s="1"/>
  <c r="AO332" i="24"/>
  <c r="AO107" i="24"/>
  <c r="AR107" i="24" s="1"/>
  <c r="AO894" i="24"/>
  <c r="AO970" i="24"/>
  <c r="AR970" i="24" s="1"/>
  <c r="AO359" i="24"/>
  <c r="AO372" i="24"/>
  <c r="AO979" i="24"/>
  <c r="AR979" i="24" s="1"/>
  <c r="AO223" i="24"/>
  <c r="AR223" i="24" s="1"/>
  <c r="AO363" i="24"/>
  <c r="AR363" i="24" s="1"/>
  <c r="AO354" i="24"/>
  <c r="AR354" i="24" s="1"/>
  <c r="AO939" i="24"/>
  <c r="AR939" i="24" s="1"/>
  <c r="AO369" i="24"/>
  <c r="AR369" i="24" s="1"/>
  <c r="AO58" i="24"/>
  <c r="AR58" i="24" s="1"/>
  <c r="AO974" i="24"/>
  <c r="AR974" i="24" s="1"/>
  <c r="AO222" i="24"/>
  <c r="AR222" i="24" s="1"/>
  <c r="AO949" i="24"/>
  <c r="AR949" i="24" s="1"/>
  <c r="AO962" i="24"/>
  <c r="AR962" i="24" s="1"/>
  <c r="AO362" i="24"/>
  <c r="AR362" i="24" s="1"/>
  <c r="AO943" i="24"/>
  <c r="AR943" i="24" s="1"/>
  <c r="AO358" i="24"/>
  <c r="AR358" i="24" s="1"/>
  <c r="AO977" i="24"/>
  <c r="AR977" i="24" s="1"/>
  <c r="AO377" i="24"/>
  <c r="AO969" i="24"/>
  <c r="AR969" i="24" s="1"/>
  <c r="AO370" i="24"/>
  <c r="AO367" i="24"/>
  <c r="AO368" i="24"/>
  <c r="AR368" i="24" s="1"/>
  <c r="AO959" i="24"/>
  <c r="AR959" i="24" s="1"/>
  <c r="AO218" i="24"/>
  <c r="AO221" i="24"/>
  <c r="AR221" i="24" s="1"/>
  <c r="AO360" i="24"/>
  <c r="AO964" i="24"/>
  <c r="AR964" i="24" s="1"/>
  <c r="AO220" i="24"/>
  <c r="AO374" i="24"/>
  <c r="AO941" i="24"/>
  <c r="AR941" i="24" s="1"/>
  <c r="AO357" i="24"/>
  <c r="AR357" i="24" s="1"/>
  <c r="AO375" i="24"/>
  <c r="AR375" i="24" s="1"/>
  <c r="AO364" i="24"/>
  <c r="AO954" i="24"/>
  <c r="AR954" i="24" s="1"/>
  <c r="AO945" i="24"/>
  <c r="AR945" i="24" s="1"/>
  <c r="AO952" i="24"/>
  <c r="AR952" i="24" s="1"/>
  <c r="AO934" i="24"/>
  <c r="AR934" i="24" s="1"/>
  <c r="AO376" i="24"/>
  <c r="AR376" i="24" s="1"/>
  <c r="AO365" i="24"/>
  <c r="AO972" i="24"/>
  <c r="AR972" i="24" s="1"/>
  <c r="AO867" i="24"/>
  <c r="AR867" i="24" s="1"/>
  <c r="AO134" i="24"/>
  <c r="AR134" i="24" s="1"/>
  <c r="AO35" i="24"/>
  <c r="AO692" i="24"/>
  <c r="AR692" i="24" s="1"/>
  <c r="I18" i="28"/>
  <c r="AO743" i="24"/>
  <c r="AR743" i="24" s="1"/>
  <c r="AO705" i="24"/>
  <c r="AR705" i="24" s="1"/>
  <c r="AO888" i="24"/>
  <c r="AR888" i="24" s="1"/>
  <c r="AO656" i="24"/>
  <c r="AR656" i="24" s="1"/>
  <c r="AO788" i="24"/>
  <c r="AR788" i="24" s="1"/>
  <c r="AO631" i="24"/>
  <c r="AR631" i="24" s="1"/>
  <c r="AO544" i="24"/>
  <c r="AR544" i="24" s="1"/>
  <c r="AO503" i="24"/>
  <c r="AR503" i="24" s="1"/>
  <c r="AO176" i="24"/>
  <c r="AO217" i="24"/>
  <c r="AO626" i="24"/>
  <c r="AR626" i="24" s="1"/>
  <c r="AO215" i="24"/>
  <c r="AO102" i="24"/>
  <c r="AR102" i="24" s="1"/>
  <c r="AO267" i="24"/>
  <c r="AO352" i="24"/>
  <c r="AR352" i="24" s="1"/>
  <c r="AO498" i="24"/>
  <c r="AR498" i="24" s="1"/>
  <c r="AO733" i="24"/>
  <c r="AO884" i="24"/>
  <c r="AR884" i="24" s="1"/>
  <c r="AO907" i="24"/>
  <c r="AR907" i="24" s="1"/>
  <c r="AO863" i="24"/>
  <c r="AR863" i="24" s="1"/>
  <c r="AO272" i="24"/>
  <c r="AO57" i="24"/>
  <c r="AR57" i="24" s="1"/>
  <c r="AO849" i="24"/>
  <c r="AR849" i="24" s="1"/>
  <c r="AO30" i="24"/>
  <c r="AR30" i="24" s="1"/>
  <c r="AO247" i="24"/>
  <c r="AO40" i="24"/>
  <c r="AR40" i="24" s="1"/>
  <c r="AO793" i="24"/>
  <c r="AR793" i="24" s="1"/>
  <c r="AO420" i="24"/>
  <c r="AR420" i="24" s="1"/>
  <c r="AO826" i="24"/>
  <c r="AR826" i="24" s="1"/>
  <c r="AO464" i="24"/>
  <c r="AR464" i="24" s="1"/>
  <c r="AO456" i="24"/>
  <c r="AR456" i="24" s="1"/>
  <c r="AO491" i="24"/>
  <c r="AR491" i="24" s="1"/>
  <c r="AO317" i="24"/>
  <c r="AO810" i="24"/>
  <c r="AR810" i="24" s="1"/>
  <c r="AO661" i="24"/>
  <c r="AR661" i="24" s="1"/>
  <c r="AO724" i="24"/>
  <c r="AR724" i="24" s="1"/>
  <c r="AO157" i="24"/>
  <c r="AR157" i="24" s="1"/>
  <c r="AO754" i="24"/>
  <c r="AR754" i="24" s="1"/>
  <c r="AO129" i="24"/>
  <c r="AR129" i="24" s="1"/>
  <c r="AO425" i="24"/>
  <c r="AR425" i="24" s="1"/>
  <c r="AO298" i="24"/>
  <c r="AO854" i="24"/>
  <c r="AR854" i="24" s="1"/>
  <c r="AO911" i="24"/>
  <c r="AR911" i="24" s="1"/>
  <c r="AO428" i="24"/>
  <c r="AR428" i="24" s="1"/>
  <c r="AO307" i="24"/>
  <c r="AO878" i="24"/>
  <c r="AR878" i="24" s="1"/>
  <c r="AO45" i="24"/>
  <c r="AR45" i="24" s="1"/>
  <c r="AO757" i="24"/>
  <c r="AO892" i="24"/>
  <c r="AR892" i="24" s="1"/>
  <c r="AO46" i="24"/>
  <c r="AR46" i="24" s="1"/>
  <c r="AO194" i="24"/>
  <c r="AO604" i="24"/>
  <c r="AR604" i="24" s="1"/>
  <c r="AO526" i="24"/>
  <c r="AR526" i="24" s="1"/>
  <c r="AO55" i="24"/>
  <c r="AR55" i="24" s="1"/>
  <c r="AO379" i="24"/>
  <c r="AO258" i="24"/>
  <c r="AO515" i="24"/>
  <c r="AR515" i="24" s="1"/>
  <c r="AO455" i="24"/>
  <c r="AR455" i="24" s="1"/>
  <c r="AO722" i="24"/>
  <c r="AR722" i="24" s="1"/>
  <c r="AO746" i="24"/>
  <c r="AR746" i="24" s="1"/>
  <c r="AO801" i="24"/>
  <c r="AR801" i="24" s="1"/>
  <c r="AO167" i="24"/>
  <c r="AR167" i="24" s="1"/>
  <c r="AO161" i="24"/>
  <c r="AR161" i="24" s="1"/>
  <c r="AO271" i="24"/>
  <c r="AO770" i="24"/>
  <c r="AR770" i="24" s="1"/>
  <c r="AO8" i="24"/>
  <c r="AO855" i="24"/>
  <c r="AR855" i="24" s="1"/>
  <c r="AO302" i="24"/>
  <c r="AO798" i="24"/>
  <c r="AR798" i="24" s="1"/>
  <c r="AO182" i="24"/>
  <c r="AO189" i="24"/>
  <c r="AO186" i="24"/>
  <c r="AR186" i="24" s="1"/>
  <c r="AO496" i="24"/>
  <c r="AR496" i="24" s="1"/>
  <c r="AO160" i="24"/>
  <c r="AR160" i="24" s="1"/>
  <c r="AO337" i="24"/>
  <c r="AR337" i="24" s="1"/>
  <c r="AO236" i="24"/>
  <c r="AO820" i="24"/>
  <c r="AR820" i="24" s="1"/>
  <c r="AO779" i="24"/>
  <c r="AR779" i="24" s="1"/>
  <c r="AO499" i="24"/>
  <c r="AR499" i="24" s="1"/>
  <c r="AO228" i="24"/>
  <c r="AR228" i="24" s="1"/>
  <c r="AO504" i="24"/>
  <c r="AR504" i="24" s="1"/>
  <c r="AO133" i="24"/>
  <c r="AR133" i="24" s="1"/>
  <c r="AO77" i="24"/>
  <c r="AO645" i="24"/>
  <c r="AR645" i="24" s="1"/>
  <c r="AO569" i="24"/>
  <c r="AR569" i="24" s="1"/>
  <c r="AO886" i="24"/>
  <c r="AR886" i="24" s="1"/>
  <c r="AO383" i="24"/>
  <c r="AR383" i="24" s="1"/>
  <c r="AO552" i="24"/>
  <c r="AR552" i="24" s="1"/>
  <c r="AO82" i="24"/>
  <c r="AO708" i="24"/>
  <c r="AR708" i="24" s="1"/>
  <c r="AO312" i="24"/>
  <c r="AO26" i="24"/>
  <c r="AO260" i="24"/>
  <c r="AR260" i="24" s="1"/>
  <c r="AO174" i="24"/>
  <c r="AO103" i="24"/>
  <c r="AR103" i="24" s="1"/>
  <c r="AO44" i="24"/>
  <c r="AR44" i="24" s="1"/>
  <c r="AO89" i="24"/>
  <c r="AO342" i="24"/>
  <c r="AR342" i="24" s="1"/>
  <c r="AO165" i="24"/>
  <c r="AR165" i="24" s="1"/>
  <c r="AO199" i="24"/>
  <c r="AO674" i="24"/>
  <c r="AR674" i="24" s="1"/>
  <c r="AO261" i="24"/>
  <c r="AO528" i="24"/>
  <c r="AR528" i="24" s="1"/>
  <c r="AO184" i="24"/>
  <c r="AO28" i="24"/>
  <c r="AO704" i="24"/>
  <c r="AR704" i="24" s="1"/>
  <c r="AO253" i="24"/>
  <c r="AR253" i="24" s="1"/>
  <c r="AO181" i="24"/>
  <c r="AO438" i="24"/>
  <c r="AR438" i="24" s="1"/>
  <c r="AO458" i="24"/>
  <c r="AR458" i="24" s="1"/>
  <c r="AO489" i="24"/>
  <c r="AR489" i="24" s="1"/>
  <c r="AO649" i="24"/>
  <c r="AR649" i="24" s="1"/>
  <c r="AO20" i="24"/>
  <c r="AR20" i="24" s="1"/>
  <c r="AO250" i="24"/>
  <c r="AO783" i="24"/>
  <c r="AR783" i="24" s="1"/>
  <c r="AO344" i="24"/>
  <c r="AR344" i="24" s="1"/>
  <c r="AO928" i="24"/>
  <c r="AR928" i="24" s="1"/>
  <c r="AO401" i="24"/>
  <c r="AR401" i="24" s="1"/>
  <c r="AO430" i="24"/>
  <c r="AR430" i="24" s="1"/>
  <c r="AO562" i="24"/>
  <c r="AO703" i="24"/>
  <c r="AR703" i="24" s="1"/>
  <c r="AO589" i="24"/>
  <c r="AR589" i="24" s="1"/>
  <c r="AO230" i="24"/>
  <c r="AR230" i="24" s="1"/>
  <c r="AO301" i="24"/>
  <c r="AO796" i="24"/>
  <c r="AR796" i="24" s="1"/>
  <c r="AO835" i="24"/>
  <c r="AR835" i="24" s="1"/>
  <c r="AO547" i="24"/>
  <c r="AR547" i="24" s="1"/>
  <c r="AO27" i="24"/>
  <c r="AR27" i="24" s="1"/>
  <c r="AO563" i="24"/>
  <c r="AR563" i="24" s="1"/>
  <c r="AO443" i="24"/>
  <c r="AR443" i="24" s="1"/>
  <c r="AO94" i="24"/>
  <c r="AO762" i="24"/>
  <c r="AR762" i="24" s="1"/>
  <c r="AO440" i="24"/>
  <c r="AR440" i="24" s="1"/>
  <c r="AO128" i="24"/>
  <c r="AR128" i="24" s="1"/>
  <c r="AO406" i="24"/>
  <c r="AR406" i="24" s="1"/>
  <c r="AO581" i="24"/>
  <c r="AR581" i="24" s="1"/>
  <c r="AO132" i="24"/>
  <c r="AO908" i="24"/>
  <c r="AR908" i="24" s="1"/>
  <c r="AO791" i="24"/>
  <c r="AR791" i="24" s="1"/>
  <c r="AO698" i="24"/>
  <c r="AR698" i="24" s="1"/>
  <c r="AO901" i="24"/>
  <c r="AR901" i="24" s="1"/>
  <c r="AO241" i="24"/>
  <c r="AO823" i="24"/>
  <c r="AR823" i="24" s="1"/>
  <c r="AO741" i="24"/>
  <c r="AR741" i="24" s="1"/>
  <c r="W431" i="24"/>
  <c r="X431" i="24" s="1"/>
  <c r="AD431" i="24" s="1"/>
  <c r="AF431" i="24" s="1"/>
  <c r="AP431" i="24" s="1"/>
  <c r="W180" i="24"/>
  <c r="X180" i="24" s="1"/>
  <c r="AD180" i="24" s="1"/>
  <c r="AF180" i="24" s="1"/>
  <c r="AP180" i="24" s="1"/>
  <c r="W623" i="24"/>
  <c r="X623" i="24" s="1"/>
  <c r="AD623" i="24" s="1"/>
  <c r="AF623" i="24" s="1"/>
  <c r="AP623" i="24" s="1"/>
  <c r="W78" i="24"/>
  <c r="X78" i="24" s="1"/>
  <c r="AD78" i="24" s="1"/>
  <c r="AF78" i="24" s="1"/>
  <c r="AP78" i="24" s="1"/>
  <c r="W83" i="24"/>
  <c r="X83" i="24" s="1"/>
  <c r="AD83" i="24" s="1"/>
  <c r="AF83" i="24" s="1"/>
  <c r="AP83" i="24" s="1"/>
  <c r="W37" i="24"/>
  <c r="X37" i="24" s="1"/>
  <c r="AD37" i="24" s="1"/>
  <c r="AF37" i="24" s="1"/>
  <c r="W561" i="24"/>
  <c r="X561" i="24" s="1"/>
  <c r="AD561" i="24" s="1"/>
  <c r="AF561" i="24" s="1"/>
  <c r="AP561" i="24" s="1"/>
  <c r="L72" i="18" s="1"/>
  <c r="W519" i="24"/>
  <c r="X519" i="24" s="1"/>
  <c r="AD519" i="24" s="1"/>
  <c r="AF519" i="24" s="1"/>
  <c r="W436" i="24"/>
  <c r="X436" i="24" s="1"/>
  <c r="AD436" i="24" s="1"/>
  <c r="AF436" i="24" s="1"/>
  <c r="AP436" i="24" s="1"/>
  <c r="W166" i="24"/>
  <c r="X166" i="24" s="1"/>
  <c r="AD166" i="24" s="1"/>
  <c r="AF166" i="24" s="1"/>
  <c r="AP166" i="24" s="1"/>
  <c r="W353" i="24"/>
  <c r="X353" i="24" s="1"/>
  <c r="AD353" i="24" s="1"/>
  <c r="AF353" i="24" s="1"/>
  <c r="AP353" i="24" s="1"/>
  <c r="W159" i="24"/>
  <c r="X159" i="24" s="1"/>
  <c r="AD159" i="24" s="1"/>
  <c r="AF159" i="24" s="1"/>
  <c r="AP159" i="24" s="1"/>
  <c r="W259" i="24"/>
  <c r="X259" i="24" s="1"/>
  <c r="AD259" i="24" s="1"/>
  <c r="AF259" i="24" s="1"/>
  <c r="AP259" i="24" s="1"/>
  <c r="W546" i="24"/>
  <c r="X546" i="24" s="1"/>
  <c r="AD546" i="24" s="1"/>
  <c r="AF546" i="24" s="1"/>
  <c r="AP546" i="24" s="1"/>
  <c r="W295" i="24"/>
  <c r="X295" i="24" s="1"/>
  <c r="AD295" i="24" s="1"/>
  <c r="AF295" i="24" s="1"/>
  <c r="AP295" i="24" s="1"/>
  <c r="W126" i="24"/>
  <c r="X126" i="24" s="1"/>
  <c r="AD126" i="24" s="1"/>
  <c r="AF126" i="24" s="1"/>
  <c r="W254" i="24"/>
  <c r="X254" i="24" s="1"/>
  <c r="AD254" i="24" s="1"/>
  <c r="AF254" i="24" s="1"/>
  <c r="AP254" i="24" s="1"/>
  <c r="W53" i="24"/>
  <c r="X53" i="24" s="1"/>
  <c r="AD53" i="24" s="1"/>
  <c r="AF53" i="24" s="1"/>
  <c r="AP53" i="24" s="1"/>
  <c r="W148" i="24"/>
  <c r="X148" i="24" s="1"/>
  <c r="AD148" i="24" s="1"/>
  <c r="AF148" i="24" s="1"/>
  <c r="W21" i="24"/>
  <c r="X21" i="24" s="1"/>
  <c r="AD21" i="24" s="1"/>
  <c r="AF21" i="24" s="1"/>
  <c r="AP21" i="24" s="1"/>
  <c r="W648" i="24"/>
  <c r="X648" i="24" s="1"/>
  <c r="AD648" i="24" s="1"/>
  <c r="AF648" i="24" s="1"/>
  <c r="AP648" i="24" s="1"/>
  <c r="W551" i="24"/>
  <c r="X551" i="24" s="1"/>
  <c r="AD551" i="24" s="1"/>
  <c r="AF551" i="24" s="1"/>
  <c r="AP551" i="24" s="1"/>
  <c r="W71" i="24"/>
  <c r="X71" i="24" s="1"/>
  <c r="AD71" i="24" s="1"/>
  <c r="AF71" i="24" s="1"/>
  <c r="AP71" i="24" s="1"/>
  <c r="W234" i="24"/>
  <c r="X234" i="24" s="1"/>
  <c r="AD234" i="24" s="1"/>
  <c r="AF234" i="24" s="1"/>
  <c r="AP234" i="24" s="1"/>
  <c r="W32" i="24"/>
  <c r="X32" i="24" s="1"/>
  <c r="AD32" i="24" s="1"/>
  <c r="AF32" i="24" s="1"/>
  <c r="W681" i="24"/>
  <c r="X681" i="24" s="1"/>
  <c r="AD681" i="24" s="1"/>
  <c r="AF681" i="24" s="1"/>
  <c r="W239" i="24"/>
  <c r="X239" i="24" s="1"/>
  <c r="AD239" i="24" s="1"/>
  <c r="AF239" i="24" s="1"/>
  <c r="AP239" i="24" s="1"/>
  <c r="W718" i="24"/>
  <c r="X718" i="24" s="1"/>
  <c r="AD718" i="24" s="1"/>
  <c r="AF718" i="24" s="1"/>
  <c r="W453" i="24"/>
  <c r="X453" i="24" s="1"/>
  <c r="AD453" i="24" s="1"/>
  <c r="AF453" i="24" s="1"/>
  <c r="W322" i="24"/>
  <c r="X322" i="24" s="1"/>
  <c r="AD322" i="24" s="1"/>
  <c r="AF322" i="24" s="1"/>
  <c r="W617" i="24"/>
  <c r="X617" i="24" s="1"/>
  <c r="AD617" i="24" s="1"/>
  <c r="AF617" i="24" s="1"/>
  <c r="W514" i="24"/>
  <c r="X514" i="24" s="1"/>
  <c r="AD514" i="24" s="1"/>
  <c r="AF514" i="24" s="1"/>
  <c r="AP514" i="24" s="1"/>
  <c r="W387" i="24"/>
  <c r="X387" i="24" s="1"/>
  <c r="AD387" i="24" s="1"/>
  <c r="AF387" i="24" s="1"/>
  <c r="W249" i="24"/>
  <c r="X249" i="24" s="1"/>
  <c r="AD249" i="24" s="1"/>
  <c r="AF249" i="24" s="1"/>
  <c r="W229" i="24"/>
  <c r="X229" i="24" s="1"/>
  <c r="AD229" i="24" s="1"/>
  <c r="AF229" i="24" s="1"/>
  <c r="AP229" i="24" s="1"/>
  <c r="W88" i="24"/>
  <c r="X88" i="24" s="1"/>
  <c r="AD88" i="24" s="1"/>
  <c r="AF88" i="24" s="1"/>
  <c r="W154" i="24"/>
  <c r="X154" i="24" s="1"/>
  <c r="AD154" i="24" s="1"/>
  <c r="AF154" i="24" s="1"/>
  <c r="AP154" i="24" s="1"/>
  <c r="W334" i="24"/>
  <c r="X334" i="24" s="1"/>
  <c r="AD334" i="24" s="1"/>
  <c r="AF334" i="24" s="1"/>
  <c r="W202" i="24"/>
  <c r="X202" i="24" s="1"/>
  <c r="AD202" i="24" s="1"/>
  <c r="AF202" i="24" s="1"/>
  <c r="W399" i="24"/>
  <c r="X399" i="24" s="1"/>
  <c r="AD399" i="24" s="1"/>
  <c r="AF399" i="24" s="1"/>
  <c r="AP399" i="24" s="1"/>
  <c r="W602" i="24"/>
  <c r="X602" i="24" s="1"/>
  <c r="AD602" i="24" s="1"/>
  <c r="AF602" i="24" s="1"/>
  <c r="W653" i="24"/>
  <c r="X653" i="24" s="1"/>
  <c r="AD653" i="24" s="1"/>
  <c r="AF653" i="24" s="1"/>
  <c r="W556" i="24"/>
  <c r="X556" i="24" s="1"/>
  <c r="AD556" i="24" s="1"/>
  <c r="AF556" i="24" s="1"/>
  <c r="W47" i="24"/>
  <c r="X47" i="24" s="1"/>
  <c r="AD47" i="24" s="1"/>
  <c r="AF47" i="24" s="1"/>
  <c r="AP47" i="24" s="1"/>
  <c r="W93" i="24"/>
  <c r="X93" i="24" s="1"/>
  <c r="AD93" i="24" s="1"/>
  <c r="AF93" i="24" s="1"/>
  <c r="AP93" i="24" s="1"/>
  <c r="W197" i="24"/>
  <c r="X197" i="24" s="1"/>
  <c r="AD197" i="24" s="1"/>
  <c r="AF197" i="24" s="1"/>
  <c r="W493" i="24"/>
  <c r="X493" i="24" s="1"/>
  <c r="AD493" i="24" s="1"/>
  <c r="AF493" i="24" s="1"/>
  <c r="W310" i="24"/>
  <c r="X310" i="24" s="1"/>
  <c r="AD310" i="24" s="1"/>
  <c r="AF310" i="24" s="1"/>
  <c r="AP310" i="24" s="1"/>
  <c r="W136" i="24"/>
  <c r="X136" i="24" s="1"/>
  <c r="AD136" i="24" s="1"/>
  <c r="AF136" i="24" s="1"/>
  <c r="W524" i="24"/>
  <c r="X524" i="24" s="1"/>
  <c r="AD524" i="24" s="1"/>
  <c r="AF524" i="24" s="1"/>
  <c r="AP524" i="24" s="1"/>
  <c r="W382" i="24"/>
  <c r="X382" i="24" s="1"/>
  <c r="AD382" i="24" s="1"/>
  <c r="AF382" i="24" s="1"/>
  <c r="AP382" i="24" s="1"/>
  <c r="W300" i="24"/>
  <c r="X300" i="24" s="1"/>
  <c r="AD300" i="24" s="1"/>
  <c r="AF300" i="24" s="1"/>
  <c r="AP300" i="24" s="1"/>
  <c r="W305" i="24"/>
  <c r="X305" i="24" s="1"/>
  <c r="AD305" i="24" s="1"/>
  <c r="AF305" i="24" s="1"/>
  <c r="W269" i="24"/>
  <c r="X269" i="24" s="1"/>
  <c r="AD269" i="24" s="1"/>
  <c r="AF269" i="24" s="1"/>
  <c r="AP269" i="24" s="1"/>
  <c r="W446" i="24"/>
  <c r="X446" i="24" s="1"/>
  <c r="AD446" i="24" s="1"/>
  <c r="AF446" i="24" s="1"/>
  <c r="AP446" i="24" s="1"/>
  <c r="W73" i="24"/>
  <c r="X73" i="24" s="1"/>
  <c r="AD73" i="24" s="1"/>
  <c r="AF73" i="24" s="1"/>
  <c r="AP73" i="24" s="1"/>
  <c r="W461" i="24"/>
  <c r="X461" i="24" s="1"/>
  <c r="AD461" i="24" s="1"/>
  <c r="AF461" i="24" s="1"/>
  <c r="W441" i="24"/>
  <c r="X441" i="24" s="1"/>
  <c r="AD441" i="24" s="1"/>
  <c r="AF441" i="24" s="1"/>
  <c r="AP441" i="24" s="1"/>
  <c r="W141" i="24"/>
  <c r="X141" i="24" s="1"/>
  <c r="AD141" i="24" s="1"/>
  <c r="AF141" i="24" s="1"/>
  <c r="W587" i="24"/>
  <c r="X587" i="24" s="1"/>
  <c r="AD587" i="24" s="1"/>
  <c r="AF587" i="24" s="1"/>
  <c r="W185" i="24"/>
  <c r="X185" i="24" s="1"/>
  <c r="AD185" i="24" s="1"/>
  <c r="AF185" i="24" s="1"/>
  <c r="W676" i="24"/>
  <c r="X676" i="24" s="1"/>
  <c r="AD676" i="24" s="1"/>
  <c r="AF676" i="24" s="1"/>
  <c r="W597" i="24"/>
  <c r="X597" i="24" s="1"/>
  <c r="AD597" i="24" s="1"/>
  <c r="AF597" i="24" s="1"/>
  <c r="W315" i="24"/>
  <c r="X315" i="24" s="1"/>
  <c r="AD315" i="24" s="1"/>
  <c r="AF315" i="24" s="1"/>
  <c r="W628" i="24"/>
  <c r="X628" i="24" s="1"/>
  <c r="AD628" i="24" s="1"/>
  <c r="AF628" i="24" s="1"/>
  <c r="AP628" i="24" s="1"/>
  <c r="W539" i="24"/>
  <c r="X539" i="24" s="1"/>
  <c r="AD539" i="24" s="1"/>
  <c r="AF539" i="24" s="1"/>
  <c r="W607" i="24"/>
  <c r="X607" i="24" s="1"/>
  <c r="AD607" i="24" s="1"/>
  <c r="AF607" i="24" s="1"/>
  <c r="W658" i="24"/>
  <c r="X658" i="24" s="1"/>
  <c r="AD658" i="24" s="1"/>
  <c r="AF658" i="24" s="1"/>
  <c r="W592" i="24"/>
  <c r="X592" i="24" s="1"/>
  <c r="AD592" i="24" s="1"/>
  <c r="AF592" i="24" s="1"/>
  <c r="W65" i="24"/>
  <c r="X65" i="24" s="1"/>
  <c r="AD65" i="24" s="1"/>
  <c r="AF65" i="24" s="1"/>
  <c r="W244" i="24"/>
  <c r="X244" i="24" s="1"/>
  <c r="AD244" i="24" s="1"/>
  <c r="AF244" i="24" s="1"/>
  <c r="W173" i="24"/>
  <c r="X173" i="24" s="1"/>
  <c r="AD173" i="24" s="1"/>
  <c r="AF173" i="24" s="1"/>
  <c r="AP173" i="24" s="1"/>
  <c r="W694" i="24"/>
  <c r="X694" i="24" s="1"/>
  <c r="AD694" i="24" s="1"/>
  <c r="AF694" i="24" s="1"/>
  <c r="AP694" i="24" s="1"/>
  <c r="W274" i="24"/>
  <c r="X274" i="24" s="1"/>
  <c r="AD274" i="24" s="1"/>
  <c r="AF274" i="24" s="1"/>
  <c r="AO299" i="24"/>
  <c r="AO923" i="24"/>
  <c r="AR923" i="24" s="1"/>
  <c r="AO695" i="24"/>
  <c r="AR695" i="24" s="1"/>
  <c r="AO270" i="24"/>
  <c r="AR270" i="24" s="1"/>
  <c r="AO593" i="24"/>
  <c r="AR593" i="24" s="1"/>
  <c r="AO311" i="24"/>
  <c r="AO511" i="24"/>
  <c r="AR511" i="24" s="1"/>
  <c r="AO627" i="24"/>
  <c r="AR627" i="24" s="1"/>
  <c r="AO485" i="24"/>
  <c r="AR485" i="24" s="1"/>
  <c r="AO11" i="24"/>
  <c r="AR11" i="24" s="1"/>
  <c r="AO711" i="24"/>
  <c r="AR711" i="24" s="1"/>
  <c r="AO243" i="24"/>
  <c r="AR243" i="24" s="1"/>
  <c r="AO635" i="24"/>
  <c r="AR635" i="24" s="1"/>
  <c r="AO156" i="24"/>
  <c r="AR156" i="24" s="1"/>
  <c r="AO550" i="24"/>
  <c r="AR550" i="24" s="1"/>
  <c r="AO814" i="24"/>
  <c r="AR814" i="24" s="1"/>
  <c r="AO506" i="24"/>
  <c r="AR506" i="24" s="1"/>
  <c r="AO859" i="24"/>
  <c r="AR859" i="24" s="1"/>
  <c r="AO811" i="24"/>
  <c r="AR811" i="24" s="1"/>
  <c r="AO813" i="24"/>
  <c r="AR813" i="24" s="1"/>
  <c r="AO667" i="24"/>
  <c r="AR667" i="24" s="1"/>
  <c r="AO235" i="24"/>
  <c r="AO686" i="24"/>
  <c r="AR686" i="24" s="1"/>
  <c r="AO634" i="24"/>
  <c r="AR634" i="24" s="1"/>
  <c r="AO747" i="24"/>
  <c r="AR747" i="24" s="1"/>
  <c r="AO545" i="24"/>
  <c r="AR545" i="24" s="1"/>
  <c r="AO778" i="24"/>
  <c r="AO418" i="24"/>
  <c r="AR418" i="24" s="1"/>
  <c r="AO99" i="24"/>
  <c r="AR99" i="24" s="1"/>
  <c r="AO861" i="24"/>
  <c r="AR861" i="24" s="1"/>
  <c r="AO869" i="24"/>
  <c r="AR869" i="24" s="1"/>
  <c r="AO329" i="24"/>
  <c r="AR329" i="24" s="1"/>
  <c r="AO306" i="24"/>
  <c r="AO534" i="24"/>
  <c r="AR534" i="24" s="1"/>
  <c r="AO689" i="24"/>
  <c r="AR689" i="24" s="1"/>
  <c r="AO264" i="24"/>
  <c r="AO405" i="24"/>
  <c r="AR405" i="24" s="1"/>
  <c r="AO39" i="24"/>
  <c r="AR39" i="24" s="1"/>
  <c r="AO825" i="24"/>
  <c r="AR825" i="24" s="1"/>
  <c r="AO276" i="24"/>
  <c r="AR276" i="24" s="1"/>
  <c r="AO699" i="24"/>
  <c r="AR699" i="24" s="1"/>
  <c r="AO520" i="24"/>
  <c r="AR520" i="24" s="1"/>
  <c r="AO879" i="24"/>
  <c r="AR879" i="24" s="1"/>
  <c r="AO720" i="24"/>
  <c r="AR720" i="24" s="1"/>
  <c r="AO265" i="24"/>
  <c r="AR265" i="24" s="1"/>
  <c r="AO85" i="24"/>
  <c r="AR85" i="24" s="1"/>
  <c r="AO158" i="24"/>
  <c r="AR158" i="24" s="1"/>
  <c r="AO488" i="24"/>
  <c r="AR488" i="24" s="1"/>
  <c r="AO525" i="24"/>
  <c r="AO172" i="24"/>
  <c r="AR172" i="24" s="1"/>
  <c r="AO586" i="24"/>
  <c r="AR586" i="24" s="1"/>
  <c r="AO781" i="24"/>
  <c r="AR781" i="24" s="1"/>
  <c r="AO426" i="24"/>
  <c r="AR426" i="24" s="1"/>
  <c r="AO309" i="24"/>
  <c r="AO193" i="24"/>
  <c r="AO79" i="24"/>
  <c r="AO906" i="24"/>
  <c r="AR906" i="24" s="1"/>
  <c r="AO68" i="24"/>
  <c r="AO591" i="24"/>
  <c r="AR591" i="24" s="1"/>
  <c r="AO142" i="24"/>
  <c r="AO127" i="24"/>
  <c r="AO629" i="24"/>
  <c r="AR629" i="24" s="1"/>
  <c r="AO898" i="24"/>
  <c r="AR898" i="24" s="1"/>
  <c r="AO838" i="24"/>
  <c r="AR838" i="24" s="1"/>
  <c r="AO596" i="24"/>
  <c r="AR596" i="24" s="1"/>
  <c r="AO806" i="24"/>
  <c r="AR806" i="24" s="1"/>
  <c r="AO614" i="24"/>
  <c r="AR614" i="24" s="1"/>
  <c r="AO830" i="24"/>
  <c r="AR830" i="24" s="1"/>
  <c r="AO543" i="24"/>
  <c r="AR543" i="24" s="1"/>
  <c r="AO730" i="24"/>
  <c r="AR730" i="24" s="1"/>
  <c r="AO664" i="24"/>
  <c r="AR664" i="24" s="1"/>
  <c r="AO29" i="24"/>
  <c r="AO316" i="24"/>
  <c r="AO445" i="24"/>
  <c r="AR445" i="24" s="1"/>
  <c r="AO416" i="24"/>
  <c r="AR416" i="24" s="1"/>
  <c r="AO463" i="24"/>
  <c r="AR463" i="24" s="1"/>
  <c r="AO75" i="24"/>
  <c r="AO23" i="24"/>
  <c r="AO314" i="24"/>
  <c r="AO203" i="24"/>
  <c r="AR203" i="24" s="1"/>
  <c r="AO639" i="24"/>
  <c r="AR639" i="24" s="1"/>
  <c r="AO341" i="24"/>
  <c r="AO749" i="24"/>
  <c r="AR749" i="24" s="1"/>
  <c r="AO105" i="24"/>
  <c r="AO411" i="24"/>
  <c r="AR411" i="24" s="1"/>
  <c r="AO52" i="24"/>
  <c r="AR52" i="24" s="1"/>
  <c r="AO421" i="24"/>
  <c r="AR421" i="24" s="1"/>
  <c r="AO97" i="24"/>
  <c r="AR97" i="24" s="1"/>
  <c r="AO330" i="24"/>
  <c r="AO494" i="24"/>
  <c r="AR494" i="24" s="1"/>
  <c r="AO198" i="24"/>
  <c r="AR198" i="24" s="1"/>
  <c r="AO67" i="24"/>
  <c r="AR67" i="24" s="1"/>
  <c r="AO848" i="24"/>
  <c r="AR848" i="24" s="1"/>
  <c r="AO808" i="24"/>
  <c r="AR808" i="24" s="1"/>
  <c r="AO925" i="24"/>
  <c r="AR925" i="24" s="1"/>
  <c r="AO38" i="24"/>
  <c r="AR38" i="24" s="1"/>
  <c r="AO297" i="24"/>
  <c r="AR297" i="24" s="1"/>
  <c r="AO101" i="24"/>
  <c r="AR101" i="24" s="1"/>
  <c r="AO266" i="24"/>
  <c r="AO803" i="24"/>
  <c r="AR803" i="24" s="1"/>
  <c r="AO529" i="24"/>
  <c r="AR529" i="24" s="1"/>
  <c r="AO644" i="24"/>
  <c r="AR644" i="24" s="1"/>
  <c r="AO624" i="24"/>
  <c r="AR624" i="24" s="1"/>
  <c r="AO233" i="24"/>
  <c r="AR233" i="24" s="1"/>
  <c r="AO248" i="24"/>
  <c r="AR248" i="24" s="1"/>
  <c r="AO619" i="24"/>
  <c r="AR619" i="24" s="1"/>
  <c r="AO10" i="24"/>
  <c r="AO31" i="24"/>
  <c r="AR31" i="24" s="1"/>
  <c r="AO410" i="24"/>
  <c r="AR410" i="24" s="1"/>
  <c r="AO713" i="24"/>
  <c r="AO821" i="24"/>
  <c r="AR821" i="24" s="1"/>
  <c r="AO873" i="24"/>
  <c r="AR873" i="24" s="1"/>
  <c r="AO883" i="24"/>
  <c r="AR883" i="24" s="1"/>
  <c r="AO776" i="24"/>
  <c r="AR776" i="24" s="1"/>
  <c r="AO767" i="24"/>
  <c r="AR767" i="24" s="1"/>
  <c r="AO13" i="24"/>
  <c r="AO752" i="24"/>
  <c r="AR752" i="24" s="1"/>
  <c r="AO609" i="24"/>
  <c r="AR609" i="24" s="1"/>
  <c r="AO508" i="24"/>
  <c r="AR508" i="24" s="1"/>
  <c r="AO36" i="24"/>
  <c r="AO140" i="24"/>
  <c r="AR140" i="24" s="1"/>
  <c r="AO885" i="24"/>
  <c r="AR885" i="24" s="1"/>
  <c r="AO640" i="24"/>
  <c r="AR640" i="24" s="1"/>
  <c r="AO275" i="24"/>
  <c r="AR275" i="24" s="1"/>
  <c r="AO903" i="24"/>
  <c r="AR903" i="24" s="1"/>
  <c r="AO647" i="24"/>
  <c r="AR647" i="24" s="1"/>
  <c r="AO403" i="24"/>
  <c r="AR403" i="24" s="1"/>
  <c r="AO415" i="24"/>
  <c r="AR415" i="24" s="1"/>
  <c r="AO49" i="24"/>
  <c r="AR49" i="24" s="1"/>
  <c r="AO351" i="24"/>
  <c r="AR351" i="24" s="1"/>
  <c r="AO843" i="24"/>
  <c r="AO255" i="24"/>
  <c r="AR255" i="24" s="1"/>
  <c r="AO887" i="24"/>
  <c r="AR887" i="24" s="1"/>
  <c r="AO765" i="24"/>
  <c r="AR765" i="24" s="1"/>
  <c r="AO90" i="24"/>
  <c r="AR90" i="24" s="1"/>
  <c r="AO794" i="24"/>
  <c r="AR794" i="24" s="1"/>
  <c r="AO423" i="24"/>
  <c r="AR423" i="24" s="1"/>
  <c r="AO760" i="24"/>
  <c r="AR760" i="24" s="1"/>
  <c r="AO327" i="24"/>
  <c r="AO135" i="24"/>
  <c r="AR135" i="24" s="1"/>
  <c r="AO413" i="24"/>
  <c r="AR413" i="24" s="1"/>
  <c r="AO137" i="24"/>
  <c r="AO70" i="24"/>
  <c r="AR70" i="24" s="1"/>
  <c r="AO179" i="24"/>
  <c r="AO772" i="24"/>
  <c r="AR772" i="24" s="1"/>
  <c r="AO191" i="24"/>
  <c r="AO657" i="24"/>
  <c r="AR657" i="24" s="1"/>
  <c r="AO240" i="24"/>
  <c r="AO245" i="24"/>
  <c r="AO853" i="24"/>
  <c r="AR853" i="24" s="1"/>
  <c r="AO932" i="24"/>
  <c r="AR932" i="24" s="1"/>
  <c r="AO809" i="24"/>
  <c r="AR809" i="24" s="1"/>
  <c r="AO501" i="24"/>
  <c r="AR501" i="24" s="1"/>
  <c r="AM7" i="24"/>
  <c r="AL7" i="24"/>
  <c r="AK7" i="24"/>
  <c r="AN7" i="24"/>
  <c r="AO56" i="24"/>
  <c r="AR56" i="24" s="1"/>
  <c r="AO786" i="24"/>
  <c r="AR786" i="24" s="1"/>
  <c r="AO408" i="24"/>
  <c r="AR408" i="24" s="1"/>
  <c r="AO80" i="24"/>
  <c r="AO652" i="24"/>
  <c r="AR652" i="24" s="1"/>
  <c r="AO151" i="24"/>
  <c r="AR151" i="24" s="1"/>
  <c r="AO323" i="24"/>
  <c r="AR323" i="24" s="1"/>
  <c r="AO857" i="24"/>
  <c r="AR857" i="24" s="1"/>
  <c r="AO22" i="24"/>
  <c r="AO784" i="24"/>
  <c r="AR784" i="24" s="1"/>
  <c r="N14" i="18"/>
  <c r="T14" i="18"/>
  <c r="AO143" i="24"/>
  <c r="AR143" i="24" s="1"/>
  <c r="AO483" i="24"/>
  <c r="AR483" i="24" s="1"/>
  <c r="AO513" i="24"/>
  <c r="AR513" i="24" s="1"/>
  <c r="AO384" i="24"/>
  <c r="AO492" i="24"/>
  <c r="AR492" i="24" s="1"/>
  <c r="AO905" i="24"/>
  <c r="AR905" i="24" s="1"/>
  <c r="AO150" i="24"/>
  <c r="AO538" i="24"/>
  <c r="AR538" i="24" s="1"/>
  <c r="AO216" i="24"/>
  <c r="AR216" i="24" s="1"/>
  <c r="AO608" i="24"/>
  <c r="AR608" i="24" s="1"/>
  <c r="AO881" i="24"/>
  <c r="AR881" i="24" s="1"/>
  <c r="AO755" i="24"/>
  <c r="AR755" i="24" s="1"/>
  <c r="AO818" i="24"/>
  <c r="AR818" i="24" s="1"/>
  <c r="AO557" i="24"/>
  <c r="AR557" i="24" s="1"/>
  <c r="AO516" i="24"/>
  <c r="AR516" i="24" s="1"/>
  <c r="AO603" i="24"/>
  <c r="AR603" i="24" s="1"/>
  <c r="AO630" i="24"/>
  <c r="AR630" i="24" s="1"/>
  <c r="AO728" i="24"/>
  <c r="AR728" i="24" s="1"/>
  <c r="AO893" i="24"/>
  <c r="AR893" i="24" s="1"/>
  <c r="AO918" i="24"/>
  <c r="AR918" i="24" s="1"/>
  <c r="AO913" i="24"/>
  <c r="AR913" i="24" s="1"/>
  <c r="AO920" i="24"/>
  <c r="AR920" i="24" s="1"/>
  <c r="AO177" i="24"/>
  <c r="AO304" i="24"/>
  <c r="AO130" i="24"/>
  <c r="AR130" i="24" s="1"/>
  <c r="AO816" i="24"/>
  <c r="AR816" i="24" s="1"/>
  <c r="AO490" i="24"/>
  <c r="AR490" i="24" s="1"/>
  <c r="AO709" i="24"/>
  <c r="AR709" i="24" s="1"/>
  <c r="AO625" i="24"/>
  <c r="AR625" i="24" s="1"/>
  <c r="AO339" i="24"/>
  <c r="AR339" i="24" s="1"/>
  <c r="AO588" i="24"/>
  <c r="AR588" i="24" s="1"/>
  <c r="AO24" i="24"/>
  <c r="AR24" i="24" s="1"/>
  <c r="AO774" i="24"/>
  <c r="AR774" i="24" s="1"/>
  <c r="AO599" i="24"/>
  <c r="AR599" i="24" s="1"/>
  <c r="AO147" i="24"/>
  <c r="AR147" i="24" s="1"/>
  <c r="AO693" i="24"/>
  <c r="AR693" i="24" s="1"/>
  <c r="AO736" i="24"/>
  <c r="AR736" i="24" s="1"/>
  <c r="AO921" i="24"/>
  <c r="AR921" i="24" s="1"/>
  <c r="AO435" i="24"/>
  <c r="AR435" i="24" s="1"/>
  <c r="AO17" i="24"/>
  <c r="AO238" i="24"/>
  <c r="AO560" i="24"/>
  <c r="AR560" i="24" s="1"/>
  <c r="AO731" i="24"/>
  <c r="AR731" i="24" s="1"/>
  <c r="AO448" i="24"/>
  <c r="AR448" i="24" s="1"/>
  <c r="AO521" i="24"/>
  <c r="AR521" i="24" s="1"/>
  <c r="AO789" i="24"/>
  <c r="AR789" i="24" s="1"/>
  <c r="AO567" i="24"/>
  <c r="AR567" i="24" s="1"/>
  <c r="AO84" i="24"/>
  <c r="AO678" i="24"/>
  <c r="AR678" i="24" s="1"/>
  <c r="AO601" i="24"/>
  <c r="AR601" i="24" s="1"/>
  <c r="AO324" i="24"/>
  <c r="AR324" i="24" s="1"/>
  <c r="AO325" i="24"/>
  <c r="AR325" i="24" s="1"/>
  <c r="AO650" i="24"/>
  <c r="AR650" i="24" s="1"/>
  <c r="AO16" i="24"/>
  <c r="AO537" i="24"/>
  <c r="AR537" i="24" s="1"/>
  <c r="AO840" i="24"/>
  <c r="AR840" i="24" s="1"/>
  <c r="AO899" i="24"/>
  <c r="AR899" i="24" s="1"/>
  <c r="AO225" i="24"/>
  <c r="AO106" i="24"/>
  <c r="AR106" i="24" s="1"/>
  <c r="AO927" i="24"/>
  <c r="AR927" i="24" s="1"/>
  <c r="AO54" i="24"/>
  <c r="AR54" i="24" s="1"/>
  <c r="AO433" i="24"/>
  <c r="AR433" i="24" s="1"/>
  <c r="AO43" i="24"/>
  <c r="AR43" i="24" s="1"/>
  <c r="AO450" i="24"/>
  <c r="AR450" i="24" s="1"/>
  <c r="AO48" i="24"/>
  <c r="AR48" i="24" s="1"/>
  <c r="AO319" i="24"/>
  <c r="AR319" i="24" s="1"/>
  <c r="AO584" i="24"/>
  <c r="AR584" i="24" s="1"/>
  <c r="AO622" i="24"/>
  <c r="AR622" i="24" s="1"/>
  <c r="AO555" i="24"/>
  <c r="AR555" i="24" s="1"/>
  <c r="AO688" i="24"/>
  <c r="AR688" i="24" s="1"/>
  <c r="AO542" i="24"/>
  <c r="AR542" i="24" s="1"/>
  <c r="AO670" i="24"/>
  <c r="AR670" i="24" s="1"/>
  <c r="AO96" i="24"/>
  <c r="AR96" i="24" s="1"/>
  <c r="AO598" i="24"/>
  <c r="AR598" i="24" s="1"/>
  <c r="AO715" i="24"/>
  <c r="AR715" i="24" s="1"/>
  <c r="AR306" i="24" l="1"/>
  <c r="AR258" i="24"/>
  <c r="AR217" i="24"/>
  <c r="AR266" i="24"/>
  <c r="AR317" i="24"/>
  <c r="AR271" i="24"/>
  <c r="AR25" i="24"/>
  <c r="AR240" i="24"/>
  <c r="AR174" i="24"/>
  <c r="AR301" i="24"/>
  <c r="AR261" i="24"/>
  <c r="AR298" i="24"/>
  <c r="AR12" i="24"/>
  <c r="AR316" i="24"/>
  <c r="AR194" i="24"/>
  <c r="AR311" i="24"/>
  <c r="AR199" i="24"/>
  <c r="AO677" i="24"/>
  <c r="AR677" i="24" s="1"/>
  <c r="AR225" i="24"/>
  <c r="AR238" i="24"/>
  <c r="AR304" i="24"/>
  <c r="AR177" i="24"/>
  <c r="AR245" i="24"/>
  <c r="AR191" i="24"/>
  <c r="AR179" i="24"/>
  <c r="AR327" i="24"/>
  <c r="AR843" i="24"/>
  <c r="AR13" i="24"/>
  <c r="AR330" i="24"/>
  <c r="AR341" i="24"/>
  <c r="AR314" i="24"/>
  <c r="AR23" i="24"/>
  <c r="AR309" i="24"/>
  <c r="AR264" i="24"/>
  <c r="AR778" i="24"/>
  <c r="AR299" i="24"/>
  <c r="AR241" i="24"/>
  <c r="AR562" i="24"/>
  <c r="AR250" i="24"/>
  <c r="AR184" i="24"/>
  <c r="AR312" i="24"/>
  <c r="AR236" i="24"/>
  <c r="AR189" i="24"/>
  <c r="AR182" i="24"/>
  <c r="AR302" i="24"/>
  <c r="AR8" i="24"/>
  <c r="AR757" i="24"/>
  <c r="AR307" i="24"/>
  <c r="AR247" i="24"/>
  <c r="AR272" i="24"/>
  <c r="AR733" i="24"/>
  <c r="AR267" i="24"/>
  <c r="AR215" i="24"/>
  <c r="AR365" i="24"/>
  <c r="AR374" i="24"/>
  <c r="AR220" i="24"/>
  <c r="AR360" i="24"/>
  <c r="AR218" i="24"/>
  <c r="AR367" i="24"/>
  <c r="AR372" i="24"/>
  <c r="AR894" i="24"/>
  <c r="AR332" i="24"/>
  <c r="AR380" i="24"/>
  <c r="AR252" i="24"/>
  <c r="AR200" i="24"/>
  <c r="AR262" i="24"/>
  <c r="AR15" i="24"/>
  <c r="AR992" i="24"/>
  <c r="AR385" i="24"/>
  <c r="AO683" i="24"/>
  <c r="AR683" i="24" s="1"/>
  <c r="AO682" i="24"/>
  <c r="AR682" i="24" s="1"/>
  <c r="AO680" i="24"/>
  <c r="G104" i="3"/>
  <c r="G106" i="3" s="1"/>
  <c r="AR26" i="24"/>
  <c r="AR384" i="24"/>
  <c r="AR36" i="24"/>
  <c r="AR193" i="24"/>
  <c r="AR181" i="24"/>
  <c r="AR379" i="24"/>
  <c r="AR176" i="24"/>
  <c r="AR364" i="24"/>
  <c r="AR370" i="24"/>
  <c r="AR377" i="24"/>
  <c r="AR359" i="24"/>
  <c r="AQ43" i="3"/>
  <c r="AQ29" i="3"/>
  <c r="I22" i="28"/>
  <c r="I24" i="28" s="1"/>
  <c r="AO679" i="24"/>
  <c r="AO684" i="24"/>
  <c r="AO675" i="24"/>
  <c r="AR675" i="24" s="1"/>
  <c r="AO685" i="24"/>
  <c r="W394" i="24"/>
  <c r="X394" i="24" s="1"/>
  <c r="AD394" i="24" s="1"/>
  <c r="AF394" i="24" s="1"/>
  <c r="AP394" i="24" s="1"/>
  <c r="W212" i="24"/>
  <c r="X212" i="24" s="1"/>
  <c r="AD212" i="24" s="1"/>
  <c r="AF212" i="24" s="1"/>
  <c r="AL212" i="24" s="1"/>
  <c r="W207" i="24"/>
  <c r="X207" i="24" s="1"/>
  <c r="AD207" i="24" s="1"/>
  <c r="AF207" i="24" s="1"/>
  <c r="AM207" i="24" s="1"/>
  <c r="W169" i="24"/>
  <c r="X169" i="24" s="1"/>
  <c r="AD169" i="24" s="1"/>
  <c r="AF169" i="24" s="1"/>
  <c r="AP169" i="24" s="1"/>
  <c r="W112" i="24"/>
  <c r="X112" i="24" s="1"/>
  <c r="AD112" i="24" s="1"/>
  <c r="AF112" i="24" s="1"/>
  <c r="AM112" i="24" s="1"/>
  <c r="W466" i="24"/>
  <c r="X466" i="24" s="1"/>
  <c r="AD466" i="24" s="1"/>
  <c r="AF466" i="24" s="1"/>
  <c r="AP466" i="24" s="1"/>
  <c r="W290" i="24"/>
  <c r="X290" i="24" s="1"/>
  <c r="AD290" i="24" s="1"/>
  <c r="AF290" i="24" s="1"/>
  <c r="AM290" i="24" s="1"/>
  <c r="W284" i="24"/>
  <c r="X284" i="24" s="1"/>
  <c r="AD284" i="24" s="1"/>
  <c r="AF284" i="24" s="1"/>
  <c r="AP284" i="24" s="1"/>
  <c r="W533" i="24"/>
  <c r="X533" i="24" s="1"/>
  <c r="AD533" i="24" s="1"/>
  <c r="AF533" i="24" s="1"/>
  <c r="AP533" i="24" s="1"/>
  <c r="W612" i="24"/>
  <c r="X612" i="24" s="1"/>
  <c r="AD612" i="24" s="1"/>
  <c r="AF612" i="24" s="1"/>
  <c r="AL612" i="24" s="1"/>
  <c r="W279" i="24"/>
  <c r="X279" i="24" s="1"/>
  <c r="AD279" i="24" s="1"/>
  <c r="AF279" i="24" s="1"/>
  <c r="AN279" i="24" s="1"/>
  <c r="AR89" i="24"/>
  <c r="AR75" i="24"/>
  <c r="W287" i="24"/>
  <c r="X287" i="24" s="1"/>
  <c r="AD287" i="24" s="1"/>
  <c r="AF287" i="24" s="1"/>
  <c r="W470" i="24"/>
  <c r="X470" i="24" s="1"/>
  <c r="AD470" i="24" s="1"/>
  <c r="AF470" i="24" s="1"/>
  <c r="W390" i="24"/>
  <c r="X390" i="24" s="1"/>
  <c r="AD390" i="24" s="1"/>
  <c r="AF390" i="24" s="1"/>
  <c r="W204" i="24"/>
  <c r="X204" i="24" s="1"/>
  <c r="AD204" i="24" s="1"/>
  <c r="AF204" i="24" s="1"/>
  <c r="AP204" i="24" s="1"/>
  <c r="W111" i="24"/>
  <c r="X111" i="24" s="1"/>
  <c r="AD111" i="24" s="1"/>
  <c r="AF111" i="24" s="1"/>
  <c r="W478" i="24"/>
  <c r="X478" i="24" s="1"/>
  <c r="AD478" i="24" s="1"/>
  <c r="AF478" i="24" s="1"/>
  <c r="W479" i="24"/>
  <c r="X479" i="24" s="1"/>
  <c r="AD479" i="24" s="1"/>
  <c r="AF479" i="24" s="1"/>
  <c r="W392" i="24"/>
  <c r="X392" i="24" s="1"/>
  <c r="AD392" i="24" s="1"/>
  <c r="AF392" i="24" s="1"/>
  <c r="W288" i="24"/>
  <c r="X288" i="24" s="1"/>
  <c r="AD288" i="24" s="1"/>
  <c r="AF288" i="24" s="1"/>
  <c r="W120" i="24"/>
  <c r="X120" i="24" s="1"/>
  <c r="AD120" i="24" s="1"/>
  <c r="AF120" i="24" s="1"/>
  <c r="W211" i="24"/>
  <c r="X211" i="24" s="1"/>
  <c r="AD211" i="24" s="1"/>
  <c r="AF211" i="24" s="1"/>
  <c r="W283" i="24"/>
  <c r="X283" i="24" s="1"/>
  <c r="AD283" i="24" s="1"/>
  <c r="AF283" i="24" s="1"/>
  <c r="AP283" i="24" s="1"/>
  <c r="W346" i="24"/>
  <c r="X346" i="24" s="1"/>
  <c r="AD346" i="24" s="1"/>
  <c r="AF346" i="24" s="1"/>
  <c r="W473" i="24"/>
  <c r="X473" i="24" s="1"/>
  <c r="AD473" i="24" s="1"/>
  <c r="AF473" i="24" s="1"/>
  <c r="W293" i="24"/>
  <c r="X293" i="24" s="1"/>
  <c r="AD293" i="24" s="1"/>
  <c r="AF293" i="24" s="1"/>
  <c r="W108" i="24"/>
  <c r="X108" i="24" s="1"/>
  <c r="AD108" i="24" s="1"/>
  <c r="AF108" i="24" s="1"/>
  <c r="AP108" i="24" s="1"/>
  <c r="W580" i="24"/>
  <c r="X580" i="24" s="1"/>
  <c r="AD580" i="24" s="1"/>
  <c r="AF580" i="24" s="1"/>
  <c r="W205" i="24"/>
  <c r="X205" i="24" s="1"/>
  <c r="AD205" i="24" s="1"/>
  <c r="AF205" i="24" s="1"/>
  <c r="AP205" i="24" s="1"/>
  <c r="W210" i="24"/>
  <c r="X210" i="24" s="1"/>
  <c r="AD210" i="24" s="1"/>
  <c r="AF210" i="24" s="1"/>
  <c r="AP210" i="24" s="1"/>
  <c r="W532" i="24"/>
  <c r="X532" i="24" s="1"/>
  <c r="AD532" i="24" s="1"/>
  <c r="AF532" i="24" s="1"/>
  <c r="W398" i="24"/>
  <c r="X398" i="24" s="1"/>
  <c r="AD398" i="24" s="1"/>
  <c r="AF398" i="24" s="1"/>
  <c r="AP398" i="24" s="1"/>
  <c r="W285" i="24"/>
  <c r="X285" i="24" s="1"/>
  <c r="AD285" i="24" s="1"/>
  <c r="AF285" i="24" s="1"/>
  <c r="W280" i="24"/>
  <c r="X280" i="24" s="1"/>
  <c r="AD280" i="24" s="1"/>
  <c r="AF280" i="24" s="1"/>
  <c r="W110" i="24"/>
  <c r="X110" i="24" s="1"/>
  <c r="AD110" i="24" s="1"/>
  <c r="AF110" i="24" s="1"/>
  <c r="AP110" i="24" s="1"/>
  <c r="W113" i="24"/>
  <c r="X113" i="24" s="1"/>
  <c r="AD113" i="24" s="1"/>
  <c r="AF113" i="24" s="1"/>
  <c r="W118" i="24"/>
  <c r="X118" i="24" s="1"/>
  <c r="AD118" i="24" s="1"/>
  <c r="AF118" i="24" s="1"/>
  <c r="W468" i="24"/>
  <c r="X468" i="24" s="1"/>
  <c r="AD468" i="24" s="1"/>
  <c r="AF468" i="24" s="1"/>
  <c r="W209" i="24"/>
  <c r="X209" i="24" s="1"/>
  <c r="AD209" i="24" s="1"/>
  <c r="AF209" i="24" s="1"/>
  <c r="AP209" i="24" s="1"/>
  <c r="W119" i="24"/>
  <c r="X119" i="24" s="1"/>
  <c r="AD119" i="24" s="1"/>
  <c r="AF119" i="24" s="1"/>
  <c r="W474" i="24"/>
  <c r="X474" i="24" s="1"/>
  <c r="AD474" i="24" s="1"/>
  <c r="AF474" i="24" s="1"/>
  <c r="AP474" i="24" s="1"/>
  <c r="W572" i="24"/>
  <c r="X572" i="24" s="1"/>
  <c r="AD572" i="24" s="1"/>
  <c r="AF572" i="24" s="1"/>
  <c r="W69" i="24"/>
  <c r="X69" i="24" s="1"/>
  <c r="AD69" i="24" s="1"/>
  <c r="AF69" i="24" s="1"/>
  <c r="W171" i="24"/>
  <c r="X171" i="24" s="1"/>
  <c r="AD171" i="24" s="1"/>
  <c r="AF171" i="24" s="1"/>
  <c r="W389" i="24"/>
  <c r="X389" i="24" s="1"/>
  <c r="AD389" i="24" s="1"/>
  <c r="AF389" i="24" s="1"/>
  <c r="W472" i="24"/>
  <c r="X472" i="24" s="1"/>
  <c r="AD472" i="24" s="1"/>
  <c r="AF472" i="24" s="1"/>
  <c r="AP472" i="24" s="1"/>
  <c r="W122" i="24"/>
  <c r="X122" i="24" s="1"/>
  <c r="AD122" i="24" s="1"/>
  <c r="AF122" i="24" s="1"/>
  <c r="W292" i="24"/>
  <c r="X292" i="24" s="1"/>
  <c r="AD292" i="24" s="1"/>
  <c r="AF292" i="24" s="1"/>
  <c r="W18" i="24"/>
  <c r="X18" i="24" s="1"/>
  <c r="AD18" i="24" s="1"/>
  <c r="AF18" i="24" s="1"/>
  <c r="AP18" i="24" s="1"/>
  <c r="W575" i="24"/>
  <c r="X575" i="24" s="1"/>
  <c r="AD575" i="24" s="1"/>
  <c r="AF575" i="24" s="1"/>
  <c r="W476" i="24"/>
  <c r="X476" i="24" s="1"/>
  <c r="AD476" i="24" s="1"/>
  <c r="AF476" i="24" s="1"/>
  <c r="W393" i="24"/>
  <c r="X393" i="24" s="1"/>
  <c r="AD393" i="24" s="1"/>
  <c r="AF393" i="24" s="1"/>
  <c r="AP393" i="24" s="1"/>
  <c r="W115" i="24"/>
  <c r="X115" i="24" s="1"/>
  <c r="AD115" i="24" s="1"/>
  <c r="AF115" i="24" s="1"/>
  <c r="AP115" i="24" s="1"/>
  <c r="W116" i="24"/>
  <c r="X116" i="24" s="1"/>
  <c r="AD116" i="24" s="1"/>
  <c r="AF116" i="24" s="1"/>
  <c r="W347" i="24"/>
  <c r="X347" i="24" s="1"/>
  <c r="AD347" i="24" s="1"/>
  <c r="AF347" i="24" s="1"/>
  <c r="W114" i="24"/>
  <c r="X114" i="24" s="1"/>
  <c r="AD114" i="24" s="1"/>
  <c r="AF114" i="24" s="1"/>
  <c r="W388" i="24"/>
  <c r="X388" i="24" s="1"/>
  <c r="AD388" i="24" s="1"/>
  <c r="AF388" i="24" s="1"/>
  <c r="W397" i="24"/>
  <c r="X397" i="24" s="1"/>
  <c r="AD397" i="24" s="1"/>
  <c r="AF397" i="24" s="1"/>
  <c r="W294" i="24"/>
  <c r="X294" i="24" s="1"/>
  <c r="AD294" i="24" s="1"/>
  <c r="AF294" i="24" s="1"/>
  <c r="AP294" i="24" s="1"/>
  <c r="W576" i="24"/>
  <c r="X576" i="24" s="1"/>
  <c r="AD576" i="24" s="1"/>
  <c r="AF576" i="24" s="1"/>
  <c r="W579" i="24"/>
  <c r="X579" i="24" s="1"/>
  <c r="AD579" i="24" s="1"/>
  <c r="AF579" i="24" s="1"/>
  <c r="W168" i="24"/>
  <c r="X168" i="24" s="1"/>
  <c r="AD168" i="24" s="1"/>
  <c r="AF168" i="24" s="1"/>
  <c r="W348" i="24"/>
  <c r="X348" i="24" s="1"/>
  <c r="AD348" i="24" s="1"/>
  <c r="AF348" i="24" s="1"/>
  <c r="W289" i="24"/>
  <c r="X289" i="24" s="1"/>
  <c r="AD289" i="24" s="1"/>
  <c r="AF289" i="24" s="1"/>
  <c r="W613" i="24"/>
  <c r="X613" i="24" s="1"/>
  <c r="AD613" i="24" s="1"/>
  <c r="AF613" i="24" s="1"/>
  <c r="W481" i="24"/>
  <c r="X481" i="24" s="1"/>
  <c r="AD481" i="24" s="1"/>
  <c r="AF481" i="24" s="1"/>
  <c r="AR35" i="24"/>
  <c r="AR82" i="24"/>
  <c r="W121" i="24"/>
  <c r="X121" i="24" s="1"/>
  <c r="AD121" i="24" s="1"/>
  <c r="AF121" i="24" s="1"/>
  <c r="AL121" i="24" s="1"/>
  <c r="AR29" i="24"/>
  <c r="AR28" i="24"/>
  <c r="AR80" i="24"/>
  <c r="AR77" i="24"/>
  <c r="W812" i="24"/>
  <c r="X812" i="24" s="1"/>
  <c r="AD812" i="24" s="1"/>
  <c r="AF812" i="24" s="1"/>
  <c r="W909" i="24"/>
  <c r="X909" i="24" s="1"/>
  <c r="AD909" i="24" s="1"/>
  <c r="AF909" i="24" s="1"/>
  <c r="AL909" i="24" s="1"/>
  <c r="W799" i="24"/>
  <c r="X799" i="24" s="1"/>
  <c r="AD799" i="24" s="1"/>
  <c r="AF799" i="24" s="1"/>
  <c r="AK799" i="24" s="1"/>
  <c r="W896" i="24"/>
  <c r="X896" i="24" s="1"/>
  <c r="AD896" i="24" s="1"/>
  <c r="AF896" i="24" s="1"/>
  <c r="AK896" i="24" s="1"/>
  <c r="W815" i="24"/>
  <c r="X815" i="24" s="1"/>
  <c r="AD815" i="24" s="1"/>
  <c r="AF815" i="24" s="1"/>
  <c r="AK815" i="24" s="1"/>
  <c r="W768" i="24"/>
  <c r="X768" i="24" s="1"/>
  <c r="AD768" i="24" s="1"/>
  <c r="AF768" i="24" s="1"/>
  <c r="W750" i="24"/>
  <c r="X750" i="24" s="1"/>
  <c r="AD750" i="24" s="1"/>
  <c r="AF750" i="24" s="1"/>
  <c r="W904" i="24"/>
  <c r="X904" i="24" s="1"/>
  <c r="AD904" i="24" s="1"/>
  <c r="AF904" i="24" s="1"/>
  <c r="W756" i="24"/>
  <c r="X756" i="24" s="1"/>
  <c r="AD756" i="24" s="1"/>
  <c r="AF756" i="24" s="1"/>
  <c r="AL756" i="24" s="1"/>
  <c r="W745" i="24"/>
  <c r="X745" i="24" s="1"/>
  <c r="AD745" i="24" s="1"/>
  <c r="AF745" i="24" s="1"/>
  <c r="W876" i="24"/>
  <c r="X876" i="24" s="1"/>
  <c r="AD876" i="24" s="1"/>
  <c r="AF876" i="24" s="1"/>
  <c r="AL876" i="24" s="1"/>
  <c r="W930" i="24"/>
  <c r="X930" i="24" s="1"/>
  <c r="AD930" i="24" s="1"/>
  <c r="AF930" i="24" s="1"/>
  <c r="AK930" i="24" s="1"/>
  <c r="W726" i="24"/>
  <c r="X726" i="24" s="1"/>
  <c r="AD726" i="24" s="1"/>
  <c r="AF726" i="24" s="1"/>
  <c r="AN726" i="24" s="1"/>
  <c r="W763" i="24"/>
  <c r="X763" i="24" s="1"/>
  <c r="AD763" i="24" s="1"/>
  <c r="AF763" i="24" s="1"/>
  <c r="W773" i="24"/>
  <c r="X773" i="24" s="1"/>
  <c r="AD773" i="24" s="1"/>
  <c r="AF773" i="24" s="1"/>
  <c r="W828" i="24"/>
  <c r="X828" i="24" s="1"/>
  <c r="AD828" i="24" s="1"/>
  <c r="AF828" i="24" s="1"/>
  <c r="AK828" i="24" s="1"/>
  <c r="W890" i="24"/>
  <c r="X890" i="24" s="1"/>
  <c r="AD890" i="24" s="1"/>
  <c r="AF890" i="24" s="1"/>
  <c r="AL890" i="24" s="1"/>
  <c r="W924" i="24"/>
  <c r="X924" i="24" s="1"/>
  <c r="AD924" i="24" s="1"/>
  <c r="AF924" i="24" s="1"/>
  <c r="W846" i="24"/>
  <c r="X846" i="24" s="1"/>
  <c r="AD846" i="24" s="1"/>
  <c r="AF846" i="24" s="1"/>
  <c r="AP846" i="24" s="1"/>
  <c r="W836" i="24"/>
  <c r="X836" i="24" s="1"/>
  <c r="AD836" i="24" s="1"/>
  <c r="AF836" i="24" s="1"/>
  <c r="W865" i="24"/>
  <c r="X865" i="24" s="1"/>
  <c r="AD865" i="24" s="1"/>
  <c r="AF865" i="24" s="1"/>
  <c r="AK865" i="24" s="1"/>
  <c r="W804" i="24"/>
  <c r="X804" i="24" s="1"/>
  <c r="AD804" i="24" s="1"/>
  <c r="AF804" i="24" s="1"/>
  <c r="AL804" i="24" s="1"/>
  <c r="W841" i="24"/>
  <c r="X841" i="24" s="1"/>
  <c r="AD841" i="24" s="1"/>
  <c r="AF841" i="24" s="1"/>
  <c r="AL841" i="24" s="1"/>
  <c r="W851" i="24"/>
  <c r="X851" i="24" s="1"/>
  <c r="AD851" i="24" s="1"/>
  <c r="AF851" i="24" s="1"/>
  <c r="AM851" i="24" s="1"/>
  <c r="W871" i="24"/>
  <c r="X871" i="24" s="1"/>
  <c r="AD871" i="24" s="1"/>
  <c r="AF871" i="24" s="1"/>
  <c r="AM871" i="24" s="1"/>
  <c r="W860" i="24"/>
  <c r="X860" i="24" s="1"/>
  <c r="AD860" i="24" s="1"/>
  <c r="AF860" i="24" s="1"/>
  <c r="AK860" i="24" s="1"/>
  <c r="W777" i="24"/>
  <c r="X777" i="24" s="1"/>
  <c r="AD777" i="24" s="1"/>
  <c r="AF777" i="24" s="1"/>
  <c r="AN777" i="24" s="1"/>
  <c r="W882" i="24"/>
  <c r="X882" i="24" s="1"/>
  <c r="AD882" i="24" s="1"/>
  <c r="AF882" i="24" s="1"/>
  <c r="W735" i="24"/>
  <c r="X735" i="24" s="1"/>
  <c r="AD735" i="24" s="1"/>
  <c r="AF735" i="24" s="1"/>
  <c r="AK735" i="24" s="1"/>
  <c r="W833" i="24"/>
  <c r="X833" i="24" s="1"/>
  <c r="AD833" i="24" s="1"/>
  <c r="AF833" i="24" s="1"/>
  <c r="W740" i="24"/>
  <c r="X740" i="24" s="1"/>
  <c r="AD740" i="24" s="1"/>
  <c r="AF740" i="24" s="1"/>
  <c r="AM740" i="24" s="1"/>
  <c r="W856" i="24"/>
  <c r="X856" i="24" s="1"/>
  <c r="AD856" i="24" s="1"/>
  <c r="AF856" i="24" s="1"/>
  <c r="AK856" i="24" s="1"/>
  <c r="AR16" i="24"/>
  <c r="AK315" i="24"/>
  <c r="AM315" i="24"/>
  <c r="AL315" i="24"/>
  <c r="AN315" i="24"/>
  <c r="AP315" i="24"/>
  <c r="AK524" i="24"/>
  <c r="AN524" i="24"/>
  <c r="AM524" i="24"/>
  <c r="AL524" i="24"/>
  <c r="AL653" i="24"/>
  <c r="AM653" i="24"/>
  <c r="AN653" i="24"/>
  <c r="AK653" i="24"/>
  <c r="AN154" i="24"/>
  <c r="AL154" i="24"/>
  <c r="AK154" i="24"/>
  <c r="AM154" i="24"/>
  <c r="AM32" i="24"/>
  <c r="AL32" i="24"/>
  <c r="AN32" i="24"/>
  <c r="AK32" i="24"/>
  <c r="AK21" i="24"/>
  <c r="AL21" i="24"/>
  <c r="AM21" i="24"/>
  <c r="AN21" i="24"/>
  <c r="AM623" i="24"/>
  <c r="AK623" i="24"/>
  <c r="AL623" i="24"/>
  <c r="AN623" i="24"/>
  <c r="AR713" i="24"/>
  <c r="AR68" i="24"/>
  <c r="AP121" i="24"/>
  <c r="AP207" i="24"/>
  <c r="AP212" i="24"/>
  <c r="AP263" i="24"/>
  <c r="AN234" i="24"/>
  <c r="AM234" i="24"/>
  <c r="AK234" i="24"/>
  <c r="AL234" i="24"/>
  <c r="AN148" i="24"/>
  <c r="AM148" i="24"/>
  <c r="AL148" i="24"/>
  <c r="AK148" i="24"/>
  <c r="AP148" i="24"/>
  <c r="AK436" i="24"/>
  <c r="AN436" i="24"/>
  <c r="AM436" i="24"/>
  <c r="AL436" i="24"/>
  <c r="AR525" i="24"/>
  <c r="AK658" i="24"/>
  <c r="AM658" i="24"/>
  <c r="AN658" i="24"/>
  <c r="AL658" i="24"/>
  <c r="AP484" i="24"/>
  <c r="AK136" i="24"/>
  <c r="AL136" i="24"/>
  <c r="AN136" i="24"/>
  <c r="AM136" i="24"/>
  <c r="AP602" i="24"/>
  <c r="AL602" i="24"/>
  <c r="AK602" i="24"/>
  <c r="AN602" i="24"/>
  <c r="AM602" i="24"/>
  <c r="AK53" i="24"/>
  <c r="AN53" i="24"/>
  <c r="AL53" i="24"/>
  <c r="AM53" i="24"/>
  <c r="AL295" i="24"/>
  <c r="AN295" i="24"/>
  <c r="AM295" i="24"/>
  <c r="AK295" i="24"/>
  <c r="AK519" i="24"/>
  <c r="AM519" i="24"/>
  <c r="AL519" i="24"/>
  <c r="AN519" i="24"/>
  <c r="AR79" i="24"/>
  <c r="AK274" i="24"/>
  <c r="AM274" i="24"/>
  <c r="AL274" i="24"/>
  <c r="AN274" i="24"/>
  <c r="AK441" i="24"/>
  <c r="AN441" i="24"/>
  <c r="AM441" i="24"/>
  <c r="AL441" i="24"/>
  <c r="AK310" i="24"/>
  <c r="AM310" i="24"/>
  <c r="AN310" i="24"/>
  <c r="AL310" i="24"/>
  <c r="AK88" i="24"/>
  <c r="AN88" i="24"/>
  <c r="AM88" i="24"/>
  <c r="AL88" i="24"/>
  <c r="AK254" i="24"/>
  <c r="AN254" i="24"/>
  <c r="AL254" i="24"/>
  <c r="AM254" i="24"/>
  <c r="AM546" i="24"/>
  <c r="AL546" i="24"/>
  <c r="AN546" i="24"/>
  <c r="AK546" i="24"/>
  <c r="AR17" i="24"/>
  <c r="AR10" i="24"/>
  <c r="AM461" i="24"/>
  <c r="AK461" i="24"/>
  <c r="AN461" i="24"/>
  <c r="AL461" i="24"/>
  <c r="AN493" i="24"/>
  <c r="AK493" i="24"/>
  <c r="AL493" i="24"/>
  <c r="AM493" i="24"/>
  <c r="AN399" i="24"/>
  <c r="AM399" i="24"/>
  <c r="AL399" i="24"/>
  <c r="AK399" i="24"/>
  <c r="AN229" i="24"/>
  <c r="AM229" i="24"/>
  <c r="AL229" i="24"/>
  <c r="AK229" i="24"/>
  <c r="AK71" i="24"/>
  <c r="AN71" i="24"/>
  <c r="AM71" i="24"/>
  <c r="AL71" i="24"/>
  <c r="AK259" i="24"/>
  <c r="AM259" i="24"/>
  <c r="AN259" i="24"/>
  <c r="AL259" i="24"/>
  <c r="AK561" i="24"/>
  <c r="AM561" i="24"/>
  <c r="AN561" i="24"/>
  <c r="AL561" i="24"/>
  <c r="AL180" i="24"/>
  <c r="AN180" i="24"/>
  <c r="AK180" i="24"/>
  <c r="AM180" i="24"/>
  <c r="AR94" i="24"/>
  <c r="AR137" i="24"/>
  <c r="AK694" i="24"/>
  <c r="AN694" i="24"/>
  <c r="AM694" i="24"/>
  <c r="AL694" i="24"/>
  <c r="AK597" i="24"/>
  <c r="AM597" i="24"/>
  <c r="AN597" i="24"/>
  <c r="AP597" i="24"/>
  <c r="AL597" i="24"/>
  <c r="AK73" i="24"/>
  <c r="AM73" i="24"/>
  <c r="AN73" i="24"/>
  <c r="AL73" i="24"/>
  <c r="AK197" i="24"/>
  <c r="AN197" i="24"/>
  <c r="AL197" i="24"/>
  <c r="AM197" i="24"/>
  <c r="AP197" i="24"/>
  <c r="AN249" i="24"/>
  <c r="AK249" i="24"/>
  <c r="AM249" i="24"/>
  <c r="AL249" i="24"/>
  <c r="AL551" i="24"/>
  <c r="AN551" i="24"/>
  <c r="AM551" i="24"/>
  <c r="AK551" i="24"/>
  <c r="AR150" i="24"/>
  <c r="AR235" i="24"/>
  <c r="AN173" i="24"/>
  <c r="AK173" i="24"/>
  <c r="AM173" i="24"/>
  <c r="AL173" i="24"/>
  <c r="AL446" i="24"/>
  <c r="AK446" i="24"/>
  <c r="AM446" i="24"/>
  <c r="AN446" i="24"/>
  <c r="AK93" i="24"/>
  <c r="AM93" i="24"/>
  <c r="AN93" i="24"/>
  <c r="AL93" i="24"/>
  <c r="AM202" i="24"/>
  <c r="AN202" i="24"/>
  <c r="AP202" i="24"/>
  <c r="AL202" i="24"/>
  <c r="AK202" i="24"/>
  <c r="AK387" i="24"/>
  <c r="AL387" i="24"/>
  <c r="AM387" i="24"/>
  <c r="AN387" i="24"/>
  <c r="AP582" i="24"/>
  <c r="AK159" i="24"/>
  <c r="AN159" i="24"/>
  <c r="AM159" i="24"/>
  <c r="AL159" i="24"/>
  <c r="AK37" i="24"/>
  <c r="AM37" i="24"/>
  <c r="AL37" i="24"/>
  <c r="AN37" i="24"/>
  <c r="AR22" i="24"/>
  <c r="AR84" i="24"/>
  <c r="AO7" i="24"/>
  <c r="AK244" i="24"/>
  <c r="AL244" i="24"/>
  <c r="AN244" i="24"/>
  <c r="AM244" i="24"/>
  <c r="AM607" i="24"/>
  <c r="AP607" i="24"/>
  <c r="AL607" i="24"/>
  <c r="AN607" i="24"/>
  <c r="AK607" i="24"/>
  <c r="AK676" i="24"/>
  <c r="AL676" i="24"/>
  <c r="AM676" i="24"/>
  <c r="AN676" i="24"/>
  <c r="AP676" i="24"/>
  <c r="AL269" i="24"/>
  <c r="AK269" i="24"/>
  <c r="AM269" i="24"/>
  <c r="AN269" i="24"/>
  <c r="AL514" i="24"/>
  <c r="AN514" i="24"/>
  <c r="AK514" i="24"/>
  <c r="AM514" i="24"/>
  <c r="AK718" i="24"/>
  <c r="AM718" i="24"/>
  <c r="AN718" i="24"/>
  <c r="AL718" i="24"/>
  <c r="AK648" i="24"/>
  <c r="AL648" i="24"/>
  <c r="AN648" i="24"/>
  <c r="AM648" i="24"/>
  <c r="AL126" i="24"/>
  <c r="AN126" i="24"/>
  <c r="AM126" i="24"/>
  <c r="AK126" i="24"/>
  <c r="AP643" i="24"/>
  <c r="AK83" i="24"/>
  <c r="AN83" i="24"/>
  <c r="AM83" i="24"/>
  <c r="AL83" i="24"/>
  <c r="AR105" i="24"/>
  <c r="AR127" i="24"/>
  <c r="AK65" i="24"/>
  <c r="AL65" i="24"/>
  <c r="AP65" i="24"/>
  <c r="AM65" i="24"/>
  <c r="AN65" i="24"/>
  <c r="AK539" i="24"/>
  <c r="AL539" i="24"/>
  <c r="AP539" i="24"/>
  <c r="AN539" i="24"/>
  <c r="AM539" i="24"/>
  <c r="AK185" i="24"/>
  <c r="AN185" i="24"/>
  <c r="AM185" i="24"/>
  <c r="AL185" i="24"/>
  <c r="AK305" i="24"/>
  <c r="AN305" i="24"/>
  <c r="AM305" i="24"/>
  <c r="AL305" i="24"/>
  <c r="AK47" i="24"/>
  <c r="AM47" i="24"/>
  <c r="AL47" i="24"/>
  <c r="AN47" i="24"/>
  <c r="AN334" i="24"/>
  <c r="AP334" i="24"/>
  <c r="AM334" i="24"/>
  <c r="AL334" i="24"/>
  <c r="AK334" i="24"/>
  <c r="AK617" i="24"/>
  <c r="AN617" i="24"/>
  <c r="AM617" i="24"/>
  <c r="AL617" i="24"/>
  <c r="AP617" i="24"/>
  <c r="AN78" i="24"/>
  <c r="AK78" i="24"/>
  <c r="AL78" i="24"/>
  <c r="AM78" i="24"/>
  <c r="AK431" i="24"/>
  <c r="AL431" i="24"/>
  <c r="AM431" i="24"/>
  <c r="AN431" i="24"/>
  <c r="AR132" i="24"/>
  <c r="AR142" i="24"/>
  <c r="AP592" i="24"/>
  <c r="AK592" i="24"/>
  <c r="AN592" i="24"/>
  <c r="AM592" i="24"/>
  <c r="AL592" i="24"/>
  <c r="AK300" i="24"/>
  <c r="AM300" i="24"/>
  <c r="AN300" i="24"/>
  <c r="AL300" i="24"/>
  <c r="AM322" i="24"/>
  <c r="AN322" i="24"/>
  <c r="AL322" i="24"/>
  <c r="AK322" i="24"/>
  <c r="AL353" i="24"/>
  <c r="AM353" i="24"/>
  <c r="AK353" i="24"/>
  <c r="AN353" i="24"/>
  <c r="AP507" i="24"/>
  <c r="AK628" i="24"/>
  <c r="AL628" i="24"/>
  <c r="AN628" i="24"/>
  <c r="AM628" i="24"/>
  <c r="AN587" i="24"/>
  <c r="AP587" i="24"/>
  <c r="AL587" i="24"/>
  <c r="AM587" i="24"/>
  <c r="AK587" i="24"/>
  <c r="AP556" i="24"/>
  <c r="AN556" i="24"/>
  <c r="AL556" i="24"/>
  <c r="AM556" i="24"/>
  <c r="AK556" i="24"/>
  <c r="AK453" i="24"/>
  <c r="AM453" i="24"/>
  <c r="AN453" i="24"/>
  <c r="AP453" i="24"/>
  <c r="AL453" i="24"/>
  <c r="AK239" i="24"/>
  <c r="AM239" i="24"/>
  <c r="AN239" i="24"/>
  <c r="M17" i="18" s="1"/>
  <c r="AL239" i="24"/>
  <c r="AM141" i="24"/>
  <c r="AL141" i="24"/>
  <c r="AN141" i="24"/>
  <c r="AK141" i="24"/>
  <c r="AN382" i="24"/>
  <c r="AM382" i="24"/>
  <c r="AL382" i="24"/>
  <c r="AK382" i="24"/>
  <c r="AL681" i="24"/>
  <c r="AM681" i="24"/>
  <c r="AN681" i="24"/>
  <c r="AK681" i="24"/>
  <c r="AK166" i="24"/>
  <c r="AN166" i="24"/>
  <c r="AM166" i="24"/>
  <c r="AL166" i="24"/>
  <c r="AP570" i="24"/>
  <c r="AK394" i="24" l="1"/>
  <c r="AN745" i="24"/>
  <c r="AP745" i="24"/>
  <c r="AL904" i="24"/>
  <c r="AP904" i="24"/>
  <c r="AN773" i="24"/>
  <c r="AP773" i="24"/>
  <c r="AM763" i="24"/>
  <c r="AP763" i="24"/>
  <c r="AR685" i="24"/>
  <c r="AR684" i="24"/>
  <c r="AR680" i="24"/>
  <c r="AL394" i="24"/>
  <c r="AK284" i="24"/>
  <c r="AM284" i="24"/>
  <c r="AL284" i="24"/>
  <c r="AN284" i="24"/>
  <c r="AK112" i="24"/>
  <c r="AK466" i="24"/>
  <c r="AL466" i="24"/>
  <c r="AK212" i="24"/>
  <c r="AQ104" i="3"/>
  <c r="AQ106" i="3" s="1"/>
  <c r="AR679" i="24"/>
  <c r="AM833" i="24"/>
  <c r="AP833" i="24"/>
  <c r="AN882" i="24"/>
  <c r="AP882" i="24"/>
  <c r="AL836" i="24"/>
  <c r="AP836" i="24"/>
  <c r="AK924" i="24"/>
  <c r="AP924" i="24"/>
  <c r="AK750" i="24"/>
  <c r="AP750" i="24"/>
  <c r="AM768" i="24"/>
  <c r="AP768" i="24"/>
  <c r="AK812" i="24"/>
  <c r="AP812" i="24"/>
  <c r="AN290" i="24"/>
  <c r="AL290" i="24"/>
  <c r="AP290" i="24"/>
  <c r="AK290" i="24"/>
  <c r="I30" i="28"/>
  <c r="AP26" i="13" s="1"/>
  <c r="AQ26" i="13" s="1"/>
  <c r="I32" i="28"/>
  <c r="AL279" i="24"/>
  <c r="AN394" i="24"/>
  <c r="AM394" i="24"/>
  <c r="AN212" i="24"/>
  <c r="AK207" i="24"/>
  <c r="AM212" i="24"/>
  <c r="AN533" i="24"/>
  <c r="AM533" i="24"/>
  <c r="AL207" i="24"/>
  <c r="AL896" i="24"/>
  <c r="AL740" i="24"/>
  <c r="AN466" i="24"/>
  <c r="AN169" i="24"/>
  <c r="AM466" i="24"/>
  <c r="AN112" i="24"/>
  <c r="AN804" i="24"/>
  <c r="AP790" i="24"/>
  <c r="AK851" i="24"/>
  <c r="AM896" i="24"/>
  <c r="AL112" i="24"/>
  <c r="AM169" i="24"/>
  <c r="AL930" i="24"/>
  <c r="AP612" i="24"/>
  <c r="AL812" i="24"/>
  <c r="AN612" i="24"/>
  <c r="AK612" i="24"/>
  <c r="AM612" i="24"/>
  <c r="AP930" i="24"/>
  <c r="AN896" i="24"/>
  <c r="AM279" i="24"/>
  <c r="AK279" i="24"/>
  <c r="AK804" i="24"/>
  <c r="AM804" i="24"/>
  <c r="AL851" i="24"/>
  <c r="AN851" i="24"/>
  <c r="AM777" i="24"/>
  <c r="AM856" i="24"/>
  <c r="AN909" i="24"/>
  <c r="AN207" i="24"/>
  <c r="AL169" i="24"/>
  <c r="AM904" i="24"/>
  <c r="AK768" i="24"/>
  <c r="AK169" i="24"/>
  <c r="AN860" i="24"/>
  <c r="AM815" i="24"/>
  <c r="AL882" i="24"/>
  <c r="AN833" i="24"/>
  <c r="AK533" i="24"/>
  <c r="AP726" i="24"/>
  <c r="AL533" i="24"/>
  <c r="AP577" i="24"/>
  <c r="N13" i="18" s="1"/>
  <c r="AL726" i="24"/>
  <c r="AL735" i="24"/>
  <c r="AM860" i="24"/>
  <c r="AM745" i="24"/>
  <c r="AN828" i="24"/>
  <c r="AN856" i="24"/>
  <c r="AL860" i="24"/>
  <c r="AM735" i="24"/>
  <c r="AP9" i="24"/>
  <c r="AN841" i="24"/>
  <c r="AK833" i="24"/>
  <c r="AK745" i="24"/>
  <c r="AL828" i="24"/>
  <c r="AN121" i="24"/>
  <c r="AM121" i="24"/>
  <c r="AK904" i="24"/>
  <c r="AK121" i="24"/>
  <c r="AM828" i="24"/>
  <c r="AL815" i="24"/>
  <c r="AL745" i="24"/>
  <c r="AL833" i="24"/>
  <c r="AK481" i="24"/>
  <c r="AM481" i="24"/>
  <c r="AN481" i="24"/>
  <c r="AL481" i="24"/>
  <c r="AP397" i="24"/>
  <c r="AK397" i="24"/>
  <c r="AL397" i="24"/>
  <c r="AN397" i="24"/>
  <c r="AM397" i="24"/>
  <c r="AP69" i="24"/>
  <c r="AL69" i="24"/>
  <c r="AN69" i="24"/>
  <c r="AM69" i="24"/>
  <c r="AK69" i="24"/>
  <c r="AM110" i="24"/>
  <c r="AN110" i="24"/>
  <c r="AL110" i="24"/>
  <c r="AK110" i="24"/>
  <c r="AL479" i="24"/>
  <c r="AM479" i="24"/>
  <c r="AN479" i="24"/>
  <c r="AK479" i="24"/>
  <c r="AN768" i="24"/>
  <c r="AK777" i="24"/>
  <c r="AL768" i="24"/>
  <c r="AM799" i="24"/>
  <c r="AM613" i="24"/>
  <c r="AN613" i="24"/>
  <c r="AP613" i="24"/>
  <c r="AL613" i="24"/>
  <c r="AK613" i="24"/>
  <c r="AK393" i="24"/>
  <c r="AM393" i="24"/>
  <c r="AN393" i="24"/>
  <c r="AL393" i="24"/>
  <c r="AP170" i="24"/>
  <c r="AM108" i="24"/>
  <c r="AL108" i="24"/>
  <c r="AN108" i="24"/>
  <c r="AK108" i="24"/>
  <c r="AP74" i="24"/>
  <c r="AL777" i="24"/>
  <c r="AM890" i="24"/>
  <c r="AN836" i="24"/>
  <c r="AL289" i="24"/>
  <c r="AK289" i="24"/>
  <c r="AN289" i="24"/>
  <c r="AM289" i="24"/>
  <c r="AP480" i="24"/>
  <c r="AP476" i="24"/>
  <c r="AK476" i="24"/>
  <c r="AN476" i="24"/>
  <c r="AM476" i="24"/>
  <c r="AL476" i="24"/>
  <c r="AL572" i="24"/>
  <c r="AK572" i="24"/>
  <c r="AM572" i="24"/>
  <c r="AN572" i="24"/>
  <c r="AK293" i="24"/>
  <c r="AP293" i="24"/>
  <c r="AL293" i="24"/>
  <c r="AM293" i="24"/>
  <c r="AN293" i="24"/>
  <c r="AP478" i="24"/>
  <c r="AK478" i="24"/>
  <c r="AN478" i="24"/>
  <c r="AL478" i="24"/>
  <c r="AM478" i="24"/>
  <c r="AL799" i="24"/>
  <c r="AP611" i="24"/>
  <c r="AP575" i="24"/>
  <c r="AK575" i="24"/>
  <c r="AN575" i="24"/>
  <c r="AL575" i="24"/>
  <c r="AM575" i="24"/>
  <c r="AM474" i="24"/>
  <c r="AK474" i="24"/>
  <c r="AL474" i="24"/>
  <c r="AN474" i="24"/>
  <c r="AP280" i="24"/>
  <c r="AK280" i="24"/>
  <c r="AN280" i="24"/>
  <c r="AM280" i="24"/>
  <c r="AL280" i="24"/>
  <c r="AP531" i="24"/>
  <c r="AP111" i="24"/>
  <c r="AK111" i="24"/>
  <c r="AN111" i="24"/>
  <c r="AL111" i="24"/>
  <c r="AM111" i="24"/>
  <c r="AN799" i="24"/>
  <c r="AN348" i="24"/>
  <c r="AP348" i="24"/>
  <c r="AK348" i="24"/>
  <c r="AL348" i="24"/>
  <c r="AM348" i="24"/>
  <c r="AP391" i="24"/>
  <c r="AN18" i="24"/>
  <c r="AL18" i="24"/>
  <c r="AK18" i="24"/>
  <c r="AM18" i="24"/>
  <c r="AM119" i="24"/>
  <c r="AN119" i="24"/>
  <c r="AK119" i="24"/>
  <c r="AL119" i="24"/>
  <c r="AK285" i="24"/>
  <c r="AN285" i="24"/>
  <c r="AL285" i="24"/>
  <c r="AM285" i="24"/>
  <c r="AP473" i="24"/>
  <c r="AK473" i="24"/>
  <c r="AN473" i="24"/>
  <c r="AM473" i="24"/>
  <c r="AL473" i="24"/>
  <c r="AM204" i="24"/>
  <c r="AL204" i="24"/>
  <c r="AK204" i="24"/>
  <c r="AN204" i="24"/>
  <c r="AL168" i="24"/>
  <c r="AP168" i="24"/>
  <c r="AN168" i="24"/>
  <c r="AM168" i="24"/>
  <c r="AK168" i="24"/>
  <c r="AL388" i="24"/>
  <c r="AK388" i="24"/>
  <c r="AM388" i="24"/>
  <c r="AN388" i="24"/>
  <c r="AN209" i="24"/>
  <c r="AK209" i="24"/>
  <c r="AM209" i="24"/>
  <c r="AL209" i="24"/>
  <c r="AL398" i="24"/>
  <c r="AK398" i="24"/>
  <c r="AM398" i="24"/>
  <c r="AN398" i="24"/>
  <c r="AL390" i="24"/>
  <c r="AK390" i="24"/>
  <c r="AM390" i="24"/>
  <c r="AN390" i="24"/>
  <c r="AN904" i="24"/>
  <c r="AM579" i="24"/>
  <c r="AN579" i="24"/>
  <c r="AL579" i="24"/>
  <c r="AK579" i="24"/>
  <c r="AL114" i="24"/>
  <c r="AM114" i="24"/>
  <c r="AN114" i="24"/>
  <c r="AK114" i="24"/>
  <c r="AL292" i="24"/>
  <c r="AK292" i="24"/>
  <c r="AM292" i="24"/>
  <c r="AN292" i="24"/>
  <c r="AK468" i="24"/>
  <c r="AL468" i="24"/>
  <c r="AM468" i="24"/>
  <c r="AN468" i="24"/>
  <c r="AP532" i="24"/>
  <c r="AL532" i="24"/>
  <c r="AK532" i="24"/>
  <c r="AN532" i="24"/>
  <c r="AM532" i="24"/>
  <c r="AP346" i="24"/>
  <c r="AL346" i="24"/>
  <c r="AN346" i="24"/>
  <c r="AK346" i="24"/>
  <c r="AM346" i="24"/>
  <c r="AL470" i="24"/>
  <c r="AN470" i="24"/>
  <c r="AK470" i="24"/>
  <c r="AM470" i="24"/>
  <c r="AN122" i="24"/>
  <c r="AL122" i="24"/>
  <c r="AM122" i="24"/>
  <c r="AK122" i="24"/>
  <c r="AM118" i="24"/>
  <c r="AN118" i="24"/>
  <c r="AL118" i="24"/>
  <c r="AK118" i="24"/>
  <c r="AN210" i="24"/>
  <c r="AL210" i="24"/>
  <c r="AM210" i="24"/>
  <c r="AK210" i="24"/>
  <c r="AN283" i="24"/>
  <c r="AK283" i="24"/>
  <c r="AL283" i="24"/>
  <c r="AM283" i="24"/>
  <c r="AP287" i="24"/>
  <c r="AM287" i="24"/>
  <c r="AK287" i="24"/>
  <c r="AN287" i="24"/>
  <c r="AL287" i="24"/>
  <c r="AP530" i="24"/>
  <c r="AP347" i="24"/>
  <c r="AL347" i="24"/>
  <c r="AM347" i="24"/>
  <c r="AN347" i="24"/>
  <c r="AK347" i="24"/>
  <c r="AK472" i="24"/>
  <c r="AN472" i="24"/>
  <c r="AM472" i="24"/>
  <c r="AL472" i="24"/>
  <c r="AP113" i="24"/>
  <c r="AL113" i="24"/>
  <c r="AM113" i="24"/>
  <c r="AN113" i="24"/>
  <c r="AK113" i="24"/>
  <c r="AN205" i="24"/>
  <c r="AL205" i="24"/>
  <c r="AK205" i="24"/>
  <c r="AM205" i="24"/>
  <c r="AK211" i="24"/>
  <c r="AL211" i="24"/>
  <c r="AN211" i="24"/>
  <c r="AM211" i="24"/>
  <c r="AM116" i="24"/>
  <c r="AK116" i="24"/>
  <c r="AN116" i="24"/>
  <c r="AL116" i="24"/>
  <c r="AK389" i="24"/>
  <c r="AL389" i="24"/>
  <c r="AN389" i="24"/>
  <c r="AM389" i="24"/>
  <c r="AL580" i="24"/>
  <c r="AN580" i="24"/>
  <c r="AK580" i="24"/>
  <c r="AM580" i="24"/>
  <c r="AM120" i="24"/>
  <c r="AP120" i="24"/>
  <c r="AK120" i="24"/>
  <c r="AL120" i="24"/>
  <c r="AN120" i="24"/>
  <c r="AN576" i="24"/>
  <c r="AK576" i="24"/>
  <c r="AL576" i="24"/>
  <c r="AM576" i="24"/>
  <c r="AK115" i="24"/>
  <c r="AL115" i="24"/>
  <c r="AM115" i="24"/>
  <c r="AN115" i="24"/>
  <c r="AP469" i="24"/>
  <c r="AM288" i="24"/>
  <c r="AK288" i="24"/>
  <c r="AL288" i="24"/>
  <c r="AN288" i="24"/>
  <c r="AN294" i="24"/>
  <c r="AK294" i="24"/>
  <c r="AL294" i="24"/>
  <c r="AM294" i="24"/>
  <c r="AP171" i="24"/>
  <c r="AN171" i="24"/>
  <c r="AL171" i="24"/>
  <c r="AK171" i="24"/>
  <c r="AM171" i="24"/>
  <c r="AP34" i="24"/>
  <c r="AN392" i="24"/>
  <c r="AL392" i="24"/>
  <c r="AM392" i="24"/>
  <c r="AK392" i="24"/>
  <c r="AK773" i="24"/>
  <c r="AN815" i="24"/>
  <c r="AK726" i="24"/>
  <c r="AK890" i="24"/>
  <c r="AL924" i="24"/>
  <c r="AN735" i="24"/>
  <c r="AP851" i="24"/>
  <c r="AP856" i="24"/>
  <c r="AN812" i="24"/>
  <c r="AM812" i="24"/>
  <c r="AK909" i="24"/>
  <c r="AP860" i="24"/>
  <c r="AL856" i="24"/>
  <c r="AK871" i="24"/>
  <c r="AN740" i="24"/>
  <c r="AL750" i="24"/>
  <c r="AK882" i="24"/>
  <c r="AM836" i="24"/>
  <c r="AK836" i="24"/>
  <c r="AN930" i="24"/>
  <c r="AM726" i="24"/>
  <c r="AN890" i="24"/>
  <c r="AL871" i="24"/>
  <c r="AN871" i="24"/>
  <c r="AK876" i="24"/>
  <c r="AM930" i="24"/>
  <c r="AL763" i="24"/>
  <c r="AN763" i="24"/>
  <c r="AK763" i="24"/>
  <c r="AN924" i="24"/>
  <c r="AM924" i="24"/>
  <c r="AM846" i="24"/>
  <c r="AN846" i="24"/>
  <c r="AN756" i="24"/>
  <c r="AM865" i="24"/>
  <c r="AN865" i="24"/>
  <c r="AP756" i="24"/>
  <c r="AM756" i="24"/>
  <c r="AK756" i="24"/>
  <c r="AK846" i="24"/>
  <c r="AL865" i="24"/>
  <c r="AK841" i="24"/>
  <c r="AP841" i="24"/>
  <c r="AN750" i="24"/>
  <c r="AL846" i="24"/>
  <c r="AP865" i="24"/>
  <c r="AM841" i="24"/>
  <c r="AM909" i="24"/>
  <c r="AM750" i="24"/>
  <c r="AL773" i="24"/>
  <c r="AM773" i="24"/>
  <c r="AM882" i="24"/>
  <c r="AK740" i="24"/>
  <c r="AN876" i="24"/>
  <c r="AM876" i="24"/>
  <c r="AO310" i="24"/>
  <c r="AR310" i="24" s="1"/>
  <c r="AO658" i="24"/>
  <c r="AO441" i="24"/>
  <c r="AR441" i="24" s="1"/>
  <c r="AO274" i="24"/>
  <c r="AO295" i="24"/>
  <c r="AR295" i="24" s="1"/>
  <c r="AO159" i="24"/>
  <c r="AR159" i="24" s="1"/>
  <c r="AO166" i="24"/>
  <c r="AR166" i="24" s="1"/>
  <c r="AO628" i="24"/>
  <c r="AO21" i="24"/>
  <c r="AR21" i="24" s="1"/>
  <c r="AO234" i="24"/>
  <c r="AR234" i="24" s="1"/>
  <c r="AO617" i="24"/>
  <c r="AR617" i="24" s="1"/>
  <c r="AO244" i="24"/>
  <c r="AO519" i="24"/>
  <c r="AO602" i="24"/>
  <c r="AR602" i="24" s="1"/>
  <c r="AO65" i="24"/>
  <c r="AR65" i="24" s="1"/>
  <c r="AO461" i="24"/>
  <c r="AO524" i="24"/>
  <c r="AR524" i="24" s="1"/>
  <c r="AO300" i="24"/>
  <c r="AO249" i="24"/>
  <c r="AO399" i="24"/>
  <c r="AR399" i="24" s="1"/>
  <c r="AO154" i="24"/>
  <c r="AR154" i="24" s="1"/>
  <c r="AO126" i="24"/>
  <c r="AO453" i="24"/>
  <c r="AR453" i="24" s="1"/>
  <c r="AO382" i="24"/>
  <c r="AO587" i="24"/>
  <c r="AR587" i="24" s="1"/>
  <c r="AO185" i="24"/>
  <c r="AO648" i="24"/>
  <c r="AR648" i="24" s="1"/>
  <c r="AO93" i="24"/>
  <c r="AO676" i="24"/>
  <c r="AR676" i="24" s="1"/>
  <c r="AO551" i="24"/>
  <c r="AR551" i="24" s="1"/>
  <c r="AO73" i="24"/>
  <c r="AO546" i="24"/>
  <c r="AO315" i="24"/>
  <c r="AR315" i="24" s="1"/>
  <c r="AO607" i="24"/>
  <c r="AR607" i="24" s="1"/>
  <c r="AO694" i="24"/>
  <c r="AR694" i="24" s="1"/>
  <c r="AO561" i="24"/>
  <c r="AR561" i="24" s="1"/>
  <c r="AO148" i="24"/>
  <c r="AR148" i="24" s="1"/>
  <c r="AO387" i="24"/>
  <c r="AO446" i="24"/>
  <c r="AR446" i="24" s="1"/>
  <c r="AO173" i="24"/>
  <c r="AR173" i="24" s="1"/>
  <c r="AO71" i="24"/>
  <c r="AO141" i="24"/>
  <c r="AO556" i="24"/>
  <c r="AO353" i="24"/>
  <c r="AO322" i="24"/>
  <c r="AO47" i="24"/>
  <c r="AO718" i="24"/>
  <c r="AO202" i="24"/>
  <c r="AO136" i="24"/>
  <c r="AO239" i="24"/>
  <c r="AO539" i="24"/>
  <c r="AO681" i="24"/>
  <c r="AO592" i="24"/>
  <c r="AO431" i="24"/>
  <c r="AR431" i="24" s="1"/>
  <c r="AO514" i="24"/>
  <c r="AR514" i="24" s="1"/>
  <c r="AO37" i="24"/>
  <c r="AO597" i="24"/>
  <c r="AR597" i="24" s="1"/>
  <c r="AO259" i="24"/>
  <c r="AO493" i="24"/>
  <c r="AR493" i="24" s="1"/>
  <c r="AO53" i="24"/>
  <c r="AO623" i="24"/>
  <c r="AR623" i="24" s="1"/>
  <c r="AO83" i="24"/>
  <c r="AR7" i="24"/>
  <c r="AO269" i="24"/>
  <c r="AO334" i="24"/>
  <c r="AO305" i="24"/>
  <c r="AR305" i="24" s="1"/>
  <c r="AO180" i="24"/>
  <c r="AR180" i="24" s="1"/>
  <c r="AO229" i="24"/>
  <c r="AO254" i="24"/>
  <c r="AR254" i="24" s="1"/>
  <c r="AO88" i="24"/>
  <c r="AO436" i="24"/>
  <c r="AR436" i="24" s="1"/>
  <c r="AO78" i="24"/>
  <c r="AO197" i="24"/>
  <c r="AO32" i="24"/>
  <c r="AO653" i="24"/>
  <c r="W1131" i="24" l="1"/>
  <c r="X1131" i="24" s="1"/>
  <c r="AD1131" i="24" s="1"/>
  <c r="AF1131" i="24" s="1"/>
  <c r="W1442" i="24"/>
  <c r="X1442" i="24" s="1"/>
  <c r="AD1442" i="24" s="1"/>
  <c r="AF1442" i="24" s="1"/>
  <c r="W1098" i="24"/>
  <c r="X1098" i="24" s="1"/>
  <c r="AD1098" i="24" s="1"/>
  <c r="AF1098" i="24" s="1"/>
  <c r="W1340" i="24"/>
  <c r="X1340" i="24" s="1"/>
  <c r="AD1340" i="24" s="1"/>
  <c r="AF1340" i="24" s="1"/>
  <c r="W434" i="24"/>
  <c r="X434" i="24" s="1"/>
  <c r="AD434" i="24" s="1"/>
  <c r="AF434" i="24" s="1"/>
  <c r="W780" i="24"/>
  <c r="X780" i="24" s="1"/>
  <c r="AD780" i="24" s="1"/>
  <c r="AF780" i="24" s="1"/>
  <c r="W759" i="24"/>
  <c r="X759" i="24" s="1"/>
  <c r="AD759" i="24" s="1"/>
  <c r="AF759" i="24" s="1"/>
  <c r="W162" i="24"/>
  <c r="X162" i="24" s="1"/>
  <c r="AD162" i="24" s="1"/>
  <c r="AF162" i="24" s="1"/>
  <c r="W188" i="24"/>
  <c r="X188" i="24" s="1"/>
  <c r="AD188" i="24" s="1"/>
  <c r="AF188" i="24" s="1"/>
  <c r="W998" i="24"/>
  <c r="X998" i="24" s="1"/>
  <c r="AD998" i="24" s="1"/>
  <c r="AF998" i="24" s="1"/>
  <c r="W1416" i="24"/>
  <c r="X1416" i="24" s="1"/>
  <c r="AD1416" i="24" s="1"/>
  <c r="AF1416" i="24" s="1"/>
  <c r="W554" i="24"/>
  <c r="X554" i="24" s="1"/>
  <c r="AD554" i="24" s="1"/>
  <c r="AF554" i="24" s="1"/>
  <c r="W378" i="24"/>
  <c r="X378" i="24" s="1"/>
  <c r="AD378" i="24" s="1"/>
  <c r="AF378" i="24" s="1"/>
  <c r="W870" i="24"/>
  <c r="X870" i="24" s="1"/>
  <c r="AD870" i="24" s="1"/>
  <c r="AF870" i="24" s="1"/>
  <c r="W827" i="24"/>
  <c r="X827" i="24" s="1"/>
  <c r="AD827" i="24" s="1"/>
  <c r="AF827" i="24" s="1"/>
  <c r="W1465" i="24"/>
  <c r="X1465" i="24" s="1"/>
  <c r="AD1465" i="24" s="1"/>
  <c r="AF1465" i="24" s="1"/>
  <c r="W1190" i="24"/>
  <c r="X1190" i="24" s="1"/>
  <c r="AD1190" i="24" s="1"/>
  <c r="AF1190" i="24" s="1"/>
  <c r="W1126" i="24"/>
  <c r="X1126" i="24" s="1"/>
  <c r="AD1126" i="24" s="1"/>
  <c r="AF1126" i="24" s="1"/>
  <c r="W1437" i="24"/>
  <c r="X1437" i="24" s="1"/>
  <c r="AD1437" i="24" s="1"/>
  <c r="AF1437" i="24" s="1"/>
  <c r="W1203" i="24"/>
  <c r="X1203" i="24" s="1"/>
  <c r="AD1203" i="24" s="1"/>
  <c r="AF1203" i="24" s="1"/>
  <c r="W1091" i="24"/>
  <c r="X1091" i="24" s="1"/>
  <c r="AD1091" i="24" s="1"/>
  <c r="AF1091" i="24" s="1"/>
  <c r="W1434" i="24"/>
  <c r="X1434" i="24" s="1"/>
  <c r="AD1434" i="24" s="1"/>
  <c r="AF1434" i="24" s="1"/>
  <c r="W224" i="24"/>
  <c r="X224" i="24" s="1"/>
  <c r="AD224" i="24" s="1"/>
  <c r="AF224" i="24" s="1"/>
  <c r="W213" i="24"/>
  <c r="X213" i="24" s="1"/>
  <c r="AD213" i="24" s="1"/>
  <c r="AF213" i="24" s="1"/>
  <c r="W933" i="24"/>
  <c r="X933" i="24" s="1"/>
  <c r="AD933" i="24" s="1"/>
  <c r="AF933" i="24" s="1"/>
  <c r="W153" i="24"/>
  <c r="X153" i="24" s="1"/>
  <c r="AD153" i="24" s="1"/>
  <c r="AF153" i="24" s="1"/>
  <c r="W751" i="24"/>
  <c r="X751" i="24" s="1"/>
  <c r="AD751" i="24" s="1"/>
  <c r="AF751" i="24" s="1"/>
  <c r="W732" i="24"/>
  <c r="X732" i="24" s="1"/>
  <c r="AD732" i="24" s="1"/>
  <c r="AF732" i="24" s="1"/>
  <c r="W419" i="24"/>
  <c r="X419" i="24" s="1"/>
  <c r="AD419" i="24" s="1"/>
  <c r="AF419" i="24" s="1"/>
  <c r="W1199" i="24"/>
  <c r="X1199" i="24" s="1"/>
  <c r="AD1199" i="24" s="1"/>
  <c r="AF1199" i="24" s="1"/>
  <c r="W536" i="24"/>
  <c r="X536" i="24" s="1"/>
  <c r="AD536" i="24" s="1"/>
  <c r="AF536" i="24" s="1"/>
  <c r="W889" i="24"/>
  <c r="X889" i="24" s="1"/>
  <c r="AD889" i="24" s="1"/>
  <c r="AF889" i="24" s="1"/>
  <c r="W444" i="24"/>
  <c r="X444" i="24" s="1"/>
  <c r="AD444" i="24" s="1"/>
  <c r="AF444" i="24" s="1"/>
  <c r="W231" i="24"/>
  <c r="X231" i="24" s="1"/>
  <c r="AD231" i="24" s="1"/>
  <c r="AF231" i="24" s="1"/>
  <c r="W1516" i="24"/>
  <c r="X1516" i="24" s="1"/>
  <c r="AD1516" i="24" s="1"/>
  <c r="AF1516" i="24" s="1"/>
  <c r="W1390" i="24"/>
  <c r="X1390" i="24" s="1"/>
  <c r="AD1390" i="24" s="1"/>
  <c r="AF1390" i="24" s="1"/>
  <c r="W1178" i="24"/>
  <c r="X1178" i="24" s="1"/>
  <c r="AD1178" i="24" s="1"/>
  <c r="AF1178" i="24" s="1"/>
  <c r="W1088" i="24"/>
  <c r="X1088" i="24" s="1"/>
  <c r="AD1088" i="24" s="1"/>
  <c r="AF1088" i="24" s="1"/>
  <c r="W1278" i="24"/>
  <c r="X1278" i="24" s="1"/>
  <c r="AD1278" i="24" s="1"/>
  <c r="AF1278" i="24" s="1"/>
  <c r="W955" i="24"/>
  <c r="X955" i="24" s="1"/>
  <c r="AD955" i="24" s="1"/>
  <c r="AF955" i="24" s="1"/>
  <c r="W512" i="24"/>
  <c r="X512" i="24" s="1"/>
  <c r="AD512" i="24" s="1"/>
  <c r="AF512" i="24" s="1"/>
  <c r="W559" i="24"/>
  <c r="X559" i="24" s="1"/>
  <c r="AD559" i="24" s="1"/>
  <c r="AF559" i="24" s="1"/>
  <c r="W832" i="24"/>
  <c r="X832" i="24" s="1"/>
  <c r="AD832" i="24" s="1"/>
  <c r="AF832" i="24" s="1"/>
  <c r="W910" i="24"/>
  <c r="X910" i="24" s="1"/>
  <c r="AD910" i="24" s="1"/>
  <c r="AF910" i="24" s="1"/>
  <c r="W742" i="24"/>
  <c r="X742" i="24" s="1"/>
  <c r="AD742" i="24" s="1"/>
  <c r="AF742" i="24" s="1"/>
  <c r="W486" i="24"/>
  <c r="X486" i="24" s="1"/>
  <c r="AD486" i="24" s="1"/>
  <c r="AF486" i="24" s="1"/>
  <c r="W862" i="24"/>
  <c r="X862" i="24" s="1"/>
  <c r="AD862" i="24" s="1"/>
  <c r="AF862" i="24" s="1"/>
  <c r="W717" i="24"/>
  <c r="X717" i="24" s="1"/>
  <c r="AD717" i="24" s="1"/>
  <c r="AF717" i="24" s="1"/>
  <c r="W1497" i="24"/>
  <c r="X1497" i="24" s="1"/>
  <c r="AD1497" i="24" s="1"/>
  <c r="AF1497" i="24" s="1"/>
  <c r="W1175" i="24"/>
  <c r="X1175" i="24" s="1"/>
  <c r="AD1175" i="24" s="1"/>
  <c r="AF1175" i="24" s="1"/>
  <c r="W1222" i="24"/>
  <c r="X1222" i="24" s="1"/>
  <c r="AD1222" i="24" s="1"/>
  <c r="AF1222" i="24" s="1"/>
  <c r="W1509" i="24"/>
  <c r="X1509" i="24" s="1"/>
  <c r="AD1509" i="24" s="1"/>
  <c r="AF1509" i="24" s="1"/>
  <c r="W1370" i="24"/>
  <c r="X1370" i="24" s="1"/>
  <c r="AD1370" i="24" s="1"/>
  <c r="AF1370" i="24" s="1"/>
  <c r="W1478" i="24"/>
  <c r="X1478" i="24" s="1"/>
  <c r="AD1478" i="24" s="1"/>
  <c r="AF1478" i="24" s="1"/>
  <c r="W1421" i="24"/>
  <c r="X1421" i="24" s="1"/>
  <c r="AD1421" i="24" s="1"/>
  <c r="AF1421" i="24" s="1"/>
  <c r="W1323" i="24"/>
  <c r="X1323" i="24" s="1"/>
  <c r="AD1323" i="24" s="1"/>
  <c r="AF1323" i="24" s="1"/>
  <c r="W1217" i="24"/>
  <c r="X1217" i="24" s="1"/>
  <c r="AD1217" i="24" s="1"/>
  <c r="AF1217" i="24" s="1"/>
  <c r="W993" i="24"/>
  <c r="X993" i="24" s="1"/>
  <c r="AD993" i="24" s="1"/>
  <c r="AF993" i="24" s="1"/>
  <c r="W976" i="24"/>
  <c r="X976" i="24" s="1"/>
  <c r="AD976" i="24" s="1"/>
  <c r="AF976" i="24" s="1"/>
  <c r="W936" i="24"/>
  <c r="X936" i="24" s="1"/>
  <c r="AD936" i="24" s="1"/>
  <c r="AF936" i="24" s="1"/>
  <c r="W929" i="24"/>
  <c r="X929" i="24" s="1"/>
  <c r="AD929" i="24" s="1"/>
  <c r="AF929" i="24" s="1"/>
  <c r="W92" i="24"/>
  <c r="X92" i="24" s="1"/>
  <c r="AD92" i="24" s="1"/>
  <c r="AF92" i="24" s="1"/>
  <c r="W606" i="24"/>
  <c r="X606" i="24" s="1"/>
  <c r="AD606" i="24" s="1"/>
  <c r="AF606" i="24" s="1"/>
  <c r="W583" i="24"/>
  <c r="X583" i="24" s="1"/>
  <c r="AD583" i="24" s="1"/>
  <c r="AF583" i="24" s="1"/>
  <c r="W400" i="24"/>
  <c r="X400" i="24" s="1"/>
  <c r="AD400" i="24" s="1"/>
  <c r="AF400" i="24" s="1"/>
  <c r="W723" i="24"/>
  <c r="X723" i="24" s="1"/>
  <c r="AD723" i="24" s="1"/>
  <c r="AF723" i="24" s="1"/>
  <c r="W424" i="24"/>
  <c r="X424" i="24" s="1"/>
  <c r="AD424" i="24" s="1"/>
  <c r="AF424" i="24" s="1"/>
  <c r="W805" i="24"/>
  <c r="X805" i="24" s="1"/>
  <c r="AD805" i="24" s="1"/>
  <c r="AF805" i="24" s="1"/>
  <c r="W497" i="24"/>
  <c r="X497" i="24" s="1"/>
  <c r="AD497" i="24" s="1"/>
  <c r="AF497" i="24" s="1"/>
  <c r="W1121" i="24"/>
  <c r="X1121" i="24" s="1"/>
  <c r="AD1121" i="24" s="1"/>
  <c r="AF1121" i="24" s="1"/>
  <c r="W1265" i="24"/>
  <c r="X1265" i="24" s="1"/>
  <c r="AD1265" i="24" s="1"/>
  <c r="AF1265" i="24" s="1"/>
  <c r="W1167" i="24"/>
  <c r="X1167" i="24" s="1"/>
  <c r="AD1167" i="24" s="1"/>
  <c r="AF1167" i="24" s="1"/>
  <c r="W459" i="24"/>
  <c r="X459" i="24" s="1"/>
  <c r="AD459" i="24" s="1"/>
  <c r="AF459" i="24" s="1"/>
  <c r="W1490" i="24"/>
  <c r="X1490" i="24" s="1"/>
  <c r="AD1490" i="24" s="1"/>
  <c r="AF1490" i="24" s="1"/>
  <c r="W1014" i="24"/>
  <c r="X1014" i="24" s="1"/>
  <c r="AD1014" i="24" s="1"/>
  <c r="AF1014" i="24" s="1"/>
  <c r="W1306" i="24"/>
  <c r="X1306" i="24" s="1"/>
  <c r="AD1306" i="24" s="1"/>
  <c r="AF1306" i="24" s="1"/>
  <c r="W1301" i="24"/>
  <c r="X1301" i="24" s="1"/>
  <c r="AD1301" i="24" s="1"/>
  <c r="AF1301" i="24" s="1"/>
  <c r="W1236" i="24"/>
  <c r="X1236" i="24" s="1"/>
  <c r="AD1236" i="24" s="1"/>
  <c r="AF1236" i="24" s="1"/>
  <c r="W1158" i="24"/>
  <c r="X1158" i="24" s="1"/>
  <c r="AD1158" i="24" s="1"/>
  <c r="AF1158" i="24" s="1"/>
  <c r="W1112" i="24"/>
  <c r="X1112" i="24" s="1"/>
  <c r="AD1112" i="24" s="1"/>
  <c r="AF1112" i="24" s="1"/>
  <c r="W1367" i="24"/>
  <c r="X1367" i="24" s="1"/>
  <c r="AD1367" i="24" s="1"/>
  <c r="AF1367" i="24" s="1"/>
  <c r="W1311" i="24"/>
  <c r="X1311" i="24" s="1"/>
  <c r="AD1311" i="24" s="1"/>
  <c r="AF1311" i="24" s="1"/>
  <c r="W1207" i="24"/>
  <c r="X1207" i="24" s="1"/>
  <c r="AD1207" i="24" s="1"/>
  <c r="AF1207" i="24" s="1"/>
  <c r="W986" i="24"/>
  <c r="X986" i="24" s="1"/>
  <c r="AD986" i="24" s="1"/>
  <c r="AF986" i="24" s="1"/>
  <c r="W981" i="24"/>
  <c r="X981" i="24" s="1"/>
  <c r="AD981" i="24" s="1"/>
  <c r="AF981" i="24" s="1"/>
  <c r="W965" i="24"/>
  <c r="X965" i="24" s="1"/>
  <c r="AD965" i="24" s="1"/>
  <c r="AF965" i="24" s="1"/>
  <c r="W361" i="24"/>
  <c r="X361" i="24" s="1"/>
  <c r="AD361" i="24" s="1"/>
  <c r="AF361" i="24" s="1"/>
  <c r="W439" i="24"/>
  <c r="X439" i="24" s="1"/>
  <c r="AD439" i="24" s="1"/>
  <c r="AF439" i="24" s="1"/>
  <c r="W51" i="24"/>
  <c r="X51" i="24" s="1"/>
  <c r="AD51" i="24" s="1"/>
  <c r="AF51" i="24" s="1"/>
  <c r="W875" i="24"/>
  <c r="X875" i="24" s="1"/>
  <c r="AD875" i="24" s="1"/>
  <c r="AF875" i="24" s="1"/>
  <c r="W518" i="24"/>
  <c r="X518" i="24" s="1"/>
  <c r="AD518" i="24" s="1"/>
  <c r="AF518" i="24" s="1"/>
  <c r="W462" i="24"/>
  <c r="X462" i="24" s="1"/>
  <c r="AD462" i="24" s="1"/>
  <c r="AF462" i="24" s="1"/>
  <c r="W764" i="24"/>
  <c r="X764" i="24" s="1"/>
  <c r="AD764" i="24" s="1"/>
  <c r="AF764" i="24" s="1"/>
  <c r="W296" i="24"/>
  <c r="X296" i="24" s="1"/>
  <c r="AD296" i="24" s="1"/>
  <c r="AF296" i="24" s="1"/>
  <c r="W669" i="24"/>
  <c r="X669" i="24" s="1"/>
  <c r="AD669" i="24" s="1"/>
  <c r="AF669" i="24" s="1"/>
  <c r="W800" i="24"/>
  <c r="X800" i="24" s="1"/>
  <c r="AD800" i="24" s="1"/>
  <c r="AF800" i="24" s="1"/>
  <c r="W571" i="24"/>
  <c r="X571" i="24" s="1"/>
  <c r="AD571" i="24" s="1"/>
  <c r="AF571" i="24" s="1"/>
  <c r="W737" i="24"/>
  <c r="X737" i="24" s="1"/>
  <c r="AD737" i="24" s="1"/>
  <c r="AF737" i="24" s="1"/>
  <c r="W1315" i="24"/>
  <c r="X1315" i="24" s="1"/>
  <c r="AD1315" i="24" s="1"/>
  <c r="AF1315" i="24" s="1"/>
  <c r="W1109" i="24"/>
  <c r="X1109" i="24" s="1"/>
  <c r="AD1109" i="24" s="1"/>
  <c r="AF1109" i="24" s="1"/>
  <c r="W837" i="24"/>
  <c r="X837" i="24" s="1"/>
  <c r="AD837" i="24" s="1"/>
  <c r="AF837" i="24" s="1"/>
  <c r="W1154" i="24"/>
  <c r="X1154" i="24" s="1"/>
  <c r="AD1154" i="24" s="1"/>
  <c r="AF1154" i="24" s="1"/>
  <c r="W1290" i="24"/>
  <c r="X1290" i="24" s="1"/>
  <c r="AD1290" i="24" s="1"/>
  <c r="AF1290" i="24" s="1"/>
  <c r="W1405" i="24"/>
  <c r="X1405" i="24" s="1"/>
  <c r="AD1405" i="24" s="1"/>
  <c r="AF1405" i="24" s="1"/>
  <c r="W1357" i="24"/>
  <c r="X1357" i="24" s="1"/>
  <c r="AD1357" i="24" s="1"/>
  <c r="AF1357" i="24" s="1"/>
  <c r="W1084" i="24"/>
  <c r="X1084" i="24" s="1"/>
  <c r="AD1084" i="24" s="1"/>
  <c r="AF1084" i="24" s="1"/>
  <c r="W449" i="24"/>
  <c r="X449" i="24" s="1"/>
  <c r="AD449" i="24" s="1"/>
  <c r="AF449" i="24" s="1"/>
  <c r="W541" i="24"/>
  <c r="X541" i="24" s="1"/>
  <c r="AD541" i="24" s="1"/>
  <c r="AF541" i="24" s="1"/>
  <c r="W850" i="24"/>
  <c r="X850" i="24" s="1"/>
  <c r="AD850" i="24" s="1"/>
  <c r="AF850" i="24" s="1"/>
  <c r="W845" i="24"/>
  <c r="X845" i="24" s="1"/>
  <c r="AD845" i="24" s="1"/>
  <c r="AF845" i="24" s="1"/>
  <c r="W895" i="24"/>
  <c r="X895" i="24" s="1"/>
  <c r="AD895" i="24" s="1"/>
  <c r="AF895" i="24" s="1"/>
  <c r="W100" i="24"/>
  <c r="X100" i="24" s="1"/>
  <c r="AD100" i="24" s="1"/>
  <c r="AF100" i="24" s="1"/>
  <c r="W795" i="24"/>
  <c r="X795" i="24" s="1"/>
  <c r="AD795" i="24" s="1"/>
  <c r="AF795" i="24" s="1"/>
  <c r="W318" i="24"/>
  <c r="X318" i="24" s="1"/>
  <c r="AD318" i="24" s="1"/>
  <c r="AF318" i="24" s="1"/>
  <c r="W691" i="24"/>
  <c r="X691" i="24" s="1"/>
  <c r="AD691" i="24" s="1"/>
  <c r="AF691" i="24" s="1"/>
  <c r="W371" i="24"/>
  <c r="X371" i="24" s="1"/>
  <c r="AD371" i="24" s="1"/>
  <c r="AF371" i="24" s="1"/>
  <c r="W1071" i="24"/>
  <c r="X1071" i="24" s="1"/>
  <c r="AD1071" i="24" s="1"/>
  <c r="AF1071" i="24" s="1"/>
  <c r="W1079" i="24"/>
  <c r="X1079" i="24" s="1"/>
  <c r="AD1079" i="24" s="1"/>
  <c r="AF1079" i="24" s="1"/>
  <c r="W482" i="24"/>
  <c r="X482" i="24" s="1"/>
  <c r="AD482" i="24" s="1"/>
  <c r="AF482" i="24" s="1"/>
  <c r="W822" i="24"/>
  <c r="X822" i="24" s="1"/>
  <c r="AD822" i="24" s="1"/>
  <c r="AF822" i="24" s="1"/>
  <c r="W666" i="24"/>
  <c r="X666" i="24" s="1"/>
  <c r="AD666" i="24" s="1"/>
  <c r="AF666" i="24" s="1"/>
  <c r="W195" i="24"/>
  <c r="X195" i="24" s="1"/>
  <c r="AD195" i="24" s="1"/>
  <c r="AF195" i="24" s="1"/>
  <c r="W278" i="24"/>
  <c r="X278" i="24" s="1"/>
  <c r="AD278" i="24" s="1"/>
  <c r="AF278" i="24" s="1"/>
  <c r="W866" i="24"/>
  <c r="X866" i="24" s="1"/>
  <c r="AD866" i="24" s="1"/>
  <c r="AF866" i="24" s="1"/>
  <c r="W1528" i="24"/>
  <c r="X1528" i="24" s="1"/>
  <c r="AD1528" i="24" s="1"/>
  <c r="AF1528" i="24" s="1"/>
  <c r="W1212" i="24"/>
  <c r="X1212" i="24" s="1"/>
  <c r="AD1212" i="24" s="1"/>
  <c r="AF1212" i="24" s="1"/>
  <c r="W1066" i="24"/>
  <c r="X1066" i="24" s="1"/>
  <c r="AD1066" i="24" s="1"/>
  <c r="AF1066" i="24" s="1"/>
  <c r="W1400" i="24"/>
  <c r="X1400" i="24" s="1"/>
  <c r="AD1400" i="24" s="1"/>
  <c r="AF1400" i="24" s="1"/>
  <c r="W1295" i="24"/>
  <c r="X1295" i="24" s="1"/>
  <c r="AD1295" i="24" s="1"/>
  <c r="AF1295" i="24" s="1"/>
  <c r="W1075" i="24"/>
  <c r="X1075" i="24" s="1"/>
  <c r="AD1075" i="24" s="1"/>
  <c r="AF1075" i="24" s="1"/>
  <c r="W1022" i="24"/>
  <c r="X1022" i="24" s="1"/>
  <c r="AD1022" i="24" s="1"/>
  <c r="AF1022" i="24" s="1"/>
  <c r="W429" i="24"/>
  <c r="X429" i="24" s="1"/>
  <c r="AD429" i="24" s="1"/>
  <c r="AF429" i="24" s="1"/>
  <c r="W621" i="24"/>
  <c r="X621" i="24" s="1"/>
  <c r="AD621" i="24" s="1"/>
  <c r="AF621" i="24" s="1"/>
  <c r="W785" i="24"/>
  <c r="X785" i="24" s="1"/>
  <c r="AD785" i="24" s="1"/>
  <c r="AF785" i="24" s="1"/>
  <c r="W817" i="24"/>
  <c r="X817" i="24" s="1"/>
  <c r="AD817" i="24" s="1"/>
  <c r="AF817" i="24" s="1"/>
  <c r="W523" i="24"/>
  <c r="X523" i="24" s="1"/>
  <c r="AD523" i="24" s="1"/>
  <c r="AF523" i="24" s="1"/>
  <c r="W336" i="24"/>
  <c r="X336" i="24" s="1"/>
  <c r="AD336" i="24" s="1"/>
  <c r="AF336" i="24" s="1"/>
  <c r="W660" i="24"/>
  <c r="X660" i="24" s="1"/>
  <c r="AD660" i="24" s="1"/>
  <c r="AF660" i="24" s="1"/>
  <c r="W914" i="24"/>
  <c r="X914" i="24" s="1"/>
  <c r="AD914" i="24" s="1"/>
  <c r="AF914" i="24" s="1"/>
  <c r="W655" i="24"/>
  <c r="X655" i="24" s="1"/>
  <c r="AD655" i="24" s="1"/>
  <c r="AF655" i="24" s="1"/>
  <c r="W1253" i="24"/>
  <c r="X1253" i="24" s="1"/>
  <c r="AD1253" i="24" s="1"/>
  <c r="AF1253" i="24" s="1"/>
  <c r="W242" i="24"/>
  <c r="X242" i="24" s="1"/>
  <c r="AD242" i="24" s="1"/>
  <c r="AF242" i="24" s="1"/>
  <c r="W842" i="24"/>
  <c r="X842" i="24" s="1"/>
  <c r="AD842" i="24" s="1"/>
  <c r="AF842" i="24" s="1"/>
  <c r="W1362" i="24"/>
  <c r="X1362" i="24" s="1"/>
  <c r="AD1362" i="24" s="1"/>
  <c r="AF1362" i="24" s="1"/>
  <c r="W1483" i="24"/>
  <c r="X1483" i="24" s="1"/>
  <c r="AD1483" i="24" s="1"/>
  <c r="AF1483" i="24" s="1"/>
  <c r="W1411" i="24"/>
  <c r="X1411" i="24" s="1"/>
  <c r="AD1411" i="24" s="1"/>
  <c r="AF1411" i="24" s="1"/>
  <c r="W1061" i="24"/>
  <c r="X1061" i="24" s="1"/>
  <c r="AD1061" i="24" s="1"/>
  <c r="AF1061" i="24" s="1"/>
  <c r="W1459" i="24"/>
  <c r="X1459" i="24" s="1"/>
  <c r="AD1459" i="24" s="1"/>
  <c r="AF1459" i="24" s="1"/>
  <c r="W1245" i="24"/>
  <c r="X1245" i="24" s="1"/>
  <c r="AD1245" i="24" s="1"/>
  <c r="AF1245" i="24" s="1"/>
  <c r="W1143" i="24"/>
  <c r="X1143" i="24" s="1"/>
  <c r="AD1143" i="24" s="1"/>
  <c r="AF1143" i="24" s="1"/>
  <c r="W1335" i="24"/>
  <c r="X1335" i="24" s="1"/>
  <c r="AD1335" i="24" s="1"/>
  <c r="AF1335" i="24" s="1"/>
  <c r="W1273" i="24"/>
  <c r="X1273" i="24" s="1"/>
  <c r="AD1273" i="24" s="1"/>
  <c r="AF1273" i="24" s="1"/>
  <c r="W1345" i="24"/>
  <c r="X1345" i="24" s="1"/>
  <c r="AD1345" i="24" s="1"/>
  <c r="AF1345" i="24" s="1"/>
  <c r="W1241" i="24"/>
  <c r="X1241" i="24" s="1"/>
  <c r="AD1241" i="24" s="1"/>
  <c r="AF1241" i="24" s="1"/>
  <c r="W944" i="24"/>
  <c r="X944" i="24" s="1"/>
  <c r="AD944" i="24" s="1"/>
  <c r="AF944" i="24" s="1"/>
  <c r="W355" i="24"/>
  <c r="X355" i="24" s="1"/>
  <c r="AD355" i="24" s="1"/>
  <c r="AF355" i="24" s="1"/>
  <c r="W595" i="24"/>
  <c r="X595" i="24" s="1"/>
  <c r="AD595" i="24" s="1"/>
  <c r="AF595" i="24" s="1"/>
  <c r="W326" i="24"/>
  <c r="X326" i="24" s="1"/>
  <c r="AD326" i="24" s="1"/>
  <c r="AF326" i="24" s="1"/>
  <c r="W616" i="24"/>
  <c r="X616" i="24" s="1"/>
  <c r="AD616" i="24" s="1"/>
  <c r="AF616" i="24" s="1"/>
  <c r="W333" i="24"/>
  <c r="X333" i="24" s="1"/>
  <c r="AD333" i="24" s="1"/>
  <c r="AF333" i="24" s="1"/>
  <c r="W769" i="24"/>
  <c r="X769" i="24" s="1"/>
  <c r="AD769" i="24" s="1"/>
  <c r="AF769" i="24" s="1"/>
  <c r="W66" i="24"/>
  <c r="X66" i="24" s="1"/>
  <c r="AD66" i="24" s="1"/>
  <c r="AF66" i="24" s="1"/>
  <c r="W727" i="24"/>
  <c r="X727" i="24" s="1"/>
  <c r="AD727" i="24" s="1"/>
  <c r="AF727" i="24" s="1"/>
  <c r="W454" i="24"/>
  <c r="X454" i="24" s="1"/>
  <c r="AD454" i="24" s="1"/>
  <c r="AF454" i="24" s="1"/>
  <c r="W697" i="24"/>
  <c r="X697" i="24" s="1"/>
  <c r="AD697" i="24" s="1"/>
  <c r="AF697" i="24" s="1"/>
  <c r="W256" i="24"/>
  <c r="X256" i="24" s="1"/>
  <c r="AD256" i="24" s="1"/>
  <c r="AF256" i="24" s="1"/>
  <c r="W42" i="24"/>
  <c r="X42" i="24" s="1"/>
  <c r="AD42" i="24" s="1"/>
  <c r="AF42" i="24" s="1"/>
  <c r="W900" i="24"/>
  <c r="X900" i="24" s="1"/>
  <c r="AD900" i="24" s="1"/>
  <c r="AF900" i="24" s="1"/>
  <c r="W502" i="24"/>
  <c r="X502" i="24" s="1"/>
  <c r="AD502" i="24" s="1"/>
  <c r="AF502" i="24" s="1"/>
  <c r="W145" i="24"/>
  <c r="X145" i="24" s="1"/>
  <c r="AD145" i="24" s="1"/>
  <c r="AF145" i="24" s="1"/>
  <c r="W1185" i="24"/>
  <c r="X1185" i="24" s="1"/>
  <c r="AD1185" i="24" s="1"/>
  <c r="AF1185" i="24" s="1"/>
  <c r="W549" i="24"/>
  <c r="X549" i="24" s="1"/>
  <c r="AD549" i="24" s="1"/>
  <c r="AF549" i="24" s="1"/>
  <c r="W1230" i="24"/>
  <c r="X1230" i="24" s="1"/>
  <c r="AD1230" i="24" s="1"/>
  <c r="AF1230" i="24" s="1"/>
  <c r="W673" i="24"/>
  <c r="X673" i="24" s="1"/>
  <c r="AD673" i="24" s="1"/>
  <c r="AF673" i="24" s="1"/>
  <c r="W707" i="24"/>
  <c r="X707" i="24" s="1"/>
  <c r="AD707" i="24" s="1"/>
  <c r="AF707" i="24" s="1"/>
  <c r="W633" i="24"/>
  <c r="X633" i="24" s="1"/>
  <c r="AD633" i="24" s="1"/>
  <c r="AF633" i="24" s="1"/>
  <c r="W507" i="24"/>
  <c r="X507" i="24" s="1"/>
  <c r="AD507" i="24" s="1"/>
  <c r="AF507" i="24" s="1"/>
  <c r="W340" i="24"/>
  <c r="X340" i="24" s="1"/>
  <c r="AD340" i="24" s="1"/>
  <c r="AF340" i="24" s="1"/>
  <c r="W712" i="24"/>
  <c r="X712" i="24" s="1"/>
  <c r="AD712" i="24" s="1"/>
  <c r="AF712" i="24" s="1"/>
  <c r="W131" i="24"/>
  <c r="X131" i="24" s="1"/>
  <c r="AD131" i="24" s="1"/>
  <c r="AF131" i="24" s="1"/>
  <c r="W192" i="24"/>
  <c r="X192" i="24" s="1"/>
  <c r="AD192" i="24" s="1"/>
  <c r="AF192" i="24" s="1"/>
  <c r="W414" i="24"/>
  <c r="X414" i="24" s="1"/>
  <c r="AD414" i="24" s="1"/>
  <c r="AF414" i="24" s="1"/>
  <c r="W643" i="24"/>
  <c r="X643" i="24" s="1"/>
  <c r="AD643" i="24" s="1"/>
  <c r="AF643" i="24" s="1"/>
  <c r="W566" i="24"/>
  <c r="X566" i="24" s="1"/>
  <c r="AD566" i="24" s="1"/>
  <c r="AF566" i="24" s="1"/>
  <c r="W663" i="24"/>
  <c r="X663" i="24" s="1"/>
  <c r="AD663" i="24" s="1"/>
  <c r="AF663" i="24" s="1"/>
  <c r="W404" i="24"/>
  <c r="X404" i="24" s="1"/>
  <c r="AD404" i="24" s="1"/>
  <c r="AF404" i="24" s="1"/>
  <c r="W638" i="24"/>
  <c r="X638" i="24" s="1"/>
  <c r="AD638" i="24" s="1"/>
  <c r="AF638" i="24" s="1"/>
  <c r="W702" i="24"/>
  <c r="X702" i="24" s="1"/>
  <c r="AD702" i="24" s="1"/>
  <c r="AF702" i="24" s="1"/>
  <c r="W409" i="24"/>
  <c r="X409" i="24" s="1"/>
  <c r="AD409" i="24" s="1"/>
  <c r="AF409" i="24" s="1"/>
  <c r="W531" i="24"/>
  <c r="X531" i="24" s="1"/>
  <c r="AD531" i="24" s="1"/>
  <c r="AF531" i="24" s="1"/>
  <c r="W170" i="24"/>
  <c r="X170" i="24" s="1"/>
  <c r="AD170" i="24" s="1"/>
  <c r="AF170" i="24" s="1"/>
  <c r="W611" i="24"/>
  <c r="X611" i="24" s="1"/>
  <c r="AD611" i="24" s="1"/>
  <c r="AF611" i="24" s="1"/>
  <c r="W917" i="24"/>
  <c r="X917" i="24" s="1"/>
  <c r="AD917" i="24" s="1"/>
  <c r="AF917" i="24" s="1"/>
  <c r="W477" i="24"/>
  <c r="X477" i="24" s="1"/>
  <c r="AD477" i="24" s="1"/>
  <c r="AF477" i="24" s="1"/>
  <c r="W109" i="24"/>
  <c r="X109" i="24" s="1"/>
  <c r="AD109" i="24" s="1"/>
  <c r="AF109" i="24" s="1"/>
  <c r="W34" i="24"/>
  <c r="X34" i="24" s="1"/>
  <c r="AD34" i="24" s="1"/>
  <c r="AF34" i="24" s="1"/>
  <c r="W574" i="24"/>
  <c r="X574" i="24" s="1"/>
  <c r="AD574" i="24" s="1"/>
  <c r="AF574" i="24" s="1"/>
  <c r="W74" i="24"/>
  <c r="X74" i="24" s="1"/>
  <c r="AD74" i="24" s="1"/>
  <c r="AF74" i="24" s="1"/>
  <c r="W206" i="24"/>
  <c r="X206" i="24" s="1"/>
  <c r="AD206" i="24" s="1"/>
  <c r="AF206" i="24" s="1"/>
  <c r="W123" i="24"/>
  <c r="X123" i="24" s="1"/>
  <c r="AD123" i="24" s="1"/>
  <c r="AF123" i="24" s="1"/>
  <c r="W282" i="24"/>
  <c r="X282" i="24" s="1"/>
  <c r="AD282" i="24" s="1"/>
  <c r="AF282" i="24" s="1"/>
  <c r="W471" i="24"/>
  <c r="X471" i="24" s="1"/>
  <c r="AD471" i="24" s="1"/>
  <c r="AF471" i="24" s="1"/>
  <c r="W396" i="24"/>
  <c r="X396" i="24" s="1"/>
  <c r="AD396" i="24" s="1"/>
  <c r="AF396" i="24" s="1"/>
  <c r="W578" i="24"/>
  <c r="X578" i="24" s="1"/>
  <c r="AD578" i="24" s="1"/>
  <c r="AF578" i="24" s="1"/>
  <c r="W790" i="24"/>
  <c r="X790" i="24" s="1"/>
  <c r="AD790" i="24" s="1"/>
  <c r="AF790" i="24" s="1"/>
  <c r="W467" i="24"/>
  <c r="X467" i="24" s="1"/>
  <c r="AD467" i="24" s="1"/>
  <c r="AF467" i="24" s="1"/>
  <c r="AR300" i="24"/>
  <c r="AR244" i="24"/>
  <c r="AR653" i="24"/>
  <c r="AR197" i="24"/>
  <c r="AR229" i="24"/>
  <c r="AR334" i="24"/>
  <c r="AR269" i="24"/>
  <c r="AR259" i="24"/>
  <c r="AR592" i="24"/>
  <c r="AR539" i="24"/>
  <c r="AR202" i="24"/>
  <c r="AR718" i="24"/>
  <c r="AR322" i="24"/>
  <c r="AR353" i="24"/>
  <c r="AR556" i="24"/>
  <c r="AR387" i="24"/>
  <c r="AR382" i="24"/>
  <c r="AR249" i="24"/>
  <c r="AR461" i="24"/>
  <c r="AR628" i="24"/>
  <c r="AR274" i="24"/>
  <c r="AR658" i="24"/>
  <c r="AO284" i="24"/>
  <c r="T89" i="18"/>
  <c r="W1548" i="24"/>
  <c r="X1548" i="24" s="1"/>
  <c r="AD1548" i="24" s="1"/>
  <c r="AF1548" i="24" s="1"/>
  <c r="W1526" i="24"/>
  <c r="X1526" i="24" s="1"/>
  <c r="AD1526" i="24" s="1"/>
  <c r="AF1526" i="24" s="1"/>
  <c r="W1507" i="24"/>
  <c r="X1507" i="24" s="1"/>
  <c r="AD1507" i="24" s="1"/>
  <c r="AF1507" i="24" s="1"/>
  <c r="W1519" i="24"/>
  <c r="X1519" i="24" s="1"/>
  <c r="AD1519" i="24" s="1"/>
  <c r="AF1519" i="24" s="1"/>
  <c r="W1538" i="24"/>
  <c r="X1538" i="24" s="1"/>
  <c r="AD1538" i="24" s="1"/>
  <c r="AF1538" i="24" s="1"/>
  <c r="AP1538" i="24" s="1"/>
  <c r="AR53" i="24"/>
  <c r="AR681" i="24"/>
  <c r="W95" i="24"/>
  <c r="X95" i="24" s="1"/>
  <c r="AD95" i="24" s="1"/>
  <c r="AF95" i="24" s="1"/>
  <c r="W761" i="24"/>
  <c r="X761" i="24" s="1"/>
  <c r="AD761" i="24" s="1"/>
  <c r="AF761" i="24" s="1"/>
  <c r="W902" i="24"/>
  <c r="X902" i="24" s="1"/>
  <c r="AD902" i="24" s="1"/>
  <c r="AF902" i="24" s="1"/>
  <c r="W412" i="24"/>
  <c r="X412" i="24" s="1"/>
  <c r="AD412" i="24" s="1"/>
  <c r="AF412" i="24" s="1"/>
  <c r="W753" i="24"/>
  <c r="X753" i="24" s="1"/>
  <c r="AD753" i="24" s="1"/>
  <c r="AF753" i="24" s="1"/>
  <c r="W190" i="24"/>
  <c r="X190" i="24" s="1"/>
  <c r="AD190" i="24" s="1"/>
  <c r="AF190" i="24" s="1"/>
  <c r="W505" i="24"/>
  <c r="X505" i="24" s="1"/>
  <c r="AD505" i="24" s="1"/>
  <c r="AF505" i="24" s="1"/>
  <c r="W844" i="24"/>
  <c r="X844" i="24" s="1"/>
  <c r="AD844" i="24" s="1"/>
  <c r="AF844" i="24" s="1"/>
  <c r="W308" i="24"/>
  <c r="X308" i="24" s="1"/>
  <c r="AD308" i="24" s="1"/>
  <c r="AF308" i="24" s="1"/>
  <c r="W839" i="24"/>
  <c r="X839" i="24" s="1"/>
  <c r="AD839" i="24" s="1"/>
  <c r="AF839" i="24" s="1"/>
  <c r="W912" i="24"/>
  <c r="X912" i="24" s="1"/>
  <c r="AD912" i="24" s="1"/>
  <c r="AF912" i="24" s="1"/>
  <c r="W891" i="24"/>
  <c r="X891" i="24" s="1"/>
  <c r="AD891" i="24" s="1"/>
  <c r="AF891" i="24" s="1"/>
  <c r="W766" i="24"/>
  <c r="X766" i="24" s="1"/>
  <c r="AD766" i="24" s="1"/>
  <c r="AF766" i="24" s="1"/>
  <c r="W402" i="24"/>
  <c r="X402" i="24" s="1"/>
  <c r="AD402" i="24" s="1"/>
  <c r="AF402" i="24" s="1"/>
  <c r="W146" i="24"/>
  <c r="X146" i="24" s="1"/>
  <c r="AD146" i="24" s="1"/>
  <c r="AF146" i="24" s="1"/>
  <c r="W642" i="24"/>
  <c r="X642" i="24" s="1"/>
  <c r="AD642" i="24" s="1"/>
  <c r="AF642" i="24" s="1"/>
  <c r="W610" i="24"/>
  <c r="X610" i="24" s="1"/>
  <c r="AD610" i="24" s="1"/>
  <c r="AF610" i="24" s="1"/>
  <c r="W605" i="24"/>
  <c r="X605" i="24" s="1"/>
  <c r="AD605" i="24" s="1"/>
  <c r="AF605" i="24" s="1"/>
  <c r="W729" i="24"/>
  <c r="X729" i="24" s="1"/>
  <c r="AD729" i="24" s="1"/>
  <c r="AF729" i="24" s="1"/>
  <c r="W802" i="24"/>
  <c r="X802" i="24" s="1"/>
  <c r="AD802" i="24" s="1"/>
  <c r="AF802" i="24" s="1"/>
  <c r="W237" i="24"/>
  <c r="X237" i="24" s="1"/>
  <c r="AD237" i="24" s="1"/>
  <c r="AF237" i="24" s="1"/>
  <c r="AP237" i="24" s="1"/>
  <c r="W277" i="24"/>
  <c r="X277" i="24" s="1"/>
  <c r="AD277" i="24" s="1"/>
  <c r="AF277" i="24" s="1"/>
  <c r="W321" i="24"/>
  <c r="X321" i="24" s="1"/>
  <c r="AD321" i="24" s="1"/>
  <c r="AF321" i="24" s="1"/>
  <c r="W125" i="24"/>
  <c r="X125" i="24" s="1"/>
  <c r="AD125" i="24" s="1"/>
  <c r="AF125" i="24" s="1"/>
  <c r="W196" i="24"/>
  <c r="X196" i="24" s="1"/>
  <c r="AD196" i="24" s="1"/>
  <c r="AF196" i="24" s="1"/>
  <c r="W201" i="24"/>
  <c r="X201" i="24" s="1"/>
  <c r="AD201" i="24" s="1"/>
  <c r="AF201" i="24" s="1"/>
  <c r="W381" i="24"/>
  <c r="X381" i="24" s="1"/>
  <c r="AD381" i="24" s="1"/>
  <c r="AF381" i="24" s="1"/>
  <c r="AP381" i="24" s="1"/>
  <c r="W386" i="24"/>
  <c r="X386" i="24" s="1"/>
  <c r="AD386" i="24" s="1"/>
  <c r="AF386" i="24" s="1"/>
  <c r="W672" i="24"/>
  <c r="X672" i="24" s="1"/>
  <c r="AD672" i="24" s="1"/>
  <c r="AF672" i="24" s="1"/>
  <c r="W864" i="24"/>
  <c r="X864" i="24" s="1"/>
  <c r="AD864" i="24" s="1"/>
  <c r="AF864" i="24" s="1"/>
  <c r="W452" i="24"/>
  <c r="X452" i="24" s="1"/>
  <c r="AD452" i="24" s="1"/>
  <c r="AF452" i="24" s="1"/>
  <c r="W706" i="24"/>
  <c r="X706" i="24" s="1"/>
  <c r="AD706" i="24" s="1"/>
  <c r="AF706" i="24" s="1"/>
  <c r="W632" i="24"/>
  <c r="X632" i="24" s="1"/>
  <c r="AD632" i="24" s="1"/>
  <c r="AF632" i="24" s="1"/>
  <c r="W734" i="24"/>
  <c r="X734" i="24" s="1"/>
  <c r="AD734" i="24" s="1"/>
  <c r="AF734" i="24" s="1"/>
  <c r="W87" i="24"/>
  <c r="X87" i="24" s="1"/>
  <c r="AD87" i="24" s="1"/>
  <c r="AF87" i="24" s="1"/>
  <c r="W637" i="24"/>
  <c r="X637" i="24" s="1"/>
  <c r="AD637" i="24" s="1"/>
  <c r="AF637" i="24" s="1"/>
  <c r="W744" i="24"/>
  <c r="X744" i="24" s="1"/>
  <c r="AD744" i="24" s="1"/>
  <c r="AF744" i="24" s="1"/>
  <c r="W739" i="24"/>
  <c r="X739" i="24" s="1"/>
  <c r="AD739" i="24" s="1"/>
  <c r="AF739" i="24" s="1"/>
  <c r="W64" i="24"/>
  <c r="X64" i="24" s="1"/>
  <c r="AD64" i="24" s="1"/>
  <c r="AF64" i="24" s="1"/>
  <c r="W701" i="24"/>
  <c r="X701" i="24" s="1"/>
  <c r="AD701" i="24" s="1"/>
  <c r="AF701" i="24" s="1"/>
  <c r="W662" i="24"/>
  <c r="X662" i="24" s="1"/>
  <c r="AD662" i="24" s="1"/>
  <c r="AF662" i="24" s="1"/>
  <c r="W916" i="24"/>
  <c r="X916" i="24" s="1"/>
  <c r="AD916" i="24" s="1"/>
  <c r="AF916" i="24" s="1"/>
  <c r="W268" i="24"/>
  <c r="X268" i="24" s="1"/>
  <c r="AD268" i="24" s="1"/>
  <c r="AF268" i="24" s="1"/>
  <c r="W565" i="24"/>
  <c r="X565" i="24" s="1"/>
  <c r="AD565" i="24" s="1"/>
  <c r="AF565" i="24" s="1"/>
  <c r="W725" i="24"/>
  <c r="X725" i="24" s="1"/>
  <c r="AD725" i="24" s="1"/>
  <c r="AF725" i="24" s="1"/>
  <c r="W273" i="24"/>
  <c r="X273" i="24" s="1"/>
  <c r="AD273" i="24" s="1"/>
  <c r="AF273" i="24" s="1"/>
  <c r="W460" i="24"/>
  <c r="X460" i="24" s="1"/>
  <c r="AD460" i="24" s="1"/>
  <c r="AF460" i="24" s="1"/>
  <c r="W540" i="24"/>
  <c r="X540" i="24" s="1"/>
  <c r="AD540" i="24" s="1"/>
  <c r="AF540" i="24" s="1"/>
  <c r="W824" i="24"/>
  <c r="X824" i="24" s="1"/>
  <c r="AD824" i="24" s="1"/>
  <c r="AF824" i="24" s="1"/>
  <c r="W868" i="24"/>
  <c r="X868" i="24" s="1"/>
  <c r="AD868" i="24" s="1"/>
  <c r="AF868" i="24" s="1"/>
  <c r="W852" i="24"/>
  <c r="X852" i="24" s="1"/>
  <c r="AD852" i="24" s="1"/>
  <c r="AF852" i="24" s="1"/>
  <c r="W447" i="24"/>
  <c r="X447" i="24" s="1"/>
  <c r="AD447" i="24" s="1"/>
  <c r="AF447" i="24" s="1"/>
  <c r="W847" i="24"/>
  <c r="X847" i="24" s="1"/>
  <c r="AD847" i="24" s="1"/>
  <c r="AF847" i="24" s="1"/>
  <c r="W714" i="24"/>
  <c r="X714" i="24" s="1"/>
  <c r="AD714" i="24" s="1"/>
  <c r="AF714" i="24" s="1"/>
  <c r="W33" i="24"/>
  <c r="X33" i="24" s="1"/>
  <c r="AD33" i="24" s="1"/>
  <c r="AF33" i="24" s="1"/>
  <c r="W834" i="24"/>
  <c r="X834" i="24" s="1"/>
  <c r="AD834" i="24" s="1"/>
  <c r="AF834" i="24" s="1"/>
  <c r="W214" i="24"/>
  <c r="X214" i="24" s="1"/>
  <c r="AD214" i="24" s="1"/>
  <c r="AF214" i="24" s="1"/>
  <c r="W897" i="24"/>
  <c r="X897" i="24" s="1"/>
  <c r="AD897" i="24" s="1"/>
  <c r="AF897" i="24" s="1"/>
  <c r="W457" i="24"/>
  <c r="X457" i="24" s="1"/>
  <c r="AD457" i="24" s="1"/>
  <c r="AF457" i="24" s="1"/>
  <c r="W442" i="24"/>
  <c r="X442" i="24" s="1"/>
  <c r="AD442" i="24" s="1"/>
  <c r="AF442" i="24" s="1"/>
  <c r="W432" i="24"/>
  <c r="X432" i="24" s="1"/>
  <c r="AD432" i="24" s="1"/>
  <c r="AF432" i="24" s="1"/>
  <c r="W719" i="24"/>
  <c r="X719" i="24" s="1"/>
  <c r="AD719" i="24" s="1"/>
  <c r="AF719" i="24" s="1"/>
  <c r="W654" i="24"/>
  <c r="X654" i="24" s="1"/>
  <c r="AD654" i="24" s="1"/>
  <c r="AF654" i="24" s="1"/>
  <c r="W427" i="24"/>
  <c r="X427" i="24" s="1"/>
  <c r="AD427" i="24" s="1"/>
  <c r="AF427" i="24" s="1"/>
  <c r="W437" i="24"/>
  <c r="X437" i="24" s="1"/>
  <c r="AD437" i="24" s="1"/>
  <c r="AF437" i="24" s="1"/>
  <c r="W41" i="24"/>
  <c r="X41" i="24" s="1"/>
  <c r="AD41" i="24" s="1"/>
  <c r="AF41" i="24" s="1"/>
  <c r="W829" i="24"/>
  <c r="X829" i="24" s="1"/>
  <c r="AD829" i="24" s="1"/>
  <c r="AF829" i="24" s="1"/>
  <c r="W696" i="24"/>
  <c r="X696" i="24" s="1"/>
  <c r="AD696" i="24" s="1"/>
  <c r="AF696" i="24" s="1"/>
  <c r="W931" i="24"/>
  <c r="X931" i="24" s="1"/>
  <c r="AD931" i="24" s="1"/>
  <c r="AF931" i="24" s="1"/>
  <c r="W659" i="24"/>
  <c r="X659" i="24" s="1"/>
  <c r="AD659" i="24" s="1"/>
  <c r="AF659" i="24" s="1"/>
  <c r="W510" i="24"/>
  <c r="X510" i="24" s="1"/>
  <c r="AD510" i="24" s="1"/>
  <c r="AF510" i="24" s="1"/>
  <c r="W690" i="24"/>
  <c r="X690" i="24" s="1"/>
  <c r="AD690" i="24" s="1"/>
  <c r="AF690" i="24" s="1"/>
  <c r="W872" i="24"/>
  <c r="X872" i="24" s="1"/>
  <c r="AD872" i="24" s="1"/>
  <c r="AF872" i="24" s="1"/>
  <c r="W155" i="24"/>
  <c r="X155" i="24" s="1"/>
  <c r="AD155" i="24" s="1"/>
  <c r="AF155" i="24" s="1"/>
  <c r="W187" i="24"/>
  <c r="X187" i="24" s="1"/>
  <c r="AD187" i="24" s="1"/>
  <c r="AF187" i="24" s="1"/>
  <c r="W246" i="24"/>
  <c r="X246" i="24" s="1"/>
  <c r="AD246" i="24" s="1"/>
  <c r="AF246" i="24" s="1"/>
  <c r="W553" i="24"/>
  <c r="X553" i="24" s="1"/>
  <c r="AD553" i="24" s="1"/>
  <c r="AF553" i="24" s="1"/>
  <c r="W620" i="24"/>
  <c r="X620" i="24" s="1"/>
  <c r="AD620" i="24" s="1"/>
  <c r="AF620" i="24" s="1"/>
  <c r="W548" i="24"/>
  <c r="X548" i="24" s="1"/>
  <c r="AD548" i="24" s="1"/>
  <c r="AF548" i="24" s="1"/>
  <c r="W792" i="24"/>
  <c r="X792" i="24" s="1"/>
  <c r="AD792" i="24" s="1"/>
  <c r="AF792" i="24" s="1"/>
  <c r="W495" i="24"/>
  <c r="X495" i="24" s="1"/>
  <c r="AD495" i="24" s="1"/>
  <c r="AF495" i="24" s="1"/>
  <c r="W665" i="24"/>
  <c r="X665" i="24" s="1"/>
  <c r="AD665" i="24" s="1"/>
  <c r="AF665" i="24" s="1"/>
  <c r="W535" i="24"/>
  <c r="X535" i="24" s="1"/>
  <c r="AD535" i="24" s="1"/>
  <c r="AF535" i="24" s="1"/>
  <c r="W787" i="24"/>
  <c r="X787" i="24" s="1"/>
  <c r="AD787" i="24" s="1"/>
  <c r="AF787" i="24" s="1"/>
  <c r="W594" i="24"/>
  <c r="X594" i="24" s="1"/>
  <c r="AD594" i="24" s="1"/>
  <c r="AF594" i="24" s="1"/>
  <c r="W251" i="24"/>
  <c r="X251" i="24" s="1"/>
  <c r="AD251" i="24" s="1"/>
  <c r="AF251" i="24" s="1"/>
  <c r="W50" i="24"/>
  <c r="X50" i="24" s="1"/>
  <c r="AD50" i="24" s="1"/>
  <c r="AF50" i="24" s="1"/>
  <c r="W919" i="24"/>
  <c r="X919" i="24" s="1"/>
  <c r="AD919" i="24" s="1"/>
  <c r="AF919" i="24" s="1"/>
  <c r="W226" i="24"/>
  <c r="X226" i="24" s="1"/>
  <c r="AD226" i="24" s="1"/>
  <c r="AF226" i="24" s="1"/>
  <c r="W178" i="24"/>
  <c r="X178" i="24" s="1"/>
  <c r="AD178" i="24" s="1"/>
  <c r="AF178" i="24" s="1"/>
  <c r="W558" i="24"/>
  <c r="X558" i="24" s="1"/>
  <c r="AD558" i="24" s="1"/>
  <c r="AF558" i="24" s="1"/>
  <c r="W163" i="24"/>
  <c r="X163" i="24" s="1"/>
  <c r="AD163" i="24" s="1"/>
  <c r="AF163" i="24" s="1"/>
  <c r="W335" i="24"/>
  <c r="X335" i="24" s="1"/>
  <c r="AD335" i="24" s="1"/>
  <c r="AF335" i="24" s="1"/>
  <c r="W138" i="24"/>
  <c r="X138" i="24" s="1"/>
  <c r="AD138" i="24" s="1"/>
  <c r="AF138" i="24" s="1"/>
  <c r="W570" i="24"/>
  <c r="X570" i="24" s="1"/>
  <c r="AD570" i="24" s="1"/>
  <c r="AF570" i="24" s="1"/>
  <c r="W328" i="24"/>
  <c r="X328" i="24" s="1"/>
  <c r="AD328" i="24" s="1"/>
  <c r="AF328" i="24" s="1"/>
  <c r="W668" i="24"/>
  <c r="X668" i="24" s="1"/>
  <c r="AD668" i="24" s="1"/>
  <c r="AF668" i="24" s="1"/>
  <c r="W582" i="24"/>
  <c r="X582" i="24" s="1"/>
  <c r="AD582" i="24" s="1"/>
  <c r="AF582" i="24" s="1"/>
  <c r="W500" i="24"/>
  <c r="X500" i="24" s="1"/>
  <c r="AD500" i="24" s="1"/>
  <c r="AF500" i="24" s="1"/>
  <c r="W422" i="24"/>
  <c r="X422" i="24" s="1"/>
  <c r="AD422" i="24" s="1"/>
  <c r="AF422" i="24" s="1"/>
  <c r="W263" i="24"/>
  <c r="X263" i="24" s="1"/>
  <c r="AD263" i="24" s="1"/>
  <c r="AF263" i="24" s="1"/>
  <c r="W484" i="24"/>
  <c r="X484" i="24" s="1"/>
  <c r="AD484" i="24" s="1"/>
  <c r="AF484" i="24" s="1"/>
  <c r="W14" i="24"/>
  <c r="X14" i="24" s="1"/>
  <c r="AD14" i="24" s="1"/>
  <c r="AF14" i="24" s="1"/>
  <c r="W104" i="24"/>
  <c r="X104" i="24" s="1"/>
  <c r="AD104" i="24" s="1"/>
  <c r="AF104" i="24" s="1"/>
  <c r="W117" i="24"/>
  <c r="X117" i="24" s="1"/>
  <c r="AD117" i="24" s="1"/>
  <c r="AF117" i="24" s="1"/>
  <c r="W577" i="24"/>
  <c r="X577" i="24" s="1"/>
  <c r="AD577" i="24" s="1"/>
  <c r="AF577" i="24" s="1"/>
  <c r="W9" i="24"/>
  <c r="X9" i="24" s="1"/>
  <c r="AD9" i="24" s="1"/>
  <c r="W345" i="24"/>
  <c r="X345" i="24" s="1"/>
  <c r="AD345" i="24" s="1"/>
  <c r="AF345" i="24" s="1"/>
  <c r="W291" i="24"/>
  <c r="X291" i="24" s="1"/>
  <c r="AD291" i="24" s="1"/>
  <c r="AF291" i="24" s="1"/>
  <c r="W208" i="24"/>
  <c r="X208" i="24" s="1"/>
  <c r="AD208" i="24" s="1"/>
  <c r="AF208" i="24" s="1"/>
  <c r="W573" i="24"/>
  <c r="X573" i="24" s="1"/>
  <c r="AD573" i="24" s="1"/>
  <c r="AF573" i="24" s="1"/>
  <c r="W19" i="24"/>
  <c r="X19" i="24" s="1"/>
  <c r="AD19" i="24" s="1"/>
  <c r="AF19" i="24" s="1"/>
  <c r="W465" i="24"/>
  <c r="X465" i="24" s="1"/>
  <c r="AD465" i="24" s="1"/>
  <c r="AF465" i="24" s="1"/>
  <c r="W469" i="24"/>
  <c r="X469" i="24" s="1"/>
  <c r="AD469" i="24" s="1"/>
  <c r="AF469" i="24" s="1"/>
  <c r="W395" i="24"/>
  <c r="X395" i="24" s="1"/>
  <c r="AD395" i="24" s="1"/>
  <c r="AF395" i="24" s="1"/>
  <c r="W281" i="24"/>
  <c r="X281" i="24" s="1"/>
  <c r="AD281" i="24" s="1"/>
  <c r="AF281" i="24" s="1"/>
  <c r="AP281" i="24" s="1"/>
  <c r="W391" i="24"/>
  <c r="X391" i="24" s="1"/>
  <c r="AD391" i="24" s="1"/>
  <c r="AF391" i="24" s="1"/>
  <c r="W480" i="24"/>
  <c r="X480" i="24" s="1"/>
  <c r="AD480" i="24" s="1"/>
  <c r="AF480" i="24" s="1"/>
  <c r="W475" i="24"/>
  <c r="X475" i="24" s="1"/>
  <c r="AD475" i="24" s="1"/>
  <c r="AF475" i="24" s="1"/>
  <c r="W530" i="24"/>
  <c r="X530" i="24" s="1"/>
  <c r="AD530" i="24" s="1"/>
  <c r="AF530" i="24" s="1"/>
  <c r="W286" i="24"/>
  <c r="X286" i="24" s="1"/>
  <c r="AD286" i="24" s="1"/>
  <c r="AF286" i="24" s="1"/>
  <c r="W782" i="24"/>
  <c r="X782" i="24" s="1"/>
  <c r="AD782" i="24" s="1"/>
  <c r="AF782" i="24" s="1"/>
  <c r="W819" i="24"/>
  <c r="X819" i="24" s="1"/>
  <c r="AD819" i="24" s="1"/>
  <c r="AF819" i="24" s="1"/>
  <c r="W1500" i="24"/>
  <c r="X1500" i="24" s="1"/>
  <c r="AD1500" i="24" s="1"/>
  <c r="AF1500" i="24" s="1"/>
  <c r="W1493" i="24"/>
  <c r="X1493" i="24" s="1"/>
  <c r="AD1493" i="24" s="1"/>
  <c r="AF1493" i="24" s="1"/>
  <c r="AP1493" i="24" s="1"/>
  <c r="W1488" i="24"/>
  <c r="X1488" i="24" s="1"/>
  <c r="AD1488" i="24" s="1"/>
  <c r="AF1488" i="24" s="1"/>
  <c r="W1475" i="24"/>
  <c r="X1475" i="24" s="1"/>
  <c r="AD1475" i="24" s="1"/>
  <c r="AF1475" i="24" s="1"/>
  <c r="W1472" i="24"/>
  <c r="X1472" i="24" s="1"/>
  <c r="AD1472" i="24" s="1"/>
  <c r="AF1472" i="24" s="1"/>
  <c r="W1469" i="24"/>
  <c r="X1469" i="24" s="1"/>
  <c r="AD1469" i="24" s="1"/>
  <c r="AF1469" i="24" s="1"/>
  <c r="W1462" i="24"/>
  <c r="X1462" i="24" s="1"/>
  <c r="AD1462" i="24" s="1"/>
  <c r="AF1462" i="24" s="1"/>
  <c r="W1457" i="24"/>
  <c r="X1457" i="24" s="1"/>
  <c r="AD1457" i="24" s="1"/>
  <c r="AF1457" i="24" s="1"/>
  <c r="W1452" i="24"/>
  <c r="X1452" i="24" s="1"/>
  <c r="AD1452" i="24" s="1"/>
  <c r="AF1452" i="24" s="1"/>
  <c r="W1447" i="24"/>
  <c r="X1447" i="24" s="1"/>
  <c r="AD1447" i="24" s="1"/>
  <c r="AF1447" i="24" s="1"/>
  <c r="W1444" i="24"/>
  <c r="X1444" i="24" s="1"/>
  <c r="AD1444" i="24" s="1"/>
  <c r="AF1444" i="24" s="1"/>
  <c r="W1441" i="24"/>
  <c r="X1441" i="24" s="1"/>
  <c r="AD1441" i="24" s="1"/>
  <c r="AF1441" i="24" s="1"/>
  <c r="W1436" i="24"/>
  <c r="X1436" i="24" s="1"/>
  <c r="AD1436" i="24" s="1"/>
  <c r="AF1436" i="24" s="1"/>
  <c r="W1431" i="24"/>
  <c r="X1431" i="24" s="1"/>
  <c r="AD1431" i="24" s="1"/>
  <c r="AF1431" i="24" s="1"/>
  <c r="W1426" i="24"/>
  <c r="X1426" i="24" s="1"/>
  <c r="AD1426" i="24" s="1"/>
  <c r="AF1426" i="24" s="1"/>
  <c r="W1418" i="24"/>
  <c r="X1418" i="24" s="1"/>
  <c r="AD1418" i="24" s="1"/>
  <c r="AF1418" i="24" s="1"/>
  <c r="W1412" i="24"/>
  <c r="X1412" i="24" s="1"/>
  <c r="AD1412" i="24" s="1"/>
  <c r="AF1412" i="24" s="1"/>
  <c r="AP1412" i="24" s="1"/>
  <c r="W1407" i="24"/>
  <c r="X1407" i="24" s="1"/>
  <c r="AD1407" i="24" s="1"/>
  <c r="AF1407" i="24" s="1"/>
  <c r="W1397" i="24"/>
  <c r="X1397" i="24" s="1"/>
  <c r="AD1397" i="24" s="1"/>
  <c r="AF1397" i="24" s="1"/>
  <c r="W1377" i="24"/>
  <c r="X1377" i="24" s="1"/>
  <c r="AD1377" i="24" s="1"/>
  <c r="AF1377" i="24" s="1"/>
  <c r="W1374" i="24"/>
  <c r="X1374" i="24" s="1"/>
  <c r="AD1374" i="24" s="1"/>
  <c r="AF1374" i="24" s="1"/>
  <c r="W1369" i="24"/>
  <c r="X1369" i="24" s="1"/>
  <c r="AD1369" i="24" s="1"/>
  <c r="AF1369" i="24" s="1"/>
  <c r="W1364" i="24"/>
  <c r="X1364" i="24" s="1"/>
  <c r="AD1364" i="24" s="1"/>
  <c r="AF1364" i="24" s="1"/>
  <c r="W1359" i="24"/>
  <c r="X1359" i="24" s="1"/>
  <c r="AD1359" i="24" s="1"/>
  <c r="AF1359" i="24" s="1"/>
  <c r="W1352" i="24"/>
  <c r="X1352" i="24" s="1"/>
  <c r="AD1352" i="24" s="1"/>
  <c r="AF1352" i="24" s="1"/>
  <c r="W1347" i="24"/>
  <c r="X1347" i="24" s="1"/>
  <c r="AD1347" i="24" s="1"/>
  <c r="AF1347" i="24" s="1"/>
  <c r="W1342" i="24"/>
  <c r="X1342" i="24" s="1"/>
  <c r="AD1342" i="24" s="1"/>
  <c r="AF1342" i="24" s="1"/>
  <c r="W1330" i="24"/>
  <c r="X1330" i="24" s="1"/>
  <c r="AD1330" i="24" s="1"/>
  <c r="AF1330" i="24" s="1"/>
  <c r="W1325" i="24"/>
  <c r="X1325" i="24" s="1"/>
  <c r="AD1325" i="24" s="1"/>
  <c r="AF1325" i="24" s="1"/>
  <c r="W1322" i="24"/>
  <c r="X1322" i="24" s="1"/>
  <c r="AD1322" i="24" s="1"/>
  <c r="AF1322" i="24" s="1"/>
  <c r="W1318" i="24"/>
  <c r="X1318" i="24" s="1"/>
  <c r="AD1318" i="24" s="1"/>
  <c r="AF1318" i="24" s="1"/>
  <c r="W1313" i="24"/>
  <c r="X1313" i="24" s="1"/>
  <c r="AD1313" i="24" s="1"/>
  <c r="AF1313" i="24" s="1"/>
  <c r="W1308" i="24"/>
  <c r="X1308" i="24" s="1"/>
  <c r="AD1308" i="24" s="1"/>
  <c r="AF1308" i="24" s="1"/>
  <c r="AP1308" i="24" s="1"/>
  <c r="W1302" i="24"/>
  <c r="X1302" i="24" s="1"/>
  <c r="AD1302" i="24" s="1"/>
  <c r="AF1302" i="24" s="1"/>
  <c r="W1297" i="24"/>
  <c r="X1297" i="24" s="1"/>
  <c r="AD1297" i="24" s="1"/>
  <c r="AF1297" i="24" s="1"/>
  <c r="W1285" i="24"/>
  <c r="X1285" i="24" s="1"/>
  <c r="AD1285" i="24" s="1"/>
  <c r="AF1285" i="24" s="1"/>
  <c r="W1280" i="24"/>
  <c r="X1280" i="24" s="1"/>
  <c r="AD1280" i="24" s="1"/>
  <c r="AF1280" i="24" s="1"/>
  <c r="W1272" i="24"/>
  <c r="X1272" i="24" s="1"/>
  <c r="AD1272" i="24" s="1"/>
  <c r="AF1272" i="24" s="1"/>
  <c r="W1267" i="24"/>
  <c r="X1267" i="24" s="1"/>
  <c r="AD1267" i="24" s="1"/>
  <c r="AF1267" i="24" s="1"/>
  <c r="W1260" i="24"/>
  <c r="X1260" i="24" s="1"/>
  <c r="AD1260" i="24" s="1"/>
  <c r="AF1260" i="24" s="1"/>
  <c r="AP1260" i="24" s="1"/>
  <c r="W1252" i="24"/>
  <c r="X1252" i="24" s="1"/>
  <c r="AD1252" i="24" s="1"/>
  <c r="AF1252" i="24" s="1"/>
  <c r="W1248" i="24"/>
  <c r="X1248" i="24" s="1"/>
  <c r="AD1248" i="24" s="1"/>
  <c r="AF1248" i="24" s="1"/>
  <c r="W1243" i="24"/>
  <c r="X1243" i="24" s="1"/>
  <c r="AD1243" i="24" s="1"/>
  <c r="AF1243" i="24" s="1"/>
  <c r="W1237" i="24"/>
  <c r="X1237" i="24" s="1"/>
  <c r="AD1237" i="24" s="1"/>
  <c r="AF1237" i="24" s="1"/>
  <c r="W1229" i="24"/>
  <c r="X1229" i="24" s="1"/>
  <c r="AD1229" i="24" s="1"/>
  <c r="AF1229" i="24" s="1"/>
  <c r="W1224" i="24"/>
  <c r="X1224" i="24" s="1"/>
  <c r="AD1224" i="24" s="1"/>
  <c r="AF1224" i="24" s="1"/>
  <c r="W1219" i="24"/>
  <c r="X1219" i="24" s="1"/>
  <c r="AD1219" i="24" s="1"/>
  <c r="AF1219" i="24" s="1"/>
  <c r="W1216" i="24"/>
  <c r="X1216" i="24" s="1"/>
  <c r="AD1216" i="24" s="1"/>
  <c r="AF1216" i="24" s="1"/>
  <c r="W1213" i="24"/>
  <c r="X1213" i="24" s="1"/>
  <c r="AD1213" i="24" s="1"/>
  <c r="AF1213" i="24" s="1"/>
  <c r="W1209" i="24"/>
  <c r="X1209" i="24" s="1"/>
  <c r="AD1209" i="24" s="1"/>
  <c r="AF1209" i="24" s="1"/>
  <c r="AP1209" i="24" s="1"/>
  <c r="W1205" i="24"/>
  <c r="X1205" i="24" s="1"/>
  <c r="AD1205" i="24" s="1"/>
  <c r="AF1205" i="24" s="1"/>
  <c r="W1196" i="24"/>
  <c r="X1196" i="24" s="1"/>
  <c r="AD1196" i="24" s="1"/>
  <c r="AF1196" i="24" s="1"/>
  <c r="W1191" i="24"/>
  <c r="X1191" i="24" s="1"/>
  <c r="AD1191" i="24" s="1"/>
  <c r="AF1191" i="24" s="1"/>
  <c r="W1184" i="24"/>
  <c r="X1184" i="24" s="1"/>
  <c r="AD1184" i="24" s="1"/>
  <c r="AF1184" i="24" s="1"/>
  <c r="W1181" i="24"/>
  <c r="X1181" i="24" s="1"/>
  <c r="AD1181" i="24" s="1"/>
  <c r="AF1181" i="24" s="1"/>
  <c r="AP1181" i="24" s="1"/>
  <c r="W1173" i="24"/>
  <c r="X1173" i="24" s="1"/>
  <c r="AD1173" i="24" s="1"/>
  <c r="AF1173" i="24" s="1"/>
  <c r="W1170" i="24"/>
  <c r="X1170" i="24" s="1"/>
  <c r="AD1170" i="24" s="1"/>
  <c r="AF1170" i="24" s="1"/>
  <c r="AP1170" i="24" s="1"/>
  <c r="W1164" i="24"/>
  <c r="X1164" i="24" s="1"/>
  <c r="AD1164" i="24" s="1"/>
  <c r="AF1164" i="24" s="1"/>
  <c r="W1160" i="24"/>
  <c r="X1160" i="24" s="1"/>
  <c r="AD1160" i="24" s="1"/>
  <c r="AF1160" i="24" s="1"/>
  <c r="W1149" i="24"/>
  <c r="X1149" i="24" s="1"/>
  <c r="AD1149" i="24" s="1"/>
  <c r="AF1149" i="24" s="1"/>
  <c r="W1137" i="24"/>
  <c r="X1137" i="24" s="1"/>
  <c r="AD1137" i="24" s="1"/>
  <c r="AF1137" i="24" s="1"/>
  <c r="AP1137" i="24" s="1"/>
  <c r="W1132" i="24"/>
  <c r="X1132" i="24" s="1"/>
  <c r="AD1132" i="24" s="1"/>
  <c r="AF1132" i="24" s="1"/>
  <c r="W1127" i="24"/>
  <c r="X1127" i="24" s="1"/>
  <c r="AD1127" i="24" s="1"/>
  <c r="AF1127" i="24" s="1"/>
  <c r="W1124" i="24"/>
  <c r="X1124" i="24" s="1"/>
  <c r="AD1124" i="24" s="1"/>
  <c r="AF1124" i="24" s="1"/>
  <c r="W1118" i="24"/>
  <c r="X1118" i="24" s="1"/>
  <c r="AD1118" i="24" s="1"/>
  <c r="AF1118" i="24" s="1"/>
  <c r="AP1118" i="24" s="1"/>
  <c r="W1115" i="24"/>
  <c r="X1115" i="24" s="1"/>
  <c r="AD1115" i="24" s="1"/>
  <c r="AF1115" i="24" s="1"/>
  <c r="W1104" i="24"/>
  <c r="X1104" i="24" s="1"/>
  <c r="AD1104" i="24" s="1"/>
  <c r="AF1104" i="24" s="1"/>
  <c r="W1097" i="24"/>
  <c r="X1097" i="24" s="1"/>
  <c r="AD1097" i="24" s="1"/>
  <c r="AF1097" i="24" s="1"/>
  <c r="W1094" i="24"/>
  <c r="X1094" i="24" s="1"/>
  <c r="AD1094" i="24" s="1"/>
  <c r="AF1094" i="24" s="1"/>
  <c r="W1090" i="24"/>
  <c r="X1090" i="24" s="1"/>
  <c r="AD1090" i="24" s="1"/>
  <c r="AF1090" i="24" s="1"/>
  <c r="W1085" i="24"/>
  <c r="X1085" i="24" s="1"/>
  <c r="AD1085" i="24" s="1"/>
  <c r="AF1085" i="24" s="1"/>
  <c r="W1081" i="24"/>
  <c r="X1081" i="24" s="1"/>
  <c r="AD1081" i="24" s="1"/>
  <c r="AF1081" i="24" s="1"/>
  <c r="W1077" i="24"/>
  <c r="X1077" i="24" s="1"/>
  <c r="AD1077" i="24" s="1"/>
  <c r="AF1077" i="24" s="1"/>
  <c r="W1072" i="24"/>
  <c r="X1072" i="24" s="1"/>
  <c r="AD1072" i="24" s="1"/>
  <c r="AF1072" i="24" s="1"/>
  <c r="W1067" i="24"/>
  <c r="X1067" i="24" s="1"/>
  <c r="AD1067" i="24" s="1"/>
  <c r="AF1067" i="24" s="1"/>
  <c r="W1062" i="24"/>
  <c r="X1062" i="24" s="1"/>
  <c r="AD1062" i="24" s="1"/>
  <c r="AF1062" i="24" s="1"/>
  <c r="W1057" i="24"/>
  <c r="X1057" i="24" s="1"/>
  <c r="AD1057" i="24" s="1"/>
  <c r="AF1057" i="24" s="1"/>
  <c r="W1052" i="24"/>
  <c r="X1052" i="24" s="1"/>
  <c r="AD1052" i="24" s="1"/>
  <c r="AF1052" i="24" s="1"/>
  <c r="W1047" i="24"/>
  <c r="X1047" i="24" s="1"/>
  <c r="AD1047" i="24" s="1"/>
  <c r="AF1047" i="24" s="1"/>
  <c r="W1042" i="24"/>
  <c r="X1042" i="24" s="1"/>
  <c r="AD1042" i="24" s="1"/>
  <c r="AF1042" i="24" s="1"/>
  <c r="W1037" i="24"/>
  <c r="X1037" i="24" s="1"/>
  <c r="AD1037" i="24" s="1"/>
  <c r="AF1037" i="24" s="1"/>
  <c r="W1032" i="24"/>
  <c r="X1032" i="24" s="1"/>
  <c r="AD1032" i="24" s="1"/>
  <c r="AF1032" i="24" s="1"/>
  <c r="W1027" i="24"/>
  <c r="X1027" i="24" s="1"/>
  <c r="AD1027" i="24" s="1"/>
  <c r="AF1027" i="24" s="1"/>
  <c r="W1019" i="24"/>
  <c r="X1019" i="24" s="1"/>
  <c r="AD1019" i="24" s="1"/>
  <c r="AF1019" i="24" s="1"/>
  <c r="W1013" i="24"/>
  <c r="X1013" i="24" s="1"/>
  <c r="AD1013" i="24" s="1"/>
  <c r="AF1013" i="24" s="1"/>
  <c r="W1008" i="24"/>
  <c r="X1008" i="24" s="1"/>
  <c r="AD1008" i="24" s="1"/>
  <c r="AF1008" i="24" s="1"/>
  <c r="W1003" i="24"/>
  <c r="X1003" i="24" s="1"/>
  <c r="AD1003" i="24" s="1"/>
  <c r="AF1003" i="24" s="1"/>
  <c r="W995" i="24"/>
  <c r="X995" i="24" s="1"/>
  <c r="AD995" i="24" s="1"/>
  <c r="AF995" i="24" s="1"/>
  <c r="W988" i="24"/>
  <c r="X988" i="24" s="1"/>
  <c r="AD988" i="24" s="1"/>
  <c r="AF988" i="24" s="1"/>
  <c r="AP988" i="24" s="1"/>
  <c r="W983" i="24"/>
  <c r="X983" i="24" s="1"/>
  <c r="AD983" i="24" s="1"/>
  <c r="AF983" i="24" s="1"/>
  <c r="W978" i="24"/>
  <c r="X978" i="24" s="1"/>
  <c r="AD978" i="24" s="1"/>
  <c r="AF978" i="24" s="1"/>
  <c r="W946" i="24"/>
  <c r="X946" i="24" s="1"/>
  <c r="AD946" i="24" s="1"/>
  <c r="AF946" i="24" s="1"/>
  <c r="W935" i="24"/>
  <c r="X935" i="24" s="1"/>
  <c r="AD935" i="24" s="1"/>
  <c r="AF935" i="24" s="1"/>
  <c r="W938" i="24"/>
  <c r="X938" i="24" s="1"/>
  <c r="AD938" i="24" s="1"/>
  <c r="AF938" i="24" s="1"/>
  <c r="W356" i="24"/>
  <c r="X356" i="24" s="1"/>
  <c r="AD356" i="24" s="1"/>
  <c r="AF356" i="24" s="1"/>
  <c r="W373" i="24"/>
  <c r="X373" i="24" s="1"/>
  <c r="AD373" i="24" s="1"/>
  <c r="AF373" i="24" s="1"/>
  <c r="W366" i="24"/>
  <c r="X366" i="24" s="1"/>
  <c r="AD366" i="24" s="1"/>
  <c r="AF366" i="24" s="1"/>
  <c r="W219" i="24"/>
  <c r="X219" i="24" s="1"/>
  <c r="AD219" i="24" s="1"/>
  <c r="AF219" i="24" s="1"/>
  <c r="W967" i="24"/>
  <c r="X967" i="24" s="1"/>
  <c r="AD967" i="24" s="1"/>
  <c r="AF967" i="24" s="1"/>
  <c r="W957" i="24"/>
  <c r="X957" i="24" s="1"/>
  <c r="AD957" i="24" s="1"/>
  <c r="AF957" i="24" s="1"/>
  <c r="W797" i="24"/>
  <c r="X797" i="24" s="1"/>
  <c r="AD797" i="24" s="1"/>
  <c r="AF797" i="24" s="1"/>
  <c r="W771" i="24"/>
  <c r="X771" i="24" s="1"/>
  <c r="AD771" i="24" s="1"/>
  <c r="AF771" i="24" s="1"/>
  <c r="W517" i="24"/>
  <c r="X517" i="24" s="1"/>
  <c r="AD517" i="24" s="1"/>
  <c r="AF517" i="24" s="1"/>
  <c r="W232" i="24"/>
  <c r="X232" i="24" s="1"/>
  <c r="AD232" i="24" s="1"/>
  <c r="AF232" i="24" s="1"/>
  <c r="W417" i="24"/>
  <c r="X417" i="24" s="1"/>
  <c r="AD417" i="24" s="1"/>
  <c r="AF417" i="24" s="1"/>
  <c r="W303" i="24"/>
  <c r="X303" i="24" s="1"/>
  <c r="AD303" i="24" s="1"/>
  <c r="AF303" i="24" s="1"/>
  <c r="W72" i="24"/>
  <c r="X72" i="24" s="1"/>
  <c r="AD72" i="24" s="1"/>
  <c r="AF72" i="24" s="1"/>
  <c r="W877" i="24"/>
  <c r="X877" i="24" s="1"/>
  <c r="AD877" i="24" s="1"/>
  <c r="AF877" i="24" s="1"/>
  <c r="W183" i="24"/>
  <c r="X183" i="24" s="1"/>
  <c r="AD183" i="24" s="1"/>
  <c r="AF183" i="24" s="1"/>
  <c r="W313" i="24"/>
  <c r="X313" i="24" s="1"/>
  <c r="AD313" i="24" s="1"/>
  <c r="AF313" i="24" s="1"/>
  <c r="W807" i="24"/>
  <c r="X807" i="24" s="1"/>
  <c r="AD807" i="24" s="1"/>
  <c r="AF807" i="24" s="1"/>
  <c r="W350" i="24"/>
  <c r="X350" i="24" s="1"/>
  <c r="AD350" i="24" s="1"/>
  <c r="AF350" i="24" s="1"/>
  <c r="W615" i="24"/>
  <c r="X615" i="24" s="1"/>
  <c r="AD615" i="24" s="1"/>
  <c r="AF615" i="24" s="1"/>
  <c r="W522" i="24"/>
  <c r="X522" i="24" s="1"/>
  <c r="AD522" i="24" s="1"/>
  <c r="AF522" i="24" s="1"/>
  <c r="W407" i="24"/>
  <c r="X407" i="24" s="1"/>
  <c r="AD407" i="24" s="1"/>
  <c r="AF407" i="24" s="1"/>
  <c r="W331" i="24"/>
  <c r="X331" i="24" s="1"/>
  <c r="AD331" i="24" s="1"/>
  <c r="AF331" i="24" s="1"/>
  <c r="AO533" i="24"/>
  <c r="AR533" i="24" s="1"/>
  <c r="AO394" i="24"/>
  <c r="AR394" i="24" s="1"/>
  <c r="AO290" i="24"/>
  <c r="Q10" i="13"/>
  <c r="Q12" i="13" s="1"/>
  <c r="AO851" i="24"/>
  <c r="AR851" i="24" s="1"/>
  <c r="AO212" i="24"/>
  <c r="AO207" i="24"/>
  <c r="AO804" i="24"/>
  <c r="AR804" i="24" s="1"/>
  <c r="AO466" i="24"/>
  <c r="AO896" i="24"/>
  <c r="AR896" i="24" s="1"/>
  <c r="AO279" i="24"/>
  <c r="AO768" i="24"/>
  <c r="AR768" i="24" s="1"/>
  <c r="AO735" i="24"/>
  <c r="AO112" i="24"/>
  <c r="AO612" i="24"/>
  <c r="AR612" i="24" s="1"/>
  <c r="AO745" i="24"/>
  <c r="AO726" i="24"/>
  <c r="AR726" i="24" s="1"/>
  <c r="AO169" i="24"/>
  <c r="AR169" i="24" s="1"/>
  <c r="AO815" i="24"/>
  <c r="AO833" i="24"/>
  <c r="AR833" i="24" s="1"/>
  <c r="AO860" i="24"/>
  <c r="T13" i="18"/>
  <c r="AO856" i="24"/>
  <c r="AR856" i="24" s="1"/>
  <c r="AO904" i="24"/>
  <c r="AO828" i="24"/>
  <c r="AO740" i="24"/>
  <c r="AO836" i="24"/>
  <c r="AR836" i="24" s="1"/>
  <c r="AO121" i="24"/>
  <c r="AO292" i="24"/>
  <c r="AO114" i="24"/>
  <c r="AR114" i="24" s="1"/>
  <c r="AO799" i="24"/>
  <c r="AR799" i="24" s="1"/>
  <c r="AO876" i="24"/>
  <c r="AO110" i="24"/>
  <c r="AO120" i="24"/>
  <c r="AR120" i="24" s="1"/>
  <c r="AO210" i="24"/>
  <c r="AR210" i="24" s="1"/>
  <c r="AO348" i="24"/>
  <c r="AR348" i="24" s="1"/>
  <c r="AO293" i="24"/>
  <c r="AR293" i="24" s="1"/>
  <c r="AO476" i="24"/>
  <c r="AO113" i="24"/>
  <c r="AO474" i="24"/>
  <c r="AO289" i="24"/>
  <c r="AO777" i="24"/>
  <c r="AR47" i="24"/>
  <c r="AO865" i="24"/>
  <c r="AO882" i="24"/>
  <c r="AR882" i="24" s="1"/>
  <c r="AO470" i="24"/>
  <c r="AO204" i="24"/>
  <c r="AR204" i="24" s="1"/>
  <c r="AO288" i="24"/>
  <c r="AR288" i="24" s="1"/>
  <c r="AO283" i="24"/>
  <c r="AR283" i="24" s="1"/>
  <c r="AO579" i="24"/>
  <c r="AR579" i="24" s="1"/>
  <c r="AO119" i="24"/>
  <c r="AO393" i="24"/>
  <c r="AR126" i="24"/>
  <c r="AO389" i="24"/>
  <c r="AO211" i="24"/>
  <c r="AO346" i="24"/>
  <c r="AO468" i="24"/>
  <c r="AO398" i="24"/>
  <c r="AR398" i="24" s="1"/>
  <c r="AO388" i="24"/>
  <c r="AO472" i="24"/>
  <c r="AR472" i="24" s="1"/>
  <c r="AO18" i="24"/>
  <c r="AR18" i="24" s="1"/>
  <c r="AO575" i="24"/>
  <c r="AR575" i="24" s="1"/>
  <c r="AR546" i="24"/>
  <c r="AO580" i="24"/>
  <c r="AO205" i="24"/>
  <c r="AR205" i="24" s="1"/>
  <c r="AO347" i="24"/>
  <c r="AR347" i="24" s="1"/>
  <c r="AO168" i="24"/>
  <c r="AR168" i="24" s="1"/>
  <c r="AO473" i="24"/>
  <c r="AR473" i="24" s="1"/>
  <c r="AO479" i="24"/>
  <c r="AO69" i="24"/>
  <c r="AO397" i="24"/>
  <c r="AR397" i="24" s="1"/>
  <c r="AO115" i="24"/>
  <c r="AO116" i="24"/>
  <c r="AO118" i="24"/>
  <c r="AR118" i="24" s="1"/>
  <c r="AO392" i="24"/>
  <c r="AO294" i="24"/>
  <c r="AR294" i="24" s="1"/>
  <c r="AO287" i="24"/>
  <c r="AO390" i="24"/>
  <c r="AO209" i="24"/>
  <c r="AO280" i="24"/>
  <c r="AO613" i="24"/>
  <c r="AR613" i="24" s="1"/>
  <c r="AR32" i="24"/>
  <c r="AO478" i="24"/>
  <c r="AR478" i="24" s="1"/>
  <c r="AR519" i="24"/>
  <c r="AO576" i="24"/>
  <c r="AR576" i="24" s="1"/>
  <c r="AO532" i="24"/>
  <c r="AR532" i="24" s="1"/>
  <c r="AO111" i="24"/>
  <c r="AR111" i="24" s="1"/>
  <c r="AO572" i="24"/>
  <c r="AR572" i="24" s="1"/>
  <c r="AO171" i="24"/>
  <c r="AR171" i="24" s="1"/>
  <c r="AO122" i="24"/>
  <c r="AR122" i="24" s="1"/>
  <c r="AO285" i="24"/>
  <c r="AO108" i="24"/>
  <c r="AO481" i="24"/>
  <c r="AO756" i="24"/>
  <c r="AR756" i="24" s="1"/>
  <c r="AO924" i="24"/>
  <c r="AR924" i="24" s="1"/>
  <c r="AO930" i="24"/>
  <c r="AO763" i="24"/>
  <c r="AO871" i="24"/>
  <c r="AO890" i="24"/>
  <c r="AR890" i="24" s="1"/>
  <c r="AO909" i="24"/>
  <c r="AO812" i="24"/>
  <c r="AR812" i="24" s="1"/>
  <c r="AO773" i="24"/>
  <c r="AO750" i="24"/>
  <c r="AR750" i="24" s="1"/>
  <c r="AO841" i="24"/>
  <c r="AO846" i="24"/>
  <c r="AR846" i="24" s="1"/>
  <c r="AR71" i="24"/>
  <c r="AR73" i="24"/>
  <c r="AR37" i="24"/>
  <c r="AR88" i="24"/>
  <c r="AR93" i="24"/>
  <c r="AR239" i="24"/>
  <c r="AR141" i="24"/>
  <c r="AR185" i="24"/>
  <c r="AR136" i="24"/>
  <c r="AR83" i="24"/>
  <c r="AR78" i="24"/>
  <c r="AK206" i="24" l="1"/>
  <c r="AL206" i="24"/>
  <c r="AN206" i="24"/>
  <c r="AM206" i="24"/>
  <c r="AP638" i="24"/>
  <c r="AL638" i="24"/>
  <c r="AN638" i="24"/>
  <c r="AM638" i="24"/>
  <c r="AK638" i="24"/>
  <c r="AO638" i="24" s="1"/>
  <c r="AR638" i="24" s="1"/>
  <c r="AK707" i="24"/>
  <c r="AN707" i="24"/>
  <c r="AM707" i="24"/>
  <c r="AL707" i="24"/>
  <c r="AL727" i="24"/>
  <c r="AN727" i="24"/>
  <c r="AM727" i="24"/>
  <c r="AK727" i="24"/>
  <c r="AO727" i="24" s="1"/>
  <c r="AR727" i="24" s="1"/>
  <c r="AN1335" i="24"/>
  <c r="AM1335" i="24"/>
  <c r="AL1335" i="24"/>
  <c r="AK1335" i="24"/>
  <c r="AO1335" i="24" s="1"/>
  <c r="AR1335" i="24" s="1"/>
  <c r="AP914" i="24"/>
  <c r="AK914" i="24"/>
  <c r="AN914" i="24"/>
  <c r="AL914" i="24"/>
  <c r="AM914" i="24"/>
  <c r="AM1066" i="24"/>
  <c r="AL1066" i="24"/>
  <c r="AK1066" i="24"/>
  <c r="AN1066" i="24"/>
  <c r="AP691" i="24"/>
  <c r="AL691" i="24"/>
  <c r="AM691" i="24"/>
  <c r="AK691" i="24"/>
  <c r="AN691" i="24"/>
  <c r="AM1290" i="24"/>
  <c r="AL1290" i="24"/>
  <c r="AK1290" i="24"/>
  <c r="AN1290" i="24"/>
  <c r="AP518" i="24"/>
  <c r="AL518" i="24"/>
  <c r="AN518" i="24"/>
  <c r="AM518" i="24"/>
  <c r="AK518" i="24"/>
  <c r="AN1158" i="24"/>
  <c r="AM1158" i="24"/>
  <c r="AL1158" i="24"/>
  <c r="AK1158" i="24"/>
  <c r="AN424" i="24"/>
  <c r="AP424" i="24"/>
  <c r="AK424" i="24"/>
  <c r="AM424" i="24"/>
  <c r="AL424" i="24"/>
  <c r="AP1421" i="24"/>
  <c r="AN1421" i="24"/>
  <c r="AM1421" i="24"/>
  <c r="AL1421" i="24"/>
  <c r="AK1421" i="24"/>
  <c r="AO1421" i="24" s="1"/>
  <c r="AR1421" i="24" s="1"/>
  <c r="AP832" i="24"/>
  <c r="AK832" i="24"/>
  <c r="AO832" i="24" s="1"/>
  <c r="AM832" i="24"/>
  <c r="AL832" i="24"/>
  <c r="AN832" i="24"/>
  <c r="AK536" i="24"/>
  <c r="AN536" i="24"/>
  <c r="AL536" i="24"/>
  <c r="AM536" i="24"/>
  <c r="AP1437" i="24"/>
  <c r="AN1437" i="24"/>
  <c r="AM1437" i="24"/>
  <c r="AL1437" i="24"/>
  <c r="AK1437" i="24"/>
  <c r="AL759" i="24"/>
  <c r="AK759" i="24"/>
  <c r="AN759" i="24"/>
  <c r="AM759" i="24"/>
  <c r="AN74" i="24"/>
  <c r="AM74" i="24"/>
  <c r="AL74" i="24"/>
  <c r="AK74" i="24"/>
  <c r="AO74" i="24" s="1"/>
  <c r="AP404" i="24"/>
  <c r="AN404" i="24"/>
  <c r="AL404" i="24"/>
  <c r="AM404" i="24"/>
  <c r="AK404" i="24"/>
  <c r="AL673" i="24"/>
  <c r="AM673" i="24"/>
  <c r="AN673" i="24"/>
  <c r="AK673" i="24"/>
  <c r="AN66" i="24"/>
  <c r="AK66" i="24"/>
  <c r="AL66" i="24"/>
  <c r="AM66" i="24"/>
  <c r="AN1143" i="24"/>
  <c r="AM1143" i="24"/>
  <c r="AL1143" i="24"/>
  <c r="AK1143" i="24"/>
  <c r="AP660" i="24"/>
  <c r="AK660" i="24"/>
  <c r="AM660" i="24"/>
  <c r="AL660" i="24"/>
  <c r="AN660" i="24"/>
  <c r="AN1212" i="24"/>
  <c r="AM1212" i="24"/>
  <c r="AL1212" i="24"/>
  <c r="AK1212" i="24"/>
  <c r="AO1212" i="24" s="1"/>
  <c r="AR1212" i="24" s="1"/>
  <c r="AP318" i="24"/>
  <c r="AM318" i="24"/>
  <c r="AL318" i="24"/>
  <c r="AN318" i="24"/>
  <c r="AK318" i="24"/>
  <c r="AL1154" i="24"/>
  <c r="AK1154" i="24"/>
  <c r="AN1154" i="24"/>
  <c r="AM1154" i="24"/>
  <c r="AL875" i="24"/>
  <c r="AM875" i="24"/>
  <c r="AN875" i="24"/>
  <c r="AK875" i="24"/>
  <c r="AO875" i="24" s="1"/>
  <c r="AR875" i="24" s="1"/>
  <c r="AN1236" i="24"/>
  <c r="AM1236" i="24"/>
  <c r="AL1236" i="24"/>
  <c r="AK1236" i="24"/>
  <c r="AP723" i="24"/>
  <c r="AL723" i="24"/>
  <c r="AN723" i="24"/>
  <c r="AK723" i="24"/>
  <c r="AM723" i="24"/>
  <c r="AN1478" i="24"/>
  <c r="AM1478" i="24"/>
  <c r="AL1478" i="24"/>
  <c r="AK1478" i="24"/>
  <c r="AM559" i="24"/>
  <c r="AN559" i="24"/>
  <c r="AK559" i="24"/>
  <c r="AL559" i="24"/>
  <c r="AP1199" i="24"/>
  <c r="AN1199" i="24"/>
  <c r="AM1199" i="24"/>
  <c r="AL1199" i="24"/>
  <c r="AK1199" i="24"/>
  <c r="AO1199" i="24" s="1"/>
  <c r="AR1199" i="24" s="1"/>
  <c r="AN1126" i="24"/>
  <c r="AM1126" i="24"/>
  <c r="AL1126" i="24"/>
  <c r="AK1126" i="24"/>
  <c r="AK780" i="24"/>
  <c r="AN780" i="24"/>
  <c r="AL780" i="24"/>
  <c r="AM780" i="24"/>
  <c r="AN574" i="24"/>
  <c r="AM574" i="24"/>
  <c r="AK574" i="24"/>
  <c r="AL574" i="24"/>
  <c r="AP663" i="24"/>
  <c r="AK663" i="24"/>
  <c r="AL663" i="24"/>
  <c r="AN663" i="24"/>
  <c r="AM663" i="24"/>
  <c r="AN1230" i="24"/>
  <c r="AM1230" i="24"/>
  <c r="AL1230" i="24"/>
  <c r="AK1230" i="24"/>
  <c r="AK769" i="24"/>
  <c r="AL769" i="24"/>
  <c r="AN769" i="24"/>
  <c r="AM769" i="24"/>
  <c r="AN1245" i="24"/>
  <c r="AM1245" i="24"/>
  <c r="AL1245" i="24"/>
  <c r="AK1245" i="24"/>
  <c r="AP336" i="24"/>
  <c r="AL336" i="24"/>
  <c r="AM336" i="24"/>
  <c r="AK336" i="24"/>
  <c r="AN336" i="24"/>
  <c r="AL1528" i="24"/>
  <c r="AK1528" i="24"/>
  <c r="AM1528" i="24"/>
  <c r="AN1528" i="24"/>
  <c r="AN795" i="24"/>
  <c r="AL795" i="24"/>
  <c r="AM795" i="24"/>
  <c r="AK795" i="24"/>
  <c r="AN837" i="24"/>
  <c r="AM837" i="24"/>
  <c r="AK837" i="24"/>
  <c r="AL837" i="24"/>
  <c r="AM51" i="24"/>
  <c r="AK51" i="24"/>
  <c r="AL51" i="24"/>
  <c r="AN51" i="24"/>
  <c r="AP51" i="24"/>
  <c r="AL1301" i="24"/>
  <c r="AK1301" i="24"/>
  <c r="AN1301" i="24"/>
  <c r="AM1301" i="24"/>
  <c r="AP400" i="24"/>
  <c r="AN400" i="24"/>
  <c r="AL400" i="24"/>
  <c r="AM400" i="24"/>
  <c r="AK400" i="24"/>
  <c r="AO400" i="24" s="1"/>
  <c r="AN1370" i="24"/>
  <c r="AM1370" i="24"/>
  <c r="AL1370" i="24"/>
  <c r="AK1370" i="24"/>
  <c r="AM512" i="24"/>
  <c r="AK512" i="24"/>
  <c r="AL512" i="24"/>
  <c r="AN512" i="24"/>
  <c r="AK419" i="24"/>
  <c r="AM419" i="24"/>
  <c r="AL419" i="24"/>
  <c r="AN419" i="24"/>
  <c r="AP419" i="24"/>
  <c r="AN1190" i="24"/>
  <c r="AM1190" i="24"/>
  <c r="AL1190" i="24"/>
  <c r="AK1190" i="24"/>
  <c r="AM434" i="24"/>
  <c r="AN434" i="24"/>
  <c r="AK434" i="24"/>
  <c r="AO434" i="24" s="1"/>
  <c r="AR434" i="24" s="1"/>
  <c r="AP434" i="24"/>
  <c r="AL434" i="24"/>
  <c r="AN34" i="24"/>
  <c r="AM34" i="24"/>
  <c r="AK34" i="24"/>
  <c r="AL34" i="24"/>
  <c r="AP566" i="24"/>
  <c r="AN566" i="24"/>
  <c r="AM566" i="24"/>
  <c r="AL566" i="24"/>
  <c r="AK566" i="24"/>
  <c r="AK549" i="24"/>
  <c r="AN549" i="24"/>
  <c r="AL549" i="24"/>
  <c r="AM549" i="24"/>
  <c r="AN333" i="24"/>
  <c r="AK333" i="24"/>
  <c r="AL333" i="24"/>
  <c r="AM333" i="24"/>
  <c r="AN1459" i="24"/>
  <c r="AM1459" i="24"/>
  <c r="AL1459" i="24"/>
  <c r="AK1459" i="24"/>
  <c r="AP523" i="24"/>
  <c r="AN523" i="24"/>
  <c r="AL523" i="24"/>
  <c r="AK523" i="24"/>
  <c r="AM523" i="24"/>
  <c r="AM866" i="24"/>
  <c r="AK866" i="24"/>
  <c r="AP866" i="24"/>
  <c r="AN866" i="24"/>
  <c r="AL866" i="24"/>
  <c r="AP100" i="24"/>
  <c r="AK100" i="24"/>
  <c r="AL100" i="24"/>
  <c r="AM100" i="24"/>
  <c r="AN100" i="24"/>
  <c r="AM1109" i="24"/>
  <c r="AL1109" i="24"/>
  <c r="AK1109" i="24"/>
  <c r="AN1109" i="24"/>
  <c r="AN439" i="24"/>
  <c r="AK439" i="24"/>
  <c r="AL439" i="24"/>
  <c r="AP439" i="24"/>
  <c r="AM439" i="24"/>
  <c r="AP1306" i="24"/>
  <c r="AN1306" i="24"/>
  <c r="AM1306" i="24"/>
  <c r="AL1306" i="24"/>
  <c r="AK1306" i="24"/>
  <c r="AN583" i="24"/>
  <c r="AL583" i="24"/>
  <c r="AM583" i="24"/>
  <c r="AK583" i="24"/>
  <c r="AN1509" i="24"/>
  <c r="AM1509" i="24"/>
  <c r="AL1509" i="24"/>
  <c r="AK1509" i="24"/>
  <c r="AN955" i="24"/>
  <c r="AM955" i="24"/>
  <c r="AL955" i="24"/>
  <c r="AK955" i="24"/>
  <c r="AK732" i="24"/>
  <c r="AN732" i="24"/>
  <c r="AL732" i="24"/>
  <c r="AM732" i="24"/>
  <c r="AN1465" i="24"/>
  <c r="AM1465" i="24"/>
  <c r="AL1465" i="24"/>
  <c r="AK1465" i="24"/>
  <c r="AN1340" i="24"/>
  <c r="AM1340" i="24"/>
  <c r="AL1340" i="24"/>
  <c r="AK1340" i="24"/>
  <c r="AP109" i="24"/>
  <c r="AM109" i="24"/>
  <c r="AN109" i="24"/>
  <c r="AK109" i="24"/>
  <c r="AL109" i="24"/>
  <c r="AN643" i="24"/>
  <c r="AK643" i="24"/>
  <c r="AL643" i="24"/>
  <c r="AM643" i="24"/>
  <c r="AN1185" i="24"/>
  <c r="AM1185" i="24"/>
  <c r="AL1185" i="24"/>
  <c r="AK1185" i="24"/>
  <c r="AK616" i="24"/>
  <c r="AL616" i="24"/>
  <c r="AN616" i="24"/>
  <c r="AM616" i="24"/>
  <c r="AN1061" i="24"/>
  <c r="AM1061" i="24"/>
  <c r="AL1061" i="24"/>
  <c r="AK1061" i="24"/>
  <c r="AK817" i="24"/>
  <c r="AL817" i="24"/>
  <c r="AM817" i="24"/>
  <c r="AN817" i="24"/>
  <c r="AP278" i="24"/>
  <c r="AL278" i="24"/>
  <c r="AN278" i="24"/>
  <c r="AK278" i="24"/>
  <c r="AM278" i="24"/>
  <c r="AL895" i="24"/>
  <c r="AN895" i="24"/>
  <c r="AM895" i="24"/>
  <c r="AK895" i="24"/>
  <c r="AN1315" i="24"/>
  <c r="AM1315" i="24"/>
  <c r="AL1315" i="24"/>
  <c r="AK1315" i="24"/>
  <c r="AN361" i="24"/>
  <c r="AM361" i="24"/>
  <c r="AK361" i="24"/>
  <c r="AL361" i="24"/>
  <c r="AP1014" i="24"/>
  <c r="AN1014" i="24"/>
  <c r="AM1014" i="24"/>
  <c r="AL1014" i="24"/>
  <c r="AK1014" i="24"/>
  <c r="AN606" i="24"/>
  <c r="AP606" i="24"/>
  <c r="AM606" i="24"/>
  <c r="AL606" i="24"/>
  <c r="AK606" i="24"/>
  <c r="AN1222" i="24"/>
  <c r="AM1222" i="24"/>
  <c r="AL1222" i="24"/>
  <c r="AK1222" i="24"/>
  <c r="AN1278" i="24"/>
  <c r="AM1278" i="24"/>
  <c r="AL1278" i="24"/>
  <c r="AK1278" i="24"/>
  <c r="AK751" i="24"/>
  <c r="AM751" i="24"/>
  <c r="AN751" i="24"/>
  <c r="AL751" i="24"/>
  <c r="AN827" i="24"/>
  <c r="AL827" i="24"/>
  <c r="AM827" i="24"/>
  <c r="AK827" i="24"/>
  <c r="AL1098" i="24"/>
  <c r="AK1098" i="24"/>
  <c r="AN1098" i="24"/>
  <c r="AM1098" i="24"/>
  <c r="AN467" i="24"/>
  <c r="AL467" i="24"/>
  <c r="AM467" i="24"/>
  <c r="AK467" i="24"/>
  <c r="AK477" i="24"/>
  <c r="AM477" i="24"/>
  <c r="AL477" i="24"/>
  <c r="AN477" i="24"/>
  <c r="AP414" i="24"/>
  <c r="AL414" i="24"/>
  <c r="AM414" i="24"/>
  <c r="AK414" i="24"/>
  <c r="AN414" i="24"/>
  <c r="AN145" i="24"/>
  <c r="AL145" i="24"/>
  <c r="AM145" i="24"/>
  <c r="AK145" i="24"/>
  <c r="AK326" i="24"/>
  <c r="AM326" i="24"/>
  <c r="AN326" i="24"/>
  <c r="AL326" i="24"/>
  <c r="AP1411" i="24"/>
  <c r="AN1411" i="24"/>
  <c r="AM1411" i="24"/>
  <c r="AL1411" i="24"/>
  <c r="AK1411" i="24"/>
  <c r="AM785" i="24"/>
  <c r="AP785" i="24"/>
  <c r="AK785" i="24"/>
  <c r="AN785" i="24"/>
  <c r="AL785" i="24"/>
  <c r="AN195" i="24"/>
  <c r="AM195" i="24"/>
  <c r="AK195" i="24"/>
  <c r="AL195" i="24"/>
  <c r="AM845" i="24"/>
  <c r="AK845" i="24"/>
  <c r="AL845" i="24"/>
  <c r="AN845" i="24"/>
  <c r="AL737" i="24"/>
  <c r="AN737" i="24"/>
  <c r="AK737" i="24"/>
  <c r="AM737" i="24"/>
  <c r="AL965" i="24"/>
  <c r="AK965" i="24"/>
  <c r="AN965" i="24"/>
  <c r="AM965" i="24"/>
  <c r="AN1490" i="24"/>
  <c r="AM1490" i="24"/>
  <c r="AL1490" i="24"/>
  <c r="AK1490" i="24"/>
  <c r="AL92" i="24"/>
  <c r="AM92" i="24"/>
  <c r="AK92" i="24"/>
  <c r="AN92" i="24"/>
  <c r="AN1175" i="24"/>
  <c r="AM1175" i="24"/>
  <c r="AL1175" i="24"/>
  <c r="AK1175" i="24"/>
  <c r="AP1088" i="24"/>
  <c r="AN1088" i="24"/>
  <c r="AM1088" i="24"/>
  <c r="AL1088" i="24"/>
  <c r="AK1088" i="24"/>
  <c r="AP153" i="24"/>
  <c r="AM153" i="24"/>
  <c r="AK153" i="24"/>
  <c r="AN153" i="24"/>
  <c r="AL153" i="24"/>
  <c r="AN870" i="24"/>
  <c r="AM870" i="24"/>
  <c r="AK870" i="24"/>
  <c r="AL870" i="24"/>
  <c r="AP1442" i="24"/>
  <c r="AN1442" i="24"/>
  <c r="AM1442" i="24"/>
  <c r="AL1442" i="24"/>
  <c r="AK1442" i="24"/>
  <c r="AM790" i="24"/>
  <c r="AK790" i="24"/>
  <c r="AN790" i="24"/>
  <c r="AL790" i="24"/>
  <c r="AK917" i="24"/>
  <c r="AL917" i="24"/>
  <c r="AN917" i="24"/>
  <c r="AM917" i="24"/>
  <c r="AM192" i="24"/>
  <c r="AK192" i="24"/>
  <c r="AL192" i="24"/>
  <c r="AP192" i="24"/>
  <c r="AN192" i="24"/>
  <c r="AP502" i="24"/>
  <c r="AN502" i="24"/>
  <c r="AK502" i="24"/>
  <c r="AL502" i="24"/>
  <c r="AM502" i="24"/>
  <c r="AP595" i="24"/>
  <c r="AN595" i="24"/>
  <c r="AK595" i="24"/>
  <c r="AL595" i="24"/>
  <c r="AM595" i="24"/>
  <c r="AN1483" i="24"/>
  <c r="AM1483" i="24"/>
  <c r="AL1483" i="24"/>
  <c r="AK1483" i="24"/>
  <c r="AO1483" i="24" s="1"/>
  <c r="AR1483" i="24" s="1"/>
  <c r="AP621" i="24"/>
  <c r="AM621" i="24"/>
  <c r="AK621" i="24"/>
  <c r="AN621" i="24"/>
  <c r="AL621" i="24"/>
  <c r="AK666" i="24"/>
  <c r="AL666" i="24"/>
  <c r="AN666" i="24"/>
  <c r="AM666" i="24"/>
  <c r="AM850" i="24"/>
  <c r="AL850" i="24"/>
  <c r="AN850" i="24"/>
  <c r="AK850" i="24"/>
  <c r="AL571" i="24"/>
  <c r="AM571" i="24"/>
  <c r="AN571" i="24"/>
  <c r="AK571" i="24"/>
  <c r="AN981" i="24"/>
  <c r="AM981" i="24"/>
  <c r="AK981" i="24"/>
  <c r="AL981" i="24"/>
  <c r="AK459" i="24"/>
  <c r="AP459" i="24"/>
  <c r="AL459" i="24"/>
  <c r="AM459" i="24"/>
  <c r="AN459" i="24"/>
  <c r="AK929" i="24"/>
  <c r="AL929" i="24"/>
  <c r="AM929" i="24"/>
  <c r="AN929" i="24"/>
  <c r="AN1497" i="24"/>
  <c r="AM1497" i="24"/>
  <c r="AL1497" i="24"/>
  <c r="AK1497" i="24"/>
  <c r="AK1178" i="24"/>
  <c r="AN1178" i="24"/>
  <c r="AM1178" i="24"/>
  <c r="AL1178" i="24"/>
  <c r="AK933" i="24"/>
  <c r="AP933" i="24"/>
  <c r="AL933" i="24"/>
  <c r="AM933" i="24"/>
  <c r="AN933" i="24"/>
  <c r="AK378" i="24"/>
  <c r="AN378" i="24"/>
  <c r="AL378" i="24"/>
  <c r="AM378" i="24"/>
  <c r="AN1131" i="24"/>
  <c r="AM1131" i="24"/>
  <c r="AL1131" i="24"/>
  <c r="AK1131" i="24"/>
  <c r="AM578" i="24"/>
  <c r="AL578" i="24"/>
  <c r="AN578" i="24"/>
  <c r="AK578" i="24"/>
  <c r="AK611" i="24"/>
  <c r="AL611" i="24"/>
  <c r="AM611" i="24"/>
  <c r="AN611" i="24"/>
  <c r="AM131" i="24"/>
  <c r="AL131" i="24"/>
  <c r="AK131" i="24"/>
  <c r="AN131" i="24"/>
  <c r="AK900" i="24"/>
  <c r="AL900" i="24"/>
  <c r="AM900" i="24"/>
  <c r="AN900" i="24"/>
  <c r="AK355" i="24"/>
  <c r="AN355" i="24"/>
  <c r="AM355" i="24"/>
  <c r="AL355" i="24"/>
  <c r="AN1362" i="24"/>
  <c r="AM1362" i="24"/>
  <c r="AL1362" i="24"/>
  <c r="AK1362" i="24"/>
  <c r="AM429" i="24"/>
  <c r="AN429" i="24"/>
  <c r="AP429" i="24"/>
  <c r="AL429" i="24"/>
  <c r="AK429" i="24"/>
  <c r="AK822" i="24"/>
  <c r="AL822" i="24"/>
  <c r="AM822" i="24"/>
  <c r="AN822" i="24"/>
  <c r="AL541" i="24"/>
  <c r="AN541" i="24"/>
  <c r="AM541" i="24"/>
  <c r="AK541" i="24"/>
  <c r="AK800" i="24"/>
  <c r="AN800" i="24"/>
  <c r="AM800" i="24"/>
  <c r="AL800" i="24"/>
  <c r="AN986" i="24"/>
  <c r="AM986" i="24"/>
  <c r="AL986" i="24"/>
  <c r="AK986" i="24"/>
  <c r="AO986" i="24" s="1"/>
  <c r="AR986" i="24" s="1"/>
  <c r="AK1167" i="24"/>
  <c r="AN1167" i="24"/>
  <c r="AM1167" i="24"/>
  <c r="AL1167" i="24"/>
  <c r="AN936" i="24"/>
  <c r="AM936" i="24"/>
  <c r="AL936" i="24"/>
  <c r="AK936" i="24"/>
  <c r="AP717" i="24"/>
  <c r="AK717" i="24"/>
  <c r="AM717" i="24"/>
  <c r="AL717" i="24"/>
  <c r="AN717" i="24"/>
  <c r="AN1390" i="24"/>
  <c r="AM1390" i="24"/>
  <c r="AL1390" i="24"/>
  <c r="AK1390" i="24"/>
  <c r="AK213" i="24"/>
  <c r="AN213" i="24"/>
  <c r="AL213" i="24"/>
  <c r="AM213" i="24"/>
  <c r="AK554" i="24"/>
  <c r="AL554" i="24"/>
  <c r="AM554" i="24"/>
  <c r="AN554" i="24"/>
  <c r="AP396" i="24"/>
  <c r="AN396" i="24"/>
  <c r="AM396" i="24"/>
  <c r="AL396" i="24"/>
  <c r="AK396" i="24"/>
  <c r="AK170" i="24"/>
  <c r="AL170" i="24"/>
  <c r="AM170" i="24"/>
  <c r="AN170" i="24"/>
  <c r="AL712" i="24"/>
  <c r="AK712" i="24"/>
  <c r="AO712" i="24" s="1"/>
  <c r="AR712" i="24" s="1"/>
  <c r="AN712" i="24"/>
  <c r="AM712" i="24"/>
  <c r="AP42" i="24"/>
  <c r="AN42" i="24"/>
  <c r="AK42" i="24"/>
  <c r="AL42" i="24"/>
  <c r="AM42" i="24"/>
  <c r="AN944" i="24"/>
  <c r="AK944" i="24"/>
  <c r="AL944" i="24"/>
  <c r="AM944" i="24"/>
  <c r="AN842" i="24"/>
  <c r="AK842" i="24"/>
  <c r="AL842" i="24"/>
  <c r="AM842" i="24"/>
  <c r="AP1022" i="24"/>
  <c r="AN1022" i="24"/>
  <c r="AM1022" i="24"/>
  <c r="AL1022" i="24"/>
  <c r="AK1022" i="24"/>
  <c r="AM482" i="24"/>
  <c r="AK482" i="24"/>
  <c r="AL482" i="24"/>
  <c r="AN482" i="24"/>
  <c r="AP449" i="24"/>
  <c r="AL449" i="24"/>
  <c r="AM449" i="24"/>
  <c r="AK449" i="24"/>
  <c r="AN449" i="24"/>
  <c r="AK669" i="24"/>
  <c r="AL669" i="24"/>
  <c r="AM669" i="24"/>
  <c r="AN669" i="24"/>
  <c r="AM1207" i="24"/>
  <c r="AL1207" i="24"/>
  <c r="AK1207" i="24"/>
  <c r="AO1207" i="24" s="1"/>
  <c r="AR1207" i="24" s="1"/>
  <c r="AN1207" i="24"/>
  <c r="AN1265" i="24"/>
  <c r="AM1265" i="24"/>
  <c r="AL1265" i="24"/>
  <c r="AK1265" i="24"/>
  <c r="AN976" i="24"/>
  <c r="AM976" i="24"/>
  <c r="AK976" i="24"/>
  <c r="AL976" i="24"/>
  <c r="AN862" i="24"/>
  <c r="AK862" i="24"/>
  <c r="AL862" i="24"/>
  <c r="AM862" i="24"/>
  <c r="AN1516" i="24"/>
  <c r="AM1516" i="24"/>
  <c r="AL1516" i="24"/>
  <c r="AK1516" i="24"/>
  <c r="AM224" i="24"/>
  <c r="AL224" i="24"/>
  <c r="AK224" i="24"/>
  <c r="AN224" i="24"/>
  <c r="AP1416" i="24"/>
  <c r="AN1416" i="24"/>
  <c r="AM1416" i="24"/>
  <c r="AL1416" i="24"/>
  <c r="AK1416" i="24"/>
  <c r="AP471" i="24"/>
  <c r="AN471" i="24"/>
  <c r="AL471" i="24"/>
  <c r="AK471" i="24"/>
  <c r="AM471" i="24"/>
  <c r="AL531" i="24"/>
  <c r="AM531" i="24"/>
  <c r="AN531" i="24"/>
  <c r="AK531" i="24"/>
  <c r="AP340" i="24"/>
  <c r="AL340" i="24"/>
  <c r="AN340" i="24"/>
  <c r="AM340" i="24"/>
  <c r="AK340" i="24"/>
  <c r="AP256" i="24"/>
  <c r="AK256" i="24"/>
  <c r="AL256" i="24"/>
  <c r="AM256" i="24"/>
  <c r="AN256" i="24"/>
  <c r="AP1241" i="24"/>
  <c r="AN1241" i="24"/>
  <c r="AM1241" i="24"/>
  <c r="AL1241" i="24"/>
  <c r="AK1241" i="24"/>
  <c r="AK242" i="24"/>
  <c r="AM242" i="24"/>
  <c r="AL242" i="24"/>
  <c r="AN242" i="24"/>
  <c r="AN1075" i="24"/>
  <c r="AM1075" i="24"/>
  <c r="AL1075" i="24"/>
  <c r="AK1075" i="24"/>
  <c r="AN1079" i="24"/>
  <c r="AM1079" i="24"/>
  <c r="AL1079" i="24"/>
  <c r="AK1079" i="24"/>
  <c r="AM1084" i="24"/>
  <c r="AL1084" i="24"/>
  <c r="AK1084" i="24"/>
  <c r="AN1084" i="24"/>
  <c r="AP296" i="24"/>
  <c r="AM296" i="24"/>
  <c r="AL296" i="24"/>
  <c r="AN296" i="24"/>
  <c r="AK296" i="24"/>
  <c r="AN1311" i="24"/>
  <c r="AM1311" i="24"/>
  <c r="AL1311" i="24"/>
  <c r="AK1311" i="24"/>
  <c r="AN1121" i="24"/>
  <c r="AM1121" i="24"/>
  <c r="AL1121" i="24"/>
  <c r="AK1121" i="24"/>
  <c r="AN993" i="24"/>
  <c r="AM993" i="24"/>
  <c r="AL993" i="24"/>
  <c r="AK993" i="24"/>
  <c r="AP993" i="24"/>
  <c r="AN486" i="24"/>
  <c r="AM486" i="24"/>
  <c r="AL486" i="24"/>
  <c r="AK486" i="24"/>
  <c r="AP231" i="24"/>
  <c r="AM231" i="24"/>
  <c r="AL231" i="24"/>
  <c r="AK231" i="24"/>
  <c r="AN231" i="24"/>
  <c r="AM1434" i="24"/>
  <c r="AL1434" i="24"/>
  <c r="AK1434" i="24"/>
  <c r="AO1434" i="24" s="1"/>
  <c r="AR1434" i="24" s="1"/>
  <c r="AP1434" i="24"/>
  <c r="AN1434" i="24"/>
  <c r="AP998" i="24"/>
  <c r="AN998" i="24"/>
  <c r="AM998" i="24"/>
  <c r="AL998" i="24"/>
  <c r="AK998" i="24"/>
  <c r="AP282" i="24"/>
  <c r="AK282" i="24"/>
  <c r="AN282" i="24"/>
  <c r="AM282" i="24"/>
  <c r="AL282" i="24"/>
  <c r="AP409" i="24"/>
  <c r="AM409" i="24"/>
  <c r="AL409" i="24"/>
  <c r="AK409" i="24"/>
  <c r="AN409" i="24"/>
  <c r="AN507" i="24"/>
  <c r="AL507" i="24"/>
  <c r="AK507" i="24"/>
  <c r="AM507" i="24"/>
  <c r="AL697" i="24"/>
  <c r="AK697" i="24"/>
  <c r="AM697" i="24"/>
  <c r="AN697" i="24"/>
  <c r="AM1345" i="24"/>
  <c r="AL1345" i="24"/>
  <c r="AK1345" i="24"/>
  <c r="AN1345" i="24"/>
  <c r="AN1253" i="24"/>
  <c r="AM1253" i="24"/>
  <c r="AL1253" i="24"/>
  <c r="AK1253" i="24"/>
  <c r="AN1295" i="24"/>
  <c r="AM1295" i="24"/>
  <c r="AL1295" i="24"/>
  <c r="AK1295" i="24"/>
  <c r="AN1071" i="24"/>
  <c r="AM1071" i="24"/>
  <c r="AL1071" i="24"/>
  <c r="AK1071" i="24"/>
  <c r="AM1357" i="24"/>
  <c r="AL1357" i="24"/>
  <c r="AK1357" i="24"/>
  <c r="AN1357" i="24"/>
  <c r="AP764" i="24"/>
  <c r="AN764" i="24"/>
  <c r="AM764" i="24"/>
  <c r="AK764" i="24"/>
  <c r="AL764" i="24"/>
  <c r="AN1367" i="24"/>
  <c r="AM1367" i="24"/>
  <c r="AL1367" i="24"/>
  <c r="AK1367" i="24"/>
  <c r="AP497" i="24"/>
  <c r="AM497" i="24"/>
  <c r="AN497" i="24"/>
  <c r="AK497" i="24"/>
  <c r="AL497" i="24"/>
  <c r="AN1217" i="24"/>
  <c r="AM1217" i="24"/>
  <c r="AL1217" i="24"/>
  <c r="AK1217" i="24"/>
  <c r="AK742" i="24"/>
  <c r="AN742" i="24"/>
  <c r="AL742" i="24"/>
  <c r="AM742" i="24"/>
  <c r="AL444" i="24"/>
  <c r="AM444" i="24"/>
  <c r="AK444" i="24"/>
  <c r="AN444" i="24"/>
  <c r="AP444" i="24"/>
  <c r="AN1091" i="24"/>
  <c r="AM1091" i="24"/>
  <c r="AL1091" i="24"/>
  <c r="AK1091" i="24"/>
  <c r="AK188" i="24"/>
  <c r="AL188" i="24"/>
  <c r="AN188" i="24"/>
  <c r="AM188" i="24"/>
  <c r="AR841" i="24"/>
  <c r="AN123" i="24"/>
  <c r="AK123" i="24"/>
  <c r="AO123" i="24" s="1"/>
  <c r="AR123" i="24" s="1"/>
  <c r="AL123" i="24"/>
  <c r="AM123" i="24"/>
  <c r="AL702" i="24"/>
  <c r="AK702" i="24"/>
  <c r="AM702" i="24"/>
  <c r="AN702" i="24"/>
  <c r="AP633" i="24"/>
  <c r="AK633" i="24"/>
  <c r="AN633" i="24"/>
  <c r="AM633" i="24"/>
  <c r="AL633" i="24"/>
  <c r="AK454" i="24"/>
  <c r="AM454" i="24"/>
  <c r="AP454" i="24"/>
  <c r="AN454" i="24"/>
  <c r="AL454" i="24"/>
  <c r="AL1273" i="24"/>
  <c r="AK1273" i="24"/>
  <c r="AN1273" i="24"/>
  <c r="AM1273" i="24"/>
  <c r="AM655" i="24"/>
  <c r="AN655" i="24"/>
  <c r="AL655" i="24"/>
  <c r="AK655" i="24"/>
  <c r="AN1400" i="24"/>
  <c r="AM1400" i="24"/>
  <c r="AL1400" i="24"/>
  <c r="AK1400" i="24"/>
  <c r="AL371" i="24"/>
  <c r="AK371" i="24"/>
  <c r="AN371" i="24"/>
  <c r="AM371" i="24"/>
  <c r="AN1405" i="24"/>
  <c r="AM1405" i="24"/>
  <c r="AL1405" i="24"/>
  <c r="AK1405" i="24"/>
  <c r="AL462" i="24"/>
  <c r="AK462" i="24"/>
  <c r="AM462" i="24"/>
  <c r="AN462" i="24"/>
  <c r="AN1112" i="24"/>
  <c r="AM1112" i="24"/>
  <c r="AL1112" i="24"/>
  <c r="AK1112" i="24"/>
  <c r="AM805" i="24"/>
  <c r="AN805" i="24"/>
  <c r="AL805" i="24"/>
  <c r="AK805" i="24"/>
  <c r="AN1323" i="24"/>
  <c r="AM1323" i="24"/>
  <c r="AL1323" i="24"/>
  <c r="AK1323" i="24"/>
  <c r="AN910" i="24"/>
  <c r="AK910" i="24"/>
  <c r="AM910" i="24"/>
  <c r="AL910" i="24"/>
  <c r="AK889" i="24"/>
  <c r="AM889" i="24"/>
  <c r="AL889" i="24"/>
  <c r="AN889" i="24"/>
  <c r="AL1203" i="24"/>
  <c r="AK1203" i="24"/>
  <c r="AN1203" i="24"/>
  <c r="AM1203" i="24"/>
  <c r="AP162" i="24"/>
  <c r="AN162" i="24"/>
  <c r="AM162" i="24"/>
  <c r="AL162" i="24"/>
  <c r="AK162" i="24"/>
  <c r="AR393" i="24"/>
  <c r="AR279" i="24"/>
  <c r="AR212" i="24"/>
  <c r="AR284" i="24"/>
  <c r="AR289" i="24"/>
  <c r="AR773" i="24"/>
  <c r="AR871" i="24"/>
  <c r="AR763" i="24"/>
  <c r="AR930" i="24"/>
  <c r="AR481" i="24"/>
  <c r="AR285" i="24"/>
  <c r="AR280" i="24"/>
  <c r="AR209" i="24"/>
  <c r="AR390" i="24"/>
  <c r="AR287" i="24"/>
  <c r="AR392" i="24"/>
  <c r="AR116" i="24"/>
  <c r="AR479" i="24"/>
  <c r="AR74" i="24"/>
  <c r="AR580" i="24"/>
  <c r="AR388" i="24"/>
  <c r="AR468" i="24"/>
  <c r="AR346" i="24"/>
  <c r="AR470" i="24"/>
  <c r="AR865" i="24"/>
  <c r="AR777" i="24"/>
  <c r="AR474" i="24"/>
  <c r="AR113" i="24"/>
  <c r="AR476" i="24"/>
  <c r="AR876" i="24"/>
  <c r="AR292" i="24"/>
  <c r="AR121" i="24"/>
  <c r="AR740" i="24"/>
  <c r="AR828" i="24"/>
  <c r="AR904" i="24"/>
  <c r="AR860" i="24"/>
  <c r="AR815" i="24"/>
  <c r="AR745" i="24"/>
  <c r="AR735" i="24"/>
  <c r="AR466" i="24"/>
  <c r="AR207" i="24"/>
  <c r="AR290" i="24"/>
  <c r="Q17" i="13"/>
  <c r="R17" i="13" s="1"/>
  <c r="T17" i="13" s="1"/>
  <c r="Q16" i="13"/>
  <c r="R16" i="13" s="1"/>
  <c r="T16" i="13" s="1"/>
  <c r="Q15" i="13"/>
  <c r="R15" i="13" s="1"/>
  <c r="T15" i="13" s="1"/>
  <c r="Q14" i="13"/>
  <c r="Q13" i="13"/>
  <c r="R13" i="13" s="1"/>
  <c r="T13" i="13" s="1"/>
  <c r="Q23" i="13"/>
  <c r="R23" i="13" s="1"/>
  <c r="T23" i="13" s="1"/>
  <c r="Q18" i="13"/>
  <c r="Q24" i="13"/>
  <c r="R24" i="13" s="1"/>
  <c r="T24" i="13" s="1"/>
  <c r="Q21" i="13"/>
  <c r="R21" i="13" s="1"/>
  <c r="T21" i="13" s="1"/>
  <c r="Q22" i="13"/>
  <c r="R22" i="13" s="1"/>
  <c r="T22" i="13" s="1"/>
  <c r="Q19" i="13"/>
  <c r="R19" i="13" s="1"/>
  <c r="T19" i="13" s="1"/>
  <c r="Q20" i="13"/>
  <c r="N89" i="18"/>
  <c r="R35" i="13"/>
  <c r="T35" i="13" s="1"/>
  <c r="R31" i="13"/>
  <c r="T31" i="13" s="1"/>
  <c r="AL1538" i="24"/>
  <c r="AN1538" i="24"/>
  <c r="AM1538" i="24"/>
  <c r="AK1538" i="24"/>
  <c r="AL1519" i="24"/>
  <c r="AK1519" i="24"/>
  <c r="AM1519" i="24"/>
  <c r="AN1519" i="24"/>
  <c r="AN1507" i="24"/>
  <c r="AM1507" i="24"/>
  <c r="AL1507" i="24"/>
  <c r="AK1507" i="24"/>
  <c r="AM1526" i="24"/>
  <c r="AN1526" i="24"/>
  <c r="AL1526" i="24"/>
  <c r="AK1526" i="24"/>
  <c r="AN1548" i="24"/>
  <c r="AL1548" i="24"/>
  <c r="AP1548" i="24"/>
  <c r="AM1548" i="24"/>
  <c r="AK1548" i="24"/>
  <c r="AD2011" i="24"/>
  <c r="AR909" i="24"/>
  <c r="AR69" i="24"/>
  <c r="AR211" i="24"/>
  <c r="AR110" i="24"/>
  <c r="AR112" i="24"/>
  <c r="AP331" i="24"/>
  <c r="AM331" i="24"/>
  <c r="AL331" i="24"/>
  <c r="AN331" i="24"/>
  <c r="AK331" i="24"/>
  <c r="AN407" i="24"/>
  <c r="AM407" i="24"/>
  <c r="AK407" i="24"/>
  <c r="AP522" i="24"/>
  <c r="AN522" i="24"/>
  <c r="AL522" i="24"/>
  <c r="AK522" i="24"/>
  <c r="AM522" i="24"/>
  <c r="AM615" i="24"/>
  <c r="AL615" i="24"/>
  <c r="AN615" i="24"/>
  <c r="AK615" i="24"/>
  <c r="AP350" i="24"/>
  <c r="AN350" i="24"/>
  <c r="AM350" i="24"/>
  <c r="AK350" i="24"/>
  <c r="AL350" i="24"/>
  <c r="AM807" i="24"/>
  <c r="AN807" i="24"/>
  <c r="AL807" i="24"/>
  <c r="AK807" i="24"/>
  <c r="AM313" i="24"/>
  <c r="AL313" i="24"/>
  <c r="AK313" i="24"/>
  <c r="AN313" i="24"/>
  <c r="AP183" i="24"/>
  <c r="AK183" i="24"/>
  <c r="AM183" i="24"/>
  <c r="AN183" i="24"/>
  <c r="AL183" i="24"/>
  <c r="AN877" i="24"/>
  <c r="AK877" i="24"/>
  <c r="AL877" i="24"/>
  <c r="AM877" i="24"/>
  <c r="AM72" i="24"/>
  <c r="AL72" i="24"/>
  <c r="AK72" i="24"/>
  <c r="AN72" i="24"/>
  <c r="AP303" i="24"/>
  <c r="AK303" i="24"/>
  <c r="AN303" i="24"/>
  <c r="AM303" i="24"/>
  <c r="AL303" i="24"/>
  <c r="AP417" i="24"/>
  <c r="AN417" i="24"/>
  <c r="AK417" i="24"/>
  <c r="AM417" i="24"/>
  <c r="AL417" i="24"/>
  <c r="AK232" i="24"/>
  <c r="AL232" i="24"/>
  <c r="AN232" i="24"/>
  <c r="AK517" i="24"/>
  <c r="AN517" i="24"/>
  <c r="AL517" i="24"/>
  <c r="AM517" i="24"/>
  <c r="AM771" i="24"/>
  <c r="AK771" i="24"/>
  <c r="AL771" i="24"/>
  <c r="AN771" i="24"/>
  <c r="AN797" i="24"/>
  <c r="AK797" i="24"/>
  <c r="AM797" i="24"/>
  <c r="AL797" i="24"/>
  <c r="AN957" i="24"/>
  <c r="AM957" i="24"/>
  <c r="AL957" i="24"/>
  <c r="AK957" i="24"/>
  <c r="AN967" i="24"/>
  <c r="AM967" i="24"/>
  <c r="AL967" i="24"/>
  <c r="AK967" i="24"/>
  <c r="AL219" i="24"/>
  <c r="AK219" i="24"/>
  <c r="AN219" i="24"/>
  <c r="AM219" i="24"/>
  <c r="AN366" i="24"/>
  <c r="AM366" i="24"/>
  <c r="AL366" i="24"/>
  <c r="AK366" i="24"/>
  <c r="AN373" i="24"/>
  <c r="AM373" i="24"/>
  <c r="AL373" i="24"/>
  <c r="AK373" i="24"/>
  <c r="AN356" i="24"/>
  <c r="AM356" i="24"/>
  <c r="AL356" i="24"/>
  <c r="AK356" i="24"/>
  <c r="AP938" i="24"/>
  <c r="AM938" i="24"/>
  <c r="AK938" i="24"/>
  <c r="AN938" i="24"/>
  <c r="AL938" i="24"/>
  <c r="AK935" i="24"/>
  <c r="AL935" i="24"/>
  <c r="AM935" i="24"/>
  <c r="AK946" i="24"/>
  <c r="AL946" i="24"/>
  <c r="AM946" i="24"/>
  <c r="AN946" i="24"/>
  <c r="AN819" i="24"/>
  <c r="AL819" i="24"/>
  <c r="AK819" i="24"/>
  <c r="AM819" i="24"/>
  <c r="AM782" i="24"/>
  <c r="AN782" i="24"/>
  <c r="AK782" i="24"/>
  <c r="AL782" i="24"/>
  <c r="AN286" i="24"/>
  <c r="AK286" i="24"/>
  <c r="AM286" i="24"/>
  <c r="AL286" i="24"/>
  <c r="AK530" i="24"/>
  <c r="AL530" i="24"/>
  <c r="AN530" i="24"/>
  <c r="AM530" i="24"/>
  <c r="AK475" i="24"/>
  <c r="AM475" i="24"/>
  <c r="AL475" i="24"/>
  <c r="AN475" i="24"/>
  <c r="AK480" i="24"/>
  <c r="AN480" i="24"/>
  <c r="AL480" i="24"/>
  <c r="AM480" i="24"/>
  <c r="AN391" i="24"/>
  <c r="AK391" i="24"/>
  <c r="AM391" i="24"/>
  <c r="AL391" i="24"/>
  <c r="AN281" i="24"/>
  <c r="AL281" i="24"/>
  <c r="AK281" i="24"/>
  <c r="AM281" i="24"/>
  <c r="AP395" i="24"/>
  <c r="AN395" i="24"/>
  <c r="AK395" i="24"/>
  <c r="AM395" i="24"/>
  <c r="AL395" i="24"/>
  <c r="AL469" i="24"/>
  <c r="AN469" i="24"/>
  <c r="AM469" i="24"/>
  <c r="AK469" i="24"/>
  <c r="AK465" i="24"/>
  <c r="AL465" i="24"/>
  <c r="AM465" i="24"/>
  <c r="AN465" i="24"/>
  <c r="AP19" i="24"/>
  <c r="AK19" i="24"/>
  <c r="AM19" i="24"/>
  <c r="AN19" i="24"/>
  <c r="AL19" i="24"/>
  <c r="AN573" i="24"/>
  <c r="AK573" i="24"/>
  <c r="AL573" i="24"/>
  <c r="AM573" i="24"/>
  <c r="AM208" i="24"/>
  <c r="AK208" i="24"/>
  <c r="AN208" i="24"/>
  <c r="AL208" i="24"/>
  <c r="AL291" i="24"/>
  <c r="AK291" i="24"/>
  <c r="AN291" i="24"/>
  <c r="AM291" i="24"/>
  <c r="AP345" i="24"/>
  <c r="AN345" i="24"/>
  <c r="AL345" i="24"/>
  <c r="AK345" i="24"/>
  <c r="AM345" i="24"/>
  <c r="AF9" i="24"/>
  <c r="AF2011" i="24" s="1"/>
  <c r="AF2013" i="24" s="1"/>
  <c r="AN577" i="24"/>
  <c r="AK577" i="24"/>
  <c r="AM577" i="24"/>
  <c r="AL577" i="24"/>
  <c r="AP117" i="24"/>
  <c r="AN117" i="24"/>
  <c r="AL117" i="24"/>
  <c r="AK117" i="24"/>
  <c r="AM117" i="24"/>
  <c r="AP104" i="24"/>
  <c r="L93" i="18" s="1"/>
  <c r="AN104" i="24"/>
  <c r="AK104" i="24"/>
  <c r="AL104" i="24"/>
  <c r="AM104" i="24"/>
  <c r="AN14" i="24"/>
  <c r="AL14" i="24"/>
  <c r="AM14" i="24"/>
  <c r="AK14" i="24"/>
  <c r="AK484" i="24"/>
  <c r="AL484" i="24"/>
  <c r="AM484" i="24"/>
  <c r="AN484" i="24"/>
  <c r="AM263" i="24"/>
  <c r="AL263" i="24"/>
  <c r="AN263" i="24"/>
  <c r="AK263" i="24"/>
  <c r="AP422" i="24"/>
  <c r="AM422" i="24"/>
  <c r="AN422" i="24"/>
  <c r="AL422" i="24"/>
  <c r="AK422" i="24"/>
  <c r="AL500" i="24"/>
  <c r="AN500" i="24"/>
  <c r="AM500" i="24"/>
  <c r="AK500" i="24"/>
  <c r="AM582" i="24"/>
  <c r="AK582" i="24"/>
  <c r="AL582" i="24"/>
  <c r="AN582" i="24"/>
  <c r="AM668" i="24"/>
  <c r="AK668" i="24"/>
  <c r="AN668" i="24"/>
  <c r="AL668" i="24"/>
  <c r="AL328" i="24"/>
  <c r="AK328" i="24"/>
  <c r="AN328" i="24"/>
  <c r="AM328" i="24"/>
  <c r="AK570" i="24"/>
  <c r="AM570" i="24"/>
  <c r="AL570" i="24"/>
  <c r="AN570" i="24"/>
  <c r="AK138" i="24"/>
  <c r="AM138" i="24"/>
  <c r="AL138" i="24"/>
  <c r="AN138" i="24"/>
  <c r="AM335" i="24"/>
  <c r="AL335" i="24"/>
  <c r="AK335" i="24"/>
  <c r="AN335" i="24"/>
  <c r="AP163" i="24"/>
  <c r="AL163" i="24"/>
  <c r="AK163" i="24"/>
  <c r="AM163" i="24"/>
  <c r="AN163" i="24"/>
  <c r="AP558" i="24"/>
  <c r="AK558" i="24"/>
  <c r="AN558" i="24"/>
  <c r="AL558" i="24"/>
  <c r="AM558" i="24"/>
  <c r="AP178" i="24"/>
  <c r="AL178" i="24"/>
  <c r="AM178" i="24"/>
  <c r="AK178" i="24"/>
  <c r="AN178" i="24"/>
  <c r="AK226" i="24"/>
  <c r="AN226" i="24"/>
  <c r="AL226" i="24"/>
  <c r="AM226" i="24"/>
  <c r="AK919" i="24"/>
  <c r="AL919" i="24"/>
  <c r="AN919" i="24"/>
  <c r="AM919" i="24"/>
  <c r="AP50" i="24"/>
  <c r="AN50" i="24"/>
  <c r="AL50" i="24"/>
  <c r="AM50" i="24"/>
  <c r="AK50" i="24"/>
  <c r="AN251" i="24"/>
  <c r="AK251" i="24"/>
  <c r="AM251" i="24"/>
  <c r="AL251" i="24"/>
  <c r="AM594" i="24"/>
  <c r="AN594" i="24"/>
  <c r="AL594" i="24"/>
  <c r="AK594" i="24"/>
  <c r="AP787" i="24"/>
  <c r="AK787" i="24"/>
  <c r="AN787" i="24"/>
  <c r="AL787" i="24"/>
  <c r="AM787" i="24"/>
  <c r="AP535" i="24"/>
  <c r="AK535" i="24"/>
  <c r="AN535" i="24"/>
  <c r="AL535" i="24"/>
  <c r="AM535" i="24"/>
  <c r="AP665" i="24"/>
  <c r="AL665" i="24"/>
  <c r="AK665" i="24"/>
  <c r="AM665" i="24"/>
  <c r="AN665" i="24"/>
  <c r="AP495" i="24"/>
  <c r="AK495" i="24"/>
  <c r="AL495" i="24"/>
  <c r="AN495" i="24"/>
  <c r="AM495" i="24"/>
  <c r="AK792" i="24"/>
  <c r="AL792" i="24"/>
  <c r="AM792" i="24"/>
  <c r="AN792" i="24"/>
  <c r="AP548" i="24"/>
  <c r="AK548" i="24"/>
  <c r="AL548" i="24"/>
  <c r="AM548" i="24"/>
  <c r="AN548" i="24"/>
  <c r="AP620" i="24"/>
  <c r="AN620" i="24"/>
  <c r="AM620" i="24"/>
  <c r="AK620" i="24"/>
  <c r="AL620" i="24"/>
  <c r="AL553" i="24"/>
  <c r="AM553" i="24"/>
  <c r="AK553" i="24"/>
  <c r="AN553" i="24"/>
  <c r="AK246" i="24"/>
  <c r="AM246" i="24"/>
  <c r="AL246" i="24"/>
  <c r="AN246" i="24"/>
  <c r="AP187" i="24"/>
  <c r="AK187" i="24"/>
  <c r="AM187" i="24"/>
  <c r="AL187" i="24"/>
  <c r="AN187" i="24"/>
  <c r="AP155" i="24"/>
  <c r="AK155" i="24"/>
  <c r="AN155" i="24"/>
  <c r="AL155" i="24"/>
  <c r="AM155" i="24"/>
  <c r="AN872" i="24"/>
  <c r="AL872" i="24"/>
  <c r="AM872" i="24"/>
  <c r="AK872" i="24"/>
  <c r="AM690" i="24"/>
  <c r="AN690" i="24"/>
  <c r="AK690" i="24"/>
  <c r="AL690" i="24"/>
  <c r="AK510" i="24"/>
  <c r="AL510" i="24"/>
  <c r="AN510" i="24"/>
  <c r="AM510" i="24"/>
  <c r="AK659" i="24"/>
  <c r="AM659" i="24"/>
  <c r="AL659" i="24"/>
  <c r="AN659" i="24"/>
  <c r="AL931" i="24"/>
  <c r="AK931" i="24"/>
  <c r="AM931" i="24"/>
  <c r="AN931" i="24"/>
  <c r="AP696" i="24"/>
  <c r="AM696" i="24"/>
  <c r="AN696" i="24"/>
  <c r="AK696" i="24"/>
  <c r="AL696" i="24"/>
  <c r="AK829" i="24"/>
  <c r="AM829" i="24"/>
  <c r="AN829" i="24"/>
  <c r="AL829" i="24"/>
  <c r="AM41" i="24"/>
  <c r="AN41" i="24"/>
  <c r="AL41" i="24"/>
  <c r="AK41" i="24"/>
  <c r="AP437" i="24"/>
  <c r="AN437" i="24"/>
  <c r="AM437" i="24"/>
  <c r="AL437" i="24"/>
  <c r="AK437" i="24"/>
  <c r="AP427" i="24"/>
  <c r="AK427" i="24"/>
  <c r="AM427" i="24"/>
  <c r="AL427" i="24"/>
  <c r="AN427" i="24"/>
  <c r="AM654" i="24"/>
  <c r="AN654" i="24"/>
  <c r="AK654" i="24"/>
  <c r="AL654" i="24"/>
  <c r="AL719" i="24"/>
  <c r="AM719" i="24"/>
  <c r="AK719" i="24"/>
  <c r="AN719" i="24"/>
  <c r="AP432" i="24"/>
  <c r="AM432" i="24"/>
  <c r="AN432" i="24"/>
  <c r="AK432" i="24"/>
  <c r="AL432" i="24"/>
  <c r="AP442" i="24"/>
  <c r="AK442" i="24"/>
  <c r="AM442" i="24"/>
  <c r="AN442" i="24"/>
  <c r="AL442" i="24"/>
  <c r="AP457" i="24"/>
  <c r="AL457" i="24"/>
  <c r="AK457" i="24"/>
  <c r="AM457" i="24"/>
  <c r="AN457" i="24"/>
  <c r="AL897" i="24"/>
  <c r="AM897" i="24"/>
  <c r="AK897" i="24"/>
  <c r="AN897" i="24"/>
  <c r="AL214" i="24"/>
  <c r="AM214" i="24"/>
  <c r="AK214" i="24"/>
  <c r="AN214" i="24"/>
  <c r="AP834" i="24"/>
  <c r="AL834" i="24"/>
  <c r="AN834" i="24"/>
  <c r="AM834" i="24"/>
  <c r="AK834" i="24"/>
  <c r="AP33" i="24"/>
  <c r="AK33" i="24"/>
  <c r="AM33" i="24"/>
  <c r="AL33" i="24"/>
  <c r="AN33" i="24"/>
  <c r="AK714" i="24"/>
  <c r="AN714" i="24"/>
  <c r="AM714" i="24"/>
  <c r="AL714" i="24"/>
  <c r="AK847" i="24"/>
  <c r="AL847" i="24"/>
  <c r="AN847" i="24"/>
  <c r="AM847" i="24"/>
  <c r="AP447" i="24"/>
  <c r="AK447" i="24"/>
  <c r="AM447" i="24"/>
  <c r="AN447" i="24"/>
  <c r="AL447" i="24"/>
  <c r="AM852" i="24"/>
  <c r="AL852" i="24"/>
  <c r="AK852" i="24"/>
  <c r="AN852" i="24"/>
  <c r="AP868" i="24"/>
  <c r="AN868" i="24"/>
  <c r="AK868" i="24"/>
  <c r="AM868" i="24"/>
  <c r="AL868" i="24"/>
  <c r="AL824" i="24"/>
  <c r="AN824" i="24"/>
  <c r="AK824" i="24"/>
  <c r="AM824" i="24"/>
  <c r="AM540" i="24"/>
  <c r="AK540" i="24"/>
  <c r="AN540" i="24"/>
  <c r="AL540" i="24"/>
  <c r="AP460" i="24"/>
  <c r="AK460" i="24"/>
  <c r="AL460" i="24"/>
  <c r="AM460" i="24"/>
  <c r="AN460" i="24"/>
  <c r="AK273" i="24"/>
  <c r="AL273" i="24"/>
  <c r="AM273" i="24"/>
  <c r="AN273" i="24"/>
  <c r="AM725" i="24"/>
  <c r="AP725" i="24"/>
  <c r="AL725" i="24"/>
  <c r="AN725" i="24"/>
  <c r="AK725" i="24"/>
  <c r="AP565" i="24"/>
  <c r="AK565" i="24"/>
  <c r="AM565" i="24"/>
  <c r="AL565" i="24"/>
  <c r="AN565" i="24"/>
  <c r="AK268" i="24"/>
  <c r="AN268" i="24"/>
  <c r="AL268" i="24"/>
  <c r="AM268" i="24"/>
  <c r="AP916" i="24"/>
  <c r="AN916" i="24"/>
  <c r="AL916" i="24"/>
  <c r="AK916" i="24"/>
  <c r="AM916" i="24"/>
  <c r="AM662" i="24"/>
  <c r="AN662" i="24"/>
  <c r="AL662" i="24"/>
  <c r="AK662" i="24"/>
  <c r="AL701" i="24"/>
  <c r="AM701" i="24"/>
  <c r="AN701" i="24"/>
  <c r="AK701" i="24"/>
  <c r="AK64" i="24"/>
  <c r="AL64" i="24"/>
  <c r="AM64" i="24"/>
  <c r="AN64" i="24"/>
  <c r="AK739" i="24"/>
  <c r="AM739" i="24"/>
  <c r="AL739" i="24"/>
  <c r="AN739" i="24"/>
  <c r="AK744" i="24"/>
  <c r="AL744" i="24"/>
  <c r="AM744" i="24"/>
  <c r="AN744" i="24"/>
  <c r="AP637" i="24"/>
  <c r="AK637" i="24"/>
  <c r="AM637" i="24"/>
  <c r="AL637" i="24"/>
  <c r="AN637" i="24"/>
  <c r="AK87" i="24"/>
  <c r="AM87" i="24"/>
  <c r="AN87" i="24"/>
  <c r="AL87" i="24"/>
  <c r="AK734" i="24"/>
  <c r="AM734" i="24"/>
  <c r="AL734" i="24"/>
  <c r="AN734" i="24"/>
  <c r="AP632" i="24"/>
  <c r="AK632" i="24"/>
  <c r="AL632" i="24"/>
  <c r="AN632" i="24"/>
  <c r="AM632" i="24"/>
  <c r="AN706" i="24"/>
  <c r="AL706" i="24"/>
  <c r="AK706" i="24"/>
  <c r="AM706" i="24"/>
  <c r="AM452" i="24"/>
  <c r="AL452" i="24"/>
  <c r="AK452" i="24"/>
  <c r="AP452" i="24"/>
  <c r="AN452" i="24"/>
  <c r="AK864" i="24"/>
  <c r="AN864" i="24"/>
  <c r="AM864" i="24"/>
  <c r="AL864" i="24"/>
  <c r="AP672" i="24"/>
  <c r="AK672" i="24"/>
  <c r="AM672" i="24"/>
  <c r="AN672" i="24"/>
  <c r="AL672" i="24"/>
  <c r="AP386" i="24"/>
  <c r="AN386" i="24"/>
  <c r="AM386" i="24"/>
  <c r="AL386" i="24"/>
  <c r="AK386" i="24"/>
  <c r="AN381" i="24"/>
  <c r="AK381" i="24"/>
  <c r="AM381" i="24"/>
  <c r="AL381" i="24"/>
  <c r="AK201" i="24"/>
  <c r="AN201" i="24"/>
  <c r="AL201" i="24"/>
  <c r="AM201" i="24"/>
  <c r="AK196" i="24"/>
  <c r="AL196" i="24"/>
  <c r="AN196" i="24"/>
  <c r="AM196" i="24"/>
  <c r="AP125" i="24"/>
  <c r="AK125" i="24"/>
  <c r="AN125" i="24"/>
  <c r="AL125" i="24"/>
  <c r="AM125" i="24"/>
  <c r="AP321" i="24"/>
  <c r="AN321" i="24"/>
  <c r="AM321" i="24"/>
  <c r="AK321" i="24"/>
  <c r="AL321" i="24"/>
  <c r="AK277" i="24"/>
  <c r="AP277" i="24"/>
  <c r="AN277" i="24"/>
  <c r="AL277" i="24"/>
  <c r="AM277" i="24"/>
  <c r="AL237" i="24"/>
  <c r="AM237" i="24"/>
  <c r="AK237" i="24"/>
  <c r="AN237" i="24"/>
  <c r="AK802" i="24"/>
  <c r="AM802" i="24"/>
  <c r="AN802" i="24"/>
  <c r="AL802" i="24"/>
  <c r="AK729" i="24"/>
  <c r="AN729" i="24"/>
  <c r="AM729" i="24"/>
  <c r="AL729" i="24"/>
  <c r="AP605" i="24"/>
  <c r="AN605" i="24"/>
  <c r="AL605" i="24"/>
  <c r="AK605" i="24"/>
  <c r="AM605" i="24"/>
  <c r="AK610" i="24"/>
  <c r="AN610" i="24"/>
  <c r="AM610" i="24"/>
  <c r="AL610" i="24"/>
  <c r="AM642" i="24"/>
  <c r="AK642" i="24"/>
  <c r="AL642" i="24"/>
  <c r="AN642" i="24"/>
  <c r="AP146" i="24"/>
  <c r="AL146" i="24"/>
  <c r="AN146" i="24"/>
  <c r="AK146" i="24"/>
  <c r="AM146" i="24"/>
  <c r="AL402" i="24"/>
  <c r="AP402" i="24"/>
  <c r="L44" i="18" s="1"/>
  <c r="AK402" i="24"/>
  <c r="AN402" i="24"/>
  <c r="AM402" i="24"/>
  <c r="AK766" i="24"/>
  <c r="AP766" i="24"/>
  <c r="AL766" i="24"/>
  <c r="AM766" i="24"/>
  <c r="AN766" i="24"/>
  <c r="AL891" i="24"/>
  <c r="AK891" i="24"/>
  <c r="AM891" i="24"/>
  <c r="AN891" i="24"/>
  <c r="AL912" i="24"/>
  <c r="AK912" i="24"/>
  <c r="AM912" i="24"/>
  <c r="AN912" i="24"/>
  <c r="AN839" i="24"/>
  <c r="AL839" i="24"/>
  <c r="AK839" i="24"/>
  <c r="AM839" i="24"/>
  <c r="AN308" i="24"/>
  <c r="AL308" i="24"/>
  <c r="AM308" i="24"/>
  <c r="AK308" i="24"/>
  <c r="AL844" i="24"/>
  <c r="AN844" i="24"/>
  <c r="AM844" i="24"/>
  <c r="AK844" i="24"/>
  <c r="AK505" i="24"/>
  <c r="AN505" i="24"/>
  <c r="AM505" i="24"/>
  <c r="AL505" i="24"/>
  <c r="AL190" i="24"/>
  <c r="AK190" i="24"/>
  <c r="AN190" i="24"/>
  <c r="AM190" i="24"/>
  <c r="AK753" i="24"/>
  <c r="AN753" i="24"/>
  <c r="AM753" i="24"/>
  <c r="AL753" i="24"/>
  <c r="AM412" i="24"/>
  <c r="AP412" i="24"/>
  <c r="AK412" i="24"/>
  <c r="AN412" i="24"/>
  <c r="AL412" i="24"/>
  <c r="AM902" i="24"/>
  <c r="AL902" i="24"/>
  <c r="AN902" i="24"/>
  <c r="AK902" i="24"/>
  <c r="AL761" i="24"/>
  <c r="AK761" i="24"/>
  <c r="AM761" i="24"/>
  <c r="AN761" i="24"/>
  <c r="AK95" i="24"/>
  <c r="AN95" i="24"/>
  <c r="AM95" i="24"/>
  <c r="AL95" i="24"/>
  <c r="AR389" i="24"/>
  <c r="AL407" i="24"/>
  <c r="AP407" i="24"/>
  <c r="AM232" i="24"/>
  <c r="AP232" i="24"/>
  <c r="AN935" i="24"/>
  <c r="AP935" i="24"/>
  <c r="AL978" i="24"/>
  <c r="AK978" i="24"/>
  <c r="AN978" i="24"/>
  <c r="AM978" i="24"/>
  <c r="AN983" i="24"/>
  <c r="AM983" i="24"/>
  <c r="AL983" i="24"/>
  <c r="AK983" i="24"/>
  <c r="AN988" i="24"/>
  <c r="AM988" i="24"/>
  <c r="AL988" i="24"/>
  <c r="AK988" i="24"/>
  <c r="AP995" i="24"/>
  <c r="AN995" i="24"/>
  <c r="AM995" i="24"/>
  <c r="AL995" i="24"/>
  <c r="AK995" i="24"/>
  <c r="AP1003" i="24"/>
  <c r="AN1003" i="24"/>
  <c r="AM1003" i="24"/>
  <c r="AL1003" i="24"/>
  <c r="AK1003" i="24"/>
  <c r="AP1008" i="24"/>
  <c r="AN1008" i="24"/>
  <c r="AM1008" i="24"/>
  <c r="AL1008" i="24"/>
  <c r="AK1008" i="24"/>
  <c r="AP1013" i="24"/>
  <c r="AN1013" i="24"/>
  <c r="AM1013" i="24"/>
  <c r="AL1013" i="24"/>
  <c r="AK1013" i="24"/>
  <c r="AP1019" i="24"/>
  <c r="L77" i="18" s="1"/>
  <c r="AN1019" i="24"/>
  <c r="AM1019" i="24"/>
  <c r="AL1019" i="24"/>
  <c r="AK1019" i="24"/>
  <c r="AP1027" i="24"/>
  <c r="AN1027" i="24"/>
  <c r="AM1027" i="24"/>
  <c r="AL1027" i="24"/>
  <c r="AK1027" i="24"/>
  <c r="AP1032" i="24"/>
  <c r="AN1032" i="24"/>
  <c r="AM1032" i="24"/>
  <c r="AL1032" i="24"/>
  <c r="AK1032" i="24"/>
  <c r="AP1037" i="24"/>
  <c r="AN1037" i="24"/>
  <c r="AM1037" i="24"/>
  <c r="AL1037" i="24"/>
  <c r="AK1037" i="24"/>
  <c r="AP1042" i="24"/>
  <c r="AN1042" i="24"/>
  <c r="AM1042" i="24"/>
  <c r="AL1042" i="24"/>
  <c r="AK1042" i="24"/>
  <c r="AP1047" i="24"/>
  <c r="AN1047" i="24"/>
  <c r="AM1047" i="24"/>
  <c r="AL1047" i="24"/>
  <c r="AK1047" i="24"/>
  <c r="AP1052" i="24"/>
  <c r="AN1052" i="24"/>
  <c r="AM1052" i="24"/>
  <c r="AL1052" i="24"/>
  <c r="AK1052" i="24"/>
  <c r="AP1057" i="24"/>
  <c r="AN1057" i="24"/>
  <c r="AM1057" i="24"/>
  <c r="AL1057" i="24"/>
  <c r="AK1057" i="24"/>
  <c r="AP1062" i="24"/>
  <c r="AN1062" i="24"/>
  <c r="AM1062" i="24"/>
  <c r="AL1062" i="24"/>
  <c r="AK1062" i="24"/>
  <c r="AN1067" i="24"/>
  <c r="AM1067" i="24"/>
  <c r="AL1067" i="24"/>
  <c r="AK1067" i="24"/>
  <c r="AN1072" i="24"/>
  <c r="AM1072" i="24"/>
  <c r="AL1072" i="24"/>
  <c r="AK1072" i="24"/>
  <c r="AN1077" i="24"/>
  <c r="AM1077" i="24"/>
  <c r="AL1077" i="24"/>
  <c r="AK1077" i="24"/>
  <c r="AN1081" i="24"/>
  <c r="AM1081" i="24"/>
  <c r="AL1081" i="24"/>
  <c r="AK1081" i="24"/>
  <c r="AN1085" i="24"/>
  <c r="AM1085" i="24"/>
  <c r="AL1085" i="24"/>
  <c r="AK1085" i="24"/>
  <c r="AN1090" i="24"/>
  <c r="AM1090" i="24"/>
  <c r="AL1090" i="24"/>
  <c r="AK1090" i="24"/>
  <c r="AP1094" i="24"/>
  <c r="AN1094" i="24"/>
  <c r="AM1094" i="24"/>
  <c r="AL1094" i="24"/>
  <c r="AK1094" i="24"/>
  <c r="AN1097" i="24"/>
  <c r="AM1097" i="24"/>
  <c r="AL1097" i="24"/>
  <c r="AK1097" i="24"/>
  <c r="AN1104" i="24"/>
  <c r="AM1104" i="24"/>
  <c r="AL1104" i="24"/>
  <c r="AK1104" i="24"/>
  <c r="AN1115" i="24"/>
  <c r="AM1115" i="24"/>
  <c r="AL1115" i="24"/>
  <c r="AK1115" i="24"/>
  <c r="AN1118" i="24"/>
  <c r="AM1118" i="24"/>
  <c r="AL1118" i="24"/>
  <c r="AK1118" i="24"/>
  <c r="AP1124" i="24"/>
  <c r="AN1124" i="24"/>
  <c r="AM1124" i="24"/>
  <c r="AL1124" i="24"/>
  <c r="AK1124" i="24"/>
  <c r="AN1127" i="24"/>
  <c r="AM1127" i="24"/>
  <c r="AL1127" i="24"/>
  <c r="AK1127" i="24"/>
  <c r="AN1132" i="24"/>
  <c r="AM1132" i="24"/>
  <c r="AL1132" i="24"/>
  <c r="AK1132" i="24"/>
  <c r="AN1137" i="24"/>
  <c r="AM1137" i="24"/>
  <c r="AL1137" i="24"/>
  <c r="AK1137" i="24"/>
  <c r="AN1149" i="24"/>
  <c r="AM1149" i="24"/>
  <c r="AL1149" i="24"/>
  <c r="AK1149" i="24"/>
  <c r="AN1160" i="24"/>
  <c r="AM1160" i="24"/>
  <c r="AL1160" i="24"/>
  <c r="AK1160" i="24"/>
  <c r="AN1164" i="24"/>
  <c r="AM1164" i="24"/>
  <c r="AL1164" i="24"/>
  <c r="AK1164" i="24"/>
  <c r="AN1170" i="24"/>
  <c r="AM1170" i="24"/>
  <c r="AL1170" i="24"/>
  <c r="AK1170" i="24"/>
  <c r="AN1173" i="24"/>
  <c r="AM1173" i="24"/>
  <c r="AL1173" i="24"/>
  <c r="AK1173" i="24"/>
  <c r="AN1181" i="24"/>
  <c r="AM1181" i="24"/>
  <c r="AL1181" i="24"/>
  <c r="AK1181" i="24"/>
  <c r="AN1184" i="24"/>
  <c r="AM1184" i="24"/>
  <c r="AL1184" i="24"/>
  <c r="AK1184" i="24"/>
  <c r="AN1191" i="24"/>
  <c r="AM1191" i="24"/>
  <c r="AL1191" i="24"/>
  <c r="AK1191" i="24"/>
  <c r="AN1196" i="24"/>
  <c r="AM1196" i="24"/>
  <c r="AL1196" i="24"/>
  <c r="AK1196" i="24"/>
  <c r="AP1205" i="24"/>
  <c r="AN1205" i="24"/>
  <c r="AM1205" i="24"/>
  <c r="AL1205" i="24"/>
  <c r="AK1205" i="24"/>
  <c r="AN1209" i="24"/>
  <c r="AM1209" i="24"/>
  <c r="AL1209" i="24"/>
  <c r="AK1209" i="24"/>
  <c r="AN1213" i="24"/>
  <c r="AM1213" i="24"/>
  <c r="AL1213" i="24"/>
  <c r="AK1213" i="24"/>
  <c r="AP1216" i="24"/>
  <c r="AN1216" i="24"/>
  <c r="AM1216" i="24"/>
  <c r="AL1216" i="24"/>
  <c r="AK1216" i="24"/>
  <c r="AN1219" i="24"/>
  <c r="AM1219" i="24"/>
  <c r="AL1219" i="24"/>
  <c r="AK1219" i="24"/>
  <c r="AN1224" i="24"/>
  <c r="AM1224" i="24"/>
  <c r="AL1224" i="24"/>
  <c r="AK1224" i="24"/>
  <c r="AN1229" i="24"/>
  <c r="AM1229" i="24"/>
  <c r="AL1229" i="24"/>
  <c r="AK1229" i="24"/>
  <c r="AN1237" i="24"/>
  <c r="AM1237" i="24"/>
  <c r="AL1237" i="24"/>
  <c r="AK1237" i="24"/>
  <c r="AN1243" i="24"/>
  <c r="AM1243" i="24"/>
  <c r="AL1243" i="24"/>
  <c r="AK1243" i="24"/>
  <c r="AP1248" i="24"/>
  <c r="AN1248" i="24"/>
  <c r="AM1248" i="24"/>
  <c r="AL1248" i="24"/>
  <c r="AK1248" i="24"/>
  <c r="AN1252" i="24"/>
  <c r="AM1252" i="24"/>
  <c r="AL1252" i="24"/>
  <c r="AK1252" i="24"/>
  <c r="AN1260" i="24"/>
  <c r="AM1260" i="24"/>
  <c r="AL1260" i="24"/>
  <c r="AK1260" i="24"/>
  <c r="AP1267" i="24"/>
  <c r="AN1267" i="24"/>
  <c r="AM1267" i="24"/>
  <c r="AL1267" i="24"/>
  <c r="AK1267" i="24"/>
  <c r="AN1272" i="24"/>
  <c r="AM1272" i="24"/>
  <c r="AL1272" i="24"/>
  <c r="AK1272" i="24"/>
  <c r="AN1280" i="24"/>
  <c r="AM1280" i="24"/>
  <c r="AL1280" i="24"/>
  <c r="AK1280" i="24"/>
  <c r="AN1285" i="24"/>
  <c r="AM1285" i="24"/>
  <c r="AL1285" i="24"/>
  <c r="AK1285" i="24"/>
  <c r="AN1297" i="24"/>
  <c r="AM1297" i="24"/>
  <c r="AL1297" i="24"/>
  <c r="AK1297" i="24"/>
  <c r="AN1302" i="24"/>
  <c r="AM1302" i="24"/>
  <c r="AL1302" i="24"/>
  <c r="AK1302" i="24"/>
  <c r="AN1308" i="24"/>
  <c r="AM1308" i="24"/>
  <c r="AL1308" i="24"/>
  <c r="AK1308" i="24"/>
  <c r="AP1313" i="24"/>
  <c r="AN1313" i="24"/>
  <c r="AM1313" i="24"/>
  <c r="AL1313" i="24"/>
  <c r="AK1313" i="24"/>
  <c r="AN1318" i="24"/>
  <c r="AM1318" i="24"/>
  <c r="AL1318" i="24"/>
  <c r="AK1318" i="24"/>
  <c r="AN1322" i="24"/>
  <c r="AM1322" i="24"/>
  <c r="AL1322" i="24"/>
  <c r="AK1322" i="24"/>
  <c r="AN1325" i="24"/>
  <c r="AM1325" i="24"/>
  <c r="AL1325" i="24"/>
  <c r="AK1325" i="24"/>
  <c r="AN1330" i="24"/>
  <c r="AM1330" i="24"/>
  <c r="AL1330" i="24"/>
  <c r="AK1330" i="24"/>
  <c r="AN1342" i="24"/>
  <c r="AM1342" i="24"/>
  <c r="AL1342" i="24"/>
  <c r="AK1342" i="24"/>
  <c r="AN1347" i="24"/>
  <c r="AM1347" i="24"/>
  <c r="AL1347" i="24"/>
  <c r="AK1347" i="24"/>
  <c r="AN1352" i="24"/>
  <c r="AM1352" i="24"/>
  <c r="AL1352" i="24"/>
  <c r="AK1352" i="24"/>
  <c r="AN1359" i="24"/>
  <c r="AM1359" i="24"/>
  <c r="AL1359" i="24"/>
  <c r="AK1359" i="24"/>
  <c r="AN1364" i="24"/>
  <c r="AM1364" i="24"/>
  <c r="AL1364" i="24"/>
  <c r="AK1364" i="24"/>
  <c r="AN1369" i="24"/>
  <c r="AM1369" i="24"/>
  <c r="AL1369" i="24"/>
  <c r="AK1369" i="24"/>
  <c r="AN1374" i="24"/>
  <c r="AM1374" i="24"/>
  <c r="AL1374" i="24"/>
  <c r="AK1374" i="24"/>
  <c r="AN1377" i="24"/>
  <c r="AM1377" i="24"/>
  <c r="AL1377" i="24"/>
  <c r="AK1377" i="24"/>
  <c r="AN1397" i="24"/>
  <c r="AM1397" i="24"/>
  <c r="AL1397" i="24"/>
  <c r="AK1397" i="24"/>
  <c r="AN1407" i="24"/>
  <c r="AM1407" i="24"/>
  <c r="AL1407" i="24"/>
  <c r="AK1407" i="24"/>
  <c r="AN1412" i="24"/>
  <c r="AM1412" i="24"/>
  <c r="AL1412" i="24"/>
  <c r="AK1412" i="24"/>
  <c r="AP1418" i="24"/>
  <c r="AN1418" i="24"/>
  <c r="AM1418" i="24"/>
  <c r="AL1418" i="24"/>
  <c r="AK1418" i="24"/>
  <c r="AP1426" i="24"/>
  <c r="AN1426" i="24"/>
  <c r="AM1426" i="24"/>
  <c r="AL1426" i="24"/>
  <c r="AK1426" i="24"/>
  <c r="AP1431" i="24"/>
  <c r="AN1431" i="24"/>
  <c r="AM1431" i="24"/>
  <c r="AL1431" i="24"/>
  <c r="AK1431" i="24"/>
  <c r="AP1436" i="24"/>
  <c r="AN1436" i="24"/>
  <c r="AM1436" i="24"/>
  <c r="AL1436" i="24"/>
  <c r="AK1436" i="24"/>
  <c r="AP1441" i="24"/>
  <c r="AN1441" i="24"/>
  <c r="AM1441" i="24"/>
  <c r="AL1441" i="24"/>
  <c r="AK1441" i="24"/>
  <c r="AP1444" i="24"/>
  <c r="AN1444" i="24"/>
  <c r="AM1444" i="24"/>
  <c r="AL1444" i="24"/>
  <c r="AK1444" i="24"/>
  <c r="AP1447" i="24"/>
  <c r="AN1447" i="24"/>
  <c r="AM1447" i="24"/>
  <c r="AL1447" i="24"/>
  <c r="AK1447" i="24"/>
  <c r="AP1452" i="24"/>
  <c r="AN1452" i="24"/>
  <c r="AM1452" i="24"/>
  <c r="AL1452" i="24"/>
  <c r="AK1452" i="24"/>
  <c r="AP1457" i="24"/>
  <c r="AN1457" i="24"/>
  <c r="AM1457" i="24"/>
  <c r="AL1457" i="24"/>
  <c r="AK1457" i="24"/>
  <c r="AP1462" i="24"/>
  <c r="AN1462" i="24"/>
  <c r="AM1462" i="24"/>
  <c r="AL1462" i="24"/>
  <c r="AK1462" i="24"/>
  <c r="AN1469" i="24"/>
  <c r="AM1469" i="24"/>
  <c r="AL1469" i="24"/>
  <c r="AK1469" i="24"/>
  <c r="AN1472" i="24"/>
  <c r="AM1472" i="24"/>
  <c r="AL1472" i="24"/>
  <c r="AK1472" i="24"/>
  <c r="AN1475" i="24"/>
  <c r="AM1475" i="24"/>
  <c r="AL1475" i="24"/>
  <c r="AK1475" i="24"/>
  <c r="AN1488" i="24"/>
  <c r="AM1488" i="24"/>
  <c r="AL1488" i="24"/>
  <c r="AK1488" i="24"/>
  <c r="AN1493" i="24"/>
  <c r="AM1493" i="24"/>
  <c r="AL1493" i="24"/>
  <c r="AK1493" i="24"/>
  <c r="AN1500" i="24"/>
  <c r="AM1500" i="24"/>
  <c r="AL1500" i="24"/>
  <c r="AK1500" i="24"/>
  <c r="R26" i="13"/>
  <c r="T26" i="13" s="1"/>
  <c r="R25" i="13"/>
  <c r="T25" i="13" s="1"/>
  <c r="R36" i="13"/>
  <c r="T36" i="13" s="1"/>
  <c r="R34" i="13"/>
  <c r="T34" i="13" s="1"/>
  <c r="R32" i="13"/>
  <c r="T32" i="13" s="1"/>
  <c r="R33" i="13"/>
  <c r="T33" i="13" s="1"/>
  <c r="R29" i="13"/>
  <c r="T29" i="13" s="1"/>
  <c r="R30" i="13"/>
  <c r="T30" i="13" s="1"/>
  <c r="R28" i="13"/>
  <c r="T28" i="13" s="1"/>
  <c r="R27" i="13"/>
  <c r="T27" i="13" s="1"/>
  <c r="R18" i="13"/>
  <c r="T18" i="13" s="1"/>
  <c r="R20" i="13"/>
  <c r="T20" i="13" s="1"/>
  <c r="R14" i="13"/>
  <c r="T14" i="13" s="1"/>
  <c r="R12" i="13"/>
  <c r="T12" i="13" s="1"/>
  <c r="M76" i="18"/>
  <c r="AR108" i="24"/>
  <c r="AR115" i="24"/>
  <c r="N72" i="18"/>
  <c r="T72" i="18"/>
  <c r="AR119" i="24"/>
  <c r="M15" i="18"/>
  <c r="AO471" i="24" l="1"/>
  <c r="AO1437" i="24"/>
  <c r="AR1437" i="24" s="1"/>
  <c r="AR832" i="24"/>
  <c r="AO1158" i="24"/>
  <c r="AR1158" i="24" s="1"/>
  <c r="AO242" i="24"/>
  <c r="AR242" i="24" s="1"/>
  <c r="AO933" i="24"/>
  <c r="AR933" i="24" s="1"/>
  <c r="AO929" i="24"/>
  <c r="AR929" i="24" s="1"/>
  <c r="AO621" i="24"/>
  <c r="AO1167" i="24"/>
  <c r="AR1167" i="24" s="1"/>
  <c r="AO1098" i="24"/>
  <c r="AR1098" i="24" s="1"/>
  <c r="AO895" i="24"/>
  <c r="AR895" i="24" s="1"/>
  <c r="AO817" i="24"/>
  <c r="AR817" i="24" s="1"/>
  <c r="AO805" i="24"/>
  <c r="AR805" i="24" s="1"/>
  <c r="AO1405" i="24"/>
  <c r="AR1405" i="24" s="1"/>
  <c r="AO655" i="24"/>
  <c r="AR655" i="24" s="1"/>
  <c r="AO454" i="24"/>
  <c r="AR454" i="24" s="1"/>
  <c r="AO965" i="24"/>
  <c r="AR965" i="24" s="1"/>
  <c r="AO1066" i="24"/>
  <c r="AR1066" i="24" s="1"/>
  <c r="AO795" i="24"/>
  <c r="AR795" i="24" s="1"/>
  <c r="AO1236" i="24"/>
  <c r="AR1236" i="24" s="1"/>
  <c r="AO318" i="24"/>
  <c r="AO1112" i="24"/>
  <c r="AR1112" i="24" s="1"/>
  <c r="AO633" i="24"/>
  <c r="AR633" i="24" s="1"/>
  <c r="AO1357" i="24"/>
  <c r="AR1357" i="24" s="1"/>
  <c r="AO507" i="24"/>
  <c r="AR507" i="24" s="1"/>
  <c r="AO231" i="24"/>
  <c r="AR231" i="24" s="1"/>
  <c r="AO224" i="24"/>
  <c r="AR224" i="24" s="1"/>
  <c r="AO976" i="24"/>
  <c r="AR976" i="24" s="1"/>
  <c r="AO1022" i="24"/>
  <c r="AR1022" i="24" s="1"/>
  <c r="AO936" i="24"/>
  <c r="AR936" i="24" s="1"/>
  <c r="AO429" i="24"/>
  <c r="AR429" i="24" s="1"/>
  <c r="AO355" i="24"/>
  <c r="AR355" i="24" s="1"/>
  <c r="AO611" i="24"/>
  <c r="AR611" i="24" s="1"/>
  <c r="AO378" i="24"/>
  <c r="AR378" i="24" s="1"/>
  <c r="AO981" i="24"/>
  <c r="AR981" i="24" s="1"/>
  <c r="AO785" i="24"/>
  <c r="AR785" i="24" s="1"/>
  <c r="AO145" i="24"/>
  <c r="AR145" i="24" s="1"/>
  <c r="AO477" i="24"/>
  <c r="AR477" i="24" s="1"/>
  <c r="AO1190" i="24"/>
  <c r="AR1190" i="24" s="1"/>
  <c r="AO1245" i="24"/>
  <c r="AR1245" i="24" s="1"/>
  <c r="AO606" i="24"/>
  <c r="AR606" i="24" s="1"/>
  <c r="AO109" i="24"/>
  <c r="AR109" i="24" s="1"/>
  <c r="AO583" i="24"/>
  <c r="AR583" i="24" s="1"/>
  <c r="AO439" i="24"/>
  <c r="O123" i="18"/>
  <c r="Q76" i="18"/>
  <c r="Q86" i="18" s="1"/>
  <c r="AO162" i="24"/>
  <c r="AR162" i="24" s="1"/>
  <c r="AO889" i="24"/>
  <c r="AR889" i="24" s="1"/>
  <c r="AO1253" i="24"/>
  <c r="AR1253" i="24" s="1"/>
  <c r="AO282" i="24"/>
  <c r="AR282" i="24" s="1"/>
  <c r="AO944" i="24"/>
  <c r="AR944" i="24" s="1"/>
  <c r="AO822" i="24"/>
  <c r="AR822" i="24" s="1"/>
  <c r="AO1442" i="24"/>
  <c r="AR1442" i="24" s="1"/>
  <c r="AO92" i="24"/>
  <c r="AR92" i="24" s="1"/>
  <c r="AO737" i="24"/>
  <c r="AR737" i="24" s="1"/>
  <c r="AO326" i="24"/>
  <c r="AR326" i="24" s="1"/>
  <c r="AO643" i="24"/>
  <c r="AR643" i="24" s="1"/>
  <c r="AO100" i="24"/>
  <c r="AR100" i="24" s="1"/>
  <c r="AO1459" i="24"/>
  <c r="AR1459" i="24" s="1"/>
  <c r="AO566" i="24"/>
  <c r="AR566" i="24" s="1"/>
  <c r="AO419" i="24"/>
  <c r="AR419" i="24" s="1"/>
  <c r="AO837" i="24"/>
  <c r="AR837" i="24" s="1"/>
  <c r="AO336" i="24"/>
  <c r="AR336" i="24" s="1"/>
  <c r="AO1230" i="24"/>
  <c r="AR1230" i="24" s="1"/>
  <c r="AO723" i="24"/>
  <c r="AR723" i="24" s="1"/>
  <c r="AO66" i="24"/>
  <c r="AR66" i="24" s="1"/>
  <c r="AO518" i="24"/>
  <c r="AR518" i="24" s="1"/>
  <c r="AO998" i="24"/>
  <c r="AR998" i="24" s="1"/>
  <c r="AO1121" i="24"/>
  <c r="AR1121" i="24" s="1"/>
  <c r="AO170" i="24"/>
  <c r="AR170" i="24" s="1"/>
  <c r="AO578" i="24"/>
  <c r="AR578" i="24" s="1"/>
  <c r="AO192" i="24"/>
  <c r="AR192" i="24" s="1"/>
  <c r="AO1088" i="24"/>
  <c r="AR1088" i="24" s="1"/>
  <c r="AO467" i="24"/>
  <c r="AR467" i="24" s="1"/>
  <c r="AO361" i="24"/>
  <c r="AR361" i="24" s="1"/>
  <c r="AO278" i="24"/>
  <c r="AR278" i="24" s="1"/>
  <c r="AO1154" i="24"/>
  <c r="AR1154" i="24" s="1"/>
  <c r="AO673" i="24"/>
  <c r="AR673" i="24" s="1"/>
  <c r="AO910" i="24"/>
  <c r="AR910" i="24" s="1"/>
  <c r="AO371" i="24"/>
  <c r="AR371" i="24" s="1"/>
  <c r="AO1273" i="24"/>
  <c r="AR1273" i="24" s="1"/>
  <c r="AO1367" i="24"/>
  <c r="AR1367" i="24" s="1"/>
  <c r="AO256" i="24"/>
  <c r="AR256" i="24" s="1"/>
  <c r="AR471" i="24"/>
  <c r="AO669" i="24"/>
  <c r="AR669" i="24" s="1"/>
  <c r="AO396" i="24"/>
  <c r="AR396" i="24" s="1"/>
  <c r="AO213" i="24"/>
  <c r="AR213" i="24" s="1"/>
  <c r="AO666" i="24"/>
  <c r="AR666" i="24" s="1"/>
  <c r="AO595" i="24"/>
  <c r="AR595" i="24" s="1"/>
  <c r="AO1490" i="24"/>
  <c r="AR1490" i="24" s="1"/>
  <c r="AR439" i="24"/>
  <c r="AO512" i="24"/>
  <c r="AR512" i="24" s="1"/>
  <c r="M95" i="18"/>
  <c r="AO188" i="24"/>
  <c r="AR188" i="24" s="1"/>
  <c r="AO1071" i="24"/>
  <c r="AR1071" i="24" s="1"/>
  <c r="AO1084" i="24"/>
  <c r="AR1084" i="24" s="1"/>
  <c r="AO1516" i="24"/>
  <c r="AR1516" i="24" s="1"/>
  <c r="AO1265" i="24"/>
  <c r="AR1265" i="24" s="1"/>
  <c r="AO42" i="24"/>
  <c r="AR42" i="24" s="1"/>
  <c r="AO1390" i="24"/>
  <c r="AR1390" i="24" s="1"/>
  <c r="AO800" i="24"/>
  <c r="AR800" i="24" s="1"/>
  <c r="AO571" i="24"/>
  <c r="AR571" i="24" s="1"/>
  <c r="AO1411" i="24"/>
  <c r="AR1411" i="24" s="1"/>
  <c r="AO1301" i="24"/>
  <c r="AR1301" i="24" s="1"/>
  <c r="AO559" i="24"/>
  <c r="AR559" i="24" s="1"/>
  <c r="AR318" i="24"/>
  <c r="AO660" i="24"/>
  <c r="AR660" i="24" s="1"/>
  <c r="AO536" i="24"/>
  <c r="AR536" i="24" s="1"/>
  <c r="AO1323" i="24"/>
  <c r="AR1323" i="24" s="1"/>
  <c r="AO1400" i="24"/>
  <c r="AR1400" i="24" s="1"/>
  <c r="AO702" i="24"/>
  <c r="AR702" i="24" s="1"/>
  <c r="AO1091" i="24"/>
  <c r="AR1091" i="24" s="1"/>
  <c r="AO742" i="24"/>
  <c r="AR742" i="24" s="1"/>
  <c r="AO1345" i="24"/>
  <c r="AR1345" i="24" s="1"/>
  <c r="AO409" i="24"/>
  <c r="AR409" i="24" s="1"/>
  <c r="AO486" i="24"/>
  <c r="AR486" i="24" s="1"/>
  <c r="AO340" i="24"/>
  <c r="AR340" i="24" s="1"/>
  <c r="AO449" i="24"/>
  <c r="AR449" i="24" s="1"/>
  <c r="AO541" i="24"/>
  <c r="AR541" i="24" s="1"/>
  <c r="AO900" i="24"/>
  <c r="AR900" i="24" s="1"/>
  <c r="AO845" i="24"/>
  <c r="AR845" i="24" s="1"/>
  <c r="AO1315" i="24"/>
  <c r="AR1315" i="24" s="1"/>
  <c r="AO616" i="24"/>
  <c r="AR616" i="24" s="1"/>
  <c r="AO866" i="24"/>
  <c r="AR866" i="24" s="1"/>
  <c r="AO1370" i="24"/>
  <c r="AR1370" i="24" s="1"/>
  <c r="AO780" i="24"/>
  <c r="AR780" i="24" s="1"/>
  <c r="AO424" i="24"/>
  <c r="AR424" i="24" s="1"/>
  <c r="AO1217" i="24"/>
  <c r="AR1217" i="24" s="1"/>
  <c r="AO1311" i="24"/>
  <c r="AR1311" i="24" s="1"/>
  <c r="AO1362" i="24"/>
  <c r="AR1362" i="24" s="1"/>
  <c r="AO1131" i="24"/>
  <c r="AR1131" i="24" s="1"/>
  <c r="AR621" i="24"/>
  <c r="AO870" i="24"/>
  <c r="AR870" i="24" s="1"/>
  <c r="AO414" i="24"/>
  <c r="AR414" i="24" s="1"/>
  <c r="AO751" i="24"/>
  <c r="AR751" i="24" s="1"/>
  <c r="AO1185" i="24"/>
  <c r="AR1185" i="24" s="1"/>
  <c r="AO732" i="24"/>
  <c r="AR732" i="24" s="1"/>
  <c r="AO1109" i="24"/>
  <c r="AR1109" i="24" s="1"/>
  <c r="AO333" i="24"/>
  <c r="AR333" i="24" s="1"/>
  <c r="AO34" i="24"/>
  <c r="AR34" i="24" s="1"/>
  <c r="AO1126" i="24"/>
  <c r="AR1126" i="24" s="1"/>
  <c r="AO1143" i="24"/>
  <c r="AR1143" i="24" s="1"/>
  <c r="AO404" i="24"/>
  <c r="AR404" i="24" s="1"/>
  <c r="AO759" i="24"/>
  <c r="AR759" i="24" s="1"/>
  <c r="AO1290" i="24"/>
  <c r="AR1290" i="24" s="1"/>
  <c r="T77" i="18"/>
  <c r="N77" i="18"/>
  <c r="AO1203" i="24"/>
  <c r="AR1203" i="24" s="1"/>
  <c r="AO462" i="24"/>
  <c r="AR462" i="24" s="1"/>
  <c r="AO1079" i="24"/>
  <c r="AR1079" i="24" s="1"/>
  <c r="AO1241" i="24"/>
  <c r="AR1241" i="24" s="1"/>
  <c r="AO1416" i="24"/>
  <c r="AR1416" i="24" s="1"/>
  <c r="AO131" i="24"/>
  <c r="AR131" i="24" s="1"/>
  <c r="AO917" i="24"/>
  <c r="AR917" i="24" s="1"/>
  <c r="AO1175" i="24"/>
  <c r="AR1175" i="24" s="1"/>
  <c r="AO1278" i="24"/>
  <c r="AR1278" i="24" s="1"/>
  <c r="AO1340" i="24"/>
  <c r="AR1340" i="24" s="1"/>
  <c r="AO955" i="24"/>
  <c r="AR955" i="24" s="1"/>
  <c r="AO1306" i="24"/>
  <c r="AR1306" i="24" s="1"/>
  <c r="AO663" i="24"/>
  <c r="AR663" i="24" s="1"/>
  <c r="AO1478" i="24"/>
  <c r="AR1478" i="24" s="1"/>
  <c r="AO206" i="24"/>
  <c r="AR206" i="24" s="1"/>
  <c r="AO764" i="24"/>
  <c r="AR764" i="24" s="1"/>
  <c r="AO1295" i="24"/>
  <c r="AR1295" i="24" s="1"/>
  <c r="AO842" i="24"/>
  <c r="AR842" i="24" s="1"/>
  <c r="AO850" i="24"/>
  <c r="AR850" i="24" s="1"/>
  <c r="AO502" i="24"/>
  <c r="AR502" i="24" s="1"/>
  <c r="AO195" i="24"/>
  <c r="AR195" i="24" s="1"/>
  <c r="AO1014" i="24"/>
  <c r="AR1014" i="24" s="1"/>
  <c r="AO523" i="24"/>
  <c r="AR523" i="24" s="1"/>
  <c r="AR400" i="24"/>
  <c r="AO51" i="24"/>
  <c r="AR51" i="24" s="1"/>
  <c r="AO1528" i="24"/>
  <c r="AR1528" i="24" s="1"/>
  <c r="AO914" i="24"/>
  <c r="AR914" i="24" s="1"/>
  <c r="N93" i="18"/>
  <c r="AO697" i="24"/>
  <c r="AR697" i="24" s="1"/>
  <c r="AO993" i="24"/>
  <c r="AR993" i="24" s="1"/>
  <c r="AO296" i="24"/>
  <c r="AR296" i="24" s="1"/>
  <c r="AO531" i="24"/>
  <c r="AR531" i="24" s="1"/>
  <c r="AO862" i="24"/>
  <c r="AR862" i="24" s="1"/>
  <c r="AO1178" i="24"/>
  <c r="AR1178" i="24" s="1"/>
  <c r="AO790" i="24"/>
  <c r="AR790" i="24" s="1"/>
  <c r="AO1061" i="24"/>
  <c r="AR1061" i="24" s="1"/>
  <c r="AO574" i="24"/>
  <c r="AR574" i="24" s="1"/>
  <c r="AO691" i="24"/>
  <c r="AR691" i="24" s="1"/>
  <c r="AO707" i="24"/>
  <c r="AR707" i="24" s="1"/>
  <c r="AO444" i="24"/>
  <c r="AR444" i="24" s="1"/>
  <c r="AO497" i="24"/>
  <c r="AR497" i="24" s="1"/>
  <c r="AO1075" i="24"/>
  <c r="AR1075" i="24" s="1"/>
  <c r="AO482" i="24"/>
  <c r="AR482" i="24" s="1"/>
  <c r="AO554" i="24"/>
  <c r="AR554" i="24" s="1"/>
  <c r="AO717" i="24"/>
  <c r="AR717" i="24" s="1"/>
  <c r="AO1497" i="24"/>
  <c r="AR1497" i="24" s="1"/>
  <c r="AO459" i="24"/>
  <c r="AR459" i="24" s="1"/>
  <c r="AO153" i="24"/>
  <c r="AR153" i="24" s="1"/>
  <c r="AO827" i="24"/>
  <c r="AR827" i="24" s="1"/>
  <c r="AO1222" i="24"/>
  <c r="AR1222" i="24" s="1"/>
  <c r="AO1465" i="24"/>
  <c r="AR1465" i="24" s="1"/>
  <c r="AO1509" i="24"/>
  <c r="AR1509" i="24" s="1"/>
  <c r="AO549" i="24"/>
  <c r="AR549" i="24" s="1"/>
  <c r="AO769" i="24"/>
  <c r="AR769" i="24" s="1"/>
  <c r="L82" i="18"/>
  <c r="L58" i="18"/>
  <c r="L47" i="18"/>
  <c r="L20" i="18"/>
  <c r="L68" i="18"/>
  <c r="L96" i="18"/>
  <c r="L100" i="18" s="1"/>
  <c r="L33" i="18"/>
  <c r="L62" i="18"/>
  <c r="L36" i="18"/>
  <c r="L41" i="18"/>
  <c r="AB25" i="13"/>
  <c r="AE25" i="13"/>
  <c r="AB26" i="13"/>
  <c r="AE26" i="13"/>
  <c r="AB18" i="13"/>
  <c r="AE18" i="13"/>
  <c r="AB13" i="13"/>
  <c r="AE13" i="13"/>
  <c r="AB16" i="13"/>
  <c r="AE16" i="13"/>
  <c r="AB19" i="13"/>
  <c r="AE19" i="13"/>
  <c r="AB27" i="13"/>
  <c r="AE27" i="13"/>
  <c r="AB22" i="13"/>
  <c r="AE22" i="13"/>
  <c r="AB20" i="13"/>
  <c r="AE20" i="13"/>
  <c r="AB24" i="13"/>
  <c r="AE24" i="13"/>
  <c r="AB21" i="13"/>
  <c r="AE21" i="13"/>
  <c r="AB30" i="13"/>
  <c r="AE30" i="13"/>
  <c r="AB23" i="13"/>
  <c r="AE23" i="13"/>
  <c r="AB33" i="13"/>
  <c r="AE33" i="13"/>
  <c r="AB12" i="13"/>
  <c r="AE12" i="13"/>
  <c r="AE99" i="13" s="1"/>
  <c r="AB32" i="13"/>
  <c r="AE32" i="13"/>
  <c r="AB15" i="13"/>
  <c r="AE15" i="13"/>
  <c r="AB31" i="13"/>
  <c r="AE31" i="13"/>
  <c r="AB28" i="13"/>
  <c r="AE28" i="13"/>
  <c r="AB29" i="13"/>
  <c r="AE29" i="13"/>
  <c r="AB14" i="13"/>
  <c r="AE14" i="13"/>
  <c r="AB34" i="13"/>
  <c r="AE34" i="13"/>
  <c r="AB17" i="13"/>
  <c r="AE17" i="13"/>
  <c r="AB36" i="13"/>
  <c r="AE36" i="13"/>
  <c r="AB35" i="13"/>
  <c r="AE35" i="13"/>
  <c r="AO331" i="24"/>
  <c r="AO1452" i="24"/>
  <c r="AR1452" i="24" s="1"/>
  <c r="AO1397" i="24"/>
  <c r="AO1369" i="24"/>
  <c r="AR1369" i="24" s="1"/>
  <c r="AO1352" i="24"/>
  <c r="AR1352" i="24" s="1"/>
  <c r="AO1330" i="24"/>
  <c r="AR1330" i="24" s="1"/>
  <c r="AO1318" i="24"/>
  <c r="AR1318" i="24" s="1"/>
  <c r="AO1205" i="24"/>
  <c r="AR1205" i="24" s="1"/>
  <c r="AO1057" i="24"/>
  <c r="AR1057" i="24" s="1"/>
  <c r="AO988" i="24"/>
  <c r="AR988" i="24" s="1"/>
  <c r="AO844" i="24"/>
  <c r="AO662" i="24"/>
  <c r="AR662" i="24" s="1"/>
  <c r="AO1538" i="24"/>
  <c r="AR1538" i="24" s="1"/>
  <c r="AO1526" i="24"/>
  <c r="AR1526" i="24" s="1"/>
  <c r="AO437" i="24"/>
  <c r="AR437" i="24" s="1"/>
  <c r="AO1488" i="24"/>
  <c r="AR1488" i="24" s="1"/>
  <c r="AO1469" i="24"/>
  <c r="AR1469" i="24" s="1"/>
  <c r="AO1548" i="24"/>
  <c r="AR1548" i="24" s="1"/>
  <c r="AC25" i="13" s="1"/>
  <c r="AO1519" i="24"/>
  <c r="AR1519" i="24" s="1"/>
  <c r="AP2011" i="24"/>
  <c r="L126" i="18" s="1"/>
  <c r="AO1507" i="24"/>
  <c r="AR1507" i="24" s="1"/>
  <c r="AO41" i="24"/>
  <c r="AO1457" i="24"/>
  <c r="AO1237" i="24"/>
  <c r="AO1090" i="24"/>
  <c r="AR1090" i="24" s="1"/>
  <c r="AO1077" i="24"/>
  <c r="AR1077" i="24" s="1"/>
  <c r="AO995" i="24"/>
  <c r="AR995" i="24" s="1"/>
  <c r="AO1444" i="24"/>
  <c r="AR1444" i="24" s="1"/>
  <c r="AO615" i="24"/>
  <c r="AO1219" i="24"/>
  <c r="AR1219" i="24" s="1"/>
  <c r="AO1062" i="24"/>
  <c r="AR1062" i="24" s="1"/>
  <c r="AO1308" i="24"/>
  <c r="AR1308" i="24" s="1"/>
  <c r="AO1285" i="24"/>
  <c r="AR1285" i="24" s="1"/>
  <c r="AO1267" i="24"/>
  <c r="AR1267" i="24" s="1"/>
  <c r="AO1191" i="24"/>
  <c r="AR1191" i="24" s="1"/>
  <c r="AO1173" i="24"/>
  <c r="AR1173" i="24" s="1"/>
  <c r="AO1160" i="24"/>
  <c r="AR1160" i="24" s="1"/>
  <c r="AO1132" i="24"/>
  <c r="AO1008" i="24"/>
  <c r="AR1008" i="24" s="1"/>
  <c r="AO469" i="24"/>
  <c r="AR469" i="24" s="1"/>
  <c r="AO1248" i="24"/>
  <c r="AO1118" i="24"/>
  <c r="AR1118" i="24" s="1"/>
  <c r="AO1097" i="24"/>
  <c r="AR1097" i="24" s="1"/>
  <c r="AO1047" i="24"/>
  <c r="AR1047" i="24" s="1"/>
  <c r="AO872" i="24"/>
  <c r="AR872" i="24" s="1"/>
  <c r="AO422" i="24"/>
  <c r="AR422" i="24" s="1"/>
  <c r="AO366" i="24"/>
  <c r="AO957" i="24"/>
  <c r="AR957" i="24" s="1"/>
  <c r="AO1418" i="24"/>
  <c r="AR1418" i="24" s="1"/>
  <c r="AO1229" i="24"/>
  <c r="AO1216" i="24"/>
  <c r="AR1216" i="24" s="1"/>
  <c r="AO1085" i="24"/>
  <c r="AR1085" i="24" s="1"/>
  <c r="AO1072" i="24"/>
  <c r="AO1019" i="24"/>
  <c r="AR1019" i="24" s="1"/>
  <c r="AO14" i="24"/>
  <c r="AO1431" i="24"/>
  <c r="AR1431" i="24" s="1"/>
  <c r="AO1149" i="24"/>
  <c r="AO1302" i="24"/>
  <c r="AR1302" i="24" s="1"/>
  <c r="AO1280" i="24"/>
  <c r="AR1280" i="24" s="1"/>
  <c r="AO1184" i="24"/>
  <c r="AR1184" i="24" s="1"/>
  <c r="AO1170" i="24"/>
  <c r="AR1170" i="24" s="1"/>
  <c r="AO1127" i="24"/>
  <c r="AO1032" i="24"/>
  <c r="AR1032" i="24" s="1"/>
  <c r="T96" i="13"/>
  <c r="AO1500" i="24"/>
  <c r="AR1500" i="24" s="1"/>
  <c r="AO1475" i="24"/>
  <c r="AR1475" i="24" s="1"/>
  <c r="AO1462" i="24"/>
  <c r="AR1462" i="24" s="1"/>
  <c r="AO1260" i="24"/>
  <c r="AR1260" i="24" s="1"/>
  <c r="AO1115" i="24"/>
  <c r="AO1094" i="24"/>
  <c r="AR1094" i="24" s="1"/>
  <c r="AO1003" i="24"/>
  <c r="AR1003" i="24" s="1"/>
  <c r="AO50" i="24"/>
  <c r="AR50" i="24" s="1"/>
  <c r="AO356" i="24"/>
  <c r="R96" i="13"/>
  <c r="R97" i="13" s="1"/>
  <c r="AO1224" i="24"/>
  <c r="AR1224" i="24" s="1"/>
  <c r="AO1081" i="24"/>
  <c r="AR1081" i="24" s="1"/>
  <c r="AO263" i="24"/>
  <c r="AO1441" i="24"/>
  <c r="AR1441" i="24" s="1"/>
  <c r="AO1243" i="24"/>
  <c r="AR1243" i="24" s="1"/>
  <c r="AO1067" i="24"/>
  <c r="AO1042" i="24"/>
  <c r="AR1042" i="24" s="1"/>
  <c r="AO902" i="24"/>
  <c r="AR902" i="24" s="1"/>
  <c r="AO386" i="24"/>
  <c r="AO1412" i="24"/>
  <c r="AR1412" i="24" s="1"/>
  <c r="AO1377" i="24"/>
  <c r="AO1364" i="24"/>
  <c r="AR1364" i="24" s="1"/>
  <c r="AO1347" i="24"/>
  <c r="AR1347" i="24" s="1"/>
  <c r="AO1325" i="24"/>
  <c r="AR1325" i="24" s="1"/>
  <c r="AO1313" i="24"/>
  <c r="AR1313" i="24" s="1"/>
  <c r="AO1213" i="24"/>
  <c r="AR1213" i="24" s="1"/>
  <c r="AO1013" i="24"/>
  <c r="AR1013" i="24" s="1"/>
  <c r="AO983" i="24"/>
  <c r="AO308" i="24"/>
  <c r="AO1447" i="24"/>
  <c r="AR1447" i="24" s="1"/>
  <c r="AO1297" i="24"/>
  <c r="AR1297" i="24" s="1"/>
  <c r="AO1196" i="24"/>
  <c r="AR1196" i="24" s="1"/>
  <c r="AO1181" i="24"/>
  <c r="AR1181" i="24" s="1"/>
  <c r="AO1164" i="24"/>
  <c r="AR1164" i="24" s="1"/>
  <c r="AO1137" i="24"/>
  <c r="AR1137" i="24" s="1"/>
  <c r="AO1124" i="24"/>
  <c r="AR1124" i="24" s="1"/>
  <c r="AO1052" i="24"/>
  <c r="AR1052" i="24" s="1"/>
  <c r="AO1272" i="24"/>
  <c r="AR1272" i="24" s="1"/>
  <c r="AO1493" i="24"/>
  <c r="AR1493" i="24" s="1"/>
  <c r="AO1472" i="24"/>
  <c r="AR1472" i="24" s="1"/>
  <c r="AO1426" i="24"/>
  <c r="AR1426" i="24" s="1"/>
  <c r="AO1252" i="24"/>
  <c r="AR1252" i="24" s="1"/>
  <c r="AO1104" i="24"/>
  <c r="AR1104" i="24" s="1"/>
  <c r="AO1027" i="24"/>
  <c r="AR1027" i="24" s="1"/>
  <c r="AO725" i="24"/>
  <c r="AR725" i="24" s="1"/>
  <c r="AO594" i="24"/>
  <c r="AO500" i="24"/>
  <c r="AR500" i="24" s="1"/>
  <c r="AO373" i="24"/>
  <c r="AO967" i="24"/>
  <c r="AO834" i="24"/>
  <c r="AR834" i="24" s="1"/>
  <c r="AO1436" i="24"/>
  <c r="AR1436" i="24" s="1"/>
  <c r="AO1407" i="24"/>
  <c r="AR1407" i="24" s="1"/>
  <c r="AO1374" i="24"/>
  <c r="AR1374" i="24" s="1"/>
  <c r="AO1359" i="24"/>
  <c r="AR1359" i="24" s="1"/>
  <c r="AO1342" i="24"/>
  <c r="AR1342" i="24" s="1"/>
  <c r="AO1322" i="24"/>
  <c r="AO1209" i="24"/>
  <c r="AR1209" i="24" s="1"/>
  <c r="AO1037" i="24"/>
  <c r="AR1037" i="24" s="1"/>
  <c r="AO701" i="24"/>
  <c r="AO807" i="24"/>
  <c r="AO978" i="24"/>
  <c r="AO95" i="24"/>
  <c r="AO761" i="24"/>
  <c r="AR761" i="24" s="1"/>
  <c r="AO412" i="24"/>
  <c r="AR412" i="24" s="1"/>
  <c r="AO753" i="24"/>
  <c r="AR753" i="24" s="1"/>
  <c r="AO190" i="24"/>
  <c r="AO505" i="24"/>
  <c r="AR505" i="24" s="1"/>
  <c r="AO839" i="24"/>
  <c r="AO912" i="24"/>
  <c r="AR912" i="24" s="1"/>
  <c r="AO891" i="24"/>
  <c r="AR891" i="24" s="1"/>
  <c r="AO766" i="24"/>
  <c r="AR766" i="24" s="1"/>
  <c r="AO402" i="24"/>
  <c r="AR402" i="24" s="1"/>
  <c r="AO146" i="24"/>
  <c r="AO642" i="24"/>
  <c r="AO610" i="24"/>
  <c r="AO605" i="24"/>
  <c r="AR605" i="24" s="1"/>
  <c r="AO729" i="24"/>
  <c r="AR729" i="24" s="1"/>
  <c r="AO802" i="24"/>
  <c r="AR802" i="24" s="1"/>
  <c r="AO237" i="24"/>
  <c r="AO277" i="24"/>
  <c r="AO321" i="24"/>
  <c r="AO125" i="24"/>
  <c r="AR125" i="24" s="1"/>
  <c r="AO196" i="24"/>
  <c r="AO201" i="24"/>
  <c r="AO381" i="24"/>
  <c r="AO672" i="24"/>
  <c r="AR672" i="24" s="1"/>
  <c r="AO864" i="24"/>
  <c r="AO452" i="24"/>
  <c r="AR452" i="24" s="1"/>
  <c r="AO706" i="24"/>
  <c r="AR706" i="24" s="1"/>
  <c r="AO632" i="24"/>
  <c r="AO734" i="24"/>
  <c r="AO87" i="24"/>
  <c r="AO637" i="24"/>
  <c r="AO744" i="24"/>
  <c r="AR744" i="24" s="1"/>
  <c r="AO739" i="24"/>
  <c r="AR739" i="24" s="1"/>
  <c r="AO64" i="24"/>
  <c r="AR64" i="24" s="1"/>
  <c r="AO916" i="24"/>
  <c r="AO268" i="24"/>
  <c r="AO565" i="24"/>
  <c r="AR565" i="24" s="1"/>
  <c r="AO273" i="24"/>
  <c r="AO460" i="24"/>
  <c r="AR460" i="24" s="1"/>
  <c r="AO540" i="24"/>
  <c r="AO824" i="24"/>
  <c r="AO868" i="24"/>
  <c r="AR868" i="24" s="1"/>
  <c r="AO852" i="24"/>
  <c r="AR852" i="24" s="1"/>
  <c r="AO447" i="24"/>
  <c r="AR447" i="24" s="1"/>
  <c r="AO847" i="24"/>
  <c r="AR847" i="24" s="1"/>
  <c r="AO714" i="24"/>
  <c r="AR714" i="24" s="1"/>
  <c r="AO33" i="24"/>
  <c r="AO214" i="24"/>
  <c r="AO897" i="24"/>
  <c r="AR897" i="24" s="1"/>
  <c r="AO457" i="24"/>
  <c r="AR457" i="24" s="1"/>
  <c r="AO442" i="24"/>
  <c r="AR442" i="24" s="1"/>
  <c r="AO432" i="24"/>
  <c r="AR432" i="24" s="1"/>
  <c r="AO719" i="24"/>
  <c r="AR719" i="24" s="1"/>
  <c r="AO654" i="24"/>
  <c r="AR654" i="24" s="1"/>
  <c r="AO427" i="24"/>
  <c r="AR427" i="24" s="1"/>
  <c r="AO829" i="24"/>
  <c r="AR829" i="24" s="1"/>
  <c r="AO696" i="24"/>
  <c r="AO931" i="24"/>
  <c r="AR931" i="24" s="1"/>
  <c r="AO659" i="24"/>
  <c r="AR659" i="24" s="1"/>
  <c r="AO510" i="24"/>
  <c r="AO690" i="24"/>
  <c r="AO155" i="24"/>
  <c r="AO187" i="24"/>
  <c r="AO246" i="24"/>
  <c r="AO553" i="24"/>
  <c r="AO620" i="24"/>
  <c r="AO548" i="24"/>
  <c r="AO792" i="24"/>
  <c r="AR792" i="24" s="1"/>
  <c r="AO495" i="24"/>
  <c r="AR495" i="24" s="1"/>
  <c r="AO665" i="24"/>
  <c r="AR665" i="24" s="1"/>
  <c r="AO535" i="24"/>
  <c r="AO787" i="24"/>
  <c r="AR787" i="24" s="1"/>
  <c r="AO251" i="24"/>
  <c r="AO919" i="24"/>
  <c r="AR919" i="24" s="1"/>
  <c r="AO226" i="24"/>
  <c r="AO178" i="24"/>
  <c r="AO558" i="24"/>
  <c r="AO163" i="24"/>
  <c r="AR163" i="24" s="1"/>
  <c r="AO335" i="24"/>
  <c r="AO138" i="24"/>
  <c r="AO570" i="24"/>
  <c r="AO328" i="24"/>
  <c r="AO668" i="24"/>
  <c r="AR668" i="24" s="1"/>
  <c r="AO582" i="24"/>
  <c r="AO484" i="24"/>
  <c r="AO104" i="24"/>
  <c r="AR104" i="24" s="1"/>
  <c r="AO117" i="24"/>
  <c r="AO577" i="24"/>
  <c r="AL9" i="24"/>
  <c r="AL2011" i="24" s="1"/>
  <c r="AK9" i="24"/>
  <c r="AK2011" i="24" s="1"/>
  <c r="AN9" i="24"/>
  <c r="AM9" i="24"/>
  <c r="AM2011" i="24" s="1"/>
  <c r="AO345" i="24"/>
  <c r="AR345" i="24" s="1"/>
  <c r="AO291" i="24"/>
  <c r="AO208" i="24"/>
  <c r="AO573" i="24"/>
  <c r="AO19" i="24"/>
  <c r="AR19" i="24" s="1"/>
  <c r="AO465" i="24"/>
  <c r="AR465" i="24" s="1"/>
  <c r="AO395" i="24"/>
  <c r="AO281" i="24"/>
  <c r="AO391" i="24"/>
  <c r="AO480" i="24"/>
  <c r="AR480" i="24" s="1"/>
  <c r="AO475" i="24"/>
  <c r="AR475" i="24" s="1"/>
  <c r="AO530" i="24"/>
  <c r="AO286" i="24"/>
  <c r="AO782" i="24"/>
  <c r="AR782" i="24" s="1"/>
  <c r="AO819" i="24"/>
  <c r="AO946" i="24"/>
  <c r="AR946" i="24" s="1"/>
  <c r="AO935" i="24"/>
  <c r="AR935" i="24" s="1"/>
  <c r="AO938" i="24"/>
  <c r="AR938" i="24" s="1"/>
  <c r="AO219" i="24"/>
  <c r="AO797" i="24"/>
  <c r="AO771" i="24"/>
  <c r="AR771" i="24" s="1"/>
  <c r="AO517" i="24"/>
  <c r="AO232" i="24"/>
  <c r="AO417" i="24"/>
  <c r="AR417" i="24" s="1"/>
  <c r="AO303" i="24"/>
  <c r="AO72" i="24"/>
  <c r="AO877" i="24"/>
  <c r="AR877" i="24" s="1"/>
  <c r="AO183" i="24"/>
  <c r="AO313" i="24"/>
  <c r="AO350" i="24"/>
  <c r="AR350" i="24" s="1"/>
  <c r="AO522" i="24"/>
  <c r="AR522" i="24" s="1"/>
  <c r="AO407" i="24"/>
  <c r="AR407" i="24" s="1"/>
  <c r="T15" i="18"/>
  <c r="N15" i="18"/>
  <c r="T17" i="18"/>
  <c r="N17" i="18"/>
  <c r="L86" i="18" l="1"/>
  <c r="Q123" i="18"/>
  <c r="M49" i="18"/>
  <c r="AD25" i="13"/>
  <c r="AR690" i="24"/>
  <c r="AR535" i="24"/>
  <c r="AR33" i="24"/>
  <c r="AR916" i="24"/>
  <c r="AR146" i="24"/>
  <c r="AR978" i="24"/>
  <c r="AR570" i="24"/>
  <c r="AR696" i="24"/>
  <c r="AR517" i="24"/>
  <c r="AR138" i="24"/>
  <c r="AR594" i="24"/>
  <c r="AR1127" i="24"/>
  <c r="AR1229" i="24"/>
  <c r="AR1132" i="24"/>
  <c r="AR117" i="24"/>
  <c r="AR558" i="24"/>
  <c r="AR824" i="24"/>
  <c r="AR1457" i="24"/>
  <c r="AR232" i="24"/>
  <c r="AR335" i="24"/>
  <c r="AR548" i="24"/>
  <c r="AR637" i="24"/>
  <c r="AR1377" i="24"/>
  <c r="AR356" i="24"/>
  <c r="AR642" i="24"/>
  <c r="AR95" i="24"/>
  <c r="AR797" i="24"/>
  <c r="AR577" i="24"/>
  <c r="AR620" i="24"/>
  <c r="AR87" i="24"/>
  <c r="AR277" i="24"/>
  <c r="AR839" i="24"/>
  <c r="AR1237" i="24"/>
  <c r="AR540" i="24"/>
  <c r="AR632" i="24"/>
  <c r="AR41" i="24"/>
  <c r="AR983" i="24"/>
  <c r="AR1067" i="24"/>
  <c r="AR553" i="24"/>
  <c r="AR1115" i="24"/>
  <c r="AR1149" i="24"/>
  <c r="AR155" i="24"/>
  <c r="AR610" i="24"/>
  <c r="AR510" i="24"/>
  <c r="AR484" i="24"/>
  <c r="AR864" i="24"/>
  <c r="AR967" i="24"/>
  <c r="AR1072" i="24"/>
  <c r="AR1248" i="24"/>
  <c r="AR615" i="24"/>
  <c r="AR187" i="24"/>
  <c r="AR530" i="24"/>
  <c r="AR807" i="24"/>
  <c r="AR373" i="24"/>
  <c r="AR582" i="24"/>
  <c r="AR701" i="24"/>
  <c r="AR1397" i="24"/>
  <c r="AP2014" i="24"/>
  <c r="AR395" i="24"/>
  <c r="AR331" i="24"/>
  <c r="AN2011" i="24"/>
  <c r="AR308" i="24"/>
  <c r="AR386" i="24"/>
  <c r="AR263" i="24"/>
  <c r="AR14" i="24"/>
  <c r="AR366" i="24"/>
  <c r="AR844" i="24"/>
  <c r="AC20" i="13"/>
  <c r="AD20" i="13" s="1"/>
  <c r="AB96" i="13"/>
  <c r="AF2" i="24" s="1"/>
  <c r="AC19" i="13"/>
  <c r="AD19" i="13" s="1"/>
  <c r="AC24" i="13"/>
  <c r="AD24" i="13" s="1"/>
  <c r="AC18" i="13"/>
  <c r="AD18" i="13" s="1"/>
  <c r="AC22" i="13"/>
  <c r="AD22" i="13" s="1"/>
  <c r="AC26" i="13"/>
  <c r="AD26" i="13" s="1"/>
  <c r="AC23" i="13"/>
  <c r="AD23" i="13" s="1"/>
  <c r="AC14" i="13"/>
  <c r="AD14" i="13" s="1"/>
  <c r="AE101" i="13"/>
  <c r="AE102" i="13" s="1"/>
  <c r="AC15" i="13"/>
  <c r="AD15" i="13" s="1"/>
  <c r="AE96" i="13"/>
  <c r="M79" i="18"/>
  <c r="M71" i="18"/>
  <c r="AR1322" i="24"/>
  <c r="AC21" i="13" s="1"/>
  <c r="AD21" i="13" s="1"/>
  <c r="N92" i="18"/>
  <c r="AR313" i="24"/>
  <c r="AR183" i="24"/>
  <c r="AR72" i="24"/>
  <c r="AR303" i="24"/>
  <c r="AR219" i="24"/>
  <c r="AR819" i="24"/>
  <c r="AR286" i="24"/>
  <c r="AR391" i="24"/>
  <c r="AR281" i="24"/>
  <c r="T33" i="18"/>
  <c r="N33" i="18"/>
  <c r="N96" i="18"/>
  <c r="T96" i="18"/>
  <c r="AR573" i="24"/>
  <c r="AR208" i="24"/>
  <c r="AR291" i="24"/>
  <c r="AO9" i="24"/>
  <c r="M92" i="18"/>
  <c r="AR328" i="24"/>
  <c r="AR178" i="24"/>
  <c r="AC27" i="13" s="1"/>
  <c r="AD27" i="13" s="1"/>
  <c r="M46" i="18"/>
  <c r="AR226" i="24"/>
  <c r="M43" i="18"/>
  <c r="AR251" i="24"/>
  <c r="AR246" i="24"/>
  <c r="N58" i="18"/>
  <c r="T58" i="18"/>
  <c r="T82" i="18"/>
  <c r="N82" i="18"/>
  <c r="N20" i="18"/>
  <c r="T20" i="18"/>
  <c r="AR214" i="24"/>
  <c r="N47" i="18"/>
  <c r="T47" i="18"/>
  <c r="AR273" i="24"/>
  <c r="AR268" i="24"/>
  <c r="AR734" i="24"/>
  <c r="T36" i="18"/>
  <c r="N36" i="18"/>
  <c r="M38" i="18"/>
  <c r="AR381" i="24"/>
  <c r="AR201" i="24"/>
  <c r="AR196" i="24"/>
  <c r="AR321" i="24"/>
  <c r="N68" i="18"/>
  <c r="T68" i="18"/>
  <c r="AR237" i="24"/>
  <c r="M67" i="18"/>
  <c r="N44" i="18"/>
  <c r="T44" i="18"/>
  <c r="M85" i="18"/>
  <c r="AR190" i="24"/>
  <c r="M61" i="18"/>
  <c r="T41" i="18"/>
  <c r="N41" i="18"/>
  <c r="T62" i="18"/>
  <c r="N62" i="18"/>
  <c r="N76" i="18"/>
  <c r="R93" i="18" l="1"/>
  <c r="T93" i="18"/>
  <c r="T94" i="18"/>
  <c r="R94" i="18"/>
  <c r="AO2014" i="24"/>
  <c r="AC17" i="13"/>
  <c r="AD17" i="13" s="1"/>
  <c r="AO2011" i="24"/>
  <c r="L125" i="18" s="1"/>
  <c r="L128" i="18" s="1"/>
  <c r="AC16" i="13"/>
  <c r="AD16" i="13" s="1"/>
  <c r="AC13" i="13"/>
  <c r="AD13" i="13" s="1"/>
  <c r="AE103" i="13"/>
  <c r="T92" i="18"/>
  <c r="T49" i="18"/>
  <c r="M99" i="18"/>
  <c r="M100" i="18" s="1"/>
  <c r="T22" i="18"/>
  <c r="M22" i="18"/>
  <c r="M86" i="18" s="1"/>
  <c r="AR9" i="24"/>
  <c r="R100" i="18" l="1"/>
  <c r="N3" i="18"/>
  <c r="O3" i="18" s="1"/>
  <c r="R76" i="18"/>
  <c r="T76" i="18"/>
  <c r="T95" i="18"/>
  <c r="N95" i="18"/>
  <c r="AC12" i="13"/>
  <c r="AD12" i="13" s="1"/>
  <c r="AC75" i="13"/>
  <c r="AD75" i="13" s="1"/>
  <c r="AC86" i="13"/>
  <c r="AD86" i="13" s="1"/>
  <c r="AC51" i="13"/>
  <c r="AD51" i="13" s="1"/>
  <c r="AC87" i="13"/>
  <c r="AD87" i="13" s="1"/>
  <c r="AC82" i="13"/>
  <c r="AD82" i="13" s="1"/>
  <c r="AC90" i="13"/>
  <c r="AD90" i="13" s="1"/>
  <c r="AC45" i="13"/>
  <c r="AD45" i="13" s="1"/>
  <c r="AC49" i="13"/>
  <c r="AD49" i="13" s="1"/>
  <c r="AC35" i="13"/>
  <c r="AD35" i="13" s="1"/>
  <c r="AC40" i="13"/>
  <c r="AD40" i="13" s="1"/>
  <c r="AC94" i="13"/>
  <c r="AD94" i="13" s="1"/>
  <c r="AC48" i="13"/>
  <c r="AD48" i="13" s="1"/>
  <c r="AC67" i="13"/>
  <c r="AD67" i="13" s="1"/>
  <c r="AC65" i="13"/>
  <c r="AD65" i="13" s="1"/>
  <c r="AC59" i="13"/>
  <c r="AD59" i="13" s="1"/>
  <c r="AC74" i="13"/>
  <c r="AD74" i="13" s="1"/>
  <c r="AC91" i="13"/>
  <c r="AD91" i="13" s="1"/>
  <c r="AC80" i="13"/>
  <c r="AD80" i="13" s="1"/>
  <c r="AC95" i="13"/>
  <c r="AD95" i="13" s="1"/>
  <c r="AC92" i="13"/>
  <c r="AD92" i="13" s="1"/>
  <c r="AC44" i="13"/>
  <c r="AD44" i="13" s="1"/>
  <c r="AC61" i="13"/>
  <c r="AD61" i="13" s="1"/>
  <c r="AC32" i="13"/>
  <c r="AD32" i="13" s="1"/>
  <c r="AC62" i="13"/>
  <c r="AD62" i="13" s="1"/>
  <c r="AC58" i="13"/>
  <c r="AD58" i="13" s="1"/>
  <c r="AC84" i="13"/>
  <c r="AD84" i="13" s="1"/>
  <c r="AC78" i="13"/>
  <c r="AD78" i="13" s="1"/>
  <c r="AC89" i="13"/>
  <c r="AD89" i="13" s="1"/>
  <c r="AC66" i="13"/>
  <c r="AD66" i="13" s="1"/>
  <c r="AC73" i="13"/>
  <c r="AD73" i="13" s="1"/>
  <c r="AC68" i="13"/>
  <c r="AD68" i="13" s="1"/>
  <c r="AC70" i="13"/>
  <c r="AD70" i="13" s="1"/>
  <c r="AC42" i="13"/>
  <c r="AD42" i="13" s="1"/>
  <c r="AC41" i="13"/>
  <c r="AD41" i="13" s="1"/>
  <c r="AC77" i="13"/>
  <c r="AD77" i="13" s="1"/>
  <c r="AC55" i="13"/>
  <c r="AD55" i="13" s="1"/>
  <c r="AC83" i="13"/>
  <c r="AD83" i="13" s="1"/>
  <c r="AC64" i="13"/>
  <c r="AD64" i="13" s="1"/>
  <c r="AC47" i="13"/>
  <c r="AD47" i="13" s="1"/>
  <c r="AC72" i="13"/>
  <c r="AD72" i="13" s="1"/>
  <c r="AC57" i="13"/>
  <c r="AD57" i="13" s="1"/>
  <c r="AC60" i="13"/>
  <c r="AD60" i="13" s="1"/>
  <c r="AC37" i="13"/>
  <c r="AD37" i="13" s="1"/>
  <c r="AC34" i="13"/>
  <c r="AD34" i="13" s="1"/>
  <c r="AC53" i="13"/>
  <c r="AD53" i="13" s="1"/>
  <c r="AC81" i="13"/>
  <c r="AD81" i="13" s="1"/>
  <c r="AC50" i="13"/>
  <c r="AD50" i="13" s="1"/>
  <c r="AC39" i="13"/>
  <c r="AD39" i="13" s="1"/>
  <c r="AC36" i="13"/>
  <c r="AD36" i="13" s="1"/>
  <c r="AC79" i="13"/>
  <c r="AD79" i="13" s="1"/>
  <c r="AC54" i="13"/>
  <c r="AD54" i="13" s="1"/>
  <c r="AC33" i="13"/>
  <c r="AD33" i="13" s="1"/>
  <c r="AC88" i="13"/>
  <c r="AD88" i="13" s="1"/>
  <c r="AC69" i="13"/>
  <c r="AD69" i="13" s="1"/>
  <c r="AC38" i="13"/>
  <c r="AD38" i="13" s="1"/>
  <c r="AC76" i="13"/>
  <c r="AD76" i="13" s="1"/>
  <c r="AC46" i="13"/>
  <c r="AD46" i="13" s="1"/>
  <c r="AC43" i="13"/>
  <c r="AD43" i="13" s="1"/>
  <c r="AC93" i="13"/>
  <c r="AD93" i="13" s="1"/>
  <c r="AC52" i="13"/>
  <c r="AD52" i="13" s="1"/>
  <c r="AC63" i="13"/>
  <c r="AD63" i="13" s="1"/>
  <c r="AC85" i="13"/>
  <c r="AD85" i="13" s="1"/>
  <c r="AC71" i="13"/>
  <c r="AD71" i="13" s="1"/>
  <c r="AC56" i="13"/>
  <c r="AD56" i="13" s="1"/>
  <c r="K123" i="18"/>
  <c r="N49" i="18"/>
  <c r="AR2011" i="24"/>
  <c r="AR2013" i="24" s="1"/>
  <c r="AR2" i="24" s="1"/>
  <c r="M123" i="18"/>
  <c r="T99" i="18"/>
  <c r="N22" i="18"/>
  <c r="N71" i="18"/>
  <c r="T46" i="18"/>
  <c r="N46" i="18"/>
  <c r="N43" i="18"/>
  <c r="T79" i="18"/>
  <c r="N79" i="18"/>
  <c r="T38" i="18"/>
  <c r="N38" i="18"/>
  <c r="T85" i="18"/>
  <c r="N85" i="18"/>
  <c r="T67" i="18"/>
  <c r="N67" i="18"/>
  <c r="N61" i="18"/>
  <c r="T61" i="18"/>
  <c r="Y2024" i="24"/>
  <c r="Z2024" i="24"/>
  <c r="AA2021" i="24"/>
  <c r="AA2024" i="24" s="1"/>
  <c r="AA2029" i="24" s="1"/>
  <c r="AA2030" i="24" s="1"/>
  <c r="N86" i="18" l="1"/>
  <c r="AD96" i="13"/>
  <c r="AC96" i="13"/>
  <c r="T100" i="18"/>
  <c r="N99" i="18"/>
  <c r="N100" i="18" s="1"/>
  <c r="AB97" i="13"/>
  <c r="AB98" i="13" s="1"/>
  <c r="Y2032" i="24"/>
  <c r="Y2029" i="24"/>
  <c r="Z2032" i="24"/>
  <c r="Z2029" i="24"/>
  <c r="AA2032" i="24"/>
  <c r="AA2033" i="24" s="1"/>
  <c r="R71" i="18" l="1"/>
  <c r="T71" i="18"/>
  <c r="L123" i="18"/>
  <c r="R43" i="18"/>
  <c r="R86" i="18" s="1"/>
  <c r="T43" i="18"/>
  <c r="N123" i="18"/>
  <c r="L130" i="18" l="1"/>
  <c r="R123" i="18"/>
  <c r="N2" i="18"/>
  <c r="O2" i="18" s="1"/>
  <c r="P123" i="18"/>
  <c r="T123" i="18" s="1"/>
  <c r="T86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T Namkung</author>
  </authors>
  <commentList>
    <comment ref="P4" authorId="0" shapeId="0" xr:uid="{A7AAC014-49AE-438A-A125-C7F88497C6D4}">
      <text>
        <r>
          <rPr>
            <b/>
            <sz val="9"/>
            <color indexed="81"/>
            <rFont val="Tahoma"/>
            <family val="2"/>
          </rPr>
          <t>DMH</t>
        </r>
        <r>
          <rPr>
            <sz val="9"/>
            <color indexed="81"/>
            <rFont val="Tahoma"/>
            <family val="2"/>
          </rPr>
          <t xml:space="preserve">
Enter shift request funds
</t>
        </r>
      </text>
    </comment>
    <comment ref="Q5" authorId="0" shapeId="0" xr:uid="{E5A3BE1B-394E-48BA-8E11-BE5F58694EEC}">
      <text>
        <r>
          <rPr>
            <b/>
            <sz val="9"/>
            <color indexed="81"/>
            <rFont val="Tahoma"/>
            <family val="2"/>
          </rPr>
          <t xml:space="preserve">DMH
</t>
        </r>
        <r>
          <rPr>
            <sz val="9"/>
            <color indexed="81"/>
            <rFont val="Tahoma"/>
            <family val="2"/>
          </rPr>
          <t xml:space="preserve">Info only
</t>
        </r>
      </text>
    </comment>
    <comment ref="R6" authorId="0" shapeId="0" xr:uid="{FD3BB3A1-730F-4EEA-A881-35F2BC06D650}">
      <text>
        <r>
          <rPr>
            <b/>
            <sz val="9"/>
            <color indexed="81"/>
            <rFont val="Tahoma"/>
            <family val="2"/>
          </rPr>
          <t xml:space="preserve">DMH
</t>
        </r>
        <r>
          <rPr>
            <sz val="9"/>
            <color indexed="81"/>
            <rFont val="Tahoma"/>
            <family val="2"/>
          </rPr>
          <t xml:space="preserve">If local match fund limitations fully covered, MFPA for MC is covered up to Col. N6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Tracy T Namkung</author>
  </authors>
  <commentList>
    <comment ref="E62" authorId="0" shapeId="0" xr:uid="{EDF059C5-A8A3-4333-9A75-D7E5A9C7EAC9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  <comment ref="E63" authorId="0" shapeId="0" xr:uid="{39669767-0300-4BC7-9996-E01DDBD1DF08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  <comment ref="E67" authorId="0" shapeId="0" xr:uid="{3371C1B7-E3A4-4ABD-83E1-8E3730F374A5}">
      <text>
        <r>
          <rPr>
            <b/>
            <sz val="9"/>
            <color indexed="81"/>
            <rFont val="Tahoma"/>
            <family val="2"/>
          </rPr>
          <t>DMH:</t>
        </r>
        <r>
          <rPr>
            <sz val="9"/>
            <color indexed="81"/>
            <rFont val="Tahoma"/>
            <family val="2"/>
          </rPr>
          <t xml:space="preserve">
Require additional review and approval from FSP Program </t>
        </r>
      </text>
    </comment>
  </commentList>
</comments>
</file>

<file path=xl/sharedStrings.xml><?xml version="1.0" encoding="utf-8"?>
<sst xmlns="http://schemas.openxmlformats.org/spreadsheetml/2006/main" count="21374" uniqueCount="2132">
  <si>
    <t>MAA</t>
  </si>
  <si>
    <t>Are you reporting SD/MC?
(Yes or No)</t>
  </si>
  <si>
    <t>Is this a County Legal Entity Report?
(Yes or No)</t>
  </si>
  <si>
    <t>County Code:</t>
  </si>
  <si>
    <t>County:</t>
  </si>
  <si>
    <t>Legal Entity Number:</t>
  </si>
  <si>
    <t>Legal Entity Name:</t>
  </si>
  <si>
    <t>Date:</t>
  </si>
  <si>
    <t>Name of Preparer:</t>
  </si>
  <si>
    <t>All Legal Entities are to complete Section I.</t>
  </si>
  <si>
    <t>SECTION I : ALL LEGAL ENTITIES :</t>
  </si>
  <si>
    <t>DETAIL COST REPORT 
INFORMATION SHEET
MH1900 (Rev. 02/2019)</t>
  </si>
  <si>
    <t>Department of Health Care Services</t>
  </si>
  <si>
    <t>State of California Health and Human Services Agency</t>
  </si>
  <si>
    <t>FISCAL YEAR 2022 - 2023</t>
  </si>
  <si>
    <t>DETAIL COST REPORT</t>
  </si>
  <si>
    <t>SCHEDULE OF STATEWIDE MAXIMUM ALLOWANCES AND PUBLISHED CHARGES</t>
  </si>
  <si>
    <t>MH1901 SCHEDULE A (Rev. 02/2019)</t>
  </si>
  <si>
    <t xml:space="preserve">Entity Number: </t>
  </si>
  <si>
    <t>A</t>
  </si>
  <si>
    <t>B</t>
  </si>
  <si>
    <t>C</t>
  </si>
  <si>
    <t>D</t>
  </si>
  <si>
    <t>E</t>
  </si>
  <si>
    <t>F</t>
  </si>
  <si>
    <t>G</t>
  </si>
  <si>
    <t>SERVICE</t>
  </si>
  <si>
    <t>STATE</t>
  </si>
  <si>
    <t>COUNTY</t>
  </si>
  <si>
    <t>RATE</t>
  </si>
  <si>
    <t>FUNCTION</t>
  </si>
  <si>
    <t>APPROVED</t>
  </si>
  <si>
    <t>PUBLISHED</t>
  </si>
  <si>
    <t>NONM/C</t>
  </si>
  <si>
    <t>FOR</t>
  </si>
  <si>
    <t>SERVICE FUNCTION</t>
  </si>
  <si>
    <t>MODE</t>
  </si>
  <si>
    <t>CODE</t>
  </si>
  <si>
    <t>SMA</t>
  </si>
  <si>
    <t>(NR)</t>
  </si>
  <si>
    <t>CHARGE</t>
  </si>
  <si>
    <t>CONTRACTRATE</t>
  </si>
  <si>
    <t>ALLOCATION</t>
  </si>
  <si>
    <t>A. 24-HOUR SERVICES</t>
  </si>
  <si>
    <t>Hospital Inpatient</t>
  </si>
  <si>
    <t>05</t>
  </si>
  <si>
    <t>10-18</t>
  </si>
  <si>
    <t>Hospital Administrative Day</t>
  </si>
  <si>
    <t>19</t>
  </si>
  <si>
    <t>Psychiatric Health Facility (PHF)</t>
  </si>
  <si>
    <t>20-29</t>
  </si>
  <si>
    <t>SNF Intensive</t>
  </si>
  <si>
    <t>30-34</t>
  </si>
  <si>
    <t>IMD Basic (No Patch)</t>
  </si>
  <si>
    <t>35</t>
  </si>
  <si>
    <t>IMD (With Patch)</t>
  </si>
  <si>
    <t>36-39</t>
  </si>
  <si>
    <t>Adult Crisis Residential</t>
  </si>
  <si>
    <t>40-49</t>
  </si>
  <si>
    <t>Jail Inpatient</t>
  </si>
  <si>
    <t>50-59</t>
  </si>
  <si>
    <t>Residential Other</t>
  </si>
  <si>
    <t>60-64</t>
  </si>
  <si>
    <t>Adult Residential</t>
  </si>
  <si>
    <t>65-79</t>
  </si>
  <si>
    <t>Semi-Supervised Living</t>
  </si>
  <si>
    <t>80-84</t>
  </si>
  <si>
    <t>Independent Living</t>
  </si>
  <si>
    <t>85-89</t>
  </si>
  <si>
    <t>MH Rehab Centers</t>
  </si>
  <si>
    <t>90-94</t>
  </si>
  <si>
    <t>Therapeutic Foster Care</t>
  </si>
  <si>
    <t>95-98</t>
  </si>
  <si>
    <t>B. DAY SERVICES</t>
  </si>
  <si>
    <t xml:space="preserve"> </t>
  </si>
  <si>
    <t>Crisis Stabilization</t>
  </si>
  <si>
    <t>Emergency Room</t>
  </si>
  <si>
    <t>10</t>
  </si>
  <si>
    <t>20-24</t>
  </si>
  <si>
    <t>Urgent Care</t>
  </si>
  <si>
    <t>25-29</t>
  </si>
  <si>
    <t>Vocational Services</t>
  </si>
  <si>
    <t>30-39</t>
  </si>
  <si>
    <t>Socialization</t>
  </si>
  <si>
    <t>SNF Augmentation</t>
  </si>
  <si>
    <t>60-69</t>
  </si>
  <si>
    <t>Day Treatment Intensive</t>
  </si>
  <si>
    <t>81-84</t>
  </si>
  <si>
    <t>Half Day</t>
  </si>
  <si>
    <t>Full Day</t>
  </si>
  <si>
    <t>Day Rehabilitation</t>
  </si>
  <si>
    <t>91-94</t>
  </si>
  <si>
    <t>95-99</t>
  </si>
  <si>
    <t>C. OUTPATIENT SERVICES</t>
  </si>
  <si>
    <t>Case Management , Brokerage</t>
  </si>
  <si>
    <t>15</t>
  </si>
  <si>
    <t>01-09</t>
  </si>
  <si>
    <t>Mental Health Services</t>
  </si>
  <si>
    <t>10-19</t>
  </si>
  <si>
    <t>30-59</t>
  </si>
  <si>
    <t>Medication Support</t>
  </si>
  <si>
    <t>Crisis Intervention</t>
  </si>
  <si>
    <t>70-79</t>
  </si>
  <si>
    <t>Mental Health Promotion</t>
  </si>
  <si>
    <t>45</t>
  </si>
  <si>
    <t>Community Client Services</t>
  </si>
  <si>
    <t>E. MEDI-CAL ADMINISTRATIVE ACTIVITIES</t>
  </si>
  <si>
    <t>Medi-Cal Outreach</t>
  </si>
  <si>
    <t>01-03</t>
  </si>
  <si>
    <t>Medi-Cal Eligibility Intake</t>
  </si>
  <si>
    <t>04-06</t>
  </si>
  <si>
    <t>Quarter1</t>
  </si>
  <si>
    <t>Medi-Cal Contract Administration</t>
  </si>
  <si>
    <t>07-08</t>
  </si>
  <si>
    <t>Quarter2</t>
  </si>
  <si>
    <t>MAA Coordination and Claims Administration</t>
  </si>
  <si>
    <t>09</t>
  </si>
  <si>
    <t>Quarter3</t>
  </si>
  <si>
    <t>Referral-Crisis,Non-Open Case</t>
  </si>
  <si>
    <t>11-13</t>
  </si>
  <si>
    <t>Quarter4</t>
  </si>
  <si>
    <t>MH Services Contract Administration</t>
  </si>
  <si>
    <t>14-16</t>
  </si>
  <si>
    <t/>
  </si>
  <si>
    <t>Average</t>
  </si>
  <si>
    <t>SPMP Case Management,Non-Open Case</t>
  </si>
  <si>
    <t>21-23</t>
  </si>
  <si>
    <t>SPMP Program Planning and Development</t>
  </si>
  <si>
    <t>24-26</t>
  </si>
  <si>
    <t>Non-SPMP Case Management , Non-Open Case</t>
  </si>
  <si>
    <t>31-34</t>
  </si>
  <si>
    <t>Non-SPMP Program Planning and Development</t>
  </si>
  <si>
    <t>35-39</t>
  </si>
  <si>
    <t>F. SUPPORT SERVICES</t>
  </si>
  <si>
    <t>Conservatorship</t>
  </si>
  <si>
    <t>Investigation</t>
  </si>
  <si>
    <t>60</t>
  </si>
  <si>
    <t>Administration</t>
  </si>
  <si>
    <t>Life Support / Board &amp; Care</t>
  </si>
  <si>
    <t>Case Management Support</t>
  </si>
  <si>
    <t>Client Housing Support Expenditures</t>
  </si>
  <si>
    <t>70</t>
  </si>
  <si>
    <t>Client Housing Operating Expenditures</t>
  </si>
  <si>
    <t>71</t>
  </si>
  <si>
    <t>Client Flexible Support Expenditures</t>
  </si>
  <si>
    <t>72</t>
  </si>
  <si>
    <t>Non Medi-Cal Capital Assets</t>
  </si>
  <si>
    <t>75</t>
  </si>
  <si>
    <t>Other Non Medi-Cal Client Support Expenditures</t>
  </si>
  <si>
    <t>78</t>
  </si>
  <si>
    <t>WORKSHEET FOR UNITS OF SERVICE AND REVENUE BY MODE AND SERVICE FUNCTION</t>
  </si>
  <si>
    <t>Settlement Types</t>
  </si>
  <si>
    <t>MAA-Medi-Cal Administrative Activities</t>
  </si>
  <si>
    <t>CR-Cost Reimbursement</t>
  </si>
  <si>
    <t>TBS-Therapeutic Behavioral Services</t>
  </si>
  <si>
    <t>MHS-Mental Health Specialty</t>
  </si>
  <si>
    <t>ISA-Integrated Service Agency</t>
  </si>
  <si>
    <t>HOSP-Hospital</t>
  </si>
  <si>
    <t>ASO-Administrative Services Organization</t>
  </si>
  <si>
    <t>CCR - Continuum of Care Reform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</si>
  <si>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</si>
  <si>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</si>
  <si>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</si>
  <si>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</si>
  <si>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</si>
  <si>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</si>
  <si>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</si>
  <si>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</si>
  <si>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</si>
  <si>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</si>
  <si>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</si>
  <si>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</si>
  <si>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</si>
  <si>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</si>
  <si>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</si>
  <si>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</si>
  <si>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</si>
  <si>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</si>
  <si>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</si>
  <si>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</si>
  <si>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</si>
  <si>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</si>
  <si>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</si>
  <si>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</si>
  <si>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</si>
  <si>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</si>
  <si>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</si>
  <si>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</si>
  <si>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</si>
  <si>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</si>
  <si>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</si>
  <si>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</si>
  <si>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</si>
  <si>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</si>
  <si>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</si>
  <si>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</si>
  <si>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</si>
  <si>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</si>
  <si>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</si>
  <si>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</si>
  <si>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</si>
  <si>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</si>
  <si>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</si>
  <si>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</si>
  <si>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</si>
  <si>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</si>
  <si>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</si>
  <si>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</si>
  <si>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</si>
  <si>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</si>
  <si>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Non Medi-Cal Units</t>
  </si>
  <si>
    <t>Settlement Type</t>
  </si>
  <si>
    <t>Mode</t>
  </si>
  <si>
    <t>SF</t>
  </si>
  <si>
    <t>Total Units of Service</t>
  </si>
  <si>
    <t>SD/MC Units</t>
  </si>
  <si>
    <t>SD/MC 3rd Party Revenue</t>
  </si>
  <si>
    <t>Non CHIP Units</t>
  </si>
  <si>
    <t>Non CHIP 3rd Party Revenue</t>
  </si>
  <si>
    <t>CHIP Units</t>
  </si>
  <si>
    <t>CHIP 3rd Party Revenue</t>
  </si>
  <si>
    <t>BCCTP Units</t>
  </si>
  <si>
    <t>BCCTP 3rd Party Revenue</t>
  </si>
  <si>
    <t>Pregnancy Units</t>
  </si>
  <si>
    <t>Pregnancy 3rd Party Revenue</t>
  </si>
  <si>
    <t>Refugee Units</t>
  </si>
  <si>
    <t>Refugee 3rd Party Revenue</t>
  </si>
  <si>
    <t>Affordable Care Act Units</t>
  </si>
  <si>
    <t>3rd Party Revenue</t>
  </si>
  <si>
    <t>MCAP Units</t>
  </si>
  <si>
    <t>Units</t>
  </si>
  <si>
    <t>Totals</t>
  </si>
  <si>
    <t>PrintThisRow</t>
  </si>
  <si>
    <t>MH1901 SCHEDULE B 07/01/22 - 06/30/23</t>
  </si>
  <si>
    <t>ALL UNITS 07/01/22 - 06/30/23</t>
  </si>
  <si>
    <t>SUPPORTING DOCUMENTATION FOR THE METHOD USED TO ALLOCATE 
TOTALS TO MODE OF SERVICE &amp; SERVICE FUNCTION</t>
  </si>
  <si>
    <t>Fiscal Year:</t>
  </si>
  <si>
    <t>COSTS TO BE ALLOCATED</t>
  </si>
  <si>
    <t>Allowable Non-Hospital Mode Costs (MH1960 Line34,Col.J)</t>
  </si>
  <si>
    <t>Allocation Basis</t>
  </si>
  <si>
    <t>Total
Units</t>
  </si>
  <si>
    <t>Eligible Direct Cost</t>
  </si>
  <si>
    <t>Directly Allocated Data</t>
  </si>
  <si>
    <t>Relative Value</t>
  </si>
  <si>
    <t>Allocation %</t>
  </si>
  <si>
    <t>Allocated Cost</t>
  </si>
  <si>
    <t>Summary</t>
  </si>
  <si>
    <t>.</t>
  </si>
  <si>
    <t>Non-Hospital Costs</t>
  </si>
  <si>
    <t>Hospital Costs</t>
  </si>
  <si>
    <t>Allocated %</t>
  </si>
  <si>
    <t>5 10-19</t>
  </si>
  <si>
    <t>15 Program_2</t>
  </si>
  <si>
    <t>TBS</t>
  </si>
  <si>
    <t>5 Other</t>
  </si>
  <si>
    <t>ASO</t>
  </si>
  <si>
    <t>MHS</t>
  </si>
  <si>
    <t>15 Program_1</t>
  </si>
  <si>
    <t>Total</t>
  </si>
  <si>
    <t>COUNTY OF LOS ANGELES - DEPARTMENT OF MENTAL HEALTH</t>
  </si>
  <si>
    <t>SUPPLEMENTAL DETAIL TO MH 1960</t>
  </si>
  <si>
    <t>LAC 101 - (06/22)</t>
  </si>
  <si>
    <t>Entity Name</t>
  </si>
  <si>
    <t>Fiscal Year</t>
  </si>
  <si>
    <t>Entity Number</t>
  </si>
  <si>
    <t>1</t>
  </si>
  <si>
    <t>2</t>
  </si>
  <si>
    <t>3</t>
  </si>
  <si>
    <t>Salaries</t>
  </si>
  <si>
    <t>NON HOSPITAL LEGAL ENTITIES</t>
  </si>
  <si>
    <t xml:space="preserve">and </t>
  </si>
  <si>
    <t>Other</t>
  </si>
  <si>
    <t>Cost</t>
  </si>
  <si>
    <t>Benefits</t>
  </si>
  <si>
    <t xml:space="preserve"> Distribution of Total Cost </t>
  </si>
  <si>
    <t xml:space="preserve"> Total Agency Costs per Trial Balance</t>
  </si>
  <si>
    <t xml:space="preserve"> LESS: Administrative Costs</t>
  </si>
  <si>
    <t xml:space="preserve"> LESS: Unallowable Costs </t>
  </si>
  <si>
    <t xml:space="preserve"> LESS: Program Costs Not Applicable to DMH Contracted Svcs.</t>
  </si>
  <si>
    <t>Program Costs Applicable to DMH Contracted Services (Line 1 minus Lines 2 thru 4)</t>
  </si>
  <si>
    <t xml:space="preserve"> Allocation of Administrative Costs </t>
  </si>
  <si>
    <t>Total Administrative Costs (From Line 2)</t>
  </si>
  <si>
    <t xml:space="preserve">LESS: Unallowable Admin. Costs </t>
  </si>
  <si>
    <t>LESS: Admin. Costs Not Applicable to DMH Contracted Services</t>
  </si>
  <si>
    <t>Total Admin. Costs Applicable to DMH Contracted Srvcs. (Line 6 minus Lines 7 &amp; 8)</t>
  </si>
  <si>
    <t xml:space="preserve"> Total Cost after Administrative Cost Allocation</t>
  </si>
  <si>
    <t xml:space="preserve"> Total Agency Costs Per Trial Balance (From Line 1)</t>
  </si>
  <si>
    <t>LESS: Unallowable Costs (Line 3 plus Line 7)</t>
  </si>
  <si>
    <t>LESS: Costs Not Applicable to DMH Contracted Svcs. (Line 4 plus Line 8)</t>
  </si>
  <si>
    <t>Total Costs Applicable to DMH Contracted Services (Line 10 minus Lines 11 &amp; 12)</t>
  </si>
  <si>
    <t>PLUS: SD/MC Adjustments (Tie to MH 1961)</t>
  </si>
  <si>
    <t>HOSPITAL LEGAL ENTITIES</t>
  </si>
  <si>
    <t>Hospital Modes Costs (MH 1901 Schedule C Total Hospital Costs)</t>
  </si>
  <si>
    <t>Allowable Costs to be Allocated to Modes/SFC (Sum of Line 13,14 and 15)</t>
  </si>
  <si>
    <t>2022 - 2023</t>
  </si>
  <si>
    <t>MEDI-CAL ADJUSTMENTS TO COSTS</t>
  </si>
  <si>
    <t>MH 1961 (Rev. 03/2022)</t>
  </si>
  <si>
    <t xml:space="preserve">County:  </t>
  </si>
  <si>
    <t>Los Angeles</t>
  </si>
  <si>
    <t xml:space="preserve">County Code: </t>
  </si>
  <si>
    <t>Legal Entity:</t>
  </si>
  <si>
    <t>Amount</t>
  </si>
  <si>
    <t>MH 1960 Line Number</t>
  </si>
  <si>
    <t>MH 1960 Description</t>
  </si>
  <si>
    <t>Description</t>
  </si>
  <si>
    <t>Total Adjustments</t>
  </si>
  <si>
    <t>OTHER ADJUSTMENTS TO COSTS</t>
  </si>
  <si>
    <t>MH 1962 (Rev. 03/2022)</t>
  </si>
  <si>
    <t>MH1960 Line Number</t>
  </si>
  <si>
    <t>PLUS: Other Adjustments to Costs (Tie to MH 1962)</t>
  </si>
  <si>
    <t>FISCAL YEAR 2022-23</t>
  </si>
  <si>
    <t>Entity Name :</t>
  </si>
  <si>
    <t>FISCALYEAR 2022-2023</t>
  </si>
  <si>
    <t>COUNTY OF LOS ANGELES</t>
  </si>
  <si>
    <t>Department of Mental Health</t>
  </si>
  <si>
    <t xml:space="preserve">SCHEDULE OF COUNTYWIDE MAXIMUM ALLOWANCES </t>
  </si>
  <si>
    <t>LAC CMA</t>
  </si>
  <si>
    <t xml:space="preserve">Entity Name: </t>
  </si>
  <si>
    <t>Type</t>
  </si>
  <si>
    <t>CMA</t>
  </si>
  <si>
    <t>( NR )</t>
  </si>
  <si>
    <t>CONTRACT RATE</t>
  </si>
  <si>
    <t>A.  24 - HOUR SERVICES</t>
  </si>
  <si>
    <t>10 - 18</t>
  </si>
  <si>
    <t>0510</t>
  </si>
  <si>
    <t>IP</t>
  </si>
  <si>
    <t>11</t>
  </si>
  <si>
    <t>0511</t>
  </si>
  <si>
    <t>12</t>
  </si>
  <si>
    <t>0512</t>
  </si>
  <si>
    <t>13</t>
  </si>
  <si>
    <t>0513</t>
  </si>
  <si>
    <t>14</t>
  </si>
  <si>
    <t>0514</t>
  </si>
  <si>
    <t>0515</t>
  </si>
  <si>
    <t>16</t>
  </si>
  <si>
    <t>0516</t>
  </si>
  <si>
    <t>17</t>
  </si>
  <si>
    <t>0517</t>
  </si>
  <si>
    <t>18</t>
  </si>
  <si>
    <t>0518</t>
  </si>
  <si>
    <t>0519</t>
  </si>
  <si>
    <t>IPADM</t>
  </si>
  <si>
    <t>20 - 29</t>
  </si>
  <si>
    <t>20</t>
  </si>
  <si>
    <t>0520</t>
  </si>
  <si>
    <t>OP</t>
  </si>
  <si>
    <t>21</t>
  </si>
  <si>
    <t>0521</t>
  </si>
  <si>
    <t>22</t>
  </si>
  <si>
    <t>0522</t>
  </si>
  <si>
    <t>23</t>
  </si>
  <si>
    <t>0523</t>
  </si>
  <si>
    <t>24</t>
  </si>
  <si>
    <t>0524</t>
  </si>
  <si>
    <t>25</t>
  </si>
  <si>
    <t>0525</t>
  </si>
  <si>
    <t>26</t>
  </si>
  <si>
    <t>0526</t>
  </si>
  <si>
    <t>27</t>
  </si>
  <si>
    <t>0527</t>
  </si>
  <si>
    <t>28</t>
  </si>
  <si>
    <t>0528</t>
  </si>
  <si>
    <t>29</t>
  </si>
  <si>
    <t>0529</t>
  </si>
  <si>
    <t>30 -34</t>
  </si>
  <si>
    <t>30</t>
  </si>
  <si>
    <t>0530</t>
  </si>
  <si>
    <t>IMD</t>
  </si>
  <si>
    <t>31</t>
  </si>
  <si>
    <t>0531</t>
  </si>
  <si>
    <t>32</t>
  </si>
  <si>
    <t>0532</t>
  </si>
  <si>
    <t>33</t>
  </si>
  <si>
    <t>0533</t>
  </si>
  <si>
    <t>34</t>
  </si>
  <si>
    <t>0534</t>
  </si>
  <si>
    <t>0535</t>
  </si>
  <si>
    <t>36 - 39</t>
  </si>
  <si>
    <t>36</t>
  </si>
  <si>
    <t>0536</t>
  </si>
  <si>
    <t>37</t>
  </si>
  <si>
    <t>0537</t>
  </si>
  <si>
    <t>38</t>
  </si>
  <si>
    <t>0538</t>
  </si>
  <si>
    <t>39</t>
  </si>
  <si>
    <t>0539</t>
  </si>
  <si>
    <t>40 - 49</t>
  </si>
  <si>
    <t>40</t>
  </si>
  <si>
    <t>0540</t>
  </si>
  <si>
    <t>41</t>
  </si>
  <si>
    <t>0541</t>
  </si>
  <si>
    <t>42</t>
  </si>
  <si>
    <t>0542</t>
  </si>
  <si>
    <t>43</t>
  </si>
  <si>
    <t>0543</t>
  </si>
  <si>
    <t>44</t>
  </si>
  <si>
    <t>0544</t>
  </si>
  <si>
    <t>0545</t>
  </si>
  <si>
    <t>46</t>
  </si>
  <si>
    <t>0546</t>
  </si>
  <si>
    <t>47</t>
  </si>
  <si>
    <t>0547</t>
  </si>
  <si>
    <t>48</t>
  </si>
  <si>
    <t>0548</t>
  </si>
  <si>
    <t>49</t>
  </si>
  <si>
    <t>0549</t>
  </si>
  <si>
    <t>50 - 59</t>
  </si>
  <si>
    <t>50</t>
  </si>
  <si>
    <t>0550</t>
  </si>
  <si>
    <t>51</t>
  </si>
  <si>
    <t>0551</t>
  </si>
  <si>
    <t>52</t>
  </si>
  <si>
    <t>0552</t>
  </si>
  <si>
    <t>53</t>
  </si>
  <si>
    <t>0553</t>
  </si>
  <si>
    <t>54</t>
  </si>
  <si>
    <t>0554</t>
  </si>
  <si>
    <t>55</t>
  </si>
  <si>
    <t>0555</t>
  </si>
  <si>
    <t>56</t>
  </si>
  <si>
    <t>0556</t>
  </si>
  <si>
    <t>57</t>
  </si>
  <si>
    <t>0557</t>
  </si>
  <si>
    <t>58</t>
  </si>
  <si>
    <t>0558</t>
  </si>
  <si>
    <t>59</t>
  </si>
  <si>
    <t>0559</t>
  </si>
  <si>
    <t>60 - 64</t>
  </si>
  <si>
    <t>0560</t>
  </si>
  <si>
    <t>61</t>
  </si>
  <si>
    <t>0561</t>
  </si>
  <si>
    <t>62</t>
  </si>
  <si>
    <t>0562</t>
  </si>
  <si>
    <t>63</t>
  </si>
  <si>
    <t>0563</t>
  </si>
  <si>
    <t>64</t>
  </si>
  <si>
    <t>0564</t>
  </si>
  <si>
    <t>65 - 79</t>
  </si>
  <si>
    <t>65</t>
  </si>
  <si>
    <t>0565</t>
  </si>
  <si>
    <t>66</t>
  </si>
  <si>
    <t>0566</t>
  </si>
  <si>
    <t>67</t>
  </si>
  <si>
    <t>0567</t>
  </si>
  <si>
    <t>68</t>
  </si>
  <si>
    <t>0568</t>
  </si>
  <si>
    <t>69</t>
  </si>
  <si>
    <t>0569</t>
  </si>
  <si>
    <t>0570</t>
  </si>
  <si>
    <t>0571</t>
  </si>
  <si>
    <t>0572</t>
  </si>
  <si>
    <t>73</t>
  </si>
  <si>
    <t>0573</t>
  </si>
  <si>
    <t>74</t>
  </si>
  <si>
    <t>0574</t>
  </si>
  <si>
    <t>0575</t>
  </si>
  <si>
    <t>76</t>
  </si>
  <si>
    <t>0576</t>
  </si>
  <si>
    <t>77</t>
  </si>
  <si>
    <t>0577</t>
  </si>
  <si>
    <t>0578</t>
  </si>
  <si>
    <t>79</t>
  </si>
  <si>
    <t>0579</t>
  </si>
  <si>
    <t>Semi - Supervised Living</t>
  </si>
  <si>
    <t>80 - 84</t>
  </si>
  <si>
    <t>80</t>
  </si>
  <si>
    <t>0580</t>
  </si>
  <si>
    <t>81</t>
  </si>
  <si>
    <t>0581</t>
  </si>
  <si>
    <t>82</t>
  </si>
  <si>
    <t>0582</t>
  </si>
  <si>
    <t>83</t>
  </si>
  <si>
    <t>0583</t>
  </si>
  <si>
    <t>84</t>
  </si>
  <si>
    <t>0584</t>
  </si>
  <si>
    <t>85 - 89</t>
  </si>
  <si>
    <t>85</t>
  </si>
  <si>
    <t>0585</t>
  </si>
  <si>
    <t>86</t>
  </si>
  <si>
    <t>0586</t>
  </si>
  <si>
    <t>87</t>
  </si>
  <si>
    <t>0587</t>
  </si>
  <si>
    <t>88</t>
  </si>
  <si>
    <t>0588</t>
  </si>
  <si>
    <t>89</t>
  </si>
  <si>
    <t>0589</t>
  </si>
  <si>
    <t>90 - 94</t>
  </si>
  <si>
    <t>90</t>
  </si>
  <si>
    <t>0590</t>
  </si>
  <si>
    <t>91</t>
  </si>
  <si>
    <t>0591</t>
  </si>
  <si>
    <t>92</t>
  </si>
  <si>
    <t>0592</t>
  </si>
  <si>
    <t>93</t>
  </si>
  <si>
    <t>0593</t>
  </si>
  <si>
    <t>94</t>
  </si>
  <si>
    <t>0594</t>
  </si>
  <si>
    <t>95 - 98</t>
  </si>
  <si>
    <t>95</t>
  </si>
  <si>
    <t>0595</t>
  </si>
  <si>
    <t>96</t>
  </si>
  <si>
    <t>0596</t>
  </si>
  <si>
    <t>97</t>
  </si>
  <si>
    <t>0597</t>
  </si>
  <si>
    <t>98</t>
  </si>
  <si>
    <t>0598</t>
  </si>
  <si>
    <t>B.  DAY SERVICES</t>
  </si>
  <si>
    <t xml:space="preserve">    Emergency Room</t>
  </si>
  <si>
    <t>20 - 24</t>
  </si>
  <si>
    <t>1020</t>
  </si>
  <si>
    <t>1021</t>
  </si>
  <si>
    <t>1022</t>
  </si>
  <si>
    <t>1023</t>
  </si>
  <si>
    <t>1024</t>
  </si>
  <si>
    <t xml:space="preserve">    Urgent Care</t>
  </si>
  <si>
    <t>25 - 29</t>
  </si>
  <si>
    <t>1025</t>
  </si>
  <si>
    <t>UCC</t>
  </si>
  <si>
    <t>1026</t>
  </si>
  <si>
    <t>1027</t>
  </si>
  <si>
    <t>1028</t>
  </si>
  <si>
    <t>1029</t>
  </si>
  <si>
    <t>30 - 39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</si>
  <si>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</si>
  <si>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</si>
  <si>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</si>
  <si>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</si>
  <si>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</si>
  <si>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</si>
  <si>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</si>
  <si>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</si>
  <si>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</si>
  <si>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</si>
  <si>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</si>
  <si>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</si>
  <si>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</si>
  <si>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</si>
  <si>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</si>
  <si>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</si>
  <si>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</si>
  <si>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</si>
  <si>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</si>
  <si>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</si>
  <si>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60 - 69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</si>
  <si>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</si>
  <si>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</si>
  <si>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</si>
  <si>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</si>
  <si>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</si>
  <si>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</si>
  <si>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</si>
  <si>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</si>
  <si>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</si>
  <si>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</si>
  <si>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 xml:space="preserve">     Half Day</t>
  </si>
  <si>
    <t>81 - 84</t>
  </si>
  <si>
    <t>1081</t>
  </si>
  <si>
    <t>1082</t>
  </si>
  <si>
    <t>1083</t>
  </si>
  <si>
    <t>1084</t>
  </si>
  <si>
    <t xml:space="preserve">     Full Day</t>
  </si>
  <si>
    <t>1085</t>
  </si>
  <si>
    <t>1086</t>
  </si>
  <si>
    <t>1087</t>
  </si>
  <si>
    <t>1088</t>
  </si>
  <si>
    <t>1089</t>
  </si>
  <si>
    <t>91 - 94</t>
  </si>
  <si>
    <t>1091</t>
  </si>
  <si>
    <t>1092</t>
  </si>
  <si>
    <t>1093</t>
  </si>
  <si>
    <t>1094</t>
  </si>
  <si>
    <t>95 - 99</t>
  </si>
  <si>
    <t>1095</t>
  </si>
  <si>
    <t>1096</t>
  </si>
  <si>
    <t>1097</t>
  </si>
  <si>
    <t>1098</t>
  </si>
  <si>
    <t>99</t>
  </si>
  <si>
    <t>1099</t>
  </si>
  <si>
    <t>C.  OUTPATIENT SERVICES</t>
  </si>
  <si>
    <t>Case Management, Brokerage</t>
  </si>
  <si>
    <t>01 - 09</t>
  </si>
  <si>
    <t>01</t>
  </si>
  <si>
    <t>1501</t>
  </si>
  <si>
    <t>02</t>
  </si>
  <si>
    <t>1502</t>
  </si>
  <si>
    <t>03</t>
  </si>
  <si>
    <t>1503</t>
  </si>
  <si>
    <t>04</t>
  </si>
  <si>
    <t>1504</t>
  </si>
  <si>
    <t>1505</t>
  </si>
  <si>
    <t>06</t>
  </si>
  <si>
    <t>1506</t>
  </si>
  <si>
    <t>07</t>
  </si>
  <si>
    <t>1507</t>
  </si>
  <si>
    <t>08</t>
  </si>
  <si>
    <t>1508</t>
  </si>
  <si>
    <t>1509</t>
  </si>
  <si>
    <t>10 - 19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</si>
  <si>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</si>
  <si>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</si>
  <si>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</si>
  <si>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</si>
  <si>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</si>
  <si>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</si>
  <si>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</si>
  <si>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</si>
  <si>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</si>
  <si>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</si>
  <si>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30 - 59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</si>
  <si>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</si>
  <si>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</si>
  <si>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</si>
  <si>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</si>
  <si>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</si>
  <si>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</si>
  <si>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</si>
  <si>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</si>
  <si>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</si>
  <si>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</si>
  <si>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</si>
  <si>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</si>
  <si>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</si>
  <si>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</si>
  <si>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</si>
  <si>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</si>
  <si>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</si>
  <si>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</si>
  <si>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</si>
  <si>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</si>
  <si>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</si>
  <si>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</si>
  <si>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</si>
  <si>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</si>
  <si>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</si>
  <si>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</si>
  <si>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</si>
  <si>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</si>
  <si>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</si>
  <si>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</si>
  <si>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</si>
  <si>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</si>
  <si>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</si>
  <si>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</si>
  <si>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</si>
  <si>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</si>
  <si>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</si>
  <si>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</si>
  <si>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</si>
  <si>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</si>
  <si>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70 - 79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</si>
  <si>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</si>
  <si>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</si>
  <si>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</si>
  <si>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</si>
  <si>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</si>
  <si>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</si>
  <si>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</si>
  <si>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</si>
  <si>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</si>
  <si>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</si>
  <si>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D.  OUTREACH SERVICES</t>
  </si>
  <si>
    <t>4510</t>
  </si>
  <si>
    <t>COS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</si>
  <si>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</si>
  <si>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</si>
  <si>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</si>
  <si>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</si>
  <si>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</si>
  <si>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</si>
  <si>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</si>
  <si>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</si>
  <si>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</si>
  <si>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</si>
  <si>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</si>
  <si>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</si>
  <si>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</si>
  <si>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</si>
  <si>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</si>
  <si>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</si>
  <si>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</si>
  <si>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</si>
  <si>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</si>
  <si>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E.  MEDI-CAL ADMINISTRATIVE ACTIVITIES</t>
  </si>
  <si>
    <t>MEDI-CAL ELIGIBILITY FACTOR</t>
  </si>
  <si>
    <t>01 - 03</t>
  </si>
  <si>
    <t>04 - 06</t>
  </si>
  <si>
    <t>Quarter 1</t>
  </si>
  <si>
    <t>07 - 08</t>
  </si>
  <si>
    <t>Quarter 2</t>
  </si>
  <si>
    <t>Quarter 3</t>
  </si>
  <si>
    <t>Referral - Crisis, Non-Open Case</t>
  </si>
  <si>
    <t>11 - 13</t>
  </si>
  <si>
    <t>Quarter 4</t>
  </si>
  <si>
    <t>14 - 16</t>
  </si>
  <si>
    <t>Discounted Mental Health Outreach</t>
  </si>
  <si>
    <t>17 - 19</t>
  </si>
  <si>
    <t>SPMP Case Management, Non-Open Case</t>
  </si>
  <si>
    <t>21 - 23</t>
  </si>
  <si>
    <t>24 - 26</t>
  </si>
  <si>
    <t>SPMP MAA Training</t>
  </si>
  <si>
    <t>27 - 29</t>
  </si>
  <si>
    <t>Non-SPMP Case Management, Non-Open Case</t>
  </si>
  <si>
    <t>31 - 34</t>
  </si>
  <si>
    <t>35 - 39</t>
  </si>
  <si>
    <t>F.  SUPPORT SERVICES</t>
  </si>
  <si>
    <t xml:space="preserve">    Investigation</t>
  </si>
  <si>
    <t>PG</t>
  </si>
  <si>
    <t xml:space="preserve">    Administration</t>
  </si>
  <si>
    <t>Life Support/Board &amp; Care</t>
  </si>
  <si>
    <t>6040</t>
  </si>
  <si>
    <t>LS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</si>
  <si>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</si>
  <si>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</si>
  <si>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</si>
  <si>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</si>
  <si>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</si>
  <si>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</si>
  <si>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</si>
  <si>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</si>
  <si>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</si>
  <si>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6060</t>
  </si>
  <si>
    <t>CMS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</si>
  <si>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</si>
  <si>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</si>
  <si>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</si>
  <si>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</si>
  <si>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</si>
  <si>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</si>
  <si>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</si>
  <si>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</si>
  <si>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</si>
  <si>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</si>
  <si>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INV</t>
  </si>
  <si>
    <t>6071</t>
  </si>
  <si>
    <t>6072</t>
  </si>
  <si>
    <t>6075</t>
  </si>
  <si>
    <t>6078</t>
  </si>
  <si>
    <t>CR</t>
  </si>
  <si>
    <t>EMS</t>
  </si>
  <si>
    <t>FFPSA</t>
  </si>
  <si>
    <t>HOSP</t>
  </si>
  <si>
    <t>ISA</t>
  </si>
  <si>
    <t>REGULAR FMAP SHORT/DOYLE MEDI-CAL
07/01/22 - 03/31/23</t>
  </si>
  <si>
    <t>REGULAR FMAP SHORT/DOYLE MEDI-CAL 
04/01/23 - 05/11/23</t>
  </si>
  <si>
    <t>REGULAR FMAP SHORT/DOYLE MEDI-CAL 
05/12/23 - 06/30/23</t>
  </si>
  <si>
    <t>ENHANCED FMAP 
NON CHIP BENEFICIARIES
07/01/22 - 03/31/23</t>
  </si>
  <si>
    <t>ENHANCED FMAP
NON CHIP BENEFICIARIES 
04/01/23 - 05/11/23</t>
  </si>
  <si>
    <t>ENHANCED FMAP 
NON CHIP BENEFICIARIES 
05/12/23 - 06/30/23</t>
  </si>
  <si>
    <t>ENHANCED FMAP    
CHIP BENEFICIARIES 
07/01/22 - 09/30/22</t>
  </si>
  <si>
    <t>ENHANCED FMAP    
CHIP BENEFICIARIES 
10/01/23 - 03/31/23</t>
  </si>
  <si>
    <t>ENHANCED FMAP    
CHIP BENEFICIARIES 
04/01/23 - 05/11/23</t>
  </si>
  <si>
    <t>ENHANCED FMAP    
CHIP BENEFICIARIES 
05/12/23 - 06/30/23</t>
  </si>
  <si>
    <t>ENHANCED FMAP 
BCCTP BENEFICIARIES 
07/01/22 - 03/31/23</t>
  </si>
  <si>
    <t>ENHANCED FMAP 
BCCTP BENEFICIARIES 
04/01/23 - 05/11/23</t>
  </si>
  <si>
    <t>ENHANCED FMAP                              BCCTP BENEFICIARIES                  05/12/23 - 06/30/23</t>
  </si>
  <si>
    <t>ENHANCED FMAP 
PREGNANCY BENEFICIARIES 
07/01/22 - 03/31/23</t>
  </si>
  <si>
    <t>ENHANCED FMAP 
PREGNANCY BENEFICIARIES 
04/01/23 - 05/11/23</t>
  </si>
  <si>
    <t>ENHANCED FMAP 
PREGNANCY BENEFICIARIES 
05/12/23 - 06/30/23</t>
  </si>
  <si>
    <t>REFUGEE BENEFICIARIES 
07/01/22 - 05/11/23</t>
  </si>
  <si>
    <t>REFUGEE BENEFICIARIES
 05/12/23 - 06/30/3</t>
  </si>
  <si>
    <t>Affordable Care Act 
05/12/23 - 06/30/23</t>
  </si>
  <si>
    <t>Medi-Cal  Access Program (MCAP) 07/01/22 - 09/30/22</t>
  </si>
  <si>
    <t>Medi-Cal  Access Program (MCAP) 10/01/23 - 03/31/23</t>
  </si>
  <si>
    <t>Medi-Cal  Access Program (MCAP) 04/01/23 - 05/11/23</t>
  </si>
  <si>
    <t>Medi-Cal  Access Program (MCAP) 
05/12/23 - 06/30/23</t>
  </si>
  <si>
    <t>State Funded Beneficiaries 
07/01/22 - 05/11/23</t>
  </si>
  <si>
    <t>State Funded Beneficiaries 
05/12/23 - 06/30/23</t>
  </si>
  <si>
    <t xml:space="preserve"> Fiscal Year</t>
  </si>
  <si>
    <t>SUPPLEMENTAL DETAIL TO MH 1901 SCHEDULES A, B, &amp; C</t>
  </si>
  <si>
    <t>___Entry or ___Exit Date</t>
  </si>
  <si>
    <t>Third Party Revenues (For Medi-Cal and Non Medi-Cal Clients)</t>
  </si>
  <si>
    <t>Claimable Amount Before Contract Limit Comparison</t>
  </si>
  <si>
    <t>Reimb. Rate (Lower of Cost, PC, or SMA, or County Contracted Rate)</t>
  </si>
  <si>
    <t>Other: (Please specify below)</t>
  </si>
  <si>
    <t>Cost of DMH Units of Service</t>
  </si>
  <si>
    <t>Total DMH Units of Service (Billable Unit)</t>
  </si>
  <si>
    <t>Cost per Billable Unit</t>
  </si>
  <si>
    <t>County Contracted Rate</t>
  </si>
  <si>
    <t>Billable Units  x  Reimbursable Rate</t>
  </si>
  <si>
    <t>Patient Fees</t>
  </si>
  <si>
    <t>Patient Insurance</t>
  </si>
  <si>
    <t>Medicare</t>
  </si>
  <si>
    <t>Legal Entity No.:</t>
  </si>
  <si>
    <t>(PLEASE ROUND TO THE NEAREST DOLLAR  ON THE ATTACHMENT 9A)</t>
  </si>
  <si>
    <t>Agency Cost</t>
  </si>
  <si>
    <t>Less:</t>
  </si>
  <si>
    <t>Funded Programs</t>
  </si>
  <si>
    <t>SFC 70</t>
  </si>
  <si>
    <t>SFC 71</t>
  </si>
  <si>
    <t>SFC 72</t>
  </si>
  <si>
    <t>SFC 75</t>
  </si>
  <si>
    <t>SFC 78</t>
  </si>
  <si>
    <t>3RD Party Rev.</t>
  </si>
  <si>
    <t>PRS Payment</t>
  </si>
  <si>
    <t>Underpayment</t>
  </si>
  <si>
    <t>Rank</t>
  </si>
  <si>
    <t>Funded Program Amount  from Legal Entity - Mental Health Contract</t>
  </si>
  <si>
    <t>130.3</t>
  </si>
  <si>
    <t>Specialized Foster Care Wraparound</t>
  </si>
  <si>
    <t>140</t>
  </si>
  <si>
    <t>Comprehensive SOC Program (SAMHSA, CFDA #93.958)</t>
  </si>
  <si>
    <t>183</t>
  </si>
  <si>
    <t>171</t>
  </si>
  <si>
    <t>Post-Release Community Supervision-Community Reintegration Program</t>
  </si>
  <si>
    <t>350</t>
  </si>
  <si>
    <t>DCSS Forensic Center Services</t>
  </si>
  <si>
    <t>221</t>
  </si>
  <si>
    <t>Measure H Housing Supportive Services Program</t>
  </si>
  <si>
    <t>400</t>
  </si>
  <si>
    <t>DMH Mental Health Services</t>
  </si>
  <si>
    <t>500</t>
  </si>
  <si>
    <t>MHSA Full Service Partnership Invoice</t>
  </si>
  <si>
    <t>Z22S</t>
  </si>
  <si>
    <t>MHSA Full Service Partnership Incentives Invoice</t>
  </si>
  <si>
    <t>511</t>
  </si>
  <si>
    <t>MHSA Outpatient Care Services Invoice</t>
  </si>
  <si>
    <t>531</t>
  </si>
  <si>
    <t>MHSA Alternative Crisis Services Invoice</t>
  </si>
  <si>
    <t>540</t>
  </si>
  <si>
    <t>MHSA Housing Supportive Services Program Invoice</t>
  </si>
  <si>
    <t>810</t>
  </si>
  <si>
    <t>MHSA Linkage Services</t>
  </si>
  <si>
    <t>600</t>
  </si>
  <si>
    <t>MHSA PEI Invoice</t>
  </si>
  <si>
    <t>Funded Program Amount  from Legal Entity - UCC</t>
  </si>
  <si>
    <t>340</t>
  </si>
  <si>
    <t>DMH IMD Step Down Invoice</t>
  </si>
  <si>
    <t>531.1</t>
  </si>
  <si>
    <t>MHSA Alternative Crisis Services Startup Fund Invoice</t>
  </si>
  <si>
    <t>MHSA Alternative Crisis Services Startup Fund</t>
  </si>
  <si>
    <t>Inn2</t>
  </si>
  <si>
    <t>MHSA-Innovation 2</t>
  </si>
  <si>
    <r>
      <t xml:space="preserve">Total Amount </t>
    </r>
    <r>
      <rPr>
        <b/>
        <i/>
        <sz val="11"/>
        <rFont val="Arial"/>
        <family val="2"/>
      </rPr>
      <t>(To be reported in MH 1901 Schedule C, Column E)</t>
    </r>
  </si>
  <si>
    <t>600.1</t>
  </si>
  <si>
    <t>600.2</t>
  </si>
  <si>
    <t>CRTP</t>
  </si>
  <si>
    <t>Funded Program</t>
  </si>
  <si>
    <t>Period</t>
  </si>
  <si>
    <t>Payor</t>
  </si>
  <si>
    <t>05/12/23-06/30/23</t>
  </si>
  <si>
    <t>04/01/23-05/11/23</t>
  </si>
  <si>
    <t>07/01/22-09/30/22</t>
  </si>
  <si>
    <t>#</t>
  </si>
  <si>
    <t>Contract Type</t>
  </si>
  <si>
    <t>Payor Code</t>
  </si>
  <si>
    <t>Non-MediCal</t>
  </si>
  <si>
    <t>EPSDT: SDMCPmts</t>
  </si>
  <si>
    <t>MCHIP-EPSDT: SDMCPmts</t>
  </si>
  <si>
    <t>Medicaid Expansion-MCE: SDMCPmts</t>
  </si>
  <si>
    <t>Oth MC: SB75</t>
  </si>
  <si>
    <t>Oth MC: SDMCPmts</t>
  </si>
  <si>
    <t>MCHIP: SDMCPmts</t>
  </si>
  <si>
    <t>Oth MC: Enhcd Pregancy</t>
  </si>
  <si>
    <t>Oth MC: Enhcd BCCTP</t>
  </si>
  <si>
    <t>Non CHIP: SDMCPmts</t>
  </si>
  <si>
    <t>Non CHIP-EPSDT SDMCPmts</t>
  </si>
  <si>
    <t>Invoice</t>
  </si>
  <si>
    <t>MCAP-EPSDT: SDMCPmts</t>
  </si>
  <si>
    <t>Enhcd Refugee</t>
  </si>
  <si>
    <t>MCAP: SDMCPmts</t>
  </si>
  <si>
    <t>*</t>
  </si>
  <si>
    <t>CalWORKs Coordinated Entry System Invoice</t>
  </si>
  <si>
    <t>Children's Outreach &amp; Triage Team (COTT) Invoice</t>
  </si>
  <si>
    <t>Outreach &amp; Triage Team (OTT) Invoice</t>
  </si>
  <si>
    <t>Mobile Crisis Outreach Teams (MCOT) Invoice</t>
  </si>
  <si>
    <t>Mobile Crisis Outreach Teams (MCOT) Startup Fund Invoice</t>
  </si>
  <si>
    <t>Field-Based Crisis Services Program - Invoice</t>
  </si>
  <si>
    <t>DMH Mental Health Services Startup Fund Invoice</t>
  </si>
  <si>
    <t>MHSA Adult Full Service Partnership Incentives Invoice</t>
  </si>
  <si>
    <t>MHSA Child Full Service Partnership Incentives Invoice</t>
  </si>
  <si>
    <t>MHSA Outpatient Care Services Startup Fund Invoice</t>
  </si>
  <si>
    <t>MHSA Alternative Crisis Services Patch Invoice</t>
  </si>
  <si>
    <t>MHSA PEI Startup Fund Invoice</t>
  </si>
  <si>
    <t xml:space="preserve">Family Preservation Program </t>
  </si>
  <si>
    <t xml:space="preserve">Specialized Foster Care Enhanced Mental Health Svcs </t>
  </si>
  <si>
    <t xml:space="preserve">Specialized Foster Care MAT </t>
  </si>
  <si>
    <t xml:space="preserve">Specialized Foster Care TFC </t>
  </si>
  <si>
    <t xml:space="preserve">Specialized Foster Care Wraparound </t>
  </si>
  <si>
    <t xml:space="preserve">DCFS PHF </t>
  </si>
  <si>
    <t xml:space="preserve">Juvenile Justice Program (JJCPA - MST) </t>
  </si>
  <si>
    <t xml:space="preserve">Juvenile Justice Program (JJCPA - New Directions) </t>
  </si>
  <si>
    <t xml:space="preserve">Measure H Housing Supportive Services Program </t>
  </si>
  <si>
    <t xml:space="preserve">Children's Outreach &amp; Triage Team (COTT) </t>
  </si>
  <si>
    <t xml:space="preserve">Outreach &amp; Triage Team (OTT) </t>
  </si>
  <si>
    <t xml:space="preserve">Mobile Crisis Outreach Teams (OT) </t>
  </si>
  <si>
    <t xml:space="preserve">Federal/State Revenue </t>
  </si>
  <si>
    <t xml:space="preserve">DMH Mental Health Services </t>
  </si>
  <si>
    <t xml:space="preserve">MHSA Full Service Partnership </t>
  </si>
  <si>
    <t xml:space="preserve">MHSA Outpatient Care Services </t>
  </si>
  <si>
    <t xml:space="preserve">MHSA Alternative Crisis Services </t>
  </si>
  <si>
    <t xml:space="preserve">MHSA Housing Supportive Services Program </t>
  </si>
  <si>
    <t xml:space="preserve">Specialized Foster Care - DCFS MAT </t>
  </si>
  <si>
    <t xml:space="preserve">DCFS Medical Hub </t>
  </si>
  <si>
    <t xml:space="preserve">Comprehensive SOC Program (SAMHSA, CFDA #93.958) </t>
  </si>
  <si>
    <t xml:space="preserve">Juvenile Justice Program (STOP) </t>
  </si>
  <si>
    <t xml:space="preserve">Juvenile Justice Program (JJCPA-MHSAT) </t>
  </si>
  <si>
    <t xml:space="preserve">Juvenile Justice Program (COD) </t>
  </si>
  <si>
    <t xml:space="preserve">CalWORKs MHS </t>
  </si>
  <si>
    <t xml:space="preserve">DPH Dual Diagnosis </t>
  </si>
  <si>
    <t xml:space="preserve">DMH IMD Step Down </t>
  </si>
  <si>
    <t xml:space="preserve">MHSA Planning, Outreach, &amp; Engagement </t>
  </si>
  <si>
    <t xml:space="preserve">Post-Release Community Supervision-Community Reintegration Prog </t>
  </si>
  <si>
    <t>Specialized Foster Care Enhanced Mental Health Svcs (UCC)</t>
  </si>
  <si>
    <t>Post-Release Community Supervision-Community Reintegration Prog (UCC)</t>
  </si>
  <si>
    <t>DCFS 2011 Realignment (UCC)</t>
  </si>
  <si>
    <t>MHSA Alternative Crisis Services (UCC)</t>
  </si>
  <si>
    <t>Payor w Code</t>
  </si>
  <si>
    <t>304_UCC</t>
  </si>
  <si>
    <t>531_UCC</t>
  </si>
  <si>
    <t>171_UCC</t>
  </si>
  <si>
    <t>130.1_UCC</t>
  </si>
  <si>
    <t>180</t>
  </si>
  <si>
    <t>230</t>
  </si>
  <si>
    <t>300</t>
  </si>
  <si>
    <t>301</t>
  </si>
  <si>
    <t>310</t>
  </si>
  <si>
    <t>100</t>
  </si>
  <si>
    <t>360</t>
  </si>
  <si>
    <t>250</t>
  </si>
  <si>
    <t>153</t>
  </si>
  <si>
    <t>152</t>
  </si>
  <si>
    <t>152.2</t>
  </si>
  <si>
    <t>151</t>
  </si>
  <si>
    <t>150</t>
  </si>
  <si>
    <t>820</t>
  </si>
  <si>
    <t>241</t>
  </si>
  <si>
    <t>231</t>
  </si>
  <si>
    <t>130</t>
  </si>
  <si>
    <t>130.1</t>
  </si>
  <si>
    <t>130.2</t>
  </si>
  <si>
    <t>130.4</t>
  </si>
  <si>
    <t>RANK</t>
  </si>
  <si>
    <t>2022-23</t>
  </si>
  <si>
    <t>B23Z</t>
  </si>
  <si>
    <t>N23L</t>
  </si>
  <si>
    <t>B23Y</t>
  </si>
  <si>
    <t>N23M</t>
  </si>
  <si>
    <t>B23T</t>
  </si>
  <si>
    <t>P23J</t>
  </si>
  <si>
    <t>P23K</t>
  </si>
  <si>
    <t>P23L</t>
  </si>
  <si>
    <t>P23P</t>
  </si>
  <si>
    <t>P23Q</t>
  </si>
  <si>
    <t>TBA1</t>
  </si>
  <si>
    <t>N23N</t>
  </si>
  <si>
    <t>P23M</t>
  </si>
  <si>
    <t>N23Q</t>
  </si>
  <si>
    <t>Y23U</t>
  </si>
  <si>
    <t>Z23S</t>
  </si>
  <si>
    <t>Z23U</t>
  </si>
  <si>
    <t>Z23L</t>
  </si>
  <si>
    <t>Z23V</t>
  </si>
  <si>
    <t>Z23N</t>
  </si>
  <si>
    <t>Z23X</t>
  </si>
  <si>
    <t>Z23T</t>
  </si>
  <si>
    <t>Z23R</t>
  </si>
  <si>
    <t>Y23J</t>
  </si>
  <si>
    <t>Z23C</t>
  </si>
  <si>
    <t>Z23W</t>
  </si>
  <si>
    <t>Funded Program Amount  from 24-Hour Residential Treatment Program</t>
  </si>
  <si>
    <t>Funded Program Amount from Restorative Care Village Crisis Residantial Treatment Programs (CRTP)</t>
  </si>
  <si>
    <t>Program Funded Program Allocation From Others</t>
  </si>
  <si>
    <t>PEI - Suicide Prevention</t>
  </si>
  <si>
    <t>County Reimbursable Costs</t>
  </si>
  <si>
    <t>00197</t>
  </si>
  <si>
    <t>No</t>
  </si>
  <si>
    <t>Published Charge</t>
  </si>
  <si>
    <t>LAC 103 (07/01/22 - 06/30/23)</t>
  </si>
  <si>
    <t>Yes</t>
  </si>
  <si>
    <t>MHSA Alternative Crisis Svs-MC</t>
  </si>
  <si>
    <t>MediCal Denied</t>
  </si>
  <si>
    <t>MHSA Alternative Crisis Svs-No</t>
  </si>
  <si>
    <t>DMH Mental Health Services (CG</t>
  </si>
  <si>
    <t>UCC-AB109 MC</t>
  </si>
  <si>
    <t>UCC-AB109 Non-MC</t>
  </si>
  <si>
    <t>UCC-DCFS MC</t>
  </si>
  <si>
    <t>UCC-MHSA MC</t>
  </si>
  <si>
    <t>UCC-MHSA Non-MC</t>
  </si>
  <si>
    <t>UCC-SFC Enhanced MHS MC</t>
  </si>
  <si>
    <t>Specialized Foster Care Wrapar</t>
  </si>
  <si>
    <t>SFC Wraparound Non-MC</t>
  </si>
  <si>
    <t>Specialized Foster Enhanced MH</t>
  </si>
  <si>
    <t>MHSA PEI MC</t>
  </si>
  <si>
    <t>Specialized Foster Care TFC MC</t>
  </si>
  <si>
    <t>Specialized Foster Care MAT MC</t>
  </si>
  <si>
    <t>Specialized Foster Care DCFS M</t>
  </si>
  <si>
    <t>MHSA FSP Non-MC</t>
  </si>
  <si>
    <t>MHSA FSP MC</t>
  </si>
  <si>
    <t>MHSA PEI Non-MC</t>
  </si>
  <si>
    <t>MHSA Housing Supp. Srvs. Progr</t>
  </si>
  <si>
    <t xml:space="preserve">Measure H Housing Supp. Srvs. </t>
  </si>
  <si>
    <t>MHSA POE Non-MC</t>
  </si>
  <si>
    <t>Juvenile Justice JJCPA-New Dir</t>
  </si>
  <si>
    <t>Family Preservation Program No</t>
  </si>
  <si>
    <t>Family Preservation MC</t>
  </si>
  <si>
    <t>CalWORKs MHS Non-MC</t>
  </si>
  <si>
    <t>Juvenile Justice Program (COD)</t>
  </si>
  <si>
    <t>Juvenile Justice Prog(JJCPA-MH</t>
  </si>
  <si>
    <t>Federal/State Revenue</t>
  </si>
  <si>
    <t>Outreach &amp; Triage Team OTT - N</t>
  </si>
  <si>
    <t>Outreach &amp; Triage Team OTT - M</t>
  </si>
  <si>
    <t>Child Outreach &amp; Triage Team C</t>
  </si>
  <si>
    <t>Juvenile Justice Program (STOP</t>
  </si>
  <si>
    <t>Juvenile Justice Prog (JJCPA-M</t>
  </si>
  <si>
    <t>DCFS PHF MC</t>
  </si>
  <si>
    <t>Post-Release Community Supervs</t>
  </si>
  <si>
    <t>DPH Dual Diagnosis Non-MC</t>
  </si>
  <si>
    <t>CGF IMD Step Down Non-MC</t>
  </si>
  <si>
    <t>CGF IMD Step Down MC</t>
  </si>
  <si>
    <t>Mobile Crisis Outreach Teams (</t>
  </si>
  <si>
    <t>Mobil Crsis Outreach Teams (MC</t>
  </si>
  <si>
    <t>Comprehensive SOC Program Non-</t>
  </si>
  <si>
    <t>DCFS Medical Hubs Non-MC</t>
  </si>
  <si>
    <t xml:space="preserve">MHSA Prevention &amp; Early Intervention (PEI) </t>
  </si>
  <si>
    <t>Plan Name from 701U-P</t>
  </si>
  <si>
    <t>14-Non-MediCal</t>
  </si>
  <si>
    <t>01-EPSDT: SDMCPmts</t>
  </si>
  <si>
    <t>02-Oth MC: SDMCPmts</t>
  </si>
  <si>
    <t>10-Medicaid Expansion-MCE: SDMCPmts</t>
  </si>
  <si>
    <t>13-Oth MC: SB75</t>
  </si>
  <si>
    <t>05-MCHIP-EPSDT: SDMCPmts</t>
  </si>
  <si>
    <t>06-MCHIP: SDMCPmts</t>
  </si>
  <si>
    <t>07-Oth MC: Enhcd BCCTP</t>
  </si>
  <si>
    <t>08-Oth MC: Enhcd Pregancy</t>
  </si>
  <si>
    <t xml:space="preserve">Los Angeles County - Department of Mental Health </t>
  </si>
  <si>
    <t>Contract #</t>
  </si>
  <si>
    <t>Last Amendment</t>
  </si>
  <si>
    <t>Last A# with FS</t>
  </si>
  <si>
    <t>MCA</t>
  </si>
  <si>
    <t xml:space="preserve">Financial Services Bureau </t>
  </si>
  <si>
    <t xml:space="preserve">FY 2022-23 </t>
  </si>
  <si>
    <t>Final Shift Request Worksheet</t>
  </si>
  <si>
    <t>RCV_CRTP</t>
  </si>
  <si>
    <t>00183</t>
  </si>
  <si>
    <t>Others</t>
  </si>
  <si>
    <t>MAXIMUM CONTRACT ALLOCATION (MCA)</t>
  </si>
  <si>
    <t>Claimable Costs before Funding Limitations</t>
  </si>
  <si>
    <t>Filter</t>
  </si>
  <si>
    <t>Contract</t>
  </si>
  <si>
    <t>Match</t>
  </si>
  <si>
    <t xml:space="preserve">Gross </t>
  </si>
  <si>
    <t>(Y/N)</t>
  </si>
  <si>
    <t>Family Preservation Program Non-Medi-Cal (Non-MC)</t>
  </si>
  <si>
    <t>Non -MC</t>
  </si>
  <si>
    <t>Family Preservation Program Medi-Cal (MC)</t>
  </si>
  <si>
    <t>Medi-Cal Total</t>
  </si>
  <si>
    <t>Specialized Foster Care - DCFS MAT Non-MC</t>
  </si>
  <si>
    <t>4*</t>
  </si>
  <si>
    <t>Specialized Foster Care Enhanced Mental Health Svcs (Non-MC)</t>
  </si>
  <si>
    <t>Specialized Foster Care Enhanced Mental Health Svcs MC</t>
  </si>
  <si>
    <t>5*</t>
  </si>
  <si>
    <t>Specialized Foster Care MAT (Non-MC)</t>
  </si>
  <si>
    <t>6*</t>
  </si>
  <si>
    <t>Specialized Foster Care TFC (Non-MC)</t>
  </si>
  <si>
    <t>Specialized Foster Care Wraparound Non-MC</t>
  </si>
  <si>
    <t>Specialized Foster Care Wraparound Invoice</t>
  </si>
  <si>
    <t>Specialized Foster Care Wraparound MC</t>
  </si>
  <si>
    <t>DCFS Medical Hub Non-MC</t>
  </si>
  <si>
    <t>Comprehensive SOC Program (SAMHSA, CFDA #93.958) Non-MC</t>
  </si>
  <si>
    <t>Comprehensive SOC Program (SAMHSA, CFDA #93.958) Invoice</t>
  </si>
  <si>
    <t>Juvenile Justice Program (STOP) Non-MC</t>
  </si>
  <si>
    <t>Juvenile Justice Program (JJCPA-MHSAT) Non-MC</t>
  </si>
  <si>
    <t>Juvenile Justice Program (JJCPA - MST) Non-MC</t>
  </si>
  <si>
    <t>Juvenile Justice Program (JJCPA - MST) MC</t>
  </si>
  <si>
    <t>Juvenile Justice Program (JJCPA - New Directions) Non-MC</t>
  </si>
  <si>
    <t>Juvenile Justice Program (JJCPA - New Directions) MC</t>
  </si>
  <si>
    <t>Juvenile Justice Program (COD) Non-MC</t>
  </si>
  <si>
    <t>GROW Non-MC</t>
  </si>
  <si>
    <t xml:space="preserve">Post-Release Comm Supervision-Comm Reintegration Prog Non-MC </t>
  </si>
  <si>
    <t>Post-Release Comm Supervision-Comm Reintegration Prog Invoice</t>
  </si>
  <si>
    <t>Post-Release Comm Supervision-Comm Reintegration Prog MC</t>
  </si>
  <si>
    <t>DCSS Forensic Center Services Invoice</t>
  </si>
  <si>
    <t>Measure H Housing Supportive Services Program Non-MC</t>
  </si>
  <si>
    <t>Measure H Housing Supportive Services Program Invoice</t>
  </si>
  <si>
    <t>Measure H Housing Supportive Services Program MC</t>
  </si>
  <si>
    <t>Children's Outreach &amp; Triage Team (COTT) Non-MC</t>
  </si>
  <si>
    <t>Children's Outreach &amp; Triage Team (COTT) MC</t>
  </si>
  <si>
    <t>Outreach &amp; Triage Team (OTT) Non-MC</t>
  </si>
  <si>
    <t>Outreach &amp; Triage Team (OTT) MC</t>
  </si>
  <si>
    <t>Mobile Crisis Outreach Teams (MCOT) Non-MC</t>
  </si>
  <si>
    <t>Mobile Crisis Outreach Teams (MCOT) MC</t>
  </si>
  <si>
    <t>Field-Based Crisis Services Program - GGT Non-MC</t>
  </si>
  <si>
    <t>Field-Based Crisis Services Program - GGT MC</t>
  </si>
  <si>
    <t>Federal/State Revenue MC</t>
  </si>
  <si>
    <t>DMH Mental Health Services Non-MC</t>
  </si>
  <si>
    <t xml:space="preserve">DMH Mental Health Services Invoice </t>
  </si>
  <si>
    <t>DMH Mental Health Services MC</t>
  </si>
  <si>
    <t>MHSA Full Service Partnership Non-MC</t>
  </si>
  <si>
    <t>MHSA Full Service Partnership MC</t>
  </si>
  <si>
    <t>MHSA Outpatient Care Services Non-MC</t>
  </si>
  <si>
    <t>MHSA Outpatient Care Services MC</t>
  </si>
  <si>
    <t>MHSA Alternative Crisis Services Non-MC</t>
  </si>
  <si>
    <t>MHSA Alternative Crisis Services MC</t>
  </si>
  <si>
    <t>MHSA Housing Supportive Services Program Non-MC</t>
  </si>
  <si>
    <t>MHSA Housing Supportive Services Program MC</t>
  </si>
  <si>
    <t>MHSA Linkage Services Invoice</t>
  </si>
  <si>
    <t>MHSA Planning, Outreach, &amp; Engagement Non-MC</t>
  </si>
  <si>
    <t>MHSA Prevention &amp; Early Intervention (PEI) Non-MC</t>
  </si>
  <si>
    <t>Legal Entity Mental Health Services (MHS) Total</t>
  </si>
  <si>
    <t>24HR</t>
  </si>
  <si>
    <t>11*</t>
  </si>
  <si>
    <t>130.4N</t>
  </si>
  <si>
    <t>DCFS PHF Non-MC</t>
  </si>
  <si>
    <t>301M</t>
  </si>
  <si>
    <t>DMH IMD Step Down Non-MC</t>
  </si>
  <si>
    <t xml:space="preserve">DMH IMD Step Down MC </t>
  </si>
  <si>
    <t>24-Hour Residential Treatment Program Total</t>
  </si>
  <si>
    <t>24-Hour Residential Treatment Program (IMD) Total - No FS</t>
  </si>
  <si>
    <t>RCV</t>
  </si>
  <si>
    <t xml:space="preserve">CRTP_RCV Total </t>
  </si>
  <si>
    <t xml:space="preserve">Post-Release Comm Supervision-Comm Reintegration Prog MC </t>
  </si>
  <si>
    <t>Urgent Care Center (UCC) Total - No FS</t>
  </si>
  <si>
    <t>OZ</t>
  </si>
  <si>
    <t>SUICIDE PREVENTION CENTER</t>
  </si>
  <si>
    <t>Innovation 2</t>
  </si>
  <si>
    <t>OthersTotal - No FS</t>
  </si>
  <si>
    <t>Grand Total</t>
  </si>
  <si>
    <t>LOS ANGELES COUNTY - DEPARTMENT OF MENTAL HEALTH</t>
  </si>
  <si>
    <t>FISCAL YEAR 2022-2023</t>
  </si>
  <si>
    <t>2a</t>
  </si>
  <si>
    <t>4a</t>
  </si>
  <si>
    <t>5a</t>
  </si>
  <si>
    <t>6a</t>
  </si>
  <si>
    <t>9a</t>
  </si>
  <si>
    <t>11a</t>
  </si>
  <si>
    <t>17a</t>
  </si>
  <si>
    <t>19a</t>
  </si>
  <si>
    <t>27a</t>
  </si>
  <si>
    <t>31a</t>
  </si>
  <si>
    <t>37a</t>
  </si>
  <si>
    <t>40a</t>
  </si>
  <si>
    <t>43a</t>
  </si>
  <si>
    <t>47a</t>
  </si>
  <si>
    <t>50a</t>
  </si>
  <si>
    <t>51a</t>
  </si>
  <si>
    <t>55a</t>
  </si>
  <si>
    <t>58a</t>
  </si>
  <si>
    <t>63a</t>
  </si>
  <si>
    <t>67a</t>
  </si>
  <si>
    <t>72a</t>
  </si>
  <si>
    <t>75a</t>
  </si>
  <si>
    <t>81a</t>
  </si>
  <si>
    <t>100N</t>
  </si>
  <si>
    <t>100M_Match</t>
  </si>
  <si>
    <t>100M</t>
  </si>
  <si>
    <t>130N</t>
  </si>
  <si>
    <t>130.1M_Match</t>
  </si>
  <si>
    <t>130.1M</t>
  </si>
  <si>
    <t>130.2M_Match</t>
  </si>
  <si>
    <t>130.2M</t>
  </si>
  <si>
    <t>130.4M_Match</t>
  </si>
  <si>
    <t>130.4M</t>
  </si>
  <si>
    <t>130.3N</t>
  </si>
  <si>
    <t>130.3I</t>
  </si>
  <si>
    <t>130.3M_Match</t>
  </si>
  <si>
    <t>130.3M</t>
  </si>
  <si>
    <t>300N</t>
  </si>
  <si>
    <t>301M_Match</t>
  </si>
  <si>
    <t>140N</t>
  </si>
  <si>
    <t>140I</t>
  </si>
  <si>
    <t>150N</t>
  </si>
  <si>
    <t>151N</t>
  </si>
  <si>
    <t>152N</t>
  </si>
  <si>
    <t>152M_Match</t>
  </si>
  <si>
    <t>152M</t>
  </si>
  <si>
    <t>152.2N</t>
  </si>
  <si>
    <t>152.2M_Match</t>
  </si>
  <si>
    <t>152.2M</t>
  </si>
  <si>
    <t>153N</t>
  </si>
  <si>
    <t>155N</t>
  </si>
  <si>
    <t>180N</t>
  </si>
  <si>
    <t>183I</t>
  </si>
  <si>
    <t>182N</t>
  </si>
  <si>
    <t>171N</t>
  </si>
  <si>
    <t>171I</t>
  </si>
  <si>
    <t>171M_Match</t>
  </si>
  <si>
    <t>171M</t>
  </si>
  <si>
    <t>310N</t>
  </si>
  <si>
    <t>350I</t>
  </si>
  <si>
    <t>210N</t>
  </si>
  <si>
    <t>210M_Match</t>
  </si>
  <si>
    <t>210M</t>
  </si>
  <si>
    <t>221N</t>
  </si>
  <si>
    <t>221I</t>
  </si>
  <si>
    <t>221M_Match</t>
  </si>
  <si>
    <t>221M</t>
  </si>
  <si>
    <t>230N</t>
  </si>
  <si>
    <t>230I</t>
  </si>
  <si>
    <t>230M_Match</t>
  </si>
  <si>
    <t>230M</t>
  </si>
  <si>
    <t>231N</t>
  </si>
  <si>
    <t>231I</t>
  </si>
  <si>
    <t>231M_Match</t>
  </si>
  <si>
    <t>231M</t>
  </si>
  <si>
    <t>241N</t>
  </si>
  <si>
    <t>241I</t>
  </si>
  <si>
    <t>241I_A</t>
  </si>
  <si>
    <t>241M_Match</t>
  </si>
  <si>
    <t>241M</t>
  </si>
  <si>
    <t>250N</t>
  </si>
  <si>
    <t>250I</t>
  </si>
  <si>
    <t>250M_Match</t>
  </si>
  <si>
    <t>250M</t>
  </si>
  <si>
    <t>360M_Match</t>
  </si>
  <si>
    <t>360M</t>
  </si>
  <si>
    <t>400N</t>
  </si>
  <si>
    <t>400I</t>
  </si>
  <si>
    <t>400I_A</t>
  </si>
  <si>
    <t>400M_Match</t>
  </si>
  <si>
    <t>400M</t>
  </si>
  <si>
    <t>340N</t>
  </si>
  <si>
    <t>340I</t>
  </si>
  <si>
    <t>340M_Match</t>
  </si>
  <si>
    <t>340M</t>
  </si>
  <si>
    <t>500N</t>
  </si>
  <si>
    <t>500I</t>
  </si>
  <si>
    <t>500I_A</t>
  </si>
  <si>
    <t>500I_B</t>
  </si>
  <si>
    <t>500M_Match</t>
  </si>
  <si>
    <t>500M</t>
  </si>
  <si>
    <t>511N</t>
  </si>
  <si>
    <t>511I</t>
  </si>
  <si>
    <t>511I_A</t>
  </si>
  <si>
    <t>511M_Match</t>
  </si>
  <si>
    <t>511M</t>
  </si>
  <si>
    <t>531N</t>
  </si>
  <si>
    <t>531I</t>
  </si>
  <si>
    <t>531I_A</t>
  </si>
  <si>
    <t>531I_B</t>
  </si>
  <si>
    <t>531M_Match</t>
  </si>
  <si>
    <t>531M</t>
  </si>
  <si>
    <t>540N</t>
  </si>
  <si>
    <t>540I</t>
  </si>
  <si>
    <t>540M_Match</t>
  </si>
  <si>
    <t>540M</t>
  </si>
  <si>
    <t>810I</t>
  </si>
  <si>
    <t>820N</t>
  </si>
  <si>
    <t>600N</t>
  </si>
  <si>
    <t>600I</t>
  </si>
  <si>
    <t>600I_A</t>
  </si>
  <si>
    <t>600M_Match</t>
  </si>
  <si>
    <t>600M</t>
  </si>
  <si>
    <t>Legal Entity Code</t>
  </si>
  <si>
    <t>LE Name Per Contract</t>
  </si>
  <si>
    <t>FY 2022-23 Reporting Code</t>
  </si>
  <si>
    <t>Last Amendment Number</t>
  </si>
  <si>
    <t>Last Amendment Number with FS</t>
  </si>
  <si>
    <t>Family Preservation Program Medi-Cal (MC)_Match</t>
  </si>
  <si>
    <t>Specialized Foster Care Enhanced Mental Health Svcs MC_Match</t>
  </si>
  <si>
    <t>Specialized Foster Care MAT MC_Match</t>
  </si>
  <si>
    <t>Specialized Foster Care TFC MC_Match</t>
  </si>
  <si>
    <t>Specialized Foster Care Wraparound MC_Match</t>
  </si>
  <si>
    <t>DCFS PHF MC_Match</t>
  </si>
  <si>
    <t>Juvenile Justice Program (JJCPA - MST) MC_Match</t>
  </si>
  <si>
    <t>Juvenile Justice Program (JJCPA - New Directions) MC_Match</t>
  </si>
  <si>
    <t>Juvenile Day Reporting Center Non-MC</t>
  </si>
  <si>
    <t xml:space="preserve">Post-Release Community Supervision-Community Reintegration Prog Non-MC </t>
  </si>
  <si>
    <t>Post-Release Community Supervision-Community Reintegration Prog Invoice</t>
  </si>
  <si>
    <t>Post-Release Community Supervision-Community Reintegration Prog  MC_Match</t>
  </si>
  <si>
    <t>Post-Release Community Supervision-Community Reintegration Prog  MC</t>
  </si>
  <si>
    <t>DHS EPIC Program Non-MC</t>
  </si>
  <si>
    <t>DHS EPIC Program MC_Match</t>
  </si>
  <si>
    <t>DHS EPIC Program MC</t>
  </si>
  <si>
    <t>Measure H Housing Supportive Services Program MC_Match</t>
  </si>
  <si>
    <t>Children's Outreach &amp; Triage Team (COTT) MC_Match</t>
  </si>
  <si>
    <t>Outreach &amp; Triage Team (OTT) MC_Match</t>
  </si>
  <si>
    <t>Mobile Crisis Outreach Teams (MCOT) MC_Match</t>
  </si>
  <si>
    <t>Field-Based Crisis Services Program - GGT MC_Match</t>
  </si>
  <si>
    <t>Federal/State Revenue MC_Match</t>
  </si>
  <si>
    <t>DMH Mental Health Services MC_Match</t>
  </si>
  <si>
    <t>DMH IMD Step Down MC _Match</t>
  </si>
  <si>
    <t>MHSA Full Service Partnership MC_Match</t>
  </si>
  <si>
    <t>MHSA Outpatient Care Services MC_Match</t>
  </si>
  <si>
    <t>MHSA Alternative Crisis Services MC_Match</t>
  </si>
  <si>
    <t>MHSA Housing Supportive Services Program MC_Match</t>
  </si>
  <si>
    <t>MHSA PEI MC_Match</t>
  </si>
  <si>
    <t>MHSA-INNOVATION 2</t>
  </si>
  <si>
    <t>Approved k Amount Maximum Board</t>
  </si>
  <si>
    <t xml:space="preserve">                 </t>
  </si>
  <si>
    <t>B23A</t>
  </si>
  <si>
    <t>A23R</t>
  </si>
  <si>
    <t>B23B</t>
  </si>
  <si>
    <t>A23H</t>
  </si>
  <si>
    <t>A23J</t>
  </si>
  <si>
    <t>A23K</t>
  </si>
  <si>
    <t>J23D</t>
  </si>
  <si>
    <t>A23L</t>
  </si>
  <si>
    <t>B23N</t>
  </si>
  <si>
    <t>A23E</t>
  </si>
  <si>
    <t>N23B</t>
  </si>
  <si>
    <t>B23D</t>
  </si>
  <si>
    <t>B23E</t>
  </si>
  <si>
    <t>B23F</t>
  </si>
  <si>
    <t>A23Q</t>
  </si>
  <si>
    <t>J23E</t>
  </si>
  <si>
    <t>A23P</t>
  </si>
  <si>
    <t>B23G</t>
  </si>
  <si>
    <t>B23X</t>
  </si>
  <si>
    <t>B23K</t>
  </si>
  <si>
    <t>B23M</t>
  </si>
  <si>
    <t>N23E</t>
  </si>
  <si>
    <t>M23B</t>
  </si>
  <si>
    <t>B23R</t>
  </si>
  <si>
    <t>N23Y</t>
  </si>
  <si>
    <t>M23K</t>
  </si>
  <si>
    <t>P23H</t>
  </si>
  <si>
    <t>M23P</t>
  </si>
  <si>
    <t>P23E</t>
  </si>
  <si>
    <t>M23M</t>
  </si>
  <si>
    <t>P23F</t>
  </si>
  <si>
    <t>M23N</t>
  </si>
  <si>
    <t>P23N</t>
  </si>
  <si>
    <t>M23Q</t>
  </si>
  <si>
    <t>P23R</t>
  </si>
  <si>
    <t>M23R</t>
  </si>
  <si>
    <t>N23H</t>
  </si>
  <si>
    <t>N23J</t>
  </si>
  <si>
    <t>M23E</t>
  </si>
  <si>
    <t>N23G</t>
  </si>
  <si>
    <t>M23D</t>
  </si>
  <si>
    <t>Y23A</t>
  </si>
  <si>
    <t>H23A</t>
  </si>
  <si>
    <t>Z23K</t>
  </si>
  <si>
    <t>H23R</t>
  </si>
  <si>
    <t>Z23M</t>
  </si>
  <si>
    <t>H23Q</t>
  </si>
  <si>
    <t>Z23Q</t>
  </si>
  <si>
    <t>H23S</t>
  </si>
  <si>
    <t>Y23K</t>
  </si>
  <si>
    <t>Y23F</t>
  </si>
  <si>
    <t>H23F</t>
  </si>
  <si>
    <t>1.LE</t>
  </si>
  <si>
    <t>00066</t>
  </si>
  <si>
    <t>Tri-City Mental Health Authority</t>
  </si>
  <si>
    <t>00108</t>
  </si>
  <si>
    <t>Telecare Corporation</t>
  </si>
  <si>
    <t>00118</t>
  </si>
  <si>
    <t>Victor Treatment Center</t>
  </si>
  <si>
    <t>00120</t>
  </si>
  <si>
    <t>Pacific Clinics fka Uplift Family Services</t>
  </si>
  <si>
    <t>5</t>
  </si>
  <si>
    <t>00171</t>
  </si>
  <si>
    <t>The Institute for the Redesign of Learning (Almansor)</t>
  </si>
  <si>
    <t>00173</t>
  </si>
  <si>
    <t>Alma Family Services</t>
  </si>
  <si>
    <t>00174</t>
  </si>
  <si>
    <t>Hamburger Home dba Aviva Family Children's</t>
  </si>
  <si>
    <t>00175</t>
  </si>
  <si>
    <t>Barbour and Floyd Medical  Associates</t>
  </si>
  <si>
    <t>00177</t>
  </si>
  <si>
    <t xml:space="preserve">Alcott Center for Mental Health Services </t>
  </si>
  <si>
    <t>00179</t>
  </si>
  <si>
    <t>Children's Hospital of Los Angeles</t>
  </si>
  <si>
    <t>00180</t>
  </si>
  <si>
    <t>Amanecer Community Counseling Service, a Non-Profit Corporation</t>
  </si>
  <si>
    <t>00181</t>
  </si>
  <si>
    <t>Community Family Guidance Center</t>
  </si>
  <si>
    <t xml:space="preserve">Didi Hirsch Psychiatric Service </t>
  </si>
  <si>
    <t>00185</t>
  </si>
  <si>
    <t>El Centro De Amistad, Incorporated</t>
  </si>
  <si>
    <t>00188</t>
  </si>
  <si>
    <t xml:space="preserve">ENKI Health Services, Inc. </t>
  </si>
  <si>
    <t>00190</t>
  </si>
  <si>
    <t>Gateways Hospital and Mental Health Center</t>
  </si>
  <si>
    <t>00191</t>
  </si>
  <si>
    <t>The Guidance Center</t>
  </si>
  <si>
    <t>00192</t>
  </si>
  <si>
    <t>Hathaway - Sycamores Child and Family Services</t>
  </si>
  <si>
    <t>00194</t>
  </si>
  <si>
    <t>Hillview Mental Health Center, Inc</t>
  </si>
  <si>
    <t>00195</t>
  </si>
  <si>
    <t>The Whole Child - Mental Health &amp; Housing Services</t>
  </si>
  <si>
    <t>00196</t>
  </si>
  <si>
    <t>Vista Del Mar Child and Family Services (Jewish Orphans of So. Cal.)</t>
  </si>
  <si>
    <t>Kedren Comm Health Center, Inc</t>
  </si>
  <si>
    <t>00198</t>
  </si>
  <si>
    <t>The Help Group Child &amp; Family Center</t>
  </si>
  <si>
    <t>00199</t>
  </si>
  <si>
    <t>Wellnest Emotional Health &amp; Wellness fka LA Child Guidance Clinic</t>
  </si>
  <si>
    <t>00200</t>
  </si>
  <si>
    <t>Mental Health America of Los Angeles</t>
  </si>
  <si>
    <t>00201</t>
  </si>
  <si>
    <t>Penny Lane Centers dba Penny Lane</t>
  </si>
  <si>
    <t>00207</t>
  </si>
  <si>
    <t xml:space="preserve">Child and Family Guidance Center   </t>
  </si>
  <si>
    <t>00208</t>
  </si>
  <si>
    <t>San Fernando Valley Community Mental Health Center, Inc.</t>
  </si>
  <si>
    <t>00210</t>
  </si>
  <si>
    <t>Child and Family Center (Santa Clarita Valley Child)</t>
  </si>
  <si>
    <t>00212</t>
  </si>
  <si>
    <t>Social Model Recovery Systems, Inc (dba The River Community)</t>
  </si>
  <si>
    <t>00213</t>
  </si>
  <si>
    <t>South Bay Children's Health Center</t>
  </si>
  <si>
    <t>00214</t>
  </si>
  <si>
    <t xml:space="preserve">Special Service For Groups </t>
  </si>
  <si>
    <t>00215</t>
  </si>
  <si>
    <t>Step-Up On Second Street, Inc.</t>
  </si>
  <si>
    <t>00216</t>
  </si>
  <si>
    <t>Stirling Academy, Inc.</t>
  </si>
  <si>
    <t>00217</t>
  </si>
  <si>
    <t xml:space="preserve">Providence Saint John’s Health Center </t>
  </si>
  <si>
    <t>00218</t>
  </si>
  <si>
    <t>St. Joseph Center</t>
  </si>
  <si>
    <t>00256</t>
  </si>
  <si>
    <t>1736 Family Crisis Center</t>
  </si>
  <si>
    <t>00269</t>
  </si>
  <si>
    <t>Aids Project Los Angeles, Incorporated (APLA Health &amp; Wellness)</t>
  </si>
  <si>
    <t>00274</t>
  </si>
  <si>
    <t xml:space="preserve">BRIDGES Community Treatment Services, Inc. </t>
  </si>
  <si>
    <t>00300</t>
  </si>
  <si>
    <t>For The Child (Cedar House, Inc.)</t>
  </si>
  <si>
    <t>00302</t>
  </si>
  <si>
    <t>Filipino-American Service Group, Inc. (as of 07/12/23, zero payment)</t>
  </si>
  <si>
    <t>00304</t>
  </si>
  <si>
    <t>Los Angeles LGBT Center</t>
  </si>
  <si>
    <t>00305</t>
  </si>
  <si>
    <t>The People Concern (fka Ocean Park Community Center)</t>
  </si>
  <si>
    <t>00310</t>
  </si>
  <si>
    <t>Watts Labor Community Action Committee - WLCAC  (as of 07/12/23, zero payment)</t>
  </si>
  <si>
    <t>00315</t>
  </si>
  <si>
    <t>Los Angeles Unified School District</t>
  </si>
  <si>
    <t>00316</t>
  </si>
  <si>
    <t>Disability Community Resource Ctr. (fka Westside Ctr.)</t>
  </si>
  <si>
    <t>00320</t>
  </si>
  <si>
    <t>San Gabriel Children's Center (RTI)</t>
  </si>
  <si>
    <t>00321</t>
  </si>
  <si>
    <t xml:space="preserve">Hillsides </t>
  </si>
  <si>
    <t>00326</t>
  </si>
  <si>
    <t>Koreatown Youth &amp; Community Center, Inc</t>
  </si>
  <si>
    <t>00348</t>
  </si>
  <si>
    <t>HealthRight 360</t>
  </si>
  <si>
    <t>00409</t>
  </si>
  <si>
    <t>ASC Treatment Group (The Anne Sippi Clinic)</t>
  </si>
  <si>
    <t>00467</t>
  </si>
  <si>
    <t>ASPIRAnet</t>
  </si>
  <si>
    <t>00506</t>
  </si>
  <si>
    <t>Southern California Health &amp; Rehab Program (SCHARP)</t>
  </si>
  <si>
    <t>00508</t>
  </si>
  <si>
    <t>Homes for Life Foundation</t>
  </si>
  <si>
    <t>00518</t>
  </si>
  <si>
    <t xml:space="preserve">Olive Crest </t>
  </si>
  <si>
    <t>00527</t>
  </si>
  <si>
    <t>Exodus Recovery, Inc.</t>
  </si>
  <si>
    <t>00543</t>
  </si>
  <si>
    <t>00558</t>
  </si>
  <si>
    <t>SHIELDS for Families Project, Inc.</t>
  </si>
  <si>
    <t>00579</t>
  </si>
  <si>
    <t>Pacific Asian Counseling Services</t>
  </si>
  <si>
    <t>00591</t>
  </si>
  <si>
    <t>Children's Institute Inc.</t>
  </si>
  <si>
    <t>00630</t>
  </si>
  <si>
    <t>Topanga-Roscoe Corporation (Topanga West)</t>
  </si>
  <si>
    <t>00647</t>
  </si>
  <si>
    <t xml:space="preserve">Five Acres - The Boys and Girls Aid Society </t>
  </si>
  <si>
    <t>00668</t>
  </si>
  <si>
    <t>Children's Bureau of Southern California</t>
  </si>
  <si>
    <t>00694</t>
  </si>
  <si>
    <t xml:space="preserve">Counseling4Kids  </t>
  </si>
  <si>
    <t>00697</t>
  </si>
  <si>
    <t xml:space="preserve">Haynes Family of Programs, Inc. </t>
  </si>
  <si>
    <t>00699</t>
  </si>
  <si>
    <t>Institute for Multicultural Counseling &amp; Education Svcs, Inc</t>
  </si>
  <si>
    <t>00711</t>
  </si>
  <si>
    <t>Pediatric &amp; Family Medical Ctr. Dba Eisner Pediatric &amp; Family Medical Ctr.</t>
  </si>
  <si>
    <t>00724</t>
  </si>
  <si>
    <t>Foothill Family Service</t>
  </si>
  <si>
    <t>00778</t>
  </si>
  <si>
    <t>D'Veal Corp (D'Veal Family and Youth Svcs)</t>
  </si>
  <si>
    <t>00779</t>
  </si>
  <si>
    <t>Counseling &amp; Research Assn, Inc (Masada Homes)</t>
  </si>
  <si>
    <t>00781</t>
  </si>
  <si>
    <t>Optimist Boy's Home &amp; Ranch, Inc (Optimist Youth Homes &amp; Family Svcs)</t>
  </si>
  <si>
    <t>00783</t>
  </si>
  <si>
    <t>ChildNet Youth and Family Services, Inc.</t>
  </si>
  <si>
    <t>00801</t>
  </si>
  <si>
    <t>Pathways Community Services, LLC</t>
  </si>
  <si>
    <t>00805</t>
  </si>
  <si>
    <t>Phoenix Houses of Los Angeles, Inc.</t>
  </si>
  <si>
    <t>00859</t>
  </si>
  <si>
    <t>One in Long Beach, Inc.</t>
  </si>
  <si>
    <t>00870</t>
  </si>
  <si>
    <t>Florence Crittenton Svcs of Orange County, Inc. dba Crittenton Services for Children and Families</t>
  </si>
  <si>
    <t>00938</t>
  </si>
  <si>
    <t>United American Indian Involvement, Inc.</t>
  </si>
  <si>
    <t>00965</t>
  </si>
  <si>
    <t>Heritage Cl &amp; the Comm Assis Prog for Srs dba Geronet</t>
  </si>
  <si>
    <t>00971</t>
  </si>
  <si>
    <t>McKinley Children's Center, Inc</t>
  </si>
  <si>
    <t>00984</t>
  </si>
  <si>
    <t>The Regents of the University of California</t>
  </si>
  <si>
    <t>00995</t>
  </si>
  <si>
    <t>Ettie Lee Homes, Inc.</t>
  </si>
  <si>
    <t>01026</t>
  </si>
  <si>
    <t>Trinity Youth Services</t>
  </si>
  <si>
    <t>01034</t>
  </si>
  <si>
    <t>Maryvale</t>
  </si>
  <si>
    <t>01044</t>
  </si>
  <si>
    <t>VIP Community Mental Health Center</t>
  </si>
  <si>
    <t>01066</t>
  </si>
  <si>
    <t>The Children's Center of the Antelope Valley</t>
  </si>
  <si>
    <t>01142</t>
  </si>
  <si>
    <t>New Directions, Inc.</t>
  </si>
  <si>
    <t>01150</t>
  </si>
  <si>
    <t>Behavioral Health Services</t>
  </si>
  <si>
    <t>01156</t>
  </si>
  <si>
    <t>Tarzana Treatment Center, Inc.</t>
  </si>
  <si>
    <t>01160</t>
  </si>
  <si>
    <t>SPIRITT Family Services, Inc</t>
  </si>
  <si>
    <t>01167</t>
  </si>
  <si>
    <t>Asian American Drug Abuse Program, Inc</t>
  </si>
  <si>
    <t>01169</t>
  </si>
  <si>
    <t>Para Los Ninos</t>
  </si>
  <si>
    <t>01171</t>
  </si>
  <si>
    <t>Tobinworld</t>
  </si>
  <si>
    <t>01181</t>
  </si>
  <si>
    <t>Drew Child Development Corporation</t>
  </si>
  <si>
    <t>01186</t>
  </si>
  <si>
    <t>St. Anne's Family Services</t>
  </si>
  <si>
    <t>01192</t>
  </si>
  <si>
    <t>California Institute of Health &amp; Social Services dba Alafia Mental Health Institute</t>
  </si>
  <si>
    <t>01194</t>
  </si>
  <si>
    <t>Personal Involvement Center, Inc.</t>
  </si>
  <si>
    <t>01209</t>
  </si>
  <si>
    <t>Center for Integrated Family &amp; Health Services, Inc.</t>
  </si>
  <si>
    <t>01224</t>
  </si>
  <si>
    <t>The Village Family Services, Inc.</t>
  </si>
  <si>
    <t>01227</t>
  </si>
  <si>
    <t>David &amp; Margaret Home, Inc  (as of 07/12/23, zero payment)</t>
  </si>
  <si>
    <t>01228</t>
  </si>
  <si>
    <t>Pasadena Unified School District</t>
  </si>
  <si>
    <t>01232</t>
  </si>
  <si>
    <t>Helpline Youth Counseling, Inc</t>
  </si>
  <si>
    <t>01250</t>
  </si>
  <si>
    <t>El Centro Del Pueblo</t>
  </si>
  <si>
    <t>01273</t>
  </si>
  <si>
    <t>Bayfront Youth and Family Services</t>
  </si>
  <si>
    <t>01285</t>
  </si>
  <si>
    <t>Dignity Community Care dba California Hospital Medical Center</t>
  </si>
  <si>
    <t>01311</t>
  </si>
  <si>
    <t>Emotional Health Association(dba SHARE the Self-Help &amp; Recovery Exchange)</t>
  </si>
  <si>
    <t>01379</t>
  </si>
  <si>
    <t>Tessie Cleveland Community Services Corporation</t>
  </si>
  <si>
    <t>01521</t>
  </si>
  <si>
    <t>Jewish Family Service of Los Angeles</t>
  </si>
  <si>
    <t>01563</t>
  </si>
  <si>
    <t>JWCH Institute Inc.</t>
  </si>
  <si>
    <t>01567</t>
  </si>
  <si>
    <t>Exceptional Children's Foundation</t>
  </si>
  <si>
    <t>01794</t>
  </si>
  <si>
    <t>Korean American Family Services, Inc., (KFAM)</t>
  </si>
  <si>
    <t>01798</t>
  </si>
  <si>
    <t>Wayfinder Family Services</t>
  </si>
  <si>
    <t>01800</t>
  </si>
  <si>
    <t>Asian Pacific Health Care Venture, Inc.</t>
  </si>
  <si>
    <t>01806</t>
  </si>
  <si>
    <t xml:space="preserve">University Muslim Medical Association, Inc -UMMA </t>
  </si>
  <si>
    <t>01843</t>
  </si>
  <si>
    <t>Alliance Human Services, Inc.`</t>
  </si>
  <si>
    <t>01853</t>
  </si>
  <si>
    <t>Eggleston Youth Centers, Inc.</t>
  </si>
  <si>
    <t>01961</t>
  </si>
  <si>
    <t>Project Return Peer Support Network</t>
  </si>
  <si>
    <t>01981</t>
  </si>
  <si>
    <t>Institute for Family Centered Services, Inc.</t>
  </si>
  <si>
    <t>02037</t>
  </si>
  <si>
    <t>Nuevo Amanecer Latino Children's Services</t>
  </si>
  <si>
    <t>02038</t>
  </si>
  <si>
    <t>Boys Republic</t>
  </si>
  <si>
    <t>02082</t>
  </si>
  <si>
    <t>Fields Comprehensive Youth Services, Inc.</t>
  </si>
  <si>
    <t>02083</t>
  </si>
  <si>
    <t>Luvlee's Residential Care Inc. dba New Dawn</t>
  </si>
  <si>
    <t>02125</t>
  </si>
  <si>
    <t>Rite of Passage ATCS, Inc</t>
  </si>
  <si>
    <t>02172</t>
  </si>
  <si>
    <t>Rancho San Antonio Boys Home, Inc.</t>
  </si>
  <si>
    <t>02194</t>
  </si>
  <si>
    <t>Heritage Group Homes, Inc.</t>
  </si>
  <si>
    <t>02205</t>
  </si>
  <si>
    <t>Humanistic Foundation, Inc. dba New Concept Group Home</t>
  </si>
  <si>
    <t>02220</t>
  </si>
  <si>
    <t>Dangerfield Institute of Urban Problems, Inc.</t>
  </si>
  <si>
    <t>02230</t>
  </si>
  <si>
    <t>Dream Home Care, Inc.</t>
  </si>
  <si>
    <t>02232</t>
  </si>
  <si>
    <t>Bourne, Inc.</t>
  </si>
  <si>
    <t>02235</t>
  </si>
  <si>
    <t>Garces Residential Care Services</t>
  </si>
  <si>
    <t>02245</t>
  </si>
  <si>
    <t xml:space="preserve">West Covina Foster Family Agency dba Sunrise Horizon </t>
  </si>
  <si>
    <t>02286</t>
  </si>
  <si>
    <t>Prime Healthcare Services-St. Francis, LLC</t>
  </si>
  <si>
    <t>02289</t>
  </si>
  <si>
    <t>Mary's shelter dba Mary's Path</t>
  </si>
  <si>
    <t>02294</t>
  </si>
  <si>
    <t>Fleming &amp; Barnes, Inc. (dba Dimondale Adolescent Care Facility)</t>
  </si>
  <si>
    <t>02313</t>
  </si>
  <si>
    <t>Fred Jefferson Memorial Home for Boys</t>
  </si>
  <si>
    <t>02317</t>
  </si>
  <si>
    <t>The Virtuous Woman, Inc.</t>
  </si>
  <si>
    <t>02363</t>
  </si>
  <si>
    <t>ZOE International</t>
  </si>
  <si>
    <t>02364</t>
  </si>
  <si>
    <t>Project IMAPCT Inc.</t>
  </si>
  <si>
    <t>0TBD1</t>
  </si>
  <si>
    <t>Mindful Growth Foundation</t>
  </si>
  <si>
    <t>xxxxx</t>
  </si>
  <si>
    <t>EHAB YACOUB, MD dba BRAIN HEALTH USA</t>
  </si>
  <si>
    <t>99995</t>
  </si>
  <si>
    <t>2.24HR</t>
  </si>
  <si>
    <t>02129</t>
  </si>
  <si>
    <t>The Teen Project, Inc.</t>
  </si>
  <si>
    <t>02130</t>
  </si>
  <si>
    <t>Los Angeles Centers for Alcohol and Drug Abuse</t>
  </si>
  <si>
    <t>02385</t>
  </si>
  <si>
    <t>A Brighter Day Recuperatve Care LLC</t>
  </si>
  <si>
    <t>00279</t>
  </si>
  <si>
    <t xml:space="preserve">SunBridge Braswell Enterprises, LLC </t>
  </si>
  <si>
    <t>00308</t>
  </si>
  <si>
    <t>San Gabriel Valley Convalescent Hospital, Inc. (dba Penn Mar Therapeutic Center)</t>
  </si>
  <si>
    <t>00313</t>
  </si>
  <si>
    <t xml:space="preserve">Landmark Medical Services, Inc. </t>
  </si>
  <si>
    <t>00314</t>
  </si>
  <si>
    <t>SunBridge Meadowbrook Rehabilitation Center</t>
  </si>
  <si>
    <t>00324</t>
  </si>
  <si>
    <t>AMADA Enterprises, Inc. (dba View Heights Convalescent Hospital)</t>
  </si>
  <si>
    <t>00949</t>
  </si>
  <si>
    <t xml:space="preserve">Crestwood Behavioral Health, Inc. </t>
  </si>
  <si>
    <t>01207</t>
  </si>
  <si>
    <t>SunBridge Shandin Hills Rehabilitation Center</t>
  </si>
  <si>
    <t>01727</t>
  </si>
  <si>
    <t xml:space="preserve">KF Community Care, LLC </t>
  </si>
  <si>
    <t>01321</t>
  </si>
  <si>
    <t>Behavioral Health Management Systems, LLC (dba Alpine Special Treatment Center)</t>
  </si>
  <si>
    <t>0TBD2</t>
  </si>
  <si>
    <t xml:space="preserve">Harborview Center, LLC </t>
  </si>
  <si>
    <t>0TBD3</t>
  </si>
  <si>
    <t>Long Beach Post Acute, LLC (dba Long Beach Post Acute)</t>
  </si>
  <si>
    <t>01946</t>
  </si>
  <si>
    <t>Central Star Behavioral Health, Inc.</t>
  </si>
  <si>
    <t>01130</t>
  </si>
  <si>
    <t>Valley Star Behaviroal Health, Inc.</t>
  </si>
  <si>
    <t>Restorative Care Village Crisis Residantial Treatment Programs (RCV CRTP) Total</t>
  </si>
  <si>
    <t>Star View Behavioral Health, Inc. FKA Star View Adolescent Center, Inc.</t>
  </si>
  <si>
    <t>01580</t>
  </si>
  <si>
    <t xml:space="preserve">Providence Little Company of Mary Medical Center San Pedro </t>
  </si>
  <si>
    <t>01048</t>
  </si>
  <si>
    <t>Pacifica of the Valley Corporation (dba Pacifica Hospital of the Valley)</t>
  </si>
  <si>
    <t>IMD  - No FS</t>
  </si>
  <si>
    <t>Others Total</t>
  </si>
  <si>
    <t>PlanName</t>
  </si>
  <si>
    <t>SFC</t>
  </si>
  <si>
    <t>Child Outreach &amp; Triage Team COTT - MC</t>
  </si>
  <si>
    <t>Denied-CalPM</t>
  </si>
  <si>
    <t>Child Outreach &amp; Triage Team COTT-Non-MC</t>
  </si>
  <si>
    <t>DMH Mental Health Services (CGF) MC</t>
  </si>
  <si>
    <t>DMH Mental Health Services (CGF) Non-MC</t>
  </si>
  <si>
    <t>Measure H Housing Supp. Srvs. MC</t>
  </si>
  <si>
    <t>Measure H Housing Supp. Srvs. Non-MC</t>
  </si>
  <si>
    <t>MHSA Alternative Crisis Svs-Non-MC</t>
  </si>
  <si>
    <t>MHSA Housing Supp. Srvs. Program MC</t>
  </si>
  <si>
    <t>MHSA Housing Supp. Srvs. Program Non-MC</t>
  </si>
  <si>
    <t>Outreach &amp; Triage Team OTT - MC</t>
  </si>
  <si>
    <t>Outreach &amp; Triage Team OTT - Non-MC</t>
  </si>
  <si>
    <t>Post-Release Community Supervsion MC</t>
  </si>
  <si>
    <t>Post-Release Community Supervsion Non-MC</t>
  </si>
  <si>
    <t>Sources Documents</t>
  </si>
  <si>
    <t>Units of Service</t>
  </si>
  <si>
    <t>701U P Units of Service Claim Report with _rptFinClaimList</t>
  </si>
  <si>
    <t>Plan Name from rpt_FinClaimList</t>
  </si>
  <si>
    <t>Juvenile Justice JJCPA-New Direct-MC</t>
  </si>
  <si>
    <t>Juvenile Justice JJCPA-New Direct-Non-MC</t>
  </si>
  <si>
    <t>Juvenile Justice Prog(JJCPA-MHSAT non-MC</t>
  </si>
  <si>
    <t>Specialized Foster Care DCFS MAT Non-MC</t>
  </si>
  <si>
    <t>Comprehensive SOC Program Non-MC</t>
  </si>
  <si>
    <t>Family Preservation Program Non-MC</t>
  </si>
  <si>
    <t>Specialized Foster Enhanced MHS (MC)</t>
  </si>
  <si>
    <t>Mobil Crsis Outreach Teams (MCOT) Non-MC</t>
  </si>
  <si>
    <t>Juvenile Justice Prog (JJCPA-MST) MC</t>
  </si>
  <si>
    <t>Denied-MSO</t>
  </si>
  <si>
    <t>Void/Resub</t>
  </si>
  <si>
    <t>03-Non CHIP-EPSDT SDMCPmts</t>
  </si>
  <si>
    <t>04-Non CHIP: SDMCPmts</t>
  </si>
  <si>
    <t>09-Enhcd Refugee</t>
  </si>
  <si>
    <t>11-MCAP-EPSDT: SDMCPmts</t>
  </si>
  <si>
    <t>12-MCAP: SDMCPmts</t>
  </si>
  <si>
    <t>15-Invoice</t>
  </si>
  <si>
    <t>Yes/No</t>
  </si>
  <si>
    <t>If Yes, please indicate County to provide _rpt_FinClaimList</t>
  </si>
  <si>
    <t>Internal Records *</t>
  </si>
  <si>
    <t>SubProgCode</t>
  </si>
  <si>
    <t>P1</t>
  </si>
  <si>
    <t>P2</t>
  </si>
  <si>
    <t>P3</t>
  </si>
  <si>
    <t>P4</t>
  </si>
  <si>
    <t>Adjustment</t>
  </si>
  <si>
    <t>Period Code</t>
  </si>
  <si>
    <t>10/01/22-12/31/22</t>
  </si>
  <si>
    <t>01/01/23-03/31/23</t>
  </si>
  <si>
    <t>P5</t>
  </si>
  <si>
    <t>SFC_2</t>
  </si>
  <si>
    <t>Legal Entity Number</t>
  </si>
  <si>
    <t>MHS Type</t>
  </si>
  <si>
    <t>Age Group (MHSA PEI)</t>
  </si>
  <si>
    <t>Inpatient</t>
  </si>
  <si>
    <t>Invoices</t>
  </si>
  <si>
    <t>Reimbursable Rate</t>
  </si>
  <si>
    <t>Less: 3rd Party Revenue</t>
  </si>
  <si>
    <t>Billable Units x Reimbursable Rate</t>
  </si>
  <si>
    <t>FFP</t>
  </si>
  <si>
    <t>2011 Realignment</t>
  </si>
  <si>
    <t>SGF</t>
  </si>
  <si>
    <t>01P1</t>
  </si>
  <si>
    <t>01P2</t>
  </si>
  <si>
    <t>01P3</t>
  </si>
  <si>
    <t>01P4</t>
  </si>
  <si>
    <t>01P5</t>
  </si>
  <si>
    <t>02P1</t>
  </si>
  <si>
    <t>02P2</t>
  </si>
  <si>
    <t>02P3</t>
  </si>
  <si>
    <t>02P4</t>
  </si>
  <si>
    <t>02P5</t>
  </si>
  <si>
    <t>03P1</t>
  </si>
  <si>
    <t>03P2</t>
  </si>
  <si>
    <t>03P3</t>
  </si>
  <si>
    <t>03P4</t>
  </si>
  <si>
    <t>03P5</t>
  </si>
  <si>
    <t>04P1</t>
  </si>
  <si>
    <t>04P2</t>
  </si>
  <si>
    <t>04P3</t>
  </si>
  <si>
    <t>04P4</t>
  </si>
  <si>
    <t>04P5</t>
  </si>
  <si>
    <t>05P1</t>
  </si>
  <si>
    <t>05P2</t>
  </si>
  <si>
    <t>05P3</t>
  </si>
  <si>
    <t>05P4</t>
  </si>
  <si>
    <t>05P5</t>
  </si>
  <si>
    <t>06P1</t>
  </si>
  <si>
    <t>06P2</t>
  </si>
  <si>
    <t>06P3</t>
  </si>
  <si>
    <t>06P4</t>
  </si>
  <si>
    <t>06P5</t>
  </si>
  <si>
    <t>07P1</t>
  </si>
  <si>
    <t>07P2</t>
  </si>
  <si>
    <t>07P3</t>
  </si>
  <si>
    <t>07P4</t>
  </si>
  <si>
    <t>07P5</t>
  </si>
  <si>
    <t>08P1</t>
  </si>
  <si>
    <t>08P2</t>
  </si>
  <si>
    <t>08P3</t>
  </si>
  <si>
    <t>08P4</t>
  </si>
  <si>
    <t>08P5</t>
  </si>
  <si>
    <t>09P1</t>
  </si>
  <si>
    <t>09P2</t>
  </si>
  <si>
    <t>09P3</t>
  </si>
  <si>
    <t>09P4</t>
  </si>
  <si>
    <t>09P5</t>
  </si>
  <si>
    <t>10P1</t>
  </si>
  <si>
    <t>10P2</t>
  </si>
  <si>
    <t>10P3</t>
  </si>
  <si>
    <t>10P4</t>
  </si>
  <si>
    <t>10P5</t>
  </si>
  <si>
    <t>11P1</t>
  </si>
  <si>
    <t>11P2</t>
  </si>
  <si>
    <t>11P3</t>
  </si>
  <si>
    <t>11P4</t>
  </si>
  <si>
    <t>11P5</t>
  </si>
  <si>
    <t>12P1</t>
  </si>
  <si>
    <t>12P2</t>
  </si>
  <si>
    <t>12P3</t>
  </si>
  <si>
    <t>12P4</t>
  </si>
  <si>
    <t>12P5</t>
  </si>
  <si>
    <t>13P1</t>
  </si>
  <si>
    <t>13P2</t>
  </si>
  <si>
    <t>13P3</t>
  </si>
  <si>
    <t>13P4</t>
  </si>
  <si>
    <t>13P5</t>
  </si>
  <si>
    <t>FMAP</t>
  </si>
  <si>
    <t>match</t>
  </si>
  <si>
    <t>Non Medi-Cal</t>
  </si>
  <si>
    <t>Cost per Unit</t>
  </si>
  <si>
    <t>P.C.</t>
  </si>
  <si>
    <t>Billable Units</t>
  </si>
  <si>
    <t>Adjused Billable Units</t>
  </si>
  <si>
    <t>Rate(s)</t>
  </si>
  <si>
    <t xml:space="preserve">FMAP, 2011 Realignment, SGF &amp; Match Allocation </t>
  </si>
  <si>
    <t>Medi-Cal Services Cost Total</t>
  </si>
  <si>
    <t>Ancillary Costs for Mode 05 and SFC 19</t>
  </si>
  <si>
    <t>24HRs Residential</t>
  </si>
  <si>
    <t>Contract Utilization 
Under/(Over)</t>
  </si>
  <si>
    <t>MOJ</t>
  </si>
  <si>
    <t>Shift of Fund Request</t>
  </si>
  <si>
    <t>J23F</t>
  </si>
  <si>
    <t>Updated MCA</t>
  </si>
  <si>
    <t>3580</t>
  </si>
  <si>
    <t>4057</t>
  </si>
  <si>
    <t>M/SFC</t>
  </si>
  <si>
    <t>TOTAL</t>
  </si>
  <si>
    <t>OK</t>
  </si>
  <si>
    <t>MH1901 SCHEDULE C (Rev. 02/2019)</t>
  </si>
  <si>
    <t xml:space="preserve">Entity Name : </t>
  </si>
  <si>
    <t>Tri City Mental Health Authority</t>
  </si>
  <si>
    <t>MCA Change</t>
  </si>
  <si>
    <t>Nominal Fee Provider determination
Please answer the following questions.</t>
  </si>
  <si>
    <t>1.</t>
  </si>
  <si>
    <t>Does your legal entity have a published schedule of its full (non-discounted) charges?</t>
  </si>
  <si>
    <t>2.</t>
  </si>
  <si>
    <t>Are your legal entity's revenue for patient care based on application of published charge schedule?</t>
  </si>
  <si>
    <t>3.</t>
  </si>
  <si>
    <t>Does your legal entity maintain written policies for its process of making patient indigence determinations?</t>
  </si>
  <si>
    <t>4.</t>
  </si>
  <si>
    <t>Does your legal entity maintain sufficient documentation to support the amount of  “indigence allowances” written off in accordance with the above procedures?</t>
  </si>
  <si>
    <t>LOWER OF COSTS OR CHARGES EXEMPTION DETERMINATION (Optional)</t>
  </si>
  <si>
    <t>MH 1969 (Rev. 03/2022)</t>
  </si>
  <si>
    <t>Mode 05
Hospital
Inpatient</t>
  </si>
  <si>
    <t>Mode 05
Other 24 Hour Services</t>
  </si>
  <si>
    <t>Mode 10
Day Services</t>
  </si>
  <si>
    <t>Mode 15
Outpatient
Services</t>
  </si>
  <si>
    <t>Outpatient</t>
  </si>
  <si>
    <t>Amount billed to Medi-Cal</t>
  </si>
  <si>
    <t>Non-Medicare/Medi-Cal Actual Charges</t>
  </si>
  <si>
    <t>Non-Medicare/Medi-Cal Patient Revenue</t>
  </si>
  <si>
    <t>Non-Medicare/Medi-Cal Patient Insurance</t>
  </si>
  <si>
    <t>Subtotal</t>
  </si>
  <si>
    <t>Non-Medicare/Medi-Cal Published Charges</t>
  </si>
  <si>
    <t>Ratio of Actual to Published Charges</t>
  </si>
  <si>
    <t>Medi-Cal Adjusted Customary Charges</t>
  </si>
  <si>
    <t>Medi-Cal Costs</t>
  </si>
  <si>
    <t>60 Percent of Medi-Cal Costs</t>
  </si>
  <si>
    <t>MHSD use only</t>
  </si>
  <si>
    <t>Line 9 greater than line 7.</t>
  </si>
  <si>
    <t>Exempt</t>
  </si>
  <si>
    <t>Line 7 greater than line 9.</t>
  </si>
  <si>
    <t>Not Exempt</t>
  </si>
  <si>
    <t>If the answer to any of the above questions is no, the legal entity DOES NOT qualify as a Nominal Fee Provider</t>
  </si>
  <si>
    <t xml:space="preserve"> and the MH 1969 should not be completed.</t>
  </si>
  <si>
    <t>DETERMINATION OF SD/MC DIRECT SERVICES AND MAA REIMBURSEMENT</t>
  </si>
  <si>
    <t>MH 1968 (Rev. 03/2022)</t>
  </si>
  <si>
    <t>REIMBURSEMENT TYPE</t>
  </si>
  <si>
    <t>COSTS</t>
  </si>
  <si>
    <t>Total Mode 05
Hospital Inpatient
Services</t>
  </si>
  <si>
    <t>Total Outpatient Excluding Program (2)</t>
  </si>
  <si>
    <t xml:space="preserve"> Mode 15
Outpatient
Services
Program (2)</t>
  </si>
  <si>
    <t>Total Outpatient
(Col. K + Col. L)</t>
  </si>
  <si>
    <t>Mode 55</t>
  </si>
  <si>
    <t>SF 01-09</t>
  </si>
  <si>
    <t>SF 11-19, 31-39</t>
  </si>
  <si>
    <t>SF  21-29</t>
  </si>
  <si>
    <t>Mode 05
Hospital Inpatient
Services (SF 10-18)</t>
  </si>
  <si>
    <t>Mode 05 
Hospital Inpatient 
Administration (SF 19)</t>
  </si>
  <si>
    <t>Mode 15
Outpatient
Services
Program (1)</t>
  </si>
  <si>
    <t>Medi-Cal SMA Upper Limits</t>
  </si>
  <si>
    <t>Medi-Cal Published Charges</t>
  </si>
  <si>
    <t>Medi-Cal Gross Reimbursement</t>
  </si>
  <si>
    <t xml:space="preserve"> Enhanced Non CHIP (Children) Costs</t>
  </si>
  <si>
    <t>Enhanced Non CHIP (Children) SMA Upper Limits</t>
  </si>
  <si>
    <t>Enhanced Non CHIP (Children) Published Charges</t>
  </si>
  <si>
    <t>Enhanced Non CHIP (Children) Gross Reimbursement</t>
  </si>
  <si>
    <t>Enhanced SD/MC (Children) Cost</t>
  </si>
  <si>
    <t>Enhanced SD/MC (Children) SMA Upper Limits</t>
  </si>
  <si>
    <t>Enhanced SD/MC (Children) Published Charges</t>
  </si>
  <si>
    <t>Enhanced SD/MC (Children) Gross Reimbursement</t>
  </si>
  <si>
    <t>Enhanced SD/MC (BCCTP) Cost</t>
  </si>
  <si>
    <t>Enhanced SD/MC (BCCTP) SMA Upper Limits</t>
  </si>
  <si>
    <t>Enhanced SD/MC (BCCTP) Published Charges</t>
  </si>
  <si>
    <t>Enhanced SD/MC (BCCTP) Gross Reimbursement</t>
  </si>
  <si>
    <t>Enhanced SD/MC (Pregnancy) Cost</t>
  </si>
  <si>
    <t>Enhanced SD/MC (Pregnancy) SMA Upper Limits</t>
  </si>
  <si>
    <t>Enhanced SD/MC (Pregnancy) Published Charges</t>
  </si>
  <si>
    <t>Enhanced SD/MC (Pregnancy) Gross Reimbursement</t>
  </si>
  <si>
    <t>Affordable Care Act New Adult Group Cost</t>
  </si>
  <si>
    <t>Affordable Care Act SMA Upper Limits</t>
  </si>
  <si>
    <t>Affordable Care Act Published Charge</t>
  </si>
  <si>
    <t>Affordable Care Act Gross Cost Reimbursement</t>
  </si>
  <si>
    <t>State Funded Beneficiaries Cost</t>
  </si>
  <si>
    <t>State Funded Beneficiaries SMA Upper Limits</t>
  </si>
  <si>
    <t>State Funded Beneficiaries Published Charge</t>
  </si>
  <si>
    <t>State Funded Beneficiaries Gross Cost Reimbursement</t>
  </si>
  <si>
    <t>Enhanced SD/MC (Refugees) Cost</t>
  </si>
  <si>
    <t>Enhanced SD/MC (Refugees) SMA Upper Limits</t>
  </si>
  <si>
    <t>Enhanced SD/MC (Refugees) Published Charges</t>
  </si>
  <si>
    <t>Enhanced SD/MC (Refugees) Gross Reimbursement</t>
  </si>
  <si>
    <t>Medi-Cal  Access Program (MCAP) Cost</t>
  </si>
  <si>
    <t>Medi-Cal  Access Program (MCAP) SMA Upper Limits</t>
  </si>
  <si>
    <t>Medi-Cal  Access Program (MCAP) Published Charges</t>
  </si>
  <si>
    <t>Medi-Cal  Access Program (MCAP) Gross Reimbursement</t>
  </si>
  <si>
    <t>Less:  Patient and Other Payor Revenue</t>
  </si>
  <si>
    <t xml:space="preserve">     Medi-Cal Revenue</t>
  </si>
  <si>
    <t xml:space="preserve">     Enhanced Non CHIP (Children) Revenue</t>
  </si>
  <si>
    <t xml:space="preserve">     Enhanced SD/MC (Children) Revenue</t>
  </si>
  <si>
    <t xml:space="preserve">     Enhanced SD/MC (BCCTP) Revenue</t>
  </si>
  <si>
    <t xml:space="preserve">     Enhanced SD/MC (Pregnancy) Revenue</t>
  </si>
  <si>
    <t xml:space="preserve">     Enhanced SD/MC (Refugee) Revenue</t>
  </si>
  <si>
    <t xml:space="preserve">     Affordable Care Act (ACA) Revenue 90%</t>
  </si>
  <si>
    <t xml:space="preserve">     State Funded Beneficiaries Revenue</t>
  </si>
  <si>
    <t xml:space="preserve">     Medi-Cal  Access Program (MCAP) Revenue</t>
  </si>
  <si>
    <t xml:space="preserve">     Medi-Cal Access Program (MCAP) Revenue</t>
  </si>
  <si>
    <t>Total Expenditures from MAA (Mode 55)</t>
  </si>
  <si>
    <t>Medi-Cal Eligibility Factor (Average)</t>
  </si>
  <si>
    <t>SD/MC Net Reimbursement for MAA</t>
  </si>
  <si>
    <t>7/1/22 - 3/31/23</t>
  </si>
  <si>
    <t>4/1/23 - 5/11/23</t>
  </si>
  <si>
    <t>7/1/22 - 9/30/22</t>
  </si>
  <si>
    <t>10/1/22 - 3/31/23</t>
  </si>
  <si>
    <t>Affordable Care Act 
07/01/22 - 5/11/23</t>
  </si>
  <si>
    <t>7/1/22 - 5/11/23</t>
  </si>
  <si>
    <t>7/1/22 - 6/30/23</t>
  </si>
  <si>
    <t>5/12/23- 6/30/23</t>
  </si>
  <si>
    <t>Medi-Cal Services</t>
  </si>
  <si>
    <t>Billable Units x by various rate(s)</t>
  </si>
  <si>
    <t>Rate for Allocation</t>
  </si>
  <si>
    <t>Directly Allocated</t>
  </si>
  <si>
    <t>Allocation:</t>
  </si>
  <si>
    <t>Published 
Charge 
(P.C)</t>
  </si>
  <si>
    <t>Countywide Maximum Allowance 
(CMA)</t>
  </si>
  <si>
    <t>OPP5</t>
  </si>
  <si>
    <t>07/01/22-06/30/23</t>
  </si>
  <si>
    <t>07/01/22-05/11/23</t>
  </si>
  <si>
    <t>IPP1</t>
  </si>
  <si>
    <t>IPP2</t>
  </si>
  <si>
    <t>IPP3</t>
  </si>
  <si>
    <t>IPP4</t>
  </si>
  <si>
    <t>IPP5</t>
  </si>
  <si>
    <t>IPADMP1</t>
  </si>
  <si>
    <t>OPP1</t>
  </si>
  <si>
    <t>UCCP1</t>
  </si>
  <si>
    <t>IMDP1</t>
  </si>
  <si>
    <t>COSP1</t>
  </si>
  <si>
    <t>LSP1</t>
  </si>
  <si>
    <t>CMSP1</t>
  </si>
  <si>
    <t>IPADMP2</t>
  </si>
  <si>
    <t>OPP2</t>
  </si>
  <si>
    <t>UCCP2</t>
  </si>
  <si>
    <t>COSP2</t>
  </si>
  <si>
    <t>LSP2</t>
  </si>
  <si>
    <t>CMSP2</t>
  </si>
  <si>
    <t>IPADMP3</t>
  </si>
  <si>
    <t>OPP3</t>
  </si>
  <si>
    <t>UCCP3</t>
  </si>
  <si>
    <t>COSP3</t>
  </si>
  <si>
    <t>LSP3</t>
  </si>
  <si>
    <t>CMSP3</t>
  </si>
  <si>
    <t>IPADMP4</t>
  </si>
  <si>
    <t>OPP4</t>
  </si>
  <si>
    <t>UCCP4</t>
  </si>
  <si>
    <t>COSP4</t>
  </si>
  <si>
    <t>LSP4</t>
  </si>
  <si>
    <t>CMSP4</t>
  </si>
  <si>
    <t>IPADMP5</t>
  </si>
  <si>
    <t>UCCP5</t>
  </si>
  <si>
    <t>COSP5</t>
  </si>
  <si>
    <t>LSP5</t>
  </si>
  <si>
    <t>CMSP5</t>
  </si>
  <si>
    <t>IMDP2</t>
  </si>
  <si>
    <t>IMDP3</t>
  </si>
  <si>
    <t>IMDP4</t>
  </si>
  <si>
    <t>IMDP5</t>
  </si>
  <si>
    <t xml:space="preserve">WORKSHEET FOR UNITS OF SERVICE AND REVENUE BY MODE AND SERVICE FUNCTION AND FUNDED PROGRAM </t>
  </si>
  <si>
    <t>Reimbursement Type</t>
  </si>
  <si>
    <t>15=13+14</t>
  </si>
  <si>
    <t>23=15*16</t>
  </si>
  <si>
    <t>24=15*17</t>
  </si>
  <si>
    <t>25=15*18</t>
  </si>
  <si>
    <t>26=15*19</t>
  </si>
  <si>
    <t>27=15*20</t>
  </si>
  <si>
    <t>28=15*22</t>
  </si>
  <si>
    <t>35=30*31</t>
  </si>
  <si>
    <t>36=30*32</t>
  </si>
  <si>
    <t>37=30*33</t>
  </si>
  <si>
    <t>38=30*34</t>
  </si>
  <si>
    <t>39=Sum(35:38)</t>
  </si>
  <si>
    <t>42=39+40=41</t>
  </si>
  <si>
    <t>Entity's Fiscal Period Ending</t>
  </si>
  <si>
    <t>For Less than Fiscal Year in County</t>
  </si>
  <si>
    <t>Excempted Status</t>
  </si>
  <si>
    <t>Code</t>
  </si>
  <si>
    <t>IP+IPADM</t>
  </si>
  <si>
    <t>Mode 10</t>
  </si>
  <si>
    <t>Mode 15</t>
  </si>
  <si>
    <t>OP Total</t>
  </si>
  <si>
    <t>MC</t>
  </si>
  <si>
    <t>Non MC</t>
  </si>
  <si>
    <t>Mode 45</t>
  </si>
  <si>
    <t>Mode 60</t>
  </si>
  <si>
    <t>Billable Units  x  Reimbursable Rate + Ancillary Costs</t>
  </si>
  <si>
    <t>Reimbursement Type_2</t>
  </si>
  <si>
    <t>Mode 10_UCC</t>
  </si>
  <si>
    <t>Based on Cost</t>
  </si>
  <si>
    <t>Based on CMA+Cost (Mode 45, and 60)</t>
  </si>
  <si>
    <t>COS+CMS Total</t>
  </si>
  <si>
    <t>Inv. Total</t>
  </si>
  <si>
    <t>OP+COS+CMS Total</t>
  </si>
  <si>
    <t>Based on PC+Cost (Mode 45, and 60)</t>
  </si>
  <si>
    <t>* If yes, please prepare LAC 102_Worksheet as instructed.</t>
  </si>
  <si>
    <t>Invoice form 9A</t>
  </si>
  <si>
    <t>Realign</t>
  </si>
  <si>
    <t>CSS</t>
  </si>
  <si>
    <t>A:00-15 Child</t>
  </si>
  <si>
    <t>A:16-25 Tay</t>
  </si>
  <si>
    <t>A:26-59 Adult</t>
  </si>
  <si>
    <t>A:60+ Older Adult</t>
  </si>
  <si>
    <t>(Yest/No)</t>
  </si>
  <si>
    <t>from LAC 102_Wkst</t>
  </si>
  <si>
    <t>from LAC 102_Wkst --&gt;</t>
  </si>
  <si>
    <t>Cross Check</t>
  </si>
  <si>
    <t>Variances</t>
  </si>
  <si>
    <t>Rate Adjustment</t>
  </si>
  <si>
    <t>Mode 05_IP</t>
  </si>
  <si>
    <t>Mode 05_OP</t>
  </si>
  <si>
    <r>
      <t>CAW-</t>
    </r>
    <r>
      <rPr>
        <sz val="11"/>
        <rFont val="Arial"/>
        <family val="2"/>
      </rPr>
      <t>California Work Opportunity and Responsilbility to Kids (CalWORKS)</t>
    </r>
  </si>
  <si>
    <t>FFPSA- Families First Prevention Services Act</t>
  </si>
  <si>
    <t>EMS- Emergency Services</t>
  </si>
  <si>
    <t>Contract Type:</t>
  </si>
  <si>
    <t>Funded Program:</t>
  </si>
  <si>
    <t>Rank:</t>
  </si>
  <si>
    <t>Mode 05 (Other)</t>
  </si>
  <si>
    <t>Invoice form 9A --&gt;</t>
  </si>
  <si>
    <t>Total (Units+Inv)</t>
  </si>
  <si>
    <t>Enter the amount billed to Medi-Cal (through DHCS) for the cost report fiscal year. The amount should be derived from the county’s monthly billing records.</t>
  </si>
  <si>
    <t>Enter amount for each mode of service in the appropriate column. The sum of Columns B through D is automatically populated in Column E.</t>
  </si>
  <si>
    <t>Line 1 – Amount Billed to Medi-Cal (07/01/2022 – 06/30/2023)</t>
  </si>
  <si>
    <t xml:space="preserve">Enter the total patient revenues for the cost report fiscal year billed (not necessarily collected) to non-Medicare patients and non-Medi-Cal patients </t>
  </si>
  <si>
    <t xml:space="preserve">based on the Uniform Method of Determining Ability to Pay (UMDAP).  Billings to patients liable for payment on a charge basis (non-contractual patients) </t>
  </si>
  <si>
    <t>based on the UMDAP should be reported.</t>
  </si>
  <si>
    <t xml:space="preserve">Billing to Health Maintenance Organizations (HMOs), County Organized Health Systems (COHSs), Preferred Provider Organizations (PPOs), or </t>
  </si>
  <si>
    <t xml:space="preserve">Primary Care Case Management (PCCM) should not be included. Line 2, Column A, represents amount billed to patients for Mode 05 – Hospital Inpatient </t>
  </si>
  <si>
    <t>Mode 15 – Outpatient Services.</t>
  </si>
  <si>
    <t>Line 2 – Non-Medicare/Medi-Cal Patient Revenues  (07/01/2022 – 06/30/2023)</t>
  </si>
  <si>
    <t>No entry. This line sums Lines 2 and 3 for Column A (Inpatient) and Column E (Outpatient).</t>
  </si>
  <si>
    <t>No entry. The calculation is Line 4 divided by Line 5 in Column A (Inpatient) and Column E (Outpatient).</t>
  </si>
  <si>
    <t>No entry. The calculation is Line 1 multiplied by Line 6 in Column A (Inpatient) and Column E (Outpatient).</t>
  </si>
  <si>
    <t>No entry. Columns A and E are automatically calculated by multiplying Line 8 by 60 percent.</t>
  </si>
  <si>
    <t xml:space="preserve">Enter the total patient insurance collected from non-Medicare patients and non-Medi-Cal patients for the cost report fiscal year. Line 3, Column A, </t>
  </si>
  <si>
    <t xml:space="preserve">represents patient insurance collected for Mode 05 – Hospital Inpatient Services and Line 3, Column E, represents patient insurance collected for </t>
  </si>
  <si>
    <t>Mode 05 – Other 24-Hour Services, Mode 10 – Day Services, and Mode 15 – Outpatient Services.</t>
  </si>
  <si>
    <t>Non-Medicare/Medi-Cal Published Charges represent the amount non-Medicare and non-Medi-Cal patients would have paid had they been full-fee paying</t>
  </si>
  <si>
    <t xml:space="preserve">patients. On a separate worksheet maintained by the legal entity, multiply the units of service/time provided to non-Medicare and non-Medi-Cal patients </t>
  </si>
  <si>
    <t xml:space="preserve">by the legal entity’s published charge or rate for each service function. These amounts should be aggregated by mode of service and reported in the </t>
  </si>
  <si>
    <t xml:space="preserve">appropriate Columns on Line 5. The sum of Columns B through D is automatically populated in Column E. Columns A and E represent the legal entity’s </t>
  </si>
  <si>
    <t>non-Medicare/Medi-Cal published charges for inpatient and outpatient services.</t>
  </si>
  <si>
    <t xml:space="preserve">No entry. The legal entity’s total cost for providing Medi-Cal Inpatient and Outpatient services are automatically populated in Columns A and E. </t>
  </si>
  <si>
    <t>These costs are derived from the sum of MH 1968, Lines 1, 5, and 9 Column G and Column K.</t>
  </si>
  <si>
    <t>If the amount on line 9, Column A (60 percent of Medi-Cal inpatient costs), is greater than Line 7, Column A (Medi-Cal inpatient adjusted customary charges),</t>
  </si>
  <si>
    <t xml:space="preserve">the legal entity is exempt from having to apply the LCC principle for Mode 05 – Hospital Inpatient Services. If Line 7, Column A, is greater than Line 9, Column A, </t>
  </si>
  <si>
    <t>the legal entity is not exempt from having to apply the LCC principle for Mode 05 – Hospital Inpatient Services on MH 1968, and must include Medi-Cal</t>
  </si>
  <si>
    <t xml:space="preserve"> Mode 05 – Hospital Inpatient charges in the comparison on MH 1968.</t>
  </si>
  <si>
    <t xml:space="preserve">If the amount on Line 9, Column E (60 percent of Medi-Cal outpatient costs), is greater than Line 7, Column E (Medi-Cal outpatient adjusted </t>
  </si>
  <si>
    <t xml:space="preserve">customary charges), the legal entity is exempt from having to apply the LCC principle for outpatient services. If Line 7, Column E, is greater than Line 9, </t>
  </si>
  <si>
    <t xml:space="preserve">Column E, the legal entity is not exempt from having to apply the LCC principle for outpatient services on MH 1968, and must include the Medi-Cal </t>
  </si>
  <si>
    <t>outpatient charges in the comparison on MH 1968.</t>
  </si>
  <si>
    <t>Line 3 – Non-Medicare/Medi-Cal Patient Insurance (07/01/2022 – 06/30/2023)</t>
  </si>
  <si>
    <t>Line 5 – Non-Medicare/Medi-Cal Published Charges (07/01/2022 – 06/30/2023)</t>
  </si>
  <si>
    <t>Line 6 – Ratio of Actual to Published Charges (07/01/2022 – 06/30/2023)</t>
  </si>
  <si>
    <t>Line 7 – Medi-Cal Adjusted Customary Charges (07/01/2022 – 06/30/2023)</t>
  </si>
  <si>
    <t>Line 8 – Medi-Cal Costs (07/01/2022 – 06/30/2023)</t>
  </si>
  <si>
    <t>Line 9 – 60 Percent of Medi-Cal Costs (07/01/2022 – 06/30/2023)</t>
  </si>
  <si>
    <t>Line 4 – Subtotal (07/01/2022 - 06/30/2023)</t>
  </si>
  <si>
    <t>Services and Line 2, Column E, represents amount billed to patients for Mode 05 – Other 24-Hour Services, Mode 10 – Day Services, and</t>
  </si>
  <si>
    <t>FY 2022-23 Schedule of Eligible Direct Cost Mode 60 - Supplemental To MH 1901 Schedule C</t>
  </si>
  <si>
    <t>MHSA Full Service Partnership Incentives Invoice (Z22S for Unclaimed FY 2021-22)</t>
  </si>
  <si>
    <t>Jane Doe</t>
  </si>
  <si>
    <t>Local Match</t>
  </si>
  <si>
    <t>00100</t>
  </si>
  <si>
    <t>ABC Mentall Health Center</t>
  </si>
  <si>
    <t>MH000100</t>
  </si>
  <si>
    <t>ABC Mental Health Center</t>
  </si>
  <si>
    <t>Enter the info on yellow highlighted cells only</t>
  </si>
  <si>
    <t>entire worksheets</t>
  </si>
  <si>
    <t>State Funded Beneficiaries Units</t>
  </si>
  <si>
    <t>BF</t>
  </si>
  <si>
    <t>Non Medi-Cal Units
07/01/22 - 06/30/23</t>
  </si>
  <si>
    <t>LAC 102 BY FUNDED PROGRAM (07/01/22 - 06/30/23)</t>
  </si>
  <si>
    <t>WORKSHEET FOR UNITS OF SERVICE AND FUNDED PROGRAM AMOUNT BY MODE AND SERVICE FUNCTION</t>
  </si>
  <si>
    <t>Gross MC Total</t>
  </si>
  <si>
    <t>SD/MC Units Gross Cost</t>
  </si>
  <si>
    <t>Non CHIP Units Gross Cost</t>
  </si>
  <si>
    <t>CHIP Units Gross Cost</t>
  </si>
  <si>
    <t>BCCTP Units Gross Cost</t>
  </si>
  <si>
    <t>Pregnancy Units Gross Cost</t>
  </si>
  <si>
    <t>Refugee Units Gross Cost</t>
  </si>
  <si>
    <t>Affordable Care Act Units Gross Cost</t>
  </si>
  <si>
    <t>MCAP Units Gross Cost</t>
  </si>
  <si>
    <t>State Funded Beneficiaries Units Gross Cost</t>
  </si>
  <si>
    <t>Non Medi-Cal Units Gross Cost</t>
  </si>
  <si>
    <t>SD/MC 07/01/22 - 03/31/23</t>
  </si>
  <si>
    <t>SD/MC 04/01/23 - 05/11/23</t>
  </si>
  <si>
    <t>SD/MC 05/12/23 - 06/30/23</t>
  </si>
  <si>
    <t>NON CHIP 07/01/22 - 03/31/23</t>
  </si>
  <si>
    <t>NON CHIP 04/01/23 - 05/11/23</t>
  </si>
  <si>
    <t>NON CHIP 05/12/23 - 06/30/23</t>
  </si>
  <si>
    <t xml:space="preserve"> CHIP 07/01/22 - 09/30/22</t>
  </si>
  <si>
    <t>CHIP 10/01/22 - 03/31/23</t>
  </si>
  <si>
    <t>CHIP 04/01/23 - 05/11/23</t>
  </si>
  <si>
    <t>CHIP 05/12/23 - 06/30/23</t>
  </si>
  <si>
    <t>BCCTP 07/01/22 - 03/31/23</t>
  </si>
  <si>
    <t>BCCTP 04/01/23 - 05/11/23</t>
  </si>
  <si>
    <t>BCCTP 05/12/23 - 06/30/23</t>
  </si>
  <si>
    <t>PREGNANCY 07/01/22 - 03/31/23</t>
  </si>
  <si>
    <t>PREGNANCY 04/01/23 - 05/11/23</t>
  </si>
  <si>
    <t>PREGNANCY 05/12/23 - 06/30/23</t>
  </si>
  <si>
    <t>REFUGEE  07/01/22 - 05/11/23</t>
  </si>
  <si>
    <t>REFUGEE 05/12/23 - 06/30/23</t>
  </si>
  <si>
    <t>ACA 07/01/22 - 05/11/23</t>
  </si>
  <si>
    <t>ACA 05/12/23 - 06/30/23</t>
  </si>
  <si>
    <t xml:space="preserve"> MCAP 07/01/22 - 09/30/22</t>
  </si>
  <si>
    <t>MCAP 10/01/22 - 03/31/23</t>
  </si>
  <si>
    <t>MCAP 04/01/23 - 05/11/23</t>
  </si>
  <si>
    <t>MCAP 05/12/23 - 06/30/23</t>
  </si>
  <si>
    <t>STATE FUNDED 07/01/22 - 05/11/23</t>
  </si>
  <si>
    <t>STATE FUNDED 05/12/23 - 06/30/23</t>
  </si>
  <si>
    <t>Non MC 07/01/22 -06/30/23</t>
  </si>
  <si>
    <t>MH001000</t>
  </si>
  <si>
    <t>LE No.</t>
  </si>
  <si>
    <t>LE Name</t>
  </si>
  <si>
    <t>Non Medi-Cal Services</t>
  </si>
  <si>
    <t>MFPA</t>
  </si>
  <si>
    <t>Gross MC MFPA</t>
  </si>
  <si>
    <t xml:space="preserve">Non Medi-Cal </t>
  </si>
  <si>
    <t>Per Contract</t>
  </si>
  <si>
    <t>Claimable Costs</t>
  </si>
  <si>
    <t xml:space="preserve"> Under/(Over)</t>
  </si>
  <si>
    <t>Utilization</t>
  </si>
  <si>
    <t>Shifted Funds</t>
  </si>
  <si>
    <t>Revised</t>
  </si>
  <si>
    <t>Shift of Funds</t>
  </si>
  <si>
    <t>Impact on MFPA</t>
  </si>
  <si>
    <t>AS OF 10/16/2023</t>
  </si>
  <si>
    <t>CONTRACT  LISTING</t>
  </si>
  <si>
    <t>Shift of Funds Request Summary</t>
  </si>
  <si>
    <t>Formula should be updated as needed</t>
  </si>
  <si>
    <t>30=28+29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</si>
</sst>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General_)"/>
    <numFmt numFmtId="166" formatCode="00000"/>
    <numFmt numFmtId="167" formatCode="0_)"/>
    <numFmt numFmtId="168" formatCode="_(* #,##0_);_(* \(#,##0\);_(* &quot;-&quot;??_);_(@_)"/>
    <numFmt numFmtId="169" formatCode="_(* #,##0_);_(* \(#,##0\);_(* &quot;&quot;_);_(@_)"/>
    <numFmt numFmtId="170" formatCode="m/d;@"/>
    <numFmt numFmtId="171" formatCode="_(&quot;$&quot;* #,##0.000000_);_(&quot;$&quot;* \(#,##0.000000\);_(&quot;$&quot;* &quot;-&quot;??_);_(@_)"/>
  </numFmts>
  <fonts count="88" x14ac:knownFonts="1">
    <font>
      <sz val="12"/>
      <name val="Helv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sz val="12"/>
      <color indexed="8"/>
      <name val="Arial"/>
      <family val="2"/>
    </font>
    <font>
      <sz val="12"/>
      <name val="Helv"/>
    </font>
    <font>
      <b/>
      <i/>
      <sz val="12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11.5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7.5"/>
      <name val="Arial"/>
      <family val="2"/>
    </font>
    <font>
      <sz val="17"/>
      <name val="Arial"/>
      <family val="2"/>
    </font>
    <font>
      <b/>
      <sz val="21.5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12"/>
      <name val="Helv"/>
    </font>
    <font>
      <b/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2"/>
      <color indexed="2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20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0"/>
      <name val="Helv"/>
    </font>
    <font>
      <sz val="20"/>
      <name val="Helv"/>
    </font>
    <font>
      <sz val="14"/>
      <color indexed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b/>
      <i/>
      <sz val="12"/>
      <color rgb="FF0033CC"/>
      <name val="Arial"/>
      <family val="2"/>
    </font>
    <font>
      <b/>
      <i/>
      <sz val="11"/>
      <name val="Arial"/>
      <family val="2"/>
    </font>
    <font>
      <sz val="11"/>
      <color theme="1"/>
      <name val="Calibri"/>
      <family val="2"/>
      <scheme val="minor"/>
    </font>
    <font>
      <u/>
      <sz val="12"/>
      <name val="Arial"/>
      <family val="2"/>
    </font>
    <font>
      <sz val="8"/>
      <name val="Helv"/>
    </font>
    <font>
      <sz val="8"/>
      <color theme="0"/>
      <name val="Arial"/>
      <family val="2"/>
    </font>
    <font>
      <sz val="12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33CC"/>
      <name val="Arial"/>
      <family val="2"/>
    </font>
    <font>
      <u/>
      <sz val="11"/>
      <color theme="10"/>
      <name val="Calibri"/>
      <family val="2"/>
      <scheme val="minor"/>
    </font>
    <font>
      <i/>
      <sz val="12"/>
      <color rgb="FF0000FF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  <scheme val="minor"/>
    </font>
    <font>
      <b/>
      <u/>
      <sz val="12"/>
      <color indexed="9"/>
      <name val="Arial"/>
      <family val="2"/>
    </font>
    <font>
      <b/>
      <sz val="12"/>
      <color indexed="9"/>
      <name val="Arial"/>
      <family val="2"/>
    </font>
    <font>
      <sz val="12"/>
      <name val="Tms Rmn"/>
    </font>
    <font>
      <sz val="12"/>
      <color indexed="56"/>
      <name val="Arial"/>
      <family val="2"/>
    </font>
    <font>
      <i/>
      <sz val="12"/>
      <name val="Arial"/>
      <family val="2"/>
    </font>
    <font>
      <sz val="19"/>
      <name val="Arial"/>
      <family val="2"/>
    </font>
    <font>
      <b/>
      <sz val="23"/>
      <name val="Arial"/>
      <family val="2"/>
    </font>
    <font>
      <sz val="14"/>
      <color theme="0"/>
      <name val="Arial"/>
      <family val="2"/>
    </font>
    <font>
      <sz val="17"/>
      <color theme="0"/>
      <name val="Arial"/>
      <family val="2"/>
    </font>
    <font>
      <sz val="16"/>
      <color theme="0"/>
      <name val="Arial"/>
      <family val="2"/>
    </font>
    <font>
      <sz val="12"/>
      <color theme="0"/>
      <name val="Helv"/>
    </font>
    <font>
      <u/>
      <sz val="11"/>
      <name val="Arial"/>
      <family val="2"/>
    </font>
    <font>
      <sz val="12"/>
      <name val="Abadi"/>
      <family val="2"/>
    </font>
    <font>
      <sz val="11.5"/>
      <color theme="0"/>
      <name val="Arial"/>
      <family val="2"/>
    </font>
    <font>
      <sz val="12"/>
      <color theme="1" tint="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b/>
      <sz val="11"/>
      <color theme="0"/>
      <name val="Arial"/>
      <family val="2"/>
    </font>
    <font>
      <u val="singleAccounting"/>
      <sz val="12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b/>
      <i/>
      <sz val="12"/>
      <color rgb="FF0000FF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Helv"/>
    </font>
    <font>
      <sz val="12"/>
      <color rgb="FF0000FF"/>
      <name val="Arial"/>
      <family val="2"/>
    </font>
    <font>
      <b/>
      <i/>
      <sz val="11"/>
      <color rgb="FF0000FF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gray125">
        <fgColor indexed="8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auto="1"/>
      </patternFill>
    </fill>
    <fill>
      <patternFill patternType="gray125"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3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56"/>
      </left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56"/>
      </bottom>
      <diagonal/>
    </border>
    <border>
      <left style="thin">
        <color indexed="56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medium">
        <color indexed="64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56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56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56"/>
      </left>
      <right style="thick">
        <color indexed="56"/>
      </right>
      <top/>
      <bottom style="thin">
        <color indexed="56"/>
      </bottom>
      <diagonal/>
    </border>
    <border>
      <left style="thick">
        <color indexed="56"/>
      </left>
      <right style="thin">
        <color indexed="56"/>
      </right>
      <top/>
      <bottom style="thin">
        <color indexed="56"/>
      </bottom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ck">
        <color indexed="56"/>
      </left>
      <right style="thin">
        <color rgb="FF3040DC"/>
      </right>
      <top/>
      <bottom style="thin">
        <color indexed="56"/>
      </bottom>
      <diagonal/>
    </border>
    <border>
      <left/>
      <right style="thin">
        <color indexed="56"/>
      </right>
      <top/>
      <bottom style="thin">
        <color indexed="56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n">
        <color indexed="56"/>
      </bottom>
      <diagonal/>
    </border>
    <border>
      <left style="thick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 style="thick">
        <color indexed="56"/>
      </left>
      <right style="thin">
        <color rgb="FF3040DC"/>
      </right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ck">
        <color indexed="56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ck">
        <color indexed="56"/>
      </bottom>
      <diagonal/>
    </border>
    <border>
      <left style="thick">
        <color indexed="56"/>
      </left>
      <right/>
      <top style="thin">
        <color indexed="56"/>
      </top>
      <bottom style="thick">
        <color indexed="56"/>
      </bottom>
      <diagonal/>
    </border>
    <border>
      <left style="thick">
        <color indexed="56"/>
      </left>
      <right style="thin">
        <color indexed="56"/>
      </right>
      <top style="thin">
        <color indexed="56"/>
      </top>
      <bottom style="thick">
        <color indexed="12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 style="thick">
        <color indexed="12"/>
      </bottom>
      <diagonal/>
    </border>
    <border>
      <left style="thick">
        <color indexed="56"/>
      </left>
      <right style="thin">
        <color rgb="FF3040DC"/>
      </right>
      <top style="thin">
        <color indexed="56"/>
      </top>
      <bottom style="thick">
        <color indexed="12"/>
      </bottom>
      <diagonal/>
    </border>
    <border>
      <left style="thin">
        <color indexed="64"/>
      </left>
      <right style="thick">
        <color indexed="56"/>
      </right>
      <top style="thick">
        <color indexed="12"/>
      </top>
      <bottom style="thin">
        <color indexed="56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/>
      <right/>
      <top style="thick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ck">
        <color indexed="12"/>
      </top>
      <bottom style="thin">
        <color indexed="12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/>
      <right style="thick">
        <color indexed="8"/>
      </right>
      <top style="thin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medium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64"/>
      </top>
      <bottom style="thick">
        <color indexed="8"/>
      </bottom>
      <diagonal/>
    </border>
    <border>
      <left/>
      <right style="thin">
        <color indexed="64"/>
      </right>
      <top style="thick">
        <color indexed="64"/>
      </top>
      <bottom style="thick">
        <color indexed="8"/>
      </bottom>
      <diagonal/>
    </border>
    <border>
      <left/>
      <right style="medium">
        <color indexed="8"/>
      </right>
      <top style="thick">
        <color indexed="8"/>
      </top>
      <bottom style="thick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56"/>
      </bottom>
      <diagonal/>
    </border>
    <border>
      <left style="thin">
        <color indexed="64"/>
      </left>
      <right/>
      <top style="thin">
        <color indexed="56"/>
      </top>
      <bottom style="thin">
        <color indexed="64"/>
      </bottom>
      <diagonal/>
    </border>
    <border>
      <left/>
      <right/>
      <top style="thin">
        <color indexed="56"/>
      </top>
      <bottom style="thin">
        <color indexed="64"/>
      </bottom>
      <diagonal/>
    </border>
    <border>
      <left/>
      <right style="thin">
        <color indexed="64"/>
      </right>
      <top style="thin">
        <color indexed="56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56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56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56"/>
      </right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6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6"/>
      </left>
      <right style="medium">
        <color indexed="64"/>
      </right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56"/>
      </left>
      <right style="thin">
        <color indexed="56"/>
      </right>
      <top style="thin">
        <color indexed="8"/>
      </top>
      <bottom/>
      <diagonal/>
    </border>
    <border>
      <left style="thin">
        <color indexed="8"/>
      </left>
      <right style="thin">
        <color indexed="56"/>
      </right>
      <top style="thin">
        <color indexed="8"/>
      </top>
      <bottom/>
      <diagonal/>
    </border>
    <border>
      <left style="thin">
        <color indexed="8"/>
      </left>
      <right style="thin">
        <color indexed="56"/>
      </right>
      <top/>
      <bottom style="thin">
        <color indexed="8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6"/>
      </left>
      <right style="medium">
        <color indexed="64"/>
      </right>
      <top style="thin">
        <color indexed="8"/>
      </top>
      <bottom style="thin">
        <color indexed="56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56"/>
      </left>
      <right style="thin">
        <color indexed="56"/>
      </right>
      <top/>
      <bottom style="medium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2"/>
      </left>
      <right style="thin">
        <color indexed="56"/>
      </right>
      <top style="thick">
        <color indexed="64"/>
      </top>
      <bottom/>
      <diagonal/>
    </border>
    <border>
      <left style="thick">
        <color indexed="12"/>
      </left>
      <right style="thin">
        <color indexed="56"/>
      </right>
      <top style="thin">
        <color auto="1"/>
      </top>
      <bottom style="thin">
        <color auto="1"/>
      </bottom>
      <diagonal/>
    </border>
    <border>
      <left style="thick">
        <color indexed="12"/>
      </left>
      <right style="thin">
        <color indexed="56"/>
      </right>
      <top/>
      <bottom style="thin">
        <color indexed="1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6"/>
      </right>
      <top style="thin">
        <color indexed="56"/>
      </top>
      <bottom style="thick">
        <color indexed="12"/>
      </bottom>
      <diagonal/>
    </border>
    <border>
      <left style="thin">
        <color indexed="56"/>
      </left>
      <right style="medium">
        <color indexed="64"/>
      </right>
      <top style="thin">
        <color indexed="56"/>
      </top>
      <bottom style="thin">
        <color indexed="56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56"/>
      </left>
      <right style="medium">
        <color indexed="64"/>
      </right>
      <top style="thin">
        <color indexed="64"/>
      </top>
      <bottom style="medium">
        <color indexed="56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12"/>
      </top>
      <bottom style="thin">
        <color indexed="56"/>
      </bottom>
      <diagonal/>
    </border>
    <border>
      <left style="thick">
        <color rgb="FF0070C0"/>
      </left>
      <right/>
      <top style="thick">
        <color indexed="12"/>
      </top>
      <bottom style="thin">
        <color indexed="56"/>
      </bottom>
      <diagonal/>
    </border>
    <border>
      <left style="thin">
        <color indexed="64"/>
      </left>
      <right style="thick">
        <color indexed="56"/>
      </right>
      <top style="thick">
        <color rgb="FF0000FF"/>
      </top>
      <bottom style="thin">
        <color indexed="56"/>
      </bottom>
      <diagonal/>
    </border>
    <border>
      <left style="thin">
        <color indexed="56"/>
      </left>
      <right style="thick">
        <color indexed="56"/>
      </right>
      <top style="thin">
        <color indexed="56"/>
      </top>
      <bottom/>
      <diagonal/>
    </border>
    <border>
      <left style="thick">
        <color indexed="56"/>
      </left>
      <right style="thin">
        <color auto="1"/>
      </right>
      <top style="thick">
        <color rgb="FF0000FF"/>
      </top>
      <bottom style="thin">
        <color auto="1"/>
      </bottom>
      <diagonal/>
    </border>
    <border>
      <left style="thick">
        <color rgb="FF3040DC"/>
      </left>
      <right/>
      <top style="thick">
        <color indexed="12"/>
      </top>
      <bottom style="thin">
        <color indexed="56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56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medium">
        <color indexed="56"/>
      </left>
      <right style="medium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auto="1"/>
      </right>
      <top style="thick">
        <color rgb="FF0000FF"/>
      </top>
      <bottom style="thin">
        <color auto="1"/>
      </bottom>
      <diagonal/>
    </border>
    <border>
      <left style="thick">
        <color indexed="56"/>
      </left>
      <right/>
      <top style="thick">
        <color rgb="FF0000FF"/>
      </top>
      <bottom style="thin">
        <color auto="1"/>
      </bottom>
      <diagonal/>
    </border>
  </borders>
  <cellStyleXfs count="33">
    <xf numFmtId="165" fontId="0" fillId="0" borderId="0"/>
    <xf numFmtId="43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18" fillId="0" borderId="0">
      <alignment horizontal="right"/>
    </xf>
    <xf numFmtId="0" fontId="18" fillId="0" borderId="0"/>
    <xf numFmtId="165" fontId="15" fillId="0" borderId="0"/>
    <xf numFmtId="0" fontId="18" fillId="0" borderId="20">
      <alignment horizontal="right"/>
    </xf>
    <xf numFmtId="0" fontId="18" fillId="0" borderId="20"/>
    <xf numFmtId="0" fontId="18" fillId="0" borderId="0"/>
    <xf numFmtId="0" fontId="21" fillId="0" borderId="0"/>
    <xf numFmtId="0" fontId="7" fillId="0" borderId="0"/>
    <xf numFmtId="165" fontId="15" fillId="0" borderId="0"/>
    <xf numFmtId="0" fontId="8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46" fillId="0" borderId="0"/>
    <xf numFmtId="165" fontId="15" fillId="0" borderId="0"/>
    <xf numFmtId="44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2" fillId="0" borderId="0"/>
    <xf numFmtId="0" fontId="9" fillId="0" borderId="0"/>
    <xf numFmtId="0" fontId="62" fillId="0" borderId="0"/>
    <xf numFmtId="0" fontId="62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</cellStyleXfs>
  <cellXfs count="1949">
    <xf numFmtId="165" fontId="0" fillId="0" borderId="0" xfId="0"/>
    <xf numFmtId="0" fontId="18" fillId="0" borderId="20" xfId="9"/>
    <xf numFmtId="0" fontId="8" fillId="0" borderId="0" xfId="12" applyFont="1" applyAlignment="1">
      <alignment horizontal="left"/>
    </xf>
    <xf numFmtId="169" fontId="10" fillId="0" borderId="118" xfId="1" applyNumberFormat="1" applyFont="1" applyBorder="1" applyProtection="1"/>
    <xf numFmtId="168" fontId="10" fillId="0" borderId="12" xfId="1" quotePrefix="1" applyNumberFormat="1" applyFont="1" applyBorder="1" applyProtection="1"/>
    <xf numFmtId="168" fontId="10" fillId="0" borderId="10" xfId="1" applyNumberFormat="1" applyFont="1" applyBorder="1" applyAlignment="1" applyProtection="1">
      <alignment horizontal="right"/>
    </xf>
    <xf numFmtId="168" fontId="10" fillId="0" borderId="88" xfId="1" applyNumberFormat="1" applyFont="1" applyBorder="1" applyProtection="1"/>
    <xf numFmtId="9" fontId="10" fillId="3" borderId="88" xfId="3" applyFont="1" applyFill="1" applyBorder="1" applyProtection="1"/>
    <xf numFmtId="169" fontId="32" fillId="0" borderId="9" xfId="1" applyNumberFormat="1" applyFont="1" applyFill="1" applyBorder="1" applyProtection="1"/>
    <xf numFmtId="10" fontId="32" fillId="0" borderId="12" xfId="3" applyNumberFormat="1" applyFont="1" applyFill="1" applyBorder="1" applyProtection="1"/>
    <xf numFmtId="169" fontId="32" fillId="0" borderId="127" xfId="1" applyNumberFormat="1" applyFont="1" applyFill="1" applyBorder="1" applyProtection="1"/>
    <xf numFmtId="10" fontId="32" fillId="0" borderId="9" xfId="3" applyNumberFormat="1" applyFont="1" applyFill="1" applyBorder="1" applyProtection="1"/>
    <xf numFmtId="169" fontId="32" fillId="0" borderId="41" xfId="1" applyNumberFormat="1" applyFont="1" applyFill="1" applyBorder="1" applyProtection="1"/>
    <xf numFmtId="169" fontId="33" fillId="0" borderId="45" xfId="1" applyNumberFormat="1" applyFont="1" applyFill="1" applyBorder="1" applyProtection="1"/>
    <xf numFmtId="169" fontId="32" fillId="0" borderId="94" xfId="1" applyNumberFormat="1" applyFont="1" applyFill="1" applyBorder="1" applyProtection="1"/>
    <xf numFmtId="169" fontId="32" fillId="0" borderId="45" xfId="1" applyNumberFormat="1" applyFont="1" applyFill="1" applyBorder="1" applyProtection="1"/>
    <xf numFmtId="10" fontId="32" fillId="0" borderId="88" xfId="3" applyNumberFormat="1" applyFont="1" applyFill="1" applyBorder="1" applyProtection="1"/>
    <xf numFmtId="42" fontId="8" fillId="9" borderId="143" xfId="2" applyNumberFormat="1" applyFont="1" applyFill="1" applyBorder="1" applyProtection="1"/>
    <xf numFmtId="42" fontId="8" fillId="9" borderId="146" xfId="2" applyNumberFormat="1" applyFont="1" applyFill="1" applyBorder="1" applyProtection="1"/>
    <xf numFmtId="168" fontId="10" fillId="9" borderId="0" xfId="1" applyNumberFormat="1" applyFont="1" applyFill="1" applyProtection="1"/>
    <xf numFmtId="0" fontId="18" fillId="0" borderId="20" xfId="8" quotePrefix="1">
      <alignment horizontal="right"/>
    </xf>
    <xf numFmtId="169" fontId="9" fillId="2" borderId="10" xfId="1" applyNumberFormat="1" applyFont="1" applyFill="1" applyBorder="1" applyAlignment="1" applyProtection="1">
      <alignment horizontal="center" wrapText="1"/>
    </xf>
    <xf numFmtId="169" fontId="9" fillId="7" borderId="10" xfId="1" applyNumberFormat="1" applyFont="1" applyFill="1" applyBorder="1" applyAlignment="1" applyProtection="1">
      <alignment horizontal="center"/>
    </xf>
    <xf numFmtId="44" fontId="8" fillId="11" borderId="101" xfId="2" applyFont="1" applyFill="1" applyBorder="1" applyAlignment="1" applyProtection="1">
      <alignment vertical="center"/>
    </xf>
    <xf numFmtId="44" fontId="8" fillId="11" borderId="46" xfId="2" applyFont="1" applyFill="1" applyBorder="1" applyAlignment="1" applyProtection="1">
      <alignment vertical="center"/>
    </xf>
    <xf numFmtId="44" fontId="8" fillId="11" borderId="50" xfId="2" applyFont="1" applyFill="1" applyBorder="1" applyAlignment="1" applyProtection="1">
      <alignment vertical="center"/>
    </xf>
    <xf numFmtId="44" fontId="8" fillId="11" borderId="46" xfId="2" applyFont="1" applyFill="1" applyBorder="1" applyAlignment="1" applyProtection="1">
      <alignment horizontal="right" vertical="center"/>
    </xf>
    <xf numFmtId="44" fontId="8" fillId="4" borderId="56" xfId="2" applyFont="1" applyFill="1" applyBorder="1" applyAlignment="1" applyProtection="1">
      <alignment horizontal="right" vertical="center"/>
    </xf>
    <xf numFmtId="44" fontId="8" fillId="4" borderId="46" xfId="2" applyFont="1" applyFill="1" applyBorder="1" applyAlignment="1" applyProtection="1">
      <alignment horizontal="right" vertical="center"/>
    </xf>
    <xf numFmtId="44" fontId="8" fillId="0" borderId="56" xfId="2" applyFont="1" applyBorder="1" applyAlignment="1" applyProtection="1">
      <alignment vertical="center"/>
    </xf>
    <xf numFmtId="44" fontId="8" fillId="0" borderId="50" xfId="2" applyFont="1" applyBorder="1" applyAlignment="1" applyProtection="1">
      <alignment vertical="center"/>
    </xf>
    <xf numFmtId="44" fontId="8" fillId="4" borderId="46" xfId="2" applyFont="1" applyFill="1" applyBorder="1" applyAlignment="1" applyProtection="1">
      <alignment vertical="center"/>
    </xf>
    <xf numFmtId="44" fontId="8" fillId="4" borderId="180" xfId="2" applyFont="1" applyFill="1" applyBorder="1" applyAlignment="1" applyProtection="1">
      <alignment vertical="center"/>
    </xf>
    <xf numFmtId="44" fontId="8" fillId="4" borderId="50" xfId="2" applyFont="1" applyFill="1" applyBorder="1" applyAlignment="1" applyProtection="1">
      <alignment vertical="center"/>
    </xf>
    <xf numFmtId="44" fontId="8" fillId="4" borderId="107" xfId="2" applyFont="1" applyFill="1" applyBorder="1" applyAlignment="1" applyProtection="1">
      <alignment vertical="center"/>
    </xf>
    <xf numFmtId="44" fontId="8" fillId="4" borderId="56" xfId="2" applyFont="1" applyFill="1" applyBorder="1" applyAlignment="1" applyProtection="1">
      <alignment vertical="center"/>
    </xf>
    <xf numFmtId="44" fontId="8" fillId="4" borderId="217" xfId="2" applyFont="1" applyFill="1" applyBorder="1" applyAlignment="1" applyProtection="1">
      <alignment vertical="center"/>
    </xf>
    <xf numFmtId="0" fontId="25" fillId="0" borderId="0" xfId="17" applyFont="1" applyProtection="1">
      <protection locked="0"/>
    </xf>
    <xf numFmtId="44" fontId="25" fillId="0" borderId="286" xfId="2" applyFont="1" applyBorder="1" applyAlignment="1" applyProtection="1">
      <alignment vertical="center"/>
      <protection locked="0"/>
    </xf>
    <xf numFmtId="44" fontId="25" fillId="0" borderId="287" xfId="2" applyFont="1" applyBorder="1" applyAlignment="1" applyProtection="1">
      <alignment vertical="center"/>
      <protection locked="0"/>
    </xf>
    <xf numFmtId="44" fontId="25" fillId="0" borderId="287" xfId="2" applyFont="1" applyFill="1" applyBorder="1" applyAlignment="1" applyProtection="1">
      <alignment vertical="center"/>
      <protection locked="0"/>
    </xf>
    <xf numFmtId="44" fontId="25" fillId="0" borderId="288" xfId="2" applyFont="1" applyBorder="1" applyAlignment="1" applyProtection="1">
      <alignment vertical="center"/>
      <protection locked="0"/>
    </xf>
    <xf numFmtId="44" fontId="25" fillId="0" borderId="289" xfId="2" applyFont="1" applyBorder="1" applyAlignment="1" applyProtection="1">
      <alignment vertical="center"/>
      <protection locked="0"/>
    </xf>
    <xf numFmtId="44" fontId="25" fillId="0" borderId="289" xfId="2" applyFont="1" applyFill="1" applyBorder="1" applyAlignment="1" applyProtection="1">
      <alignment vertical="center"/>
      <protection locked="0"/>
    </xf>
    <xf numFmtId="44" fontId="25" fillId="0" borderId="45" xfId="2" applyFont="1" applyBorder="1" applyAlignment="1" applyProtection="1">
      <alignment vertical="center"/>
      <protection locked="0"/>
    </xf>
    <xf numFmtId="44" fontId="25" fillId="0" borderId="291" xfId="2" applyFont="1" applyFill="1" applyBorder="1" applyAlignment="1" applyProtection="1">
      <alignment vertical="center"/>
      <protection locked="0"/>
    </xf>
    <xf numFmtId="44" fontId="25" fillId="0" borderId="288" xfId="2" applyFont="1" applyFill="1" applyBorder="1" applyAlignment="1" applyProtection="1">
      <alignment vertical="center"/>
      <protection locked="0"/>
    </xf>
    <xf numFmtId="44" fontId="25" fillId="0" borderId="249" xfId="2" applyFont="1" applyBorder="1" applyAlignment="1" applyProtection="1">
      <alignment vertical="center"/>
      <protection locked="0"/>
    </xf>
    <xf numFmtId="44" fontId="25" fillId="0" borderId="249" xfId="2" applyFont="1" applyFill="1" applyBorder="1" applyAlignment="1" applyProtection="1">
      <alignment vertical="center"/>
      <protection locked="0"/>
    </xf>
    <xf numFmtId="44" fontId="25" fillId="0" borderId="239" xfId="2" applyFont="1" applyBorder="1" applyAlignment="1" applyProtection="1">
      <alignment vertical="center"/>
      <protection locked="0"/>
    </xf>
    <xf numFmtId="44" fontId="25" fillId="0" borderId="239" xfId="2" applyFont="1" applyFill="1" applyBorder="1" applyAlignment="1" applyProtection="1">
      <alignment vertical="center"/>
      <protection locked="0"/>
    </xf>
    <xf numFmtId="44" fontId="25" fillId="0" borderId="248" xfId="2" applyFont="1" applyBorder="1" applyAlignment="1" applyProtection="1">
      <alignment vertical="center"/>
      <protection locked="0"/>
    </xf>
    <xf numFmtId="44" fontId="25" fillId="0" borderId="238" xfId="2" applyFont="1" applyBorder="1" applyAlignment="1" applyProtection="1">
      <alignment vertical="center"/>
      <protection locked="0"/>
    </xf>
    <xf numFmtId="44" fontId="25" fillId="0" borderId="298" xfId="2" applyFont="1" applyFill="1" applyBorder="1" applyAlignment="1" applyProtection="1">
      <alignment vertical="center"/>
      <protection locked="0"/>
    </xf>
    <xf numFmtId="44" fontId="25" fillId="0" borderId="254" xfId="2" applyFont="1" applyFill="1" applyBorder="1" applyAlignment="1" applyProtection="1">
      <alignment vertical="center"/>
      <protection locked="0"/>
    </xf>
    <xf numFmtId="44" fontId="11" fillId="11" borderId="46" xfId="2" applyFont="1" applyFill="1" applyBorder="1" applyProtection="1">
      <protection locked="0"/>
    </xf>
    <xf numFmtId="44" fontId="11" fillId="11" borderId="56" xfId="2" applyFont="1" applyFill="1" applyBorder="1" applyProtection="1">
      <protection locked="0"/>
    </xf>
    <xf numFmtId="44" fontId="0" fillId="11" borderId="62" xfId="2" applyFont="1" applyFill="1" applyBorder="1" applyAlignment="1" applyProtection="1">
      <protection locked="0"/>
    </xf>
    <xf numFmtId="44" fontId="0" fillId="11" borderId="61" xfId="2" applyFont="1" applyFill="1" applyBorder="1" applyAlignment="1" applyProtection="1">
      <protection locked="0"/>
    </xf>
    <xf numFmtId="7" fontId="11" fillId="11" borderId="50" xfId="7" applyNumberFormat="1" applyFont="1" applyFill="1" applyBorder="1" applyProtection="1">
      <protection locked="0"/>
    </xf>
    <xf numFmtId="164" fontId="11" fillId="11" borderId="135" xfId="2" applyNumberFormat="1" applyFont="1" applyFill="1" applyBorder="1" applyProtection="1">
      <protection locked="0"/>
    </xf>
    <xf numFmtId="164" fontId="11" fillId="11" borderId="138" xfId="2" applyNumberFormat="1" applyFont="1" applyFill="1" applyBorder="1" applyProtection="1">
      <protection locked="0"/>
    </xf>
    <xf numFmtId="42" fontId="11" fillId="11" borderId="138" xfId="2" applyNumberFormat="1" applyFont="1" applyFill="1" applyBorder="1" applyProtection="1">
      <protection locked="0"/>
    </xf>
    <xf numFmtId="44" fontId="10" fillId="0" borderId="9" xfId="2" applyFont="1" applyBorder="1" applyProtection="1"/>
    <xf numFmtId="10" fontId="10" fillId="0" borderId="9" xfId="3" applyNumberFormat="1" applyFont="1" applyBorder="1" applyProtection="1"/>
    <xf numFmtId="0" fontId="46" fillId="0" borderId="0" xfId="19"/>
    <xf numFmtId="0" fontId="21" fillId="0" borderId="0" xfId="19" applyFont="1" applyAlignment="1">
      <alignment horizontal="left"/>
    </xf>
    <xf numFmtId="0" fontId="9" fillId="0" borderId="0" xfId="19" applyFont="1"/>
    <xf numFmtId="0" fontId="9" fillId="0" borderId="0" xfId="19" applyFont="1" applyAlignment="1">
      <alignment horizontal="center"/>
    </xf>
    <xf numFmtId="0" fontId="53" fillId="0" borderId="0" xfId="19" applyFont="1"/>
    <xf numFmtId="0" fontId="21" fillId="0" borderId="0" xfId="19" applyFont="1" applyAlignment="1">
      <alignment horizontal="center"/>
    </xf>
    <xf numFmtId="43" fontId="53" fillId="0" borderId="0" xfId="22" applyFont="1" applyFill="1"/>
    <xf numFmtId="43" fontId="53" fillId="19" borderId="0" xfId="22" applyFont="1" applyFill="1"/>
    <xf numFmtId="0" fontId="9" fillId="0" borderId="0" xfId="19" quotePrefix="1" applyFont="1" applyAlignment="1">
      <alignment horizontal="center"/>
    </xf>
    <xf numFmtId="0" fontId="21" fillId="0" borderId="0" xfId="19" quotePrefix="1" applyFont="1" applyAlignment="1">
      <alignment horizontal="left"/>
    </xf>
    <xf numFmtId="10" fontId="53" fillId="0" borderId="0" xfId="23" applyNumberFormat="1" applyFont="1" applyFill="1"/>
    <xf numFmtId="0" fontId="9" fillId="0" borderId="0" xfId="22" quotePrefix="1" applyNumberFormat="1" applyFont="1" applyFill="1" applyAlignment="1">
      <alignment horizontal="center"/>
    </xf>
    <xf numFmtId="0" fontId="53" fillId="13" borderId="1" xfId="19" applyFont="1" applyFill="1" applyBorder="1" applyAlignment="1">
      <alignment horizontal="center" wrapText="1"/>
    </xf>
    <xf numFmtId="0" fontId="53" fillId="13" borderId="228" xfId="19" applyFont="1" applyFill="1" applyBorder="1" applyAlignment="1">
      <alignment horizontal="center" wrapText="1"/>
    </xf>
    <xf numFmtId="0" fontId="53" fillId="13" borderId="228" xfId="19" quotePrefix="1" applyFont="1" applyFill="1" applyBorder="1" applyAlignment="1">
      <alignment horizontal="center" wrapText="1"/>
    </xf>
    <xf numFmtId="0" fontId="53" fillId="13" borderId="328" xfId="19" applyFont="1" applyFill="1" applyBorder="1" applyAlignment="1">
      <alignment horizontal="center" wrapText="1"/>
    </xf>
    <xf numFmtId="0" fontId="53" fillId="0" borderId="329" xfId="19" applyFont="1" applyBorder="1" applyAlignment="1">
      <alignment horizontal="center"/>
    </xf>
    <xf numFmtId="0" fontId="53" fillId="11" borderId="259" xfId="19" applyFont="1" applyFill="1" applyBorder="1" applyAlignment="1">
      <alignment horizontal="center"/>
    </xf>
    <xf numFmtId="0" fontId="53" fillId="0" borderId="261" xfId="19" applyFont="1" applyBorder="1" applyAlignment="1">
      <alignment horizontal="center"/>
    </xf>
    <xf numFmtId="0" fontId="53" fillId="11" borderId="324" xfId="19" applyFont="1" applyFill="1" applyBorder="1" applyAlignment="1">
      <alignment horizontal="center"/>
    </xf>
    <xf numFmtId="0" fontId="53" fillId="0" borderId="330" xfId="19" applyFont="1" applyBorder="1" applyAlignment="1">
      <alignment horizontal="center"/>
    </xf>
    <xf numFmtId="0" fontId="53" fillId="11" borderId="329" xfId="19" applyFont="1" applyFill="1" applyBorder="1" applyAlignment="1">
      <alignment horizontal="center"/>
    </xf>
    <xf numFmtId="0" fontId="53" fillId="13" borderId="26" xfId="19" applyFont="1" applyFill="1" applyBorder="1" applyAlignment="1">
      <alignment horizontal="center" wrapText="1"/>
    </xf>
    <xf numFmtId="0" fontId="53" fillId="13" borderId="6" xfId="19" applyFont="1" applyFill="1" applyBorder="1" applyAlignment="1">
      <alignment horizontal="center" wrapText="1"/>
    </xf>
    <xf numFmtId="0" fontId="53" fillId="13" borderId="6" xfId="19" quotePrefix="1" applyFont="1" applyFill="1" applyBorder="1" applyAlignment="1">
      <alignment horizontal="center" wrapText="1"/>
    </xf>
    <xf numFmtId="0" fontId="53" fillId="13" borderId="190" xfId="19" applyFont="1" applyFill="1" applyBorder="1" applyAlignment="1">
      <alignment horizontal="center" wrapText="1"/>
    </xf>
    <xf numFmtId="0" fontId="53" fillId="0" borderId="329" xfId="19" applyFont="1" applyBorder="1" applyAlignment="1">
      <alignment horizontal="center" wrapText="1"/>
    </xf>
    <xf numFmtId="0" fontId="53" fillId="11" borderId="259" xfId="19" applyFont="1" applyFill="1" applyBorder="1" applyAlignment="1">
      <alignment horizontal="center" wrapText="1"/>
    </xf>
    <xf numFmtId="0" fontId="53" fillId="0" borderId="261" xfId="19" applyFont="1" applyBorder="1" applyAlignment="1">
      <alignment horizontal="center" wrapText="1"/>
    </xf>
    <xf numFmtId="0" fontId="53" fillId="11" borderId="324" xfId="19" applyFont="1" applyFill="1" applyBorder="1" applyAlignment="1">
      <alignment horizontal="center" wrapText="1"/>
    </xf>
    <xf numFmtId="0" fontId="53" fillId="0" borderId="330" xfId="19" applyFont="1" applyBorder="1" applyAlignment="1">
      <alignment horizontal="center" wrapText="1"/>
    </xf>
    <xf numFmtId="0" fontId="53" fillId="11" borderId="329" xfId="19" applyFont="1" applyFill="1" applyBorder="1" applyAlignment="1">
      <alignment horizontal="center" wrapText="1"/>
    </xf>
    <xf numFmtId="0" fontId="53" fillId="13" borderId="256" xfId="19" applyFont="1" applyFill="1" applyBorder="1" applyAlignment="1">
      <alignment horizontal="center" wrapText="1"/>
    </xf>
    <xf numFmtId="0" fontId="53" fillId="13" borderId="274" xfId="19" applyFont="1" applyFill="1" applyBorder="1" applyAlignment="1">
      <alignment horizontal="center" wrapText="1"/>
    </xf>
    <xf numFmtId="0" fontId="53" fillId="13" borderId="274" xfId="19" quotePrefix="1" applyFont="1" applyFill="1" applyBorder="1" applyAlignment="1">
      <alignment horizontal="center" wrapText="1"/>
    </xf>
    <xf numFmtId="0" fontId="53" fillId="13" borderId="275" xfId="19" applyFont="1" applyFill="1" applyBorder="1" applyAlignment="1">
      <alignment horizontal="center" wrapText="1"/>
    </xf>
    <xf numFmtId="0" fontId="9" fillId="0" borderId="329" xfId="19" applyFont="1" applyBorder="1" applyAlignment="1">
      <alignment horizontal="center" wrapText="1"/>
    </xf>
    <xf numFmtId="0" fontId="9" fillId="0" borderId="261" xfId="19" applyFont="1" applyBorder="1" applyAlignment="1">
      <alignment horizontal="center" wrapText="1"/>
    </xf>
    <xf numFmtId="0" fontId="9" fillId="0" borderId="330" xfId="19" applyFont="1" applyBorder="1" applyAlignment="1">
      <alignment horizontal="center" wrapText="1"/>
    </xf>
    <xf numFmtId="0" fontId="53" fillId="0" borderId="0" xfId="19" applyFont="1" applyAlignment="1">
      <alignment wrapText="1"/>
    </xf>
    <xf numFmtId="0" fontId="9" fillId="14" borderId="331" xfId="19" applyFont="1" applyFill="1" applyBorder="1" applyAlignment="1">
      <alignment horizontal="center" wrapText="1"/>
    </xf>
    <xf numFmtId="0" fontId="9" fillId="14" borderId="260" xfId="19" applyFont="1" applyFill="1" applyBorder="1" applyAlignment="1">
      <alignment horizontal="center" wrapText="1"/>
    </xf>
    <xf numFmtId="0" fontId="9" fillId="14" borderId="325" xfId="19" applyFont="1" applyFill="1" applyBorder="1" applyAlignment="1">
      <alignment horizontal="center" wrapText="1"/>
    </xf>
    <xf numFmtId="0" fontId="9" fillId="14" borderId="329" xfId="19" applyFont="1" applyFill="1" applyBorder="1" applyAlignment="1">
      <alignment horizontal="center" wrapText="1"/>
    </xf>
    <xf numFmtId="0" fontId="9" fillId="14" borderId="259" xfId="19" applyFont="1" applyFill="1" applyBorder="1" applyAlignment="1">
      <alignment horizontal="center" wrapText="1"/>
    </xf>
    <xf numFmtId="0" fontId="9" fillId="14" borderId="261" xfId="19" applyFont="1" applyFill="1" applyBorder="1" applyAlignment="1">
      <alignment horizontal="center" wrapText="1"/>
    </xf>
    <xf numFmtId="0" fontId="9" fillId="14" borderId="324" xfId="19" applyFont="1" applyFill="1" applyBorder="1" applyAlignment="1">
      <alignment horizontal="center" wrapText="1"/>
    </xf>
    <xf numFmtId="0" fontId="9" fillId="14" borderId="330" xfId="19" applyFont="1" applyFill="1" applyBorder="1" applyAlignment="1">
      <alignment horizontal="center" wrapText="1"/>
    </xf>
    <xf numFmtId="0" fontId="53" fillId="0" borderId="332" xfId="19" applyFont="1" applyBorder="1" applyAlignment="1">
      <alignment horizontal="center" vertical="center"/>
    </xf>
    <xf numFmtId="49" fontId="9" fillId="0" borderId="333" xfId="19" applyNumberFormat="1" applyFont="1" applyBorder="1" applyAlignment="1">
      <alignment horizontal="center" vertical="center"/>
    </xf>
    <xf numFmtId="0" fontId="9" fillId="0" borderId="333" xfId="19" applyFont="1" applyBorder="1" applyAlignment="1">
      <alignment horizontal="center" vertical="center"/>
    </xf>
    <xf numFmtId="0" fontId="9" fillId="0" borderId="334" xfId="19" applyFont="1" applyBorder="1" applyAlignment="1">
      <alignment horizontal="left" vertical="center"/>
    </xf>
    <xf numFmtId="166" fontId="9" fillId="0" borderId="333" xfId="19" applyNumberFormat="1" applyFont="1" applyBorder="1" applyAlignment="1">
      <alignment horizontal="center" vertical="center"/>
    </xf>
    <xf numFmtId="0" fontId="9" fillId="0" borderId="335" xfId="19" applyFont="1" applyBorder="1" applyAlignment="1">
      <alignment horizontal="center" vertical="center"/>
    </xf>
    <xf numFmtId="44" fontId="9" fillId="0" borderId="336" xfId="21" applyFont="1" applyFill="1" applyBorder="1" applyAlignment="1">
      <alignment horizontal="center" vertical="center"/>
    </xf>
    <xf numFmtId="44" fontId="9" fillId="11" borderId="332" xfId="21" applyFont="1" applyFill="1" applyBorder="1" applyAlignment="1">
      <alignment horizontal="center" vertical="center"/>
    </xf>
    <xf numFmtId="44" fontId="9" fillId="0" borderId="337" xfId="21" applyFont="1" applyFill="1" applyBorder="1" applyAlignment="1">
      <alignment horizontal="center" vertical="center"/>
    </xf>
    <xf numFmtId="44" fontId="9" fillId="11" borderId="338" xfId="21" applyFont="1" applyFill="1" applyBorder="1" applyAlignment="1">
      <alignment horizontal="center" vertical="center"/>
    </xf>
    <xf numFmtId="44" fontId="9" fillId="0" borderId="339" xfId="21" applyFont="1" applyFill="1" applyBorder="1" applyAlignment="1">
      <alignment horizontal="center" vertical="center"/>
    </xf>
    <xf numFmtId="44" fontId="9" fillId="11" borderId="336" xfId="21" applyFont="1" applyFill="1" applyBorder="1" applyAlignment="1">
      <alignment horizontal="center" vertical="center"/>
    </xf>
    <xf numFmtId="0" fontId="53" fillId="0" borderId="0" xfId="19" applyFont="1" applyAlignment="1">
      <alignment vertical="center"/>
    </xf>
    <xf numFmtId="0" fontId="53" fillId="0" borderId="236" xfId="19" applyFont="1" applyBorder="1" applyAlignment="1">
      <alignment horizontal="center" vertical="center"/>
    </xf>
    <xf numFmtId="49" fontId="9" fillId="0" borderId="239" xfId="19" applyNumberFormat="1" applyFont="1" applyBorder="1" applyAlignment="1">
      <alignment horizontal="center" vertical="center"/>
    </xf>
    <xf numFmtId="0" fontId="9" fillId="0" borderId="239" xfId="19" applyFont="1" applyBorder="1" applyAlignment="1">
      <alignment horizontal="center" vertical="center"/>
    </xf>
    <xf numFmtId="0" fontId="9" fillId="0" borderId="340" xfId="19" applyFont="1" applyBorder="1" applyAlignment="1">
      <alignment horizontal="left" vertical="center"/>
    </xf>
    <xf numFmtId="166" fontId="9" fillId="0" borderId="239" xfId="19" applyNumberFormat="1" applyFont="1" applyBorder="1" applyAlignment="1">
      <alignment horizontal="center" vertical="center"/>
    </xf>
    <xf numFmtId="0" fontId="9" fillId="0" borderId="315" xfId="19" applyFont="1" applyBorder="1" applyAlignment="1">
      <alignment horizontal="center" vertical="center"/>
    </xf>
    <xf numFmtId="44" fontId="9" fillId="0" borderId="341" xfId="21" applyFont="1" applyFill="1" applyBorder="1" applyAlignment="1">
      <alignment horizontal="center" vertical="center"/>
    </xf>
    <xf numFmtId="44" fontId="9" fillId="11" borderId="238" xfId="21" applyFont="1" applyFill="1" applyBorder="1" applyAlignment="1">
      <alignment horizontal="center" vertical="center"/>
    </xf>
    <xf numFmtId="44" fontId="9" fillId="0" borderId="240" xfId="21" applyFont="1" applyFill="1" applyBorder="1" applyAlignment="1">
      <alignment horizontal="center" vertical="center"/>
    </xf>
    <xf numFmtId="44" fontId="9" fillId="11" borderId="316" xfId="21" applyFont="1" applyFill="1" applyBorder="1" applyAlignment="1">
      <alignment horizontal="center" vertical="center"/>
    </xf>
    <xf numFmtId="44" fontId="9" fillId="0" borderId="237" xfId="21" applyFont="1" applyFill="1" applyBorder="1" applyAlignment="1">
      <alignment horizontal="center" vertical="center"/>
    </xf>
    <xf numFmtId="44" fontId="9" fillId="11" borderId="341" xfId="21" applyFont="1" applyFill="1" applyBorder="1" applyAlignment="1">
      <alignment horizontal="center" vertical="center"/>
    </xf>
    <xf numFmtId="0" fontId="54" fillId="0" borderId="315" xfId="19" applyFont="1" applyBorder="1" applyAlignment="1">
      <alignment horizontal="center" vertical="center"/>
    </xf>
    <xf numFmtId="44" fontId="54" fillId="0" borderId="240" xfId="21" applyFont="1" applyFill="1" applyBorder="1" applyAlignment="1">
      <alignment horizontal="center" vertical="center"/>
    </xf>
    <xf numFmtId="44" fontId="54" fillId="0" borderId="341" xfId="21" applyFont="1" applyFill="1" applyBorder="1" applyAlignment="1">
      <alignment horizontal="center" vertical="center"/>
    </xf>
    <xf numFmtId="44" fontId="54" fillId="11" borderId="341" xfId="21" applyFont="1" applyFill="1" applyBorder="1" applyAlignment="1">
      <alignment horizontal="center" vertical="center"/>
    </xf>
    <xf numFmtId="0" fontId="9" fillId="0" borderId="239" xfId="19" quotePrefix="1" applyFont="1" applyBorder="1" applyAlignment="1">
      <alignment horizontal="center" vertical="center"/>
    </xf>
    <xf numFmtId="0" fontId="9" fillId="0" borderId="340" xfId="19" quotePrefix="1" applyFont="1" applyBorder="1" applyAlignment="1">
      <alignment horizontal="left" vertical="center"/>
    </xf>
    <xf numFmtId="0" fontId="54" fillId="0" borderId="239" xfId="19" applyFont="1" applyBorder="1" applyAlignment="1">
      <alignment horizontal="center" vertical="center"/>
    </xf>
    <xf numFmtId="44" fontId="54" fillId="11" borderId="316" xfId="21" applyFont="1" applyFill="1" applyBorder="1" applyAlignment="1">
      <alignment horizontal="center" vertical="center"/>
    </xf>
    <xf numFmtId="44" fontId="54" fillId="0" borderId="237" xfId="21" applyFont="1" applyFill="1" applyBorder="1" applyAlignment="1">
      <alignment horizontal="center" vertical="center"/>
    </xf>
    <xf numFmtId="4" fontId="9" fillId="0" borderId="340" xfId="22" applyNumberFormat="1" applyFont="1" applyFill="1" applyBorder="1" applyAlignment="1">
      <alignment vertical="center"/>
    </xf>
    <xf numFmtId="0" fontId="9" fillId="0" borderId="236" xfId="19" applyFont="1" applyBorder="1" applyAlignment="1">
      <alignment horizontal="left" vertical="center"/>
    </xf>
    <xf numFmtId="4" fontId="9" fillId="0" borderId="236" xfId="22" applyNumberFormat="1" applyFont="1" applyFill="1" applyBorder="1" applyAlignment="1">
      <alignment vertical="center" wrapText="1"/>
    </xf>
    <xf numFmtId="0" fontId="54" fillId="0" borderId="340" xfId="19" applyFont="1" applyBorder="1" applyAlignment="1">
      <alignment horizontal="left" vertical="center"/>
    </xf>
    <xf numFmtId="166" fontId="54" fillId="0" borderId="239" xfId="19" applyNumberFormat="1" applyFont="1" applyBorder="1" applyAlignment="1">
      <alignment horizontal="center" vertical="center"/>
    </xf>
    <xf numFmtId="43" fontId="53" fillId="0" borderId="236" xfId="19" applyNumberFormat="1" applyFont="1" applyBorder="1" applyAlignment="1">
      <alignment horizontal="center" vertical="center"/>
    </xf>
    <xf numFmtId="43" fontId="9" fillId="0" borderId="340" xfId="19" applyNumberFormat="1" applyFont="1" applyBorder="1" applyAlignment="1">
      <alignment horizontal="left" vertical="center"/>
    </xf>
    <xf numFmtId="43" fontId="9" fillId="0" borderId="239" xfId="19" applyNumberFormat="1" applyFont="1" applyBorder="1" applyAlignment="1">
      <alignment horizontal="center" vertical="center"/>
    </xf>
    <xf numFmtId="44" fontId="54" fillId="11" borderId="238" xfId="21" applyFont="1" applyFill="1" applyBorder="1" applyAlignment="1">
      <alignment horizontal="center" vertical="center"/>
    </xf>
    <xf numFmtId="166" fontId="53" fillId="0" borderId="239" xfId="19" applyNumberFormat="1" applyFont="1" applyBorder="1" applyAlignment="1">
      <alignment horizontal="center" vertical="center"/>
    </xf>
    <xf numFmtId="0" fontId="37" fillId="0" borderId="340" xfId="19" applyFont="1" applyBorder="1" applyAlignment="1">
      <alignment horizontal="left" vertical="center"/>
    </xf>
    <xf numFmtId="0" fontId="37" fillId="0" borderId="340" xfId="19" quotePrefix="1" applyFont="1" applyBorder="1" applyAlignment="1">
      <alignment horizontal="left" vertical="center"/>
    </xf>
    <xf numFmtId="0" fontId="9" fillId="0" borderId="340" xfId="19" quotePrefix="1" applyFont="1" applyBorder="1" applyAlignment="1">
      <alignment horizontal="left" vertical="center" wrapText="1"/>
    </xf>
    <xf numFmtId="49" fontId="9" fillId="0" borderId="340" xfId="19" applyNumberFormat="1" applyFont="1" applyBorder="1" applyAlignment="1">
      <alignment horizontal="left" vertical="center"/>
    </xf>
    <xf numFmtId="0" fontId="54" fillId="0" borderId="340" xfId="19" applyFont="1" applyBorder="1" applyAlignment="1">
      <alignment horizontal="left" vertical="center" wrapText="1"/>
    </xf>
    <xf numFmtId="0" fontId="53" fillId="0" borderId="247" xfId="19" applyFont="1" applyBorder="1" applyAlignment="1">
      <alignment horizontal="center" vertical="center"/>
    </xf>
    <xf numFmtId="49" fontId="9" fillId="0" borderId="317" xfId="19" applyNumberFormat="1" applyFont="1" applyBorder="1" applyAlignment="1">
      <alignment horizontal="center" vertical="center"/>
    </xf>
    <xf numFmtId="0" fontId="9" fillId="0" borderId="317" xfId="19" applyFont="1" applyBorder="1" applyAlignment="1">
      <alignment horizontal="center" vertical="center"/>
    </xf>
    <xf numFmtId="0" fontId="9" fillId="0" borderId="342" xfId="19" applyFont="1" applyBorder="1" applyAlignment="1">
      <alignment horizontal="left" vertical="center"/>
    </xf>
    <xf numFmtId="166" fontId="9" fillId="0" borderId="317" xfId="19" applyNumberFormat="1" applyFont="1" applyBorder="1" applyAlignment="1">
      <alignment horizontal="center" vertical="center"/>
    </xf>
    <xf numFmtId="0" fontId="9" fillId="0" borderId="318" xfId="19" applyFont="1" applyBorder="1" applyAlignment="1">
      <alignment horizontal="center" vertical="center"/>
    </xf>
    <xf numFmtId="44" fontId="9" fillId="0" borderId="343" xfId="21" applyFont="1" applyFill="1" applyBorder="1" applyAlignment="1">
      <alignment horizontal="center" vertical="center"/>
    </xf>
    <xf numFmtId="44" fontId="9" fillId="11" borderId="344" xfId="21" applyFont="1" applyFill="1" applyBorder="1" applyAlignment="1">
      <alignment horizontal="center" vertical="center"/>
    </xf>
    <xf numFmtId="44" fontId="9" fillId="0" borderId="320" xfId="21" applyFont="1" applyFill="1" applyBorder="1" applyAlignment="1">
      <alignment horizontal="center" vertical="center"/>
    </xf>
    <xf numFmtId="44" fontId="9" fillId="11" borderId="319" xfId="21" applyFont="1" applyFill="1" applyBorder="1" applyAlignment="1">
      <alignment horizontal="center" vertical="center"/>
    </xf>
    <xf numFmtId="44" fontId="9" fillId="0" borderId="345" xfId="21" applyFont="1" applyFill="1" applyBorder="1" applyAlignment="1">
      <alignment horizontal="center" vertical="center"/>
    </xf>
    <xf numFmtId="44" fontId="9" fillId="11" borderId="343" xfId="21" applyFont="1" applyFill="1" applyBorder="1" applyAlignment="1">
      <alignment horizontal="center" vertical="center"/>
    </xf>
    <xf numFmtId="0" fontId="9" fillId="0" borderId="249" xfId="19" applyFont="1" applyBorder="1" applyAlignment="1">
      <alignment horizontal="center" vertical="center"/>
    </xf>
    <xf numFmtId="0" fontId="55" fillId="0" borderId="346" xfId="19" applyFont="1" applyBorder="1" applyAlignment="1">
      <alignment horizontal="center" vertical="center"/>
    </xf>
    <xf numFmtId="49" fontId="55" fillId="0" borderId="321" xfId="19" applyNumberFormat="1" applyFont="1" applyBorder="1" applyAlignment="1">
      <alignment horizontal="center" vertical="center"/>
    </xf>
    <xf numFmtId="0" fontId="55" fillId="0" borderId="347" xfId="19" applyFont="1" applyBorder="1" applyAlignment="1">
      <alignment horizontal="center" vertical="center"/>
    </xf>
    <xf numFmtId="166" fontId="55" fillId="0" borderId="321" xfId="19" applyNumberFormat="1" applyFont="1" applyBorder="1" applyAlignment="1">
      <alignment horizontal="center" vertical="center"/>
    </xf>
    <xf numFmtId="0" fontId="55" fillId="0" borderId="321" xfId="19" applyFont="1" applyBorder="1" applyAlignment="1">
      <alignment horizontal="center" vertical="center"/>
    </xf>
    <xf numFmtId="0" fontId="55" fillId="0" borderId="308" xfId="19" applyFont="1" applyBorder="1" applyAlignment="1">
      <alignment horizontal="center" vertical="center"/>
    </xf>
    <xf numFmtId="44" fontId="55" fillId="0" borderId="348" xfId="21" applyFont="1" applyFill="1" applyBorder="1" applyAlignment="1">
      <alignment horizontal="center" vertical="center"/>
    </xf>
    <xf numFmtId="44" fontId="55" fillId="11" borderId="349" xfId="21" applyFont="1" applyFill="1" applyBorder="1" applyAlignment="1">
      <alignment horizontal="center" vertical="center"/>
    </xf>
    <xf numFmtId="44" fontId="55" fillId="0" borderId="311" xfId="21" applyFont="1" applyFill="1" applyBorder="1" applyAlignment="1">
      <alignment horizontal="center" vertical="center"/>
    </xf>
    <xf numFmtId="44" fontId="55" fillId="11" borderId="307" xfId="21" applyFont="1" applyFill="1" applyBorder="1" applyAlignment="1">
      <alignment horizontal="center" vertical="center"/>
    </xf>
    <xf numFmtId="44" fontId="55" fillId="0" borderId="350" xfId="21" applyFont="1" applyFill="1" applyBorder="1" applyAlignment="1">
      <alignment horizontal="center" vertical="center"/>
    </xf>
    <xf numFmtId="44" fontId="55" fillId="11" borderId="348" xfId="21" applyFont="1" applyFill="1" applyBorder="1" applyAlignment="1">
      <alignment horizontal="center" vertical="center"/>
    </xf>
    <xf numFmtId="0" fontId="55" fillId="0" borderId="0" xfId="19" applyFont="1" applyAlignment="1">
      <alignment vertical="center"/>
    </xf>
    <xf numFmtId="0" fontId="53" fillId="0" borderId="241" xfId="19" applyFont="1" applyBorder="1" applyAlignment="1">
      <alignment horizontal="center" vertical="center"/>
    </xf>
    <xf numFmtId="49" fontId="9" fillId="0" borderId="289" xfId="19" applyNumberFormat="1" applyFont="1" applyBorder="1" applyAlignment="1">
      <alignment horizontal="center" vertical="center"/>
    </xf>
    <xf numFmtId="0" fontId="9" fillId="0" borderId="289" xfId="19" applyFont="1" applyBorder="1" applyAlignment="1">
      <alignment horizontal="center" vertical="center"/>
    </xf>
    <xf numFmtId="0" fontId="9" fillId="0" borderId="351" xfId="19" applyFont="1" applyBorder="1" applyAlignment="1">
      <alignment horizontal="left" vertical="center"/>
    </xf>
    <xf numFmtId="166" fontId="9" fillId="0" borderId="289" xfId="19" applyNumberFormat="1" applyFont="1" applyBorder="1" applyAlignment="1">
      <alignment horizontal="center" vertical="center"/>
    </xf>
    <xf numFmtId="0" fontId="54" fillId="0" borderId="289" xfId="19" applyFont="1" applyBorder="1" applyAlignment="1">
      <alignment horizontal="center" vertical="center"/>
    </xf>
    <xf numFmtId="0" fontId="54" fillId="0" borderId="312" xfId="19" applyFont="1" applyBorder="1" applyAlignment="1">
      <alignment horizontal="center" vertical="center"/>
    </xf>
    <xf numFmtId="44" fontId="9" fillId="0" borderId="352" xfId="21" applyFont="1" applyFill="1" applyBorder="1" applyAlignment="1">
      <alignment horizontal="center" vertical="center"/>
    </xf>
    <xf numFmtId="44" fontId="9" fillId="11" borderId="235" xfId="21" applyFont="1" applyFill="1" applyBorder="1" applyAlignment="1">
      <alignment horizontal="center" vertical="center"/>
    </xf>
    <xf numFmtId="44" fontId="9" fillId="0" borderId="314" xfId="21" applyFont="1" applyFill="1" applyBorder="1" applyAlignment="1">
      <alignment horizontal="center" vertical="center"/>
    </xf>
    <xf numFmtId="44" fontId="9" fillId="11" borderId="313" xfId="21" applyFont="1" applyFill="1" applyBorder="1" applyAlignment="1">
      <alignment horizontal="center" vertical="center"/>
    </xf>
    <xf numFmtId="44" fontId="9" fillId="0" borderId="293" xfId="21" applyFont="1" applyFill="1" applyBorder="1" applyAlignment="1">
      <alignment horizontal="center" vertical="center"/>
    </xf>
    <xf numFmtId="44" fontId="9" fillId="11" borderId="352" xfId="21" applyFont="1" applyFill="1" applyBorder="1" applyAlignment="1">
      <alignment horizontal="center" vertical="center"/>
    </xf>
    <xf numFmtId="44" fontId="54" fillId="0" borderId="352" xfId="21" applyFont="1" applyFill="1" applyBorder="1" applyAlignment="1">
      <alignment horizontal="center" vertical="center"/>
    </xf>
    <xf numFmtId="44" fontId="54" fillId="11" borderId="313" xfId="21" applyFont="1" applyFill="1" applyBorder="1" applyAlignment="1">
      <alignment horizontal="center" vertical="center"/>
    </xf>
    <xf numFmtId="44" fontId="54" fillId="0" borderId="293" xfId="21" applyFont="1" applyFill="1" applyBorder="1" applyAlignment="1">
      <alignment horizontal="center" vertical="center"/>
    </xf>
    <xf numFmtId="0" fontId="9" fillId="0" borderId="239" xfId="19" applyFont="1" applyBorder="1" applyAlignment="1">
      <alignment horizontal="left" vertical="center"/>
    </xf>
    <xf numFmtId="0" fontId="56" fillId="0" borderId="347" xfId="24" applyFill="1" applyBorder="1" applyAlignment="1">
      <alignment horizontal="center" vertical="center"/>
    </xf>
    <xf numFmtId="0" fontId="53" fillId="0" borderId="0" xfId="19" applyFont="1" applyAlignment="1">
      <alignment horizontal="center" vertical="center"/>
    </xf>
    <xf numFmtId="49" fontId="9" fillId="0" borderId="6" xfId="19" applyNumberFormat="1" applyFont="1" applyBorder="1" applyAlignment="1">
      <alignment horizontal="center" vertical="center"/>
    </xf>
    <xf numFmtId="0" fontId="9" fillId="0" borderId="6" xfId="19" applyFont="1" applyBorder="1" applyAlignment="1">
      <alignment horizontal="center" vertical="center"/>
    </xf>
    <xf numFmtId="0" fontId="9" fillId="0" borderId="68" xfId="19" applyFont="1" applyBorder="1" applyAlignment="1">
      <alignment horizontal="left" vertical="center"/>
    </xf>
    <xf numFmtId="166" fontId="9" fillId="0" borderId="6" xfId="19" applyNumberFormat="1" applyFont="1" applyBorder="1" applyAlignment="1">
      <alignment horizontal="center" vertical="center"/>
    </xf>
    <xf numFmtId="0" fontId="9" fillId="0" borderId="190" xfId="19" applyFont="1" applyBorder="1" applyAlignment="1">
      <alignment horizontal="center" vertical="center"/>
    </xf>
    <xf numFmtId="44" fontId="9" fillId="0" borderId="353" xfId="21" applyFont="1" applyFill="1" applyBorder="1" applyAlignment="1">
      <alignment horizontal="center" vertical="center"/>
    </xf>
    <xf numFmtId="44" fontId="9" fillId="11" borderId="26" xfId="21" applyFont="1" applyFill="1" applyBorder="1" applyAlignment="1">
      <alignment horizontal="center" vertical="center"/>
    </xf>
    <xf numFmtId="44" fontId="9" fillId="0" borderId="169" xfId="21" applyFont="1" applyFill="1" applyBorder="1" applyAlignment="1">
      <alignment horizontal="center" vertical="center"/>
    </xf>
    <xf numFmtId="44" fontId="9" fillId="11" borderId="267" xfId="21" applyFont="1" applyFill="1" applyBorder="1" applyAlignment="1">
      <alignment horizontal="center" vertical="center"/>
    </xf>
    <xf numFmtId="44" fontId="9" fillId="0" borderId="203" xfId="21" applyFont="1" applyFill="1" applyBorder="1" applyAlignment="1">
      <alignment horizontal="center" vertical="center"/>
    </xf>
    <xf numFmtId="44" fontId="9" fillId="11" borderId="353" xfId="21" applyFont="1" applyFill="1" applyBorder="1" applyAlignment="1">
      <alignment horizontal="center" vertical="center"/>
    </xf>
    <xf numFmtId="0" fontId="37" fillId="0" borderId="239" xfId="19" applyFont="1" applyBorder="1" applyAlignment="1">
      <alignment horizontal="left" vertical="center"/>
    </xf>
    <xf numFmtId="0" fontId="53" fillId="0" borderId="239" xfId="19" applyFont="1" applyBorder="1" applyAlignment="1">
      <alignment vertical="center"/>
    </xf>
    <xf numFmtId="49" fontId="9" fillId="0" borderId="354" xfId="19" applyNumberFormat="1" applyFont="1" applyBorder="1" applyAlignment="1">
      <alignment horizontal="center" vertical="center"/>
    </xf>
    <xf numFmtId="0" fontId="9" fillId="0" borderId="355" xfId="19" applyFont="1" applyBorder="1" applyAlignment="1">
      <alignment horizontal="center" vertical="center"/>
    </xf>
    <xf numFmtId="0" fontId="9" fillId="0" borderId="354" xfId="19" applyFont="1" applyBorder="1" applyAlignment="1">
      <alignment horizontal="left" vertical="center"/>
    </xf>
    <xf numFmtId="166" fontId="9" fillId="0" borderId="340" xfId="19" applyNumberFormat="1" applyFont="1" applyBorder="1" applyAlignment="1">
      <alignment horizontal="center" vertical="center"/>
    </xf>
    <xf numFmtId="0" fontId="53" fillId="0" borderId="239" xfId="19" applyFont="1" applyBorder="1" applyAlignment="1">
      <alignment horizontal="center" vertical="center"/>
    </xf>
    <xf numFmtId="0" fontId="53" fillId="0" borderId="356" xfId="19" applyFont="1" applyBorder="1" applyAlignment="1">
      <alignment horizontal="center" vertical="center"/>
    </xf>
    <xf numFmtId="49" fontId="9" fillId="0" borderId="249" xfId="19" applyNumberFormat="1" applyFont="1" applyBorder="1" applyAlignment="1">
      <alignment horizontal="center" vertical="center"/>
    </xf>
    <xf numFmtId="0" fontId="9" fillId="0" borderId="249" xfId="19" applyFont="1" applyBorder="1" applyAlignment="1">
      <alignment horizontal="left" vertical="center"/>
    </xf>
    <xf numFmtId="166" fontId="9" fillId="0" borderId="249" xfId="19" applyNumberFormat="1" applyFont="1" applyBorder="1" applyAlignment="1">
      <alignment horizontal="center" vertical="center"/>
    </xf>
    <xf numFmtId="0" fontId="9" fillId="0" borderId="322" xfId="19" applyFont="1" applyBorder="1" applyAlignment="1">
      <alignment horizontal="center" vertical="center"/>
    </xf>
    <xf numFmtId="44" fontId="9" fillId="0" borderId="357" xfId="21" applyFont="1" applyFill="1" applyBorder="1" applyAlignment="1">
      <alignment horizontal="center" vertical="center"/>
    </xf>
    <xf numFmtId="44" fontId="9" fillId="11" borderId="248" xfId="21" applyFont="1" applyFill="1" applyBorder="1" applyAlignment="1">
      <alignment horizontal="center" vertical="center"/>
    </xf>
    <xf numFmtId="44" fontId="9" fillId="0" borderId="250" xfId="21" applyFont="1" applyFill="1" applyBorder="1" applyAlignment="1">
      <alignment horizontal="center" vertical="center"/>
    </xf>
    <xf numFmtId="44" fontId="9" fillId="11" borderId="323" xfId="21" applyFont="1" applyFill="1" applyBorder="1" applyAlignment="1">
      <alignment horizontal="center" vertical="center"/>
    </xf>
    <xf numFmtId="44" fontId="9" fillId="0" borderId="295" xfId="21" applyFont="1" applyFill="1" applyBorder="1" applyAlignment="1">
      <alignment horizontal="center" vertical="center"/>
    </xf>
    <xf numFmtId="44" fontId="9" fillId="11" borderId="357" xfId="21" applyFont="1" applyFill="1" applyBorder="1" applyAlignment="1">
      <alignment horizontal="center" vertical="center"/>
    </xf>
    <xf numFmtId="43" fontId="53" fillId="0" borderId="0" xfId="19" applyNumberFormat="1" applyFont="1"/>
    <xf numFmtId="168" fontId="53" fillId="0" borderId="0" xfId="22" applyNumberFormat="1" applyFont="1" applyAlignment="1">
      <alignment horizontal="right"/>
    </xf>
    <xf numFmtId="168" fontId="53" fillId="0" borderId="0" xfId="19" applyNumberFormat="1" applyFont="1"/>
    <xf numFmtId="168" fontId="53" fillId="0" borderId="0" xfId="22" applyNumberFormat="1" applyFont="1" applyBorder="1"/>
    <xf numFmtId="169" fontId="32" fillId="0" borderId="245" xfId="1" applyNumberFormat="1" applyFont="1" applyFill="1" applyBorder="1" applyProtection="1"/>
    <xf numFmtId="10" fontId="32" fillId="0" borderId="245" xfId="3" applyNumberFormat="1" applyFont="1" applyFill="1" applyBorder="1" applyProtection="1"/>
    <xf numFmtId="169" fontId="32" fillId="0" borderId="88" xfId="1" applyNumberFormat="1" applyFont="1" applyFill="1" applyBorder="1" applyProtection="1"/>
    <xf numFmtId="165" fontId="10" fillId="0" borderId="0" xfId="7" applyFont="1" applyProtection="1">
      <protection locked="0"/>
    </xf>
    <xf numFmtId="165" fontId="10" fillId="0" borderId="0" xfId="7" applyFont="1" applyAlignment="1" applyProtection="1">
      <alignment vertical="center"/>
      <protection locked="0"/>
    </xf>
    <xf numFmtId="7" fontId="10" fillId="0" borderId="0" xfId="7" applyNumberFormat="1" applyFont="1" applyProtection="1">
      <protection locked="0"/>
    </xf>
    <xf numFmtId="165" fontId="10" fillId="0" borderId="0" xfId="7" applyFont="1" applyAlignment="1" applyProtection="1">
      <alignment horizontal="left"/>
      <protection locked="0"/>
    </xf>
    <xf numFmtId="0" fontId="20" fillId="0" borderId="0" xfId="10" applyFont="1" applyProtection="1"/>
    <xf numFmtId="0" fontId="10" fillId="0" borderId="0" xfId="7" applyNumberFormat="1" applyFont="1" applyProtection="1"/>
    <xf numFmtId="0" fontId="8" fillId="0" borderId="0" xfId="0" applyNumberFormat="1" applyFont="1" applyProtection="1"/>
    <xf numFmtId="0" fontId="22" fillId="0" borderId="0" xfId="11" applyFont="1" applyProtection="1"/>
    <xf numFmtId="165" fontId="10" fillId="0" borderId="0" xfId="7" applyFont="1" applyProtection="1"/>
    <xf numFmtId="0" fontId="20" fillId="0" borderId="0" xfId="6" applyFont="1" applyAlignment="1" applyProtection="1">
      <alignment vertical="center"/>
    </xf>
    <xf numFmtId="165" fontId="10" fillId="0" borderId="0" xfId="7" applyFont="1" applyAlignment="1" applyProtection="1">
      <alignment vertical="center"/>
    </xf>
    <xf numFmtId="7" fontId="10" fillId="0" borderId="0" xfId="7" applyNumberFormat="1" applyFont="1" applyAlignment="1" applyProtection="1">
      <alignment vertical="center"/>
    </xf>
    <xf numFmtId="165" fontId="10" fillId="0" borderId="0" xfId="7" applyFont="1" applyAlignment="1" applyProtection="1">
      <alignment horizontal="left" vertical="center"/>
    </xf>
    <xf numFmtId="0" fontId="20" fillId="0" borderId="0" xfId="5" applyFont="1" applyAlignment="1" applyProtection="1">
      <alignment horizontal="right" vertical="center"/>
    </xf>
    <xf numFmtId="0" fontId="8" fillId="0" borderId="0" xfId="12" applyFont="1" applyAlignment="1" applyProtection="1">
      <alignment horizontal="left"/>
    </xf>
    <xf numFmtId="165" fontId="11" fillId="0" borderId="0" xfId="7" applyFont="1" applyAlignment="1" applyProtection="1">
      <alignment horizontal="left"/>
    </xf>
    <xf numFmtId="7" fontId="10" fillId="0" borderId="0" xfId="7" applyNumberFormat="1" applyFont="1" applyProtection="1"/>
    <xf numFmtId="165" fontId="10" fillId="0" borderId="0" xfId="7" applyFont="1" applyAlignment="1" applyProtection="1">
      <alignment horizontal="right"/>
    </xf>
    <xf numFmtId="0" fontId="8" fillId="0" borderId="0" xfId="7" applyNumberFormat="1" applyFont="1" applyAlignment="1" applyProtection="1">
      <alignment horizontal="right"/>
    </xf>
    <xf numFmtId="166" fontId="8" fillId="0" borderId="0" xfId="7" applyNumberFormat="1" applyFont="1" applyProtection="1"/>
    <xf numFmtId="0" fontId="8" fillId="0" borderId="0" xfId="7" applyNumberFormat="1" applyFont="1" applyAlignment="1" applyProtection="1">
      <alignment horizontal="left"/>
    </xf>
    <xf numFmtId="165" fontId="14" fillId="0" borderId="21" xfId="7" applyFont="1" applyBorder="1" applyAlignment="1" applyProtection="1">
      <alignment horizontal="center"/>
    </xf>
    <xf numFmtId="7" fontId="14" fillId="0" borderId="21" xfId="7" applyNumberFormat="1" applyFont="1" applyBorder="1" applyAlignment="1" applyProtection="1">
      <alignment horizontal="center"/>
    </xf>
    <xf numFmtId="165" fontId="10" fillId="0" borderId="1" xfId="7" applyFont="1" applyBorder="1" applyProtection="1"/>
    <xf numFmtId="165" fontId="10" fillId="0" borderId="22" xfId="7" applyFont="1" applyBorder="1" applyProtection="1"/>
    <xf numFmtId="165" fontId="10" fillId="0" borderId="23" xfId="7" applyFont="1" applyBorder="1" applyAlignment="1" applyProtection="1">
      <alignment horizontal="center"/>
    </xf>
    <xf numFmtId="7" fontId="10" fillId="0" borderId="24" xfId="7" applyNumberFormat="1" applyFont="1" applyBorder="1" applyProtection="1"/>
    <xf numFmtId="165" fontId="10" fillId="0" borderId="22" xfId="7" applyFont="1" applyBorder="1" applyAlignment="1" applyProtection="1">
      <alignment horizontal="center"/>
    </xf>
    <xf numFmtId="165" fontId="10" fillId="0" borderId="24" xfId="7" applyFont="1" applyBorder="1" applyProtection="1"/>
    <xf numFmtId="165" fontId="10" fillId="0" borderId="24" xfId="7" applyFont="1" applyBorder="1" applyAlignment="1" applyProtection="1">
      <alignment horizontal="center"/>
    </xf>
    <xf numFmtId="165" fontId="10" fillId="0" borderId="25" xfId="7" applyFont="1" applyBorder="1" applyAlignment="1" applyProtection="1">
      <alignment horizontal="center"/>
    </xf>
    <xf numFmtId="165" fontId="10" fillId="0" borderId="26" xfId="7" applyFont="1" applyBorder="1" applyProtection="1"/>
    <xf numFmtId="165" fontId="10" fillId="0" borderId="27" xfId="7" applyFont="1" applyBorder="1" applyProtection="1"/>
    <xf numFmtId="165" fontId="10" fillId="0" borderId="0" xfId="7" applyFont="1" applyAlignment="1" applyProtection="1">
      <alignment horizontal="center"/>
    </xf>
    <xf numFmtId="7" fontId="10" fillId="0" borderId="28" xfId="7" applyNumberFormat="1" applyFont="1" applyBorder="1" applyProtection="1"/>
    <xf numFmtId="165" fontId="10" fillId="0" borderId="27" xfId="7" applyFont="1" applyBorder="1" applyAlignment="1" applyProtection="1">
      <alignment horizontal="center"/>
    </xf>
    <xf numFmtId="165" fontId="10" fillId="0" borderId="28" xfId="7" applyFont="1" applyBorder="1" applyAlignment="1" applyProtection="1">
      <alignment horizontal="center"/>
    </xf>
    <xf numFmtId="165" fontId="10" fillId="0" borderId="29" xfId="7" applyFont="1" applyBorder="1" applyAlignment="1" applyProtection="1">
      <alignment horizontal="center"/>
    </xf>
    <xf numFmtId="165" fontId="10" fillId="0" borderId="30" xfId="7" applyFont="1" applyBorder="1" applyAlignment="1" applyProtection="1">
      <alignment horizontal="center"/>
    </xf>
    <xf numFmtId="165" fontId="10" fillId="0" borderId="31" xfId="7" applyFont="1" applyBorder="1" applyProtection="1"/>
    <xf numFmtId="165" fontId="10" fillId="0" borderId="31" xfId="7" applyFont="1" applyBorder="1" applyAlignment="1" applyProtection="1">
      <alignment horizontal="center"/>
    </xf>
    <xf numFmtId="165" fontId="10" fillId="0" borderId="32" xfId="7" applyFont="1" applyBorder="1" applyAlignment="1" applyProtection="1">
      <alignment horizontal="center"/>
    </xf>
    <xf numFmtId="7" fontId="10" fillId="0" borderId="33" xfId="7" applyNumberFormat="1" applyFont="1" applyBorder="1" applyAlignment="1" applyProtection="1">
      <alignment horizontal="center"/>
    </xf>
    <xf numFmtId="165" fontId="10" fillId="0" borderId="34" xfId="7" applyFont="1" applyBorder="1" applyAlignment="1" applyProtection="1">
      <alignment horizontal="center"/>
    </xf>
    <xf numFmtId="165" fontId="10" fillId="0" borderId="35" xfId="7" applyFont="1" applyBorder="1" applyAlignment="1" applyProtection="1">
      <alignment horizontal="center"/>
    </xf>
    <xf numFmtId="165" fontId="14" fillId="6" borderId="36" xfId="7" applyFont="1" applyFill="1" applyBorder="1" applyAlignment="1" applyProtection="1">
      <alignment horizontal="left"/>
    </xf>
    <xf numFmtId="49" fontId="14" fillId="0" borderId="27" xfId="7" applyNumberFormat="1" applyFont="1" applyBorder="1" applyProtection="1"/>
    <xf numFmtId="49" fontId="10" fillId="0" borderId="37" xfId="7" applyNumberFormat="1" applyFont="1" applyBorder="1" applyAlignment="1" applyProtection="1">
      <alignment horizontal="center"/>
    </xf>
    <xf numFmtId="165" fontId="10" fillId="0" borderId="41" xfId="7" applyFont="1" applyBorder="1" applyAlignment="1" applyProtection="1">
      <alignment horizontal="left"/>
    </xf>
    <xf numFmtId="165" fontId="10" fillId="0" borderId="42" xfId="7" applyFont="1" applyBorder="1" applyAlignment="1" applyProtection="1">
      <alignment horizontal="left"/>
    </xf>
    <xf numFmtId="167" fontId="10" fillId="0" borderId="43" xfId="7" applyNumberFormat="1" applyFont="1" applyBorder="1" applyProtection="1"/>
    <xf numFmtId="49" fontId="10" fillId="0" borderId="44" xfId="7" applyNumberFormat="1" applyFont="1" applyBorder="1" applyAlignment="1" applyProtection="1">
      <alignment horizontal="center"/>
    </xf>
    <xf numFmtId="7" fontId="11" fillId="4" borderId="46" xfId="7" applyNumberFormat="1" applyFont="1" applyFill="1" applyBorder="1" applyProtection="1"/>
    <xf numFmtId="7" fontId="10" fillId="0" borderId="47" xfId="7" applyNumberFormat="1" applyFont="1" applyBorder="1" applyProtection="1"/>
    <xf numFmtId="165" fontId="10" fillId="0" borderId="43" xfId="7" applyFont="1" applyBorder="1" applyProtection="1"/>
    <xf numFmtId="49" fontId="10" fillId="0" borderId="43" xfId="7" applyNumberFormat="1" applyFont="1" applyBorder="1" applyAlignment="1" applyProtection="1">
      <alignment horizontal="center"/>
    </xf>
    <xf numFmtId="7" fontId="10" fillId="0" borderId="48" xfId="7" applyNumberFormat="1" applyFont="1" applyBorder="1" applyAlignment="1" applyProtection="1"/>
    <xf numFmtId="7" fontId="11" fillId="3" borderId="49" xfId="7" applyNumberFormat="1" applyFont="1" applyFill="1" applyBorder="1" applyProtection="1"/>
    <xf numFmtId="7" fontId="11" fillId="4" borderId="50" xfId="7" applyNumberFormat="1" applyFont="1" applyFill="1" applyBorder="1" applyProtection="1"/>
    <xf numFmtId="44" fontId="11" fillId="4" borderId="46" xfId="2" applyFont="1" applyFill="1" applyBorder="1" applyProtection="1"/>
    <xf numFmtId="165" fontId="10" fillId="0" borderId="51" xfId="7" applyFont="1" applyBorder="1" applyAlignment="1" applyProtection="1">
      <alignment horizontal="left"/>
    </xf>
    <xf numFmtId="165" fontId="10" fillId="0" borderId="52" xfId="7" applyFont="1" applyBorder="1" applyProtection="1"/>
    <xf numFmtId="49" fontId="10" fillId="0" borderId="52" xfId="7" applyNumberFormat="1" applyFont="1" applyBorder="1" applyAlignment="1" applyProtection="1">
      <alignment horizontal="center"/>
    </xf>
    <xf numFmtId="165" fontId="10" fillId="0" borderId="5" xfId="7" applyFont="1" applyBorder="1" applyAlignment="1" applyProtection="1">
      <alignment horizontal="left"/>
    </xf>
    <xf numFmtId="165" fontId="10" fillId="0" borderId="53" xfId="7" applyFont="1" applyBorder="1" applyProtection="1"/>
    <xf numFmtId="49" fontId="10" fillId="0" borderId="53" xfId="7" applyNumberFormat="1" applyFont="1" applyBorder="1" applyAlignment="1" applyProtection="1">
      <alignment horizontal="center"/>
    </xf>
    <xf numFmtId="165" fontId="10" fillId="0" borderId="26" xfId="7" applyFont="1" applyBorder="1" applyAlignment="1" applyProtection="1">
      <alignment horizontal="left"/>
    </xf>
    <xf numFmtId="49" fontId="10" fillId="0" borderId="27" xfId="7" applyNumberFormat="1" applyFont="1" applyBorder="1" applyAlignment="1" applyProtection="1">
      <alignment horizontal="center"/>
    </xf>
    <xf numFmtId="49" fontId="10" fillId="0" borderId="0" xfId="7" applyNumberFormat="1" applyFont="1" applyAlignment="1" applyProtection="1">
      <alignment horizontal="center"/>
    </xf>
    <xf numFmtId="165" fontId="10" fillId="0" borderId="12" xfId="7" applyFont="1" applyBorder="1" applyAlignment="1" applyProtection="1">
      <alignment horizontal="left"/>
    </xf>
    <xf numFmtId="165" fontId="10" fillId="0" borderId="10" xfId="7" applyFont="1" applyBorder="1" applyProtection="1"/>
    <xf numFmtId="49" fontId="10" fillId="0" borderId="9" xfId="7" applyNumberFormat="1" applyFont="1" applyBorder="1" applyAlignment="1" applyProtection="1">
      <alignment horizontal="center"/>
    </xf>
    <xf numFmtId="7" fontId="11" fillId="3" borderId="54" xfId="7" applyNumberFormat="1" applyFont="1" applyFill="1" applyBorder="1" applyProtection="1"/>
    <xf numFmtId="7" fontId="11" fillId="4" borderId="56" xfId="7" applyNumberFormat="1" applyFont="1" applyFill="1" applyBorder="1" applyProtection="1"/>
    <xf numFmtId="165" fontId="14" fillId="6" borderId="57" xfId="7" applyFont="1" applyFill="1" applyBorder="1" applyAlignment="1" applyProtection="1">
      <alignment horizontal="left"/>
    </xf>
    <xf numFmtId="167" fontId="10" fillId="0" borderId="27" xfId="7" applyNumberFormat="1" applyFont="1" applyBorder="1" applyProtection="1"/>
    <xf numFmtId="44" fontId="11" fillId="3" borderId="55" xfId="2" applyFont="1" applyFill="1" applyBorder="1" applyProtection="1"/>
    <xf numFmtId="7" fontId="10" fillId="0" borderId="58" xfId="7" applyNumberFormat="1" applyFont="1" applyBorder="1" applyProtection="1"/>
    <xf numFmtId="44" fontId="11" fillId="0" borderId="59" xfId="2" applyFont="1" applyBorder="1" applyAlignment="1" applyProtection="1"/>
    <xf numFmtId="7" fontId="8" fillId="2" borderId="60" xfId="7" applyNumberFormat="1" applyFont="1" applyFill="1" applyBorder="1" applyProtection="1"/>
    <xf numFmtId="7" fontId="8" fillId="2" borderId="54" xfId="7" applyNumberFormat="1" applyFont="1" applyFill="1" applyBorder="1" applyProtection="1"/>
    <xf numFmtId="7" fontId="10" fillId="0" borderId="63" xfId="7" applyNumberFormat="1" applyFont="1" applyBorder="1" applyProtection="1"/>
    <xf numFmtId="49" fontId="10" fillId="0" borderId="55" xfId="7" applyNumberFormat="1" applyFont="1" applyBorder="1" applyAlignment="1" applyProtection="1">
      <alignment horizontal="center" vertical="top"/>
    </xf>
    <xf numFmtId="44" fontId="11" fillId="4" borderId="55" xfId="2" applyFont="1" applyFill="1" applyBorder="1" applyAlignment="1" applyProtection="1"/>
    <xf numFmtId="49" fontId="10" fillId="0" borderId="61" xfId="7" applyNumberFormat="1" applyFont="1" applyBorder="1" applyAlignment="1" applyProtection="1">
      <alignment horizontal="center" vertical="top"/>
    </xf>
    <xf numFmtId="7" fontId="11" fillId="0" borderId="61" xfId="7" applyNumberFormat="1" applyFont="1" applyBorder="1" applyProtection="1"/>
    <xf numFmtId="7" fontId="10" fillId="0" borderId="55" xfId="7" applyNumberFormat="1" applyFont="1" applyBorder="1" applyAlignment="1" applyProtection="1">
      <alignment vertical="top"/>
    </xf>
    <xf numFmtId="7" fontId="10" fillId="0" borderId="64" xfId="7" applyNumberFormat="1" applyFont="1" applyBorder="1" applyProtection="1"/>
    <xf numFmtId="44" fontId="11" fillId="3" borderId="49" xfId="2" applyFont="1" applyFill="1" applyBorder="1" applyProtection="1"/>
    <xf numFmtId="7" fontId="11" fillId="4" borderId="65" xfId="7" applyNumberFormat="1" applyFont="1" applyFill="1" applyBorder="1" applyProtection="1"/>
    <xf numFmtId="165" fontId="14" fillId="6" borderId="66" xfId="7" applyFont="1" applyFill="1" applyBorder="1" applyAlignment="1" applyProtection="1">
      <alignment horizontal="left"/>
    </xf>
    <xf numFmtId="165" fontId="14" fillId="0" borderId="67" xfId="7" applyFont="1" applyBorder="1" applyProtection="1"/>
    <xf numFmtId="165" fontId="8" fillId="3" borderId="69" xfId="7" applyFont="1" applyFill="1" applyBorder="1" applyProtection="1"/>
    <xf numFmtId="165" fontId="8" fillId="3" borderId="70" xfId="7" applyFont="1" applyFill="1" applyBorder="1" applyProtection="1"/>
    <xf numFmtId="44" fontId="11" fillId="4" borderId="50" xfId="2" applyFont="1" applyFill="1" applyBorder="1" applyProtection="1"/>
    <xf numFmtId="7" fontId="8" fillId="0" borderId="71" xfId="7" applyNumberFormat="1" applyFont="1" applyBorder="1" applyProtection="1"/>
    <xf numFmtId="7" fontId="8" fillId="3" borderId="72" xfId="7" applyNumberFormat="1" applyFont="1" applyFill="1" applyBorder="1" applyProtection="1"/>
    <xf numFmtId="7" fontId="8" fillId="0" borderId="73" xfId="7" applyNumberFormat="1" applyFont="1" applyBorder="1" applyProtection="1"/>
    <xf numFmtId="44" fontId="8" fillId="0" borderId="74" xfId="2" applyFont="1" applyBorder="1" applyProtection="1"/>
    <xf numFmtId="7" fontId="8" fillId="0" borderId="43" xfId="7" applyNumberFormat="1" applyFont="1" applyBorder="1" applyProtection="1"/>
    <xf numFmtId="165" fontId="10" fillId="7" borderId="41" xfId="7" applyFont="1" applyFill="1" applyBorder="1" applyAlignment="1" applyProtection="1">
      <alignment horizontal="left"/>
    </xf>
    <xf numFmtId="165" fontId="10" fillId="7" borderId="42" xfId="7" applyFont="1" applyFill="1" applyBorder="1" applyAlignment="1" applyProtection="1">
      <alignment horizontal="left"/>
    </xf>
    <xf numFmtId="165" fontId="10" fillId="7" borderId="43" xfId="7" applyFont="1" applyFill="1" applyBorder="1" applyProtection="1"/>
    <xf numFmtId="49" fontId="10" fillId="7" borderId="43" xfId="7" applyNumberFormat="1" applyFont="1" applyFill="1" applyBorder="1" applyAlignment="1" applyProtection="1">
      <alignment horizontal="center"/>
    </xf>
    <xf numFmtId="49" fontId="10" fillId="7" borderId="37" xfId="7" applyNumberFormat="1" applyFont="1" applyFill="1" applyBorder="1" applyAlignment="1" applyProtection="1">
      <alignment horizontal="center"/>
    </xf>
    <xf numFmtId="165" fontId="14" fillId="0" borderId="27" xfId="7" applyFont="1" applyBorder="1" applyProtection="1"/>
    <xf numFmtId="7" fontId="11" fillId="7" borderId="55" xfId="7" applyNumberFormat="1" applyFont="1" applyFill="1" applyBorder="1" applyProtection="1"/>
    <xf numFmtId="7" fontId="11" fillId="7" borderId="75" xfId="7" applyNumberFormat="1" applyFont="1" applyFill="1" applyBorder="1" applyProtection="1"/>
    <xf numFmtId="7" fontId="11" fillId="7" borderId="28" xfId="7" applyNumberFormat="1" applyFont="1" applyFill="1" applyBorder="1" applyProtection="1"/>
    <xf numFmtId="7" fontId="11" fillId="7" borderId="29" xfId="7" applyNumberFormat="1" applyFont="1" applyFill="1" applyBorder="1" applyProtection="1"/>
    <xf numFmtId="7" fontId="11" fillId="3" borderId="37" xfId="7" applyNumberFormat="1" applyFont="1" applyFill="1" applyBorder="1" applyProtection="1"/>
    <xf numFmtId="165" fontId="10" fillId="0" borderId="67" xfId="7" applyFont="1" applyBorder="1" applyProtection="1"/>
    <xf numFmtId="49" fontId="10" fillId="0" borderId="49" xfId="7" applyNumberFormat="1" applyFont="1" applyBorder="1" applyAlignment="1" applyProtection="1">
      <alignment horizontal="center"/>
    </xf>
    <xf numFmtId="7" fontId="11" fillId="3" borderId="78" xfId="7" applyNumberFormat="1" applyFont="1" applyFill="1" applyBorder="1" applyProtection="1"/>
    <xf numFmtId="7" fontId="11" fillId="3" borderId="61" xfId="7" applyNumberFormat="1" applyFont="1" applyFill="1" applyBorder="1" applyProtection="1"/>
    <xf numFmtId="7" fontId="11" fillId="3" borderId="0" xfId="7" applyNumberFormat="1" applyFont="1" applyFill="1" applyProtection="1"/>
    <xf numFmtId="44" fontId="11" fillId="4" borderId="56" xfId="2" applyFont="1" applyFill="1" applyBorder="1" applyProtection="1"/>
    <xf numFmtId="165" fontId="10" fillId="0" borderId="3" xfId="7" applyFont="1" applyBorder="1" applyAlignment="1" applyProtection="1">
      <alignment horizontal="left"/>
    </xf>
    <xf numFmtId="165" fontId="10" fillId="0" borderId="79" xfId="7" applyFont="1" applyBorder="1" applyProtection="1"/>
    <xf numFmtId="49" fontId="10" fillId="0" borderId="79" xfId="7" applyNumberFormat="1" applyFont="1" applyBorder="1" applyAlignment="1" applyProtection="1">
      <alignment horizontal="center"/>
    </xf>
    <xf numFmtId="7" fontId="11" fillId="3" borderId="80" xfId="7" applyNumberFormat="1" applyFont="1" applyFill="1" applyBorder="1" applyProtection="1"/>
    <xf numFmtId="7" fontId="11" fillId="3" borderId="11" xfId="7" applyNumberFormat="1" applyFont="1" applyFill="1" applyBorder="1" applyProtection="1"/>
    <xf numFmtId="165" fontId="10" fillId="0" borderId="14" xfId="7" applyFont="1" applyBorder="1" applyAlignment="1" applyProtection="1">
      <alignment horizontal="left"/>
    </xf>
    <xf numFmtId="165" fontId="10" fillId="0" borderId="81" xfId="7" applyFont="1" applyBorder="1" applyProtection="1"/>
    <xf numFmtId="49" fontId="10" fillId="0" borderId="81" xfId="7" applyNumberFormat="1" applyFont="1" applyBorder="1" applyAlignment="1" applyProtection="1">
      <alignment horizontal="center"/>
    </xf>
    <xf numFmtId="49" fontId="10" fillId="0" borderId="82" xfId="7" applyNumberFormat="1" applyFont="1" applyBorder="1" applyAlignment="1" applyProtection="1">
      <alignment horizontal="center"/>
    </xf>
    <xf numFmtId="7" fontId="11" fillId="3" borderId="83" xfId="7" applyNumberFormat="1" applyFont="1" applyFill="1" applyBorder="1" applyProtection="1"/>
    <xf numFmtId="7" fontId="11" fillId="3" borderId="84" xfId="7" applyNumberFormat="1" applyFont="1" applyFill="1" applyBorder="1" applyProtection="1"/>
    <xf numFmtId="44" fontId="11" fillId="4" borderId="85" xfId="2" applyFont="1" applyFill="1" applyBorder="1" applyProtection="1"/>
    <xf numFmtId="7" fontId="11" fillId="4" borderId="85" xfId="7" applyNumberFormat="1" applyFont="1" applyFill="1" applyBorder="1" applyProtection="1"/>
    <xf numFmtId="7" fontId="10" fillId="0" borderId="303" xfId="7" applyNumberFormat="1" applyFont="1" applyBorder="1" applyProtection="1"/>
    <xf numFmtId="165" fontId="8" fillId="0" borderId="0" xfId="0" applyFont="1" applyProtection="1">
      <protection locked="0"/>
    </xf>
    <xf numFmtId="165" fontId="10" fillId="0" borderId="0" xfId="0" applyFont="1" applyProtection="1">
      <protection locked="0"/>
    </xf>
    <xf numFmtId="3" fontId="8" fillId="0" borderId="0" xfId="0" applyNumberFormat="1" applyFont="1" applyProtection="1">
      <protection locked="0"/>
    </xf>
    <xf numFmtId="0" fontId="23" fillId="0" borderId="0" xfId="10" applyFont="1" applyProtection="1"/>
    <xf numFmtId="165" fontId="8" fillId="0" borderId="0" xfId="0" applyFont="1" applyProtection="1"/>
    <xf numFmtId="0" fontId="24" fillId="0" borderId="0" xfId="11" applyFont="1" applyProtection="1"/>
    <xf numFmtId="0" fontId="23" fillId="0" borderId="0" xfId="6" applyFont="1" applyProtection="1"/>
    <xf numFmtId="0" fontId="23" fillId="0" borderId="0" xfId="5" applyFont="1" applyProtection="1">
      <alignment horizontal="right"/>
    </xf>
    <xf numFmtId="0" fontId="8" fillId="0" borderId="0" xfId="12" applyFont="1" applyAlignment="1" applyProtection="1">
      <alignment horizontal="right"/>
    </xf>
    <xf numFmtId="165" fontId="8" fillId="0" borderId="0" xfId="0" applyFont="1" applyAlignment="1" applyProtection="1">
      <alignment horizontal="right"/>
    </xf>
    <xf numFmtId="166" fontId="11" fillId="0" borderId="0" xfId="7" applyNumberFormat="1" applyFont="1" applyProtection="1"/>
    <xf numFmtId="165" fontId="8" fillId="0" borderId="13" xfId="0" applyFont="1" applyBorder="1" applyProtection="1"/>
    <xf numFmtId="165" fontId="12" fillId="0" borderId="0" xfId="0" applyFont="1" applyAlignment="1" applyProtection="1">
      <alignment horizontal="centerContinuous"/>
    </xf>
    <xf numFmtId="165" fontId="12" fillId="0" borderId="0" xfId="0" applyFont="1" applyAlignment="1" applyProtection="1">
      <alignment horizontal="center"/>
    </xf>
    <xf numFmtId="165" fontId="25" fillId="0" borderId="210" xfId="0" applyFont="1" applyBorder="1" applyAlignment="1" applyProtection="1">
      <alignment horizontal="left"/>
    </xf>
    <xf numFmtId="165" fontId="25" fillId="0" borderId="209" xfId="0" applyFont="1" applyBorder="1" applyAlignment="1" applyProtection="1">
      <alignment horizontal="left"/>
    </xf>
    <xf numFmtId="165" fontId="25" fillId="0" borderId="222" xfId="0" applyFont="1" applyBorder="1" applyAlignment="1" applyProtection="1">
      <alignment horizontal="left"/>
    </xf>
    <xf numFmtId="165" fontId="25" fillId="0" borderId="0" xfId="0" applyFont="1" applyAlignment="1" applyProtection="1">
      <alignment horizontal="left"/>
    </xf>
    <xf numFmtId="165" fontId="21" fillId="0" borderId="0" xfId="0" applyFont="1" applyAlignment="1" applyProtection="1">
      <alignment horizontal="left"/>
    </xf>
    <xf numFmtId="165" fontId="26" fillId="0" borderId="0" xfId="0" applyFont="1" applyAlignment="1" applyProtection="1">
      <alignment horizontal="center"/>
    </xf>
    <xf numFmtId="165" fontId="8" fillId="0" borderId="0" xfId="0" applyFont="1" applyAlignment="1" applyProtection="1">
      <alignment horizontal="center" wrapText="1"/>
    </xf>
    <xf numFmtId="165" fontId="12" fillId="0" borderId="0" xfId="0" quotePrefix="1" applyFont="1" applyAlignment="1" applyProtection="1">
      <alignment horizontal="center"/>
    </xf>
    <xf numFmtId="165" fontId="12" fillId="0" borderId="8" xfId="0" applyFont="1" applyBorder="1" applyAlignment="1" applyProtection="1">
      <alignment horizontal="center"/>
    </xf>
    <xf numFmtId="165" fontId="12" fillId="0" borderId="86" xfId="0" applyFont="1" applyBorder="1" applyAlignment="1" applyProtection="1">
      <alignment horizontal="center"/>
    </xf>
    <xf numFmtId="165" fontId="8" fillId="0" borderId="93" xfId="0" applyFont="1" applyBorder="1" applyAlignment="1" applyProtection="1">
      <alignment horizontal="center" wrapText="1"/>
    </xf>
    <xf numFmtId="165" fontId="8" fillId="0" borderId="94" xfId="0" applyFont="1" applyBorder="1" applyAlignment="1" applyProtection="1">
      <alignment horizontal="center"/>
    </xf>
    <xf numFmtId="165" fontId="8" fillId="0" borderId="95" xfId="0" applyFont="1" applyBorder="1" applyAlignment="1" applyProtection="1">
      <alignment horizontal="center" wrapText="1"/>
    </xf>
    <xf numFmtId="165" fontId="8" fillId="0" borderId="12" xfId="0" applyFont="1" applyBorder="1" applyAlignment="1" applyProtection="1">
      <alignment horizontal="left"/>
    </xf>
    <xf numFmtId="168" fontId="11" fillId="4" borderId="98" xfId="1" quotePrefix="1" applyNumberFormat="1" applyFont="1" applyFill="1" applyBorder="1" applyProtection="1"/>
    <xf numFmtId="44" fontId="11" fillId="4" borderId="99" xfId="2" quotePrefix="1" applyFont="1" applyFill="1" applyBorder="1" applyProtection="1"/>
    <xf numFmtId="168" fontId="11" fillId="4" borderId="98" xfId="2" quotePrefix="1" applyNumberFormat="1" applyFont="1" applyFill="1" applyBorder="1" applyProtection="1"/>
    <xf numFmtId="44" fontId="11" fillId="4" borderId="97" xfId="2" quotePrefix="1" applyFont="1" applyFill="1" applyBorder="1" applyProtection="1"/>
    <xf numFmtId="168" fontId="11" fillId="4" borderId="100" xfId="2" quotePrefix="1" applyNumberFormat="1" applyFont="1" applyFill="1" applyBorder="1" applyProtection="1"/>
    <xf numFmtId="169" fontId="8" fillId="0" borderId="102" xfId="1" applyNumberFormat="1" applyFont="1" applyFill="1" applyBorder="1" applyProtection="1"/>
    <xf numFmtId="168" fontId="11" fillId="4" borderId="104" xfId="1" quotePrefix="1" applyNumberFormat="1" applyFont="1" applyFill="1" applyBorder="1" applyProtection="1"/>
    <xf numFmtId="44" fontId="11" fillId="4" borderId="105" xfId="2" quotePrefix="1" applyFont="1" applyFill="1" applyBorder="1" applyProtection="1"/>
    <xf numFmtId="168" fontId="11" fillId="4" borderId="104" xfId="2" quotePrefix="1" applyNumberFormat="1" applyFont="1" applyFill="1" applyBorder="1" applyProtection="1"/>
    <xf numFmtId="44" fontId="11" fillId="4" borderId="103" xfId="2" quotePrefix="1" applyFont="1" applyFill="1" applyBorder="1" applyProtection="1"/>
    <xf numFmtId="168" fontId="11" fillId="4" borderId="106" xfId="2" quotePrefix="1" applyNumberFormat="1" applyFont="1" applyFill="1" applyBorder="1" applyProtection="1"/>
    <xf numFmtId="168" fontId="11" fillId="0" borderId="104" xfId="1" quotePrefix="1" applyNumberFormat="1" applyFont="1" applyFill="1" applyBorder="1" applyProtection="1"/>
    <xf numFmtId="44" fontId="11" fillId="0" borderId="105" xfId="2" quotePrefix="1" applyFont="1" applyFill="1" applyBorder="1" applyProtection="1"/>
    <xf numFmtId="168" fontId="11" fillId="0" borderId="104" xfId="2" quotePrefix="1" applyNumberFormat="1" applyFont="1" applyFill="1" applyBorder="1" applyProtection="1"/>
    <xf numFmtId="44" fontId="11" fillId="0" borderId="103" xfId="2" quotePrefix="1" applyFont="1" applyFill="1" applyBorder="1" applyProtection="1"/>
    <xf numFmtId="168" fontId="11" fillId="4" borderId="111" xfId="1" quotePrefix="1" applyNumberFormat="1" applyFont="1" applyFill="1" applyBorder="1" applyProtection="1"/>
    <xf numFmtId="44" fontId="11" fillId="4" borderId="223" xfId="2" quotePrefix="1" applyFont="1" applyFill="1" applyBorder="1" applyProtection="1"/>
    <xf numFmtId="168" fontId="11" fillId="4" borderId="112" xfId="2" quotePrefix="1" applyNumberFormat="1" applyFont="1" applyFill="1" applyBorder="1" applyProtection="1"/>
    <xf numFmtId="44" fontId="11" fillId="4" borderId="113" xfId="2" quotePrefix="1" applyFont="1" applyFill="1" applyBorder="1" applyProtection="1"/>
    <xf numFmtId="168" fontId="11" fillId="4" borderId="114" xfId="2" quotePrefix="1" applyNumberFormat="1" applyFont="1" applyFill="1" applyBorder="1" applyProtection="1"/>
    <xf numFmtId="44" fontId="11" fillId="4" borderId="361" xfId="2" quotePrefix="1" applyFont="1" applyFill="1" applyBorder="1" applyProtection="1"/>
    <xf numFmtId="169" fontId="8" fillId="0" borderId="68" xfId="1" applyNumberFormat="1" applyFont="1" applyFill="1" applyBorder="1" applyProtection="1"/>
    <xf numFmtId="165" fontId="8" fillId="0" borderId="9" xfId="0" applyFont="1" applyBorder="1" applyProtection="1"/>
    <xf numFmtId="165" fontId="10" fillId="8" borderId="45" xfId="0" applyFont="1" applyFill="1" applyBorder="1" applyProtection="1"/>
    <xf numFmtId="165" fontId="8" fillId="8" borderId="45" xfId="0" applyFont="1" applyFill="1" applyBorder="1" applyProtection="1"/>
    <xf numFmtId="168" fontId="11" fillId="0" borderId="115" xfId="2" quotePrefix="1" applyNumberFormat="1" applyFont="1" applyFill="1" applyBorder="1" applyProtection="1"/>
    <xf numFmtId="168" fontId="11" fillId="0" borderId="358" xfId="2" quotePrefix="1" applyNumberFormat="1" applyFont="1" applyFill="1" applyBorder="1" applyProtection="1"/>
    <xf numFmtId="164" fontId="11" fillId="0" borderId="115" xfId="2" quotePrefix="1" applyNumberFormat="1" applyFont="1" applyFill="1" applyBorder="1" applyProtection="1"/>
    <xf numFmtId="44" fontId="11" fillId="0" borderId="115" xfId="2" quotePrefix="1" applyFont="1" applyFill="1" applyBorder="1" applyProtection="1"/>
    <xf numFmtId="168" fontId="11" fillId="0" borderId="359" xfId="2" quotePrefix="1" applyNumberFormat="1" applyFont="1" applyFill="1" applyBorder="1" applyProtection="1"/>
    <xf numFmtId="168" fontId="11" fillId="0" borderId="363" xfId="2" quotePrefix="1" applyNumberFormat="1" applyFont="1" applyFill="1" applyBorder="1" applyProtection="1"/>
    <xf numFmtId="44" fontId="11" fillId="0" borderId="360" xfId="2" quotePrefix="1" applyFont="1" applyFill="1" applyBorder="1" applyProtection="1"/>
    <xf numFmtId="168" fontId="11" fillId="0" borderId="362" xfId="2" quotePrefix="1" applyNumberFormat="1" applyFont="1" applyFill="1" applyBorder="1" applyProtection="1"/>
    <xf numFmtId="165" fontId="10" fillId="9" borderId="0" xfId="13" applyFont="1" applyFill="1" applyProtection="1">
      <protection locked="0"/>
    </xf>
    <xf numFmtId="165" fontId="0" fillId="9" borderId="0" xfId="0" applyFill="1" applyProtection="1">
      <protection locked="0"/>
    </xf>
    <xf numFmtId="37" fontId="10" fillId="9" borderId="0" xfId="13" applyNumberFormat="1" applyFont="1" applyFill="1" applyProtection="1">
      <protection locked="0"/>
    </xf>
    <xf numFmtId="165" fontId="39" fillId="9" borderId="0" xfId="0" applyFont="1" applyFill="1" applyProtection="1">
      <protection locked="0"/>
    </xf>
    <xf numFmtId="165" fontId="38" fillId="9" borderId="0" xfId="13" applyFont="1" applyFill="1" applyAlignment="1" applyProtection="1">
      <alignment horizontal="right"/>
      <protection locked="0"/>
    </xf>
    <xf numFmtId="165" fontId="27" fillId="9" borderId="0" xfId="0" applyFont="1" applyFill="1" applyProtection="1">
      <protection locked="0"/>
    </xf>
    <xf numFmtId="168" fontId="10" fillId="9" borderId="0" xfId="1" applyNumberFormat="1" applyFont="1" applyFill="1" applyProtection="1">
      <protection locked="0"/>
    </xf>
    <xf numFmtId="165" fontId="14" fillId="9" borderId="154" xfId="13" applyFont="1" applyFill="1" applyBorder="1" applyAlignment="1" applyProtection="1">
      <alignment horizontal="center"/>
      <protection locked="0"/>
    </xf>
    <xf numFmtId="165" fontId="14" fillId="9" borderId="0" xfId="13" applyFont="1" applyFill="1" applyAlignment="1" applyProtection="1">
      <alignment horizontal="center"/>
      <protection locked="0"/>
    </xf>
    <xf numFmtId="165" fontId="10" fillId="9" borderId="154" xfId="13" applyFont="1" applyFill="1" applyBorder="1" applyProtection="1">
      <protection locked="0"/>
    </xf>
    <xf numFmtId="37" fontId="10" fillId="9" borderId="154" xfId="13" applyNumberFormat="1" applyFont="1" applyFill="1" applyBorder="1" applyProtection="1">
      <protection locked="0"/>
    </xf>
    <xf numFmtId="37" fontId="10" fillId="0" borderId="154" xfId="13" applyNumberFormat="1" applyFont="1" applyBorder="1" applyProtection="1">
      <protection locked="0"/>
    </xf>
    <xf numFmtId="165" fontId="14" fillId="9" borderId="0" xfId="13" applyFont="1" applyFill="1" applyAlignment="1" applyProtection="1">
      <alignment horizontal="left"/>
    </xf>
    <xf numFmtId="165" fontId="10" fillId="9" borderId="0" xfId="13" applyFont="1" applyFill="1" applyProtection="1"/>
    <xf numFmtId="165" fontId="14" fillId="9" borderId="0" xfId="13" applyFont="1" applyFill="1" applyProtection="1"/>
    <xf numFmtId="165" fontId="14" fillId="9" borderId="0" xfId="13" quotePrefix="1" applyFont="1" applyFill="1" applyAlignment="1" applyProtection="1">
      <alignment horizontal="left"/>
    </xf>
    <xf numFmtId="165" fontId="10" fillId="9" borderId="0" xfId="13" quotePrefix="1" applyFont="1" applyFill="1" applyAlignment="1" applyProtection="1">
      <alignment horizontal="right"/>
    </xf>
    <xf numFmtId="165" fontId="10" fillId="9" borderId="37" xfId="13" applyFont="1" applyFill="1" applyBorder="1" applyAlignment="1" applyProtection="1">
      <alignment horizontal="left"/>
    </xf>
    <xf numFmtId="165" fontId="10" fillId="9" borderId="37" xfId="13" applyFont="1" applyFill="1" applyBorder="1" applyProtection="1"/>
    <xf numFmtId="165" fontId="10" fillId="9" borderId="0" xfId="13" applyFont="1" applyFill="1" applyAlignment="1" applyProtection="1">
      <alignment horizontal="right"/>
    </xf>
    <xf numFmtId="165" fontId="10" fillId="9" borderId="37" xfId="13" applyFont="1" applyFill="1" applyBorder="1" applyAlignment="1" applyProtection="1">
      <alignment horizontal="center"/>
    </xf>
    <xf numFmtId="165" fontId="10" fillId="9" borderId="0" xfId="13" quotePrefix="1" applyFont="1" applyFill="1" applyAlignment="1" applyProtection="1">
      <alignment horizontal="left"/>
    </xf>
    <xf numFmtId="165" fontId="10" fillId="9" borderId="0" xfId="13" applyFont="1" applyFill="1" applyAlignment="1" applyProtection="1">
      <alignment horizontal="center"/>
    </xf>
    <xf numFmtId="166" fontId="10" fillId="9" borderId="13" xfId="13" applyNumberFormat="1" applyFont="1" applyFill="1" applyBorder="1" applyAlignment="1" applyProtection="1">
      <alignment horizontal="left"/>
    </xf>
    <xf numFmtId="165" fontId="10" fillId="9" borderId="13" xfId="13" applyFont="1" applyFill="1" applyBorder="1" applyProtection="1"/>
    <xf numFmtId="165" fontId="10" fillId="9" borderId="128" xfId="13" applyFont="1" applyFill="1" applyBorder="1" applyProtection="1"/>
    <xf numFmtId="165" fontId="10" fillId="9" borderId="39" xfId="13" applyFont="1" applyFill="1" applyBorder="1" applyProtection="1"/>
    <xf numFmtId="165" fontId="10" fillId="9" borderId="129" xfId="13" applyFont="1" applyFill="1" applyBorder="1" applyProtection="1"/>
    <xf numFmtId="165" fontId="14" fillId="9" borderId="130" xfId="13" applyFont="1" applyFill="1" applyBorder="1" applyAlignment="1" applyProtection="1">
      <alignment horizontal="center"/>
    </xf>
    <xf numFmtId="165" fontId="14" fillId="9" borderId="131" xfId="13" applyFont="1" applyFill="1" applyBorder="1" applyAlignment="1" applyProtection="1">
      <alignment horizontal="center"/>
    </xf>
    <xf numFmtId="165" fontId="10" fillId="9" borderId="76" xfId="13" applyFont="1" applyFill="1" applyBorder="1" applyProtection="1"/>
    <xf numFmtId="165" fontId="10" fillId="9" borderId="27" xfId="13" applyFont="1" applyFill="1" applyBorder="1" applyProtection="1"/>
    <xf numFmtId="165" fontId="14" fillId="9" borderId="27" xfId="13" applyFont="1" applyFill="1" applyBorder="1" applyAlignment="1" applyProtection="1">
      <alignment horizontal="center"/>
    </xf>
    <xf numFmtId="165" fontId="14" fillId="9" borderId="27" xfId="13" applyFont="1" applyFill="1" applyBorder="1" applyProtection="1"/>
    <xf numFmtId="165" fontId="14" fillId="9" borderId="76" xfId="13" applyFont="1" applyFill="1" applyBorder="1" applyProtection="1"/>
    <xf numFmtId="165" fontId="34" fillId="9" borderId="0" xfId="13" applyFont="1" applyFill="1" applyAlignment="1" applyProtection="1">
      <alignment horizontal="centerContinuous"/>
    </xf>
    <xf numFmtId="165" fontId="14" fillId="9" borderId="0" xfId="13" applyFont="1" applyFill="1" applyAlignment="1" applyProtection="1">
      <alignment horizontal="centerContinuous"/>
    </xf>
    <xf numFmtId="165" fontId="10" fillId="9" borderId="0" xfId="13" applyFont="1" applyFill="1" applyAlignment="1" applyProtection="1">
      <alignment horizontal="centerContinuous"/>
    </xf>
    <xf numFmtId="165" fontId="10" fillId="9" borderId="27" xfId="13" applyFont="1" applyFill="1" applyBorder="1" applyAlignment="1" applyProtection="1">
      <alignment horizontal="centerContinuous"/>
    </xf>
    <xf numFmtId="165" fontId="10" fillId="9" borderId="132" xfId="13" applyFont="1" applyFill="1" applyBorder="1" applyProtection="1"/>
    <xf numFmtId="165" fontId="10" fillId="9" borderId="32" xfId="13" applyFont="1" applyFill="1" applyBorder="1" applyProtection="1"/>
    <xf numFmtId="165" fontId="10" fillId="9" borderId="31" xfId="13" applyFont="1" applyFill="1" applyBorder="1" applyProtection="1"/>
    <xf numFmtId="165" fontId="14" fillId="9" borderId="31" xfId="13" applyFont="1" applyFill="1" applyBorder="1" applyAlignment="1" applyProtection="1">
      <alignment horizontal="center"/>
    </xf>
    <xf numFmtId="165" fontId="35" fillId="9" borderId="0" xfId="13" applyFont="1" applyFill="1" applyAlignment="1" applyProtection="1">
      <alignment horizontal="left"/>
    </xf>
    <xf numFmtId="165" fontId="36" fillId="9" borderId="0" xfId="13" applyFont="1" applyFill="1" applyProtection="1"/>
    <xf numFmtId="37" fontId="10" fillId="9" borderId="0" xfId="13" applyNumberFormat="1" applyFont="1" applyFill="1" applyProtection="1"/>
    <xf numFmtId="165" fontId="10" fillId="9" borderId="133" xfId="13" applyFont="1" applyFill="1" applyBorder="1" applyProtection="1"/>
    <xf numFmtId="165" fontId="37" fillId="9" borderId="134" xfId="13" applyFont="1" applyFill="1" applyBorder="1" applyAlignment="1" applyProtection="1">
      <alignment horizontal="left"/>
    </xf>
    <xf numFmtId="165" fontId="37" fillId="9" borderId="134" xfId="13" applyFont="1" applyFill="1" applyBorder="1" applyProtection="1"/>
    <xf numFmtId="42" fontId="10" fillId="9" borderId="136" xfId="2" applyNumberFormat="1" applyFont="1" applyFill="1" applyBorder="1" applyProtection="1"/>
    <xf numFmtId="165" fontId="10" fillId="9" borderId="137" xfId="13" applyFont="1" applyFill="1" applyBorder="1" applyProtection="1"/>
    <xf numFmtId="165" fontId="37" fillId="9" borderId="37" xfId="13" applyFont="1" applyFill="1" applyBorder="1" applyAlignment="1" applyProtection="1">
      <alignment horizontal="left"/>
    </xf>
    <xf numFmtId="165" fontId="37" fillId="9" borderId="37" xfId="13" applyFont="1" applyFill="1" applyBorder="1" applyProtection="1"/>
    <xf numFmtId="42" fontId="10" fillId="9" borderId="139" xfId="2" applyNumberFormat="1" applyFont="1" applyFill="1" applyBorder="1" applyProtection="1"/>
    <xf numFmtId="165" fontId="10" fillId="9" borderId="140" xfId="13" applyFont="1" applyFill="1" applyBorder="1" applyProtection="1"/>
    <xf numFmtId="165" fontId="37" fillId="9" borderId="141" xfId="13" applyFont="1" applyFill="1" applyBorder="1" applyProtection="1"/>
    <xf numFmtId="165" fontId="37" fillId="9" borderId="142" xfId="13" applyFont="1" applyFill="1" applyBorder="1" applyProtection="1"/>
    <xf numFmtId="42" fontId="10" fillId="9" borderId="144" xfId="2" applyNumberFormat="1" applyFont="1" applyFill="1" applyBorder="1" applyProtection="1"/>
    <xf numFmtId="42" fontId="10" fillId="9" borderId="0" xfId="2" applyNumberFormat="1" applyFont="1" applyFill="1" applyProtection="1"/>
    <xf numFmtId="165" fontId="10" fillId="9" borderId="134" xfId="13" applyFont="1" applyFill="1" applyBorder="1" applyProtection="1"/>
    <xf numFmtId="165" fontId="10" fillId="9" borderId="145" xfId="13" applyFont="1" applyFill="1" applyBorder="1" applyProtection="1"/>
    <xf numFmtId="42" fontId="10" fillId="9" borderId="147" xfId="2" applyNumberFormat="1" applyFont="1" applyFill="1" applyBorder="1" applyProtection="1"/>
    <xf numFmtId="165" fontId="10" fillId="9" borderId="148" xfId="13" applyFont="1" applyFill="1" applyBorder="1" applyProtection="1"/>
    <xf numFmtId="165" fontId="29" fillId="9" borderId="37" xfId="13" applyFont="1" applyFill="1" applyBorder="1" applyAlignment="1" applyProtection="1">
      <alignment horizontal="left"/>
    </xf>
    <xf numFmtId="165" fontId="37" fillId="9" borderId="141" xfId="13" applyFont="1" applyFill="1" applyBorder="1" applyAlignment="1" applyProtection="1">
      <alignment horizontal="left"/>
    </xf>
    <xf numFmtId="165" fontId="10" fillId="9" borderId="141" xfId="13" applyFont="1" applyFill="1" applyBorder="1" applyProtection="1"/>
    <xf numFmtId="165" fontId="10" fillId="9" borderId="142" xfId="13" applyFont="1" applyFill="1" applyBorder="1" applyProtection="1"/>
    <xf numFmtId="42" fontId="10" fillId="9" borderId="149" xfId="2" applyNumberFormat="1" applyFont="1" applyFill="1" applyBorder="1" applyProtection="1"/>
    <xf numFmtId="165" fontId="38" fillId="9" borderId="0" xfId="13" applyFont="1" applyFill="1" applyProtection="1"/>
    <xf numFmtId="165" fontId="37" fillId="9" borderId="150" xfId="13" applyFont="1" applyFill="1" applyBorder="1" applyAlignment="1" applyProtection="1">
      <alignment horizontal="left"/>
    </xf>
    <xf numFmtId="42" fontId="10" fillId="9" borderId="145" xfId="2" applyNumberFormat="1" applyFont="1" applyFill="1" applyBorder="1" applyProtection="1"/>
    <xf numFmtId="165" fontId="29" fillId="9" borderId="0" xfId="13" applyFont="1" applyFill="1" applyAlignment="1" applyProtection="1">
      <alignment horizontal="left"/>
    </xf>
    <xf numFmtId="42" fontId="10" fillId="9" borderId="27" xfId="2" applyNumberFormat="1" applyFont="1" applyFill="1" applyBorder="1" applyProtection="1"/>
    <xf numFmtId="42" fontId="10" fillId="9" borderId="151" xfId="2" applyNumberFormat="1" applyFont="1" applyFill="1" applyBorder="1" applyProtection="1"/>
    <xf numFmtId="165" fontId="29" fillId="9" borderId="152" xfId="13" applyFont="1" applyFill="1" applyBorder="1" applyAlignment="1" applyProtection="1">
      <alignment horizontal="left"/>
    </xf>
    <xf numFmtId="165" fontId="10" fillId="9" borderId="152" xfId="13" applyFont="1" applyFill="1" applyBorder="1" applyProtection="1"/>
    <xf numFmtId="165" fontId="10" fillId="9" borderId="67" xfId="13" applyFont="1" applyFill="1" applyBorder="1" applyProtection="1"/>
    <xf numFmtId="42" fontId="10" fillId="9" borderId="67" xfId="2" applyNumberFormat="1" applyFont="1" applyFill="1" applyBorder="1" applyProtection="1"/>
    <xf numFmtId="165" fontId="10" fillId="9" borderId="43" xfId="13" applyFont="1" applyFill="1" applyBorder="1" applyProtection="1"/>
    <xf numFmtId="42" fontId="10" fillId="9" borderId="54" xfId="2" applyNumberFormat="1" applyFont="1" applyFill="1" applyBorder="1" applyProtection="1"/>
    <xf numFmtId="42" fontId="10" fillId="9" borderId="143" xfId="2" applyNumberFormat="1" applyFont="1" applyFill="1" applyBorder="1" applyProtection="1"/>
    <xf numFmtId="165" fontId="38" fillId="9" borderId="0" xfId="13" applyFont="1" applyFill="1" applyAlignment="1" applyProtection="1">
      <alignment horizontal="right"/>
    </xf>
    <xf numFmtId="37" fontId="36" fillId="9" borderId="0" xfId="13" applyNumberFormat="1" applyFont="1" applyFill="1" applyAlignment="1" applyProtection="1">
      <alignment horizontal="right"/>
    </xf>
    <xf numFmtId="42" fontId="10" fillId="9" borderId="0" xfId="13" applyNumberFormat="1" applyFont="1" applyFill="1" applyProtection="1"/>
    <xf numFmtId="165" fontId="27" fillId="9" borderId="0" xfId="0" applyFont="1" applyFill="1" applyProtection="1"/>
    <xf numFmtId="165" fontId="0" fillId="9" borderId="0" xfId="0" applyFill="1" applyProtection="1"/>
    <xf numFmtId="165" fontId="14" fillId="9" borderId="153" xfId="13" applyFont="1" applyFill="1" applyBorder="1" applyAlignment="1" applyProtection="1">
      <alignment horizontal="center"/>
    </xf>
    <xf numFmtId="165" fontId="14" fillId="9" borderId="29" xfId="13" applyFont="1" applyFill="1" applyBorder="1" applyAlignment="1" applyProtection="1">
      <alignment horizontal="center"/>
    </xf>
    <xf numFmtId="165" fontId="10" fillId="9" borderId="35" xfId="13" applyFont="1" applyFill="1" applyBorder="1" applyProtection="1"/>
    <xf numFmtId="165" fontId="10" fillId="9" borderId="155" xfId="13" applyFont="1" applyFill="1" applyBorder="1" applyProtection="1"/>
    <xf numFmtId="37" fontId="10" fillId="9" borderId="29" xfId="13" applyNumberFormat="1" applyFont="1" applyFill="1" applyBorder="1" applyProtection="1"/>
    <xf numFmtId="165" fontId="10" fillId="9" borderId="156" xfId="13" applyFont="1" applyFill="1" applyBorder="1" applyProtection="1"/>
    <xf numFmtId="165" fontId="41" fillId="9" borderId="157" xfId="13" applyFont="1" applyFill="1" applyBorder="1" applyAlignment="1" applyProtection="1">
      <alignment horizontal="left"/>
    </xf>
    <xf numFmtId="165" fontId="37" fillId="9" borderId="157" xfId="13" applyFont="1" applyFill="1" applyBorder="1" applyProtection="1"/>
    <xf numFmtId="37" fontId="8" fillId="0" borderId="158" xfId="13" applyNumberFormat="1" applyFont="1" applyBorder="1" applyProtection="1"/>
    <xf numFmtId="37" fontId="8" fillId="3" borderId="159" xfId="13" applyNumberFormat="1" applyFont="1" applyFill="1" applyBorder="1" applyProtection="1"/>
    <xf numFmtId="165" fontId="0" fillId="0" borderId="0" xfId="0"/>
    <xf numFmtId="169" fontId="21" fillId="0" borderId="0" xfId="25" applyNumberFormat="1" applyFont="1"/>
    <xf numFmtId="0" fontId="8" fillId="0" borderId="0" xfId="25" applyFont="1"/>
    <xf numFmtId="169" fontId="8" fillId="0" borderId="0" xfId="25" applyNumberFormat="1" applyFont="1"/>
    <xf numFmtId="169" fontId="8" fillId="1" borderId="279" xfId="25" applyNumberFormat="1" applyFont="1" applyFill="1" applyBorder="1"/>
    <xf numFmtId="169" fontId="8" fillId="1" borderId="12" xfId="25" applyNumberFormat="1" applyFont="1" applyFill="1" applyBorder="1"/>
    <xf numFmtId="169" fontId="8" fillId="0" borderId="13" xfId="25" applyNumberFormat="1" applyFont="1" applyBorder="1"/>
    <xf numFmtId="0" fontId="65" fillId="0" borderId="20" xfId="9" applyFont="1"/>
    <xf numFmtId="0" fontId="65" fillId="0" borderId="20" xfId="8" quotePrefix="1" applyFont="1">
      <alignment horizontal="right"/>
    </xf>
    <xf numFmtId="0" fontId="65" fillId="0" borderId="0" xfId="10" applyFont="1"/>
    <xf numFmtId="0" fontId="66" fillId="0" borderId="0" xfId="11" quotePrefix="1" applyFont="1" applyAlignment="1">
      <alignment horizontal="left"/>
    </xf>
    <xf numFmtId="0" fontId="65" fillId="0" borderId="0" xfId="6" applyFont="1"/>
    <xf numFmtId="169" fontId="9" fillId="0" borderId="0" xfId="25" applyNumberFormat="1" applyFont="1"/>
    <xf numFmtId="0" fontId="65" fillId="0" borderId="0" xfId="5" applyFont="1">
      <alignment horizontal="right"/>
    </xf>
    <xf numFmtId="169" fontId="21" fillId="0" borderId="0" xfId="25" applyNumberFormat="1" applyFont="1" applyAlignment="1">
      <alignment horizontal="center"/>
    </xf>
    <xf numFmtId="0" fontId="12" fillId="0" borderId="245" xfId="25" applyFont="1" applyBorder="1" applyAlignment="1">
      <alignment horizontal="center"/>
    </xf>
    <xf numFmtId="1" fontId="12" fillId="0" borderId="0" xfId="25" applyNumberFormat="1" applyFont="1"/>
    <xf numFmtId="0" fontId="0" fillId="0" borderId="45" xfId="0" applyNumberFormat="1" applyBorder="1"/>
    <xf numFmtId="0" fontId="8" fillId="9" borderId="277" xfId="12" applyFont="1" applyFill="1" applyBorder="1" applyAlignment="1">
      <alignment horizontal="left"/>
    </xf>
    <xf numFmtId="169" fontId="8" fillId="9" borderId="279" xfId="12" applyNumberFormat="1" applyFont="1" applyFill="1" applyBorder="1" applyAlignment="1">
      <alignment horizontal="left"/>
    </xf>
    <xf numFmtId="49" fontId="43" fillId="0" borderId="9" xfId="25" applyNumberFormat="1" applyFont="1" applyBorder="1" applyAlignment="1">
      <alignment horizontal="center"/>
    </xf>
    <xf numFmtId="49" fontId="43" fillId="0" borderId="245" xfId="25" applyNumberFormat="1" applyFont="1" applyBorder="1" applyAlignment="1">
      <alignment horizontal="center"/>
    </xf>
    <xf numFmtId="169" fontId="43" fillId="0" borderId="9" xfId="25" applyNumberFormat="1" applyFont="1" applyBorder="1" applyAlignment="1">
      <alignment horizontal="center" wrapText="1"/>
    </xf>
    <xf numFmtId="169" fontId="43" fillId="0" borderId="190" xfId="25" applyNumberFormat="1" applyFont="1" applyBorder="1" applyAlignment="1">
      <alignment horizontal="centerContinuous"/>
    </xf>
    <xf numFmtId="169" fontId="43" fillId="0" borderId="0" xfId="25" applyNumberFormat="1" applyFont="1" applyAlignment="1">
      <alignment horizontal="centerContinuous"/>
    </xf>
    <xf numFmtId="169" fontId="43" fillId="0" borderId="0" xfId="25" applyNumberFormat="1" applyFont="1" applyAlignment="1">
      <alignment horizontal="center"/>
    </xf>
    <xf numFmtId="169" fontId="43" fillId="0" borderId="243" xfId="25" applyNumberFormat="1" applyFont="1" applyBorder="1" applyAlignment="1">
      <alignment horizontal="center"/>
    </xf>
    <xf numFmtId="169" fontId="43" fillId="0" borderId="123" xfId="25" applyNumberFormat="1" applyFont="1" applyBorder="1" applyAlignment="1">
      <alignment horizontal="centerContinuous"/>
    </xf>
    <xf numFmtId="169" fontId="43" fillId="0" borderId="13" xfId="25" applyNumberFormat="1" applyFont="1" applyBorder="1" applyAlignment="1">
      <alignment horizontal="centerContinuous"/>
    </xf>
    <xf numFmtId="169" fontId="43" fillId="0" borderId="45" xfId="25" applyNumberFormat="1" applyFont="1" applyBorder="1" applyAlignment="1">
      <alignment horizontal="center" vertical="top"/>
    </xf>
    <xf numFmtId="169" fontId="43" fillId="0" borderId="45" xfId="25" quotePrefix="1" applyNumberFormat="1" applyFont="1" applyBorder="1" applyAlignment="1">
      <alignment horizontal="center" wrapText="1"/>
    </xf>
    <xf numFmtId="169" fontId="43" fillId="0" borderId="9" xfId="25" quotePrefix="1" applyNumberFormat="1" applyFont="1" applyBorder="1" applyAlignment="1">
      <alignment horizontal="center" wrapText="1"/>
    </xf>
    <xf numFmtId="169" fontId="43" fillId="0" borderId="12" xfId="25" quotePrefix="1" applyNumberFormat="1" applyFont="1" applyBorder="1" applyAlignment="1">
      <alignment horizontal="center" wrapText="1"/>
    </xf>
    <xf numFmtId="1" fontId="8" fillId="9" borderId="9" xfId="25" applyNumberFormat="1" applyFont="1" applyFill="1" applyBorder="1" applyAlignment="1">
      <alignment horizontal="left"/>
    </xf>
    <xf numFmtId="0" fontId="8" fillId="0" borderId="245" xfId="26" applyFont="1" applyBorder="1" applyAlignment="1">
      <alignment horizontal="center" vertical="center" wrapText="1"/>
    </xf>
    <xf numFmtId="169" fontId="8" fillId="1" borderId="9" xfId="25" applyNumberFormat="1" applyFont="1" applyFill="1" applyBorder="1" applyAlignment="1">
      <alignment shrinkToFit="1"/>
    </xf>
    <xf numFmtId="169" fontId="8" fillId="0" borderId="9" xfId="25" applyNumberFormat="1" applyFont="1" applyBorder="1" applyAlignment="1">
      <alignment shrinkToFit="1"/>
    </xf>
    <xf numFmtId="169" fontId="8" fillId="0" borderId="9" xfId="25" quotePrefix="1" applyNumberFormat="1" applyFont="1" applyBorder="1" applyAlignment="1">
      <alignment shrinkToFit="1"/>
    </xf>
    <xf numFmtId="1" fontId="8" fillId="1" borderId="12" xfId="25" applyNumberFormat="1" applyFont="1" applyFill="1" applyBorder="1"/>
    <xf numFmtId="169" fontId="8" fillId="1" borderId="277" xfId="25" applyNumberFormat="1" applyFont="1" applyFill="1" applyBorder="1"/>
    <xf numFmtId="0" fontId="8" fillId="9" borderId="9" xfId="27" applyFont="1" applyFill="1" applyBorder="1" applyAlignment="1">
      <alignment horizontal="center" vertical="center"/>
    </xf>
    <xf numFmtId="169" fontId="8" fillId="1" borderId="12" xfId="25" applyNumberFormat="1" applyFont="1" applyFill="1" applyBorder="1" applyAlignment="1">
      <alignment shrinkToFit="1"/>
    </xf>
    <xf numFmtId="169" fontId="8" fillId="0" borderId="12" xfId="25" applyNumberFormat="1" applyFont="1" applyBorder="1" applyAlignment="1">
      <alignment shrinkToFit="1"/>
    </xf>
    <xf numFmtId="169" fontId="8" fillId="9" borderId="12" xfId="25" quotePrefix="1" applyNumberFormat="1" applyFont="1" applyFill="1" applyBorder="1" applyAlignment="1">
      <alignment horizontal="left" vertical="center"/>
    </xf>
    <xf numFmtId="169" fontId="8" fillId="9" borderId="277" xfId="25" applyNumberFormat="1" applyFont="1" applyFill="1" applyBorder="1" applyAlignment="1">
      <alignment horizontal="left" vertical="center"/>
    </xf>
    <xf numFmtId="169" fontId="12" fillId="1" borderId="9" xfId="25" applyNumberFormat="1" applyFont="1" applyFill="1" applyBorder="1" applyAlignment="1">
      <alignment shrinkToFit="1"/>
    </xf>
    <xf numFmtId="169" fontId="8" fillId="9" borderId="12" xfId="25" applyNumberFormat="1" applyFont="1" applyFill="1" applyBorder="1" applyAlignment="1">
      <alignment horizontal="left" vertical="center"/>
    </xf>
    <xf numFmtId="169" fontId="12" fillId="9" borderId="12" xfId="25" applyNumberFormat="1" applyFont="1" applyFill="1" applyBorder="1" applyAlignment="1">
      <alignment horizontal="left" vertical="center"/>
    </xf>
    <xf numFmtId="169" fontId="12" fillId="9" borderId="277" xfId="25" applyNumberFormat="1" applyFont="1" applyFill="1" applyBorder="1" applyAlignment="1">
      <alignment horizontal="left" vertical="center"/>
    </xf>
    <xf numFmtId="0" fontId="68" fillId="0" borderId="20" xfId="9" applyFont="1" applyProtection="1"/>
    <xf numFmtId="0" fontId="49" fillId="0" borderId="20" xfId="9" applyFont="1" applyProtection="1"/>
    <xf numFmtId="0" fontId="49" fillId="0" borderId="20" xfId="8" applyFont="1" applyProtection="1">
      <alignment horizontal="right"/>
    </xf>
    <xf numFmtId="0" fontId="69" fillId="0" borderId="20" xfId="8" applyFont="1" applyProtection="1">
      <alignment horizontal="right"/>
    </xf>
    <xf numFmtId="165" fontId="50" fillId="0" borderId="0" xfId="0" applyFont="1" applyProtection="1">
      <protection locked="0"/>
    </xf>
    <xf numFmtId="0" fontId="25" fillId="0" borderId="0" xfId="17" applyFont="1" applyAlignment="1" applyProtection="1">
      <alignment horizontal="center"/>
      <protection locked="0"/>
    </xf>
    <xf numFmtId="0" fontId="43" fillId="0" borderId="0" xfId="17" applyFont="1" applyProtection="1">
      <protection locked="0"/>
    </xf>
    <xf numFmtId="0" fontId="25" fillId="0" borderId="0" xfId="17" applyFont="1" applyAlignment="1" applyProtection="1">
      <alignment vertical="center"/>
      <protection locked="0"/>
    </xf>
    <xf numFmtId="44" fontId="25" fillId="0" borderId="2" xfId="2" applyFont="1" applyBorder="1" applyAlignment="1" applyProtection="1">
      <alignment vertical="center"/>
      <protection locked="0"/>
    </xf>
    <xf numFmtId="44" fontId="6" fillId="0" borderId="8" xfId="2" applyFont="1" applyFill="1" applyBorder="1" applyAlignment="1" applyProtection="1">
      <alignment vertical="center"/>
      <protection locked="0"/>
    </xf>
    <xf numFmtId="44" fontId="25" fillId="0" borderId="5" xfId="2" applyFont="1" applyBorder="1" applyAlignment="1" applyProtection="1">
      <alignment vertical="center"/>
      <protection locked="0"/>
    </xf>
    <xf numFmtId="44" fontId="25" fillId="0" borderId="45" xfId="2" applyFont="1" applyFill="1" applyBorder="1" applyAlignment="1" applyProtection="1">
      <alignment vertical="center"/>
      <protection locked="0"/>
    </xf>
    <xf numFmtId="44" fontId="25" fillId="0" borderId="245" xfId="2" applyFont="1" applyBorder="1" applyAlignment="1" applyProtection="1">
      <alignment vertical="center"/>
      <protection locked="0"/>
    </xf>
    <xf numFmtId="44" fontId="25" fillId="0" borderId="251" xfId="2" applyFont="1" applyBorder="1" applyAlignment="1" applyProtection="1">
      <alignment vertical="center"/>
      <protection locked="0"/>
    </xf>
    <xf numFmtId="44" fontId="25" fillId="0" borderId="254" xfId="2" applyFont="1" applyBorder="1" applyAlignment="1" applyProtection="1">
      <alignment vertical="center"/>
      <protection locked="0"/>
    </xf>
    <xf numFmtId="0" fontId="43" fillId="0" borderId="0" xfId="17" applyFont="1" applyAlignment="1" applyProtection="1">
      <alignment vertical="center"/>
      <protection locked="0"/>
    </xf>
    <xf numFmtId="41" fontId="25" fillId="0" borderId="0" xfId="17" applyNumberFormat="1" applyFont="1" applyProtection="1">
      <protection locked="0"/>
    </xf>
    <xf numFmtId="168" fontId="43" fillId="0" borderId="0" xfId="15" applyNumberFormat="1" applyFont="1" applyProtection="1">
      <protection locked="0"/>
    </xf>
    <xf numFmtId="0" fontId="6" fillId="0" borderId="0" xfId="17" quotePrefix="1" applyFont="1" applyAlignment="1" applyProtection="1">
      <alignment horizontal="center"/>
      <protection locked="0"/>
    </xf>
    <xf numFmtId="168" fontId="6" fillId="0" borderId="0" xfId="15" applyNumberFormat="1" applyFont="1" applyProtection="1">
      <protection locked="0"/>
    </xf>
    <xf numFmtId="0" fontId="25" fillId="0" borderId="0" xfId="17" applyFont="1" applyAlignment="1" applyProtection="1">
      <alignment horizontal="center"/>
    </xf>
    <xf numFmtId="0" fontId="43" fillId="0" borderId="0" xfId="17" applyFont="1" applyProtection="1"/>
    <xf numFmtId="0" fontId="25" fillId="0" borderId="13" xfId="17" applyNumberFormat="1" applyFont="1" applyBorder="1" applyProtection="1"/>
    <xf numFmtId="0" fontId="25" fillId="0" borderId="0" xfId="17" applyFont="1" applyBorder="1" applyProtection="1"/>
    <xf numFmtId="0" fontId="25" fillId="0" borderId="0" xfId="17" applyFont="1" applyProtection="1"/>
    <xf numFmtId="0" fontId="25" fillId="0" borderId="0" xfId="17" quotePrefix="1" applyFont="1" applyBorder="1" applyProtection="1"/>
    <xf numFmtId="0" fontId="43" fillId="0" borderId="1" xfId="17" applyFont="1" applyBorder="1" applyProtection="1"/>
    <xf numFmtId="0" fontId="43" fillId="0" borderId="23" xfId="17" applyFont="1" applyBorder="1" applyProtection="1"/>
    <xf numFmtId="0" fontId="43" fillId="0" borderId="299" xfId="17" applyFont="1" applyBorder="1" applyProtection="1"/>
    <xf numFmtId="0" fontId="43" fillId="0" borderId="292" xfId="17" applyFont="1" applyBorder="1" applyAlignment="1" applyProtection="1">
      <alignment horizontal="center"/>
    </xf>
    <xf numFmtId="0" fontId="43" fillId="0" borderId="297" xfId="17" applyFont="1" applyBorder="1" applyAlignment="1" applyProtection="1">
      <alignment horizontal="center"/>
    </xf>
    <xf numFmtId="0" fontId="43" fillId="0" borderId="21" xfId="17" applyFont="1" applyBorder="1" applyAlignment="1" applyProtection="1">
      <alignment horizontal="center"/>
    </xf>
    <xf numFmtId="168" fontId="43" fillId="0" borderId="17" xfId="15" applyNumberFormat="1" applyFont="1" applyBorder="1" applyAlignment="1" applyProtection="1">
      <alignment horizontal="center"/>
    </xf>
    <xf numFmtId="0" fontId="25" fillId="0" borderId="0" xfId="17" quotePrefix="1" applyFont="1" applyAlignment="1" applyProtection="1">
      <alignment horizontal="center" vertical="center"/>
    </xf>
    <xf numFmtId="0" fontId="25" fillId="0" borderId="0" xfId="17" applyFont="1" applyAlignment="1" applyProtection="1">
      <alignment horizontal="center" vertical="center"/>
    </xf>
    <xf numFmtId="0" fontId="25" fillId="0" borderId="231" xfId="17" applyFont="1" applyBorder="1" applyAlignment="1" applyProtection="1">
      <alignment vertical="center"/>
    </xf>
    <xf numFmtId="0" fontId="25" fillId="0" borderId="232" xfId="17" applyFont="1" applyBorder="1" applyAlignment="1" applyProtection="1">
      <alignment vertical="center"/>
    </xf>
    <xf numFmtId="44" fontId="43" fillId="0" borderId="233" xfId="2" applyFont="1" applyFill="1" applyBorder="1" applyAlignment="1" applyProtection="1">
      <alignment vertical="center"/>
    </xf>
    <xf numFmtId="0" fontId="25" fillId="0" borderId="0" xfId="17" applyFont="1" applyAlignment="1" applyProtection="1">
      <alignment vertical="center"/>
    </xf>
    <xf numFmtId="0" fontId="25" fillId="0" borderId="235" xfId="17" applyFont="1" applyBorder="1" applyAlignment="1" applyProtection="1">
      <alignment vertical="center"/>
    </xf>
    <xf numFmtId="0" fontId="25" fillId="0" borderId="236" xfId="17" applyFont="1" applyBorder="1" applyAlignment="1" applyProtection="1">
      <alignment vertical="center"/>
    </xf>
    <xf numFmtId="0" fontId="25" fillId="0" borderId="241" xfId="17" applyFont="1" applyBorder="1" applyAlignment="1" applyProtection="1">
      <alignment vertical="center"/>
    </xf>
    <xf numFmtId="44" fontId="43" fillId="0" borderId="237" xfId="2" applyFont="1" applyFill="1" applyBorder="1" applyAlignment="1" applyProtection="1">
      <alignment vertical="center"/>
    </xf>
    <xf numFmtId="0" fontId="25" fillId="0" borderId="238" xfId="17" applyFont="1" applyBorder="1" applyAlignment="1" applyProtection="1">
      <alignment vertical="center"/>
    </xf>
    <xf numFmtId="0" fontId="25" fillId="17" borderId="0" xfId="17" applyFont="1" applyFill="1" applyAlignment="1" applyProtection="1">
      <alignment horizontal="center" vertical="center"/>
    </xf>
    <xf numFmtId="0" fontId="25" fillId="0" borderId="247" xfId="17" applyFont="1" applyBorder="1" applyAlignment="1" applyProtection="1">
      <alignment vertical="center"/>
    </xf>
    <xf numFmtId="0" fontId="25" fillId="0" borderId="251" xfId="17" applyFont="1" applyBorder="1" applyAlignment="1" applyProtection="1">
      <alignment vertical="center"/>
    </xf>
    <xf numFmtId="0" fontId="25" fillId="0" borderId="252" xfId="17" applyFont="1" applyBorder="1" applyAlignment="1" applyProtection="1">
      <alignment vertical="center"/>
    </xf>
    <xf numFmtId="44" fontId="43" fillId="0" borderId="253" xfId="2" applyFont="1" applyFill="1" applyBorder="1" applyAlignment="1" applyProtection="1">
      <alignment vertical="center"/>
    </xf>
    <xf numFmtId="0" fontId="43" fillId="0" borderId="0" xfId="17" applyFont="1" applyAlignment="1" applyProtection="1">
      <alignment horizontal="center" vertical="center"/>
    </xf>
    <xf numFmtId="0" fontId="43" fillId="0" borderId="256" xfId="17" applyFont="1" applyBorder="1" applyAlignment="1" applyProtection="1">
      <alignment vertical="center"/>
    </xf>
    <xf numFmtId="0" fontId="43" fillId="0" borderId="257" xfId="17" applyFont="1" applyBorder="1" applyAlignment="1" applyProtection="1">
      <alignment vertical="center"/>
    </xf>
    <xf numFmtId="44" fontId="43" fillId="0" borderId="297" xfId="2" applyFont="1" applyBorder="1" applyAlignment="1" applyProtection="1">
      <alignment vertical="center"/>
    </xf>
    <xf numFmtId="44" fontId="43" fillId="0" borderId="274" xfId="2" applyFont="1" applyBorder="1" applyAlignment="1" applyProtection="1">
      <alignment vertical="center"/>
    </xf>
    <xf numFmtId="44" fontId="43" fillId="0" borderId="274" xfId="2" applyFont="1" applyFill="1" applyBorder="1" applyAlignment="1" applyProtection="1">
      <alignment vertical="center"/>
    </xf>
    <xf numFmtId="44" fontId="43" fillId="0" borderId="278" xfId="2" applyFont="1" applyFill="1" applyBorder="1" applyAlignment="1" applyProtection="1">
      <alignment vertical="center"/>
    </xf>
    <xf numFmtId="44" fontId="43" fillId="0" borderId="258" xfId="2" applyFont="1" applyFill="1" applyBorder="1" applyAlignment="1" applyProtection="1">
      <alignment vertical="center"/>
    </xf>
    <xf numFmtId="44" fontId="25" fillId="0" borderId="0" xfId="2" applyFont="1" applyAlignment="1" applyProtection="1">
      <alignment vertical="center"/>
    </xf>
    <xf numFmtId="41" fontId="25" fillId="0" borderId="0" xfId="17" applyNumberFormat="1" applyFont="1" applyAlignment="1" applyProtection="1">
      <alignment horizontal="center" vertical="center"/>
    </xf>
    <xf numFmtId="165" fontId="25" fillId="0" borderId="0" xfId="0" applyFont="1" applyProtection="1">
      <protection locked="0"/>
    </xf>
    <xf numFmtId="165" fontId="25" fillId="0" borderId="0" xfId="0" applyFont="1" applyAlignment="1" applyProtection="1">
      <alignment horizontal="center"/>
      <protection locked="0"/>
    </xf>
    <xf numFmtId="165" fontId="0" fillId="0" borderId="0" xfId="0" applyProtection="1">
      <protection locked="0"/>
    </xf>
    <xf numFmtId="165" fontId="8" fillId="0" borderId="0" xfId="0" applyFont="1" applyAlignment="1" applyProtection="1">
      <alignment horizontal="center"/>
      <protection locked="0"/>
    </xf>
    <xf numFmtId="165" fontId="25" fillId="17" borderId="0" xfId="0" applyFont="1" applyFill="1" applyProtection="1"/>
    <xf numFmtId="165" fontId="25" fillId="0" borderId="0" xfId="0" applyFont="1" applyProtection="1"/>
    <xf numFmtId="165" fontId="25" fillId="17" borderId="0" xfId="0" applyFont="1" applyFill="1" applyAlignment="1" applyProtection="1">
      <alignment horizontal="center"/>
    </xf>
    <xf numFmtId="165" fontId="25" fillId="17" borderId="0" xfId="0" applyFont="1" applyFill="1" applyAlignment="1" applyProtection="1">
      <alignment wrapText="1"/>
    </xf>
    <xf numFmtId="165" fontId="25" fillId="17" borderId="0" xfId="0" applyFont="1" applyFill="1" applyAlignment="1" applyProtection="1">
      <alignment horizontal="center" wrapText="1"/>
    </xf>
    <xf numFmtId="10" fontId="25" fillId="0" borderId="0" xfId="3" applyNumberFormat="1" applyFont="1" applyAlignment="1" applyProtection="1">
      <alignment horizontal="center"/>
    </xf>
    <xf numFmtId="165" fontId="43" fillId="17" borderId="0" xfId="0" applyFont="1" applyFill="1" applyAlignment="1" applyProtection="1">
      <alignment horizontal="center"/>
    </xf>
    <xf numFmtId="165" fontId="8" fillId="17" borderId="0" xfId="0" applyFont="1" applyFill="1" applyAlignment="1" applyProtection="1">
      <alignment horizontal="center" wrapText="1"/>
    </xf>
    <xf numFmtId="165" fontId="8" fillId="17" borderId="0" xfId="0" applyFont="1" applyFill="1" applyAlignment="1" applyProtection="1">
      <alignment wrapText="1"/>
    </xf>
    <xf numFmtId="165" fontId="25" fillId="0" borderId="0" xfId="0" quotePrefix="1" applyFont="1" applyAlignment="1" applyProtection="1">
      <alignment horizontal="center"/>
    </xf>
    <xf numFmtId="165" fontId="25" fillId="0" borderId="0" xfId="0" applyFont="1" applyAlignment="1" applyProtection="1">
      <alignment horizontal="center"/>
    </xf>
    <xf numFmtId="165" fontId="25" fillId="12" borderId="0" xfId="0" applyFont="1" applyFill="1" applyProtection="1"/>
    <xf numFmtId="165" fontId="25" fillId="18" borderId="0" xfId="0" applyFont="1" applyFill="1" applyProtection="1"/>
    <xf numFmtId="165" fontId="25" fillId="0" borderId="0" xfId="0" applyFont="1" applyFill="1" applyProtection="1"/>
    <xf numFmtId="10" fontId="25" fillId="0" borderId="0" xfId="3" applyNumberFormat="1" applyFont="1" applyProtection="1"/>
    <xf numFmtId="165" fontId="70" fillId="0" borderId="0" xfId="0" applyFont="1" applyProtection="1">
      <protection locked="0"/>
    </xf>
    <xf numFmtId="169" fontId="8" fillId="0" borderId="0" xfId="25" applyNumberFormat="1" applyFont="1" applyProtection="1">
      <protection locked="0"/>
    </xf>
    <xf numFmtId="0" fontId="49" fillId="0" borderId="20" xfId="8" quotePrefix="1" applyFont="1" applyProtection="1">
      <alignment horizontal="right"/>
    </xf>
    <xf numFmtId="165" fontId="70" fillId="0" borderId="0" xfId="0" applyFont="1" applyProtection="1"/>
    <xf numFmtId="0" fontId="18" fillId="0" borderId="0" xfId="10" applyProtection="1"/>
    <xf numFmtId="165" fontId="0" fillId="0" borderId="0" xfId="0" applyProtection="1"/>
    <xf numFmtId="0" fontId="21" fillId="0" borderId="0" xfId="11" applyProtection="1"/>
    <xf numFmtId="0" fontId="18" fillId="0" borderId="0" xfId="6" applyProtection="1"/>
    <xf numFmtId="0" fontId="8" fillId="0" borderId="0" xfId="5" applyFont="1" applyProtection="1">
      <alignment horizontal="right"/>
    </xf>
    <xf numFmtId="169" fontId="21" fillId="0" borderId="0" xfId="25" applyNumberFormat="1" applyFont="1" applyProtection="1"/>
    <xf numFmtId="169" fontId="21" fillId="0" borderId="0" xfId="25" applyNumberFormat="1" applyFont="1" applyAlignment="1" applyProtection="1">
      <alignment horizontal="right"/>
    </xf>
    <xf numFmtId="0" fontId="8" fillId="0" borderId="0" xfId="25" applyFont="1" applyProtection="1"/>
    <xf numFmtId="1" fontId="21" fillId="0" borderId="0" xfId="25" applyNumberFormat="1" applyFont="1" applyProtection="1"/>
    <xf numFmtId="169" fontId="8" fillId="0" borderId="0" xfId="25" applyNumberFormat="1" applyFont="1" applyProtection="1"/>
    <xf numFmtId="0" fontId="8" fillId="0" borderId="277" xfId="12" applyFont="1" applyBorder="1" applyAlignment="1" applyProtection="1">
      <alignment horizontal="left"/>
    </xf>
    <xf numFmtId="169" fontId="8" fillId="0" borderId="279" xfId="12" applyNumberFormat="1" applyFont="1" applyBorder="1" applyAlignment="1" applyProtection="1">
      <alignment horizontal="left"/>
    </xf>
    <xf numFmtId="49" fontId="12" fillId="0" borderId="9" xfId="25" applyNumberFormat="1" applyFont="1" applyBorder="1" applyAlignment="1" applyProtection="1">
      <alignment horizontal="center"/>
    </xf>
    <xf numFmtId="169" fontId="12" fillId="0" borderId="6" xfId="25" applyNumberFormat="1" applyFont="1" applyBorder="1" applyAlignment="1" applyProtection="1">
      <alignment horizontal="center"/>
    </xf>
    <xf numFmtId="169" fontId="12" fillId="0" borderId="0" xfId="25" applyNumberFormat="1" applyFont="1" applyAlignment="1" applyProtection="1">
      <alignment horizontal="center"/>
    </xf>
    <xf numFmtId="169" fontId="12" fillId="0" borderId="68" xfId="25" applyNumberFormat="1" applyFont="1" applyBorder="1" applyAlignment="1" applyProtection="1">
      <alignment horizontal="center"/>
    </xf>
    <xf numFmtId="169" fontId="12" fillId="0" borderId="45" xfId="25" applyNumberFormat="1" applyFont="1" applyBorder="1" applyAlignment="1" applyProtection="1">
      <alignment horizontal="center"/>
    </xf>
    <xf numFmtId="169" fontId="12" fillId="0" borderId="245" xfId="25" applyNumberFormat="1" applyFont="1" applyBorder="1" applyAlignment="1" applyProtection="1">
      <alignment horizontal="center" wrapText="1"/>
    </xf>
    <xf numFmtId="169" fontId="12" fillId="0" borderId="245" xfId="25" quotePrefix="1" applyNumberFormat="1" applyFont="1" applyBorder="1" applyAlignment="1" applyProtection="1">
      <alignment horizontal="center" wrapText="1"/>
    </xf>
    <xf numFmtId="169" fontId="12" fillId="0" borderId="45" xfId="25" applyNumberFormat="1" applyFont="1" applyBorder="1" applyAlignment="1" applyProtection="1">
      <alignment horizontal="center" vertical="top" wrapText="1"/>
    </xf>
    <xf numFmtId="49" fontId="8" fillId="0" borderId="9" xfId="25" applyNumberFormat="1" applyFont="1" applyBorder="1" applyAlignment="1" applyProtection="1">
      <alignment horizontal="left"/>
    </xf>
    <xf numFmtId="44" fontId="8" fillId="0" borderId="279" xfId="2" applyFont="1" applyBorder="1" applyProtection="1"/>
    <xf numFmtId="44" fontId="8" fillId="1" borderId="45" xfId="2" applyFont="1" applyFill="1" applyBorder="1" applyProtection="1"/>
    <xf numFmtId="44" fontId="8" fillId="1" borderId="9" xfId="2" applyFont="1" applyFill="1" applyBorder="1" applyProtection="1"/>
    <xf numFmtId="44" fontId="8" fillId="1" borderId="245" xfId="2" applyFont="1" applyFill="1" applyBorder="1" applyProtection="1"/>
    <xf numFmtId="44" fontId="8" fillId="1" borderId="279" xfId="2" applyFont="1" applyFill="1" applyBorder="1" applyProtection="1"/>
    <xf numFmtId="44" fontId="8" fillId="1" borderId="12" xfId="2" applyFont="1" applyFill="1" applyBorder="1" applyProtection="1"/>
    <xf numFmtId="44" fontId="8" fillId="0" borderId="45" xfId="2" applyFont="1" applyBorder="1" applyProtection="1"/>
    <xf numFmtId="44" fontId="8" fillId="0" borderId="9" xfId="2" applyFont="1" applyBorder="1" applyAlignment="1" applyProtection="1">
      <alignment horizontal="right"/>
    </xf>
    <xf numFmtId="164" fontId="8" fillId="0" borderId="9" xfId="2" applyNumberFormat="1" applyFont="1" applyBorder="1" applyAlignment="1" applyProtection="1">
      <alignment horizontal="right"/>
    </xf>
    <xf numFmtId="44" fontId="8" fillId="0" borderId="9" xfId="2" applyFont="1" applyBorder="1" applyProtection="1"/>
    <xf numFmtId="164" fontId="8" fillId="0" borderId="9" xfId="2" applyNumberFormat="1" applyFont="1" applyBorder="1" applyProtection="1"/>
    <xf numFmtId="169" fontId="8" fillId="0" borderId="12" xfId="25" applyNumberFormat="1" applyFont="1" applyBorder="1" applyProtection="1"/>
    <xf numFmtId="169" fontId="8" fillId="0" borderId="277" xfId="25" applyNumberFormat="1" applyFont="1" applyBorder="1" applyProtection="1"/>
    <xf numFmtId="169" fontId="8" fillId="0" borderId="279" xfId="25" applyNumberFormat="1" applyFont="1" applyBorder="1" applyProtection="1"/>
    <xf numFmtId="169" fontId="12" fillId="0" borderId="262" xfId="25" applyNumberFormat="1" applyFont="1" applyBorder="1" applyProtection="1"/>
    <xf numFmtId="169" fontId="8" fillId="0" borderId="243" xfId="25" applyNumberFormat="1" applyFont="1" applyBorder="1" applyProtection="1"/>
    <xf numFmtId="169" fontId="12" fillId="0" borderId="243" xfId="25" applyNumberFormat="1" applyFont="1" applyBorder="1" applyProtection="1"/>
    <xf numFmtId="169" fontId="8" fillId="0" borderId="243" xfId="25" applyNumberFormat="1" applyFont="1" applyBorder="1" applyAlignment="1" applyProtection="1">
      <alignment horizontal="center"/>
    </xf>
    <xf numFmtId="169" fontId="8" fillId="0" borderId="263" xfId="25" applyNumberFormat="1" applyFont="1" applyBorder="1" applyAlignment="1" applyProtection="1">
      <alignment horizontal="center"/>
    </xf>
    <xf numFmtId="169" fontId="8" fillId="0" borderId="190" xfId="25" applyNumberFormat="1" applyFont="1" applyBorder="1" applyProtection="1"/>
    <xf numFmtId="169" fontId="8" fillId="0" borderId="0" xfId="25" applyNumberFormat="1" applyFont="1" applyAlignment="1" applyProtection="1">
      <alignment horizontal="left"/>
    </xf>
    <xf numFmtId="169" fontId="8" fillId="0" borderId="9" xfId="25" applyNumberFormat="1" applyFont="1" applyBorder="1" applyAlignment="1" applyProtection="1">
      <alignment horizontal="center"/>
    </xf>
    <xf numFmtId="169" fontId="8" fillId="0" borderId="0" xfId="25" applyNumberFormat="1" applyFont="1" applyAlignment="1" applyProtection="1">
      <alignment horizontal="centerContinuous"/>
    </xf>
    <xf numFmtId="169" fontId="8" fillId="0" borderId="123" xfId="25" applyNumberFormat="1" applyFont="1" applyBorder="1" applyProtection="1"/>
    <xf numFmtId="169" fontId="8" fillId="0" borderId="13" xfId="25" applyNumberFormat="1" applyFont="1" applyBorder="1" applyProtection="1"/>
    <xf numFmtId="169" fontId="8" fillId="0" borderId="102" xfId="25" applyNumberFormat="1" applyFont="1" applyBorder="1" applyProtection="1"/>
    <xf numFmtId="43" fontId="72" fillId="0" borderId="0" xfId="1" applyFont="1" applyAlignment="1" applyProtection="1">
      <alignment horizontal="center"/>
    </xf>
    <xf numFmtId="165" fontId="64" fillId="0" borderId="0" xfId="0" applyFont="1" applyProtection="1">
      <protection locked="0"/>
    </xf>
    <xf numFmtId="165" fontId="14" fillId="0" borderId="9" xfId="0" applyFont="1" applyBorder="1" applyAlignment="1" applyProtection="1">
      <alignment horizontal="center" vertical="center" wrapText="1"/>
    </xf>
    <xf numFmtId="165" fontId="14" fillId="0" borderId="279" xfId="0" applyFont="1" applyBorder="1" applyAlignment="1" applyProtection="1">
      <alignment horizontal="center" vertical="center" wrapText="1"/>
    </xf>
    <xf numFmtId="49" fontId="8" fillId="0" borderId="9" xfId="0" applyNumberFormat="1" applyFont="1" applyBorder="1" applyAlignment="1" applyProtection="1">
      <alignment horizontal="center" vertical="center" wrapText="1"/>
    </xf>
    <xf numFmtId="49" fontId="8" fillId="0" borderId="45" xfId="0" applyNumberFormat="1" applyFont="1" applyBorder="1" applyAlignment="1" applyProtection="1">
      <alignment horizontal="center" vertical="center" wrapText="1"/>
    </xf>
    <xf numFmtId="43" fontId="50" fillId="0" borderId="0" xfId="1" applyFont="1" applyAlignment="1" applyProtection="1">
      <alignment horizontal="center"/>
    </xf>
    <xf numFmtId="165" fontId="64" fillId="0" borderId="0" xfId="0" applyFont="1" applyProtection="1"/>
    <xf numFmtId="0" fontId="50" fillId="0" borderId="0" xfId="14" applyFont="1" applyProtection="1">
      <protection locked="0"/>
    </xf>
    <xf numFmtId="0" fontId="8" fillId="0" borderId="0" xfId="12" applyFont="1" applyProtection="1">
      <protection locked="0"/>
    </xf>
    <xf numFmtId="0" fontId="8" fillId="0" borderId="0" xfId="12" applyFont="1" applyAlignment="1" applyProtection="1">
      <alignment horizontal="center"/>
      <protection locked="0"/>
    </xf>
    <xf numFmtId="0" fontId="8" fillId="0" borderId="0" xfId="14" applyProtection="1">
      <protection locked="0"/>
    </xf>
    <xf numFmtId="168" fontId="8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12" applyFont="1" applyProtection="1"/>
    <xf numFmtId="0" fontId="8" fillId="0" borderId="0" xfId="12" applyFont="1" applyAlignment="1" applyProtection="1">
      <alignment horizontal="center"/>
    </xf>
    <xf numFmtId="0" fontId="8" fillId="0" borderId="0" xfId="14" applyProtection="1"/>
    <xf numFmtId="0" fontId="18" fillId="0" borderId="0" xfId="6" applyAlignment="1" applyProtection="1">
      <alignment vertical="top"/>
    </xf>
    <xf numFmtId="0" fontId="18" fillId="0" borderId="0" xfId="5" applyAlignment="1" applyProtection="1">
      <alignment horizontal="center" vertical="top"/>
    </xf>
    <xf numFmtId="0" fontId="21" fillId="0" borderId="0" xfId="12" applyFont="1" applyProtection="1"/>
    <xf numFmtId="0" fontId="9" fillId="0" borderId="0" xfId="12" applyFont="1" applyProtection="1"/>
    <xf numFmtId="0" fontId="9" fillId="0" borderId="0" xfId="12" applyFont="1" applyAlignment="1" applyProtection="1">
      <alignment horizontal="right"/>
    </xf>
    <xf numFmtId="0" fontId="9" fillId="0" borderId="0" xfId="12" applyFont="1" applyAlignment="1" applyProtection="1">
      <alignment horizontal="left"/>
    </xf>
    <xf numFmtId="0" fontId="9" fillId="0" borderId="0" xfId="12" applyFont="1" applyAlignment="1" applyProtection="1">
      <alignment horizontal="center"/>
    </xf>
    <xf numFmtId="0" fontId="21" fillId="0" borderId="0" xfId="12" applyFont="1" applyAlignment="1" applyProtection="1">
      <alignment horizontal="center"/>
    </xf>
    <xf numFmtId="0" fontId="9" fillId="0" borderId="12" xfId="12" applyFont="1" applyBorder="1" applyAlignment="1" applyProtection="1">
      <alignment horizontal="left"/>
    </xf>
    <xf numFmtId="0" fontId="9" fillId="0" borderId="11" xfId="12" applyFont="1" applyBorder="1" applyProtection="1"/>
    <xf numFmtId="0" fontId="9" fillId="0" borderId="11" xfId="12" applyFont="1" applyBorder="1" applyAlignment="1" applyProtection="1">
      <alignment horizontal="right"/>
    </xf>
    <xf numFmtId="0" fontId="9" fillId="0" borderId="10" xfId="12" applyFont="1" applyBorder="1" applyAlignment="1" applyProtection="1">
      <alignment horizontal="left"/>
    </xf>
    <xf numFmtId="0" fontId="9" fillId="0" borderId="9" xfId="12" applyFont="1" applyBorder="1" applyAlignment="1" applyProtection="1">
      <alignment horizontal="center"/>
    </xf>
    <xf numFmtId="49" fontId="9" fillId="0" borderId="10" xfId="12" applyNumberFormat="1" applyFont="1" applyBorder="1" applyAlignment="1" applyProtection="1">
      <alignment horizontal="left"/>
    </xf>
    <xf numFmtId="0" fontId="9" fillId="0" borderId="12" xfId="12" applyFont="1" applyBorder="1" applyAlignment="1" applyProtection="1">
      <alignment horizontal="left" vertical="top"/>
    </xf>
    <xf numFmtId="0" fontId="9" fillId="0" borderId="9" xfId="12" applyFont="1" applyBorder="1" applyAlignment="1" applyProtection="1">
      <alignment horizontal="left"/>
    </xf>
    <xf numFmtId="0" fontId="21" fillId="0" borderId="13" xfId="12" applyFont="1" applyBorder="1" applyProtection="1"/>
    <xf numFmtId="0" fontId="9" fillId="0" borderId="13" xfId="12" applyFont="1" applyBorder="1" applyProtection="1"/>
    <xf numFmtId="0" fontId="9" fillId="0" borderId="102" xfId="12" applyFont="1" applyBorder="1" applyProtection="1"/>
    <xf numFmtId="168" fontId="9" fillId="0" borderId="45" xfId="12" applyNumberFormat="1" applyFont="1" applyBorder="1" applyProtection="1"/>
    <xf numFmtId="169" fontId="9" fillId="7" borderId="12" xfId="12" applyNumberFormat="1" applyFont="1" applyFill="1" applyBorder="1" applyProtection="1"/>
    <xf numFmtId="0" fontId="49" fillId="0" borderId="20" xfId="8" quotePrefix="1" applyFont="1" applyAlignment="1" applyProtection="1">
      <alignment horizontal="center"/>
    </xf>
    <xf numFmtId="0" fontId="9" fillId="0" borderId="10" xfId="12" applyNumberFormat="1" applyFont="1" applyBorder="1" applyAlignment="1" applyProtection="1">
      <alignment horizontal="left"/>
    </xf>
    <xf numFmtId="169" fontId="9" fillId="2" borderId="12" xfId="12" applyNumberFormat="1" applyFont="1" applyFill="1" applyBorder="1" applyProtection="1"/>
    <xf numFmtId="0" fontId="50" fillId="0" borderId="0" xfId="4" applyFont="1" applyProtection="1">
      <protection locked="0"/>
    </xf>
    <xf numFmtId="0" fontId="8" fillId="0" borderId="0" xfId="4" applyFont="1" applyAlignment="1" applyProtection="1">
      <alignment vertical="center"/>
      <protection locked="0"/>
    </xf>
    <xf numFmtId="0" fontId="8" fillId="0" borderId="0" xfId="4" applyFont="1" applyAlignment="1" applyProtection="1">
      <alignment horizontal="left"/>
      <protection locked="0"/>
    </xf>
    <xf numFmtId="0" fontId="8" fillId="0" borderId="0" xfId="4" applyFont="1" applyProtection="1">
      <protection locked="0"/>
    </xf>
    <xf numFmtId="0" fontId="73" fillId="0" borderId="20" xfId="9" applyFont="1" applyProtection="1"/>
    <xf numFmtId="0" fontId="73" fillId="0" borderId="20" xfId="8" applyFont="1" applyProtection="1">
      <alignment horizontal="right"/>
    </xf>
    <xf numFmtId="0" fontId="19" fillId="0" borderId="0" xfId="6" applyFont="1" applyAlignment="1" applyProtection="1">
      <alignment horizontal="left" vertical="center" wrapText="1"/>
    </xf>
    <xf numFmtId="0" fontId="19" fillId="0" borderId="19" xfId="5" applyFont="1" applyBorder="1" applyAlignment="1" applyProtection="1">
      <alignment horizontal="right"/>
    </xf>
    <xf numFmtId="165" fontId="8" fillId="0" borderId="19" xfId="0" applyFont="1" applyBorder="1" applyAlignment="1" applyProtection="1">
      <alignment horizontal="right"/>
    </xf>
    <xf numFmtId="0" fontId="17" fillId="0" borderId="0" xfId="4" applyFont="1" applyProtection="1"/>
    <xf numFmtId="0" fontId="8" fillId="0" borderId="0" xfId="4" applyFont="1" applyAlignment="1" applyProtection="1">
      <alignment horizontal="left"/>
    </xf>
    <xf numFmtId="0" fontId="8" fillId="0" borderId="0" xfId="4" applyFont="1" applyProtection="1"/>
    <xf numFmtId="0" fontId="16" fillId="0" borderId="0" xfId="4" applyFont="1" applyProtection="1"/>
    <xf numFmtId="0" fontId="47" fillId="0" borderId="0" xfId="4" applyFont="1" applyFill="1" applyAlignment="1" applyProtection="1">
      <alignment horizontal="right"/>
    </xf>
    <xf numFmtId="0" fontId="8" fillId="0" borderId="0" xfId="4" applyFont="1" applyFill="1" applyProtection="1"/>
    <xf numFmtId="0" fontId="12" fillId="3" borderId="4" xfId="4" applyFont="1" applyFill="1" applyBorder="1" applyAlignment="1" applyProtection="1">
      <alignment horizontal="right"/>
    </xf>
    <xf numFmtId="0" fontId="16" fillId="0" borderId="0" xfId="4" applyFont="1" applyFill="1" applyAlignment="1" applyProtection="1">
      <alignment horizontal="center"/>
    </xf>
    <xf numFmtId="0" fontId="8" fillId="0" borderId="0" xfId="4" applyFont="1" applyFill="1" applyBorder="1" applyProtection="1"/>
    <xf numFmtId="0" fontId="12" fillId="3" borderId="3" xfId="4" applyFont="1" applyFill="1" applyBorder="1" applyAlignment="1" applyProtection="1">
      <alignment horizontal="right"/>
    </xf>
    <xf numFmtId="0" fontId="47" fillId="0" borderId="0" xfId="4" applyFont="1" applyFill="1" applyAlignment="1" applyProtection="1">
      <alignment horizontal="center"/>
    </xf>
    <xf numFmtId="0" fontId="47" fillId="0" borderId="0" xfId="4" applyFont="1" applyFill="1" applyBorder="1" applyAlignment="1" applyProtection="1">
      <alignment horizontal="center"/>
    </xf>
    <xf numFmtId="0" fontId="12" fillId="3" borderId="16" xfId="4" applyFont="1" applyFill="1" applyBorder="1" applyAlignment="1" applyProtection="1">
      <alignment horizontal="right" wrapText="1"/>
    </xf>
    <xf numFmtId="0" fontId="8" fillId="0" borderId="18" xfId="4" applyFont="1" applyBorder="1" applyAlignment="1" applyProtection="1">
      <alignment horizontal="left" vertical="center"/>
    </xf>
    <xf numFmtId="0" fontId="8" fillId="0" borderId="0" xfId="4" applyFont="1" applyBorder="1" applyProtection="1"/>
    <xf numFmtId="0" fontId="12" fillId="3" borderId="15" xfId="4" applyFont="1" applyFill="1" applyBorder="1" applyAlignment="1" applyProtection="1">
      <alignment horizontal="right" wrapText="1"/>
    </xf>
    <xf numFmtId="0" fontId="67" fillId="0" borderId="20" xfId="9" applyFont="1" applyProtection="1"/>
    <xf numFmtId="0" fontId="67" fillId="0" borderId="20" xfId="8" applyFont="1" applyProtection="1">
      <alignment horizontal="right"/>
    </xf>
    <xf numFmtId="165" fontId="50" fillId="0" borderId="0" xfId="7" applyFont="1" applyProtection="1">
      <protection locked="0"/>
    </xf>
    <xf numFmtId="168" fontId="11" fillId="0" borderId="358" xfId="1" quotePrefix="1" applyNumberFormat="1" applyFont="1" applyFill="1" applyBorder="1" applyProtection="1"/>
    <xf numFmtId="44" fontId="10" fillId="0" borderId="88" xfId="2" applyFont="1" applyBorder="1" applyProtection="1"/>
    <xf numFmtId="44" fontId="10" fillId="3" borderId="88" xfId="2" applyFont="1" applyFill="1" applyBorder="1" applyProtection="1"/>
    <xf numFmtId="44" fontId="50" fillId="0" borderId="0" xfId="2" applyFont="1" applyBorder="1" applyProtection="1"/>
    <xf numFmtId="165" fontId="50" fillId="0" borderId="0" xfId="0" applyFont="1" applyProtection="1"/>
    <xf numFmtId="165" fontId="10" fillId="0" borderId="0" xfId="0" applyFont="1" applyProtection="1"/>
    <xf numFmtId="44" fontId="50" fillId="0" borderId="0" xfId="2" applyFont="1" applyProtection="1"/>
    <xf numFmtId="0" fontId="67" fillId="0" borderId="0" xfId="10" applyFont="1" applyProtection="1"/>
    <xf numFmtId="0" fontId="67" fillId="0" borderId="0" xfId="6" applyFont="1" applyProtection="1"/>
    <xf numFmtId="0" fontId="20" fillId="0" borderId="0" xfId="5" applyFont="1" applyProtection="1">
      <alignment horizontal="right"/>
    </xf>
    <xf numFmtId="165" fontId="10" fillId="0" borderId="0" xfId="7" quotePrefix="1" applyFont="1" applyAlignment="1" applyProtection="1">
      <alignment horizontal="right"/>
    </xf>
    <xf numFmtId="166" fontId="10" fillId="0" borderId="0" xfId="7" applyNumberFormat="1" applyFont="1" applyProtection="1"/>
    <xf numFmtId="0" fontId="8" fillId="0" borderId="13" xfId="12" applyFont="1" applyBorder="1" applyAlignment="1" applyProtection="1">
      <alignment horizontal="left"/>
    </xf>
    <xf numFmtId="165" fontId="14" fillId="0" borderId="0" xfId="0" applyFont="1" applyAlignment="1" applyProtection="1">
      <alignment horizontal="centerContinuous"/>
    </xf>
    <xf numFmtId="165" fontId="29" fillId="0" borderId="116" xfId="0" applyFont="1" applyBorder="1" applyAlignment="1" applyProtection="1">
      <alignment horizontal="left"/>
    </xf>
    <xf numFmtId="165" fontId="29" fillId="0" borderId="117" xfId="0" applyFont="1" applyBorder="1" applyAlignment="1" applyProtection="1">
      <alignment horizontal="left"/>
    </xf>
    <xf numFmtId="165" fontId="30" fillId="0" borderId="117" xfId="0" applyFont="1" applyBorder="1" applyAlignment="1" applyProtection="1">
      <alignment horizontal="center"/>
    </xf>
    <xf numFmtId="165" fontId="10" fillId="0" borderId="13" xfId="0" applyFont="1" applyBorder="1" applyProtection="1"/>
    <xf numFmtId="165" fontId="10" fillId="0" borderId="119" xfId="0" applyFont="1" applyBorder="1" applyProtection="1"/>
    <xf numFmtId="165" fontId="10" fillId="0" borderId="120" xfId="0" applyFont="1" applyBorder="1" applyProtection="1"/>
    <xf numFmtId="165" fontId="10" fillId="0" borderId="121" xfId="0" applyFont="1" applyBorder="1" applyProtection="1"/>
    <xf numFmtId="165" fontId="29" fillId="0" borderId="0" xfId="0" applyFont="1" applyAlignment="1" applyProtection="1">
      <alignment horizontal="left"/>
    </xf>
    <xf numFmtId="164" fontId="50" fillId="0" borderId="0" xfId="2" applyNumberFormat="1" applyFont="1" applyProtection="1"/>
    <xf numFmtId="165" fontId="14" fillId="0" borderId="9" xfId="0" applyFont="1" applyBorder="1" applyAlignment="1" applyProtection="1">
      <alignment horizontal="center"/>
    </xf>
    <xf numFmtId="165" fontId="10" fillId="0" borderId="123" xfId="0" applyFont="1" applyBorder="1" applyProtection="1"/>
    <xf numFmtId="165" fontId="10" fillId="0" borderId="102" xfId="0" applyFont="1" applyBorder="1" applyProtection="1"/>
    <xf numFmtId="165" fontId="14" fillId="0" borderId="9" xfId="0" applyFont="1" applyBorder="1" applyAlignment="1" applyProtection="1">
      <alignment horizontal="center" wrapText="1"/>
    </xf>
    <xf numFmtId="165" fontId="14" fillId="0" borderId="8" xfId="0" applyFont="1" applyBorder="1" applyAlignment="1" applyProtection="1">
      <alignment horizontal="center" wrapText="1"/>
    </xf>
    <xf numFmtId="165" fontId="49" fillId="0" borderId="0" xfId="0" applyFont="1" applyProtection="1"/>
    <xf numFmtId="165" fontId="13" fillId="0" borderId="0" xfId="0" applyFont="1" applyProtection="1"/>
    <xf numFmtId="165" fontId="10" fillId="0" borderId="9" xfId="0" applyFont="1" applyBorder="1" applyAlignment="1" applyProtection="1">
      <alignment horizontal="left"/>
    </xf>
    <xf numFmtId="169" fontId="10" fillId="0" borderId="9" xfId="0" applyNumberFormat="1" applyFont="1" applyBorder="1" applyAlignment="1" applyProtection="1">
      <alignment horizontal="center"/>
    </xf>
    <xf numFmtId="0" fontId="10" fillId="0" borderId="9" xfId="0" quotePrefix="1" applyNumberFormat="1" applyFont="1" applyBorder="1" applyAlignment="1" applyProtection="1">
      <alignment horizontal="center"/>
    </xf>
    <xf numFmtId="165" fontId="13" fillId="0" borderId="0" xfId="0" applyFont="1" applyAlignment="1" applyProtection="1">
      <alignment horizontal="right"/>
    </xf>
    <xf numFmtId="165" fontId="31" fillId="3" borderId="88" xfId="0" applyFont="1" applyFill="1" applyBorder="1" applyProtection="1"/>
    <xf numFmtId="165" fontId="10" fillId="3" borderId="88" xfId="0" applyFont="1" applyFill="1" applyBorder="1" applyProtection="1"/>
    <xf numFmtId="165" fontId="32" fillId="0" borderId="0" xfId="0" applyFont="1" applyAlignment="1" applyProtection="1">
      <alignment horizontal="center" wrapText="1"/>
    </xf>
    <xf numFmtId="165" fontId="32" fillId="0" borderId="0" xfId="0" quotePrefix="1" applyFont="1" applyAlignment="1" applyProtection="1">
      <alignment horizontal="right"/>
    </xf>
    <xf numFmtId="165" fontId="10" fillId="0" borderId="126" xfId="0" applyFont="1" applyBorder="1" applyProtection="1"/>
    <xf numFmtId="165" fontId="10" fillId="0" borderId="0" xfId="0" applyFont="1" applyAlignment="1" applyProtection="1">
      <alignment horizontal="right"/>
    </xf>
    <xf numFmtId="165" fontId="32" fillId="0" borderId="0" xfId="0" applyFont="1" applyAlignment="1" applyProtection="1">
      <alignment horizontal="right"/>
    </xf>
    <xf numFmtId="165" fontId="10" fillId="0" borderId="10" xfId="0" applyFont="1" applyBorder="1" applyProtection="1"/>
    <xf numFmtId="165" fontId="14" fillId="0" borderId="9" xfId="0" applyFont="1" applyBorder="1" applyProtection="1"/>
    <xf numFmtId="165" fontId="36" fillId="0" borderId="0" xfId="0" applyFont="1" applyProtection="1"/>
    <xf numFmtId="43" fontId="10" fillId="0" borderId="12" xfId="1" quotePrefix="1" applyFont="1" applyBorder="1" applyProtection="1"/>
    <xf numFmtId="0" fontId="10" fillId="0" borderId="0" xfId="7" applyNumberFormat="1" applyFont="1" applyProtection="1">
      <protection locked="0"/>
    </xf>
    <xf numFmtId="43" fontId="8" fillId="0" borderId="0" xfId="15" applyFont="1" applyProtection="1">
      <protection locked="0"/>
    </xf>
    <xf numFmtId="165" fontId="0" fillId="0" borderId="0" xfId="0" applyAlignment="1" applyProtection="1">
      <alignment vertical="center"/>
      <protection locked="0"/>
    </xf>
    <xf numFmtId="43" fontId="8" fillId="0" borderId="0" xfId="15" applyFont="1" applyFill="1" applyProtection="1">
      <protection locked="0"/>
    </xf>
    <xf numFmtId="0" fontId="20" fillId="0" borderId="20" xfId="9" applyFont="1" applyProtection="1"/>
    <xf numFmtId="0" fontId="18" fillId="0" borderId="20" xfId="9" applyProtection="1"/>
    <xf numFmtId="43" fontId="18" fillId="0" borderId="20" xfId="15" applyFont="1" applyBorder="1" applyProtection="1"/>
    <xf numFmtId="0" fontId="18" fillId="0" borderId="20" xfId="8" applyProtection="1">
      <alignment horizontal="right"/>
    </xf>
    <xf numFmtId="0" fontId="20" fillId="0" borderId="20" xfId="8" applyFont="1" applyProtection="1">
      <alignment horizontal="right"/>
    </xf>
    <xf numFmtId="43" fontId="8" fillId="0" borderId="0" xfId="15" applyFont="1" applyProtection="1"/>
    <xf numFmtId="0" fontId="10" fillId="0" borderId="0" xfId="7" applyNumberFormat="1" applyFont="1" applyAlignment="1" applyProtection="1">
      <alignment vertical="center"/>
    </xf>
    <xf numFmtId="43" fontId="8" fillId="0" borderId="0" xfId="15" applyFont="1" applyAlignment="1" applyProtection="1">
      <alignment vertical="center"/>
    </xf>
    <xf numFmtId="165" fontId="10" fillId="0" borderId="13" xfId="7" applyFont="1" applyBorder="1" applyAlignment="1" applyProtection="1">
      <alignment horizontal="left"/>
    </xf>
    <xf numFmtId="165" fontId="11" fillId="0" borderId="13" xfId="7" applyFont="1" applyBorder="1" applyAlignment="1" applyProtection="1">
      <alignment horizontal="left"/>
    </xf>
    <xf numFmtId="165" fontId="10" fillId="0" borderId="13" xfId="7" applyFont="1" applyBorder="1" applyProtection="1"/>
    <xf numFmtId="0" fontId="10" fillId="0" borderId="13" xfId="7" applyNumberFormat="1" applyFont="1" applyBorder="1" applyProtection="1"/>
    <xf numFmtId="7" fontId="10" fillId="0" borderId="13" xfId="7" applyNumberFormat="1" applyFont="1" applyBorder="1" applyProtection="1"/>
    <xf numFmtId="165" fontId="10" fillId="0" borderId="0" xfId="7" applyFont="1" applyAlignment="1" applyProtection="1">
      <alignment horizontal="left"/>
    </xf>
    <xf numFmtId="166" fontId="8" fillId="0" borderId="11" xfId="7" applyNumberFormat="1" applyFont="1" applyBorder="1" applyAlignment="1" applyProtection="1">
      <alignment horizontal="left"/>
    </xf>
    <xf numFmtId="0" fontId="14" fillId="10" borderId="21" xfId="7" applyNumberFormat="1" applyFont="1" applyFill="1" applyBorder="1" applyAlignment="1" applyProtection="1">
      <alignment horizontal="center"/>
    </xf>
    <xf numFmtId="43" fontId="12" fillId="0" borderId="21" xfId="15" applyFont="1" applyBorder="1" applyAlignment="1" applyProtection="1">
      <alignment horizontal="center"/>
    </xf>
    <xf numFmtId="0" fontId="10" fillId="10" borderId="23" xfId="7" applyNumberFormat="1" applyFont="1" applyFill="1" applyBorder="1" applyAlignment="1" applyProtection="1">
      <alignment horizontal="center"/>
    </xf>
    <xf numFmtId="0" fontId="10" fillId="10" borderId="166" xfId="7" applyNumberFormat="1" applyFont="1" applyFill="1" applyBorder="1" applyAlignment="1" applyProtection="1">
      <alignment horizontal="center"/>
    </xf>
    <xf numFmtId="43" fontId="8" fillId="0" borderId="24" xfId="15" applyFont="1" applyBorder="1" applyProtection="1"/>
    <xf numFmtId="165" fontId="10" fillId="0" borderId="167" xfId="7" applyFont="1" applyBorder="1" applyAlignment="1" applyProtection="1">
      <alignment horizontal="center"/>
    </xf>
    <xf numFmtId="0" fontId="10" fillId="10" borderId="0" xfId="7" applyNumberFormat="1" applyFont="1" applyFill="1" applyAlignment="1" applyProtection="1">
      <alignment horizontal="center"/>
    </xf>
    <xf numFmtId="0" fontId="10" fillId="10" borderId="168" xfId="7" applyNumberFormat="1" applyFont="1" applyFill="1" applyBorder="1" applyAlignment="1" applyProtection="1">
      <alignment horizontal="center"/>
    </xf>
    <xf numFmtId="43" fontId="8" fillId="0" borderId="28" xfId="15" applyFont="1" applyBorder="1" applyAlignment="1" applyProtection="1">
      <alignment horizontal="center"/>
    </xf>
    <xf numFmtId="165" fontId="10" fillId="0" borderId="169" xfId="7" applyFont="1" applyBorder="1" applyAlignment="1" applyProtection="1">
      <alignment horizontal="center"/>
    </xf>
    <xf numFmtId="0" fontId="10" fillId="10" borderId="32" xfId="7" applyNumberFormat="1" applyFont="1" applyFill="1" applyBorder="1" applyAlignment="1" applyProtection="1">
      <alignment horizontal="center"/>
    </xf>
    <xf numFmtId="0" fontId="10" fillId="10" borderId="170" xfId="7" applyNumberFormat="1" applyFont="1" applyFill="1" applyBorder="1" applyAlignment="1" applyProtection="1">
      <alignment horizontal="center"/>
    </xf>
    <xf numFmtId="7" fontId="10" fillId="0" borderId="34" xfId="7" applyNumberFormat="1" applyFont="1" applyBorder="1" applyAlignment="1" applyProtection="1">
      <alignment horizontal="center"/>
    </xf>
    <xf numFmtId="43" fontId="8" fillId="0" borderId="34" xfId="15" applyFont="1" applyBorder="1" applyAlignment="1" applyProtection="1">
      <alignment horizontal="center"/>
    </xf>
    <xf numFmtId="165" fontId="10" fillId="0" borderId="171" xfId="7" applyFont="1" applyBorder="1" applyAlignment="1" applyProtection="1">
      <alignment horizontal="center"/>
    </xf>
    <xf numFmtId="49" fontId="10" fillId="0" borderId="0" xfId="7" applyNumberFormat="1" applyFont="1" applyProtection="1"/>
    <xf numFmtId="0" fontId="10" fillId="0" borderId="38" xfId="7" applyNumberFormat="1" applyFont="1" applyBorder="1" applyProtection="1"/>
    <xf numFmtId="0" fontId="10" fillId="0" borderId="172" xfId="7" applyNumberFormat="1" applyFont="1" applyBorder="1" applyProtection="1"/>
    <xf numFmtId="44" fontId="10" fillId="0" borderId="173" xfId="2" applyFont="1" applyBorder="1" applyProtection="1"/>
    <xf numFmtId="7" fontId="11" fillId="0" borderId="173" xfId="7" applyNumberFormat="1" applyFont="1" applyBorder="1" applyProtection="1"/>
    <xf numFmtId="44" fontId="8" fillId="0" borderId="173" xfId="2" applyFont="1" applyBorder="1" applyAlignment="1" applyProtection="1"/>
    <xf numFmtId="44" fontId="11" fillId="0" borderId="173" xfId="2" applyFont="1" applyBorder="1" applyProtection="1"/>
    <xf numFmtId="44" fontId="11" fillId="0" borderId="174" xfId="2" applyFont="1" applyBorder="1" applyProtection="1"/>
    <xf numFmtId="165" fontId="10" fillId="0" borderId="12" xfId="7" applyFont="1" applyBorder="1" applyAlignment="1" applyProtection="1">
      <alignment horizontal="left" vertical="center"/>
    </xf>
    <xf numFmtId="165" fontId="10" fillId="0" borderId="42" xfId="7" applyFont="1" applyBorder="1" applyAlignment="1" applyProtection="1">
      <alignment horizontal="left" vertical="center"/>
    </xf>
    <xf numFmtId="167" fontId="10" fillId="0" borderId="43" xfId="7" applyNumberFormat="1" applyFont="1" applyBorder="1" applyAlignment="1" applyProtection="1">
      <alignment vertical="center"/>
    </xf>
    <xf numFmtId="49" fontId="10" fillId="0" borderId="43" xfId="7" applyNumberFormat="1" applyFont="1" applyBorder="1" applyAlignment="1" applyProtection="1">
      <alignment horizontal="center" vertical="center"/>
    </xf>
    <xf numFmtId="49" fontId="10" fillId="0" borderId="37" xfId="7" applyNumberFormat="1" applyFont="1" applyBorder="1" applyAlignment="1" applyProtection="1">
      <alignment horizontal="center" vertical="center"/>
    </xf>
    <xf numFmtId="0" fontId="10" fillId="0" borderId="175" xfId="7" applyNumberFormat="1" applyFont="1" applyBorder="1" applyAlignment="1" applyProtection="1">
      <alignment horizontal="center" vertical="center"/>
    </xf>
    <xf numFmtId="0" fontId="10" fillId="0" borderId="176" xfId="7" applyNumberFormat="1" applyFont="1" applyBorder="1" applyAlignment="1" applyProtection="1">
      <alignment horizontal="center" vertical="center"/>
    </xf>
    <xf numFmtId="44" fontId="10" fillId="0" borderId="48" xfId="2" applyFont="1" applyBorder="1" applyAlignment="1" applyProtection="1">
      <alignment vertical="center"/>
    </xf>
    <xf numFmtId="7" fontId="11" fillId="4" borderId="177" xfId="7" applyNumberFormat="1" applyFont="1" applyFill="1" applyBorder="1" applyAlignment="1" applyProtection="1">
      <alignment vertical="center"/>
    </xf>
    <xf numFmtId="7" fontId="11" fillId="4" borderId="46" xfId="7" applyNumberFormat="1" applyFont="1" applyFill="1" applyBorder="1" applyAlignment="1" applyProtection="1">
      <alignment vertical="center"/>
    </xf>
    <xf numFmtId="44" fontId="10" fillId="0" borderId="178" xfId="2" applyFont="1" applyBorder="1" applyAlignment="1" applyProtection="1">
      <alignment vertical="center"/>
    </xf>
    <xf numFmtId="165" fontId="10" fillId="11" borderId="12" xfId="7" applyFont="1" applyFill="1" applyBorder="1" applyAlignment="1" applyProtection="1">
      <alignment horizontal="left" vertical="center"/>
    </xf>
    <xf numFmtId="165" fontId="10" fillId="11" borderId="42" xfId="7" applyFont="1" applyFill="1" applyBorder="1" applyAlignment="1" applyProtection="1">
      <alignment horizontal="left" vertical="center"/>
    </xf>
    <xf numFmtId="167" fontId="10" fillId="11" borderId="43" xfId="7" applyNumberFormat="1" applyFont="1" applyFill="1" applyBorder="1" applyAlignment="1" applyProtection="1">
      <alignment horizontal="center" vertical="center"/>
    </xf>
    <xf numFmtId="49" fontId="10" fillId="11" borderId="43" xfId="7" applyNumberFormat="1" applyFont="1" applyFill="1" applyBorder="1" applyAlignment="1" applyProtection="1">
      <alignment horizontal="center" vertical="center"/>
    </xf>
    <xf numFmtId="49" fontId="10" fillId="11" borderId="37" xfId="7" applyNumberFormat="1" applyFont="1" applyFill="1" applyBorder="1" applyAlignment="1" applyProtection="1">
      <alignment horizontal="center" vertical="center"/>
    </xf>
    <xf numFmtId="0" fontId="10" fillId="11" borderId="175" xfId="7" applyNumberFormat="1" applyFont="1" applyFill="1" applyBorder="1" applyAlignment="1" applyProtection="1">
      <alignment horizontal="center" vertical="center"/>
    </xf>
    <xf numFmtId="0" fontId="10" fillId="11" borderId="176" xfId="7" applyNumberFormat="1" applyFont="1" applyFill="1" applyBorder="1" applyAlignment="1" applyProtection="1">
      <alignment horizontal="center" vertical="center"/>
    </xf>
    <xf numFmtId="44" fontId="10" fillId="11" borderId="48" xfId="2" applyFont="1" applyFill="1" applyBorder="1" applyAlignment="1" applyProtection="1">
      <alignment vertical="center"/>
    </xf>
    <xf numFmtId="7" fontId="11" fillId="11" borderId="9" xfId="7" applyNumberFormat="1" applyFont="1" applyFill="1" applyBorder="1" applyAlignment="1" applyProtection="1">
      <alignment vertical="center"/>
    </xf>
    <xf numFmtId="7" fontId="11" fillId="11" borderId="46" xfId="7" applyNumberFormat="1" applyFont="1" applyFill="1" applyBorder="1" applyAlignment="1" applyProtection="1">
      <alignment vertical="center"/>
    </xf>
    <xf numFmtId="44" fontId="10" fillId="11" borderId="178" xfId="2" applyFont="1" applyFill="1" applyBorder="1" applyAlignment="1" applyProtection="1">
      <alignment vertical="center"/>
    </xf>
    <xf numFmtId="44" fontId="10" fillId="11" borderId="179" xfId="2" applyFont="1" applyFill="1" applyBorder="1" applyAlignment="1" applyProtection="1">
      <alignment vertical="center"/>
    </xf>
    <xf numFmtId="165" fontId="10" fillId="0" borderId="43" xfId="7" applyFont="1" applyBorder="1" applyAlignment="1" applyProtection="1">
      <alignment horizontal="center" vertical="center"/>
    </xf>
    <xf numFmtId="0" fontId="10" fillId="0" borderId="175" xfId="7" quotePrefix="1" applyNumberFormat="1" applyFont="1" applyBorder="1" applyAlignment="1" applyProtection="1">
      <alignment horizontal="center" vertical="center"/>
    </xf>
    <xf numFmtId="0" fontId="10" fillId="0" borderId="176" xfId="7" quotePrefix="1" applyNumberFormat="1" applyFont="1" applyBorder="1" applyAlignment="1" applyProtection="1">
      <alignment horizontal="center" vertical="center"/>
    </xf>
    <xf numFmtId="7" fontId="11" fillId="3" borderId="61" xfId="7" applyNumberFormat="1" applyFont="1" applyFill="1" applyBorder="1" applyAlignment="1" applyProtection="1">
      <alignment vertical="center"/>
    </xf>
    <xf numFmtId="44" fontId="11" fillId="4" borderId="50" xfId="2" applyFont="1" applyFill="1" applyBorder="1" applyAlignment="1" applyProtection="1">
      <alignment vertical="center"/>
    </xf>
    <xf numFmtId="7" fontId="11" fillId="4" borderId="50" xfId="7" applyNumberFormat="1" applyFont="1" applyFill="1" applyBorder="1" applyAlignment="1" applyProtection="1">
      <alignment vertical="center"/>
    </xf>
    <xf numFmtId="44" fontId="10" fillId="0" borderId="181" xfId="2" applyFont="1" applyBorder="1" applyAlignment="1" applyProtection="1">
      <alignment vertical="center"/>
    </xf>
    <xf numFmtId="7" fontId="11" fillId="11" borderId="50" xfId="7" applyNumberFormat="1" applyFont="1" applyFill="1" applyBorder="1" applyAlignment="1" applyProtection="1">
      <alignment vertical="center"/>
    </xf>
    <xf numFmtId="44" fontId="11" fillId="11" borderId="50" xfId="2" applyFont="1" applyFill="1" applyBorder="1" applyAlignment="1" applyProtection="1">
      <alignment vertical="center"/>
    </xf>
    <xf numFmtId="44" fontId="10" fillId="11" borderId="181" xfId="2" applyFont="1" applyFill="1" applyBorder="1" applyAlignment="1" applyProtection="1">
      <alignment vertical="center"/>
    </xf>
    <xf numFmtId="165" fontId="10" fillId="0" borderId="43" xfId="7" applyFont="1" applyBorder="1" applyAlignment="1" applyProtection="1">
      <alignment vertical="center"/>
    </xf>
    <xf numFmtId="44" fontId="11" fillId="3" borderId="49" xfId="2" applyFont="1" applyFill="1" applyBorder="1" applyAlignment="1" applyProtection="1">
      <alignment vertical="center"/>
    </xf>
    <xf numFmtId="7" fontId="11" fillId="3" borderId="37" xfId="7" applyNumberFormat="1" applyFont="1" applyFill="1" applyBorder="1" applyAlignment="1" applyProtection="1">
      <alignment vertical="center"/>
    </xf>
    <xf numFmtId="0" fontId="10" fillId="11" borderId="175" xfId="7" quotePrefix="1" applyNumberFormat="1" applyFont="1" applyFill="1" applyBorder="1" applyAlignment="1" applyProtection="1">
      <alignment horizontal="center" vertical="center"/>
    </xf>
    <xf numFmtId="0" fontId="10" fillId="11" borderId="176" xfId="7" quotePrefix="1" applyNumberFormat="1" applyFont="1" applyFill="1" applyBorder="1" applyAlignment="1" applyProtection="1">
      <alignment horizontal="center" vertical="center"/>
    </xf>
    <xf numFmtId="7" fontId="11" fillId="3" borderId="49" xfId="7" applyNumberFormat="1" applyFont="1" applyFill="1" applyBorder="1" applyAlignment="1" applyProtection="1">
      <alignment vertical="center"/>
    </xf>
    <xf numFmtId="165" fontId="10" fillId="0" borderId="51" xfId="7" applyFont="1" applyBorder="1" applyAlignment="1" applyProtection="1">
      <alignment horizontal="left" vertical="center"/>
    </xf>
    <xf numFmtId="165" fontId="10" fillId="0" borderId="52" xfId="7" applyFont="1" applyBorder="1" applyAlignment="1" applyProtection="1">
      <alignment horizontal="center" vertical="center"/>
    </xf>
    <xf numFmtId="49" fontId="10" fillId="0" borderId="52" xfId="7" applyNumberFormat="1" applyFont="1" applyBorder="1" applyAlignment="1" applyProtection="1">
      <alignment horizontal="center" vertical="center"/>
    </xf>
    <xf numFmtId="49" fontId="10" fillId="0" borderId="182" xfId="7" applyNumberFormat="1" applyFont="1" applyBorder="1" applyAlignment="1" applyProtection="1">
      <alignment horizontal="center" vertical="center"/>
    </xf>
    <xf numFmtId="0" fontId="10" fillId="0" borderId="183" xfId="7" quotePrefix="1" applyNumberFormat="1" applyFont="1" applyBorder="1" applyAlignment="1" applyProtection="1">
      <alignment horizontal="center" vertical="center"/>
    </xf>
    <xf numFmtId="0" fontId="10" fillId="0" borderId="184" xfId="7" quotePrefix="1" applyNumberFormat="1" applyFont="1" applyBorder="1" applyAlignment="1" applyProtection="1">
      <alignment horizontal="center" vertical="center"/>
    </xf>
    <xf numFmtId="165" fontId="10" fillId="0" borderId="5" xfId="7" applyFont="1" applyBorder="1" applyAlignment="1" applyProtection="1">
      <alignment horizontal="left" vertical="center"/>
    </xf>
    <xf numFmtId="165" fontId="10" fillId="0" borderId="53" xfId="7" applyFont="1" applyBorder="1" applyAlignment="1" applyProtection="1">
      <alignment vertical="center"/>
    </xf>
    <xf numFmtId="49" fontId="10" fillId="0" borderId="53" xfId="7" applyNumberFormat="1" applyFont="1" applyBorder="1" applyAlignment="1" applyProtection="1">
      <alignment horizontal="center" vertical="center"/>
    </xf>
    <xf numFmtId="49" fontId="10" fillId="0" borderId="13" xfId="7" applyNumberFormat="1" applyFont="1" applyBorder="1" applyAlignment="1" applyProtection="1">
      <alignment horizontal="center" vertical="center"/>
    </xf>
    <xf numFmtId="0" fontId="10" fillId="0" borderId="185" xfId="7" quotePrefix="1" applyNumberFormat="1" applyFont="1" applyBorder="1" applyAlignment="1" applyProtection="1">
      <alignment horizontal="center" vertical="center"/>
    </xf>
    <xf numFmtId="7" fontId="11" fillId="3" borderId="0" xfId="7" applyNumberFormat="1" applyFont="1" applyFill="1" applyAlignment="1" applyProtection="1">
      <alignment vertical="center"/>
    </xf>
    <xf numFmtId="44" fontId="11" fillId="3" borderId="186" xfId="2" applyFont="1" applyFill="1" applyBorder="1" applyAlignment="1" applyProtection="1">
      <alignment vertical="center"/>
    </xf>
    <xf numFmtId="7" fontId="11" fillId="3" borderId="9" xfId="7" applyNumberFormat="1" applyFont="1" applyFill="1" applyBorder="1" applyAlignment="1" applyProtection="1">
      <alignment vertical="center"/>
    </xf>
    <xf numFmtId="7" fontId="11" fillId="3" borderId="187" xfId="7" applyNumberFormat="1" applyFont="1" applyFill="1" applyBorder="1" applyAlignment="1" applyProtection="1">
      <alignment vertical="center"/>
    </xf>
    <xf numFmtId="44" fontId="10" fillId="0" borderId="179" xfId="2" applyFont="1" applyBorder="1" applyAlignment="1" applyProtection="1">
      <alignment vertical="center"/>
    </xf>
    <xf numFmtId="165" fontId="10" fillId="0" borderId="3" xfId="7" applyFont="1" applyBorder="1" applyAlignment="1" applyProtection="1">
      <alignment horizontal="left" vertical="center"/>
    </xf>
    <xf numFmtId="165" fontId="10" fillId="0" borderId="188" xfId="7" applyFont="1" applyBorder="1" applyAlignment="1" applyProtection="1">
      <alignment vertical="center"/>
    </xf>
    <xf numFmtId="49" fontId="10" fillId="0" borderId="9" xfId="7" applyNumberFormat="1" applyFont="1" applyBorder="1" applyAlignment="1" applyProtection="1">
      <alignment horizontal="center" vertical="center"/>
    </xf>
    <xf numFmtId="44" fontId="11" fillId="0" borderId="49" xfId="2" applyFont="1" applyFill="1" applyBorder="1" applyAlignment="1" applyProtection="1">
      <alignment vertical="center"/>
    </xf>
    <xf numFmtId="7" fontId="11" fillId="4" borderId="56" xfId="7" applyNumberFormat="1" applyFont="1" applyFill="1" applyBorder="1" applyAlignment="1" applyProtection="1">
      <alignment vertical="center"/>
    </xf>
    <xf numFmtId="44" fontId="10" fillId="0" borderId="189" xfId="2" applyFont="1" applyBorder="1" applyAlignment="1" applyProtection="1">
      <alignment vertical="center"/>
    </xf>
    <xf numFmtId="165" fontId="14" fillId="6" borderId="36" xfId="7" applyFont="1" applyFill="1" applyBorder="1" applyAlignment="1" applyProtection="1">
      <alignment horizontal="left" vertical="center"/>
    </xf>
    <xf numFmtId="167" fontId="10" fillId="0" borderId="27" xfId="7" applyNumberFormat="1" applyFont="1" applyBorder="1" applyAlignment="1" applyProtection="1">
      <alignment vertical="center"/>
    </xf>
    <xf numFmtId="49" fontId="14" fillId="0" borderId="27" xfId="7" applyNumberFormat="1" applyFont="1" applyBorder="1" applyAlignment="1" applyProtection="1">
      <alignment vertical="center"/>
    </xf>
    <xf numFmtId="49" fontId="10" fillId="0" borderId="0" xfId="7" applyNumberFormat="1" applyFont="1" applyAlignment="1" applyProtection="1">
      <alignment vertical="center"/>
    </xf>
    <xf numFmtId="0" fontId="10" fillId="0" borderId="190" xfId="7" applyNumberFormat="1" applyFont="1" applyBorder="1" applyAlignment="1" applyProtection="1">
      <alignment vertical="center"/>
    </xf>
    <xf numFmtId="0" fontId="10" fillId="0" borderId="168" xfId="7" applyNumberFormat="1" applyFont="1" applyBorder="1" applyAlignment="1" applyProtection="1">
      <alignment vertical="center"/>
    </xf>
    <xf numFmtId="44" fontId="10" fillId="0" borderId="76" xfId="2" applyFont="1" applyBorder="1" applyAlignment="1" applyProtection="1">
      <alignment vertical="center"/>
    </xf>
    <xf numFmtId="7" fontId="11" fillId="0" borderId="56" xfId="7" applyNumberFormat="1" applyFont="1" applyBorder="1" applyAlignment="1" applyProtection="1">
      <alignment vertical="center"/>
    </xf>
    <xf numFmtId="44" fontId="11" fillId="0" borderId="56" xfId="2" applyFont="1" applyBorder="1" applyAlignment="1" applyProtection="1">
      <alignment vertical="center"/>
    </xf>
    <xf numFmtId="44" fontId="11" fillId="0" borderId="191" xfId="2" applyFont="1" applyBorder="1" applyAlignment="1" applyProtection="1">
      <alignment vertical="center"/>
    </xf>
    <xf numFmtId="165" fontId="10" fillId="0" borderId="26" xfId="7" applyFont="1" applyBorder="1" applyAlignment="1" applyProtection="1">
      <alignment horizontal="left" vertical="center"/>
    </xf>
    <xf numFmtId="49" fontId="10" fillId="0" borderId="27" xfId="7" applyNumberFormat="1" applyFont="1" applyBorder="1" applyAlignment="1" applyProtection="1">
      <alignment vertical="center"/>
    </xf>
    <xf numFmtId="7" fontId="11" fillId="4" borderId="192" xfId="7" applyNumberFormat="1" applyFont="1" applyFill="1" applyBorder="1" applyAlignment="1" applyProtection="1">
      <alignment vertical="center"/>
    </xf>
    <xf numFmtId="44" fontId="8" fillId="0" borderId="192" xfId="2" applyFont="1" applyBorder="1" applyAlignment="1" applyProtection="1">
      <alignment vertical="center"/>
    </xf>
    <xf numFmtId="44" fontId="11" fillId="0" borderId="192" xfId="2" applyFont="1" applyBorder="1" applyAlignment="1" applyProtection="1">
      <alignment vertical="center"/>
    </xf>
    <xf numFmtId="7" fontId="11" fillId="0" borderId="192" xfId="7" applyNumberFormat="1" applyFont="1" applyBorder="1" applyAlignment="1" applyProtection="1">
      <alignment vertical="center"/>
    </xf>
    <xf numFmtId="44" fontId="11" fillId="0" borderId="189" xfId="2" applyFont="1" applyBorder="1" applyAlignment="1" applyProtection="1">
      <alignment vertical="center"/>
    </xf>
    <xf numFmtId="44" fontId="11" fillId="11" borderId="46" xfId="2" applyFont="1" applyFill="1" applyBorder="1" applyAlignment="1" applyProtection="1">
      <alignment vertical="center"/>
    </xf>
    <xf numFmtId="44" fontId="10" fillId="11" borderId="189" xfId="2" applyFont="1" applyFill="1" applyBorder="1" applyAlignment="1" applyProtection="1">
      <alignment vertical="center"/>
    </xf>
    <xf numFmtId="165" fontId="8" fillId="11" borderId="46" xfId="0" applyFont="1" applyFill="1" applyBorder="1" applyAlignment="1" applyProtection="1">
      <alignment horizontal="right" vertical="center"/>
    </xf>
    <xf numFmtId="44" fontId="8" fillId="11" borderId="179" xfId="2" applyFont="1" applyFill="1" applyBorder="1" applyAlignment="1" applyProtection="1">
      <alignment vertical="center"/>
    </xf>
    <xf numFmtId="49" fontId="10" fillId="0" borderId="55" xfId="7" applyNumberFormat="1" applyFont="1" applyBorder="1" applyAlignment="1" applyProtection="1">
      <alignment horizontal="center" vertical="center"/>
    </xf>
    <xf numFmtId="49" fontId="10" fillId="0" borderId="59" xfId="7" applyNumberFormat="1" applyFont="1" applyBorder="1" applyAlignment="1" applyProtection="1">
      <alignment horizontal="center" vertical="center"/>
    </xf>
    <xf numFmtId="0" fontId="10" fillId="0" borderId="193" xfId="7" applyNumberFormat="1" applyFont="1" applyBorder="1" applyAlignment="1" applyProtection="1">
      <alignment vertical="center"/>
    </xf>
    <xf numFmtId="0" fontId="10" fillId="0" borderId="184" xfId="7" applyNumberFormat="1" applyFont="1" applyBorder="1" applyAlignment="1" applyProtection="1">
      <alignment vertical="center"/>
    </xf>
    <xf numFmtId="7" fontId="10" fillId="0" borderId="59" xfId="7" applyNumberFormat="1" applyFont="1" applyBorder="1" applyAlignment="1" applyProtection="1">
      <alignment horizontal="right" vertical="center"/>
    </xf>
    <xf numFmtId="44" fontId="11" fillId="4" borderId="56" xfId="2" applyFont="1" applyFill="1" applyBorder="1" applyAlignment="1" applyProtection="1">
      <alignment horizontal="right" vertical="center"/>
    </xf>
    <xf numFmtId="7" fontId="11" fillId="4" borderId="56" xfId="7" applyNumberFormat="1" applyFont="1" applyFill="1" applyBorder="1" applyAlignment="1" applyProtection="1">
      <alignment horizontal="right" vertical="center"/>
    </xf>
    <xf numFmtId="44" fontId="10" fillId="0" borderId="191" xfId="2" applyFont="1" applyBorder="1" applyAlignment="1" applyProtection="1">
      <alignment vertical="center"/>
    </xf>
    <xf numFmtId="49" fontId="10" fillId="0" borderId="61" xfId="7" applyNumberFormat="1" applyFont="1" applyBorder="1" applyAlignment="1" applyProtection="1">
      <alignment horizontal="center" vertical="center"/>
    </xf>
    <xf numFmtId="49" fontId="10" fillId="0" borderId="48" xfId="7" applyNumberFormat="1" applyFont="1" applyBorder="1" applyAlignment="1" applyProtection="1">
      <alignment horizontal="center" vertical="center"/>
    </xf>
    <xf numFmtId="44" fontId="10" fillId="0" borderId="48" xfId="2" applyFont="1" applyBorder="1" applyAlignment="1" applyProtection="1">
      <alignment horizontal="right" vertical="center"/>
    </xf>
    <xf numFmtId="165" fontId="8" fillId="4" borderId="46" xfId="0" applyFont="1" applyFill="1" applyBorder="1" applyAlignment="1" applyProtection="1">
      <alignment horizontal="right" vertical="center"/>
    </xf>
    <xf numFmtId="44" fontId="8" fillId="0" borderId="179" xfId="2" applyFont="1" applyBorder="1" applyAlignment="1" applyProtection="1">
      <alignment vertical="center"/>
    </xf>
    <xf numFmtId="44" fontId="10" fillId="11" borderId="48" xfId="2" applyFont="1" applyFill="1" applyBorder="1" applyAlignment="1" applyProtection="1">
      <alignment horizontal="right" vertical="center"/>
    </xf>
    <xf numFmtId="44" fontId="10" fillId="0" borderId="195" xfId="2" applyFont="1" applyBorder="1" applyAlignment="1" applyProtection="1">
      <alignment horizontal="right" vertical="center"/>
    </xf>
    <xf numFmtId="44" fontId="10" fillId="0" borderId="196" xfId="2" applyFont="1" applyBorder="1" applyAlignment="1" applyProtection="1">
      <alignment horizontal="right" vertical="center"/>
    </xf>
    <xf numFmtId="165" fontId="10" fillId="11" borderId="43" xfId="7" applyFont="1" applyFill="1" applyBorder="1" applyAlignment="1" applyProtection="1">
      <alignment horizontal="center" vertical="center"/>
    </xf>
    <xf numFmtId="165" fontId="10" fillId="0" borderId="27" xfId="7" applyFont="1" applyBorder="1" applyAlignment="1" applyProtection="1">
      <alignment vertical="center"/>
    </xf>
    <xf numFmtId="44" fontId="10" fillId="0" borderId="64" xfId="2" applyFont="1" applyBorder="1" applyAlignment="1" applyProtection="1">
      <alignment vertical="center"/>
    </xf>
    <xf numFmtId="49" fontId="10" fillId="11" borderId="37" xfId="7" quotePrefix="1" applyNumberFormat="1" applyFont="1" applyFill="1" applyBorder="1" applyAlignment="1" applyProtection="1">
      <alignment horizontal="center" vertical="center"/>
    </xf>
    <xf numFmtId="44" fontId="10" fillId="11" borderId="64" xfId="2" applyFont="1" applyFill="1" applyBorder="1" applyAlignment="1" applyProtection="1">
      <alignment vertical="center"/>
    </xf>
    <xf numFmtId="44" fontId="10" fillId="0" borderId="197" xfId="2" applyFont="1" applyBorder="1" applyAlignment="1" applyProtection="1">
      <alignment vertical="center"/>
    </xf>
    <xf numFmtId="44" fontId="10" fillId="11" borderId="197" xfId="2" applyFont="1" applyFill="1" applyBorder="1" applyAlignment="1" applyProtection="1">
      <alignment vertical="center"/>
    </xf>
    <xf numFmtId="44" fontId="10" fillId="0" borderId="28" xfId="2" applyFont="1" applyBorder="1" applyAlignment="1" applyProtection="1">
      <alignment vertical="center"/>
    </xf>
    <xf numFmtId="7" fontId="11" fillId="0" borderId="76" xfId="7" applyNumberFormat="1" applyFont="1" applyBorder="1" applyAlignment="1" applyProtection="1">
      <alignment vertical="center"/>
    </xf>
    <xf numFmtId="44" fontId="11" fillId="0" borderId="181" xfId="2" applyFont="1" applyBorder="1" applyAlignment="1" applyProtection="1">
      <alignment vertical="center"/>
    </xf>
    <xf numFmtId="165" fontId="10" fillId="0" borderId="43" xfId="7" quotePrefix="1" applyFont="1" applyBorder="1" applyAlignment="1" applyProtection="1">
      <alignment horizontal="center" vertical="center"/>
    </xf>
    <xf numFmtId="44" fontId="11" fillId="3" borderId="61" xfId="2" applyFont="1" applyFill="1" applyBorder="1" applyAlignment="1" applyProtection="1">
      <alignment vertical="center"/>
    </xf>
    <xf numFmtId="7" fontId="11" fillId="3" borderId="48" xfId="7" applyNumberFormat="1" applyFont="1" applyFill="1" applyBorder="1" applyAlignment="1" applyProtection="1">
      <alignment vertical="center"/>
    </xf>
    <xf numFmtId="165" fontId="10" fillId="11" borderId="43" xfId="7" quotePrefix="1" applyFont="1" applyFill="1" applyBorder="1" applyAlignment="1" applyProtection="1">
      <alignment horizontal="center" vertical="center"/>
    </xf>
    <xf numFmtId="44" fontId="11" fillId="11" borderId="56" xfId="2" applyFont="1" applyFill="1" applyBorder="1" applyAlignment="1" applyProtection="1">
      <alignment vertical="center"/>
    </xf>
    <xf numFmtId="7" fontId="11" fillId="11" borderId="56" xfId="7" applyNumberFormat="1" applyFont="1" applyFill="1" applyBorder="1" applyAlignment="1" applyProtection="1">
      <alignment vertical="center"/>
    </xf>
    <xf numFmtId="7" fontId="11" fillId="4" borderId="65" xfId="7" applyNumberFormat="1" applyFont="1" applyFill="1" applyBorder="1" applyAlignment="1" applyProtection="1">
      <alignment vertical="center"/>
    </xf>
    <xf numFmtId="44" fontId="11" fillId="11" borderId="65" xfId="2" applyFont="1" applyFill="1" applyBorder="1" applyAlignment="1" applyProtection="1">
      <alignment vertical="center"/>
    </xf>
    <xf numFmtId="7" fontId="11" fillId="11" borderId="65" xfId="7" applyNumberFormat="1" applyFont="1" applyFill="1" applyBorder="1" applyAlignment="1" applyProtection="1">
      <alignment vertical="center"/>
    </xf>
    <xf numFmtId="165" fontId="14" fillId="6" borderId="198" xfId="7" applyFont="1" applyFill="1" applyBorder="1" applyAlignment="1" applyProtection="1">
      <alignment vertical="center"/>
    </xf>
    <xf numFmtId="165" fontId="8" fillId="0" borderId="199" xfId="7" applyFont="1" applyBorder="1" applyAlignment="1" applyProtection="1">
      <alignment vertical="center"/>
    </xf>
    <xf numFmtId="165" fontId="8" fillId="0" borderId="60" xfId="7" applyFont="1" applyBorder="1" applyAlignment="1" applyProtection="1">
      <alignment vertical="center"/>
    </xf>
    <xf numFmtId="165" fontId="8" fillId="0" borderId="200" xfId="7" applyFont="1" applyBorder="1" applyAlignment="1" applyProtection="1">
      <alignment vertical="center"/>
    </xf>
    <xf numFmtId="165" fontId="8" fillId="3" borderId="69" xfId="7" applyFont="1" applyFill="1" applyBorder="1" applyAlignment="1" applyProtection="1">
      <alignment vertical="center"/>
    </xf>
    <xf numFmtId="165" fontId="8" fillId="3" borderId="201" xfId="7" applyFont="1" applyFill="1" applyBorder="1" applyAlignment="1" applyProtection="1">
      <alignment vertical="center"/>
    </xf>
    <xf numFmtId="165" fontId="8" fillId="3" borderId="70" xfId="7" applyFont="1" applyFill="1" applyBorder="1" applyAlignment="1" applyProtection="1">
      <alignment vertical="center"/>
    </xf>
    <xf numFmtId="7" fontId="8" fillId="4" borderId="37" xfId="7" applyNumberFormat="1" applyFont="1" applyFill="1" applyBorder="1" applyAlignment="1" applyProtection="1">
      <alignment vertical="center"/>
    </xf>
    <xf numFmtId="10" fontId="8" fillId="4" borderId="50" xfId="15" applyNumberFormat="1" applyFont="1" applyFill="1" applyBorder="1" applyAlignment="1" applyProtection="1">
      <alignment vertical="center"/>
    </xf>
    <xf numFmtId="7" fontId="8" fillId="0" borderId="37" xfId="7" applyNumberFormat="1" applyFont="1" applyBorder="1" applyAlignment="1" applyProtection="1">
      <alignment vertical="center"/>
    </xf>
    <xf numFmtId="7" fontId="8" fillId="3" borderId="202" xfId="7" applyNumberFormat="1" applyFont="1" applyFill="1" applyBorder="1" applyAlignment="1" applyProtection="1">
      <alignment vertical="center"/>
    </xf>
    <xf numFmtId="7" fontId="8" fillId="4" borderId="43" xfId="7" applyNumberFormat="1" applyFont="1" applyFill="1" applyBorder="1" applyAlignment="1" applyProtection="1">
      <alignment vertical="center"/>
    </xf>
    <xf numFmtId="43" fontId="8" fillId="0" borderId="74" xfId="15" applyFont="1" applyFill="1" applyBorder="1" applyAlignment="1" applyProtection="1">
      <alignment vertical="center"/>
    </xf>
    <xf numFmtId="7" fontId="8" fillId="0" borderId="43" xfId="7" applyNumberFormat="1" applyFont="1" applyBorder="1" applyAlignment="1" applyProtection="1">
      <alignment vertical="center"/>
    </xf>
    <xf numFmtId="165" fontId="14" fillId="0" borderId="27" xfId="7" applyFont="1" applyBorder="1" applyAlignment="1" applyProtection="1">
      <alignment vertical="center"/>
    </xf>
    <xf numFmtId="7" fontId="11" fillId="0" borderId="55" xfId="7" applyNumberFormat="1" applyFont="1" applyBorder="1" applyAlignment="1" applyProtection="1">
      <alignment vertical="center"/>
    </xf>
    <xf numFmtId="43" fontId="8" fillId="0" borderId="55" xfId="15" applyFont="1" applyBorder="1" applyAlignment="1" applyProtection="1">
      <alignment vertical="center"/>
    </xf>
    <xf numFmtId="7" fontId="11" fillId="0" borderId="200" xfId="7" applyNumberFormat="1" applyFont="1" applyBorder="1" applyAlignment="1" applyProtection="1">
      <alignment vertical="center"/>
    </xf>
    <xf numFmtId="7" fontId="11" fillId="4" borderId="28" xfId="7" applyNumberFormat="1" applyFont="1" applyFill="1" applyBorder="1" applyAlignment="1" applyProtection="1">
      <alignment vertical="center"/>
    </xf>
    <xf numFmtId="43" fontId="8" fillId="0" borderId="28" xfId="15" applyFont="1" applyBorder="1" applyAlignment="1" applyProtection="1">
      <alignment vertical="center"/>
    </xf>
    <xf numFmtId="7" fontId="11" fillId="0" borderId="28" xfId="7" applyNumberFormat="1" applyFont="1" applyBorder="1" applyAlignment="1" applyProtection="1">
      <alignment vertical="center"/>
    </xf>
    <xf numFmtId="7" fontId="11" fillId="0" borderId="203" xfId="7" applyNumberFormat="1" applyFont="1" applyBorder="1" applyAlignment="1" applyProtection="1">
      <alignment vertical="center"/>
    </xf>
    <xf numFmtId="44" fontId="11" fillId="11" borderId="49" xfId="2" applyFont="1" applyFill="1" applyBorder="1" applyAlignment="1" applyProtection="1">
      <alignment vertical="center"/>
    </xf>
    <xf numFmtId="7" fontId="11" fillId="11" borderId="37" xfId="7" applyNumberFormat="1" applyFont="1" applyFill="1" applyBorder="1" applyAlignment="1" applyProtection="1">
      <alignment vertical="center"/>
    </xf>
    <xf numFmtId="44" fontId="10" fillId="11" borderId="191" xfId="2" applyFont="1" applyFill="1" applyBorder="1" applyAlignment="1" applyProtection="1">
      <alignment vertical="center"/>
    </xf>
    <xf numFmtId="165" fontId="10" fillId="0" borderId="86" xfId="7" applyFont="1" applyBorder="1" applyAlignment="1" applyProtection="1">
      <alignment horizontal="left" vertical="center"/>
    </xf>
    <xf numFmtId="165" fontId="10" fillId="0" borderId="205" xfId="7" applyFont="1" applyBorder="1" applyAlignment="1" applyProtection="1">
      <alignment horizontal="left" vertical="center"/>
    </xf>
    <xf numFmtId="165" fontId="10" fillId="0" borderId="54" xfId="7" applyFont="1" applyBorder="1" applyAlignment="1" applyProtection="1">
      <alignment vertical="center"/>
    </xf>
    <xf numFmtId="49" fontId="10" fillId="0" borderId="49" xfId="7" applyNumberFormat="1" applyFont="1" applyBorder="1" applyAlignment="1" applyProtection="1">
      <alignment horizontal="center" vertical="center"/>
    </xf>
    <xf numFmtId="49" fontId="10" fillId="0" borderId="186" xfId="7" applyNumberFormat="1" applyFont="1" applyBorder="1" applyAlignment="1" applyProtection="1">
      <alignment horizontal="center" vertical="center"/>
    </xf>
    <xf numFmtId="0" fontId="10" fillId="0" borderId="206" xfId="7" applyNumberFormat="1" applyFont="1" applyBorder="1" applyAlignment="1" applyProtection="1">
      <alignment horizontal="center" vertical="center"/>
    </xf>
    <xf numFmtId="0" fontId="10" fillId="0" borderId="207" xfId="7" applyNumberFormat="1" applyFont="1" applyBorder="1" applyAlignment="1" applyProtection="1">
      <alignment horizontal="center" vertical="center"/>
    </xf>
    <xf numFmtId="7" fontId="11" fillId="3" borderId="78" xfId="7" applyNumberFormat="1" applyFont="1" applyFill="1" applyBorder="1" applyAlignment="1" applyProtection="1">
      <alignment vertical="center"/>
    </xf>
    <xf numFmtId="44" fontId="10" fillId="0" borderId="208" xfId="2" applyFont="1" applyBorder="1" applyAlignment="1" applyProtection="1">
      <alignment vertical="center"/>
    </xf>
    <xf numFmtId="165" fontId="10" fillId="11" borderId="3" xfId="7" applyFont="1" applyFill="1" applyBorder="1" applyAlignment="1" applyProtection="1">
      <alignment horizontal="left" vertical="center"/>
    </xf>
    <xf numFmtId="165" fontId="10" fillId="11" borderId="79" xfId="7" applyFont="1" applyFill="1" applyBorder="1" applyAlignment="1" applyProtection="1">
      <alignment horizontal="center" vertical="center"/>
    </xf>
    <xf numFmtId="44" fontId="11" fillId="11" borderId="61" xfId="2" applyFont="1" applyFill="1" applyBorder="1" applyAlignment="1" applyProtection="1">
      <alignment vertical="center"/>
    </xf>
    <xf numFmtId="44" fontId="10" fillId="11" borderId="224" xfId="2" applyFont="1" applyFill="1" applyBorder="1" applyAlignment="1" applyProtection="1">
      <alignment vertical="center"/>
    </xf>
    <xf numFmtId="165" fontId="10" fillId="0" borderId="123" xfId="7" applyFont="1" applyBorder="1" applyAlignment="1" applyProtection="1">
      <alignment horizontal="left" vertical="center"/>
    </xf>
    <xf numFmtId="49" fontId="10" fillId="0" borderId="27" xfId="7" applyNumberFormat="1" applyFont="1" applyBorder="1" applyAlignment="1" applyProtection="1">
      <alignment horizontal="center" vertical="center"/>
    </xf>
    <xf numFmtId="49" fontId="10" fillId="0" borderId="0" xfId="7" applyNumberFormat="1" applyFont="1" applyAlignment="1" applyProtection="1">
      <alignment horizontal="center" vertical="center"/>
    </xf>
    <xf numFmtId="0" fontId="10" fillId="0" borderId="190" xfId="7" applyNumberFormat="1" applyFont="1" applyBorder="1" applyAlignment="1" applyProtection="1">
      <alignment horizontal="center" vertical="center"/>
    </xf>
    <xf numFmtId="0" fontId="10" fillId="0" borderId="168" xfId="7" applyNumberFormat="1" applyFont="1" applyBorder="1" applyAlignment="1" applyProtection="1">
      <alignment horizontal="center" vertical="center"/>
    </xf>
    <xf numFmtId="44" fontId="11" fillId="3" borderId="55" xfId="2" applyFont="1" applyFill="1" applyBorder="1" applyAlignment="1" applyProtection="1">
      <alignment vertical="center"/>
    </xf>
    <xf numFmtId="44" fontId="11" fillId="4" borderId="56" xfId="2" applyFont="1" applyFill="1" applyBorder="1" applyAlignment="1" applyProtection="1">
      <alignment vertical="center"/>
    </xf>
    <xf numFmtId="165" fontId="10" fillId="0" borderId="79" xfId="7" applyFont="1" applyBorder="1" applyAlignment="1" applyProtection="1">
      <alignment vertical="center"/>
    </xf>
    <xf numFmtId="49" fontId="10" fillId="0" borderId="79" xfId="7" applyNumberFormat="1" applyFont="1" applyBorder="1" applyAlignment="1" applyProtection="1">
      <alignment horizontal="center" vertical="center"/>
    </xf>
    <xf numFmtId="49" fontId="10" fillId="0" borderId="209" xfId="7" applyNumberFormat="1" applyFont="1" applyBorder="1" applyAlignment="1" applyProtection="1">
      <alignment horizontal="center" vertical="center"/>
    </xf>
    <xf numFmtId="0" fontId="10" fillId="0" borderId="210" xfId="7" applyNumberFormat="1" applyFont="1" applyBorder="1" applyAlignment="1" applyProtection="1">
      <alignment horizontal="center" vertical="center"/>
    </xf>
    <xf numFmtId="0" fontId="10" fillId="0" borderId="211" xfId="7" applyNumberFormat="1" applyFont="1" applyBorder="1" applyAlignment="1" applyProtection="1">
      <alignment horizontal="center" vertical="center"/>
    </xf>
    <xf numFmtId="44" fontId="11" fillId="3" borderId="212" xfId="2" applyFont="1" applyFill="1" applyBorder="1" applyAlignment="1" applyProtection="1">
      <alignment vertical="center"/>
    </xf>
    <xf numFmtId="7" fontId="11" fillId="3" borderId="209" xfId="7" applyNumberFormat="1" applyFont="1" applyFill="1" applyBorder="1" applyAlignment="1" applyProtection="1">
      <alignment vertical="center"/>
    </xf>
    <xf numFmtId="44" fontId="10" fillId="0" borderId="213" xfId="2" applyFont="1" applyBorder="1" applyAlignment="1" applyProtection="1">
      <alignment vertical="center"/>
    </xf>
    <xf numFmtId="165" fontId="10" fillId="0" borderId="210" xfId="7" applyFont="1" applyBorder="1" applyAlignment="1" applyProtection="1">
      <alignment horizontal="left" vertical="center"/>
    </xf>
    <xf numFmtId="165" fontId="10" fillId="0" borderId="14" xfId="7" applyFont="1" applyBorder="1" applyAlignment="1" applyProtection="1">
      <alignment horizontal="left" vertical="center"/>
    </xf>
    <xf numFmtId="165" fontId="10" fillId="0" borderId="81" xfId="7" applyFont="1" applyBorder="1" applyAlignment="1" applyProtection="1">
      <alignment vertical="center"/>
    </xf>
    <xf numFmtId="49" fontId="10" fillId="0" borderId="81" xfId="7" applyNumberFormat="1" applyFont="1" applyBorder="1" applyAlignment="1" applyProtection="1">
      <alignment horizontal="center" vertical="center"/>
    </xf>
    <xf numFmtId="49" fontId="10" fillId="0" borderId="84" xfId="7" applyNumberFormat="1" applyFont="1" applyBorder="1" applyAlignment="1" applyProtection="1">
      <alignment horizontal="center" vertical="center"/>
    </xf>
    <xf numFmtId="0" fontId="10" fillId="0" borderId="214" xfId="7" applyNumberFormat="1" applyFont="1" applyBorder="1" applyAlignment="1" applyProtection="1">
      <alignment horizontal="center" vertical="center"/>
    </xf>
    <xf numFmtId="0" fontId="10" fillId="0" borderId="215" xfId="7" applyNumberFormat="1" applyFont="1" applyBorder="1" applyAlignment="1" applyProtection="1">
      <alignment horizontal="center" vertical="center"/>
    </xf>
    <xf numFmtId="44" fontId="11" fillId="3" borderId="216" xfId="2" applyFont="1" applyFill="1" applyBorder="1" applyAlignment="1" applyProtection="1">
      <alignment vertical="center"/>
    </xf>
    <xf numFmtId="7" fontId="11" fillId="3" borderId="84" xfId="7" applyNumberFormat="1" applyFont="1" applyFill="1" applyBorder="1" applyAlignment="1" applyProtection="1">
      <alignment vertical="center"/>
    </xf>
    <xf numFmtId="44" fontId="11" fillId="4" borderId="217" xfId="2" applyFont="1" applyFill="1" applyBorder="1" applyAlignment="1" applyProtection="1">
      <alignment vertical="center"/>
    </xf>
    <xf numFmtId="7" fontId="11" fillId="4" borderId="217" xfId="7" applyNumberFormat="1" applyFont="1" applyFill="1" applyBorder="1" applyAlignment="1" applyProtection="1">
      <alignment vertical="center"/>
    </xf>
    <xf numFmtId="44" fontId="10" fillId="0" borderId="218" xfId="2" applyFont="1" applyBorder="1" applyAlignment="1" applyProtection="1">
      <alignment vertical="center"/>
    </xf>
    <xf numFmtId="0" fontId="25" fillId="0" borderId="0" xfId="19" applyFont="1" applyAlignment="1" applyProtection="1">
      <alignment horizontal="center"/>
      <protection locked="0"/>
    </xf>
    <xf numFmtId="0" fontId="25" fillId="0" borderId="0" xfId="19" applyFont="1" applyProtection="1">
      <protection locked="0"/>
    </xf>
    <xf numFmtId="0" fontId="3" fillId="0" borderId="0" xfId="19" applyFont="1" applyProtection="1">
      <protection locked="0"/>
    </xf>
    <xf numFmtId="0" fontId="46" fillId="0" borderId="0" xfId="19" applyProtection="1">
      <protection locked="0"/>
    </xf>
    <xf numFmtId="0" fontId="51" fillId="0" borderId="0" xfId="19" applyFont="1" applyProtection="1">
      <protection locked="0"/>
    </xf>
    <xf numFmtId="0" fontId="25" fillId="20" borderId="268" xfId="19" applyFont="1" applyFill="1" applyBorder="1" applyProtection="1">
      <protection locked="0"/>
    </xf>
    <xf numFmtId="0" fontId="25" fillId="1" borderId="280" xfId="19" applyFont="1" applyFill="1" applyBorder="1" applyProtection="1">
      <protection locked="0"/>
    </xf>
    <xf numFmtId="44" fontId="25" fillId="0" borderId="242" xfId="21" applyFont="1" applyFill="1" applyBorder="1" applyProtection="1">
      <protection locked="0"/>
    </xf>
    <xf numFmtId="44" fontId="25" fillId="0" borderId="282" xfId="21" applyFont="1" applyFill="1" applyBorder="1" applyProtection="1">
      <protection locked="0"/>
    </xf>
    <xf numFmtId="44" fontId="25" fillId="0" borderId="41" xfId="21" applyFont="1" applyFill="1" applyBorder="1" applyProtection="1">
      <protection locked="0"/>
    </xf>
    <xf numFmtId="0" fontId="25" fillId="1" borderId="282" xfId="19" applyFont="1" applyFill="1" applyBorder="1" applyProtection="1">
      <protection locked="0"/>
    </xf>
    <xf numFmtId="44" fontId="25" fillId="0" borderId="280" xfId="21" applyFont="1" applyFill="1" applyBorder="1" applyProtection="1">
      <protection locked="0"/>
    </xf>
    <xf numFmtId="0" fontId="5" fillId="0" borderId="0" xfId="19" applyFont="1" applyProtection="1">
      <protection locked="0"/>
    </xf>
    <xf numFmtId="0" fontId="58" fillId="0" borderId="0" xfId="19" applyFont="1" applyProtection="1">
      <protection locked="0"/>
    </xf>
    <xf numFmtId="0" fontId="12" fillId="0" borderId="0" xfId="19" applyFont="1" applyAlignment="1" applyProtection="1">
      <alignment horizontal="left"/>
    </xf>
    <xf numFmtId="0" fontId="12" fillId="0" borderId="0" xfId="19" applyFont="1" applyAlignment="1" applyProtection="1">
      <alignment horizontal="center"/>
    </xf>
    <xf numFmtId="0" fontId="25" fillId="0" borderId="0" xfId="19" applyFont="1" applyAlignment="1" applyProtection="1">
      <alignment horizontal="center"/>
    </xf>
    <xf numFmtId="0" fontId="12" fillId="0" borderId="0" xfId="19" applyFont="1" applyProtection="1"/>
    <xf numFmtId="0" fontId="25" fillId="0" borderId="0" xfId="19" applyFont="1" applyProtection="1"/>
    <xf numFmtId="0" fontId="25" fillId="10" borderId="264" xfId="19" applyFont="1" applyFill="1" applyBorder="1" applyProtection="1"/>
    <xf numFmtId="0" fontId="25" fillId="10" borderId="265" xfId="19" applyFont="1" applyFill="1" applyBorder="1" applyAlignment="1" applyProtection="1">
      <alignment horizontal="center"/>
    </xf>
    <xf numFmtId="0" fontId="3" fillId="10" borderId="265" xfId="19" applyFont="1" applyFill="1" applyBorder="1" applyAlignment="1" applyProtection="1">
      <alignment horizontal="center"/>
    </xf>
    <xf numFmtId="0" fontId="3" fillId="10" borderId="272" xfId="19" applyFont="1" applyFill="1" applyBorder="1" applyAlignment="1" applyProtection="1">
      <alignment horizontal="center"/>
    </xf>
    <xf numFmtId="0" fontId="2" fillId="10" borderId="265" xfId="19" applyFont="1" applyFill="1" applyBorder="1" applyAlignment="1" applyProtection="1">
      <alignment horizontal="center"/>
    </xf>
    <xf numFmtId="0" fontId="3" fillId="0" borderId="0" xfId="19" applyFont="1" applyProtection="1"/>
    <xf numFmtId="0" fontId="25" fillId="0" borderId="269" xfId="19" applyFont="1" applyBorder="1" applyProtection="1"/>
    <xf numFmtId="0" fontId="25" fillId="0" borderId="9" xfId="19" applyFont="1" applyBorder="1" applyAlignment="1" applyProtection="1">
      <alignment horizontal="center"/>
    </xf>
    <xf numFmtId="0" fontId="3" fillId="0" borderId="0" xfId="19" applyFont="1" applyAlignment="1" applyProtection="1">
      <alignment horizontal="center"/>
    </xf>
    <xf numFmtId="0" fontId="25" fillId="0" borderId="0" xfId="19" quotePrefix="1" applyFont="1" applyProtection="1"/>
    <xf numFmtId="0" fontId="8" fillId="0" borderId="13" xfId="19" quotePrefix="1" applyNumberFormat="1" applyFont="1" applyBorder="1" applyProtection="1"/>
    <xf numFmtId="0" fontId="25" fillId="0" borderId="13" xfId="19" applyFont="1" applyBorder="1" applyProtection="1"/>
    <xf numFmtId="0" fontId="25" fillId="0" borderId="273" xfId="19" applyFont="1" applyBorder="1" applyProtection="1"/>
    <xf numFmtId="0" fontId="25" fillId="0" borderId="0" xfId="19" applyFont="1" applyAlignment="1" applyProtection="1">
      <alignment horizontal="left"/>
    </xf>
    <xf numFmtId="0" fontId="43" fillId="0" borderId="245" xfId="19" applyFont="1" applyBorder="1" applyProtection="1"/>
    <xf numFmtId="0" fontId="43" fillId="0" borderId="245" xfId="19" applyFont="1" applyBorder="1" applyAlignment="1" applyProtection="1">
      <alignment horizontal="center"/>
    </xf>
    <xf numFmtId="0" fontId="43" fillId="0" borderId="245" xfId="19" quotePrefix="1" applyFont="1" applyBorder="1" applyAlignment="1" applyProtection="1">
      <alignment horizontal="center"/>
    </xf>
    <xf numFmtId="0" fontId="43" fillId="0" borderId="262" xfId="19" applyFont="1" applyBorder="1" applyProtection="1"/>
    <xf numFmtId="0" fontId="43" fillId="0" borderId="305" xfId="19" applyFont="1" applyBorder="1" applyAlignment="1" applyProtection="1">
      <alignment horizontal="center"/>
    </xf>
    <xf numFmtId="0" fontId="43" fillId="0" borderId="306" xfId="19" applyFont="1" applyBorder="1" applyAlignment="1" applyProtection="1">
      <alignment horizontal="center"/>
    </xf>
    <xf numFmtId="0" fontId="25" fillId="15" borderId="307" xfId="19" applyFont="1" applyFill="1" applyBorder="1" applyAlignment="1" applyProtection="1">
      <alignment horizontal="center"/>
    </xf>
    <xf numFmtId="0" fontId="25" fillId="15" borderId="308" xfId="19" applyFont="1" applyFill="1" applyBorder="1" applyAlignment="1" applyProtection="1">
      <alignment horizontal="center"/>
    </xf>
    <xf numFmtId="0" fontId="3" fillId="13" borderId="309" xfId="19" applyFont="1" applyFill="1" applyBorder="1" applyAlignment="1" applyProtection="1">
      <alignment horizontal="center"/>
    </xf>
    <xf numFmtId="0" fontId="3" fillId="13" borderId="310" xfId="19" applyFont="1" applyFill="1" applyBorder="1" applyAlignment="1" applyProtection="1">
      <alignment horizontal="center"/>
    </xf>
    <xf numFmtId="0" fontId="3" fillId="12" borderId="309" xfId="19" applyFont="1" applyFill="1" applyBorder="1" applyAlignment="1" applyProtection="1">
      <alignment horizontal="center"/>
    </xf>
    <xf numFmtId="0" fontId="3" fillId="12" borderId="311" xfId="19" applyFont="1" applyFill="1" applyBorder="1" applyAlignment="1" applyProtection="1">
      <alignment horizontal="center"/>
    </xf>
    <xf numFmtId="0" fontId="3" fillId="23" borderId="309" xfId="19" applyFont="1" applyFill="1" applyBorder="1" applyAlignment="1" applyProtection="1">
      <alignment horizontal="center"/>
    </xf>
    <xf numFmtId="0" fontId="3" fillId="23" borderId="311" xfId="19" applyFont="1" applyFill="1" applyBorder="1" applyAlignment="1" applyProtection="1">
      <alignment horizontal="center"/>
    </xf>
    <xf numFmtId="0" fontId="3" fillId="19" borderId="309" xfId="19" applyFont="1" applyFill="1" applyBorder="1" applyAlignment="1" applyProtection="1">
      <alignment horizontal="center"/>
    </xf>
    <xf numFmtId="0" fontId="3" fillId="19" borderId="311" xfId="19" applyFont="1" applyFill="1" applyBorder="1" applyAlignment="1" applyProtection="1">
      <alignment horizontal="center"/>
    </xf>
    <xf numFmtId="0" fontId="25" fillId="0" borderId="45" xfId="19" applyFont="1" applyBorder="1" applyAlignment="1" applyProtection="1">
      <alignment horizontal="center"/>
    </xf>
    <xf numFmtId="0" fontId="25" fillId="0" borderId="45" xfId="19" applyFont="1" applyBorder="1" applyProtection="1"/>
    <xf numFmtId="0" fontId="25" fillId="0" borderId="123" xfId="19" quotePrefix="1" applyFont="1" applyBorder="1" applyAlignment="1" applyProtection="1">
      <alignment horizontal="center"/>
    </xf>
    <xf numFmtId="0" fontId="25" fillId="0" borderId="123" xfId="19" applyFont="1" applyBorder="1" applyProtection="1"/>
    <xf numFmtId="0" fontId="25" fillId="1" borderId="280" xfId="19" applyFont="1" applyFill="1" applyBorder="1" applyProtection="1"/>
    <xf numFmtId="44" fontId="25" fillId="0" borderId="242" xfId="21" applyFont="1" applyFill="1" applyBorder="1" applyProtection="1"/>
    <xf numFmtId="0" fontId="25" fillId="0" borderId="9" xfId="19" applyFont="1" applyBorder="1" applyProtection="1"/>
    <xf numFmtId="0" fontId="25" fillId="0" borderId="12" xfId="19" applyFont="1" applyBorder="1" applyProtection="1"/>
    <xf numFmtId="44" fontId="25" fillId="0" borderId="282" xfId="21" applyFont="1" applyFill="1" applyBorder="1" applyProtection="1"/>
    <xf numFmtId="44" fontId="25" fillId="0" borderId="41" xfId="21" applyFont="1" applyFill="1" applyBorder="1" applyProtection="1"/>
    <xf numFmtId="0" fontId="25" fillId="0" borderId="12" xfId="19" applyFont="1" applyBorder="1" applyAlignment="1" applyProtection="1">
      <alignment horizontal="center"/>
    </xf>
    <xf numFmtId="0" fontId="25" fillId="1" borderId="282" xfId="19" applyFont="1" applyFill="1" applyBorder="1" applyProtection="1"/>
    <xf numFmtId="0" fontId="25" fillId="0" borderId="123" xfId="19" applyFont="1" applyBorder="1" applyAlignment="1" applyProtection="1">
      <alignment horizontal="center"/>
    </xf>
    <xf numFmtId="44" fontId="25" fillId="0" borderId="280" xfId="21" applyFont="1" applyFill="1" applyBorder="1" applyProtection="1"/>
    <xf numFmtId="0" fontId="25" fillId="0" borderId="12" xfId="19" quotePrefix="1" applyFont="1" applyBorder="1" applyAlignment="1" applyProtection="1">
      <alignment horizontal="center"/>
    </xf>
    <xf numFmtId="0" fontId="25" fillId="22" borderId="9" xfId="19" applyFont="1" applyFill="1" applyBorder="1" applyAlignment="1" applyProtection="1">
      <alignment horizontal="center"/>
    </xf>
    <xf numFmtId="0" fontId="58" fillId="0" borderId="321" xfId="19" applyFont="1" applyBorder="1" applyAlignment="1" applyProtection="1">
      <alignment horizontal="center"/>
    </xf>
    <xf numFmtId="0" fontId="58" fillId="0" borderId="308" xfId="19" applyFont="1" applyBorder="1" applyAlignment="1" applyProtection="1">
      <alignment horizontal="center"/>
    </xf>
    <xf numFmtId="0" fontId="58" fillId="0" borderId="308" xfId="19" applyFont="1" applyBorder="1" applyProtection="1"/>
    <xf numFmtId="44" fontId="58" fillId="0" borderId="309" xfId="21" applyFont="1" applyFill="1" applyBorder="1" applyProtection="1"/>
    <xf numFmtId="44" fontId="58" fillId="0" borderId="311" xfId="21" applyFont="1" applyFill="1" applyBorder="1" applyProtection="1"/>
    <xf numFmtId="0" fontId="25" fillId="0" borderId="45" xfId="19" quotePrefix="1" applyFont="1" applyBorder="1" applyAlignment="1" applyProtection="1">
      <alignment horizontal="center"/>
    </xf>
    <xf numFmtId="0" fontId="3" fillId="0" borderId="0" xfId="19" applyFont="1" applyFill="1" applyProtection="1"/>
    <xf numFmtId="0" fontId="58" fillId="0" borderId="324" xfId="19" applyFont="1" applyBorder="1" applyAlignment="1" applyProtection="1">
      <alignment horizontal="center"/>
    </xf>
    <xf numFmtId="0" fontId="58" fillId="0" borderId="260" xfId="19" applyFont="1" applyBorder="1" applyAlignment="1" applyProtection="1">
      <alignment horizontal="center"/>
    </xf>
    <xf numFmtId="0" fontId="58" fillId="0" borderId="325" xfId="19" applyFont="1" applyBorder="1" applyAlignment="1" applyProtection="1">
      <alignment horizontal="center"/>
    </xf>
    <xf numFmtId="0" fontId="58" fillId="0" borderId="325" xfId="19" applyFont="1" applyBorder="1" applyProtection="1"/>
    <xf numFmtId="44" fontId="58" fillId="0" borderId="326" xfId="21" applyFont="1" applyFill="1" applyBorder="1" applyProtection="1"/>
    <xf numFmtId="44" fontId="58" fillId="0" borderId="261" xfId="21" applyFont="1" applyFill="1" applyBorder="1" applyProtection="1"/>
    <xf numFmtId="168" fontId="25" fillId="0" borderId="0" xfId="1" applyNumberFormat="1" applyFont="1" applyProtection="1">
      <protection locked="0"/>
    </xf>
    <xf numFmtId="165" fontId="25" fillId="0" borderId="0" xfId="0" applyFont="1" applyAlignment="1" applyProtection="1">
      <alignment wrapText="1"/>
      <protection locked="0"/>
    </xf>
    <xf numFmtId="44" fontId="25" fillId="0" borderId="0" xfId="2" applyFont="1" applyProtection="1">
      <protection locked="0"/>
    </xf>
    <xf numFmtId="165" fontId="25" fillId="0" borderId="45" xfId="0" applyFont="1" applyBorder="1" applyAlignment="1" applyProtection="1">
      <alignment horizontal="center"/>
    </xf>
    <xf numFmtId="168" fontId="25" fillId="0" borderId="123" xfId="1" applyNumberFormat="1" applyFont="1" applyBorder="1" applyProtection="1"/>
    <xf numFmtId="44" fontId="25" fillId="0" borderId="268" xfId="2" applyFont="1" applyBorder="1" applyProtection="1"/>
    <xf numFmtId="44" fontId="25" fillId="0" borderId="45" xfId="2" applyFont="1" applyBorder="1" applyProtection="1"/>
    <xf numFmtId="44" fontId="25" fillId="0" borderId="123" xfId="2" applyFont="1" applyBorder="1" applyProtection="1"/>
    <xf numFmtId="44" fontId="25" fillId="0" borderId="242" xfId="2" applyFont="1" applyBorder="1" applyProtection="1"/>
    <xf numFmtId="44" fontId="25" fillId="0" borderId="102" xfId="2" applyFont="1" applyBorder="1" applyProtection="1"/>
    <xf numFmtId="44" fontId="25" fillId="0" borderId="18" xfId="2" applyFont="1" applyBorder="1" applyProtection="1"/>
    <xf numFmtId="10" fontId="25" fillId="0" borderId="268" xfId="3" applyNumberFormat="1" applyFont="1" applyBorder="1" applyAlignment="1" applyProtection="1">
      <alignment horizontal="center"/>
    </xf>
    <xf numFmtId="10" fontId="25" fillId="0" borderId="45" xfId="3" applyNumberFormat="1" applyFont="1" applyBorder="1" applyAlignment="1" applyProtection="1">
      <alignment horizontal="center"/>
    </xf>
    <xf numFmtId="10" fontId="25" fillId="0" borderId="242" xfId="3" applyNumberFormat="1" applyFont="1" applyBorder="1" applyAlignment="1" applyProtection="1">
      <alignment horizontal="center"/>
    </xf>
    <xf numFmtId="44" fontId="25" fillId="0" borderId="268" xfId="2" applyFont="1" applyBorder="1" applyAlignment="1" applyProtection="1">
      <alignment horizontal="center"/>
    </xf>
    <xf numFmtId="44" fontId="25" fillId="0" borderId="45" xfId="2" applyFont="1" applyBorder="1" applyAlignment="1" applyProtection="1">
      <alignment horizontal="center"/>
    </xf>
    <xf numFmtId="44" fontId="25" fillId="0" borderId="364" xfId="2" applyFont="1" applyBorder="1" applyProtection="1"/>
    <xf numFmtId="165" fontId="25" fillId="0" borderId="9" xfId="0" applyFont="1" applyBorder="1" applyAlignment="1" applyProtection="1">
      <alignment horizontal="center"/>
    </xf>
    <xf numFmtId="168" fontId="25" fillId="0" borderId="12" xfId="1" applyNumberFormat="1" applyFont="1" applyBorder="1" applyProtection="1"/>
    <xf numFmtId="44" fontId="25" fillId="0" borderId="269" xfId="2" applyFont="1" applyBorder="1" applyProtection="1"/>
    <xf numFmtId="44" fontId="25" fillId="0" borderId="9" xfId="2" applyFont="1" applyBorder="1" applyProtection="1"/>
    <xf numFmtId="44" fontId="25" fillId="0" borderId="12" xfId="2" applyFont="1" applyBorder="1" applyProtection="1"/>
    <xf numFmtId="44" fontId="25" fillId="0" borderId="41" xfId="2" applyFont="1" applyBorder="1" applyProtection="1"/>
    <xf numFmtId="44" fontId="25" fillId="0" borderId="279" xfId="2" applyFont="1" applyBorder="1" applyProtection="1"/>
    <xf numFmtId="44" fontId="25" fillId="0" borderId="283" xfId="2" applyFont="1" applyBorder="1" applyProtection="1"/>
    <xf numFmtId="10" fontId="25" fillId="0" borderId="269" xfId="3" applyNumberFormat="1" applyFont="1" applyBorder="1" applyAlignment="1" applyProtection="1">
      <alignment horizontal="center"/>
    </xf>
    <xf numFmtId="10" fontId="25" fillId="0" borderId="9" xfId="3" applyNumberFormat="1" applyFont="1" applyBorder="1" applyAlignment="1" applyProtection="1">
      <alignment horizontal="center"/>
    </xf>
    <xf numFmtId="10" fontId="25" fillId="0" borderId="41" xfId="3" applyNumberFormat="1" applyFont="1" applyBorder="1" applyAlignment="1" applyProtection="1">
      <alignment horizontal="center"/>
    </xf>
    <xf numFmtId="44" fontId="25" fillId="0" borderId="269" xfId="2" applyFont="1" applyBorder="1" applyAlignment="1" applyProtection="1">
      <alignment horizontal="center"/>
    </xf>
    <xf numFmtId="44" fontId="25" fillId="0" borderId="9" xfId="2" applyFont="1" applyBorder="1" applyAlignment="1" applyProtection="1">
      <alignment horizontal="center"/>
    </xf>
    <xf numFmtId="44" fontId="25" fillId="0" borderId="367" xfId="2" applyFont="1" applyBorder="1" applyProtection="1"/>
    <xf numFmtId="165" fontId="25" fillId="0" borderId="245" xfId="0" applyFont="1" applyBorder="1" applyAlignment="1" applyProtection="1">
      <alignment horizontal="center"/>
    </xf>
    <xf numFmtId="168" fontId="25" fillId="0" borderId="262" xfId="1" applyNumberFormat="1" applyFont="1" applyBorder="1" applyProtection="1"/>
    <xf numFmtId="44" fontId="25" fillId="0" borderId="266" xfId="2" applyFont="1" applyBorder="1" applyProtection="1"/>
    <xf numFmtId="44" fontId="25" fillId="0" borderId="245" xfId="2" applyFont="1" applyBorder="1" applyProtection="1"/>
    <xf numFmtId="44" fontId="25" fillId="0" borderId="262" xfId="2" applyFont="1" applyBorder="1" applyProtection="1"/>
    <xf numFmtId="44" fontId="25" fillId="0" borderId="246" xfId="2" applyFont="1" applyBorder="1" applyProtection="1"/>
    <xf numFmtId="44" fontId="25" fillId="0" borderId="263" xfId="2" applyFont="1" applyBorder="1" applyProtection="1"/>
    <xf numFmtId="44" fontId="25" fillId="0" borderId="244" xfId="2" applyFont="1" applyBorder="1" applyProtection="1"/>
    <xf numFmtId="10" fontId="25" fillId="0" borderId="266" xfId="3" applyNumberFormat="1" applyFont="1" applyBorder="1" applyAlignment="1" applyProtection="1">
      <alignment horizontal="center"/>
    </xf>
    <xf numFmtId="10" fontId="25" fillId="0" borderId="245" xfId="3" applyNumberFormat="1" applyFont="1" applyBorder="1" applyAlignment="1" applyProtection="1">
      <alignment horizontal="center"/>
    </xf>
    <xf numFmtId="10" fontId="25" fillId="0" borderId="246" xfId="3" applyNumberFormat="1" applyFont="1" applyBorder="1" applyAlignment="1" applyProtection="1">
      <alignment horizontal="center"/>
    </xf>
    <xf numFmtId="44" fontId="25" fillId="0" borderId="266" xfId="2" applyFont="1" applyBorder="1" applyAlignment="1" applyProtection="1">
      <alignment horizontal="center"/>
    </xf>
    <xf numFmtId="44" fontId="25" fillId="0" borderId="245" xfId="2" applyFont="1" applyBorder="1" applyAlignment="1" applyProtection="1">
      <alignment horizontal="center"/>
    </xf>
    <xf numFmtId="44" fontId="25" fillId="0" borderId="372" xfId="2" applyFont="1" applyBorder="1" applyProtection="1"/>
    <xf numFmtId="165" fontId="8" fillId="0" borderId="92" xfId="0" applyFont="1" applyBorder="1" applyAlignment="1" applyProtection="1">
      <alignment horizontal="center"/>
    </xf>
    <xf numFmtId="165" fontId="8" fillId="0" borderId="96" xfId="0" applyFont="1" applyBorder="1" applyAlignment="1" applyProtection="1">
      <alignment horizontal="center"/>
    </xf>
    <xf numFmtId="0" fontId="46" fillId="0" borderId="0" xfId="19" applyProtection="1"/>
    <xf numFmtId="0" fontId="51" fillId="0" borderId="0" xfId="19" applyFont="1" applyAlignment="1" applyProtection="1">
      <alignment horizontal="center"/>
    </xf>
    <xf numFmtId="0" fontId="52" fillId="0" borderId="0" xfId="19" applyFont="1" applyProtection="1"/>
    <xf numFmtId="0" fontId="59" fillId="0" borderId="0" xfId="19" applyFont="1" applyProtection="1"/>
    <xf numFmtId="0" fontId="58" fillId="0" borderId="0" xfId="19" applyFont="1" applyAlignment="1" applyProtection="1">
      <alignment horizontal="center"/>
    </xf>
    <xf numFmtId="44" fontId="25" fillId="0" borderId="12" xfId="21" applyFont="1" applyBorder="1" applyProtection="1">
      <protection locked="0"/>
    </xf>
    <xf numFmtId="49" fontId="8" fillId="0" borderId="0" xfId="19" quotePrefix="1" applyNumberFormat="1" applyFont="1" applyBorder="1" applyProtection="1"/>
    <xf numFmtId="49" fontId="10" fillId="0" borderId="55" xfId="7" applyNumberFormat="1" applyFont="1" applyBorder="1" applyAlignment="1" applyProtection="1">
      <alignment horizontal="center"/>
    </xf>
    <xf numFmtId="49" fontId="10" fillId="0" borderId="61" xfId="7" applyNumberFormat="1" applyFont="1" applyBorder="1" applyAlignment="1" applyProtection="1">
      <alignment horizontal="center"/>
    </xf>
    <xf numFmtId="7" fontId="11" fillId="3" borderId="55" xfId="7" applyNumberFormat="1" applyFont="1" applyFill="1" applyBorder="1" applyProtection="1"/>
    <xf numFmtId="165" fontId="8" fillId="0" borderId="0" xfId="0" applyFont="1" applyAlignment="1" applyProtection="1">
      <alignment horizontal="center"/>
    </xf>
    <xf numFmtId="165" fontId="0" fillId="0" borderId="0" xfId="0" applyProtection="1"/>
    <xf numFmtId="165" fontId="10" fillId="0" borderId="0" xfId="7" applyFont="1" applyAlignment="1" applyProtection="1">
      <alignment horizontal="right"/>
    </xf>
    <xf numFmtId="165" fontId="8" fillId="0" borderId="0" xfId="0" applyFont="1" applyAlignment="1" applyProtection="1">
      <alignment horizontal="center" vertical="center"/>
    </xf>
    <xf numFmtId="169" fontId="8" fillId="0" borderId="0" xfId="25" applyNumberFormat="1" applyFont="1" applyAlignment="1" applyProtection="1">
      <alignment horizontal="right"/>
    </xf>
    <xf numFmtId="169" fontId="8" fillId="0" borderId="0" xfId="25" applyNumberFormat="1" applyFont="1" applyAlignment="1" applyProtection="1">
      <alignment horizontal="center"/>
    </xf>
    <xf numFmtId="169" fontId="8" fillId="0" borderId="68" xfId="25" applyNumberFormat="1" applyFont="1" applyBorder="1" applyAlignment="1" applyProtection="1">
      <alignment horizontal="center"/>
    </xf>
    <xf numFmtId="0" fontId="43" fillId="0" borderId="257" xfId="17" applyFont="1" applyBorder="1" applyAlignment="1" applyProtection="1">
      <alignment horizontal="center"/>
    </xf>
    <xf numFmtId="165" fontId="25" fillId="0" borderId="260" xfId="0" applyFont="1" applyBorder="1" applyAlignment="1" applyProtection="1">
      <alignment horizontal="center"/>
    </xf>
    <xf numFmtId="168" fontId="25" fillId="0" borderId="325" xfId="1" applyNumberFormat="1" applyFont="1" applyBorder="1" applyProtection="1"/>
    <xf numFmtId="44" fontId="25" fillId="0" borderId="324" xfId="2" applyFont="1" applyBorder="1" applyProtection="1"/>
    <xf numFmtId="44" fontId="25" fillId="0" borderId="260" xfId="2" applyFont="1" applyBorder="1" applyProtection="1"/>
    <xf numFmtId="44" fontId="25" fillId="0" borderId="325" xfId="2" applyFont="1" applyBorder="1" applyProtection="1"/>
    <xf numFmtId="44" fontId="25" fillId="0" borderId="261" xfId="2" applyFont="1" applyBorder="1" applyProtection="1"/>
    <xf numFmtId="44" fontId="25" fillId="0" borderId="375" xfId="2" applyFont="1" applyBorder="1" applyProtection="1"/>
    <xf numFmtId="44" fontId="25" fillId="0" borderId="330" xfId="2" applyFont="1" applyBorder="1" applyProtection="1"/>
    <xf numFmtId="10" fontId="25" fillId="0" borderId="324" xfId="3" applyNumberFormat="1" applyFont="1" applyBorder="1" applyAlignment="1" applyProtection="1">
      <alignment horizontal="center"/>
    </xf>
    <xf numFmtId="10" fontId="25" fillId="0" borderId="260" xfId="3" applyNumberFormat="1" applyFont="1" applyBorder="1" applyAlignment="1" applyProtection="1">
      <alignment horizontal="center"/>
    </xf>
    <xf numFmtId="10" fontId="25" fillId="0" borderId="261" xfId="3" applyNumberFormat="1" applyFont="1" applyBorder="1" applyAlignment="1" applyProtection="1">
      <alignment horizontal="center"/>
    </xf>
    <xf numFmtId="44" fontId="25" fillId="0" borderId="324" xfId="2" applyFont="1" applyBorder="1" applyAlignment="1" applyProtection="1">
      <alignment horizontal="center"/>
    </xf>
    <xf numFmtId="44" fontId="25" fillId="0" borderId="260" xfId="2" applyFont="1" applyBorder="1" applyAlignment="1" applyProtection="1">
      <alignment horizontal="center"/>
    </xf>
    <xf numFmtId="44" fontId="25" fillId="0" borderId="376" xfId="2" applyFont="1" applyBorder="1" applyProtection="1"/>
    <xf numFmtId="44" fontId="11" fillId="0" borderId="46" xfId="2" applyFont="1" applyFill="1" applyBorder="1" applyProtection="1"/>
    <xf numFmtId="165" fontId="5" fillId="0" borderId="0" xfId="0" applyFont="1" applyProtection="1">
      <protection locked="0"/>
    </xf>
    <xf numFmtId="44" fontId="8" fillId="0" borderId="0" xfId="2" applyFont="1" applyProtection="1">
      <protection locked="0"/>
    </xf>
    <xf numFmtId="168" fontId="8" fillId="0" borderId="0" xfId="1" applyNumberFormat="1" applyFont="1" applyProtection="1">
      <protection locked="0"/>
    </xf>
    <xf numFmtId="165" fontId="78" fillId="0" borderId="0" xfId="0" applyFont="1" applyProtection="1"/>
    <xf numFmtId="0" fontId="8" fillId="11" borderId="13" xfId="4" applyFont="1" applyFill="1" applyBorder="1" applyAlignment="1" applyProtection="1">
      <alignment horizontal="center"/>
      <protection locked="0"/>
    </xf>
    <xf numFmtId="0" fontId="8" fillId="0" borderId="0" xfId="4" applyFont="1" applyFill="1" applyAlignment="1" applyProtection="1">
      <alignment horizontal="right"/>
    </xf>
    <xf numFmtId="0" fontId="57" fillId="0" borderId="0" xfId="4" applyFont="1" applyBorder="1" applyAlignment="1" applyProtection="1">
      <alignment horizontal="right"/>
    </xf>
    <xf numFmtId="0" fontId="8" fillId="0" borderId="0" xfId="4" applyFont="1" applyAlignment="1" applyProtection="1">
      <alignment horizontal="right"/>
    </xf>
    <xf numFmtId="0" fontId="57" fillId="0" borderId="243" xfId="4" applyFont="1" applyBorder="1" applyAlignment="1" applyProtection="1">
      <alignment horizontal="right"/>
    </xf>
    <xf numFmtId="0" fontId="11" fillId="4" borderId="378" xfId="4" applyFont="1" applyFill="1" applyBorder="1" applyAlignment="1" applyProtection="1">
      <alignment horizontal="left" wrapText="1"/>
    </xf>
    <xf numFmtId="49" fontId="11" fillId="5" borderId="378" xfId="4" applyNumberFormat="1" applyFont="1" applyFill="1" applyBorder="1" applyAlignment="1" applyProtection="1">
      <alignment horizontal="left"/>
    </xf>
    <xf numFmtId="0" fontId="11" fillId="11" borderId="377" xfId="4" applyFont="1" applyFill="1" applyBorder="1" applyAlignment="1" applyProtection="1">
      <alignment horizontal="left" wrapText="1"/>
      <protection locked="0"/>
    </xf>
    <xf numFmtId="14" fontId="11" fillId="11" borderId="378" xfId="4" applyNumberFormat="1" applyFont="1" applyFill="1" applyBorder="1" applyAlignment="1" applyProtection="1">
      <alignment horizontal="left"/>
      <protection locked="0"/>
    </xf>
    <xf numFmtId="0" fontId="11" fillId="11" borderId="378" xfId="4" quotePrefix="1" applyFont="1" applyFill="1" applyBorder="1" applyAlignment="1" applyProtection="1">
      <alignment horizontal="left" wrapText="1"/>
      <protection locked="0"/>
    </xf>
    <xf numFmtId="49" fontId="11" fillId="11" borderId="378" xfId="4" quotePrefix="1" applyNumberFormat="1" applyFont="1" applyFill="1" applyBorder="1" applyAlignment="1" applyProtection="1">
      <alignment horizontal="left"/>
      <protection locked="0"/>
    </xf>
    <xf numFmtId="0" fontId="8" fillId="11" borderId="17" xfId="4" applyFont="1" applyFill="1" applyBorder="1" applyAlignment="1" applyProtection="1">
      <alignment horizontal="center"/>
      <protection locked="0"/>
    </xf>
    <xf numFmtId="168" fontId="11" fillId="4" borderId="97" xfId="1" quotePrefix="1" applyNumberFormat="1" applyFont="1" applyFill="1" applyBorder="1" applyProtection="1"/>
    <xf numFmtId="168" fontId="11" fillId="4" borderId="103" xfId="1" quotePrefix="1" applyNumberFormat="1" applyFont="1" applyFill="1" applyBorder="1" applyProtection="1"/>
    <xf numFmtId="168" fontId="11" fillId="0" borderId="103" xfId="1" quotePrefix="1" applyNumberFormat="1" applyFont="1" applyFill="1" applyBorder="1" applyProtection="1"/>
    <xf numFmtId="168" fontId="11" fillId="4" borderId="110" xfId="1" quotePrefix="1" applyNumberFormat="1" applyFont="1" applyFill="1" applyBorder="1" applyProtection="1"/>
    <xf numFmtId="168" fontId="8" fillId="0" borderId="0" xfId="1" applyNumberFormat="1" applyFont="1" applyProtection="1"/>
    <xf numFmtId="164" fontId="8" fillId="0" borderId="0" xfId="2" applyNumberFormat="1" applyFont="1" applyProtection="1"/>
    <xf numFmtId="165" fontId="28" fillId="0" borderId="0" xfId="0" quotePrefix="1" applyFont="1" applyAlignment="1" applyProtection="1">
      <alignment horizontal="left"/>
    </xf>
    <xf numFmtId="165" fontId="10" fillId="11" borderId="13" xfId="0" applyFont="1" applyFill="1" applyBorder="1" applyProtection="1">
      <protection locked="0"/>
    </xf>
    <xf numFmtId="165" fontId="10" fillId="11" borderId="277" xfId="0" applyFont="1" applyFill="1" applyBorder="1" applyAlignment="1" applyProtection="1">
      <alignment horizontal="center"/>
      <protection locked="0"/>
    </xf>
    <xf numFmtId="165" fontId="10" fillId="11" borderId="277" xfId="0" applyFont="1" applyFill="1" applyBorder="1" applyProtection="1">
      <protection locked="0"/>
    </xf>
    <xf numFmtId="44" fontId="11" fillId="11" borderId="50" xfId="2" quotePrefix="1" applyFont="1" applyFill="1" applyBorder="1" applyProtection="1">
      <protection locked="0"/>
    </xf>
    <xf numFmtId="44" fontId="11" fillId="11" borderId="50" xfId="2" applyFont="1" applyFill="1" applyBorder="1" applyProtection="1">
      <protection locked="0"/>
    </xf>
    <xf numFmtId="168" fontId="11" fillId="11" borderId="50" xfId="1" quotePrefix="1" applyNumberFormat="1" applyFont="1" applyFill="1" applyBorder="1" applyProtection="1">
      <protection locked="0"/>
    </xf>
    <xf numFmtId="168" fontId="11" fillId="11" borderId="50" xfId="0" applyNumberFormat="1" applyFont="1" applyFill="1" applyBorder="1" applyProtection="1">
      <protection locked="0"/>
    </xf>
    <xf numFmtId="49" fontId="11" fillId="11" borderId="219" xfId="0" applyNumberFormat="1" applyFont="1" applyFill="1" applyBorder="1" applyProtection="1">
      <protection locked="0"/>
    </xf>
    <xf numFmtId="49" fontId="11" fillId="11" borderId="46" xfId="0" applyNumberFormat="1" applyFont="1" applyFill="1" applyBorder="1" applyAlignment="1" applyProtection="1">
      <alignment horizontal="center"/>
      <protection locked="0"/>
    </xf>
    <xf numFmtId="49" fontId="11" fillId="11" borderId="220" xfId="0" applyNumberFormat="1" applyFont="1" applyFill="1" applyBorder="1" applyProtection="1">
      <protection locked="0"/>
    </xf>
    <xf numFmtId="49" fontId="11" fillId="11" borderId="50" xfId="0" applyNumberFormat="1" applyFont="1" applyFill="1" applyBorder="1" applyAlignment="1" applyProtection="1">
      <alignment horizontal="center"/>
      <protection locked="0"/>
    </xf>
    <xf numFmtId="49" fontId="11" fillId="11" borderId="221" xfId="0" applyNumberFormat="1" applyFont="1" applyFill="1" applyBorder="1" applyProtection="1">
      <protection locked="0"/>
    </xf>
    <xf numFmtId="49" fontId="11" fillId="11" borderId="109" xfId="0" applyNumberFormat="1" applyFont="1" applyFill="1" applyBorder="1" applyAlignment="1" applyProtection="1">
      <alignment horizontal="center"/>
      <protection locked="0"/>
    </xf>
    <xf numFmtId="44" fontId="10" fillId="11" borderId="160" xfId="2" applyFont="1" applyFill="1" applyBorder="1" applyProtection="1">
      <protection locked="0"/>
    </xf>
    <xf numFmtId="165" fontId="8" fillId="0" borderId="0" xfId="0" applyFont="1" applyAlignment="1" applyProtection="1">
      <alignment horizontal="center" vertical="center"/>
      <protection locked="0"/>
    </xf>
    <xf numFmtId="165" fontId="8" fillId="0" borderId="0" xfId="0" applyFont="1" applyAlignment="1" applyProtection="1">
      <alignment vertical="center"/>
      <protection locked="0"/>
    </xf>
    <xf numFmtId="165" fontId="8" fillId="0" borderId="0" xfId="0" applyFont="1" applyBorder="1" applyAlignment="1" applyProtection="1">
      <alignment horizontal="center"/>
      <protection locked="0"/>
    </xf>
    <xf numFmtId="171" fontId="25" fillId="0" borderId="0" xfId="2" applyNumberFormat="1" applyFont="1" applyProtection="1">
      <protection locked="0"/>
    </xf>
    <xf numFmtId="165" fontId="8" fillId="0" borderId="371" xfId="0" applyFont="1" applyBorder="1" applyAlignment="1" applyProtection="1">
      <alignment horizontal="center"/>
      <protection locked="0"/>
    </xf>
    <xf numFmtId="165" fontId="8" fillId="0" borderId="228" xfId="0" applyFont="1" applyBorder="1" applyAlignment="1" applyProtection="1">
      <alignment horizontal="center"/>
      <protection locked="0"/>
    </xf>
    <xf numFmtId="165" fontId="8" fillId="0" borderId="267" xfId="0" applyFont="1" applyBorder="1" applyAlignment="1" applyProtection="1">
      <alignment horizontal="center"/>
      <protection locked="0"/>
    </xf>
    <xf numFmtId="165" fontId="8" fillId="0" borderId="6" xfId="0" applyFont="1" applyBorder="1" applyAlignment="1" applyProtection="1">
      <alignment horizontal="center"/>
      <protection locked="0"/>
    </xf>
    <xf numFmtId="165" fontId="8" fillId="0" borderId="268" xfId="0" applyFont="1" applyBorder="1" applyAlignment="1" applyProtection="1">
      <alignment horizontal="center" wrapText="1"/>
      <protection locked="0"/>
    </xf>
    <xf numFmtId="165" fontId="8" fillId="0" borderId="45" xfId="0" applyFont="1" applyBorder="1" applyAlignment="1" applyProtection="1">
      <alignment horizontal="center" wrapText="1"/>
      <protection locked="0"/>
    </xf>
    <xf numFmtId="165" fontId="8" fillId="0" borderId="266" xfId="0" applyFont="1" applyBorder="1" applyAlignment="1" applyProtection="1">
      <alignment horizontal="center" vertical="center"/>
      <protection locked="0"/>
    </xf>
    <xf numFmtId="165" fontId="8" fillId="0" borderId="245" xfId="0" applyFont="1" applyBorder="1" applyAlignment="1" applyProtection="1">
      <alignment horizontal="center" vertical="center"/>
      <protection locked="0"/>
    </xf>
    <xf numFmtId="165" fontId="8" fillId="0" borderId="316" xfId="0" applyFont="1" applyBorder="1" applyAlignment="1" applyProtection="1">
      <alignment horizontal="center" vertical="center"/>
      <protection locked="0"/>
    </xf>
    <xf numFmtId="165" fontId="8" fillId="0" borderId="239" xfId="0" applyFont="1" applyBorder="1" applyAlignment="1" applyProtection="1">
      <alignment horizontal="center" vertical="center"/>
      <protection locked="0"/>
    </xf>
    <xf numFmtId="165" fontId="8" fillId="0" borderId="267" xfId="0" applyFont="1" applyBorder="1" applyAlignment="1" applyProtection="1">
      <alignment horizontal="center" vertical="center"/>
      <protection locked="0"/>
    </xf>
    <xf numFmtId="165" fontId="8" fillId="0" borderId="6" xfId="0" applyFont="1" applyBorder="1" applyAlignment="1" applyProtection="1">
      <alignment horizontal="center" vertical="center"/>
      <protection locked="0"/>
    </xf>
    <xf numFmtId="165" fontId="8" fillId="0" borderId="324" xfId="0" applyFont="1" applyBorder="1" applyAlignment="1" applyProtection="1">
      <alignment horizontal="center" vertical="center"/>
      <protection locked="0"/>
    </xf>
    <xf numFmtId="165" fontId="8" fillId="0" borderId="260" xfId="0" applyFont="1" applyBorder="1" applyAlignment="1" applyProtection="1">
      <alignment horizontal="center" vertical="center"/>
      <protection locked="0"/>
    </xf>
    <xf numFmtId="165" fontId="12" fillId="0" borderId="0" xfId="0" applyFont="1" applyAlignment="1" applyProtection="1">
      <alignment vertical="center"/>
    </xf>
    <xf numFmtId="165" fontId="8" fillId="0" borderId="0" xfId="0" applyFont="1" applyAlignment="1" applyProtection="1">
      <alignment vertical="center"/>
    </xf>
    <xf numFmtId="165" fontId="8" fillId="0" borderId="13" xfId="0" applyFont="1" applyBorder="1" applyAlignment="1" applyProtection="1">
      <alignment horizontal="center" vertical="center"/>
    </xf>
    <xf numFmtId="44" fontId="8" fillId="0" borderId="0" xfId="2" applyFont="1" applyAlignment="1" applyProtection="1">
      <alignment vertical="center"/>
    </xf>
    <xf numFmtId="165" fontId="8" fillId="0" borderId="0" xfId="0" applyFont="1" applyBorder="1" applyAlignment="1" applyProtection="1">
      <alignment horizontal="center" vertical="center"/>
    </xf>
    <xf numFmtId="165" fontId="25" fillId="0" borderId="0" xfId="0" applyFont="1" applyAlignment="1" applyProtection="1">
      <alignment vertical="center"/>
    </xf>
    <xf numFmtId="165" fontId="25" fillId="0" borderId="0" xfId="0" applyFont="1" applyAlignment="1" applyProtection="1">
      <alignment horizontal="center" vertical="center"/>
    </xf>
    <xf numFmtId="171" fontId="25" fillId="0" borderId="0" xfId="2" applyNumberFormat="1" applyFont="1" applyAlignment="1" applyProtection="1">
      <alignment vertical="center"/>
    </xf>
    <xf numFmtId="165" fontId="8" fillId="0" borderId="0" xfId="0" applyFont="1" applyAlignment="1" applyProtection="1">
      <alignment horizontal="right" vertical="center"/>
    </xf>
    <xf numFmtId="170" fontId="8" fillId="0" borderId="13" xfId="0" applyNumberFormat="1" applyFont="1" applyBorder="1" applyAlignment="1" applyProtection="1">
      <alignment horizontal="center" vertical="center"/>
    </xf>
    <xf numFmtId="165" fontId="8" fillId="0" borderId="13" xfId="0" applyFont="1" applyBorder="1" applyAlignment="1" applyProtection="1">
      <alignment horizontal="left" vertical="center"/>
    </xf>
    <xf numFmtId="165" fontId="8" fillId="0" borderId="13" xfId="0" applyFont="1" applyBorder="1" applyAlignment="1" applyProtection="1">
      <alignment vertical="center"/>
    </xf>
    <xf numFmtId="165" fontId="8" fillId="0" borderId="0" xfId="0" applyFont="1" applyBorder="1" applyAlignment="1" applyProtection="1">
      <alignment vertical="center"/>
    </xf>
    <xf numFmtId="165" fontId="8" fillId="0" borderId="0" xfId="0" applyFont="1" applyAlignment="1" applyProtection="1">
      <alignment horizontal="left"/>
    </xf>
    <xf numFmtId="165" fontId="8" fillId="0" borderId="13" xfId="0" applyFont="1" applyBorder="1" applyAlignment="1" applyProtection="1">
      <alignment horizontal="center"/>
    </xf>
    <xf numFmtId="44" fontId="8" fillId="0" borderId="0" xfId="2" applyFont="1" applyProtection="1"/>
    <xf numFmtId="165" fontId="8" fillId="0" borderId="0" xfId="0" applyFont="1" applyBorder="1" applyAlignment="1" applyProtection="1">
      <alignment horizontal="center"/>
    </xf>
    <xf numFmtId="171" fontId="25" fillId="0" borderId="0" xfId="2" applyNumberFormat="1" applyFont="1" applyProtection="1"/>
    <xf numFmtId="44" fontId="25" fillId="0" borderId="0" xfId="2" applyFont="1" applyProtection="1"/>
    <xf numFmtId="44" fontId="8" fillId="0" borderId="0" xfId="2" applyFont="1" applyAlignment="1" applyProtection="1">
      <alignment horizontal="center"/>
    </xf>
    <xf numFmtId="171" fontId="25" fillId="0" borderId="0" xfId="2" applyNumberFormat="1" applyFont="1" applyAlignment="1" applyProtection="1">
      <alignment horizontal="center"/>
    </xf>
    <xf numFmtId="44" fontId="25" fillId="0" borderId="0" xfId="2" applyFont="1" applyAlignment="1" applyProtection="1">
      <alignment horizontal="center"/>
    </xf>
    <xf numFmtId="165" fontId="8" fillId="0" borderId="228" xfId="0" applyFont="1" applyBorder="1" applyAlignment="1" applyProtection="1">
      <alignment horizontal="center"/>
    </xf>
    <xf numFmtId="165" fontId="8" fillId="0" borderId="328" xfId="0" applyFont="1" applyBorder="1" applyAlignment="1" applyProtection="1">
      <alignment horizontal="center"/>
    </xf>
    <xf numFmtId="165" fontId="8" fillId="25" borderId="371" xfId="0" applyFont="1" applyFill="1" applyBorder="1" applyProtection="1"/>
    <xf numFmtId="165" fontId="8" fillId="25" borderId="228" xfId="0" applyFont="1" applyFill="1" applyBorder="1" applyProtection="1"/>
    <xf numFmtId="165" fontId="8" fillId="25" borderId="328" xfId="0" applyFont="1" applyFill="1" applyBorder="1" applyProtection="1"/>
    <xf numFmtId="165" fontId="8" fillId="25" borderId="167" xfId="0" applyFont="1" applyFill="1" applyBorder="1" applyProtection="1"/>
    <xf numFmtId="165" fontId="8" fillId="15" borderId="371" xfId="0" applyFont="1" applyFill="1" applyBorder="1" applyProtection="1"/>
    <xf numFmtId="165" fontId="8" fillId="13" borderId="371" xfId="0" applyFont="1" applyFill="1" applyBorder="1" applyProtection="1"/>
    <xf numFmtId="165" fontId="8" fillId="12" borderId="371" xfId="0" applyFont="1" applyFill="1" applyBorder="1" applyProtection="1"/>
    <xf numFmtId="165" fontId="8" fillId="10" borderId="1" xfId="0" applyFont="1" applyFill="1" applyBorder="1" applyProtection="1"/>
    <xf numFmtId="165" fontId="25" fillId="0" borderId="4" xfId="0" applyFont="1" applyBorder="1" applyAlignment="1" applyProtection="1">
      <alignment horizontal="center"/>
    </xf>
    <xf numFmtId="165" fontId="25" fillId="0" borderId="127" xfId="0" applyFont="1" applyBorder="1" applyAlignment="1" applyProtection="1">
      <alignment horizontal="center"/>
    </xf>
    <xf numFmtId="165" fontId="8" fillId="0" borderId="167" xfId="0" applyFont="1" applyBorder="1" applyProtection="1"/>
    <xf numFmtId="165" fontId="8" fillId="0" borderId="6" xfId="0" applyFont="1" applyBorder="1" applyAlignment="1" applyProtection="1">
      <alignment horizontal="center"/>
    </xf>
    <xf numFmtId="165" fontId="8" fillId="0" borderId="190" xfId="0" applyFont="1" applyBorder="1" applyAlignment="1" applyProtection="1">
      <alignment horizontal="center"/>
    </xf>
    <xf numFmtId="165" fontId="8" fillId="25" borderId="267" xfId="0" applyFont="1" applyFill="1" applyBorder="1" applyProtection="1"/>
    <xf numFmtId="165" fontId="8" fillId="25" borderId="169" xfId="0" applyFont="1" applyFill="1" applyBorder="1" applyProtection="1"/>
    <xf numFmtId="165" fontId="8" fillId="15" borderId="267" xfId="0" applyFont="1" applyFill="1" applyBorder="1" applyProtection="1"/>
    <xf numFmtId="165" fontId="8" fillId="13" borderId="267" xfId="0" applyFont="1" applyFill="1" applyBorder="1" applyProtection="1"/>
    <xf numFmtId="165" fontId="8" fillId="12" borderId="267" xfId="0" applyFont="1" applyFill="1" applyBorder="1" applyProtection="1"/>
    <xf numFmtId="165" fontId="8" fillId="10" borderId="26" xfId="0" applyFont="1" applyFill="1" applyBorder="1" applyProtection="1"/>
    <xf numFmtId="165" fontId="8" fillId="0" borderId="26" xfId="0" applyFont="1" applyBorder="1" applyProtection="1"/>
    <xf numFmtId="165" fontId="8" fillId="0" borderId="169" xfId="0" applyFont="1" applyBorder="1" applyAlignment="1" applyProtection="1">
      <alignment horizontal="center"/>
    </xf>
    <xf numFmtId="165" fontId="8" fillId="0" borderId="169" xfId="0" applyFont="1" applyBorder="1" applyProtection="1"/>
    <xf numFmtId="165" fontId="8" fillId="0" borderId="267" xfId="0" applyFont="1" applyBorder="1" applyProtection="1"/>
    <xf numFmtId="165" fontId="8" fillId="0" borderId="68" xfId="0" applyFont="1" applyBorder="1" applyProtection="1"/>
    <xf numFmtId="165" fontId="8" fillId="0" borderId="6" xfId="0" applyFont="1" applyBorder="1" applyProtection="1"/>
    <xf numFmtId="165" fontId="8" fillId="0" borderId="45" xfId="0" applyFont="1" applyBorder="1" applyAlignment="1" applyProtection="1">
      <alignment horizontal="center" wrapText="1"/>
    </xf>
    <xf numFmtId="165" fontId="8" fillId="0" borderId="123" xfId="0" applyFont="1" applyBorder="1" applyAlignment="1" applyProtection="1">
      <alignment horizontal="center" wrapText="1"/>
    </xf>
    <xf numFmtId="165" fontId="8" fillId="25" borderId="268" xfId="0" applyFont="1" applyFill="1" applyBorder="1" applyAlignment="1" applyProtection="1">
      <alignment horizontal="center" wrapText="1"/>
    </xf>
    <xf numFmtId="165" fontId="8" fillId="25" borderId="45" xfId="0" applyFont="1" applyFill="1" applyBorder="1" applyAlignment="1" applyProtection="1">
      <alignment horizontal="center" wrapText="1"/>
    </xf>
    <xf numFmtId="165" fontId="8" fillId="25" borderId="242" xfId="0" applyFont="1" applyFill="1" applyBorder="1" applyAlignment="1" applyProtection="1">
      <alignment horizontal="center" wrapText="1"/>
    </xf>
    <xf numFmtId="165" fontId="8" fillId="15" borderId="268" xfId="0" applyFont="1" applyFill="1" applyBorder="1" applyAlignment="1" applyProtection="1">
      <alignment horizontal="center" wrapText="1"/>
    </xf>
    <xf numFmtId="165" fontId="8" fillId="13" borderId="268" xfId="0" applyFont="1" applyFill="1" applyBorder="1" applyAlignment="1" applyProtection="1">
      <alignment horizontal="center" wrapText="1"/>
    </xf>
    <xf numFmtId="165" fontId="8" fillId="12" borderId="268" xfId="0" applyFont="1" applyFill="1" applyBorder="1" applyAlignment="1" applyProtection="1">
      <alignment horizontal="center" wrapText="1"/>
    </xf>
    <xf numFmtId="165" fontId="8" fillId="10" borderId="5" xfId="0" applyFont="1" applyFill="1" applyBorder="1" applyAlignment="1" applyProtection="1">
      <alignment horizontal="center" wrapText="1"/>
    </xf>
    <xf numFmtId="165" fontId="8" fillId="0" borderId="5" xfId="0" applyFont="1" applyBorder="1" applyAlignment="1" applyProtection="1">
      <alignment horizontal="center" wrapText="1"/>
    </xf>
    <xf numFmtId="165" fontId="8" fillId="0" borderId="242" xfId="0" applyFont="1" applyBorder="1" applyAlignment="1" applyProtection="1">
      <alignment horizontal="center" wrapText="1"/>
    </xf>
    <xf numFmtId="165" fontId="8" fillId="0" borderId="268" xfId="0" applyFont="1" applyBorder="1" applyAlignment="1" applyProtection="1">
      <alignment horizontal="center" wrapText="1"/>
    </xf>
    <xf numFmtId="165" fontId="8" fillId="0" borderId="102" xfId="0" applyFont="1" applyBorder="1" applyAlignment="1" applyProtection="1">
      <alignment horizontal="center" wrapText="1"/>
    </xf>
    <xf numFmtId="44" fontId="80" fillId="0" borderId="0" xfId="2" applyFont="1" applyAlignment="1" applyProtection="1">
      <alignment horizontal="center" wrapText="1"/>
    </xf>
    <xf numFmtId="165" fontId="80" fillId="0" borderId="0" xfId="0" applyFont="1" applyBorder="1" applyAlignment="1" applyProtection="1">
      <alignment horizontal="center" wrapText="1"/>
    </xf>
    <xf numFmtId="165" fontId="8" fillId="0" borderId="0" xfId="0" applyFont="1" applyBorder="1" applyAlignment="1" applyProtection="1">
      <alignment horizontal="center" wrapText="1"/>
    </xf>
    <xf numFmtId="165" fontId="25" fillId="0" borderId="264" xfId="0" applyFont="1" applyBorder="1" applyAlignment="1" applyProtection="1">
      <alignment horizontal="center"/>
    </xf>
    <xf numFmtId="165" fontId="25" fillId="0" borderId="272" xfId="0" applyFont="1" applyBorder="1" applyAlignment="1" applyProtection="1">
      <alignment horizontal="center"/>
    </xf>
    <xf numFmtId="171" fontId="25" fillId="0" borderId="265" xfId="2" applyNumberFormat="1" applyFont="1" applyBorder="1" applyAlignment="1" applyProtection="1">
      <alignment horizontal="center" wrapText="1"/>
    </xf>
    <xf numFmtId="171" fontId="25" fillId="0" borderId="272" xfId="2" applyNumberFormat="1" applyFont="1" applyBorder="1" applyAlignment="1" applyProtection="1">
      <alignment horizontal="center" wrapText="1"/>
    </xf>
    <xf numFmtId="44" fontId="25" fillId="0" borderId="265" xfId="2" applyFont="1" applyBorder="1" applyAlignment="1" applyProtection="1">
      <alignment horizontal="center" wrapText="1"/>
    </xf>
    <xf numFmtId="44" fontId="25" fillId="0" borderId="127" xfId="2" applyFont="1" applyBorder="1" applyAlignment="1" applyProtection="1">
      <alignment horizontal="center" wrapText="1"/>
    </xf>
    <xf numFmtId="165" fontId="8" fillId="0" borderId="245" xfId="0" applyFont="1" applyBorder="1" applyAlignment="1" applyProtection="1">
      <alignment horizontal="center" vertical="center"/>
    </xf>
    <xf numFmtId="165" fontId="8" fillId="0" borderId="262" xfId="0" applyFont="1" applyBorder="1" applyAlignment="1" applyProtection="1">
      <alignment horizontal="center" vertical="center"/>
    </xf>
    <xf numFmtId="43" fontId="8" fillId="0" borderId="266" xfId="1" applyFont="1" applyBorder="1" applyAlignment="1" applyProtection="1">
      <alignment vertical="center"/>
    </xf>
    <xf numFmtId="168" fontId="8" fillId="0" borderId="245" xfId="1" applyNumberFormat="1" applyFont="1" applyBorder="1" applyAlignment="1" applyProtection="1">
      <alignment vertical="center"/>
    </xf>
    <xf numFmtId="168" fontId="8" fillId="0" borderId="262" xfId="1" applyNumberFormat="1" applyFont="1" applyBorder="1" applyAlignment="1" applyProtection="1">
      <alignment vertical="center"/>
    </xf>
    <xf numFmtId="44" fontId="8" fillId="0" borderId="246" xfId="2" applyFont="1" applyBorder="1" applyAlignment="1" applyProtection="1">
      <alignment vertical="center"/>
    </xf>
    <xf numFmtId="44" fontId="8" fillId="0" borderId="266" xfId="2" applyFont="1" applyBorder="1" applyAlignment="1" applyProtection="1">
      <alignment vertical="center"/>
    </xf>
    <xf numFmtId="44" fontId="8" fillId="0" borderId="2" xfId="2" applyFont="1" applyBorder="1" applyAlignment="1" applyProtection="1">
      <alignment vertical="center"/>
    </xf>
    <xf numFmtId="44" fontId="8" fillId="0" borderId="246" xfId="2" applyFont="1" applyBorder="1" applyAlignment="1" applyProtection="1">
      <alignment horizontal="center" vertical="center"/>
    </xf>
    <xf numFmtId="44" fontId="8" fillId="0" borderId="263" xfId="2" applyFont="1" applyBorder="1" applyAlignment="1" applyProtection="1">
      <alignment vertical="center"/>
    </xf>
    <xf numFmtId="44" fontId="8" fillId="0" borderId="245" xfId="2" applyFont="1" applyBorder="1" applyAlignment="1" applyProtection="1">
      <alignment vertical="center"/>
    </xf>
    <xf numFmtId="44" fontId="8" fillId="0" borderId="0" xfId="2" applyFont="1" applyBorder="1" applyAlignment="1" applyProtection="1">
      <alignment horizontal="center" vertical="center"/>
    </xf>
    <xf numFmtId="165" fontId="25" fillId="0" borderId="269" xfId="0" applyFont="1" applyBorder="1" applyAlignment="1" applyProtection="1">
      <alignment vertical="center"/>
    </xf>
    <xf numFmtId="165" fontId="25" fillId="0" borderId="210" xfId="0" applyFont="1" applyBorder="1" applyAlignment="1" applyProtection="1">
      <alignment horizontal="center" vertical="center"/>
    </xf>
    <xf numFmtId="164" fontId="25" fillId="0" borderId="9" xfId="2" applyNumberFormat="1" applyFont="1" applyBorder="1" applyAlignment="1" applyProtection="1">
      <alignment vertical="center"/>
    </xf>
    <xf numFmtId="164" fontId="25" fillId="1" borderId="9" xfId="2" applyNumberFormat="1" applyFont="1" applyFill="1" applyBorder="1" applyAlignment="1" applyProtection="1">
      <alignment vertical="center"/>
    </xf>
    <xf numFmtId="164" fontId="25" fillId="1" borderId="210" xfId="2" applyNumberFormat="1" applyFont="1" applyFill="1" applyBorder="1" applyAlignment="1" applyProtection="1">
      <alignment vertical="center"/>
    </xf>
    <xf numFmtId="44" fontId="25" fillId="0" borderId="9" xfId="2" applyFont="1" applyBorder="1" applyAlignment="1" applyProtection="1">
      <alignment vertical="center"/>
    </xf>
    <xf numFmtId="44" fontId="25" fillId="0" borderId="41" xfId="2" applyFont="1" applyBorder="1" applyAlignment="1" applyProtection="1">
      <alignment vertical="center"/>
    </xf>
    <xf numFmtId="165" fontId="8" fillId="0" borderId="239" xfId="0" applyFont="1" applyBorder="1" applyAlignment="1" applyProtection="1">
      <alignment horizontal="center" vertical="center"/>
    </xf>
    <xf numFmtId="165" fontId="8" fillId="0" borderId="315" xfId="0" applyFont="1" applyBorder="1" applyAlignment="1" applyProtection="1">
      <alignment horizontal="center" vertical="center"/>
    </xf>
    <xf numFmtId="43" fontId="8" fillId="0" borderId="316" xfId="1" applyFont="1" applyBorder="1" applyAlignment="1" applyProtection="1">
      <alignment vertical="center"/>
    </xf>
    <xf numFmtId="168" fontId="8" fillId="0" borderId="239" xfId="1" applyNumberFormat="1" applyFont="1" applyBorder="1" applyAlignment="1" applyProtection="1">
      <alignment vertical="center"/>
    </xf>
    <xf numFmtId="168" fontId="8" fillId="0" borderId="315" xfId="1" applyNumberFormat="1" applyFont="1" applyBorder="1" applyAlignment="1" applyProtection="1">
      <alignment vertical="center"/>
    </xf>
    <xf numFmtId="44" fontId="8" fillId="0" borderId="240" xfId="2" applyFont="1" applyBorder="1" applyAlignment="1" applyProtection="1">
      <alignment vertical="center"/>
    </xf>
    <xf numFmtId="44" fontId="8" fillId="0" borderId="316" xfId="2" applyFont="1" applyBorder="1" applyAlignment="1" applyProtection="1">
      <alignment vertical="center"/>
    </xf>
    <xf numFmtId="44" fontId="8" fillId="0" borderId="238" xfId="2" applyFont="1" applyBorder="1" applyAlignment="1" applyProtection="1">
      <alignment vertical="center"/>
    </xf>
    <xf numFmtId="44" fontId="8" fillId="0" borderId="240" xfId="2" applyFont="1" applyBorder="1" applyAlignment="1" applyProtection="1">
      <alignment horizontal="center" vertical="center"/>
    </xf>
    <xf numFmtId="44" fontId="8" fillId="0" borderId="340" xfId="2" applyFont="1" applyBorder="1" applyAlignment="1" applyProtection="1">
      <alignment vertical="center"/>
    </xf>
    <xf numFmtId="44" fontId="8" fillId="0" borderId="239" xfId="2" applyFont="1" applyBorder="1" applyAlignment="1" applyProtection="1">
      <alignment vertical="center"/>
    </xf>
    <xf numFmtId="165" fontId="25" fillId="17" borderId="269" xfId="0" applyFont="1" applyFill="1" applyBorder="1" applyAlignment="1" applyProtection="1">
      <alignment vertical="center"/>
    </xf>
    <xf numFmtId="165" fontId="25" fillId="17" borderId="210" xfId="0" applyFont="1" applyFill="1" applyBorder="1" applyAlignment="1" applyProtection="1">
      <alignment horizontal="center" vertical="center"/>
    </xf>
    <xf numFmtId="165" fontId="5" fillId="0" borderId="269" xfId="0" applyFont="1" applyFill="1" applyBorder="1" applyAlignment="1" applyProtection="1">
      <alignment vertical="center"/>
    </xf>
    <xf numFmtId="164" fontId="5" fillId="0" borderId="9" xfId="2" applyNumberFormat="1" applyFont="1" applyFill="1" applyBorder="1" applyAlignment="1" applyProtection="1">
      <alignment vertical="center"/>
    </xf>
    <xf numFmtId="164" fontId="5" fillId="0" borderId="210" xfId="2" applyNumberFormat="1" applyFont="1" applyFill="1" applyBorder="1" applyAlignment="1" applyProtection="1">
      <alignment vertical="center"/>
    </xf>
    <xf numFmtId="44" fontId="5" fillId="0" borderId="9" xfId="2" applyFont="1" applyFill="1" applyBorder="1" applyAlignment="1" applyProtection="1">
      <alignment vertical="center"/>
    </xf>
    <xf numFmtId="44" fontId="5" fillId="0" borderId="41" xfId="2" applyFont="1" applyFill="1" applyBorder="1" applyAlignment="1" applyProtection="1">
      <alignment vertical="center"/>
    </xf>
    <xf numFmtId="164" fontId="25" fillId="0" borderId="210" xfId="2" applyNumberFormat="1" applyFont="1" applyBorder="1" applyAlignment="1" applyProtection="1">
      <alignment vertical="center"/>
    </xf>
    <xf numFmtId="165" fontId="25" fillId="0" borderId="270" xfId="0" applyFont="1" applyBorder="1" applyAlignment="1" applyProtection="1">
      <alignment vertical="center"/>
    </xf>
    <xf numFmtId="165" fontId="25" fillId="0" borderId="214" xfId="0" applyFont="1" applyBorder="1" applyAlignment="1" applyProtection="1">
      <alignment horizontal="center" vertical="center"/>
    </xf>
    <xf numFmtId="164" fontId="25" fillId="0" borderId="21" xfId="2" applyNumberFormat="1" applyFont="1" applyBorder="1" applyAlignment="1" applyProtection="1">
      <alignment vertical="center"/>
    </xf>
    <xf numFmtId="164" fontId="25" fillId="1" borderId="21" xfId="2" applyNumberFormat="1" applyFont="1" applyFill="1" applyBorder="1" applyAlignment="1" applyProtection="1">
      <alignment vertical="center"/>
    </xf>
    <xf numFmtId="164" fontId="25" fillId="1" borderId="214" xfId="2" applyNumberFormat="1" applyFont="1" applyFill="1" applyBorder="1" applyAlignment="1" applyProtection="1">
      <alignment vertical="center"/>
    </xf>
    <xf numFmtId="44" fontId="25" fillId="0" borderId="21" xfId="2" applyFont="1" applyBorder="1" applyAlignment="1" applyProtection="1">
      <alignment vertical="center"/>
    </xf>
    <xf numFmtId="44" fontId="25" fillId="0" borderId="271" xfId="2" applyFont="1" applyBorder="1" applyAlignment="1" applyProtection="1">
      <alignment vertical="center"/>
    </xf>
    <xf numFmtId="165" fontId="8" fillId="0" borderId="6" xfId="0" applyFont="1" applyBorder="1" applyAlignment="1" applyProtection="1">
      <alignment horizontal="center" vertical="center"/>
    </xf>
    <xf numFmtId="165" fontId="8" fillId="0" borderId="190" xfId="0" applyFont="1" applyBorder="1" applyAlignment="1" applyProtection="1">
      <alignment horizontal="center" vertical="center"/>
    </xf>
    <xf numFmtId="43" fontId="8" fillId="0" borderId="267" xfId="1" applyFont="1" applyBorder="1" applyAlignment="1" applyProtection="1">
      <alignment vertical="center"/>
    </xf>
    <xf numFmtId="168" fontId="8" fillId="0" borderId="6" xfId="1" applyNumberFormat="1" applyFont="1" applyBorder="1" applyAlignment="1" applyProtection="1">
      <alignment vertical="center"/>
    </xf>
    <xf numFmtId="168" fontId="8" fillId="0" borderId="190" xfId="1" applyNumberFormat="1" applyFont="1" applyBorder="1" applyAlignment="1" applyProtection="1">
      <alignment vertical="center"/>
    </xf>
    <xf numFmtId="44" fontId="8" fillId="0" borderId="169" xfId="2" applyFont="1" applyBorder="1" applyAlignment="1" applyProtection="1">
      <alignment vertical="center"/>
    </xf>
    <xf numFmtId="44" fontId="8" fillId="0" borderId="267" xfId="2" applyFont="1" applyBorder="1" applyAlignment="1" applyProtection="1">
      <alignment vertical="center"/>
    </xf>
    <xf numFmtId="44" fontId="8" fillId="0" borderId="26" xfId="2" applyFont="1" applyBorder="1" applyAlignment="1" applyProtection="1">
      <alignment vertical="center"/>
    </xf>
    <xf numFmtId="44" fontId="8" fillId="0" borderId="169" xfId="2" applyFont="1" applyBorder="1" applyAlignment="1" applyProtection="1">
      <alignment horizontal="center" vertical="center"/>
    </xf>
    <xf numFmtId="44" fontId="8" fillId="0" borderId="68" xfId="2" applyFont="1" applyBorder="1" applyAlignment="1" applyProtection="1">
      <alignment vertical="center"/>
    </xf>
    <xf numFmtId="44" fontId="8" fillId="0" borderId="6" xfId="2" applyFont="1" applyBorder="1" applyAlignment="1" applyProtection="1">
      <alignment vertical="center"/>
    </xf>
    <xf numFmtId="165" fontId="8" fillId="0" borderId="260" xfId="0" applyFont="1" applyBorder="1" applyAlignment="1" applyProtection="1">
      <alignment horizontal="center" vertical="center"/>
    </xf>
    <xf numFmtId="165" fontId="8" fillId="0" borderId="325" xfId="0" applyFont="1" applyBorder="1" applyAlignment="1" applyProtection="1">
      <alignment horizontal="center" vertical="center"/>
    </xf>
    <xf numFmtId="43" fontId="8" fillId="0" borderId="324" xfId="1" applyFont="1" applyBorder="1" applyAlignment="1" applyProtection="1">
      <alignment vertical="center"/>
    </xf>
    <xf numFmtId="168" fontId="8" fillId="0" borderId="260" xfId="1" applyNumberFormat="1" applyFont="1" applyBorder="1" applyAlignment="1" applyProtection="1">
      <alignment vertical="center"/>
    </xf>
    <xf numFmtId="168" fontId="8" fillId="0" borderId="325" xfId="1" applyNumberFormat="1" applyFont="1" applyBorder="1" applyAlignment="1" applyProtection="1">
      <alignment vertical="center"/>
    </xf>
    <xf numFmtId="44" fontId="8" fillId="1" borderId="261" xfId="2" applyFont="1" applyFill="1" applyBorder="1" applyAlignment="1" applyProtection="1">
      <alignment vertical="center"/>
    </xf>
    <xf numFmtId="44" fontId="8" fillId="1" borderId="324" xfId="2" applyFont="1" applyFill="1" applyBorder="1" applyAlignment="1" applyProtection="1">
      <alignment vertical="center"/>
    </xf>
    <xf numFmtId="44" fontId="8" fillId="1" borderId="259" xfId="2" applyFont="1" applyFill="1" applyBorder="1" applyAlignment="1" applyProtection="1">
      <alignment vertical="center"/>
    </xf>
    <xf numFmtId="44" fontId="8" fillId="1" borderId="330" xfId="2" applyFont="1" applyFill="1" applyBorder="1" applyAlignment="1" applyProtection="1">
      <alignment vertical="center"/>
    </xf>
    <xf numFmtId="44" fontId="8" fillId="0" borderId="261" xfId="2" applyFont="1" applyBorder="1" applyAlignment="1" applyProtection="1">
      <alignment vertical="center"/>
    </xf>
    <xf numFmtId="44" fontId="8" fillId="0" borderId="324" xfId="2" applyFont="1" applyBorder="1" applyAlignment="1" applyProtection="1">
      <alignment vertical="center"/>
    </xf>
    <xf numFmtId="44" fontId="8" fillId="0" borderId="375" xfId="2" applyFont="1" applyBorder="1" applyAlignment="1" applyProtection="1">
      <alignment vertical="center"/>
    </xf>
    <xf numFmtId="44" fontId="8" fillId="0" borderId="260" xfId="2" applyFont="1" applyBorder="1" applyAlignment="1" applyProtection="1">
      <alignment vertical="center"/>
    </xf>
    <xf numFmtId="44" fontId="8" fillId="0" borderId="259" xfId="2" applyFont="1" applyBorder="1" applyProtection="1"/>
    <xf numFmtId="44" fontId="8" fillId="0" borderId="331" xfId="2" applyFont="1" applyBorder="1" applyAlignment="1" applyProtection="1">
      <alignment horizontal="center" vertical="center"/>
    </xf>
    <xf numFmtId="44" fontId="8" fillId="0" borderId="330" xfId="2" applyFont="1" applyBorder="1" applyAlignment="1" applyProtection="1">
      <alignment horizontal="center" vertical="center"/>
    </xf>
    <xf numFmtId="44" fontId="8" fillId="0" borderId="0" xfId="2" applyFont="1" applyBorder="1" applyAlignment="1" applyProtection="1">
      <alignment horizontal="center"/>
    </xf>
    <xf numFmtId="44" fontId="8" fillId="0" borderId="329" xfId="2" applyFont="1" applyBorder="1" applyAlignment="1" applyProtection="1">
      <alignment horizontal="center"/>
    </xf>
    <xf numFmtId="44" fontId="8" fillId="11" borderId="266" xfId="2" applyFont="1" applyFill="1" applyBorder="1" applyAlignment="1" applyProtection="1">
      <alignment vertical="center"/>
      <protection locked="0"/>
    </xf>
    <xf numFmtId="44" fontId="8" fillId="11" borderId="316" xfId="2" applyFont="1" applyFill="1" applyBorder="1" applyAlignment="1" applyProtection="1">
      <alignment vertical="center"/>
      <protection locked="0"/>
    </xf>
    <xf numFmtId="44" fontId="8" fillId="11" borderId="267" xfId="2" applyFont="1" applyFill="1" applyBorder="1" applyAlignment="1" applyProtection="1">
      <alignment vertical="center"/>
      <protection locked="0"/>
    </xf>
    <xf numFmtId="44" fontId="8" fillId="11" borderId="263" xfId="2" applyFont="1" applyFill="1" applyBorder="1" applyAlignment="1" applyProtection="1">
      <alignment vertical="center"/>
      <protection locked="0"/>
    </xf>
    <xf numFmtId="44" fontId="8" fillId="11" borderId="245" xfId="2" applyFont="1" applyFill="1" applyBorder="1" applyAlignment="1" applyProtection="1">
      <alignment vertical="center"/>
      <protection locked="0"/>
    </xf>
    <xf numFmtId="44" fontId="8" fillId="11" borderId="340" xfId="2" applyFont="1" applyFill="1" applyBorder="1" applyAlignment="1" applyProtection="1">
      <alignment vertical="center"/>
      <protection locked="0"/>
    </xf>
    <xf numFmtId="44" fontId="8" fillId="11" borderId="239" xfId="2" applyFont="1" applyFill="1" applyBorder="1" applyAlignment="1" applyProtection="1">
      <alignment vertical="center"/>
      <protection locked="0"/>
    </xf>
    <xf numFmtId="44" fontId="8" fillId="11" borderId="68" xfId="2" applyFont="1" applyFill="1" applyBorder="1" applyAlignment="1" applyProtection="1">
      <alignment vertical="center"/>
      <protection locked="0"/>
    </xf>
    <xf numFmtId="44" fontId="8" fillId="11" borderId="6" xfId="2" applyFont="1" applyFill="1" applyBorder="1" applyAlignment="1" applyProtection="1">
      <alignment vertical="center"/>
      <protection locked="0"/>
    </xf>
    <xf numFmtId="165" fontId="8" fillId="11" borderId="45" xfId="0" applyFont="1" applyFill="1" applyBorder="1" applyAlignment="1" applyProtection="1">
      <alignment horizontal="center" wrapText="1"/>
      <protection locked="0"/>
    </xf>
    <xf numFmtId="165" fontId="25" fillId="0" borderId="1" xfId="0" applyFont="1" applyBorder="1" applyAlignment="1" applyProtection="1">
      <alignment horizontal="center"/>
    </xf>
    <xf numFmtId="165" fontId="25" fillId="0" borderId="228" xfId="0" applyFont="1" applyBorder="1" applyAlignment="1" applyProtection="1">
      <alignment horizontal="center"/>
    </xf>
    <xf numFmtId="165" fontId="8" fillId="0" borderId="353" xfId="0" applyFont="1" applyBorder="1" applyProtection="1"/>
    <xf numFmtId="165" fontId="8" fillId="25" borderId="45" xfId="0" applyFont="1" applyFill="1" applyBorder="1" applyAlignment="1" applyProtection="1">
      <alignment horizontal="center"/>
    </xf>
    <xf numFmtId="165" fontId="8" fillId="25" borderId="123" xfId="0" applyFont="1" applyFill="1" applyBorder="1" applyAlignment="1" applyProtection="1">
      <alignment horizontal="center"/>
    </xf>
    <xf numFmtId="165" fontId="8" fillId="0" borderId="210" xfId="0" applyFont="1" applyBorder="1" applyAlignment="1" applyProtection="1">
      <alignment horizontal="left"/>
    </xf>
    <xf numFmtId="165" fontId="8" fillId="0" borderId="277" xfId="0" applyFont="1" applyBorder="1" applyAlignment="1" applyProtection="1">
      <alignment horizontal="left"/>
    </xf>
    <xf numFmtId="165" fontId="8" fillId="0" borderId="279" xfId="0" applyFont="1" applyBorder="1" applyAlignment="1" applyProtection="1">
      <alignment horizontal="left"/>
    </xf>
    <xf numFmtId="165" fontId="17" fillId="0" borderId="0" xfId="0" applyFont="1" applyProtection="1"/>
    <xf numFmtId="168" fontId="25" fillId="0" borderId="0" xfId="1" applyNumberFormat="1" applyFont="1" applyProtection="1"/>
    <xf numFmtId="168" fontId="77" fillId="0" borderId="0" xfId="1" applyNumberFormat="1" applyFont="1" applyAlignment="1" applyProtection="1">
      <alignment horizontal="center"/>
    </xf>
    <xf numFmtId="165" fontId="77" fillId="0" borderId="0" xfId="0" applyFont="1" applyProtection="1"/>
    <xf numFmtId="44" fontId="77" fillId="0" borderId="0" xfId="2" applyFont="1" applyAlignment="1" applyProtection="1">
      <alignment horizontal="center"/>
    </xf>
    <xf numFmtId="165" fontId="77" fillId="0" borderId="0" xfId="0" applyFont="1" applyAlignment="1" applyProtection="1">
      <alignment horizontal="center"/>
    </xf>
    <xf numFmtId="165" fontId="5" fillId="0" borderId="0" xfId="0" applyFont="1" applyProtection="1"/>
    <xf numFmtId="165" fontId="5" fillId="0" borderId="0" xfId="0" applyFont="1" applyAlignment="1" applyProtection="1">
      <alignment horizontal="center"/>
    </xf>
    <xf numFmtId="168" fontId="5" fillId="0" borderId="0" xfId="1" applyNumberFormat="1" applyFont="1" applyProtection="1"/>
    <xf numFmtId="168" fontId="5" fillId="0" borderId="0" xfId="1" applyNumberFormat="1" applyFont="1" applyAlignment="1" applyProtection="1">
      <alignment horizontal="center"/>
    </xf>
    <xf numFmtId="165" fontId="25" fillId="0" borderId="321" xfId="0" applyFont="1" applyBorder="1" applyAlignment="1" applyProtection="1">
      <alignment horizontal="center" wrapText="1"/>
    </xf>
    <xf numFmtId="168" fontId="25" fillId="0" borderId="321" xfId="1" applyNumberFormat="1" applyFont="1" applyBorder="1" applyAlignment="1" applyProtection="1">
      <alignment horizontal="center" wrapText="1"/>
    </xf>
    <xf numFmtId="168" fontId="25" fillId="0" borderId="308" xfId="1" applyNumberFormat="1" applyFont="1" applyBorder="1" applyAlignment="1" applyProtection="1">
      <alignment horizontal="center" wrapText="1"/>
    </xf>
    <xf numFmtId="165" fontId="25" fillId="0" borderId="370" xfId="0" applyFont="1" applyBorder="1" applyAlignment="1" applyProtection="1">
      <alignment horizontal="center" wrapText="1"/>
    </xf>
    <xf numFmtId="165" fontId="25" fillId="0" borderId="305" xfId="0" applyFont="1" applyBorder="1" applyAlignment="1" applyProtection="1">
      <alignment horizontal="center" wrapText="1"/>
    </xf>
    <xf numFmtId="165" fontId="25" fillId="0" borderId="306" xfId="0" applyFont="1" applyBorder="1" applyAlignment="1" applyProtection="1">
      <alignment horizontal="center" wrapText="1"/>
    </xf>
    <xf numFmtId="165" fontId="25" fillId="0" borderId="368" xfId="0" applyFont="1" applyBorder="1" applyAlignment="1" applyProtection="1">
      <alignment horizontal="center" wrapText="1"/>
    </xf>
    <xf numFmtId="165" fontId="25" fillId="0" borderId="307" xfId="0" applyFont="1" applyBorder="1" applyAlignment="1" applyProtection="1">
      <alignment horizontal="center" wrapText="1"/>
    </xf>
    <xf numFmtId="165" fontId="25" fillId="0" borderId="347" xfId="0" applyFont="1" applyBorder="1" applyAlignment="1" applyProtection="1">
      <alignment horizontal="center" wrapText="1"/>
    </xf>
    <xf numFmtId="165" fontId="25" fillId="0" borderId="350" xfId="0" applyFont="1" applyBorder="1" applyAlignment="1" applyProtection="1">
      <alignment horizontal="center" wrapText="1"/>
    </xf>
    <xf numFmtId="165" fontId="25" fillId="0" borderId="311" xfId="0" applyFont="1" applyBorder="1" applyAlignment="1" applyProtection="1">
      <alignment horizontal="center" wrapText="1"/>
    </xf>
    <xf numFmtId="165" fontId="25" fillId="0" borderId="300" xfId="0" applyFont="1" applyBorder="1" applyAlignment="1" applyProtection="1">
      <alignment horizontal="center" wrapText="1"/>
    </xf>
    <xf numFmtId="165" fontId="25" fillId="0" borderId="301" xfId="0" applyFont="1" applyBorder="1" applyAlignment="1" applyProtection="1">
      <alignment horizontal="center" wrapText="1"/>
    </xf>
    <xf numFmtId="165" fontId="25" fillId="0" borderId="365" xfId="0" applyFont="1" applyBorder="1" applyAlignment="1" applyProtection="1">
      <alignment horizontal="center" wrapText="1"/>
    </xf>
    <xf numFmtId="165" fontId="25" fillId="0" borderId="302" xfId="0" applyFont="1" applyBorder="1" applyAlignment="1" applyProtection="1">
      <alignment horizontal="center" wrapText="1"/>
    </xf>
    <xf numFmtId="165" fontId="25" fillId="0" borderId="369" xfId="0" applyFont="1" applyBorder="1" applyAlignment="1" applyProtection="1">
      <alignment horizontal="center" wrapText="1"/>
    </xf>
    <xf numFmtId="165" fontId="25" fillId="0" borderId="366" xfId="0" applyFont="1" applyBorder="1" applyAlignment="1" applyProtection="1">
      <alignment horizontal="center" wrapText="1"/>
    </xf>
    <xf numFmtId="165" fontId="6" fillId="0" borderId="324" xfId="0" applyFont="1" applyBorder="1" applyAlignment="1" applyProtection="1">
      <alignment horizontal="center"/>
    </xf>
    <xf numFmtId="165" fontId="6" fillId="0" borderId="260" xfId="0" applyFont="1" applyBorder="1" applyAlignment="1" applyProtection="1">
      <alignment horizontal="center"/>
    </xf>
    <xf numFmtId="165" fontId="25" fillId="0" borderId="260" xfId="0" applyFont="1" applyBorder="1" applyProtection="1"/>
    <xf numFmtId="168" fontId="25" fillId="0" borderId="260" xfId="1" applyNumberFormat="1" applyFont="1" applyBorder="1" applyProtection="1"/>
    <xf numFmtId="168" fontId="25" fillId="0" borderId="260" xfId="1" applyNumberFormat="1" applyFont="1" applyBorder="1" applyAlignment="1" applyProtection="1">
      <alignment horizontal="center"/>
    </xf>
    <xf numFmtId="165" fontId="25" fillId="0" borderId="0" xfId="0" applyFont="1" applyAlignment="1" applyProtection="1">
      <alignment horizontal="right"/>
    </xf>
    <xf numFmtId="44" fontId="25" fillId="0" borderId="329" xfId="2" applyFont="1" applyBorder="1" applyProtection="1"/>
    <xf numFmtId="165" fontId="71" fillId="0" borderId="0" xfId="0" applyFont="1" applyAlignment="1" applyProtection="1">
      <alignment horizontal="center"/>
    </xf>
    <xf numFmtId="164" fontId="9" fillId="0" borderId="0" xfId="2" applyNumberFormat="1" applyFont="1" applyProtection="1"/>
    <xf numFmtId="44" fontId="9" fillId="0" borderId="0" xfId="2" applyFont="1" applyProtection="1"/>
    <xf numFmtId="165" fontId="9" fillId="0" borderId="0" xfId="0" applyFont="1" applyProtection="1"/>
    <xf numFmtId="44" fontId="25" fillId="25" borderId="0" xfId="2" applyFont="1" applyFill="1" applyProtection="1"/>
    <xf numFmtId="164" fontId="25" fillId="25" borderId="0" xfId="2" applyNumberFormat="1" applyFont="1" applyFill="1" applyProtection="1"/>
    <xf numFmtId="44" fontId="25" fillId="26" borderId="0" xfId="2" applyFont="1" applyFill="1" applyProtection="1"/>
    <xf numFmtId="164" fontId="25" fillId="26" borderId="0" xfId="2" applyNumberFormat="1" applyFont="1" applyFill="1" applyProtection="1"/>
    <xf numFmtId="44" fontId="25" fillId="25" borderId="346" xfId="2" applyFont="1" applyFill="1" applyBorder="1" applyProtection="1"/>
    <xf numFmtId="44" fontId="25" fillId="26" borderId="346" xfId="2" applyFont="1" applyFill="1" applyBorder="1" applyProtection="1"/>
    <xf numFmtId="165" fontId="25" fillId="25" borderId="0" xfId="0" applyFont="1" applyFill="1" applyProtection="1"/>
    <xf numFmtId="165" fontId="25" fillId="26" borderId="0" xfId="0" applyFont="1" applyFill="1" applyProtection="1"/>
    <xf numFmtId="44" fontId="25" fillId="25" borderId="374" xfId="2" applyFont="1" applyFill="1" applyBorder="1" applyProtection="1"/>
    <xf numFmtId="44" fontId="25" fillId="26" borderId="374" xfId="2" applyFont="1" applyFill="1" applyBorder="1" applyProtection="1"/>
    <xf numFmtId="44" fontId="25" fillId="25" borderId="0" xfId="2" applyFont="1" applyFill="1" applyAlignment="1" applyProtection="1">
      <alignment horizontal="center"/>
    </xf>
    <xf numFmtId="44" fontId="25" fillId="26" borderId="0" xfId="2" applyFont="1" applyFill="1" applyAlignment="1" applyProtection="1">
      <alignment horizontal="center"/>
    </xf>
    <xf numFmtId="165" fontId="25" fillId="0" borderId="346" xfId="0" applyFont="1" applyBorder="1" applyAlignment="1" applyProtection="1">
      <alignment horizontal="center"/>
    </xf>
    <xf numFmtId="164" fontId="25" fillId="0" borderId="0" xfId="2" applyNumberFormat="1" applyFont="1" applyAlignment="1" applyProtection="1">
      <alignment horizontal="center"/>
    </xf>
    <xf numFmtId="165" fontId="25" fillId="11" borderId="45" xfId="0" applyFont="1" applyFill="1" applyBorder="1" applyAlignment="1" applyProtection="1">
      <alignment horizontal="center"/>
      <protection locked="0"/>
    </xf>
    <xf numFmtId="165" fontId="25" fillId="11" borderId="45" xfId="0" applyFont="1" applyFill="1" applyBorder="1" applyProtection="1">
      <protection locked="0"/>
    </xf>
    <xf numFmtId="168" fontId="25" fillId="11" borderId="45" xfId="1" applyNumberFormat="1" applyFont="1" applyFill="1" applyBorder="1" applyProtection="1">
      <protection locked="0"/>
    </xf>
    <xf numFmtId="168" fontId="25" fillId="11" borderId="45" xfId="1" applyNumberFormat="1" applyFont="1" applyFill="1" applyBorder="1" applyAlignment="1" applyProtection="1">
      <alignment horizontal="center"/>
      <protection locked="0"/>
    </xf>
    <xf numFmtId="165" fontId="25" fillId="11" borderId="9" xfId="0" applyFont="1" applyFill="1" applyBorder="1" applyAlignment="1" applyProtection="1">
      <alignment horizontal="center"/>
      <protection locked="0"/>
    </xf>
    <xf numFmtId="168" fontId="25" fillId="11" borderId="9" xfId="1" applyNumberFormat="1" applyFont="1" applyFill="1" applyBorder="1" applyProtection="1">
      <protection locked="0"/>
    </xf>
    <xf numFmtId="165" fontId="25" fillId="11" borderId="245" xfId="0" applyFont="1" applyFill="1" applyBorder="1" applyAlignment="1" applyProtection="1">
      <alignment horizontal="center"/>
      <protection locked="0"/>
    </xf>
    <xf numFmtId="165" fontId="25" fillId="11" borderId="6" xfId="0" applyFont="1" applyFill="1" applyBorder="1" applyAlignment="1" applyProtection="1">
      <alignment horizontal="center"/>
      <protection locked="0"/>
    </xf>
    <xf numFmtId="165" fontId="25" fillId="11" borderId="6" xfId="0" applyFont="1" applyFill="1" applyBorder="1" applyProtection="1">
      <protection locked="0"/>
    </xf>
    <xf numFmtId="168" fontId="25" fillId="11" borderId="6" xfId="1" applyNumberFormat="1" applyFont="1" applyFill="1" applyBorder="1" applyProtection="1">
      <protection locked="0"/>
    </xf>
    <xf numFmtId="168" fontId="25" fillId="11" borderId="6" xfId="1" applyNumberFormat="1" applyFont="1" applyFill="1" applyBorder="1" applyAlignment="1" applyProtection="1">
      <alignment horizontal="center"/>
      <protection locked="0"/>
    </xf>
    <xf numFmtId="168" fontId="25" fillId="11" borderId="245" xfId="1" applyNumberFormat="1" applyFont="1" applyFill="1" applyBorder="1" applyProtection="1">
      <protection locked="0"/>
    </xf>
    <xf numFmtId="44" fontId="25" fillId="11" borderId="102" xfId="2" applyFont="1" applyFill="1" applyBorder="1" applyProtection="1">
      <protection locked="0"/>
    </xf>
    <xf numFmtId="44" fontId="25" fillId="11" borderId="279" xfId="2" applyFont="1" applyFill="1" applyBorder="1" applyProtection="1">
      <protection locked="0"/>
    </xf>
    <xf numFmtId="44" fontId="25" fillId="11" borderId="263" xfId="2" applyFont="1" applyFill="1" applyBorder="1" applyProtection="1">
      <protection locked="0"/>
    </xf>
    <xf numFmtId="44" fontId="63" fillId="4" borderId="50" xfId="2" applyFont="1" applyFill="1" applyBorder="1" applyProtection="1"/>
    <xf numFmtId="0" fontId="12" fillId="0" borderId="0" xfId="25" applyNumberFormat="1" applyFont="1" applyProtection="1"/>
    <xf numFmtId="169" fontId="74" fillId="0" borderId="0" xfId="25" applyNumberFormat="1" applyFont="1" applyProtection="1"/>
    <xf numFmtId="0" fontId="8" fillId="0" borderId="0" xfId="25" quotePrefix="1" applyNumberFormat="1" applyFont="1" applyAlignment="1" applyProtection="1">
      <alignment horizontal="left" indent="1"/>
    </xf>
    <xf numFmtId="169" fontId="8" fillId="0" borderId="0" xfId="4" applyNumberFormat="1" applyFont="1" applyProtection="1"/>
    <xf numFmtId="0" fontId="8" fillId="0" borderId="0" xfId="25" applyNumberFormat="1" applyFont="1" applyAlignment="1" applyProtection="1">
      <alignment horizontal="left" indent="1"/>
    </xf>
    <xf numFmtId="0" fontId="12" fillId="0" borderId="0" xfId="25" applyNumberFormat="1" applyFont="1" applyAlignment="1" applyProtection="1">
      <alignment horizontal="left"/>
    </xf>
    <xf numFmtId="0" fontId="8" fillId="0" borderId="0" xfId="25" applyNumberFormat="1" applyFont="1" applyProtection="1"/>
    <xf numFmtId="44" fontId="8" fillId="11" borderId="50" xfId="2" applyFont="1" applyFill="1" applyBorder="1" applyProtection="1">
      <protection locked="0"/>
    </xf>
    <xf numFmtId="44" fontId="63" fillId="11" borderId="50" xfId="2" applyFont="1" applyFill="1" applyBorder="1" applyProtection="1">
      <protection locked="0"/>
    </xf>
    <xf numFmtId="44" fontId="63" fillId="11" borderId="373" xfId="2" applyFont="1" applyFill="1" applyBorder="1" applyProtection="1">
      <protection locked="0"/>
    </xf>
    <xf numFmtId="0" fontId="25" fillId="0" borderId="0" xfId="17" applyFont="1" applyBorder="1" applyAlignment="1" applyProtection="1">
      <alignment horizontal="center"/>
    </xf>
    <xf numFmtId="0" fontId="25" fillId="0" borderId="277" xfId="17" quotePrefix="1" applyNumberFormat="1" applyFont="1" applyBorder="1" applyProtection="1"/>
    <xf numFmtId="0" fontId="25" fillId="0" borderId="1" xfId="17" applyFont="1" applyBorder="1" applyAlignment="1" applyProtection="1">
      <alignment horizontal="center"/>
      <protection locked="0"/>
    </xf>
    <xf numFmtId="0" fontId="25" fillId="0" borderId="228" xfId="17" applyFont="1" applyBorder="1" applyProtection="1">
      <protection locked="0"/>
    </xf>
    <xf numFmtId="0" fontId="25" fillId="0" borderId="229" xfId="17" applyFont="1" applyBorder="1" applyProtection="1">
      <protection locked="0"/>
    </xf>
    <xf numFmtId="0" fontId="43" fillId="0" borderId="292" xfId="17" applyFont="1" applyBorder="1" applyAlignment="1" applyProtection="1">
      <alignment horizontal="center"/>
      <protection locked="0"/>
    </xf>
    <xf numFmtId="0" fontId="43" fillId="0" borderId="21" xfId="17" applyFont="1" applyBorder="1" applyAlignment="1" applyProtection="1">
      <alignment horizontal="center"/>
      <protection locked="0"/>
    </xf>
    <xf numFmtId="168" fontId="43" fillId="0" borderId="17" xfId="15" applyNumberFormat="1" applyFont="1" applyBorder="1" applyAlignment="1" applyProtection="1">
      <alignment horizontal="center"/>
      <protection locked="0"/>
    </xf>
    <xf numFmtId="0" fontId="25" fillId="0" borderId="256" xfId="17" applyFont="1" applyBorder="1" applyAlignment="1" applyProtection="1">
      <alignment horizontal="center"/>
      <protection locked="0"/>
    </xf>
    <xf numFmtId="0" fontId="25" fillId="0" borderId="274" xfId="17" applyFont="1" applyBorder="1" applyAlignment="1" applyProtection="1">
      <alignment horizontal="center"/>
      <protection locked="0"/>
    </xf>
    <xf numFmtId="0" fontId="25" fillId="0" borderId="17" xfId="17" applyFont="1" applyBorder="1" applyAlignment="1" applyProtection="1">
      <alignment horizontal="center"/>
      <protection locked="0"/>
    </xf>
    <xf numFmtId="0" fontId="43" fillId="0" borderId="256" xfId="17" applyFont="1" applyBorder="1" applyAlignment="1" applyProtection="1">
      <alignment horizontal="center"/>
      <protection locked="0"/>
    </xf>
    <xf numFmtId="0" fontId="25" fillId="0" borderId="5" xfId="17" applyFont="1" applyBorder="1" applyProtection="1">
      <protection locked="0"/>
    </xf>
    <xf numFmtId="0" fontId="25" fillId="0" borderId="13" xfId="17" applyFont="1" applyBorder="1" applyProtection="1">
      <protection locked="0"/>
    </xf>
    <xf numFmtId="0" fontId="25" fillId="0" borderId="18" xfId="17" applyFont="1" applyBorder="1" applyProtection="1">
      <protection locked="0"/>
    </xf>
    <xf numFmtId="0" fontId="25" fillId="0" borderId="1" xfId="17" applyFont="1" applyBorder="1" applyProtection="1">
      <protection locked="0"/>
    </xf>
    <xf numFmtId="0" fontId="25" fillId="0" borderId="23" xfId="17" applyFont="1" applyBorder="1" applyProtection="1">
      <protection locked="0"/>
    </xf>
    <xf numFmtId="0" fontId="25" fillId="0" borderId="0" xfId="17" applyFont="1" applyAlignment="1" applyProtection="1">
      <alignment horizontal="center" vertical="center"/>
      <protection locked="0"/>
    </xf>
    <xf numFmtId="44" fontId="43" fillId="0" borderId="233" xfId="2" applyFont="1" applyFill="1" applyBorder="1" applyAlignment="1" applyProtection="1">
      <alignment vertical="center"/>
      <protection locked="0"/>
    </xf>
    <xf numFmtId="44" fontId="25" fillId="0" borderId="234" xfId="2" applyFont="1" applyBorder="1" applyAlignment="1" applyProtection="1">
      <alignment vertical="center"/>
      <protection locked="0"/>
    </xf>
    <xf numFmtId="44" fontId="25" fillId="0" borderId="231" xfId="2" applyFont="1" applyBorder="1" applyAlignment="1" applyProtection="1">
      <alignment vertical="center"/>
      <protection locked="0"/>
    </xf>
    <xf numFmtId="44" fontId="43" fillId="0" borderId="237" xfId="2" applyFont="1" applyFill="1" applyBorder="1" applyAlignment="1" applyProtection="1">
      <alignment vertical="center"/>
      <protection locked="0"/>
    </xf>
    <xf numFmtId="44" fontId="25" fillId="0" borderId="240" xfId="2" applyFont="1" applyBorder="1" applyAlignment="1" applyProtection="1">
      <alignment vertical="center"/>
      <protection locked="0"/>
    </xf>
    <xf numFmtId="44" fontId="25" fillId="0" borderId="235" xfId="2" applyFont="1" applyBorder="1" applyAlignment="1" applyProtection="1">
      <alignment vertical="center"/>
      <protection locked="0"/>
    </xf>
    <xf numFmtId="44" fontId="25" fillId="0" borderId="235" xfId="2" applyFont="1" applyFill="1" applyBorder="1" applyAlignment="1" applyProtection="1">
      <alignment vertical="center"/>
      <protection locked="0"/>
    </xf>
    <xf numFmtId="44" fontId="25" fillId="0" borderId="242" xfId="2" applyFont="1" applyBorder="1" applyAlignment="1" applyProtection="1">
      <alignment vertical="center"/>
      <protection locked="0"/>
    </xf>
    <xf numFmtId="44" fontId="25" fillId="0" borderId="294" xfId="2" applyFont="1" applyBorder="1" applyAlignment="1" applyProtection="1">
      <alignment vertical="center"/>
      <protection locked="0"/>
    </xf>
    <xf numFmtId="44" fontId="43" fillId="0" borderId="295" xfId="2" applyFont="1" applyFill="1" applyBorder="1" applyAlignment="1" applyProtection="1">
      <alignment vertical="center"/>
      <protection locked="0"/>
    </xf>
    <xf numFmtId="0" fontId="25" fillId="0" borderId="3" xfId="17" applyFont="1" applyBorder="1" applyAlignment="1" applyProtection="1">
      <alignment vertical="center"/>
      <protection locked="0"/>
    </xf>
    <xf numFmtId="0" fontId="25" fillId="0" borderId="209" xfId="17" applyFont="1" applyBorder="1" applyAlignment="1" applyProtection="1">
      <alignment vertical="center"/>
      <protection locked="0"/>
    </xf>
    <xf numFmtId="0" fontId="25" fillId="0" borderId="230" xfId="17" applyFont="1" applyBorder="1" applyAlignment="1" applyProtection="1">
      <alignment vertical="center"/>
      <protection locked="0"/>
    </xf>
    <xf numFmtId="0" fontId="25" fillId="0" borderId="277" xfId="17" applyFont="1" applyBorder="1" applyAlignment="1" applyProtection="1">
      <alignment vertical="center"/>
      <protection locked="0"/>
    </xf>
    <xf numFmtId="0" fontId="25" fillId="0" borderId="283" xfId="17" applyFont="1" applyBorder="1" applyAlignment="1" applyProtection="1">
      <alignment vertical="center"/>
      <protection locked="0"/>
    </xf>
    <xf numFmtId="44" fontId="25" fillId="0" borderId="246" xfId="2" applyFont="1" applyBorder="1" applyAlignment="1" applyProtection="1">
      <alignment vertical="center"/>
      <protection locked="0"/>
    </xf>
    <xf numFmtId="44" fontId="43" fillId="0" borderId="293" xfId="2" applyFont="1" applyFill="1" applyBorder="1" applyAlignment="1" applyProtection="1">
      <alignment vertical="center"/>
      <protection locked="0"/>
    </xf>
    <xf numFmtId="44" fontId="25" fillId="0" borderId="250" xfId="2" applyFont="1" applyBorder="1" applyAlignment="1" applyProtection="1">
      <alignment vertical="center"/>
      <protection locked="0"/>
    </xf>
    <xf numFmtId="44" fontId="25" fillId="0" borderId="294" xfId="2" applyFont="1" applyFill="1" applyBorder="1" applyAlignment="1" applyProtection="1">
      <alignment vertical="center"/>
      <protection locked="0"/>
    </xf>
    <xf numFmtId="44" fontId="43" fillId="0" borderId="253" xfId="2" applyFont="1" applyFill="1" applyBorder="1" applyAlignment="1" applyProtection="1">
      <alignment vertical="center"/>
      <protection locked="0"/>
    </xf>
    <xf numFmtId="44" fontId="25" fillId="0" borderId="255" xfId="2" applyFont="1" applyBorder="1" applyAlignment="1" applyProtection="1">
      <alignment vertical="center"/>
      <protection locked="0"/>
    </xf>
    <xf numFmtId="44" fontId="25" fillId="0" borderId="251" xfId="2" applyFont="1" applyFill="1" applyBorder="1" applyAlignment="1" applyProtection="1">
      <alignment vertical="center"/>
      <protection locked="0"/>
    </xf>
    <xf numFmtId="44" fontId="43" fillId="0" borderId="274" xfId="2" applyFont="1" applyBorder="1" applyAlignment="1" applyProtection="1">
      <alignment vertical="center"/>
      <protection locked="0"/>
    </xf>
    <xf numFmtId="44" fontId="43" fillId="0" borderId="274" xfId="2" applyFont="1" applyFill="1" applyBorder="1" applyAlignment="1" applyProtection="1">
      <alignment vertical="center"/>
      <protection locked="0"/>
    </xf>
    <xf numFmtId="44" fontId="43" fillId="0" borderId="278" xfId="2" applyFont="1" applyFill="1" applyBorder="1" applyAlignment="1" applyProtection="1">
      <alignment vertical="center"/>
      <protection locked="0"/>
    </xf>
    <xf numFmtId="44" fontId="43" fillId="0" borderId="258" xfId="2" applyFont="1" applyFill="1" applyBorder="1" applyAlignment="1" applyProtection="1">
      <alignment vertical="center"/>
      <protection locked="0"/>
    </xf>
    <xf numFmtId="44" fontId="43" fillId="0" borderId="259" xfId="2" applyFont="1" applyBorder="1" applyAlignment="1" applyProtection="1">
      <alignment vertical="center"/>
      <protection locked="0"/>
    </xf>
    <xf numFmtId="44" fontId="43" fillId="0" borderId="260" xfId="2" applyFont="1" applyBorder="1" applyAlignment="1" applyProtection="1">
      <alignment vertical="center"/>
      <protection locked="0"/>
    </xf>
    <xf numFmtId="44" fontId="43" fillId="0" borderId="261" xfId="2" applyFont="1" applyBorder="1" applyAlignment="1" applyProtection="1">
      <alignment vertical="center"/>
      <protection locked="0"/>
    </xf>
    <xf numFmtId="44" fontId="43" fillId="0" borderId="256" xfId="2" applyFont="1" applyBorder="1" applyAlignment="1" applyProtection="1">
      <alignment vertical="center"/>
      <protection locked="0"/>
    </xf>
    <xf numFmtId="44" fontId="25" fillId="0" borderId="0" xfId="17" applyNumberFormat="1" applyFont="1" applyAlignment="1" applyProtection="1">
      <alignment vertical="center"/>
      <protection locked="0"/>
    </xf>
    <xf numFmtId="0" fontId="81" fillId="0" borderId="0" xfId="16" applyFont="1" applyBorder="1" applyProtection="1"/>
    <xf numFmtId="0" fontId="12" fillId="0" borderId="0" xfId="16" applyFont="1" applyAlignment="1" applyProtection="1">
      <alignment vertical="center"/>
    </xf>
    <xf numFmtId="44" fontId="25" fillId="11" borderId="284" xfId="2" applyFont="1" applyFill="1" applyBorder="1" applyAlignment="1" applyProtection="1">
      <alignment vertical="center"/>
      <protection locked="0"/>
    </xf>
    <xf numFmtId="44" fontId="25" fillId="11" borderId="288" xfId="2" applyFont="1" applyFill="1" applyBorder="1" applyAlignment="1" applyProtection="1">
      <alignment vertical="center"/>
      <protection locked="0"/>
    </xf>
    <xf numFmtId="44" fontId="25" fillId="11" borderId="286" xfId="2" applyFont="1" applyFill="1" applyBorder="1" applyAlignment="1" applyProtection="1">
      <alignment vertical="center"/>
      <protection locked="0"/>
    </xf>
    <xf numFmtId="44" fontId="25" fillId="11" borderId="285" xfId="2" applyFont="1" applyFill="1" applyBorder="1" applyAlignment="1" applyProtection="1">
      <alignment vertical="center"/>
      <protection locked="0"/>
    </xf>
    <xf numFmtId="44" fontId="25" fillId="11" borderId="289" xfId="2" applyFont="1" applyFill="1" applyBorder="1" applyAlignment="1" applyProtection="1">
      <alignment vertical="center"/>
      <protection locked="0"/>
    </xf>
    <xf numFmtId="44" fontId="25" fillId="11" borderId="287" xfId="2" applyFont="1" applyFill="1" applyBorder="1" applyAlignment="1" applyProtection="1">
      <alignment vertical="center"/>
      <protection locked="0"/>
    </xf>
    <xf numFmtId="44" fontId="25" fillId="11" borderId="45" xfId="2" applyFont="1" applyFill="1" applyBorder="1" applyAlignment="1" applyProtection="1">
      <alignment vertical="center"/>
      <protection locked="0"/>
    </xf>
    <xf numFmtId="44" fontId="25" fillId="11" borderId="290" xfId="2" applyFont="1" applyFill="1" applyBorder="1" applyAlignment="1" applyProtection="1">
      <alignment vertical="center"/>
      <protection locked="0"/>
    </xf>
    <xf numFmtId="44" fontId="25" fillId="11" borderId="249" xfId="2" applyFont="1" applyFill="1" applyBorder="1" applyAlignment="1" applyProtection="1">
      <alignment vertical="center"/>
      <protection locked="0"/>
    </xf>
    <xf numFmtId="44" fontId="25" fillId="11" borderId="291" xfId="2" applyFont="1" applyFill="1" applyBorder="1" applyAlignment="1" applyProtection="1">
      <alignment vertical="center"/>
      <protection locked="0"/>
    </xf>
    <xf numFmtId="44" fontId="25" fillId="11" borderId="239" xfId="2" applyFont="1" applyFill="1" applyBorder="1" applyAlignment="1" applyProtection="1">
      <alignment vertical="center"/>
      <protection locked="0"/>
    </xf>
    <xf numFmtId="44" fontId="25" fillId="11" borderId="296" xfId="2" applyFont="1" applyFill="1" applyBorder="1" applyAlignment="1" applyProtection="1">
      <alignment vertical="center"/>
      <protection locked="0"/>
    </xf>
    <xf numFmtId="44" fontId="25" fillId="11" borderId="254" xfId="2" applyFont="1" applyFill="1" applyBorder="1" applyAlignment="1" applyProtection="1">
      <alignment vertical="center"/>
      <protection locked="0"/>
    </xf>
    <xf numFmtId="44" fontId="25" fillId="11" borderId="298" xfId="2" applyFont="1" applyFill="1" applyBorder="1" applyAlignment="1" applyProtection="1">
      <alignment vertical="center"/>
      <protection locked="0"/>
    </xf>
    <xf numFmtId="0" fontId="8" fillId="0" borderId="13" xfId="19" quotePrefix="1" applyNumberFormat="1" applyFont="1" applyBorder="1" applyAlignment="1" applyProtection="1">
      <alignment horizontal="left"/>
    </xf>
    <xf numFmtId="44" fontId="3" fillId="0" borderId="9" xfId="19" applyNumberFormat="1" applyFont="1" applyBorder="1" applyProtection="1">
      <protection locked="0"/>
    </xf>
    <xf numFmtId="44" fontId="3" fillId="0" borderId="41" xfId="19" applyNumberFormat="1" applyFont="1" applyBorder="1" applyAlignment="1" applyProtection="1">
      <alignment horizontal="center"/>
      <protection locked="0"/>
    </xf>
    <xf numFmtId="44" fontId="3" fillId="0" borderId="21" xfId="19" applyNumberFormat="1" applyFont="1" applyBorder="1" applyProtection="1">
      <protection locked="0"/>
    </xf>
    <xf numFmtId="44" fontId="3" fillId="0" borderId="271" xfId="19" applyNumberFormat="1" applyFont="1" applyBorder="1" applyAlignment="1" applyProtection="1">
      <alignment horizontal="center"/>
      <protection locked="0"/>
    </xf>
    <xf numFmtId="0" fontId="5" fillId="1" borderId="269" xfId="19" applyFont="1" applyFill="1" applyBorder="1" applyProtection="1"/>
    <xf numFmtId="44" fontId="25" fillId="0" borderId="276" xfId="21" applyFont="1" applyFill="1" applyBorder="1" applyProtection="1"/>
    <xf numFmtId="0" fontId="25" fillId="0" borderId="282" xfId="19" applyFont="1" applyBorder="1" applyProtection="1"/>
    <xf numFmtId="0" fontId="5" fillId="20" borderId="269" xfId="19" applyFont="1" applyFill="1" applyBorder="1" applyProtection="1"/>
    <xf numFmtId="0" fontId="25" fillId="20" borderId="269" xfId="19" applyFont="1" applyFill="1" applyBorder="1" applyProtection="1"/>
    <xf numFmtId="0" fontId="25" fillId="1" borderId="269" xfId="19" applyFont="1" applyFill="1" applyBorder="1" applyProtection="1"/>
    <xf numFmtId="44" fontId="58" fillId="0" borderId="307" xfId="21" applyFont="1" applyFill="1" applyBorder="1" applyProtection="1"/>
    <xf numFmtId="44" fontId="58" fillId="0" borderId="308" xfId="21" applyFont="1" applyFill="1" applyBorder="1" applyProtection="1"/>
    <xf numFmtId="44" fontId="58" fillId="0" borderId="310" xfId="21" applyFont="1" applyFill="1" applyBorder="1" applyProtection="1"/>
    <xf numFmtId="44" fontId="58" fillId="0" borderId="324" xfId="21" applyFont="1" applyFill="1" applyBorder="1" applyProtection="1"/>
    <xf numFmtId="44" fontId="58" fillId="0" borderId="325" xfId="21" applyFont="1" applyFill="1" applyBorder="1" applyProtection="1"/>
    <xf numFmtId="44" fontId="58" fillId="0" borderId="327" xfId="21" applyFont="1" applyFill="1" applyBorder="1" applyProtection="1"/>
    <xf numFmtId="0" fontId="2" fillId="0" borderId="0" xfId="19" applyFont="1" applyProtection="1"/>
    <xf numFmtId="44" fontId="3" fillId="0" borderId="0" xfId="19" applyNumberFormat="1" applyFont="1" applyProtection="1"/>
    <xf numFmtId="44" fontId="3" fillId="0" borderId="329" xfId="19" applyNumberFormat="1" applyFont="1" applyBorder="1" applyProtection="1"/>
    <xf numFmtId="0" fontId="25" fillId="20" borderId="268" xfId="19" applyFont="1" applyFill="1" applyBorder="1" applyProtection="1"/>
    <xf numFmtId="44" fontId="25" fillId="0" borderId="281" xfId="21" applyFont="1" applyFill="1" applyBorder="1" applyProtection="1"/>
    <xf numFmtId="44" fontId="25" fillId="21" borderId="318" xfId="21" applyFont="1" applyFill="1" applyBorder="1" applyProtection="1"/>
    <xf numFmtId="44" fontId="25" fillId="21" borderId="319" xfId="21" applyFont="1" applyFill="1" applyBorder="1" applyProtection="1"/>
    <xf numFmtId="44" fontId="25" fillId="21" borderId="269" xfId="21" applyFont="1" applyFill="1" applyBorder="1" applyProtection="1"/>
    <xf numFmtId="44" fontId="25" fillId="21" borderId="276" xfId="21" applyFont="1" applyFill="1" applyBorder="1" applyProtection="1"/>
    <xf numFmtId="44" fontId="25" fillId="1" borderId="12" xfId="21" applyFont="1" applyFill="1" applyBorder="1" applyProtection="1"/>
    <xf numFmtId="44" fontId="25" fillId="1" borderId="269" xfId="21" applyFont="1" applyFill="1" applyBorder="1" applyProtection="1"/>
    <xf numFmtId="44" fontId="25" fillId="1" borderId="276" xfId="21" applyFont="1" applyFill="1" applyBorder="1" applyProtection="1"/>
    <xf numFmtId="44" fontId="5" fillId="21" borderId="267" xfId="21" applyFont="1" applyFill="1" applyBorder="1" applyProtection="1"/>
    <xf numFmtId="44" fontId="5" fillId="21" borderId="190" xfId="21" applyFont="1" applyFill="1" applyBorder="1" applyProtection="1"/>
    <xf numFmtId="0" fontId="5" fillId="1" borderId="280" xfId="19" applyFont="1" applyFill="1" applyBorder="1" applyProtection="1"/>
    <xf numFmtId="44" fontId="5" fillId="1" borderId="269" xfId="21" applyFont="1" applyFill="1" applyBorder="1" applyProtection="1"/>
    <xf numFmtId="44" fontId="5" fillId="1" borderId="276" xfId="21" applyFont="1" applyFill="1" applyBorder="1" applyProtection="1"/>
    <xf numFmtId="44" fontId="25" fillId="21" borderId="267" xfId="21" applyFont="1" applyFill="1" applyBorder="1" applyProtection="1"/>
    <xf numFmtId="44" fontId="25" fillId="21" borderId="190" xfId="21" applyFont="1" applyFill="1" applyBorder="1" applyProtection="1"/>
    <xf numFmtId="0" fontId="2" fillId="10" borderId="127" xfId="19" applyFont="1" applyFill="1" applyBorder="1" applyAlignment="1" applyProtection="1">
      <alignment horizontal="center"/>
    </xf>
    <xf numFmtId="44" fontId="25" fillId="11" borderId="123" xfId="21" applyFont="1" applyFill="1" applyBorder="1" applyProtection="1">
      <protection locked="0"/>
    </xf>
    <xf numFmtId="44" fontId="25" fillId="11" borderId="276" xfId="21" applyFont="1" applyFill="1" applyBorder="1" applyProtection="1">
      <protection locked="0"/>
    </xf>
    <xf numFmtId="44" fontId="25" fillId="11" borderId="12" xfId="21" applyFont="1" applyFill="1" applyBorder="1" applyProtection="1">
      <protection locked="0"/>
    </xf>
    <xf numFmtId="44" fontId="25" fillId="11" borderId="190" xfId="21" applyFont="1" applyFill="1" applyBorder="1" applyProtection="1">
      <protection locked="0"/>
    </xf>
    <xf numFmtId="44" fontId="25" fillId="11" borderId="269" xfId="21" applyFont="1" applyFill="1" applyBorder="1" applyProtection="1">
      <protection locked="0"/>
    </xf>
    <xf numFmtId="0" fontId="25" fillId="11" borderId="9" xfId="19" applyFont="1" applyFill="1" applyBorder="1" applyAlignment="1" applyProtection="1">
      <alignment horizontal="center"/>
      <protection locked="0"/>
    </xf>
    <xf numFmtId="0" fontId="3" fillId="11" borderId="9" xfId="19" applyFont="1" applyFill="1" applyBorder="1" applyAlignment="1" applyProtection="1">
      <alignment horizontal="center"/>
      <protection locked="0"/>
    </xf>
    <xf numFmtId="0" fontId="3" fillId="11" borderId="12" xfId="19" applyFont="1" applyFill="1" applyBorder="1" applyAlignment="1" applyProtection="1">
      <alignment horizontal="center"/>
      <protection locked="0"/>
    </xf>
    <xf numFmtId="164" fontId="3" fillId="11" borderId="12" xfId="21" applyNumberFormat="1" applyFont="1" applyFill="1" applyBorder="1" applyAlignment="1" applyProtection="1">
      <alignment horizontal="center"/>
      <protection locked="0"/>
    </xf>
    <xf numFmtId="0" fontId="25" fillId="11" borderId="274" xfId="19" applyFont="1" applyFill="1" applyBorder="1" applyAlignment="1" applyProtection="1">
      <alignment horizontal="center"/>
      <protection locked="0"/>
    </xf>
    <xf numFmtId="0" fontId="3" fillId="11" borderId="274" xfId="19" applyFont="1" applyFill="1" applyBorder="1" applyAlignment="1" applyProtection="1">
      <alignment horizontal="center"/>
      <protection locked="0"/>
    </xf>
    <xf numFmtId="0" fontId="3" fillId="11" borderId="275" xfId="19" applyFont="1" applyFill="1" applyBorder="1" applyAlignment="1" applyProtection="1">
      <alignment horizontal="center"/>
      <protection locked="0"/>
    </xf>
    <xf numFmtId="164" fontId="3" fillId="11" borderId="275" xfId="21" applyNumberFormat="1" applyFont="1" applyFill="1" applyBorder="1" applyAlignment="1" applyProtection="1">
      <alignment horizontal="center"/>
      <protection locked="0"/>
    </xf>
    <xf numFmtId="44" fontId="25" fillId="11" borderId="281" xfId="21" applyFont="1" applyFill="1" applyBorder="1" applyProtection="1">
      <protection locked="0"/>
    </xf>
    <xf numFmtId="44" fontId="25" fillId="1" borderId="242" xfId="21" applyFont="1" applyFill="1" applyBorder="1" applyProtection="1"/>
    <xf numFmtId="44" fontId="25" fillId="1" borderId="280" xfId="21" applyFont="1" applyFill="1" applyBorder="1" applyProtection="1"/>
    <xf numFmtId="44" fontId="25" fillId="1" borderId="41" xfId="21" applyFont="1" applyFill="1" applyBorder="1" applyProtection="1"/>
    <xf numFmtId="44" fontId="5" fillId="1" borderId="242" xfId="21" applyFont="1" applyFill="1" applyBorder="1" applyProtection="1"/>
    <xf numFmtId="44" fontId="25" fillId="1" borderId="282" xfId="21" applyFont="1" applyFill="1" applyBorder="1" applyProtection="1"/>
    <xf numFmtId="44" fontId="5" fillId="1" borderId="280" xfId="21" applyFont="1" applyFill="1" applyBorder="1" applyProtection="1"/>
    <xf numFmtId="165" fontId="82" fillId="0" borderId="0" xfId="0" applyFont="1" applyProtection="1"/>
    <xf numFmtId="165" fontId="79" fillId="0" borderId="0" xfId="0" quotePrefix="1" applyFont="1" applyAlignment="1" applyProtection="1">
      <alignment horizontal="left"/>
    </xf>
    <xf numFmtId="165" fontId="9" fillId="0" borderId="0" xfId="0" applyFont="1" applyAlignment="1" applyProtection="1">
      <alignment horizontal="right"/>
    </xf>
    <xf numFmtId="168" fontId="42" fillId="11" borderId="50" xfId="12" applyNumberFormat="1" applyFont="1" applyFill="1" applyBorder="1" applyAlignment="1" applyProtection="1">
      <alignment vertical="top"/>
      <protection locked="0"/>
    </xf>
    <xf numFmtId="37" fontId="42" fillId="11" borderId="50" xfId="12" applyNumberFormat="1" applyFont="1" applyFill="1" applyBorder="1" applyAlignment="1" applyProtection="1">
      <alignment horizontal="center" vertical="top"/>
      <protection locked="0"/>
    </xf>
    <xf numFmtId="169" fontId="9" fillId="11" borderId="10" xfId="1" applyNumberFormat="1" applyFont="1" applyFill="1" applyBorder="1" applyAlignment="1" applyProtection="1">
      <alignment horizontal="left" vertical="top" wrapText="1"/>
      <protection locked="0"/>
    </xf>
    <xf numFmtId="37" fontId="42" fillId="11" borderId="56" xfId="12" applyNumberFormat="1" applyFont="1" applyFill="1" applyBorder="1" applyAlignment="1" applyProtection="1">
      <alignment horizontal="center" vertical="top"/>
      <protection locked="0"/>
    </xf>
    <xf numFmtId="169" fontId="9" fillId="11" borderId="7" xfId="1" applyNumberFormat="1" applyFont="1" applyFill="1" applyBorder="1" applyAlignment="1" applyProtection="1">
      <alignment horizontal="left" vertical="top" wrapText="1"/>
      <protection locked="0"/>
    </xf>
    <xf numFmtId="169" fontId="9" fillId="11" borderId="10" xfId="1" applyNumberFormat="1" applyFont="1" applyFill="1" applyBorder="1" applyAlignment="1" applyProtection="1">
      <alignment horizontal="center" vertical="top" wrapText="1"/>
      <protection locked="0"/>
    </xf>
    <xf numFmtId="169" fontId="9" fillId="11" borderId="7" xfId="1" applyNumberFormat="1" applyFont="1" applyFill="1" applyBorder="1" applyAlignment="1" applyProtection="1">
      <alignment horizontal="center" vertical="top" wrapText="1"/>
      <protection locked="0"/>
    </xf>
    <xf numFmtId="0" fontId="8" fillId="11" borderId="9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277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45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13" xfId="0" applyNumberFormat="1" applyFont="1" applyFill="1" applyBorder="1" applyAlignment="1" applyProtection="1">
      <alignment horizontal="center" vertical="center" wrapText="1"/>
      <protection locked="0"/>
    </xf>
    <xf numFmtId="165" fontId="83" fillId="0" borderId="0" xfId="0" applyFont="1" applyProtection="1"/>
    <xf numFmtId="0" fontId="81" fillId="0" borderId="0" xfId="11" applyFont="1" applyProtection="1"/>
    <xf numFmtId="165" fontId="20" fillId="0" borderId="0" xfId="0" applyFont="1" applyProtection="1"/>
    <xf numFmtId="165" fontId="20" fillId="0" borderId="0" xfId="0" applyFont="1" applyProtection="1">
      <protection locked="0"/>
    </xf>
    <xf numFmtId="0" fontId="20" fillId="0" borderId="0" xfId="6" applyFont="1" applyProtection="1"/>
    <xf numFmtId="165" fontId="25" fillId="0" borderId="0" xfId="0" applyFont="1" applyBorder="1" applyAlignment="1" applyProtection="1">
      <alignment horizontal="left"/>
    </xf>
    <xf numFmtId="0" fontId="1" fillId="0" borderId="0" xfId="19" applyFont="1" applyProtection="1">
      <protection locked="0"/>
    </xf>
    <xf numFmtId="0" fontId="84" fillId="27" borderId="0" xfId="4" applyFont="1" applyFill="1" applyAlignment="1" applyProtection="1">
      <alignment horizontal="center" vertical="center"/>
    </xf>
    <xf numFmtId="165" fontId="85" fillId="27" borderId="0" xfId="0" applyFont="1" applyFill="1" applyAlignment="1" applyProtection="1">
      <alignment horizontal="center" vertical="center" wrapText="1"/>
    </xf>
    <xf numFmtId="165" fontId="8" fillId="0" borderId="13" xfId="0" applyFont="1" applyFill="1" applyBorder="1" applyAlignment="1" applyProtection="1">
      <alignment horizontal="center"/>
    </xf>
    <xf numFmtId="168" fontId="11" fillId="0" borderId="97" xfId="1" quotePrefix="1" applyNumberFormat="1" applyFont="1" applyFill="1" applyBorder="1" applyProtection="1"/>
    <xf numFmtId="168" fontId="11" fillId="0" borderId="110" xfId="1" quotePrefix="1" applyNumberFormat="1" applyFont="1" applyFill="1" applyBorder="1" applyProtection="1"/>
    <xf numFmtId="168" fontId="53" fillId="0" borderId="0" xfId="22" applyNumberFormat="1" applyFont="1" applyBorder="1" applyAlignment="1">
      <alignment horizontal="right"/>
    </xf>
    <xf numFmtId="44" fontId="3" fillId="0" borderId="0" xfId="19" applyNumberFormat="1" applyFont="1" applyProtection="1">
      <protection locked="0"/>
    </xf>
    <xf numFmtId="44" fontId="3" fillId="0" borderId="0" xfId="19" applyNumberFormat="1" applyFont="1" applyAlignment="1" applyProtection="1">
      <alignment horizontal="center"/>
    </xf>
    <xf numFmtId="0" fontId="9" fillId="0" borderId="317" xfId="19" quotePrefix="1" applyFont="1" applyBorder="1" applyAlignment="1">
      <alignment horizontal="center" vertical="center"/>
    </xf>
    <xf numFmtId="0" fontId="9" fillId="0" borderId="249" xfId="19" quotePrefix="1" applyFont="1" applyBorder="1" applyAlignment="1">
      <alignment horizontal="center" vertical="center"/>
    </xf>
    <xf numFmtId="165" fontId="8" fillId="0" borderId="119" xfId="0" applyFont="1" applyBorder="1" applyAlignment="1" applyProtection="1">
      <alignment horizontal="center" wrapText="1"/>
    </xf>
    <xf numFmtId="44" fontId="86" fillId="0" borderId="102" xfId="2" applyFont="1" applyFill="1" applyBorder="1" applyProtection="1"/>
    <xf numFmtId="44" fontId="86" fillId="0" borderId="68" xfId="2" applyFont="1" applyFill="1" applyBorder="1" applyProtection="1"/>
    <xf numFmtId="168" fontId="11" fillId="0" borderId="380" xfId="2" quotePrefix="1" applyNumberFormat="1" applyFont="1" applyFill="1" applyBorder="1" applyProtection="1"/>
    <xf numFmtId="44" fontId="86" fillId="0" borderId="379" xfId="2" quotePrefix="1" applyFont="1" applyFill="1" applyBorder="1" applyProtection="1"/>
    <xf numFmtId="165" fontId="8" fillId="0" borderId="0" xfId="0" applyFont="1" applyBorder="1" applyAlignment="1" applyProtection="1"/>
    <xf numFmtId="165" fontId="8" fillId="0" borderId="0" xfId="0" applyFont="1" applyBorder="1" applyAlignment="1" applyProtection="1">
      <protection locked="0"/>
    </xf>
    <xf numFmtId="165" fontId="8" fillId="0" borderId="0" xfId="0" applyFont="1" applyBorder="1" applyAlignment="1" applyProtection="1">
      <alignment horizontal="right"/>
    </xf>
    <xf numFmtId="165" fontId="25" fillId="0" borderId="0" xfId="0" applyFont="1" applyBorder="1" applyAlignment="1" applyProtection="1">
      <alignment horizontal="center" vertical="center"/>
    </xf>
    <xf numFmtId="44" fontId="8" fillId="0" borderId="0" xfId="2" applyFont="1" applyBorder="1" applyAlignment="1" applyProtection="1">
      <alignment horizontal="left"/>
    </xf>
    <xf numFmtId="44" fontId="8" fillId="0" borderId="0" xfId="2" applyFont="1" applyBorder="1" applyAlignment="1" applyProtection="1"/>
    <xf numFmtId="165" fontId="71" fillId="0" borderId="0" xfId="0" applyFont="1" applyBorder="1" applyAlignment="1" applyProtection="1">
      <alignment horizontal="centerContinuous" vertical="justify"/>
    </xf>
    <xf numFmtId="165" fontId="71" fillId="0" borderId="0" xfId="0" applyFont="1" applyBorder="1" applyAlignment="1" applyProtection="1">
      <alignment horizontal="center"/>
    </xf>
    <xf numFmtId="165" fontId="71" fillId="0" borderId="0" xfId="0" applyFont="1" applyBorder="1" applyAlignment="1" applyProtection="1">
      <alignment horizontal="centerContinuous"/>
    </xf>
    <xf numFmtId="165" fontId="47" fillId="0" borderId="0" xfId="0" applyFont="1" applyBorder="1" applyAlignment="1" applyProtection="1">
      <alignment horizontal="centerContinuous"/>
    </xf>
    <xf numFmtId="165" fontId="21" fillId="0" borderId="0" xfId="0" applyFont="1" applyBorder="1" applyAlignment="1" applyProtection="1">
      <alignment horizontal="centerContinuous"/>
    </xf>
    <xf numFmtId="44" fontId="8" fillId="28" borderId="0" xfId="2" applyFont="1" applyFill="1" applyBorder="1" applyAlignment="1" applyProtection="1">
      <alignment horizontal="left"/>
    </xf>
    <xf numFmtId="166" fontId="78" fillId="17" borderId="0" xfId="7" applyNumberFormat="1" applyFont="1" applyFill="1" applyProtection="1">
      <protection locked="0"/>
    </xf>
    <xf numFmtId="165" fontId="32" fillId="0" borderId="0" xfId="7" applyFont="1" applyAlignment="1" applyProtection="1">
      <alignment horizontal="center" vertical="center"/>
    </xf>
    <xf numFmtId="165" fontId="25" fillId="0" borderId="0" xfId="0" applyFont="1" applyAlignment="1" applyProtection="1">
      <alignment horizontal="center" vertical="center"/>
      <protection locked="0"/>
    </xf>
    <xf numFmtId="0" fontId="11" fillId="4" borderId="219" xfId="0" applyNumberFormat="1" applyFont="1" applyFill="1" applyBorder="1" applyAlignment="1" applyProtection="1">
      <alignment horizontal="center"/>
    </xf>
    <xf numFmtId="0" fontId="11" fillId="4" borderId="46" xfId="0" applyNumberFormat="1" applyFont="1" applyFill="1" applyBorder="1" applyAlignment="1" applyProtection="1">
      <alignment horizontal="center"/>
    </xf>
    <xf numFmtId="0" fontId="11" fillId="4" borderId="50" xfId="0" applyNumberFormat="1" applyFont="1" applyFill="1" applyBorder="1" applyAlignment="1" applyProtection="1">
      <alignment horizontal="center"/>
    </xf>
    <xf numFmtId="0" fontId="11" fillId="0" borderId="50" xfId="0" applyNumberFormat="1" applyFont="1" applyBorder="1" applyAlignment="1" applyProtection="1">
      <alignment horizontal="center"/>
    </xf>
    <xf numFmtId="0" fontId="11" fillId="4" borderId="109" xfId="0" applyNumberFormat="1" applyFont="1" applyFill="1" applyBorder="1" applyAlignment="1" applyProtection="1">
      <alignment horizontal="center"/>
    </xf>
    <xf numFmtId="0" fontId="11" fillId="4" borderId="220" xfId="0" applyNumberFormat="1" applyFont="1" applyFill="1" applyBorder="1" applyAlignment="1" applyProtection="1">
      <alignment horizontal="center"/>
    </xf>
    <xf numFmtId="0" fontId="11" fillId="4" borderId="221" xfId="0" applyNumberFormat="1" applyFont="1" applyFill="1" applyBorder="1" applyAlignment="1" applyProtection="1">
      <alignment horizontal="center"/>
    </xf>
    <xf numFmtId="0" fontId="25" fillId="0" borderId="12" xfId="19" quotePrefix="1" applyFont="1" applyBorder="1" applyProtection="1"/>
    <xf numFmtId="164" fontId="5" fillId="1" borderId="269" xfId="2" applyNumberFormat="1" applyFont="1" applyFill="1" applyBorder="1" applyProtection="1"/>
    <xf numFmtId="164" fontId="25" fillId="11" borderId="12" xfId="2" applyNumberFormat="1" applyFont="1" applyFill="1" applyBorder="1" applyProtection="1">
      <protection locked="0"/>
    </xf>
    <xf numFmtId="164" fontId="25" fillId="11" borderId="269" xfId="2" applyNumberFormat="1" applyFont="1" applyFill="1" applyBorder="1" applyProtection="1">
      <protection locked="0"/>
    </xf>
    <xf numFmtId="164" fontId="5" fillId="20" borderId="269" xfId="2" applyNumberFormat="1" applyFont="1" applyFill="1" applyBorder="1" applyProtection="1"/>
    <xf numFmtId="164" fontId="25" fillId="20" borderId="269" xfId="2" applyNumberFormat="1" applyFont="1" applyFill="1" applyBorder="1" applyProtection="1"/>
    <xf numFmtId="164" fontId="25" fillId="1" borderId="269" xfId="2" applyNumberFormat="1" applyFont="1" applyFill="1" applyBorder="1" applyProtection="1"/>
    <xf numFmtId="164" fontId="58" fillId="0" borderId="307" xfId="2" applyNumberFormat="1" applyFont="1" applyFill="1" applyBorder="1" applyProtection="1"/>
    <xf numFmtId="164" fontId="58" fillId="0" borderId="308" xfId="2" applyNumberFormat="1" applyFont="1" applyFill="1" applyBorder="1" applyProtection="1"/>
    <xf numFmtId="165" fontId="8" fillId="0" borderId="0" xfId="0" applyFont="1" applyAlignment="1" applyProtection="1">
      <alignment horizontal="center"/>
    </xf>
    <xf numFmtId="165" fontId="10" fillId="0" borderId="0" xfId="7" applyFont="1" applyAlignment="1" applyProtection="1">
      <alignment horizontal="right"/>
    </xf>
    <xf numFmtId="10" fontId="8" fillId="0" borderId="0" xfId="3" applyNumberFormat="1" applyFont="1" applyAlignment="1" applyProtection="1">
      <alignment horizontal="center"/>
    </xf>
    <xf numFmtId="10" fontId="10" fillId="0" borderId="0" xfId="3" applyNumberFormat="1" applyFont="1" applyAlignment="1" applyProtection="1">
      <alignment horizontal="center"/>
    </xf>
    <xf numFmtId="165" fontId="25" fillId="0" borderId="0" xfId="0" applyFont="1" applyAlignment="1" applyProtection="1">
      <alignment horizontal="right" vertical="center"/>
    </xf>
    <xf numFmtId="44" fontId="25" fillId="0" borderId="0" xfId="2" applyFont="1" applyAlignment="1" applyProtection="1">
      <alignment horizontal="center" vertical="center"/>
    </xf>
    <xf numFmtId="165" fontId="8" fillId="28" borderId="0" xfId="0" applyFont="1" applyFill="1" applyBorder="1" applyAlignment="1" applyProtection="1">
      <alignment horizontal="left"/>
    </xf>
    <xf numFmtId="165" fontId="8" fillId="28" borderId="0" xfId="0" applyFont="1" applyFill="1" applyBorder="1" applyAlignment="1" applyProtection="1">
      <alignment horizontal="right" vertical="center" wrapText="1"/>
    </xf>
    <xf numFmtId="164" fontId="8" fillId="0" borderId="0" xfId="2" applyNumberFormat="1" applyFont="1" applyBorder="1" applyAlignment="1" applyProtection="1">
      <alignment horizontal="left"/>
    </xf>
    <xf numFmtId="164" fontId="8" fillId="28" borderId="0" xfId="2" applyNumberFormat="1" applyFont="1" applyFill="1" applyBorder="1" applyAlignment="1" applyProtection="1">
      <alignment horizontal="left"/>
    </xf>
    <xf numFmtId="164" fontId="18" fillId="0" borderId="0" xfId="2" applyNumberFormat="1" applyFont="1" applyAlignment="1" applyProtection="1">
      <alignment horizontal="right"/>
    </xf>
    <xf numFmtId="165" fontId="8" fillId="0" borderId="0" xfId="0" applyFont="1" applyBorder="1" applyAlignment="1" applyProtection="1">
      <alignment horizontal="left"/>
    </xf>
    <xf numFmtId="165" fontId="8" fillId="0" borderId="0" xfId="0" applyFont="1" applyBorder="1" applyAlignment="1" applyProtection="1">
      <alignment horizontal="right" vertical="center"/>
    </xf>
    <xf numFmtId="165" fontId="8" fillId="28" borderId="0" xfId="0" applyFont="1" applyFill="1" applyBorder="1" applyAlignment="1" applyProtection="1">
      <alignment horizontal="right" vertical="center"/>
    </xf>
    <xf numFmtId="165" fontId="20" fillId="14" borderId="0" xfId="0" applyFont="1" applyFill="1" applyProtection="1"/>
    <xf numFmtId="165" fontId="25" fillId="14" borderId="0" xfId="0" applyFont="1" applyFill="1" applyAlignment="1" applyProtection="1">
      <alignment horizontal="center"/>
    </xf>
    <xf numFmtId="165" fontId="25" fillId="14" borderId="0" xfId="0" applyFont="1" applyFill="1" applyProtection="1"/>
    <xf numFmtId="165" fontId="71" fillId="14" borderId="0" xfId="0" applyFont="1" applyFill="1" applyAlignment="1" applyProtection="1">
      <alignment horizontal="center"/>
    </xf>
    <xf numFmtId="165" fontId="25" fillId="14" borderId="0" xfId="0" applyFont="1" applyFill="1" applyAlignment="1" applyProtection="1">
      <alignment horizontal="right"/>
    </xf>
    <xf numFmtId="44" fontId="25" fillId="14" borderId="0" xfId="2" applyFont="1" applyFill="1" applyProtection="1"/>
    <xf numFmtId="165" fontId="25" fillId="14" borderId="0" xfId="0" applyFont="1" applyFill="1" applyAlignment="1" applyProtection="1">
      <alignment horizontal="centerContinuous"/>
    </xf>
    <xf numFmtId="44" fontId="6" fillId="0" borderId="0" xfId="2" applyFont="1" applyAlignment="1" applyProtection="1">
      <alignment horizontal="center"/>
    </xf>
    <xf numFmtId="44" fontId="6" fillId="0" borderId="0" xfId="2" applyFont="1" applyAlignment="1" applyProtection="1">
      <alignment horizontal="left"/>
    </xf>
    <xf numFmtId="165" fontId="71" fillId="14" borderId="0" xfId="0" applyFont="1" applyFill="1" applyBorder="1" applyAlignment="1" applyProtection="1">
      <alignment horizontal="center"/>
    </xf>
    <xf numFmtId="44" fontId="25" fillId="14" borderId="0" xfId="2" applyFont="1" applyFill="1" applyAlignment="1" applyProtection="1">
      <alignment horizontal="left"/>
      <protection locked="0"/>
    </xf>
    <xf numFmtId="165" fontId="20" fillId="14" borderId="0" xfId="0" applyFont="1" applyFill="1" applyAlignment="1" applyProtection="1">
      <alignment horizontal="centerContinuous"/>
    </xf>
    <xf numFmtId="164" fontId="18" fillId="0" borderId="0" xfId="2" applyNumberFormat="1" applyFont="1" applyProtection="1"/>
    <xf numFmtId="165" fontId="16" fillId="0" borderId="0" xfId="0" applyFont="1" applyProtection="1"/>
    <xf numFmtId="44" fontId="25" fillId="11" borderId="0" xfId="2" applyFont="1" applyFill="1" applyAlignment="1" applyProtection="1">
      <alignment horizontal="center"/>
      <protection locked="0"/>
    </xf>
    <xf numFmtId="44" fontId="25" fillId="11" borderId="0" xfId="2" applyFont="1" applyFill="1" applyProtection="1">
      <protection locked="0"/>
    </xf>
    <xf numFmtId="165" fontId="25" fillId="11" borderId="0" xfId="0" applyFont="1" applyFill="1" applyAlignment="1" applyProtection="1">
      <alignment horizontal="center"/>
      <protection locked="0"/>
    </xf>
    <xf numFmtId="44" fontId="18" fillId="0" borderId="20" xfId="2" applyFont="1" applyBorder="1" applyProtection="1"/>
    <xf numFmtId="7" fontId="11" fillId="3" borderId="6" xfId="7" applyNumberFormat="1" applyFont="1" applyFill="1" applyBorder="1" applyProtection="1"/>
    <xf numFmtId="165" fontId="0" fillId="0" borderId="45" xfId="0" applyBorder="1" applyProtection="1"/>
    <xf numFmtId="7" fontId="11" fillId="3" borderId="8" xfId="7" applyNumberFormat="1" applyFont="1" applyFill="1" applyBorder="1" applyProtection="1"/>
    <xf numFmtId="7" fontId="11" fillId="7" borderId="38" xfId="7" applyNumberFormat="1" applyFont="1" applyFill="1" applyBorder="1" applyAlignment="1" applyProtection="1">
      <alignment horizontal="center"/>
    </xf>
    <xf numFmtId="7" fontId="11" fillId="7" borderId="39" xfId="7" applyNumberFormat="1" applyFont="1" applyFill="1" applyBorder="1" applyAlignment="1" applyProtection="1">
      <alignment horizontal="center"/>
    </xf>
    <xf numFmtId="7" fontId="11" fillId="7" borderId="40" xfId="7" applyNumberFormat="1" applyFont="1" applyFill="1" applyBorder="1" applyAlignment="1" applyProtection="1">
      <alignment horizontal="center"/>
    </xf>
    <xf numFmtId="165" fontId="10" fillId="0" borderId="41" xfId="7" applyFont="1" applyBorder="1" applyAlignment="1" applyProtection="1">
      <alignment horizontal="left" vertical="center"/>
    </xf>
    <xf numFmtId="49" fontId="10" fillId="0" borderId="55" xfId="7" applyNumberFormat="1" applyFont="1" applyBorder="1" applyAlignment="1" applyProtection="1">
      <alignment horizontal="center"/>
    </xf>
    <xf numFmtId="49" fontId="10" fillId="0" borderId="61" xfId="7" applyNumberFormat="1" applyFont="1" applyBorder="1" applyAlignment="1" applyProtection="1">
      <alignment horizontal="center"/>
    </xf>
    <xf numFmtId="7" fontId="11" fillId="3" borderId="49" xfId="7" applyNumberFormat="1" applyFont="1" applyFill="1" applyBorder="1" applyAlignment="1" applyProtection="1">
      <alignment horizontal="center"/>
    </xf>
    <xf numFmtId="7" fontId="11" fillId="3" borderId="55" xfId="7" applyNumberFormat="1" applyFont="1" applyFill="1" applyBorder="1" applyProtection="1"/>
    <xf numFmtId="165" fontId="0" fillId="0" borderId="28" xfId="0" applyBorder="1" applyProtection="1"/>
    <xf numFmtId="165" fontId="0" fillId="0" borderId="61" xfId="0" applyBorder="1" applyProtection="1"/>
    <xf numFmtId="165" fontId="14" fillId="6" borderId="0" xfId="7" applyFont="1" applyFill="1" applyAlignment="1" applyProtection="1">
      <alignment horizontal="center" vertical="center" wrapText="1"/>
    </xf>
    <xf numFmtId="165" fontId="14" fillId="6" borderId="68" xfId="7" applyFont="1" applyFill="1" applyBorder="1" applyAlignment="1" applyProtection="1">
      <alignment horizontal="center" vertical="center" wrapText="1"/>
    </xf>
    <xf numFmtId="7" fontId="8" fillId="3" borderId="59" xfId="7" applyNumberFormat="1" applyFont="1" applyFill="1" applyBorder="1" applyAlignment="1" applyProtection="1">
      <alignment horizontal="center"/>
    </xf>
    <xf numFmtId="7" fontId="8" fillId="3" borderId="60" xfId="7" applyNumberFormat="1" applyFont="1" applyFill="1" applyBorder="1" applyAlignment="1" applyProtection="1">
      <alignment horizontal="center"/>
    </xf>
    <xf numFmtId="165" fontId="8" fillId="0" borderId="60" xfId="0" applyFont="1" applyBorder="1" applyAlignment="1" applyProtection="1">
      <alignment horizontal="center"/>
    </xf>
    <xf numFmtId="165" fontId="8" fillId="0" borderId="75" xfId="0" applyFont="1" applyBorder="1" applyProtection="1"/>
    <xf numFmtId="7" fontId="8" fillId="3" borderId="76" xfId="7" applyNumberFormat="1" applyFont="1" applyFill="1" applyBorder="1" applyAlignment="1" applyProtection="1">
      <alignment horizontal="center"/>
    </xf>
    <xf numFmtId="7" fontId="8" fillId="3" borderId="0" xfId="7" applyNumberFormat="1" applyFont="1" applyFill="1" applyAlignment="1" applyProtection="1">
      <alignment horizontal="center"/>
    </xf>
    <xf numFmtId="165" fontId="8" fillId="0" borderId="0" xfId="0" applyFont="1" applyAlignment="1" applyProtection="1">
      <alignment horizontal="center"/>
    </xf>
    <xf numFmtId="165" fontId="8" fillId="0" borderId="29" xfId="0" applyFont="1" applyBorder="1" applyProtection="1"/>
    <xf numFmtId="7" fontId="8" fillId="3" borderId="48" xfId="7" applyNumberFormat="1" applyFont="1" applyFill="1" applyBorder="1" applyAlignment="1" applyProtection="1">
      <alignment horizontal="center"/>
    </xf>
    <xf numFmtId="7" fontId="8" fillId="3" borderId="37" xfId="7" applyNumberFormat="1" applyFont="1" applyFill="1" applyBorder="1" applyAlignment="1" applyProtection="1">
      <alignment horizontal="center"/>
    </xf>
    <xf numFmtId="165" fontId="8" fillId="0" borderId="37" xfId="0" applyFont="1" applyBorder="1" applyAlignment="1" applyProtection="1">
      <alignment horizontal="center"/>
    </xf>
    <xf numFmtId="165" fontId="8" fillId="0" borderId="77" xfId="0" applyFont="1" applyBorder="1" applyProtection="1"/>
    <xf numFmtId="165" fontId="25" fillId="0" borderId="8" xfId="0" applyFont="1" applyBorder="1" applyAlignment="1" applyProtection="1">
      <alignment horizontal="center" vertical="center" wrapText="1"/>
    </xf>
    <xf numFmtId="165" fontId="25" fillId="0" borderId="6" xfId="0" applyFont="1" applyBorder="1" applyAlignment="1" applyProtection="1">
      <alignment horizontal="center" vertical="center" wrapText="1"/>
    </xf>
    <xf numFmtId="165" fontId="0" fillId="0" borderId="45" xfId="0" applyBorder="1" applyAlignment="1" applyProtection="1">
      <alignment vertical="center" wrapText="1"/>
    </xf>
    <xf numFmtId="165" fontId="25" fillId="0" borderId="12" xfId="0" applyFont="1" applyBorder="1" applyAlignment="1" applyProtection="1">
      <alignment horizontal="left"/>
    </xf>
    <xf numFmtId="165" fontId="25" fillId="0" borderId="11" xfId="0" applyFont="1" applyBorder="1" applyAlignment="1" applyProtection="1">
      <alignment horizontal="left"/>
    </xf>
    <xf numFmtId="165" fontId="25" fillId="0" borderId="10" xfId="0" applyFont="1" applyBorder="1" applyAlignment="1" applyProtection="1">
      <alignment horizontal="left"/>
    </xf>
    <xf numFmtId="165" fontId="12" fillId="15" borderId="87" xfId="0" applyFont="1" applyFill="1" applyBorder="1" applyAlignment="1" applyProtection="1">
      <alignment horizontal="center" vertical="center" wrapText="1"/>
    </xf>
    <xf numFmtId="165" fontId="12" fillId="15" borderId="89" xfId="0" applyFont="1" applyFill="1" applyBorder="1" applyAlignment="1" applyProtection="1">
      <alignment horizontal="center" vertical="center" wrapText="1"/>
    </xf>
    <xf numFmtId="165" fontId="12" fillId="0" borderId="87" xfId="0" applyFont="1" applyBorder="1" applyAlignment="1" applyProtection="1">
      <alignment horizontal="center" vertical="center" wrapText="1"/>
    </xf>
    <xf numFmtId="165" fontId="12" fillId="0" borderId="88" xfId="0" applyFont="1" applyBorder="1" applyAlignment="1" applyProtection="1">
      <alignment horizontal="center" vertical="center" wrapText="1"/>
    </xf>
    <xf numFmtId="165" fontId="12" fillId="0" borderId="89" xfId="0" applyFont="1" applyBorder="1" applyAlignment="1" applyProtection="1">
      <alignment horizontal="center" vertical="center" wrapText="1"/>
    </xf>
    <xf numFmtId="165" fontId="12" fillId="12" borderId="87" xfId="0" applyFont="1" applyFill="1" applyBorder="1" applyAlignment="1" applyProtection="1">
      <alignment horizontal="center" vertical="center" wrapText="1"/>
    </xf>
    <xf numFmtId="165" fontId="0" fillId="12" borderId="89" xfId="0" applyFill="1" applyBorder="1" applyAlignment="1" applyProtection="1">
      <alignment horizontal="center" vertical="center"/>
    </xf>
    <xf numFmtId="165" fontId="12" fillId="10" borderId="87" xfId="0" applyFont="1" applyFill="1" applyBorder="1" applyAlignment="1" applyProtection="1">
      <alignment horizontal="center" vertical="center" wrapText="1"/>
    </xf>
    <xf numFmtId="165" fontId="12" fillId="10" borderId="89" xfId="0" applyFont="1" applyFill="1" applyBorder="1" applyAlignment="1" applyProtection="1">
      <alignment horizontal="center" vertical="center" wrapText="1"/>
    </xf>
    <xf numFmtId="165" fontId="12" fillId="13" borderId="87" xfId="0" applyFont="1" applyFill="1" applyBorder="1" applyAlignment="1" applyProtection="1">
      <alignment horizontal="center" vertical="center" wrapText="1"/>
    </xf>
    <xf numFmtId="165" fontId="12" fillId="13" borderId="89" xfId="0" applyFont="1" applyFill="1" applyBorder="1" applyAlignment="1" applyProtection="1">
      <alignment horizontal="center" vertical="center" wrapText="1"/>
    </xf>
    <xf numFmtId="165" fontId="12" fillId="16" borderId="87" xfId="0" applyFont="1" applyFill="1" applyBorder="1" applyAlignment="1" applyProtection="1">
      <alignment horizontal="center" vertical="center" wrapText="1"/>
    </xf>
    <xf numFmtId="165" fontId="12" fillId="16" borderId="89" xfId="0" applyFont="1" applyFill="1" applyBorder="1" applyAlignment="1" applyProtection="1">
      <alignment horizontal="center" vertical="center" wrapText="1"/>
    </xf>
    <xf numFmtId="165" fontId="12" fillId="14" borderId="87" xfId="0" applyFont="1" applyFill="1" applyBorder="1" applyAlignment="1" applyProtection="1">
      <alignment horizontal="center" vertical="center" wrapText="1"/>
    </xf>
    <xf numFmtId="165" fontId="12" fillId="14" borderId="89" xfId="0" applyFont="1" applyFill="1" applyBorder="1" applyAlignment="1" applyProtection="1">
      <alignment horizontal="center" vertical="center" wrapText="1"/>
    </xf>
    <xf numFmtId="165" fontId="12" fillId="0" borderId="90" xfId="0" applyFont="1" applyBorder="1" applyAlignment="1" applyProtection="1">
      <alignment horizontal="center" vertical="center" wrapText="1"/>
    </xf>
    <xf numFmtId="165" fontId="12" fillId="0" borderId="91" xfId="0" applyFont="1" applyBorder="1" applyAlignment="1" applyProtection="1">
      <alignment horizontal="center" vertical="center" wrapText="1"/>
    </xf>
    <xf numFmtId="165" fontId="34" fillId="9" borderId="128" xfId="13" applyFont="1" applyFill="1" applyBorder="1" applyAlignment="1" applyProtection="1">
      <alignment horizontal="center" vertical="center" wrapText="1"/>
    </xf>
    <xf numFmtId="165" fontId="40" fillId="0" borderId="39" xfId="0" applyFont="1" applyBorder="1" applyAlignment="1" applyProtection="1">
      <alignment horizontal="center" vertical="center" wrapText="1"/>
    </xf>
    <xf numFmtId="165" fontId="40" fillId="0" borderId="129" xfId="0" applyFont="1" applyBorder="1" applyAlignment="1" applyProtection="1">
      <alignment horizontal="center" vertical="center" wrapText="1"/>
    </xf>
    <xf numFmtId="165" fontId="40" fillId="0" borderId="76" xfId="0" applyFont="1" applyBorder="1" applyAlignment="1" applyProtection="1">
      <alignment horizontal="center" vertical="center" wrapText="1"/>
    </xf>
    <xf numFmtId="165" fontId="40" fillId="0" borderId="0" xfId="0" applyFont="1" applyAlignment="1" applyProtection="1">
      <alignment horizontal="center" vertical="center" wrapText="1"/>
    </xf>
    <xf numFmtId="165" fontId="40" fillId="0" borderId="27" xfId="0" applyFont="1" applyBorder="1" applyAlignment="1" applyProtection="1">
      <alignment horizontal="center" vertical="center" wrapText="1"/>
    </xf>
    <xf numFmtId="165" fontId="40" fillId="0" borderId="132" xfId="0" applyFont="1" applyBorder="1" applyAlignment="1" applyProtection="1">
      <alignment horizontal="center" vertical="center" wrapText="1"/>
    </xf>
    <xf numFmtId="165" fontId="40" fillId="0" borderId="32" xfId="0" applyFont="1" applyBorder="1" applyAlignment="1" applyProtection="1">
      <alignment horizontal="center" vertical="center" wrapText="1"/>
    </xf>
    <xf numFmtId="165" fontId="40" fillId="0" borderId="31" xfId="0" applyFont="1" applyBorder="1" applyAlignment="1" applyProtection="1">
      <alignment horizontal="center" vertical="center" wrapText="1"/>
    </xf>
    <xf numFmtId="165" fontId="32" fillId="0" borderId="8" xfId="0" applyFont="1" applyBorder="1" applyAlignment="1" applyProtection="1">
      <alignment horizontal="right" vertical="center" wrapText="1" indent="1"/>
    </xf>
    <xf numFmtId="165" fontId="0" fillId="0" borderId="6" xfId="0" applyBorder="1" applyAlignment="1" applyProtection="1">
      <alignment horizontal="right" vertical="center" wrapText="1" indent="1"/>
    </xf>
    <xf numFmtId="165" fontId="0" fillId="0" borderId="45" xfId="0" applyBorder="1" applyAlignment="1" applyProtection="1">
      <alignment horizontal="right" vertical="center" wrapText="1" indent="1"/>
    </xf>
    <xf numFmtId="0" fontId="22" fillId="0" borderId="0" xfId="11" quotePrefix="1" applyFont="1" applyAlignment="1" applyProtection="1">
      <alignment horizontal="left" wrapText="1"/>
    </xf>
    <xf numFmtId="165" fontId="0" fillId="0" borderId="0" xfId="0" applyProtection="1"/>
    <xf numFmtId="165" fontId="10" fillId="0" borderId="0" xfId="7" applyFont="1" applyAlignment="1" applyProtection="1">
      <alignment horizontal="right"/>
    </xf>
    <xf numFmtId="165" fontId="29" fillId="0" borderId="122" xfId="0" applyFont="1" applyBorder="1" applyAlignment="1" applyProtection="1">
      <alignment horizontal="center"/>
    </xf>
    <xf numFmtId="165" fontId="14" fillId="0" borderId="12" xfId="0" applyFont="1" applyBorder="1" applyAlignment="1" applyProtection="1">
      <alignment horizontal="center"/>
    </xf>
    <xf numFmtId="165" fontId="14" fillId="0" borderId="10" xfId="0" applyFont="1" applyBorder="1" applyAlignment="1" applyProtection="1">
      <alignment horizontal="center"/>
    </xf>
    <xf numFmtId="165" fontId="10" fillId="0" borderId="0" xfId="0" applyFont="1" applyAlignment="1" applyProtection="1">
      <alignment horizontal="center"/>
    </xf>
    <xf numFmtId="165" fontId="14" fillId="0" borderId="124" xfId="0" applyFont="1" applyBorder="1" applyAlignment="1" applyProtection="1">
      <alignment horizontal="center"/>
    </xf>
    <xf numFmtId="165" fontId="14" fillId="0" borderId="125" xfId="0" applyFont="1" applyBorder="1" applyAlignment="1" applyProtection="1">
      <alignment horizontal="center"/>
    </xf>
    <xf numFmtId="165" fontId="8" fillId="0" borderId="123" xfId="0" applyFont="1" applyBorder="1" applyAlignment="1" applyProtection="1">
      <alignment horizontal="center"/>
    </xf>
    <xf numFmtId="165" fontId="8" fillId="0" borderId="13" xfId="0" applyFont="1" applyBorder="1" applyAlignment="1" applyProtection="1">
      <alignment horizontal="center"/>
    </xf>
    <xf numFmtId="165" fontId="8" fillId="0" borderId="102" xfId="0" applyFont="1" applyBorder="1" applyAlignment="1" applyProtection="1">
      <alignment horizontal="center"/>
    </xf>
    <xf numFmtId="165" fontId="8" fillId="0" borderId="226" xfId="0" applyFont="1" applyBorder="1" applyAlignment="1" applyProtection="1">
      <alignment horizontal="center"/>
    </xf>
    <xf numFmtId="165" fontId="8" fillId="0" borderId="126" xfId="0" applyFont="1" applyBorder="1" applyAlignment="1" applyProtection="1">
      <alignment horizontal="center"/>
    </xf>
    <xf numFmtId="165" fontId="25" fillId="0" borderId="259" xfId="0" applyFont="1" applyBorder="1" applyAlignment="1" applyProtection="1">
      <alignment horizontal="center"/>
    </xf>
    <xf numFmtId="165" fontId="25" fillId="0" borderId="331" xfId="0" applyFont="1" applyBorder="1" applyAlignment="1" applyProtection="1">
      <alignment horizontal="center"/>
    </xf>
    <xf numFmtId="165" fontId="25" fillId="0" borderId="330" xfId="0" applyFont="1" applyBorder="1" applyAlignment="1" applyProtection="1">
      <alignment horizontal="center"/>
    </xf>
    <xf numFmtId="165" fontId="25" fillId="0" borderId="4" xfId="0" applyFont="1" applyBorder="1" applyAlignment="1" applyProtection="1">
      <alignment horizontal="center"/>
    </xf>
    <xf numFmtId="165" fontId="25" fillId="0" borderId="226" xfId="0" applyFont="1" applyBorder="1" applyAlignment="1" applyProtection="1">
      <alignment horizontal="center"/>
    </xf>
    <xf numFmtId="165" fontId="25" fillId="0" borderId="227" xfId="0" applyFont="1" applyBorder="1" applyAlignment="1" applyProtection="1">
      <alignment horizontal="center"/>
    </xf>
    <xf numFmtId="164" fontId="25" fillId="25" borderId="0" xfId="2" applyNumberFormat="1" applyFont="1" applyFill="1" applyAlignment="1" applyProtection="1">
      <alignment horizontal="center"/>
    </xf>
    <xf numFmtId="164" fontId="25" fillId="26" borderId="0" xfId="2" applyNumberFormat="1" applyFont="1" applyFill="1" applyAlignment="1" applyProtection="1">
      <alignment horizontal="center"/>
    </xf>
    <xf numFmtId="165" fontId="12" fillId="0" borderId="91" xfId="0" applyFont="1" applyBorder="1" applyAlignment="1" applyProtection="1">
      <alignment horizontal="center" vertical="center"/>
    </xf>
    <xf numFmtId="0" fontId="78" fillId="17" borderId="0" xfId="12" applyFont="1" applyFill="1" applyAlignment="1" applyProtection="1">
      <alignment horizontal="left"/>
      <protection locked="0"/>
    </xf>
    <xf numFmtId="165" fontId="0" fillId="17" borderId="0" xfId="0" applyFill="1" applyAlignment="1" applyProtection="1">
      <alignment horizontal="left"/>
      <protection locked="0"/>
    </xf>
    <xf numFmtId="165" fontId="87" fillId="0" borderId="0" xfId="0" applyFont="1" applyAlignment="1" applyProtection="1">
      <alignment horizontal="center"/>
    </xf>
    <xf numFmtId="165" fontId="10" fillId="0" borderId="12" xfId="7" applyFont="1" applyBorder="1" applyAlignment="1" applyProtection="1">
      <alignment horizontal="left" vertical="center"/>
    </xf>
    <xf numFmtId="7" fontId="11" fillId="4" borderId="194" xfId="7" applyNumberFormat="1" applyFont="1" applyFill="1" applyBorder="1" applyAlignment="1" applyProtection="1">
      <alignment horizontal="right" vertical="center"/>
    </xf>
    <xf numFmtId="165" fontId="8" fillId="4" borderId="46" xfId="0" applyFont="1" applyFill="1" applyBorder="1" applyAlignment="1" applyProtection="1">
      <alignment horizontal="right" vertical="center"/>
    </xf>
    <xf numFmtId="7" fontId="8" fillId="3" borderId="59" xfId="7" applyNumberFormat="1" applyFont="1" applyFill="1" applyBorder="1" applyAlignment="1" applyProtection="1">
      <alignment horizontal="center" vertical="center"/>
    </xf>
    <xf numFmtId="7" fontId="8" fillId="3" borderId="60" xfId="7" applyNumberFormat="1" applyFont="1" applyFill="1" applyBorder="1" applyAlignment="1" applyProtection="1">
      <alignment horizontal="center" vertical="center"/>
    </xf>
    <xf numFmtId="165" fontId="8" fillId="0" borderId="60" xfId="0" applyFont="1" applyBorder="1" applyAlignment="1" applyProtection="1">
      <alignment horizontal="center" vertical="center"/>
    </xf>
    <xf numFmtId="165" fontId="8" fillId="0" borderId="200" xfId="0" applyFont="1" applyBorder="1" applyAlignment="1" applyProtection="1">
      <alignment vertical="center"/>
    </xf>
    <xf numFmtId="7" fontId="8" fillId="3" borderId="76" xfId="7" applyNumberFormat="1" applyFont="1" applyFill="1" applyBorder="1" applyAlignment="1" applyProtection="1">
      <alignment horizontal="center" vertical="center"/>
    </xf>
    <xf numFmtId="7" fontId="8" fillId="3" borderId="0" xfId="7" applyNumberFormat="1" applyFont="1" applyFill="1" applyAlignment="1" applyProtection="1">
      <alignment horizontal="center" vertical="center"/>
    </xf>
    <xf numFmtId="165" fontId="8" fillId="0" borderId="0" xfId="0" applyFont="1" applyAlignment="1" applyProtection="1">
      <alignment horizontal="center" vertical="center"/>
    </xf>
    <xf numFmtId="165" fontId="8" fillId="0" borderId="203" xfId="0" applyFont="1" applyBorder="1" applyAlignment="1" applyProtection="1">
      <alignment vertical="center"/>
    </xf>
    <xf numFmtId="7" fontId="8" fillId="3" borderId="48" xfId="7" applyNumberFormat="1" applyFont="1" applyFill="1" applyBorder="1" applyAlignment="1" applyProtection="1">
      <alignment horizontal="center" vertical="center"/>
    </xf>
    <xf numFmtId="7" fontId="8" fillId="3" borderId="37" xfId="7" applyNumberFormat="1" applyFont="1" applyFill="1" applyBorder="1" applyAlignment="1" applyProtection="1">
      <alignment horizontal="center" vertical="center"/>
    </xf>
    <xf numFmtId="165" fontId="8" fillId="0" borderId="37" xfId="0" applyFont="1" applyBorder="1" applyAlignment="1" applyProtection="1">
      <alignment horizontal="center" vertical="center"/>
    </xf>
    <xf numFmtId="165" fontId="8" fillId="0" borderId="204" xfId="0" applyFont="1" applyBorder="1" applyAlignment="1" applyProtection="1">
      <alignment vertical="center"/>
    </xf>
    <xf numFmtId="0" fontId="9" fillId="11" borderId="105" xfId="12" applyFont="1" applyFill="1" applyBorder="1" applyAlignment="1" applyProtection="1">
      <alignment horizontal="left"/>
      <protection locked="0"/>
    </xf>
    <xf numFmtId="0" fontId="9" fillId="11" borderId="108" xfId="12" applyFont="1" applyFill="1" applyBorder="1" applyAlignment="1" applyProtection="1">
      <alignment horizontal="left"/>
      <protection locked="0"/>
    </xf>
    <xf numFmtId="0" fontId="9" fillId="11" borderId="107" xfId="12" applyFont="1" applyFill="1" applyBorder="1" applyAlignment="1" applyProtection="1">
      <alignment horizontal="left"/>
      <protection locked="0"/>
    </xf>
    <xf numFmtId="0" fontId="21" fillId="0" borderId="8" xfId="12" applyFont="1" applyBorder="1" applyAlignment="1" applyProtection="1">
      <alignment horizontal="center"/>
    </xf>
    <xf numFmtId="0" fontId="21" fillId="0" borderId="162" xfId="12" applyFont="1" applyBorder="1" applyAlignment="1" applyProtection="1">
      <alignment horizontal="center"/>
    </xf>
    <xf numFmtId="0" fontId="21" fillId="0" borderId="8" xfId="12" applyFont="1" applyBorder="1" applyAlignment="1" applyProtection="1">
      <alignment horizontal="center" wrapText="1"/>
    </xf>
    <xf numFmtId="0" fontId="21" fillId="0" borderId="162" xfId="12" applyFont="1" applyBorder="1" applyAlignment="1" applyProtection="1">
      <alignment horizontal="center" wrapText="1"/>
    </xf>
    <xf numFmtId="0" fontId="21" fillId="0" borderId="12" xfId="12" applyFont="1" applyBorder="1" applyAlignment="1" applyProtection="1">
      <alignment horizontal="center"/>
    </xf>
    <xf numFmtId="0" fontId="21" fillId="0" borderId="161" xfId="12" applyFont="1" applyBorder="1" applyAlignment="1" applyProtection="1">
      <alignment horizontal="center"/>
    </xf>
    <xf numFmtId="0" fontId="21" fillId="0" borderId="7" xfId="12" applyFont="1" applyBorder="1" applyAlignment="1" applyProtection="1">
      <alignment horizontal="center"/>
    </xf>
    <xf numFmtId="0" fontId="21" fillId="0" borderId="163" xfId="12" applyFont="1" applyBorder="1" applyAlignment="1" applyProtection="1">
      <alignment horizontal="left"/>
    </xf>
    <xf numFmtId="0" fontId="21" fillId="0" borderId="164" xfId="12" applyFont="1" applyBorder="1" applyAlignment="1" applyProtection="1">
      <alignment horizontal="left"/>
    </xf>
    <xf numFmtId="0" fontId="21" fillId="0" borderId="165" xfId="12" applyFont="1" applyBorder="1" applyAlignment="1" applyProtection="1">
      <alignment horizontal="left"/>
    </xf>
    <xf numFmtId="0" fontId="9" fillId="11" borderId="105" xfId="12" applyFont="1" applyFill="1" applyBorder="1" applyAlignment="1" applyProtection="1">
      <alignment horizontal="left" vertical="top"/>
      <protection locked="0"/>
    </xf>
    <xf numFmtId="0" fontId="9" fillId="11" borderId="108" xfId="12" applyFont="1" applyFill="1" applyBorder="1" applyAlignment="1" applyProtection="1">
      <alignment horizontal="left" vertical="top"/>
      <protection locked="0"/>
    </xf>
    <xf numFmtId="0" fontId="9" fillId="11" borderId="107" xfId="12" applyFont="1" applyFill="1" applyBorder="1" applyAlignment="1" applyProtection="1">
      <alignment horizontal="left" vertical="top"/>
      <protection locked="0"/>
    </xf>
    <xf numFmtId="165" fontId="8" fillId="0" borderId="277" xfId="0" applyFont="1" applyBorder="1" applyAlignment="1" applyProtection="1">
      <alignment horizontal="left" vertical="center" wrapText="1"/>
    </xf>
    <xf numFmtId="165" fontId="8" fillId="0" borderId="279" xfId="0" applyFont="1" applyBorder="1" applyAlignment="1" applyProtection="1">
      <alignment horizontal="left" vertical="center" wrapText="1"/>
    </xf>
    <xf numFmtId="165" fontId="60" fillId="24" borderId="13" xfId="0" applyFont="1" applyFill="1" applyBorder="1" applyAlignment="1" applyProtection="1">
      <alignment horizontal="left" vertical="center" wrapText="1"/>
    </xf>
    <xf numFmtId="165" fontId="61" fillId="24" borderId="13" xfId="0" applyFont="1" applyFill="1" applyBorder="1" applyAlignment="1" applyProtection="1">
      <alignment horizontal="left" vertical="center" wrapText="1"/>
    </xf>
    <xf numFmtId="165" fontId="14" fillId="0" borderId="12" xfId="0" applyFont="1" applyBorder="1" applyAlignment="1" applyProtection="1">
      <alignment horizontal="center" vertical="center" wrapText="1"/>
    </xf>
    <xf numFmtId="165" fontId="14" fillId="0" borderId="277" xfId="0" applyFont="1" applyBorder="1" applyAlignment="1" applyProtection="1">
      <alignment horizontal="center" vertical="center" wrapText="1"/>
    </xf>
    <xf numFmtId="165" fontId="14" fillId="0" borderId="279" xfId="0" applyFont="1" applyBorder="1" applyAlignment="1" applyProtection="1">
      <alignment horizontal="center" vertical="center" wrapText="1"/>
    </xf>
    <xf numFmtId="165" fontId="8" fillId="0" borderId="277" xfId="0" quotePrefix="1" applyFont="1" applyBorder="1" applyAlignment="1" applyProtection="1">
      <alignment horizontal="left" vertical="center" wrapText="1"/>
    </xf>
    <xf numFmtId="169" fontId="8" fillId="0" borderId="12" xfId="25" applyNumberFormat="1" applyFont="1" applyBorder="1" applyAlignment="1" applyProtection="1">
      <alignment horizontal="center"/>
    </xf>
    <xf numFmtId="169" fontId="8" fillId="0" borderId="277" xfId="25" applyNumberFormat="1" applyFont="1" applyBorder="1" applyAlignment="1" applyProtection="1">
      <alignment horizontal="center"/>
    </xf>
    <xf numFmtId="169" fontId="8" fillId="0" borderId="279" xfId="25" applyNumberFormat="1" applyFont="1" applyBorder="1" applyAlignment="1" applyProtection="1">
      <alignment horizontal="center"/>
    </xf>
    <xf numFmtId="169" fontId="8" fillId="0" borderId="0" xfId="25" applyNumberFormat="1" applyFont="1" applyAlignment="1" applyProtection="1">
      <alignment horizontal="right"/>
    </xf>
    <xf numFmtId="169" fontId="8" fillId="0" borderId="12" xfId="25" applyNumberFormat="1" applyFont="1" applyBorder="1" applyAlignment="1" applyProtection="1">
      <alignment horizontal="right"/>
    </xf>
    <xf numFmtId="169" fontId="8" fillId="0" borderId="277" xfId="25" applyNumberFormat="1" applyFont="1" applyBorder="1" applyAlignment="1" applyProtection="1">
      <alignment horizontal="right"/>
    </xf>
    <xf numFmtId="169" fontId="8" fillId="0" borderId="190" xfId="25" applyNumberFormat="1" applyFont="1" applyBorder="1" applyAlignment="1" applyProtection="1">
      <alignment horizontal="center"/>
    </xf>
    <xf numFmtId="169" fontId="8" fillId="0" borderId="0" xfId="25" applyNumberFormat="1" applyFont="1" applyAlignment="1" applyProtection="1">
      <alignment horizontal="center"/>
    </xf>
    <xf numFmtId="169" fontId="8" fillId="0" borderId="68" xfId="25" applyNumberFormat="1" applyFont="1" applyBorder="1" applyAlignment="1" applyProtection="1">
      <alignment horizontal="center"/>
    </xf>
    <xf numFmtId="169" fontId="8" fillId="0" borderId="123" xfId="25" applyNumberFormat="1" applyFont="1" applyBorder="1" applyAlignment="1" applyProtection="1">
      <alignment horizontal="center"/>
    </xf>
    <xf numFmtId="169" fontId="8" fillId="0" borderId="13" xfId="25" applyNumberFormat="1" applyFont="1" applyBorder="1" applyAlignment="1" applyProtection="1">
      <alignment horizontal="center"/>
    </xf>
    <xf numFmtId="169" fontId="8" fillId="0" borderId="102" xfId="25" applyNumberFormat="1" applyFont="1" applyBorder="1" applyAlignment="1" applyProtection="1">
      <alignment horizontal="center"/>
    </xf>
    <xf numFmtId="169" fontId="8" fillId="0" borderId="12" xfId="25" applyNumberFormat="1" applyFont="1" applyBorder="1" applyAlignment="1" applyProtection="1">
      <alignment horizontal="left"/>
    </xf>
    <xf numFmtId="169" fontId="8" fillId="0" borderId="277" xfId="25" applyNumberFormat="1" applyFont="1" applyBorder="1" applyAlignment="1" applyProtection="1">
      <alignment horizontal="left"/>
    </xf>
    <xf numFmtId="169" fontId="8" fillId="0" borderId="279" xfId="25" applyNumberFormat="1" applyFont="1" applyBorder="1" applyAlignment="1" applyProtection="1">
      <alignment horizontal="left"/>
    </xf>
    <xf numFmtId="169" fontId="8" fillId="0" borderId="12" xfId="25" quotePrefix="1" applyNumberFormat="1" applyFont="1" applyBorder="1" applyAlignment="1" applyProtection="1">
      <alignment horizontal="left"/>
    </xf>
    <xf numFmtId="169" fontId="8" fillId="0" borderId="279" xfId="25" applyNumberFormat="1" applyFont="1" applyBorder="1" applyAlignment="1" applyProtection="1">
      <alignment horizontal="right"/>
    </xf>
    <xf numFmtId="169" fontId="8" fillId="0" borderId="0" xfId="25" applyNumberFormat="1" applyFont="1" applyAlignment="1">
      <alignment horizontal="right"/>
    </xf>
    <xf numFmtId="169" fontId="12" fillId="0" borderId="262" xfId="25" quotePrefix="1" applyNumberFormat="1" applyFont="1" applyBorder="1" applyAlignment="1">
      <alignment horizontal="center"/>
    </xf>
    <xf numFmtId="169" fontId="12" fillId="0" borderId="243" xfId="25" quotePrefix="1" applyNumberFormat="1" applyFont="1" applyBorder="1" applyAlignment="1">
      <alignment horizontal="center"/>
    </xf>
    <xf numFmtId="169" fontId="12" fillId="0" borderId="263" xfId="25" quotePrefix="1" applyNumberFormat="1" applyFont="1" applyBorder="1" applyAlignment="1">
      <alignment horizontal="center"/>
    </xf>
    <xf numFmtId="169" fontId="12" fillId="0" borderId="123" xfId="25" quotePrefix="1" applyNumberFormat="1" applyFont="1" applyBorder="1" applyAlignment="1">
      <alignment horizontal="center"/>
    </xf>
    <xf numFmtId="169" fontId="12" fillId="0" borderId="13" xfId="25" quotePrefix="1" applyNumberFormat="1" applyFont="1" applyBorder="1" applyAlignment="1">
      <alignment horizontal="center"/>
    </xf>
    <xf numFmtId="169" fontId="12" fillId="0" borderId="102" xfId="25" quotePrefix="1" applyNumberFormat="1" applyFont="1" applyBorder="1" applyAlignment="1">
      <alignment horizontal="center"/>
    </xf>
    <xf numFmtId="0" fontId="12" fillId="0" borderId="245" xfId="25" applyFont="1" applyBorder="1" applyAlignment="1">
      <alignment horizontal="center"/>
    </xf>
    <xf numFmtId="0" fontId="0" fillId="0" borderId="45" xfId="0" applyNumberFormat="1" applyBorder="1"/>
    <xf numFmtId="165" fontId="0" fillId="0" borderId="45" xfId="0" applyBorder="1"/>
    <xf numFmtId="0" fontId="12" fillId="0" borderId="245" xfId="25" quotePrefix="1" applyFont="1" applyBorder="1" applyAlignment="1">
      <alignment horizontal="center"/>
    </xf>
    <xf numFmtId="165" fontId="27" fillId="0" borderId="245" xfId="0" applyFont="1" applyBorder="1" applyAlignment="1">
      <alignment horizontal="center"/>
    </xf>
    <xf numFmtId="169" fontId="43" fillId="0" borderId="245" xfId="25" applyNumberFormat="1" applyFont="1" applyBorder="1" applyAlignment="1">
      <alignment horizontal="center" wrapText="1"/>
    </xf>
    <xf numFmtId="165" fontId="0" fillId="0" borderId="6" xfId="0" applyBorder="1" applyAlignment="1">
      <alignment horizontal="center" wrapText="1"/>
    </xf>
    <xf numFmtId="165" fontId="0" fillId="0" borderId="45" xfId="0" applyBorder="1" applyAlignment="1">
      <alignment horizontal="center" wrapText="1"/>
    </xf>
    <xf numFmtId="169" fontId="25" fillId="9" borderId="262" xfId="25" applyNumberFormat="1" applyFont="1" applyFill="1" applyBorder="1" applyAlignment="1">
      <alignment horizontal="center"/>
    </xf>
    <xf numFmtId="169" fontId="25" fillId="9" borderId="243" xfId="25" applyNumberFormat="1" applyFont="1" applyFill="1" applyBorder="1" applyAlignment="1">
      <alignment horizontal="center"/>
    </xf>
    <xf numFmtId="169" fontId="25" fillId="9" borderId="263" xfId="25" applyNumberFormat="1" applyFont="1" applyFill="1" applyBorder="1" applyAlignment="1">
      <alignment horizontal="center"/>
    </xf>
    <xf numFmtId="169" fontId="25" fillId="9" borderId="123" xfId="25" applyNumberFormat="1" applyFont="1" applyFill="1" applyBorder="1" applyAlignment="1">
      <alignment horizontal="center"/>
    </xf>
    <xf numFmtId="169" fontId="25" fillId="9" borderId="13" xfId="25" applyNumberFormat="1" applyFont="1" applyFill="1" applyBorder="1" applyAlignment="1">
      <alignment horizontal="center"/>
    </xf>
    <xf numFmtId="169" fontId="25" fillId="9" borderId="102" xfId="25" applyNumberFormat="1" applyFont="1" applyFill="1" applyBorder="1" applyAlignment="1">
      <alignment horizontal="center"/>
    </xf>
    <xf numFmtId="169" fontId="8" fillId="9" borderId="262" xfId="25" applyNumberFormat="1" applyFont="1" applyFill="1" applyBorder="1" applyAlignment="1">
      <alignment horizontal="left" vertical="center"/>
    </xf>
    <xf numFmtId="165" fontId="0" fillId="0" borderId="263" xfId="0" applyBorder="1" applyAlignment="1">
      <alignment horizontal="left" vertical="center"/>
    </xf>
    <xf numFmtId="169" fontId="8" fillId="9" borderId="12" xfId="25" applyNumberFormat="1" applyFont="1" applyFill="1" applyBorder="1" applyAlignment="1">
      <alignment vertical="center"/>
    </xf>
    <xf numFmtId="169" fontId="8" fillId="9" borderId="279" xfId="25" applyNumberFormat="1" applyFont="1" applyFill="1" applyBorder="1" applyAlignment="1">
      <alignment vertical="center"/>
    </xf>
    <xf numFmtId="169" fontId="8" fillId="0" borderId="262" xfId="25" applyNumberFormat="1" applyFont="1" applyBorder="1" applyAlignment="1">
      <alignment horizontal="left" vertical="center"/>
    </xf>
    <xf numFmtId="169" fontId="12" fillId="0" borderId="245" xfId="25" applyNumberFormat="1" applyFont="1" applyBorder="1" applyAlignment="1">
      <alignment horizontal="center"/>
    </xf>
    <xf numFmtId="169" fontId="8" fillId="9" borderId="277" xfId="25" applyNumberFormat="1" applyFont="1" applyFill="1" applyBorder="1" applyAlignment="1">
      <alignment horizontal="right"/>
    </xf>
    <xf numFmtId="169" fontId="43" fillId="0" borderId="262" xfId="25" applyNumberFormat="1" applyFont="1" applyBorder="1" applyAlignment="1">
      <alignment horizontal="center"/>
    </xf>
    <xf numFmtId="165" fontId="0" fillId="0" borderId="243" xfId="0" applyBorder="1" applyAlignment="1">
      <alignment horizontal="center"/>
    </xf>
    <xf numFmtId="165" fontId="0" fillId="0" borderId="123" xfId="0" applyBorder="1" applyAlignment="1">
      <alignment horizontal="center"/>
    </xf>
    <xf numFmtId="165" fontId="0" fillId="0" borderId="13" xfId="0" applyBorder="1" applyAlignment="1">
      <alignment horizontal="center"/>
    </xf>
    <xf numFmtId="169" fontId="43" fillId="0" borderId="263" xfId="25" quotePrefix="1" applyNumberFormat="1" applyFont="1" applyBorder="1" applyAlignment="1">
      <alignment horizontal="center" wrapText="1"/>
    </xf>
    <xf numFmtId="165" fontId="0" fillId="0" borderId="68" xfId="0" applyBorder="1" applyAlignment="1">
      <alignment horizontal="center"/>
    </xf>
    <xf numFmtId="165" fontId="0" fillId="0" borderId="45" xfId="0" applyBorder="1" applyAlignment="1">
      <alignment horizontal="center"/>
    </xf>
    <xf numFmtId="169" fontId="43" fillId="0" borderId="245" xfId="25" quotePrefix="1" applyNumberFormat="1" applyFont="1" applyBorder="1" applyAlignment="1">
      <alignment horizontal="center" wrapText="1"/>
    </xf>
    <xf numFmtId="169" fontId="8" fillId="9" borderId="262" xfId="28" applyNumberFormat="1" applyFont="1" applyFill="1" applyBorder="1" applyAlignment="1">
      <alignment horizontal="left" vertical="center"/>
    </xf>
    <xf numFmtId="169" fontId="8" fillId="9" borderId="243" xfId="28" applyNumberFormat="1" applyFont="1" applyFill="1" applyBorder="1" applyAlignment="1">
      <alignment horizontal="left" vertical="center"/>
    </xf>
    <xf numFmtId="169" fontId="8" fillId="0" borderId="243" xfId="25" applyNumberFormat="1" applyFont="1" applyBorder="1" applyAlignment="1">
      <alignment horizontal="left" vertical="center"/>
    </xf>
    <xf numFmtId="169" fontId="8" fillId="1" borderId="12" xfId="25" applyNumberFormat="1" applyFont="1" applyFill="1" applyBorder="1"/>
    <xf numFmtId="165" fontId="0" fillId="0" borderId="277" xfId="0" applyBorder="1"/>
    <xf numFmtId="165" fontId="0" fillId="0" borderId="279" xfId="0" applyBorder="1"/>
    <xf numFmtId="169" fontId="8" fillId="9" borderId="12" xfId="28" applyNumberFormat="1" applyFont="1" applyFill="1" applyBorder="1" applyAlignment="1">
      <alignment horizontal="left" vertical="center"/>
    </xf>
    <xf numFmtId="169" fontId="8" fillId="9" borderId="279" xfId="28" applyNumberFormat="1" applyFont="1" applyFill="1" applyBorder="1" applyAlignment="1">
      <alignment horizontal="left" vertical="center"/>
    </xf>
    <xf numFmtId="0" fontId="8" fillId="0" borderId="9" xfId="27" applyFont="1" applyBorder="1" applyAlignment="1">
      <alignment horizontal="left" vertical="center"/>
    </xf>
    <xf numFmtId="169" fontId="8" fillId="9" borderId="243" xfId="25" applyNumberFormat="1" applyFont="1" applyFill="1" applyBorder="1" applyAlignment="1">
      <alignment horizontal="left" vertical="center"/>
    </xf>
    <xf numFmtId="169" fontId="8" fillId="1" borderId="277" xfId="25" applyNumberFormat="1" applyFont="1" applyFill="1" applyBorder="1"/>
    <xf numFmtId="169" fontId="8" fillId="1" borderId="279" xfId="25" applyNumberFormat="1" applyFont="1" applyFill="1" applyBorder="1"/>
    <xf numFmtId="169" fontId="8" fillId="9" borderId="12" xfId="25" applyNumberFormat="1" applyFont="1" applyFill="1" applyBorder="1" applyAlignment="1">
      <alignment horizontal="left" vertical="center"/>
    </xf>
    <xf numFmtId="169" fontId="8" fillId="9" borderId="279" xfId="25" applyNumberFormat="1" applyFont="1" applyFill="1" applyBorder="1" applyAlignment="1">
      <alignment horizontal="left" vertical="center"/>
    </xf>
    <xf numFmtId="169" fontId="8" fillId="0" borderId="12" xfId="25" applyNumberFormat="1" applyFont="1" applyBorder="1"/>
    <xf numFmtId="169" fontId="8" fillId="0" borderId="279" xfId="25" applyNumberFormat="1" applyFont="1" applyBorder="1"/>
    <xf numFmtId="10" fontId="8" fillId="0" borderId="12" xfId="25" applyNumberFormat="1" applyFont="1" applyBorder="1" applyAlignment="1">
      <alignment horizontal="center" shrinkToFit="1"/>
    </xf>
    <xf numFmtId="10" fontId="8" fillId="0" borderId="279" xfId="25" applyNumberFormat="1" applyFont="1" applyBorder="1" applyAlignment="1">
      <alignment horizontal="center" shrinkToFit="1"/>
    </xf>
    <xf numFmtId="169" fontId="8" fillId="9" borderId="277" xfId="25" applyNumberFormat="1" applyFont="1" applyFill="1" applyBorder="1" applyAlignment="1">
      <alignment horizontal="left" vertical="center"/>
    </xf>
    <xf numFmtId="169" fontId="8" fillId="9" borderId="12" xfId="25" quotePrefix="1" applyNumberFormat="1" applyFont="1" applyFill="1" applyBorder="1" applyAlignment="1">
      <alignment horizontal="left" vertical="center"/>
    </xf>
    <xf numFmtId="169" fontId="8" fillId="9" borderId="262" xfId="25" applyNumberFormat="1" applyFont="1" applyFill="1" applyBorder="1" applyAlignment="1">
      <alignment vertical="center"/>
    </xf>
    <xf numFmtId="165" fontId="0" fillId="0" borderId="263" xfId="0" applyBorder="1" applyAlignment="1">
      <alignment vertical="center"/>
    </xf>
    <xf numFmtId="169" fontId="8" fillId="1" borderId="12" xfId="25" applyNumberFormat="1" applyFont="1" applyFill="1" applyBorder="1" applyAlignment="1">
      <alignment horizontal="center"/>
    </xf>
    <xf numFmtId="169" fontId="8" fillId="1" borderId="277" xfId="25" applyNumberFormat="1" applyFont="1" applyFill="1" applyBorder="1" applyAlignment="1">
      <alignment horizontal="center"/>
    </xf>
    <xf numFmtId="0" fontId="43" fillId="0" borderId="4" xfId="17" applyFont="1" applyBorder="1" applyAlignment="1" applyProtection="1">
      <alignment horizontal="center"/>
      <protection locked="0"/>
    </xf>
    <xf numFmtId="0" fontId="43" fillId="0" borderId="226" xfId="17" applyFont="1" applyBorder="1" applyAlignment="1" applyProtection="1">
      <alignment horizontal="center"/>
      <protection locked="0"/>
    </xf>
    <xf numFmtId="0" fontId="43" fillId="0" borderId="227" xfId="17" applyFont="1" applyBorder="1" applyAlignment="1" applyProtection="1">
      <alignment horizontal="center"/>
      <protection locked="0"/>
    </xf>
    <xf numFmtId="0" fontId="44" fillId="0" borderId="2" xfId="17" applyFont="1" applyBorder="1" applyAlignment="1" applyProtection="1">
      <alignment horizontal="left" vertical="center"/>
    </xf>
    <xf numFmtId="0" fontId="44" fillId="0" borderId="243" xfId="17" applyFont="1" applyBorder="1" applyAlignment="1" applyProtection="1">
      <alignment horizontal="left" vertical="center"/>
    </xf>
    <xf numFmtId="0" fontId="44" fillId="0" borderId="244" xfId="17" applyFont="1" applyBorder="1" applyAlignment="1" applyProtection="1">
      <alignment horizontal="left" vertical="center"/>
    </xf>
    <xf numFmtId="0" fontId="43" fillId="0" borderId="225" xfId="17" applyFont="1" applyBorder="1" applyAlignment="1" applyProtection="1">
      <alignment horizontal="center"/>
    </xf>
    <xf numFmtId="0" fontId="43" fillId="0" borderId="226" xfId="17" applyFont="1" applyBorder="1" applyAlignment="1" applyProtection="1">
      <alignment horizontal="center"/>
    </xf>
    <xf numFmtId="0" fontId="43" fillId="0" borderId="227" xfId="17" applyFont="1" applyBorder="1" applyAlignment="1" applyProtection="1">
      <alignment horizontal="center"/>
    </xf>
    <xf numFmtId="0" fontId="43" fillId="0" borderId="256" xfId="17" applyFont="1" applyBorder="1" applyAlignment="1" applyProtection="1">
      <alignment horizontal="center"/>
    </xf>
    <xf numFmtId="0" fontId="43" fillId="0" borderId="257" xfId="17" applyFont="1" applyBorder="1" applyAlignment="1" applyProtection="1">
      <alignment horizontal="center"/>
    </xf>
    <xf numFmtId="0" fontId="44" fillId="0" borderId="26" xfId="17" applyFont="1" applyBorder="1" applyAlignment="1" applyProtection="1">
      <alignment horizontal="left" vertical="center"/>
    </xf>
    <xf numFmtId="0" fontId="44" fillId="0" borderId="0" xfId="17" applyFont="1" applyBorder="1" applyAlignment="1" applyProtection="1">
      <alignment horizontal="left" vertical="center"/>
    </xf>
    <xf numFmtId="0" fontId="44" fillId="0" borderId="203" xfId="17" applyFont="1" applyBorder="1" applyAlignment="1" applyProtection="1">
      <alignment horizontal="left" vertical="center"/>
    </xf>
    <xf numFmtId="0" fontId="51" fillId="15" borderId="4" xfId="19" applyFont="1" applyFill="1" applyBorder="1" applyAlignment="1" applyProtection="1">
      <alignment horizontal="center" wrapText="1"/>
    </xf>
    <xf numFmtId="0" fontId="51" fillId="15" borderId="226" xfId="19" applyFont="1" applyFill="1" applyBorder="1" applyAlignment="1" applyProtection="1">
      <alignment horizontal="center" wrapText="1"/>
    </xf>
    <xf numFmtId="0" fontId="51" fillId="13" borderId="225" xfId="19" applyFont="1" applyFill="1" applyBorder="1" applyAlignment="1" applyProtection="1">
      <alignment horizontal="center" wrapText="1"/>
    </xf>
    <xf numFmtId="0" fontId="51" fillId="13" borderId="304" xfId="19" applyFont="1" applyFill="1" applyBorder="1" applyAlignment="1" applyProtection="1">
      <alignment horizontal="center" wrapText="1"/>
    </xf>
    <xf numFmtId="0" fontId="51" fillId="12" borderId="225" xfId="19" applyFont="1" applyFill="1" applyBorder="1" applyAlignment="1" applyProtection="1">
      <alignment horizontal="center" wrapText="1"/>
    </xf>
    <xf numFmtId="0" fontId="51" fillId="12" borderId="227" xfId="19" applyFont="1" applyFill="1" applyBorder="1" applyAlignment="1" applyProtection="1">
      <alignment horizontal="center"/>
    </xf>
    <xf numFmtId="0" fontId="51" fillId="23" borderId="225" xfId="19" applyFont="1" applyFill="1" applyBorder="1" applyAlignment="1" applyProtection="1">
      <alignment horizontal="center"/>
    </xf>
    <xf numFmtId="0" fontId="51" fillId="23" borderId="227" xfId="19" applyFont="1" applyFill="1" applyBorder="1" applyAlignment="1" applyProtection="1">
      <alignment horizontal="center"/>
    </xf>
    <xf numFmtId="0" fontId="51" fillId="19" borderId="225" xfId="19" applyFont="1" applyFill="1" applyBorder="1" applyAlignment="1" applyProtection="1">
      <alignment horizontal="center"/>
    </xf>
    <xf numFmtId="0" fontId="51" fillId="19" borderId="227" xfId="19" applyFont="1" applyFill="1" applyBorder="1" applyAlignment="1" applyProtection="1">
      <alignment horizontal="center"/>
    </xf>
  </cellXfs>
  <cellStyles count="33">
    <cellStyle name="Comma" xfId="1" builtinId="3"/>
    <cellStyle name="Comma 2" xfId="15" xr:uid="{04FE70E0-BA1B-4614-9C12-642F4F2453D0}"/>
    <cellStyle name="Comma 2 2" xfId="31" xr:uid="{C6E8E3AB-2CD1-4766-BCEE-9092B3E466AC}"/>
    <cellStyle name="Comma 3" xfId="22" xr:uid="{F94CB71A-BAF4-4128-9A9F-18C9AA82A698}"/>
    <cellStyle name="Currency" xfId="2" builtinId="4"/>
    <cellStyle name="Currency 2" xfId="21" xr:uid="{9E6131E4-E86F-42C9-A9F6-7DB41FEE2EAA}"/>
    <cellStyle name="Header_DMH_Label" xfId="8" xr:uid="{4D594F64-11F0-407F-93CD-69270EDEF439}"/>
    <cellStyle name="Header_Fiscal_Year" xfId="5" xr:uid="{AEAB6282-573E-48EC-9DB0-F6F3E7FC40B5}"/>
    <cellStyle name="Header_Form_Name" xfId="6" xr:uid="{FC8115EA-0947-4B5B-8E64-1AF86233165E}"/>
    <cellStyle name="Header_Form_Title" xfId="11" xr:uid="{AADDC67F-98E5-48AF-B984-2FD79B9F9E63}"/>
    <cellStyle name="Header_HHSA_Label" xfId="9" xr:uid="{8403F81D-63AF-4F5A-A434-FF1002D7E259}"/>
    <cellStyle name="Header_Secondary_Title" xfId="10" xr:uid="{BF585F57-F7FA-4685-A0CA-D2909413F777}"/>
    <cellStyle name="Hyperlink 2" xfId="24" xr:uid="{5C45F821-B8ED-43EE-8F62-4B2C99860D31}"/>
    <cellStyle name="Normal" xfId="0" builtinId="0"/>
    <cellStyle name="Normal 10 2" xfId="30" xr:uid="{295DBE76-D02A-4DD6-AD56-05EB5E801F88}"/>
    <cellStyle name="Normal 11" xfId="29" xr:uid="{ADA96451-89C9-4630-B1E1-0B8974AD38BD}"/>
    <cellStyle name="Normal 2" xfId="16" xr:uid="{55697B45-C3B6-44B0-8BA3-813C1B6E5B91}"/>
    <cellStyle name="Normal 2 2" xfId="20" xr:uid="{7B115D74-0C74-4220-B1E3-3A4B7DC68B8D}"/>
    <cellStyle name="Normal 3" xfId="17" xr:uid="{CDC5DC00-4D5F-4D79-8549-D6930BDE2676}"/>
    <cellStyle name="Normal 4" xfId="19" xr:uid="{D0D94B03-03DD-4BCC-81E4-96D21EFFAB13}"/>
    <cellStyle name="Normal 69" xfId="32" xr:uid="{81EDF772-43E8-4A0C-8377-A7AC851DCE7C}"/>
    <cellStyle name="Normal_A_1" xfId="7" xr:uid="{1132F084-816D-4EC2-8808-772017AB4452}"/>
    <cellStyle name="Normal_AUTOCR00" xfId="4" xr:uid="{3F7CF5AF-613D-43C5-984A-77B668992762}"/>
    <cellStyle name="Normal_B" xfId="28" xr:uid="{72E7912F-553D-4CBC-BE9C-F45709229D21}"/>
    <cellStyle name="Normal_B_1" xfId="13" xr:uid="{00A1C2C3-B96E-476C-91E9-166AAA9491BE}"/>
    <cellStyle name="Normal_B_J" xfId="27" xr:uid="{136C61B2-1E6F-4A2C-9700-AFC4B9893C59}"/>
    <cellStyle name="Normal_C" xfId="25" xr:uid="{191E8ADC-1D69-4487-8348-164A993EE2A8}"/>
    <cellStyle name="Normal_Hospital Cost Report Schedules" xfId="26" xr:uid="{14021A6A-851A-401C-8806-C0CF9163C757}"/>
    <cellStyle name="Normal_I" xfId="12" xr:uid="{9F88FA32-7C7C-4665-91F8-9139DCFF2378}"/>
    <cellStyle name="Normal_MH 1961 - Proposed Modifications" xfId="14" xr:uid="{0E8903D2-2E15-4C4F-8E26-992835267D49}"/>
    <cellStyle name="Percent" xfId="3" builtinId="5"/>
    <cellStyle name="Percent 2" xfId="18" xr:uid="{FC598F3B-E60C-4C12-B094-7292AA4CD661}"/>
    <cellStyle name="Percent 3" xfId="23" xr:uid="{8316BBD6-47C7-41E8-9862-E7AE9655657E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5"/>
        </patternFill>
      </fill>
    </dxf>
  </dxfs>
  <tableStyles count="0" defaultTableStyle="TableStyleMedium2" defaultPivotStyle="PivotStyleLight16"/>
  <colors>
    <mruColors>
      <color rgb="FF0000FF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12</xdr:col>
      <xdr:colOff>422878</xdr:colOff>
      <xdr:row>27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7625"/>
          <a:ext cx="9424003" cy="5476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Y0910\Attachment%2010%20-%20Cost%20Report%20Sample%20FY2009-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get%20Instruction\Budget%20Request%20to%20be%20Printed\S_S%20Version%20(Lo%20Nguyen)\S_S%20DETAILED%20BUDGET%20REQUEST%20PROPOSAL%20(DRAFT%20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Org%20Code\Copy_of_BUDGET_REQUEST_UC_DETAIL1_rev_2-04-05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REVENUES\Unit%20Detail\Revenues%20CC%20details-Final%20Adopted%20%20(initial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U_Provider_Monthly_Payments\Contract%20Listing\14FY%2020-21\10.%20FY%202020-21%20Contract%20Listing%20as%20of%2006-10-2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Curtailment\$12%20million%20cut\BudReduction_11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%2011\MHSA\FY%2010-11%20Transformation-PEI%20Plan\Item%20Li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JackieW\allocation_of_revenues_to_unit_code_1_r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\DATA$\WINDOWS\TEMP\LAC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LAC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4\Units$\Financial%20Services%20Bureau\DMHOFS\Accounting\Settlement\FY%202021-22\Cost%20Report%20Training\FY21-22%20Detailed%20Cost%20Report%20Template%20w%20LAC%20Form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MHOFS\Budget\01_Cost%20Report%20Section\TiffanyH\NGA%20Cost%20Report\FY1011\FY0910\Attachment%2010%20-%20Cost%20Report%20Sample%20FY2009-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~1\amapote\LOCALS~1\Temp\7.15.02%20Item%20Control%20Sorted%20by%20unique%20n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wong\Local%20Settings\Temporary%20Internet%20Files\OLK2AE\FY%200506%20Crosstab%203-1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nts%20and%20Settings\STeymoorian\Local%20Settings\Temporary%20Internet%20Files\OLK3F\5010%20utiliz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graul\Local%20Settings\Temporary%20Internet%20Files\OLK138\BudgetInst-OC-FA-IF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4\Units$\Financial%20Services%20Bureau\DMHOFS\RASD\CRS\FY%202021-22\Individual%20LE%20File\FY%202122_00647_MV\Copy%20of%20FY21-22DetailedCostReportTemplate_100522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SOC%20IC%202001.New.Final.7.24%20for%20functional%20i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Documents%20and%20Settings\rdeleon\Local%20Settings\Temporary%20Internet%20Files\OLK1D9\CFA%20Analysis%20by%20funding%2011-3-11%20(rd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9\Encumbrances\2008-09%20%20DE%20Encumbranc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S&amp;EB\Walkthru\CAO%20Proposed%20FY0708%200522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8\Revenues\Budget%20Request\BUDGET_REQUEST__unit_code_4-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dmhbrd\Bud06\SERVICES%20&amp;%20SUPPLIES\COSTCENTERDETAIL\OCTOBER%20ADJUSTED%20ALLOWANC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1\home$\DMHOFS\Budget\00dmhbrd\Contract\07-08\Final%20Changes%20(Renewals%20and%20Supercessions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DL\Local%20Settings\Temporary%20Internet%20Files\Content.IE5\410VGLU9\Copy%20of%20Copy%20of%2007_08_SAB_Budget_Request_r_(4-18-07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0dmhbrd\Contract\06-07\Budget%20Request%2006-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%20Bureau/DMHOFS/RASD/CRS/FY%202021-22/_FY%2021-22%20Detailed%20Cost%20Report_Final/CFRS_20212022_1900066B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DL\Local%20Settings\Temporary%20Internet%20Files\Content.IE5\410VGLU9\Copy%20of%20Copy%20of%2005_06_uos_as_of_3_07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HSA%20RECON\MHSA%20CEO%20PROPOSED%20RE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MHOFS\Budget\00dmhbrd\Bud07\Bud07\S%20&amp;%20EB\CCDetail_0607\CCDetail_0607%20Final%20Adopted%20Budget_Summary%20Published%201025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SX2.Hosted.lac.com\HomeM-Z$\123WF\97BUD\CAO\WLKCC\ACTH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COST%20REPORTS\FY2008-09\AmanecerCCS%20Cost%20Report%20FY2008-09%20Original%203-4-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Services%20Bureau/DMHOFS/RASD/CRS/FY%202019-20/Cost%20Report%20Template/FY2019-20_Detailed_Template%20-%20Final%20Template%2011-17-2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-08%20SAB%20Budget%20Reque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hhqfile1\home$\budget%200809%20fin%20summaries%20excercise\09-10\Copy%20of%20FY%202009-10%20BUDGET%20REQUEST%20Supercession%20and%20Renewal(RR)%20(0323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  <sheetName val="CR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EXISTING BUDGET"/>
      <sheetName val="S_S CHART OF ACCOUNT"/>
      <sheetName val="PRICE LIST"/>
      <sheetName val="FINAL DETAIL"/>
      <sheetName val="Fixed Assets"/>
      <sheetName val="EXISTING_BUDGET"/>
      <sheetName val="S_S_CHART_OF_ACCOUNT"/>
      <sheetName val="PRICE_LIST"/>
      <sheetName val="FINAL_DETAIL"/>
      <sheetName val="Fixed_Asset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/>
      <sheetData sheetId="1"/>
      <sheetData sheetId="2"/>
      <sheetData sheetId="3"/>
      <sheetData sheetId="4">
        <row r="1">
          <cell r="AD1" t="str">
            <v>OBJECT</v>
          </cell>
          <cell r="AE1" t="str">
            <v>OBJECT DESCRIPTION</v>
          </cell>
          <cell r="AF1" t="str">
            <v>OBJECT CATEGORY</v>
          </cell>
        </row>
        <row r="2">
          <cell r="AD2">
            <v>2072</v>
          </cell>
          <cell r="AE2" t="str">
            <v>ISD TELECOM SERVICES</v>
          </cell>
          <cell r="AF2" t="str">
            <v>CIO</v>
          </cell>
        </row>
        <row r="3">
          <cell r="AD3">
            <v>2070</v>
          </cell>
          <cell r="AE3" t="str">
            <v>SPECIAL SERVICES (PAGERS)</v>
          </cell>
          <cell r="AF3" t="str">
            <v>OTHERS</v>
          </cell>
        </row>
        <row r="4">
          <cell r="AD4">
            <v>2085</v>
          </cell>
          <cell r="AE4" t="str">
            <v>DATA  CONVERSION</v>
          </cell>
          <cell r="AF4" t="str">
            <v>CIO</v>
          </cell>
        </row>
        <row r="5">
          <cell r="AD5">
            <v>2087</v>
          </cell>
          <cell r="AE5" t="str">
            <v>NETWORK INFRA STRUCTURE</v>
          </cell>
          <cell r="AF5" t="str">
            <v>CIO</v>
          </cell>
        </row>
        <row r="6">
          <cell r="AD6" t="str">
            <v>3365B</v>
          </cell>
          <cell r="AE6" t="str">
            <v>ISD ADMINISTRATIVE SERVICES</v>
          </cell>
          <cell r="AF6" t="str">
            <v>CIO</v>
          </cell>
        </row>
        <row r="7">
          <cell r="AD7">
            <v>3502</v>
          </cell>
          <cell r="AE7" t="str">
            <v>PROFESSIONAL &amp; SPECIALIZED SERVICES</v>
          </cell>
          <cell r="AF7" t="str">
            <v>CIO</v>
          </cell>
        </row>
        <row r="8">
          <cell r="AD8">
            <v>3614</v>
          </cell>
          <cell r="AE8" t="str">
            <v>PROF.&amp; SP.SER-IBM OPS(FIXED FEE SERVICES)</v>
          </cell>
          <cell r="AF8" t="str">
            <v>CIO</v>
          </cell>
        </row>
        <row r="9">
          <cell r="AD9" t="str">
            <v>3672A</v>
          </cell>
          <cell r="AE9" t="str">
            <v>FISCAL AGENT SVCS- EDS</v>
          </cell>
          <cell r="AF9" t="str">
            <v>CIO</v>
          </cell>
        </row>
        <row r="10">
          <cell r="AD10" t="str">
            <v>3802B</v>
          </cell>
          <cell r="AE10" t="str">
            <v>PURCHASING SERVICES</v>
          </cell>
          <cell r="AF10" t="str">
            <v>CIO</v>
          </cell>
        </row>
        <row r="11">
          <cell r="AD11">
            <v>3903</v>
          </cell>
          <cell r="AE11" t="str">
            <v>ISD OTHER COMPUTER SUPPORT</v>
          </cell>
          <cell r="AF11" t="str">
            <v>CIO</v>
          </cell>
        </row>
        <row r="12">
          <cell r="AD12" t="str">
            <v>3904A</v>
          </cell>
          <cell r="AE12" t="str">
            <v>ISD CONTRACT SERVICES</v>
          </cell>
          <cell r="AF12" t="str">
            <v>CIO</v>
          </cell>
        </row>
        <row r="13">
          <cell r="AD13" t="str">
            <v>3904B</v>
          </cell>
          <cell r="AE13" t="str">
            <v>ISD CUSTOMER DIRECT</v>
          </cell>
          <cell r="AF13" t="str">
            <v>CIO</v>
          </cell>
        </row>
        <row r="14">
          <cell r="AD14">
            <v>3971</v>
          </cell>
          <cell r="AE14" t="str">
            <v>COMPUTER S, PERSONAL-NON CAPITAL</v>
          </cell>
          <cell r="AF14" t="str">
            <v>CIO</v>
          </cell>
        </row>
        <row r="15">
          <cell r="AD15">
            <v>3972</v>
          </cell>
          <cell r="AE15" t="str">
            <v>PRINTER &amp; PERIPHERALS PERSONAL</v>
          </cell>
          <cell r="AF15" t="str">
            <v>CIO</v>
          </cell>
        </row>
        <row r="16">
          <cell r="AD16">
            <v>3973</v>
          </cell>
          <cell r="AE16" t="str">
            <v>COMPUTER S, PERSONAL-MAINTENANCE SUPPORT</v>
          </cell>
          <cell r="AF16" t="str">
            <v>CIO</v>
          </cell>
        </row>
        <row r="17">
          <cell r="AD17">
            <v>3974</v>
          </cell>
          <cell r="AE17" t="str">
            <v>TELECOM EQUIPMENT - NONCAPITAL</v>
          </cell>
          <cell r="AF17" t="str">
            <v>CIO</v>
          </cell>
        </row>
        <row r="18">
          <cell r="AD18">
            <v>3975</v>
          </cell>
          <cell r="AE18" t="str">
            <v>TELECOM SOFTWARE</v>
          </cell>
          <cell r="AF18" t="str">
            <v>CIO</v>
          </cell>
        </row>
        <row r="19">
          <cell r="AD19">
            <v>3976</v>
          </cell>
          <cell r="AE19" t="str">
            <v>TELECOM WIRING</v>
          </cell>
          <cell r="AF19" t="str">
            <v>CIO</v>
          </cell>
        </row>
        <row r="20">
          <cell r="AD20">
            <v>3978</v>
          </cell>
          <cell r="AE20" t="str">
            <v>TELECOM CONSULTING SERVICES</v>
          </cell>
          <cell r="AF20" t="str">
            <v>CIO</v>
          </cell>
        </row>
        <row r="21">
          <cell r="AD21">
            <v>3982</v>
          </cell>
          <cell r="AE21" t="str">
            <v>COMPUTER, MAINFRAME-OPERATING SOFTWARE</v>
          </cell>
          <cell r="AF21" t="str">
            <v>CIO</v>
          </cell>
        </row>
        <row r="22">
          <cell r="AD22">
            <v>3983</v>
          </cell>
          <cell r="AE22" t="str">
            <v>COMPUTER, MAINFRAME-APPLICATION SOFTWARE</v>
          </cell>
          <cell r="AF22" t="str">
            <v>CIO</v>
          </cell>
        </row>
        <row r="23">
          <cell r="AD23">
            <v>3994</v>
          </cell>
          <cell r="AE23" t="str">
            <v>ISD PROGRAMMING SERVICES</v>
          </cell>
          <cell r="AF23" t="str">
            <v>CIO</v>
          </cell>
        </row>
        <row r="24">
          <cell r="AD24">
            <v>3995</v>
          </cell>
          <cell r="AE24" t="str">
            <v>IT TRAINING</v>
          </cell>
          <cell r="AF24" t="str">
            <v>CIO</v>
          </cell>
        </row>
        <row r="25">
          <cell r="AD25">
            <v>3996</v>
          </cell>
          <cell r="AE25" t="str">
            <v>INFOR TECH-CONSULTING SERVICES</v>
          </cell>
          <cell r="AF25" t="str">
            <v>CIO</v>
          </cell>
        </row>
        <row r="26">
          <cell r="AD26">
            <v>3998</v>
          </cell>
          <cell r="AE26" t="str">
            <v>INFOR TECH-APLLICATION MAINTENANCE</v>
          </cell>
          <cell r="AF26" t="str">
            <v>CIO</v>
          </cell>
        </row>
        <row r="27">
          <cell r="AD27">
            <v>2075</v>
          </cell>
          <cell r="AE27" t="str">
            <v>BUILDING SYSTEMS</v>
          </cell>
          <cell r="AF27" t="str">
            <v>ASB</v>
          </cell>
        </row>
        <row r="28">
          <cell r="AD28">
            <v>2076</v>
          </cell>
          <cell r="AE28" t="str">
            <v>COUNTY TELEPHONE</v>
          </cell>
          <cell r="AF28" t="str">
            <v>ASB</v>
          </cell>
        </row>
        <row r="29">
          <cell r="AD29">
            <v>2084</v>
          </cell>
          <cell r="AE29" t="str">
            <v>MAILSERVICES</v>
          </cell>
          <cell r="AF29" t="str">
            <v>ASB</v>
          </cell>
        </row>
        <row r="30">
          <cell r="AD30">
            <v>2089</v>
          </cell>
          <cell r="AE30" t="str">
            <v>RADIO SYSTEMS PARTS</v>
          </cell>
          <cell r="AF30" t="str">
            <v>ASB</v>
          </cell>
        </row>
        <row r="31">
          <cell r="AD31">
            <v>2091</v>
          </cell>
          <cell r="AE31" t="str">
            <v>TELEPHONE SYSTEM (ANALYSIS)</v>
          </cell>
          <cell r="AF31" t="str">
            <v>ASB</v>
          </cell>
        </row>
        <row r="32">
          <cell r="AD32">
            <v>2397</v>
          </cell>
          <cell r="AE32" t="str">
            <v>OFFICE EQUIPMENT MAINTENANCE</v>
          </cell>
          <cell r="AF32" t="str">
            <v>ASB</v>
          </cell>
        </row>
        <row r="33">
          <cell r="AD33">
            <v>2663</v>
          </cell>
          <cell r="AE33" t="str">
            <v>ALTER AND IMPROVEMENTS - ISD</v>
          </cell>
          <cell r="AF33" t="str">
            <v>ASB</v>
          </cell>
        </row>
        <row r="34">
          <cell r="AD34">
            <v>2672</v>
          </cell>
          <cell r="AE34" t="str">
            <v>BLDG MAINT SERVICES</v>
          </cell>
          <cell r="AF34" t="str">
            <v>ASB</v>
          </cell>
        </row>
        <row r="35">
          <cell r="AD35">
            <v>2682</v>
          </cell>
          <cell r="AE35" t="str">
            <v xml:space="preserve">CUSTODIAL </v>
          </cell>
          <cell r="AF35" t="str">
            <v>ASB</v>
          </cell>
        </row>
        <row r="36">
          <cell r="AD36">
            <v>2708</v>
          </cell>
          <cell r="AE36" t="str">
            <v>GROUNDS MAINTENANCE (ISD)</v>
          </cell>
          <cell r="AF36" t="str">
            <v>ASB</v>
          </cell>
        </row>
        <row r="37">
          <cell r="AD37" t="str">
            <v>3365A</v>
          </cell>
          <cell r="AE37" t="str">
            <v>ISD ADMINISTRATIVE SERVICES</v>
          </cell>
          <cell r="AF37" t="str">
            <v>ASB</v>
          </cell>
        </row>
        <row r="38">
          <cell r="AD38" t="str">
            <v>3802A</v>
          </cell>
          <cell r="AE38" t="str">
            <v>PURCHASING SERVICES</v>
          </cell>
          <cell r="AF38" t="str">
            <v>ASB</v>
          </cell>
        </row>
        <row r="39">
          <cell r="AD39" t="str">
            <v>5098A</v>
          </cell>
          <cell r="AE39" t="str">
            <v>VEHICLE/PARKING SERVICES</v>
          </cell>
          <cell r="AF39" t="str">
            <v>ASB</v>
          </cell>
        </row>
        <row r="40">
          <cell r="AD40">
            <v>5222</v>
          </cell>
          <cell r="AE40" t="str">
            <v>UTILITIES</v>
          </cell>
          <cell r="AF40" t="str">
            <v>ASB</v>
          </cell>
        </row>
        <row r="41">
          <cell r="AD41">
            <v>3336</v>
          </cell>
          <cell r="AE41" t="str">
            <v>BOARD OF SUPERVISORS</v>
          </cell>
          <cell r="AF41" t="str">
            <v>OCD</v>
          </cell>
        </row>
        <row r="42">
          <cell r="AD42">
            <v>3548</v>
          </cell>
          <cell r="AE42" t="str">
            <v>AUDITOR-CONTROLLER SERVICES</v>
          </cell>
          <cell r="AF42" t="str">
            <v>OCD</v>
          </cell>
        </row>
        <row r="43">
          <cell r="AD43">
            <v>3564</v>
          </cell>
          <cell r="AE43" t="str">
            <v>CAO-STAFF ESRVICES</v>
          </cell>
          <cell r="AF43" t="str">
            <v>OCD</v>
          </cell>
        </row>
        <row r="44">
          <cell r="AD44">
            <v>3604</v>
          </cell>
          <cell r="AE44" t="str">
            <v>COUNTY COUNSEL</v>
          </cell>
          <cell r="AF44" t="str">
            <v>OCD</v>
          </cell>
        </row>
        <row r="45">
          <cell r="AD45">
            <v>3629</v>
          </cell>
          <cell r="AE45" t="str">
            <v>DISCTRICT ATTORNEY</v>
          </cell>
          <cell r="AF45" t="str">
            <v>OCD</v>
          </cell>
        </row>
        <row r="46">
          <cell r="AD46">
            <v>3657</v>
          </cell>
          <cell r="AE46" t="str">
            <v>AFFIRMATIVE ACTION COMPLIANCE OFFICE</v>
          </cell>
          <cell r="AF46" t="str">
            <v>OCD</v>
          </cell>
        </row>
        <row r="47">
          <cell r="AD47" t="str">
            <v>3672B</v>
          </cell>
          <cell r="AE47" t="str">
            <v>FISCAL AGENT SERVICES</v>
          </cell>
          <cell r="AF47" t="str">
            <v>OCD</v>
          </cell>
        </row>
        <row r="48">
          <cell r="AD48" t="str">
            <v>3782A</v>
          </cell>
          <cell r="AE48" t="str">
            <v>PERSONNEL SERVICES</v>
          </cell>
          <cell r="AF48" t="str">
            <v>OCD</v>
          </cell>
        </row>
        <row r="49">
          <cell r="AD49">
            <v>3825</v>
          </cell>
          <cell r="AE49" t="str">
            <v>SECURITY GUARD CONTRACT</v>
          </cell>
          <cell r="AF49" t="str">
            <v>OCD</v>
          </cell>
        </row>
        <row r="50">
          <cell r="AD50">
            <v>3828</v>
          </cell>
          <cell r="AE50" t="str">
            <v>SHERIFFS SERVICES</v>
          </cell>
          <cell r="AF50" t="str">
            <v>OCD</v>
          </cell>
        </row>
        <row r="51">
          <cell r="AD51">
            <v>3856</v>
          </cell>
          <cell r="AE51" t="str">
            <v>TREASURER TAX COLLECTOR SERVICES</v>
          </cell>
          <cell r="AF51" t="str">
            <v>OCD</v>
          </cell>
        </row>
        <row r="52">
          <cell r="AD52">
            <v>3894</v>
          </cell>
          <cell r="AE52" t="str">
            <v>PROBATION DEPARTMENT SERVICES</v>
          </cell>
          <cell r="AF52" t="str">
            <v>OCD</v>
          </cell>
        </row>
        <row r="53">
          <cell r="AD53">
            <v>3965</v>
          </cell>
          <cell r="AE53" t="str">
            <v>COMMUNITY AND SENIOR SERVICES</v>
          </cell>
          <cell r="AF53" t="str">
            <v>OCD</v>
          </cell>
        </row>
        <row r="54">
          <cell r="AD54">
            <v>3966</v>
          </cell>
          <cell r="AE54" t="str">
            <v>DCFS SERVICES</v>
          </cell>
          <cell r="AF54" t="str">
            <v>OCD</v>
          </cell>
        </row>
        <row r="55">
          <cell r="AD55">
            <v>3970</v>
          </cell>
          <cell r="AE55" t="str">
            <v>HEALTH SERVICES-INTERAGENCY SERVICES</v>
          </cell>
          <cell r="AF55" t="str">
            <v>OCD</v>
          </cell>
        </row>
        <row r="56">
          <cell r="AD56" t="str">
            <v>3970A</v>
          </cell>
          <cell r="AE56" t="str">
            <v>HEALTH SERVICES-PES</v>
          </cell>
          <cell r="AF56" t="str">
            <v>OCD</v>
          </cell>
        </row>
        <row r="57">
          <cell r="AD57" t="str">
            <v>3970B</v>
          </cell>
          <cell r="AE57" t="str">
            <v>HEALTH SERVICES-ANCILLARY SERVICES</v>
          </cell>
          <cell r="AF57" t="str">
            <v>OCD</v>
          </cell>
        </row>
        <row r="58">
          <cell r="AD58" t="str">
            <v>4422A</v>
          </cell>
          <cell r="AE58" t="str">
            <v>BUILDING RENTALS - RENTS &amp; LEASES</v>
          </cell>
          <cell r="AF58" t="str">
            <v>OCD</v>
          </cell>
        </row>
        <row r="59">
          <cell r="AD59">
            <v>5092</v>
          </cell>
          <cell r="AE59" t="str">
            <v>AUTO MILEAGE</v>
          </cell>
          <cell r="AF59" t="str">
            <v>OCD</v>
          </cell>
        </row>
        <row r="60">
          <cell r="AD60" t="str">
            <v>5098B</v>
          </cell>
          <cell r="AE60" t="str">
            <v>AUTO SERVICES</v>
          </cell>
          <cell r="AF60" t="str">
            <v>OCD</v>
          </cell>
        </row>
        <row r="61">
          <cell r="AD61">
            <v>2070</v>
          </cell>
          <cell r="AE61" t="str">
            <v>PAGERS SERVICES CHARGES</v>
          </cell>
          <cell r="AF61" t="str">
            <v>OTHERS</v>
          </cell>
        </row>
        <row r="62">
          <cell r="AD62">
            <v>2083</v>
          </cell>
          <cell r="AE62" t="str">
            <v>CELLULAR PHONE CHARGES</v>
          </cell>
          <cell r="AF62" t="str">
            <v>OTHERS</v>
          </cell>
        </row>
        <row r="63">
          <cell r="AD63">
            <v>2122</v>
          </cell>
          <cell r="AE63" t="str">
            <v>FOOD (INSTITUTIONAL USE ONLY)</v>
          </cell>
          <cell r="AF63" t="str">
            <v>OTHERS</v>
          </cell>
        </row>
        <row r="64">
          <cell r="AD64">
            <v>2142</v>
          </cell>
          <cell r="AE64" t="str">
            <v>OTHER HOUSEHOLD EXPENSE</v>
          </cell>
          <cell r="AF64" t="str">
            <v>OTHERS</v>
          </cell>
        </row>
        <row r="65">
          <cell r="AD65">
            <v>2296</v>
          </cell>
          <cell r="AE65" t="str">
            <v>UNINSURED LOSSES</v>
          </cell>
          <cell r="AF65" t="str">
            <v>OTHERS</v>
          </cell>
        </row>
        <row r="66">
          <cell r="AD66">
            <v>2664</v>
          </cell>
          <cell r="AE66" t="str">
            <v>ALARM SYSTEM MAITENANCE</v>
          </cell>
          <cell r="AF66" t="str">
            <v>OTHERS</v>
          </cell>
        </row>
        <row r="67">
          <cell r="AD67" t="str">
            <v>3066A</v>
          </cell>
          <cell r="AE67" t="str">
            <v>DRUGS AND MEDICINES</v>
          </cell>
          <cell r="AF67" t="str">
            <v>OTHERS</v>
          </cell>
        </row>
        <row r="68">
          <cell r="AD68" t="str">
            <v>3066B</v>
          </cell>
          <cell r="AE68" t="str">
            <v>DRUGS AND MEDICINES - GROW PROGRAM</v>
          </cell>
          <cell r="AF68" t="str">
            <v>OTHERS</v>
          </cell>
        </row>
        <row r="69">
          <cell r="AD69">
            <v>3089</v>
          </cell>
          <cell r="AE69" t="str">
            <v>PSYCHOLOGICAL TESTING SUPPLIES</v>
          </cell>
          <cell r="AF69" t="str">
            <v>OTHERS</v>
          </cell>
        </row>
        <row r="70">
          <cell r="AD70">
            <v>3162</v>
          </cell>
          <cell r="AE70" t="str">
            <v>MEMBERSHIPS</v>
          </cell>
          <cell r="AF70" t="str">
            <v>OTHERS</v>
          </cell>
        </row>
        <row r="71">
          <cell r="AD71">
            <v>3182</v>
          </cell>
          <cell r="AE71" t="str">
            <v>MISCELLANEOUS EXPENSE - PART. IN EXCELLENCE</v>
          </cell>
          <cell r="AF71" t="str">
            <v>OTHERS</v>
          </cell>
        </row>
        <row r="72">
          <cell r="AD72">
            <v>3188</v>
          </cell>
          <cell r="AE72" t="str">
            <v>MISCELLANEOUS (FUNDED BY DONATIONS)</v>
          </cell>
          <cell r="AF72" t="str">
            <v>OTHERS</v>
          </cell>
        </row>
        <row r="73">
          <cell r="AD73">
            <v>3202</v>
          </cell>
          <cell r="AE73" t="str">
            <v>POSTAGE</v>
          </cell>
          <cell r="AF73" t="str">
            <v>OTHERS</v>
          </cell>
        </row>
        <row r="74">
          <cell r="AD74">
            <v>3235</v>
          </cell>
          <cell r="AE74" t="str">
            <v>OFFICE MACHINES &amp; RELATED SUPPLIES</v>
          </cell>
          <cell r="AF74" t="str">
            <v>OTHERS</v>
          </cell>
        </row>
        <row r="75">
          <cell r="AD75">
            <v>3240</v>
          </cell>
          <cell r="AE75" t="str">
            <v>OFFICE SUPPLIES - GENERAL</v>
          </cell>
          <cell r="AF75" t="str">
            <v>OTHERS</v>
          </cell>
        </row>
        <row r="76">
          <cell r="AD76">
            <v>3268</v>
          </cell>
          <cell r="AE76" t="str">
            <v>OTHER OFFICE FURNISHINGS</v>
          </cell>
          <cell r="AF76" t="str">
            <v>OTHERS</v>
          </cell>
        </row>
        <row r="77">
          <cell r="AD77">
            <v>3280</v>
          </cell>
          <cell r="AE77" t="str">
            <v>PUBLICATIONS &amp; PERIODICALS</v>
          </cell>
          <cell r="AF77" t="str">
            <v>OTHERS</v>
          </cell>
        </row>
        <row r="78">
          <cell r="AD78">
            <v>3526</v>
          </cell>
          <cell r="AE78" t="str">
            <v>AMBULANCE SERVICE</v>
          </cell>
          <cell r="AF78" t="str">
            <v>OTHERS</v>
          </cell>
        </row>
        <row r="79">
          <cell r="AD79">
            <v>3580</v>
          </cell>
          <cell r="AE79" t="str">
            <v>CONSULTATION SERVICES</v>
          </cell>
          <cell r="AF79" t="str">
            <v>OTHERS</v>
          </cell>
        </row>
        <row r="80">
          <cell r="AD80">
            <v>3585</v>
          </cell>
          <cell r="AE80" t="str">
            <v>PHYSICIAN INFORMATION SERVICE - NAT. PRAC. BANK</v>
          </cell>
          <cell r="AF80" t="str">
            <v>OTHERS</v>
          </cell>
        </row>
        <row r="81">
          <cell r="AD81">
            <v>3709</v>
          </cell>
          <cell r="AE81" t="str">
            <v>LABORATORY SERVICES</v>
          </cell>
          <cell r="AF81" t="str">
            <v>OTHERS</v>
          </cell>
        </row>
        <row r="82">
          <cell r="AD82">
            <v>3720</v>
          </cell>
          <cell r="AE82" t="str">
            <v>PERSONNEL-RECRUITMENT &amp; RELATED SVCS</v>
          </cell>
          <cell r="AF82" t="str">
            <v>OTHERS</v>
          </cell>
        </row>
        <row r="83">
          <cell r="AD83" t="str">
            <v>3782B</v>
          </cell>
          <cell r="AE83" t="str">
            <v>PERSONNEL SVCS. - TEMPORARY SERVICES</v>
          </cell>
          <cell r="AF83" t="str">
            <v>OTHERS</v>
          </cell>
        </row>
        <row r="84">
          <cell r="AD84">
            <v>3822</v>
          </cell>
          <cell r="AE84" t="str">
            <v>REPROGRAPHIC SERVICES</v>
          </cell>
          <cell r="AF84" t="str">
            <v>OTHERS</v>
          </cell>
        </row>
        <row r="85">
          <cell r="AD85">
            <v>3958</v>
          </cell>
          <cell r="AE85" t="str">
            <v>MEDI-CAL ADMINISTRATIVE ACTIVITIES(MAA) FEE</v>
          </cell>
          <cell r="AF85" t="str">
            <v>OTHERS</v>
          </cell>
        </row>
        <row r="86">
          <cell r="AD86" t="str">
            <v>4057A</v>
          </cell>
          <cell r="AE86" t="str">
            <v>MENTAL HEALTH CONTRACT SERVICES</v>
          </cell>
          <cell r="AF86" t="str">
            <v>OTHERS</v>
          </cell>
        </row>
        <row r="87">
          <cell r="AD87" t="str">
            <v>4057B</v>
          </cell>
          <cell r="AE87" t="str">
            <v>MH CONTRACT SVCS. - MANAGE CARE STATE</v>
          </cell>
          <cell r="AF87" t="str">
            <v>OTHERS</v>
          </cell>
        </row>
        <row r="88">
          <cell r="AD88" t="str">
            <v>4057C</v>
          </cell>
          <cell r="AE88" t="str">
            <v>MH CONTRACT SVCS. - MANAGE CARE STATE-ASO</v>
          </cell>
          <cell r="AF88" t="str">
            <v>OTHERS</v>
          </cell>
        </row>
        <row r="89">
          <cell r="AD89">
            <v>4102</v>
          </cell>
          <cell r="AE89" t="str">
            <v>PUBLICATIONS &amp; LEGAL NOTICES</v>
          </cell>
          <cell r="AF89" t="str">
            <v>OTHERS</v>
          </cell>
        </row>
        <row r="90">
          <cell r="AD90">
            <v>4194</v>
          </cell>
          <cell r="AE90" t="str">
            <v>PHOTOCOPY MACHINE RENTALS</v>
          </cell>
          <cell r="AF90" t="str">
            <v>OTHERS</v>
          </cell>
        </row>
        <row r="91">
          <cell r="AD91" t="str">
            <v>4422B</v>
          </cell>
          <cell r="AE91" t="str">
            <v>BUILDING RENTALS - ATHENA HOMES</v>
          </cell>
          <cell r="AF91" t="str">
            <v>OTHERS</v>
          </cell>
        </row>
        <row r="92">
          <cell r="AD92" t="str">
            <v>4422C</v>
          </cell>
          <cell r="AE92" t="str">
            <v>BUILDING RENTALS - HOMES FOR LIFE</v>
          </cell>
          <cell r="AF92" t="str">
            <v>OTHERS</v>
          </cell>
        </row>
        <row r="93">
          <cell r="AD93">
            <v>4430</v>
          </cell>
          <cell r="AE93" t="str">
            <v>TEMPORARY SPACE RENTALS - VARIOUS VENDORS</v>
          </cell>
          <cell r="AF93" t="str">
            <v>OTHERS</v>
          </cell>
        </row>
        <row r="94">
          <cell r="AD94">
            <v>4532</v>
          </cell>
          <cell r="AE94" t="str">
            <v>ARTS &amp; CRAFTS SUPPLIES - EDUCATION &amp; REC.</v>
          </cell>
          <cell r="AF94" t="str">
            <v>OTHERS</v>
          </cell>
        </row>
        <row r="95">
          <cell r="AD95" t="str">
            <v>4612A</v>
          </cell>
          <cell r="AE95" t="str">
            <v>EDUCATION &amp; TRAINING</v>
          </cell>
          <cell r="AF95" t="str">
            <v>OTHERS</v>
          </cell>
        </row>
        <row r="96">
          <cell r="AD96" t="str">
            <v>4612B</v>
          </cell>
          <cell r="AE96" t="str">
            <v>EDUCATION &amp; TRAINING -VOC REHAB</v>
          </cell>
          <cell r="AF96" t="str">
            <v>OTHERS</v>
          </cell>
        </row>
        <row r="97">
          <cell r="AD97">
            <v>4677</v>
          </cell>
          <cell r="AE97" t="str">
            <v>INCIDENTAL EXPENSE</v>
          </cell>
          <cell r="AF97" t="str">
            <v>OTHERS</v>
          </cell>
        </row>
        <row r="98">
          <cell r="AD98" t="str">
            <v>5110A</v>
          </cell>
          <cell r="AE98" t="str">
            <v>TRAVELLING EXPENSE  (STAFF)</v>
          </cell>
          <cell r="AF98" t="str">
            <v>OTHERS</v>
          </cell>
        </row>
        <row r="99">
          <cell r="AD99" t="str">
            <v>5110B</v>
          </cell>
          <cell r="AE99" t="str">
            <v>TRAVELLING EXPENSE (PATIENT TRAVEL)</v>
          </cell>
          <cell r="AF99" t="str">
            <v>OTHERS</v>
          </cell>
        </row>
      </sheetData>
      <sheetData sheetId="5" refreshError="1"/>
      <sheetData sheetId="6"/>
      <sheetData sheetId="7"/>
      <sheetData sheetId="8"/>
      <sheetData sheetId="9">
        <row r="1">
          <cell r="AD1" t="str">
            <v>OBJECT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request original"/>
      <sheetName val="SORT"/>
      <sheetName val="budget request MHSA"/>
      <sheetName val="FY 2007 08rev Budget Request"/>
      <sheetName val="budget request 04-05-07"/>
      <sheetName val="SORT "/>
      <sheetName val="summary"/>
      <sheetName val="bud req 0607"/>
      <sheetName val="cao proposed 0607 "/>
      <sheetName val="BUDGET REQUEST sorted"/>
      <sheetName val="BUDGET REQUEST sorted nelia"/>
      <sheetName val="SORTED final"/>
      <sheetName val="SORTED final (2)"/>
      <sheetName val="SORTEDJACKIE"/>
      <sheetName val="budget_request_original"/>
      <sheetName val="budget_request_MHSA"/>
      <sheetName val="FY_2007_08rev_Budget_Request"/>
      <sheetName val="budget_request_04-05-07"/>
      <sheetName val="SORT_"/>
      <sheetName val="bud_req_0607"/>
      <sheetName val="cao_proposed_0607_"/>
      <sheetName val="BUDGET_REQUEST_sorted"/>
      <sheetName val="BUDGET_REQUEST_sorted_nelia"/>
      <sheetName val="SORTED_final"/>
      <sheetName val="SORTED_final_(2)"/>
    </sheetNames>
    <sheetDataSet>
      <sheetData sheetId="0"/>
      <sheetData sheetId="1"/>
      <sheetData sheetId="2"/>
      <sheetData sheetId="3">
        <row r="192">
          <cell r="B192">
            <v>20554</v>
          </cell>
          <cell r="D192" t="str">
            <v>DHS HARBOR/UCLA MED CTR</v>
          </cell>
          <cell r="G192">
            <v>126179.43606881508</v>
          </cell>
          <cell r="W192">
            <v>1790411.427175682</v>
          </cell>
          <cell r="Z192">
            <v>148013.79532937103</v>
          </cell>
          <cell r="AZ192">
            <v>2064604.6585738682</v>
          </cell>
        </row>
        <row r="193">
          <cell r="B193">
            <v>20553</v>
          </cell>
          <cell r="D193" t="str">
            <v>DHS MLK/DREW MED CTR</v>
          </cell>
          <cell r="G193">
            <v>225723.32842615776</v>
          </cell>
          <cell r="W193">
            <v>1815900.4054111054</v>
          </cell>
          <cell r="Z193">
            <v>263344.8858589083</v>
          </cell>
          <cell r="AZ193">
            <v>2304968.6196961715</v>
          </cell>
        </row>
        <row r="194">
          <cell r="B194">
            <v>20552</v>
          </cell>
          <cell r="D194" t="str">
            <v>DHS LAC/USC MED CTR</v>
          </cell>
          <cell r="G194">
            <v>281190.42348567065</v>
          </cell>
          <cell r="W194">
            <v>1677512.4798208885</v>
          </cell>
          <cell r="Z194">
            <v>329204.92133704224</v>
          </cell>
          <cell r="AZ194">
            <v>2287907.8246436017</v>
          </cell>
        </row>
        <row r="195">
          <cell r="B195">
            <v>20555</v>
          </cell>
          <cell r="D195" t="str">
            <v>DHS - OLIVE VIEW/UCLA MC</v>
          </cell>
          <cell r="G195">
            <v>199906.8120193565</v>
          </cell>
          <cell r="W195">
            <v>1241369.6875923239</v>
          </cell>
          <cell r="Z195">
            <v>234242.39747467838</v>
          </cell>
          <cell r="AZ195">
            <v>1675518.8970863589</v>
          </cell>
        </row>
        <row r="196">
          <cell r="D196" t="str">
            <v>TOTAL OTHER COUNTY DEPARTMENT</v>
          </cell>
          <cell r="E196">
            <v>0</v>
          </cell>
          <cell r="F196">
            <v>0</v>
          </cell>
          <cell r="G196">
            <v>833000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6525194</v>
          </cell>
          <cell r="X196">
            <v>0</v>
          </cell>
          <cell r="Y196">
            <v>0</v>
          </cell>
          <cell r="Z196">
            <v>974805.99999999988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8333000</v>
          </cell>
        </row>
        <row r="198">
          <cell r="D198" t="str">
            <v>DIRECTLY OPERATED CLINICS</v>
          </cell>
        </row>
        <row r="200">
          <cell r="B200" t="str">
            <v>18593O</v>
          </cell>
          <cell r="C200" t="str">
            <v>MEDICAL DIRECTOR'S OFFICE</v>
          </cell>
          <cell r="D200" t="str">
            <v>TREATMENT AUTHORIZATION REQUEST (OUTPATIENT)</v>
          </cell>
          <cell r="E200">
            <v>11712014</v>
          </cell>
          <cell r="N200">
            <v>0</v>
          </cell>
          <cell r="V200">
            <v>10798000</v>
          </cell>
          <cell r="AC200">
            <v>0</v>
          </cell>
          <cell r="AZ200">
            <v>22510014</v>
          </cell>
        </row>
        <row r="201">
          <cell r="B201" t="str">
            <v>18593I</v>
          </cell>
          <cell r="C201" t="str">
            <v>MEDICAL DIRECTOR'S OFFICE</v>
          </cell>
          <cell r="D201" t="str">
            <v>TREATMENT AUTHORIZATION REQUEST (INTPATIENT)</v>
          </cell>
          <cell r="E201">
            <v>36200000</v>
          </cell>
          <cell r="AZ201">
            <v>36200000</v>
          </cell>
        </row>
        <row r="202">
          <cell r="B202">
            <v>20474</v>
          </cell>
          <cell r="C202" t="str">
            <v>MEDICAL DIRECTOR'S OFFICE</v>
          </cell>
          <cell r="D202" t="str">
            <v>OFFICE OF MANAGED CARE</v>
          </cell>
          <cell r="E202">
            <v>1178076</v>
          </cell>
          <cell r="AZ202">
            <v>1178076</v>
          </cell>
        </row>
        <row r="203">
          <cell r="B203">
            <v>20528</v>
          </cell>
          <cell r="C203" t="str">
            <v>MEDICAL DIRECTOR'S OFFICE</v>
          </cell>
          <cell r="D203" t="str">
            <v>OFFICE OF MEDICAL DIRECTOR</v>
          </cell>
          <cell r="AD203">
            <v>67915.784041652369</v>
          </cell>
          <cell r="AZ203">
            <v>67915.784041652369</v>
          </cell>
        </row>
        <row r="204">
          <cell r="B204">
            <v>27477</v>
          </cell>
          <cell r="C204" t="str">
            <v>MEDICAL DIRECTOR'S OFFICE</v>
          </cell>
          <cell r="D204" t="str">
            <v>VALUE OPTIONS</v>
          </cell>
          <cell r="E204">
            <v>167000</v>
          </cell>
          <cell r="F204">
            <v>598000</v>
          </cell>
          <cell r="N204">
            <v>0</v>
          </cell>
          <cell r="Z204">
            <v>700000</v>
          </cell>
          <cell r="AC204">
            <v>0</v>
          </cell>
          <cell r="AZ204">
            <v>1465000</v>
          </cell>
        </row>
        <row r="205">
          <cell r="B205">
            <v>20683</v>
          </cell>
          <cell r="C205" t="str">
            <v>MEDICAL DIRECTOR'S OFFICE</v>
          </cell>
          <cell r="D205" t="str">
            <v>HIV MENTAL HEALTH TEAM</v>
          </cell>
          <cell r="G205">
            <v>0</v>
          </cell>
          <cell r="N205">
            <v>0</v>
          </cell>
          <cell r="Z205">
            <v>0</v>
          </cell>
          <cell r="AC205">
            <v>4535.8478823590631</v>
          </cell>
          <cell r="AL205">
            <v>1541.2516272667376</v>
          </cell>
          <cell r="AT205">
            <v>1160.1242735220712</v>
          </cell>
          <cell r="AZ205">
            <v>7237.2237831478724</v>
          </cell>
        </row>
        <row r="206">
          <cell r="D206" t="str">
            <v>UNALLOCATTED</v>
          </cell>
          <cell r="E206">
            <v>28749910</v>
          </cell>
          <cell r="AZ206">
            <v>28749910</v>
          </cell>
        </row>
        <row r="207">
          <cell r="D207" t="str">
            <v>Sub total:  Medical Director</v>
          </cell>
          <cell r="E207">
            <v>78007000</v>
          </cell>
          <cell r="F207">
            <v>598000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10798000</v>
          </cell>
          <cell r="W207">
            <v>0</v>
          </cell>
          <cell r="X207">
            <v>0</v>
          </cell>
          <cell r="Y207">
            <v>0</v>
          </cell>
          <cell r="Z207">
            <v>700000</v>
          </cell>
          <cell r="AA207">
            <v>0</v>
          </cell>
          <cell r="AB207">
            <v>0</v>
          </cell>
          <cell r="AC207">
            <v>4535.8478823590631</v>
          </cell>
          <cell r="AD207">
            <v>67915.784041652369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1541.2516272667376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1160.1242735220712</v>
          </cell>
          <cell r="AU207">
            <v>0</v>
          </cell>
          <cell r="AV207">
            <v>0</v>
          </cell>
          <cell r="AW207">
            <v>0</v>
          </cell>
          <cell r="AY207">
            <v>0</v>
          </cell>
          <cell r="AZ207">
            <v>90178153.007824808</v>
          </cell>
        </row>
        <row r="209">
          <cell r="B209">
            <v>18705</v>
          </cell>
          <cell r="C209" t="str">
            <v>JUVENILE JUSTICE PROGRAM</v>
          </cell>
          <cell r="D209" t="str">
            <v>MH CHILD COURT ASSESSMENT</v>
          </cell>
          <cell r="N209">
            <v>0</v>
          </cell>
          <cell r="AC209">
            <v>0</v>
          </cell>
          <cell r="AZ209">
            <v>0</v>
          </cell>
        </row>
        <row r="210">
          <cell r="B210">
            <v>18706</v>
          </cell>
          <cell r="C210" t="str">
            <v>JUVENILE JUSTICE PROGRAM</v>
          </cell>
          <cell r="D210" t="str">
            <v>CSOC - JUVENILE JUSTICE PROGRAM ADMIN</v>
          </cell>
          <cell r="N210">
            <v>0</v>
          </cell>
          <cell r="AC210">
            <v>0</v>
          </cell>
          <cell r="AZ210">
            <v>0</v>
          </cell>
        </row>
        <row r="211">
          <cell r="B211">
            <v>20441</v>
          </cell>
          <cell r="C211" t="str">
            <v>JUVENILE JUSTICE PROGRAM</v>
          </cell>
          <cell r="D211" t="str">
            <v>DOROTHY KIRBY CENTER</v>
          </cell>
          <cell r="G211">
            <v>1659462.3323883691</v>
          </cell>
          <cell r="N211">
            <v>0</v>
          </cell>
          <cell r="T211">
            <v>0</v>
          </cell>
          <cell r="W211">
            <v>54672.038831142083</v>
          </cell>
          <cell r="Z211">
            <v>1963619.7418645015</v>
          </cell>
          <cell r="AA211">
            <v>316740</v>
          </cell>
          <cell r="AC211">
            <v>0</v>
          </cell>
          <cell r="AD211">
            <v>0</v>
          </cell>
          <cell r="AZ211">
            <v>3994494.1130840126</v>
          </cell>
        </row>
        <row r="212">
          <cell r="B212">
            <v>20442</v>
          </cell>
          <cell r="C212" t="str">
            <v>JUVENILE JUSTICE PROGRAM</v>
          </cell>
          <cell r="D212" t="str">
            <v>MH CHILD COURT ASSESSMENT</v>
          </cell>
          <cell r="G212">
            <v>0</v>
          </cell>
          <cell r="N212">
            <v>182816.70046720901</v>
          </cell>
          <cell r="T212">
            <v>0</v>
          </cell>
          <cell r="W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0</v>
          </cell>
          <cell r="AN212">
            <v>0</v>
          </cell>
          <cell r="AZ212">
            <v>182816.70046720901</v>
          </cell>
        </row>
        <row r="213">
          <cell r="B213">
            <v>20443</v>
          </cell>
          <cell r="C213" t="str">
            <v>JUVENILE JUSTICE PROGRAM</v>
          </cell>
          <cell r="D213" t="str">
            <v>CENTRAL JUVENILE HALL</v>
          </cell>
          <cell r="G213">
            <v>252426.79356900844</v>
          </cell>
          <cell r="N213">
            <v>522081.67267693399</v>
          </cell>
          <cell r="T213">
            <v>0</v>
          </cell>
          <cell r="W213">
            <v>9268.8030871137016</v>
          </cell>
          <cell r="Z213">
            <v>298693.27284715784</v>
          </cell>
          <cell r="AA213">
            <v>48275</v>
          </cell>
          <cell r="AC213">
            <v>0</v>
          </cell>
          <cell r="AD213">
            <v>0</v>
          </cell>
          <cell r="AZ213">
            <v>1130745.5421802138</v>
          </cell>
        </row>
        <row r="214">
          <cell r="B214">
            <v>20444</v>
          </cell>
          <cell r="C214" t="str">
            <v>JUVENILE JUSTICE PROGRAM</v>
          </cell>
          <cell r="D214" t="str">
            <v>BARRY J NIDORF JUV HALL MH UNT</v>
          </cell>
          <cell r="G214">
            <v>147659.30959091778</v>
          </cell>
          <cell r="N214">
            <v>245682.3670704274</v>
          </cell>
          <cell r="T214">
            <v>0</v>
          </cell>
          <cell r="W214">
            <v>131.0332086238185</v>
          </cell>
          <cell r="Z214">
            <v>174723.30026648138</v>
          </cell>
          <cell r="AA214">
            <v>27716</v>
          </cell>
          <cell r="AC214">
            <v>0</v>
          </cell>
          <cell r="AD214">
            <v>0</v>
          </cell>
          <cell r="AZ214">
            <v>595912.01013645041</v>
          </cell>
        </row>
        <row r="215">
          <cell r="B215">
            <v>20445</v>
          </cell>
          <cell r="C215" t="str">
            <v>JUVENILE JUSTICE PROGRAM</v>
          </cell>
          <cell r="D215" t="str">
            <v>LOS PADRINOS JUV HALL MH UNIT</v>
          </cell>
          <cell r="G215">
            <v>249744.20771853294</v>
          </cell>
          <cell r="N215">
            <v>154799.25978543001</v>
          </cell>
          <cell r="T215">
            <v>0</v>
          </cell>
          <cell r="W215">
            <v>4865.9992174013687</v>
          </cell>
          <cell r="Z215">
            <v>295519.00463242916</v>
          </cell>
          <cell r="AA215">
            <v>47336</v>
          </cell>
          <cell r="AC215">
            <v>0</v>
          </cell>
          <cell r="AD215">
            <v>0</v>
          </cell>
          <cell r="AZ215">
            <v>752264.47135379352</v>
          </cell>
        </row>
        <row r="216">
          <cell r="B216" t="str">
            <v>21564P</v>
          </cell>
          <cell r="C216" t="str">
            <v>JUVENILE JUSTICE PROGRAM</v>
          </cell>
          <cell r="D216" t="str">
            <v>ICAT-PASADENA</v>
          </cell>
          <cell r="G216">
            <v>260114.35693504839</v>
          </cell>
          <cell r="N216">
            <v>0</v>
          </cell>
          <cell r="T216">
            <v>3471.9511597646356</v>
          </cell>
          <cell r="W216">
            <v>0</v>
          </cell>
          <cell r="Z216">
            <v>307789.86449480581</v>
          </cell>
          <cell r="AA216">
            <v>62921</v>
          </cell>
          <cell r="AC216">
            <v>0</v>
          </cell>
          <cell r="AD216">
            <v>32091.556968438766</v>
          </cell>
          <cell r="AZ216">
            <v>666388.72955805762</v>
          </cell>
        </row>
        <row r="217">
          <cell r="B217" t="str">
            <v>21564W</v>
          </cell>
          <cell r="C217" t="str">
            <v>JUVENILE JUSTICE PROGRAM</v>
          </cell>
          <cell r="D217" t="str">
            <v>ICAT-WILSHIRE</v>
          </cell>
          <cell r="G217">
            <v>156620.30384833697</v>
          </cell>
          <cell r="N217">
            <v>0</v>
          </cell>
          <cell r="T217">
            <v>6165.7642354101599</v>
          </cell>
          <cell r="W217">
            <v>25854.357886659134</v>
          </cell>
          <cell r="Z217">
            <v>185326.72577797086</v>
          </cell>
          <cell r="AA217">
            <v>32165</v>
          </cell>
          <cell r="AC217">
            <v>0</v>
          </cell>
          <cell r="AD217">
            <v>33345.681318407325</v>
          </cell>
          <cell r="AZ217">
            <v>439477.83306678443</v>
          </cell>
        </row>
        <row r="218">
          <cell r="B218" t="str">
            <v>21564T</v>
          </cell>
          <cell r="C218" t="str">
            <v>JUVENILE JUSTICE PROGRAM</v>
          </cell>
          <cell r="D218" t="str">
            <v>ICAT TORRANCE</v>
          </cell>
          <cell r="G218">
            <v>173947.99213844285</v>
          </cell>
          <cell r="N218">
            <v>0</v>
          </cell>
          <cell r="T218">
            <v>0</v>
          </cell>
          <cell r="W218">
            <v>0</v>
          </cell>
          <cell r="Z218">
            <v>205830.34923675467</v>
          </cell>
          <cell r="AA218">
            <v>32635</v>
          </cell>
          <cell r="AC218">
            <v>0</v>
          </cell>
          <cell r="AD218">
            <v>31569.280183221603</v>
          </cell>
          <cell r="AZ218">
            <v>443982.62155841914</v>
          </cell>
        </row>
        <row r="219">
          <cell r="B219" t="str">
            <v>23019T</v>
          </cell>
          <cell r="C219" t="str">
            <v>JUVENILE JUSTICE PROGRAM</v>
          </cell>
          <cell r="D219" t="str">
            <v>START Torrance</v>
          </cell>
          <cell r="G219">
            <v>97153.366098840241</v>
          </cell>
          <cell r="N219">
            <v>0</v>
          </cell>
          <cell r="T219">
            <v>0</v>
          </cell>
          <cell r="W219">
            <v>0</v>
          </cell>
          <cell r="Z219">
            <v>114960.28800226185</v>
          </cell>
          <cell r="AA219">
            <v>18227</v>
          </cell>
          <cell r="AC219">
            <v>0</v>
          </cell>
          <cell r="AD219">
            <v>3256.5979008722925</v>
          </cell>
          <cell r="AZ219">
            <v>233597.25200197438</v>
          </cell>
        </row>
        <row r="220">
          <cell r="B220" t="str">
            <v>23019S</v>
          </cell>
          <cell r="C220" t="str">
            <v>JUVENILE JUSTICE PROGRAM</v>
          </cell>
          <cell r="D220" t="str">
            <v>START SANTA CLARITA</v>
          </cell>
          <cell r="G220">
            <v>102461.84499146772</v>
          </cell>
          <cell r="N220">
            <v>0</v>
          </cell>
          <cell r="T220">
            <v>0</v>
          </cell>
          <cell r="W220">
            <v>0</v>
          </cell>
          <cell r="Z220">
            <v>121241.74058445569</v>
          </cell>
          <cell r="AA220">
            <v>19223</v>
          </cell>
          <cell r="AC220">
            <v>0</v>
          </cell>
          <cell r="AD220">
            <v>174.09226173905591</v>
          </cell>
          <cell r="AZ220">
            <v>243100.67783766246</v>
          </cell>
        </row>
        <row r="221">
          <cell r="B221" t="str">
            <v>23019M</v>
          </cell>
          <cell r="C221" t="str">
            <v>JUVENILE JUSTICE PROGRAM</v>
          </cell>
          <cell r="D221" t="str">
            <v>START WEST - METRO NORTH</v>
          </cell>
          <cell r="G221">
            <v>144560.18933702976</v>
          </cell>
          <cell r="N221">
            <v>0</v>
          </cell>
          <cell r="T221">
            <v>0</v>
          </cell>
          <cell r="W221">
            <v>0</v>
          </cell>
          <cell r="Z221">
            <v>171056.15242336752</v>
          </cell>
          <cell r="AA221">
            <v>27121</v>
          </cell>
          <cell r="AC221">
            <v>0</v>
          </cell>
          <cell r="AD221">
            <v>11507.415992770679</v>
          </cell>
          <cell r="AZ221">
            <v>354244.757753168</v>
          </cell>
        </row>
        <row r="222">
          <cell r="B222" t="str">
            <v>23019P</v>
          </cell>
          <cell r="C222" t="str">
            <v>JUVENILE JUSTICE PROGRAM</v>
          </cell>
          <cell r="D222" t="str">
            <v>START EAST - PASADENA</v>
          </cell>
          <cell r="G222">
            <v>126075.55021598459</v>
          </cell>
          <cell r="N222">
            <v>0</v>
          </cell>
          <cell r="T222">
            <v>0</v>
          </cell>
          <cell r="W222">
            <v>0</v>
          </cell>
          <cell r="Z222">
            <v>149183.52440951846</v>
          </cell>
          <cell r="AA222">
            <v>23653</v>
          </cell>
          <cell r="AC222">
            <v>0</v>
          </cell>
          <cell r="AD222">
            <v>1010.7252162575521</v>
          </cell>
          <cell r="AZ222">
            <v>299922.7998417606</v>
          </cell>
        </row>
        <row r="223">
          <cell r="B223">
            <v>27254</v>
          </cell>
          <cell r="C223" t="str">
            <v>JUVENILE JUSTICE PROGRAM</v>
          </cell>
          <cell r="D223" t="str">
            <v>JUVENILE MH EXPANSION PROGRAM</v>
          </cell>
          <cell r="G223">
            <v>378523.48064544494</v>
          </cell>
          <cell r="N223">
            <v>0</v>
          </cell>
          <cell r="T223">
            <v>0</v>
          </cell>
          <cell r="W223">
            <v>2855.9779762966432</v>
          </cell>
          <cell r="Z223">
            <v>447901.80822297203</v>
          </cell>
          <cell r="AA223">
            <v>71298</v>
          </cell>
          <cell r="AC223">
            <v>0</v>
          </cell>
          <cell r="AD223">
            <v>35839.078545779012</v>
          </cell>
          <cell r="AZ223">
            <v>936418.34539049258</v>
          </cell>
        </row>
        <row r="224">
          <cell r="B224">
            <v>28002</v>
          </cell>
          <cell r="C224" t="str">
            <v>JUVENILE JUSTICE PROGRAM</v>
          </cell>
          <cell r="D224" t="str">
            <v>JUVENILE MH EXPANSION PROGRAM</v>
          </cell>
          <cell r="G224">
            <v>0</v>
          </cell>
          <cell r="N224">
            <v>0</v>
          </cell>
          <cell r="T224">
            <v>0</v>
          </cell>
          <cell r="W224">
            <v>0</v>
          </cell>
          <cell r="Z224">
            <v>0</v>
          </cell>
          <cell r="AA224">
            <v>0</v>
          </cell>
          <cell r="AC224">
            <v>0</v>
          </cell>
          <cell r="AD224">
            <v>9962.8628459672982</v>
          </cell>
          <cell r="AZ224">
            <v>9962.8628459672982</v>
          </cell>
        </row>
        <row r="225">
          <cell r="D225" t="str">
            <v>Sub total:  Juvenile Justice</v>
          </cell>
          <cell r="E225">
            <v>0</v>
          </cell>
          <cell r="F225">
            <v>0</v>
          </cell>
          <cell r="G225">
            <v>3748749.7274774238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1105380.0000000005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9637.715395174795</v>
          </cell>
          <cell r="U225">
            <v>0</v>
          </cell>
          <cell r="V225">
            <v>0</v>
          </cell>
          <cell r="W225">
            <v>97648.210207236756</v>
          </cell>
          <cell r="X225">
            <v>0</v>
          </cell>
          <cell r="Y225">
            <v>0</v>
          </cell>
          <cell r="Z225">
            <v>4435845.7727626767</v>
          </cell>
          <cell r="AA225">
            <v>727310</v>
          </cell>
          <cell r="AB225">
            <v>0</v>
          </cell>
          <cell r="AC225">
            <v>0</v>
          </cell>
          <cell r="AD225">
            <v>158757.29123345358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Y225">
            <v>0</v>
          </cell>
          <cell r="AZ225">
            <v>10283328.717075964</v>
          </cell>
        </row>
        <row r="227">
          <cell r="B227">
            <v>20651</v>
          </cell>
          <cell r="C227" t="str">
            <v>PUBLIC GUARDIAN</v>
          </cell>
          <cell r="D227" t="str">
            <v>PUBLIC GUARDIAN - LPS</v>
          </cell>
          <cell r="N227">
            <v>0</v>
          </cell>
          <cell r="U227">
            <v>832960</v>
          </cell>
          <cell r="AB227" t="str">
            <v xml:space="preserve"> </v>
          </cell>
          <cell r="AC227">
            <v>0</v>
          </cell>
          <cell r="AD227">
            <v>767600</v>
          </cell>
          <cell r="AE227">
            <v>280000</v>
          </cell>
          <cell r="AP227">
            <v>196300</v>
          </cell>
          <cell r="AZ227">
            <v>2076860</v>
          </cell>
        </row>
        <row r="228">
          <cell r="B228">
            <v>20652</v>
          </cell>
          <cell r="C228" t="str">
            <v>PUBLIC GUARDIAN</v>
          </cell>
          <cell r="D228" t="str">
            <v>PUBLIC GUARDIAN - PROBATE (NCC)</v>
          </cell>
          <cell r="N228">
            <v>0</v>
          </cell>
          <cell r="U228">
            <v>263040</v>
          </cell>
          <cell r="AC228">
            <v>0</v>
          </cell>
          <cell r="AD228">
            <v>242400</v>
          </cell>
          <cell r="AF228">
            <v>715000</v>
          </cell>
          <cell r="AI228">
            <v>94235</v>
          </cell>
          <cell r="AJ228">
            <v>15000</v>
          </cell>
          <cell r="AP228">
            <v>105700</v>
          </cell>
          <cell r="AU228">
            <v>131000</v>
          </cell>
          <cell r="AZ228">
            <v>1566375</v>
          </cell>
        </row>
        <row r="229">
          <cell r="D229" t="str">
            <v>Sub total:  Public Guardian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1096000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1010000</v>
          </cell>
          <cell r="AE229">
            <v>280000</v>
          </cell>
          <cell r="AF229">
            <v>715000</v>
          </cell>
          <cell r="AG229">
            <v>0</v>
          </cell>
          <cell r="AH229">
            <v>0</v>
          </cell>
          <cell r="AI229">
            <v>94235</v>
          </cell>
          <cell r="AJ229">
            <v>15000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302000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131000</v>
          </cell>
          <cell r="AV229">
            <v>0</v>
          </cell>
          <cell r="AW229">
            <v>0</v>
          </cell>
          <cell r="AY229">
            <v>0</v>
          </cell>
          <cell r="AZ229">
            <v>3643235</v>
          </cell>
        </row>
        <row r="231">
          <cell r="B231">
            <v>20591</v>
          </cell>
          <cell r="C231" t="str">
            <v>PROGRAM SUPPORT BUREAU</v>
          </cell>
          <cell r="D231" t="str">
            <v>TRAINING DIVISION</v>
          </cell>
          <cell r="E231" t="str">
            <v xml:space="preserve"> </v>
          </cell>
          <cell r="M231" t="str">
            <v xml:space="preserve"> </v>
          </cell>
          <cell r="N231">
            <v>60000</v>
          </cell>
          <cell r="R231">
            <v>8000</v>
          </cell>
          <cell r="AC231">
            <v>0</v>
          </cell>
          <cell r="AR231">
            <v>3000</v>
          </cell>
          <cell r="AY231">
            <v>0</v>
          </cell>
          <cell r="AZ231">
            <v>71000</v>
          </cell>
        </row>
        <row r="232">
          <cell r="B232">
            <v>20560</v>
          </cell>
          <cell r="C232" t="str">
            <v>PROGRAM SUPPORT BUREAU</v>
          </cell>
          <cell r="D232" t="str">
            <v>STANDARDS AND RECORDS</v>
          </cell>
          <cell r="Y232">
            <v>0</v>
          </cell>
          <cell r="AA232">
            <v>0</v>
          </cell>
          <cell r="AD232">
            <v>167808.43868026612</v>
          </cell>
          <cell r="AZ232">
            <v>167808.43868026612</v>
          </cell>
        </row>
        <row r="233">
          <cell r="B233">
            <v>27551</v>
          </cell>
          <cell r="C233" t="str">
            <v>PROGRAM SUPPORT BUREAU</v>
          </cell>
          <cell r="D233" t="str">
            <v>EPSDT /FFP MHSA</v>
          </cell>
          <cell r="G233">
            <v>515710</v>
          </cell>
          <cell r="N233">
            <v>0</v>
          </cell>
          <cell r="W233">
            <v>3151825</v>
          </cell>
          <cell r="Z233">
            <v>604000</v>
          </cell>
          <cell r="AC233">
            <v>0</v>
          </cell>
          <cell r="AY233">
            <v>3161383</v>
          </cell>
          <cell r="AZ233">
            <v>7432918</v>
          </cell>
        </row>
        <row r="234">
          <cell r="B234">
            <v>27551</v>
          </cell>
          <cell r="C234" t="str">
            <v>PROGRAM SUPPORT BUREAU</v>
          </cell>
          <cell r="D234" t="str">
            <v>EPSDT /FFP MHSA BUDGET REQUEST</v>
          </cell>
          <cell r="G234">
            <v>23901.635429410326</v>
          </cell>
          <cell r="W234">
            <v>5209007</v>
          </cell>
          <cell r="Z234">
            <v>71000.95742598483</v>
          </cell>
          <cell r="AY234">
            <v>5298333</v>
          </cell>
          <cell r="AZ234">
            <v>10602242.592855394</v>
          </cell>
        </row>
        <row r="235">
          <cell r="B235">
            <v>27551</v>
          </cell>
          <cell r="C235" t="str">
            <v>PROGRAM SUPPORT BUREAU</v>
          </cell>
          <cell r="D235" t="str">
            <v>MENTAL HEALTH SERVICE ACT - UNALLOCATTED</v>
          </cell>
          <cell r="AD235">
            <v>630424</v>
          </cell>
          <cell r="AY235">
            <v>50994378</v>
          </cell>
          <cell r="AZ235">
            <v>51624802</v>
          </cell>
        </row>
        <row r="236">
          <cell r="D236" t="str">
            <v>Sub total:  Program Support Bureau</v>
          </cell>
          <cell r="E236">
            <v>0</v>
          </cell>
          <cell r="F236">
            <v>0</v>
          </cell>
          <cell r="G236">
            <v>539611.63542941038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60000</v>
          </cell>
          <cell r="O236">
            <v>0</v>
          </cell>
          <cell r="P236">
            <v>0</v>
          </cell>
          <cell r="Q236">
            <v>0</v>
          </cell>
          <cell r="R236">
            <v>8000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8360832</v>
          </cell>
          <cell r="X236">
            <v>0</v>
          </cell>
          <cell r="Y236">
            <v>0</v>
          </cell>
          <cell r="Z236">
            <v>675000.95742598479</v>
          </cell>
          <cell r="AA236">
            <v>0</v>
          </cell>
          <cell r="AB236">
            <v>0</v>
          </cell>
          <cell r="AC236">
            <v>0</v>
          </cell>
          <cell r="AD236">
            <v>798232.43868026615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3000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Y236">
            <v>0</v>
          </cell>
          <cell r="AZ236">
            <v>238808.43868026612</v>
          </cell>
        </row>
        <row r="238">
          <cell r="B238">
            <v>32011</v>
          </cell>
          <cell r="C238" t="str">
            <v>MENTAL HEALTH SERVIES ACT</v>
          </cell>
          <cell r="D238" t="str">
            <v>Children Full Service Partnership-FSP</v>
          </cell>
          <cell r="G238" t="e">
            <v>#REF!</v>
          </cell>
          <cell r="W238" t="e">
            <v>#REF!</v>
          </cell>
          <cell r="Z238" t="e">
            <v>#REF!</v>
          </cell>
          <cell r="AX238" t="e">
            <v>#REF!</v>
          </cell>
          <cell r="AY238" t="e">
            <v>#REF!</v>
          </cell>
          <cell r="AZ238" t="e">
            <v>#REF!</v>
          </cell>
        </row>
        <row r="239">
          <cell r="B239">
            <v>32012</v>
          </cell>
          <cell r="C239" t="str">
            <v>MENTAL HEALTH SERVIES ACT</v>
          </cell>
          <cell r="D239" t="str">
            <v>Family Support Services-FSP</v>
          </cell>
          <cell r="G239" t="e">
            <v>#REF!</v>
          </cell>
          <cell r="W239" t="e">
            <v>#REF!</v>
          </cell>
          <cell r="Z239" t="e">
            <v>#REF!</v>
          </cell>
          <cell r="AX239" t="e">
            <v>#REF!</v>
          </cell>
          <cell r="AY239" t="e">
            <v>#REF!</v>
          </cell>
          <cell r="AZ239" t="e">
            <v>#REF!</v>
          </cell>
        </row>
        <row r="240">
          <cell r="B240">
            <v>32013</v>
          </cell>
          <cell r="C240" t="str">
            <v>MENTAL HEALTH SERVIES ACT</v>
          </cell>
          <cell r="D240" t="str">
            <v>Integrated Mental Health/Co-Occurring Disorder-FSP</v>
          </cell>
          <cell r="G240" t="e">
            <v>#REF!</v>
          </cell>
          <cell r="W240" t="e">
            <v>#REF!</v>
          </cell>
          <cell r="Z240" t="e">
            <v>#REF!</v>
          </cell>
          <cell r="AX240" t="e">
            <v>#REF!</v>
          </cell>
          <cell r="AY240" t="e">
            <v>#REF!</v>
          </cell>
          <cell r="AZ240" t="e">
            <v>#REF!</v>
          </cell>
        </row>
        <row r="241">
          <cell r="B241">
            <v>32015</v>
          </cell>
          <cell r="C241" t="str">
            <v>MENTAL HEALTH SERVIES ACT</v>
          </cell>
          <cell r="D241" t="str">
            <v>Respite Care-FSP</v>
          </cell>
          <cell r="G241" t="e">
            <v>#REF!</v>
          </cell>
          <cell r="W241" t="e">
            <v>#REF!</v>
          </cell>
          <cell r="Z241" t="e">
            <v>#REF!</v>
          </cell>
          <cell r="AX241" t="e">
            <v>#REF!</v>
          </cell>
          <cell r="AY241" t="e">
            <v>#REF!</v>
          </cell>
          <cell r="AZ241" t="e">
            <v>#REF!</v>
          </cell>
        </row>
        <row r="242">
          <cell r="B242">
            <v>32014</v>
          </cell>
          <cell r="C242" t="str">
            <v>MENTAL HEALTH SERVIES ACT</v>
          </cell>
          <cell r="D242" t="str">
            <v>Integrated Mental Health/Co-Occurring Disorder-SD</v>
          </cell>
          <cell r="G242" t="e">
            <v>#REF!</v>
          </cell>
          <cell r="W242" t="e">
            <v>#REF!</v>
          </cell>
          <cell r="Z242" t="e">
            <v>#REF!</v>
          </cell>
          <cell r="AX242" t="e">
            <v>#REF!</v>
          </cell>
          <cell r="AY242" t="e">
            <v>#REF!</v>
          </cell>
          <cell r="AZ242" t="e">
            <v>#REF!</v>
          </cell>
        </row>
        <row r="243">
          <cell r="B243">
            <v>32021</v>
          </cell>
          <cell r="C243" t="str">
            <v>MENTAL HEALTH SERVIES ACT</v>
          </cell>
          <cell r="D243" t="str">
            <v>TAY Full Service Partnership-FSP</v>
          </cell>
          <cell r="G243" t="e">
            <v>#REF!</v>
          </cell>
          <cell r="W243" t="e">
            <v>#REF!</v>
          </cell>
          <cell r="Z243" t="e">
            <v>#REF!</v>
          </cell>
          <cell r="AX243" t="e">
            <v>#REF!</v>
          </cell>
          <cell r="AY243" t="e">
            <v>#REF!</v>
          </cell>
          <cell r="AZ243" t="e">
            <v>#REF!</v>
          </cell>
        </row>
        <row r="244">
          <cell r="B244">
            <v>32022</v>
          </cell>
          <cell r="C244" t="str">
            <v>MENTAL HEALTH SERVIES ACT</v>
          </cell>
          <cell r="D244" t="str">
            <v>Drop-in Center-FSP</v>
          </cell>
          <cell r="G244" t="e">
            <v>#REF!</v>
          </cell>
          <cell r="W244" t="e">
            <v>#REF!</v>
          </cell>
          <cell r="Z244" t="e">
            <v>#REF!</v>
          </cell>
          <cell r="AX244" t="e">
            <v>#REF!</v>
          </cell>
          <cell r="AY244" t="e">
            <v>#REF!</v>
          </cell>
          <cell r="AZ244" t="e">
            <v>#REF!</v>
          </cell>
        </row>
        <row r="245">
          <cell r="B245">
            <v>32024</v>
          </cell>
          <cell r="C245" t="str">
            <v>MENTAL HEALTH SERVIES ACT</v>
          </cell>
          <cell r="D245" t="str">
            <v>Transitional Aged Youth Housing Service-FSP</v>
          </cell>
          <cell r="G245" t="e">
            <v>#REF!</v>
          </cell>
          <cell r="W245" t="e">
            <v>#REF!</v>
          </cell>
          <cell r="Z245" t="e">
            <v>#REF!</v>
          </cell>
          <cell r="AX245" t="e">
            <v>#REF!</v>
          </cell>
          <cell r="AY245" t="e">
            <v>#REF!</v>
          </cell>
          <cell r="AZ245" t="e">
            <v>#REF!</v>
          </cell>
        </row>
        <row r="246">
          <cell r="B246">
            <v>32026</v>
          </cell>
          <cell r="C246" t="str">
            <v>MENTAL HEALTH SERVIES ACT</v>
          </cell>
          <cell r="D246" t="str">
            <v>Probation Camps-FSP</v>
          </cell>
          <cell r="G246" t="e">
            <v>#REF!</v>
          </cell>
          <cell r="W246" t="e">
            <v>#REF!</v>
          </cell>
          <cell r="Z246" t="e">
            <v>#REF!</v>
          </cell>
          <cell r="AX246" t="e">
            <v>#REF!</v>
          </cell>
          <cell r="AY246" t="e">
            <v>#REF!</v>
          </cell>
          <cell r="AZ246" t="e">
            <v>#REF!</v>
          </cell>
        </row>
        <row r="247">
          <cell r="B247">
            <v>32031</v>
          </cell>
          <cell r="C247" t="str">
            <v>MENTAL HEALTH SERVIES ACT</v>
          </cell>
          <cell r="D247" t="str">
            <v>Adults Full Service Partnership-FSP</v>
          </cell>
          <cell r="G247" t="e">
            <v>#REF!</v>
          </cell>
          <cell r="W247" t="e">
            <v>#REF!</v>
          </cell>
          <cell r="Z247" t="e">
            <v>#REF!</v>
          </cell>
          <cell r="AX247" t="e">
            <v>#REF!</v>
          </cell>
          <cell r="AY247" t="e">
            <v>#REF!</v>
          </cell>
          <cell r="AZ247" t="e">
            <v>#REF!</v>
          </cell>
        </row>
        <row r="248">
          <cell r="B248">
            <v>32032</v>
          </cell>
          <cell r="C248" t="str">
            <v>MENTAL HEALTH SERVIES ACT</v>
          </cell>
          <cell r="D248" t="str">
            <v>Wellness/Client Run Center-FSP</v>
          </cell>
          <cell r="G248" t="e">
            <v>#REF!</v>
          </cell>
          <cell r="W248" t="e">
            <v>#REF!</v>
          </cell>
          <cell r="Z248" t="e">
            <v>#REF!</v>
          </cell>
          <cell r="AX248" t="e">
            <v>#REF!</v>
          </cell>
          <cell r="AY248" t="e">
            <v>#REF!</v>
          </cell>
          <cell r="AZ248" t="e">
            <v>#REF!</v>
          </cell>
        </row>
        <row r="249">
          <cell r="B249">
            <v>32034</v>
          </cell>
          <cell r="C249" t="str">
            <v>MENTAL HEALTH SERVIES ACT</v>
          </cell>
          <cell r="D249" t="str">
            <v>IMD Step-Down Facilities-FSP</v>
          </cell>
          <cell r="G249" t="e">
            <v>#REF!</v>
          </cell>
          <cell r="W249" t="e">
            <v>#REF!</v>
          </cell>
          <cell r="Z249" t="e">
            <v>#REF!</v>
          </cell>
          <cell r="AX249" t="e">
            <v>#REF!</v>
          </cell>
          <cell r="AY249" t="e">
            <v>#REF!</v>
          </cell>
          <cell r="AZ249" t="e">
            <v>#REF!</v>
          </cell>
        </row>
        <row r="250">
          <cell r="B250">
            <v>32036</v>
          </cell>
          <cell r="C250" t="str">
            <v>MENTAL HEALTH SERVIES ACT</v>
          </cell>
          <cell r="D250" t="str">
            <v>Adults Housing Service-FSP</v>
          </cell>
          <cell r="G250" t="e">
            <v>#REF!</v>
          </cell>
          <cell r="W250" t="e">
            <v>#REF!</v>
          </cell>
          <cell r="Z250" t="e">
            <v>#REF!</v>
          </cell>
          <cell r="AX250" t="e">
            <v>#REF!</v>
          </cell>
          <cell r="AY250" t="e">
            <v>#REF!</v>
          </cell>
          <cell r="AZ250" t="e">
            <v>#REF!</v>
          </cell>
        </row>
        <row r="251">
          <cell r="B251">
            <v>32038</v>
          </cell>
          <cell r="C251" t="str">
            <v>MENTAL HEALTH SERVIES ACT</v>
          </cell>
          <cell r="D251" t="str">
            <v>Jail Transition &amp; Linkage Service-FSP</v>
          </cell>
          <cell r="G251" t="e">
            <v>#REF!</v>
          </cell>
          <cell r="W251" t="e">
            <v>#REF!</v>
          </cell>
          <cell r="Z251" t="e">
            <v>#REF!</v>
          </cell>
          <cell r="AX251" t="e">
            <v>#REF!</v>
          </cell>
          <cell r="AY251" t="e">
            <v>#REF!</v>
          </cell>
          <cell r="AZ251" t="e">
            <v>#REF!</v>
          </cell>
        </row>
        <row r="252">
          <cell r="B252">
            <v>32041</v>
          </cell>
          <cell r="C252" t="str">
            <v>MENTAL HEALTH SERVIES ACT</v>
          </cell>
          <cell r="D252" t="str">
            <v>Older Adults Full service Partnership-FSP</v>
          </cell>
          <cell r="G252" t="e">
            <v>#REF!</v>
          </cell>
          <cell r="W252" t="e">
            <v>#REF!</v>
          </cell>
          <cell r="Z252" t="e">
            <v>#REF!</v>
          </cell>
          <cell r="AX252" t="e">
            <v>#REF!</v>
          </cell>
          <cell r="AY252" t="e">
            <v>#REF!</v>
          </cell>
          <cell r="AZ252" t="e">
            <v>#REF!</v>
          </cell>
        </row>
        <row r="253">
          <cell r="B253">
            <v>32042</v>
          </cell>
          <cell r="C253" t="str">
            <v>MENTAL HEALTH SERVIES ACT</v>
          </cell>
          <cell r="D253" t="str">
            <v>Transformation Design Team-SD</v>
          </cell>
          <cell r="G253" t="e">
            <v>#REF!</v>
          </cell>
          <cell r="W253" t="e">
            <v>#REF!</v>
          </cell>
          <cell r="Z253" t="e">
            <v>#REF!</v>
          </cell>
          <cell r="AX253" t="e">
            <v>#REF!</v>
          </cell>
          <cell r="AY253" t="e">
            <v>#REF!</v>
          </cell>
          <cell r="AZ253" t="e">
            <v>#REF!</v>
          </cell>
        </row>
        <row r="254">
          <cell r="B254">
            <v>32043</v>
          </cell>
          <cell r="C254" t="str">
            <v>MENTAL HEALTH SERVIES ACT</v>
          </cell>
          <cell r="D254" t="str">
            <v>Field-Capable Clinical Services-FSP</v>
          </cell>
          <cell r="G254" t="e">
            <v>#REF!</v>
          </cell>
          <cell r="W254" t="e">
            <v>#REF!</v>
          </cell>
          <cell r="Z254" t="e">
            <v>#REF!</v>
          </cell>
          <cell r="AX254" t="e">
            <v>#REF!</v>
          </cell>
          <cell r="AY254" t="e">
            <v>#REF!</v>
          </cell>
          <cell r="AZ254" t="e">
            <v>#REF!</v>
          </cell>
        </row>
        <row r="255">
          <cell r="B255">
            <v>32045</v>
          </cell>
          <cell r="C255" t="str">
            <v>MENTAL HEALTH SERVIES ACT</v>
          </cell>
          <cell r="D255" t="str">
            <v>Service Extenders-FSP</v>
          </cell>
          <cell r="G255" t="e">
            <v>#REF!</v>
          </cell>
          <cell r="W255" t="e">
            <v>#REF!</v>
          </cell>
          <cell r="Z255" t="e">
            <v>#REF!</v>
          </cell>
          <cell r="AX255" t="e">
            <v>#REF!</v>
          </cell>
          <cell r="AY255" t="e">
            <v>#REF!</v>
          </cell>
          <cell r="AZ255" t="e">
            <v>#REF!</v>
          </cell>
        </row>
        <row r="256">
          <cell r="B256">
            <v>32047</v>
          </cell>
          <cell r="C256" t="str">
            <v>MENTAL HEALTH SERVIES ACT</v>
          </cell>
          <cell r="D256" t="str">
            <v>Training-FSP</v>
          </cell>
          <cell r="G256" t="e">
            <v>#REF!</v>
          </cell>
          <cell r="W256" t="e">
            <v>#REF!</v>
          </cell>
          <cell r="Z256" t="e">
            <v>#REF!</v>
          </cell>
          <cell r="AX256" t="e">
            <v>#REF!</v>
          </cell>
          <cell r="AY256" t="e">
            <v>#REF!</v>
          </cell>
          <cell r="AZ256" t="e">
            <v>#REF!</v>
          </cell>
        </row>
        <row r="257">
          <cell r="B257">
            <v>32051</v>
          </cell>
          <cell r="C257" t="str">
            <v>MENTAL HEALTH SERVIES ACT</v>
          </cell>
          <cell r="D257" t="str">
            <v>Service Area Navigator Teams-SD</v>
          </cell>
          <cell r="G257" t="e">
            <v>#REF!</v>
          </cell>
          <cell r="W257" t="e">
            <v>#REF!</v>
          </cell>
          <cell r="Z257" t="e">
            <v>#REF!</v>
          </cell>
          <cell r="AX257" t="e">
            <v>#REF!</v>
          </cell>
          <cell r="AY257" t="e">
            <v>#REF!</v>
          </cell>
          <cell r="AZ257" t="e">
            <v>#REF!</v>
          </cell>
        </row>
        <row r="258">
          <cell r="B258">
            <v>32078</v>
          </cell>
          <cell r="C258" t="str">
            <v>MENTAL HEALTH SERVIES ACT</v>
          </cell>
          <cell r="D258" t="str">
            <v>Alternative Crisis Services-UCC/Olive View-FSP</v>
          </cell>
          <cell r="G258" t="e">
            <v>#REF!</v>
          </cell>
          <cell r="W258" t="e">
            <v>#REF!</v>
          </cell>
          <cell r="Z258" t="e">
            <v>#REF!</v>
          </cell>
          <cell r="AX258" t="e">
            <v>#REF!</v>
          </cell>
          <cell r="AY258" t="e">
            <v>#REF!</v>
          </cell>
          <cell r="AZ258" t="e">
            <v>#REF!</v>
          </cell>
        </row>
        <row r="259">
          <cell r="B259">
            <v>32079</v>
          </cell>
          <cell r="C259" t="str">
            <v>MENTAL HEALTH SERVIES ACT</v>
          </cell>
          <cell r="D259" t="str">
            <v>Alternative Crisis Services-UCC/AFH-FSP</v>
          </cell>
          <cell r="G259" t="e">
            <v>#REF!</v>
          </cell>
          <cell r="W259" t="e">
            <v>#REF!</v>
          </cell>
          <cell r="Z259" t="e">
            <v>#REF!</v>
          </cell>
          <cell r="AX259" t="e">
            <v>#REF!</v>
          </cell>
          <cell r="AY259" t="e">
            <v>#REF!</v>
          </cell>
          <cell r="AZ259" t="e">
            <v>#REF!</v>
          </cell>
        </row>
        <row r="260">
          <cell r="B260">
            <v>32054</v>
          </cell>
          <cell r="C260" t="str">
            <v>MENTAL HEALTH SERVIES ACT</v>
          </cell>
          <cell r="D260" t="str">
            <v>Planning, Outreach, Engagement-O&amp;E</v>
          </cell>
          <cell r="G260" t="e">
            <v>#REF!</v>
          </cell>
          <cell r="W260" t="e">
            <v>#REF!</v>
          </cell>
          <cell r="Z260" t="e">
            <v>#REF!</v>
          </cell>
          <cell r="AX260" t="e">
            <v>#REF!</v>
          </cell>
          <cell r="AY260" t="e">
            <v>#REF!</v>
          </cell>
          <cell r="AZ260" t="e">
            <v>#REF!</v>
          </cell>
        </row>
        <row r="261">
          <cell r="B261">
            <v>32055</v>
          </cell>
          <cell r="C261" t="str">
            <v>MENTAL HEALTH SERVIES ACT</v>
          </cell>
          <cell r="D261" t="str">
            <v>Administration-FSP</v>
          </cell>
          <cell r="G261" t="e">
            <v>#REF!</v>
          </cell>
          <cell r="W261" t="e">
            <v>#REF!</v>
          </cell>
          <cell r="Z261" t="e">
            <v>#REF!</v>
          </cell>
          <cell r="AD261">
            <v>630424</v>
          </cell>
          <cell r="AX261" t="e">
            <v>#REF!</v>
          </cell>
          <cell r="AY261" t="e">
            <v>#REF!</v>
          </cell>
          <cell r="AZ261" t="e">
            <v>#REF!</v>
          </cell>
        </row>
        <row r="262">
          <cell r="B262">
            <v>32080</v>
          </cell>
          <cell r="C262" t="str">
            <v>MENTAL HEALTH SERVIES ACT</v>
          </cell>
          <cell r="D262" t="str">
            <v>Alternative Crisis Services-UCC/Westside-FSP</v>
          </cell>
          <cell r="G262" t="e">
            <v>#REF!</v>
          </cell>
          <cell r="W262" t="e">
            <v>#REF!</v>
          </cell>
          <cell r="Z262" t="e">
            <v>#REF!</v>
          </cell>
          <cell r="AX262" t="e">
            <v>#REF!</v>
          </cell>
          <cell r="AY262" t="e">
            <v>#REF!</v>
          </cell>
          <cell r="AZ262" t="e">
            <v>#REF!</v>
          </cell>
        </row>
        <row r="263">
          <cell r="B263">
            <v>32081</v>
          </cell>
          <cell r="C263" t="str">
            <v>MENTAL HEALTH SERVIES ACT</v>
          </cell>
          <cell r="D263" t="str">
            <v>Alternative Crisis Services-CW Resource Management-FSP</v>
          </cell>
          <cell r="G263" t="e">
            <v>#REF!</v>
          </cell>
          <cell r="W263" t="e">
            <v>#REF!</v>
          </cell>
          <cell r="Z263" t="e">
            <v>#REF!</v>
          </cell>
          <cell r="AX263" t="e">
            <v>#REF!</v>
          </cell>
          <cell r="AY263" t="e">
            <v>#REF!</v>
          </cell>
          <cell r="AZ263" t="e">
            <v>#REF!</v>
          </cell>
        </row>
        <row r="264">
          <cell r="B264">
            <v>32082</v>
          </cell>
          <cell r="C264" t="str">
            <v>MENTAL HEALTH SERVIES ACT</v>
          </cell>
          <cell r="D264" t="str">
            <v>Alternative Crisis Services- Residential &amp; Bridging-FSP</v>
          </cell>
          <cell r="G264" t="e">
            <v>#REF!</v>
          </cell>
          <cell r="W264" t="e">
            <v>#REF!</v>
          </cell>
          <cell r="Z264" t="e">
            <v>#REF!</v>
          </cell>
          <cell r="AX264" t="e">
            <v>#REF!</v>
          </cell>
          <cell r="AY264" t="e">
            <v>#REF!</v>
          </cell>
          <cell r="AZ264" t="e">
            <v>#REF!</v>
          </cell>
        </row>
        <row r="265">
          <cell r="B265">
            <v>32083</v>
          </cell>
          <cell r="C265" t="str">
            <v>MENTAL HEALTH SERVIES ACT</v>
          </cell>
          <cell r="D265" t="str">
            <v>Alternative Crisis Services-Enriched Services-FSP</v>
          </cell>
          <cell r="G265" t="e">
            <v>#REF!</v>
          </cell>
          <cell r="W265" t="e">
            <v>#REF!</v>
          </cell>
          <cell r="Z265" t="e">
            <v>#REF!</v>
          </cell>
          <cell r="AX265" t="e">
            <v>#REF!</v>
          </cell>
          <cell r="AY265" t="e">
            <v>#REF!</v>
          </cell>
          <cell r="AZ265" t="e">
            <v>#REF!</v>
          </cell>
        </row>
        <row r="266">
          <cell r="B266">
            <v>32061</v>
          </cell>
          <cell r="C266" t="str">
            <v>MENTAL HEALTH SERVIES ACT</v>
          </cell>
          <cell r="D266" t="str">
            <v>Housing Trust Fund-FSP</v>
          </cell>
          <cell r="Z266" t="e">
            <v>#REF!</v>
          </cell>
          <cell r="AX266" t="e">
            <v>#REF!</v>
          </cell>
          <cell r="AY266" t="e">
            <v>#REF!</v>
          </cell>
          <cell r="AZ266" t="e">
            <v>#REF!</v>
          </cell>
        </row>
        <row r="267">
          <cell r="B267">
            <v>32084</v>
          </cell>
          <cell r="C267" t="str">
            <v>MENTAL HEALTH SERVIES ACT</v>
          </cell>
          <cell r="D267" t="str">
            <v>Infrastructure-Intergrated Behavioral Health Information System Project</v>
          </cell>
          <cell r="Z267" t="e">
            <v>#REF!</v>
          </cell>
          <cell r="AX267" t="e">
            <v>#REF!</v>
          </cell>
          <cell r="AY267" t="e">
            <v>#REF!</v>
          </cell>
          <cell r="AZ267" t="e">
            <v>#REF!</v>
          </cell>
        </row>
        <row r="268">
          <cell r="B268">
            <v>32065</v>
          </cell>
          <cell r="C268" t="str">
            <v>MENTAL HEALTH SERVIES ACT</v>
          </cell>
          <cell r="D268" t="str">
            <v>Outreach &amp; Engagement-FSP</v>
          </cell>
          <cell r="AY268">
            <v>0</v>
          </cell>
          <cell r="AZ268">
            <v>0</v>
          </cell>
        </row>
        <row r="269">
          <cell r="B269">
            <v>32067</v>
          </cell>
          <cell r="C269" t="str">
            <v>MENTAL HEALTH SERVIES ACT</v>
          </cell>
          <cell r="D269" t="str">
            <v>Planning &amp; Outcomes-FSP</v>
          </cell>
          <cell r="AY269">
            <v>298118</v>
          </cell>
          <cell r="AZ269">
            <v>298118</v>
          </cell>
        </row>
        <row r="270">
          <cell r="B270">
            <v>32069</v>
          </cell>
          <cell r="C270" t="str">
            <v>MENTAL HEALTH SERVIES ACT</v>
          </cell>
          <cell r="D270" t="str">
            <v>Infrastructure-FSP</v>
          </cell>
          <cell r="AY270">
            <v>0</v>
          </cell>
          <cell r="AZ270">
            <v>0</v>
          </cell>
        </row>
        <row r="271">
          <cell r="B271">
            <v>32073</v>
          </cell>
          <cell r="C271" t="str">
            <v>MENTAL HEALTH SERVIES ACT</v>
          </cell>
          <cell r="D271" t="str">
            <v>Start Up Costs (Staff &amp; AB 2034)</v>
          </cell>
          <cell r="AY271">
            <v>0</v>
          </cell>
          <cell r="AZ271">
            <v>0</v>
          </cell>
        </row>
        <row r="272">
          <cell r="B272">
            <v>32074</v>
          </cell>
          <cell r="C272" t="str">
            <v>MENTAL HEALTH SERVIES ACT</v>
          </cell>
          <cell r="D272" t="str">
            <v>Directly Operated Clinics</v>
          </cell>
          <cell r="AY272">
            <v>0</v>
          </cell>
          <cell r="AZ272">
            <v>0</v>
          </cell>
        </row>
        <row r="273">
          <cell r="B273">
            <v>32075</v>
          </cell>
          <cell r="C273" t="str">
            <v>MENTAL HEALTH SERVIES ACT</v>
          </cell>
          <cell r="D273" t="str">
            <v>Provider Clinics Infrastructure</v>
          </cell>
          <cell r="AY273">
            <v>0</v>
          </cell>
          <cell r="AZ273">
            <v>0</v>
          </cell>
        </row>
        <row r="274">
          <cell r="B274">
            <v>32076</v>
          </cell>
          <cell r="C274" t="str">
            <v>MENTAL HEALTH SERVIES ACT</v>
          </cell>
          <cell r="D274" t="str">
            <v>Skid Row  Wellness Center</v>
          </cell>
          <cell r="AY274">
            <v>0</v>
          </cell>
          <cell r="AZ274">
            <v>0</v>
          </cell>
        </row>
        <row r="275">
          <cell r="B275">
            <v>32077</v>
          </cell>
          <cell r="C275" t="str">
            <v>MENTAL HEALTH SERVIES ACT</v>
          </cell>
          <cell r="D275" t="str">
            <v>Urgent Care Centers</v>
          </cell>
          <cell r="AY275">
            <v>0</v>
          </cell>
          <cell r="AZ275">
            <v>0</v>
          </cell>
        </row>
        <row r="276">
          <cell r="D276" t="str">
            <v>Sub total:  MHSA</v>
          </cell>
          <cell r="E276">
            <v>0</v>
          </cell>
          <cell r="F276">
            <v>0</v>
          </cell>
          <cell r="G276" t="e">
            <v>#REF!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e">
            <v>#REF!</v>
          </cell>
          <cell r="X276">
            <v>0</v>
          </cell>
          <cell r="Y276">
            <v>0</v>
          </cell>
          <cell r="Z276" t="e">
            <v>#REF!</v>
          </cell>
          <cell r="AA276">
            <v>0</v>
          </cell>
          <cell r="AB276">
            <v>0</v>
          </cell>
          <cell r="AC276">
            <v>0</v>
          </cell>
          <cell r="AD276">
            <v>630424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Y276" t="e">
            <v>#REF!</v>
          </cell>
          <cell r="AZ276" t="e">
            <v>#REF!</v>
          </cell>
        </row>
        <row r="280">
          <cell r="B280">
            <v>18598</v>
          </cell>
          <cell r="C280" t="str">
            <v>SA 6 &amp; 8</v>
          </cell>
          <cell r="D280" t="str">
            <v>CASE MANAGEMENT - FFS</v>
          </cell>
          <cell r="E280">
            <v>0</v>
          </cell>
          <cell r="K280">
            <v>0</v>
          </cell>
          <cell r="L280">
            <v>0</v>
          </cell>
          <cell r="N280">
            <v>0</v>
          </cell>
          <cell r="Q280">
            <v>0</v>
          </cell>
          <cell r="R280">
            <v>0</v>
          </cell>
          <cell r="S280">
            <v>0</v>
          </cell>
          <cell r="X280">
            <v>0</v>
          </cell>
          <cell r="Y280">
            <v>0</v>
          </cell>
          <cell r="AC280">
            <v>0</v>
          </cell>
          <cell r="AG280">
            <v>0</v>
          </cell>
          <cell r="AL280">
            <v>0</v>
          </cell>
          <cell r="AW280">
            <v>0</v>
          </cell>
          <cell r="AY280">
            <v>0</v>
          </cell>
          <cell r="AZ280">
            <v>0</v>
          </cell>
        </row>
        <row r="281">
          <cell r="B281">
            <v>18634</v>
          </cell>
          <cell r="C281" t="str">
            <v>SA 6 &amp; 8</v>
          </cell>
          <cell r="D281" t="str">
            <v>AUGUSTUS F. HAWKINS (LATINO MHC)</v>
          </cell>
          <cell r="G281">
            <v>0</v>
          </cell>
          <cell r="K281">
            <v>0</v>
          </cell>
          <cell r="L281">
            <v>0</v>
          </cell>
          <cell r="N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C281">
            <v>0</v>
          </cell>
          <cell r="AD281">
            <v>0</v>
          </cell>
          <cell r="AG281">
            <v>0</v>
          </cell>
          <cell r="AL281">
            <v>7288.3454963746271</v>
          </cell>
          <cell r="AT281">
            <v>789.63112062648293</v>
          </cell>
          <cell r="AW281">
            <v>0</v>
          </cell>
          <cell r="AY281">
            <v>0</v>
          </cell>
          <cell r="AZ281">
            <v>8077.9766170011098</v>
          </cell>
        </row>
        <row r="282">
          <cell r="B282">
            <v>18700</v>
          </cell>
          <cell r="C282" t="str">
            <v>SA 6 &amp; 8</v>
          </cell>
          <cell r="D282" t="str">
            <v>JAIL - INMATE RECEPTION CENTER</v>
          </cell>
          <cell r="N282">
            <v>0</v>
          </cell>
          <cell r="AC282">
            <v>0</v>
          </cell>
          <cell r="AZ282">
            <v>0</v>
          </cell>
        </row>
        <row r="283">
          <cell r="B283">
            <v>20459</v>
          </cell>
          <cell r="C283" t="str">
            <v>SA 6 &amp; 8</v>
          </cell>
          <cell r="D283" t="str">
            <v>COASTAL ASIAN PACIFIC MHS</v>
          </cell>
          <cell r="G283">
            <v>133409.90625173916</v>
          </cell>
          <cell r="K283">
            <v>0</v>
          </cell>
          <cell r="L283">
            <v>0</v>
          </cell>
          <cell r="N283">
            <v>311236.594804594</v>
          </cell>
          <cell r="Q283">
            <v>0</v>
          </cell>
          <cell r="R283">
            <v>0</v>
          </cell>
          <cell r="S283">
            <v>0</v>
          </cell>
          <cell r="T283">
            <v>41524.16740308622</v>
          </cell>
          <cell r="W283">
            <v>1281338.9018093017</v>
          </cell>
          <cell r="X283">
            <v>0</v>
          </cell>
          <cell r="Y283">
            <v>0</v>
          </cell>
          <cell r="Z283">
            <v>157862.17051349056</v>
          </cell>
          <cell r="AA283">
            <v>153198</v>
          </cell>
          <cell r="AC283">
            <v>916.510022992019</v>
          </cell>
          <cell r="AD283">
            <v>29551.955159752444</v>
          </cell>
          <cell r="AG283">
            <v>0</v>
          </cell>
          <cell r="AL283">
            <v>16692.464593179047</v>
          </cell>
          <cell r="AO283">
            <v>202.02855220051873</v>
          </cell>
          <cell r="AT283">
            <v>1948.0462209614248</v>
          </cell>
          <cell r="AW283">
            <v>0</v>
          </cell>
          <cell r="AY283">
            <v>0</v>
          </cell>
          <cell r="AZ283">
            <v>2127880.7453312972</v>
          </cell>
        </row>
        <row r="284">
          <cell r="B284">
            <v>20464</v>
          </cell>
          <cell r="C284" t="str">
            <v>SA 6 &amp; 8</v>
          </cell>
          <cell r="D284" t="str">
            <v>SAN PEDRO MENTAL HEALTH SRVCS</v>
          </cell>
          <cell r="G284">
            <v>14798.799333815916</v>
          </cell>
          <cell r="N284">
            <v>349335.29948555649</v>
          </cell>
          <cell r="T284">
            <v>0</v>
          </cell>
          <cell r="W284">
            <v>1551485.7971213548</v>
          </cell>
          <cell r="Z284">
            <v>17511.222737999062</v>
          </cell>
          <cell r="AA284">
            <v>156128</v>
          </cell>
          <cell r="AC284">
            <v>64109.658733286567</v>
          </cell>
          <cell r="AD284">
            <v>62516.448682314061</v>
          </cell>
          <cell r="AL284">
            <v>20157.221831877592</v>
          </cell>
          <cell r="AO284">
            <v>145.21523719955854</v>
          </cell>
          <cell r="AT284">
            <v>6587.1235986120128</v>
          </cell>
          <cell r="AZ284">
            <v>2242774.7867620164</v>
          </cell>
        </row>
        <row r="285">
          <cell r="B285">
            <v>20465</v>
          </cell>
          <cell r="C285" t="str">
            <v>SA 6 &amp; 8</v>
          </cell>
          <cell r="D285" t="str">
            <v>COMPTON MENTAL HEALTH CENTER</v>
          </cell>
          <cell r="G285">
            <v>6216.8535639948368</v>
          </cell>
          <cell r="N285">
            <v>564212.76057631895</v>
          </cell>
          <cell r="T285">
            <v>0</v>
          </cell>
          <cell r="W285">
            <v>904783.92688967276</v>
          </cell>
          <cell r="Z285">
            <v>7356.3202684880116</v>
          </cell>
          <cell r="AA285">
            <v>90597</v>
          </cell>
          <cell r="AC285">
            <v>3122.3099219822689</v>
          </cell>
          <cell r="AD285">
            <v>40613.826975560609</v>
          </cell>
          <cell r="AT285">
            <v>6792.7803218085346</v>
          </cell>
          <cell r="AZ285">
            <v>1623695.7785178258</v>
          </cell>
        </row>
        <row r="286">
          <cell r="B286">
            <v>20494</v>
          </cell>
          <cell r="C286" t="str">
            <v>SA 6 &amp; 8</v>
          </cell>
          <cell r="D286" t="str">
            <v>COASTAL ASIAN PACIFIC MH - C &amp; Y</v>
          </cell>
          <cell r="N286">
            <v>22111.393841514775</v>
          </cell>
          <cell r="AZ286">
            <v>22111.393841514775</v>
          </cell>
        </row>
        <row r="287">
          <cell r="B287">
            <v>20564</v>
          </cell>
          <cell r="C287" t="str">
            <v>SA 6 &amp; 8</v>
          </cell>
          <cell r="D287" t="str">
            <v>DMH AT HARBOR-UCLA MEDICAL CTR</v>
          </cell>
          <cell r="G287">
            <v>555808.39199655107</v>
          </cell>
          <cell r="N287">
            <v>0</v>
          </cell>
          <cell r="T287">
            <v>58961.948855445306</v>
          </cell>
          <cell r="W287">
            <v>3119745.2098758151</v>
          </cell>
          <cell r="Z287">
            <v>657680.68965301965</v>
          </cell>
          <cell r="AA287">
            <v>414794</v>
          </cell>
          <cell r="AC287">
            <v>10556.979888822048</v>
          </cell>
          <cell r="AD287">
            <v>49746.657521482928</v>
          </cell>
          <cell r="AG287">
            <v>57308</v>
          </cell>
          <cell r="AL287">
            <v>54978.92135777988</v>
          </cell>
          <cell r="AO287">
            <v>785.41485790125944</v>
          </cell>
          <cell r="AT287">
            <v>2988.5145877296927</v>
          </cell>
          <cell r="AZ287">
            <v>4983354.7285945462</v>
          </cell>
        </row>
        <row r="288">
          <cell r="B288">
            <v>20570</v>
          </cell>
          <cell r="C288" t="str">
            <v>SA 6 &amp; 8</v>
          </cell>
          <cell r="D288" t="str">
            <v>COUNTYWIDE CHILDREN'S CASE MNGM</v>
          </cell>
          <cell r="N288">
            <v>0</v>
          </cell>
          <cell r="AC288">
            <v>0</v>
          </cell>
          <cell r="AZ288">
            <v>0</v>
          </cell>
        </row>
        <row r="289">
          <cell r="B289">
            <v>20590</v>
          </cell>
          <cell r="C289" t="str">
            <v>SA 6 &amp; 8</v>
          </cell>
          <cell r="D289" t="str">
            <v>HOMELESS DIVISION (PATH)</v>
          </cell>
          <cell r="N289">
            <v>0</v>
          </cell>
          <cell r="R289">
            <v>668443</v>
          </cell>
          <cell r="AC289">
            <v>0</v>
          </cell>
          <cell r="AZ289">
            <v>668443</v>
          </cell>
        </row>
        <row r="290">
          <cell r="B290">
            <v>20657</v>
          </cell>
          <cell r="C290" t="str">
            <v>SA 6 &amp; 8</v>
          </cell>
          <cell r="D290" t="str">
            <v>AUGUSTUS F. HAWKINS COMP MHC</v>
          </cell>
          <cell r="G290">
            <v>22071.20154286419</v>
          </cell>
          <cell r="N290">
            <v>110904.49604684519</v>
          </cell>
          <cell r="T290">
            <v>0</v>
          </cell>
          <cell r="W290">
            <v>990877.36810300325</v>
          </cell>
          <cell r="Z290">
            <v>26116.559701516326</v>
          </cell>
          <cell r="AA290">
            <v>102081</v>
          </cell>
          <cell r="AC290">
            <v>0.5</v>
          </cell>
          <cell r="AD290">
            <v>4313.5276984444754</v>
          </cell>
          <cell r="AT290">
            <v>463.13079909316741</v>
          </cell>
          <cell r="AZ290">
            <v>1256827.7838917666</v>
          </cell>
        </row>
        <row r="291">
          <cell r="B291">
            <v>20658</v>
          </cell>
          <cell r="C291" t="str">
            <v>SA 6 &amp; 8</v>
          </cell>
          <cell r="D291" t="str">
            <v>AFH HOMELESS OUTREACH CCU</v>
          </cell>
          <cell r="G291">
            <v>472648.71312379785</v>
          </cell>
          <cell r="K291">
            <v>0</v>
          </cell>
          <cell r="L291">
            <v>0</v>
          </cell>
          <cell r="N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49350.916424765252</v>
          </cell>
          <cell r="W291">
            <v>1929405.3930876497</v>
          </cell>
          <cell r="X291">
            <v>0</v>
          </cell>
          <cell r="Y291">
            <v>0</v>
          </cell>
          <cell r="Z291">
            <v>559278.94592278951</v>
          </cell>
          <cell r="AA291">
            <v>281185</v>
          </cell>
          <cell r="AC291">
            <v>4949.7698193619581</v>
          </cell>
          <cell r="AD291">
            <v>9202.9624997034589</v>
          </cell>
          <cell r="AG291">
            <v>0</v>
          </cell>
          <cell r="AL291">
            <v>4151.7624911095872</v>
          </cell>
          <cell r="AT291">
            <v>6177.5101363029453</v>
          </cell>
          <cell r="AW291">
            <v>0</v>
          </cell>
          <cell r="AY291">
            <v>0</v>
          </cell>
          <cell r="AZ291">
            <v>3316350.9735054807</v>
          </cell>
        </row>
        <row r="292">
          <cell r="B292">
            <v>20670</v>
          </cell>
          <cell r="C292" t="str">
            <v>SA 6 &amp; 8</v>
          </cell>
          <cell r="D292" t="str">
            <v>JAIL MH SERVICES ADMINISTRATION</v>
          </cell>
          <cell r="N292">
            <v>0</v>
          </cell>
          <cell r="AC292">
            <v>0</v>
          </cell>
          <cell r="AZ292">
            <v>0</v>
          </cell>
        </row>
        <row r="293">
          <cell r="B293">
            <v>20672</v>
          </cell>
          <cell r="C293" t="str">
            <v>SA 6 &amp; 8</v>
          </cell>
          <cell r="D293" t="str">
            <v>FORENSIC OUTPATIENT PROGRAM</v>
          </cell>
          <cell r="G293">
            <v>0</v>
          </cell>
          <cell r="N293">
            <v>0</v>
          </cell>
          <cell r="T293">
            <v>0</v>
          </cell>
          <cell r="W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Z293">
            <v>0</v>
          </cell>
        </row>
        <row r="294">
          <cell r="B294">
            <v>20673</v>
          </cell>
          <cell r="C294" t="str">
            <v>SA 6 &amp; 8</v>
          </cell>
          <cell r="D294" t="str">
            <v>FORENSIC JAIL INPATIENT PROGRAM</v>
          </cell>
          <cell r="G294">
            <v>0</v>
          </cell>
          <cell r="N294">
            <v>0</v>
          </cell>
          <cell r="T294">
            <v>0</v>
          </cell>
          <cell r="W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Z294">
            <v>0</v>
          </cell>
        </row>
        <row r="295">
          <cell r="B295">
            <v>20676</v>
          </cell>
          <cell r="C295" t="str">
            <v>SA 6 &amp; 8</v>
          </cell>
          <cell r="D295" t="str">
            <v>FORENSIC OUTPATIENT PROGRAM - SYBIL BRAND</v>
          </cell>
          <cell r="N295">
            <v>0</v>
          </cell>
          <cell r="AC295">
            <v>0</v>
          </cell>
          <cell r="AZ295">
            <v>0</v>
          </cell>
        </row>
        <row r="296">
          <cell r="B296">
            <v>20944</v>
          </cell>
          <cell r="C296" t="str">
            <v>SA 6 &amp; 8</v>
          </cell>
          <cell r="D296" t="str">
            <v>ADULT SYSTEM OF CARE - ADMIN</v>
          </cell>
          <cell r="G296">
            <v>0</v>
          </cell>
          <cell r="N296">
            <v>0</v>
          </cell>
          <cell r="T296">
            <v>0</v>
          </cell>
          <cell r="W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9631.1799586729849</v>
          </cell>
          <cell r="AZ296">
            <v>9631.1799586729849</v>
          </cell>
        </row>
        <row r="297">
          <cell r="B297">
            <v>21534</v>
          </cell>
          <cell r="C297" t="str">
            <v>SA 6 &amp; 8</v>
          </cell>
          <cell r="D297" t="str">
            <v>JUSTICE PROGRAM ADMINISTRATION</v>
          </cell>
          <cell r="N297">
            <v>0</v>
          </cell>
          <cell r="AC297">
            <v>0</v>
          </cell>
          <cell r="AZ297">
            <v>0</v>
          </cell>
        </row>
        <row r="298">
          <cell r="B298">
            <v>21544</v>
          </cell>
          <cell r="C298" t="str">
            <v>SA 6 &amp; 8</v>
          </cell>
          <cell r="D298" t="str">
            <v>CROMIO</v>
          </cell>
          <cell r="N298">
            <v>0</v>
          </cell>
          <cell r="AC298">
            <v>0</v>
          </cell>
          <cell r="AZ298">
            <v>0</v>
          </cell>
        </row>
        <row r="299">
          <cell r="B299">
            <v>21557</v>
          </cell>
          <cell r="C299" t="str">
            <v>SA 6 &amp; 8</v>
          </cell>
          <cell r="D299" t="str">
            <v>AB 2034 PROGRAM</v>
          </cell>
          <cell r="K299">
            <v>1788369</v>
          </cell>
          <cell r="N299">
            <v>0</v>
          </cell>
          <cell r="AC299">
            <v>0</v>
          </cell>
          <cell r="AZ299">
            <v>1788369</v>
          </cell>
        </row>
        <row r="300">
          <cell r="B300">
            <v>21560</v>
          </cell>
          <cell r="C300" t="str">
            <v>SA 6 &amp; 8</v>
          </cell>
          <cell r="D300" t="str">
            <v>SAMHSA</v>
          </cell>
          <cell r="N300">
            <v>0</v>
          </cell>
          <cell r="O300" t="str">
            <v xml:space="preserve"> </v>
          </cell>
          <cell r="P300" t="str">
            <v xml:space="preserve"> </v>
          </cell>
          <cell r="AC300">
            <v>0</v>
          </cell>
          <cell r="AZ300">
            <v>0</v>
          </cell>
        </row>
        <row r="301">
          <cell r="B301">
            <v>21561</v>
          </cell>
          <cell r="C301" t="str">
            <v>SA 6 &amp; 8</v>
          </cell>
          <cell r="D301" t="str">
            <v>COMPTON CHILD &amp; FAM SRVCS CTR</v>
          </cell>
          <cell r="G301">
            <v>342300.59894789674</v>
          </cell>
          <cell r="N301">
            <v>378818.52138407598</v>
          </cell>
          <cell r="T301">
            <v>79836.786529166435</v>
          </cell>
          <cell r="W301">
            <v>235.27857983946117</v>
          </cell>
          <cell r="Z301">
            <v>405039.75331500825</v>
          </cell>
          <cell r="AA301">
            <v>67163</v>
          </cell>
          <cell r="AC301">
            <v>81.816098173230657</v>
          </cell>
          <cell r="AD301">
            <v>41525.542374715376</v>
          </cell>
          <cell r="AL301">
            <v>333.98681201812707</v>
          </cell>
          <cell r="AT301">
            <v>391.91984418101464</v>
          </cell>
          <cell r="AZ301">
            <v>1315727.2038850745</v>
          </cell>
        </row>
        <row r="302">
          <cell r="B302">
            <v>23003</v>
          </cell>
          <cell r="C302" t="str">
            <v>SA 6 &amp; 8</v>
          </cell>
          <cell r="D302" t="str">
            <v>SOUTH BAY MHS</v>
          </cell>
          <cell r="G302">
            <v>19404.315239309071</v>
          </cell>
          <cell r="N302">
            <v>491889.16609177005</v>
          </cell>
          <cell r="T302">
            <v>0</v>
          </cell>
          <cell r="W302">
            <v>1720454.8103928478</v>
          </cell>
          <cell r="Z302">
            <v>22960.868552183685</v>
          </cell>
          <cell r="AA302">
            <v>173693</v>
          </cell>
          <cell r="AC302">
            <v>33562.043862946994</v>
          </cell>
          <cell r="AD302">
            <v>120263.09942570166</v>
          </cell>
          <cell r="AL302">
            <v>20315.410044585198</v>
          </cell>
          <cell r="AT302">
            <v>9033.6120448216716</v>
          </cell>
          <cell r="AZ302">
            <v>2611576.3256541658</v>
          </cell>
        </row>
        <row r="303">
          <cell r="B303">
            <v>23005</v>
          </cell>
          <cell r="C303" t="str">
            <v>SA 6 &amp; 8</v>
          </cell>
          <cell r="D303" t="str">
            <v>LONG BEACH ASIAN MHS</v>
          </cell>
          <cell r="G303">
            <v>92608.778724583695</v>
          </cell>
          <cell r="K303">
            <v>0</v>
          </cell>
          <cell r="L303">
            <v>0</v>
          </cell>
          <cell r="N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9933.703498200739</v>
          </cell>
          <cell r="W303">
            <v>2372254.7882634974</v>
          </cell>
          <cell r="X303">
            <v>0</v>
          </cell>
          <cell r="Y303">
            <v>0</v>
          </cell>
          <cell r="Z303">
            <v>109582.7381100177</v>
          </cell>
          <cell r="AA303">
            <v>252216</v>
          </cell>
          <cell r="AC303">
            <v>0.5</v>
          </cell>
          <cell r="AD303">
            <v>6794.5486986783199</v>
          </cell>
          <cell r="AG303">
            <v>0</v>
          </cell>
          <cell r="AL303">
            <v>5056.9608839242364</v>
          </cell>
          <cell r="AO303">
            <v>196.37175273890418</v>
          </cell>
          <cell r="AT303">
            <v>5182.6013429851519</v>
          </cell>
          <cell r="AW303">
            <v>0</v>
          </cell>
          <cell r="AY303">
            <v>0</v>
          </cell>
          <cell r="AZ303">
            <v>2853826.9912746255</v>
          </cell>
        </row>
        <row r="304">
          <cell r="B304">
            <v>23007</v>
          </cell>
          <cell r="C304" t="str">
            <v>SA 6 &amp; 8</v>
          </cell>
          <cell r="D304" t="str">
            <v>LONG BEACH MHS ADULT CLINIC</v>
          </cell>
          <cell r="G304">
            <v>30679.410650485504</v>
          </cell>
          <cell r="N304">
            <v>831783.72035133874</v>
          </cell>
          <cell r="T304">
            <v>0</v>
          </cell>
          <cell r="W304">
            <v>2356607.7412087298</v>
          </cell>
          <cell r="Z304">
            <v>36302.539229894741</v>
          </cell>
          <cell r="AA304">
            <v>238687</v>
          </cell>
          <cell r="AC304">
            <v>26670.93697065059</v>
          </cell>
          <cell r="AD304">
            <v>34238.419835950728</v>
          </cell>
          <cell r="AG304">
            <v>61762</v>
          </cell>
          <cell r="AL304">
            <v>43195.523429918685</v>
          </cell>
          <cell r="AO304">
            <v>8.6150746902649775</v>
          </cell>
          <cell r="AT304">
            <v>16101.169523770752</v>
          </cell>
          <cell r="AZ304">
            <v>3676037.0762754297</v>
          </cell>
        </row>
        <row r="305">
          <cell r="B305">
            <v>23010</v>
          </cell>
          <cell r="C305" t="str">
            <v>SA 6 &amp; 8</v>
          </cell>
          <cell r="D305" t="str">
            <v>WEST CENTRAL FAMILY MHS</v>
          </cell>
          <cell r="G305">
            <v>8997.9559271337748</v>
          </cell>
          <cell r="N305">
            <v>679290.03828692669</v>
          </cell>
          <cell r="T305">
            <v>0</v>
          </cell>
          <cell r="W305">
            <v>1182293.0832973679</v>
          </cell>
          <cell r="Z305">
            <v>10647.161764447665</v>
          </cell>
          <cell r="AA305">
            <v>118548</v>
          </cell>
          <cell r="AC305">
            <v>33377.981916532037</v>
          </cell>
          <cell r="AD305">
            <v>57206.222158368262</v>
          </cell>
          <cell r="AL305">
            <v>6211.2519147496769</v>
          </cell>
          <cell r="AT305">
            <v>6180.9124017466811</v>
          </cell>
          <cell r="AZ305">
            <v>2102752.6076672724</v>
          </cell>
        </row>
        <row r="306">
          <cell r="B306">
            <v>23034</v>
          </cell>
          <cell r="C306" t="str">
            <v>SA 6 &amp; 8</v>
          </cell>
          <cell r="D306" t="str">
            <v>LONG BEACH CHILD &amp; ADOL CLINIC</v>
          </cell>
          <cell r="G306">
            <v>664023.09099950467</v>
          </cell>
          <cell r="N306">
            <v>206942.23583918615</v>
          </cell>
          <cell r="T306">
            <v>200386.25462238729</v>
          </cell>
          <cell r="W306">
            <v>7940.1369188624267</v>
          </cell>
          <cell r="Z306">
            <v>785729.70599694375</v>
          </cell>
          <cell r="AA306">
            <v>132691</v>
          </cell>
          <cell r="AC306">
            <v>6434.3242319262999</v>
          </cell>
          <cell r="AD306">
            <v>18435.627944537751</v>
          </cell>
          <cell r="AL306">
            <v>3202.6682454709967</v>
          </cell>
          <cell r="AT306">
            <v>2021.2213466733031</v>
          </cell>
          <cell r="AZ306">
            <v>2027806.2661454924</v>
          </cell>
        </row>
        <row r="307">
          <cell r="B307">
            <v>23035</v>
          </cell>
          <cell r="C307" t="str">
            <v>SA 6 &amp; 8</v>
          </cell>
          <cell r="D307" t="str">
            <v>LONG BEACH ASIAN PACIFIC MH - C &amp; Y</v>
          </cell>
          <cell r="N307">
            <v>42521.911233682265</v>
          </cell>
          <cell r="AZ307">
            <v>42521.911233682265</v>
          </cell>
        </row>
        <row r="308">
          <cell r="B308">
            <v>27273</v>
          </cell>
          <cell r="C308" t="str">
            <v>SA 6 &amp; 8</v>
          </cell>
          <cell r="D308" t="str">
            <v>MIOCR II  PROGRAM</v>
          </cell>
          <cell r="N308">
            <v>0</v>
          </cell>
          <cell r="AC308">
            <v>0</v>
          </cell>
          <cell r="AZ308">
            <v>0</v>
          </cell>
        </row>
        <row r="309">
          <cell r="B309">
            <v>27526</v>
          </cell>
          <cell r="C309" t="str">
            <v>SA 6 &amp; 8</v>
          </cell>
          <cell r="D309" t="str">
            <v>SOUTH LOS ANGELES FAMILY SERVICES</v>
          </cell>
          <cell r="N309">
            <v>0</v>
          </cell>
          <cell r="AC309">
            <v>0</v>
          </cell>
          <cell r="AZ309">
            <v>0</v>
          </cell>
        </row>
        <row r="310">
          <cell r="D310" t="str">
            <v>Sub total:  SA 6 &amp; 8</v>
          </cell>
          <cell r="E310">
            <v>0</v>
          </cell>
          <cell r="F310">
            <v>0</v>
          </cell>
          <cell r="G310">
            <v>2362968.0163016766</v>
          </cell>
          <cell r="H310">
            <v>0</v>
          </cell>
          <cell r="I310">
            <v>0</v>
          </cell>
          <cell r="J310">
            <v>0</v>
          </cell>
          <cell r="K310">
            <v>1788369</v>
          </cell>
          <cell r="L310">
            <v>0</v>
          </cell>
          <cell r="M310">
            <v>0</v>
          </cell>
          <cell r="N310">
            <v>3989046.1379418094</v>
          </cell>
          <cell r="O310">
            <v>0</v>
          </cell>
          <cell r="P310">
            <v>0</v>
          </cell>
          <cell r="Q310">
            <v>0</v>
          </cell>
          <cell r="R310">
            <v>668443</v>
          </cell>
          <cell r="S310">
            <v>0</v>
          </cell>
          <cell r="T310">
            <v>439993.77733305126</v>
          </cell>
          <cell r="U310">
            <v>0</v>
          </cell>
          <cell r="V310">
            <v>0</v>
          </cell>
          <cell r="W310">
            <v>17417422.43554794</v>
          </cell>
          <cell r="X310">
            <v>0</v>
          </cell>
          <cell r="Y310">
            <v>0</v>
          </cell>
          <cell r="Z310">
            <v>2796068.6757657989</v>
          </cell>
          <cell r="AA310">
            <v>2180981</v>
          </cell>
          <cell r="AB310">
            <v>0</v>
          </cell>
          <cell r="AC310">
            <v>183783.33146667402</v>
          </cell>
          <cell r="AD310">
            <v>484040.018933883</v>
          </cell>
          <cell r="AE310">
            <v>0</v>
          </cell>
          <cell r="AF310">
            <v>0</v>
          </cell>
          <cell r="AG310">
            <v>119070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181584.51710098764</v>
          </cell>
          <cell r="AM310">
            <v>0</v>
          </cell>
          <cell r="AN310">
            <v>0</v>
          </cell>
          <cell r="AO310">
            <v>1337.6454747305058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64658.173289312836</v>
          </cell>
          <cell r="AU310">
            <v>0</v>
          </cell>
          <cell r="AV310">
            <v>0</v>
          </cell>
          <cell r="AW310">
            <v>0</v>
          </cell>
          <cell r="AY310">
            <v>0</v>
          </cell>
          <cell r="AZ310">
            <v>32677765.729155865</v>
          </cell>
        </row>
        <row r="312">
          <cell r="B312">
            <v>18639</v>
          </cell>
          <cell r="C312" t="str">
            <v>SA 1 &amp; 3</v>
          </cell>
          <cell r="D312" t="str">
            <v>Children's SOC</v>
          </cell>
          <cell r="N312">
            <v>140600</v>
          </cell>
          <cell r="P312">
            <v>126103</v>
          </cell>
          <cell r="AZ312">
            <v>266703</v>
          </cell>
        </row>
        <row r="313">
          <cell r="B313">
            <v>18674</v>
          </cell>
          <cell r="C313" t="str">
            <v>SA 1 &amp; 3</v>
          </cell>
          <cell r="D313" t="str">
            <v>SAN ANTONIO MHC SOMOS FAMILIA (AB 3632 Sector II)</v>
          </cell>
          <cell r="G313">
            <v>576854.40941404062</v>
          </cell>
          <cell r="N313">
            <v>0</v>
          </cell>
          <cell r="T313">
            <v>112908.35728750478</v>
          </cell>
          <cell r="W313">
            <v>3434.3381292533068</v>
          </cell>
          <cell r="Z313">
            <v>682584.16259243141</v>
          </cell>
          <cell r="AA313">
            <v>112693</v>
          </cell>
          <cell r="AC313">
            <v>0</v>
          </cell>
          <cell r="AD313">
            <v>0</v>
          </cell>
          <cell r="AL313" t="str">
            <v xml:space="preserve"> </v>
          </cell>
          <cell r="AZ313">
            <v>1488474.2674232302</v>
          </cell>
        </row>
        <row r="314">
          <cell r="B314">
            <v>18704</v>
          </cell>
          <cell r="C314" t="str">
            <v>SA 1 &amp; 3</v>
          </cell>
          <cell r="D314" t="str">
            <v>FFS CHILD/MEDI-CAL</v>
          </cell>
          <cell r="E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Q314">
            <v>0</v>
          </cell>
          <cell r="R314">
            <v>0</v>
          </cell>
          <cell r="S314">
            <v>0</v>
          </cell>
          <cell r="X314">
            <v>0</v>
          </cell>
          <cell r="Y314">
            <v>0</v>
          </cell>
          <cell r="AC314">
            <v>0</v>
          </cell>
          <cell r="AG314">
            <v>0</v>
          </cell>
          <cell r="AL314">
            <v>0</v>
          </cell>
          <cell r="AW314">
            <v>0</v>
          </cell>
          <cell r="AY314">
            <v>0</v>
          </cell>
          <cell r="AZ314">
            <v>0</v>
          </cell>
        </row>
        <row r="315">
          <cell r="B315">
            <v>20446</v>
          </cell>
          <cell r="C315" t="str">
            <v>SA 1 &amp; 3</v>
          </cell>
          <cell r="D315" t="str">
            <v>START Program  (Maclaren)</v>
          </cell>
          <cell r="AZ315">
            <v>0</v>
          </cell>
        </row>
        <row r="316">
          <cell r="B316">
            <v>20468</v>
          </cell>
          <cell r="C316" t="str">
            <v>SA 1 &amp; 3</v>
          </cell>
          <cell r="D316" t="str">
            <v>ANTELOPE VALLEY MHS</v>
          </cell>
          <cell r="G316">
            <v>13404.30006878628</v>
          </cell>
          <cell r="N316">
            <v>436686.45318445284</v>
          </cell>
          <cell r="T316">
            <v>0</v>
          </cell>
          <cell r="W316">
            <v>1065243.9535641663</v>
          </cell>
          <cell r="Z316">
            <v>15861.13027528754</v>
          </cell>
          <cell r="AA316">
            <v>107805</v>
          </cell>
          <cell r="AC316">
            <v>5024.1719853301038</v>
          </cell>
          <cell r="AD316">
            <v>40694.684992861214</v>
          </cell>
          <cell r="AL316">
            <v>9465.6878908867257</v>
          </cell>
          <cell r="AT316">
            <v>8820.9647113987576</v>
          </cell>
          <cell r="AZ316">
            <v>1703006.3466731696</v>
          </cell>
        </row>
        <row r="317">
          <cell r="B317">
            <v>20489</v>
          </cell>
          <cell r="C317" t="str">
            <v>SA 1 &amp; 3</v>
          </cell>
          <cell r="D317" t="str">
            <v>AB 3632 PLACEMENT/CASE MGMT - C &amp; Y</v>
          </cell>
          <cell r="G317">
            <v>401867.12025964068</v>
          </cell>
          <cell r="I317">
            <v>4970187</v>
          </cell>
          <cell r="K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4842000</v>
          </cell>
          <cell r="T317">
            <v>99240.324112478294</v>
          </cell>
          <cell r="W317">
            <v>586.26793664914919</v>
          </cell>
          <cell r="X317">
            <v>0</v>
          </cell>
          <cell r="Y317">
            <v>0</v>
          </cell>
          <cell r="Z317">
            <v>475524.02699755132</v>
          </cell>
          <cell r="AA317">
            <v>79082</v>
          </cell>
          <cell r="AC317">
            <v>0</v>
          </cell>
          <cell r="AD317">
            <v>27082.485304847258</v>
          </cell>
          <cell r="AG317">
            <v>0</v>
          </cell>
          <cell r="AW317">
            <v>0</v>
          </cell>
          <cell r="AY317">
            <v>0</v>
          </cell>
          <cell r="AZ317">
            <v>10895569.224611167</v>
          </cell>
        </row>
        <row r="318">
          <cell r="B318">
            <v>20493</v>
          </cell>
          <cell r="C318" t="str">
            <v>SA 1 &amp; 3</v>
          </cell>
          <cell r="D318" t="str">
            <v>SECTOR II C&amp; Y ADMINISTRATION</v>
          </cell>
          <cell r="N318">
            <v>30468</v>
          </cell>
          <cell r="AZ318">
            <v>30468</v>
          </cell>
        </row>
        <row r="319">
          <cell r="B319">
            <v>20597</v>
          </cell>
          <cell r="C319" t="str">
            <v>SA 1 &amp; 3</v>
          </cell>
          <cell r="D319" t="str">
            <v>Children's Svcs. Bureau - Admin.</v>
          </cell>
          <cell r="G319">
            <v>0</v>
          </cell>
          <cell r="T319">
            <v>0</v>
          </cell>
          <cell r="W319">
            <v>0</v>
          </cell>
          <cell r="Z319">
            <v>0</v>
          </cell>
          <cell r="AA319">
            <v>0</v>
          </cell>
          <cell r="AD319">
            <v>0</v>
          </cell>
          <cell r="AW319">
            <v>58686</v>
          </cell>
          <cell r="AZ319">
            <v>58686</v>
          </cell>
        </row>
        <row r="320">
          <cell r="B320">
            <v>20941</v>
          </cell>
          <cell r="C320" t="str">
            <v>SA 1 &amp; 3</v>
          </cell>
          <cell r="D320" t="str">
            <v>COUNTYWIDE INTERAGENCY CASE MANAGEMENT</v>
          </cell>
          <cell r="G320">
            <v>1238513.5216507632</v>
          </cell>
          <cell r="T320">
            <v>90208.057321128828</v>
          </cell>
          <cell r="W320">
            <v>2500.0660681683598</v>
          </cell>
          <cell r="Z320">
            <v>1465516.6039107207</v>
          </cell>
          <cell r="AA320">
            <v>235907</v>
          </cell>
          <cell r="AD320">
            <v>452139.88094517641</v>
          </cell>
          <cell r="AZ320">
            <v>3484785.1298959577</v>
          </cell>
        </row>
        <row r="321">
          <cell r="B321">
            <v>21537</v>
          </cell>
          <cell r="C321" t="str">
            <v>SA 1 &amp; 3</v>
          </cell>
          <cell r="D321" t="str">
            <v>PALMDALE MENTAL HEALTH CENTER</v>
          </cell>
          <cell r="G321">
            <v>15055.401561996634</v>
          </cell>
          <cell r="N321">
            <v>214047.806076123</v>
          </cell>
          <cell r="T321">
            <v>0</v>
          </cell>
          <cell r="W321">
            <v>575053.89802764077</v>
          </cell>
          <cell r="Z321">
            <v>17814.856747176538</v>
          </cell>
          <cell r="AA321">
            <v>59664</v>
          </cell>
          <cell r="AC321">
            <v>463.76785541331247</v>
          </cell>
          <cell r="AD321">
            <v>50333.290687816909</v>
          </cell>
          <cell r="AL321">
            <v>1462.2450974305671</v>
          </cell>
          <cell r="AT321">
            <v>6735.2978870123579</v>
          </cell>
          <cell r="AZ321">
            <v>940630.56394060992</v>
          </cell>
        </row>
        <row r="322">
          <cell r="B322">
            <v>21549</v>
          </cell>
          <cell r="C322" t="str">
            <v>SA 1 &amp; 3</v>
          </cell>
          <cell r="D322" t="str">
            <v>CW CASE MANAGEMENT PLACEMENT</v>
          </cell>
          <cell r="H322">
            <v>554000</v>
          </cell>
          <cell r="N322">
            <v>0</v>
          </cell>
          <cell r="AC322">
            <v>0</v>
          </cell>
          <cell r="AZ322">
            <v>554000</v>
          </cell>
        </row>
        <row r="323">
          <cell r="B323">
            <v>21572</v>
          </cell>
          <cell r="C323" t="str">
            <v>SA 1 &amp; 3</v>
          </cell>
          <cell r="D323" t="str">
            <v>AB3632 ASSESSMENT UNIT</v>
          </cell>
          <cell r="N323">
            <v>0</v>
          </cell>
          <cell r="AC323">
            <v>0</v>
          </cell>
          <cell r="AL323">
            <v>0</v>
          </cell>
          <cell r="AZ323">
            <v>0</v>
          </cell>
        </row>
        <row r="324">
          <cell r="B324">
            <v>23015</v>
          </cell>
          <cell r="C324" t="str">
            <v>SA 1 &amp; 3</v>
          </cell>
          <cell r="D324" t="str">
            <v>ARCADIA MHS</v>
          </cell>
          <cell r="G324">
            <v>14603.631325587628</v>
          </cell>
          <cell r="N324">
            <v>547757.30597536836</v>
          </cell>
          <cell r="T324">
            <v>8287.0718141533944</v>
          </cell>
          <cell r="W324">
            <v>1897626.8723759905</v>
          </cell>
          <cell r="Z324">
            <v>17280.283025504432</v>
          </cell>
          <cell r="AA324">
            <v>190608</v>
          </cell>
          <cell r="AC324">
            <v>85202.626102700291</v>
          </cell>
          <cell r="AD324">
            <v>71260.665696107972</v>
          </cell>
          <cell r="AL324">
            <v>46416.465141340392</v>
          </cell>
          <cell r="AT324">
            <v>13197.385358972371</v>
          </cell>
          <cell r="AZ324">
            <v>2892240.3068157258</v>
          </cell>
        </row>
        <row r="325">
          <cell r="B325">
            <v>27610</v>
          </cell>
          <cell r="C325" t="str">
            <v>SA 1 &amp; 3</v>
          </cell>
          <cell r="D325" t="str">
            <v>PERMANANCY TEAM</v>
          </cell>
          <cell r="N325">
            <v>30468</v>
          </cell>
          <cell r="AZ325">
            <v>30468</v>
          </cell>
        </row>
        <row r="326">
          <cell r="D326" t="str">
            <v>UNALLOCATED SB90 AB3632 SERVICES / IDEA</v>
          </cell>
          <cell r="I326">
            <v>4467039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3734551</v>
          </cell>
          <cell r="X326">
            <v>0</v>
          </cell>
          <cell r="Y326">
            <v>0</v>
          </cell>
          <cell r="AC326">
            <v>0</v>
          </cell>
          <cell r="AG326">
            <v>0</v>
          </cell>
          <cell r="AW326">
            <v>0</v>
          </cell>
          <cell r="AY326">
            <v>0</v>
          </cell>
          <cell r="AZ326">
            <v>8201590</v>
          </cell>
        </row>
        <row r="327">
          <cell r="D327" t="str">
            <v>Sub total:  SA 1 &amp; 3</v>
          </cell>
          <cell r="E327">
            <v>0</v>
          </cell>
          <cell r="F327">
            <v>0</v>
          </cell>
          <cell r="G327">
            <v>2260298.3842808148</v>
          </cell>
          <cell r="H327">
            <v>554000</v>
          </cell>
          <cell r="I327">
            <v>9437226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1400027.5652359442</v>
          </cell>
          <cell r="O327">
            <v>0</v>
          </cell>
          <cell r="P327">
            <v>126103</v>
          </cell>
          <cell r="Q327">
            <v>0</v>
          </cell>
          <cell r="R327">
            <v>0</v>
          </cell>
          <cell r="S327">
            <v>8576551</v>
          </cell>
          <cell r="T327">
            <v>310643.81053526531</v>
          </cell>
          <cell r="U327">
            <v>0</v>
          </cell>
          <cell r="V327">
            <v>0</v>
          </cell>
          <cell r="W327">
            <v>3544445.3961018682</v>
          </cell>
          <cell r="X327">
            <v>0</v>
          </cell>
          <cell r="Y327">
            <v>0</v>
          </cell>
          <cell r="Z327">
            <v>2674581.063548672</v>
          </cell>
          <cell r="AA327">
            <v>785759</v>
          </cell>
          <cell r="AB327">
            <v>0</v>
          </cell>
          <cell r="AC327">
            <v>90690.565943443711</v>
          </cell>
          <cell r="AD327">
            <v>641511.00762680976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57344.398129657682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28753.647957383488</v>
          </cell>
          <cell r="AU327">
            <v>0</v>
          </cell>
          <cell r="AV327">
            <v>0</v>
          </cell>
          <cell r="AW327">
            <v>58686</v>
          </cell>
          <cell r="AY327">
            <v>0</v>
          </cell>
          <cell r="AZ327">
            <v>30546620.839359861</v>
          </cell>
        </row>
        <row r="329">
          <cell r="B329">
            <v>18587</v>
          </cell>
          <cell r="C329" t="str">
            <v>SA 2 &amp; 5</v>
          </cell>
          <cell r="D329" t="str">
            <v>GERIATRIC MOBILE ASSESSMENT</v>
          </cell>
          <cell r="N329">
            <v>397931</v>
          </cell>
          <cell r="AC329" t="str">
            <v xml:space="preserve">  </v>
          </cell>
          <cell r="AL329" t="str">
            <v xml:space="preserve"> </v>
          </cell>
          <cell r="AZ329">
            <v>397931</v>
          </cell>
        </row>
        <row r="330">
          <cell r="B330">
            <v>18588</v>
          </cell>
          <cell r="C330" t="str">
            <v>SA 2 &amp; 5</v>
          </cell>
          <cell r="D330" t="str">
            <v>EDMUND D EDELMAN W MHC CH &amp; FM</v>
          </cell>
          <cell r="G330">
            <v>347405.9672719154</v>
          </cell>
          <cell r="N330">
            <v>184579.11228316795</v>
          </cell>
          <cell r="T330">
            <v>82232.659670306486</v>
          </cell>
          <cell r="W330">
            <v>2893287.3048335714</v>
          </cell>
          <cell r="Z330">
            <v>411080.86785847868</v>
          </cell>
          <cell r="AA330">
            <v>354163</v>
          </cell>
          <cell r="AC330">
            <v>6028.1368573191412</v>
          </cell>
          <cell r="AD330">
            <v>126145.93272522523</v>
          </cell>
          <cell r="AG330">
            <v>53400</v>
          </cell>
          <cell r="AL330">
            <v>5209.2039021776627</v>
          </cell>
          <cell r="AT330">
            <v>548.35973087072955</v>
          </cell>
          <cell r="AZ330">
            <v>4464080.5451330328</v>
          </cell>
        </row>
        <row r="331">
          <cell r="B331">
            <v>18716</v>
          </cell>
          <cell r="C331" t="str">
            <v>SA 2 &amp; 5</v>
          </cell>
          <cell r="D331" t="str">
            <v>LAC-DMH OLDER ADULT SERVICES</v>
          </cell>
          <cell r="G331">
            <v>0</v>
          </cell>
          <cell r="N331">
            <v>0</v>
          </cell>
          <cell r="T331">
            <v>0</v>
          </cell>
          <cell r="W331">
            <v>673401.11932811339</v>
          </cell>
          <cell r="Z331">
            <v>0</v>
          </cell>
          <cell r="AA331">
            <v>66560</v>
          </cell>
          <cell r="AC331">
            <v>0</v>
          </cell>
          <cell r="AD331">
            <v>92962.792523228287</v>
          </cell>
          <cell r="AL331" t="str">
            <v xml:space="preserve"> </v>
          </cell>
          <cell r="AZ331">
            <v>832923.91185134172</v>
          </cell>
        </row>
        <row r="332">
          <cell r="B332">
            <v>20452</v>
          </cell>
          <cell r="C332" t="str">
            <v>SA 2 &amp; 5</v>
          </cell>
          <cell r="D332" t="str">
            <v>SAN FERNANDO MHS</v>
          </cell>
          <cell r="G332">
            <v>182674.31899564795</v>
          </cell>
          <cell r="N332">
            <v>526796.35622251465</v>
          </cell>
          <cell r="T332">
            <v>59651.873677818199</v>
          </cell>
          <cell r="W332">
            <v>2443910.0342195765</v>
          </cell>
          <cell r="Z332">
            <v>216156.09592972643</v>
          </cell>
          <cell r="AA332">
            <v>278014</v>
          </cell>
          <cell r="AC332">
            <v>31383.015181194336</v>
          </cell>
          <cell r="AD332">
            <v>70080.798708966497</v>
          </cell>
          <cell r="AL332">
            <v>26725.205431367827</v>
          </cell>
          <cell r="AT332">
            <v>15532.115932591334</v>
          </cell>
          <cell r="AZ332">
            <v>3850923.8142994037</v>
          </cell>
        </row>
        <row r="333">
          <cell r="B333">
            <v>20469</v>
          </cell>
          <cell r="C333" t="str">
            <v>SA 2 &amp; 5</v>
          </cell>
          <cell r="D333" t="str">
            <v>SANTA CLARITA VALLEY MH CENTER               18218</v>
          </cell>
          <cell r="G333">
            <v>12190.350232686478</v>
          </cell>
          <cell r="N333">
            <v>354658.71529580501</v>
          </cell>
          <cell r="T333">
            <v>1155.746066942075</v>
          </cell>
          <cell r="W333">
            <v>987325.03844402207</v>
          </cell>
          <cell r="Z333">
            <v>14424.679554307344</v>
          </cell>
          <cell r="AA333">
            <v>99918</v>
          </cell>
          <cell r="AC333">
            <v>49005.743860371578</v>
          </cell>
          <cell r="AD333">
            <v>31257.399259347843</v>
          </cell>
          <cell r="AL333">
            <v>13571.555282384117</v>
          </cell>
          <cell r="AO333">
            <v>43.075373451324886</v>
          </cell>
          <cell r="AT333">
            <v>5668.0111226815216</v>
          </cell>
          <cell r="AZ333">
            <v>1569218.3144919993</v>
          </cell>
        </row>
        <row r="334">
          <cell r="B334">
            <v>20492</v>
          </cell>
          <cell r="C334" t="str">
            <v>SA 2 &amp; 5</v>
          </cell>
          <cell r="D334" t="str">
            <v>VALY COORDINATED CHILDRN SRVCS</v>
          </cell>
          <cell r="G334">
            <v>581584.19948128168</v>
          </cell>
          <cell r="N334">
            <v>228482.13519372023</v>
          </cell>
          <cell r="T334">
            <v>718655.51992073038</v>
          </cell>
          <cell r="W334">
            <v>6302.6092748536375</v>
          </cell>
          <cell r="Z334">
            <v>688180.86037197197</v>
          </cell>
          <cell r="AA334">
            <v>136015</v>
          </cell>
          <cell r="AC334">
            <v>317.41558614250459</v>
          </cell>
          <cell r="AD334">
            <v>84327.486308247448</v>
          </cell>
          <cell r="AL334">
            <v>12291.374258554166</v>
          </cell>
          <cell r="AO334">
            <v>63878.123595914454</v>
          </cell>
          <cell r="AT334">
            <v>558.25180041882072</v>
          </cell>
          <cell r="AZ334">
            <v>2520592.9757918352</v>
          </cell>
        </row>
        <row r="335">
          <cell r="B335">
            <v>20499</v>
          </cell>
          <cell r="C335" t="str">
            <v>SA 2 &amp; 5</v>
          </cell>
          <cell r="D335" t="str">
            <v>WEST VALLEY MENTAL HEALTH CTR    18219</v>
          </cell>
          <cell r="G335">
            <v>25590.632627822342</v>
          </cell>
          <cell r="N335">
            <v>665426.9762810712</v>
          </cell>
          <cell r="T335">
            <v>0</v>
          </cell>
          <cell r="W335">
            <v>1666849.4505666662</v>
          </cell>
          <cell r="Z335">
            <v>30281.055769715156</v>
          </cell>
          <cell r="AA335">
            <v>169555</v>
          </cell>
          <cell r="AC335">
            <v>82980.089278983331</v>
          </cell>
          <cell r="AD335">
            <v>77056.040323857393</v>
          </cell>
          <cell r="AL335">
            <v>27930.005593191621</v>
          </cell>
          <cell r="AO335">
            <v>80.486732135599524</v>
          </cell>
          <cell r="AT335">
            <v>12309.442320949103</v>
          </cell>
          <cell r="AZ335">
            <v>2758059.1794943917</v>
          </cell>
        </row>
        <row r="336">
          <cell r="B336">
            <v>23001</v>
          </cell>
          <cell r="C336" t="str">
            <v>SA 2 &amp; 5</v>
          </cell>
          <cell r="D336" t="str">
            <v>EDMUND D. EDELMAN WESTSIDE MHC</v>
          </cell>
          <cell r="N336">
            <v>855350.9257612935</v>
          </cell>
          <cell r="AC336">
            <v>17671.557409267491</v>
          </cell>
          <cell r="AH336">
            <v>102000</v>
          </cell>
          <cell r="AL336">
            <v>30954.805931349736</v>
          </cell>
          <cell r="AO336">
            <v>90.083088365124155</v>
          </cell>
          <cell r="AT336">
            <v>12023.201757620685</v>
          </cell>
          <cell r="AZ336">
            <v>1018090.5739478966</v>
          </cell>
        </row>
        <row r="337">
          <cell r="B337">
            <v>27498</v>
          </cell>
          <cell r="C337" t="str">
            <v>SA 2 &amp; 5</v>
          </cell>
          <cell r="D337" t="str">
            <v>OLDER ADULT BUREAU ADMIN</v>
          </cell>
          <cell r="G337">
            <v>0</v>
          </cell>
          <cell r="T337">
            <v>0</v>
          </cell>
          <cell r="W337">
            <v>0</v>
          </cell>
          <cell r="Z337">
            <v>0</v>
          </cell>
          <cell r="AA337">
            <v>0</v>
          </cell>
          <cell r="AD337">
            <v>11291.244558762939</v>
          </cell>
          <cell r="AZ337">
            <v>11291.244558762939</v>
          </cell>
        </row>
        <row r="338">
          <cell r="B338">
            <v>27553</v>
          </cell>
          <cell r="C338" t="str">
            <v>SA 2 &amp; 5</v>
          </cell>
          <cell r="D338" t="str">
            <v>PSYCHIATRIC EMERGENCY SERVICES (PES)-OLIVE VIEW</v>
          </cell>
          <cell r="G338">
            <v>1312.5962504517572</v>
          </cell>
          <cell r="T338">
            <v>0</v>
          </cell>
          <cell r="W338">
            <v>56542.643556189541</v>
          </cell>
          <cell r="Z338">
            <v>1553.1777131541335</v>
          </cell>
          <cell r="AA338">
            <v>5835</v>
          </cell>
          <cell r="AD338">
            <v>9296.196744141911</v>
          </cell>
          <cell r="AT338">
            <v>39.742871152340264</v>
          </cell>
          <cell r="AZ338">
            <v>74579.357135089682</v>
          </cell>
        </row>
        <row r="339">
          <cell r="D339" t="str">
            <v>Sub total:  SA 2 &amp; 5</v>
          </cell>
          <cell r="E339">
            <v>0</v>
          </cell>
          <cell r="F339">
            <v>0</v>
          </cell>
          <cell r="G339">
            <v>1150758.0648598059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3213225.2210375727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861695.79933579708</v>
          </cell>
          <cell r="U339">
            <v>0</v>
          </cell>
          <cell r="V339">
            <v>0</v>
          </cell>
          <cell r="W339">
            <v>8727618.2002229914</v>
          </cell>
          <cell r="X339">
            <v>0</v>
          </cell>
          <cell r="Y339">
            <v>0</v>
          </cell>
          <cell r="Z339">
            <v>1361676.7371973537</v>
          </cell>
          <cell r="AA339">
            <v>1110060</v>
          </cell>
          <cell r="AB339">
            <v>0</v>
          </cell>
          <cell r="AC339">
            <v>187385.9581732784</v>
          </cell>
          <cell r="AD339">
            <v>502417.89115177753</v>
          </cell>
          <cell r="AE339">
            <v>0</v>
          </cell>
          <cell r="AF339">
            <v>0</v>
          </cell>
          <cell r="AG339">
            <v>53400</v>
          </cell>
          <cell r="AH339">
            <v>102000</v>
          </cell>
          <cell r="AI339">
            <v>0</v>
          </cell>
          <cell r="AJ339">
            <v>0</v>
          </cell>
          <cell r="AK339">
            <v>0</v>
          </cell>
          <cell r="AL339">
            <v>116682.15039902514</v>
          </cell>
          <cell r="AM339">
            <v>0</v>
          </cell>
          <cell r="AN339">
            <v>0</v>
          </cell>
          <cell r="AO339">
            <v>64091.768789866503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46679.125536284533</v>
          </cell>
          <cell r="AU339">
            <v>0</v>
          </cell>
          <cell r="AV339">
            <v>0</v>
          </cell>
          <cell r="AW339">
            <v>0</v>
          </cell>
          <cell r="AY339">
            <v>0</v>
          </cell>
          <cell r="AZ339">
            <v>17497690.916703753</v>
          </cell>
        </row>
        <row r="341">
          <cell r="B341">
            <v>18213</v>
          </cell>
          <cell r="C341" t="str">
            <v>SA 4 &amp; 7</v>
          </cell>
          <cell r="D341" t="str">
            <v>DMH/DPSS CO-LOCATED</v>
          </cell>
          <cell r="G341">
            <v>0</v>
          </cell>
          <cell r="K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265470.07210683054</v>
          </cell>
          <cell r="AG341">
            <v>0</v>
          </cell>
          <cell r="AL341" t="str">
            <v xml:space="preserve"> </v>
          </cell>
          <cell r="AW341">
            <v>0</v>
          </cell>
          <cell r="AY341">
            <v>0</v>
          </cell>
          <cell r="AZ341">
            <v>265470.07210683054</v>
          </cell>
        </row>
        <row r="342">
          <cell r="B342">
            <v>18608</v>
          </cell>
          <cell r="C342" t="str">
            <v>SA 4 &amp; 7</v>
          </cell>
          <cell r="D342" t="str">
            <v>RIO HONDO MHC - C &amp; Y</v>
          </cell>
          <cell r="K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X342">
            <v>0</v>
          </cell>
          <cell r="Y342">
            <v>0</v>
          </cell>
          <cell r="AG342">
            <v>0</v>
          </cell>
          <cell r="AL342">
            <v>0</v>
          </cell>
          <cell r="AT342">
            <v>341.1454546891635</v>
          </cell>
          <cell r="AW342">
            <v>0</v>
          </cell>
          <cell r="AY342">
            <v>0</v>
          </cell>
          <cell r="AZ342">
            <v>341.1454546891635</v>
          </cell>
        </row>
        <row r="343">
          <cell r="B343">
            <v>18621</v>
          </cell>
          <cell r="C343" t="str">
            <v>SA 4 &amp; 7</v>
          </cell>
          <cell r="D343" t="str">
            <v xml:space="preserve">SIDEKICK PROGRAM 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X343">
            <v>0</v>
          </cell>
          <cell r="Y343">
            <v>0</v>
          </cell>
          <cell r="AG343">
            <v>0</v>
          </cell>
          <cell r="AW343">
            <v>0</v>
          </cell>
          <cell r="AY343">
            <v>0</v>
          </cell>
          <cell r="AZ343">
            <v>0</v>
          </cell>
        </row>
        <row r="344">
          <cell r="B344">
            <v>18632</v>
          </cell>
          <cell r="C344" t="str">
            <v>SA 4 &amp; 7</v>
          </cell>
          <cell r="D344" t="str">
            <v>LONG BEACH MET</v>
          </cell>
          <cell r="G344">
            <v>15974.196204517384</v>
          </cell>
          <cell r="N344">
            <v>0</v>
          </cell>
          <cell r="T344">
            <v>0</v>
          </cell>
          <cell r="W344">
            <v>170059.75906134382</v>
          </cell>
          <cell r="Z344">
            <v>18902.054246969405</v>
          </cell>
          <cell r="AA344">
            <v>19806</v>
          </cell>
          <cell r="AD344">
            <v>31262.349750202982</v>
          </cell>
          <cell r="AZ344">
            <v>256004.35926303361</v>
          </cell>
        </row>
        <row r="345">
          <cell r="B345">
            <v>18662</v>
          </cell>
          <cell r="C345" t="str">
            <v>SA 4 &amp; 7</v>
          </cell>
          <cell r="D345" t="str">
            <v>ACCESS CENTER</v>
          </cell>
          <cell r="G345">
            <v>51236.055932101292</v>
          </cell>
          <cell r="N345">
            <v>0</v>
          </cell>
          <cell r="T345">
            <v>5259.2337244537412</v>
          </cell>
          <cell r="W345">
            <v>169110.83382424072</v>
          </cell>
          <cell r="Z345">
            <v>60626.944619314359</v>
          </cell>
          <cell r="AA345">
            <v>26520</v>
          </cell>
          <cell r="AD345">
            <v>197168.14977847732</v>
          </cell>
          <cell r="AZ345">
            <v>509921.21787858743</v>
          </cell>
        </row>
        <row r="346">
          <cell r="B346">
            <v>18676</v>
          </cell>
          <cell r="C346" t="str">
            <v>SA 4 &amp; 7</v>
          </cell>
          <cell r="D346" t="str">
            <v>CAL WORKS</v>
          </cell>
          <cell r="K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X346">
            <v>0</v>
          </cell>
          <cell r="Y346">
            <v>0</v>
          </cell>
          <cell r="AG346">
            <v>0</v>
          </cell>
          <cell r="AW346">
            <v>0</v>
          </cell>
          <cell r="AY346">
            <v>0</v>
          </cell>
          <cell r="AZ346">
            <v>0</v>
          </cell>
        </row>
        <row r="347">
          <cell r="B347">
            <v>20440</v>
          </cell>
          <cell r="C347" t="str">
            <v>SA 4 &amp; 7</v>
          </cell>
          <cell r="D347" t="str">
            <v>HOLLYWOOD GI ADMINISTRATION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X347">
            <v>0</v>
          </cell>
          <cell r="Y347">
            <v>0</v>
          </cell>
          <cell r="AG347">
            <v>0</v>
          </cell>
          <cell r="AW347">
            <v>0</v>
          </cell>
          <cell r="AY347">
            <v>0</v>
          </cell>
          <cell r="AZ347">
            <v>0</v>
          </cell>
        </row>
        <row r="348">
          <cell r="B348">
            <v>20449</v>
          </cell>
          <cell r="C348" t="str">
            <v>SA 4 &amp; 7</v>
          </cell>
          <cell r="D348" t="str">
            <v>METRO STATE HOSPITAL CCU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X348">
            <v>0</v>
          </cell>
          <cell r="Y348">
            <v>0</v>
          </cell>
          <cell r="AG348">
            <v>0</v>
          </cell>
          <cell r="AW348">
            <v>0</v>
          </cell>
          <cell r="AY348">
            <v>0</v>
          </cell>
          <cell r="AZ348">
            <v>0</v>
          </cell>
        </row>
        <row r="349">
          <cell r="B349">
            <v>20450</v>
          </cell>
          <cell r="C349" t="str">
            <v>SA 4 &amp; 7</v>
          </cell>
          <cell r="D349" t="str">
            <v>SMART</v>
          </cell>
          <cell r="G349">
            <v>118935.7451554381</v>
          </cell>
          <cell r="N349">
            <v>0</v>
          </cell>
          <cell r="T349">
            <v>2556.7802240877968</v>
          </cell>
          <cell r="W349">
            <v>871645.93663854129</v>
          </cell>
          <cell r="Z349">
            <v>140735.08789106179</v>
          </cell>
          <cell r="AA349">
            <v>108562</v>
          </cell>
          <cell r="AD349">
            <v>40825.873000522392</v>
          </cell>
          <cell r="AZ349">
            <v>1283261.4229096512</v>
          </cell>
        </row>
        <row r="350">
          <cell r="B350">
            <v>20477</v>
          </cell>
          <cell r="C350" t="str">
            <v>SA 4 &amp; 7</v>
          </cell>
          <cell r="D350" t="str">
            <v>HOLLYWOOD MENTAL HEALTH CENTER</v>
          </cell>
          <cell r="G350">
            <v>23483.52053594376</v>
          </cell>
          <cell r="N350">
            <v>640362.56017448404</v>
          </cell>
          <cell r="T350">
            <v>0</v>
          </cell>
          <cell r="W350">
            <v>1943719.7936643346</v>
          </cell>
          <cell r="Z350">
            <v>27787.738011800629</v>
          </cell>
          <cell r="AA350">
            <v>196526</v>
          </cell>
          <cell r="AC350">
            <v>66416.587789903439</v>
          </cell>
          <cell r="AD350">
            <v>64023.873147703896</v>
          </cell>
          <cell r="AG350">
            <v>63328</v>
          </cell>
          <cell r="AL350">
            <v>27217.475539169849</v>
          </cell>
          <cell r="AO350">
            <v>40.319126774874952</v>
          </cell>
          <cell r="AT350">
            <v>19219.987891536966</v>
          </cell>
          <cell r="AZ350">
            <v>3072125.8558816519</v>
          </cell>
        </row>
        <row r="351">
          <cell r="B351">
            <v>20478</v>
          </cell>
          <cell r="C351" t="str">
            <v>SA 4 &amp; 7</v>
          </cell>
          <cell r="D351" t="str">
            <v>COMMUNITY LIVING PROGRAM</v>
          </cell>
          <cell r="K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X351">
            <v>0</v>
          </cell>
          <cell r="Y351">
            <v>0</v>
          </cell>
          <cell r="AG351">
            <v>0</v>
          </cell>
          <cell r="AL351" t="str">
            <v xml:space="preserve"> </v>
          </cell>
          <cell r="AW351">
            <v>0</v>
          </cell>
          <cell r="AY351">
            <v>0</v>
          </cell>
          <cell r="AZ351">
            <v>0</v>
          </cell>
        </row>
        <row r="352">
          <cell r="B352">
            <v>20481</v>
          </cell>
          <cell r="C352" t="str">
            <v>SA 4 &amp; 7</v>
          </cell>
          <cell r="D352" t="str">
            <v>NORTHEAST MENTAL HEALTH CENTER</v>
          </cell>
          <cell r="G352">
            <v>13674.862089131091</v>
          </cell>
          <cell r="N352">
            <v>347727.18429287721</v>
          </cell>
          <cell r="T352">
            <v>0</v>
          </cell>
          <cell r="W352">
            <v>1618892.9869614274</v>
          </cell>
          <cell r="Z352">
            <v>16181.282721160276</v>
          </cell>
          <cell r="AA352">
            <v>162580</v>
          </cell>
          <cell r="AC352">
            <v>30125.367473322236</v>
          </cell>
          <cell r="AD352">
            <v>71452.084675840015</v>
          </cell>
          <cell r="AL352">
            <v>18151.079018407167</v>
          </cell>
          <cell r="AT352">
            <v>5981.2998111514198</v>
          </cell>
          <cell r="AZ352">
            <v>2284766.1470433171</v>
          </cell>
        </row>
        <row r="353">
          <cell r="B353">
            <v>20483</v>
          </cell>
          <cell r="C353" t="str">
            <v>SA 4 &amp; 7</v>
          </cell>
          <cell r="D353" t="str">
            <v>DOWNTOWN MENTAL HEALTH CENTER</v>
          </cell>
          <cell r="G353">
            <v>4735.5196595716279</v>
          </cell>
          <cell r="N353">
            <v>731276.52080888546</v>
          </cell>
          <cell r="T353">
            <v>0</v>
          </cell>
          <cell r="W353">
            <v>1415017.4930341321</v>
          </cell>
          <cell r="Z353">
            <v>5603.477530061884</v>
          </cell>
          <cell r="AA353">
            <v>140751</v>
          </cell>
          <cell r="AC353">
            <v>514.32752027337847</v>
          </cell>
          <cell r="AD353">
            <v>22650.970907688636</v>
          </cell>
          <cell r="AL353">
            <v>3085.3257205874802</v>
          </cell>
          <cell r="AT353">
            <v>22071.111603420595</v>
          </cell>
          <cell r="AZ353">
            <v>2345705.7467846205</v>
          </cell>
        </row>
        <row r="354">
          <cell r="B354">
            <v>20488</v>
          </cell>
          <cell r="C354" t="str">
            <v>SA 4 &amp; 7</v>
          </cell>
          <cell r="D354" t="str">
            <v>ROYBAL FAMILY MHS/CASA DE LA ESPERANZA</v>
          </cell>
          <cell r="G354">
            <v>522680.65927270061</v>
          </cell>
          <cell r="N354">
            <v>183694.6565295074</v>
          </cell>
          <cell r="T354">
            <v>257138.63503169734</v>
          </cell>
          <cell r="W354">
            <v>25706.883884990915</v>
          </cell>
          <cell r="Z354">
            <v>618481.08342505537</v>
          </cell>
          <cell r="AA354">
            <v>110005</v>
          </cell>
          <cell r="AD354">
            <v>37418.285128568365</v>
          </cell>
          <cell r="AL354">
            <v>3449.8892481906587</v>
          </cell>
          <cell r="AT354">
            <v>20.675482102373547</v>
          </cell>
          <cell r="AZ354">
            <v>1758595.7680028132</v>
          </cell>
        </row>
        <row r="355">
          <cell r="B355">
            <v>20520</v>
          </cell>
          <cell r="C355" t="str">
            <v>SA 4 &amp; 7</v>
          </cell>
          <cell r="D355" t="str">
            <v>LIFE SUPPORT</v>
          </cell>
          <cell r="N355">
            <v>0</v>
          </cell>
          <cell r="Q355">
            <v>400000</v>
          </cell>
          <cell r="AL355" t="str">
            <v xml:space="preserve">  </v>
          </cell>
          <cell r="AZ355">
            <v>400000</v>
          </cell>
        </row>
        <row r="356">
          <cell r="B356">
            <v>20522</v>
          </cell>
          <cell r="C356" t="str">
            <v>SA 4 &amp; 7</v>
          </cell>
          <cell r="D356" t="str">
            <v>SPECIALIZED SHELTERS</v>
          </cell>
          <cell r="K356">
            <v>0</v>
          </cell>
          <cell r="L356">
            <v>0</v>
          </cell>
          <cell r="N356">
            <v>16315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X356">
            <v>0</v>
          </cell>
          <cell r="Y356">
            <v>0</v>
          </cell>
          <cell r="AG356">
            <v>0</v>
          </cell>
          <cell r="AL356" t="str">
            <v xml:space="preserve"> </v>
          </cell>
          <cell r="AW356">
            <v>0</v>
          </cell>
          <cell r="AY356">
            <v>0</v>
          </cell>
          <cell r="AZ356">
            <v>16315</v>
          </cell>
        </row>
        <row r="357">
          <cell r="B357">
            <v>20572</v>
          </cell>
          <cell r="C357" t="str">
            <v>SA 4 &amp; 7</v>
          </cell>
          <cell r="D357" t="str">
            <v>LA CENTRAL CONTINUING CARE SRV</v>
          </cell>
          <cell r="N357">
            <v>0</v>
          </cell>
          <cell r="AL357" t="str">
            <v xml:space="preserve"> </v>
          </cell>
          <cell r="AZ357">
            <v>0</v>
          </cell>
        </row>
        <row r="358">
          <cell r="B358">
            <v>20575</v>
          </cell>
          <cell r="C358" t="str">
            <v>SA 4 &amp; 7</v>
          </cell>
          <cell r="D358" t="str">
            <v>LPS MENTAL HEALTH SERVICES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X358">
            <v>0</v>
          </cell>
          <cell r="Y358">
            <v>0</v>
          </cell>
          <cell r="AG358">
            <v>0</v>
          </cell>
          <cell r="AL358">
            <v>4381.3605962952461</v>
          </cell>
          <cell r="AW358">
            <v>0</v>
          </cell>
          <cell r="AY358">
            <v>0</v>
          </cell>
          <cell r="AZ358">
            <v>4381.3605962952461</v>
          </cell>
        </row>
        <row r="359">
          <cell r="B359">
            <v>20679</v>
          </cell>
          <cell r="C359" t="str">
            <v>SA 4 &amp; 7</v>
          </cell>
          <cell r="D359" t="str">
            <v>MENTAL HEALTH COURT PROGRAM</v>
          </cell>
          <cell r="G359">
            <v>0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C359">
            <v>1396.180654311921</v>
          </cell>
          <cell r="AD359">
            <v>78125.346348567429</v>
          </cell>
          <cell r="AG359">
            <v>0</v>
          </cell>
          <cell r="AL359" t="str">
            <v xml:space="preserve"> </v>
          </cell>
          <cell r="AW359">
            <v>0</v>
          </cell>
          <cell r="AY359">
            <v>0</v>
          </cell>
          <cell r="AZ359">
            <v>79521.527002879346</v>
          </cell>
        </row>
        <row r="360">
          <cell r="B360">
            <v>20924</v>
          </cell>
          <cell r="C360" t="str">
            <v>SA 4 &amp; 7</v>
          </cell>
          <cell r="D360" t="str">
            <v>INSTITUTION FOR MENTAL DISEASES (IMD) ADMIN.</v>
          </cell>
          <cell r="K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X360">
            <v>0</v>
          </cell>
          <cell r="Y360">
            <v>0</v>
          </cell>
          <cell r="AG360">
            <v>0</v>
          </cell>
          <cell r="AL360" t="str">
            <v xml:space="preserve"> </v>
          </cell>
          <cell r="AW360">
            <v>0</v>
          </cell>
          <cell r="AY360">
            <v>0</v>
          </cell>
          <cell r="AZ360">
            <v>0</v>
          </cell>
        </row>
        <row r="361">
          <cell r="B361">
            <v>20928</v>
          </cell>
          <cell r="C361" t="str">
            <v>SA 4 &amp; 7</v>
          </cell>
          <cell r="D361" t="str">
            <v>INTENSIVE CASE MGMT PROGRAM</v>
          </cell>
          <cell r="G361">
            <v>876.50236423299839</v>
          </cell>
          <cell r="N361">
            <v>0</v>
          </cell>
          <cell r="T361">
            <v>0</v>
          </cell>
          <cell r="W361">
            <v>7940.7621445218547</v>
          </cell>
          <cell r="Z361">
            <v>1037.1536084954216</v>
          </cell>
          <cell r="AA361">
            <v>949</v>
          </cell>
          <cell r="AD361">
            <v>208693.71757105016</v>
          </cell>
          <cell r="AL361">
            <v>754.4867125266926</v>
          </cell>
          <cell r="AZ361">
            <v>220251.62240082715</v>
          </cell>
        </row>
        <row r="362">
          <cell r="B362">
            <v>20952</v>
          </cell>
          <cell r="C362" t="str">
            <v>SA 4 &amp; 7</v>
          </cell>
          <cell r="D362" t="str">
            <v>EMERGENCY DISASTER PLANNING &amp; MANAGEMENT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X362">
            <v>0</v>
          </cell>
          <cell r="Y362">
            <v>0</v>
          </cell>
          <cell r="AG362">
            <v>0</v>
          </cell>
          <cell r="AL362" t="str">
            <v xml:space="preserve"> </v>
          </cell>
          <cell r="AW362">
            <v>0</v>
          </cell>
          <cell r="AY362">
            <v>0</v>
          </cell>
          <cell r="AZ362">
            <v>0</v>
          </cell>
        </row>
        <row r="363">
          <cell r="B363">
            <v>20981</v>
          </cell>
          <cell r="C363" t="str">
            <v>SA 4 &amp; 7</v>
          </cell>
          <cell r="D363" t="str">
            <v>M.E.T.</v>
          </cell>
          <cell r="G363">
            <v>20018.36052068834</v>
          </cell>
          <cell r="N363">
            <v>0</v>
          </cell>
          <cell r="T363">
            <v>0</v>
          </cell>
          <cell r="W363">
            <v>168519.31751445043</v>
          </cell>
          <cell r="Z363">
            <v>23687.460179713857</v>
          </cell>
          <cell r="AA363">
            <v>20412</v>
          </cell>
          <cell r="AD363">
            <v>8933.1607480983821</v>
          </cell>
          <cell r="AZ363">
            <v>241570.29896295103</v>
          </cell>
        </row>
        <row r="364">
          <cell r="B364">
            <v>21532</v>
          </cell>
          <cell r="C364" t="str">
            <v>SA 4 &amp; 7</v>
          </cell>
          <cell r="D364" t="str">
            <v>EMERGENCY OUTREACH BUREAU</v>
          </cell>
          <cell r="G364">
            <v>314246.34832289262</v>
          </cell>
          <cell r="N364">
            <v>30468</v>
          </cell>
          <cell r="T364">
            <v>13245.556870996939</v>
          </cell>
          <cell r="W364">
            <v>869304.89803774771</v>
          </cell>
          <cell r="Z364">
            <v>371843.53108368604</v>
          </cell>
          <cell r="AA364">
            <v>145365</v>
          </cell>
          <cell r="AD364">
            <v>39988.414964194708</v>
          </cell>
          <cell r="AZ364">
            <v>1784461.7492795179</v>
          </cell>
        </row>
        <row r="365">
          <cell r="B365">
            <v>21533</v>
          </cell>
          <cell r="C365" t="str">
            <v>SA 4 &amp; 7</v>
          </cell>
          <cell r="D365" t="str">
            <v>EOB CRISIS &amp; HOMELESS-OUTREACH</v>
          </cell>
          <cell r="G365">
            <v>533037.59099241451</v>
          </cell>
          <cell r="N365">
            <v>0</v>
          </cell>
          <cell r="T365">
            <v>21967.030203463441</v>
          </cell>
          <cell r="W365">
            <v>1397644.9816672562</v>
          </cell>
          <cell r="Z365">
            <v>630736.30319898226</v>
          </cell>
          <cell r="AA365">
            <v>238954</v>
          </cell>
          <cell r="AD365">
            <v>155517.19496876508</v>
          </cell>
          <cell r="AZ365">
            <v>2977857.1010308815</v>
          </cell>
        </row>
        <row r="366">
          <cell r="B366">
            <v>21535</v>
          </cell>
          <cell r="C366" t="str">
            <v>SA 4 &amp; 7</v>
          </cell>
          <cell r="D366" t="str">
            <v>1370.01 PC PROGRAM</v>
          </cell>
          <cell r="K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X366">
            <v>0</v>
          </cell>
          <cell r="Y366">
            <v>0</v>
          </cell>
          <cell r="AG366">
            <v>0</v>
          </cell>
          <cell r="AW366">
            <v>0</v>
          </cell>
          <cell r="AY366">
            <v>0</v>
          </cell>
          <cell r="AZ366">
            <v>0</v>
          </cell>
        </row>
        <row r="367">
          <cell r="B367">
            <v>21542</v>
          </cell>
          <cell r="C367" t="str">
            <v>SA 4 &amp; 7</v>
          </cell>
          <cell r="D367" t="str">
            <v>ADULT -GROW PROGRAM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X367">
            <v>0</v>
          </cell>
          <cell r="Y367">
            <v>0</v>
          </cell>
          <cell r="AG367">
            <v>0</v>
          </cell>
          <cell r="AW367">
            <v>0</v>
          </cell>
          <cell r="AY367">
            <v>0</v>
          </cell>
          <cell r="AZ367">
            <v>0</v>
          </cell>
        </row>
        <row r="368">
          <cell r="B368">
            <v>23017</v>
          </cell>
          <cell r="C368" t="str">
            <v>SA 4 &amp; 7</v>
          </cell>
          <cell r="D368" t="str">
            <v>RIO HONDO COMMUNITY MHC                 18215</v>
          </cell>
          <cell r="G368">
            <v>110541.29855487982</v>
          </cell>
          <cell r="N368">
            <v>609295.43821936159</v>
          </cell>
          <cell r="T368">
            <v>13700.095577501437</v>
          </cell>
          <cell r="W368">
            <v>1653954.0304450367</v>
          </cell>
          <cell r="Z368">
            <v>130802.05069873223</v>
          </cell>
          <cell r="AA368">
            <v>184720</v>
          </cell>
          <cell r="AC368">
            <v>49164.833096433831</v>
          </cell>
          <cell r="AD368">
            <v>54072.561447065258</v>
          </cell>
          <cell r="AL368">
            <v>45194.112143196697</v>
          </cell>
          <cell r="AO368">
            <v>40.218112498774694</v>
          </cell>
          <cell r="AT368">
            <v>11791.303253084676</v>
          </cell>
          <cell r="AZ368">
            <v>2863275.9415477915</v>
          </cell>
        </row>
        <row r="369">
          <cell r="B369">
            <v>23036</v>
          </cell>
          <cell r="C369" t="str">
            <v>SA 4 &amp; 7</v>
          </cell>
          <cell r="D369" t="str">
            <v>SAN ANTONIO MENTAL HEALTH</v>
          </cell>
          <cell r="G369">
            <v>282198.6135976034</v>
          </cell>
          <cell r="N369">
            <v>227897.03369514475</v>
          </cell>
          <cell r="T369">
            <v>153453.80021771436</v>
          </cell>
          <cell r="W369">
            <v>22864.220573441533</v>
          </cell>
          <cell r="Z369">
            <v>333921.87214609294</v>
          </cell>
          <cell r="AA369">
            <v>60815</v>
          </cell>
          <cell r="AD369">
            <v>29839.908711159696</v>
          </cell>
          <cell r="AL369">
            <v>3647.0365003139168</v>
          </cell>
          <cell r="AT369">
            <v>931.94735576448761</v>
          </cell>
          <cell r="AZ369">
            <v>1115569.4327972352</v>
          </cell>
        </row>
        <row r="370">
          <cell r="B370">
            <v>23200</v>
          </cell>
          <cell r="C370" t="str">
            <v>SA 4 &amp; 7</v>
          </cell>
          <cell r="D370" t="str">
            <v>AMERICAN INDIAN  COUNSELING CTR</v>
          </cell>
          <cell r="G370">
            <v>125225.53387816063</v>
          </cell>
          <cell r="N370">
            <v>152493.6820644121</v>
          </cell>
          <cell r="T370">
            <v>24175.765550796485</v>
          </cell>
          <cell r="W370">
            <v>146999.86046849168</v>
          </cell>
          <cell r="Z370">
            <v>148177.71136436408</v>
          </cell>
          <cell r="AA370">
            <v>38908</v>
          </cell>
          <cell r="AD370">
            <v>30759.04984659718</v>
          </cell>
          <cell r="AL370">
            <v>2966.9172643750567</v>
          </cell>
          <cell r="AT370">
            <v>391.45809174739497</v>
          </cell>
          <cell r="AZ370">
            <v>670097.97852894443</v>
          </cell>
        </row>
        <row r="371">
          <cell r="B371">
            <v>27240</v>
          </cell>
          <cell r="C371" t="str">
            <v>SA 4 &amp; 7</v>
          </cell>
          <cell r="D371" t="str">
            <v>CHILD CRISIS TEAM</v>
          </cell>
          <cell r="K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X371">
            <v>0</v>
          </cell>
          <cell r="Y371">
            <v>0</v>
          </cell>
          <cell r="AG371">
            <v>0</v>
          </cell>
          <cell r="AW371">
            <v>0</v>
          </cell>
          <cell r="AY371">
            <v>0</v>
          </cell>
          <cell r="AZ371">
            <v>0</v>
          </cell>
        </row>
        <row r="372">
          <cell r="B372">
            <v>27593</v>
          </cell>
          <cell r="C372" t="str">
            <v>SA 4 &amp; 7</v>
          </cell>
          <cell r="D372" t="str">
            <v>SPECIALIZED FOSTER CARE</v>
          </cell>
          <cell r="G372">
            <v>3795000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X372">
            <v>0</v>
          </cell>
          <cell r="Y372">
            <v>0</v>
          </cell>
          <cell r="Z372">
            <v>4446500</v>
          </cell>
          <cell r="AG372">
            <v>0</v>
          </cell>
          <cell r="AW372">
            <v>0</v>
          </cell>
          <cell r="AY372">
            <v>0</v>
          </cell>
          <cell r="AZ372">
            <v>8241500</v>
          </cell>
        </row>
        <row r="373">
          <cell r="D373" t="str">
            <v>Sub total:  SA 4 &amp; 7</v>
          </cell>
          <cell r="E373">
            <v>0</v>
          </cell>
          <cell r="F373">
            <v>0</v>
          </cell>
          <cell r="G373">
            <v>5931864.8070802763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2939530.0757846725</v>
          </cell>
          <cell r="O373">
            <v>0</v>
          </cell>
          <cell r="P373">
            <v>0</v>
          </cell>
          <cell r="Q373">
            <v>400000</v>
          </cell>
          <cell r="R373">
            <v>0</v>
          </cell>
          <cell r="S373">
            <v>0</v>
          </cell>
          <cell r="T373">
            <v>491496.8974007116</v>
          </cell>
          <cell r="U373">
            <v>0</v>
          </cell>
          <cell r="V373">
            <v>0</v>
          </cell>
          <cell r="W373">
            <v>10481381.757919958</v>
          </cell>
          <cell r="X373">
            <v>0</v>
          </cell>
          <cell r="Y373">
            <v>0</v>
          </cell>
          <cell r="Z373">
            <v>6975023.750725491</v>
          </cell>
          <cell r="AA373">
            <v>1454873</v>
          </cell>
          <cell r="AB373">
            <v>0</v>
          </cell>
          <cell r="AC373">
            <v>147617.29653424482</v>
          </cell>
          <cell r="AD373">
            <v>1336201.0131013321</v>
          </cell>
          <cell r="AE373">
            <v>0</v>
          </cell>
          <cell r="AF373">
            <v>0</v>
          </cell>
          <cell r="AG373">
            <v>63328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108847.68274306275</v>
          </cell>
          <cell r="AM373">
            <v>0</v>
          </cell>
          <cell r="AN373">
            <v>0</v>
          </cell>
          <cell r="AO373">
            <v>80.537239273649647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60748.928943497078</v>
          </cell>
          <cell r="AU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30390993.747472517</v>
          </cell>
        </row>
        <row r="375">
          <cell r="B375">
            <v>20525</v>
          </cell>
          <cell r="C375" t="str">
            <v>DIRECTOR'S OFFICE</v>
          </cell>
          <cell r="D375" t="str">
            <v>OFFICE OF THE DIRECTOR</v>
          </cell>
          <cell r="F375">
            <v>0</v>
          </cell>
          <cell r="G375">
            <v>0</v>
          </cell>
          <cell r="N375">
            <v>244868</v>
          </cell>
          <cell r="Z375">
            <v>0</v>
          </cell>
          <cell r="AA375">
            <v>0</v>
          </cell>
          <cell r="AD375">
            <v>11752.465290100059</v>
          </cell>
          <cell r="AZ375">
            <v>256620.46529010005</v>
          </cell>
        </row>
        <row r="376">
          <cell r="B376">
            <v>70001</v>
          </cell>
          <cell r="C376" t="str">
            <v xml:space="preserve"> CHIEF DEPUTY</v>
          </cell>
          <cell r="D376" t="str">
            <v>OFFICE OF THE CHIEF DEPUTY</v>
          </cell>
          <cell r="F376">
            <v>0</v>
          </cell>
          <cell r="G376">
            <v>0</v>
          </cell>
          <cell r="J376">
            <v>111998</v>
          </cell>
          <cell r="AD376" t="str">
            <v xml:space="preserve"> </v>
          </cell>
          <cell r="AZ376">
            <v>111998</v>
          </cell>
        </row>
        <row r="377">
          <cell r="B377">
            <v>20502</v>
          </cell>
          <cell r="C377" t="str">
            <v xml:space="preserve"> CHIEF DEPUTY</v>
          </cell>
          <cell r="D377" t="str">
            <v>OFFICE OF THE CHIEF DEPUTY</v>
          </cell>
          <cell r="F377">
            <v>0</v>
          </cell>
          <cell r="G377">
            <v>0</v>
          </cell>
          <cell r="AD377">
            <v>3883.6600758565701</v>
          </cell>
          <cell r="AZ377">
            <v>3883.6600758565701</v>
          </cell>
        </row>
        <row r="378">
          <cell r="B378">
            <v>20565</v>
          </cell>
          <cell r="C378" t="str">
            <v>ADMINISTRATIVE DEPUTY</v>
          </cell>
          <cell r="D378" t="str">
            <v>DMH FINANCE</v>
          </cell>
          <cell r="F378">
            <v>0</v>
          </cell>
          <cell r="G378">
            <v>0</v>
          </cell>
          <cell r="AD378">
            <v>34087.429864868987</v>
          </cell>
          <cell r="AZ378">
            <v>34087.429864868987</v>
          </cell>
        </row>
        <row r="379">
          <cell r="B379">
            <v>20511</v>
          </cell>
          <cell r="C379" t="str">
            <v>GEN SVC/ADMIN EXPENDITURES</v>
          </cell>
          <cell r="D379" t="str">
            <v xml:space="preserve">MENTAL HEALTH </v>
          </cell>
          <cell r="N379">
            <v>42000</v>
          </cell>
          <cell r="AB379">
            <v>90000</v>
          </cell>
          <cell r="AG379">
            <v>37600</v>
          </cell>
          <cell r="AO379">
            <v>4489.8058965331393</v>
          </cell>
          <cell r="AS379">
            <v>14000</v>
          </cell>
          <cell r="AZ379">
            <v>188089.80589653313</v>
          </cell>
        </row>
        <row r="380">
          <cell r="B380">
            <v>20540</v>
          </cell>
          <cell r="C380" t="str">
            <v>ADMINISTRATIVE DEPUTY</v>
          </cell>
          <cell r="D380" t="str">
            <v>ADMINISTRATIVE SERVICES BUREAU</v>
          </cell>
          <cell r="Z380">
            <v>0</v>
          </cell>
          <cell r="AA380">
            <v>0</v>
          </cell>
          <cell r="AV380">
            <v>10000</v>
          </cell>
          <cell r="AZ380">
            <v>10000</v>
          </cell>
        </row>
        <row r="381">
          <cell r="B381">
            <v>20512</v>
          </cell>
          <cell r="C381" t="str">
            <v>Gen Admin DMH Only</v>
          </cell>
          <cell r="D381" t="str">
            <v>MENTAL HEALTH</v>
          </cell>
          <cell r="AA381">
            <v>21182010</v>
          </cell>
          <cell r="AK381">
            <v>26000</v>
          </cell>
          <cell r="AP381">
            <v>40000</v>
          </cell>
          <cell r="AQ381">
            <v>63000</v>
          </cell>
          <cell r="AZ381">
            <v>21311010</v>
          </cell>
        </row>
        <row r="382">
          <cell r="D382" t="str">
            <v>UNALLOCATED</v>
          </cell>
          <cell r="E382">
            <v>0</v>
          </cell>
          <cell r="F382">
            <v>0</v>
          </cell>
          <cell r="I382">
            <v>0</v>
          </cell>
          <cell r="M382">
            <v>261431000</v>
          </cell>
          <cell r="N382">
            <v>0</v>
          </cell>
          <cell r="Q382" t="str">
            <v xml:space="preserve"> </v>
          </cell>
          <cell r="S382" t="str">
            <v xml:space="preserve"> </v>
          </cell>
          <cell r="AA382">
            <v>0</v>
          </cell>
          <cell r="AD382">
            <v>0</v>
          </cell>
          <cell r="AH382" t="str">
            <v xml:space="preserve"> </v>
          </cell>
          <cell r="AM382" t="str">
            <v xml:space="preserve"> </v>
          </cell>
          <cell r="AO382">
            <v>0</v>
          </cell>
          <cell r="AQ382">
            <v>0</v>
          </cell>
          <cell r="AS382">
            <v>0</v>
          </cell>
          <cell r="AV382">
            <v>0</v>
          </cell>
          <cell r="AZ382">
            <v>261431000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92">
          <cell r="B192">
            <v>20554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CCD FUNCT. "/>
      <sheetName val="FY0607 ORG CHART"/>
      <sheetName val="06-07 Final Adopted Budget"/>
      <sheetName val="Revised 05-06"/>
      <sheetName val="EPSDT"/>
      <sheetName val="SAMHSA"/>
      <sheetName val="Sheet2"/>
      <sheetName val="9026"/>
      <sheetName val="9761"/>
      <sheetName val="9779"/>
      <sheetName val="9879"/>
      <sheetName val="MHSA"/>
      <sheetName val="SABM- DETAIL Operating"/>
      <sheetName val="summary SABM-Final Adopt"/>
      <sheetName val="WORKINGPAPER"/>
      <sheetName val="BACKUPFORNEWFORMAT"/>
      <sheetName val="COMPARISONNEWFORMAT"/>
      <sheetName val="PERMANENT_(2)"/>
      <sheetName val="REVCAOPRO03-04-new_(2)"/>
      <sheetName val="CCD_FUNCT__"/>
      <sheetName val="FY0607_ORG_CHART"/>
      <sheetName val="06-07_Final_Adopted_Budget"/>
      <sheetName val="Revised_05-06"/>
      <sheetName val="SABM-_DETAIL_Operating"/>
      <sheetName val="summary_SABM-Final_Ado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10">
            <v>18715</v>
          </cell>
          <cell r="B10" t="str">
            <v>CONSUMER &amp; FAMILY ADVOCATE</v>
          </cell>
          <cell r="C10" t="str">
            <v>DIRECTOR'S OFFICE</v>
          </cell>
        </row>
        <row r="11">
          <cell r="A11">
            <v>20525</v>
          </cell>
          <cell r="B11" t="str">
            <v>OFFICE OF THE DIRECTOR</v>
          </cell>
          <cell r="C11" t="str">
            <v>DIRECTOR'S OFFICE</v>
          </cell>
        </row>
        <row r="12">
          <cell r="A12">
            <v>20531</v>
          </cell>
          <cell r="B12" t="str">
            <v>PATIENTS' RIGHTS</v>
          </cell>
          <cell r="C12" t="str">
            <v>DIRECTOR'S OFFICE</v>
          </cell>
        </row>
        <row r="13">
          <cell r="A13" t="str">
            <v>SUSAN KERR - CHIEF DEPUTY DIRECTOR'S OFFICE</v>
          </cell>
          <cell r="C13" t="str">
            <v>DIRECTOR'S OFFICE</v>
          </cell>
        </row>
        <row r="14">
          <cell r="A14">
            <v>27631</v>
          </cell>
          <cell r="B14" t="str">
            <v>COMPLIANCE PROGRAM OFFICE</v>
          </cell>
          <cell r="C14" t="str">
            <v>DIRECTOR'S OFFICE</v>
          </cell>
        </row>
        <row r="15">
          <cell r="A15">
            <v>20558</v>
          </cell>
          <cell r="B15" t="str">
            <v>GOVERNMENTAL RELATIONS</v>
          </cell>
          <cell r="C15" t="str">
            <v>DIRECTOR'S OFFICE</v>
          </cell>
        </row>
        <row r="16">
          <cell r="A16">
            <v>20526</v>
          </cell>
          <cell r="B16" t="str">
            <v>MENTAL HEALTH COMMISSION</v>
          </cell>
          <cell r="C16" t="str">
            <v>DIRECTOR'S OFFICE</v>
          </cell>
        </row>
        <row r="17">
          <cell r="A17">
            <v>18620</v>
          </cell>
          <cell r="B17" t="str">
            <v xml:space="preserve">OFFICE OF CONSUMER AFFAIRS </v>
          </cell>
          <cell r="C17" t="str">
            <v>DIRECTOR'S OFFICE</v>
          </cell>
        </row>
        <row r="18">
          <cell r="A18">
            <v>20502</v>
          </cell>
          <cell r="B18" t="str">
            <v>OFFICE OF THE CHIEF DEPUTY DIRECTOR</v>
          </cell>
          <cell r="C18" t="str">
            <v>DIRECTOR'S OFFICE</v>
          </cell>
        </row>
        <row r="19">
          <cell r="A19" t="str">
            <v>SUSAN KERR - OFFICE OF ADMINISTRATIVE DEPUTY</v>
          </cell>
        </row>
        <row r="20">
          <cell r="A20">
            <v>20566</v>
          </cell>
          <cell r="B20" t="str">
            <v>ACCOUNTING DIVISION</v>
          </cell>
          <cell r="C20" t="str">
            <v>ADMINISTRATIVE DEPUTY</v>
          </cell>
        </row>
        <row r="21">
          <cell r="A21">
            <v>20540</v>
          </cell>
          <cell r="B21" t="str">
            <v>ADMINISTRATIVE SERVICES BUREAU</v>
          </cell>
          <cell r="C21" t="str">
            <v>ADMINISTRATIVE DEPUTY</v>
          </cell>
        </row>
        <row r="22">
          <cell r="A22">
            <v>21556</v>
          </cell>
          <cell r="B22" t="str">
            <v>AUDIT SECTION</v>
          </cell>
          <cell r="C22" t="str">
            <v>ADMINISTRATIVE DEPUTY</v>
          </cell>
        </row>
        <row r="23">
          <cell r="A23">
            <v>20567</v>
          </cell>
          <cell r="B23" t="str">
            <v>BUDGET &amp; REIMBURSEMENT DIVISION</v>
          </cell>
          <cell r="C23" t="str">
            <v>ADMINISTRATIVE DEPUTY</v>
          </cell>
        </row>
        <row r="24">
          <cell r="A24">
            <v>27232</v>
          </cell>
          <cell r="B24" t="str">
            <v>CAL WORKS CLAIMING UNIT</v>
          </cell>
          <cell r="C24" t="str">
            <v>ADMINISTRATIVE DEPUTY</v>
          </cell>
        </row>
        <row r="25">
          <cell r="A25">
            <v>27506</v>
          </cell>
          <cell r="B25" t="str">
            <v>CENTER OPERATIONS ENHANCEMENT INITIATIVE</v>
          </cell>
          <cell r="C25" t="str">
            <v>ADMINISTRATIVE DEPUTY</v>
          </cell>
        </row>
        <row r="26">
          <cell r="A26">
            <v>23061</v>
          </cell>
          <cell r="B26" t="str">
            <v>CONTRACTS DEVELOPMENT &amp; ADMINISTRATION DIVISION</v>
          </cell>
          <cell r="C26" t="str">
            <v>ADMINISTRATIVE DEPUTY</v>
          </cell>
        </row>
        <row r="27">
          <cell r="A27">
            <v>20569</v>
          </cell>
          <cell r="B27" t="str">
            <v>CONTRACTS PAYABLE</v>
          </cell>
          <cell r="C27" t="str">
            <v>ADMINISTRATIVE DEPUTY</v>
          </cell>
        </row>
        <row r="28">
          <cell r="A28">
            <v>21551</v>
          </cell>
          <cell r="B28" t="str">
            <v>CUSTOMER REVENUE SUPPORT SECTION</v>
          </cell>
          <cell r="C28" t="str">
            <v>ADMINISTRATIVE DEPUTY</v>
          </cell>
        </row>
        <row r="29">
          <cell r="A29">
            <v>27533</v>
          </cell>
          <cell r="B29" t="str">
            <v>DATA WAREHOUSE &amp; REPORTING DIVISION</v>
          </cell>
          <cell r="C29" t="str">
            <v>ADMINISTRATIVE DEPUTY</v>
          </cell>
        </row>
        <row r="30">
          <cell r="A30">
            <v>20565</v>
          </cell>
          <cell r="B30" t="str">
            <v>DIRECTOR OF FINANCIAL SERVICES</v>
          </cell>
          <cell r="C30" t="str">
            <v>ADMINISTRATIVE DEPUTY</v>
          </cell>
        </row>
        <row r="31">
          <cell r="A31">
            <v>21540</v>
          </cell>
          <cell r="B31" t="str">
            <v>ENTERPRISE APPLICATIONS DIVISION</v>
          </cell>
          <cell r="C31" t="str">
            <v>ADMINISTRATIVE DEPUTY</v>
          </cell>
        </row>
        <row r="32">
          <cell r="A32">
            <v>27532</v>
          </cell>
          <cell r="B32" t="str">
            <v>ENTERPRISE PROJECT MANAGEMENT DIVISION</v>
          </cell>
          <cell r="C32" t="str">
            <v>ADMINISTRATIVE DEPUTY</v>
          </cell>
        </row>
        <row r="33">
          <cell r="A33">
            <v>20656</v>
          </cell>
          <cell r="B33" t="str">
            <v>FINANCE MANAGER, MENTAL HEALTH</v>
          </cell>
          <cell r="C33" t="str">
            <v>ADMINISTRATIVE DEPUTY</v>
          </cell>
        </row>
        <row r="34">
          <cell r="A34">
            <v>20539</v>
          </cell>
          <cell r="B34" t="str">
            <v>HUMAN RESOURCES BUREAU</v>
          </cell>
          <cell r="C34" t="str">
            <v>ADMINISTRATIVE DEPUTY</v>
          </cell>
        </row>
        <row r="35">
          <cell r="A35">
            <v>27475</v>
          </cell>
          <cell r="B35" t="str">
            <v>INFORMATION SECURITY DIVISION</v>
          </cell>
          <cell r="C35" t="str">
            <v>ADMINISTRATIVE DEPUTY</v>
          </cell>
        </row>
        <row r="36">
          <cell r="A36">
            <v>28010</v>
          </cell>
          <cell r="B36" t="str">
            <v>INFORMATION SECURITY DIVISION</v>
          </cell>
          <cell r="C36" t="str">
            <v>ADMINISTRATIVE DEPUTY</v>
          </cell>
        </row>
        <row r="37">
          <cell r="A37">
            <v>28011</v>
          </cell>
          <cell r="B37" t="str">
            <v>INTEGRATED BEHAVIORAL HEALTH INFORMATION SYSTEM PROJECT -CGF</v>
          </cell>
          <cell r="C37" t="str">
            <v>ADMINISTRATIVE DEPUTY</v>
          </cell>
        </row>
        <row r="38">
          <cell r="A38">
            <v>23043</v>
          </cell>
          <cell r="B38" t="str">
            <v>MIS/ITS</v>
          </cell>
          <cell r="C38" t="str">
            <v>ADMINISTRATIVE DEPUTY</v>
          </cell>
        </row>
        <row r="39">
          <cell r="A39">
            <v>18678</v>
          </cell>
          <cell r="B39" t="str">
            <v>OFFICE OF THE ADMINISTRATIVE DEPUTY</v>
          </cell>
          <cell r="C39" t="str">
            <v>ADMINISTRATIVE DEPUTY</v>
          </cell>
        </row>
        <row r="40">
          <cell r="A40">
            <v>28009</v>
          </cell>
          <cell r="B40" t="str">
            <v>PROGRAM RECOVERY, SETTLEMENT AND AUDIT</v>
          </cell>
          <cell r="C40" t="str">
            <v>ADMINISTRATIVE DEPUTY</v>
          </cell>
        </row>
        <row r="41">
          <cell r="A41">
            <v>21553</v>
          </cell>
          <cell r="B41" t="str">
            <v>RECOVERY SECTION</v>
          </cell>
          <cell r="C41" t="str">
            <v>ADMINISTRATIVE DEPUTY</v>
          </cell>
        </row>
        <row r="42">
          <cell r="A42">
            <v>21554</v>
          </cell>
          <cell r="B42" t="str">
            <v>RECOVERY SECTION, 1115 WAIVER UNIT</v>
          </cell>
          <cell r="C42" t="str">
            <v>ADMINISTRATIVE DEPUTY</v>
          </cell>
        </row>
        <row r="43">
          <cell r="A43">
            <v>21555</v>
          </cell>
          <cell r="B43" t="str">
            <v>RECOVERY SECTION, CLAIMS SUBMISSION UNIT</v>
          </cell>
          <cell r="C43" t="str">
            <v>ADMINISTRATIVE DEPUTY</v>
          </cell>
        </row>
        <row r="44">
          <cell r="A44">
            <v>27589</v>
          </cell>
          <cell r="B44" t="str">
            <v>REVENUE MANAGEMENT DIVISION</v>
          </cell>
          <cell r="C44" t="str">
            <v>ADMINISTRATIVE DEPUTY</v>
          </cell>
        </row>
        <row r="45">
          <cell r="A45">
            <v>21550</v>
          </cell>
          <cell r="B45" t="str">
            <v>TECHNICAL FINANCIAL SERVICES UNIT</v>
          </cell>
          <cell r="C45" t="str">
            <v>ADMINISTRATIVE DEPUTY</v>
          </cell>
        </row>
        <row r="46">
          <cell r="A46">
            <v>21541</v>
          </cell>
          <cell r="B46" t="str">
            <v>TECHNOLOGY SERVICES DIVISION</v>
          </cell>
          <cell r="C46" t="str">
            <v>ADMINISTRATIVE DEPUTY</v>
          </cell>
        </row>
        <row r="47">
          <cell r="A47">
            <v>21552</v>
          </cell>
          <cell r="B47" t="str">
            <v>THIRD PARTY REVENUE RECOVERY BRANCH</v>
          </cell>
          <cell r="C47" t="str">
            <v>ADMINISTRATIVE DEPUTY</v>
          </cell>
        </row>
        <row r="48">
          <cell r="A48">
            <v>32084</v>
          </cell>
          <cell r="B48" t="str">
            <v>MHSA - INTEGRATED BEHAVIORAL HEALTH INFORMATION SYSTEM PROJ</v>
          </cell>
          <cell r="C48" t="str">
            <v>ADMINISTRATIVE DEPUTY</v>
          </cell>
        </row>
        <row r="49">
          <cell r="A49" t="str">
            <v>RODERICK SHANER, MD - MEDICAL DIRECTOR'S OFFICE</v>
          </cell>
        </row>
        <row r="50">
          <cell r="A50">
            <v>27611</v>
          </cell>
          <cell r="B50" t="str">
            <v xml:space="preserve">DAY TREATMENT </v>
          </cell>
          <cell r="C50" t="str">
            <v>MEDICAL DIRECTOR'S OFFICE</v>
          </cell>
        </row>
        <row r="51">
          <cell r="A51">
            <v>20474</v>
          </cell>
          <cell r="B51" t="str">
            <v>OFFICE OF MANAGE CARE SERVICES ADMIN</v>
          </cell>
          <cell r="C51" t="str">
            <v>MEDICAL DIRECTOR'S OFFICE</v>
          </cell>
        </row>
        <row r="52">
          <cell r="A52">
            <v>20528</v>
          </cell>
          <cell r="B52" t="str">
            <v>OFFICE OF MEDICAL DIRECTOR</v>
          </cell>
          <cell r="C52" t="str">
            <v>MEDICAL DIRECTOR'S OFFICE</v>
          </cell>
        </row>
        <row r="53">
          <cell r="A53">
            <v>20530</v>
          </cell>
          <cell r="B53" t="str">
            <v xml:space="preserve">PHARMACY SERVICES </v>
          </cell>
          <cell r="C53" t="str">
            <v>MEDICAL DIRECTOR'S OFFICE</v>
          </cell>
        </row>
        <row r="54">
          <cell r="A54">
            <v>18593</v>
          </cell>
          <cell r="B54" t="str">
            <v>TREATMENT AUTHORIZATION REQUEST</v>
          </cell>
          <cell r="C54" t="str">
            <v>MEDICAL DIRECTOR'S OFFICE</v>
          </cell>
        </row>
        <row r="55">
          <cell r="A55">
            <v>20683</v>
          </cell>
          <cell r="B55" t="str">
            <v>HIV MENTAL HEALTH TEAM</v>
          </cell>
          <cell r="C55" t="str">
            <v>MEDICAL DIRECTOR'S OFFICE</v>
          </cell>
        </row>
        <row r="56">
          <cell r="A56" t="str">
            <v>DENNIS MURATA - PROGRAM SUPPORT BUREAU</v>
          </cell>
        </row>
        <row r="57">
          <cell r="A57">
            <v>20588</v>
          </cell>
          <cell r="B57" t="str">
            <v>PLANNING QUALITY &amp; OUTCOME ADMINISTRATION</v>
          </cell>
          <cell r="C57" t="str">
            <v>PROGRAM SUPPORT BUREAU</v>
          </cell>
        </row>
        <row r="58">
          <cell r="A58">
            <v>20589</v>
          </cell>
          <cell r="B58" t="str">
            <v>PROGRAM DEVELOPMENT AND PLANNING DIVISION</v>
          </cell>
          <cell r="C58" t="str">
            <v>PROGRAM SUPPORT BUREAU</v>
          </cell>
        </row>
        <row r="59">
          <cell r="A59">
            <v>20559</v>
          </cell>
          <cell r="B59" t="str">
            <v>QUALITY &amp; OUTCOME BUREAU</v>
          </cell>
          <cell r="C59" t="str">
            <v>PROGRAM SUPPORT BUREAU</v>
          </cell>
        </row>
        <row r="60">
          <cell r="A60">
            <v>20905</v>
          </cell>
          <cell r="B60" t="str">
            <v xml:space="preserve">RESOURCE DEVELOPMENT PROGRAM SUPPORT </v>
          </cell>
          <cell r="C60" t="str">
            <v>PROGRAM SUPPORT BUREAU</v>
          </cell>
        </row>
        <row r="61">
          <cell r="A61">
            <v>20560</v>
          </cell>
          <cell r="B61" t="str">
            <v>STANDARDS AND RECORDS</v>
          </cell>
          <cell r="C61" t="str">
            <v>PROGRAM SUPPORT BUREAU</v>
          </cell>
        </row>
        <row r="62">
          <cell r="A62">
            <v>21543</v>
          </cell>
          <cell r="B62" t="str">
            <v>TRAINING - CULTURAL COMPETENCY</v>
          </cell>
          <cell r="C62" t="str">
            <v>PROGRAM SUPPORT BUREAU</v>
          </cell>
        </row>
        <row r="63">
          <cell r="A63">
            <v>20543</v>
          </cell>
          <cell r="B63" t="str">
            <v>TRAINING AND CULTURAL COMPETENCY ADMIN</v>
          </cell>
          <cell r="C63" t="str">
            <v>PROGRAM SUPPORT BUREAU</v>
          </cell>
        </row>
        <row r="64">
          <cell r="A64">
            <v>20591</v>
          </cell>
          <cell r="B64" t="str">
            <v>TRAINING DIVISION</v>
          </cell>
          <cell r="C64" t="str">
            <v>PROGRAM SUPPORT BUREAU</v>
          </cell>
        </row>
        <row r="65">
          <cell r="A65">
            <v>27551</v>
          </cell>
          <cell r="B65" t="str">
            <v xml:space="preserve">MENTAL HEALTH SERVICES ACT PROGRAM </v>
          </cell>
          <cell r="C65" t="str">
            <v>PROGRAM SUPPORT BUREAU</v>
          </cell>
        </row>
        <row r="66">
          <cell r="A66">
            <v>32055</v>
          </cell>
          <cell r="B66" t="str">
            <v>MHSA - ADMINISTRATION-FSP</v>
          </cell>
          <cell r="C66" t="str">
            <v>PROGRAM SUPPORT BUREAU</v>
          </cell>
        </row>
        <row r="67">
          <cell r="A67">
            <v>32056</v>
          </cell>
          <cell r="B67" t="str">
            <v>MHSA - ADMINISTRATION-SD</v>
          </cell>
          <cell r="C67" t="str">
            <v>PROGRAM SUPPORT BUREAU</v>
          </cell>
        </row>
        <row r="68">
          <cell r="A68">
            <v>32065</v>
          </cell>
          <cell r="B68" t="str">
            <v>MHSA - OUTREACH &amp; ENGAGEMENT-FSP</v>
          </cell>
          <cell r="C68" t="str">
            <v>PROGRAM SUPPORT BUREAU</v>
          </cell>
        </row>
        <row r="69">
          <cell r="A69">
            <v>32066</v>
          </cell>
          <cell r="B69" t="str">
            <v>MHSA - OUTREACH &amp; ENGAGEMENT-O&amp;E</v>
          </cell>
          <cell r="C69" t="str">
            <v>PROGRAM SUPPORT BUREAU</v>
          </cell>
        </row>
        <row r="70">
          <cell r="A70">
            <v>32067</v>
          </cell>
          <cell r="B70" t="str">
            <v>MHSA - PLANNING &amp; OUTCOMES-FSP</v>
          </cell>
          <cell r="C70" t="str">
            <v>PROGRAM SUPPORT BUREAU</v>
          </cell>
        </row>
        <row r="71">
          <cell r="A71">
            <v>32068</v>
          </cell>
          <cell r="B71" t="str">
            <v>MHSA - PLANNING &amp; OUTCOMES-SD</v>
          </cell>
          <cell r="C71" t="str">
            <v>PROGRAM SUPPORT BUREAU</v>
          </cell>
        </row>
        <row r="72">
          <cell r="A72">
            <v>32054</v>
          </cell>
          <cell r="B72" t="str">
            <v>MHSA - PLANNING, OUTREACH, ENGAGEMENT-O&amp;E</v>
          </cell>
          <cell r="C72" t="str">
            <v>PROGRAM SUPPORT BUREAU</v>
          </cell>
        </row>
        <row r="73">
          <cell r="A73">
            <v>32063</v>
          </cell>
          <cell r="B73" t="str">
            <v>MHSA - TRAINING &amp; WORKFORCE DEVELOPMENT-FSP</v>
          </cell>
          <cell r="C73" t="str">
            <v>PROGRAM SUPPORT BUREAU</v>
          </cell>
        </row>
        <row r="74">
          <cell r="A74">
            <v>32064</v>
          </cell>
          <cell r="B74" t="str">
            <v>MHSA - TRAINING &amp; WORKFORCE DEVELOPMENT-SD</v>
          </cell>
          <cell r="C74" t="str">
            <v>PROGRAM SUPPORT BUREAU</v>
          </cell>
        </row>
        <row r="75">
          <cell r="A75" t="str">
            <v>CHRIS FIERRO - PUBLIC GUARDIAN</v>
          </cell>
        </row>
        <row r="76">
          <cell r="A76">
            <v>20551</v>
          </cell>
          <cell r="B76" t="str">
            <v>DEPUTY DIRECTOR - PUBLIC GUARDIAN</v>
          </cell>
          <cell r="C76" t="str">
            <v>PUBLIC GUARDIAN</v>
          </cell>
        </row>
        <row r="77">
          <cell r="A77">
            <v>20651</v>
          </cell>
          <cell r="B77" t="str">
            <v>PUBLIC GUARDIAN - LPS</v>
          </cell>
          <cell r="C77" t="str">
            <v>PUBLIC GUARDIAN</v>
          </cell>
        </row>
        <row r="78">
          <cell r="A78">
            <v>20652</v>
          </cell>
          <cell r="B78" t="str">
            <v>PUBLIC GUARDIAN - PROBATE (NCC)</v>
          </cell>
          <cell r="C78" t="str">
            <v>PUBLIC GUARDIAN</v>
          </cell>
        </row>
        <row r="79">
          <cell r="A79" t="str">
            <v>SANDRA THOMAS - JUVENILE JUSTICE PROGRAMS</v>
          </cell>
        </row>
        <row r="80">
          <cell r="A80">
            <v>20444</v>
          </cell>
          <cell r="B80" t="str">
            <v>BARRY J. NIDORF JUVENILE HALL - MH UNIT</v>
          </cell>
          <cell r="C80" t="str">
            <v>JUVENILE JUSTICE PROGRAM</v>
          </cell>
        </row>
        <row r="81">
          <cell r="A81">
            <v>20443</v>
          </cell>
          <cell r="B81" t="str">
            <v>CENTRAL JUVENILE HALL - MH UNIT</v>
          </cell>
          <cell r="C81" t="str">
            <v>JUVENILE JUSTICE PROGRAM</v>
          </cell>
        </row>
        <row r="82">
          <cell r="A82">
            <v>21565</v>
          </cell>
          <cell r="B82" t="str">
            <v>CHALLENGER GRANT</v>
          </cell>
          <cell r="C82" t="str">
            <v>JUVENILE JUSTICE PROGRAM</v>
          </cell>
        </row>
        <row r="83">
          <cell r="A83">
            <v>20442</v>
          </cell>
          <cell r="B83" t="str">
            <v>CHALLENGER MH UNIT</v>
          </cell>
          <cell r="C83" t="str">
            <v>JUVENILE JUSTICE PROGRAM</v>
          </cell>
        </row>
        <row r="84">
          <cell r="A84">
            <v>28002</v>
          </cell>
          <cell r="B84" t="str">
            <v>COUNTRYWIDE SPECIALIZED FOSTER CARE/CHILD WELFARE - ADMIN</v>
          </cell>
          <cell r="C84" t="str">
            <v>JUVENILE JUSTICE PROGRAM</v>
          </cell>
        </row>
        <row r="85">
          <cell r="A85">
            <v>18706</v>
          </cell>
          <cell r="B85" t="str">
            <v>CSOC - JUVENILE JUSTICE PROGRAM ADMIN</v>
          </cell>
          <cell r="C85" t="str">
            <v>JUVENILE JUSTICE PROGRAM</v>
          </cell>
        </row>
        <row r="86">
          <cell r="A86">
            <v>20441</v>
          </cell>
          <cell r="B86" t="str">
            <v>DOROTHY KIRBY CENTER MH UNIT</v>
          </cell>
          <cell r="C86" t="str">
            <v>JUVENILE JUSTICE PROGRAM</v>
          </cell>
        </row>
        <row r="87">
          <cell r="A87">
            <v>18703</v>
          </cell>
          <cell r="B87" t="str">
            <v>FAMILY PRESERVATION</v>
          </cell>
          <cell r="C87" t="str">
            <v>JUVENILE JUSTICE PROGRAM</v>
          </cell>
        </row>
        <row r="88">
          <cell r="A88">
            <v>18677</v>
          </cell>
          <cell r="B88" t="str">
            <v>ICAT</v>
          </cell>
          <cell r="C88" t="str">
            <v>JUVENILE JUSTICE PROGRAM</v>
          </cell>
        </row>
        <row r="89">
          <cell r="A89">
            <v>27254</v>
          </cell>
          <cell r="B89" t="str">
            <v>JUVENILE JUSTICE EXPANSION - SCHIFF CARDENAS</v>
          </cell>
          <cell r="C89" t="str">
            <v>JUVENILE JUSTICE PROGRAM</v>
          </cell>
        </row>
        <row r="90">
          <cell r="A90">
            <v>20445</v>
          </cell>
          <cell r="B90" t="str">
            <v>LOS PADRINOS JUVENILE HALL - MH UNIT</v>
          </cell>
          <cell r="C90" t="str">
            <v>JUVENILE JUSTICE PROGRAM</v>
          </cell>
        </row>
        <row r="91">
          <cell r="A91">
            <v>18705</v>
          </cell>
          <cell r="B91" t="str">
            <v>MH CHILD COURT ASSESSMENT</v>
          </cell>
          <cell r="C91" t="str">
            <v>JUVENILE JUSTICE PROGRAM</v>
          </cell>
        </row>
        <row r="92">
          <cell r="A92">
            <v>21538</v>
          </cell>
          <cell r="B92" t="str">
            <v>SB 1095 HIGH RISK EDUCATION &amp; SAFETY</v>
          </cell>
          <cell r="C92" t="str">
            <v>JUVENILE JUSTICE PROGRAM</v>
          </cell>
        </row>
        <row r="93">
          <cell r="A93">
            <v>21563</v>
          </cell>
          <cell r="B93" t="str">
            <v>SB933/START ADMINISTRATION</v>
          </cell>
          <cell r="C93" t="str">
            <v>JUVENILE JUSTICE PROGRAM</v>
          </cell>
        </row>
        <row r="94">
          <cell r="A94">
            <v>21564</v>
          </cell>
          <cell r="B94" t="str">
            <v>SB933 PROGRAM ASSESSMENT</v>
          </cell>
          <cell r="C94" t="str">
            <v>JUVENILE JUSTICE PROGRAM</v>
          </cell>
        </row>
        <row r="95">
          <cell r="A95">
            <v>23019</v>
          </cell>
          <cell r="B95" t="str">
            <v>START</v>
          </cell>
          <cell r="C95" t="str">
            <v>JUVENILE JUSTICE PROGRAM</v>
          </cell>
        </row>
        <row r="96">
          <cell r="A96">
            <v>32022</v>
          </cell>
          <cell r="B96" t="str">
            <v>MHSA - DROP-IN CENTER-FSP</v>
          </cell>
          <cell r="C96" t="str">
            <v>JUVENILE JUSTICE PROGRAM</v>
          </cell>
        </row>
        <row r="97">
          <cell r="A97">
            <v>32023</v>
          </cell>
          <cell r="B97" t="str">
            <v>MHSA - DROP-IN CENTER-SD</v>
          </cell>
          <cell r="C97" t="str">
            <v>JUVENILE JUSTICE PROGRAM</v>
          </cell>
        </row>
        <row r="98">
          <cell r="A98">
            <v>32026</v>
          </cell>
          <cell r="B98" t="str">
            <v>MHSA - PROBATION CAMPS-FSP</v>
          </cell>
          <cell r="C98" t="str">
            <v>JUVENILE JUSTICE PROGRAM</v>
          </cell>
        </row>
        <row r="99">
          <cell r="A99">
            <v>32027</v>
          </cell>
          <cell r="B99" t="str">
            <v>MHSA - PROBATION CAMPS-SD</v>
          </cell>
          <cell r="C99" t="str">
            <v>JUVENILE JUSTICE PROGRAM</v>
          </cell>
        </row>
        <row r="100">
          <cell r="A100">
            <v>32021</v>
          </cell>
          <cell r="B100" t="str">
            <v>MHSA - TAY FULL SERVICE PARTNERSHIP-FSP</v>
          </cell>
          <cell r="C100" t="str">
            <v>JUVENILE JUSTICE PROGRAM</v>
          </cell>
        </row>
        <row r="101">
          <cell r="A101">
            <v>32024</v>
          </cell>
          <cell r="B101" t="str">
            <v>MHSA - TRANSITIONAL AGED YOUTH HOUSING SERVICE-FSP</v>
          </cell>
          <cell r="C101" t="str">
            <v>JUVENILE JUSTICE PROGRAM</v>
          </cell>
        </row>
        <row r="102">
          <cell r="A102">
            <v>32028</v>
          </cell>
          <cell r="B102" t="str">
            <v>MHSA - TRANSITIONAL AGED YOUTH HOUSING SERVICE-OE</v>
          </cell>
          <cell r="C102" t="str">
            <v>JUVENILE JUSTICE PROGRAM</v>
          </cell>
        </row>
        <row r="103">
          <cell r="A103">
            <v>32025</v>
          </cell>
          <cell r="B103" t="str">
            <v>MHSA - TRANSITIONAL AGED YOUTH HOUSING SERVICE-SD</v>
          </cell>
          <cell r="C103" t="str">
            <v>JUVENILE JUSTICE PROGRAM</v>
          </cell>
        </row>
        <row r="104">
          <cell r="A104" t="str">
            <v>TONY BELIZ  - SERVICES AREAS 4 &amp; 7</v>
          </cell>
        </row>
        <row r="105">
          <cell r="A105">
            <v>21535</v>
          </cell>
          <cell r="B105" t="str">
            <v>1370.01 PC PROGRAM</v>
          </cell>
          <cell r="C105" t="str">
            <v>SA 4 &amp; 7</v>
          </cell>
        </row>
        <row r="106">
          <cell r="A106">
            <v>18662</v>
          </cell>
          <cell r="B106" t="str">
            <v>ACCESS - TELECOMMUNICATIONS FFS</v>
          </cell>
          <cell r="C106" t="str">
            <v>SA 4 &amp; 7</v>
          </cell>
        </row>
        <row r="107">
          <cell r="A107">
            <v>21542</v>
          </cell>
          <cell r="B107" t="str">
            <v>ADULT -GROW PROGRAM</v>
          </cell>
          <cell r="C107" t="str">
            <v>SA 4 &amp; 7</v>
          </cell>
        </row>
        <row r="108">
          <cell r="A108">
            <v>18676</v>
          </cell>
          <cell r="B108" t="str">
            <v>CAL WORKS</v>
          </cell>
          <cell r="C108" t="str">
            <v>SA 4 &amp; 7</v>
          </cell>
        </row>
        <row r="109">
          <cell r="A109">
            <v>23200</v>
          </cell>
          <cell r="B109" t="str">
            <v>AMERICAN INDIAN COUNSELING CENTER</v>
          </cell>
          <cell r="C109" t="str">
            <v>SA 4 &amp; 7</v>
          </cell>
        </row>
        <row r="110">
          <cell r="A110">
            <v>27576</v>
          </cell>
          <cell r="B110" t="str">
            <v>CALWORKS FAMILIES PROJECTS</v>
          </cell>
          <cell r="C110" t="str">
            <v>SA 4 &amp; 7</v>
          </cell>
        </row>
        <row r="111">
          <cell r="A111">
            <v>20572</v>
          </cell>
          <cell r="B111" t="str">
            <v>CENTRAL LOS ANGELES CCU</v>
          </cell>
          <cell r="C111" t="str">
            <v>SA 4 &amp; 7</v>
          </cell>
        </row>
        <row r="112">
          <cell r="A112">
            <v>27240</v>
          </cell>
          <cell r="B112" t="str">
            <v>CHILD CRISIS TEAM</v>
          </cell>
          <cell r="C112" t="str">
            <v>SA 4 &amp; 7</v>
          </cell>
        </row>
        <row r="113">
          <cell r="A113">
            <v>20478</v>
          </cell>
          <cell r="B113" t="str">
            <v>COMMUNITY LIVING PROGRAM</v>
          </cell>
          <cell r="C113" t="str">
            <v>SA 4 &amp; 7</v>
          </cell>
        </row>
        <row r="114">
          <cell r="A114">
            <v>20928</v>
          </cell>
          <cell r="B114" t="str">
            <v>DMH LAC/USC INTENSIVE CASE MANAGEMENT</v>
          </cell>
          <cell r="C114" t="str">
            <v>SA 4 &amp; 7</v>
          </cell>
        </row>
        <row r="115">
          <cell r="A115">
            <v>18213</v>
          </cell>
          <cell r="B115" t="str">
            <v>DMH/DPSS/CO-LOCATED - PROGRAMS</v>
          </cell>
          <cell r="C115" t="str">
            <v>SA 4 &amp; 7</v>
          </cell>
        </row>
        <row r="116">
          <cell r="A116">
            <v>20483</v>
          </cell>
          <cell r="B116" t="str">
            <v>DOWNTOWN MHC</v>
          </cell>
          <cell r="C116" t="str">
            <v>SA 4 &amp; 7</v>
          </cell>
        </row>
        <row r="117">
          <cell r="A117">
            <v>20952</v>
          </cell>
          <cell r="B117" t="str">
            <v>EMERGENCY DISASTER PLANNING &amp; MANAGEMENT</v>
          </cell>
          <cell r="C117" t="str">
            <v>SA 4 &amp; 7</v>
          </cell>
        </row>
        <row r="118">
          <cell r="A118">
            <v>21532</v>
          </cell>
          <cell r="B118" t="str">
            <v>EMERGENCY OUTREACH BUREAU -  ADMINISTRATION</v>
          </cell>
          <cell r="C118" t="str">
            <v>SA 4 &amp; 7</v>
          </cell>
        </row>
        <row r="119">
          <cell r="A119">
            <v>20440</v>
          </cell>
          <cell r="B119" t="str">
            <v>HOLLYWOOD GI ADMINISTRATION</v>
          </cell>
          <cell r="C119" t="str">
            <v>SA 4 &amp; 7</v>
          </cell>
        </row>
        <row r="120">
          <cell r="A120">
            <v>20477</v>
          </cell>
          <cell r="B120" t="str">
            <v>HOLLYWOOD MHC</v>
          </cell>
          <cell r="C120" t="str">
            <v>SA 4 &amp; 7</v>
          </cell>
        </row>
        <row r="121">
          <cell r="A121">
            <v>21533</v>
          </cell>
          <cell r="B121" t="str">
            <v>HOMELESS OUTREACH</v>
          </cell>
          <cell r="C121" t="str">
            <v>SA 4 &amp; 7</v>
          </cell>
        </row>
        <row r="122">
          <cell r="A122">
            <v>20924</v>
          </cell>
          <cell r="B122" t="str">
            <v>INSTITUTION FOR MENTAL DISEASES (IMD) ADMIN.</v>
          </cell>
          <cell r="C122" t="str">
            <v>SA 4 &amp; 7</v>
          </cell>
        </row>
        <row r="123">
          <cell r="A123">
            <v>27590</v>
          </cell>
          <cell r="B123" t="str">
            <v>LANCASTER NSA SCREENINGS</v>
          </cell>
          <cell r="C123" t="str">
            <v>SA 4 &amp; 7</v>
          </cell>
        </row>
        <row r="124">
          <cell r="A124">
            <v>18632</v>
          </cell>
          <cell r="B124" t="str">
            <v>LONG BEACH MET</v>
          </cell>
          <cell r="C124" t="str">
            <v>SA 4 &amp; 7</v>
          </cell>
        </row>
        <row r="125">
          <cell r="A125">
            <v>20575</v>
          </cell>
          <cell r="B125" t="str">
            <v>LPS MENTAL HEALTH SERVICES</v>
          </cell>
          <cell r="C125" t="str">
            <v>SA 4 &amp; 7</v>
          </cell>
        </row>
        <row r="126">
          <cell r="A126">
            <v>20981</v>
          </cell>
          <cell r="B126" t="str">
            <v>M.E.T. PROGRAM</v>
          </cell>
          <cell r="C126" t="str">
            <v>SA 4 &amp; 7</v>
          </cell>
        </row>
        <row r="127">
          <cell r="A127">
            <v>21531</v>
          </cell>
          <cell r="B127" t="str">
            <v>MEDICAL DIRECTOR - LONG TERM CARE</v>
          </cell>
          <cell r="C127" t="str">
            <v>SA 4 &amp; 7</v>
          </cell>
        </row>
        <row r="128">
          <cell r="A128">
            <v>20679</v>
          </cell>
          <cell r="B128" t="str">
            <v>MENTAL HEALTH COURT PROGRAM</v>
          </cell>
          <cell r="C128" t="str">
            <v>SA 4 &amp; 7</v>
          </cell>
        </row>
        <row r="129">
          <cell r="A129">
            <v>20449</v>
          </cell>
          <cell r="B129" t="str">
            <v>METRO STATE HOSPITAL CCU</v>
          </cell>
          <cell r="C129" t="str">
            <v>SA 4 &amp; 7</v>
          </cell>
        </row>
        <row r="130">
          <cell r="A130">
            <v>20481</v>
          </cell>
          <cell r="B130" t="str">
            <v>NORTHEAST MHC - ADULT</v>
          </cell>
          <cell r="C130" t="str">
            <v>SA 4 &amp; 7</v>
          </cell>
        </row>
        <row r="131">
          <cell r="A131">
            <v>18608</v>
          </cell>
          <cell r="B131" t="str">
            <v>RIO HONDO MHC - C &amp; Y</v>
          </cell>
          <cell r="C131" t="str">
            <v>SA 4 &amp; 7</v>
          </cell>
        </row>
        <row r="132">
          <cell r="A132">
            <v>23017</v>
          </cell>
          <cell r="B132" t="str">
            <v>RIO HONDO MHS</v>
          </cell>
          <cell r="C132" t="str">
            <v>SA 4 &amp; 7</v>
          </cell>
        </row>
        <row r="133">
          <cell r="A133">
            <v>20488</v>
          </cell>
          <cell r="B133" t="str">
            <v>ROYBAL FAMILY MHC</v>
          </cell>
          <cell r="C133" t="str">
            <v>SA 4 &amp; 7</v>
          </cell>
        </row>
        <row r="134">
          <cell r="A134">
            <v>20450</v>
          </cell>
          <cell r="B134" t="str">
            <v>S.M.A.R.T. PROGRAM</v>
          </cell>
          <cell r="C134" t="str">
            <v>SA 4 &amp; 7</v>
          </cell>
        </row>
        <row r="135">
          <cell r="A135">
            <v>18622</v>
          </cell>
          <cell r="B135" t="str">
            <v>SA #4 - HOLLYWOOD HOMELESS SERVICES</v>
          </cell>
          <cell r="C135" t="str">
            <v>SA 4 &amp; 7</v>
          </cell>
        </row>
        <row r="136">
          <cell r="A136">
            <v>23036</v>
          </cell>
          <cell r="B136" t="str">
            <v>SAN ANTONIO FAMILY MHC</v>
          </cell>
          <cell r="C136" t="str">
            <v>SA 4 &amp; 7</v>
          </cell>
        </row>
        <row r="137">
          <cell r="A137">
            <v>18621</v>
          </cell>
          <cell r="B137" t="str">
            <v xml:space="preserve">SIDEKICK PROGRAM </v>
          </cell>
          <cell r="C137" t="str">
            <v>SA 4 &amp; 7</v>
          </cell>
        </row>
        <row r="138">
          <cell r="A138">
            <v>27593</v>
          </cell>
          <cell r="B138" t="str">
            <v>SPECIALIZED FOSTER CARE MH SVC AREA 7</v>
          </cell>
          <cell r="C138" t="str">
            <v>SA 4 &amp; 7</v>
          </cell>
        </row>
        <row r="139">
          <cell r="A139">
            <v>32081</v>
          </cell>
          <cell r="B139" t="str">
            <v>MHSA - ALT CRISIS - CW RESOURCE MANAGEMENT - FSP</v>
          </cell>
          <cell r="C139" t="str">
            <v>SA 4 &amp; 7</v>
          </cell>
        </row>
        <row r="140">
          <cell r="A140">
            <v>32083</v>
          </cell>
          <cell r="B140" t="str">
            <v>MHSA - ALT CRISIS - ENRICHED SERVICES - FSP</v>
          </cell>
          <cell r="C140" t="str">
            <v>SA 4 &amp; 7</v>
          </cell>
        </row>
        <row r="141">
          <cell r="A141">
            <v>32082</v>
          </cell>
          <cell r="B141" t="str">
            <v>MHSA - ALT CRISIS - RESIDENTIAL AND BRIDGING - FSP</v>
          </cell>
          <cell r="C141" t="str">
            <v>SA 4 &amp; 7</v>
          </cell>
        </row>
        <row r="142">
          <cell r="A142">
            <v>32034</v>
          </cell>
          <cell r="B142" t="str">
            <v>MHSA - IMD STEP-DOWN FACILITIES-FSP</v>
          </cell>
          <cell r="C142" t="str">
            <v>SA 4 &amp; 7</v>
          </cell>
        </row>
        <row r="143">
          <cell r="A143">
            <v>32035</v>
          </cell>
          <cell r="B143" t="str">
            <v>MHSA - IMD STEP-DOWN FACILITIES-SD</v>
          </cell>
          <cell r="C143" t="str">
            <v>SA 4 &amp; 7</v>
          </cell>
        </row>
        <row r="144">
          <cell r="A144" t="str">
            <v>PAUL MCLVER - SERVICE AREAS 1 &amp; 3</v>
          </cell>
        </row>
        <row r="145">
          <cell r="A145">
            <v>20489</v>
          </cell>
          <cell r="B145" t="str">
            <v>AB 3632 PLACEMENT/CASE MGMT - C &amp; Y</v>
          </cell>
          <cell r="C145" t="str">
            <v>SA 1 &amp; 3</v>
          </cell>
        </row>
        <row r="146">
          <cell r="A146">
            <v>18674</v>
          </cell>
          <cell r="B146" t="str">
            <v>AB3632 SECTOR II PROGRAM</v>
          </cell>
          <cell r="C146" t="str">
            <v>SA 1 &amp; 3</v>
          </cell>
        </row>
        <row r="147">
          <cell r="A147">
            <v>20468</v>
          </cell>
          <cell r="B147" t="str">
            <v>ANTELOPE VALLEY</v>
          </cell>
          <cell r="C147" t="str">
            <v>SA 1 &amp; 3</v>
          </cell>
        </row>
        <row r="148">
          <cell r="A148">
            <v>23015</v>
          </cell>
          <cell r="B148" t="str">
            <v>ARCADIA MHS</v>
          </cell>
          <cell r="C148" t="str">
            <v>SA 1 &amp; 3</v>
          </cell>
        </row>
        <row r="149">
          <cell r="A149">
            <v>18702</v>
          </cell>
          <cell r="B149" t="str">
            <v>CENTRALIZED PRIVATE PRACTICE/MEDI-CAL</v>
          </cell>
          <cell r="C149" t="str">
            <v>SA 1 &amp; 3</v>
          </cell>
        </row>
        <row r="150">
          <cell r="A150">
            <v>20597</v>
          </cell>
          <cell r="B150" t="str">
            <v>CHILDREN &amp; FAMILY SERVICES ADMINISTRATION</v>
          </cell>
          <cell r="C150" t="str">
            <v>SA 1 &amp; 3</v>
          </cell>
        </row>
        <row r="151">
          <cell r="A151">
            <v>18704</v>
          </cell>
          <cell r="B151" t="str">
            <v>CHILDREN'S INPATIENT CLINICAL CASE MANAGEMENT UNIT</v>
          </cell>
          <cell r="C151" t="str">
            <v>SA 1 &amp; 3</v>
          </cell>
        </row>
        <row r="152">
          <cell r="A152">
            <v>18639</v>
          </cell>
          <cell r="B152" t="str">
            <v>CHILDREN'S SYSTEM OF CARE (CSOC)</v>
          </cell>
          <cell r="C152" t="str">
            <v>SA 1 &amp; 3</v>
          </cell>
        </row>
        <row r="153">
          <cell r="A153">
            <v>21566</v>
          </cell>
          <cell r="B153" t="str">
            <v>CHILDREN'S SYSTEMS OF CARE - SECTOR IV</v>
          </cell>
          <cell r="C153" t="str">
            <v>SA 1 &amp; 3</v>
          </cell>
        </row>
        <row r="154">
          <cell r="A154">
            <v>20941</v>
          </cell>
          <cell r="B154" t="str">
            <v>COUNTYWIDE INTERAGENCY CASE MANAGEMENT</v>
          </cell>
          <cell r="C154" t="str">
            <v>SA 1 &amp; 3</v>
          </cell>
        </row>
        <row r="155">
          <cell r="A155">
            <v>18710</v>
          </cell>
          <cell r="B155" t="str">
            <v>CSOC DUAL DIAGNOSIS</v>
          </cell>
          <cell r="C155" t="str">
            <v>SA 1 &amp; 3</v>
          </cell>
        </row>
        <row r="156">
          <cell r="A156">
            <v>21549</v>
          </cell>
          <cell r="B156" t="str">
            <v>CW DASE MANAGEMENT PLACEMENT PROGRAM</v>
          </cell>
          <cell r="C156" t="str">
            <v>SA 1 &amp; 3</v>
          </cell>
        </row>
        <row r="157">
          <cell r="A157">
            <v>21572</v>
          </cell>
          <cell r="B157" t="str">
            <v>EDELMAN WESTSIDE AB3632 ASSESSMENT PROGRAM</v>
          </cell>
          <cell r="C157" t="str">
            <v>SA 1 &amp; 3</v>
          </cell>
        </row>
        <row r="158">
          <cell r="A158">
            <v>20446</v>
          </cell>
          <cell r="B158" t="str">
            <v>MACLAREN CHILD CENTER - MH UNIT</v>
          </cell>
          <cell r="C158" t="str">
            <v>SA 1 &amp; 3</v>
          </cell>
        </row>
        <row r="159">
          <cell r="A159">
            <v>18708</v>
          </cell>
          <cell r="B159" t="str">
            <v>MACLAREN CHILDREN'S CENTER PROGRAM</v>
          </cell>
          <cell r="C159" t="str">
            <v>SA 1 &amp; 3</v>
          </cell>
        </row>
        <row r="160">
          <cell r="A160">
            <v>21537</v>
          </cell>
          <cell r="B160" t="str">
            <v>PALMDALE SATELLITE MHC</v>
          </cell>
          <cell r="C160" t="str">
            <v>SA 1 &amp; 3</v>
          </cell>
        </row>
        <row r="161">
          <cell r="A161">
            <v>27610</v>
          </cell>
          <cell r="B161" t="str">
            <v>PERMANENCY TEAM</v>
          </cell>
          <cell r="C161" t="str">
            <v>SA 1 &amp; 3</v>
          </cell>
        </row>
        <row r="162">
          <cell r="A162">
            <v>18707</v>
          </cell>
          <cell r="B162" t="str">
            <v>RESIDENTIAL/TBS PROGRAM SUPPORT</v>
          </cell>
          <cell r="C162" t="str">
            <v>SA 1 &amp; 3</v>
          </cell>
        </row>
        <row r="163">
          <cell r="A163">
            <v>20493</v>
          </cell>
          <cell r="B163" t="str">
            <v>SECTOR II C&amp; Y ADMINISTRATION</v>
          </cell>
          <cell r="C163" t="str">
            <v>SA 1 &amp; 3</v>
          </cell>
        </row>
        <row r="164">
          <cell r="A164">
            <v>28001</v>
          </cell>
          <cell r="B164" t="str">
            <v>SPECIALIZED FOSTER CARE MH SERVICES (SA 1)</v>
          </cell>
          <cell r="C164" t="str">
            <v>SA 1 &amp; 3</v>
          </cell>
        </row>
        <row r="165">
          <cell r="A165">
            <v>27594</v>
          </cell>
          <cell r="B165" t="str">
            <v>COUNTYWIDE D-RATE PROGRAM</v>
          </cell>
          <cell r="C165" t="str">
            <v>SA 1 &amp; 3</v>
          </cell>
        </row>
        <row r="166">
          <cell r="A166">
            <v>32011</v>
          </cell>
          <cell r="B166" t="str">
            <v>MHSA - CHILDREN FULL SERVICE PARTNERSHIP - FSP</v>
          </cell>
          <cell r="C166" t="str">
            <v>SA 1 &amp; 3</v>
          </cell>
        </row>
        <row r="167">
          <cell r="A167">
            <v>32012</v>
          </cell>
          <cell r="B167" t="str">
            <v>MHSA - FAMILY SUPPORT SERVICES - FSP</v>
          </cell>
          <cell r="C167" t="str">
            <v>SA 1 &amp; 3</v>
          </cell>
        </row>
        <row r="168">
          <cell r="A168">
            <v>32013</v>
          </cell>
          <cell r="B168" t="str">
            <v>MHSA - INTEGRATED MENTAL HEALTH/CO-OCCURRING DISORDER-FSP</v>
          </cell>
          <cell r="C168" t="str">
            <v>SA 1 &amp; 3</v>
          </cell>
        </row>
        <row r="169">
          <cell r="A169">
            <v>32014</v>
          </cell>
          <cell r="B169" t="str">
            <v>MHSA - INTEGRATED MENTAL HEALTH/CO-OCCURRING DISORDER-SD</v>
          </cell>
          <cell r="C169" t="str">
            <v>SA 1 &amp; 3</v>
          </cell>
        </row>
        <row r="170">
          <cell r="A170">
            <v>32015</v>
          </cell>
          <cell r="B170" t="str">
            <v>MHSA - RESPITE CARE-FSP</v>
          </cell>
          <cell r="C170" t="str">
            <v>SA 1 &amp; 3</v>
          </cell>
        </row>
        <row r="171">
          <cell r="A171">
            <v>32016</v>
          </cell>
          <cell r="B171" t="str">
            <v>MHSA - RESPITE CARE-SD</v>
          </cell>
          <cell r="C171" t="str">
            <v>SA 1 &amp; 3</v>
          </cell>
        </row>
        <row r="172">
          <cell r="A172" t="str">
            <v>JIM ALLEN - SERVICE AREAS 6 &amp; 8</v>
          </cell>
        </row>
        <row r="173">
          <cell r="A173">
            <v>20472</v>
          </cell>
          <cell r="B173" t="str">
            <v>A.B.L.E. PROGRAM</v>
          </cell>
          <cell r="C173" t="str">
            <v>SA 6 &amp; 8</v>
          </cell>
        </row>
        <row r="174">
          <cell r="A174">
            <v>21557</v>
          </cell>
          <cell r="B174" t="str">
            <v>AB 34 SERVICES</v>
          </cell>
          <cell r="C174" t="str">
            <v>SA 6 &amp; 8</v>
          </cell>
        </row>
        <row r="175">
          <cell r="A175">
            <v>20944</v>
          </cell>
          <cell r="B175" t="str">
            <v>ADULT SYSTEMS OF CARE - ADMIN</v>
          </cell>
          <cell r="C175" t="str">
            <v>SA 6 &amp; 8</v>
          </cell>
        </row>
        <row r="176">
          <cell r="A176">
            <v>20658</v>
          </cell>
          <cell r="B176" t="str">
            <v>AFH HOMELESS OUTREACH CCU</v>
          </cell>
          <cell r="C176" t="str">
            <v>SA 6 &amp; 8</v>
          </cell>
        </row>
        <row r="177">
          <cell r="A177">
            <v>27552</v>
          </cell>
          <cell r="B177" t="str">
            <v xml:space="preserve">AUGUSTUS F. HAWKINS </v>
          </cell>
          <cell r="C177" t="str">
            <v>SA 6 &amp; 8</v>
          </cell>
        </row>
        <row r="178">
          <cell r="A178">
            <v>18634</v>
          </cell>
          <cell r="B178" t="str">
            <v>AUGUSTUS F. HAWKINS (LATINO MHC)</v>
          </cell>
          <cell r="C178" t="str">
            <v>SA 6 &amp; 8</v>
          </cell>
        </row>
        <row r="179">
          <cell r="A179">
            <v>20657</v>
          </cell>
          <cell r="B179" t="str">
            <v>AUGUSTUS F. HAWKINS CCU</v>
          </cell>
          <cell r="C179" t="str">
            <v>SA 6 &amp; 8</v>
          </cell>
        </row>
        <row r="180">
          <cell r="A180">
            <v>18598</v>
          </cell>
          <cell r="B180" t="str">
            <v>CASE MANAGEMENT - FFS</v>
          </cell>
          <cell r="C180" t="str">
            <v>SA 6 &amp; 8</v>
          </cell>
        </row>
        <row r="181">
          <cell r="A181">
            <v>20494</v>
          </cell>
          <cell r="B181" t="str">
            <v>COASTAL ASIAN PACIFIC MH - C &amp; Y</v>
          </cell>
          <cell r="C181" t="str">
            <v>SA 6 &amp; 8</v>
          </cell>
        </row>
        <row r="182">
          <cell r="A182">
            <v>20459</v>
          </cell>
          <cell r="B182" t="str">
            <v>COASTAL ASIAN PACIFIC MHS</v>
          </cell>
          <cell r="C182" t="str">
            <v>SA 6 &amp; 8</v>
          </cell>
        </row>
        <row r="183">
          <cell r="A183">
            <v>20923</v>
          </cell>
          <cell r="B183" t="str">
            <v>COMPREHENSIVE VOCATIONAL PROGRAM</v>
          </cell>
          <cell r="C183" t="str">
            <v>SA 6 &amp; 8</v>
          </cell>
        </row>
        <row r="184">
          <cell r="A184">
            <v>21561</v>
          </cell>
          <cell r="B184" t="str">
            <v>COMPTON MHC - CHILD</v>
          </cell>
          <cell r="C184" t="str">
            <v>SA 6 &amp; 8</v>
          </cell>
        </row>
        <row r="185">
          <cell r="A185">
            <v>20465</v>
          </cell>
          <cell r="B185" t="str">
            <v>COMPTON MHS</v>
          </cell>
          <cell r="C185" t="str">
            <v>SA 6 &amp; 8</v>
          </cell>
        </row>
        <row r="186">
          <cell r="A186">
            <v>20570</v>
          </cell>
          <cell r="B186" t="str">
            <v>COUNTY-WIDE CASE MANAGEMENT SERVICES-ADMINISTRATION</v>
          </cell>
          <cell r="C186" t="str">
            <v>SA 6 &amp; 8</v>
          </cell>
        </row>
        <row r="187">
          <cell r="A187">
            <v>21544</v>
          </cell>
          <cell r="B187" t="str">
            <v>CROMIO</v>
          </cell>
          <cell r="C187" t="str">
            <v>SA 6 &amp; 8</v>
          </cell>
        </row>
        <row r="188">
          <cell r="A188">
            <v>20563</v>
          </cell>
          <cell r="B188" t="str">
            <v>DHS - HARBOR/UCLA INPATIENT AUGMENTATION</v>
          </cell>
          <cell r="C188" t="str">
            <v>SA 6 &amp; 8</v>
          </cell>
        </row>
        <row r="189">
          <cell r="A189">
            <v>20673</v>
          </cell>
          <cell r="B189" t="str">
            <v>FORENSIC JAIL INPATIENT PROGRAM</v>
          </cell>
          <cell r="C189" t="str">
            <v>SA 6 &amp; 8</v>
          </cell>
        </row>
        <row r="190">
          <cell r="A190">
            <v>20672</v>
          </cell>
          <cell r="B190" t="str">
            <v>FORENSIC OUTPATIENT PROGRAM</v>
          </cell>
          <cell r="C190" t="str">
            <v>SA 6 &amp; 8</v>
          </cell>
        </row>
        <row r="191">
          <cell r="A191">
            <v>20676</v>
          </cell>
          <cell r="B191" t="str">
            <v>FORENSIC OUTPATIENT PROGRAM - SYBIL BRAND</v>
          </cell>
          <cell r="C191" t="str">
            <v>SA 6 &amp; 8</v>
          </cell>
        </row>
        <row r="192">
          <cell r="A192">
            <v>20562</v>
          </cell>
          <cell r="B192" t="str">
            <v>HARBOR/UCLA MEDICAL CENTER ADMIN.</v>
          </cell>
          <cell r="C192" t="str">
            <v>SA 6 &amp; 8</v>
          </cell>
        </row>
        <row r="193">
          <cell r="A193">
            <v>20564</v>
          </cell>
          <cell r="B193" t="str">
            <v>HARBOR/UCLA OUTPATIENT</v>
          </cell>
          <cell r="C193" t="str">
            <v>SA 6 &amp; 8</v>
          </cell>
        </row>
        <row r="194">
          <cell r="A194">
            <v>20590</v>
          </cell>
          <cell r="B194" t="str">
            <v>HOMELESS COORDINATING DIVISION</v>
          </cell>
          <cell r="C194" t="str">
            <v>SA 6 &amp; 8</v>
          </cell>
        </row>
        <row r="195">
          <cell r="A195">
            <v>18700</v>
          </cell>
          <cell r="B195" t="str">
            <v>JAIL - INMATE RECEPTION CENTER</v>
          </cell>
          <cell r="C195" t="str">
            <v>SA 6 &amp; 8</v>
          </cell>
        </row>
        <row r="196">
          <cell r="A196">
            <v>20670</v>
          </cell>
          <cell r="B196" t="str">
            <v>JAIL MH SERVICES ADMINISTRATION</v>
          </cell>
          <cell r="C196" t="str">
            <v>SA 6 &amp; 8</v>
          </cell>
        </row>
        <row r="197">
          <cell r="A197">
            <v>21534</v>
          </cell>
          <cell r="B197" t="str">
            <v>JUSTICE PROGRAM ADMINISTRATION</v>
          </cell>
          <cell r="C197" t="str">
            <v>SA 6 &amp; 8</v>
          </cell>
        </row>
        <row r="198">
          <cell r="A198">
            <v>23005</v>
          </cell>
          <cell r="B198" t="str">
            <v>LONG BEACH ASIAN MHS</v>
          </cell>
          <cell r="C198" t="str">
            <v>SA 6 &amp; 8</v>
          </cell>
        </row>
        <row r="199">
          <cell r="A199">
            <v>23035</v>
          </cell>
          <cell r="B199" t="str">
            <v>LONG BEACH ASIAN PACIFIC MH - C &amp; Y</v>
          </cell>
          <cell r="C199" t="str">
            <v>SA 6 &amp; 8</v>
          </cell>
        </row>
        <row r="200">
          <cell r="A200">
            <v>23034</v>
          </cell>
          <cell r="B200" t="str">
            <v>LONG BEACH CHILD MHC</v>
          </cell>
          <cell r="C200" t="str">
            <v>SA 6 &amp; 8</v>
          </cell>
        </row>
        <row r="201">
          <cell r="A201">
            <v>27256</v>
          </cell>
          <cell r="B201" t="str">
            <v>LONG BEACH GEOGRAPHIC INITIATIVE MGMT TEAM</v>
          </cell>
          <cell r="C201" t="str">
            <v>SA 6 &amp; 8</v>
          </cell>
        </row>
        <row r="202">
          <cell r="A202">
            <v>23007</v>
          </cell>
          <cell r="B202" t="str">
            <v>LONG BEACH MHS - ADULT CCU</v>
          </cell>
          <cell r="C202" t="str">
            <v>SA 6 &amp; 8</v>
          </cell>
        </row>
        <row r="203">
          <cell r="A203">
            <v>27273</v>
          </cell>
          <cell r="B203" t="str">
            <v>MIOCR II  PROGRAM</v>
          </cell>
          <cell r="C203" t="str">
            <v>SA 6 &amp; 8</v>
          </cell>
        </row>
        <row r="204">
          <cell r="A204">
            <v>21560</v>
          </cell>
          <cell r="B204" t="str">
            <v>PLANNING QUALITY &amp; OUTCOME BUREAU</v>
          </cell>
          <cell r="C204" t="str">
            <v>SA 6 &amp; 8</v>
          </cell>
        </row>
        <row r="205">
          <cell r="A205">
            <v>20464</v>
          </cell>
          <cell r="B205" t="str">
            <v>SAN PEDRO MHS</v>
          </cell>
          <cell r="C205" t="str">
            <v>SA 6 &amp; 8</v>
          </cell>
        </row>
        <row r="206">
          <cell r="A206">
            <v>18712</v>
          </cell>
          <cell r="B206" t="str">
            <v>SECTOR II -  ADMINISTRATION</v>
          </cell>
          <cell r="C206" t="str">
            <v>SA 6 &amp; 8</v>
          </cell>
        </row>
        <row r="207">
          <cell r="A207">
            <v>18709</v>
          </cell>
          <cell r="B207" t="str">
            <v>SECTOR III ADMINISTRATION</v>
          </cell>
          <cell r="C207" t="str">
            <v>SA 6 &amp; 8</v>
          </cell>
        </row>
        <row r="208">
          <cell r="A208">
            <v>23003</v>
          </cell>
          <cell r="B208" t="str">
            <v>SOUTH BAY MHS</v>
          </cell>
          <cell r="C208" t="str">
            <v>SA 6 &amp; 8</v>
          </cell>
        </row>
        <row r="209">
          <cell r="A209">
            <v>27546</v>
          </cell>
          <cell r="B209" t="str">
            <v>SOUTH BAY TIES FOR ADOPTIONS</v>
          </cell>
          <cell r="C209" t="str">
            <v>SA 6 &amp; 8</v>
          </cell>
        </row>
        <row r="210">
          <cell r="A210">
            <v>27526</v>
          </cell>
          <cell r="B210" t="str">
            <v>SOUTH LOS ANGELES FAMILY SERVICES (YIP)</v>
          </cell>
          <cell r="C210" t="str">
            <v>SA 6 &amp; 8</v>
          </cell>
        </row>
        <row r="211">
          <cell r="A211">
            <v>18713</v>
          </cell>
          <cell r="B211" t="str">
            <v xml:space="preserve">SPECIAL PROGRAMS - ADMINISTRATION </v>
          </cell>
          <cell r="C211" t="str">
            <v>SA 6 &amp; 8</v>
          </cell>
        </row>
        <row r="212">
          <cell r="A212">
            <v>27592</v>
          </cell>
          <cell r="B212" t="str">
            <v>SPECIALIZED FOSTER CARE MH SVC AREA 6</v>
          </cell>
          <cell r="C212" t="str">
            <v>SA 6 &amp; 8</v>
          </cell>
        </row>
        <row r="213">
          <cell r="A213">
            <v>27491</v>
          </cell>
          <cell r="B213" t="str">
            <v>SUPPORTIVE HOUSING INITIATIVE</v>
          </cell>
          <cell r="C213" t="str">
            <v>SA 6 &amp; 8</v>
          </cell>
        </row>
        <row r="214">
          <cell r="A214">
            <v>23010</v>
          </cell>
          <cell r="B214" t="str">
            <v>WEST CENTRAL MHS</v>
          </cell>
          <cell r="C214" t="str">
            <v>SA 6 &amp; 8</v>
          </cell>
        </row>
        <row r="215">
          <cell r="A215">
            <v>32031</v>
          </cell>
          <cell r="B215" t="str">
            <v>MHSA - ADULTS FULL SERVICE PARTNERSHIP-FSP</v>
          </cell>
          <cell r="C215" t="str">
            <v>SA 6 &amp; 8</v>
          </cell>
        </row>
        <row r="216">
          <cell r="A216">
            <v>32036</v>
          </cell>
          <cell r="B216" t="str">
            <v>MHSA - ADULTS HOUSING SERVICE-FSP</v>
          </cell>
          <cell r="C216" t="str">
            <v>SA 6 &amp; 8</v>
          </cell>
        </row>
        <row r="217">
          <cell r="A217">
            <v>32037</v>
          </cell>
          <cell r="B217" t="str">
            <v>MHSA - ADULTS HOUSING SERVICE-SD</v>
          </cell>
          <cell r="C217" t="str">
            <v>SA 6 &amp; 8</v>
          </cell>
        </row>
        <row r="218">
          <cell r="A218">
            <v>32079</v>
          </cell>
          <cell r="B218" t="str">
            <v>MHSA - ALT CRISIS - UCC/AFH - FSP</v>
          </cell>
          <cell r="C218" t="str">
            <v>SA 6 &amp; 8</v>
          </cell>
        </row>
        <row r="219">
          <cell r="A219">
            <v>32053</v>
          </cell>
          <cell r="B219" t="str">
            <v>MHSA - ALTERNATIVE CRISIS SERVICES-SD</v>
          </cell>
          <cell r="C219" t="str">
            <v>SA 6 &amp; 8</v>
          </cell>
        </row>
        <row r="220">
          <cell r="A220">
            <v>32043</v>
          </cell>
          <cell r="B220" t="str">
            <v>MHSA - FIELD-CAPABLE CLINICAL SERVICES-FSP</v>
          </cell>
          <cell r="C220" t="str">
            <v>SA 6 &amp; 8</v>
          </cell>
        </row>
        <row r="221">
          <cell r="A221">
            <v>32044</v>
          </cell>
          <cell r="B221" t="str">
            <v>MHSA - FIELD-CAPABLE CLINICAL SERVICES-SD</v>
          </cell>
          <cell r="C221" t="str">
            <v>SA 6 &amp; 8</v>
          </cell>
        </row>
        <row r="222">
          <cell r="A222">
            <v>32061</v>
          </cell>
          <cell r="B222" t="str">
            <v>MHSA - HOUSING TRUST FUND-FSP</v>
          </cell>
          <cell r="C222" t="str">
            <v>SA 6 &amp; 8</v>
          </cell>
        </row>
        <row r="223">
          <cell r="A223">
            <v>32062</v>
          </cell>
          <cell r="B223" t="str">
            <v>MHSA - HOUSING TRUST FUND-SD</v>
          </cell>
          <cell r="C223" t="str">
            <v>SA 6 &amp; 8</v>
          </cell>
        </row>
        <row r="224">
          <cell r="A224">
            <v>32069</v>
          </cell>
          <cell r="B224" t="str">
            <v>MHSA - INFRASTRUCTURE-FSP</v>
          </cell>
          <cell r="C224" t="str">
            <v>SA 6 &amp; 8</v>
          </cell>
        </row>
        <row r="225">
          <cell r="A225">
            <v>32070</v>
          </cell>
          <cell r="B225" t="str">
            <v>MHSA - INFRASTRUCTURE-SD</v>
          </cell>
          <cell r="C225" t="str">
            <v>SA 6 &amp; 8</v>
          </cell>
        </row>
        <row r="226">
          <cell r="A226">
            <v>32038</v>
          </cell>
          <cell r="B226" t="str">
            <v>MHSA - JAIL TRANSITION &amp; LINKAGE SERVICE-FSP</v>
          </cell>
          <cell r="C226" t="str">
            <v>SA 6 &amp; 8</v>
          </cell>
        </row>
        <row r="227">
          <cell r="A227">
            <v>32039</v>
          </cell>
          <cell r="B227" t="str">
            <v>MHSA - JAIL TRANSITION &amp; LINKAGE SERVICE-SD</v>
          </cell>
          <cell r="C227" t="str">
            <v>SA 6 &amp; 8</v>
          </cell>
        </row>
        <row r="228">
          <cell r="A228">
            <v>32041</v>
          </cell>
          <cell r="B228" t="str">
            <v>MHSA - OLDER ADULTS FULL SERVICE PARTNERSHIP-FSP</v>
          </cell>
          <cell r="C228" t="str">
            <v>SA 6 &amp; 8</v>
          </cell>
        </row>
        <row r="229">
          <cell r="A229">
            <v>32051</v>
          </cell>
          <cell r="B229" t="str">
            <v>MHSA - SERVICE AREA NAVIGATOR TEAMS-SD</v>
          </cell>
          <cell r="C229" t="str">
            <v>SA 6 &amp; 8</v>
          </cell>
        </row>
        <row r="230">
          <cell r="A230">
            <v>32045</v>
          </cell>
          <cell r="B230" t="str">
            <v>MHSA - SERVICE EXTENDERS-FSP</v>
          </cell>
          <cell r="C230" t="str">
            <v>SA 6 &amp; 8</v>
          </cell>
        </row>
        <row r="231">
          <cell r="A231">
            <v>32046</v>
          </cell>
          <cell r="B231" t="str">
            <v>MHSA - SERVICE EXTENDERS-SD</v>
          </cell>
          <cell r="C231" t="str">
            <v>SA 6 &amp; 8</v>
          </cell>
        </row>
        <row r="232">
          <cell r="A232">
            <v>32047</v>
          </cell>
          <cell r="B232" t="str">
            <v>MHSA - TRAINING-FSP</v>
          </cell>
          <cell r="C232" t="str">
            <v>SA 6 &amp; 8</v>
          </cell>
        </row>
        <row r="233">
          <cell r="A233">
            <v>32048</v>
          </cell>
          <cell r="B233" t="str">
            <v>MHSA - TRAINING-SD</v>
          </cell>
          <cell r="C233" t="str">
            <v>SA 6 &amp; 8</v>
          </cell>
        </row>
        <row r="234">
          <cell r="A234">
            <v>32042</v>
          </cell>
          <cell r="B234" t="str">
            <v>MHSA - TRANSFORMATION DESIGN TEAM-SD</v>
          </cell>
          <cell r="C234" t="str">
            <v>SA 6 &amp; 8</v>
          </cell>
        </row>
        <row r="235">
          <cell r="A235">
            <v>32032</v>
          </cell>
          <cell r="B235" t="str">
            <v>MHSA - WELLNESS/CLIENT RUN CENTER-FSP</v>
          </cell>
          <cell r="C235" t="str">
            <v>SA 6 &amp; 8</v>
          </cell>
        </row>
        <row r="236">
          <cell r="A236">
            <v>32033</v>
          </cell>
          <cell r="B236" t="str">
            <v>MHSA - WELLNESS/CLIENT RUN CENTER-SD</v>
          </cell>
          <cell r="C236" t="str">
            <v>SA 6 &amp; 8</v>
          </cell>
        </row>
        <row r="237">
          <cell r="A237" t="str">
            <v>ROBIN KAY - SERVICE AREAS 2 &amp; 5</v>
          </cell>
        </row>
        <row r="238">
          <cell r="A238">
            <v>27498</v>
          </cell>
          <cell r="B238" t="str">
            <v>DEP DIR ADMIN FOR OLDER ADULT</v>
          </cell>
          <cell r="C238" t="str">
            <v>SA 2 &amp; 5</v>
          </cell>
        </row>
        <row r="239">
          <cell r="A239">
            <v>18588</v>
          </cell>
          <cell r="B239" t="str">
            <v>ED EDELMAN WESTSIDE MHC - C &amp; Y</v>
          </cell>
          <cell r="C239" t="str">
            <v>SA 2 &amp; 5</v>
          </cell>
        </row>
        <row r="240">
          <cell r="A240">
            <v>23001</v>
          </cell>
          <cell r="B240" t="str">
            <v>ED EDELMAN WESTSIDE MHC - ADULT</v>
          </cell>
          <cell r="C240" t="str">
            <v>SA 2 &amp; 5</v>
          </cell>
        </row>
        <row r="241">
          <cell r="A241">
            <v>18587</v>
          </cell>
          <cell r="B241" t="str">
            <v>GERIATRIC MOBILE ASSESSMENT</v>
          </cell>
          <cell r="C241" t="str">
            <v>SA 2 &amp; 5</v>
          </cell>
        </row>
        <row r="242">
          <cell r="A242">
            <v>18716</v>
          </cell>
          <cell r="B242" t="str">
            <v>PG - OLDER ADULT SERVICES/FACTS</v>
          </cell>
          <cell r="C242" t="str">
            <v>SA 2 &amp; 5</v>
          </cell>
        </row>
        <row r="243">
          <cell r="A243">
            <v>27553</v>
          </cell>
          <cell r="B243" t="str">
            <v>PSYCHIATRIC EMERGENCY SERVICES (PES)-OLIVE VIEW</v>
          </cell>
          <cell r="C243" t="str">
            <v>SA 2 &amp; 5</v>
          </cell>
        </row>
        <row r="244">
          <cell r="A244">
            <v>20452</v>
          </cell>
          <cell r="B244" t="str">
            <v>SAN FERNANDO MHS</v>
          </cell>
          <cell r="C244" t="str">
            <v>SA 2 &amp; 5</v>
          </cell>
        </row>
        <row r="245">
          <cell r="A245">
            <v>21562</v>
          </cell>
          <cell r="B245" t="str">
            <v>SAN FERNANDO VALLEY MHC - CHILD</v>
          </cell>
          <cell r="C245" t="str">
            <v>SA 2 &amp; 5</v>
          </cell>
        </row>
        <row r="246">
          <cell r="A246">
            <v>20469</v>
          </cell>
          <cell r="B246" t="str">
            <v>SANTA CLARITA VALLEY MHS</v>
          </cell>
          <cell r="C246" t="str">
            <v>SA 2 &amp; 5</v>
          </cell>
        </row>
        <row r="247">
          <cell r="A247">
            <v>20487</v>
          </cell>
          <cell r="B247" t="str">
            <v>SECTOR I - C &amp; Y ADMINISTRATION</v>
          </cell>
          <cell r="C247" t="str">
            <v>SA 2 &amp; 5</v>
          </cell>
        </row>
        <row r="248">
          <cell r="A248">
            <v>20492</v>
          </cell>
          <cell r="B248" t="str">
            <v>VALLEY COORDINATED CHILDREN'S SERVICES</v>
          </cell>
          <cell r="C248" t="str">
            <v>SA 2 &amp; 5</v>
          </cell>
        </row>
        <row r="249">
          <cell r="A249">
            <v>27255</v>
          </cell>
          <cell r="B249" t="str">
            <v>WEST L.A. GI</v>
          </cell>
          <cell r="C249" t="str">
            <v>SA 2 &amp; 5</v>
          </cell>
        </row>
        <row r="250">
          <cell r="A250">
            <v>20499</v>
          </cell>
          <cell r="B250" t="str">
            <v>WEST VALLEY MHC</v>
          </cell>
          <cell r="C250" t="str">
            <v>SA 2 &amp; 5</v>
          </cell>
        </row>
        <row r="251">
          <cell r="A251">
            <v>32078</v>
          </cell>
          <cell r="B251" t="str">
            <v>MHSA - ALT CRISIS - UCC/OLIVE VIEW - FSP</v>
          </cell>
          <cell r="C251" t="str">
            <v>SA 2 &amp; 5</v>
          </cell>
        </row>
        <row r="252">
          <cell r="A252">
            <v>32080</v>
          </cell>
          <cell r="B252" t="str">
            <v>MHSA - ALT CRISIS - UCC/WESTSIDE - FSP</v>
          </cell>
          <cell r="C252" t="str">
            <v>SA 2 &amp; 5</v>
          </cell>
        </row>
        <row r="253">
          <cell r="A253" t="str">
            <v>TBA</v>
          </cell>
          <cell r="B253" t="str">
            <v>MHSA - OLDER ADULT ADMINISTRATION</v>
          </cell>
          <cell r="C253" t="str">
            <v>SA 2 &amp; 5</v>
          </cell>
        </row>
      </sheetData>
      <sheetData sheetId="9" refreshError="1"/>
      <sheetData sheetId="10" refreshError="1"/>
      <sheetData sheetId="11" refreshError="1"/>
      <sheetData sheetId="12">
        <row r="47">
          <cell r="A47">
            <v>20657</v>
          </cell>
          <cell r="B47">
            <v>110904.49604684519</v>
          </cell>
        </row>
        <row r="48">
          <cell r="A48">
            <v>20465</v>
          </cell>
          <cell r="B48">
            <v>564212.76057631895</v>
          </cell>
        </row>
        <row r="49">
          <cell r="A49">
            <v>23007</v>
          </cell>
          <cell r="B49">
            <v>831783.72035133874</v>
          </cell>
        </row>
        <row r="50">
          <cell r="A50">
            <v>23010</v>
          </cell>
          <cell r="B50">
            <v>679290.03828692669</v>
          </cell>
        </row>
        <row r="51">
          <cell r="A51">
            <v>20464</v>
          </cell>
          <cell r="B51">
            <v>349335.29948555649</v>
          </cell>
        </row>
        <row r="52">
          <cell r="A52">
            <v>23003</v>
          </cell>
          <cell r="B52">
            <v>491889.16609177005</v>
          </cell>
        </row>
        <row r="53">
          <cell r="A53">
            <v>20452</v>
          </cell>
          <cell r="B53">
            <v>526796.35622251465</v>
          </cell>
        </row>
        <row r="54">
          <cell r="A54">
            <v>20469</v>
          </cell>
          <cell r="B54">
            <v>354658.71529580501</v>
          </cell>
        </row>
        <row r="55">
          <cell r="A55">
            <v>20499</v>
          </cell>
          <cell r="B55">
            <v>665426.9762810712</v>
          </cell>
        </row>
        <row r="56">
          <cell r="A56">
            <v>23001</v>
          </cell>
          <cell r="B56">
            <v>855350.9257612935</v>
          </cell>
        </row>
        <row r="57">
          <cell r="A57">
            <v>23015</v>
          </cell>
          <cell r="B57">
            <v>547757.30597536836</v>
          </cell>
        </row>
        <row r="58">
          <cell r="A58">
            <v>20468</v>
          </cell>
          <cell r="B58">
            <v>436686.45318445284</v>
          </cell>
        </row>
        <row r="59">
          <cell r="A59">
            <v>21537</v>
          </cell>
          <cell r="B59">
            <v>180219.80607612341</v>
          </cell>
        </row>
        <row r="60">
          <cell r="A60">
            <v>20477</v>
          </cell>
          <cell r="B60">
            <v>640362.56017448404</v>
          </cell>
        </row>
        <row r="61">
          <cell r="A61">
            <v>20483</v>
          </cell>
          <cell r="B61">
            <v>731276.52080888546</v>
          </cell>
        </row>
        <row r="62">
          <cell r="A62">
            <v>20481</v>
          </cell>
          <cell r="B62">
            <v>347727.18429287721</v>
          </cell>
        </row>
        <row r="63">
          <cell r="A63">
            <v>23200</v>
          </cell>
          <cell r="B63">
            <v>152493.6820644121</v>
          </cell>
        </row>
        <row r="64">
          <cell r="A64">
            <v>20459</v>
          </cell>
          <cell r="B64">
            <v>280768.59480459441</v>
          </cell>
        </row>
        <row r="65">
          <cell r="A65">
            <v>23017</v>
          </cell>
          <cell r="B65">
            <v>609295.43821936159</v>
          </cell>
        </row>
        <row r="66">
          <cell r="A66">
            <v>18587</v>
          </cell>
          <cell r="B66">
            <v>397931</v>
          </cell>
        </row>
        <row r="67">
          <cell r="A67">
            <v>18639</v>
          </cell>
          <cell r="B67">
            <v>652034</v>
          </cell>
        </row>
        <row r="68">
          <cell r="A68">
            <v>20442</v>
          </cell>
          <cell r="B68">
            <v>148988.70046720887</v>
          </cell>
        </row>
        <row r="69">
          <cell r="A69">
            <v>20443</v>
          </cell>
          <cell r="B69">
            <v>407202.6726769337</v>
          </cell>
        </row>
        <row r="70">
          <cell r="A70">
            <v>20444</v>
          </cell>
          <cell r="B70">
            <v>245682.3670704274</v>
          </cell>
        </row>
        <row r="71">
          <cell r="A71">
            <v>20445</v>
          </cell>
          <cell r="B71">
            <v>154799.25978543001</v>
          </cell>
        </row>
        <row r="72">
          <cell r="A72">
            <v>23034</v>
          </cell>
          <cell r="B72">
            <v>206942.23583918615</v>
          </cell>
        </row>
        <row r="73">
          <cell r="A73">
            <v>23036</v>
          </cell>
          <cell r="B73">
            <v>227897.03369514475</v>
          </cell>
        </row>
        <row r="74">
          <cell r="A74">
            <v>20488</v>
          </cell>
          <cell r="B74">
            <v>183694.6565295074</v>
          </cell>
        </row>
        <row r="75">
          <cell r="A75">
            <v>20492</v>
          </cell>
          <cell r="B75">
            <v>228482.13519372023</v>
          </cell>
        </row>
        <row r="76">
          <cell r="A76">
            <v>23035</v>
          </cell>
          <cell r="B76">
            <v>42521.911233682265</v>
          </cell>
        </row>
        <row r="77">
          <cell r="A77">
            <v>20494</v>
          </cell>
          <cell r="B77">
            <v>22111.393841514775</v>
          </cell>
        </row>
        <row r="78">
          <cell r="A78">
            <v>21561</v>
          </cell>
          <cell r="B78">
            <v>171788.52138407636</v>
          </cell>
        </row>
        <row r="79">
          <cell r="A79">
            <v>18588</v>
          </cell>
          <cell r="B79">
            <v>184579.11228316795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1">
          <cell r="B11">
            <v>23125</v>
          </cell>
          <cell r="D11" t="str">
            <v>1736 FAMILY CRISIS CENTER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200250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Y11">
            <v>2000</v>
          </cell>
          <cell r="BD11">
            <v>152000</v>
          </cell>
          <cell r="BE11" t="e">
            <v>#REF!</v>
          </cell>
          <cell r="BF11">
            <v>354250</v>
          </cell>
        </row>
        <row r="12">
          <cell r="B12">
            <v>27620</v>
          </cell>
          <cell r="D12" t="str">
            <v>ASIAN AMERICAN DRUG ABUSE PROGRAM, INC. (AADAP)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472000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Y12">
            <v>0</v>
          </cell>
          <cell r="BD12">
            <v>333000</v>
          </cell>
          <cell r="BE12" t="e">
            <v>#REF!</v>
          </cell>
          <cell r="BF12">
            <v>805000</v>
          </cell>
        </row>
        <row r="13">
          <cell r="B13">
            <v>18616</v>
          </cell>
          <cell r="D13" t="str">
            <v>AURORA CHARTER OAK, LLC</v>
          </cell>
          <cell r="L13">
            <v>0</v>
          </cell>
          <cell r="M13">
            <v>1175300</v>
          </cell>
          <cell r="N13">
            <v>0</v>
          </cell>
          <cell r="O13">
            <v>0</v>
          </cell>
          <cell r="P13">
            <v>0</v>
          </cell>
          <cell r="Q13">
            <v>1744766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BD13">
            <v>0</v>
          </cell>
          <cell r="BE13" t="e">
            <v>#REF!</v>
          </cell>
          <cell r="BF13">
            <v>1744766</v>
          </cell>
        </row>
        <row r="14">
          <cell r="B14">
            <v>20466</v>
          </cell>
          <cell r="D14" t="str">
            <v xml:space="preserve">BARBOUR AND FLOYD MEDICAL ASSOCIATES </v>
          </cell>
          <cell r="L14">
            <v>109606</v>
          </cell>
          <cell r="M14">
            <v>795364</v>
          </cell>
          <cell r="N14">
            <v>0</v>
          </cell>
          <cell r="O14">
            <v>0</v>
          </cell>
          <cell r="P14">
            <v>0</v>
          </cell>
          <cell r="Q14">
            <v>93869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Y14">
            <v>1903654</v>
          </cell>
          <cell r="BD14">
            <v>200</v>
          </cell>
          <cell r="BE14" t="e">
            <v>#REF!</v>
          </cell>
          <cell r="BF14">
            <v>1997723</v>
          </cell>
        </row>
        <row r="15">
          <cell r="B15">
            <v>27633</v>
          </cell>
          <cell r="D15" t="str">
            <v>CALIFORNIA INSTITUTE OF HEALTH &amp; SOCIAL SVC, INC. (dba Alafia MH Institute)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Y15">
            <v>0</v>
          </cell>
          <cell r="BD15">
            <v>1314000</v>
          </cell>
          <cell r="BE15" t="e">
            <v>#REF!</v>
          </cell>
          <cell r="BF15">
            <v>1314000</v>
          </cell>
        </row>
        <row r="16">
          <cell r="B16" t="str">
            <v>TBA</v>
          </cell>
          <cell r="D16" t="str">
            <v>CERRITOS HOSPITAL</v>
          </cell>
          <cell r="L16">
            <v>0</v>
          </cell>
          <cell r="M16">
            <v>211193</v>
          </cell>
          <cell r="N16">
            <v>0</v>
          </cell>
          <cell r="O16">
            <v>0</v>
          </cell>
          <cell r="P16">
            <v>409000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Y16">
            <v>0</v>
          </cell>
          <cell r="BD16">
            <v>0</v>
          </cell>
          <cell r="BE16" t="e">
            <v>#REF!</v>
          </cell>
          <cell r="BF16">
            <v>409000</v>
          </cell>
        </row>
        <row r="17">
          <cell r="B17">
            <v>21575</v>
          </cell>
          <cell r="D17" t="str">
            <v>CHILDNET YOUTH &amp; FAMILY SERVICES, INC.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30000</v>
          </cell>
          <cell r="AW17">
            <v>0</v>
          </cell>
          <cell r="AY17">
            <v>15302</v>
          </cell>
          <cell r="BD17">
            <v>7414000</v>
          </cell>
          <cell r="BE17" t="e">
            <v>#REF!</v>
          </cell>
          <cell r="BF17">
            <v>7459302</v>
          </cell>
        </row>
        <row r="18">
          <cell r="B18">
            <v>23113</v>
          </cell>
          <cell r="D18" t="str">
            <v>CITY OF GARDENA</v>
          </cell>
          <cell r="L18">
            <v>0</v>
          </cell>
          <cell r="M18">
            <v>93885</v>
          </cell>
          <cell r="N18">
            <v>0</v>
          </cell>
          <cell r="O18">
            <v>0</v>
          </cell>
          <cell r="P18">
            <v>0</v>
          </cell>
          <cell r="Q18">
            <v>91528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Y18">
            <v>0</v>
          </cell>
          <cell r="BD18">
            <v>0</v>
          </cell>
          <cell r="BE18" t="e">
            <v>#REF!</v>
          </cell>
          <cell r="BF18">
            <v>91528</v>
          </cell>
        </row>
        <row r="19">
          <cell r="B19">
            <v>21527</v>
          </cell>
          <cell r="D19" t="str">
            <v>COLLEGE HOSPITAL</v>
          </cell>
          <cell r="L19">
            <v>0</v>
          </cell>
          <cell r="M19">
            <v>930750</v>
          </cell>
          <cell r="N19">
            <v>0</v>
          </cell>
          <cell r="O19">
            <v>0</v>
          </cell>
          <cell r="P19">
            <v>0</v>
          </cell>
          <cell r="Q19">
            <v>907379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BD19">
            <v>0</v>
          </cell>
          <cell r="BE19" t="e">
            <v>#REF!</v>
          </cell>
          <cell r="BF19">
            <v>907379</v>
          </cell>
        </row>
        <row r="20">
          <cell r="B20">
            <v>27635</v>
          </cell>
          <cell r="D20" t="str">
            <v>DREW CHILD DEVELOPMENT CORPORATION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Y20">
            <v>0</v>
          </cell>
          <cell r="BD20">
            <v>1034000</v>
          </cell>
          <cell r="BE20" t="e">
            <v>#REF!</v>
          </cell>
          <cell r="BF20">
            <v>1034000</v>
          </cell>
        </row>
        <row r="21">
          <cell r="B21">
            <v>18699</v>
          </cell>
          <cell r="D21" t="str">
            <v>ENRICHMENT THROUGH EMPLOYMENT - TERMINATED</v>
          </cell>
          <cell r="L21">
            <v>0</v>
          </cell>
          <cell r="M21">
            <v>38656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40000</v>
          </cell>
          <cell r="BD21">
            <v>0</v>
          </cell>
          <cell r="BE21" t="e">
            <v>#REF!</v>
          </cell>
          <cell r="BF21">
            <v>40000</v>
          </cell>
        </row>
        <row r="22">
          <cell r="B22">
            <v>27492</v>
          </cell>
          <cell r="D22" t="str">
            <v xml:space="preserve">FH &amp; HF TORRANCE I, LLC C/O HEALTH QUALITY MANAGEMENT </v>
          </cell>
          <cell r="O22">
            <v>0</v>
          </cell>
          <cell r="P22">
            <v>0</v>
          </cell>
          <cell r="Q22">
            <v>556717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277232</v>
          </cell>
          <cell r="BD22">
            <v>0</v>
          </cell>
          <cell r="BE22" t="e">
            <v>#REF!</v>
          </cell>
          <cell r="BF22">
            <v>833949</v>
          </cell>
        </row>
        <row r="23">
          <cell r="B23">
            <v>23108</v>
          </cell>
          <cell r="D23" t="str">
            <v xml:space="preserve">FOR THE CHILD, INC. 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Y23">
            <v>18860</v>
          </cell>
          <cell r="BD23">
            <v>997000</v>
          </cell>
          <cell r="BE23" t="e">
            <v>#REF!</v>
          </cell>
          <cell r="BF23">
            <v>1015860</v>
          </cell>
        </row>
        <row r="24">
          <cell r="B24">
            <v>23164</v>
          </cell>
          <cell r="D24" t="str">
            <v>HEALTH VIEW INC.</v>
          </cell>
          <cell r="L24">
            <v>7415</v>
          </cell>
          <cell r="M24">
            <v>360701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Y24">
            <v>947790</v>
          </cell>
          <cell r="BD24">
            <v>0</v>
          </cell>
          <cell r="BE24" t="e">
            <v>#REF!</v>
          </cell>
          <cell r="BF24">
            <v>947790</v>
          </cell>
        </row>
        <row r="25">
          <cell r="B25">
            <v>20966</v>
          </cell>
          <cell r="D25" t="str">
            <v>HOMES FOR LIFE FOUNDATION</v>
          </cell>
          <cell r="L25">
            <v>0</v>
          </cell>
          <cell r="M25">
            <v>268295</v>
          </cell>
          <cell r="N25">
            <v>0</v>
          </cell>
          <cell r="O25">
            <v>0</v>
          </cell>
          <cell r="P25">
            <v>0</v>
          </cell>
          <cell r="Q25">
            <v>541105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259514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0</v>
          </cell>
          <cell r="AW25">
            <v>0</v>
          </cell>
          <cell r="AY25">
            <v>659486</v>
          </cell>
          <cell r="BD25">
            <v>274700</v>
          </cell>
          <cell r="BE25" t="e">
            <v>#REF!</v>
          </cell>
          <cell r="BF25">
            <v>1734805</v>
          </cell>
        </row>
        <row r="26">
          <cell r="B26">
            <v>23136</v>
          </cell>
          <cell r="D26" t="str">
            <v xml:space="preserve">KEDREN COMMUNITY HEALTH CENTER, INC. DBA KEDREN </v>
          </cell>
          <cell r="L26">
            <v>115654</v>
          </cell>
          <cell r="M26">
            <v>9584886</v>
          </cell>
          <cell r="N26">
            <v>750</v>
          </cell>
          <cell r="O26">
            <v>0</v>
          </cell>
          <cell r="P26">
            <v>1954000</v>
          </cell>
          <cell r="Q26">
            <v>5294122</v>
          </cell>
          <cell r="R26">
            <v>0</v>
          </cell>
          <cell r="S26">
            <v>0</v>
          </cell>
          <cell r="T26">
            <v>215708</v>
          </cell>
          <cell r="U26">
            <v>0</v>
          </cell>
          <cell r="V26">
            <v>0</v>
          </cell>
          <cell r="W26">
            <v>0</v>
          </cell>
          <cell r="X26">
            <v>218050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383265</v>
          </cell>
          <cell r="AM26">
            <v>16643</v>
          </cell>
          <cell r="AN26">
            <v>40000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21429</v>
          </cell>
          <cell r="AW26">
            <v>19100</v>
          </cell>
          <cell r="AY26">
            <v>6366488</v>
          </cell>
          <cell r="AZ26">
            <v>300000</v>
          </cell>
          <cell r="BD26">
            <v>6288700</v>
          </cell>
          <cell r="BE26" t="e">
            <v>#REF!</v>
          </cell>
          <cell r="BF26">
            <v>21117505</v>
          </cell>
        </row>
        <row r="27">
          <cell r="B27">
            <v>23141</v>
          </cell>
          <cell r="D27" t="str">
            <v>LOS ANGELES CHILD GUIDANCE CLINIC</v>
          </cell>
          <cell r="L27">
            <v>0</v>
          </cell>
          <cell r="M27">
            <v>1532019</v>
          </cell>
          <cell r="N27">
            <v>1389</v>
          </cell>
          <cell r="O27">
            <v>0</v>
          </cell>
          <cell r="P27">
            <v>0</v>
          </cell>
          <cell r="Q27">
            <v>297432</v>
          </cell>
          <cell r="R27">
            <v>0</v>
          </cell>
          <cell r="S27">
            <v>0</v>
          </cell>
          <cell r="T27">
            <v>55199</v>
          </cell>
          <cell r="U27">
            <v>0</v>
          </cell>
          <cell r="V27">
            <v>0</v>
          </cell>
          <cell r="W27">
            <v>0</v>
          </cell>
          <cell r="X27">
            <v>578500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200172</v>
          </cell>
          <cell r="AT27">
            <v>0</v>
          </cell>
          <cell r="AV27">
            <v>30000</v>
          </cell>
          <cell r="AW27">
            <v>185800</v>
          </cell>
          <cell r="AY27">
            <v>80000</v>
          </cell>
          <cell r="BD27">
            <v>10226300</v>
          </cell>
          <cell r="BE27" t="e">
            <v>#REF!</v>
          </cell>
          <cell r="BF27">
            <v>11653403</v>
          </cell>
        </row>
        <row r="28">
          <cell r="B28">
            <v>23146</v>
          </cell>
          <cell r="D28" t="str">
            <v>NATIONAL MENTAL HEALTH ASSOCIATION OF GREATER LA</v>
          </cell>
          <cell r="L28">
            <v>124267</v>
          </cell>
          <cell r="M28">
            <v>1885588</v>
          </cell>
          <cell r="N28">
            <v>0</v>
          </cell>
          <cell r="O28">
            <v>0</v>
          </cell>
          <cell r="P28">
            <v>0</v>
          </cell>
          <cell r="Q28">
            <v>3304985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348000</v>
          </cell>
          <cell r="AK28">
            <v>0</v>
          </cell>
          <cell r="AL28">
            <v>0</v>
          </cell>
          <cell r="AM28">
            <v>61554</v>
          </cell>
          <cell r="AN28">
            <v>1000000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70000</v>
          </cell>
          <cell r="AV28">
            <v>0</v>
          </cell>
          <cell r="AW28">
            <v>0</v>
          </cell>
          <cell r="AY28">
            <v>495526</v>
          </cell>
          <cell r="AZ28">
            <v>5162002</v>
          </cell>
          <cell r="BA28">
            <v>37998</v>
          </cell>
          <cell r="BD28">
            <v>753500</v>
          </cell>
          <cell r="BE28" t="e">
            <v>#REF!</v>
          </cell>
          <cell r="BF28">
            <v>11233565</v>
          </cell>
        </row>
        <row r="29">
          <cell r="B29">
            <v>27235</v>
          </cell>
          <cell r="D29" t="str">
            <v>ONE IN LONG BEACH, INC.</v>
          </cell>
          <cell r="L29">
            <v>0</v>
          </cell>
          <cell r="M29">
            <v>143641</v>
          </cell>
          <cell r="N29">
            <v>0</v>
          </cell>
          <cell r="O29">
            <v>0</v>
          </cell>
          <cell r="P29">
            <v>0</v>
          </cell>
          <cell r="Q29">
            <v>140034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BD29">
            <v>0</v>
          </cell>
          <cell r="BE29" t="e">
            <v>#REF!</v>
          </cell>
          <cell r="BF29">
            <v>140034</v>
          </cell>
        </row>
        <row r="30">
          <cell r="B30">
            <v>27520</v>
          </cell>
          <cell r="D30" t="str">
            <v>PERSONAL INVOLVEMENT CENTER, INC.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Y30">
            <v>0</v>
          </cell>
          <cell r="BD30">
            <v>1216000</v>
          </cell>
          <cell r="BE30" t="e">
            <v>#REF!</v>
          </cell>
          <cell r="BF30">
            <v>1216000</v>
          </cell>
        </row>
        <row r="31">
          <cell r="B31">
            <v>18638</v>
          </cell>
          <cell r="D31" t="str">
            <v>SHIELDS FOR FAMILY PROJECT, INC.</v>
          </cell>
          <cell r="L31">
            <v>30536</v>
          </cell>
          <cell r="M31">
            <v>92527</v>
          </cell>
          <cell r="N31">
            <v>633</v>
          </cell>
          <cell r="O31">
            <v>0</v>
          </cell>
          <cell r="P31">
            <v>0</v>
          </cell>
          <cell r="Q31">
            <v>150000</v>
          </cell>
          <cell r="R31">
            <v>0</v>
          </cell>
          <cell r="S31">
            <v>0</v>
          </cell>
          <cell r="T31">
            <v>143796</v>
          </cell>
          <cell r="U31">
            <v>0</v>
          </cell>
          <cell r="V31">
            <v>0</v>
          </cell>
          <cell r="W31">
            <v>0</v>
          </cell>
          <cell r="X31">
            <v>272340</v>
          </cell>
          <cell r="Y31">
            <v>300000</v>
          </cell>
          <cell r="Z31">
            <v>25000</v>
          </cell>
          <cell r="AA31">
            <v>0</v>
          </cell>
          <cell r="AB31">
            <v>0</v>
          </cell>
          <cell r="AC31">
            <v>0</v>
          </cell>
          <cell r="AD31">
            <v>150000</v>
          </cell>
          <cell r="AE31">
            <v>0</v>
          </cell>
          <cell r="AF31">
            <v>0</v>
          </cell>
          <cell r="AG31">
            <v>0</v>
          </cell>
          <cell r="AH31">
            <v>47000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30000</v>
          </cell>
          <cell r="AW31">
            <v>19400</v>
          </cell>
          <cell r="AY31">
            <v>442546</v>
          </cell>
          <cell r="BD31">
            <v>4608214</v>
          </cell>
          <cell r="BE31" t="e">
            <v>#REF!</v>
          </cell>
          <cell r="BF31">
            <v>6188296</v>
          </cell>
        </row>
        <row r="32">
          <cell r="B32">
            <v>23169</v>
          </cell>
          <cell r="D32" t="str">
            <v>SOUTH BAY CHILDREN'S HEALTH CENTER ASSOCIATION</v>
          </cell>
          <cell r="L32">
            <v>0</v>
          </cell>
          <cell r="M32">
            <v>435103</v>
          </cell>
          <cell r="N32">
            <v>0</v>
          </cell>
          <cell r="O32">
            <v>0</v>
          </cell>
          <cell r="P32">
            <v>0</v>
          </cell>
          <cell r="Q32">
            <v>9917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95144</v>
          </cell>
          <cell r="AT32">
            <v>0</v>
          </cell>
          <cell r="AV32">
            <v>0</v>
          </cell>
          <cell r="AW32">
            <v>40200</v>
          </cell>
          <cell r="AY32">
            <v>0</v>
          </cell>
          <cell r="BD32">
            <v>472744</v>
          </cell>
          <cell r="BE32" t="e">
            <v>#REF!</v>
          </cell>
          <cell r="BF32">
            <v>618005</v>
          </cell>
        </row>
        <row r="33">
          <cell r="B33">
            <v>18626</v>
          </cell>
          <cell r="D33" t="str">
            <v>SOUTH CENTRAL HEALTH &amp; REHAB PROGRAM (SCHARP)</v>
          </cell>
          <cell r="L33">
            <v>11531</v>
          </cell>
          <cell r="M33">
            <v>1071040</v>
          </cell>
          <cell r="N33">
            <v>0</v>
          </cell>
          <cell r="O33">
            <v>0</v>
          </cell>
          <cell r="P33">
            <v>0</v>
          </cell>
          <cell r="Q33">
            <v>712500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636350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40000</v>
          </cell>
          <cell r="AK33">
            <v>0</v>
          </cell>
          <cell r="AL33">
            <v>838100</v>
          </cell>
          <cell r="AM33">
            <v>56587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10000</v>
          </cell>
          <cell r="AW33">
            <v>5000</v>
          </cell>
          <cell r="AY33">
            <v>289338</v>
          </cell>
          <cell r="AZ33">
            <v>1950500</v>
          </cell>
          <cell r="BD33">
            <v>1248000</v>
          </cell>
          <cell r="BE33" t="e">
            <v>#REF!</v>
          </cell>
          <cell r="BF33">
            <v>5786375</v>
          </cell>
        </row>
        <row r="34">
          <cell r="B34">
            <v>21568</v>
          </cell>
          <cell r="D34" t="str">
            <v>ST. FRANCIS MEDICAL CENTER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28370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10000</v>
          </cell>
          <cell r="AY34">
            <v>0</v>
          </cell>
          <cell r="BD34">
            <v>2000372</v>
          </cell>
          <cell r="BE34" t="e">
            <v>#REF!</v>
          </cell>
          <cell r="BF34">
            <v>2038742</v>
          </cell>
        </row>
        <row r="35">
          <cell r="B35">
            <v>23172</v>
          </cell>
          <cell r="D35" t="str">
            <v>TELECARE CORP. (LA PAZ &amp; LA CASA MENTAL HEALTH CTR)</v>
          </cell>
          <cell r="L35">
            <v>846670</v>
          </cell>
          <cell r="M35">
            <v>2053376</v>
          </cell>
          <cell r="N35">
            <v>0</v>
          </cell>
          <cell r="O35">
            <v>0</v>
          </cell>
          <cell r="P35">
            <v>0</v>
          </cell>
          <cell r="Q35">
            <v>1732290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775208</v>
          </cell>
          <cell r="AM35">
            <v>54923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Y35">
            <v>1714950</v>
          </cell>
          <cell r="AZ35">
            <v>1969130</v>
          </cell>
          <cell r="BD35">
            <v>92600</v>
          </cell>
          <cell r="BE35" t="e">
            <v>#REF!</v>
          </cell>
          <cell r="BF35">
            <v>6339101</v>
          </cell>
        </row>
        <row r="36">
          <cell r="B36">
            <v>23157</v>
          </cell>
          <cell r="D36" t="str">
            <v>THE GUIDANCE CENTER (GREATER LONG BEACH CHILD)</v>
          </cell>
          <cell r="L36">
            <v>9818</v>
          </cell>
          <cell r="M36">
            <v>872668</v>
          </cell>
          <cell r="N36">
            <v>0</v>
          </cell>
          <cell r="O36">
            <v>0</v>
          </cell>
          <cell r="P36">
            <v>0</v>
          </cell>
          <cell r="Q36">
            <v>280736</v>
          </cell>
          <cell r="R36">
            <v>0</v>
          </cell>
          <cell r="S36">
            <v>0</v>
          </cell>
          <cell r="T36">
            <v>183883</v>
          </cell>
          <cell r="U36">
            <v>0</v>
          </cell>
          <cell r="V36">
            <v>0</v>
          </cell>
          <cell r="W36">
            <v>0</v>
          </cell>
          <cell r="X36">
            <v>249200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Q36">
            <v>0</v>
          </cell>
          <cell r="AR36">
            <v>0</v>
          </cell>
          <cell r="AS36">
            <v>169797</v>
          </cell>
          <cell r="AT36">
            <v>120000</v>
          </cell>
          <cell r="AV36">
            <v>15000</v>
          </cell>
          <cell r="AW36">
            <v>9100</v>
          </cell>
          <cell r="AY36">
            <v>181960</v>
          </cell>
          <cell r="BD36">
            <v>7558986</v>
          </cell>
          <cell r="BE36" t="e">
            <v>#REF!</v>
          </cell>
          <cell r="BF36">
            <v>8768662</v>
          </cell>
        </row>
        <row r="37">
          <cell r="B37">
            <v>23175</v>
          </cell>
          <cell r="D37" t="str">
            <v>TRANSITIONAL LIVING CENTERS FOR LA COUNTY, INC.</v>
          </cell>
          <cell r="L37">
            <v>0</v>
          </cell>
          <cell r="M37">
            <v>1295524</v>
          </cell>
          <cell r="N37">
            <v>0</v>
          </cell>
          <cell r="O37">
            <v>0</v>
          </cell>
          <cell r="P37">
            <v>0</v>
          </cell>
          <cell r="Q37">
            <v>882254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Y37">
            <v>728648</v>
          </cell>
          <cell r="BD37">
            <v>56800</v>
          </cell>
          <cell r="BE37" t="e">
            <v>#REF!</v>
          </cell>
          <cell r="BF37">
            <v>1667702</v>
          </cell>
        </row>
        <row r="38">
          <cell r="B38">
            <v>23179</v>
          </cell>
          <cell r="D38" t="str">
            <v xml:space="preserve">WATTS LABOR COMMMUNITY ACTION COMMMITTEE (WLCAC) </v>
          </cell>
          <cell r="L38">
            <v>0</v>
          </cell>
          <cell r="M38">
            <v>232225</v>
          </cell>
          <cell r="N38">
            <v>0</v>
          </cell>
          <cell r="O38">
            <v>0</v>
          </cell>
          <cell r="P38">
            <v>0</v>
          </cell>
          <cell r="Q38">
            <v>200687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51414</v>
          </cell>
          <cell r="BD38">
            <v>0</v>
          </cell>
          <cell r="BE38" t="e">
            <v>#REF!</v>
          </cell>
          <cell r="BF38">
            <v>252101</v>
          </cell>
        </row>
        <row r="39">
          <cell r="D39" t="str">
            <v>J. ALLEN - SERVICE AREA 6 &amp; 8</v>
          </cell>
          <cell r="O39">
            <v>0</v>
          </cell>
          <cell r="P39">
            <v>2363000</v>
          </cell>
          <cell r="Q39">
            <v>16940321</v>
          </cell>
          <cell r="R39">
            <v>0</v>
          </cell>
          <cell r="S39">
            <v>0</v>
          </cell>
          <cell r="T39">
            <v>626956</v>
          </cell>
          <cell r="U39">
            <v>0</v>
          </cell>
          <cell r="V39">
            <v>0</v>
          </cell>
          <cell r="W39">
            <v>0</v>
          </cell>
          <cell r="X39">
            <v>2154690</v>
          </cell>
          <cell r="Y39">
            <v>300000</v>
          </cell>
          <cell r="Z39">
            <v>25000</v>
          </cell>
          <cell r="AA39">
            <v>0</v>
          </cell>
          <cell r="AB39">
            <v>0</v>
          </cell>
          <cell r="AC39">
            <v>0</v>
          </cell>
          <cell r="AD39">
            <v>150000</v>
          </cell>
          <cell r="AE39">
            <v>0</v>
          </cell>
          <cell r="AF39">
            <v>259514</v>
          </cell>
          <cell r="AG39">
            <v>0</v>
          </cell>
          <cell r="AH39">
            <v>47000</v>
          </cell>
          <cell r="AI39">
            <v>0</v>
          </cell>
          <cell r="AJ39">
            <v>388000</v>
          </cell>
          <cell r="AK39">
            <v>0</v>
          </cell>
          <cell r="AL39">
            <v>1996573</v>
          </cell>
          <cell r="AM39">
            <v>189707</v>
          </cell>
          <cell r="AN39">
            <v>1040000</v>
          </cell>
          <cell r="AO39">
            <v>0</v>
          </cell>
          <cell r="AP39">
            <v>472000</v>
          </cell>
          <cell r="AQ39">
            <v>0</v>
          </cell>
          <cell r="AR39">
            <v>0</v>
          </cell>
          <cell r="AS39">
            <v>465113</v>
          </cell>
          <cell r="AT39">
            <v>120000</v>
          </cell>
          <cell r="AU39">
            <v>70000</v>
          </cell>
          <cell r="AV39">
            <v>136429</v>
          </cell>
          <cell r="AW39">
            <v>288600</v>
          </cell>
          <cell r="AX39">
            <v>0</v>
          </cell>
          <cell r="AY39">
            <v>14215194</v>
          </cell>
          <cell r="AZ39">
            <v>9381632</v>
          </cell>
          <cell r="BA39">
            <v>37998</v>
          </cell>
          <cell r="BB39">
            <v>0</v>
          </cell>
          <cell r="BC39">
            <v>0</v>
          </cell>
          <cell r="BD39">
            <v>46041116</v>
          </cell>
          <cell r="BE39" t="e">
            <v>#REF!</v>
          </cell>
          <cell r="BF39">
            <v>97708843</v>
          </cell>
        </row>
        <row r="40">
          <cell r="B40">
            <v>27233</v>
          </cell>
          <cell r="D40" t="str">
            <v>BIENVENIDOS CHILDREN'S CTR, INC.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1200</v>
          </cell>
          <cell r="AY40">
            <v>2572</v>
          </cell>
          <cell r="BD40">
            <v>2786700</v>
          </cell>
          <cell r="BE40" t="e">
            <v>#REF!</v>
          </cell>
          <cell r="BF40">
            <v>2790801</v>
          </cell>
        </row>
        <row r="41">
          <cell r="B41">
            <v>23105</v>
          </cell>
          <cell r="D41" t="str">
            <v xml:space="preserve">BRASWELL REHAB INST FOR DEV. OF GROWTH (dba BRIDGES) </v>
          </cell>
          <cell r="L41">
            <v>2617</v>
          </cell>
          <cell r="M41">
            <v>1128497</v>
          </cell>
          <cell r="N41">
            <v>0</v>
          </cell>
          <cell r="O41">
            <v>0</v>
          </cell>
          <cell r="P41">
            <v>0</v>
          </cell>
          <cell r="Q41">
            <v>802956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1019160</v>
          </cell>
          <cell r="BD41">
            <v>538900</v>
          </cell>
          <cell r="BE41" t="e">
            <v>#REF!</v>
          </cell>
          <cell r="BF41">
            <v>2361016</v>
          </cell>
        </row>
        <row r="42">
          <cell r="B42">
            <v>27634</v>
          </cell>
          <cell r="D42" t="str">
            <v>CENTER FOR INTEGRATED FAMILY &amp; HEALTH SERVICES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BD42">
            <v>996000</v>
          </cell>
          <cell r="BE42" t="e">
            <v>#REF!</v>
          </cell>
          <cell r="BF42">
            <v>996000</v>
          </cell>
        </row>
        <row r="43">
          <cell r="B43">
            <v>21570</v>
          </cell>
          <cell r="D43" t="str">
            <v>COUNSELING &amp; RESEARCH ASSO. INC., (dba MASADA HOMES)</v>
          </cell>
          <cell r="L43">
            <v>0</v>
          </cell>
          <cell r="M43">
            <v>75001</v>
          </cell>
          <cell r="N43">
            <v>0</v>
          </cell>
          <cell r="O43">
            <v>0</v>
          </cell>
          <cell r="P43">
            <v>0</v>
          </cell>
          <cell r="Q43">
            <v>24918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74975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57143</v>
          </cell>
          <cell r="AW43">
            <v>0</v>
          </cell>
          <cell r="AY43">
            <v>10000</v>
          </cell>
          <cell r="BD43">
            <v>6887700</v>
          </cell>
          <cell r="BE43" t="e">
            <v>#REF!</v>
          </cell>
          <cell r="BF43">
            <v>7054736</v>
          </cell>
        </row>
        <row r="44">
          <cell r="B44">
            <v>21574</v>
          </cell>
          <cell r="D44" t="str">
            <v>D' VEAL CORP. (dva D'VEAL FAMILY AND YOUTH SVCS)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178000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74975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35714</v>
          </cell>
          <cell r="AW44">
            <v>0</v>
          </cell>
          <cell r="AY44">
            <v>2000</v>
          </cell>
          <cell r="BD44">
            <v>5089700</v>
          </cell>
          <cell r="BE44" t="e">
            <v>#REF!</v>
          </cell>
          <cell r="BF44">
            <v>5380389</v>
          </cell>
        </row>
        <row r="45">
          <cell r="B45">
            <v>27545</v>
          </cell>
          <cell r="D45" t="str">
            <v>DAVID &amp; MARGARET HOME, INC.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BD45">
            <v>1000000</v>
          </cell>
          <cell r="BE45" t="e">
            <v>#REF!</v>
          </cell>
          <cell r="BF45">
            <v>1000000</v>
          </cell>
        </row>
        <row r="46">
          <cell r="B46">
            <v>23118</v>
          </cell>
          <cell r="D46" t="str">
            <v>DUBNOFF CENTER FOR CHILD DEV &amp; EDU THERAPY, INC.</v>
          </cell>
          <cell r="L46">
            <v>0</v>
          </cell>
          <cell r="M46">
            <v>376247</v>
          </cell>
          <cell r="N46">
            <v>0</v>
          </cell>
          <cell r="O46">
            <v>0</v>
          </cell>
          <cell r="P46">
            <v>0</v>
          </cell>
          <cell r="Q46">
            <v>230053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74975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Q46">
            <v>0</v>
          </cell>
          <cell r="AR46">
            <v>0</v>
          </cell>
          <cell r="AS46">
            <v>154928</v>
          </cell>
          <cell r="AT46">
            <v>62144</v>
          </cell>
          <cell r="AV46">
            <v>85714</v>
          </cell>
          <cell r="AW46">
            <v>47600</v>
          </cell>
          <cell r="AY46">
            <v>11282</v>
          </cell>
          <cell r="BD46">
            <v>1444600</v>
          </cell>
          <cell r="BE46" t="e">
            <v>#REF!</v>
          </cell>
          <cell r="BF46">
            <v>2111296</v>
          </cell>
        </row>
        <row r="47">
          <cell r="B47">
            <v>21571</v>
          </cell>
          <cell r="D47" t="str">
            <v>EASTFIELD MING QUONG, INC. (FORMELY LA ORPHANS)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Y47">
            <v>40052</v>
          </cell>
          <cell r="BD47">
            <v>3138000</v>
          </cell>
          <cell r="BE47" t="e">
            <v>#REF!</v>
          </cell>
          <cell r="BF47">
            <v>3178052</v>
          </cell>
        </row>
        <row r="48">
          <cell r="B48">
            <v>27234</v>
          </cell>
          <cell r="D48" t="str">
            <v>ETTIE LEE HOMES, INC.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90000</v>
          </cell>
          <cell r="BD48">
            <v>2236000</v>
          </cell>
          <cell r="BE48" t="e">
            <v>#REF!</v>
          </cell>
          <cell r="BF48">
            <v>2326000</v>
          </cell>
        </row>
        <row r="49">
          <cell r="B49">
            <v>18675</v>
          </cell>
          <cell r="D49" t="str">
            <v>FIVE ACRES - THE BOYS &amp; GIRLS AID SOCIETY OF LA COUNTY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Y49">
            <v>2000</v>
          </cell>
          <cell r="BD49">
            <v>9708651</v>
          </cell>
          <cell r="BE49" t="e">
            <v>#REF!</v>
          </cell>
          <cell r="BF49">
            <v>9710651</v>
          </cell>
        </row>
        <row r="50">
          <cell r="B50">
            <v>27636</v>
          </cell>
          <cell r="D50" t="str">
            <v>FLORENCE CRITTENTON CENTER (LOS ANGELES) - NON RENEWEL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BD50">
            <v>1000000</v>
          </cell>
          <cell r="BE50" t="e">
            <v>#REF!</v>
          </cell>
          <cell r="BF50">
            <v>1000000</v>
          </cell>
        </row>
        <row r="51">
          <cell r="B51">
            <v>27627</v>
          </cell>
          <cell r="D51" t="str">
            <v>FLORENCE CRITTENTON SERVICES OF ORANGE COUNTY, INC.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BD51">
            <v>2250000</v>
          </cell>
          <cell r="BE51" t="e">
            <v>#REF!</v>
          </cell>
          <cell r="BF51">
            <v>2250000</v>
          </cell>
        </row>
        <row r="52">
          <cell r="B52">
            <v>18701</v>
          </cell>
          <cell r="D52" t="str">
            <v>FOOTHILL FAMILY SERVICE</v>
          </cell>
          <cell r="L52">
            <v>0</v>
          </cell>
          <cell r="M52">
            <v>4176</v>
          </cell>
          <cell r="N52">
            <v>0</v>
          </cell>
          <cell r="O52">
            <v>0</v>
          </cell>
          <cell r="P52">
            <v>0</v>
          </cell>
          <cell r="Q52">
            <v>3104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80000</v>
          </cell>
          <cell r="AV52">
            <v>0</v>
          </cell>
          <cell r="AW52">
            <v>142900</v>
          </cell>
          <cell r="AY52">
            <v>1856</v>
          </cell>
          <cell r="BD52">
            <v>6421000</v>
          </cell>
          <cell r="BE52" t="e">
            <v>#REF!</v>
          </cell>
          <cell r="BF52">
            <v>6648860</v>
          </cell>
        </row>
        <row r="53">
          <cell r="B53">
            <v>27478</v>
          </cell>
          <cell r="D53" t="str">
            <v>HERITAGE CLINIC &amp; THE COMMUNITY ASS. PRO. FOR SENIORS</v>
          </cell>
          <cell r="L53">
            <v>0</v>
          </cell>
          <cell r="M53">
            <v>200166</v>
          </cell>
          <cell r="N53">
            <v>0</v>
          </cell>
          <cell r="O53">
            <v>0</v>
          </cell>
          <cell r="P53">
            <v>0</v>
          </cell>
          <cell r="Q53">
            <v>26498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Y53">
            <v>537920</v>
          </cell>
          <cell r="BD53">
            <v>0</v>
          </cell>
          <cell r="BE53" t="e">
            <v>#REF!</v>
          </cell>
          <cell r="BF53">
            <v>564418</v>
          </cell>
        </row>
        <row r="54">
          <cell r="B54">
            <v>23135</v>
          </cell>
          <cell r="D54" t="str">
            <v xml:space="preserve">HILLSIDES (FORMERLY CHURCH HOME FOR CHILDREN) </v>
          </cell>
          <cell r="L54">
            <v>0</v>
          </cell>
          <cell r="M54">
            <v>30415</v>
          </cell>
          <cell r="N54">
            <v>0</v>
          </cell>
          <cell r="O54">
            <v>0</v>
          </cell>
          <cell r="P54">
            <v>0</v>
          </cell>
          <cell r="Q54" t="str">
            <v xml:space="preserve"> 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40000</v>
          </cell>
          <cell r="AV54">
            <v>0</v>
          </cell>
          <cell r="AW54">
            <v>72873</v>
          </cell>
          <cell r="AY54">
            <v>18396</v>
          </cell>
          <cell r="BD54">
            <v>7049000</v>
          </cell>
          <cell r="BE54" t="e">
            <v>#REF!</v>
          </cell>
          <cell r="BF54">
            <v>7180269</v>
          </cell>
        </row>
        <row r="55">
          <cell r="B55">
            <v>27614</v>
          </cell>
          <cell r="D55" t="str">
            <v>INSTITUTE FOR APPLIED BEHAVIOR ANALYSIS, A PSY. CORP.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BD55">
            <v>100000</v>
          </cell>
          <cell r="BE55" t="e">
            <v>#REF!</v>
          </cell>
          <cell r="BF55">
            <v>100000</v>
          </cell>
        </row>
        <row r="56">
          <cell r="B56">
            <v>23186</v>
          </cell>
          <cell r="D56" t="str">
            <v>INSTITUTE FOR THE REDESIGN OF LEARNING (ALMANSOR)</v>
          </cell>
          <cell r="L56">
            <v>0</v>
          </cell>
          <cell r="M56">
            <v>192414</v>
          </cell>
          <cell r="N56">
            <v>0</v>
          </cell>
          <cell r="O56">
            <v>0</v>
          </cell>
          <cell r="P56">
            <v>0</v>
          </cell>
          <cell r="Q56">
            <v>100000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135485</v>
          </cell>
          <cell r="AT56">
            <v>125000</v>
          </cell>
          <cell r="AV56">
            <v>72143</v>
          </cell>
          <cell r="AW56">
            <v>263770</v>
          </cell>
          <cell r="AY56">
            <v>0</v>
          </cell>
          <cell r="BD56">
            <v>5423100</v>
          </cell>
          <cell r="BE56" t="e">
            <v>#REF!</v>
          </cell>
          <cell r="BF56">
            <v>6119498</v>
          </cell>
        </row>
        <row r="57">
          <cell r="B57">
            <v>27637</v>
          </cell>
          <cell r="D57" t="str">
            <v>KIDS FIRST FOUNDATION (MID VALLEY YOUTY CTR / HELICON)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BD57">
            <v>1500000</v>
          </cell>
          <cell r="BE57" t="e">
            <v>#REF!</v>
          </cell>
          <cell r="BF57">
            <v>1500000</v>
          </cell>
        </row>
        <row r="58">
          <cell r="B58">
            <v>27543</v>
          </cell>
          <cell r="D58" t="str">
            <v>LEROY HAYNES CTR FOR CHILDREN &amp; FAMILY SVCS, INC.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BD58">
            <v>2453800</v>
          </cell>
          <cell r="BE58" t="e">
            <v>#REF!</v>
          </cell>
          <cell r="BF58">
            <v>2453800</v>
          </cell>
        </row>
        <row r="59">
          <cell r="B59">
            <v>20470</v>
          </cell>
          <cell r="D59" t="str">
            <v>LOS ANGELES UNIFIED SCHOOL DISTRICT (97TH SCHOOL)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 xml:space="preserve"> 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5817</v>
          </cell>
          <cell r="AY59">
            <v>57072</v>
          </cell>
          <cell r="BD59">
            <v>2164900</v>
          </cell>
          <cell r="BE59" t="e">
            <v>#REF!</v>
          </cell>
          <cell r="BF59">
            <v>2227789</v>
          </cell>
        </row>
        <row r="60">
          <cell r="B60">
            <v>27507</v>
          </cell>
          <cell r="D60" t="str">
            <v>MARYVALE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Y60">
            <v>0</v>
          </cell>
          <cell r="BD60">
            <v>2366000</v>
          </cell>
          <cell r="BE60" t="e">
            <v>#REF!</v>
          </cell>
          <cell r="BF60">
            <v>2366001</v>
          </cell>
        </row>
        <row r="61">
          <cell r="B61">
            <v>27495</v>
          </cell>
          <cell r="D61" t="str">
            <v>MCKINLEY CHILDREN'S CENTER, INC.</v>
          </cell>
          <cell r="L61">
            <v>0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Y61">
            <v>59560</v>
          </cell>
          <cell r="BD61">
            <v>2755000</v>
          </cell>
          <cell r="BE61" t="e">
            <v>#REF!</v>
          </cell>
          <cell r="BF61">
            <v>2814560</v>
          </cell>
        </row>
        <row r="62">
          <cell r="B62">
            <v>18664</v>
          </cell>
          <cell r="D62" t="str">
            <v>OLIVE CREST TREATMENT CENTERS, INC.</v>
          </cell>
          <cell r="L62">
            <v>0</v>
          </cell>
          <cell r="M62">
            <v>74768</v>
          </cell>
          <cell r="N62">
            <v>0</v>
          </cell>
          <cell r="O62">
            <v>0</v>
          </cell>
          <cell r="P62">
            <v>0</v>
          </cell>
          <cell r="Q62">
            <v>71659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Y62">
            <v>2462</v>
          </cell>
          <cell r="BD62">
            <v>951000</v>
          </cell>
          <cell r="BE62" t="e">
            <v>#REF!</v>
          </cell>
          <cell r="BF62">
            <v>1025121</v>
          </cell>
        </row>
        <row r="63">
          <cell r="B63">
            <v>21569</v>
          </cell>
          <cell r="D63" t="str">
            <v>OPTIMIST BOYS' HOME &amp; RANCH INC.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74975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28571</v>
          </cell>
          <cell r="AW63">
            <v>0</v>
          </cell>
          <cell r="AY63">
            <v>20000</v>
          </cell>
          <cell r="BD63">
            <v>4618400</v>
          </cell>
          <cell r="BE63" t="e">
            <v>#REF!</v>
          </cell>
          <cell r="BF63">
            <v>4741946</v>
          </cell>
        </row>
        <row r="64">
          <cell r="B64">
            <v>23153</v>
          </cell>
          <cell r="D64" t="str">
            <v xml:space="preserve">PACIFIC CLINICS </v>
          </cell>
          <cell r="L64">
            <v>226125</v>
          </cell>
          <cell r="M64">
            <v>11088143</v>
          </cell>
          <cell r="N64">
            <v>5829</v>
          </cell>
          <cell r="O64">
            <v>0</v>
          </cell>
          <cell r="P64">
            <v>0</v>
          </cell>
          <cell r="Q64">
            <v>2247382</v>
          </cell>
          <cell r="R64">
            <v>0</v>
          </cell>
          <cell r="S64">
            <v>0</v>
          </cell>
          <cell r="T64">
            <v>207444</v>
          </cell>
          <cell r="U64">
            <v>0</v>
          </cell>
          <cell r="V64">
            <v>0</v>
          </cell>
          <cell r="W64">
            <v>0</v>
          </cell>
          <cell r="X64">
            <v>2144397</v>
          </cell>
          <cell r="Y64">
            <v>300000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74975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25000</v>
          </cell>
          <cell r="AK64">
            <v>260000</v>
          </cell>
          <cell r="AL64">
            <v>660112</v>
          </cell>
          <cell r="AM64">
            <v>36615</v>
          </cell>
          <cell r="AN64">
            <v>77600</v>
          </cell>
          <cell r="AQ64">
            <v>0</v>
          </cell>
          <cell r="AR64">
            <v>0</v>
          </cell>
          <cell r="AS64">
            <v>700000</v>
          </cell>
          <cell r="AT64">
            <v>0</v>
          </cell>
          <cell r="AV64">
            <v>72143</v>
          </cell>
          <cell r="AW64">
            <v>363700</v>
          </cell>
          <cell r="AY64">
            <v>13090696</v>
          </cell>
          <cell r="AZ64">
            <v>1026140</v>
          </cell>
          <cell r="BD64">
            <v>27458300</v>
          </cell>
          <cell r="BE64" t="e">
            <v>#REF!</v>
          </cell>
          <cell r="BF64">
            <v>48744504</v>
          </cell>
        </row>
        <row r="65">
          <cell r="B65">
            <v>27518</v>
          </cell>
          <cell r="D65" t="str">
            <v>PACIFIC LODGE YOUTH SERVICE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BD65">
            <v>1500000</v>
          </cell>
          <cell r="BE65" t="e">
            <v>#REF!</v>
          </cell>
          <cell r="BF65">
            <v>1500000</v>
          </cell>
        </row>
        <row r="66">
          <cell r="B66">
            <v>27542</v>
          </cell>
          <cell r="D66" t="str">
            <v>PASADENA UNIFIED SCHOOL DISTRICT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BD66">
            <v>2000000</v>
          </cell>
          <cell r="BE66" t="e">
            <v>#REF!</v>
          </cell>
          <cell r="BF66">
            <v>2000000</v>
          </cell>
        </row>
        <row r="67">
          <cell r="B67">
            <v>23149</v>
          </cell>
          <cell r="D67" t="str">
            <v xml:space="preserve">PENNY LANE CENTERS (NATIONAL FOUNDATION TREATMENT) </v>
          </cell>
          <cell r="L67">
            <v>0</v>
          </cell>
          <cell r="M67">
            <v>629656</v>
          </cell>
          <cell r="N67">
            <v>0</v>
          </cell>
          <cell r="O67">
            <v>0</v>
          </cell>
          <cell r="P67">
            <v>0</v>
          </cell>
          <cell r="Q67">
            <v>100000</v>
          </cell>
          <cell r="R67">
            <v>0</v>
          </cell>
          <cell r="S67">
            <v>0</v>
          </cell>
          <cell r="T67">
            <v>75451</v>
          </cell>
          <cell r="U67">
            <v>0</v>
          </cell>
          <cell r="V67">
            <v>0</v>
          </cell>
          <cell r="W67">
            <v>0</v>
          </cell>
          <cell r="X67">
            <v>307050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74975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Q67">
            <v>0</v>
          </cell>
          <cell r="AR67">
            <v>0</v>
          </cell>
          <cell r="AS67">
            <v>6934</v>
          </cell>
          <cell r="AT67">
            <v>175000</v>
          </cell>
          <cell r="AV67">
            <v>85714</v>
          </cell>
          <cell r="AW67">
            <v>95529</v>
          </cell>
          <cell r="AY67">
            <v>72800</v>
          </cell>
          <cell r="BD67">
            <v>11381800</v>
          </cell>
          <cell r="BE67" t="e">
            <v>#REF!</v>
          </cell>
          <cell r="BF67">
            <v>12375253</v>
          </cell>
        </row>
        <row r="68">
          <cell r="B68">
            <v>21573</v>
          </cell>
          <cell r="D68" t="str">
            <v>PHOENIX HOUSES OF LOS ANGELES, INC.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Y68">
            <v>16000</v>
          </cell>
          <cell r="BD68">
            <v>1849000</v>
          </cell>
          <cell r="BE68" t="e">
            <v>#REF!</v>
          </cell>
          <cell r="BF68">
            <v>1865000</v>
          </cell>
        </row>
        <row r="69">
          <cell r="B69">
            <v>27210</v>
          </cell>
          <cell r="D69" t="str">
            <v>PROTOTYPES</v>
          </cell>
          <cell r="L69">
            <v>7157</v>
          </cell>
          <cell r="M69">
            <v>473990</v>
          </cell>
          <cell r="N69">
            <v>0</v>
          </cell>
          <cell r="O69">
            <v>0</v>
          </cell>
          <cell r="P69">
            <v>0</v>
          </cell>
          <cell r="Q69">
            <v>8875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489500</v>
          </cell>
          <cell r="Y69">
            <v>300000</v>
          </cell>
          <cell r="Z69">
            <v>22597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Y69">
            <v>1583248</v>
          </cell>
          <cell r="BD69">
            <v>793800</v>
          </cell>
          <cell r="BE69" t="e">
            <v>#REF!</v>
          </cell>
          <cell r="BF69">
            <v>3198020</v>
          </cell>
        </row>
        <row r="70">
          <cell r="B70">
            <v>27236</v>
          </cell>
          <cell r="D70" t="str">
            <v>ROSEMARY CHILDREN'S SERVICES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Y70">
            <v>10000</v>
          </cell>
          <cell r="BD70">
            <v>1673000</v>
          </cell>
          <cell r="BE70" t="e">
            <v>#REF!</v>
          </cell>
          <cell r="BF70">
            <v>1683000</v>
          </cell>
        </row>
        <row r="71">
          <cell r="B71">
            <v>18665</v>
          </cell>
          <cell r="D71" t="str">
            <v xml:space="preserve">SAN GABRIEL CHILDREN'S CTR, INC. (RESEARCH &amp; TREATMENT </v>
          </cell>
          <cell r="L71">
            <v>0</v>
          </cell>
          <cell r="M71">
            <v>81420</v>
          </cell>
          <cell r="N71">
            <v>0</v>
          </cell>
          <cell r="O71">
            <v>0</v>
          </cell>
          <cell r="P71">
            <v>0</v>
          </cell>
          <cell r="Q71">
            <v>69176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50000</v>
          </cell>
          <cell r="AV71">
            <v>0</v>
          </cell>
          <cell r="AW71">
            <v>0</v>
          </cell>
          <cell r="AY71">
            <v>0</v>
          </cell>
          <cell r="BD71">
            <v>1855000</v>
          </cell>
          <cell r="BE71" t="e">
            <v>#REF!</v>
          </cell>
          <cell r="BF71">
            <v>1974176</v>
          </cell>
        </row>
        <row r="72">
          <cell r="B72">
            <v>27522</v>
          </cell>
          <cell r="D72" t="str">
            <v>SERENITY INFANT CARE HOMES, INC.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Y72">
            <v>0</v>
          </cell>
          <cell r="BD72">
            <v>830000</v>
          </cell>
          <cell r="BE72" t="e">
            <v>#REF!</v>
          </cell>
          <cell r="BF72">
            <v>830000</v>
          </cell>
        </row>
        <row r="73">
          <cell r="B73">
            <v>23168</v>
          </cell>
          <cell r="D73" t="str">
            <v>SOCIAL MODEL RECOVERY SYSTEMS, INC.</v>
          </cell>
          <cell r="L73">
            <v>16877</v>
          </cell>
          <cell r="M73">
            <v>602037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418666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Y73">
            <v>1420452</v>
          </cell>
          <cell r="BD73">
            <v>212100</v>
          </cell>
          <cell r="BE73" t="e">
            <v>#REF!</v>
          </cell>
          <cell r="BF73">
            <v>2051218</v>
          </cell>
        </row>
        <row r="74">
          <cell r="B74">
            <v>27523</v>
          </cell>
          <cell r="D74" t="str">
            <v>ST. ANNE'S MATERNITY HOME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Y74">
            <v>0</v>
          </cell>
          <cell r="BD74">
            <v>1437600</v>
          </cell>
          <cell r="BE74" t="e">
            <v>#REF!</v>
          </cell>
          <cell r="BF74">
            <v>1437600</v>
          </cell>
        </row>
        <row r="75">
          <cell r="B75">
            <v>18631</v>
          </cell>
          <cell r="D75" t="str">
            <v>STAR VIEW ADOLESCENT CENTER, INC. (PHF)</v>
          </cell>
          <cell r="L75">
            <v>0</v>
          </cell>
          <cell r="M75">
            <v>7734</v>
          </cell>
          <cell r="N75">
            <v>0</v>
          </cell>
          <cell r="O75">
            <v>0</v>
          </cell>
          <cell r="P75">
            <v>0</v>
          </cell>
          <cell r="Q75">
            <v>150000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866977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74975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40000</v>
          </cell>
          <cell r="AQ75">
            <v>0</v>
          </cell>
          <cell r="AR75">
            <v>0</v>
          </cell>
          <cell r="AS75">
            <v>0</v>
          </cell>
          <cell r="AT75">
            <v>207244</v>
          </cell>
          <cell r="AV75">
            <v>43571</v>
          </cell>
          <cell r="AW75">
            <v>0</v>
          </cell>
          <cell r="AY75">
            <v>40000</v>
          </cell>
          <cell r="BD75">
            <v>17978000</v>
          </cell>
          <cell r="BE75" t="e">
            <v>#REF!</v>
          </cell>
          <cell r="BF75">
            <v>19400767</v>
          </cell>
        </row>
        <row r="76">
          <cell r="B76">
            <v>20961</v>
          </cell>
          <cell r="D76" t="str">
            <v>SUNBRIDGE HARBOR VIEW REHAB CTR, INC. (FORMELY HARBOR VIEW)</v>
          </cell>
          <cell r="L76">
            <v>0</v>
          </cell>
          <cell r="M76">
            <v>433826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Q76">
            <v>0</v>
          </cell>
          <cell r="AR76">
            <v>0</v>
          </cell>
          <cell r="AS76">
            <v>50193</v>
          </cell>
          <cell r="AT76">
            <v>0</v>
          </cell>
          <cell r="AV76">
            <v>0</v>
          </cell>
          <cell r="AW76">
            <v>11600</v>
          </cell>
          <cell r="AY76">
            <v>0</v>
          </cell>
          <cell r="BD76">
            <v>4130044</v>
          </cell>
          <cell r="BE76" t="e">
            <v>#REF!</v>
          </cell>
          <cell r="BF76">
            <v>4191837</v>
          </cell>
        </row>
        <row r="77">
          <cell r="B77">
            <v>27601</v>
          </cell>
          <cell r="D77" t="str">
            <v>THE CHILDREN'S CENTER OF ANTELOPE VALLEY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19850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Y77">
            <v>0</v>
          </cell>
          <cell r="BD77">
            <v>1000000</v>
          </cell>
          <cell r="BE77" t="e">
            <v>#REF!</v>
          </cell>
          <cell r="BF77">
            <v>1019851</v>
          </cell>
        </row>
        <row r="78">
          <cell r="B78">
            <v>27502</v>
          </cell>
          <cell r="D78" t="str">
            <v>THE CHILDREN'S CIRCLE (FORMELY CARING FOR CHILDREN &amp; FAMILIES W/AIDS)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Y78">
            <v>0</v>
          </cell>
          <cell r="BD78">
            <v>1185900</v>
          </cell>
          <cell r="BE78" t="e">
            <v>#REF!</v>
          </cell>
          <cell r="BF78">
            <v>1185900</v>
          </cell>
        </row>
        <row r="79">
          <cell r="B79">
            <v>27613</v>
          </cell>
          <cell r="D79" t="str">
            <v>THE REHAB PROGRAM @ PRCC, INC. TERMINATED</v>
          </cell>
          <cell r="L79">
            <v>0</v>
          </cell>
          <cell r="M79">
            <v>90000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Y79">
            <v>180000</v>
          </cell>
          <cell r="BD79">
            <v>0</v>
          </cell>
          <cell r="BE79" t="e">
            <v>#REF!</v>
          </cell>
          <cell r="BF79">
            <v>180000</v>
          </cell>
        </row>
        <row r="80">
          <cell r="B80">
            <v>27524</v>
          </cell>
          <cell r="D80" t="str">
            <v>TOBINWORLD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Y80">
            <v>0</v>
          </cell>
          <cell r="BD80">
            <v>998000</v>
          </cell>
          <cell r="BE80" t="e">
            <v>#REF!</v>
          </cell>
          <cell r="BF80">
            <v>998000</v>
          </cell>
        </row>
        <row r="81">
          <cell r="B81">
            <v>27525</v>
          </cell>
          <cell r="D81" t="str">
            <v>TRINITY YOUTH SERVICES</v>
          </cell>
          <cell r="L81">
            <v>0</v>
          </cell>
          <cell r="M81">
            <v>84648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BD81">
            <v>1000000</v>
          </cell>
          <cell r="BE81" t="e">
            <v>#REF!</v>
          </cell>
          <cell r="BF81">
            <v>1000000</v>
          </cell>
        </row>
        <row r="82">
          <cell r="B82">
            <v>27490</v>
          </cell>
          <cell r="D82" t="str">
            <v>UCLA TIES FOR ADOPTION (THE REGENTS)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Y82">
            <v>15118</v>
          </cell>
          <cell r="BD82">
            <v>1719000</v>
          </cell>
          <cell r="BE82" t="e">
            <v>#REF!</v>
          </cell>
          <cell r="BF82">
            <v>1734118</v>
          </cell>
        </row>
        <row r="83">
          <cell r="B83">
            <v>27476</v>
          </cell>
          <cell r="D83" t="str">
            <v xml:space="preserve">WHITE MEMORIAL </v>
          </cell>
          <cell r="L83">
            <v>0</v>
          </cell>
          <cell r="M83">
            <v>238160</v>
          </cell>
          <cell r="N83">
            <v>0</v>
          </cell>
          <cell r="O83">
            <v>0</v>
          </cell>
          <cell r="P83">
            <v>2098750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Y83">
            <v>0</v>
          </cell>
          <cell r="BD83">
            <v>0</v>
          </cell>
          <cell r="BE83" t="e">
            <v>#REF!</v>
          </cell>
          <cell r="BF83">
            <v>2098750</v>
          </cell>
        </row>
        <row r="84">
          <cell r="D84" t="str">
            <v>J. HATAKEYAMA - SERVICE AREA 1 &amp; 3</v>
          </cell>
          <cell r="O84">
            <v>0</v>
          </cell>
          <cell r="P84">
            <v>2098750</v>
          </cell>
          <cell r="Q84">
            <v>3834952</v>
          </cell>
          <cell r="R84">
            <v>0</v>
          </cell>
          <cell r="S84">
            <v>0</v>
          </cell>
          <cell r="T84">
            <v>302745</v>
          </cell>
          <cell r="U84">
            <v>0</v>
          </cell>
          <cell r="V84">
            <v>0</v>
          </cell>
          <cell r="W84">
            <v>866977</v>
          </cell>
          <cell r="X84">
            <v>3118947</v>
          </cell>
          <cell r="Y84">
            <v>600000</v>
          </cell>
          <cell r="Z84">
            <v>22597</v>
          </cell>
          <cell r="AA84">
            <v>0</v>
          </cell>
          <cell r="AB84">
            <v>418666</v>
          </cell>
          <cell r="AC84">
            <v>0</v>
          </cell>
          <cell r="AD84">
            <v>524825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25000</v>
          </cell>
          <cell r="AK84">
            <v>260000</v>
          </cell>
          <cell r="AL84">
            <v>660112</v>
          </cell>
          <cell r="AM84">
            <v>36615</v>
          </cell>
          <cell r="AN84">
            <v>117600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1047540</v>
          </cell>
          <cell r="AT84">
            <v>739388</v>
          </cell>
          <cell r="AU84">
            <v>0</v>
          </cell>
          <cell r="AV84">
            <v>480713</v>
          </cell>
          <cell r="AW84">
            <v>1004989</v>
          </cell>
          <cell r="AX84">
            <v>0</v>
          </cell>
          <cell r="AY84">
            <v>18302646</v>
          </cell>
          <cell r="AZ84">
            <v>1026140</v>
          </cell>
          <cell r="BA84">
            <v>0</v>
          </cell>
          <cell r="BB84">
            <v>0</v>
          </cell>
          <cell r="BC84">
            <v>0</v>
          </cell>
          <cell r="BD84">
            <v>151879995</v>
          </cell>
          <cell r="BE84" t="e">
            <v>#REF!</v>
          </cell>
          <cell r="BF84">
            <v>187369197</v>
          </cell>
        </row>
        <row r="85">
          <cell r="B85">
            <v>23106</v>
          </cell>
          <cell r="D85" t="str">
            <v>ALCOTT CENTER FOR MH  SERVICES(Beverlywood)</v>
          </cell>
          <cell r="L85">
            <v>30213</v>
          </cell>
          <cell r="M85">
            <v>628407</v>
          </cell>
          <cell r="N85">
            <v>0</v>
          </cell>
          <cell r="O85">
            <v>0</v>
          </cell>
          <cell r="P85">
            <v>0</v>
          </cell>
          <cell r="Q85">
            <v>40257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Y85">
            <v>1203310</v>
          </cell>
          <cell r="BD85">
            <v>25200</v>
          </cell>
          <cell r="BE85" t="e">
            <v>#REF!</v>
          </cell>
          <cell r="BF85">
            <v>1268767</v>
          </cell>
        </row>
        <row r="86">
          <cell r="B86">
            <v>23166</v>
          </cell>
          <cell r="D86" t="str">
            <v>CENTER FOR HEALTHY AGING (dba SENIOR HEALTH &amp; PEER)</v>
          </cell>
          <cell r="L86">
            <v>0</v>
          </cell>
          <cell r="M86">
            <v>298260</v>
          </cell>
          <cell r="N86">
            <v>0</v>
          </cell>
          <cell r="O86">
            <v>0</v>
          </cell>
          <cell r="P86">
            <v>0</v>
          </cell>
          <cell r="Q86">
            <v>120385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Y86">
            <v>281172</v>
          </cell>
          <cell r="BD86">
            <v>0</v>
          </cell>
          <cell r="BE86" t="e">
            <v>#REF!</v>
          </cell>
          <cell r="BF86">
            <v>401557</v>
          </cell>
        </row>
        <row r="87">
          <cell r="B87">
            <v>23165</v>
          </cell>
          <cell r="D87" t="str">
            <v>CHILD &amp; FAMILY CENTER (SANTA CLARITA CHILD &amp; FAMILY)</v>
          </cell>
          <cell r="L87">
            <v>251000</v>
          </cell>
          <cell r="M87">
            <v>620105</v>
          </cell>
          <cell r="N87">
            <v>2095</v>
          </cell>
          <cell r="O87">
            <v>0</v>
          </cell>
          <cell r="P87">
            <v>0</v>
          </cell>
          <cell r="Q87">
            <v>323191</v>
          </cell>
          <cell r="R87">
            <v>0</v>
          </cell>
          <cell r="S87">
            <v>0</v>
          </cell>
          <cell r="T87">
            <v>20950</v>
          </cell>
          <cell r="U87">
            <v>0</v>
          </cell>
          <cell r="V87">
            <v>0</v>
          </cell>
          <cell r="W87">
            <v>0</v>
          </cell>
          <cell r="X87">
            <v>538507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91657</v>
          </cell>
          <cell r="AL87">
            <v>0</v>
          </cell>
          <cell r="AM87">
            <v>0</v>
          </cell>
          <cell r="AN87">
            <v>0</v>
          </cell>
          <cell r="AQ87">
            <v>0</v>
          </cell>
          <cell r="AR87">
            <v>0</v>
          </cell>
          <cell r="AS87">
            <v>378624</v>
          </cell>
          <cell r="AT87">
            <v>900000</v>
          </cell>
          <cell r="AV87">
            <v>0</v>
          </cell>
          <cell r="AW87">
            <v>263100</v>
          </cell>
          <cell r="AY87">
            <v>209592</v>
          </cell>
          <cell r="BD87">
            <v>3897000</v>
          </cell>
          <cell r="BE87" t="e">
            <v>#REF!</v>
          </cell>
          <cell r="BF87">
            <v>6622621</v>
          </cell>
        </row>
        <row r="88">
          <cell r="B88">
            <v>23162</v>
          </cell>
          <cell r="D88" t="str">
            <v>CHILD AND FAMILY GUIDANCE CENTER (SFV)</v>
          </cell>
          <cell r="L88">
            <v>1560</v>
          </cell>
          <cell r="M88">
            <v>2852494</v>
          </cell>
          <cell r="N88">
            <v>7342</v>
          </cell>
          <cell r="O88">
            <v>0</v>
          </cell>
          <cell r="P88">
            <v>0</v>
          </cell>
          <cell r="Q88">
            <v>749917</v>
          </cell>
          <cell r="R88">
            <v>0</v>
          </cell>
          <cell r="S88">
            <v>0</v>
          </cell>
          <cell r="T88">
            <v>71114</v>
          </cell>
          <cell r="U88">
            <v>0</v>
          </cell>
          <cell r="V88">
            <v>0</v>
          </cell>
          <cell r="W88">
            <v>0</v>
          </cell>
          <cell r="X88">
            <v>267000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57500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75000</v>
          </cell>
          <cell r="AL88">
            <v>0</v>
          </cell>
          <cell r="AM88">
            <v>0</v>
          </cell>
          <cell r="AN88">
            <v>0</v>
          </cell>
          <cell r="AQ88">
            <v>0</v>
          </cell>
          <cell r="AR88">
            <v>0</v>
          </cell>
          <cell r="AS88">
            <v>520737</v>
          </cell>
          <cell r="AT88">
            <v>279263</v>
          </cell>
          <cell r="AV88">
            <v>14286</v>
          </cell>
          <cell r="AW88">
            <v>814450</v>
          </cell>
          <cell r="AY88">
            <v>37456</v>
          </cell>
          <cell r="BD88">
            <v>14182700</v>
          </cell>
          <cell r="BE88" t="e">
            <v>#REF!</v>
          </cell>
          <cell r="BF88">
            <v>17069423</v>
          </cell>
        </row>
        <row r="89">
          <cell r="B89">
            <v>27508</v>
          </cell>
          <cell r="D89" t="str">
            <v>COUNSELLING4KIDS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Y89">
            <v>16000</v>
          </cell>
          <cell r="BD89">
            <v>3982100</v>
          </cell>
          <cell r="BE89" t="e">
            <v>#REF!</v>
          </cell>
          <cell r="BF89">
            <v>3998100</v>
          </cell>
        </row>
        <row r="90">
          <cell r="B90">
            <v>23116</v>
          </cell>
          <cell r="D90" t="str">
            <v xml:space="preserve">DIDI HIRSCH PSYCHIATRIC SERVICE </v>
          </cell>
          <cell r="L90">
            <v>937140</v>
          </cell>
          <cell r="M90">
            <v>4217210</v>
          </cell>
          <cell r="N90">
            <v>0</v>
          </cell>
          <cell r="O90">
            <v>0</v>
          </cell>
          <cell r="P90">
            <v>0</v>
          </cell>
          <cell r="Q90">
            <v>2014134</v>
          </cell>
          <cell r="R90">
            <v>0</v>
          </cell>
          <cell r="S90">
            <v>0</v>
          </cell>
          <cell r="T90">
            <v>58232</v>
          </cell>
          <cell r="U90">
            <v>0</v>
          </cell>
          <cell r="V90">
            <v>0</v>
          </cell>
          <cell r="W90">
            <v>0</v>
          </cell>
          <cell r="X90">
            <v>898900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180000</v>
          </cell>
          <cell r="AL90">
            <v>376740</v>
          </cell>
          <cell r="AM90">
            <v>18308</v>
          </cell>
          <cell r="AN90">
            <v>0</v>
          </cell>
          <cell r="AQ90">
            <v>0</v>
          </cell>
          <cell r="AR90">
            <v>0</v>
          </cell>
          <cell r="AS90">
            <v>240333</v>
          </cell>
          <cell r="AT90">
            <v>60000</v>
          </cell>
          <cell r="AV90">
            <v>30000</v>
          </cell>
          <cell r="AW90">
            <v>393377</v>
          </cell>
          <cell r="AY90">
            <v>4692236</v>
          </cell>
          <cell r="AZ90">
            <v>419702</v>
          </cell>
          <cell r="BD90">
            <v>6659480</v>
          </cell>
          <cell r="BE90" t="e">
            <v>#REF!</v>
          </cell>
          <cell r="BF90">
            <v>16041442</v>
          </cell>
        </row>
        <row r="91">
          <cell r="B91">
            <v>27638</v>
          </cell>
          <cell r="D91" t="str">
            <v>EDUCATIONAL RESOURCE &amp; SERVICES CTR. (dba KAYNE-ERAS)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5000</v>
          </cell>
          <cell r="AY91">
            <v>0</v>
          </cell>
          <cell r="BD91">
            <v>806000</v>
          </cell>
          <cell r="BE91" t="e">
            <v>#REF!</v>
          </cell>
          <cell r="BF91">
            <v>811000</v>
          </cell>
        </row>
        <row r="92">
          <cell r="B92">
            <v>23119</v>
          </cell>
          <cell r="D92" t="str">
            <v>EL CENTRO DE AMISTAD, INC.</v>
          </cell>
          <cell r="L92">
            <v>2464</v>
          </cell>
          <cell r="M92">
            <v>261797</v>
          </cell>
          <cell r="N92">
            <v>0</v>
          </cell>
          <cell r="O92">
            <v>0</v>
          </cell>
          <cell r="P92">
            <v>0</v>
          </cell>
          <cell r="Q92">
            <v>130466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124600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30000</v>
          </cell>
          <cell r="AW92">
            <v>3100</v>
          </cell>
          <cell r="AY92">
            <v>245638</v>
          </cell>
          <cell r="BD92">
            <v>1365400</v>
          </cell>
          <cell r="BE92" t="e">
            <v>#REF!</v>
          </cell>
          <cell r="BF92">
            <v>1899204</v>
          </cell>
        </row>
        <row r="93">
          <cell r="B93">
            <v>27597</v>
          </cell>
          <cell r="D93" t="str">
            <v>EMOTIONAL HEALTH ASSOCIATION (dba SHARE!)</v>
          </cell>
          <cell r="O93">
            <v>0</v>
          </cell>
          <cell r="P93">
            <v>0</v>
          </cell>
          <cell r="Q93">
            <v>322560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89000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BD93">
            <v>0</v>
          </cell>
          <cell r="BE93" t="e">
            <v>#REF!</v>
          </cell>
          <cell r="BF93">
            <v>411560</v>
          </cell>
        </row>
        <row r="94">
          <cell r="B94">
            <v>18629</v>
          </cell>
          <cell r="D94" t="str">
            <v xml:space="preserve">EXODUS RECOVERY, INC. </v>
          </cell>
          <cell r="L94">
            <v>499635</v>
          </cell>
          <cell r="M94">
            <v>159951</v>
          </cell>
          <cell r="N94">
            <v>0</v>
          </cell>
          <cell r="O94">
            <v>0</v>
          </cell>
          <cell r="P94">
            <v>0</v>
          </cell>
          <cell r="Q94">
            <v>232484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407433</v>
          </cell>
          <cell r="AM94">
            <v>19972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Y94">
            <v>1081328</v>
          </cell>
          <cell r="AZ94">
            <v>464968</v>
          </cell>
          <cell r="BD94">
            <v>11000</v>
          </cell>
          <cell r="BE94" t="e">
            <v>#REF!</v>
          </cell>
          <cell r="BF94">
            <v>2217185</v>
          </cell>
        </row>
        <row r="95">
          <cell r="B95">
            <v>23132</v>
          </cell>
          <cell r="D95" t="str">
            <v>HATHAWAY SYCAMORES CHILD &amp; FAMILY SERVICES</v>
          </cell>
          <cell r="L95">
            <v>0</v>
          </cell>
          <cell r="M95">
            <v>942322</v>
          </cell>
          <cell r="N95">
            <v>2627</v>
          </cell>
          <cell r="O95">
            <v>0</v>
          </cell>
          <cell r="P95">
            <v>0</v>
          </cell>
          <cell r="Q95">
            <v>327353</v>
          </cell>
          <cell r="R95">
            <v>0</v>
          </cell>
          <cell r="S95">
            <v>0</v>
          </cell>
          <cell r="T95">
            <v>72768</v>
          </cell>
          <cell r="U95">
            <v>0</v>
          </cell>
          <cell r="V95">
            <v>0</v>
          </cell>
          <cell r="W95">
            <v>0</v>
          </cell>
          <cell r="X95">
            <v>62300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40000</v>
          </cell>
          <cell r="AQ95">
            <v>0</v>
          </cell>
          <cell r="AR95">
            <v>0</v>
          </cell>
          <cell r="AS95">
            <v>276588</v>
          </cell>
          <cell r="AT95">
            <v>330000</v>
          </cell>
          <cell r="AV95">
            <v>0</v>
          </cell>
          <cell r="AW95">
            <v>441823</v>
          </cell>
          <cell r="AY95">
            <v>245882</v>
          </cell>
          <cell r="BD95">
            <v>22279000</v>
          </cell>
          <cell r="BE95" t="e">
            <v>#REF!</v>
          </cell>
          <cell r="BF95">
            <v>24075714</v>
          </cell>
        </row>
        <row r="96">
          <cell r="B96">
            <v>23133</v>
          </cell>
          <cell r="D96" t="str">
            <v>HILLVIEW MENTAL HEALTH CENTER,  INC.</v>
          </cell>
          <cell r="L96">
            <v>138256</v>
          </cell>
          <cell r="M96">
            <v>2869493</v>
          </cell>
          <cell r="N96">
            <v>0</v>
          </cell>
          <cell r="O96">
            <v>0</v>
          </cell>
          <cell r="P96">
            <v>0</v>
          </cell>
          <cell r="Q96">
            <v>563227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44500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200566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796852</v>
          </cell>
          <cell r="AM96">
            <v>35949</v>
          </cell>
          <cell r="AN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30000</v>
          </cell>
          <cell r="AW96">
            <v>0</v>
          </cell>
          <cell r="AY96">
            <v>3974746</v>
          </cell>
          <cell r="AZ96">
            <v>710000</v>
          </cell>
          <cell r="BD96">
            <v>493700</v>
          </cell>
          <cell r="BE96" t="e">
            <v>#REF!</v>
          </cell>
          <cell r="BF96">
            <v>6849540</v>
          </cell>
        </row>
        <row r="97">
          <cell r="B97">
            <v>27626</v>
          </cell>
          <cell r="D97" t="str">
            <v>NEW DIRECTIONS, INC.</v>
          </cell>
          <cell r="L97">
            <v>0</v>
          </cell>
          <cell r="M97">
            <v>175000</v>
          </cell>
          <cell r="N97">
            <v>0</v>
          </cell>
          <cell r="O97">
            <v>0</v>
          </cell>
          <cell r="P97">
            <v>0</v>
          </cell>
          <cell r="Q97">
            <v>174268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BD97">
            <v>0</v>
          </cell>
          <cell r="BE97" t="e">
            <v>#REF!</v>
          </cell>
          <cell r="BF97">
            <v>174268</v>
          </cell>
        </row>
        <row r="98">
          <cell r="B98">
            <v>27639</v>
          </cell>
          <cell r="D98" t="str">
            <v>NEW HORIZONS FAMILY CENTER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37400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Y98">
            <v>0</v>
          </cell>
          <cell r="BD98">
            <v>599500</v>
          </cell>
          <cell r="BE98" t="e">
            <v>#REF!</v>
          </cell>
          <cell r="BF98">
            <v>636900</v>
          </cell>
        </row>
        <row r="99">
          <cell r="B99">
            <v>23151</v>
          </cell>
          <cell r="D99" t="str">
            <v>OCEAN PARK COMMUNITY CENTER (McKinney)</v>
          </cell>
          <cell r="L99">
            <v>0</v>
          </cell>
          <cell r="M99">
            <v>15662</v>
          </cell>
          <cell r="N99">
            <v>0</v>
          </cell>
          <cell r="O99">
            <v>0</v>
          </cell>
          <cell r="P99">
            <v>0</v>
          </cell>
          <cell r="Q99">
            <v>15269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195548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BD99">
            <v>0</v>
          </cell>
          <cell r="BE99" t="e">
            <v>#REF!</v>
          </cell>
          <cell r="BF99">
            <v>210817</v>
          </cell>
        </row>
        <row r="100">
          <cell r="B100">
            <v>18618</v>
          </cell>
          <cell r="D100" t="str">
            <v>PACIFIC ASIAN COUNSELING SERVICES (FORMELY WRAP)</v>
          </cell>
          <cell r="L100">
            <v>11145</v>
          </cell>
          <cell r="M100">
            <v>340618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333750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27133</v>
          </cell>
          <cell r="AY100">
            <v>712268</v>
          </cell>
          <cell r="BD100">
            <v>1096000</v>
          </cell>
          <cell r="BE100" t="e">
            <v>#REF!</v>
          </cell>
          <cell r="BF100">
            <v>2169151</v>
          </cell>
        </row>
        <row r="101">
          <cell r="B101">
            <v>23163</v>
          </cell>
          <cell r="D101" t="str">
            <v xml:space="preserve">SAN FERNANDO VALLEY COMMUNITY MHC, INC. </v>
          </cell>
          <cell r="L101">
            <v>635037</v>
          </cell>
          <cell r="M101">
            <v>5839561</v>
          </cell>
          <cell r="N101">
            <v>0</v>
          </cell>
          <cell r="O101">
            <v>0</v>
          </cell>
          <cell r="P101">
            <v>0</v>
          </cell>
          <cell r="Q101">
            <v>1140192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712000</v>
          </cell>
          <cell r="Y101">
            <v>300000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132475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40000</v>
          </cell>
          <cell r="AK101">
            <v>0</v>
          </cell>
          <cell r="AL101">
            <v>590741</v>
          </cell>
          <cell r="AM101">
            <v>25963</v>
          </cell>
          <cell r="AN101">
            <v>40000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42857</v>
          </cell>
          <cell r="AW101">
            <v>86800</v>
          </cell>
          <cell r="AY101">
            <v>8984706</v>
          </cell>
          <cell r="AZ101">
            <v>482304</v>
          </cell>
          <cell r="BD101">
            <v>9199000</v>
          </cell>
          <cell r="BE101" t="e">
            <v>#REF!</v>
          </cell>
          <cell r="BF101">
            <v>21777038</v>
          </cell>
        </row>
        <row r="102">
          <cell r="B102">
            <v>23171</v>
          </cell>
          <cell r="D102" t="str">
            <v>ST. JOHN'S HOSPITAL AND HEALTH CTR</v>
          </cell>
          <cell r="L102">
            <v>10213</v>
          </cell>
          <cell r="M102">
            <v>1105486</v>
          </cell>
          <cell r="N102">
            <v>0</v>
          </cell>
          <cell r="O102">
            <v>0</v>
          </cell>
          <cell r="P102">
            <v>0</v>
          </cell>
          <cell r="Q102">
            <v>468293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71657</v>
          </cell>
          <cell r="AL102">
            <v>0</v>
          </cell>
          <cell r="AM102">
            <v>0</v>
          </cell>
          <cell r="AN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50000</v>
          </cell>
          <cell r="AV102">
            <v>0</v>
          </cell>
          <cell r="AW102">
            <v>94740</v>
          </cell>
          <cell r="AY102">
            <v>340426</v>
          </cell>
          <cell r="BD102">
            <v>1247400</v>
          </cell>
          <cell r="BE102" t="e">
            <v>#REF!</v>
          </cell>
          <cell r="BF102">
            <v>2272516</v>
          </cell>
        </row>
        <row r="103">
          <cell r="B103">
            <v>23167</v>
          </cell>
          <cell r="D103" t="str">
            <v>ST. JOSEPH CENTER</v>
          </cell>
          <cell r="L103">
            <v>4532</v>
          </cell>
          <cell r="M103">
            <v>189741</v>
          </cell>
          <cell r="N103">
            <v>0</v>
          </cell>
          <cell r="O103">
            <v>0</v>
          </cell>
          <cell r="P103">
            <v>0</v>
          </cell>
          <cell r="Q103">
            <v>48641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99564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Y103">
            <v>340000</v>
          </cell>
          <cell r="BD103">
            <v>0</v>
          </cell>
          <cell r="BE103" t="e">
            <v>#REF!</v>
          </cell>
          <cell r="BF103">
            <v>488205</v>
          </cell>
        </row>
        <row r="104">
          <cell r="B104">
            <v>23182</v>
          </cell>
          <cell r="D104" t="str">
            <v>STEP-UP ON SECOND STREET, INC.</v>
          </cell>
          <cell r="L104">
            <v>0</v>
          </cell>
          <cell r="M104">
            <v>1086555</v>
          </cell>
          <cell r="N104">
            <v>0</v>
          </cell>
          <cell r="O104">
            <v>0</v>
          </cell>
          <cell r="P104">
            <v>0</v>
          </cell>
          <cell r="Q104">
            <v>224760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80000</v>
          </cell>
          <cell r="AK104">
            <v>0</v>
          </cell>
          <cell r="AL104">
            <v>84979</v>
          </cell>
          <cell r="AM104">
            <v>4993</v>
          </cell>
          <cell r="AN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Y104">
            <v>1554112</v>
          </cell>
          <cell r="AZ104">
            <v>150000</v>
          </cell>
          <cell r="BD104">
            <v>196000</v>
          </cell>
          <cell r="BE104" t="e">
            <v>#REF!</v>
          </cell>
          <cell r="BF104">
            <v>2294844</v>
          </cell>
        </row>
        <row r="105">
          <cell r="B105">
            <v>23187</v>
          </cell>
          <cell r="D105" t="str">
            <v>STIRLING ACADEMY, INC.(STIRLING BEHAVIORAL HEALTH INST.)</v>
          </cell>
          <cell r="L105">
            <v>0</v>
          </cell>
          <cell r="M105">
            <v>41767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155617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Q105">
            <v>0</v>
          </cell>
          <cell r="AR105">
            <v>0</v>
          </cell>
          <cell r="AS105">
            <v>36760</v>
          </cell>
          <cell r="AT105">
            <v>150000</v>
          </cell>
          <cell r="AV105">
            <v>30000</v>
          </cell>
          <cell r="AW105">
            <v>83500</v>
          </cell>
          <cell r="AY105">
            <v>0</v>
          </cell>
          <cell r="BD105">
            <v>1905200</v>
          </cell>
          <cell r="BE105" t="e">
            <v>#REF!</v>
          </cell>
          <cell r="BF105">
            <v>2361077</v>
          </cell>
        </row>
        <row r="106">
          <cell r="B106">
            <v>27625</v>
          </cell>
          <cell r="D106" t="str">
            <v>TARZANA TREATMENT CENTER, INC.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6300</v>
          </cell>
          <cell r="AY106">
            <v>0</v>
          </cell>
          <cell r="BD106">
            <v>500000</v>
          </cell>
          <cell r="BE106" t="e">
            <v>#REF!</v>
          </cell>
          <cell r="BF106">
            <v>506300</v>
          </cell>
        </row>
        <row r="107">
          <cell r="B107">
            <v>23138</v>
          </cell>
          <cell r="D107" t="str">
            <v xml:space="preserve">THE HELP GROUP C&amp;F CTR (FORMELY LA CTR FOR THERAPY &amp; ED) </v>
          </cell>
          <cell r="L107">
            <v>0</v>
          </cell>
          <cell r="M107">
            <v>1726959</v>
          </cell>
          <cell r="N107">
            <v>2712</v>
          </cell>
          <cell r="O107">
            <v>0</v>
          </cell>
          <cell r="P107">
            <v>0</v>
          </cell>
          <cell r="Q107">
            <v>76176</v>
          </cell>
          <cell r="R107">
            <v>0</v>
          </cell>
          <cell r="S107">
            <v>0</v>
          </cell>
          <cell r="T107">
            <v>27120</v>
          </cell>
          <cell r="U107">
            <v>0</v>
          </cell>
          <cell r="V107">
            <v>0</v>
          </cell>
          <cell r="W107">
            <v>0</v>
          </cell>
          <cell r="X107">
            <v>204700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Q107">
            <v>0</v>
          </cell>
          <cell r="AR107">
            <v>0</v>
          </cell>
          <cell r="AS107">
            <v>1194501</v>
          </cell>
          <cell r="AT107">
            <v>238756</v>
          </cell>
          <cell r="AV107">
            <v>0</v>
          </cell>
          <cell r="AW107">
            <v>12500</v>
          </cell>
          <cell r="AY107">
            <v>76618</v>
          </cell>
          <cell r="BD107">
            <v>6428600</v>
          </cell>
          <cell r="BE107" t="e">
            <v>#REF!</v>
          </cell>
          <cell r="BF107">
            <v>8258971</v>
          </cell>
        </row>
        <row r="108">
          <cell r="B108">
            <v>27544</v>
          </cell>
          <cell r="D108" t="str">
            <v>THE VILLAGE FAMILY SERVICES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Y108">
            <v>0</v>
          </cell>
          <cell r="BD108">
            <v>1031529</v>
          </cell>
          <cell r="BE108" t="e">
            <v>#REF!</v>
          </cell>
          <cell r="BF108">
            <v>1031529</v>
          </cell>
        </row>
        <row r="109">
          <cell r="B109">
            <v>21528</v>
          </cell>
          <cell r="D109" t="str">
            <v>TOPANGA-ROSCOE CORP (TOPANGA WEST GUEST HOME)</v>
          </cell>
          <cell r="L109">
            <v>0</v>
          </cell>
          <cell r="M109">
            <v>296274</v>
          </cell>
          <cell r="N109">
            <v>0</v>
          </cell>
          <cell r="O109">
            <v>0</v>
          </cell>
          <cell r="P109">
            <v>0</v>
          </cell>
          <cell r="Q109">
            <v>33035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Y109">
            <v>500000</v>
          </cell>
          <cell r="BD109">
            <v>0</v>
          </cell>
          <cell r="BE109" t="e">
            <v>#REF!</v>
          </cell>
          <cell r="BF109">
            <v>533035</v>
          </cell>
        </row>
        <row r="110">
          <cell r="B110">
            <v>23178</v>
          </cell>
          <cell r="D110" t="str">
            <v xml:space="preserve">VERDUGO MENTAL HEALTH CENTER </v>
          </cell>
          <cell r="L110">
            <v>20455</v>
          </cell>
          <cell r="M110">
            <v>2096906</v>
          </cell>
          <cell r="N110">
            <v>3740</v>
          </cell>
          <cell r="O110">
            <v>0</v>
          </cell>
          <cell r="P110">
            <v>0</v>
          </cell>
          <cell r="Q110">
            <v>368984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222500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136546</v>
          </cell>
          <cell r="AM110">
            <v>5326</v>
          </cell>
          <cell r="AN110">
            <v>0</v>
          </cell>
          <cell r="AQ110">
            <v>0</v>
          </cell>
          <cell r="AR110">
            <v>0</v>
          </cell>
          <cell r="AS110">
            <v>135564</v>
          </cell>
          <cell r="AT110">
            <v>0</v>
          </cell>
          <cell r="AV110">
            <v>0</v>
          </cell>
          <cell r="AW110">
            <v>59340</v>
          </cell>
          <cell r="AY110">
            <v>1679356</v>
          </cell>
          <cell r="AZ110">
            <v>68196</v>
          </cell>
          <cell r="BD110">
            <v>1932000</v>
          </cell>
          <cell r="BE110" t="e">
            <v>#REF!</v>
          </cell>
          <cell r="BF110">
            <v>4607812</v>
          </cell>
        </row>
        <row r="111">
          <cell r="B111">
            <v>23188</v>
          </cell>
          <cell r="D111" t="str">
            <v>VISTA DEL MAR CHILD &amp; FAMILY SVCS (JEWISH ORPHANS)</v>
          </cell>
          <cell r="L111">
            <v>0</v>
          </cell>
          <cell r="M111">
            <v>421156</v>
          </cell>
          <cell r="N111">
            <v>4900</v>
          </cell>
          <cell r="O111">
            <v>0</v>
          </cell>
          <cell r="P111">
            <v>0</v>
          </cell>
          <cell r="Q111">
            <v>244582</v>
          </cell>
          <cell r="R111">
            <v>0</v>
          </cell>
          <cell r="S111">
            <v>0</v>
          </cell>
          <cell r="T111">
            <v>28656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40000</v>
          </cell>
          <cell r="AQ111">
            <v>0</v>
          </cell>
          <cell r="AR111">
            <v>0</v>
          </cell>
          <cell r="AS111">
            <v>289072</v>
          </cell>
          <cell r="AT111">
            <v>348593</v>
          </cell>
          <cell r="AV111">
            <v>10000</v>
          </cell>
          <cell r="AW111">
            <v>42000</v>
          </cell>
          <cell r="AY111">
            <v>120912</v>
          </cell>
          <cell r="BD111">
            <v>6538600</v>
          </cell>
          <cell r="BE111" t="e">
            <v>#REF!</v>
          </cell>
          <cell r="BF111">
            <v>7662415</v>
          </cell>
        </row>
        <row r="112">
          <cell r="B112">
            <v>23180</v>
          </cell>
          <cell r="D112" t="str">
            <v>WESTSIDE CENTER FOR INDEPENDENT LIVING, INC.</v>
          </cell>
          <cell r="L112">
            <v>0</v>
          </cell>
          <cell r="M112">
            <v>94470</v>
          </cell>
          <cell r="N112">
            <v>0</v>
          </cell>
          <cell r="O112">
            <v>0</v>
          </cell>
          <cell r="P112">
            <v>0</v>
          </cell>
          <cell r="Q112">
            <v>142599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Y112">
            <v>0</v>
          </cell>
          <cell r="BD112">
            <v>0</v>
          </cell>
          <cell r="BE112" t="e">
            <v>#REF!</v>
          </cell>
          <cell r="BF112">
            <v>142599</v>
          </cell>
        </row>
        <row r="113">
          <cell r="D113" t="str">
            <v>R. KAY - SERVICE AREA 2 &amp; 5</v>
          </cell>
          <cell r="O113">
            <v>0</v>
          </cell>
          <cell r="P113">
            <v>0</v>
          </cell>
          <cell r="Q113">
            <v>7760773</v>
          </cell>
          <cell r="R113">
            <v>0</v>
          </cell>
          <cell r="S113">
            <v>0</v>
          </cell>
          <cell r="T113">
            <v>316240</v>
          </cell>
          <cell r="U113">
            <v>0</v>
          </cell>
          <cell r="V113">
            <v>0</v>
          </cell>
          <cell r="W113">
            <v>0</v>
          </cell>
          <cell r="X113">
            <v>3653374</v>
          </cell>
          <cell r="Y113">
            <v>300000</v>
          </cell>
          <cell r="Z113">
            <v>0</v>
          </cell>
          <cell r="AA113">
            <v>0</v>
          </cell>
          <cell r="AB113">
            <v>0</v>
          </cell>
          <cell r="AC113">
            <v>200566</v>
          </cell>
          <cell r="AD113">
            <v>189975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415112</v>
          </cell>
          <cell r="AK113">
            <v>418314</v>
          </cell>
          <cell r="AL113">
            <v>2393291</v>
          </cell>
          <cell r="AM113">
            <v>110511</v>
          </cell>
          <cell r="AN113">
            <v>120000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3072179</v>
          </cell>
          <cell r="AT113">
            <v>2356612</v>
          </cell>
          <cell r="AU113">
            <v>0</v>
          </cell>
          <cell r="AV113">
            <v>187143</v>
          </cell>
          <cell r="AW113">
            <v>2333163</v>
          </cell>
          <cell r="AX113">
            <v>0</v>
          </cell>
          <cell r="AY113">
            <v>26295758</v>
          </cell>
          <cell r="AZ113">
            <v>2295170</v>
          </cell>
          <cell r="BA113">
            <v>0</v>
          </cell>
          <cell r="BB113">
            <v>0</v>
          </cell>
          <cell r="BC113">
            <v>0</v>
          </cell>
          <cell r="BD113">
            <v>84375409</v>
          </cell>
          <cell r="BE113" t="e">
            <v>#REF!</v>
          </cell>
          <cell r="BF113">
            <v>136793590</v>
          </cell>
        </row>
        <row r="114">
          <cell r="B114">
            <v>23100</v>
          </cell>
          <cell r="D114" t="str">
            <v>AIDS PROJECT LOS ANGELES, INC.</v>
          </cell>
          <cell r="L114">
            <v>0</v>
          </cell>
          <cell r="M114">
            <v>89375</v>
          </cell>
          <cell r="N114">
            <v>0</v>
          </cell>
          <cell r="O114">
            <v>0</v>
          </cell>
          <cell r="P114">
            <v>0</v>
          </cell>
          <cell r="Q114">
            <v>87131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Q114">
            <v>37466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Y114">
            <v>0</v>
          </cell>
          <cell r="BD114">
            <v>0</v>
          </cell>
          <cell r="BE114" t="e">
            <v>#REF!</v>
          </cell>
          <cell r="BF114">
            <v>124597</v>
          </cell>
        </row>
        <row r="115">
          <cell r="B115">
            <v>23173</v>
          </cell>
          <cell r="D115" t="str">
            <v>AMANECER COMMUNITY COUNSELING SRVS., INC. (FORMELY COMMUNITY COUNSELING SERVICES)</v>
          </cell>
          <cell r="E115" t="str">
            <v xml:space="preserve">                          </v>
          </cell>
          <cell r="L115">
            <v>163277</v>
          </cell>
          <cell r="M115">
            <v>1461910</v>
          </cell>
          <cell r="N115">
            <v>0</v>
          </cell>
          <cell r="O115">
            <v>0</v>
          </cell>
          <cell r="P115">
            <v>0</v>
          </cell>
          <cell r="Q115">
            <v>1118563</v>
          </cell>
          <cell r="R115">
            <v>0</v>
          </cell>
          <cell r="S115">
            <v>0</v>
          </cell>
          <cell r="T115">
            <v>64747</v>
          </cell>
          <cell r="U115">
            <v>0</v>
          </cell>
          <cell r="V115">
            <v>0</v>
          </cell>
          <cell r="W115">
            <v>0</v>
          </cell>
          <cell r="X115">
            <v>408822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40000</v>
          </cell>
          <cell r="AQ115">
            <v>0</v>
          </cell>
          <cell r="AR115">
            <v>0</v>
          </cell>
          <cell r="AS115">
            <v>4343</v>
          </cell>
          <cell r="AT115">
            <v>0</v>
          </cell>
          <cell r="AV115">
            <v>0</v>
          </cell>
          <cell r="AW115">
            <v>60300</v>
          </cell>
          <cell r="AY115">
            <v>961280</v>
          </cell>
          <cell r="BD115">
            <v>2847100</v>
          </cell>
          <cell r="BE115" t="e">
            <v>#REF!</v>
          </cell>
          <cell r="BF115">
            <v>5505155</v>
          </cell>
        </row>
        <row r="116">
          <cell r="B116">
            <v>21526</v>
          </cell>
          <cell r="D116" t="str">
            <v>ASC TREATMENT GROUP DBA THE ANNE SIPPI CLINIC</v>
          </cell>
          <cell r="L116">
            <v>0</v>
          </cell>
          <cell r="M116">
            <v>420278</v>
          </cell>
          <cell r="N116">
            <v>0</v>
          </cell>
          <cell r="O116">
            <v>0</v>
          </cell>
          <cell r="P116">
            <v>52000</v>
          </cell>
          <cell r="Q116">
            <v>38168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468000</v>
          </cell>
          <cell r="AY116">
            <v>742410</v>
          </cell>
          <cell r="BD116">
            <v>0</v>
          </cell>
          <cell r="BE116" t="e">
            <v>#REF!</v>
          </cell>
          <cell r="BF116">
            <v>1300578</v>
          </cell>
        </row>
        <row r="117">
          <cell r="B117">
            <v>23101</v>
          </cell>
          <cell r="D117" t="str">
            <v>ASIAN REHABILITATION SERVICES, INC.</v>
          </cell>
          <cell r="L117">
            <v>0</v>
          </cell>
          <cell r="M117">
            <v>196717</v>
          </cell>
          <cell r="N117">
            <v>0</v>
          </cell>
          <cell r="O117">
            <v>0</v>
          </cell>
          <cell r="P117">
            <v>0</v>
          </cell>
          <cell r="Q117">
            <v>191777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Y117">
            <v>0</v>
          </cell>
          <cell r="BD117">
            <v>0</v>
          </cell>
          <cell r="BE117" t="e">
            <v>#REF!</v>
          </cell>
          <cell r="BF117">
            <v>191777</v>
          </cell>
        </row>
        <row r="118">
          <cell r="B118">
            <v>23103</v>
          </cell>
          <cell r="D118" t="str">
            <v>ASSOC. LEAGUE OF MEXICAN AMERICAN DBA ALMA FAMILY SVCS</v>
          </cell>
          <cell r="L118">
            <v>10450</v>
          </cell>
          <cell r="M118">
            <v>521316</v>
          </cell>
          <cell r="N118">
            <v>0</v>
          </cell>
          <cell r="O118">
            <v>0</v>
          </cell>
          <cell r="P118">
            <v>0</v>
          </cell>
          <cell r="Q118">
            <v>345513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617215</v>
          </cell>
          <cell r="Y118">
            <v>0</v>
          </cell>
          <cell r="Z118">
            <v>25000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50000</v>
          </cell>
          <cell r="AW118">
            <v>17700</v>
          </cell>
          <cell r="AY118">
            <v>1032468</v>
          </cell>
          <cell r="BD118">
            <v>3274800</v>
          </cell>
          <cell r="BE118" t="e">
            <v>#REF!</v>
          </cell>
          <cell r="BF118">
            <v>5362696</v>
          </cell>
        </row>
        <row r="119">
          <cell r="B119">
            <v>27621</v>
          </cell>
          <cell r="D119" t="str">
            <v>BEHAVIORAL HEALTH SERVICES, INC.</v>
          </cell>
          <cell r="L119">
            <v>0</v>
          </cell>
          <cell r="M119">
            <v>125000</v>
          </cell>
          <cell r="N119">
            <v>0</v>
          </cell>
          <cell r="O119">
            <v>0</v>
          </cell>
          <cell r="P119">
            <v>0</v>
          </cell>
          <cell r="Q119">
            <v>20000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125000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Y119">
            <v>210000</v>
          </cell>
          <cell r="BD119">
            <v>461000</v>
          </cell>
          <cell r="BE119" t="e">
            <v>#REF!</v>
          </cell>
          <cell r="BF119">
            <v>816000</v>
          </cell>
        </row>
        <row r="120">
          <cell r="B120">
            <v>27622</v>
          </cell>
          <cell r="D120" t="str">
            <v>CALIFORNIA HISPANIC COMMISSION, INC.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12300</v>
          </cell>
          <cell r="AY120">
            <v>0</v>
          </cell>
          <cell r="BD120">
            <v>1124000</v>
          </cell>
          <cell r="BE120" t="e">
            <v>#REF!</v>
          </cell>
          <cell r="BF120">
            <v>1136300</v>
          </cell>
        </row>
        <row r="121">
          <cell r="B121">
            <v>27550</v>
          </cell>
          <cell r="D121" t="str">
            <v>CATHOLIC HEALTHCARE WEST (dba CALIFORNIA HOSPITAL)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Y121">
            <v>0</v>
          </cell>
          <cell r="BD121">
            <v>932600</v>
          </cell>
          <cell r="BE121" t="e">
            <v>#REF!</v>
          </cell>
          <cell r="BF121">
            <v>932600</v>
          </cell>
        </row>
        <row r="122">
          <cell r="B122">
            <v>23109</v>
          </cell>
          <cell r="D122" t="str">
            <v>CEDARS-SINAI MEDICAL CENTER</v>
          </cell>
          <cell r="L122">
            <v>0</v>
          </cell>
          <cell r="M122">
            <v>211193</v>
          </cell>
          <cell r="N122">
            <v>0</v>
          </cell>
          <cell r="O122">
            <v>0</v>
          </cell>
          <cell r="P122">
            <v>0</v>
          </cell>
          <cell r="Q122">
            <v>3970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Q122">
            <v>0</v>
          </cell>
          <cell r="AR122">
            <v>0</v>
          </cell>
          <cell r="AS122">
            <v>58545</v>
          </cell>
          <cell r="AT122">
            <v>0</v>
          </cell>
          <cell r="AV122">
            <v>0</v>
          </cell>
          <cell r="AW122">
            <v>0</v>
          </cell>
          <cell r="AY122">
            <v>8522</v>
          </cell>
          <cell r="BD122">
            <v>1058800</v>
          </cell>
          <cell r="BE122" t="e">
            <v>#REF!</v>
          </cell>
          <cell r="BF122">
            <v>1129837</v>
          </cell>
        </row>
        <row r="123">
          <cell r="B123">
            <v>18681</v>
          </cell>
          <cell r="D123" t="str">
            <v>CHILDREN'S BUREAU OF SOUTHERN CALIFORNIA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22250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400000</v>
          </cell>
          <cell r="AL123">
            <v>0</v>
          </cell>
          <cell r="AM123">
            <v>0</v>
          </cell>
          <cell r="AN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57469</v>
          </cell>
          <cell r="AY123">
            <v>264572</v>
          </cell>
          <cell r="BD123">
            <v>7315500</v>
          </cell>
          <cell r="BE123" t="e">
            <v>#REF!</v>
          </cell>
          <cell r="BF123">
            <v>8059791</v>
          </cell>
        </row>
        <row r="124">
          <cell r="B124">
            <v>23112</v>
          </cell>
          <cell r="D124" t="str">
            <v>CHILDREN'S HOSPITAL OF LOS ANGELES</v>
          </cell>
          <cell r="L124">
            <v>0</v>
          </cell>
          <cell r="M124">
            <v>728170</v>
          </cell>
          <cell r="N124">
            <v>0</v>
          </cell>
          <cell r="O124">
            <v>0</v>
          </cell>
          <cell r="P124">
            <v>0</v>
          </cell>
          <cell r="Q124">
            <v>496859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394982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726796</v>
          </cell>
          <cell r="AQ124">
            <v>0</v>
          </cell>
          <cell r="AR124">
            <v>0</v>
          </cell>
          <cell r="AS124">
            <v>18438</v>
          </cell>
          <cell r="AT124">
            <v>75000</v>
          </cell>
          <cell r="AV124">
            <v>0</v>
          </cell>
          <cell r="AW124">
            <v>173627</v>
          </cell>
          <cell r="AY124">
            <v>0</v>
          </cell>
          <cell r="BB124">
            <v>1450000</v>
          </cell>
          <cell r="BD124">
            <v>6172300</v>
          </cell>
          <cell r="BE124" t="e">
            <v>#REF!</v>
          </cell>
          <cell r="BF124">
            <v>9508002</v>
          </cell>
        </row>
        <row r="125">
          <cell r="B125">
            <v>18663</v>
          </cell>
          <cell r="D125" t="str">
            <v>CHILDREN'S INSTITUTE INC.</v>
          </cell>
          <cell r="L125">
            <v>0</v>
          </cell>
          <cell r="M125">
            <v>3690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122261</v>
          </cell>
          <cell r="U125">
            <v>0</v>
          </cell>
          <cell r="V125">
            <v>0</v>
          </cell>
          <cell r="W125">
            <v>0</v>
          </cell>
          <cell r="X125">
            <v>48060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547016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235700</v>
          </cell>
          <cell r="AY125">
            <v>67664</v>
          </cell>
          <cell r="BD125">
            <v>7768300</v>
          </cell>
          <cell r="BE125" t="e">
            <v>#REF!</v>
          </cell>
          <cell r="BF125">
            <v>8789001</v>
          </cell>
        </row>
        <row r="126">
          <cell r="B126">
            <v>23134</v>
          </cell>
          <cell r="D126" t="str">
            <v>CLONTARF MANOR INC.</v>
          </cell>
          <cell r="L126">
            <v>0</v>
          </cell>
          <cell r="M126">
            <v>540763</v>
          </cell>
          <cell r="N126">
            <v>0</v>
          </cell>
          <cell r="O126">
            <v>0</v>
          </cell>
          <cell r="P126">
            <v>0</v>
          </cell>
          <cell r="Q126">
            <v>50302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Y126">
            <v>961800</v>
          </cell>
          <cell r="BD126">
            <v>0</v>
          </cell>
          <cell r="BE126" t="e">
            <v>#REF!</v>
          </cell>
          <cell r="BF126">
            <v>1012102</v>
          </cell>
        </row>
        <row r="127">
          <cell r="B127">
            <v>23114</v>
          </cell>
          <cell r="D127" t="str">
            <v>COMMUNITY FAMILY GUIDANCE CENTER</v>
          </cell>
          <cell r="L127">
            <v>0</v>
          </cell>
          <cell r="M127">
            <v>596347</v>
          </cell>
          <cell r="N127">
            <v>165</v>
          </cell>
          <cell r="O127">
            <v>0</v>
          </cell>
          <cell r="P127">
            <v>0</v>
          </cell>
          <cell r="Q127">
            <v>26472</v>
          </cell>
          <cell r="R127">
            <v>0</v>
          </cell>
          <cell r="S127">
            <v>0</v>
          </cell>
          <cell r="T127">
            <v>59717</v>
          </cell>
          <cell r="U127">
            <v>0</v>
          </cell>
          <cell r="V127">
            <v>0</v>
          </cell>
          <cell r="W127">
            <v>0</v>
          </cell>
          <cell r="X127">
            <v>111250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96000</v>
          </cell>
          <cell r="AL127">
            <v>0</v>
          </cell>
          <cell r="AM127">
            <v>0</v>
          </cell>
          <cell r="AN127">
            <v>0</v>
          </cell>
          <cell r="AQ127">
            <v>0</v>
          </cell>
          <cell r="AR127">
            <v>0</v>
          </cell>
          <cell r="AS127">
            <v>196212</v>
          </cell>
          <cell r="AT127">
            <v>150000</v>
          </cell>
          <cell r="AV127">
            <v>0</v>
          </cell>
          <cell r="AW127">
            <v>161937</v>
          </cell>
          <cell r="AY127">
            <v>0</v>
          </cell>
          <cell r="BD127">
            <v>2887400</v>
          </cell>
          <cell r="BE127" t="e">
            <v>#REF!</v>
          </cell>
          <cell r="BF127">
            <v>3688988</v>
          </cell>
        </row>
        <row r="128">
          <cell r="B128">
            <v>27549</v>
          </cell>
          <cell r="D128" t="str">
            <v>EL CENTRO DEL PUEBLO, INC.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Y128">
            <v>0</v>
          </cell>
          <cell r="BD128">
            <v>600000</v>
          </cell>
          <cell r="BE128" t="e">
            <v>#REF!</v>
          </cell>
          <cell r="BF128">
            <v>600000</v>
          </cell>
        </row>
        <row r="129">
          <cell r="B129">
            <v>23122</v>
          </cell>
          <cell r="D129" t="str">
            <v xml:space="preserve">ENKI HEALTH AND RESEARCH SYSTEMS, INC. </v>
          </cell>
          <cell r="L129">
            <v>407943</v>
          </cell>
          <cell r="M129">
            <v>6859642</v>
          </cell>
          <cell r="N129">
            <v>13250</v>
          </cell>
          <cell r="O129">
            <v>0</v>
          </cell>
          <cell r="P129">
            <v>0</v>
          </cell>
          <cell r="Q129">
            <v>3363577</v>
          </cell>
          <cell r="R129">
            <v>0</v>
          </cell>
          <cell r="S129">
            <v>0</v>
          </cell>
          <cell r="T129">
            <v>113688</v>
          </cell>
          <cell r="U129">
            <v>0</v>
          </cell>
          <cell r="V129">
            <v>0</v>
          </cell>
          <cell r="W129">
            <v>0</v>
          </cell>
          <cell r="X129">
            <v>1424000</v>
          </cell>
          <cell r="Y129">
            <v>300000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674554</v>
          </cell>
          <cell r="AM129">
            <v>27295</v>
          </cell>
          <cell r="AN129">
            <v>2400</v>
          </cell>
          <cell r="AQ129">
            <v>0</v>
          </cell>
          <cell r="AR129">
            <v>0</v>
          </cell>
          <cell r="AS129">
            <v>163221</v>
          </cell>
          <cell r="AT129">
            <v>300000</v>
          </cell>
          <cell r="AV129">
            <v>0</v>
          </cell>
          <cell r="AW129">
            <v>585440</v>
          </cell>
          <cell r="AY129">
            <v>6552760</v>
          </cell>
          <cell r="AZ129">
            <v>400000</v>
          </cell>
          <cell r="BD129">
            <v>11015200</v>
          </cell>
          <cell r="BE129" t="e">
            <v>#REF!</v>
          </cell>
          <cell r="BF129">
            <v>24922135</v>
          </cell>
        </row>
        <row r="130">
          <cell r="B130">
            <v>23123</v>
          </cell>
          <cell r="D130" t="str">
            <v>FILIPINO-AMERICAN SERVICE GROUP, INC.</v>
          </cell>
          <cell r="L130">
            <v>0</v>
          </cell>
          <cell r="M130">
            <v>58881</v>
          </cell>
          <cell r="N130">
            <v>0</v>
          </cell>
          <cell r="O130">
            <v>0</v>
          </cell>
          <cell r="P130">
            <v>0</v>
          </cell>
          <cell r="Q130">
            <v>57402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Y130">
            <v>0</v>
          </cell>
          <cell r="BD130">
            <v>0</v>
          </cell>
          <cell r="BE130" t="e">
            <v>#REF!</v>
          </cell>
          <cell r="BF130">
            <v>57402</v>
          </cell>
        </row>
        <row r="131">
          <cell r="B131">
            <v>23128</v>
          </cell>
          <cell r="D131" t="str">
            <v xml:space="preserve">GATEWAYS HOSPITAL &amp; MHC </v>
          </cell>
          <cell r="L131">
            <v>5268</v>
          </cell>
          <cell r="M131">
            <v>6368344</v>
          </cell>
          <cell r="N131">
            <v>0</v>
          </cell>
          <cell r="O131">
            <v>0</v>
          </cell>
          <cell r="P131">
            <v>1069000</v>
          </cell>
          <cell r="Q131">
            <v>7132719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74975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700000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57143</v>
          </cell>
          <cell r="AW131">
            <v>17600</v>
          </cell>
          <cell r="AX131">
            <v>0</v>
          </cell>
          <cell r="AY131">
            <v>2088738</v>
          </cell>
          <cell r="BD131">
            <v>979000</v>
          </cell>
          <cell r="BE131" t="e">
            <v>#REF!</v>
          </cell>
          <cell r="BF131">
            <v>12119175</v>
          </cell>
        </row>
        <row r="132">
          <cell r="B132">
            <v>27231</v>
          </cell>
          <cell r="D132" t="str">
            <v>GAY &amp; LESBIAN ADOLESCENT SOC. SVCS, INC.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Y132">
            <v>38000</v>
          </cell>
          <cell r="BD132">
            <v>2159800</v>
          </cell>
          <cell r="BE132" t="e">
            <v>#REF!</v>
          </cell>
          <cell r="BF132">
            <v>2197800</v>
          </cell>
        </row>
        <row r="133">
          <cell r="B133">
            <v>20486</v>
          </cell>
          <cell r="D133" t="str">
            <v>HAMBURGER HOME (dba AVIVA CENTER)</v>
          </cell>
          <cell r="L133">
            <v>0</v>
          </cell>
          <cell r="M133">
            <v>75735</v>
          </cell>
          <cell r="N133">
            <v>0</v>
          </cell>
          <cell r="O133">
            <v>0</v>
          </cell>
          <cell r="P133">
            <v>0</v>
          </cell>
          <cell r="Q133">
            <v>14865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74975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57143</v>
          </cell>
          <cell r="AW133">
            <v>87900</v>
          </cell>
          <cell r="AY133">
            <v>0</v>
          </cell>
          <cell r="BD133">
            <v>5459200</v>
          </cell>
          <cell r="BE133" t="e">
            <v>#REF!</v>
          </cell>
          <cell r="BF133">
            <v>5694083</v>
          </cell>
        </row>
        <row r="134">
          <cell r="B134">
            <v>23174</v>
          </cell>
          <cell r="D134" t="str">
            <v>HEALTH RESEARCH ASSOCIATION (dba USC ALTERNATIVE )</v>
          </cell>
          <cell r="L134">
            <v>0</v>
          </cell>
          <cell r="M134">
            <v>180634</v>
          </cell>
          <cell r="N134">
            <v>0</v>
          </cell>
          <cell r="O134">
            <v>0</v>
          </cell>
          <cell r="P134">
            <v>0</v>
          </cell>
          <cell r="Q134">
            <v>74711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Y134">
            <v>202922</v>
          </cell>
          <cell r="BD134">
            <v>0</v>
          </cell>
          <cell r="BE134" t="e">
            <v>#REF!</v>
          </cell>
          <cell r="BF134">
            <v>277633</v>
          </cell>
        </row>
        <row r="135">
          <cell r="B135">
            <v>27537</v>
          </cell>
          <cell r="D135" t="str">
            <v>HELPLINE YOUTH COUNSELING, INC.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4800</v>
          </cell>
          <cell r="AY135">
            <v>0</v>
          </cell>
          <cell r="BD135">
            <v>150000</v>
          </cell>
          <cell r="BE135" t="e">
            <v>#REF!</v>
          </cell>
          <cell r="BF135">
            <v>154800</v>
          </cell>
        </row>
        <row r="136">
          <cell r="B136">
            <v>20906</v>
          </cell>
          <cell r="D136" t="str">
            <v>INTERCOMMUNITY CHILD GUIDANCE CTR</v>
          </cell>
          <cell r="L136">
            <v>0</v>
          </cell>
          <cell r="M136">
            <v>506624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73535</v>
          </cell>
          <cell r="U136">
            <v>0</v>
          </cell>
          <cell r="V136">
            <v>0</v>
          </cell>
          <cell r="W136">
            <v>0</v>
          </cell>
          <cell r="X136">
            <v>133500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Q136">
            <v>0</v>
          </cell>
          <cell r="AR136">
            <v>0</v>
          </cell>
          <cell r="AS136">
            <v>163332</v>
          </cell>
          <cell r="AT136">
            <v>125000</v>
          </cell>
          <cell r="AV136">
            <v>0</v>
          </cell>
          <cell r="AW136">
            <v>264210</v>
          </cell>
          <cell r="AY136">
            <v>78836</v>
          </cell>
          <cell r="BD136">
            <v>2851100</v>
          </cell>
          <cell r="BE136" t="e">
            <v>#REF!</v>
          </cell>
          <cell r="BF136">
            <v>3689513</v>
          </cell>
        </row>
        <row r="137">
          <cell r="B137">
            <v>27529</v>
          </cell>
          <cell r="D137" t="str">
            <v>INTSITUTE FOR MULTICULTURAL COUN. &amp; EDU. SVCS, INC. (IMCES)</v>
          </cell>
          <cell r="L137">
            <v>0</v>
          </cell>
          <cell r="M137">
            <v>34000</v>
          </cell>
          <cell r="N137">
            <v>0</v>
          </cell>
          <cell r="O137">
            <v>0</v>
          </cell>
          <cell r="P137">
            <v>0</v>
          </cell>
          <cell r="Q137">
            <v>40000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213600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70000</v>
          </cell>
          <cell r="BD137">
            <v>525000</v>
          </cell>
          <cell r="BE137" t="e">
            <v>#REF!</v>
          </cell>
          <cell r="BF137">
            <v>848600</v>
          </cell>
        </row>
        <row r="138">
          <cell r="B138">
            <v>23137</v>
          </cell>
          <cell r="D138" t="str">
            <v>KOREATOWN YOUTH &amp; COMMUNITY CENTER, INC.</v>
          </cell>
          <cell r="L138">
            <v>0</v>
          </cell>
          <cell r="M138">
            <v>140784</v>
          </cell>
          <cell r="N138">
            <v>0</v>
          </cell>
          <cell r="O138">
            <v>0</v>
          </cell>
          <cell r="P138">
            <v>0</v>
          </cell>
          <cell r="Q138">
            <v>136537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72000</v>
          </cell>
          <cell r="AY138">
            <v>1424</v>
          </cell>
          <cell r="BD138">
            <v>243000</v>
          </cell>
          <cell r="BE138" t="e">
            <v>#REF!</v>
          </cell>
          <cell r="BF138">
            <v>452961</v>
          </cell>
        </row>
        <row r="139">
          <cell r="B139">
            <v>23143</v>
          </cell>
          <cell r="D139" t="str">
            <v xml:space="preserve">LAMP INC. </v>
          </cell>
          <cell r="L139">
            <v>0</v>
          </cell>
          <cell r="M139">
            <v>317748</v>
          </cell>
          <cell r="N139">
            <v>0</v>
          </cell>
          <cell r="O139">
            <v>0</v>
          </cell>
          <cell r="P139">
            <v>0</v>
          </cell>
          <cell r="Q139">
            <v>309769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50000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384445</v>
          </cell>
          <cell r="AK139">
            <v>0</v>
          </cell>
          <cell r="AL139">
            <v>1066530</v>
          </cell>
          <cell r="AM139">
            <v>33286</v>
          </cell>
          <cell r="AN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Y139">
            <v>0</v>
          </cell>
          <cell r="BD139">
            <v>0</v>
          </cell>
          <cell r="BE139" t="e">
            <v>#REF!</v>
          </cell>
          <cell r="BF139">
            <v>1844030</v>
          </cell>
        </row>
        <row r="140">
          <cell r="B140">
            <v>23142</v>
          </cell>
          <cell r="D140" t="str">
            <v>LOS ANGELES GAY &amp; LESBIAN COMMUNITY SVCS CTR</v>
          </cell>
          <cell r="L140">
            <v>0</v>
          </cell>
          <cell r="M140">
            <v>136070</v>
          </cell>
          <cell r="N140">
            <v>0</v>
          </cell>
          <cell r="O140">
            <v>0</v>
          </cell>
          <cell r="P140">
            <v>0</v>
          </cell>
          <cell r="Q140">
            <v>132653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Q140">
            <v>65136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Y140">
            <v>0</v>
          </cell>
          <cell r="BD140">
            <v>0</v>
          </cell>
          <cell r="BE140" t="e">
            <v>#REF!</v>
          </cell>
          <cell r="BF140">
            <v>197789</v>
          </cell>
        </row>
        <row r="141">
          <cell r="B141">
            <v>27519</v>
          </cell>
          <cell r="D141" t="str">
            <v>PARA LOS NINOS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5100</v>
          </cell>
          <cell r="AY141">
            <v>0</v>
          </cell>
          <cell r="BD141">
            <v>950000</v>
          </cell>
          <cell r="BE141" t="e">
            <v>#REF!</v>
          </cell>
          <cell r="BF141">
            <v>955100</v>
          </cell>
        </row>
        <row r="142">
          <cell r="B142">
            <v>27548</v>
          </cell>
          <cell r="D142" t="str">
            <v>PEDIATRIC &amp; FAMILY MEDICAL CENTER (dba EISNER)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BD142">
            <v>600000</v>
          </cell>
          <cell r="BE142" t="e">
            <v>#REF!</v>
          </cell>
          <cell r="BF142">
            <v>600000</v>
          </cell>
        </row>
        <row r="143">
          <cell r="B143">
            <v>23156</v>
          </cell>
          <cell r="D143" t="str">
            <v>PORTALS HOUSE</v>
          </cell>
          <cell r="L143">
            <v>240394</v>
          </cell>
          <cell r="M143">
            <v>4309823</v>
          </cell>
          <cell r="N143">
            <v>0</v>
          </cell>
          <cell r="O143">
            <v>0</v>
          </cell>
          <cell r="P143">
            <v>0</v>
          </cell>
          <cell r="Q143">
            <v>1047032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400500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40000</v>
          </cell>
          <cell r="AK143">
            <v>0</v>
          </cell>
          <cell r="AL143">
            <v>911087</v>
          </cell>
          <cell r="AM143">
            <v>53258</v>
          </cell>
          <cell r="AN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112402</v>
          </cell>
          <cell r="AV143">
            <v>0</v>
          </cell>
          <cell r="AW143">
            <v>0</v>
          </cell>
          <cell r="AY143">
            <v>6635678</v>
          </cell>
          <cell r="AZ143">
            <v>1590720</v>
          </cell>
          <cell r="BD143">
            <v>827500</v>
          </cell>
          <cell r="BE143" t="e">
            <v>#REF!</v>
          </cell>
          <cell r="BF143">
            <v>11618177</v>
          </cell>
        </row>
        <row r="144">
          <cell r="B144">
            <v>18637</v>
          </cell>
          <cell r="D144" t="str">
            <v>PROVIDENCE COMMUNITY SERVICES, LLC. (FORMELY ASPEN)</v>
          </cell>
          <cell r="L144">
            <v>0</v>
          </cell>
          <cell r="M144">
            <v>86749</v>
          </cell>
          <cell r="N144">
            <v>2101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21005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159975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Q144">
            <v>0</v>
          </cell>
          <cell r="AR144">
            <v>0</v>
          </cell>
          <cell r="AS144">
            <v>65840</v>
          </cell>
          <cell r="AT144">
            <v>0</v>
          </cell>
          <cell r="AV144">
            <v>57143</v>
          </cell>
          <cell r="AW144">
            <v>11700</v>
          </cell>
          <cell r="AY144">
            <v>216000</v>
          </cell>
          <cell r="BD144">
            <v>2000000</v>
          </cell>
          <cell r="BE144" t="e">
            <v>#REF!</v>
          </cell>
          <cell r="BF144">
            <v>2531663</v>
          </cell>
        </row>
        <row r="145">
          <cell r="B145">
            <v>23170</v>
          </cell>
          <cell r="D145" t="str">
            <v xml:space="preserve">SPECIAL SERVICE FOR GROUPS </v>
          </cell>
          <cell r="L145">
            <v>261309</v>
          </cell>
          <cell r="M145">
            <v>4142546</v>
          </cell>
          <cell r="N145">
            <v>0</v>
          </cell>
          <cell r="O145">
            <v>0</v>
          </cell>
          <cell r="P145">
            <v>0</v>
          </cell>
          <cell r="Q145">
            <v>936860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667500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56653</v>
          </cell>
          <cell r="AM145">
            <v>3329</v>
          </cell>
          <cell r="AN145">
            <v>0</v>
          </cell>
          <cell r="AQ145">
            <v>0</v>
          </cell>
          <cell r="AR145">
            <v>0</v>
          </cell>
          <cell r="AS145">
            <v>1686</v>
          </cell>
          <cell r="AT145">
            <v>0</v>
          </cell>
          <cell r="AV145">
            <v>31177</v>
          </cell>
          <cell r="AW145">
            <v>106900</v>
          </cell>
          <cell r="AY145">
            <v>6083356</v>
          </cell>
          <cell r="AZ145">
            <v>100000</v>
          </cell>
          <cell r="BD145">
            <v>12004900</v>
          </cell>
          <cell r="BE145" t="e">
            <v>#REF!</v>
          </cell>
          <cell r="BF145">
            <v>19992361</v>
          </cell>
        </row>
        <row r="146">
          <cell r="B146">
            <v>27624</v>
          </cell>
          <cell r="D146" t="str">
            <v>SPIRITT  FAMILY SERVICES, INC.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Y146">
            <v>0</v>
          </cell>
          <cell r="BD146">
            <v>450000</v>
          </cell>
          <cell r="BE146" t="e">
            <v>#REF!</v>
          </cell>
          <cell r="BF146">
            <v>450000</v>
          </cell>
        </row>
        <row r="147">
          <cell r="B147">
            <v>23190</v>
          </cell>
          <cell r="D147" t="str">
            <v>THE LOS ANGELES FREE CLINIC</v>
          </cell>
          <cell r="L147">
            <v>0</v>
          </cell>
          <cell r="M147">
            <v>23430</v>
          </cell>
          <cell r="N147">
            <v>0</v>
          </cell>
          <cell r="O147">
            <v>0</v>
          </cell>
          <cell r="P147">
            <v>0</v>
          </cell>
          <cell r="Q147">
            <v>3344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20000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Y147">
            <v>0</v>
          </cell>
          <cell r="BD147">
            <v>0</v>
          </cell>
          <cell r="BE147" t="e">
            <v>#REF!</v>
          </cell>
          <cell r="BF147">
            <v>23344</v>
          </cell>
        </row>
        <row r="148">
          <cell r="B148">
            <v>23176</v>
          </cell>
          <cell r="D148" t="str">
            <v>TRAVELERS AID SOCIETY OF LOS ANGELES</v>
          </cell>
          <cell r="L148">
            <v>0</v>
          </cell>
          <cell r="M148">
            <v>84648</v>
          </cell>
          <cell r="N148">
            <v>0</v>
          </cell>
          <cell r="O148">
            <v>0</v>
          </cell>
          <cell r="P148">
            <v>0</v>
          </cell>
          <cell r="Q148">
            <v>121518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Y148">
            <v>0</v>
          </cell>
          <cell r="BD148">
            <v>0</v>
          </cell>
          <cell r="BE148" t="e">
            <v>#REF!</v>
          </cell>
          <cell r="BF148">
            <v>121518</v>
          </cell>
        </row>
        <row r="149">
          <cell r="B149">
            <v>27248</v>
          </cell>
          <cell r="D149" t="str">
            <v>UNITED AMERICAN INDIAN INVOLVEMENT, INC.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53400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Y149">
            <v>13218</v>
          </cell>
          <cell r="BD149">
            <v>1022000</v>
          </cell>
          <cell r="BE149" t="e">
            <v>#REF!</v>
          </cell>
          <cell r="BF149">
            <v>1088618</v>
          </cell>
        </row>
        <row r="150">
          <cell r="B150">
            <v>27600</v>
          </cell>
          <cell r="D150" t="str">
            <v>VIP COMMUNITY MENTAL HEALTH CENTER, INC. (VIP CMHC)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922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364000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13900</v>
          </cell>
          <cell r="AY150">
            <v>0</v>
          </cell>
          <cell r="BD150">
            <v>5480000</v>
          </cell>
          <cell r="BE150" t="e">
            <v>#REF!</v>
          </cell>
          <cell r="BF150">
            <v>5858822</v>
          </cell>
        </row>
        <row r="151">
          <cell r="D151" t="str">
            <v>T. BELIZ - CONTRACT SUBTOTAL</v>
          </cell>
          <cell r="L151">
            <v>5326865</v>
          </cell>
          <cell r="M151">
            <v>97087969</v>
          </cell>
          <cell r="N151">
            <v>47533</v>
          </cell>
          <cell r="O151">
            <v>0</v>
          </cell>
          <cell r="P151">
            <v>1121000</v>
          </cell>
          <cell r="Q151">
            <v>15750664</v>
          </cell>
          <cell r="R151">
            <v>0</v>
          </cell>
          <cell r="S151">
            <v>0</v>
          </cell>
          <cell r="T151">
            <v>454953</v>
          </cell>
          <cell r="U151">
            <v>0</v>
          </cell>
          <cell r="V151">
            <v>0</v>
          </cell>
          <cell r="W151">
            <v>0</v>
          </cell>
          <cell r="X151">
            <v>4495079</v>
          </cell>
          <cell r="Y151">
            <v>300000</v>
          </cell>
          <cell r="Z151">
            <v>25000</v>
          </cell>
          <cell r="AA151">
            <v>50000</v>
          </cell>
          <cell r="AB151">
            <v>0</v>
          </cell>
          <cell r="AC151">
            <v>0</v>
          </cell>
          <cell r="AD151">
            <v>309925</v>
          </cell>
          <cell r="AE151">
            <v>125000</v>
          </cell>
          <cell r="AF151">
            <v>0</v>
          </cell>
          <cell r="AG151">
            <v>364000</v>
          </cell>
          <cell r="AH151">
            <v>0</v>
          </cell>
          <cell r="AI151">
            <v>0</v>
          </cell>
          <cell r="AJ151">
            <v>444445</v>
          </cell>
          <cell r="AK151">
            <v>496000</v>
          </cell>
          <cell r="AL151">
            <v>2708824</v>
          </cell>
          <cell r="AM151">
            <v>117168</v>
          </cell>
          <cell r="AN151">
            <v>742400</v>
          </cell>
          <cell r="AO151">
            <v>1273812</v>
          </cell>
          <cell r="AP151">
            <v>0</v>
          </cell>
          <cell r="AQ151">
            <v>102602</v>
          </cell>
          <cell r="AR151">
            <v>0</v>
          </cell>
          <cell r="AS151">
            <v>671617</v>
          </cell>
          <cell r="AT151">
            <v>650000</v>
          </cell>
          <cell r="AU151">
            <v>112402</v>
          </cell>
          <cell r="AV151">
            <v>252606</v>
          </cell>
          <cell r="AW151">
            <v>1888583</v>
          </cell>
          <cell r="AX151">
            <v>468000</v>
          </cell>
          <cell r="AY151">
            <v>26229648</v>
          </cell>
          <cell r="AZ151">
            <v>2090720</v>
          </cell>
          <cell r="BA151">
            <v>0</v>
          </cell>
          <cell r="BB151">
            <v>1450000</v>
          </cell>
          <cell r="BC151">
            <v>0</v>
          </cell>
          <cell r="BD151">
            <v>81158500</v>
          </cell>
          <cell r="BE151" t="e">
            <v>#REF!</v>
          </cell>
          <cell r="BF151">
            <v>143852948</v>
          </cell>
        </row>
        <row r="153">
          <cell r="D153" t="str">
            <v xml:space="preserve">IMD </v>
          </cell>
        </row>
        <row r="154">
          <cell r="B154">
            <v>20958</v>
          </cell>
          <cell r="C154" t="str">
            <v>K</v>
          </cell>
          <cell r="D154" t="str">
            <v xml:space="preserve">AMADA ENTERPRISE  - </v>
          </cell>
          <cell r="E154" t="str">
            <v>00-1</v>
          </cell>
          <cell r="F154" t="str">
            <v>0067</v>
          </cell>
          <cell r="H154" t="str">
            <v>CW-2</v>
          </cell>
          <cell r="I154" t="str">
            <v>CW-6</v>
          </cell>
          <cell r="J154" t="str">
            <v xml:space="preserve"> IMD</v>
          </cell>
          <cell r="K154" t="str">
            <v>00325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C154">
            <v>0</v>
          </cell>
          <cell r="BD154">
            <v>0</v>
          </cell>
          <cell r="BE154" t="e">
            <v>#REF!</v>
          </cell>
          <cell r="BF154">
            <v>0</v>
          </cell>
        </row>
        <row r="155">
          <cell r="B155">
            <v>20955</v>
          </cell>
          <cell r="C155" t="str">
            <v>K</v>
          </cell>
          <cell r="D155" t="str">
            <v>BRASWELL ENTERPRISE</v>
          </cell>
          <cell r="E155" t="str">
            <v>D</v>
          </cell>
          <cell r="F155" t="str">
            <v>0058</v>
          </cell>
          <cell r="G155" t="str">
            <v xml:space="preserve">LAUREL PARK </v>
          </cell>
          <cell r="H155" t="str">
            <v>CW-1</v>
          </cell>
          <cell r="I155" t="str">
            <v>CW-3</v>
          </cell>
          <cell r="J155" t="str">
            <v xml:space="preserve"> IMD</v>
          </cell>
          <cell r="K155" t="str">
            <v>00606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C155">
            <v>0</v>
          </cell>
          <cell r="BD155">
            <v>0</v>
          </cell>
          <cell r="BE155" t="e">
            <v>#REF!</v>
          </cell>
          <cell r="BF155">
            <v>0</v>
          </cell>
        </row>
        <row r="156">
          <cell r="B156">
            <v>20964</v>
          </cell>
          <cell r="C156" t="str">
            <v>K</v>
          </cell>
          <cell r="D156" t="str">
            <v xml:space="preserve">COMMUNITY CARE CENTER, INC. </v>
          </cell>
          <cell r="E156" t="str">
            <v>00-1a</v>
          </cell>
          <cell r="F156" t="str">
            <v>0035</v>
          </cell>
          <cell r="H156" t="str">
            <v>CW-5</v>
          </cell>
          <cell r="I156" t="str">
            <v>CW-3</v>
          </cell>
          <cell r="J156" t="str">
            <v xml:space="preserve"> IMD</v>
          </cell>
          <cell r="K156" t="str">
            <v>00339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BC156">
            <v>0</v>
          </cell>
          <cell r="BD156">
            <v>0</v>
          </cell>
          <cell r="BE156" t="e">
            <v>#REF!</v>
          </cell>
          <cell r="BF156">
            <v>0</v>
          </cell>
        </row>
        <row r="157">
          <cell r="B157">
            <v>20954</v>
          </cell>
          <cell r="C157" t="str">
            <v>K</v>
          </cell>
          <cell r="D157" t="str">
            <v xml:space="preserve">LANDMARK MEDICAL SERVICES </v>
          </cell>
          <cell r="E157" t="str">
            <v>00-1</v>
          </cell>
          <cell r="F157" t="str">
            <v>0055</v>
          </cell>
          <cell r="H157" t="str">
            <v>CW-1</v>
          </cell>
          <cell r="I157" t="str">
            <v>CW-3</v>
          </cell>
          <cell r="J157" t="str">
            <v xml:space="preserve"> IMD</v>
          </cell>
          <cell r="K157" t="str">
            <v>00364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C157">
            <v>0</v>
          </cell>
          <cell r="BD157">
            <v>0</v>
          </cell>
          <cell r="BE157" t="e">
            <v>#REF!</v>
          </cell>
          <cell r="BF157">
            <v>0</v>
          </cell>
        </row>
        <row r="158">
          <cell r="B158">
            <v>20957</v>
          </cell>
          <cell r="C158" t="str">
            <v>K</v>
          </cell>
          <cell r="D158" t="str">
            <v>MEADOWBROOK MANOR</v>
          </cell>
          <cell r="E158" t="str">
            <v>00-1a</v>
          </cell>
          <cell r="F158" t="str">
            <v>0059</v>
          </cell>
          <cell r="H158" t="str">
            <v>CW-2</v>
          </cell>
          <cell r="I158" t="str">
            <v>CW-5</v>
          </cell>
          <cell r="J158" t="str">
            <v xml:space="preserve"> IMD</v>
          </cell>
          <cell r="K158" t="str">
            <v>00529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C158">
            <v>0</v>
          </cell>
          <cell r="BD158">
            <v>0</v>
          </cell>
          <cell r="BE158" t="e">
            <v>#REF!</v>
          </cell>
          <cell r="BF158">
            <v>0</v>
          </cell>
        </row>
        <row r="159">
          <cell r="B159">
            <v>23159</v>
          </cell>
          <cell r="C159" t="str">
            <v>K</v>
          </cell>
          <cell r="D159" t="str">
            <v>REGENCY HEALTH SERVICES</v>
          </cell>
          <cell r="E159" t="str">
            <v>99-2a</v>
          </cell>
          <cell r="F159" t="str">
            <v>0054</v>
          </cell>
          <cell r="G159" t="str">
            <v>HARBOR VIEW CENTER</v>
          </cell>
          <cell r="H159">
            <v>4</v>
          </cell>
          <cell r="I159" t="str">
            <v>CW-8</v>
          </cell>
          <cell r="J159" t="str">
            <v xml:space="preserve"> IMD</v>
          </cell>
          <cell r="K159" t="str">
            <v>00413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BC159">
            <v>0</v>
          </cell>
          <cell r="BD159">
            <v>0</v>
          </cell>
          <cell r="BE159" t="e">
            <v>#REF!</v>
          </cell>
          <cell r="BF159">
            <v>0</v>
          </cell>
        </row>
        <row r="160">
          <cell r="B160">
            <v>23184</v>
          </cell>
          <cell r="C160" t="str">
            <v>K</v>
          </cell>
          <cell r="D160" t="str">
            <v>SAN GABRIEL VAL. CONV.HOSP.</v>
          </cell>
          <cell r="E160" t="str">
            <v>00-1a</v>
          </cell>
          <cell r="F160" t="str">
            <v>0063</v>
          </cell>
          <cell r="G160" t="str">
            <v>PENN MAR</v>
          </cell>
          <cell r="H160" t="str">
            <v>CW-1</v>
          </cell>
          <cell r="I160" t="str">
            <v>CW-3</v>
          </cell>
          <cell r="J160" t="str">
            <v xml:space="preserve"> IMD</v>
          </cell>
          <cell r="K160" t="str">
            <v>00382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BC160">
            <v>0</v>
          </cell>
          <cell r="BD160">
            <v>0</v>
          </cell>
          <cell r="BE160" t="e">
            <v>#REF!</v>
          </cell>
          <cell r="BF160">
            <v>0</v>
          </cell>
        </row>
        <row r="161">
          <cell r="B161">
            <v>23172</v>
          </cell>
          <cell r="C161" t="str">
            <v>K</v>
          </cell>
          <cell r="D161" t="str">
            <v>TELECARE CORP.</v>
          </cell>
          <cell r="E161" t="str">
            <v>E</v>
          </cell>
          <cell r="F161" t="str">
            <v>0057</v>
          </cell>
          <cell r="G161" t="str">
            <v xml:space="preserve">LA PAZ GERO PSYCH. CTR. </v>
          </cell>
          <cell r="H161" t="str">
            <v>CW-4</v>
          </cell>
          <cell r="I161" t="str">
            <v>CW-6</v>
          </cell>
          <cell r="J161" t="str">
            <v xml:space="preserve"> IMD</v>
          </cell>
          <cell r="K161" t="str">
            <v>00417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C161">
            <v>0</v>
          </cell>
          <cell r="BD161">
            <v>0</v>
          </cell>
          <cell r="BE161" t="e">
            <v>#REF!</v>
          </cell>
          <cell r="BF161">
            <v>0</v>
          </cell>
        </row>
        <row r="162">
          <cell r="C162" t="str">
            <v>K</v>
          </cell>
          <cell r="D162" t="str">
            <v>IMD COLA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C162">
            <v>0</v>
          </cell>
          <cell r="BD162">
            <v>0</v>
          </cell>
          <cell r="BE162" t="e">
            <v>#REF!</v>
          </cell>
          <cell r="BF162">
            <v>0</v>
          </cell>
        </row>
        <row r="163">
          <cell r="D163" t="str">
            <v>TOTAL</v>
          </cell>
          <cell r="L163">
            <v>0</v>
          </cell>
          <cell r="M163">
            <v>42824830</v>
          </cell>
          <cell r="N163">
            <v>0</v>
          </cell>
          <cell r="O163">
            <v>0</v>
          </cell>
          <cell r="P163">
            <v>1142500</v>
          </cell>
          <cell r="Q163">
            <v>44270529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45413029</v>
          </cell>
        </row>
        <row r="165">
          <cell r="D165" t="str">
            <v>MIO</v>
          </cell>
        </row>
        <row r="166">
          <cell r="B166">
            <v>20955</v>
          </cell>
          <cell r="C166" t="str">
            <v>K</v>
          </cell>
          <cell r="D166" t="str">
            <v>BRASWELL ENTERPRISE</v>
          </cell>
          <cell r="J166" t="str">
            <v xml:space="preserve"> MIO (1370 PC)</v>
          </cell>
          <cell r="K166" t="str">
            <v>00605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C166">
            <v>0</v>
          </cell>
          <cell r="BD166">
            <v>0</v>
          </cell>
          <cell r="BE166" t="e">
            <v>#REF!</v>
          </cell>
          <cell r="BF166">
            <v>0</v>
          </cell>
        </row>
        <row r="167">
          <cell r="D167" t="str">
            <v>TOTAL</v>
          </cell>
          <cell r="L167">
            <v>0</v>
          </cell>
          <cell r="M167">
            <v>3101319</v>
          </cell>
          <cell r="N167">
            <v>0</v>
          </cell>
          <cell r="P167">
            <v>0</v>
          </cell>
          <cell r="Q167">
            <v>2815319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2815319</v>
          </cell>
        </row>
        <row r="169">
          <cell r="D169" t="str">
            <v>TOTAL IMD &amp;  MIO</v>
          </cell>
          <cell r="L169">
            <v>0</v>
          </cell>
          <cell r="M169">
            <v>45926149</v>
          </cell>
          <cell r="N169">
            <v>0</v>
          </cell>
          <cell r="O169">
            <v>0</v>
          </cell>
          <cell r="P169">
            <v>1142500</v>
          </cell>
          <cell r="Q169">
            <v>47085848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48228348</v>
          </cell>
        </row>
        <row r="170">
          <cell r="AM170" t="str">
            <v xml:space="preserve"> </v>
          </cell>
          <cell r="AQ170" t="str">
            <v xml:space="preserve"> </v>
          </cell>
          <cell r="AR170" t="str">
            <v xml:space="preserve"> </v>
          </cell>
        </row>
        <row r="171">
          <cell r="D171" t="str">
            <v>ESCORT SERVICES</v>
          </cell>
        </row>
        <row r="172">
          <cell r="B172">
            <v>20902</v>
          </cell>
          <cell r="D172" t="str">
            <v>METROPOLITAN STATE  HOSPITAL</v>
          </cell>
          <cell r="L172">
            <v>0</v>
          </cell>
          <cell r="M172">
            <v>220000</v>
          </cell>
          <cell r="N172">
            <v>0</v>
          </cell>
          <cell r="O172">
            <v>0</v>
          </cell>
          <cell r="P172">
            <v>0</v>
          </cell>
          <cell r="Q172">
            <v>220000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BC172">
            <v>0</v>
          </cell>
          <cell r="BD172">
            <v>0</v>
          </cell>
          <cell r="BE172" t="e">
            <v>#REF!</v>
          </cell>
          <cell r="BF172">
            <v>220000</v>
          </cell>
        </row>
        <row r="173">
          <cell r="B173">
            <v>23155</v>
          </cell>
          <cell r="D173" t="str">
            <v>PATTON STATE HOSPITAL</v>
          </cell>
          <cell r="L173">
            <v>0</v>
          </cell>
          <cell r="M173">
            <v>56694</v>
          </cell>
          <cell r="N173">
            <v>0</v>
          </cell>
          <cell r="O173">
            <v>0</v>
          </cell>
          <cell r="P173">
            <v>0</v>
          </cell>
          <cell r="Q173">
            <v>56694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BC173">
            <v>0</v>
          </cell>
          <cell r="BD173">
            <v>0</v>
          </cell>
          <cell r="BE173" t="e">
            <v>#REF!</v>
          </cell>
          <cell r="BF173">
            <v>56694</v>
          </cell>
        </row>
        <row r="175">
          <cell r="D175" t="str">
            <v>TOTAL STATE HOSPITAL</v>
          </cell>
          <cell r="O175">
            <v>0</v>
          </cell>
          <cell r="P175">
            <v>0</v>
          </cell>
          <cell r="Q175">
            <v>276694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 t="e">
            <v>#REF!</v>
          </cell>
          <cell r="BF175">
            <v>276694</v>
          </cell>
        </row>
        <row r="176">
          <cell r="D176" t="str">
            <v>T. BELIZ - SERVICE AREA 4 &amp; 7</v>
          </cell>
          <cell r="O176">
            <v>0</v>
          </cell>
          <cell r="P176">
            <v>2263500</v>
          </cell>
          <cell r="Q176">
            <v>63113206</v>
          </cell>
          <cell r="R176">
            <v>0</v>
          </cell>
          <cell r="S176">
            <v>0</v>
          </cell>
          <cell r="T176">
            <v>454953</v>
          </cell>
          <cell r="U176">
            <v>0</v>
          </cell>
          <cell r="V176">
            <v>0</v>
          </cell>
          <cell r="W176">
            <v>0</v>
          </cell>
          <cell r="X176">
            <v>4495079</v>
          </cell>
          <cell r="Y176">
            <v>300000</v>
          </cell>
          <cell r="Z176">
            <v>25000</v>
          </cell>
          <cell r="AA176">
            <v>50000</v>
          </cell>
          <cell r="AB176">
            <v>0</v>
          </cell>
          <cell r="AC176">
            <v>0</v>
          </cell>
          <cell r="AD176">
            <v>309925</v>
          </cell>
          <cell r="AE176">
            <v>125000</v>
          </cell>
          <cell r="AF176">
            <v>0</v>
          </cell>
          <cell r="AG176">
            <v>364000</v>
          </cell>
          <cell r="AH176">
            <v>0</v>
          </cell>
          <cell r="AI176">
            <v>0</v>
          </cell>
          <cell r="AJ176">
            <v>444445</v>
          </cell>
          <cell r="AK176">
            <v>496000</v>
          </cell>
          <cell r="AL176">
            <v>2708824</v>
          </cell>
          <cell r="AM176">
            <v>117168</v>
          </cell>
          <cell r="AN176">
            <v>742400</v>
          </cell>
          <cell r="AO176">
            <v>1273812</v>
          </cell>
          <cell r="AP176">
            <v>0</v>
          </cell>
          <cell r="AQ176">
            <v>102602</v>
          </cell>
          <cell r="AR176">
            <v>0</v>
          </cell>
          <cell r="AS176">
            <v>671617</v>
          </cell>
          <cell r="AT176">
            <v>650000</v>
          </cell>
          <cell r="AU176">
            <v>112402</v>
          </cell>
          <cell r="AV176">
            <v>252606</v>
          </cell>
          <cell r="AW176">
            <v>1888583</v>
          </cell>
          <cell r="AX176">
            <v>468000</v>
          </cell>
          <cell r="AY176">
            <v>26229648</v>
          </cell>
          <cell r="AZ176">
            <v>2090720</v>
          </cell>
          <cell r="BA176">
            <v>0</v>
          </cell>
          <cell r="BB176">
            <v>1450000</v>
          </cell>
          <cell r="BC176">
            <v>0</v>
          </cell>
          <cell r="BD176">
            <v>81158500</v>
          </cell>
          <cell r="BE176" t="e">
            <v>#REF!</v>
          </cell>
          <cell r="BF176">
            <v>192357990</v>
          </cell>
        </row>
        <row r="178">
          <cell r="D178" t="str">
            <v>GENERAL ADMINISTRATIVE SERVICES</v>
          </cell>
        </row>
        <row r="179">
          <cell r="D179" t="str">
            <v>AUDIT SETTLEMENT</v>
          </cell>
          <cell r="L179">
            <v>0</v>
          </cell>
          <cell r="M179">
            <v>905000</v>
          </cell>
          <cell r="N179">
            <v>0</v>
          </cell>
          <cell r="O179">
            <v>0</v>
          </cell>
          <cell r="P179">
            <v>0</v>
          </cell>
          <cell r="Q179">
            <v>841320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C179">
            <v>0</v>
          </cell>
          <cell r="BD179">
            <v>0</v>
          </cell>
          <cell r="BE179" t="e">
            <v>#REF!</v>
          </cell>
          <cell r="BF179">
            <v>841320</v>
          </cell>
        </row>
        <row r="180">
          <cell r="D180" t="str">
            <v>UNALLOCATED - FFP ONLY</v>
          </cell>
          <cell r="AY180">
            <v>1014053</v>
          </cell>
          <cell r="BF180">
            <v>1014053</v>
          </cell>
        </row>
        <row r="181">
          <cell r="D181" t="str">
            <v>UNALLOCATED - NON EPSDT MATCH</v>
          </cell>
          <cell r="AY181">
            <v>0</v>
          </cell>
          <cell r="BF181">
            <v>0</v>
          </cell>
        </row>
        <row r="183">
          <cell r="D183" t="str">
            <v>UNALLOCATED</v>
          </cell>
        </row>
        <row r="184">
          <cell r="D184" t="str">
            <v>UNALLOCATED</v>
          </cell>
          <cell r="O184">
            <v>0</v>
          </cell>
          <cell r="Q184">
            <v>26990</v>
          </cell>
          <cell r="T184">
            <v>-145000</v>
          </cell>
          <cell r="X184">
            <v>1060412</v>
          </cell>
          <cell r="Y184">
            <v>0</v>
          </cell>
          <cell r="Z184">
            <v>326000</v>
          </cell>
          <cell r="AD184">
            <v>150718</v>
          </cell>
          <cell r="AW184">
            <v>4587667</v>
          </cell>
          <cell r="BB184">
            <v>8419000</v>
          </cell>
          <cell r="BC184">
            <v>5670000</v>
          </cell>
          <cell r="BD184">
            <v>483600</v>
          </cell>
          <cell r="BE184" t="e">
            <v>#REF!</v>
          </cell>
          <cell r="BF184">
            <v>20579387</v>
          </cell>
        </row>
        <row r="185">
          <cell r="D185" t="str">
            <v>SB90 AB3632 SERVICES / IDEA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6348000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D185">
            <v>0</v>
          </cell>
          <cell r="BE185" t="e">
            <v>#REF!</v>
          </cell>
          <cell r="BF185">
            <v>6348000</v>
          </cell>
        </row>
        <row r="186">
          <cell r="D186" t="str">
            <v>RESERVE FOR ACT PROGRAM (SHIFT FROM OC IN BUD. REQ)</v>
          </cell>
          <cell r="O186">
            <v>0</v>
          </cell>
          <cell r="P186">
            <v>0</v>
          </cell>
          <cell r="Q186">
            <v>382661</v>
          </cell>
          <cell r="AT186">
            <v>0</v>
          </cell>
          <cell r="BE186" t="e">
            <v>#REF!</v>
          </cell>
          <cell r="BF186">
            <v>382661</v>
          </cell>
        </row>
        <row r="187">
          <cell r="D187" t="str">
            <v>PRIVATE HOSPITAL - FOR PES DECOMPRESSION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3134000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BC187">
            <v>0</v>
          </cell>
          <cell r="BD187">
            <v>0</v>
          </cell>
          <cell r="BE187" t="e">
            <v>#REF!</v>
          </cell>
          <cell r="BF187">
            <v>3134000</v>
          </cell>
        </row>
        <row r="188">
          <cell r="D188" t="str">
            <v>CURTAILMENT</v>
          </cell>
          <cell r="AT188">
            <v>0</v>
          </cell>
          <cell r="AV188">
            <v>-270000</v>
          </cell>
          <cell r="BE188" t="e">
            <v>#REF!</v>
          </cell>
          <cell r="BF188">
            <v>-270000</v>
          </cell>
        </row>
        <row r="189">
          <cell r="D189" t="str">
            <v xml:space="preserve">RESERVE FOR MHSA 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C189">
            <v>0</v>
          </cell>
          <cell r="BD189">
            <v>0</v>
          </cell>
          <cell r="BE189" t="e">
            <v>#REF!</v>
          </cell>
          <cell r="BF189">
            <v>0</v>
          </cell>
        </row>
        <row r="190">
          <cell r="D190" t="str">
            <v>CURTAILMENT - UNUSED CONTRACTOR CGF</v>
          </cell>
          <cell r="O190">
            <v>0</v>
          </cell>
          <cell r="P190">
            <v>0</v>
          </cell>
          <cell r="Q190">
            <v>-5000000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  <cell r="AZ190">
            <v>0</v>
          </cell>
          <cell r="BB190">
            <v>0</v>
          </cell>
          <cell r="BD190">
            <v>0</v>
          </cell>
          <cell r="BE190" t="e">
            <v>#REF!</v>
          </cell>
          <cell r="BF190">
            <v>-5000000</v>
          </cell>
        </row>
        <row r="191">
          <cell r="D191" t="str">
            <v>CURTAILMENT - ADULT DAY TREATMENT</v>
          </cell>
          <cell r="Q191">
            <v>-1200000</v>
          </cell>
          <cell r="BF191">
            <v>-1200000</v>
          </cell>
        </row>
        <row r="192">
          <cell r="D192" t="str">
            <v>CURTAILMENT - REDIRECTION OF COMM. OUTREACH SVCS.</v>
          </cell>
          <cell r="Q192">
            <v>-1700000</v>
          </cell>
          <cell r="BF192">
            <v>-1700000</v>
          </cell>
        </row>
        <row r="193">
          <cell r="D193" t="str">
            <v>CURTAILMENT - TRANSFORM SELF HELP SVCS.</v>
          </cell>
          <cell r="Q193">
            <v>-870000</v>
          </cell>
          <cell r="BF193">
            <v>-870000</v>
          </cell>
        </row>
        <row r="194">
          <cell r="D194" t="str">
            <v xml:space="preserve">CURTAILMENT - MEDI-CAL  MANAGED CARE </v>
          </cell>
          <cell r="Q194">
            <v>-1000000</v>
          </cell>
          <cell r="BF194">
            <v>-1000000</v>
          </cell>
        </row>
        <row r="195">
          <cell r="D195" t="str">
            <v>ROUNDING</v>
          </cell>
          <cell r="O195">
            <v>-131</v>
          </cell>
          <cell r="P195">
            <v>0</v>
          </cell>
          <cell r="Q195">
            <v>-274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966</v>
          </cell>
          <cell r="AM195">
            <v>0</v>
          </cell>
          <cell r="AN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D195">
            <v>-1</v>
          </cell>
          <cell r="BE195" t="e">
            <v>#REF!</v>
          </cell>
          <cell r="BF195">
            <v>560</v>
          </cell>
        </row>
        <row r="196">
          <cell r="D196" t="str">
            <v>ROUNDING ADJUSTMENT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Q196">
            <v>0</v>
          </cell>
          <cell r="AR196">
            <v>0</v>
          </cell>
          <cell r="AS196">
            <v>0</v>
          </cell>
          <cell r="AV196">
            <v>0</v>
          </cell>
          <cell r="BC196">
            <v>0</v>
          </cell>
          <cell r="BD196">
            <v>0</v>
          </cell>
          <cell r="BE196" t="e">
            <v>#REF!</v>
          </cell>
          <cell r="BF196">
            <v>0</v>
          </cell>
        </row>
        <row r="197">
          <cell r="BF197">
            <v>0</v>
          </cell>
        </row>
        <row r="198">
          <cell r="D198" t="str">
            <v>SHARE OF COST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Q198">
            <v>0</v>
          </cell>
          <cell r="AR198">
            <v>0</v>
          </cell>
          <cell r="AS198">
            <v>0</v>
          </cell>
          <cell r="AV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</row>
        <row r="199">
          <cell r="BF199">
            <v>0</v>
          </cell>
        </row>
        <row r="200">
          <cell r="D200" t="str">
            <v xml:space="preserve">       START PROGRAM</v>
          </cell>
          <cell r="L200">
            <v>0</v>
          </cell>
          <cell r="M200">
            <v>34186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Q200">
            <v>0</v>
          </cell>
          <cell r="AR200">
            <v>0</v>
          </cell>
          <cell r="AS200">
            <v>0</v>
          </cell>
          <cell r="AV200">
            <v>0</v>
          </cell>
          <cell r="BC200">
            <v>0</v>
          </cell>
          <cell r="BD200">
            <v>0</v>
          </cell>
          <cell r="BE200" t="e">
            <v>#REF!</v>
          </cell>
          <cell r="BF200">
            <v>0</v>
          </cell>
        </row>
        <row r="201">
          <cell r="BF201">
            <v>0</v>
          </cell>
        </row>
        <row r="202">
          <cell r="D202" t="str">
            <v xml:space="preserve">       FAM PRES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Q202">
            <v>0</v>
          </cell>
          <cell r="AR202">
            <v>0</v>
          </cell>
          <cell r="AS202">
            <v>0</v>
          </cell>
          <cell r="AV202">
            <v>0</v>
          </cell>
          <cell r="BC202">
            <v>0</v>
          </cell>
          <cell r="BD202">
            <v>0</v>
          </cell>
          <cell r="BE202" t="e">
            <v>#REF!</v>
          </cell>
          <cell r="BF202">
            <v>0</v>
          </cell>
        </row>
        <row r="203">
          <cell r="BF203">
            <v>0</v>
          </cell>
        </row>
        <row r="204">
          <cell r="D204" t="str">
            <v xml:space="preserve">       DUAL DIAGNOSIS</v>
          </cell>
          <cell r="L204">
            <v>0</v>
          </cell>
          <cell r="M204">
            <v>100000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Q204">
            <v>0</v>
          </cell>
          <cell r="AR204">
            <v>0</v>
          </cell>
          <cell r="AS204">
            <v>0</v>
          </cell>
          <cell r="AV204">
            <v>0</v>
          </cell>
          <cell r="BC204">
            <v>0</v>
          </cell>
          <cell r="BD204">
            <v>0</v>
          </cell>
          <cell r="BE204" t="e">
            <v>#REF!</v>
          </cell>
          <cell r="BF204">
            <v>0</v>
          </cell>
        </row>
        <row r="205">
          <cell r="BF205">
            <v>0</v>
          </cell>
        </row>
        <row r="206">
          <cell r="D206" t="str">
            <v xml:space="preserve">       SOC </v>
          </cell>
          <cell r="L206">
            <v>0</v>
          </cell>
          <cell r="M206">
            <v>50000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Q206">
            <v>0</v>
          </cell>
          <cell r="AR206">
            <v>0</v>
          </cell>
          <cell r="AS206">
            <v>0</v>
          </cell>
          <cell r="AV206">
            <v>0</v>
          </cell>
          <cell r="BC206">
            <v>0</v>
          </cell>
          <cell r="BD206">
            <v>0</v>
          </cell>
          <cell r="BE206" t="e">
            <v>#REF!</v>
          </cell>
          <cell r="BF206">
            <v>0</v>
          </cell>
        </row>
        <row r="207">
          <cell r="AV207" t="str">
            <v xml:space="preserve"> </v>
          </cell>
          <cell r="BF207">
            <v>0</v>
          </cell>
        </row>
        <row r="208">
          <cell r="D208" t="str">
            <v xml:space="preserve">       WRAP AROUND</v>
          </cell>
          <cell r="L208">
            <v>0</v>
          </cell>
          <cell r="M208">
            <v>50000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Q208">
            <v>0</v>
          </cell>
          <cell r="AR208">
            <v>0</v>
          </cell>
          <cell r="AS208">
            <v>0</v>
          </cell>
          <cell r="AV208">
            <v>0</v>
          </cell>
          <cell r="BC208">
            <v>0</v>
          </cell>
          <cell r="BD208">
            <v>0</v>
          </cell>
          <cell r="BE208" t="e">
            <v>#REF!</v>
          </cell>
          <cell r="BF208">
            <v>0</v>
          </cell>
        </row>
        <row r="210">
          <cell r="D210" t="str">
            <v xml:space="preserve">UNALLOCATED SUB TOTAL </v>
          </cell>
          <cell r="L210">
            <v>0</v>
          </cell>
          <cell r="M210">
            <v>9285077</v>
          </cell>
          <cell r="N210">
            <v>0</v>
          </cell>
          <cell r="O210">
            <v>-131</v>
          </cell>
          <cell r="P210">
            <v>3134000</v>
          </cell>
          <cell r="Q210">
            <v>-8519303</v>
          </cell>
          <cell r="R210">
            <v>0</v>
          </cell>
          <cell r="S210">
            <v>0</v>
          </cell>
          <cell r="T210">
            <v>-145000</v>
          </cell>
          <cell r="U210">
            <v>0</v>
          </cell>
          <cell r="V210">
            <v>0</v>
          </cell>
          <cell r="W210">
            <v>0</v>
          </cell>
          <cell r="X210">
            <v>1060412</v>
          </cell>
          <cell r="Y210">
            <v>0</v>
          </cell>
          <cell r="Z210">
            <v>326000</v>
          </cell>
          <cell r="AA210">
            <v>0</v>
          </cell>
          <cell r="AB210">
            <v>0</v>
          </cell>
          <cell r="AC210">
            <v>0</v>
          </cell>
          <cell r="AD210">
            <v>150718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966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6348000</v>
          </cell>
          <cell r="AU210">
            <v>0</v>
          </cell>
          <cell r="AV210">
            <v>-270000</v>
          </cell>
          <cell r="AW210">
            <v>4587667</v>
          </cell>
          <cell r="AX210">
            <v>0</v>
          </cell>
          <cell r="AY210">
            <v>1014053</v>
          </cell>
          <cell r="AZ210">
            <v>0</v>
          </cell>
          <cell r="BA210">
            <v>0</v>
          </cell>
          <cell r="BB210">
            <v>8419000</v>
          </cell>
          <cell r="BC210">
            <v>5670000</v>
          </cell>
          <cell r="BD210">
            <v>483599</v>
          </cell>
          <cell r="BE210" t="e">
            <v>#REF!</v>
          </cell>
          <cell r="BF210">
            <v>22259981</v>
          </cell>
        </row>
        <row r="213">
          <cell r="D213" t="str">
            <v xml:space="preserve">GRAND TOTAL </v>
          </cell>
          <cell r="L213">
            <v>5326865</v>
          </cell>
          <cell r="M213">
            <v>152299195</v>
          </cell>
          <cell r="N213">
            <v>47533</v>
          </cell>
          <cell r="O213">
            <v>-131</v>
          </cell>
          <cell r="P213">
            <v>9859250</v>
          </cell>
          <cell r="Q213">
            <v>83129949</v>
          </cell>
          <cell r="R213">
            <v>0</v>
          </cell>
          <cell r="S213">
            <v>0</v>
          </cell>
          <cell r="T213">
            <v>1555894</v>
          </cell>
          <cell r="U213">
            <v>0</v>
          </cell>
          <cell r="V213">
            <v>0</v>
          </cell>
          <cell r="W213">
            <v>866977</v>
          </cell>
          <cell r="X213">
            <v>14482502</v>
          </cell>
          <cell r="Y213">
            <v>1500000</v>
          </cell>
          <cell r="Z213">
            <v>398597</v>
          </cell>
          <cell r="AA213">
            <v>50000</v>
          </cell>
          <cell r="AB213">
            <v>418666</v>
          </cell>
          <cell r="AC213">
            <v>200566</v>
          </cell>
          <cell r="AD213">
            <v>1325443</v>
          </cell>
          <cell r="AE213">
            <v>125000</v>
          </cell>
          <cell r="AF213">
            <v>259514</v>
          </cell>
          <cell r="AG213">
            <v>364000</v>
          </cell>
          <cell r="AH213">
            <v>47000</v>
          </cell>
          <cell r="AI213">
            <v>0</v>
          </cell>
          <cell r="AJ213">
            <v>1272557</v>
          </cell>
          <cell r="AK213">
            <v>1174314</v>
          </cell>
          <cell r="AL213">
            <v>7759766</v>
          </cell>
          <cell r="AM213">
            <v>454001</v>
          </cell>
          <cell r="AN213">
            <v>2020000</v>
          </cell>
          <cell r="AO213">
            <v>1273812</v>
          </cell>
          <cell r="AP213">
            <v>472000</v>
          </cell>
          <cell r="AQ213">
            <v>102602</v>
          </cell>
          <cell r="AR213">
            <v>0</v>
          </cell>
          <cell r="AS213">
            <v>5256449</v>
          </cell>
          <cell r="AT213">
            <v>10214000</v>
          </cell>
          <cell r="AU213">
            <v>182402</v>
          </cell>
          <cell r="AV213">
            <v>786891</v>
          </cell>
          <cell r="AW213">
            <v>10103002</v>
          </cell>
          <cell r="AX213">
            <v>468000</v>
          </cell>
          <cell r="AY213">
            <v>86057299</v>
          </cell>
          <cell r="AZ213">
            <v>14793662</v>
          </cell>
          <cell r="BA213">
            <v>37998</v>
          </cell>
          <cell r="BB213">
            <v>9869000</v>
          </cell>
          <cell r="BC213">
            <v>5670000</v>
          </cell>
          <cell r="BD213">
            <v>363938619</v>
          </cell>
          <cell r="BE213" t="e">
            <v>#REF!</v>
          </cell>
          <cell r="BF213">
            <v>636489601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10">
          <cell r="A10">
            <v>18715</v>
          </cell>
        </row>
      </sheetData>
      <sheetData sheetId="28"/>
      <sheetData sheetId="29"/>
      <sheetData sheetId="30"/>
      <sheetData sheetId="31">
        <row r="11">
          <cell r="B11">
            <v>23125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Per Provider"/>
      <sheetName val="K-Listing"/>
      <sheetName val="Consulting"/>
      <sheetName val="Consultion-PEI"/>
      <sheetName val="IMD"/>
      <sheetName val="PDP"/>
      <sheetName val="Innovation II"/>
      <sheetName val="State Hospital"/>
      <sheetName val="UCC"/>
      <sheetName val="Capital Imp"/>
      <sheetName val="CA"/>
      <sheetName val="Contact  Info"/>
      <sheetName val="Staff"/>
    </sheetNames>
    <sheetDataSet>
      <sheetData sheetId="0">
        <row r="13">
          <cell r="N13">
            <v>256</v>
          </cell>
          <cell r="O13" t="str">
            <v>2</v>
          </cell>
        </row>
        <row r="14">
          <cell r="N14">
            <v>269</v>
          </cell>
          <cell r="O14" t="str">
            <v>3</v>
          </cell>
        </row>
        <row r="15">
          <cell r="N15">
            <v>177</v>
          </cell>
          <cell r="O15" t="str">
            <v>4</v>
          </cell>
        </row>
        <row r="16">
          <cell r="N16">
            <v>173</v>
          </cell>
          <cell r="O16" t="str">
            <v>5</v>
          </cell>
        </row>
        <row r="17">
          <cell r="N17">
            <v>180</v>
          </cell>
          <cell r="O17" t="str">
            <v>6</v>
          </cell>
        </row>
        <row r="18">
          <cell r="N18">
            <v>409</v>
          </cell>
          <cell r="O18" t="str">
            <v>7</v>
          </cell>
        </row>
        <row r="19">
          <cell r="N19">
            <v>1167</v>
          </cell>
          <cell r="O19" t="str">
            <v>8</v>
          </cell>
        </row>
        <row r="20">
          <cell r="N20">
            <v>1800</v>
          </cell>
          <cell r="O20" t="str">
            <v>9</v>
          </cell>
        </row>
        <row r="21">
          <cell r="N21">
            <v>467</v>
          </cell>
          <cell r="O21" t="str">
            <v>10</v>
          </cell>
        </row>
        <row r="22">
          <cell r="N22">
            <v>888</v>
          </cell>
          <cell r="O22" t="str">
            <v>11</v>
          </cell>
        </row>
        <row r="23">
          <cell r="N23">
            <v>274</v>
          </cell>
          <cell r="O23" t="str">
            <v>12</v>
          </cell>
        </row>
        <row r="24">
          <cell r="N24">
            <v>175</v>
          </cell>
          <cell r="O24" t="str">
            <v>13</v>
          </cell>
        </row>
        <row r="25">
          <cell r="N25">
            <v>1273</v>
          </cell>
          <cell r="O25" t="str">
            <v>14</v>
          </cell>
        </row>
        <row r="26">
          <cell r="N26">
            <v>1150</v>
          </cell>
          <cell r="O26" t="str">
            <v>15</v>
          </cell>
        </row>
        <row r="27">
          <cell r="N27">
            <v>2232</v>
          </cell>
          <cell r="O27" t="str">
            <v>16</v>
          </cell>
        </row>
        <row r="28">
          <cell r="N28">
            <v>2038</v>
          </cell>
          <cell r="O28" t="str">
            <v>17</v>
          </cell>
        </row>
        <row r="29">
          <cell r="N29">
            <v>1192</v>
          </cell>
          <cell r="O29" t="str">
            <v>18</v>
          </cell>
        </row>
        <row r="30">
          <cell r="N30">
            <v>1209</v>
          </cell>
          <cell r="O30" t="str">
            <v>19</v>
          </cell>
        </row>
        <row r="31">
          <cell r="N31">
            <v>210</v>
          </cell>
          <cell r="O31" t="str">
            <v>20</v>
          </cell>
        </row>
        <row r="32">
          <cell r="N32">
            <v>207</v>
          </cell>
          <cell r="O32" t="str">
            <v>21</v>
          </cell>
        </row>
        <row r="33">
          <cell r="N33">
            <v>660</v>
          </cell>
          <cell r="O33" t="str">
            <v>22</v>
          </cell>
        </row>
        <row r="34">
          <cell r="N34">
            <v>783</v>
          </cell>
          <cell r="O34" t="str">
            <v>23</v>
          </cell>
        </row>
        <row r="35">
          <cell r="N35">
            <v>668</v>
          </cell>
          <cell r="O35" t="str">
            <v>24</v>
          </cell>
        </row>
        <row r="36">
          <cell r="N36">
            <v>179</v>
          </cell>
          <cell r="O36" t="str">
            <v>25</v>
          </cell>
        </row>
        <row r="37">
          <cell r="N37">
            <v>591</v>
          </cell>
          <cell r="O37" t="str">
            <v>26</v>
          </cell>
        </row>
        <row r="38">
          <cell r="N38">
            <v>322</v>
          </cell>
          <cell r="O38" t="str">
            <v>27</v>
          </cell>
        </row>
        <row r="39">
          <cell r="N39">
            <v>2133</v>
          </cell>
          <cell r="O39" t="str">
            <v>28</v>
          </cell>
        </row>
        <row r="40">
          <cell r="N40">
            <v>666</v>
          </cell>
          <cell r="O40" t="str">
            <v>29</v>
          </cell>
        </row>
        <row r="41">
          <cell r="N41">
            <v>181</v>
          </cell>
          <cell r="O41" t="str">
            <v>30</v>
          </cell>
        </row>
        <row r="42">
          <cell r="N42">
            <v>779</v>
          </cell>
          <cell r="O42" t="str">
            <v>31</v>
          </cell>
        </row>
        <row r="43">
          <cell r="N43">
            <v>694</v>
          </cell>
          <cell r="O43" t="str">
            <v>32</v>
          </cell>
        </row>
        <row r="44">
          <cell r="N44">
            <v>2220</v>
          </cell>
          <cell r="O44" t="str">
            <v>33</v>
          </cell>
        </row>
        <row r="45">
          <cell r="N45">
            <v>1227</v>
          </cell>
          <cell r="O45" t="str">
            <v>34</v>
          </cell>
        </row>
        <row r="46">
          <cell r="N46">
            <v>2255</v>
          </cell>
          <cell r="O46" t="str">
            <v>35</v>
          </cell>
        </row>
        <row r="47">
          <cell r="N47">
            <v>183</v>
          </cell>
          <cell r="O47" t="str">
            <v>36</v>
          </cell>
        </row>
        <row r="48">
          <cell r="N48">
            <v>1285</v>
          </cell>
          <cell r="O48" t="str">
            <v>37</v>
          </cell>
        </row>
        <row r="49">
          <cell r="N49">
            <v>316</v>
          </cell>
          <cell r="O49" t="str">
            <v>38</v>
          </cell>
        </row>
        <row r="50">
          <cell r="N50">
            <v>2230</v>
          </cell>
          <cell r="O50" t="str">
            <v>39</v>
          </cell>
        </row>
        <row r="51">
          <cell r="N51">
            <v>1181</v>
          </cell>
          <cell r="O51" t="str">
            <v>40</v>
          </cell>
        </row>
        <row r="52">
          <cell r="N52">
            <v>778</v>
          </cell>
          <cell r="O52" t="str">
            <v>41</v>
          </cell>
        </row>
        <row r="53">
          <cell r="N53">
            <v>1853</v>
          </cell>
          <cell r="O53" t="str">
            <v>42</v>
          </cell>
        </row>
        <row r="54">
          <cell r="N54">
            <v>185</v>
          </cell>
          <cell r="O54" t="str">
            <v>43</v>
          </cell>
        </row>
        <row r="55">
          <cell r="N55">
            <v>1250</v>
          </cell>
          <cell r="O55" t="str">
            <v>44</v>
          </cell>
        </row>
        <row r="56">
          <cell r="N56">
            <v>1311</v>
          </cell>
          <cell r="O56" t="str">
            <v>45</v>
          </cell>
        </row>
        <row r="57">
          <cell r="N57">
            <v>188</v>
          </cell>
          <cell r="O57" t="str">
            <v>46</v>
          </cell>
        </row>
        <row r="58">
          <cell r="N58">
            <v>995</v>
          </cell>
          <cell r="O58" t="str">
            <v>47</v>
          </cell>
        </row>
        <row r="59">
          <cell r="N59">
            <v>1567</v>
          </cell>
          <cell r="O59" t="str">
            <v>48</v>
          </cell>
        </row>
        <row r="60">
          <cell r="N60">
            <v>527</v>
          </cell>
          <cell r="O60" t="str">
            <v>49</v>
          </cell>
        </row>
        <row r="61">
          <cell r="N61">
            <v>2082</v>
          </cell>
          <cell r="O61" t="str">
            <v>50</v>
          </cell>
        </row>
        <row r="62">
          <cell r="N62">
            <v>302</v>
          </cell>
          <cell r="O62" t="str">
            <v>51</v>
          </cell>
        </row>
        <row r="63">
          <cell r="N63">
            <v>647</v>
          </cell>
          <cell r="O63" t="str">
            <v>52</v>
          </cell>
        </row>
        <row r="64">
          <cell r="N64" t="str">
            <v>TBA</v>
          </cell>
          <cell r="O64" t="str">
            <v>53</v>
          </cell>
        </row>
        <row r="65">
          <cell r="N65">
            <v>870</v>
          </cell>
          <cell r="O65" t="str">
            <v>54</v>
          </cell>
        </row>
        <row r="66">
          <cell r="N66">
            <v>724</v>
          </cell>
          <cell r="O66" t="str">
            <v>55</v>
          </cell>
        </row>
        <row r="67">
          <cell r="N67">
            <v>300</v>
          </cell>
          <cell r="O67" t="str">
            <v>56</v>
          </cell>
        </row>
        <row r="68">
          <cell r="N68">
            <v>2235</v>
          </cell>
          <cell r="O68" t="str">
            <v>57</v>
          </cell>
        </row>
        <row r="69">
          <cell r="N69">
            <v>190</v>
          </cell>
          <cell r="O69" t="str">
            <v>58</v>
          </cell>
        </row>
        <row r="70">
          <cell r="N70">
            <v>174</v>
          </cell>
          <cell r="O70" t="str">
            <v>59</v>
          </cell>
        </row>
        <row r="71">
          <cell r="N71">
            <v>192</v>
          </cell>
          <cell r="O71" t="str">
            <v>60</v>
          </cell>
        </row>
        <row r="72">
          <cell r="N72">
            <v>697</v>
          </cell>
          <cell r="O72" t="str">
            <v>61</v>
          </cell>
        </row>
        <row r="73">
          <cell r="N73">
            <v>348</v>
          </cell>
          <cell r="O73" t="str">
            <v>62</v>
          </cell>
        </row>
        <row r="74">
          <cell r="N74">
            <v>1232</v>
          </cell>
          <cell r="O74" t="str">
            <v>63</v>
          </cell>
        </row>
        <row r="75">
          <cell r="N75">
            <v>965</v>
          </cell>
          <cell r="O75" t="str">
            <v>64</v>
          </cell>
        </row>
        <row r="76">
          <cell r="N76">
            <v>2194</v>
          </cell>
          <cell r="O76" t="str">
            <v>65</v>
          </cell>
        </row>
        <row r="77">
          <cell r="N77">
            <v>321</v>
          </cell>
          <cell r="O77" t="str">
            <v>66</v>
          </cell>
        </row>
        <row r="78">
          <cell r="N78">
            <v>194</v>
          </cell>
          <cell r="O78" t="str">
            <v>67</v>
          </cell>
        </row>
        <row r="79">
          <cell r="N79">
            <v>508</v>
          </cell>
          <cell r="O79" t="str">
            <v>68</v>
          </cell>
        </row>
        <row r="80">
          <cell r="N80">
            <v>2205</v>
          </cell>
          <cell r="O80" t="str">
            <v>69</v>
          </cell>
        </row>
        <row r="81">
          <cell r="N81">
            <v>1981</v>
          </cell>
          <cell r="O81" t="str">
            <v>70</v>
          </cell>
        </row>
        <row r="82">
          <cell r="N82">
            <v>699</v>
          </cell>
          <cell r="O82" t="str">
            <v>71</v>
          </cell>
        </row>
        <row r="83">
          <cell r="N83">
            <v>1521</v>
          </cell>
          <cell r="O83" t="str">
            <v>72</v>
          </cell>
        </row>
        <row r="84">
          <cell r="N84">
            <v>1563</v>
          </cell>
          <cell r="O84" t="str">
            <v>73</v>
          </cell>
        </row>
        <row r="85">
          <cell r="N85">
            <v>197</v>
          </cell>
          <cell r="O85" t="str">
            <v>74</v>
          </cell>
        </row>
        <row r="86">
          <cell r="N86">
            <v>1794</v>
          </cell>
          <cell r="O86" t="str">
            <v>75</v>
          </cell>
        </row>
        <row r="87">
          <cell r="N87">
            <v>326</v>
          </cell>
          <cell r="O87" t="str">
            <v>76</v>
          </cell>
        </row>
        <row r="88">
          <cell r="N88">
            <v>2130</v>
          </cell>
          <cell r="O88" t="str">
            <v>77</v>
          </cell>
        </row>
        <row r="89">
          <cell r="N89">
            <v>315</v>
          </cell>
          <cell r="O89" t="str">
            <v>78</v>
          </cell>
        </row>
        <row r="90">
          <cell r="N90">
            <v>2083</v>
          </cell>
          <cell r="O90" t="str">
            <v>79</v>
          </cell>
        </row>
        <row r="91">
          <cell r="N91">
            <v>1034</v>
          </cell>
          <cell r="O91" t="str">
            <v>80</v>
          </cell>
        </row>
        <row r="92">
          <cell r="N92">
            <v>971</v>
          </cell>
          <cell r="O92" t="str">
            <v>81</v>
          </cell>
        </row>
        <row r="93">
          <cell r="N93">
            <v>200</v>
          </cell>
          <cell r="O93" t="str">
            <v>82</v>
          </cell>
        </row>
        <row r="94">
          <cell r="N94">
            <v>1142</v>
          </cell>
          <cell r="O94" t="str">
            <v>83</v>
          </cell>
        </row>
        <row r="95">
          <cell r="N95">
            <v>518</v>
          </cell>
          <cell r="O95" t="str">
            <v>84</v>
          </cell>
        </row>
        <row r="96">
          <cell r="N96">
            <v>859</v>
          </cell>
          <cell r="O96" t="str">
            <v>85</v>
          </cell>
        </row>
        <row r="97">
          <cell r="N97">
            <v>781</v>
          </cell>
          <cell r="O97" t="str">
            <v>86</v>
          </cell>
        </row>
        <row r="98">
          <cell r="N98">
            <v>579</v>
          </cell>
          <cell r="O98" t="str">
            <v>87</v>
          </cell>
        </row>
        <row r="99">
          <cell r="N99">
            <v>203</v>
          </cell>
          <cell r="O99" t="str">
            <v>88</v>
          </cell>
        </row>
        <row r="100">
          <cell r="N100">
            <v>1169</v>
          </cell>
          <cell r="O100" t="str">
            <v>89</v>
          </cell>
        </row>
        <row r="101">
          <cell r="N101">
            <v>1228</v>
          </cell>
          <cell r="O101" t="str">
            <v>90</v>
          </cell>
        </row>
        <row r="102">
          <cell r="N102">
            <v>801</v>
          </cell>
          <cell r="O102" t="str">
            <v>91</v>
          </cell>
        </row>
        <row r="103">
          <cell r="N103">
            <v>711</v>
          </cell>
          <cell r="O103" t="str">
            <v>92</v>
          </cell>
        </row>
        <row r="104">
          <cell r="N104">
            <v>201</v>
          </cell>
          <cell r="O104" t="str">
            <v>93</v>
          </cell>
        </row>
        <row r="105">
          <cell r="N105">
            <v>1194</v>
          </cell>
          <cell r="O105" t="str">
            <v>94</v>
          </cell>
        </row>
        <row r="106">
          <cell r="N106">
            <v>805</v>
          </cell>
          <cell r="O106" t="str">
            <v>95</v>
          </cell>
        </row>
        <row r="107">
          <cell r="N107">
            <v>1366</v>
          </cell>
          <cell r="O107" t="str">
            <v>96</v>
          </cell>
        </row>
        <row r="108">
          <cell r="N108">
            <v>1961</v>
          </cell>
          <cell r="O108" t="str">
            <v>97</v>
          </cell>
        </row>
        <row r="109">
          <cell r="N109">
            <v>217</v>
          </cell>
          <cell r="O109" t="str">
            <v>98</v>
          </cell>
        </row>
        <row r="110">
          <cell r="N110">
            <v>2172</v>
          </cell>
          <cell r="O110" t="str">
            <v>99</v>
          </cell>
        </row>
        <row r="111">
          <cell r="N111">
            <v>208</v>
          </cell>
          <cell r="O111" t="str">
            <v>100</v>
          </cell>
        </row>
        <row r="112">
          <cell r="N112">
            <v>320</v>
          </cell>
          <cell r="O112" t="str">
            <v>101</v>
          </cell>
        </row>
        <row r="113">
          <cell r="N113">
            <v>558</v>
          </cell>
          <cell r="O113" t="str">
            <v>102</v>
          </cell>
        </row>
        <row r="114">
          <cell r="N114">
            <v>212</v>
          </cell>
          <cell r="O114" t="str">
            <v>103</v>
          </cell>
        </row>
        <row r="115">
          <cell r="N115">
            <v>213</v>
          </cell>
          <cell r="O115" t="str">
            <v>104</v>
          </cell>
        </row>
        <row r="116">
          <cell r="N116">
            <v>506</v>
          </cell>
          <cell r="O116" t="str">
            <v>105</v>
          </cell>
        </row>
        <row r="117">
          <cell r="N117">
            <v>214</v>
          </cell>
          <cell r="O117" t="str">
            <v>106</v>
          </cell>
        </row>
        <row r="118">
          <cell r="N118">
            <v>1160</v>
          </cell>
          <cell r="O118" t="str">
            <v>107</v>
          </cell>
        </row>
        <row r="119">
          <cell r="N119">
            <v>1186</v>
          </cell>
          <cell r="O119" t="str">
            <v>108</v>
          </cell>
        </row>
        <row r="120">
          <cell r="N120">
            <v>218</v>
          </cell>
          <cell r="O120" t="str">
            <v>109</v>
          </cell>
        </row>
        <row r="121">
          <cell r="N121">
            <v>543</v>
          </cell>
          <cell r="O121" t="str">
            <v>110</v>
          </cell>
        </row>
        <row r="122">
          <cell r="N122">
            <v>215</v>
          </cell>
          <cell r="O122" t="str">
            <v>111</v>
          </cell>
        </row>
        <row r="123">
          <cell r="N123">
            <v>216</v>
          </cell>
          <cell r="O123" t="str">
            <v>112</v>
          </cell>
        </row>
        <row r="124">
          <cell r="N124">
            <v>1156</v>
          </cell>
          <cell r="O124" t="str">
            <v>113</v>
          </cell>
        </row>
        <row r="125">
          <cell r="N125">
            <v>108</v>
          </cell>
          <cell r="O125" t="str">
            <v>114</v>
          </cell>
        </row>
        <row r="126">
          <cell r="N126">
            <v>1379</v>
          </cell>
          <cell r="O126" t="str">
            <v>115</v>
          </cell>
        </row>
        <row r="127">
          <cell r="N127">
            <v>1066</v>
          </cell>
          <cell r="O127" t="str">
            <v>116</v>
          </cell>
        </row>
        <row r="128">
          <cell r="N128">
            <v>191</v>
          </cell>
          <cell r="O128" t="str">
            <v>117</v>
          </cell>
        </row>
        <row r="129">
          <cell r="N129">
            <v>198</v>
          </cell>
          <cell r="O129" t="str">
            <v>118</v>
          </cell>
        </row>
        <row r="130">
          <cell r="N130">
            <v>171</v>
          </cell>
          <cell r="O130" t="str">
            <v>119</v>
          </cell>
        </row>
        <row r="131">
          <cell r="N131">
            <v>304</v>
          </cell>
          <cell r="O131" t="str">
            <v>120</v>
          </cell>
        </row>
        <row r="132">
          <cell r="N132">
            <v>305</v>
          </cell>
          <cell r="O132" t="str">
            <v>121</v>
          </cell>
        </row>
        <row r="133">
          <cell r="N133">
            <v>984</v>
          </cell>
          <cell r="O133" t="str">
            <v>122</v>
          </cell>
        </row>
        <row r="134">
          <cell r="N134">
            <v>2129</v>
          </cell>
          <cell r="O134" t="str">
            <v>123</v>
          </cell>
        </row>
        <row r="135">
          <cell r="N135">
            <v>1224</v>
          </cell>
          <cell r="O135" t="str">
            <v>124</v>
          </cell>
        </row>
        <row r="136">
          <cell r="N136">
            <v>195</v>
          </cell>
          <cell r="O136" t="str">
            <v>125</v>
          </cell>
        </row>
        <row r="137">
          <cell r="N137">
            <v>1171</v>
          </cell>
          <cell r="O137" t="str">
            <v>126</v>
          </cell>
        </row>
        <row r="138">
          <cell r="N138">
            <v>630</v>
          </cell>
          <cell r="O138" t="str">
            <v>127</v>
          </cell>
        </row>
        <row r="139">
          <cell r="N139">
            <v>66</v>
          </cell>
          <cell r="O139" t="str">
            <v>128</v>
          </cell>
        </row>
        <row r="140">
          <cell r="N140">
            <v>1026</v>
          </cell>
          <cell r="O140" t="str">
            <v>129</v>
          </cell>
        </row>
        <row r="141">
          <cell r="N141">
            <v>938</v>
          </cell>
          <cell r="O141" t="str">
            <v>130</v>
          </cell>
        </row>
        <row r="142">
          <cell r="N142">
            <v>1806</v>
          </cell>
          <cell r="O142" t="str">
            <v>131</v>
          </cell>
        </row>
        <row r="143">
          <cell r="N143">
            <v>120</v>
          </cell>
          <cell r="O143" t="str">
            <v>132</v>
          </cell>
        </row>
        <row r="144">
          <cell r="N144">
            <v>118</v>
          </cell>
          <cell r="O144" t="str">
            <v>133</v>
          </cell>
        </row>
        <row r="145">
          <cell r="N145">
            <v>1044</v>
          </cell>
          <cell r="O145" t="str">
            <v>134</v>
          </cell>
        </row>
        <row r="146">
          <cell r="N146">
            <v>196</v>
          </cell>
          <cell r="O146" t="str">
            <v>135</v>
          </cell>
        </row>
        <row r="147">
          <cell r="N147">
            <v>310</v>
          </cell>
          <cell r="O147" t="str">
            <v>136</v>
          </cell>
        </row>
        <row r="148">
          <cell r="N148">
            <v>1798</v>
          </cell>
          <cell r="O148" t="str">
            <v>137</v>
          </cell>
        </row>
        <row r="149">
          <cell r="N149">
            <v>199</v>
          </cell>
          <cell r="O149" t="str">
            <v>138</v>
          </cell>
        </row>
        <row r="150">
          <cell r="N150">
            <v>2245</v>
          </cell>
          <cell r="O150" t="str">
            <v>139</v>
          </cell>
        </row>
        <row r="151">
          <cell r="N151">
            <v>111</v>
          </cell>
          <cell r="O151">
            <v>143</v>
          </cell>
        </row>
      </sheetData>
      <sheetData sheetId="1">
        <row r="8">
          <cell r="O8" t="str">
            <v>V21A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781</v>
          </cell>
          <cell r="B2" t="str">
            <v>Andrea Wedderburn</v>
          </cell>
        </row>
        <row r="3">
          <cell r="A3">
            <v>256</v>
          </cell>
          <cell r="B3" t="str">
            <v>Annette Mars</v>
          </cell>
        </row>
        <row r="4">
          <cell r="A4">
            <v>180</v>
          </cell>
          <cell r="B4" t="str">
            <v>Annette Mars</v>
          </cell>
        </row>
        <row r="5">
          <cell r="A5">
            <v>316</v>
          </cell>
          <cell r="B5" t="str">
            <v>Annette Mars</v>
          </cell>
        </row>
        <row r="6">
          <cell r="A6">
            <v>1853</v>
          </cell>
          <cell r="B6" t="str">
            <v>Annette Mars</v>
          </cell>
        </row>
        <row r="7">
          <cell r="A7">
            <v>724</v>
          </cell>
          <cell r="B7" t="str">
            <v>Annette Mars</v>
          </cell>
        </row>
        <row r="8">
          <cell r="A8">
            <v>197</v>
          </cell>
          <cell r="B8" t="str">
            <v>Annette Mars</v>
          </cell>
        </row>
        <row r="9">
          <cell r="A9">
            <v>326</v>
          </cell>
          <cell r="B9" t="str">
            <v>Annette Mars</v>
          </cell>
        </row>
        <row r="10">
          <cell r="A10">
            <v>2130</v>
          </cell>
          <cell r="B10" t="str">
            <v>Annette Mars</v>
          </cell>
        </row>
        <row r="11">
          <cell r="A11">
            <v>171</v>
          </cell>
          <cell r="B11" t="str">
            <v>Annette Mars</v>
          </cell>
        </row>
        <row r="12">
          <cell r="A12">
            <v>348</v>
          </cell>
          <cell r="B12" t="str">
            <v>Annette Mars</v>
          </cell>
        </row>
        <row r="13">
          <cell r="A13">
            <v>269</v>
          </cell>
          <cell r="B13" t="str">
            <v>Beatriz Torres</v>
          </cell>
        </row>
        <row r="14">
          <cell r="A14">
            <v>1800</v>
          </cell>
          <cell r="B14" t="str">
            <v>Beatriz Torres</v>
          </cell>
        </row>
        <row r="15">
          <cell r="A15">
            <v>1150</v>
          </cell>
          <cell r="B15" t="str">
            <v>Beatriz Torres</v>
          </cell>
        </row>
        <row r="16">
          <cell r="A16">
            <v>185</v>
          </cell>
          <cell r="B16" t="str">
            <v>Beatriz Torres</v>
          </cell>
        </row>
        <row r="17">
          <cell r="A17">
            <v>965</v>
          </cell>
          <cell r="B17" t="str">
            <v>Beatriz Torres</v>
          </cell>
        </row>
        <row r="18">
          <cell r="A18">
            <v>1981</v>
          </cell>
          <cell r="B18" t="str">
            <v>Beatriz Torres</v>
          </cell>
        </row>
        <row r="19">
          <cell r="A19">
            <v>506</v>
          </cell>
          <cell r="B19" t="str">
            <v>Beatriz Torres</v>
          </cell>
        </row>
        <row r="20">
          <cell r="A20">
            <v>206</v>
          </cell>
          <cell r="B20" t="str">
            <v>Beatriz Torres</v>
          </cell>
        </row>
        <row r="21">
          <cell r="A21">
            <v>1066</v>
          </cell>
          <cell r="B21" t="str">
            <v>Beatriz Torres</v>
          </cell>
        </row>
        <row r="22">
          <cell r="A22">
            <v>1321</v>
          </cell>
          <cell r="B22" t="str">
            <v>Beatriz Torres</v>
          </cell>
        </row>
        <row r="23">
          <cell r="A23">
            <v>324</v>
          </cell>
          <cell r="B23" t="str">
            <v>Beatriz Torres</v>
          </cell>
        </row>
        <row r="24">
          <cell r="A24">
            <v>1727</v>
          </cell>
          <cell r="B24" t="str">
            <v>Beatriz Torres</v>
          </cell>
        </row>
        <row r="25">
          <cell r="A25">
            <v>313</v>
          </cell>
          <cell r="B25" t="str">
            <v>Beatriz Torres</v>
          </cell>
        </row>
        <row r="26">
          <cell r="A26">
            <v>308</v>
          </cell>
          <cell r="B26" t="str">
            <v>Beatriz Torres</v>
          </cell>
        </row>
        <row r="27">
          <cell r="A27">
            <v>279</v>
          </cell>
          <cell r="B27" t="str">
            <v>Beatriz Torres</v>
          </cell>
        </row>
        <row r="28">
          <cell r="A28">
            <v>314</v>
          </cell>
          <cell r="B28" t="str">
            <v>Beatriz Torres</v>
          </cell>
        </row>
        <row r="29">
          <cell r="A29">
            <v>1207</v>
          </cell>
          <cell r="B29" t="str">
            <v>Beatriz Torres</v>
          </cell>
        </row>
        <row r="30">
          <cell r="A30">
            <v>183</v>
          </cell>
          <cell r="B30" t="str">
            <v>Christine Chu</v>
          </cell>
        </row>
        <row r="31">
          <cell r="A31">
            <v>188</v>
          </cell>
          <cell r="B31" t="str">
            <v>Christine Chu</v>
          </cell>
        </row>
        <row r="32">
          <cell r="A32">
            <v>1915</v>
          </cell>
          <cell r="B32" t="str">
            <v>Christine Chu</v>
          </cell>
        </row>
        <row r="33">
          <cell r="A33">
            <v>527</v>
          </cell>
          <cell r="B33" t="str">
            <v>Christine Chu</v>
          </cell>
        </row>
        <row r="34">
          <cell r="A34">
            <v>200</v>
          </cell>
          <cell r="B34" t="str">
            <v>Christine Chu</v>
          </cell>
        </row>
        <row r="35">
          <cell r="A35">
            <v>201</v>
          </cell>
          <cell r="B35" t="str">
            <v>Christine Chu</v>
          </cell>
        </row>
        <row r="36">
          <cell r="A36">
            <v>305</v>
          </cell>
          <cell r="B36" t="str">
            <v>David Grigoryan</v>
          </cell>
        </row>
        <row r="37">
          <cell r="A37">
            <v>543</v>
          </cell>
          <cell r="B37" t="str">
            <v>David Grigoryan</v>
          </cell>
        </row>
        <row r="38">
          <cell r="A38">
            <v>697</v>
          </cell>
          <cell r="B38" t="str">
            <v>Edward Mokhtarian</v>
          </cell>
        </row>
        <row r="39">
          <cell r="A39">
            <v>216</v>
          </cell>
          <cell r="B39" t="str">
            <v>Edward Mokhtarian</v>
          </cell>
        </row>
        <row r="40">
          <cell r="A40">
            <v>2129</v>
          </cell>
          <cell r="B40" t="str">
            <v>Edward Mokhtarian</v>
          </cell>
        </row>
        <row r="41">
          <cell r="A41">
            <v>195</v>
          </cell>
          <cell r="B41" t="str">
            <v>Edward Mokhtarian</v>
          </cell>
        </row>
        <row r="42">
          <cell r="A42">
            <v>196</v>
          </cell>
          <cell r="B42" t="str">
            <v>Edward Mokhtarian</v>
          </cell>
        </row>
        <row r="43">
          <cell r="A43">
            <v>315</v>
          </cell>
          <cell r="B43" t="str">
            <v>Elhi Saucedo</v>
          </cell>
        </row>
        <row r="44">
          <cell r="A44">
            <v>66</v>
          </cell>
          <cell r="B44" t="str">
            <v>Elhi Saucedo</v>
          </cell>
        </row>
        <row r="45">
          <cell r="A45">
            <v>177</v>
          </cell>
          <cell r="B45" t="str">
            <v>Johnny de Jesus</v>
          </cell>
        </row>
        <row r="46">
          <cell r="A46">
            <v>1149</v>
          </cell>
          <cell r="B46" t="str">
            <v>Johnny de Jesus</v>
          </cell>
        </row>
        <row r="47">
          <cell r="A47">
            <v>1192</v>
          </cell>
          <cell r="B47" t="str">
            <v>Johnny de Jesus</v>
          </cell>
        </row>
        <row r="48">
          <cell r="A48">
            <v>210</v>
          </cell>
          <cell r="B48" t="str">
            <v>Johnny de Jesus</v>
          </cell>
        </row>
        <row r="49">
          <cell r="A49">
            <v>783</v>
          </cell>
          <cell r="B49" t="str">
            <v>Johnny de Jesus</v>
          </cell>
        </row>
        <row r="50">
          <cell r="A50">
            <v>668</v>
          </cell>
          <cell r="B50" t="str">
            <v>Johnny de Jesus</v>
          </cell>
        </row>
        <row r="51">
          <cell r="A51">
            <v>302</v>
          </cell>
          <cell r="B51" t="str">
            <v>Johnny de Jesus</v>
          </cell>
        </row>
        <row r="52">
          <cell r="A52">
            <v>348</v>
          </cell>
          <cell r="B52" t="str">
            <v>Johnny de Jesus</v>
          </cell>
        </row>
        <row r="53">
          <cell r="A53">
            <v>1961</v>
          </cell>
          <cell r="B53" t="str">
            <v>Johnny de Jesus</v>
          </cell>
        </row>
        <row r="54">
          <cell r="A54">
            <v>1366</v>
          </cell>
          <cell r="B54" t="str">
            <v>Johnny de Jesus</v>
          </cell>
        </row>
        <row r="55">
          <cell r="A55">
            <v>218</v>
          </cell>
          <cell r="B55" t="str">
            <v>Johnny de Jesus</v>
          </cell>
        </row>
        <row r="56">
          <cell r="A56">
            <v>215</v>
          </cell>
          <cell r="B56" t="str">
            <v>Johnny de Jesus</v>
          </cell>
        </row>
        <row r="57">
          <cell r="A57">
            <v>1559</v>
          </cell>
          <cell r="B57" t="str">
            <v>Johnny de Jesus</v>
          </cell>
        </row>
        <row r="58">
          <cell r="A58">
            <v>591</v>
          </cell>
          <cell r="B58" t="str">
            <v>Josie Nava</v>
          </cell>
        </row>
        <row r="59">
          <cell r="A59">
            <v>190</v>
          </cell>
          <cell r="B59" t="str">
            <v>Josie Nava</v>
          </cell>
        </row>
        <row r="60">
          <cell r="A60">
            <v>194</v>
          </cell>
          <cell r="B60" t="str">
            <v>Josie Nava</v>
          </cell>
        </row>
        <row r="61">
          <cell r="A61">
            <v>558</v>
          </cell>
          <cell r="B61" t="str">
            <v>Josie Nava</v>
          </cell>
        </row>
        <row r="62">
          <cell r="A62">
            <v>1156</v>
          </cell>
          <cell r="B62" t="str">
            <v>Josie Nava</v>
          </cell>
        </row>
        <row r="63">
          <cell r="A63">
            <v>191</v>
          </cell>
          <cell r="B63" t="str">
            <v>Josie Nava</v>
          </cell>
        </row>
        <row r="64">
          <cell r="A64">
            <v>984</v>
          </cell>
          <cell r="B64" t="str">
            <v>Josie Nava</v>
          </cell>
        </row>
        <row r="65">
          <cell r="A65">
            <v>1224</v>
          </cell>
          <cell r="B65" t="str">
            <v>Josie Nava</v>
          </cell>
        </row>
        <row r="66">
          <cell r="A66">
            <v>1194</v>
          </cell>
          <cell r="B66" t="str">
            <v>Julie Ho</v>
          </cell>
        </row>
        <row r="67">
          <cell r="A67">
            <v>320</v>
          </cell>
          <cell r="B67" t="str">
            <v>Julie Ho</v>
          </cell>
        </row>
        <row r="68">
          <cell r="A68">
            <v>214</v>
          </cell>
          <cell r="B68" t="str">
            <v>Julie Ho</v>
          </cell>
        </row>
        <row r="69">
          <cell r="A69">
            <v>1167</v>
          </cell>
          <cell r="B69" t="str">
            <v>Leticia Bernal</v>
          </cell>
        </row>
        <row r="70">
          <cell r="A70">
            <v>694</v>
          </cell>
          <cell r="B70" t="str">
            <v>Leticia Bernal</v>
          </cell>
        </row>
        <row r="71">
          <cell r="A71">
            <v>1285</v>
          </cell>
          <cell r="B71" t="str">
            <v>Leticia Bernal</v>
          </cell>
        </row>
        <row r="72">
          <cell r="A72">
            <v>1250</v>
          </cell>
          <cell r="B72" t="str">
            <v>Leticia Bernal</v>
          </cell>
        </row>
        <row r="73">
          <cell r="A73">
            <v>1567</v>
          </cell>
          <cell r="B73" t="str">
            <v>Leticia Bernal</v>
          </cell>
        </row>
        <row r="74">
          <cell r="A74">
            <v>1232</v>
          </cell>
          <cell r="B74" t="str">
            <v>Leticia Bernal</v>
          </cell>
        </row>
        <row r="75">
          <cell r="A75">
            <v>1521</v>
          </cell>
          <cell r="B75" t="str">
            <v>Leticia Bernal</v>
          </cell>
        </row>
        <row r="76">
          <cell r="A76">
            <v>304</v>
          </cell>
          <cell r="B76" t="str">
            <v>Leticia Bernal</v>
          </cell>
        </row>
        <row r="77">
          <cell r="A77">
            <v>579</v>
          </cell>
          <cell r="B77" t="str">
            <v>Leticia Bernal</v>
          </cell>
        </row>
        <row r="78">
          <cell r="A78">
            <v>1026</v>
          </cell>
          <cell r="B78" t="str">
            <v>Leticia Bernal</v>
          </cell>
        </row>
        <row r="79">
          <cell r="A79">
            <v>120</v>
          </cell>
          <cell r="B79" t="str">
            <v>Leticia Bernal</v>
          </cell>
        </row>
        <row r="80">
          <cell r="A80">
            <v>274</v>
          </cell>
          <cell r="B80" t="str">
            <v>Meri Ghazaryan</v>
          </cell>
        </row>
        <row r="81">
          <cell r="A81">
            <v>199</v>
          </cell>
          <cell r="B81" t="str">
            <v>Meri Ghazaryan</v>
          </cell>
        </row>
        <row r="82">
          <cell r="A82">
            <v>198</v>
          </cell>
          <cell r="B82" t="str">
            <v>Meri Ghazaryan</v>
          </cell>
        </row>
        <row r="83">
          <cell r="A83">
            <v>203</v>
          </cell>
          <cell r="B83" t="str">
            <v>Michael Preston</v>
          </cell>
        </row>
        <row r="84">
          <cell r="A84">
            <v>179</v>
          </cell>
          <cell r="B84" t="str">
            <v>Murali Iyer</v>
          </cell>
        </row>
        <row r="85">
          <cell r="A85">
            <v>192</v>
          </cell>
          <cell r="B85" t="str">
            <v>Murali Iyer</v>
          </cell>
        </row>
        <row r="86">
          <cell r="A86">
            <v>208</v>
          </cell>
          <cell r="B86" t="str">
            <v>Murali Iyer</v>
          </cell>
        </row>
        <row r="87">
          <cell r="A87">
            <v>1171</v>
          </cell>
          <cell r="B87" t="str">
            <v>Murali Iyer</v>
          </cell>
        </row>
        <row r="88">
          <cell r="A88">
            <v>1273</v>
          </cell>
          <cell r="B88" t="str">
            <v>Pei Liu</v>
          </cell>
        </row>
        <row r="89">
          <cell r="A89">
            <v>2133</v>
          </cell>
          <cell r="B89" t="str">
            <v>Pei Liu</v>
          </cell>
        </row>
        <row r="90">
          <cell r="A90">
            <v>779</v>
          </cell>
          <cell r="B90" t="str">
            <v>Pei Liu</v>
          </cell>
        </row>
        <row r="91">
          <cell r="A91">
            <v>1181</v>
          </cell>
          <cell r="B91" t="str">
            <v>Pei Liu</v>
          </cell>
        </row>
        <row r="92">
          <cell r="A92">
            <v>778</v>
          </cell>
          <cell r="B92" t="str">
            <v>Pei Liu</v>
          </cell>
        </row>
        <row r="93">
          <cell r="A93">
            <v>995</v>
          </cell>
          <cell r="B93" t="str">
            <v>Pei Liu</v>
          </cell>
        </row>
        <row r="94">
          <cell r="A94">
            <v>508</v>
          </cell>
          <cell r="B94" t="str">
            <v>Pei Liu</v>
          </cell>
        </row>
        <row r="95">
          <cell r="A95">
            <v>805</v>
          </cell>
          <cell r="B95" t="str">
            <v>Pei Liu</v>
          </cell>
        </row>
        <row r="96">
          <cell r="A96">
            <v>212</v>
          </cell>
          <cell r="B96" t="str">
            <v>Pei Liu</v>
          </cell>
        </row>
        <row r="97">
          <cell r="A97">
            <v>1044</v>
          </cell>
          <cell r="B97" t="str">
            <v>Pei Liu</v>
          </cell>
        </row>
        <row r="98">
          <cell r="A98">
            <v>310</v>
          </cell>
          <cell r="B98" t="str">
            <v>Pei Liu</v>
          </cell>
        </row>
        <row r="99">
          <cell r="A99">
            <v>1798</v>
          </cell>
          <cell r="B99" t="str">
            <v>Pei Liu</v>
          </cell>
        </row>
        <row r="100">
          <cell r="A100">
            <v>1209</v>
          </cell>
          <cell r="B100" t="str">
            <v>Stephen Zhou</v>
          </cell>
        </row>
        <row r="101">
          <cell r="A101">
            <v>322</v>
          </cell>
          <cell r="B101" t="str">
            <v>Stephen Zhou</v>
          </cell>
        </row>
        <row r="102">
          <cell r="A102">
            <v>699</v>
          </cell>
          <cell r="B102" t="str">
            <v>Stephen Zhou</v>
          </cell>
        </row>
        <row r="103">
          <cell r="A103">
            <v>1794</v>
          </cell>
          <cell r="B103" t="str">
            <v>Stephen Zhou</v>
          </cell>
        </row>
        <row r="104">
          <cell r="A104">
            <v>1034</v>
          </cell>
          <cell r="B104" t="str">
            <v>Stephen Zhou</v>
          </cell>
        </row>
        <row r="105">
          <cell r="A105">
            <v>971</v>
          </cell>
          <cell r="B105" t="str">
            <v>Stephen Zhou</v>
          </cell>
        </row>
        <row r="106">
          <cell r="A106">
            <v>1142</v>
          </cell>
          <cell r="B106" t="str">
            <v>Stephen Zhou</v>
          </cell>
        </row>
        <row r="107">
          <cell r="A107">
            <v>518</v>
          </cell>
          <cell r="B107" t="str">
            <v>Stephen Zhou</v>
          </cell>
        </row>
        <row r="108">
          <cell r="A108">
            <v>859</v>
          </cell>
          <cell r="B108" t="str">
            <v>Stephen Zhou</v>
          </cell>
        </row>
        <row r="109">
          <cell r="A109">
            <v>1169</v>
          </cell>
          <cell r="B109" t="str">
            <v>Stephen Zhou</v>
          </cell>
        </row>
        <row r="110">
          <cell r="A110">
            <v>711</v>
          </cell>
          <cell r="B110" t="str">
            <v>Stephen Zhou</v>
          </cell>
        </row>
        <row r="111">
          <cell r="A111">
            <v>108</v>
          </cell>
          <cell r="B111" t="str">
            <v>Stephen Zhou</v>
          </cell>
        </row>
        <row r="112">
          <cell r="A112">
            <v>630</v>
          </cell>
          <cell r="B112" t="str">
            <v>Stephen Zhou</v>
          </cell>
        </row>
        <row r="113">
          <cell r="A113">
            <v>938</v>
          </cell>
          <cell r="B113" t="str">
            <v>Stephen Zhou</v>
          </cell>
        </row>
        <row r="114">
          <cell r="A114">
            <v>1806</v>
          </cell>
          <cell r="B114" t="str">
            <v>Stephen Zhou</v>
          </cell>
        </row>
        <row r="115">
          <cell r="A115">
            <v>173</v>
          </cell>
          <cell r="B115" t="str">
            <v>Tamon Go</v>
          </cell>
        </row>
        <row r="116">
          <cell r="A116">
            <v>409</v>
          </cell>
          <cell r="B116" t="str">
            <v>Tamon Go</v>
          </cell>
        </row>
        <row r="117">
          <cell r="A117">
            <v>467</v>
          </cell>
          <cell r="B117" t="str">
            <v>Tamon Go</v>
          </cell>
        </row>
        <row r="118">
          <cell r="A118">
            <v>175</v>
          </cell>
          <cell r="B118" t="str">
            <v>Tamon Go</v>
          </cell>
        </row>
        <row r="119">
          <cell r="A119">
            <v>181</v>
          </cell>
          <cell r="B119" t="str">
            <v>Tamon Go</v>
          </cell>
        </row>
        <row r="120">
          <cell r="A120">
            <v>1227</v>
          </cell>
          <cell r="B120" t="str">
            <v>Tamon Go</v>
          </cell>
        </row>
        <row r="121">
          <cell r="A121">
            <v>695</v>
          </cell>
          <cell r="B121" t="str">
            <v>Tamon Go</v>
          </cell>
        </row>
        <row r="122">
          <cell r="A122">
            <v>1311</v>
          </cell>
          <cell r="B122" t="str">
            <v>Tamon Go</v>
          </cell>
        </row>
        <row r="123">
          <cell r="A123">
            <v>300</v>
          </cell>
          <cell r="B123" t="str">
            <v>Tamon Go</v>
          </cell>
        </row>
        <row r="124">
          <cell r="A124">
            <v>209</v>
          </cell>
          <cell r="B124" t="str">
            <v>Tamon Go</v>
          </cell>
        </row>
        <row r="125">
          <cell r="A125">
            <v>1228</v>
          </cell>
          <cell r="B125" t="str">
            <v>Tamon Go</v>
          </cell>
        </row>
        <row r="126">
          <cell r="A126">
            <v>217</v>
          </cell>
          <cell r="B126" t="str">
            <v>Tamon Go</v>
          </cell>
        </row>
        <row r="127">
          <cell r="A127">
            <v>207</v>
          </cell>
          <cell r="B127" t="str">
            <v>Yanira Yeh</v>
          </cell>
        </row>
        <row r="128">
          <cell r="A128">
            <v>647</v>
          </cell>
          <cell r="B128" t="str">
            <v>Yanira Yeh</v>
          </cell>
        </row>
        <row r="129">
          <cell r="A129">
            <v>174</v>
          </cell>
          <cell r="B129" t="str">
            <v>Yanira Yeh</v>
          </cell>
        </row>
        <row r="130">
          <cell r="A130">
            <v>321</v>
          </cell>
          <cell r="B130" t="str">
            <v>Yanira Yeh</v>
          </cell>
        </row>
        <row r="131">
          <cell r="A131">
            <v>1563</v>
          </cell>
          <cell r="B131" t="str">
            <v>Yanira Yeh</v>
          </cell>
        </row>
        <row r="132">
          <cell r="A132">
            <v>801</v>
          </cell>
          <cell r="B132" t="str">
            <v>Yanira Yeh</v>
          </cell>
        </row>
        <row r="133">
          <cell r="A133">
            <v>848</v>
          </cell>
          <cell r="B133" t="str">
            <v>Yanira Yeh</v>
          </cell>
        </row>
        <row r="134">
          <cell r="A134">
            <v>213</v>
          </cell>
          <cell r="B134" t="str">
            <v>Yanira Yeh</v>
          </cell>
        </row>
        <row r="135">
          <cell r="A135">
            <v>1160</v>
          </cell>
          <cell r="B135" t="str">
            <v>Yanira Yeh</v>
          </cell>
        </row>
        <row r="136">
          <cell r="A136">
            <v>1186</v>
          </cell>
          <cell r="B136" t="str">
            <v>Yanira Yeh</v>
          </cell>
        </row>
        <row r="137">
          <cell r="A137">
            <v>1379</v>
          </cell>
          <cell r="B137" t="str">
            <v>Yanira Yeh</v>
          </cell>
        </row>
        <row r="138">
          <cell r="A138">
            <v>870</v>
          </cell>
          <cell r="B138" t="str">
            <v>Zahra Ward</v>
          </cell>
        </row>
      </sheetData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d not submit"/>
      <sheetName val="Backup of Admin."/>
      <sheetName val="unit code"/>
      <sheetName val="CCD FUNCT. "/>
      <sheetName val="Sheet1"/>
      <sheetName val="SAL. bud. unit code (3)"/>
      <sheetName val="ALL by bud. unit code (2)"/>
      <sheetName val="ALL by bud. unit code"/>
      <sheetName val="ALL by funct. unit code"/>
      <sheetName val="TotalSummary"/>
      <sheetName val="AdminSum.incl.lap"/>
      <sheetName val="Admin Services Bureau"/>
      <sheetName val="Contracts Development"/>
      <sheetName val="CIOB"/>
      <sheetName val="Financial Services Bureau"/>
      <sheetName val="Human Resources Bureau"/>
      <sheetName val="Revenue Management "/>
      <sheetName val="Office of MedicalDirector"/>
      <sheetName val="Office of ProgramSupport"/>
      <sheetName val="PG"/>
      <sheetName val="SA 1 &amp; 3"/>
      <sheetName val="SA2&amp;5"/>
      <sheetName val="SA 6&amp;8"/>
      <sheetName val="EOB"/>
      <sheetName val="TRANSFER_LAP r"/>
      <sheetName val="10-25-05 Oracle Update DMH  "/>
      <sheetName val="did_not_submit"/>
      <sheetName val="Backup_of_Admin_"/>
      <sheetName val="unit_code"/>
      <sheetName val="CCD_FUNCT__"/>
      <sheetName val="SAL__bud__unit_code_(3)"/>
      <sheetName val="ALL_by_bud__unit_code_(2)"/>
      <sheetName val="ALL_by_bud__unit_code"/>
      <sheetName val="ALL_by_funct__unit_code"/>
      <sheetName val="AdminSum_incl_lap"/>
      <sheetName val="Admin_Services_Bureau"/>
      <sheetName val="Contracts_Development"/>
      <sheetName val="Financial_Services_Bureau"/>
      <sheetName val="Human_Resources_Bureau"/>
      <sheetName val="Revenue_Management_"/>
      <sheetName val="Office_of_MedicalDirector"/>
      <sheetName val="Office_of_ProgramSupport"/>
      <sheetName val="SA_1_&amp;_3"/>
      <sheetName val="SA_6&amp;8"/>
      <sheetName val="TRANSFER_LAP_r"/>
      <sheetName val="10-25-05_Oracle_Update_DMH__"/>
    </sheetNames>
    <sheetDataSet>
      <sheetData sheetId="0"/>
      <sheetData sheetId="1"/>
      <sheetData sheetId="2"/>
      <sheetData sheetId="3">
        <row r="6">
          <cell r="A6">
            <v>100265</v>
          </cell>
          <cell r="B6">
            <v>20525</v>
          </cell>
          <cell r="C6">
            <v>20525</v>
          </cell>
          <cell r="D6" t="str">
            <v>DO</v>
          </cell>
          <cell r="E6" t="str">
            <v>B</v>
          </cell>
          <cell r="F6" t="str">
            <v xml:space="preserve">DIRECTOR OF MENTAL HEALTH          </v>
          </cell>
          <cell r="G6" t="str">
            <v>4701L</v>
          </cell>
          <cell r="H6">
            <v>14351.75</v>
          </cell>
          <cell r="I6">
            <v>1</v>
          </cell>
          <cell r="J6">
            <v>12</v>
          </cell>
          <cell r="K6">
            <v>1</v>
          </cell>
          <cell r="L6">
            <v>172221</v>
          </cell>
        </row>
        <row r="7">
          <cell r="A7">
            <v>100270</v>
          </cell>
          <cell r="B7">
            <v>20525</v>
          </cell>
          <cell r="C7">
            <v>20525</v>
          </cell>
          <cell r="D7" t="str">
            <v>DO</v>
          </cell>
          <cell r="E7" t="str">
            <v>B</v>
          </cell>
          <cell r="F7" t="str">
            <v xml:space="preserve">EXECUTIVE SECRETARY III            </v>
          </cell>
          <cell r="G7" t="str">
            <v>2122A</v>
          </cell>
          <cell r="H7">
            <v>5685.36</v>
          </cell>
          <cell r="I7">
            <v>1</v>
          </cell>
          <cell r="J7">
            <v>12</v>
          </cell>
          <cell r="K7">
            <v>1</v>
          </cell>
          <cell r="L7">
            <v>68224.160000000003</v>
          </cell>
        </row>
        <row r="8">
          <cell r="A8">
            <v>100540</v>
          </cell>
          <cell r="B8">
            <v>20528</v>
          </cell>
          <cell r="C8">
            <v>20525</v>
          </cell>
          <cell r="D8" t="str">
            <v>DO</v>
          </cell>
          <cell r="E8" t="str">
            <v>B</v>
          </cell>
          <cell r="F8" t="str">
            <v xml:space="preserve">MENTAL HEALTH ANALYST III          </v>
          </cell>
          <cell r="G8" t="str">
            <v>4731A</v>
          </cell>
          <cell r="H8">
            <v>7329.55</v>
          </cell>
          <cell r="I8">
            <v>1</v>
          </cell>
          <cell r="J8">
            <v>12</v>
          </cell>
          <cell r="K8">
            <v>1</v>
          </cell>
          <cell r="L8">
            <v>87954.76</v>
          </cell>
        </row>
        <row r="9">
          <cell r="A9">
            <v>104371</v>
          </cell>
          <cell r="B9">
            <v>20525</v>
          </cell>
          <cell r="C9">
            <v>20525</v>
          </cell>
          <cell r="D9" t="str">
            <v>DO</v>
          </cell>
          <cell r="E9" t="str">
            <v>B</v>
          </cell>
          <cell r="F9" t="str">
            <v xml:space="preserve">MENTAL HEALTH ANALYST III          </v>
          </cell>
          <cell r="G9" t="str">
            <v>4731A</v>
          </cell>
          <cell r="H9">
            <v>7329.55</v>
          </cell>
          <cell r="I9">
            <v>1</v>
          </cell>
          <cell r="J9">
            <v>12</v>
          </cell>
          <cell r="K9">
            <v>1</v>
          </cell>
          <cell r="L9">
            <v>87954.76</v>
          </cell>
        </row>
        <row r="10">
          <cell r="A10">
            <v>102020</v>
          </cell>
          <cell r="B10">
            <v>20652</v>
          </cell>
          <cell r="C10">
            <v>20525</v>
          </cell>
          <cell r="D10" t="str">
            <v>DO</v>
          </cell>
          <cell r="E10" t="str">
            <v>B</v>
          </cell>
          <cell r="F10" t="str">
            <v xml:space="preserve">SENIOR TYPIST-CLERK                </v>
          </cell>
          <cell r="G10" t="str">
            <v>2216A</v>
          </cell>
          <cell r="H10">
            <v>3013.55</v>
          </cell>
          <cell r="I10">
            <v>1</v>
          </cell>
          <cell r="J10">
            <v>12</v>
          </cell>
          <cell r="K10">
            <v>1</v>
          </cell>
          <cell r="L10">
            <v>36162.6</v>
          </cell>
        </row>
        <row r="11">
          <cell r="A11">
            <v>103222</v>
          </cell>
          <cell r="B11">
            <v>21572</v>
          </cell>
          <cell r="C11">
            <v>20525</v>
          </cell>
          <cell r="D11" t="str">
            <v>DO</v>
          </cell>
          <cell r="E11" t="str">
            <v>B</v>
          </cell>
          <cell r="F11" t="str">
            <v xml:space="preserve">STUDENT PROFESSIONAL WORKER        </v>
          </cell>
          <cell r="G11" t="str">
            <v>8243F</v>
          </cell>
          <cell r="H11">
            <v>10.3</v>
          </cell>
          <cell r="I11">
            <v>1</v>
          </cell>
          <cell r="J11">
            <v>513</v>
          </cell>
          <cell r="K11">
            <v>0</v>
          </cell>
          <cell r="L11">
            <v>5284.25</v>
          </cell>
        </row>
        <row r="12">
          <cell r="A12">
            <v>104373</v>
          </cell>
          <cell r="B12">
            <v>20531</v>
          </cell>
          <cell r="C12">
            <v>20531</v>
          </cell>
          <cell r="D12" t="str">
            <v>DO</v>
          </cell>
          <cell r="E12" t="str">
            <v>B</v>
          </cell>
          <cell r="F12" t="str">
            <v xml:space="preserve">INTERMEDIATE CLERK                 </v>
          </cell>
          <cell r="G12" t="str">
            <v>1138A</v>
          </cell>
          <cell r="H12">
            <v>2611.09</v>
          </cell>
          <cell r="I12">
            <v>1</v>
          </cell>
          <cell r="J12">
            <v>12</v>
          </cell>
          <cell r="K12">
            <v>1</v>
          </cell>
          <cell r="L12">
            <v>31333</v>
          </cell>
        </row>
        <row r="13">
          <cell r="A13">
            <v>104869</v>
          </cell>
          <cell r="B13">
            <v>20531</v>
          </cell>
          <cell r="C13">
            <v>20531</v>
          </cell>
          <cell r="D13" t="str">
            <v>DO</v>
          </cell>
          <cell r="E13" t="str">
            <v>B</v>
          </cell>
          <cell r="F13" t="str">
            <v>INTERMEDIATE TYPIST-CLERK</v>
          </cell>
          <cell r="G13" t="str">
            <v>2214A</v>
          </cell>
          <cell r="H13">
            <v>2675.27</v>
          </cell>
          <cell r="I13">
            <v>1</v>
          </cell>
          <cell r="J13">
            <v>12</v>
          </cell>
          <cell r="K13">
            <v>1</v>
          </cell>
          <cell r="L13">
            <v>32103.16</v>
          </cell>
        </row>
        <row r="14">
          <cell r="A14">
            <v>102788</v>
          </cell>
          <cell r="B14">
            <v>20560</v>
          </cell>
          <cell r="C14">
            <v>20531</v>
          </cell>
          <cell r="D14" t="str">
            <v>DO</v>
          </cell>
          <cell r="E14" t="str">
            <v>B</v>
          </cell>
          <cell r="F14" t="str">
            <v xml:space="preserve">MENTAL HEALTH ANALYST I            </v>
          </cell>
          <cell r="G14" t="str">
            <v>4727A</v>
          </cell>
          <cell r="H14">
            <v>5602.09</v>
          </cell>
          <cell r="I14">
            <v>1</v>
          </cell>
          <cell r="J14">
            <v>12</v>
          </cell>
          <cell r="K14">
            <v>1</v>
          </cell>
          <cell r="L14">
            <v>67225.16</v>
          </cell>
        </row>
        <row r="15">
          <cell r="A15">
            <v>104505</v>
          </cell>
          <cell r="B15">
            <v>20531</v>
          </cell>
          <cell r="C15">
            <v>20531</v>
          </cell>
          <cell r="D15" t="str">
            <v>DO</v>
          </cell>
          <cell r="E15" t="str">
            <v>B</v>
          </cell>
          <cell r="F15" t="str">
            <v xml:space="preserve">MENTAL HEALTH ANALYST I            </v>
          </cell>
          <cell r="G15" t="str">
            <v>4727A</v>
          </cell>
          <cell r="H15">
            <v>5602.09</v>
          </cell>
          <cell r="I15">
            <v>1</v>
          </cell>
          <cell r="J15">
            <v>12</v>
          </cell>
          <cell r="K15">
            <v>1</v>
          </cell>
          <cell r="L15">
            <v>67225.16</v>
          </cell>
        </row>
        <row r="16">
          <cell r="A16">
            <v>103110</v>
          </cell>
          <cell r="B16">
            <v>20531</v>
          </cell>
          <cell r="C16">
            <v>20531</v>
          </cell>
          <cell r="D16" t="str">
            <v>DO</v>
          </cell>
          <cell r="E16" t="str">
            <v>B</v>
          </cell>
          <cell r="F16" t="str">
            <v xml:space="preserve">MENTAL HEALTH ANALYST II           </v>
          </cell>
          <cell r="G16" t="str">
            <v>4729A</v>
          </cell>
          <cell r="H16">
            <v>6244.55</v>
          </cell>
          <cell r="I16">
            <v>1</v>
          </cell>
          <cell r="J16">
            <v>12</v>
          </cell>
          <cell r="K16">
            <v>1</v>
          </cell>
          <cell r="L16">
            <v>74934.36</v>
          </cell>
        </row>
        <row r="17">
          <cell r="A17">
            <v>104502</v>
          </cell>
          <cell r="B17">
            <v>20531</v>
          </cell>
          <cell r="C17">
            <v>20531</v>
          </cell>
          <cell r="D17" t="str">
            <v>DO</v>
          </cell>
          <cell r="E17" t="str">
            <v>B</v>
          </cell>
          <cell r="F17" t="str">
            <v>MENTAL HEALTH COUNSELOR, RN</v>
          </cell>
          <cell r="G17" t="str">
            <v>5278A</v>
          </cell>
          <cell r="H17">
            <v>6275.27</v>
          </cell>
          <cell r="I17">
            <v>1</v>
          </cell>
          <cell r="J17">
            <v>12</v>
          </cell>
          <cell r="K17">
            <v>1</v>
          </cell>
          <cell r="L17">
            <v>76804.323333333334</v>
          </cell>
        </row>
        <row r="18">
          <cell r="A18">
            <v>104503</v>
          </cell>
          <cell r="B18">
            <v>20531</v>
          </cell>
          <cell r="C18">
            <v>20531</v>
          </cell>
          <cell r="D18" t="str">
            <v>DO</v>
          </cell>
          <cell r="E18" t="str">
            <v>B</v>
          </cell>
          <cell r="F18" t="str">
            <v>MENTAL HEALTH COUNSELOR, RN</v>
          </cell>
          <cell r="G18" t="str">
            <v>5278A</v>
          </cell>
          <cell r="H18">
            <v>6275.27</v>
          </cell>
          <cell r="I18">
            <v>1</v>
          </cell>
          <cell r="J18">
            <v>12</v>
          </cell>
          <cell r="K18">
            <v>1</v>
          </cell>
          <cell r="L18">
            <v>76804.323333333334</v>
          </cell>
        </row>
        <row r="19">
          <cell r="A19">
            <v>100842</v>
          </cell>
          <cell r="B19">
            <v>20531</v>
          </cell>
          <cell r="C19">
            <v>20531</v>
          </cell>
          <cell r="D19" t="str">
            <v>DO</v>
          </cell>
          <cell r="E19" t="str">
            <v>B</v>
          </cell>
          <cell r="F19" t="str">
            <v>MENTAL HEALTH SERVICES COORD I</v>
          </cell>
          <cell r="G19" t="str">
            <v>8148A</v>
          </cell>
          <cell r="H19">
            <v>5126.91</v>
          </cell>
          <cell r="I19">
            <v>1</v>
          </cell>
          <cell r="J19">
            <v>12</v>
          </cell>
          <cell r="K19">
            <v>1</v>
          </cell>
          <cell r="L19">
            <v>61522.92</v>
          </cell>
        </row>
        <row r="20">
          <cell r="A20">
            <v>100846</v>
          </cell>
          <cell r="B20">
            <v>20531</v>
          </cell>
          <cell r="C20">
            <v>20531</v>
          </cell>
          <cell r="D20" t="str">
            <v>DO</v>
          </cell>
          <cell r="E20" t="str">
            <v>B</v>
          </cell>
          <cell r="F20" t="str">
            <v>MENTAL HEALTH SERVICES COORD I</v>
          </cell>
          <cell r="G20" t="str">
            <v>8148A</v>
          </cell>
          <cell r="H20">
            <v>5126.91</v>
          </cell>
          <cell r="I20">
            <v>1</v>
          </cell>
          <cell r="J20">
            <v>12</v>
          </cell>
          <cell r="K20">
            <v>1</v>
          </cell>
          <cell r="L20">
            <v>61522.92</v>
          </cell>
        </row>
        <row r="21">
          <cell r="A21">
            <v>100847</v>
          </cell>
          <cell r="B21">
            <v>20531</v>
          </cell>
          <cell r="C21">
            <v>20531</v>
          </cell>
          <cell r="D21" t="str">
            <v>DO</v>
          </cell>
          <cell r="E21" t="str">
            <v>B</v>
          </cell>
          <cell r="F21" t="str">
            <v>MENTAL HEALTH SERVICES COORD I</v>
          </cell>
          <cell r="G21" t="str">
            <v>8148A</v>
          </cell>
          <cell r="H21">
            <v>5126.91</v>
          </cell>
          <cell r="I21">
            <v>1</v>
          </cell>
          <cell r="J21">
            <v>12</v>
          </cell>
          <cell r="K21">
            <v>1</v>
          </cell>
          <cell r="L21">
            <v>61522.92</v>
          </cell>
        </row>
        <row r="22">
          <cell r="A22">
            <v>100848</v>
          </cell>
          <cell r="B22">
            <v>20531</v>
          </cell>
          <cell r="C22">
            <v>20531</v>
          </cell>
          <cell r="D22" t="str">
            <v>DO</v>
          </cell>
          <cell r="E22" t="str">
            <v>B</v>
          </cell>
          <cell r="F22" t="str">
            <v>MENTAL HEALTH SERVICES COORD I</v>
          </cell>
          <cell r="G22" t="str">
            <v>8148A</v>
          </cell>
          <cell r="H22">
            <v>5126.91</v>
          </cell>
          <cell r="I22">
            <v>1</v>
          </cell>
          <cell r="J22">
            <v>12</v>
          </cell>
          <cell r="K22">
            <v>1</v>
          </cell>
          <cell r="L22">
            <v>61522.92</v>
          </cell>
        </row>
        <row r="23">
          <cell r="A23">
            <v>100849</v>
          </cell>
          <cell r="B23">
            <v>20531</v>
          </cell>
          <cell r="C23">
            <v>20531</v>
          </cell>
          <cell r="D23" t="str">
            <v>DO</v>
          </cell>
          <cell r="E23" t="str">
            <v>B</v>
          </cell>
          <cell r="F23" t="str">
            <v>MENTAL HEALTH SERVICES COORD I</v>
          </cell>
          <cell r="G23" t="str">
            <v>8148A</v>
          </cell>
          <cell r="H23">
            <v>5126.91</v>
          </cell>
          <cell r="I23">
            <v>1</v>
          </cell>
          <cell r="J23">
            <v>12</v>
          </cell>
          <cell r="K23">
            <v>1</v>
          </cell>
          <cell r="L23">
            <v>61522.92</v>
          </cell>
        </row>
        <row r="24">
          <cell r="A24">
            <v>100854</v>
          </cell>
          <cell r="B24">
            <v>20531</v>
          </cell>
          <cell r="C24">
            <v>20531</v>
          </cell>
          <cell r="D24" t="str">
            <v>DO</v>
          </cell>
          <cell r="E24" t="str">
            <v>B</v>
          </cell>
          <cell r="F24" t="str">
            <v>MENTAL HEALTH SERVICES COORD I</v>
          </cell>
          <cell r="G24" t="str">
            <v>8148A</v>
          </cell>
          <cell r="H24">
            <v>5126.91</v>
          </cell>
          <cell r="I24">
            <v>1</v>
          </cell>
          <cell r="J24">
            <v>12</v>
          </cell>
          <cell r="K24">
            <v>1</v>
          </cell>
          <cell r="L24">
            <v>61522.92</v>
          </cell>
        </row>
        <row r="25">
          <cell r="A25">
            <v>100855</v>
          </cell>
          <cell r="B25">
            <v>20531</v>
          </cell>
          <cell r="C25">
            <v>20531</v>
          </cell>
          <cell r="D25" t="str">
            <v>DO</v>
          </cell>
          <cell r="E25" t="str">
            <v>B</v>
          </cell>
          <cell r="F25" t="str">
            <v>MENTAL HEALTH SERVICES COORD I</v>
          </cell>
          <cell r="G25" t="str">
            <v>8148A</v>
          </cell>
          <cell r="H25">
            <v>5126.91</v>
          </cell>
          <cell r="I25">
            <v>1</v>
          </cell>
          <cell r="J25">
            <v>12</v>
          </cell>
          <cell r="K25">
            <v>1</v>
          </cell>
          <cell r="L25">
            <v>61522.92</v>
          </cell>
        </row>
        <row r="26">
          <cell r="A26">
            <v>100856</v>
          </cell>
          <cell r="B26">
            <v>20531</v>
          </cell>
          <cell r="C26">
            <v>20531</v>
          </cell>
          <cell r="D26" t="str">
            <v>DO</v>
          </cell>
          <cell r="E26" t="str">
            <v>B</v>
          </cell>
          <cell r="F26" t="str">
            <v>MENTAL HEALTH SERVICES COORD I</v>
          </cell>
          <cell r="G26" t="str">
            <v>8148A</v>
          </cell>
          <cell r="H26">
            <v>5126.91</v>
          </cell>
          <cell r="I26">
            <v>1</v>
          </cell>
          <cell r="J26">
            <v>12</v>
          </cell>
          <cell r="K26">
            <v>1</v>
          </cell>
          <cell r="L26">
            <v>61522.92</v>
          </cell>
        </row>
        <row r="27">
          <cell r="A27">
            <v>101988</v>
          </cell>
          <cell r="B27">
            <v>20531</v>
          </cell>
          <cell r="C27">
            <v>20531</v>
          </cell>
          <cell r="D27" t="str">
            <v>DO</v>
          </cell>
          <cell r="E27" t="str">
            <v>B</v>
          </cell>
          <cell r="F27" t="str">
            <v>MENTAL HEALTH SERVICES COORD I</v>
          </cell>
          <cell r="G27" t="str">
            <v>8148A</v>
          </cell>
          <cell r="H27">
            <v>5126.91</v>
          </cell>
          <cell r="I27">
            <v>1</v>
          </cell>
          <cell r="J27">
            <v>12</v>
          </cell>
          <cell r="K27">
            <v>1</v>
          </cell>
          <cell r="L27">
            <v>61522.92</v>
          </cell>
        </row>
        <row r="28">
          <cell r="A28">
            <v>101989</v>
          </cell>
          <cell r="B28">
            <v>20531</v>
          </cell>
          <cell r="C28">
            <v>20531</v>
          </cell>
          <cell r="D28" t="str">
            <v>DO</v>
          </cell>
          <cell r="E28" t="str">
            <v>B</v>
          </cell>
          <cell r="F28" t="str">
            <v>MENTAL HEALTH SERVICES COORD I</v>
          </cell>
          <cell r="G28" t="str">
            <v>8148A</v>
          </cell>
          <cell r="H28">
            <v>5126.91</v>
          </cell>
          <cell r="I28">
            <v>1</v>
          </cell>
          <cell r="J28">
            <v>12</v>
          </cell>
          <cell r="K28">
            <v>1</v>
          </cell>
          <cell r="L28">
            <v>61522.92</v>
          </cell>
        </row>
        <row r="29">
          <cell r="A29">
            <v>101990</v>
          </cell>
          <cell r="B29">
            <v>20531</v>
          </cell>
          <cell r="C29">
            <v>20531</v>
          </cell>
          <cell r="D29" t="str">
            <v>DO</v>
          </cell>
          <cell r="E29" t="str">
            <v>B</v>
          </cell>
          <cell r="F29" t="str">
            <v>MENTAL HEALTH SERVICES COORD I</v>
          </cell>
          <cell r="G29" t="str">
            <v>8148A</v>
          </cell>
          <cell r="H29">
            <v>5126.91</v>
          </cell>
          <cell r="I29">
            <v>1</v>
          </cell>
          <cell r="J29">
            <v>12</v>
          </cell>
          <cell r="K29">
            <v>1</v>
          </cell>
          <cell r="L29">
            <v>61522.92</v>
          </cell>
        </row>
        <row r="30">
          <cell r="A30">
            <v>103486</v>
          </cell>
          <cell r="B30">
            <v>20531</v>
          </cell>
          <cell r="C30">
            <v>20531</v>
          </cell>
          <cell r="D30" t="str">
            <v>DO</v>
          </cell>
          <cell r="E30" t="str">
            <v>B</v>
          </cell>
          <cell r="F30" t="str">
            <v>MENTAL HEALTH SERVICES COORD I</v>
          </cell>
          <cell r="G30" t="str">
            <v>8148A</v>
          </cell>
          <cell r="H30">
            <v>5126.91</v>
          </cell>
          <cell r="I30">
            <v>1</v>
          </cell>
          <cell r="J30">
            <v>12</v>
          </cell>
          <cell r="K30">
            <v>1</v>
          </cell>
          <cell r="L30">
            <v>61522.92</v>
          </cell>
        </row>
        <row r="31">
          <cell r="A31">
            <v>104868</v>
          </cell>
          <cell r="B31">
            <v>20531</v>
          </cell>
          <cell r="C31">
            <v>20531</v>
          </cell>
          <cell r="D31" t="str">
            <v>DO</v>
          </cell>
          <cell r="E31" t="str">
            <v>B</v>
          </cell>
          <cell r="F31" t="str">
            <v>MENTAL HEALTH SERVICES COORD I</v>
          </cell>
          <cell r="G31" t="str">
            <v>8148A</v>
          </cell>
          <cell r="H31">
            <v>5126.91</v>
          </cell>
          <cell r="I31">
            <v>1</v>
          </cell>
          <cell r="J31">
            <v>12</v>
          </cell>
          <cell r="K31">
            <v>1</v>
          </cell>
          <cell r="L31">
            <v>61522.92</v>
          </cell>
        </row>
        <row r="32">
          <cell r="A32">
            <v>104951</v>
          </cell>
          <cell r="B32">
            <v>20531</v>
          </cell>
          <cell r="C32">
            <v>20531</v>
          </cell>
          <cell r="D32" t="str">
            <v>DO</v>
          </cell>
          <cell r="E32" t="str">
            <v>B</v>
          </cell>
          <cell r="F32" t="str">
            <v>MENTAL HEALTH SERVICES COORD I</v>
          </cell>
          <cell r="G32" t="str">
            <v>8148A</v>
          </cell>
          <cell r="H32">
            <v>5126.91</v>
          </cell>
          <cell r="I32">
            <v>1</v>
          </cell>
          <cell r="J32">
            <v>12</v>
          </cell>
          <cell r="K32">
            <v>1</v>
          </cell>
          <cell r="L32">
            <v>61522.92</v>
          </cell>
        </row>
        <row r="33">
          <cell r="A33">
            <v>104953</v>
          </cell>
          <cell r="B33">
            <v>20531</v>
          </cell>
          <cell r="C33">
            <v>20531</v>
          </cell>
          <cell r="D33" t="str">
            <v>DO</v>
          </cell>
          <cell r="E33" t="str">
            <v>B</v>
          </cell>
          <cell r="F33" t="str">
            <v>MENTAL HEALTH SERVICES COORD I</v>
          </cell>
          <cell r="G33" t="str">
            <v>8148A</v>
          </cell>
          <cell r="H33">
            <v>5126.91</v>
          </cell>
          <cell r="I33">
            <v>1</v>
          </cell>
          <cell r="J33">
            <v>12</v>
          </cell>
          <cell r="K33">
            <v>1</v>
          </cell>
          <cell r="L33">
            <v>61522.92</v>
          </cell>
        </row>
        <row r="34">
          <cell r="A34">
            <v>104954</v>
          </cell>
          <cell r="B34">
            <v>20531</v>
          </cell>
          <cell r="C34">
            <v>20531</v>
          </cell>
          <cell r="D34" t="str">
            <v>DO</v>
          </cell>
          <cell r="E34" t="str">
            <v>B</v>
          </cell>
          <cell r="F34" t="str">
            <v>MENTAL HEALTH SERVICES COORD I</v>
          </cell>
          <cell r="G34" t="str">
            <v>8148A</v>
          </cell>
          <cell r="H34">
            <v>5126.91</v>
          </cell>
          <cell r="I34">
            <v>1</v>
          </cell>
          <cell r="J34">
            <v>12</v>
          </cell>
          <cell r="K34">
            <v>1</v>
          </cell>
          <cell r="L34">
            <v>61522.92</v>
          </cell>
        </row>
        <row r="35">
          <cell r="A35">
            <v>104955</v>
          </cell>
          <cell r="B35">
            <v>20531</v>
          </cell>
          <cell r="C35">
            <v>20531</v>
          </cell>
          <cell r="D35" t="str">
            <v>DO</v>
          </cell>
          <cell r="E35" t="str">
            <v>B</v>
          </cell>
          <cell r="F35" t="str">
            <v>MENTAL HEALTH SERVICES COORD I</v>
          </cell>
          <cell r="G35" t="str">
            <v>8148A</v>
          </cell>
          <cell r="H35">
            <v>5126.91</v>
          </cell>
          <cell r="I35">
            <v>1</v>
          </cell>
          <cell r="J35">
            <v>12</v>
          </cell>
          <cell r="K35">
            <v>1</v>
          </cell>
          <cell r="L35">
            <v>61522.92</v>
          </cell>
        </row>
        <row r="36">
          <cell r="A36">
            <v>100875</v>
          </cell>
          <cell r="B36">
            <v>20531</v>
          </cell>
          <cell r="C36">
            <v>20531</v>
          </cell>
          <cell r="D36" t="str">
            <v>DO</v>
          </cell>
          <cell r="E36" t="str">
            <v>B</v>
          </cell>
          <cell r="F36" t="str">
            <v>MENTAL HEALTH SERVICES COORD II</v>
          </cell>
          <cell r="G36" t="str">
            <v>8149A</v>
          </cell>
          <cell r="H36">
            <v>5152.3599999999997</v>
          </cell>
          <cell r="I36">
            <v>1</v>
          </cell>
          <cell r="J36">
            <v>12</v>
          </cell>
          <cell r="K36">
            <v>1</v>
          </cell>
          <cell r="L36">
            <v>61828.72</v>
          </cell>
        </row>
        <row r="37">
          <cell r="A37">
            <v>100876</v>
          </cell>
          <cell r="B37">
            <v>20531</v>
          </cell>
          <cell r="C37">
            <v>20531</v>
          </cell>
          <cell r="D37" t="str">
            <v>DO</v>
          </cell>
          <cell r="E37" t="str">
            <v>B</v>
          </cell>
          <cell r="F37" t="str">
            <v>MENTAL HEALTH SERVICES COORD II</v>
          </cell>
          <cell r="G37" t="str">
            <v>8149A</v>
          </cell>
          <cell r="H37">
            <v>5152.3599999999997</v>
          </cell>
          <cell r="I37">
            <v>1</v>
          </cell>
          <cell r="J37">
            <v>12</v>
          </cell>
          <cell r="K37">
            <v>1</v>
          </cell>
          <cell r="L37">
            <v>61828.72</v>
          </cell>
        </row>
        <row r="38">
          <cell r="A38">
            <v>100877</v>
          </cell>
          <cell r="B38">
            <v>20531</v>
          </cell>
          <cell r="C38">
            <v>20531</v>
          </cell>
          <cell r="D38" t="str">
            <v>DO</v>
          </cell>
          <cell r="E38" t="str">
            <v>B</v>
          </cell>
          <cell r="F38" t="str">
            <v>MENTAL HEALTH SERVICES COORD II</v>
          </cell>
          <cell r="G38" t="str">
            <v>8149A</v>
          </cell>
          <cell r="H38">
            <v>5152.3599999999997</v>
          </cell>
          <cell r="I38">
            <v>1</v>
          </cell>
          <cell r="J38">
            <v>12</v>
          </cell>
          <cell r="K38">
            <v>1</v>
          </cell>
          <cell r="L38">
            <v>61828.72</v>
          </cell>
        </row>
        <row r="39">
          <cell r="A39">
            <v>103018</v>
          </cell>
          <cell r="B39">
            <v>20531</v>
          </cell>
          <cell r="C39">
            <v>20531</v>
          </cell>
          <cell r="D39" t="str">
            <v>DO</v>
          </cell>
          <cell r="E39" t="str">
            <v>B</v>
          </cell>
          <cell r="F39" t="str">
            <v>MENTAL HEALTH SERVICES COORD II</v>
          </cell>
          <cell r="G39" t="str">
            <v>8149A</v>
          </cell>
          <cell r="H39">
            <v>5152.3599999999997</v>
          </cell>
          <cell r="I39">
            <v>1</v>
          </cell>
          <cell r="J39">
            <v>12</v>
          </cell>
          <cell r="K39">
            <v>1</v>
          </cell>
          <cell r="L39">
            <v>61828.72</v>
          </cell>
        </row>
        <row r="40">
          <cell r="A40">
            <v>103019</v>
          </cell>
          <cell r="B40">
            <v>20531</v>
          </cell>
          <cell r="C40">
            <v>20531</v>
          </cell>
          <cell r="D40" t="str">
            <v>DO</v>
          </cell>
          <cell r="E40" t="str">
            <v>B</v>
          </cell>
          <cell r="F40" t="str">
            <v>MENTAL HEALTH SERVICES COORD II</v>
          </cell>
          <cell r="G40" t="str">
            <v>8149A</v>
          </cell>
          <cell r="H40">
            <v>5152.3599999999997</v>
          </cell>
          <cell r="I40">
            <v>1</v>
          </cell>
          <cell r="J40">
            <v>12</v>
          </cell>
          <cell r="K40">
            <v>1</v>
          </cell>
          <cell r="L40">
            <v>61828.72</v>
          </cell>
        </row>
        <row r="41">
          <cell r="A41">
            <v>100935</v>
          </cell>
          <cell r="B41">
            <v>20531</v>
          </cell>
          <cell r="C41">
            <v>20531</v>
          </cell>
          <cell r="D41" t="str">
            <v>DO</v>
          </cell>
          <cell r="E41" t="str">
            <v>B</v>
          </cell>
          <cell r="F41" t="str">
            <v>PROGRAM DIR,PATIENTS RIGHTS &amp; ADVOC</v>
          </cell>
          <cell r="G41" t="str">
            <v>8152A</v>
          </cell>
          <cell r="H41">
            <v>8393.82</v>
          </cell>
          <cell r="I41">
            <v>1</v>
          </cell>
          <cell r="J41">
            <v>12</v>
          </cell>
          <cell r="K41">
            <v>1</v>
          </cell>
          <cell r="L41">
            <v>100726.16</v>
          </cell>
        </row>
        <row r="42">
          <cell r="A42">
            <v>101185</v>
          </cell>
          <cell r="B42">
            <v>18674</v>
          </cell>
          <cell r="C42">
            <v>20531</v>
          </cell>
          <cell r="D42" t="str">
            <v>DO</v>
          </cell>
          <cell r="E42" t="str">
            <v>B</v>
          </cell>
          <cell r="F42" t="str">
            <v>PSYCHIATRIC SOCIAL WORKER II</v>
          </cell>
          <cell r="G42" t="str">
            <v>9035A</v>
          </cell>
          <cell r="H42">
            <v>5425.82</v>
          </cell>
          <cell r="I42">
            <v>1</v>
          </cell>
          <cell r="J42">
            <v>12</v>
          </cell>
          <cell r="K42">
            <v>1</v>
          </cell>
          <cell r="L42">
            <v>65109.84</v>
          </cell>
        </row>
        <row r="43">
          <cell r="A43">
            <v>103848</v>
          </cell>
          <cell r="B43">
            <v>18588</v>
          </cell>
          <cell r="C43">
            <v>20531</v>
          </cell>
          <cell r="D43" t="str">
            <v>DO</v>
          </cell>
          <cell r="E43" t="str">
            <v>B</v>
          </cell>
          <cell r="F43" t="str">
            <v>PSYCHIATRIC SOCIAL WORKER II</v>
          </cell>
          <cell r="G43" t="str">
            <v>9035A</v>
          </cell>
          <cell r="H43">
            <v>5425.82</v>
          </cell>
          <cell r="I43">
            <v>1</v>
          </cell>
          <cell r="J43">
            <v>12</v>
          </cell>
          <cell r="K43">
            <v>1</v>
          </cell>
          <cell r="L43">
            <v>65109.84</v>
          </cell>
        </row>
        <row r="44">
          <cell r="A44">
            <v>104359</v>
          </cell>
          <cell r="B44">
            <v>20492</v>
          </cell>
          <cell r="C44">
            <v>20531</v>
          </cell>
          <cell r="D44" t="str">
            <v>DO</v>
          </cell>
          <cell r="E44" t="str">
            <v>B</v>
          </cell>
          <cell r="F44" t="str">
            <v>PSYCHIATRIC SOCIAL WORKER II</v>
          </cell>
          <cell r="G44" t="str">
            <v>9035A</v>
          </cell>
          <cell r="H44">
            <v>5425.82</v>
          </cell>
          <cell r="I44">
            <v>1</v>
          </cell>
          <cell r="J44">
            <v>12</v>
          </cell>
          <cell r="K44">
            <v>1</v>
          </cell>
          <cell r="L44">
            <v>65109.84</v>
          </cell>
        </row>
        <row r="45">
          <cell r="A45">
            <v>101481</v>
          </cell>
          <cell r="B45">
            <v>20531</v>
          </cell>
          <cell r="C45">
            <v>20531</v>
          </cell>
          <cell r="D45" t="str">
            <v>DO</v>
          </cell>
          <cell r="E45" t="str">
            <v>B</v>
          </cell>
          <cell r="F45" t="str">
            <v xml:space="preserve">SENIOR SECRETARY III               </v>
          </cell>
          <cell r="G45" t="str">
            <v>2102A</v>
          </cell>
          <cell r="H45">
            <v>4106.3599999999997</v>
          </cell>
          <cell r="I45">
            <v>1</v>
          </cell>
          <cell r="J45">
            <v>12</v>
          </cell>
          <cell r="K45">
            <v>1</v>
          </cell>
          <cell r="L45">
            <v>49276.56</v>
          </cell>
        </row>
        <row r="46">
          <cell r="A46">
            <v>106423</v>
          </cell>
          <cell r="B46">
            <v>20531</v>
          </cell>
          <cell r="C46">
            <v>20531</v>
          </cell>
          <cell r="D46" t="str">
            <v>DO</v>
          </cell>
          <cell r="E46" t="str">
            <v>B</v>
          </cell>
          <cell r="F46" t="str">
            <v>SENIOR STATISTICAL CLERK</v>
          </cell>
          <cell r="G46" t="str">
            <v>1353A</v>
          </cell>
          <cell r="H46">
            <v>3110.09</v>
          </cell>
          <cell r="I46">
            <v>1</v>
          </cell>
          <cell r="J46">
            <v>12</v>
          </cell>
          <cell r="K46">
            <v>1</v>
          </cell>
          <cell r="L46">
            <v>37321.4</v>
          </cell>
        </row>
        <row r="47">
          <cell r="A47">
            <v>101535</v>
          </cell>
          <cell r="B47">
            <v>20531</v>
          </cell>
          <cell r="C47">
            <v>20531</v>
          </cell>
          <cell r="D47" t="str">
            <v>DO</v>
          </cell>
          <cell r="E47" t="str">
            <v>B</v>
          </cell>
          <cell r="F47" t="str">
            <v xml:space="preserve">STATISTICAL CLERK                  </v>
          </cell>
          <cell r="G47" t="str">
            <v>1352A</v>
          </cell>
          <cell r="H47">
            <v>2649.27</v>
          </cell>
          <cell r="I47">
            <v>1</v>
          </cell>
          <cell r="J47">
            <v>12</v>
          </cell>
          <cell r="K47">
            <v>1</v>
          </cell>
          <cell r="L47">
            <v>31791.48</v>
          </cell>
        </row>
        <row r="48">
          <cell r="A48">
            <v>104867</v>
          </cell>
          <cell r="B48">
            <v>20531</v>
          </cell>
          <cell r="C48">
            <v>20531</v>
          </cell>
          <cell r="D48" t="str">
            <v>DO</v>
          </cell>
          <cell r="E48" t="str">
            <v>B</v>
          </cell>
          <cell r="F48" t="str">
            <v>TRAINING COORDINATOR, MH</v>
          </cell>
          <cell r="G48" t="str">
            <v>1865A</v>
          </cell>
          <cell r="H48">
            <v>6062.45</v>
          </cell>
          <cell r="I48">
            <v>1</v>
          </cell>
          <cell r="J48">
            <v>12</v>
          </cell>
          <cell r="K48">
            <v>1</v>
          </cell>
          <cell r="L48">
            <v>72749.56</v>
          </cell>
        </row>
        <row r="49">
          <cell r="A49">
            <v>104234</v>
          </cell>
          <cell r="B49">
            <v>18620</v>
          </cell>
          <cell r="C49">
            <v>18715</v>
          </cell>
          <cell r="D49" t="str">
            <v>DO</v>
          </cell>
          <cell r="E49" t="str">
            <v>B</v>
          </cell>
          <cell r="F49" t="str">
            <v>INTERMEDIATE TYPIST-CLERK</v>
          </cell>
          <cell r="G49" t="str">
            <v>2214A</v>
          </cell>
          <cell r="H49">
            <v>2675.27</v>
          </cell>
          <cell r="I49">
            <v>1</v>
          </cell>
          <cell r="J49">
            <v>12</v>
          </cell>
          <cell r="K49">
            <v>1</v>
          </cell>
          <cell r="L49">
            <v>32103.16</v>
          </cell>
        </row>
        <row r="50">
          <cell r="A50">
            <v>105029</v>
          </cell>
          <cell r="B50">
            <v>18715</v>
          </cell>
          <cell r="C50">
            <v>18715</v>
          </cell>
          <cell r="D50" t="str">
            <v>DO</v>
          </cell>
          <cell r="E50" t="str">
            <v>B</v>
          </cell>
          <cell r="F50" t="str">
            <v>INTERMEDIATE TYPIST-CLERK</v>
          </cell>
          <cell r="G50" t="str">
            <v>2214A</v>
          </cell>
          <cell r="H50">
            <v>2675.27</v>
          </cell>
          <cell r="I50">
            <v>1</v>
          </cell>
          <cell r="J50">
            <v>12</v>
          </cell>
          <cell r="K50">
            <v>1</v>
          </cell>
          <cell r="L50">
            <v>32103.16</v>
          </cell>
        </row>
        <row r="51">
          <cell r="A51">
            <v>106067</v>
          </cell>
          <cell r="B51">
            <v>18715</v>
          </cell>
          <cell r="C51">
            <v>18715</v>
          </cell>
          <cell r="D51" t="str">
            <v>DO</v>
          </cell>
          <cell r="E51" t="str">
            <v>B</v>
          </cell>
          <cell r="F51" t="str">
            <v xml:space="preserve">MENTAL HEALTH ANALYST III          </v>
          </cell>
          <cell r="G51" t="str">
            <v>4731A</v>
          </cell>
          <cell r="H51">
            <v>7329.55</v>
          </cell>
          <cell r="I51">
            <v>1</v>
          </cell>
          <cell r="J51">
            <v>12</v>
          </cell>
          <cell r="K51">
            <v>1</v>
          </cell>
          <cell r="L51">
            <v>87954.76</v>
          </cell>
        </row>
        <row r="52">
          <cell r="A52">
            <v>100834</v>
          </cell>
          <cell r="B52">
            <v>20590</v>
          </cell>
          <cell r="C52">
            <v>18715</v>
          </cell>
          <cell r="D52" t="str">
            <v>DO</v>
          </cell>
          <cell r="E52" t="str">
            <v>B</v>
          </cell>
          <cell r="F52" t="str">
            <v>MENTAL HEALTH SERVICES COORD I</v>
          </cell>
          <cell r="G52" t="str">
            <v>8148A</v>
          </cell>
          <cell r="H52">
            <v>5126.91</v>
          </cell>
          <cell r="I52">
            <v>1</v>
          </cell>
          <cell r="J52">
            <v>12</v>
          </cell>
          <cell r="K52">
            <v>1</v>
          </cell>
          <cell r="L52">
            <v>61522.92</v>
          </cell>
        </row>
        <row r="53">
          <cell r="A53">
            <v>104370</v>
          </cell>
          <cell r="B53">
            <v>20558</v>
          </cell>
          <cell r="C53">
            <v>20558</v>
          </cell>
          <cell r="D53" t="str">
            <v>CD</v>
          </cell>
          <cell r="E53" t="str">
            <v>B</v>
          </cell>
          <cell r="F53" t="str">
            <v>LEGIS &amp; PUBLIC INFORMATION OFFICER</v>
          </cell>
          <cell r="G53" t="str">
            <v>1013A</v>
          </cell>
          <cell r="H53">
            <v>6690.27</v>
          </cell>
          <cell r="I53">
            <v>1</v>
          </cell>
          <cell r="J53">
            <v>12</v>
          </cell>
          <cell r="K53">
            <v>1</v>
          </cell>
          <cell r="L53">
            <v>80283.64</v>
          </cell>
        </row>
        <row r="54">
          <cell r="A54">
            <v>101701</v>
          </cell>
          <cell r="B54">
            <v>20502</v>
          </cell>
          <cell r="C54">
            <v>20502</v>
          </cell>
          <cell r="D54" t="str">
            <v>CD</v>
          </cell>
          <cell r="E54" t="str">
            <v>B</v>
          </cell>
          <cell r="F54" t="str">
            <v>CHIEF, DEPUTY DIRECTOR, MH (UC)</v>
          </cell>
          <cell r="G54" t="str">
            <v>4708A</v>
          </cell>
          <cell r="H54">
            <v>12212.75</v>
          </cell>
          <cell r="I54">
            <v>1</v>
          </cell>
          <cell r="J54">
            <v>12</v>
          </cell>
          <cell r="K54">
            <v>1</v>
          </cell>
          <cell r="L54">
            <v>146552.95999999999</v>
          </cell>
        </row>
        <row r="55">
          <cell r="A55">
            <v>103460</v>
          </cell>
          <cell r="B55">
            <v>20559</v>
          </cell>
          <cell r="C55">
            <v>20502</v>
          </cell>
          <cell r="D55" t="str">
            <v>CD</v>
          </cell>
          <cell r="E55" t="str">
            <v>B</v>
          </cell>
          <cell r="F55" t="str">
            <v xml:space="preserve">MENTAL HEALTH ANALYST II           </v>
          </cell>
          <cell r="G55" t="str">
            <v>4729A</v>
          </cell>
          <cell r="H55">
            <v>6244.55</v>
          </cell>
          <cell r="I55">
            <v>1</v>
          </cell>
          <cell r="J55">
            <v>12</v>
          </cell>
          <cell r="K55">
            <v>1</v>
          </cell>
          <cell r="L55">
            <v>74934.36</v>
          </cell>
        </row>
        <row r="56">
          <cell r="A56">
            <v>109367</v>
          </cell>
          <cell r="B56">
            <v>27631</v>
          </cell>
          <cell r="C56">
            <v>20502</v>
          </cell>
          <cell r="D56" t="str">
            <v>CD</v>
          </cell>
          <cell r="E56" t="str">
            <v>B</v>
          </cell>
          <cell r="F56" t="str">
            <v xml:space="preserve">MENTAL HEALTH ANALYST III          </v>
          </cell>
          <cell r="G56" t="str">
            <v>4731A</v>
          </cell>
          <cell r="H56">
            <v>7329.55</v>
          </cell>
          <cell r="I56">
            <v>1</v>
          </cell>
          <cell r="J56">
            <v>12</v>
          </cell>
          <cell r="K56">
            <v>1</v>
          </cell>
          <cell r="L56">
            <v>87954.76</v>
          </cell>
        </row>
        <row r="57">
          <cell r="A57">
            <v>101452</v>
          </cell>
          <cell r="B57">
            <v>20502</v>
          </cell>
          <cell r="C57">
            <v>20502</v>
          </cell>
          <cell r="D57" t="str">
            <v>CD</v>
          </cell>
          <cell r="E57" t="str">
            <v>B</v>
          </cell>
          <cell r="F57" t="str">
            <v xml:space="preserve">SENIOR MANAGEMENT SECRETARY III    </v>
          </cell>
          <cell r="G57" t="str">
            <v>2116A</v>
          </cell>
          <cell r="H57">
            <v>5101.45</v>
          </cell>
          <cell r="I57">
            <v>1</v>
          </cell>
          <cell r="J57">
            <v>12</v>
          </cell>
          <cell r="K57">
            <v>1</v>
          </cell>
          <cell r="L57">
            <v>61217.32</v>
          </cell>
        </row>
        <row r="58">
          <cell r="A58">
            <v>104793</v>
          </cell>
          <cell r="B58">
            <v>18620</v>
          </cell>
          <cell r="C58">
            <v>18620</v>
          </cell>
          <cell r="D58" t="str">
            <v>CD</v>
          </cell>
          <cell r="E58" t="str">
            <v>B</v>
          </cell>
          <cell r="F58" t="str">
            <v>COMMUNITY WORKER</v>
          </cell>
          <cell r="G58" t="str">
            <v>8103A</v>
          </cell>
          <cell r="H58">
            <v>2984.09</v>
          </cell>
          <cell r="I58">
            <v>1</v>
          </cell>
          <cell r="J58">
            <v>12</v>
          </cell>
          <cell r="K58">
            <v>1</v>
          </cell>
          <cell r="L58">
            <v>35809.08</v>
          </cell>
        </row>
        <row r="59">
          <cell r="A59">
            <v>103520</v>
          </cell>
          <cell r="B59">
            <v>20492</v>
          </cell>
          <cell r="C59">
            <v>18620</v>
          </cell>
          <cell r="D59" t="str">
            <v>CD</v>
          </cell>
          <cell r="E59" t="str">
            <v>B</v>
          </cell>
          <cell r="F59" t="str">
            <v>MEDICAL CASE WORKER II</v>
          </cell>
          <cell r="G59" t="str">
            <v>9002A</v>
          </cell>
          <cell r="H59">
            <v>3938.82</v>
          </cell>
          <cell r="I59">
            <v>1</v>
          </cell>
          <cell r="J59">
            <v>12</v>
          </cell>
          <cell r="K59">
            <v>1</v>
          </cell>
          <cell r="L59">
            <v>47265.68</v>
          </cell>
        </row>
        <row r="60">
          <cell r="A60">
            <v>103538</v>
          </cell>
          <cell r="B60">
            <v>18620</v>
          </cell>
          <cell r="C60">
            <v>18620</v>
          </cell>
          <cell r="D60" t="str">
            <v>CD</v>
          </cell>
          <cell r="E60" t="str">
            <v>B</v>
          </cell>
          <cell r="F60" t="str">
            <v xml:space="preserve">MENTAL HEALTH ANALYST I            </v>
          </cell>
          <cell r="G60" t="str">
            <v>4727A</v>
          </cell>
          <cell r="H60">
            <v>5602.09</v>
          </cell>
          <cell r="I60">
            <v>1</v>
          </cell>
          <cell r="J60">
            <v>12</v>
          </cell>
          <cell r="K60">
            <v>1</v>
          </cell>
          <cell r="L60">
            <v>67225.16</v>
          </cell>
        </row>
        <row r="61">
          <cell r="A61">
            <v>103539</v>
          </cell>
          <cell r="B61">
            <v>18620</v>
          </cell>
          <cell r="C61">
            <v>18620</v>
          </cell>
          <cell r="D61" t="str">
            <v>CD</v>
          </cell>
          <cell r="E61" t="str">
            <v>B</v>
          </cell>
          <cell r="F61" t="str">
            <v xml:space="preserve">MENTAL HEALTH ANALYST III          </v>
          </cell>
          <cell r="G61" t="str">
            <v>4731A</v>
          </cell>
          <cell r="H61">
            <v>7329.55</v>
          </cell>
          <cell r="I61">
            <v>1</v>
          </cell>
          <cell r="J61">
            <v>12</v>
          </cell>
          <cell r="K61">
            <v>1</v>
          </cell>
          <cell r="L61">
            <v>87954.76</v>
          </cell>
        </row>
        <row r="62">
          <cell r="A62">
            <v>100836</v>
          </cell>
          <cell r="B62">
            <v>18620</v>
          </cell>
          <cell r="C62">
            <v>18620</v>
          </cell>
          <cell r="D62" t="str">
            <v>CD</v>
          </cell>
          <cell r="E62" t="str">
            <v>B</v>
          </cell>
          <cell r="F62" t="str">
            <v>MENTAL HEALTH SERVICES COORD I</v>
          </cell>
          <cell r="G62" t="str">
            <v>8148A</v>
          </cell>
          <cell r="H62">
            <v>5126.91</v>
          </cell>
          <cell r="I62">
            <v>1</v>
          </cell>
          <cell r="J62">
            <v>12</v>
          </cell>
          <cell r="K62">
            <v>1</v>
          </cell>
          <cell r="L62">
            <v>61522.92</v>
          </cell>
        </row>
        <row r="63">
          <cell r="A63">
            <v>103540</v>
          </cell>
          <cell r="B63">
            <v>18620</v>
          </cell>
          <cell r="C63">
            <v>18620</v>
          </cell>
          <cell r="D63" t="str">
            <v>CD</v>
          </cell>
          <cell r="E63" t="str">
            <v>B</v>
          </cell>
          <cell r="F63" t="str">
            <v xml:space="preserve">SECRETARY III                      </v>
          </cell>
          <cell r="G63" t="str">
            <v>2096A</v>
          </cell>
          <cell r="H63">
            <v>3387</v>
          </cell>
          <cell r="I63">
            <v>1</v>
          </cell>
          <cell r="J63">
            <v>12</v>
          </cell>
          <cell r="K63">
            <v>1</v>
          </cell>
          <cell r="L63">
            <v>40643.839999999997</v>
          </cell>
        </row>
        <row r="64">
          <cell r="A64">
            <v>109369</v>
          </cell>
          <cell r="B64">
            <v>27631</v>
          </cell>
          <cell r="C64">
            <v>27631</v>
          </cell>
          <cell r="D64" t="str">
            <v>CD</v>
          </cell>
          <cell r="E64" t="str">
            <v>B</v>
          </cell>
          <cell r="F64" t="str">
            <v xml:space="preserve">ACCOUNTING SYSTEMS TECHNICIAN      </v>
          </cell>
          <cell r="G64" t="str">
            <v>0665A</v>
          </cell>
          <cell r="H64">
            <v>4565.3599999999997</v>
          </cell>
          <cell r="I64">
            <v>1</v>
          </cell>
          <cell r="J64">
            <v>12</v>
          </cell>
          <cell r="K64">
            <v>1</v>
          </cell>
          <cell r="L64">
            <v>54784.160000000003</v>
          </cell>
        </row>
        <row r="65">
          <cell r="A65">
            <v>106424</v>
          </cell>
          <cell r="B65">
            <v>27631</v>
          </cell>
          <cell r="C65">
            <v>27631</v>
          </cell>
          <cell r="D65" t="str">
            <v>CD</v>
          </cell>
          <cell r="E65" t="str">
            <v>B</v>
          </cell>
          <cell r="F65" t="str">
            <v>CHIEF MENTAL HEALTH PROGRAMS EVAL.</v>
          </cell>
          <cell r="G65" t="str">
            <v>4715A</v>
          </cell>
          <cell r="H65">
            <v>9144.92</v>
          </cell>
          <cell r="I65">
            <v>1</v>
          </cell>
          <cell r="J65">
            <v>12</v>
          </cell>
          <cell r="K65">
            <v>1</v>
          </cell>
          <cell r="L65">
            <v>109739.08</v>
          </cell>
        </row>
        <row r="66">
          <cell r="A66">
            <v>109361</v>
          </cell>
          <cell r="B66">
            <v>27631</v>
          </cell>
          <cell r="C66">
            <v>27631</v>
          </cell>
          <cell r="D66" t="str">
            <v>CD</v>
          </cell>
          <cell r="E66" t="str">
            <v>B</v>
          </cell>
          <cell r="F66" t="str">
            <v>MEDICAL RECORDS TECH. II</v>
          </cell>
          <cell r="G66" t="str">
            <v>1401A</v>
          </cell>
          <cell r="H66">
            <v>3202.27</v>
          </cell>
          <cell r="I66">
            <v>1</v>
          </cell>
          <cell r="J66">
            <v>12</v>
          </cell>
          <cell r="K66">
            <v>1</v>
          </cell>
          <cell r="L66">
            <v>38427.24</v>
          </cell>
        </row>
        <row r="67">
          <cell r="A67">
            <v>103111</v>
          </cell>
          <cell r="B67">
            <v>18662</v>
          </cell>
          <cell r="C67">
            <v>27631</v>
          </cell>
          <cell r="D67" t="str">
            <v>CD</v>
          </cell>
          <cell r="E67" t="str">
            <v>B</v>
          </cell>
          <cell r="F67" t="str">
            <v xml:space="preserve">MENTAL HEALTH ANALYST I            </v>
          </cell>
          <cell r="G67" t="str">
            <v>4727A</v>
          </cell>
          <cell r="H67">
            <v>5602.09</v>
          </cell>
          <cell r="I67">
            <v>1</v>
          </cell>
          <cell r="J67">
            <v>12</v>
          </cell>
          <cell r="K67">
            <v>1</v>
          </cell>
          <cell r="L67">
            <v>67225.16</v>
          </cell>
        </row>
        <row r="68">
          <cell r="A68">
            <v>109365</v>
          </cell>
          <cell r="B68">
            <v>27631</v>
          </cell>
          <cell r="C68">
            <v>27631</v>
          </cell>
          <cell r="D68" t="str">
            <v>CD</v>
          </cell>
          <cell r="E68" t="str">
            <v>B</v>
          </cell>
          <cell r="F68" t="str">
            <v>SENIOR ACCTG SYSTEMS TECHNICIAN</v>
          </cell>
          <cell r="G68" t="str">
            <v>0666A</v>
          </cell>
          <cell r="H68">
            <v>5973</v>
          </cell>
          <cell r="I68">
            <v>1</v>
          </cell>
          <cell r="J68">
            <v>12</v>
          </cell>
          <cell r="K68">
            <v>1</v>
          </cell>
          <cell r="L68">
            <v>71676.399999999994</v>
          </cell>
        </row>
        <row r="69">
          <cell r="A69">
            <v>109370</v>
          </cell>
          <cell r="B69">
            <v>27631</v>
          </cell>
          <cell r="C69">
            <v>27631</v>
          </cell>
          <cell r="D69" t="str">
            <v>CD</v>
          </cell>
          <cell r="E69" t="str">
            <v>B</v>
          </cell>
          <cell r="F69" t="str">
            <v>SENIOR MENTAL HEALTH COUNSELOR, RN</v>
          </cell>
          <cell r="G69" t="str">
            <v>5280A</v>
          </cell>
          <cell r="H69">
            <v>6790.09</v>
          </cell>
          <cell r="I69">
            <v>1</v>
          </cell>
          <cell r="J69">
            <v>12</v>
          </cell>
          <cell r="K69">
            <v>1</v>
          </cell>
          <cell r="L69">
            <v>83105.40203389831</v>
          </cell>
        </row>
        <row r="70">
          <cell r="A70">
            <v>100269</v>
          </cell>
          <cell r="B70">
            <v>20526</v>
          </cell>
          <cell r="C70">
            <v>20526</v>
          </cell>
          <cell r="D70" t="str">
            <v>CD</v>
          </cell>
          <cell r="E70" t="str">
            <v>B</v>
          </cell>
          <cell r="F70" t="str">
            <v>EXECUTIVE ASST,MENTAL HEALTH ADV BD</v>
          </cell>
          <cell r="G70" t="str">
            <v>4733A</v>
          </cell>
          <cell r="H70">
            <v>6077.36</v>
          </cell>
          <cell r="I70">
            <v>1</v>
          </cell>
          <cell r="J70">
            <v>12</v>
          </cell>
          <cell r="K70">
            <v>1</v>
          </cell>
          <cell r="L70">
            <v>72928</v>
          </cell>
        </row>
        <row r="71">
          <cell r="A71">
            <v>101400</v>
          </cell>
          <cell r="B71">
            <v>20526</v>
          </cell>
          <cell r="C71">
            <v>20526</v>
          </cell>
          <cell r="D71" t="str">
            <v>CD</v>
          </cell>
          <cell r="E71" t="str">
            <v>B</v>
          </cell>
          <cell r="F71" t="str">
            <v xml:space="preserve">SECRETARY, MENTAL HLTH ADVISORY BD </v>
          </cell>
          <cell r="G71" t="str">
            <v>2157A</v>
          </cell>
          <cell r="H71">
            <v>4964.7299999999996</v>
          </cell>
          <cell r="I71">
            <v>1</v>
          </cell>
          <cell r="J71">
            <v>12</v>
          </cell>
          <cell r="K71">
            <v>1</v>
          </cell>
          <cell r="L71">
            <v>59576.76</v>
          </cell>
        </row>
        <row r="72">
          <cell r="A72">
            <v>100003</v>
          </cell>
          <cell r="B72">
            <v>20566</v>
          </cell>
          <cell r="C72">
            <v>20566</v>
          </cell>
          <cell r="D72" t="str">
            <v>ASB</v>
          </cell>
          <cell r="E72" t="str">
            <v>B</v>
          </cell>
          <cell r="F72" t="str">
            <v xml:space="preserve">ACCOUNT CLERK II                   </v>
          </cell>
          <cell r="G72" t="str">
            <v>0578A</v>
          </cell>
          <cell r="H72">
            <v>2864</v>
          </cell>
          <cell r="I72">
            <v>1</v>
          </cell>
          <cell r="J72">
            <v>12</v>
          </cell>
          <cell r="K72">
            <v>1</v>
          </cell>
          <cell r="L72">
            <v>34368.239999999998</v>
          </cell>
        </row>
        <row r="73">
          <cell r="A73">
            <v>100005</v>
          </cell>
          <cell r="B73">
            <v>20566</v>
          </cell>
          <cell r="C73">
            <v>20566</v>
          </cell>
          <cell r="D73" t="str">
            <v>ASB</v>
          </cell>
          <cell r="E73" t="str">
            <v>B</v>
          </cell>
          <cell r="F73" t="str">
            <v xml:space="preserve">ACCOUNT CLERK II                   </v>
          </cell>
          <cell r="G73" t="str">
            <v>0578A</v>
          </cell>
          <cell r="H73">
            <v>2864</v>
          </cell>
          <cell r="I73">
            <v>1</v>
          </cell>
          <cell r="J73">
            <v>12</v>
          </cell>
          <cell r="K73">
            <v>1</v>
          </cell>
          <cell r="L73">
            <v>34368.239999999998</v>
          </cell>
        </row>
        <row r="74">
          <cell r="A74">
            <v>100008</v>
          </cell>
          <cell r="B74">
            <v>20566</v>
          </cell>
          <cell r="C74">
            <v>20566</v>
          </cell>
          <cell r="D74" t="str">
            <v>ASB</v>
          </cell>
          <cell r="E74" t="str">
            <v>B</v>
          </cell>
          <cell r="F74" t="str">
            <v xml:space="preserve">ACCOUNT CLERK II                   </v>
          </cell>
          <cell r="G74" t="str">
            <v>0578A</v>
          </cell>
          <cell r="H74">
            <v>2864</v>
          </cell>
          <cell r="I74">
            <v>1</v>
          </cell>
          <cell r="J74">
            <v>12</v>
          </cell>
          <cell r="K74">
            <v>1</v>
          </cell>
          <cell r="L74">
            <v>34368.239999999998</v>
          </cell>
        </row>
        <row r="75">
          <cell r="A75">
            <v>100009</v>
          </cell>
          <cell r="B75">
            <v>20566</v>
          </cell>
          <cell r="C75">
            <v>20566</v>
          </cell>
          <cell r="D75" t="str">
            <v>ASB</v>
          </cell>
          <cell r="E75" t="str">
            <v>B</v>
          </cell>
          <cell r="F75" t="str">
            <v xml:space="preserve">ACCOUNT CLERK II                   </v>
          </cell>
          <cell r="G75" t="str">
            <v>0578A</v>
          </cell>
          <cell r="H75">
            <v>2864</v>
          </cell>
          <cell r="I75">
            <v>1</v>
          </cell>
          <cell r="J75">
            <v>12</v>
          </cell>
          <cell r="K75">
            <v>1</v>
          </cell>
          <cell r="L75">
            <v>34368.239999999998</v>
          </cell>
        </row>
        <row r="76">
          <cell r="A76">
            <v>104851</v>
          </cell>
          <cell r="B76">
            <v>20566</v>
          </cell>
          <cell r="C76">
            <v>20566</v>
          </cell>
          <cell r="D76" t="str">
            <v>ASB</v>
          </cell>
          <cell r="E76" t="str">
            <v>B</v>
          </cell>
          <cell r="F76" t="str">
            <v xml:space="preserve">ACCOUNT CLERK II                   </v>
          </cell>
          <cell r="G76" t="str">
            <v>0578A</v>
          </cell>
          <cell r="H76">
            <v>2864</v>
          </cell>
          <cell r="I76">
            <v>1</v>
          </cell>
          <cell r="J76">
            <v>12</v>
          </cell>
          <cell r="K76">
            <v>1</v>
          </cell>
          <cell r="L76">
            <v>34368.239999999998</v>
          </cell>
        </row>
        <row r="77">
          <cell r="A77">
            <v>100015</v>
          </cell>
          <cell r="B77">
            <v>20566</v>
          </cell>
          <cell r="C77">
            <v>20566</v>
          </cell>
          <cell r="D77" t="str">
            <v>ASB</v>
          </cell>
          <cell r="E77" t="str">
            <v>B</v>
          </cell>
          <cell r="F77" t="str">
            <v xml:space="preserve">ACCOUNTANT II                      </v>
          </cell>
          <cell r="G77" t="str">
            <v>0647A</v>
          </cell>
          <cell r="H77">
            <v>4046.36</v>
          </cell>
          <cell r="I77">
            <v>1</v>
          </cell>
          <cell r="J77">
            <v>12</v>
          </cell>
          <cell r="K77">
            <v>1</v>
          </cell>
          <cell r="L77">
            <v>48556</v>
          </cell>
        </row>
        <row r="78">
          <cell r="A78">
            <v>100016</v>
          </cell>
          <cell r="B78">
            <v>20566</v>
          </cell>
          <cell r="C78">
            <v>20566</v>
          </cell>
          <cell r="D78" t="str">
            <v>ASB</v>
          </cell>
          <cell r="E78" t="str">
            <v>B</v>
          </cell>
          <cell r="F78" t="str">
            <v xml:space="preserve">ACCOUNTANT II                      </v>
          </cell>
          <cell r="G78" t="str">
            <v>0647A</v>
          </cell>
          <cell r="H78">
            <v>4046.36</v>
          </cell>
          <cell r="I78">
            <v>1</v>
          </cell>
          <cell r="J78">
            <v>12</v>
          </cell>
          <cell r="K78">
            <v>1</v>
          </cell>
          <cell r="L78">
            <v>48556</v>
          </cell>
        </row>
        <row r="79">
          <cell r="A79">
            <v>100017</v>
          </cell>
          <cell r="B79">
            <v>20566</v>
          </cell>
          <cell r="C79">
            <v>20566</v>
          </cell>
          <cell r="D79" t="str">
            <v>ASB</v>
          </cell>
          <cell r="E79" t="str">
            <v>B</v>
          </cell>
          <cell r="F79" t="str">
            <v xml:space="preserve">ACCOUNTANT II                      </v>
          </cell>
          <cell r="G79" t="str">
            <v>0647A</v>
          </cell>
          <cell r="H79">
            <v>4046.36</v>
          </cell>
          <cell r="I79">
            <v>1</v>
          </cell>
          <cell r="J79">
            <v>12</v>
          </cell>
          <cell r="K79">
            <v>1</v>
          </cell>
          <cell r="L79">
            <v>48556</v>
          </cell>
        </row>
        <row r="80">
          <cell r="A80">
            <v>101776</v>
          </cell>
          <cell r="B80">
            <v>20566</v>
          </cell>
          <cell r="C80">
            <v>20566</v>
          </cell>
          <cell r="D80" t="str">
            <v>ASB</v>
          </cell>
          <cell r="E80" t="str">
            <v>B</v>
          </cell>
          <cell r="F80" t="str">
            <v xml:space="preserve">ACCOUNTANT II                      </v>
          </cell>
          <cell r="G80" t="str">
            <v>0647A</v>
          </cell>
          <cell r="H80">
            <v>4046.36</v>
          </cell>
          <cell r="I80">
            <v>1</v>
          </cell>
          <cell r="J80">
            <v>12</v>
          </cell>
          <cell r="K80">
            <v>1</v>
          </cell>
          <cell r="L80">
            <v>48556</v>
          </cell>
        </row>
        <row r="81">
          <cell r="A81">
            <v>102586</v>
          </cell>
          <cell r="B81">
            <v>20566</v>
          </cell>
          <cell r="C81">
            <v>20566</v>
          </cell>
          <cell r="D81" t="str">
            <v>ASB</v>
          </cell>
          <cell r="E81" t="str">
            <v>B</v>
          </cell>
          <cell r="F81" t="str">
            <v xml:space="preserve">ACCOUNTANT II                      </v>
          </cell>
          <cell r="G81" t="str">
            <v>0647A</v>
          </cell>
          <cell r="H81">
            <v>4046.36</v>
          </cell>
          <cell r="I81">
            <v>1</v>
          </cell>
          <cell r="J81">
            <v>12</v>
          </cell>
          <cell r="K81">
            <v>1</v>
          </cell>
          <cell r="L81">
            <v>48556</v>
          </cell>
        </row>
        <row r="82">
          <cell r="A82">
            <v>104093</v>
          </cell>
          <cell r="B82">
            <v>20566</v>
          </cell>
          <cell r="C82">
            <v>20566</v>
          </cell>
          <cell r="D82" t="str">
            <v>ASB</v>
          </cell>
          <cell r="E82" t="str">
            <v>B</v>
          </cell>
          <cell r="F82" t="str">
            <v xml:space="preserve">ACCOUNTANT II                      </v>
          </cell>
          <cell r="G82" t="str">
            <v>0647A</v>
          </cell>
          <cell r="H82">
            <v>4046.36</v>
          </cell>
          <cell r="I82">
            <v>1</v>
          </cell>
          <cell r="J82">
            <v>12</v>
          </cell>
          <cell r="K82">
            <v>1</v>
          </cell>
          <cell r="L82">
            <v>48556</v>
          </cell>
        </row>
        <row r="83">
          <cell r="A83">
            <v>104852</v>
          </cell>
          <cell r="B83">
            <v>20566</v>
          </cell>
          <cell r="C83">
            <v>20566</v>
          </cell>
          <cell r="D83" t="str">
            <v>ASB</v>
          </cell>
          <cell r="E83" t="str">
            <v>B</v>
          </cell>
          <cell r="F83" t="str">
            <v xml:space="preserve">ACCOUNTANT II                      </v>
          </cell>
          <cell r="G83" t="str">
            <v>0647A</v>
          </cell>
          <cell r="H83">
            <v>4046.36</v>
          </cell>
          <cell r="I83">
            <v>1</v>
          </cell>
          <cell r="J83">
            <v>12</v>
          </cell>
          <cell r="K83">
            <v>1</v>
          </cell>
          <cell r="L83">
            <v>48556</v>
          </cell>
        </row>
        <row r="84">
          <cell r="A84">
            <v>109976</v>
          </cell>
          <cell r="B84">
            <v>20566</v>
          </cell>
          <cell r="C84">
            <v>20566</v>
          </cell>
          <cell r="D84" t="str">
            <v>ASB</v>
          </cell>
          <cell r="E84" t="str">
            <v>B</v>
          </cell>
          <cell r="F84" t="str">
            <v xml:space="preserve">ACCOUNTANT II                      </v>
          </cell>
          <cell r="G84" t="str">
            <v>0647A</v>
          </cell>
          <cell r="H84">
            <v>4046.36</v>
          </cell>
          <cell r="I84">
            <v>1</v>
          </cell>
          <cell r="J84">
            <v>12</v>
          </cell>
          <cell r="K84">
            <v>1</v>
          </cell>
          <cell r="L84">
            <v>48556.32</v>
          </cell>
        </row>
        <row r="85">
          <cell r="A85">
            <v>100019</v>
          </cell>
          <cell r="B85">
            <v>20566</v>
          </cell>
          <cell r="C85">
            <v>20566</v>
          </cell>
          <cell r="D85" t="str">
            <v>ASB</v>
          </cell>
          <cell r="E85" t="str">
            <v>B</v>
          </cell>
          <cell r="F85" t="str">
            <v xml:space="preserve">ACCOUNTANT III                     </v>
          </cell>
          <cell r="G85" t="str">
            <v>0648A</v>
          </cell>
          <cell r="H85">
            <v>4531.82</v>
          </cell>
          <cell r="I85">
            <v>1</v>
          </cell>
          <cell r="J85">
            <v>12</v>
          </cell>
          <cell r="K85">
            <v>1</v>
          </cell>
          <cell r="L85">
            <v>54381.68</v>
          </cell>
        </row>
        <row r="86">
          <cell r="A86">
            <v>100020</v>
          </cell>
          <cell r="B86">
            <v>20566</v>
          </cell>
          <cell r="C86">
            <v>20566</v>
          </cell>
          <cell r="D86" t="str">
            <v>ASB</v>
          </cell>
          <cell r="E86" t="str">
            <v>B</v>
          </cell>
          <cell r="F86" t="str">
            <v xml:space="preserve">ACCOUNTANT III                     </v>
          </cell>
          <cell r="G86" t="str">
            <v>0648A</v>
          </cell>
          <cell r="H86">
            <v>4531.82</v>
          </cell>
          <cell r="I86">
            <v>1</v>
          </cell>
          <cell r="J86">
            <v>12</v>
          </cell>
          <cell r="K86">
            <v>1</v>
          </cell>
          <cell r="L86">
            <v>54381.68</v>
          </cell>
        </row>
        <row r="87">
          <cell r="A87">
            <v>103492</v>
          </cell>
          <cell r="B87">
            <v>20566</v>
          </cell>
          <cell r="C87">
            <v>20566</v>
          </cell>
          <cell r="D87" t="str">
            <v>ASB</v>
          </cell>
          <cell r="E87" t="str">
            <v>B</v>
          </cell>
          <cell r="F87" t="str">
            <v xml:space="preserve">ACCOUNTANT III                     </v>
          </cell>
          <cell r="G87" t="str">
            <v>0648A</v>
          </cell>
          <cell r="H87">
            <v>4531.82</v>
          </cell>
          <cell r="I87">
            <v>1</v>
          </cell>
          <cell r="J87">
            <v>12</v>
          </cell>
          <cell r="K87">
            <v>1</v>
          </cell>
          <cell r="L87">
            <v>54381.68</v>
          </cell>
        </row>
        <row r="88">
          <cell r="A88">
            <v>109977</v>
          </cell>
          <cell r="B88">
            <v>20566</v>
          </cell>
          <cell r="C88">
            <v>20566</v>
          </cell>
          <cell r="D88" t="str">
            <v>ASB</v>
          </cell>
          <cell r="E88" t="str">
            <v>B</v>
          </cell>
          <cell r="F88" t="str">
            <v xml:space="preserve">ACCOUNTANT III                     </v>
          </cell>
          <cell r="G88" t="str">
            <v>0648A</v>
          </cell>
          <cell r="H88">
            <v>4531.82</v>
          </cell>
          <cell r="I88">
            <v>1</v>
          </cell>
          <cell r="J88">
            <v>12</v>
          </cell>
          <cell r="K88">
            <v>1</v>
          </cell>
          <cell r="L88">
            <v>54381.84</v>
          </cell>
        </row>
        <row r="89">
          <cell r="A89">
            <v>100023</v>
          </cell>
          <cell r="B89">
            <v>20566</v>
          </cell>
          <cell r="C89">
            <v>20566</v>
          </cell>
          <cell r="D89" t="str">
            <v>ASB</v>
          </cell>
          <cell r="E89" t="str">
            <v>B</v>
          </cell>
          <cell r="F89" t="str">
            <v xml:space="preserve">ACCOUNTING OFFICER I               </v>
          </cell>
          <cell r="G89" t="str">
            <v>0656A</v>
          </cell>
          <cell r="H89">
            <v>4761.09</v>
          </cell>
          <cell r="I89">
            <v>1</v>
          </cell>
          <cell r="J89">
            <v>12</v>
          </cell>
          <cell r="K89">
            <v>1</v>
          </cell>
          <cell r="L89">
            <v>57133.16</v>
          </cell>
        </row>
        <row r="90">
          <cell r="A90">
            <v>100024</v>
          </cell>
          <cell r="B90">
            <v>20566</v>
          </cell>
          <cell r="C90">
            <v>20566</v>
          </cell>
          <cell r="D90" t="str">
            <v>ASB</v>
          </cell>
          <cell r="E90" t="str">
            <v>B</v>
          </cell>
          <cell r="F90" t="str">
            <v xml:space="preserve">ACCOUNTING OFFICER I               </v>
          </cell>
          <cell r="G90" t="str">
            <v>0656A</v>
          </cell>
          <cell r="H90">
            <v>4761.09</v>
          </cell>
          <cell r="I90">
            <v>1</v>
          </cell>
          <cell r="J90">
            <v>12</v>
          </cell>
          <cell r="K90">
            <v>1</v>
          </cell>
          <cell r="L90">
            <v>57133.16</v>
          </cell>
        </row>
        <row r="91">
          <cell r="A91">
            <v>100025</v>
          </cell>
          <cell r="B91">
            <v>20566</v>
          </cell>
          <cell r="C91">
            <v>20566</v>
          </cell>
          <cell r="D91" t="str">
            <v>ASB</v>
          </cell>
          <cell r="E91" t="str">
            <v>B</v>
          </cell>
          <cell r="F91" t="str">
            <v xml:space="preserve">ACCOUNTING OFFICER I               </v>
          </cell>
          <cell r="G91" t="str">
            <v>0656A</v>
          </cell>
          <cell r="H91">
            <v>4761.09</v>
          </cell>
          <cell r="I91">
            <v>1</v>
          </cell>
          <cell r="J91">
            <v>12</v>
          </cell>
          <cell r="K91">
            <v>1</v>
          </cell>
          <cell r="L91">
            <v>57133.16</v>
          </cell>
        </row>
        <row r="92">
          <cell r="A92">
            <v>101779</v>
          </cell>
          <cell r="B92">
            <v>21553</v>
          </cell>
          <cell r="C92">
            <v>20566</v>
          </cell>
          <cell r="D92" t="str">
            <v>ASB</v>
          </cell>
          <cell r="E92" t="str">
            <v>B</v>
          </cell>
          <cell r="F92" t="str">
            <v xml:space="preserve">ACCOUNTING OFFICER II              </v>
          </cell>
          <cell r="G92" t="str">
            <v>0657A</v>
          </cell>
          <cell r="H92">
            <v>5425.82</v>
          </cell>
          <cell r="I92">
            <v>1</v>
          </cell>
          <cell r="J92">
            <v>12</v>
          </cell>
          <cell r="K92">
            <v>1</v>
          </cell>
          <cell r="L92">
            <v>65109.84</v>
          </cell>
        </row>
        <row r="93">
          <cell r="A93">
            <v>102054</v>
          </cell>
          <cell r="B93">
            <v>20566</v>
          </cell>
          <cell r="C93">
            <v>20566</v>
          </cell>
          <cell r="D93" t="str">
            <v>ASB</v>
          </cell>
          <cell r="E93" t="str">
            <v>B</v>
          </cell>
          <cell r="F93" t="str">
            <v xml:space="preserve">ACCOUNTING SYSTEMS TECHNICIAN      </v>
          </cell>
          <cell r="G93" t="str">
            <v>0665A</v>
          </cell>
          <cell r="H93">
            <v>4565.3599999999997</v>
          </cell>
          <cell r="I93">
            <v>1</v>
          </cell>
          <cell r="J93">
            <v>12</v>
          </cell>
          <cell r="K93">
            <v>1</v>
          </cell>
          <cell r="L93">
            <v>54784.160000000003</v>
          </cell>
        </row>
        <row r="94">
          <cell r="A94">
            <v>102055</v>
          </cell>
          <cell r="B94">
            <v>20566</v>
          </cell>
          <cell r="C94">
            <v>20566</v>
          </cell>
          <cell r="D94" t="str">
            <v>ASB</v>
          </cell>
          <cell r="E94" t="str">
            <v>B</v>
          </cell>
          <cell r="F94" t="str">
            <v xml:space="preserve">ACCOUNTING SYSTEMS TECHNICIAN      </v>
          </cell>
          <cell r="G94" t="str">
            <v>0665A</v>
          </cell>
          <cell r="H94">
            <v>4565.3599999999997</v>
          </cell>
          <cell r="I94">
            <v>1</v>
          </cell>
          <cell r="J94">
            <v>12</v>
          </cell>
          <cell r="K94">
            <v>1</v>
          </cell>
          <cell r="L94">
            <v>54784.160000000003</v>
          </cell>
        </row>
        <row r="95">
          <cell r="A95">
            <v>100030</v>
          </cell>
          <cell r="B95">
            <v>20566</v>
          </cell>
          <cell r="C95">
            <v>20566</v>
          </cell>
          <cell r="D95" t="str">
            <v>ASB</v>
          </cell>
          <cell r="E95" t="str">
            <v>B</v>
          </cell>
          <cell r="F95" t="str">
            <v xml:space="preserve">ACCOUNTING TECHNICIAN I            </v>
          </cell>
          <cell r="G95" t="str">
            <v>0642A</v>
          </cell>
          <cell r="H95">
            <v>3035.64</v>
          </cell>
          <cell r="I95">
            <v>1</v>
          </cell>
          <cell r="J95">
            <v>12</v>
          </cell>
          <cell r="K95">
            <v>1</v>
          </cell>
          <cell r="L95">
            <v>36427.68</v>
          </cell>
        </row>
        <row r="96">
          <cell r="A96">
            <v>100032</v>
          </cell>
          <cell r="B96">
            <v>20566</v>
          </cell>
          <cell r="C96">
            <v>20566</v>
          </cell>
          <cell r="D96" t="str">
            <v>ASB</v>
          </cell>
          <cell r="E96" t="str">
            <v>B</v>
          </cell>
          <cell r="F96" t="str">
            <v xml:space="preserve">ACCOUNTING TECHNICIAN I            </v>
          </cell>
          <cell r="G96" t="str">
            <v>0642A</v>
          </cell>
          <cell r="H96">
            <v>3035.64</v>
          </cell>
          <cell r="I96">
            <v>1</v>
          </cell>
          <cell r="J96">
            <v>12</v>
          </cell>
          <cell r="K96">
            <v>1</v>
          </cell>
          <cell r="L96">
            <v>36427.68</v>
          </cell>
        </row>
        <row r="97">
          <cell r="A97">
            <v>101781</v>
          </cell>
          <cell r="B97">
            <v>20566</v>
          </cell>
          <cell r="C97">
            <v>20566</v>
          </cell>
          <cell r="D97" t="str">
            <v>ASB</v>
          </cell>
          <cell r="E97" t="str">
            <v>B</v>
          </cell>
          <cell r="F97" t="str">
            <v xml:space="preserve">ACCOUNTING TECHNICIAN I            </v>
          </cell>
          <cell r="G97" t="str">
            <v>0642A</v>
          </cell>
          <cell r="H97">
            <v>3035.64</v>
          </cell>
          <cell r="I97">
            <v>1</v>
          </cell>
          <cell r="J97">
            <v>12</v>
          </cell>
          <cell r="K97">
            <v>1</v>
          </cell>
          <cell r="L97">
            <v>36427.68</v>
          </cell>
        </row>
        <row r="98">
          <cell r="A98">
            <v>102588</v>
          </cell>
          <cell r="B98">
            <v>20566</v>
          </cell>
          <cell r="C98">
            <v>20566</v>
          </cell>
          <cell r="D98" t="str">
            <v>ASB</v>
          </cell>
          <cell r="E98" t="str">
            <v>B</v>
          </cell>
          <cell r="F98" t="str">
            <v xml:space="preserve">ACCOUNTING TECHNICIAN I            </v>
          </cell>
          <cell r="G98" t="str">
            <v>0642A</v>
          </cell>
          <cell r="H98">
            <v>3035.64</v>
          </cell>
          <cell r="I98">
            <v>1</v>
          </cell>
          <cell r="J98">
            <v>12</v>
          </cell>
          <cell r="K98">
            <v>1</v>
          </cell>
          <cell r="L98">
            <v>36427.68</v>
          </cell>
        </row>
        <row r="99">
          <cell r="A99">
            <v>103648</v>
          </cell>
          <cell r="B99">
            <v>20566</v>
          </cell>
          <cell r="C99">
            <v>20566</v>
          </cell>
          <cell r="D99" t="str">
            <v>ASB</v>
          </cell>
          <cell r="E99" t="str">
            <v>B</v>
          </cell>
          <cell r="F99" t="str">
            <v xml:space="preserve">ACCOUNTING TECHNICIAN I            </v>
          </cell>
          <cell r="G99" t="str">
            <v>0642A</v>
          </cell>
          <cell r="H99">
            <v>3035.64</v>
          </cell>
          <cell r="I99">
            <v>1</v>
          </cell>
          <cell r="J99">
            <v>12</v>
          </cell>
          <cell r="K99">
            <v>1</v>
          </cell>
          <cell r="L99">
            <v>36427.68</v>
          </cell>
        </row>
        <row r="100">
          <cell r="A100">
            <v>103649</v>
          </cell>
          <cell r="B100">
            <v>20566</v>
          </cell>
          <cell r="C100">
            <v>20566</v>
          </cell>
          <cell r="D100" t="str">
            <v>ASB</v>
          </cell>
          <cell r="E100" t="str">
            <v>B</v>
          </cell>
          <cell r="F100" t="str">
            <v xml:space="preserve">ACCOUNTING TECHNICIAN I            </v>
          </cell>
          <cell r="G100" t="str">
            <v>0642A</v>
          </cell>
          <cell r="H100">
            <v>3035.64</v>
          </cell>
          <cell r="I100">
            <v>1</v>
          </cell>
          <cell r="J100">
            <v>12</v>
          </cell>
          <cell r="K100">
            <v>1</v>
          </cell>
          <cell r="L100">
            <v>36427.68</v>
          </cell>
        </row>
        <row r="101">
          <cell r="A101">
            <v>103650</v>
          </cell>
          <cell r="B101">
            <v>20566</v>
          </cell>
          <cell r="C101">
            <v>20566</v>
          </cell>
          <cell r="D101" t="str">
            <v>ASB</v>
          </cell>
          <cell r="E101" t="str">
            <v>B</v>
          </cell>
          <cell r="F101" t="str">
            <v xml:space="preserve">ACCOUNTING TECHNICIAN I            </v>
          </cell>
          <cell r="G101" t="str">
            <v>0642A</v>
          </cell>
          <cell r="H101">
            <v>3035.64</v>
          </cell>
          <cell r="I101">
            <v>1</v>
          </cell>
          <cell r="J101">
            <v>12</v>
          </cell>
          <cell r="K101">
            <v>1</v>
          </cell>
          <cell r="L101">
            <v>36427.68</v>
          </cell>
        </row>
        <row r="102">
          <cell r="A102">
            <v>104849</v>
          </cell>
          <cell r="B102">
            <v>20566</v>
          </cell>
          <cell r="C102">
            <v>20566</v>
          </cell>
          <cell r="D102" t="str">
            <v>ASB</v>
          </cell>
          <cell r="E102" t="str">
            <v>B</v>
          </cell>
          <cell r="F102" t="str">
            <v xml:space="preserve">ACCOUNTING TECHNICIAN I            </v>
          </cell>
          <cell r="G102" t="str">
            <v>0642A</v>
          </cell>
          <cell r="H102">
            <v>3035.64</v>
          </cell>
          <cell r="I102">
            <v>1</v>
          </cell>
          <cell r="J102">
            <v>12</v>
          </cell>
          <cell r="K102">
            <v>1</v>
          </cell>
          <cell r="L102">
            <v>36427.68</v>
          </cell>
        </row>
        <row r="103">
          <cell r="A103">
            <v>109978</v>
          </cell>
          <cell r="B103">
            <v>20566</v>
          </cell>
          <cell r="C103">
            <v>20566</v>
          </cell>
          <cell r="D103" t="str">
            <v>ASB</v>
          </cell>
          <cell r="E103" t="str">
            <v>B</v>
          </cell>
          <cell r="F103" t="str">
            <v xml:space="preserve">ACCOUNTING TECHNICIAN I            </v>
          </cell>
          <cell r="G103" t="str">
            <v>0642A</v>
          </cell>
          <cell r="H103">
            <v>3035.64</v>
          </cell>
          <cell r="I103">
            <v>1</v>
          </cell>
          <cell r="J103">
            <v>12</v>
          </cell>
          <cell r="K103">
            <v>1</v>
          </cell>
          <cell r="L103">
            <v>36427.68</v>
          </cell>
        </row>
        <row r="104">
          <cell r="A104">
            <v>109979</v>
          </cell>
          <cell r="B104">
            <v>20566</v>
          </cell>
          <cell r="C104">
            <v>20566</v>
          </cell>
          <cell r="D104" t="str">
            <v>ASB</v>
          </cell>
          <cell r="E104" t="str">
            <v>B</v>
          </cell>
          <cell r="F104" t="str">
            <v xml:space="preserve">ACCOUNTING TECHNICIAN I            </v>
          </cell>
          <cell r="G104" t="str">
            <v>0642A</v>
          </cell>
          <cell r="H104">
            <v>3035.64</v>
          </cell>
          <cell r="I104">
            <v>1</v>
          </cell>
          <cell r="J104">
            <v>12</v>
          </cell>
          <cell r="K104">
            <v>1</v>
          </cell>
          <cell r="L104">
            <v>36427.68</v>
          </cell>
        </row>
        <row r="105">
          <cell r="A105">
            <v>109980</v>
          </cell>
          <cell r="B105">
            <v>20566</v>
          </cell>
          <cell r="C105">
            <v>20566</v>
          </cell>
          <cell r="D105" t="str">
            <v>ASB</v>
          </cell>
          <cell r="E105" t="str">
            <v>B</v>
          </cell>
          <cell r="F105" t="str">
            <v xml:space="preserve">ACCOUNTING TECHNICIAN I            </v>
          </cell>
          <cell r="G105" t="str">
            <v>0642A</v>
          </cell>
          <cell r="H105">
            <v>3035.64</v>
          </cell>
          <cell r="I105">
            <v>1</v>
          </cell>
          <cell r="J105">
            <v>12</v>
          </cell>
          <cell r="K105">
            <v>1</v>
          </cell>
          <cell r="L105">
            <v>36427.68</v>
          </cell>
        </row>
        <row r="106">
          <cell r="A106">
            <v>100033</v>
          </cell>
          <cell r="B106">
            <v>20566</v>
          </cell>
          <cell r="C106">
            <v>20566</v>
          </cell>
          <cell r="D106" t="str">
            <v>ASB</v>
          </cell>
          <cell r="E106" t="str">
            <v>B</v>
          </cell>
          <cell r="F106" t="str">
            <v xml:space="preserve">ACCOUNTING TECHNICIAN II           </v>
          </cell>
          <cell r="G106" t="str">
            <v>0643A</v>
          </cell>
          <cell r="H106">
            <v>3370.64</v>
          </cell>
          <cell r="I106">
            <v>1</v>
          </cell>
          <cell r="J106">
            <v>12</v>
          </cell>
          <cell r="K106">
            <v>1</v>
          </cell>
          <cell r="L106">
            <v>40447.599999999999</v>
          </cell>
        </row>
        <row r="107">
          <cell r="A107">
            <v>100034</v>
          </cell>
          <cell r="B107">
            <v>20566</v>
          </cell>
          <cell r="C107">
            <v>20566</v>
          </cell>
          <cell r="D107" t="str">
            <v>ASB</v>
          </cell>
          <cell r="E107" t="str">
            <v>B</v>
          </cell>
          <cell r="F107" t="str">
            <v xml:space="preserve">ACCOUNTING TECHNICIAN II           </v>
          </cell>
          <cell r="G107" t="str">
            <v>0643A</v>
          </cell>
          <cell r="H107">
            <v>3370.64</v>
          </cell>
          <cell r="I107">
            <v>1</v>
          </cell>
          <cell r="J107">
            <v>12</v>
          </cell>
          <cell r="K107">
            <v>1</v>
          </cell>
          <cell r="L107">
            <v>40447.599999999999</v>
          </cell>
        </row>
        <row r="108">
          <cell r="A108">
            <v>101783</v>
          </cell>
          <cell r="B108">
            <v>20566</v>
          </cell>
          <cell r="C108">
            <v>20566</v>
          </cell>
          <cell r="D108" t="str">
            <v>ASB</v>
          </cell>
          <cell r="E108" t="str">
            <v>B</v>
          </cell>
          <cell r="F108" t="str">
            <v xml:space="preserve">ACCOUNTING TECHNICIAN II           </v>
          </cell>
          <cell r="G108" t="str">
            <v>0643A</v>
          </cell>
          <cell r="H108">
            <v>3370.64</v>
          </cell>
          <cell r="I108">
            <v>1</v>
          </cell>
          <cell r="J108">
            <v>12</v>
          </cell>
          <cell r="K108">
            <v>1</v>
          </cell>
          <cell r="L108">
            <v>40447.599999999999</v>
          </cell>
        </row>
        <row r="109">
          <cell r="A109">
            <v>101784</v>
          </cell>
          <cell r="B109">
            <v>20566</v>
          </cell>
          <cell r="C109">
            <v>20566</v>
          </cell>
          <cell r="D109" t="str">
            <v>ASB</v>
          </cell>
          <cell r="E109" t="str">
            <v>B</v>
          </cell>
          <cell r="F109" t="str">
            <v xml:space="preserve">ACCOUNTING TECHNICIAN II           </v>
          </cell>
          <cell r="G109" t="str">
            <v>0643A</v>
          </cell>
          <cell r="H109">
            <v>3370.64</v>
          </cell>
          <cell r="I109">
            <v>1</v>
          </cell>
          <cell r="J109">
            <v>12</v>
          </cell>
          <cell r="K109">
            <v>1</v>
          </cell>
          <cell r="L109">
            <v>40447.599999999999</v>
          </cell>
        </row>
        <row r="110">
          <cell r="A110">
            <v>102057</v>
          </cell>
          <cell r="B110">
            <v>20566</v>
          </cell>
          <cell r="C110">
            <v>20566</v>
          </cell>
          <cell r="D110" t="str">
            <v>ASB</v>
          </cell>
          <cell r="E110" t="str">
            <v>B</v>
          </cell>
          <cell r="F110" t="str">
            <v xml:space="preserve">ACCOUNTING TECHNICIAN II           </v>
          </cell>
          <cell r="G110" t="str">
            <v>0643A</v>
          </cell>
          <cell r="H110">
            <v>3370.64</v>
          </cell>
          <cell r="I110">
            <v>1</v>
          </cell>
          <cell r="J110">
            <v>12</v>
          </cell>
          <cell r="K110">
            <v>1</v>
          </cell>
          <cell r="L110">
            <v>40447.599999999999</v>
          </cell>
        </row>
        <row r="111">
          <cell r="A111">
            <v>102058</v>
          </cell>
          <cell r="B111">
            <v>20566</v>
          </cell>
          <cell r="C111">
            <v>20566</v>
          </cell>
          <cell r="D111" t="str">
            <v>ASB</v>
          </cell>
          <cell r="E111" t="str">
            <v>B</v>
          </cell>
          <cell r="F111" t="str">
            <v xml:space="preserve">ACCOUNTING TECHNICIAN II           </v>
          </cell>
          <cell r="G111" t="str">
            <v>0643A</v>
          </cell>
          <cell r="H111">
            <v>3370.64</v>
          </cell>
          <cell r="I111">
            <v>1</v>
          </cell>
          <cell r="J111">
            <v>12</v>
          </cell>
          <cell r="K111">
            <v>1</v>
          </cell>
          <cell r="L111">
            <v>40447.599999999999</v>
          </cell>
        </row>
        <row r="112">
          <cell r="A112">
            <v>102059</v>
          </cell>
          <cell r="B112">
            <v>20566</v>
          </cell>
          <cell r="C112">
            <v>20566</v>
          </cell>
          <cell r="D112" t="str">
            <v>ASB</v>
          </cell>
          <cell r="E112" t="str">
            <v>B</v>
          </cell>
          <cell r="F112" t="str">
            <v xml:space="preserve">ACCOUNTING TECHNICIAN II           </v>
          </cell>
          <cell r="G112" t="str">
            <v>0643A</v>
          </cell>
          <cell r="H112">
            <v>3370.64</v>
          </cell>
          <cell r="I112">
            <v>1</v>
          </cell>
          <cell r="J112">
            <v>12</v>
          </cell>
          <cell r="K112">
            <v>1</v>
          </cell>
          <cell r="L112">
            <v>40447.599999999999</v>
          </cell>
        </row>
        <row r="113">
          <cell r="A113">
            <v>100043</v>
          </cell>
          <cell r="B113">
            <v>20566</v>
          </cell>
          <cell r="C113">
            <v>20566</v>
          </cell>
          <cell r="D113" t="str">
            <v>ASB</v>
          </cell>
          <cell r="E113" t="str">
            <v>B</v>
          </cell>
          <cell r="F113" t="str">
            <v xml:space="preserve">ADMINISTRATIVE ASSISTANT II        </v>
          </cell>
          <cell r="G113" t="str">
            <v>0888A</v>
          </cell>
          <cell r="H113">
            <v>4334.6400000000003</v>
          </cell>
          <cell r="I113">
            <v>1</v>
          </cell>
          <cell r="J113">
            <v>12</v>
          </cell>
          <cell r="K113">
            <v>1</v>
          </cell>
          <cell r="L113">
            <v>52015.360000000001</v>
          </cell>
        </row>
        <row r="114">
          <cell r="A114">
            <v>104839</v>
          </cell>
          <cell r="B114">
            <v>20566</v>
          </cell>
          <cell r="C114">
            <v>20566</v>
          </cell>
          <cell r="D114" t="str">
            <v>ASB</v>
          </cell>
          <cell r="E114" t="str">
            <v>B</v>
          </cell>
          <cell r="F114" t="str">
            <v xml:space="preserve">ADMINISTRATIVE ASSISTANT II        </v>
          </cell>
          <cell r="G114" t="str">
            <v>0888A</v>
          </cell>
          <cell r="H114">
            <v>4334.6400000000003</v>
          </cell>
          <cell r="I114">
            <v>1</v>
          </cell>
          <cell r="J114">
            <v>12</v>
          </cell>
          <cell r="K114">
            <v>1</v>
          </cell>
          <cell r="L114">
            <v>52015.360000000001</v>
          </cell>
        </row>
        <row r="115">
          <cell r="A115">
            <v>102062</v>
          </cell>
          <cell r="B115">
            <v>20566</v>
          </cell>
          <cell r="C115">
            <v>20566</v>
          </cell>
          <cell r="D115" t="str">
            <v>ASB</v>
          </cell>
          <cell r="E115" t="str">
            <v>B</v>
          </cell>
          <cell r="F115" t="str">
            <v>CHIEF, ACCOUNTING DIVISION, MH</v>
          </cell>
          <cell r="G115" t="str">
            <v>0688A</v>
          </cell>
          <cell r="H115">
            <v>7873.09</v>
          </cell>
          <cell r="I115">
            <v>1</v>
          </cell>
          <cell r="J115">
            <v>12</v>
          </cell>
          <cell r="K115">
            <v>1</v>
          </cell>
          <cell r="L115">
            <v>94476.84</v>
          </cell>
        </row>
        <row r="116">
          <cell r="A116">
            <v>102045</v>
          </cell>
          <cell r="B116">
            <v>20566</v>
          </cell>
          <cell r="C116">
            <v>20566</v>
          </cell>
          <cell r="D116" t="str">
            <v>ASB</v>
          </cell>
          <cell r="E116" t="str">
            <v>B</v>
          </cell>
          <cell r="F116" t="str">
            <v>HEALTH CARE FINANCIAL ANALYST</v>
          </cell>
          <cell r="G116" t="str">
            <v>0672A</v>
          </cell>
          <cell r="H116">
            <v>5038.91</v>
          </cell>
          <cell r="I116">
            <v>1</v>
          </cell>
          <cell r="J116">
            <v>12</v>
          </cell>
          <cell r="K116">
            <v>1</v>
          </cell>
          <cell r="L116">
            <v>60466.92</v>
          </cell>
        </row>
        <row r="117">
          <cell r="A117">
            <v>102581</v>
          </cell>
          <cell r="B117">
            <v>20566</v>
          </cell>
          <cell r="C117">
            <v>20566</v>
          </cell>
          <cell r="D117" t="str">
            <v>ASB</v>
          </cell>
          <cell r="E117" t="str">
            <v>B</v>
          </cell>
          <cell r="F117" t="str">
            <v>HEALTH CARE FINANCIAL ANALYST</v>
          </cell>
          <cell r="G117" t="str">
            <v>0672A</v>
          </cell>
          <cell r="H117">
            <v>5038.91</v>
          </cell>
          <cell r="I117">
            <v>1</v>
          </cell>
          <cell r="J117">
            <v>12</v>
          </cell>
          <cell r="K117">
            <v>1</v>
          </cell>
          <cell r="L117">
            <v>60466.92</v>
          </cell>
        </row>
        <row r="118">
          <cell r="A118">
            <v>102585</v>
          </cell>
          <cell r="B118">
            <v>20566</v>
          </cell>
          <cell r="C118">
            <v>20566</v>
          </cell>
          <cell r="D118" t="str">
            <v>ASB</v>
          </cell>
          <cell r="E118" t="str">
            <v>B</v>
          </cell>
          <cell r="F118" t="str">
            <v>HEALTH CARE FINANCIAL ANALYST</v>
          </cell>
          <cell r="G118" t="str">
            <v>0672A</v>
          </cell>
          <cell r="H118">
            <v>5038.91</v>
          </cell>
          <cell r="I118">
            <v>1</v>
          </cell>
          <cell r="J118">
            <v>12</v>
          </cell>
          <cell r="K118">
            <v>1</v>
          </cell>
          <cell r="L118">
            <v>60466.92</v>
          </cell>
        </row>
        <row r="119">
          <cell r="A119">
            <v>106508</v>
          </cell>
          <cell r="B119">
            <v>20566</v>
          </cell>
          <cell r="C119">
            <v>20566</v>
          </cell>
          <cell r="D119" t="str">
            <v>ASB</v>
          </cell>
          <cell r="E119" t="str">
            <v>B</v>
          </cell>
          <cell r="F119" t="str">
            <v>INTERMEDIATE TYPIST-CLERK</v>
          </cell>
          <cell r="G119" t="str">
            <v>2214A</v>
          </cell>
          <cell r="H119">
            <v>2675.27</v>
          </cell>
          <cell r="I119">
            <v>1</v>
          </cell>
          <cell r="J119">
            <v>12</v>
          </cell>
          <cell r="K119">
            <v>1</v>
          </cell>
          <cell r="L119">
            <v>32103.16</v>
          </cell>
        </row>
        <row r="120">
          <cell r="A120">
            <v>109734</v>
          </cell>
          <cell r="B120">
            <v>21550</v>
          </cell>
          <cell r="C120">
            <v>20566</v>
          </cell>
          <cell r="D120" t="str">
            <v>ASB</v>
          </cell>
          <cell r="E120" t="str">
            <v>B</v>
          </cell>
          <cell r="F120" t="str">
            <v>INTERMEDIATE TYPIST-CLERK</v>
          </cell>
          <cell r="G120" t="str">
            <v>2214A</v>
          </cell>
          <cell r="H120">
            <v>2675.27</v>
          </cell>
          <cell r="I120">
            <v>1</v>
          </cell>
          <cell r="J120">
            <v>12</v>
          </cell>
          <cell r="K120">
            <v>1</v>
          </cell>
          <cell r="L120">
            <v>32103.24</v>
          </cell>
        </row>
        <row r="121">
          <cell r="A121">
            <v>105017</v>
          </cell>
          <cell r="B121">
            <v>20566</v>
          </cell>
          <cell r="C121">
            <v>20566</v>
          </cell>
          <cell r="D121" t="str">
            <v>ASB</v>
          </cell>
          <cell r="E121" t="str">
            <v>B</v>
          </cell>
          <cell r="F121" t="str">
            <v xml:space="preserve">MENTAL HEALTH ANALYST I            </v>
          </cell>
          <cell r="G121" t="str">
            <v>4727A</v>
          </cell>
          <cell r="H121">
            <v>5602.09</v>
          </cell>
          <cell r="I121">
            <v>1</v>
          </cell>
          <cell r="J121">
            <v>12</v>
          </cell>
          <cell r="K121">
            <v>1</v>
          </cell>
          <cell r="L121">
            <v>67225.16</v>
          </cell>
        </row>
        <row r="122">
          <cell r="A122">
            <v>101482</v>
          </cell>
          <cell r="B122">
            <v>20567</v>
          </cell>
          <cell r="C122">
            <v>20566</v>
          </cell>
          <cell r="D122" t="str">
            <v>ASB</v>
          </cell>
          <cell r="E122" t="str">
            <v>B</v>
          </cell>
          <cell r="F122" t="str">
            <v xml:space="preserve">SENIOR SECRETARY III               </v>
          </cell>
          <cell r="G122" t="str">
            <v>2102A</v>
          </cell>
          <cell r="H122">
            <v>4106.3599999999997</v>
          </cell>
          <cell r="I122">
            <v>1</v>
          </cell>
          <cell r="J122">
            <v>12</v>
          </cell>
          <cell r="K122">
            <v>1</v>
          </cell>
          <cell r="L122">
            <v>49276.56</v>
          </cell>
        </row>
        <row r="123">
          <cell r="A123">
            <v>107703</v>
          </cell>
          <cell r="B123">
            <v>21556</v>
          </cell>
          <cell r="C123">
            <v>21556</v>
          </cell>
          <cell r="D123" t="str">
            <v>ASB</v>
          </cell>
          <cell r="E123" t="str">
            <v>B</v>
          </cell>
          <cell r="F123" t="str">
            <v xml:space="preserve">ACCOUNT CLERK II                   </v>
          </cell>
          <cell r="G123" t="str">
            <v>0578A</v>
          </cell>
          <cell r="H123">
            <v>2864</v>
          </cell>
          <cell r="I123">
            <v>1</v>
          </cell>
          <cell r="J123">
            <v>12</v>
          </cell>
          <cell r="K123">
            <v>1</v>
          </cell>
          <cell r="L123">
            <v>34368.239999999998</v>
          </cell>
        </row>
        <row r="124">
          <cell r="A124">
            <v>100011</v>
          </cell>
          <cell r="B124">
            <v>21556</v>
          </cell>
          <cell r="C124">
            <v>21556</v>
          </cell>
          <cell r="D124" t="str">
            <v>ASB</v>
          </cell>
          <cell r="E124" t="str">
            <v>B</v>
          </cell>
          <cell r="F124" t="str">
            <v xml:space="preserve">ACCOUNTANT II                      </v>
          </cell>
          <cell r="G124" t="str">
            <v>0647A</v>
          </cell>
          <cell r="H124">
            <v>4046.36</v>
          </cell>
          <cell r="I124">
            <v>1</v>
          </cell>
          <cell r="J124">
            <v>12</v>
          </cell>
          <cell r="K124">
            <v>1</v>
          </cell>
          <cell r="L124">
            <v>48556</v>
          </cell>
        </row>
        <row r="125">
          <cell r="A125">
            <v>107143</v>
          </cell>
          <cell r="B125">
            <v>21556</v>
          </cell>
          <cell r="C125">
            <v>21556</v>
          </cell>
          <cell r="D125" t="str">
            <v>ASB</v>
          </cell>
          <cell r="E125" t="str">
            <v>B</v>
          </cell>
          <cell r="F125" t="str">
            <v xml:space="preserve">ACCOUNTANT II                      </v>
          </cell>
          <cell r="G125" t="str">
            <v>0647A</v>
          </cell>
          <cell r="H125">
            <v>4046.36</v>
          </cell>
          <cell r="I125">
            <v>1</v>
          </cell>
          <cell r="J125">
            <v>12</v>
          </cell>
          <cell r="K125">
            <v>1</v>
          </cell>
          <cell r="L125">
            <v>48556</v>
          </cell>
        </row>
        <row r="126">
          <cell r="A126">
            <v>100022</v>
          </cell>
          <cell r="B126">
            <v>21556</v>
          </cell>
          <cell r="C126">
            <v>21556</v>
          </cell>
          <cell r="D126" t="str">
            <v>ASB</v>
          </cell>
          <cell r="E126" t="str">
            <v>B</v>
          </cell>
          <cell r="F126" t="str">
            <v xml:space="preserve">ACCOUNTANT III                     </v>
          </cell>
          <cell r="G126" t="str">
            <v>0648A</v>
          </cell>
          <cell r="H126">
            <v>4531.82</v>
          </cell>
          <cell r="I126">
            <v>1</v>
          </cell>
          <cell r="J126">
            <v>12</v>
          </cell>
          <cell r="K126">
            <v>1</v>
          </cell>
          <cell r="L126">
            <v>54381.68</v>
          </cell>
        </row>
        <row r="127">
          <cell r="A127">
            <v>100272</v>
          </cell>
          <cell r="B127">
            <v>21556</v>
          </cell>
          <cell r="C127">
            <v>21556</v>
          </cell>
          <cell r="D127" t="str">
            <v>ASB</v>
          </cell>
          <cell r="E127" t="str">
            <v>B</v>
          </cell>
          <cell r="F127" t="str">
            <v xml:space="preserve">FISCAL OFFICER I                   </v>
          </cell>
          <cell r="G127" t="str">
            <v>0752A</v>
          </cell>
          <cell r="H127">
            <v>6543.73</v>
          </cell>
          <cell r="I127">
            <v>1</v>
          </cell>
          <cell r="J127">
            <v>12</v>
          </cell>
          <cell r="K127">
            <v>1</v>
          </cell>
          <cell r="L127">
            <v>78525.08</v>
          </cell>
        </row>
        <row r="128">
          <cell r="A128">
            <v>102584</v>
          </cell>
          <cell r="B128">
            <v>21556</v>
          </cell>
          <cell r="C128">
            <v>21556</v>
          </cell>
          <cell r="D128" t="str">
            <v>ASB</v>
          </cell>
          <cell r="E128" t="str">
            <v>B</v>
          </cell>
          <cell r="F128" t="str">
            <v>HEALTH CARE FINANCIAL ANALYST</v>
          </cell>
          <cell r="G128" t="str">
            <v>0672A</v>
          </cell>
          <cell r="H128">
            <v>5038.91</v>
          </cell>
          <cell r="I128">
            <v>1</v>
          </cell>
          <cell r="J128">
            <v>12</v>
          </cell>
          <cell r="K128">
            <v>1</v>
          </cell>
          <cell r="L128">
            <v>60466.92</v>
          </cell>
        </row>
        <row r="129">
          <cell r="A129">
            <v>103044</v>
          </cell>
          <cell r="B129">
            <v>21556</v>
          </cell>
          <cell r="C129">
            <v>21556</v>
          </cell>
          <cell r="D129" t="str">
            <v>ASB</v>
          </cell>
          <cell r="E129" t="str">
            <v>B</v>
          </cell>
          <cell r="F129" t="str">
            <v>HEALTH CARE FINANCIAL ANALYST</v>
          </cell>
          <cell r="G129" t="str">
            <v>0672A</v>
          </cell>
          <cell r="H129">
            <v>5038.91</v>
          </cell>
          <cell r="I129">
            <v>1</v>
          </cell>
          <cell r="J129">
            <v>12</v>
          </cell>
          <cell r="K129">
            <v>1</v>
          </cell>
          <cell r="L129">
            <v>60466.92</v>
          </cell>
        </row>
        <row r="130">
          <cell r="A130">
            <v>109174</v>
          </cell>
          <cell r="B130">
            <v>21556</v>
          </cell>
          <cell r="C130">
            <v>21556</v>
          </cell>
          <cell r="D130" t="str">
            <v>ASB</v>
          </cell>
          <cell r="E130" t="str">
            <v>B</v>
          </cell>
          <cell r="F130" t="str">
            <v>HEALTH CARE FINANCIAL ANALYST</v>
          </cell>
          <cell r="G130" t="str">
            <v>0672A</v>
          </cell>
          <cell r="H130">
            <v>5038.91</v>
          </cell>
          <cell r="I130">
            <v>1</v>
          </cell>
          <cell r="J130">
            <v>12</v>
          </cell>
          <cell r="K130">
            <v>1</v>
          </cell>
          <cell r="L130">
            <v>60466.92</v>
          </cell>
        </row>
        <row r="131">
          <cell r="A131">
            <v>109175</v>
          </cell>
          <cell r="B131">
            <v>21556</v>
          </cell>
          <cell r="C131">
            <v>21556</v>
          </cell>
          <cell r="D131" t="str">
            <v>ASB</v>
          </cell>
          <cell r="E131" t="str">
            <v>B</v>
          </cell>
          <cell r="F131" t="str">
            <v>HEALTH CARE FINANCIAL ANALYST</v>
          </cell>
          <cell r="G131" t="str">
            <v>0672A</v>
          </cell>
          <cell r="H131">
            <v>5038.91</v>
          </cell>
          <cell r="I131">
            <v>1</v>
          </cell>
          <cell r="J131">
            <v>12</v>
          </cell>
          <cell r="K131">
            <v>1</v>
          </cell>
          <cell r="L131">
            <v>60466.92</v>
          </cell>
        </row>
        <row r="132">
          <cell r="A132">
            <v>105030</v>
          </cell>
          <cell r="B132">
            <v>21556</v>
          </cell>
          <cell r="C132">
            <v>21556</v>
          </cell>
          <cell r="D132" t="str">
            <v>ASB</v>
          </cell>
          <cell r="E132" t="str">
            <v>B</v>
          </cell>
          <cell r="F132" t="str">
            <v xml:space="preserve">MENTAL HEALTH ANALYST II           </v>
          </cell>
          <cell r="G132" t="str">
            <v>4729A</v>
          </cell>
          <cell r="H132">
            <v>6244.55</v>
          </cell>
          <cell r="I132">
            <v>1</v>
          </cell>
          <cell r="J132">
            <v>12</v>
          </cell>
          <cell r="K132">
            <v>1</v>
          </cell>
          <cell r="L132">
            <v>74934.36</v>
          </cell>
        </row>
        <row r="133">
          <cell r="A133">
            <v>106210</v>
          </cell>
          <cell r="B133">
            <v>21556</v>
          </cell>
          <cell r="C133">
            <v>21556</v>
          </cell>
          <cell r="D133" t="str">
            <v>ASB</v>
          </cell>
          <cell r="E133" t="str">
            <v>B</v>
          </cell>
          <cell r="F133" t="str">
            <v>SENIOR ACCTG SYSTEMS TECHNICIAN</v>
          </cell>
          <cell r="G133" t="str">
            <v>0666A</v>
          </cell>
          <cell r="H133">
            <v>5973</v>
          </cell>
          <cell r="I133">
            <v>1</v>
          </cell>
          <cell r="J133">
            <v>12</v>
          </cell>
          <cell r="K133">
            <v>1</v>
          </cell>
          <cell r="L133">
            <v>71676.399999999994</v>
          </cell>
        </row>
        <row r="134">
          <cell r="A134">
            <v>100012</v>
          </cell>
          <cell r="B134">
            <v>20569</v>
          </cell>
          <cell r="C134">
            <v>20569</v>
          </cell>
          <cell r="D134" t="str">
            <v>ASB</v>
          </cell>
          <cell r="E134" t="str">
            <v>B</v>
          </cell>
          <cell r="F134" t="str">
            <v xml:space="preserve">ACCOUNTANT II                      </v>
          </cell>
          <cell r="G134" t="str">
            <v>0647A</v>
          </cell>
          <cell r="H134">
            <v>4046.36</v>
          </cell>
          <cell r="I134">
            <v>1</v>
          </cell>
          <cell r="J134">
            <v>12</v>
          </cell>
          <cell r="K134">
            <v>1</v>
          </cell>
          <cell r="L134">
            <v>48556</v>
          </cell>
        </row>
        <row r="135">
          <cell r="A135">
            <v>101775</v>
          </cell>
          <cell r="B135">
            <v>20569</v>
          </cell>
          <cell r="C135">
            <v>20569</v>
          </cell>
          <cell r="D135" t="str">
            <v>ASB</v>
          </cell>
          <cell r="E135" t="str">
            <v>B</v>
          </cell>
          <cell r="F135" t="str">
            <v xml:space="preserve">ACCOUNTANT II                      </v>
          </cell>
          <cell r="G135" t="str">
            <v>0647A</v>
          </cell>
          <cell r="H135">
            <v>4046.36</v>
          </cell>
          <cell r="I135">
            <v>1</v>
          </cell>
          <cell r="J135">
            <v>12</v>
          </cell>
          <cell r="K135">
            <v>1</v>
          </cell>
          <cell r="L135">
            <v>48556</v>
          </cell>
        </row>
        <row r="136">
          <cell r="A136">
            <v>102587</v>
          </cell>
          <cell r="B136">
            <v>20569</v>
          </cell>
          <cell r="C136">
            <v>20569</v>
          </cell>
          <cell r="D136" t="str">
            <v>ASB</v>
          </cell>
          <cell r="E136" t="str">
            <v>B</v>
          </cell>
          <cell r="F136" t="str">
            <v xml:space="preserve">ACCOUNTANT II                      </v>
          </cell>
          <cell r="G136" t="str">
            <v>0647A</v>
          </cell>
          <cell r="H136">
            <v>4046.36</v>
          </cell>
          <cell r="I136">
            <v>1</v>
          </cell>
          <cell r="J136">
            <v>12</v>
          </cell>
          <cell r="K136">
            <v>1</v>
          </cell>
          <cell r="L136">
            <v>48556</v>
          </cell>
        </row>
        <row r="137">
          <cell r="A137">
            <v>104094</v>
          </cell>
          <cell r="B137">
            <v>20569</v>
          </cell>
          <cell r="C137">
            <v>20569</v>
          </cell>
          <cell r="D137" t="str">
            <v>ASB</v>
          </cell>
          <cell r="E137" t="str">
            <v>B</v>
          </cell>
          <cell r="F137" t="str">
            <v xml:space="preserve">ACCOUNTANT II                      </v>
          </cell>
          <cell r="G137" t="str">
            <v>0647A</v>
          </cell>
          <cell r="H137">
            <v>4046.36</v>
          </cell>
          <cell r="I137">
            <v>1</v>
          </cell>
          <cell r="J137">
            <v>12</v>
          </cell>
          <cell r="K137">
            <v>1</v>
          </cell>
          <cell r="L137">
            <v>48556</v>
          </cell>
        </row>
        <row r="138">
          <cell r="A138">
            <v>104095</v>
          </cell>
          <cell r="B138">
            <v>20569</v>
          </cell>
          <cell r="C138">
            <v>20569</v>
          </cell>
          <cell r="D138" t="str">
            <v>ASB</v>
          </cell>
          <cell r="E138" t="str">
            <v>B</v>
          </cell>
          <cell r="F138" t="str">
            <v xml:space="preserve">ACCOUNTANT II                      </v>
          </cell>
          <cell r="G138" t="str">
            <v>0647A</v>
          </cell>
          <cell r="H138">
            <v>4046.36</v>
          </cell>
          <cell r="I138">
            <v>1</v>
          </cell>
          <cell r="J138">
            <v>12</v>
          </cell>
          <cell r="K138">
            <v>1</v>
          </cell>
          <cell r="L138">
            <v>48556</v>
          </cell>
        </row>
        <row r="139">
          <cell r="A139">
            <v>104850</v>
          </cell>
          <cell r="B139">
            <v>20569</v>
          </cell>
          <cell r="C139">
            <v>20569</v>
          </cell>
          <cell r="D139" t="str">
            <v>ASB</v>
          </cell>
          <cell r="E139" t="str">
            <v>B</v>
          </cell>
          <cell r="F139" t="str">
            <v xml:space="preserve">ACCOUNTANT II                      </v>
          </cell>
          <cell r="G139" t="str">
            <v>0647A</v>
          </cell>
          <cell r="H139">
            <v>4046.36</v>
          </cell>
          <cell r="I139">
            <v>1</v>
          </cell>
          <cell r="J139">
            <v>12</v>
          </cell>
          <cell r="K139">
            <v>1</v>
          </cell>
          <cell r="L139">
            <v>48556</v>
          </cell>
        </row>
        <row r="140">
          <cell r="A140">
            <v>106212</v>
          </cell>
          <cell r="B140">
            <v>20569</v>
          </cell>
          <cell r="C140">
            <v>20569</v>
          </cell>
          <cell r="D140" t="str">
            <v>ASB</v>
          </cell>
          <cell r="E140" t="str">
            <v>B</v>
          </cell>
          <cell r="F140" t="str">
            <v xml:space="preserve">ACCOUNTANT II                      </v>
          </cell>
          <cell r="G140" t="str">
            <v>0647A</v>
          </cell>
          <cell r="H140">
            <v>4046.36</v>
          </cell>
          <cell r="I140">
            <v>1</v>
          </cell>
          <cell r="J140">
            <v>12</v>
          </cell>
          <cell r="K140">
            <v>1</v>
          </cell>
          <cell r="L140">
            <v>48556</v>
          </cell>
        </row>
        <row r="141">
          <cell r="A141">
            <v>107142</v>
          </cell>
          <cell r="B141">
            <v>21556</v>
          </cell>
          <cell r="C141">
            <v>20569</v>
          </cell>
          <cell r="D141" t="str">
            <v>ASB</v>
          </cell>
          <cell r="E141" t="str">
            <v>B</v>
          </cell>
          <cell r="F141" t="str">
            <v xml:space="preserve">ACCOUNTANT II                      </v>
          </cell>
          <cell r="G141" t="str">
            <v>0647A</v>
          </cell>
          <cell r="H141">
            <v>4046.36</v>
          </cell>
          <cell r="I141">
            <v>1</v>
          </cell>
          <cell r="J141">
            <v>12</v>
          </cell>
          <cell r="K141">
            <v>1</v>
          </cell>
          <cell r="L141">
            <v>48556</v>
          </cell>
        </row>
        <row r="142">
          <cell r="A142">
            <v>107702</v>
          </cell>
          <cell r="B142">
            <v>20569</v>
          </cell>
          <cell r="C142">
            <v>20569</v>
          </cell>
          <cell r="D142" t="str">
            <v>ASB</v>
          </cell>
          <cell r="E142" t="str">
            <v>B</v>
          </cell>
          <cell r="F142" t="str">
            <v xml:space="preserve">ACCOUNTANT II                      </v>
          </cell>
          <cell r="G142" t="str">
            <v>0647A</v>
          </cell>
          <cell r="H142">
            <v>4046.36</v>
          </cell>
          <cell r="I142">
            <v>1</v>
          </cell>
          <cell r="J142">
            <v>12</v>
          </cell>
          <cell r="K142">
            <v>1</v>
          </cell>
          <cell r="L142">
            <v>48556</v>
          </cell>
        </row>
        <row r="143">
          <cell r="A143">
            <v>100021</v>
          </cell>
          <cell r="B143">
            <v>20569</v>
          </cell>
          <cell r="C143">
            <v>20569</v>
          </cell>
          <cell r="D143" t="str">
            <v>ASB</v>
          </cell>
          <cell r="E143" t="str">
            <v>B</v>
          </cell>
          <cell r="F143" t="str">
            <v xml:space="preserve">ACCOUNTANT III                     </v>
          </cell>
          <cell r="G143" t="str">
            <v>0648A</v>
          </cell>
          <cell r="H143">
            <v>4531.82</v>
          </cell>
          <cell r="I143">
            <v>1</v>
          </cell>
          <cell r="J143">
            <v>12</v>
          </cell>
          <cell r="K143">
            <v>1</v>
          </cell>
          <cell r="L143">
            <v>54381.68</v>
          </cell>
        </row>
        <row r="144">
          <cell r="A144">
            <v>109970</v>
          </cell>
          <cell r="B144">
            <v>20569</v>
          </cell>
          <cell r="C144">
            <v>20569</v>
          </cell>
          <cell r="D144" t="str">
            <v>ASB</v>
          </cell>
          <cell r="E144" t="str">
            <v>B</v>
          </cell>
          <cell r="F144" t="str">
            <v xml:space="preserve">ACCOUNTANT III                     </v>
          </cell>
          <cell r="G144" t="str">
            <v>0648A</v>
          </cell>
          <cell r="H144">
            <v>4531.82</v>
          </cell>
          <cell r="I144">
            <v>1</v>
          </cell>
          <cell r="J144">
            <v>12</v>
          </cell>
          <cell r="K144">
            <v>1</v>
          </cell>
          <cell r="L144">
            <v>54381.84</v>
          </cell>
        </row>
        <row r="145">
          <cell r="A145">
            <v>109971</v>
          </cell>
          <cell r="B145">
            <v>20569</v>
          </cell>
          <cell r="C145">
            <v>20569</v>
          </cell>
          <cell r="D145" t="str">
            <v>ASB</v>
          </cell>
          <cell r="E145" t="str">
            <v>B</v>
          </cell>
          <cell r="F145" t="str">
            <v xml:space="preserve">ACCOUNTANT III                     </v>
          </cell>
          <cell r="G145" t="str">
            <v>0648A</v>
          </cell>
          <cell r="H145">
            <v>4531.82</v>
          </cell>
          <cell r="I145">
            <v>1</v>
          </cell>
          <cell r="J145">
            <v>12</v>
          </cell>
          <cell r="K145">
            <v>1</v>
          </cell>
          <cell r="L145">
            <v>54381.84</v>
          </cell>
        </row>
        <row r="146">
          <cell r="A146">
            <v>109972</v>
          </cell>
          <cell r="B146">
            <v>20569</v>
          </cell>
          <cell r="C146">
            <v>20569</v>
          </cell>
          <cell r="D146" t="str">
            <v>ASB</v>
          </cell>
          <cell r="E146" t="str">
            <v>B</v>
          </cell>
          <cell r="F146" t="str">
            <v xml:space="preserve">ACCOUNTANT III                     </v>
          </cell>
          <cell r="G146" t="str">
            <v>0648A</v>
          </cell>
          <cell r="H146">
            <v>4531.82</v>
          </cell>
          <cell r="I146">
            <v>1</v>
          </cell>
          <cell r="J146">
            <v>12</v>
          </cell>
          <cell r="K146">
            <v>1</v>
          </cell>
          <cell r="L146">
            <v>54381.84</v>
          </cell>
        </row>
        <row r="147">
          <cell r="A147">
            <v>102052</v>
          </cell>
          <cell r="B147">
            <v>20569</v>
          </cell>
          <cell r="C147">
            <v>20569</v>
          </cell>
          <cell r="D147" t="str">
            <v>ASB</v>
          </cell>
          <cell r="E147" t="str">
            <v>B</v>
          </cell>
          <cell r="F147" t="str">
            <v xml:space="preserve">ACCOUNTING OFFICER II              </v>
          </cell>
          <cell r="G147" t="str">
            <v>0657A</v>
          </cell>
          <cell r="H147">
            <v>5425.82</v>
          </cell>
          <cell r="I147">
            <v>1</v>
          </cell>
          <cell r="J147">
            <v>12</v>
          </cell>
          <cell r="K147">
            <v>1</v>
          </cell>
          <cell r="L147">
            <v>65109.84</v>
          </cell>
        </row>
        <row r="148">
          <cell r="A148">
            <v>102746</v>
          </cell>
          <cell r="B148">
            <v>20569</v>
          </cell>
          <cell r="C148">
            <v>20569</v>
          </cell>
          <cell r="D148" t="str">
            <v>ASB</v>
          </cell>
          <cell r="E148" t="str">
            <v>B</v>
          </cell>
          <cell r="F148" t="str">
            <v xml:space="preserve">FISCAL OFFICER I                   </v>
          </cell>
          <cell r="G148" t="str">
            <v>0752A</v>
          </cell>
          <cell r="H148">
            <v>6543.73</v>
          </cell>
          <cell r="I148">
            <v>1</v>
          </cell>
          <cell r="J148">
            <v>12</v>
          </cell>
          <cell r="K148">
            <v>1</v>
          </cell>
          <cell r="L148">
            <v>78525.08</v>
          </cell>
        </row>
        <row r="149">
          <cell r="A149">
            <v>109969</v>
          </cell>
          <cell r="B149">
            <v>20569</v>
          </cell>
          <cell r="C149">
            <v>20569</v>
          </cell>
          <cell r="D149" t="str">
            <v>ASB</v>
          </cell>
          <cell r="E149" t="str">
            <v>B</v>
          </cell>
          <cell r="F149" t="str">
            <v xml:space="preserve">FISCAL OFFICER I                   </v>
          </cell>
          <cell r="G149" t="str">
            <v>0752A</v>
          </cell>
          <cell r="H149">
            <v>6543.73</v>
          </cell>
          <cell r="I149">
            <v>1</v>
          </cell>
          <cell r="J149">
            <v>12</v>
          </cell>
          <cell r="K149">
            <v>1</v>
          </cell>
          <cell r="L149">
            <v>78524.759999999995</v>
          </cell>
        </row>
        <row r="150">
          <cell r="A150">
            <v>102577</v>
          </cell>
          <cell r="B150">
            <v>20569</v>
          </cell>
          <cell r="C150">
            <v>20569</v>
          </cell>
          <cell r="D150" t="str">
            <v>ASB</v>
          </cell>
          <cell r="E150" t="str">
            <v>B</v>
          </cell>
          <cell r="F150" t="str">
            <v>HEALTH CARE FINANCIAL ANALYST</v>
          </cell>
          <cell r="G150" t="str">
            <v>0672A</v>
          </cell>
          <cell r="H150">
            <v>5038.91</v>
          </cell>
          <cell r="I150">
            <v>1</v>
          </cell>
          <cell r="J150">
            <v>12</v>
          </cell>
          <cell r="K150">
            <v>1</v>
          </cell>
          <cell r="L150">
            <v>60466.92</v>
          </cell>
        </row>
        <row r="151">
          <cell r="A151">
            <v>109973</v>
          </cell>
          <cell r="B151">
            <v>20569</v>
          </cell>
          <cell r="C151">
            <v>20569</v>
          </cell>
          <cell r="D151" t="str">
            <v>ASB</v>
          </cell>
          <cell r="E151" t="str">
            <v>B</v>
          </cell>
          <cell r="F151" t="str">
            <v>INTERMEDIATE TYPIST-CLERK</v>
          </cell>
          <cell r="G151" t="str">
            <v>2214A</v>
          </cell>
          <cell r="H151">
            <v>2675.27</v>
          </cell>
          <cell r="I151">
            <v>1</v>
          </cell>
          <cell r="J151">
            <v>12</v>
          </cell>
          <cell r="K151">
            <v>1</v>
          </cell>
          <cell r="L151">
            <v>32103.24</v>
          </cell>
        </row>
        <row r="152">
          <cell r="A152">
            <v>102048</v>
          </cell>
          <cell r="B152">
            <v>20569</v>
          </cell>
          <cell r="C152">
            <v>20569</v>
          </cell>
          <cell r="D152" t="str">
            <v>ASB</v>
          </cell>
          <cell r="E152" t="str">
            <v>B</v>
          </cell>
          <cell r="F152" t="str">
            <v>SENIOR ACCTG SYSTEMS TECHNICIAN</v>
          </cell>
          <cell r="G152" t="str">
            <v>0666A</v>
          </cell>
          <cell r="H152">
            <v>5973</v>
          </cell>
          <cell r="I152">
            <v>1</v>
          </cell>
          <cell r="J152">
            <v>12</v>
          </cell>
          <cell r="K152">
            <v>1</v>
          </cell>
          <cell r="L152">
            <v>71676.399999999994</v>
          </cell>
        </row>
        <row r="153">
          <cell r="A153">
            <v>101786</v>
          </cell>
          <cell r="B153">
            <v>20569</v>
          </cell>
          <cell r="C153">
            <v>20569</v>
          </cell>
          <cell r="D153" t="str">
            <v>ASB</v>
          </cell>
          <cell r="E153" t="str">
            <v>B</v>
          </cell>
          <cell r="F153" t="str">
            <v xml:space="preserve">SENIOR TYPIST-CLERK                </v>
          </cell>
          <cell r="G153" t="str">
            <v>2216A</v>
          </cell>
          <cell r="H153">
            <v>3013.55</v>
          </cell>
          <cell r="I153">
            <v>1</v>
          </cell>
          <cell r="J153">
            <v>12</v>
          </cell>
          <cell r="K153">
            <v>1</v>
          </cell>
          <cell r="L153">
            <v>36162.6</v>
          </cell>
        </row>
        <row r="154">
          <cell r="A154">
            <v>106208</v>
          </cell>
          <cell r="B154">
            <v>21553</v>
          </cell>
          <cell r="C154">
            <v>21553</v>
          </cell>
          <cell r="D154" t="str">
            <v>ASB</v>
          </cell>
          <cell r="E154" t="str">
            <v>B</v>
          </cell>
          <cell r="F154" t="str">
            <v>ACCOUNT CLERK I</v>
          </cell>
          <cell r="G154" t="str">
            <v>0577A</v>
          </cell>
          <cell r="H154">
            <v>2649.27</v>
          </cell>
          <cell r="I154">
            <v>1</v>
          </cell>
          <cell r="J154">
            <v>12</v>
          </cell>
          <cell r="K154">
            <v>1</v>
          </cell>
          <cell r="L154">
            <v>31791.48</v>
          </cell>
        </row>
        <row r="155">
          <cell r="A155">
            <v>102051</v>
          </cell>
          <cell r="B155">
            <v>21553</v>
          </cell>
          <cell r="C155">
            <v>21553</v>
          </cell>
          <cell r="D155" t="str">
            <v>ASB</v>
          </cell>
          <cell r="E155" t="str">
            <v>B</v>
          </cell>
          <cell r="F155" t="str">
            <v xml:space="preserve">ACCOUNT CLERK II                   </v>
          </cell>
          <cell r="G155" t="str">
            <v>0578A</v>
          </cell>
          <cell r="H155">
            <v>2864</v>
          </cell>
          <cell r="I155">
            <v>1</v>
          </cell>
          <cell r="J155">
            <v>12</v>
          </cell>
          <cell r="K155">
            <v>1</v>
          </cell>
          <cell r="L155">
            <v>34368.239999999998</v>
          </cell>
        </row>
        <row r="156">
          <cell r="A156">
            <v>107683</v>
          </cell>
          <cell r="B156">
            <v>21553</v>
          </cell>
          <cell r="C156">
            <v>21553</v>
          </cell>
          <cell r="D156" t="str">
            <v>ASB</v>
          </cell>
          <cell r="E156" t="str">
            <v>B</v>
          </cell>
          <cell r="F156" t="str">
            <v xml:space="preserve">ACCOUNT CLERK II                   </v>
          </cell>
          <cell r="G156" t="str">
            <v>0578A</v>
          </cell>
          <cell r="H156">
            <v>2864</v>
          </cell>
          <cell r="I156">
            <v>1</v>
          </cell>
          <cell r="J156">
            <v>12</v>
          </cell>
          <cell r="K156">
            <v>1</v>
          </cell>
          <cell r="L156">
            <v>34368.239999999998</v>
          </cell>
        </row>
        <row r="157">
          <cell r="A157">
            <v>107704</v>
          </cell>
          <cell r="B157">
            <v>21553</v>
          </cell>
          <cell r="C157">
            <v>21553</v>
          </cell>
          <cell r="D157" t="str">
            <v>ASB</v>
          </cell>
          <cell r="E157" t="str">
            <v>B</v>
          </cell>
          <cell r="F157" t="str">
            <v xml:space="preserve">ACCOUNT CLERK II                   </v>
          </cell>
          <cell r="G157" t="str">
            <v>0578A</v>
          </cell>
          <cell r="H157">
            <v>2864</v>
          </cell>
          <cell r="I157">
            <v>1</v>
          </cell>
          <cell r="J157">
            <v>12</v>
          </cell>
          <cell r="K157">
            <v>1</v>
          </cell>
          <cell r="L157">
            <v>34368.239999999998</v>
          </cell>
        </row>
        <row r="158">
          <cell r="A158">
            <v>104843</v>
          </cell>
          <cell r="B158">
            <v>21553</v>
          </cell>
          <cell r="C158">
            <v>21553</v>
          </cell>
          <cell r="D158" t="str">
            <v>ASB</v>
          </cell>
          <cell r="E158" t="str">
            <v>B</v>
          </cell>
          <cell r="F158" t="str">
            <v xml:space="preserve">ACCOUNTANT II                      </v>
          </cell>
          <cell r="G158" t="str">
            <v>0647A</v>
          </cell>
          <cell r="H158">
            <v>4046.36</v>
          </cell>
          <cell r="I158">
            <v>1</v>
          </cell>
          <cell r="J158">
            <v>12</v>
          </cell>
          <cell r="K158">
            <v>1</v>
          </cell>
          <cell r="L158">
            <v>48556</v>
          </cell>
        </row>
        <row r="159">
          <cell r="A159">
            <v>106209</v>
          </cell>
          <cell r="B159">
            <v>21553</v>
          </cell>
          <cell r="C159">
            <v>21553</v>
          </cell>
          <cell r="D159" t="str">
            <v>ASB</v>
          </cell>
          <cell r="E159" t="str">
            <v>B</v>
          </cell>
          <cell r="F159" t="str">
            <v xml:space="preserve">ACCOUNTANT II                      </v>
          </cell>
          <cell r="G159" t="str">
            <v>0647A</v>
          </cell>
          <cell r="H159">
            <v>4046.36</v>
          </cell>
          <cell r="I159">
            <v>1</v>
          </cell>
          <cell r="J159">
            <v>12</v>
          </cell>
          <cell r="K159">
            <v>1</v>
          </cell>
          <cell r="L159">
            <v>48556</v>
          </cell>
        </row>
        <row r="160">
          <cell r="A160">
            <v>107681</v>
          </cell>
          <cell r="B160">
            <v>21553</v>
          </cell>
          <cell r="C160">
            <v>21553</v>
          </cell>
          <cell r="D160" t="str">
            <v>ASB</v>
          </cell>
          <cell r="E160" t="str">
            <v>B</v>
          </cell>
          <cell r="F160" t="str">
            <v xml:space="preserve">ACCOUNTANT II                      </v>
          </cell>
          <cell r="G160" t="str">
            <v>0647A</v>
          </cell>
          <cell r="H160">
            <v>4046.36</v>
          </cell>
          <cell r="I160">
            <v>1</v>
          </cell>
          <cell r="J160">
            <v>12</v>
          </cell>
          <cell r="K160">
            <v>1</v>
          </cell>
          <cell r="L160">
            <v>48556</v>
          </cell>
        </row>
        <row r="161">
          <cell r="A161">
            <v>100026</v>
          </cell>
          <cell r="B161">
            <v>21553</v>
          </cell>
          <cell r="C161">
            <v>21553</v>
          </cell>
          <cell r="D161" t="str">
            <v>ASB</v>
          </cell>
          <cell r="E161" t="str">
            <v>B</v>
          </cell>
          <cell r="F161" t="str">
            <v xml:space="preserve">ACCOUNTING OFFICER I               </v>
          </cell>
          <cell r="G161" t="str">
            <v>0656A</v>
          </cell>
          <cell r="H161">
            <v>4761.09</v>
          </cell>
          <cell r="I161">
            <v>1</v>
          </cell>
          <cell r="J161">
            <v>12</v>
          </cell>
          <cell r="K161">
            <v>1</v>
          </cell>
          <cell r="L161">
            <v>57133.16</v>
          </cell>
        </row>
        <row r="162">
          <cell r="A162">
            <v>107680</v>
          </cell>
          <cell r="B162">
            <v>21553</v>
          </cell>
          <cell r="C162">
            <v>21553</v>
          </cell>
          <cell r="D162" t="str">
            <v>ASB</v>
          </cell>
          <cell r="E162" t="str">
            <v>B</v>
          </cell>
          <cell r="F162" t="str">
            <v xml:space="preserve">ACCOUNTING SYSTEMS TECHNICIAN      </v>
          </cell>
          <cell r="G162" t="str">
            <v>0665A</v>
          </cell>
          <cell r="H162">
            <v>4565.3599999999997</v>
          </cell>
          <cell r="I162">
            <v>1</v>
          </cell>
          <cell r="J162">
            <v>12</v>
          </cell>
          <cell r="K162">
            <v>1</v>
          </cell>
          <cell r="L162">
            <v>54784.160000000003</v>
          </cell>
        </row>
        <row r="163">
          <cell r="A163">
            <v>102579</v>
          </cell>
          <cell r="B163">
            <v>21553</v>
          </cell>
          <cell r="C163">
            <v>21553</v>
          </cell>
          <cell r="D163" t="str">
            <v>ASB</v>
          </cell>
          <cell r="E163" t="str">
            <v>B</v>
          </cell>
          <cell r="F163" t="str">
            <v>ADMINISTRATIVE SERVICES MANAGER II</v>
          </cell>
          <cell r="G163" t="str">
            <v>1003A</v>
          </cell>
          <cell r="H163">
            <v>6400.36</v>
          </cell>
          <cell r="I163">
            <v>1</v>
          </cell>
          <cell r="J163">
            <v>12</v>
          </cell>
          <cell r="K163">
            <v>1</v>
          </cell>
          <cell r="L163">
            <v>76804.72</v>
          </cell>
        </row>
        <row r="164">
          <cell r="A164">
            <v>102574</v>
          </cell>
          <cell r="B164">
            <v>21553</v>
          </cell>
          <cell r="C164">
            <v>21553</v>
          </cell>
          <cell r="D164" t="str">
            <v>ASB</v>
          </cell>
          <cell r="E164" t="str">
            <v>B</v>
          </cell>
          <cell r="F164" t="str">
            <v>HEALTH CARE FINANCIAL ANALYST</v>
          </cell>
          <cell r="G164" t="str">
            <v>0672A</v>
          </cell>
          <cell r="H164">
            <v>5038.91</v>
          </cell>
          <cell r="I164">
            <v>1</v>
          </cell>
          <cell r="J164">
            <v>12</v>
          </cell>
          <cell r="K164">
            <v>1</v>
          </cell>
          <cell r="L164">
            <v>60466.92</v>
          </cell>
        </row>
        <row r="165">
          <cell r="A165">
            <v>104845</v>
          </cell>
          <cell r="B165">
            <v>21553</v>
          </cell>
          <cell r="C165">
            <v>21553</v>
          </cell>
          <cell r="D165" t="str">
            <v>ASB</v>
          </cell>
          <cell r="E165" t="str">
            <v>B</v>
          </cell>
          <cell r="F165" t="str">
            <v>HEALTH CARE FINANCIAL ANALYST</v>
          </cell>
          <cell r="G165" t="str">
            <v>0672A</v>
          </cell>
          <cell r="H165">
            <v>5038.91</v>
          </cell>
          <cell r="I165">
            <v>1</v>
          </cell>
          <cell r="J165">
            <v>12</v>
          </cell>
          <cell r="K165">
            <v>1</v>
          </cell>
          <cell r="L165">
            <v>60466.92</v>
          </cell>
        </row>
        <row r="166">
          <cell r="A166">
            <v>106418</v>
          </cell>
          <cell r="B166">
            <v>21553</v>
          </cell>
          <cell r="C166">
            <v>21553</v>
          </cell>
          <cell r="D166" t="str">
            <v>ASB</v>
          </cell>
          <cell r="E166" t="str">
            <v>B</v>
          </cell>
          <cell r="F166" t="str">
            <v>HEALTH CARE FINANCIAL ANALYST</v>
          </cell>
          <cell r="G166" t="str">
            <v>0672A</v>
          </cell>
          <cell r="H166">
            <v>5038.91</v>
          </cell>
          <cell r="I166">
            <v>1</v>
          </cell>
          <cell r="J166">
            <v>12</v>
          </cell>
          <cell r="K166">
            <v>1</v>
          </cell>
          <cell r="L166">
            <v>60466.92</v>
          </cell>
        </row>
        <row r="167">
          <cell r="A167">
            <v>104026</v>
          </cell>
          <cell r="B167">
            <v>21553</v>
          </cell>
          <cell r="C167">
            <v>21553</v>
          </cell>
          <cell r="D167" t="str">
            <v>ASB</v>
          </cell>
          <cell r="E167" t="str">
            <v>B</v>
          </cell>
          <cell r="F167" t="str">
            <v xml:space="preserve">SECRETARY III                      </v>
          </cell>
          <cell r="G167" t="str">
            <v>2096A</v>
          </cell>
          <cell r="H167">
            <v>3387</v>
          </cell>
          <cell r="I167">
            <v>1</v>
          </cell>
          <cell r="J167">
            <v>12</v>
          </cell>
          <cell r="K167">
            <v>1</v>
          </cell>
          <cell r="L167">
            <v>40643.839999999997</v>
          </cell>
        </row>
        <row r="168">
          <cell r="A168">
            <v>107701</v>
          </cell>
          <cell r="B168">
            <v>21550</v>
          </cell>
          <cell r="C168">
            <v>21553</v>
          </cell>
          <cell r="D168" t="str">
            <v>ASB</v>
          </cell>
          <cell r="E168" t="str">
            <v>B</v>
          </cell>
          <cell r="F168" t="str">
            <v>SENIOR ACCTG SYSTEMS TECHNICIAN</v>
          </cell>
          <cell r="G168" t="str">
            <v>0666A</v>
          </cell>
          <cell r="H168">
            <v>5973</v>
          </cell>
          <cell r="I168">
            <v>1</v>
          </cell>
          <cell r="J168">
            <v>12</v>
          </cell>
          <cell r="K168">
            <v>1</v>
          </cell>
          <cell r="L168">
            <v>71676.399999999994</v>
          </cell>
        </row>
        <row r="169">
          <cell r="A169">
            <v>104844</v>
          </cell>
          <cell r="B169">
            <v>20567</v>
          </cell>
          <cell r="C169">
            <v>20567</v>
          </cell>
          <cell r="D169" t="str">
            <v>ASB</v>
          </cell>
          <cell r="E169" t="str">
            <v>B</v>
          </cell>
          <cell r="F169" t="str">
            <v xml:space="preserve">ADMINISTRATIVE ASSISTANT II        </v>
          </cell>
          <cell r="G169" t="str">
            <v>0888A</v>
          </cell>
          <cell r="H169">
            <v>4334.6400000000003</v>
          </cell>
          <cell r="I169">
            <v>1</v>
          </cell>
          <cell r="J169">
            <v>12</v>
          </cell>
          <cell r="K169">
            <v>1</v>
          </cell>
          <cell r="L169">
            <v>52015.360000000001</v>
          </cell>
        </row>
        <row r="170">
          <cell r="A170">
            <v>100081</v>
          </cell>
          <cell r="B170">
            <v>20567</v>
          </cell>
          <cell r="C170">
            <v>20567</v>
          </cell>
          <cell r="D170" t="str">
            <v>ASB</v>
          </cell>
          <cell r="E170" t="str">
            <v>B</v>
          </cell>
          <cell r="F170" t="str">
            <v xml:space="preserve">BUDGET OFFICER,MENTAL HEALTH  </v>
          </cell>
          <cell r="G170" t="str">
            <v>4721A</v>
          </cell>
          <cell r="H170">
            <v>8476.36</v>
          </cell>
          <cell r="I170">
            <v>1</v>
          </cell>
          <cell r="J170">
            <v>12</v>
          </cell>
          <cell r="K170">
            <v>1</v>
          </cell>
          <cell r="L170">
            <v>101716.32</v>
          </cell>
        </row>
        <row r="171">
          <cell r="A171">
            <v>102040</v>
          </cell>
          <cell r="B171">
            <v>20567</v>
          </cell>
          <cell r="C171">
            <v>20567</v>
          </cell>
          <cell r="D171" t="str">
            <v>ASB</v>
          </cell>
          <cell r="E171" t="str">
            <v>B</v>
          </cell>
          <cell r="F171" t="str">
            <v xml:space="preserve">FISCAL OFFICER I                   </v>
          </cell>
          <cell r="G171" t="str">
            <v>0752A</v>
          </cell>
          <cell r="H171">
            <v>6543.73</v>
          </cell>
          <cell r="I171">
            <v>1</v>
          </cell>
          <cell r="J171">
            <v>12</v>
          </cell>
          <cell r="K171">
            <v>1</v>
          </cell>
          <cell r="L171">
            <v>78525.08</v>
          </cell>
        </row>
        <row r="172">
          <cell r="A172">
            <v>102041</v>
          </cell>
          <cell r="B172">
            <v>20567</v>
          </cell>
          <cell r="C172">
            <v>20567</v>
          </cell>
          <cell r="D172" t="str">
            <v>ASB</v>
          </cell>
          <cell r="E172" t="str">
            <v>B</v>
          </cell>
          <cell r="F172" t="str">
            <v xml:space="preserve">FISCAL OFFICER I                   </v>
          </cell>
          <cell r="G172" t="str">
            <v>0752A</v>
          </cell>
          <cell r="H172">
            <v>6543.73</v>
          </cell>
          <cell r="I172">
            <v>1</v>
          </cell>
          <cell r="J172">
            <v>12</v>
          </cell>
          <cell r="K172">
            <v>1</v>
          </cell>
          <cell r="L172">
            <v>78525.08</v>
          </cell>
        </row>
        <row r="173">
          <cell r="A173">
            <v>102042</v>
          </cell>
          <cell r="B173">
            <v>20567</v>
          </cell>
          <cell r="C173">
            <v>20567</v>
          </cell>
          <cell r="D173" t="str">
            <v>ASB</v>
          </cell>
          <cell r="E173" t="str">
            <v>B</v>
          </cell>
          <cell r="F173" t="str">
            <v>HEALTH CARE FINANCIAL ANALYST</v>
          </cell>
          <cell r="G173" t="str">
            <v>0672A</v>
          </cell>
          <cell r="H173">
            <v>5038.91</v>
          </cell>
          <cell r="I173">
            <v>1</v>
          </cell>
          <cell r="J173">
            <v>12</v>
          </cell>
          <cell r="K173">
            <v>1</v>
          </cell>
          <cell r="L173">
            <v>60466.92</v>
          </cell>
        </row>
        <row r="174">
          <cell r="A174">
            <v>102043</v>
          </cell>
          <cell r="B174">
            <v>20567</v>
          </cell>
          <cell r="C174">
            <v>20567</v>
          </cell>
          <cell r="D174" t="str">
            <v>ASB</v>
          </cell>
          <cell r="E174" t="str">
            <v>B</v>
          </cell>
          <cell r="F174" t="str">
            <v>HEALTH CARE FINANCIAL ANALYST</v>
          </cell>
          <cell r="G174" t="str">
            <v>0672A</v>
          </cell>
          <cell r="H174">
            <v>5038.91</v>
          </cell>
          <cell r="I174">
            <v>1</v>
          </cell>
          <cell r="J174">
            <v>12</v>
          </cell>
          <cell r="K174">
            <v>1</v>
          </cell>
          <cell r="L174">
            <v>60466.92</v>
          </cell>
        </row>
        <row r="175">
          <cell r="A175">
            <v>102044</v>
          </cell>
          <cell r="B175">
            <v>20567</v>
          </cell>
          <cell r="C175">
            <v>20567</v>
          </cell>
          <cell r="D175" t="str">
            <v>ASB</v>
          </cell>
          <cell r="E175" t="str">
            <v>B</v>
          </cell>
          <cell r="F175" t="str">
            <v>HEALTH CARE FINANCIAL ANALYST</v>
          </cell>
          <cell r="G175" t="str">
            <v>0672A</v>
          </cell>
          <cell r="H175">
            <v>5038.91</v>
          </cell>
          <cell r="I175">
            <v>1</v>
          </cell>
          <cell r="J175">
            <v>12</v>
          </cell>
          <cell r="K175">
            <v>1</v>
          </cell>
          <cell r="L175">
            <v>60466.92</v>
          </cell>
        </row>
        <row r="176">
          <cell r="A176">
            <v>102046</v>
          </cell>
          <cell r="B176">
            <v>20567</v>
          </cell>
          <cell r="C176">
            <v>20567</v>
          </cell>
          <cell r="D176" t="str">
            <v>ASB</v>
          </cell>
          <cell r="E176" t="str">
            <v>B</v>
          </cell>
          <cell r="F176" t="str">
            <v>HEALTH CARE FINANCIAL ANALYST</v>
          </cell>
          <cell r="G176" t="str">
            <v>0672A</v>
          </cell>
          <cell r="H176">
            <v>5038.91</v>
          </cell>
          <cell r="I176">
            <v>1</v>
          </cell>
          <cell r="J176">
            <v>12</v>
          </cell>
          <cell r="K176">
            <v>1</v>
          </cell>
          <cell r="L176">
            <v>60466.92</v>
          </cell>
        </row>
        <row r="177">
          <cell r="A177">
            <v>102573</v>
          </cell>
          <cell r="B177">
            <v>20567</v>
          </cell>
          <cell r="C177">
            <v>20567</v>
          </cell>
          <cell r="D177" t="str">
            <v>ASB</v>
          </cell>
          <cell r="E177" t="str">
            <v>B</v>
          </cell>
          <cell r="F177" t="str">
            <v>HEALTH CARE FINANCIAL ANALYST</v>
          </cell>
          <cell r="G177" t="str">
            <v>0672A</v>
          </cell>
          <cell r="H177">
            <v>5038.91</v>
          </cell>
          <cell r="I177">
            <v>1</v>
          </cell>
          <cell r="J177">
            <v>12</v>
          </cell>
          <cell r="K177">
            <v>1</v>
          </cell>
          <cell r="L177">
            <v>60466.92</v>
          </cell>
        </row>
        <row r="178">
          <cell r="A178">
            <v>102575</v>
          </cell>
          <cell r="B178">
            <v>20567</v>
          </cell>
          <cell r="C178">
            <v>20567</v>
          </cell>
          <cell r="D178" t="str">
            <v>ASB</v>
          </cell>
          <cell r="E178" t="str">
            <v>B</v>
          </cell>
          <cell r="F178" t="str">
            <v>HEALTH CARE FINANCIAL ANALYST</v>
          </cell>
          <cell r="G178" t="str">
            <v>0672A</v>
          </cell>
          <cell r="H178">
            <v>5038.91</v>
          </cell>
          <cell r="I178">
            <v>1</v>
          </cell>
          <cell r="J178">
            <v>12</v>
          </cell>
          <cell r="K178">
            <v>1</v>
          </cell>
          <cell r="L178">
            <v>60466.92</v>
          </cell>
        </row>
        <row r="179">
          <cell r="A179">
            <v>102576</v>
          </cell>
          <cell r="B179">
            <v>20567</v>
          </cell>
          <cell r="C179">
            <v>20567</v>
          </cell>
          <cell r="D179" t="str">
            <v>ASB</v>
          </cell>
          <cell r="E179" t="str">
            <v>B</v>
          </cell>
          <cell r="F179" t="str">
            <v>HEALTH CARE FINANCIAL ANALYST</v>
          </cell>
          <cell r="G179" t="str">
            <v>0672A</v>
          </cell>
          <cell r="H179">
            <v>5038.91</v>
          </cell>
          <cell r="I179">
            <v>1</v>
          </cell>
          <cell r="J179">
            <v>12</v>
          </cell>
          <cell r="K179">
            <v>1</v>
          </cell>
          <cell r="L179">
            <v>60466.92</v>
          </cell>
        </row>
        <row r="180">
          <cell r="A180">
            <v>103043</v>
          </cell>
          <cell r="B180">
            <v>20567</v>
          </cell>
          <cell r="C180">
            <v>20567</v>
          </cell>
          <cell r="D180" t="str">
            <v>ASB</v>
          </cell>
          <cell r="E180" t="str">
            <v>B</v>
          </cell>
          <cell r="F180" t="str">
            <v>HEALTH CARE FINANCIAL ANALYST</v>
          </cell>
          <cell r="G180" t="str">
            <v>0672A</v>
          </cell>
          <cell r="H180">
            <v>5038.91</v>
          </cell>
          <cell r="I180">
            <v>1</v>
          </cell>
          <cell r="J180">
            <v>12</v>
          </cell>
          <cell r="K180">
            <v>1</v>
          </cell>
          <cell r="L180">
            <v>60466.92</v>
          </cell>
        </row>
        <row r="181">
          <cell r="A181">
            <v>104076</v>
          </cell>
          <cell r="B181">
            <v>20567</v>
          </cell>
          <cell r="C181">
            <v>20567</v>
          </cell>
          <cell r="D181" t="str">
            <v>ASB</v>
          </cell>
          <cell r="E181" t="str">
            <v>B</v>
          </cell>
          <cell r="F181" t="str">
            <v>HEALTH CARE FINANCIAL ANALYST</v>
          </cell>
          <cell r="G181" t="str">
            <v>0672A</v>
          </cell>
          <cell r="H181">
            <v>5038.91</v>
          </cell>
          <cell r="I181">
            <v>1</v>
          </cell>
          <cell r="J181">
            <v>12</v>
          </cell>
          <cell r="K181">
            <v>1</v>
          </cell>
          <cell r="L181">
            <v>60466.92</v>
          </cell>
        </row>
        <row r="182">
          <cell r="A182">
            <v>104097</v>
          </cell>
          <cell r="B182">
            <v>20567</v>
          </cell>
          <cell r="C182">
            <v>20567</v>
          </cell>
          <cell r="D182" t="str">
            <v>ASB</v>
          </cell>
          <cell r="E182" t="str">
            <v>B</v>
          </cell>
          <cell r="F182" t="str">
            <v>HEALTH CARE FINANCIAL ANALYST</v>
          </cell>
          <cell r="G182" t="str">
            <v>0672A</v>
          </cell>
          <cell r="H182">
            <v>5038.91</v>
          </cell>
          <cell r="I182">
            <v>1</v>
          </cell>
          <cell r="J182">
            <v>12</v>
          </cell>
          <cell r="K182">
            <v>1</v>
          </cell>
          <cell r="L182">
            <v>60466.92</v>
          </cell>
        </row>
        <row r="183">
          <cell r="A183">
            <v>104840</v>
          </cell>
          <cell r="B183">
            <v>20567</v>
          </cell>
          <cell r="C183">
            <v>20567</v>
          </cell>
          <cell r="D183" t="str">
            <v>ASB</v>
          </cell>
          <cell r="E183" t="str">
            <v>B</v>
          </cell>
          <cell r="F183" t="str">
            <v>HEALTH CARE FINANCIAL ANALYST</v>
          </cell>
          <cell r="G183" t="str">
            <v>0672A</v>
          </cell>
          <cell r="H183">
            <v>5038.91</v>
          </cell>
          <cell r="I183">
            <v>1</v>
          </cell>
          <cell r="J183">
            <v>12</v>
          </cell>
          <cell r="K183">
            <v>1</v>
          </cell>
          <cell r="L183">
            <v>60466.92</v>
          </cell>
        </row>
        <row r="184">
          <cell r="A184">
            <v>106211</v>
          </cell>
          <cell r="B184">
            <v>20567</v>
          </cell>
          <cell r="C184">
            <v>20567</v>
          </cell>
          <cell r="D184" t="str">
            <v>ASB</v>
          </cell>
          <cell r="E184" t="str">
            <v>B</v>
          </cell>
          <cell r="F184" t="str">
            <v>HEALTH CARE FINANCIAL ANALYST</v>
          </cell>
          <cell r="G184" t="str">
            <v>0672A</v>
          </cell>
          <cell r="H184">
            <v>5038.91</v>
          </cell>
          <cell r="I184">
            <v>1</v>
          </cell>
          <cell r="J184">
            <v>12</v>
          </cell>
          <cell r="K184">
            <v>1</v>
          </cell>
          <cell r="L184">
            <v>60466.92</v>
          </cell>
        </row>
        <row r="185">
          <cell r="A185">
            <v>109968</v>
          </cell>
          <cell r="B185">
            <v>20567</v>
          </cell>
          <cell r="C185">
            <v>20567</v>
          </cell>
          <cell r="D185" t="str">
            <v>ASB</v>
          </cell>
          <cell r="E185" t="str">
            <v>B</v>
          </cell>
          <cell r="F185" t="str">
            <v>HEALTH CARE FINANCIAL ANALYST</v>
          </cell>
          <cell r="G185" t="str">
            <v>0672A</v>
          </cell>
          <cell r="H185">
            <v>5038.91</v>
          </cell>
          <cell r="I185">
            <v>1</v>
          </cell>
          <cell r="J185">
            <v>12</v>
          </cell>
          <cell r="K185">
            <v>1</v>
          </cell>
          <cell r="L185">
            <v>60466.92</v>
          </cell>
        </row>
        <row r="186">
          <cell r="A186">
            <v>100383</v>
          </cell>
          <cell r="B186">
            <v>20566</v>
          </cell>
          <cell r="C186">
            <v>20567</v>
          </cell>
          <cell r="D186" t="str">
            <v>ASB</v>
          </cell>
          <cell r="E186" t="str">
            <v>B</v>
          </cell>
          <cell r="F186" t="str">
            <v>INTERMEDIATE TYPIST-CLERK</v>
          </cell>
          <cell r="G186" t="str">
            <v>2214A</v>
          </cell>
          <cell r="H186">
            <v>2675.27</v>
          </cell>
          <cell r="I186">
            <v>1</v>
          </cell>
          <cell r="J186">
            <v>12</v>
          </cell>
          <cell r="K186">
            <v>1</v>
          </cell>
          <cell r="L186">
            <v>32103.16</v>
          </cell>
        </row>
        <row r="187">
          <cell r="A187">
            <v>104096</v>
          </cell>
          <cell r="B187">
            <v>20567</v>
          </cell>
          <cell r="C187">
            <v>20567</v>
          </cell>
          <cell r="D187" t="str">
            <v>ASB</v>
          </cell>
          <cell r="E187" t="str">
            <v>B</v>
          </cell>
          <cell r="F187" t="str">
            <v>INTERMEDIATE TYPIST-CLERK</v>
          </cell>
          <cell r="G187" t="str">
            <v>2214A</v>
          </cell>
          <cell r="H187">
            <v>2675.27</v>
          </cell>
          <cell r="I187">
            <v>1</v>
          </cell>
          <cell r="J187">
            <v>12</v>
          </cell>
          <cell r="K187">
            <v>1</v>
          </cell>
          <cell r="L187">
            <v>32103.16</v>
          </cell>
        </row>
        <row r="188">
          <cell r="A188">
            <v>106510</v>
          </cell>
          <cell r="B188">
            <v>20567</v>
          </cell>
          <cell r="C188">
            <v>20567</v>
          </cell>
          <cell r="D188" t="str">
            <v>ASB</v>
          </cell>
          <cell r="E188" t="str">
            <v>B</v>
          </cell>
          <cell r="F188" t="str">
            <v>INTERMEDIATE TYPIST-CLERK</v>
          </cell>
          <cell r="G188" t="str">
            <v>2214A</v>
          </cell>
          <cell r="H188">
            <v>2675.27</v>
          </cell>
          <cell r="I188">
            <v>1</v>
          </cell>
          <cell r="J188">
            <v>12</v>
          </cell>
          <cell r="K188">
            <v>1</v>
          </cell>
          <cell r="L188">
            <v>32103.16</v>
          </cell>
        </row>
        <row r="189">
          <cell r="A189">
            <v>102146</v>
          </cell>
          <cell r="B189">
            <v>21553</v>
          </cell>
          <cell r="C189">
            <v>20567</v>
          </cell>
          <cell r="D189" t="str">
            <v>ASB</v>
          </cell>
          <cell r="E189" t="str">
            <v>B</v>
          </cell>
          <cell r="F189" t="str">
            <v xml:space="preserve">MENTAL HEALTH ANALYST I            </v>
          </cell>
          <cell r="G189" t="str">
            <v>4727A</v>
          </cell>
          <cell r="H189">
            <v>5602.09</v>
          </cell>
          <cell r="I189">
            <v>1</v>
          </cell>
          <cell r="J189">
            <v>12</v>
          </cell>
          <cell r="K189">
            <v>1</v>
          </cell>
          <cell r="L189">
            <v>67225.16</v>
          </cell>
        </row>
        <row r="190">
          <cell r="A190">
            <v>103515</v>
          </cell>
          <cell r="B190">
            <v>20567</v>
          </cell>
          <cell r="C190">
            <v>20567</v>
          </cell>
          <cell r="D190" t="str">
            <v>ASB</v>
          </cell>
          <cell r="E190" t="str">
            <v>B</v>
          </cell>
          <cell r="F190" t="str">
            <v xml:space="preserve">MENTAL HEALTH ANALYST I            </v>
          </cell>
          <cell r="G190" t="str">
            <v>4727A</v>
          </cell>
          <cell r="H190">
            <v>5602.09</v>
          </cell>
          <cell r="I190">
            <v>1</v>
          </cell>
          <cell r="J190">
            <v>12</v>
          </cell>
          <cell r="K190">
            <v>1</v>
          </cell>
          <cell r="L190">
            <v>67225.16</v>
          </cell>
        </row>
        <row r="191">
          <cell r="A191">
            <v>103646</v>
          </cell>
          <cell r="B191">
            <v>20567</v>
          </cell>
          <cell r="C191">
            <v>20567</v>
          </cell>
          <cell r="D191" t="str">
            <v>ASB</v>
          </cell>
          <cell r="E191" t="str">
            <v>B</v>
          </cell>
          <cell r="F191" t="str">
            <v xml:space="preserve">MENTAL HEALTH ANALYST I            </v>
          </cell>
          <cell r="G191" t="str">
            <v>4727A</v>
          </cell>
          <cell r="H191">
            <v>5602.09</v>
          </cell>
          <cell r="I191">
            <v>1</v>
          </cell>
          <cell r="J191">
            <v>12</v>
          </cell>
          <cell r="K191">
            <v>1</v>
          </cell>
          <cell r="L191">
            <v>67225.16</v>
          </cell>
        </row>
        <row r="192">
          <cell r="A192">
            <v>103684</v>
          </cell>
          <cell r="B192">
            <v>20567</v>
          </cell>
          <cell r="C192">
            <v>20567</v>
          </cell>
          <cell r="D192" t="str">
            <v>ASB</v>
          </cell>
          <cell r="E192" t="str">
            <v>B</v>
          </cell>
          <cell r="F192" t="str">
            <v xml:space="preserve">MENTAL HEALTH ANALYST II           </v>
          </cell>
          <cell r="G192" t="str">
            <v>4729A</v>
          </cell>
          <cell r="H192">
            <v>6244.55</v>
          </cell>
          <cell r="I192">
            <v>1</v>
          </cell>
          <cell r="J192">
            <v>12</v>
          </cell>
          <cell r="K192">
            <v>1</v>
          </cell>
          <cell r="L192">
            <v>74934.36</v>
          </cell>
        </row>
        <row r="193">
          <cell r="A193">
            <v>102047</v>
          </cell>
          <cell r="B193">
            <v>20567</v>
          </cell>
          <cell r="C193">
            <v>20567</v>
          </cell>
          <cell r="D193" t="str">
            <v>ASB</v>
          </cell>
          <cell r="E193" t="str">
            <v>B</v>
          </cell>
          <cell r="F193" t="str">
            <v>SENIOR ACCTG SYSTEMS TECHNICIAN</v>
          </cell>
          <cell r="G193" t="str">
            <v>0666A</v>
          </cell>
          <cell r="H193">
            <v>5973</v>
          </cell>
          <cell r="I193">
            <v>1</v>
          </cell>
          <cell r="J193">
            <v>12</v>
          </cell>
          <cell r="K193">
            <v>1</v>
          </cell>
          <cell r="L193">
            <v>71676.399999999994</v>
          </cell>
        </row>
        <row r="194">
          <cell r="A194">
            <v>102049</v>
          </cell>
          <cell r="B194">
            <v>20567</v>
          </cell>
          <cell r="C194">
            <v>20567</v>
          </cell>
          <cell r="D194" t="str">
            <v>ASB</v>
          </cell>
          <cell r="E194" t="str">
            <v>B</v>
          </cell>
          <cell r="F194" t="str">
            <v>SENIOR ACCTG SYSTEMS TECHNICIAN</v>
          </cell>
          <cell r="G194" t="str">
            <v>0666A</v>
          </cell>
          <cell r="H194">
            <v>5973</v>
          </cell>
          <cell r="I194">
            <v>1</v>
          </cell>
          <cell r="J194">
            <v>12</v>
          </cell>
          <cell r="K194">
            <v>1</v>
          </cell>
          <cell r="L194">
            <v>71676.399999999994</v>
          </cell>
        </row>
        <row r="195">
          <cell r="A195">
            <v>102063</v>
          </cell>
          <cell r="B195">
            <v>20567</v>
          </cell>
          <cell r="C195">
            <v>20567</v>
          </cell>
          <cell r="D195" t="str">
            <v>ASB</v>
          </cell>
          <cell r="E195" t="str">
            <v>B</v>
          </cell>
          <cell r="F195" t="str">
            <v>SENIOR ACCTG SYSTEMS TECHNICIAN</v>
          </cell>
          <cell r="G195" t="str">
            <v>0666A</v>
          </cell>
          <cell r="H195">
            <v>5973</v>
          </cell>
          <cell r="I195">
            <v>1</v>
          </cell>
          <cell r="J195">
            <v>12</v>
          </cell>
          <cell r="K195">
            <v>1</v>
          </cell>
          <cell r="L195">
            <v>71676.399999999994</v>
          </cell>
        </row>
        <row r="196">
          <cell r="A196">
            <v>109967</v>
          </cell>
          <cell r="B196">
            <v>20567</v>
          </cell>
          <cell r="C196">
            <v>20567</v>
          </cell>
          <cell r="D196" t="str">
            <v>ASB</v>
          </cell>
          <cell r="E196" t="str">
            <v>B</v>
          </cell>
          <cell r="F196" t="str">
            <v>SENIOR ACCTG SYSTEMS TECHNICIAN</v>
          </cell>
          <cell r="G196" t="str">
            <v>0666A</v>
          </cell>
          <cell r="H196">
            <v>5973</v>
          </cell>
          <cell r="I196">
            <v>1</v>
          </cell>
          <cell r="J196">
            <v>12</v>
          </cell>
          <cell r="K196">
            <v>1</v>
          </cell>
          <cell r="L196">
            <v>71676</v>
          </cell>
        </row>
        <row r="197">
          <cell r="A197">
            <v>103676</v>
          </cell>
          <cell r="B197">
            <v>20566</v>
          </cell>
          <cell r="C197">
            <v>20567</v>
          </cell>
          <cell r="D197" t="str">
            <v>ASB</v>
          </cell>
          <cell r="E197" t="str">
            <v>B</v>
          </cell>
          <cell r="F197" t="str">
            <v xml:space="preserve">SENIOR SECRETARY III               </v>
          </cell>
          <cell r="G197" t="str">
            <v>2102A</v>
          </cell>
          <cell r="H197">
            <v>4106.3599999999997</v>
          </cell>
          <cell r="I197">
            <v>1</v>
          </cell>
          <cell r="J197">
            <v>12</v>
          </cell>
          <cell r="K197">
            <v>1</v>
          </cell>
          <cell r="L197">
            <v>49276.56</v>
          </cell>
        </row>
        <row r="198">
          <cell r="A198">
            <v>103674</v>
          </cell>
          <cell r="B198">
            <v>21553</v>
          </cell>
          <cell r="C198">
            <v>20565</v>
          </cell>
          <cell r="D198" t="str">
            <v>ASB</v>
          </cell>
          <cell r="E198" t="str">
            <v>B</v>
          </cell>
          <cell r="F198" t="str">
            <v xml:space="preserve">ACCOUNTING TECHNICIAN I            </v>
          </cell>
          <cell r="G198" t="str">
            <v>0642A</v>
          </cell>
          <cell r="H198">
            <v>3035.64</v>
          </cell>
          <cell r="I198">
            <v>1</v>
          </cell>
          <cell r="J198">
            <v>12</v>
          </cell>
          <cell r="K198">
            <v>1</v>
          </cell>
          <cell r="L198">
            <v>36427.68</v>
          </cell>
        </row>
        <row r="199">
          <cell r="A199">
            <v>100271</v>
          </cell>
          <cell r="B199">
            <v>20565</v>
          </cell>
          <cell r="C199">
            <v>20565</v>
          </cell>
          <cell r="D199" t="str">
            <v>ASB</v>
          </cell>
          <cell r="E199" t="str">
            <v>B</v>
          </cell>
          <cell r="F199" t="str">
            <v xml:space="preserve">FINANCE MANAGER, MENTAL HEALTH   </v>
          </cell>
          <cell r="G199" t="str">
            <v>4704A</v>
          </cell>
          <cell r="H199">
            <v>9830.75</v>
          </cell>
          <cell r="I199">
            <v>1</v>
          </cell>
          <cell r="J199">
            <v>12</v>
          </cell>
          <cell r="K199">
            <v>1</v>
          </cell>
          <cell r="L199">
            <v>117969</v>
          </cell>
        </row>
        <row r="200">
          <cell r="A200">
            <v>100466</v>
          </cell>
          <cell r="B200">
            <v>20565</v>
          </cell>
          <cell r="C200">
            <v>20565</v>
          </cell>
          <cell r="D200" t="str">
            <v>ASB</v>
          </cell>
          <cell r="E200" t="str">
            <v>B</v>
          </cell>
          <cell r="F200" t="str">
            <v xml:space="preserve">MANAGEMENT SECRETARY III           </v>
          </cell>
          <cell r="G200" t="str">
            <v>2109A</v>
          </cell>
          <cell r="H200">
            <v>4576.7299999999996</v>
          </cell>
          <cell r="I200">
            <v>1</v>
          </cell>
          <cell r="J200">
            <v>12</v>
          </cell>
          <cell r="K200">
            <v>1</v>
          </cell>
          <cell r="L200">
            <v>54920.52</v>
          </cell>
        </row>
        <row r="201">
          <cell r="A201">
            <v>103644</v>
          </cell>
          <cell r="B201">
            <v>20565</v>
          </cell>
          <cell r="C201">
            <v>20565</v>
          </cell>
          <cell r="D201" t="str">
            <v>ASB</v>
          </cell>
          <cell r="E201" t="str">
            <v>B</v>
          </cell>
          <cell r="F201" t="str">
            <v xml:space="preserve">MENTAL HEALTH ANALYST II           </v>
          </cell>
          <cell r="G201" t="str">
            <v>4729A</v>
          </cell>
          <cell r="H201">
            <v>6244.55</v>
          </cell>
          <cell r="I201">
            <v>1</v>
          </cell>
          <cell r="J201">
            <v>12</v>
          </cell>
          <cell r="K201">
            <v>1</v>
          </cell>
          <cell r="L201">
            <v>74934.36</v>
          </cell>
        </row>
        <row r="202">
          <cell r="A202">
            <v>109974</v>
          </cell>
          <cell r="B202">
            <v>21550</v>
          </cell>
          <cell r="C202">
            <v>21550</v>
          </cell>
          <cell r="D202" t="str">
            <v>ASB</v>
          </cell>
          <cell r="E202" t="str">
            <v>B</v>
          </cell>
          <cell r="F202" t="str">
            <v xml:space="preserve">ACCOUNTING SYSTEMS TECHNICIAN      </v>
          </cell>
          <cell r="G202" t="str">
            <v>0665A</v>
          </cell>
          <cell r="H202">
            <v>4565.3599999999997</v>
          </cell>
          <cell r="I202">
            <v>1</v>
          </cell>
          <cell r="J202">
            <v>12</v>
          </cell>
          <cell r="K202">
            <v>1</v>
          </cell>
          <cell r="L202">
            <v>54784.32</v>
          </cell>
        </row>
        <row r="203">
          <cell r="A203">
            <v>103647</v>
          </cell>
          <cell r="B203">
            <v>20566</v>
          </cell>
          <cell r="C203">
            <v>21550</v>
          </cell>
          <cell r="D203" t="str">
            <v>ASB</v>
          </cell>
          <cell r="E203" t="str">
            <v>B</v>
          </cell>
          <cell r="F203" t="str">
            <v xml:space="preserve">ACCOUNTING TECHNICIAN I            </v>
          </cell>
          <cell r="G203" t="str">
            <v>0642A</v>
          </cell>
          <cell r="H203">
            <v>3035.64</v>
          </cell>
          <cell r="I203">
            <v>1</v>
          </cell>
          <cell r="J203">
            <v>12</v>
          </cell>
          <cell r="K203">
            <v>1</v>
          </cell>
          <cell r="L203">
            <v>36427.68</v>
          </cell>
        </row>
        <row r="204">
          <cell r="A204">
            <v>109975</v>
          </cell>
          <cell r="B204">
            <v>21550</v>
          </cell>
          <cell r="C204">
            <v>21550</v>
          </cell>
          <cell r="D204" t="str">
            <v>ASB</v>
          </cell>
          <cell r="E204" t="str">
            <v>B</v>
          </cell>
          <cell r="F204" t="str">
            <v>ADMINISTRATIVE ASSISTANT I</v>
          </cell>
          <cell r="G204" t="str">
            <v>0887A</v>
          </cell>
          <cell r="H204">
            <v>3370.64</v>
          </cell>
          <cell r="I204">
            <v>1</v>
          </cell>
          <cell r="J204">
            <v>12</v>
          </cell>
          <cell r="K204">
            <v>1</v>
          </cell>
          <cell r="L204">
            <v>40447.68</v>
          </cell>
        </row>
        <row r="205">
          <cell r="A205">
            <v>109732</v>
          </cell>
          <cell r="B205">
            <v>21550</v>
          </cell>
          <cell r="C205">
            <v>21550</v>
          </cell>
          <cell r="D205" t="str">
            <v>ASB</v>
          </cell>
          <cell r="E205" t="str">
            <v>B</v>
          </cell>
          <cell r="F205" t="str">
            <v>INTERMEDIATE TYPIST-CLERK</v>
          </cell>
          <cell r="G205" t="str">
            <v>2214A</v>
          </cell>
          <cell r="H205">
            <v>2675.27</v>
          </cell>
          <cell r="I205">
            <v>1</v>
          </cell>
          <cell r="J205">
            <v>12</v>
          </cell>
          <cell r="K205">
            <v>1</v>
          </cell>
          <cell r="L205">
            <v>32103.24</v>
          </cell>
        </row>
        <row r="206">
          <cell r="A206">
            <v>109733</v>
          </cell>
          <cell r="B206">
            <v>21550</v>
          </cell>
          <cell r="C206">
            <v>21550</v>
          </cell>
          <cell r="D206" t="str">
            <v>ASB</v>
          </cell>
          <cell r="E206" t="str">
            <v>B</v>
          </cell>
          <cell r="F206" t="str">
            <v>INTERMEDIATE TYPIST-CLERK</v>
          </cell>
          <cell r="G206" t="str">
            <v>2214A</v>
          </cell>
          <cell r="H206">
            <v>2675.27</v>
          </cell>
          <cell r="I206">
            <v>1</v>
          </cell>
          <cell r="J206">
            <v>12</v>
          </cell>
          <cell r="K206">
            <v>1</v>
          </cell>
          <cell r="L206">
            <v>32103.24</v>
          </cell>
        </row>
        <row r="207">
          <cell r="A207">
            <v>109735</v>
          </cell>
          <cell r="B207">
            <v>21550</v>
          </cell>
          <cell r="C207">
            <v>21550</v>
          </cell>
          <cell r="D207" t="str">
            <v>ASB</v>
          </cell>
          <cell r="E207" t="str">
            <v>B</v>
          </cell>
          <cell r="F207" t="str">
            <v>INTERMEDIATE TYPIST-CLERK</v>
          </cell>
          <cell r="G207" t="str">
            <v>2214A</v>
          </cell>
          <cell r="H207">
            <v>2675.27</v>
          </cell>
          <cell r="I207">
            <v>1</v>
          </cell>
          <cell r="J207">
            <v>12</v>
          </cell>
          <cell r="K207">
            <v>1</v>
          </cell>
          <cell r="L207">
            <v>32103.24</v>
          </cell>
        </row>
        <row r="208">
          <cell r="A208">
            <v>102095</v>
          </cell>
          <cell r="B208">
            <v>21550</v>
          </cell>
          <cell r="C208">
            <v>21550</v>
          </cell>
          <cell r="D208" t="str">
            <v>ASB</v>
          </cell>
          <cell r="E208" t="str">
            <v>B</v>
          </cell>
          <cell r="F208" t="str">
            <v xml:space="preserve">MENTAL HEALTH ANALYST II           </v>
          </cell>
          <cell r="G208" t="str">
            <v>4729A</v>
          </cell>
          <cell r="H208">
            <v>6244.55</v>
          </cell>
          <cell r="I208">
            <v>1</v>
          </cell>
          <cell r="J208">
            <v>12</v>
          </cell>
          <cell r="K208">
            <v>1</v>
          </cell>
          <cell r="L208">
            <v>74934.36</v>
          </cell>
        </row>
        <row r="209">
          <cell r="A209">
            <v>103995</v>
          </cell>
          <cell r="B209">
            <v>21550</v>
          </cell>
          <cell r="C209">
            <v>21550</v>
          </cell>
          <cell r="D209" t="str">
            <v>ASB</v>
          </cell>
          <cell r="E209" t="str">
            <v>B</v>
          </cell>
          <cell r="F209" t="str">
            <v xml:space="preserve">MENTAL HEALTH ANALYST III          </v>
          </cell>
          <cell r="G209" t="str">
            <v>4731A</v>
          </cell>
          <cell r="H209">
            <v>7329.55</v>
          </cell>
          <cell r="I209">
            <v>1</v>
          </cell>
          <cell r="J209">
            <v>12</v>
          </cell>
          <cell r="K209">
            <v>1</v>
          </cell>
          <cell r="L209">
            <v>87954.76</v>
          </cell>
        </row>
        <row r="210">
          <cell r="A210">
            <v>109966</v>
          </cell>
          <cell r="B210">
            <v>21550</v>
          </cell>
          <cell r="C210">
            <v>21550</v>
          </cell>
          <cell r="D210" t="str">
            <v>ASB</v>
          </cell>
          <cell r="E210" t="str">
            <v>B</v>
          </cell>
          <cell r="F210" t="str">
            <v xml:space="preserve">SENIOR TYPIST-CLERK                </v>
          </cell>
          <cell r="G210" t="str">
            <v>2216A</v>
          </cell>
          <cell r="H210">
            <v>3013.55</v>
          </cell>
          <cell r="I210">
            <v>1</v>
          </cell>
          <cell r="J210">
            <v>12</v>
          </cell>
          <cell r="K210">
            <v>1</v>
          </cell>
          <cell r="L210">
            <v>36162.6</v>
          </cell>
        </row>
        <row r="211">
          <cell r="A211">
            <v>109963</v>
          </cell>
          <cell r="B211">
            <v>28009</v>
          </cell>
          <cell r="D211" t="str">
            <v>ASB</v>
          </cell>
          <cell r="E211" t="str">
            <v>B</v>
          </cell>
          <cell r="F211" t="str">
            <v>FISCAL OFFICER II</v>
          </cell>
          <cell r="G211" t="str">
            <v>0753A</v>
          </cell>
          <cell r="H211">
            <v>7720.33</v>
          </cell>
          <cell r="I211">
            <v>1</v>
          </cell>
          <cell r="J211">
            <v>12</v>
          </cell>
          <cell r="K211">
            <v>1</v>
          </cell>
          <cell r="L211">
            <v>94959.96</v>
          </cell>
        </row>
        <row r="212">
          <cell r="A212">
            <v>109965</v>
          </cell>
          <cell r="B212">
            <v>28009</v>
          </cell>
          <cell r="D212" t="str">
            <v>ASB</v>
          </cell>
          <cell r="E212" t="str">
            <v>B</v>
          </cell>
          <cell r="F212" t="str">
            <v>INTERMEDIATE TYPIST-CLERK</v>
          </cell>
          <cell r="G212" t="str">
            <v>2214A</v>
          </cell>
          <cell r="H212">
            <v>2675.27</v>
          </cell>
          <cell r="I212">
            <v>1</v>
          </cell>
          <cell r="J212">
            <v>12</v>
          </cell>
          <cell r="K212">
            <v>1</v>
          </cell>
          <cell r="L212">
            <v>32103.24</v>
          </cell>
        </row>
        <row r="213">
          <cell r="A213">
            <v>109964</v>
          </cell>
          <cell r="B213">
            <v>28009</v>
          </cell>
          <cell r="D213" t="str">
            <v>ASB</v>
          </cell>
          <cell r="E213" t="str">
            <v>B</v>
          </cell>
          <cell r="F213" t="str">
            <v xml:space="preserve">SENIOR SECRETARY III               </v>
          </cell>
          <cell r="G213" t="str">
            <v>2102A</v>
          </cell>
          <cell r="H213">
            <v>4106.3599999999997</v>
          </cell>
          <cell r="I213">
            <v>1</v>
          </cell>
          <cell r="J213">
            <v>12</v>
          </cell>
          <cell r="K213">
            <v>1</v>
          </cell>
          <cell r="L213">
            <v>49276.32</v>
          </cell>
        </row>
        <row r="214">
          <cell r="A214">
            <v>100227</v>
          </cell>
          <cell r="B214">
            <v>21540</v>
          </cell>
          <cell r="C214">
            <v>21540</v>
          </cell>
          <cell r="D214" t="str">
            <v>ASB</v>
          </cell>
          <cell r="E214" t="str">
            <v>B</v>
          </cell>
          <cell r="F214" t="str">
            <v xml:space="preserve">DATA CONVERSION EQUIP OPERATOR I   </v>
          </cell>
          <cell r="G214" t="str">
            <v>2672A</v>
          </cell>
          <cell r="H214">
            <v>2788.09</v>
          </cell>
          <cell r="I214">
            <v>1</v>
          </cell>
          <cell r="J214">
            <v>12</v>
          </cell>
          <cell r="K214">
            <v>1</v>
          </cell>
          <cell r="L214">
            <v>33457.32</v>
          </cell>
        </row>
        <row r="215">
          <cell r="A215">
            <v>100228</v>
          </cell>
          <cell r="B215">
            <v>21540</v>
          </cell>
          <cell r="C215">
            <v>21540</v>
          </cell>
          <cell r="D215" t="str">
            <v>ASB</v>
          </cell>
          <cell r="E215" t="str">
            <v>B</v>
          </cell>
          <cell r="F215" t="str">
            <v xml:space="preserve">DATA CONVERSION EQUIP OPERATOR I   </v>
          </cell>
          <cell r="G215" t="str">
            <v>2672A</v>
          </cell>
          <cell r="H215">
            <v>2788.09</v>
          </cell>
          <cell r="I215">
            <v>1</v>
          </cell>
          <cell r="J215">
            <v>12</v>
          </cell>
          <cell r="K215">
            <v>1</v>
          </cell>
          <cell r="L215">
            <v>33457.32</v>
          </cell>
        </row>
        <row r="216">
          <cell r="A216">
            <v>102080</v>
          </cell>
          <cell r="B216">
            <v>21540</v>
          </cell>
          <cell r="C216">
            <v>21540</v>
          </cell>
          <cell r="D216" t="str">
            <v>ASB</v>
          </cell>
          <cell r="E216" t="str">
            <v>B</v>
          </cell>
          <cell r="F216" t="str">
            <v>INFORMATION SYSTEMS ANALYST I</v>
          </cell>
          <cell r="G216" t="str">
            <v>2590A</v>
          </cell>
          <cell r="H216">
            <v>5051.2700000000004</v>
          </cell>
          <cell r="I216">
            <v>1</v>
          </cell>
          <cell r="J216">
            <v>12</v>
          </cell>
          <cell r="K216">
            <v>1</v>
          </cell>
          <cell r="L216">
            <v>60615.24</v>
          </cell>
        </row>
        <row r="217">
          <cell r="A217">
            <v>102083</v>
          </cell>
          <cell r="B217">
            <v>21540</v>
          </cell>
          <cell r="C217">
            <v>21540</v>
          </cell>
          <cell r="D217" t="str">
            <v>ASB</v>
          </cell>
          <cell r="E217" t="str">
            <v>B</v>
          </cell>
          <cell r="F217" t="str">
            <v>INFORMATION SYSTEMS ANALYST I</v>
          </cell>
          <cell r="G217" t="str">
            <v>2590A</v>
          </cell>
          <cell r="H217">
            <v>5051.2700000000004</v>
          </cell>
          <cell r="I217">
            <v>1</v>
          </cell>
          <cell r="J217">
            <v>12</v>
          </cell>
          <cell r="K217">
            <v>1</v>
          </cell>
          <cell r="L217">
            <v>60615.24</v>
          </cell>
        </row>
        <row r="218">
          <cell r="A218">
            <v>109523</v>
          </cell>
          <cell r="B218">
            <v>21540</v>
          </cell>
          <cell r="C218">
            <v>21540</v>
          </cell>
          <cell r="D218" t="str">
            <v>ASB</v>
          </cell>
          <cell r="E218" t="str">
            <v>B</v>
          </cell>
          <cell r="F218" t="str">
            <v>INFORMATION SYSTEMS ANALYST I</v>
          </cell>
          <cell r="G218" t="str">
            <v>2590A</v>
          </cell>
          <cell r="H218">
            <v>5051.2700000000004</v>
          </cell>
          <cell r="I218">
            <v>1</v>
          </cell>
          <cell r="J218">
            <v>12</v>
          </cell>
          <cell r="K218">
            <v>1</v>
          </cell>
          <cell r="L218">
            <v>60615.24</v>
          </cell>
        </row>
        <row r="219">
          <cell r="A219">
            <v>109524</v>
          </cell>
          <cell r="B219">
            <v>21540</v>
          </cell>
          <cell r="C219">
            <v>21540</v>
          </cell>
          <cell r="D219" t="str">
            <v>ASB</v>
          </cell>
          <cell r="E219" t="str">
            <v>B</v>
          </cell>
          <cell r="F219" t="str">
            <v>INFORMATION SYSTEMS ANALYST I</v>
          </cell>
          <cell r="G219" t="str">
            <v>2590A</v>
          </cell>
          <cell r="H219">
            <v>5051.2700000000004</v>
          </cell>
          <cell r="I219">
            <v>1</v>
          </cell>
          <cell r="J219">
            <v>12</v>
          </cell>
          <cell r="K219">
            <v>1</v>
          </cell>
          <cell r="L219">
            <v>60615.24</v>
          </cell>
        </row>
        <row r="220">
          <cell r="A220">
            <v>109525</v>
          </cell>
          <cell r="B220">
            <v>21540</v>
          </cell>
          <cell r="C220">
            <v>21540</v>
          </cell>
          <cell r="D220" t="str">
            <v>ASB</v>
          </cell>
          <cell r="E220" t="str">
            <v>B</v>
          </cell>
          <cell r="F220" t="str">
            <v>INFORMATION SYSTEMS ANALYST I</v>
          </cell>
          <cell r="G220" t="str">
            <v>2590A</v>
          </cell>
          <cell r="H220">
            <v>5051.2700000000004</v>
          </cell>
          <cell r="I220">
            <v>1</v>
          </cell>
          <cell r="J220">
            <v>12</v>
          </cell>
          <cell r="K220">
            <v>1</v>
          </cell>
          <cell r="L220">
            <v>60615.24</v>
          </cell>
        </row>
        <row r="221">
          <cell r="A221">
            <v>109575</v>
          </cell>
          <cell r="B221">
            <v>27533</v>
          </cell>
          <cell r="C221">
            <v>21540</v>
          </cell>
          <cell r="D221" t="str">
            <v>ASB</v>
          </cell>
          <cell r="E221" t="str">
            <v>B</v>
          </cell>
          <cell r="F221" t="str">
            <v>INFORMATION SYSTEMS ANALYST I</v>
          </cell>
          <cell r="G221" t="str">
            <v>2590A</v>
          </cell>
          <cell r="H221">
            <v>5051.2700000000004</v>
          </cell>
          <cell r="I221">
            <v>1</v>
          </cell>
          <cell r="J221">
            <v>12</v>
          </cell>
          <cell r="K221">
            <v>1</v>
          </cell>
          <cell r="L221">
            <v>60615.24</v>
          </cell>
        </row>
        <row r="222">
          <cell r="A222">
            <v>103046</v>
          </cell>
          <cell r="B222">
            <v>21540</v>
          </cell>
          <cell r="C222">
            <v>21540</v>
          </cell>
          <cell r="D222" t="str">
            <v>ASB</v>
          </cell>
          <cell r="E222" t="str">
            <v>B</v>
          </cell>
          <cell r="F222" t="str">
            <v>INFORMATION SYSTEMS ANALYST II</v>
          </cell>
          <cell r="G222" t="str">
            <v>2591A</v>
          </cell>
          <cell r="H222">
            <v>5425.82</v>
          </cell>
          <cell r="I222">
            <v>1</v>
          </cell>
          <cell r="J222">
            <v>12</v>
          </cell>
          <cell r="K222">
            <v>1</v>
          </cell>
          <cell r="L222">
            <v>65109.84</v>
          </cell>
        </row>
        <row r="223">
          <cell r="A223">
            <v>103047</v>
          </cell>
          <cell r="B223">
            <v>21541</v>
          </cell>
          <cell r="C223">
            <v>21540</v>
          </cell>
          <cell r="D223" t="str">
            <v>ASB</v>
          </cell>
          <cell r="E223" t="str">
            <v>B</v>
          </cell>
          <cell r="F223" t="str">
            <v>INFORMATION SYSTEMS ANALYST II</v>
          </cell>
          <cell r="G223" t="str">
            <v>2591A</v>
          </cell>
          <cell r="H223">
            <v>5425.82</v>
          </cell>
          <cell r="I223">
            <v>1</v>
          </cell>
          <cell r="J223">
            <v>12</v>
          </cell>
          <cell r="K223">
            <v>1</v>
          </cell>
          <cell r="L223">
            <v>65109.84</v>
          </cell>
        </row>
        <row r="224">
          <cell r="A224">
            <v>103686</v>
          </cell>
          <cell r="B224">
            <v>21540</v>
          </cell>
          <cell r="C224">
            <v>21540</v>
          </cell>
          <cell r="D224" t="str">
            <v>ASB</v>
          </cell>
          <cell r="E224" t="str">
            <v>B</v>
          </cell>
          <cell r="F224" t="str">
            <v>INFORMATION SYSTEMS ANALYST II</v>
          </cell>
          <cell r="G224" t="str">
            <v>2591A</v>
          </cell>
          <cell r="H224">
            <v>5425.82</v>
          </cell>
          <cell r="I224">
            <v>1</v>
          </cell>
          <cell r="J224">
            <v>12</v>
          </cell>
          <cell r="K224">
            <v>1</v>
          </cell>
          <cell r="L224">
            <v>65109.84</v>
          </cell>
        </row>
        <row r="225">
          <cell r="A225">
            <v>103687</v>
          </cell>
          <cell r="B225">
            <v>21540</v>
          </cell>
          <cell r="C225">
            <v>21540</v>
          </cell>
          <cell r="D225" t="str">
            <v>ASB</v>
          </cell>
          <cell r="E225" t="str">
            <v>B</v>
          </cell>
          <cell r="F225" t="str">
            <v>INFORMATION SYSTEMS ANALYST II</v>
          </cell>
          <cell r="G225" t="str">
            <v>2591A</v>
          </cell>
          <cell r="H225">
            <v>5425.82</v>
          </cell>
          <cell r="I225">
            <v>1</v>
          </cell>
          <cell r="J225">
            <v>12</v>
          </cell>
          <cell r="K225">
            <v>1</v>
          </cell>
          <cell r="L225">
            <v>65109.84</v>
          </cell>
        </row>
        <row r="226">
          <cell r="A226">
            <v>104820</v>
          </cell>
          <cell r="B226">
            <v>21540</v>
          </cell>
          <cell r="C226">
            <v>21540</v>
          </cell>
          <cell r="D226" t="str">
            <v>ASB</v>
          </cell>
          <cell r="E226" t="str">
            <v>B</v>
          </cell>
          <cell r="F226" t="str">
            <v>INFORMATION SYSTEMS ANALYST II</v>
          </cell>
          <cell r="G226" t="str">
            <v>2591A</v>
          </cell>
          <cell r="H226">
            <v>5425.82</v>
          </cell>
          <cell r="I226">
            <v>1</v>
          </cell>
          <cell r="J226">
            <v>12</v>
          </cell>
          <cell r="K226">
            <v>1</v>
          </cell>
          <cell r="L226">
            <v>65109.84</v>
          </cell>
        </row>
        <row r="227">
          <cell r="A227">
            <v>106794</v>
          </cell>
          <cell r="B227">
            <v>21540</v>
          </cell>
          <cell r="C227">
            <v>21540</v>
          </cell>
          <cell r="D227" t="str">
            <v>ASB</v>
          </cell>
          <cell r="E227" t="str">
            <v>B</v>
          </cell>
          <cell r="F227" t="str">
            <v>INFORMATION SYSTEMS ANALYST II</v>
          </cell>
          <cell r="G227" t="str">
            <v>2591A</v>
          </cell>
          <cell r="H227">
            <v>5425.82</v>
          </cell>
          <cell r="I227">
            <v>1</v>
          </cell>
          <cell r="J227">
            <v>12</v>
          </cell>
          <cell r="K227">
            <v>1</v>
          </cell>
          <cell r="L227">
            <v>65109.84</v>
          </cell>
        </row>
        <row r="228">
          <cell r="A228">
            <v>106800</v>
          </cell>
          <cell r="B228">
            <v>21540</v>
          </cell>
          <cell r="C228">
            <v>21540</v>
          </cell>
          <cell r="D228" t="str">
            <v>ASB</v>
          </cell>
          <cell r="E228" t="str">
            <v>B</v>
          </cell>
          <cell r="F228" t="str">
            <v>INFORMATION SYSTEMS ANALYST II</v>
          </cell>
          <cell r="G228" t="str">
            <v>2591A</v>
          </cell>
          <cell r="H228">
            <v>5425.82</v>
          </cell>
          <cell r="I228">
            <v>1</v>
          </cell>
          <cell r="J228">
            <v>12</v>
          </cell>
          <cell r="K228">
            <v>1</v>
          </cell>
          <cell r="L228">
            <v>65109.84</v>
          </cell>
        </row>
        <row r="229">
          <cell r="A229">
            <v>106801</v>
          </cell>
          <cell r="B229">
            <v>21540</v>
          </cell>
          <cell r="C229">
            <v>21540</v>
          </cell>
          <cell r="D229" t="str">
            <v>ASB</v>
          </cell>
          <cell r="E229" t="str">
            <v>B</v>
          </cell>
          <cell r="F229" t="str">
            <v>INFORMATION SYSTEMS ANALYST II</v>
          </cell>
          <cell r="G229" t="str">
            <v>2591A</v>
          </cell>
          <cell r="H229">
            <v>5425.82</v>
          </cell>
          <cell r="I229">
            <v>1</v>
          </cell>
          <cell r="J229">
            <v>12</v>
          </cell>
          <cell r="K229">
            <v>1</v>
          </cell>
          <cell r="L229">
            <v>65109.84</v>
          </cell>
        </row>
        <row r="230">
          <cell r="A230">
            <v>106802</v>
          </cell>
          <cell r="B230">
            <v>21540</v>
          </cell>
          <cell r="C230">
            <v>21540</v>
          </cell>
          <cell r="D230" t="str">
            <v>ASB</v>
          </cell>
          <cell r="E230" t="str">
            <v>B</v>
          </cell>
          <cell r="F230" t="str">
            <v>INFORMATION SYSTEMS ANALYST II</v>
          </cell>
          <cell r="G230" t="str">
            <v>2591A</v>
          </cell>
          <cell r="H230">
            <v>5425.82</v>
          </cell>
          <cell r="I230">
            <v>1</v>
          </cell>
          <cell r="J230">
            <v>12</v>
          </cell>
          <cell r="K230">
            <v>1</v>
          </cell>
          <cell r="L230">
            <v>65109.84</v>
          </cell>
        </row>
        <row r="231">
          <cell r="A231">
            <v>107706</v>
          </cell>
          <cell r="B231">
            <v>21540</v>
          </cell>
          <cell r="C231">
            <v>21540</v>
          </cell>
          <cell r="D231" t="str">
            <v>ASB</v>
          </cell>
          <cell r="E231" t="str">
            <v>B</v>
          </cell>
          <cell r="F231" t="str">
            <v>INFORMATION SYSTEMS ANALYST II</v>
          </cell>
          <cell r="G231" t="str">
            <v>2591A</v>
          </cell>
          <cell r="H231">
            <v>5425.82</v>
          </cell>
          <cell r="I231">
            <v>1</v>
          </cell>
          <cell r="J231">
            <v>12</v>
          </cell>
          <cell r="K231">
            <v>1</v>
          </cell>
          <cell r="L231">
            <v>65109.84</v>
          </cell>
        </row>
        <row r="232">
          <cell r="A232">
            <v>109039</v>
          </cell>
          <cell r="B232">
            <v>23043</v>
          </cell>
          <cell r="C232">
            <v>21540</v>
          </cell>
          <cell r="D232" t="str">
            <v>ASB</v>
          </cell>
          <cell r="E232" t="str">
            <v>B</v>
          </cell>
          <cell r="F232" t="str">
            <v>INFORMATION SYSTEMS ANALYST II</v>
          </cell>
          <cell r="G232" t="str">
            <v>2591A</v>
          </cell>
          <cell r="H232">
            <v>5425.82</v>
          </cell>
          <cell r="I232">
            <v>1</v>
          </cell>
          <cell r="J232">
            <v>12</v>
          </cell>
          <cell r="K232">
            <v>1</v>
          </cell>
          <cell r="L232">
            <v>65109.84</v>
          </cell>
        </row>
        <row r="233">
          <cell r="A233">
            <v>109533</v>
          </cell>
          <cell r="B233">
            <v>21540</v>
          </cell>
          <cell r="C233">
            <v>21540</v>
          </cell>
          <cell r="D233" t="str">
            <v>ASB</v>
          </cell>
          <cell r="E233" t="str">
            <v>B</v>
          </cell>
          <cell r="F233" t="str">
            <v>INFORMATION SYSTEMS ANALYST II</v>
          </cell>
          <cell r="G233" t="str">
            <v>2591A</v>
          </cell>
          <cell r="H233">
            <v>5425.82</v>
          </cell>
          <cell r="I233">
            <v>1</v>
          </cell>
          <cell r="J233">
            <v>12</v>
          </cell>
          <cell r="K233">
            <v>1</v>
          </cell>
          <cell r="L233">
            <v>65109.84</v>
          </cell>
        </row>
        <row r="234">
          <cell r="A234">
            <v>109534</v>
          </cell>
          <cell r="B234">
            <v>21540</v>
          </cell>
          <cell r="C234">
            <v>21540</v>
          </cell>
          <cell r="D234" t="str">
            <v>ASB</v>
          </cell>
          <cell r="E234" t="str">
            <v>B</v>
          </cell>
          <cell r="F234" t="str">
            <v>INFORMATION SYSTEMS ANALYST II</v>
          </cell>
          <cell r="G234" t="str">
            <v>2591A</v>
          </cell>
          <cell r="H234">
            <v>5425.82</v>
          </cell>
          <cell r="I234">
            <v>1</v>
          </cell>
          <cell r="J234">
            <v>12</v>
          </cell>
          <cell r="K234">
            <v>1</v>
          </cell>
          <cell r="L234">
            <v>65109.84</v>
          </cell>
        </row>
        <row r="235">
          <cell r="A235">
            <v>109535</v>
          </cell>
          <cell r="B235">
            <v>21540</v>
          </cell>
          <cell r="C235">
            <v>21540</v>
          </cell>
          <cell r="D235" t="str">
            <v>ASB</v>
          </cell>
          <cell r="E235" t="str">
            <v>B</v>
          </cell>
          <cell r="F235" t="str">
            <v>INFORMATION SYSTEMS ANALYST II</v>
          </cell>
          <cell r="G235" t="str">
            <v>2591A</v>
          </cell>
          <cell r="H235">
            <v>5425.82</v>
          </cell>
          <cell r="I235">
            <v>1</v>
          </cell>
          <cell r="J235">
            <v>12</v>
          </cell>
          <cell r="K235">
            <v>1</v>
          </cell>
          <cell r="L235">
            <v>65109.84</v>
          </cell>
        </row>
        <row r="236">
          <cell r="A236">
            <v>109536</v>
          </cell>
          <cell r="B236">
            <v>21540</v>
          </cell>
          <cell r="C236">
            <v>21540</v>
          </cell>
          <cell r="D236" t="str">
            <v>ASB</v>
          </cell>
          <cell r="E236" t="str">
            <v>B</v>
          </cell>
          <cell r="F236" t="str">
            <v>INFORMATION SYSTEMS ANALYST II</v>
          </cell>
          <cell r="G236" t="str">
            <v>2591A</v>
          </cell>
          <cell r="H236">
            <v>5425.82</v>
          </cell>
          <cell r="I236">
            <v>1</v>
          </cell>
          <cell r="J236">
            <v>12</v>
          </cell>
          <cell r="K236">
            <v>1</v>
          </cell>
          <cell r="L236">
            <v>65109.84</v>
          </cell>
        </row>
        <row r="237">
          <cell r="A237">
            <v>109552</v>
          </cell>
          <cell r="B237">
            <v>21540</v>
          </cell>
          <cell r="C237">
            <v>21540</v>
          </cell>
          <cell r="D237" t="str">
            <v>ASB</v>
          </cell>
          <cell r="E237" t="str">
            <v>B</v>
          </cell>
          <cell r="F237" t="str">
            <v>INFORMATION SYSTEMS ANALYST II</v>
          </cell>
          <cell r="G237" t="str">
            <v>2591A</v>
          </cell>
          <cell r="H237">
            <v>5425.82</v>
          </cell>
          <cell r="I237">
            <v>1</v>
          </cell>
          <cell r="J237">
            <v>12</v>
          </cell>
          <cell r="K237">
            <v>1</v>
          </cell>
          <cell r="L237">
            <v>65109.84</v>
          </cell>
        </row>
        <row r="238">
          <cell r="A238">
            <v>109554</v>
          </cell>
          <cell r="B238">
            <v>21540</v>
          </cell>
          <cell r="C238">
            <v>21540</v>
          </cell>
          <cell r="D238" t="str">
            <v>ASB</v>
          </cell>
          <cell r="E238" t="str">
            <v>B</v>
          </cell>
          <cell r="F238" t="str">
            <v>INFORMATION SYSTEMS ANALYST II</v>
          </cell>
          <cell r="G238" t="str">
            <v>2591A</v>
          </cell>
          <cell r="H238">
            <v>5425.82</v>
          </cell>
          <cell r="I238">
            <v>1</v>
          </cell>
          <cell r="J238">
            <v>12</v>
          </cell>
          <cell r="K238">
            <v>1</v>
          </cell>
          <cell r="L238">
            <v>65109.84</v>
          </cell>
        </row>
        <row r="239">
          <cell r="A239">
            <v>109555</v>
          </cell>
          <cell r="B239">
            <v>21540</v>
          </cell>
          <cell r="C239">
            <v>21540</v>
          </cell>
          <cell r="D239" t="str">
            <v>ASB</v>
          </cell>
          <cell r="E239" t="str">
            <v>B</v>
          </cell>
          <cell r="F239" t="str">
            <v>INFORMATION SYSTEMS ANALYST II</v>
          </cell>
          <cell r="G239" t="str">
            <v>2591A</v>
          </cell>
          <cell r="H239">
            <v>5425.82</v>
          </cell>
          <cell r="I239">
            <v>1</v>
          </cell>
          <cell r="J239">
            <v>12</v>
          </cell>
          <cell r="K239">
            <v>1</v>
          </cell>
          <cell r="L239">
            <v>65109.84</v>
          </cell>
        </row>
        <row r="240">
          <cell r="A240">
            <v>109561</v>
          </cell>
          <cell r="B240">
            <v>27533</v>
          </cell>
          <cell r="C240">
            <v>21540</v>
          </cell>
          <cell r="D240" t="str">
            <v>ASB</v>
          </cell>
          <cell r="E240" t="str">
            <v>B</v>
          </cell>
          <cell r="F240" t="str">
            <v>INFORMATION SYSTEMS ANALYST II</v>
          </cell>
          <cell r="G240" t="str">
            <v>2591A</v>
          </cell>
          <cell r="H240">
            <v>5425.82</v>
          </cell>
          <cell r="I240">
            <v>1</v>
          </cell>
          <cell r="J240">
            <v>12</v>
          </cell>
          <cell r="K240">
            <v>1</v>
          </cell>
          <cell r="L240">
            <v>65109.84</v>
          </cell>
        </row>
        <row r="241">
          <cell r="A241">
            <v>109566</v>
          </cell>
          <cell r="B241">
            <v>21540</v>
          </cell>
          <cell r="C241">
            <v>21540</v>
          </cell>
          <cell r="D241" t="str">
            <v>ASB</v>
          </cell>
          <cell r="E241" t="str">
            <v>B</v>
          </cell>
          <cell r="F241" t="str">
            <v>INFORMATION SYSTEMS ANALYST II</v>
          </cell>
          <cell r="G241" t="str">
            <v>2591A</v>
          </cell>
          <cell r="H241">
            <v>5425.82</v>
          </cell>
          <cell r="I241">
            <v>1</v>
          </cell>
          <cell r="J241">
            <v>12</v>
          </cell>
          <cell r="K241">
            <v>1</v>
          </cell>
          <cell r="L241">
            <v>65109.84</v>
          </cell>
        </row>
        <row r="242">
          <cell r="A242">
            <v>102089</v>
          </cell>
          <cell r="B242">
            <v>21540</v>
          </cell>
          <cell r="C242">
            <v>21540</v>
          </cell>
          <cell r="D242" t="str">
            <v>ASB</v>
          </cell>
          <cell r="E242" t="str">
            <v>B</v>
          </cell>
          <cell r="F242" t="str">
            <v>INFORMATION SYSTEMS COORDINATOR</v>
          </cell>
          <cell r="G242" t="str">
            <v>2593A</v>
          </cell>
          <cell r="H242">
            <v>6608.45</v>
          </cell>
          <cell r="I242">
            <v>1</v>
          </cell>
          <cell r="J242">
            <v>12</v>
          </cell>
          <cell r="K242">
            <v>1</v>
          </cell>
          <cell r="L242">
            <v>79301.8</v>
          </cell>
        </row>
        <row r="243">
          <cell r="A243">
            <v>106823</v>
          </cell>
          <cell r="B243">
            <v>21540</v>
          </cell>
          <cell r="C243">
            <v>21540</v>
          </cell>
          <cell r="D243" t="str">
            <v>ASB</v>
          </cell>
          <cell r="E243" t="str">
            <v>B</v>
          </cell>
          <cell r="F243" t="str">
            <v>INFORMATION SYSTEMS COORDINATOR</v>
          </cell>
          <cell r="G243" t="str">
            <v>2593A</v>
          </cell>
          <cell r="H243">
            <v>6608.45</v>
          </cell>
          <cell r="I243">
            <v>1</v>
          </cell>
          <cell r="J243">
            <v>12</v>
          </cell>
          <cell r="K243">
            <v>1</v>
          </cell>
          <cell r="L243">
            <v>79301.8</v>
          </cell>
        </row>
        <row r="244">
          <cell r="A244">
            <v>109344</v>
          </cell>
          <cell r="B244">
            <v>27475</v>
          </cell>
          <cell r="C244">
            <v>21540</v>
          </cell>
          <cell r="D244" t="str">
            <v>ASB</v>
          </cell>
          <cell r="E244" t="str">
            <v>B</v>
          </cell>
          <cell r="F244" t="str">
            <v>INFORMATION SYSTEMS COORDINATOR</v>
          </cell>
          <cell r="G244" t="str">
            <v>2593A</v>
          </cell>
          <cell r="H244">
            <v>6608.45</v>
          </cell>
          <cell r="I244">
            <v>1</v>
          </cell>
          <cell r="J244">
            <v>12</v>
          </cell>
          <cell r="K244">
            <v>1</v>
          </cell>
          <cell r="L244">
            <v>79301.8</v>
          </cell>
        </row>
        <row r="245">
          <cell r="A245">
            <v>109543</v>
          </cell>
          <cell r="B245">
            <v>21540</v>
          </cell>
          <cell r="C245">
            <v>21540</v>
          </cell>
          <cell r="D245" t="str">
            <v>ASB</v>
          </cell>
          <cell r="E245" t="str">
            <v>B</v>
          </cell>
          <cell r="F245" t="str">
            <v>INFORMATION SYSTEMS COORDINATOR</v>
          </cell>
          <cell r="G245" t="str">
            <v>2593A</v>
          </cell>
          <cell r="H245">
            <v>6608.45</v>
          </cell>
          <cell r="I245">
            <v>1</v>
          </cell>
          <cell r="J245">
            <v>12</v>
          </cell>
          <cell r="K245">
            <v>1</v>
          </cell>
          <cell r="L245">
            <v>79301.399999999994</v>
          </cell>
        </row>
        <row r="246">
          <cell r="A246">
            <v>109569</v>
          </cell>
          <cell r="B246">
            <v>21541</v>
          </cell>
          <cell r="C246">
            <v>21540</v>
          </cell>
          <cell r="D246" t="str">
            <v>ASB</v>
          </cell>
          <cell r="E246" t="str">
            <v>B</v>
          </cell>
          <cell r="F246" t="str">
            <v>INFORMATION SYSTEMS COORDINATOR</v>
          </cell>
          <cell r="G246" t="str">
            <v>2593A</v>
          </cell>
          <cell r="H246">
            <v>6608.45</v>
          </cell>
          <cell r="I246">
            <v>1</v>
          </cell>
          <cell r="J246">
            <v>12</v>
          </cell>
          <cell r="K246">
            <v>1</v>
          </cell>
          <cell r="L246">
            <v>79301.399999999994</v>
          </cell>
        </row>
        <row r="247">
          <cell r="A247">
            <v>104821</v>
          </cell>
          <cell r="B247">
            <v>21540</v>
          </cell>
          <cell r="C247">
            <v>21540</v>
          </cell>
          <cell r="D247" t="str">
            <v>ASB</v>
          </cell>
          <cell r="E247" t="str">
            <v>B</v>
          </cell>
          <cell r="F247" t="str">
            <v>INFORMATION SYSTEMS SUPERVISOR I</v>
          </cell>
          <cell r="G247" t="str">
            <v>2595A</v>
          </cell>
          <cell r="H247">
            <v>6608.45</v>
          </cell>
          <cell r="I247">
            <v>1</v>
          </cell>
          <cell r="J247">
            <v>12</v>
          </cell>
          <cell r="K247">
            <v>1</v>
          </cell>
          <cell r="L247">
            <v>79301.8</v>
          </cell>
        </row>
        <row r="248">
          <cell r="A248">
            <v>109547</v>
          </cell>
          <cell r="B248">
            <v>21540</v>
          </cell>
          <cell r="C248">
            <v>21540</v>
          </cell>
          <cell r="D248" t="str">
            <v>ASB</v>
          </cell>
          <cell r="E248" t="str">
            <v>B</v>
          </cell>
          <cell r="F248" t="str">
            <v>INFORMATION SYSTEMS SUPERVISOR I</v>
          </cell>
          <cell r="G248" t="str">
            <v>2595A</v>
          </cell>
          <cell r="H248">
            <v>6608.45</v>
          </cell>
          <cell r="I248">
            <v>1</v>
          </cell>
          <cell r="J248">
            <v>12</v>
          </cell>
          <cell r="K248">
            <v>1</v>
          </cell>
          <cell r="L248">
            <v>79301.399999999994</v>
          </cell>
        </row>
        <row r="249">
          <cell r="A249">
            <v>104375</v>
          </cell>
          <cell r="B249">
            <v>23043</v>
          </cell>
          <cell r="C249">
            <v>21540</v>
          </cell>
          <cell r="D249" t="str">
            <v>ASB</v>
          </cell>
          <cell r="E249" t="str">
            <v>B</v>
          </cell>
          <cell r="F249" t="str">
            <v>INFORMATION SYSTEMS SUPERVISOR II</v>
          </cell>
          <cell r="G249" t="str">
            <v>2596A</v>
          </cell>
          <cell r="H249">
            <v>7512.73</v>
          </cell>
          <cell r="I249">
            <v>1</v>
          </cell>
          <cell r="J249">
            <v>12</v>
          </cell>
          <cell r="K249">
            <v>1</v>
          </cell>
          <cell r="L249">
            <v>90153.16</v>
          </cell>
        </row>
        <row r="250">
          <cell r="A250">
            <v>109550</v>
          </cell>
          <cell r="B250">
            <v>27533</v>
          </cell>
          <cell r="C250">
            <v>21540</v>
          </cell>
          <cell r="D250" t="str">
            <v>ASB</v>
          </cell>
          <cell r="E250" t="str">
            <v>B</v>
          </cell>
          <cell r="F250" t="str">
            <v>INFORMATION SYSTEMS SUPERVISOR II</v>
          </cell>
          <cell r="G250" t="str">
            <v>2596A</v>
          </cell>
          <cell r="H250">
            <v>7512.73</v>
          </cell>
          <cell r="I250">
            <v>1</v>
          </cell>
          <cell r="J250">
            <v>12</v>
          </cell>
          <cell r="K250">
            <v>1</v>
          </cell>
          <cell r="L250">
            <v>90152.76</v>
          </cell>
        </row>
        <row r="251">
          <cell r="A251">
            <v>104392</v>
          </cell>
          <cell r="B251">
            <v>23043</v>
          </cell>
          <cell r="C251">
            <v>21540</v>
          </cell>
          <cell r="D251" t="str">
            <v>ASB</v>
          </cell>
          <cell r="E251" t="str">
            <v>B</v>
          </cell>
          <cell r="F251" t="str">
            <v>INTERMEDIATE TYPIST-CLERK</v>
          </cell>
          <cell r="G251" t="str">
            <v>2214A</v>
          </cell>
          <cell r="H251">
            <v>2675.27</v>
          </cell>
          <cell r="I251">
            <v>1</v>
          </cell>
          <cell r="J251">
            <v>12</v>
          </cell>
          <cell r="K251">
            <v>1</v>
          </cell>
          <cell r="L251">
            <v>32103.16</v>
          </cell>
        </row>
        <row r="252">
          <cell r="A252">
            <v>104825</v>
          </cell>
          <cell r="B252">
            <v>21540</v>
          </cell>
          <cell r="C252">
            <v>21540</v>
          </cell>
          <cell r="D252" t="str">
            <v>ASB</v>
          </cell>
          <cell r="E252" t="str">
            <v>B</v>
          </cell>
          <cell r="F252" t="str">
            <v>INTERMEDIATE TYPIST-CLERK</v>
          </cell>
          <cell r="G252" t="str">
            <v>2214A</v>
          </cell>
          <cell r="H252">
            <v>2675.27</v>
          </cell>
          <cell r="I252">
            <v>1</v>
          </cell>
          <cell r="J252">
            <v>12</v>
          </cell>
          <cell r="K252">
            <v>1</v>
          </cell>
          <cell r="L252">
            <v>32103.16</v>
          </cell>
        </row>
        <row r="253">
          <cell r="A253">
            <v>109727</v>
          </cell>
          <cell r="B253">
            <v>21540</v>
          </cell>
          <cell r="C253">
            <v>21540</v>
          </cell>
          <cell r="D253" t="str">
            <v>ASB</v>
          </cell>
          <cell r="E253" t="str">
            <v>B</v>
          </cell>
          <cell r="F253" t="str">
            <v>INTERMEDIATE TYPIST-CLERK</v>
          </cell>
          <cell r="G253" t="str">
            <v>2214A</v>
          </cell>
          <cell r="H253">
            <v>2675.27</v>
          </cell>
          <cell r="I253">
            <v>1</v>
          </cell>
          <cell r="J253">
            <v>12</v>
          </cell>
          <cell r="K253">
            <v>1</v>
          </cell>
          <cell r="L253">
            <v>32103.24</v>
          </cell>
        </row>
        <row r="254">
          <cell r="A254">
            <v>109728</v>
          </cell>
          <cell r="B254">
            <v>21540</v>
          </cell>
          <cell r="C254">
            <v>21540</v>
          </cell>
          <cell r="D254" t="str">
            <v>ASB</v>
          </cell>
          <cell r="E254" t="str">
            <v>B</v>
          </cell>
          <cell r="F254" t="str">
            <v>INTERMEDIATE TYPIST-CLERK</v>
          </cell>
          <cell r="G254" t="str">
            <v>2214A</v>
          </cell>
          <cell r="H254">
            <v>2675.27</v>
          </cell>
          <cell r="I254">
            <v>1</v>
          </cell>
          <cell r="J254">
            <v>12</v>
          </cell>
          <cell r="K254">
            <v>1</v>
          </cell>
          <cell r="L254">
            <v>32103.24</v>
          </cell>
        </row>
        <row r="255">
          <cell r="A255">
            <v>106838</v>
          </cell>
          <cell r="B255">
            <v>21540</v>
          </cell>
          <cell r="C255">
            <v>21540</v>
          </cell>
          <cell r="D255" t="str">
            <v>ASB</v>
          </cell>
          <cell r="E255" t="str">
            <v>B</v>
          </cell>
          <cell r="F255" t="str">
            <v>PRINCIPAL PROGRAMMER ANALYST</v>
          </cell>
          <cell r="G255" t="str">
            <v>2526A</v>
          </cell>
          <cell r="H255">
            <v>7365.73</v>
          </cell>
          <cell r="I255">
            <v>1</v>
          </cell>
          <cell r="J255">
            <v>12</v>
          </cell>
          <cell r="K255">
            <v>1</v>
          </cell>
          <cell r="L255">
            <v>88388.84</v>
          </cell>
        </row>
        <row r="256">
          <cell r="A256">
            <v>105067</v>
          </cell>
          <cell r="B256">
            <v>23043</v>
          </cell>
          <cell r="C256">
            <v>21540</v>
          </cell>
          <cell r="D256" t="str">
            <v>ASB</v>
          </cell>
          <cell r="E256" t="str">
            <v>B</v>
          </cell>
          <cell r="F256" t="str">
            <v xml:space="preserve">SECRETARY III                      </v>
          </cell>
          <cell r="G256" t="str">
            <v>2096A</v>
          </cell>
          <cell r="H256">
            <v>3387</v>
          </cell>
          <cell r="I256">
            <v>1</v>
          </cell>
          <cell r="J256">
            <v>12</v>
          </cell>
          <cell r="K256">
            <v>1</v>
          </cell>
          <cell r="L256">
            <v>40643.839999999997</v>
          </cell>
        </row>
        <row r="257">
          <cell r="A257">
            <v>109564</v>
          </cell>
          <cell r="B257">
            <v>27532</v>
          </cell>
          <cell r="C257">
            <v>21540</v>
          </cell>
          <cell r="D257" t="str">
            <v>ASB</v>
          </cell>
          <cell r="E257" t="str">
            <v>B</v>
          </cell>
          <cell r="F257" t="str">
            <v xml:space="preserve">SECRETARY III                      </v>
          </cell>
          <cell r="G257" t="str">
            <v>2096A</v>
          </cell>
          <cell r="H257">
            <v>3387</v>
          </cell>
          <cell r="I257">
            <v>1</v>
          </cell>
          <cell r="J257">
            <v>12</v>
          </cell>
          <cell r="K257">
            <v>1</v>
          </cell>
          <cell r="L257">
            <v>40644</v>
          </cell>
        </row>
        <row r="258">
          <cell r="A258">
            <v>109565</v>
          </cell>
          <cell r="B258">
            <v>21541</v>
          </cell>
          <cell r="C258">
            <v>21540</v>
          </cell>
          <cell r="D258" t="str">
            <v>ASB</v>
          </cell>
          <cell r="E258" t="str">
            <v>B</v>
          </cell>
          <cell r="F258" t="str">
            <v xml:space="preserve">SECRETARY III                      </v>
          </cell>
          <cell r="G258" t="str">
            <v>2096A</v>
          </cell>
          <cell r="H258">
            <v>3387</v>
          </cell>
          <cell r="I258">
            <v>1</v>
          </cell>
          <cell r="J258">
            <v>12</v>
          </cell>
          <cell r="K258">
            <v>1</v>
          </cell>
          <cell r="L258">
            <v>40644</v>
          </cell>
        </row>
        <row r="259">
          <cell r="A259">
            <v>103058</v>
          </cell>
          <cell r="B259">
            <v>18598</v>
          </cell>
          <cell r="C259">
            <v>21540</v>
          </cell>
          <cell r="D259" t="str">
            <v>ASB</v>
          </cell>
          <cell r="E259" t="str">
            <v>B</v>
          </cell>
          <cell r="F259" t="str">
            <v xml:space="preserve">SENIOR SECRETARY III               </v>
          </cell>
          <cell r="G259" t="str">
            <v>2102A</v>
          </cell>
          <cell r="H259">
            <v>4106.3599999999997</v>
          </cell>
          <cell r="I259">
            <v>1</v>
          </cell>
          <cell r="J259">
            <v>12</v>
          </cell>
          <cell r="K259">
            <v>1</v>
          </cell>
          <cell r="L259">
            <v>49276.56</v>
          </cell>
        </row>
        <row r="260">
          <cell r="A260">
            <v>102092</v>
          </cell>
          <cell r="B260">
            <v>21540</v>
          </cell>
          <cell r="C260">
            <v>21540</v>
          </cell>
          <cell r="D260" t="str">
            <v>ASB</v>
          </cell>
          <cell r="E260" t="str">
            <v>B</v>
          </cell>
          <cell r="F260" t="str">
            <v>SENIOR SYSTEMS AID</v>
          </cell>
          <cell r="G260" t="str">
            <v>2585A</v>
          </cell>
          <cell r="H260">
            <v>3853.45</v>
          </cell>
          <cell r="I260">
            <v>1</v>
          </cell>
          <cell r="J260">
            <v>12</v>
          </cell>
          <cell r="K260">
            <v>1</v>
          </cell>
          <cell r="L260">
            <v>46241.56</v>
          </cell>
        </row>
        <row r="261">
          <cell r="A261">
            <v>104103</v>
          </cell>
          <cell r="B261">
            <v>21540</v>
          </cell>
          <cell r="C261">
            <v>21540</v>
          </cell>
          <cell r="D261" t="str">
            <v>ASB</v>
          </cell>
          <cell r="E261" t="str">
            <v>B</v>
          </cell>
          <cell r="F261" t="str">
            <v>SENIOR SYSTEMS AID</v>
          </cell>
          <cell r="G261" t="str">
            <v>2585A</v>
          </cell>
          <cell r="H261">
            <v>3853.45</v>
          </cell>
          <cell r="I261">
            <v>1</v>
          </cell>
          <cell r="J261">
            <v>12</v>
          </cell>
          <cell r="K261">
            <v>1</v>
          </cell>
          <cell r="L261">
            <v>46241.56</v>
          </cell>
        </row>
        <row r="262">
          <cell r="A262">
            <v>106795</v>
          </cell>
          <cell r="B262">
            <v>21540</v>
          </cell>
          <cell r="C262">
            <v>21540</v>
          </cell>
          <cell r="D262" t="str">
            <v>ASB</v>
          </cell>
          <cell r="E262" t="str">
            <v>B</v>
          </cell>
          <cell r="F262" t="str">
            <v>SENIOR SYSTEMS AID</v>
          </cell>
          <cell r="G262" t="str">
            <v>2585A</v>
          </cell>
          <cell r="H262">
            <v>3853.45</v>
          </cell>
          <cell r="I262">
            <v>1</v>
          </cell>
          <cell r="J262">
            <v>12</v>
          </cell>
          <cell r="K262">
            <v>1</v>
          </cell>
          <cell r="L262">
            <v>46241.56</v>
          </cell>
        </row>
        <row r="263">
          <cell r="A263">
            <v>106839</v>
          </cell>
          <cell r="B263">
            <v>21540</v>
          </cell>
          <cell r="C263">
            <v>21540</v>
          </cell>
          <cell r="D263" t="str">
            <v>ASB</v>
          </cell>
          <cell r="E263" t="str">
            <v>B</v>
          </cell>
          <cell r="F263" t="str">
            <v>SENIOR SYSTEMS AID</v>
          </cell>
          <cell r="G263" t="str">
            <v>2585A</v>
          </cell>
          <cell r="H263">
            <v>3853.45</v>
          </cell>
          <cell r="I263">
            <v>1</v>
          </cell>
          <cell r="J263">
            <v>12</v>
          </cell>
          <cell r="K263">
            <v>1</v>
          </cell>
          <cell r="L263">
            <v>46241.56</v>
          </cell>
        </row>
        <row r="264">
          <cell r="A264">
            <v>109526</v>
          </cell>
          <cell r="B264">
            <v>21541</v>
          </cell>
          <cell r="C264">
            <v>21540</v>
          </cell>
          <cell r="D264" t="str">
            <v>ASB</v>
          </cell>
          <cell r="E264" t="str">
            <v>B</v>
          </cell>
          <cell r="F264" t="str">
            <v>SENIOR SYSTEMS AID</v>
          </cell>
          <cell r="G264" t="str">
            <v>2585A</v>
          </cell>
          <cell r="H264">
            <v>3853.45</v>
          </cell>
          <cell r="I264">
            <v>1</v>
          </cell>
          <cell r="J264">
            <v>12</v>
          </cell>
          <cell r="K264">
            <v>1</v>
          </cell>
          <cell r="L264">
            <v>46241.4</v>
          </cell>
        </row>
        <row r="265">
          <cell r="A265">
            <v>109527</v>
          </cell>
          <cell r="B265">
            <v>21541</v>
          </cell>
          <cell r="C265">
            <v>21540</v>
          </cell>
          <cell r="D265" t="str">
            <v>ASB</v>
          </cell>
          <cell r="E265" t="str">
            <v>B</v>
          </cell>
          <cell r="F265" t="str">
            <v>SENIOR SYSTEMS AID</v>
          </cell>
          <cell r="G265" t="str">
            <v>2585A</v>
          </cell>
          <cell r="H265">
            <v>3853.45</v>
          </cell>
          <cell r="I265">
            <v>1</v>
          </cell>
          <cell r="J265">
            <v>12</v>
          </cell>
          <cell r="K265">
            <v>1</v>
          </cell>
          <cell r="L265">
            <v>46241.4</v>
          </cell>
        </row>
        <row r="266">
          <cell r="A266">
            <v>109770</v>
          </cell>
          <cell r="B266">
            <v>21540</v>
          </cell>
          <cell r="C266">
            <v>21540</v>
          </cell>
          <cell r="D266" t="str">
            <v>ASB</v>
          </cell>
          <cell r="E266" t="str">
            <v>B</v>
          </cell>
          <cell r="F266" t="str">
            <v>SENIOR SYSTEMS AID</v>
          </cell>
          <cell r="G266" t="str">
            <v>2585A</v>
          </cell>
          <cell r="H266">
            <v>3853.45</v>
          </cell>
          <cell r="I266">
            <v>1</v>
          </cell>
          <cell r="J266">
            <v>12</v>
          </cell>
          <cell r="K266">
            <v>1</v>
          </cell>
          <cell r="L266">
            <v>46241.4</v>
          </cell>
        </row>
        <row r="267">
          <cell r="A267">
            <v>109771</v>
          </cell>
          <cell r="B267">
            <v>21540</v>
          </cell>
          <cell r="C267">
            <v>21540</v>
          </cell>
          <cell r="D267" t="str">
            <v>ASB</v>
          </cell>
          <cell r="E267" t="str">
            <v>B</v>
          </cell>
          <cell r="F267" t="str">
            <v>SENIOR SYSTEMS AID</v>
          </cell>
          <cell r="G267" t="str">
            <v>2585A</v>
          </cell>
          <cell r="H267">
            <v>3853.45</v>
          </cell>
          <cell r="I267">
            <v>1</v>
          </cell>
          <cell r="J267">
            <v>12</v>
          </cell>
          <cell r="K267">
            <v>1</v>
          </cell>
          <cell r="L267">
            <v>46241.4</v>
          </cell>
        </row>
        <row r="268">
          <cell r="A268">
            <v>109574</v>
          </cell>
          <cell r="B268">
            <v>23043</v>
          </cell>
          <cell r="C268">
            <v>23043</v>
          </cell>
          <cell r="D268" t="str">
            <v>ASB</v>
          </cell>
          <cell r="E268" t="str">
            <v>B</v>
          </cell>
          <cell r="F268" t="str">
            <v xml:space="preserve">ADMINISTRATIVE ASSISTANT II        </v>
          </cell>
          <cell r="G268" t="str">
            <v>0888A</v>
          </cell>
          <cell r="H268">
            <v>4334.6400000000003</v>
          </cell>
          <cell r="I268">
            <v>1</v>
          </cell>
          <cell r="J268">
            <v>12</v>
          </cell>
          <cell r="K268">
            <v>1</v>
          </cell>
          <cell r="L268">
            <v>52015.68</v>
          </cell>
        </row>
        <row r="269">
          <cell r="A269">
            <v>104376</v>
          </cell>
          <cell r="B269">
            <v>23043</v>
          </cell>
          <cell r="C269">
            <v>23043</v>
          </cell>
          <cell r="D269" t="str">
            <v>ASB</v>
          </cell>
          <cell r="E269" t="str">
            <v>B</v>
          </cell>
          <cell r="F269" t="str">
            <v xml:space="preserve">ADMINISTRATIVE ASSISTANT III       </v>
          </cell>
          <cell r="G269" t="str">
            <v>0889A</v>
          </cell>
          <cell r="H269">
            <v>4832</v>
          </cell>
          <cell r="I269">
            <v>1</v>
          </cell>
          <cell r="J269">
            <v>12</v>
          </cell>
          <cell r="K269">
            <v>1</v>
          </cell>
          <cell r="L269">
            <v>57983.839999999997</v>
          </cell>
        </row>
        <row r="270">
          <cell r="A270">
            <v>109559</v>
          </cell>
          <cell r="B270">
            <v>23043</v>
          </cell>
          <cell r="C270">
            <v>23043</v>
          </cell>
          <cell r="D270" t="str">
            <v>ASB</v>
          </cell>
          <cell r="E270" t="str">
            <v>B</v>
          </cell>
          <cell r="F270" t="str">
            <v>ADMINISTRATIVE SVCS MGR I</v>
          </cell>
          <cell r="G270" t="str">
            <v>1002A</v>
          </cell>
          <cell r="H270">
            <v>5900.27</v>
          </cell>
          <cell r="I270">
            <v>1</v>
          </cell>
          <cell r="J270">
            <v>12</v>
          </cell>
          <cell r="K270">
            <v>1</v>
          </cell>
          <cell r="L270">
            <v>70803.240000000005</v>
          </cell>
        </row>
        <row r="271">
          <cell r="A271">
            <v>102088</v>
          </cell>
          <cell r="B271">
            <v>21540</v>
          </cell>
          <cell r="C271">
            <v>23043</v>
          </cell>
          <cell r="D271" t="str">
            <v>ASB</v>
          </cell>
          <cell r="E271" t="str">
            <v>B</v>
          </cell>
          <cell r="F271" t="str">
            <v>DIVISION CHIEF,ISSB</v>
          </cell>
          <cell r="G271" t="str">
            <v>2629A</v>
          </cell>
          <cell r="H271">
            <v>8069.09</v>
          </cell>
          <cell r="I271">
            <v>1</v>
          </cell>
          <cell r="J271">
            <v>12</v>
          </cell>
          <cell r="K271">
            <v>1</v>
          </cell>
          <cell r="L271">
            <v>96829</v>
          </cell>
        </row>
        <row r="272">
          <cell r="A272">
            <v>102079</v>
          </cell>
          <cell r="B272">
            <v>20540</v>
          </cell>
          <cell r="C272">
            <v>23043</v>
          </cell>
          <cell r="D272" t="str">
            <v>ASB</v>
          </cell>
          <cell r="E272" t="str">
            <v>B</v>
          </cell>
          <cell r="F272" t="str">
            <v>INFORMATION SYSTEMS ANALYST I</v>
          </cell>
          <cell r="G272" t="str">
            <v>2590A</v>
          </cell>
          <cell r="H272">
            <v>5051.2700000000004</v>
          </cell>
          <cell r="I272">
            <v>1</v>
          </cell>
          <cell r="J272">
            <v>12</v>
          </cell>
          <cell r="K272">
            <v>1</v>
          </cell>
          <cell r="L272">
            <v>60615.24</v>
          </cell>
        </row>
        <row r="273">
          <cell r="A273">
            <v>103517</v>
          </cell>
          <cell r="B273">
            <v>21541</v>
          </cell>
          <cell r="C273">
            <v>23043</v>
          </cell>
          <cell r="D273" t="str">
            <v>ASB</v>
          </cell>
          <cell r="E273" t="str">
            <v>B</v>
          </cell>
          <cell r="F273" t="str">
            <v>INFORMATION SYSTEMS ANALYST I</v>
          </cell>
          <cell r="G273" t="str">
            <v>2590A</v>
          </cell>
          <cell r="H273">
            <v>5051.2700000000004</v>
          </cell>
          <cell r="I273">
            <v>1</v>
          </cell>
          <cell r="J273">
            <v>12</v>
          </cell>
          <cell r="K273">
            <v>1</v>
          </cell>
          <cell r="L273">
            <v>60615.24</v>
          </cell>
        </row>
        <row r="274">
          <cell r="A274">
            <v>102087</v>
          </cell>
          <cell r="B274">
            <v>21541</v>
          </cell>
          <cell r="C274">
            <v>23043</v>
          </cell>
          <cell r="D274" t="str">
            <v>ASB</v>
          </cell>
          <cell r="E274" t="str">
            <v>B</v>
          </cell>
          <cell r="F274" t="str">
            <v>INFORMATION SYSTEMS ANALYST II</v>
          </cell>
          <cell r="G274" t="str">
            <v>2591A</v>
          </cell>
          <cell r="H274">
            <v>5425.82</v>
          </cell>
          <cell r="I274">
            <v>1</v>
          </cell>
          <cell r="J274">
            <v>12</v>
          </cell>
          <cell r="K274">
            <v>1</v>
          </cell>
          <cell r="L274">
            <v>65109.84</v>
          </cell>
        </row>
        <row r="275">
          <cell r="A275">
            <v>103499</v>
          </cell>
          <cell r="B275">
            <v>23043</v>
          </cell>
          <cell r="C275">
            <v>23043</v>
          </cell>
          <cell r="D275" t="str">
            <v>ASB</v>
          </cell>
          <cell r="E275" t="str">
            <v>B</v>
          </cell>
          <cell r="F275" t="str">
            <v>INFORMATION SYSTEMS ANALYST II</v>
          </cell>
          <cell r="G275" t="str">
            <v>2591A</v>
          </cell>
          <cell r="H275">
            <v>5425.82</v>
          </cell>
          <cell r="I275">
            <v>1</v>
          </cell>
          <cell r="J275">
            <v>12</v>
          </cell>
          <cell r="K275">
            <v>1</v>
          </cell>
          <cell r="L275">
            <v>65109.84</v>
          </cell>
        </row>
        <row r="276">
          <cell r="A276">
            <v>103502</v>
          </cell>
          <cell r="B276">
            <v>21541</v>
          </cell>
          <cell r="C276">
            <v>23043</v>
          </cell>
          <cell r="D276" t="str">
            <v>ASB</v>
          </cell>
          <cell r="E276" t="str">
            <v>B</v>
          </cell>
          <cell r="F276" t="str">
            <v>INFORMATION SYSTEMS ANALYST II</v>
          </cell>
          <cell r="G276" t="str">
            <v>2591A</v>
          </cell>
          <cell r="H276">
            <v>5425.82</v>
          </cell>
          <cell r="I276">
            <v>1</v>
          </cell>
          <cell r="J276">
            <v>12</v>
          </cell>
          <cell r="K276">
            <v>1</v>
          </cell>
          <cell r="L276">
            <v>65109.84</v>
          </cell>
        </row>
        <row r="277">
          <cell r="A277">
            <v>103503</v>
          </cell>
          <cell r="B277">
            <v>23043</v>
          </cell>
          <cell r="C277">
            <v>23043</v>
          </cell>
          <cell r="D277" t="str">
            <v>ASB</v>
          </cell>
          <cell r="E277" t="str">
            <v>B</v>
          </cell>
          <cell r="F277" t="str">
            <v>INFORMATION SYSTEMS ANALYST II</v>
          </cell>
          <cell r="G277" t="str">
            <v>2591A</v>
          </cell>
          <cell r="H277">
            <v>5425.82</v>
          </cell>
          <cell r="I277">
            <v>1</v>
          </cell>
          <cell r="J277">
            <v>12</v>
          </cell>
          <cell r="K277">
            <v>1</v>
          </cell>
          <cell r="L277">
            <v>65109.84</v>
          </cell>
        </row>
        <row r="278">
          <cell r="A278">
            <v>104818</v>
          </cell>
          <cell r="B278">
            <v>21541</v>
          </cell>
          <cell r="C278">
            <v>23043</v>
          </cell>
          <cell r="D278" t="str">
            <v>ASB</v>
          </cell>
          <cell r="E278" t="str">
            <v>B</v>
          </cell>
          <cell r="F278" t="str">
            <v>INFORMATION SYSTEMS ANALYST II</v>
          </cell>
          <cell r="G278" t="str">
            <v>2591A</v>
          </cell>
          <cell r="H278">
            <v>5425.82</v>
          </cell>
          <cell r="I278">
            <v>1</v>
          </cell>
          <cell r="J278">
            <v>12</v>
          </cell>
          <cell r="K278">
            <v>1</v>
          </cell>
          <cell r="L278">
            <v>65109.84</v>
          </cell>
        </row>
        <row r="279">
          <cell r="A279">
            <v>106806</v>
          </cell>
          <cell r="B279">
            <v>21540</v>
          </cell>
          <cell r="C279">
            <v>23043</v>
          </cell>
          <cell r="D279" t="str">
            <v>ASB</v>
          </cell>
          <cell r="E279" t="str">
            <v>B</v>
          </cell>
          <cell r="F279" t="str">
            <v>INFORMATION SYSTEMS ANALYST II</v>
          </cell>
          <cell r="G279" t="str">
            <v>2591A</v>
          </cell>
          <cell r="H279">
            <v>5425.82</v>
          </cell>
          <cell r="I279">
            <v>1</v>
          </cell>
          <cell r="J279">
            <v>12</v>
          </cell>
          <cell r="K279">
            <v>1</v>
          </cell>
          <cell r="L279">
            <v>65109.84</v>
          </cell>
        </row>
        <row r="280">
          <cell r="A280">
            <v>106807</v>
          </cell>
          <cell r="B280">
            <v>21540</v>
          </cell>
          <cell r="C280">
            <v>23043</v>
          </cell>
          <cell r="D280" t="str">
            <v>ASB</v>
          </cell>
          <cell r="E280" t="str">
            <v>B</v>
          </cell>
          <cell r="F280" t="str">
            <v>INFORMATION SYSTEMS ANALYST II</v>
          </cell>
          <cell r="G280" t="str">
            <v>2591A</v>
          </cell>
          <cell r="H280">
            <v>5425.82</v>
          </cell>
          <cell r="I280">
            <v>1</v>
          </cell>
          <cell r="J280">
            <v>12</v>
          </cell>
          <cell r="K280">
            <v>1</v>
          </cell>
          <cell r="L280">
            <v>65109.84</v>
          </cell>
        </row>
        <row r="281">
          <cell r="A281">
            <v>106833</v>
          </cell>
          <cell r="B281">
            <v>21540</v>
          </cell>
          <cell r="C281">
            <v>23043</v>
          </cell>
          <cell r="D281" t="str">
            <v>ASB</v>
          </cell>
          <cell r="E281" t="str">
            <v>B</v>
          </cell>
          <cell r="F281" t="str">
            <v>INFORMATION SYSTEMS ANALYST II</v>
          </cell>
          <cell r="G281" t="str">
            <v>2591A</v>
          </cell>
          <cell r="H281">
            <v>5425.82</v>
          </cell>
          <cell r="I281">
            <v>1</v>
          </cell>
          <cell r="J281">
            <v>12</v>
          </cell>
          <cell r="K281">
            <v>1</v>
          </cell>
          <cell r="L281">
            <v>65109.84</v>
          </cell>
        </row>
        <row r="282">
          <cell r="A282">
            <v>106834</v>
          </cell>
          <cell r="B282">
            <v>21540</v>
          </cell>
          <cell r="C282">
            <v>23043</v>
          </cell>
          <cell r="D282" t="str">
            <v>ASB</v>
          </cell>
          <cell r="E282" t="str">
            <v>B</v>
          </cell>
          <cell r="F282" t="str">
            <v>INFORMATION SYSTEMS ANALYST II</v>
          </cell>
          <cell r="G282" t="str">
            <v>2591A</v>
          </cell>
          <cell r="H282">
            <v>5425.82</v>
          </cell>
          <cell r="I282">
            <v>1</v>
          </cell>
          <cell r="J282">
            <v>12</v>
          </cell>
          <cell r="K282">
            <v>1</v>
          </cell>
          <cell r="L282">
            <v>65109.84</v>
          </cell>
        </row>
        <row r="283">
          <cell r="A283">
            <v>107705</v>
          </cell>
          <cell r="B283">
            <v>21540</v>
          </cell>
          <cell r="C283">
            <v>23043</v>
          </cell>
          <cell r="D283" t="str">
            <v>ASB</v>
          </cell>
          <cell r="E283" t="str">
            <v>B</v>
          </cell>
          <cell r="F283" t="str">
            <v>INFORMATION SYSTEMS ANALYST II</v>
          </cell>
          <cell r="G283" t="str">
            <v>2591A</v>
          </cell>
          <cell r="H283">
            <v>5425.82</v>
          </cell>
          <cell r="I283">
            <v>1</v>
          </cell>
          <cell r="J283">
            <v>12</v>
          </cell>
          <cell r="K283">
            <v>1</v>
          </cell>
          <cell r="L283">
            <v>65109.84</v>
          </cell>
        </row>
        <row r="284">
          <cell r="A284">
            <v>102084</v>
          </cell>
          <cell r="B284">
            <v>23043</v>
          </cell>
          <cell r="C284">
            <v>23043</v>
          </cell>
          <cell r="D284" t="str">
            <v>ASB</v>
          </cell>
          <cell r="E284" t="str">
            <v>B</v>
          </cell>
          <cell r="F284" t="str">
            <v>INFORMATION SYSTEMS COORDINATOR</v>
          </cell>
          <cell r="G284" t="str">
            <v>2593A</v>
          </cell>
          <cell r="H284">
            <v>6608.45</v>
          </cell>
          <cell r="I284">
            <v>1</v>
          </cell>
          <cell r="J284">
            <v>12</v>
          </cell>
          <cell r="K284">
            <v>1</v>
          </cell>
          <cell r="L284">
            <v>79301.8</v>
          </cell>
        </row>
        <row r="285">
          <cell r="A285">
            <v>103651</v>
          </cell>
          <cell r="B285">
            <v>21541</v>
          </cell>
          <cell r="C285">
            <v>23043</v>
          </cell>
          <cell r="D285" t="str">
            <v>ASB</v>
          </cell>
          <cell r="E285" t="str">
            <v>B</v>
          </cell>
          <cell r="F285" t="str">
            <v>INFORMATION SYSTEMS COORDINATOR</v>
          </cell>
          <cell r="G285" t="str">
            <v>2593A</v>
          </cell>
          <cell r="H285">
            <v>6608.45</v>
          </cell>
          <cell r="I285">
            <v>1</v>
          </cell>
          <cell r="J285">
            <v>12</v>
          </cell>
          <cell r="K285">
            <v>1</v>
          </cell>
          <cell r="L285">
            <v>79301.8</v>
          </cell>
        </row>
        <row r="286">
          <cell r="A286">
            <v>104025</v>
          </cell>
          <cell r="B286">
            <v>21540</v>
          </cell>
          <cell r="C286">
            <v>23043</v>
          </cell>
          <cell r="D286" t="str">
            <v>ASB</v>
          </cell>
          <cell r="E286" t="str">
            <v>B</v>
          </cell>
          <cell r="F286" t="str">
            <v>INFORMATION SYSTEMS COORDINATOR</v>
          </cell>
          <cell r="G286" t="str">
            <v>2593A</v>
          </cell>
          <cell r="H286">
            <v>6608.45</v>
          </cell>
          <cell r="I286">
            <v>1</v>
          </cell>
          <cell r="J286">
            <v>12</v>
          </cell>
          <cell r="K286">
            <v>1</v>
          </cell>
          <cell r="L286">
            <v>79301.8</v>
          </cell>
        </row>
        <row r="287">
          <cell r="A287">
            <v>109381</v>
          </cell>
          <cell r="B287">
            <v>27532</v>
          </cell>
          <cell r="C287">
            <v>23043</v>
          </cell>
          <cell r="D287" t="str">
            <v>ASB</v>
          </cell>
          <cell r="E287" t="str">
            <v>B</v>
          </cell>
          <cell r="F287" t="str">
            <v>INFORMATION SYSTEMS COORDINATOR</v>
          </cell>
          <cell r="G287" t="str">
            <v>2593A</v>
          </cell>
          <cell r="H287">
            <v>6608.45</v>
          </cell>
          <cell r="I287">
            <v>1</v>
          </cell>
          <cell r="J287">
            <v>12</v>
          </cell>
          <cell r="K287">
            <v>1</v>
          </cell>
          <cell r="L287">
            <v>79301.399999999994</v>
          </cell>
        </row>
        <row r="288">
          <cell r="A288">
            <v>105065</v>
          </cell>
          <cell r="B288">
            <v>21541</v>
          </cell>
          <cell r="C288">
            <v>23043</v>
          </cell>
          <cell r="D288" t="str">
            <v>ASB</v>
          </cell>
          <cell r="E288" t="str">
            <v>B</v>
          </cell>
          <cell r="F288" t="str">
            <v>INFORMATION SYSTEMS MANAGER I</v>
          </cell>
          <cell r="G288" t="str">
            <v>2573A</v>
          </cell>
          <cell r="H288">
            <v>8731</v>
          </cell>
          <cell r="I288">
            <v>1</v>
          </cell>
          <cell r="J288">
            <v>12</v>
          </cell>
          <cell r="K288">
            <v>1</v>
          </cell>
          <cell r="L288">
            <v>104771.76</v>
          </cell>
        </row>
        <row r="289">
          <cell r="A289">
            <v>109388</v>
          </cell>
          <cell r="B289">
            <v>27532</v>
          </cell>
          <cell r="C289">
            <v>23043</v>
          </cell>
          <cell r="D289" t="str">
            <v>ASB</v>
          </cell>
          <cell r="E289" t="str">
            <v>B</v>
          </cell>
          <cell r="F289" t="str">
            <v>INFORMATION SYSTEMS MANAGER I</v>
          </cell>
          <cell r="G289" t="str">
            <v>2573A</v>
          </cell>
          <cell r="H289">
            <v>8731</v>
          </cell>
          <cell r="I289">
            <v>1</v>
          </cell>
          <cell r="J289">
            <v>12</v>
          </cell>
          <cell r="K289">
            <v>1</v>
          </cell>
          <cell r="L289">
            <v>104772</v>
          </cell>
        </row>
        <row r="290">
          <cell r="A290">
            <v>109389</v>
          </cell>
          <cell r="B290">
            <v>27532</v>
          </cell>
          <cell r="C290">
            <v>23043</v>
          </cell>
          <cell r="D290" t="str">
            <v>ASB</v>
          </cell>
          <cell r="E290" t="str">
            <v>B</v>
          </cell>
          <cell r="F290" t="str">
            <v>INFORMATION SYSTEMS MANAGER I</v>
          </cell>
          <cell r="G290" t="str">
            <v>2573A</v>
          </cell>
          <cell r="H290">
            <v>8731</v>
          </cell>
          <cell r="I290">
            <v>1</v>
          </cell>
          <cell r="J290">
            <v>12</v>
          </cell>
          <cell r="K290">
            <v>1</v>
          </cell>
          <cell r="L290">
            <v>104772</v>
          </cell>
        </row>
        <row r="291">
          <cell r="A291">
            <v>105031</v>
          </cell>
          <cell r="B291">
            <v>23043</v>
          </cell>
          <cell r="C291">
            <v>23043</v>
          </cell>
          <cell r="D291" t="str">
            <v>ASB</v>
          </cell>
          <cell r="E291" t="str">
            <v>B</v>
          </cell>
          <cell r="F291" t="str">
            <v>INFORMATION SYSTEMS MANAGER II</v>
          </cell>
          <cell r="G291" t="str">
            <v>2574A</v>
          </cell>
          <cell r="H291">
            <v>9830.75</v>
          </cell>
          <cell r="I291">
            <v>1</v>
          </cell>
          <cell r="J291">
            <v>12</v>
          </cell>
          <cell r="K291">
            <v>1</v>
          </cell>
          <cell r="L291">
            <v>117969</v>
          </cell>
        </row>
        <row r="292">
          <cell r="A292">
            <v>104822</v>
          </cell>
          <cell r="B292">
            <v>21541</v>
          </cell>
          <cell r="C292">
            <v>23043</v>
          </cell>
          <cell r="D292" t="str">
            <v>ASB</v>
          </cell>
          <cell r="E292" t="str">
            <v>B</v>
          </cell>
          <cell r="F292" t="str">
            <v>INFORMATION SYSTEMS SUPERVISOR I</v>
          </cell>
          <cell r="G292" t="str">
            <v>2595A</v>
          </cell>
          <cell r="H292">
            <v>6608.45</v>
          </cell>
          <cell r="I292">
            <v>1</v>
          </cell>
          <cell r="J292">
            <v>12</v>
          </cell>
          <cell r="K292">
            <v>1</v>
          </cell>
          <cell r="L292">
            <v>79301.8</v>
          </cell>
        </row>
        <row r="293">
          <cell r="A293">
            <v>106824</v>
          </cell>
          <cell r="B293">
            <v>21541</v>
          </cell>
          <cell r="C293">
            <v>23043</v>
          </cell>
          <cell r="D293" t="str">
            <v>ASB</v>
          </cell>
          <cell r="E293" t="str">
            <v>B</v>
          </cell>
          <cell r="F293" t="str">
            <v>INFORMATION SYSTEMS SUPERVISOR I</v>
          </cell>
          <cell r="G293" t="str">
            <v>2595A</v>
          </cell>
          <cell r="H293">
            <v>6608.45</v>
          </cell>
          <cell r="I293">
            <v>1</v>
          </cell>
          <cell r="J293">
            <v>12</v>
          </cell>
          <cell r="K293">
            <v>1</v>
          </cell>
          <cell r="L293">
            <v>79301.8</v>
          </cell>
        </row>
        <row r="294">
          <cell r="A294">
            <v>105066</v>
          </cell>
          <cell r="B294">
            <v>21541</v>
          </cell>
          <cell r="C294">
            <v>23043</v>
          </cell>
          <cell r="D294" t="str">
            <v>ASB</v>
          </cell>
          <cell r="E294" t="str">
            <v>B</v>
          </cell>
          <cell r="F294" t="str">
            <v>INFORMATION SYSTEMS SUPERVISOR III</v>
          </cell>
          <cell r="G294" t="str">
            <v>2597A</v>
          </cell>
          <cell r="H294">
            <v>8069.09</v>
          </cell>
          <cell r="I294">
            <v>1</v>
          </cell>
          <cell r="J294">
            <v>12</v>
          </cell>
          <cell r="K294">
            <v>1</v>
          </cell>
          <cell r="L294">
            <v>96829</v>
          </cell>
        </row>
        <row r="295">
          <cell r="A295">
            <v>109372</v>
          </cell>
          <cell r="B295">
            <v>27631</v>
          </cell>
          <cell r="C295">
            <v>23043</v>
          </cell>
          <cell r="D295" t="str">
            <v>ASB</v>
          </cell>
          <cell r="E295" t="str">
            <v>B</v>
          </cell>
          <cell r="F295" t="str">
            <v>INTERMEDIATE TYPIST-CLERK</v>
          </cell>
          <cell r="G295" t="str">
            <v>2214A</v>
          </cell>
          <cell r="H295">
            <v>2675.27</v>
          </cell>
          <cell r="I295">
            <v>1</v>
          </cell>
          <cell r="J295">
            <v>12</v>
          </cell>
          <cell r="K295">
            <v>1</v>
          </cell>
          <cell r="L295">
            <v>32103.16</v>
          </cell>
        </row>
        <row r="296">
          <cell r="A296">
            <v>106837</v>
          </cell>
          <cell r="B296">
            <v>27475</v>
          </cell>
          <cell r="C296">
            <v>23043</v>
          </cell>
          <cell r="D296" t="str">
            <v>ASB</v>
          </cell>
          <cell r="E296" t="str">
            <v>B</v>
          </cell>
          <cell r="F296" t="str">
            <v>PRINCIPAL PROGRAMMER ANALYST</v>
          </cell>
          <cell r="G296" t="str">
            <v>2526A</v>
          </cell>
          <cell r="H296">
            <v>7365.73</v>
          </cell>
          <cell r="I296">
            <v>1</v>
          </cell>
          <cell r="J296">
            <v>12</v>
          </cell>
          <cell r="K296">
            <v>1</v>
          </cell>
          <cell r="L296">
            <v>88388.84</v>
          </cell>
        </row>
        <row r="297">
          <cell r="A297">
            <v>104826</v>
          </cell>
          <cell r="B297">
            <v>23043</v>
          </cell>
          <cell r="C297">
            <v>23043</v>
          </cell>
          <cell r="D297" t="str">
            <v>ASB</v>
          </cell>
          <cell r="E297" t="str">
            <v>B</v>
          </cell>
          <cell r="F297" t="str">
            <v xml:space="preserve">SECRETARY III                      </v>
          </cell>
          <cell r="G297" t="str">
            <v>2096A</v>
          </cell>
          <cell r="H297">
            <v>3387</v>
          </cell>
          <cell r="I297">
            <v>1</v>
          </cell>
          <cell r="J297">
            <v>12</v>
          </cell>
          <cell r="K297">
            <v>1</v>
          </cell>
          <cell r="L297">
            <v>40643.839999999997</v>
          </cell>
        </row>
        <row r="298">
          <cell r="A298">
            <v>105032</v>
          </cell>
          <cell r="B298">
            <v>23043</v>
          </cell>
          <cell r="C298">
            <v>23043</v>
          </cell>
          <cell r="D298" t="str">
            <v>ASB</v>
          </cell>
          <cell r="E298" t="str">
            <v>B</v>
          </cell>
          <cell r="F298" t="str">
            <v xml:space="preserve">SENIOR SECRETARY III               </v>
          </cell>
          <cell r="G298" t="str">
            <v>2102A</v>
          </cell>
          <cell r="H298">
            <v>4106.3599999999997</v>
          </cell>
          <cell r="I298">
            <v>1</v>
          </cell>
          <cell r="J298">
            <v>12</v>
          </cell>
          <cell r="K298">
            <v>1</v>
          </cell>
          <cell r="L298">
            <v>49276.56</v>
          </cell>
        </row>
        <row r="299">
          <cell r="A299">
            <v>109570</v>
          </cell>
          <cell r="B299">
            <v>21540</v>
          </cell>
          <cell r="C299">
            <v>23043</v>
          </cell>
          <cell r="D299" t="str">
            <v>ASB</v>
          </cell>
          <cell r="E299" t="str">
            <v>B</v>
          </cell>
          <cell r="F299" t="str">
            <v>SENIOR SYSTEMS AID</v>
          </cell>
          <cell r="G299" t="str">
            <v>2585A</v>
          </cell>
          <cell r="H299">
            <v>3853.45</v>
          </cell>
          <cell r="I299">
            <v>1</v>
          </cell>
          <cell r="J299">
            <v>12</v>
          </cell>
          <cell r="K299">
            <v>1</v>
          </cell>
          <cell r="L299">
            <v>46241.4</v>
          </cell>
        </row>
        <row r="300">
          <cell r="A300">
            <v>106796</v>
          </cell>
          <cell r="B300">
            <v>23043</v>
          </cell>
          <cell r="C300">
            <v>23043</v>
          </cell>
          <cell r="D300" t="str">
            <v>ASB</v>
          </cell>
          <cell r="E300" t="str">
            <v>B</v>
          </cell>
          <cell r="F300" t="str">
            <v xml:space="preserve">SENIOR TYPIST-CLERK                </v>
          </cell>
          <cell r="G300" t="str">
            <v>2216A</v>
          </cell>
          <cell r="H300">
            <v>3013.55</v>
          </cell>
          <cell r="I300">
            <v>1</v>
          </cell>
          <cell r="J300">
            <v>12</v>
          </cell>
          <cell r="K300">
            <v>1</v>
          </cell>
          <cell r="L300">
            <v>36162.6</v>
          </cell>
        </row>
        <row r="301">
          <cell r="A301">
            <v>101625</v>
          </cell>
          <cell r="B301">
            <v>23043</v>
          </cell>
          <cell r="C301">
            <v>23043</v>
          </cell>
          <cell r="D301" t="str">
            <v>ASB</v>
          </cell>
          <cell r="E301" t="str">
            <v>B</v>
          </cell>
          <cell r="F301" t="str">
            <v xml:space="preserve">SYSTEMS AID                        </v>
          </cell>
          <cell r="G301" t="str">
            <v>2584A</v>
          </cell>
          <cell r="H301">
            <v>3281.18</v>
          </cell>
          <cell r="I301">
            <v>1</v>
          </cell>
          <cell r="J301">
            <v>12</v>
          </cell>
          <cell r="K301">
            <v>1</v>
          </cell>
          <cell r="L301">
            <v>39373.919999999998</v>
          </cell>
        </row>
        <row r="302">
          <cell r="A302">
            <v>110007</v>
          </cell>
          <cell r="B302">
            <v>23043</v>
          </cell>
          <cell r="C302">
            <v>23043</v>
          </cell>
          <cell r="D302" t="str">
            <v>ASB</v>
          </cell>
          <cell r="E302" t="str">
            <v>B</v>
          </cell>
          <cell r="F302" t="str">
            <v xml:space="preserve">SYSTEMS AID                        </v>
          </cell>
          <cell r="G302" t="str">
            <v>2584A</v>
          </cell>
          <cell r="H302">
            <v>3281.18</v>
          </cell>
          <cell r="I302">
            <v>1</v>
          </cell>
          <cell r="J302">
            <v>12</v>
          </cell>
          <cell r="K302">
            <v>1</v>
          </cell>
          <cell r="L302">
            <v>39374.160000000003</v>
          </cell>
        </row>
        <row r="303">
          <cell r="A303">
            <v>109521</v>
          </cell>
          <cell r="B303">
            <v>21541</v>
          </cell>
          <cell r="C303">
            <v>21541</v>
          </cell>
          <cell r="D303" t="str">
            <v>ASB</v>
          </cell>
          <cell r="E303" t="str">
            <v>B</v>
          </cell>
          <cell r="F303" t="str">
            <v>DEPARTMENTAL INFO SECURITY OFFICER II</v>
          </cell>
          <cell r="G303" t="str">
            <v>2612A</v>
          </cell>
          <cell r="H303">
            <v>8731</v>
          </cell>
          <cell r="I303">
            <v>1</v>
          </cell>
          <cell r="J303">
            <v>12</v>
          </cell>
          <cell r="K303">
            <v>1</v>
          </cell>
          <cell r="L303">
            <v>104772</v>
          </cell>
        </row>
        <row r="304">
          <cell r="A304">
            <v>106831</v>
          </cell>
          <cell r="B304">
            <v>21541</v>
          </cell>
          <cell r="C304">
            <v>21541</v>
          </cell>
          <cell r="D304" t="str">
            <v>ASB</v>
          </cell>
          <cell r="E304" t="str">
            <v>B</v>
          </cell>
          <cell r="F304" t="str">
            <v>ELECTRICIAN</v>
          </cell>
          <cell r="G304" t="str">
            <v>6471A</v>
          </cell>
          <cell r="H304">
            <v>5284.45</v>
          </cell>
          <cell r="I304">
            <v>1</v>
          </cell>
          <cell r="J304">
            <v>12</v>
          </cell>
          <cell r="K304">
            <v>1</v>
          </cell>
          <cell r="L304">
            <v>63413.4</v>
          </cell>
        </row>
        <row r="305">
          <cell r="A305">
            <v>106832</v>
          </cell>
          <cell r="B305">
            <v>21541</v>
          </cell>
          <cell r="C305">
            <v>21541</v>
          </cell>
          <cell r="D305" t="str">
            <v>ASB</v>
          </cell>
          <cell r="E305" t="str">
            <v>B</v>
          </cell>
          <cell r="F305" t="str">
            <v>ELECTRICIAN</v>
          </cell>
          <cell r="G305" t="str">
            <v>6471A</v>
          </cell>
          <cell r="H305">
            <v>5284.45</v>
          </cell>
          <cell r="I305">
            <v>1</v>
          </cell>
          <cell r="J305">
            <v>12</v>
          </cell>
          <cell r="K305">
            <v>1</v>
          </cell>
          <cell r="L305">
            <v>63413.4</v>
          </cell>
        </row>
        <row r="306">
          <cell r="A306">
            <v>104871</v>
          </cell>
          <cell r="B306">
            <v>21541</v>
          </cell>
          <cell r="C306">
            <v>21541</v>
          </cell>
          <cell r="D306" t="str">
            <v>ASB</v>
          </cell>
          <cell r="E306" t="str">
            <v>B</v>
          </cell>
          <cell r="F306" t="str">
            <v>INFORMATION SYSTEM ANALYST AID</v>
          </cell>
          <cell r="G306" t="str">
            <v>2588A</v>
          </cell>
          <cell r="H306">
            <v>4229.3599999999997</v>
          </cell>
          <cell r="I306">
            <v>1</v>
          </cell>
          <cell r="J306">
            <v>12</v>
          </cell>
          <cell r="K306">
            <v>1</v>
          </cell>
          <cell r="L306">
            <v>50752.56</v>
          </cell>
        </row>
        <row r="307">
          <cell r="A307">
            <v>102085</v>
          </cell>
          <cell r="B307">
            <v>21541</v>
          </cell>
          <cell r="C307">
            <v>21541</v>
          </cell>
          <cell r="D307" t="str">
            <v>ASB</v>
          </cell>
          <cell r="E307" t="str">
            <v>B</v>
          </cell>
          <cell r="F307" t="str">
            <v>INFORMATION SYSTEMS ANALYST I</v>
          </cell>
          <cell r="G307" t="str">
            <v>2590A</v>
          </cell>
          <cell r="H307">
            <v>5051.2700000000004</v>
          </cell>
          <cell r="I307">
            <v>1</v>
          </cell>
          <cell r="J307">
            <v>12</v>
          </cell>
          <cell r="K307">
            <v>1</v>
          </cell>
          <cell r="L307">
            <v>60615.24</v>
          </cell>
        </row>
        <row r="308">
          <cell r="A308">
            <v>109576</v>
          </cell>
          <cell r="B308">
            <v>27533</v>
          </cell>
          <cell r="C308">
            <v>21541</v>
          </cell>
          <cell r="D308" t="str">
            <v>ASB</v>
          </cell>
          <cell r="E308" t="str">
            <v>B</v>
          </cell>
          <cell r="F308" t="str">
            <v>INFORMATION SYSTEMS ANALYST I</v>
          </cell>
          <cell r="G308" t="str">
            <v>2590A</v>
          </cell>
          <cell r="H308">
            <v>5051.2700000000004</v>
          </cell>
          <cell r="I308">
            <v>1</v>
          </cell>
          <cell r="J308">
            <v>12</v>
          </cell>
          <cell r="K308">
            <v>1</v>
          </cell>
          <cell r="L308">
            <v>60615.24</v>
          </cell>
        </row>
        <row r="309">
          <cell r="A309">
            <v>103501</v>
          </cell>
          <cell r="B309">
            <v>21541</v>
          </cell>
          <cell r="C309">
            <v>21541</v>
          </cell>
          <cell r="D309" t="str">
            <v>ASB</v>
          </cell>
          <cell r="E309" t="str">
            <v>B</v>
          </cell>
          <cell r="F309" t="str">
            <v>INFORMATION SYSTEMS ANALYST II</v>
          </cell>
          <cell r="G309" t="str">
            <v>2591A</v>
          </cell>
          <cell r="H309">
            <v>5425.82</v>
          </cell>
          <cell r="I309">
            <v>1</v>
          </cell>
          <cell r="J309">
            <v>12</v>
          </cell>
          <cell r="K309">
            <v>1</v>
          </cell>
          <cell r="L309">
            <v>65109.84</v>
          </cell>
        </row>
        <row r="310">
          <cell r="A310">
            <v>103591</v>
          </cell>
          <cell r="B310">
            <v>21541</v>
          </cell>
          <cell r="C310">
            <v>21541</v>
          </cell>
          <cell r="D310" t="str">
            <v>ASB</v>
          </cell>
          <cell r="E310" t="str">
            <v>B</v>
          </cell>
          <cell r="F310" t="str">
            <v>INFORMATION SYSTEMS ANALYST II</v>
          </cell>
          <cell r="G310" t="str">
            <v>2591A</v>
          </cell>
          <cell r="H310">
            <v>5425.82</v>
          </cell>
          <cell r="I310">
            <v>1</v>
          </cell>
          <cell r="J310">
            <v>12</v>
          </cell>
          <cell r="K310">
            <v>1</v>
          </cell>
          <cell r="L310">
            <v>65109.84</v>
          </cell>
        </row>
        <row r="311">
          <cell r="A311">
            <v>104823</v>
          </cell>
          <cell r="B311">
            <v>21540</v>
          </cell>
          <cell r="C311">
            <v>21541</v>
          </cell>
          <cell r="D311" t="str">
            <v>ASB</v>
          </cell>
          <cell r="E311" t="str">
            <v>B</v>
          </cell>
          <cell r="F311" t="str">
            <v>INFORMATION SYSTEMS ANALYST II</v>
          </cell>
          <cell r="G311" t="str">
            <v>2591A</v>
          </cell>
          <cell r="H311">
            <v>5425.82</v>
          </cell>
          <cell r="I311">
            <v>1</v>
          </cell>
          <cell r="J311">
            <v>12</v>
          </cell>
          <cell r="K311">
            <v>1</v>
          </cell>
          <cell r="L311">
            <v>65109.84</v>
          </cell>
        </row>
        <row r="312">
          <cell r="A312">
            <v>104824</v>
          </cell>
          <cell r="B312">
            <v>21541</v>
          </cell>
          <cell r="C312">
            <v>21541</v>
          </cell>
          <cell r="D312" t="str">
            <v>ASB</v>
          </cell>
          <cell r="E312" t="str">
            <v>B</v>
          </cell>
          <cell r="F312" t="str">
            <v>INFORMATION SYSTEMS ANALYST II</v>
          </cell>
          <cell r="G312" t="str">
            <v>2591A</v>
          </cell>
          <cell r="H312">
            <v>5425.82</v>
          </cell>
          <cell r="I312">
            <v>1</v>
          </cell>
          <cell r="J312">
            <v>12</v>
          </cell>
          <cell r="K312">
            <v>1</v>
          </cell>
          <cell r="L312">
            <v>65109.84</v>
          </cell>
        </row>
        <row r="313">
          <cell r="A313">
            <v>106808</v>
          </cell>
          <cell r="B313">
            <v>21541</v>
          </cell>
          <cell r="C313">
            <v>21541</v>
          </cell>
          <cell r="D313" t="str">
            <v>ASB</v>
          </cell>
          <cell r="E313" t="str">
            <v>B</v>
          </cell>
          <cell r="F313" t="str">
            <v>INFORMATION SYSTEMS ANALYST II</v>
          </cell>
          <cell r="G313" t="str">
            <v>2591A</v>
          </cell>
          <cell r="H313">
            <v>5425.82</v>
          </cell>
          <cell r="I313">
            <v>1</v>
          </cell>
          <cell r="J313">
            <v>12</v>
          </cell>
          <cell r="K313">
            <v>1</v>
          </cell>
          <cell r="L313">
            <v>65109.84</v>
          </cell>
        </row>
        <row r="314">
          <cell r="A314">
            <v>106809</v>
          </cell>
          <cell r="B314">
            <v>23043</v>
          </cell>
          <cell r="C314">
            <v>21541</v>
          </cell>
          <cell r="D314" t="str">
            <v>ASB</v>
          </cell>
          <cell r="E314" t="str">
            <v>B</v>
          </cell>
          <cell r="F314" t="str">
            <v>INFORMATION SYSTEMS ANALYST II</v>
          </cell>
          <cell r="G314" t="str">
            <v>2591A</v>
          </cell>
          <cell r="H314">
            <v>5425.82</v>
          </cell>
          <cell r="I314">
            <v>1</v>
          </cell>
          <cell r="J314">
            <v>12</v>
          </cell>
          <cell r="K314">
            <v>1</v>
          </cell>
          <cell r="L314">
            <v>65109.84</v>
          </cell>
        </row>
        <row r="315">
          <cell r="A315">
            <v>106828</v>
          </cell>
          <cell r="B315">
            <v>21541</v>
          </cell>
          <cell r="C315">
            <v>21541</v>
          </cell>
          <cell r="D315" t="str">
            <v>ASB</v>
          </cell>
          <cell r="E315" t="str">
            <v>B</v>
          </cell>
          <cell r="F315" t="str">
            <v>INFORMATION SYSTEMS ANALYST II</v>
          </cell>
          <cell r="G315" t="str">
            <v>2591A</v>
          </cell>
          <cell r="H315">
            <v>5425.82</v>
          </cell>
          <cell r="I315">
            <v>1</v>
          </cell>
          <cell r="J315">
            <v>12</v>
          </cell>
          <cell r="K315">
            <v>1</v>
          </cell>
          <cell r="L315">
            <v>65109.84</v>
          </cell>
        </row>
        <row r="316">
          <cell r="A316">
            <v>109377</v>
          </cell>
          <cell r="B316">
            <v>27532</v>
          </cell>
          <cell r="C316">
            <v>21541</v>
          </cell>
          <cell r="D316" t="str">
            <v>ASB</v>
          </cell>
          <cell r="E316" t="str">
            <v>B</v>
          </cell>
          <cell r="F316" t="str">
            <v>INFORMATION SYSTEMS ANALYST II</v>
          </cell>
          <cell r="G316" t="str">
            <v>2591A</v>
          </cell>
          <cell r="H316">
            <v>5425.82</v>
          </cell>
          <cell r="I316">
            <v>1</v>
          </cell>
          <cell r="J316">
            <v>12</v>
          </cell>
          <cell r="K316">
            <v>1</v>
          </cell>
          <cell r="L316">
            <v>65109.84</v>
          </cell>
        </row>
        <row r="317">
          <cell r="A317">
            <v>109537</v>
          </cell>
          <cell r="B317">
            <v>21541</v>
          </cell>
          <cell r="C317">
            <v>21541</v>
          </cell>
          <cell r="D317" t="str">
            <v>ASB</v>
          </cell>
          <cell r="E317" t="str">
            <v>B</v>
          </cell>
          <cell r="F317" t="str">
            <v>INFORMATION SYSTEMS ANALYST II</v>
          </cell>
          <cell r="G317" t="str">
            <v>2591A</v>
          </cell>
          <cell r="H317">
            <v>5425.82</v>
          </cell>
          <cell r="I317">
            <v>1</v>
          </cell>
          <cell r="J317">
            <v>12</v>
          </cell>
          <cell r="K317">
            <v>1</v>
          </cell>
          <cell r="L317">
            <v>65109.84</v>
          </cell>
        </row>
        <row r="318">
          <cell r="A318">
            <v>109538</v>
          </cell>
          <cell r="B318">
            <v>21541</v>
          </cell>
          <cell r="C318">
            <v>21541</v>
          </cell>
          <cell r="D318" t="str">
            <v>ASB</v>
          </cell>
          <cell r="E318" t="str">
            <v>B</v>
          </cell>
          <cell r="F318" t="str">
            <v>INFORMATION SYSTEMS ANALYST II</v>
          </cell>
          <cell r="G318" t="str">
            <v>2591A</v>
          </cell>
          <cell r="H318">
            <v>5425.82</v>
          </cell>
          <cell r="I318">
            <v>1</v>
          </cell>
          <cell r="J318">
            <v>12</v>
          </cell>
          <cell r="K318">
            <v>1</v>
          </cell>
          <cell r="L318">
            <v>65109.84</v>
          </cell>
        </row>
        <row r="319">
          <cell r="A319">
            <v>109539</v>
          </cell>
          <cell r="B319">
            <v>21541</v>
          </cell>
          <cell r="C319">
            <v>21541</v>
          </cell>
          <cell r="D319" t="str">
            <v>ASB</v>
          </cell>
          <cell r="E319" t="str">
            <v>B</v>
          </cell>
          <cell r="F319" t="str">
            <v>INFORMATION SYSTEMS ANALYST II</v>
          </cell>
          <cell r="G319" t="str">
            <v>2591A</v>
          </cell>
          <cell r="H319">
            <v>5425.82</v>
          </cell>
          <cell r="I319">
            <v>1</v>
          </cell>
          <cell r="J319">
            <v>12</v>
          </cell>
          <cell r="K319">
            <v>1</v>
          </cell>
          <cell r="L319">
            <v>65109.84</v>
          </cell>
        </row>
        <row r="320">
          <cell r="A320">
            <v>109540</v>
          </cell>
          <cell r="B320">
            <v>21541</v>
          </cell>
          <cell r="C320">
            <v>21541</v>
          </cell>
          <cell r="D320" t="str">
            <v>ASB</v>
          </cell>
          <cell r="E320" t="str">
            <v>B</v>
          </cell>
          <cell r="F320" t="str">
            <v>INFORMATION SYSTEMS ANALYST II</v>
          </cell>
          <cell r="G320" t="str">
            <v>2591A</v>
          </cell>
          <cell r="H320">
            <v>5425.82</v>
          </cell>
          <cell r="I320">
            <v>1</v>
          </cell>
          <cell r="J320">
            <v>12</v>
          </cell>
          <cell r="K320">
            <v>1</v>
          </cell>
          <cell r="L320">
            <v>65109.84</v>
          </cell>
        </row>
        <row r="321">
          <cell r="A321">
            <v>109541</v>
          </cell>
          <cell r="B321">
            <v>21541</v>
          </cell>
          <cell r="C321">
            <v>21541</v>
          </cell>
          <cell r="D321" t="str">
            <v>ASB</v>
          </cell>
          <cell r="E321" t="str">
            <v>B</v>
          </cell>
          <cell r="F321" t="str">
            <v>INFORMATION SYSTEMS ANALYST II</v>
          </cell>
          <cell r="G321" t="str">
            <v>2591A</v>
          </cell>
          <cell r="H321">
            <v>5425.82</v>
          </cell>
          <cell r="I321">
            <v>1</v>
          </cell>
          <cell r="J321">
            <v>12</v>
          </cell>
          <cell r="K321">
            <v>1</v>
          </cell>
          <cell r="L321">
            <v>65109.84</v>
          </cell>
        </row>
        <row r="322">
          <cell r="A322">
            <v>109542</v>
          </cell>
          <cell r="B322">
            <v>21541</v>
          </cell>
          <cell r="C322">
            <v>21541</v>
          </cell>
          <cell r="D322" t="str">
            <v>ASB</v>
          </cell>
          <cell r="E322" t="str">
            <v>B</v>
          </cell>
          <cell r="F322" t="str">
            <v>INFORMATION SYSTEMS ANALYST II</v>
          </cell>
          <cell r="G322" t="str">
            <v>2591A</v>
          </cell>
          <cell r="H322">
            <v>5425.82</v>
          </cell>
          <cell r="I322">
            <v>1</v>
          </cell>
          <cell r="J322">
            <v>12</v>
          </cell>
          <cell r="K322">
            <v>1</v>
          </cell>
          <cell r="L322">
            <v>65109.84</v>
          </cell>
        </row>
        <row r="323">
          <cell r="A323">
            <v>103597</v>
          </cell>
          <cell r="B323">
            <v>21541</v>
          </cell>
          <cell r="C323">
            <v>21541</v>
          </cell>
          <cell r="D323" t="str">
            <v>ASB</v>
          </cell>
          <cell r="E323" t="str">
            <v>B</v>
          </cell>
          <cell r="F323" t="str">
            <v>INFORMATION SYSTEMS COORDINATOR</v>
          </cell>
          <cell r="G323" t="str">
            <v>2593A</v>
          </cell>
          <cell r="H323">
            <v>6608.45</v>
          </cell>
          <cell r="I323">
            <v>1</v>
          </cell>
          <cell r="J323">
            <v>12</v>
          </cell>
          <cell r="K323">
            <v>1</v>
          </cell>
          <cell r="L323">
            <v>79301.8</v>
          </cell>
        </row>
        <row r="324">
          <cell r="A324">
            <v>106792</v>
          </cell>
          <cell r="B324">
            <v>21540</v>
          </cell>
          <cell r="C324">
            <v>21541</v>
          </cell>
          <cell r="D324" t="str">
            <v>ASB</v>
          </cell>
          <cell r="E324" t="str">
            <v>B</v>
          </cell>
          <cell r="F324" t="str">
            <v>INFORMATION SYSTEMS COORDINATOR</v>
          </cell>
          <cell r="G324" t="str">
            <v>2593A</v>
          </cell>
          <cell r="H324">
            <v>6608.45</v>
          </cell>
          <cell r="I324">
            <v>1</v>
          </cell>
          <cell r="J324">
            <v>12</v>
          </cell>
          <cell r="K324">
            <v>1</v>
          </cell>
          <cell r="L324">
            <v>79301.8</v>
          </cell>
        </row>
        <row r="325">
          <cell r="A325">
            <v>106793</v>
          </cell>
          <cell r="B325">
            <v>21540</v>
          </cell>
          <cell r="C325">
            <v>21541</v>
          </cell>
          <cell r="D325" t="str">
            <v>ASB</v>
          </cell>
          <cell r="E325" t="str">
            <v>B</v>
          </cell>
          <cell r="F325" t="str">
            <v>INFORMATION SYSTEMS COORDINATOR</v>
          </cell>
          <cell r="G325" t="str">
            <v>2593A</v>
          </cell>
          <cell r="H325">
            <v>6608.45</v>
          </cell>
          <cell r="I325">
            <v>1</v>
          </cell>
          <cell r="J325">
            <v>12</v>
          </cell>
          <cell r="K325">
            <v>1</v>
          </cell>
          <cell r="L325">
            <v>79301.8</v>
          </cell>
        </row>
        <row r="326">
          <cell r="A326">
            <v>106822</v>
          </cell>
          <cell r="B326">
            <v>21541</v>
          </cell>
          <cell r="C326">
            <v>21541</v>
          </cell>
          <cell r="D326" t="str">
            <v>ASB</v>
          </cell>
          <cell r="E326" t="str">
            <v>B</v>
          </cell>
          <cell r="F326" t="str">
            <v>INFORMATION SYSTEMS COORDINATOR</v>
          </cell>
          <cell r="G326" t="str">
            <v>2593A</v>
          </cell>
          <cell r="H326">
            <v>6608.45</v>
          </cell>
          <cell r="I326">
            <v>1</v>
          </cell>
          <cell r="J326">
            <v>12</v>
          </cell>
          <cell r="K326">
            <v>1</v>
          </cell>
          <cell r="L326">
            <v>79301.8</v>
          </cell>
        </row>
        <row r="327">
          <cell r="A327">
            <v>109528</v>
          </cell>
          <cell r="B327">
            <v>21541</v>
          </cell>
          <cell r="C327">
            <v>21541</v>
          </cell>
          <cell r="D327" t="str">
            <v>ASB</v>
          </cell>
          <cell r="E327" t="str">
            <v>B</v>
          </cell>
          <cell r="F327" t="str">
            <v>SENIOR SYSTEMS AID</v>
          </cell>
          <cell r="G327" t="str">
            <v>2585A</v>
          </cell>
          <cell r="H327">
            <v>3853.45</v>
          </cell>
          <cell r="I327">
            <v>1</v>
          </cell>
          <cell r="J327">
            <v>12</v>
          </cell>
          <cell r="K327">
            <v>1</v>
          </cell>
          <cell r="L327">
            <v>46241.4</v>
          </cell>
        </row>
        <row r="328">
          <cell r="A328">
            <v>109571</v>
          </cell>
          <cell r="B328">
            <v>21541</v>
          </cell>
          <cell r="C328">
            <v>21541</v>
          </cell>
          <cell r="D328" t="str">
            <v>ASB</v>
          </cell>
          <cell r="E328" t="str">
            <v>B</v>
          </cell>
          <cell r="F328" t="str">
            <v>SENIOR SYSTEMS AID</v>
          </cell>
          <cell r="G328" t="str">
            <v>2585A</v>
          </cell>
          <cell r="H328">
            <v>3853.45</v>
          </cell>
          <cell r="I328">
            <v>1</v>
          </cell>
          <cell r="J328">
            <v>12</v>
          </cell>
          <cell r="K328">
            <v>1</v>
          </cell>
          <cell r="L328">
            <v>46241.4</v>
          </cell>
        </row>
        <row r="329">
          <cell r="A329">
            <v>109577</v>
          </cell>
          <cell r="B329">
            <v>27533</v>
          </cell>
          <cell r="C329">
            <v>27533</v>
          </cell>
          <cell r="D329" t="str">
            <v>ASB</v>
          </cell>
          <cell r="E329" t="str">
            <v>B</v>
          </cell>
          <cell r="F329" t="str">
            <v>INFORMATION SYSTEMS ANALYST I</v>
          </cell>
          <cell r="G329" t="str">
            <v>2590A</v>
          </cell>
          <cell r="H329">
            <v>5051.2700000000004</v>
          </cell>
          <cell r="I329">
            <v>1</v>
          </cell>
          <cell r="J329">
            <v>12</v>
          </cell>
          <cell r="K329">
            <v>1</v>
          </cell>
          <cell r="L329">
            <v>60615.24</v>
          </cell>
        </row>
        <row r="330">
          <cell r="A330">
            <v>109578</v>
          </cell>
          <cell r="B330">
            <v>27533</v>
          </cell>
          <cell r="C330">
            <v>27533</v>
          </cell>
          <cell r="D330" t="str">
            <v>ASB</v>
          </cell>
          <cell r="E330" t="str">
            <v>B</v>
          </cell>
          <cell r="F330" t="str">
            <v>INFORMATION SYSTEMS ANALYST I</v>
          </cell>
          <cell r="G330" t="str">
            <v>2590A</v>
          </cell>
          <cell r="H330">
            <v>5051.2700000000004</v>
          </cell>
          <cell r="I330">
            <v>1</v>
          </cell>
          <cell r="J330">
            <v>12</v>
          </cell>
          <cell r="K330">
            <v>1</v>
          </cell>
          <cell r="L330">
            <v>60615.24</v>
          </cell>
        </row>
        <row r="331">
          <cell r="A331">
            <v>109551</v>
          </cell>
          <cell r="B331">
            <v>27533</v>
          </cell>
          <cell r="C331">
            <v>27533</v>
          </cell>
          <cell r="D331" t="str">
            <v>ASB</v>
          </cell>
          <cell r="E331" t="str">
            <v>B</v>
          </cell>
          <cell r="F331" t="str">
            <v>INFORMATION SYSTEMS ANALYST II</v>
          </cell>
          <cell r="G331" t="str">
            <v>2591A</v>
          </cell>
          <cell r="H331">
            <v>5425.82</v>
          </cell>
          <cell r="I331">
            <v>1</v>
          </cell>
          <cell r="J331">
            <v>12</v>
          </cell>
          <cell r="K331">
            <v>1</v>
          </cell>
          <cell r="L331">
            <v>65109.84</v>
          </cell>
        </row>
        <row r="332">
          <cell r="A332">
            <v>109546</v>
          </cell>
          <cell r="B332">
            <v>27533</v>
          </cell>
          <cell r="C332">
            <v>27533</v>
          </cell>
          <cell r="D332" t="str">
            <v>ASB</v>
          </cell>
          <cell r="E332" t="str">
            <v>B</v>
          </cell>
          <cell r="F332" t="str">
            <v>INFORMATION SYSTEMS SUPERVISOR I</v>
          </cell>
          <cell r="G332" t="str">
            <v>2595A</v>
          </cell>
          <cell r="H332">
            <v>6608.45</v>
          </cell>
          <cell r="I332">
            <v>1</v>
          </cell>
          <cell r="J332">
            <v>12</v>
          </cell>
          <cell r="K332">
            <v>1</v>
          </cell>
          <cell r="L332">
            <v>79301.399999999994</v>
          </cell>
        </row>
        <row r="333">
          <cell r="A333">
            <v>109553</v>
          </cell>
          <cell r="B333">
            <v>27533</v>
          </cell>
          <cell r="C333">
            <v>27533</v>
          </cell>
          <cell r="D333" t="str">
            <v>ASB</v>
          </cell>
          <cell r="E333" t="str">
            <v>B</v>
          </cell>
          <cell r="F333" t="str">
            <v>INFORMATION SYSTEMS SUPERVISOR II</v>
          </cell>
          <cell r="G333" t="str">
            <v>2596A</v>
          </cell>
          <cell r="H333">
            <v>7512.73</v>
          </cell>
          <cell r="I333">
            <v>1</v>
          </cell>
          <cell r="J333">
            <v>12</v>
          </cell>
          <cell r="K333">
            <v>1</v>
          </cell>
          <cell r="L333">
            <v>90152.76</v>
          </cell>
        </row>
        <row r="334">
          <cell r="A334">
            <v>109368</v>
          </cell>
          <cell r="B334">
            <v>27631</v>
          </cell>
          <cell r="C334">
            <v>27533</v>
          </cell>
          <cell r="D334" t="str">
            <v>ASB</v>
          </cell>
          <cell r="E334" t="str">
            <v>B</v>
          </cell>
          <cell r="F334" t="str">
            <v>INTERMEDIATE TYPIST-CLERK</v>
          </cell>
          <cell r="G334" t="str">
            <v>2214A</v>
          </cell>
          <cell r="H334">
            <v>2675.27</v>
          </cell>
          <cell r="I334">
            <v>1</v>
          </cell>
          <cell r="J334">
            <v>12</v>
          </cell>
          <cell r="K334">
            <v>1</v>
          </cell>
          <cell r="L334">
            <v>32103.16</v>
          </cell>
        </row>
        <row r="335">
          <cell r="A335">
            <v>109562</v>
          </cell>
          <cell r="B335">
            <v>27533</v>
          </cell>
          <cell r="C335">
            <v>27533</v>
          </cell>
          <cell r="D335" t="str">
            <v>ASB</v>
          </cell>
          <cell r="E335" t="str">
            <v>B</v>
          </cell>
          <cell r="F335" t="str">
            <v xml:space="preserve">RESEARCH ANALYST II,BEHAVIOR SCI   </v>
          </cell>
          <cell r="G335" t="str">
            <v>8972A</v>
          </cell>
          <cell r="H335">
            <v>4520.7299999999996</v>
          </cell>
          <cell r="I335">
            <v>1</v>
          </cell>
          <cell r="J335">
            <v>12</v>
          </cell>
          <cell r="K335">
            <v>1</v>
          </cell>
          <cell r="L335">
            <v>54248.76</v>
          </cell>
        </row>
        <row r="336">
          <cell r="A336">
            <v>102091</v>
          </cell>
          <cell r="B336">
            <v>21540</v>
          </cell>
          <cell r="C336">
            <v>27533</v>
          </cell>
          <cell r="D336" t="str">
            <v>ASB</v>
          </cell>
          <cell r="E336" t="str">
            <v>B</v>
          </cell>
          <cell r="F336" t="str">
            <v>SENIOR DATA CONVERSION EQUIP OPR</v>
          </cell>
          <cell r="G336" t="str">
            <v>2674A</v>
          </cell>
          <cell r="H336">
            <v>3102.64</v>
          </cell>
          <cell r="I336">
            <v>1</v>
          </cell>
          <cell r="J336">
            <v>12</v>
          </cell>
          <cell r="K336">
            <v>1</v>
          </cell>
          <cell r="L336">
            <v>37231.440000000002</v>
          </cell>
        </row>
        <row r="337">
          <cell r="A337">
            <v>106827</v>
          </cell>
          <cell r="B337">
            <v>21541</v>
          </cell>
          <cell r="C337">
            <v>27532</v>
          </cell>
          <cell r="D337" t="str">
            <v>ASB</v>
          </cell>
          <cell r="E337" t="str">
            <v>B</v>
          </cell>
          <cell r="F337" t="str">
            <v>INFORMATION SYSTEMS ANALYST II</v>
          </cell>
          <cell r="G337" t="str">
            <v>2591A</v>
          </cell>
          <cell r="H337">
            <v>5425.82</v>
          </cell>
          <cell r="I337">
            <v>1</v>
          </cell>
          <cell r="J337">
            <v>12</v>
          </cell>
          <cell r="K337">
            <v>1</v>
          </cell>
          <cell r="L337">
            <v>65109.84</v>
          </cell>
        </row>
        <row r="338">
          <cell r="A338">
            <v>109529</v>
          </cell>
          <cell r="B338">
            <v>27532</v>
          </cell>
          <cell r="C338">
            <v>27532</v>
          </cell>
          <cell r="D338" t="str">
            <v>ASB</v>
          </cell>
          <cell r="E338" t="str">
            <v>B</v>
          </cell>
          <cell r="F338" t="str">
            <v>INFORMATION SYSTEMS ANALYST II</v>
          </cell>
          <cell r="G338" t="str">
            <v>2591A</v>
          </cell>
          <cell r="H338">
            <v>5425.82</v>
          </cell>
          <cell r="I338">
            <v>1</v>
          </cell>
          <cell r="J338">
            <v>12</v>
          </cell>
          <cell r="K338">
            <v>1</v>
          </cell>
          <cell r="L338">
            <v>65109.84</v>
          </cell>
        </row>
        <row r="339">
          <cell r="A339">
            <v>109530</v>
          </cell>
          <cell r="B339">
            <v>27532</v>
          </cell>
          <cell r="C339">
            <v>27532</v>
          </cell>
          <cell r="D339" t="str">
            <v>ASB</v>
          </cell>
          <cell r="E339" t="str">
            <v>B</v>
          </cell>
          <cell r="F339" t="str">
            <v>INFORMATION SYSTEMS ANALYST II</v>
          </cell>
          <cell r="G339" t="str">
            <v>2591A</v>
          </cell>
          <cell r="H339">
            <v>5425.82</v>
          </cell>
          <cell r="I339">
            <v>1</v>
          </cell>
          <cell r="J339">
            <v>12</v>
          </cell>
          <cell r="K339">
            <v>1</v>
          </cell>
          <cell r="L339">
            <v>65109.84</v>
          </cell>
        </row>
        <row r="340">
          <cell r="A340">
            <v>109531</v>
          </cell>
          <cell r="B340">
            <v>27532</v>
          </cell>
          <cell r="C340">
            <v>27532</v>
          </cell>
          <cell r="D340" t="str">
            <v>ASB</v>
          </cell>
          <cell r="E340" t="str">
            <v>B</v>
          </cell>
          <cell r="F340" t="str">
            <v>INFORMATION SYSTEMS ANALYST II</v>
          </cell>
          <cell r="G340" t="str">
            <v>2591A</v>
          </cell>
          <cell r="H340">
            <v>5425.82</v>
          </cell>
          <cell r="I340">
            <v>1</v>
          </cell>
          <cell r="J340">
            <v>12</v>
          </cell>
          <cell r="K340">
            <v>1</v>
          </cell>
          <cell r="L340">
            <v>65109.84</v>
          </cell>
        </row>
        <row r="341">
          <cell r="A341">
            <v>109532</v>
          </cell>
          <cell r="B341">
            <v>27532</v>
          </cell>
          <cell r="C341">
            <v>27532</v>
          </cell>
          <cell r="D341" t="str">
            <v>ASB</v>
          </cell>
          <cell r="E341" t="str">
            <v>B</v>
          </cell>
          <cell r="F341" t="str">
            <v>INFORMATION SYSTEMS ANALYST II</v>
          </cell>
          <cell r="G341" t="str">
            <v>2591A</v>
          </cell>
          <cell r="H341">
            <v>5425.82</v>
          </cell>
          <cell r="I341">
            <v>1</v>
          </cell>
          <cell r="J341">
            <v>12</v>
          </cell>
          <cell r="K341">
            <v>1</v>
          </cell>
          <cell r="L341">
            <v>65109.84</v>
          </cell>
        </row>
        <row r="342">
          <cell r="A342">
            <v>103049</v>
          </cell>
          <cell r="B342">
            <v>27475</v>
          </cell>
          <cell r="C342">
            <v>27532</v>
          </cell>
          <cell r="D342" t="str">
            <v>ASB</v>
          </cell>
          <cell r="E342" t="str">
            <v>B</v>
          </cell>
          <cell r="F342" t="str">
            <v>INFORMATION SYSTEMS SUPERVISOR III</v>
          </cell>
          <cell r="G342" t="str">
            <v>2597A</v>
          </cell>
          <cell r="H342">
            <v>8069.09</v>
          </cell>
          <cell r="I342">
            <v>1</v>
          </cell>
          <cell r="J342">
            <v>12</v>
          </cell>
          <cell r="K342">
            <v>1</v>
          </cell>
          <cell r="L342">
            <v>96829</v>
          </cell>
        </row>
        <row r="343">
          <cell r="A343">
            <v>109343</v>
          </cell>
          <cell r="B343">
            <v>27475</v>
          </cell>
          <cell r="C343">
            <v>27475</v>
          </cell>
          <cell r="D343" t="str">
            <v>ASB</v>
          </cell>
          <cell r="E343" t="str">
            <v>B</v>
          </cell>
          <cell r="F343" t="str">
            <v>INFORMATION SYSTEMS COORDINATOR</v>
          </cell>
          <cell r="G343" t="str">
            <v>2593A</v>
          </cell>
          <cell r="H343">
            <v>6608.45</v>
          </cell>
          <cell r="I343">
            <v>1</v>
          </cell>
          <cell r="J343">
            <v>12</v>
          </cell>
          <cell r="K343">
            <v>1</v>
          </cell>
          <cell r="L343">
            <v>79301.8</v>
          </cell>
        </row>
        <row r="344">
          <cell r="A344">
            <v>109345</v>
          </cell>
          <cell r="B344">
            <v>27475</v>
          </cell>
          <cell r="C344">
            <v>27475</v>
          </cell>
          <cell r="D344" t="str">
            <v>ASB</v>
          </cell>
          <cell r="E344" t="str">
            <v>B</v>
          </cell>
          <cell r="F344" t="str">
            <v>INFORMATION SYSTEMS COORDINATOR</v>
          </cell>
          <cell r="G344" t="str">
            <v>2593A</v>
          </cell>
          <cell r="H344">
            <v>6608.45</v>
          </cell>
          <cell r="I344">
            <v>1</v>
          </cell>
          <cell r="J344">
            <v>12</v>
          </cell>
          <cell r="K344">
            <v>1</v>
          </cell>
          <cell r="L344">
            <v>79301.8</v>
          </cell>
        </row>
        <row r="345">
          <cell r="A345">
            <v>100038</v>
          </cell>
          <cell r="B345">
            <v>20539</v>
          </cell>
          <cell r="C345">
            <v>20539</v>
          </cell>
          <cell r="D345" t="str">
            <v>ASB</v>
          </cell>
          <cell r="E345" t="str">
            <v>B</v>
          </cell>
          <cell r="F345" t="str">
            <v xml:space="preserve">ADMINISTRATIVE ASSISTANT II        </v>
          </cell>
          <cell r="G345" t="str">
            <v>0888A</v>
          </cell>
          <cell r="H345">
            <v>4334.6400000000003</v>
          </cell>
          <cell r="I345">
            <v>1</v>
          </cell>
          <cell r="J345">
            <v>12</v>
          </cell>
          <cell r="K345">
            <v>1</v>
          </cell>
          <cell r="L345">
            <v>52015.360000000001</v>
          </cell>
        </row>
        <row r="346">
          <cell r="A346">
            <v>108078</v>
          </cell>
          <cell r="B346">
            <v>20539</v>
          </cell>
          <cell r="C346">
            <v>20539</v>
          </cell>
          <cell r="D346" t="str">
            <v>ASB</v>
          </cell>
          <cell r="E346" t="str">
            <v>B</v>
          </cell>
          <cell r="F346" t="str">
            <v>ADMINISTRATIVE SERVICES MANAGER II</v>
          </cell>
          <cell r="G346" t="str">
            <v>1003A</v>
          </cell>
          <cell r="H346">
            <v>6400.36</v>
          </cell>
          <cell r="I346">
            <v>1</v>
          </cell>
          <cell r="J346">
            <v>12</v>
          </cell>
          <cell r="K346">
            <v>1</v>
          </cell>
          <cell r="L346">
            <v>76804.72</v>
          </cell>
        </row>
        <row r="347">
          <cell r="A347">
            <v>103542</v>
          </cell>
          <cell r="B347">
            <v>20539</v>
          </cell>
          <cell r="C347">
            <v>20539</v>
          </cell>
          <cell r="D347" t="str">
            <v>ASB</v>
          </cell>
          <cell r="E347" t="str">
            <v>B</v>
          </cell>
          <cell r="F347" t="str">
            <v>ASSISTANT SUPERVISING PAYROLL CLERK</v>
          </cell>
          <cell r="G347" t="str">
            <v>1335A</v>
          </cell>
          <cell r="H347">
            <v>3453.18</v>
          </cell>
          <cell r="I347">
            <v>1</v>
          </cell>
          <cell r="J347">
            <v>12</v>
          </cell>
          <cell r="K347">
            <v>1</v>
          </cell>
          <cell r="L347">
            <v>41438.480000000003</v>
          </cell>
        </row>
        <row r="348">
          <cell r="A348">
            <v>100230</v>
          </cell>
          <cell r="B348">
            <v>20539</v>
          </cell>
          <cell r="C348">
            <v>20539</v>
          </cell>
          <cell r="D348" t="str">
            <v>ASB</v>
          </cell>
          <cell r="E348" t="str">
            <v>B</v>
          </cell>
          <cell r="F348" t="str">
            <v xml:space="preserve">DEPARTMENTAL PERSONNEL ASSISTANT   </v>
          </cell>
          <cell r="G348" t="str">
            <v>1842A</v>
          </cell>
          <cell r="H348">
            <v>3132.73</v>
          </cell>
          <cell r="I348">
            <v>1</v>
          </cell>
          <cell r="J348">
            <v>12</v>
          </cell>
          <cell r="K348">
            <v>1</v>
          </cell>
          <cell r="L348">
            <v>37592.839999999997</v>
          </cell>
        </row>
        <row r="349">
          <cell r="A349">
            <v>100232</v>
          </cell>
          <cell r="B349">
            <v>20539</v>
          </cell>
          <cell r="C349">
            <v>20539</v>
          </cell>
          <cell r="D349" t="str">
            <v>ASB</v>
          </cell>
          <cell r="E349" t="str">
            <v>B</v>
          </cell>
          <cell r="F349" t="str">
            <v xml:space="preserve">DEPARTMENTAL PERSONNEL ASSISTANT   </v>
          </cell>
          <cell r="G349" t="str">
            <v>1842A</v>
          </cell>
          <cell r="H349">
            <v>3132.73</v>
          </cell>
          <cell r="I349">
            <v>1</v>
          </cell>
          <cell r="J349">
            <v>12</v>
          </cell>
          <cell r="K349">
            <v>1</v>
          </cell>
          <cell r="L349">
            <v>37592.839999999997</v>
          </cell>
        </row>
        <row r="350">
          <cell r="A350">
            <v>104482</v>
          </cell>
          <cell r="B350">
            <v>20539</v>
          </cell>
          <cell r="C350">
            <v>20539</v>
          </cell>
          <cell r="D350" t="str">
            <v>ASB</v>
          </cell>
          <cell r="E350" t="str">
            <v>B</v>
          </cell>
          <cell r="F350" t="str">
            <v xml:space="preserve">DEPARTMENTAL PERSONNEL ASSISTANT   </v>
          </cell>
          <cell r="G350" t="str">
            <v>1842A</v>
          </cell>
          <cell r="H350">
            <v>3132.73</v>
          </cell>
          <cell r="I350">
            <v>1</v>
          </cell>
          <cell r="J350">
            <v>12</v>
          </cell>
          <cell r="K350">
            <v>1</v>
          </cell>
          <cell r="L350">
            <v>37592.839999999997</v>
          </cell>
        </row>
        <row r="351">
          <cell r="A351">
            <v>100234</v>
          </cell>
          <cell r="B351">
            <v>20539</v>
          </cell>
          <cell r="C351">
            <v>20539</v>
          </cell>
          <cell r="D351" t="str">
            <v>ASB</v>
          </cell>
          <cell r="E351" t="str">
            <v>B</v>
          </cell>
          <cell r="F351" t="str">
            <v xml:space="preserve">DEPARTMENTAL PERSONNEL TECHNICIAN  </v>
          </cell>
          <cell r="G351" t="str">
            <v>1848A</v>
          </cell>
          <cell r="H351">
            <v>4892</v>
          </cell>
          <cell r="I351">
            <v>1</v>
          </cell>
          <cell r="J351">
            <v>12</v>
          </cell>
          <cell r="K351">
            <v>1</v>
          </cell>
          <cell r="L351">
            <v>58704.160000000003</v>
          </cell>
        </row>
        <row r="352">
          <cell r="A352">
            <v>103543</v>
          </cell>
          <cell r="B352">
            <v>20539</v>
          </cell>
          <cell r="C352">
            <v>20539</v>
          </cell>
          <cell r="D352" t="str">
            <v>ASB</v>
          </cell>
          <cell r="E352" t="str">
            <v>B</v>
          </cell>
          <cell r="F352" t="str">
            <v xml:space="preserve">DEPARTMENTAL PERSONNEL TECHNICIAN  </v>
          </cell>
          <cell r="G352" t="str">
            <v>1848A</v>
          </cell>
          <cell r="H352">
            <v>4892</v>
          </cell>
          <cell r="I352">
            <v>1</v>
          </cell>
          <cell r="J352">
            <v>12</v>
          </cell>
          <cell r="K352">
            <v>1</v>
          </cell>
          <cell r="L352">
            <v>58704.160000000003</v>
          </cell>
        </row>
        <row r="353">
          <cell r="A353">
            <v>104833</v>
          </cell>
          <cell r="B353">
            <v>20539</v>
          </cell>
          <cell r="C353">
            <v>20539</v>
          </cell>
          <cell r="D353" t="str">
            <v>ASB</v>
          </cell>
          <cell r="E353" t="str">
            <v>B</v>
          </cell>
          <cell r="F353" t="str">
            <v xml:space="preserve">DEPARTMENTAL PERSONNEL TECHNICIAN  </v>
          </cell>
          <cell r="G353" t="str">
            <v>1848A</v>
          </cell>
          <cell r="H353">
            <v>4892</v>
          </cell>
          <cell r="I353">
            <v>1</v>
          </cell>
          <cell r="J353">
            <v>12</v>
          </cell>
          <cell r="K353">
            <v>1</v>
          </cell>
          <cell r="L353">
            <v>58704.160000000003</v>
          </cell>
        </row>
        <row r="354">
          <cell r="A354">
            <v>104834</v>
          </cell>
          <cell r="B354">
            <v>20539</v>
          </cell>
          <cell r="C354">
            <v>20539</v>
          </cell>
          <cell r="D354" t="str">
            <v>ASB</v>
          </cell>
          <cell r="E354" t="str">
            <v>B</v>
          </cell>
          <cell r="F354" t="str">
            <v xml:space="preserve">DEPARTMENTAL PERSONNEL TECHNICIAN  </v>
          </cell>
          <cell r="G354" t="str">
            <v>1848A</v>
          </cell>
          <cell r="H354">
            <v>4892</v>
          </cell>
          <cell r="I354">
            <v>1</v>
          </cell>
          <cell r="J354">
            <v>12</v>
          </cell>
          <cell r="K354">
            <v>1</v>
          </cell>
          <cell r="L354">
            <v>58704.160000000003</v>
          </cell>
        </row>
        <row r="355">
          <cell r="A355">
            <v>104964</v>
          </cell>
          <cell r="B355">
            <v>20539</v>
          </cell>
          <cell r="C355">
            <v>20539</v>
          </cell>
          <cell r="D355" t="str">
            <v>ASB</v>
          </cell>
          <cell r="E355" t="str">
            <v>B</v>
          </cell>
          <cell r="F355" t="str">
            <v xml:space="preserve">DEPARTMENTAL PERSONNEL TECHNICIAN  </v>
          </cell>
          <cell r="G355" t="str">
            <v>1848A</v>
          </cell>
          <cell r="H355">
            <v>4892</v>
          </cell>
          <cell r="I355">
            <v>1</v>
          </cell>
          <cell r="J355">
            <v>12</v>
          </cell>
          <cell r="K355">
            <v>1</v>
          </cell>
          <cell r="L355">
            <v>58704.160000000003</v>
          </cell>
        </row>
        <row r="356">
          <cell r="A356">
            <v>108082</v>
          </cell>
          <cell r="B356">
            <v>20539</v>
          </cell>
          <cell r="C356">
            <v>20539</v>
          </cell>
          <cell r="D356" t="str">
            <v>ASB</v>
          </cell>
          <cell r="E356" t="str">
            <v>B</v>
          </cell>
          <cell r="F356" t="str">
            <v xml:space="preserve">DEPARTMENTAL PERSONNEL TECHNICIAN  </v>
          </cell>
          <cell r="G356" t="str">
            <v>1848A</v>
          </cell>
          <cell r="H356">
            <v>4892</v>
          </cell>
          <cell r="I356">
            <v>1</v>
          </cell>
          <cell r="J356">
            <v>12</v>
          </cell>
          <cell r="K356">
            <v>1</v>
          </cell>
          <cell r="L356">
            <v>58704.160000000003</v>
          </cell>
        </row>
        <row r="357">
          <cell r="A357">
            <v>109393</v>
          </cell>
          <cell r="B357">
            <v>20539</v>
          </cell>
          <cell r="C357">
            <v>20539</v>
          </cell>
          <cell r="D357" t="str">
            <v>ASB</v>
          </cell>
          <cell r="E357" t="str">
            <v>B</v>
          </cell>
          <cell r="F357" t="str">
            <v xml:space="preserve">DEPARTMENTAL PERSONNEL TECHNICIAN  </v>
          </cell>
          <cell r="G357" t="str">
            <v>1848A</v>
          </cell>
          <cell r="H357">
            <v>4892</v>
          </cell>
          <cell r="I357">
            <v>1</v>
          </cell>
          <cell r="J357">
            <v>12</v>
          </cell>
          <cell r="K357">
            <v>1</v>
          </cell>
          <cell r="L357">
            <v>58704.160000000003</v>
          </cell>
        </row>
        <row r="358">
          <cell r="A358">
            <v>104478</v>
          </cell>
          <cell r="B358">
            <v>20539</v>
          </cell>
          <cell r="C358">
            <v>20539</v>
          </cell>
          <cell r="D358" t="str">
            <v>ASB</v>
          </cell>
          <cell r="E358" t="str">
            <v>B</v>
          </cell>
          <cell r="F358" t="str">
            <v>DEPT'L EMPLOYEE RELATIONS REP.</v>
          </cell>
          <cell r="G358" t="str">
            <v>1907A</v>
          </cell>
          <cell r="H358">
            <v>5439.18</v>
          </cell>
          <cell r="I358">
            <v>1</v>
          </cell>
          <cell r="J358">
            <v>12</v>
          </cell>
          <cell r="K358">
            <v>1</v>
          </cell>
          <cell r="L358">
            <v>65270.16</v>
          </cell>
        </row>
        <row r="359">
          <cell r="A359">
            <v>109392</v>
          </cell>
          <cell r="B359">
            <v>20539</v>
          </cell>
          <cell r="C359">
            <v>20539</v>
          </cell>
          <cell r="D359" t="str">
            <v>ASB</v>
          </cell>
          <cell r="E359" t="str">
            <v>B</v>
          </cell>
          <cell r="F359" t="str">
            <v>DEPT'L EMPLOYEE RELATIONS REP.</v>
          </cell>
          <cell r="G359" t="str">
            <v>1907A</v>
          </cell>
          <cell r="H359">
            <v>5439.18</v>
          </cell>
          <cell r="I359">
            <v>1</v>
          </cell>
          <cell r="J359">
            <v>12</v>
          </cell>
          <cell r="K359">
            <v>1</v>
          </cell>
          <cell r="L359">
            <v>65270.16</v>
          </cell>
        </row>
        <row r="360">
          <cell r="A360">
            <v>101801</v>
          </cell>
          <cell r="B360">
            <v>20539</v>
          </cell>
          <cell r="C360">
            <v>20539</v>
          </cell>
          <cell r="D360" t="str">
            <v>ASB</v>
          </cell>
          <cell r="E360" t="str">
            <v>B</v>
          </cell>
          <cell r="F360" t="str">
            <v>HEAD DEPT'L PERSONNEL TECHNICAN</v>
          </cell>
          <cell r="G360" t="str">
            <v>1850A</v>
          </cell>
          <cell r="H360">
            <v>6077.36</v>
          </cell>
          <cell r="I360">
            <v>1</v>
          </cell>
          <cell r="J360">
            <v>12</v>
          </cell>
          <cell r="K360">
            <v>1</v>
          </cell>
          <cell r="L360">
            <v>72928</v>
          </cell>
        </row>
        <row r="361">
          <cell r="A361">
            <v>102067</v>
          </cell>
          <cell r="B361">
            <v>20539</v>
          </cell>
          <cell r="C361">
            <v>20539</v>
          </cell>
          <cell r="D361" t="str">
            <v>ASB</v>
          </cell>
          <cell r="E361" t="str">
            <v>B</v>
          </cell>
          <cell r="F361" t="str">
            <v>HEAD DEPT'L PERSONNEL TECHNICAN</v>
          </cell>
          <cell r="G361" t="str">
            <v>1850A</v>
          </cell>
          <cell r="H361">
            <v>6077.36</v>
          </cell>
          <cell r="I361">
            <v>1</v>
          </cell>
          <cell r="J361">
            <v>12</v>
          </cell>
          <cell r="K361">
            <v>1</v>
          </cell>
          <cell r="L361">
            <v>72928</v>
          </cell>
        </row>
        <row r="362">
          <cell r="A362">
            <v>104481</v>
          </cell>
          <cell r="B362">
            <v>20539</v>
          </cell>
          <cell r="C362">
            <v>20539</v>
          </cell>
          <cell r="D362" t="str">
            <v>ASB</v>
          </cell>
          <cell r="E362" t="str">
            <v>B</v>
          </cell>
          <cell r="F362" t="str">
            <v>HEAD DEPT'L PERSONNEL TECHNICAN</v>
          </cell>
          <cell r="G362" t="str">
            <v>1850A</v>
          </cell>
          <cell r="H362">
            <v>6077.36</v>
          </cell>
          <cell r="I362">
            <v>1</v>
          </cell>
          <cell r="J362">
            <v>12</v>
          </cell>
          <cell r="K362">
            <v>1</v>
          </cell>
          <cell r="L362">
            <v>72928</v>
          </cell>
        </row>
        <row r="363">
          <cell r="A363">
            <v>104967</v>
          </cell>
          <cell r="B363">
            <v>20539</v>
          </cell>
          <cell r="C363">
            <v>20539</v>
          </cell>
          <cell r="D363" t="str">
            <v>ASB</v>
          </cell>
          <cell r="E363" t="str">
            <v>B</v>
          </cell>
          <cell r="F363" t="str">
            <v>HEAD DEPT'L PERSONNEL TECHNICAN</v>
          </cell>
          <cell r="G363" t="str">
            <v>1850A</v>
          </cell>
          <cell r="H363">
            <v>6077.36</v>
          </cell>
          <cell r="I363">
            <v>1</v>
          </cell>
          <cell r="J363">
            <v>12</v>
          </cell>
          <cell r="K363">
            <v>1</v>
          </cell>
          <cell r="L363">
            <v>72928</v>
          </cell>
        </row>
        <row r="364">
          <cell r="A364">
            <v>104969</v>
          </cell>
          <cell r="B364">
            <v>20539</v>
          </cell>
          <cell r="C364">
            <v>20539</v>
          </cell>
          <cell r="D364" t="str">
            <v>ASB</v>
          </cell>
          <cell r="E364" t="str">
            <v>B</v>
          </cell>
          <cell r="F364" t="str">
            <v>HEAD DEPT'L PERSONNEL TECHNICAN</v>
          </cell>
          <cell r="G364" t="str">
            <v>1850A</v>
          </cell>
          <cell r="H364">
            <v>6077.36</v>
          </cell>
          <cell r="I364">
            <v>1</v>
          </cell>
          <cell r="J364">
            <v>12</v>
          </cell>
          <cell r="K364">
            <v>1</v>
          </cell>
          <cell r="L364">
            <v>72928</v>
          </cell>
        </row>
        <row r="365">
          <cell r="A365">
            <v>108083</v>
          </cell>
          <cell r="B365">
            <v>20539</v>
          </cell>
          <cell r="C365">
            <v>20539</v>
          </cell>
          <cell r="D365" t="str">
            <v>ASB</v>
          </cell>
          <cell r="E365" t="str">
            <v>B</v>
          </cell>
          <cell r="F365" t="str">
            <v>INFORMATION SYSTEMS ANALYST I</v>
          </cell>
          <cell r="G365" t="str">
            <v>2590A</v>
          </cell>
          <cell r="H365">
            <v>5051.2700000000004</v>
          </cell>
          <cell r="I365">
            <v>1</v>
          </cell>
          <cell r="J365">
            <v>12</v>
          </cell>
          <cell r="K365">
            <v>1</v>
          </cell>
          <cell r="L365">
            <v>60615.24</v>
          </cell>
        </row>
        <row r="366">
          <cell r="A366">
            <v>100302</v>
          </cell>
          <cell r="B366">
            <v>20539</v>
          </cell>
          <cell r="C366">
            <v>20539</v>
          </cell>
          <cell r="D366" t="str">
            <v>ASB</v>
          </cell>
          <cell r="E366" t="str">
            <v>B</v>
          </cell>
          <cell r="F366" t="str">
            <v xml:space="preserve">INTERMEDIATE STENOGRAPHER          </v>
          </cell>
          <cell r="G366" t="str">
            <v>2172A</v>
          </cell>
          <cell r="H366">
            <v>2934</v>
          </cell>
          <cell r="I366">
            <v>1</v>
          </cell>
          <cell r="J366">
            <v>12</v>
          </cell>
          <cell r="K366">
            <v>1</v>
          </cell>
          <cell r="L366">
            <v>35208</v>
          </cell>
        </row>
        <row r="367">
          <cell r="A367">
            <v>100395</v>
          </cell>
          <cell r="B367">
            <v>23001</v>
          </cell>
          <cell r="C367">
            <v>20539</v>
          </cell>
          <cell r="D367" t="str">
            <v>ASB</v>
          </cell>
          <cell r="E367" t="str">
            <v>B</v>
          </cell>
          <cell r="F367" t="str">
            <v>INTERMEDIATE TYPIST-CLERK</v>
          </cell>
          <cell r="G367" t="str">
            <v>2214A</v>
          </cell>
          <cell r="H367">
            <v>2675.27</v>
          </cell>
          <cell r="I367">
            <v>1</v>
          </cell>
          <cell r="J367">
            <v>12</v>
          </cell>
          <cell r="K367">
            <v>1</v>
          </cell>
          <cell r="L367">
            <v>32103.16</v>
          </cell>
        </row>
        <row r="368">
          <cell r="A368">
            <v>102068</v>
          </cell>
          <cell r="B368">
            <v>20539</v>
          </cell>
          <cell r="C368">
            <v>20539</v>
          </cell>
          <cell r="D368" t="str">
            <v>ASB</v>
          </cell>
          <cell r="E368" t="str">
            <v>B</v>
          </cell>
          <cell r="F368" t="str">
            <v>INTERMEDIATE TYPIST-CLERK</v>
          </cell>
          <cell r="G368" t="str">
            <v>2214A</v>
          </cell>
          <cell r="H368">
            <v>2675.27</v>
          </cell>
          <cell r="I368">
            <v>1</v>
          </cell>
          <cell r="J368">
            <v>12</v>
          </cell>
          <cell r="K368">
            <v>1</v>
          </cell>
          <cell r="L368">
            <v>32103.16</v>
          </cell>
        </row>
        <row r="369">
          <cell r="A369">
            <v>102071</v>
          </cell>
          <cell r="B369">
            <v>20539</v>
          </cell>
          <cell r="C369">
            <v>20539</v>
          </cell>
          <cell r="D369" t="str">
            <v>ASB</v>
          </cell>
          <cell r="E369" t="str">
            <v>B</v>
          </cell>
          <cell r="F369" t="str">
            <v>INTERMEDIATE TYPIST-CLERK</v>
          </cell>
          <cell r="G369" t="str">
            <v>2214A</v>
          </cell>
          <cell r="H369">
            <v>2675.27</v>
          </cell>
          <cell r="I369">
            <v>1</v>
          </cell>
          <cell r="J369">
            <v>12</v>
          </cell>
          <cell r="K369">
            <v>1</v>
          </cell>
          <cell r="L369">
            <v>32103.16</v>
          </cell>
        </row>
        <row r="370">
          <cell r="A370">
            <v>104364</v>
          </cell>
          <cell r="B370">
            <v>20539</v>
          </cell>
          <cell r="C370">
            <v>20539</v>
          </cell>
          <cell r="D370" t="str">
            <v>ASB</v>
          </cell>
          <cell r="E370" t="str">
            <v>B</v>
          </cell>
          <cell r="F370" t="str">
            <v>INTERMEDIATE TYPIST-CLERK</v>
          </cell>
          <cell r="G370" t="str">
            <v>2214A</v>
          </cell>
          <cell r="H370">
            <v>2675.27</v>
          </cell>
          <cell r="I370">
            <v>1</v>
          </cell>
          <cell r="J370">
            <v>12</v>
          </cell>
          <cell r="K370">
            <v>1</v>
          </cell>
          <cell r="L370">
            <v>32103.16</v>
          </cell>
        </row>
        <row r="371">
          <cell r="A371">
            <v>104835</v>
          </cell>
          <cell r="B371">
            <v>20539</v>
          </cell>
          <cell r="C371">
            <v>20539</v>
          </cell>
          <cell r="D371" t="str">
            <v>ASB</v>
          </cell>
          <cell r="E371" t="str">
            <v>B</v>
          </cell>
          <cell r="F371" t="str">
            <v>INTERMEDIATE TYPIST-CLERK</v>
          </cell>
          <cell r="G371" t="str">
            <v>2214A</v>
          </cell>
          <cell r="H371">
            <v>2675.27</v>
          </cell>
          <cell r="I371">
            <v>1</v>
          </cell>
          <cell r="J371">
            <v>12</v>
          </cell>
          <cell r="K371">
            <v>1</v>
          </cell>
          <cell r="L371">
            <v>32103.16</v>
          </cell>
        </row>
        <row r="372">
          <cell r="A372">
            <v>104922</v>
          </cell>
          <cell r="B372">
            <v>20488</v>
          </cell>
          <cell r="C372">
            <v>20539</v>
          </cell>
          <cell r="D372" t="str">
            <v>ASB</v>
          </cell>
          <cell r="E372" t="str">
            <v>B</v>
          </cell>
          <cell r="F372" t="str">
            <v>INTERMEDIATE TYPIST-CLERK</v>
          </cell>
          <cell r="G372" t="str">
            <v>2214A</v>
          </cell>
          <cell r="H372">
            <v>2675.27</v>
          </cell>
          <cell r="I372">
            <v>1</v>
          </cell>
          <cell r="J372">
            <v>12</v>
          </cell>
          <cell r="K372">
            <v>1</v>
          </cell>
          <cell r="L372">
            <v>32103.16</v>
          </cell>
        </row>
        <row r="373">
          <cell r="A373">
            <v>105014</v>
          </cell>
          <cell r="B373">
            <v>20944</v>
          </cell>
          <cell r="C373">
            <v>20539</v>
          </cell>
          <cell r="D373" t="str">
            <v>ASB</v>
          </cell>
          <cell r="E373" t="str">
            <v>B</v>
          </cell>
          <cell r="F373" t="str">
            <v>INTERMEDIATE TYPIST-CLERK</v>
          </cell>
          <cell r="G373" t="str">
            <v>2214A</v>
          </cell>
          <cell r="H373">
            <v>2675.27</v>
          </cell>
          <cell r="I373">
            <v>1</v>
          </cell>
          <cell r="J373">
            <v>12</v>
          </cell>
          <cell r="K373">
            <v>1</v>
          </cell>
          <cell r="L373">
            <v>32103.16</v>
          </cell>
        </row>
        <row r="374">
          <cell r="A374">
            <v>108084</v>
          </cell>
          <cell r="B374">
            <v>20539</v>
          </cell>
          <cell r="C374">
            <v>20539</v>
          </cell>
          <cell r="D374" t="str">
            <v>ASB</v>
          </cell>
          <cell r="E374" t="str">
            <v>B</v>
          </cell>
          <cell r="F374" t="str">
            <v>INTERMEDIATE TYPIST-CLERK</v>
          </cell>
          <cell r="G374" t="str">
            <v>2214A</v>
          </cell>
          <cell r="H374">
            <v>2675.27</v>
          </cell>
          <cell r="I374">
            <v>1</v>
          </cell>
          <cell r="J374">
            <v>12</v>
          </cell>
          <cell r="K374">
            <v>1</v>
          </cell>
          <cell r="L374">
            <v>32103.16</v>
          </cell>
        </row>
        <row r="375">
          <cell r="A375">
            <v>108085</v>
          </cell>
          <cell r="B375">
            <v>20539</v>
          </cell>
          <cell r="C375">
            <v>20539</v>
          </cell>
          <cell r="D375" t="str">
            <v>ASB</v>
          </cell>
          <cell r="E375" t="str">
            <v>B</v>
          </cell>
          <cell r="F375" t="str">
            <v>INTERMEDIATE TYPIST-CLERK</v>
          </cell>
          <cell r="G375" t="str">
            <v>2214A</v>
          </cell>
          <cell r="H375">
            <v>2675.27</v>
          </cell>
          <cell r="I375">
            <v>1</v>
          </cell>
          <cell r="J375">
            <v>12</v>
          </cell>
          <cell r="K375">
            <v>1</v>
          </cell>
          <cell r="L375">
            <v>32103.16</v>
          </cell>
        </row>
        <row r="376">
          <cell r="A376">
            <v>108086</v>
          </cell>
          <cell r="B376">
            <v>20539</v>
          </cell>
          <cell r="C376">
            <v>20539</v>
          </cell>
          <cell r="D376" t="str">
            <v>ASB</v>
          </cell>
          <cell r="E376" t="str">
            <v>B</v>
          </cell>
          <cell r="F376" t="str">
            <v>INTERMEDIATE TYPIST-CLERK</v>
          </cell>
          <cell r="G376" t="str">
            <v>2214A</v>
          </cell>
          <cell r="H376">
            <v>2675.27</v>
          </cell>
          <cell r="I376">
            <v>1</v>
          </cell>
          <cell r="J376">
            <v>12</v>
          </cell>
          <cell r="K376">
            <v>1</v>
          </cell>
          <cell r="L376">
            <v>32103.16</v>
          </cell>
        </row>
        <row r="377">
          <cell r="A377">
            <v>106013</v>
          </cell>
          <cell r="B377">
            <v>21533</v>
          </cell>
          <cell r="C377">
            <v>20539</v>
          </cell>
          <cell r="D377" t="str">
            <v>ASB</v>
          </cell>
          <cell r="E377" t="str">
            <v>B</v>
          </cell>
          <cell r="F377" t="str">
            <v>MEDICAL CASE WORKER II</v>
          </cell>
          <cell r="G377" t="str">
            <v>9002A</v>
          </cell>
          <cell r="H377">
            <v>3938.82</v>
          </cell>
          <cell r="I377">
            <v>1</v>
          </cell>
          <cell r="J377">
            <v>12</v>
          </cell>
          <cell r="K377">
            <v>1</v>
          </cell>
          <cell r="L377">
            <v>47265.68</v>
          </cell>
        </row>
        <row r="378">
          <cell r="A378">
            <v>103544</v>
          </cell>
          <cell r="B378">
            <v>20539</v>
          </cell>
          <cell r="C378">
            <v>20539</v>
          </cell>
          <cell r="D378" t="str">
            <v>ASB</v>
          </cell>
          <cell r="E378" t="str">
            <v>B</v>
          </cell>
          <cell r="F378" t="str">
            <v>PAYROLL CLERK I</v>
          </cell>
          <cell r="G378" t="str">
            <v>1331A</v>
          </cell>
          <cell r="H378">
            <v>3102.64</v>
          </cell>
          <cell r="I378">
            <v>1</v>
          </cell>
          <cell r="J378">
            <v>12</v>
          </cell>
          <cell r="K378">
            <v>1</v>
          </cell>
          <cell r="L378">
            <v>37231.440000000002</v>
          </cell>
        </row>
        <row r="379">
          <cell r="A379">
            <v>103546</v>
          </cell>
          <cell r="B379">
            <v>20539</v>
          </cell>
          <cell r="C379">
            <v>20539</v>
          </cell>
          <cell r="D379" t="str">
            <v>ASB</v>
          </cell>
          <cell r="E379" t="str">
            <v>B</v>
          </cell>
          <cell r="F379" t="str">
            <v>PAYROLL CLERK I</v>
          </cell>
          <cell r="G379" t="str">
            <v>1331A</v>
          </cell>
          <cell r="H379">
            <v>3102.64</v>
          </cell>
          <cell r="I379">
            <v>1</v>
          </cell>
          <cell r="J379">
            <v>12</v>
          </cell>
          <cell r="K379">
            <v>1</v>
          </cell>
          <cell r="L379">
            <v>37231.440000000002</v>
          </cell>
        </row>
        <row r="380">
          <cell r="A380">
            <v>103547</v>
          </cell>
          <cell r="B380">
            <v>20539</v>
          </cell>
          <cell r="C380">
            <v>20539</v>
          </cell>
          <cell r="D380" t="str">
            <v>ASB</v>
          </cell>
          <cell r="E380" t="str">
            <v>B</v>
          </cell>
          <cell r="F380" t="str">
            <v>PAYROLL CLERK I</v>
          </cell>
          <cell r="G380" t="str">
            <v>1331A</v>
          </cell>
          <cell r="H380">
            <v>3102.64</v>
          </cell>
          <cell r="I380">
            <v>1</v>
          </cell>
          <cell r="J380">
            <v>12</v>
          </cell>
          <cell r="K380">
            <v>1</v>
          </cell>
          <cell r="L380">
            <v>37231.440000000002</v>
          </cell>
        </row>
        <row r="381">
          <cell r="A381">
            <v>108087</v>
          </cell>
          <cell r="B381">
            <v>20539</v>
          </cell>
          <cell r="C381">
            <v>20539</v>
          </cell>
          <cell r="D381" t="str">
            <v>ASB</v>
          </cell>
          <cell r="E381" t="str">
            <v>B</v>
          </cell>
          <cell r="F381" t="str">
            <v>PAYROLL CLERK I</v>
          </cell>
          <cell r="G381" t="str">
            <v>1331A</v>
          </cell>
          <cell r="H381">
            <v>3102.64</v>
          </cell>
          <cell r="I381">
            <v>1</v>
          </cell>
          <cell r="J381">
            <v>12</v>
          </cell>
          <cell r="K381">
            <v>1</v>
          </cell>
          <cell r="L381">
            <v>37231.440000000002</v>
          </cell>
        </row>
        <row r="382">
          <cell r="A382">
            <v>108088</v>
          </cell>
          <cell r="B382">
            <v>20539</v>
          </cell>
          <cell r="C382">
            <v>20539</v>
          </cell>
          <cell r="D382" t="str">
            <v>ASB</v>
          </cell>
          <cell r="E382" t="str">
            <v>B</v>
          </cell>
          <cell r="F382" t="str">
            <v>PAYROLL CLERK I</v>
          </cell>
          <cell r="G382" t="str">
            <v>1331A</v>
          </cell>
          <cell r="H382">
            <v>3102.64</v>
          </cell>
          <cell r="I382">
            <v>1</v>
          </cell>
          <cell r="J382">
            <v>12</v>
          </cell>
          <cell r="K382">
            <v>1</v>
          </cell>
          <cell r="L382">
            <v>37231.440000000002</v>
          </cell>
        </row>
        <row r="383">
          <cell r="A383">
            <v>100930</v>
          </cell>
          <cell r="B383">
            <v>20539</v>
          </cell>
          <cell r="C383">
            <v>20539</v>
          </cell>
          <cell r="D383" t="str">
            <v>ASB</v>
          </cell>
          <cell r="E383" t="str">
            <v>B</v>
          </cell>
          <cell r="F383" t="str">
            <v xml:space="preserve">PERSONNEL OFFICER III              </v>
          </cell>
          <cell r="G383" t="str">
            <v>1854A</v>
          </cell>
          <cell r="H383">
            <v>7913.33</v>
          </cell>
          <cell r="I383">
            <v>1</v>
          </cell>
          <cell r="J383">
            <v>12</v>
          </cell>
          <cell r="K383">
            <v>1</v>
          </cell>
          <cell r="L383">
            <v>94960</v>
          </cell>
        </row>
        <row r="384">
          <cell r="A384">
            <v>104790</v>
          </cell>
          <cell r="B384">
            <v>20588</v>
          </cell>
          <cell r="C384">
            <v>20539</v>
          </cell>
          <cell r="D384" t="str">
            <v>ASB</v>
          </cell>
          <cell r="E384" t="str">
            <v>B</v>
          </cell>
          <cell r="F384" t="str">
            <v xml:space="preserve">SENIOR CLERK                       </v>
          </cell>
          <cell r="G384" t="str">
            <v>1140A</v>
          </cell>
          <cell r="H384">
            <v>2941</v>
          </cell>
          <cell r="I384">
            <v>1</v>
          </cell>
          <cell r="J384">
            <v>12</v>
          </cell>
          <cell r="K384">
            <v>1</v>
          </cell>
          <cell r="L384">
            <v>35292</v>
          </cell>
        </row>
        <row r="385">
          <cell r="A385">
            <v>109391</v>
          </cell>
          <cell r="B385">
            <v>20539</v>
          </cell>
          <cell r="C385">
            <v>20539</v>
          </cell>
          <cell r="D385" t="str">
            <v>ASB</v>
          </cell>
          <cell r="E385" t="str">
            <v>B</v>
          </cell>
          <cell r="F385" t="str">
            <v>SENIOR DEPARTMENTAL EMPLOYEE REL. REP</v>
          </cell>
          <cell r="G385" t="str">
            <v>1908A</v>
          </cell>
          <cell r="H385">
            <v>7329.55</v>
          </cell>
          <cell r="I385">
            <v>1</v>
          </cell>
          <cell r="J385">
            <v>12</v>
          </cell>
          <cell r="K385">
            <v>1</v>
          </cell>
          <cell r="L385">
            <v>87954.76</v>
          </cell>
        </row>
        <row r="386">
          <cell r="A386">
            <v>104479</v>
          </cell>
          <cell r="B386">
            <v>20539</v>
          </cell>
          <cell r="C386">
            <v>20539</v>
          </cell>
          <cell r="D386" t="str">
            <v>ASB</v>
          </cell>
          <cell r="E386" t="str">
            <v>B</v>
          </cell>
          <cell r="F386" t="str">
            <v>SENIOR DEPARTMENTAL PERSONNEL ASST</v>
          </cell>
          <cell r="G386" t="str">
            <v>1843A</v>
          </cell>
          <cell r="H386">
            <v>4066.18</v>
          </cell>
          <cell r="I386">
            <v>1</v>
          </cell>
          <cell r="J386">
            <v>12</v>
          </cell>
          <cell r="K386">
            <v>1</v>
          </cell>
          <cell r="L386">
            <v>48793.760000000002</v>
          </cell>
        </row>
        <row r="387">
          <cell r="A387">
            <v>104965</v>
          </cell>
          <cell r="B387">
            <v>20539</v>
          </cell>
          <cell r="C387">
            <v>20539</v>
          </cell>
          <cell r="D387" t="str">
            <v>ASB</v>
          </cell>
          <cell r="E387" t="str">
            <v>B</v>
          </cell>
          <cell r="F387" t="str">
            <v>SENIOR DEPARTMENTAL PERSONNEL ASST</v>
          </cell>
          <cell r="G387" t="str">
            <v>1843A</v>
          </cell>
          <cell r="H387">
            <v>4066.18</v>
          </cell>
          <cell r="I387">
            <v>1</v>
          </cell>
          <cell r="J387">
            <v>12</v>
          </cell>
          <cell r="K387">
            <v>1</v>
          </cell>
          <cell r="L387">
            <v>48793.760000000002</v>
          </cell>
        </row>
        <row r="388">
          <cell r="A388">
            <v>108080</v>
          </cell>
          <cell r="B388">
            <v>20539</v>
          </cell>
          <cell r="C388">
            <v>20539</v>
          </cell>
          <cell r="D388" t="str">
            <v>ASB</v>
          </cell>
          <cell r="E388" t="str">
            <v>B</v>
          </cell>
          <cell r="F388" t="str">
            <v>SENIOR DEPARTMENTAL PERSONNEL ASST</v>
          </cell>
          <cell r="G388" t="str">
            <v>1843A</v>
          </cell>
          <cell r="H388">
            <v>4066.18</v>
          </cell>
          <cell r="I388">
            <v>1</v>
          </cell>
          <cell r="J388">
            <v>12</v>
          </cell>
          <cell r="K388">
            <v>1</v>
          </cell>
          <cell r="L388">
            <v>48793.760000000002</v>
          </cell>
        </row>
        <row r="389">
          <cell r="A389">
            <v>101446</v>
          </cell>
          <cell r="B389">
            <v>20539</v>
          </cell>
          <cell r="C389">
            <v>20539</v>
          </cell>
          <cell r="D389" t="str">
            <v>ASB</v>
          </cell>
          <cell r="E389" t="str">
            <v>B</v>
          </cell>
          <cell r="F389" t="str">
            <v xml:space="preserve">SENIOR DEPARTMENTAL PERSONNEL TECH </v>
          </cell>
          <cell r="G389" t="str">
            <v>1849A</v>
          </cell>
          <cell r="H389">
            <v>5452.55</v>
          </cell>
          <cell r="I389">
            <v>1</v>
          </cell>
          <cell r="J389">
            <v>12</v>
          </cell>
          <cell r="K389">
            <v>1</v>
          </cell>
          <cell r="L389">
            <v>65430.6</v>
          </cell>
        </row>
        <row r="390">
          <cell r="A390">
            <v>101447</v>
          </cell>
          <cell r="B390">
            <v>20539</v>
          </cell>
          <cell r="C390">
            <v>20539</v>
          </cell>
          <cell r="D390" t="str">
            <v>ASB</v>
          </cell>
          <cell r="E390" t="str">
            <v>B</v>
          </cell>
          <cell r="F390" t="str">
            <v xml:space="preserve">SENIOR DEPARTMENTAL PERSONNEL TECH </v>
          </cell>
          <cell r="G390" t="str">
            <v>1849A</v>
          </cell>
          <cell r="H390">
            <v>5452.55</v>
          </cell>
          <cell r="I390">
            <v>1</v>
          </cell>
          <cell r="J390">
            <v>12</v>
          </cell>
          <cell r="K390">
            <v>1</v>
          </cell>
          <cell r="L390">
            <v>65430.6</v>
          </cell>
        </row>
        <row r="391">
          <cell r="A391">
            <v>101448</v>
          </cell>
          <cell r="B391">
            <v>20539</v>
          </cell>
          <cell r="C391">
            <v>20539</v>
          </cell>
          <cell r="D391" t="str">
            <v>ASB</v>
          </cell>
          <cell r="E391" t="str">
            <v>B</v>
          </cell>
          <cell r="F391" t="str">
            <v xml:space="preserve">SENIOR DEPARTMENTAL PERSONNEL TECH </v>
          </cell>
          <cell r="G391" t="str">
            <v>1849A</v>
          </cell>
          <cell r="H391">
            <v>5452.55</v>
          </cell>
          <cell r="I391">
            <v>1</v>
          </cell>
          <cell r="J391">
            <v>12</v>
          </cell>
          <cell r="K391">
            <v>1</v>
          </cell>
          <cell r="L391">
            <v>65430.6</v>
          </cell>
        </row>
        <row r="392">
          <cell r="A392">
            <v>101449</v>
          </cell>
          <cell r="B392">
            <v>20539</v>
          </cell>
          <cell r="C392">
            <v>20539</v>
          </cell>
          <cell r="D392" t="str">
            <v>ASB</v>
          </cell>
          <cell r="E392" t="str">
            <v>B</v>
          </cell>
          <cell r="F392" t="str">
            <v xml:space="preserve">SENIOR DEPARTMENTAL PERSONNEL TECH </v>
          </cell>
          <cell r="G392" t="str">
            <v>1849A</v>
          </cell>
          <cell r="H392">
            <v>5452.55</v>
          </cell>
          <cell r="I392">
            <v>1</v>
          </cell>
          <cell r="J392">
            <v>12</v>
          </cell>
          <cell r="K392">
            <v>1</v>
          </cell>
          <cell r="L392">
            <v>65430.6</v>
          </cell>
        </row>
        <row r="393">
          <cell r="A393">
            <v>104962</v>
          </cell>
          <cell r="B393">
            <v>20539</v>
          </cell>
          <cell r="C393">
            <v>20539</v>
          </cell>
          <cell r="D393" t="str">
            <v>ASB</v>
          </cell>
          <cell r="E393" t="str">
            <v>B</v>
          </cell>
          <cell r="F393" t="str">
            <v xml:space="preserve">SENIOR DEPARTMENTAL PERSONNEL TECH </v>
          </cell>
          <cell r="G393" t="str">
            <v>1849A</v>
          </cell>
          <cell r="H393">
            <v>5452.55</v>
          </cell>
          <cell r="I393">
            <v>1</v>
          </cell>
          <cell r="J393">
            <v>12</v>
          </cell>
          <cell r="K393">
            <v>1</v>
          </cell>
          <cell r="L393">
            <v>65430.6</v>
          </cell>
        </row>
        <row r="394">
          <cell r="A394">
            <v>104963</v>
          </cell>
          <cell r="B394">
            <v>20539</v>
          </cell>
          <cell r="C394">
            <v>20539</v>
          </cell>
          <cell r="D394" t="str">
            <v>ASB</v>
          </cell>
          <cell r="E394" t="str">
            <v>B</v>
          </cell>
          <cell r="F394" t="str">
            <v xml:space="preserve">SENIOR DEPARTMENTAL PERSONNEL TECH </v>
          </cell>
          <cell r="G394" t="str">
            <v>1849A</v>
          </cell>
          <cell r="H394">
            <v>5452.55</v>
          </cell>
          <cell r="I394">
            <v>1</v>
          </cell>
          <cell r="J394">
            <v>12</v>
          </cell>
          <cell r="K394">
            <v>1</v>
          </cell>
          <cell r="L394">
            <v>65430.6</v>
          </cell>
        </row>
        <row r="395">
          <cell r="A395">
            <v>108079</v>
          </cell>
          <cell r="B395">
            <v>20539</v>
          </cell>
          <cell r="C395">
            <v>20539</v>
          </cell>
          <cell r="D395" t="str">
            <v>ASB</v>
          </cell>
          <cell r="E395" t="str">
            <v>B</v>
          </cell>
          <cell r="F395" t="str">
            <v xml:space="preserve">SENIOR DEPARTMENTAL PERSONNEL TECH </v>
          </cell>
          <cell r="G395" t="str">
            <v>1849A</v>
          </cell>
          <cell r="H395">
            <v>5452.55</v>
          </cell>
          <cell r="I395">
            <v>1</v>
          </cell>
          <cell r="J395">
            <v>12</v>
          </cell>
          <cell r="K395">
            <v>1</v>
          </cell>
          <cell r="L395">
            <v>65430.6</v>
          </cell>
        </row>
        <row r="396">
          <cell r="A396">
            <v>102070</v>
          </cell>
          <cell r="B396">
            <v>20539</v>
          </cell>
          <cell r="C396">
            <v>20539</v>
          </cell>
          <cell r="D396" t="str">
            <v>ASB</v>
          </cell>
          <cell r="E396" t="str">
            <v>B</v>
          </cell>
          <cell r="F396" t="str">
            <v xml:space="preserve">SENIOR SECRETARY III               </v>
          </cell>
          <cell r="G396" t="str">
            <v>2102A</v>
          </cell>
          <cell r="H396">
            <v>4106.3599999999997</v>
          </cell>
          <cell r="I396">
            <v>1</v>
          </cell>
          <cell r="J396">
            <v>12</v>
          </cell>
          <cell r="K396">
            <v>1</v>
          </cell>
          <cell r="L396">
            <v>49276.56</v>
          </cell>
        </row>
        <row r="397">
          <cell r="A397">
            <v>103619</v>
          </cell>
          <cell r="B397">
            <v>20539</v>
          </cell>
          <cell r="C397">
            <v>20539</v>
          </cell>
          <cell r="D397" t="str">
            <v>ASB</v>
          </cell>
          <cell r="E397" t="str">
            <v>B</v>
          </cell>
          <cell r="F397" t="str">
            <v xml:space="preserve">SENIOR TYPIST-CLERK                </v>
          </cell>
          <cell r="G397" t="str">
            <v>2216A</v>
          </cell>
          <cell r="H397">
            <v>3013.55</v>
          </cell>
          <cell r="I397">
            <v>1</v>
          </cell>
          <cell r="J397">
            <v>12</v>
          </cell>
          <cell r="K397">
            <v>1</v>
          </cell>
          <cell r="L397">
            <v>36162.6</v>
          </cell>
        </row>
        <row r="398">
          <cell r="A398">
            <v>104968</v>
          </cell>
          <cell r="B398">
            <v>20539</v>
          </cell>
          <cell r="C398">
            <v>20539</v>
          </cell>
          <cell r="D398" t="str">
            <v>ASB</v>
          </cell>
          <cell r="E398" t="str">
            <v>B</v>
          </cell>
          <cell r="F398" t="str">
            <v xml:space="preserve">SENIOR TYPIST-CLERK                </v>
          </cell>
          <cell r="G398" t="str">
            <v>2216A</v>
          </cell>
          <cell r="H398">
            <v>3013.55</v>
          </cell>
          <cell r="I398">
            <v>1</v>
          </cell>
          <cell r="J398">
            <v>12</v>
          </cell>
          <cell r="K398">
            <v>1</v>
          </cell>
          <cell r="L398">
            <v>36162.6</v>
          </cell>
        </row>
        <row r="399">
          <cell r="A399">
            <v>104661</v>
          </cell>
          <cell r="B399">
            <v>20469</v>
          </cell>
          <cell r="C399">
            <v>20539</v>
          </cell>
          <cell r="D399" t="str">
            <v>ASB</v>
          </cell>
          <cell r="E399" t="str">
            <v>B</v>
          </cell>
          <cell r="F399" t="str">
            <v xml:space="preserve">STUDENT WORKER                     </v>
          </cell>
          <cell r="G399" t="str">
            <v>8242F</v>
          </cell>
          <cell r="H399">
            <v>8.52</v>
          </cell>
          <cell r="I399">
            <v>1</v>
          </cell>
          <cell r="J399">
            <v>1044</v>
          </cell>
          <cell r="K399">
            <v>0</v>
          </cell>
          <cell r="L399">
            <v>8895.24</v>
          </cell>
        </row>
        <row r="400">
          <cell r="A400">
            <v>103550</v>
          </cell>
          <cell r="B400">
            <v>20539</v>
          </cell>
          <cell r="C400">
            <v>20539</v>
          </cell>
          <cell r="D400" t="str">
            <v>ASB</v>
          </cell>
          <cell r="E400" t="str">
            <v>B</v>
          </cell>
          <cell r="F400" t="str">
            <v>SUPERVISING PAYROLL CLERK III</v>
          </cell>
          <cell r="G400" t="str">
            <v>1340A</v>
          </cell>
          <cell r="H400">
            <v>4046.36</v>
          </cell>
          <cell r="I400">
            <v>1</v>
          </cell>
          <cell r="J400">
            <v>12</v>
          </cell>
          <cell r="K400">
            <v>1</v>
          </cell>
          <cell r="L400">
            <v>48556</v>
          </cell>
        </row>
        <row r="401">
          <cell r="A401">
            <v>100048</v>
          </cell>
          <cell r="B401">
            <v>20540</v>
          </cell>
          <cell r="C401">
            <v>20540</v>
          </cell>
          <cell r="D401" t="str">
            <v>ASB</v>
          </cell>
          <cell r="E401" t="str">
            <v>B</v>
          </cell>
          <cell r="F401" t="str">
            <v xml:space="preserve">ADMINISTRATIVE ASSISTANT II        </v>
          </cell>
          <cell r="G401" t="str">
            <v>0888A</v>
          </cell>
          <cell r="H401">
            <v>4334.6400000000003</v>
          </cell>
          <cell r="I401">
            <v>1</v>
          </cell>
          <cell r="J401">
            <v>12</v>
          </cell>
          <cell r="K401">
            <v>1</v>
          </cell>
          <cell r="L401">
            <v>52015.360000000001</v>
          </cell>
        </row>
        <row r="402">
          <cell r="A402">
            <v>101905</v>
          </cell>
          <cell r="B402">
            <v>20540</v>
          </cell>
          <cell r="C402">
            <v>20540</v>
          </cell>
          <cell r="D402" t="str">
            <v>ASB</v>
          </cell>
          <cell r="E402" t="str">
            <v>B</v>
          </cell>
          <cell r="F402" t="str">
            <v xml:space="preserve">ADMINISTRATIVE ASSISTANT II        </v>
          </cell>
          <cell r="G402" t="str">
            <v>0888A</v>
          </cell>
          <cell r="H402">
            <v>4334.6400000000003</v>
          </cell>
          <cell r="I402">
            <v>1</v>
          </cell>
          <cell r="J402">
            <v>12</v>
          </cell>
          <cell r="K402">
            <v>1</v>
          </cell>
          <cell r="L402">
            <v>52015.360000000001</v>
          </cell>
        </row>
        <row r="403">
          <cell r="A403">
            <v>101846</v>
          </cell>
          <cell r="B403">
            <v>20540</v>
          </cell>
          <cell r="C403">
            <v>20540</v>
          </cell>
          <cell r="D403" t="str">
            <v>ASB</v>
          </cell>
          <cell r="E403" t="str">
            <v>B</v>
          </cell>
          <cell r="F403" t="str">
            <v xml:space="preserve">ADMINISTRATIVE ASSISTANT III       </v>
          </cell>
          <cell r="G403" t="str">
            <v>0889A</v>
          </cell>
          <cell r="H403">
            <v>4832</v>
          </cell>
          <cell r="I403">
            <v>1</v>
          </cell>
          <cell r="J403">
            <v>12</v>
          </cell>
          <cell r="K403">
            <v>1</v>
          </cell>
          <cell r="L403">
            <v>57983.839999999997</v>
          </cell>
        </row>
        <row r="404">
          <cell r="A404">
            <v>102073</v>
          </cell>
          <cell r="B404">
            <v>20540</v>
          </cell>
          <cell r="C404">
            <v>20540</v>
          </cell>
          <cell r="D404" t="str">
            <v>ASB</v>
          </cell>
          <cell r="E404" t="str">
            <v>B</v>
          </cell>
          <cell r="F404" t="str">
            <v xml:space="preserve">ADMINISTRATIVE ASSISTANT III       </v>
          </cell>
          <cell r="G404" t="str">
            <v>0889A</v>
          </cell>
          <cell r="H404">
            <v>4832</v>
          </cell>
          <cell r="I404">
            <v>1</v>
          </cell>
          <cell r="J404">
            <v>12</v>
          </cell>
          <cell r="K404">
            <v>1</v>
          </cell>
          <cell r="L404">
            <v>57983.839999999997</v>
          </cell>
        </row>
        <row r="405">
          <cell r="A405">
            <v>104383</v>
          </cell>
          <cell r="B405">
            <v>20540</v>
          </cell>
          <cell r="C405">
            <v>20540</v>
          </cell>
          <cell r="D405" t="str">
            <v>ASB</v>
          </cell>
          <cell r="E405" t="str">
            <v>B</v>
          </cell>
          <cell r="F405" t="str">
            <v xml:space="preserve">ADMINISTRATIVE ASSISTANT III       </v>
          </cell>
          <cell r="G405" t="str">
            <v>0889A</v>
          </cell>
          <cell r="H405">
            <v>4832</v>
          </cell>
          <cell r="I405">
            <v>1</v>
          </cell>
          <cell r="J405">
            <v>12</v>
          </cell>
          <cell r="K405">
            <v>1</v>
          </cell>
          <cell r="L405">
            <v>57983.839999999997</v>
          </cell>
        </row>
        <row r="406">
          <cell r="A406">
            <v>102074</v>
          </cell>
          <cell r="B406">
            <v>20540</v>
          </cell>
          <cell r="C406">
            <v>20540</v>
          </cell>
          <cell r="D406" t="str">
            <v>ASB</v>
          </cell>
          <cell r="E406" t="str">
            <v>B</v>
          </cell>
          <cell r="F406" t="str">
            <v xml:space="preserve">CHIEF,ADMINISTRATIVE SUPPORT BUR, MH </v>
          </cell>
          <cell r="G406" t="str">
            <v>4725A</v>
          </cell>
          <cell r="H406">
            <v>7873.09</v>
          </cell>
          <cell r="I406">
            <v>1</v>
          </cell>
          <cell r="J406">
            <v>12</v>
          </cell>
          <cell r="K406">
            <v>1</v>
          </cell>
          <cell r="L406">
            <v>94476.84</v>
          </cell>
        </row>
        <row r="407">
          <cell r="A407">
            <v>104233</v>
          </cell>
          <cell r="B407">
            <v>20540</v>
          </cell>
          <cell r="C407">
            <v>20540</v>
          </cell>
          <cell r="D407" t="str">
            <v>ASB</v>
          </cell>
          <cell r="E407" t="str">
            <v>B</v>
          </cell>
          <cell r="F407" t="str">
            <v xml:space="preserve">INTERMEDIATE CLERK                 </v>
          </cell>
          <cell r="G407" t="str">
            <v>1138A</v>
          </cell>
          <cell r="H407">
            <v>2611.09</v>
          </cell>
          <cell r="I407">
            <v>1</v>
          </cell>
          <cell r="J407">
            <v>12</v>
          </cell>
          <cell r="K407">
            <v>1</v>
          </cell>
          <cell r="L407">
            <v>31333</v>
          </cell>
        </row>
        <row r="408">
          <cell r="A408">
            <v>104384</v>
          </cell>
          <cell r="B408">
            <v>20540</v>
          </cell>
          <cell r="C408">
            <v>20540</v>
          </cell>
          <cell r="D408" t="str">
            <v>ASB</v>
          </cell>
          <cell r="E408" t="str">
            <v>B</v>
          </cell>
          <cell r="F408" t="str">
            <v xml:space="preserve">INTERMEDIATE CLERK                 </v>
          </cell>
          <cell r="G408" t="str">
            <v>1138A</v>
          </cell>
          <cell r="H408">
            <v>2611.09</v>
          </cell>
          <cell r="I408">
            <v>1</v>
          </cell>
          <cell r="J408">
            <v>12</v>
          </cell>
          <cell r="K408">
            <v>1</v>
          </cell>
          <cell r="L408">
            <v>31333</v>
          </cell>
        </row>
        <row r="409">
          <cell r="A409">
            <v>100381</v>
          </cell>
          <cell r="B409">
            <v>20540</v>
          </cell>
          <cell r="C409">
            <v>20540</v>
          </cell>
          <cell r="D409" t="str">
            <v>ASB</v>
          </cell>
          <cell r="E409" t="str">
            <v>B</v>
          </cell>
          <cell r="F409" t="str">
            <v>INTERMEDIATE TYPIST-CLERK</v>
          </cell>
          <cell r="G409" t="str">
            <v>2214A</v>
          </cell>
          <cell r="H409">
            <v>2675.27</v>
          </cell>
          <cell r="I409">
            <v>1</v>
          </cell>
          <cell r="J409">
            <v>12</v>
          </cell>
          <cell r="K409">
            <v>1</v>
          </cell>
          <cell r="L409">
            <v>32103.16</v>
          </cell>
        </row>
        <row r="410">
          <cell r="A410">
            <v>100388</v>
          </cell>
          <cell r="B410">
            <v>20540</v>
          </cell>
          <cell r="C410">
            <v>20540</v>
          </cell>
          <cell r="D410" t="str">
            <v>ASB</v>
          </cell>
          <cell r="E410" t="str">
            <v>B</v>
          </cell>
          <cell r="F410" t="str">
            <v>INTERMEDIATE TYPIST-CLERK</v>
          </cell>
          <cell r="G410" t="str">
            <v>2214A</v>
          </cell>
          <cell r="H410">
            <v>2675.27</v>
          </cell>
          <cell r="I410">
            <v>1</v>
          </cell>
          <cell r="J410">
            <v>12</v>
          </cell>
          <cell r="K410">
            <v>1</v>
          </cell>
          <cell r="L410">
            <v>32103.16</v>
          </cell>
        </row>
        <row r="411">
          <cell r="A411">
            <v>104382</v>
          </cell>
          <cell r="B411">
            <v>20540</v>
          </cell>
          <cell r="C411">
            <v>20540</v>
          </cell>
          <cell r="D411" t="str">
            <v>ASB</v>
          </cell>
          <cell r="E411" t="str">
            <v>B</v>
          </cell>
          <cell r="F411" t="str">
            <v>INTERMEDIATE TYPIST-CLERK</v>
          </cell>
          <cell r="G411" t="str">
            <v>2214A</v>
          </cell>
          <cell r="H411">
            <v>2675.27</v>
          </cell>
          <cell r="I411">
            <v>1</v>
          </cell>
          <cell r="J411">
            <v>12</v>
          </cell>
          <cell r="K411">
            <v>1</v>
          </cell>
          <cell r="L411">
            <v>32103.16</v>
          </cell>
        </row>
        <row r="412">
          <cell r="A412">
            <v>104831</v>
          </cell>
          <cell r="B412">
            <v>20540</v>
          </cell>
          <cell r="C412">
            <v>20540</v>
          </cell>
          <cell r="D412" t="str">
            <v>ASB</v>
          </cell>
          <cell r="E412" t="str">
            <v>B</v>
          </cell>
          <cell r="F412" t="str">
            <v>INTERMEDIATE TYPIST-CLERK</v>
          </cell>
          <cell r="G412" t="str">
            <v>2214A</v>
          </cell>
          <cell r="H412">
            <v>2675.27</v>
          </cell>
          <cell r="I412">
            <v>1</v>
          </cell>
          <cell r="J412">
            <v>12</v>
          </cell>
          <cell r="K412">
            <v>1</v>
          </cell>
          <cell r="L412">
            <v>32103.16</v>
          </cell>
        </row>
        <row r="413">
          <cell r="A413">
            <v>106295</v>
          </cell>
          <cell r="B413">
            <v>23019</v>
          </cell>
          <cell r="C413">
            <v>20540</v>
          </cell>
          <cell r="D413" t="str">
            <v>ASB</v>
          </cell>
          <cell r="E413" t="str">
            <v>B</v>
          </cell>
          <cell r="F413" t="str">
            <v>INTERMEDIATE TYPIST-CLERK</v>
          </cell>
          <cell r="G413" t="str">
            <v>2214A</v>
          </cell>
          <cell r="H413">
            <v>2675.27</v>
          </cell>
          <cell r="I413">
            <v>1</v>
          </cell>
          <cell r="J413">
            <v>12</v>
          </cell>
          <cell r="K413">
            <v>1</v>
          </cell>
          <cell r="L413">
            <v>32103.16</v>
          </cell>
        </row>
        <row r="414">
          <cell r="A414">
            <v>104391</v>
          </cell>
          <cell r="B414">
            <v>20540</v>
          </cell>
          <cell r="C414">
            <v>20540</v>
          </cell>
          <cell r="D414" t="str">
            <v>ASB</v>
          </cell>
          <cell r="E414" t="str">
            <v>B</v>
          </cell>
          <cell r="F414" t="str">
            <v xml:space="preserve">INVENTORY CONTROL ASSISTANT I      </v>
          </cell>
          <cell r="G414" t="str">
            <v>0735A</v>
          </cell>
          <cell r="H414">
            <v>2955</v>
          </cell>
          <cell r="I414">
            <v>1</v>
          </cell>
          <cell r="J414">
            <v>12</v>
          </cell>
          <cell r="K414">
            <v>1</v>
          </cell>
          <cell r="L414">
            <v>35460</v>
          </cell>
        </row>
        <row r="415">
          <cell r="A415">
            <v>104237</v>
          </cell>
          <cell r="B415">
            <v>20540</v>
          </cell>
          <cell r="C415">
            <v>20540</v>
          </cell>
          <cell r="D415" t="str">
            <v>ASB</v>
          </cell>
          <cell r="E415" t="str">
            <v>B</v>
          </cell>
          <cell r="F415" t="str">
            <v>LIGHT VEHICLE DRIVER</v>
          </cell>
          <cell r="G415" t="str">
            <v>6022A</v>
          </cell>
          <cell r="H415">
            <v>2344.4499999999998</v>
          </cell>
          <cell r="I415">
            <v>1</v>
          </cell>
          <cell r="J415">
            <v>12</v>
          </cell>
          <cell r="K415">
            <v>1</v>
          </cell>
          <cell r="L415">
            <v>28133.16</v>
          </cell>
        </row>
        <row r="416">
          <cell r="A416">
            <v>102126</v>
          </cell>
          <cell r="B416">
            <v>20588</v>
          </cell>
          <cell r="C416">
            <v>20540</v>
          </cell>
          <cell r="D416" t="str">
            <v>ASB</v>
          </cell>
          <cell r="E416" t="str">
            <v>B</v>
          </cell>
          <cell r="F416" t="str">
            <v xml:space="preserve">MENTAL HEALTH ANALYST I            </v>
          </cell>
          <cell r="G416" t="str">
            <v>4727A</v>
          </cell>
          <cell r="H416">
            <v>5602.09</v>
          </cell>
          <cell r="I416">
            <v>1</v>
          </cell>
          <cell r="J416">
            <v>12</v>
          </cell>
          <cell r="K416">
            <v>1</v>
          </cell>
          <cell r="L416">
            <v>67225.16</v>
          </cell>
        </row>
        <row r="417">
          <cell r="A417">
            <v>100835</v>
          </cell>
          <cell r="B417">
            <v>20540</v>
          </cell>
          <cell r="C417">
            <v>20540</v>
          </cell>
          <cell r="D417" t="str">
            <v>ASB</v>
          </cell>
          <cell r="E417" t="str">
            <v>B</v>
          </cell>
          <cell r="F417" t="str">
            <v>MENTAL HEALTH SERVICES COORD I</v>
          </cell>
          <cell r="G417" t="str">
            <v>8148A</v>
          </cell>
          <cell r="H417">
            <v>5126.91</v>
          </cell>
          <cell r="I417">
            <v>1</v>
          </cell>
          <cell r="J417">
            <v>12</v>
          </cell>
          <cell r="K417">
            <v>1</v>
          </cell>
          <cell r="L417">
            <v>61522.92</v>
          </cell>
        </row>
        <row r="418">
          <cell r="A418">
            <v>101500</v>
          </cell>
          <cell r="B418">
            <v>20540</v>
          </cell>
          <cell r="C418">
            <v>20540</v>
          </cell>
          <cell r="D418" t="str">
            <v>ASB</v>
          </cell>
          <cell r="E418" t="str">
            <v>B</v>
          </cell>
          <cell r="F418" t="str">
            <v>PRINTER I</v>
          </cell>
          <cell r="G418" t="str">
            <v>7575A</v>
          </cell>
          <cell r="H418">
            <v>2955</v>
          </cell>
          <cell r="I418">
            <v>1</v>
          </cell>
          <cell r="J418">
            <v>12</v>
          </cell>
          <cell r="K418">
            <v>1</v>
          </cell>
          <cell r="L418">
            <v>35460</v>
          </cell>
        </row>
        <row r="419">
          <cell r="A419">
            <v>100934</v>
          </cell>
          <cell r="B419">
            <v>20540</v>
          </cell>
          <cell r="C419">
            <v>20540</v>
          </cell>
          <cell r="D419" t="str">
            <v>ASB</v>
          </cell>
          <cell r="E419" t="str">
            <v>B</v>
          </cell>
          <cell r="F419" t="str">
            <v xml:space="preserve">PROCUREMENT ASSISTANT II           </v>
          </cell>
          <cell r="G419" t="str">
            <v>2346A</v>
          </cell>
          <cell r="H419">
            <v>3724.09</v>
          </cell>
          <cell r="I419">
            <v>1</v>
          </cell>
          <cell r="J419">
            <v>12</v>
          </cell>
          <cell r="K419">
            <v>1</v>
          </cell>
          <cell r="L419">
            <v>44689</v>
          </cell>
        </row>
        <row r="420">
          <cell r="A420">
            <v>101991</v>
          </cell>
          <cell r="B420">
            <v>20540</v>
          </cell>
          <cell r="C420">
            <v>20540</v>
          </cell>
          <cell r="D420" t="str">
            <v>ASB</v>
          </cell>
          <cell r="E420" t="str">
            <v>B</v>
          </cell>
          <cell r="F420" t="str">
            <v xml:space="preserve">PROCUREMENT ASSISTANT II           </v>
          </cell>
          <cell r="G420" t="str">
            <v>2346A</v>
          </cell>
          <cell r="H420">
            <v>3724.09</v>
          </cell>
          <cell r="I420">
            <v>1</v>
          </cell>
          <cell r="J420">
            <v>12</v>
          </cell>
          <cell r="K420">
            <v>1</v>
          </cell>
          <cell r="L420">
            <v>44689</v>
          </cell>
        </row>
        <row r="421">
          <cell r="A421">
            <v>104028</v>
          </cell>
          <cell r="B421">
            <v>20923</v>
          </cell>
          <cell r="C421">
            <v>20540</v>
          </cell>
          <cell r="D421" t="str">
            <v>ASB</v>
          </cell>
          <cell r="E421" t="str">
            <v>B</v>
          </cell>
          <cell r="F421" t="str">
            <v>REHABILITATION COUNSELOR II</v>
          </cell>
          <cell r="G421" t="str">
            <v>8593A</v>
          </cell>
          <cell r="H421">
            <v>4076.09</v>
          </cell>
          <cell r="I421">
            <v>1</v>
          </cell>
          <cell r="J421">
            <v>12</v>
          </cell>
          <cell r="K421">
            <v>1</v>
          </cell>
          <cell r="L421">
            <v>48922.8</v>
          </cell>
        </row>
        <row r="422">
          <cell r="A422">
            <v>104958</v>
          </cell>
          <cell r="B422">
            <v>20562</v>
          </cell>
          <cell r="C422">
            <v>20540</v>
          </cell>
          <cell r="D422" t="str">
            <v>ASB</v>
          </cell>
          <cell r="E422" t="str">
            <v>B</v>
          </cell>
          <cell r="F422" t="str">
            <v xml:space="preserve">RESEARCH ANALYST III,BEHAVIOR SCI  </v>
          </cell>
          <cell r="G422" t="str">
            <v>8973A</v>
          </cell>
          <cell r="H422">
            <v>5479.27</v>
          </cell>
          <cell r="I422">
            <v>1</v>
          </cell>
          <cell r="J422">
            <v>12</v>
          </cell>
          <cell r="K422">
            <v>1</v>
          </cell>
          <cell r="L422">
            <v>65751.240000000005</v>
          </cell>
        </row>
        <row r="423">
          <cell r="A423">
            <v>104236</v>
          </cell>
          <cell r="B423">
            <v>20540</v>
          </cell>
          <cell r="C423">
            <v>20540</v>
          </cell>
          <cell r="D423" t="str">
            <v>ASB</v>
          </cell>
          <cell r="E423" t="str">
            <v>B</v>
          </cell>
          <cell r="F423" t="str">
            <v xml:space="preserve">SENIOR CLERK                       </v>
          </cell>
          <cell r="G423" t="str">
            <v>1140A</v>
          </cell>
          <cell r="H423">
            <v>2941</v>
          </cell>
          <cell r="I423">
            <v>1</v>
          </cell>
          <cell r="J423">
            <v>12</v>
          </cell>
          <cell r="K423">
            <v>1</v>
          </cell>
          <cell r="L423">
            <v>35292</v>
          </cell>
        </row>
        <row r="424">
          <cell r="A424">
            <v>104390</v>
          </cell>
          <cell r="B424">
            <v>20540</v>
          </cell>
          <cell r="C424">
            <v>20540</v>
          </cell>
          <cell r="D424" t="str">
            <v>ASB</v>
          </cell>
          <cell r="E424" t="str">
            <v>B</v>
          </cell>
          <cell r="F424" t="str">
            <v xml:space="preserve">SENIOR CLERK                       </v>
          </cell>
          <cell r="G424" t="str">
            <v>1140A</v>
          </cell>
          <cell r="H424">
            <v>2941</v>
          </cell>
          <cell r="I424">
            <v>1</v>
          </cell>
          <cell r="J424">
            <v>12</v>
          </cell>
          <cell r="K424">
            <v>1</v>
          </cell>
          <cell r="L424">
            <v>35292</v>
          </cell>
        </row>
        <row r="425">
          <cell r="A425">
            <v>104827</v>
          </cell>
          <cell r="B425">
            <v>20540</v>
          </cell>
          <cell r="C425">
            <v>20540</v>
          </cell>
          <cell r="D425" t="str">
            <v>ASB</v>
          </cell>
          <cell r="E425" t="str">
            <v>B</v>
          </cell>
          <cell r="F425" t="str">
            <v xml:space="preserve">SENIOR CLERK                       </v>
          </cell>
          <cell r="G425" t="str">
            <v>1140A</v>
          </cell>
          <cell r="H425">
            <v>2941</v>
          </cell>
          <cell r="I425">
            <v>1</v>
          </cell>
          <cell r="J425">
            <v>12</v>
          </cell>
          <cell r="K425">
            <v>1</v>
          </cell>
          <cell r="L425">
            <v>35292</v>
          </cell>
        </row>
        <row r="426">
          <cell r="A426">
            <v>102038</v>
          </cell>
          <cell r="B426">
            <v>20588</v>
          </cell>
          <cell r="C426">
            <v>20540</v>
          </cell>
          <cell r="D426" t="str">
            <v>ASB</v>
          </cell>
          <cell r="E426" t="str">
            <v>B</v>
          </cell>
          <cell r="F426" t="str">
            <v xml:space="preserve">SENIOR MANAGEMENT SECRETARY II     </v>
          </cell>
          <cell r="G426" t="str">
            <v>2115A</v>
          </cell>
          <cell r="H426">
            <v>4832</v>
          </cell>
          <cell r="I426">
            <v>1</v>
          </cell>
          <cell r="J426">
            <v>12</v>
          </cell>
          <cell r="K426">
            <v>1</v>
          </cell>
          <cell r="L426">
            <v>57983.839999999997</v>
          </cell>
        </row>
        <row r="427">
          <cell r="A427">
            <v>101485</v>
          </cell>
          <cell r="B427">
            <v>20540</v>
          </cell>
          <cell r="C427">
            <v>20540</v>
          </cell>
          <cell r="D427" t="str">
            <v>ASB</v>
          </cell>
          <cell r="E427" t="str">
            <v>B</v>
          </cell>
          <cell r="F427" t="str">
            <v xml:space="preserve">SENIOR SECRETARY III               </v>
          </cell>
          <cell r="G427" t="str">
            <v>2102A</v>
          </cell>
          <cell r="H427">
            <v>4106.3599999999997</v>
          </cell>
          <cell r="I427">
            <v>1</v>
          </cell>
          <cell r="J427">
            <v>12</v>
          </cell>
          <cell r="K427">
            <v>1</v>
          </cell>
          <cell r="L427">
            <v>49276.56</v>
          </cell>
        </row>
        <row r="428">
          <cell r="A428">
            <v>102732</v>
          </cell>
          <cell r="B428">
            <v>20540</v>
          </cell>
          <cell r="C428">
            <v>20540</v>
          </cell>
          <cell r="D428" t="str">
            <v>ASB</v>
          </cell>
          <cell r="E428" t="str">
            <v>B</v>
          </cell>
          <cell r="F428" t="str">
            <v xml:space="preserve">SENIOR TYPIST-CLERK                </v>
          </cell>
          <cell r="G428" t="str">
            <v>2216A</v>
          </cell>
          <cell r="H428">
            <v>3013.55</v>
          </cell>
          <cell r="I428">
            <v>1</v>
          </cell>
          <cell r="J428">
            <v>12</v>
          </cell>
          <cell r="K428">
            <v>1</v>
          </cell>
          <cell r="L428">
            <v>36162.6</v>
          </cell>
        </row>
        <row r="429">
          <cell r="A429">
            <v>104235</v>
          </cell>
          <cell r="B429">
            <v>20540</v>
          </cell>
          <cell r="C429">
            <v>20540</v>
          </cell>
          <cell r="D429" t="str">
            <v>ASB</v>
          </cell>
          <cell r="E429" t="str">
            <v>B</v>
          </cell>
          <cell r="F429" t="str">
            <v xml:space="preserve">SENIOR TYPIST-CLERK                </v>
          </cell>
          <cell r="G429" t="str">
            <v>2216A</v>
          </cell>
          <cell r="H429">
            <v>3013.55</v>
          </cell>
          <cell r="I429">
            <v>1</v>
          </cell>
          <cell r="J429">
            <v>12</v>
          </cell>
          <cell r="K429">
            <v>1</v>
          </cell>
          <cell r="L429">
            <v>36162.6</v>
          </cell>
        </row>
        <row r="430">
          <cell r="A430">
            <v>104385</v>
          </cell>
          <cell r="B430">
            <v>20540</v>
          </cell>
          <cell r="C430">
            <v>20540</v>
          </cell>
          <cell r="D430" t="str">
            <v>ASB</v>
          </cell>
          <cell r="E430" t="str">
            <v>B</v>
          </cell>
          <cell r="F430" t="str">
            <v xml:space="preserve">SENIOR TYPIST-CLERK                </v>
          </cell>
          <cell r="G430" t="str">
            <v>2216A</v>
          </cell>
          <cell r="H430">
            <v>3013.55</v>
          </cell>
          <cell r="I430">
            <v>1</v>
          </cell>
          <cell r="J430">
            <v>12</v>
          </cell>
          <cell r="K430">
            <v>1</v>
          </cell>
          <cell r="L430">
            <v>36162.6</v>
          </cell>
        </row>
        <row r="431">
          <cell r="A431">
            <v>104389</v>
          </cell>
          <cell r="B431">
            <v>20540</v>
          </cell>
          <cell r="C431">
            <v>20540</v>
          </cell>
          <cell r="D431" t="str">
            <v>ASB</v>
          </cell>
          <cell r="E431" t="str">
            <v>B</v>
          </cell>
          <cell r="F431" t="str">
            <v xml:space="preserve">SENIOR TYPIST-CLERK                </v>
          </cell>
          <cell r="G431" t="str">
            <v>2216A</v>
          </cell>
          <cell r="H431">
            <v>3013.55</v>
          </cell>
          <cell r="I431">
            <v>1</v>
          </cell>
          <cell r="J431">
            <v>12</v>
          </cell>
          <cell r="K431">
            <v>1</v>
          </cell>
          <cell r="L431">
            <v>36162.6</v>
          </cell>
        </row>
        <row r="432">
          <cell r="A432">
            <v>109772</v>
          </cell>
          <cell r="B432">
            <v>20540</v>
          </cell>
          <cell r="D432" t="str">
            <v>ASB</v>
          </cell>
          <cell r="E432" t="str">
            <v>B</v>
          </cell>
          <cell r="F432" t="str">
            <v xml:space="preserve">SENIOR TYPIST-CLERK                </v>
          </cell>
          <cell r="G432" t="str">
            <v>2216A</v>
          </cell>
          <cell r="H432">
            <v>3013.55</v>
          </cell>
          <cell r="I432">
            <v>1</v>
          </cell>
          <cell r="J432">
            <v>12</v>
          </cell>
          <cell r="K432">
            <v>1</v>
          </cell>
          <cell r="L432">
            <v>36162.6</v>
          </cell>
        </row>
        <row r="433">
          <cell r="A433">
            <v>104812</v>
          </cell>
          <cell r="B433">
            <v>20588</v>
          </cell>
          <cell r="C433">
            <v>20540</v>
          </cell>
          <cell r="D433" t="str">
            <v>ASB</v>
          </cell>
          <cell r="E433" t="str">
            <v>B</v>
          </cell>
          <cell r="F433" t="str">
            <v xml:space="preserve">STAFF ASSISTANT I                  </v>
          </cell>
          <cell r="G433" t="str">
            <v>0907A</v>
          </cell>
          <cell r="H433">
            <v>3453.18</v>
          </cell>
          <cell r="I433">
            <v>1</v>
          </cell>
          <cell r="J433">
            <v>12</v>
          </cell>
          <cell r="K433">
            <v>1</v>
          </cell>
          <cell r="L433">
            <v>41438.480000000003</v>
          </cell>
        </row>
        <row r="434">
          <cell r="A434">
            <v>104388</v>
          </cell>
          <cell r="B434">
            <v>20540</v>
          </cell>
          <cell r="C434">
            <v>20540</v>
          </cell>
          <cell r="D434" t="str">
            <v>ASB</v>
          </cell>
          <cell r="E434" t="str">
            <v>B</v>
          </cell>
          <cell r="F434" t="str">
            <v>SUPVG ADMINISTRATIVE ASSISTANT I</v>
          </cell>
          <cell r="G434" t="str">
            <v>0896A</v>
          </cell>
          <cell r="H434">
            <v>4832</v>
          </cell>
          <cell r="I434">
            <v>1</v>
          </cell>
          <cell r="J434">
            <v>12</v>
          </cell>
          <cell r="K434">
            <v>1</v>
          </cell>
          <cell r="L434">
            <v>57983.839999999997</v>
          </cell>
        </row>
        <row r="435">
          <cell r="A435">
            <v>102077</v>
          </cell>
          <cell r="B435">
            <v>20540</v>
          </cell>
          <cell r="C435">
            <v>20540</v>
          </cell>
          <cell r="D435" t="str">
            <v>ASB</v>
          </cell>
          <cell r="E435" t="str">
            <v>B</v>
          </cell>
          <cell r="F435" t="str">
            <v xml:space="preserve">SUPVG ADMINISTRATIVE ASSISTANT III </v>
          </cell>
          <cell r="G435" t="str">
            <v>0898A</v>
          </cell>
          <cell r="H435">
            <v>6416.09</v>
          </cell>
          <cell r="I435">
            <v>1</v>
          </cell>
          <cell r="J435">
            <v>12</v>
          </cell>
          <cell r="K435">
            <v>1</v>
          </cell>
          <cell r="L435">
            <v>76993.16</v>
          </cell>
        </row>
        <row r="436">
          <cell r="A436">
            <v>101687</v>
          </cell>
          <cell r="B436">
            <v>20540</v>
          </cell>
          <cell r="C436">
            <v>20540</v>
          </cell>
          <cell r="D436" t="str">
            <v>ASB</v>
          </cell>
          <cell r="E436" t="str">
            <v>B</v>
          </cell>
          <cell r="F436" t="str">
            <v xml:space="preserve">WAREHOUSE WORKER AID               </v>
          </cell>
          <cell r="G436" t="str">
            <v>2329A</v>
          </cell>
          <cell r="H436">
            <v>2801.36</v>
          </cell>
          <cell r="I436">
            <v>1</v>
          </cell>
          <cell r="J436">
            <v>12</v>
          </cell>
          <cell r="K436">
            <v>1</v>
          </cell>
          <cell r="L436">
            <v>33616.32</v>
          </cell>
        </row>
        <row r="437">
          <cell r="A437">
            <v>101688</v>
          </cell>
          <cell r="B437">
            <v>20540</v>
          </cell>
          <cell r="C437">
            <v>20540</v>
          </cell>
          <cell r="D437" t="str">
            <v>ASB</v>
          </cell>
          <cell r="E437" t="str">
            <v>B</v>
          </cell>
          <cell r="F437" t="str">
            <v xml:space="preserve">WAREHOUSE WORKER I                 </v>
          </cell>
          <cell r="G437" t="str">
            <v>2331A</v>
          </cell>
          <cell r="H437">
            <v>2955</v>
          </cell>
          <cell r="I437">
            <v>1</v>
          </cell>
          <cell r="J437">
            <v>12</v>
          </cell>
          <cell r="K437">
            <v>1</v>
          </cell>
          <cell r="L437">
            <v>35460</v>
          </cell>
        </row>
        <row r="438">
          <cell r="A438">
            <v>104386</v>
          </cell>
          <cell r="B438">
            <v>20540</v>
          </cell>
          <cell r="C438">
            <v>20540</v>
          </cell>
          <cell r="D438" t="str">
            <v>ASB</v>
          </cell>
          <cell r="E438" t="str">
            <v>B</v>
          </cell>
          <cell r="F438" t="str">
            <v xml:space="preserve">WAREHOUSE WORKER I                 </v>
          </cell>
          <cell r="G438" t="str">
            <v>2331A</v>
          </cell>
          <cell r="H438">
            <v>2955</v>
          </cell>
          <cell r="I438">
            <v>1</v>
          </cell>
          <cell r="J438">
            <v>12</v>
          </cell>
          <cell r="K438">
            <v>1</v>
          </cell>
          <cell r="L438">
            <v>35460</v>
          </cell>
        </row>
        <row r="439">
          <cell r="A439">
            <v>104828</v>
          </cell>
          <cell r="B439">
            <v>20540</v>
          </cell>
          <cell r="C439">
            <v>20540</v>
          </cell>
          <cell r="D439" t="str">
            <v>ASB</v>
          </cell>
          <cell r="E439" t="str">
            <v>B</v>
          </cell>
          <cell r="F439" t="str">
            <v xml:space="preserve">WAREHOUSE WORKER I                 </v>
          </cell>
          <cell r="G439" t="str">
            <v>2331A</v>
          </cell>
          <cell r="H439">
            <v>2955</v>
          </cell>
          <cell r="I439">
            <v>1</v>
          </cell>
          <cell r="J439">
            <v>12</v>
          </cell>
          <cell r="K439">
            <v>1</v>
          </cell>
          <cell r="L439">
            <v>35460</v>
          </cell>
        </row>
        <row r="440">
          <cell r="A440">
            <v>104829</v>
          </cell>
          <cell r="B440">
            <v>20540</v>
          </cell>
          <cell r="C440">
            <v>20540</v>
          </cell>
          <cell r="D440" t="str">
            <v>ASB</v>
          </cell>
          <cell r="E440" t="str">
            <v>B</v>
          </cell>
          <cell r="F440" t="str">
            <v>WAREHOUSE WORKER II</v>
          </cell>
          <cell r="G440" t="str">
            <v>2332A</v>
          </cell>
          <cell r="H440">
            <v>3289.09</v>
          </cell>
          <cell r="I440">
            <v>1</v>
          </cell>
          <cell r="J440">
            <v>12</v>
          </cell>
          <cell r="K440">
            <v>1</v>
          </cell>
          <cell r="L440">
            <v>39469.08</v>
          </cell>
        </row>
        <row r="441">
          <cell r="A441">
            <v>102635</v>
          </cell>
          <cell r="B441">
            <v>23061</v>
          </cell>
          <cell r="C441">
            <v>23061</v>
          </cell>
          <cell r="D441" t="str">
            <v>ASB</v>
          </cell>
          <cell r="E441" t="str">
            <v>B</v>
          </cell>
          <cell r="F441" t="str">
            <v xml:space="preserve">ADMINISTRATIVE ASSISTANT III       </v>
          </cell>
          <cell r="G441" t="str">
            <v>0889A</v>
          </cell>
          <cell r="H441">
            <v>4832</v>
          </cell>
          <cell r="I441">
            <v>1</v>
          </cell>
          <cell r="J441">
            <v>12</v>
          </cell>
          <cell r="K441">
            <v>1</v>
          </cell>
          <cell r="L441">
            <v>57983.839999999997</v>
          </cell>
        </row>
        <row r="442">
          <cell r="A442">
            <v>104579</v>
          </cell>
          <cell r="B442">
            <v>23061</v>
          </cell>
          <cell r="C442">
            <v>23061</v>
          </cell>
          <cell r="D442" t="str">
            <v>ASB</v>
          </cell>
          <cell r="E442" t="str">
            <v>B</v>
          </cell>
          <cell r="F442" t="str">
            <v xml:space="preserve">ADMINISTRATIVE ASSISTANT III       </v>
          </cell>
          <cell r="G442" t="str">
            <v>0889A</v>
          </cell>
          <cell r="H442">
            <v>4832</v>
          </cell>
          <cell r="I442">
            <v>1</v>
          </cell>
          <cell r="J442">
            <v>12</v>
          </cell>
          <cell r="K442">
            <v>1</v>
          </cell>
          <cell r="L442">
            <v>57983.839999999997</v>
          </cell>
        </row>
        <row r="443">
          <cell r="A443">
            <v>104580</v>
          </cell>
          <cell r="B443">
            <v>23061</v>
          </cell>
          <cell r="C443">
            <v>23061</v>
          </cell>
          <cell r="D443" t="str">
            <v>ASB</v>
          </cell>
          <cell r="E443" t="str">
            <v>B</v>
          </cell>
          <cell r="F443" t="str">
            <v xml:space="preserve">ADMINISTRATIVE ASSISTANT III       </v>
          </cell>
          <cell r="G443" t="str">
            <v>0889A</v>
          </cell>
          <cell r="H443">
            <v>4832</v>
          </cell>
          <cell r="I443">
            <v>1</v>
          </cell>
          <cell r="J443">
            <v>12</v>
          </cell>
          <cell r="K443">
            <v>1</v>
          </cell>
          <cell r="L443">
            <v>57983.839999999997</v>
          </cell>
        </row>
        <row r="444">
          <cell r="A444">
            <v>100084</v>
          </cell>
          <cell r="B444">
            <v>23061</v>
          </cell>
          <cell r="C444">
            <v>23061</v>
          </cell>
          <cell r="D444" t="str">
            <v>ASB</v>
          </cell>
          <cell r="E444" t="str">
            <v>B</v>
          </cell>
          <cell r="F444" t="str">
            <v xml:space="preserve">CHIEF,CONTRACTS &amp; GRANTS,MH        </v>
          </cell>
          <cell r="G444" t="str">
            <v>4717A</v>
          </cell>
          <cell r="H444">
            <v>7873.09</v>
          </cell>
          <cell r="I444">
            <v>1</v>
          </cell>
          <cell r="J444">
            <v>12</v>
          </cell>
          <cell r="K444">
            <v>1</v>
          </cell>
          <cell r="L444">
            <v>94476.84</v>
          </cell>
        </row>
        <row r="445">
          <cell r="A445">
            <v>102637</v>
          </cell>
          <cell r="B445">
            <v>23061</v>
          </cell>
          <cell r="C445">
            <v>23061</v>
          </cell>
          <cell r="D445" t="str">
            <v>ASB</v>
          </cell>
          <cell r="E445" t="str">
            <v>B</v>
          </cell>
          <cell r="F445" t="str">
            <v>INTERMEDIATE TYPIST-CLERK</v>
          </cell>
          <cell r="G445" t="str">
            <v>2214A</v>
          </cell>
          <cell r="H445">
            <v>2675.27</v>
          </cell>
          <cell r="I445">
            <v>1</v>
          </cell>
          <cell r="J445">
            <v>12</v>
          </cell>
          <cell r="K445">
            <v>1</v>
          </cell>
          <cell r="L445">
            <v>32103.16</v>
          </cell>
        </row>
        <row r="446">
          <cell r="A446">
            <v>100523</v>
          </cell>
          <cell r="B446">
            <v>23061</v>
          </cell>
          <cell r="C446">
            <v>23061</v>
          </cell>
          <cell r="D446" t="str">
            <v>ASB</v>
          </cell>
          <cell r="E446" t="str">
            <v>B</v>
          </cell>
          <cell r="F446" t="str">
            <v xml:space="preserve">MENTAL HEALTH ANALYST I            </v>
          </cell>
          <cell r="G446" t="str">
            <v>4727A</v>
          </cell>
          <cell r="H446">
            <v>5602.09</v>
          </cell>
          <cell r="I446">
            <v>1</v>
          </cell>
          <cell r="J446">
            <v>12</v>
          </cell>
          <cell r="K446">
            <v>1</v>
          </cell>
          <cell r="L446">
            <v>67225.16</v>
          </cell>
        </row>
        <row r="447">
          <cell r="A447">
            <v>100526</v>
          </cell>
          <cell r="B447">
            <v>23061</v>
          </cell>
          <cell r="C447">
            <v>23061</v>
          </cell>
          <cell r="D447" t="str">
            <v>ASB</v>
          </cell>
          <cell r="E447" t="str">
            <v>B</v>
          </cell>
          <cell r="F447" t="str">
            <v xml:space="preserve">MENTAL HEALTH ANALYST I            </v>
          </cell>
          <cell r="G447" t="str">
            <v>4727A</v>
          </cell>
          <cell r="H447">
            <v>5602.09</v>
          </cell>
          <cell r="I447">
            <v>1</v>
          </cell>
          <cell r="J447">
            <v>12</v>
          </cell>
          <cell r="K447">
            <v>1</v>
          </cell>
          <cell r="L447">
            <v>67225.16</v>
          </cell>
        </row>
        <row r="448">
          <cell r="A448">
            <v>100527</v>
          </cell>
          <cell r="B448">
            <v>23061</v>
          </cell>
          <cell r="C448">
            <v>23061</v>
          </cell>
          <cell r="D448" t="str">
            <v>ASB</v>
          </cell>
          <cell r="E448" t="str">
            <v>B</v>
          </cell>
          <cell r="F448" t="str">
            <v xml:space="preserve">MENTAL HEALTH ANALYST I            </v>
          </cell>
          <cell r="G448" t="str">
            <v>4727A</v>
          </cell>
          <cell r="H448">
            <v>5602.09</v>
          </cell>
          <cell r="I448">
            <v>1</v>
          </cell>
          <cell r="J448">
            <v>12</v>
          </cell>
          <cell r="K448">
            <v>1</v>
          </cell>
          <cell r="L448">
            <v>67225.16</v>
          </cell>
        </row>
        <row r="449">
          <cell r="A449">
            <v>100528</v>
          </cell>
          <cell r="B449">
            <v>23061</v>
          </cell>
          <cell r="C449">
            <v>23061</v>
          </cell>
          <cell r="D449" t="str">
            <v>ASB</v>
          </cell>
          <cell r="E449" t="str">
            <v>B</v>
          </cell>
          <cell r="F449" t="str">
            <v xml:space="preserve">MENTAL HEALTH ANALYST I            </v>
          </cell>
          <cell r="G449" t="str">
            <v>4727A</v>
          </cell>
          <cell r="H449">
            <v>5602.09</v>
          </cell>
          <cell r="I449">
            <v>1</v>
          </cell>
          <cell r="J449">
            <v>12</v>
          </cell>
          <cell r="K449">
            <v>1</v>
          </cell>
          <cell r="L449">
            <v>67225.16</v>
          </cell>
        </row>
        <row r="450">
          <cell r="A450">
            <v>102631</v>
          </cell>
          <cell r="B450">
            <v>23061</v>
          </cell>
          <cell r="C450">
            <v>23061</v>
          </cell>
          <cell r="D450" t="str">
            <v>ASB</v>
          </cell>
          <cell r="E450" t="str">
            <v>B</v>
          </cell>
          <cell r="F450" t="str">
            <v xml:space="preserve">MENTAL HEALTH ANALYST I            </v>
          </cell>
          <cell r="G450" t="str">
            <v>4727A</v>
          </cell>
          <cell r="H450">
            <v>5602.09</v>
          </cell>
          <cell r="I450">
            <v>1</v>
          </cell>
          <cell r="J450">
            <v>12</v>
          </cell>
          <cell r="K450">
            <v>1</v>
          </cell>
          <cell r="L450">
            <v>67225.16</v>
          </cell>
        </row>
        <row r="451">
          <cell r="A451">
            <v>104099</v>
          </cell>
          <cell r="B451">
            <v>23061</v>
          </cell>
          <cell r="C451">
            <v>23061</v>
          </cell>
          <cell r="D451" t="str">
            <v>ASB</v>
          </cell>
          <cell r="E451" t="str">
            <v>B</v>
          </cell>
          <cell r="F451" t="str">
            <v xml:space="preserve">MENTAL HEALTH ANALYST I            </v>
          </cell>
          <cell r="G451" t="str">
            <v>4727A</v>
          </cell>
          <cell r="H451">
            <v>5602.09</v>
          </cell>
          <cell r="I451">
            <v>1</v>
          </cell>
          <cell r="J451">
            <v>12</v>
          </cell>
          <cell r="K451">
            <v>1</v>
          </cell>
          <cell r="L451">
            <v>67225.16</v>
          </cell>
        </row>
        <row r="452">
          <cell r="A452">
            <v>104100</v>
          </cell>
          <cell r="B452">
            <v>23061</v>
          </cell>
          <cell r="C452">
            <v>23061</v>
          </cell>
          <cell r="D452" t="str">
            <v>ASB</v>
          </cell>
          <cell r="E452" t="str">
            <v>B</v>
          </cell>
          <cell r="F452" t="str">
            <v xml:space="preserve">MENTAL HEALTH ANALYST I            </v>
          </cell>
          <cell r="G452" t="str">
            <v>4727A</v>
          </cell>
          <cell r="H452">
            <v>5602.09</v>
          </cell>
          <cell r="I452">
            <v>1</v>
          </cell>
          <cell r="J452">
            <v>12</v>
          </cell>
          <cell r="K452">
            <v>1</v>
          </cell>
          <cell r="L452">
            <v>67225.16</v>
          </cell>
        </row>
        <row r="453">
          <cell r="A453">
            <v>104477</v>
          </cell>
          <cell r="B453">
            <v>23061</v>
          </cell>
          <cell r="C453">
            <v>23061</v>
          </cell>
          <cell r="D453" t="str">
            <v>ASB</v>
          </cell>
          <cell r="E453" t="str">
            <v>B</v>
          </cell>
          <cell r="F453" t="str">
            <v xml:space="preserve">MENTAL HEALTH ANALYST I            </v>
          </cell>
          <cell r="G453" t="str">
            <v>4727A</v>
          </cell>
          <cell r="H453">
            <v>5602.09</v>
          </cell>
          <cell r="I453">
            <v>1</v>
          </cell>
          <cell r="J453">
            <v>12</v>
          </cell>
          <cell r="K453">
            <v>1</v>
          </cell>
          <cell r="L453">
            <v>67225.16</v>
          </cell>
        </row>
        <row r="454">
          <cell r="A454">
            <v>106062</v>
          </cell>
          <cell r="B454">
            <v>23061</v>
          </cell>
          <cell r="C454">
            <v>23061</v>
          </cell>
          <cell r="D454" t="str">
            <v>ASB</v>
          </cell>
          <cell r="E454" t="str">
            <v>B</v>
          </cell>
          <cell r="F454" t="str">
            <v xml:space="preserve">MENTAL HEALTH ANALYST I            </v>
          </cell>
          <cell r="G454" t="str">
            <v>4727A</v>
          </cell>
          <cell r="H454">
            <v>5602.09</v>
          </cell>
          <cell r="I454">
            <v>1</v>
          </cell>
          <cell r="J454">
            <v>12</v>
          </cell>
          <cell r="K454">
            <v>1</v>
          </cell>
          <cell r="L454">
            <v>67225.16</v>
          </cell>
        </row>
        <row r="455">
          <cell r="A455">
            <v>106063</v>
          </cell>
          <cell r="B455">
            <v>23061</v>
          </cell>
          <cell r="C455">
            <v>23061</v>
          </cell>
          <cell r="D455" t="str">
            <v>ASB</v>
          </cell>
          <cell r="E455" t="str">
            <v>B</v>
          </cell>
          <cell r="F455" t="str">
            <v xml:space="preserve">MENTAL HEALTH ANALYST I            </v>
          </cell>
          <cell r="G455" t="str">
            <v>4727A</v>
          </cell>
          <cell r="H455">
            <v>5602.09</v>
          </cell>
          <cell r="I455">
            <v>1</v>
          </cell>
          <cell r="J455">
            <v>12</v>
          </cell>
          <cell r="K455">
            <v>1</v>
          </cell>
          <cell r="L455">
            <v>67225.16</v>
          </cell>
        </row>
        <row r="456">
          <cell r="A456">
            <v>102104</v>
          </cell>
          <cell r="B456">
            <v>23061</v>
          </cell>
          <cell r="C456">
            <v>23061</v>
          </cell>
          <cell r="D456" t="str">
            <v>ASB</v>
          </cell>
          <cell r="E456" t="str">
            <v>B</v>
          </cell>
          <cell r="F456" t="str">
            <v xml:space="preserve">MENTAL HEALTH ANALYST II           </v>
          </cell>
          <cell r="G456" t="str">
            <v>4729A</v>
          </cell>
          <cell r="H456">
            <v>6244.55</v>
          </cell>
          <cell r="I456">
            <v>1</v>
          </cell>
          <cell r="J456">
            <v>12</v>
          </cell>
          <cell r="K456">
            <v>1</v>
          </cell>
          <cell r="L456">
            <v>74934.36</v>
          </cell>
        </row>
        <row r="457">
          <cell r="A457">
            <v>103490</v>
          </cell>
          <cell r="B457">
            <v>23061</v>
          </cell>
          <cell r="C457">
            <v>23061</v>
          </cell>
          <cell r="D457" t="str">
            <v>ASB</v>
          </cell>
          <cell r="E457" t="str">
            <v>B</v>
          </cell>
          <cell r="F457" t="str">
            <v xml:space="preserve">MENTAL HEALTH ANALYST II           </v>
          </cell>
          <cell r="G457" t="str">
            <v>4729A</v>
          </cell>
          <cell r="H457">
            <v>6244.55</v>
          </cell>
          <cell r="I457">
            <v>1</v>
          </cell>
          <cell r="J457">
            <v>12</v>
          </cell>
          <cell r="K457">
            <v>1</v>
          </cell>
          <cell r="L457">
            <v>74934.36</v>
          </cell>
        </row>
        <row r="458">
          <cell r="A458">
            <v>103491</v>
          </cell>
          <cell r="B458">
            <v>23061</v>
          </cell>
          <cell r="C458">
            <v>23061</v>
          </cell>
          <cell r="D458" t="str">
            <v>ASB</v>
          </cell>
          <cell r="E458" t="str">
            <v>B</v>
          </cell>
          <cell r="F458" t="str">
            <v xml:space="preserve">MENTAL HEALTH ANALYST II           </v>
          </cell>
          <cell r="G458" t="str">
            <v>4729A</v>
          </cell>
          <cell r="H458">
            <v>6244.55</v>
          </cell>
          <cell r="I458">
            <v>1</v>
          </cell>
          <cell r="J458">
            <v>12</v>
          </cell>
          <cell r="K458">
            <v>1</v>
          </cell>
          <cell r="L458">
            <v>74934.36</v>
          </cell>
        </row>
        <row r="459">
          <cell r="A459">
            <v>103645</v>
          </cell>
          <cell r="B459">
            <v>23061</v>
          </cell>
          <cell r="C459">
            <v>23061</v>
          </cell>
          <cell r="D459" t="str">
            <v>ASB</v>
          </cell>
          <cell r="E459" t="str">
            <v>B</v>
          </cell>
          <cell r="F459" t="str">
            <v xml:space="preserve">MENTAL HEALTH ANALYST II           </v>
          </cell>
          <cell r="G459" t="str">
            <v>4729A</v>
          </cell>
          <cell r="H459">
            <v>6244.55</v>
          </cell>
          <cell r="I459">
            <v>1</v>
          </cell>
          <cell r="J459">
            <v>12</v>
          </cell>
          <cell r="K459">
            <v>1</v>
          </cell>
          <cell r="L459">
            <v>74934.36</v>
          </cell>
        </row>
        <row r="460">
          <cell r="A460">
            <v>104101</v>
          </cell>
          <cell r="B460">
            <v>23061</v>
          </cell>
          <cell r="C460">
            <v>23061</v>
          </cell>
          <cell r="D460" t="str">
            <v>ASB</v>
          </cell>
          <cell r="E460" t="str">
            <v>B</v>
          </cell>
          <cell r="F460" t="str">
            <v xml:space="preserve">MENTAL HEALTH ANALYST II           </v>
          </cell>
          <cell r="G460" t="str">
            <v>4729A</v>
          </cell>
          <cell r="H460">
            <v>6244.55</v>
          </cell>
          <cell r="I460">
            <v>1</v>
          </cell>
          <cell r="J460">
            <v>12</v>
          </cell>
          <cell r="K460">
            <v>1</v>
          </cell>
          <cell r="L460">
            <v>74934.36</v>
          </cell>
        </row>
        <row r="461">
          <cell r="A461">
            <v>104363</v>
          </cell>
          <cell r="B461">
            <v>23061</v>
          </cell>
          <cell r="C461">
            <v>23061</v>
          </cell>
          <cell r="D461" t="str">
            <v>ASB</v>
          </cell>
          <cell r="E461" t="str">
            <v>B</v>
          </cell>
          <cell r="F461" t="str">
            <v xml:space="preserve">MENTAL HEALTH ANALYST II           </v>
          </cell>
          <cell r="G461" t="str">
            <v>4729A</v>
          </cell>
          <cell r="H461">
            <v>6244.55</v>
          </cell>
          <cell r="I461">
            <v>1</v>
          </cell>
          <cell r="J461">
            <v>12</v>
          </cell>
          <cell r="K461">
            <v>1</v>
          </cell>
          <cell r="L461">
            <v>74934.36</v>
          </cell>
        </row>
        <row r="462">
          <cell r="A462">
            <v>106625</v>
          </cell>
          <cell r="B462">
            <v>18676</v>
          </cell>
          <cell r="C462">
            <v>23061</v>
          </cell>
          <cell r="D462" t="str">
            <v>ASB</v>
          </cell>
          <cell r="E462" t="str">
            <v>B</v>
          </cell>
          <cell r="F462" t="str">
            <v xml:space="preserve">MENTAL HEALTH ANALYST II           </v>
          </cell>
          <cell r="G462" t="str">
            <v>4729A</v>
          </cell>
          <cell r="H462">
            <v>6244.55</v>
          </cell>
          <cell r="I462">
            <v>1</v>
          </cell>
          <cell r="J462">
            <v>12</v>
          </cell>
          <cell r="K462">
            <v>1</v>
          </cell>
          <cell r="L462">
            <v>74934.36</v>
          </cell>
        </row>
        <row r="463">
          <cell r="A463">
            <v>100539</v>
          </cell>
          <cell r="B463">
            <v>23061</v>
          </cell>
          <cell r="C463">
            <v>23061</v>
          </cell>
          <cell r="D463" t="str">
            <v>ASB</v>
          </cell>
          <cell r="E463" t="str">
            <v>B</v>
          </cell>
          <cell r="F463" t="str">
            <v xml:space="preserve">MENTAL HEALTH ANALYST III          </v>
          </cell>
          <cell r="G463" t="str">
            <v>4731A</v>
          </cell>
          <cell r="H463">
            <v>7329.55</v>
          </cell>
          <cell r="I463">
            <v>1</v>
          </cell>
          <cell r="J463">
            <v>12</v>
          </cell>
          <cell r="K463">
            <v>1</v>
          </cell>
          <cell r="L463">
            <v>87954.76</v>
          </cell>
        </row>
        <row r="464">
          <cell r="A464">
            <v>104838</v>
          </cell>
          <cell r="B464">
            <v>23061</v>
          </cell>
          <cell r="C464">
            <v>23061</v>
          </cell>
          <cell r="D464" t="str">
            <v>ASB</v>
          </cell>
          <cell r="E464" t="str">
            <v>B</v>
          </cell>
          <cell r="F464" t="str">
            <v xml:space="preserve">MENTAL HEALTH ANALYST III          </v>
          </cell>
          <cell r="G464" t="str">
            <v>4731A</v>
          </cell>
          <cell r="H464">
            <v>7329.55</v>
          </cell>
          <cell r="I464">
            <v>1</v>
          </cell>
          <cell r="J464">
            <v>12</v>
          </cell>
          <cell r="K464">
            <v>1</v>
          </cell>
          <cell r="L464">
            <v>87954.76</v>
          </cell>
        </row>
        <row r="465">
          <cell r="A465">
            <v>101902</v>
          </cell>
          <cell r="B465">
            <v>20570</v>
          </cell>
          <cell r="C465">
            <v>23061</v>
          </cell>
          <cell r="D465" t="str">
            <v>ASB</v>
          </cell>
          <cell r="E465" t="str">
            <v>B</v>
          </cell>
          <cell r="F465" t="str">
            <v>MENTAL HEALTH SERVICES COORD I</v>
          </cell>
          <cell r="G465" t="str">
            <v>8148A</v>
          </cell>
          <cell r="H465">
            <v>5126.91</v>
          </cell>
          <cell r="I465">
            <v>1</v>
          </cell>
          <cell r="J465">
            <v>12</v>
          </cell>
          <cell r="K465">
            <v>1</v>
          </cell>
          <cell r="L465">
            <v>61522.92</v>
          </cell>
        </row>
        <row r="466">
          <cell r="A466">
            <v>104029</v>
          </cell>
          <cell r="B466">
            <v>20923</v>
          </cell>
          <cell r="C466">
            <v>23061</v>
          </cell>
          <cell r="D466" t="str">
            <v>ASB</v>
          </cell>
          <cell r="E466" t="str">
            <v>B</v>
          </cell>
          <cell r="F466" t="str">
            <v>REHABILITATION COUNSELOR II</v>
          </cell>
          <cell r="G466" t="str">
            <v>8593A</v>
          </cell>
          <cell r="H466">
            <v>4076.09</v>
          </cell>
          <cell r="I466">
            <v>1</v>
          </cell>
          <cell r="J466">
            <v>12</v>
          </cell>
          <cell r="K466">
            <v>1</v>
          </cell>
          <cell r="L466">
            <v>48922.8</v>
          </cell>
        </row>
        <row r="467">
          <cell r="A467">
            <v>101486</v>
          </cell>
          <cell r="B467">
            <v>23061</v>
          </cell>
          <cell r="C467">
            <v>23061</v>
          </cell>
          <cell r="D467" t="str">
            <v>ASB</v>
          </cell>
          <cell r="E467" t="str">
            <v>B</v>
          </cell>
          <cell r="F467" t="str">
            <v xml:space="preserve">SENIOR SECRETARY III               </v>
          </cell>
          <cell r="G467" t="str">
            <v>2102A</v>
          </cell>
          <cell r="H467">
            <v>4106.3599999999997</v>
          </cell>
          <cell r="I467">
            <v>1</v>
          </cell>
          <cell r="J467">
            <v>12</v>
          </cell>
          <cell r="K467">
            <v>1</v>
          </cell>
          <cell r="L467">
            <v>49276.56</v>
          </cell>
        </row>
        <row r="468">
          <cell r="A468">
            <v>102108</v>
          </cell>
          <cell r="B468">
            <v>23061</v>
          </cell>
          <cell r="C468">
            <v>23061</v>
          </cell>
          <cell r="D468" t="str">
            <v>ASB</v>
          </cell>
          <cell r="E468" t="str">
            <v>B</v>
          </cell>
          <cell r="F468" t="str">
            <v xml:space="preserve">SENIOR TYPIST-CLERK                </v>
          </cell>
          <cell r="G468" t="str">
            <v>2216A</v>
          </cell>
          <cell r="H468">
            <v>3013.55</v>
          </cell>
          <cell r="I468">
            <v>1</v>
          </cell>
          <cell r="J468">
            <v>12</v>
          </cell>
          <cell r="K468">
            <v>1</v>
          </cell>
          <cell r="L468">
            <v>36162.6</v>
          </cell>
        </row>
        <row r="469">
          <cell r="A469">
            <v>102109</v>
          </cell>
          <cell r="B469">
            <v>23061</v>
          </cell>
          <cell r="C469">
            <v>23061</v>
          </cell>
          <cell r="D469" t="str">
            <v>ASB</v>
          </cell>
          <cell r="E469" t="str">
            <v>B</v>
          </cell>
          <cell r="F469" t="str">
            <v xml:space="preserve">SENIOR TYPIST-CLERK                </v>
          </cell>
          <cell r="G469" t="str">
            <v>2216A</v>
          </cell>
          <cell r="H469">
            <v>3013.55</v>
          </cell>
          <cell r="I469">
            <v>1</v>
          </cell>
          <cell r="J469">
            <v>12</v>
          </cell>
          <cell r="K469">
            <v>1</v>
          </cell>
          <cell r="L469">
            <v>36162.6</v>
          </cell>
        </row>
        <row r="470">
          <cell r="A470">
            <v>103620</v>
          </cell>
          <cell r="B470">
            <v>23061</v>
          </cell>
          <cell r="C470">
            <v>23061</v>
          </cell>
          <cell r="D470" t="str">
            <v>ASB</v>
          </cell>
          <cell r="E470" t="str">
            <v>B</v>
          </cell>
          <cell r="F470" t="str">
            <v xml:space="preserve">SENIOR TYPIST-CLERK                </v>
          </cell>
          <cell r="G470" t="str">
            <v>2216A</v>
          </cell>
          <cell r="H470">
            <v>3013.55</v>
          </cell>
          <cell r="I470">
            <v>1</v>
          </cell>
          <cell r="J470">
            <v>12</v>
          </cell>
          <cell r="K470">
            <v>1</v>
          </cell>
          <cell r="L470">
            <v>36162.6</v>
          </cell>
        </row>
        <row r="471">
          <cell r="A471">
            <v>101814</v>
          </cell>
          <cell r="B471">
            <v>23061</v>
          </cell>
          <cell r="C471">
            <v>23061</v>
          </cell>
          <cell r="D471" t="str">
            <v>ASB</v>
          </cell>
          <cell r="E471" t="str">
            <v>B</v>
          </cell>
          <cell r="F471" t="str">
            <v xml:space="preserve">STAFF ASSISTANT I                  </v>
          </cell>
          <cell r="G471" t="str">
            <v>0907A</v>
          </cell>
          <cell r="H471">
            <v>3453.18</v>
          </cell>
          <cell r="I471">
            <v>1</v>
          </cell>
          <cell r="J471">
            <v>12</v>
          </cell>
          <cell r="K471">
            <v>1</v>
          </cell>
          <cell r="L471">
            <v>41438.480000000003</v>
          </cell>
        </row>
        <row r="472">
          <cell r="A472">
            <v>103467</v>
          </cell>
          <cell r="B472">
            <v>18662</v>
          </cell>
          <cell r="C472">
            <v>23061</v>
          </cell>
          <cell r="D472" t="str">
            <v>ASB</v>
          </cell>
          <cell r="E472" t="str">
            <v>B</v>
          </cell>
          <cell r="F472" t="str">
            <v xml:space="preserve">SUPVG PSYCHIATRIC SOCIAL WORKER    </v>
          </cell>
          <cell r="G472" t="str">
            <v>9038A</v>
          </cell>
          <cell r="H472">
            <v>6062.45</v>
          </cell>
          <cell r="I472">
            <v>1</v>
          </cell>
          <cell r="J472">
            <v>12</v>
          </cell>
          <cell r="K472">
            <v>1</v>
          </cell>
          <cell r="L472">
            <v>72749.399999999994</v>
          </cell>
        </row>
        <row r="473">
          <cell r="A473">
            <v>109439</v>
          </cell>
          <cell r="B473">
            <v>18678</v>
          </cell>
          <cell r="C473">
            <v>18678</v>
          </cell>
          <cell r="D473" t="str">
            <v>ASB</v>
          </cell>
          <cell r="E473" t="str">
            <v>B</v>
          </cell>
          <cell r="F473" t="str">
            <v xml:space="preserve">ADMINISTRATIVE ASSISTANT II        </v>
          </cell>
          <cell r="G473" t="str">
            <v>0888A</v>
          </cell>
          <cell r="H473">
            <v>4334.6400000000003</v>
          </cell>
          <cell r="I473">
            <v>1</v>
          </cell>
          <cell r="J473">
            <v>12</v>
          </cell>
          <cell r="K473">
            <v>1</v>
          </cell>
          <cell r="L473">
            <v>52015.68</v>
          </cell>
        </row>
        <row r="474">
          <cell r="A474">
            <v>103116</v>
          </cell>
          <cell r="B474">
            <v>18593</v>
          </cell>
          <cell r="C474">
            <v>18678</v>
          </cell>
          <cell r="D474" t="str">
            <v>ASB</v>
          </cell>
          <cell r="E474" t="str">
            <v>B</v>
          </cell>
          <cell r="F474" t="str">
            <v>ADMINISTRATIVE SERVICES MANAGER III</v>
          </cell>
          <cell r="G474" t="str">
            <v>1004A</v>
          </cell>
          <cell r="H474">
            <v>7913.33</v>
          </cell>
          <cell r="I474">
            <v>1</v>
          </cell>
          <cell r="J474">
            <v>12</v>
          </cell>
          <cell r="K474">
            <v>1</v>
          </cell>
          <cell r="L474">
            <v>94960</v>
          </cell>
        </row>
        <row r="475">
          <cell r="A475">
            <v>106791</v>
          </cell>
          <cell r="B475">
            <v>18678</v>
          </cell>
          <cell r="C475">
            <v>18678</v>
          </cell>
          <cell r="D475" t="str">
            <v>ASB</v>
          </cell>
          <cell r="E475" t="str">
            <v>B</v>
          </cell>
          <cell r="F475" t="str">
            <v>ADMINISTRATIVE SVCS MGR I</v>
          </cell>
          <cell r="G475" t="str">
            <v>1002A</v>
          </cell>
          <cell r="H475">
            <v>5900.27</v>
          </cell>
          <cell r="I475">
            <v>1</v>
          </cell>
          <cell r="J475">
            <v>12</v>
          </cell>
          <cell r="K475">
            <v>1</v>
          </cell>
          <cell r="L475">
            <v>70803</v>
          </cell>
        </row>
        <row r="476">
          <cell r="A476">
            <v>102812</v>
          </cell>
          <cell r="B476">
            <v>18678</v>
          </cell>
          <cell r="C476">
            <v>18678</v>
          </cell>
          <cell r="D476" t="str">
            <v>ASB</v>
          </cell>
          <cell r="E476" t="str">
            <v>B</v>
          </cell>
          <cell r="F476" t="str">
            <v xml:space="preserve">FINANCE MANAGER, MENTAL HEALTH   </v>
          </cell>
          <cell r="G476" t="str">
            <v>4704A</v>
          </cell>
          <cell r="H476">
            <v>9830.75</v>
          </cell>
          <cell r="I476">
            <v>1</v>
          </cell>
          <cell r="J476">
            <v>12</v>
          </cell>
          <cell r="K476">
            <v>1</v>
          </cell>
          <cell r="L476">
            <v>117969</v>
          </cell>
        </row>
        <row r="477">
          <cell r="A477">
            <v>109737</v>
          </cell>
          <cell r="B477">
            <v>18678</v>
          </cell>
          <cell r="C477">
            <v>18678</v>
          </cell>
          <cell r="D477" t="str">
            <v>ASB</v>
          </cell>
          <cell r="E477" t="str">
            <v>B</v>
          </cell>
          <cell r="F477" t="str">
            <v>INTERMEDIATE TYPIST-CLERK</v>
          </cell>
          <cell r="G477" t="str">
            <v>2214A</v>
          </cell>
          <cell r="H477">
            <v>2675.27</v>
          </cell>
          <cell r="I477">
            <v>1</v>
          </cell>
          <cell r="J477">
            <v>12</v>
          </cell>
          <cell r="K477">
            <v>1</v>
          </cell>
          <cell r="L477">
            <v>32103.24</v>
          </cell>
        </row>
        <row r="478">
          <cell r="A478">
            <v>100461</v>
          </cell>
          <cell r="B478">
            <v>18678</v>
          </cell>
          <cell r="C478">
            <v>18678</v>
          </cell>
          <cell r="D478" t="str">
            <v>ASB</v>
          </cell>
          <cell r="E478" t="str">
            <v>B</v>
          </cell>
          <cell r="F478" t="str">
            <v xml:space="preserve">MANAGEMENT SECRETARY III           </v>
          </cell>
          <cell r="G478" t="str">
            <v>2109A</v>
          </cell>
          <cell r="H478">
            <v>4576.7299999999996</v>
          </cell>
          <cell r="I478">
            <v>1</v>
          </cell>
          <cell r="J478">
            <v>12</v>
          </cell>
          <cell r="K478">
            <v>1</v>
          </cell>
          <cell r="L478">
            <v>54920.52</v>
          </cell>
        </row>
        <row r="479">
          <cell r="A479">
            <v>100524</v>
          </cell>
          <cell r="B479">
            <v>23061</v>
          </cell>
          <cell r="C479">
            <v>18678</v>
          </cell>
          <cell r="D479" t="str">
            <v>ASB</v>
          </cell>
          <cell r="E479" t="str">
            <v>B</v>
          </cell>
          <cell r="F479" t="str">
            <v xml:space="preserve">MENTAL HEALTH ANALYST I            </v>
          </cell>
          <cell r="G479" t="str">
            <v>4727A</v>
          </cell>
          <cell r="H479">
            <v>5602.09</v>
          </cell>
          <cell r="I479">
            <v>1</v>
          </cell>
          <cell r="J479">
            <v>12</v>
          </cell>
          <cell r="K479">
            <v>1</v>
          </cell>
          <cell r="L479">
            <v>67225.16</v>
          </cell>
        </row>
        <row r="480">
          <cell r="A480">
            <v>103041</v>
          </cell>
          <cell r="B480">
            <v>18678</v>
          </cell>
          <cell r="C480">
            <v>18678</v>
          </cell>
          <cell r="D480" t="str">
            <v>ASB</v>
          </cell>
          <cell r="E480" t="str">
            <v>B</v>
          </cell>
          <cell r="F480" t="str">
            <v xml:space="preserve">MENTAL HEALTH ANALYST I            </v>
          </cell>
          <cell r="G480" t="str">
            <v>4727A</v>
          </cell>
          <cell r="H480">
            <v>5602.09</v>
          </cell>
          <cell r="I480">
            <v>1</v>
          </cell>
          <cell r="J480">
            <v>12</v>
          </cell>
          <cell r="K480">
            <v>1</v>
          </cell>
          <cell r="L480">
            <v>67225.16</v>
          </cell>
        </row>
        <row r="481">
          <cell r="A481">
            <v>100536</v>
          </cell>
          <cell r="B481">
            <v>20588</v>
          </cell>
          <cell r="C481">
            <v>18678</v>
          </cell>
          <cell r="D481" t="str">
            <v>ASB</v>
          </cell>
          <cell r="E481" t="str">
            <v>B</v>
          </cell>
          <cell r="F481" t="str">
            <v xml:space="preserve">MENTAL HEALTH ANALYST III          </v>
          </cell>
          <cell r="G481" t="str">
            <v>4731A</v>
          </cell>
          <cell r="H481">
            <v>7329.55</v>
          </cell>
          <cell r="I481">
            <v>1</v>
          </cell>
          <cell r="J481">
            <v>12</v>
          </cell>
          <cell r="K481">
            <v>1</v>
          </cell>
          <cell r="L481">
            <v>87954.76</v>
          </cell>
        </row>
        <row r="482">
          <cell r="A482">
            <v>109986</v>
          </cell>
          <cell r="B482">
            <v>27589</v>
          </cell>
          <cell r="C482">
            <v>27589</v>
          </cell>
          <cell r="D482" t="str">
            <v>ASB</v>
          </cell>
          <cell r="E482" t="str">
            <v>B</v>
          </cell>
          <cell r="F482" t="str">
            <v xml:space="preserve">ACCOUNTANT II                      </v>
          </cell>
          <cell r="G482" t="str">
            <v>0647A</v>
          </cell>
          <cell r="H482">
            <v>4046.36</v>
          </cell>
          <cell r="I482">
            <v>1</v>
          </cell>
          <cell r="J482">
            <v>12</v>
          </cell>
          <cell r="K482">
            <v>1</v>
          </cell>
          <cell r="L482">
            <v>48556.32</v>
          </cell>
        </row>
        <row r="483">
          <cell r="A483">
            <v>109987</v>
          </cell>
          <cell r="B483">
            <v>27589</v>
          </cell>
          <cell r="C483">
            <v>27589</v>
          </cell>
          <cell r="D483" t="str">
            <v>ASB</v>
          </cell>
          <cell r="E483" t="str">
            <v>B</v>
          </cell>
          <cell r="F483" t="str">
            <v xml:space="preserve">ACCOUNTANT II                      </v>
          </cell>
          <cell r="G483" t="str">
            <v>0647A</v>
          </cell>
          <cell r="H483">
            <v>4046.36</v>
          </cell>
          <cell r="I483">
            <v>1</v>
          </cell>
          <cell r="J483">
            <v>12</v>
          </cell>
          <cell r="K483">
            <v>1</v>
          </cell>
          <cell r="L483">
            <v>48556.32</v>
          </cell>
        </row>
        <row r="484">
          <cell r="A484">
            <v>109994</v>
          </cell>
          <cell r="B484">
            <v>27589</v>
          </cell>
          <cell r="C484">
            <v>27589</v>
          </cell>
          <cell r="D484" t="str">
            <v>ASB</v>
          </cell>
          <cell r="E484" t="str">
            <v>B</v>
          </cell>
          <cell r="F484" t="str">
            <v xml:space="preserve">ACCOUNTANT II                      </v>
          </cell>
          <cell r="G484" t="str">
            <v>0647A</v>
          </cell>
          <cell r="H484">
            <v>4046.36</v>
          </cell>
          <cell r="I484">
            <v>1</v>
          </cell>
          <cell r="J484">
            <v>12</v>
          </cell>
          <cell r="K484">
            <v>1</v>
          </cell>
          <cell r="L484">
            <v>48556.32</v>
          </cell>
        </row>
        <row r="485">
          <cell r="A485">
            <v>109995</v>
          </cell>
          <cell r="B485">
            <v>27589</v>
          </cell>
          <cell r="C485">
            <v>27589</v>
          </cell>
          <cell r="D485" t="str">
            <v>ASB</v>
          </cell>
          <cell r="E485" t="str">
            <v>B</v>
          </cell>
          <cell r="F485" t="str">
            <v xml:space="preserve">ACCOUNTANT II                      </v>
          </cell>
          <cell r="G485" t="str">
            <v>0647A</v>
          </cell>
          <cell r="H485">
            <v>4046.36</v>
          </cell>
          <cell r="I485">
            <v>1</v>
          </cell>
          <cell r="J485">
            <v>12</v>
          </cell>
          <cell r="K485">
            <v>1</v>
          </cell>
          <cell r="L485">
            <v>48556.32</v>
          </cell>
        </row>
        <row r="486">
          <cell r="A486">
            <v>109983</v>
          </cell>
          <cell r="B486">
            <v>27589</v>
          </cell>
          <cell r="C486">
            <v>27589</v>
          </cell>
          <cell r="D486" t="str">
            <v>ASB</v>
          </cell>
          <cell r="E486" t="str">
            <v>B</v>
          </cell>
          <cell r="F486" t="str">
            <v xml:space="preserve">ACCOUNTANT III                     </v>
          </cell>
          <cell r="G486" t="str">
            <v>0648A</v>
          </cell>
          <cell r="H486">
            <v>4531.82</v>
          </cell>
          <cell r="I486">
            <v>1</v>
          </cell>
          <cell r="J486">
            <v>12</v>
          </cell>
          <cell r="K486">
            <v>1</v>
          </cell>
          <cell r="L486">
            <v>54381.84</v>
          </cell>
        </row>
        <row r="487">
          <cell r="A487">
            <v>109985</v>
          </cell>
          <cell r="B487">
            <v>27589</v>
          </cell>
          <cell r="C487">
            <v>27589</v>
          </cell>
          <cell r="D487" t="str">
            <v>ASB</v>
          </cell>
          <cell r="E487" t="str">
            <v>B</v>
          </cell>
          <cell r="F487" t="str">
            <v xml:space="preserve">ACCOUNTANT III                     </v>
          </cell>
          <cell r="G487" t="str">
            <v>0648A</v>
          </cell>
          <cell r="H487">
            <v>4531.82</v>
          </cell>
          <cell r="I487">
            <v>1</v>
          </cell>
          <cell r="J487">
            <v>12</v>
          </cell>
          <cell r="K487">
            <v>1</v>
          </cell>
          <cell r="L487">
            <v>54381.84</v>
          </cell>
        </row>
        <row r="488">
          <cell r="A488">
            <v>103042</v>
          </cell>
          <cell r="B488">
            <v>20569</v>
          </cell>
          <cell r="C488">
            <v>27589</v>
          </cell>
          <cell r="D488" t="str">
            <v>ASB</v>
          </cell>
          <cell r="E488" t="str">
            <v>B</v>
          </cell>
          <cell r="F488" t="str">
            <v xml:space="preserve">ACCOUNTING SYSTEMS TECHNICIAN      </v>
          </cell>
          <cell r="G488" t="str">
            <v>0665A</v>
          </cell>
          <cell r="H488">
            <v>4565.3599999999997</v>
          </cell>
          <cell r="I488">
            <v>1</v>
          </cell>
          <cell r="J488">
            <v>12</v>
          </cell>
          <cell r="K488">
            <v>1</v>
          </cell>
          <cell r="L488">
            <v>54784.160000000003</v>
          </cell>
        </row>
        <row r="489">
          <cell r="A489">
            <v>110005</v>
          </cell>
          <cell r="B489">
            <v>27589</v>
          </cell>
          <cell r="C489">
            <v>27589</v>
          </cell>
          <cell r="D489" t="str">
            <v>ASB</v>
          </cell>
          <cell r="E489" t="str">
            <v>B</v>
          </cell>
          <cell r="F489" t="str">
            <v xml:space="preserve">ACCOUNTING SYSTEMS TECHNICIAN      </v>
          </cell>
          <cell r="G489" t="str">
            <v>0665A</v>
          </cell>
          <cell r="H489">
            <v>4565.3599999999997</v>
          </cell>
          <cell r="I489">
            <v>1</v>
          </cell>
          <cell r="J489">
            <v>12</v>
          </cell>
          <cell r="K489">
            <v>1</v>
          </cell>
          <cell r="L489">
            <v>54784.32</v>
          </cell>
        </row>
        <row r="490">
          <cell r="A490">
            <v>110006</v>
          </cell>
          <cell r="B490">
            <v>27589</v>
          </cell>
          <cell r="C490">
            <v>27589</v>
          </cell>
          <cell r="D490" t="str">
            <v>ASB</v>
          </cell>
          <cell r="E490" t="str">
            <v>B</v>
          </cell>
          <cell r="F490" t="str">
            <v xml:space="preserve">ACCOUNTING SYSTEMS TECHNICIAN      </v>
          </cell>
          <cell r="G490" t="str">
            <v>0665A</v>
          </cell>
          <cell r="H490">
            <v>4565.3599999999997</v>
          </cell>
          <cell r="I490">
            <v>1</v>
          </cell>
          <cell r="J490">
            <v>12</v>
          </cell>
          <cell r="K490">
            <v>1</v>
          </cell>
          <cell r="L490">
            <v>54784.32</v>
          </cell>
        </row>
        <row r="491">
          <cell r="A491">
            <v>109997</v>
          </cell>
          <cell r="B491">
            <v>27589</v>
          </cell>
          <cell r="C491">
            <v>27589</v>
          </cell>
          <cell r="D491" t="str">
            <v>ASB</v>
          </cell>
          <cell r="E491" t="str">
            <v>B</v>
          </cell>
          <cell r="F491" t="str">
            <v>COMMUNITY WORKER</v>
          </cell>
          <cell r="G491" t="str">
            <v>8103A</v>
          </cell>
          <cell r="H491">
            <v>2984.09</v>
          </cell>
          <cell r="I491">
            <v>1</v>
          </cell>
          <cell r="J491">
            <v>12</v>
          </cell>
          <cell r="K491">
            <v>1</v>
          </cell>
          <cell r="L491">
            <v>35809.08</v>
          </cell>
        </row>
        <row r="492">
          <cell r="A492">
            <v>109998</v>
          </cell>
          <cell r="B492">
            <v>27589</v>
          </cell>
          <cell r="C492">
            <v>27589</v>
          </cell>
          <cell r="D492" t="str">
            <v>ASB</v>
          </cell>
          <cell r="E492" t="str">
            <v>B</v>
          </cell>
          <cell r="F492" t="str">
            <v>COMMUNITY WORKER</v>
          </cell>
          <cell r="G492" t="str">
            <v>8103A</v>
          </cell>
          <cell r="H492">
            <v>2984.09</v>
          </cell>
          <cell r="I492">
            <v>1</v>
          </cell>
          <cell r="J492">
            <v>12</v>
          </cell>
          <cell r="K492">
            <v>1</v>
          </cell>
          <cell r="L492">
            <v>35809.08</v>
          </cell>
        </row>
        <row r="493">
          <cell r="A493">
            <v>102061</v>
          </cell>
          <cell r="B493">
            <v>20566</v>
          </cell>
          <cell r="C493">
            <v>27589</v>
          </cell>
          <cell r="D493" t="str">
            <v>ASB</v>
          </cell>
          <cell r="E493" t="str">
            <v>B</v>
          </cell>
          <cell r="F493" t="str">
            <v xml:space="preserve">FISCAL OFFICER I                   </v>
          </cell>
          <cell r="G493" t="str">
            <v>0752A</v>
          </cell>
          <cell r="H493">
            <v>6543.73</v>
          </cell>
          <cell r="I493">
            <v>1</v>
          </cell>
          <cell r="J493">
            <v>12</v>
          </cell>
          <cell r="K493">
            <v>1</v>
          </cell>
          <cell r="L493">
            <v>78525.08</v>
          </cell>
        </row>
        <row r="494">
          <cell r="A494">
            <v>109984</v>
          </cell>
          <cell r="B494">
            <v>27589</v>
          </cell>
          <cell r="C494">
            <v>27589</v>
          </cell>
          <cell r="D494" t="str">
            <v>ASB</v>
          </cell>
          <cell r="E494" t="str">
            <v>B</v>
          </cell>
          <cell r="F494" t="str">
            <v xml:space="preserve">FISCAL OFFICER I                   </v>
          </cell>
          <cell r="G494" t="str">
            <v>0752A</v>
          </cell>
          <cell r="H494">
            <v>6543.73</v>
          </cell>
          <cell r="I494">
            <v>1</v>
          </cell>
          <cell r="J494">
            <v>12</v>
          </cell>
          <cell r="K494">
            <v>1</v>
          </cell>
          <cell r="L494">
            <v>78524.759999999995</v>
          </cell>
        </row>
        <row r="495">
          <cell r="A495">
            <v>109981</v>
          </cell>
          <cell r="B495">
            <v>27589</v>
          </cell>
          <cell r="C495">
            <v>27589</v>
          </cell>
          <cell r="D495" t="str">
            <v>ASB</v>
          </cell>
          <cell r="E495" t="str">
            <v>B</v>
          </cell>
          <cell r="F495" t="str">
            <v xml:space="preserve">FISCAL OFFICER II              </v>
          </cell>
          <cell r="G495" t="str">
            <v>0753A</v>
          </cell>
          <cell r="H495">
            <v>7913.33</v>
          </cell>
          <cell r="I495">
            <v>1</v>
          </cell>
          <cell r="J495">
            <v>12</v>
          </cell>
          <cell r="K495">
            <v>1</v>
          </cell>
          <cell r="L495">
            <v>94959.96</v>
          </cell>
        </row>
        <row r="496">
          <cell r="A496">
            <v>109999</v>
          </cell>
          <cell r="B496">
            <v>27589</v>
          </cell>
          <cell r="C496">
            <v>27589</v>
          </cell>
          <cell r="D496" t="str">
            <v>ASB</v>
          </cell>
          <cell r="E496" t="str">
            <v>B</v>
          </cell>
          <cell r="F496" t="str">
            <v>HEALTH CARE FINANCIAL ANALYST</v>
          </cell>
          <cell r="G496" t="str">
            <v>0672A</v>
          </cell>
          <cell r="H496">
            <v>5038.91</v>
          </cell>
          <cell r="I496">
            <v>1</v>
          </cell>
          <cell r="J496">
            <v>12</v>
          </cell>
          <cell r="K496">
            <v>1</v>
          </cell>
          <cell r="L496">
            <v>60466.92</v>
          </cell>
        </row>
        <row r="497">
          <cell r="A497">
            <v>110000</v>
          </cell>
          <cell r="B497">
            <v>27589</v>
          </cell>
          <cell r="C497">
            <v>27589</v>
          </cell>
          <cell r="D497" t="str">
            <v>ASB</v>
          </cell>
          <cell r="E497" t="str">
            <v>B</v>
          </cell>
          <cell r="F497" t="str">
            <v>HEALTH CARE FINANCIAL ANALYST</v>
          </cell>
          <cell r="G497" t="str">
            <v>0672A</v>
          </cell>
          <cell r="H497">
            <v>5038.91</v>
          </cell>
          <cell r="I497">
            <v>1</v>
          </cell>
          <cell r="J497">
            <v>12</v>
          </cell>
          <cell r="K497">
            <v>1</v>
          </cell>
          <cell r="L497">
            <v>60466.92</v>
          </cell>
        </row>
        <row r="498">
          <cell r="A498">
            <v>110001</v>
          </cell>
          <cell r="B498">
            <v>27589</v>
          </cell>
          <cell r="C498">
            <v>27589</v>
          </cell>
          <cell r="D498" t="str">
            <v>ASB</v>
          </cell>
          <cell r="E498" t="str">
            <v>B</v>
          </cell>
          <cell r="F498" t="str">
            <v>HEALTH CARE FINANCIAL ANALYST</v>
          </cell>
          <cell r="G498" t="str">
            <v>0672A</v>
          </cell>
          <cell r="H498">
            <v>5038.91</v>
          </cell>
          <cell r="I498">
            <v>1</v>
          </cell>
          <cell r="J498">
            <v>12</v>
          </cell>
          <cell r="K498">
            <v>1</v>
          </cell>
          <cell r="L498">
            <v>60466.92</v>
          </cell>
        </row>
        <row r="499">
          <cell r="A499">
            <v>110002</v>
          </cell>
          <cell r="B499">
            <v>27589</v>
          </cell>
          <cell r="C499">
            <v>27589</v>
          </cell>
          <cell r="D499" t="str">
            <v>ASB</v>
          </cell>
          <cell r="E499" t="str">
            <v>B</v>
          </cell>
          <cell r="F499" t="str">
            <v>HEALTH CARE FINANCIAL ANALYST</v>
          </cell>
          <cell r="G499" t="str">
            <v>0672A</v>
          </cell>
          <cell r="H499">
            <v>5038.91</v>
          </cell>
          <cell r="I499">
            <v>1</v>
          </cell>
          <cell r="J499">
            <v>12</v>
          </cell>
          <cell r="K499">
            <v>1</v>
          </cell>
          <cell r="L499">
            <v>60466.92</v>
          </cell>
        </row>
        <row r="500">
          <cell r="A500">
            <v>110003</v>
          </cell>
          <cell r="B500">
            <v>27589</v>
          </cell>
          <cell r="C500">
            <v>27589</v>
          </cell>
          <cell r="D500" t="str">
            <v>ASB</v>
          </cell>
          <cell r="E500" t="str">
            <v>B</v>
          </cell>
          <cell r="F500" t="str">
            <v>HEALTH CARE FINANCIAL ANALYST</v>
          </cell>
          <cell r="G500" t="str">
            <v>0672A</v>
          </cell>
          <cell r="H500">
            <v>5038.91</v>
          </cell>
          <cell r="I500">
            <v>1</v>
          </cell>
          <cell r="J500">
            <v>12</v>
          </cell>
          <cell r="K500">
            <v>1</v>
          </cell>
          <cell r="L500">
            <v>60466.92</v>
          </cell>
        </row>
        <row r="501">
          <cell r="A501">
            <v>110004</v>
          </cell>
          <cell r="B501">
            <v>27589</v>
          </cell>
          <cell r="C501">
            <v>27589</v>
          </cell>
          <cell r="D501" t="str">
            <v>ASB</v>
          </cell>
          <cell r="E501" t="str">
            <v>B</v>
          </cell>
          <cell r="F501" t="str">
            <v>HEALTH CARE FINANCIAL ANALYST</v>
          </cell>
          <cell r="G501" t="str">
            <v>0672A</v>
          </cell>
          <cell r="H501">
            <v>5038.91</v>
          </cell>
          <cell r="I501">
            <v>1</v>
          </cell>
          <cell r="J501">
            <v>12</v>
          </cell>
          <cell r="K501">
            <v>1</v>
          </cell>
          <cell r="L501">
            <v>60466.92</v>
          </cell>
        </row>
        <row r="502">
          <cell r="A502">
            <v>109738</v>
          </cell>
          <cell r="B502">
            <v>18678</v>
          </cell>
          <cell r="C502">
            <v>27589</v>
          </cell>
          <cell r="D502" t="str">
            <v>ASB</v>
          </cell>
          <cell r="E502" t="str">
            <v>B</v>
          </cell>
          <cell r="F502" t="str">
            <v>INTERMEDIATE TYPIST-CLERK</v>
          </cell>
          <cell r="G502" t="str">
            <v>2214A</v>
          </cell>
          <cell r="H502">
            <v>2675.27</v>
          </cell>
          <cell r="I502">
            <v>1</v>
          </cell>
          <cell r="J502">
            <v>12</v>
          </cell>
          <cell r="K502">
            <v>1</v>
          </cell>
          <cell r="L502">
            <v>32103.24</v>
          </cell>
        </row>
        <row r="503">
          <cell r="A503">
            <v>109739</v>
          </cell>
          <cell r="B503">
            <v>18678</v>
          </cell>
          <cell r="C503">
            <v>27589</v>
          </cell>
          <cell r="D503" t="str">
            <v>ASB</v>
          </cell>
          <cell r="E503" t="str">
            <v>B</v>
          </cell>
          <cell r="F503" t="str">
            <v>INTERMEDIATE TYPIST-CLERK</v>
          </cell>
          <cell r="G503" t="str">
            <v>2214A</v>
          </cell>
          <cell r="H503">
            <v>2675.27</v>
          </cell>
          <cell r="I503">
            <v>1</v>
          </cell>
          <cell r="J503">
            <v>12</v>
          </cell>
          <cell r="K503">
            <v>1</v>
          </cell>
          <cell r="L503">
            <v>32103.24</v>
          </cell>
        </row>
        <row r="504">
          <cell r="A504">
            <v>109740</v>
          </cell>
          <cell r="B504">
            <v>18678</v>
          </cell>
          <cell r="C504">
            <v>27589</v>
          </cell>
          <cell r="D504" t="str">
            <v>ASB</v>
          </cell>
          <cell r="E504" t="str">
            <v>B</v>
          </cell>
          <cell r="F504" t="str">
            <v>INTERMEDIATE TYPIST-CLERK</v>
          </cell>
          <cell r="G504" t="str">
            <v>2214A</v>
          </cell>
          <cell r="H504">
            <v>2675.27</v>
          </cell>
          <cell r="I504">
            <v>1</v>
          </cell>
          <cell r="J504">
            <v>12</v>
          </cell>
          <cell r="K504">
            <v>1</v>
          </cell>
          <cell r="L504">
            <v>32103.24</v>
          </cell>
        </row>
        <row r="505">
          <cell r="A505">
            <v>109741</v>
          </cell>
          <cell r="B505">
            <v>18678</v>
          </cell>
          <cell r="C505">
            <v>27589</v>
          </cell>
          <cell r="D505" t="str">
            <v>ASB</v>
          </cell>
          <cell r="E505" t="str">
            <v>B</v>
          </cell>
          <cell r="F505" t="str">
            <v>INTERMEDIATE TYPIST-CLERK</v>
          </cell>
          <cell r="G505" t="str">
            <v>2214A</v>
          </cell>
          <cell r="H505">
            <v>2675.27</v>
          </cell>
          <cell r="I505">
            <v>1</v>
          </cell>
          <cell r="J505">
            <v>12</v>
          </cell>
          <cell r="K505">
            <v>1</v>
          </cell>
          <cell r="L505">
            <v>32103.24</v>
          </cell>
        </row>
        <row r="506">
          <cell r="A506">
            <v>109742</v>
          </cell>
          <cell r="B506">
            <v>18678</v>
          </cell>
          <cell r="C506">
            <v>27589</v>
          </cell>
          <cell r="D506" t="str">
            <v>ASB</v>
          </cell>
          <cell r="E506" t="str">
            <v>B</v>
          </cell>
          <cell r="F506" t="str">
            <v>INTERMEDIATE TYPIST-CLERK</v>
          </cell>
          <cell r="G506" t="str">
            <v>2214A</v>
          </cell>
          <cell r="H506">
            <v>2675.27</v>
          </cell>
          <cell r="I506">
            <v>1</v>
          </cell>
          <cell r="J506">
            <v>12</v>
          </cell>
          <cell r="K506">
            <v>1</v>
          </cell>
          <cell r="L506">
            <v>32103.24</v>
          </cell>
        </row>
        <row r="507">
          <cell r="A507">
            <v>109743</v>
          </cell>
          <cell r="B507">
            <v>18678</v>
          </cell>
          <cell r="C507">
            <v>27589</v>
          </cell>
          <cell r="D507" t="str">
            <v>ASB</v>
          </cell>
          <cell r="E507" t="str">
            <v>B</v>
          </cell>
          <cell r="F507" t="str">
            <v>INTERMEDIATE TYPIST-CLERK</v>
          </cell>
          <cell r="G507" t="str">
            <v>2214A</v>
          </cell>
          <cell r="H507">
            <v>2675.27</v>
          </cell>
          <cell r="I507">
            <v>1</v>
          </cell>
          <cell r="J507">
            <v>12</v>
          </cell>
          <cell r="K507">
            <v>1</v>
          </cell>
          <cell r="L507">
            <v>32103.24</v>
          </cell>
        </row>
        <row r="508">
          <cell r="A508">
            <v>109744</v>
          </cell>
          <cell r="B508">
            <v>18678</v>
          </cell>
          <cell r="C508">
            <v>27589</v>
          </cell>
          <cell r="D508" t="str">
            <v>ASB</v>
          </cell>
          <cell r="E508" t="str">
            <v>B</v>
          </cell>
          <cell r="F508" t="str">
            <v>INTERMEDIATE TYPIST-CLERK</v>
          </cell>
          <cell r="G508" t="str">
            <v>2214A</v>
          </cell>
          <cell r="H508">
            <v>2675.27</v>
          </cell>
          <cell r="I508">
            <v>1</v>
          </cell>
          <cell r="J508">
            <v>12</v>
          </cell>
          <cell r="K508">
            <v>1</v>
          </cell>
          <cell r="L508">
            <v>32103.24</v>
          </cell>
        </row>
        <row r="509">
          <cell r="A509">
            <v>109745</v>
          </cell>
          <cell r="B509">
            <v>18678</v>
          </cell>
          <cell r="C509">
            <v>27589</v>
          </cell>
          <cell r="D509" t="str">
            <v>ASB</v>
          </cell>
          <cell r="E509" t="str">
            <v>B</v>
          </cell>
          <cell r="F509" t="str">
            <v>INTERMEDIATE TYPIST-CLERK</v>
          </cell>
          <cell r="G509" t="str">
            <v>2214A</v>
          </cell>
          <cell r="H509">
            <v>2675.27</v>
          </cell>
          <cell r="I509">
            <v>1</v>
          </cell>
          <cell r="J509">
            <v>12</v>
          </cell>
          <cell r="K509">
            <v>1</v>
          </cell>
          <cell r="L509">
            <v>32103.24</v>
          </cell>
        </row>
        <row r="510">
          <cell r="A510">
            <v>109746</v>
          </cell>
          <cell r="B510">
            <v>18678</v>
          </cell>
          <cell r="C510">
            <v>27589</v>
          </cell>
          <cell r="D510" t="str">
            <v>ASB</v>
          </cell>
          <cell r="E510" t="str">
            <v>B</v>
          </cell>
          <cell r="F510" t="str">
            <v>INTERMEDIATE TYPIST-CLERK</v>
          </cell>
          <cell r="G510" t="str">
            <v>2214A</v>
          </cell>
          <cell r="H510">
            <v>2675.27</v>
          </cell>
          <cell r="I510">
            <v>1</v>
          </cell>
          <cell r="J510">
            <v>12</v>
          </cell>
          <cell r="K510">
            <v>1</v>
          </cell>
          <cell r="L510">
            <v>32103.24</v>
          </cell>
        </row>
        <row r="511">
          <cell r="A511">
            <v>109988</v>
          </cell>
          <cell r="B511">
            <v>27589</v>
          </cell>
          <cell r="C511">
            <v>27589</v>
          </cell>
          <cell r="D511" t="str">
            <v>ASB</v>
          </cell>
          <cell r="E511" t="str">
            <v>B</v>
          </cell>
          <cell r="F511" t="str">
            <v>INTERMEDIATE TYPIST-CLERK</v>
          </cell>
          <cell r="G511" t="str">
            <v>2214A</v>
          </cell>
          <cell r="H511">
            <v>2675.27</v>
          </cell>
          <cell r="I511">
            <v>1</v>
          </cell>
          <cell r="J511">
            <v>12</v>
          </cell>
          <cell r="K511">
            <v>1</v>
          </cell>
          <cell r="L511">
            <v>32103.24</v>
          </cell>
        </row>
        <row r="512">
          <cell r="A512">
            <v>109989</v>
          </cell>
          <cell r="B512">
            <v>27589</v>
          </cell>
          <cell r="C512">
            <v>27589</v>
          </cell>
          <cell r="D512" t="str">
            <v>ASB</v>
          </cell>
          <cell r="E512" t="str">
            <v>B</v>
          </cell>
          <cell r="F512" t="str">
            <v>INTERMEDIATE TYPIST-CLERK</v>
          </cell>
          <cell r="G512" t="str">
            <v>2214A</v>
          </cell>
          <cell r="H512">
            <v>2675.27</v>
          </cell>
          <cell r="I512">
            <v>1</v>
          </cell>
          <cell r="J512">
            <v>12</v>
          </cell>
          <cell r="K512">
            <v>1</v>
          </cell>
          <cell r="L512">
            <v>32103.24</v>
          </cell>
        </row>
        <row r="513">
          <cell r="A513">
            <v>109990</v>
          </cell>
          <cell r="B513">
            <v>27589</v>
          </cell>
          <cell r="C513">
            <v>27589</v>
          </cell>
          <cell r="D513" t="str">
            <v>ASB</v>
          </cell>
          <cell r="E513" t="str">
            <v>B</v>
          </cell>
          <cell r="F513" t="str">
            <v>INTERMEDIATE TYPIST-CLERK</v>
          </cell>
          <cell r="G513" t="str">
            <v>2214A</v>
          </cell>
          <cell r="H513">
            <v>2675.27</v>
          </cell>
          <cell r="I513">
            <v>1</v>
          </cell>
          <cell r="J513">
            <v>12</v>
          </cell>
          <cell r="K513">
            <v>1</v>
          </cell>
          <cell r="L513">
            <v>32103.24</v>
          </cell>
        </row>
        <row r="514">
          <cell r="A514">
            <v>109991</v>
          </cell>
          <cell r="B514">
            <v>27589</v>
          </cell>
          <cell r="C514">
            <v>27589</v>
          </cell>
          <cell r="D514" t="str">
            <v>ASB</v>
          </cell>
          <cell r="E514" t="str">
            <v>B</v>
          </cell>
          <cell r="F514" t="str">
            <v>INTERMEDIATE TYPIST-CLERK</v>
          </cell>
          <cell r="G514" t="str">
            <v>2214A</v>
          </cell>
          <cell r="H514">
            <v>2675.27</v>
          </cell>
          <cell r="I514">
            <v>1</v>
          </cell>
          <cell r="J514">
            <v>12</v>
          </cell>
          <cell r="K514">
            <v>1</v>
          </cell>
          <cell r="L514">
            <v>32103.24</v>
          </cell>
        </row>
        <row r="515">
          <cell r="A515">
            <v>109992</v>
          </cell>
          <cell r="B515">
            <v>27589</v>
          </cell>
          <cell r="C515">
            <v>27589</v>
          </cell>
          <cell r="D515" t="str">
            <v>ASB</v>
          </cell>
          <cell r="E515" t="str">
            <v>B</v>
          </cell>
          <cell r="F515" t="str">
            <v>INTERMEDIATE TYPIST-CLERK</v>
          </cell>
          <cell r="G515" t="str">
            <v>2214A</v>
          </cell>
          <cell r="H515">
            <v>2675.27</v>
          </cell>
          <cell r="I515">
            <v>1</v>
          </cell>
          <cell r="J515">
            <v>12</v>
          </cell>
          <cell r="K515">
            <v>1</v>
          </cell>
          <cell r="L515">
            <v>32103.24</v>
          </cell>
        </row>
        <row r="516">
          <cell r="A516">
            <v>109993</v>
          </cell>
          <cell r="B516">
            <v>27589</v>
          </cell>
          <cell r="C516">
            <v>27589</v>
          </cell>
          <cell r="D516" t="str">
            <v>ASB</v>
          </cell>
          <cell r="E516" t="str">
            <v>B</v>
          </cell>
          <cell r="F516" t="str">
            <v>INTERMEDIATE TYPIST-CLERK</v>
          </cell>
          <cell r="G516" t="str">
            <v>2214A</v>
          </cell>
          <cell r="H516">
            <v>2675.27</v>
          </cell>
          <cell r="I516">
            <v>1</v>
          </cell>
          <cell r="J516">
            <v>12</v>
          </cell>
          <cell r="K516">
            <v>1</v>
          </cell>
          <cell r="L516">
            <v>32103.24</v>
          </cell>
        </row>
        <row r="517">
          <cell r="A517">
            <v>102103</v>
          </cell>
          <cell r="B517">
            <v>23061</v>
          </cell>
          <cell r="C517">
            <v>27589</v>
          </cell>
          <cell r="D517" t="str">
            <v>ASB</v>
          </cell>
          <cell r="E517" t="str">
            <v>B</v>
          </cell>
          <cell r="F517" t="str">
            <v xml:space="preserve">MENTAL HEALTH ANALYST II           </v>
          </cell>
          <cell r="G517" t="str">
            <v>4729A</v>
          </cell>
          <cell r="H517">
            <v>6244.55</v>
          </cell>
          <cell r="I517">
            <v>1</v>
          </cell>
          <cell r="J517">
            <v>12</v>
          </cell>
          <cell r="K517">
            <v>1</v>
          </cell>
          <cell r="L517">
            <v>74934.36</v>
          </cell>
        </row>
        <row r="518">
          <cell r="A518">
            <v>110010</v>
          </cell>
          <cell r="B518">
            <v>27589</v>
          </cell>
          <cell r="D518" t="str">
            <v>ASB</v>
          </cell>
          <cell r="E518" t="str">
            <v>B</v>
          </cell>
          <cell r="F518" t="str">
            <v>PATIENT RESOURCES WORKER</v>
          </cell>
          <cell r="G518" t="str">
            <v>9192A</v>
          </cell>
          <cell r="H518">
            <v>2748.27</v>
          </cell>
          <cell r="I518">
            <v>1</v>
          </cell>
          <cell r="J518">
            <v>12</v>
          </cell>
          <cell r="K518">
            <v>1</v>
          </cell>
          <cell r="L518">
            <v>32979.24</v>
          </cell>
        </row>
        <row r="519">
          <cell r="A519">
            <v>110011</v>
          </cell>
          <cell r="B519">
            <v>27589</v>
          </cell>
          <cell r="D519" t="str">
            <v>ASB</v>
          </cell>
          <cell r="E519" t="str">
            <v>B</v>
          </cell>
          <cell r="F519" t="str">
            <v>PATIENT RESOURCES WORKER</v>
          </cell>
          <cell r="G519" t="str">
            <v>9192A</v>
          </cell>
          <cell r="H519">
            <v>2748.27</v>
          </cell>
          <cell r="I519">
            <v>1</v>
          </cell>
          <cell r="J519">
            <v>12</v>
          </cell>
          <cell r="K519">
            <v>1</v>
          </cell>
          <cell r="L519">
            <v>32979.24</v>
          </cell>
        </row>
        <row r="520">
          <cell r="A520">
            <v>110012</v>
          </cell>
          <cell r="B520">
            <v>27589</v>
          </cell>
          <cell r="D520" t="str">
            <v>ASB</v>
          </cell>
          <cell r="E520" t="str">
            <v>B</v>
          </cell>
          <cell r="F520" t="str">
            <v>PATIENT RESOURCES WORKER</v>
          </cell>
          <cell r="G520" t="str">
            <v>9192A</v>
          </cell>
          <cell r="H520">
            <v>2748.27</v>
          </cell>
          <cell r="I520">
            <v>1</v>
          </cell>
          <cell r="J520">
            <v>12</v>
          </cell>
          <cell r="K520">
            <v>1</v>
          </cell>
          <cell r="L520">
            <v>32979.24</v>
          </cell>
        </row>
        <row r="521">
          <cell r="A521">
            <v>110013</v>
          </cell>
          <cell r="B521">
            <v>27589</v>
          </cell>
          <cell r="D521" t="str">
            <v>ASB</v>
          </cell>
          <cell r="E521" t="str">
            <v>B</v>
          </cell>
          <cell r="F521" t="str">
            <v>PATIENT RESOURCES WORKER</v>
          </cell>
          <cell r="G521" t="str">
            <v>9192A</v>
          </cell>
          <cell r="H521">
            <v>2748.27</v>
          </cell>
          <cell r="I521">
            <v>1</v>
          </cell>
          <cell r="J521">
            <v>12</v>
          </cell>
          <cell r="K521">
            <v>1</v>
          </cell>
          <cell r="L521">
            <v>32979.24</v>
          </cell>
        </row>
        <row r="522">
          <cell r="A522">
            <v>110014</v>
          </cell>
          <cell r="B522">
            <v>27589</v>
          </cell>
          <cell r="D522" t="str">
            <v>ASB</v>
          </cell>
          <cell r="E522" t="str">
            <v>B</v>
          </cell>
          <cell r="F522" t="str">
            <v>PATIENT RESOURCES WORKER</v>
          </cell>
          <cell r="G522" t="str">
            <v>9192A</v>
          </cell>
          <cell r="H522">
            <v>2748.27</v>
          </cell>
          <cell r="I522">
            <v>1</v>
          </cell>
          <cell r="J522">
            <v>12</v>
          </cell>
          <cell r="K522">
            <v>1</v>
          </cell>
          <cell r="L522">
            <v>32979.24</v>
          </cell>
        </row>
        <row r="523">
          <cell r="A523">
            <v>110015</v>
          </cell>
          <cell r="B523">
            <v>27589</v>
          </cell>
          <cell r="D523" t="str">
            <v>ASB</v>
          </cell>
          <cell r="E523" t="str">
            <v>B</v>
          </cell>
          <cell r="F523" t="str">
            <v>PATIENT RESOURCES WORKER</v>
          </cell>
          <cell r="G523" t="str">
            <v>9192A</v>
          </cell>
          <cell r="H523">
            <v>2748.27</v>
          </cell>
          <cell r="I523">
            <v>1</v>
          </cell>
          <cell r="J523">
            <v>12</v>
          </cell>
          <cell r="K523">
            <v>1</v>
          </cell>
          <cell r="L523">
            <v>32979.24</v>
          </cell>
        </row>
        <row r="524">
          <cell r="A524">
            <v>110016</v>
          </cell>
          <cell r="B524">
            <v>27589</v>
          </cell>
          <cell r="D524" t="str">
            <v>ASB</v>
          </cell>
          <cell r="E524" t="str">
            <v>B</v>
          </cell>
          <cell r="F524" t="str">
            <v>PATIENT RESOURCES WORKER</v>
          </cell>
          <cell r="G524" t="str">
            <v>9192A</v>
          </cell>
          <cell r="H524">
            <v>2748.27</v>
          </cell>
          <cell r="I524">
            <v>1</v>
          </cell>
          <cell r="J524">
            <v>12</v>
          </cell>
          <cell r="K524">
            <v>1</v>
          </cell>
          <cell r="L524">
            <v>32979.24</v>
          </cell>
        </row>
        <row r="525">
          <cell r="A525">
            <v>110017</v>
          </cell>
          <cell r="B525">
            <v>27589</v>
          </cell>
          <cell r="D525" t="str">
            <v>ASB</v>
          </cell>
          <cell r="E525" t="str">
            <v>B</v>
          </cell>
          <cell r="F525" t="str">
            <v>PATIENT RESOURCES WORKER</v>
          </cell>
          <cell r="G525" t="str">
            <v>9192A</v>
          </cell>
          <cell r="H525">
            <v>2748.27</v>
          </cell>
          <cell r="I525">
            <v>1</v>
          </cell>
          <cell r="J525">
            <v>12</v>
          </cell>
          <cell r="K525">
            <v>1</v>
          </cell>
          <cell r="L525">
            <v>32979.24</v>
          </cell>
        </row>
        <row r="526">
          <cell r="A526">
            <v>110018</v>
          </cell>
          <cell r="B526">
            <v>27589</v>
          </cell>
          <cell r="D526" t="str">
            <v>ASB</v>
          </cell>
          <cell r="E526" t="str">
            <v>B</v>
          </cell>
          <cell r="F526" t="str">
            <v>PATIENT RESOURCES WORKER</v>
          </cell>
          <cell r="G526" t="str">
            <v>9192A</v>
          </cell>
          <cell r="H526">
            <v>2748.27</v>
          </cell>
          <cell r="I526">
            <v>1</v>
          </cell>
          <cell r="J526">
            <v>12</v>
          </cell>
          <cell r="K526">
            <v>1</v>
          </cell>
          <cell r="L526">
            <v>32979.24</v>
          </cell>
        </row>
        <row r="527">
          <cell r="A527">
            <v>110019</v>
          </cell>
          <cell r="B527">
            <v>27589</v>
          </cell>
          <cell r="D527" t="str">
            <v>ASB</v>
          </cell>
          <cell r="E527" t="str">
            <v>B</v>
          </cell>
          <cell r="F527" t="str">
            <v>PATIENT RESOURCES WORKER</v>
          </cell>
          <cell r="G527" t="str">
            <v>9192A</v>
          </cell>
          <cell r="H527">
            <v>2748.27</v>
          </cell>
          <cell r="I527">
            <v>1</v>
          </cell>
          <cell r="J527">
            <v>12</v>
          </cell>
          <cell r="K527">
            <v>1</v>
          </cell>
          <cell r="L527">
            <v>32979.24</v>
          </cell>
        </row>
        <row r="528">
          <cell r="A528">
            <v>110020</v>
          </cell>
          <cell r="B528">
            <v>27589</v>
          </cell>
          <cell r="D528" t="str">
            <v>ASB</v>
          </cell>
          <cell r="E528" t="str">
            <v>B</v>
          </cell>
          <cell r="F528" t="str">
            <v>PATIENT RESOURCES WORKER</v>
          </cell>
          <cell r="G528" t="str">
            <v>9192A</v>
          </cell>
          <cell r="H528">
            <v>2748.27</v>
          </cell>
          <cell r="I528">
            <v>1</v>
          </cell>
          <cell r="J528">
            <v>12</v>
          </cell>
          <cell r="K528">
            <v>1</v>
          </cell>
          <cell r="L528">
            <v>32979.24</v>
          </cell>
        </row>
        <row r="529">
          <cell r="A529">
            <v>110021</v>
          </cell>
          <cell r="B529">
            <v>27589</v>
          </cell>
          <cell r="D529" t="str">
            <v>ASB</v>
          </cell>
          <cell r="E529" t="str">
            <v>B</v>
          </cell>
          <cell r="F529" t="str">
            <v>PATIENT RESOURCES WORKER</v>
          </cell>
          <cell r="G529" t="str">
            <v>9192A</v>
          </cell>
          <cell r="H529">
            <v>2748.27</v>
          </cell>
          <cell r="I529">
            <v>1</v>
          </cell>
          <cell r="J529">
            <v>12</v>
          </cell>
          <cell r="K529">
            <v>1</v>
          </cell>
          <cell r="L529">
            <v>32979.24</v>
          </cell>
        </row>
        <row r="530">
          <cell r="A530">
            <v>110022</v>
          </cell>
          <cell r="B530">
            <v>27589</v>
          </cell>
          <cell r="D530" t="str">
            <v>ASB</v>
          </cell>
          <cell r="E530" t="str">
            <v>B</v>
          </cell>
          <cell r="F530" t="str">
            <v>PATIENT RESOURCES WORKER</v>
          </cell>
          <cell r="G530" t="str">
            <v>9192A</v>
          </cell>
          <cell r="H530">
            <v>2748.27</v>
          </cell>
          <cell r="I530">
            <v>1</v>
          </cell>
          <cell r="J530">
            <v>12</v>
          </cell>
          <cell r="K530">
            <v>1</v>
          </cell>
          <cell r="L530">
            <v>32979.24</v>
          </cell>
        </row>
        <row r="531">
          <cell r="A531">
            <v>110023</v>
          </cell>
          <cell r="B531">
            <v>27589</v>
          </cell>
          <cell r="D531" t="str">
            <v>ASB</v>
          </cell>
          <cell r="E531" t="str">
            <v>B</v>
          </cell>
          <cell r="F531" t="str">
            <v>PATIENT RESOURCES WORKER</v>
          </cell>
          <cell r="G531" t="str">
            <v>9192A</v>
          </cell>
          <cell r="H531">
            <v>2748.27</v>
          </cell>
          <cell r="I531">
            <v>1</v>
          </cell>
          <cell r="J531">
            <v>12</v>
          </cell>
          <cell r="K531">
            <v>1</v>
          </cell>
          <cell r="L531">
            <v>32979.24</v>
          </cell>
        </row>
        <row r="532">
          <cell r="A532">
            <v>110024</v>
          </cell>
          <cell r="B532">
            <v>27589</v>
          </cell>
          <cell r="D532" t="str">
            <v>ASB</v>
          </cell>
          <cell r="E532" t="str">
            <v>B</v>
          </cell>
          <cell r="F532" t="str">
            <v>PATIENT RESOURCES WORKER</v>
          </cell>
          <cell r="G532" t="str">
            <v>9192A</v>
          </cell>
          <cell r="H532">
            <v>2748.27</v>
          </cell>
          <cell r="I532">
            <v>1</v>
          </cell>
          <cell r="J532">
            <v>12</v>
          </cell>
          <cell r="K532">
            <v>1</v>
          </cell>
          <cell r="L532">
            <v>32979.24</v>
          </cell>
        </row>
        <row r="533">
          <cell r="A533">
            <v>110025</v>
          </cell>
          <cell r="B533">
            <v>27589</v>
          </cell>
          <cell r="D533" t="str">
            <v>ASB</v>
          </cell>
          <cell r="E533" t="str">
            <v>B</v>
          </cell>
          <cell r="F533" t="str">
            <v>PATIENT RESOURCES WORKER</v>
          </cell>
          <cell r="G533" t="str">
            <v>9192A</v>
          </cell>
          <cell r="H533">
            <v>2748.27</v>
          </cell>
          <cell r="I533">
            <v>1</v>
          </cell>
          <cell r="J533">
            <v>12</v>
          </cell>
          <cell r="K533">
            <v>1</v>
          </cell>
          <cell r="L533">
            <v>32979.24</v>
          </cell>
        </row>
        <row r="534">
          <cell r="A534">
            <v>110026</v>
          </cell>
          <cell r="B534">
            <v>27589</v>
          </cell>
          <cell r="D534" t="str">
            <v>ASB</v>
          </cell>
          <cell r="E534" t="str">
            <v>B</v>
          </cell>
          <cell r="F534" t="str">
            <v>PATIENT RESOURCES WORKER</v>
          </cell>
          <cell r="G534" t="str">
            <v>9192A</v>
          </cell>
          <cell r="H534">
            <v>2748.27</v>
          </cell>
          <cell r="I534">
            <v>1</v>
          </cell>
          <cell r="J534">
            <v>12</v>
          </cell>
          <cell r="K534">
            <v>1</v>
          </cell>
          <cell r="L534">
            <v>32979.24</v>
          </cell>
        </row>
        <row r="535">
          <cell r="A535">
            <v>110027</v>
          </cell>
          <cell r="B535">
            <v>27589</v>
          </cell>
          <cell r="D535" t="str">
            <v>ASB</v>
          </cell>
          <cell r="E535" t="str">
            <v>B</v>
          </cell>
          <cell r="F535" t="str">
            <v>PATIENT RESOURCES WORKER</v>
          </cell>
          <cell r="G535" t="str">
            <v>9192A</v>
          </cell>
          <cell r="H535">
            <v>2748.27</v>
          </cell>
          <cell r="I535">
            <v>1</v>
          </cell>
          <cell r="J535">
            <v>12</v>
          </cell>
          <cell r="K535">
            <v>1</v>
          </cell>
          <cell r="L535">
            <v>32979.24</v>
          </cell>
        </row>
        <row r="536">
          <cell r="A536">
            <v>110028</v>
          </cell>
          <cell r="B536">
            <v>27589</v>
          </cell>
          <cell r="D536" t="str">
            <v>ASB</v>
          </cell>
          <cell r="E536" t="str">
            <v>B</v>
          </cell>
          <cell r="F536" t="str">
            <v>PATIENT RESOURCES WORKER</v>
          </cell>
          <cell r="G536" t="str">
            <v>9192A</v>
          </cell>
          <cell r="H536">
            <v>2748.27</v>
          </cell>
          <cell r="I536">
            <v>1</v>
          </cell>
          <cell r="J536">
            <v>12</v>
          </cell>
          <cell r="K536">
            <v>1</v>
          </cell>
          <cell r="L536">
            <v>32979.24</v>
          </cell>
        </row>
        <row r="537">
          <cell r="A537">
            <v>110029</v>
          </cell>
          <cell r="B537">
            <v>27589</v>
          </cell>
          <cell r="D537" t="str">
            <v>ASB</v>
          </cell>
          <cell r="E537" t="str">
            <v>B</v>
          </cell>
          <cell r="F537" t="str">
            <v>PATIENT RESOURCES WORKER</v>
          </cell>
          <cell r="G537" t="str">
            <v>9192A</v>
          </cell>
          <cell r="H537">
            <v>2748.27</v>
          </cell>
          <cell r="I537">
            <v>1</v>
          </cell>
          <cell r="J537">
            <v>12</v>
          </cell>
          <cell r="K537">
            <v>1</v>
          </cell>
          <cell r="L537">
            <v>32979.24</v>
          </cell>
        </row>
        <row r="538">
          <cell r="A538">
            <v>110030</v>
          </cell>
          <cell r="B538">
            <v>27589</v>
          </cell>
          <cell r="D538" t="str">
            <v>ASB</v>
          </cell>
          <cell r="E538" t="str">
            <v>B</v>
          </cell>
          <cell r="F538" t="str">
            <v>PATIENT RESOURCES WORKER</v>
          </cell>
          <cell r="G538" t="str">
            <v>9192A</v>
          </cell>
          <cell r="H538">
            <v>2748.27</v>
          </cell>
          <cell r="I538">
            <v>1</v>
          </cell>
          <cell r="J538">
            <v>12</v>
          </cell>
          <cell r="K538">
            <v>1</v>
          </cell>
          <cell r="L538">
            <v>32979.24</v>
          </cell>
        </row>
        <row r="539">
          <cell r="A539">
            <v>110031</v>
          </cell>
          <cell r="B539">
            <v>27589</v>
          </cell>
          <cell r="D539" t="str">
            <v>ASB</v>
          </cell>
          <cell r="E539" t="str">
            <v>B</v>
          </cell>
          <cell r="F539" t="str">
            <v>PATIENT RESOURCES WORKER</v>
          </cell>
          <cell r="G539" t="str">
            <v>9192A</v>
          </cell>
          <cell r="H539">
            <v>2748.27</v>
          </cell>
          <cell r="I539">
            <v>1</v>
          </cell>
          <cell r="J539">
            <v>12</v>
          </cell>
          <cell r="K539">
            <v>1</v>
          </cell>
          <cell r="L539">
            <v>32979.24</v>
          </cell>
        </row>
        <row r="540">
          <cell r="A540">
            <v>110032</v>
          </cell>
          <cell r="B540">
            <v>27589</v>
          </cell>
          <cell r="D540" t="str">
            <v>ASB</v>
          </cell>
          <cell r="E540" t="str">
            <v>B</v>
          </cell>
          <cell r="F540" t="str">
            <v>PATIENT RESOURCES WORKER</v>
          </cell>
          <cell r="G540" t="str">
            <v>9192A</v>
          </cell>
          <cell r="H540">
            <v>2748.27</v>
          </cell>
          <cell r="I540">
            <v>1</v>
          </cell>
          <cell r="J540">
            <v>12</v>
          </cell>
          <cell r="K540">
            <v>1</v>
          </cell>
          <cell r="L540">
            <v>32979.24</v>
          </cell>
        </row>
        <row r="541">
          <cell r="A541">
            <v>110033</v>
          </cell>
          <cell r="B541">
            <v>27589</v>
          </cell>
          <cell r="D541" t="str">
            <v>ASB</v>
          </cell>
          <cell r="E541" t="str">
            <v>B</v>
          </cell>
          <cell r="F541" t="str">
            <v>PATIENT RESOURCES WORKER</v>
          </cell>
          <cell r="G541" t="str">
            <v>9192A</v>
          </cell>
          <cell r="H541">
            <v>2748.27</v>
          </cell>
          <cell r="I541">
            <v>1</v>
          </cell>
          <cell r="J541">
            <v>12</v>
          </cell>
          <cell r="K541">
            <v>1</v>
          </cell>
          <cell r="L541">
            <v>32979.24</v>
          </cell>
        </row>
        <row r="542">
          <cell r="A542">
            <v>101845</v>
          </cell>
          <cell r="B542">
            <v>20559</v>
          </cell>
          <cell r="C542">
            <v>27589</v>
          </cell>
          <cell r="D542" t="str">
            <v>ASB</v>
          </cell>
          <cell r="E542" t="str">
            <v>B</v>
          </cell>
          <cell r="F542" t="str">
            <v xml:space="preserve">RESEARCH ANALYST II,BEHAVIOR SCI   </v>
          </cell>
          <cell r="G542" t="str">
            <v>8972A</v>
          </cell>
          <cell r="H542">
            <v>4520.7299999999996</v>
          </cell>
          <cell r="I542">
            <v>1</v>
          </cell>
          <cell r="J542">
            <v>12</v>
          </cell>
          <cell r="K542">
            <v>1</v>
          </cell>
          <cell r="L542">
            <v>54248.44</v>
          </cell>
        </row>
        <row r="543">
          <cell r="A543">
            <v>104925</v>
          </cell>
          <cell r="B543">
            <v>20559</v>
          </cell>
          <cell r="C543">
            <v>27589</v>
          </cell>
          <cell r="D543" t="str">
            <v>ASB</v>
          </cell>
          <cell r="E543" t="str">
            <v>B</v>
          </cell>
          <cell r="F543" t="str">
            <v xml:space="preserve">RESEARCH ANALYST III,BEHAVIOR SCI  </v>
          </cell>
          <cell r="G543" t="str">
            <v>8973A</v>
          </cell>
          <cell r="H543">
            <v>5479.27</v>
          </cell>
          <cell r="I543">
            <v>1</v>
          </cell>
          <cell r="J543">
            <v>12</v>
          </cell>
          <cell r="K543">
            <v>1</v>
          </cell>
          <cell r="L543">
            <v>65751.240000000005</v>
          </cell>
        </row>
        <row r="544">
          <cell r="A544">
            <v>109996</v>
          </cell>
          <cell r="B544">
            <v>27589</v>
          </cell>
          <cell r="C544">
            <v>27589</v>
          </cell>
          <cell r="D544" t="str">
            <v>ASB</v>
          </cell>
          <cell r="E544" t="str">
            <v>B</v>
          </cell>
          <cell r="F544" t="str">
            <v>SENIOR ACCTG SYSTEMS TECHNICIAN</v>
          </cell>
          <cell r="G544" t="str">
            <v>0666A</v>
          </cell>
          <cell r="H544">
            <v>5973</v>
          </cell>
          <cell r="I544">
            <v>1</v>
          </cell>
          <cell r="J544">
            <v>12</v>
          </cell>
          <cell r="K544">
            <v>1</v>
          </cell>
          <cell r="L544">
            <v>71676</v>
          </cell>
        </row>
        <row r="545">
          <cell r="A545">
            <v>109982</v>
          </cell>
          <cell r="B545">
            <v>27589</v>
          </cell>
          <cell r="C545">
            <v>27589</v>
          </cell>
          <cell r="D545" t="str">
            <v>ASB</v>
          </cell>
          <cell r="E545" t="str">
            <v>B</v>
          </cell>
          <cell r="F545" t="str">
            <v xml:space="preserve">SENIOR SECRETARY III               </v>
          </cell>
          <cell r="G545" t="str">
            <v>2102A</v>
          </cell>
          <cell r="H545">
            <v>4106.3599999999997</v>
          </cell>
          <cell r="I545">
            <v>1</v>
          </cell>
          <cell r="J545">
            <v>12</v>
          </cell>
          <cell r="K545">
            <v>1</v>
          </cell>
          <cell r="L545">
            <v>49276.32</v>
          </cell>
        </row>
        <row r="546">
          <cell r="A546">
            <v>104501</v>
          </cell>
          <cell r="B546">
            <v>18593</v>
          </cell>
          <cell r="C546">
            <v>27589</v>
          </cell>
          <cell r="D546" t="str">
            <v>ASB</v>
          </cell>
          <cell r="E546" t="str">
            <v>B</v>
          </cell>
          <cell r="F546" t="str">
            <v xml:space="preserve">SENIOR TYPIST-CLERK                </v>
          </cell>
          <cell r="G546" t="str">
            <v>2216A</v>
          </cell>
          <cell r="H546">
            <v>3013.55</v>
          </cell>
          <cell r="I546">
            <v>1</v>
          </cell>
          <cell r="J546">
            <v>12</v>
          </cell>
          <cell r="K546">
            <v>1</v>
          </cell>
          <cell r="L546">
            <v>36162.6</v>
          </cell>
        </row>
        <row r="547">
          <cell r="A547">
            <v>103313</v>
          </cell>
          <cell r="B547">
            <v>20559</v>
          </cell>
          <cell r="C547">
            <v>27589</v>
          </cell>
          <cell r="D547" t="str">
            <v>ASB</v>
          </cell>
          <cell r="E547" t="str">
            <v>B</v>
          </cell>
          <cell r="F547" t="str">
            <v xml:space="preserve">TRANSCRIBER TYPIST                 </v>
          </cell>
          <cell r="G547" t="str">
            <v>2201A</v>
          </cell>
          <cell r="H547">
            <v>2906</v>
          </cell>
          <cell r="I547">
            <v>1</v>
          </cell>
          <cell r="J547">
            <v>6</v>
          </cell>
          <cell r="K547">
            <v>0.5</v>
          </cell>
          <cell r="L547">
            <v>17436</v>
          </cell>
        </row>
        <row r="548">
          <cell r="A548">
            <v>109193</v>
          </cell>
          <cell r="B548">
            <v>27506</v>
          </cell>
          <cell r="C548">
            <v>27506</v>
          </cell>
          <cell r="D548" t="str">
            <v>ASB</v>
          </cell>
          <cell r="E548" t="str">
            <v>B</v>
          </cell>
          <cell r="F548" t="str">
            <v>MEDICAL CASE WORKER II</v>
          </cell>
          <cell r="G548" t="str">
            <v>9002A</v>
          </cell>
          <cell r="H548">
            <v>3938.82</v>
          </cell>
          <cell r="I548">
            <v>1</v>
          </cell>
          <cell r="J548">
            <v>12</v>
          </cell>
          <cell r="K548">
            <v>1</v>
          </cell>
          <cell r="L548">
            <v>47265.68</v>
          </cell>
        </row>
        <row r="549">
          <cell r="A549">
            <v>109201</v>
          </cell>
          <cell r="B549">
            <v>27506</v>
          </cell>
          <cell r="C549">
            <v>27506</v>
          </cell>
          <cell r="D549" t="str">
            <v>ASB</v>
          </cell>
          <cell r="E549" t="str">
            <v>B</v>
          </cell>
          <cell r="F549" t="str">
            <v>PATIENT RESOURCES WORKER</v>
          </cell>
          <cell r="G549" t="str">
            <v>9192A</v>
          </cell>
          <cell r="H549">
            <v>2748.27</v>
          </cell>
          <cell r="I549">
            <v>1</v>
          </cell>
          <cell r="J549">
            <v>12</v>
          </cell>
          <cell r="K549">
            <v>1</v>
          </cell>
          <cell r="L549">
            <v>32979.24</v>
          </cell>
        </row>
        <row r="550">
          <cell r="A550">
            <v>109349</v>
          </cell>
          <cell r="B550">
            <v>20658</v>
          </cell>
          <cell r="C550">
            <v>20528</v>
          </cell>
          <cell r="D550" t="str">
            <v>MD</v>
          </cell>
          <cell r="E550" t="str">
            <v>B</v>
          </cell>
          <cell r="F550" t="str">
            <v xml:space="preserve">CHIEF MENTAL HEALTH PSYCHIATRIST   </v>
          </cell>
          <cell r="G550" t="str">
            <v>4739A</v>
          </cell>
          <cell r="H550">
            <v>15046</v>
          </cell>
          <cell r="I550">
            <v>1</v>
          </cell>
          <cell r="J550">
            <v>12</v>
          </cell>
          <cell r="K550">
            <v>1</v>
          </cell>
          <cell r="L550">
            <v>180552</v>
          </cell>
        </row>
        <row r="551">
          <cell r="A551">
            <v>102571</v>
          </cell>
          <cell r="B551">
            <v>20562</v>
          </cell>
          <cell r="C551">
            <v>20528</v>
          </cell>
          <cell r="D551" t="str">
            <v>MD</v>
          </cell>
          <cell r="E551" t="str">
            <v>B</v>
          </cell>
          <cell r="F551" t="str">
            <v>DEPUTY DIRECTOR, MD, MNTL HLTH (UC)</v>
          </cell>
          <cell r="G551" t="str">
            <v>5489A</v>
          </cell>
          <cell r="H551">
            <v>12786</v>
          </cell>
          <cell r="I551">
            <v>1</v>
          </cell>
          <cell r="J551">
            <v>6</v>
          </cell>
          <cell r="K551">
            <v>0.5</v>
          </cell>
          <cell r="L551">
            <v>76716</v>
          </cell>
        </row>
        <row r="552">
          <cell r="A552">
            <v>102566</v>
          </cell>
          <cell r="B552">
            <v>18593</v>
          </cell>
          <cell r="C552">
            <v>20528</v>
          </cell>
          <cell r="D552" t="str">
            <v>MD</v>
          </cell>
          <cell r="E552" t="str">
            <v>B</v>
          </cell>
          <cell r="F552" t="str">
            <v>DIV CHIEF,LPS CONSERVATEE CASE MGMT</v>
          </cell>
          <cell r="G552" t="str">
            <v>1491A</v>
          </cell>
          <cell r="H552">
            <v>7329.55</v>
          </cell>
          <cell r="I552">
            <v>1</v>
          </cell>
          <cell r="J552">
            <v>12</v>
          </cell>
          <cell r="K552">
            <v>1</v>
          </cell>
          <cell r="L552">
            <v>87954.76</v>
          </cell>
        </row>
        <row r="553">
          <cell r="A553">
            <v>104245</v>
          </cell>
          <cell r="B553">
            <v>20944</v>
          </cell>
          <cell r="C553">
            <v>20528</v>
          </cell>
          <cell r="D553" t="str">
            <v>MD</v>
          </cell>
          <cell r="E553" t="str">
            <v>B</v>
          </cell>
          <cell r="F553" t="str">
            <v>INTERMEDIATE TYPIST-CLERK</v>
          </cell>
          <cell r="G553" t="str">
            <v>2214A</v>
          </cell>
          <cell r="H553">
            <v>2675.27</v>
          </cell>
          <cell r="I553">
            <v>1</v>
          </cell>
          <cell r="J553">
            <v>12</v>
          </cell>
          <cell r="K553">
            <v>1</v>
          </cell>
          <cell r="L553">
            <v>32103.16</v>
          </cell>
        </row>
        <row r="554">
          <cell r="A554">
            <v>101966</v>
          </cell>
          <cell r="B554">
            <v>20588</v>
          </cell>
          <cell r="C554">
            <v>20528</v>
          </cell>
          <cell r="D554" t="str">
            <v>MD</v>
          </cell>
          <cell r="E554" t="str">
            <v>B</v>
          </cell>
          <cell r="F554" t="str">
            <v xml:space="preserve">MANAGEMENT SECRETARY III           </v>
          </cell>
          <cell r="G554" t="str">
            <v>2109A</v>
          </cell>
          <cell r="H554">
            <v>4576.7299999999996</v>
          </cell>
          <cell r="I554">
            <v>1</v>
          </cell>
          <cell r="J554">
            <v>12</v>
          </cell>
          <cell r="K554">
            <v>1</v>
          </cell>
          <cell r="L554">
            <v>54920.52</v>
          </cell>
        </row>
        <row r="555">
          <cell r="A555">
            <v>100504</v>
          </cell>
          <cell r="B555">
            <v>20528</v>
          </cell>
          <cell r="C555">
            <v>20528</v>
          </cell>
          <cell r="D555" t="str">
            <v>MD</v>
          </cell>
          <cell r="E555" t="str">
            <v>B</v>
          </cell>
          <cell r="F555" t="str">
            <v>MEDICAL DIRECTOR, M.D., MH  (UC)</v>
          </cell>
          <cell r="G555" t="str">
            <v>4574A</v>
          </cell>
          <cell r="H555">
            <v>13870</v>
          </cell>
          <cell r="I555">
            <v>1</v>
          </cell>
          <cell r="J555">
            <v>12</v>
          </cell>
          <cell r="K555">
            <v>1</v>
          </cell>
          <cell r="L555">
            <v>166440</v>
          </cell>
        </row>
        <row r="556">
          <cell r="A556">
            <v>104308</v>
          </cell>
          <cell r="B556">
            <v>23017</v>
          </cell>
          <cell r="C556">
            <v>20528</v>
          </cell>
          <cell r="D556" t="str">
            <v>MD</v>
          </cell>
          <cell r="E556" t="str">
            <v>B</v>
          </cell>
          <cell r="F556" t="str">
            <v>MENTAL HEALTH CONSULTANT,MD(PER SESSION)</v>
          </cell>
          <cell r="G556" t="str">
            <v>5467J</v>
          </cell>
          <cell r="H556">
            <v>314</v>
          </cell>
          <cell r="I556">
            <v>1</v>
          </cell>
          <cell r="J556">
            <v>184</v>
          </cell>
          <cell r="K556">
            <v>0.35249042145593867</v>
          </cell>
          <cell r="L556">
            <v>57775.68</v>
          </cell>
        </row>
        <row r="557">
          <cell r="A557">
            <v>107328</v>
          </cell>
          <cell r="B557">
            <v>21557</v>
          </cell>
          <cell r="C557">
            <v>20528</v>
          </cell>
          <cell r="D557" t="str">
            <v>MD</v>
          </cell>
          <cell r="E557" t="str">
            <v>B</v>
          </cell>
          <cell r="F557" t="str">
            <v>MENTAL HEALTH SERVICES COORD II</v>
          </cell>
          <cell r="G557" t="str">
            <v>8149A</v>
          </cell>
          <cell r="H557">
            <v>5152.3599999999997</v>
          </cell>
          <cell r="I557">
            <v>1</v>
          </cell>
          <cell r="J557">
            <v>12</v>
          </cell>
          <cell r="K557">
            <v>1</v>
          </cell>
          <cell r="L557">
            <v>61828.72</v>
          </cell>
        </row>
        <row r="558">
          <cell r="A558">
            <v>103073</v>
          </cell>
          <cell r="B558">
            <v>18587</v>
          </cell>
          <cell r="C558">
            <v>20528</v>
          </cell>
          <cell r="D558" t="str">
            <v>MD</v>
          </cell>
          <cell r="E558" t="str">
            <v>B</v>
          </cell>
          <cell r="F558" t="str">
            <v xml:space="preserve">PRIN MENTAL HEALTH COUNSELOR,RN    </v>
          </cell>
          <cell r="G558" t="str">
            <v>5284A</v>
          </cell>
          <cell r="H558">
            <v>7586.91</v>
          </cell>
          <cell r="I558">
            <v>1</v>
          </cell>
          <cell r="J558">
            <v>12</v>
          </cell>
          <cell r="K558">
            <v>1</v>
          </cell>
          <cell r="L558">
            <v>91043</v>
          </cell>
        </row>
        <row r="559">
          <cell r="A559">
            <v>109355</v>
          </cell>
          <cell r="B559">
            <v>27611</v>
          </cell>
          <cell r="C559">
            <v>20528</v>
          </cell>
          <cell r="D559" t="str">
            <v>MD</v>
          </cell>
          <cell r="E559" t="str">
            <v>B</v>
          </cell>
          <cell r="F559" t="str">
            <v>PSYCHIATRIC SOCIAL WORKER II</v>
          </cell>
          <cell r="G559" t="str">
            <v>9035A</v>
          </cell>
          <cell r="H559">
            <v>5425.82</v>
          </cell>
          <cell r="I559">
            <v>1</v>
          </cell>
          <cell r="J559">
            <v>12</v>
          </cell>
          <cell r="K559">
            <v>1</v>
          </cell>
          <cell r="L559">
            <v>65109.760000000002</v>
          </cell>
        </row>
        <row r="560">
          <cell r="A560">
            <v>101965</v>
          </cell>
          <cell r="B560">
            <v>20528</v>
          </cell>
          <cell r="C560">
            <v>20528</v>
          </cell>
          <cell r="D560" t="str">
            <v>MD</v>
          </cell>
          <cell r="E560" t="str">
            <v>B</v>
          </cell>
          <cell r="F560" t="str">
            <v xml:space="preserve">SENIOR MANAGEMENT SECRETARY II     </v>
          </cell>
          <cell r="G560" t="str">
            <v>2115A</v>
          </cell>
          <cell r="H560">
            <v>4832</v>
          </cell>
          <cell r="I560">
            <v>1</v>
          </cell>
          <cell r="J560">
            <v>12</v>
          </cell>
          <cell r="K560">
            <v>1</v>
          </cell>
          <cell r="L560">
            <v>57983.839999999997</v>
          </cell>
        </row>
        <row r="561">
          <cell r="A561">
            <v>102445</v>
          </cell>
          <cell r="B561">
            <v>20499</v>
          </cell>
          <cell r="C561">
            <v>20528</v>
          </cell>
          <cell r="D561" t="str">
            <v>MD</v>
          </cell>
          <cell r="E561" t="str">
            <v>B</v>
          </cell>
          <cell r="F561" t="str">
            <v>SENIOR MENTAL HEALTH COUNSELOR, RN</v>
          </cell>
          <cell r="G561" t="str">
            <v>5280A</v>
          </cell>
          <cell r="H561">
            <v>6790.09</v>
          </cell>
          <cell r="I561">
            <v>1</v>
          </cell>
          <cell r="J561">
            <v>12</v>
          </cell>
          <cell r="K561">
            <v>1</v>
          </cell>
          <cell r="L561">
            <v>83105.40203389831</v>
          </cell>
        </row>
        <row r="562">
          <cell r="A562">
            <v>101969</v>
          </cell>
          <cell r="B562">
            <v>20530</v>
          </cell>
          <cell r="C562">
            <v>20528</v>
          </cell>
          <cell r="D562" t="str">
            <v>MD</v>
          </cell>
          <cell r="E562" t="str">
            <v>B</v>
          </cell>
          <cell r="F562" t="str">
            <v xml:space="preserve">SENIOR SECRETARY III               </v>
          </cell>
          <cell r="G562" t="str">
            <v>2102A</v>
          </cell>
          <cell r="H562">
            <v>4106.3599999999997</v>
          </cell>
          <cell r="I562">
            <v>1</v>
          </cell>
          <cell r="J562">
            <v>12</v>
          </cell>
          <cell r="K562">
            <v>1</v>
          </cell>
          <cell r="L562">
            <v>49276.56</v>
          </cell>
        </row>
        <row r="563">
          <cell r="A563">
            <v>104645</v>
          </cell>
          <cell r="B563">
            <v>20683</v>
          </cell>
          <cell r="C563">
            <v>20528</v>
          </cell>
          <cell r="D563" t="str">
            <v>MD</v>
          </cell>
          <cell r="E563" t="str">
            <v>B</v>
          </cell>
          <cell r="F563" t="str">
            <v xml:space="preserve">STAFF ASSISTANT I                  </v>
          </cell>
          <cell r="G563" t="str">
            <v>0907A</v>
          </cell>
          <cell r="H563">
            <v>3453.18</v>
          </cell>
          <cell r="I563">
            <v>1</v>
          </cell>
          <cell r="J563">
            <v>12</v>
          </cell>
          <cell r="K563">
            <v>1</v>
          </cell>
          <cell r="L563">
            <v>41438.480000000003</v>
          </cell>
        </row>
        <row r="564">
          <cell r="A564">
            <v>104919</v>
          </cell>
          <cell r="B564">
            <v>20487</v>
          </cell>
          <cell r="C564">
            <v>20528</v>
          </cell>
          <cell r="D564" t="str">
            <v>MD</v>
          </cell>
          <cell r="E564" t="str">
            <v>B</v>
          </cell>
          <cell r="F564" t="str">
            <v xml:space="preserve">SUPVG MENTAL HEALTH PSYCHIATRIST   </v>
          </cell>
          <cell r="G564" t="str">
            <v>4737A</v>
          </cell>
          <cell r="H564">
            <v>13870</v>
          </cell>
          <cell r="I564">
            <v>1</v>
          </cell>
          <cell r="J564">
            <v>12</v>
          </cell>
          <cell r="K564">
            <v>1</v>
          </cell>
          <cell r="L564">
            <v>166440</v>
          </cell>
        </row>
        <row r="565">
          <cell r="A565">
            <v>104949</v>
          </cell>
          <cell r="B565">
            <v>18706</v>
          </cell>
          <cell r="C565">
            <v>20528</v>
          </cell>
          <cell r="D565" t="str">
            <v>MD</v>
          </cell>
          <cell r="E565" t="str">
            <v>B</v>
          </cell>
          <cell r="F565" t="str">
            <v xml:space="preserve">SUPVG MENTAL HEALTH PSYCHIATRIST   </v>
          </cell>
          <cell r="G565" t="str">
            <v>4737A</v>
          </cell>
          <cell r="H565">
            <v>13870</v>
          </cell>
          <cell r="I565">
            <v>1</v>
          </cell>
          <cell r="J565">
            <v>12</v>
          </cell>
          <cell r="K565">
            <v>1</v>
          </cell>
          <cell r="L565">
            <v>166440</v>
          </cell>
        </row>
        <row r="566">
          <cell r="A566">
            <v>106319</v>
          </cell>
          <cell r="B566">
            <v>20493</v>
          </cell>
          <cell r="C566">
            <v>20528</v>
          </cell>
          <cell r="D566" t="str">
            <v>MD</v>
          </cell>
          <cell r="E566" t="str">
            <v>B</v>
          </cell>
          <cell r="F566" t="str">
            <v xml:space="preserve">SUPVG MENTAL HEALTH PSYCHIATRIST   </v>
          </cell>
          <cell r="G566" t="str">
            <v>4737A</v>
          </cell>
          <cell r="H566">
            <v>13870</v>
          </cell>
          <cell r="I566">
            <v>1</v>
          </cell>
          <cell r="J566">
            <v>12</v>
          </cell>
          <cell r="K566">
            <v>1</v>
          </cell>
          <cell r="L566">
            <v>166440</v>
          </cell>
        </row>
        <row r="567">
          <cell r="A567">
            <v>103672</v>
          </cell>
          <cell r="B567">
            <v>20560</v>
          </cell>
          <cell r="C567">
            <v>20530</v>
          </cell>
          <cell r="D567" t="str">
            <v>MD</v>
          </cell>
          <cell r="E567" t="str">
            <v>B</v>
          </cell>
          <cell r="F567" t="str">
            <v xml:space="preserve">MENTAL HEALTH ANALYST I            </v>
          </cell>
          <cell r="G567" t="str">
            <v>4727A</v>
          </cell>
          <cell r="H567">
            <v>5602.09</v>
          </cell>
          <cell r="I567">
            <v>1</v>
          </cell>
          <cell r="J567">
            <v>12</v>
          </cell>
          <cell r="K567">
            <v>1</v>
          </cell>
          <cell r="L567">
            <v>67225.16</v>
          </cell>
        </row>
        <row r="568">
          <cell r="A568">
            <v>100784</v>
          </cell>
          <cell r="B568">
            <v>20442</v>
          </cell>
          <cell r="C568">
            <v>20530</v>
          </cell>
          <cell r="D568" t="str">
            <v>MD</v>
          </cell>
          <cell r="E568" t="str">
            <v>B</v>
          </cell>
          <cell r="F568" t="str">
            <v>MENTAL HEALTH PSYCHIATRIST</v>
          </cell>
          <cell r="G568" t="str">
            <v>4735A</v>
          </cell>
          <cell r="H568">
            <v>12844</v>
          </cell>
          <cell r="I568">
            <v>1</v>
          </cell>
          <cell r="J568">
            <v>6</v>
          </cell>
          <cell r="K568">
            <v>0.5</v>
          </cell>
          <cell r="L568">
            <v>77064</v>
          </cell>
        </row>
        <row r="569">
          <cell r="A569">
            <v>102841</v>
          </cell>
          <cell r="B569">
            <v>20530</v>
          </cell>
          <cell r="C569">
            <v>20530</v>
          </cell>
          <cell r="D569" t="str">
            <v>MD</v>
          </cell>
          <cell r="E569" t="str">
            <v>B</v>
          </cell>
          <cell r="F569" t="str">
            <v>PHARMACY SERVICES CHIEF III</v>
          </cell>
          <cell r="G569" t="str">
            <v>5530A</v>
          </cell>
          <cell r="H569">
            <v>10249</v>
          </cell>
          <cell r="I569">
            <v>1</v>
          </cell>
          <cell r="J569">
            <v>12</v>
          </cell>
          <cell r="K569">
            <v>1</v>
          </cell>
          <cell r="L569">
            <v>122988</v>
          </cell>
        </row>
        <row r="570">
          <cell r="A570">
            <v>102252</v>
          </cell>
          <cell r="B570">
            <v>20487</v>
          </cell>
          <cell r="C570">
            <v>20530</v>
          </cell>
          <cell r="D570" t="str">
            <v>MD</v>
          </cell>
          <cell r="E570" t="str">
            <v>B</v>
          </cell>
          <cell r="F570" t="str">
            <v xml:space="preserve">STAFF ASSISTANT II                 </v>
          </cell>
          <cell r="G570" t="str">
            <v>0913A</v>
          </cell>
          <cell r="H570">
            <v>4167.45</v>
          </cell>
          <cell r="I570">
            <v>1</v>
          </cell>
          <cell r="J570">
            <v>12</v>
          </cell>
          <cell r="K570">
            <v>1</v>
          </cell>
          <cell r="L570">
            <v>50009.24</v>
          </cell>
        </row>
        <row r="571">
          <cell r="A571">
            <v>103506</v>
          </cell>
          <cell r="B571">
            <v>18593</v>
          </cell>
          <cell r="C571">
            <v>18593</v>
          </cell>
          <cell r="D571" t="str">
            <v>MD</v>
          </cell>
          <cell r="E571" t="str">
            <v>B</v>
          </cell>
          <cell r="F571" t="str">
            <v>CLINICAL PSYCHOLOGIST II</v>
          </cell>
          <cell r="G571" t="str">
            <v>8697A</v>
          </cell>
          <cell r="H571">
            <v>6993.82</v>
          </cell>
          <cell r="I571">
            <v>1</v>
          </cell>
          <cell r="J571">
            <v>12</v>
          </cell>
          <cell r="K571">
            <v>1</v>
          </cell>
          <cell r="L571">
            <v>83925.52</v>
          </cell>
        </row>
        <row r="572">
          <cell r="A572">
            <v>107012</v>
          </cell>
          <cell r="B572">
            <v>18593</v>
          </cell>
          <cell r="C572">
            <v>18593</v>
          </cell>
          <cell r="D572" t="str">
            <v>MD</v>
          </cell>
          <cell r="E572" t="str">
            <v>B</v>
          </cell>
          <cell r="F572" t="str">
            <v>COMMUNITY MENTAL HEALTH PSYCHOLOGIST</v>
          </cell>
          <cell r="G572" t="str">
            <v>8711A</v>
          </cell>
          <cell r="H572">
            <v>6942.55</v>
          </cell>
          <cell r="I572">
            <v>1</v>
          </cell>
          <cell r="J572">
            <v>12</v>
          </cell>
          <cell r="K572">
            <v>1</v>
          </cell>
          <cell r="L572">
            <v>83310.2</v>
          </cell>
        </row>
        <row r="573">
          <cell r="A573">
            <v>102724</v>
          </cell>
          <cell r="B573">
            <v>20559</v>
          </cell>
          <cell r="C573">
            <v>18593</v>
          </cell>
          <cell r="D573" t="str">
            <v>MD</v>
          </cell>
          <cell r="E573" t="str">
            <v>B</v>
          </cell>
          <cell r="F573" t="str">
            <v>INFORMATION SYSTEMS ANALYST II</v>
          </cell>
          <cell r="G573" t="str">
            <v>2591A</v>
          </cell>
          <cell r="H573">
            <v>5425.82</v>
          </cell>
          <cell r="I573">
            <v>1</v>
          </cell>
          <cell r="J573">
            <v>12</v>
          </cell>
          <cell r="K573">
            <v>1</v>
          </cell>
          <cell r="L573">
            <v>65109.84</v>
          </cell>
        </row>
        <row r="574">
          <cell r="A574">
            <v>104499</v>
          </cell>
          <cell r="B574">
            <v>18593</v>
          </cell>
          <cell r="C574">
            <v>18593</v>
          </cell>
          <cell r="D574" t="str">
            <v>MD</v>
          </cell>
          <cell r="E574" t="str">
            <v>B</v>
          </cell>
          <cell r="F574" t="str">
            <v xml:space="preserve">INT SUPERVISING TYPIST-CLERK       </v>
          </cell>
          <cell r="G574" t="str">
            <v>2221A</v>
          </cell>
          <cell r="H574">
            <v>3337.91</v>
          </cell>
          <cell r="I574">
            <v>1</v>
          </cell>
          <cell r="J574">
            <v>12</v>
          </cell>
          <cell r="K574">
            <v>1</v>
          </cell>
          <cell r="L574">
            <v>40054.519999999997</v>
          </cell>
        </row>
        <row r="575">
          <cell r="A575">
            <v>104019</v>
          </cell>
          <cell r="B575">
            <v>27611</v>
          </cell>
          <cell r="C575">
            <v>18593</v>
          </cell>
          <cell r="D575" t="str">
            <v>MD</v>
          </cell>
          <cell r="E575" t="str">
            <v>B</v>
          </cell>
          <cell r="F575" t="str">
            <v>INTERMEDIATE TYPIST-CLERK</v>
          </cell>
          <cell r="G575" t="str">
            <v>2214A</v>
          </cell>
          <cell r="H575">
            <v>2675.27</v>
          </cell>
          <cell r="I575">
            <v>1</v>
          </cell>
          <cell r="J575">
            <v>12</v>
          </cell>
          <cell r="K575">
            <v>1</v>
          </cell>
          <cell r="L575">
            <v>32103.16</v>
          </cell>
        </row>
        <row r="576">
          <cell r="A576">
            <v>104020</v>
          </cell>
          <cell r="B576">
            <v>18593</v>
          </cell>
          <cell r="C576">
            <v>18593</v>
          </cell>
          <cell r="D576" t="str">
            <v>MD</v>
          </cell>
          <cell r="E576" t="str">
            <v>B</v>
          </cell>
          <cell r="F576" t="str">
            <v>INTERMEDIATE TYPIST-CLERK</v>
          </cell>
          <cell r="G576" t="str">
            <v>2214A</v>
          </cell>
          <cell r="H576">
            <v>2675.27</v>
          </cell>
          <cell r="I576">
            <v>1</v>
          </cell>
          <cell r="J576">
            <v>12</v>
          </cell>
          <cell r="K576">
            <v>1</v>
          </cell>
          <cell r="L576">
            <v>32103.16</v>
          </cell>
        </row>
        <row r="577">
          <cell r="A577">
            <v>104273</v>
          </cell>
          <cell r="B577">
            <v>18598</v>
          </cell>
          <cell r="C577">
            <v>18593</v>
          </cell>
          <cell r="D577" t="str">
            <v>MD</v>
          </cell>
          <cell r="E577" t="str">
            <v>B</v>
          </cell>
          <cell r="F577" t="str">
            <v>INTERMEDIATE TYPIST-CLERK</v>
          </cell>
          <cell r="G577" t="str">
            <v>2214A</v>
          </cell>
          <cell r="H577">
            <v>2675.27</v>
          </cell>
          <cell r="I577">
            <v>1</v>
          </cell>
          <cell r="J577">
            <v>12</v>
          </cell>
          <cell r="K577">
            <v>1</v>
          </cell>
          <cell r="L577">
            <v>32103.16</v>
          </cell>
        </row>
        <row r="578">
          <cell r="A578">
            <v>104589</v>
          </cell>
          <cell r="B578">
            <v>18593</v>
          </cell>
          <cell r="C578">
            <v>18593</v>
          </cell>
          <cell r="D578" t="str">
            <v>MD</v>
          </cell>
          <cell r="E578" t="str">
            <v>B</v>
          </cell>
          <cell r="F578" t="str">
            <v>INTERMEDIATE TYPIST-CLERK</v>
          </cell>
          <cell r="G578" t="str">
            <v>2214A</v>
          </cell>
          <cell r="H578">
            <v>2675.27</v>
          </cell>
          <cell r="I578">
            <v>1</v>
          </cell>
          <cell r="J578">
            <v>12</v>
          </cell>
          <cell r="K578">
            <v>1</v>
          </cell>
          <cell r="L578">
            <v>32103.16</v>
          </cell>
        </row>
        <row r="579">
          <cell r="A579">
            <v>107687</v>
          </cell>
          <cell r="B579">
            <v>18593</v>
          </cell>
          <cell r="C579">
            <v>18593</v>
          </cell>
          <cell r="D579" t="str">
            <v>MD</v>
          </cell>
          <cell r="E579" t="str">
            <v>B</v>
          </cell>
          <cell r="F579" t="str">
            <v>INTERMEDIATE TYPIST-CLERK</v>
          </cell>
          <cell r="G579" t="str">
            <v>2214A</v>
          </cell>
          <cell r="H579">
            <v>2675.27</v>
          </cell>
          <cell r="I579">
            <v>1</v>
          </cell>
          <cell r="J579">
            <v>12</v>
          </cell>
          <cell r="K579">
            <v>1</v>
          </cell>
          <cell r="L579">
            <v>32103.16</v>
          </cell>
        </row>
        <row r="580">
          <cell r="A580">
            <v>107688</v>
          </cell>
          <cell r="B580">
            <v>18593</v>
          </cell>
          <cell r="C580">
            <v>18593</v>
          </cell>
          <cell r="D580" t="str">
            <v>MD</v>
          </cell>
          <cell r="E580" t="str">
            <v>B</v>
          </cell>
          <cell r="F580" t="str">
            <v>INTERMEDIATE TYPIST-CLERK</v>
          </cell>
          <cell r="G580" t="str">
            <v>2214A</v>
          </cell>
          <cell r="H580">
            <v>2675.27</v>
          </cell>
          <cell r="I580">
            <v>1</v>
          </cell>
          <cell r="J580">
            <v>12</v>
          </cell>
          <cell r="K580">
            <v>1</v>
          </cell>
          <cell r="L580">
            <v>32103.16</v>
          </cell>
        </row>
        <row r="581">
          <cell r="A581">
            <v>107691</v>
          </cell>
          <cell r="B581">
            <v>18593</v>
          </cell>
          <cell r="C581">
            <v>18593</v>
          </cell>
          <cell r="D581" t="str">
            <v>MD</v>
          </cell>
          <cell r="E581" t="str">
            <v>B</v>
          </cell>
          <cell r="F581" t="str">
            <v>INTERMEDIATE TYPIST-CLERK</v>
          </cell>
          <cell r="G581" t="str">
            <v>2214A</v>
          </cell>
          <cell r="H581">
            <v>2675.27</v>
          </cell>
          <cell r="I581">
            <v>1</v>
          </cell>
          <cell r="J581">
            <v>12</v>
          </cell>
          <cell r="K581">
            <v>1</v>
          </cell>
          <cell r="L581">
            <v>32103.16</v>
          </cell>
        </row>
        <row r="582">
          <cell r="A582">
            <v>103112</v>
          </cell>
          <cell r="B582">
            <v>20560</v>
          </cell>
          <cell r="C582">
            <v>18593</v>
          </cell>
          <cell r="D582" t="str">
            <v>MD</v>
          </cell>
          <cell r="E582" t="str">
            <v>B</v>
          </cell>
          <cell r="F582" t="str">
            <v xml:space="preserve">MENTAL HEALTH ANALYST I            </v>
          </cell>
          <cell r="G582" t="str">
            <v>4727A</v>
          </cell>
          <cell r="H582">
            <v>5602.09</v>
          </cell>
          <cell r="I582">
            <v>1</v>
          </cell>
          <cell r="J582">
            <v>12</v>
          </cell>
          <cell r="K582">
            <v>1</v>
          </cell>
          <cell r="L582">
            <v>67225.16</v>
          </cell>
        </row>
        <row r="583">
          <cell r="A583">
            <v>103021</v>
          </cell>
          <cell r="B583">
            <v>18593</v>
          </cell>
          <cell r="C583">
            <v>18593</v>
          </cell>
          <cell r="D583" t="str">
            <v>MD</v>
          </cell>
          <cell r="E583" t="str">
            <v>B</v>
          </cell>
          <cell r="F583" t="str">
            <v>MENTAL HEALTH COUNSELOR, RN</v>
          </cell>
          <cell r="G583" t="str">
            <v>5278A</v>
          </cell>
          <cell r="H583">
            <v>6275.27</v>
          </cell>
          <cell r="I583">
            <v>1</v>
          </cell>
          <cell r="J583">
            <v>12</v>
          </cell>
          <cell r="K583">
            <v>1</v>
          </cell>
          <cell r="L583">
            <v>76804.323333333334</v>
          </cell>
        </row>
        <row r="584">
          <cell r="A584">
            <v>103022</v>
          </cell>
          <cell r="B584">
            <v>18593</v>
          </cell>
          <cell r="C584">
            <v>18593</v>
          </cell>
          <cell r="D584" t="str">
            <v>MD</v>
          </cell>
          <cell r="E584" t="str">
            <v>B</v>
          </cell>
          <cell r="F584" t="str">
            <v>MENTAL HEALTH COUNSELOR, RN</v>
          </cell>
          <cell r="G584" t="str">
            <v>5278A</v>
          </cell>
          <cell r="H584">
            <v>6275.27</v>
          </cell>
          <cell r="I584">
            <v>1</v>
          </cell>
          <cell r="J584">
            <v>12</v>
          </cell>
          <cell r="K584">
            <v>1</v>
          </cell>
          <cell r="L584">
            <v>76804.323333333334</v>
          </cell>
        </row>
        <row r="585">
          <cell r="A585">
            <v>103023</v>
          </cell>
          <cell r="B585">
            <v>18593</v>
          </cell>
          <cell r="C585">
            <v>18593</v>
          </cell>
          <cell r="D585" t="str">
            <v>MD</v>
          </cell>
          <cell r="E585" t="str">
            <v>B</v>
          </cell>
          <cell r="F585" t="str">
            <v>MENTAL HEALTH COUNSELOR, RN</v>
          </cell>
          <cell r="G585" t="str">
            <v>5278A</v>
          </cell>
          <cell r="H585">
            <v>6275.27</v>
          </cell>
          <cell r="I585">
            <v>1</v>
          </cell>
          <cell r="J585">
            <v>12</v>
          </cell>
          <cell r="K585">
            <v>1</v>
          </cell>
          <cell r="L585">
            <v>76804.323333333334</v>
          </cell>
        </row>
        <row r="586">
          <cell r="A586">
            <v>103026</v>
          </cell>
          <cell r="B586">
            <v>18593</v>
          </cell>
          <cell r="C586">
            <v>18593</v>
          </cell>
          <cell r="D586" t="str">
            <v>MD</v>
          </cell>
          <cell r="E586" t="str">
            <v>B</v>
          </cell>
          <cell r="F586" t="str">
            <v>MENTAL HEALTH COUNSELOR, RN</v>
          </cell>
          <cell r="G586" t="str">
            <v>5278A</v>
          </cell>
          <cell r="H586">
            <v>6275.27</v>
          </cell>
          <cell r="I586">
            <v>1</v>
          </cell>
          <cell r="J586">
            <v>12</v>
          </cell>
          <cell r="K586">
            <v>1</v>
          </cell>
          <cell r="L586">
            <v>76804.323333333334</v>
          </cell>
        </row>
        <row r="587">
          <cell r="A587">
            <v>103027</v>
          </cell>
          <cell r="B587">
            <v>18593</v>
          </cell>
          <cell r="C587">
            <v>18593</v>
          </cell>
          <cell r="D587" t="str">
            <v>MD</v>
          </cell>
          <cell r="E587" t="str">
            <v>B</v>
          </cell>
          <cell r="F587" t="str">
            <v>MENTAL HEALTH COUNSELOR, RN</v>
          </cell>
          <cell r="G587" t="str">
            <v>5278A</v>
          </cell>
          <cell r="H587">
            <v>6275.27</v>
          </cell>
          <cell r="I587">
            <v>1</v>
          </cell>
          <cell r="J587">
            <v>12</v>
          </cell>
          <cell r="K587">
            <v>1</v>
          </cell>
          <cell r="L587">
            <v>76804.323333333334</v>
          </cell>
        </row>
        <row r="588">
          <cell r="A588">
            <v>103028</v>
          </cell>
          <cell r="B588">
            <v>18593</v>
          </cell>
          <cell r="C588">
            <v>18593</v>
          </cell>
          <cell r="D588" t="str">
            <v>MD</v>
          </cell>
          <cell r="E588" t="str">
            <v>B</v>
          </cell>
          <cell r="F588" t="str">
            <v>MENTAL HEALTH COUNSELOR, RN</v>
          </cell>
          <cell r="G588" t="str">
            <v>5278A</v>
          </cell>
          <cell r="H588">
            <v>6275.27</v>
          </cell>
          <cell r="I588">
            <v>1</v>
          </cell>
          <cell r="J588">
            <v>12</v>
          </cell>
          <cell r="K588">
            <v>1</v>
          </cell>
          <cell r="L588">
            <v>76804.323333333334</v>
          </cell>
        </row>
        <row r="589">
          <cell r="A589">
            <v>104216</v>
          </cell>
          <cell r="B589">
            <v>23007</v>
          </cell>
          <cell r="C589">
            <v>18593</v>
          </cell>
          <cell r="D589" t="str">
            <v>MD</v>
          </cell>
          <cell r="E589" t="str">
            <v>B</v>
          </cell>
          <cell r="F589" t="str">
            <v>MENTAL HEALTH COUNSELOR, RN</v>
          </cell>
          <cell r="G589" t="str">
            <v>5278A</v>
          </cell>
          <cell r="H589">
            <v>6275.27</v>
          </cell>
          <cell r="I589">
            <v>1</v>
          </cell>
          <cell r="J589">
            <v>12</v>
          </cell>
          <cell r="K589">
            <v>1</v>
          </cell>
          <cell r="L589">
            <v>76804.323333333334</v>
          </cell>
        </row>
        <row r="590">
          <cell r="A590">
            <v>104595</v>
          </cell>
          <cell r="B590">
            <v>18593</v>
          </cell>
          <cell r="C590">
            <v>18593</v>
          </cell>
          <cell r="D590" t="str">
            <v>MD</v>
          </cell>
          <cell r="E590" t="str">
            <v>B</v>
          </cell>
          <cell r="F590" t="str">
            <v>MENTAL HEALTH COUNSELOR, RN</v>
          </cell>
          <cell r="G590" t="str">
            <v>5278A</v>
          </cell>
          <cell r="H590">
            <v>6275.27</v>
          </cell>
          <cell r="I590">
            <v>1</v>
          </cell>
          <cell r="J590">
            <v>12</v>
          </cell>
          <cell r="K590">
            <v>1</v>
          </cell>
          <cell r="L590">
            <v>76804.323333333334</v>
          </cell>
        </row>
        <row r="591">
          <cell r="A591">
            <v>103031</v>
          </cell>
          <cell r="B591">
            <v>18593</v>
          </cell>
          <cell r="C591">
            <v>18593</v>
          </cell>
          <cell r="D591" t="str">
            <v>MD</v>
          </cell>
          <cell r="E591" t="str">
            <v>B</v>
          </cell>
          <cell r="F591" t="str">
            <v>MENTAL HEALTH PSYCHIATRIST</v>
          </cell>
          <cell r="G591" t="str">
            <v>4735A</v>
          </cell>
          <cell r="H591">
            <v>12844</v>
          </cell>
          <cell r="I591">
            <v>1</v>
          </cell>
          <cell r="J591">
            <v>12</v>
          </cell>
          <cell r="K591">
            <v>1</v>
          </cell>
          <cell r="L591">
            <v>154128</v>
          </cell>
        </row>
        <row r="592">
          <cell r="A592">
            <v>104907</v>
          </cell>
          <cell r="B592">
            <v>20446</v>
          </cell>
          <cell r="C592">
            <v>18593</v>
          </cell>
          <cell r="D592" t="str">
            <v>MD</v>
          </cell>
          <cell r="E592" t="str">
            <v>B</v>
          </cell>
          <cell r="F592" t="str">
            <v>MENTAL HEALTH SERVICES COORD I</v>
          </cell>
          <cell r="G592" t="str">
            <v>8148A</v>
          </cell>
          <cell r="H592">
            <v>5126.91</v>
          </cell>
          <cell r="I592">
            <v>1</v>
          </cell>
          <cell r="J592">
            <v>12</v>
          </cell>
          <cell r="K592">
            <v>1</v>
          </cell>
          <cell r="L592">
            <v>61522.92</v>
          </cell>
        </row>
        <row r="593">
          <cell r="A593">
            <v>107693</v>
          </cell>
          <cell r="B593">
            <v>18593</v>
          </cell>
          <cell r="C593">
            <v>18593</v>
          </cell>
          <cell r="D593" t="str">
            <v>MD</v>
          </cell>
          <cell r="E593" t="str">
            <v>B</v>
          </cell>
          <cell r="F593" t="str">
            <v>MNTL HLTH CLINICAL PROGRAM HEAD</v>
          </cell>
          <cell r="G593" t="str">
            <v>4726A</v>
          </cell>
          <cell r="H593">
            <v>8709.73</v>
          </cell>
          <cell r="I593">
            <v>1</v>
          </cell>
          <cell r="J593">
            <v>12</v>
          </cell>
          <cell r="K593">
            <v>1</v>
          </cell>
          <cell r="L593">
            <v>104516.76</v>
          </cell>
        </row>
        <row r="594">
          <cell r="A594">
            <v>103264</v>
          </cell>
          <cell r="B594">
            <v>20499</v>
          </cell>
          <cell r="C594">
            <v>18593</v>
          </cell>
          <cell r="D594" t="str">
            <v>MD</v>
          </cell>
          <cell r="E594" t="str">
            <v>B</v>
          </cell>
          <cell r="F594" t="str">
            <v>PSYCHIATRIC SOCIAL WORKER II</v>
          </cell>
          <cell r="G594" t="str">
            <v>9035A</v>
          </cell>
          <cell r="H594">
            <v>5425.82</v>
          </cell>
          <cell r="I594">
            <v>1</v>
          </cell>
          <cell r="J594">
            <v>6</v>
          </cell>
          <cell r="K594">
            <v>0.5</v>
          </cell>
          <cell r="L594">
            <v>32554.92</v>
          </cell>
        </row>
        <row r="595">
          <cell r="A595">
            <v>103509</v>
          </cell>
          <cell r="B595">
            <v>18593</v>
          </cell>
          <cell r="C595">
            <v>18593</v>
          </cell>
          <cell r="D595" t="str">
            <v>MD</v>
          </cell>
          <cell r="E595" t="str">
            <v>B</v>
          </cell>
          <cell r="F595" t="str">
            <v>PSYCHIATRIC SOCIAL WORKER II</v>
          </cell>
          <cell r="G595" t="str">
            <v>9035A</v>
          </cell>
          <cell r="H595">
            <v>5425.82</v>
          </cell>
          <cell r="I595">
            <v>1</v>
          </cell>
          <cell r="J595">
            <v>12</v>
          </cell>
          <cell r="K595">
            <v>1</v>
          </cell>
          <cell r="L595">
            <v>65109.84</v>
          </cell>
        </row>
        <row r="596">
          <cell r="A596">
            <v>103981</v>
          </cell>
          <cell r="B596">
            <v>18593</v>
          </cell>
          <cell r="C596">
            <v>18593</v>
          </cell>
          <cell r="D596" t="str">
            <v>MD</v>
          </cell>
          <cell r="E596" t="str">
            <v>B</v>
          </cell>
          <cell r="F596" t="str">
            <v>PSYCHIATRIC SOCIAL WORKER II</v>
          </cell>
          <cell r="G596" t="str">
            <v>9035A</v>
          </cell>
          <cell r="H596">
            <v>5425.82</v>
          </cell>
          <cell r="I596">
            <v>1</v>
          </cell>
          <cell r="J596">
            <v>12</v>
          </cell>
          <cell r="K596">
            <v>1</v>
          </cell>
          <cell r="L596">
            <v>65109.84</v>
          </cell>
        </row>
        <row r="597">
          <cell r="A597">
            <v>103033</v>
          </cell>
          <cell r="B597">
            <v>18593</v>
          </cell>
          <cell r="C597">
            <v>18593</v>
          </cell>
          <cell r="D597" t="str">
            <v>MD</v>
          </cell>
          <cell r="E597" t="str">
            <v>B</v>
          </cell>
          <cell r="F597" t="str">
            <v xml:space="preserve">SECRETARY III                      </v>
          </cell>
          <cell r="G597" t="str">
            <v>2096A</v>
          </cell>
          <cell r="H597">
            <v>3387</v>
          </cell>
          <cell r="I597">
            <v>1</v>
          </cell>
          <cell r="J597">
            <v>12</v>
          </cell>
          <cell r="K597">
            <v>1</v>
          </cell>
          <cell r="L597">
            <v>40643.839999999997</v>
          </cell>
        </row>
        <row r="598">
          <cell r="A598">
            <v>104591</v>
          </cell>
          <cell r="B598">
            <v>18593</v>
          </cell>
          <cell r="C598">
            <v>18593</v>
          </cell>
          <cell r="D598" t="str">
            <v>MD</v>
          </cell>
          <cell r="E598" t="str">
            <v>B</v>
          </cell>
          <cell r="F598" t="str">
            <v xml:space="preserve">SECRETARY III                      </v>
          </cell>
          <cell r="G598" t="str">
            <v>2096A</v>
          </cell>
          <cell r="H598">
            <v>3387</v>
          </cell>
          <cell r="I598">
            <v>1</v>
          </cell>
          <cell r="J598">
            <v>12</v>
          </cell>
          <cell r="K598">
            <v>1</v>
          </cell>
          <cell r="L598">
            <v>40643.839999999997</v>
          </cell>
        </row>
        <row r="599">
          <cell r="A599">
            <v>103036</v>
          </cell>
          <cell r="B599">
            <v>18593</v>
          </cell>
          <cell r="C599">
            <v>18593</v>
          </cell>
          <cell r="D599" t="str">
            <v>MD</v>
          </cell>
          <cell r="E599" t="str">
            <v>B</v>
          </cell>
          <cell r="F599" t="str">
            <v xml:space="preserve">SENIOR CLERK                       </v>
          </cell>
          <cell r="G599" t="str">
            <v>1140A</v>
          </cell>
          <cell r="H599">
            <v>2941</v>
          </cell>
          <cell r="I599">
            <v>1</v>
          </cell>
          <cell r="J599">
            <v>12</v>
          </cell>
          <cell r="K599">
            <v>1</v>
          </cell>
          <cell r="L599">
            <v>35292</v>
          </cell>
        </row>
        <row r="600">
          <cell r="A600">
            <v>103017</v>
          </cell>
          <cell r="B600">
            <v>20474</v>
          </cell>
          <cell r="C600">
            <v>18593</v>
          </cell>
          <cell r="D600" t="str">
            <v>MD</v>
          </cell>
          <cell r="E600" t="str">
            <v>B</v>
          </cell>
          <cell r="F600" t="str">
            <v>SENIOR MENTAL HEALTH COUNSELOR, RN</v>
          </cell>
          <cell r="G600" t="str">
            <v>5280A</v>
          </cell>
          <cell r="H600">
            <v>6790.09</v>
          </cell>
          <cell r="I600">
            <v>1</v>
          </cell>
          <cell r="J600">
            <v>12</v>
          </cell>
          <cell r="K600">
            <v>1</v>
          </cell>
          <cell r="L600">
            <v>83105.40203389831</v>
          </cell>
        </row>
        <row r="601">
          <cell r="A601">
            <v>103512</v>
          </cell>
          <cell r="B601">
            <v>18593</v>
          </cell>
          <cell r="C601">
            <v>18593</v>
          </cell>
          <cell r="D601" t="str">
            <v>MD</v>
          </cell>
          <cell r="E601" t="str">
            <v>B</v>
          </cell>
          <cell r="F601" t="str">
            <v>SENIOR MENTAL HEALTH COUNSELOR, RN</v>
          </cell>
          <cell r="G601" t="str">
            <v>5280A</v>
          </cell>
          <cell r="H601">
            <v>6790.09</v>
          </cell>
          <cell r="I601">
            <v>1</v>
          </cell>
          <cell r="J601">
            <v>12</v>
          </cell>
          <cell r="K601">
            <v>1</v>
          </cell>
          <cell r="L601">
            <v>83105.40203389831</v>
          </cell>
        </row>
        <row r="602">
          <cell r="A602">
            <v>103659</v>
          </cell>
          <cell r="B602">
            <v>18593</v>
          </cell>
          <cell r="C602">
            <v>18593</v>
          </cell>
          <cell r="D602" t="str">
            <v>MD</v>
          </cell>
          <cell r="E602" t="str">
            <v>B</v>
          </cell>
          <cell r="F602" t="str">
            <v>SENIOR MENTAL HEALTH COUNSELOR, RN</v>
          </cell>
          <cell r="G602" t="str">
            <v>5280A</v>
          </cell>
          <cell r="H602">
            <v>6790.09</v>
          </cell>
          <cell r="I602">
            <v>1</v>
          </cell>
          <cell r="J602">
            <v>12</v>
          </cell>
          <cell r="K602">
            <v>1</v>
          </cell>
          <cell r="L602">
            <v>83105.40203389831</v>
          </cell>
        </row>
        <row r="603">
          <cell r="A603">
            <v>103513</v>
          </cell>
          <cell r="B603">
            <v>18593</v>
          </cell>
          <cell r="C603">
            <v>18593</v>
          </cell>
          <cell r="D603" t="str">
            <v>MD</v>
          </cell>
          <cell r="E603" t="str">
            <v>B</v>
          </cell>
          <cell r="F603" t="str">
            <v xml:space="preserve">SENIOR SECRETARY II                </v>
          </cell>
          <cell r="G603" t="str">
            <v>2101A</v>
          </cell>
          <cell r="H603">
            <v>3891.09</v>
          </cell>
          <cell r="I603">
            <v>1</v>
          </cell>
          <cell r="J603">
            <v>12</v>
          </cell>
          <cell r="K603">
            <v>1</v>
          </cell>
          <cell r="L603">
            <v>46693.24</v>
          </cell>
        </row>
        <row r="604">
          <cell r="A604">
            <v>109371</v>
          </cell>
          <cell r="B604">
            <v>27631</v>
          </cell>
          <cell r="C604">
            <v>18593</v>
          </cell>
          <cell r="D604" t="str">
            <v>MD</v>
          </cell>
          <cell r="E604" t="str">
            <v>B</v>
          </cell>
          <cell r="F604" t="str">
            <v xml:space="preserve">SENIOR SECRETARY III               </v>
          </cell>
          <cell r="G604" t="str">
            <v>2102A</v>
          </cell>
          <cell r="H604">
            <v>4106.3599999999997</v>
          </cell>
          <cell r="I604">
            <v>1</v>
          </cell>
          <cell r="J604">
            <v>12</v>
          </cell>
          <cell r="K604">
            <v>1</v>
          </cell>
          <cell r="L604">
            <v>49276.32</v>
          </cell>
        </row>
        <row r="605">
          <cell r="A605">
            <v>104079</v>
          </cell>
          <cell r="B605">
            <v>18593</v>
          </cell>
          <cell r="C605">
            <v>18593</v>
          </cell>
          <cell r="D605" t="str">
            <v>MD</v>
          </cell>
          <cell r="E605" t="str">
            <v>B</v>
          </cell>
          <cell r="F605" t="str">
            <v xml:space="preserve">SENIOR TYPIST-CLERK                </v>
          </cell>
          <cell r="G605" t="str">
            <v>2216A</v>
          </cell>
          <cell r="H605">
            <v>3013.55</v>
          </cell>
          <cell r="I605">
            <v>1</v>
          </cell>
          <cell r="J605">
            <v>12</v>
          </cell>
          <cell r="K605">
            <v>1</v>
          </cell>
          <cell r="L605">
            <v>36162.6</v>
          </cell>
        </row>
        <row r="606">
          <cell r="A606">
            <v>104360</v>
          </cell>
          <cell r="B606">
            <v>23061</v>
          </cell>
          <cell r="C606">
            <v>18593</v>
          </cell>
          <cell r="D606" t="str">
            <v>MD</v>
          </cell>
          <cell r="E606" t="str">
            <v>B</v>
          </cell>
          <cell r="F606" t="str">
            <v xml:space="preserve">SENIOR TYPIST-CLERK                </v>
          </cell>
          <cell r="G606" t="str">
            <v>2216A</v>
          </cell>
          <cell r="H606">
            <v>3013.55</v>
          </cell>
          <cell r="I606">
            <v>1</v>
          </cell>
          <cell r="J606">
            <v>12</v>
          </cell>
          <cell r="K606">
            <v>1</v>
          </cell>
          <cell r="L606">
            <v>36162.6</v>
          </cell>
        </row>
        <row r="607">
          <cell r="A607">
            <v>107013</v>
          </cell>
          <cell r="B607">
            <v>18593</v>
          </cell>
          <cell r="C607">
            <v>18593</v>
          </cell>
          <cell r="D607" t="str">
            <v>MD</v>
          </cell>
          <cell r="E607" t="str">
            <v>B</v>
          </cell>
          <cell r="F607" t="str">
            <v xml:space="preserve">SENIOR TYPIST-CLERK                </v>
          </cell>
          <cell r="G607" t="str">
            <v>2216A</v>
          </cell>
          <cell r="H607">
            <v>3013.55</v>
          </cell>
          <cell r="I607">
            <v>1</v>
          </cell>
          <cell r="J607">
            <v>12</v>
          </cell>
          <cell r="K607">
            <v>1</v>
          </cell>
          <cell r="L607">
            <v>36162.6</v>
          </cell>
        </row>
        <row r="608">
          <cell r="A608">
            <v>107014</v>
          </cell>
          <cell r="B608">
            <v>18593</v>
          </cell>
          <cell r="C608">
            <v>18593</v>
          </cell>
          <cell r="D608" t="str">
            <v>MD</v>
          </cell>
          <cell r="E608" t="str">
            <v>B</v>
          </cell>
          <cell r="F608" t="str">
            <v xml:space="preserve">SENIOR TYPIST-CLERK                </v>
          </cell>
          <cell r="G608" t="str">
            <v>2216A</v>
          </cell>
          <cell r="H608">
            <v>3013.55</v>
          </cell>
          <cell r="I608">
            <v>1</v>
          </cell>
          <cell r="J608">
            <v>12</v>
          </cell>
          <cell r="K608">
            <v>1</v>
          </cell>
          <cell r="L608">
            <v>36162.6</v>
          </cell>
        </row>
        <row r="609">
          <cell r="A609">
            <v>103662</v>
          </cell>
          <cell r="B609">
            <v>18593</v>
          </cell>
          <cell r="C609">
            <v>18593</v>
          </cell>
          <cell r="D609" t="str">
            <v>MD</v>
          </cell>
          <cell r="E609" t="str">
            <v>B</v>
          </cell>
          <cell r="F609" t="str">
            <v xml:space="preserve">SR COMMUN MENTAL HLTH PSYCHOLOGIST </v>
          </cell>
          <cell r="G609" t="str">
            <v>8712A</v>
          </cell>
          <cell r="H609">
            <v>7311.45</v>
          </cell>
          <cell r="I609">
            <v>1</v>
          </cell>
          <cell r="J609">
            <v>12</v>
          </cell>
          <cell r="K609">
            <v>1</v>
          </cell>
          <cell r="L609">
            <v>87737.16</v>
          </cell>
        </row>
        <row r="610">
          <cell r="A610">
            <v>104075</v>
          </cell>
          <cell r="B610">
            <v>18593</v>
          </cell>
          <cell r="C610">
            <v>18593</v>
          </cell>
          <cell r="D610" t="str">
            <v>MD</v>
          </cell>
          <cell r="E610" t="str">
            <v>B</v>
          </cell>
          <cell r="F610" t="str">
            <v xml:space="preserve">STAFF ASSISTANT I                  </v>
          </cell>
          <cell r="G610" t="str">
            <v>0907A</v>
          </cell>
          <cell r="H610">
            <v>3453.18</v>
          </cell>
          <cell r="I610">
            <v>1</v>
          </cell>
          <cell r="J610">
            <v>12</v>
          </cell>
          <cell r="K610">
            <v>1</v>
          </cell>
          <cell r="L610">
            <v>41438.480000000003</v>
          </cell>
        </row>
        <row r="611">
          <cell r="A611">
            <v>107002</v>
          </cell>
          <cell r="B611">
            <v>18593</v>
          </cell>
          <cell r="C611">
            <v>18593</v>
          </cell>
          <cell r="D611" t="str">
            <v>MD</v>
          </cell>
          <cell r="E611" t="str">
            <v>B</v>
          </cell>
          <cell r="F611" t="str">
            <v xml:space="preserve">STAFF ASSISTANT I                  </v>
          </cell>
          <cell r="G611" t="str">
            <v>0907A</v>
          </cell>
          <cell r="H611">
            <v>3453.18</v>
          </cell>
          <cell r="I611">
            <v>1</v>
          </cell>
          <cell r="J611">
            <v>12</v>
          </cell>
          <cell r="K611">
            <v>1</v>
          </cell>
          <cell r="L611">
            <v>41438.480000000003</v>
          </cell>
        </row>
        <row r="612">
          <cell r="A612">
            <v>103039</v>
          </cell>
          <cell r="B612">
            <v>27611</v>
          </cell>
          <cell r="C612">
            <v>18593</v>
          </cell>
          <cell r="D612" t="str">
            <v>MD</v>
          </cell>
          <cell r="E612" t="str">
            <v>B</v>
          </cell>
          <cell r="F612" t="str">
            <v xml:space="preserve">STAFF ASSISTANT II                 </v>
          </cell>
          <cell r="G612" t="str">
            <v>0913A</v>
          </cell>
          <cell r="H612">
            <v>4167.45</v>
          </cell>
          <cell r="I612">
            <v>1</v>
          </cell>
          <cell r="J612">
            <v>12</v>
          </cell>
          <cell r="K612">
            <v>1</v>
          </cell>
          <cell r="L612">
            <v>50009.24</v>
          </cell>
        </row>
        <row r="613">
          <cell r="A613">
            <v>104939</v>
          </cell>
          <cell r="B613">
            <v>18593</v>
          </cell>
          <cell r="C613">
            <v>18593</v>
          </cell>
          <cell r="D613" t="str">
            <v>MD</v>
          </cell>
          <cell r="E613" t="str">
            <v>B</v>
          </cell>
          <cell r="F613" t="str">
            <v xml:space="preserve">STUDENT PROFESSIONAL WORKER        </v>
          </cell>
          <cell r="G613" t="str">
            <v>8243F</v>
          </cell>
          <cell r="H613">
            <v>10.3</v>
          </cell>
          <cell r="I613">
            <v>1</v>
          </cell>
          <cell r="J613">
            <v>1044</v>
          </cell>
          <cell r="K613">
            <v>0</v>
          </cell>
          <cell r="L613">
            <v>10753</v>
          </cell>
        </row>
        <row r="614">
          <cell r="A614">
            <v>107006</v>
          </cell>
          <cell r="B614">
            <v>18593</v>
          </cell>
          <cell r="C614">
            <v>18593</v>
          </cell>
          <cell r="D614" t="str">
            <v>MD</v>
          </cell>
          <cell r="E614" t="str">
            <v>B</v>
          </cell>
          <cell r="F614" t="str">
            <v xml:space="preserve">STUDENT PROFESSIONAL WORKER        </v>
          </cell>
          <cell r="G614" t="str">
            <v>8243F</v>
          </cell>
          <cell r="H614">
            <v>10.3</v>
          </cell>
          <cell r="I614">
            <v>1</v>
          </cell>
          <cell r="J614">
            <v>2088</v>
          </cell>
          <cell r="K614">
            <v>0</v>
          </cell>
          <cell r="L614">
            <v>21506</v>
          </cell>
        </row>
        <row r="615">
          <cell r="A615">
            <v>104264</v>
          </cell>
          <cell r="B615">
            <v>20469</v>
          </cell>
          <cell r="C615">
            <v>18593</v>
          </cell>
          <cell r="D615" t="str">
            <v>MD</v>
          </cell>
          <cell r="E615" t="str">
            <v>B</v>
          </cell>
          <cell r="F615" t="str">
            <v xml:space="preserve">SUPVG MENTAL HEALTH PSYCHIATRIST   </v>
          </cell>
          <cell r="G615" t="str">
            <v>4737A</v>
          </cell>
          <cell r="H615">
            <v>13870</v>
          </cell>
          <cell r="I615">
            <v>1</v>
          </cell>
          <cell r="J615">
            <v>12</v>
          </cell>
          <cell r="K615">
            <v>1</v>
          </cell>
          <cell r="L615">
            <v>166440</v>
          </cell>
        </row>
        <row r="616">
          <cell r="A616">
            <v>109360</v>
          </cell>
          <cell r="B616">
            <v>27631</v>
          </cell>
          <cell r="C616">
            <v>27611</v>
          </cell>
          <cell r="D616" t="str">
            <v>MD</v>
          </cell>
          <cell r="E616" t="str">
            <v>B</v>
          </cell>
          <cell r="F616" t="str">
            <v xml:space="preserve">ACCOUNTING SYSTEMS TECHNICIAN      </v>
          </cell>
          <cell r="G616" t="str">
            <v>0665A</v>
          </cell>
          <cell r="H616">
            <v>4565.3599999999997</v>
          </cell>
          <cell r="I616">
            <v>1</v>
          </cell>
          <cell r="J616">
            <v>12</v>
          </cell>
          <cell r="K616">
            <v>1</v>
          </cell>
          <cell r="L616">
            <v>54784.160000000003</v>
          </cell>
        </row>
        <row r="617">
          <cell r="A617">
            <v>109353</v>
          </cell>
          <cell r="B617">
            <v>27611</v>
          </cell>
          <cell r="C617">
            <v>27611</v>
          </cell>
          <cell r="D617" t="str">
            <v>MD</v>
          </cell>
          <cell r="E617" t="str">
            <v>B</v>
          </cell>
          <cell r="F617" t="str">
            <v>INTERMEDIATE TYPIST-CLERK</v>
          </cell>
          <cell r="G617" t="str">
            <v>2214A</v>
          </cell>
          <cell r="H617">
            <v>2675.27</v>
          </cell>
          <cell r="I617">
            <v>1</v>
          </cell>
          <cell r="J617">
            <v>12</v>
          </cell>
          <cell r="K617">
            <v>1</v>
          </cell>
          <cell r="L617">
            <v>32103.16</v>
          </cell>
        </row>
        <row r="618">
          <cell r="A618">
            <v>109354</v>
          </cell>
          <cell r="B618">
            <v>27611</v>
          </cell>
          <cell r="C618">
            <v>27611</v>
          </cell>
          <cell r="D618" t="str">
            <v>MD</v>
          </cell>
          <cell r="E618" t="str">
            <v>B</v>
          </cell>
          <cell r="F618" t="str">
            <v>INTERMEDIATE TYPIST-CLERK</v>
          </cell>
          <cell r="G618" t="str">
            <v>2214A</v>
          </cell>
          <cell r="H618">
            <v>2675.27</v>
          </cell>
          <cell r="I618">
            <v>1</v>
          </cell>
          <cell r="J618">
            <v>12</v>
          </cell>
          <cell r="K618">
            <v>1</v>
          </cell>
          <cell r="L618">
            <v>32103.16</v>
          </cell>
        </row>
        <row r="619">
          <cell r="A619">
            <v>106282</v>
          </cell>
          <cell r="B619">
            <v>20446</v>
          </cell>
          <cell r="C619">
            <v>27611</v>
          </cell>
          <cell r="D619" t="str">
            <v>MD</v>
          </cell>
          <cell r="E619" t="str">
            <v>B</v>
          </cell>
          <cell r="F619" t="str">
            <v>PSYCHIATRIC SOCIAL WORKER II</v>
          </cell>
          <cell r="G619" t="str">
            <v>9035A</v>
          </cell>
          <cell r="H619">
            <v>5425.82</v>
          </cell>
          <cell r="I619">
            <v>1</v>
          </cell>
          <cell r="J619">
            <v>12</v>
          </cell>
          <cell r="K619">
            <v>1</v>
          </cell>
          <cell r="L619">
            <v>65109.84</v>
          </cell>
        </row>
        <row r="620">
          <cell r="A620">
            <v>109356</v>
          </cell>
          <cell r="B620">
            <v>27611</v>
          </cell>
          <cell r="D620" t="str">
            <v>MD</v>
          </cell>
          <cell r="E620" t="str">
            <v>B</v>
          </cell>
          <cell r="F620" t="str">
            <v>PSYCHIATRIC SOCIAL WORKER II</v>
          </cell>
          <cell r="G620" t="str">
            <v>9035A</v>
          </cell>
          <cell r="H620">
            <v>5425.82</v>
          </cell>
          <cell r="I620">
            <v>1</v>
          </cell>
          <cell r="J620">
            <v>12</v>
          </cell>
          <cell r="K620">
            <v>1</v>
          </cell>
          <cell r="L620">
            <v>65109.760000000002</v>
          </cell>
        </row>
        <row r="621">
          <cell r="A621">
            <v>109357</v>
          </cell>
          <cell r="B621">
            <v>27611</v>
          </cell>
          <cell r="C621">
            <v>27611</v>
          </cell>
          <cell r="D621" t="str">
            <v>MD</v>
          </cell>
          <cell r="E621" t="str">
            <v>B</v>
          </cell>
          <cell r="F621" t="str">
            <v>PSYCHIATRIC SOCIAL WORKER II</v>
          </cell>
          <cell r="G621" t="str">
            <v>9035A</v>
          </cell>
          <cell r="H621">
            <v>5425.82</v>
          </cell>
          <cell r="I621">
            <v>1</v>
          </cell>
          <cell r="J621">
            <v>12</v>
          </cell>
          <cell r="K621">
            <v>1</v>
          </cell>
          <cell r="L621">
            <v>65109.84</v>
          </cell>
        </row>
        <row r="622">
          <cell r="A622">
            <v>109358</v>
          </cell>
          <cell r="B622">
            <v>27611</v>
          </cell>
          <cell r="C622">
            <v>27611</v>
          </cell>
          <cell r="D622" t="str">
            <v>MD</v>
          </cell>
          <cell r="E622" t="str">
            <v>B</v>
          </cell>
          <cell r="F622" t="str">
            <v>PSYCHIATRIC SOCIAL WORKER II</v>
          </cell>
          <cell r="G622" t="str">
            <v>9035A</v>
          </cell>
          <cell r="H622">
            <v>5425.82</v>
          </cell>
          <cell r="I622">
            <v>1</v>
          </cell>
          <cell r="J622">
            <v>12</v>
          </cell>
          <cell r="K622">
            <v>1</v>
          </cell>
          <cell r="L622">
            <v>65109.84</v>
          </cell>
        </row>
        <row r="623">
          <cell r="A623">
            <v>103660</v>
          </cell>
          <cell r="B623">
            <v>27611</v>
          </cell>
          <cell r="C623">
            <v>27611</v>
          </cell>
          <cell r="D623" t="str">
            <v>MD</v>
          </cell>
          <cell r="E623" t="str">
            <v>B</v>
          </cell>
          <cell r="F623" t="str">
            <v>SENIOR MENTAL HEALTH COUNSELOR, RN</v>
          </cell>
          <cell r="G623" t="str">
            <v>5280A</v>
          </cell>
          <cell r="H623">
            <v>6790.09</v>
          </cell>
          <cell r="I623">
            <v>1</v>
          </cell>
          <cell r="J623">
            <v>12</v>
          </cell>
          <cell r="K623">
            <v>1</v>
          </cell>
          <cell r="L623">
            <v>83105.40203389831</v>
          </cell>
        </row>
        <row r="624">
          <cell r="A624">
            <v>107692</v>
          </cell>
          <cell r="B624">
            <v>27611</v>
          </cell>
          <cell r="C624">
            <v>27611</v>
          </cell>
          <cell r="D624" t="str">
            <v>MD</v>
          </cell>
          <cell r="E624" t="str">
            <v>B</v>
          </cell>
          <cell r="F624" t="str">
            <v>SENIOR MENTAL HEALTH COUNSELOR, RN</v>
          </cell>
          <cell r="G624" t="str">
            <v>5280A</v>
          </cell>
          <cell r="H624">
            <v>6790.09</v>
          </cell>
          <cell r="I624">
            <v>1</v>
          </cell>
          <cell r="J624">
            <v>12</v>
          </cell>
          <cell r="K624">
            <v>1</v>
          </cell>
          <cell r="L624">
            <v>83105.40203389831</v>
          </cell>
        </row>
        <row r="625">
          <cell r="A625">
            <v>107694</v>
          </cell>
          <cell r="B625">
            <v>27611</v>
          </cell>
          <cell r="C625">
            <v>27611</v>
          </cell>
          <cell r="D625" t="str">
            <v>MD</v>
          </cell>
          <cell r="E625" t="str">
            <v>B</v>
          </cell>
          <cell r="F625" t="str">
            <v xml:space="preserve">STAFF ASSISTANT I                  </v>
          </cell>
          <cell r="G625" t="str">
            <v>0907A</v>
          </cell>
          <cell r="H625">
            <v>3453.18</v>
          </cell>
          <cell r="I625">
            <v>1</v>
          </cell>
          <cell r="J625">
            <v>12</v>
          </cell>
          <cell r="K625">
            <v>1</v>
          </cell>
          <cell r="L625">
            <v>41438.480000000003</v>
          </cell>
        </row>
        <row r="626">
          <cell r="A626">
            <v>109359</v>
          </cell>
          <cell r="B626">
            <v>27611</v>
          </cell>
          <cell r="C626">
            <v>27611</v>
          </cell>
          <cell r="D626" t="str">
            <v>MD</v>
          </cell>
          <cell r="E626" t="str">
            <v>B</v>
          </cell>
          <cell r="F626" t="str">
            <v xml:space="preserve">SUPVG PSYCHIATRIC SOCIAL WORKER    </v>
          </cell>
          <cell r="G626" t="str">
            <v>9038A</v>
          </cell>
          <cell r="H626">
            <v>6062.45</v>
          </cell>
          <cell r="I626">
            <v>1</v>
          </cell>
          <cell r="J626">
            <v>12</v>
          </cell>
          <cell r="K626">
            <v>1</v>
          </cell>
          <cell r="L626">
            <v>72749</v>
          </cell>
        </row>
        <row r="627">
          <cell r="A627">
            <v>100241</v>
          </cell>
          <cell r="B627">
            <v>20551</v>
          </cell>
          <cell r="C627">
            <v>20474</v>
          </cell>
          <cell r="D627" t="str">
            <v>MD</v>
          </cell>
          <cell r="E627" t="str">
            <v>B</v>
          </cell>
          <cell r="F627" t="str">
            <v>DEPUTY DIRECTOR, MENTAL HEALTH (UC)</v>
          </cell>
          <cell r="G627" t="str">
            <v>4707A</v>
          </cell>
          <cell r="H627">
            <v>10568.17</v>
          </cell>
          <cell r="I627">
            <v>1</v>
          </cell>
          <cell r="J627">
            <v>12</v>
          </cell>
          <cell r="K627">
            <v>1</v>
          </cell>
          <cell r="L627">
            <v>126818</v>
          </cell>
        </row>
        <row r="628">
          <cell r="A628">
            <v>104377</v>
          </cell>
          <cell r="B628">
            <v>20589</v>
          </cell>
          <cell r="C628">
            <v>20474</v>
          </cell>
          <cell r="D628" t="str">
            <v>MD</v>
          </cell>
          <cell r="E628" t="str">
            <v>B</v>
          </cell>
          <cell r="F628" t="str">
            <v xml:space="preserve">DIV CHIEF,PROGRAM DEVELOPMENT,MH   </v>
          </cell>
          <cell r="G628" t="str">
            <v>4720A</v>
          </cell>
          <cell r="H628">
            <v>9356</v>
          </cell>
          <cell r="I628">
            <v>1</v>
          </cell>
          <cell r="J628">
            <v>12</v>
          </cell>
          <cell r="K628">
            <v>1</v>
          </cell>
          <cell r="L628">
            <v>112271.84</v>
          </cell>
        </row>
        <row r="629">
          <cell r="A629">
            <v>103507</v>
          </cell>
          <cell r="B629">
            <v>18593</v>
          </cell>
          <cell r="C629">
            <v>20474</v>
          </cell>
          <cell r="D629" t="str">
            <v>MD</v>
          </cell>
          <cell r="E629" t="str">
            <v>B</v>
          </cell>
          <cell r="F629" t="str">
            <v>INFORMATION SYSTEMS ANALYST II</v>
          </cell>
          <cell r="G629" t="str">
            <v>2591A</v>
          </cell>
          <cell r="H629">
            <v>5425.82</v>
          </cell>
          <cell r="I629">
            <v>1</v>
          </cell>
          <cell r="J629">
            <v>12</v>
          </cell>
          <cell r="K629">
            <v>1</v>
          </cell>
          <cell r="L629">
            <v>65109.84</v>
          </cell>
        </row>
        <row r="630">
          <cell r="A630">
            <v>104692</v>
          </cell>
          <cell r="B630">
            <v>23001</v>
          </cell>
          <cell r="C630">
            <v>20474</v>
          </cell>
          <cell r="D630" t="str">
            <v>MD</v>
          </cell>
          <cell r="E630" t="str">
            <v>B</v>
          </cell>
          <cell r="F630" t="str">
            <v>INTERMEDIATE TYPIST-CLERK</v>
          </cell>
          <cell r="G630" t="str">
            <v>2214A</v>
          </cell>
          <cell r="H630">
            <v>2675.27</v>
          </cell>
          <cell r="I630">
            <v>1</v>
          </cell>
          <cell r="J630">
            <v>12</v>
          </cell>
          <cell r="K630">
            <v>1</v>
          </cell>
          <cell r="L630">
            <v>32103.16</v>
          </cell>
        </row>
        <row r="631">
          <cell r="A631">
            <v>103014</v>
          </cell>
          <cell r="B631">
            <v>20474</v>
          </cell>
          <cell r="C631">
            <v>20474</v>
          </cell>
          <cell r="D631" t="str">
            <v>MD</v>
          </cell>
          <cell r="E631" t="str">
            <v>B</v>
          </cell>
          <cell r="F631" t="str">
            <v xml:space="preserve">MANAGEMENT SECRETARY III           </v>
          </cell>
          <cell r="G631" t="str">
            <v>2109A</v>
          </cell>
          <cell r="H631">
            <v>4576.7299999999996</v>
          </cell>
          <cell r="I631">
            <v>1</v>
          </cell>
          <cell r="J631">
            <v>12</v>
          </cell>
          <cell r="K631">
            <v>1</v>
          </cell>
          <cell r="L631">
            <v>54920.52</v>
          </cell>
        </row>
        <row r="632">
          <cell r="A632">
            <v>103015</v>
          </cell>
          <cell r="B632">
            <v>18593</v>
          </cell>
          <cell r="C632">
            <v>20474</v>
          </cell>
          <cell r="D632" t="str">
            <v>MD</v>
          </cell>
          <cell r="E632" t="str">
            <v>B</v>
          </cell>
          <cell r="F632" t="str">
            <v xml:space="preserve">MENTAL HEALTH ANALYST III          </v>
          </cell>
          <cell r="G632" t="str">
            <v>4731A</v>
          </cell>
          <cell r="H632">
            <v>7329.55</v>
          </cell>
          <cell r="I632">
            <v>1</v>
          </cell>
          <cell r="J632">
            <v>12</v>
          </cell>
          <cell r="K632">
            <v>1</v>
          </cell>
          <cell r="L632">
            <v>87954.76</v>
          </cell>
        </row>
        <row r="633">
          <cell r="A633">
            <v>103557</v>
          </cell>
          <cell r="B633">
            <v>18621</v>
          </cell>
          <cell r="C633">
            <v>20474</v>
          </cell>
          <cell r="D633" t="str">
            <v>MD</v>
          </cell>
          <cell r="E633" t="str">
            <v>B</v>
          </cell>
          <cell r="F633" t="str">
            <v xml:space="preserve">MENTAL HEALTH ANALYST III          </v>
          </cell>
          <cell r="G633" t="str">
            <v>4731A</v>
          </cell>
          <cell r="H633">
            <v>7329.55</v>
          </cell>
          <cell r="I633">
            <v>1</v>
          </cell>
          <cell r="J633">
            <v>12</v>
          </cell>
          <cell r="K633">
            <v>1</v>
          </cell>
          <cell r="L633">
            <v>87954.76</v>
          </cell>
        </row>
        <row r="634">
          <cell r="A634">
            <v>102493</v>
          </cell>
          <cell r="B634">
            <v>20474</v>
          </cell>
          <cell r="C634">
            <v>20474</v>
          </cell>
          <cell r="D634" t="str">
            <v>MD</v>
          </cell>
          <cell r="E634" t="str">
            <v>B</v>
          </cell>
          <cell r="F634" t="str">
            <v>MENTAL HLTH CLINICAL DIST CHIEF</v>
          </cell>
          <cell r="G634" t="str">
            <v>4722A</v>
          </cell>
          <cell r="H634">
            <v>10074</v>
          </cell>
          <cell r="I634">
            <v>1</v>
          </cell>
          <cell r="J634">
            <v>12</v>
          </cell>
          <cell r="K634">
            <v>1</v>
          </cell>
          <cell r="L634">
            <v>120887.6</v>
          </cell>
        </row>
        <row r="635">
          <cell r="A635">
            <v>102647</v>
          </cell>
          <cell r="B635">
            <v>20465</v>
          </cell>
          <cell r="C635">
            <v>20474</v>
          </cell>
          <cell r="D635" t="str">
            <v>MD</v>
          </cell>
          <cell r="E635" t="str">
            <v>B</v>
          </cell>
          <cell r="F635" t="str">
            <v xml:space="preserve">STAFF ASSISTANT I                  </v>
          </cell>
          <cell r="G635" t="str">
            <v>0907A</v>
          </cell>
          <cell r="H635">
            <v>3453.18</v>
          </cell>
          <cell r="I635">
            <v>1</v>
          </cell>
          <cell r="J635">
            <v>12</v>
          </cell>
          <cell r="K635">
            <v>1</v>
          </cell>
          <cell r="L635">
            <v>41438.480000000003</v>
          </cell>
        </row>
        <row r="636">
          <cell r="A636">
            <v>104111</v>
          </cell>
          <cell r="B636">
            <v>20683</v>
          </cell>
          <cell r="C636">
            <v>20683</v>
          </cell>
          <cell r="D636" t="str">
            <v>MD</v>
          </cell>
          <cell r="E636" t="str">
            <v>B</v>
          </cell>
          <cell r="F636" t="str">
            <v>PSYCHIATRIC SOCIAL WORKER II</v>
          </cell>
          <cell r="G636" t="str">
            <v>9035A</v>
          </cell>
          <cell r="H636">
            <v>5425.82</v>
          </cell>
          <cell r="I636">
            <v>1</v>
          </cell>
          <cell r="J636">
            <v>12</v>
          </cell>
          <cell r="K636">
            <v>1</v>
          </cell>
          <cell r="L636">
            <v>65109.84</v>
          </cell>
        </row>
        <row r="637">
          <cell r="A637">
            <v>104923</v>
          </cell>
          <cell r="B637">
            <v>20488</v>
          </cell>
          <cell r="C637">
            <v>20543</v>
          </cell>
          <cell r="D637" t="str">
            <v>PSB</v>
          </cell>
          <cell r="E637" t="str">
            <v>B</v>
          </cell>
          <cell r="F637" t="str">
            <v>CLINICAL PSYCHOLOGIST II</v>
          </cell>
          <cell r="G637" t="str">
            <v>8697A</v>
          </cell>
          <cell r="H637">
            <v>6993.82</v>
          </cell>
          <cell r="I637">
            <v>1</v>
          </cell>
          <cell r="J637">
            <v>12</v>
          </cell>
          <cell r="K637">
            <v>1</v>
          </cell>
          <cell r="L637">
            <v>83925.52</v>
          </cell>
        </row>
        <row r="638">
          <cell r="A638">
            <v>100065</v>
          </cell>
          <cell r="B638">
            <v>20543</v>
          </cell>
          <cell r="C638">
            <v>20543</v>
          </cell>
          <cell r="D638" t="str">
            <v>PSB</v>
          </cell>
          <cell r="E638" t="str">
            <v>B</v>
          </cell>
          <cell r="F638" t="str">
            <v>DEPUTY DIRECTOR, MENTAL HEALTH (UC)</v>
          </cell>
          <cell r="G638" t="str">
            <v>4707A</v>
          </cell>
          <cell r="H638">
            <v>10568.17</v>
          </cell>
          <cell r="I638">
            <v>1</v>
          </cell>
          <cell r="J638">
            <v>12</v>
          </cell>
          <cell r="K638">
            <v>1</v>
          </cell>
          <cell r="L638">
            <v>126818</v>
          </cell>
        </row>
        <row r="639">
          <cell r="A639">
            <v>103109</v>
          </cell>
          <cell r="B639">
            <v>20531</v>
          </cell>
          <cell r="C639">
            <v>20543</v>
          </cell>
          <cell r="D639" t="str">
            <v>PSB</v>
          </cell>
          <cell r="E639" t="str">
            <v>B</v>
          </cell>
          <cell r="F639" t="str">
            <v xml:space="preserve">MENTAL HEALTH ANALYST II           </v>
          </cell>
          <cell r="G639" t="str">
            <v>4729A</v>
          </cell>
          <cell r="H639">
            <v>6244.55</v>
          </cell>
          <cell r="I639">
            <v>1</v>
          </cell>
          <cell r="J639">
            <v>12</v>
          </cell>
          <cell r="K639">
            <v>1</v>
          </cell>
          <cell r="L639">
            <v>74934.36</v>
          </cell>
        </row>
        <row r="640">
          <cell r="A640">
            <v>102727</v>
          </cell>
          <cell r="B640">
            <v>20489</v>
          </cell>
          <cell r="C640">
            <v>20543</v>
          </cell>
          <cell r="D640" t="str">
            <v>PSB</v>
          </cell>
          <cell r="E640" t="str">
            <v>B</v>
          </cell>
          <cell r="F640" t="str">
            <v>MENTAL HEALTH SERVICES COORD I</v>
          </cell>
          <cell r="G640" t="str">
            <v>8148A</v>
          </cell>
          <cell r="H640">
            <v>5126.91</v>
          </cell>
          <cell r="I640">
            <v>1</v>
          </cell>
          <cell r="J640">
            <v>12</v>
          </cell>
          <cell r="K640">
            <v>1</v>
          </cell>
          <cell r="L640">
            <v>61522.92</v>
          </cell>
        </row>
        <row r="641">
          <cell r="A641">
            <v>103122</v>
          </cell>
          <cell r="B641">
            <v>18703</v>
          </cell>
          <cell r="C641">
            <v>20543</v>
          </cell>
          <cell r="D641" t="str">
            <v>PSB</v>
          </cell>
          <cell r="E641" t="str">
            <v>B</v>
          </cell>
          <cell r="F641" t="str">
            <v>MENTAL HEALTH SERVICES COORD II</v>
          </cell>
          <cell r="G641" t="str">
            <v>8149A</v>
          </cell>
          <cell r="H641">
            <v>5152.3599999999997</v>
          </cell>
          <cell r="I641">
            <v>1</v>
          </cell>
          <cell r="J641">
            <v>12</v>
          </cell>
          <cell r="K641">
            <v>1</v>
          </cell>
          <cell r="L641">
            <v>61828.72</v>
          </cell>
        </row>
        <row r="642">
          <cell r="A642">
            <v>100566</v>
          </cell>
          <cell r="B642">
            <v>20493</v>
          </cell>
          <cell r="C642">
            <v>20543</v>
          </cell>
          <cell r="D642" t="str">
            <v>PSB</v>
          </cell>
          <cell r="E642" t="str">
            <v>B</v>
          </cell>
          <cell r="F642" t="str">
            <v>MNTL HLTH CLINICAL PROGRAM HEAD</v>
          </cell>
          <cell r="G642" t="str">
            <v>4726A</v>
          </cell>
          <cell r="H642">
            <v>8709.73</v>
          </cell>
          <cell r="I642">
            <v>1</v>
          </cell>
          <cell r="J642">
            <v>12</v>
          </cell>
          <cell r="K642">
            <v>1</v>
          </cell>
          <cell r="L642">
            <v>104516.76</v>
          </cell>
        </row>
        <row r="643">
          <cell r="A643">
            <v>104208</v>
          </cell>
          <cell r="B643">
            <v>20564</v>
          </cell>
          <cell r="C643">
            <v>20543</v>
          </cell>
          <cell r="D643" t="str">
            <v>PSB</v>
          </cell>
          <cell r="E643" t="str">
            <v>B</v>
          </cell>
          <cell r="F643" t="str">
            <v>PSYCHIATRIC SOCIAL WORKER II</v>
          </cell>
          <cell r="G643" t="str">
            <v>9035A</v>
          </cell>
          <cell r="H643">
            <v>5425.82</v>
          </cell>
          <cell r="I643">
            <v>1</v>
          </cell>
          <cell r="J643">
            <v>12</v>
          </cell>
          <cell r="K643">
            <v>1</v>
          </cell>
          <cell r="L643">
            <v>65109.84</v>
          </cell>
        </row>
        <row r="644">
          <cell r="A644">
            <v>102362</v>
          </cell>
          <cell r="B644">
            <v>20483</v>
          </cell>
          <cell r="C644">
            <v>20543</v>
          </cell>
          <cell r="D644" t="str">
            <v>PSB</v>
          </cell>
          <cell r="E644" t="str">
            <v>B</v>
          </cell>
          <cell r="F644" t="str">
            <v>RECREATION THERAPIST II</v>
          </cell>
          <cell r="G644" t="str">
            <v>5872A</v>
          </cell>
          <cell r="H644">
            <v>4667.6400000000003</v>
          </cell>
          <cell r="I644">
            <v>1</v>
          </cell>
          <cell r="J644">
            <v>12</v>
          </cell>
          <cell r="K644">
            <v>1</v>
          </cell>
          <cell r="L644">
            <v>56011.68</v>
          </cell>
        </row>
        <row r="645">
          <cell r="A645">
            <v>104034</v>
          </cell>
          <cell r="B645">
            <v>20923</v>
          </cell>
          <cell r="C645">
            <v>20543</v>
          </cell>
          <cell r="D645" t="str">
            <v>PSB</v>
          </cell>
          <cell r="E645" t="str">
            <v>B</v>
          </cell>
          <cell r="F645" t="str">
            <v>REHABILITATION COUNSELOR II</v>
          </cell>
          <cell r="G645" t="str">
            <v>8593A</v>
          </cell>
          <cell r="H645">
            <v>4076.09</v>
          </cell>
          <cell r="I645">
            <v>1</v>
          </cell>
          <cell r="J645">
            <v>12</v>
          </cell>
          <cell r="K645">
            <v>1</v>
          </cell>
          <cell r="L645">
            <v>48922.8</v>
          </cell>
        </row>
        <row r="646">
          <cell r="A646">
            <v>101492</v>
          </cell>
          <cell r="B646">
            <v>20440</v>
          </cell>
          <cell r="C646">
            <v>20543</v>
          </cell>
          <cell r="D646" t="str">
            <v>PSB</v>
          </cell>
          <cell r="E646" t="str">
            <v>B</v>
          </cell>
          <cell r="F646" t="str">
            <v xml:space="preserve">SENIOR SECRETARY III               </v>
          </cell>
          <cell r="G646" t="str">
            <v>2102A</v>
          </cell>
          <cell r="H646">
            <v>4106.3599999999997</v>
          </cell>
          <cell r="I646">
            <v>1</v>
          </cell>
          <cell r="J646">
            <v>12</v>
          </cell>
          <cell r="K646">
            <v>1</v>
          </cell>
          <cell r="L646">
            <v>49276.56</v>
          </cell>
        </row>
        <row r="647">
          <cell r="A647">
            <v>100057</v>
          </cell>
          <cell r="B647">
            <v>20560</v>
          </cell>
          <cell r="C647">
            <v>20560</v>
          </cell>
          <cell r="D647" t="str">
            <v>PSB</v>
          </cell>
          <cell r="E647" t="str">
            <v>B</v>
          </cell>
          <cell r="F647" t="str">
            <v xml:space="preserve">ADMINISTRATIVE ASSISTANT III       </v>
          </cell>
          <cell r="G647" t="str">
            <v>0889A</v>
          </cell>
          <cell r="H647">
            <v>4832</v>
          </cell>
          <cell r="I647">
            <v>1</v>
          </cell>
          <cell r="J647">
            <v>12</v>
          </cell>
          <cell r="K647">
            <v>1</v>
          </cell>
          <cell r="L647">
            <v>57983.839999999997</v>
          </cell>
        </row>
        <row r="648">
          <cell r="A648">
            <v>102833</v>
          </cell>
          <cell r="B648">
            <v>20560</v>
          </cell>
          <cell r="C648">
            <v>20560</v>
          </cell>
          <cell r="D648" t="str">
            <v>PSB</v>
          </cell>
          <cell r="E648" t="str">
            <v>B</v>
          </cell>
          <cell r="F648" t="str">
            <v xml:space="preserve">MEDICAL RECORDS DIRECTOR II        </v>
          </cell>
          <cell r="G648" t="str">
            <v>1395A</v>
          </cell>
          <cell r="H648">
            <v>5399.09</v>
          </cell>
          <cell r="I648">
            <v>1</v>
          </cell>
          <cell r="J648">
            <v>12</v>
          </cell>
          <cell r="K648">
            <v>1</v>
          </cell>
          <cell r="L648">
            <v>64789.08</v>
          </cell>
        </row>
        <row r="649">
          <cell r="A649">
            <v>102665</v>
          </cell>
          <cell r="B649">
            <v>20559</v>
          </cell>
          <cell r="C649">
            <v>20560</v>
          </cell>
          <cell r="D649" t="str">
            <v>PSB</v>
          </cell>
          <cell r="E649" t="str">
            <v>B</v>
          </cell>
          <cell r="F649" t="str">
            <v xml:space="preserve">MENTAL HEALTH ANALYST I            </v>
          </cell>
          <cell r="G649" t="str">
            <v>4727A</v>
          </cell>
          <cell r="H649">
            <v>5602.09</v>
          </cell>
          <cell r="I649">
            <v>1</v>
          </cell>
          <cell r="J649">
            <v>12</v>
          </cell>
          <cell r="K649">
            <v>1</v>
          </cell>
          <cell r="L649">
            <v>67225.16</v>
          </cell>
        </row>
        <row r="650">
          <cell r="A650">
            <v>102830</v>
          </cell>
          <cell r="B650">
            <v>20560</v>
          </cell>
          <cell r="C650">
            <v>20560</v>
          </cell>
          <cell r="D650" t="str">
            <v>PSB</v>
          </cell>
          <cell r="E650" t="str">
            <v>B</v>
          </cell>
          <cell r="F650" t="str">
            <v xml:space="preserve">MENTAL HEALTH ANALYST II           </v>
          </cell>
          <cell r="G650" t="str">
            <v>4729A</v>
          </cell>
          <cell r="H650">
            <v>6244.55</v>
          </cell>
          <cell r="I650">
            <v>1</v>
          </cell>
          <cell r="J650">
            <v>12</v>
          </cell>
          <cell r="K650">
            <v>1</v>
          </cell>
          <cell r="L650">
            <v>74934.36</v>
          </cell>
        </row>
        <row r="651">
          <cell r="A651">
            <v>103457</v>
          </cell>
          <cell r="B651">
            <v>20560</v>
          </cell>
          <cell r="C651">
            <v>20560</v>
          </cell>
          <cell r="D651" t="str">
            <v>PSB</v>
          </cell>
          <cell r="E651" t="str">
            <v>B</v>
          </cell>
          <cell r="F651" t="str">
            <v xml:space="preserve">MENTAL HEALTH ANALYST II           </v>
          </cell>
          <cell r="G651" t="str">
            <v>4729A</v>
          </cell>
          <cell r="H651">
            <v>6244.55</v>
          </cell>
          <cell r="I651">
            <v>1</v>
          </cell>
          <cell r="J651">
            <v>12</v>
          </cell>
          <cell r="K651">
            <v>1</v>
          </cell>
          <cell r="L651">
            <v>74934.36</v>
          </cell>
        </row>
        <row r="652">
          <cell r="A652">
            <v>103508</v>
          </cell>
          <cell r="B652">
            <v>18593</v>
          </cell>
          <cell r="C652">
            <v>20560</v>
          </cell>
          <cell r="D652" t="str">
            <v>PSB</v>
          </cell>
          <cell r="E652" t="str">
            <v>B</v>
          </cell>
          <cell r="F652" t="str">
            <v xml:space="preserve">MENTAL HEALTH ANALYST II           </v>
          </cell>
          <cell r="G652" t="str">
            <v>4729A</v>
          </cell>
          <cell r="H652">
            <v>6244.55</v>
          </cell>
          <cell r="I652">
            <v>1</v>
          </cell>
          <cell r="J652">
            <v>12</v>
          </cell>
          <cell r="K652">
            <v>1</v>
          </cell>
          <cell r="L652">
            <v>74934.36</v>
          </cell>
        </row>
        <row r="653">
          <cell r="A653">
            <v>103025</v>
          </cell>
          <cell r="B653">
            <v>18593</v>
          </cell>
          <cell r="C653">
            <v>20560</v>
          </cell>
          <cell r="D653" t="str">
            <v>PSB</v>
          </cell>
          <cell r="E653" t="str">
            <v>B</v>
          </cell>
          <cell r="F653" t="str">
            <v>MENTAL HEALTH COUNSELOR, RN</v>
          </cell>
          <cell r="G653" t="str">
            <v>5278A</v>
          </cell>
          <cell r="H653">
            <v>6275.27</v>
          </cell>
          <cell r="I653">
            <v>1</v>
          </cell>
          <cell r="J653">
            <v>12</v>
          </cell>
          <cell r="K653">
            <v>1</v>
          </cell>
          <cell r="L653">
            <v>76804.323333333334</v>
          </cell>
        </row>
        <row r="654">
          <cell r="A654">
            <v>104239</v>
          </cell>
          <cell r="B654">
            <v>20560</v>
          </cell>
          <cell r="C654">
            <v>20560</v>
          </cell>
          <cell r="D654" t="str">
            <v>PSB</v>
          </cell>
          <cell r="E654" t="str">
            <v>B</v>
          </cell>
          <cell r="F654" t="str">
            <v>MENTAL HEALTH COUNSELOR, RN</v>
          </cell>
          <cell r="G654" t="str">
            <v>5278A</v>
          </cell>
          <cell r="H654">
            <v>6275.27</v>
          </cell>
          <cell r="I654">
            <v>1</v>
          </cell>
          <cell r="J654">
            <v>12</v>
          </cell>
          <cell r="K654">
            <v>1</v>
          </cell>
          <cell r="L654">
            <v>76804.323333333334</v>
          </cell>
        </row>
        <row r="655">
          <cell r="A655">
            <v>104409</v>
          </cell>
          <cell r="B655">
            <v>18598</v>
          </cell>
          <cell r="C655">
            <v>20560</v>
          </cell>
          <cell r="D655" t="str">
            <v>PSB</v>
          </cell>
          <cell r="E655" t="str">
            <v>B</v>
          </cell>
          <cell r="F655" t="str">
            <v>MENTAL HEALTH COUNSELOR, RN</v>
          </cell>
          <cell r="G655" t="str">
            <v>5278A</v>
          </cell>
          <cell r="H655">
            <v>6275.27</v>
          </cell>
          <cell r="I655">
            <v>1</v>
          </cell>
          <cell r="J655">
            <v>12</v>
          </cell>
          <cell r="K655">
            <v>1</v>
          </cell>
          <cell r="L655">
            <v>76804.323333333334</v>
          </cell>
        </row>
        <row r="656">
          <cell r="A656">
            <v>109366</v>
          </cell>
          <cell r="B656">
            <v>27631</v>
          </cell>
          <cell r="C656">
            <v>20560</v>
          </cell>
          <cell r="D656" t="str">
            <v>PSB</v>
          </cell>
          <cell r="E656" t="str">
            <v>B</v>
          </cell>
          <cell r="F656" t="str">
            <v>MENTAL HEALTH COUNSELOR, RN</v>
          </cell>
          <cell r="G656" t="str">
            <v>5278A</v>
          </cell>
          <cell r="H656">
            <v>6275.27</v>
          </cell>
          <cell r="I656">
            <v>1</v>
          </cell>
          <cell r="J656">
            <v>12</v>
          </cell>
          <cell r="K656">
            <v>1</v>
          </cell>
          <cell r="L656">
            <v>76803.923333333325</v>
          </cell>
        </row>
        <row r="657">
          <cell r="A657">
            <v>107000</v>
          </cell>
          <cell r="B657">
            <v>18593</v>
          </cell>
          <cell r="C657">
            <v>20560</v>
          </cell>
          <cell r="D657" t="str">
            <v>PSB</v>
          </cell>
          <cell r="E657" t="str">
            <v>B</v>
          </cell>
          <cell r="F657" t="str">
            <v>MNTL HLTH CLINICAL PROGRAM HEAD</v>
          </cell>
          <cell r="G657" t="str">
            <v>4726A</v>
          </cell>
          <cell r="H657">
            <v>8709.73</v>
          </cell>
          <cell r="I657">
            <v>1</v>
          </cell>
          <cell r="J657">
            <v>12</v>
          </cell>
          <cell r="K657">
            <v>1</v>
          </cell>
          <cell r="L657">
            <v>104516.76</v>
          </cell>
        </row>
        <row r="658">
          <cell r="A658">
            <v>103016</v>
          </cell>
          <cell r="B658">
            <v>20474</v>
          </cell>
          <cell r="C658">
            <v>20560</v>
          </cell>
          <cell r="D658" t="str">
            <v>PSB</v>
          </cell>
          <cell r="E658" t="str">
            <v>B</v>
          </cell>
          <cell r="F658" t="str">
            <v xml:space="preserve">SECRETARY III                      </v>
          </cell>
          <cell r="G658" t="str">
            <v>2096A</v>
          </cell>
          <cell r="H658">
            <v>3387</v>
          </cell>
          <cell r="I658">
            <v>1</v>
          </cell>
          <cell r="J658">
            <v>12</v>
          </cell>
          <cell r="K658">
            <v>1</v>
          </cell>
          <cell r="L658">
            <v>40643.839999999997</v>
          </cell>
        </row>
        <row r="659">
          <cell r="A659">
            <v>104590</v>
          </cell>
          <cell r="B659">
            <v>18593</v>
          </cell>
          <cell r="C659">
            <v>20560</v>
          </cell>
          <cell r="D659" t="str">
            <v>PSB</v>
          </cell>
          <cell r="E659" t="str">
            <v>B</v>
          </cell>
          <cell r="F659" t="str">
            <v xml:space="preserve">SECRETARY III                      </v>
          </cell>
          <cell r="G659" t="str">
            <v>2096A</v>
          </cell>
          <cell r="H659">
            <v>3387</v>
          </cell>
          <cell r="I659">
            <v>1</v>
          </cell>
          <cell r="J659">
            <v>12</v>
          </cell>
          <cell r="K659">
            <v>1</v>
          </cell>
          <cell r="L659">
            <v>40643.839999999997</v>
          </cell>
        </row>
        <row r="660">
          <cell r="A660">
            <v>104592</v>
          </cell>
          <cell r="B660">
            <v>18593</v>
          </cell>
          <cell r="C660">
            <v>20560</v>
          </cell>
          <cell r="D660" t="str">
            <v>PSB</v>
          </cell>
          <cell r="E660" t="str">
            <v>B</v>
          </cell>
          <cell r="F660" t="str">
            <v xml:space="preserve">SECRETARY III                      </v>
          </cell>
          <cell r="G660" t="str">
            <v>2096A</v>
          </cell>
          <cell r="H660">
            <v>3387</v>
          </cell>
          <cell r="I660">
            <v>1</v>
          </cell>
          <cell r="J660">
            <v>12</v>
          </cell>
          <cell r="K660">
            <v>1</v>
          </cell>
          <cell r="L660">
            <v>40643.839999999997</v>
          </cell>
        </row>
        <row r="661">
          <cell r="A661">
            <v>102828</v>
          </cell>
          <cell r="B661">
            <v>20560</v>
          </cell>
          <cell r="C661">
            <v>20560</v>
          </cell>
          <cell r="D661" t="str">
            <v>PSB</v>
          </cell>
          <cell r="E661" t="str">
            <v>B</v>
          </cell>
          <cell r="F661" t="str">
            <v>SENIOR MENTAL HEALTH COUNSELOR, RN</v>
          </cell>
          <cell r="G661" t="str">
            <v>5280A</v>
          </cell>
          <cell r="H661">
            <v>6790.09</v>
          </cell>
          <cell r="I661">
            <v>1</v>
          </cell>
          <cell r="J661">
            <v>12</v>
          </cell>
          <cell r="K661">
            <v>1</v>
          </cell>
          <cell r="L661">
            <v>83105.40203389831</v>
          </cell>
        </row>
        <row r="662">
          <cell r="A662">
            <v>103037</v>
          </cell>
          <cell r="B662">
            <v>18593</v>
          </cell>
          <cell r="C662">
            <v>20560</v>
          </cell>
          <cell r="D662" t="str">
            <v>PSB</v>
          </cell>
          <cell r="E662" t="str">
            <v>B</v>
          </cell>
          <cell r="F662" t="str">
            <v>SENIOR MENTAL HEALTH COUNSELOR, RN</v>
          </cell>
          <cell r="G662" t="str">
            <v>5280A</v>
          </cell>
          <cell r="H662">
            <v>6790.09</v>
          </cell>
          <cell r="I662">
            <v>1</v>
          </cell>
          <cell r="J662">
            <v>12</v>
          </cell>
          <cell r="K662">
            <v>1</v>
          </cell>
          <cell r="L662">
            <v>83105.40203389831</v>
          </cell>
        </row>
        <row r="663">
          <cell r="A663">
            <v>103117</v>
          </cell>
          <cell r="B663">
            <v>18593</v>
          </cell>
          <cell r="C663">
            <v>20560</v>
          </cell>
          <cell r="D663" t="str">
            <v>PSB</v>
          </cell>
          <cell r="E663" t="str">
            <v>B</v>
          </cell>
          <cell r="F663" t="str">
            <v>SENIOR MENTAL HEALTH COUNSELOR, RN</v>
          </cell>
          <cell r="G663" t="str">
            <v>5280A</v>
          </cell>
          <cell r="H663">
            <v>6790.09</v>
          </cell>
          <cell r="I663">
            <v>1</v>
          </cell>
          <cell r="J663">
            <v>12</v>
          </cell>
          <cell r="K663">
            <v>1</v>
          </cell>
          <cell r="L663">
            <v>83105.40203389831</v>
          </cell>
        </row>
        <row r="664">
          <cell r="A664">
            <v>107015</v>
          </cell>
          <cell r="B664">
            <v>18593</v>
          </cell>
          <cell r="C664">
            <v>20560</v>
          </cell>
          <cell r="D664" t="str">
            <v>PSB</v>
          </cell>
          <cell r="E664" t="str">
            <v>B</v>
          </cell>
          <cell r="F664" t="str">
            <v>SENIOR MENTAL HEALTH COUNSELOR, RN</v>
          </cell>
          <cell r="G664" t="str">
            <v>5280A</v>
          </cell>
          <cell r="H664">
            <v>6790.09</v>
          </cell>
          <cell r="I664">
            <v>1</v>
          </cell>
          <cell r="J664">
            <v>12</v>
          </cell>
          <cell r="K664">
            <v>1</v>
          </cell>
          <cell r="L664">
            <v>83105.40203389831</v>
          </cell>
        </row>
        <row r="665">
          <cell r="A665">
            <v>104500</v>
          </cell>
          <cell r="B665">
            <v>18593</v>
          </cell>
          <cell r="C665">
            <v>20560</v>
          </cell>
          <cell r="D665" t="str">
            <v>PSB</v>
          </cell>
          <cell r="E665" t="str">
            <v>B</v>
          </cell>
          <cell r="F665" t="str">
            <v xml:space="preserve">SENIOR TYPIST-CLERK                </v>
          </cell>
          <cell r="G665" t="str">
            <v>2216A</v>
          </cell>
          <cell r="H665">
            <v>3013.55</v>
          </cell>
          <cell r="I665">
            <v>1</v>
          </cell>
          <cell r="J665">
            <v>12</v>
          </cell>
          <cell r="K665">
            <v>1</v>
          </cell>
          <cell r="L665">
            <v>36162.6</v>
          </cell>
        </row>
        <row r="666">
          <cell r="A666">
            <v>104593</v>
          </cell>
          <cell r="B666">
            <v>18593</v>
          </cell>
          <cell r="C666">
            <v>20560</v>
          </cell>
          <cell r="D666" t="str">
            <v>PSB</v>
          </cell>
          <cell r="E666" t="str">
            <v>B</v>
          </cell>
          <cell r="F666" t="str">
            <v xml:space="preserve">STAFF ASSISTANT I                  </v>
          </cell>
          <cell r="G666" t="str">
            <v>0907A</v>
          </cell>
          <cell r="H666">
            <v>3453.18</v>
          </cell>
          <cell r="I666">
            <v>1</v>
          </cell>
          <cell r="J666">
            <v>12</v>
          </cell>
          <cell r="K666">
            <v>1</v>
          </cell>
          <cell r="L666">
            <v>41438.480000000003</v>
          </cell>
        </row>
        <row r="667">
          <cell r="A667">
            <v>103487</v>
          </cell>
          <cell r="B667">
            <v>18593</v>
          </cell>
          <cell r="C667">
            <v>20560</v>
          </cell>
          <cell r="D667" t="str">
            <v>PSB</v>
          </cell>
          <cell r="E667" t="str">
            <v>B</v>
          </cell>
          <cell r="F667" t="str">
            <v xml:space="preserve">SUPVG PSYCHIATRIC SOCIAL WORKER    </v>
          </cell>
          <cell r="G667" t="str">
            <v>9038A</v>
          </cell>
          <cell r="H667">
            <v>6062.45</v>
          </cell>
          <cell r="I667">
            <v>1</v>
          </cell>
          <cell r="J667">
            <v>12</v>
          </cell>
          <cell r="K667">
            <v>1</v>
          </cell>
          <cell r="L667">
            <v>72749.399999999994</v>
          </cell>
        </row>
        <row r="668">
          <cell r="A668">
            <v>106334</v>
          </cell>
          <cell r="B668">
            <v>21562</v>
          </cell>
          <cell r="C668">
            <v>20560</v>
          </cell>
          <cell r="D668" t="str">
            <v>PSB</v>
          </cell>
          <cell r="E668" t="str">
            <v>B</v>
          </cell>
          <cell r="F668" t="str">
            <v xml:space="preserve">SUPVG PSYCHIATRIC SOCIAL WORKER    </v>
          </cell>
          <cell r="G668" t="str">
            <v>9038A</v>
          </cell>
          <cell r="H668">
            <v>6062.45</v>
          </cell>
          <cell r="I668">
            <v>1</v>
          </cell>
          <cell r="J668">
            <v>12</v>
          </cell>
          <cell r="K668">
            <v>1</v>
          </cell>
          <cell r="L668">
            <v>72749.399999999994</v>
          </cell>
        </row>
        <row r="669">
          <cell r="A669">
            <v>106361</v>
          </cell>
          <cell r="B669">
            <v>21564</v>
          </cell>
          <cell r="C669">
            <v>20591</v>
          </cell>
          <cell r="D669" t="str">
            <v>PSB</v>
          </cell>
          <cell r="E669" t="str">
            <v>B</v>
          </cell>
          <cell r="F669" t="str">
            <v>CLINICAL PSYCHOLOGIST II</v>
          </cell>
          <cell r="G669" t="str">
            <v>8697A</v>
          </cell>
          <cell r="H669">
            <v>6993.82</v>
          </cell>
          <cell r="I669">
            <v>1</v>
          </cell>
          <cell r="J669">
            <v>12</v>
          </cell>
          <cell r="K669">
            <v>1</v>
          </cell>
          <cell r="L669">
            <v>83925.52</v>
          </cell>
        </row>
        <row r="670">
          <cell r="A670">
            <v>100268</v>
          </cell>
          <cell r="B670">
            <v>20591</v>
          </cell>
          <cell r="C670">
            <v>20591</v>
          </cell>
          <cell r="D670" t="str">
            <v>PSB</v>
          </cell>
          <cell r="E670" t="str">
            <v>B</v>
          </cell>
          <cell r="F670" t="str">
            <v xml:space="preserve">DIV CHIEF,PROGRAM DEVELOPMENT,MH   </v>
          </cell>
          <cell r="G670" t="str">
            <v>4720A</v>
          </cell>
          <cell r="H670">
            <v>9356</v>
          </cell>
          <cell r="I670">
            <v>1</v>
          </cell>
          <cell r="J670">
            <v>12</v>
          </cell>
          <cell r="K670">
            <v>1</v>
          </cell>
          <cell r="L670">
            <v>112271.84</v>
          </cell>
        </row>
        <row r="671">
          <cell r="A671">
            <v>103150</v>
          </cell>
          <cell r="B671">
            <v>20591</v>
          </cell>
          <cell r="C671">
            <v>20591</v>
          </cell>
          <cell r="D671" t="str">
            <v>PSB</v>
          </cell>
          <cell r="E671" t="str">
            <v>B</v>
          </cell>
          <cell r="F671" t="str">
            <v xml:space="preserve">GUEST INSTRUCTOR                   </v>
          </cell>
          <cell r="G671" t="str">
            <v>8245J</v>
          </cell>
          <cell r="H671">
            <v>98.42</v>
          </cell>
          <cell r="I671">
            <v>1</v>
          </cell>
          <cell r="J671">
            <v>8</v>
          </cell>
          <cell r="K671">
            <v>1.532567049808429E-2</v>
          </cell>
          <cell r="L671">
            <v>787.2</v>
          </cell>
        </row>
        <row r="672">
          <cell r="A672">
            <v>103151</v>
          </cell>
          <cell r="B672">
            <v>20591</v>
          </cell>
          <cell r="C672">
            <v>20591</v>
          </cell>
          <cell r="D672" t="str">
            <v>PSB</v>
          </cell>
          <cell r="E672" t="str">
            <v>B</v>
          </cell>
          <cell r="F672" t="str">
            <v xml:space="preserve">GUEST INSTRUCTOR                   </v>
          </cell>
          <cell r="G672" t="str">
            <v>8245J</v>
          </cell>
          <cell r="H672">
            <v>98.42</v>
          </cell>
          <cell r="I672">
            <v>1</v>
          </cell>
          <cell r="J672">
            <v>11</v>
          </cell>
          <cell r="K672">
            <v>2.1072796934865901E-2</v>
          </cell>
          <cell r="L672">
            <v>1082.4000000000001</v>
          </cell>
        </row>
        <row r="673">
          <cell r="A673">
            <v>100277</v>
          </cell>
          <cell r="B673">
            <v>20591</v>
          </cell>
          <cell r="C673">
            <v>20591</v>
          </cell>
          <cell r="D673" t="str">
            <v>PSB</v>
          </cell>
          <cell r="E673" t="str">
            <v>B</v>
          </cell>
          <cell r="F673" t="str">
            <v xml:space="preserve">INSTRUCTIONAL MEDIA ASSISTANT      </v>
          </cell>
          <cell r="G673" t="str">
            <v>7096A</v>
          </cell>
          <cell r="H673">
            <v>2688.55</v>
          </cell>
          <cell r="I673">
            <v>1</v>
          </cell>
          <cell r="J673">
            <v>12</v>
          </cell>
          <cell r="K673">
            <v>1</v>
          </cell>
          <cell r="L673">
            <v>32262.76</v>
          </cell>
        </row>
        <row r="674">
          <cell r="A674">
            <v>104948</v>
          </cell>
          <cell r="B674">
            <v>23036</v>
          </cell>
          <cell r="C674">
            <v>20591</v>
          </cell>
          <cell r="D674" t="str">
            <v>PSB</v>
          </cell>
          <cell r="E674" t="str">
            <v>B</v>
          </cell>
          <cell r="F674" t="str">
            <v>INTERMEDIATE TYPIST-CLERK</v>
          </cell>
          <cell r="G674" t="str">
            <v>2214A</v>
          </cell>
          <cell r="H674">
            <v>2675.27</v>
          </cell>
          <cell r="I674">
            <v>1</v>
          </cell>
          <cell r="J674">
            <v>12</v>
          </cell>
          <cell r="K674">
            <v>1</v>
          </cell>
          <cell r="L674">
            <v>32103.16</v>
          </cell>
        </row>
        <row r="675">
          <cell r="A675">
            <v>104243</v>
          </cell>
          <cell r="B675">
            <v>20543</v>
          </cell>
          <cell r="C675">
            <v>20591</v>
          </cell>
          <cell r="D675" t="str">
            <v>PSB</v>
          </cell>
          <cell r="E675" t="str">
            <v>B</v>
          </cell>
          <cell r="F675" t="str">
            <v xml:space="preserve">MENTAL HEALTH ANALYST I            </v>
          </cell>
          <cell r="G675" t="str">
            <v>4727A</v>
          </cell>
          <cell r="H675">
            <v>5602.09</v>
          </cell>
          <cell r="I675">
            <v>1</v>
          </cell>
          <cell r="J675">
            <v>12</v>
          </cell>
          <cell r="K675">
            <v>1</v>
          </cell>
          <cell r="L675">
            <v>67225.16</v>
          </cell>
        </row>
        <row r="676">
          <cell r="A676">
            <v>104814</v>
          </cell>
          <cell r="B676">
            <v>20905</v>
          </cell>
          <cell r="C676">
            <v>20591</v>
          </cell>
          <cell r="D676" t="str">
            <v>PSB</v>
          </cell>
          <cell r="E676" t="str">
            <v>B</v>
          </cell>
          <cell r="F676" t="str">
            <v xml:space="preserve">MENTAL HEALTH ANALYST I            </v>
          </cell>
          <cell r="G676" t="str">
            <v>4727A</v>
          </cell>
          <cell r="H676">
            <v>5602.09</v>
          </cell>
          <cell r="I676">
            <v>1</v>
          </cell>
          <cell r="J676">
            <v>12</v>
          </cell>
          <cell r="K676">
            <v>1</v>
          </cell>
          <cell r="L676">
            <v>67225.16</v>
          </cell>
        </row>
        <row r="677">
          <cell r="A677">
            <v>105023</v>
          </cell>
          <cell r="B677">
            <v>20560</v>
          </cell>
          <cell r="C677">
            <v>20591</v>
          </cell>
          <cell r="D677" t="str">
            <v>PSB</v>
          </cell>
          <cell r="E677" t="str">
            <v>B</v>
          </cell>
          <cell r="F677" t="str">
            <v>MENTAL HLTH CLINICAL DIST CHIEF</v>
          </cell>
          <cell r="G677" t="str">
            <v>4722A</v>
          </cell>
          <cell r="H677">
            <v>10074</v>
          </cell>
          <cell r="I677">
            <v>1</v>
          </cell>
          <cell r="J677">
            <v>12</v>
          </cell>
          <cell r="K677">
            <v>1</v>
          </cell>
          <cell r="L677">
            <v>120887.6</v>
          </cell>
        </row>
        <row r="678">
          <cell r="A678">
            <v>104699</v>
          </cell>
          <cell r="B678">
            <v>23010</v>
          </cell>
          <cell r="C678">
            <v>20591</v>
          </cell>
          <cell r="D678" t="str">
            <v>PSB</v>
          </cell>
          <cell r="E678" t="str">
            <v>B</v>
          </cell>
          <cell r="F678" t="str">
            <v>PSYCHIATRIC SOCIAL WORKER II</v>
          </cell>
          <cell r="G678" t="str">
            <v>9035A</v>
          </cell>
          <cell r="H678">
            <v>5425.82</v>
          </cell>
          <cell r="I678">
            <v>1</v>
          </cell>
          <cell r="J678">
            <v>12</v>
          </cell>
          <cell r="K678">
            <v>1</v>
          </cell>
          <cell r="L678">
            <v>65109.84</v>
          </cell>
        </row>
        <row r="679">
          <cell r="A679">
            <v>103642</v>
          </cell>
          <cell r="B679">
            <v>20591</v>
          </cell>
          <cell r="C679">
            <v>20591</v>
          </cell>
          <cell r="D679" t="str">
            <v>PSB</v>
          </cell>
          <cell r="E679" t="str">
            <v>B</v>
          </cell>
          <cell r="F679" t="str">
            <v xml:space="preserve">SECRETARY III                      </v>
          </cell>
          <cell r="G679" t="str">
            <v>2096A</v>
          </cell>
          <cell r="H679">
            <v>3387</v>
          </cell>
          <cell r="I679">
            <v>1</v>
          </cell>
          <cell r="J679">
            <v>12</v>
          </cell>
          <cell r="K679">
            <v>1</v>
          </cell>
          <cell r="L679">
            <v>40643.839999999997</v>
          </cell>
        </row>
        <row r="680">
          <cell r="A680">
            <v>102097</v>
          </cell>
          <cell r="B680">
            <v>20543</v>
          </cell>
          <cell r="C680">
            <v>20591</v>
          </cell>
          <cell r="D680" t="str">
            <v>PSB</v>
          </cell>
          <cell r="E680" t="str">
            <v>B</v>
          </cell>
          <cell r="F680" t="str">
            <v xml:space="preserve">SENIOR MANAGEMENT SECRETARY II     </v>
          </cell>
          <cell r="G680" t="str">
            <v>2115A</v>
          </cell>
          <cell r="H680">
            <v>4832</v>
          </cell>
          <cell r="I680">
            <v>1</v>
          </cell>
          <cell r="J680">
            <v>12</v>
          </cell>
          <cell r="K680">
            <v>1</v>
          </cell>
          <cell r="L680">
            <v>57983.839999999997</v>
          </cell>
        </row>
        <row r="681">
          <cell r="A681">
            <v>101484</v>
          </cell>
          <cell r="B681">
            <v>20591</v>
          </cell>
          <cell r="C681">
            <v>20591</v>
          </cell>
          <cell r="D681" t="str">
            <v>PSB</v>
          </cell>
          <cell r="E681" t="str">
            <v>B</v>
          </cell>
          <cell r="F681" t="str">
            <v xml:space="preserve">SENIOR SECRETARY III               </v>
          </cell>
          <cell r="G681" t="str">
            <v>2102A</v>
          </cell>
          <cell r="H681">
            <v>4106.3599999999997</v>
          </cell>
          <cell r="I681">
            <v>1</v>
          </cell>
          <cell r="J681">
            <v>12</v>
          </cell>
          <cell r="K681">
            <v>1</v>
          </cell>
          <cell r="L681">
            <v>49276.56</v>
          </cell>
        </row>
        <row r="682">
          <cell r="A682">
            <v>101519</v>
          </cell>
          <cell r="B682">
            <v>20591</v>
          </cell>
          <cell r="C682">
            <v>20591</v>
          </cell>
          <cell r="D682" t="str">
            <v>PSB</v>
          </cell>
          <cell r="E682" t="str">
            <v>B</v>
          </cell>
          <cell r="F682" t="str">
            <v xml:space="preserve">STAFF ASSISTANT I                  </v>
          </cell>
          <cell r="G682" t="str">
            <v>0907A</v>
          </cell>
          <cell r="H682">
            <v>3453.18</v>
          </cell>
          <cell r="I682">
            <v>1</v>
          </cell>
          <cell r="J682">
            <v>12</v>
          </cell>
          <cell r="K682">
            <v>1</v>
          </cell>
          <cell r="L682">
            <v>41438.480000000003</v>
          </cell>
        </row>
        <row r="683">
          <cell r="A683">
            <v>101627</v>
          </cell>
          <cell r="B683">
            <v>20591</v>
          </cell>
          <cell r="C683">
            <v>20591</v>
          </cell>
          <cell r="D683" t="str">
            <v>PSB</v>
          </cell>
          <cell r="E683" t="str">
            <v>B</v>
          </cell>
          <cell r="F683" t="str">
            <v>TRAINING COORDINATOR, MH</v>
          </cell>
          <cell r="G683" t="str">
            <v>1865A</v>
          </cell>
          <cell r="H683">
            <v>6062.45</v>
          </cell>
          <cell r="I683">
            <v>1</v>
          </cell>
          <cell r="J683">
            <v>12</v>
          </cell>
          <cell r="K683">
            <v>1</v>
          </cell>
          <cell r="L683">
            <v>72749.56</v>
          </cell>
        </row>
        <row r="684">
          <cell r="A684">
            <v>101628</v>
          </cell>
          <cell r="B684">
            <v>20591</v>
          </cell>
          <cell r="C684">
            <v>20591</v>
          </cell>
          <cell r="D684" t="str">
            <v>PSB</v>
          </cell>
          <cell r="E684" t="str">
            <v>B</v>
          </cell>
          <cell r="F684" t="str">
            <v>TRAINING COORDINATOR, MH</v>
          </cell>
          <cell r="G684" t="str">
            <v>1865A</v>
          </cell>
          <cell r="H684">
            <v>6062.45</v>
          </cell>
          <cell r="I684">
            <v>1</v>
          </cell>
          <cell r="J684">
            <v>12</v>
          </cell>
          <cell r="K684">
            <v>1</v>
          </cell>
          <cell r="L684">
            <v>72749.56</v>
          </cell>
        </row>
        <row r="685">
          <cell r="A685">
            <v>102119</v>
          </cell>
          <cell r="B685">
            <v>20591</v>
          </cell>
          <cell r="C685">
            <v>20591</v>
          </cell>
          <cell r="D685" t="str">
            <v>PSB</v>
          </cell>
          <cell r="E685" t="str">
            <v>B</v>
          </cell>
          <cell r="F685" t="str">
            <v>TRAINING COORDINATOR, MH</v>
          </cell>
          <cell r="G685" t="str">
            <v>1865A</v>
          </cell>
          <cell r="H685">
            <v>6062.45</v>
          </cell>
          <cell r="I685">
            <v>1</v>
          </cell>
          <cell r="J685">
            <v>12</v>
          </cell>
          <cell r="K685">
            <v>1</v>
          </cell>
          <cell r="L685">
            <v>72749.56</v>
          </cell>
        </row>
        <row r="686">
          <cell r="A686">
            <v>104507</v>
          </cell>
          <cell r="B686">
            <v>18716</v>
          </cell>
          <cell r="C686">
            <v>20591</v>
          </cell>
          <cell r="D686" t="str">
            <v>PSB</v>
          </cell>
          <cell r="E686" t="str">
            <v>B</v>
          </cell>
          <cell r="F686" t="str">
            <v>TRAINING COORDINATOR, MH</v>
          </cell>
          <cell r="G686" t="str">
            <v>1865A</v>
          </cell>
          <cell r="H686">
            <v>6062.45</v>
          </cell>
          <cell r="I686">
            <v>1</v>
          </cell>
          <cell r="J686">
            <v>12</v>
          </cell>
          <cell r="K686">
            <v>1</v>
          </cell>
          <cell r="L686">
            <v>72749.56</v>
          </cell>
        </row>
        <row r="687">
          <cell r="A687">
            <v>104799</v>
          </cell>
          <cell r="B687">
            <v>20591</v>
          </cell>
          <cell r="C687">
            <v>20591</v>
          </cell>
          <cell r="D687" t="str">
            <v>PSB</v>
          </cell>
          <cell r="E687" t="str">
            <v>B</v>
          </cell>
          <cell r="F687" t="str">
            <v>TRAINING COORDINATOR, MH</v>
          </cell>
          <cell r="G687" t="str">
            <v>1865A</v>
          </cell>
          <cell r="H687">
            <v>6062.45</v>
          </cell>
          <cell r="I687">
            <v>1</v>
          </cell>
          <cell r="J687">
            <v>12</v>
          </cell>
          <cell r="K687">
            <v>1</v>
          </cell>
          <cell r="L687">
            <v>72749.56</v>
          </cell>
        </row>
        <row r="688">
          <cell r="A688">
            <v>104800</v>
          </cell>
          <cell r="B688">
            <v>21543</v>
          </cell>
          <cell r="C688">
            <v>20591</v>
          </cell>
          <cell r="D688" t="str">
            <v>PSB</v>
          </cell>
          <cell r="E688" t="str">
            <v>B</v>
          </cell>
          <cell r="F688" t="str">
            <v>TRAINING COORDINATOR, MH</v>
          </cell>
          <cell r="G688" t="str">
            <v>1865A</v>
          </cell>
          <cell r="H688">
            <v>6062.45</v>
          </cell>
          <cell r="I688">
            <v>1</v>
          </cell>
          <cell r="J688">
            <v>12</v>
          </cell>
          <cell r="K688">
            <v>1</v>
          </cell>
          <cell r="L688">
            <v>72749.56</v>
          </cell>
        </row>
        <row r="689">
          <cell r="A689">
            <v>104805</v>
          </cell>
          <cell r="B689">
            <v>20591</v>
          </cell>
          <cell r="C689">
            <v>20591</v>
          </cell>
          <cell r="D689" t="str">
            <v>PSB</v>
          </cell>
          <cell r="E689" t="str">
            <v>B</v>
          </cell>
          <cell r="F689" t="str">
            <v>TRAINING COORDINATOR, MH</v>
          </cell>
          <cell r="G689" t="str">
            <v>1865A</v>
          </cell>
          <cell r="H689">
            <v>6062.45</v>
          </cell>
          <cell r="I689">
            <v>1</v>
          </cell>
          <cell r="J689">
            <v>12</v>
          </cell>
          <cell r="K689">
            <v>1</v>
          </cell>
          <cell r="L689">
            <v>72749.56</v>
          </cell>
        </row>
        <row r="690">
          <cell r="A690">
            <v>104802</v>
          </cell>
          <cell r="B690">
            <v>21543</v>
          </cell>
          <cell r="C690">
            <v>21543</v>
          </cell>
          <cell r="D690" t="str">
            <v>PSB</v>
          </cell>
          <cell r="E690" t="str">
            <v>B</v>
          </cell>
          <cell r="F690" t="str">
            <v>INTERMEDIATE TYPIST-CLERK</v>
          </cell>
          <cell r="G690" t="str">
            <v>2214A</v>
          </cell>
          <cell r="H690">
            <v>2675.27</v>
          </cell>
          <cell r="I690">
            <v>1</v>
          </cell>
          <cell r="J690">
            <v>12</v>
          </cell>
          <cell r="K690">
            <v>1</v>
          </cell>
          <cell r="L690">
            <v>32103.16</v>
          </cell>
        </row>
        <row r="691">
          <cell r="A691">
            <v>100471</v>
          </cell>
          <cell r="B691">
            <v>20591</v>
          </cell>
          <cell r="C691">
            <v>21543</v>
          </cell>
          <cell r="D691" t="str">
            <v>PSB</v>
          </cell>
          <cell r="E691" t="str">
            <v>B</v>
          </cell>
          <cell r="F691" t="str">
            <v>MEDICAL CASE WORKER II</v>
          </cell>
          <cell r="G691" t="str">
            <v>9002A</v>
          </cell>
          <cell r="H691">
            <v>3938.82</v>
          </cell>
          <cell r="I691">
            <v>1</v>
          </cell>
          <cell r="J691">
            <v>12</v>
          </cell>
          <cell r="K691">
            <v>1</v>
          </cell>
          <cell r="L691">
            <v>47265.68</v>
          </cell>
        </row>
        <row r="692">
          <cell r="A692">
            <v>104361</v>
          </cell>
          <cell r="B692">
            <v>23061</v>
          </cell>
          <cell r="C692">
            <v>21543</v>
          </cell>
          <cell r="D692" t="str">
            <v>PSB</v>
          </cell>
          <cell r="E692" t="str">
            <v>B</v>
          </cell>
          <cell r="F692" t="str">
            <v xml:space="preserve">MENTAL HEALTH ANALYST I            </v>
          </cell>
          <cell r="G692" t="str">
            <v>4727A</v>
          </cell>
          <cell r="H692">
            <v>5602.09</v>
          </cell>
          <cell r="I692">
            <v>1</v>
          </cell>
          <cell r="J692">
            <v>12</v>
          </cell>
          <cell r="K692">
            <v>1</v>
          </cell>
          <cell r="L692">
            <v>67225.16</v>
          </cell>
        </row>
        <row r="693">
          <cell r="A693">
            <v>102731</v>
          </cell>
          <cell r="B693">
            <v>20559</v>
          </cell>
          <cell r="C693">
            <v>21543</v>
          </cell>
          <cell r="D693" t="str">
            <v>PSB</v>
          </cell>
          <cell r="E693" t="str">
            <v>B</v>
          </cell>
          <cell r="F693" t="str">
            <v xml:space="preserve">SENIOR SECRETARY III               </v>
          </cell>
          <cell r="G693" t="str">
            <v>2102A</v>
          </cell>
          <cell r="H693">
            <v>4106.3599999999997</v>
          </cell>
          <cell r="I693">
            <v>1</v>
          </cell>
          <cell r="J693">
            <v>12</v>
          </cell>
          <cell r="K693">
            <v>1</v>
          </cell>
          <cell r="L693">
            <v>49276.56</v>
          </cell>
        </row>
        <row r="694">
          <cell r="A694">
            <v>104806</v>
          </cell>
          <cell r="B694">
            <v>20591</v>
          </cell>
          <cell r="C694">
            <v>21543</v>
          </cell>
          <cell r="D694" t="str">
            <v>PSB</v>
          </cell>
          <cell r="E694" t="str">
            <v>B</v>
          </cell>
          <cell r="F694" t="str">
            <v>TRAINING COORDINATOR, MH</v>
          </cell>
          <cell r="G694" t="str">
            <v>1865A</v>
          </cell>
          <cell r="H694">
            <v>6062.45</v>
          </cell>
          <cell r="I694">
            <v>1</v>
          </cell>
          <cell r="J694">
            <v>12</v>
          </cell>
          <cell r="K694">
            <v>1</v>
          </cell>
          <cell r="L694">
            <v>72749.56</v>
          </cell>
        </row>
        <row r="695">
          <cell r="A695">
            <v>100533</v>
          </cell>
          <cell r="B695">
            <v>20588</v>
          </cell>
          <cell r="C695">
            <v>20588</v>
          </cell>
          <cell r="D695" t="str">
            <v>PSB</v>
          </cell>
          <cell r="E695" t="str">
            <v>B</v>
          </cell>
          <cell r="F695" t="str">
            <v xml:space="preserve">MENTAL HEALTH ANALYST II           </v>
          </cell>
          <cell r="G695" t="str">
            <v>4729A</v>
          </cell>
          <cell r="H695">
            <v>6244.55</v>
          </cell>
          <cell r="I695">
            <v>1</v>
          </cell>
          <cell r="J695">
            <v>12</v>
          </cell>
          <cell r="K695">
            <v>1</v>
          </cell>
          <cell r="L695">
            <v>74934.36</v>
          </cell>
        </row>
        <row r="696">
          <cell r="A696">
            <v>102125</v>
          </cell>
          <cell r="B696">
            <v>20588</v>
          </cell>
          <cell r="C696">
            <v>20588</v>
          </cell>
          <cell r="D696" t="str">
            <v>PSB</v>
          </cell>
          <cell r="E696" t="str">
            <v>B</v>
          </cell>
          <cell r="F696" t="str">
            <v xml:space="preserve">SENIOR SECRETARY III               </v>
          </cell>
          <cell r="G696" t="str">
            <v>2102A</v>
          </cell>
          <cell r="H696">
            <v>4106.3599999999997</v>
          </cell>
          <cell r="I696">
            <v>1</v>
          </cell>
          <cell r="J696">
            <v>12</v>
          </cell>
          <cell r="K696">
            <v>1</v>
          </cell>
          <cell r="L696">
            <v>49276.56</v>
          </cell>
        </row>
        <row r="697">
          <cell r="A697">
            <v>102117</v>
          </cell>
          <cell r="B697">
            <v>20588</v>
          </cell>
          <cell r="C697">
            <v>20588</v>
          </cell>
          <cell r="D697" t="str">
            <v>PSB</v>
          </cell>
          <cell r="E697" t="str">
            <v>B</v>
          </cell>
          <cell r="F697" t="str">
            <v xml:space="preserve">STUDENT PROFESSIONAL WORKER        </v>
          </cell>
          <cell r="G697" t="str">
            <v>8243F</v>
          </cell>
          <cell r="H697">
            <v>10.3</v>
          </cell>
          <cell r="I697">
            <v>1</v>
          </cell>
          <cell r="J697">
            <v>1044</v>
          </cell>
          <cell r="K697">
            <v>0</v>
          </cell>
          <cell r="L697">
            <v>10753</v>
          </cell>
        </row>
        <row r="698">
          <cell r="A698">
            <v>101512</v>
          </cell>
          <cell r="B698">
            <v>20905</v>
          </cell>
          <cell r="C698">
            <v>20905</v>
          </cell>
          <cell r="D698" t="str">
            <v>PSB</v>
          </cell>
          <cell r="E698" t="str">
            <v>B</v>
          </cell>
          <cell r="F698" t="str">
            <v xml:space="preserve">STAFF ASSISTANT I                  </v>
          </cell>
          <cell r="G698" t="str">
            <v>0907A</v>
          </cell>
          <cell r="H698">
            <v>3453.18</v>
          </cell>
          <cell r="I698">
            <v>1</v>
          </cell>
          <cell r="J698">
            <v>12</v>
          </cell>
          <cell r="K698">
            <v>1</v>
          </cell>
          <cell r="L698">
            <v>41438.480000000003</v>
          </cell>
        </row>
        <row r="699">
          <cell r="A699">
            <v>104583</v>
          </cell>
          <cell r="B699">
            <v>20559</v>
          </cell>
          <cell r="C699">
            <v>20559</v>
          </cell>
          <cell r="D699" t="str">
            <v>PSB</v>
          </cell>
          <cell r="E699" t="str">
            <v>B</v>
          </cell>
          <cell r="F699" t="str">
            <v>CHIEF RESEARCH ANALYST,BEHAVIOR SCI</v>
          </cell>
          <cell r="G699" t="str">
            <v>8974A</v>
          </cell>
          <cell r="H699">
            <v>6092.27</v>
          </cell>
          <cell r="I699">
            <v>1</v>
          </cell>
          <cell r="J699">
            <v>12</v>
          </cell>
          <cell r="K699">
            <v>1</v>
          </cell>
          <cell r="L699">
            <v>73107.320000000007</v>
          </cell>
        </row>
        <row r="700">
          <cell r="A700">
            <v>106352</v>
          </cell>
          <cell r="B700">
            <v>21564</v>
          </cell>
          <cell r="C700">
            <v>20559</v>
          </cell>
          <cell r="D700" t="str">
            <v>PSB</v>
          </cell>
          <cell r="E700" t="str">
            <v>B</v>
          </cell>
          <cell r="F700" t="str">
            <v>CLINICAL PSYCHOLOGIST II</v>
          </cell>
          <cell r="G700" t="str">
            <v>8697A</v>
          </cell>
          <cell r="H700">
            <v>6993.82</v>
          </cell>
          <cell r="I700">
            <v>1</v>
          </cell>
          <cell r="J700">
            <v>12</v>
          </cell>
          <cell r="K700">
            <v>1</v>
          </cell>
          <cell r="L700">
            <v>83925.52</v>
          </cell>
        </row>
        <row r="701">
          <cell r="A701">
            <v>102695</v>
          </cell>
          <cell r="B701">
            <v>20559</v>
          </cell>
          <cell r="C701">
            <v>20559</v>
          </cell>
          <cell r="D701" t="str">
            <v>PSB</v>
          </cell>
          <cell r="E701" t="str">
            <v>B</v>
          </cell>
          <cell r="F701" t="str">
            <v xml:space="preserve">MENTAL HEALTH ANALYST I            </v>
          </cell>
          <cell r="G701" t="str">
            <v>4727A</v>
          </cell>
          <cell r="H701">
            <v>5602.09</v>
          </cell>
          <cell r="I701">
            <v>1</v>
          </cell>
          <cell r="J701">
            <v>12</v>
          </cell>
          <cell r="K701">
            <v>1</v>
          </cell>
          <cell r="L701">
            <v>67225.16</v>
          </cell>
        </row>
        <row r="702">
          <cell r="A702">
            <v>101811</v>
          </cell>
          <cell r="B702">
            <v>20452</v>
          </cell>
          <cell r="C702">
            <v>20559</v>
          </cell>
          <cell r="D702" t="str">
            <v>PSB</v>
          </cell>
          <cell r="E702" t="str">
            <v>B</v>
          </cell>
          <cell r="F702" t="str">
            <v xml:space="preserve">MENTAL HEALTH ANALYST II           </v>
          </cell>
          <cell r="G702" t="str">
            <v>4729A</v>
          </cell>
          <cell r="H702">
            <v>6244.55</v>
          </cell>
          <cell r="I702">
            <v>1</v>
          </cell>
          <cell r="J702">
            <v>12</v>
          </cell>
          <cell r="K702">
            <v>1</v>
          </cell>
          <cell r="L702">
            <v>74934.36</v>
          </cell>
        </row>
        <row r="703">
          <cell r="A703">
            <v>101844</v>
          </cell>
          <cell r="B703">
            <v>20589</v>
          </cell>
          <cell r="C703">
            <v>20589</v>
          </cell>
          <cell r="D703" t="str">
            <v>PSB</v>
          </cell>
          <cell r="E703" t="str">
            <v>B</v>
          </cell>
          <cell r="F703" t="str">
            <v>CHIEF RESEARCH ANALYST,BEHAVIOR SCI</v>
          </cell>
          <cell r="G703" t="str">
            <v>8974A</v>
          </cell>
          <cell r="H703">
            <v>6092.27</v>
          </cell>
          <cell r="I703">
            <v>1</v>
          </cell>
          <cell r="J703">
            <v>12</v>
          </cell>
          <cell r="K703">
            <v>1</v>
          </cell>
          <cell r="L703">
            <v>73107.320000000007</v>
          </cell>
        </row>
        <row r="704">
          <cell r="A704">
            <v>102122</v>
          </cell>
          <cell r="B704">
            <v>20588</v>
          </cell>
          <cell r="C704">
            <v>20589</v>
          </cell>
          <cell r="D704" t="str">
            <v>PSB</v>
          </cell>
          <cell r="E704" t="str">
            <v>B</v>
          </cell>
          <cell r="F704" t="str">
            <v xml:space="preserve">INTERMEDIATE STENOGRAPHER          </v>
          </cell>
          <cell r="G704" t="str">
            <v>2172A</v>
          </cell>
          <cell r="H704">
            <v>2934</v>
          </cell>
          <cell r="I704">
            <v>1</v>
          </cell>
          <cell r="J704">
            <v>12</v>
          </cell>
          <cell r="K704">
            <v>1</v>
          </cell>
          <cell r="L704">
            <v>35208</v>
          </cell>
        </row>
        <row r="705">
          <cell r="A705">
            <v>102124</v>
          </cell>
          <cell r="B705">
            <v>20589</v>
          </cell>
          <cell r="C705">
            <v>20589</v>
          </cell>
          <cell r="D705" t="str">
            <v>PSB</v>
          </cell>
          <cell r="E705" t="str">
            <v>B</v>
          </cell>
          <cell r="F705" t="str">
            <v xml:space="preserve">RESEARCH ANALYST II,BEHAVIOR SCI   </v>
          </cell>
          <cell r="G705" t="str">
            <v>8972A</v>
          </cell>
          <cell r="H705">
            <v>4520.7299999999996</v>
          </cell>
          <cell r="I705">
            <v>1</v>
          </cell>
          <cell r="J705">
            <v>12</v>
          </cell>
          <cell r="K705">
            <v>1</v>
          </cell>
          <cell r="L705">
            <v>54248.44</v>
          </cell>
        </row>
        <row r="706">
          <cell r="A706">
            <v>101392</v>
          </cell>
          <cell r="B706">
            <v>20589</v>
          </cell>
          <cell r="C706">
            <v>20589</v>
          </cell>
          <cell r="D706" t="str">
            <v>PSB</v>
          </cell>
          <cell r="E706" t="str">
            <v>B</v>
          </cell>
          <cell r="F706" t="str">
            <v xml:space="preserve">RESEARCH ANALYST III,BEHAVIOR SCI  </v>
          </cell>
          <cell r="G706" t="str">
            <v>8973A</v>
          </cell>
          <cell r="H706">
            <v>5479.27</v>
          </cell>
          <cell r="I706">
            <v>1</v>
          </cell>
          <cell r="J706">
            <v>12</v>
          </cell>
          <cell r="K706">
            <v>1</v>
          </cell>
          <cell r="L706">
            <v>65751.240000000005</v>
          </cell>
        </row>
        <row r="707">
          <cell r="A707">
            <v>101398</v>
          </cell>
          <cell r="B707">
            <v>20589</v>
          </cell>
          <cell r="C707">
            <v>20589</v>
          </cell>
          <cell r="D707" t="str">
            <v>PSB</v>
          </cell>
          <cell r="E707" t="str">
            <v>B</v>
          </cell>
          <cell r="F707" t="str">
            <v xml:space="preserve">RESEARCH ANALYST III,BEHAVIOR SCI  </v>
          </cell>
          <cell r="G707" t="str">
            <v>8973A</v>
          </cell>
          <cell r="H707">
            <v>5479.27</v>
          </cell>
          <cell r="I707">
            <v>1</v>
          </cell>
          <cell r="J707">
            <v>12</v>
          </cell>
          <cell r="K707">
            <v>1</v>
          </cell>
          <cell r="L707">
            <v>65751.240000000005</v>
          </cell>
        </row>
        <row r="708">
          <cell r="A708">
            <v>103598</v>
          </cell>
          <cell r="B708">
            <v>20589</v>
          </cell>
          <cell r="C708">
            <v>20589</v>
          </cell>
          <cell r="D708" t="str">
            <v>PSB</v>
          </cell>
          <cell r="E708" t="str">
            <v>B</v>
          </cell>
          <cell r="F708" t="str">
            <v xml:space="preserve">RESEARCH ANALYST III,BEHAVIOR SCI  </v>
          </cell>
          <cell r="G708" t="str">
            <v>8973A</v>
          </cell>
          <cell r="H708">
            <v>5479.27</v>
          </cell>
          <cell r="I708">
            <v>1</v>
          </cell>
          <cell r="J708">
            <v>12</v>
          </cell>
          <cell r="K708">
            <v>1</v>
          </cell>
          <cell r="L708">
            <v>65751.240000000005</v>
          </cell>
        </row>
        <row r="709">
          <cell r="A709">
            <v>102120</v>
          </cell>
          <cell r="B709">
            <v>20944</v>
          </cell>
          <cell r="D709" t="str">
            <v>PSB</v>
          </cell>
          <cell r="E709" t="str">
            <v>B</v>
          </cell>
          <cell r="F709" t="str">
            <v xml:space="preserve">ADMINISTRATIVE ASSISTANT III       </v>
          </cell>
          <cell r="G709" t="str">
            <v>0889A</v>
          </cell>
          <cell r="H709">
            <v>4832</v>
          </cell>
          <cell r="I709">
            <v>1</v>
          </cell>
          <cell r="J709">
            <v>12</v>
          </cell>
          <cell r="K709">
            <v>1</v>
          </cell>
          <cell r="L709">
            <v>57983.839999999997</v>
          </cell>
        </row>
        <row r="710">
          <cell r="A710">
            <v>106275</v>
          </cell>
          <cell r="B710">
            <v>20446</v>
          </cell>
          <cell r="D710" t="str">
            <v>PSB</v>
          </cell>
          <cell r="E710" t="str">
            <v>B</v>
          </cell>
          <cell r="F710" t="str">
            <v>MENTAL HEALTH SERVICES COORD I</v>
          </cell>
          <cell r="G710" t="str">
            <v>8148A</v>
          </cell>
          <cell r="H710">
            <v>5126.91</v>
          </cell>
          <cell r="I710">
            <v>1</v>
          </cell>
          <cell r="J710">
            <v>12</v>
          </cell>
          <cell r="K710">
            <v>1</v>
          </cell>
          <cell r="L710">
            <v>61522.92</v>
          </cell>
        </row>
        <row r="711">
          <cell r="A711">
            <v>101848</v>
          </cell>
          <cell r="B711">
            <v>18674</v>
          </cell>
          <cell r="D711" t="str">
            <v>PSB</v>
          </cell>
          <cell r="E711" t="str">
            <v>B</v>
          </cell>
          <cell r="F711" t="str">
            <v>MENTAL HEALTH SERVICES COORD II</v>
          </cell>
          <cell r="G711" t="str">
            <v>8149A</v>
          </cell>
          <cell r="H711">
            <v>5152.3599999999997</v>
          </cell>
          <cell r="I711">
            <v>1</v>
          </cell>
          <cell r="J711">
            <v>12</v>
          </cell>
          <cell r="K711">
            <v>1</v>
          </cell>
          <cell r="L711">
            <v>61828.72</v>
          </cell>
        </row>
        <row r="712">
          <cell r="A712">
            <v>100543</v>
          </cell>
          <cell r="B712">
            <v>20487</v>
          </cell>
          <cell r="D712" t="str">
            <v>PSB</v>
          </cell>
          <cell r="E712" t="str">
            <v>B</v>
          </cell>
          <cell r="F712" t="str">
            <v>MENTAL HLTH CLINICAL DIST CHIEF</v>
          </cell>
          <cell r="G712" t="str">
            <v>4722A</v>
          </cell>
          <cell r="H712">
            <v>10074</v>
          </cell>
          <cell r="I712">
            <v>1</v>
          </cell>
          <cell r="J712">
            <v>12</v>
          </cell>
          <cell r="K712">
            <v>1</v>
          </cell>
          <cell r="L712">
            <v>120887.6</v>
          </cell>
        </row>
        <row r="713">
          <cell r="A713">
            <v>104813</v>
          </cell>
          <cell r="B713">
            <v>20589</v>
          </cell>
          <cell r="D713" t="str">
            <v>PSB</v>
          </cell>
          <cell r="E713" t="str">
            <v>B</v>
          </cell>
          <cell r="F713" t="str">
            <v xml:space="preserve">SENIOR TYPIST-CLERK                </v>
          </cell>
          <cell r="G713" t="str">
            <v>2216A</v>
          </cell>
          <cell r="H713">
            <v>3013.55</v>
          </cell>
          <cell r="I713">
            <v>1</v>
          </cell>
          <cell r="J713">
            <v>12</v>
          </cell>
          <cell r="K713">
            <v>1</v>
          </cell>
          <cell r="L713">
            <v>36162.6</v>
          </cell>
        </row>
        <row r="714">
          <cell r="A714">
            <v>109613</v>
          </cell>
          <cell r="B714">
            <v>32054</v>
          </cell>
          <cell r="D714" t="str">
            <v>PSB</v>
          </cell>
          <cell r="E714" t="str">
            <v>M</v>
          </cell>
          <cell r="F714" t="str">
            <v>COMMUNITY WORKER</v>
          </cell>
          <cell r="G714" t="str">
            <v>8103A</v>
          </cell>
          <cell r="H714">
            <v>2984.09</v>
          </cell>
          <cell r="I714">
            <v>1</v>
          </cell>
          <cell r="J714">
            <v>6</v>
          </cell>
          <cell r="K714">
            <v>0.5</v>
          </cell>
          <cell r="L714">
            <v>17904.54</v>
          </cell>
        </row>
        <row r="715">
          <cell r="A715">
            <v>109614</v>
          </cell>
          <cell r="B715">
            <v>32054</v>
          </cell>
          <cell r="D715" t="str">
            <v>PSB</v>
          </cell>
          <cell r="E715" t="str">
            <v>M</v>
          </cell>
          <cell r="F715" t="str">
            <v>COMMUNITY WORKER</v>
          </cell>
          <cell r="G715" t="str">
            <v>8103A</v>
          </cell>
          <cell r="H715">
            <v>2984.09</v>
          </cell>
          <cell r="I715">
            <v>1</v>
          </cell>
          <cell r="J715">
            <v>6</v>
          </cell>
          <cell r="K715">
            <v>0.5</v>
          </cell>
          <cell r="L715">
            <v>17904.54</v>
          </cell>
        </row>
        <row r="716">
          <cell r="A716">
            <v>109615</v>
          </cell>
          <cell r="B716">
            <v>32054</v>
          </cell>
          <cell r="D716" t="str">
            <v>PSB</v>
          </cell>
          <cell r="E716" t="str">
            <v>M</v>
          </cell>
          <cell r="F716" t="str">
            <v>COMMUNITY WORKER</v>
          </cell>
          <cell r="G716" t="str">
            <v>8103A</v>
          </cell>
          <cell r="H716">
            <v>2984.09</v>
          </cell>
          <cell r="I716">
            <v>1</v>
          </cell>
          <cell r="J716">
            <v>6</v>
          </cell>
          <cell r="K716">
            <v>0.5</v>
          </cell>
          <cell r="L716">
            <v>17904.54</v>
          </cell>
        </row>
        <row r="717">
          <cell r="A717">
            <v>109616</v>
          </cell>
          <cell r="B717">
            <v>32054</v>
          </cell>
          <cell r="D717" t="str">
            <v>PSB</v>
          </cell>
          <cell r="E717" t="str">
            <v>M</v>
          </cell>
          <cell r="F717" t="str">
            <v>COMMUNITY WORKER</v>
          </cell>
          <cell r="G717" t="str">
            <v>8103A</v>
          </cell>
          <cell r="H717">
            <v>2984.09</v>
          </cell>
          <cell r="I717">
            <v>1</v>
          </cell>
          <cell r="J717">
            <v>6</v>
          </cell>
          <cell r="K717">
            <v>0.5</v>
          </cell>
          <cell r="L717">
            <v>17904.54</v>
          </cell>
        </row>
        <row r="718">
          <cell r="A718">
            <v>109617</v>
          </cell>
          <cell r="B718">
            <v>32054</v>
          </cell>
          <cell r="D718" t="str">
            <v>PSB</v>
          </cell>
          <cell r="E718" t="str">
            <v>M</v>
          </cell>
          <cell r="F718" t="str">
            <v>COMMUNITY WORKER</v>
          </cell>
          <cell r="G718" t="str">
            <v>8103A</v>
          </cell>
          <cell r="H718">
            <v>2984.09</v>
          </cell>
          <cell r="I718">
            <v>1</v>
          </cell>
          <cell r="J718">
            <v>6</v>
          </cell>
          <cell r="K718">
            <v>0.5</v>
          </cell>
          <cell r="L718">
            <v>17904.54</v>
          </cell>
        </row>
        <row r="719">
          <cell r="A719">
            <v>109618</v>
          </cell>
          <cell r="B719">
            <v>32054</v>
          </cell>
          <cell r="D719" t="str">
            <v>PSB</v>
          </cell>
          <cell r="E719" t="str">
            <v>M</v>
          </cell>
          <cell r="F719" t="str">
            <v>COMMUNITY WORKER</v>
          </cell>
          <cell r="G719" t="str">
            <v>8103A</v>
          </cell>
          <cell r="H719">
            <v>2984.09</v>
          </cell>
          <cell r="I719">
            <v>1</v>
          </cell>
          <cell r="J719">
            <v>6</v>
          </cell>
          <cell r="K719">
            <v>0.5</v>
          </cell>
          <cell r="L719">
            <v>17904.54</v>
          </cell>
        </row>
        <row r="720">
          <cell r="A720">
            <v>109619</v>
          </cell>
          <cell r="B720">
            <v>32054</v>
          </cell>
          <cell r="D720" t="str">
            <v>PSB</v>
          </cell>
          <cell r="E720" t="str">
            <v>M</v>
          </cell>
          <cell r="F720" t="str">
            <v>COMMUNITY WORKER</v>
          </cell>
          <cell r="G720" t="str">
            <v>8103A</v>
          </cell>
          <cell r="H720">
            <v>2984.09</v>
          </cell>
          <cell r="I720">
            <v>1</v>
          </cell>
          <cell r="J720">
            <v>6</v>
          </cell>
          <cell r="K720">
            <v>0.5</v>
          </cell>
          <cell r="L720">
            <v>17904.54</v>
          </cell>
        </row>
        <row r="721">
          <cell r="A721">
            <v>109620</v>
          </cell>
          <cell r="B721">
            <v>32054</v>
          </cell>
          <cell r="D721" t="str">
            <v>PSB</v>
          </cell>
          <cell r="E721" t="str">
            <v>M</v>
          </cell>
          <cell r="F721" t="str">
            <v>COMMUNITY WORKER</v>
          </cell>
          <cell r="G721" t="str">
            <v>8103A</v>
          </cell>
          <cell r="H721">
            <v>2984.09</v>
          </cell>
          <cell r="I721">
            <v>1</v>
          </cell>
          <cell r="J721">
            <v>6</v>
          </cell>
          <cell r="K721">
            <v>0.5</v>
          </cell>
          <cell r="L721">
            <v>17904.54</v>
          </cell>
        </row>
        <row r="722">
          <cell r="A722">
            <v>109621</v>
          </cell>
          <cell r="B722">
            <v>32054</v>
          </cell>
          <cell r="D722" t="str">
            <v>PSB</v>
          </cell>
          <cell r="E722" t="str">
            <v>M</v>
          </cell>
          <cell r="F722" t="str">
            <v>COMMUNITY WORKER</v>
          </cell>
          <cell r="G722" t="str">
            <v>8103A</v>
          </cell>
          <cell r="H722">
            <v>2984.09</v>
          </cell>
          <cell r="I722">
            <v>1</v>
          </cell>
          <cell r="J722">
            <v>6</v>
          </cell>
          <cell r="K722">
            <v>0.5</v>
          </cell>
          <cell r="L722">
            <v>17904.54</v>
          </cell>
        </row>
        <row r="723">
          <cell r="A723">
            <v>109622</v>
          </cell>
          <cell r="B723">
            <v>32054</v>
          </cell>
          <cell r="D723" t="str">
            <v>PSB</v>
          </cell>
          <cell r="E723" t="str">
            <v>M</v>
          </cell>
          <cell r="F723" t="str">
            <v>COMMUNITY WORKER</v>
          </cell>
          <cell r="G723" t="str">
            <v>8103A</v>
          </cell>
          <cell r="H723">
            <v>2984.09</v>
          </cell>
          <cell r="I723">
            <v>1</v>
          </cell>
          <cell r="J723">
            <v>6</v>
          </cell>
          <cell r="K723">
            <v>0.5</v>
          </cell>
          <cell r="L723">
            <v>17904.54</v>
          </cell>
        </row>
        <row r="724">
          <cell r="A724">
            <v>109623</v>
          </cell>
          <cell r="B724">
            <v>32054</v>
          </cell>
          <cell r="D724" t="str">
            <v>PSB</v>
          </cell>
          <cell r="E724" t="str">
            <v>M</v>
          </cell>
          <cell r="F724" t="str">
            <v>COMMUNITY WORKER</v>
          </cell>
          <cell r="G724" t="str">
            <v>8103A</v>
          </cell>
          <cell r="H724">
            <v>2984.09</v>
          </cell>
          <cell r="I724">
            <v>1</v>
          </cell>
          <cell r="J724">
            <v>6</v>
          </cell>
          <cell r="K724">
            <v>0.5</v>
          </cell>
          <cell r="L724">
            <v>17904.54</v>
          </cell>
        </row>
        <row r="725">
          <cell r="A725">
            <v>109624</v>
          </cell>
          <cell r="B725">
            <v>32054</v>
          </cell>
          <cell r="D725" t="str">
            <v>PSB</v>
          </cell>
          <cell r="E725" t="str">
            <v>M</v>
          </cell>
          <cell r="F725" t="str">
            <v>COMMUNITY WORKER</v>
          </cell>
          <cell r="G725" t="str">
            <v>8103A</v>
          </cell>
          <cell r="H725">
            <v>2984.09</v>
          </cell>
          <cell r="I725">
            <v>1</v>
          </cell>
          <cell r="J725">
            <v>6</v>
          </cell>
          <cell r="K725">
            <v>0.5</v>
          </cell>
          <cell r="L725">
            <v>17904.54</v>
          </cell>
        </row>
        <row r="726">
          <cell r="A726">
            <v>109625</v>
          </cell>
          <cell r="B726">
            <v>32054</v>
          </cell>
          <cell r="D726" t="str">
            <v>PSB</v>
          </cell>
          <cell r="E726" t="str">
            <v>M</v>
          </cell>
          <cell r="F726" t="str">
            <v>COMMUNITY WORKER</v>
          </cell>
          <cell r="G726" t="str">
            <v>8103A</v>
          </cell>
          <cell r="H726">
            <v>2984.09</v>
          </cell>
          <cell r="I726">
            <v>1</v>
          </cell>
          <cell r="J726">
            <v>6</v>
          </cell>
          <cell r="K726">
            <v>0.5</v>
          </cell>
          <cell r="L726">
            <v>17904.54</v>
          </cell>
        </row>
        <row r="727">
          <cell r="A727">
            <v>109626</v>
          </cell>
          <cell r="B727">
            <v>32054</v>
          </cell>
          <cell r="D727" t="str">
            <v>PSB</v>
          </cell>
          <cell r="E727" t="str">
            <v>M</v>
          </cell>
          <cell r="F727" t="str">
            <v>COMMUNITY WORKER</v>
          </cell>
          <cell r="G727" t="str">
            <v>8103A</v>
          </cell>
          <cell r="H727">
            <v>2984.09</v>
          </cell>
          <cell r="I727">
            <v>1</v>
          </cell>
          <cell r="J727">
            <v>6</v>
          </cell>
          <cell r="K727">
            <v>0.5</v>
          </cell>
          <cell r="L727">
            <v>17904.54</v>
          </cell>
        </row>
        <row r="728">
          <cell r="A728">
            <v>109627</v>
          </cell>
          <cell r="B728">
            <v>32054</v>
          </cell>
          <cell r="D728" t="str">
            <v>PSB</v>
          </cell>
          <cell r="E728" t="str">
            <v>M</v>
          </cell>
          <cell r="F728" t="str">
            <v>COMMUNITY WORKER</v>
          </cell>
          <cell r="G728" t="str">
            <v>8103A</v>
          </cell>
          <cell r="H728">
            <v>2984.09</v>
          </cell>
          <cell r="I728">
            <v>1</v>
          </cell>
          <cell r="J728">
            <v>6</v>
          </cell>
          <cell r="K728">
            <v>0.5</v>
          </cell>
          <cell r="L728">
            <v>17904.54</v>
          </cell>
        </row>
        <row r="729">
          <cell r="A729">
            <v>109628</v>
          </cell>
          <cell r="B729">
            <v>32054</v>
          </cell>
          <cell r="D729" t="str">
            <v>PSB</v>
          </cell>
          <cell r="E729" t="str">
            <v>M</v>
          </cell>
          <cell r="F729" t="str">
            <v>COMMUNITY WORKER</v>
          </cell>
          <cell r="G729" t="str">
            <v>8103A</v>
          </cell>
          <cell r="H729">
            <v>2984.09</v>
          </cell>
          <cell r="I729">
            <v>1</v>
          </cell>
          <cell r="J729">
            <v>6</v>
          </cell>
          <cell r="K729">
            <v>0.5</v>
          </cell>
          <cell r="L729">
            <v>17904.54</v>
          </cell>
        </row>
        <row r="730">
          <cell r="A730">
            <v>109596</v>
          </cell>
          <cell r="B730">
            <v>32054</v>
          </cell>
          <cell r="D730" t="str">
            <v>PSB</v>
          </cell>
          <cell r="E730" t="str">
            <v>M</v>
          </cell>
          <cell r="F730" t="str">
            <v>INFORMATION SYSTEMS ANALYST II</v>
          </cell>
          <cell r="G730" t="str">
            <v>2591A</v>
          </cell>
          <cell r="H730">
            <v>5425.82</v>
          </cell>
          <cell r="I730">
            <v>1</v>
          </cell>
          <cell r="J730">
            <v>12</v>
          </cell>
          <cell r="K730">
            <v>1</v>
          </cell>
          <cell r="L730">
            <v>65109.84</v>
          </cell>
        </row>
        <row r="731">
          <cell r="A731">
            <v>109597</v>
          </cell>
          <cell r="B731">
            <v>32054</v>
          </cell>
          <cell r="D731" t="str">
            <v>PSB</v>
          </cell>
          <cell r="E731" t="str">
            <v>M</v>
          </cell>
          <cell r="F731" t="str">
            <v>INFORMATION SYSTEMS ANALYST II</v>
          </cell>
          <cell r="G731" t="str">
            <v>2591A</v>
          </cell>
          <cell r="H731">
            <v>5425.82</v>
          </cell>
          <cell r="I731">
            <v>1</v>
          </cell>
          <cell r="J731">
            <v>12</v>
          </cell>
          <cell r="K731">
            <v>1</v>
          </cell>
          <cell r="L731">
            <v>65109.84</v>
          </cell>
        </row>
        <row r="732">
          <cell r="A732">
            <v>109594</v>
          </cell>
          <cell r="B732">
            <v>32054</v>
          </cell>
          <cell r="D732" t="str">
            <v>PSB</v>
          </cell>
          <cell r="E732" t="str">
            <v>M</v>
          </cell>
          <cell r="F732" t="str">
            <v>INTERMEDIATE TYPIST-CLERK</v>
          </cell>
          <cell r="G732" t="str">
            <v>2214A</v>
          </cell>
          <cell r="H732">
            <v>2675.27</v>
          </cell>
          <cell r="I732">
            <v>1</v>
          </cell>
          <cell r="J732">
            <v>12</v>
          </cell>
          <cell r="K732">
            <v>1</v>
          </cell>
          <cell r="L732">
            <v>32103.24</v>
          </cell>
        </row>
        <row r="733">
          <cell r="A733">
            <v>109630</v>
          </cell>
          <cell r="B733">
            <v>32054</v>
          </cell>
          <cell r="D733" t="str">
            <v>PSB</v>
          </cell>
          <cell r="E733" t="str">
            <v>M</v>
          </cell>
          <cell r="F733" t="str">
            <v>INTERMEDIATE TYPIST-CLERK</v>
          </cell>
          <cell r="G733" t="str">
            <v>2214A</v>
          </cell>
          <cell r="H733">
            <v>2675.27</v>
          </cell>
          <cell r="I733">
            <v>1</v>
          </cell>
          <cell r="J733">
            <v>12</v>
          </cell>
          <cell r="K733">
            <v>1</v>
          </cell>
          <cell r="L733">
            <v>32103.24</v>
          </cell>
        </row>
        <row r="734">
          <cell r="A734">
            <v>109632</v>
          </cell>
          <cell r="B734">
            <v>32054</v>
          </cell>
          <cell r="D734" t="str">
            <v>PSB</v>
          </cell>
          <cell r="E734" t="str">
            <v>M</v>
          </cell>
          <cell r="F734" t="str">
            <v>INTERMEDIATE TYPIST-CLERK</v>
          </cell>
          <cell r="G734" t="str">
            <v>2214A</v>
          </cell>
          <cell r="H734">
            <v>2675.27</v>
          </cell>
          <cell r="I734">
            <v>1</v>
          </cell>
          <cell r="J734">
            <v>12</v>
          </cell>
          <cell r="K734">
            <v>1</v>
          </cell>
          <cell r="L734">
            <v>32103.24</v>
          </cell>
        </row>
        <row r="735">
          <cell r="A735">
            <v>109599</v>
          </cell>
          <cell r="B735">
            <v>32054</v>
          </cell>
          <cell r="D735" t="str">
            <v>PSB</v>
          </cell>
          <cell r="E735" t="str">
            <v>M</v>
          </cell>
          <cell r="F735" t="str">
            <v xml:space="preserve">MENTAL HEALTH ANALYST I            </v>
          </cell>
          <cell r="G735" t="str">
            <v>4727A</v>
          </cell>
          <cell r="H735">
            <v>5602.09</v>
          </cell>
          <cell r="I735">
            <v>1</v>
          </cell>
          <cell r="J735">
            <v>12</v>
          </cell>
          <cell r="K735">
            <v>1</v>
          </cell>
          <cell r="L735">
            <v>67225.08</v>
          </cell>
        </row>
        <row r="736">
          <cell r="A736">
            <v>110204</v>
          </cell>
          <cell r="B736">
            <v>32054</v>
          </cell>
          <cell r="D736" t="str">
            <v>PSB</v>
          </cell>
          <cell r="E736" t="str">
            <v>M</v>
          </cell>
          <cell r="F736" t="str">
            <v xml:space="preserve">MENTAL HEALTH ANALYST I            </v>
          </cell>
          <cell r="G736" t="str">
            <v>4727A</v>
          </cell>
          <cell r="H736">
            <v>5602.09</v>
          </cell>
          <cell r="I736">
            <v>1</v>
          </cell>
          <cell r="J736">
            <v>12</v>
          </cell>
          <cell r="K736">
            <v>1</v>
          </cell>
          <cell r="L736">
            <v>67225.08</v>
          </cell>
        </row>
        <row r="737">
          <cell r="A737">
            <v>109598</v>
          </cell>
          <cell r="B737">
            <v>32054</v>
          </cell>
          <cell r="D737" t="str">
            <v>PSB</v>
          </cell>
          <cell r="E737" t="str">
            <v>M</v>
          </cell>
          <cell r="F737" t="str">
            <v xml:space="preserve">MENTAL HEALTH ANALYST II           </v>
          </cell>
          <cell r="G737" t="str">
            <v>4729A</v>
          </cell>
          <cell r="H737">
            <v>6244.55</v>
          </cell>
          <cell r="I737">
            <v>1</v>
          </cell>
          <cell r="J737">
            <v>12</v>
          </cell>
          <cell r="K737">
            <v>1</v>
          </cell>
          <cell r="L737">
            <v>74934.600000000006</v>
          </cell>
        </row>
        <row r="738">
          <cell r="A738">
            <v>110202</v>
          </cell>
          <cell r="B738">
            <v>32054</v>
          </cell>
          <cell r="D738" t="str">
            <v>PSB</v>
          </cell>
          <cell r="E738" t="str">
            <v>M</v>
          </cell>
          <cell r="F738" t="str">
            <v xml:space="preserve">MENTAL HEALTH ANALYST II           </v>
          </cell>
          <cell r="G738" t="str">
            <v>4729A</v>
          </cell>
          <cell r="H738">
            <v>6244.55</v>
          </cell>
          <cell r="I738">
            <v>1</v>
          </cell>
          <cell r="J738">
            <v>12</v>
          </cell>
          <cell r="K738">
            <v>1</v>
          </cell>
          <cell r="L738">
            <v>74934.600000000006</v>
          </cell>
        </row>
        <row r="739">
          <cell r="A739">
            <v>110203</v>
          </cell>
          <cell r="B739">
            <v>32054</v>
          </cell>
          <cell r="D739" t="str">
            <v>PSB</v>
          </cell>
          <cell r="E739" t="str">
            <v>M</v>
          </cell>
          <cell r="F739" t="str">
            <v xml:space="preserve">MENTAL HEALTH ANALYST II           </v>
          </cell>
          <cell r="G739" t="str">
            <v>4729A</v>
          </cell>
          <cell r="H739">
            <v>6244.55</v>
          </cell>
          <cell r="I739">
            <v>1</v>
          </cell>
          <cell r="J739">
            <v>12</v>
          </cell>
          <cell r="K739">
            <v>1</v>
          </cell>
          <cell r="L739">
            <v>74934.600000000006</v>
          </cell>
        </row>
        <row r="740">
          <cell r="A740">
            <v>109600</v>
          </cell>
          <cell r="B740">
            <v>32054</v>
          </cell>
          <cell r="D740" t="str">
            <v>PSB</v>
          </cell>
          <cell r="E740" t="str">
            <v>M</v>
          </cell>
          <cell r="F740" t="str">
            <v>MENTAL HEALTH SERVICES COORD I</v>
          </cell>
          <cell r="G740" t="str">
            <v>8148A</v>
          </cell>
          <cell r="H740">
            <v>5126.91</v>
          </cell>
          <cell r="I740">
            <v>1</v>
          </cell>
          <cell r="J740">
            <v>12</v>
          </cell>
          <cell r="K740">
            <v>1</v>
          </cell>
          <cell r="L740">
            <v>61522.92</v>
          </cell>
        </row>
        <row r="741">
          <cell r="A741">
            <v>109601</v>
          </cell>
          <cell r="B741">
            <v>32054</v>
          </cell>
          <cell r="D741" t="str">
            <v>PSB</v>
          </cell>
          <cell r="E741" t="str">
            <v>M</v>
          </cell>
          <cell r="F741" t="str">
            <v>MENTAL HEALTH SERVICES COORD II</v>
          </cell>
          <cell r="G741" t="str">
            <v>8149A</v>
          </cell>
          <cell r="H741">
            <v>5152.3599999999997</v>
          </cell>
          <cell r="I741">
            <v>1</v>
          </cell>
          <cell r="J741">
            <v>12</v>
          </cell>
          <cell r="K741">
            <v>1</v>
          </cell>
          <cell r="L741">
            <v>61828.32</v>
          </cell>
        </row>
        <row r="742">
          <cell r="A742">
            <v>109602</v>
          </cell>
          <cell r="B742">
            <v>32054</v>
          </cell>
          <cell r="D742" t="str">
            <v>PSB</v>
          </cell>
          <cell r="E742" t="str">
            <v>M</v>
          </cell>
          <cell r="F742" t="str">
            <v>MENTAL HEALTH SERVICES COORD II</v>
          </cell>
          <cell r="G742" t="str">
            <v>8149A</v>
          </cell>
          <cell r="H742">
            <v>5152.3599999999997</v>
          </cell>
          <cell r="I742">
            <v>1</v>
          </cell>
          <cell r="J742">
            <v>12</v>
          </cell>
          <cell r="K742">
            <v>1</v>
          </cell>
          <cell r="L742">
            <v>61828.32</v>
          </cell>
        </row>
        <row r="743">
          <cell r="A743">
            <v>109603</v>
          </cell>
          <cell r="B743">
            <v>32054</v>
          </cell>
          <cell r="D743" t="str">
            <v>PSB</v>
          </cell>
          <cell r="E743" t="str">
            <v>M</v>
          </cell>
          <cell r="F743" t="str">
            <v>MENTAL HEALTH SERVICES COORD II</v>
          </cell>
          <cell r="G743" t="str">
            <v>8149A</v>
          </cell>
          <cell r="H743">
            <v>5152.3599999999997</v>
          </cell>
          <cell r="I743">
            <v>1</v>
          </cell>
          <cell r="J743">
            <v>12</v>
          </cell>
          <cell r="K743">
            <v>1</v>
          </cell>
          <cell r="L743">
            <v>61828.32</v>
          </cell>
        </row>
        <row r="744">
          <cell r="A744">
            <v>109604</v>
          </cell>
          <cell r="B744">
            <v>32054</v>
          </cell>
          <cell r="D744" t="str">
            <v>PSB</v>
          </cell>
          <cell r="E744" t="str">
            <v>M</v>
          </cell>
          <cell r="F744" t="str">
            <v>MENTAL HEALTH SERVICES COORD II</v>
          </cell>
          <cell r="G744" t="str">
            <v>8149A</v>
          </cell>
          <cell r="H744">
            <v>5152.3599999999997</v>
          </cell>
          <cell r="I744">
            <v>1</v>
          </cell>
          <cell r="J744">
            <v>12</v>
          </cell>
          <cell r="K744">
            <v>1</v>
          </cell>
          <cell r="L744">
            <v>61828.32</v>
          </cell>
        </row>
        <row r="745">
          <cell r="A745">
            <v>109605</v>
          </cell>
          <cell r="B745">
            <v>32054</v>
          </cell>
          <cell r="D745" t="str">
            <v>PSB</v>
          </cell>
          <cell r="E745" t="str">
            <v>M</v>
          </cell>
          <cell r="F745" t="str">
            <v>MENTAL HEALTH SERVICES COORD II</v>
          </cell>
          <cell r="G745" t="str">
            <v>8149A</v>
          </cell>
          <cell r="H745">
            <v>5152.3599999999997</v>
          </cell>
          <cell r="I745">
            <v>1</v>
          </cell>
          <cell r="J745">
            <v>12</v>
          </cell>
          <cell r="K745">
            <v>1</v>
          </cell>
          <cell r="L745">
            <v>61828.32</v>
          </cell>
        </row>
        <row r="746">
          <cell r="A746">
            <v>109606</v>
          </cell>
          <cell r="B746">
            <v>32054</v>
          </cell>
          <cell r="D746" t="str">
            <v>PSB</v>
          </cell>
          <cell r="E746" t="str">
            <v>M</v>
          </cell>
          <cell r="F746" t="str">
            <v>MENTAL HEALTH SERVICES COORD II</v>
          </cell>
          <cell r="G746" t="str">
            <v>8149A</v>
          </cell>
          <cell r="H746">
            <v>5152.3599999999997</v>
          </cell>
          <cell r="I746">
            <v>1</v>
          </cell>
          <cell r="J746">
            <v>12</v>
          </cell>
          <cell r="K746">
            <v>1</v>
          </cell>
          <cell r="L746">
            <v>61828.32</v>
          </cell>
        </row>
        <row r="747">
          <cell r="A747">
            <v>109607</v>
          </cell>
          <cell r="B747">
            <v>32054</v>
          </cell>
          <cell r="D747" t="str">
            <v>PSB</v>
          </cell>
          <cell r="E747" t="str">
            <v>M</v>
          </cell>
          <cell r="F747" t="str">
            <v>MENTAL HEALTH SERVICES COORD II</v>
          </cell>
          <cell r="G747" t="str">
            <v>8149A</v>
          </cell>
          <cell r="H747">
            <v>5152.3599999999997</v>
          </cell>
          <cell r="I747">
            <v>1</v>
          </cell>
          <cell r="J747">
            <v>12</v>
          </cell>
          <cell r="K747">
            <v>1</v>
          </cell>
          <cell r="L747">
            <v>61828.32</v>
          </cell>
        </row>
        <row r="748">
          <cell r="A748">
            <v>110205</v>
          </cell>
          <cell r="B748">
            <v>32054</v>
          </cell>
          <cell r="D748" t="str">
            <v>PSB</v>
          </cell>
          <cell r="E748" t="str">
            <v>M</v>
          </cell>
          <cell r="F748" t="str">
            <v>PROGRAM DIR,PATIENTS RIGHTS &amp; ADVOC</v>
          </cell>
          <cell r="G748" t="str">
            <v>8152A</v>
          </cell>
          <cell r="H748">
            <v>8393.82</v>
          </cell>
          <cell r="I748">
            <v>1</v>
          </cell>
          <cell r="J748">
            <v>12</v>
          </cell>
          <cell r="K748">
            <v>1</v>
          </cell>
          <cell r="L748">
            <v>100725.84</v>
          </cell>
        </row>
        <row r="749">
          <cell r="A749">
            <v>109608</v>
          </cell>
          <cell r="B749">
            <v>32054</v>
          </cell>
          <cell r="D749" t="str">
            <v>PSB</v>
          </cell>
          <cell r="E749" t="str">
            <v>M</v>
          </cell>
          <cell r="F749" t="str">
            <v>PUBLIC INFORMATION OFFICER</v>
          </cell>
          <cell r="G749" t="str">
            <v>1601A</v>
          </cell>
          <cell r="H749">
            <v>5574.64</v>
          </cell>
          <cell r="I749">
            <v>1</v>
          </cell>
          <cell r="J749">
            <v>12</v>
          </cell>
          <cell r="K749">
            <v>1</v>
          </cell>
          <cell r="L749">
            <v>66895.679999999993</v>
          </cell>
        </row>
        <row r="750">
          <cell r="A750">
            <v>109609</v>
          </cell>
          <cell r="B750">
            <v>32054</v>
          </cell>
          <cell r="D750" t="str">
            <v>PSB</v>
          </cell>
          <cell r="E750" t="str">
            <v>M</v>
          </cell>
          <cell r="F750" t="str">
            <v xml:space="preserve">RESEARCH ANALYST I,BEHAVIOR SCI   </v>
          </cell>
          <cell r="G750" t="str">
            <v>8971A</v>
          </cell>
          <cell r="H750">
            <v>3948.36</v>
          </cell>
          <cell r="I750">
            <v>1</v>
          </cell>
          <cell r="J750">
            <v>12</v>
          </cell>
          <cell r="K750">
            <v>1</v>
          </cell>
          <cell r="L750">
            <v>47380.32</v>
          </cell>
        </row>
        <row r="751">
          <cell r="A751">
            <v>109593</v>
          </cell>
          <cell r="B751">
            <v>32054</v>
          </cell>
          <cell r="D751" t="str">
            <v>PSB</v>
          </cell>
          <cell r="E751" t="str">
            <v>M</v>
          </cell>
          <cell r="F751" t="str">
            <v xml:space="preserve">RESEARCH ANALYST II,BEHAVIOR SCI   </v>
          </cell>
          <cell r="G751" t="str">
            <v>8972A</v>
          </cell>
          <cell r="H751">
            <v>4520.7299999999996</v>
          </cell>
          <cell r="I751">
            <v>1</v>
          </cell>
          <cell r="J751">
            <v>12</v>
          </cell>
          <cell r="K751">
            <v>1</v>
          </cell>
          <cell r="L751">
            <v>54248.76</v>
          </cell>
        </row>
        <row r="752">
          <cell r="A752">
            <v>109610</v>
          </cell>
          <cell r="B752">
            <v>32054</v>
          </cell>
          <cell r="D752" t="str">
            <v>PSB</v>
          </cell>
          <cell r="E752" t="str">
            <v>M</v>
          </cell>
          <cell r="F752" t="str">
            <v xml:space="preserve">RESEARCH ANALYST II,BEHAVIOR SCI   </v>
          </cell>
          <cell r="G752" t="str">
            <v>8972A</v>
          </cell>
          <cell r="H752">
            <v>4520.7299999999996</v>
          </cell>
          <cell r="I752">
            <v>1</v>
          </cell>
          <cell r="J752">
            <v>12</v>
          </cell>
          <cell r="K752">
            <v>1</v>
          </cell>
          <cell r="L752">
            <v>54248.76</v>
          </cell>
        </row>
        <row r="753">
          <cell r="A753">
            <v>109611</v>
          </cell>
          <cell r="B753">
            <v>32054</v>
          </cell>
          <cell r="D753" t="str">
            <v>PSB</v>
          </cell>
          <cell r="E753" t="str">
            <v>M</v>
          </cell>
          <cell r="F753" t="str">
            <v xml:space="preserve">RESEARCH ANALYST II,BEHAVIOR SCI   </v>
          </cell>
          <cell r="G753" t="str">
            <v>8972A</v>
          </cell>
          <cell r="H753">
            <v>4520.7299999999996</v>
          </cell>
          <cell r="I753">
            <v>1</v>
          </cell>
          <cell r="J753">
            <v>12</v>
          </cell>
          <cell r="K753">
            <v>1</v>
          </cell>
          <cell r="L753">
            <v>54248.76</v>
          </cell>
        </row>
        <row r="754">
          <cell r="A754">
            <v>109612</v>
          </cell>
          <cell r="B754">
            <v>32054</v>
          </cell>
          <cell r="D754" t="str">
            <v>PSB</v>
          </cell>
          <cell r="E754" t="str">
            <v>M</v>
          </cell>
          <cell r="F754" t="str">
            <v>SECRETARY II</v>
          </cell>
          <cell r="G754" t="str">
            <v>2095A</v>
          </cell>
          <cell r="H754">
            <v>3210</v>
          </cell>
          <cell r="I754">
            <v>1</v>
          </cell>
          <cell r="J754">
            <v>12</v>
          </cell>
          <cell r="K754">
            <v>1</v>
          </cell>
          <cell r="L754">
            <v>38520</v>
          </cell>
        </row>
        <row r="755">
          <cell r="A755">
            <v>109629</v>
          </cell>
          <cell r="B755">
            <v>32054</v>
          </cell>
          <cell r="D755" t="str">
            <v>PSB</v>
          </cell>
          <cell r="E755" t="str">
            <v>M</v>
          </cell>
          <cell r="F755" t="str">
            <v xml:space="preserve">SENIOR TYPIST-CLERK                </v>
          </cell>
          <cell r="G755" t="str">
            <v>2216A</v>
          </cell>
          <cell r="H755">
            <v>3013.55</v>
          </cell>
          <cell r="I755">
            <v>1</v>
          </cell>
          <cell r="J755">
            <v>12</v>
          </cell>
          <cell r="K755">
            <v>1</v>
          </cell>
          <cell r="L755">
            <v>36162.6</v>
          </cell>
        </row>
        <row r="756">
          <cell r="A756">
            <v>109633</v>
          </cell>
          <cell r="B756">
            <v>32054</v>
          </cell>
          <cell r="D756" t="str">
            <v>PSB</v>
          </cell>
          <cell r="E756" t="str">
            <v>M</v>
          </cell>
          <cell r="F756" t="str">
            <v xml:space="preserve">STAFF ASSISTANT I                  </v>
          </cell>
          <cell r="G756" t="str">
            <v>0907A</v>
          </cell>
          <cell r="H756">
            <v>3453.18</v>
          </cell>
          <cell r="I756">
            <v>1</v>
          </cell>
          <cell r="J756">
            <v>12</v>
          </cell>
          <cell r="K756">
            <v>1</v>
          </cell>
          <cell r="L756">
            <v>41438.160000000003</v>
          </cell>
        </row>
        <row r="757">
          <cell r="A757">
            <v>109634</v>
          </cell>
          <cell r="B757">
            <v>32054</v>
          </cell>
          <cell r="D757" t="str">
            <v>PSB</v>
          </cell>
          <cell r="E757" t="str">
            <v>M</v>
          </cell>
          <cell r="F757" t="str">
            <v xml:space="preserve">STAFF ASSISTANT II                 </v>
          </cell>
          <cell r="G757" t="str">
            <v>0913A</v>
          </cell>
          <cell r="H757">
            <v>4167.45</v>
          </cell>
          <cell r="I757">
            <v>1</v>
          </cell>
          <cell r="J757">
            <v>12</v>
          </cell>
          <cell r="K757">
            <v>1</v>
          </cell>
          <cell r="L757">
            <v>50009.4</v>
          </cell>
        </row>
        <row r="758">
          <cell r="A758">
            <v>110209</v>
          </cell>
          <cell r="B758">
            <v>32055</v>
          </cell>
          <cell r="D758" t="str">
            <v>PSB</v>
          </cell>
          <cell r="E758" t="str">
            <v>M</v>
          </cell>
          <cell r="F758" t="str">
            <v>CLINICAL PSYCHOLOGIST II</v>
          </cell>
          <cell r="G758" t="str">
            <v>8697A</v>
          </cell>
          <cell r="H758">
            <v>6993.82</v>
          </cell>
          <cell r="I758">
            <v>1</v>
          </cell>
          <cell r="J758">
            <v>12</v>
          </cell>
          <cell r="K758">
            <v>1</v>
          </cell>
          <cell r="L758">
            <v>83925.84</v>
          </cell>
        </row>
        <row r="759">
          <cell r="A759">
            <v>110210</v>
          </cell>
          <cell r="B759">
            <v>32055</v>
          </cell>
          <cell r="D759" t="str">
            <v>PSB</v>
          </cell>
          <cell r="E759" t="str">
            <v>M</v>
          </cell>
          <cell r="F759" t="str">
            <v>CLINICAL PSYCHOLOGIST II</v>
          </cell>
          <cell r="G759" t="str">
            <v>8697A</v>
          </cell>
          <cell r="H759">
            <v>6993.82</v>
          </cell>
          <cell r="I759">
            <v>1</v>
          </cell>
          <cell r="J759">
            <v>12</v>
          </cell>
          <cell r="K759">
            <v>1</v>
          </cell>
          <cell r="L759">
            <v>83925.84</v>
          </cell>
        </row>
        <row r="760">
          <cell r="A760">
            <v>110211</v>
          </cell>
          <cell r="B760">
            <v>32055</v>
          </cell>
          <cell r="D760" t="str">
            <v>PSB</v>
          </cell>
          <cell r="E760" t="str">
            <v>M</v>
          </cell>
          <cell r="F760" t="str">
            <v>CLINICAL PSYCHOLOGIST II</v>
          </cell>
          <cell r="G760" t="str">
            <v>8697A</v>
          </cell>
          <cell r="H760">
            <v>6993.82</v>
          </cell>
          <cell r="I760">
            <v>1</v>
          </cell>
          <cell r="J760">
            <v>12</v>
          </cell>
          <cell r="K760">
            <v>1</v>
          </cell>
          <cell r="L760">
            <v>83925.84</v>
          </cell>
        </row>
        <row r="761">
          <cell r="A761">
            <v>110212</v>
          </cell>
          <cell r="B761">
            <v>32055</v>
          </cell>
          <cell r="D761" t="str">
            <v>PSB</v>
          </cell>
          <cell r="E761" t="str">
            <v>M</v>
          </cell>
          <cell r="F761" t="str">
            <v>CLINICAL PSYCHOLOGIST II</v>
          </cell>
          <cell r="G761" t="str">
            <v>8697A</v>
          </cell>
          <cell r="H761">
            <v>6993.82</v>
          </cell>
          <cell r="I761">
            <v>1</v>
          </cell>
          <cell r="J761">
            <v>12</v>
          </cell>
          <cell r="K761">
            <v>1</v>
          </cell>
          <cell r="L761">
            <v>83925.84</v>
          </cell>
        </row>
        <row r="762">
          <cell r="A762">
            <v>110213</v>
          </cell>
          <cell r="B762">
            <v>32055</v>
          </cell>
          <cell r="D762" t="str">
            <v>PSB</v>
          </cell>
          <cell r="E762" t="str">
            <v>M</v>
          </cell>
          <cell r="F762" t="str">
            <v>CLINICAL PSYCHOLOGIST II</v>
          </cell>
          <cell r="G762" t="str">
            <v>8697A</v>
          </cell>
          <cell r="H762">
            <v>6993.82</v>
          </cell>
          <cell r="I762">
            <v>1</v>
          </cell>
          <cell r="J762">
            <v>12</v>
          </cell>
          <cell r="K762">
            <v>1</v>
          </cell>
          <cell r="L762">
            <v>83925.84</v>
          </cell>
        </row>
        <row r="763">
          <cell r="A763">
            <v>110214</v>
          </cell>
          <cell r="B763">
            <v>32055</v>
          </cell>
          <cell r="D763" t="str">
            <v>PSB</v>
          </cell>
          <cell r="E763" t="str">
            <v>M</v>
          </cell>
          <cell r="F763" t="str">
            <v>CLINICAL PSYCHOLOGIST II</v>
          </cell>
          <cell r="G763" t="str">
            <v>8697A</v>
          </cell>
          <cell r="H763">
            <v>6993.82</v>
          </cell>
          <cell r="I763">
            <v>1</v>
          </cell>
          <cell r="J763">
            <v>12</v>
          </cell>
          <cell r="K763">
            <v>1</v>
          </cell>
          <cell r="L763">
            <v>83925.84</v>
          </cell>
        </row>
        <row r="764">
          <cell r="A764">
            <v>110215</v>
          </cell>
          <cell r="B764">
            <v>32055</v>
          </cell>
          <cell r="D764" t="str">
            <v>PSB</v>
          </cell>
          <cell r="E764" t="str">
            <v>M</v>
          </cell>
          <cell r="F764" t="str">
            <v>CLINICAL PSYCHOLOGIST II</v>
          </cell>
          <cell r="G764" t="str">
            <v>8697A</v>
          </cell>
          <cell r="H764">
            <v>6993.82</v>
          </cell>
          <cell r="I764">
            <v>1</v>
          </cell>
          <cell r="J764">
            <v>12</v>
          </cell>
          <cell r="K764">
            <v>1</v>
          </cell>
          <cell r="L764">
            <v>83925.84</v>
          </cell>
        </row>
        <row r="765">
          <cell r="A765">
            <v>110216</v>
          </cell>
          <cell r="B765">
            <v>32055</v>
          </cell>
          <cell r="D765" t="str">
            <v>PSB</v>
          </cell>
          <cell r="E765" t="str">
            <v>M</v>
          </cell>
          <cell r="F765" t="str">
            <v>CLINICAL PSYCHOLOGIST II</v>
          </cell>
          <cell r="G765" t="str">
            <v>8697A</v>
          </cell>
          <cell r="H765">
            <v>6993.82</v>
          </cell>
          <cell r="I765">
            <v>1</v>
          </cell>
          <cell r="J765">
            <v>12</v>
          </cell>
          <cell r="K765">
            <v>1</v>
          </cell>
          <cell r="L765">
            <v>83925.84</v>
          </cell>
        </row>
        <row r="766">
          <cell r="A766">
            <v>110217</v>
          </cell>
          <cell r="B766">
            <v>32055</v>
          </cell>
          <cell r="D766" t="str">
            <v>PSB</v>
          </cell>
          <cell r="E766" t="str">
            <v>M</v>
          </cell>
          <cell r="F766" t="str">
            <v>INTERMEDIATE TYPIST-CLERK</v>
          </cell>
          <cell r="G766" t="str">
            <v>2214A</v>
          </cell>
          <cell r="H766">
            <v>2675.27</v>
          </cell>
          <cell r="I766">
            <v>1</v>
          </cell>
          <cell r="J766">
            <v>12</v>
          </cell>
          <cell r="K766">
            <v>1</v>
          </cell>
          <cell r="L766">
            <v>32103.24</v>
          </cell>
        </row>
        <row r="767">
          <cell r="A767">
            <v>110218</v>
          </cell>
          <cell r="B767">
            <v>32055</v>
          </cell>
          <cell r="D767" t="str">
            <v>PSB</v>
          </cell>
          <cell r="E767" t="str">
            <v>M</v>
          </cell>
          <cell r="F767" t="str">
            <v>INTERMEDIATE TYPIST-CLERK</v>
          </cell>
          <cell r="G767" t="str">
            <v>2214A</v>
          </cell>
          <cell r="H767">
            <v>2675.27</v>
          </cell>
          <cell r="I767">
            <v>1</v>
          </cell>
          <cell r="J767">
            <v>12</v>
          </cell>
          <cell r="K767">
            <v>1</v>
          </cell>
          <cell r="L767">
            <v>32103.24</v>
          </cell>
        </row>
        <row r="768">
          <cell r="A768">
            <v>110222</v>
          </cell>
          <cell r="B768">
            <v>32055</v>
          </cell>
          <cell r="D768" t="str">
            <v>PSB</v>
          </cell>
          <cell r="E768" t="str">
            <v>M</v>
          </cell>
          <cell r="F768" t="str">
            <v>INTERMEDIATE TYPIST-CLERK</v>
          </cell>
          <cell r="G768" t="str">
            <v>2214A</v>
          </cell>
          <cell r="H768">
            <v>2675.27</v>
          </cell>
          <cell r="I768">
            <v>1</v>
          </cell>
          <cell r="J768">
            <v>12</v>
          </cell>
          <cell r="K768">
            <v>1</v>
          </cell>
          <cell r="L768">
            <v>32103.24</v>
          </cell>
        </row>
        <row r="769">
          <cell r="A769">
            <v>110231</v>
          </cell>
          <cell r="B769">
            <v>32055</v>
          </cell>
          <cell r="D769" t="str">
            <v>PSB</v>
          </cell>
          <cell r="E769" t="str">
            <v>M</v>
          </cell>
          <cell r="F769" t="str">
            <v xml:space="preserve">MENTAL HEALTH ANALYST I            </v>
          </cell>
          <cell r="G769" t="str">
            <v>4727A</v>
          </cell>
          <cell r="H769">
            <v>5602.09</v>
          </cell>
          <cell r="I769">
            <v>1</v>
          </cell>
          <cell r="J769">
            <v>12</v>
          </cell>
          <cell r="K769">
            <v>1</v>
          </cell>
          <cell r="L769">
            <v>67225.08</v>
          </cell>
        </row>
        <row r="770">
          <cell r="A770">
            <v>110232</v>
          </cell>
          <cell r="B770">
            <v>32055</v>
          </cell>
          <cell r="D770" t="str">
            <v>PSB</v>
          </cell>
          <cell r="E770" t="str">
            <v>M</v>
          </cell>
          <cell r="F770" t="str">
            <v xml:space="preserve">MENTAL HEALTH ANALYST I            </v>
          </cell>
          <cell r="G770" t="str">
            <v>4727A</v>
          </cell>
          <cell r="H770">
            <v>5602.09</v>
          </cell>
          <cell r="I770">
            <v>1</v>
          </cell>
          <cell r="J770">
            <v>12</v>
          </cell>
          <cell r="K770">
            <v>1</v>
          </cell>
          <cell r="L770">
            <v>67225.08</v>
          </cell>
        </row>
        <row r="771">
          <cell r="A771">
            <v>110233</v>
          </cell>
          <cell r="B771">
            <v>32055</v>
          </cell>
          <cell r="D771" t="str">
            <v>PSB</v>
          </cell>
          <cell r="E771" t="str">
            <v>M</v>
          </cell>
          <cell r="F771" t="str">
            <v xml:space="preserve">MENTAL HEALTH ANALYST I            </v>
          </cell>
          <cell r="G771" t="str">
            <v>4727A</v>
          </cell>
          <cell r="H771">
            <v>5602.09</v>
          </cell>
          <cell r="I771">
            <v>1</v>
          </cell>
          <cell r="J771">
            <v>12</v>
          </cell>
          <cell r="K771">
            <v>1</v>
          </cell>
          <cell r="L771">
            <v>67225.08</v>
          </cell>
        </row>
        <row r="772">
          <cell r="A772">
            <v>110219</v>
          </cell>
          <cell r="B772">
            <v>32055</v>
          </cell>
          <cell r="D772" t="str">
            <v>PSB</v>
          </cell>
          <cell r="E772" t="str">
            <v>M</v>
          </cell>
          <cell r="F772" t="str">
            <v xml:space="preserve">MENTAL HEALTH ANALYST II           </v>
          </cell>
          <cell r="G772" t="str">
            <v>4729A</v>
          </cell>
          <cell r="H772">
            <v>6244.55</v>
          </cell>
          <cell r="I772">
            <v>1</v>
          </cell>
          <cell r="J772">
            <v>12</v>
          </cell>
          <cell r="K772">
            <v>1</v>
          </cell>
          <cell r="L772">
            <v>74934.600000000006</v>
          </cell>
        </row>
        <row r="773">
          <cell r="A773">
            <v>110221</v>
          </cell>
          <cell r="B773">
            <v>32055</v>
          </cell>
          <cell r="D773" t="str">
            <v>PSB</v>
          </cell>
          <cell r="E773" t="str">
            <v>M</v>
          </cell>
          <cell r="F773" t="str">
            <v>MENTAL HEALTH SERVICES COORD II</v>
          </cell>
          <cell r="G773" t="str">
            <v>8149A</v>
          </cell>
          <cell r="H773">
            <v>5152.3599999999997</v>
          </cell>
          <cell r="I773">
            <v>1</v>
          </cell>
          <cell r="J773">
            <v>12</v>
          </cell>
          <cell r="K773">
            <v>1</v>
          </cell>
          <cell r="L773">
            <v>61828.32</v>
          </cell>
        </row>
        <row r="774">
          <cell r="A774">
            <v>110220</v>
          </cell>
          <cell r="B774">
            <v>32055</v>
          </cell>
          <cell r="D774" t="str">
            <v>PSB</v>
          </cell>
          <cell r="E774" t="str">
            <v>M</v>
          </cell>
          <cell r="F774" t="str">
            <v>MNTL HLTH CLINICAL PROGRAM HEAD</v>
          </cell>
          <cell r="G774" t="str">
            <v>4726A</v>
          </cell>
          <cell r="H774">
            <v>8709.73</v>
          </cell>
          <cell r="I774">
            <v>1</v>
          </cell>
          <cell r="J774">
            <v>12</v>
          </cell>
          <cell r="K774">
            <v>1</v>
          </cell>
          <cell r="L774">
            <v>104516.76</v>
          </cell>
        </row>
        <row r="775">
          <cell r="A775">
            <v>110223</v>
          </cell>
          <cell r="B775">
            <v>32055</v>
          </cell>
          <cell r="D775" t="str">
            <v>PSB</v>
          </cell>
          <cell r="E775" t="str">
            <v>M</v>
          </cell>
          <cell r="F775" t="str">
            <v>TRAINING COORDINATOR, MH</v>
          </cell>
          <cell r="G775" t="str">
            <v>1865A</v>
          </cell>
          <cell r="H775">
            <v>6062.45</v>
          </cell>
          <cell r="I775">
            <v>1</v>
          </cell>
          <cell r="J775">
            <v>12</v>
          </cell>
          <cell r="K775">
            <v>1</v>
          </cell>
          <cell r="L775">
            <v>72749.399999999994</v>
          </cell>
        </row>
        <row r="776">
          <cell r="A776">
            <v>110224</v>
          </cell>
          <cell r="B776">
            <v>32055</v>
          </cell>
          <cell r="D776" t="str">
            <v>PSB</v>
          </cell>
          <cell r="E776" t="str">
            <v>M</v>
          </cell>
          <cell r="F776" t="str">
            <v>TRAINING COORDINATOR, MH</v>
          </cell>
          <cell r="G776" t="str">
            <v>1865A</v>
          </cell>
          <cell r="H776">
            <v>6062.45</v>
          </cell>
          <cell r="I776">
            <v>1</v>
          </cell>
          <cell r="J776">
            <v>12</v>
          </cell>
          <cell r="K776">
            <v>1</v>
          </cell>
          <cell r="L776">
            <v>72749.399999999994</v>
          </cell>
        </row>
        <row r="777">
          <cell r="A777">
            <v>110225</v>
          </cell>
          <cell r="B777">
            <v>32055</v>
          </cell>
          <cell r="D777" t="str">
            <v>PSB</v>
          </cell>
          <cell r="E777" t="str">
            <v>M</v>
          </cell>
          <cell r="F777" t="str">
            <v>TRAINING COORDINATOR, MH</v>
          </cell>
          <cell r="G777" t="str">
            <v>1865A</v>
          </cell>
          <cell r="H777">
            <v>6062.45</v>
          </cell>
          <cell r="I777">
            <v>1</v>
          </cell>
          <cell r="J777">
            <v>12</v>
          </cell>
          <cell r="K777">
            <v>1</v>
          </cell>
          <cell r="L777">
            <v>72749.399999999994</v>
          </cell>
        </row>
        <row r="778">
          <cell r="A778">
            <v>110226</v>
          </cell>
          <cell r="B778">
            <v>32055</v>
          </cell>
          <cell r="D778" t="str">
            <v>PSB</v>
          </cell>
          <cell r="E778" t="str">
            <v>M</v>
          </cell>
          <cell r="F778" t="str">
            <v>TRAINING COORDINATOR, MH</v>
          </cell>
          <cell r="G778" t="str">
            <v>1865A</v>
          </cell>
          <cell r="H778">
            <v>6062.45</v>
          </cell>
          <cell r="I778">
            <v>1</v>
          </cell>
          <cell r="J778">
            <v>12</v>
          </cell>
          <cell r="K778">
            <v>1</v>
          </cell>
          <cell r="L778">
            <v>72749.399999999994</v>
          </cell>
        </row>
        <row r="779">
          <cell r="A779">
            <v>110227</v>
          </cell>
          <cell r="B779">
            <v>32055</v>
          </cell>
          <cell r="D779" t="str">
            <v>PSB</v>
          </cell>
          <cell r="E779" t="str">
            <v>M</v>
          </cell>
          <cell r="F779" t="str">
            <v>TRAINING COORDINATOR, MH</v>
          </cell>
          <cell r="G779" t="str">
            <v>1865A</v>
          </cell>
          <cell r="H779">
            <v>6062.45</v>
          </cell>
          <cell r="I779">
            <v>1</v>
          </cell>
          <cell r="J779">
            <v>12</v>
          </cell>
          <cell r="K779">
            <v>1</v>
          </cell>
          <cell r="L779">
            <v>72749.399999999994</v>
          </cell>
        </row>
        <row r="780">
          <cell r="A780">
            <v>110228</v>
          </cell>
          <cell r="B780">
            <v>32055</v>
          </cell>
          <cell r="D780" t="str">
            <v>PSB</v>
          </cell>
          <cell r="E780" t="str">
            <v>M</v>
          </cell>
          <cell r="F780" t="str">
            <v>TRAINING COORDINATOR, MH</v>
          </cell>
          <cell r="G780" t="str">
            <v>1865A</v>
          </cell>
          <cell r="H780">
            <v>6062.45</v>
          </cell>
          <cell r="I780">
            <v>1</v>
          </cell>
          <cell r="J780">
            <v>12</v>
          </cell>
          <cell r="K780">
            <v>1</v>
          </cell>
          <cell r="L780">
            <v>72749.399999999994</v>
          </cell>
        </row>
        <row r="781">
          <cell r="A781">
            <v>110229</v>
          </cell>
          <cell r="B781">
            <v>32055</v>
          </cell>
          <cell r="D781" t="str">
            <v>PSB</v>
          </cell>
          <cell r="E781" t="str">
            <v>M</v>
          </cell>
          <cell r="F781" t="str">
            <v>TRAINING COORDINATOR, MH</v>
          </cell>
          <cell r="G781" t="str">
            <v>1865A</v>
          </cell>
          <cell r="H781">
            <v>6062.45</v>
          </cell>
          <cell r="I781">
            <v>1</v>
          </cell>
          <cell r="J781">
            <v>12</v>
          </cell>
          <cell r="K781">
            <v>1</v>
          </cell>
          <cell r="L781">
            <v>72749.399999999994</v>
          </cell>
        </row>
        <row r="782">
          <cell r="A782">
            <v>110230</v>
          </cell>
          <cell r="B782">
            <v>32055</v>
          </cell>
          <cell r="D782" t="str">
            <v>PSB</v>
          </cell>
          <cell r="E782" t="str">
            <v>M</v>
          </cell>
          <cell r="F782" t="str">
            <v>TRAINING COORDINATOR, MH</v>
          </cell>
          <cell r="G782" t="str">
            <v>1865A</v>
          </cell>
          <cell r="H782">
            <v>6062.45</v>
          </cell>
          <cell r="I782">
            <v>1</v>
          </cell>
          <cell r="J782">
            <v>12</v>
          </cell>
          <cell r="K782">
            <v>1</v>
          </cell>
          <cell r="L782">
            <v>72749.399999999994</v>
          </cell>
        </row>
        <row r="783">
          <cell r="A783">
            <v>110234</v>
          </cell>
          <cell r="B783">
            <v>32055</v>
          </cell>
          <cell r="D783" t="str">
            <v>PSB</v>
          </cell>
          <cell r="E783" t="str">
            <v>M</v>
          </cell>
          <cell r="F783" t="str">
            <v xml:space="preserve">ACCOUNTANT II                      </v>
          </cell>
          <cell r="G783" t="str">
            <v>0647A</v>
          </cell>
          <cell r="H783">
            <v>4046.36</v>
          </cell>
          <cell r="I783">
            <v>1</v>
          </cell>
          <cell r="J783">
            <v>12</v>
          </cell>
          <cell r="K783">
            <v>1</v>
          </cell>
          <cell r="L783">
            <v>48556.32</v>
          </cell>
        </row>
        <row r="784">
          <cell r="A784">
            <v>110235</v>
          </cell>
          <cell r="B784">
            <v>32055</v>
          </cell>
          <cell r="D784" t="str">
            <v>PSB</v>
          </cell>
          <cell r="E784" t="str">
            <v>M</v>
          </cell>
          <cell r="F784" t="str">
            <v xml:space="preserve">ACCOUNTANT II                      </v>
          </cell>
          <cell r="G784" t="str">
            <v>0647A</v>
          </cell>
          <cell r="H784">
            <v>4046.36</v>
          </cell>
          <cell r="I784">
            <v>1</v>
          </cell>
          <cell r="J784">
            <v>12</v>
          </cell>
          <cell r="K784">
            <v>1</v>
          </cell>
          <cell r="L784">
            <v>48556.32</v>
          </cell>
        </row>
        <row r="785">
          <cell r="A785">
            <v>110236</v>
          </cell>
          <cell r="B785">
            <v>32055</v>
          </cell>
          <cell r="D785" t="str">
            <v>PSB</v>
          </cell>
          <cell r="E785" t="str">
            <v>M</v>
          </cell>
          <cell r="F785" t="str">
            <v xml:space="preserve">ACCOUNTANT II                      </v>
          </cell>
          <cell r="G785" t="str">
            <v>0647A</v>
          </cell>
          <cell r="H785">
            <v>4046.36</v>
          </cell>
          <cell r="I785">
            <v>1</v>
          </cell>
          <cell r="J785">
            <v>12</v>
          </cell>
          <cell r="K785">
            <v>1</v>
          </cell>
          <cell r="L785">
            <v>48556.32</v>
          </cell>
        </row>
        <row r="786">
          <cell r="A786">
            <v>110237</v>
          </cell>
          <cell r="B786">
            <v>32055</v>
          </cell>
          <cell r="D786" t="str">
            <v>PSB</v>
          </cell>
          <cell r="E786" t="str">
            <v>M</v>
          </cell>
          <cell r="F786" t="str">
            <v xml:space="preserve">ACCOUNTANT II                      </v>
          </cell>
          <cell r="G786" t="str">
            <v>0647A</v>
          </cell>
          <cell r="H786">
            <v>4046.36</v>
          </cell>
          <cell r="I786">
            <v>1</v>
          </cell>
          <cell r="J786">
            <v>12</v>
          </cell>
          <cell r="K786">
            <v>1</v>
          </cell>
          <cell r="L786">
            <v>48556.32</v>
          </cell>
        </row>
        <row r="787">
          <cell r="A787">
            <v>110238</v>
          </cell>
          <cell r="B787">
            <v>32055</v>
          </cell>
          <cell r="D787" t="str">
            <v>PSB</v>
          </cell>
          <cell r="E787" t="str">
            <v>M</v>
          </cell>
          <cell r="F787" t="str">
            <v xml:space="preserve">ACCOUNTANT II                      </v>
          </cell>
          <cell r="G787" t="str">
            <v>0647A</v>
          </cell>
          <cell r="H787">
            <v>4046.36</v>
          </cell>
          <cell r="I787">
            <v>1</v>
          </cell>
          <cell r="J787">
            <v>12</v>
          </cell>
          <cell r="K787">
            <v>1</v>
          </cell>
          <cell r="L787">
            <v>48556.32</v>
          </cell>
        </row>
        <row r="788">
          <cell r="A788">
            <v>110239</v>
          </cell>
          <cell r="B788">
            <v>32055</v>
          </cell>
          <cell r="D788" t="str">
            <v>PSB</v>
          </cell>
          <cell r="E788" t="str">
            <v>M</v>
          </cell>
          <cell r="F788" t="str">
            <v xml:space="preserve">ACCOUNTANT II                      </v>
          </cell>
          <cell r="G788" t="str">
            <v>0647A</v>
          </cell>
          <cell r="H788">
            <v>4046.36</v>
          </cell>
          <cell r="I788">
            <v>1</v>
          </cell>
          <cell r="J788">
            <v>12</v>
          </cell>
          <cell r="K788">
            <v>1</v>
          </cell>
          <cell r="L788">
            <v>48556.32</v>
          </cell>
        </row>
        <row r="789">
          <cell r="A789">
            <v>110241</v>
          </cell>
          <cell r="B789">
            <v>32055</v>
          </cell>
          <cell r="D789" t="str">
            <v>PSB</v>
          </cell>
          <cell r="E789" t="str">
            <v>M</v>
          </cell>
          <cell r="F789" t="str">
            <v xml:space="preserve">ACCOUNTANT III                     </v>
          </cell>
          <cell r="G789" t="str">
            <v>0648A</v>
          </cell>
          <cell r="H789">
            <v>4531.82</v>
          </cell>
          <cell r="I789">
            <v>1</v>
          </cell>
          <cell r="J789">
            <v>12</v>
          </cell>
          <cell r="K789">
            <v>1</v>
          </cell>
          <cell r="L789">
            <v>54381.84</v>
          </cell>
        </row>
        <row r="790">
          <cell r="A790">
            <v>110240</v>
          </cell>
          <cell r="B790">
            <v>32055</v>
          </cell>
          <cell r="D790" t="str">
            <v>PSB</v>
          </cell>
          <cell r="E790" t="str">
            <v>M</v>
          </cell>
          <cell r="F790" t="str">
            <v xml:space="preserve">ACCOUNTING TECHNICIAN I            </v>
          </cell>
          <cell r="G790" t="str">
            <v>0642A</v>
          </cell>
          <cell r="H790">
            <v>3035.64</v>
          </cell>
          <cell r="I790">
            <v>1</v>
          </cell>
          <cell r="J790">
            <v>12</v>
          </cell>
          <cell r="K790">
            <v>1</v>
          </cell>
          <cell r="L790">
            <v>36427.68</v>
          </cell>
        </row>
        <row r="791">
          <cell r="A791">
            <v>110242</v>
          </cell>
          <cell r="B791">
            <v>32055</v>
          </cell>
          <cell r="D791" t="str">
            <v>PSB</v>
          </cell>
          <cell r="E791" t="str">
            <v>M</v>
          </cell>
          <cell r="F791" t="str">
            <v>HEALTH CARE FINANCIAL ANALYST</v>
          </cell>
          <cell r="G791" t="str">
            <v>0672A</v>
          </cell>
          <cell r="H791">
            <v>5038.91</v>
          </cell>
          <cell r="I791">
            <v>1</v>
          </cell>
          <cell r="J791">
            <v>12</v>
          </cell>
          <cell r="K791">
            <v>1</v>
          </cell>
          <cell r="L791">
            <v>60466.92</v>
          </cell>
        </row>
        <row r="792">
          <cell r="A792">
            <v>110243</v>
          </cell>
          <cell r="B792">
            <v>32055</v>
          </cell>
          <cell r="D792" t="str">
            <v>PSB</v>
          </cell>
          <cell r="E792" t="str">
            <v>M</v>
          </cell>
          <cell r="F792" t="str">
            <v>HEALTH CARE FINANCIAL ANALYST</v>
          </cell>
          <cell r="G792" t="str">
            <v>0672A</v>
          </cell>
          <cell r="H792">
            <v>5038.91</v>
          </cell>
          <cell r="I792">
            <v>1</v>
          </cell>
          <cell r="J792">
            <v>12</v>
          </cell>
          <cell r="K792">
            <v>1</v>
          </cell>
          <cell r="L792">
            <v>60466.92</v>
          </cell>
        </row>
        <row r="793">
          <cell r="A793">
            <v>110244</v>
          </cell>
          <cell r="B793">
            <v>32055</v>
          </cell>
          <cell r="D793" t="str">
            <v>PSB</v>
          </cell>
          <cell r="E793" t="str">
            <v>M</v>
          </cell>
          <cell r="F793" t="str">
            <v>HEALTH CARE FINANCIAL ANALYST</v>
          </cell>
          <cell r="G793" t="str">
            <v>0672A</v>
          </cell>
          <cell r="H793">
            <v>5038.91</v>
          </cell>
          <cell r="I793">
            <v>1</v>
          </cell>
          <cell r="J793">
            <v>12</v>
          </cell>
          <cell r="K793">
            <v>1</v>
          </cell>
          <cell r="L793">
            <v>60466.92</v>
          </cell>
        </row>
        <row r="794">
          <cell r="A794">
            <v>110245</v>
          </cell>
          <cell r="B794">
            <v>32055</v>
          </cell>
          <cell r="D794" t="str">
            <v>PSB</v>
          </cell>
          <cell r="E794" t="str">
            <v>M</v>
          </cell>
          <cell r="F794" t="str">
            <v>HEALTH CARE FINANCIAL ANALYST</v>
          </cell>
          <cell r="G794" t="str">
            <v>0672A</v>
          </cell>
          <cell r="H794">
            <v>5038.91</v>
          </cell>
          <cell r="I794">
            <v>1</v>
          </cell>
          <cell r="J794">
            <v>12</v>
          </cell>
          <cell r="K794">
            <v>1</v>
          </cell>
          <cell r="L794">
            <v>60466.92</v>
          </cell>
        </row>
        <row r="795">
          <cell r="A795">
            <v>110246</v>
          </cell>
          <cell r="B795">
            <v>32055</v>
          </cell>
          <cell r="D795" t="str">
            <v>PSB</v>
          </cell>
          <cell r="E795" t="str">
            <v>M</v>
          </cell>
          <cell r="F795" t="str">
            <v>INFORMATION SYSTEMS COORDINATOR</v>
          </cell>
          <cell r="G795" t="str">
            <v>2593A</v>
          </cell>
          <cell r="H795">
            <v>6608.45</v>
          </cell>
          <cell r="I795">
            <v>1</v>
          </cell>
          <cell r="J795">
            <v>12</v>
          </cell>
          <cell r="K795">
            <v>1</v>
          </cell>
          <cell r="L795">
            <v>79301.399999999994</v>
          </cell>
        </row>
        <row r="796">
          <cell r="A796">
            <v>110247</v>
          </cell>
          <cell r="B796">
            <v>32055</v>
          </cell>
          <cell r="D796" t="str">
            <v>PSB</v>
          </cell>
          <cell r="E796" t="str">
            <v>M</v>
          </cell>
          <cell r="F796" t="str">
            <v>SENIOR ACCTG SYSTEMS TECHNICIAN</v>
          </cell>
          <cell r="G796" t="str">
            <v>0666A</v>
          </cell>
          <cell r="H796">
            <v>5973</v>
          </cell>
          <cell r="I796">
            <v>1</v>
          </cell>
          <cell r="J796">
            <v>12</v>
          </cell>
          <cell r="K796">
            <v>1</v>
          </cell>
          <cell r="L796">
            <v>71676</v>
          </cell>
        </row>
        <row r="797">
          <cell r="A797">
            <v>110248</v>
          </cell>
          <cell r="B797">
            <v>32055</v>
          </cell>
          <cell r="D797" t="str">
            <v>PSB</v>
          </cell>
          <cell r="E797" t="str">
            <v>M</v>
          </cell>
          <cell r="F797" t="str">
            <v xml:space="preserve">ADMINISTRATIVE ASSISTANT III       </v>
          </cell>
          <cell r="G797" t="str">
            <v>0889A</v>
          </cell>
          <cell r="H797">
            <v>4832</v>
          </cell>
          <cell r="I797">
            <v>1</v>
          </cell>
          <cell r="J797">
            <v>12</v>
          </cell>
          <cell r="K797">
            <v>1</v>
          </cell>
          <cell r="L797">
            <v>57984</v>
          </cell>
        </row>
        <row r="798">
          <cell r="A798">
            <v>110249</v>
          </cell>
          <cell r="B798">
            <v>32055</v>
          </cell>
          <cell r="D798" t="str">
            <v>PSB</v>
          </cell>
          <cell r="E798" t="str">
            <v>M</v>
          </cell>
          <cell r="F798" t="str">
            <v xml:space="preserve">MENTAL HEALTH ANALYST I            </v>
          </cell>
          <cell r="G798" t="str">
            <v>4727A</v>
          </cell>
          <cell r="H798">
            <v>5602.09</v>
          </cell>
          <cell r="I798">
            <v>1</v>
          </cell>
          <cell r="J798">
            <v>12</v>
          </cell>
          <cell r="K798">
            <v>1</v>
          </cell>
          <cell r="L798">
            <v>67225.08</v>
          </cell>
        </row>
        <row r="799">
          <cell r="A799">
            <v>110250</v>
          </cell>
          <cell r="B799">
            <v>32055</v>
          </cell>
          <cell r="D799" t="str">
            <v>PSB</v>
          </cell>
          <cell r="E799" t="str">
            <v>M</v>
          </cell>
          <cell r="F799" t="str">
            <v xml:space="preserve">MENTAL HEALTH ANALYST I            </v>
          </cell>
          <cell r="G799" t="str">
            <v>4727A</v>
          </cell>
          <cell r="H799">
            <v>5602.09</v>
          </cell>
          <cell r="I799">
            <v>1</v>
          </cell>
          <cell r="J799">
            <v>12</v>
          </cell>
          <cell r="K799">
            <v>1</v>
          </cell>
          <cell r="L799">
            <v>67225.08</v>
          </cell>
        </row>
        <row r="800">
          <cell r="A800">
            <v>110251</v>
          </cell>
          <cell r="B800">
            <v>32055</v>
          </cell>
          <cell r="D800" t="str">
            <v>PSB</v>
          </cell>
          <cell r="E800" t="str">
            <v>M</v>
          </cell>
          <cell r="F800" t="str">
            <v xml:space="preserve">MENTAL HEALTH ANALYST I            </v>
          </cell>
          <cell r="G800" t="str">
            <v>4727A</v>
          </cell>
          <cell r="H800">
            <v>5602.09</v>
          </cell>
          <cell r="I800">
            <v>1</v>
          </cell>
          <cell r="J800">
            <v>12</v>
          </cell>
          <cell r="K800">
            <v>1</v>
          </cell>
          <cell r="L800">
            <v>67225.08</v>
          </cell>
        </row>
        <row r="801">
          <cell r="A801">
            <v>110252</v>
          </cell>
          <cell r="B801">
            <v>32055</v>
          </cell>
          <cell r="D801" t="str">
            <v>PSB</v>
          </cell>
          <cell r="E801" t="str">
            <v>M</v>
          </cell>
          <cell r="F801" t="str">
            <v xml:space="preserve">MENTAL HEALTH ANALYST I            </v>
          </cell>
          <cell r="G801" t="str">
            <v>4727A</v>
          </cell>
          <cell r="H801">
            <v>5602.09</v>
          </cell>
          <cell r="I801">
            <v>1</v>
          </cell>
          <cell r="J801">
            <v>12</v>
          </cell>
          <cell r="K801">
            <v>1</v>
          </cell>
          <cell r="L801">
            <v>67225.08</v>
          </cell>
        </row>
        <row r="802">
          <cell r="A802">
            <v>110253</v>
          </cell>
          <cell r="B802">
            <v>32055</v>
          </cell>
          <cell r="D802" t="str">
            <v>PSB</v>
          </cell>
          <cell r="E802" t="str">
            <v>M</v>
          </cell>
          <cell r="F802" t="str">
            <v xml:space="preserve">MENTAL HEALTH ANALYST II           </v>
          </cell>
          <cell r="G802" t="str">
            <v>4729A</v>
          </cell>
          <cell r="H802">
            <v>6244.55</v>
          </cell>
          <cell r="I802">
            <v>1</v>
          </cell>
          <cell r="J802">
            <v>12</v>
          </cell>
          <cell r="K802">
            <v>1</v>
          </cell>
          <cell r="L802">
            <v>74934.600000000006</v>
          </cell>
        </row>
        <row r="803">
          <cell r="A803">
            <v>110254</v>
          </cell>
          <cell r="B803">
            <v>32055</v>
          </cell>
          <cell r="D803" t="str">
            <v>PSB</v>
          </cell>
          <cell r="E803" t="str">
            <v>M</v>
          </cell>
          <cell r="F803" t="str">
            <v xml:space="preserve">MENTAL HEALTH ANALYST III          </v>
          </cell>
          <cell r="G803" t="str">
            <v>4731A</v>
          </cell>
          <cell r="H803">
            <v>7329.55</v>
          </cell>
          <cell r="I803">
            <v>1</v>
          </cell>
          <cell r="J803">
            <v>12</v>
          </cell>
          <cell r="K803">
            <v>1</v>
          </cell>
          <cell r="L803">
            <v>87954.6</v>
          </cell>
        </row>
        <row r="804">
          <cell r="A804">
            <v>110255</v>
          </cell>
          <cell r="B804">
            <v>32055</v>
          </cell>
          <cell r="D804" t="str">
            <v>PSB</v>
          </cell>
          <cell r="E804" t="str">
            <v>M</v>
          </cell>
          <cell r="F804" t="str">
            <v>ADMINISTRATIVE SVCS MGR I</v>
          </cell>
          <cell r="G804" t="str">
            <v>1002A</v>
          </cell>
          <cell r="H804">
            <v>5900.27</v>
          </cell>
          <cell r="I804">
            <v>1</v>
          </cell>
          <cell r="J804">
            <v>12</v>
          </cell>
          <cell r="K804">
            <v>1</v>
          </cell>
          <cell r="L804">
            <v>70803.240000000005</v>
          </cell>
        </row>
        <row r="805">
          <cell r="A805">
            <v>110256</v>
          </cell>
          <cell r="B805">
            <v>32055</v>
          </cell>
          <cell r="D805" t="str">
            <v>PSB</v>
          </cell>
          <cell r="E805" t="str">
            <v>M</v>
          </cell>
          <cell r="F805" t="str">
            <v xml:space="preserve">DEPARTMENTAL PERSONNEL ASSISTANT   </v>
          </cell>
          <cell r="G805" t="str">
            <v>1842A</v>
          </cell>
          <cell r="H805">
            <v>3132.73</v>
          </cell>
          <cell r="I805">
            <v>1</v>
          </cell>
          <cell r="J805">
            <v>12</v>
          </cell>
          <cell r="K805">
            <v>1</v>
          </cell>
          <cell r="L805">
            <v>37592.76</v>
          </cell>
        </row>
        <row r="806">
          <cell r="A806">
            <v>110257</v>
          </cell>
          <cell r="B806">
            <v>32055</v>
          </cell>
          <cell r="D806" t="str">
            <v>PSB</v>
          </cell>
          <cell r="E806" t="str">
            <v>M</v>
          </cell>
          <cell r="F806" t="str">
            <v xml:space="preserve">DEPARTMENTAL PERSONNEL TECHNICIAN  </v>
          </cell>
          <cell r="G806" t="str">
            <v>1848A</v>
          </cell>
          <cell r="H806">
            <v>4892</v>
          </cell>
          <cell r="I806">
            <v>1</v>
          </cell>
          <cell r="J806">
            <v>12</v>
          </cell>
          <cell r="K806">
            <v>1</v>
          </cell>
          <cell r="L806">
            <v>58704</v>
          </cell>
        </row>
        <row r="807">
          <cell r="A807">
            <v>110258</v>
          </cell>
          <cell r="B807">
            <v>32055</v>
          </cell>
          <cell r="D807" t="str">
            <v>PSB</v>
          </cell>
          <cell r="E807" t="str">
            <v>M</v>
          </cell>
          <cell r="F807" t="str">
            <v xml:space="preserve">DEPARTMENTAL PERSONNEL TECHNICIAN  </v>
          </cell>
          <cell r="G807" t="str">
            <v>1848A</v>
          </cell>
          <cell r="H807">
            <v>4892</v>
          </cell>
          <cell r="I807">
            <v>1</v>
          </cell>
          <cell r="J807">
            <v>12</v>
          </cell>
          <cell r="K807">
            <v>1</v>
          </cell>
          <cell r="L807">
            <v>58704</v>
          </cell>
        </row>
        <row r="808">
          <cell r="A808">
            <v>110259</v>
          </cell>
          <cell r="B808">
            <v>32055</v>
          </cell>
          <cell r="D808" t="str">
            <v>PSB</v>
          </cell>
          <cell r="E808" t="str">
            <v>M</v>
          </cell>
          <cell r="F808" t="str">
            <v>SENIOR DEPARTMENTAL PERSONNEL ASST</v>
          </cell>
          <cell r="G808" t="str">
            <v>1843A</v>
          </cell>
          <cell r="H808">
            <v>4066.18</v>
          </cell>
          <cell r="I808">
            <v>1</v>
          </cell>
          <cell r="J808">
            <v>12</v>
          </cell>
          <cell r="K808">
            <v>1</v>
          </cell>
          <cell r="L808">
            <v>48794.16</v>
          </cell>
        </row>
        <row r="809">
          <cell r="A809">
            <v>110260</v>
          </cell>
          <cell r="B809">
            <v>32055</v>
          </cell>
          <cell r="D809" t="str">
            <v>PSB</v>
          </cell>
          <cell r="E809" t="str">
            <v>M</v>
          </cell>
          <cell r="F809" t="str">
            <v>PAYROLL CLERK I</v>
          </cell>
          <cell r="G809" t="str">
            <v>1331A</v>
          </cell>
          <cell r="H809">
            <v>3102.64</v>
          </cell>
          <cell r="I809">
            <v>1</v>
          </cell>
          <cell r="J809">
            <v>12</v>
          </cell>
          <cell r="K809">
            <v>1</v>
          </cell>
          <cell r="L809">
            <v>37231.68</v>
          </cell>
        </row>
        <row r="810">
          <cell r="A810">
            <v>110261</v>
          </cell>
          <cell r="B810">
            <v>32055</v>
          </cell>
          <cell r="D810" t="str">
            <v>PSB</v>
          </cell>
          <cell r="E810" t="str">
            <v>M</v>
          </cell>
          <cell r="F810" t="str">
            <v>PAYROLL CLERK II</v>
          </cell>
          <cell r="G810" t="str">
            <v>1334A</v>
          </cell>
          <cell r="H810">
            <v>3273.27</v>
          </cell>
          <cell r="I810">
            <v>1</v>
          </cell>
          <cell r="J810">
            <v>12</v>
          </cell>
          <cell r="K810">
            <v>1</v>
          </cell>
          <cell r="L810">
            <v>40349.4</v>
          </cell>
        </row>
        <row r="811">
          <cell r="A811">
            <v>110262</v>
          </cell>
          <cell r="B811">
            <v>32055</v>
          </cell>
          <cell r="D811" t="str">
            <v>PSB</v>
          </cell>
          <cell r="E811" t="str">
            <v>M</v>
          </cell>
          <cell r="F811" t="str">
            <v>SENIOR DEPARTMENTAL PERSONNEL ASST</v>
          </cell>
          <cell r="G811" t="str">
            <v>1843A</v>
          </cell>
          <cell r="H811">
            <v>4066.18</v>
          </cell>
          <cell r="I811">
            <v>1</v>
          </cell>
          <cell r="J811">
            <v>12</v>
          </cell>
          <cell r="K811">
            <v>1</v>
          </cell>
          <cell r="L811">
            <v>48794.16</v>
          </cell>
        </row>
        <row r="812">
          <cell r="A812">
            <v>110263</v>
          </cell>
          <cell r="B812">
            <v>32055</v>
          </cell>
          <cell r="D812" t="str">
            <v>PSB</v>
          </cell>
          <cell r="E812" t="str">
            <v>M</v>
          </cell>
          <cell r="F812" t="str">
            <v xml:space="preserve">DEPARTMENTAL PERSONNEL TECHNICIAN  </v>
          </cell>
          <cell r="G812" t="str">
            <v>1848A</v>
          </cell>
          <cell r="H812">
            <v>4892</v>
          </cell>
          <cell r="I812">
            <v>1</v>
          </cell>
          <cell r="J812">
            <v>12</v>
          </cell>
          <cell r="K812">
            <v>1</v>
          </cell>
          <cell r="L812">
            <v>58704</v>
          </cell>
        </row>
        <row r="813">
          <cell r="A813">
            <v>110264</v>
          </cell>
          <cell r="B813">
            <v>32055</v>
          </cell>
          <cell r="D813" t="str">
            <v>PSB</v>
          </cell>
          <cell r="E813" t="str">
            <v>M</v>
          </cell>
          <cell r="F813" t="str">
            <v xml:space="preserve">SENIOR DEPARTMENTAL PERSONNEL TECH </v>
          </cell>
          <cell r="G813" t="str">
            <v>1849A</v>
          </cell>
          <cell r="H813">
            <v>5452.55</v>
          </cell>
          <cell r="I813">
            <v>1</v>
          </cell>
          <cell r="J813">
            <v>12</v>
          </cell>
          <cell r="K813">
            <v>1</v>
          </cell>
          <cell r="L813">
            <v>65430.6</v>
          </cell>
        </row>
        <row r="814">
          <cell r="A814">
            <v>110265</v>
          </cell>
          <cell r="B814">
            <v>32055</v>
          </cell>
          <cell r="D814" t="str">
            <v>PSB</v>
          </cell>
          <cell r="E814" t="str">
            <v>M</v>
          </cell>
          <cell r="F814" t="str">
            <v xml:space="preserve">SENIOR DEPARTMENTAL PERSONNEL TECH </v>
          </cell>
          <cell r="G814" t="str">
            <v>1849A</v>
          </cell>
          <cell r="H814">
            <v>5452.55</v>
          </cell>
          <cell r="I814">
            <v>1</v>
          </cell>
          <cell r="J814">
            <v>12</v>
          </cell>
          <cell r="K814">
            <v>1</v>
          </cell>
          <cell r="L814">
            <v>65430.6</v>
          </cell>
        </row>
        <row r="815">
          <cell r="A815">
            <v>110266</v>
          </cell>
          <cell r="B815">
            <v>32055</v>
          </cell>
          <cell r="D815" t="str">
            <v>PSB</v>
          </cell>
          <cell r="E815" t="str">
            <v>M</v>
          </cell>
          <cell r="F815" t="str">
            <v xml:space="preserve">SENIOR DEPARTMENTAL PERSONNEL TECH </v>
          </cell>
          <cell r="G815" t="str">
            <v>1849A</v>
          </cell>
          <cell r="H815">
            <v>5452.55</v>
          </cell>
          <cell r="I815">
            <v>1</v>
          </cell>
          <cell r="J815">
            <v>12</v>
          </cell>
          <cell r="K815">
            <v>1</v>
          </cell>
          <cell r="L815">
            <v>65430.6</v>
          </cell>
        </row>
        <row r="816">
          <cell r="A816">
            <v>110267</v>
          </cell>
          <cell r="B816">
            <v>32055</v>
          </cell>
          <cell r="D816" t="str">
            <v>PSB</v>
          </cell>
          <cell r="E816" t="str">
            <v>M</v>
          </cell>
          <cell r="F816" t="str">
            <v xml:space="preserve">SENIOR TYPIST-CLERK                </v>
          </cell>
          <cell r="G816" t="str">
            <v>2216A</v>
          </cell>
          <cell r="H816">
            <v>3013.55</v>
          </cell>
          <cell r="I816">
            <v>1</v>
          </cell>
          <cell r="J816">
            <v>12</v>
          </cell>
          <cell r="K816">
            <v>1</v>
          </cell>
          <cell r="L816">
            <v>36162.6</v>
          </cell>
        </row>
        <row r="817">
          <cell r="A817">
            <v>110268</v>
          </cell>
          <cell r="B817">
            <v>32055</v>
          </cell>
          <cell r="D817" t="str">
            <v>PSB</v>
          </cell>
          <cell r="E817" t="str">
            <v>M</v>
          </cell>
          <cell r="F817" t="str">
            <v xml:space="preserve">STUDENT WORKER                     </v>
          </cell>
          <cell r="G817" t="str">
            <v>8242F</v>
          </cell>
          <cell r="H817">
            <v>8.52</v>
          </cell>
          <cell r="I817">
            <v>1</v>
          </cell>
          <cell r="J817">
            <v>2088</v>
          </cell>
          <cell r="K817">
            <v>0</v>
          </cell>
          <cell r="L817">
            <v>17789.759999999998</v>
          </cell>
        </row>
        <row r="818">
          <cell r="A818">
            <v>110206</v>
          </cell>
          <cell r="B818">
            <v>32055</v>
          </cell>
          <cell r="D818" t="str">
            <v>PSB</v>
          </cell>
          <cell r="E818" t="str">
            <v>M</v>
          </cell>
          <cell r="F818" t="str">
            <v>PSYCHIATRIC SOCIAL WORKER II</v>
          </cell>
          <cell r="G818" t="str">
            <v>9035A</v>
          </cell>
          <cell r="H818">
            <v>5425.82</v>
          </cell>
          <cell r="I818">
            <v>1</v>
          </cell>
          <cell r="J818">
            <v>12</v>
          </cell>
          <cell r="K818">
            <v>1</v>
          </cell>
          <cell r="L818">
            <v>65109.84</v>
          </cell>
        </row>
        <row r="819">
          <cell r="A819">
            <v>110207</v>
          </cell>
          <cell r="B819">
            <v>32055</v>
          </cell>
          <cell r="D819" t="str">
            <v>PSB</v>
          </cell>
          <cell r="E819" t="str">
            <v>M</v>
          </cell>
          <cell r="F819" t="str">
            <v>PSYCHIATRIC SOCIAL WORKER II</v>
          </cell>
          <cell r="G819" t="str">
            <v>9035A</v>
          </cell>
          <cell r="H819">
            <v>5425.82</v>
          </cell>
          <cell r="I819">
            <v>1</v>
          </cell>
          <cell r="J819">
            <v>12</v>
          </cell>
          <cell r="K819">
            <v>1</v>
          </cell>
          <cell r="L819">
            <v>65109.84</v>
          </cell>
        </row>
        <row r="820">
          <cell r="A820">
            <v>110208</v>
          </cell>
          <cell r="B820">
            <v>32055</v>
          </cell>
          <cell r="D820" t="str">
            <v>PSB</v>
          </cell>
          <cell r="E820" t="str">
            <v>M</v>
          </cell>
          <cell r="F820" t="str">
            <v>PSYCHIATRIC SOCIAL WORKER II</v>
          </cell>
          <cell r="G820" t="str">
            <v>9035A</v>
          </cell>
          <cell r="H820">
            <v>5425.82</v>
          </cell>
          <cell r="I820">
            <v>1</v>
          </cell>
          <cell r="J820">
            <v>12</v>
          </cell>
          <cell r="K820">
            <v>1</v>
          </cell>
          <cell r="L820">
            <v>65109.84</v>
          </cell>
        </row>
        <row r="821">
          <cell r="A821">
            <v>110199</v>
          </cell>
          <cell r="B821">
            <v>32054</v>
          </cell>
          <cell r="D821" t="str">
            <v>PSB</v>
          </cell>
          <cell r="E821" t="str">
            <v>M</v>
          </cell>
          <cell r="F821" t="str">
            <v>CLINICAL PSYCHOLOGIST II</v>
          </cell>
          <cell r="G821" t="str">
            <v>8697A</v>
          </cell>
          <cell r="H821">
            <v>6993.82</v>
          </cell>
          <cell r="I821">
            <v>1</v>
          </cell>
          <cell r="J821">
            <v>12</v>
          </cell>
          <cell r="K821">
            <v>1</v>
          </cell>
          <cell r="L821">
            <v>83925.84</v>
          </cell>
        </row>
        <row r="822">
          <cell r="A822">
            <v>110200</v>
          </cell>
          <cell r="B822">
            <v>32054</v>
          </cell>
          <cell r="D822" t="str">
            <v>PSB</v>
          </cell>
          <cell r="E822" t="str">
            <v>M</v>
          </cell>
          <cell r="F822" t="str">
            <v>CLINICAL PSYCHOLOGIST II</v>
          </cell>
          <cell r="G822" t="str">
            <v>8697A</v>
          </cell>
          <cell r="H822">
            <v>6993.82</v>
          </cell>
          <cell r="I822">
            <v>1</v>
          </cell>
          <cell r="J822">
            <v>12</v>
          </cell>
          <cell r="K822">
            <v>1</v>
          </cell>
          <cell r="L822">
            <v>83925.84</v>
          </cell>
        </row>
        <row r="823">
          <cell r="A823">
            <v>110201</v>
          </cell>
          <cell r="B823">
            <v>32054</v>
          </cell>
          <cell r="D823" t="str">
            <v>PSB</v>
          </cell>
          <cell r="E823" t="str">
            <v>M</v>
          </cell>
          <cell r="F823" t="str">
            <v>PSYCHIATRIC SOCIAL WORKER II</v>
          </cell>
          <cell r="G823" t="str">
            <v>9035A</v>
          </cell>
          <cell r="H823">
            <v>5425.82</v>
          </cell>
          <cell r="I823">
            <v>1</v>
          </cell>
          <cell r="J823">
            <v>12</v>
          </cell>
          <cell r="K823">
            <v>1</v>
          </cell>
          <cell r="L823">
            <v>65109.84</v>
          </cell>
        </row>
        <row r="824">
          <cell r="A824">
            <v>109922</v>
          </cell>
          <cell r="B824">
            <v>20652</v>
          </cell>
          <cell r="C824">
            <v>20652</v>
          </cell>
          <cell r="D824" t="str">
            <v>PG</v>
          </cell>
          <cell r="E824" t="str">
            <v>B</v>
          </cell>
          <cell r="F824" t="str">
            <v xml:space="preserve">ACCOUNTANT II                      </v>
          </cell>
          <cell r="G824" t="str">
            <v>0647A</v>
          </cell>
          <cell r="H824">
            <v>4046.36</v>
          </cell>
          <cell r="I824">
            <v>1</v>
          </cell>
          <cell r="J824">
            <v>12</v>
          </cell>
          <cell r="K824">
            <v>1</v>
          </cell>
          <cell r="L824">
            <v>48556.32</v>
          </cell>
        </row>
        <row r="825">
          <cell r="A825">
            <v>110344</v>
          </cell>
          <cell r="B825">
            <v>20652</v>
          </cell>
          <cell r="C825">
            <v>20652</v>
          </cell>
          <cell r="D825" t="str">
            <v>PG</v>
          </cell>
          <cell r="E825" t="str">
            <v>B</v>
          </cell>
          <cell r="F825" t="str">
            <v xml:space="preserve">ACCOUNTANT II                      </v>
          </cell>
          <cell r="G825" t="str">
            <v>0647A</v>
          </cell>
          <cell r="H825">
            <v>4046.36</v>
          </cell>
          <cell r="I825">
            <v>1</v>
          </cell>
          <cell r="J825">
            <v>12</v>
          </cell>
          <cell r="K825">
            <v>1</v>
          </cell>
          <cell r="L825">
            <v>48556.32</v>
          </cell>
        </row>
        <row r="826">
          <cell r="A826">
            <v>110345</v>
          </cell>
          <cell r="B826">
            <v>20652</v>
          </cell>
          <cell r="C826">
            <v>20652</v>
          </cell>
          <cell r="D826" t="str">
            <v>PG</v>
          </cell>
          <cell r="E826" t="str">
            <v>B</v>
          </cell>
          <cell r="F826" t="str">
            <v xml:space="preserve">ACCOUNTING TECHNICIAN I            </v>
          </cell>
          <cell r="G826" t="str">
            <v>0642A</v>
          </cell>
          <cell r="H826">
            <v>3035.64</v>
          </cell>
          <cell r="I826">
            <v>1</v>
          </cell>
          <cell r="J826">
            <v>12</v>
          </cell>
          <cell r="K826">
            <v>1</v>
          </cell>
          <cell r="L826">
            <v>36427.68</v>
          </cell>
        </row>
        <row r="827">
          <cell r="A827">
            <v>110346</v>
          </cell>
          <cell r="B827">
            <v>20652</v>
          </cell>
          <cell r="C827">
            <v>20652</v>
          </cell>
          <cell r="D827" t="str">
            <v>PG</v>
          </cell>
          <cell r="E827" t="str">
            <v>B</v>
          </cell>
          <cell r="F827" t="str">
            <v xml:space="preserve">ACCOUNTING TECHNICIAN I            </v>
          </cell>
          <cell r="G827" t="str">
            <v>0642A</v>
          </cell>
          <cell r="H827">
            <v>3035.64</v>
          </cell>
          <cell r="I827">
            <v>1</v>
          </cell>
          <cell r="J827">
            <v>12</v>
          </cell>
          <cell r="K827">
            <v>1</v>
          </cell>
          <cell r="L827">
            <v>36427.68</v>
          </cell>
        </row>
        <row r="828">
          <cell r="A828">
            <v>110347</v>
          </cell>
          <cell r="B828">
            <v>20652</v>
          </cell>
          <cell r="C828">
            <v>20652</v>
          </cell>
          <cell r="D828" t="str">
            <v>PG</v>
          </cell>
          <cell r="E828" t="str">
            <v>B</v>
          </cell>
          <cell r="F828" t="str">
            <v xml:space="preserve">ACCOUNTING TECHNICIAN I            </v>
          </cell>
          <cell r="G828" t="str">
            <v>0642A</v>
          </cell>
          <cell r="H828">
            <v>3035.64</v>
          </cell>
          <cell r="I828">
            <v>1</v>
          </cell>
          <cell r="J828">
            <v>12</v>
          </cell>
          <cell r="K828">
            <v>1</v>
          </cell>
          <cell r="L828">
            <v>36427.68</v>
          </cell>
        </row>
        <row r="829">
          <cell r="A829">
            <v>109643</v>
          </cell>
          <cell r="B829">
            <v>20652</v>
          </cell>
          <cell r="C829">
            <v>20652</v>
          </cell>
          <cell r="D829" t="str">
            <v>PG</v>
          </cell>
          <cell r="E829" t="str">
            <v>B</v>
          </cell>
          <cell r="F829" t="str">
            <v xml:space="preserve">ACCOUNTING TECHNICIAN II           </v>
          </cell>
          <cell r="G829" t="str">
            <v>0643A</v>
          </cell>
          <cell r="H829">
            <v>3370.64</v>
          </cell>
          <cell r="I829">
            <v>1</v>
          </cell>
          <cell r="J829">
            <v>12</v>
          </cell>
          <cell r="K829">
            <v>1</v>
          </cell>
          <cell r="L829">
            <v>40447.68</v>
          </cell>
        </row>
        <row r="830">
          <cell r="A830">
            <v>100067</v>
          </cell>
          <cell r="B830">
            <v>20652</v>
          </cell>
          <cell r="C830">
            <v>20652</v>
          </cell>
          <cell r="D830" t="str">
            <v>PG</v>
          </cell>
          <cell r="E830" t="str">
            <v>B</v>
          </cell>
          <cell r="F830" t="str">
            <v>ASSISTANT DIVISION CHIEF,PUB GUARDIAN,MH</v>
          </cell>
          <cell r="G830" t="str">
            <v>1488A</v>
          </cell>
          <cell r="H830">
            <v>6823.36</v>
          </cell>
          <cell r="I830">
            <v>1</v>
          </cell>
          <cell r="J830">
            <v>12</v>
          </cell>
          <cell r="K830">
            <v>1</v>
          </cell>
          <cell r="L830">
            <v>81880.320000000007</v>
          </cell>
        </row>
        <row r="831">
          <cell r="A831">
            <v>100213</v>
          </cell>
          <cell r="B831">
            <v>20652</v>
          </cell>
          <cell r="C831">
            <v>20652</v>
          </cell>
          <cell r="D831" t="str">
            <v>PG</v>
          </cell>
          <cell r="E831" t="str">
            <v>B</v>
          </cell>
          <cell r="F831" t="str">
            <v>CONSERVATOR/ADMINISTRATOR ASSISTANT</v>
          </cell>
          <cell r="G831" t="str">
            <v>1479A</v>
          </cell>
          <cell r="H831">
            <v>3095.18</v>
          </cell>
          <cell r="I831">
            <v>1</v>
          </cell>
          <cell r="J831">
            <v>12</v>
          </cell>
          <cell r="K831">
            <v>1</v>
          </cell>
          <cell r="L831">
            <v>37142.239999999998</v>
          </cell>
        </row>
        <row r="832">
          <cell r="A832">
            <v>109925</v>
          </cell>
          <cell r="B832">
            <v>20652</v>
          </cell>
          <cell r="C832">
            <v>20652</v>
          </cell>
          <cell r="D832" t="str">
            <v>PG</v>
          </cell>
          <cell r="E832" t="str">
            <v>B</v>
          </cell>
          <cell r="F832" t="str">
            <v>CONSERVATOR/ADMINISTRATOR ASSISTANT</v>
          </cell>
          <cell r="G832" t="str">
            <v>1479A</v>
          </cell>
          <cell r="H832">
            <v>3095.18</v>
          </cell>
          <cell r="I832">
            <v>1</v>
          </cell>
          <cell r="J832">
            <v>12</v>
          </cell>
          <cell r="K832">
            <v>1</v>
          </cell>
          <cell r="L832">
            <v>37142.160000000003</v>
          </cell>
        </row>
        <row r="833">
          <cell r="A833">
            <v>109926</v>
          </cell>
          <cell r="B833">
            <v>20652</v>
          </cell>
          <cell r="C833">
            <v>20652</v>
          </cell>
          <cell r="D833" t="str">
            <v>PG</v>
          </cell>
          <cell r="E833" t="str">
            <v>B</v>
          </cell>
          <cell r="F833" t="str">
            <v>CONSERVATOR/ADMINISTRATOR ASSISTANT</v>
          </cell>
          <cell r="G833" t="str">
            <v>1479A</v>
          </cell>
          <cell r="H833">
            <v>3095.18</v>
          </cell>
          <cell r="I833">
            <v>1</v>
          </cell>
          <cell r="J833">
            <v>12</v>
          </cell>
          <cell r="K833">
            <v>1</v>
          </cell>
          <cell r="L833">
            <v>37142.160000000003</v>
          </cell>
        </row>
        <row r="834">
          <cell r="A834">
            <v>102037</v>
          </cell>
          <cell r="B834">
            <v>20652</v>
          </cell>
          <cell r="C834">
            <v>20652</v>
          </cell>
          <cell r="D834" t="str">
            <v>PG</v>
          </cell>
          <cell r="E834" t="str">
            <v>B</v>
          </cell>
          <cell r="F834" t="str">
            <v xml:space="preserve">DEPUTY PUBLIC CONSERVATOR/ADMR II  </v>
          </cell>
          <cell r="G834" t="str">
            <v>1481A</v>
          </cell>
          <cell r="H834">
            <v>4229.3599999999997</v>
          </cell>
          <cell r="I834">
            <v>1</v>
          </cell>
          <cell r="J834">
            <v>12</v>
          </cell>
          <cell r="K834">
            <v>1</v>
          </cell>
          <cell r="L834">
            <v>50752.56</v>
          </cell>
        </row>
        <row r="835">
          <cell r="A835">
            <v>103553</v>
          </cell>
          <cell r="B835">
            <v>20652</v>
          </cell>
          <cell r="C835">
            <v>20652</v>
          </cell>
          <cell r="D835" t="str">
            <v>PG</v>
          </cell>
          <cell r="E835" t="str">
            <v>B</v>
          </cell>
          <cell r="F835" t="str">
            <v xml:space="preserve">DEPUTY PUBLIC CONSERVATOR/ADMR II  </v>
          </cell>
          <cell r="G835" t="str">
            <v>1481A</v>
          </cell>
          <cell r="H835">
            <v>4229.3599999999997</v>
          </cell>
          <cell r="I835">
            <v>1</v>
          </cell>
          <cell r="J835">
            <v>12</v>
          </cell>
          <cell r="K835">
            <v>1</v>
          </cell>
          <cell r="L835">
            <v>50752.56</v>
          </cell>
        </row>
        <row r="836">
          <cell r="A836">
            <v>103554</v>
          </cell>
          <cell r="B836">
            <v>20652</v>
          </cell>
          <cell r="C836">
            <v>20652</v>
          </cell>
          <cell r="D836" t="str">
            <v>PG</v>
          </cell>
          <cell r="E836" t="str">
            <v>B</v>
          </cell>
          <cell r="F836" t="str">
            <v xml:space="preserve">DEPUTY PUBLIC CONSERVATOR/ADMR II  </v>
          </cell>
          <cell r="G836" t="str">
            <v>1481A</v>
          </cell>
          <cell r="H836">
            <v>4229.3599999999997</v>
          </cell>
          <cell r="I836">
            <v>1</v>
          </cell>
          <cell r="J836">
            <v>12</v>
          </cell>
          <cell r="K836">
            <v>1</v>
          </cell>
          <cell r="L836">
            <v>50752.56</v>
          </cell>
        </row>
        <row r="837">
          <cell r="A837">
            <v>104616</v>
          </cell>
          <cell r="B837">
            <v>20652</v>
          </cell>
          <cell r="C837">
            <v>20652</v>
          </cell>
          <cell r="D837" t="str">
            <v>PG</v>
          </cell>
          <cell r="E837" t="str">
            <v>B</v>
          </cell>
          <cell r="F837" t="str">
            <v xml:space="preserve">DEPUTY PUBLIC CONSERVATOR/ADMR II  </v>
          </cell>
          <cell r="G837" t="str">
            <v>1481A</v>
          </cell>
          <cell r="H837">
            <v>4229.3599999999997</v>
          </cell>
          <cell r="I837">
            <v>1</v>
          </cell>
          <cell r="J837">
            <v>12</v>
          </cell>
          <cell r="K837">
            <v>1</v>
          </cell>
          <cell r="L837">
            <v>50752.56</v>
          </cell>
        </row>
        <row r="838">
          <cell r="A838">
            <v>104635</v>
          </cell>
          <cell r="B838">
            <v>20652</v>
          </cell>
          <cell r="C838">
            <v>20652</v>
          </cell>
          <cell r="D838" t="str">
            <v>PG</v>
          </cell>
          <cell r="E838" t="str">
            <v>B</v>
          </cell>
          <cell r="F838" t="str">
            <v xml:space="preserve">DEPUTY PUBLIC CONSERVATOR/ADMR II  </v>
          </cell>
          <cell r="G838" t="str">
            <v>1481A</v>
          </cell>
          <cell r="H838">
            <v>4229.3599999999997</v>
          </cell>
          <cell r="I838">
            <v>1</v>
          </cell>
          <cell r="J838">
            <v>12</v>
          </cell>
          <cell r="K838">
            <v>1</v>
          </cell>
          <cell r="L838">
            <v>50752.56</v>
          </cell>
        </row>
        <row r="839">
          <cell r="A839">
            <v>109923</v>
          </cell>
          <cell r="B839">
            <v>20652</v>
          </cell>
          <cell r="C839">
            <v>20652</v>
          </cell>
          <cell r="D839" t="str">
            <v>PG</v>
          </cell>
          <cell r="E839" t="str">
            <v>B</v>
          </cell>
          <cell r="F839" t="str">
            <v xml:space="preserve">DEPUTY PUBLIC CONSERVATOR/ADMR II  </v>
          </cell>
          <cell r="G839" t="str">
            <v>1481A</v>
          </cell>
          <cell r="H839">
            <v>4229.3599999999997</v>
          </cell>
          <cell r="I839">
            <v>1</v>
          </cell>
          <cell r="J839">
            <v>12</v>
          </cell>
          <cell r="K839">
            <v>1</v>
          </cell>
          <cell r="L839">
            <v>50752.32</v>
          </cell>
        </row>
        <row r="840">
          <cell r="A840">
            <v>109924</v>
          </cell>
          <cell r="B840">
            <v>20652</v>
          </cell>
          <cell r="C840">
            <v>20652</v>
          </cell>
          <cell r="D840" t="str">
            <v>PG</v>
          </cell>
          <cell r="E840" t="str">
            <v>B</v>
          </cell>
          <cell r="F840" t="str">
            <v xml:space="preserve">DEPUTY PUBLIC CONSERVATOR/ADMR II  </v>
          </cell>
          <cell r="G840" t="str">
            <v>1481A</v>
          </cell>
          <cell r="H840">
            <v>4229.3599999999997</v>
          </cell>
          <cell r="I840">
            <v>1</v>
          </cell>
          <cell r="J840">
            <v>12</v>
          </cell>
          <cell r="K840">
            <v>1</v>
          </cell>
          <cell r="L840">
            <v>50752.32</v>
          </cell>
        </row>
        <row r="841">
          <cell r="A841">
            <v>109929</v>
          </cell>
          <cell r="B841">
            <v>20652</v>
          </cell>
          <cell r="C841">
            <v>20652</v>
          </cell>
          <cell r="D841" t="str">
            <v>PG</v>
          </cell>
          <cell r="E841" t="str">
            <v>B</v>
          </cell>
          <cell r="F841" t="str">
            <v xml:space="preserve">DEPUTY PUBLIC CONSERVATOR/ADMR II  </v>
          </cell>
          <cell r="G841" t="str">
            <v>1481A</v>
          </cell>
          <cell r="H841">
            <v>4229.3599999999997</v>
          </cell>
          <cell r="I841">
            <v>1</v>
          </cell>
          <cell r="J841">
            <v>12</v>
          </cell>
          <cell r="K841">
            <v>1</v>
          </cell>
          <cell r="L841">
            <v>50752.32</v>
          </cell>
        </row>
        <row r="842">
          <cell r="A842">
            <v>109930</v>
          </cell>
          <cell r="B842">
            <v>20652</v>
          </cell>
          <cell r="C842">
            <v>20652</v>
          </cell>
          <cell r="D842" t="str">
            <v>PG</v>
          </cell>
          <cell r="E842" t="str">
            <v>B</v>
          </cell>
          <cell r="F842" t="str">
            <v xml:space="preserve">DEPUTY PUBLIC CONSERVATOR/ADMR II  </v>
          </cell>
          <cell r="G842" t="str">
            <v>1481A</v>
          </cell>
          <cell r="H842">
            <v>4229.3599999999997</v>
          </cell>
          <cell r="I842">
            <v>1</v>
          </cell>
          <cell r="J842">
            <v>12</v>
          </cell>
          <cell r="K842">
            <v>1</v>
          </cell>
          <cell r="L842">
            <v>50752.32</v>
          </cell>
        </row>
        <row r="843">
          <cell r="A843">
            <v>109931</v>
          </cell>
          <cell r="B843">
            <v>20652</v>
          </cell>
          <cell r="C843">
            <v>20652</v>
          </cell>
          <cell r="D843" t="str">
            <v>PG</v>
          </cell>
          <cell r="E843" t="str">
            <v>B</v>
          </cell>
          <cell r="F843" t="str">
            <v xml:space="preserve">DEPUTY PUBLIC CONSERVATOR/ADMR II  </v>
          </cell>
          <cell r="G843" t="str">
            <v>1481A</v>
          </cell>
          <cell r="H843">
            <v>4229.3599999999997</v>
          </cell>
          <cell r="I843">
            <v>1</v>
          </cell>
          <cell r="J843">
            <v>12</v>
          </cell>
          <cell r="K843">
            <v>1</v>
          </cell>
          <cell r="L843">
            <v>50752.32</v>
          </cell>
        </row>
        <row r="844">
          <cell r="A844">
            <v>109932</v>
          </cell>
          <cell r="B844">
            <v>20652</v>
          </cell>
          <cell r="C844">
            <v>20652</v>
          </cell>
          <cell r="D844" t="str">
            <v>PG</v>
          </cell>
          <cell r="E844" t="str">
            <v>B</v>
          </cell>
          <cell r="F844" t="str">
            <v xml:space="preserve">DEPUTY PUBLIC CONSERVATOR/ADMR II  </v>
          </cell>
          <cell r="G844" t="str">
            <v>1481A</v>
          </cell>
          <cell r="H844">
            <v>4229.3599999999997</v>
          </cell>
          <cell r="I844">
            <v>1</v>
          </cell>
          <cell r="J844">
            <v>12</v>
          </cell>
          <cell r="K844">
            <v>1</v>
          </cell>
          <cell r="L844">
            <v>50752.32</v>
          </cell>
        </row>
        <row r="845">
          <cell r="A845">
            <v>109933</v>
          </cell>
          <cell r="B845">
            <v>20652</v>
          </cell>
          <cell r="C845">
            <v>20652</v>
          </cell>
          <cell r="D845" t="str">
            <v>PG</v>
          </cell>
          <cell r="E845" t="str">
            <v>B</v>
          </cell>
          <cell r="F845" t="str">
            <v xml:space="preserve">DEPUTY PUBLIC CONSERVATOR/ADMR II  </v>
          </cell>
          <cell r="G845" t="str">
            <v>1481A</v>
          </cell>
          <cell r="H845">
            <v>4229.3599999999997</v>
          </cell>
          <cell r="I845">
            <v>1</v>
          </cell>
          <cell r="J845">
            <v>12</v>
          </cell>
          <cell r="K845">
            <v>1</v>
          </cell>
          <cell r="L845">
            <v>50752.32</v>
          </cell>
        </row>
        <row r="846">
          <cell r="A846">
            <v>109934</v>
          </cell>
          <cell r="B846">
            <v>20652</v>
          </cell>
          <cell r="C846">
            <v>20652</v>
          </cell>
          <cell r="D846" t="str">
            <v>PG</v>
          </cell>
          <cell r="E846" t="str">
            <v>B</v>
          </cell>
          <cell r="F846" t="str">
            <v xml:space="preserve">DEPUTY PUBLIC CONSERVATOR/ADMR II  </v>
          </cell>
          <cell r="G846" t="str">
            <v>1481A</v>
          </cell>
          <cell r="H846">
            <v>4229.3599999999997</v>
          </cell>
          <cell r="I846">
            <v>1</v>
          </cell>
          <cell r="J846">
            <v>12</v>
          </cell>
          <cell r="K846">
            <v>1</v>
          </cell>
          <cell r="L846">
            <v>50752.32</v>
          </cell>
        </row>
        <row r="847">
          <cell r="A847">
            <v>110348</v>
          </cell>
          <cell r="B847">
            <v>20652</v>
          </cell>
          <cell r="C847">
            <v>20652</v>
          </cell>
          <cell r="D847" t="str">
            <v>PG</v>
          </cell>
          <cell r="E847" t="str">
            <v>B</v>
          </cell>
          <cell r="F847" t="str">
            <v xml:space="preserve">DEPUTY PUBLIC CONSERVATOR/ADMR II  </v>
          </cell>
          <cell r="G847" t="str">
            <v>1481A</v>
          </cell>
          <cell r="H847">
            <v>4229.3599999999997</v>
          </cell>
          <cell r="I847">
            <v>1</v>
          </cell>
          <cell r="J847">
            <v>12</v>
          </cell>
          <cell r="K847">
            <v>1</v>
          </cell>
          <cell r="L847">
            <v>50752.32</v>
          </cell>
        </row>
        <row r="848">
          <cell r="A848">
            <v>110349</v>
          </cell>
          <cell r="B848">
            <v>20652</v>
          </cell>
          <cell r="C848">
            <v>20652</v>
          </cell>
          <cell r="D848" t="str">
            <v>PG</v>
          </cell>
          <cell r="E848" t="str">
            <v>B</v>
          </cell>
          <cell r="F848" t="str">
            <v xml:space="preserve">DEPUTY PUBLIC CONSERVATOR/ADMR II  </v>
          </cell>
          <cell r="G848" t="str">
            <v>1481A</v>
          </cell>
          <cell r="H848">
            <v>4229.3599999999997</v>
          </cell>
          <cell r="I848">
            <v>1</v>
          </cell>
          <cell r="J848">
            <v>12</v>
          </cell>
          <cell r="K848">
            <v>1</v>
          </cell>
          <cell r="L848">
            <v>50752.32</v>
          </cell>
        </row>
        <row r="849">
          <cell r="A849">
            <v>110350</v>
          </cell>
          <cell r="B849">
            <v>20652</v>
          </cell>
          <cell r="C849">
            <v>20652</v>
          </cell>
          <cell r="D849" t="str">
            <v>PG</v>
          </cell>
          <cell r="E849" t="str">
            <v>B</v>
          </cell>
          <cell r="F849" t="str">
            <v xml:space="preserve">DEPUTY PUBLIC CONSERVATOR/ADMR II  </v>
          </cell>
          <cell r="G849" t="str">
            <v>1481A</v>
          </cell>
          <cell r="H849">
            <v>4229.3599999999997</v>
          </cell>
          <cell r="I849">
            <v>1</v>
          </cell>
          <cell r="J849">
            <v>12</v>
          </cell>
          <cell r="K849">
            <v>1</v>
          </cell>
          <cell r="L849">
            <v>50752.32</v>
          </cell>
        </row>
        <row r="850">
          <cell r="A850">
            <v>110351</v>
          </cell>
          <cell r="B850">
            <v>20652</v>
          </cell>
          <cell r="C850">
            <v>20652</v>
          </cell>
          <cell r="D850" t="str">
            <v>PG</v>
          </cell>
          <cell r="E850" t="str">
            <v>B</v>
          </cell>
          <cell r="F850" t="str">
            <v xml:space="preserve">DEPUTY PUBLIC CONSERVATOR/ADMR II  </v>
          </cell>
          <cell r="G850" t="str">
            <v>1481A</v>
          </cell>
          <cell r="H850">
            <v>4229.3599999999997</v>
          </cell>
          <cell r="I850">
            <v>1</v>
          </cell>
          <cell r="J850">
            <v>12</v>
          </cell>
          <cell r="K850">
            <v>1</v>
          </cell>
          <cell r="L850">
            <v>50752.32</v>
          </cell>
        </row>
        <row r="851">
          <cell r="A851">
            <v>110352</v>
          </cell>
          <cell r="B851">
            <v>20652</v>
          </cell>
          <cell r="C851">
            <v>20652</v>
          </cell>
          <cell r="D851" t="str">
            <v>PG</v>
          </cell>
          <cell r="E851" t="str">
            <v>B</v>
          </cell>
          <cell r="F851" t="str">
            <v xml:space="preserve">DEPUTY PUBLIC CONSERVATOR/ADMR II  </v>
          </cell>
          <cell r="G851" t="str">
            <v>1481A</v>
          </cell>
          <cell r="H851">
            <v>4229.3599999999997</v>
          </cell>
          <cell r="I851">
            <v>1</v>
          </cell>
          <cell r="J851">
            <v>12</v>
          </cell>
          <cell r="K851">
            <v>1</v>
          </cell>
          <cell r="L851">
            <v>50752.32</v>
          </cell>
        </row>
        <row r="852">
          <cell r="A852">
            <v>110353</v>
          </cell>
          <cell r="B852">
            <v>20652</v>
          </cell>
          <cell r="C852">
            <v>20652</v>
          </cell>
          <cell r="D852" t="str">
            <v>PG</v>
          </cell>
          <cell r="E852" t="str">
            <v>B</v>
          </cell>
          <cell r="F852" t="str">
            <v xml:space="preserve">DEPUTY PUBLIC CONSERVATOR/ADMR II  </v>
          </cell>
          <cell r="G852" t="str">
            <v>1481A</v>
          </cell>
          <cell r="H852">
            <v>4229.3599999999997</v>
          </cell>
          <cell r="I852">
            <v>1</v>
          </cell>
          <cell r="J852">
            <v>12</v>
          </cell>
          <cell r="K852">
            <v>1</v>
          </cell>
          <cell r="L852">
            <v>50752.32</v>
          </cell>
        </row>
        <row r="853">
          <cell r="A853">
            <v>110354</v>
          </cell>
          <cell r="B853">
            <v>20652</v>
          </cell>
          <cell r="C853">
            <v>20652</v>
          </cell>
          <cell r="D853" t="str">
            <v>PG</v>
          </cell>
          <cell r="E853" t="str">
            <v>B</v>
          </cell>
          <cell r="F853" t="str">
            <v xml:space="preserve">DEPUTY PUBLIC CONSERVATOR/ADMR II  </v>
          </cell>
          <cell r="G853" t="str">
            <v>1481A</v>
          </cell>
          <cell r="H853">
            <v>4229.3599999999997</v>
          </cell>
          <cell r="I853">
            <v>1</v>
          </cell>
          <cell r="J853">
            <v>12</v>
          </cell>
          <cell r="K853">
            <v>1</v>
          </cell>
          <cell r="L853">
            <v>50752.32</v>
          </cell>
        </row>
        <row r="854">
          <cell r="A854">
            <v>110357</v>
          </cell>
          <cell r="B854">
            <v>20652</v>
          </cell>
          <cell r="C854">
            <v>20652</v>
          </cell>
          <cell r="D854" t="str">
            <v>PG</v>
          </cell>
          <cell r="E854" t="str">
            <v>B</v>
          </cell>
          <cell r="F854" t="str">
            <v xml:space="preserve">FISCAL OFFICER I                   </v>
          </cell>
          <cell r="G854" t="str">
            <v>0752A</v>
          </cell>
          <cell r="H854">
            <v>6543.73</v>
          </cell>
          <cell r="I854">
            <v>1</v>
          </cell>
          <cell r="J854">
            <v>12</v>
          </cell>
          <cell r="K854">
            <v>1</v>
          </cell>
          <cell r="L854">
            <v>78524.759999999995</v>
          </cell>
        </row>
        <row r="855">
          <cell r="A855">
            <v>100380</v>
          </cell>
          <cell r="B855">
            <v>20652</v>
          </cell>
          <cell r="C855">
            <v>20652</v>
          </cell>
          <cell r="D855" t="str">
            <v>PG</v>
          </cell>
          <cell r="E855" t="str">
            <v>B</v>
          </cell>
          <cell r="F855" t="str">
            <v>INTERMEDIATE TYPIST-CLERK</v>
          </cell>
          <cell r="G855" t="str">
            <v>2214A</v>
          </cell>
          <cell r="H855">
            <v>2675.27</v>
          </cell>
          <cell r="I855">
            <v>1</v>
          </cell>
          <cell r="J855">
            <v>12</v>
          </cell>
          <cell r="K855">
            <v>1</v>
          </cell>
          <cell r="L855">
            <v>32103.16</v>
          </cell>
        </row>
        <row r="856">
          <cell r="A856">
            <v>109927</v>
          </cell>
          <cell r="B856">
            <v>20652</v>
          </cell>
          <cell r="C856">
            <v>20652</v>
          </cell>
          <cell r="D856" t="str">
            <v>PG</v>
          </cell>
          <cell r="E856" t="str">
            <v>B</v>
          </cell>
          <cell r="F856" t="str">
            <v>INTERMEDIATE TYPIST-CLERK</v>
          </cell>
          <cell r="G856" t="str">
            <v>2214A</v>
          </cell>
          <cell r="H856">
            <v>2675.27</v>
          </cell>
          <cell r="I856">
            <v>1</v>
          </cell>
          <cell r="J856">
            <v>12</v>
          </cell>
          <cell r="K856">
            <v>1</v>
          </cell>
          <cell r="L856">
            <v>32103.24</v>
          </cell>
        </row>
        <row r="857">
          <cell r="A857">
            <v>109928</v>
          </cell>
          <cell r="B857">
            <v>20652</v>
          </cell>
          <cell r="C857">
            <v>20652</v>
          </cell>
          <cell r="D857" t="str">
            <v>PG</v>
          </cell>
          <cell r="E857" t="str">
            <v>B</v>
          </cell>
          <cell r="F857" t="str">
            <v>INTERMEDIATE TYPIST-CLERK</v>
          </cell>
          <cell r="G857" t="str">
            <v>2214A</v>
          </cell>
          <cell r="H857">
            <v>2675.27</v>
          </cell>
          <cell r="I857">
            <v>1</v>
          </cell>
          <cell r="J857">
            <v>12</v>
          </cell>
          <cell r="K857">
            <v>1</v>
          </cell>
          <cell r="L857">
            <v>32103.24</v>
          </cell>
        </row>
        <row r="858">
          <cell r="A858">
            <v>110355</v>
          </cell>
          <cell r="B858">
            <v>20652</v>
          </cell>
          <cell r="C858">
            <v>20652</v>
          </cell>
          <cell r="D858" t="str">
            <v>PG</v>
          </cell>
          <cell r="E858" t="str">
            <v>B</v>
          </cell>
          <cell r="F858" t="str">
            <v>INTERMEDIATE TYPIST-CLERK</v>
          </cell>
          <cell r="G858" t="str">
            <v>2214A</v>
          </cell>
          <cell r="H858">
            <v>2675.27</v>
          </cell>
          <cell r="I858">
            <v>1</v>
          </cell>
          <cell r="J858">
            <v>12</v>
          </cell>
          <cell r="K858">
            <v>1</v>
          </cell>
          <cell r="L858">
            <v>32103.24</v>
          </cell>
        </row>
        <row r="859">
          <cell r="A859">
            <v>110356</v>
          </cell>
          <cell r="B859">
            <v>20652</v>
          </cell>
          <cell r="C859">
            <v>20652</v>
          </cell>
          <cell r="D859" t="str">
            <v>PG</v>
          </cell>
          <cell r="E859" t="str">
            <v>B</v>
          </cell>
          <cell r="F859" t="str">
            <v>INTERMEDIATE TYPIST-CLERK</v>
          </cell>
          <cell r="G859" t="str">
            <v>2214A</v>
          </cell>
          <cell r="H859">
            <v>2675.27</v>
          </cell>
          <cell r="I859">
            <v>1</v>
          </cell>
          <cell r="J859">
            <v>12</v>
          </cell>
          <cell r="K859">
            <v>1</v>
          </cell>
          <cell r="L859">
            <v>32103.24</v>
          </cell>
        </row>
        <row r="860">
          <cell r="A860">
            <v>101499</v>
          </cell>
          <cell r="B860">
            <v>20652</v>
          </cell>
          <cell r="C860">
            <v>20652</v>
          </cell>
          <cell r="D860" t="str">
            <v>PG</v>
          </cell>
          <cell r="E860" t="str">
            <v>B</v>
          </cell>
          <cell r="F860" t="str">
            <v xml:space="preserve">SENIOR TYPIST-CLERK                </v>
          </cell>
          <cell r="G860" t="str">
            <v>2216A</v>
          </cell>
          <cell r="H860">
            <v>3013.55</v>
          </cell>
          <cell r="I860">
            <v>1</v>
          </cell>
          <cell r="J860">
            <v>12</v>
          </cell>
          <cell r="K860">
            <v>1</v>
          </cell>
          <cell r="L860">
            <v>36162.6</v>
          </cell>
        </row>
        <row r="861">
          <cell r="A861">
            <v>109936</v>
          </cell>
          <cell r="B861">
            <v>20652</v>
          </cell>
          <cell r="C861">
            <v>20652</v>
          </cell>
          <cell r="D861" t="str">
            <v>PG</v>
          </cell>
          <cell r="E861" t="str">
            <v>B</v>
          </cell>
          <cell r="F861" t="str">
            <v xml:space="preserve">SENIOR TYPIST-CLERK                </v>
          </cell>
          <cell r="G861" t="str">
            <v>2216A</v>
          </cell>
          <cell r="H861">
            <v>3013.55</v>
          </cell>
          <cell r="I861">
            <v>1</v>
          </cell>
          <cell r="J861">
            <v>12</v>
          </cell>
          <cell r="K861">
            <v>1</v>
          </cell>
          <cell r="L861">
            <v>36162.6</v>
          </cell>
        </row>
        <row r="862">
          <cell r="A862">
            <v>110358</v>
          </cell>
          <cell r="B862">
            <v>20652</v>
          </cell>
          <cell r="C862">
            <v>20652</v>
          </cell>
          <cell r="D862" t="str">
            <v>PG</v>
          </cell>
          <cell r="E862" t="str">
            <v>B</v>
          </cell>
          <cell r="F862" t="str">
            <v xml:space="preserve">SENIOR TYPIST-CLERK                </v>
          </cell>
          <cell r="G862" t="str">
            <v>2216A</v>
          </cell>
          <cell r="H862">
            <v>3013.55</v>
          </cell>
          <cell r="I862">
            <v>1</v>
          </cell>
          <cell r="J862">
            <v>12</v>
          </cell>
          <cell r="K862">
            <v>1</v>
          </cell>
          <cell r="L862">
            <v>36162.6</v>
          </cell>
        </row>
        <row r="863">
          <cell r="A863">
            <v>101507</v>
          </cell>
          <cell r="B863">
            <v>20651</v>
          </cell>
          <cell r="C863">
            <v>20652</v>
          </cell>
          <cell r="D863" t="str">
            <v>PG</v>
          </cell>
          <cell r="E863" t="str">
            <v>B</v>
          </cell>
          <cell r="F863" t="str">
            <v xml:space="preserve">SR DEPY PUBLIC CONSERVATOR/ADMR    </v>
          </cell>
          <cell r="G863" t="str">
            <v>1483A</v>
          </cell>
          <cell r="H863">
            <v>4465.2700000000004</v>
          </cell>
          <cell r="I863">
            <v>1</v>
          </cell>
          <cell r="J863">
            <v>12</v>
          </cell>
          <cell r="K863">
            <v>1</v>
          </cell>
          <cell r="L863">
            <v>53583</v>
          </cell>
        </row>
        <row r="864">
          <cell r="A864">
            <v>101508</v>
          </cell>
          <cell r="B864">
            <v>20652</v>
          </cell>
          <cell r="C864">
            <v>20652</v>
          </cell>
          <cell r="D864" t="str">
            <v>PG</v>
          </cell>
          <cell r="E864" t="str">
            <v>B</v>
          </cell>
          <cell r="F864" t="str">
            <v xml:space="preserve">SR DEPY PUBLIC CONSERVATOR/ADMR    </v>
          </cell>
          <cell r="G864" t="str">
            <v>1483A</v>
          </cell>
          <cell r="H864">
            <v>4465.2700000000004</v>
          </cell>
          <cell r="I864">
            <v>1</v>
          </cell>
          <cell r="J864">
            <v>12</v>
          </cell>
          <cell r="K864">
            <v>1</v>
          </cell>
          <cell r="L864">
            <v>53583</v>
          </cell>
        </row>
        <row r="865">
          <cell r="A865">
            <v>102019</v>
          </cell>
          <cell r="B865">
            <v>20652</v>
          </cell>
          <cell r="C865">
            <v>20652</v>
          </cell>
          <cell r="D865" t="str">
            <v>PG</v>
          </cell>
          <cell r="E865" t="str">
            <v>B</v>
          </cell>
          <cell r="F865" t="str">
            <v xml:space="preserve">SR DEPY PUBLIC CONSERVATOR/ADMR    </v>
          </cell>
          <cell r="G865" t="str">
            <v>1483A</v>
          </cell>
          <cell r="H865">
            <v>4465.2700000000004</v>
          </cell>
          <cell r="I865">
            <v>1</v>
          </cell>
          <cell r="J865">
            <v>12</v>
          </cell>
          <cell r="K865">
            <v>1</v>
          </cell>
          <cell r="L865">
            <v>53583</v>
          </cell>
        </row>
        <row r="866">
          <cell r="A866">
            <v>102028</v>
          </cell>
          <cell r="B866">
            <v>20652</v>
          </cell>
          <cell r="C866">
            <v>20652</v>
          </cell>
          <cell r="D866" t="str">
            <v>PG</v>
          </cell>
          <cell r="E866" t="str">
            <v>B</v>
          </cell>
          <cell r="F866" t="str">
            <v xml:space="preserve">SR DEPY PUBLIC CONSERVATOR/ADMR    </v>
          </cell>
          <cell r="G866" t="str">
            <v>1483A</v>
          </cell>
          <cell r="H866">
            <v>4465.2700000000004</v>
          </cell>
          <cell r="I866">
            <v>1</v>
          </cell>
          <cell r="J866">
            <v>12</v>
          </cell>
          <cell r="K866">
            <v>1</v>
          </cell>
          <cell r="L866">
            <v>53583</v>
          </cell>
        </row>
        <row r="867">
          <cell r="A867">
            <v>102029</v>
          </cell>
          <cell r="B867">
            <v>20652</v>
          </cell>
          <cell r="C867">
            <v>20652</v>
          </cell>
          <cell r="D867" t="str">
            <v>PG</v>
          </cell>
          <cell r="E867" t="str">
            <v>B</v>
          </cell>
          <cell r="F867" t="str">
            <v xml:space="preserve">SR DEPY PUBLIC CONSERVATOR/ADMR    </v>
          </cell>
          <cell r="G867" t="str">
            <v>1483A</v>
          </cell>
          <cell r="H867">
            <v>4465.2700000000004</v>
          </cell>
          <cell r="I867">
            <v>1</v>
          </cell>
          <cell r="J867">
            <v>12</v>
          </cell>
          <cell r="K867">
            <v>1</v>
          </cell>
          <cell r="L867">
            <v>53583</v>
          </cell>
        </row>
        <row r="868">
          <cell r="A868">
            <v>102742</v>
          </cell>
          <cell r="B868">
            <v>20652</v>
          </cell>
          <cell r="C868">
            <v>20652</v>
          </cell>
          <cell r="D868" t="str">
            <v>PG</v>
          </cell>
          <cell r="E868" t="str">
            <v>B</v>
          </cell>
          <cell r="F868" t="str">
            <v xml:space="preserve">SR DEPY PUBLIC CONSERVATOR/ADMR    </v>
          </cell>
          <cell r="G868" t="str">
            <v>1483A</v>
          </cell>
          <cell r="H868">
            <v>4465.2700000000004</v>
          </cell>
          <cell r="I868">
            <v>1</v>
          </cell>
          <cell r="J868">
            <v>12</v>
          </cell>
          <cell r="K868">
            <v>1</v>
          </cell>
          <cell r="L868">
            <v>53583</v>
          </cell>
        </row>
        <row r="869">
          <cell r="A869">
            <v>102840</v>
          </cell>
          <cell r="B869">
            <v>20652</v>
          </cell>
          <cell r="C869">
            <v>20652</v>
          </cell>
          <cell r="D869" t="str">
            <v>PG</v>
          </cell>
          <cell r="E869" t="str">
            <v>B</v>
          </cell>
          <cell r="F869" t="str">
            <v xml:space="preserve">SR DEPY PUBLIC CONSERVATOR/ADMR    </v>
          </cell>
          <cell r="G869" t="str">
            <v>1483A</v>
          </cell>
          <cell r="H869">
            <v>4465.2700000000004</v>
          </cell>
          <cell r="I869">
            <v>1</v>
          </cell>
          <cell r="J869">
            <v>12</v>
          </cell>
          <cell r="K869">
            <v>1</v>
          </cell>
          <cell r="L869">
            <v>53583</v>
          </cell>
        </row>
        <row r="870">
          <cell r="A870">
            <v>103555</v>
          </cell>
          <cell r="B870">
            <v>20652</v>
          </cell>
          <cell r="C870">
            <v>20652</v>
          </cell>
          <cell r="D870" t="str">
            <v>PG</v>
          </cell>
          <cell r="E870" t="str">
            <v>B</v>
          </cell>
          <cell r="F870" t="str">
            <v xml:space="preserve">SR DEPY PUBLIC CONSERVATOR/ADMR    </v>
          </cell>
          <cell r="G870" t="str">
            <v>1483A</v>
          </cell>
          <cell r="H870">
            <v>4465.2700000000004</v>
          </cell>
          <cell r="I870">
            <v>1</v>
          </cell>
          <cell r="J870">
            <v>12</v>
          </cell>
          <cell r="K870">
            <v>1</v>
          </cell>
          <cell r="L870">
            <v>53583</v>
          </cell>
        </row>
        <row r="871">
          <cell r="A871">
            <v>104108</v>
          </cell>
          <cell r="B871">
            <v>20651</v>
          </cell>
          <cell r="C871">
            <v>20652</v>
          </cell>
          <cell r="D871" t="str">
            <v>PG</v>
          </cell>
          <cell r="E871" t="str">
            <v>B</v>
          </cell>
          <cell r="F871" t="str">
            <v xml:space="preserve">SR DEPY PUBLIC CONSERVATOR/ADMR    </v>
          </cell>
          <cell r="G871" t="str">
            <v>1483A</v>
          </cell>
          <cell r="H871">
            <v>4465.2700000000004</v>
          </cell>
          <cell r="I871">
            <v>1</v>
          </cell>
          <cell r="J871">
            <v>12</v>
          </cell>
          <cell r="K871">
            <v>1</v>
          </cell>
          <cell r="L871">
            <v>53583</v>
          </cell>
        </row>
        <row r="872">
          <cell r="A872">
            <v>104637</v>
          </cell>
          <cell r="B872">
            <v>20652</v>
          </cell>
          <cell r="C872">
            <v>20652</v>
          </cell>
          <cell r="D872" t="str">
            <v>PG</v>
          </cell>
          <cell r="E872" t="str">
            <v>B</v>
          </cell>
          <cell r="F872" t="str">
            <v xml:space="preserve">SR DEPY PUBLIC CONSERVATOR/ADMR    </v>
          </cell>
          <cell r="G872" t="str">
            <v>1483A</v>
          </cell>
          <cell r="H872">
            <v>4465.2700000000004</v>
          </cell>
          <cell r="I872">
            <v>1</v>
          </cell>
          <cell r="J872">
            <v>12</v>
          </cell>
          <cell r="K872">
            <v>1</v>
          </cell>
          <cell r="L872">
            <v>53583</v>
          </cell>
        </row>
        <row r="873">
          <cell r="A873">
            <v>104638</v>
          </cell>
          <cell r="B873">
            <v>20652</v>
          </cell>
          <cell r="C873">
            <v>20652</v>
          </cell>
          <cell r="D873" t="str">
            <v>PG</v>
          </cell>
          <cell r="E873" t="str">
            <v>B</v>
          </cell>
          <cell r="F873" t="str">
            <v xml:space="preserve">SR DEPY PUBLIC CONSERVATOR/ADMR    </v>
          </cell>
          <cell r="G873" t="str">
            <v>1483A</v>
          </cell>
          <cell r="H873">
            <v>4465.2700000000004</v>
          </cell>
          <cell r="I873">
            <v>1</v>
          </cell>
          <cell r="J873">
            <v>12</v>
          </cell>
          <cell r="K873">
            <v>1</v>
          </cell>
          <cell r="L873">
            <v>53583</v>
          </cell>
        </row>
        <row r="874">
          <cell r="A874">
            <v>101621</v>
          </cell>
          <cell r="B874">
            <v>20652</v>
          </cell>
          <cell r="C874">
            <v>20652</v>
          </cell>
          <cell r="D874" t="str">
            <v>PG</v>
          </cell>
          <cell r="E874" t="str">
            <v>B</v>
          </cell>
          <cell r="F874" t="str">
            <v xml:space="preserve">SUPVG DEPY PUBLIC CONSERVATOR/ADMR </v>
          </cell>
          <cell r="G874" t="str">
            <v>1485A</v>
          </cell>
          <cell r="H874">
            <v>4977.09</v>
          </cell>
          <cell r="I874">
            <v>1</v>
          </cell>
          <cell r="J874">
            <v>12</v>
          </cell>
          <cell r="K874">
            <v>1</v>
          </cell>
          <cell r="L874">
            <v>59725.08</v>
          </cell>
        </row>
        <row r="875">
          <cell r="A875">
            <v>104640</v>
          </cell>
          <cell r="B875">
            <v>20652</v>
          </cell>
          <cell r="C875">
            <v>20652</v>
          </cell>
          <cell r="D875" t="str">
            <v>PG</v>
          </cell>
          <cell r="E875" t="str">
            <v>B</v>
          </cell>
          <cell r="F875" t="str">
            <v xml:space="preserve">SUPVG DEPY PUBLIC CONSERVATOR/ADMR </v>
          </cell>
          <cell r="G875" t="str">
            <v>1485A</v>
          </cell>
          <cell r="H875">
            <v>4977.09</v>
          </cell>
          <cell r="I875">
            <v>1</v>
          </cell>
          <cell r="J875">
            <v>12</v>
          </cell>
          <cell r="K875">
            <v>1</v>
          </cell>
          <cell r="L875">
            <v>59725.08</v>
          </cell>
        </row>
        <row r="876">
          <cell r="A876">
            <v>109937</v>
          </cell>
          <cell r="B876">
            <v>20652</v>
          </cell>
          <cell r="C876">
            <v>20652</v>
          </cell>
          <cell r="D876" t="str">
            <v>PG</v>
          </cell>
          <cell r="E876" t="str">
            <v>B</v>
          </cell>
          <cell r="F876" t="str">
            <v xml:space="preserve">SUPVG DEPY PUBLIC CONSERVATOR/ADMR </v>
          </cell>
          <cell r="G876" t="str">
            <v>1485A</v>
          </cell>
          <cell r="H876">
            <v>4977.09</v>
          </cell>
          <cell r="I876">
            <v>1</v>
          </cell>
          <cell r="J876">
            <v>12</v>
          </cell>
          <cell r="K876">
            <v>1</v>
          </cell>
          <cell r="L876">
            <v>59725.08</v>
          </cell>
        </row>
        <row r="877">
          <cell r="A877">
            <v>110359</v>
          </cell>
          <cell r="B877">
            <v>20652</v>
          </cell>
          <cell r="C877">
            <v>20652</v>
          </cell>
          <cell r="D877" t="str">
            <v>PG</v>
          </cell>
          <cell r="E877" t="str">
            <v>B</v>
          </cell>
          <cell r="F877" t="str">
            <v xml:space="preserve">SUPVG DEPY PUBLIC CONSERVATOR/ADMR </v>
          </cell>
          <cell r="G877" t="str">
            <v>1485A</v>
          </cell>
          <cell r="H877">
            <v>4977.09</v>
          </cell>
          <cell r="I877">
            <v>1</v>
          </cell>
          <cell r="J877">
            <v>12</v>
          </cell>
          <cell r="K877">
            <v>1</v>
          </cell>
          <cell r="L877">
            <v>59725.08</v>
          </cell>
        </row>
        <row r="878">
          <cell r="A878">
            <v>102017</v>
          </cell>
          <cell r="B878">
            <v>20651</v>
          </cell>
          <cell r="C878">
            <v>20651</v>
          </cell>
          <cell r="D878" t="str">
            <v>PG</v>
          </cell>
          <cell r="E878" t="str">
            <v>B</v>
          </cell>
          <cell r="F878" t="str">
            <v xml:space="preserve">ACCOUNTANT III                     </v>
          </cell>
          <cell r="G878" t="str">
            <v>0648A</v>
          </cell>
          <cell r="H878">
            <v>4531.82</v>
          </cell>
          <cell r="I878">
            <v>1</v>
          </cell>
          <cell r="J878">
            <v>12</v>
          </cell>
          <cell r="K878">
            <v>1</v>
          </cell>
          <cell r="L878">
            <v>54381.68</v>
          </cell>
        </row>
        <row r="879">
          <cell r="A879">
            <v>109636</v>
          </cell>
          <cell r="B879">
            <v>20651</v>
          </cell>
          <cell r="C879">
            <v>20651</v>
          </cell>
          <cell r="D879" t="str">
            <v>PG</v>
          </cell>
          <cell r="E879" t="str">
            <v>B</v>
          </cell>
          <cell r="F879" t="str">
            <v xml:space="preserve">ACCOUNTING OFFICER I               </v>
          </cell>
          <cell r="G879" t="str">
            <v>0656A</v>
          </cell>
          <cell r="H879">
            <v>4761.09</v>
          </cell>
          <cell r="I879">
            <v>1</v>
          </cell>
          <cell r="J879">
            <v>12</v>
          </cell>
          <cell r="K879">
            <v>1</v>
          </cell>
          <cell r="L879">
            <v>57133.08</v>
          </cell>
        </row>
        <row r="880">
          <cell r="A880">
            <v>109637</v>
          </cell>
          <cell r="B880">
            <v>20651</v>
          </cell>
          <cell r="C880">
            <v>20651</v>
          </cell>
          <cell r="D880" t="str">
            <v>PG</v>
          </cell>
          <cell r="E880" t="str">
            <v>B</v>
          </cell>
          <cell r="F880" t="str">
            <v xml:space="preserve">ACCOUNTING TECHNICIAN I            </v>
          </cell>
          <cell r="G880" t="str">
            <v>0642A</v>
          </cell>
          <cell r="H880">
            <v>3035.64</v>
          </cell>
          <cell r="I880">
            <v>1</v>
          </cell>
          <cell r="J880">
            <v>12</v>
          </cell>
          <cell r="K880">
            <v>1</v>
          </cell>
          <cell r="L880">
            <v>36427.68</v>
          </cell>
        </row>
        <row r="881">
          <cell r="A881">
            <v>109638</v>
          </cell>
          <cell r="B881">
            <v>20651</v>
          </cell>
          <cell r="C881">
            <v>20651</v>
          </cell>
          <cell r="D881" t="str">
            <v>PG</v>
          </cell>
          <cell r="E881" t="str">
            <v>B</v>
          </cell>
          <cell r="F881" t="str">
            <v xml:space="preserve">ACCOUNTING TECHNICIAN I            </v>
          </cell>
          <cell r="G881" t="str">
            <v>0642A</v>
          </cell>
          <cell r="H881">
            <v>3035.64</v>
          </cell>
          <cell r="I881">
            <v>1</v>
          </cell>
          <cell r="J881">
            <v>12</v>
          </cell>
          <cell r="K881">
            <v>1</v>
          </cell>
          <cell r="L881">
            <v>36427.68</v>
          </cell>
        </row>
        <row r="882">
          <cell r="A882">
            <v>109639</v>
          </cell>
          <cell r="B882">
            <v>20651</v>
          </cell>
          <cell r="C882">
            <v>20651</v>
          </cell>
          <cell r="D882" t="str">
            <v>PG</v>
          </cell>
          <cell r="E882" t="str">
            <v>B</v>
          </cell>
          <cell r="F882" t="str">
            <v xml:space="preserve">ACCOUNTING TECHNICIAN I            </v>
          </cell>
          <cell r="G882" t="str">
            <v>0642A</v>
          </cell>
          <cell r="H882">
            <v>3035.64</v>
          </cell>
          <cell r="I882">
            <v>1</v>
          </cell>
          <cell r="J882">
            <v>12</v>
          </cell>
          <cell r="K882">
            <v>1</v>
          </cell>
          <cell r="L882">
            <v>36427.68</v>
          </cell>
        </row>
        <row r="883">
          <cell r="A883">
            <v>109640</v>
          </cell>
          <cell r="B883">
            <v>20651</v>
          </cell>
          <cell r="C883">
            <v>20651</v>
          </cell>
          <cell r="D883" t="str">
            <v>PG</v>
          </cell>
          <cell r="E883" t="str">
            <v>B</v>
          </cell>
          <cell r="F883" t="str">
            <v xml:space="preserve">ACCOUNTING TECHNICIAN I            </v>
          </cell>
          <cell r="G883" t="str">
            <v>0642A</v>
          </cell>
          <cell r="H883">
            <v>3035.64</v>
          </cell>
          <cell r="I883">
            <v>1</v>
          </cell>
          <cell r="J883">
            <v>12</v>
          </cell>
          <cell r="K883">
            <v>1</v>
          </cell>
          <cell r="L883">
            <v>36427.68</v>
          </cell>
        </row>
        <row r="884">
          <cell r="A884">
            <v>109641</v>
          </cell>
          <cell r="B884">
            <v>20652</v>
          </cell>
          <cell r="C884">
            <v>20651</v>
          </cell>
          <cell r="D884" t="str">
            <v>PG</v>
          </cell>
          <cell r="E884" t="str">
            <v>B</v>
          </cell>
          <cell r="F884" t="str">
            <v xml:space="preserve">ACCOUNTING TECHNICIAN I            </v>
          </cell>
          <cell r="G884" t="str">
            <v>0642A</v>
          </cell>
          <cell r="H884">
            <v>3035.64</v>
          </cell>
          <cell r="I884">
            <v>1</v>
          </cell>
          <cell r="J884">
            <v>12</v>
          </cell>
          <cell r="K884">
            <v>1</v>
          </cell>
          <cell r="L884">
            <v>36427.68</v>
          </cell>
        </row>
        <row r="885">
          <cell r="A885">
            <v>109642</v>
          </cell>
          <cell r="B885">
            <v>20651</v>
          </cell>
          <cell r="C885">
            <v>20651</v>
          </cell>
          <cell r="D885" t="str">
            <v>PG</v>
          </cell>
          <cell r="E885" t="str">
            <v>B</v>
          </cell>
          <cell r="F885" t="str">
            <v xml:space="preserve">ACCOUNTING TECHNICIAN II           </v>
          </cell>
          <cell r="G885" t="str">
            <v>0643A</v>
          </cell>
          <cell r="H885">
            <v>3370.64</v>
          </cell>
          <cell r="I885">
            <v>1</v>
          </cell>
          <cell r="J885">
            <v>12</v>
          </cell>
          <cell r="K885">
            <v>1</v>
          </cell>
          <cell r="L885">
            <v>40447.68</v>
          </cell>
        </row>
        <row r="886">
          <cell r="A886">
            <v>102031</v>
          </cell>
          <cell r="B886">
            <v>20651</v>
          </cell>
          <cell r="C886">
            <v>20651</v>
          </cell>
          <cell r="D886" t="str">
            <v>PG</v>
          </cell>
          <cell r="E886" t="str">
            <v>B</v>
          </cell>
          <cell r="F886" t="str">
            <v>ASSISTANT DIVISION CHIEF,PUB GUARDIAN,MH</v>
          </cell>
          <cell r="G886" t="str">
            <v>1488A</v>
          </cell>
          <cell r="H886">
            <v>6823.36</v>
          </cell>
          <cell r="I886">
            <v>1</v>
          </cell>
          <cell r="J886">
            <v>12</v>
          </cell>
          <cell r="K886">
            <v>1</v>
          </cell>
          <cell r="L886">
            <v>81880.320000000007</v>
          </cell>
        </row>
        <row r="887">
          <cell r="A887">
            <v>100091</v>
          </cell>
          <cell r="B887">
            <v>20651</v>
          </cell>
          <cell r="C887">
            <v>20651</v>
          </cell>
          <cell r="D887" t="str">
            <v>PG</v>
          </cell>
          <cell r="E887" t="str">
            <v>B</v>
          </cell>
          <cell r="F887" t="str">
            <v xml:space="preserve">CLINIC DRIVER                      </v>
          </cell>
          <cell r="G887" t="str">
            <v>5064A</v>
          </cell>
          <cell r="H887">
            <v>2836</v>
          </cell>
          <cell r="I887">
            <v>1</v>
          </cell>
          <cell r="J887">
            <v>12</v>
          </cell>
          <cell r="K887">
            <v>1</v>
          </cell>
          <cell r="L887">
            <v>34032</v>
          </cell>
        </row>
        <row r="888">
          <cell r="A888">
            <v>100092</v>
          </cell>
          <cell r="B888">
            <v>20651</v>
          </cell>
          <cell r="C888">
            <v>20651</v>
          </cell>
          <cell r="D888" t="str">
            <v>PG</v>
          </cell>
          <cell r="E888" t="str">
            <v>B</v>
          </cell>
          <cell r="F888" t="str">
            <v xml:space="preserve">CLINIC DRIVER                      </v>
          </cell>
          <cell r="G888" t="str">
            <v>5064A</v>
          </cell>
          <cell r="H888">
            <v>2836</v>
          </cell>
          <cell r="I888">
            <v>1</v>
          </cell>
          <cell r="J888">
            <v>12</v>
          </cell>
          <cell r="K888">
            <v>1</v>
          </cell>
          <cell r="L888">
            <v>34032</v>
          </cell>
        </row>
        <row r="889">
          <cell r="A889">
            <v>100209</v>
          </cell>
          <cell r="B889">
            <v>20651</v>
          </cell>
          <cell r="C889">
            <v>20651</v>
          </cell>
          <cell r="D889" t="str">
            <v>PG</v>
          </cell>
          <cell r="E889" t="str">
            <v>B</v>
          </cell>
          <cell r="F889" t="str">
            <v>CONSERVATOR/ADMINISTRATOR ASSISTANT</v>
          </cell>
          <cell r="G889" t="str">
            <v>1479A</v>
          </cell>
          <cell r="H889">
            <v>3095.18</v>
          </cell>
          <cell r="I889">
            <v>1</v>
          </cell>
          <cell r="J889">
            <v>12</v>
          </cell>
          <cell r="K889">
            <v>1</v>
          </cell>
          <cell r="L889">
            <v>37142.239999999998</v>
          </cell>
        </row>
        <row r="890">
          <cell r="A890">
            <v>100210</v>
          </cell>
          <cell r="B890">
            <v>20651</v>
          </cell>
          <cell r="C890">
            <v>20651</v>
          </cell>
          <cell r="D890" t="str">
            <v>PG</v>
          </cell>
          <cell r="E890" t="str">
            <v>B</v>
          </cell>
          <cell r="F890" t="str">
            <v>CONSERVATOR/ADMINISTRATOR ASSISTANT</v>
          </cell>
          <cell r="G890" t="str">
            <v>1479A</v>
          </cell>
          <cell r="H890">
            <v>3095.18</v>
          </cell>
          <cell r="I890">
            <v>1</v>
          </cell>
          <cell r="J890">
            <v>12</v>
          </cell>
          <cell r="K890">
            <v>1</v>
          </cell>
          <cell r="L890">
            <v>37142.239999999998</v>
          </cell>
        </row>
        <row r="891">
          <cell r="A891">
            <v>100211</v>
          </cell>
          <cell r="B891">
            <v>20651</v>
          </cell>
          <cell r="C891">
            <v>20651</v>
          </cell>
          <cell r="D891" t="str">
            <v>PG</v>
          </cell>
          <cell r="E891" t="str">
            <v>B</v>
          </cell>
          <cell r="F891" t="str">
            <v>CONSERVATOR/ADMINISTRATOR ASSISTANT</v>
          </cell>
          <cell r="G891" t="str">
            <v>1479A</v>
          </cell>
          <cell r="H891">
            <v>3095.18</v>
          </cell>
          <cell r="I891">
            <v>1</v>
          </cell>
          <cell r="J891">
            <v>12</v>
          </cell>
          <cell r="K891">
            <v>1</v>
          </cell>
          <cell r="L891">
            <v>37142.239999999998</v>
          </cell>
        </row>
        <row r="892">
          <cell r="A892">
            <v>100212</v>
          </cell>
          <cell r="B892">
            <v>20651</v>
          </cell>
          <cell r="C892">
            <v>20651</v>
          </cell>
          <cell r="D892" t="str">
            <v>PG</v>
          </cell>
          <cell r="E892" t="str">
            <v>B</v>
          </cell>
          <cell r="F892" t="str">
            <v>CONSERVATOR/ADMINISTRATOR ASSISTANT</v>
          </cell>
          <cell r="G892" t="str">
            <v>1479A</v>
          </cell>
          <cell r="H892">
            <v>3095.18</v>
          </cell>
          <cell r="I892">
            <v>1</v>
          </cell>
          <cell r="J892">
            <v>12</v>
          </cell>
          <cell r="K892">
            <v>1</v>
          </cell>
          <cell r="L892">
            <v>37142.239999999998</v>
          </cell>
        </row>
        <row r="893">
          <cell r="A893">
            <v>102021</v>
          </cell>
          <cell r="B893">
            <v>20651</v>
          </cell>
          <cell r="C893">
            <v>20651</v>
          </cell>
          <cell r="D893" t="str">
            <v>PG</v>
          </cell>
          <cell r="E893" t="str">
            <v>B</v>
          </cell>
          <cell r="F893" t="str">
            <v>CONSERVATOR/ADMINISTRATOR ASSISTANT</v>
          </cell>
          <cell r="G893" t="str">
            <v>1479A</v>
          </cell>
          <cell r="H893">
            <v>3095.18</v>
          </cell>
          <cell r="I893">
            <v>1</v>
          </cell>
          <cell r="J893">
            <v>12</v>
          </cell>
          <cell r="K893">
            <v>1</v>
          </cell>
          <cell r="L893">
            <v>37142.239999999998</v>
          </cell>
        </row>
        <row r="894">
          <cell r="A894">
            <v>106219</v>
          </cell>
          <cell r="B894">
            <v>20651</v>
          </cell>
          <cell r="C894">
            <v>20651</v>
          </cell>
          <cell r="D894" t="str">
            <v>PG</v>
          </cell>
          <cell r="E894" t="str">
            <v>B</v>
          </cell>
          <cell r="F894" t="str">
            <v>CONSERVATOR/ADMINISTRATOR ASSISTANT</v>
          </cell>
          <cell r="G894" t="str">
            <v>1479A</v>
          </cell>
          <cell r="H894">
            <v>3095.18</v>
          </cell>
          <cell r="I894">
            <v>1</v>
          </cell>
          <cell r="J894">
            <v>12</v>
          </cell>
          <cell r="K894">
            <v>1</v>
          </cell>
          <cell r="L894">
            <v>37142.239999999998</v>
          </cell>
        </row>
        <row r="895">
          <cell r="A895">
            <v>106221</v>
          </cell>
          <cell r="B895">
            <v>20651</v>
          </cell>
          <cell r="C895">
            <v>20651</v>
          </cell>
          <cell r="D895" t="str">
            <v>PG</v>
          </cell>
          <cell r="E895" t="str">
            <v>B</v>
          </cell>
          <cell r="F895" t="str">
            <v>CONSERVATOR/ADMINISTRATOR ASSISTANT</v>
          </cell>
          <cell r="G895" t="str">
            <v>1479A</v>
          </cell>
          <cell r="H895">
            <v>3095.18</v>
          </cell>
          <cell r="I895">
            <v>1</v>
          </cell>
          <cell r="J895">
            <v>12</v>
          </cell>
          <cell r="K895">
            <v>1</v>
          </cell>
          <cell r="L895">
            <v>37142.239999999998</v>
          </cell>
        </row>
        <row r="896">
          <cell r="A896">
            <v>100245</v>
          </cell>
          <cell r="B896">
            <v>20651</v>
          </cell>
          <cell r="C896">
            <v>20651</v>
          </cell>
          <cell r="D896" t="str">
            <v>PG</v>
          </cell>
          <cell r="E896" t="str">
            <v>B</v>
          </cell>
          <cell r="F896" t="str">
            <v xml:space="preserve">DEPUTY PUBLIC CONSERVATOR/ADMR II  </v>
          </cell>
          <cell r="G896" t="str">
            <v>1481A</v>
          </cell>
          <cell r="H896">
            <v>4229.3599999999997</v>
          </cell>
          <cell r="I896">
            <v>1</v>
          </cell>
          <cell r="J896">
            <v>12</v>
          </cell>
          <cell r="K896">
            <v>1</v>
          </cell>
          <cell r="L896">
            <v>50752.56</v>
          </cell>
        </row>
        <row r="897">
          <cell r="A897">
            <v>100246</v>
          </cell>
          <cell r="B897">
            <v>20651</v>
          </cell>
          <cell r="C897">
            <v>20651</v>
          </cell>
          <cell r="D897" t="str">
            <v>PG</v>
          </cell>
          <cell r="E897" t="str">
            <v>B</v>
          </cell>
          <cell r="F897" t="str">
            <v xml:space="preserve">DEPUTY PUBLIC CONSERVATOR/ADMR II  </v>
          </cell>
          <cell r="G897" t="str">
            <v>1481A</v>
          </cell>
          <cell r="H897">
            <v>4229.3599999999997</v>
          </cell>
          <cell r="I897">
            <v>1</v>
          </cell>
          <cell r="J897">
            <v>12</v>
          </cell>
          <cell r="K897">
            <v>1</v>
          </cell>
          <cell r="L897">
            <v>50752.56</v>
          </cell>
        </row>
        <row r="898">
          <cell r="A898">
            <v>100247</v>
          </cell>
          <cell r="B898">
            <v>20651</v>
          </cell>
          <cell r="C898">
            <v>20651</v>
          </cell>
          <cell r="D898" t="str">
            <v>PG</v>
          </cell>
          <cell r="E898" t="str">
            <v>B</v>
          </cell>
          <cell r="F898" t="str">
            <v xml:space="preserve">DEPUTY PUBLIC CONSERVATOR/ADMR II  </v>
          </cell>
          <cell r="G898" t="str">
            <v>1481A</v>
          </cell>
          <cell r="H898">
            <v>4229.3599999999997</v>
          </cell>
          <cell r="I898">
            <v>1</v>
          </cell>
          <cell r="J898">
            <v>12</v>
          </cell>
          <cell r="K898">
            <v>1</v>
          </cell>
          <cell r="L898">
            <v>50752.56</v>
          </cell>
        </row>
        <row r="899">
          <cell r="A899">
            <v>100250</v>
          </cell>
          <cell r="B899">
            <v>20651</v>
          </cell>
          <cell r="C899">
            <v>20651</v>
          </cell>
          <cell r="D899" t="str">
            <v>PG</v>
          </cell>
          <cell r="E899" t="str">
            <v>B</v>
          </cell>
          <cell r="F899" t="str">
            <v xml:space="preserve">DEPUTY PUBLIC CONSERVATOR/ADMR II  </v>
          </cell>
          <cell r="G899" t="str">
            <v>1481A</v>
          </cell>
          <cell r="H899">
            <v>4229.3599999999997</v>
          </cell>
          <cell r="I899">
            <v>1</v>
          </cell>
          <cell r="J899">
            <v>12</v>
          </cell>
          <cell r="K899">
            <v>1</v>
          </cell>
          <cell r="L899">
            <v>50752.56</v>
          </cell>
        </row>
        <row r="900">
          <cell r="A900">
            <v>100251</v>
          </cell>
          <cell r="B900">
            <v>20651</v>
          </cell>
          <cell r="C900">
            <v>20651</v>
          </cell>
          <cell r="D900" t="str">
            <v>PG</v>
          </cell>
          <cell r="E900" t="str">
            <v>B</v>
          </cell>
          <cell r="F900" t="str">
            <v xml:space="preserve">DEPUTY PUBLIC CONSERVATOR/ADMR II  </v>
          </cell>
          <cell r="G900" t="str">
            <v>1481A</v>
          </cell>
          <cell r="H900">
            <v>4229.3599999999997</v>
          </cell>
          <cell r="I900">
            <v>1</v>
          </cell>
          <cell r="J900">
            <v>12</v>
          </cell>
          <cell r="K900">
            <v>1</v>
          </cell>
          <cell r="L900">
            <v>50752.56</v>
          </cell>
        </row>
        <row r="901">
          <cell r="A901">
            <v>100253</v>
          </cell>
          <cell r="B901">
            <v>20651</v>
          </cell>
          <cell r="C901">
            <v>20651</v>
          </cell>
          <cell r="D901" t="str">
            <v>PG</v>
          </cell>
          <cell r="E901" t="str">
            <v>B</v>
          </cell>
          <cell r="F901" t="str">
            <v xml:space="preserve">DEPUTY PUBLIC CONSERVATOR/ADMR II  </v>
          </cell>
          <cell r="G901" t="str">
            <v>1481A</v>
          </cell>
          <cell r="H901">
            <v>4229.3599999999997</v>
          </cell>
          <cell r="I901">
            <v>1</v>
          </cell>
          <cell r="J901">
            <v>12</v>
          </cell>
          <cell r="K901">
            <v>1</v>
          </cell>
          <cell r="L901">
            <v>50752.56</v>
          </cell>
        </row>
        <row r="902">
          <cell r="A902">
            <v>100254</v>
          </cell>
          <cell r="B902">
            <v>20651</v>
          </cell>
          <cell r="C902">
            <v>20651</v>
          </cell>
          <cell r="D902" t="str">
            <v>PG</v>
          </cell>
          <cell r="E902" t="str">
            <v>B</v>
          </cell>
          <cell r="F902" t="str">
            <v xml:space="preserve">DEPUTY PUBLIC CONSERVATOR/ADMR II  </v>
          </cell>
          <cell r="G902" t="str">
            <v>1481A</v>
          </cell>
          <cell r="H902">
            <v>4229.3599999999997</v>
          </cell>
          <cell r="I902">
            <v>1</v>
          </cell>
          <cell r="J902">
            <v>12</v>
          </cell>
          <cell r="K902">
            <v>1</v>
          </cell>
          <cell r="L902">
            <v>50752.56</v>
          </cell>
        </row>
        <row r="903">
          <cell r="A903">
            <v>100256</v>
          </cell>
          <cell r="B903">
            <v>20651</v>
          </cell>
          <cell r="C903">
            <v>20651</v>
          </cell>
          <cell r="D903" t="str">
            <v>PG</v>
          </cell>
          <cell r="E903" t="str">
            <v>B</v>
          </cell>
          <cell r="F903" t="str">
            <v xml:space="preserve">DEPUTY PUBLIC CONSERVATOR/ADMR II  </v>
          </cell>
          <cell r="G903" t="str">
            <v>1481A</v>
          </cell>
          <cell r="H903">
            <v>4229.3599999999997</v>
          </cell>
          <cell r="I903">
            <v>1</v>
          </cell>
          <cell r="J903">
            <v>12</v>
          </cell>
          <cell r="K903">
            <v>1</v>
          </cell>
          <cell r="L903">
            <v>50752.56</v>
          </cell>
        </row>
        <row r="904">
          <cell r="A904">
            <v>100257</v>
          </cell>
          <cell r="B904">
            <v>20651</v>
          </cell>
          <cell r="C904">
            <v>20651</v>
          </cell>
          <cell r="D904" t="str">
            <v>PG</v>
          </cell>
          <cell r="E904" t="str">
            <v>B</v>
          </cell>
          <cell r="F904" t="str">
            <v xml:space="preserve">DEPUTY PUBLIC CONSERVATOR/ADMR II  </v>
          </cell>
          <cell r="G904" t="str">
            <v>1481A</v>
          </cell>
          <cell r="H904">
            <v>4229.3599999999997</v>
          </cell>
          <cell r="I904">
            <v>1</v>
          </cell>
          <cell r="J904">
            <v>12</v>
          </cell>
          <cell r="K904">
            <v>1</v>
          </cell>
          <cell r="L904">
            <v>50752.56</v>
          </cell>
        </row>
        <row r="905">
          <cell r="A905">
            <v>102016</v>
          </cell>
          <cell r="B905">
            <v>20551</v>
          </cell>
          <cell r="C905">
            <v>20651</v>
          </cell>
          <cell r="D905" t="str">
            <v>PG</v>
          </cell>
          <cell r="E905" t="str">
            <v>B</v>
          </cell>
          <cell r="F905" t="str">
            <v xml:space="preserve">DEPUTY PUBLIC CONSERVATOR/ADMR II  </v>
          </cell>
          <cell r="G905" t="str">
            <v>1481A</v>
          </cell>
          <cell r="H905">
            <v>4229.3599999999997</v>
          </cell>
          <cell r="I905">
            <v>1</v>
          </cell>
          <cell r="J905">
            <v>12</v>
          </cell>
          <cell r="K905">
            <v>1</v>
          </cell>
          <cell r="L905">
            <v>50752.56</v>
          </cell>
        </row>
        <row r="906">
          <cell r="A906">
            <v>102033</v>
          </cell>
          <cell r="B906">
            <v>20651</v>
          </cell>
          <cell r="C906">
            <v>20651</v>
          </cell>
          <cell r="D906" t="str">
            <v>PG</v>
          </cell>
          <cell r="E906" t="str">
            <v>B</v>
          </cell>
          <cell r="F906" t="str">
            <v xml:space="preserve">DEPUTY PUBLIC CONSERVATOR/ADMR II  </v>
          </cell>
          <cell r="G906" t="str">
            <v>1481A</v>
          </cell>
          <cell r="H906">
            <v>4229.3599999999997</v>
          </cell>
          <cell r="I906">
            <v>1</v>
          </cell>
          <cell r="J906">
            <v>12</v>
          </cell>
          <cell r="K906">
            <v>1</v>
          </cell>
          <cell r="L906">
            <v>50752.56</v>
          </cell>
        </row>
        <row r="907">
          <cell r="A907">
            <v>102034</v>
          </cell>
          <cell r="B907">
            <v>20651</v>
          </cell>
          <cell r="C907">
            <v>20651</v>
          </cell>
          <cell r="D907" t="str">
            <v>PG</v>
          </cell>
          <cell r="E907" t="str">
            <v>B</v>
          </cell>
          <cell r="F907" t="str">
            <v xml:space="preserve">DEPUTY PUBLIC CONSERVATOR/ADMR II  </v>
          </cell>
          <cell r="G907" t="str">
            <v>1481A</v>
          </cell>
          <cell r="H907">
            <v>4229.3599999999997</v>
          </cell>
          <cell r="I907">
            <v>1</v>
          </cell>
          <cell r="J907">
            <v>12</v>
          </cell>
          <cell r="K907">
            <v>1</v>
          </cell>
          <cell r="L907">
            <v>50752.56</v>
          </cell>
        </row>
        <row r="908">
          <cell r="A908">
            <v>102035</v>
          </cell>
          <cell r="B908">
            <v>20651</v>
          </cell>
          <cell r="C908">
            <v>20651</v>
          </cell>
          <cell r="D908" t="str">
            <v>PG</v>
          </cell>
          <cell r="E908" t="str">
            <v>B</v>
          </cell>
          <cell r="F908" t="str">
            <v xml:space="preserve">DEPUTY PUBLIC CONSERVATOR/ADMR II  </v>
          </cell>
          <cell r="G908" t="str">
            <v>1481A</v>
          </cell>
          <cell r="H908">
            <v>4229.3599999999997</v>
          </cell>
          <cell r="I908">
            <v>1</v>
          </cell>
          <cell r="J908">
            <v>12</v>
          </cell>
          <cell r="K908">
            <v>1</v>
          </cell>
          <cell r="L908">
            <v>50752.56</v>
          </cell>
        </row>
        <row r="909">
          <cell r="A909">
            <v>102036</v>
          </cell>
          <cell r="B909">
            <v>20651</v>
          </cell>
          <cell r="C909">
            <v>20651</v>
          </cell>
          <cell r="D909" t="str">
            <v>PG</v>
          </cell>
          <cell r="E909" t="str">
            <v>B</v>
          </cell>
          <cell r="F909" t="str">
            <v xml:space="preserve">DEPUTY PUBLIC CONSERVATOR/ADMR II  </v>
          </cell>
          <cell r="G909" t="str">
            <v>1481A</v>
          </cell>
          <cell r="H909">
            <v>4229.3599999999997</v>
          </cell>
          <cell r="I909">
            <v>1</v>
          </cell>
          <cell r="J909">
            <v>12</v>
          </cell>
          <cell r="K909">
            <v>1</v>
          </cell>
          <cell r="L909">
            <v>50752.56</v>
          </cell>
        </row>
        <row r="910">
          <cell r="A910">
            <v>103691</v>
          </cell>
          <cell r="B910">
            <v>20651</v>
          </cell>
          <cell r="C910">
            <v>20651</v>
          </cell>
          <cell r="D910" t="str">
            <v>PG</v>
          </cell>
          <cell r="E910" t="str">
            <v>B</v>
          </cell>
          <cell r="F910" t="str">
            <v xml:space="preserve">DEPUTY PUBLIC CONSERVATOR/ADMR II  </v>
          </cell>
          <cell r="G910" t="str">
            <v>1481A</v>
          </cell>
          <cell r="H910">
            <v>4229.3599999999997</v>
          </cell>
          <cell r="I910">
            <v>1</v>
          </cell>
          <cell r="J910">
            <v>12</v>
          </cell>
          <cell r="K910">
            <v>1</v>
          </cell>
          <cell r="L910">
            <v>50752.56</v>
          </cell>
        </row>
        <row r="911">
          <cell r="A911">
            <v>103692</v>
          </cell>
          <cell r="B911">
            <v>20651</v>
          </cell>
          <cell r="C911">
            <v>20651</v>
          </cell>
          <cell r="D911" t="str">
            <v>PG</v>
          </cell>
          <cell r="E911" t="str">
            <v>B</v>
          </cell>
          <cell r="F911" t="str">
            <v xml:space="preserve">DEPUTY PUBLIC CONSERVATOR/ADMR II  </v>
          </cell>
          <cell r="G911" t="str">
            <v>1481A</v>
          </cell>
          <cell r="H911">
            <v>4229.3599999999997</v>
          </cell>
          <cell r="I911">
            <v>1</v>
          </cell>
          <cell r="J911">
            <v>12</v>
          </cell>
          <cell r="K911">
            <v>1</v>
          </cell>
          <cell r="L911">
            <v>50752.56</v>
          </cell>
        </row>
        <row r="912">
          <cell r="A912">
            <v>103693</v>
          </cell>
          <cell r="B912">
            <v>20651</v>
          </cell>
          <cell r="C912">
            <v>20651</v>
          </cell>
          <cell r="D912" t="str">
            <v>PG</v>
          </cell>
          <cell r="E912" t="str">
            <v>B</v>
          </cell>
          <cell r="F912" t="str">
            <v xml:space="preserve">DEPUTY PUBLIC CONSERVATOR/ADMR II  </v>
          </cell>
          <cell r="G912" t="str">
            <v>1481A</v>
          </cell>
          <cell r="H912">
            <v>4229.3599999999997</v>
          </cell>
          <cell r="I912">
            <v>1</v>
          </cell>
          <cell r="J912">
            <v>12</v>
          </cell>
          <cell r="K912">
            <v>1</v>
          </cell>
          <cell r="L912">
            <v>50752.56</v>
          </cell>
        </row>
        <row r="913">
          <cell r="A913">
            <v>104512</v>
          </cell>
          <cell r="B913">
            <v>20651</v>
          </cell>
          <cell r="C913">
            <v>20651</v>
          </cell>
          <cell r="D913" t="str">
            <v>PG</v>
          </cell>
          <cell r="E913" t="str">
            <v>B</v>
          </cell>
          <cell r="F913" t="str">
            <v xml:space="preserve">DEPUTY PUBLIC CONSERVATOR/ADMR II  </v>
          </cell>
          <cell r="G913" t="str">
            <v>1481A</v>
          </cell>
          <cell r="H913">
            <v>4229.3599999999997</v>
          </cell>
          <cell r="I913">
            <v>1</v>
          </cell>
          <cell r="J913">
            <v>12</v>
          </cell>
          <cell r="K913">
            <v>1</v>
          </cell>
          <cell r="L913">
            <v>50752.56</v>
          </cell>
        </row>
        <row r="914">
          <cell r="A914">
            <v>104601</v>
          </cell>
          <cell r="B914">
            <v>20651</v>
          </cell>
          <cell r="C914">
            <v>20651</v>
          </cell>
          <cell r="D914" t="str">
            <v>PG</v>
          </cell>
          <cell r="E914" t="str">
            <v>B</v>
          </cell>
          <cell r="F914" t="str">
            <v xml:space="preserve">DEPUTY PUBLIC CONSERVATOR/ADMR II  </v>
          </cell>
          <cell r="G914" t="str">
            <v>1481A</v>
          </cell>
          <cell r="H914">
            <v>4229.3599999999997</v>
          </cell>
          <cell r="I914">
            <v>1</v>
          </cell>
          <cell r="J914">
            <v>12</v>
          </cell>
          <cell r="K914">
            <v>1</v>
          </cell>
          <cell r="L914">
            <v>50752.56</v>
          </cell>
        </row>
        <row r="915">
          <cell r="A915">
            <v>104602</v>
          </cell>
          <cell r="B915">
            <v>20651</v>
          </cell>
          <cell r="C915">
            <v>20651</v>
          </cell>
          <cell r="D915" t="str">
            <v>PG</v>
          </cell>
          <cell r="E915" t="str">
            <v>B</v>
          </cell>
          <cell r="F915" t="str">
            <v xml:space="preserve">DEPUTY PUBLIC CONSERVATOR/ADMR II  </v>
          </cell>
          <cell r="G915" t="str">
            <v>1481A</v>
          </cell>
          <cell r="H915">
            <v>4229.3599999999997</v>
          </cell>
          <cell r="I915">
            <v>1</v>
          </cell>
          <cell r="J915">
            <v>12</v>
          </cell>
          <cell r="K915">
            <v>1</v>
          </cell>
          <cell r="L915">
            <v>50752.56</v>
          </cell>
        </row>
        <row r="916">
          <cell r="A916">
            <v>104603</v>
          </cell>
          <cell r="B916">
            <v>20651</v>
          </cell>
          <cell r="C916">
            <v>20651</v>
          </cell>
          <cell r="D916" t="str">
            <v>PG</v>
          </cell>
          <cell r="E916" t="str">
            <v>B</v>
          </cell>
          <cell r="F916" t="str">
            <v xml:space="preserve">DEPUTY PUBLIC CONSERVATOR/ADMR II  </v>
          </cell>
          <cell r="G916" t="str">
            <v>1481A</v>
          </cell>
          <cell r="H916">
            <v>4229.3599999999997</v>
          </cell>
          <cell r="I916">
            <v>1</v>
          </cell>
          <cell r="J916">
            <v>12</v>
          </cell>
          <cell r="K916">
            <v>1</v>
          </cell>
          <cell r="L916">
            <v>50752.56</v>
          </cell>
        </row>
        <row r="917">
          <cell r="A917">
            <v>104604</v>
          </cell>
          <cell r="B917">
            <v>20651</v>
          </cell>
          <cell r="C917">
            <v>20651</v>
          </cell>
          <cell r="D917" t="str">
            <v>PG</v>
          </cell>
          <cell r="E917" t="str">
            <v>B</v>
          </cell>
          <cell r="F917" t="str">
            <v xml:space="preserve">DEPUTY PUBLIC CONSERVATOR/ADMR II  </v>
          </cell>
          <cell r="G917" t="str">
            <v>1481A</v>
          </cell>
          <cell r="H917">
            <v>4229.3599999999997</v>
          </cell>
          <cell r="I917">
            <v>1</v>
          </cell>
          <cell r="J917">
            <v>12</v>
          </cell>
          <cell r="K917">
            <v>1</v>
          </cell>
          <cell r="L917">
            <v>50752.56</v>
          </cell>
        </row>
        <row r="918">
          <cell r="A918">
            <v>104605</v>
          </cell>
          <cell r="B918">
            <v>20651</v>
          </cell>
          <cell r="C918">
            <v>20651</v>
          </cell>
          <cell r="D918" t="str">
            <v>PG</v>
          </cell>
          <cell r="E918" t="str">
            <v>B</v>
          </cell>
          <cell r="F918" t="str">
            <v xml:space="preserve">DEPUTY PUBLIC CONSERVATOR/ADMR II  </v>
          </cell>
          <cell r="G918" t="str">
            <v>1481A</v>
          </cell>
          <cell r="H918">
            <v>4229.3599999999997</v>
          </cell>
          <cell r="I918">
            <v>1</v>
          </cell>
          <cell r="J918">
            <v>12</v>
          </cell>
          <cell r="K918">
            <v>1</v>
          </cell>
          <cell r="L918">
            <v>50752.56</v>
          </cell>
        </row>
        <row r="919">
          <cell r="A919">
            <v>104606</v>
          </cell>
          <cell r="B919">
            <v>20651</v>
          </cell>
          <cell r="C919">
            <v>20651</v>
          </cell>
          <cell r="D919" t="str">
            <v>PG</v>
          </cell>
          <cell r="E919" t="str">
            <v>B</v>
          </cell>
          <cell r="F919" t="str">
            <v xml:space="preserve">DEPUTY PUBLIC CONSERVATOR/ADMR II  </v>
          </cell>
          <cell r="G919" t="str">
            <v>1481A</v>
          </cell>
          <cell r="H919">
            <v>4229.3599999999997</v>
          </cell>
          <cell r="I919">
            <v>1</v>
          </cell>
          <cell r="J919">
            <v>12</v>
          </cell>
          <cell r="K919">
            <v>1</v>
          </cell>
          <cell r="L919">
            <v>50752.56</v>
          </cell>
        </row>
        <row r="920">
          <cell r="A920">
            <v>104607</v>
          </cell>
          <cell r="B920">
            <v>20651</v>
          </cell>
          <cell r="C920">
            <v>20651</v>
          </cell>
          <cell r="D920" t="str">
            <v>PG</v>
          </cell>
          <cell r="E920" t="str">
            <v>B</v>
          </cell>
          <cell r="F920" t="str">
            <v xml:space="preserve">DEPUTY PUBLIC CONSERVATOR/ADMR II  </v>
          </cell>
          <cell r="G920" t="str">
            <v>1481A</v>
          </cell>
          <cell r="H920">
            <v>4229.3599999999997</v>
          </cell>
          <cell r="I920">
            <v>1</v>
          </cell>
          <cell r="J920">
            <v>12</v>
          </cell>
          <cell r="K920">
            <v>1</v>
          </cell>
          <cell r="L920">
            <v>50752.56</v>
          </cell>
        </row>
        <row r="921">
          <cell r="A921">
            <v>104617</v>
          </cell>
          <cell r="B921">
            <v>20652</v>
          </cell>
          <cell r="C921">
            <v>20651</v>
          </cell>
          <cell r="D921" t="str">
            <v>PG</v>
          </cell>
          <cell r="E921" t="str">
            <v>B</v>
          </cell>
          <cell r="F921" t="str">
            <v xml:space="preserve">DEPUTY PUBLIC CONSERVATOR/ADMR II  </v>
          </cell>
          <cell r="G921" t="str">
            <v>1481A</v>
          </cell>
          <cell r="H921">
            <v>4229.3599999999997</v>
          </cell>
          <cell r="I921">
            <v>1</v>
          </cell>
          <cell r="J921">
            <v>12</v>
          </cell>
          <cell r="K921">
            <v>1</v>
          </cell>
          <cell r="L921">
            <v>50752.56</v>
          </cell>
        </row>
        <row r="922">
          <cell r="A922">
            <v>109351</v>
          </cell>
          <cell r="B922">
            <v>20651</v>
          </cell>
          <cell r="C922">
            <v>20651</v>
          </cell>
          <cell r="D922" t="str">
            <v>PG</v>
          </cell>
          <cell r="E922" t="str">
            <v>B</v>
          </cell>
          <cell r="F922" t="str">
            <v xml:space="preserve">DEPUTY PUBLIC CONSERVATOR/ADMR II  </v>
          </cell>
          <cell r="G922" t="str">
            <v>1481A</v>
          </cell>
          <cell r="H922">
            <v>4229.3599999999997</v>
          </cell>
          <cell r="I922">
            <v>1</v>
          </cell>
          <cell r="J922">
            <v>12</v>
          </cell>
          <cell r="K922">
            <v>1</v>
          </cell>
          <cell r="L922">
            <v>50752.56</v>
          </cell>
        </row>
        <row r="923">
          <cell r="A923">
            <v>102022</v>
          </cell>
          <cell r="B923">
            <v>20651</v>
          </cell>
          <cell r="C923">
            <v>20651</v>
          </cell>
          <cell r="D923" t="str">
            <v>PG</v>
          </cell>
          <cell r="E923" t="str">
            <v>B</v>
          </cell>
          <cell r="F923" t="str">
            <v>DIVISION CHIEF,PUB GUARDIAN</v>
          </cell>
          <cell r="G923" t="str">
            <v>1489A</v>
          </cell>
          <cell r="H923">
            <v>7873.09</v>
          </cell>
          <cell r="I923">
            <v>1</v>
          </cell>
          <cell r="J923">
            <v>12</v>
          </cell>
          <cell r="K923">
            <v>1</v>
          </cell>
          <cell r="L923">
            <v>94476.84</v>
          </cell>
        </row>
        <row r="924">
          <cell r="A924">
            <v>102023</v>
          </cell>
          <cell r="B924">
            <v>20651</v>
          </cell>
          <cell r="C924">
            <v>20651</v>
          </cell>
          <cell r="D924" t="str">
            <v>PG</v>
          </cell>
          <cell r="E924" t="str">
            <v>B</v>
          </cell>
          <cell r="F924" t="str">
            <v>DIVISION CHIEF,PUB GUARDIAN</v>
          </cell>
          <cell r="G924" t="str">
            <v>1489A</v>
          </cell>
          <cell r="H924">
            <v>7873.09</v>
          </cell>
          <cell r="I924">
            <v>1</v>
          </cell>
          <cell r="J924">
            <v>12</v>
          </cell>
          <cell r="K924">
            <v>1</v>
          </cell>
          <cell r="L924">
            <v>94476.84</v>
          </cell>
        </row>
        <row r="925">
          <cell r="A925">
            <v>104511</v>
          </cell>
          <cell r="B925">
            <v>20651</v>
          </cell>
          <cell r="C925">
            <v>20651</v>
          </cell>
          <cell r="D925" t="str">
            <v>PG</v>
          </cell>
          <cell r="E925" t="str">
            <v>B</v>
          </cell>
          <cell r="F925" t="str">
            <v xml:space="preserve">INTERMEDIATE CLERK                 </v>
          </cell>
          <cell r="G925" t="str">
            <v>1138A</v>
          </cell>
          <cell r="H925">
            <v>2611.09</v>
          </cell>
          <cell r="I925">
            <v>1</v>
          </cell>
          <cell r="J925">
            <v>12</v>
          </cell>
          <cell r="K925">
            <v>1</v>
          </cell>
          <cell r="L925">
            <v>31333</v>
          </cell>
        </row>
        <row r="926">
          <cell r="A926">
            <v>100376</v>
          </cell>
          <cell r="B926">
            <v>20651</v>
          </cell>
          <cell r="C926">
            <v>20651</v>
          </cell>
          <cell r="D926" t="str">
            <v>PG</v>
          </cell>
          <cell r="E926" t="str">
            <v>B</v>
          </cell>
          <cell r="F926" t="str">
            <v>INTERMEDIATE TYPIST-CLERK</v>
          </cell>
          <cell r="G926" t="str">
            <v>2214A</v>
          </cell>
          <cell r="H926">
            <v>2675.27</v>
          </cell>
          <cell r="I926">
            <v>1</v>
          </cell>
          <cell r="J926">
            <v>12</v>
          </cell>
          <cell r="K926">
            <v>1</v>
          </cell>
          <cell r="L926">
            <v>32103.16</v>
          </cell>
        </row>
        <row r="927">
          <cell r="A927">
            <v>104597</v>
          </cell>
          <cell r="B927">
            <v>20651</v>
          </cell>
          <cell r="C927">
            <v>20651</v>
          </cell>
          <cell r="D927" t="str">
            <v>PG</v>
          </cell>
          <cell r="E927" t="str">
            <v>B</v>
          </cell>
          <cell r="F927" t="str">
            <v>INTERMEDIATE TYPIST-CLERK</v>
          </cell>
          <cell r="G927" t="str">
            <v>2214A</v>
          </cell>
          <cell r="H927">
            <v>2675.27</v>
          </cell>
          <cell r="I927">
            <v>1</v>
          </cell>
          <cell r="J927">
            <v>12</v>
          </cell>
          <cell r="K927">
            <v>1</v>
          </cell>
          <cell r="L927">
            <v>32103.16</v>
          </cell>
        </row>
        <row r="928">
          <cell r="A928">
            <v>109306</v>
          </cell>
          <cell r="B928">
            <v>20651</v>
          </cell>
          <cell r="C928">
            <v>20651</v>
          </cell>
          <cell r="D928" t="str">
            <v>PG</v>
          </cell>
          <cell r="E928" t="str">
            <v>B</v>
          </cell>
          <cell r="F928" t="str">
            <v>INTERMEDIATE TYPIST-CLERK</v>
          </cell>
          <cell r="G928" t="str">
            <v>2214A</v>
          </cell>
          <cell r="H928">
            <v>2675.27</v>
          </cell>
          <cell r="I928">
            <v>1</v>
          </cell>
          <cell r="J928">
            <v>12</v>
          </cell>
          <cell r="K928">
            <v>1</v>
          </cell>
          <cell r="L928">
            <v>32103.16</v>
          </cell>
        </row>
        <row r="929">
          <cell r="A929">
            <v>109307</v>
          </cell>
          <cell r="B929">
            <v>20651</v>
          </cell>
          <cell r="C929">
            <v>20651</v>
          </cell>
          <cell r="D929" t="str">
            <v>PG</v>
          </cell>
          <cell r="E929" t="str">
            <v>B</v>
          </cell>
          <cell r="F929" t="str">
            <v>INTERMEDIATE TYPIST-CLERK</v>
          </cell>
          <cell r="G929" t="str">
            <v>2214A</v>
          </cell>
          <cell r="H929">
            <v>2675.27</v>
          </cell>
          <cell r="I929">
            <v>1</v>
          </cell>
          <cell r="J929">
            <v>12</v>
          </cell>
          <cell r="K929">
            <v>1</v>
          </cell>
          <cell r="L929">
            <v>32103.16</v>
          </cell>
        </row>
        <row r="930">
          <cell r="A930">
            <v>109644</v>
          </cell>
          <cell r="B930">
            <v>20651</v>
          </cell>
          <cell r="C930">
            <v>20651</v>
          </cell>
          <cell r="D930" t="str">
            <v>PG</v>
          </cell>
          <cell r="E930" t="str">
            <v>B</v>
          </cell>
          <cell r="F930" t="str">
            <v>INTERMEDIATE TYPIST-CLERK</v>
          </cell>
          <cell r="G930" t="str">
            <v>2214A</v>
          </cell>
          <cell r="H930">
            <v>2675.27</v>
          </cell>
          <cell r="I930">
            <v>1</v>
          </cell>
          <cell r="J930">
            <v>12</v>
          </cell>
          <cell r="K930">
            <v>1</v>
          </cell>
          <cell r="L930">
            <v>32103.24</v>
          </cell>
        </row>
        <row r="931">
          <cell r="A931">
            <v>104380</v>
          </cell>
          <cell r="B931">
            <v>20651</v>
          </cell>
          <cell r="C931">
            <v>20651</v>
          </cell>
          <cell r="D931" t="str">
            <v>PG</v>
          </cell>
          <cell r="E931" t="str">
            <v>B</v>
          </cell>
          <cell r="F931" t="str">
            <v>PSYCHIATRIC TECHNICIAN II</v>
          </cell>
          <cell r="G931" t="str">
            <v>8162A</v>
          </cell>
          <cell r="H931">
            <v>3420.09</v>
          </cell>
          <cell r="I931">
            <v>1</v>
          </cell>
          <cell r="J931">
            <v>12</v>
          </cell>
          <cell r="K931">
            <v>1</v>
          </cell>
          <cell r="L931">
            <v>41041.08</v>
          </cell>
        </row>
        <row r="932">
          <cell r="A932">
            <v>102018</v>
          </cell>
          <cell r="B932">
            <v>20651</v>
          </cell>
          <cell r="C932">
            <v>20651</v>
          </cell>
          <cell r="D932" t="str">
            <v>PG</v>
          </cell>
          <cell r="E932" t="str">
            <v>B</v>
          </cell>
          <cell r="F932" t="str">
            <v xml:space="preserve">SENIOR SECRETARY III               </v>
          </cell>
          <cell r="G932" t="str">
            <v>2102A</v>
          </cell>
          <cell r="H932">
            <v>4106.3599999999997</v>
          </cell>
          <cell r="I932">
            <v>1</v>
          </cell>
          <cell r="J932">
            <v>12</v>
          </cell>
          <cell r="K932">
            <v>1</v>
          </cell>
          <cell r="L932">
            <v>49276.56</v>
          </cell>
        </row>
        <row r="933">
          <cell r="A933">
            <v>102024</v>
          </cell>
          <cell r="B933">
            <v>20651</v>
          </cell>
          <cell r="C933">
            <v>20651</v>
          </cell>
          <cell r="D933" t="str">
            <v>PG</v>
          </cell>
          <cell r="E933" t="str">
            <v>B</v>
          </cell>
          <cell r="F933" t="str">
            <v xml:space="preserve">SENIOR SECRETARY III               </v>
          </cell>
          <cell r="G933" t="str">
            <v>2102A</v>
          </cell>
          <cell r="H933">
            <v>4106.3599999999997</v>
          </cell>
          <cell r="I933">
            <v>1</v>
          </cell>
          <cell r="J933">
            <v>12</v>
          </cell>
          <cell r="K933">
            <v>1</v>
          </cell>
          <cell r="L933">
            <v>49276.56</v>
          </cell>
        </row>
        <row r="934">
          <cell r="A934">
            <v>101497</v>
          </cell>
          <cell r="B934">
            <v>20651</v>
          </cell>
          <cell r="C934">
            <v>20651</v>
          </cell>
          <cell r="D934" t="str">
            <v>PG</v>
          </cell>
          <cell r="E934" t="str">
            <v>B</v>
          </cell>
          <cell r="F934" t="str">
            <v xml:space="preserve">SENIOR TYPIST-CLERK                </v>
          </cell>
          <cell r="G934" t="str">
            <v>2216A</v>
          </cell>
          <cell r="H934">
            <v>3013.55</v>
          </cell>
          <cell r="I934">
            <v>1</v>
          </cell>
          <cell r="J934">
            <v>12</v>
          </cell>
          <cell r="K934">
            <v>1</v>
          </cell>
          <cell r="L934">
            <v>36162.6</v>
          </cell>
        </row>
        <row r="935">
          <cell r="A935">
            <v>101503</v>
          </cell>
          <cell r="B935">
            <v>20651</v>
          </cell>
          <cell r="C935">
            <v>20651</v>
          </cell>
          <cell r="D935" t="str">
            <v>PG</v>
          </cell>
          <cell r="E935" t="str">
            <v>B</v>
          </cell>
          <cell r="F935" t="str">
            <v xml:space="preserve">SR DEPY PUBLIC CONSERVATOR/ADMR    </v>
          </cell>
          <cell r="G935" t="str">
            <v>1483A</v>
          </cell>
          <cell r="H935">
            <v>4465.2700000000004</v>
          </cell>
          <cell r="I935">
            <v>1</v>
          </cell>
          <cell r="J935">
            <v>12</v>
          </cell>
          <cell r="K935">
            <v>1</v>
          </cell>
          <cell r="L935">
            <v>53583</v>
          </cell>
        </row>
        <row r="936">
          <cell r="A936">
            <v>101505</v>
          </cell>
          <cell r="B936">
            <v>20651</v>
          </cell>
          <cell r="C936">
            <v>20651</v>
          </cell>
          <cell r="D936" t="str">
            <v>PG</v>
          </cell>
          <cell r="E936" t="str">
            <v>B</v>
          </cell>
          <cell r="F936" t="str">
            <v xml:space="preserve">SR DEPY PUBLIC CONSERVATOR/ADMR    </v>
          </cell>
          <cell r="G936" t="str">
            <v>1483A</v>
          </cell>
          <cell r="H936">
            <v>4465.2700000000004</v>
          </cell>
          <cell r="I936">
            <v>1</v>
          </cell>
          <cell r="J936">
            <v>12</v>
          </cell>
          <cell r="K936">
            <v>1</v>
          </cell>
          <cell r="L936">
            <v>53583</v>
          </cell>
        </row>
        <row r="937">
          <cell r="A937">
            <v>102025</v>
          </cell>
          <cell r="B937">
            <v>20651</v>
          </cell>
          <cell r="C937">
            <v>20651</v>
          </cell>
          <cell r="D937" t="str">
            <v>PG</v>
          </cell>
          <cell r="E937" t="str">
            <v>B</v>
          </cell>
          <cell r="F937" t="str">
            <v xml:space="preserve">SR DEPY PUBLIC CONSERVATOR/ADMR    </v>
          </cell>
          <cell r="G937" t="str">
            <v>1483A</v>
          </cell>
          <cell r="H937">
            <v>4465.2700000000004</v>
          </cell>
          <cell r="I937">
            <v>1</v>
          </cell>
          <cell r="J937">
            <v>12</v>
          </cell>
          <cell r="K937">
            <v>1</v>
          </cell>
          <cell r="L937">
            <v>53583</v>
          </cell>
        </row>
        <row r="938">
          <cell r="A938">
            <v>102026</v>
          </cell>
          <cell r="B938">
            <v>20651</v>
          </cell>
          <cell r="C938">
            <v>20651</v>
          </cell>
          <cell r="D938" t="str">
            <v>PG</v>
          </cell>
          <cell r="E938" t="str">
            <v>B</v>
          </cell>
          <cell r="F938" t="str">
            <v xml:space="preserve">SR DEPY PUBLIC CONSERVATOR/ADMR    </v>
          </cell>
          <cell r="G938" t="str">
            <v>1483A</v>
          </cell>
          <cell r="H938">
            <v>4465.2700000000004</v>
          </cell>
          <cell r="I938">
            <v>1</v>
          </cell>
          <cell r="J938">
            <v>12</v>
          </cell>
          <cell r="K938">
            <v>1</v>
          </cell>
          <cell r="L938">
            <v>53583</v>
          </cell>
        </row>
        <row r="939">
          <cell r="A939">
            <v>103556</v>
          </cell>
          <cell r="B939">
            <v>20652</v>
          </cell>
          <cell r="C939">
            <v>20651</v>
          </cell>
          <cell r="D939" t="str">
            <v>PG</v>
          </cell>
          <cell r="E939" t="str">
            <v>B</v>
          </cell>
          <cell r="F939" t="str">
            <v xml:space="preserve">SR DEPY PUBLIC CONSERVATOR/ADMR    </v>
          </cell>
          <cell r="G939" t="str">
            <v>1483A</v>
          </cell>
          <cell r="H939">
            <v>4465.2700000000004</v>
          </cell>
          <cell r="I939">
            <v>1</v>
          </cell>
          <cell r="J939">
            <v>12</v>
          </cell>
          <cell r="K939">
            <v>1</v>
          </cell>
          <cell r="L939">
            <v>53583</v>
          </cell>
        </row>
        <row r="940">
          <cell r="A940">
            <v>103694</v>
          </cell>
          <cell r="B940">
            <v>20651</v>
          </cell>
          <cell r="C940">
            <v>20651</v>
          </cell>
          <cell r="D940" t="str">
            <v>PG</v>
          </cell>
          <cell r="E940" t="str">
            <v>B</v>
          </cell>
          <cell r="F940" t="str">
            <v xml:space="preserve">SR DEPY PUBLIC CONSERVATOR/ADMR    </v>
          </cell>
          <cell r="G940" t="str">
            <v>1483A</v>
          </cell>
          <cell r="H940">
            <v>4465.2700000000004</v>
          </cell>
          <cell r="I940">
            <v>1</v>
          </cell>
          <cell r="J940">
            <v>12</v>
          </cell>
          <cell r="K940">
            <v>1</v>
          </cell>
          <cell r="L940">
            <v>53583</v>
          </cell>
        </row>
        <row r="941">
          <cell r="A941">
            <v>103695</v>
          </cell>
          <cell r="B941">
            <v>20651</v>
          </cell>
          <cell r="C941">
            <v>20651</v>
          </cell>
          <cell r="D941" t="str">
            <v>PG</v>
          </cell>
          <cell r="E941" t="str">
            <v>B</v>
          </cell>
          <cell r="F941" t="str">
            <v xml:space="preserve">SR DEPY PUBLIC CONSERVATOR/ADMR    </v>
          </cell>
          <cell r="G941" t="str">
            <v>1483A</v>
          </cell>
          <cell r="H941">
            <v>4465.2700000000004</v>
          </cell>
          <cell r="I941">
            <v>1</v>
          </cell>
          <cell r="J941">
            <v>12</v>
          </cell>
          <cell r="K941">
            <v>1</v>
          </cell>
          <cell r="L941">
            <v>53583</v>
          </cell>
        </row>
        <row r="942">
          <cell r="A942">
            <v>104107</v>
          </cell>
          <cell r="B942">
            <v>20651</v>
          </cell>
          <cell r="C942">
            <v>20651</v>
          </cell>
          <cell r="D942" t="str">
            <v>PG</v>
          </cell>
          <cell r="E942" t="str">
            <v>B</v>
          </cell>
          <cell r="F942" t="str">
            <v xml:space="preserve">SR DEPY PUBLIC CONSERVATOR/ADMR    </v>
          </cell>
          <cell r="G942" t="str">
            <v>1483A</v>
          </cell>
          <cell r="H942">
            <v>4465.2700000000004</v>
          </cell>
          <cell r="I942">
            <v>1</v>
          </cell>
          <cell r="J942">
            <v>12</v>
          </cell>
          <cell r="K942">
            <v>1</v>
          </cell>
          <cell r="L942">
            <v>53583</v>
          </cell>
        </row>
        <row r="943">
          <cell r="A943">
            <v>104609</v>
          </cell>
          <cell r="B943">
            <v>20651</v>
          </cell>
          <cell r="C943">
            <v>20651</v>
          </cell>
          <cell r="D943" t="str">
            <v>PG</v>
          </cell>
          <cell r="E943" t="str">
            <v>B</v>
          </cell>
          <cell r="F943" t="str">
            <v xml:space="preserve">SR DEPY PUBLIC CONSERVATOR/ADMR    </v>
          </cell>
          <cell r="G943" t="str">
            <v>1483A</v>
          </cell>
          <cell r="H943">
            <v>4465.2700000000004</v>
          </cell>
          <cell r="I943">
            <v>1</v>
          </cell>
          <cell r="J943">
            <v>12</v>
          </cell>
          <cell r="K943">
            <v>1</v>
          </cell>
          <cell r="L943">
            <v>53583</v>
          </cell>
        </row>
        <row r="944">
          <cell r="A944">
            <v>104610</v>
          </cell>
          <cell r="B944">
            <v>20651</v>
          </cell>
          <cell r="C944">
            <v>20651</v>
          </cell>
          <cell r="D944" t="str">
            <v>PG</v>
          </cell>
          <cell r="E944" t="str">
            <v>B</v>
          </cell>
          <cell r="F944" t="str">
            <v xml:space="preserve">SR DEPY PUBLIC CONSERVATOR/ADMR    </v>
          </cell>
          <cell r="G944" t="str">
            <v>1483A</v>
          </cell>
          <cell r="H944">
            <v>4465.2700000000004</v>
          </cell>
          <cell r="I944">
            <v>1</v>
          </cell>
          <cell r="J944">
            <v>12</v>
          </cell>
          <cell r="K944">
            <v>1</v>
          </cell>
          <cell r="L944">
            <v>53583</v>
          </cell>
        </row>
        <row r="945">
          <cell r="A945">
            <v>104611</v>
          </cell>
          <cell r="B945">
            <v>20651</v>
          </cell>
          <cell r="C945">
            <v>20651</v>
          </cell>
          <cell r="D945" t="str">
            <v>PG</v>
          </cell>
          <cell r="E945" t="str">
            <v>B</v>
          </cell>
          <cell r="F945" t="str">
            <v xml:space="preserve">SR DEPY PUBLIC CONSERVATOR/ADMR    </v>
          </cell>
          <cell r="G945" t="str">
            <v>1483A</v>
          </cell>
          <cell r="H945">
            <v>4465.2700000000004</v>
          </cell>
          <cell r="I945">
            <v>1</v>
          </cell>
          <cell r="J945">
            <v>12</v>
          </cell>
          <cell r="K945">
            <v>1</v>
          </cell>
          <cell r="L945">
            <v>53583</v>
          </cell>
        </row>
        <row r="946">
          <cell r="A946">
            <v>104612</v>
          </cell>
          <cell r="B946">
            <v>20651</v>
          </cell>
          <cell r="C946">
            <v>20651</v>
          </cell>
          <cell r="D946" t="str">
            <v>PG</v>
          </cell>
          <cell r="E946" t="str">
            <v>B</v>
          </cell>
          <cell r="F946" t="str">
            <v xml:space="preserve">SR DEPY PUBLIC CONSERVATOR/ADMR    </v>
          </cell>
          <cell r="G946" t="str">
            <v>1483A</v>
          </cell>
          <cell r="H946">
            <v>4465.2700000000004</v>
          </cell>
          <cell r="I946">
            <v>1</v>
          </cell>
          <cell r="J946">
            <v>12</v>
          </cell>
          <cell r="K946">
            <v>1</v>
          </cell>
          <cell r="L946">
            <v>53583</v>
          </cell>
        </row>
        <row r="947">
          <cell r="A947">
            <v>104613</v>
          </cell>
          <cell r="B947">
            <v>20651</v>
          </cell>
          <cell r="C947">
            <v>20651</v>
          </cell>
          <cell r="D947" t="str">
            <v>PG</v>
          </cell>
          <cell r="E947" t="str">
            <v>B</v>
          </cell>
          <cell r="F947" t="str">
            <v xml:space="preserve">SR DEPY PUBLIC CONSERVATOR/ADMR    </v>
          </cell>
          <cell r="G947" t="str">
            <v>1483A</v>
          </cell>
          <cell r="H947">
            <v>4465.2700000000004</v>
          </cell>
          <cell r="I947">
            <v>1</v>
          </cell>
          <cell r="J947">
            <v>12</v>
          </cell>
          <cell r="K947">
            <v>1</v>
          </cell>
          <cell r="L947">
            <v>53583</v>
          </cell>
        </row>
        <row r="948">
          <cell r="A948">
            <v>104614</v>
          </cell>
          <cell r="B948">
            <v>20651</v>
          </cell>
          <cell r="C948">
            <v>20651</v>
          </cell>
          <cell r="D948" t="str">
            <v>PG</v>
          </cell>
          <cell r="E948" t="str">
            <v>B</v>
          </cell>
          <cell r="F948" t="str">
            <v xml:space="preserve">SR DEPY PUBLIC CONSERVATOR/ADMR    </v>
          </cell>
          <cell r="G948" t="str">
            <v>1483A</v>
          </cell>
          <cell r="H948">
            <v>4465.2700000000004</v>
          </cell>
          <cell r="I948">
            <v>1</v>
          </cell>
          <cell r="J948">
            <v>12</v>
          </cell>
          <cell r="K948">
            <v>1</v>
          </cell>
          <cell r="L948">
            <v>53583</v>
          </cell>
        </row>
        <row r="949">
          <cell r="A949">
            <v>101517</v>
          </cell>
          <cell r="B949">
            <v>20651</v>
          </cell>
          <cell r="C949">
            <v>20651</v>
          </cell>
          <cell r="D949" t="str">
            <v>PG</v>
          </cell>
          <cell r="E949" t="str">
            <v>B</v>
          </cell>
          <cell r="F949" t="str">
            <v xml:space="preserve">STAFF ASSISTANT I                  </v>
          </cell>
          <cell r="G949" t="str">
            <v>0907A</v>
          </cell>
          <cell r="H949">
            <v>3453.18</v>
          </cell>
          <cell r="I949">
            <v>1</v>
          </cell>
          <cell r="J949">
            <v>12</v>
          </cell>
          <cell r="K949">
            <v>1</v>
          </cell>
          <cell r="L949">
            <v>41438.480000000003</v>
          </cell>
        </row>
        <row r="950">
          <cell r="A950">
            <v>109308</v>
          </cell>
          <cell r="B950">
            <v>20651</v>
          </cell>
          <cell r="C950">
            <v>20651</v>
          </cell>
          <cell r="D950" t="str">
            <v>PG</v>
          </cell>
          <cell r="E950" t="str">
            <v>B</v>
          </cell>
          <cell r="F950" t="str">
            <v xml:space="preserve">STAFF ASSISTANT II                 </v>
          </cell>
          <cell r="G950" t="str">
            <v>0913A</v>
          </cell>
          <cell r="H950">
            <v>4167.45</v>
          </cell>
          <cell r="I950">
            <v>1</v>
          </cell>
          <cell r="J950">
            <v>12</v>
          </cell>
          <cell r="K950">
            <v>1</v>
          </cell>
          <cell r="L950">
            <v>50009.24</v>
          </cell>
        </row>
        <row r="951">
          <cell r="A951">
            <v>101550</v>
          </cell>
          <cell r="B951">
            <v>20651</v>
          </cell>
          <cell r="C951">
            <v>20651</v>
          </cell>
          <cell r="D951" t="str">
            <v>PG</v>
          </cell>
          <cell r="E951" t="str">
            <v>B</v>
          </cell>
          <cell r="F951" t="str">
            <v xml:space="preserve">STUDENT PROFESSIONAL WORKER        </v>
          </cell>
          <cell r="G951" t="str">
            <v>8243F</v>
          </cell>
          <cell r="H951">
            <v>10.3</v>
          </cell>
          <cell r="I951">
            <v>1</v>
          </cell>
          <cell r="J951">
            <v>2088</v>
          </cell>
          <cell r="K951">
            <v>0</v>
          </cell>
          <cell r="L951">
            <v>21506</v>
          </cell>
        </row>
        <row r="952">
          <cell r="A952">
            <v>101619</v>
          </cell>
          <cell r="B952">
            <v>20651</v>
          </cell>
          <cell r="C952">
            <v>20651</v>
          </cell>
          <cell r="D952" t="str">
            <v>PG</v>
          </cell>
          <cell r="E952" t="str">
            <v>B</v>
          </cell>
          <cell r="F952" t="str">
            <v xml:space="preserve">SUPVG DEPY PUBLIC CONSERVATOR/ADMR </v>
          </cell>
          <cell r="G952" t="str">
            <v>1485A</v>
          </cell>
          <cell r="H952">
            <v>4977.09</v>
          </cell>
          <cell r="I952">
            <v>1</v>
          </cell>
          <cell r="J952">
            <v>12</v>
          </cell>
          <cell r="K952">
            <v>1</v>
          </cell>
          <cell r="L952">
            <v>59725.08</v>
          </cell>
        </row>
        <row r="953">
          <cell r="A953">
            <v>101620</v>
          </cell>
          <cell r="B953">
            <v>20651</v>
          </cell>
          <cell r="C953">
            <v>20651</v>
          </cell>
          <cell r="D953" t="str">
            <v>PG</v>
          </cell>
          <cell r="E953" t="str">
            <v>B</v>
          </cell>
          <cell r="F953" t="str">
            <v xml:space="preserve">SUPVG DEPY PUBLIC CONSERVATOR/ADMR </v>
          </cell>
          <cell r="G953" t="str">
            <v>1485A</v>
          </cell>
          <cell r="H953">
            <v>4977.09</v>
          </cell>
          <cell r="I953">
            <v>1</v>
          </cell>
          <cell r="J953">
            <v>12</v>
          </cell>
          <cell r="K953">
            <v>1</v>
          </cell>
          <cell r="L953">
            <v>59725.08</v>
          </cell>
        </row>
        <row r="954">
          <cell r="A954">
            <v>101622</v>
          </cell>
          <cell r="B954">
            <v>20651</v>
          </cell>
          <cell r="C954">
            <v>20651</v>
          </cell>
          <cell r="D954" t="str">
            <v>PG</v>
          </cell>
          <cell r="E954" t="str">
            <v>B</v>
          </cell>
          <cell r="F954" t="str">
            <v xml:space="preserve">SUPVG DEPY PUBLIC CONSERVATOR/ADMR </v>
          </cell>
          <cell r="G954" t="str">
            <v>1485A</v>
          </cell>
          <cell r="H954">
            <v>4977.09</v>
          </cell>
          <cell r="I954">
            <v>1</v>
          </cell>
          <cell r="J954">
            <v>12</v>
          </cell>
          <cell r="K954">
            <v>1</v>
          </cell>
          <cell r="L954">
            <v>59725.08</v>
          </cell>
        </row>
        <row r="955">
          <cell r="A955">
            <v>101623</v>
          </cell>
          <cell r="B955">
            <v>20651</v>
          </cell>
          <cell r="C955">
            <v>20651</v>
          </cell>
          <cell r="D955" t="str">
            <v>PG</v>
          </cell>
          <cell r="E955" t="str">
            <v>B</v>
          </cell>
          <cell r="F955" t="str">
            <v xml:space="preserve">SUPVG DEPY PUBLIC CONSERVATOR/ADMR </v>
          </cell>
          <cell r="G955" t="str">
            <v>1485A</v>
          </cell>
          <cell r="H955">
            <v>4977.09</v>
          </cell>
          <cell r="I955">
            <v>1</v>
          </cell>
          <cell r="J955">
            <v>12</v>
          </cell>
          <cell r="K955">
            <v>1</v>
          </cell>
          <cell r="L955">
            <v>59725.08</v>
          </cell>
        </row>
        <row r="956">
          <cell r="A956">
            <v>104006</v>
          </cell>
          <cell r="B956">
            <v>20651</v>
          </cell>
          <cell r="C956">
            <v>20651</v>
          </cell>
          <cell r="D956" t="str">
            <v>PG</v>
          </cell>
          <cell r="E956" t="str">
            <v>B</v>
          </cell>
          <cell r="F956" t="str">
            <v xml:space="preserve">SUPVG DEPY PUBLIC CONSERVATOR/ADMR </v>
          </cell>
          <cell r="G956" t="str">
            <v>1485A</v>
          </cell>
          <cell r="H956">
            <v>4977.09</v>
          </cell>
          <cell r="I956">
            <v>1</v>
          </cell>
          <cell r="J956">
            <v>12</v>
          </cell>
          <cell r="K956">
            <v>1</v>
          </cell>
          <cell r="L956">
            <v>59725.08</v>
          </cell>
        </row>
        <row r="957">
          <cell r="A957">
            <v>104598</v>
          </cell>
          <cell r="B957">
            <v>20651</v>
          </cell>
          <cell r="C957">
            <v>20651</v>
          </cell>
          <cell r="D957" t="str">
            <v>PG</v>
          </cell>
          <cell r="E957" t="str">
            <v>B</v>
          </cell>
          <cell r="F957" t="str">
            <v xml:space="preserve">SUPVG DEPY PUBLIC CONSERVATOR/ADMR </v>
          </cell>
          <cell r="G957" t="str">
            <v>1485A</v>
          </cell>
          <cell r="H957">
            <v>4977.09</v>
          </cell>
          <cell r="I957">
            <v>1</v>
          </cell>
          <cell r="J957">
            <v>12</v>
          </cell>
          <cell r="K957">
            <v>1</v>
          </cell>
          <cell r="L957">
            <v>59725.08</v>
          </cell>
        </row>
        <row r="958">
          <cell r="A958">
            <v>104599</v>
          </cell>
          <cell r="B958">
            <v>20651</v>
          </cell>
          <cell r="C958">
            <v>20651</v>
          </cell>
          <cell r="D958" t="str">
            <v>PG</v>
          </cell>
          <cell r="E958" t="str">
            <v>B</v>
          </cell>
          <cell r="F958" t="str">
            <v xml:space="preserve">SUPVG DEPY PUBLIC CONSERVATOR/ADMR </v>
          </cell>
          <cell r="G958" t="str">
            <v>1485A</v>
          </cell>
          <cell r="H958">
            <v>4977.09</v>
          </cell>
          <cell r="I958">
            <v>1</v>
          </cell>
          <cell r="J958">
            <v>12</v>
          </cell>
          <cell r="K958">
            <v>1</v>
          </cell>
          <cell r="L958">
            <v>59725.08</v>
          </cell>
        </row>
        <row r="959">
          <cell r="A959">
            <v>104600</v>
          </cell>
          <cell r="B959">
            <v>20651</v>
          </cell>
          <cell r="C959">
            <v>20651</v>
          </cell>
          <cell r="D959" t="str">
            <v>PG</v>
          </cell>
          <cell r="E959" t="str">
            <v>B</v>
          </cell>
          <cell r="F959" t="str">
            <v xml:space="preserve">SUPVG DEPY PUBLIC CONSERVATOR/ADMR </v>
          </cell>
          <cell r="G959" t="str">
            <v>1485A</v>
          </cell>
          <cell r="H959">
            <v>4977.09</v>
          </cell>
          <cell r="I959">
            <v>1</v>
          </cell>
          <cell r="J959">
            <v>12</v>
          </cell>
          <cell r="K959">
            <v>1</v>
          </cell>
          <cell r="L959">
            <v>59725.08</v>
          </cell>
        </row>
        <row r="960">
          <cell r="A960">
            <v>104615</v>
          </cell>
          <cell r="B960">
            <v>20652</v>
          </cell>
          <cell r="C960">
            <v>20651</v>
          </cell>
          <cell r="D960" t="str">
            <v>PG</v>
          </cell>
          <cell r="E960" t="str">
            <v>B</v>
          </cell>
          <cell r="F960" t="str">
            <v xml:space="preserve">SUPVG DEPY PUBLIC CONSERVATOR/ADMR </v>
          </cell>
          <cell r="G960" t="str">
            <v>1485A</v>
          </cell>
          <cell r="H960">
            <v>4977.09</v>
          </cell>
          <cell r="I960">
            <v>1</v>
          </cell>
          <cell r="J960">
            <v>12</v>
          </cell>
          <cell r="K960">
            <v>1</v>
          </cell>
          <cell r="L960">
            <v>59725.08</v>
          </cell>
        </row>
        <row r="961">
          <cell r="A961">
            <v>106220</v>
          </cell>
          <cell r="B961">
            <v>20651</v>
          </cell>
          <cell r="C961">
            <v>20551</v>
          </cell>
          <cell r="D961" t="str">
            <v>PG</v>
          </cell>
          <cell r="E961" t="str">
            <v>B</v>
          </cell>
          <cell r="F961" t="str">
            <v>CONSERVATOR/ADMINISTRATOR ASSISTANT</v>
          </cell>
          <cell r="G961" t="str">
            <v>1479A</v>
          </cell>
          <cell r="H961">
            <v>3095.18</v>
          </cell>
          <cell r="I961">
            <v>1</v>
          </cell>
          <cell r="J961">
            <v>12</v>
          </cell>
          <cell r="K961">
            <v>1</v>
          </cell>
          <cell r="L961">
            <v>37142.239999999998</v>
          </cell>
        </row>
        <row r="962">
          <cell r="A962">
            <v>103013</v>
          </cell>
          <cell r="B962">
            <v>20474</v>
          </cell>
          <cell r="C962">
            <v>20551</v>
          </cell>
          <cell r="D962" t="str">
            <v>PG</v>
          </cell>
          <cell r="E962" t="str">
            <v>B</v>
          </cell>
          <cell r="F962" t="str">
            <v xml:space="preserve">FINANCE MANAGER, MENTAL HEALTH   </v>
          </cell>
          <cell r="G962" t="str">
            <v>4704A</v>
          </cell>
          <cell r="H962">
            <v>9830.75</v>
          </cell>
          <cell r="I962">
            <v>1</v>
          </cell>
          <cell r="J962">
            <v>12</v>
          </cell>
          <cell r="K962">
            <v>1</v>
          </cell>
          <cell r="L962">
            <v>117969</v>
          </cell>
        </row>
        <row r="963">
          <cell r="A963">
            <v>100368</v>
          </cell>
          <cell r="B963">
            <v>20551</v>
          </cell>
          <cell r="C963">
            <v>20551</v>
          </cell>
          <cell r="D963" t="str">
            <v>PG</v>
          </cell>
          <cell r="E963" t="str">
            <v>B</v>
          </cell>
          <cell r="F963" t="str">
            <v>INTERMEDIATE TYPIST-CLERK</v>
          </cell>
          <cell r="G963" t="str">
            <v>2214A</v>
          </cell>
          <cell r="H963">
            <v>2675.27</v>
          </cell>
          <cell r="I963">
            <v>1</v>
          </cell>
          <cell r="J963">
            <v>12</v>
          </cell>
          <cell r="K963">
            <v>1</v>
          </cell>
          <cell r="L963">
            <v>32103.16</v>
          </cell>
        </row>
        <row r="964">
          <cell r="A964">
            <v>102015</v>
          </cell>
          <cell r="B964">
            <v>20551</v>
          </cell>
          <cell r="C964">
            <v>20551</v>
          </cell>
          <cell r="D964" t="str">
            <v>PG</v>
          </cell>
          <cell r="E964" t="str">
            <v>B</v>
          </cell>
          <cell r="F964" t="str">
            <v xml:space="preserve">MANAGEMENT SECRETARY III           </v>
          </cell>
          <cell r="G964" t="str">
            <v>2109A</v>
          </cell>
          <cell r="H964">
            <v>4576.7299999999996</v>
          </cell>
          <cell r="I964">
            <v>1</v>
          </cell>
          <cell r="J964">
            <v>12</v>
          </cell>
          <cell r="K964">
            <v>1</v>
          </cell>
          <cell r="L964">
            <v>54920.52</v>
          </cell>
        </row>
        <row r="965">
          <cell r="A965">
            <v>100121</v>
          </cell>
          <cell r="B965">
            <v>20444</v>
          </cell>
          <cell r="C965">
            <v>20444</v>
          </cell>
          <cell r="D965" t="str">
            <v>JUVENILE</v>
          </cell>
          <cell r="E965" t="str">
            <v>B</v>
          </cell>
          <cell r="F965" t="str">
            <v>CLINICAL PSYCHOLOGIST II</v>
          </cell>
          <cell r="G965" t="str">
            <v>8697A</v>
          </cell>
          <cell r="H965">
            <v>6993.82</v>
          </cell>
          <cell r="I965">
            <v>1</v>
          </cell>
          <cell r="J965">
            <v>12</v>
          </cell>
          <cell r="K965">
            <v>1</v>
          </cell>
          <cell r="L965">
            <v>83925.52</v>
          </cell>
        </row>
        <row r="966">
          <cell r="A966">
            <v>100124</v>
          </cell>
          <cell r="B966">
            <v>20444</v>
          </cell>
          <cell r="C966">
            <v>20444</v>
          </cell>
          <cell r="D966" t="str">
            <v>JUVENILE</v>
          </cell>
          <cell r="E966" t="str">
            <v>B</v>
          </cell>
          <cell r="F966" t="str">
            <v>CLINICAL PSYCHOLOGIST II</v>
          </cell>
          <cell r="G966" t="str">
            <v>8697A</v>
          </cell>
          <cell r="H966">
            <v>6993.82</v>
          </cell>
          <cell r="I966">
            <v>1</v>
          </cell>
          <cell r="J966">
            <v>12</v>
          </cell>
          <cell r="K966">
            <v>1</v>
          </cell>
          <cell r="L966">
            <v>83925.52</v>
          </cell>
        </row>
        <row r="967">
          <cell r="A967">
            <v>106079</v>
          </cell>
          <cell r="B967">
            <v>18676</v>
          </cell>
          <cell r="C967">
            <v>20444</v>
          </cell>
          <cell r="D967" t="str">
            <v>JUVENILE</v>
          </cell>
          <cell r="E967" t="str">
            <v>B</v>
          </cell>
          <cell r="F967" t="str">
            <v>CLINICAL PSYCHOLOGIST II</v>
          </cell>
          <cell r="G967" t="str">
            <v>8697A</v>
          </cell>
          <cell r="H967">
            <v>6993.82</v>
          </cell>
          <cell r="I967">
            <v>1</v>
          </cell>
          <cell r="J967">
            <v>12</v>
          </cell>
          <cell r="K967">
            <v>1</v>
          </cell>
          <cell r="L967">
            <v>83925.52</v>
          </cell>
        </row>
        <row r="968">
          <cell r="A968">
            <v>106373</v>
          </cell>
          <cell r="B968">
            <v>21564</v>
          </cell>
          <cell r="C968">
            <v>20444</v>
          </cell>
          <cell r="D968" t="str">
            <v>JUVENILE</v>
          </cell>
          <cell r="E968" t="str">
            <v>B</v>
          </cell>
          <cell r="F968" t="str">
            <v>CLINICAL PSYCHOLOGIST II</v>
          </cell>
          <cell r="G968" t="str">
            <v>8697A</v>
          </cell>
          <cell r="H968">
            <v>6993.82</v>
          </cell>
          <cell r="I968">
            <v>1</v>
          </cell>
          <cell r="J968">
            <v>12</v>
          </cell>
          <cell r="K968">
            <v>1</v>
          </cell>
          <cell r="L968">
            <v>83925.52</v>
          </cell>
        </row>
        <row r="969">
          <cell r="A969">
            <v>102848</v>
          </cell>
          <cell r="B969">
            <v>20444</v>
          </cell>
          <cell r="C969">
            <v>20444</v>
          </cell>
          <cell r="D969" t="str">
            <v>JUVENILE</v>
          </cell>
          <cell r="E969" t="str">
            <v>B</v>
          </cell>
          <cell r="F969" t="str">
            <v>CONSULTING SPECIALIST, MD (PER SESSION)</v>
          </cell>
          <cell r="G969" t="str">
            <v>5472J</v>
          </cell>
          <cell r="H969">
            <v>314</v>
          </cell>
          <cell r="I969">
            <v>1</v>
          </cell>
          <cell r="J969">
            <v>23</v>
          </cell>
          <cell r="K969">
            <v>4.4061302681992334E-2</v>
          </cell>
          <cell r="L969">
            <v>7221.96</v>
          </cell>
        </row>
        <row r="970">
          <cell r="A970">
            <v>103187</v>
          </cell>
          <cell r="B970">
            <v>20444</v>
          </cell>
          <cell r="C970">
            <v>20444</v>
          </cell>
          <cell r="D970" t="str">
            <v>JUVENILE</v>
          </cell>
          <cell r="E970" t="str">
            <v>B</v>
          </cell>
          <cell r="F970" t="str">
            <v>CONSULTING SPECIALIST, MD (PER SESSION)</v>
          </cell>
          <cell r="G970" t="str">
            <v>5472J</v>
          </cell>
          <cell r="H970">
            <v>314</v>
          </cell>
          <cell r="I970">
            <v>1</v>
          </cell>
          <cell r="J970">
            <v>155</v>
          </cell>
          <cell r="K970">
            <v>0.29693486590038315</v>
          </cell>
          <cell r="L970">
            <v>48669.599999999999</v>
          </cell>
        </row>
        <row r="971">
          <cell r="A971">
            <v>103854</v>
          </cell>
          <cell r="B971">
            <v>18588</v>
          </cell>
          <cell r="C971">
            <v>20444</v>
          </cell>
          <cell r="D971" t="str">
            <v>JUVENILE</v>
          </cell>
          <cell r="E971" t="str">
            <v>B</v>
          </cell>
          <cell r="F971" t="str">
            <v>CONSULTING SPECIALIST, MD (PER SESSION)</v>
          </cell>
          <cell r="G971" t="str">
            <v>5472J</v>
          </cell>
          <cell r="H971">
            <v>314</v>
          </cell>
          <cell r="I971">
            <v>1</v>
          </cell>
          <cell r="J971">
            <v>155</v>
          </cell>
          <cell r="K971">
            <v>0.29693486590038315</v>
          </cell>
          <cell r="L971">
            <v>48669.599999999999</v>
          </cell>
        </row>
        <row r="972">
          <cell r="A972">
            <v>100294</v>
          </cell>
          <cell r="B972">
            <v>20444</v>
          </cell>
          <cell r="C972">
            <v>20444</v>
          </cell>
          <cell r="D972" t="str">
            <v>JUVENILE</v>
          </cell>
          <cell r="E972" t="str">
            <v>B</v>
          </cell>
          <cell r="F972" t="str">
            <v xml:space="preserve">INTERMEDIATE STENOGRAPHER          </v>
          </cell>
          <cell r="G972" t="str">
            <v>2172A</v>
          </cell>
          <cell r="H972">
            <v>2934</v>
          </cell>
          <cell r="I972">
            <v>1</v>
          </cell>
          <cell r="J972">
            <v>12</v>
          </cell>
          <cell r="K972">
            <v>1</v>
          </cell>
          <cell r="L972">
            <v>35208</v>
          </cell>
        </row>
        <row r="973">
          <cell r="A973">
            <v>101862</v>
          </cell>
          <cell r="B973">
            <v>21572</v>
          </cell>
          <cell r="C973">
            <v>20444</v>
          </cell>
          <cell r="D973" t="str">
            <v>JUVENILE</v>
          </cell>
          <cell r="E973" t="str">
            <v>B</v>
          </cell>
          <cell r="F973" t="str">
            <v>INTERMEDIATE TYPIST-CLERK</v>
          </cell>
          <cell r="G973" t="str">
            <v>2214A</v>
          </cell>
          <cell r="H973">
            <v>2675.27</v>
          </cell>
          <cell r="I973">
            <v>1</v>
          </cell>
          <cell r="J973">
            <v>12</v>
          </cell>
          <cell r="K973">
            <v>1</v>
          </cell>
          <cell r="L973">
            <v>32103.16</v>
          </cell>
        </row>
        <row r="974">
          <cell r="A974">
            <v>106288</v>
          </cell>
          <cell r="B974">
            <v>23019</v>
          </cell>
          <cell r="C974">
            <v>20444</v>
          </cell>
          <cell r="D974" t="str">
            <v>JUVENILE</v>
          </cell>
          <cell r="E974" t="str">
            <v>B</v>
          </cell>
          <cell r="F974" t="str">
            <v>INTERMEDIATE TYPIST-CLERK</v>
          </cell>
          <cell r="G974" t="str">
            <v>2214A</v>
          </cell>
          <cell r="H974">
            <v>2675.27</v>
          </cell>
          <cell r="I974">
            <v>1</v>
          </cell>
          <cell r="J974">
            <v>12</v>
          </cell>
          <cell r="K974">
            <v>1</v>
          </cell>
          <cell r="L974">
            <v>32103.16</v>
          </cell>
        </row>
        <row r="975">
          <cell r="A975">
            <v>106291</v>
          </cell>
          <cell r="B975">
            <v>23019</v>
          </cell>
          <cell r="C975">
            <v>20444</v>
          </cell>
          <cell r="D975" t="str">
            <v>JUVENILE</v>
          </cell>
          <cell r="E975" t="str">
            <v>B</v>
          </cell>
          <cell r="F975" t="str">
            <v>INTERMEDIATE TYPIST-CLERK</v>
          </cell>
          <cell r="G975" t="str">
            <v>2214A</v>
          </cell>
          <cell r="H975">
            <v>2675.27</v>
          </cell>
          <cell r="I975">
            <v>1</v>
          </cell>
          <cell r="J975">
            <v>12</v>
          </cell>
          <cell r="K975">
            <v>1</v>
          </cell>
          <cell r="L975">
            <v>32103.16</v>
          </cell>
        </row>
        <row r="976">
          <cell r="A976">
            <v>104920</v>
          </cell>
          <cell r="B976">
            <v>20488</v>
          </cell>
          <cell r="C976">
            <v>20444</v>
          </cell>
          <cell r="D976" t="str">
            <v>JUVENILE</v>
          </cell>
          <cell r="E976" t="str">
            <v>B</v>
          </cell>
          <cell r="F976" t="str">
            <v>MENTAL HEALTH COUNSELOR, RN</v>
          </cell>
          <cell r="G976" t="str">
            <v>5278A</v>
          </cell>
          <cell r="H976">
            <v>6275.27</v>
          </cell>
          <cell r="I976">
            <v>1</v>
          </cell>
          <cell r="J976">
            <v>12</v>
          </cell>
          <cell r="K976">
            <v>1</v>
          </cell>
          <cell r="L976">
            <v>76804.323333333334</v>
          </cell>
        </row>
        <row r="977">
          <cell r="A977">
            <v>103331</v>
          </cell>
          <cell r="B977">
            <v>23036</v>
          </cell>
          <cell r="C977">
            <v>20444</v>
          </cell>
          <cell r="D977" t="str">
            <v>JUVENILE</v>
          </cell>
          <cell r="E977" t="str">
            <v>B</v>
          </cell>
          <cell r="F977" t="str">
            <v>MENTAL HEALTH PSYCHIATRIST</v>
          </cell>
          <cell r="G977" t="str">
            <v>4735A</v>
          </cell>
          <cell r="H977">
            <v>12844</v>
          </cell>
          <cell r="I977">
            <v>1</v>
          </cell>
          <cell r="J977">
            <v>12</v>
          </cell>
          <cell r="K977">
            <v>1</v>
          </cell>
          <cell r="L977">
            <v>154128</v>
          </cell>
        </row>
        <row r="978">
          <cell r="A978">
            <v>104439</v>
          </cell>
          <cell r="B978">
            <v>20658</v>
          </cell>
          <cell r="C978">
            <v>20444</v>
          </cell>
          <cell r="D978" t="str">
            <v>JUVENILE</v>
          </cell>
          <cell r="E978" t="str">
            <v>B</v>
          </cell>
          <cell r="F978" t="str">
            <v>MENTAL HEALTH PSYCHIATRIST</v>
          </cell>
          <cell r="G978" t="str">
            <v>4735A</v>
          </cell>
          <cell r="H978">
            <v>12844</v>
          </cell>
          <cell r="I978">
            <v>1</v>
          </cell>
          <cell r="J978">
            <v>12</v>
          </cell>
          <cell r="K978">
            <v>1</v>
          </cell>
          <cell r="L978">
            <v>154128</v>
          </cell>
        </row>
        <row r="979">
          <cell r="A979">
            <v>102255</v>
          </cell>
          <cell r="B979">
            <v>23036</v>
          </cell>
          <cell r="C979">
            <v>20444</v>
          </cell>
          <cell r="D979" t="str">
            <v>JUVENILE</v>
          </cell>
          <cell r="E979" t="str">
            <v>B</v>
          </cell>
          <cell r="F979" t="str">
            <v>MENTAL HEALTH SERVICES COORD II</v>
          </cell>
          <cell r="G979" t="str">
            <v>8149A</v>
          </cell>
          <cell r="H979">
            <v>5152.3599999999997</v>
          </cell>
          <cell r="I979">
            <v>1</v>
          </cell>
          <cell r="J979">
            <v>12</v>
          </cell>
          <cell r="K979">
            <v>1</v>
          </cell>
          <cell r="L979">
            <v>61828.72</v>
          </cell>
        </row>
        <row r="980">
          <cell r="A980">
            <v>102247</v>
          </cell>
          <cell r="B980">
            <v>20444</v>
          </cell>
          <cell r="C980">
            <v>20444</v>
          </cell>
          <cell r="D980" t="str">
            <v>JUVENILE</v>
          </cell>
          <cell r="E980" t="str">
            <v>B</v>
          </cell>
          <cell r="F980" t="str">
            <v>MNTL HLTH CLINICAL PROGRAM HEAD</v>
          </cell>
          <cell r="G980" t="str">
            <v>4726A</v>
          </cell>
          <cell r="H980">
            <v>8709.73</v>
          </cell>
          <cell r="I980">
            <v>1</v>
          </cell>
          <cell r="J980">
            <v>12</v>
          </cell>
          <cell r="K980">
            <v>1</v>
          </cell>
          <cell r="L980">
            <v>104516.76</v>
          </cell>
        </row>
        <row r="981">
          <cell r="A981">
            <v>109747</v>
          </cell>
          <cell r="B981">
            <v>20444</v>
          </cell>
          <cell r="C981">
            <v>20444</v>
          </cell>
          <cell r="D981" t="str">
            <v>JUVENILE</v>
          </cell>
          <cell r="E981" t="str">
            <v>B</v>
          </cell>
          <cell r="F981" t="str">
            <v>PATIENT RESOURCES WORKER</v>
          </cell>
          <cell r="G981" t="str">
            <v>9192A</v>
          </cell>
          <cell r="H981">
            <v>2748.27</v>
          </cell>
          <cell r="I981">
            <v>1</v>
          </cell>
          <cell r="J981">
            <v>12</v>
          </cell>
          <cell r="K981">
            <v>1</v>
          </cell>
          <cell r="L981">
            <v>32979.24</v>
          </cell>
        </row>
        <row r="982">
          <cell r="A982">
            <v>101087</v>
          </cell>
          <cell r="B982">
            <v>20444</v>
          </cell>
          <cell r="C982">
            <v>20444</v>
          </cell>
          <cell r="D982" t="str">
            <v>JUVENILE</v>
          </cell>
          <cell r="E982" t="str">
            <v>B</v>
          </cell>
          <cell r="F982" t="str">
            <v>PSYCHIATRIC SOCIAL WORKER II</v>
          </cell>
          <cell r="G982" t="str">
            <v>9035A</v>
          </cell>
          <cell r="H982">
            <v>5425.82</v>
          </cell>
          <cell r="I982">
            <v>1</v>
          </cell>
          <cell r="J982">
            <v>12</v>
          </cell>
          <cell r="K982">
            <v>1</v>
          </cell>
          <cell r="L982">
            <v>65109.84</v>
          </cell>
        </row>
        <row r="983">
          <cell r="A983">
            <v>101092</v>
          </cell>
          <cell r="B983">
            <v>20446</v>
          </cell>
          <cell r="C983">
            <v>20444</v>
          </cell>
          <cell r="D983" t="str">
            <v>JUVENILE</v>
          </cell>
          <cell r="E983" t="str">
            <v>B</v>
          </cell>
          <cell r="F983" t="str">
            <v>PSYCHIATRIC SOCIAL WORKER II</v>
          </cell>
          <cell r="G983" t="str">
            <v>9035A</v>
          </cell>
          <cell r="H983">
            <v>5425.82</v>
          </cell>
          <cell r="I983">
            <v>1</v>
          </cell>
          <cell r="J983">
            <v>12</v>
          </cell>
          <cell r="K983">
            <v>1</v>
          </cell>
          <cell r="L983">
            <v>65109.84</v>
          </cell>
        </row>
        <row r="984">
          <cell r="A984">
            <v>103771</v>
          </cell>
          <cell r="B984">
            <v>20446</v>
          </cell>
          <cell r="C984">
            <v>20444</v>
          </cell>
          <cell r="D984" t="str">
            <v>JUVENILE</v>
          </cell>
          <cell r="E984" t="str">
            <v>B</v>
          </cell>
          <cell r="F984" t="str">
            <v>PSYCHIATRIC SOCIAL WORKER II</v>
          </cell>
          <cell r="G984" t="str">
            <v>9035A</v>
          </cell>
          <cell r="H984">
            <v>5425.82</v>
          </cell>
          <cell r="I984">
            <v>1</v>
          </cell>
          <cell r="J984">
            <v>12</v>
          </cell>
          <cell r="K984">
            <v>1</v>
          </cell>
          <cell r="L984">
            <v>65109.84</v>
          </cell>
        </row>
        <row r="985">
          <cell r="A985">
            <v>106241</v>
          </cell>
          <cell r="B985">
            <v>18674</v>
          </cell>
          <cell r="C985">
            <v>20444</v>
          </cell>
          <cell r="D985" t="str">
            <v>JUVENILE</v>
          </cell>
          <cell r="E985" t="str">
            <v>B</v>
          </cell>
          <cell r="F985" t="str">
            <v>PSYCHIATRIC SOCIAL WORKER II</v>
          </cell>
          <cell r="G985" t="str">
            <v>9035A</v>
          </cell>
          <cell r="H985">
            <v>5425.82</v>
          </cell>
          <cell r="I985">
            <v>1</v>
          </cell>
          <cell r="J985">
            <v>12</v>
          </cell>
          <cell r="K985">
            <v>1</v>
          </cell>
          <cell r="L985">
            <v>65109.84</v>
          </cell>
        </row>
        <row r="986">
          <cell r="A986">
            <v>109409</v>
          </cell>
          <cell r="B986">
            <v>20444</v>
          </cell>
          <cell r="C986">
            <v>20444</v>
          </cell>
          <cell r="D986" t="str">
            <v>JUVENILE</v>
          </cell>
          <cell r="E986" t="str">
            <v>B</v>
          </cell>
          <cell r="F986" t="str">
            <v>PSYCHIATRIC SOCIAL WORKER II</v>
          </cell>
          <cell r="G986" t="str">
            <v>9035A</v>
          </cell>
          <cell r="H986">
            <v>5425.82</v>
          </cell>
          <cell r="I986">
            <v>1</v>
          </cell>
          <cell r="J986">
            <v>12</v>
          </cell>
          <cell r="K986">
            <v>1</v>
          </cell>
          <cell r="L986">
            <v>65109.760000000002</v>
          </cell>
        </row>
        <row r="987">
          <cell r="A987">
            <v>109410</v>
          </cell>
          <cell r="B987">
            <v>20444</v>
          </cell>
          <cell r="C987">
            <v>20444</v>
          </cell>
          <cell r="D987" t="str">
            <v>JUVENILE</v>
          </cell>
          <cell r="E987" t="str">
            <v>B</v>
          </cell>
          <cell r="F987" t="str">
            <v>PSYCHIATRIC SOCIAL WORKER II</v>
          </cell>
          <cell r="G987" t="str">
            <v>9035A</v>
          </cell>
          <cell r="H987">
            <v>5425.82</v>
          </cell>
          <cell r="I987">
            <v>1</v>
          </cell>
          <cell r="J987">
            <v>12</v>
          </cell>
          <cell r="K987">
            <v>1</v>
          </cell>
          <cell r="L987">
            <v>65109.760000000002</v>
          </cell>
        </row>
        <row r="988">
          <cell r="A988">
            <v>109411</v>
          </cell>
          <cell r="B988">
            <v>20444</v>
          </cell>
          <cell r="C988">
            <v>20444</v>
          </cell>
          <cell r="D988" t="str">
            <v>JUVENILE</v>
          </cell>
          <cell r="E988" t="str">
            <v>B</v>
          </cell>
          <cell r="F988" t="str">
            <v>PSYCHIATRIC SOCIAL WORKER II</v>
          </cell>
          <cell r="G988" t="str">
            <v>9035A</v>
          </cell>
          <cell r="H988">
            <v>5425.82</v>
          </cell>
          <cell r="I988">
            <v>1</v>
          </cell>
          <cell r="J988">
            <v>12</v>
          </cell>
          <cell r="K988">
            <v>1</v>
          </cell>
          <cell r="L988">
            <v>65109.760000000002</v>
          </cell>
        </row>
        <row r="989">
          <cell r="A989">
            <v>107005</v>
          </cell>
          <cell r="B989">
            <v>18593</v>
          </cell>
          <cell r="C989">
            <v>20444</v>
          </cell>
          <cell r="D989" t="str">
            <v>JUVENILE</v>
          </cell>
          <cell r="E989" t="str">
            <v>B</v>
          </cell>
          <cell r="F989" t="str">
            <v xml:space="preserve">SENIOR TYPIST-CLERK                </v>
          </cell>
          <cell r="G989" t="str">
            <v>2216A</v>
          </cell>
          <cell r="H989">
            <v>3013.55</v>
          </cell>
          <cell r="I989">
            <v>1</v>
          </cell>
          <cell r="J989">
            <v>12</v>
          </cell>
          <cell r="K989">
            <v>1</v>
          </cell>
          <cell r="L989">
            <v>36162.6</v>
          </cell>
        </row>
        <row r="990">
          <cell r="A990">
            <v>106278</v>
          </cell>
          <cell r="B990">
            <v>20446</v>
          </cell>
          <cell r="C990">
            <v>20444</v>
          </cell>
          <cell r="D990" t="str">
            <v>JUVENILE</v>
          </cell>
          <cell r="E990" t="str">
            <v>B</v>
          </cell>
          <cell r="F990" t="str">
            <v xml:space="preserve">SR COMMUN MENTAL HLTH PSYCHOLOGIST </v>
          </cell>
          <cell r="G990" t="str">
            <v>8712A</v>
          </cell>
          <cell r="H990">
            <v>7311.45</v>
          </cell>
          <cell r="I990">
            <v>1</v>
          </cell>
          <cell r="J990">
            <v>12</v>
          </cell>
          <cell r="K990">
            <v>1</v>
          </cell>
          <cell r="L990">
            <v>87737.16</v>
          </cell>
        </row>
        <row r="991">
          <cell r="A991">
            <v>104465</v>
          </cell>
          <cell r="B991">
            <v>20446</v>
          </cell>
          <cell r="C991">
            <v>20444</v>
          </cell>
          <cell r="D991" t="str">
            <v>JUVENILE</v>
          </cell>
          <cell r="E991" t="str">
            <v>B</v>
          </cell>
          <cell r="F991" t="str">
            <v xml:space="preserve">TRANSCRIBER TYPIST                 </v>
          </cell>
          <cell r="G991" t="str">
            <v>2201A</v>
          </cell>
          <cell r="H991">
            <v>2906</v>
          </cell>
          <cell r="I991">
            <v>1</v>
          </cell>
          <cell r="J991">
            <v>12</v>
          </cell>
          <cell r="K991">
            <v>1</v>
          </cell>
          <cell r="L991">
            <v>34872</v>
          </cell>
        </row>
        <row r="992">
          <cell r="A992">
            <v>100122</v>
          </cell>
          <cell r="B992">
            <v>20444</v>
          </cell>
          <cell r="C992">
            <v>20442</v>
          </cell>
          <cell r="D992" t="str">
            <v>JUVENILE</v>
          </cell>
          <cell r="E992" t="str">
            <v>B</v>
          </cell>
          <cell r="F992" t="str">
            <v>CLINICAL PSYCHOLOGIST II</v>
          </cell>
          <cell r="G992" t="str">
            <v>8697A</v>
          </cell>
          <cell r="H992">
            <v>6993.82</v>
          </cell>
          <cell r="I992">
            <v>1</v>
          </cell>
          <cell r="J992">
            <v>12</v>
          </cell>
          <cell r="K992">
            <v>1</v>
          </cell>
          <cell r="L992">
            <v>83925.52</v>
          </cell>
        </row>
        <row r="993">
          <cell r="A993">
            <v>103176</v>
          </cell>
          <cell r="B993">
            <v>20442</v>
          </cell>
          <cell r="C993">
            <v>20442</v>
          </cell>
          <cell r="D993" t="str">
            <v>JUVENILE</v>
          </cell>
          <cell r="E993" t="str">
            <v>B</v>
          </cell>
          <cell r="F993" t="str">
            <v>CLINICAL PSYCHOLOGIST II</v>
          </cell>
          <cell r="G993" t="str">
            <v>8697A</v>
          </cell>
          <cell r="H993">
            <v>6993.82</v>
          </cell>
          <cell r="I993">
            <v>1</v>
          </cell>
          <cell r="J993">
            <v>6</v>
          </cell>
          <cell r="K993">
            <v>0.5</v>
          </cell>
          <cell r="L993">
            <v>41962.76</v>
          </cell>
        </row>
        <row r="994">
          <cell r="A994">
            <v>106368</v>
          </cell>
          <cell r="B994">
            <v>21564</v>
          </cell>
          <cell r="C994">
            <v>20442</v>
          </cell>
          <cell r="D994" t="str">
            <v>JUVENILE</v>
          </cell>
          <cell r="E994" t="str">
            <v>B</v>
          </cell>
          <cell r="F994" t="str">
            <v>CLINICAL PSYCHOLOGIST II</v>
          </cell>
          <cell r="G994" t="str">
            <v>8697A</v>
          </cell>
          <cell r="H994">
            <v>6993.82</v>
          </cell>
          <cell r="I994">
            <v>1</v>
          </cell>
          <cell r="J994">
            <v>12</v>
          </cell>
          <cell r="K994">
            <v>1</v>
          </cell>
          <cell r="L994">
            <v>83925.52</v>
          </cell>
        </row>
        <row r="995">
          <cell r="A995">
            <v>106371</v>
          </cell>
          <cell r="B995">
            <v>21564</v>
          </cell>
          <cell r="C995">
            <v>20442</v>
          </cell>
          <cell r="D995" t="str">
            <v>JUVENILE</v>
          </cell>
          <cell r="E995" t="str">
            <v>B</v>
          </cell>
          <cell r="F995" t="str">
            <v>CLINICAL PSYCHOLOGIST II</v>
          </cell>
          <cell r="G995" t="str">
            <v>8697A</v>
          </cell>
          <cell r="H995">
            <v>6993.82</v>
          </cell>
          <cell r="I995">
            <v>1</v>
          </cell>
          <cell r="J995">
            <v>12</v>
          </cell>
          <cell r="K995">
            <v>1</v>
          </cell>
          <cell r="L995">
            <v>83925.52</v>
          </cell>
        </row>
        <row r="996">
          <cell r="A996">
            <v>106293</v>
          </cell>
          <cell r="B996">
            <v>23019</v>
          </cell>
          <cell r="C996">
            <v>20442</v>
          </cell>
          <cell r="D996" t="str">
            <v>JUVENILE</v>
          </cell>
          <cell r="E996" t="str">
            <v>B</v>
          </cell>
          <cell r="F996" t="str">
            <v>INTERMEDIATE TYPIST-CLERK</v>
          </cell>
          <cell r="G996" t="str">
            <v>2214A</v>
          </cell>
          <cell r="H996">
            <v>2675.27</v>
          </cell>
          <cell r="I996">
            <v>1</v>
          </cell>
          <cell r="J996">
            <v>12</v>
          </cell>
          <cell r="K996">
            <v>1</v>
          </cell>
          <cell r="L996">
            <v>32103.16</v>
          </cell>
        </row>
        <row r="997">
          <cell r="A997">
            <v>106341</v>
          </cell>
          <cell r="B997">
            <v>21561</v>
          </cell>
          <cell r="C997">
            <v>20442</v>
          </cell>
          <cell r="D997" t="str">
            <v>JUVENILE</v>
          </cell>
          <cell r="E997" t="str">
            <v>B</v>
          </cell>
          <cell r="F997" t="str">
            <v>INTERMEDIATE TYPIST-CLERK</v>
          </cell>
          <cell r="G997" t="str">
            <v>2214A</v>
          </cell>
          <cell r="H997">
            <v>2675.27</v>
          </cell>
          <cell r="I997">
            <v>1</v>
          </cell>
          <cell r="J997">
            <v>12</v>
          </cell>
          <cell r="K997">
            <v>1</v>
          </cell>
          <cell r="L997">
            <v>32103.16</v>
          </cell>
        </row>
        <row r="998">
          <cell r="A998">
            <v>109651</v>
          </cell>
          <cell r="B998">
            <v>20442</v>
          </cell>
          <cell r="C998">
            <v>20442</v>
          </cell>
          <cell r="D998" t="str">
            <v>JUVENILE</v>
          </cell>
          <cell r="E998" t="str">
            <v>B</v>
          </cell>
          <cell r="F998" t="str">
            <v>INTERMEDIATE TYPIST-CLERK</v>
          </cell>
          <cell r="G998" t="str">
            <v>2214A</v>
          </cell>
          <cell r="H998">
            <v>2675.27</v>
          </cell>
          <cell r="I998">
            <v>1</v>
          </cell>
          <cell r="J998">
            <v>12</v>
          </cell>
          <cell r="K998">
            <v>1</v>
          </cell>
          <cell r="L998">
            <v>32103.24</v>
          </cell>
        </row>
        <row r="999">
          <cell r="A999">
            <v>109652</v>
          </cell>
          <cell r="B999">
            <v>20442</v>
          </cell>
          <cell r="C999">
            <v>20442</v>
          </cell>
          <cell r="D999" t="str">
            <v>JUVENILE</v>
          </cell>
          <cell r="E999" t="str">
            <v>B</v>
          </cell>
          <cell r="F999" t="str">
            <v>INTERMEDIATE TYPIST-CLERK</v>
          </cell>
          <cell r="G999" t="str">
            <v>2214A</v>
          </cell>
          <cell r="H999">
            <v>2675.27</v>
          </cell>
          <cell r="I999">
            <v>1</v>
          </cell>
          <cell r="J999">
            <v>12</v>
          </cell>
          <cell r="K999">
            <v>1</v>
          </cell>
          <cell r="L999">
            <v>32103.24</v>
          </cell>
        </row>
        <row r="1000">
          <cell r="A1000">
            <v>100687</v>
          </cell>
          <cell r="B1000">
            <v>23034</v>
          </cell>
          <cell r="C1000">
            <v>20442</v>
          </cell>
          <cell r="D1000" t="str">
            <v>JUVENILE</v>
          </cell>
          <cell r="E1000" t="str">
            <v>B</v>
          </cell>
          <cell r="F1000" t="str">
            <v>MENTAL HEALTH COUNSELOR, RN</v>
          </cell>
          <cell r="G1000" t="str">
            <v>5278A</v>
          </cell>
          <cell r="H1000">
            <v>6275.27</v>
          </cell>
          <cell r="I1000">
            <v>1</v>
          </cell>
          <cell r="J1000">
            <v>12</v>
          </cell>
          <cell r="K1000">
            <v>1</v>
          </cell>
          <cell r="L1000">
            <v>76804.323333333334</v>
          </cell>
        </row>
        <row r="1001">
          <cell r="A1001">
            <v>106296</v>
          </cell>
          <cell r="B1001">
            <v>18705</v>
          </cell>
          <cell r="C1001">
            <v>20442</v>
          </cell>
          <cell r="D1001" t="str">
            <v>JUVENILE</v>
          </cell>
          <cell r="E1001" t="str">
            <v>B</v>
          </cell>
          <cell r="F1001" t="str">
            <v>MENTAL HEALTH COUNSELOR, RN</v>
          </cell>
          <cell r="G1001" t="str">
            <v>5278A</v>
          </cell>
          <cell r="H1001">
            <v>6275.27</v>
          </cell>
          <cell r="I1001">
            <v>1</v>
          </cell>
          <cell r="J1001">
            <v>12</v>
          </cell>
          <cell r="K1001">
            <v>1</v>
          </cell>
          <cell r="L1001">
            <v>76804.323333333334</v>
          </cell>
        </row>
        <row r="1002">
          <cell r="A1002">
            <v>104112</v>
          </cell>
          <cell r="B1002">
            <v>20492</v>
          </cell>
          <cell r="C1002">
            <v>20442</v>
          </cell>
          <cell r="D1002" t="str">
            <v>JUVENILE</v>
          </cell>
          <cell r="E1002" t="str">
            <v>B</v>
          </cell>
          <cell r="F1002" t="str">
            <v>PSYCHIATRIC SOCIAL WORKER II</v>
          </cell>
          <cell r="G1002" t="str">
            <v>9035A</v>
          </cell>
          <cell r="H1002">
            <v>5425.82</v>
          </cell>
          <cell r="I1002">
            <v>1</v>
          </cell>
          <cell r="J1002">
            <v>12</v>
          </cell>
          <cell r="K1002">
            <v>1</v>
          </cell>
          <cell r="L1002">
            <v>65109.84</v>
          </cell>
        </row>
        <row r="1003">
          <cell r="A1003">
            <v>109645</v>
          </cell>
          <cell r="B1003">
            <v>20442</v>
          </cell>
          <cell r="C1003">
            <v>20442</v>
          </cell>
          <cell r="D1003" t="str">
            <v>JUVENILE</v>
          </cell>
          <cell r="E1003" t="str">
            <v>B</v>
          </cell>
          <cell r="F1003" t="str">
            <v>PSYCHIATRIC SOCIAL WORKER II</v>
          </cell>
          <cell r="G1003" t="str">
            <v>9035A</v>
          </cell>
          <cell r="H1003">
            <v>5425.82</v>
          </cell>
          <cell r="I1003">
            <v>1</v>
          </cell>
          <cell r="J1003">
            <v>12</v>
          </cell>
          <cell r="K1003">
            <v>1</v>
          </cell>
          <cell r="L1003">
            <v>65109.84</v>
          </cell>
        </row>
        <row r="1004">
          <cell r="A1004">
            <v>109646</v>
          </cell>
          <cell r="B1004">
            <v>20442</v>
          </cell>
          <cell r="C1004">
            <v>20442</v>
          </cell>
          <cell r="D1004" t="str">
            <v>JUVENILE</v>
          </cell>
          <cell r="E1004" t="str">
            <v>B</v>
          </cell>
          <cell r="F1004" t="str">
            <v>PSYCHIATRIC SOCIAL WORKER II</v>
          </cell>
          <cell r="G1004" t="str">
            <v>9035A</v>
          </cell>
          <cell r="H1004">
            <v>5425.82</v>
          </cell>
          <cell r="I1004">
            <v>1</v>
          </cell>
          <cell r="J1004">
            <v>12</v>
          </cell>
          <cell r="K1004">
            <v>1</v>
          </cell>
          <cell r="L1004">
            <v>65109.84</v>
          </cell>
        </row>
        <row r="1005">
          <cell r="A1005">
            <v>109647</v>
          </cell>
          <cell r="B1005">
            <v>20442</v>
          </cell>
          <cell r="C1005">
            <v>20442</v>
          </cell>
          <cell r="D1005" t="str">
            <v>JUVENILE</v>
          </cell>
          <cell r="E1005" t="str">
            <v>B</v>
          </cell>
          <cell r="F1005" t="str">
            <v>PSYCHIATRIC SOCIAL WORKER II</v>
          </cell>
          <cell r="G1005" t="str">
            <v>9035A</v>
          </cell>
          <cell r="H1005">
            <v>5425.82</v>
          </cell>
          <cell r="I1005">
            <v>1</v>
          </cell>
          <cell r="J1005">
            <v>12</v>
          </cell>
          <cell r="K1005">
            <v>1</v>
          </cell>
          <cell r="L1005">
            <v>65109.84</v>
          </cell>
        </row>
        <row r="1006">
          <cell r="A1006">
            <v>103811</v>
          </cell>
          <cell r="B1006">
            <v>20446</v>
          </cell>
          <cell r="C1006">
            <v>20442</v>
          </cell>
          <cell r="D1006" t="str">
            <v>JUVENILE</v>
          </cell>
          <cell r="E1006" t="str">
            <v>B</v>
          </cell>
          <cell r="F1006" t="str">
            <v>PSYCHIATRIC TECHNICIAN III</v>
          </cell>
          <cell r="G1006" t="str">
            <v>8163A</v>
          </cell>
          <cell r="H1006">
            <v>3705.73</v>
          </cell>
          <cell r="I1006">
            <v>1</v>
          </cell>
          <cell r="J1006">
            <v>12</v>
          </cell>
          <cell r="K1006">
            <v>1</v>
          </cell>
          <cell r="L1006">
            <v>44468.76</v>
          </cell>
        </row>
        <row r="1007">
          <cell r="A1007">
            <v>104899</v>
          </cell>
          <cell r="B1007">
            <v>21538</v>
          </cell>
          <cell r="C1007">
            <v>20442</v>
          </cell>
          <cell r="D1007" t="str">
            <v>JUVENILE</v>
          </cell>
          <cell r="E1007" t="str">
            <v>B</v>
          </cell>
          <cell r="F1007" t="str">
            <v xml:space="preserve">SECRETARY III                      </v>
          </cell>
          <cell r="G1007" t="str">
            <v>2096A</v>
          </cell>
          <cell r="H1007">
            <v>3387</v>
          </cell>
          <cell r="I1007">
            <v>1</v>
          </cell>
          <cell r="J1007">
            <v>12</v>
          </cell>
          <cell r="K1007">
            <v>1</v>
          </cell>
          <cell r="L1007">
            <v>40643.839999999997</v>
          </cell>
        </row>
        <row r="1008">
          <cell r="A1008">
            <v>103626</v>
          </cell>
          <cell r="B1008">
            <v>18639</v>
          </cell>
          <cell r="C1008">
            <v>20442</v>
          </cell>
          <cell r="D1008" t="str">
            <v>JUVENILE</v>
          </cell>
          <cell r="E1008" t="str">
            <v>B</v>
          </cell>
          <cell r="F1008" t="str">
            <v xml:space="preserve">SENIOR COMMUNITY WORKER II         </v>
          </cell>
          <cell r="G1008" t="str">
            <v>8105A</v>
          </cell>
          <cell r="H1008">
            <v>3428.36</v>
          </cell>
          <cell r="I1008">
            <v>1</v>
          </cell>
          <cell r="J1008">
            <v>12</v>
          </cell>
          <cell r="K1008">
            <v>1</v>
          </cell>
          <cell r="L1008">
            <v>41140.239999999998</v>
          </cell>
        </row>
        <row r="1009">
          <cell r="A1009">
            <v>104316</v>
          </cell>
          <cell r="B1009">
            <v>23005</v>
          </cell>
          <cell r="C1009">
            <v>20442</v>
          </cell>
          <cell r="D1009" t="str">
            <v>JUVENILE</v>
          </cell>
          <cell r="E1009" t="str">
            <v>B</v>
          </cell>
          <cell r="F1009" t="str">
            <v>SENIOR MENTAL HEALTH COUNSELOR, RN</v>
          </cell>
          <cell r="G1009" t="str">
            <v>5280A</v>
          </cell>
          <cell r="H1009">
            <v>6790.09</v>
          </cell>
          <cell r="I1009">
            <v>1</v>
          </cell>
          <cell r="J1009">
            <v>12</v>
          </cell>
          <cell r="K1009">
            <v>1</v>
          </cell>
          <cell r="L1009">
            <v>83105.40203389831</v>
          </cell>
        </row>
        <row r="1010">
          <cell r="A1010">
            <v>104971</v>
          </cell>
          <cell r="B1010">
            <v>21542</v>
          </cell>
          <cell r="C1010">
            <v>20442</v>
          </cell>
          <cell r="D1010" t="str">
            <v>JUVENILE</v>
          </cell>
          <cell r="E1010" t="str">
            <v>B</v>
          </cell>
          <cell r="F1010" t="str">
            <v xml:space="preserve">STAFF ASSISTANT I                  </v>
          </cell>
          <cell r="G1010" t="str">
            <v>0907A</v>
          </cell>
          <cell r="H1010">
            <v>3453.18</v>
          </cell>
          <cell r="I1010">
            <v>1</v>
          </cell>
          <cell r="J1010">
            <v>12</v>
          </cell>
          <cell r="K1010">
            <v>1</v>
          </cell>
          <cell r="L1010">
            <v>41438.480000000003</v>
          </cell>
        </row>
        <row r="1011">
          <cell r="A1011">
            <v>109648</v>
          </cell>
          <cell r="B1011">
            <v>20442</v>
          </cell>
          <cell r="C1011">
            <v>20442</v>
          </cell>
          <cell r="D1011" t="str">
            <v>JUVENILE</v>
          </cell>
          <cell r="E1011" t="str">
            <v>B</v>
          </cell>
          <cell r="F1011" t="str">
            <v xml:space="preserve">SUPVG PSYCHIATRIC SOCIAL WORKER    </v>
          </cell>
          <cell r="G1011" t="str">
            <v>9038A</v>
          </cell>
          <cell r="H1011">
            <v>6062.45</v>
          </cell>
          <cell r="I1011">
            <v>1</v>
          </cell>
          <cell r="J1011">
            <v>12</v>
          </cell>
          <cell r="K1011">
            <v>1</v>
          </cell>
          <cell r="L1011">
            <v>72749.399999999994</v>
          </cell>
        </row>
        <row r="1012">
          <cell r="A1012">
            <v>102779</v>
          </cell>
          <cell r="B1012">
            <v>20941</v>
          </cell>
          <cell r="C1012">
            <v>20445</v>
          </cell>
          <cell r="D1012" t="str">
            <v>JUVENILE</v>
          </cell>
          <cell r="E1012" t="str">
            <v>B</v>
          </cell>
          <cell r="F1012" t="str">
            <v xml:space="preserve">BEHAVIORAL SCIENCES CONSULTANT     </v>
          </cell>
          <cell r="G1012" t="str">
            <v>8707J</v>
          </cell>
          <cell r="H1012">
            <v>127.78</v>
          </cell>
          <cell r="I1012">
            <v>1</v>
          </cell>
          <cell r="J1012">
            <v>522</v>
          </cell>
          <cell r="K1012">
            <v>1</v>
          </cell>
          <cell r="L1012">
            <v>66701.64</v>
          </cell>
        </row>
        <row r="1013">
          <cell r="A1013">
            <v>103307</v>
          </cell>
          <cell r="B1013">
            <v>20445</v>
          </cell>
          <cell r="C1013">
            <v>20445</v>
          </cell>
          <cell r="D1013" t="str">
            <v>JUVENILE</v>
          </cell>
          <cell r="E1013" t="str">
            <v>B</v>
          </cell>
          <cell r="F1013" t="str">
            <v xml:space="preserve">BEHAVIORAL SCIENCES CONSULTANT     </v>
          </cell>
          <cell r="G1013" t="str">
            <v>8707J</v>
          </cell>
          <cell r="H1013">
            <v>127.78</v>
          </cell>
          <cell r="I1013">
            <v>1</v>
          </cell>
          <cell r="J1013">
            <v>183</v>
          </cell>
          <cell r="K1013">
            <v>0.35057471264367818</v>
          </cell>
          <cell r="L1013">
            <v>23383.96</v>
          </cell>
        </row>
        <row r="1014">
          <cell r="A1014">
            <v>100123</v>
          </cell>
          <cell r="B1014">
            <v>20445</v>
          </cell>
          <cell r="C1014">
            <v>20445</v>
          </cell>
          <cell r="D1014" t="str">
            <v>JUVENILE</v>
          </cell>
          <cell r="E1014" t="str">
            <v>B</v>
          </cell>
          <cell r="F1014" t="str">
            <v>CLINICAL PSYCHOLOGIST II</v>
          </cell>
          <cell r="G1014" t="str">
            <v>8697A</v>
          </cell>
          <cell r="H1014">
            <v>6993.82</v>
          </cell>
          <cell r="I1014">
            <v>1</v>
          </cell>
          <cell r="J1014">
            <v>12</v>
          </cell>
          <cell r="K1014">
            <v>1</v>
          </cell>
          <cell r="L1014">
            <v>83925.52</v>
          </cell>
        </row>
        <row r="1015">
          <cell r="A1015">
            <v>103340</v>
          </cell>
          <cell r="B1015">
            <v>20672</v>
          </cell>
          <cell r="C1015">
            <v>20445</v>
          </cell>
          <cell r="D1015" t="str">
            <v>JUVENILE</v>
          </cell>
          <cell r="E1015" t="str">
            <v>B</v>
          </cell>
          <cell r="F1015" t="str">
            <v>CLINICAL PSYCHOLOGIST II</v>
          </cell>
          <cell r="G1015" t="str">
            <v>8697A</v>
          </cell>
          <cell r="H1015">
            <v>6993.82</v>
          </cell>
          <cell r="I1015">
            <v>1</v>
          </cell>
          <cell r="J1015">
            <v>12</v>
          </cell>
          <cell r="K1015">
            <v>1</v>
          </cell>
          <cell r="L1015">
            <v>83925.52</v>
          </cell>
        </row>
        <row r="1016">
          <cell r="A1016">
            <v>103531</v>
          </cell>
          <cell r="B1016">
            <v>20472</v>
          </cell>
          <cell r="C1016">
            <v>20445</v>
          </cell>
          <cell r="D1016" t="str">
            <v>JUVENILE</v>
          </cell>
          <cell r="E1016" t="str">
            <v>B</v>
          </cell>
          <cell r="F1016" t="str">
            <v>CLINICAL PSYCHOLOGIST II</v>
          </cell>
          <cell r="G1016" t="str">
            <v>8697A</v>
          </cell>
          <cell r="H1016">
            <v>6993.82</v>
          </cell>
          <cell r="I1016">
            <v>1</v>
          </cell>
          <cell r="J1016">
            <v>12</v>
          </cell>
          <cell r="K1016">
            <v>1</v>
          </cell>
          <cell r="L1016">
            <v>83925.52</v>
          </cell>
        </row>
        <row r="1017">
          <cell r="A1017">
            <v>104464</v>
          </cell>
          <cell r="B1017">
            <v>20446</v>
          </cell>
          <cell r="C1017">
            <v>20445</v>
          </cell>
          <cell r="D1017" t="str">
            <v>JUVENILE</v>
          </cell>
          <cell r="E1017" t="str">
            <v>B</v>
          </cell>
          <cell r="F1017" t="str">
            <v>CLINICAL PSYCHOLOGIST II</v>
          </cell>
          <cell r="G1017" t="str">
            <v>8697A</v>
          </cell>
          <cell r="H1017">
            <v>6993.82</v>
          </cell>
          <cell r="I1017">
            <v>1</v>
          </cell>
          <cell r="J1017">
            <v>12</v>
          </cell>
          <cell r="K1017">
            <v>1</v>
          </cell>
          <cell r="L1017">
            <v>83925.52</v>
          </cell>
        </row>
        <row r="1018">
          <cell r="A1018">
            <v>104901</v>
          </cell>
          <cell r="B1018">
            <v>18705</v>
          </cell>
          <cell r="C1018">
            <v>20445</v>
          </cell>
          <cell r="D1018" t="str">
            <v>JUVENILE</v>
          </cell>
          <cell r="E1018" t="str">
            <v>B</v>
          </cell>
          <cell r="F1018" t="str">
            <v>CLINICAL PSYCHOLOGIST II</v>
          </cell>
          <cell r="G1018" t="str">
            <v>8697A</v>
          </cell>
          <cell r="H1018">
            <v>6993.82</v>
          </cell>
          <cell r="I1018">
            <v>1</v>
          </cell>
          <cell r="J1018">
            <v>12</v>
          </cell>
          <cell r="K1018">
            <v>1</v>
          </cell>
          <cell r="L1018">
            <v>83925.52</v>
          </cell>
        </row>
        <row r="1019">
          <cell r="A1019">
            <v>106285</v>
          </cell>
          <cell r="B1019">
            <v>23019</v>
          </cell>
          <cell r="C1019">
            <v>20445</v>
          </cell>
          <cell r="D1019" t="str">
            <v>JUVENILE</v>
          </cell>
          <cell r="E1019" t="str">
            <v>B</v>
          </cell>
          <cell r="F1019" t="str">
            <v>CLINICAL PSYCHOLOGIST II</v>
          </cell>
          <cell r="G1019" t="str">
            <v>8697A</v>
          </cell>
          <cell r="H1019">
            <v>6993.82</v>
          </cell>
          <cell r="I1019">
            <v>1</v>
          </cell>
          <cell r="J1019">
            <v>12</v>
          </cell>
          <cell r="K1019">
            <v>1</v>
          </cell>
          <cell r="L1019">
            <v>83925.52</v>
          </cell>
        </row>
        <row r="1020">
          <cell r="A1020">
            <v>106370</v>
          </cell>
          <cell r="B1020">
            <v>21564</v>
          </cell>
          <cell r="C1020">
            <v>20445</v>
          </cell>
          <cell r="D1020" t="str">
            <v>JUVENILE</v>
          </cell>
          <cell r="E1020" t="str">
            <v>B</v>
          </cell>
          <cell r="F1020" t="str">
            <v>CLINICAL PSYCHOLOGIST II</v>
          </cell>
          <cell r="G1020" t="str">
            <v>8697A</v>
          </cell>
          <cell r="H1020">
            <v>6993.82</v>
          </cell>
          <cell r="I1020">
            <v>1</v>
          </cell>
          <cell r="J1020">
            <v>12</v>
          </cell>
          <cell r="K1020">
            <v>1</v>
          </cell>
          <cell r="L1020">
            <v>83925.52</v>
          </cell>
        </row>
        <row r="1021">
          <cell r="A1021">
            <v>104642</v>
          </cell>
          <cell r="B1021">
            <v>20683</v>
          </cell>
          <cell r="C1021">
            <v>20445</v>
          </cell>
          <cell r="D1021" t="str">
            <v>JUVENILE</v>
          </cell>
          <cell r="E1021" t="str">
            <v>B</v>
          </cell>
          <cell r="F1021" t="str">
            <v>COMMUNITY WORKER</v>
          </cell>
          <cell r="G1021" t="str">
            <v>8103A</v>
          </cell>
          <cell r="H1021">
            <v>2984.09</v>
          </cell>
          <cell r="I1021">
            <v>1</v>
          </cell>
          <cell r="J1021">
            <v>12</v>
          </cell>
          <cell r="K1021">
            <v>1</v>
          </cell>
          <cell r="L1021">
            <v>35809.08</v>
          </cell>
        </row>
        <row r="1022">
          <cell r="A1022">
            <v>102212</v>
          </cell>
          <cell r="B1022">
            <v>18674</v>
          </cell>
          <cell r="C1022">
            <v>20445</v>
          </cell>
          <cell r="D1022" t="str">
            <v>JUVENILE</v>
          </cell>
          <cell r="E1022" t="str">
            <v>B</v>
          </cell>
          <cell r="F1022" t="str">
            <v xml:space="preserve">INTERMEDIATE STENOGRAPHER          </v>
          </cell>
          <cell r="G1022" t="str">
            <v>2172A</v>
          </cell>
          <cell r="H1022">
            <v>2934</v>
          </cell>
          <cell r="I1022">
            <v>1</v>
          </cell>
          <cell r="J1022">
            <v>12</v>
          </cell>
          <cell r="K1022">
            <v>1</v>
          </cell>
          <cell r="L1022">
            <v>35208</v>
          </cell>
        </row>
        <row r="1023">
          <cell r="A1023">
            <v>100390</v>
          </cell>
          <cell r="B1023">
            <v>20445</v>
          </cell>
          <cell r="C1023">
            <v>20445</v>
          </cell>
          <cell r="D1023" t="str">
            <v>JUVENILE</v>
          </cell>
          <cell r="E1023" t="str">
            <v>B</v>
          </cell>
          <cell r="F1023" t="str">
            <v>INTERMEDIATE TYPIST-CLERK</v>
          </cell>
          <cell r="G1023" t="str">
            <v>2214A</v>
          </cell>
          <cell r="H1023">
            <v>2675.27</v>
          </cell>
          <cell r="I1023">
            <v>1</v>
          </cell>
          <cell r="J1023">
            <v>12</v>
          </cell>
          <cell r="K1023">
            <v>1</v>
          </cell>
          <cell r="L1023">
            <v>32103.16</v>
          </cell>
        </row>
        <row r="1024">
          <cell r="A1024">
            <v>102191</v>
          </cell>
          <cell r="B1024">
            <v>20445</v>
          </cell>
          <cell r="C1024">
            <v>20445</v>
          </cell>
          <cell r="D1024" t="str">
            <v>JUVENILE</v>
          </cell>
          <cell r="E1024" t="str">
            <v>B</v>
          </cell>
          <cell r="F1024" t="str">
            <v>INTERMEDIATE TYPIST-CLERK</v>
          </cell>
          <cell r="G1024" t="str">
            <v>2214A</v>
          </cell>
          <cell r="H1024">
            <v>2675.27</v>
          </cell>
          <cell r="I1024">
            <v>1</v>
          </cell>
          <cell r="J1024">
            <v>12</v>
          </cell>
          <cell r="K1024">
            <v>1</v>
          </cell>
          <cell r="L1024">
            <v>32103.16</v>
          </cell>
        </row>
        <row r="1025">
          <cell r="A1025">
            <v>103594</v>
          </cell>
          <cell r="B1025">
            <v>18593</v>
          </cell>
          <cell r="C1025">
            <v>20445</v>
          </cell>
          <cell r="D1025" t="str">
            <v>JUVENILE</v>
          </cell>
          <cell r="E1025" t="str">
            <v>B</v>
          </cell>
          <cell r="F1025" t="str">
            <v>INTERMEDIATE TYPIST-CLERK</v>
          </cell>
          <cell r="G1025" t="str">
            <v>2214A</v>
          </cell>
          <cell r="H1025">
            <v>2675.27</v>
          </cell>
          <cell r="I1025">
            <v>1</v>
          </cell>
          <cell r="J1025">
            <v>12</v>
          </cell>
          <cell r="K1025">
            <v>1</v>
          </cell>
          <cell r="L1025">
            <v>32103.16</v>
          </cell>
        </row>
        <row r="1026">
          <cell r="A1026">
            <v>103747</v>
          </cell>
          <cell r="B1026">
            <v>20446</v>
          </cell>
          <cell r="C1026">
            <v>20445</v>
          </cell>
          <cell r="D1026" t="str">
            <v>JUVENILE</v>
          </cell>
          <cell r="E1026" t="str">
            <v>B</v>
          </cell>
          <cell r="F1026" t="str">
            <v>INTERMEDIATE TYPIST-CLERK</v>
          </cell>
          <cell r="G1026" t="str">
            <v>2214A</v>
          </cell>
          <cell r="H1026">
            <v>2675.27</v>
          </cell>
          <cell r="I1026">
            <v>1</v>
          </cell>
          <cell r="J1026">
            <v>12</v>
          </cell>
          <cell r="K1026">
            <v>1</v>
          </cell>
          <cell r="L1026">
            <v>32103.16</v>
          </cell>
        </row>
        <row r="1027">
          <cell r="A1027">
            <v>106271</v>
          </cell>
          <cell r="B1027">
            <v>20446</v>
          </cell>
          <cell r="C1027">
            <v>20445</v>
          </cell>
          <cell r="D1027" t="str">
            <v>JUVENILE</v>
          </cell>
          <cell r="E1027" t="str">
            <v>B</v>
          </cell>
          <cell r="F1027" t="str">
            <v>MEDICAL CASE WORKER II</v>
          </cell>
          <cell r="G1027" t="str">
            <v>9002A</v>
          </cell>
          <cell r="H1027">
            <v>3938.82</v>
          </cell>
          <cell r="I1027">
            <v>1</v>
          </cell>
          <cell r="J1027">
            <v>12</v>
          </cell>
          <cell r="K1027">
            <v>1</v>
          </cell>
          <cell r="L1027">
            <v>47265.68</v>
          </cell>
        </row>
        <row r="1028">
          <cell r="A1028">
            <v>106273</v>
          </cell>
          <cell r="B1028">
            <v>20446</v>
          </cell>
          <cell r="C1028">
            <v>20445</v>
          </cell>
          <cell r="D1028" t="str">
            <v>JUVENILE</v>
          </cell>
          <cell r="E1028" t="str">
            <v>B</v>
          </cell>
          <cell r="F1028" t="str">
            <v>MEDICAL CASE WORKER II</v>
          </cell>
          <cell r="G1028" t="str">
            <v>9002A</v>
          </cell>
          <cell r="H1028">
            <v>3938.82</v>
          </cell>
          <cell r="I1028">
            <v>1</v>
          </cell>
          <cell r="J1028">
            <v>12</v>
          </cell>
          <cell r="K1028">
            <v>1</v>
          </cell>
          <cell r="L1028">
            <v>47265.68</v>
          </cell>
        </row>
        <row r="1029">
          <cell r="A1029">
            <v>104895</v>
          </cell>
          <cell r="B1029">
            <v>20446</v>
          </cell>
          <cell r="C1029">
            <v>20445</v>
          </cell>
          <cell r="D1029" t="str">
            <v>JUVENILE</v>
          </cell>
          <cell r="E1029" t="str">
            <v>B</v>
          </cell>
          <cell r="F1029" t="str">
            <v>MENTAL HEALTH COUNSELOR, RN</v>
          </cell>
          <cell r="G1029" t="str">
            <v>5278A</v>
          </cell>
          <cell r="H1029">
            <v>6275.27</v>
          </cell>
          <cell r="I1029">
            <v>1</v>
          </cell>
          <cell r="J1029">
            <v>12</v>
          </cell>
          <cell r="K1029">
            <v>1</v>
          </cell>
          <cell r="L1029">
            <v>76804.323333333334</v>
          </cell>
        </row>
        <row r="1030">
          <cell r="A1030">
            <v>102920</v>
          </cell>
          <cell r="B1030">
            <v>18706</v>
          </cell>
          <cell r="C1030">
            <v>20445</v>
          </cell>
          <cell r="D1030" t="str">
            <v>JUVENILE</v>
          </cell>
          <cell r="E1030" t="str">
            <v>B</v>
          </cell>
          <cell r="F1030" t="str">
            <v>MENTAL HEALTH SERVICES COORD II</v>
          </cell>
          <cell r="G1030" t="str">
            <v>8149A</v>
          </cell>
          <cell r="H1030">
            <v>5152.3599999999997</v>
          </cell>
          <cell r="I1030">
            <v>1</v>
          </cell>
          <cell r="J1030">
            <v>12</v>
          </cell>
          <cell r="K1030">
            <v>1</v>
          </cell>
          <cell r="L1030">
            <v>61828.72</v>
          </cell>
        </row>
        <row r="1031">
          <cell r="A1031">
            <v>101091</v>
          </cell>
          <cell r="B1031">
            <v>20445</v>
          </cell>
          <cell r="C1031">
            <v>20445</v>
          </cell>
          <cell r="D1031" t="str">
            <v>JUVENILE</v>
          </cell>
          <cell r="E1031" t="str">
            <v>B</v>
          </cell>
          <cell r="F1031" t="str">
            <v>PSYCHIATRIC SOCIAL WORKER II</v>
          </cell>
          <cell r="G1031" t="str">
            <v>9035A</v>
          </cell>
          <cell r="H1031">
            <v>5425.82</v>
          </cell>
          <cell r="I1031">
            <v>1</v>
          </cell>
          <cell r="J1031">
            <v>12</v>
          </cell>
          <cell r="K1031">
            <v>1</v>
          </cell>
          <cell r="L1031">
            <v>65109.84</v>
          </cell>
        </row>
        <row r="1032">
          <cell r="A1032">
            <v>102690</v>
          </cell>
          <cell r="B1032">
            <v>20941</v>
          </cell>
          <cell r="C1032">
            <v>20445</v>
          </cell>
          <cell r="D1032" t="str">
            <v>JUVENILE</v>
          </cell>
          <cell r="E1032" t="str">
            <v>B</v>
          </cell>
          <cell r="F1032" t="str">
            <v>PSYCHIATRIC SOCIAL WORKER II</v>
          </cell>
          <cell r="G1032" t="str">
            <v>9035N</v>
          </cell>
          <cell r="H1032">
            <v>5425.82</v>
          </cell>
          <cell r="I1032">
            <v>1</v>
          </cell>
          <cell r="J1032">
            <v>12</v>
          </cell>
          <cell r="K1032">
            <v>1</v>
          </cell>
          <cell r="L1032">
            <v>65109.84</v>
          </cell>
        </row>
        <row r="1033">
          <cell r="A1033">
            <v>103760</v>
          </cell>
          <cell r="B1033">
            <v>20446</v>
          </cell>
          <cell r="C1033">
            <v>20445</v>
          </cell>
          <cell r="D1033" t="str">
            <v>JUVENILE</v>
          </cell>
          <cell r="E1033" t="str">
            <v>B</v>
          </cell>
          <cell r="F1033" t="str">
            <v>PSYCHIATRIC SOCIAL WORKER II</v>
          </cell>
          <cell r="G1033" t="str">
            <v>9035A</v>
          </cell>
          <cell r="H1033">
            <v>5425.82</v>
          </cell>
          <cell r="I1033">
            <v>1</v>
          </cell>
          <cell r="J1033">
            <v>12</v>
          </cell>
          <cell r="K1033">
            <v>1</v>
          </cell>
          <cell r="L1033">
            <v>65109.84</v>
          </cell>
        </row>
        <row r="1034">
          <cell r="A1034">
            <v>106240</v>
          </cell>
          <cell r="B1034">
            <v>18674</v>
          </cell>
          <cell r="C1034">
            <v>20445</v>
          </cell>
          <cell r="D1034" t="str">
            <v>JUVENILE</v>
          </cell>
          <cell r="E1034" t="str">
            <v>B</v>
          </cell>
          <cell r="F1034" t="str">
            <v>PSYCHIATRIC SOCIAL WORKER II</v>
          </cell>
          <cell r="G1034" t="str">
            <v>9035A</v>
          </cell>
          <cell r="H1034">
            <v>5425.82</v>
          </cell>
          <cell r="I1034">
            <v>1</v>
          </cell>
          <cell r="J1034">
            <v>12</v>
          </cell>
          <cell r="K1034">
            <v>1</v>
          </cell>
          <cell r="L1034">
            <v>65109.84</v>
          </cell>
        </row>
        <row r="1035">
          <cell r="A1035">
            <v>109412</v>
          </cell>
          <cell r="B1035">
            <v>20445</v>
          </cell>
          <cell r="C1035">
            <v>20445</v>
          </cell>
          <cell r="D1035" t="str">
            <v>JUVENILE</v>
          </cell>
          <cell r="E1035" t="str">
            <v>B</v>
          </cell>
          <cell r="F1035" t="str">
            <v>PSYCHIATRIC SOCIAL WORKER II</v>
          </cell>
          <cell r="G1035" t="str">
            <v>9035A</v>
          </cell>
          <cell r="H1035">
            <v>5425.82</v>
          </cell>
          <cell r="I1035">
            <v>1</v>
          </cell>
          <cell r="J1035">
            <v>12</v>
          </cell>
          <cell r="K1035">
            <v>1</v>
          </cell>
          <cell r="L1035">
            <v>65109.760000000002</v>
          </cell>
        </row>
        <row r="1036">
          <cell r="A1036">
            <v>109413</v>
          </cell>
          <cell r="B1036">
            <v>20445</v>
          </cell>
          <cell r="C1036">
            <v>20445</v>
          </cell>
          <cell r="D1036" t="str">
            <v>JUVENILE</v>
          </cell>
          <cell r="E1036" t="str">
            <v>B</v>
          </cell>
          <cell r="F1036" t="str">
            <v>PSYCHIATRIC SOCIAL WORKER II</v>
          </cell>
          <cell r="G1036" t="str">
            <v>9035A</v>
          </cell>
          <cell r="H1036">
            <v>5425.82</v>
          </cell>
          <cell r="I1036">
            <v>1</v>
          </cell>
          <cell r="J1036">
            <v>12</v>
          </cell>
          <cell r="K1036">
            <v>1</v>
          </cell>
          <cell r="L1036">
            <v>65109.760000000002</v>
          </cell>
        </row>
        <row r="1037">
          <cell r="A1037">
            <v>109414</v>
          </cell>
          <cell r="B1037">
            <v>20445</v>
          </cell>
          <cell r="C1037">
            <v>20445</v>
          </cell>
          <cell r="D1037" t="str">
            <v>JUVENILE</v>
          </cell>
          <cell r="E1037" t="str">
            <v>B</v>
          </cell>
          <cell r="F1037" t="str">
            <v>PSYCHIATRIC SOCIAL WORKER II</v>
          </cell>
          <cell r="G1037" t="str">
            <v>9035A</v>
          </cell>
          <cell r="H1037">
            <v>5425.82</v>
          </cell>
          <cell r="I1037">
            <v>1</v>
          </cell>
          <cell r="J1037">
            <v>12</v>
          </cell>
          <cell r="K1037">
            <v>1</v>
          </cell>
          <cell r="L1037">
            <v>65109.760000000002</v>
          </cell>
        </row>
        <row r="1038">
          <cell r="A1038">
            <v>103997</v>
          </cell>
          <cell r="B1038">
            <v>20446</v>
          </cell>
          <cell r="C1038">
            <v>20445</v>
          </cell>
          <cell r="D1038" t="str">
            <v>JUVENILE</v>
          </cell>
          <cell r="E1038" t="str">
            <v>B</v>
          </cell>
          <cell r="F1038" t="str">
            <v>PSYCHIATRIC TECHNICIAN II</v>
          </cell>
          <cell r="G1038" t="str">
            <v>8162A</v>
          </cell>
          <cell r="H1038">
            <v>3420.09</v>
          </cell>
          <cell r="I1038">
            <v>1</v>
          </cell>
          <cell r="J1038">
            <v>12</v>
          </cell>
          <cell r="K1038">
            <v>1</v>
          </cell>
          <cell r="L1038">
            <v>41041.08</v>
          </cell>
        </row>
        <row r="1039">
          <cell r="A1039">
            <v>103819</v>
          </cell>
          <cell r="B1039">
            <v>20446</v>
          </cell>
          <cell r="C1039">
            <v>20445</v>
          </cell>
          <cell r="D1039" t="str">
            <v>JUVENILE</v>
          </cell>
          <cell r="E1039" t="str">
            <v>B</v>
          </cell>
          <cell r="F1039" t="str">
            <v>RECREATION THERAPIST II</v>
          </cell>
          <cell r="G1039" t="str">
            <v>5872A</v>
          </cell>
          <cell r="H1039">
            <v>4667.6400000000003</v>
          </cell>
          <cell r="I1039">
            <v>1</v>
          </cell>
          <cell r="J1039">
            <v>12</v>
          </cell>
          <cell r="K1039">
            <v>1</v>
          </cell>
          <cell r="L1039">
            <v>56011.68</v>
          </cell>
        </row>
        <row r="1040">
          <cell r="A1040">
            <v>104947</v>
          </cell>
          <cell r="B1040">
            <v>23036</v>
          </cell>
          <cell r="C1040">
            <v>20445</v>
          </cell>
          <cell r="D1040" t="str">
            <v>JUVENILE</v>
          </cell>
          <cell r="E1040" t="str">
            <v>B</v>
          </cell>
          <cell r="F1040" t="str">
            <v xml:space="preserve">SECRETARY III                      </v>
          </cell>
          <cell r="G1040" t="str">
            <v>2096A</v>
          </cell>
          <cell r="H1040">
            <v>3387</v>
          </cell>
          <cell r="I1040">
            <v>1</v>
          </cell>
          <cell r="J1040">
            <v>12</v>
          </cell>
          <cell r="K1040">
            <v>1</v>
          </cell>
          <cell r="L1040">
            <v>40643.839999999997</v>
          </cell>
        </row>
        <row r="1041">
          <cell r="A1041">
            <v>102211</v>
          </cell>
          <cell r="B1041">
            <v>20442</v>
          </cell>
          <cell r="C1041">
            <v>20445</v>
          </cell>
          <cell r="D1041" t="str">
            <v>JUVENILE</v>
          </cell>
          <cell r="E1041" t="str">
            <v>B</v>
          </cell>
          <cell r="F1041" t="str">
            <v xml:space="preserve">SENIOR TYPIST-CLERK                </v>
          </cell>
          <cell r="G1041" t="str">
            <v>2216A</v>
          </cell>
          <cell r="H1041">
            <v>3013.55</v>
          </cell>
          <cell r="I1041">
            <v>1</v>
          </cell>
          <cell r="J1041">
            <v>12</v>
          </cell>
          <cell r="K1041">
            <v>1</v>
          </cell>
          <cell r="L1041">
            <v>36162.6</v>
          </cell>
        </row>
        <row r="1042">
          <cell r="A1042">
            <v>109415</v>
          </cell>
          <cell r="B1042">
            <v>20445</v>
          </cell>
          <cell r="C1042">
            <v>20445</v>
          </cell>
          <cell r="D1042" t="str">
            <v>JUVENILE</v>
          </cell>
          <cell r="E1042" t="str">
            <v>B</v>
          </cell>
          <cell r="F1042" t="str">
            <v xml:space="preserve">SR COMMUN MENTAL HLTH PSYCHOLOGIST </v>
          </cell>
          <cell r="G1042" t="str">
            <v>8712A</v>
          </cell>
          <cell r="H1042">
            <v>7311.45</v>
          </cell>
          <cell r="I1042">
            <v>1</v>
          </cell>
          <cell r="J1042">
            <v>12</v>
          </cell>
          <cell r="K1042">
            <v>1</v>
          </cell>
          <cell r="L1042">
            <v>87737.16</v>
          </cell>
        </row>
        <row r="1043">
          <cell r="A1043">
            <v>103829</v>
          </cell>
          <cell r="B1043">
            <v>20446</v>
          </cell>
          <cell r="C1043">
            <v>20445</v>
          </cell>
          <cell r="D1043" t="str">
            <v>JUVENILE</v>
          </cell>
          <cell r="E1043" t="str">
            <v>B</v>
          </cell>
          <cell r="F1043" t="str">
            <v xml:space="preserve">SUPVG PSYCHIATRIC SOCIAL WORKER    </v>
          </cell>
          <cell r="G1043" t="str">
            <v>9038A</v>
          </cell>
          <cell r="H1043">
            <v>6062.45</v>
          </cell>
          <cell r="I1043">
            <v>1</v>
          </cell>
          <cell r="J1043">
            <v>12</v>
          </cell>
          <cell r="K1043">
            <v>1</v>
          </cell>
          <cell r="L1043">
            <v>72749.399999999994</v>
          </cell>
        </row>
        <row r="1044">
          <cell r="A1044">
            <v>109417</v>
          </cell>
          <cell r="B1044">
            <v>20444</v>
          </cell>
          <cell r="C1044">
            <v>20445</v>
          </cell>
          <cell r="D1044" t="str">
            <v>JUVENILE</v>
          </cell>
          <cell r="E1044" t="str">
            <v>B</v>
          </cell>
          <cell r="F1044" t="str">
            <v xml:space="preserve">SUPVG PSYCHIATRIC SOCIAL WORKER    </v>
          </cell>
          <cell r="G1044" t="str">
            <v>9038A</v>
          </cell>
          <cell r="H1044">
            <v>6062.45</v>
          </cell>
          <cell r="I1044">
            <v>1</v>
          </cell>
          <cell r="J1044">
            <v>12</v>
          </cell>
          <cell r="K1044">
            <v>1</v>
          </cell>
          <cell r="L1044">
            <v>72749</v>
          </cell>
        </row>
        <row r="1045">
          <cell r="A1045">
            <v>105069</v>
          </cell>
          <cell r="B1045">
            <v>18593</v>
          </cell>
          <cell r="C1045">
            <v>20441</v>
          </cell>
          <cell r="D1045" t="str">
            <v>JUVENILE</v>
          </cell>
          <cell r="E1045" t="str">
            <v>B</v>
          </cell>
          <cell r="F1045" t="str">
            <v>CLINICAL PSYCHOLOGIST II</v>
          </cell>
          <cell r="G1045" t="str">
            <v>8697A</v>
          </cell>
          <cell r="H1045">
            <v>6993.82</v>
          </cell>
          <cell r="I1045">
            <v>1</v>
          </cell>
          <cell r="J1045">
            <v>12</v>
          </cell>
          <cell r="K1045">
            <v>1</v>
          </cell>
          <cell r="L1045">
            <v>83925.52</v>
          </cell>
        </row>
        <row r="1046">
          <cell r="A1046">
            <v>103223</v>
          </cell>
          <cell r="B1046">
            <v>20441</v>
          </cell>
          <cell r="C1046">
            <v>20441</v>
          </cell>
          <cell r="D1046" t="str">
            <v>JUVENILE</v>
          </cell>
          <cell r="E1046" t="str">
            <v>B</v>
          </cell>
          <cell r="F1046" t="str">
            <v xml:space="preserve">CLINICAL PSYCHOLOGIST II           </v>
          </cell>
          <cell r="G1046" t="str">
            <v>8693J</v>
          </cell>
          <cell r="H1046">
            <v>162.4</v>
          </cell>
          <cell r="I1046">
            <v>1</v>
          </cell>
          <cell r="J1046">
            <v>156</v>
          </cell>
          <cell r="K1046">
            <v>0.29868199233716475</v>
          </cell>
          <cell r="L1046">
            <v>25334.76</v>
          </cell>
        </row>
        <row r="1047">
          <cell r="A1047">
            <v>106292</v>
          </cell>
          <cell r="B1047">
            <v>23019</v>
          </cell>
          <cell r="C1047">
            <v>20441</v>
          </cell>
          <cell r="D1047" t="str">
            <v>JUVENILE</v>
          </cell>
          <cell r="E1047" t="str">
            <v>B</v>
          </cell>
          <cell r="F1047" t="str">
            <v>INTERMEDIATE TYPIST-CLERK</v>
          </cell>
          <cell r="G1047" t="str">
            <v>2214A</v>
          </cell>
          <cell r="H1047">
            <v>2675.27</v>
          </cell>
          <cell r="I1047">
            <v>1</v>
          </cell>
          <cell r="J1047">
            <v>12</v>
          </cell>
          <cell r="K1047">
            <v>1</v>
          </cell>
          <cell r="L1047">
            <v>32103.16</v>
          </cell>
        </row>
        <row r="1048">
          <cell r="A1048">
            <v>100522</v>
          </cell>
          <cell r="B1048">
            <v>20444</v>
          </cell>
          <cell r="C1048">
            <v>20441</v>
          </cell>
          <cell r="D1048" t="str">
            <v>JUVENILE</v>
          </cell>
          <cell r="E1048" t="str">
            <v>B</v>
          </cell>
          <cell r="F1048" t="str">
            <v xml:space="preserve">MEDICAL TRANSCRIBER TYPIST         </v>
          </cell>
          <cell r="G1048" t="str">
            <v>2209A</v>
          </cell>
          <cell r="H1048">
            <v>3148.18</v>
          </cell>
          <cell r="I1048">
            <v>1</v>
          </cell>
          <cell r="J1048">
            <v>12</v>
          </cell>
          <cell r="K1048">
            <v>1</v>
          </cell>
          <cell r="L1048">
            <v>37778.32</v>
          </cell>
        </row>
        <row r="1049">
          <cell r="A1049">
            <v>103837</v>
          </cell>
          <cell r="B1049">
            <v>20441</v>
          </cell>
          <cell r="C1049">
            <v>20441</v>
          </cell>
          <cell r="D1049" t="str">
            <v>JUVENILE</v>
          </cell>
          <cell r="E1049" t="str">
            <v>B</v>
          </cell>
          <cell r="F1049" t="str">
            <v>MENTAL HEALTH PSYCHIATRIST</v>
          </cell>
          <cell r="G1049" t="str">
            <v>4735A</v>
          </cell>
          <cell r="H1049">
            <v>12844</v>
          </cell>
          <cell r="I1049">
            <v>1</v>
          </cell>
          <cell r="J1049">
            <v>12</v>
          </cell>
          <cell r="K1049">
            <v>1</v>
          </cell>
          <cell r="L1049">
            <v>154128</v>
          </cell>
        </row>
        <row r="1050">
          <cell r="A1050">
            <v>104898</v>
          </cell>
          <cell r="B1050">
            <v>21538</v>
          </cell>
          <cell r="C1050">
            <v>20441</v>
          </cell>
          <cell r="D1050" t="str">
            <v>JUVENILE</v>
          </cell>
          <cell r="E1050" t="str">
            <v>B</v>
          </cell>
          <cell r="F1050" t="str">
            <v>MNTL HLTH CLINICAL PROGRAM HEAD</v>
          </cell>
          <cell r="G1050" t="str">
            <v>4726A</v>
          </cell>
          <cell r="H1050">
            <v>8709.73</v>
          </cell>
          <cell r="I1050">
            <v>1</v>
          </cell>
          <cell r="J1050">
            <v>12</v>
          </cell>
          <cell r="K1050">
            <v>1</v>
          </cell>
          <cell r="L1050">
            <v>104516.76</v>
          </cell>
        </row>
        <row r="1051">
          <cell r="A1051">
            <v>103838</v>
          </cell>
          <cell r="B1051">
            <v>20441</v>
          </cell>
          <cell r="C1051">
            <v>20441</v>
          </cell>
          <cell r="D1051" t="str">
            <v>JUVENILE</v>
          </cell>
          <cell r="E1051" t="str">
            <v>B</v>
          </cell>
          <cell r="F1051" t="str">
            <v xml:space="preserve">PATIENT FINANCIAL SERVICES WORKER  </v>
          </cell>
          <cell r="G1051" t="str">
            <v>9193A</v>
          </cell>
          <cell r="H1051">
            <v>3403.55</v>
          </cell>
          <cell r="I1051">
            <v>1</v>
          </cell>
          <cell r="J1051">
            <v>12</v>
          </cell>
          <cell r="K1051">
            <v>1</v>
          </cell>
          <cell r="L1051">
            <v>40842.6</v>
          </cell>
        </row>
        <row r="1052">
          <cell r="A1052">
            <v>104452</v>
          </cell>
          <cell r="B1052">
            <v>20442</v>
          </cell>
          <cell r="C1052">
            <v>20441</v>
          </cell>
          <cell r="D1052" t="str">
            <v>JUVENILE</v>
          </cell>
          <cell r="E1052" t="str">
            <v>B</v>
          </cell>
          <cell r="F1052" t="str">
            <v>PSYCHIATRIC TECHNICIAN II</v>
          </cell>
          <cell r="G1052" t="str">
            <v>8162A</v>
          </cell>
          <cell r="H1052">
            <v>3420.09</v>
          </cell>
          <cell r="I1052">
            <v>1</v>
          </cell>
          <cell r="J1052">
            <v>12</v>
          </cell>
          <cell r="K1052">
            <v>1</v>
          </cell>
          <cell r="L1052">
            <v>41041.08</v>
          </cell>
        </row>
        <row r="1053">
          <cell r="A1053">
            <v>103839</v>
          </cell>
          <cell r="B1053">
            <v>20441</v>
          </cell>
          <cell r="C1053">
            <v>20441</v>
          </cell>
          <cell r="D1053" t="str">
            <v>JUVENILE</v>
          </cell>
          <cell r="E1053" t="str">
            <v>B</v>
          </cell>
          <cell r="F1053" t="str">
            <v>RECREATION THERAPIST II</v>
          </cell>
          <cell r="G1053" t="str">
            <v>5872A</v>
          </cell>
          <cell r="H1053">
            <v>4667.6400000000003</v>
          </cell>
          <cell r="I1053">
            <v>1</v>
          </cell>
          <cell r="J1053">
            <v>12</v>
          </cell>
          <cell r="K1053">
            <v>1</v>
          </cell>
          <cell r="L1053">
            <v>56011.68</v>
          </cell>
        </row>
        <row r="1054">
          <cell r="A1054">
            <v>101922</v>
          </cell>
          <cell r="B1054">
            <v>18674</v>
          </cell>
          <cell r="C1054">
            <v>20443</v>
          </cell>
          <cell r="D1054" t="str">
            <v>JUVENILE</v>
          </cell>
          <cell r="E1054" t="str">
            <v>B</v>
          </cell>
          <cell r="F1054" t="str">
            <v>CLINICAL PSYCHOLOGIST II</v>
          </cell>
          <cell r="G1054" t="str">
            <v>8697A</v>
          </cell>
          <cell r="H1054">
            <v>6993.82</v>
          </cell>
          <cell r="I1054">
            <v>1</v>
          </cell>
          <cell r="J1054">
            <v>12</v>
          </cell>
          <cell r="K1054">
            <v>1</v>
          </cell>
          <cell r="L1054">
            <v>83925.52</v>
          </cell>
        </row>
        <row r="1055">
          <cell r="A1055">
            <v>104924</v>
          </cell>
          <cell r="B1055">
            <v>20489</v>
          </cell>
          <cell r="C1055">
            <v>20443</v>
          </cell>
          <cell r="D1055" t="str">
            <v>JUVENILE</v>
          </cell>
          <cell r="E1055" t="str">
            <v>B</v>
          </cell>
          <cell r="F1055" t="str">
            <v>CLINICAL PSYCHOLOGIST II</v>
          </cell>
          <cell r="G1055" t="str">
            <v>8697A</v>
          </cell>
          <cell r="H1055">
            <v>6993.82</v>
          </cell>
          <cell r="I1055">
            <v>1</v>
          </cell>
          <cell r="J1055">
            <v>12</v>
          </cell>
          <cell r="K1055">
            <v>1</v>
          </cell>
          <cell r="L1055">
            <v>83925.52</v>
          </cell>
        </row>
        <row r="1056">
          <cell r="A1056">
            <v>106267</v>
          </cell>
          <cell r="B1056">
            <v>20446</v>
          </cell>
          <cell r="C1056">
            <v>20443</v>
          </cell>
          <cell r="D1056" t="str">
            <v>JUVENILE</v>
          </cell>
          <cell r="E1056" t="str">
            <v>B</v>
          </cell>
          <cell r="F1056" t="str">
            <v>CLINICAL PSYCHOLOGIST II</v>
          </cell>
          <cell r="G1056" t="str">
            <v>8697A</v>
          </cell>
          <cell r="H1056">
            <v>6993.82</v>
          </cell>
          <cell r="I1056">
            <v>1</v>
          </cell>
          <cell r="J1056">
            <v>12</v>
          </cell>
          <cell r="K1056">
            <v>1</v>
          </cell>
          <cell r="L1056">
            <v>83925.52</v>
          </cell>
        </row>
        <row r="1057">
          <cell r="A1057">
            <v>106365</v>
          </cell>
          <cell r="B1057">
            <v>21564</v>
          </cell>
          <cell r="C1057">
            <v>20443</v>
          </cell>
          <cell r="D1057" t="str">
            <v>JUVENILE</v>
          </cell>
          <cell r="E1057" t="str">
            <v>B</v>
          </cell>
          <cell r="F1057" t="str">
            <v>CLINICAL PSYCHOLOGIST II</v>
          </cell>
          <cell r="G1057" t="str">
            <v>8697A</v>
          </cell>
          <cell r="H1057">
            <v>6993.82</v>
          </cell>
          <cell r="I1057">
            <v>1</v>
          </cell>
          <cell r="J1057">
            <v>12</v>
          </cell>
          <cell r="K1057">
            <v>1</v>
          </cell>
          <cell r="L1057">
            <v>83925.52</v>
          </cell>
        </row>
        <row r="1058">
          <cell r="A1058">
            <v>109939</v>
          </cell>
          <cell r="B1058">
            <v>20443</v>
          </cell>
          <cell r="D1058" t="str">
            <v>JUVENILE</v>
          </cell>
          <cell r="E1058" t="str">
            <v>B</v>
          </cell>
          <cell r="F1058" t="str">
            <v>CLINICAL PSYCHOLOGIST II</v>
          </cell>
          <cell r="G1058" t="str">
            <v>8697A</v>
          </cell>
          <cell r="H1058">
            <v>6993.82</v>
          </cell>
          <cell r="I1058">
            <v>1</v>
          </cell>
          <cell r="J1058">
            <v>12</v>
          </cell>
          <cell r="K1058">
            <v>1</v>
          </cell>
          <cell r="L1058">
            <v>83925.84</v>
          </cell>
        </row>
        <row r="1059">
          <cell r="A1059">
            <v>109940</v>
          </cell>
          <cell r="B1059">
            <v>20443</v>
          </cell>
          <cell r="D1059" t="str">
            <v>JUVENILE</v>
          </cell>
          <cell r="E1059" t="str">
            <v>B</v>
          </cell>
          <cell r="F1059" t="str">
            <v>CLINICAL PSYCHOLOGIST II</v>
          </cell>
          <cell r="G1059" t="str">
            <v>8697A</v>
          </cell>
          <cell r="H1059">
            <v>6993.82</v>
          </cell>
          <cell r="I1059">
            <v>1</v>
          </cell>
          <cell r="J1059">
            <v>12</v>
          </cell>
          <cell r="K1059">
            <v>1</v>
          </cell>
          <cell r="L1059">
            <v>83925.84</v>
          </cell>
        </row>
        <row r="1060">
          <cell r="A1060">
            <v>104654</v>
          </cell>
          <cell r="B1060">
            <v>20469</v>
          </cell>
          <cell r="C1060">
            <v>20443</v>
          </cell>
          <cell r="D1060" t="str">
            <v>JUVENILE</v>
          </cell>
          <cell r="E1060" t="str">
            <v>B</v>
          </cell>
          <cell r="F1060" t="str">
            <v>COMMUNITY MENTAL HEALTH PSYCHOLOGIST</v>
          </cell>
          <cell r="G1060" t="str">
            <v>8711A</v>
          </cell>
          <cell r="H1060">
            <v>6942.55</v>
          </cell>
          <cell r="I1060">
            <v>1</v>
          </cell>
          <cell r="J1060">
            <v>6</v>
          </cell>
          <cell r="K1060">
            <v>0.5</v>
          </cell>
          <cell r="L1060">
            <v>41655.599999999999</v>
          </cell>
        </row>
        <row r="1061">
          <cell r="A1061">
            <v>103228</v>
          </cell>
          <cell r="B1061">
            <v>20443</v>
          </cell>
          <cell r="C1061">
            <v>20443</v>
          </cell>
          <cell r="D1061" t="str">
            <v>JUVENILE</v>
          </cell>
          <cell r="E1061" t="str">
            <v>B</v>
          </cell>
          <cell r="F1061" t="str">
            <v>CONSULTING SPECIALIST, MD (PER SESSION)</v>
          </cell>
          <cell r="G1061" t="str">
            <v>5472J</v>
          </cell>
          <cell r="H1061">
            <v>314</v>
          </cell>
          <cell r="I1061">
            <v>1</v>
          </cell>
          <cell r="J1061">
            <v>104</v>
          </cell>
          <cell r="K1061">
            <v>0.19923371647509577</v>
          </cell>
          <cell r="L1061">
            <v>32656.080000000002</v>
          </cell>
        </row>
        <row r="1062">
          <cell r="A1062">
            <v>103302</v>
          </cell>
          <cell r="B1062">
            <v>20441</v>
          </cell>
          <cell r="C1062">
            <v>20443</v>
          </cell>
          <cell r="D1062" t="str">
            <v>JUVENILE</v>
          </cell>
          <cell r="E1062" t="str">
            <v>B</v>
          </cell>
          <cell r="F1062" t="str">
            <v>CONSULTING SPECIALIST, MD (PER SESSION)</v>
          </cell>
          <cell r="G1062" t="str">
            <v>5472J</v>
          </cell>
          <cell r="H1062">
            <v>314</v>
          </cell>
          <cell r="I1062">
            <v>1</v>
          </cell>
          <cell r="J1062">
            <v>320</v>
          </cell>
          <cell r="K1062">
            <v>0.6130268199233716</v>
          </cell>
          <cell r="L1062">
            <v>100480.4</v>
          </cell>
        </row>
        <row r="1063">
          <cell r="A1063">
            <v>103305</v>
          </cell>
          <cell r="B1063">
            <v>20443</v>
          </cell>
          <cell r="C1063">
            <v>20443</v>
          </cell>
          <cell r="D1063" t="str">
            <v>JUVENILE</v>
          </cell>
          <cell r="E1063" t="str">
            <v>B</v>
          </cell>
          <cell r="F1063" t="str">
            <v>CONSULTING SPECIALIST, MD (PER SESSION)</v>
          </cell>
          <cell r="G1063" t="str">
            <v>5472J</v>
          </cell>
          <cell r="H1063">
            <v>314</v>
          </cell>
          <cell r="I1063">
            <v>1</v>
          </cell>
          <cell r="J1063">
            <v>208</v>
          </cell>
          <cell r="K1063">
            <v>0.39846743295019155</v>
          </cell>
          <cell r="L1063">
            <v>65312.160000000003</v>
          </cell>
        </row>
        <row r="1064">
          <cell r="A1064">
            <v>103748</v>
          </cell>
          <cell r="B1064">
            <v>20446</v>
          </cell>
          <cell r="C1064">
            <v>20443</v>
          </cell>
          <cell r="D1064" t="str">
            <v>JUVENILE</v>
          </cell>
          <cell r="E1064" t="str">
            <v>B</v>
          </cell>
          <cell r="F1064" t="str">
            <v>INTERMEDIATE TYPIST-CLERK</v>
          </cell>
          <cell r="G1064" t="str">
            <v>2214A</v>
          </cell>
          <cell r="H1064">
            <v>2675.27</v>
          </cell>
          <cell r="I1064">
            <v>1</v>
          </cell>
          <cell r="J1064">
            <v>12</v>
          </cell>
          <cell r="K1064">
            <v>1</v>
          </cell>
          <cell r="L1064">
            <v>32103.16</v>
          </cell>
        </row>
        <row r="1065">
          <cell r="A1065">
            <v>104040</v>
          </cell>
          <cell r="B1065">
            <v>20446</v>
          </cell>
          <cell r="C1065">
            <v>20443</v>
          </cell>
          <cell r="D1065" t="str">
            <v>JUVENILE</v>
          </cell>
          <cell r="E1065" t="str">
            <v>B</v>
          </cell>
          <cell r="F1065" t="str">
            <v>INTERMEDIATE TYPIST-CLERK</v>
          </cell>
          <cell r="G1065" t="str">
            <v>2214A</v>
          </cell>
          <cell r="H1065">
            <v>2675.27</v>
          </cell>
          <cell r="I1065">
            <v>1</v>
          </cell>
          <cell r="J1065">
            <v>12</v>
          </cell>
          <cell r="K1065">
            <v>1</v>
          </cell>
          <cell r="L1065">
            <v>32103.16</v>
          </cell>
        </row>
        <row r="1066">
          <cell r="A1066">
            <v>104905</v>
          </cell>
          <cell r="B1066">
            <v>20446</v>
          </cell>
          <cell r="C1066">
            <v>20443</v>
          </cell>
          <cell r="D1066" t="str">
            <v>JUVENILE</v>
          </cell>
          <cell r="E1066" t="str">
            <v>B</v>
          </cell>
          <cell r="F1066" t="str">
            <v>INTERMEDIATE TYPIST-CLERK</v>
          </cell>
          <cell r="G1066" t="str">
            <v>2214A</v>
          </cell>
          <cell r="H1066">
            <v>2675.27</v>
          </cell>
          <cell r="I1066">
            <v>1</v>
          </cell>
          <cell r="J1066">
            <v>12</v>
          </cell>
          <cell r="K1066">
            <v>1</v>
          </cell>
          <cell r="L1066">
            <v>32103.16</v>
          </cell>
        </row>
        <row r="1067">
          <cell r="A1067">
            <v>108044</v>
          </cell>
          <cell r="B1067">
            <v>18639</v>
          </cell>
          <cell r="C1067">
            <v>20443</v>
          </cell>
          <cell r="D1067" t="str">
            <v>JUVENILE</v>
          </cell>
          <cell r="E1067" t="str">
            <v>B</v>
          </cell>
          <cell r="F1067" t="str">
            <v>INTERMEDIATE TYPIST-CLERK</v>
          </cell>
          <cell r="G1067" t="str">
            <v>2214A</v>
          </cell>
          <cell r="H1067">
            <v>2675.27</v>
          </cell>
          <cell r="I1067">
            <v>1</v>
          </cell>
          <cell r="J1067">
            <v>6</v>
          </cell>
          <cell r="K1067">
            <v>0.5</v>
          </cell>
          <cell r="L1067">
            <v>16052.08</v>
          </cell>
        </row>
        <row r="1068">
          <cell r="A1068">
            <v>109402</v>
          </cell>
          <cell r="B1068">
            <v>20443</v>
          </cell>
          <cell r="C1068">
            <v>20443</v>
          </cell>
          <cell r="D1068" t="str">
            <v>JUVENILE</v>
          </cell>
          <cell r="E1068" t="str">
            <v>B</v>
          </cell>
          <cell r="F1068" t="str">
            <v>INTERMEDIATE TYPIST-CLERK</v>
          </cell>
          <cell r="G1068" t="str">
            <v>2214A</v>
          </cell>
          <cell r="H1068">
            <v>2675.27</v>
          </cell>
          <cell r="I1068">
            <v>1</v>
          </cell>
          <cell r="J1068">
            <v>12</v>
          </cell>
          <cell r="K1068">
            <v>1</v>
          </cell>
          <cell r="L1068">
            <v>32103.16</v>
          </cell>
        </row>
        <row r="1069">
          <cell r="A1069">
            <v>104881</v>
          </cell>
          <cell r="B1069">
            <v>18588</v>
          </cell>
          <cell r="C1069">
            <v>20443</v>
          </cell>
          <cell r="D1069" t="str">
            <v>JUVENILE</v>
          </cell>
          <cell r="E1069" t="str">
            <v>B</v>
          </cell>
          <cell r="F1069" t="str">
            <v>MEDICAL CASE WORKER II</v>
          </cell>
          <cell r="G1069" t="str">
            <v>9002A</v>
          </cell>
          <cell r="H1069">
            <v>3938.82</v>
          </cell>
          <cell r="I1069">
            <v>1</v>
          </cell>
          <cell r="J1069">
            <v>12</v>
          </cell>
          <cell r="K1069">
            <v>1</v>
          </cell>
          <cell r="L1069">
            <v>47265.68</v>
          </cell>
        </row>
        <row r="1070">
          <cell r="A1070">
            <v>107538</v>
          </cell>
          <cell r="B1070">
            <v>18587</v>
          </cell>
          <cell r="C1070">
            <v>20443</v>
          </cell>
          <cell r="D1070" t="str">
            <v>JUVENILE</v>
          </cell>
          <cell r="E1070" t="str">
            <v>B</v>
          </cell>
          <cell r="F1070" t="str">
            <v>MEDICAL CASE WORKER II</v>
          </cell>
          <cell r="G1070" t="str">
            <v>9002A</v>
          </cell>
          <cell r="H1070">
            <v>3938.82</v>
          </cell>
          <cell r="I1070">
            <v>1</v>
          </cell>
          <cell r="J1070">
            <v>12</v>
          </cell>
          <cell r="K1070">
            <v>1</v>
          </cell>
          <cell r="L1070">
            <v>47265.68</v>
          </cell>
        </row>
        <row r="1071">
          <cell r="A1071">
            <v>100731</v>
          </cell>
          <cell r="B1071">
            <v>23010</v>
          </cell>
          <cell r="C1071">
            <v>20443</v>
          </cell>
          <cell r="D1071" t="str">
            <v>JUVENILE</v>
          </cell>
          <cell r="E1071" t="str">
            <v>B</v>
          </cell>
          <cell r="F1071" t="str">
            <v>MENTAL HEALTH PSYCHIATRIST</v>
          </cell>
          <cell r="G1071" t="str">
            <v>4735A</v>
          </cell>
          <cell r="H1071">
            <v>12844</v>
          </cell>
          <cell r="I1071">
            <v>1</v>
          </cell>
          <cell r="J1071">
            <v>12</v>
          </cell>
          <cell r="K1071">
            <v>1</v>
          </cell>
          <cell r="L1071">
            <v>154128</v>
          </cell>
        </row>
        <row r="1072">
          <cell r="A1072">
            <v>100744</v>
          </cell>
          <cell r="B1072">
            <v>20444</v>
          </cell>
          <cell r="C1072">
            <v>20443</v>
          </cell>
          <cell r="D1072" t="str">
            <v>JUVENILE</v>
          </cell>
          <cell r="E1072" t="str">
            <v>B</v>
          </cell>
          <cell r="F1072" t="str">
            <v>MENTAL HEALTH PSYCHIATRIST</v>
          </cell>
          <cell r="G1072" t="str">
            <v>4735A</v>
          </cell>
          <cell r="H1072">
            <v>12844</v>
          </cell>
          <cell r="I1072">
            <v>1</v>
          </cell>
          <cell r="J1072">
            <v>12</v>
          </cell>
          <cell r="K1072">
            <v>1</v>
          </cell>
          <cell r="L1072">
            <v>154128</v>
          </cell>
        </row>
        <row r="1073">
          <cell r="A1073">
            <v>102822</v>
          </cell>
          <cell r="B1073">
            <v>20928</v>
          </cell>
          <cell r="C1073">
            <v>20443</v>
          </cell>
          <cell r="D1073" t="str">
            <v>JUVENILE</v>
          </cell>
          <cell r="E1073" t="str">
            <v>B</v>
          </cell>
          <cell r="F1073" t="str">
            <v>MENTAL HEALTH PSYCHIATRIST</v>
          </cell>
          <cell r="G1073" t="str">
            <v>4735A</v>
          </cell>
          <cell r="H1073">
            <v>12844</v>
          </cell>
          <cell r="I1073">
            <v>1</v>
          </cell>
          <cell r="J1073">
            <v>12</v>
          </cell>
          <cell r="K1073">
            <v>1</v>
          </cell>
          <cell r="L1073">
            <v>154128</v>
          </cell>
        </row>
        <row r="1074">
          <cell r="A1074">
            <v>103303</v>
          </cell>
          <cell r="B1074">
            <v>20441</v>
          </cell>
          <cell r="C1074">
            <v>20443</v>
          </cell>
          <cell r="D1074" t="str">
            <v>JUVENILE</v>
          </cell>
          <cell r="E1074" t="str">
            <v>B</v>
          </cell>
          <cell r="F1074" t="str">
            <v>MENTAL HEALTH PSYCHIATRIST</v>
          </cell>
          <cell r="G1074" t="str">
            <v>4735A</v>
          </cell>
          <cell r="H1074">
            <v>12844</v>
          </cell>
          <cell r="I1074">
            <v>1</v>
          </cell>
          <cell r="J1074">
            <v>12</v>
          </cell>
          <cell r="K1074">
            <v>1</v>
          </cell>
          <cell r="L1074">
            <v>154128</v>
          </cell>
        </row>
        <row r="1075">
          <cell r="A1075">
            <v>106321</v>
          </cell>
          <cell r="B1075">
            <v>21566</v>
          </cell>
          <cell r="C1075">
            <v>20443</v>
          </cell>
          <cell r="D1075" t="str">
            <v>JUVENILE</v>
          </cell>
          <cell r="E1075" t="str">
            <v>B</v>
          </cell>
          <cell r="F1075" t="str">
            <v>MENTAL HEALTH PSYCHIATRIST</v>
          </cell>
          <cell r="G1075" t="str">
            <v>4735A</v>
          </cell>
          <cell r="H1075">
            <v>12844</v>
          </cell>
          <cell r="I1075">
            <v>1</v>
          </cell>
          <cell r="J1075">
            <v>12</v>
          </cell>
          <cell r="K1075">
            <v>1</v>
          </cell>
          <cell r="L1075">
            <v>154128</v>
          </cell>
        </row>
        <row r="1076">
          <cell r="A1076">
            <v>109945</v>
          </cell>
          <cell r="B1076">
            <v>20443</v>
          </cell>
          <cell r="D1076" t="str">
            <v>JUVENILE</v>
          </cell>
          <cell r="E1076" t="str">
            <v>B</v>
          </cell>
          <cell r="F1076" t="str">
            <v>MENTAL HEALTH PSYCHIATRIST</v>
          </cell>
          <cell r="G1076" t="str">
            <v>4735A</v>
          </cell>
          <cell r="H1076">
            <v>12844</v>
          </cell>
          <cell r="I1076">
            <v>1</v>
          </cell>
          <cell r="J1076">
            <v>12</v>
          </cell>
          <cell r="K1076">
            <v>1</v>
          </cell>
          <cell r="L1076">
            <v>154128</v>
          </cell>
        </row>
        <row r="1077">
          <cell r="A1077">
            <v>104906</v>
          </cell>
          <cell r="B1077">
            <v>20446</v>
          </cell>
          <cell r="C1077">
            <v>20443</v>
          </cell>
          <cell r="D1077" t="str">
            <v>JUVENILE</v>
          </cell>
          <cell r="E1077" t="str">
            <v>B</v>
          </cell>
          <cell r="F1077" t="str">
            <v>MENTAL HEALTH SERVICES COORD I</v>
          </cell>
          <cell r="G1077" t="str">
            <v>8148A</v>
          </cell>
          <cell r="H1077">
            <v>5126.91</v>
          </cell>
          <cell r="I1077">
            <v>1</v>
          </cell>
          <cell r="J1077">
            <v>12</v>
          </cell>
          <cell r="K1077">
            <v>1</v>
          </cell>
          <cell r="L1077">
            <v>61522.92</v>
          </cell>
        </row>
        <row r="1078">
          <cell r="A1078">
            <v>107367</v>
          </cell>
          <cell r="B1078">
            <v>18639</v>
          </cell>
          <cell r="C1078">
            <v>20443</v>
          </cell>
          <cell r="D1078" t="str">
            <v>JUVENILE</v>
          </cell>
          <cell r="E1078" t="str">
            <v>B</v>
          </cell>
          <cell r="F1078" t="str">
            <v>MENTAL HEALTH SERVICES COORD II</v>
          </cell>
          <cell r="G1078" t="str">
            <v>8149A</v>
          </cell>
          <cell r="H1078">
            <v>5152.3599999999997</v>
          </cell>
          <cell r="I1078">
            <v>1</v>
          </cell>
          <cell r="J1078">
            <v>12</v>
          </cell>
          <cell r="K1078">
            <v>1</v>
          </cell>
          <cell r="L1078">
            <v>61828.72</v>
          </cell>
        </row>
        <row r="1079">
          <cell r="A1079">
            <v>109750</v>
          </cell>
          <cell r="B1079">
            <v>20443</v>
          </cell>
          <cell r="C1079">
            <v>20443</v>
          </cell>
          <cell r="D1079" t="str">
            <v>JUVENILE</v>
          </cell>
          <cell r="E1079" t="str">
            <v>B</v>
          </cell>
          <cell r="F1079" t="str">
            <v>PATIENT RESOURCES WORKER</v>
          </cell>
          <cell r="G1079" t="str">
            <v>9192A</v>
          </cell>
          <cell r="H1079">
            <v>2748.27</v>
          </cell>
          <cell r="I1079">
            <v>1</v>
          </cell>
          <cell r="J1079">
            <v>12</v>
          </cell>
          <cell r="K1079">
            <v>1</v>
          </cell>
          <cell r="L1079">
            <v>32979.24</v>
          </cell>
        </row>
        <row r="1080">
          <cell r="A1080">
            <v>101093</v>
          </cell>
          <cell r="B1080">
            <v>20443</v>
          </cell>
          <cell r="C1080">
            <v>20443</v>
          </cell>
          <cell r="D1080" t="str">
            <v>JUVENILE</v>
          </cell>
          <cell r="E1080" t="str">
            <v>B</v>
          </cell>
          <cell r="F1080" t="str">
            <v>PSYCHIATRIC SOCIAL WORKER II</v>
          </cell>
          <cell r="G1080" t="str">
            <v>9035A</v>
          </cell>
          <cell r="H1080">
            <v>5425.82</v>
          </cell>
          <cell r="I1080">
            <v>1</v>
          </cell>
          <cell r="J1080">
            <v>12</v>
          </cell>
          <cell r="K1080">
            <v>1</v>
          </cell>
          <cell r="L1080">
            <v>65109.84</v>
          </cell>
        </row>
        <row r="1081">
          <cell r="A1081">
            <v>103658</v>
          </cell>
          <cell r="B1081">
            <v>18593</v>
          </cell>
          <cell r="C1081">
            <v>20443</v>
          </cell>
          <cell r="D1081" t="str">
            <v>JUVENILE</v>
          </cell>
          <cell r="E1081" t="str">
            <v>B</v>
          </cell>
          <cell r="F1081" t="str">
            <v>PSYCHIATRIC SOCIAL WORKER II</v>
          </cell>
          <cell r="G1081" t="str">
            <v>9035A</v>
          </cell>
          <cell r="H1081">
            <v>5425.82</v>
          </cell>
          <cell r="I1081">
            <v>1</v>
          </cell>
          <cell r="J1081">
            <v>12</v>
          </cell>
          <cell r="K1081">
            <v>1</v>
          </cell>
          <cell r="L1081">
            <v>65109.84</v>
          </cell>
        </row>
        <row r="1082">
          <cell r="A1082">
            <v>103761</v>
          </cell>
          <cell r="B1082">
            <v>20446</v>
          </cell>
          <cell r="C1082">
            <v>20443</v>
          </cell>
          <cell r="D1082" t="str">
            <v>JUVENILE</v>
          </cell>
          <cell r="E1082" t="str">
            <v>B</v>
          </cell>
          <cell r="F1082" t="str">
            <v>PSYCHIATRIC SOCIAL WORKER II</v>
          </cell>
          <cell r="G1082" t="str">
            <v>9035A</v>
          </cell>
          <cell r="H1082">
            <v>5425.82</v>
          </cell>
          <cell r="I1082">
            <v>1</v>
          </cell>
          <cell r="J1082">
            <v>12</v>
          </cell>
          <cell r="K1082">
            <v>1</v>
          </cell>
          <cell r="L1082">
            <v>65109.84</v>
          </cell>
        </row>
        <row r="1083">
          <cell r="A1083">
            <v>103766</v>
          </cell>
          <cell r="B1083">
            <v>20446</v>
          </cell>
          <cell r="C1083">
            <v>20443</v>
          </cell>
          <cell r="D1083" t="str">
            <v>JUVENILE</v>
          </cell>
          <cell r="E1083" t="str">
            <v>B</v>
          </cell>
          <cell r="F1083" t="str">
            <v>PSYCHIATRIC SOCIAL WORKER II</v>
          </cell>
          <cell r="G1083" t="str">
            <v>9035A</v>
          </cell>
          <cell r="H1083">
            <v>5425.82</v>
          </cell>
          <cell r="I1083">
            <v>1</v>
          </cell>
          <cell r="J1083">
            <v>12</v>
          </cell>
          <cell r="K1083">
            <v>1</v>
          </cell>
          <cell r="L1083">
            <v>65109.84</v>
          </cell>
        </row>
        <row r="1084">
          <cell r="A1084">
            <v>103770</v>
          </cell>
          <cell r="B1084">
            <v>20446</v>
          </cell>
          <cell r="C1084">
            <v>20443</v>
          </cell>
          <cell r="D1084" t="str">
            <v>JUVENILE</v>
          </cell>
          <cell r="E1084" t="str">
            <v>B</v>
          </cell>
          <cell r="F1084" t="str">
            <v>PSYCHIATRIC SOCIAL WORKER II</v>
          </cell>
          <cell r="G1084" t="str">
            <v>9035A</v>
          </cell>
          <cell r="H1084">
            <v>5425.82</v>
          </cell>
          <cell r="I1084">
            <v>1</v>
          </cell>
          <cell r="J1084">
            <v>12</v>
          </cell>
          <cell r="K1084">
            <v>1</v>
          </cell>
          <cell r="L1084">
            <v>65109.84</v>
          </cell>
        </row>
        <row r="1085">
          <cell r="A1085">
            <v>106322</v>
          </cell>
          <cell r="B1085">
            <v>20492</v>
          </cell>
          <cell r="C1085">
            <v>20443</v>
          </cell>
          <cell r="D1085" t="str">
            <v>JUVENILE</v>
          </cell>
          <cell r="E1085" t="str">
            <v>B</v>
          </cell>
          <cell r="F1085" t="str">
            <v>PSYCHIATRIC SOCIAL WORKER II</v>
          </cell>
          <cell r="G1085" t="str">
            <v>9035A</v>
          </cell>
          <cell r="H1085">
            <v>5425.82</v>
          </cell>
          <cell r="I1085">
            <v>1</v>
          </cell>
          <cell r="J1085">
            <v>12</v>
          </cell>
          <cell r="K1085">
            <v>1</v>
          </cell>
          <cell r="L1085">
            <v>65109.84</v>
          </cell>
        </row>
        <row r="1086">
          <cell r="A1086">
            <v>109404</v>
          </cell>
          <cell r="B1086">
            <v>20443</v>
          </cell>
          <cell r="C1086">
            <v>20443</v>
          </cell>
          <cell r="D1086" t="str">
            <v>JUVENILE</v>
          </cell>
          <cell r="E1086" t="str">
            <v>B</v>
          </cell>
          <cell r="F1086" t="str">
            <v>PSYCHIATRIC SOCIAL WORKER II</v>
          </cell>
          <cell r="G1086" t="str">
            <v>9035A</v>
          </cell>
          <cell r="H1086">
            <v>5425.82</v>
          </cell>
          <cell r="I1086">
            <v>1</v>
          </cell>
          <cell r="J1086">
            <v>12</v>
          </cell>
          <cell r="K1086">
            <v>1</v>
          </cell>
          <cell r="L1086">
            <v>65109.760000000002</v>
          </cell>
        </row>
        <row r="1087">
          <cell r="A1087">
            <v>109405</v>
          </cell>
          <cell r="B1087">
            <v>20443</v>
          </cell>
          <cell r="C1087">
            <v>20443</v>
          </cell>
          <cell r="D1087" t="str">
            <v>JUVENILE</v>
          </cell>
          <cell r="E1087" t="str">
            <v>B</v>
          </cell>
          <cell r="F1087" t="str">
            <v>PSYCHIATRIC SOCIAL WORKER II</v>
          </cell>
          <cell r="G1087" t="str">
            <v>9035A</v>
          </cell>
          <cell r="H1087">
            <v>5425.82</v>
          </cell>
          <cell r="I1087">
            <v>1</v>
          </cell>
          <cell r="J1087">
            <v>12</v>
          </cell>
          <cell r="K1087">
            <v>1</v>
          </cell>
          <cell r="L1087">
            <v>65109.760000000002</v>
          </cell>
        </row>
        <row r="1088">
          <cell r="A1088">
            <v>109406</v>
          </cell>
          <cell r="B1088">
            <v>20443</v>
          </cell>
          <cell r="C1088">
            <v>20443</v>
          </cell>
          <cell r="D1088" t="str">
            <v>JUVENILE</v>
          </cell>
          <cell r="E1088" t="str">
            <v>B</v>
          </cell>
          <cell r="F1088" t="str">
            <v>PSYCHIATRIC SOCIAL WORKER II</v>
          </cell>
          <cell r="G1088" t="str">
            <v>9035A</v>
          </cell>
          <cell r="H1088">
            <v>5425.82</v>
          </cell>
          <cell r="I1088">
            <v>1</v>
          </cell>
          <cell r="J1088">
            <v>12</v>
          </cell>
          <cell r="K1088">
            <v>1</v>
          </cell>
          <cell r="L1088">
            <v>65109.760000000002</v>
          </cell>
        </row>
        <row r="1089">
          <cell r="A1089">
            <v>109407</v>
          </cell>
          <cell r="B1089">
            <v>20443</v>
          </cell>
          <cell r="C1089">
            <v>20443</v>
          </cell>
          <cell r="D1089" t="str">
            <v>JUVENILE</v>
          </cell>
          <cell r="E1089" t="str">
            <v>B</v>
          </cell>
          <cell r="F1089" t="str">
            <v>PSYCHIATRIC SOCIAL WORKER II</v>
          </cell>
          <cell r="G1089" t="str">
            <v>9035A</v>
          </cell>
          <cell r="H1089">
            <v>5425.82</v>
          </cell>
          <cell r="I1089">
            <v>1</v>
          </cell>
          <cell r="J1089">
            <v>12</v>
          </cell>
          <cell r="K1089">
            <v>1</v>
          </cell>
          <cell r="L1089">
            <v>65109.760000000002</v>
          </cell>
        </row>
        <row r="1090">
          <cell r="A1090">
            <v>109942</v>
          </cell>
          <cell r="B1090">
            <v>20443</v>
          </cell>
          <cell r="D1090" t="str">
            <v>JUVENILE</v>
          </cell>
          <cell r="E1090" t="str">
            <v>B</v>
          </cell>
          <cell r="F1090" t="str">
            <v>PSYCHIATRIC SOCIAL WORKER II</v>
          </cell>
          <cell r="G1090" t="str">
            <v>9035A</v>
          </cell>
          <cell r="H1090">
            <v>5425.82</v>
          </cell>
          <cell r="I1090">
            <v>1</v>
          </cell>
          <cell r="J1090">
            <v>12</v>
          </cell>
          <cell r="K1090">
            <v>1</v>
          </cell>
          <cell r="L1090">
            <v>65109.84</v>
          </cell>
        </row>
        <row r="1091">
          <cell r="A1091">
            <v>109943</v>
          </cell>
          <cell r="B1091">
            <v>20443</v>
          </cell>
          <cell r="D1091" t="str">
            <v>JUVENILE</v>
          </cell>
          <cell r="E1091" t="str">
            <v>B</v>
          </cell>
          <cell r="F1091" t="str">
            <v>PSYCHIATRIC SOCIAL WORKER II</v>
          </cell>
          <cell r="G1091" t="str">
            <v>9035A</v>
          </cell>
          <cell r="H1091">
            <v>5425.82</v>
          </cell>
          <cell r="I1091">
            <v>1</v>
          </cell>
          <cell r="J1091">
            <v>12</v>
          </cell>
          <cell r="K1091">
            <v>1</v>
          </cell>
          <cell r="L1091">
            <v>65109.84</v>
          </cell>
        </row>
        <row r="1092">
          <cell r="A1092">
            <v>109946</v>
          </cell>
          <cell r="B1092">
            <v>20443</v>
          </cell>
          <cell r="D1092" t="str">
            <v>JUVENILE</v>
          </cell>
          <cell r="E1092" t="str">
            <v>B</v>
          </cell>
          <cell r="F1092" t="str">
            <v>PSYCHIATRIC SOCIAL WORKER II</v>
          </cell>
          <cell r="G1092" t="str">
            <v>9035A</v>
          </cell>
          <cell r="H1092">
            <v>5425.82</v>
          </cell>
          <cell r="I1092">
            <v>1</v>
          </cell>
          <cell r="J1092">
            <v>12</v>
          </cell>
          <cell r="K1092">
            <v>1</v>
          </cell>
          <cell r="L1092">
            <v>65109.84</v>
          </cell>
        </row>
        <row r="1093">
          <cell r="A1093">
            <v>109947</v>
          </cell>
          <cell r="B1093">
            <v>20443</v>
          </cell>
          <cell r="D1093" t="str">
            <v>JUVENILE</v>
          </cell>
          <cell r="E1093" t="str">
            <v>B</v>
          </cell>
          <cell r="F1093" t="str">
            <v>PSYCHIATRIC SOCIAL WORKER II</v>
          </cell>
          <cell r="G1093" t="str">
            <v>9035A</v>
          </cell>
          <cell r="H1093">
            <v>5425.82</v>
          </cell>
          <cell r="I1093">
            <v>1</v>
          </cell>
          <cell r="J1093">
            <v>12</v>
          </cell>
          <cell r="K1093">
            <v>1</v>
          </cell>
          <cell r="L1093">
            <v>65109.84</v>
          </cell>
        </row>
        <row r="1094">
          <cell r="A1094">
            <v>109941</v>
          </cell>
          <cell r="B1094">
            <v>20443</v>
          </cell>
          <cell r="D1094" t="str">
            <v>JUVENILE</v>
          </cell>
          <cell r="E1094" t="str">
            <v>B</v>
          </cell>
          <cell r="F1094" t="str">
            <v>PSYCHIATRIC TECHNICIAN III</v>
          </cell>
          <cell r="G1094" t="str">
            <v>8163A</v>
          </cell>
          <cell r="H1094">
            <v>3705.73</v>
          </cell>
          <cell r="I1094">
            <v>1</v>
          </cell>
          <cell r="J1094">
            <v>12</v>
          </cell>
          <cell r="K1094">
            <v>1</v>
          </cell>
          <cell r="L1094">
            <v>44468.76</v>
          </cell>
        </row>
        <row r="1095">
          <cell r="A1095">
            <v>109944</v>
          </cell>
          <cell r="B1095">
            <v>20443</v>
          </cell>
          <cell r="D1095" t="str">
            <v>JUVENILE</v>
          </cell>
          <cell r="E1095" t="str">
            <v>B</v>
          </cell>
          <cell r="F1095" t="str">
            <v>PSYCHIATRIC TECHNICIAN III</v>
          </cell>
          <cell r="G1095" t="str">
            <v>8163A</v>
          </cell>
          <cell r="H1095">
            <v>3705.73</v>
          </cell>
          <cell r="I1095">
            <v>1</v>
          </cell>
          <cell r="J1095">
            <v>12</v>
          </cell>
          <cell r="K1095">
            <v>1</v>
          </cell>
          <cell r="L1095">
            <v>44468.76</v>
          </cell>
        </row>
        <row r="1096">
          <cell r="A1096">
            <v>109948</v>
          </cell>
          <cell r="B1096">
            <v>20443</v>
          </cell>
          <cell r="D1096" t="str">
            <v>JUVENILE</v>
          </cell>
          <cell r="E1096" t="str">
            <v>B</v>
          </cell>
          <cell r="F1096" t="str">
            <v>PSYCHIATRIC TECHNICIAN III</v>
          </cell>
          <cell r="G1096" t="str">
            <v>8163A</v>
          </cell>
          <cell r="H1096">
            <v>3705.73</v>
          </cell>
          <cell r="I1096">
            <v>1</v>
          </cell>
          <cell r="J1096">
            <v>12</v>
          </cell>
          <cell r="K1096">
            <v>1</v>
          </cell>
          <cell r="L1096">
            <v>44468.76</v>
          </cell>
        </row>
        <row r="1097">
          <cell r="A1097">
            <v>102186</v>
          </cell>
          <cell r="B1097">
            <v>20443</v>
          </cell>
          <cell r="C1097">
            <v>20443</v>
          </cell>
          <cell r="D1097" t="str">
            <v>JUVENILE</v>
          </cell>
          <cell r="E1097" t="str">
            <v>B</v>
          </cell>
          <cell r="F1097" t="str">
            <v xml:space="preserve">SENIOR TYPIST-CLERK                </v>
          </cell>
          <cell r="G1097" t="str">
            <v>2216A</v>
          </cell>
          <cell r="H1097">
            <v>3013.55</v>
          </cell>
          <cell r="I1097">
            <v>1</v>
          </cell>
          <cell r="J1097">
            <v>12</v>
          </cell>
          <cell r="K1097">
            <v>1</v>
          </cell>
          <cell r="L1097">
            <v>36162.6</v>
          </cell>
        </row>
        <row r="1098">
          <cell r="A1098">
            <v>106279</v>
          </cell>
          <cell r="B1098">
            <v>20446</v>
          </cell>
          <cell r="C1098">
            <v>20443</v>
          </cell>
          <cell r="D1098" t="str">
            <v>JUVENILE</v>
          </cell>
          <cell r="E1098" t="str">
            <v>B</v>
          </cell>
          <cell r="F1098" t="str">
            <v xml:space="preserve">STAFF ASSISTANT I                  </v>
          </cell>
          <cell r="G1098" t="str">
            <v>0907A</v>
          </cell>
          <cell r="H1098">
            <v>3453.18</v>
          </cell>
          <cell r="I1098">
            <v>1</v>
          </cell>
          <cell r="J1098">
            <v>12</v>
          </cell>
          <cell r="K1098">
            <v>1</v>
          </cell>
          <cell r="L1098">
            <v>41438.480000000003</v>
          </cell>
        </row>
        <row r="1099">
          <cell r="A1099">
            <v>106303</v>
          </cell>
          <cell r="B1099">
            <v>23019</v>
          </cell>
          <cell r="C1099">
            <v>20443</v>
          </cell>
          <cell r="D1099" t="str">
            <v>JUVENILE</v>
          </cell>
          <cell r="E1099" t="str">
            <v>B</v>
          </cell>
          <cell r="F1099" t="str">
            <v xml:space="preserve">SUPERVISING TYPIST-CLERK           </v>
          </cell>
          <cell r="G1099" t="str">
            <v>2219A</v>
          </cell>
          <cell r="H1099">
            <v>3013.55</v>
          </cell>
          <cell r="I1099">
            <v>1</v>
          </cell>
          <cell r="J1099">
            <v>12</v>
          </cell>
          <cell r="K1099">
            <v>1</v>
          </cell>
          <cell r="L1099">
            <v>36162.6</v>
          </cell>
        </row>
        <row r="1100">
          <cell r="A1100">
            <v>109418</v>
          </cell>
          <cell r="B1100">
            <v>20443</v>
          </cell>
          <cell r="C1100">
            <v>20443</v>
          </cell>
          <cell r="D1100" t="str">
            <v>JUVENILE</v>
          </cell>
          <cell r="E1100" t="str">
            <v>B</v>
          </cell>
          <cell r="F1100" t="str">
            <v xml:space="preserve">SUPVG PSYCHIATRIC SOCIAL WORKER    </v>
          </cell>
          <cell r="G1100" t="str">
            <v>9038A</v>
          </cell>
          <cell r="H1100">
            <v>6062.45</v>
          </cell>
          <cell r="I1100">
            <v>1</v>
          </cell>
          <cell r="J1100">
            <v>12</v>
          </cell>
          <cell r="K1100">
            <v>1</v>
          </cell>
          <cell r="L1100">
            <v>72749</v>
          </cell>
        </row>
        <row r="1101">
          <cell r="A1101">
            <v>106284</v>
          </cell>
          <cell r="B1101">
            <v>18705</v>
          </cell>
          <cell r="C1101">
            <v>18705</v>
          </cell>
          <cell r="D1101" t="str">
            <v>JUVENILE</v>
          </cell>
          <cell r="E1101" t="str">
            <v>B</v>
          </cell>
          <cell r="F1101" t="str">
            <v>CLINICAL PHARMACIST</v>
          </cell>
          <cell r="G1101" t="str">
            <v>5513A</v>
          </cell>
          <cell r="H1101">
            <v>8270</v>
          </cell>
          <cell r="I1101">
            <v>1</v>
          </cell>
          <cell r="J1101">
            <v>12</v>
          </cell>
          <cell r="K1101">
            <v>1</v>
          </cell>
          <cell r="L1101">
            <v>99240.08</v>
          </cell>
        </row>
        <row r="1102">
          <cell r="A1102">
            <v>106362</v>
          </cell>
          <cell r="B1102">
            <v>21564</v>
          </cell>
          <cell r="C1102">
            <v>18705</v>
          </cell>
          <cell r="D1102" t="str">
            <v>JUVENILE</v>
          </cell>
          <cell r="E1102" t="str">
            <v>B</v>
          </cell>
          <cell r="F1102" t="str">
            <v>CLINICAL PSYCHOLOGIST II</v>
          </cell>
          <cell r="G1102" t="str">
            <v>8697A</v>
          </cell>
          <cell r="H1102">
            <v>6993.82</v>
          </cell>
          <cell r="I1102">
            <v>1</v>
          </cell>
          <cell r="J1102">
            <v>12</v>
          </cell>
          <cell r="K1102">
            <v>1</v>
          </cell>
          <cell r="L1102">
            <v>83925.52</v>
          </cell>
        </row>
        <row r="1103">
          <cell r="A1103">
            <v>106363</v>
          </cell>
          <cell r="B1103">
            <v>21564</v>
          </cell>
          <cell r="C1103">
            <v>18705</v>
          </cell>
          <cell r="D1103" t="str">
            <v>JUVENILE</v>
          </cell>
          <cell r="E1103" t="str">
            <v>B</v>
          </cell>
          <cell r="F1103" t="str">
            <v>CLINICAL PSYCHOLOGIST II</v>
          </cell>
          <cell r="G1103" t="str">
            <v>8697A</v>
          </cell>
          <cell r="H1103">
            <v>6993.82</v>
          </cell>
          <cell r="I1103">
            <v>1</v>
          </cell>
          <cell r="J1103">
            <v>12</v>
          </cell>
          <cell r="K1103">
            <v>1</v>
          </cell>
          <cell r="L1103">
            <v>83925.52</v>
          </cell>
        </row>
        <row r="1104">
          <cell r="A1104">
            <v>104934</v>
          </cell>
          <cell r="B1104">
            <v>18705</v>
          </cell>
          <cell r="C1104">
            <v>18705</v>
          </cell>
          <cell r="D1104" t="str">
            <v>JUVENILE</v>
          </cell>
          <cell r="E1104" t="str">
            <v>B</v>
          </cell>
          <cell r="F1104" t="str">
            <v>INTERMEDIATE TYPIST-CLERK</v>
          </cell>
          <cell r="G1104" t="str">
            <v>2214A</v>
          </cell>
          <cell r="H1104">
            <v>2675.27</v>
          </cell>
          <cell r="I1104">
            <v>1</v>
          </cell>
          <cell r="J1104">
            <v>12</v>
          </cell>
          <cell r="K1104">
            <v>1</v>
          </cell>
          <cell r="L1104">
            <v>32103.16</v>
          </cell>
        </row>
        <row r="1105">
          <cell r="A1105">
            <v>104935</v>
          </cell>
          <cell r="B1105">
            <v>18705</v>
          </cell>
          <cell r="C1105">
            <v>18705</v>
          </cell>
          <cell r="D1105" t="str">
            <v>JUVENILE</v>
          </cell>
          <cell r="E1105" t="str">
            <v>B</v>
          </cell>
          <cell r="F1105" t="str">
            <v>INTERMEDIATE TYPIST-CLERK</v>
          </cell>
          <cell r="G1105" t="str">
            <v>2214A</v>
          </cell>
          <cell r="H1105">
            <v>2675.27</v>
          </cell>
          <cell r="I1105">
            <v>1</v>
          </cell>
          <cell r="J1105">
            <v>12</v>
          </cell>
          <cell r="K1105">
            <v>1</v>
          </cell>
          <cell r="L1105">
            <v>32103.16</v>
          </cell>
        </row>
        <row r="1106">
          <cell r="A1106">
            <v>104936</v>
          </cell>
          <cell r="B1106">
            <v>18705</v>
          </cell>
          <cell r="C1106">
            <v>18705</v>
          </cell>
          <cell r="D1106" t="str">
            <v>JUVENILE</v>
          </cell>
          <cell r="E1106" t="str">
            <v>B</v>
          </cell>
          <cell r="F1106" t="str">
            <v>INTERMEDIATE TYPIST-CLERK</v>
          </cell>
          <cell r="G1106" t="str">
            <v>2214A</v>
          </cell>
          <cell r="H1106">
            <v>2675.27</v>
          </cell>
          <cell r="I1106">
            <v>1</v>
          </cell>
          <cell r="J1106">
            <v>12</v>
          </cell>
          <cell r="K1106">
            <v>1</v>
          </cell>
          <cell r="L1106">
            <v>32103.16</v>
          </cell>
        </row>
        <row r="1107">
          <cell r="A1107">
            <v>106290</v>
          </cell>
          <cell r="B1107">
            <v>23019</v>
          </cell>
          <cell r="C1107">
            <v>18705</v>
          </cell>
          <cell r="D1107" t="str">
            <v>JUVENILE</v>
          </cell>
          <cell r="E1107" t="str">
            <v>B</v>
          </cell>
          <cell r="F1107" t="str">
            <v>INTERMEDIATE TYPIST-CLERK</v>
          </cell>
          <cell r="G1107" t="str">
            <v>2214A</v>
          </cell>
          <cell r="H1107">
            <v>2675.27</v>
          </cell>
          <cell r="I1107">
            <v>1</v>
          </cell>
          <cell r="J1107">
            <v>12</v>
          </cell>
          <cell r="K1107">
            <v>1</v>
          </cell>
          <cell r="L1107">
            <v>32103.16</v>
          </cell>
        </row>
        <row r="1108">
          <cell r="A1108">
            <v>103470</v>
          </cell>
          <cell r="B1108">
            <v>18705</v>
          </cell>
          <cell r="C1108">
            <v>18705</v>
          </cell>
          <cell r="D1108" t="str">
            <v>JUVENILE</v>
          </cell>
          <cell r="E1108" t="str">
            <v>B</v>
          </cell>
          <cell r="F1108" t="str">
            <v>MENTAL HEALTH COUNSELOR, RN</v>
          </cell>
          <cell r="G1108" t="str">
            <v>5278A</v>
          </cell>
          <cell r="H1108">
            <v>6275.27</v>
          </cell>
          <cell r="I1108">
            <v>1</v>
          </cell>
          <cell r="J1108">
            <v>12</v>
          </cell>
          <cell r="K1108">
            <v>1</v>
          </cell>
          <cell r="L1108">
            <v>76804.323333333334</v>
          </cell>
        </row>
        <row r="1109">
          <cell r="A1109">
            <v>104509</v>
          </cell>
          <cell r="B1109">
            <v>18587</v>
          </cell>
          <cell r="C1109">
            <v>18705</v>
          </cell>
          <cell r="D1109" t="str">
            <v>JUVENILE</v>
          </cell>
          <cell r="E1109" t="str">
            <v>B</v>
          </cell>
          <cell r="F1109" t="str">
            <v>MENTAL HEALTH COUNSELOR, RN</v>
          </cell>
          <cell r="G1109" t="str">
            <v>5278A</v>
          </cell>
          <cell r="H1109">
            <v>6275.27</v>
          </cell>
          <cell r="I1109">
            <v>1</v>
          </cell>
          <cell r="J1109">
            <v>12</v>
          </cell>
          <cell r="K1109">
            <v>1</v>
          </cell>
          <cell r="L1109">
            <v>76804.323333333334</v>
          </cell>
        </row>
        <row r="1110">
          <cell r="A1110">
            <v>106297</v>
          </cell>
          <cell r="B1110">
            <v>18705</v>
          </cell>
          <cell r="C1110">
            <v>18705</v>
          </cell>
          <cell r="D1110" t="str">
            <v>JUVENILE</v>
          </cell>
          <cell r="E1110" t="str">
            <v>B</v>
          </cell>
          <cell r="F1110" t="str">
            <v>MENTAL HEALTH COUNSELOR, RN</v>
          </cell>
          <cell r="G1110" t="str">
            <v>5278A</v>
          </cell>
          <cell r="H1110">
            <v>6275.27</v>
          </cell>
          <cell r="I1110">
            <v>1</v>
          </cell>
          <cell r="J1110">
            <v>12</v>
          </cell>
          <cell r="K1110">
            <v>1</v>
          </cell>
          <cell r="L1110">
            <v>76804.323333333334</v>
          </cell>
        </row>
        <row r="1111">
          <cell r="A1111">
            <v>104147</v>
          </cell>
          <cell r="B1111">
            <v>18705</v>
          </cell>
          <cell r="C1111">
            <v>18705</v>
          </cell>
          <cell r="D1111" t="str">
            <v>JUVENILE</v>
          </cell>
          <cell r="E1111" t="str">
            <v>B</v>
          </cell>
          <cell r="F1111" t="str">
            <v>MENTAL HEALTH EDUCATION CONSULTANT</v>
          </cell>
          <cell r="G1111" t="str">
            <v>8709A</v>
          </cell>
          <cell r="H1111">
            <v>7115.73</v>
          </cell>
          <cell r="I1111">
            <v>1</v>
          </cell>
          <cell r="J1111">
            <v>12</v>
          </cell>
          <cell r="K1111">
            <v>1</v>
          </cell>
          <cell r="L1111">
            <v>85389.16</v>
          </cell>
        </row>
        <row r="1112">
          <cell r="A1112">
            <v>100776</v>
          </cell>
          <cell r="B1112">
            <v>18705</v>
          </cell>
          <cell r="C1112">
            <v>18705</v>
          </cell>
          <cell r="D1112" t="str">
            <v>JUVENILE</v>
          </cell>
          <cell r="E1112" t="str">
            <v>B</v>
          </cell>
          <cell r="F1112" t="str">
            <v>MENTAL HEALTH PSYCHIATRIST</v>
          </cell>
          <cell r="G1112" t="str">
            <v>4735A</v>
          </cell>
          <cell r="H1112">
            <v>12844</v>
          </cell>
          <cell r="I1112">
            <v>1</v>
          </cell>
          <cell r="J1112">
            <v>12</v>
          </cell>
          <cell r="K1112">
            <v>1</v>
          </cell>
          <cell r="L1112">
            <v>154128</v>
          </cell>
        </row>
        <row r="1113">
          <cell r="A1113">
            <v>103758</v>
          </cell>
          <cell r="B1113">
            <v>20446</v>
          </cell>
          <cell r="C1113">
            <v>18705</v>
          </cell>
          <cell r="D1113" t="str">
            <v>JUVENILE</v>
          </cell>
          <cell r="E1113" t="str">
            <v>B</v>
          </cell>
          <cell r="F1113" t="str">
            <v>MENTAL HEALTH PSYCHIATRIST</v>
          </cell>
          <cell r="G1113" t="str">
            <v>4735A</v>
          </cell>
          <cell r="H1113">
            <v>12844</v>
          </cell>
          <cell r="I1113">
            <v>1</v>
          </cell>
          <cell r="J1113">
            <v>12</v>
          </cell>
          <cell r="K1113">
            <v>1</v>
          </cell>
          <cell r="L1113">
            <v>154128</v>
          </cell>
        </row>
        <row r="1114">
          <cell r="A1114">
            <v>101063</v>
          </cell>
          <cell r="B1114">
            <v>23036</v>
          </cell>
          <cell r="C1114">
            <v>18705</v>
          </cell>
          <cell r="D1114" t="str">
            <v>JUVENILE</v>
          </cell>
          <cell r="E1114" t="str">
            <v>B</v>
          </cell>
          <cell r="F1114" t="str">
            <v>PSYCHIATRIC SOCIAL WORKER II</v>
          </cell>
          <cell r="G1114" t="str">
            <v>9035A</v>
          </cell>
          <cell r="H1114">
            <v>5425.82</v>
          </cell>
          <cell r="I1114">
            <v>1</v>
          </cell>
          <cell r="J1114">
            <v>12</v>
          </cell>
          <cell r="K1114">
            <v>1</v>
          </cell>
          <cell r="L1114">
            <v>65109.84</v>
          </cell>
        </row>
        <row r="1115">
          <cell r="A1115">
            <v>104931</v>
          </cell>
          <cell r="B1115">
            <v>18705</v>
          </cell>
          <cell r="C1115">
            <v>18705</v>
          </cell>
          <cell r="D1115" t="str">
            <v>JUVENILE</v>
          </cell>
          <cell r="E1115" t="str">
            <v>B</v>
          </cell>
          <cell r="F1115" t="str">
            <v>PSYCHIATRIC SOCIAL WORKER II</v>
          </cell>
          <cell r="G1115" t="str">
            <v>9035A</v>
          </cell>
          <cell r="H1115">
            <v>5425.82</v>
          </cell>
          <cell r="I1115">
            <v>1</v>
          </cell>
          <cell r="J1115">
            <v>12</v>
          </cell>
          <cell r="K1115">
            <v>1</v>
          </cell>
          <cell r="L1115">
            <v>65109.84</v>
          </cell>
        </row>
        <row r="1116">
          <cell r="A1116">
            <v>104940</v>
          </cell>
          <cell r="B1116">
            <v>18705</v>
          </cell>
          <cell r="C1116">
            <v>18705</v>
          </cell>
          <cell r="D1116" t="str">
            <v>JUVENILE</v>
          </cell>
          <cell r="E1116" t="str">
            <v>B</v>
          </cell>
          <cell r="F1116" t="str">
            <v>PSYCHIATRIC SOCIAL WORKER II</v>
          </cell>
          <cell r="G1116" t="str">
            <v>9035A</v>
          </cell>
          <cell r="H1116">
            <v>5425.82</v>
          </cell>
          <cell r="I1116">
            <v>1</v>
          </cell>
          <cell r="J1116">
            <v>12</v>
          </cell>
          <cell r="K1116">
            <v>1</v>
          </cell>
          <cell r="L1116">
            <v>65109.84</v>
          </cell>
        </row>
        <row r="1117">
          <cell r="A1117">
            <v>106301</v>
          </cell>
          <cell r="B1117">
            <v>18705</v>
          </cell>
          <cell r="C1117">
            <v>18705</v>
          </cell>
          <cell r="D1117" t="str">
            <v>JUVENILE</v>
          </cell>
          <cell r="E1117" t="str">
            <v>B</v>
          </cell>
          <cell r="F1117" t="str">
            <v>SENIOR MENTAL HEALTH COUNSELOR, RN</v>
          </cell>
          <cell r="G1117" t="str">
            <v>5280A</v>
          </cell>
          <cell r="H1117">
            <v>6790.09</v>
          </cell>
          <cell r="I1117">
            <v>1</v>
          </cell>
          <cell r="J1117">
            <v>12</v>
          </cell>
          <cell r="K1117">
            <v>1</v>
          </cell>
          <cell r="L1117">
            <v>83105.40203389831</v>
          </cell>
        </row>
        <row r="1118">
          <cell r="A1118">
            <v>106309</v>
          </cell>
          <cell r="B1118">
            <v>18705</v>
          </cell>
          <cell r="C1118">
            <v>18705</v>
          </cell>
          <cell r="D1118" t="str">
            <v>JUVENILE</v>
          </cell>
          <cell r="E1118" t="str">
            <v>B</v>
          </cell>
          <cell r="F1118" t="str">
            <v xml:space="preserve">SUPVG MENTAL HEALTH PSYCHIATRIST   </v>
          </cell>
          <cell r="G1118" t="str">
            <v>4737A</v>
          </cell>
          <cell r="H1118">
            <v>13870</v>
          </cell>
          <cell r="I1118">
            <v>1</v>
          </cell>
          <cell r="J1118">
            <v>12</v>
          </cell>
          <cell r="K1118">
            <v>1</v>
          </cell>
          <cell r="L1118">
            <v>166440</v>
          </cell>
        </row>
        <row r="1119">
          <cell r="A1119">
            <v>104941</v>
          </cell>
          <cell r="B1119">
            <v>18705</v>
          </cell>
          <cell r="C1119">
            <v>18705</v>
          </cell>
          <cell r="D1119" t="str">
            <v>JUVENILE</v>
          </cell>
          <cell r="E1119" t="str">
            <v>B</v>
          </cell>
          <cell r="F1119" t="str">
            <v xml:space="preserve">SUPVG PSYCHIATRIC SOCIAL WORKER    </v>
          </cell>
          <cell r="G1119" t="str">
            <v>9038A</v>
          </cell>
          <cell r="H1119">
            <v>6062.45</v>
          </cell>
          <cell r="I1119">
            <v>1</v>
          </cell>
          <cell r="J1119">
            <v>12</v>
          </cell>
          <cell r="K1119">
            <v>1</v>
          </cell>
          <cell r="L1119">
            <v>72749.399999999994</v>
          </cell>
        </row>
        <row r="1120">
          <cell r="A1120">
            <v>103742</v>
          </cell>
          <cell r="B1120">
            <v>20446</v>
          </cell>
          <cell r="C1120">
            <v>18706</v>
          </cell>
          <cell r="D1120" t="str">
            <v>JUVENILE</v>
          </cell>
          <cell r="E1120" t="str">
            <v>B</v>
          </cell>
          <cell r="F1120" t="str">
            <v>CLINICAL PSYCHOLOGIST II</v>
          </cell>
          <cell r="G1120" t="str">
            <v>8697A</v>
          </cell>
          <cell r="H1120">
            <v>6993.82</v>
          </cell>
          <cell r="I1120">
            <v>1</v>
          </cell>
          <cell r="J1120">
            <v>12</v>
          </cell>
          <cell r="K1120">
            <v>1</v>
          </cell>
          <cell r="L1120">
            <v>83925.52</v>
          </cell>
        </row>
        <row r="1121">
          <cell r="A1121">
            <v>104461</v>
          </cell>
          <cell r="B1121">
            <v>20441</v>
          </cell>
          <cell r="C1121">
            <v>18706</v>
          </cell>
          <cell r="D1121" t="str">
            <v>JUVENILE</v>
          </cell>
          <cell r="E1121" t="str">
            <v>B</v>
          </cell>
          <cell r="F1121" t="str">
            <v>CLINICAL PSYCHOLOGIST II</v>
          </cell>
          <cell r="G1121" t="str">
            <v>8697A</v>
          </cell>
          <cell r="H1121">
            <v>6993.82</v>
          </cell>
          <cell r="I1121">
            <v>1</v>
          </cell>
          <cell r="J1121">
            <v>12</v>
          </cell>
          <cell r="K1121">
            <v>1</v>
          </cell>
          <cell r="L1121">
            <v>83925.52</v>
          </cell>
        </row>
        <row r="1122">
          <cell r="A1122">
            <v>102758</v>
          </cell>
          <cell r="B1122">
            <v>23003</v>
          </cell>
          <cell r="C1122">
            <v>18706</v>
          </cell>
          <cell r="D1122" t="str">
            <v>JUVENILE</v>
          </cell>
          <cell r="E1122" t="str">
            <v>B</v>
          </cell>
          <cell r="F1122" t="str">
            <v>CONSULTING SPECIALIST, MD (PER SESSION)</v>
          </cell>
          <cell r="G1122" t="str">
            <v>5472J</v>
          </cell>
          <cell r="H1122">
            <v>314</v>
          </cell>
          <cell r="I1122">
            <v>1</v>
          </cell>
          <cell r="J1122">
            <v>104</v>
          </cell>
          <cell r="K1122">
            <v>0.19923371647509577</v>
          </cell>
          <cell r="L1122">
            <v>32656.080000000002</v>
          </cell>
        </row>
        <row r="1123">
          <cell r="A1123">
            <v>102184</v>
          </cell>
          <cell r="B1123">
            <v>20443</v>
          </cell>
          <cell r="C1123">
            <v>18706</v>
          </cell>
          <cell r="D1123" t="str">
            <v>JUVENILE</v>
          </cell>
          <cell r="E1123" t="str">
            <v>B</v>
          </cell>
          <cell r="F1123" t="str">
            <v>INTERMEDIATE TYPIST-CLERK</v>
          </cell>
          <cell r="G1123" t="str">
            <v>2214A</v>
          </cell>
          <cell r="H1123">
            <v>2675.27</v>
          </cell>
          <cell r="I1123">
            <v>1</v>
          </cell>
          <cell r="J1123">
            <v>12</v>
          </cell>
          <cell r="K1123">
            <v>1</v>
          </cell>
          <cell r="L1123">
            <v>32103.16</v>
          </cell>
        </row>
        <row r="1124">
          <cell r="A1124">
            <v>103752</v>
          </cell>
          <cell r="B1124">
            <v>18708</v>
          </cell>
          <cell r="C1124">
            <v>18706</v>
          </cell>
          <cell r="D1124" t="str">
            <v>JUVENILE</v>
          </cell>
          <cell r="E1124" t="str">
            <v>B</v>
          </cell>
          <cell r="F1124" t="str">
            <v xml:space="preserve">MANAGEMENT SECRETARY III           </v>
          </cell>
          <cell r="G1124" t="str">
            <v>2109A</v>
          </cell>
          <cell r="H1124">
            <v>4576.7299999999996</v>
          </cell>
          <cell r="I1124">
            <v>1</v>
          </cell>
          <cell r="J1124">
            <v>12</v>
          </cell>
          <cell r="K1124">
            <v>1</v>
          </cell>
          <cell r="L1124">
            <v>54920.52</v>
          </cell>
        </row>
        <row r="1125">
          <cell r="A1125">
            <v>104309</v>
          </cell>
          <cell r="B1125">
            <v>23017</v>
          </cell>
          <cell r="C1125">
            <v>18706</v>
          </cell>
          <cell r="D1125" t="str">
            <v>JUVENILE</v>
          </cell>
          <cell r="E1125" t="str">
            <v>B</v>
          </cell>
          <cell r="F1125" t="str">
            <v>MENTAL HEALTH CONSULTANT,MD(PER SESSION)</v>
          </cell>
          <cell r="G1125" t="str">
            <v>5467J</v>
          </cell>
          <cell r="H1125">
            <v>314</v>
          </cell>
          <cell r="I1125">
            <v>1</v>
          </cell>
          <cell r="J1125">
            <v>287</v>
          </cell>
          <cell r="K1125">
            <v>0.54980842911877392</v>
          </cell>
          <cell r="L1125">
            <v>90118.24</v>
          </cell>
        </row>
        <row r="1126">
          <cell r="A1126">
            <v>106298</v>
          </cell>
          <cell r="B1126">
            <v>18705</v>
          </cell>
          <cell r="C1126">
            <v>18706</v>
          </cell>
          <cell r="D1126" t="str">
            <v>JUVENILE</v>
          </cell>
          <cell r="E1126" t="str">
            <v>B</v>
          </cell>
          <cell r="F1126" t="str">
            <v>MENTAL HEALTH COUNSELOR, RN</v>
          </cell>
          <cell r="G1126" t="str">
            <v>5278A</v>
          </cell>
          <cell r="H1126">
            <v>6275.27</v>
          </cell>
          <cell r="I1126">
            <v>1</v>
          </cell>
          <cell r="J1126">
            <v>12</v>
          </cell>
          <cell r="K1126">
            <v>1</v>
          </cell>
          <cell r="L1126">
            <v>76804.323333333334</v>
          </cell>
        </row>
        <row r="1127">
          <cell r="A1127">
            <v>106254</v>
          </cell>
          <cell r="B1127">
            <v>21565</v>
          </cell>
          <cell r="C1127">
            <v>18706</v>
          </cell>
          <cell r="D1127" t="str">
            <v>JUVENILE</v>
          </cell>
          <cell r="E1127" t="str">
            <v>B</v>
          </cell>
          <cell r="F1127" t="str">
            <v>MENTAL HEALTH SERVICES COORD I</v>
          </cell>
          <cell r="G1127" t="str">
            <v>8148A</v>
          </cell>
          <cell r="H1127">
            <v>5126.91</v>
          </cell>
          <cell r="I1127">
            <v>1</v>
          </cell>
          <cell r="J1127">
            <v>12</v>
          </cell>
          <cell r="K1127">
            <v>1</v>
          </cell>
          <cell r="L1127">
            <v>61522.92</v>
          </cell>
        </row>
        <row r="1128">
          <cell r="A1128">
            <v>104080</v>
          </cell>
          <cell r="B1128">
            <v>18709</v>
          </cell>
          <cell r="C1128">
            <v>18706</v>
          </cell>
          <cell r="D1128" t="str">
            <v>JUVENILE</v>
          </cell>
          <cell r="E1128" t="str">
            <v>B</v>
          </cell>
          <cell r="F1128" t="str">
            <v>MENTAL HLTH CLINICAL DIST CHIEF</v>
          </cell>
          <cell r="G1128" t="str">
            <v>4722A</v>
          </cell>
          <cell r="H1128">
            <v>10074</v>
          </cell>
          <cell r="I1128">
            <v>1</v>
          </cell>
          <cell r="J1128">
            <v>12</v>
          </cell>
          <cell r="K1128">
            <v>1</v>
          </cell>
          <cell r="L1128">
            <v>120887.6</v>
          </cell>
        </row>
        <row r="1129">
          <cell r="A1129">
            <v>103753</v>
          </cell>
          <cell r="B1129">
            <v>18708</v>
          </cell>
          <cell r="C1129">
            <v>18706</v>
          </cell>
          <cell r="D1129" t="str">
            <v>JUVENILE</v>
          </cell>
          <cell r="E1129" t="str">
            <v>B</v>
          </cell>
          <cell r="F1129" t="str">
            <v>MENTAL HLTH CLINICAL DIST CHIEF, MD</v>
          </cell>
          <cell r="G1129" t="str">
            <v>5492A</v>
          </cell>
          <cell r="H1129">
            <v>12444</v>
          </cell>
          <cell r="I1129">
            <v>1</v>
          </cell>
          <cell r="J1129">
            <v>12</v>
          </cell>
          <cell r="K1129">
            <v>1</v>
          </cell>
          <cell r="L1129">
            <v>149328</v>
          </cell>
        </row>
        <row r="1130">
          <cell r="A1130">
            <v>104764</v>
          </cell>
          <cell r="B1130">
            <v>18588</v>
          </cell>
          <cell r="C1130">
            <v>18706</v>
          </cell>
          <cell r="D1130" t="str">
            <v>JUVENILE</v>
          </cell>
          <cell r="E1130" t="str">
            <v>B</v>
          </cell>
          <cell r="F1130" t="str">
            <v xml:space="preserve">PATIENT FINANCIAL SERVICES WORKER  </v>
          </cell>
          <cell r="G1130" t="str">
            <v>9193A</v>
          </cell>
          <cell r="H1130">
            <v>3403.55</v>
          </cell>
          <cell r="I1130">
            <v>1</v>
          </cell>
          <cell r="J1130">
            <v>12</v>
          </cell>
          <cell r="K1130">
            <v>1</v>
          </cell>
          <cell r="L1130">
            <v>40842.6</v>
          </cell>
        </row>
        <row r="1131">
          <cell r="A1131">
            <v>109502</v>
          </cell>
          <cell r="B1131" t="str">
            <v>TBA</v>
          </cell>
          <cell r="C1131">
            <v>18706</v>
          </cell>
          <cell r="D1131" t="str">
            <v>JUVENILE</v>
          </cell>
          <cell r="E1131" t="str">
            <v>B</v>
          </cell>
          <cell r="F1131" t="str">
            <v xml:space="preserve">PSYCHIATRIC SOCIAL WORK CONSULTANT </v>
          </cell>
          <cell r="G1131" t="str">
            <v>9037A</v>
          </cell>
          <cell r="H1131">
            <v>5333</v>
          </cell>
          <cell r="I1131">
            <v>1</v>
          </cell>
          <cell r="J1131">
            <v>12</v>
          </cell>
          <cell r="K1131">
            <v>1</v>
          </cell>
          <cell r="L1131">
            <v>63996</v>
          </cell>
        </row>
        <row r="1132">
          <cell r="A1132">
            <v>102250</v>
          </cell>
          <cell r="B1132">
            <v>20441</v>
          </cell>
          <cell r="C1132">
            <v>18706</v>
          </cell>
          <cell r="D1132" t="str">
            <v>JUVENILE</v>
          </cell>
          <cell r="E1132" t="str">
            <v>B</v>
          </cell>
          <cell r="F1132" t="str">
            <v xml:space="preserve">SECRETARY III                      </v>
          </cell>
          <cell r="G1132" t="str">
            <v>2096A</v>
          </cell>
          <cell r="H1132">
            <v>3387</v>
          </cell>
          <cell r="I1132">
            <v>1</v>
          </cell>
          <cell r="J1132">
            <v>12</v>
          </cell>
          <cell r="K1132">
            <v>1</v>
          </cell>
          <cell r="L1132">
            <v>40643.839999999997</v>
          </cell>
        </row>
        <row r="1133">
          <cell r="A1133">
            <v>104900</v>
          </cell>
          <cell r="B1133">
            <v>21538</v>
          </cell>
          <cell r="C1133">
            <v>18706</v>
          </cell>
          <cell r="D1133" t="str">
            <v>JUVENILE</v>
          </cell>
          <cell r="E1133" t="str">
            <v>B</v>
          </cell>
          <cell r="F1133" t="str">
            <v xml:space="preserve">STAFF ASSISTANT I                  </v>
          </cell>
          <cell r="G1133" t="str">
            <v>0907A</v>
          </cell>
          <cell r="H1133">
            <v>3453.18</v>
          </cell>
          <cell r="I1133">
            <v>1</v>
          </cell>
          <cell r="J1133">
            <v>12</v>
          </cell>
          <cell r="K1133">
            <v>1</v>
          </cell>
          <cell r="L1133">
            <v>41438.480000000003</v>
          </cell>
        </row>
        <row r="1134">
          <cell r="A1134">
            <v>103841</v>
          </cell>
          <cell r="B1134">
            <v>20441</v>
          </cell>
          <cell r="C1134">
            <v>18706</v>
          </cell>
          <cell r="D1134" t="str">
            <v>JUVENILE</v>
          </cell>
          <cell r="E1134" t="str">
            <v>B</v>
          </cell>
          <cell r="F1134" t="str">
            <v xml:space="preserve">STAFF ASSISTANT II                 </v>
          </cell>
          <cell r="G1134" t="str">
            <v>0913A</v>
          </cell>
          <cell r="H1134">
            <v>4167.45</v>
          </cell>
          <cell r="I1134">
            <v>1</v>
          </cell>
          <cell r="J1134">
            <v>12</v>
          </cell>
          <cell r="K1134">
            <v>1</v>
          </cell>
          <cell r="L1134">
            <v>50009.24</v>
          </cell>
        </row>
        <row r="1135">
          <cell r="A1135">
            <v>104065</v>
          </cell>
          <cell r="B1135">
            <v>18708</v>
          </cell>
          <cell r="C1135">
            <v>18706</v>
          </cell>
          <cell r="D1135" t="str">
            <v>JUVENILE</v>
          </cell>
          <cell r="E1135" t="str">
            <v>B</v>
          </cell>
          <cell r="F1135" t="str">
            <v xml:space="preserve">STAFF ASSISTANT II                 </v>
          </cell>
          <cell r="G1135" t="str">
            <v>0913A</v>
          </cell>
          <cell r="H1135">
            <v>4167.45</v>
          </cell>
          <cell r="I1135">
            <v>1</v>
          </cell>
          <cell r="J1135">
            <v>12</v>
          </cell>
          <cell r="K1135">
            <v>1</v>
          </cell>
          <cell r="L1135">
            <v>50009.24</v>
          </cell>
        </row>
        <row r="1136">
          <cell r="A1136">
            <v>104458</v>
          </cell>
          <cell r="B1136">
            <v>18706</v>
          </cell>
          <cell r="C1136">
            <v>18706</v>
          </cell>
          <cell r="D1136" t="str">
            <v>JUVENILE</v>
          </cell>
          <cell r="E1136" t="str">
            <v>B</v>
          </cell>
          <cell r="F1136" t="str">
            <v xml:space="preserve">STAFF ASSISTANT II                 </v>
          </cell>
          <cell r="G1136" t="str">
            <v>0913A</v>
          </cell>
          <cell r="H1136">
            <v>4167.45</v>
          </cell>
          <cell r="I1136">
            <v>1</v>
          </cell>
          <cell r="J1136">
            <v>12</v>
          </cell>
          <cell r="K1136">
            <v>1</v>
          </cell>
          <cell r="L1136">
            <v>50009.24</v>
          </cell>
        </row>
        <row r="1137">
          <cell r="A1137">
            <v>106280</v>
          </cell>
          <cell r="B1137">
            <v>18708</v>
          </cell>
          <cell r="C1137">
            <v>18706</v>
          </cell>
          <cell r="D1137" t="str">
            <v>JUVENILE</v>
          </cell>
          <cell r="E1137" t="str">
            <v>B</v>
          </cell>
          <cell r="F1137" t="str">
            <v xml:space="preserve">STAFF ASSISTANT II                 </v>
          </cell>
          <cell r="G1137" t="str">
            <v>0913A</v>
          </cell>
          <cell r="H1137">
            <v>4167.45</v>
          </cell>
          <cell r="I1137">
            <v>1</v>
          </cell>
          <cell r="J1137">
            <v>12</v>
          </cell>
          <cell r="K1137">
            <v>1</v>
          </cell>
          <cell r="L1137">
            <v>50009.24</v>
          </cell>
        </row>
        <row r="1138">
          <cell r="A1138">
            <v>106283</v>
          </cell>
          <cell r="B1138">
            <v>18708</v>
          </cell>
          <cell r="C1138">
            <v>18706</v>
          </cell>
          <cell r="D1138" t="str">
            <v>JUVENILE</v>
          </cell>
          <cell r="E1138" t="str">
            <v>B</v>
          </cell>
          <cell r="F1138" t="str">
            <v xml:space="preserve">SUPVG MENTAL HEALTH PSYCHIATRIST   </v>
          </cell>
          <cell r="G1138" t="str">
            <v>4737A</v>
          </cell>
          <cell r="H1138">
            <v>13870</v>
          </cell>
          <cell r="I1138">
            <v>1</v>
          </cell>
          <cell r="J1138">
            <v>12</v>
          </cell>
          <cell r="K1138">
            <v>1</v>
          </cell>
          <cell r="L1138">
            <v>166440</v>
          </cell>
        </row>
        <row r="1139">
          <cell r="A1139">
            <v>101665</v>
          </cell>
          <cell r="B1139">
            <v>20441</v>
          </cell>
          <cell r="C1139">
            <v>18706</v>
          </cell>
          <cell r="D1139" t="str">
            <v>JUVENILE</v>
          </cell>
          <cell r="E1139" t="str">
            <v>B</v>
          </cell>
          <cell r="F1139" t="str">
            <v xml:space="preserve">TRANSCRIBER TYPIST                 </v>
          </cell>
          <cell r="G1139" t="str">
            <v>2201A</v>
          </cell>
          <cell r="H1139">
            <v>2906</v>
          </cell>
          <cell r="I1139">
            <v>1</v>
          </cell>
          <cell r="J1139">
            <v>12</v>
          </cell>
          <cell r="K1139">
            <v>1</v>
          </cell>
          <cell r="L1139">
            <v>34872</v>
          </cell>
        </row>
        <row r="1140">
          <cell r="A1140">
            <v>109586</v>
          </cell>
          <cell r="B1140">
            <v>28002</v>
          </cell>
          <cell r="D1140" t="str">
            <v>JUVENILE</v>
          </cell>
          <cell r="E1140" t="str">
            <v>B</v>
          </cell>
          <cell r="F1140" t="str">
            <v>CLINICAL PSYCHOLOGIST II</v>
          </cell>
          <cell r="G1140" t="str">
            <v>8697A</v>
          </cell>
          <cell r="H1140">
            <v>6993.82</v>
          </cell>
          <cell r="I1140">
            <v>1</v>
          </cell>
          <cell r="J1140">
            <v>12</v>
          </cell>
          <cell r="K1140">
            <v>1</v>
          </cell>
          <cell r="L1140">
            <v>83925.84</v>
          </cell>
        </row>
        <row r="1141">
          <cell r="A1141">
            <v>109797</v>
          </cell>
          <cell r="B1141">
            <v>28002</v>
          </cell>
          <cell r="D1141" t="str">
            <v>JUVENILE</v>
          </cell>
          <cell r="E1141" t="str">
            <v>B</v>
          </cell>
          <cell r="F1141" t="str">
            <v>MEDICAL CASE WORKER II</v>
          </cell>
          <cell r="G1141" t="str">
            <v>9002A</v>
          </cell>
          <cell r="H1141">
            <v>3938.82</v>
          </cell>
          <cell r="I1141">
            <v>1</v>
          </cell>
          <cell r="J1141">
            <v>12</v>
          </cell>
          <cell r="K1141">
            <v>1</v>
          </cell>
          <cell r="L1141">
            <v>47265.84</v>
          </cell>
        </row>
        <row r="1142">
          <cell r="A1142">
            <v>109800</v>
          </cell>
          <cell r="B1142">
            <v>28002</v>
          </cell>
          <cell r="C1142">
            <v>28002</v>
          </cell>
          <cell r="D1142" t="str">
            <v>JUVENILE</v>
          </cell>
          <cell r="E1142" t="str">
            <v>B</v>
          </cell>
          <cell r="F1142" t="str">
            <v xml:space="preserve">MENTAL HEALTH ANALYST II           </v>
          </cell>
          <cell r="G1142" t="str">
            <v>4729A</v>
          </cell>
          <cell r="H1142">
            <v>6244.55</v>
          </cell>
          <cell r="I1142">
            <v>1</v>
          </cell>
          <cell r="J1142">
            <v>12</v>
          </cell>
          <cell r="K1142">
            <v>1</v>
          </cell>
          <cell r="L1142">
            <v>74934.600000000006</v>
          </cell>
        </row>
        <row r="1143">
          <cell r="A1143">
            <v>109911</v>
          </cell>
          <cell r="B1143">
            <v>28002</v>
          </cell>
          <cell r="C1143">
            <v>28002</v>
          </cell>
          <cell r="D1143" t="str">
            <v>JUVENILE</v>
          </cell>
          <cell r="E1143" t="str">
            <v>B</v>
          </cell>
          <cell r="F1143" t="str">
            <v xml:space="preserve">SENIOR SECRETARY III               </v>
          </cell>
          <cell r="G1143" t="str">
            <v>2102A</v>
          </cell>
          <cell r="H1143">
            <v>4106.3599999999997</v>
          </cell>
          <cell r="I1143">
            <v>1</v>
          </cell>
          <cell r="J1143">
            <v>12</v>
          </cell>
          <cell r="K1143">
            <v>1</v>
          </cell>
          <cell r="L1143">
            <v>49276.32</v>
          </cell>
        </row>
        <row r="1144">
          <cell r="A1144">
            <v>109861</v>
          </cell>
          <cell r="B1144">
            <v>28002</v>
          </cell>
          <cell r="C1144">
            <v>28002</v>
          </cell>
          <cell r="D1144" t="str">
            <v>JUVENILE</v>
          </cell>
          <cell r="E1144" t="str">
            <v>B</v>
          </cell>
          <cell r="F1144" t="str">
            <v xml:space="preserve">STAFF ASSISTANT II                 </v>
          </cell>
          <cell r="G1144" t="str">
            <v>0913A</v>
          </cell>
          <cell r="H1144">
            <v>4167.45</v>
          </cell>
          <cell r="I1144">
            <v>1</v>
          </cell>
          <cell r="J1144">
            <v>12</v>
          </cell>
          <cell r="K1144">
            <v>1</v>
          </cell>
          <cell r="L1144">
            <v>50009.4</v>
          </cell>
        </row>
        <row r="1145">
          <cell r="A1145">
            <v>106376</v>
          </cell>
          <cell r="B1145">
            <v>21564</v>
          </cell>
          <cell r="C1145">
            <v>21563</v>
          </cell>
          <cell r="D1145" t="str">
            <v>JUVENILE</v>
          </cell>
          <cell r="E1145" t="str">
            <v>B</v>
          </cell>
          <cell r="F1145" t="str">
            <v>CLINICAL PSYCHOLOGIST II</v>
          </cell>
          <cell r="G1145" t="str">
            <v>8697A</v>
          </cell>
          <cell r="H1145">
            <v>6993.82</v>
          </cell>
          <cell r="I1145">
            <v>1</v>
          </cell>
          <cell r="J1145">
            <v>12</v>
          </cell>
          <cell r="K1145">
            <v>1</v>
          </cell>
          <cell r="L1145">
            <v>83925.52</v>
          </cell>
        </row>
        <row r="1146">
          <cell r="A1146">
            <v>100150</v>
          </cell>
          <cell r="B1146">
            <v>20494</v>
          </cell>
          <cell r="C1146">
            <v>21563</v>
          </cell>
          <cell r="D1146" t="str">
            <v>JUVENILE</v>
          </cell>
          <cell r="E1146" t="str">
            <v>B</v>
          </cell>
          <cell r="F1146" t="str">
            <v>COMMUNITY MENTAL HEALTH PSYCHOLOGIST</v>
          </cell>
          <cell r="G1146" t="str">
            <v>8711A</v>
          </cell>
          <cell r="H1146">
            <v>6942.55</v>
          </cell>
          <cell r="I1146">
            <v>1</v>
          </cell>
          <cell r="J1146">
            <v>12</v>
          </cell>
          <cell r="K1146">
            <v>1</v>
          </cell>
          <cell r="L1146">
            <v>83310.2</v>
          </cell>
        </row>
        <row r="1147">
          <cell r="A1147">
            <v>103124</v>
          </cell>
          <cell r="B1147">
            <v>20493</v>
          </cell>
          <cell r="C1147">
            <v>21563</v>
          </cell>
          <cell r="D1147" t="str">
            <v>JUVENILE</v>
          </cell>
          <cell r="E1147" t="str">
            <v>B</v>
          </cell>
          <cell r="F1147" t="str">
            <v>MENTAL HEALTH EDUCATION CONSULTANT</v>
          </cell>
          <cell r="G1147" t="str">
            <v>8709A</v>
          </cell>
          <cell r="H1147">
            <v>7115.73</v>
          </cell>
          <cell r="I1147">
            <v>1</v>
          </cell>
          <cell r="J1147">
            <v>12</v>
          </cell>
          <cell r="K1147">
            <v>1</v>
          </cell>
          <cell r="L1147">
            <v>85389.16</v>
          </cell>
        </row>
        <row r="1148">
          <cell r="A1148">
            <v>106345</v>
          </cell>
          <cell r="B1148">
            <v>21563</v>
          </cell>
          <cell r="C1148">
            <v>21563</v>
          </cell>
          <cell r="D1148" t="str">
            <v>JUVENILE</v>
          </cell>
          <cell r="E1148" t="str">
            <v>B</v>
          </cell>
          <cell r="F1148" t="str">
            <v>MENTAL HLTH CLINICAL DIST CHIEF</v>
          </cell>
          <cell r="G1148" t="str">
            <v>4722A</v>
          </cell>
          <cell r="H1148">
            <v>10074</v>
          </cell>
          <cell r="I1148">
            <v>1</v>
          </cell>
          <cell r="J1148">
            <v>12</v>
          </cell>
          <cell r="K1148">
            <v>1</v>
          </cell>
          <cell r="L1148">
            <v>120887.6</v>
          </cell>
        </row>
        <row r="1149">
          <cell r="A1149">
            <v>106299</v>
          </cell>
          <cell r="B1149">
            <v>21563</v>
          </cell>
          <cell r="C1149">
            <v>21563</v>
          </cell>
          <cell r="D1149" t="str">
            <v>JUVENILE</v>
          </cell>
          <cell r="E1149" t="str">
            <v>B</v>
          </cell>
          <cell r="F1149" t="str">
            <v>MNTL HLTH CLINICAL PROGRAM HEAD</v>
          </cell>
          <cell r="G1149" t="str">
            <v>4726A</v>
          </cell>
          <cell r="H1149">
            <v>8709.73</v>
          </cell>
          <cell r="I1149">
            <v>1</v>
          </cell>
          <cell r="J1149">
            <v>12</v>
          </cell>
          <cell r="K1149">
            <v>1</v>
          </cell>
          <cell r="L1149">
            <v>104516.76</v>
          </cell>
        </row>
        <row r="1150">
          <cell r="A1150">
            <v>102257</v>
          </cell>
          <cell r="B1150">
            <v>20493</v>
          </cell>
          <cell r="C1150">
            <v>21563</v>
          </cell>
          <cell r="D1150" t="str">
            <v>JUVENILE</v>
          </cell>
          <cell r="E1150" t="str">
            <v>B</v>
          </cell>
          <cell r="F1150" t="str">
            <v xml:space="preserve">SENIOR SECRETARY III               </v>
          </cell>
          <cell r="G1150" t="str">
            <v>2102A</v>
          </cell>
          <cell r="H1150">
            <v>4106.3599999999997</v>
          </cell>
          <cell r="I1150">
            <v>1</v>
          </cell>
          <cell r="J1150">
            <v>12</v>
          </cell>
          <cell r="K1150">
            <v>1</v>
          </cell>
          <cell r="L1150">
            <v>49276.56</v>
          </cell>
        </row>
        <row r="1151">
          <cell r="A1151">
            <v>106346</v>
          </cell>
          <cell r="B1151">
            <v>21563</v>
          </cell>
          <cell r="C1151">
            <v>21563</v>
          </cell>
          <cell r="D1151" t="str">
            <v>JUVENILE</v>
          </cell>
          <cell r="E1151" t="str">
            <v>B</v>
          </cell>
          <cell r="F1151" t="str">
            <v xml:space="preserve">SENIOR SECRETARY III               </v>
          </cell>
          <cell r="G1151" t="str">
            <v>2102A</v>
          </cell>
          <cell r="H1151">
            <v>4106.3599999999997</v>
          </cell>
          <cell r="I1151">
            <v>1</v>
          </cell>
          <cell r="J1151">
            <v>12</v>
          </cell>
          <cell r="K1151">
            <v>1</v>
          </cell>
          <cell r="L1151">
            <v>49276.56</v>
          </cell>
        </row>
        <row r="1152">
          <cell r="A1152">
            <v>106347</v>
          </cell>
          <cell r="B1152">
            <v>21563</v>
          </cell>
          <cell r="C1152">
            <v>21563</v>
          </cell>
          <cell r="D1152" t="str">
            <v>JUVENILE</v>
          </cell>
          <cell r="E1152" t="str">
            <v>B</v>
          </cell>
          <cell r="F1152" t="str">
            <v xml:space="preserve">STAFF ASSISTANT II                 </v>
          </cell>
          <cell r="G1152" t="str">
            <v>0913A</v>
          </cell>
          <cell r="H1152">
            <v>4167.45</v>
          </cell>
          <cell r="I1152">
            <v>1</v>
          </cell>
          <cell r="J1152">
            <v>12</v>
          </cell>
          <cell r="K1152">
            <v>1</v>
          </cell>
          <cell r="L1152">
            <v>50009.24</v>
          </cell>
        </row>
        <row r="1153">
          <cell r="A1153">
            <v>104454</v>
          </cell>
          <cell r="B1153">
            <v>18702</v>
          </cell>
          <cell r="C1153">
            <v>21564</v>
          </cell>
          <cell r="D1153" t="str">
            <v>JUVENILE</v>
          </cell>
          <cell r="E1153" t="str">
            <v>B</v>
          </cell>
          <cell r="F1153" t="str">
            <v>CLINICAL PSYCHOLOGIST II</v>
          </cell>
          <cell r="G1153" t="str">
            <v>8697A</v>
          </cell>
          <cell r="H1153">
            <v>6993.82</v>
          </cell>
          <cell r="I1153">
            <v>1</v>
          </cell>
          <cell r="J1153">
            <v>12</v>
          </cell>
          <cell r="K1153">
            <v>1</v>
          </cell>
          <cell r="L1153">
            <v>83925.52</v>
          </cell>
        </row>
        <row r="1154">
          <cell r="A1154">
            <v>104942</v>
          </cell>
          <cell r="B1154">
            <v>18705</v>
          </cell>
          <cell r="C1154">
            <v>21564</v>
          </cell>
          <cell r="D1154" t="str">
            <v>JUVENILE</v>
          </cell>
          <cell r="E1154" t="str">
            <v>B</v>
          </cell>
          <cell r="F1154" t="str">
            <v>CLINICAL PSYCHOLOGIST II</v>
          </cell>
          <cell r="G1154" t="str">
            <v>8697A</v>
          </cell>
          <cell r="H1154">
            <v>6993.82</v>
          </cell>
          <cell r="I1154">
            <v>1</v>
          </cell>
          <cell r="J1154">
            <v>12</v>
          </cell>
          <cell r="K1154">
            <v>1</v>
          </cell>
          <cell r="L1154">
            <v>83925.52</v>
          </cell>
        </row>
        <row r="1155">
          <cell r="A1155">
            <v>106265</v>
          </cell>
          <cell r="B1155">
            <v>20446</v>
          </cell>
          <cell r="C1155">
            <v>21564</v>
          </cell>
          <cell r="D1155" t="str">
            <v>JUVENILE</v>
          </cell>
          <cell r="E1155" t="str">
            <v>B</v>
          </cell>
          <cell r="F1155" t="str">
            <v>CLINICAL PSYCHOLOGIST II</v>
          </cell>
          <cell r="G1155" t="str">
            <v>8697A</v>
          </cell>
          <cell r="H1155">
            <v>6993.82</v>
          </cell>
          <cell r="I1155">
            <v>1</v>
          </cell>
          <cell r="J1155">
            <v>12</v>
          </cell>
          <cell r="K1155">
            <v>1</v>
          </cell>
          <cell r="L1155">
            <v>83925.52</v>
          </cell>
        </row>
        <row r="1156">
          <cell r="A1156">
            <v>106266</v>
          </cell>
          <cell r="B1156">
            <v>20446</v>
          </cell>
          <cell r="C1156">
            <v>21564</v>
          </cell>
          <cell r="D1156" t="str">
            <v>JUVENILE</v>
          </cell>
          <cell r="E1156" t="str">
            <v>B</v>
          </cell>
          <cell r="F1156" t="str">
            <v>CLINICAL PSYCHOLOGIST II</v>
          </cell>
          <cell r="G1156" t="str">
            <v>8697A</v>
          </cell>
          <cell r="H1156">
            <v>6993.82</v>
          </cell>
          <cell r="I1156">
            <v>1</v>
          </cell>
          <cell r="J1156">
            <v>12</v>
          </cell>
          <cell r="K1156">
            <v>1</v>
          </cell>
          <cell r="L1156">
            <v>83925.52</v>
          </cell>
        </row>
        <row r="1157">
          <cell r="A1157">
            <v>106268</v>
          </cell>
          <cell r="B1157">
            <v>20446</v>
          </cell>
          <cell r="C1157">
            <v>21564</v>
          </cell>
          <cell r="D1157" t="str">
            <v>JUVENILE</v>
          </cell>
          <cell r="E1157" t="str">
            <v>B</v>
          </cell>
          <cell r="F1157" t="str">
            <v>CLINICAL PSYCHOLOGIST II</v>
          </cell>
          <cell r="G1157" t="str">
            <v>8697A</v>
          </cell>
          <cell r="H1157">
            <v>6993.82</v>
          </cell>
          <cell r="I1157">
            <v>1</v>
          </cell>
          <cell r="J1157">
            <v>12</v>
          </cell>
          <cell r="K1157">
            <v>1</v>
          </cell>
          <cell r="L1157">
            <v>83925.52</v>
          </cell>
        </row>
        <row r="1158">
          <cell r="A1158">
            <v>106286</v>
          </cell>
          <cell r="B1158">
            <v>23019</v>
          </cell>
          <cell r="C1158">
            <v>21564</v>
          </cell>
          <cell r="D1158" t="str">
            <v>JUVENILE</v>
          </cell>
          <cell r="E1158" t="str">
            <v>B</v>
          </cell>
          <cell r="F1158" t="str">
            <v>CLINICAL PSYCHOLOGIST II</v>
          </cell>
          <cell r="G1158" t="str">
            <v>8697A</v>
          </cell>
          <cell r="H1158">
            <v>6993.82</v>
          </cell>
          <cell r="I1158">
            <v>1</v>
          </cell>
          <cell r="J1158">
            <v>12</v>
          </cell>
          <cell r="K1158">
            <v>1</v>
          </cell>
          <cell r="L1158">
            <v>83925.52</v>
          </cell>
        </row>
        <row r="1159">
          <cell r="A1159">
            <v>106349</v>
          </cell>
          <cell r="B1159">
            <v>21564</v>
          </cell>
          <cell r="C1159">
            <v>21564</v>
          </cell>
          <cell r="D1159" t="str">
            <v>JUVENILE</v>
          </cell>
          <cell r="E1159" t="str">
            <v>B</v>
          </cell>
          <cell r="F1159" t="str">
            <v>CLINICAL PSYCHOLOGIST II</v>
          </cell>
          <cell r="G1159" t="str">
            <v>8697A</v>
          </cell>
          <cell r="H1159">
            <v>6993.82</v>
          </cell>
          <cell r="I1159">
            <v>1</v>
          </cell>
          <cell r="J1159">
            <v>12</v>
          </cell>
          <cell r="K1159">
            <v>1</v>
          </cell>
          <cell r="L1159">
            <v>83925.52</v>
          </cell>
        </row>
        <row r="1160">
          <cell r="A1160">
            <v>106350</v>
          </cell>
          <cell r="B1160">
            <v>21564</v>
          </cell>
          <cell r="C1160">
            <v>21564</v>
          </cell>
          <cell r="D1160" t="str">
            <v>JUVENILE</v>
          </cell>
          <cell r="E1160" t="str">
            <v>B</v>
          </cell>
          <cell r="F1160" t="str">
            <v>CLINICAL PSYCHOLOGIST II</v>
          </cell>
          <cell r="G1160" t="str">
            <v>8697A</v>
          </cell>
          <cell r="H1160">
            <v>6993.82</v>
          </cell>
          <cell r="I1160">
            <v>1</v>
          </cell>
          <cell r="J1160">
            <v>12</v>
          </cell>
          <cell r="K1160">
            <v>1</v>
          </cell>
          <cell r="L1160">
            <v>83925.52</v>
          </cell>
        </row>
        <row r="1161">
          <cell r="A1161">
            <v>106351</v>
          </cell>
          <cell r="B1161">
            <v>21564</v>
          </cell>
          <cell r="C1161">
            <v>21564</v>
          </cell>
          <cell r="D1161" t="str">
            <v>JUVENILE</v>
          </cell>
          <cell r="E1161" t="str">
            <v>B</v>
          </cell>
          <cell r="F1161" t="str">
            <v>CLINICAL PSYCHOLOGIST II</v>
          </cell>
          <cell r="G1161" t="str">
            <v>8697A</v>
          </cell>
          <cell r="H1161">
            <v>6993.82</v>
          </cell>
          <cell r="I1161">
            <v>1</v>
          </cell>
          <cell r="J1161">
            <v>12</v>
          </cell>
          <cell r="K1161">
            <v>1</v>
          </cell>
          <cell r="L1161">
            <v>83925.52</v>
          </cell>
        </row>
        <row r="1162">
          <cell r="A1162">
            <v>106353</v>
          </cell>
          <cell r="B1162">
            <v>21564</v>
          </cell>
          <cell r="C1162">
            <v>21564</v>
          </cell>
          <cell r="D1162" t="str">
            <v>JUVENILE</v>
          </cell>
          <cell r="E1162" t="str">
            <v>B</v>
          </cell>
          <cell r="F1162" t="str">
            <v>CLINICAL PSYCHOLOGIST II</v>
          </cell>
          <cell r="G1162" t="str">
            <v>8697A</v>
          </cell>
          <cell r="H1162">
            <v>6993.82</v>
          </cell>
          <cell r="I1162">
            <v>1</v>
          </cell>
          <cell r="J1162">
            <v>12</v>
          </cell>
          <cell r="K1162">
            <v>1</v>
          </cell>
          <cell r="L1162">
            <v>83925.52</v>
          </cell>
        </row>
        <row r="1163">
          <cell r="A1163">
            <v>106357</v>
          </cell>
          <cell r="B1163">
            <v>21564</v>
          </cell>
          <cell r="C1163">
            <v>21564</v>
          </cell>
          <cell r="D1163" t="str">
            <v>JUVENILE</v>
          </cell>
          <cell r="E1163" t="str">
            <v>B</v>
          </cell>
          <cell r="F1163" t="str">
            <v>CLINICAL PSYCHOLOGIST II</v>
          </cell>
          <cell r="G1163" t="str">
            <v>8697A</v>
          </cell>
          <cell r="H1163">
            <v>6993.82</v>
          </cell>
          <cell r="I1163">
            <v>1</v>
          </cell>
          <cell r="J1163">
            <v>12</v>
          </cell>
          <cell r="K1163">
            <v>1</v>
          </cell>
          <cell r="L1163">
            <v>83925.52</v>
          </cell>
        </row>
        <row r="1164">
          <cell r="A1164">
            <v>106358</v>
          </cell>
          <cell r="B1164">
            <v>21564</v>
          </cell>
          <cell r="C1164">
            <v>21564</v>
          </cell>
          <cell r="D1164" t="str">
            <v>JUVENILE</v>
          </cell>
          <cell r="E1164" t="str">
            <v>B</v>
          </cell>
          <cell r="F1164" t="str">
            <v>CLINICAL PSYCHOLOGIST II</v>
          </cell>
          <cell r="G1164" t="str">
            <v>8697A</v>
          </cell>
          <cell r="H1164">
            <v>6993.82</v>
          </cell>
          <cell r="I1164">
            <v>1</v>
          </cell>
          <cell r="J1164">
            <v>12</v>
          </cell>
          <cell r="K1164">
            <v>1</v>
          </cell>
          <cell r="L1164">
            <v>83925.52</v>
          </cell>
        </row>
        <row r="1165">
          <cell r="A1165">
            <v>106364</v>
          </cell>
          <cell r="B1165">
            <v>21564</v>
          </cell>
          <cell r="C1165">
            <v>21564</v>
          </cell>
          <cell r="D1165" t="str">
            <v>JUVENILE</v>
          </cell>
          <cell r="E1165" t="str">
            <v>B</v>
          </cell>
          <cell r="F1165" t="str">
            <v>CLINICAL PSYCHOLOGIST II</v>
          </cell>
          <cell r="G1165" t="str">
            <v>8697A</v>
          </cell>
          <cell r="H1165">
            <v>6993.82</v>
          </cell>
          <cell r="I1165">
            <v>1</v>
          </cell>
          <cell r="J1165">
            <v>12</v>
          </cell>
          <cell r="K1165">
            <v>1</v>
          </cell>
          <cell r="L1165">
            <v>83925.52</v>
          </cell>
        </row>
        <row r="1166">
          <cell r="A1166">
            <v>106369</v>
          </cell>
          <cell r="B1166">
            <v>21564</v>
          </cell>
          <cell r="C1166">
            <v>21564</v>
          </cell>
          <cell r="D1166" t="str">
            <v>JUVENILE</v>
          </cell>
          <cell r="E1166" t="str">
            <v>B</v>
          </cell>
          <cell r="F1166" t="str">
            <v>CLINICAL PSYCHOLOGIST II</v>
          </cell>
          <cell r="G1166" t="str">
            <v>8697A</v>
          </cell>
          <cell r="H1166">
            <v>6993.82</v>
          </cell>
          <cell r="I1166">
            <v>1</v>
          </cell>
          <cell r="J1166">
            <v>12</v>
          </cell>
          <cell r="K1166">
            <v>1</v>
          </cell>
          <cell r="L1166">
            <v>83925.52</v>
          </cell>
        </row>
        <row r="1167">
          <cell r="A1167">
            <v>106375</v>
          </cell>
          <cell r="B1167">
            <v>21564</v>
          </cell>
          <cell r="C1167">
            <v>21564</v>
          </cell>
          <cell r="D1167" t="str">
            <v>JUVENILE</v>
          </cell>
          <cell r="E1167" t="str">
            <v>B</v>
          </cell>
          <cell r="F1167" t="str">
            <v>CLINICAL PSYCHOLOGIST II</v>
          </cell>
          <cell r="G1167" t="str">
            <v>8697A</v>
          </cell>
          <cell r="H1167">
            <v>6993.82</v>
          </cell>
          <cell r="I1167">
            <v>1</v>
          </cell>
          <cell r="J1167">
            <v>12</v>
          </cell>
          <cell r="K1167">
            <v>1</v>
          </cell>
          <cell r="L1167">
            <v>83925.52</v>
          </cell>
        </row>
        <row r="1168">
          <cell r="A1168">
            <v>106304</v>
          </cell>
          <cell r="B1168">
            <v>23019</v>
          </cell>
          <cell r="C1168">
            <v>21564</v>
          </cell>
          <cell r="D1168" t="str">
            <v>JUVENILE</v>
          </cell>
          <cell r="E1168" t="str">
            <v>B</v>
          </cell>
          <cell r="F1168" t="str">
            <v>INTERMEDIATE TYPIST-CLERK</v>
          </cell>
          <cell r="G1168" t="str">
            <v>2214A</v>
          </cell>
          <cell r="H1168">
            <v>2675.27</v>
          </cell>
          <cell r="I1168">
            <v>1</v>
          </cell>
          <cell r="J1168">
            <v>12</v>
          </cell>
          <cell r="K1168">
            <v>1</v>
          </cell>
          <cell r="L1168">
            <v>32103.16</v>
          </cell>
        </row>
        <row r="1169">
          <cell r="A1169">
            <v>106408</v>
          </cell>
          <cell r="B1169">
            <v>21564</v>
          </cell>
          <cell r="C1169">
            <v>21564</v>
          </cell>
          <cell r="D1169" t="str">
            <v>JUVENILE</v>
          </cell>
          <cell r="E1169" t="str">
            <v>B</v>
          </cell>
          <cell r="F1169" t="str">
            <v>INTERMEDIATE TYPIST-CLERK</v>
          </cell>
          <cell r="G1169" t="str">
            <v>2214A</v>
          </cell>
          <cell r="H1169">
            <v>2675.27</v>
          </cell>
          <cell r="I1169">
            <v>1</v>
          </cell>
          <cell r="J1169">
            <v>12</v>
          </cell>
          <cell r="K1169">
            <v>1</v>
          </cell>
          <cell r="L1169">
            <v>32103.16</v>
          </cell>
        </row>
        <row r="1170">
          <cell r="A1170">
            <v>106409</v>
          </cell>
          <cell r="B1170">
            <v>21564</v>
          </cell>
          <cell r="C1170">
            <v>21564</v>
          </cell>
          <cell r="D1170" t="str">
            <v>JUVENILE</v>
          </cell>
          <cell r="E1170" t="str">
            <v>B</v>
          </cell>
          <cell r="F1170" t="str">
            <v>INTERMEDIATE TYPIST-CLERK</v>
          </cell>
          <cell r="G1170" t="str">
            <v>2214A</v>
          </cell>
          <cell r="H1170">
            <v>2675.27</v>
          </cell>
          <cell r="I1170">
            <v>1</v>
          </cell>
          <cell r="J1170">
            <v>12</v>
          </cell>
          <cell r="K1170">
            <v>1</v>
          </cell>
          <cell r="L1170">
            <v>32103.16</v>
          </cell>
        </row>
        <row r="1171">
          <cell r="A1171">
            <v>104912</v>
          </cell>
          <cell r="B1171">
            <v>20446</v>
          </cell>
          <cell r="C1171">
            <v>21564</v>
          </cell>
          <cell r="D1171" t="str">
            <v>JUVENILE</v>
          </cell>
          <cell r="E1171" t="str">
            <v>B</v>
          </cell>
          <cell r="F1171" t="str">
            <v>MEDICAL CASE WORKER II</v>
          </cell>
          <cell r="G1171" t="str">
            <v>9002A</v>
          </cell>
          <cell r="H1171">
            <v>3938.82</v>
          </cell>
          <cell r="I1171">
            <v>1</v>
          </cell>
          <cell r="J1171">
            <v>12</v>
          </cell>
          <cell r="K1171">
            <v>1</v>
          </cell>
          <cell r="L1171">
            <v>47265.68</v>
          </cell>
        </row>
        <row r="1172">
          <cell r="A1172">
            <v>106328</v>
          </cell>
          <cell r="B1172">
            <v>21562</v>
          </cell>
          <cell r="C1172">
            <v>21564</v>
          </cell>
          <cell r="D1172" t="str">
            <v>JUVENILE</v>
          </cell>
          <cell r="E1172" t="str">
            <v>B</v>
          </cell>
          <cell r="F1172" t="str">
            <v>MEDICAL CASE WORKER II</v>
          </cell>
          <cell r="G1172" t="str">
            <v>9002A</v>
          </cell>
          <cell r="H1172">
            <v>3938.82</v>
          </cell>
          <cell r="I1172">
            <v>1</v>
          </cell>
          <cell r="J1172">
            <v>12</v>
          </cell>
          <cell r="K1172">
            <v>1</v>
          </cell>
          <cell r="L1172">
            <v>47265.68</v>
          </cell>
        </row>
        <row r="1173">
          <cell r="A1173">
            <v>103757</v>
          </cell>
          <cell r="B1173">
            <v>20446</v>
          </cell>
          <cell r="C1173">
            <v>21564</v>
          </cell>
          <cell r="D1173" t="str">
            <v>JUVENILE</v>
          </cell>
          <cell r="E1173" t="str">
            <v>B</v>
          </cell>
          <cell r="F1173" t="str">
            <v>MENTAL HEALTH PSYCHIATRIST</v>
          </cell>
          <cell r="G1173" t="str">
            <v>4735A</v>
          </cell>
          <cell r="H1173">
            <v>12844</v>
          </cell>
          <cell r="I1173">
            <v>1</v>
          </cell>
          <cell r="J1173">
            <v>12</v>
          </cell>
          <cell r="K1173">
            <v>1</v>
          </cell>
          <cell r="L1173">
            <v>154128</v>
          </cell>
        </row>
        <row r="1174">
          <cell r="A1174">
            <v>101097</v>
          </cell>
          <cell r="B1174">
            <v>20446</v>
          </cell>
          <cell r="C1174">
            <v>21564</v>
          </cell>
          <cell r="D1174" t="str">
            <v>JUVENILE</v>
          </cell>
          <cell r="E1174" t="str">
            <v>B</v>
          </cell>
          <cell r="F1174" t="str">
            <v>PSYCHIATRIC SOCIAL WORKER II</v>
          </cell>
          <cell r="G1174" t="str">
            <v>9035A</v>
          </cell>
          <cell r="H1174">
            <v>5425.82</v>
          </cell>
          <cell r="I1174">
            <v>1</v>
          </cell>
          <cell r="J1174">
            <v>12</v>
          </cell>
          <cell r="K1174">
            <v>1</v>
          </cell>
          <cell r="L1174">
            <v>65109.84</v>
          </cell>
        </row>
        <row r="1175">
          <cell r="A1175">
            <v>101099</v>
          </cell>
          <cell r="B1175">
            <v>20446</v>
          </cell>
          <cell r="C1175">
            <v>21564</v>
          </cell>
          <cell r="D1175" t="str">
            <v>JUVENILE</v>
          </cell>
          <cell r="E1175" t="str">
            <v>B</v>
          </cell>
          <cell r="F1175" t="str">
            <v>PSYCHIATRIC SOCIAL WORKER II</v>
          </cell>
          <cell r="G1175" t="str">
            <v>9035A</v>
          </cell>
          <cell r="H1175">
            <v>5425.82</v>
          </cell>
          <cell r="I1175">
            <v>1</v>
          </cell>
          <cell r="J1175">
            <v>12</v>
          </cell>
          <cell r="K1175">
            <v>1</v>
          </cell>
          <cell r="L1175">
            <v>65109.84</v>
          </cell>
        </row>
        <row r="1176">
          <cell r="A1176">
            <v>103809</v>
          </cell>
          <cell r="B1176">
            <v>20446</v>
          </cell>
          <cell r="C1176">
            <v>21564</v>
          </cell>
          <cell r="D1176" t="str">
            <v>JUVENILE</v>
          </cell>
          <cell r="E1176" t="str">
            <v>B</v>
          </cell>
          <cell r="F1176" t="str">
            <v>PSYCHIATRIC TECHNICIAN III</v>
          </cell>
          <cell r="G1176" t="str">
            <v>8163A</v>
          </cell>
          <cell r="H1176">
            <v>3705.73</v>
          </cell>
          <cell r="I1176">
            <v>1</v>
          </cell>
          <cell r="J1176">
            <v>12</v>
          </cell>
          <cell r="K1176">
            <v>1</v>
          </cell>
          <cell r="L1176">
            <v>44468.76</v>
          </cell>
        </row>
        <row r="1177">
          <cell r="A1177">
            <v>104455</v>
          </cell>
          <cell r="B1177">
            <v>20444</v>
          </cell>
          <cell r="C1177">
            <v>21564</v>
          </cell>
          <cell r="D1177" t="str">
            <v>JUVENILE</v>
          </cell>
          <cell r="E1177" t="str">
            <v>B</v>
          </cell>
          <cell r="F1177" t="str">
            <v xml:space="preserve">SR COMMUN MENTAL HLTH PSYCHOLOGIST </v>
          </cell>
          <cell r="G1177" t="str">
            <v>8712A</v>
          </cell>
          <cell r="H1177">
            <v>7311.45</v>
          </cell>
          <cell r="I1177">
            <v>1</v>
          </cell>
          <cell r="J1177">
            <v>12</v>
          </cell>
          <cell r="K1177">
            <v>1</v>
          </cell>
          <cell r="L1177">
            <v>87737.16</v>
          </cell>
        </row>
        <row r="1178">
          <cell r="A1178">
            <v>106415</v>
          </cell>
          <cell r="B1178">
            <v>21564</v>
          </cell>
          <cell r="C1178">
            <v>21564</v>
          </cell>
          <cell r="D1178" t="str">
            <v>JUVENILE</v>
          </cell>
          <cell r="E1178" t="str">
            <v>B</v>
          </cell>
          <cell r="F1178" t="str">
            <v xml:space="preserve">SR COMMUN MENTAL HLTH PSYCHOLOGIST </v>
          </cell>
          <cell r="G1178" t="str">
            <v>8712A</v>
          </cell>
          <cell r="H1178">
            <v>7311.45</v>
          </cell>
          <cell r="I1178">
            <v>1</v>
          </cell>
          <cell r="J1178">
            <v>12</v>
          </cell>
          <cell r="K1178">
            <v>1</v>
          </cell>
          <cell r="L1178">
            <v>87737.16</v>
          </cell>
        </row>
        <row r="1179">
          <cell r="A1179">
            <v>106416</v>
          </cell>
          <cell r="B1179">
            <v>21564</v>
          </cell>
          <cell r="C1179">
            <v>21564</v>
          </cell>
          <cell r="D1179" t="str">
            <v>JUVENILE</v>
          </cell>
          <cell r="E1179" t="str">
            <v>B</v>
          </cell>
          <cell r="F1179" t="str">
            <v xml:space="preserve">SR COMMUN MENTAL HLTH PSYCHOLOGIST </v>
          </cell>
          <cell r="G1179" t="str">
            <v>8712A</v>
          </cell>
          <cell r="H1179">
            <v>7311.45</v>
          </cell>
          <cell r="I1179">
            <v>1</v>
          </cell>
          <cell r="J1179">
            <v>12</v>
          </cell>
          <cell r="K1179">
            <v>1</v>
          </cell>
          <cell r="L1179">
            <v>87737.16</v>
          </cell>
        </row>
        <row r="1180">
          <cell r="A1180">
            <v>102244</v>
          </cell>
          <cell r="B1180">
            <v>20445</v>
          </cell>
          <cell r="C1180">
            <v>21564</v>
          </cell>
          <cell r="D1180" t="str">
            <v>JUVENILE</v>
          </cell>
          <cell r="E1180" t="str">
            <v>B</v>
          </cell>
          <cell r="F1180" t="str">
            <v xml:space="preserve">SUPVG PSYCHIATRIC SOCIAL WORKER    </v>
          </cell>
          <cell r="G1180" t="str">
            <v>9038A</v>
          </cell>
          <cell r="H1180">
            <v>6062.45</v>
          </cell>
          <cell r="I1180">
            <v>1</v>
          </cell>
          <cell r="J1180">
            <v>12</v>
          </cell>
          <cell r="K1180">
            <v>1</v>
          </cell>
          <cell r="L1180">
            <v>72749.399999999994</v>
          </cell>
        </row>
        <row r="1181">
          <cell r="A1181">
            <v>102686</v>
          </cell>
          <cell r="B1181">
            <v>20941</v>
          </cell>
          <cell r="C1181">
            <v>18677</v>
          </cell>
          <cell r="D1181" t="str">
            <v>JUVENILE</v>
          </cell>
          <cell r="E1181" t="str">
            <v>B</v>
          </cell>
          <cell r="F1181" t="str">
            <v>MENTAL HEALTH SERVICES COORD II</v>
          </cell>
          <cell r="G1181" t="str">
            <v>8149N</v>
          </cell>
          <cell r="H1181">
            <v>5152.3599999999997</v>
          </cell>
          <cell r="I1181">
            <v>1</v>
          </cell>
          <cell r="J1181">
            <v>12</v>
          </cell>
          <cell r="K1181">
            <v>1</v>
          </cell>
          <cell r="L1181">
            <v>61828.72</v>
          </cell>
        </row>
        <row r="1182">
          <cell r="A1182">
            <v>104148</v>
          </cell>
          <cell r="B1182">
            <v>18677</v>
          </cell>
          <cell r="C1182">
            <v>18703</v>
          </cell>
          <cell r="D1182" t="str">
            <v>JUVENILE</v>
          </cell>
          <cell r="E1182" t="str">
            <v>B</v>
          </cell>
          <cell r="F1182" t="str">
            <v>MENTAL HEALTH SERVICES COORD I</v>
          </cell>
          <cell r="G1182" t="str">
            <v>8148A</v>
          </cell>
          <cell r="H1182">
            <v>5126.91</v>
          </cell>
          <cell r="I1182">
            <v>1</v>
          </cell>
          <cell r="J1182">
            <v>12</v>
          </cell>
          <cell r="K1182">
            <v>1</v>
          </cell>
          <cell r="L1182">
            <v>61522.92</v>
          </cell>
        </row>
        <row r="1183">
          <cell r="A1183">
            <v>104088</v>
          </cell>
          <cell r="B1183">
            <v>18703</v>
          </cell>
          <cell r="C1183">
            <v>18703</v>
          </cell>
          <cell r="D1183" t="str">
            <v>JUVENILE</v>
          </cell>
          <cell r="E1183" t="str">
            <v>B</v>
          </cell>
          <cell r="F1183" t="str">
            <v xml:space="preserve">SECRETARY III                      </v>
          </cell>
          <cell r="G1183" t="str">
            <v>2096A</v>
          </cell>
          <cell r="H1183">
            <v>3387</v>
          </cell>
          <cell r="I1183">
            <v>1</v>
          </cell>
          <cell r="J1183">
            <v>12</v>
          </cell>
          <cell r="K1183">
            <v>1</v>
          </cell>
          <cell r="L1183">
            <v>40643.839999999997</v>
          </cell>
        </row>
        <row r="1184">
          <cell r="A1184">
            <v>104581</v>
          </cell>
          <cell r="B1184">
            <v>20559</v>
          </cell>
          <cell r="C1184">
            <v>23019</v>
          </cell>
          <cell r="D1184" t="str">
            <v>JUVENILE</v>
          </cell>
          <cell r="E1184" t="str">
            <v>B</v>
          </cell>
          <cell r="F1184" t="str">
            <v>CLINICAL PSYCHOLOGIST II</v>
          </cell>
          <cell r="G1184" t="str">
            <v>8697A</v>
          </cell>
          <cell r="H1184">
            <v>6993.82</v>
          </cell>
          <cell r="I1184">
            <v>1</v>
          </cell>
          <cell r="J1184">
            <v>12</v>
          </cell>
          <cell r="K1184">
            <v>1</v>
          </cell>
          <cell r="L1184">
            <v>83925.52</v>
          </cell>
        </row>
        <row r="1185">
          <cell r="A1185">
            <v>106262</v>
          </cell>
          <cell r="B1185">
            <v>21561</v>
          </cell>
          <cell r="C1185">
            <v>23019</v>
          </cell>
          <cell r="D1185" t="str">
            <v>JUVENILE</v>
          </cell>
          <cell r="E1185" t="str">
            <v>B</v>
          </cell>
          <cell r="F1185" t="str">
            <v>CLINICAL PSYCHOLOGIST II</v>
          </cell>
          <cell r="G1185" t="str">
            <v>8697A</v>
          </cell>
          <cell r="H1185">
            <v>6993.82</v>
          </cell>
          <cell r="I1185">
            <v>1</v>
          </cell>
          <cell r="J1185">
            <v>12</v>
          </cell>
          <cell r="K1185">
            <v>1</v>
          </cell>
          <cell r="L1185">
            <v>83925.52</v>
          </cell>
        </row>
        <row r="1186">
          <cell r="A1186">
            <v>106307</v>
          </cell>
          <cell r="B1186">
            <v>23019</v>
          </cell>
          <cell r="C1186">
            <v>23019</v>
          </cell>
          <cell r="D1186" t="str">
            <v>JUVENILE</v>
          </cell>
          <cell r="E1186" t="str">
            <v>B</v>
          </cell>
          <cell r="F1186" t="str">
            <v>CLINICAL PSYCHOLOGIST II</v>
          </cell>
          <cell r="G1186" t="str">
            <v>8697A</v>
          </cell>
          <cell r="H1186">
            <v>6993.82</v>
          </cell>
          <cell r="I1186">
            <v>1</v>
          </cell>
          <cell r="J1186">
            <v>12</v>
          </cell>
          <cell r="K1186">
            <v>1</v>
          </cell>
          <cell r="L1186">
            <v>83925.52</v>
          </cell>
        </row>
        <row r="1187">
          <cell r="A1187">
            <v>106366</v>
          </cell>
          <cell r="B1187">
            <v>21564</v>
          </cell>
          <cell r="C1187">
            <v>23019</v>
          </cell>
          <cell r="D1187" t="str">
            <v>JUVENILE</v>
          </cell>
          <cell r="E1187" t="str">
            <v>B</v>
          </cell>
          <cell r="F1187" t="str">
            <v>CLINICAL PSYCHOLOGIST II</v>
          </cell>
          <cell r="G1187" t="str">
            <v>8697A</v>
          </cell>
          <cell r="H1187">
            <v>6993.82</v>
          </cell>
          <cell r="I1187">
            <v>1</v>
          </cell>
          <cell r="J1187">
            <v>12</v>
          </cell>
          <cell r="K1187">
            <v>1</v>
          </cell>
          <cell r="L1187">
            <v>83925.52</v>
          </cell>
        </row>
        <row r="1188">
          <cell r="A1188">
            <v>106372</v>
          </cell>
          <cell r="B1188">
            <v>21564</v>
          </cell>
          <cell r="C1188">
            <v>23019</v>
          </cell>
          <cell r="D1188" t="str">
            <v>JUVENILE</v>
          </cell>
          <cell r="E1188" t="str">
            <v>B</v>
          </cell>
          <cell r="F1188" t="str">
            <v>CLINICAL PSYCHOLOGIST II</v>
          </cell>
          <cell r="G1188" t="str">
            <v>8697A</v>
          </cell>
          <cell r="H1188">
            <v>6993.82</v>
          </cell>
          <cell r="I1188">
            <v>1</v>
          </cell>
          <cell r="J1188">
            <v>12</v>
          </cell>
          <cell r="K1188">
            <v>1</v>
          </cell>
          <cell r="L1188">
            <v>83925.52</v>
          </cell>
        </row>
        <row r="1189">
          <cell r="A1189">
            <v>106308</v>
          </cell>
          <cell r="B1189">
            <v>21563</v>
          </cell>
          <cell r="C1189">
            <v>23019</v>
          </cell>
          <cell r="D1189" t="str">
            <v>JUVENILE</v>
          </cell>
          <cell r="E1189" t="str">
            <v>B</v>
          </cell>
          <cell r="F1189" t="str">
            <v xml:space="preserve">INT SUPERVISING TYPIST-CLERK       </v>
          </cell>
          <cell r="G1189" t="str">
            <v>2221A</v>
          </cell>
          <cell r="H1189">
            <v>3337.91</v>
          </cell>
          <cell r="I1189">
            <v>1</v>
          </cell>
          <cell r="J1189">
            <v>12</v>
          </cell>
          <cell r="K1189">
            <v>1</v>
          </cell>
          <cell r="L1189">
            <v>40054.519999999997</v>
          </cell>
        </row>
        <row r="1190">
          <cell r="A1190">
            <v>104160</v>
          </cell>
          <cell r="B1190">
            <v>23010</v>
          </cell>
          <cell r="C1190">
            <v>23019</v>
          </cell>
          <cell r="D1190" t="str">
            <v>JUVENILE</v>
          </cell>
          <cell r="E1190" t="str">
            <v>B</v>
          </cell>
          <cell r="F1190" t="str">
            <v>INTERMEDIATE TYPIST-CLERK</v>
          </cell>
          <cell r="G1190" t="str">
            <v>2214A</v>
          </cell>
          <cell r="H1190">
            <v>2675.27</v>
          </cell>
          <cell r="I1190">
            <v>1</v>
          </cell>
          <cell r="J1190">
            <v>12</v>
          </cell>
          <cell r="K1190">
            <v>1</v>
          </cell>
          <cell r="L1190">
            <v>32103.16</v>
          </cell>
        </row>
        <row r="1191">
          <cell r="A1191">
            <v>106410</v>
          </cell>
          <cell r="B1191">
            <v>21564</v>
          </cell>
          <cell r="C1191">
            <v>23019</v>
          </cell>
          <cell r="D1191" t="str">
            <v>JUVENILE</v>
          </cell>
          <cell r="E1191" t="str">
            <v>B</v>
          </cell>
          <cell r="F1191" t="str">
            <v>INTERMEDIATE TYPIST-CLERK</v>
          </cell>
          <cell r="G1191" t="str">
            <v>2214A</v>
          </cell>
          <cell r="H1191">
            <v>2675.27</v>
          </cell>
          <cell r="I1191">
            <v>1</v>
          </cell>
          <cell r="J1191">
            <v>12</v>
          </cell>
          <cell r="K1191">
            <v>1</v>
          </cell>
          <cell r="L1191">
            <v>32103.16</v>
          </cell>
        </row>
        <row r="1192">
          <cell r="A1192">
            <v>106414</v>
          </cell>
          <cell r="B1192">
            <v>21564</v>
          </cell>
          <cell r="C1192">
            <v>23019</v>
          </cell>
          <cell r="D1192" t="str">
            <v>JUVENILE</v>
          </cell>
          <cell r="E1192" t="str">
            <v>B</v>
          </cell>
          <cell r="F1192" t="str">
            <v xml:space="preserve">SR COMMUN MENTAL HLTH PSYCHOLOGIST </v>
          </cell>
          <cell r="G1192" t="str">
            <v>8712A</v>
          </cell>
          <cell r="H1192">
            <v>7311.45</v>
          </cell>
          <cell r="I1192">
            <v>1</v>
          </cell>
          <cell r="J1192">
            <v>12</v>
          </cell>
          <cell r="K1192">
            <v>1</v>
          </cell>
          <cell r="L1192">
            <v>87737.16</v>
          </cell>
        </row>
        <row r="1193">
          <cell r="A1193">
            <v>106302</v>
          </cell>
          <cell r="B1193">
            <v>23019</v>
          </cell>
          <cell r="C1193">
            <v>23019</v>
          </cell>
          <cell r="D1193" t="str">
            <v>JUVENILE</v>
          </cell>
          <cell r="E1193" t="str">
            <v>B</v>
          </cell>
          <cell r="F1193" t="str">
            <v xml:space="preserve">SUPERVISING TYPIST-CLERK           </v>
          </cell>
          <cell r="G1193" t="str">
            <v>2219A</v>
          </cell>
          <cell r="H1193">
            <v>3013.55</v>
          </cell>
          <cell r="I1193">
            <v>1</v>
          </cell>
          <cell r="J1193">
            <v>12</v>
          </cell>
          <cell r="K1193">
            <v>1</v>
          </cell>
          <cell r="L1193">
            <v>36162.6</v>
          </cell>
        </row>
        <row r="1194">
          <cell r="A1194">
            <v>110045</v>
          </cell>
          <cell r="B1194">
            <v>32021</v>
          </cell>
          <cell r="D1194" t="str">
            <v>JUVENILE</v>
          </cell>
          <cell r="E1194" t="str">
            <v>M</v>
          </cell>
          <cell r="F1194" t="str">
            <v>CLINICAL PSYCHOLOGIST II</v>
          </cell>
          <cell r="G1194" t="str">
            <v>8697A</v>
          </cell>
          <cell r="H1194">
            <v>6993.82</v>
          </cell>
          <cell r="I1194">
            <v>1</v>
          </cell>
          <cell r="J1194">
            <v>12</v>
          </cell>
          <cell r="K1194">
            <v>1</v>
          </cell>
          <cell r="L1194">
            <v>83925.84</v>
          </cell>
        </row>
        <row r="1195">
          <cell r="A1195">
            <v>110044</v>
          </cell>
          <cell r="B1195">
            <v>32021</v>
          </cell>
          <cell r="D1195" t="str">
            <v>JUVENILE</v>
          </cell>
          <cell r="E1195" t="str">
            <v>M</v>
          </cell>
          <cell r="F1195" t="str">
            <v xml:space="preserve">DIV CHIEF,PROGRAM DEVELOPMENT,MH   </v>
          </cell>
          <cell r="G1195" t="str">
            <v>4720A</v>
          </cell>
          <cell r="H1195">
            <v>9356</v>
          </cell>
          <cell r="I1195">
            <v>1</v>
          </cell>
          <cell r="J1195">
            <v>12</v>
          </cell>
          <cell r="K1195">
            <v>1</v>
          </cell>
          <cell r="L1195">
            <v>112272</v>
          </cell>
        </row>
        <row r="1196">
          <cell r="A1196">
            <v>110046</v>
          </cell>
          <cell r="B1196">
            <v>32021</v>
          </cell>
          <cell r="D1196" t="str">
            <v>JUVENILE</v>
          </cell>
          <cell r="E1196" t="str">
            <v>M</v>
          </cell>
          <cell r="F1196" t="str">
            <v>MENTAL HEALTH SERVICES COORD II</v>
          </cell>
          <cell r="G1196" t="str">
            <v>8149A</v>
          </cell>
          <cell r="H1196">
            <v>5152.3599999999997</v>
          </cell>
          <cell r="I1196">
            <v>1</v>
          </cell>
          <cell r="J1196">
            <v>12</v>
          </cell>
          <cell r="K1196">
            <v>1</v>
          </cell>
          <cell r="L1196">
            <v>61828.32</v>
          </cell>
        </row>
        <row r="1197">
          <cell r="A1197">
            <v>110049</v>
          </cell>
          <cell r="B1197">
            <v>32021</v>
          </cell>
          <cell r="D1197" t="str">
            <v>JUVENILE</v>
          </cell>
          <cell r="E1197" t="str">
            <v>M</v>
          </cell>
          <cell r="F1197" t="str">
            <v xml:space="preserve">SENIOR SECRETARY III               </v>
          </cell>
          <cell r="G1197" t="str">
            <v>2102A</v>
          </cell>
          <cell r="H1197">
            <v>4106.3599999999997</v>
          </cell>
          <cell r="I1197">
            <v>1</v>
          </cell>
          <cell r="J1197">
            <v>12</v>
          </cell>
          <cell r="K1197">
            <v>1</v>
          </cell>
          <cell r="L1197">
            <v>49276.32</v>
          </cell>
        </row>
        <row r="1198">
          <cell r="A1198">
            <v>110048</v>
          </cell>
          <cell r="B1198">
            <v>32021</v>
          </cell>
          <cell r="D1198" t="str">
            <v>JUVENILE</v>
          </cell>
          <cell r="E1198" t="str">
            <v>M</v>
          </cell>
          <cell r="F1198" t="str">
            <v xml:space="preserve">SENIOR TYPIST-CLERK                </v>
          </cell>
          <cell r="G1198" t="str">
            <v>2216A</v>
          </cell>
          <cell r="H1198">
            <v>3013.55</v>
          </cell>
          <cell r="I1198">
            <v>1</v>
          </cell>
          <cell r="J1198">
            <v>12</v>
          </cell>
          <cell r="K1198">
            <v>1</v>
          </cell>
          <cell r="L1198">
            <v>36162.6</v>
          </cell>
        </row>
        <row r="1199">
          <cell r="A1199">
            <v>110047</v>
          </cell>
          <cell r="B1199">
            <v>32021</v>
          </cell>
          <cell r="D1199" t="str">
            <v>JUVENILE</v>
          </cell>
          <cell r="E1199" t="str">
            <v>M</v>
          </cell>
          <cell r="F1199" t="str">
            <v xml:space="preserve">STAFF ASSISTANT II                 </v>
          </cell>
          <cell r="G1199" t="str">
            <v>0913A</v>
          </cell>
          <cell r="H1199">
            <v>4167.45</v>
          </cell>
          <cell r="I1199">
            <v>1</v>
          </cell>
          <cell r="J1199">
            <v>12</v>
          </cell>
          <cell r="K1199">
            <v>1</v>
          </cell>
          <cell r="L1199">
            <v>50009.4</v>
          </cell>
        </row>
        <row r="1200">
          <cell r="A1200">
            <v>110051</v>
          </cell>
          <cell r="B1200">
            <v>32024</v>
          </cell>
          <cell r="D1200" t="str">
            <v>JUVENILE</v>
          </cell>
          <cell r="E1200" t="str">
            <v>M</v>
          </cell>
          <cell r="F1200" t="str">
            <v>MEDICAL CASE WORKER II</v>
          </cell>
          <cell r="G1200" t="str">
            <v>9002A</v>
          </cell>
          <cell r="H1200">
            <v>3938.82</v>
          </cell>
          <cell r="I1200">
            <v>1</v>
          </cell>
          <cell r="J1200">
            <v>12</v>
          </cell>
          <cell r="K1200">
            <v>1</v>
          </cell>
          <cell r="L1200">
            <v>47265.84</v>
          </cell>
        </row>
        <row r="1201">
          <cell r="A1201">
            <v>110052</v>
          </cell>
          <cell r="B1201">
            <v>32024</v>
          </cell>
          <cell r="D1201" t="str">
            <v>JUVENILE</v>
          </cell>
          <cell r="E1201" t="str">
            <v>M</v>
          </cell>
          <cell r="F1201" t="str">
            <v>MEDICAL CASE WORKER II</v>
          </cell>
          <cell r="G1201" t="str">
            <v>9002A</v>
          </cell>
          <cell r="H1201">
            <v>3938.82</v>
          </cell>
          <cell r="I1201">
            <v>1</v>
          </cell>
          <cell r="J1201">
            <v>12</v>
          </cell>
          <cell r="K1201">
            <v>1</v>
          </cell>
          <cell r="L1201">
            <v>47265.84</v>
          </cell>
        </row>
        <row r="1202">
          <cell r="A1202">
            <v>110053</v>
          </cell>
          <cell r="B1202">
            <v>32024</v>
          </cell>
          <cell r="D1202" t="str">
            <v>JUVENILE</v>
          </cell>
          <cell r="E1202" t="str">
            <v>M</v>
          </cell>
          <cell r="F1202" t="str">
            <v>MEDICAL CASE WORKER II</v>
          </cell>
          <cell r="G1202" t="str">
            <v>9002A</v>
          </cell>
          <cell r="H1202">
            <v>3938.82</v>
          </cell>
          <cell r="I1202">
            <v>1</v>
          </cell>
          <cell r="J1202">
            <v>12</v>
          </cell>
          <cell r="K1202">
            <v>1</v>
          </cell>
          <cell r="L1202">
            <v>47265.84</v>
          </cell>
        </row>
        <row r="1203">
          <cell r="A1203">
            <v>110054</v>
          </cell>
          <cell r="B1203">
            <v>32024</v>
          </cell>
          <cell r="D1203" t="str">
            <v>JUVENILE</v>
          </cell>
          <cell r="E1203" t="str">
            <v>M</v>
          </cell>
          <cell r="F1203" t="str">
            <v>MEDICAL CASE WORKER II</v>
          </cell>
          <cell r="G1203" t="str">
            <v>9002A</v>
          </cell>
          <cell r="H1203">
            <v>3938.82</v>
          </cell>
          <cell r="I1203">
            <v>1</v>
          </cell>
          <cell r="J1203">
            <v>12</v>
          </cell>
          <cell r="K1203">
            <v>1</v>
          </cell>
          <cell r="L1203">
            <v>47265.84</v>
          </cell>
        </row>
        <row r="1204">
          <cell r="A1204">
            <v>110055</v>
          </cell>
          <cell r="B1204">
            <v>32024</v>
          </cell>
          <cell r="D1204" t="str">
            <v>JUVENILE</v>
          </cell>
          <cell r="E1204" t="str">
            <v>M</v>
          </cell>
          <cell r="F1204" t="str">
            <v>MEDICAL CASE WORKER II</v>
          </cell>
          <cell r="G1204" t="str">
            <v>9002A</v>
          </cell>
          <cell r="H1204">
            <v>3938.82</v>
          </cell>
          <cell r="I1204">
            <v>1</v>
          </cell>
          <cell r="J1204">
            <v>12</v>
          </cell>
          <cell r="K1204">
            <v>1</v>
          </cell>
          <cell r="L1204">
            <v>47265.84</v>
          </cell>
        </row>
        <row r="1205">
          <cell r="A1205">
            <v>110056</v>
          </cell>
          <cell r="B1205">
            <v>32024</v>
          </cell>
          <cell r="D1205" t="str">
            <v>JUVENILE</v>
          </cell>
          <cell r="E1205" t="str">
            <v>M</v>
          </cell>
          <cell r="F1205" t="str">
            <v>MEDICAL CASE WORKER II</v>
          </cell>
          <cell r="G1205" t="str">
            <v>9002A</v>
          </cell>
          <cell r="H1205">
            <v>3938.82</v>
          </cell>
          <cell r="I1205">
            <v>1</v>
          </cell>
          <cell r="J1205">
            <v>12</v>
          </cell>
          <cell r="K1205">
            <v>1</v>
          </cell>
          <cell r="L1205">
            <v>47265.84</v>
          </cell>
        </row>
        <row r="1206">
          <cell r="A1206">
            <v>110057</v>
          </cell>
          <cell r="B1206">
            <v>32024</v>
          </cell>
          <cell r="D1206" t="str">
            <v>JUVENILE</v>
          </cell>
          <cell r="E1206" t="str">
            <v>M</v>
          </cell>
          <cell r="F1206" t="str">
            <v>MEDICAL CASE WORKER II</v>
          </cell>
          <cell r="G1206" t="str">
            <v>9002A</v>
          </cell>
          <cell r="H1206">
            <v>3938.82</v>
          </cell>
          <cell r="I1206">
            <v>1</v>
          </cell>
          <cell r="J1206">
            <v>12</v>
          </cell>
          <cell r="K1206">
            <v>1</v>
          </cell>
          <cell r="L1206">
            <v>47265.84</v>
          </cell>
        </row>
        <row r="1207">
          <cell r="A1207">
            <v>110058</v>
          </cell>
          <cell r="B1207">
            <v>32024</v>
          </cell>
          <cell r="D1207" t="str">
            <v>JUVENILE</v>
          </cell>
          <cell r="E1207" t="str">
            <v>M</v>
          </cell>
          <cell r="F1207" t="str">
            <v>MEDICAL CASE WORKER II</v>
          </cell>
          <cell r="G1207" t="str">
            <v>9002A</v>
          </cell>
          <cell r="H1207">
            <v>3938.82</v>
          </cell>
          <cell r="I1207">
            <v>1</v>
          </cell>
          <cell r="J1207">
            <v>12</v>
          </cell>
          <cell r="K1207">
            <v>1</v>
          </cell>
          <cell r="L1207">
            <v>47265.84</v>
          </cell>
        </row>
        <row r="1208">
          <cell r="A1208">
            <v>110050</v>
          </cell>
          <cell r="B1208">
            <v>32024</v>
          </cell>
          <cell r="D1208" t="str">
            <v>JUVENILE</v>
          </cell>
          <cell r="E1208" t="str">
            <v>M</v>
          </cell>
          <cell r="F1208" t="str">
            <v>MENTAL HEALTH SERVICES COORD I</v>
          </cell>
          <cell r="G1208" t="str">
            <v>8148A</v>
          </cell>
          <cell r="H1208">
            <v>5126.91</v>
          </cell>
          <cell r="I1208">
            <v>1</v>
          </cell>
          <cell r="J1208">
            <v>12</v>
          </cell>
          <cell r="K1208">
            <v>1</v>
          </cell>
          <cell r="L1208">
            <v>61522.92</v>
          </cell>
        </row>
        <row r="1209">
          <cell r="A1209">
            <v>100106</v>
          </cell>
          <cell r="B1209">
            <v>20446</v>
          </cell>
          <cell r="C1209">
            <v>20446</v>
          </cell>
          <cell r="D1209" t="str">
            <v>SA1&amp;3</v>
          </cell>
          <cell r="E1209" t="str">
            <v>B</v>
          </cell>
          <cell r="F1209" t="str">
            <v>CLINICAL PSYCHOLOGIST II</v>
          </cell>
          <cell r="G1209" t="str">
            <v>8697A</v>
          </cell>
          <cell r="H1209">
            <v>6993.82</v>
          </cell>
          <cell r="I1209">
            <v>1</v>
          </cell>
          <cell r="J1209">
            <v>12</v>
          </cell>
          <cell r="K1209">
            <v>1</v>
          </cell>
          <cell r="L1209">
            <v>83925.52</v>
          </cell>
        </row>
        <row r="1210">
          <cell r="A1210">
            <v>103744</v>
          </cell>
          <cell r="B1210">
            <v>20446</v>
          </cell>
          <cell r="C1210">
            <v>20446</v>
          </cell>
          <cell r="D1210" t="str">
            <v>SA1&amp;3</v>
          </cell>
          <cell r="E1210" t="str">
            <v>B</v>
          </cell>
          <cell r="F1210" t="str">
            <v>CLINICAL PSYCHOLOGIST II</v>
          </cell>
          <cell r="G1210" t="str">
            <v>8697A</v>
          </cell>
          <cell r="H1210">
            <v>6993.82</v>
          </cell>
          <cell r="I1210">
            <v>1</v>
          </cell>
          <cell r="J1210">
            <v>12</v>
          </cell>
          <cell r="K1210">
            <v>1</v>
          </cell>
          <cell r="L1210">
            <v>83925.84</v>
          </cell>
        </row>
        <row r="1211">
          <cell r="A1211">
            <v>104904</v>
          </cell>
          <cell r="B1211">
            <v>20446</v>
          </cell>
          <cell r="C1211">
            <v>20446</v>
          </cell>
          <cell r="D1211" t="str">
            <v>SA1&amp;3</v>
          </cell>
          <cell r="E1211" t="str">
            <v>B</v>
          </cell>
          <cell r="F1211" t="str">
            <v>INTERMEDIATE TYPIST-CLERK</v>
          </cell>
          <cell r="G1211" t="str">
            <v>2214A</v>
          </cell>
          <cell r="H1211">
            <v>2675.27</v>
          </cell>
          <cell r="I1211">
            <v>1</v>
          </cell>
          <cell r="J1211">
            <v>12</v>
          </cell>
          <cell r="K1211">
            <v>1</v>
          </cell>
          <cell r="L1211">
            <v>32103.16</v>
          </cell>
        </row>
        <row r="1212">
          <cell r="A1212">
            <v>103755</v>
          </cell>
          <cell r="B1212">
            <v>20446</v>
          </cell>
          <cell r="C1212">
            <v>20446</v>
          </cell>
          <cell r="D1212" t="str">
            <v>SA1&amp;3</v>
          </cell>
          <cell r="E1212" t="str">
            <v>B</v>
          </cell>
          <cell r="F1212" t="str">
            <v>MNTL HLTH CLINICAL PROGRAM HEAD</v>
          </cell>
          <cell r="G1212" t="str">
            <v>4726A</v>
          </cell>
          <cell r="H1212">
            <v>8709.73</v>
          </cell>
          <cell r="I1212">
            <v>1</v>
          </cell>
          <cell r="J1212">
            <v>12</v>
          </cell>
          <cell r="K1212">
            <v>1</v>
          </cell>
          <cell r="L1212">
            <v>104516.76</v>
          </cell>
        </row>
        <row r="1213">
          <cell r="A1213">
            <v>106281</v>
          </cell>
          <cell r="B1213">
            <v>20446</v>
          </cell>
          <cell r="C1213">
            <v>20446</v>
          </cell>
          <cell r="D1213" t="str">
            <v>SA1&amp;3</v>
          </cell>
          <cell r="E1213" t="str">
            <v>B</v>
          </cell>
          <cell r="F1213" t="str">
            <v>PSYCHIATRIC SOCIAL WORKER II</v>
          </cell>
          <cell r="G1213" t="str">
            <v>9035A</v>
          </cell>
          <cell r="H1213">
            <v>5425.82</v>
          </cell>
          <cell r="I1213">
            <v>1</v>
          </cell>
          <cell r="J1213">
            <v>12</v>
          </cell>
          <cell r="K1213">
            <v>1</v>
          </cell>
          <cell r="L1213">
            <v>65109.84</v>
          </cell>
        </row>
        <row r="1214">
          <cell r="A1214">
            <v>104052</v>
          </cell>
          <cell r="B1214">
            <v>20446</v>
          </cell>
          <cell r="C1214">
            <v>20446</v>
          </cell>
          <cell r="D1214" t="str">
            <v>SA1&amp;3</v>
          </cell>
          <cell r="E1214" t="str">
            <v>B</v>
          </cell>
          <cell r="F1214" t="str">
            <v>PSYCHIATRIC TECHNICIAN II</v>
          </cell>
          <cell r="G1214" t="str">
            <v>8162A</v>
          </cell>
          <cell r="H1214">
            <v>3420.09</v>
          </cell>
          <cell r="I1214">
            <v>1</v>
          </cell>
          <cell r="J1214">
            <v>12</v>
          </cell>
          <cell r="K1214">
            <v>1</v>
          </cell>
          <cell r="L1214">
            <v>41041.08</v>
          </cell>
        </row>
        <row r="1215">
          <cell r="A1215">
            <v>104053</v>
          </cell>
          <cell r="B1215">
            <v>20446</v>
          </cell>
          <cell r="C1215">
            <v>20446</v>
          </cell>
          <cell r="D1215" t="str">
            <v>SA1&amp;3</v>
          </cell>
          <cell r="E1215" t="str">
            <v>B</v>
          </cell>
          <cell r="F1215" t="str">
            <v>PSYCHIATRIC TECHNICIAN II</v>
          </cell>
          <cell r="G1215" t="str">
            <v>8162A</v>
          </cell>
          <cell r="H1215">
            <v>3420.09</v>
          </cell>
          <cell r="I1215">
            <v>1</v>
          </cell>
          <cell r="J1215">
            <v>12</v>
          </cell>
          <cell r="K1215">
            <v>1</v>
          </cell>
          <cell r="L1215">
            <v>41041.08</v>
          </cell>
        </row>
        <row r="1216">
          <cell r="A1216">
            <v>103803</v>
          </cell>
          <cell r="B1216">
            <v>20446</v>
          </cell>
          <cell r="C1216">
            <v>20446</v>
          </cell>
          <cell r="D1216" t="str">
            <v>SA1&amp;3</v>
          </cell>
          <cell r="E1216" t="str">
            <v>B</v>
          </cell>
          <cell r="F1216" t="str">
            <v>PSYCHIATRIC TECHNICIAN III</v>
          </cell>
          <cell r="G1216" t="str">
            <v>8163A</v>
          </cell>
          <cell r="H1216">
            <v>3705.73</v>
          </cell>
          <cell r="I1216">
            <v>1</v>
          </cell>
          <cell r="J1216">
            <v>12</v>
          </cell>
          <cell r="K1216">
            <v>1</v>
          </cell>
          <cell r="L1216">
            <v>44468.76</v>
          </cell>
        </row>
        <row r="1217">
          <cell r="A1217">
            <v>103820</v>
          </cell>
          <cell r="B1217">
            <v>20446</v>
          </cell>
          <cell r="C1217">
            <v>20446</v>
          </cell>
          <cell r="D1217" t="str">
            <v>SA1&amp;3</v>
          </cell>
          <cell r="E1217" t="str">
            <v>B</v>
          </cell>
          <cell r="F1217" t="str">
            <v xml:space="preserve">SECRETARY III                      </v>
          </cell>
          <cell r="G1217" t="str">
            <v>2096A</v>
          </cell>
          <cell r="H1217">
            <v>3387</v>
          </cell>
          <cell r="I1217">
            <v>1</v>
          </cell>
          <cell r="J1217">
            <v>12</v>
          </cell>
          <cell r="K1217">
            <v>1</v>
          </cell>
          <cell r="L1217">
            <v>40643.839999999997</v>
          </cell>
        </row>
        <row r="1218">
          <cell r="A1218">
            <v>100117</v>
          </cell>
          <cell r="B1218">
            <v>18704</v>
          </cell>
          <cell r="C1218">
            <v>18704</v>
          </cell>
          <cell r="D1218" t="str">
            <v>SA1&amp;3</v>
          </cell>
          <cell r="E1218" t="str">
            <v>B</v>
          </cell>
          <cell r="F1218" t="str">
            <v>CLINICAL PSYCHOLOGIST II</v>
          </cell>
          <cell r="G1218" t="str">
            <v>8697A</v>
          </cell>
          <cell r="H1218">
            <v>6993.82</v>
          </cell>
          <cell r="I1218">
            <v>1</v>
          </cell>
          <cell r="J1218">
            <v>12</v>
          </cell>
          <cell r="K1218">
            <v>1</v>
          </cell>
          <cell r="L1218">
            <v>83925.52</v>
          </cell>
        </row>
        <row r="1219">
          <cell r="A1219">
            <v>102835</v>
          </cell>
          <cell r="B1219">
            <v>18704</v>
          </cell>
          <cell r="C1219">
            <v>18704</v>
          </cell>
          <cell r="D1219" t="str">
            <v>SA1&amp;3</v>
          </cell>
          <cell r="E1219" t="str">
            <v>B</v>
          </cell>
          <cell r="F1219" t="str">
            <v>CLINICAL PSYCHOLOGIST II</v>
          </cell>
          <cell r="G1219" t="str">
            <v>8697A</v>
          </cell>
          <cell r="H1219">
            <v>6993.82</v>
          </cell>
          <cell r="I1219">
            <v>1</v>
          </cell>
          <cell r="J1219">
            <v>12</v>
          </cell>
          <cell r="K1219">
            <v>1</v>
          </cell>
          <cell r="L1219">
            <v>83925.52</v>
          </cell>
        </row>
        <row r="1220">
          <cell r="A1220">
            <v>103054</v>
          </cell>
          <cell r="B1220">
            <v>18704</v>
          </cell>
          <cell r="C1220">
            <v>18704</v>
          </cell>
          <cell r="D1220" t="str">
            <v>SA1&amp;3</v>
          </cell>
          <cell r="E1220" t="str">
            <v>B</v>
          </cell>
          <cell r="F1220" t="str">
            <v>MENTAL HEALTH COUNSELOR, RN</v>
          </cell>
          <cell r="G1220" t="str">
            <v>5278A</v>
          </cell>
          <cell r="H1220">
            <v>6275.27</v>
          </cell>
          <cell r="I1220">
            <v>1</v>
          </cell>
          <cell r="J1220">
            <v>12</v>
          </cell>
          <cell r="K1220">
            <v>1</v>
          </cell>
          <cell r="L1220">
            <v>76804.323333333334</v>
          </cell>
        </row>
        <row r="1221">
          <cell r="A1221">
            <v>103051</v>
          </cell>
          <cell r="B1221">
            <v>18704</v>
          </cell>
          <cell r="C1221">
            <v>18704</v>
          </cell>
          <cell r="D1221" t="str">
            <v>SA1&amp;3</v>
          </cell>
          <cell r="E1221" t="str">
            <v>B</v>
          </cell>
          <cell r="F1221" t="str">
            <v>MENTAL HEALTH SERVICES COORD II</v>
          </cell>
          <cell r="G1221" t="str">
            <v>8149A</v>
          </cell>
          <cell r="H1221">
            <v>5152.3599999999997</v>
          </cell>
          <cell r="I1221">
            <v>1</v>
          </cell>
          <cell r="J1221">
            <v>12</v>
          </cell>
          <cell r="K1221">
            <v>1</v>
          </cell>
          <cell r="L1221">
            <v>61828.72</v>
          </cell>
        </row>
        <row r="1222">
          <cell r="A1222">
            <v>103052</v>
          </cell>
          <cell r="B1222">
            <v>18704</v>
          </cell>
          <cell r="C1222">
            <v>18704</v>
          </cell>
          <cell r="D1222" t="str">
            <v>SA1&amp;3</v>
          </cell>
          <cell r="E1222" t="str">
            <v>B</v>
          </cell>
          <cell r="F1222" t="str">
            <v>PSYCHIATRIC SOCIAL WORKER II</v>
          </cell>
          <cell r="G1222" t="str">
            <v>9035A</v>
          </cell>
          <cell r="H1222">
            <v>5425.82</v>
          </cell>
          <cell r="I1222">
            <v>1</v>
          </cell>
          <cell r="J1222">
            <v>12</v>
          </cell>
          <cell r="K1222">
            <v>1</v>
          </cell>
          <cell r="L1222">
            <v>65109.84</v>
          </cell>
        </row>
        <row r="1223">
          <cell r="A1223">
            <v>104353</v>
          </cell>
          <cell r="B1223">
            <v>18704</v>
          </cell>
          <cell r="C1223">
            <v>18704</v>
          </cell>
          <cell r="D1223" t="str">
            <v>SA1&amp;3</v>
          </cell>
          <cell r="E1223" t="str">
            <v>B</v>
          </cell>
          <cell r="F1223" t="str">
            <v>PSYCHIATRIC SOCIAL WORKER II</v>
          </cell>
          <cell r="G1223" t="str">
            <v>9035A</v>
          </cell>
          <cell r="H1223">
            <v>5425.82</v>
          </cell>
          <cell r="I1223">
            <v>1</v>
          </cell>
          <cell r="J1223">
            <v>12</v>
          </cell>
          <cell r="K1223">
            <v>1</v>
          </cell>
          <cell r="L1223">
            <v>65109.84</v>
          </cell>
        </row>
        <row r="1224">
          <cell r="A1224">
            <v>106324</v>
          </cell>
          <cell r="B1224">
            <v>20492</v>
          </cell>
          <cell r="C1224">
            <v>18704</v>
          </cell>
          <cell r="D1224" t="str">
            <v>SA1&amp;3</v>
          </cell>
          <cell r="E1224" t="str">
            <v>B</v>
          </cell>
          <cell r="F1224" t="str">
            <v>PSYCHIATRIC SOCIAL WORKER II</v>
          </cell>
          <cell r="G1224" t="str">
            <v>9035A</v>
          </cell>
          <cell r="H1224">
            <v>5425.82</v>
          </cell>
          <cell r="I1224">
            <v>1</v>
          </cell>
          <cell r="J1224">
            <v>12</v>
          </cell>
          <cell r="K1224">
            <v>1</v>
          </cell>
          <cell r="L1224">
            <v>65109.84</v>
          </cell>
        </row>
        <row r="1225">
          <cell r="A1225">
            <v>102777</v>
          </cell>
          <cell r="B1225">
            <v>20941</v>
          </cell>
          <cell r="C1225">
            <v>18704</v>
          </cell>
          <cell r="D1225" t="str">
            <v>SA1&amp;3</v>
          </cell>
          <cell r="E1225" t="str">
            <v>B</v>
          </cell>
          <cell r="F1225" t="str">
            <v xml:space="preserve">SENIOR TYPIST-CLERK                </v>
          </cell>
          <cell r="G1225" t="str">
            <v>2216N</v>
          </cell>
          <cell r="H1225">
            <v>3013.55</v>
          </cell>
          <cell r="I1225">
            <v>1</v>
          </cell>
          <cell r="J1225">
            <v>12</v>
          </cell>
          <cell r="K1225">
            <v>1</v>
          </cell>
          <cell r="L1225">
            <v>36162.6</v>
          </cell>
        </row>
        <row r="1226">
          <cell r="A1226">
            <v>100137</v>
          </cell>
          <cell r="B1226">
            <v>18674</v>
          </cell>
          <cell r="C1226">
            <v>18674</v>
          </cell>
          <cell r="D1226" t="str">
            <v>SA1&amp;3</v>
          </cell>
          <cell r="E1226" t="str">
            <v>B</v>
          </cell>
          <cell r="F1226" t="str">
            <v>CLINICAL PSYCHOLOGIST II</v>
          </cell>
          <cell r="G1226" t="str">
            <v>8697A</v>
          </cell>
          <cell r="H1226">
            <v>6993.82</v>
          </cell>
          <cell r="I1226">
            <v>1</v>
          </cell>
          <cell r="J1226">
            <v>12</v>
          </cell>
          <cell r="K1226">
            <v>1</v>
          </cell>
          <cell r="L1226">
            <v>83925.52</v>
          </cell>
        </row>
        <row r="1227">
          <cell r="A1227">
            <v>100139</v>
          </cell>
          <cell r="B1227">
            <v>18674</v>
          </cell>
          <cell r="C1227">
            <v>18674</v>
          </cell>
          <cell r="D1227" t="str">
            <v>SA1&amp;3</v>
          </cell>
          <cell r="E1227" t="str">
            <v>B</v>
          </cell>
          <cell r="F1227" t="str">
            <v>CLINICAL PSYCHOLOGIST II</v>
          </cell>
          <cell r="G1227" t="str">
            <v>8697A</v>
          </cell>
          <cell r="H1227">
            <v>6993.82</v>
          </cell>
          <cell r="I1227">
            <v>1</v>
          </cell>
          <cell r="J1227">
            <v>12</v>
          </cell>
          <cell r="K1227">
            <v>1</v>
          </cell>
          <cell r="L1227">
            <v>83925.52</v>
          </cell>
        </row>
        <row r="1228">
          <cell r="A1228">
            <v>100141</v>
          </cell>
          <cell r="B1228">
            <v>18674</v>
          </cell>
          <cell r="C1228">
            <v>18674</v>
          </cell>
          <cell r="D1228" t="str">
            <v>SA1&amp;3</v>
          </cell>
          <cell r="E1228" t="str">
            <v>B</v>
          </cell>
          <cell r="F1228" t="str">
            <v>CLINICAL PSYCHOLOGIST II</v>
          </cell>
          <cell r="G1228" t="str">
            <v>8697A</v>
          </cell>
          <cell r="H1228">
            <v>6993.82</v>
          </cell>
          <cell r="I1228">
            <v>1</v>
          </cell>
          <cell r="J1228">
            <v>12</v>
          </cell>
          <cell r="K1228">
            <v>1</v>
          </cell>
          <cell r="L1228">
            <v>83925.52</v>
          </cell>
        </row>
        <row r="1229">
          <cell r="A1229">
            <v>106238</v>
          </cell>
          <cell r="B1229">
            <v>18674</v>
          </cell>
          <cell r="C1229">
            <v>18674</v>
          </cell>
          <cell r="D1229" t="str">
            <v>SA1&amp;3</v>
          </cell>
          <cell r="E1229" t="str">
            <v>B</v>
          </cell>
          <cell r="F1229" t="str">
            <v>CLINICAL PSYCHOLOGIST II</v>
          </cell>
          <cell r="G1229" t="str">
            <v>8697A</v>
          </cell>
          <cell r="H1229">
            <v>6993.82</v>
          </cell>
          <cell r="I1229">
            <v>1</v>
          </cell>
          <cell r="J1229">
            <v>12</v>
          </cell>
          <cell r="K1229">
            <v>1</v>
          </cell>
          <cell r="L1229">
            <v>83925.52</v>
          </cell>
        </row>
        <row r="1230">
          <cell r="A1230">
            <v>109697</v>
          </cell>
          <cell r="B1230">
            <v>18674</v>
          </cell>
          <cell r="C1230">
            <v>18674</v>
          </cell>
          <cell r="D1230" t="str">
            <v>SA1&amp;3</v>
          </cell>
          <cell r="E1230" t="str">
            <v>B</v>
          </cell>
          <cell r="F1230" t="str">
            <v>INTERMEDIATE TYPIST-CLERK</v>
          </cell>
          <cell r="G1230" t="str">
            <v>2214A</v>
          </cell>
          <cell r="H1230">
            <v>2675.27</v>
          </cell>
          <cell r="I1230">
            <v>1</v>
          </cell>
          <cell r="J1230">
            <v>12</v>
          </cell>
          <cell r="K1230">
            <v>1</v>
          </cell>
          <cell r="L1230">
            <v>32103.24</v>
          </cell>
        </row>
        <row r="1231">
          <cell r="A1231">
            <v>109698</v>
          </cell>
          <cell r="B1231">
            <v>18674</v>
          </cell>
          <cell r="C1231">
            <v>18674</v>
          </cell>
          <cell r="D1231" t="str">
            <v>SA1&amp;3</v>
          </cell>
          <cell r="E1231" t="str">
            <v>B</v>
          </cell>
          <cell r="F1231" t="str">
            <v>INTERMEDIATE TYPIST-CLERK</v>
          </cell>
          <cell r="G1231" t="str">
            <v>2214A</v>
          </cell>
          <cell r="H1231">
            <v>2675.27</v>
          </cell>
          <cell r="I1231">
            <v>1</v>
          </cell>
          <cell r="J1231">
            <v>12</v>
          </cell>
          <cell r="K1231">
            <v>1</v>
          </cell>
          <cell r="L1231">
            <v>32103.24</v>
          </cell>
        </row>
        <row r="1232">
          <cell r="A1232">
            <v>109699</v>
          </cell>
          <cell r="B1232">
            <v>18674</v>
          </cell>
          <cell r="C1232">
            <v>18674</v>
          </cell>
          <cell r="D1232" t="str">
            <v>SA1&amp;3</v>
          </cell>
          <cell r="E1232" t="str">
            <v>B</v>
          </cell>
          <cell r="F1232" t="str">
            <v>INTERMEDIATE TYPIST-CLERK</v>
          </cell>
          <cell r="G1232" t="str">
            <v>2214A</v>
          </cell>
          <cell r="H1232">
            <v>2675.27</v>
          </cell>
          <cell r="I1232">
            <v>1</v>
          </cell>
          <cell r="J1232">
            <v>12</v>
          </cell>
          <cell r="K1232">
            <v>1</v>
          </cell>
          <cell r="L1232">
            <v>32103.24</v>
          </cell>
        </row>
        <row r="1233">
          <cell r="A1233">
            <v>100432</v>
          </cell>
          <cell r="B1233">
            <v>18674</v>
          </cell>
          <cell r="C1233">
            <v>18674</v>
          </cell>
          <cell r="D1233" t="str">
            <v>SA1&amp;3</v>
          </cell>
          <cell r="E1233" t="str">
            <v>B</v>
          </cell>
          <cell r="F1233" t="str">
            <v>INTERMEDIATE TYPIST-CLERK</v>
          </cell>
          <cell r="G1233" t="str">
            <v>2214A</v>
          </cell>
          <cell r="H1233">
            <v>2675.27</v>
          </cell>
          <cell r="I1233">
            <v>1</v>
          </cell>
          <cell r="J1233">
            <v>12</v>
          </cell>
          <cell r="K1233">
            <v>1</v>
          </cell>
          <cell r="L1233">
            <v>32103.16</v>
          </cell>
        </row>
        <row r="1234">
          <cell r="A1234">
            <v>103864</v>
          </cell>
          <cell r="B1234">
            <v>18674</v>
          </cell>
          <cell r="C1234">
            <v>18674</v>
          </cell>
          <cell r="D1234" t="str">
            <v>SA1&amp;3</v>
          </cell>
          <cell r="E1234" t="str">
            <v>B</v>
          </cell>
          <cell r="F1234" t="str">
            <v>MEDICAL CASE WORKER II</v>
          </cell>
          <cell r="G1234" t="str">
            <v>9002A</v>
          </cell>
          <cell r="H1234">
            <v>3938.82</v>
          </cell>
          <cell r="I1234">
            <v>1</v>
          </cell>
          <cell r="J1234">
            <v>12</v>
          </cell>
          <cell r="K1234">
            <v>1</v>
          </cell>
          <cell r="L1234">
            <v>47265.68</v>
          </cell>
        </row>
        <row r="1235">
          <cell r="A1235">
            <v>104937</v>
          </cell>
          <cell r="B1235">
            <v>20941</v>
          </cell>
          <cell r="C1235">
            <v>18674</v>
          </cell>
          <cell r="D1235" t="str">
            <v>SA1&amp;3</v>
          </cell>
          <cell r="E1235" t="str">
            <v>B</v>
          </cell>
          <cell r="F1235" t="str">
            <v>MENTAL HEALTH SERVICES COORD II</v>
          </cell>
          <cell r="G1235" t="str">
            <v>8149A</v>
          </cell>
          <cell r="H1235">
            <v>5152.3599999999997</v>
          </cell>
          <cell r="I1235">
            <v>1</v>
          </cell>
          <cell r="J1235">
            <v>12</v>
          </cell>
          <cell r="K1235">
            <v>1</v>
          </cell>
          <cell r="L1235">
            <v>61828.72</v>
          </cell>
        </row>
        <row r="1236">
          <cell r="A1236">
            <v>103865</v>
          </cell>
          <cell r="B1236">
            <v>18674</v>
          </cell>
          <cell r="C1236">
            <v>18674</v>
          </cell>
          <cell r="D1236" t="str">
            <v>SA1&amp;3</v>
          </cell>
          <cell r="E1236" t="str">
            <v>B</v>
          </cell>
          <cell r="F1236" t="str">
            <v>MNTL HLTH CLINICAL PROGRAM HEAD</v>
          </cell>
          <cell r="G1236" t="str">
            <v>4726A</v>
          </cell>
          <cell r="H1236">
            <v>8709.73</v>
          </cell>
          <cell r="I1236">
            <v>1</v>
          </cell>
          <cell r="J1236">
            <v>12</v>
          </cell>
          <cell r="K1236">
            <v>1</v>
          </cell>
          <cell r="L1236">
            <v>104516.76</v>
          </cell>
        </row>
        <row r="1237">
          <cell r="A1237">
            <v>101747</v>
          </cell>
          <cell r="B1237">
            <v>18674</v>
          </cell>
          <cell r="C1237">
            <v>18674</v>
          </cell>
          <cell r="D1237" t="str">
            <v>SA1&amp;3</v>
          </cell>
          <cell r="E1237" t="str">
            <v>B</v>
          </cell>
          <cell r="F1237" t="str">
            <v>PSYCHIATRIC SOCIAL WORKER II</v>
          </cell>
          <cell r="G1237" t="str">
            <v>9035A</v>
          </cell>
          <cell r="H1237">
            <v>5425.82</v>
          </cell>
          <cell r="I1237">
            <v>1</v>
          </cell>
          <cell r="J1237">
            <v>12</v>
          </cell>
          <cell r="K1237">
            <v>1</v>
          </cell>
          <cell r="L1237">
            <v>65109.84</v>
          </cell>
        </row>
        <row r="1238">
          <cell r="A1238">
            <v>101853</v>
          </cell>
          <cell r="B1238">
            <v>18674</v>
          </cell>
          <cell r="C1238">
            <v>18674</v>
          </cell>
          <cell r="D1238" t="str">
            <v>SA1&amp;3</v>
          </cell>
          <cell r="E1238" t="str">
            <v>B</v>
          </cell>
          <cell r="F1238" t="str">
            <v>PSYCHIATRIC SOCIAL WORKER II</v>
          </cell>
          <cell r="G1238" t="str">
            <v>9035A</v>
          </cell>
          <cell r="H1238">
            <v>5425.82</v>
          </cell>
          <cell r="I1238">
            <v>1</v>
          </cell>
          <cell r="J1238">
            <v>12</v>
          </cell>
          <cell r="K1238">
            <v>1</v>
          </cell>
          <cell r="L1238">
            <v>65109.84</v>
          </cell>
        </row>
        <row r="1239">
          <cell r="A1239">
            <v>101181</v>
          </cell>
          <cell r="B1239">
            <v>18674</v>
          </cell>
          <cell r="C1239">
            <v>18674</v>
          </cell>
          <cell r="D1239" t="str">
            <v>SA1&amp;3</v>
          </cell>
          <cell r="E1239" t="str">
            <v>B</v>
          </cell>
          <cell r="F1239" t="str">
            <v>PSYCHIATRIC SOCIAL WORKER II</v>
          </cell>
          <cell r="G1239" t="str">
            <v>9035A</v>
          </cell>
          <cell r="H1239">
            <v>5425.82</v>
          </cell>
          <cell r="I1239">
            <v>1</v>
          </cell>
          <cell r="J1239">
            <v>12</v>
          </cell>
          <cell r="K1239">
            <v>1</v>
          </cell>
          <cell r="L1239">
            <v>65109.84</v>
          </cell>
        </row>
        <row r="1240">
          <cell r="A1240">
            <v>101194</v>
          </cell>
          <cell r="B1240">
            <v>18674</v>
          </cell>
          <cell r="C1240">
            <v>18674</v>
          </cell>
          <cell r="D1240" t="str">
            <v>SA1&amp;3</v>
          </cell>
          <cell r="E1240" t="str">
            <v>B</v>
          </cell>
          <cell r="F1240" t="str">
            <v>PSYCHIATRIC SOCIAL WORKER II</v>
          </cell>
          <cell r="G1240" t="str">
            <v>9035A</v>
          </cell>
          <cell r="H1240">
            <v>5425.82</v>
          </cell>
          <cell r="I1240">
            <v>1</v>
          </cell>
          <cell r="J1240">
            <v>12</v>
          </cell>
          <cell r="K1240">
            <v>1</v>
          </cell>
          <cell r="L1240">
            <v>65109.84</v>
          </cell>
        </row>
        <row r="1241">
          <cell r="A1241">
            <v>101854</v>
          </cell>
          <cell r="B1241">
            <v>18674</v>
          </cell>
          <cell r="C1241">
            <v>18674</v>
          </cell>
          <cell r="D1241" t="str">
            <v>SA1&amp;3</v>
          </cell>
          <cell r="E1241" t="str">
            <v>B</v>
          </cell>
          <cell r="F1241" t="str">
            <v>PSYCHIATRIC SOCIAL WORKER II</v>
          </cell>
          <cell r="G1241" t="str">
            <v>9035A</v>
          </cell>
          <cell r="H1241">
            <v>5425.82</v>
          </cell>
          <cell r="I1241">
            <v>1</v>
          </cell>
          <cell r="J1241">
            <v>12</v>
          </cell>
          <cell r="K1241">
            <v>1</v>
          </cell>
          <cell r="L1241">
            <v>65109.84</v>
          </cell>
        </row>
        <row r="1242">
          <cell r="A1242">
            <v>102598</v>
          </cell>
          <cell r="B1242">
            <v>18674</v>
          </cell>
          <cell r="C1242">
            <v>18674</v>
          </cell>
          <cell r="D1242" t="str">
            <v>SA1&amp;3</v>
          </cell>
          <cell r="E1242" t="str">
            <v>B</v>
          </cell>
          <cell r="F1242" t="str">
            <v>PSYCHIATRIC SOCIAL WORKER II</v>
          </cell>
          <cell r="G1242" t="str">
            <v>9035A</v>
          </cell>
          <cell r="H1242">
            <v>5425.82</v>
          </cell>
          <cell r="I1242">
            <v>1</v>
          </cell>
          <cell r="J1242">
            <v>12</v>
          </cell>
          <cell r="K1242">
            <v>1</v>
          </cell>
          <cell r="L1242">
            <v>65109.84</v>
          </cell>
        </row>
        <row r="1243">
          <cell r="A1243">
            <v>103863</v>
          </cell>
          <cell r="B1243">
            <v>18674</v>
          </cell>
          <cell r="C1243">
            <v>18674</v>
          </cell>
          <cell r="D1243" t="str">
            <v>SA1&amp;3</v>
          </cell>
          <cell r="E1243" t="str">
            <v>B</v>
          </cell>
          <cell r="F1243" t="str">
            <v>PSYCHIATRIC SOCIAL WORKER II</v>
          </cell>
          <cell r="G1243" t="str">
            <v>9035A</v>
          </cell>
          <cell r="H1243">
            <v>5425.82</v>
          </cell>
          <cell r="I1243">
            <v>1</v>
          </cell>
          <cell r="J1243">
            <v>12</v>
          </cell>
          <cell r="K1243">
            <v>1</v>
          </cell>
          <cell r="L1243">
            <v>65109.84</v>
          </cell>
        </row>
        <row r="1244">
          <cell r="A1244">
            <v>104678</v>
          </cell>
          <cell r="B1244">
            <v>20481</v>
          </cell>
          <cell r="C1244">
            <v>18674</v>
          </cell>
          <cell r="D1244" t="str">
            <v>SA1&amp;3</v>
          </cell>
          <cell r="E1244" t="str">
            <v>B</v>
          </cell>
          <cell r="F1244" t="str">
            <v>PSYCHIATRIC SOCIAL WORKER II</v>
          </cell>
          <cell r="G1244" t="str">
            <v>9035A</v>
          </cell>
          <cell r="H1244">
            <v>5425.82</v>
          </cell>
          <cell r="I1244">
            <v>1</v>
          </cell>
          <cell r="J1244">
            <v>12</v>
          </cell>
          <cell r="K1244">
            <v>1</v>
          </cell>
          <cell r="L1244">
            <v>65109.84</v>
          </cell>
        </row>
        <row r="1245">
          <cell r="A1245">
            <v>104933</v>
          </cell>
          <cell r="B1245">
            <v>18705</v>
          </cell>
          <cell r="C1245">
            <v>18674</v>
          </cell>
          <cell r="D1245" t="str">
            <v>SA1&amp;3</v>
          </cell>
          <cell r="E1245" t="str">
            <v>B</v>
          </cell>
          <cell r="F1245" t="str">
            <v>PSYCHIATRIC SOCIAL WORKER II</v>
          </cell>
          <cell r="G1245" t="str">
            <v>9035A</v>
          </cell>
          <cell r="H1245">
            <v>5425.82</v>
          </cell>
          <cell r="I1245">
            <v>1</v>
          </cell>
          <cell r="J1245">
            <v>12</v>
          </cell>
          <cell r="K1245">
            <v>1</v>
          </cell>
          <cell r="L1245">
            <v>65109.84</v>
          </cell>
        </row>
        <row r="1246">
          <cell r="A1246">
            <v>102093</v>
          </cell>
          <cell r="B1246">
            <v>18674</v>
          </cell>
          <cell r="C1246">
            <v>18674</v>
          </cell>
          <cell r="D1246" t="str">
            <v>SA1&amp;3</v>
          </cell>
          <cell r="E1246" t="str">
            <v>B</v>
          </cell>
          <cell r="F1246" t="str">
            <v xml:space="preserve">SENIOR TYPIST-CLERK                </v>
          </cell>
          <cell r="G1246" t="str">
            <v>2216A</v>
          </cell>
          <cell r="H1246">
            <v>3013.55</v>
          </cell>
          <cell r="I1246">
            <v>1</v>
          </cell>
          <cell r="J1246">
            <v>12</v>
          </cell>
          <cell r="K1246">
            <v>1</v>
          </cell>
          <cell r="L1246">
            <v>36162.6</v>
          </cell>
        </row>
        <row r="1247">
          <cell r="A1247">
            <v>106242</v>
          </cell>
          <cell r="B1247">
            <v>18674</v>
          </cell>
          <cell r="C1247">
            <v>18674</v>
          </cell>
          <cell r="D1247" t="str">
            <v>SA1&amp;3</v>
          </cell>
          <cell r="E1247" t="str">
            <v>B</v>
          </cell>
          <cell r="F1247" t="str">
            <v xml:space="preserve">SR COMMUN MENTAL HLTH PSYCHOLOGIST </v>
          </cell>
          <cell r="G1247" t="str">
            <v>8712A</v>
          </cell>
          <cell r="H1247">
            <v>7311.45</v>
          </cell>
          <cell r="I1247">
            <v>1</v>
          </cell>
          <cell r="J1247">
            <v>12</v>
          </cell>
          <cell r="K1247">
            <v>1</v>
          </cell>
          <cell r="L1247">
            <v>87737.16</v>
          </cell>
        </row>
        <row r="1248">
          <cell r="A1248">
            <v>103866</v>
          </cell>
          <cell r="B1248">
            <v>18674</v>
          </cell>
          <cell r="C1248">
            <v>18674</v>
          </cell>
          <cell r="D1248" t="str">
            <v>SA1&amp;3</v>
          </cell>
          <cell r="E1248" t="str">
            <v>B</v>
          </cell>
          <cell r="F1248" t="str">
            <v xml:space="preserve">STAFF ASSISTANT I                  </v>
          </cell>
          <cell r="G1248" t="str">
            <v>0907A</v>
          </cell>
          <cell r="H1248">
            <v>3453.18</v>
          </cell>
          <cell r="I1248">
            <v>1</v>
          </cell>
          <cell r="J1248">
            <v>12</v>
          </cell>
          <cell r="K1248">
            <v>1</v>
          </cell>
          <cell r="L1248">
            <v>41438.480000000003</v>
          </cell>
        </row>
        <row r="1249">
          <cell r="A1249">
            <v>106243</v>
          </cell>
          <cell r="B1249">
            <v>18674</v>
          </cell>
          <cell r="C1249">
            <v>18674</v>
          </cell>
          <cell r="D1249" t="str">
            <v>SA1&amp;3</v>
          </cell>
          <cell r="E1249" t="str">
            <v>B</v>
          </cell>
          <cell r="F1249" t="str">
            <v xml:space="preserve">SUPVG PSYCHIATRIC SOCIAL WORKER    </v>
          </cell>
          <cell r="G1249" t="str">
            <v>9038A</v>
          </cell>
          <cell r="H1249">
            <v>6062.45</v>
          </cell>
          <cell r="I1249">
            <v>1</v>
          </cell>
          <cell r="J1249">
            <v>12</v>
          </cell>
          <cell r="K1249">
            <v>1</v>
          </cell>
          <cell r="L1249">
            <v>72749.399999999994</v>
          </cell>
        </row>
        <row r="1250">
          <cell r="A1250">
            <v>100264</v>
          </cell>
          <cell r="B1250">
            <v>20597</v>
          </cell>
          <cell r="C1250">
            <v>21549</v>
          </cell>
          <cell r="D1250" t="str">
            <v>SA1&amp;3</v>
          </cell>
          <cell r="E1250" t="str">
            <v>B</v>
          </cell>
          <cell r="F1250" t="str">
            <v>DEPUTY DIRECTOR, MENTAL HEALTH (UC)</v>
          </cell>
          <cell r="G1250" t="str">
            <v>4707A</v>
          </cell>
          <cell r="H1250">
            <v>10568.17</v>
          </cell>
          <cell r="I1250">
            <v>1</v>
          </cell>
          <cell r="J1250">
            <v>12</v>
          </cell>
          <cell r="K1250">
            <v>1</v>
          </cell>
          <cell r="L1250">
            <v>126818</v>
          </cell>
        </row>
        <row r="1251">
          <cell r="A1251">
            <v>106255</v>
          </cell>
          <cell r="B1251">
            <v>21565</v>
          </cell>
          <cell r="C1251">
            <v>21549</v>
          </cell>
          <cell r="D1251" t="str">
            <v>SA1&amp;3</v>
          </cell>
          <cell r="E1251" t="str">
            <v>B</v>
          </cell>
          <cell r="F1251" t="str">
            <v>MENTAL HEALTH SERVICES COORD I</v>
          </cell>
          <cell r="G1251" t="str">
            <v>8148A</v>
          </cell>
          <cell r="H1251">
            <v>5126.91</v>
          </cell>
          <cell r="I1251">
            <v>1</v>
          </cell>
          <cell r="J1251">
            <v>12</v>
          </cell>
          <cell r="K1251">
            <v>1</v>
          </cell>
          <cell r="L1251">
            <v>61522.92</v>
          </cell>
        </row>
        <row r="1252">
          <cell r="A1252">
            <v>101968</v>
          </cell>
          <cell r="B1252">
            <v>21549</v>
          </cell>
          <cell r="C1252">
            <v>21549</v>
          </cell>
          <cell r="D1252" t="str">
            <v>SA1&amp;3</v>
          </cell>
          <cell r="E1252" t="str">
            <v>B</v>
          </cell>
          <cell r="F1252" t="str">
            <v>MENTAL HLTH CLINICAL DIST CHIEF, MD</v>
          </cell>
          <cell r="G1252" t="str">
            <v>5492A</v>
          </cell>
          <cell r="H1252">
            <v>12444</v>
          </cell>
          <cell r="I1252">
            <v>1</v>
          </cell>
          <cell r="J1252">
            <v>12</v>
          </cell>
          <cell r="K1252">
            <v>1</v>
          </cell>
          <cell r="L1252">
            <v>149328</v>
          </cell>
        </row>
        <row r="1253">
          <cell r="A1253">
            <v>109962</v>
          </cell>
          <cell r="B1253">
            <v>21549</v>
          </cell>
          <cell r="C1253">
            <v>21549</v>
          </cell>
          <cell r="D1253" t="str">
            <v>SA1&amp;3</v>
          </cell>
          <cell r="E1253" t="str">
            <v>B</v>
          </cell>
          <cell r="F1253" t="str">
            <v>PATIENT RESOURCES WORKER</v>
          </cell>
          <cell r="G1253" t="str">
            <v>9192A</v>
          </cell>
          <cell r="H1253">
            <v>2748.27</v>
          </cell>
          <cell r="I1253">
            <v>1</v>
          </cell>
          <cell r="J1253">
            <v>12</v>
          </cell>
          <cell r="K1253">
            <v>1</v>
          </cell>
          <cell r="L1253">
            <v>32979.24</v>
          </cell>
        </row>
        <row r="1254">
          <cell r="A1254">
            <v>102226</v>
          </cell>
          <cell r="B1254">
            <v>21549</v>
          </cell>
          <cell r="C1254">
            <v>21549</v>
          </cell>
          <cell r="D1254" t="str">
            <v>SA1&amp;3</v>
          </cell>
          <cell r="E1254" t="str">
            <v>B</v>
          </cell>
          <cell r="F1254" t="str">
            <v xml:space="preserve">STAFF ASSISTANT II                 </v>
          </cell>
          <cell r="G1254" t="str">
            <v>0913A</v>
          </cell>
          <cell r="H1254">
            <v>4167.45</v>
          </cell>
          <cell r="I1254">
            <v>1</v>
          </cell>
          <cell r="J1254">
            <v>12</v>
          </cell>
          <cell r="K1254">
            <v>1</v>
          </cell>
          <cell r="L1254">
            <v>50009.24</v>
          </cell>
        </row>
        <row r="1255">
          <cell r="A1255">
            <v>104149</v>
          </cell>
          <cell r="B1255">
            <v>18677</v>
          </cell>
          <cell r="C1255">
            <v>21549</v>
          </cell>
          <cell r="D1255" t="str">
            <v>SA1&amp;3</v>
          </cell>
          <cell r="E1255" t="str">
            <v>B</v>
          </cell>
          <cell r="F1255" t="str">
            <v xml:space="preserve">STAFF ASSISTANT II                 </v>
          </cell>
          <cell r="G1255" t="str">
            <v>0913A</v>
          </cell>
          <cell r="H1255">
            <v>4167.45</v>
          </cell>
          <cell r="I1255">
            <v>1</v>
          </cell>
          <cell r="J1255">
            <v>12</v>
          </cell>
          <cell r="K1255">
            <v>1</v>
          </cell>
          <cell r="L1255">
            <v>50009.24</v>
          </cell>
        </row>
        <row r="1256">
          <cell r="A1256">
            <v>100325</v>
          </cell>
          <cell r="B1256">
            <v>20676</v>
          </cell>
          <cell r="D1256" t="str">
            <v>SA1&amp;3</v>
          </cell>
          <cell r="E1256" t="str">
            <v>B</v>
          </cell>
          <cell r="F1256" t="str">
            <v xml:space="preserve">INTERMEDIATE STENOGRAPHER          </v>
          </cell>
          <cell r="G1256" t="str">
            <v>2172A</v>
          </cell>
          <cell r="H1256">
            <v>2934</v>
          </cell>
          <cell r="I1256">
            <v>1</v>
          </cell>
          <cell r="J1256">
            <v>12</v>
          </cell>
          <cell r="K1256">
            <v>1</v>
          </cell>
          <cell r="L1256">
            <v>35208</v>
          </cell>
        </row>
        <row r="1257">
          <cell r="A1257">
            <v>100468</v>
          </cell>
          <cell r="B1257">
            <v>20597</v>
          </cell>
          <cell r="D1257" t="str">
            <v>SA1&amp;3</v>
          </cell>
          <cell r="E1257" t="str">
            <v>B</v>
          </cell>
          <cell r="F1257" t="str">
            <v xml:space="preserve">MANAGEMENT SECRETARY III           </v>
          </cell>
          <cell r="G1257" t="str">
            <v>2109A</v>
          </cell>
          <cell r="H1257">
            <v>4576.7299999999996</v>
          </cell>
          <cell r="I1257">
            <v>1</v>
          </cell>
          <cell r="J1257">
            <v>12</v>
          </cell>
          <cell r="K1257">
            <v>1</v>
          </cell>
          <cell r="L1257">
            <v>54920.52</v>
          </cell>
        </row>
        <row r="1258">
          <cell r="A1258">
            <v>100535</v>
          </cell>
          <cell r="B1258">
            <v>20597</v>
          </cell>
          <cell r="D1258" t="str">
            <v>SA1&amp;3</v>
          </cell>
          <cell r="E1258" t="str">
            <v>B</v>
          </cell>
          <cell r="F1258" t="str">
            <v xml:space="preserve">MENTAL HEALTH ANALYST II           </v>
          </cell>
          <cell r="G1258" t="str">
            <v>4729A</v>
          </cell>
          <cell r="H1258">
            <v>6244.55</v>
          </cell>
          <cell r="I1258">
            <v>1</v>
          </cell>
          <cell r="J1258">
            <v>12</v>
          </cell>
          <cell r="K1258">
            <v>1</v>
          </cell>
          <cell r="L1258">
            <v>74934.36</v>
          </cell>
        </row>
        <row r="1259">
          <cell r="A1259">
            <v>103459</v>
          </cell>
          <cell r="B1259">
            <v>20597</v>
          </cell>
          <cell r="D1259" t="str">
            <v>SA1&amp;3</v>
          </cell>
          <cell r="E1259" t="str">
            <v>B</v>
          </cell>
          <cell r="F1259" t="str">
            <v xml:space="preserve">MENTAL HEALTH ANALYST II           </v>
          </cell>
          <cell r="G1259" t="str">
            <v>4729A</v>
          </cell>
          <cell r="H1259">
            <v>6244.55</v>
          </cell>
          <cell r="I1259">
            <v>1</v>
          </cell>
          <cell r="J1259">
            <v>12</v>
          </cell>
          <cell r="K1259">
            <v>1</v>
          </cell>
          <cell r="L1259">
            <v>74934.36</v>
          </cell>
        </row>
        <row r="1260">
          <cell r="A1260">
            <v>102148</v>
          </cell>
          <cell r="B1260">
            <v>20597</v>
          </cell>
          <cell r="D1260" t="str">
            <v>SA1&amp;3</v>
          </cell>
          <cell r="E1260" t="str">
            <v>B</v>
          </cell>
          <cell r="F1260" t="str">
            <v xml:space="preserve">MENTAL HEALTH ANALYST III          </v>
          </cell>
          <cell r="G1260" t="str">
            <v>4731A</v>
          </cell>
          <cell r="H1260">
            <v>7329.55</v>
          </cell>
          <cell r="I1260">
            <v>1</v>
          </cell>
          <cell r="J1260">
            <v>12</v>
          </cell>
          <cell r="K1260">
            <v>1</v>
          </cell>
          <cell r="L1260">
            <v>87954.76</v>
          </cell>
        </row>
        <row r="1261">
          <cell r="A1261">
            <v>106276</v>
          </cell>
          <cell r="B1261">
            <v>20446</v>
          </cell>
          <cell r="D1261" t="str">
            <v>SA1&amp;3</v>
          </cell>
          <cell r="E1261" t="str">
            <v>B</v>
          </cell>
          <cell r="F1261" t="str">
            <v>MENTAL HEALTH SERVICES COORD I</v>
          </cell>
          <cell r="G1261" t="str">
            <v>8148A</v>
          </cell>
          <cell r="H1261">
            <v>5126.91</v>
          </cell>
          <cell r="I1261">
            <v>1</v>
          </cell>
          <cell r="J1261">
            <v>12</v>
          </cell>
          <cell r="K1261">
            <v>1</v>
          </cell>
          <cell r="L1261">
            <v>61522.92</v>
          </cell>
        </row>
        <row r="1262">
          <cell r="A1262">
            <v>104173</v>
          </cell>
          <cell r="B1262">
            <v>20944</v>
          </cell>
          <cell r="D1262" t="str">
            <v>SA1&amp;3</v>
          </cell>
          <cell r="E1262" t="str">
            <v>B</v>
          </cell>
          <cell r="F1262" t="str">
            <v>MENTAL HLTH CLINICAL DIST CHIEF</v>
          </cell>
          <cell r="G1262" t="str">
            <v>4722A</v>
          </cell>
          <cell r="H1262">
            <v>10074</v>
          </cell>
          <cell r="I1262">
            <v>1</v>
          </cell>
          <cell r="J1262">
            <v>12</v>
          </cell>
          <cell r="K1262">
            <v>1</v>
          </cell>
          <cell r="L1262">
            <v>120887.6</v>
          </cell>
        </row>
        <row r="1263">
          <cell r="A1263">
            <v>103840</v>
          </cell>
          <cell r="B1263">
            <v>21549</v>
          </cell>
          <cell r="D1263" t="str">
            <v>SA1&amp;3</v>
          </cell>
          <cell r="E1263" t="str">
            <v>B</v>
          </cell>
          <cell r="F1263" t="str">
            <v xml:space="preserve">SENIOR SECRETARY III               </v>
          </cell>
          <cell r="G1263" t="str">
            <v>2102A</v>
          </cell>
          <cell r="H1263">
            <v>4106.3599999999997</v>
          </cell>
          <cell r="I1263">
            <v>1</v>
          </cell>
          <cell r="J1263">
            <v>12</v>
          </cell>
          <cell r="K1263">
            <v>1</v>
          </cell>
          <cell r="L1263">
            <v>49276.32</v>
          </cell>
        </row>
        <row r="1264">
          <cell r="A1264">
            <v>109935</v>
          </cell>
          <cell r="B1264">
            <v>20652</v>
          </cell>
          <cell r="D1264" t="str">
            <v>SA1&amp;3</v>
          </cell>
          <cell r="E1264" t="str">
            <v>B</v>
          </cell>
          <cell r="F1264" t="str">
            <v xml:space="preserve">SENIOR TYPIST-CLERK                </v>
          </cell>
          <cell r="G1264" t="str">
            <v>2216A</v>
          </cell>
          <cell r="H1264">
            <v>3013.55</v>
          </cell>
          <cell r="I1264">
            <v>1</v>
          </cell>
          <cell r="J1264">
            <v>12</v>
          </cell>
          <cell r="K1264">
            <v>1</v>
          </cell>
          <cell r="L1264">
            <v>36162.6</v>
          </cell>
        </row>
        <row r="1265">
          <cell r="A1265">
            <v>102230</v>
          </cell>
          <cell r="B1265">
            <v>20597</v>
          </cell>
          <cell r="D1265" t="str">
            <v>SA1&amp;3</v>
          </cell>
          <cell r="E1265" t="str">
            <v>B</v>
          </cell>
          <cell r="F1265" t="str">
            <v xml:space="preserve">STAFF ASSISTANT II                 </v>
          </cell>
          <cell r="G1265" t="str">
            <v>0913A</v>
          </cell>
          <cell r="H1265">
            <v>4167.45</v>
          </cell>
          <cell r="I1265">
            <v>1</v>
          </cell>
          <cell r="J1265">
            <v>12</v>
          </cell>
          <cell r="K1265">
            <v>1</v>
          </cell>
          <cell r="L1265">
            <v>50009.24</v>
          </cell>
        </row>
        <row r="1266">
          <cell r="A1266">
            <v>104211</v>
          </cell>
          <cell r="B1266">
            <v>20468</v>
          </cell>
          <cell r="C1266">
            <v>20468</v>
          </cell>
          <cell r="D1266" t="str">
            <v>SA1&amp;3</v>
          </cell>
          <cell r="E1266" t="str">
            <v>B</v>
          </cell>
          <cell r="F1266" t="str">
            <v>CLINICAL PSYCHOLOGIST II</v>
          </cell>
          <cell r="G1266" t="str">
            <v>8697A</v>
          </cell>
          <cell r="H1266">
            <v>6993.82</v>
          </cell>
          <cell r="I1266">
            <v>1</v>
          </cell>
          <cell r="J1266">
            <v>12</v>
          </cell>
          <cell r="K1266">
            <v>1</v>
          </cell>
          <cell r="L1266">
            <v>83925.52</v>
          </cell>
        </row>
        <row r="1267">
          <cell r="A1267">
            <v>106077</v>
          </cell>
          <cell r="B1267">
            <v>18676</v>
          </cell>
          <cell r="C1267">
            <v>20468</v>
          </cell>
          <cell r="D1267" t="str">
            <v>SA1&amp;3</v>
          </cell>
          <cell r="E1267" t="str">
            <v>B</v>
          </cell>
          <cell r="F1267" t="str">
            <v>CLINICAL PSYCHOLOGIST II</v>
          </cell>
          <cell r="G1267" t="str">
            <v>8697A</v>
          </cell>
          <cell r="H1267">
            <v>6993.82</v>
          </cell>
          <cell r="I1267">
            <v>1</v>
          </cell>
          <cell r="J1267">
            <v>12</v>
          </cell>
          <cell r="K1267">
            <v>1</v>
          </cell>
          <cell r="L1267">
            <v>83925.52</v>
          </cell>
        </row>
        <row r="1268">
          <cell r="A1268">
            <v>106360</v>
          </cell>
          <cell r="B1268">
            <v>21564</v>
          </cell>
          <cell r="C1268">
            <v>20468</v>
          </cell>
          <cell r="D1268" t="str">
            <v>SA1&amp;3</v>
          </cell>
          <cell r="E1268" t="str">
            <v>B</v>
          </cell>
          <cell r="F1268" t="str">
            <v>CLINICAL PSYCHOLOGIST II</v>
          </cell>
          <cell r="G1268" t="str">
            <v>8697A</v>
          </cell>
          <cell r="H1268">
            <v>6993.82</v>
          </cell>
          <cell r="I1268">
            <v>1</v>
          </cell>
          <cell r="J1268">
            <v>12</v>
          </cell>
          <cell r="K1268">
            <v>1</v>
          </cell>
          <cell r="L1268">
            <v>83925.52</v>
          </cell>
        </row>
        <row r="1269">
          <cell r="A1269">
            <v>100342</v>
          </cell>
          <cell r="B1269">
            <v>20468</v>
          </cell>
          <cell r="C1269">
            <v>20468</v>
          </cell>
          <cell r="D1269" t="str">
            <v>SA1&amp;3</v>
          </cell>
          <cell r="E1269" t="str">
            <v>B</v>
          </cell>
          <cell r="F1269" t="str">
            <v>INTERMEDIATE TYPIST-CLERK</v>
          </cell>
          <cell r="G1269" t="str">
            <v>2214A</v>
          </cell>
          <cell r="H1269">
            <v>2675.27</v>
          </cell>
          <cell r="I1269">
            <v>1</v>
          </cell>
          <cell r="J1269">
            <v>12</v>
          </cell>
          <cell r="K1269">
            <v>1</v>
          </cell>
          <cell r="L1269">
            <v>32103.16</v>
          </cell>
        </row>
        <row r="1270">
          <cell r="A1270">
            <v>102267</v>
          </cell>
          <cell r="B1270">
            <v>20468</v>
          </cell>
          <cell r="C1270">
            <v>20468</v>
          </cell>
          <cell r="D1270" t="str">
            <v>SA1&amp;3</v>
          </cell>
          <cell r="E1270" t="str">
            <v>B</v>
          </cell>
          <cell r="F1270" t="str">
            <v>INTERMEDIATE TYPIST-CLERK</v>
          </cell>
          <cell r="G1270" t="str">
            <v>2214A</v>
          </cell>
          <cell r="H1270">
            <v>2675.27</v>
          </cell>
          <cell r="I1270">
            <v>1</v>
          </cell>
          <cell r="J1270">
            <v>12</v>
          </cell>
          <cell r="K1270">
            <v>1</v>
          </cell>
          <cell r="L1270">
            <v>32103.16</v>
          </cell>
        </row>
        <row r="1271">
          <cell r="A1271">
            <v>104250</v>
          </cell>
          <cell r="B1271">
            <v>20468</v>
          </cell>
          <cell r="C1271">
            <v>20468</v>
          </cell>
          <cell r="D1271" t="str">
            <v>SA1&amp;3</v>
          </cell>
          <cell r="E1271" t="str">
            <v>B</v>
          </cell>
          <cell r="F1271" t="str">
            <v>INTERMEDIATE TYPIST-CLERK</v>
          </cell>
          <cell r="G1271" t="str">
            <v>2214A</v>
          </cell>
          <cell r="H1271">
            <v>2675.27</v>
          </cell>
          <cell r="I1271">
            <v>1</v>
          </cell>
          <cell r="J1271">
            <v>12</v>
          </cell>
          <cell r="K1271">
            <v>1</v>
          </cell>
          <cell r="L1271">
            <v>32103.16</v>
          </cell>
        </row>
        <row r="1272">
          <cell r="A1272">
            <v>104252</v>
          </cell>
          <cell r="B1272">
            <v>20468</v>
          </cell>
          <cell r="C1272">
            <v>20468</v>
          </cell>
          <cell r="D1272" t="str">
            <v>SA1&amp;3</v>
          </cell>
          <cell r="E1272" t="str">
            <v>B</v>
          </cell>
          <cell r="F1272" t="str">
            <v>INTERMEDIATE TYPIST-CLERK</v>
          </cell>
          <cell r="G1272" t="str">
            <v>2214A</v>
          </cell>
          <cell r="H1272">
            <v>2675.27</v>
          </cell>
          <cell r="I1272">
            <v>1</v>
          </cell>
          <cell r="J1272">
            <v>12</v>
          </cell>
          <cell r="K1272">
            <v>1</v>
          </cell>
          <cell r="L1272">
            <v>32103.16</v>
          </cell>
        </row>
        <row r="1273">
          <cell r="A1273">
            <v>104652</v>
          </cell>
          <cell r="B1273">
            <v>20468</v>
          </cell>
          <cell r="C1273">
            <v>20468</v>
          </cell>
          <cell r="D1273" t="str">
            <v>SA1&amp;3</v>
          </cell>
          <cell r="E1273" t="str">
            <v>B</v>
          </cell>
          <cell r="F1273" t="str">
            <v>INTERMEDIATE TYPIST-CLERK</v>
          </cell>
          <cell r="G1273" t="str">
            <v>2214A</v>
          </cell>
          <cell r="H1273">
            <v>2675.27</v>
          </cell>
          <cell r="I1273">
            <v>1</v>
          </cell>
          <cell r="J1273">
            <v>12</v>
          </cell>
          <cell r="K1273">
            <v>1</v>
          </cell>
          <cell r="L1273">
            <v>32103.16</v>
          </cell>
        </row>
        <row r="1274">
          <cell r="A1274">
            <v>109649</v>
          </cell>
          <cell r="B1274">
            <v>20468</v>
          </cell>
          <cell r="C1274">
            <v>20468</v>
          </cell>
          <cell r="D1274" t="str">
            <v>SA1&amp;3</v>
          </cell>
          <cell r="E1274" t="str">
            <v>B</v>
          </cell>
          <cell r="F1274" t="str">
            <v>INTERMEDIATE TYPIST-CLERK</v>
          </cell>
          <cell r="G1274" t="str">
            <v>2214A</v>
          </cell>
          <cell r="H1274">
            <v>2675.27</v>
          </cell>
          <cell r="I1274">
            <v>1</v>
          </cell>
          <cell r="J1274">
            <v>12</v>
          </cell>
          <cell r="K1274">
            <v>1</v>
          </cell>
          <cell r="L1274">
            <v>32103.24</v>
          </cell>
        </row>
        <row r="1275">
          <cell r="A1275">
            <v>109650</v>
          </cell>
          <cell r="B1275">
            <v>20468</v>
          </cell>
          <cell r="C1275">
            <v>20468</v>
          </cell>
          <cell r="D1275" t="str">
            <v>SA1&amp;3</v>
          </cell>
          <cell r="E1275" t="str">
            <v>B</v>
          </cell>
          <cell r="F1275" t="str">
            <v>INTERMEDIATE TYPIST-CLERK</v>
          </cell>
          <cell r="G1275" t="str">
            <v>2214A</v>
          </cell>
          <cell r="H1275">
            <v>2675.27</v>
          </cell>
          <cell r="I1275">
            <v>1</v>
          </cell>
          <cell r="J1275">
            <v>12</v>
          </cell>
          <cell r="K1275">
            <v>1</v>
          </cell>
          <cell r="L1275">
            <v>32103.24</v>
          </cell>
        </row>
        <row r="1276">
          <cell r="A1276">
            <v>100473</v>
          </cell>
          <cell r="B1276">
            <v>20468</v>
          </cell>
          <cell r="C1276">
            <v>20468</v>
          </cell>
          <cell r="D1276" t="str">
            <v>SA1&amp;3</v>
          </cell>
          <cell r="E1276" t="str">
            <v>B</v>
          </cell>
          <cell r="F1276" t="str">
            <v>MEDICAL CASE WORKER II</v>
          </cell>
          <cell r="G1276" t="str">
            <v>9002A</v>
          </cell>
          <cell r="H1276">
            <v>3938.82</v>
          </cell>
          <cell r="I1276">
            <v>1</v>
          </cell>
          <cell r="J1276">
            <v>12</v>
          </cell>
          <cell r="K1276">
            <v>1</v>
          </cell>
          <cell r="L1276">
            <v>47265.68</v>
          </cell>
        </row>
        <row r="1277">
          <cell r="A1277">
            <v>104241</v>
          </cell>
          <cell r="B1277">
            <v>20468</v>
          </cell>
          <cell r="C1277">
            <v>20468</v>
          </cell>
          <cell r="D1277" t="str">
            <v>SA1&amp;3</v>
          </cell>
          <cell r="E1277" t="str">
            <v>B</v>
          </cell>
          <cell r="F1277" t="str">
            <v>MEDICAL CASE WORKER II</v>
          </cell>
          <cell r="G1277" t="str">
            <v>9002A</v>
          </cell>
          <cell r="H1277">
            <v>3938.82</v>
          </cell>
          <cell r="I1277">
            <v>1</v>
          </cell>
          <cell r="J1277">
            <v>12</v>
          </cell>
          <cell r="K1277">
            <v>1</v>
          </cell>
          <cell r="L1277">
            <v>47265.68</v>
          </cell>
        </row>
        <row r="1278">
          <cell r="A1278">
            <v>104374</v>
          </cell>
          <cell r="B1278">
            <v>20923</v>
          </cell>
          <cell r="C1278">
            <v>20468</v>
          </cell>
          <cell r="D1278" t="str">
            <v>SA1&amp;3</v>
          </cell>
          <cell r="E1278" t="str">
            <v>B</v>
          </cell>
          <cell r="F1278" t="str">
            <v>MEDICAL CASE WORKER II</v>
          </cell>
          <cell r="G1278" t="str">
            <v>9002A</v>
          </cell>
          <cell r="H1278">
            <v>3938.82</v>
          </cell>
          <cell r="I1278">
            <v>1</v>
          </cell>
          <cell r="J1278">
            <v>12</v>
          </cell>
          <cell r="K1278">
            <v>1</v>
          </cell>
          <cell r="L1278">
            <v>47265.68</v>
          </cell>
        </row>
        <row r="1279">
          <cell r="A1279">
            <v>103879</v>
          </cell>
          <cell r="B1279">
            <v>20468</v>
          </cell>
          <cell r="C1279">
            <v>20468</v>
          </cell>
          <cell r="D1279" t="str">
            <v>SA1&amp;3</v>
          </cell>
          <cell r="E1279" t="str">
            <v>B</v>
          </cell>
          <cell r="F1279" t="str">
            <v>MENTAL HEALTH COUNSELOR, RN</v>
          </cell>
          <cell r="G1279" t="str">
            <v>5278A</v>
          </cell>
          <cell r="H1279">
            <v>6275.27</v>
          </cell>
          <cell r="I1279">
            <v>1</v>
          </cell>
          <cell r="J1279">
            <v>12</v>
          </cell>
          <cell r="K1279">
            <v>1</v>
          </cell>
          <cell r="L1279">
            <v>76804.323333333334</v>
          </cell>
        </row>
        <row r="1280">
          <cell r="A1280">
            <v>104651</v>
          </cell>
          <cell r="B1280">
            <v>20468</v>
          </cell>
          <cell r="C1280">
            <v>20468</v>
          </cell>
          <cell r="D1280" t="str">
            <v>SA1&amp;3</v>
          </cell>
          <cell r="E1280" t="str">
            <v>B</v>
          </cell>
          <cell r="F1280" t="str">
            <v>MENTAL HEALTH COUNSELOR, RN</v>
          </cell>
          <cell r="G1280" t="str">
            <v>5278A</v>
          </cell>
          <cell r="H1280">
            <v>6275.27</v>
          </cell>
          <cell r="I1280">
            <v>1</v>
          </cell>
          <cell r="J1280">
            <v>12</v>
          </cell>
          <cell r="K1280">
            <v>1</v>
          </cell>
          <cell r="L1280">
            <v>76804.323333333334</v>
          </cell>
        </row>
        <row r="1281">
          <cell r="A1281">
            <v>100757</v>
          </cell>
          <cell r="B1281">
            <v>20465</v>
          </cell>
          <cell r="C1281">
            <v>20468</v>
          </cell>
          <cell r="D1281" t="str">
            <v>SA1&amp;3</v>
          </cell>
          <cell r="E1281" t="str">
            <v>B</v>
          </cell>
          <cell r="F1281" t="str">
            <v>MENTAL HEALTH PSYCHIATRIST</v>
          </cell>
          <cell r="G1281" t="str">
            <v>4735A</v>
          </cell>
          <cell r="H1281">
            <v>12844</v>
          </cell>
          <cell r="I1281">
            <v>1</v>
          </cell>
          <cell r="J1281">
            <v>12</v>
          </cell>
          <cell r="K1281">
            <v>1</v>
          </cell>
          <cell r="L1281">
            <v>154128</v>
          </cell>
        </row>
        <row r="1282">
          <cell r="A1282">
            <v>104242</v>
          </cell>
          <cell r="B1282">
            <v>20468</v>
          </cell>
          <cell r="C1282">
            <v>20468</v>
          </cell>
          <cell r="D1282" t="str">
            <v>SA1&amp;3</v>
          </cell>
          <cell r="E1282" t="str">
            <v>B</v>
          </cell>
          <cell r="F1282" t="str">
            <v>MENTAL HEALTH PSYCHIATRIST</v>
          </cell>
          <cell r="G1282" t="str">
            <v>4735A</v>
          </cell>
          <cell r="H1282">
            <v>12844</v>
          </cell>
          <cell r="I1282">
            <v>1</v>
          </cell>
          <cell r="J1282">
            <v>6</v>
          </cell>
          <cell r="K1282">
            <v>0.5</v>
          </cell>
          <cell r="L1282">
            <v>77064</v>
          </cell>
        </row>
        <row r="1283">
          <cell r="A1283">
            <v>104249</v>
          </cell>
          <cell r="B1283">
            <v>20468</v>
          </cell>
          <cell r="C1283">
            <v>20468</v>
          </cell>
          <cell r="D1283" t="str">
            <v>SA1&amp;3</v>
          </cell>
          <cell r="E1283" t="str">
            <v>B</v>
          </cell>
          <cell r="F1283" t="str">
            <v>MENTAL HEALTH PSYCHIATRIST</v>
          </cell>
          <cell r="G1283" t="str">
            <v>4735A</v>
          </cell>
          <cell r="H1283">
            <v>12844</v>
          </cell>
          <cell r="I1283">
            <v>1</v>
          </cell>
          <cell r="J1283">
            <v>12</v>
          </cell>
          <cell r="K1283">
            <v>1</v>
          </cell>
          <cell r="L1283">
            <v>154128</v>
          </cell>
        </row>
        <row r="1284">
          <cell r="A1284">
            <v>104253</v>
          </cell>
          <cell r="B1284">
            <v>20468</v>
          </cell>
          <cell r="C1284">
            <v>20468</v>
          </cell>
          <cell r="D1284" t="str">
            <v>SA1&amp;3</v>
          </cell>
          <cell r="E1284" t="str">
            <v>B</v>
          </cell>
          <cell r="F1284" t="str">
            <v>MENTAL HEALTH PSYCHIATRIST</v>
          </cell>
          <cell r="G1284" t="str">
            <v>4735A</v>
          </cell>
          <cell r="H1284">
            <v>12844</v>
          </cell>
          <cell r="I1284">
            <v>1</v>
          </cell>
          <cell r="J1284">
            <v>12</v>
          </cell>
          <cell r="K1284">
            <v>1</v>
          </cell>
          <cell r="L1284">
            <v>154128</v>
          </cell>
        </row>
        <row r="1285">
          <cell r="A1285">
            <v>104657</v>
          </cell>
          <cell r="B1285">
            <v>20469</v>
          </cell>
          <cell r="C1285">
            <v>20468</v>
          </cell>
          <cell r="D1285" t="str">
            <v>SA1&amp;3</v>
          </cell>
          <cell r="E1285" t="str">
            <v>B</v>
          </cell>
          <cell r="F1285" t="str">
            <v>MENTAL HEALTH PSYCHIATRIST</v>
          </cell>
          <cell r="G1285" t="str">
            <v>4735A</v>
          </cell>
          <cell r="H1285">
            <v>12844</v>
          </cell>
          <cell r="I1285">
            <v>1</v>
          </cell>
          <cell r="J1285">
            <v>12</v>
          </cell>
          <cell r="K1285">
            <v>1</v>
          </cell>
          <cell r="L1285">
            <v>154128</v>
          </cell>
        </row>
        <row r="1286">
          <cell r="A1286">
            <v>105008</v>
          </cell>
          <cell r="B1286">
            <v>20468</v>
          </cell>
          <cell r="C1286">
            <v>20468</v>
          </cell>
          <cell r="D1286" t="str">
            <v>SA1&amp;3</v>
          </cell>
          <cell r="E1286" t="str">
            <v>B</v>
          </cell>
          <cell r="F1286" t="str">
            <v>MENTAL HEALTH PSYCHIATRIST</v>
          </cell>
          <cell r="G1286" t="str">
            <v>4735A</v>
          </cell>
          <cell r="H1286">
            <v>12844</v>
          </cell>
          <cell r="I1286">
            <v>1</v>
          </cell>
          <cell r="J1286">
            <v>6</v>
          </cell>
          <cell r="K1286">
            <v>0.5</v>
          </cell>
          <cell r="L1286">
            <v>77064</v>
          </cell>
        </row>
        <row r="1287">
          <cell r="A1287">
            <v>104755</v>
          </cell>
          <cell r="B1287">
            <v>21537</v>
          </cell>
          <cell r="C1287">
            <v>20468</v>
          </cell>
          <cell r="D1287" t="str">
            <v>SA1&amp;3</v>
          </cell>
          <cell r="E1287" t="str">
            <v>B</v>
          </cell>
          <cell r="F1287" t="str">
            <v>MNTL HLTH CLINICAL PROGRAM HEAD</v>
          </cell>
          <cell r="G1287" t="str">
            <v>4726A</v>
          </cell>
          <cell r="H1287">
            <v>8709.73</v>
          </cell>
          <cell r="I1287">
            <v>1</v>
          </cell>
          <cell r="J1287">
            <v>12</v>
          </cell>
          <cell r="K1287">
            <v>1</v>
          </cell>
          <cell r="L1287">
            <v>104516.76</v>
          </cell>
        </row>
        <row r="1288">
          <cell r="A1288">
            <v>102599</v>
          </cell>
          <cell r="B1288">
            <v>20468</v>
          </cell>
          <cell r="C1288">
            <v>20468</v>
          </cell>
          <cell r="D1288" t="str">
            <v>SA1&amp;3</v>
          </cell>
          <cell r="E1288" t="str">
            <v>B</v>
          </cell>
          <cell r="F1288" t="str">
            <v xml:space="preserve">PATIENT FINANCIAL SERVICES WORKER  </v>
          </cell>
          <cell r="G1288" t="str">
            <v>9193A</v>
          </cell>
          <cell r="H1288">
            <v>3403.55</v>
          </cell>
          <cell r="I1288">
            <v>1</v>
          </cell>
          <cell r="J1288">
            <v>12</v>
          </cell>
          <cell r="K1288">
            <v>1</v>
          </cell>
          <cell r="L1288">
            <v>40842.6</v>
          </cell>
        </row>
        <row r="1289">
          <cell r="A1289">
            <v>100979</v>
          </cell>
          <cell r="B1289">
            <v>20459</v>
          </cell>
          <cell r="C1289">
            <v>20468</v>
          </cell>
          <cell r="D1289" t="str">
            <v>SA1&amp;3</v>
          </cell>
          <cell r="E1289" t="str">
            <v>B</v>
          </cell>
          <cell r="F1289" t="str">
            <v>PSYCHIATRIC SOCIAL WORKER II</v>
          </cell>
          <cell r="G1289" t="str">
            <v>9035A</v>
          </cell>
          <cell r="H1289">
            <v>5425.82</v>
          </cell>
          <cell r="I1289">
            <v>1</v>
          </cell>
          <cell r="J1289">
            <v>12</v>
          </cell>
          <cell r="K1289">
            <v>1</v>
          </cell>
          <cell r="L1289">
            <v>65109.84</v>
          </cell>
        </row>
        <row r="1290">
          <cell r="A1290">
            <v>103733</v>
          </cell>
          <cell r="B1290">
            <v>20658</v>
          </cell>
          <cell r="C1290">
            <v>20468</v>
          </cell>
          <cell r="D1290" t="str">
            <v>SA1&amp;3</v>
          </cell>
          <cell r="E1290" t="str">
            <v>B</v>
          </cell>
          <cell r="F1290" t="str">
            <v>PSYCHIATRIC SOCIAL WORKER II</v>
          </cell>
          <cell r="G1290" t="str">
            <v>9035A</v>
          </cell>
          <cell r="H1290">
            <v>5425.82</v>
          </cell>
          <cell r="I1290">
            <v>1</v>
          </cell>
          <cell r="J1290">
            <v>12</v>
          </cell>
          <cell r="K1290">
            <v>1</v>
          </cell>
          <cell r="L1290">
            <v>65109.84</v>
          </cell>
        </row>
        <row r="1291">
          <cell r="A1291">
            <v>104140</v>
          </cell>
          <cell r="B1291">
            <v>20468</v>
          </cell>
          <cell r="C1291">
            <v>20468</v>
          </cell>
          <cell r="D1291" t="str">
            <v>SA1&amp;3</v>
          </cell>
          <cell r="E1291" t="str">
            <v>B</v>
          </cell>
          <cell r="F1291" t="str">
            <v>PSYCHIATRIC SOCIAL WORKER II</v>
          </cell>
          <cell r="G1291" t="str">
            <v>9035A</v>
          </cell>
          <cell r="H1291">
            <v>5425.82</v>
          </cell>
          <cell r="I1291">
            <v>1</v>
          </cell>
          <cell r="J1291">
            <v>12</v>
          </cell>
          <cell r="K1291">
            <v>1</v>
          </cell>
          <cell r="L1291">
            <v>65109.84</v>
          </cell>
        </row>
        <row r="1292">
          <cell r="A1292">
            <v>104152</v>
          </cell>
          <cell r="B1292">
            <v>20468</v>
          </cell>
          <cell r="C1292">
            <v>20468</v>
          </cell>
          <cell r="D1292" t="str">
            <v>SA1&amp;3</v>
          </cell>
          <cell r="E1292" t="str">
            <v>B</v>
          </cell>
          <cell r="F1292" t="str">
            <v>PSYCHIATRIC SOCIAL WORKER II</v>
          </cell>
          <cell r="G1292" t="str">
            <v>9035A</v>
          </cell>
          <cell r="H1292">
            <v>5425.82</v>
          </cell>
          <cell r="I1292">
            <v>1</v>
          </cell>
          <cell r="J1292">
            <v>12</v>
          </cell>
          <cell r="K1292">
            <v>1</v>
          </cell>
          <cell r="L1292">
            <v>65109.84</v>
          </cell>
        </row>
        <row r="1293">
          <cell r="A1293">
            <v>104251</v>
          </cell>
          <cell r="B1293">
            <v>20468</v>
          </cell>
          <cell r="C1293">
            <v>20468</v>
          </cell>
          <cell r="D1293" t="str">
            <v>SA1&amp;3</v>
          </cell>
          <cell r="E1293" t="str">
            <v>B</v>
          </cell>
          <cell r="F1293" t="str">
            <v>PSYCHIATRIC SOCIAL WORKER II</v>
          </cell>
          <cell r="G1293" t="str">
            <v>9035A</v>
          </cell>
          <cell r="H1293">
            <v>5425.82</v>
          </cell>
          <cell r="I1293">
            <v>1</v>
          </cell>
          <cell r="J1293">
            <v>12</v>
          </cell>
          <cell r="K1293">
            <v>1</v>
          </cell>
          <cell r="L1293">
            <v>65109.84</v>
          </cell>
        </row>
        <row r="1294">
          <cell r="A1294">
            <v>109400</v>
          </cell>
          <cell r="B1294">
            <v>21542</v>
          </cell>
          <cell r="C1294">
            <v>20468</v>
          </cell>
          <cell r="D1294" t="str">
            <v>SA1&amp;3</v>
          </cell>
          <cell r="E1294" t="str">
            <v>B</v>
          </cell>
          <cell r="F1294" t="str">
            <v>PSYCHIATRIC SOCIAL WORKER II</v>
          </cell>
          <cell r="G1294" t="str">
            <v>9035A</v>
          </cell>
          <cell r="H1294">
            <v>5425.82</v>
          </cell>
          <cell r="I1294">
            <v>1</v>
          </cell>
          <cell r="J1294">
            <v>12</v>
          </cell>
          <cell r="K1294">
            <v>1</v>
          </cell>
          <cell r="L1294">
            <v>65109.84</v>
          </cell>
        </row>
        <row r="1295">
          <cell r="A1295">
            <v>109401</v>
          </cell>
          <cell r="B1295">
            <v>21542</v>
          </cell>
          <cell r="C1295">
            <v>20468</v>
          </cell>
          <cell r="D1295" t="str">
            <v>SA1&amp;3</v>
          </cell>
          <cell r="E1295" t="str">
            <v>B</v>
          </cell>
          <cell r="F1295" t="str">
            <v>PSYCHIATRIC SOCIAL WORKER II</v>
          </cell>
          <cell r="G1295" t="str">
            <v>9035A</v>
          </cell>
          <cell r="H1295">
            <v>5425.82</v>
          </cell>
          <cell r="I1295">
            <v>1</v>
          </cell>
          <cell r="J1295">
            <v>12</v>
          </cell>
          <cell r="K1295">
            <v>1</v>
          </cell>
          <cell r="L1295">
            <v>65109.84</v>
          </cell>
        </row>
        <row r="1296">
          <cell r="A1296">
            <v>104064</v>
          </cell>
          <cell r="B1296">
            <v>20446</v>
          </cell>
          <cell r="C1296">
            <v>20468</v>
          </cell>
          <cell r="D1296" t="str">
            <v>SA1&amp;3</v>
          </cell>
          <cell r="E1296" t="str">
            <v>B</v>
          </cell>
          <cell r="F1296" t="str">
            <v>PSYCHIATRIC TECHNICIAN II</v>
          </cell>
          <cell r="G1296" t="str">
            <v>8162A</v>
          </cell>
          <cell r="H1296">
            <v>3420.09</v>
          </cell>
          <cell r="I1296">
            <v>1</v>
          </cell>
          <cell r="J1296">
            <v>12</v>
          </cell>
          <cell r="K1296">
            <v>1</v>
          </cell>
          <cell r="L1296">
            <v>41041.08</v>
          </cell>
        </row>
        <row r="1297">
          <cell r="A1297">
            <v>104759</v>
          </cell>
          <cell r="B1297">
            <v>21537</v>
          </cell>
          <cell r="C1297">
            <v>20468</v>
          </cell>
          <cell r="D1297" t="str">
            <v>SA1&amp;3</v>
          </cell>
          <cell r="E1297" t="str">
            <v>B</v>
          </cell>
          <cell r="F1297" t="str">
            <v xml:space="preserve">SECRETARY III                      </v>
          </cell>
          <cell r="G1297" t="str">
            <v>2096A</v>
          </cell>
          <cell r="H1297">
            <v>3387</v>
          </cell>
          <cell r="I1297">
            <v>1</v>
          </cell>
          <cell r="J1297">
            <v>12</v>
          </cell>
          <cell r="K1297">
            <v>1</v>
          </cell>
          <cell r="L1297">
            <v>40643.839999999997</v>
          </cell>
        </row>
        <row r="1298">
          <cell r="A1298">
            <v>102271</v>
          </cell>
          <cell r="B1298">
            <v>20468</v>
          </cell>
          <cell r="C1298">
            <v>20468</v>
          </cell>
          <cell r="D1298" t="str">
            <v>SA1&amp;3</v>
          </cell>
          <cell r="E1298" t="str">
            <v>B</v>
          </cell>
          <cell r="F1298" t="str">
            <v>SENIOR MENTAL HEALTH COUNSELOR, RN</v>
          </cell>
          <cell r="G1298" t="str">
            <v>5280A</v>
          </cell>
          <cell r="H1298">
            <v>6790.09</v>
          </cell>
          <cell r="I1298">
            <v>1</v>
          </cell>
          <cell r="J1298">
            <v>12</v>
          </cell>
          <cell r="K1298">
            <v>1</v>
          </cell>
          <cell r="L1298">
            <v>83105.40203389831</v>
          </cell>
        </row>
        <row r="1299">
          <cell r="A1299">
            <v>102688</v>
          </cell>
          <cell r="B1299">
            <v>20941</v>
          </cell>
          <cell r="C1299">
            <v>20941</v>
          </cell>
          <cell r="D1299" t="str">
            <v>SA1&amp;3</v>
          </cell>
          <cell r="E1299" t="str">
            <v>B</v>
          </cell>
          <cell r="F1299" t="str">
            <v>CLINICAL PSYCHOLOGIST II</v>
          </cell>
          <cell r="G1299" t="str">
            <v>8697N</v>
          </cell>
          <cell r="H1299">
            <v>6993.82</v>
          </cell>
          <cell r="I1299">
            <v>1</v>
          </cell>
          <cell r="J1299">
            <v>12</v>
          </cell>
          <cell r="K1299">
            <v>1</v>
          </cell>
          <cell r="L1299">
            <v>83925.52</v>
          </cell>
        </row>
        <row r="1300">
          <cell r="A1300">
            <v>103055</v>
          </cell>
          <cell r="B1300">
            <v>20941</v>
          </cell>
          <cell r="C1300">
            <v>20941</v>
          </cell>
          <cell r="D1300" t="str">
            <v>SA1&amp;3</v>
          </cell>
          <cell r="E1300" t="str">
            <v>B</v>
          </cell>
          <cell r="F1300" t="str">
            <v>CLINICAL PSYCHOLOGIST II</v>
          </cell>
          <cell r="G1300" t="str">
            <v>8697A</v>
          </cell>
          <cell r="H1300">
            <v>6993.82</v>
          </cell>
          <cell r="I1300">
            <v>1</v>
          </cell>
          <cell r="J1300">
            <v>12</v>
          </cell>
          <cell r="K1300">
            <v>1</v>
          </cell>
          <cell r="L1300">
            <v>83925.52</v>
          </cell>
        </row>
        <row r="1301">
          <cell r="A1301">
            <v>103983</v>
          </cell>
          <cell r="B1301">
            <v>20446</v>
          </cell>
          <cell r="C1301">
            <v>20941</v>
          </cell>
          <cell r="D1301" t="str">
            <v>SA1&amp;3</v>
          </cell>
          <cell r="E1301" t="str">
            <v>B</v>
          </cell>
          <cell r="F1301" t="str">
            <v>CLINICAL PSYCHOLOGIST II</v>
          </cell>
          <cell r="G1301" t="str">
            <v>8697A</v>
          </cell>
          <cell r="H1301">
            <v>6993.82</v>
          </cell>
          <cell r="I1301">
            <v>1</v>
          </cell>
          <cell r="J1301">
            <v>12</v>
          </cell>
          <cell r="K1301">
            <v>1</v>
          </cell>
          <cell r="L1301">
            <v>83925.52</v>
          </cell>
        </row>
        <row r="1302">
          <cell r="A1302">
            <v>103200</v>
          </cell>
          <cell r="B1302">
            <v>20489</v>
          </cell>
          <cell r="C1302">
            <v>20941</v>
          </cell>
          <cell r="D1302" t="str">
            <v>SA1&amp;3</v>
          </cell>
          <cell r="E1302" t="str">
            <v>B</v>
          </cell>
          <cell r="F1302" t="str">
            <v>CONSULTING SPECIALIST, MD (PER SESSION)</v>
          </cell>
          <cell r="G1302" t="str">
            <v>5472J</v>
          </cell>
          <cell r="H1302">
            <v>314</v>
          </cell>
          <cell r="I1302">
            <v>1</v>
          </cell>
          <cell r="J1302">
            <v>104</v>
          </cell>
          <cell r="K1302">
            <v>0.19923371647509577</v>
          </cell>
          <cell r="L1302">
            <v>32656.080000000002</v>
          </cell>
        </row>
        <row r="1303">
          <cell r="A1303">
            <v>100433</v>
          </cell>
          <cell r="B1303">
            <v>18704</v>
          </cell>
          <cell r="C1303">
            <v>20941</v>
          </cell>
          <cell r="D1303" t="str">
            <v>SA1&amp;3</v>
          </cell>
          <cell r="E1303" t="str">
            <v>B</v>
          </cell>
          <cell r="F1303" t="str">
            <v>INTERMEDIATE TYPIST-CLERK</v>
          </cell>
          <cell r="G1303" t="str">
            <v>2214A</v>
          </cell>
          <cell r="H1303">
            <v>2675.27</v>
          </cell>
          <cell r="I1303">
            <v>1</v>
          </cell>
          <cell r="J1303">
            <v>12</v>
          </cell>
          <cell r="K1303">
            <v>1</v>
          </cell>
          <cell r="L1303">
            <v>32103.16</v>
          </cell>
        </row>
        <row r="1304">
          <cell r="A1304">
            <v>102826</v>
          </cell>
          <cell r="B1304">
            <v>20560</v>
          </cell>
          <cell r="C1304">
            <v>20941</v>
          </cell>
          <cell r="D1304" t="str">
            <v>SA1&amp;3</v>
          </cell>
          <cell r="E1304" t="str">
            <v>B</v>
          </cell>
          <cell r="F1304" t="str">
            <v>INTERMEDIATE TYPIST-CLERK</v>
          </cell>
          <cell r="G1304" t="str">
            <v>2214N</v>
          </cell>
          <cell r="H1304">
            <v>2675.27</v>
          </cell>
          <cell r="I1304">
            <v>1</v>
          </cell>
          <cell r="J1304">
            <v>12</v>
          </cell>
          <cell r="K1304">
            <v>1</v>
          </cell>
          <cell r="L1304">
            <v>32103.16</v>
          </cell>
        </row>
        <row r="1305">
          <cell r="A1305">
            <v>104910</v>
          </cell>
          <cell r="B1305">
            <v>20446</v>
          </cell>
          <cell r="C1305">
            <v>20941</v>
          </cell>
          <cell r="D1305" t="str">
            <v>SA1&amp;3</v>
          </cell>
          <cell r="E1305" t="str">
            <v>B</v>
          </cell>
          <cell r="F1305" t="str">
            <v>MEDICAL CASE WORKER II</v>
          </cell>
          <cell r="G1305" t="str">
            <v>9002A</v>
          </cell>
          <cell r="H1305">
            <v>3938.82</v>
          </cell>
          <cell r="I1305">
            <v>1</v>
          </cell>
          <cell r="J1305">
            <v>12</v>
          </cell>
          <cell r="K1305">
            <v>1</v>
          </cell>
          <cell r="L1305">
            <v>47265.68</v>
          </cell>
        </row>
        <row r="1306">
          <cell r="A1306">
            <v>109798</v>
          </cell>
          <cell r="B1306" t="str">
            <v>TBA</v>
          </cell>
          <cell r="C1306">
            <v>20941</v>
          </cell>
          <cell r="D1306" t="str">
            <v>SA1&amp;3</v>
          </cell>
          <cell r="E1306" t="str">
            <v>B</v>
          </cell>
          <cell r="F1306" t="str">
            <v>MEDICAL CASE WORKER II</v>
          </cell>
          <cell r="G1306" t="str">
            <v>9002A</v>
          </cell>
          <cell r="H1306">
            <v>3938.82</v>
          </cell>
          <cell r="I1306">
            <v>1</v>
          </cell>
          <cell r="J1306">
            <v>12</v>
          </cell>
          <cell r="K1306">
            <v>1</v>
          </cell>
          <cell r="L1306">
            <v>47265.84</v>
          </cell>
        </row>
        <row r="1307">
          <cell r="A1307">
            <v>109799</v>
          </cell>
          <cell r="B1307" t="str">
            <v>TBA</v>
          </cell>
          <cell r="C1307">
            <v>20941</v>
          </cell>
          <cell r="D1307" t="str">
            <v>SA1&amp;3</v>
          </cell>
          <cell r="E1307" t="str">
            <v>B</v>
          </cell>
          <cell r="F1307" t="str">
            <v>MEDICAL CASE WORKER II</v>
          </cell>
          <cell r="G1307" t="str">
            <v>9002A</v>
          </cell>
          <cell r="H1307">
            <v>3938.82</v>
          </cell>
          <cell r="I1307">
            <v>1</v>
          </cell>
          <cell r="J1307">
            <v>12</v>
          </cell>
          <cell r="K1307">
            <v>1</v>
          </cell>
          <cell r="L1307">
            <v>47265.84</v>
          </cell>
        </row>
        <row r="1308">
          <cell r="A1308">
            <v>102827</v>
          </cell>
          <cell r="B1308">
            <v>20941</v>
          </cell>
          <cell r="C1308">
            <v>20941</v>
          </cell>
          <cell r="D1308" t="str">
            <v>SA1&amp;3</v>
          </cell>
          <cell r="E1308" t="str">
            <v>B</v>
          </cell>
          <cell r="F1308" t="str">
            <v>MENTAL HEALTH COUNSELOR, RN</v>
          </cell>
          <cell r="G1308" t="str">
            <v>5278N</v>
          </cell>
          <cell r="H1308">
            <v>6400.38</v>
          </cell>
          <cell r="I1308">
            <v>1</v>
          </cell>
          <cell r="J1308">
            <v>12</v>
          </cell>
          <cell r="K1308">
            <v>1</v>
          </cell>
          <cell r="L1308">
            <v>76804.740000000005</v>
          </cell>
        </row>
        <row r="1309">
          <cell r="A1309">
            <v>105077</v>
          </cell>
          <cell r="B1309">
            <v>20941</v>
          </cell>
          <cell r="C1309">
            <v>20941</v>
          </cell>
          <cell r="D1309" t="str">
            <v>SA1&amp;3</v>
          </cell>
          <cell r="E1309" t="str">
            <v>B</v>
          </cell>
          <cell r="F1309" t="str">
            <v>MENTAL HEALTH SERVICES COORD I</v>
          </cell>
          <cell r="G1309" t="str">
            <v>8148A</v>
          </cell>
          <cell r="H1309">
            <v>5126.91</v>
          </cell>
          <cell r="I1309">
            <v>1</v>
          </cell>
          <cell r="J1309">
            <v>12</v>
          </cell>
          <cell r="K1309">
            <v>1</v>
          </cell>
          <cell r="L1309">
            <v>61522.92</v>
          </cell>
        </row>
        <row r="1310">
          <cell r="A1310">
            <v>100573</v>
          </cell>
          <cell r="B1310">
            <v>20489</v>
          </cell>
          <cell r="C1310">
            <v>20941</v>
          </cell>
          <cell r="D1310" t="str">
            <v>SA1&amp;3</v>
          </cell>
          <cell r="E1310" t="str">
            <v>B</v>
          </cell>
          <cell r="F1310" t="str">
            <v>MNTL HLTH CLINICAL PROGRAM HEAD</v>
          </cell>
          <cell r="G1310" t="str">
            <v>4726N</v>
          </cell>
          <cell r="H1310">
            <v>8709.73</v>
          </cell>
          <cell r="I1310">
            <v>1</v>
          </cell>
          <cell r="J1310">
            <v>12</v>
          </cell>
          <cell r="K1310">
            <v>1</v>
          </cell>
          <cell r="L1310">
            <v>104516.76</v>
          </cell>
        </row>
        <row r="1311">
          <cell r="A1311">
            <v>109768</v>
          </cell>
          <cell r="B1311">
            <v>21549</v>
          </cell>
          <cell r="C1311">
            <v>20941</v>
          </cell>
          <cell r="D1311" t="str">
            <v>SA1&amp;3</v>
          </cell>
          <cell r="E1311" t="str">
            <v>B</v>
          </cell>
          <cell r="F1311" t="str">
            <v>PATIENT RESOURCES WORKER</v>
          </cell>
          <cell r="G1311" t="str">
            <v>9192A</v>
          </cell>
          <cell r="H1311">
            <v>2748.27</v>
          </cell>
          <cell r="I1311">
            <v>1</v>
          </cell>
          <cell r="J1311">
            <v>12</v>
          </cell>
          <cell r="K1311">
            <v>1</v>
          </cell>
          <cell r="L1311">
            <v>32979.24</v>
          </cell>
        </row>
        <row r="1312">
          <cell r="A1312">
            <v>102692</v>
          </cell>
          <cell r="B1312">
            <v>20941</v>
          </cell>
          <cell r="C1312">
            <v>20941</v>
          </cell>
          <cell r="D1312" t="str">
            <v>SA1&amp;3</v>
          </cell>
          <cell r="E1312" t="str">
            <v>B</v>
          </cell>
          <cell r="F1312" t="str">
            <v>PSYCHIATRIC SOCIAL WORKER II</v>
          </cell>
          <cell r="G1312" t="str">
            <v>9035N</v>
          </cell>
          <cell r="H1312">
            <v>5425.82</v>
          </cell>
          <cell r="I1312">
            <v>1</v>
          </cell>
          <cell r="J1312">
            <v>12</v>
          </cell>
          <cell r="K1312">
            <v>1</v>
          </cell>
          <cell r="L1312">
            <v>65109.84</v>
          </cell>
        </row>
        <row r="1313">
          <cell r="A1313">
            <v>104932</v>
          </cell>
          <cell r="B1313">
            <v>18677</v>
          </cell>
          <cell r="C1313">
            <v>20941</v>
          </cell>
          <cell r="D1313" t="str">
            <v>SA1&amp;3</v>
          </cell>
          <cell r="E1313" t="str">
            <v>B</v>
          </cell>
          <cell r="F1313" t="str">
            <v>PSYCHIATRIC SOCIAL WORKER II</v>
          </cell>
          <cell r="G1313" t="str">
            <v>9035A</v>
          </cell>
          <cell r="H1313">
            <v>5425.82</v>
          </cell>
          <cell r="I1313">
            <v>1</v>
          </cell>
          <cell r="J1313">
            <v>12</v>
          </cell>
          <cell r="K1313">
            <v>1</v>
          </cell>
          <cell r="L1313">
            <v>65109.84</v>
          </cell>
        </row>
        <row r="1314">
          <cell r="A1314">
            <v>109849</v>
          </cell>
          <cell r="B1314" t="str">
            <v>TBA</v>
          </cell>
          <cell r="C1314">
            <v>20941</v>
          </cell>
          <cell r="D1314" t="str">
            <v>SA1&amp;3</v>
          </cell>
          <cell r="E1314" t="str">
            <v>B</v>
          </cell>
          <cell r="F1314" t="str">
            <v xml:space="preserve">SENIOR TYPIST-CLERK                </v>
          </cell>
          <cell r="G1314" t="str">
            <v>2216A</v>
          </cell>
          <cell r="H1314">
            <v>3013.55</v>
          </cell>
          <cell r="I1314">
            <v>1</v>
          </cell>
          <cell r="J1314">
            <v>12</v>
          </cell>
          <cell r="K1314">
            <v>1</v>
          </cell>
          <cell r="L1314">
            <v>36162.6</v>
          </cell>
        </row>
        <row r="1315">
          <cell r="A1315">
            <v>103826</v>
          </cell>
          <cell r="B1315">
            <v>20446</v>
          </cell>
          <cell r="C1315">
            <v>20941</v>
          </cell>
          <cell r="D1315" t="str">
            <v>SA1&amp;3</v>
          </cell>
          <cell r="E1315" t="str">
            <v>B</v>
          </cell>
          <cell r="F1315" t="str">
            <v xml:space="preserve">SUPVG PSYCHIATRIC SOCIAL WORKER    </v>
          </cell>
          <cell r="G1315" t="str">
            <v>9038A</v>
          </cell>
          <cell r="H1315">
            <v>6062.45</v>
          </cell>
          <cell r="I1315">
            <v>1</v>
          </cell>
          <cell r="J1315">
            <v>12</v>
          </cell>
          <cell r="K1315">
            <v>1</v>
          </cell>
          <cell r="L1315">
            <v>72749.399999999994</v>
          </cell>
        </row>
        <row r="1316">
          <cell r="A1316">
            <v>103743</v>
          </cell>
          <cell r="B1316">
            <v>20446</v>
          </cell>
          <cell r="C1316">
            <v>21537</v>
          </cell>
          <cell r="D1316" t="str">
            <v>SA1&amp;3</v>
          </cell>
          <cell r="E1316" t="str">
            <v>B</v>
          </cell>
          <cell r="F1316" t="str">
            <v>CLINICAL PSYCHOLOGIST II</v>
          </cell>
          <cell r="G1316" t="str">
            <v>8697A</v>
          </cell>
          <cell r="H1316">
            <v>6993.82</v>
          </cell>
          <cell r="I1316">
            <v>1</v>
          </cell>
          <cell r="J1316">
            <v>12</v>
          </cell>
          <cell r="K1316">
            <v>1</v>
          </cell>
          <cell r="L1316">
            <v>83925.52</v>
          </cell>
        </row>
        <row r="1317">
          <cell r="A1317">
            <v>104653</v>
          </cell>
          <cell r="B1317">
            <v>20468</v>
          </cell>
          <cell r="C1317">
            <v>21537</v>
          </cell>
          <cell r="D1317" t="str">
            <v>SA1&amp;3</v>
          </cell>
          <cell r="E1317" t="str">
            <v>B</v>
          </cell>
          <cell r="F1317" t="str">
            <v>CLINICAL PSYCHOLOGIST II</v>
          </cell>
          <cell r="G1317" t="str">
            <v>8697A</v>
          </cell>
          <cell r="H1317">
            <v>6993.82</v>
          </cell>
          <cell r="I1317">
            <v>1</v>
          </cell>
          <cell r="J1317">
            <v>12</v>
          </cell>
          <cell r="K1317">
            <v>1</v>
          </cell>
          <cell r="L1317">
            <v>83925.52</v>
          </cell>
        </row>
        <row r="1318">
          <cell r="A1318">
            <v>104752</v>
          </cell>
          <cell r="B1318">
            <v>21537</v>
          </cell>
          <cell r="C1318">
            <v>21537</v>
          </cell>
          <cell r="D1318" t="str">
            <v>SA1&amp;3</v>
          </cell>
          <cell r="E1318" t="str">
            <v>B</v>
          </cell>
          <cell r="F1318" t="str">
            <v>CLINICAL PSYCHOLOGIST II</v>
          </cell>
          <cell r="G1318" t="str">
            <v>8697A</v>
          </cell>
          <cell r="H1318">
            <v>6993.82</v>
          </cell>
          <cell r="I1318">
            <v>1</v>
          </cell>
          <cell r="J1318">
            <v>12</v>
          </cell>
          <cell r="K1318">
            <v>1</v>
          </cell>
          <cell r="L1318">
            <v>83925.52</v>
          </cell>
        </row>
        <row r="1319">
          <cell r="A1319">
            <v>106355</v>
          </cell>
          <cell r="B1319">
            <v>21564</v>
          </cell>
          <cell r="C1319">
            <v>21537</v>
          </cell>
          <cell r="D1319" t="str">
            <v>SA1&amp;3</v>
          </cell>
          <cell r="E1319" t="str">
            <v>B</v>
          </cell>
          <cell r="F1319" t="str">
            <v>CLINICAL PSYCHOLOGIST II</v>
          </cell>
          <cell r="G1319" t="str">
            <v>8697A</v>
          </cell>
          <cell r="H1319">
            <v>6993.82</v>
          </cell>
          <cell r="I1319">
            <v>1</v>
          </cell>
          <cell r="J1319">
            <v>12</v>
          </cell>
          <cell r="K1319">
            <v>1</v>
          </cell>
          <cell r="L1319">
            <v>83925.52</v>
          </cell>
        </row>
        <row r="1320">
          <cell r="A1320">
            <v>100437</v>
          </cell>
          <cell r="B1320">
            <v>20658</v>
          </cell>
          <cell r="C1320">
            <v>21537</v>
          </cell>
          <cell r="D1320" t="str">
            <v>SA1&amp;3</v>
          </cell>
          <cell r="E1320" t="str">
            <v>B</v>
          </cell>
          <cell r="F1320" t="str">
            <v>INTERMEDIATE TYPIST-CLERK</v>
          </cell>
          <cell r="G1320" t="str">
            <v>2214A</v>
          </cell>
          <cell r="H1320">
            <v>2675.27</v>
          </cell>
          <cell r="I1320">
            <v>1</v>
          </cell>
          <cell r="J1320">
            <v>12</v>
          </cell>
          <cell r="K1320">
            <v>1</v>
          </cell>
          <cell r="L1320">
            <v>32103.16</v>
          </cell>
        </row>
        <row r="1321">
          <cell r="A1321">
            <v>104760</v>
          </cell>
          <cell r="B1321">
            <v>21537</v>
          </cell>
          <cell r="C1321">
            <v>21537</v>
          </cell>
          <cell r="D1321" t="str">
            <v>SA1&amp;3</v>
          </cell>
          <cell r="E1321" t="str">
            <v>B</v>
          </cell>
          <cell r="F1321" t="str">
            <v>INTERMEDIATE TYPIST-CLERK</v>
          </cell>
          <cell r="G1321" t="str">
            <v>2214A</v>
          </cell>
          <cell r="H1321">
            <v>2675.27</v>
          </cell>
          <cell r="I1321">
            <v>1</v>
          </cell>
          <cell r="J1321">
            <v>12</v>
          </cell>
          <cell r="K1321">
            <v>1</v>
          </cell>
          <cell r="L1321">
            <v>32103.16</v>
          </cell>
        </row>
        <row r="1322">
          <cell r="A1322">
            <v>105007</v>
          </cell>
          <cell r="B1322">
            <v>20468</v>
          </cell>
          <cell r="C1322">
            <v>21537</v>
          </cell>
          <cell r="D1322" t="str">
            <v>SA1&amp;3</v>
          </cell>
          <cell r="E1322" t="str">
            <v>B</v>
          </cell>
          <cell r="F1322" t="str">
            <v>INTERMEDIATE TYPIST-CLERK</v>
          </cell>
          <cell r="G1322" t="str">
            <v>2214A</v>
          </cell>
          <cell r="H1322">
            <v>2675.27</v>
          </cell>
          <cell r="I1322">
            <v>1</v>
          </cell>
          <cell r="J1322">
            <v>12</v>
          </cell>
          <cell r="K1322">
            <v>1</v>
          </cell>
          <cell r="L1322">
            <v>32103.16</v>
          </cell>
        </row>
        <row r="1323">
          <cell r="A1323">
            <v>105010</v>
          </cell>
          <cell r="B1323">
            <v>20468</v>
          </cell>
          <cell r="C1323">
            <v>21537</v>
          </cell>
          <cell r="D1323" t="str">
            <v>SA1&amp;3</v>
          </cell>
          <cell r="E1323" t="str">
            <v>B</v>
          </cell>
          <cell r="F1323" t="str">
            <v>INTERMEDIATE TYPIST-CLERK</v>
          </cell>
          <cell r="G1323" t="str">
            <v>2214A</v>
          </cell>
          <cell r="H1323">
            <v>2675.27</v>
          </cell>
          <cell r="I1323">
            <v>1</v>
          </cell>
          <cell r="J1323">
            <v>12</v>
          </cell>
          <cell r="K1323">
            <v>1</v>
          </cell>
          <cell r="L1323">
            <v>32103.16</v>
          </cell>
        </row>
        <row r="1324">
          <cell r="A1324">
            <v>109653</v>
          </cell>
          <cell r="B1324">
            <v>21537</v>
          </cell>
          <cell r="C1324">
            <v>21537</v>
          </cell>
          <cell r="D1324" t="str">
            <v>SA1&amp;3</v>
          </cell>
          <cell r="E1324" t="str">
            <v>B</v>
          </cell>
          <cell r="F1324" t="str">
            <v>INTERMEDIATE TYPIST-CLERK</v>
          </cell>
          <cell r="G1324" t="str">
            <v>2214A</v>
          </cell>
          <cell r="H1324">
            <v>2675.27</v>
          </cell>
          <cell r="I1324">
            <v>1</v>
          </cell>
          <cell r="J1324">
            <v>12</v>
          </cell>
          <cell r="K1324">
            <v>1</v>
          </cell>
          <cell r="L1324">
            <v>32103.24</v>
          </cell>
        </row>
        <row r="1325">
          <cell r="A1325">
            <v>109654</v>
          </cell>
          <cell r="B1325">
            <v>21537</v>
          </cell>
          <cell r="C1325">
            <v>21537</v>
          </cell>
          <cell r="D1325" t="str">
            <v>SA1&amp;3</v>
          </cell>
          <cell r="E1325" t="str">
            <v>B</v>
          </cell>
          <cell r="F1325" t="str">
            <v>INTERMEDIATE TYPIST-CLERK</v>
          </cell>
          <cell r="G1325" t="str">
            <v>2214A</v>
          </cell>
          <cell r="H1325">
            <v>2675.27</v>
          </cell>
          <cell r="I1325">
            <v>1</v>
          </cell>
          <cell r="J1325">
            <v>12</v>
          </cell>
          <cell r="K1325">
            <v>1</v>
          </cell>
          <cell r="L1325">
            <v>32103.24</v>
          </cell>
        </row>
        <row r="1326">
          <cell r="A1326">
            <v>109790</v>
          </cell>
          <cell r="B1326" t="str">
            <v>TBA</v>
          </cell>
          <cell r="C1326">
            <v>21537</v>
          </cell>
          <cell r="D1326" t="str">
            <v>SA1&amp;3</v>
          </cell>
          <cell r="E1326" t="str">
            <v>B</v>
          </cell>
          <cell r="F1326" t="str">
            <v>INTERMEDIATE TYPIST-CLERK</v>
          </cell>
          <cell r="G1326" t="str">
            <v>2214A</v>
          </cell>
          <cell r="H1326">
            <v>2675.27</v>
          </cell>
          <cell r="I1326">
            <v>1</v>
          </cell>
          <cell r="J1326">
            <v>12</v>
          </cell>
          <cell r="K1326">
            <v>1</v>
          </cell>
          <cell r="L1326">
            <v>32103.24</v>
          </cell>
        </row>
        <row r="1327">
          <cell r="A1327">
            <v>104753</v>
          </cell>
          <cell r="B1327">
            <v>21537</v>
          </cell>
          <cell r="C1327">
            <v>21537</v>
          </cell>
          <cell r="D1327" t="str">
            <v>SA1&amp;3</v>
          </cell>
          <cell r="E1327" t="str">
            <v>B</v>
          </cell>
          <cell r="F1327" t="str">
            <v>MEDICAL CASE WORKER II</v>
          </cell>
          <cell r="G1327" t="str">
            <v>9002A</v>
          </cell>
          <cell r="H1327">
            <v>3938.82</v>
          </cell>
          <cell r="I1327">
            <v>1</v>
          </cell>
          <cell r="J1327">
            <v>12</v>
          </cell>
          <cell r="K1327">
            <v>1</v>
          </cell>
          <cell r="L1327">
            <v>47265.68</v>
          </cell>
        </row>
        <row r="1328">
          <cell r="A1328">
            <v>109191</v>
          </cell>
          <cell r="B1328">
            <v>27506</v>
          </cell>
          <cell r="C1328">
            <v>21537</v>
          </cell>
          <cell r="D1328" t="str">
            <v>SA1&amp;3</v>
          </cell>
          <cell r="E1328" t="str">
            <v>B</v>
          </cell>
          <cell r="F1328" t="str">
            <v>MEDICAL CASE WORKER II</v>
          </cell>
          <cell r="G1328" t="str">
            <v>9002A</v>
          </cell>
          <cell r="H1328">
            <v>3938.82</v>
          </cell>
          <cell r="I1328">
            <v>1</v>
          </cell>
          <cell r="J1328">
            <v>12</v>
          </cell>
          <cell r="K1328">
            <v>1</v>
          </cell>
          <cell r="L1328">
            <v>47265.68</v>
          </cell>
        </row>
        <row r="1329">
          <cell r="A1329">
            <v>109878</v>
          </cell>
          <cell r="B1329" t="str">
            <v>TBA</v>
          </cell>
          <cell r="C1329">
            <v>21537</v>
          </cell>
          <cell r="D1329" t="str">
            <v>SA1&amp;3</v>
          </cell>
          <cell r="E1329" t="str">
            <v>B</v>
          </cell>
          <cell r="F1329" t="str">
            <v>MEDICAL CASE WORKER II</v>
          </cell>
          <cell r="G1329" t="str">
            <v>9002A</v>
          </cell>
          <cell r="H1329">
            <v>3938.82</v>
          </cell>
          <cell r="I1329">
            <v>1</v>
          </cell>
          <cell r="J1329">
            <v>12</v>
          </cell>
          <cell r="K1329">
            <v>1</v>
          </cell>
          <cell r="L1329">
            <v>47265.84</v>
          </cell>
        </row>
        <row r="1330">
          <cell r="A1330">
            <v>109879</v>
          </cell>
          <cell r="B1330" t="str">
            <v>TBA</v>
          </cell>
          <cell r="C1330">
            <v>21537</v>
          </cell>
          <cell r="D1330" t="str">
            <v>SA1&amp;3</v>
          </cell>
          <cell r="E1330" t="str">
            <v>B</v>
          </cell>
          <cell r="F1330" t="str">
            <v>MEDICAL CASE WORKER II</v>
          </cell>
          <cell r="G1330" t="str">
            <v>9002A</v>
          </cell>
          <cell r="H1330">
            <v>3938.82</v>
          </cell>
          <cell r="I1330">
            <v>1</v>
          </cell>
          <cell r="J1330">
            <v>12</v>
          </cell>
          <cell r="K1330">
            <v>1</v>
          </cell>
          <cell r="L1330">
            <v>47265.84</v>
          </cell>
        </row>
        <row r="1331">
          <cell r="A1331">
            <v>104754</v>
          </cell>
          <cell r="B1331">
            <v>21537</v>
          </cell>
          <cell r="C1331">
            <v>21537</v>
          </cell>
          <cell r="D1331" t="str">
            <v>SA1&amp;3</v>
          </cell>
          <cell r="E1331" t="str">
            <v>B</v>
          </cell>
          <cell r="F1331" t="str">
            <v>MENTAL HEALTH COUNSELOR, RN</v>
          </cell>
          <cell r="G1331" t="str">
            <v>5278A</v>
          </cell>
          <cell r="H1331">
            <v>6275.27</v>
          </cell>
          <cell r="I1331">
            <v>1</v>
          </cell>
          <cell r="J1331">
            <v>12</v>
          </cell>
          <cell r="K1331">
            <v>1</v>
          </cell>
          <cell r="L1331">
            <v>76804.323333333334</v>
          </cell>
        </row>
        <row r="1332">
          <cell r="A1332">
            <v>106632</v>
          </cell>
          <cell r="B1332">
            <v>18676</v>
          </cell>
          <cell r="C1332">
            <v>21537</v>
          </cell>
          <cell r="D1332" t="str">
            <v>SA1&amp;3</v>
          </cell>
          <cell r="E1332" t="str">
            <v>B</v>
          </cell>
          <cell r="F1332" t="str">
            <v>MENTAL HEALTH COUNSELOR, RN</v>
          </cell>
          <cell r="G1332" t="str">
            <v>5278A</v>
          </cell>
          <cell r="H1332">
            <v>6275.27</v>
          </cell>
          <cell r="I1332">
            <v>1</v>
          </cell>
          <cell r="J1332">
            <v>12</v>
          </cell>
          <cell r="K1332">
            <v>1</v>
          </cell>
          <cell r="L1332">
            <v>76804.323333333334</v>
          </cell>
        </row>
        <row r="1333">
          <cell r="A1333">
            <v>106634</v>
          </cell>
          <cell r="B1333">
            <v>18676</v>
          </cell>
          <cell r="C1333">
            <v>21537</v>
          </cell>
          <cell r="D1333" t="str">
            <v>SA1&amp;3</v>
          </cell>
          <cell r="E1333" t="str">
            <v>B</v>
          </cell>
          <cell r="F1333" t="str">
            <v>MENTAL HEALTH COUNSELOR, RN</v>
          </cell>
          <cell r="G1333" t="str">
            <v>5278A</v>
          </cell>
          <cell r="H1333">
            <v>6275.27</v>
          </cell>
          <cell r="I1333">
            <v>1</v>
          </cell>
          <cell r="J1333">
            <v>12</v>
          </cell>
          <cell r="K1333">
            <v>1</v>
          </cell>
          <cell r="L1333">
            <v>76804.323333333334</v>
          </cell>
        </row>
        <row r="1334">
          <cell r="A1334">
            <v>104429</v>
          </cell>
          <cell r="B1334">
            <v>23003</v>
          </cell>
          <cell r="C1334">
            <v>21537</v>
          </cell>
          <cell r="D1334" t="str">
            <v>SA1&amp;3</v>
          </cell>
          <cell r="E1334" t="str">
            <v>B</v>
          </cell>
          <cell r="F1334" t="str">
            <v>MENTAL HEALTH PSYCHIATRIST</v>
          </cell>
          <cell r="G1334" t="str">
            <v>4735A</v>
          </cell>
          <cell r="H1334">
            <v>12844</v>
          </cell>
          <cell r="I1334">
            <v>1</v>
          </cell>
          <cell r="J1334">
            <v>7</v>
          </cell>
          <cell r="K1334">
            <v>0.58333333333333337</v>
          </cell>
          <cell r="L1334">
            <v>89908</v>
          </cell>
        </row>
        <row r="1335">
          <cell r="A1335">
            <v>104756</v>
          </cell>
          <cell r="B1335">
            <v>21537</v>
          </cell>
          <cell r="C1335">
            <v>21537</v>
          </cell>
          <cell r="D1335" t="str">
            <v>SA1&amp;3</v>
          </cell>
          <cell r="E1335" t="str">
            <v>B</v>
          </cell>
          <cell r="F1335" t="str">
            <v>MENTAL HEALTH PSYCHIATRIST</v>
          </cell>
          <cell r="G1335" t="str">
            <v>4735A</v>
          </cell>
          <cell r="H1335">
            <v>12844</v>
          </cell>
          <cell r="I1335">
            <v>1</v>
          </cell>
          <cell r="J1335">
            <v>12</v>
          </cell>
          <cell r="K1335">
            <v>1</v>
          </cell>
          <cell r="L1335">
            <v>154128</v>
          </cell>
        </row>
        <row r="1336">
          <cell r="A1336">
            <v>106024</v>
          </cell>
          <cell r="B1336">
            <v>21533</v>
          </cell>
          <cell r="C1336">
            <v>21537</v>
          </cell>
          <cell r="D1336" t="str">
            <v>SA1&amp;3</v>
          </cell>
          <cell r="E1336" t="str">
            <v>B</v>
          </cell>
          <cell r="F1336" t="str">
            <v>MENTAL HLTH CLINICAL DIST CHIEF</v>
          </cell>
          <cell r="G1336" t="str">
            <v>4722A</v>
          </cell>
          <cell r="H1336">
            <v>10074</v>
          </cell>
          <cell r="I1336">
            <v>1</v>
          </cell>
          <cell r="J1336">
            <v>12</v>
          </cell>
          <cell r="K1336">
            <v>1</v>
          </cell>
          <cell r="L1336">
            <v>120887.6</v>
          </cell>
        </row>
        <row r="1337">
          <cell r="A1337">
            <v>104757</v>
          </cell>
          <cell r="B1337">
            <v>21537</v>
          </cell>
          <cell r="C1337">
            <v>21537</v>
          </cell>
          <cell r="D1337" t="str">
            <v>SA1&amp;3</v>
          </cell>
          <cell r="E1337" t="str">
            <v>B</v>
          </cell>
          <cell r="F1337" t="str">
            <v xml:space="preserve">PATIENT FINANCIAL SERVICES WORKER  </v>
          </cell>
          <cell r="G1337" t="str">
            <v>9193A</v>
          </cell>
          <cell r="H1337">
            <v>3403.55</v>
          </cell>
          <cell r="I1337">
            <v>1</v>
          </cell>
          <cell r="J1337">
            <v>12</v>
          </cell>
          <cell r="K1337">
            <v>1</v>
          </cell>
          <cell r="L1337">
            <v>40842.6</v>
          </cell>
        </row>
        <row r="1338">
          <cell r="A1338">
            <v>109310</v>
          </cell>
          <cell r="B1338">
            <v>18703</v>
          </cell>
          <cell r="C1338">
            <v>21537</v>
          </cell>
          <cell r="D1338" t="str">
            <v>SA1&amp;3</v>
          </cell>
          <cell r="E1338" t="str">
            <v>B</v>
          </cell>
          <cell r="F1338" t="str">
            <v xml:space="preserve">PSYCHIATRIC SOCIAL WORK CONSULTANT </v>
          </cell>
          <cell r="G1338" t="str">
            <v>9037A</v>
          </cell>
          <cell r="H1338">
            <v>5333</v>
          </cell>
          <cell r="I1338">
            <v>1</v>
          </cell>
          <cell r="J1338">
            <v>12</v>
          </cell>
          <cell r="K1338">
            <v>1</v>
          </cell>
          <cell r="L1338">
            <v>63996</v>
          </cell>
        </row>
        <row r="1339">
          <cell r="A1339">
            <v>102809</v>
          </cell>
          <cell r="B1339">
            <v>20941</v>
          </cell>
          <cell r="C1339">
            <v>21537</v>
          </cell>
          <cell r="D1339" t="str">
            <v>SA1&amp;3</v>
          </cell>
          <cell r="E1339" t="str">
            <v>B</v>
          </cell>
          <cell r="F1339" t="str">
            <v>PSYCHIATRIC SOCIAL WORKER II</v>
          </cell>
          <cell r="G1339" t="str">
            <v>9035N</v>
          </cell>
          <cell r="H1339">
            <v>5425.82</v>
          </cell>
          <cell r="I1339">
            <v>1</v>
          </cell>
          <cell r="J1339">
            <v>12</v>
          </cell>
          <cell r="K1339">
            <v>1</v>
          </cell>
          <cell r="L1339">
            <v>65109.84</v>
          </cell>
        </row>
        <row r="1340">
          <cell r="A1340">
            <v>104397</v>
          </cell>
          <cell r="B1340">
            <v>20468</v>
          </cell>
          <cell r="C1340">
            <v>21537</v>
          </cell>
          <cell r="D1340" t="str">
            <v>SA1&amp;3</v>
          </cell>
          <cell r="E1340" t="str">
            <v>B</v>
          </cell>
          <cell r="F1340" t="str">
            <v>PSYCHIATRIC SOCIAL WORKER II</v>
          </cell>
          <cell r="G1340" t="str">
            <v>9035A</v>
          </cell>
          <cell r="H1340">
            <v>5425.82</v>
          </cell>
          <cell r="I1340">
            <v>1</v>
          </cell>
          <cell r="J1340">
            <v>12</v>
          </cell>
          <cell r="K1340">
            <v>1</v>
          </cell>
          <cell r="L1340">
            <v>65109.84</v>
          </cell>
        </row>
        <row r="1341">
          <cell r="A1341">
            <v>104758</v>
          </cell>
          <cell r="B1341">
            <v>21537</v>
          </cell>
          <cell r="C1341">
            <v>21537</v>
          </cell>
          <cell r="D1341" t="str">
            <v>SA1&amp;3</v>
          </cell>
          <cell r="E1341" t="str">
            <v>B</v>
          </cell>
          <cell r="F1341" t="str">
            <v>PSYCHIATRIC SOCIAL WORKER II</v>
          </cell>
          <cell r="G1341" t="str">
            <v>9035A</v>
          </cell>
          <cell r="H1341">
            <v>5425.82</v>
          </cell>
          <cell r="I1341">
            <v>1</v>
          </cell>
          <cell r="J1341">
            <v>12</v>
          </cell>
          <cell r="K1341">
            <v>1</v>
          </cell>
          <cell r="L1341">
            <v>65109.84</v>
          </cell>
        </row>
        <row r="1342">
          <cell r="A1342">
            <v>104762</v>
          </cell>
          <cell r="B1342">
            <v>21537</v>
          </cell>
          <cell r="C1342">
            <v>21537</v>
          </cell>
          <cell r="D1342" t="str">
            <v>SA1&amp;3</v>
          </cell>
          <cell r="E1342" t="str">
            <v>B</v>
          </cell>
          <cell r="F1342" t="str">
            <v>PSYCHIATRIC SOCIAL WORKER II</v>
          </cell>
          <cell r="G1342" t="str">
            <v>9035A</v>
          </cell>
          <cell r="H1342">
            <v>5425.82</v>
          </cell>
          <cell r="I1342">
            <v>1</v>
          </cell>
          <cell r="J1342">
            <v>12</v>
          </cell>
          <cell r="K1342">
            <v>1</v>
          </cell>
          <cell r="L1342">
            <v>65109.84</v>
          </cell>
        </row>
        <row r="1343">
          <cell r="A1343">
            <v>109832</v>
          </cell>
          <cell r="B1343" t="str">
            <v>TBA</v>
          </cell>
          <cell r="C1343">
            <v>21537</v>
          </cell>
          <cell r="D1343" t="str">
            <v>SA1&amp;3</v>
          </cell>
          <cell r="E1343" t="str">
            <v>B</v>
          </cell>
          <cell r="F1343" t="str">
            <v>PSYCHIATRIC SOCIAL WORKER II</v>
          </cell>
          <cell r="G1343" t="str">
            <v>9035A</v>
          </cell>
          <cell r="H1343">
            <v>5425.82</v>
          </cell>
          <cell r="I1343">
            <v>1</v>
          </cell>
          <cell r="J1343">
            <v>12</v>
          </cell>
          <cell r="K1343">
            <v>1</v>
          </cell>
          <cell r="L1343">
            <v>65109.84</v>
          </cell>
        </row>
        <row r="1344">
          <cell r="A1344">
            <v>102553</v>
          </cell>
          <cell r="B1344">
            <v>20657</v>
          </cell>
          <cell r="C1344">
            <v>21537</v>
          </cell>
          <cell r="D1344" t="str">
            <v>SA1&amp;3</v>
          </cell>
          <cell r="E1344" t="str">
            <v>B</v>
          </cell>
          <cell r="F1344" t="str">
            <v xml:space="preserve">SENIOR COMMUNITY WORKER II         </v>
          </cell>
          <cell r="G1344" t="str">
            <v>8105A</v>
          </cell>
          <cell r="H1344">
            <v>3428.36</v>
          </cell>
          <cell r="I1344">
            <v>1</v>
          </cell>
          <cell r="J1344">
            <v>12</v>
          </cell>
          <cell r="K1344">
            <v>1</v>
          </cell>
          <cell r="L1344">
            <v>41140.32</v>
          </cell>
        </row>
        <row r="1345">
          <cell r="A1345">
            <v>103627</v>
          </cell>
          <cell r="B1345">
            <v>18639</v>
          </cell>
          <cell r="C1345">
            <v>21537</v>
          </cell>
          <cell r="D1345" t="str">
            <v>SA1&amp;3</v>
          </cell>
          <cell r="E1345" t="str">
            <v>B</v>
          </cell>
          <cell r="F1345" t="str">
            <v xml:space="preserve">SENIOR COMMUNITY WORKER II         </v>
          </cell>
          <cell r="G1345" t="str">
            <v>8105A</v>
          </cell>
          <cell r="H1345">
            <v>3428.36</v>
          </cell>
          <cell r="I1345">
            <v>1</v>
          </cell>
          <cell r="J1345">
            <v>12</v>
          </cell>
          <cell r="K1345">
            <v>1</v>
          </cell>
          <cell r="L1345">
            <v>41140.32</v>
          </cell>
        </row>
        <row r="1346">
          <cell r="A1346">
            <v>102141</v>
          </cell>
          <cell r="B1346">
            <v>20468</v>
          </cell>
          <cell r="C1346">
            <v>21537</v>
          </cell>
          <cell r="D1346" t="str">
            <v>SA1&amp;3</v>
          </cell>
          <cell r="E1346" t="str">
            <v>B</v>
          </cell>
          <cell r="F1346" t="str">
            <v xml:space="preserve">SENIOR SECRETARY III               </v>
          </cell>
          <cell r="G1346" t="str">
            <v>2102A</v>
          </cell>
          <cell r="H1346">
            <v>4106.3599999999997</v>
          </cell>
          <cell r="I1346">
            <v>1</v>
          </cell>
          <cell r="J1346">
            <v>12</v>
          </cell>
          <cell r="K1346">
            <v>1</v>
          </cell>
          <cell r="L1346">
            <v>49276.56</v>
          </cell>
        </row>
        <row r="1347">
          <cell r="A1347">
            <v>104761</v>
          </cell>
          <cell r="B1347">
            <v>21537</v>
          </cell>
          <cell r="C1347">
            <v>21537</v>
          </cell>
          <cell r="D1347" t="str">
            <v>SA1&amp;3</v>
          </cell>
          <cell r="E1347" t="str">
            <v>B</v>
          </cell>
          <cell r="F1347" t="str">
            <v xml:space="preserve">STAFF ASSISTANT I                  </v>
          </cell>
          <cell r="G1347" t="str">
            <v>0907A</v>
          </cell>
          <cell r="H1347">
            <v>3453.18</v>
          </cell>
          <cell r="I1347">
            <v>1</v>
          </cell>
          <cell r="J1347">
            <v>12</v>
          </cell>
          <cell r="K1347">
            <v>1</v>
          </cell>
          <cell r="L1347">
            <v>41438.480000000003</v>
          </cell>
        </row>
        <row r="1348">
          <cell r="A1348">
            <v>104406</v>
          </cell>
          <cell r="B1348">
            <v>23015</v>
          </cell>
          <cell r="C1348">
            <v>23015</v>
          </cell>
          <cell r="D1348" t="str">
            <v>SA1&amp;3</v>
          </cell>
          <cell r="E1348" t="str">
            <v>B</v>
          </cell>
          <cell r="F1348" t="str">
            <v>CLINICAL PSYCHOLOGIST II</v>
          </cell>
          <cell r="G1348" t="str">
            <v>8697A</v>
          </cell>
          <cell r="H1348">
            <v>6993.82</v>
          </cell>
          <cell r="I1348">
            <v>1</v>
          </cell>
          <cell r="J1348">
            <v>6</v>
          </cell>
          <cell r="K1348">
            <v>0.5</v>
          </cell>
          <cell r="L1348">
            <v>41962.76</v>
          </cell>
        </row>
        <row r="1349">
          <cell r="A1349">
            <v>106078</v>
          </cell>
          <cell r="B1349">
            <v>18676</v>
          </cell>
          <cell r="C1349">
            <v>23015</v>
          </cell>
          <cell r="D1349" t="str">
            <v>SA1&amp;3</v>
          </cell>
          <cell r="E1349" t="str">
            <v>B</v>
          </cell>
          <cell r="F1349" t="str">
            <v>CLINICAL PSYCHOLOGIST II</v>
          </cell>
          <cell r="G1349" t="str">
            <v>8697A</v>
          </cell>
          <cell r="H1349">
            <v>6993.82</v>
          </cell>
          <cell r="I1349">
            <v>1</v>
          </cell>
          <cell r="J1349">
            <v>12</v>
          </cell>
          <cell r="K1349">
            <v>1</v>
          </cell>
          <cell r="L1349">
            <v>83925.52</v>
          </cell>
        </row>
        <row r="1350">
          <cell r="A1350">
            <v>103894</v>
          </cell>
          <cell r="B1350">
            <v>23015</v>
          </cell>
          <cell r="C1350">
            <v>23015</v>
          </cell>
          <cell r="D1350" t="str">
            <v>SA1&amp;3</v>
          </cell>
          <cell r="E1350" t="str">
            <v>B</v>
          </cell>
          <cell r="F1350" t="str">
            <v>CONSULTING SPECIALIST, MD (PER SESSION)</v>
          </cell>
          <cell r="G1350" t="str">
            <v>5472J</v>
          </cell>
          <cell r="H1350">
            <v>314</v>
          </cell>
          <cell r="I1350">
            <v>2</v>
          </cell>
          <cell r="J1350">
            <v>6</v>
          </cell>
          <cell r="K1350">
            <v>1.2409961685823756E-2</v>
          </cell>
          <cell r="L1350">
            <v>1884.12</v>
          </cell>
        </row>
        <row r="1351">
          <cell r="A1351">
            <v>100440</v>
          </cell>
          <cell r="B1351">
            <v>23015</v>
          </cell>
          <cell r="C1351">
            <v>23015</v>
          </cell>
          <cell r="D1351" t="str">
            <v>SA1&amp;3</v>
          </cell>
          <cell r="E1351" t="str">
            <v>B</v>
          </cell>
          <cell r="F1351" t="str">
            <v>INTERMEDIATE TYPIST-CLERK</v>
          </cell>
          <cell r="G1351" t="str">
            <v>2214A</v>
          </cell>
          <cell r="H1351">
            <v>2675.27</v>
          </cell>
          <cell r="I1351">
            <v>1</v>
          </cell>
          <cell r="J1351">
            <v>12</v>
          </cell>
          <cell r="K1351">
            <v>1</v>
          </cell>
          <cell r="L1351">
            <v>32103.16</v>
          </cell>
        </row>
        <row r="1352">
          <cell r="A1352">
            <v>102721</v>
          </cell>
          <cell r="B1352">
            <v>23015</v>
          </cell>
          <cell r="C1352">
            <v>23015</v>
          </cell>
          <cell r="D1352" t="str">
            <v>SA1&amp;3</v>
          </cell>
          <cell r="E1352" t="str">
            <v>B</v>
          </cell>
          <cell r="F1352" t="str">
            <v>INTERMEDIATE TYPIST-CLERK</v>
          </cell>
          <cell r="G1352" t="str">
            <v>2214A</v>
          </cell>
          <cell r="H1352">
            <v>2675.27</v>
          </cell>
          <cell r="I1352">
            <v>1</v>
          </cell>
          <cell r="J1352">
            <v>12</v>
          </cell>
          <cell r="K1352">
            <v>1</v>
          </cell>
          <cell r="L1352">
            <v>32103.16</v>
          </cell>
        </row>
        <row r="1353">
          <cell r="A1353">
            <v>103750</v>
          </cell>
          <cell r="B1353">
            <v>20446</v>
          </cell>
          <cell r="C1353">
            <v>23015</v>
          </cell>
          <cell r="D1353" t="str">
            <v>SA1&amp;3</v>
          </cell>
          <cell r="E1353" t="str">
            <v>B</v>
          </cell>
          <cell r="F1353" t="str">
            <v>INTERMEDIATE TYPIST-CLERK</v>
          </cell>
          <cell r="G1353" t="str">
            <v>2214A</v>
          </cell>
          <cell r="H1353">
            <v>2675.27</v>
          </cell>
          <cell r="I1353">
            <v>1</v>
          </cell>
          <cell r="J1353">
            <v>12</v>
          </cell>
          <cell r="K1353">
            <v>1</v>
          </cell>
          <cell r="L1353">
            <v>32103.16</v>
          </cell>
        </row>
        <row r="1354">
          <cell r="A1354">
            <v>104151</v>
          </cell>
          <cell r="B1354">
            <v>18677</v>
          </cell>
          <cell r="C1354">
            <v>23015</v>
          </cell>
          <cell r="D1354" t="str">
            <v>SA1&amp;3</v>
          </cell>
          <cell r="E1354" t="str">
            <v>B</v>
          </cell>
          <cell r="F1354" t="str">
            <v>INTERMEDIATE TYPIST-CLERK</v>
          </cell>
          <cell r="G1354" t="str">
            <v>2214A</v>
          </cell>
          <cell r="H1354">
            <v>2675.27</v>
          </cell>
          <cell r="I1354">
            <v>1</v>
          </cell>
          <cell r="J1354">
            <v>12</v>
          </cell>
          <cell r="K1354">
            <v>1</v>
          </cell>
          <cell r="L1354">
            <v>32103.16</v>
          </cell>
        </row>
        <row r="1355">
          <cell r="A1355">
            <v>106244</v>
          </cell>
          <cell r="B1355">
            <v>20941</v>
          </cell>
          <cell r="C1355">
            <v>23015</v>
          </cell>
          <cell r="D1355" t="str">
            <v>SA1&amp;3</v>
          </cell>
          <cell r="E1355" t="str">
            <v>B</v>
          </cell>
          <cell r="F1355" t="str">
            <v>INTERMEDIATE TYPIST-CLERK</v>
          </cell>
          <cell r="G1355" t="str">
            <v>2214A</v>
          </cell>
          <cell r="H1355">
            <v>2675.27</v>
          </cell>
          <cell r="I1355">
            <v>1</v>
          </cell>
          <cell r="J1355">
            <v>12</v>
          </cell>
          <cell r="K1355">
            <v>1</v>
          </cell>
          <cell r="L1355">
            <v>32103.16</v>
          </cell>
        </row>
        <row r="1356">
          <cell r="A1356">
            <v>109190</v>
          </cell>
          <cell r="B1356">
            <v>27506</v>
          </cell>
          <cell r="C1356">
            <v>23015</v>
          </cell>
          <cell r="D1356" t="str">
            <v>SA1&amp;3</v>
          </cell>
          <cell r="E1356" t="str">
            <v>B</v>
          </cell>
          <cell r="F1356" t="str">
            <v>MEDICAL CASE WORKER II</v>
          </cell>
          <cell r="G1356" t="str">
            <v>9002A</v>
          </cell>
          <cell r="H1356">
            <v>3938.82</v>
          </cell>
          <cell r="I1356">
            <v>1</v>
          </cell>
          <cell r="J1356">
            <v>12</v>
          </cell>
          <cell r="K1356">
            <v>1</v>
          </cell>
          <cell r="L1356">
            <v>47265.68</v>
          </cell>
        </row>
        <row r="1357">
          <cell r="A1357">
            <v>104244</v>
          </cell>
          <cell r="B1357">
            <v>20944</v>
          </cell>
          <cell r="C1357">
            <v>23015</v>
          </cell>
          <cell r="D1357" t="str">
            <v>SA1&amp;3</v>
          </cell>
          <cell r="E1357" t="str">
            <v>B</v>
          </cell>
          <cell r="F1357" t="str">
            <v xml:space="preserve">MENTAL HEALTH ANALYST I            </v>
          </cell>
          <cell r="G1357" t="str">
            <v>4727A</v>
          </cell>
          <cell r="H1357">
            <v>5602.09</v>
          </cell>
          <cell r="I1357">
            <v>1</v>
          </cell>
          <cell r="J1357">
            <v>12</v>
          </cell>
          <cell r="K1357">
            <v>1</v>
          </cell>
          <cell r="L1357">
            <v>67225.16</v>
          </cell>
        </row>
        <row r="1358">
          <cell r="A1358">
            <v>104272</v>
          </cell>
          <cell r="B1358">
            <v>23015</v>
          </cell>
          <cell r="C1358">
            <v>23015</v>
          </cell>
          <cell r="D1358" t="str">
            <v>SA1&amp;3</v>
          </cell>
          <cell r="E1358" t="str">
            <v>B</v>
          </cell>
          <cell r="F1358" t="str">
            <v>MENTAL HEALTH CONSULTANT,MD(PER SESSION)</v>
          </cell>
          <cell r="G1358" t="str">
            <v>5467J</v>
          </cell>
          <cell r="H1358">
            <v>314</v>
          </cell>
          <cell r="I1358">
            <v>1</v>
          </cell>
          <cell r="J1358">
            <v>261</v>
          </cell>
          <cell r="K1358">
            <v>0.5</v>
          </cell>
          <cell r="L1358">
            <v>81953.72</v>
          </cell>
        </row>
        <row r="1359">
          <cell r="A1359">
            <v>103895</v>
          </cell>
          <cell r="B1359">
            <v>23015</v>
          </cell>
          <cell r="C1359">
            <v>23015</v>
          </cell>
          <cell r="D1359" t="str">
            <v>SA1&amp;3</v>
          </cell>
          <cell r="E1359" t="str">
            <v>B</v>
          </cell>
          <cell r="F1359" t="str">
            <v>MENTAL HEALTH COUNSELOR, RN</v>
          </cell>
          <cell r="G1359" t="str">
            <v>5278A</v>
          </cell>
          <cell r="H1359">
            <v>6275.27</v>
          </cell>
          <cell r="I1359">
            <v>1</v>
          </cell>
          <cell r="J1359">
            <v>6</v>
          </cell>
          <cell r="K1359">
            <v>0.5</v>
          </cell>
          <cell r="L1359">
            <v>38402.161666666667</v>
          </cell>
        </row>
        <row r="1360">
          <cell r="A1360">
            <v>104106</v>
          </cell>
          <cell r="B1360">
            <v>23015</v>
          </cell>
          <cell r="C1360">
            <v>23015</v>
          </cell>
          <cell r="D1360" t="str">
            <v>SA1&amp;3</v>
          </cell>
          <cell r="E1360" t="str">
            <v>B</v>
          </cell>
          <cell r="F1360" t="str">
            <v>MENTAL HEALTH COUNSELOR, RN</v>
          </cell>
          <cell r="G1360" t="str">
            <v>5278A</v>
          </cell>
          <cell r="H1360">
            <v>6275.27</v>
          </cell>
          <cell r="I1360">
            <v>1</v>
          </cell>
          <cell r="J1360">
            <v>12</v>
          </cell>
          <cell r="K1360">
            <v>1</v>
          </cell>
          <cell r="L1360">
            <v>76804.323333333334</v>
          </cell>
        </row>
        <row r="1361">
          <cell r="A1361">
            <v>104214</v>
          </cell>
          <cell r="B1361">
            <v>23015</v>
          </cell>
          <cell r="C1361">
            <v>23015</v>
          </cell>
          <cell r="D1361" t="str">
            <v>SA1&amp;3</v>
          </cell>
          <cell r="E1361" t="str">
            <v>B</v>
          </cell>
          <cell r="F1361" t="str">
            <v>MENTAL HEALTH COUNSELOR, RN</v>
          </cell>
          <cell r="G1361" t="str">
            <v>5278A</v>
          </cell>
          <cell r="H1361">
            <v>6275.27</v>
          </cell>
          <cell r="I1361">
            <v>1</v>
          </cell>
          <cell r="J1361">
            <v>12</v>
          </cell>
          <cell r="K1361">
            <v>1</v>
          </cell>
          <cell r="L1361">
            <v>76804.323333333334</v>
          </cell>
        </row>
        <row r="1362">
          <cell r="A1362">
            <v>104407</v>
          </cell>
          <cell r="B1362">
            <v>23015</v>
          </cell>
          <cell r="C1362">
            <v>23015</v>
          </cell>
          <cell r="D1362" t="str">
            <v>SA1&amp;3</v>
          </cell>
          <cell r="E1362" t="str">
            <v>B</v>
          </cell>
          <cell r="F1362" t="str">
            <v>MENTAL HEALTH COUNSELOR, RN</v>
          </cell>
          <cell r="G1362" t="str">
            <v>5278A</v>
          </cell>
          <cell r="H1362">
            <v>6275.27</v>
          </cell>
          <cell r="I1362">
            <v>1</v>
          </cell>
          <cell r="J1362">
            <v>12</v>
          </cell>
          <cell r="K1362">
            <v>1</v>
          </cell>
          <cell r="L1362">
            <v>76803.923333333325</v>
          </cell>
        </row>
        <row r="1363">
          <cell r="A1363">
            <v>100782</v>
          </cell>
          <cell r="B1363">
            <v>20483</v>
          </cell>
          <cell r="C1363">
            <v>23015</v>
          </cell>
          <cell r="D1363" t="str">
            <v>SA1&amp;3</v>
          </cell>
          <cell r="E1363" t="str">
            <v>B</v>
          </cell>
          <cell r="F1363" t="str">
            <v>MENTAL HEALTH PSYCHIATRIST</v>
          </cell>
          <cell r="G1363" t="str">
            <v>4735A</v>
          </cell>
          <cell r="H1363">
            <v>12844</v>
          </cell>
          <cell r="I1363">
            <v>1</v>
          </cell>
          <cell r="J1363">
            <v>12</v>
          </cell>
          <cell r="K1363">
            <v>1</v>
          </cell>
          <cell r="L1363">
            <v>154128</v>
          </cell>
        </row>
        <row r="1364">
          <cell r="A1364">
            <v>100801</v>
          </cell>
          <cell r="B1364">
            <v>23015</v>
          </cell>
          <cell r="C1364">
            <v>23015</v>
          </cell>
          <cell r="D1364" t="str">
            <v>SA1&amp;3</v>
          </cell>
          <cell r="E1364" t="str">
            <v>B</v>
          </cell>
          <cell r="F1364" t="str">
            <v>MENTAL HEALTH PSYCHIATRIST</v>
          </cell>
          <cell r="G1364" t="str">
            <v>4735A</v>
          </cell>
          <cell r="H1364">
            <v>12844</v>
          </cell>
          <cell r="I1364">
            <v>1</v>
          </cell>
          <cell r="J1364">
            <v>12</v>
          </cell>
          <cell r="K1364">
            <v>1</v>
          </cell>
          <cell r="L1364">
            <v>154128</v>
          </cell>
        </row>
        <row r="1365">
          <cell r="A1365">
            <v>102709</v>
          </cell>
          <cell r="B1365">
            <v>23015</v>
          </cell>
          <cell r="C1365">
            <v>23015</v>
          </cell>
          <cell r="D1365" t="str">
            <v>SA1&amp;3</v>
          </cell>
          <cell r="E1365" t="str">
            <v>B</v>
          </cell>
          <cell r="F1365" t="str">
            <v>MENTAL HEALTH PSYCHIATRIST</v>
          </cell>
          <cell r="G1365" t="str">
            <v>4735A</v>
          </cell>
          <cell r="H1365">
            <v>12844</v>
          </cell>
          <cell r="I1365">
            <v>1</v>
          </cell>
          <cell r="J1365">
            <v>12</v>
          </cell>
          <cell r="K1365">
            <v>1</v>
          </cell>
          <cell r="L1365">
            <v>154128</v>
          </cell>
        </row>
        <row r="1366">
          <cell r="A1366">
            <v>103268</v>
          </cell>
          <cell r="B1366">
            <v>23015</v>
          </cell>
          <cell r="C1366">
            <v>23015</v>
          </cell>
          <cell r="D1366" t="str">
            <v>SA1&amp;3</v>
          </cell>
          <cell r="E1366" t="str">
            <v>B</v>
          </cell>
          <cell r="F1366" t="str">
            <v>MENTAL HEALTH PSYCHIATRIST</v>
          </cell>
          <cell r="G1366" t="str">
            <v>4735A</v>
          </cell>
          <cell r="H1366">
            <v>12844</v>
          </cell>
          <cell r="I1366">
            <v>1</v>
          </cell>
          <cell r="J1366">
            <v>6</v>
          </cell>
          <cell r="K1366">
            <v>0.5</v>
          </cell>
          <cell r="L1366">
            <v>77064</v>
          </cell>
        </row>
        <row r="1367">
          <cell r="A1367">
            <v>103269</v>
          </cell>
          <cell r="B1367">
            <v>23015</v>
          </cell>
          <cell r="C1367">
            <v>23015</v>
          </cell>
          <cell r="D1367" t="str">
            <v>SA1&amp;3</v>
          </cell>
          <cell r="E1367" t="str">
            <v>B</v>
          </cell>
          <cell r="F1367" t="str">
            <v>MENTAL HEALTH PSYCHIATRIST</v>
          </cell>
          <cell r="G1367" t="str">
            <v>4735A</v>
          </cell>
          <cell r="H1367">
            <v>12844</v>
          </cell>
          <cell r="I1367">
            <v>1</v>
          </cell>
          <cell r="J1367">
            <v>6</v>
          </cell>
          <cell r="K1367">
            <v>0.5</v>
          </cell>
          <cell r="L1367">
            <v>77064</v>
          </cell>
        </row>
        <row r="1368">
          <cell r="A1368">
            <v>103281</v>
          </cell>
          <cell r="B1368">
            <v>23017</v>
          </cell>
          <cell r="C1368">
            <v>23015</v>
          </cell>
          <cell r="D1368" t="str">
            <v>SA1&amp;3</v>
          </cell>
          <cell r="E1368" t="str">
            <v>B</v>
          </cell>
          <cell r="F1368" t="str">
            <v>MENTAL HEALTH PSYCHIATRIST</v>
          </cell>
          <cell r="G1368" t="str">
            <v>4735A</v>
          </cell>
          <cell r="H1368">
            <v>12844</v>
          </cell>
          <cell r="I1368">
            <v>1</v>
          </cell>
          <cell r="J1368">
            <v>6</v>
          </cell>
          <cell r="K1368">
            <v>0.5</v>
          </cell>
          <cell r="L1368">
            <v>77064</v>
          </cell>
        </row>
        <row r="1369">
          <cell r="A1369">
            <v>104141</v>
          </cell>
          <cell r="B1369">
            <v>20468</v>
          </cell>
          <cell r="C1369">
            <v>23015</v>
          </cell>
          <cell r="D1369" t="str">
            <v>SA1&amp;3</v>
          </cell>
          <cell r="E1369" t="str">
            <v>B</v>
          </cell>
          <cell r="F1369" t="str">
            <v>MENTAL HEALTH PSYCHIATRIST</v>
          </cell>
          <cell r="G1369" t="str">
            <v>4735A</v>
          </cell>
          <cell r="H1369">
            <v>12844</v>
          </cell>
          <cell r="I1369">
            <v>1</v>
          </cell>
          <cell r="J1369">
            <v>6</v>
          </cell>
          <cell r="K1369">
            <v>0.5</v>
          </cell>
          <cell r="L1369">
            <v>77064</v>
          </cell>
        </row>
        <row r="1370">
          <cell r="A1370">
            <v>104586</v>
          </cell>
          <cell r="B1370">
            <v>23015</v>
          </cell>
          <cell r="C1370">
            <v>23015</v>
          </cell>
          <cell r="D1370" t="str">
            <v>SA1&amp;3</v>
          </cell>
          <cell r="E1370" t="str">
            <v>B</v>
          </cell>
          <cell r="F1370" t="str">
            <v>MENTAL HEALTH PSYCHIATRIST</v>
          </cell>
          <cell r="G1370" t="str">
            <v>4735A</v>
          </cell>
          <cell r="H1370">
            <v>12844</v>
          </cell>
          <cell r="I1370">
            <v>1</v>
          </cell>
          <cell r="J1370">
            <v>6</v>
          </cell>
          <cell r="K1370">
            <v>0.5</v>
          </cell>
          <cell r="L1370">
            <v>77064</v>
          </cell>
        </row>
        <row r="1371">
          <cell r="A1371">
            <v>102603</v>
          </cell>
          <cell r="B1371">
            <v>23015</v>
          </cell>
          <cell r="C1371">
            <v>23015</v>
          </cell>
          <cell r="D1371" t="str">
            <v>SA1&amp;3</v>
          </cell>
          <cell r="E1371" t="str">
            <v>B</v>
          </cell>
          <cell r="F1371" t="str">
            <v xml:space="preserve">PATIENT FINANCIAL SERVICES WORKER  </v>
          </cell>
          <cell r="G1371" t="str">
            <v>9193A</v>
          </cell>
          <cell r="H1371">
            <v>3403.55</v>
          </cell>
          <cell r="I1371">
            <v>1</v>
          </cell>
          <cell r="J1371">
            <v>12</v>
          </cell>
          <cell r="K1371">
            <v>1</v>
          </cell>
          <cell r="L1371">
            <v>40842.6</v>
          </cell>
        </row>
        <row r="1372">
          <cell r="A1372">
            <v>104674</v>
          </cell>
          <cell r="B1372">
            <v>23015</v>
          </cell>
          <cell r="C1372">
            <v>23015</v>
          </cell>
          <cell r="D1372" t="str">
            <v>SA1&amp;3</v>
          </cell>
          <cell r="E1372" t="str">
            <v>B</v>
          </cell>
          <cell r="F1372" t="str">
            <v xml:space="preserve">PATIENT FINANCIAL SERVICES WORKER  </v>
          </cell>
          <cell r="G1372" t="str">
            <v>9193A</v>
          </cell>
          <cell r="H1372">
            <v>3403.55</v>
          </cell>
          <cell r="I1372">
            <v>1</v>
          </cell>
          <cell r="J1372">
            <v>12</v>
          </cell>
          <cell r="K1372">
            <v>1</v>
          </cell>
          <cell r="L1372">
            <v>40842.6</v>
          </cell>
        </row>
        <row r="1373">
          <cell r="A1373">
            <v>101202</v>
          </cell>
          <cell r="B1373">
            <v>23001</v>
          </cell>
          <cell r="C1373">
            <v>23015</v>
          </cell>
          <cell r="D1373" t="str">
            <v>SA1&amp;3</v>
          </cell>
          <cell r="E1373" t="str">
            <v>B</v>
          </cell>
          <cell r="F1373" t="str">
            <v>PSYCHIATRIC SOCIAL WORKER II</v>
          </cell>
          <cell r="G1373" t="str">
            <v>9035A</v>
          </cell>
          <cell r="H1373">
            <v>5425.82</v>
          </cell>
          <cell r="I1373">
            <v>1</v>
          </cell>
          <cell r="J1373">
            <v>12</v>
          </cell>
          <cell r="K1373">
            <v>1</v>
          </cell>
          <cell r="L1373">
            <v>65109.84</v>
          </cell>
        </row>
        <row r="1374">
          <cell r="A1374">
            <v>101232</v>
          </cell>
          <cell r="B1374">
            <v>23015</v>
          </cell>
          <cell r="C1374">
            <v>23015</v>
          </cell>
          <cell r="D1374" t="str">
            <v>SA1&amp;3</v>
          </cell>
          <cell r="E1374" t="str">
            <v>B</v>
          </cell>
          <cell r="F1374" t="str">
            <v>PSYCHIATRIC SOCIAL WORKER II</v>
          </cell>
          <cell r="G1374" t="str">
            <v>9035A</v>
          </cell>
          <cell r="H1374">
            <v>5425.82</v>
          </cell>
          <cell r="I1374">
            <v>1</v>
          </cell>
          <cell r="J1374">
            <v>12</v>
          </cell>
          <cell r="K1374">
            <v>1</v>
          </cell>
          <cell r="L1374">
            <v>65109.84</v>
          </cell>
        </row>
        <row r="1375">
          <cell r="A1375">
            <v>101233</v>
          </cell>
          <cell r="B1375">
            <v>23015</v>
          </cell>
          <cell r="C1375">
            <v>23015</v>
          </cell>
          <cell r="D1375" t="str">
            <v>SA1&amp;3</v>
          </cell>
          <cell r="E1375" t="str">
            <v>B</v>
          </cell>
          <cell r="F1375" t="str">
            <v>PSYCHIATRIC SOCIAL WORKER II</v>
          </cell>
          <cell r="G1375" t="str">
            <v>9035A</v>
          </cell>
          <cell r="H1375">
            <v>5425.82</v>
          </cell>
          <cell r="I1375">
            <v>1</v>
          </cell>
          <cell r="J1375">
            <v>12</v>
          </cell>
          <cell r="K1375">
            <v>1</v>
          </cell>
          <cell r="L1375">
            <v>65109.84</v>
          </cell>
        </row>
        <row r="1376">
          <cell r="A1376">
            <v>103525</v>
          </cell>
          <cell r="B1376">
            <v>23015</v>
          </cell>
          <cell r="C1376">
            <v>23015</v>
          </cell>
          <cell r="D1376" t="str">
            <v>SA1&amp;3</v>
          </cell>
          <cell r="E1376" t="str">
            <v>B</v>
          </cell>
          <cell r="F1376" t="str">
            <v>PSYCHIATRIC SOCIAL WORKER II</v>
          </cell>
          <cell r="G1376" t="str">
            <v>9035A</v>
          </cell>
          <cell r="H1376">
            <v>5425.82</v>
          </cell>
          <cell r="I1376">
            <v>1</v>
          </cell>
          <cell r="J1376">
            <v>12</v>
          </cell>
          <cell r="K1376">
            <v>1</v>
          </cell>
          <cell r="L1376">
            <v>65109.84</v>
          </cell>
        </row>
        <row r="1377">
          <cell r="A1377">
            <v>103769</v>
          </cell>
          <cell r="B1377">
            <v>20446</v>
          </cell>
          <cell r="C1377">
            <v>23015</v>
          </cell>
          <cell r="D1377" t="str">
            <v>SA1&amp;3</v>
          </cell>
          <cell r="E1377" t="str">
            <v>B</v>
          </cell>
          <cell r="F1377" t="str">
            <v>PSYCHIATRIC SOCIAL WORKER II</v>
          </cell>
          <cell r="G1377" t="str">
            <v>9035A</v>
          </cell>
          <cell r="H1377">
            <v>5425.82</v>
          </cell>
          <cell r="I1377">
            <v>1</v>
          </cell>
          <cell r="J1377">
            <v>12</v>
          </cell>
          <cell r="K1377">
            <v>1</v>
          </cell>
          <cell r="L1377">
            <v>65109.84</v>
          </cell>
        </row>
        <row r="1378">
          <cell r="A1378">
            <v>103896</v>
          </cell>
          <cell r="B1378">
            <v>23015</v>
          </cell>
          <cell r="C1378">
            <v>23015</v>
          </cell>
          <cell r="D1378" t="str">
            <v>SA1&amp;3</v>
          </cell>
          <cell r="E1378" t="str">
            <v>B</v>
          </cell>
          <cell r="F1378" t="str">
            <v>PSYCHIATRIC SOCIAL WORKER II</v>
          </cell>
          <cell r="G1378" t="str">
            <v>9035A</v>
          </cell>
          <cell r="H1378">
            <v>5425.82</v>
          </cell>
          <cell r="I1378">
            <v>1</v>
          </cell>
          <cell r="J1378">
            <v>12</v>
          </cell>
          <cell r="K1378">
            <v>1</v>
          </cell>
          <cell r="L1378">
            <v>65109.84</v>
          </cell>
        </row>
        <row r="1379">
          <cell r="A1379">
            <v>103897</v>
          </cell>
          <cell r="B1379">
            <v>23015</v>
          </cell>
          <cell r="C1379">
            <v>23015</v>
          </cell>
          <cell r="D1379" t="str">
            <v>SA1&amp;3</v>
          </cell>
          <cell r="E1379" t="str">
            <v>B</v>
          </cell>
          <cell r="F1379" t="str">
            <v>PSYCHIATRIC SOCIAL WORKER II</v>
          </cell>
          <cell r="G1379" t="str">
            <v>9035A</v>
          </cell>
          <cell r="H1379">
            <v>5425.82</v>
          </cell>
          <cell r="I1379">
            <v>1</v>
          </cell>
          <cell r="J1379">
            <v>12</v>
          </cell>
          <cell r="K1379">
            <v>1</v>
          </cell>
          <cell r="L1379">
            <v>65109.84</v>
          </cell>
        </row>
        <row r="1380">
          <cell r="A1380">
            <v>104183</v>
          </cell>
          <cell r="B1380">
            <v>23015</v>
          </cell>
          <cell r="C1380">
            <v>23015</v>
          </cell>
          <cell r="D1380" t="str">
            <v>SA1&amp;3</v>
          </cell>
          <cell r="E1380" t="str">
            <v>B</v>
          </cell>
          <cell r="F1380" t="str">
            <v>PSYCHIATRIC SOCIAL WORKER II</v>
          </cell>
          <cell r="G1380" t="str">
            <v>9035A</v>
          </cell>
          <cell r="H1380">
            <v>5425.82</v>
          </cell>
          <cell r="I1380">
            <v>1</v>
          </cell>
          <cell r="J1380">
            <v>12</v>
          </cell>
          <cell r="K1380">
            <v>1</v>
          </cell>
          <cell r="L1380">
            <v>65109.84</v>
          </cell>
        </row>
        <row r="1381">
          <cell r="A1381">
            <v>104677</v>
          </cell>
          <cell r="B1381">
            <v>23015</v>
          </cell>
          <cell r="C1381">
            <v>23015</v>
          </cell>
          <cell r="D1381" t="str">
            <v>SA1&amp;3</v>
          </cell>
          <cell r="E1381" t="str">
            <v>B</v>
          </cell>
          <cell r="F1381" t="str">
            <v>PSYCHIATRIC SOCIAL WORKER II</v>
          </cell>
          <cell r="G1381" t="str">
            <v>9035A</v>
          </cell>
          <cell r="H1381">
            <v>5425.82</v>
          </cell>
          <cell r="I1381">
            <v>1</v>
          </cell>
          <cell r="J1381">
            <v>12</v>
          </cell>
          <cell r="K1381">
            <v>1</v>
          </cell>
          <cell r="L1381">
            <v>65109.84</v>
          </cell>
        </row>
        <row r="1382">
          <cell r="A1382">
            <v>106649</v>
          </cell>
          <cell r="B1382">
            <v>21542</v>
          </cell>
          <cell r="C1382">
            <v>23015</v>
          </cell>
          <cell r="D1382" t="str">
            <v>SA1&amp;3</v>
          </cell>
          <cell r="E1382" t="str">
            <v>B</v>
          </cell>
          <cell r="F1382" t="str">
            <v>PSYCHIATRIC SOCIAL WORKER II</v>
          </cell>
          <cell r="G1382" t="str">
            <v>9035A</v>
          </cell>
          <cell r="H1382">
            <v>5425.82</v>
          </cell>
          <cell r="I1382">
            <v>1</v>
          </cell>
          <cell r="J1382">
            <v>12</v>
          </cell>
          <cell r="K1382">
            <v>1</v>
          </cell>
          <cell r="L1382">
            <v>65109.84</v>
          </cell>
        </row>
        <row r="1383">
          <cell r="A1383">
            <v>101333</v>
          </cell>
          <cell r="B1383">
            <v>23015</v>
          </cell>
          <cell r="C1383">
            <v>23015</v>
          </cell>
          <cell r="D1383" t="str">
            <v>SA1&amp;3</v>
          </cell>
          <cell r="E1383" t="str">
            <v>B</v>
          </cell>
          <cell r="F1383" t="str">
            <v>PSYCHIATRIC TECHNICIAN II</v>
          </cell>
          <cell r="G1383" t="str">
            <v>8162A</v>
          </cell>
          <cell r="H1383">
            <v>3420.09</v>
          </cell>
          <cell r="I1383">
            <v>1</v>
          </cell>
          <cell r="J1383">
            <v>12</v>
          </cell>
          <cell r="K1383">
            <v>1</v>
          </cell>
          <cell r="L1383">
            <v>41041.08</v>
          </cell>
        </row>
        <row r="1384">
          <cell r="A1384">
            <v>102810</v>
          </cell>
          <cell r="B1384">
            <v>23015</v>
          </cell>
          <cell r="C1384">
            <v>23015</v>
          </cell>
          <cell r="D1384" t="str">
            <v>SA1&amp;3</v>
          </cell>
          <cell r="E1384" t="str">
            <v>B</v>
          </cell>
          <cell r="F1384" t="str">
            <v>PSYCHIATRIC TECHNICIAN II</v>
          </cell>
          <cell r="G1384" t="str">
            <v>8162A</v>
          </cell>
          <cell r="H1384">
            <v>3420.09</v>
          </cell>
          <cell r="I1384">
            <v>1</v>
          </cell>
          <cell r="J1384">
            <v>12</v>
          </cell>
          <cell r="K1384">
            <v>1</v>
          </cell>
          <cell r="L1384">
            <v>41041.08</v>
          </cell>
        </row>
        <row r="1385">
          <cell r="A1385">
            <v>106039</v>
          </cell>
          <cell r="B1385">
            <v>21533</v>
          </cell>
          <cell r="C1385">
            <v>23015</v>
          </cell>
          <cell r="D1385" t="str">
            <v>SA1&amp;3</v>
          </cell>
          <cell r="E1385" t="str">
            <v>B</v>
          </cell>
          <cell r="F1385" t="str">
            <v>PSYCHIATRIC TECHNICIAN II</v>
          </cell>
          <cell r="G1385" t="str">
            <v>8162A</v>
          </cell>
          <cell r="H1385">
            <v>3420.09</v>
          </cell>
          <cell r="I1385">
            <v>1</v>
          </cell>
          <cell r="J1385">
            <v>12</v>
          </cell>
          <cell r="K1385">
            <v>1</v>
          </cell>
          <cell r="L1385">
            <v>41041.08</v>
          </cell>
        </row>
        <row r="1386">
          <cell r="A1386">
            <v>103091</v>
          </cell>
          <cell r="B1386">
            <v>20572</v>
          </cell>
          <cell r="C1386">
            <v>23015</v>
          </cell>
          <cell r="D1386" t="str">
            <v>SA1&amp;3</v>
          </cell>
          <cell r="E1386" t="str">
            <v>B</v>
          </cell>
          <cell r="F1386" t="str">
            <v>PSYCHIATRIC TECHNICIAN III</v>
          </cell>
          <cell r="G1386" t="str">
            <v>8163A</v>
          </cell>
          <cell r="H1386">
            <v>3705.73</v>
          </cell>
          <cell r="I1386">
            <v>1</v>
          </cell>
          <cell r="J1386">
            <v>12</v>
          </cell>
          <cell r="K1386">
            <v>1</v>
          </cell>
          <cell r="L1386">
            <v>44468.76</v>
          </cell>
        </row>
        <row r="1387">
          <cell r="A1387">
            <v>103102</v>
          </cell>
          <cell r="B1387">
            <v>23015</v>
          </cell>
          <cell r="C1387">
            <v>23015</v>
          </cell>
          <cell r="D1387" t="str">
            <v>SA1&amp;3</v>
          </cell>
          <cell r="E1387" t="str">
            <v>B</v>
          </cell>
          <cell r="F1387" t="str">
            <v>PSYCHIATRIC TECHNICIAN III</v>
          </cell>
          <cell r="G1387" t="str">
            <v>8163A</v>
          </cell>
          <cell r="H1387">
            <v>3705.73</v>
          </cell>
          <cell r="I1387">
            <v>1</v>
          </cell>
          <cell r="J1387">
            <v>12</v>
          </cell>
          <cell r="K1387">
            <v>1</v>
          </cell>
          <cell r="L1387">
            <v>44468.76</v>
          </cell>
        </row>
        <row r="1388">
          <cell r="A1388">
            <v>104033</v>
          </cell>
          <cell r="B1388">
            <v>20923</v>
          </cell>
          <cell r="C1388">
            <v>23015</v>
          </cell>
          <cell r="D1388" t="str">
            <v>SA1&amp;3</v>
          </cell>
          <cell r="E1388" t="str">
            <v>B</v>
          </cell>
          <cell r="F1388" t="str">
            <v>REHABILITATION COUNSELOR II</v>
          </cell>
          <cell r="G1388" t="str">
            <v>8593A</v>
          </cell>
          <cell r="H1388">
            <v>4076.09</v>
          </cell>
          <cell r="I1388">
            <v>1</v>
          </cell>
          <cell r="J1388">
            <v>12</v>
          </cell>
          <cell r="K1388">
            <v>1</v>
          </cell>
          <cell r="L1388">
            <v>48922.8</v>
          </cell>
        </row>
        <row r="1389">
          <cell r="A1389">
            <v>102719</v>
          </cell>
          <cell r="B1389">
            <v>23015</v>
          </cell>
          <cell r="C1389">
            <v>23015</v>
          </cell>
          <cell r="D1389" t="str">
            <v>SA1&amp;3</v>
          </cell>
          <cell r="E1389" t="str">
            <v>B</v>
          </cell>
          <cell r="F1389" t="str">
            <v>SENIOR MENTAL HEALTH COUNSELOR, RN</v>
          </cell>
          <cell r="G1389" t="str">
            <v>5280A</v>
          </cell>
          <cell r="H1389">
            <v>6790.09</v>
          </cell>
          <cell r="I1389">
            <v>1</v>
          </cell>
          <cell r="J1389">
            <v>12</v>
          </cell>
          <cell r="K1389">
            <v>1</v>
          </cell>
          <cell r="L1389">
            <v>83105.40203389831</v>
          </cell>
        </row>
        <row r="1390">
          <cell r="A1390">
            <v>102282</v>
          </cell>
          <cell r="B1390">
            <v>23015</v>
          </cell>
          <cell r="C1390">
            <v>23015</v>
          </cell>
          <cell r="D1390" t="str">
            <v>SA1&amp;3</v>
          </cell>
          <cell r="E1390" t="str">
            <v>B</v>
          </cell>
          <cell r="F1390" t="str">
            <v xml:space="preserve">SENIOR SECRETARY III               </v>
          </cell>
          <cell r="G1390" t="str">
            <v>2102A</v>
          </cell>
          <cell r="H1390">
            <v>4106.3599999999997</v>
          </cell>
          <cell r="I1390">
            <v>1</v>
          </cell>
          <cell r="J1390">
            <v>12</v>
          </cell>
          <cell r="K1390">
            <v>1</v>
          </cell>
          <cell r="L1390">
            <v>49276.56</v>
          </cell>
        </row>
        <row r="1391">
          <cell r="A1391">
            <v>102283</v>
          </cell>
          <cell r="B1391">
            <v>23015</v>
          </cell>
          <cell r="C1391">
            <v>23015</v>
          </cell>
          <cell r="D1391" t="str">
            <v>SA1&amp;3</v>
          </cell>
          <cell r="E1391" t="str">
            <v>B</v>
          </cell>
          <cell r="F1391" t="str">
            <v xml:space="preserve">STAFF ASSISTANT II                 </v>
          </cell>
          <cell r="G1391" t="str">
            <v>0913A</v>
          </cell>
          <cell r="H1391">
            <v>4167.45</v>
          </cell>
          <cell r="I1391">
            <v>1</v>
          </cell>
          <cell r="J1391">
            <v>12</v>
          </cell>
          <cell r="K1391">
            <v>1</v>
          </cell>
          <cell r="L1391">
            <v>50009.24</v>
          </cell>
        </row>
        <row r="1392">
          <cell r="A1392">
            <v>101958</v>
          </cell>
          <cell r="B1392">
            <v>23007</v>
          </cell>
          <cell r="C1392">
            <v>23015</v>
          </cell>
          <cell r="D1392" t="str">
            <v>SA1&amp;3</v>
          </cell>
          <cell r="E1392" t="str">
            <v>B</v>
          </cell>
          <cell r="F1392" t="str">
            <v xml:space="preserve">STENOGRAPHER                       </v>
          </cell>
          <cell r="G1392" t="str">
            <v>2170A</v>
          </cell>
          <cell r="H1392">
            <v>2642.91</v>
          </cell>
          <cell r="I1392">
            <v>1</v>
          </cell>
          <cell r="J1392">
            <v>12</v>
          </cell>
          <cell r="K1392">
            <v>1</v>
          </cell>
          <cell r="L1392">
            <v>31714.52</v>
          </cell>
        </row>
        <row r="1393">
          <cell r="A1393">
            <v>104976</v>
          </cell>
          <cell r="B1393">
            <v>23015</v>
          </cell>
          <cell r="C1393">
            <v>23015</v>
          </cell>
          <cell r="D1393" t="str">
            <v>SA1&amp;3</v>
          </cell>
          <cell r="E1393" t="str">
            <v>B</v>
          </cell>
          <cell r="F1393" t="str">
            <v>SUBSTANCE ABUSE COUNSELOR</v>
          </cell>
          <cell r="G1393" t="str">
            <v>5884A</v>
          </cell>
          <cell r="H1393">
            <v>3210</v>
          </cell>
          <cell r="I1393">
            <v>1</v>
          </cell>
          <cell r="J1393">
            <v>6</v>
          </cell>
          <cell r="K1393">
            <v>0.5</v>
          </cell>
          <cell r="L1393">
            <v>19260</v>
          </cell>
        </row>
        <row r="1394">
          <cell r="A1394">
            <v>101960</v>
          </cell>
          <cell r="B1394">
            <v>20575</v>
          </cell>
          <cell r="C1394">
            <v>23015</v>
          </cell>
          <cell r="D1394" t="str">
            <v>SA1&amp;3</v>
          </cell>
          <cell r="E1394" t="str">
            <v>B</v>
          </cell>
          <cell r="F1394" t="str">
            <v xml:space="preserve">SUPVG PSYCHIATRIC SOCIAL WORKER    </v>
          </cell>
          <cell r="G1394" t="str">
            <v>9038A</v>
          </cell>
          <cell r="H1394">
            <v>6062.45</v>
          </cell>
          <cell r="I1394">
            <v>1</v>
          </cell>
          <cell r="J1394">
            <v>12</v>
          </cell>
          <cell r="K1394">
            <v>1</v>
          </cell>
          <cell r="L1394">
            <v>72749.399999999994</v>
          </cell>
        </row>
        <row r="1395">
          <cell r="A1395">
            <v>101892</v>
          </cell>
          <cell r="B1395">
            <v>23015</v>
          </cell>
          <cell r="C1395">
            <v>23015</v>
          </cell>
          <cell r="D1395" t="str">
            <v>SA1&amp;3</v>
          </cell>
          <cell r="E1395" t="str">
            <v>B</v>
          </cell>
          <cell r="F1395" t="str">
            <v xml:space="preserve">TRANSCRIBER TYPIST                 </v>
          </cell>
          <cell r="G1395" t="str">
            <v>2201A</v>
          </cell>
          <cell r="H1395">
            <v>2906</v>
          </cell>
          <cell r="I1395">
            <v>1</v>
          </cell>
          <cell r="J1395">
            <v>12</v>
          </cell>
          <cell r="K1395">
            <v>1</v>
          </cell>
          <cell r="L1395">
            <v>34872</v>
          </cell>
        </row>
        <row r="1396">
          <cell r="A1396">
            <v>104929</v>
          </cell>
          <cell r="B1396">
            <v>18593</v>
          </cell>
          <cell r="C1396">
            <v>20493</v>
          </cell>
          <cell r="D1396" t="str">
            <v>SA1&amp;3</v>
          </cell>
          <cell r="E1396" t="str">
            <v>B</v>
          </cell>
          <cell r="F1396" t="str">
            <v>CLINICAL PSYCHOLOGIST II</v>
          </cell>
          <cell r="G1396" t="str">
            <v>8697A</v>
          </cell>
          <cell r="H1396">
            <v>6993.82</v>
          </cell>
          <cell r="I1396">
            <v>1</v>
          </cell>
          <cell r="J1396">
            <v>12</v>
          </cell>
          <cell r="K1396">
            <v>1</v>
          </cell>
          <cell r="L1396">
            <v>83925.52</v>
          </cell>
        </row>
        <row r="1397">
          <cell r="A1397">
            <v>109181</v>
          </cell>
          <cell r="B1397">
            <v>27506</v>
          </cell>
          <cell r="C1397">
            <v>20493</v>
          </cell>
          <cell r="D1397" t="str">
            <v>SA1&amp;3</v>
          </cell>
          <cell r="E1397" t="str">
            <v>B</v>
          </cell>
          <cell r="F1397" t="str">
            <v>INTERMEDIATE TYPIST-CLERK</v>
          </cell>
          <cell r="G1397" t="str">
            <v>2214A</v>
          </cell>
          <cell r="H1397">
            <v>2675.27</v>
          </cell>
          <cell r="I1397">
            <v>1</v>
          </cell>
          <cell r="J1397">
            <v>12</v>
          </cell>
          <cell r="K1397">
            <v>1</v>
          </cell>
          <cell r="L1397">
            <v>32103.16</v>
          </cell>
        </row>
        <row r="1398">
          <cell r="A1398">
            <v>102917</v>
          </cell>
          <cell r="B1398">
            <v>18639</v>
          </cell>
          <cell r="C1398">
            <v>20493</v>
          </cell>
          <cell r="D1398" t="str">
            <v>SA1&amp;3</v>
          </cell>
          <cell r="E1398" t="str">
            <v>B</v>
          </cell>
          <cell r="F1398" t="str">
            <v>MENTAL HEALTH SERVICES COORD II</v>
          </cell>
          <cell r="G1398" t="str">
            <v>8149A</v>
          </cell>
          <cell r="H1398">
            <v>5152.3599999999997</v>
          </cell>
          <cell r="I1398">
            <v>1</v>
          </cell>
          <cell r="J1398">
            <v>12</v>
          </cell>
          <cell r="K1398">
            <v>1</v>
          </cell>
          <cell r="L1398">
            <v>61828.72</v>
          </cell>
        </row>
        <row r="1399">
          <cell r="A1399">
            <v>102254</v>
          </cell>
          <cell r="B1399">
            <v>20493</v>
          </cell>
          <cell r="C1399">
            <v>20493</v>
          </cell>
          <cell r="D1399" t="str">
            <v>SA1&amp;3</v>
          </cell>
          <cell r="E1399" t="str">
            <v>B</v>
          </cell>
          <cell r="F1399" t="str">
            <v>MENTAL HLTH CLINICAL DIST CHIEF</v>
          </cell>
          <cell r="G1399" t="str">
            <v>4722A</v>
          </cell>
          <cell r="H1399">
            <v>10074</v>
          </cell>
          <cell r="I1399">
            <v>1</v>
          </cell>
          <cell r="J1399">
            <v>12</v>
          </cell>
          <cell r="K1399">
            <v>1</v>
          </cell>
          <cell r="L1399">
            <v>120887.6</v>
          </cell>
        </row>
        <row r="1400">
          <cell r="A1400">
            <v>100556</v>
          </cell>
          <cell r="B1400">
            <v>20944</v>
          </cell>
          <cell r="C1400">
            <v>20493</v>
          </cell>
          <cell r="D1400" t="str">
            <v>SA1&amp;3</v>
          </cell>
          <cell r="E1400" t="str">
            <v>B</v>
          </cell>
          <cell r="F1400" t="str">
            <v>MENTAL HLTH CLINICAL DIST CHIEF, MD</v>
          </cell>
          <cell r="G1400" t="str">
            <v>5492A</v>
          </cell>
          <cell r="H1400">
            <v>12444</v>
          </cell>
          <cell r="I1400">
            <v>1</v>
          </cell>
          <cell r="J1400">
            <v>12</v>
          </cell>
          <cell r="K1400">
            <v>1</v>
          </cell>
          <cell r="L1400">
            <v>149328</v>
          </cell>
        </row>
        <row r="1401">
          <cell r="A1401">
            <v>102923</v>
          </cell>
          <cell r="B1401">
            <v>20493</v>
          </cell>
          <cell r="C1401">
            <v>20493</v>
          </cell>
          <cell r="D1401" t="str">
            <v>SA1&amp;3</v>
          </cell>
          <cell r="E1401" t="str">
            <v>B</v>
          </cell>
          <cell r="F1401" t="str">
            <v>PSYCHIATRIC SOCIAL WORKER II</v>
          </cell>
          <cell r="G1401" t="str">
            <v>9035A</v>
          </cell>
          <cell r="H1401">
            <v>5425.82</v>
          </cell>
          <cell r="I1401">
            <v>1</v>
          </cell>
          <cell r="J1401">
            <v>12</v>
          </cell>
          <cell r="K1401">
            <v>1</v>
          </cell>
          <cell r="L1401">
            <v>65109.84</v>
          </cell>
        </row>
        <row r="1402">
          <cell r="A1402">
            <v>107382</v>
          </cell>
          <cell r="B1402">
            <v>18639</v>
          </cell>
          <cell r="C1402">
            <v>20493</v>
          </cell>
          <cell r="D1402" t="str">
            <v>SA1&amp;3</v>
          </cell>
          <cell r="E1402" t="str">
            <v>B</v>
          </cell>
          <cell r="F1402" t="str">
            <v xml:space="preserve">SENIOR COMMUNITY WORKER I          </v>
          </cell>
          <cell r="G1402" t="str">
            <v>8104A</v>
          </cell>
          <cell r="H1402">
            <v>3087.73</v>
          </cell>
          <cell r="I1402">
            <v>1</v>
          </cell>
          <cell r="J1402">
            <v>12</v>
          </cell>
          <cell r="K1402">
            <v>1</v>
          </cell>
          <cell r="L1402">
            <v>37052.76</v>
          </cell>
        </row>
        <row r="1403">
          <cell r="A1403">
            <v>102090</v>
          </cell>
          <cell r="B1403">
            <v>20589</v>
          </cell>
          <cell r="C1403">
            <v>20493</v>
          </cell>
          <cell r="D1403" t="str">
            <v>SA1&amp;3</v>
          </cell>
          <cell r="E1403" t="str">
            <v>B</v>
          </cell>
          <cell r="F1403" t="str">
            <v xml:space="preserve">SENIOR SECRETARY III               </v>
          </cell>
          <cell r="G1403" t="str">
            <v>2102A</v>
          </cell>
          <cell r="H1403">
            <v>4106.3599999999997</v>
          </cell>
          <cell r="I1403">
            <v>1</v>
          </cell>
          <cell r="J1403">
            <v>12</v>
          </cell>
          <cell r="K1403">
            <v>1</v>
          </cell>
          <cell r="L1403">
            <v>49276.56</v>
          </cell>
        </row>
        <row r="1404">
          <cell r="A1404">
            <v>102187</v>
          </cell>
          <cell r="B1404">
            <v>20488</v>
          </cell>
          <cell r="C1404">
            <v>20493</v>
          </cell>
          <cell r="D1404" t="str">
            <v>SA1&amp;3</v>
          </cell>
          <cell r="E1404" t="str">
            <v>B</v>
          </cell>
          <cell r="F1404" t="str">
            <v xml:space="preserve">SR COMMUN MENTAL HLTH PSYCHOLOGIST </v>
          </cell>
          <cell r="G1404" t="str">
            <v>8712A</v>
          </cell>
          <cell r="H1404">
            <v>7311.45</v>
          </cell>
          <cell r="I1404">
            <v>1</v>
          </cell>
          <cell r="J1404">
            <v>12</v>
          </cell>
          <cell r="K1404">
            <v>1</v>
          </cell>
          <cell r="L1404">
            <v>87737.16</v>
          </cell>
        </row>
        <row r="1405">
          <cell r="A1405">
            <v>101602</v>
          </cell>
          <cell r="B1405">
            <v>20446</v>
          </cell>
          <cell r="C1405">
            <v>20493</v>
          </cell>
          <cell r="D1405" t="str">
            <v>SA1&amp;3</v>
          </cell>
          <cell r="E1405" t="str">
            <v>B</v>
          </cell>
          <cell r="F1405" t="str">
            <v xml:space="preserve">SUPVG PSYCHIATRIC SOCIAL WORKER    </v>
          </cell>
          <cell r="G1405" t="str">
            <v>9038A</v>
          </cell>
          <cell r="H1405">
            <v>6062.45</v>
          </cell>
          <cell r="I1405">
            <v>1</v>
          </cell>
          <cell r="J1405">
            <v>12</v>
          </cell>
          <cell r="K1405">
            <v>1</v>
          </cell>
          <cell r="L1405">
            <v>72749.399999999994</v>
          </cell>
        </row>
        <row r="1406">
          <cell r="A1406">
            <v>103831</v>
          </cell>
          <cell r="B1406">
            <v>20446</v>
          </cell>
          <cell r="C1406">
            <v>20493</v>
          </cell>
          <cell r="D1406" t="str">
            <v>SA1&amp;3</v>
          </cell>
          <cell r="E1406" t="str">
            <v>B</v>
          </cell>
          <cell r="F1406" t="str">
            <v xml:space="preserve">SUPVG PSYCHIATRIC SOCIAL WORKER    </v>
          </cell>
          <cell r="G1406" t="str">
            <v>9038A</v>
          </cell>
          <cell r="H1406">
            <v>6062.45</v>
          </cell>
          <cell r="I1406">
            <v>1</v>
          </cell>
          <cell r="J1406">
            <v>12</v>
          </cell>
          <cell r="K1406">
            <v>1</v>
          </cell>
          <cell r="L1406">
            <v>72749.399999999994</v>
          </cell>
        </row>
        <row r="1407">
          <cell r="A1407">
            <v>104466</v>
          </cell>
          <cell r="B1407">
            <v>20489</v>
          </cell>
          <cell r="C1407">
            <v>20489</v>
          </cell>
          <cell r="D1407" t="str">
            <v>SA1&amp;3</v>
          </cell>
          <cell r="E1407" t="str">
            <v>B</v>
          </cell>
          <cell r="F1407" t="str">
            <v>CLINICAL PSYCHOLOGIST II</v>
          </cell>
          <cell r="G1407" t="str">
            <v>8697A</v>
          </cell>
          <cell r="H1407">
            <v>6993.82</v>
          </cell>
          <cell r="I1407">
            <v>1</v>
          </cell>
          <cell r="J1407">
            <v>12</v>
          </cell>
          <cell r="K1407">
            <v>1</v>
          </cell>
          <cell r="L1407">
            <v>83925.52</v>
          </cell>
        </row>
        <row r="1408">
          <cell r="A1408">
            <v>106251</v>
          </cell>
          <cell r="B1408">
            <v>20489</v>
          </cell>
          <cell r="C1408">
            <v>20489</v>
          </cell>
          <cell r="D1408" t="str">
            <v>SA1&amp;3</v>
          </cell>
          <cell r="E1408" t="str">
            <v>B</v>
          </cell>
          <cell r="F1408" t="str">
            <v>CLINICAL PSYCHOLOGIST II</v>
          </cell>
          <cell r="G1408" t="str">
            <v>8697A</v>
          </cell>
          <cell r="H1408">
            <v>6993.82</v>
          </cell>
          <cell r="I1408">
            <v>1</v>
          </cell>
          <cell r="J1408">
            <v>12</v>
          </cell>
          <cell r="K1408">
            <v>1</v>
          </cell>
          <cell r="L1408">
            <v>83925.52</v>
          </cell>
        </row>
        <row r="1409">
          <cell r="A1409">
            <v>103586</v>
          </cell>
          <cell r="B1409">
            <v>20489</v>
          </cell>
          <cell r="C1409">
            <v>20489</v>
          </cell>
          <cell r="D1409" t="str">
            <v>SA1&amp;3</v>
          </cell>
          <cell r="E1409" t="str">
            <v>B</v>
          </cell>
          <cell r="F1409" t="str">
            <v>INTERMEDIATE TYPIST-CLERK</v>
          </cell>
          <cell r="G1409" t="str">
            <v>2214A</v>
          </cell>
          <cell r="H1409">
            <v>2675.27</v>
          </cell>
          <cell r="I1409">
            <v>1</v>
          </cell>
          <cell r="J1409">
            <v>12</v>
          </cell>
          <cell r="K1409">
            <v>1</v>
          </cell>
          <cell r="L1409">
            <v>32103.16</v>
          </cell>
        </row>
        <row r="1410">
          <cell r="A1410">
            <v>102675</v>
          </cell>
          <cell r="B1410">
            <v>20489</v>
          </cell>
          <cell r="C1410">
            <v>20489</v>
          </cell>
          <cell r="D1410" t="str">
            <v>SA1&amp;3</v>
          </cell>
          <cell r="E1410" t="str">
            <v>B</v>
          </cell>
          <cell r="F1410" t="str">
            <v>MENTAL HEALTH SERVICES COORD I</v>
          </cell>
          <cell r="G1410" t="str">
            <v>8148A</v>
          </cell>
          <cell r="H1410">
            <v>5126.91</v>
          </cell>
          <cell r="I1410">
            <v>1</v>
          </cell>
          <cell r="J1410">
            <v>12</v>
          </cell>
          <cell r="K1410">
            <v>1</v>
          </cell>
          <cell r="L1410">
            <v>61522.92</v>
          </cell>
        </row>
        <row r="1411">
          <cell r="A1411">
            <v>106252</v>
          </cell>
          <cell r="B1411">
            <v>20489</v>
          </cell>
          <cell r="C1411">
            <v>20489</v>
          </cell>
          <cell r="D1411" t="str">
            <v>SA1&amp;3</v>
          </cell>
          <cell r="E1411" t="str">
            <v>B</v>
          </cell>
          <cell r="F1411" t="str">
            <v>MENTAL HEALTH SERVICES COORD I</v>
          </cell>
          <cell r="G1411" t="str">
            <v>8148A</v>
          </cell>
          <cell r="H1411">
            <v>5126.91</v>
          </cell>
          <cell r="I1411">
            <v>1</v>
          </cell>
          <cell r="J1411">
            <v>12</v>
          </cell>
          <cell r="K1411">
            <v>1</v>
          </cell>
          <cell r="L1411">
            <v>61522.92</v>
          </cell>
        </row>
        <row r="1412">
          <cell r="A1412">
            <v>102217</v>
          </cell>
          <cell r="B1412">
            <v>20489</v>
          </cell>
          <cell r="C1412">
            <v>20489</v>
          </cell>
          <cell r="D1412" t="str">
            <v>SA1&amp;3</v>
          </cell>
          <cell r="E1412" t="str">
            <v>B</v>
          </cell>
          <cell r="F1412" t="str">
            <v>MENTAL HEALTH SERVICES COORD II</v>
          </cell>
          <cell r="G1412" t="str">
            <v>8149A</v>
          </cell>
          <cell r="H1412">
            <v>5152.3599999999997</v>
          </cell>
          <cell r="I1412">
            <v>1</v>
          </cell>
          <cell r="J1412">
            <v>12</v>
          </cell>
          <cell r="K1412">
            <v>1</v>
          </cell>
          <cell r="L1412">
            <v>61828.72</v>
          </cell>
        </row>
        <row r="1413">
          <cell r="A1413">
            <v>101075</v>
          </cell>
          <cell r="B1413">
            <v>20489</v>
          </cell>
          <cell r="C1413">
            <v>20489</v>
          </cell>
          <cell r="D1413" t="str">
            <v>SA1&amp;3</v>
          </cell>
          <cell r="E1413" t="str">
            <v>B</v>
          </cell>
          <cell r="F1413" t="str">
            <v>PSYCHIATRIC SOCIAL WORKER II</v>
          </cell>
          <cell r="G1413" t="str">
            <v>9035A</v>
          </cell>
          <cell r="H1413">
            <v>5425.82</v>
          </cell>
          <cell r="I1413">
            <v>1</v>
          </cell>
          <cell r="J1413">
            <v>12</v>
          </cell>
          <cell r="K1413">
            <v>1</v>
          </cell>
          <cell r="L1413">
            <v>65109.84</v>
          </cell>
        </row>
        <row r="1414">
          <cell r="A1414">
            <v>101183</v>
          </cell>
          <cell r="B1414">
            <v>21572</v>
          </cell>
          <cell r="C1414">
            <v>20489</v>
          </cell>
          <cell r="D1414" t="str">
            <v>SA1&amp;3</v>
          </cell>
          <cell r="E1414" t="str">
            <v>B</v>
          </cell>
          <cell r="F1414" t="str">
            <v>PSYCHIATRIC SOCIAL WORKER II</v>
          </cell>
          <cell r="G1414" t="str">
            <v>9035A</v>
          </cell>
          <cell r="H1414">
            <v>5425.82</v>
          </cell>
          <cell r="I1414">
            <v>1</v>
          </cell>
          <cell r="J1414">
            <v>12</v>
          </cell>
          <cell r="K1414">
            <v>1</v>
          </cell>
          <cell r="L1414">
            <v>65109.84</v>
          </cell>
        </row>
        <row r="1415">
          <cell r="A1415">
            <v>101850</v>
          </cell>
          <cell r="B1415">
            <v>20489</v>
          </cell>
          <cell r="C1415">
            <v>20489</v>
          </cell>
          <cell r="D1415" t="str">
            <v>SA1&amp;3</v>
          </cell>
          <cell r="E1415" t="str">
            <v>B</v>
          </cell>
          <cell r="F1415" t="str">
            <v>PSYCHIATRIC SOCIAL WORKER II</v>
          </cell>
          <cell r="G1415" t="str">
            <v>9035A</v>
          </cell>
          <cell r="H1415">
            <v>5425.82</v>
          </cell>
          <cell r="I1415">
            <v>1</v>
          </cell>
          <cell r="J1415">
            <v>12</v>
          </cell>
          <cell r="K1415">
            <v>1</v>
          </cell>
          <cell r="L1415">
            <v>65109.84</v>
          </cell>
        </row>
        <row r="1416">
          <cell r="A1416">
            <v>103053</v>
          </cell>
          <cell r="B1416">
            <v>18704</v>
          </cell>
          <cell r="C1416">
            <v>20489</v>
          </cell>
          <cell r="D1416" t="str">
            <v>SA1&amp;3</v>
          </cell>
          <cell r="E1416" t="str">
            <v>B</v>
          </cell>
          <cell r="F1416" t="str">
            <v>PSYCHIATRIC SOCIAL WORKER II</v>
          </cell>
          <cell r="G1416" t="str">
            <v>9035A</v>
          </cell>
          <cell r="H1416">
            <v>5425.82</v>
          </cell>
          <cell r="I1416">
            <v>1</v>
          </cell>
          <cell r="J1416">
            <v>12</v>
          </cell>
          <cell r="K1416">
            <v>1</v>
          </cell>
          <cell r="L1416">
            <v>65109.84</v>
          </cell>
        </row>
        <row r="1417">
          <cell r="A1417">
            <v>103856</v>
          </cell>
          <cell r="B1417">
            <v>21572</v>
          </cell>
          <cell r="C1417">
            <v>20489</v>
          </cell>
          <cell r="D1417" t="str">
            <v>SA1&amp;3</v>
          </cell>
          <cell r="E1417" t="str">
            <v>B</v>
          </cell>
          <cell r="F1417" t="str">
            <v>PSYCHIATRIC SOCIAL WORKER II</v>
          </cell>
          <cell r="G1417" t="str">
            <v>9035A</v>
          </cell>
          <cell r="H1417">
            <v>5425.82</v>
          </cell>
          <cell r="I1417">
            <v>1</v>
          </cell>
          <cell r="J1417">
            <v>12</v>
          </cell>
          <cell r="K1417">
            <v>1</v>
          </cell>
          <cell r="L1417">
            <v>65109.84</v>
          </cell>
        </row>
        <row r="1418">
          <cell r="A1418">
            <v>104930</v>
          </cell>
          <cell r="B1418">
            <v>20489</v>
          </cell>
          <cell r="C1418">
            <v>20489</v>
          </cell>
          <cell r="D1418" t="str">
            <v>SA1&amp;3</v>
          </cell>
          <cell r="E1418" t="str">
            <v>B</v>
          </cell>
          <cell r="F1418" t="str">
            <v>PSYCHIATRIC SOCIAL WORKER II</v>
          </cell>
          <cell r="G1418" t="str">
            <v>9035A</v>
          </cell>
          <cell r="H1418">
            <v>5425.82</v>
          </cell>
          <cell r="I1418">
            <v>1</v>
          </cell>
          <cell r="J1418">
            <v>12</v>
          </cell>
          <cell r="K1418">
            <v>1</v>
          </cell>
          <cell r="L1418">
            <v>65109.84</v>
          </cell>
        </row>
        <row r="1419">
          <cell r="A1419">
            <v>106253</v>
          </cell>
          <cell r="B1419">
            <v>20489</v>
          </cell>
          <cell r="C1419">
            <v>20489</v>
          </cell>
          <cell r="D1419" t="str">
            <v>SA1&amp;3</v>
          </cell>
          <cell r="E1419" t="str">
            <v>B</v>
          </cell>
          <cell r="F1419" t="str">
            <v>PSYCHIATRIC SOCIAL WORKER II</v>
          </cell>
          <cell r="G1419" t="str">
            <v>9035A</v>
          </cell>
          <cell r="H1419">
            <v>5425.82</v>
          </cell>
          <cell r="I1419">
            <v>1</v>
          </cell>
          <cell r="J1419">
            <v>12</v>
          </cell>
          <cell r="K1419">
            <v>1</v>
          </cell>
          <cell r="L1419">
            <v>65109.84</v>
          </cell>
        </row>
        <row r="1420">
          <cell r="A1420">
            <v>101407</v>
          </cell>
          <cell r="B1420">
            <v>20489</v>
          </cell>
          <cell r="C1420">
            <v>20489</v>
          </cell>
          <cell r="D1420" t="str">
            <v>SA1&amp;3</v>
          </cell>
          <cell r="E1420" t="str">
            <v>B</v>
          </cell>
          <cell r="F1420" t="str">
            <v xml:space="preserve">SECRETARY III                      </v>
          </cell>
          <cell r="G1420" t="str">
            <v>2096A</v>
          </cell>
          <cell r="H1420">
            <v>3387</v>
          </cell>
          <cell r="I1420">
            <v>1</v>
          </cell>
          <cell r="J1420">
            <v>12</v>
          </cell>
          <cell r="K1420">
            <v>1</v>
          </cell>
          <cell r="L1420">
            <v>40643.839999999997</v>
          </cell>
        </row>
        <row r="1421">
          <cell r="A1421">
            <v>102696</v>
          </cell>
          <cell r="B1421">
            <v>20941</v>
          </cell>
          <cell r="C1421">
            <v>20489</v>
          </cell>
          <cell r="D1421" t="str">
            <v>SA1&amp;3</v>
          </cell>
          <cell r="E1421" t="str">
            <v>B</v>
          </cell>
          <cell r="F1421" t="str">
            <v xml:space="preserve">SECRETARY III                      </v>
          </cell>
          <cell r="G1421" t="str">
            <v>2096N</v>
          </cell>
          <cell r="H1421">
            <v>3387</v>
          </cell>
          <cell r="I1421">
            <v>1</v>
          </cell>
          <cell r="J1421">
            <v>12</v>
          </cell>
          <cell r="K1421">
            <v>1</v>
          </cell>
          <cell r="L1421">
            <v>40643.839999999997</v>
          </cell>
        </row>
        <row r="1422">
          <cell r="A1422">
            <v>102216</v>
          </cell>
          <cell r="B1422">
            <v>20489</v>
          </cell>
          <cell r="C1422">
            <v>20489</v>
          </cell>
          <cell r="D1422" t="str">
            <v>SA1&amp;3</v>
          </cell>
          <cell r="E1422" t="str">
            <v>B</v>
          </cell>
          <cell r="F1422" t="str">
            <v>SENIOR MENTAL HEALTH COUNSELOR, RN</v>
          </cell>
          <cell r="G1422" t="str">
            <v>5280A</v>
          </cell>
          <cell r="H1422">
            <v>6790.09</v>
          </cell>
          <cell r="I1422">
            <v>1</v>
          </cell>
          <cell r="J1422">
            <v>12</v>
          </cell>
          <cell r="K1422">
            <v>1</v>
          </cell>
          <cell r="L1422">
            <v>83105.40203389831</v>
          </cell>
        </row>
        <row r="1423">
          <cell r="A1423">
            <v>104938</v>
          </cell>
          <cell r="B1423">
            <v>18707</v>
          </cell>
          <cell r="C1423">
            <v>20489</v>
          </cell>
          <cell r="D1423" t="str">
            <v>SA1&amp;3</v>
          </cell>
          <cell r="E1423" t="str">
            <v>B</v>
          </cell>
          <cell r="F1423" t="str">
            <v xml:space="preserve">STUDENT PROFESSIONAL WORKER        </v>
          </cell>
          <cell r="G1423" t="str">
            <v>8243F</v>
          </cell>
          <cell r="H1423">
            <v>10.3</v>
          </cell>
          <cell r="I1423">
            <v>1</v>
          </cell>
          <cell r="J1423">
            <v>1044</v>
          </cell>
          <cell r="K1423">
            <v>0</v>
          </cell>
          <cell r="L1423">
            <v>10753</v>
          </cell>
        </row>
        <row r="1424">
          <cell r="A1424">
            <v>104467</v>
          </cell>
          <cell r="B1424">
            <v>20489</v>
          </cell>
          <cell r="C1424">
            <v>20489</v>
          </cell>
          <cell r="D1424" t="str">
            <v>SA1&amp;3</v>
          </cell>
          <cell r="E1424" t="str">
            <v>B</v>
          </cell>
          <cell r="F1424" t="str">
            <v xml:space="preserve">SUPVG PSYCHIATRIC SOCIAL WORKER    </v>
          </cell>
          <cell r="G1424" t="str">
            <v>9038A</v>
          </cell>
          <cell r="H1424">
            <v>6062.45</v>
          </cell>
          <cell r="I1424">
            <v>1</v>
          </cell>
          <cell r="J1424">
            <v>12</v>
          </cell>
          <cell r="K1424">
            <v>1</v>
          </cell>
          <cell r="L1424">
            <v>72749.399999999994</v>
          </cell>
        </row>
        <row r="1425">
          <cell r="A1425">
            <v>102219</v>
          </cell>
          <cell r="B1425">
            <v>21572</v>
          </cell>
          <cell r="C1425">
            <v>21572</v>
          </cell>
          <cell r="D1425" t="str">
            <v>SA1&amp;3</v>
          </cell>
          <cell r="E1425" t="str">
            <v>B</v>
          </cell>
          <cell r="F1425" t="str">
            <v>CLINICAL PSYCHOLOGIST II</v>
          </cell>
          <cell r="G1425" t="str">
            <v>8697A</v>
          </cell>
          <cell r="H1425">
            <v>6993.82</v>
          </cell>
          <cell r="I1425">
            <v>1</v>
          </cell>
          <cell r="J1425">
            <v>12</v>
          </cell>
          <cell r="K1425">
            <v>1</v>
          </cell>
          <cell r="L1425">
            <v>83925.52</v>
          </cell>
        </row>
        <row r="1426">
          <cell r="A1426">
            <v>104879</v>
          </cell>
          <cell r="B1426">
            <v>21572</v>
          </cell>
          <cell r="C1426">
            <v>21572</v>
          </cell>
          <cell r="D1426" t="str">
            <v>SA1&amp;3</v>
          </cell>
          <cell r="E1426" t="str">
            <v>B</v>
          </cell>
          <cell r="F1426" t="str">
            <v>CLINICAL PSYCHOLOGIST II</v>
          </cell>
          <cell r="G1426" t="str">
            <v>8697A</v>
          </cell>
          <cell r="H1426">
            <v>6993.82</v>
          </cell>
          <cell r="I1426">
            <v>1</v>
          </cell>
          <cell r="J1426">
            <v>12</v>
          </cell>
          <cell r="K1426">
            <v>1</v>
          </cell>
          <cell r="L1426">
            <v>83925.52</v>
          </cell>
        </row>
        <row r="1427">
          <cell r="A1427">
            <v>106246</v>
          </cell>
          <cell r="B1427">
            <v>21572</v>
          </cell>
          <cell r="C1427">
            <v>21572</v>
          </cell>
          <cell r="D1427" t="str">
            <v>SA1&amp;3</v>
          </cell>
          <cell r="E1427" t="str">
            <v>B</v>
          </cell>
          <cell r="F1427" t="str">
            <v>CLINICAL PSYCHOLOGIST II</v>
          </cell>
          <cell r="G1427" t="str">
            <v>8697A</v>
          </cell>
          <cell r="H1427">
            <v>6993.82</v>
          </cell>
          <cell r="I1427">
            <v>1</v>
          </cell>
          <cell r="J1427">
            <v>12</v>
          </cell>
          <cell r="K1427">
            <v>1</v>
          </cell>
          <cell r="L1427">
            <v>83925.52</v>
          </cell>
        </row>
        <row r="1428">
          <cell r="A1428">
            <v>106247</v>
          </cell>
          <cell r="B1428">
            <v>21572</v>
          </cell>
          <cell r="C1428">
            <v>21572</v>
          </cell>
          <cell r="D1428" t="str">
            <v>SA1&amp;3</v>
          </cell>
          <cell r="E1428" t="str">
            <v>B</v>
          </cell>
          <cell r="F1428" t="str">
            <v>CLINICAL PSYCHOLOGIST II</v>
          </cell>
          <cell r="G1428" t="str">
            <v>8697A</v>
          </cell>
          <cell r="H1428">
            <v>6993.82</v>
          </cell>
          <cell r="I1428">
            <v>1</v>
          </cell>
          <cell r="J1428">
            <v>12</v>
          </cell>
          <cell r="K1428">
            <v>1</v>
          </cell>
          <cell r="L1428">
            <v>83925.52</v>
          </cell>
        </row>
        <row r="1429">
          <cell r="A1429">
            <v>104882</v>
          </cell>
          <cell r="B1429">
            <v>21572</v>
          </cell>
          <cell r="C1429">
            <v>21572</v>
          </cell>
          <cell r="D1429" t="str">
            <v>SA1&amp;3</v>
          </cell>
          <cell r="E1429" t="str">
            <v>B</v>
          </cell>
          <cell r="F1429" t="str">
            <v>INTERMEDIATE TYPIST-CLERK</v>
          </cell>
          <cell r="G1429" t="str">
            <v>2214A</v>
          </cell>
          <cell r="H1429">
            <v>2675.27</v>
          </cell>
          <cell r="I1429">
            <v>1</v>
          </cell>
          <cell r="J1429">
            <v>12</v>
          </cell>
          <cell r="K1429">
            <v>1</v>
          </cell>
          <cell r="L1429">
            <v>32103.16</v>
          </cell>
        </row>
        <row r="1430">
          <cell r="A1430">
            <v>106248</v>
          </cell>
          <cell r="B1430">
            <v>21572</v>
          </cell>
          <cell r="C1430">
            <v>21572</v>
          </cell>
          <cell r="D1430" t="str">
            <v>SA1&amp;3</v>
          </cell>
          <cell r="E1430" t="str">
            <v>B</v>
          </cell>
          <cell r="F1430" t="str">
            <v>INTERMEDIATE TYPIST-CLERK</v>
          </cell>
          <cell r="G1430" t="str">
            <v>2214A</v>
          </cell>
          <cell r="H1430">
            <v>2675.27</v>
          </cell>
          <cell r="I1430">
            <v>1</v>
          </cell>
          <cell r="J1430">
            <v>12</v>
          </cell>
          <cell r="K1430">
            <v>1</v>
          </cell>
          <cell r="L1430">
            <v>32103.16</v>
          </cell>
        </row>
        <row r="1431">
          <cell r="A1431">
            <v>106412</v>
          </cell>
          <cell r="B1431">
            <v>21564</v>
          </cell>
          <cell r="C1431">
            <v>21572</v>
          </cell>
          <cell r="D1431" t="str">
            <v>SA1&amp;3</v>
          </cell>
          <cell r="E1431" t="str">
            <v>B</v>
          </cell>
          <cell r="F1431" t="str">
            <v>INTERMEDIATE TYPIST-CLERK</v>
          </cell>
          <cell r="G1431" t="str">
            <v>2214A</v>
          </cell>
          <cell r="H1431">
            <v>2675.27</v>
          </cell>
          <cell r="I1431">
            <v>1</v>
          </cell>
          <cell r="J1431">
            <v>12</v>
          </cell>
          <cell r="K1431">
            <v>1</v>
          </cell>
          <cell r="L1431">
            <v>32103.16</v>
          </cell>
        </row>
        <row r="1432">
          <cell r="A1432">
            <v>109681</v>
          </cell>
          <cell r="B1432">
            <v>21572</v>
          </cell>
          <cell r="C1432">
            <v>21572</v>
          </cell>
          <cell r="D1432" t="str">
            <v>SA1&amp;3</v>
          </cell>
          <cell r="E1432" t="str">
            <v>B</v>
          </cell>
          <cell r="F1432" t="str">
            <v>INTERMEDIATE TYPIST-CLERK</v>
          </cell>
          <cell r="G1432" t="str">
            <v>2214A</v>
          </cell>
          <cell r="H1432">
            <v>2675.27</v>
          </cell>
          <cell r="I1432">
            <v>1</v>
          </cell>
          <cell r="J1432">
            <v>12</v>
          </cell>
          <cell r="K1432">
            <v>1</v>
          </cell>
          <cell r="L1432">
            <v>32103.24</v>
          </cell>
        </row>
        <row r="1433">
          <cell r="A1433">
            <v>109682</v>
          </cell>
          <cell r="B1433">
            <v>21572</v>
          </cell>
          <cell r="C1433">
            <v>21572</v>
          </cell>
          <cell r="D1433" t="str">
            <v>SA1&amp;3</v>
          </cell>
          <cell r="E1433" t="str">
            <v>B</v>
          </cell>
          <cell r="F1433" t="str">
            <v>INTERMEDIATE TYPIST-CLERK</v>
          </cell>
          <cell r="G1433" t="str">
            <v>2214A</v>
          </cell>
          <cell r="H1433">
            <v>2675.27</v>
          </cell>
          <cell r="I1433">
            <v>1</v>
          </cell>
          <cell r="J1433">
            <v>12</v>
          </cell>
          <cell r="K1433">
            <v>1</v>
          </cell>
          <cell r="L1433">
            <v>32103.24</v>
          </cell>
        </row>
        <row r="1434">
          <cell r="A1434">
            <v>109683</v>
          </cell>
          <cell r="B1434">
            <v>21572</v>
          </cell>
          <cell r="C1434">
            <v>21572</v>
          </cell>
          <cell r="D1434" t="str">
            <v>SA1&amp;3</v>
          </cell>
          <cell r="E1434" t="str">
            <v>B</v>
          </cell>
          <cell r="F1434" t="str">
            <v>INTERMEDIATE TYPIST-CLERK</v>
          </cell>
          <cell r="G1434" t="str">
            <v>2214A</v>
          </cell>
          <cell r="H1434">
            <v>2675.27</v>
          </cell>
          <cell r="I1434">
            <v>1</v>
          </cell>
          <cell r="J1434">
            <v>12</v>
          </cell>
          <cell r="K1434">
            <v>1</v>
          </cell>
          <cell r="L1434">
            <v>32103.24</v>
          </cell>
        </row>
        <row r="1435">
          <cell r="A1435">
            <v>103857</v>
          </cell>
          <cell r="B1435">
            <v>21572</v>
          </cell>
          <cell r="C1435">
            <v>21572</v>
          </cell>
          <cell r="D1435" t="str">
            <v>SA1&amp;3</v>
          </cell>
          <cell r="E1435" t="str">
            <v>B</v>
          </cell>
          <cell r="F1435" t="str">
            <v>MNTL HLTH CLINICAL PROGRAM HEAD</v>
          </cell>
          <cell r="G1435" t="str">
            <v>4726N</v>
          </cell>
          <cell r="H1435">
            <v>8709.73</v>
          </cell>
          <cell r="I1435">
            <v>1</v>
          </cell>
          <cell r="J1435">
            <v>12</v>
          </cell>
          <cell r="K1435">
            <v>1</v>
          </cell>
          <cell r="L1435">
            <v>104516.76</v>
          </cell>
        </row>
        <row r="1436">
          <cell r="A1436">
            <v>101182</v>
          </cell>
          <cell r="B1436">
            <v>21572</v>
          </cell>
          <cell r="C1436">
            <v>21572</v>
          </cell>
          <cell r="D1436" t="str">
            <v>SA1&amp;3</v>
          </cell>
          <cell r="E1436" t="str">
            <v>B</v>
          </cell>
          <cell r="F1436" t="str">
            <v>PSYCHIATRIC SOCIAL WORKER II</v>
          </cell>
          <cell r="G1436" t="str">
            <v>9035A</v>
          </cell>
          <cell r="H1436">
            <v>5425.82</v>
          </cell>
          <cell r="I1436">
            <v>1</v>
          </cell>
          <cell r="J1436">
            <v>12</v>
          </cell>
          <cell r="K1436">
            <v>1</v>
          </cell>
          <cell r="L1436">
            <v>65109.84</v>
          </cell>
        </row>
        <row r="1437">
          <cell r="A1437">
            <v>101851</v>
          </cell>
          <cell r="B1437">
            <v>21572</v>
          </cell>
          <cell r="C1437">
            <v>21572</v>
          </cell>
          <cell r="D1437" t="str">
            <v>SA1&amp;3</v>
          </cell>
          <cell r="E1437" t="str">
            <v>B</v>
          </cell>
          <cell r="F1437" t="str">
            <v>PSYCHIATRIC SOCIAL WORKER II</v>
          </cell>
          <cell r="G1437" t="str">
            <v>9035A</v>
          </cell>
          <cell r="H1437">
            <v>5425.82</v>
          </cell>
          <cell r="I1437">
            <v>1</v>
          </cell>
          <cell r="J1437">
            <v>12</v>
          </cell>
          <cell r="K1437">
            <v>1</v>
          </cell>
          <cell r="L1437">
            <v>65109.84</v>
          </cell>
        </row>
        <row r="1438">
          <cell r="A1438">
            <v>101852</v>
          </cell>
          <cell r="B1438">
            <v>21572</v>
          </cell>
          <cell r="C1438">
            <v>21572</v>
          </cell>
          <cell r="D1438" t="str">
            <v>SA1&amp;3</v>
          </cell>
          <cell r="E1438" t="str">
            <v>B</v>
          </cell>
          <cell r="F1438" t="str">
            <v>PSYCHIATRIC SOCIAL WORKER II</v>
          </cell>
          <cell r="G1438" t="str">
            <v>9035A</v>
          </cell>
          <cell r="H1438">
            <v>5425.82</v>
          </cell>
          <cell r="I1438">
            <v>1</v>
          </cell>
          <cell r="J1438">
            <v>12</v>
          </cell>
          <cell r="K1438">
            <v>1</v>
          </cell>
          <cell r="L1438">
            <v>65109.84</v>
          </cell>
        </row>
        <row r="1439">
          <cell r="A1439">
            <v>102775</v>
          </cell>
          <cell r="B1439">
            <v>20941</v>
          </cell>
          <cell r="C1439">
            <v>21572</v>
          </cell>
          <cell r="D1439" t="str">
            <v>SA1&amp;3</v>
          </cell>
          <cell r="E1439" t="str">
            <v>B</v>
          </cell>
          <cell r="F1439" t="str">
            <v>PSYCHIATRIC SOCIAL WORKER II</v>
          </cell>
          <cell r="G1439" t="str">
            <v>9035N</v>
          </cell>
          <cell r="H1439">
            <v>5425.82</v>
          </cell>
          <cell r="I1439">
            <v>1</v>
          </cell>
          <cell r="J1439">
            <v>12</v>
          </cell>
          <cell r="K1439">
            <v>1</v>
          </cell>
          <cell r="L1439">
            <v>65109.84</v>
          </cell>
        </row>
        <row r="1440">
          <cell r="A1440">
            <v>106245</v>
          </cell>
          <cell r="B1440">
            <v>20941</v>
          </cell>
          <cell r="C1440">
            <v>21572</v>
          </cell>
          <cell r="D1440" t="str">
            <v>SA1&amp;3</v>
          </cell>
          <cell r="E1440" t="str">
            <v>B</v>
          </cell>
          <cell r="F1440" t="str">
            <v>PSYCHIATRIC SOCIAL WORKER II</v>
          </cell>
          <cell r="G1440" t="str">
            <v>9035A</v>
          </cell>
          <cell r="H1440">
            <v>5425.82</v>
          </cell>
          <cell r="I1440">
            <v>1</v>
          </cell>
          <cell r="J1440">
            <v>12</v>
          </cell>
          <cell r="K1440">
            <v>1</v>
          </cell>
          <cell r="L1440">
            <v>65109.84</v>
          </cell>
        </row>
        <row r="1441">
          <cell r="A1441">
            <v>106249</v>
          </cell>
          <cell r="B1441">
            <v>21572</v>
          </cell>
          <cell r="C1441">
            <v>21572</v>
          </cell>
          <cell r="D1441" t="str">
            <v>SA1&amp;3</v>
          </cell>
          <cell r="E1441" t="str">
            <v>B</v>
          </cell>
          <cell r="F1441" t="str">
            <v xml:space="preserve">SR COMMUN MENTAL HLTH PSYCHOLOGIST </v>
          </cell>
          <cell r="G1441" t="str">
            <v>8712A</v>
          </cell>
          <cell r="H1441">
            <v>7311.45</v>
          </cell>
          <cell r="I1441">
            <v>1</v>
          </cell>
          <cell r="J1441">
            <v>12</v>
          </cell>
          <cell r="K1441">
            <v>1</v>
          </cell>
          <cell r="L1441">
            <v>87737.16</v>
          </cell>
        </row>
        <row r="1442">
          <cell r="A1442">
            <v>103859</v>
          </cell>
          <cell r="B1442">
            <v>21572</v>
          </cell>
          <cell r="C1442">
            <v>21572</v>
          </cell>
          <cell r="D1442" t="str">
            <v>SA1&amp;3</v>
          </cell>
          <cell r="E1442" t="str">
            <v>B</v>
          </cell>
          <cell r="F1442" t="str">
            <v xml:space="preserve">STAFF ASSISTANT I                  </v>
          </cell>
          <cell r="G1442" t="str">
            <v>0907A</v>
          </cell>
          <cell r="H1442">
            <v>3453.18</v>
          </cell>
          <cell r="I1442">
            <v>1</v>
          </cell>
          <cell r="J1442">
            <v>12</v>
          </cell>
          <cell r="K1442">
            <v>1</v>
          </cell>
          <cell r="L1442">
            <v>41438.480000000003</v>
          </cell>
        </row>
        <row r="1443">
          <cell r="A1443">
            <v>102783</v>
          </cell>
          <cell r="B1443">
            <v>21572</v>
          </cell>
          <cell r="C1443">
            <v>21572</v>
          </cell>
          <cell r="D1443" t="str">
            <v>SA1&amp;3</v>
          </cell>
          <cell r="E1443" t="str">
            <v>B</v>
          </cell>
          <cell r="F1443" t="str">
            <v xml:space="preserve">SUPVG PSYCHIATRIC SOCIAL WORKER    </v>
          </cell>
          <cell r="G1443" t="str">
            <v>9038N</v>
          </cell>
          <cell r="H1443">
            <v>6062.45</v>
          </cell>
          <cell r="I1443">
            <v>1</v>
          </cell>
          <cell r="J1443">
            <v>12</v>
          </cell>
          <cell r="K1443">
            <v>1</v>
          </cell>
          <cell r="L1443">
            <v>72749.399999999994</v>
          </cell>
        </row>
        <row r="1444">
          <cell r="A1444">
            <v>106250</v>
          </cell>
          <cell r="B1444">
            <v>21572</v>
          </cell>
          <cell r="C1444">
            <v>21572</v>
          </cell>
          <cell r="D1444" t="str">
            <v>SA1&amp;3</v>
          </cell>
          <cell r="E1444" t="str">
            <v>B</v>
          </cell>
          <cell r="F1444" t="str">
            <v xml:space="preserve">SUPVG PSYCHIATRIC SOCIAL WORKER    </v>
          </cell>
          <cell r="G1444" t="str">
            <v>9038A</v>
          </cell>
          <cell r="H1444">
            <v>6062.45</v>
          </cell>
          <cell r="I1444">
            <v>1</v>
          </cell>
          <cell r="J1444">
            <v>12</v>
          </cell>
          <cell r="K1444">
            <v>1</v>
          </cell>
          <cell r="L1444">
            <v>72749.399999999994</v>
          </cell>
        </row>
        <row r="1445">
          <cell r="A1445">
            <v>103455</v>
          </cell>
          <cell r="B1445">
            <v>18707</v>
          </cell>
          <cell r="C1445">
            <v>18707</v>
          </cell>
          <cell r="D1445" t="str">
            <v>SA1&amp;3</v>
          </cell>
          <cell r="E1445" t="str">
            <v>B</v>
          </cell>
          <cell r="F1445" t="str">
            <v>CLINICAL PSYCHOLOGIST II</v>
          </cell>
          <cell r="G1445" t="str">
            <v>8697A</v>
          </cell>
          <cell r="H1445">
            <v>6993.82</v>
          </cell>
          <cell r="I1445">
            <v>1</v>
          </cell>
          <cell r="J1445">
            <v>12</v>
          </cell>
          <cell r="K1445">
            <v>1</v>
          </cell>
          <cell r="L1445">
            <v>83925.52</v>
          </cell>
        </row>
        <row r="1446">
          <cell r="A1446">
            <v>105074</v>
          </cell>
          <cell r="B1446">
            <v>18707</v>
          </cell>
          <cell r="C1446">
            <v>18707</v>
          </cell>
          <cell r="D1446" t="str">
            <v>SA1&amp;3</v>
          </cell>
          <cell r="E1446" t="str">
            <v>B</v>
          </cell>
          <cell r="F1446" t="str">
            <v>CLINICAL PSYCHOLOGIST II</v>
          </cell>
          <cell r="G1446" t="str">
            <v>8697A</v>
          </cell>
          <cell r="H1446">
            <v>6993.82</v>
          </cell>
          <cell r="I1446">
            <v>1</v>
          </cell>
          <cell r="J1446">
            <v>12</v>
          </cell>
          <cell r="K1446">
            <v>1</v>
          </cell>
          <cell r="L1446">
            <v>83925.52</v>
          </cell>
        </row>
        <row r="1447">
          <cell r="A1447">
            <v>104396</v>
          </cell>
          <cell r="B1447">
            <v>20468</v>
          </cell>
          <cell r="C1447">
            <v>18707</v>
          </cell>
          <cell r="D1447" t="str">
            <v>SA1&amp;3</v>
          </cell>
          <cell r="E1447" t="str">
            <v>B</v>
          </cell>
          <cell r="F1447" t="str">
            <v>MENTAL HEALTH COUNSELOR, RN</v>
          </cell>
          <cell r="G1447" t="str">
            <v>5278A</v>
          </cell>
          <cell r="H1447">
            <v>6275.27</v>
          </cell>
          <cell r="I1447">
            <v>1</v>
          </cell>
          <cell r="J1447">
            <v>12</v>
          </cell>
          <cell r="K1447">
            <v>1</v>
          </cell>
          <cell r="L1447">
            <v>76804.323333333334</v>
          </cell>
        </row>
        <row r="1448">
          <cell r="A1448">
            <v>104086</v>
          </cell>
          <cell r="B1448">
            <v>18707</v>
          </cell>
          <cell r="C1448">
            <v>18707</v>
          </cell>
          <cell r="D1448" t="str">
            <v>SA1&amp;3</v>
          </cell>
          <cell r="E1448" t="str">
            <v>B</v>
          </cell>
          <cell r="F1448" t="str">
            <v>MENTAL HEALTH SERVICES COORD I</v>
          </cell>
          <cell r="G1448" t="str">
            <v>8148A</v>
          </cell>
          <cell r="H1448">
            <v>5126.91</v>
          </cell>
          <cell r="I1448">
            <v>1</v>
          </cell>
          <cell r="J1448">
            <v>12</v>
          </cell>
          <cell r="K1448">
            <v>1</v>
          </cell>
          <cell r="L1448">
            <v>61522.92</v>
          </cell>
        </row>
        <row r="1449">
          <cell r="A1449">
            <v>104082</v>
          </cell>
          <cell r="B1449">
            <v>18707</v>
          </cell>
          <cell r="C1449">
            <v>18707</v>
          </cell>
          <cell r="D1449" t="str">
            <v>SA1&amp;3</v>
          </cell>
          <cell r="E1449" t="str">
            <v>B</v>
          </cell>
          <cell r="F1449" t="str">
            <v>MNTL HLTH CLINICAL PROGRAM HEAD</v>
          </cell>
          <cell r="G1449" t="str">
            <v>4726A</v>
          </cell>
          <cell r="H1449">
            <v>8709.73</v>
          </cell>
          <cell r="I1449">
            <v>1</v>
          </cell>
          <cell r="J1449">
            <v>12</v>
          </cell>
          <cell r="K1449">
            <v>1</v>
          </cell>
          <cell r="L1449">
            <v>104516.76</v>
          </cell>
        </row>
        <row r="1450">
          <cell r="A1450">
            <v>104089</v>
          </cell>
          <cell r="B1450">
            <v>18707</v>
          </cell>
          <cell r="C1450">
            <v>18707</v>
          </cell>
          <cell r="D1450" t="str">
            <v>SA1&amp;3</v>
          </cell>
          <cell r="E1450" t="str">
            <v>B</v>
          </cell>
          <cell r="F1450" t="str">
            <v xml:space="preserve">SECRETARY III                      </v>
          </cell>
          <cell r="G1450" t="str">
            <v>2096A</v>
          </cell>
          <cell r="H1450">
            <v>3387</v>
          </cell>
          <cell r="I1450">
            <v>1</v>
          </cell>
          <cell r="J1450">
            <v>12</v>
          </cell>
          <cell r="K1450">
            <v>1</v>
          </cell>
          <cell r="L1450">
            <v>40643.839999999997</v>
          </cell>
        </row>
        <row r="1451">
          <cell r="A1451">
            <v>103056</v>
          </cell>
          <cell r="B1451">
            <v>20941</v>
          </cell>
          <cell r="C1451">
            <v>18707</v>
          </cell>
          <cell r="D1451" t="str">
            <v>SA1&amp;3</v>
          </cell>
          <cell r="E1451" t="str">
            <v>B</v>
          </cell>
          <cell r="F1451" t="str">
            <v xml:space="preserve">SENIOR TYPIST-CLERK                </v>
          </cell>
          <cell r="G1451" t="str">
            <v>2216A</v>
          </cell>
          <cell r="H1451">
            <v>3013.55</v>
          </cell>
          <cell r="I1451">
            <v>1</v>
          </cell>
          <cell r="J1451">
            <v>12</v>
          </cell>
          <cell r="K1451">
            <v>1</v>
          </cell>
          <cell r="L1451">
            <v>36162.6</v>
          </cell>
        </row>
        <row r="1452">
          <cell r="A1452">
            <v>101429</v>
          </cell>
          <cell r="B1452">
            <v>18593</v>
          </cell>
          <cell r="C1452">
            <v>18707</v>
          </cell>
          <cell r="D1452" t="str">
            <v>SA1&amp;3</v>
          </cell>
          <cell r="E1452" t="str">
            <v>B</v>
          </cell>
          <cell r="F1452" t="str">
            <v xml:space="preserve">SR COMMUN MENTAL HLTH PSYCHOLOGIST </v>
          </cell>
          <cell r="G1452" t="str">
            <v>8712A</v>
          </cell>
          <cell r="H1452">
            <v>7311.45</v>
          </cell>
          <cell r="I1452">
            <v>1</v>
          </cell>
          <cell r="J1452">
            <v>12</v>
          </cell>
          <cell r="K1452">
            <v>1</v>
          </cell>
          <cell r="L1452">
            <v>87737.16</v>
          </cell>
        </row>
        <row r="1453">
          <cell r="A1453">
            <v>104092</v>
          </cell>
          <cell r="B1453">
            <v>18707</v>
          </cell>
          <cell r="C1453">
            <v>18707</v>
          </cell>
          <cell r="D1453" t="str">
            <v>SA1&amp;3</v>
          </cell>
          <cell r="E1453" t="str">
            <v>B</v>
          </cell>
          <cell r="F1453" t="str">
            <v xml:space="preserve">STAFF ASSISTANT I                  </v>
          </cell>
          <cell r="G1453" t="str">
            <v>0907A</v>
          </cell>
          <cell r="H1453">
            <v>3453.18</v>
          </cell>
          <cell r="I1453">
            <v>1</v>
          </cell>
          <cell r="J1453">
            <v>12</v>
          </cell>
          <cell r="K1453">
            <v>1</v>
          </cell>
          <cell r="L1453">
            <v>41438.480000000003</v>
          </cell>
        </row>
        <row r="1454">
          <cell r="A1454">
            <v>103314</v>
          </cell>
          <cell r="B1454">
            <v>18702</v>
          </cell>
          <cell r="C1454">
            <v>18702</v>
          </cell>
          <cell r="D1454" t="str">
            <v>SA1&amp;3</v>
          </cell>
          <cell r="E1454" t="str">
            <v>B</v>
          </cell>
          <cell r="F1454" t="str">
            <v xml:space="preserve">PATIENT FINANCIAL SERVICES WORKER  </v>
          </cell>
          <cell r="G1454" t="str">
            <v>9193A</v>
          </cell>
          <cell r="H1454">
            <v>3403.55</v>
          </cell>
          <cell r="I1454">
            <v>1</v>
          </cell>
          <cell r="J1454">
            <v>12</v>
          </cell>
          <cell r="K1454">
            <v>1</v>
          </cell>
          <cell r="L1454">
            <v>40842.6</v>
          </cell>
        </row>
        <row r="1455">
          <cell r="A1455">
            <v>103319</v>
          </cell>
          <cell r="B1455">
            <v>18702</v>
          </cell>
          <cell r="C1455">
            <v>18702</v>
          </cell>
          <cell r="D1455" t="str">
            <v>SA1&amp;3</v>
          </cell>
          <cell r="E1455" t="str">
            <v>B</v>
          </cell>
          <cell r="F1455" t="str">
            <v xml:space="preserve">PHYSICIAN, M.D.                    </v>
          </cell>
          <cell r="G1455" t="str">
            <v>5475F</v>
          </cell>
          <cell r="H1455">
            <v>49.61</v>
          </cell>
          <cell r="I1455">
            <v>1</v>
          </cell>
          <cell r="J1455">
            <v>1008</v>
          </cell>
          <cell r="K1455">
            <v>0.48275862068965519</v>
          </cell>
          <cell r="L1455">
            <v>50006.68</v>
          </cell>
        </row>
        <row r="1456">
          <cell r="A1456">
            <v>104081</v>
          </cell>
          <cell r="B1456">
            <v>18703</v>
          </cell>
          <cell r="C1456">
            <v>27610</v>
          </cell>
          <cell r="D1456" t="str">
            <v>SA1&amp;3</v>
          </cell>
          <cell r="E1456" t="str">
            <v>B</v>
          </cell>
          <cell r="F1456" t="str">
            <v>MNTL HLTH CLINICAL PROGRAM HEAD</v>
          </cell>
          <cell r="G1456" t="str">
            <v>4726A</v>
          </cell>
          <cell r="H1456">
            <v>8709.73</v>
          </cell>
          <cell r="I1456">
            <v>1</v>
          </cell>
          <cell r="J1456">
            <v>12</v>
          </cell>
          <cell r="K1456">
            <v>1</v>
          </cell>
          <cell r="L1456">
            <v>104516.76</v>
          </cell>
        </row>
        <row r="1457">
          <cell r="A1457">
            <v>104875</v>
          </cell>
          <cell r="B1457">
            <v>21572</v>
          </cell>
          <cell r="C1457">
            <v>27610</v>
          </cell>
          <cell r="D1457" t="str">
            <v>SA1&amp;3</v>
          </cell>
          <cell r="E1457" t="str">
            <v>B</v>
          </cell>
          <cell r="F1457" t="str">
            <v>PSYCHIATRIC SOCIAL WORKER II</v>
          </cell>
          <cell r="G1457" t="str">
            <v>9035A</v>
          </cell>
          <cell r="H1457">
            <v>5425.82</v>
          </cell>
          <cell r="I1457">
            <v>1</v>
          </cell>
          <cell r="J1457">
            <v>12</v>
          </cell>
          <cell r="K1457">
            <v>1</v>
          </cell>
          <cell r="L1457">
            <v>65109.84</v>
          </cell>
        </row>
        <row r="1458">
          <cell r="A1458">
            <v>107381</v>
          </cell>
          <cell r="B1458">
            <v>18639</v>
          </cell>
          <cell r="C1458">
            <v>27610</v>
          </cell>
          <cell r="D1458" t="str">
            <v>SA1&amp;3</v>
          </cell>
          <cell r="E1458" t="str">
            <v>B</v>
          </cell>
          <cell r="F1458" t="str">
            <v xml:space="preserve">SENIOR COMMUNITY WORKER I          </v>
          </cell>
          <cell r="G1458" t="str">
            <v>8104A</v>
          </cell>
          <cell r="H1458">
            <v>3087.73</v>
          </cell>
          <cell r="I1458">
            <v>1</v>
          </cell>
          <cell r="J1458">
            <v>12</v>
          </cell>
          <cell r="K1458">
            <v>1</v>
          </cell>
          <cell r="L1458">
            <v>37052.76</v>
          </cell>
        </row>
        <row r="1459">
          <cell r="A1459">
            <v>107357</v>
          </cell>
          <cell r="B1459">
            <v>18639</v>
          </cell>
          <cell r="C1459">
            <v>18639</v>
          </cell>
          <cell r="D1459" t="str">
            <v>SA1&amp;3</v>
          </cell>
          <cell r="E1459" t="str">
            <v>B</v>
          </cell>
          <cell r="F1459" t="str">
            <v>CLINICAL PSYCHOLOGIST II</v>
          </cell>
          <cell r="G1459" t="str">
            <v>8697A</v>
          </cell>
          <cell r="H1459">
            <v>6993.82</v>
          </cell>
          <cell r="I1459">
            <v>1</v>
          </cell>
          <cell r="J1459">
            <v>12</v>
          </cell>
          <cell r="K1459">
            <v>1</v>
          </cell>
          <cell r="L1459">
            <v>83925.52</v>
          </cell>
        </row>
        <row r="1460">
          <cell r="A1460">
            <v>109938</v>
          </cell>
          <cell r="B1460">
            <v>18639</v>
          </cell>
          <cell r="C1460">
            <v>18639</v>
          </cell>
          <cell r="D1460" t="str">
            <v>SA1&amp;3</v>
          </cell>
          <cell r="E1460" t="str">
            <v>B</v>
          </cell>
          <cell r="F1460" t="str">
            <v xml:space="preserve">RESEARCH ANALYST III,BEHAVIOR SCI  </v>
          </cell>
          <cell r="G1460" t="str">
            <v>8973N</v>
          </cell>
          <cell r="H1460">
            <v>5479.27</v>
          </cell>
          <cell r="I1460">
            <v>1</v>
          </cell>
          <cell r="J1460">
            <v>12</v>
          </cell>
          <cell r="K1460">
            <v>1</v>
          </cell>
          <cell r="L1460">
            <v>65751.240000000005</v>
          </cell>
        </row>
        <row r="1461">
          <cell r="A1461">
            <v>107376</v>
          </cell>
          <cell r="B1461">
            <v>18639</v>
          </cell>
          <cell r="C1461">
            <v>18639</v>
          </cell>
          <cell r="D1461" t="str">
            <v>SA1&amp;3</v>
          </cell>
          <cell r="E1461" t="str">
            <v>B</v>
          </cell>
          <cell r="F1461" t="str">
            <v xml:space="preserve">SENIOR COMMUNITY WORKER I          </v>
          </cell>
          <cell r="G1461" t="str">
            <v>8104A</v>
          </cell>
          <cell r="H1461">
            <v>3087.73</v>
          </cell>
          <cell r="I1461">
            <v>1</v>
          </cell>
          <cell r="J1461">
            <v>12</v>
          </cell>
          <cell r="K1461">
            <v>1</v>
          </cell>
          <cell r="L1461">
            <v>37052.76</v>
          </cell>
        </row>
        <row r="1462">
          <cell r="A1462">
            <v>107386</v>
          </cell>
          <cell r="B1462">
            <v>18639</v>
          </cell>
          <cell r="C1462">
            <v>18639</v>
          </cell>
          <cell r="D1462" t="str">
            <v>SA1&amp;3</v>
          </cell>
          <cell r="E1462" t="str">
            <v>B</v>
          </cell>
          <cell r="F1462" t="str">
            <v xml:space="preserve">SENIOR COMMUNITY WORKER I          </v>
          </cell>
          <cell r="G1462" t="str">
            <v>8104A</v>
          </cell>
          <cell r="H1462">
            <v>3087.73</v>
          </cell>
          <cell r="I1462">
            <v>1</v>
          </cell>
          <cell r="J1462">
            <v>12</v>
          </cell>
          <cell r="K1462">
            <v>1</v>
          </cell>
          <cell r="L1462">
            <v>37052.76</v>
          </cell>
        </row>
        <row r="1463">
          <cell r="A1463">
            <v>107395</v>
          </cell>
          <cell r="B1463">
            <v>18639</v>
          </cell>
          <cell r="C1463">
            <v>18639</v>
          </cell>
          <cell r="D1463" t="str">
            <v>SA1&amp;3</v>
          </cell>
          <cell r="E1463" t="str">
            <v>B</v>
          </cell>
          <cell r="F1463" t="str">
            <v xml:space="preserve">STAFF ASSISTANT II                 </v>
          </cell>
          <cell r="G1463" t="str">
            <v>0913A</v>
          </cell>
          <cell r="H1463">
            <v>4167.45</v>
          </cell>
          <cell r="I1463">
            <v>1</v>
          </cell>
          <cell r="J1463">
            <v>12</v>
          </cell>
          <cell r="K1463">
            <v>1</v>
          </cell>
          <cell r="L1463">
            <v>50009.24</v>
          </cell>
        </row>
        <row r="1464">
          <cell r="A1464">
            <v>109893</v>
          </cell>
          <cell r="B1464">
            <v>27594</v>
          </cell>
          <cell r="D1464" t="str">
            <v>SA1&amp;3</v>
          </cell>
          <cell r="E1464" t="str">
            <v>B</v>
          </cell>
          <cell r="F1464" t="str">
            <v>MENTAL HLTH CLINICAL DIST CHIEF</v>
          </cell>
          <cell r="G1464" t="str">
            <v>4722A</v>
          </cell>
          <cell r="H1464">
            <v>10074</v>
          </cell>
          <cell r="I1464">
            <v>1</v>
          </cell>
          <cell r="J1464">
            <v>12</v>
          </cell>
          <cell r="K1464">
            <v>1</v>
          </cell>
          <cell r="L1464">
            <v>120888</v>
          </cell>
        </row>
        <row r="1465">
          <cell r="A1465">
            <v>109772</v>
          </cell>
          <cell r="B1465">
            <v>28001</v>
          </cell>
          <cell r="C1465">
            <v>28001</v>
          </cell>
          <cell r="D1465" t="str">
            <v>SA1&amp;3</v>
          </cell>
          <cell r="E1465" t="str">
            <v>B</v>
          </cell>
          <cell r="F1465" t="str">
            <v>CLINICAL PSYCHOLOGIST II</v>
          </cell>
          <cell r="G1465" t="str">
            <v>8697A</v>
          </cell>
          <cell r="H1465">
            <v>6993.82</v>
          </cell>
          <cell r="I1465">
            <v>1</v>
          </cell>
          <cell r="J1465">
            <v>12</v>
          </cell>
          <cell r="K1465">
            <v>1</v>
          </cell>
          <cell r="L1465">
            <v>83925.84</v>
          </cell>
        </row>
        <row r="1466">
          <cell r="A1466">
            <v>109788</v>
          </cell>
          <cell r="B1466">
            <v>28001</v>
          </cell>
          <cell r="C1466">
            <v>28001</v>
          </cell>
          <cell r="D1466" t="str">
            <v>SA1&amp;3</v>
          </cell>
          <cell r="E1466" t="str">
            <v>B</v>
          </cell>
          <cell r="F1466" t="str">
            <v>INTERMEDIATE TYPIST-CLERK</v>
          </cell>
          <cell r="G1466" t="str">
            <v>2214A</v>
          </cell>
          <cell r="H1466">
            <v>2675.27</v>
          </cell>
          <cell r="I1466">
            <v>1</v>
          </cell>
          <cell r="J1466">
            <v>12</v>
          </cell>
          <cell r="K1466">
            <v>1</v>
          </cell>
          <cell r="L1466">
            <v>32103.24</v>
          </cell>
        </row>
        <row r="1467">
          <cell r="A1467">
            <v>109791</v>
          </cell>
          <cell r="B1467">
            <v>28001</v>
          </cell>
          <cell r="C1467">
            <v>28001</v>
          </cell>
          <cell r="D1467" t="str">
            <v>SA1&amp;3</v>
          </cell>
          <cell r="E1467" t="str">
            <v>B</v>
          </cell>
          <cell r="F1467" t="str">
            <v>INTERMEDIATE TYPIST-CLERK</v>
          </cell>
          <cell r="G1467" t="str">
            <v>2214A</v>
          </cell>
          <cell r="H1467">
            <v>2675.27</v>
          </cell>
          <cell r="I1467">
            <v>1</v>
          </cell>
          <cell r="J1467">
            <v>12</v>
          </cell>
          <cell r="K1467">
            <v>1</v>
          </cell>
          <cell r="L1467">
            <v>32103.24</v>
          </cell>
        </row>
        <row r="1468">
          <cell r="A1468">
            <v>109795</v>
          </cell>
          <cell r="B1468">
            <v>28001</v>
          </cell>
          <cell r="D1468" t="str">
            <v>SA1&amp;3</v>
          </cell>
          <cell r="E1468" t="str">
            <v>B</v>
          </cell>
          <cell r="F1468" t="str">
            <v>MEDICAL CASE WORKER II</v>
          </cell>
          <cell r="G1468" t="str">
            <v>9002A</v>
          </cell>
          <cell r="H1468">
            <v>3938.82</v>
          </cell>
          <cell r="I1468">
            <v>1</v>
          </cell>
          <cell r="J1468">
            <v>12</v>
          </cell>
          <cell r="K1468">
            <v>1</v>
          </cell>
          <cell r="L1468">
            <v>47265.84</v>
          </cell>
        </row>
        <row r="1469">
          <cell r="A1469">
            <v>109796</v>
          </cell>
          <cell r="B1469">
            <v>28001</v>
          </cell>
          <cell r="C1469">
            <v>28001</v>
          </cell>
          <cell r="D1469" t="str">
            <v>SA1&amp;3</v>
          </cell>
          <cell r="E1469" t="str">
            <v>B</v>
          </cell>
          <cell r="F1469" t="str">
            <v>MEDICAL CASE WORKER II</v>
          </cell>
          <cell r="G1469" t="str">
            <v>9002A</v>
          </cell>
          <cell r="H1469">
            <v>3938.82</v>
          </cell>
          <cell r="I1469">
            <v>1</v>
          </cell>
          <cell r="J1469">
            <v>12</v>
          </cell>
          <cell r="K1469">
            <v>1</v>
          </cell>
          <cell r="L1469">
            <v>47265.84</v>
          </cell>
        </row>
        <row r="1470">
          <cell r="A1470">
            <v>109880</v>
          </cell>
          <cell r="B1470">
            <v>28001</v>
          </cell>
          <cell r="C1470">
            <v>28001</v>
          </cell>
          <cell r="D1470" t="str">
            <v>SA1&amp;3</v>
          </cell>
          <cell r="E1470" t="str">
            <v>B</v>
          </cell>
          <cell r="F1470" t="str">
            <v>MEDICAL CASE WORKER II</v>
          </cell>
          <cell r="G1470" t="str">
            <v>9002A</v>
          </cell>
          <cell r="H1470">
            <v>3938.82</v>
          </cell>
          <cell r="I1470">
            <v>1</v>
          </cell>
          <cell r="J1470">
            <v>12</v>
          </cell>
          <cell r="K1470">
            <v>1</v>
          </cell>
          <cell r="L1470">
            <v>47265.84</v>
          </cell>
        </row>
        <row r="1471">
          <cell r="A1471">
            <v>109809</v>
          </cell>
          <cell r="B1471">
            <v>28001</v>
          </cell>
          <cell r="C1471">
            <v>28001</v>
          </cell>
          <cell r="D1471" t="str">
            <v>SA1&amp;3</v>
          </cell>
          <cell r="E1471" t="str">
            <v>B</v>
          </cell>
          <cell r="F1471" t="str">
            <v>MENTAL HEALTH PSYCHIATRIST</v>
          </cell>
          <cell r="G1471" t="str">
            <v>4735A</v>
          </cell>
          <cell r="H1471">
            <v>12844</v>
          </cell>
          <cell r="I1471">
            <v>1</v>
          </cell>
          <cell r="J1471">
            <v>12</v>
          </cell>
          <cell r="K1471">
            <v>1</v>
          </cell>
          <cell r="L1471">
            <v>154128</v>
          </cell>
        </row>
        <row r="1472">
          <cell r="A1472">
            <v>109827</v>
          </cell>
          <cell r="B1472">
            <v>28001</v>
          </cell>
          <cell r="C1472">
            <v>28001</v>
          </cell>
          <cell r="D1472" t="str">
            <v>SA1&amp;3</v>
          </cell>
          <cell r="E1472" t="str">
            <v>B</v>
          </cell>
          <cell r="F1472" t="str">
            <v xml:space="preserve">PATIENT FINANCIAL SERVICES WORKER  </v>
          </cell>
          <cell r="G1472" t="str">
            <v>9193A</v>
          </cell>
          <cell r="H1472">
            <v>3403.55</v>
          </cell>
          <cell r="I1472">
            <v>1</v>
          </cell>
          <cell r="J1472">
            <v>12</v>
          </cell>
          <cell r="K1472">
            <v>1</v>
          </cell>
          <cell r="L1472">
            <v>40842.6</v>
          </cell>
        </row>
        <row r="1473">
          <cell r="A1473">
            <v>109833</v>
          </cell>
          <cell r="B1473">
            <v>28001</v>
          </cell>
          <cell r="C1473">
            <v>28001</v>
          </cell>
          <cell r="D1473" t="str">
            <v>SA1&amp;3</v>
          </cell>
          <cell r="E1473" t="str">
            <v>B</v>
          </cell>
          <cell r="F1473" t="str">
            <v>PSYCHIATRIC SOCIAL WORKER II</v>
          </cell>
          <cell r="G1473" t="str">
            <v>9035A</v>
          </cell>
          <cell r="H1473">
            <v>5425.82</v>
          </cell>
          <cell r="I1473">
            <v>1</v>
          </cell>
          <cell r="J1473">
            <v>12</v>
          </cell>
          <cell r="K1473">
            <v>1</v>
          </cell>
          <cell r="L1473">
            <v>65109.84</v>
          </cell>
        </row>
        <row r="1474">
          <cell r="A1474">
            <v>109834</v>
          </cell>
          <cell r="B1474">
            <v>28001</v>
          </cell>
          <cell r="C1474">
            <v>28001</v>
          </cell>
          <cell r="D1474" t="str">
            <v>SA1&amp;3</v>
          </cell>
          <cell r="E1474" t="str">
            <v>B</v>
          </cell>
          <cell r="F1474" t="str">
            <v>PSYCHIATRIC SOCIAL WORKER II</v>
          </cell>
          <cell r="G1474" t="str">
            <v>9035A</v>
          </cell>
          <cell r="H1474">
            <v>5425.82</v>
          </cell>
          <cell r="I1474">
            <v>1</v>
          </cell>
          <cell r="J1474">
            <v>12</v>
          </cell>
          <cell r="K1474">
            <v>1</v>
          </cell>
          <cell r="L1474">
            <v>65109.84</v>
          </cell>
        </row>
        <row r="1475">
          <cell r="A1475">
            <v>109835</v>
          </cell>
          <cell r="B1475">
            <v>28001</v>
          </cell>
          <cell r="C1475">
            <v>28001</v>
          </cell>
          <cell r="D1475" t="str">
            <v>SA1&amp;3</v>
          </cell>
          <cell r="E1475" t="str">
            <v>B</v>
          </cell>
          <cell r="F1475" t="str">
            <v>PSYCHIATRIC SOCIAL WORKER II</v>
          </cell>
          <cell r="G1475" t="str">
            <v>9035A</v>
          </cell>
          <cell r="H1475">
            <v>5425.82</v>
          </cell>
          <cell r="I1475">
            <v>1</v>
          </cell>
          <cell r="J1475">
            <v>12</v>
          </cell>
          <cell r="K1475">
            <v>1</v>
          </cell>
          <cell r="L1475">
            <v>65109.84</v>
          </cell>
        </row>
        <row r="1476">
          <cell r="A1476">
            <v>109836</v>
          </cell>
          <cell r="B1476">
            <v>28001</v>
          </cell>
          <cell r="C1476">
            <v>28001</v>
          </cell>
          <cell r="D1476" t="str">
            <v>SA1&amp;3</v>
          </cell>
          <cell r="E1476" t="str">
            <v>B</v>
          </cell>
          <cell r="F1476" t="str">
            <v>PSYCHIATRIC SOCIAL WORKER II</v>
          </cell>
          <cell r="G1476" t="str">
            <v>9035A</v>
          </cell>
          <cell r="H1476">
            <v>5425.82</v>
          </cell>
          <cell r="I1476">
            <v>1</v>
          </cell>
          <cell r="J1476">
            <v>12</v>
          </cell>
          <cell r="K1476">
            <v>1</v>
          </cell>
          <cell r="L1476">
            <v>65109.84</v>
          </cell>
        </row>
        <row r="1477">
          <cell r="A1477">
            <v>109862</v>
          </cell>
          <cell r="B1477">
            <v>28001</v>
          </cell>
          <cell r="C1477">
            <v>28001</v>
          </cell>
          <cell r="D1477" t="str">
            <v>SA1&amp;3</v>
          </cell>
          <cell r="E1477" t="str">
            <v>B</v>
          </cell>
          <cell r="F1477" t="str">
            <v xml:space="preserve">STAFF ASSISTANT II                 </v>
          </cell>
          <cell r="G1477" t="str">
            <v>0913A</v>
          </cell>
          <cell r="H1477">
            <v>4167.45</v>
          </cell>
          <cell r="I1477">
            <v>1</v>
          </cell>
          <cell r="J1477">
            <v>12</v>
          </cell>
          <cell r="K1477">
            <v>1</v>
          </cell>
          <cell r="L1477">
            <v>50009.4</v>
          </cell>
        </row>
        <row r="1478">
          <cell r="A1478">
            <v>109875</v>
          </cell>
          <cell r="B1478">
            <v>28001</v>
          </cell>
          <cell r="C1478">
            <v>28001</v>
          </cell>
          <cell r="D1478" t="str">
            <v>SA1&amp;3</v>
          </cell>
          <cell r="E1478" t="str">
            <v>B</v>
          </cell>
          <cell r="F1478" t="str">
            <v xml:space="preserve">SUPVG PSYCHIATRIC SOCIAL WORKER    </v>
          </cell>
          <cell r="G1478" t="str">
            <v>9038A</v>
          </cell>
          <cell r="H1478">
            <v>6062.45</v>
          </cell>
          <cell r="I1478">
            <v>1</v>
          </cell>
          <cell r="J1478">
            <v>12</v>
          </cell>
          <cell r="K1478">
            <v>1</v>
          </cell>
          <cell r="L1478">
            <v>72749.399999999994</v>
          </cell>
        </row>
        <row r="1479">
          <cell r="A1479">
            <v>109918</v>
          </cell>
          <cell r="B1479">
            <v>27592</v>
          </cell>
          <cell r="C1479">
            <v>28001</v>
          </cell>
          <cell r="D1479" t="str">
            <v>SA1&amp;3</v>
          </cell>
          <cell r="E1479" t="str">
            <v>B</v>
          </cell>
          <cell r="F1479" t="str">
            <v xml:space="preserve">SUPVG PSYCHIATRIC SOCIAL WORKER    </v>
          </cell>
          <cell r="G1479" t="str">
            <v>9038A</v>
          </cell>
          <cell r="H1479">
            <v>6062.45</v>
          </cell>
          <cell r="I1479">
            <v>1</v>
          </cell>
          <cell r="J1479">
            <v>12</v>
          </cell>
          <cell r="K1479">
            <v>1</v>
          </cell>
          <cell r="L1479">
            <v>72749.399999999994</v>
          </cell>
        </row>
        <row r="1480">
          <cell r="A1480">
            <v>109877</v>
          </cell>
          <cell r="B1480">
            <v>28001</v>
          </cell>
          <cell r="C1480">
            <v>28001</v>
          </cell>
          <cell r="D1480" t="str">
            <v>SA1&amp;3</v>
          </cell>
          <cell r="E1480" t="str">
            <v>B</v>
          </cell>
          <cell r="F1480" t="str">
            <v>TRAINING COORDINATOR, MH</v>
          </cell>
          <cell r="G1480" t="str">
            <v>1865A</v>
          </cell>
          <cell r="H1480">
            <v>6062.45</v>
          </cell>
          <cell r="I1480">
            <v>1</v>
          </cell>
          <cell r="J1480">
            <v>12</v>
          </cell>
          <cell r="K1480">
            <v>1</v>
          </cell>
          <cell r="L1480">
            <v>72749.399999999994</v>
          </cell>
        </row>
        <row r="1481">
          <cell r="A1481">
            <v>110036</v>
          </cell>
          <cell r="B1481">
            <v>32011</v>
          </cell>
          <cell r="D1481" t="str">
            <v>SA1&amp;3</v>
          </cell>
          <cell r="E1481" t="str">
            <v>M</v>
          </cell>
          <cell r="F1481" t="str">
            <v xml:space="preserve">MENTAL HEALTH ANALYST I            </v>
          </cell>
          <cell r="G1481" t="str">
            <v>4727A</v>
          </cell>
          <cell r="H1481">
            <v>5602.09</v>
          </cell>
          <cell r="I1481">
            <v>1</v>
          </cell>
          <cell r="J1481">
            <v>12</v>
          </cell>
          <cell r="K1481">
            <v>1</v>
          </cell>
          <cell r="L1481">
            <v>67225.08</v>
          </cell>
        </row>
        <row r="1482">
          <cell r="A1482">
            <v>110039</v>
          </cell>
          <cell r="B1482">
            <v>32011</v>
          </cell>
          <cell r="D1482" t="str">
            <v>SA1&amp;3</v>
          </cell>
          <cell r="E1482" t="str">
            <v>M</v>
          </cell>
          <cell r="F1482" t="str">
            <v xml:space="preserve">MENTAL HEALTH ANALYST I            </v>
          </cell>
          <cell r="G1482" t="str">
            <v>4727A</v>
          </cell>
          <cell r="H1482">
            <v>5602.09</v>
          </cell>
          <cell r="I1482">
            <v>1</v>
          </cell>
          <cell r="J1482">
            <v>12</v>
          </cell>
          <cell r="K1482">
            <v>1</v>
          </cell>
          <cell r="L1482">
            <v>67225.08</v>
          </cell>
        </row>
        <row r="1483">
          <cell r="A1483">
            <v>110040</v>
          </cell>
          <cell r="B1483">
            <v>32011</v>
          </cell>
          <cell r="D1483" t="str">
            <v>SA1&amp;3</v>
          </cell>
          <cell r="E1483" t="str">
            <v>M</v>
          </cell>
          <cell r="F1483" t="str">
            <v xml:space="preserve">MENTAL HEALTH ANALYST II           </v>
          </cell>
          <cell r="G1483" t="str">
            <v>4729A</v>
          </cell>
          <cell r="H1483">
            <v>6244.55</v>
          </cell>
          <cell r="I1483">
            <v>1</v>
          </cell>
          <cell r="J1483">
            <v>12</v>
          </cell>
          <cell r="K1483">
            <v>1</v>
          </cell>
          <cell r="L1483">
            <v>74934.600000000006</v>
          </cell>
        </row>
        <row r="1484">
          <cell r="A1484">
            <v>110035</v>
          </cell>
          <cell r="B1484">
            <v>32011</v>
          </cell>
          <cell r="D1484" t="str">
            <v>SA1&amp;3</v>
          </cell>
          <cell r="E1484" t="str">
            <v>M</v>
          </cell>
          <cell r="F1484" t="str">
            <v>MNTL HLTH CLINICAL PROGRAM HEAD</v>
          </cell>
          <cell r="G1484" t="str">
            <v>4726A</v>
          </cell>
          <cell r="H1484">
            <v>8709.73</v>
          </cell>
          <cell r="I1484">
            <v>1</v>
          </cell>
          <cell r="J1484">
            <v>12</v>
          </cell>
          <cell r="K1484">
            <v>1</v>
          </cell>
          <cell r="L1484">
            <v>104516.76</v>
          </cell>
        </row>
        <row r="1485">
          <cell r="A1485">
            <v>110041</v>
          </cell>
          <cell r="B1485">
            <v>32011</v>
          </cell>
          <cell r="D1485" t="str">
            <v>SA1&amp;3</v>
          </cell>
          <cell r="E1485" t="str">
            <v>M</v>
          </cell>
          <cell r="F1485" t="str">
            <v>PSYCHIATRIC SOCIAL WORKER II</v>
          </cell>
          <cell r="G1485" t="str">
            <v>9035A</v>
          </cell>
          <cell r="H1485">
            <v>5425.82</v>
          </cell>
          <cell r="I1485">
            <v>1</v>
          </cell>
          <cell r="J1485">
            <v>12</v>
          </cell>
          <cell r="K1485">
            <v>1</v>
          </cell>
          <cell r="L1485">
            <v>65109.84</v>
          </cell>
        </row>
        <row r="1486">
          <cell r="A1486">
            <v>110042</v>
          </cell>
          <cell r="B1486">
            <v>32011</v>
          </cell>
          <cell r="D1486" t="str">
            <v>SA1&amp;3</v>
          </cell>
          <cell r="E1486" t="str">
            <v>M</v>
          </cell>
          <cell r="F1486" t="str">
            <v>PSYCHIATRIC SOCIAL WORKER II</v>
          </cell>
          <cell r="G1486" t="str">
            <v>9035A</v>
          </cell>
          <cell r="H1486">
            <v>5425.82</v>
          </cell>
          <cell r="I1486">
            <v>1</v>
          </cell>
          <cell r="J1486">
            <v>12</v>
          </cell>
          <cell r="K1486">
            <v>1</v>
          </cell>
          <cell r="L1486">
            <v>65109.84</v>
          </cell>
        </row>
        <row r="1487">
          <cell r="A1487">
            <v>110037</v>
          </cell>
          <cell r="B1487">
            <v>32011</v>
          </cell>
          <cell r="D1487" t="str">
            <v>SA1&amp;3</v>
          </cell>
          <cell r="E1487" t="str">
            <v>M</v>
          </cell>
          <cell r="F1487" t="str">
            <v xml:space="preserve">SECRETARY III                      </v>
          </cell>
          <cell r="G1487" t="str">
            <v>2096A</v>
          </cell>
          <cell r="H1487">
            <v>3387</v>
          </cell>
          <cell r="I1487">
            <v>1</v>
          </cell>
          <cell r="J1487">
            <v>12</v>
          </cell>
          <cell r="K1487">
            <v>1</v>
          </cell>
          <cell r="L1487">
            <v>40644</v>
          </cell>
        </row>
        <row r="1488">
          <cell r="A1488">
            <v>110043</v>
          </cell>
          <cell r="B1488">
            <v>32011</v>
          </cell>
          <cell r="D1488" t="str">
            <v>SA1&amp;3</v>
          </cell>
          <cell r="E1488" t="str">
            <v>M</v>
          </cell>
          <cell r="F1488" t="str">
            <v xml:space="preserve">SENIOR TYPIST-CLERK                </v>
          </cell>
          <cell r="G1488" t="str">
            <v>2216A</v>
          </cell>
          <cell r="H1488">
            <v>3013.55</v>
          </cell>
          <cell r="I1488">
            <v>1</v>
          </cell>
          <cell r="J1488">
            <v>12</v>
          </cell>
          <cell r="K1488">
            <v>1</v>
          </cell>
          <cell r="L1488">
            <v>36162.6</v>
          </cell>
        </row>
        <row r="1489">
          <cell r="A1489">
            <v>110038</v>
          </cell>
          <cell r="B1489">
            <v>32011</v>
          </cell>
          <cell r="D1489" t="str">
            <v>SA1&amp;3</v>
          </cell>
          <cell r="E1489" t="str">
            <v>M</v>
          </cell>
          <cell r="F1489" t="str">
            <v xml:space="preserve">STAFF ASSISTANT I                  </v>
          </cell>
          <cell r="G1489" t="str">
            <v>0907A</v>
          </cell>
          <cell r="H1489">
            <v>3453.18</v>
          </cell>
          <cell r="I1489">
            <v>1</v>
          </cell>
          <cell r="J1489">
            <v>12</v>
          </cell>
          <cell r="K1489">
            <v>1</v>
          </cell>
          <cell r="L1489">
            <v>41438.160000000003</v>
          </cell>
        </row>
        <row r="1490">
          <cell r="A1490">
            <v>103853</v>
          </cell>
          <cell r="B1490">
            <v>32011</v>
          </cell>
          <cell r="C1490">
            <v>18588</v>
          </cell>
          <cell r="D1490" t="str">
            <v>SA1&amp;3</v>
          </cell>
          <cell r="E1490" t="str">
            <v>M</v>
          </cell>
          <cell r="F1490" t="str">
            <v>CLINICAL PSYCHOLOGIST II</v>
          </cell>
          <cell r="G1490" t="str">
            <v>8697A</v>
          </cell>
          <cell r="H1490">
            <v>6993.82</v>
          </cell>
          <cell r="I1490">
            <v>1</v>
          </cell>
          <cell r="J1490">
            <v>6</v>
          </cell>
          <cell r="K1490">
            <v>0.5</v>
          </cell>
          <cell r="L1490">
            <v>41962.76</v>
          </cell>
        </row>
        <row r="1491">
          <cell r="A1491">
            <v>105075</v>
          </cell>
          <cell r="B1491">
            <v>32011</v>
          </cell>
          <cell r="C1491">
            <v>20488</v>
          </cell>
          <cell r="D1491" t="str">
            <v>SA1&amp;3</v>
          </cell>
          <cell r="E1491" t="str">
            <v>M</v>
          </cell>
          <cell r="F1491" t="str">
            <v>CLINICAL PSYCHOLOGIST II</v>
          </cell>
          <cell r="G1491" t="str">
            <v>8697A</v>
          </cell>
          <cell r="H1491">
            <v>6993.82</v>
          </cell>
          <cell r="I1491">
            <v>1</v>
          </cell>
          <cell r="J1491">
            <v>12</v>
          </cell>
          <cell r="K1491">
            <v>1</v>
          </cell>
          <cell r="L1491">
            <v>83925.52</v>
          </cell>
        </row>
        <row r="1492">
          <cell r="A1492">
            <v>101856</v>
          </cell>
          <cell r="B1492">
            <v>32011</v>
          </cell>
          <cell r="C1492">
            <v>18588</v>
          </cell>
          <cell r="D1492" t="str">
            <v>SA1&amp;3</v>
          </cell>
          <cell r="E1492" t="str">
            <v>M</v>
          </cell>
          <cell r="F1492" t="str">
            <v xml:space="preserve">CLINICAL PSYCHOLOGIST II           </v>
          </cell>
          <cell r="G1492" t="str">
            <v>8693J</v>
          </cell>
          <cell r="H1492">
            <v>162.4</v>
          </cell>
          <cell r="I1492">
            <v>1</v>
          </cell>
          <cell r="J1492">
            <v>261</v>
          </cell>
          <cell r="K1492">
            <v>0.5</v>
          </cell>
          <cell r="L1492">
            <v>42386.559999999998</v>
          </cell>
        </row>
        <row r="1493">
          <cell r="A1493">
            <v>109704</v>
          </cell>
          <cell r="B1493">
            <v>32011</v>
          </cell>
          <cell r="C1493">
            <v>20488</v>
          </cell>
          <cell r="D1493" t="str">
            <v>SA1&amp;3</v>
          </cell>
          <cell r="E1493" t="str">
            <v>M</v>
          </cell>
          <cell r="F1493" t="str">
            <v>INTERMEDIATE TYPIST-CLERK</v>
          </cell>
          <cell r="G1493" t="str">
            <v>2214A</v>
          </cell>
          <cell r="H1493">
            <v>2675.27</v>
          </cell>
          <cell r="I1493">
            <v>1</v>
          </cell>
          <cell r="J1493">
            <v>12</v>
          </cell>
          <cell r="K1493">
            <v>1</v>
          </cell>
          <cell r="L1493">
            <v>32103.24</v>
          </cell>
        </row>
        <row r="1494">
          <cell r="A1494">
            <v>104911</v>
          </cell>
          <cell r="B1494">
            <v>32011</v>
          </cell>
          <cell r="C1494">
            <v>18588</v>
          </cell>
          <cell r="D1494" t="str">
            <v>SA1&amp;3</v>
          </cell>
          <cell r="E1494" t="str">
            <v>M</v>
          </cell>
          <cell r="F1494" t="str">
            <v>MEDICAL CASE WORKER II</v>
          </cell>
          <cell r="G1494" t="str">
            <v>9002A</v>
          </cell>
          <cell r="H1494">
            <v>3938.82</v>
          </cell>
          <cell r="I1494">
            <v>1</v>
          </cell>
          <cell r="J1494">
            <v>12</v>
          </cell>
          <cell r="K1494">
            <v>1</v>
          </cell>
          <cell r="L1494">
            <v>47265.68</v>
          </cell>
        </row>
        <row r="1495">
          <cell r="A1495">
            <v>103292</v>
          </cell>
          <cell r="B1495">
            <v>32011</v>
          </cell>
          <cell r="C1495">
            <v>21561</v>
          </cell>
          <cell r="D1495" t="str">
            <v>SA1&amp;3</v>
          </cell>
          <cell r="E1495" t="str">
            <v>M</v>
          </cell>
          <cell r="F1495" t="str">
            <v>MENTAL HEALTH PSYCHIATRIST</v>
          </cell>
          <cell r="G1495" t="str">
            <v>4735A</v>
          </cell>
          <cell r="H1495">
            <v>12844</v>
          </cell>
          <cell r="I1495">
            <v>1</v>
          </cell>
          <cell r="J1495">
            <v>9</v>
          </cell>
          <cell r="K1495">
            <v>0.75</v>
          </cell>
          <cell r="L1495">
            <v>115596</v>
          </cell>
        </row>
        <row r="1496">
          <cell r="A1496">
            <v>104469</v>
          </cell>
          <cell r="B1496">
            <v>32011</v>
          </cell>
          <cell r="C1496">
            <v>20488</v>
          </cell>
          <cell r="D1496" t="str">
            <v>SA1&amp;3</v>
          </cell>
          <cell r="E1496" t="str">
            <v>M</v>
          </cell>
          <cell r="F1496" t="str">
            <v>MENTAL HEALTH PSYCHIATRIST</v>
          </cell>
          <cell r="G1496" t="str">
            <v>4735A</v>
          </cell>
          <cell r="H1496">
            <v>12844</v>
          </cell>
          <cell r="I1496">
            <v>1</v>
          </cell>
          <cell r="J1496">
            <v>12</v>
          </cell>
          <cell r="K1496">
            <v>1</v>
          </cell>
          <cell r="L1496">
            <v>154128</v>
          </cell>
        </row>
        <row r="1497">
          <cell r="A1497">
            <v>106274</v>
          </cell>
          <cell r="B1497">
            <v>32011</v>
          </cell>
          <cell r="C1497">
            <v>18588</v>
          </cell>
          <cell r="D1497" t="str">
            <v>SA1&amp;3</v>
          </cell>
          <cell r="E1497" t="str">
            <v>M</v>
          </cell>
          <cell r="F1497" t="str">
            <v>MENTAL HEALTH PSYCHIATRIST</v>
          </cell>
          <cell r="G1497" t="str">
            <v>4735A</v>
          </cell>
          <cell r="H1497">
            <v>12844</v>
          </cell>
          <cell r="I1497">
            <v>1</v>
          </cell>
          <cell r="J1497">
            <v>12</v>
          </cell>
          <cell r="K1497">
            <v>1</v>
          </cell>
          <cell r="L1497">
            <v>154128</v>
          </cell>
        </row>
        <row r="1498">
          <cell r="A1498">
            <v>103754</v>
          </cell>
          <cell r="B1498">
            <v>32011</v>
          </cell>
          <cell r="C1498">
            <v>21561</v>
          </cell>
          <cell r="D1498" t="str">
            <v>SA1&amp;3</v>
          </cell>
          <cell r="E1498" t="str">
            <v>M</v>
          </cell>
          <cell r="F1498" t="str">
            <v>MNTL HLTH CLINICAL PROGRAM HEAD</v>
          </cell>
          <cell r="G1498" t="str">
            <v>4726A</v>
          </cell>
          <cell r="H1498">
            <v>8709.73</v>
          </cell>
          <cell r="I1498">
            <v>1</v>
          </cell>
          <cell r="J1498">
            <v>12</v>
          </cell>
          <cell r="K1498">
            <v>1</v>
          </cell>
          <cell r="L1498">
            <v>104516.76</v>
          </cell>
        </row>
        <row r="1499">
          <cell r="A1499">
            <v>100978</v>
          </cell>
          <cell r="B1499">
            <v>32011</v>
          </cell>
          <cell r="C1499">
            <v>20488</v>
          </cell>
          <cell r="D1499" t="str">
            <v>SA1&amp;3</v>
          </cell>
          <cell r="E1499" t="str">
            <v>M</v>
          </cell>
          <cell r="F1499" t="str">
            <v>PSYCHIATRIC SOCIAL WORKER II</v>
          </cell>
          <cell r="G1499" t="str">
            <v>9035A</v>
          </cell>
          <cell r="H1499">
            <v>5425.82</v>
          </cell>
          <cell r="I1499">
            <v>1</v>
          </cell>
          <cell r="J1499">
            <v>12</v>
          </cell>
          <cell r="K1499">
            <v>1</v>
          </cell>
          <cell r="L1499">
            <v>65109.84</v>
          </cell>
        </row>
        <row r="1500">
          <cell r="A1500">
            <v>103861</v>
          </cell>
          <cell r="B1500">
            <v>32011</v>
          </cell>
          <cell r="C1500">
            <v>18588</v>
          </cell>
          <cell r="D1500" t="str">
            <v>SA1&amp;3</v>
          </cell>
          <cell r="E1500" t="str">
            <v>M</v>
          </cell>
          <cell r="F1500" t="str">
            <v>PSYCHIATRIC SOCIAL WORKER II</v>
          </cell>
          <cell r="G1500" t="str">
            <v>9035A</v>
          </cell>
          <cell r="H1500">
            <v>5425.82</v>
          </cell>
          <cell r="I1500">
            <v>1</v>
          </cell>
          <cell r="J1500">
            <v>12</v>
          </cell>
          <cell r="K1500">
            <v>1</v>
          </cell>
          <cell r="L1500">
            <v>65109.84</v>
          </cell>
        </row>
        <row r="1501">
          <cell r="A1501">
            <v>104133</v>
          </cell>
          <cell r="B1501">
            <v>32011</v>
          </cell>
          <cell r="C1501">
            <v>18588</v>
          </cell>
          <cell r="D1501" t="str">
            <v>SA1&amp;3</v>
          </cell>
          <cell r="E1501" t="str">
            <v>M</v>
          </cell>
          <cell r="F1501" t="str">
            <v>PSYCHIATRIC SOCIAL WORKER II</v>
          </cell>
          <cell r="G1501" t="str">
            <v>9035A</v>
          </cell>
          <cell r="H1501">
            <v>5425.82</v>
          </cell>
          <cell r="I1501">
            <v>1</v>
          </cell>
          <cell r="J1501">
            <v>12</v>
          </cell>
          <cell r="K1501">
            <v>1</v>
          </cell>
          <cell r="L1501">
            <v>65109.84</v>
          </cell>
        </row>
        <row r="1502">
          <cell r="A1502">
            <v>104420</v>
          </cell>
          <cell r="B1502">
            <v>32011</v>
          </cell>
          <cell r="C1502">
            <v>21561</v>
          </cell>
          <cell r="D1502" t="str">
            <v>SA1&amp;3</v>
          </cell>
          <cell r="E1502" t="str">
            <v>M</v>
          </cell>
          <cell r="F1502" t="str">
            <v>PSYCHIATRIC TECHNICIAN II</v>
          </cell>
          <cell r="G1502" t="str">
            <v>8162A</v>
          </cell>
          <cell r="H1502">
            <v>3420.09</v>
          </cell>
          <cell r="I1502">
            <v>1</v>
          </cell>
          <cell r="J1502">
            <v>12</v>
          </cell>
          <cell r="K1502">
            <v>1</v>
          </cell>
          <cell r="L1502">
            <v>41041.08</v>
          </cell>
        </row>
        <row r="1503">
          <cell r="A1503">
            <v>106277</v>
          </cell>
          <cell r="B1503">
            <v>32011</v>
          </cell>
          <cell r="C1503">
            <v>21561</v>
          </cell>
          <cell r="D1503" t="str">
            <v>SA1&amp;3</v>
          </cell>
          <cell r="E1503" t="str">
            <v>M</v>
          </cell>
          <cell r="F1503" t="str">
            <v xml:space="preserve">RECREATION THERAPIST I             </v>
          </cell>
          <cell r="G1503" t="str">
            <v>5871A</v>
          </cell>
          <cell r="H1503">
            <v>4187.82</v>
          </cell>
          <cell r="I1503">
            <v>1</v>
          </cell>
          <cell r="J1503">
            <v>12</v>
          </cell>
          <cell r="K1503">
            <v>1</v>
          </cell>
          <cell r="L1503">
            <v>50253.84</v>
          </cell>
        </row>
        <row r="1504">
          <cell r="A1504">
            <v>102225</v>
          </cell>
          <cell r="B1504">
            <v>32011</v>
          </cell>
          <cell r="C1504">
            <v>20488</v>
          </cell>
          <cell r="D1504" t="str">
            <v>SA1&amp;3</v>
          </cell>
          <cell r="E1504" t="str">
            <v>M</v>
          </cell>
          <cell r="F1504" t="str">
            <v xml:space="preserve">SUPVG PSYCHIATRIC SOCIAL WORKER    </v>
          </cell>
          <cell r="G1504" t="str">
            <v>9038A</v>
          </cell>
          <cell r="H1504">
            <v>6062.45</v>
          </cell>
          <cell r="I1504">
            <v>1</v>
          </cell>
          <cell r="J1504">
            <v>12</v>
          </cell>
          <cell r="K1504">
            <v>1</v>
          </cell>
          <cell r="L1504">
            <v>72749.399999999994</v>
          </cell>
        </row>
        <row r="1505">
          <cell r="A1505">
            <v>104763</v>
          </cell>
          <cell r="B1505">
            <v>32011</v>
          </cell>
          <cell r="C1505">
            <v>18588</v>
          </cell>
          <cell r="D1505" t="str">
            <v>SA1&amp;3</v>
          </cell>
          <cell r="E1505" t="str">
            <v>M</v>
          </cell>
          <cell r="F1505" t="str">
            <v xml:space="preserve">SUPVG PSYCHIATRIC SOCIAL WORKER    </v>
          </cell>
          <cell r="G1505" t="str">
            <v>9038A</v>
          </cell>
          <cell r="H1505">
            <v>6062.45</v>
          </cell>
          <cell r="I1505">
            <v>1</v>
          </cell>
          <cell r="J1505">
            <v>12</v>
          </cell>
          <cell r="K1505">
            <v>1</v>
          </cell>
          <cell r="L1505">
            <v>72749.399999999994</v>
          </cell>
        </row>
        <row r="1506">
          <cell r="A1506">
            <v>102229</v>
          </cell>
          <cell r="B1506">
            <v>20597</v>
          </cell>
          <cell r="C1506">
            <v>20590</v>
          </cell>
          <cell r="D1506" t="str">
            <v>adult</v>
          </cell>
          <cell r="E1506" t="str">
            <v>B</v>
          </cell>
          <cell r="F1506" t="str">
            <v xml:space="preserve">MENTAL HEALTH ANALYST I            </v>
          </cell>
          <cell r="G1506" t="str">
            <v>4727A</v>
          </cell>
          <cell r="H1506">
            <v>5602.09</v>
          </cell>
          <cell r="I1506">
            <v>1</v>
          </cell>
          <cell r="J1506">
            <v>12</v>
          </cell>
          <cell r="K1506">
            <v>1</v>
          </cell>
          <cell r="L1506">
            <v>67225.16</v>
          </cell>
        </row>
        <row r="1507">
          <cell r="A1507">
            <v>100534</v>
          </cell>
          <cell r="B1507">
            <v>20590</v>
          </cell>
          <cell r="C1507">
            <v>20590</v>
          </cell>
          <cell r="D1507" t="str">
            <v>adult</v>
          </cell>
          <cell r="E1507" t="str">
            <v>B</v>
          </cell>
          <cell r="F1507" t="str">
            <v xml:space="preserve">MENTAL HEALTH ANALYST II           </v>
          </cell>
          <cell r="G1507" t="str">
            <v>4729A</v>
          </cell>
          <cell r="H1507">
            <v>6244.55</v>
          </cell>
          <cell r="I1507">
            <v>1</v>
          </cell>
          <cell r="J1507">
            <v>12</v>
          </cell>
          <cell r="K1507">
            <v>1</v>
          </cell>
          <cell r="L1507">
            <v>74934.36</v>
          </cell>
        </row>
        <row r="1508">
          <cell r="A1508">
            <v>104009</v>
          </cell>
          <cell r="B1508">
            <v>18676</v>
          </cell>
          <cell r="C1508">
            <v>20590</v>
          </cell>
          <cell r="D1508" t="str">
            <v>adult</v>
          </cell>
          <cell r="E1508" t="str">
            <v>B</v>
          </cell>
          <cell r="F1508" t="str">
            <v xml:space="preserve">MENTAL HEALTH ANALYST II           </v>
          </cell>
          <cell r="G1508" t="str">
            <v>4729A</v>
          </cell>
          <cell r="H1508">
            <v>6244.55</v>
          </cell>
          <cell r="I1508">
            <v>1</v>
          </cell>
          <cell r="J1508">
            <v>12</v>
          </cell>
          <cell r="K1508">
            <v>1</v>
          </cell>
          <cell r="L1508">
            <v>74934.36</v>
          </cell>
        </row>
        <row r="1509">
          <cell r="A1509">
            <v>100832</v>
          </cell>
          <cell r="B1509">
            <v>20590</v>
          </cell>
          <cell r="C1509">
            <v>20590</v>
          </cell>
          <cell r="D1509" t="str">
            <v>adult</v>
          </cell>
          <cell r="E1509" t="str">
            <v>B</v>
          </cell>
          <cell r="F1509" t="str">
            <v>MENTAL HEALTH SERVICES COORD I</v>
          </cell>
          <cell r="G1509" t="str">
            <v>8148A</v>
          </cell>
          <cell r="H1509">
            <v>5126.91</v>
          </cell>
          <cell r="I1509">
            <v>1</v>
          </cell>
          <cell r="J1509">
            <v>12</v>
          </cell>
          <cell r="K1509">
            <v>1</v>
          </cell>
          <cell r="L1509">
            <v>61522.92</v>
          </cell>
        </row>
        <row r="1510">
          <cell r="A1510">
            <v>100833</v>
          </cell>
          <cell r="B1510">
            <v>20590</v>
          </cell>
          <cell r="C1510">
            <v>20590</v>
          </cell>
          <cell r="D1510" t="str">
            <v>adult</v>
          </cell>
          <cell r="E1510" t="str">
            <v>B</v>
          </cell>
          <cell r="F1510" t="str">
            <v>MENTAL HEALTH SERVICES COORD I</v>
          </cell>
          <cell r="G1510" t="str">
            <v>8148A</v>
          </cell>
          <cell r="H1510">
            <v>5126.91</v>
          </cell>
          <cell r="I1510">
            <v>1</v>
          </cell>
          <cell r="J1510">
            <v>12</v>
          </cell>
          <cell r="K1510">
            <v>1</v>
          </cell>
          <cell r="L1510">
            <v>61522.92</v>
          </cell>
        </row>
        <row r="1511">
          <cell r="A1511">
            <v>104928</v>
          </cell>
          <cell r="B1511">
            <v>18705</v>
          </cell>
          <cell r="C1511">
            <v>20590</v>
          </cell>
          <cell r="D1511" t="str">
            <v>adult</v>
          </cell>
          <cell r="E1511" t="str">
            <v>B</v>
          </cell>
          <cell r="F1511" t="str">
            <v>PHARMACIST*</v>
          </cell>
          <cell r="G1511" t="str">
            <v>5512A</v>
          </cell>
          <cell r="H1511">
            <v>7834</v>
          </cell>
          <cell r="I1511">
            <v>1</v>
          </cell>
          <cell r="J1511">
            <v>12</v>
          </cell>
          <cell r="K1511">
            <v>1</v>
          </cell>
          <cell r="L1511">
            <v>94008.08</v>
          </cell>
        </row>
        <row r="1512">
          <cell r="A1512">
            <v>104960</v>
          </cell>
          <cell r="B1512">
            <v>20525</v>
          </cell>
          <cell r="C1512">
            <v>20590</v>
          </cell>
          <cell r="D1512" t="str">
            <v>adult</v>
          </cell>
          <cell r="E1512" t="str">
            <v>B</v>
          </cell>
          <cell r="F1512" t="str">
            <v>PROJECT ADMINISTRATOR, ICSC</v>
          </cell>
          <cell r="G1512" t="str">
            <v>1083A</v>
          </cell>
          <cell r="H1512">
            <v>8506.92</v>
          </cell>
          <cell r="I1512">
            <v>1</v>
          </cell>
          <cell r="J1512">
            <v>12</v>
          </cell>
          <cell r="K1512">
            <v>1</v>
          </cell>
          <cell r="L1512">
            <v>102083</v>
          </cell>
        </row>
        <row r="1513">
          <cell r="A1513">
            <v>102335</v>
          </cell>
          <cell r="B1513">
            <v>20683</v>
          </cell>
          <cell r="C1513">
            <v>20590</v>
          </cell>
          <cell r="D1513" t="str">
            <v>adult</v>
          </cell>
          <cell r="E1513" t="str">
            <v>B</v>
          </cell>
          <cell r="F1513" t="str">
            <v xml:space="preserve">SENIOR SECRETARY III               </v>
          </cell>
          <cell r="G1513" t="str">
            <v>2102A</v>
          </cell>
          <cell r="H1513">
            <v>4106.3599999999997</v>
          </cell>
          <cell r="I1513">
            <v>1</v>
          </cell>
          <cell r="J1513">
            <v>12</v>
          </cell>
          <cell r="K1513">
            <v>1</v>
          </cell>
          <cell r="L1513">
            <v>49276.56</v>
          </cell>
        </row>
        <row r="1514">
          <cell r="A1514">
            <v>103618</v>
          </cell>
          <cell r="B1514">
            <v>20590</v>
          </cell>
          <cell r="C1514">
            <v>20590</v>
          </cell>
          <cell r="D1514" t="str">
            <v>adult</v>
          </cell>
          <cell r="E1514" t="str">
            <v>B</v>
          </cell>
          <cell r="F1514" t="str">
            <v xml:space="preserve">SENIOR TYPIST-CLERK                </v>
          </cell>
          <cell r="G1514" t="str">
            <v>2216A</v>
          </cell>
          <cell r="H1514">
            <v>3013.55</v>
          </cell>
          <cell r="I1514">
            <v>1</v>
          </cell>
          <cell r="J1514">
            <v>12</v>
          </cell>
          <cell r="K1514">
            <v>1</v>
          </cell>
          <cell r="L1514">
            <v>36162.6</v>
          </cell>
        </row>
        <row r="1515">
          <cell r="A1515">
            <v>106061</v>
          </cell>
          <cell r="B1515">
            <v>21557</v>
          </cell>
          <cell r="C1515">
            <v>20590</v>
          </cell>
          <cell r="D1515" t="str">
            <v>adult</v>
          </cell>
          <cell r="E1515" t="str">
            <v>B</v>
          </cell>
          <cell r="F1515" t="str">
            <v xml:space="preserve">STAFF ASSISTANT I                  </v>
          </cell>
          <cell r="G1515" t="str">
            <v>0907A</v>
          </cell>
          <cell r="H1515">
            <v>3453.18</v>
          </cell>
          <cell r="I1515">
            <v>1</v>
          </cell>
          <cell r="J1515">
            <v>12</v>
          </cell>
          <cell r="K1515">
            <v>1</v>
          </cell>
          <cell r="L1515">
            <v>41438.480000000003</v>
          </cell>
        </row>
        <row r="1516">
          <cell r="A1516">
            <v>102127</v>
          </cell>
          <cell r="B1516">
            <v>20590</v>
          </cell>
          <cell r="C1516">
            <v>20590</v>
          </cell>
          <cell r="D1516" t="str">
            <v>adult</v>
          </cell>
          <cell r="E1516" t="str">
            <v>B</v>
          </cell>
          <cell r="F1516" t="str">
            <v xml:space="preserve">STUDENT PROFESSIONAL WORKER        </v>
          </cell>
          <cell r="G1516" t="str">
            <v>8243F</v>
          </cell>
          <cell r="H1516">
            <v>10.3</v>
          </cell>
          <cell r="I1516">
            <v>1</v>
          </cell>
          <cell r="J1516">
            <v>706</v>
          </cell>
          <cell r="K1516">
            <v>0</v>
          </cell>
          <cell r="L1516">
            <v>7271.5</v>
          </cell>
        </row>
        <row r="1517">
          <cell r="A1517">
            <v>102166</v>
          </cell>
          <cell r="B1517">
            <v>20564</v>
          </cell>
          <cell r="C1517">
            <v>20564</v>
          </cell>
          <cell r="D1517" t="str">
            <v>adult</v>
          </cell>
          <cell r="E1517" t="str">
            <v>B</v>
          </cell>
          <cell r="F1517" t="str">
            <v>ASST BEHAVIORAL SCIENCES CONSULTANT</v>
          </cell>
          <cell r="G1517" t="str">
            <v>8705J</v>
          </cell>
          <cell r="H1517">
            <v>85.79</v>
          </cell>
          <cell r="I1517">
            <v>1</v>
          </cell>
          <cell r="J1517">
            <v>216</v>
          </cell>
          <cell r="K1517">
            <v>0.41379310344827586</v>
          </cell>
          <cell r="L1517">
            <v>18530.439999999999</v>
          </cell>
        </row>
        <row r="1518">
          <cell r="A1518">
            <v>104779</v>
          </cell>
          <cell r="B1518">
            <v>20564</v>
          </cell>
          <cell r="C1518">
            <v>20564</v>
          </cell>
          <cell r="D1518" t="str">
            <v>adult</v>
          </cell>
          <cell r="E1518" t="str">
            <v>B</v>
          </cell>
          <cell r="F1518" t="str">
            <v>ASST BEHAVIORAL SCIENCES CONSULTANT</v>
          </cell>
          <cell r="G1518" t="str">
            <v>8705J</v>
          </cell>
          <cell r="H1518">
            <v>85.79</v>
          </cell>
          <cell r="I1518">
            <v>1</v>
          </cell>
          <cell r="J1518">
            <v>334</v>
          </cell>
          <cell r="K1518">
            <v>0.63984674329501912</v>
          </cell>
          <cell r="L1518">
            <v>28654.06</v>
          </cell>
        </row>
        <row r="1519">
          <cell r="A1519">
            <v>104780</v>
          </cell>
          <cell r="B1519">
            <v>20564</v>
          </cell>
          <cell r="C1519">
            <v>20564</v>
          </cell>
          <cell r="D1519" t="str">
            <v>adult</v>
          </cell>
          <cell r="E1519" t="str">
            <v>B</v>
          </cell>
          <cell r="F1519" t="str">
            <v>ASST BEHAVIORAL SCIENCES CONSULTANT</v>
          </cell>
          <cell r="G1519" t="str">
            <v>8705J</v>
          </cell>
          <cell r="H1519">
            <v>85.79</v>
          </cell>
          <cell r="I1519">
            <v>1</v>
          </cell>
          <cell r="J1519">
            <v>334</v>
          </cell>
          <cell r="K1519">
            <v>0.63984674329501912</v>
          </cell>
          <cell r="L1519">
            <v>28654.06</v>
          </cell>
        </row>
        <row r="1520">
          <cell r="A1520">
            <v>104781</v>
          </cell>
          <cell r="B1520">
            <v>20564</v>
          </cell>
          <cell r="C1520">
            <v>20564</v>
          </cell>
          <cell r="D1520" t="str">
            <v>adult</v>
          </cell>
          <cell r="E1520" t="str">
            <v>B</v>
          </cell>
          <cell r="F1520" t="str">
            <v>ASST BEHAVIORAL SCIENCES CONSULTANT</v>
          </cell>
          <cell r="G1520" t="str">
            <v>8705J</v>
          </cell>
          <cell r="H1520">
            <v>85.79</v>
          </cell>
          <cell r="I1520">
            <v>1</v>
          </cell>
          <cell r="J1520">
            <v>334</v>
          </cell>
          <cell r="K1520">
            <v>0.63984674329501912</v>
          </cell>
          <cell r="L1520">
            <v>28654.06</v>
          </cell>
        </row>
        <row r="1521">
          <cell r="A1521">
            <v>104349</v>
          </cell>
          <cell r="B1521">
            <v>20564</v>
          </cell>
          <cell r="C1521">
            <v>20564</v>
          </cell>
          <cell r="D1521" t="str">
            <v>adult</v>
          </cell>
          <cell r="E1521" t="str">
            <v>B</v>
          </cell>
          <cell r="F1521" t="str">
            <v xml:space="preserve">BEHAVIORAL SCIENCES CONSULTANT     </v>
          </cell>
          <cell r="G1521" t="str">
            <v>8707J</v>
          </cell>
          <cell r="H1521">
            <v>127.78</v>
          </cell>
          <cell r="I1521">
            <v>1</v>
          </cell>
          <cell r="J1521">
            <v>131</v>
          </cell>
          <cell r="K1521">
            <v>0.25095785440613028</v>
          </cell>
          <cell r="L1521">
            <v>16738.72</v>
          </cell>
        </row>
        <row r="1522">
          <cell r="A1522">
            <v>100100</v>
          </cell>
          <cell r="B1522">
            <v>20564</v>
          </cell>
          <cell r="C1522">
            <v>20564</v>
          </cell>
          <cell r="D1522" t="str">
            <v>adult</v>
          </cell>
          <cell r="E1522" t="str">
            <v>B</v>
          </cell>
          <cell r="F1522" t="str">
            <v>CLINIC PHYSICIAN, M.D. (PER SESSION)</v>
          </cell>
          <cell r="G1522" t="str">
            <v>5468J</v>
          </cell>
          <cell r="H1522">
            <v>283</v>
          </cell>
          <cell r="I1522">
            <v>1</v>
          </cell>
          <cell r="J1522">
            <v>5</v>
          </cell>
          <cell r="K1522">
            <v>9.5785440613026813E-3</v>
          </cell>
          <cell r="L1522">
            <v>1415.35</v>
          </cell>
        </row>
        <row r="1523">
          <cell r="A1523">
            <v>104443</v>
          </cell>
          <cell r="B1523">
            <v>20564</v>
          </cell>
          <cell r="C1523">
            <v>20564</v>
          </cell>
          <cell r="D1523" t="str">
            <v>adult</v>
          </cell>
          <cell r="E1523" t="str">
            <v>B</v>
          </cell>
          <cell r="F1523" t="str">
            <v>CLINICAL PSYCHOLOGIST II</v>
          </cell>
          <cell r="G1523" t="str">
            <v>8697A</v>
          </cell>
          <cell r="H1523">
            <v>6993.82</v>
          </cell>
          <cell r="I1523">
            <v>1</v>
          </cell>
          <cell r="J1523">
            <v>12</v>
          </cell>
          <cell r="K1523">
            <v>1</v>
          </cell>
          <cell r="L1523">
            <v>83925.52</v>
          </cell>
        </row>
        <row r="1524">
          <cell r="A1524">
            <v>104444</v>
          </cell>
          <cell r="B1524">
            <v>20564</v>
          </cell>
          <cell r="C1524">
            <v>20564</v>
          </cell>
          <cell r="D1524" t="str">
            <v>adult</v>
          </cell>
          <cell r="E1524" t="str">
            <v>B</v>
          </cell>
          <cell r="F1524" t="str">
            <v>CLINICAL PSYCHOLOGIST II</v>
          </cell>
          <cell r="G1524" t="str">
            <v>8697A</v>
          </cell>
          <cell r="H1524">
            <v>6993.82</v>
          </cell>
          <cell r="I1524">
            <v>1</v>
          </cell>
          <cell r="J1524">
            <v>12</v>
          </cell>
          <cell r="K1524">
            <v>1</v>
          </cell>
          <cell r="L1524">
            <v>83925.52</v>
          </cell>
        </row>
        <row r="1525">
          <cell r="A1525">
            <v>106419</v>
          </cell>
          <cell r="B1525">
            <v>20564</v>
          </cell>
          <cell r="C1525">
            <v>20564</v>
          </cell>
          <cell r="D1525" t="str">
            <v>adult</v>
          </cell>
          <cell r="E1525" t="str">
            <v>B</v>
          </cell>
          <cell r="F1525" t="str">
            <v>CLINICAL PSYCHOLOGIST II</v>
          </cell>
          <cell r="G1525" t="str">
            <v>8697A</v>
          </cell>
          <cell r="H1525">
            <v>6993.82</v>
          </cell>
          <cell r="I1525">
            <v>1</v>
          </cell>
          <cell r="J1525">
            <v>12</v>
          </cell>
          <cell r="K1525">
            <v>1</v>
          </cell>
          <cell r="L1525">
            <v>83925.52</v>
          </cell>
        </row>
        <row r="1526">
          <cell r="A1526">
            <v>101739</v>
          </cell>
          <cell r="B1526">
            <v>20564</v>
          </cell>
          <cell r="C1526">
            <v>20564</v>
          </cell>
          <cell r="D1526" t="str">
            <v>adult</v>
          </cell>
          <cell r="E1526" t="str">
            <v>B</v>
          </cell>
          <cell r="F1526" t="str">
            <v>COMMUNITY MENTAL HEALTH PSYCHOLOGIST</v>
          </cell>
          <cell r="G1526" t="str">
            <v>8711A</v>
          </cell>
          <cell r="H1526">
            <v>6942.55</v>
          </cell>
          <cell r="I1526">
            <v>1</v>
          </cell>
          <cell r="J1526">
            <v>12</v>
          </cell>
          <cell r="K1526">
            <v>1</v>
          </cell>
          <cell r="L1526">
            <v>83310.2</v>
          </cell>
        </row>
        <row r="1527">
          <cell r="A1527">
            <v>101740</v>
          </cell>
          <cell r="B1527">
            <v>20564</v>
          </cell>
          <cell r="C1527">
            <v>20564</v>
          </cell>
          <cell r="D1527" t="str">
            <v>adult</v>
          </cell>
          <cell r="E1527" t="str">
            <v>B</v>
          </cell>
          <cell r="F1527" t="str">
            <v xml:space="preserve">INTERMEDIATE CLERK                 </v>
          </cell>
          <cell r="G1527" t="str">
            <v>1138A</v>
          </cell>
          <cell r="H1527">
            <v>2611.09</v>
          </cell>
          <cell r="I1527">
            <v>1</v>
          </cell>
          <cell r="J1527">
            <v>12</v>
          </cell>
          <cell r="K1527">
            <v>1</v>
          </cell>
          <cell r="L1527">
            <v>31333</v>
          </cell>
        </row>
        <row r="1528">
          <cell r="A1528">
            <v>101933</v>
          </cell>
          <cell r="B1528">
            <v>20564</v>
          </cell>
          <cell r="C1528">
            <v>20564</v>
          </cell>
          <cell r="D1528" t="str">
            <v>adult</v>
          </cell>
          <cell r="E1528" t="str">
            <v>B</v>
          </cell>
          <cell r="F1528" t="str">
            <v>INTERMEDIATE TYPIST-CLERK</v>
          </cell>
          <cell r="G1528" t="str">
            <v>2214A</v>
          </cell>
          <cell r="H1528">
            <v>2675.27</v>
          </cell>
          <cell r="I1528">
            <v>1</v>
          </cell>
          <cell r="J1528">
            <v>12</v>
          </cell>
          <cell r="K1528">
            <v>1</v>
          </cell>
          <cell r="L1528">
            <v>32103.16</v>
          </cell>
        </row>
        <row r="1529">
          <cell r="A1529">
            <v>104172</v>
          </cell>
          <cell r="B1529">
            <v>20564</v>
          </cell>
          <cell r="C1529">
            <v>20564</v>
          </cell>
          <cell r="D1529" t="str">
            <v>adult</v>
          </cell>
          <cell r="E1529" t="str">
            <v>B</v>
          </cell>
          <cell r="F1529" t="str">
            <v>INTERMEDIATE TYPIST-CLERK</v>
          </cell>
          <cell r="G1529" t="str">
            <v>2214A</v>
          </cell>
          <cell r="H1529">
            <v>2675.27</v>
          </cell>
          <cell r="I1529">
            <v>1</v>
          </cell>
          <cell r="J1529">
            <v>12</v>
          </cell>
          <cell r="K1529">
            <v>1</v>
          </cell>
          <cell r="L1529">
            <v>32103.16</v>
          </cell>
        </row>
        <row r="1530">
          <cell r="A1530">
            <v>104229</v>
          </cell>
          <cell r="B1530">
            <v>20564</v>
          </cell>
          <cell r="C1530">
            <v>20564</v>
          </cell>
          <cell r="D1530" t="str">
            <v>adult</v>
          </cell>
          <cell r="E1530" t="str">
            <v>B</v>
          </cell>
          <cell r="F1530" t="str">
            <v>INTERMEDIATE TYPIST-CLERK</v>
          </cell>
          <cell r="G1530" t="str">
            <v>2214A</v>
          </cell>
          <cell r="H1530">
            <v>2675.27</v>
          </cell>
          <cell r="I1530">
            <v>1</v>
          </cell>
          <cell r="J1530">
            <v>12</v>
          </cell>
          <cell r="K1530">
            <v>1</v>
          </cell>
          <cell r="L1530">
            <v>32103.16</v>
          </cell>
        </row>
        <row r="1531">
          <cell r="A1531">
            <v>104232</v>
          </cell>
          <cell r="B1531">
            <v>20944</v>
          </cell>
          <cell r="C1531">
            <v>20564</v>
          </cell>
          <cell r="D1531" t="str">
            <v>adult</v>
          </cell>
          <cell r="E1531" t="str">
            <v>B</v>
          </cell>
          <cell r="F1531" t="str">
            <v>INTERMEDIATE TYPIST-CLERK</v>
          </cell>
          <cell r="G1531" t="str">
            <v>2214A</v>
          </cell>
          <cell r="H1531">
            <v>2675.27</v>
          </cell>
          <cell r="I1531">
            <v>1</v>
          </cell>
          <cell r="J1531">
            <v>12</v>
          </cell>
          <cell r="K1531">
            <v>1</v>
          </cell>
          <cell r="L1531">
            <v>32103.16</v>
          </cell>
        </row>
        <row r="1532">
          <cell r="A1532">
            <v>104347</v>
          </cell>
          <cell r="B1532">
            <v>20564</v>
          </cell>
          <cell r="C1532">
            <v>20564</v>
          </cell>
          <cell r="D1532" t="str">
            <v>adult</v>
          </cell>
          <cell r="E1532" t="str">
            <v>B</v>
          </cell>
          <cell r="F1532" t="str">
            <v>MEDICAL CASE WORKER II</v>
          </cell>
          <cell r="G1532" t="str">
            <v>9002A</v>
          </cell>
          <cell r="H1532">
            <v>3938.82</v>
          </cell>
          <cell r="I1532">
            <v>1</v>
          </cell>
          <cell r="J1532">
            <v>12</v>
          </cell>
          <cell r="K1532">
            <v>1</v>
          </cell>
          <cell r="L1532">
            <v>47265.68</v>
          </cell>
        </row>
        <row r="1533">
          <cell r="A1533">
            <v>109188</v>
          </cell>
          <cell r="B1533">
            <v>27506</v>
          </cell>
          <cell r="C1533">
            <v>20564</v>
          </cell>
          <cell r="D1533" t="str">
            <v>adult</v>
          </cell>
          <cell r="E1533" t="str">
            <v>B</v>
          </cell>
          <cell r="F1533" t="str">
            <v>MEDICAL CASE WORKER II</v>
          </cell>
          <cell r="G1533" t="str">
            <v>9002A</v>
          </cell>
          <cell r="H1533">
            <v>3938.82</v>
          </cell>
          <cell r="I1533">
            <v>1</v>
          </cell>
          <cell r="J1533">
            <v>12</v>
          </cell>
          <cell r="K1533">
            <v>1</v>
          </cell>
          <cell r="L1533">
            <v>47265.68</v>
          </cell>
        </row>
        <row r="1534">
          <cell r="A1534">
            <v>102008</v>
          </cell>
          <cell r="B1534">
            <v>20564</v>
          </cell>
          <cell r="C1534">
            <v>20564</v>
          </cell>
          <cell r="D1534" t="str">
            <v>adult</v>
          </cell>
          <cell r="E1534" t="str">
            <v>B</v>
          </cell>
          <cell r="F1534" t="str">
            <v>MENTAL HEALTH CONSULTANT, MD</v>
          </cell>
          <cell r="G1534" t="str">
            <v>5467J</v>
          </cell>
          <cell r="H1534">
            <v>314</v>
          </cell>
          <cell r="I1534">
            <v>1</v>
          </cell>
          <cell r="J1534">
            <v>98</v>
          </cell>
          <cell r="K1534">
            <v>0.18773946360153257</v>
          </cell>
          <cell r="L1534">
            <v>30771.96</v>
          </cell>
        </row>
        <row r="1535">
          <cell r="A1535">
            <v>102009</v>
          </cell>
          <cell r="B1535">
            <v>20564</v>
          </cell>
          <cell r="C1535">
            <v>20564</v>
          </cell>
          <cell r="D1535" t="str">
            <v>adult</v>
          </cell>
          <cell r="E1535" t="str">
            <v>B</v>
          </cell>
          <cell r="F1535" t="str">
            <v>MENTAL HEALTH CONSULTANT, MD</v>
          </cell>
          <cell r="G1535" t="str">
            <v>5467J</v>
          </cell>
          <cell r="H1535">
            <v>314</v>
          </cell>
          <cell r="I1535">
            <v>1</v>
          </cell>
          <cell r="J1535">
            <v>99</v>
          </cell>
          <cell r="K1535">
            <v>0.18965517241379309</v>
          </cell>
          <cell r="L1535">
            <v>31086.48</v>
          </cell>
        </row>
        <row r="1536">
          <cell r="A1536">
            <v>101757</v>
          </cell>
          <cell r="B1536">
            <v>20564</v>
          </cell>
          <cell r="C1536">
            <v>20564</v>
          </cell>
          <cell r="D1536" t="str">
            <v>adult</v>
          </cell>
          <cell r="E1536" t="str">
            <v>B</v>
          </cell>
          <cell r="F1536" t="str">
            <v>MENTAL HEALTH COUNSELOR, RN</v>
          </cell>
          <cell r="G1536" t="str">
            <v>5278A</v>
          </cell>
          <cell r="H1536">
            <v>6275.27</v>
          </cell>
          <cell r="I1536">
            <v>1</v>
          </cell>
          <cell r="J1536">
            <v>12</v>
          </cell>
          <cell r="K1536">
            <v>1</v>
          </cell>
          <cell r="L1536">
            <v>76804.323333333334</v>
          </cell>
        </row>
        <row r="1537">
          <cell r="A1537">
            <v>103870</v>
          </cell>
          <cell r="B1537">
            <v>20981</v>
          </cell>
          <cell r="C1537">
            <v>20564</v>
          </cell>
          <cell r="D1537" t="str">
            <v>adult</v>
          </cell>
          <cell r="E1537" t="str">
            <v>B</v>
          </cell>
          <cell r="F1537" t="str">
            <v>MENTAL HEALTH COUNSELOR, RN</v>
          </cell>
          <cell r="G1537" t="str">
            <v>5278A</v>
          </cell>
          <cell r="H1537">
            <v>6275.27</v>
          </cell>
          <cell r="I1537">
            <v>1</v>
          </cell>
          <cell r="J1537">
            <v>12</v>
          </cell>
          <cell r="K1537">
            <v>1</v>
          </cell>
          <cell r="L1537">
            <v>76804.323333333334</v>
          </cell>
        </row>
        <row r="1538">
          <cell r="A1538">
            <v>105002</v>
          </cell>
          <cell r="B1538">
            <v>20564</v>
          </cell>
          <cell r="C1538">
            <v>20564</v>
          </cell>
          <cell r="D1538" t="str">
            <v>adult</v>
          </cell>
          <cell r="E1538" t="str">
            <v>B</v>
          </cell>
          <cell r="F1538" t="str">
            <v>MENTAL HEALTH COUNSELOR, RN</v>
          </cell>
          <cell r="G1538" t="str">
            <v>5278A</v>
          </cell>
          <cell r="H1538">
            <v>6275.27</v>
          </cell>
          <cell r="I1538">
            <v>1</v>
          </cell>
          <cell r="J1538">
            <v>12</v>
          </cell>
          <cell r="K1538">
            <v>1</v>
          </cell>
          <cell r="L1538">
            <v>76804.323333333334</v>
          </cell>
        </row>
        <row r="1539">
          <cell r="A1539">
            <v>100735</v>
          </cell>
          <cell r="B1539">
            <v>20564</v>
          </cell>
          <cell r="C1539">
            <v>20564</v>
          </cell>
          <cell r="D1539" t="str">
            <v>adult</v>
          </cell>
          <cell r="E1539" t="str">
            <v>B</v>
          </cell>
          <cell r="F1539" t="str">
            <v>MENTAL HEALTH PSYCHIATRIST</v>
          </cell>
          <cell r="G1539" t="str">
            <v>4735A</v>
          </cell>
          <cell r="H1539">
            <v>12844</v>
          </cell>
          <cell r="I1539">
            <v>1</v>
          </cell>
          <cell r="J1539">
            <v>12</v>
          </cell>
          <cell r="K1539">
            <v>1</v>
          </cell>
          <cell r="L1539">
            <v>154128</v>
          </cell>
        </row>
        <row r="1540">
          <cell r="A1540">
            <v>101723</v>
          </cell>
          <cell r="B1540">
            <v>20564</v>
          </cell>
          <cell r="C1540">
            <v>20564</v>
          </cell>
          <cell r="D1540" t="str">
            <v>adult</v>
          </cell>
          <cell r="E1540" t="str">
            <v>B</v>
          </cell>
          <cell r="F1540" t="str">
            <v>MENTAL HEALTH PSYCHIATRIST</v>
          </cell>
          <cell r="G1540" t="str">
            <v>4735A</v>
          </cell>
          <cell r="H1540">
            <v>12844</v>
          </cell>
          <cell r="I1540">
            <v>1</v>
          </cell>
          <cell r="J1540">
            <v>12</v>
          </cell>
          <cell r="K1540">
            <v>1</v>
          </cell>
          <cell r="L1540">
            <v>154128</v>
          </cell>
        </row>
        <row r="1541">
          <cell r="A1541">
            <v>101744</v>
          </cell>
          <cell r="B1541">
            <v>20564</v>
          </cell>
          <cell r="C1541">
            <v>20564</v>
          </cell>
          <cell r="D1541" t="str">
            <v>adult</v>
          </cell>
          <cell r="E1541" t="str">
            <v>B</v>
          </cell>
          <cell r="F1541" t="str">
            <v>MENTAL HEALTH PSYCHIATRIST</v>
          </cell>
          <cell r="G1541" t="str">
            <v>4735A</v>
          </cell>
          <cell r="H1541">
            <v>12844</v>
          </cell>
          <cell r="I1541">
            <v>1</v>
          </cell>
          <cell r="J1541">
            <v>6</v>
          </cell>
          <cell r="K1541">
            <v>0.5</v>
          </cell>
          <cell r="L1541">
            <v>77064</v>
          </cell>
        </row>
        <row r="1542">
          <cell r="A1542">
            <v>101918</v>
          </cell>
          <cell r="B1542">
            <v>20564</v>
          </cell>
          <cell r="C1542">
            <v>20564</v>
          </cell>
          <cell r="D1542" t="str">
            <v>adult</v>
          </cell>
          <cell r="E1542" t="str">
            <v>B</v>
          </cell>
          <cell r="F1542" t="str">
            <v>MENTAL HEALTH PSYCHIATRIST</v>
          </cell>
          <cell r="G1542" t="str">
            <v>4735A</v>
          </cell>
          <cell r="H1542">
            <v>12844</v>
          </cell>
          <cell r="I1542">
            <v>1</v>
          </cell>
          <cell r="J1542">
            <v>12</v>
          </cell>
          <cell r="K1542">
            <v>1</v>
          </cell>
          <cell r="L1542">
            <v>154128</v>
          </cell>
        </row>
        <row r="1543">
          <cell r="A1543">
            <v>101999</v>
          </cell>
          <cell r="B1543">
            <v>20472</v>
          </cell>
          <cell r="C1543">
            <v>20564</v>
          </cell>
          <cell r="D1543" t="str">
            <v>adult</v>
          </cell>
          <cell r="E1543" t="str">
            <v>B</v>
          </cell>
          <cell r="F1543" t="str">
            <v>MENTAL HEALTH PSYCHIATRIST</v>
          </cell>
          <cell r="G1543" t="str">
            <v>4735A</v>
          </cell>
          <cell r="H1543">
            <v>12844</v>
          </cell>
          <cell r="I1543">
            <v>1</v>
          </cell>
          <cell r="J1543">
            <v>12</v>
          </cell>
          <cell r="K1543">
            <v>1</v>
          </cell>
          <cell r="L1543">
            <v>154128</v>
          </cell>
        </row>
        <row r="1544">
          <cell r="A1544">
            <v>102000</v>
          </cell>
          <cell r="B1544">
            <v>20563</v>
          </cell>
          <cell r="C1544">
            <v>20564</v>
          </cell>
          <cell r="D1544" t="str">
            <v>adult</v>
          </cell>
          <cell r="E1544" t="str">
            <v>B</v>
          </cell>
          <cell r="F1544" t="str">
            <v>MENTAL HEALTH PSYCHIATRIST</v>
          </cell>
          <cell r="G1544" t="str">
            <v>4735A</v>
          </cell>
          <cell r="H1544">
            <v>12844</v>
          </cell>
          <cell r="I1544">
            <v>1</v>
          </cell>
          <cell r="J1544">
            <v>12</v>
          </cell>
          <cell r="K1544">
            <v>1</v>
          </cell>
          <cell r="L1544">
            <v>154128</v>
          </cell>
        </row>
        <row r="1545">
          <cell r="A1545">
            <v>104442</v>
          </cell>
          <cell r="B1545">
            <v>20564</v>
          </cell>
          <cell r="C1545">
            <v>20564</v>
          </cell>
          <cell r="D1545" t="str">
            <v>adult</v>
          </cell>
          <cell r="E1545" t="str">
            <v>B</v>
          </cell>
          <cell r="F1545" t="str">
            <v>MENTAL HEALTH PSYCHIATRIST</v>
          </cell>
          <cell r="G1545" t="str">
            <v>4735A</v>
          </cell>
          <cell r="H1545">
            <v>12844</v>
          </cell>
          <cell r="I1545">
            <v>1</v>
          </cell>
          <cell r="J1545">
            <v>12</v>
          </cell>
          <cell r="K1545">
            <v>1</v>
          </cell>
          <cell r="L1545">
            <v>154128</v>
          </cell>
        </row>
        <row r="1546">
          <cell r="A1546">
            <v>104776</v>
          </cell>
          <cell r="B1546">
            <v>20564</v>
          </cell>
          <cell r="C1546">
            <v>20564</v>
          </cell>
          <cell r="D1546" t="str">
            <v>adult</v>
          </cell>
          <cell r="E1546" t="str">
            <v>B</v>
          </cell>
          <cell r="F1546" t="str">
            <v>MENTAL HEALTH PSYCHIATRIST</v>
          </cell>
          <cell r="G1546" t="str">
            <v>4735A</v>
          </cell>
          <cell r="H1546">
            <v>12844</v>
          </cell>
          <cell r="I1546">
            <v>1</v>
          </cell>
          <cell r="J1546">
            <v>12</v>
          </cell>
          <cell r="K1546">
            <v>1</v>
          </cell>
          <cell r="L1546">
            <v>154128</v>
          </cell>
        </row>
        <row r="1547">
          <cell r="A1547">
            <v>104783</v>
          </cell>
          <cell r="B1547">
            <v>20564</v>
          </cell>
          <cell r="C1547">
            <v>20564</v>
          </cell>
          <cell r="D1547" t="str">
            <v>adult</v>
          </cell>
          <cell r="E1547" t="str">
            <v>B</v>
          </cell>
          <cell r="F1547" t="str">
            <v>MENTAL HEALTH PSYCHIATRIST</v>
          </cell>
          <cell r="G1547" t="str">
            <v>4735A</v>
          </cell>
          <cell r="H1547">
            <v>12844</v>
          </cell>
          <cell r="I1547">
            <v>1</v>
          </cell>
          <cell r="J1547">
            <v>12</v>
          </cell>
          <cell r="K1547">
            <v>1</v>
          </cell>
          <cell r="L1547">
            <v>154128</v>
          </cell>
        </row>
        <row r="1548">
          <cell r="A1548">
            <v>105003</v>
          </cell>
          <cell r="B1548">
            <v>20564</v>
          </cell>
          <cell r="C1548">
            <v>20564</v>
          </cell>
          <cell r="D1548" t="str">
            <v>adult</v>
          </cell>
          <cell r="E1548" t="str">
            <v>B</v>
          </cell>
          <cell r="F1548" t="str">
            <v>MENTAL HEALTH PSYCHIATRIST</v>
          </cell>
          <cell r="G1548" t="str">
            <v>4735A</v>
          </cell>
          <cell r="H1548">
            <v>12844</v>
          </cell>
          <cell r="I1548">
            <v>1</v>
          </cell>
          <cell r="J1548">
            <v>12</v>
          </cell>
          <cell r="K1548">
            <v>1</v>
          </cell>
          <cell r="L1548">
            <v>154128</v>
          </cell>
        </row>
        <row r="1549">
          <cell r="A1549">
            <v>102007</v>
          </cell>
          <cell r="B1549">
            <v>20564</v>
          </cell>
          <cell r="C1549">
            <v>20564</v>
          </cell>
          <cell r="D1549" t="str">
            <v>adult</v>
          </cell>
          <cell r="E1549" t="str">
            <v>B</v>
          </cell>
          <cell r="F1549" t="str">
            <v>MNTL HLTH CLINICAL PROGRAM MANAGER</v>
          </cell>
          <cell r="G1549" t="str">
            <v>4719A</v>
          </cell>
          <cell r="H1549">
            <v>8709.73</v>
          </cell>
          <cell r="I1549">
            <v>1</v>
          </cell>
          <cell r="J1549">
            <v>12</v>
          </cell>
          <cell r="K1549">
            <v>1</v>
          </cell>
          <cell r="L1549">
            <v>104516.76</v>
          </cell>
        </row>
        <row r="1550">
          <cell r="A1550">
            <v>104785</v>
          </cell>
          <cell r="B1550">
            <v>20564</v>
          </cell>
          <cell r="C1550">
            <v>20564</v>
          </cell>
          <cell r="D1550" t="str">
            <v>adult</v>
          </cell>
          <cell r="E1550" t="str">
            <v>B</v>
          </cell>
          <cell r="F1550" t="str">
            <v xml:space="preserve">OCCUPATIONAL THERAPIST II          </v>
          </cell>
          <cell r="G1550" t="str">
            <v>5857A</v>
          </cell>
          <cell r="H1550">
            <v>6416.09</v>
          </cell>
          <cell r="I1550">
            <v>1</v>
          </cell>
          <cell r="J1550">
            <v>12</v>
          </cell>
          <cell r="K1550">
            <v>1</v>
          </cell>
          <cell r="L1550">
            <v>76993.16</v>
          </cell>
        </row>
        <row r="1551">
          <cell r="A1551">
            <v>106337</v>
          </cell>
          <cell r="B1551">
            <v>21561</v>
          </cell>
          <cell r="C1551">
            <v>20564</v>
          </cell>
          <cell r="D1551" t="str">
            <v>adult</v>
          </cell>
          <cell r="E1551" t="str">
            <v>B</v>
          </cell>
          <cell r="F1551" t="str">
            <v xml:space="preserve">OCCUPATIONAL THERAPIST II          </v>
          </cell>
          <cell r="G1551" t="str">
            <v>5857A</v>
          </cell>
          <cell r="H1551">
            <v>6416.09</v>
          </cell>
          <cell r="I1551">
            <v>1</v>
          </cell>
          <cell r="J1551">
            <v>12</v>
          </cell>
          <cell r="K1551">
            <v>1</v>
          </cell>
          <cell r="L1551">
            <v>76993.16</v>
          </cell>
        </row>
        <row r="1552">
          <cell r="A1552">
            <v>101726</v>
          </cell>
          <cell r="B1552">
            <v>20564</v>
          </cell>
          <cell r="C1552">
            <v>20564</v>
          </cell>
          <cell r="D1552" t="str">
            <v>adult</v>
          </cell>
          <cell r="E1552" t="str">
            <v>B</v>
          </cell>
          <cell r="F1552" t="str">
            <v xml:space="preserve">PATIENT FINANCIAL SERVICES WORKER  </v>
          </cell>
          <cell r="G1552" t="str">
            <v>9193A</v>
          </cell>
          <cell r="H1552">
            <v>3403.55</v>
          </cell>
          <cell r="I1552">
            <v>1</v>
          </cell>
          <cell r="J1552">
            <v>12</v>
          </cell>
          <cell r="K1552">
            <v>1</v>
          </cell>
          <cell r="L1552">
            <v>40842.6</v>
          </cell>
        </row>
        <row r="1553">
          <cell r="A1553">
            <v>101745</v>
          </cell>
          <cell r="B1553">
            <v>20564</v>
          </cell>
          <cell r="C1553">
            <v>20564</v>
          </cell>
          <cell r="D1553" t="str">
            <v>adult</v>
          </cell>
          <cell r="E1553" t="str">
            <v>B</v>
          </cell>
          <cell r="F1553" t="str">
            <v xml:space="preserve">PATIENT FINANCIAL SERVICES WORKER  </v>
          </cell>
          <cell r="G1553" t="str">
            <v>9193A</v>
          </cell>
          <cell r="H1553">
            <v>3403.55</v>
          </cell>
          <cell r="I1553">
            <v>1</v>
          </cell>
          <cell r="J1553">
            <v>12</v>
          </cell>
          <cell r="K1553">
            <v>1</v>
          </cell>
          <cell r="L1553">
            <v>40842.6</v>
          </cell>
        </row>
        <row r="1554">
          <cell r="A1554">
            <v>104445</v>
          </cell>
          <cell r="B1554">
            <v>20564</v>
          </cell>
          <cell r="C1554">
            <v>20564</v>
          </cell>
          <cell r="D1554" t="str">
            <v>adult</v>
          </cell>
          <cell r="E1554" t="str">
            <v>B</v>
          </cell>
          <cell r="F1554" t="str">
            <v>PATIENT RESOURCES WORKER</v>
          </cell>
          <cell r="G1554" t="str">
            <v>9192A</v>
          </cell>
          <cell r="H1554">
            <v>2748.27</v>
          </cell>
          <cell r="I1554">
            <v>1</v>
          </cell>
          <cell r="J1554">
            <v>12</v>
          </cell>
          <cell r="K1554">
            <v>1</v>
          </cell>
          <cell r="L1554">
            <v>32979.24</v>
          </cell>
        </row>
        <row r="1555">
          <cell r="A1555">
            <v>100932</v>
          </cell>
          <cell r="B1555">
            <v>20564</v>
          </cell>
          <cell r="C1555">
            <v>20564</v>
          </cell>
          <cell r="D1555" t="str">
            <v>adult</v>
          </cell>
          <cell r="E1555" t="str">
            <v>B</v>
          </cell>
          <cell r="F1555" t="str">
            <v xml:space="preserve">PHYSICIAN, M.D.                    </v>
          </cell>
          <cell r="G1555" t="str">
            <v>5475A</v>
          </cell>
          <cell r="H1555">
            <v>8943</v>
          </cell>
          <cell r="I1555">
            <v>1</v>
          </cell>
          <cell r="J1555">
            <v>6</v>
          </cell>
          <cell r="K1555">
            <v>0.5</v>
          </cell>
          <cell r="L1555">
            <v>53658</v>
          </cell>
        </row>
        <row r="1556">
          <cell r="A1556">
            <v>101732</v>
          </cell>
          <cell r="B1556">
            <v>20564</v>
          </cell>
          <cell r="C1556">
            <v>20564</v>
          </cell>
          <cell r="D1556" t="str">
            <v>adult</v>
          </cell>
          <cell r="E1556" t="str">
            <v>B</v>
          </cell>
          <cell r="F1556" t="str">
            <v>PSYCHIATRIC SOCIAL WORKER II</v>
          </cell>
          <cell r="G1556" t="str">
            <v>9035A</v>
          </cell>
          <cell r="H1556">
            <v>5425.82</v>
          </cell>
          <cell r="I1556">
            <v>1</v>
          </cell>
          <cell r="J1556">
            <v>12</v>
          </cell>
          <cell r="K1556">
            <v>1</v>
          </cell>
          <cell r="L1556">
            <v>65109.84</v>
          </cell>
        </row>
        <row r="1557">
          <cell r="A1557">
            <v>101733</v>
          </cell>
          <cell r="B1557">
            <v>20564</v>
          </cell>
          <cell r="C1557">
            <v>20564</v>
          </cell>
          <cell r="D1557" t="str">
            <v>adult</v>
          </cell>
          <cell r="E1557" t="str">
            <v>B</v>
          </cell>
          <cell r="F1557" t="str">
            <v>PSYCHIATRIC SOCIAL WORKER II</v>
          </cell>
          <cell r="G1557" t="str">
            <v>9035A</v>
          </cell>
          <cell r="H1557">
            <v>5425.82</v>
          </cell>
          <cell r="I1557">
            <v>1</v>
          </cell>
          <cell r="J1557">
            <v>12</v>
          </cell>
          <cell r="K1557">
            <v>1</v>
          </cell>
          <cell r="L1557">
            <v>65109.84</v>
          </cell>
        </row>
        <row r="1558">
          <cell r="A1558">
            <v>101746</v>
          </cell>
          <cell r="B1558">
            <v>20564</v>
          </cell>
          <cell r="C1558">
            <v>20564</v>
          </cell>
          <cell r="D1558" t="str">
            <v>adult</v>
          </cell>
          <cell r="E1558" t="str">
            <v>B</v>
          </cell>
          <cell r="F1558" t="str">
            <v>PSYCHIATRIC SOCIAL WORKER II</v>
          </cell>
          <cell r="G1558" t="str">
            <v>9035A</v>
          </cell>
          <cell r="H1558">
            <v>5425.82</v>
          </cell>
          <cell r="I1558">
            <v>1</v>
          </cell>
          <cell r="J1558">
            <v>12</v>
          </cell>
          <cell r="K1558">
            <v>1</v>
          </cell>
          <cell r="L1558">
            <v>65109.84</v>
          </cell>
        </row>
        <row r="1559">
          <cell r="A1559">
            <v>101748</v>
          </cell>
          <cell r="B1559">
            <v>20564</v>
          </cell>
          <cell r="C1559">
            <v>20564</v>
          </cell>
          <cell r="D1559" t="str">
            <v>adult</v>
          </cell>
          <cell r="E1559" t="str">
            <v>B</v>
          </cell>
          <cell r="F1559" t="str">
            <v>PSYCHIATRIC SOCIAL WORKER II</v>
          </cell>
          <cell r="G1559" t="str">
            <v>9035A</v>
          </cell>
          <cell r="H1559">
            <v>5425.82</v>
          </cell>
          <cell r="I1559">
            <v>1</v>
          </cell>
          <cell r="J1559">
            <v>12</v>
          </cell>
          <cell r="K1559">
            <v>1</v>
          </cell>
          <cell r="L1559">
            <v>65109.84</v>
          </cell>
        </row>
        <row r="1560">
          <cell r="A1560">
            <v>101750</v>
          </cell>
          <cell r="B1560">
            <v>20564</v>
          </cell>
          <cell r="C1560">
            <v>20564</v>
          </cell>
          <cell r="D1560" t="str">
            <v>adult</v>
          </cell>
          <cell r="E1560" t="str">
            <v>B</v>
          </cell>
          <cell r="F1560" t="str">
            <v>PSYCHIATRIC SOCIAL WORKER II</v>
          </cell>
          <cell r="G1560" t="str">
            <v>9035A</v>
          </cell>
          <cell r="H1560">
            <v>5425.82</v>
          </cell>
          <cell r="I1560">
            <v>1</v>
          </cell>
          <cell r="J1560">
            <v>12</v>
          </cell>
          <cell r="K1560">
            <v>1</v>
          </cell>
          <cell r="L1560">
            <v>65109.84</v>
          </cell>
        </row>
        <row r="1561">
          <cell r="A1561">
            <v>101759</v>
          </cell>
          <cell r="B1561">
            <v>20564</v>
          </cell>
          <cell r="C1561">
            <v>20564</v>
          </cell>
          <cell r="D1561" t="str">
            <v>adult</v>
          </cell>
          <cell r="E1561" t="str">
            <v>B</v>
          </cell>
          <cell r="F1561" t="str">
            <v>PSYCHIATRIC SOCIAL WORKER II</v>
          </cell>
          <cell r="G1561" t="str">
            <v>9035A</v>
          </cell>
          <cell r="H1561">
            <v>5425.82</v>
          </cell>
          <cell r="I1561">
            <v>1</v>
          </cell>
          <cell r="J1561">
            <v>12</v>
          </cell>
          <cell r="K1561">
            <v>1</v>
          </cell>
          <cell r="L1561">
            <v>65109.84</v>
          </cell>
        </row>
        <row r="1562">
          <cell r="A1562">
            <v>101761</v>
          </cell>
          <cell r="B1562">
            <v>20564</v>
          </cell>
          <cell r="C1562">
            <v>20564</v>
          </cell>
          <cell r="D1562" t="str">
            <v>adult</v>
          </cell>
          <cell r="E1562" t="str">
            <v>B</v>
          </cell>
          <cell r="F1562" t="str">
            <v>PSYCHIATRIC SOCIAL WORKER II</v>
          </cell>
          <cell r="G1562" t="str">
            <v>9035A</v>
          </cell>
          <cell r="H1562">
            <v>5425.82</v>
          </cell>
          <cell r="I1562">
            <v>1</v>
          </cell>
          <cell r="J1562">
            <v>12</v>
          </cell>
          <cell r="K1562">
            <v>1</v>
          </cell>
          <cell r="L1562">
            <v>65109.84</v>
          </cell>
        </row>
        <row r="1563">
          <cell r="A1563">
            <v>102010</v>
          </cell>
          <cell r="B1563">
            <v>20564</v>
          </cell>
          <cell r="C1563">
            <v>20564</v>
          </cell>
          <cell r="D1563" t="str">
            <v>adult</v>
          </cell>
          <cell r="E1563" t="str">
            <v>B</v>
          </cell>
          <cell r="F1563" t="str">
            <v>PSYCHIATRIC SOCIAL WORKER II</v>
          </cell>
          <cell r="G1563" t="str">
            <v>9035A</v>
          </cell>
          <cell r="H1563">
            <v>5425.82</v>
          </cell>
          <cell r="I1563">
            <v>1</v>
          </cell>
          <cell r="J1563">
            <v>6</v>
          </cell>
          <cell r="K1563">
            <v>0.5</v>
          </cell>
          <cell r="L1563">
            <v>32554.92</v>
          </cell>
        </row>
        <row r="1564">
          <cell r="A1564">
            <v>104170</v>
          </cell>
          <cell r="B1564">
            <v>20564</v>
          </cell>
          <cell r="C1564">
            <v>20564</v>
          </cell>
          <cell r="D1564" t="str">
            <v>adult</v>
          </cell>
          <cell r="E1564" t="str">
            <v>B</v>
          </cell>
          <cell r="F1564" t="str">
            <v>PSYCHIATRIC SOCIAL WORKER II</v>
          </cell>
          <cell r="G1564" t="str">
            <v>9035A</v>
          </cell>
          <cell r="H1564">
            <v>5425.82</v>
          </cell>
          <cell r="I1564">
            <v>1</v>
          </cell>
          <cell r="J1564">
            <v>12</v>
          </cell>
          <cell r="K1564">
            <v>1</v>
          </cell>
          <cell r="L1564">
            <v>65109.84</v>
          </cell>
        </row>
        <row r="1565">
          <cell r="A1565">
            <v>104171</v>
          </cell>
          <cell r="B1565">
            <v>20564</v>
          </cell>
          <cell r="C1565">
            <v>20564</v>
          </cell>
          <cell r="D1565" t="str">
            <v>adult</v>
          </cell>
          <cell r="E1565" t="str">
            <v>B</v>
          </cell>
          <cell r="F1565" t="str">
            <v>PSYCHIATRIC SOCIAL WORKER II</v>
          </cell>
          <cell r="G1565" t="str">
            <v>9035A</v>
          </cell>
          <cell r="H1565">
            <v>5425.82</v>
          </cell>
          <cell r="I1565">
            <v>1</v>
          </cell>
          <cell r="J1565">
            <v>12</v>
          </cell>
          <cell r="K1565">
            <v>1</v>
          </cell>
          <cell r="L1565">
            <v>65109.84</v>
          </cell>
        </row>
        <row r="1566">
          <cell r="A1566">
            <v>104209</v>
          </cell>
          <cell r="B1566">
            <v>20564</v>
          </cell>
          <cell r="C1566">
            <v>20564</v>
          </cell>
          <cell r="D1566" t="str">
            <v>adult</v>
          </cell>
          <cell r="E1566" t="str">
            <v>B</v>
          </cell>
          <cell r="F1566" t="str">
            <v>PSYCHIATRIC SOCIAL WORKER II</v>
          </cell>
          <cell r="G1566" t="str">
            <v>9035A</v>
          </cell>
          <cell r="H1566">
            <v>5425.82</v>
          </cell>
          <cell r="I1566">
            <v>1</v>
          </cell>
          <cell r="J1566">
            <v>12</v>
          </cell>
          <cell r="K1566">
            <v>1</v>
          </cell>
          <cell r="L1566">
            <v>65109.84</v>
          </cell>
        </row>
        <row r="1567">
          <cell r="A1567">
            <v>104227</v>
          </cell>
          <cell r="B1567">
            <v>20564</v>
          </cell>
          <cell r="C1567">
            <v>20564</v>
          </cell>
          <cell r="D1567" t="str">
            <v>adult</v>
          </cell>
          <cell r="E1567" t="str">
            <v>B</v>
          </cell>
          <cell r="F1567" t="str">
            <v>PSYCHIATRIC SOCIAL WORKER II</v>
          </cell>
          <cell r="G1567" t="str">
            <v>9035A</v>
          </cell>
          <cell r="H1567">
            <v>5425.82</v>
          </cell>
          <cell r="I1567">
            <v>1</v>
          </cell>
          <cell r="J1567">
            <v>12</v>
          </cell>
          <cell r="K1567">
            <v>1</v>
          </cell>
          <cell r="L1567">
            <v>65109.84</v>
          </cell>
        </row>
        <row r="1568">
          <cell r="A1568">
            <v>104228</v>
          </cell>
          <cell r="B1568">
            <v>20564</v>
          </cell>
          <cell r="C1568">
            <v>20564</v>
          </cell>
          <cell r="D1568" t="str">
            <v>adult</v>
          </cell>
          <cell r="E1568" t="str">
            <v>B</v>
          </cell>
          <cell r="F1568" t="str">
            <v>PSYCHIATRIC SOCIAL WORKER II</v>
          </cell>
          <cell r="G1568" t="str">
            <v>9035A</v>
          </cell>
          <cell r="H1568">
            <v>5425.82</v>
          </cell>
          <cell r="I1568">
            <v>1</v>
          </cell>
          <cell r="J1568">
            <v>12</v>
          </cell>
          <cell r="K1568">
            <v>1</v>
          </cell>
          <cell r="L1568">
            <v>65109.84</v>
          </cell>
        </row>
        <row r="1569">
          <cell r="A1569">
            <v>104231</v>
          </cell>
          <cell r="B1569">
            <v>20564</v>
          </cell>
          <cell r="C1569">
            <v>20564</v>
          </cell>
          <cell r="D1569" t="str">
            <v>adult</v>
          </cell>
          <cell r="E1569" t="str">
            <v>B</v>
          </cell>
          <cell r="F1569" t="str">
            <v>PSYCHIATRIC SOCIAL WORKER II</v>
          </cell>
          <cell r="G1569" t="str">
            <v>9035A</v>
          </cell>
          <cell r="H1569">
            <v>5425.82</v>
          </cell>
          <cell r="I1569">
            <v>1</v>
          </cell>
          <cell r="J1569">
            <v>12</v>
          </cell>
          <cell r="K1569">
            <v>1</v>
          </cell>
          <cell r="L1569">
            <v>65109.84</v>
          </cell>
        </row>
        <row r="1570">
          <cell r="A1570">
            <v>104346</v>
          </cell>
          <cell r="B1570">
            <v>20564</v>
          </cell>
          <cell r="C1570">
            <v>20564</v>
          </cell>
          <cell r="D1570" t="str">
            <v>adult</v>
          </cell>
          <cell r="E1570" t="str">
            <v>B</v>
          </cell>
          <cell r="F1570" t="str">
            <v>PSYCHIATRIC SOCIAL WORKER II</v>
          </cell>
          <cell r="G1570" t="str">
            <v>9035A</v>
          </cell>
          <cell r="H1570">
            <v>5425.82</v>
          </cell>
          <cell r="I1570">
            <v>1</v>
          </cell>
          <cell r="J1570">
            <v>12</v>
          </cell>
          <cell r="K1570">
            <v>1</v>
          </cell>
          <cell r="L1570">
            <v>65109.84</v>
          </cell>
        </row>
        <row r="1571">
          <cell r="A1571">
            <v>106420</v>
          </cell>
          <cell r="B1571">
            <v>20564</v>
          </cell>
          <cell r="C1571">
            <v>20564</v>
          </cell>
          <cell r="D1571" t="str">
            <v>adult</v>
          </cell>
          <cell r="E1571" t="str">
            <v>B</v>
          </cell>
          <cell r="F1571" t="str">
            <v>PSYCHIATRIC SOCIAL WORKER II</v>
          </cell>
          <cell r="G1571" t="str">
            <v>9035A</v>
          </cell>
          <cell r="H1571">
            <v>5425.82</v>
          </cell>
          <cell r="I1571">
            <v>1</v>
          </cell>
          <cell r="J1571">
            <v>12</v>
          </cell>
          <cell r="K1571">
            <v>1</v>
          </cell>
          <cell r="L1571">
            <v>65109.84</v>
          </cell>
        </row>
        <row r="1572">
          <cell r="A1572">
            <v>101272</v>
          </cell>
          <cell r="B1572">
            <v>20564</v>
          </cell>
          <cell r="C1572">
            <v>20564</v>
          </cell>
          <cell r="D1572" t="str">
            <v>adult</v>
          </cell>
          <cell r="E1572" t="str">
            <v>B</v>
          </cell>
          <cell r="F1572" t="str">
            <v>PSYCHIATRIC TECHNICIAN II</v>
          </cell>
          <cell r="G1572" t="str">
            <v>8162A</v>
          </cell>
          <cell r="H1572">
            <v>3420.09</v>
          </cell>
          <cell r="I1572">
            <v>1</v>
          </cell>
          <cell r="J1572">
            <v>12</v>
          </cell>
          <cell r="K1572">
            <v>1</v>
          </cell>
          <cell r="L1572">
            <v>41041.08</v>
          </cell>
        </row>
        <row r="1573">
          <cell r="A1573">
            <v>106048</v>
          </cell>
          <cell r="B1573">
            <v>21533</v>
          </cell>
          <cell r="C1573">
            <v>20564</v>
          </cell>
          <cell r="D1573" t="str">
            <v>adult</v>
          </cell>
          <cell r="E1573" t="str">
            <v>B</v>
          </cell>
          <cell r="F1573" t="str">
            <v>REHABILITATION COUNSELOR II</v>
          </cell>
          <cell r="G1573" t="str">
            <v>8593A</v>
          </cell>
          <cell r="H1573">
            <v>4076.09</v>
          </cell>
          <cell r="I1573">
            <v>1</v>
          </cell>
          <cell r="J1573">
            <v>12</v>
          </cell>
          <cell r="K1573">
            <v>1</v>
          </cell>
          <cell r="L1573">
            <v>48922.8</v>
          </cell>
        </row>
        <row r="1574">
          <cell r="A1574">
            <v>104778</v>
          </cell>
          <cell r="B1574">
            <v>20564</v>
          </cell>
          <cell r="C1574">
            <v>20564</v>
          </cell>
          <cell r="D1574" t="str">
            <v>adult</v>
          </cell>
          <cell r="E1574" t="str">
            <v>B</v>
          </cell>
          <cell r="F1574" t="str">
            <v>SECRETARY II</v>
          </cell>
          <cell r="G1574" t="str">
            <v>2095A</v>
          </cell>
          <cell r="H1574">
            <v>3210</v>
          </cell>
          <cell r="I1574">
            <v>1</v>
          </cell>
          <cell r="J1574">
            <v>12</v>
          </cell>
          <cell r="K1574">
            <v>1</v>
          </cell>
          <cell r="L1574">
            <v>38520.239999999998</v>
          </cell>
        </row>
        <row r="1575">
          <cell r="A1575">
            <v>101405</v>
          </cell>
          <cell r="B1575">
            <v>20564</v>
          </cell>
          <cell r="C1575">
            <v>20564</v>
          </cell>
          <cell r="D1575" t="str">
            <v>adult</v>
          </cell>
          <cell r="E1575" t="str">
            <v>B</v>
          </cell>
          <cell r="F1575" t="str">
            <v xml:space="preserve">SECRETARY III                      </v>
          </cell>
          <cell r="G1575" t="str">
            <v>2096A</v>
          </cell>
          <cell r="H1575">
            <v>3387</v>
          </cell>
          <cell r="I1575">
            <v>1</v>
          </cell>
          <cell r="J1575">
            <v>12</v>
          </cell>
          <cell r="K1575">
            <v>1</v>
          </cell>
          <cell r="L1575">
            <v>40643.839999999997</v>
          </cell>
        </row>
        <row r="1576">
          <cell r="A1576">
            <v>105004</v>
          </cell>
          <cell r="B1576">
            <v>20564</v>
          </cell>
          <cell r="C1576">
            <v>20564</v>
          </cell>
          <cell r="D1576" t="str">
            <v>adult</v>
          </cell>
          <cell r="E1576" t="str">
            <v>B</v>
          </cell>
          <cell r="F1576" t="str">
            <v xml:space="preserve">SENIOR CLERK                       </v>
          </cell>
          <cell r="G1576" t="str">
            <v>1140A</v>
          </cell>
          <cell r="H1576">
            <v>2941</v>
          </cell>
          <cell r="I1576">
            <v>1</v>
          </cell>
          <cell r="J1576">
            <v>12</v>
          </cell>
          <cell r="K1576">
            <v>1</v>
          </cell>
          <cell r="L1576">
            <v>35292</v>
          </cell>
        </row>
        <row r="1577">
          <cell r="A1577">
            <v>102013</v>
          </cell>
          <cell r="B1577">
            <v>20564</v>
          </cell>
          <cell r="C1577">
            <v>20564</v>
          </cell>
          <cell r="D1577" t="str">
            <v>adult</v>
          </cell>
          <cell r="E1577" t="str">
            <v>B</v>
          </cell>
          <cell r="F1577" t="str">
            <v>SENIOR MEDICAL STENOGRAPHER</v>
          </cell>
          <cell r="G1577" t="str">
            <v>2183A</v>
          </cell>
          <cell r="H1577">
            <v>3444.91</v>
          </cell>
          <cell r="I1577">
            <v>1</v>
          </cell>
          <cell r="J1577">
            <v>12</v>
          </cell>
          <cell r="K1577">
            <v>1</v>
          </cell>
          <cell r="L1577">
            <v>41338.519999999997</v>
          </cell>
        </row>
        <row r="1578">
          <cell r="A1578">
            <v>103937</v>
          </cell>
          <cell r="B1578">
            <v>23001</v>
          </cell>
          <cell r="C1578">
            <v>20564</v>
          </cell>
          <cell r="D1578" t="str">
            <v>adult</v>
          </cell>
          <cell r="E1578" t="str">
            <v>B</v>
          </cell>
          <cell r="F1578" t="str">
            <v>SENIOR MENTAL HEALTH COUNSELOR, RN</v>
          </cell>
          <cell r="G1578" t="str">
            <v>5280A</v>
          </cell>
          <cell r="H1578">
            <v>6790.09</v>
          </cell>
          <cell r="I1578">
            <v>1</v>
          </cell>
          <cell r="J1578">
            <v>12</v>
          </cell>
          <cell r="K1578">
            <v>1</v>
          </cell>
          <cell r="L1578">
            <v>83105.40203389831</v>
          </cell>
        </row>
        <row r="1579">
          <cell r="A1579">
            <v>101715</v>
          </cell>
          <cell r="B1579">
            <v>20564</v>
          </cell>
          <cell r="C1579">
            <v>20564</v>
          </cell>
          <cell r="D1579" t="str">
            <v>adult</v>
          </cell>
          <cell r="E1579" t="str">
            <v>B</v>
          </cell>
          <cell r="F1579" t="str">
            <v xml:space="preserve">SENIOR SECRETARY III               </v>
          </cell>
          <cell r="G1579" t="str">
            <v>2102A</v>
          </cell>
          <cell r="H1579">
            <v>4106.3599999999997</v>
          </cell>
          <cell r="I1579">
            <v>1</v>
          </cell>
          <cell r="J1579">
            <v>12</v>
          </cell>
          <cell r="K1579">
            <v>1</v>
          </cell>
          <cell r="L1579">
            <v>49276.56</v>
          </cell>
        </row>
        <row r="1580">
          <cell r="A1580">
            <v>102001</v>
          </cell>
          <cell r="B1580">
            <v>20563</v>
          </cell>
          <cell r="C1580">
            <v>20564</v>
          </cell>
          <cell r="D1580" t="str">
            <v>adult</v>
          </cell>
          <cell r="E1580" t="str">
            <v>B</v>
          </cell>
          <cell r="F1580" t="str">
            <v xml:space="preserve">SENIOR SECRETARY III               </v>
          </cell>
          <cell r="G1580" t="str">
            <v>2102A</v>
          </cell>
          <cell r="H1580">
            <v>4106.3599999999997</v>
          </cell>
          <cell r="I1580">
            <v>1</v>
          </cell>
          <cell r="J1580">
            <v>12</v>
          </cell>
          <cell r="K1580">
            <v>1</v>
          </cell>
          <cell r="L1580">
            <v>49276.56</v>
          </cell>
        </row>
        <row r="1581">
          <cell r="A1581">
            <v>102014</v>
          </cell>
          <cell r="B1581">
            <v>20564</v>
          </cell>
          <cell r="C1581">
            <v>20564</v>
          </cell>
          <cell r="D1581" t="str">
            <v>adult</v>
          </cell>
          <cell r="E1581" t="str">
            <v>B</v>
          </cell>
          <cell r="F1581" t="str">
            <v xml:space="preserve">SENIOR TYPIST-CLERK                </v>
          </cell>
          <cell r="G1581" t="str">
            <v>2216A</v>
          </cell>
          <cell r="H1581">
            <v>3013.55</v>
          </cell>
          <cell r="I1581">
            <v>1</v>
          </cell>
          <cell r="J1581">
            <v>12</v>
          </cell>
          <cell r="K1581">
            <v>1</v>
          </cell>
          <cell r="L1581">
            <v>36162.6</v>
          </cell>
        </row>
        <row r="1582">
          <cell r="A1582">
            <v>106422</v>
          </cell>
          <cell r="B1582">
            <v>20564</v>
          </cell>
          <cell r="C1582">
            <v>20564</v>
          </cell>
          <cell r="D1582" t="str">
            <v>adult</v>
          </cell>
          <cell r="E1582" t="str">
            <v>B</v>
          </cell>
          <cell r="F1582" t="str">
            <v xml:space="preserve">SENIOR TYPIST-CLERK                </v>
          </cell>
          <cell r="G1582" t="str">
            <v>2216A</v>
          </cell>
          <cell r="H1582">
            <v>3013.55</v>
          </cell>
          <cell r="I1582">
            <v>1</v>
          </cell>
          <cell r="J1582">
            <v>12</v>
          </cell>
          <cell r="K1582">
            <v>1</v>
          </cell>
          <cell r="L1582">
            <v>36162.6</v>
          </cell>
        </row>
        <row r="1583">
          <cell r="A1583">
            <v>104576</v>
          </cell>
          <cell r="B1583">
            <v>20672</v>
          </cell>
          <cell r="C1583">
            <v>20564</v>
          </cell>
          <cell r="D1583" t="str">
            <v>adult</v>
          </cell>
          <cell r="E1583" t="str">
            <v>B</v>
          </cell>
          <cell r="F1583" t="str">
            <v>SUBSTANCE ABUSE COUNSELOR</v>
          </cell>
          <cell r="G1583" t="str">
            <v>5884A</v>
          </cell>
          <cell r="H1583">
            <v>3210</v>
          </cell>
          <cell r="I1583">
            <v>1</v>
          </cell>
          <cell r="J1583">
            <v>12</v>
          </cell>
          <cell r="K1583">
            <v>1</v>
          </cell>
          <cell r="L1583">
            <v>38520</v>
          </cell>
        </row>
        <row r="1584">
          <cell r="A1584">
            <v>101753</v>
          </cell>
          <cell r="B1584">
            <v>20564</v>
          </cell>
          <cell r="C1584">
            <v>20564</v>
          </cell>
          <cell r="D1584" t="str">
            <v>adult</v>
          </cell>
          <cell r="E1584" t="str">
            <v>B</v>
          </cell>
          <cell r="F1584" t="str">
            <v xml:space="preserve">SUPVG PSYCHIATRIC SOCIAL WORKER    </v>
          </cell>
          <cell r="G1584" t="str">
            <v>9038A</v>
          </cell>
          <cell r="H1584">
            <v>6062.45</v>
          </cell>
          <cell r="I1584">
            <v>1</v>
          </cell>
          <cell r="J1584">
            <v>12</v>
          </cell>
          <cell r="K1584">
            <v>1</v>
          </cell>
          <cell r="L1584">
            <v>72749.399999999994</v>
          </cell>
        </row>
        <row r="1585">
          <cell r="A1585">
            <v>102816</v>
          </cell>
          <cell r="B1585">
            <v>20564</v>
          </cell>
          <cell r="C1585">
            <v>20564</v>
          </cell>
          <cell r="D1585" t="str">
            <v>adult</v>
          </cell>
          <cell r="E1585" t="str">
            <v>B</v>
          </cell>
          <cell r="F1585" t="str">
            <v xml:space="preserve">SUPVG PSYCHIATRIC SOCIAL WORKER    </v>
          </cell>
          <cell r="G1585" t="str">
            <v>9038A</v>
          </cell>
          <cell r="H1585">
            <v>6062.45</v>
          </cell>
          <cell r="I1585">
            <v>1</v>
          </cell>
          <cell r="J1585">
            <v>12</v>
          </cell>
          <cell r="K1585">
            <v>1</v>
          </cell>
          <cell r="L1585">
            <v>72749.399999999994</v>
          </cell>
        </row>
        <row r="1586">
          <cell r="A1586">
            <v>100115</v>
          </cell>
          <cell r="B1586">
            <v>18705</v>
          </cell>
          <cell r="C1586">
            <v>20658</v>
          </cell>
          <cell r="D1586" t="str">
            <v>adult</v>
          </cell>
          <cell r="E1586" t="str">
            <v>B</v>
          </cell>
          <cell r="F1586" t="str">
            <v>CLINICAL PSYCHOLOGIST II</v>
          </cell>
          <cell r="G1586" t="str">
            <v>8697A</v>
          </cell>
          <cell r="H1586">
            <v>6993.82</v>
          </cell>
          <cell r="I1586">
            <v>1</v>
          </cell>
          <cell r="J1586">
            <v>12</v>
          </cell>
          <cell r="K1586">
            <v>1</v>
          </cell>
          <cell r="L1586">
            <v>83925.52</v>
          </cell>
        </row>
        <row r="1587">
          <cell r="A1587">
            <v>102477</v>
          </cell>
          <cell r="B1587">
            <v>20464</v>
          </cell>
          <cell r="C1587">
            <v>20658</v>
          </cell>
          <cell r="D1587" t="str">
            <v>adult</v>
          </cell>
          <cell r="E1587" t="str">
            <v>B</v>
          </cell>
          <cell r="F1587" t="str">
            <v>CLINICAL PSYCHOLOGIST II</v>
          </cell>
          <cell r="G1587" t="str">
            <v>8697A</v>
          </cell>
          <cell r="H1587">
            <v>6993.82</v>
          </cell>
          <cell r="I1587">
            <v>1</v>
          </cell>
          <cell r="J1587">
            <v>6</v>
          </cell>
          <cell r="K1587">
            <v>0.5</v>
          </cell>
          <cell r="L1587">
            <v>41962.76</v>
          </cell>
        </row>
        <row r="1588">
          <cell r="A1588">
            <v>104321</v>
          </cell>
          <cell r="B1588">
            <v>23007</v>
          </cell>
          <cell r="C1588">
            <v>20658</v>
          </cell>
          <cell r="D1588" t="str">
            <v>adult</v>
          </cell>
          <cell r="E1588" t="str">
            <v>B</v>
          </cell>
          <cell r="F1588" t="str">
            <v>CLINICAL PSYCHOLOGIST II</v>
          </cell>
          <cell r="G1588" t="str">
            <v>8697A</v>
          </cell>
          <cell r="H1588">
            <v>6993.82</v>
          </cell>
          <cell r="I1588">
            <v>1</v>
          </cell>
          <cell r="J1588">
            <v>12</v>
          </cell>
          <cell r="K1588">
            <v>1</v>
          </cell>
          <cell r="L1588">
            <v>83925.52</v>
          </cell>
        </row>
        <row r="1589">
          <cell r="A1589">
            <v>109313</v>
          </cell>
          <cell r="B1589">
            <v>20658</v>
          </cell>
          <cell r="C1589">
            <v>20658</v>
          </cell>
          <cell r="D1589" t="str">
            <v>adult</v>
          </cell>
          <cell r="E1589" t="str">
            <v>B</v>
          </cell>
          <cell r="F1589" t="str">
            <v>CLINICAL PSYCHOLOGIST II</v>
          </cell>
          <cell r="G1589" t="str">
            <v>8697A</v>
          </cell>
          <cell r="H1589">
            <v>6993.82</v>
          </cell>
          <cell r="I1589">
            <v>1</v>
          </cell>
          <cell r="J1589">
            <v>12</v>
          </cell>
          <cell r="K1589">
            <v>1</v>
          </cell>
          <cell r="L1589">
            <v>83925.52</v>
          </cell>
        </row>
        <row r="1590">
          <cell r="A1590">
            <v>109433</v>
          </cell>
          <cell r="B1590" t="str">
            <v>TBA</v>
          </cell>
          <cell r="C1590">
            <v>20658</v>
          </cell>
          <cell r="D1590" t="str">
            <v>adult</v>
          </cell>
          <cell r="E1590" t="str">
            <v>B</v>
          </cell>
          <cell r="F1590" t="str">
            <v>CLINICAL PSYCHOLOGY INTERN</v>
          </cell>
          <cell r="G1590" t="str">
            <v>8694A</v>
          </cell>
          <cell r="H1590">
            <v>2344.81</v>
          </cell>
          <cell r="I1590">
            <v>1</v>
          </cell>
          <cell r="J1590">
            <v>12</v>
          </cell>
          <cell r="K1590">
            <v>1</v>
          </cell>
          <cell r="L1590">
            <v>28137.279999999999</v>
          </cell>
        </row>
        <row r="1591">
          <cell r="A1591">
            <v>109434</v>
          </cell>
          <cell r="B1591" t="str">
            <v>TBA</v>
          </cell>
          <cell r="C1591">
            <v>20658</v>
          </cell>
          <cell r="D1591" t="str">
            <v>adult</v>
          </cell>
          <cell r="E1591" t="str">
            <v>B</v>
          </cell>
          <cell r="F1591" t="str">
            <v>CLINICAL PSYCHOLOGY INTERN</v>
          </cell>
          <cell r="G1591" t="str">
            <v>8694A</v>
          </cell>
          <cell r="H1591">
            <v>2344.81</v>
          </cell>
          <cell r="I1591">
            <v>1</v>
          </cell>
          <cell r="J1591">
            <v>12</v>
          </cell>
          <cell r="K1591">
            <v>1</v>
          </cell>
          <cell r="L1591">
            <v>28137.279999999999</v>
          </cell>
        </row>
        <row r="1592">
          <cell r="A1592">
            <v>109435</v>
          </cell>
          <cell r="B1592" t="str">
            <v>TBA</v>
          </cell>
          <cell r="C1592">
            <v>20658</v>
          </cell>
          <cell r="D1592" t="str">
            <v>adult</v>
          </cell>
          <cell r="E1592" t="str">
            <v>B</v>
          </cell>
          <cell r="F1592" t="str">
            <v>CLINICAL PSYCHOLOGY INTERN</v>
          </cell>
          <cell r="G1592" t="str">
            <v>8694A</v>
          </cell>
          <cell r="H1592">
            <v>2344.81</v>
          </cell>
          <cell r="I1592">
            <v>1</v>
          </cell>
          <cell r="J1592">
            <v>12</v>
          </cell>
          <cell r="K1592">
            <v>1</v>
          </cell>
          <cell r="L1592">
            <v>28137.279999999999</v>
          </cell>
        </row>
        <row r="1593">
          <cell r="A1593">
            <v>109436</v>
          </cell>
          <cell r="B1593" t="str">
            <v>TBA</v>
          </cell>
          <cell r="C1593">
            <v>20658</v>
          </cell>
          <cell r="D1593" t="str">
            <v>adult</v>
          </cell>
          <cell r="E1593" t="str">
            <v>B</v>
          </cell>
          <cell r="F1593" t="str">
            <v>CLINICAL PSYCHOLOGY INTERN</v>
          </cell>
          <cell r="G1593" t="str">
            <v>8694A</v>
          </cell>
          <cell r="H1593">
            <v>2344.81</v>
          </cell>
          <cell r="I1593">
            <v>1</v>
          </cell>
          <cell r="J1593">
            <v>12</v>
          </cell>
          <cell r="K1593">
            <v>1</v>
          </cell>
          <cell r="L1593">
            <v>28137.279999999999</v>
          </cell>
        </row>
        <row r="1594">
          <cell r="A1594">
            <v>109437</v>
          </cell>
          <cell r="B1594" t="str">
            <v>TBA</v>
          </cell>
          <cell r="C1594">
            <v>20658</v>
          </cell>
          <cell r="D1594" t="str">
            <v>adult</v>
          </cell>
          <cell r="E1594" t="str">
            <v>B</v>
          </cell>
          <cell r="F1594" t="str">
            <v>CLINICAL PSYCHOLOGY INTERN</v>
          </cell>
          <cell r="G1594" t="str">
            <v>8694A</v>
          </cell>
          <cell r="H1594">
            <v>2344.81</v>
          </cell>
          <cell r="I1594">
            <v>1</v>
          </cell>
          <cell r="J1594">
            <v>12</v>
          </cell>
          <cell r="K1594">
            <v>1</v>
          </cell>
          <cell r="L1594">
            <v>28137.279999999999</v>
          </cell>
        </row>
        <row r="1595">
          <cell r="A1595">
            <v>109438</v>
          </cell>
          <cell r="B1595" t="str">
            <v>TBA</v>
          </cell>
          <cell r="C1595">
            <v>20658</v>
          </cell>
          <cell r="D1595" t="str">
            <v>adult</v>
          </cell>
          <cell r="E1595" t="str">
            <v>B</v>
          </cell>
          <cell r="F1595" t="str">
            <v>CLINICAL PSYCHOLOGY INTERN</v>
          </cell>
          <cell r="G1595" t="str">
            <v>8694A</v>
          </cell>
          <cell r="H1595">
            <v>2344.81</v>
          </cell>
          <cell r="I1595">
            <v>1</v>
          </cell>
          <cell r="J1595">
            <v>12</v>
          </cell>
          <cell r="K1595">
            <v>1</v>
          </cell>
          <cell r="L1595">
            <v>28137.279999999999</v>
          </cell>
        </row>
        <row r="1596">
          <cell r="A1596">
            <v>100190</v>
          </cell>
          <cell r="B1596">
            <v>18213</v>
          </cell>
          <cell r="C1596">
            <v>20658</v>
          </cell>
          <cell r="D1596" t="str">
            <v>adult</v>
          </cell>
          <cell r="E1596" t="str">
            <v>B</v>
          </cell>
          <cell r="F1596" t="str">
            <v>COMMUNITY WORKER</v>
          </cell>
          <cell r="G1596" t="str">
            <v>8103A</v>
          </cell>
          <cell r="H1596">
            <v>2984.09</v>
          </cell>
          <cell r="I1596">
            <v>1</v>
          </cell>
          <cell r="J1596">
            <v>12</v>
          </cell>
          <cell r="K1596">
            <v>1</v>
          </cell>
          <cell r="L1596">
            <v>35809.08</v>
          </cell>
        </row>
        <row r="1597">
          <cell r="A1597">
            <v>103081</v>
          </cell>
          <cell r="B1597">
            <v>21561</v>
          </cell>
          <cell r="C1597">
            <v>20658</v>
          </cell>
          <cell r="D1597" t="str">
            <v>adult</v>
          </cell>
          <cell r="E1597" t="str">
            <v>B</v>
          </cell>
          <cell r="F1597" t="str">
            <v>COMMUNITY WORKER</v>
          </cell>
          <cell r="G1597" t="str">
            <v>8103A</v>
          </cell>
          <cell r="H1597">
            <v>2984.09</v>
          </cell>
          <cell r="I1597">
            <v>1</v>
          </cell>
          <cell r="J1597">
            <v>9</v>
          </cell>
          <cell r="K1597">
            <v>0.75</v>
          </cell>
          <cell r="L1597">
            <v>26856.81</v>
          </cell>
        </row>
        <row r="1598">
          <cell r="A1598">
            <v>109350</v>
          </cell>
          <cell r="B1598">
            <v>20658</v>
          </cell>
          <cell r="C1598">
            <v>20658</v>
          </cell>
          <cell r="D1598" t="str">
            <v>adult</v>
          </cell>
          <cell r="E1598" t="str">
            <v>B</v>
          </cell>
          <cell r="F1598" t="str">
            <v>HEAD, CLINICAL PSYCHOLOGIST</v>
          </cell>
          <cell r="G1598" t="str">
            <v>8699A</v>
          </cell>
          <cell r="H1598">
            <v>7719.45</v>
          </cell>
          <cell r="I1598">
            <v>1</v>
          </cell>
          <cell r="J1598">
            <v>12</v>
          </cell>
          <cell r="K1598">
            <v>1</v>
          </cell>
          <cell r="L1598">
            <v>92633.16</v>
          </cell>
        </row>
        <row r="1599">
          <cell r="A1599">
            <v>109346</v>
          </cell>
          <cell r="B1599">
            <v>20658</v>
          </cell>
          <cell r="C1599">
            <v>20658</v>
          </cell>
          <cell r="D1599" t="str">
            <v>adult</v>
          </cell>
          <cell r="E1599" t="str">
            <v>B</v>
          </cell>
          <cell r="F1599" t="str">
            <v xml:space="preserve">INTERMEDIATE CLERK                 </v>
          </cell>
          <cell r="G1599" t="str">
            <v>1138A</v>
          </cell>
          <cell r="H1599">
            <v>2611.09</v>
          </cell>
          <cell r="I1599">
            <v>1</v>
          </cell>
          <cell r="J1599">
            <v>12</v>
          </cell>
          <cell r="K1599">
            <v>1</v>
          </cell>
          <cell r="L1599">
            <v>31333</v>
          </cell>
        </row>
        <row r="1600">
          <cell r="A1600">
            <v>102478</v>
          </cell>
          <cell r="B1600">
            <v>20465</v>
          </cell>
          <cell r="C1600">
            <v>20658</v>
          </cell>
          <cell r="D1600" t="str">
            <v>adult</v>
          </cell>
          <cell r="E1600" t="str">
            <v>B</v>
          </cell>
          <cell r="F1600" t="str">
            <v>INTERMEDIATE TYPIST-CLERK</v>
          </cell>
          <cell r="G1600" t="str">
            <v>2214A</v>
          </cell>
          <cell r="H1600">
            <v>2675.27</v>
          </cell>
          <cell r="I1600">
            <v>1</v>
          </cell>
          <cell r="J1600">
            <v>12</v>
          </cell>
          <cell r="K1600">
            <v>1</v>
          </cell>
          <cell r="L1600">
            <v>32103.16</v>
          </cell>
        </row>
        <row r="1601">
          <cell r="A1601">
            <v>109317</v>
          </cell>
          <cell r="B1601">
            <v>20658</v>
          </cell>
          <cell r="C1601">
            <v>20658</v>
          </cell>
          <cell r="D1601" t="str">
            <v>adult</v>
          </cell>
          <cell r="E1601" t="str">
            <v>B</v>
          </cell>
          <cell r="F1601" t="str">
            <v>INTERMEDIATE TYPIST-CLERK</v>
          </cell>
          <cell r="G1601" t="str">
            <v>2214A</v>
          </cell>
          <cell r="H1601">
            <v>2675.27</v>
          </cell>
          <cell r="I1601">
            <v>1</v>
          </cell>
          <cell r="J1601">
            <v>12</v>
          </cell>
          <cell r="K1601">
            <v>1</v>
          </cell>
          <cell r="L1601">
            <v>32103.16</v>
          </cell>
        </row>
        <row r="1602">
          <cell r="A1602">
            <v>109332</v>
          </cell>
          <cell r="B1602">
            <v>20658</v>
          </cell>
          <cell r="C1602">
            <v>20658</v>
          </cell>
          <cell r="D1602" t="str">
            <v>adult</v>
          </cell>
          <cell r="E1602" t="str">
            <v>B</v>
          </cell>
          <cell r="F1602" t="str">
            <v>INTERMEDIATE TYPIST-CLERK</v>
          </cell>
          <cell r="G1602" t="str">
            <v>2214A</v>
          </cell>
          <cell r="H1602">
            <v>2675.27</v>
          </cell>
          <cell r="I1602">
            <v>1</v>
          </cell>
          <cell r="J1602">
            <v>12</v>
          </cell>
          <cell r="K1602">
            <v>1</v>
          </cell>
          <cell r="L1602">
            <v>32103.16</v>
          </cell>
        </row>
        <row r="1603">
          <cell r="A1603">
            <v>109684</v>
          </cell>
          <cell r="B1603">
            <v>20658</v>
          </cell>
          <cell r="C1603">
            <v>20658</v>
          </cell>
          <cell r="D1603" t="str">
            <v>adult</v>
          </cell>
          <cell r="E1603" t="str">
            <v>B</v>
          </cell>
          <cell r="F1603" t="str">
            <v>INTERMEDIATE TYPIST-CLERK</v>
          </cell>
          <cell r="G1603" t="str">
            <v>2214A</v>
          </cell>
          <cell r="H1603">
            <v>2675.27</v>
          </cell>
          <cell r="I1603">
            <v>1</v>
          </cell>
          <cell r="J1603">
            <v>12</v>
          </cell>
          <cell r="K1603">
            <v>1</v>
          </cell>
          <cell r="L1603">
            <v>32103.24</v>
          </cell>
        </row>
        <row r="1604">
          <cell r="A1604">
            <v>109685</v>
          </cell>
          <cell r="B1604">
            <v>20658</v>
          </cell>
          <cell r="C1604">
            <v>20658</v>
          </cell>
          <cell r="D1604" t="str">
            <v>adult</v>
          </cell>
          <cell r="E1604" t="str">
            <v>B</v>
          </cell>
          <cell r="F1604" t="str">
            <v>INTERMEDIATE TYPIST-CLERK</v>
          </cell>
          <cell r="G1604" t="str">
            <v>2214A</v>
          </cell>
          <cell r="H1604">
            <v>2675.27</v>
          </cell>
          <cell r="I1604">
            <v>1</v>
          </cell>
          <cell r="J1604">
            <v>12</v>
          </cell>
          <cell r="K1604">
            <v>1</v>
          </cell>
          <cell r="L1604">
            <v>32103.24</v>
          </cell>
        </row>
        <row r="1605">
          <cell r="A1605">
            <v>109686</v>
          </cell>
          <cell r="B1605">
            <v>20658</v>
          </cell>
          <cell r="C1605">
            <v>20658</v>
          </cell>
          <cell r="D1605" t="str">
            <v>adult</v>
          </cell>
          <cell r="E1605" t="str">
            <v>B</v>
          </cell>
          <cell r="F1605" t="str">
            <v>INTERMEDIATE TYPIST-CLERK</v>
          </cell>
          <cell r="G1605" t="str">
            <v>2214A</v>
          </cell>
          <cell r="H1605">
            <v>2675.27</v>
          </cell>
          <cell r="I1605">
            <v>1</v>
          </cell>
          <cell r="J1605">
            <v>12</v>
          </cell>
          <cell r="K1605">
            <v>1</v>
          </cell>
          <cell r="L1605">
            <v>32103.24</v>
          </cell>
        </row>
        <row r="1606">
          <cell r="A1606">
            <v>103952</v>
          </cell>
          <cell r="B1606">
            <v>18634</v>
          </cell>
          <cell r="C1606">
            <v>20658</v>
          </cell>
          <cell r="D1606" t="str">
            <v>adult</v>
          </cell>
          <cell r="E1606" t="str">
            <v>B</v>
          </cell>
          <cell r="F1606" t="str">
            <v>MEDICAL CASE WORKER II</v>
          </cell>
          <cell r="G1606" t="str">
            <v>9002A</v>
          </cell>
          <cell r="H1606">
            <v>3938.82</v>
          </cell>
          <cell r="I1606">
            <v>1</v>
          </cell>
          <cell r="J1606">
            <v>12</v>
          </cell>
          <cell r="K1606">
            <v>1</v>
          </cell>
          <cell r="L1606">
            <v>47265.68</v>
          </cell>
        </row>
        <row r="1607">
          <cell r="A1607">
            <v>104994</v>
          </cell>
          <cell r="B1607">
            <v>20657</v>
          </cell>
          <cell r="C1607">
            <v>20658</v>
          </cell>
          <cell r="D1607" t="str">
            <v>adult</v>
          </cell>
          <cell r="E1607" t="str">
            <v>B</v>
          </cell>
          <cell r="F1607" t="str">
            <v>MEDICAL CASE WORKER II</v>
          </cell>
          <cell r="G1607" t="str">
            <v>9002A</v>
          </cell>
          <cell r="H1607">
            <v>3938.82</v>
          </cell>
          <cell r="I1607">
            <v>1</v>
          </cell>
          <cell r="J1607">
            <v>12</v>
          </cell>
          <cell r="K1607">
            <v>1</v>
          </cell>
          <cell r="L1607">
            <v>47265.68</v>
          </cell>
        </row>
        <row r="1608">
          <cell r="A1608">
            <v>106623</v>
          </cell>
          <cell r="B1608">
            <v>18676</v>
          </cell>
          <cell r="C1608">
            <v>20658</v>
          </cell>
          <cell r="D1608" t="str">
            <v>adult</v>
          </cell>
          <cell r="E1608" t="str">
            <v>B</v>
          </cell>
          <cell r="F1608" t="str">
            <v>MEDICAL CASE WORKER II</v>
          </cell>
          <cell r="G1608" t="str">
            <v>9002A</v>
          </cell>
          <cell r="H1608">
            <v>3938.82</v>
          </cell>
          <cell r="I1608">
            <v>1</v>
          </cell>
          <cell r="J1608">
            <v>12</v>
          </cell>
          <cell r="K1608">
            <v>1</v>
          </cell>
          <cell r="L1608">
            <v>47265.68</v>
          </cell>
        </row>
        <row r="1609">
          <cell r="A1609">
            <v>109885</v>
          </cell>
          <cell r="B1609">
            <v>27592</v>
          </cell>
          <cell r="C1609">
            <v>20658</v>
          </cell>
          <cell r="D1609" t="str">
            <v>adult</v>
          </cell>
          <cell r="E1609" t="str">
            <v>B</v>
          </cell>
          <cell r="F1609" t="str">
            <v>MEDICAL CASE WORKER II</v>
          </cell>
          <cell r="G1609" t="str">
            <v>9002A</v>
          </cell>
          <cell r="H1609">
            <v>3938.82</v>
          </cell>
          <cell r="I1609">
            <v>1</v>
          </cell>
          <cell r="J1609">
            <v>12</v>
          </cell>
          <cell r="K1609">
            <v>1</v>
          </cell>
          <cell r="L1609">
            <v>47265.84</v>
          </cell>
        </row>
        <row r="1610">
          <cell r="A1610">
            <v>100624</v>
          </cell>
          <cell r="B1610">
            <v>21572</v>
          </cell>
          <cell r="C1610">
            <v>20658</v>
          </cell>
          <cell r="D1610" t="str">
            <v>adult</v>
          </cell>
          <cell r="E1610" t="str">
            <v>B</v>
          </cell>
          <cell r="F1610" t="str">
            <v>MENTAL HEALTH COUNSELOR, RN</v>
          </cell>
          <cell r="G1610" t="str">
            <v>5278A</v>
          </cell>
          <cell r="H1610">
            <v>6275.27</v>
          </cell>
          <cell r="I1610">
            <v>1</v>
          </cell>
          <cell r="J1610">
            <v>12</v>
          </cell>
          <cell r="K1610">
            <v>1</v>
          </cell>
          <cell r="L1610">
            <v>76804.323333333334</v>
          </cell>
        </row>
        <row r="1611">
          <cell r="A1611">
            <v>101877</v>
          </cell>
          <cell r="B1611">
            <v>23005</v>
          </cell>
          <cell r="C1611">
            <v>20658</v>
          </cell>
          <cell r="D1611" t="str">
            <v>adult</v>
          </cell>
          <cell r="E1611" t="str">
            <v>B</v>
          </cell>
          <cell r="F1611" t="str">
            <v>MENTAL HEALTH COUNSELOR, RN</v>
          </cell>
          <cell r="G1611" t="str">
            <v>5278A</v>
          </cell>
          <cell r="H1611">
            <v>6275.27</v>
          </cell>
          <cell r="I1611">
            <v>1</v>
          </cell>
          <cell r="J1611">
            <v>12</v>
          </cell>
          <cell r="K1611">
            <v>1</v>
          </cell>
          <cell r="L1611">
            <v>76804.323333333334</v>
          </cell>
        </row>
        <row r="1612">
          <cell r="A1612">
            <v>104414</v>
          </cell>
          <cell r="B1612">
            <v>20481</v>
          </cell>
          <cell r="C1612">
            <v>20658</v>
          </cell>
          <cell r="D1612" t="str">
            <v>adult</v>
          </cell>
          <cell r="E1612" t="str">
            <v>B</v>
          </cell>
          <cell r="F1612" t="str">
            <v>MENTAL HEALTH PSYCHIATRIST</v>
          </cell>
          <cell r="G1612" t="str">
            <v>4735A</v>
          </cell>
          <cell r="H1612">
            <v>12844</v>
          </cell>
          <cell r="I1612">
            <v>1</v>
          </cell>
          <cell r="J1612">
            <v>12</v>
          </cell>
          <cell r="K1612">
            <v>1</v>
          </cell>
          <cell r="L1612">
            <v>154128</v>
          </cell>
        </row>
        <row r="1613">
          <cell r="A1613">
            <v>109321</v>
          </cell>
          <cell r="B1613">
            <v>20658</v>
          </cell>
          <cell r="C1613">
            <v>20658</v>
          </cell>
          <cell r="D1613" t="str">
            <v>adult</v>
          </cell>
          <cell r="E1613" t="str">
            <v>B</v>
          </cell>
          <cell r="F1613" t="str">
            <v>MENTAL HEALTH PSYCHIATRIST</v>
          </cell>
          <cell r="G1613" t="str">
            <v>4735A</v>
          </cell>
          <cell r="H1613">
            <v>12844</v>
          </cell>
          <cell r="I1613">
            <v>1</v>
          </cell>
          <cell r="J1613">
            <v>12</v>
          </cell>
          <cell r="K1613">
            <v>1</v>
          </cell>
          <cell r="L1613">
            <v>154128</v>
          </cell>
        </row>
        <row r="1614">
          <cell r="A1614">
            <v>109323</v>
          </cell>
          <cell r="B1614">
            <v>20658</v>
          </cell>
          <cell r="C1614">
            <v>20658</v>
          </cell>
          <cell r="D1614" t="str">
            <v>adult</v>
          </cell>
          <cell r="E1614" t="str">
            <v>B</v>
          </cell>
          <cell r="F1614" t="str">
            <v>MENTAL HEALTH PSYCHIATRIST</v>
          </cell>
          <cell r="G1614" t="str">
            <v>4735A</v>
          </cell>
          <cell r="H1614">
            <v>12844</v>
          </cell>
          <cell r="I1614">
            <v>1</v>
          </cell>
          <cell r="J1614">
            <v>12</v>
          </cell>
          <cell r="K1614">
            <v>1</v>
          </cell>
          <cell r="L1614">
            <v>154128</v>
          </cell>
        </row>
        <row r="1615">
          <cell r="A1615">
            <v>109324</v>
          </cell>
          <cell r="B1615">
            <v>20658</v>
          </cell>
          <cell r="C1615">
            <v>20658</v>
          </cell>
          <cell r="D1615" t="str">
            <v>adult</v>
          </cell>
          <cell r="E1615" t="str">
            <v>B</v>
          </cell>
          <cell r="F1615" t="str">
            <v>MENTAL HEALTH PSYCHIATRIST</v>
          </cell>
          <cell r="G1615" t="str">
            <v>4735A</v>
          </cell>
          <cell r="H1615">
            <v>12844</v>
          </cell>
          <cell r="I1615">
            <v>1</v>
          </cell>
          <cell r="J1615">
            <v>12</v>
          </cell>
          <cell r="K1615">
            <v>1</v>
          </cell>
          <cell r="L1615">
            <v>154128</v>
          </cell>
        </row>
        <row r="1616">
          <cell r="A1616">
            <v>109326</v>
          </cell>
          <cell r="B1616">
            <v>20658</v>
          </cell>
          <cell r="C1616">
            <v>20658</v>
          </cell>
          <cell r="D1616" t="str">
            <v>adult</v>
          </cell>
          <cell r="E1616" t="str">
            <v>B</v>
          </cell>
          <cell r="F1616" t="str">
            <v>MENTAL HEALTH PSYCHIATRIST</v>
          </cell>
          <cell r="G1616" t="str">
            <v>4735A</v>
          </cell>
          <cell r="H1616">
            <v>12844</v>
          </cell>
          <cell r="I1616">
            <v>1</v>
          </cell>
          <cell r="J1616">
            <v>12</v>
          </cell>
          <cell r="K1616">
            <v>1</v>
          </cell>
          <cell r="L1616">
            <v>154128</v>
          </cell>
        </row>
        <row r="1617">
          <cell r="A1617">
            <v>109328</v>
          </cell>
          <cell r="B1617">
            <v>20658</v>
          </cell>
          <cell r="C1617">
            <v>20658</v>
          </cell>
          <cell r="D1617" t="str">
            <v>adult</v>
          </cell>
          <cell r="E1617" t="str">
            <v>B</v>
          </cell>
          <cell r="F1617" t="str">
            <v>MENTAL HEALTH PSYCHIATRIST</v>
          </cell>
          <cell r="G1617" t="str">
            <v>4735A</v>
          </cell>
          <cell r="H1617">
            <v>12844</v>
          </cell>
          <cell r="I1617">
            <v>1</v>
          </cell>
          <cell r="J1617">
            <v>12</v>
          </cell>
          <cell r="K1617">
            <v>1</v>
          </cell>
          <cell r="L1617">
            <v>154128</v>
          </cell>
        </row>
        <row r="1618">
          <cell r="A1618">
            <v>100557</v>
          </cell>
          <cell r="B1618">
            <v>20477</v>
          </cell>
          <cell r="C1618">
            <v>20658</v>
          </cell>
          <cell r="D1618" t="str">
            <v>adult</v>
          </cell>
          <cell r="E1618" t="str">
            <v>B</v>
          </cell>
          <cell r="F1618" t="str">
            <v>MENTAL HLTH CLINICAL DIST CHIEF</v>
          </cell>
          <cell r="G1618" t="str">
            <v>4722A</v>
          </cell>
          <cell r="H1618">
            <v>10074</v>
          </cell>
          <cell r="I1618">
            <v>1</v>
          </cell>
          <cell r="J1618">
            <v>12</v>
          </cell>
          <cell r="K1618">
            <v>1</v>
          </cell>
          <cell r="L1618">
            <v>120887.6</v>
          </cell>
        </row>
        <row r="1619">
          <cell r="A1619">
            <v>104957</v>
          </cell>
          <cell r="B1619">
            <v>20562</v>
          </cell>
          <cell r="C1619">
            <v>20658</v>
          </cell>
          <cell r="D1619" t="str">
            <v>adult</v>
          </cell>
          <cell r="E1619" t="str">
            <v>B</v>
          </cell>
          <cell r="F1619" t="str">
            <v>MENTAL HLTH CLINICAL DIST CHIEF, MD</v>
          </cell>
          <cell r="G1619" t="str">
            <v>5492A</v>
          </cell>
          <cell r="H1619">
            <v>12444</v>
          </cell>
          <cell r="I1619">
            <v>1</v>
          </cell>
          <cell r="J1619">
            <v>12</v>
          </cell>
          <cell r="K1619">
            <v>1</v>
          </cell>
          <cell r="L1619">
            <v>149328</v>
          </cell>
        </row>
        <row r="1620">
          <cell r="A1620">
            <v>105020</v>
          </cell>
          <cell r="B1620">
            <v>23001</v>
          </cell>
          <cell r="C1620">
            <v>20658</v>
          </cell>
          <cell r="D1620" t="str">
            <v>adult</v>
          </cell>
          <cell r="E1620" t="str">
            <v>B</v>
          </cell>
          <cell r="F1620" t="str">
            <v>MNTL HLTH CLINICAL PROGRAM HEAD</v>
          </cell>
          <cell r="G1620" t="str">
            <v>4726A</v>
          </cell>
          <cell r="H1620">
            <v>8709.73</v>
          </cell>
          <cell r="I1620">
            <v>1</v>
          </cell>
          <cell r="J1620">
            <v>12</v>
          </cell>
          <cell r="K1620">
            <v>1</v>
          </cell>
          <cell r="L1620">
            <v>104516.76</v>
          </cell>
        </row>
        <row r="1621">
          <cell r="A1621">
            <v>105043</v>
          </cell>
          <cell r="B1621">
            <v>18634</v>
          </cell>
          <cell r="C1621">
            <v>20658</v>
          </cell>
          <cell r="D1621" t="str">
            <v>adult</v>
          </cell>
          <cell r="E1621" t="str">
            <v>B</v>
          </cell>
          <cell r="F1621" t="str">
            <v>MNTL HLTH CLINICAL PROGRAM HEAD</v>
          </cell>
          <cell r="G1621" t="str">
            <v>4726A</v>
          </cell>
          <cell r="H1621">
            <v>8709.73</v>
          </cell>
          <cell r="I1621">
            <v>1</v>
          </cell>
          <cell r="J1621">
            <v>12</v>
          </cell>
          <cell r="K1621">
            <v>1</v>
          </cell>
          <cell r="L1621">
            <v>104516.76</v>
          </cell>
        </row>
        <row r="1622">
          <cell r="A1622">
            <v>109320</v>
          </cell>
          <cell r="B1622">
            <v>20658</v>
          </cell>
          <cell r="C1622">
            <v>20658</v>
          </cell>
          <cell r="D1622" t="str">
            <v>adult</v>
          </cell>
          <cell r="E1622" t="str">
            <v>B</v>
          </cell>
          <cell r="F1622" t="str">
            <v>MNTL HLTH CLINICAL PROGRAM HEAD</v>
          </cell>
          <cell r="G1622" t="str">
            <v>4726A</v>
          </cell>
          <cell r="H1622">
            <v>8709.73</v>
          </cell>
          <cell r="I1622">
            <v>1</v>
          </cell>
          <cell r="J1622">
            <v>12</v>
          </cell>
          <cell r="K1622">
            <v>1</v>
          </cell>
          <cell r="L1622">
            <v>104516.76</v>
          </cell>
        </row>
        <row r="1623">
          <cell r="A1623">
            <v>106167</v>
          </cell>
          <cell r="B1623">
            <v>18676</v>
          </cell>
          <cell r="C1623">
            <v>20658</v>
          </cell>
          <cell r="D1623" t="str">
            <v>adult</v>
          </cell>
          <cell r="E1623" t="str">
            <v>B</v>
          </cell>
          <cell r="F1623" t="str">
            <v xml:space="preserve">OCCUPATIONAL THERAPIST I </v>
          </cell>
          <cell r="G1623" t="str">
            <v>5856A</v>
          </cell>
          <cell r="H1623">
            <v>5756.27</v>
          </cell>
          <cell r="I1623">
            <v>1</v>
          </cell>
          <cell r="J1623">
            <v>12</v>
          </cell>
          <cell r="K1623">
            <v>1</v>
          </cell>
          <cell r="L1623">
            <v>68715.399999999994</v>
          </cell>
        </row>
        <row r="1624">
          <cell r="A1624">
            <v>106170</v>
          </cell>
          <cell r="B1624">
            <v>18676</v>
          </cell>
          <cell r="C1624">
            <v>20658</v>
          </cell>
          <cell r="D1624" t="str">
            <v>adult</v>
          </cell>
          <cell r="E1624" t="str">
            <v>B</v>
          </cell>
          <cell r="F1624" t="str">
            <v xml:space="preserve">OCCUPATIONAL THERAPIST I </v>
          </cell>
          <cell r="G1624" t="str">
            <v>5856A</v>
          </cell>
          <cell r="H1624">
            <v>5756.27</v>
          </cell>
          <cell r="I1624">
            <v>1</v>
          </cell>
          <cell r="J1624">
            <v>12</v>
          </cell>
          <cell r="K1624">
            <v>1</v>
          </cell>
          <cell r="L1624">
            <v>68715.399999999994</v>
          </cell>
        </row>
        <row r="1625">
          <cell r="A1625">
            <v>103638</v>
          </cell>
          <cell r="B1625">
            <v>18634</v>
          </cell>
          <cell r="C1625">
            <v>20658</v>
          </cell>
          <cell r="D1625" t="str">
            <v>adult</v>
          </cell>
          <cell r="E1625" t="str">
            <v>B</v>
          </cell>
          <cell r="F1625" t="str">
            <v xml:space="preserve">PATIENT FINANCIAL SERVICES WORKER  </v>
          </cell>
          <cell r="G1625" t="str">
            <v>9193A</v>
          </cell>
          <cell r="H1625">
            <v>3403.55</v>
          </cell>
          <cell r="I1625">
            <v>1</v>
          </cell>
          <cell r="J1625">
            <v>12</v>
          </cell>
          <cell r="K1625">
            <v>1</v>
          </cell>
          <cell r="L1625">
            <v>40842.6</v>
          </cell>
        </row>
        <row r="1626">
          <cell r="A1626">
            <v>109329</v>
          </cell>
          <cell r="B1626">
            <v>20658</v>
          </cell>
          <cell r="C1626">
            <v>20658</v>
          </cell>
          <cell r="D1626" t="str">
            <v>adult</v>
          </cell>
          <cell r="E1626" t="str">
            <v>B</v>
          </cell>
          <cell r="F1626" t="str">
            <v xml:space="preserve">PATIENT FINANCIAL SERVICES WORKER  </v>
          </cell>
          <cell r="G1626" t="str">
            <v>9193A</v>
          </cell>
          <cell r="H1626">
            <v>3403.55</v>
          </cell>
          <cell r="I1626">
            <v>1</v>
          </cell>
          <cell r="J1626">
            <v>12</v>
          </cell>
          <cell r="K1626">
            <v>1</v>
          </cell>
          <cell r="L1626">
            <v>40842.92</v>
          </cell>
        </row>
        <row r="1627">
          <cell r="A1627">
            <v>109198</v>
          </cell>
          <cell r="B1627">
            <v>27506</v>
          </cell>
          <cell r="C1627">
            <v>20658</v>
          </cell>
          <cell r="D1627" t="str">
            <v>adult</v>
          </cell>
          <cell r="E1627" t="str">
            <v>B</v>
          </cell>
          <cell r="F1627" t="str">
            <v>PATIENT RESOURCES WORKER</v>
          </cell>
          <cell r="G1627" t="str">
            <v>9192A</v>
          </cell>
          <cell r="H1627">
            <v>2748.27</v>
          </cell>
          <cell r="I1627">
            <v>1</v>
          </cell>
          <cell r="J1627">
            <v>12</v>
          </cell>
          <cell r="K1627">
            <v>1</v>
          </cell>
          <cell r="L1627">
            <v>32979.24</v>
          </cell>
        </row>
        <row r="1628">
          <cell r="A1628">
            <v>109330</v>
          </cell>
          <cell r="B1628">
            <v>20658</v>
          </cell>
          <cell r="C1628">
            <v>20658</v>
          </cell>
          <cell r="D1628" t="str">
            <v>adult</v>
          </cell>
          <cell r="E1628" t="str">
            <v>B</v>
          </cell>
          <cell r="F1628" t="str">
            <v>PATIENT RESOURCES WORKER</v>
          </cell>
          <cell r="G1628" t="str">
            <v>9192A</v>
          </cell>
          <cell r="H1628">
            <v>2748.27</v>
          </cell>
          <cell r="I1628">
            <v>1</v>
          </cell>
          <cell r="J1628">
            <v>12</v>
          </cell>
          <cell r="K1628">
            <v>1</v>
          </cell>
          <cell r="L1628">
            <v>32978.839999999997</v>
          </cell>
        </row>
        <row r="1629">
          <cell r="A1629">
            <v>109331</v>
          </cell>
          <cell r="B1629">
            <v>20658</v>
          </cell>
          <cell r="C1629">
            <v>20658</v>
          </cell>
          <cell r="D1629" t="str">
            <v>adult</v>
          </cell>
          <cell r="E1629" t="str">
            <v>B</v>
          </cell>
          <cell r="F1629" t="str">
            <v>PATIENT RESOURCES WORKER</v>
          </cell>
          <cell r="G1629" t="str">
            <v>9192A</v>
          </cell>
          <cell r="H1629">
            <v>2748.27</v>
          </cell>
          <cell r="I1629">
            <v>1</v>
          </cell>
          <cell r="J1629">
            <v>12</v>
          </cell>
          <cell r="K1629">
            <v>1</v>
          </cell>
          <cell r="L1629">
            <v>32978.839999999997</v>
          </cell>
        </row>
        <row r="1630">
          <cell r="A1630">
            <v>100997</v>
          </cell>
          <cell r="B1630">
            <v>20658</v>
          </cell>
          <cell r="C1630">
            <v>20658</v>
          </cell>
          <cell r="D1630" t="str">
            <v>adult</v>
          </cell>
          <cell r="E1630" t="str">
            <v>B</v>
          </cell>
          <cell r="F1630" t="str">
            <v>PSYCHIATRIC SOCIAL WORKER II</v>
          </cell>
          <cell r="G1630" t="str">
            <v>9035A</v>
          </cell>
          <cell r="H1630">
            <v>5425.82</v>
          </cell>
          <cell r="I1630">
            <v>1</v>
          </cell>
          <cell r="J1630">
            <v>12</v>
          </cell>
          <cell r="K1630">
            <v>1</v>
          </cell>
          <cell r="L1630">
            <v>65109.84</v>
          </cell>
        </row>
        <row r="1631">
          <cell r="A1631">
            <v>101198</v>
          </cell>
          <cell r="B1631">
            <v>20657</v>
          </cell>
          <cell r="C1631">
            <v>20658</v>
          </cell>
          <cell r="D1631" t="str">
            <v>adult</v>
          </cell>
          <cell r="E1631" t="str">
            <v>B</v>
          </cell>
          <cell r="F1631" t="str">
            <v>PSYCHIATRIC SOCIAL WORKER II</v>
          </cell>
          <cell r="G1631" t="str">
            <v>9035A</v>
          </cell>
          <cell r="H1631">
            <v>5425.82</v>
          </cell>
          <cell r="I1631">
            <v>1</v>
          </cell>
          <cell r="J1631">
            <v>12</v>
          </cell>
          <cell r="K1631">
            <v>1</v>
          </cell>
          <cell r="L1631">
            <v>65109.84</v>
          </cell>
        </row>
        <row r="1632">
          <cell r="A1632">
            <v>104782</v>
          </cell>
          <cell r="B1632">
            <v>20658</v>
          </cell>
          <cell r="C1632">
            <v>20658</v>
          </cell>
          <cell r="D1632" t="str">
            <v>adult</v>
          </cell>
          <cell r="E1632" t="str">
            <v>B</v>
          </cell>
          <cell r="F1632" t="str">
            <v>PSYCHIATRIC SOCIAL WORKER II</v>
          </cell>
          <cell r="G1632" t="str">
            <v>9035A</v>
          </cell>
          <cell r="H1632">
            <v>5425.82</v>
          </cell>
          <cell r="I1632">
            <v>1</v>
          </cell>
          <cell r="J1632">
            <v>12</v>
          </cell>
          <cell r="K1632">
            <v>1</v>
          </cell>
          <cell r="L1632">
            <v>65109.84</v>
          </cell>
        </row>
        <row r="1633">
          <cell r="A1633">
            <v>104927</v>
          </cell>
          <cell r="B1633">
            <v>20494</v>
          </cell>
          <cell r="C1633">
            <v>20658</v>
          </cell>
          <cell r="D1633" t="str">
            <v>adult</v>
          </cell>
          <cell r="E1633" t="str">
            <v>B</v>
          </cell>
          <cell r="F1633" t="str">
            <v>PSYCHIATRIC SOCIAL WORKER II</v>
          </cell>
          <cell r="G1633" t="str">
            <v>9035A</v>
          </cell>
          <cell r="H1633">
            <v>5425.82</v>
          </cell>
          <cell r="I1633">
            <v>1</v>
          </cell>
          <cell r="J1633">
            <v>12</v>
          </cell>
          <cell r="K1633">
            <v>1</v>
          </cell>
          <cell r="L1633">
            <v>65109.84</v>
          </cell>
        </row>
        <row r="1634">
          <cell r="A1634">
            <v>106650</v>
          </cell>
          <cell r="B1634">
            <v>21542</v>
          </cell>
          <cell r="C1634">
            <v>20658</v>
          </cell>
          <cell r="D1634" t="str">
            <v>adult</v>
          </cell>
          <cell r="E1634" t="str">
            <v>B</v>
          </cell>
          <cell r="F1634" t="str">
            <v>PSYCHIATRIC SOCIAL WORKER II</v>
          </cell>
          <cell r="G1634" t="str">
            <v>9035A</v>
          </cell>
          <cell r="H1634">
            <v>5425.82</v>
          </cell>
          <cell r="I1634">
            <v>1</v>
          </cell>
          <cell r="J1634">
            <v>12</v>
          </cell>
          <cell r="K1634">
            <v>1</v>
          </cell>
          <cell r="L1634">
            <v>65109.84</v>
          </cell>
        </row>
        <row r="1635">
          <cell r="A1635">
            <v>109337</v>
          </cell>
          <cell r="B1635">
            <v>20658</v>
          </cell>
          <cell r="C1635">
            <v>20658</v>
          </cell>
          <cell r="D1635" t="str">
            <v>adult</v>
          </cell>
          <cell r="E1635" t="str">
            <v>B</v>
          </cell>
          <cell r="F1635" t="str">
            <v>PSYCHIATRIC SOCIAL WORKER II</v>
          </cell>
          <cell r="G1635" t="str">
            <v>9035A</v>
          </cell>
          <cell r="H1635">
            <v>5425.82</v>
          </cell>
          <cell r="I1635">
            <v>1</v>
          </cell>
          <cell r="J1635">
            <v>12</v>
          </cell>
          <cell r="K1635">
            <v>1</v>
          </cell>
          <cell r="L1635">
            <v>65109.760000000002</v>
          </cell>
        </row>
        <row r="1636">
          <cell r="A1636">
            <v>102570</v>
          </cell>
          <cell r="B1636">
            <v>20575</v>
          </cell>
          <cell r="C1636">
            <v>20658</v>
          </cell>
          <cell r="D1636" t="str">
            <v>adult</v>
          </cell>
          <cell r="E1636" t="str">
            <v>B</v>
          </cell>
          <cell r="F1636" t="str">
            <v>PSYCHIATRIC TECHNICIAN II</v>
          </cell>
          <cell r="G1636" t="str">
            <v>8162A</v>
          </cell>
          <cell r="H1636">
            <v>3420.09</v>
          </cell>
          <cell r="I1636">
            <v>1</v>
          </cell>
          <cell r="J1636">
            <v>12</v>
          </cell>
          <cell r="K1636">
            <v>1</v>
          </cell>
          <cell r="L1636">
            <v>41041.08</v>
          </cell>
        </row>
        <row r="1637">
          <cell r="A1637">
            <v>101367</v>
          </cell>
          <cell r="B1637">
            <v>23010</v>
          </cell>
          <cell r="C1637">
            <v>20658</v>
          </cell>
          <cell r="D1637" t="str">
            <v>adult</v>
          </cell>
          <cell r="E1637" t="str">
            <v>B</v>
          </cell>
          <cell r="F1637" t="str">
            <v>RECREATION THERAPIST II</v>
          </cell>
          <cell r="G1637" t="str">
            <v>5872A</v>
          </cell>
          <cell r="H1637">
            <v>4667.6400000000003</v>
          </cell>
          <cell r="I1637">
            <v>1</v>
          </cell>
          <cell r="J1637">
            <v>12</v>
          </cell>
          <cell r="K1637">
            <v>1</v>
          </cell>
          <cell r="L1637">
            <v>56011.68</v>
          </cell>
        </row>
        <row r="1638">
          <cell r="A1638">
            <v>104506</v>
          </cell>
          <cell r="B1638">
            <v>20590</v>
          </cell>
          <cell r="C1638">
            <v>20658</v>
          </cell>
          <cell r="D1638" t="str">
            <v>adult</v>
          </cell>
          <cell r="E1638" t="str">
            <v>B</v>
          </cell>
          <cell r="F1638" t="str">
            <v>REHABILITATION COUNSELOR II</v>
          </cell>
          <cell r="G1638" t="str">
            <v>8593A</v>
          </cell>
          <cell r="H1638">
            <v>4076.09</v>
          </cell>
          <cell r="I1638">
            <v>1</v>
          </cell>
          <cell r="J1638">
            <v>12</v>
          </cell>
          <cell r="K1638">
            <v>1</v>
          </cell>
          <cell r="L1638">
            <v>48922.8</v>
          </cell>
        </row>
        <row r="1639">
          <cell r="A1639">
            <v>107333</v>
          </cell>
          <cell r="B1639">
            <v>21557</v>
          </cell>
          <cell r="C1639">
            <v>20658</v>
          </cell>
          <cell r="D1639" t="str">
            <v>adult</v>
          </cell>
          <cell r="E1639" t="str">
            <v>B</v>
          </cell>
          <cell r="F1639" t="str">
            <v>SECRETARY II</v>
          </cell>
          <cell r="G1639" t="str">
            <v>2095A</v>
          </cell>
          <cell r="H1639">
            <v>3210</v>
          </cell>
          <cell r="I1639">
            <v>1</v>
          </cell>
          <cell r="J1639">
            <v>12</v>
          </cell>
          <cell r="K1639">
            <v>1</v>
          </cell>
          <cell r="L1639">
            <v>38520.239999999998</v>
          </cell>
        </row>
        <row r="1640">
          <cell r="A1640">
            <v>106196</v>
          </cell>
          <cell r="B1640">
            <v>18676</v>
          </cell>
          <cell r="C1640">
            <v>20658</v>
          </cell>
          <cell r="D1640" t="str">
            <v>adult</v>
          </cell>
          <cell r="E1640" t="str">
            <v>B</v>
          </cell>
          <cell r="F1640" t="str">
            <v xml:space="preserve">SENIOR COMMUNITY WORKER I          </v>
          </cell>
          <cell r="G1640" t="str">
            <v>8104A</v>
          </cell>
          <cell r="H1640">
            <v>3087.73</v>
          </cell>
          <cell r="I1640">
            <v>1</v>
          </cell>
          <cell r="J1640">
            <v>12</v>
          </cell>
          <cell r="K1640">
            <v>1</v>
          </cell>
          <cell r="L1640">
            <v>37052.76</v>
          </cell>
        </row>
        <row r="1641">
          <cell r="A1641">
            <v>102790</v>
          </cell>
          <cell r="B1641">
            <v>23034</v>
          </cell>
          <cell r="C1641">
            <v>20658</v>
          </cell>
          <cell r="D1641" t="str">
            <v>adult</v>
          </cell>
          <cell r="E1641" t="str">
            <v>B</v>
          </cell>
          <cell r="F1641" t="str">
            <v xml:space="preserve">SENIOR COMMUNITY WORKER II         </v>
          </cell>
          <cell r="G1641" t="str">
            <v>8105A</v>
          </cell>
          <cell r="H1641">
            <v>3428.36</v>
          </cell>
          <cell r="I1641">
            <v>1</v>
          </cell>
          <cell r="J1641">
            <v>12</v>
          </cell>
          <cell r="K1641">
            <v>1</v>
          </cell>
          <cell r="L1641">
            <v>41140.32</v>
          </cell>
        </row>
        <row r="1642">
          <cell r="A1642">
            <v>102798</v>
          </cell>
          <cell r="B1642">
            <v>23034</v>
          </cell>
          <cell r="C1642">
            <v>20658</v>
          </cell>
          <cell r="D1642" t="str">
            <v>adult</v>
          </cell>
          <cell r="E1642" t="str">
            <v>B</v>
          </cell>
          <cell r="F1642" t="str">
            <v xml:space="preserve">SENIOR COMMUNITY WORKER II         </v>
          </cell>
          <cell r="G1642" t="str">
            <v>8105A</v>
          </cell>
          <cell r="H1642">
            <v>3428.36</v>
          </cell>
          <cell r="I1642">
            <v>1</v>
          </cell>
          <cell r="J1642">
            <v>12</v>
          </cell>
          <cell r="K1642">
            <v>1</v>
          </cell>
          <cell r="L1642">
            <v>41140.32</v>
          </cell>
        </row>
        <row r="1643">
          <cell r="A1643">
            <v>104436</v>
          </cell>
          <cell r="B1643">
            <v>20658</v>
          </cell>
          <cell r="C1643">
            <v>20658</v>
          </cell>
          <cell r="D1643" t="str">
            <v>adult</v>
          </cell>
          <cell r="E1643" t="str">
            <v>B</v>
          </cell>
          <cell r="F1643" t="str">
            <v xml:space="preserve">SENIOR COMMUNITY WORKER II         </v>
          </cell>
          <cell r="G1643" t="str">
            <v>8105A</v>
          </cell>
          <cell r="H1643">
            <v>3428.36</v>
          </cell>
          <cell r="I1643">
            <v>1</v>
          </cell>
          <cell r="J1643">
            <v>12</v>
          </cell>
          <cell r="K1643">
            <v>1</v>
          </cell>
          <cell r="L1643">
            <v>41140.32</v>
          </cell>
        </row>
        <row r="1644">
          <cell r="A1644">
            <v>102398</v>
          </cell>
          <cell r="B1644">
            <v>23007</v>
          </cell>
          <cell r="C1644">
            <v>20658</v>
          </cell>
          <cell r="D1644" t="str">
            <v>adult</v>
          </cell>
          <cell r="E1644" t="str">
            <v>B</v>
          </cell>
          <cell r="F1644" t="str">
            <v xml:space="preserve">SR COMMUN MENTAL HLTH PSYCHOLOGIST </v>
          </cell>
          <cell r="G1644" t="str">
            <v>8712A</v>
          </cell>
          <cell r="H1644">
            <v>7311.45</v>
          </cell>
          <cell r="I1644">
            <v>1</v>
          </cell>
          <cell r="J1644">
            <v>12</v>
          </cell>
          <cell r="K1644">
            <v>1</v>
          </cell>
          <cell r="L1644">
            <v>87737.16</v>
          </cell>
        </row>
        <row r="1645">
          <cell r="A1645">
            <v>106306</v>
          </cell>
          <cell r="B1645">
            <v>23019</v>
          </cell>
          <cell r="C1645">
            <v>20658</v>
          </cell>
          <cell r="D1645" t="str">
            <v>adult</v>
          </cell>
          <cell r="E1645" t="str">
            <v>B</v>
          </cell>
          <cell r="F1645" t="str">
            <v xml:space="preserve">SR COMMUN MENTAL HLTH PSYCHOLOGIST </v>
          </cell>
          <cell r="G1645" t="str">
            <v>8712A</v>
          </cell>
          <cell r="H1645">
            <v>7311.45</v>
          </cell>
          <cell r="I1645">
            <v>1</v>
          </cell>
          <cell r="J1645">
            <v>12</v>
          </cell>
          <cell r="K1645">
            <v>1</v>
          </cell>
          <cell r="L1645">
            <v>87737.16</v>
          </cell>
        </row>
        <row r="1646">
          <cell r="A1646">
            <v>104393</v>
          </cell>
          <cell r="B1646">
            <v>20944</v>
          </cell>
          <cell r="C1646">
            <v>20658</v>
          </cell>
          <cell r="D1646" t="str">
            <v>adult</v>
          </cell>
          <cell r="E1646" t="str">
            <v>B</v>
          </cell>
          <cell r="F1646" t="str">
            <v>STAFF ASSISTANT III</v>
          </cell>
          <cell r="G1646" t="str">
            <v>0915A</v>
          </cell>
          <cell r="H1646">
            <v>4737.6400000000003</v>
          </cell>
          <cell r="I1646">
            <v>1</v>
          </cell>
          <cell r="J1646">
            <v>12</v>
          </cell>
          <cell r="K1646">
            <v>1</v>
          </cell>
          <cell r="L1646">
            <v>56851.519999999997</v>
          </cell>
        </row>
        <row r="1647">
          <cell r="A1647">
            <v>106260</v>
          </cell>
          <cell r="B1647">
            <v>23035</v>
          </cell>
          <cell r="C1647">
            <v>20658</v>
          </cell>
          <cell r="D1647" t="str">
            <v>adult</v>
          </cell>
          <cell r="E1647" t="str">
            <v>B</v>
          </cell>
          <cell r="F1647" t="str">
            <v xml:space="preserve">STUDENT WORKER                     </v>
          </cell>
          <cell r="G1647" t="str">
            <v>8242F</v>
          </cell>
          <cell r="H1647">
            <v>8.52</v>
          </cell>
          <cell r="I1647">
            <v>1</v>
          </cell>
          <cell r="J1647">
            <v>1044</v>
          </cell>
          <cell r="K1647">
            <v>0</v>
          </cell>
          <cell r="L1647">
            <v>8895.24</v>
          </cell>
        </row>
        <row r="1648">
          <cell r="A1648">
            <v>109341</v>
          </cell>
          <cell r="B1648">
            <v>20658</v>
          </cell>
          <cell r="C1648">
            <v>20658</v>
          </cell>
          <cell r="D1648" t="str">
            <v>adult</v>
          </cell>
          <cell r="E1648" t="str">
            <v>B</v>
          </cell>
          <cell r="F1648" t="str">
            <v xml:space="preserve">SUPVG MENTAL HEALTH PSYCHIATRIST   </v>
          </cell>
          <cell r="G1648" t="str">
            <v>4737A</v>
          </cell>
          <cell r="H1648">
            <v>13870</v>
          </cell>
          <cell r="I1648">
            <v>1</v>
          </cell>
          <cell r="J1648">
            <v>12</v>
          </cell>
          <cell r="K1648">
            <v>1</v>
          </cell>
          <cell r="L1648">
            <v>166440</v>
          </cell>
        </row>
        <row r="1649">
          <cell r="A1649">
            <v>110411</v>
          </cell>
          <cell r="B1649">
            <v>20658</v>
          </cell>
          <cell r="D1649" t="str">
            <v>adult</v>
          </cell>
          <cell r="E1649" t="str">
            <v>B</v>
          </cell>
          <cell r="F1649" t="str">
            <v xml:space="preserve">SUPVG MENTAL HEALTH PSYCHIATRIST   </v>
          </cell>
          <cell r="G1649" t="str">
            <v>4737A</v>
          </cell>
          <cell r="H1649">
            <v>13870</v>
          </cell>
          <cell r="J1649">
            <v>12</v>
          </cell>
          <cell r="K1649">
            <v>1</v>
          </cell>
          <cell r="L1649">
            <v>166440</v>
          </cell>
        </row>
        <row r="1650">
          <cell r="A1650">
            <v>104788</v>
          </cell>
          <cell r="B1650">
            <v>20658</v>
          </cell>
          <cell r="C1650">
            <v>20658</v>
          </cell>
          <cell r="D1650" t="str">
            <v>adult</v>
          </cell>
          <cell r="E1650" t="str">
            <v>B</v>
          </cell>
          <cell r="F1650" t="str">
            <v xml:space="preserve">SUPVG PSYCHIATRIC SOCIAL WORKER    </v>
          </cell>
          <cell r="G1650" t="str">
            <v>9038A</v>
          </cell>
          <cell r="H1650">
            <v>6062.45</v>
          </cell>
          <cell r="I1650">
            <v>1</v>
          </cell>
          <cell r="J1650">
            <v>12</v>
          </cell>
          <cell r="K1650">
            <v>1</v>
          </cell>
          <cell r="L1650">
            <v>72749.399999999994</v>
          </cell>
        </row>
        <row r="1651">
          <cell r="A1651">
            <v>109919</v>
          </cell>
          <cell r="B1651">
            <v>27592</v>
          </cell>
          <cell r="C1651">
            <v>20658</v>
          </cell>
          <cell r="D1651" t="str">
            <v>adult</v>
          </cell>
          <cell r="E1651" t="str">
            <v>B</v>
          </cell>
          <cell r="F1651" t="str">
            <v xml:space="preserve">SUPVG PSYCHIATRIC SOCIAL WORKER    </v>
          </cell>
          <cell r="G1651" t="str">
            <v>9038A</v>
          </cell>
          <cell r="H1651">
            <v>6062.45</v>
          </cell>
          <cell r="I1651">
            <v>1</v>
          </cell>
          <cell r="J1651">
            <v>12</v>
          </cell>
          <cell r="K1651">
            <v>1</v>
          </cell>
          <cell r="L1651">
            <v>72749.399999999994</v>
          </cell>
        </row>
        <row r="1652">
          <cell r="A1652">
            <v>109876</v>
          </cell>
          <cell r="B1652" t="str">
            <v>TBA</v>
          </cell>
          <cell r="C1652">
            <v>20658</v>
          </cell>
          <cell r="D1652" t="str">
            <v>adult</v>
          </cell>
          <cell r="E1652" t="str">
            <v>B</v>
          </cell>
          <cell r="F1652" t="str">
            <v>TRAINING COORDINATOR, MH</v>
          </cell>
          <cell r="G1652" t="str">
            <v>1865A</v>
          </cell>
          <cell r="H1652">
            <v>6062.45</v>
          </cell>
          <cell r="I1652">
            <v>1</v>
          </cell>
          <cell r="J1652">
            <v>12</v>
          </cell>
          <cell r="K1652">
            <v>1</v>
          </cell>
          <cell r="L1652">
            <v>72749.399999999994</v>
          </cell>
        </row>
        <row r="1653">
          <cell r="A1653">
            <v>104222</v>
          </cell>
          <cell r="B1653">
            <v>23003</v>
          </cell>
          <cell r="C1653">
            <v>23003</v>
          </cell>
          <cell r="D1653" t="str">
            <v>adult</v>
          </cell>
          <cell r="E1653" t="str">
            <v>B</v>
          </cell>
          <cell r="F1653" t="str">
            <v>CLINICAL PSYCHOLOGIST II</v>
          </cell>
          <cell r="G1653" t="str">
            <v>8697A</v>
          </cell>
          <cell r="H1653">
            <v>6993.82</v>
          </cell>
          <cell r="I1653">
            <v>1</v>
          </cell>
          <cell r="J1653">
            <v>12</v>
          </cell>
          <cell r="K1653">
            <v>1</v>
          </cell>
          <cell r="L1653">
            <v>83925.52</v>
          </cell>
        </row>
        <row r="1654">
          <cell r="A1654">
            <v>104428</v>
          </cell>
          <cell r="B1654">
            <v>23003</v>
          </cell>
          <cell r="C1654">
            <v>23003</v>
          </cell>
          <cell r="D1654" t="str">
            <v>adult</v>
          </cell>
          <cell r="E1654" t="str">
            <v>B</v>
          </cell>
          <cell r="F1654" t="str">
            <v>CLINICAL PSYCHOLOGIST II</v>
          </cell>
          <cell r="G1654" t="str">
            <v>8697A</v>
          </cell>
          <cell r="H1654">
            <v>6993.82</v>
          </cell>
          <cell r="I1654">
            <v>1</v>
          </cell>
          <cell r="J1654">
            <v>12</v>
          </cell>
          <cell r="K1654">
            <v>1</v>
          </cell>
          <cell r="L1654">
            <v>83925.52</v>
          </cell>
        </row>
        <row r="1655">
          <cell r="A1655">
            <v>100181</v>
          </cell>
          <cell r="B1655">
            <v>20658</v>
          </cell>
          <cell r="C1655">
            <v>23003</v>
          </cell>
          <cell r="D1655" t="str">
            <v>adult</v>
          </cell>
          <cell r="E1655" t="str">
            <v>B</v>
          </cell>
          <cell r="F1655" t="str">
            <v>COMMUNITY WORKER</v>
          </cell>
          <cell r="G1655" t="str">
            <v>8103A</v>
          </cell>
          <cell r="H1655">
            <v>2984.09</v>
          </cell>
          <cell r="I1655">
            <v>1</v>
          </cell>
          <cell r="J1655">
            <v>12</v>
          </cell>
          <cell r="K1655">
            <v>1</v>
          </cell>
          <cell r="L1655">
            <v>35809.08</v>
          </cell>
        </row>
        <row r="1656">
          <cell r="A1656">
            <v>102650</v>
          </cell>
          <cell r="B1656">
            <v>23003</v>
          </cell>
          <cell r="C1656">
            <v>23003</v>
          </cell>
          <cell r="D1656" t="str">
            <v>adult</v>
          </cell>
          <cell r="E1656" t="str">
            <v>B</v>
          </cell>
          <cell r="F1656" t="str">
            <v>COMMUNITY WORKER</v>
          </cell>
          <cell r="G1656" t="str">
            <v>8103A</v>
          </cell>
          <cell r="H1656">
            <v>2984.09</v>
          </cell>
          <cell r="I1656">
            <v>1</v>
          </cell>
          <cell r="J1656">
            <v>12</v>
          </cell>
          <cell r="K1656">
            <v>1</v>
          </cell>
          <cell r="L1656">
            <v>35809.08</v>
          </cell>
        </row>
        <row r="1657">
          <cell r="A1657">
            <v>102525</v>
          </cell>
          <cell r="B1657">
            <v>23003</v>
          </cell>
          <cell r="C1657">
            <v>23003</v>
          </cell>
          <cell r="D1657" t="str">
            <v>adult</v>
          </cell>
          <cell r="E1657" t="str">
            <v>B</v>
          </cell>
          <cell r="F1657" t="str">
            <v xml:space="preserve">INT SUPERVISING TYPIST-CLERK       </v>
          </cell>
          <cell r="G1657" t="str">
            <v>2221A</v>
          </cell>
          <cell r="H1657">
            <v>3337.91</v>
          </cell>
          <cell r="I1657">
            <v>1</v>
          </cell>
          <cell r="J1657">
            <v>12</v>
          </cell>
          <cell r="K1657">
            <v>1</v>
          </cell>
          <cell r="L1657">
            <v>40054.519999999997</v>
          </cell>
        </row>
        <row r="1658">
          <cell r="A1658">
            <v>102527</v>
          </cell>
          <cell r="B1658">
            <v>23003</v>
          </cell>
          <cell r="C1658">
            <v>23003</v>
          </cell>
          <cell r="D1658" t="str">
            <v>adult</v>
          </cell>
          <cell r="E1658" t="str">
            <v>B</v>
          </cell>
          <cell r="F1658" t="str">
            <v>INTERMEDIATE TYPIST-CLERK</v>
          </cell>
          <cell r="G1658" t="str">
            <v>2214A</v>
          </cell>
          <cell r="H1658">
            <v>2675.27</v>
          </cell>
          <cell r="I1658">
            <v>1</v>
          </cell>
          <cell r="J1658">
            <v>12</v>
          </cell>
          <cell r="K1658">
            <v>1</v>
          </cell>
          <cell r="L1658">
            <v>32103.16</v>
          </cell>
        </row>
        <row r="1659">
          <cell r="A1659">
            <v>102625</v>
          </cell>
          <cell r="B1659">
            <v>23003</v>
          </cell>
          <cell r="C1659">
            <v>23003</v>
          </cell>
          <cell r="D1659" t="str">
            <v>adult</v>
          </cell>
          <cell r="E1659" t="str">
            <v>B</v>
          </cell>
          <cell r="F1659" t="str">
            <v>INTERMEDIATE TYPIST-CLERK</v>
          </cell>
          <cell r="G1659" t="str">
            <v>2214A</v>
          </cell>
          <cell r="H1659">
            <v>2675.27</v>
          </cell>
          <cell r="I1659">
            <v>1</v>
          </cell>
          <cell r="J1659">
            <v>12</v>
          </cell>
          <cell r="K1659">
            <v>1</v>
          </cell>
          <cell r="L1659">
            <v>32103.16</v>
          </cell>
        </row>
        <row r="1660">
          <cell r="A1660">
            <v>109724</v>
          </cell>
          <cell r="B1660">
            <v>23003</v>
          </cell>
          <cell r="C1660">
            <v>23003</v>
          </cell>
          <cell r="D1660" t="str">
            <v>adult</v>
          </cell>
          <cell r="E1660" t="str">
            <v>B</v>
          </cell>
          <cell r="F1660" t="str">
            <v>INTERMEDIATE TYPIST-CLERK</v>
          </cell>
          <cell r="G1660" t="str">
            <v>2214A</v>
          </cell>
          <cell r="H1660">
            <v>2675.27</v>
          </cell>
          <cell r="I1660">
            <v>1</v>
          </cell>
          <cell r="J1660">
            <v>12</v>
          </cell>
          <cell r="K1660">
            <v>1</v>
          </cell>
          <cell r="L1660">
            <v>32103.24</v>
          </cell>
        </row>
        <row r="1661">
          <cell r="A1661">
            <v>109725</v>
          </cell>
          <cell r="B1661">
            <v>23003</v>
          </cell>
          <cell r="C1661">
            <v>23003</v>
          </cell>
          <cell r="D1661" t="str">
            <v>adult</v>
          </cell>
          <cell r="E1661" t="str">
            <v>B</v>
          </cell>
          <cell r="F1661" t="str">
            <v>INTERMEDIATE TYPIST-CLERK</v>
          </cell>
          <cell r="G1661" t="str">
            <v>2214A</v>
          </cell>
          <cell r="H1661">
            <v>2675.27</v>
          </cell>
          <cell r="I1661">
            <v>1</v>
          </cell>
          <cell r="J1661">
            <v>12</v>
          </cell>
          <cell r="K1661">
            <v>1</v>
          </cell>
          <cell r="L1661">
            <v>32103.24</v>
          </cell>
        </row>
        <row r="1662">
          <cell r="A1662">
            <v>100640</v>
          </cell>
          <cell r="B1662">
            <v>23003</v>
          </cell>
          <cell r="C1662">
            <v>23003</v>
          </cell>
          <cell r="D1662" t="str">
            <v>adult</v>
          </cell>
          <cell r="E1662" t="str">
            <v>B</v>
          </cell>
          <cell r="F1662" t="str">
            <v>MENTAL HEALTH COUNSELOR, RN</v>
          </cell>
          <cell r="G1662" t="str">
            <v>5278A</v>
          </cell>
          <cell r="H1662">
            <v>6275.27</v>
          </cell>
          <cell r="I1662">
            <v>1</v>
          </cell>
          <cell r="J1662">
            <v>12</v>
          </cell>
          <cell r="K1662">
            <v>1</v>
          </cell>
          <cell r="L1662">
            <v>76804.323333333334</v>
          </cell>
        </row>
        <row r="1663">
          <cell r="A1663">
            <v>102634</v>
          </cell>
          <cell r="B1663">
            <v>23003</v>
          </cell>
          <cell r="C1663">
            <v>23003</v>
          </cell>
          <cell r="D1663" t="str">
            <v>adult</v>
          </cell>
          <cell r="E1663" t="str">
            <v>B</v>
          </cell>
          <cell r="F1663" t="str">
            <v>MENTAL HEALTH COUNSELOR, RN</v>
          </cell>
          <cell r="G1663" t="str">
            <v>5278A</v>
          </cell>
          <cell r="H1663">
            <v>6275.27</v>
          </cell>
          <cell r="I1663">
            <v>1</v>
          </cell>
          <cell r="J1663">
            <v>12</v>
          </cell>
          <cell r="K1663">
            <v>1</v>
          </cell>
          <cell r="L1663">
            <v>76804.323333333334</v>
          </cell>
        </row>
        <row r="1664">
          <cell r="A1664">
            <v>103873</v>
          </cell>
          <cell r="B1664">
            <v>20981</v>
          </cell>
          <cell r="C1664">
            <v>23003</v>
          </cell>
          <cell r="D1664" t="str">
            <v>adult</v>
          </cell>
          <cell r="E1664" t="str">
            <v>B</v>
          </cell>
          <cell r="F1664" t="str">
            <v>MENTAL HEALTH COUNSELOR, RN</v>
          </cell>
          <cell r="G1664" t="str">
            <v>5278A</v>
          </cell>
          <cell r="H1664">
            <v>6275.27</v>
          </cell>
          <cell r="I1664">
            <v>1</v>
          </cell>
          <cell r="J1664">
            <v>12</v>
          </cell>
          <cell r="K1664">
            <v>1</v>
          </cell>
          <cell r="L1664">
            <v>76804.323333333334</v>
          </cell>
        </row>
        <row r="1665">
          <cell r="A1665">
            <v>103974</v>
          </cell>
          <cell r="B1665">
            <v>23003</v>
          </cell>
          <cell r="C1665">
            <v>23003</v>
          </cell>
          <cell r="D1665" t="str">
            <v>adult</v>
          </cell>
          <cell r="E1665" t="str">
            <v>B</v>
          </cell>
          <cell r="F1665" t="str">
            <v>MENTAL HEALTH COUNSELOR, RN</v>
          </cell>
          <cell r="G1665" t="str">
            <v>5278A</v>
          </cell>
          <cell r="H1665">
            <v>6275.27</v>
          </cell>
          <cell r="I1665">
            <v>1</v>
          </cell>
          <cell r="J1665">
            <v>12</v>
          </cell>
          <cell r="K1665">
            <v>1</v>
          </cell>
          <cell r="L1665">
            <v>76804.323333333334</v>
          </cell>
        </row>
        <row r="1666">
          <cell r="A1666">
            <v>104315</v>
          </cell>
          <cell r="B1666">
            <v>23005</v>
          </cell>
          <cell r="C1666">
            <v>23003</v>
          </cell>
          <cell r="D1666" t="str">
            <v>adult</v>
          </cell>
          <cell r="E1666" t="str">
            <v>B</v>
          </cell>
          <cell r="F1666" t="str">
            <v>MENTAL HEALTH COUNSELOR, RN</v>
          </cell>
          <cell r="G1666" t="str">
            <v>5278A</v>
          </cell>
          <cell r="H1666">
            <v>6275.27</v>
          </cell>
          <cell r="I1666">
            <v>1</v>
          </cell>
          <cell r="J1666">
            <v>12</v>
          </cell>
          <cell r="K1666">
            <v>1</v>
          </cell>
          <cell r="L1666">
            <v>76804.323333333334</v>
          </cell>
        </row>
        <row r="1667">
          <cell r="A1667">
            <v>101891</v>
          </cell>
          <cell r="B1667">
            <v>20468</v>
          </cell>
          <cell r="C1667">
            <v>23003</v>
          </cell>
          <cell r="D1667" t="str">
            <v>adult</v>
          </cell>
          <cell r="E1667" t="str">
            <v>B</v>
          </cell>
          <cell r="F1667" t="str">
            <v>MENTAL HEALTH PSYCHIATRIST</v>
          </cell>
          <cell r="G1667" t="str">
            <v>4735A</v>
          </cell>
          <cell r="H1667">
            <v>12844</v>
          </cell>
          <cell r="I1667">
            <v>1</v>
          </cell>
          <cell r="J1667">
            <v>12</v>
          </cell>
          <cell r="K1667">
            <v>1</v>
          </cell>
          <cell r="L1667">
            <v>154128</v>
          </cell>
        </row>
        <row r="1668">
          <cell r="A1668">
            <v>103278</v>
          </cell>
          <cell r="B1668">
            <v>23017</v>
          </cell>
          <cell r="C1668">
            <v>23003</v>
          </cell>
          <cell r="D1668" t="str">
            <v>adult</v>
          </cell>
          <cell r="E1668" t="str">
            <v>B</v>
          </cell>
          <cell r="F1668" t="str">
            <v>MENTAL HEALTH PSYCHIATRIST</v>
          </cell>
          <cell r="G1668" t="str">
            <v>4735A</v>
          </cell>
          <cell r="H1668">
            <v>12844</v>
          </cell>
          <cell r="I1668">
            <v>1</v>
          </cell>
          <cell r="J1668">
            <v>6</v>
          </cell>
          <cell r="K1668">
            <v>0.5</v>
          </cell>
          <cell r="L1668">
            <v>77064</v>
          </cell>
        </row>
        <row r="1669">
          <cell r="A1669">
            <v>104587</v>
          </cell>
          <cell r="B1669">
            <v>23003</v>
          </cell>
          <cell r="C1669">
            <v>23003</v>
          </cell>
          <cell r="D1669" t="str">
            <v>adult</v>
          </cell>
          <cell r="E1669" t="str">
            <v>B</v>
          </cell>
          <cell r="F1669" t="str">
            <v>MENTAL HEALTH PSYCHIATRIST</v>
          </cell>
          <cell r="G1669" t="str">
            <v>4735A</v>
          </cell>
          <cell r="H1669">
            <v>12844</v>
          </cell>
          <cell r="I1669">
            <v>1</v>
          </cell>
          <cell r="J1669">
            <v>6</v>
          </cell>
          <cell r="K1669">
            <v>0.5</v>
          </cell>
          <cell r="L1669">
            <v>77064</v>
          </cell>
        </row>
        <row r="1670">
          <cell r="A1670">
            <v>104740</v>
          </cell>
          <cell r="B1670">
            <v>23003</v>
          </cell>
          <cell r="C1670">
            <v>23003</v>
          </cell>
          <cell r="D1670" t="str">
            <v>adult</v>
          </cell>
          <cell r="E1670" t="str">
            <v>B</v>
          </cell>
          <cell r="F1670" t="str">
            <v>MENTAL HEALTH PSYCHIATRIST</v>
          </cell>
          <cell r="G1670" t="str">
            <v>4735A</v>
          </cell>
          <cell r="H1670">
            <v>12844</v>
          </cell>
          <cell r="I1670">
            <v>1</v>
          </cell>
          <cell r="J1670">
            <v>12</v>
          </cell>
          <cell r="K1670">
            <v>1</v>
          </cell>
          <cell r="L1670">
            <v>154128</v>
          </cell>
        </row>
        <row r="1671">
          <cell r="A1671">
            <v>100584</v>
          </cell>
          <cell r="B1671">
            <v>23003</v>
          </cell>
          <cell r="C1671">
            <v>23003</v>
          </cell>
          <cell r="D1671" t="str">
            <v>adult</v>
          </cell>
          <cell r="E1671" t="str">
            <v>B</v>
          </cell>
          <cell r="F1671" t="str">
            <v>MNTL HLTH CLINICAL PROGRAM HEAD</v>
          </cell>
          <cell r="G1671" t="str">
            <v>4726A</v>
          </cell>
          <cell r="H1671">
            <v>8709.73</v>
          </cell>
          <cell r="I1671">
            <v>1</v>
          </cell>
          <cell r="J1671">
            <v>12</v>
          </cell>
          <cell r="K1671">
            <v>1</v>
          </cell>
          <cell r="L1671">
            <v>104516.76</v>
          </cell>
        </row>
        <row r="1672">
          <cell r="A1672">
            <v>104013</v>
          </cell>
          <cell r="B1672">
            <v>20923</v>
          </cell>
          <cell r="C1672">
            <v>23003</v>
          </cell>
          <cell r="D1672" t="str">
            <v>adult</v>
          </cell>
          <cell r="E1672" t="str">
            <v>B</v>
          </cell>
          <cell r="F1672" t="str">
            <v xml:space="preserve">OCCUPATIONAL THERAPIST II          </v>
          </cell>
          <cell r="G1672" t="str">
            <v>5857A</v>
          </cell>
          <cell r="H1672">
            <v>6416.09</v>
          </cell>
          <cell r="I1672">
            <v>1</v>
          </cell>
          <cell r="J1672">
            <v>12</v>
          </cell>
          <cell r="K1672">
            <v>1</v>
          </cell>
          <cell r="L1672">
            <v>76993.16</v>
          </cell>
        </row>
        <row r="1673">
          <cell r="A1673">
            <v>102611</v>
          </cell>
          <cell r="B1673">
            <v>23003</v>
          </cell>
          <cell r="C1673">
            <v>23003</v>
          </cell>
          <cell r="D1673" t="str">
            <v>adult</v>
          </cell>
          <cell r="E1673" t="str">
            <v>B</v>
          </cell>
          <cell r="F1673" t="str">
            <v xml:space="preserve">PATIENT FINANCIAL SERVICES WORKER  </v>
          </cell>
          <cell r="G1673" t="str">
            <v>9193A</v>
          </cell>
          <cell r="H1673">
            <v>3403.55</v>
          </cell>
          <cell r="I1673">
            <v>1</v>
          </cell>
          <cell r="J1673">
            <v>12</v>
          </cell>
          <cell r="K1673">
            <v>1</v>
          </cell>
          <cell r="L1673">
            <v>40842.6</v>
          </cell>
        </row>
        <row r="1674">
          <cell r="A1674">
            <v>102697</v>
          </cell>
          <cell r="B1674">
            <v>23003</v>
          </cell>
          <cell r="C1674">
            <v>23003</v>
          </cell>
          <cell r="D1674" t="str">
            <v>adult</v>
          </cell>
          <cell r="E1674" t="str">
            <v>B</v>
          </cell>
          <cell r="F1674" t="str">
            <v xml:space="preserve">PATIENT FINANCIAL SERVICES WORKER  </v>
          </cell>
          <cell r="G1674" t="str">
            <v>9193A</v>
          </cell>
          <cell r="H1674">
            <v>3403.55</v>
          </cell>
          <cell r="I1674">
            <v>1</v>
          </cell>
          <cell r="J1674">
            <v>12</v>
          </cell>
          <cell r="K1674">
            <v>1</v>
          </cell>
          <cell r="L1674">
            <v>40842.6</v>
          </cell>
        </row>
        <row r="1675">
          <cell r="A1675">
            <v>109767</v>
          </cell>
          <cell r="B1675">
            <v>23003</v>
          </cell>
          <cell r="C1675">
            <v>23003</v>
          </cell>
          <cell r="D1675" t="str">
            <v>adult</v>
          </cell>
          <cell r="E1675" t="str">
            <v>B</v>
          </cell>
          <cell r="F1675" t="str">
            <v>PATIENT RESOURCES WORKER</v>
          </cell>
          <cell r="G1675" t="str">
            <v>9192A</v>
          </cell>
          <cell r="H1675">
            <v>2748.27</v>
          </cell>
          <cell r="I1675">
            <v>1</v>
          </cell>
          <cell r="J1675">
            <v>12</v>
          </cell>
          <cell r="K1675">
            <v>1</v>
          </cell>
          <cell r="L1675">
            <v>32979.24</v>
          </cell>
        </row>
        <row r="1676">
          <cell r="A1676">
            <v>101042</v>
          </cell>
          <cell r="B1676">
            <v>23003</v>
          </cell>
          <cell r="C1676">
            <v>23003</v>
          </cell>
          <cell r="D1676" t="str">
            <v>adult</v>
          </cell>
          <cell r="E1676" t="str">
            <v>B</v>
          </cell>
          <cell r="F1676" t="str">
            <v>PSYCHIATRIC SOCIAL WORKER II</v>
          </cell>
          <cell r="G1676" t="str">
            <v>9035A</v>
          </cell>
          <cell r="H1676">
            <v>5425.82</v>
          </cell>
          <cell r="I1676">
            <v>1</v>
          </cell>
          <cell r="J1676">
            <v>12</v>
          </cell>
          <cell r="K1676">
            <v>1</v>
          </cell>
          <cell r="L1676">
            <v>65109.84</v>
          </cell>
        </row>
        <row r="1677">
          <cell r="A1677">
            <v>102354</v>
          </cell>
          <cell r="B1677">
            <v>20481</v>
          </cell>
          <cell r="C1677">
            <v>23003</v>
          </cell>
          <cell r="D1677" t="str">
            <v>adult</v>
          </cell>
          <cell r="E1677" t="str">
            <v>B</v>
          </cell>
          <cell r="F1677" t="str">
            <v>PSYCHIATRIC SOCIAL WORKER II</v>
          </cell>
          <cell r="G1677" t="str">
            <v>9035A</v>
          </cell>
          <cell r="H1677">
            <v>5425.82</v>
          </cell>
          <cell r="I1677">
            <v>1</v>
          </cell>
          <cell r="J1677">
            <v>12</v>
          </cell>
          <cell r="K1677">
            <v>1</v>
          </cell>
          <cell r="L1677">
            <v>65109.84</v>
          </cell>
        </row>
        <row r="1678">
          <cell r="A1678">
            <v>102519</v>
          </cell>
          <cell r="B1678">
            <v>23007</v>
          </cell>
          <cell r="C1678">
            <v>23003</v>
          </cell>
          <cell r="D1678" t="str">
            <v>adult</v>
          </cell>
          <cell r="E1678" t="str">
            <v>B</v>
          </cell>
          <cell r="F1678" t="str">
            <v>PSYCHIATRIC SOCIAL WORKER II</v>
          </cell>
          <cell r="G1678" t="str">
            <v>9035A</v>
          </cell>
          <cell r="H1678">
            <v>5425.82</v>
          </cell>
          <cell r="I1678">
            <v>1</v>
          </cell>
          <cell r="J1678">
            <v>12</v>
          </cell>
          <cell r="K1678">
            <v>1</v>
          </cell>
          <cell r="L1678">
            <v>65109.84</v>
          </cell>
        </row>
        <row r="1679">
          <cell r="A1679">
            <v>102629</v>
          </cell>
          <cell r="B1679">
            <v>23003</v>
          </cell>
          <cell r="C1679">
            <v>23003</v>
          </cell>
          <cell r="D1679" t="str">
            <v>adult</v>
          </cell>
          <cell r="E1679" t="str">
            <v>B</v>
          </cell>
          <cell r="F1679" t="str">
            <v>PSYCHIATRIC SOCIAL WORKER II</v>
          </cell>
          <cell r="G1679" t="str">
            <v>9035A</v>
          </cell>
          <cell r="H1679">
            <v>5425.82</v>
          </cell>
          <cell r="I1679">
            <v>1</v>
          </cell>
          <cell r="J1679">
            <v>12</v>
          </cell>
          <cell r="K1679">
            <v>1</v>
          </cell>
          <cell r="L1679">
            <v>65109.84</v>
          </cell>
        </row>
        <row r="1680">
          <cell r="A1680">
            <v>102656</v>
          </cell>
          <cell r="B1680">
            <v>20464</v>
          </cell>
          <cell r="C1680">
            <v>23003</v>
          </cell>
          <cell r="D1680" t="str">
            <v>adult</v>
          </cell>
          <cell r="E1680" t="str">
            <v>B</v>
          </cell>
          <cell r="F1680" t="str">
            <v>PSYCHIATRIC SOCIAL WORKER II</v>
          </cell>
          <cell r="G1680" t="str">
            <v>9035A</v>
          </cell>
          <cell r="H1680">
            <v>5425.82</v>
          </cell>
          <cell r="I1680">
            <v>1</v>
          </cell>
          <cell r="J1680">
            <v>12</v>
          </cell>
          <cell r="K1680">
            <v>1</v>
          </cell>
          <cell r="L1680">
            <v>65109.84</v>
          </cell>
        </row>
        <row r="1681">
          <cell r="A1681">
            <v>102663</v>
          </cell>
          <cell r="B1681">
            <v>23003</v>
          </cell>
          <cell r="C1681">
            <v>23003</v>
          </cell>
          <cell r="D1681" t="str">
            <v>adult</v>
          </cell>
          <cell r="E1681" t="str">
            <v>B</v>
          </cell>
          <cell r="F1681" t="str">
            <v>PSYCHIATRIC SOCIAL WORKER II</v>
          </cell>
          <cell r="G1681" t="str">
            <v>9035A</v>
          </cell>
          <cell r="H1681">
            <v>5425.82</v>
          </cell>
          <cell r="I1681">
            <v>1</v>
          </cell>
          <cell r="J1681">
            <v>12</v>
          </cell>
          <cell r="K1681">
            <v>1</v>
          </cell>
          <cell r="L1681">
            <v>65109.84</v>
          </cell>
        </row>
        <row r="1682">
          <cell r="A1682">
            <v>104194</v>
          </cell>
          <cell r="B1682">
            <v>23003</v>
          </cell>
          <cell r="C1682">
            <v>23003</v>
          </cell>
          <cell r="D1682" t="str">
            <v>adult</v>
          </cell>
          <cell r="E1682" t="str">
            <v>B</v>
          </cell>
          <cell r="F1682" t="str">
            <v>PSYCHIATRIC SOCIAL WORKER II</v>
          </cell>
          <cell r="G1682" t="str">
            <v>9035A</v>
          </cell>
          <cell r="H1682">
            <v>5425.82</v>
          </cell>
          <cell r="I1682">
            <v>1</v>
          </cell>
          <cell r="J1682">
            <v>12</v>
          </cell>
          <cell r="K1682">
            <v>1</v>
          </cell>
          <cell r="L1682">
            <v>65109.84</v>
          </cell>
        </row>
        <row r="1683">
          <cell r="A1683">
            <v>104036</v>
          </cell>
          <cell r="B1683">
            <v>20923</v>
          </cell>
          <cell r="C1683">
            <v>23003</v>
          </cell>
          <cell r="D1683" t="str">
            <v>adult</v>
          </cell>
          <cell r="E1683" t="str">
            <v>B</v>
          </cell>
          <cell r="F1683" t="str">
            <v>REHABILITATION COUNSELOR II</v>
          </cell>
          <cell r="G1683" t="str">
            <v>8593A</v>
          </cell>
          <cell r="H1683">
            <v>4076.09</v>
          </cell>
          <cell r="I1683">
            <v>1</v>
          </cell>
          <cell r="J1683">
            <v>12</v>
          </cell>
          <cell r="K1683">
            <v>1</v>
          </cell>
          <cell r="L1683">
            <v>48922.8</v>
          </cell>
        </row>
        <row r="1684">
          <cell r="A1684">
            <v>102659</v>
          </cell>
          <cell r="B1684">
            <v>23003</v>
          </cell>
          <cell r="C1684">
            <v>23003</v>
          </cell>
          <cell r="D1684" t="str">
            <v>adult</v>
          </cell>
          <cell r="E1684" t="str">
            <v>B</v>
          </cell>
          <cell r="F1684" t="str">
            <v>SENIOR MENTAL HEALTH COUNSELOR, RN</v>
          </cell>
          <cell r="G1684" t="str">
            <v>5280A</v>
          </cell>
          <cell r="H1684">
            <v>6790.09</v>
          </cell>
          <cell r="I1684">
            <v>1</v>
          </cell>
          <cell r="J1684">
            <v>12</v>
          </cell>
          <cell r="K1684">
            <v>1</v>
          </cell>
          <cell r="L1684">
            <v>83105.40203389831</v>
          </cell>
        </row>
        <row r="1685">
          <cell r="A1685">
            <v>102064</v>
          </cell>
          <cell r="B1685">
            <v>23003</v>
          </cell>
          <cell r="C1685">
            <v>23003</v>
          </cell>
          <cell r="D1685" t="str">
            <v>adult</v>
          </cell>
          <cell r="E1685" t="str">
            <v>B</v>
          </cell>
          <cell r="F1685" t="str">
            <v xml:space="preserve">SENIOR SECRETARY III               </v>
          </cell>
          <cell r="G1685" t="str">
            <v>2102A</v>
          </cell>
          <cell r="H1685">
            <v>4106.3599999999997</v>
          </cell>
          <cell r="I1685">
            <v>1</v>
          </cell>
          <cell r="J1685">
            <v>12</v>
          </cell>
          <cell r="K1685">
            <v>1</v>
          </cell>
          <cell r="L1685">
            <v>49276.56</v>
          </cell>
        </row>
        <row r="1686">
          <cell r="A1686">
            <v>106083</v>
          </cell>
          <cell r="B1686">
            <v>18676</v>
          </cell>
          <cell r="C1686">
            <v>23003</v>
          </cell>
          <cell r="D1686" t="str">
            <v>adult</v>
          </cell>
          <cell r="E1686" t="str">
            <v>B</v>
          </cell>
          <cell r="F1686" t="str">
            <v xml:space="preserve">SR COMMUN MENTAL HLTH PSYCHOLOGIST </v>
          </cell>
          <cell r="G1686" t="str">
            <v>8712A</v>
          </cell>
          <cell r="H1686">
            <v>7311.45</v>
          </cell>
          <cell r="I1686">
            <v>1</v>
          </cell>
          <cell r="J1686">
            <v>12</v>
          </cell>
          <cell r="K1686">
            <v>1</v>
          </cell>
          <cell r="L1686">
            <v>87737.16</v>
          </cell>
        </row>
        <row r="1687">
          <cell r="A1687">
            <v>102618</v>
          </cell>
          <cell r="B1687">
            <v>23003</v>
          </cell>
          <cell r="C1687">
            <v>23003</v>
          </cell>
          <cell r="D1687" t="str">
            <v>adult</v>
          </cell>
          <cell r="E1687" t="str">
            <v>B</v>
          </cell>
          <cell r="F1687" t="str">
            <v xml:space="preserve">STUDENT WORKER                     </v>
          </cell>
          <cell r="G1687" t="str">
            <v>8242F</v>
          </cell>
          <cell r="H1687">
            <v>8.52</v>
          </cell>
          <cell r="I1687">
            <v>1</v>
          </cell>
          <cell r="J1687">
            <v>2088</v>
          </cell>
          <cell r="K1687">
            <v>0</v>
          </cell>
          <cell r="L1687">
            <v>17789.48</v>
          </cell>
        </row>
        <row r="1688">
          <cell r="A1688">
            <v>104348</v>
          </cell>
          <cell r="B1688">
            <v>20564</v>
          </cell>
          <cell r="C1688">
            <v>23003</v>
          </cell>
          <cell r="D1688" t="str">
            <v>adult</v>
          </cell>
          <cell r="E1688" t="str">
            <v>B</v>
          </cell>
          <cell r="F1688" t="str">
            <v xml:space="preserve">SUPVG MENTAL HEALTH PSYCHIATRIST   </v>
          </cell>
          <cell r="G1688" t="str">
            <v>4737A</v>
          </cell>
          <cell r="H1688">
            <v>13870</v>
          </cell>
          <cell r="I1688">
            <v>1</v>
          </cell>
          <cell r="J1688">
            <v>12</v>
          </cell>
          <cell r="K1688">
            <v>1</v>
          </cell>
          <cell r="L1688">
            <v>166440</v>
          </cell>
        </row>
        <row r="1689">
          <cell r="A1689">
            <v>101608</v>
          </cell>
          <cell r="B1689">
            <v>23003</v>
          </cell>
          <cell r="C1689">
            <v>23003</v>
          </cell>
          <cell r="D1689" t="str">
            <v>adult</v>
          </cell>
          <cell r="E1689" t="str">
            <v>B</v>
          </cell>
          <cell r="F1689" t="str">
            <v xml:space="preserve">SUPVG PSYCHIATRIC SOCIAL WORKER    </v>
          </cell>
          <cell r="G1689" t="str">
            <v>9038A</v>
          </cell>
          <cell r="H1689">
            <v>6062.45</v>
          </cell>
          <cell r="I1689">
            <v>1</v>
          </cell>
          <cell r="J1689">
            <v>12</v>
          </cell>
          <cell r="K1689">
            <v>1</v>
          </cell>
          <cell r="L1689">
            <v>72749.399999999994</v>
          </cell>
        </row>
        <row r="1690">
          <cell r="A1690">
            <v>102504</v>
          </cell>
          <cell r="B1690">
            <v>23007</v>
          </cell>
          <cell r="C1690">
            <v>20944</v>
          </cell>
          <cell r="D1690" t="str">
            <v>adult</v>
          </cell>
          <cell r="E1690" t="str">
            <v>B</v>
          </cell>
          <cell r="F1690" t="str">
            <v xml:space="preserve">ADMINISTRATIVE ASSISTANT II        </v>
          </cell>
          <cell r="G1690" t="str">
            <v>0888A</v>
          </cell>
          <cell r="H1690">
            <v>4334.6400000000003</v>
          </cell>
          <cell r="I1690">
            <v>1</v>
          </cell>
          <cell r="J1690">
            <v>12</v>
          </cell>
          <cell r="K1690">
            <v>1</v>
          </cell>
          <cell r="L1690">
            <v>52015.360000000001</v>
          </cell>
        </row>
        <row r="1691">
          <cell r="A1691">
            <v>102907</v>
          </cell>
          <cell r="B1691">
            <v>20944</v>
          </cell>
          <cell r="C1691">
            <v>20944</v>
          </cell>
          <cell r="D1691" t="str">
            <v>adult</v>
          </cell>
          <cell r="E1691" t="str">
            <v>B</v>
          </cell>
          <cell r="F1691" t="str">
            <v xml:space="preserve">ADMINISTRATIVE ASSISTANT III       </v>
          </cell>
          <cell r="G1691" t="str">
            <v>0889A</v>
          </cell>
          <cell r="H1691">
            <v>4832</v>
          </cell>
          <cell r="I1691">
            <v>1</v>
          </cell>
          <cell r="J1691">
            <v>12</v>
          </cell>
          <cell r="K1691">
            <v>1</v>
          </cell>
          <cell r="L1691">
            <v>57983.839999999997</v>
          </cell>
        </row>
        <row r="1692">
          <cell r="A1692">
            <v>102509</v>
          </cell>
          <cell r="B1692">
            <v>23005</v>
          </cell>
          <cell r="C1692">
            <v>20944</v>
          </cell>
          <cell r="D1692" t="str">
            <v>adult</v>
          </cell>
          <cell r="E1692" t="str">
            <v>B</v>
          </cell>
          <cell r="F1692" t="str">
            <v>COMMUNITY WORKER</v>
          </cell>
          <cell r="G1692" t="str">
            <v>8103A</v>
          </cell>
          <cell r="H1692">
            <v>2984.09</v>
          </cell>
          <cell r="I1692">
            <v>1</v>
          </cell>
          <cell r="J1692">
            <v>12</v>
          </cell>
          <cell r="K1692">
            <v>1</v>
          </cell>
          <cell r="L1692">
            <v>35809.08</v>
          </cell>
        </row>
        <row r="1693">
          <cell r="A1693">
            <v>100240</v>
          </cell>
          <cell r="B1693">
            <v>20944</v>
          </cell>
          <cell r="C1693">
            <v>20944</v>
          </cell>
          <cell r="D1693" t="str">
            <v>adult</v>
          </cell>
          <cell r="E1693" t="str">
            <v>B</v>
          </cell>
          <cell r="F1693" t="str">
            <v>DEPUTY DIRECTOR, MENTAL HEALTH (UC)</v>
          </cell>
          <cell r="G1693" t="str">
            <v>4707A</v>
          </cell>
          <cell r="H1693">
            <v>10568.17</v>
          </cell>
          <cell r="I1693">
            <v>1</v>
          </cell>
          <cell r="J1693">
            <v>12</v>
          </cell>
          <cell r="K1693">
            <v>1</v>
          </cell>
          <cell r="L1693">
            <v>126818</v>
          </cell>
        </row>
        <row r="1694">
          <cell r="A1694">
            <v>100331</v>
          </cell>
          <cell r="B1694">
            <v>20683</v>
          </cell>
          <cell r="C1694">
            <v>20944</v>
          </cell>
          <cell r="D1694" t="str">
            <v>adult</v>
          </cell>
          <cell r="E1694" t="str">
            <v>B</v>
          </cell>
          <cell r="F1694" t="str">
            <v xml:space="preserve">INTERMEDIATE STENOGRAPHER          </v>
          </cell>
          <cell r="G1694" t="str">
            <v>2172A</v>
          </cell>
          <cell r="H1694">
            <v>2934</v>
          </cell>
          <cell r="I1694">
            <v>1</v>
          </cell>
          <cell r="J1694">
            <v>12</v>
          </cell>
          <cell r="K1694">
            <v>1</v>
          </cell>
          <cell r="L1694">
            <v>35208</v>
          </cell>
        </row>
        <row r="1695">
          <cell r="A1695">
            <v>109334</v>
          </cell>
          <cell r="B1695">
            <v>20658</v>
          </cell>
          <cell r="C1695">
            <v>20944</v>
          </cell>
          <cell r="D1695" t="str">
            <v>adult</v>
          </cell>
          <cell r="E1695" t="str">
            <v>B</v>
          </cell>
          <cell r="F1695" t="str">
            <v>INTERMEDIATE TYPIST-CLERK</v>
          </cell>
          <cell r="G1695" t="str">
            <v>2214A</v>
          </cell>
          <cell r="H1695">
            <v>2675.27</v>
          </cell>
          <cell r="I1695">
            <v>1</v>
          </cell>
          <cell r="J1695">
            <v>12</v>
          </cell>
          <cell r="K1695">
            <v>1</v>
          </cell>
          <cell r="L1695">
            <v>32103.16</v>
          </cell>
        </row>
        <row r="1696">
          <cell r="A1696">
            <v>101709</v>
          </cell>
          <cell r="B1696">
            <v>20944</v>
          </cell>
          <cell r="C1696">
            <v>20944</v>
          </cell>
          <cell r="D1696" t="str">
            <v>adult</v>
          </cell>
          <cell r="E1696" t="str">
            <v>B</v>
          </cell>
          <cell r="F1696" t="str">
            <v xml:space="preserve">MANAGEMENT SECRETARY III           </v>
          </cell>
          <cell r="G1696" t="str">
            <v>2109A</v>
          </cell>
          <cell r="H1696">
            <v>4576.7299999999996</v>
          </cell>
          <cell r="I1696">
            <v>1</v>
          </cell>
          <cell r="J1696">
            <v>12</v>
          </cell>
          <cell r="K1696">
            <v>1</v>
          </cell>
          <cell r="L1696">
            <v>54920.52</v>
          </cell>
        </row>
        <row r="1697">
          <cell r="A1697">
            <v>102261</v>
          </cell>
          <cell r="B1697">
            <v>20944</v>
          </cell>
          <cell r="C1697">
            <v>20944</v>
          </cell>
          <cell r="D1697" t="str">
            <v>adult</v>
          </cell>
          <cell r="E1697" t="str">
            <v>B</v>
          </cell>
          <cell r="F1697" t="str">
            <v xml:space="preserve">MENTAL HEALTH ANALYST I            </v>
          </cell>
          <cell r="G1697" t="str">
            <v>4727A</v>
          </cell>
          <cell r="H1697">
            <v>5602.09</v>
          </cell>
          <cell r="I1697">
            <v>1</v>
          </cell>
          <cell r="J1697">
            <v>12</v>
          </cell>
          <cell r="K1697">
            <v>1</v>
          </cell>
          <cell r="L1697">
            <v>67225.16</v>
          </cell>
        </row>
        <row r="1698">
          <cell r="A1698">
            <v>102540</v>
          </cell>
          <cell r="B1698">
            <v>20944</v>
          </cell>
          <cell r="C1698">
            <v>20944</v>
          </cell>
          <cell r="D1698" t="str">
            <v>adult</v>
          </cell>
          <cell r="E1698" t="str">
            <v>B</v>
          </cell>
          <cell r="F1698" t="str">
            <v xml:space="preserve">MENTAL HEALTH ANALYST I            </v>
          </cell>
          <cell r="G1698" t="str">
            <v>4727A</v>
          </cell>
          <cell r="H1698">
            <v>5602.09</v>
          </cell>
          <cell r="I1698">
            <v>1</v>
          </cell>
          <cell r="J1698">
            <v>12</v>
          </cell>
          <cell r="K1698">
            <v>1</v>
          </cell>
          <cell r="L1698">
            <v>67225.16</v>
          </cell>
        </row>
        <row r="1699">
          <cell r="A1699">
            <v>100537</v>
          </cell>
          <cell r="B1699">
            <v>20944</v>
          </cell>
          <cell r="C1699">
            <v>20944</v>
          </cell>
          <cell r="D1699" t="str">
            <v>adult</v>
          </cell>
          <cell r="E1699" t="str">
            <v>B</v>
          </cell>
          <cell r="F1699" t="str">
            <v xml:space="preserve">MENTAL HEALTH ANALYST III          </v>
          </cell>
          <cell r="G1699" t="str">
            <v>4731A</v>
          </cell>
          <cell r="H1699">
            <v>7329.55</v>
          </cell>
          <cell r="I1699">
            <v>1</v>
          </cell>
          <cell r="J1699">
            <v>12</v>
          </cell>
          <cell r="K1699">
            <v>1</v>
          </cell>
          <cell r="L1699">
            <v>87954.76</v>
          </cell>
        </row>
        <row r="1700">
          <cell r="A1700">
            <v>104240</v>
          </cell>
          <cell r="B1700">
            <v>18712</v>
          </cell>
          <cell r="C1700">
            <v>20944</v>
          </cell>
          <cell r="D1700" t="str">
            <v>adult</v>
          </cell>
          <cell r="E1700" t="str">
            <v>B</v>
          </cell>
          <cell r="F1700" t="str">
            <v xml:space="preserve">MENTAL HEALTH ANALYST III          </v>
          </cell>
          <cell r="G1700" t="str">
            <v>4731A</v>
          </cell>
          <cell r="H1700">
            <v>7329.55</v>
          </cell>
          <cell r="I1700">
            <v>1</v>
          </cell>
          <cell r="J1700">
            <v>12</v>
          </cell>
          <cell r="K1700">
            <v>1</v>
          </cell>
          <cell r="L1700">
            <v>87954.76</v>
          </cell>
        </row>
        <row r="1701">
          <cell r="A1701">
            <v>104143</v>
          </cell>
          <cell r="B1701">
            <v>20944</v>
          </cell>
          <cell r="C1701">
            <v>20944</v>
          </cell>
          <cell r="D1701" t="str">
            <v>adult</v>
          </cell>
          <cell r="E1701" t="str">
            <v>B</v>
          </cell>
          <cell r="F1701" t="str">
            <v>MENTAL HEALTH PSYCHIATRIST</v>
          </cell>
          <cell r="G1701" t="str">
            <v>4735A</v>
          </cell>
          <cell r="H1701">
            <v>12844</v>
          </cell>
          <cell r="I1701">
            <v>1</v>
          </cell>
          <cell r="J1701">
            <v>6</v>
          </cell>
          <cell r="K1701">
            <v>0.5</v>
          </cell>
          <cell r="L1701">
            <v>77064</v>
          </cell>
        </row>
        <row r="1702">
          <cell r="A1702">
            <v>100831</v>
          </cell>
          <cell r="B1702">
            <v>20588</v>
          </cell>
          <cell r="C1702">
            <v>20944</v>
          </cell>
          <cell r="D1702" t="str">
            <v>adult</v>
          </cell>
          <cell r="E1702" t="str">
            <v>B</v>
          </cell>
          <cell r="F1702" t="str">
            <v>MENTAL HEALTH SERVICES COORD I</v>
          </cell>
          <cell r="G1702" t="str">
            <v>8148A</v>
          </cell>
          <cell r="H1702">
            <v>5126.91</v>
          </cell>
          <cell r="I1702">
            <v>1</v>
          </cell>
          <cell r="J1702">
            <v>12</v>
          </cell>
          <cell r="K1702">
            <v>1</v>
          </cell>
          <cell r="L1702">
            <v>61522.92</v>
          </cell>
        </row>
        <row r="1703">
          <cell r="A1703">
            <v>107329</v>
          </cell>
          <cell r="B1703">
            <v>21557</v>
          </cell>
          <cell r="C1703">
            <v>20944</v>
          </cell>
          <cell r="D1703" t="str">
            <v>adult</v>
          </cell>
          <cell r="E1703" t="str">
            <v>B</v>
          </cell>
          <cell r="F1703" t="str">
            <v>MENTAL HEALTH SERVICES COORD II</v>
          </cell>
          <cell r="G1703" t="str">
            <v>8149A</v>
          </cell>
          <cell r="H1703">
            <v>5152.3599999999997</v>
          </cell>
          <cell r="I1703">
            <v>1</v>
          </cell>
          <cell r="J1703">
            <v>12</v>
          </cell>
          <cell r="K1703">
            <v>1</v>
          </cell>
          <cell r="L1703">
            <v>61828.72</v>
          </cell>
        </row>
        <row r="1704">
          <cell r="A1704">
            <v>101996</v>
          </cell>
          <cell r="B1704">
            <v>20944</v>
          </cell>
          <cell r="C1704">
            <v>20944</v>
          </cell>
          <cell r="D1704" t="str">
            <v>adult</v>
          </cell>
          <cell r="E1704" t="str">
            <v>B</v>
          </cell>
          <cell r="F1704" t="str">
            <v>MENTAL HLTH CLINICAL DIST CHIEF</v>
          </cell>
          <cell r="G1704" t="str">
            <v>4722A</v>
          </cell>
          <cell r="H1704">
            <v>10074</v>
          </cell>
          <cell r="I1704">
            <v>1</v>
          </cell>
          <cell r="J1704">
            <v>12</v>
          </cell>
          <cell r="K1704">
            <v>1</v>
          </cell>
          <cell r="L1704">
            <v>120887.6</v>
          </cell>
        </row>
        <row r="1705">
          <cell r="A1705">
            <v>102279</v>
          </cell>
          <cell r="B1705">
            <v>23015</v>
          </cell>
          <cell r="C1705">
            <v>20944</v>
          </cell>
          <cell r="D1705" t="str">
            <v>adult</v>
          </cell>
          <cell r="E1705" t="str">
            <v>B</v>
          </cell>
          <cell r="F1705" t="str">
            <v>MENTAL HLTH CLINICAL DIST CHIEF</v>
          </cell>
          <cell r="G1705" t="str">
            <v>4722A</v>
          </cell>
          <cell r="H1705">
            <v>10074</v>
          </cell>
          <cell r="I1705">
            <v>1</v>
          </cell>
          <cell r="J1705">
            <v>12</v>
          </cell>
          <cell r="K1705">
            <v>1</v>
          </cell>
          <cell r="L1705">
            <v>120887.6</v>
          </cell>
        </row>
        <row r="1706">
          <cell r="A1706">
            <v>107327</v>
          </cell>
          <cell r="B1706">
            <v>21557</v>
          </cell>
          <cell r="C1706">
            <v>20944</v>
          </cell>
          <cell r="D1706" t="str">
            <v>adult</v>
          </cell>
          <cell r="E1706" t="str">
            <v>B</v>
          </cell>
          <cell r="F1706" t="str">
            <v>MNTL HLTH CLINICAL PROGRAM HEAD</v>
          </cell>
          <cell r="G1706" t="str">
            <v>4726A</v>
          </cell>
          <cell r="H1706">
            <v>8709.73</v>
          </cell>
          <cell r="I1706">
            <v>1</v>
          </cell>
          <cell r="J1706">
            <v>12</v>
          </cell>
          <cell r="K1706">
            <v>1</v>
          </cell>
          <cell r="L1706">
            <v>104516.76</v>
          </cell>
        </row>
        <row r="1707">
          <cell r="A1707">
            <v>106637</v>
          </cell>
          <cell r="B1707">
            <v>18676</v>
          </cell>
          <cell r="C1707">
            <v>20944</v>
          </cell>
          <cell r="D1707" t="str">
            <v>adult</v>
          </cell>
          <cell r="E1707" t="str">
            <v>B</v>
          </cell>
          <cell r="F1707" t="str">
            <v>OCCUPATIONAL THERAPY SUPERVISOR I</v>
          </cell>
          <cell r="G1707" t="str">
            <v>5859A</v>
          </cell>
          <cell r="H1707">
            <v>6790.09</v>
          </cell>
          <cell r="I1707">
            <v>1</v>
          </cell>
          <cell r="J1707">
            <v>12</v>
          </cell>
          <cell r="K1707">
            <v>1</v>
          </cell>
          <cell r="L1707">
            <v>81481.399999999994</v>
          </cell>
        </row>
        <row r="1708">
          <cell r="A1708">
            <v>102357</v>
          </cell>
          <cell r="B1708">
            <v>20944</v>
          </cell>
          <cell r="C1708">
            <v>20944</v>
          </cell>
          <cell r="D1708" t="str">
            <v>adult</v>
          </cell>
          <cell r="E1708" t="str">
            <v>B</v>
          </cell>
          <cell r="F1708" t="str">
            <v xml:space="preserve">SENIOR SECRETARY III               </v>
          </cell>
          <cell r="G1708" t="str">
            <v>2102A</v>
          </cell>
          <cell r="H1708">
            <v>4106.3599999999997</v>
          </cell>
          <cell r="I1708">
            <v>1</v>
          </cell>
          <cell r="J1708">
            <v>12</v>
          </cell>
          <cell r="K1708">
            <v>1</v>
          </cell>
          <cell r="L1708">
            <v>49276.56</v>
          </cell>
        </row>
        <row r="1709">
          <cell r="A1709">
            <v>104069</v>
          </cell>
          <cell r="B1709">
            <v>20944</v>
          </cell>
          <cell r="C1709">
            <v>20944</v>
          </cell>
          <cell r="D1709" t="str">
            <v>adult</v>
          </cell>
          <cell r="E1709" t="str">
            <v>B</v>
          </cell>
          <cell r="F1709" t="str">
            <v xml:space="preserve">STAFF ASSISTANT II                 </v>
          </cell>
          <cell r="G1709" t="str">
            <v>0913A</v>
          </cell>
          <cell r="H1709">
            <v>4167.45</v>
          </cell>
          <cell r="I1709">
            <v>1</v>
          </cell>
          <cell r="J1709">
            <v>12</v>
          </cell>
          <cell r="K1709">
            <v>1</v>
          </cell>
          <cell r="L1709">
            <v>50009.24</v>
          </cell>
        </row>
        <row r="1710">
          <cell r="A1710">
            <v>105025</v>
          </cell>
          <cell r="B1710">
            <v>18713</v>
          </cell>
          <cell r="C1710">
            <v>20944</v>
          </cell>
          <cell r="D1710" t="str">
            <v>adult</v>
          </cell>
          <cell r="E1710" t="str">
            <v>B</v>
          </cell>
          <cell r="F1710" t="str">
            <v xml:space="preserve">STAFF ASSISTANT II                 </v>
          </cell>
          <cell r="G1710" t="str">
            <v>0913A</v>
          </cell>
          <cell r="H1710">
            <v>4167.45</v>
          </cell>
          <cell r="I1710">
            <v>1</v>
          </cell>
          <cell r="J1710">
            <v>12</v>
          </cell>
          <cell r="K1710">
            <v>1</v>
          </cell>
          <cell r="L1710">
            <v>50009.24</v>
          </cell>
        </row>
        <row r="1711">
          <cell r="A1711">
            <v>102678</v>
          </cell>
          <cell r="B1711">
            <v>20465</v>
          </cell>
          <cell r="C1711">
            <v>20657</v>
          </cell>
          <cell r="D1711" t="str">
            <v>adult</v>
          </cell>
          <cell r="E1711" t="str">
            <v>B</v>
          </cell>
          <cell r="F1711" t="str">
            <v>CLINICAL PSYCHOLOGIST II</v>
          </cell>
          <cell r="G1711" t="str">
            <v>8697A</v>
          </cell>
          <cell r="H1711">
            <v>6993.82</v>
          </cell>
          <cell r="I1711">
            <v>1</v>
          </cell>
          <cell r="J1711">
            <v>12</v>
          </cell>
          <cell r="K1711">
            <v>1</v>
          </cell>
          <cell r="L1711">
            <v>83925.52</v>
          </cell>
        </row>
        <row r="1712">
          <cell r="A1712">
            <v>109773</v>
          </cell>
          <cell r="B1712" t="str">
            <v>TBA</v>
          </cell>
          <cell r="C1712">
            <v>20657</v>
          </cell>
          <cell r="D1712" t="str">
            <v>adult</v>
          </cell>
          <cell r="E1712" t="str">
            <v>B</v>
          </cell>
          <cell r="F1712" t="str">
            <v>CLINICAL PSYCHOLOGIST II</v>
          </cell>
          <cell r="G1712" t="str">
            <v>8697A</v>
          </cell>
          <cell r="H1712">
            <v>6993.82</v>
          </cell>
          <cell r="I1712">
            <v>1</v>
          </cell>
          <cell r="J1712">
            <v>12</v>
          </cell>
          <cell r="K1712">
            <v>1</v>
          </cell>
          <cell r="L1712">
            <v>83925.84</v>
          </cell>
        </row>
        <row r="1713">
          <cell r="A1713">
            <v>100323</v>
          </cell>
          <cell r="B1713">
            <v>20657</v>
          </cell>
          <cell r="C1713">
            <v>20657</v>
          </cell>
          <cell r="D1713" t="str">
            <v>adult</v>
          </cell>
          <cell r="E1713" t="str">
            <v>B</v>
          </cell>
          <cell r="F1713" t="str">
            <v xml:space="preserve">INTERMEDIATE STENOGRAPHER          </v>
          </cell>
          <cell r="G1713" t="str">
            <v>2172A</v>
          </cell>
          <cell r="H1713">
            <v>2934</v>
          </cell>
          <cell r="I1713">
            <v>1</v>
          </cell>
          <cell r="J1713">
            <v>12</v>
          </cell>
          <cell r="K1713">
            <v>1</v>
          </cell>
          <cell r="L1713">
            <v>35208</v>
          </cell>
        </row>
        <row r="1714">
          <cell r="A1714">
            <v>109789</v>
          </cell>
          <cell r="B1714" t="str">
            <v>TBA</v>
          </cell>
          <cell r="C1714">
            <v>20657</v>
          </cell>
          <cell r="D1714" t="str">
            <v>adult</v>
          </cell>
          <cell r="E1714" t="str">
            <v>B</v>
          </cell>
          <cell r="F1714" t="str">
            <v>INTERMEDIATE TYPIST-CLERK</v>
          </cell>
          <cell r="G1714" t="str">
            <v>2214A</v>
          </cell>
          <cell r="H1714">
            <v>2675.27</v>
          </cell>
          <cell r="I1714">
            <v>1</v>
          </cell>
          <cell r="J1714">
            <v>12</v>
          </cell>
          <cell r="K1714">
            <v>1</v>
          </cell>
          <cell r="L1714">
            <v>32103.24</v>
          </cell>
        </row>
        <row r="1715">
          <cell r="A1715">
            <v>106104</v>
          </cell>
          <cell r="B1715">
            <v>18676</v>
          </cell>
          <cell r="C1715">
            <v>20657</v>
          </cell>
          <cell r="D1715" t="str">
            <v>adult</v>
          </cell>
          <cell r="E1715" t="str">
            <v>B</v>
          </cell>
          <cell r="F1715" t="str">
            <v>MEDICAL CASE WORKER II</v>
          </cell>
          <cell r="G1715" t="str">
            <v>9002A</v>
          </cell>
          <cell r="H1715">
            <v>3938.82</v>
          </cell>
          <cell r="I1715">
            <v>1</v>
          </cell>
          <cell r="J1715">
            <v>12</v>
          </cell>
          <cell r="K1715">
            <v>1</v>
          </cell>
          <cell r="L1715">
            <v>47265.68</v>
          </cell>
        </row>
        <row r="1716">
          <cell r="A1716">
            <v>109883</v>
          </cell>
          <cell r="B1716">
            <v>27592</v>
          </cell>
          <cell r="C1716">
            <v>20657</v>
          </cell>
          <cell r="D1716" t="str">
            <v>adult</v>
          </cell>
          <cell r="E1716" t="str">
            <v>B</v>
          </cell>
          <cell r="F1716" t="str">
            <v>MEDICAL CASE WORKER II</v>
          </cell>
          <cell r="G1716" t="str">
            <v>9002A</v>
          </cell>
          <cell r="H1716">
            <v>3938.82</v>
          </cell>
          <cell r="I1716">
            <v>1</v>
          </cell>
          <cell r="J1716">
            <v>12</v>
          </cell>
          <cell r="K1716">
            <v>1</v>
          </cell>
          <cell r="L1716">
            <v>47265.84</v>
          </cell>
        </row>
        <row r="1717">
          <cell r="A1717">
            <v>109884</v>
          </cell>
          <cell r="B1717">
            <v>27592</v>
          </cell>
          <cell r="C1717">
            <v>20657</v>
          </cell>
          <cell r="D1717" t="str">
            <v>adult</v>
          </cell>
          <cell r="E1717" t="str">
            <v>B</v>
          </cell>
          <cell r="F1717" t="str">
            <v>MEDICAL CASE WORKER II</v>
          </cell>
          <cell r="G1717" t="str">
            <v>9002A</v>
          </cell>
          <cell r="H1717">
            <v>3938.82</v>
          </cell>
          <cell r="I1717">
            <v>1</v>
          </cell>
          <cell r="J1717">
            <v>12</v>
          </cell>
          <cell r="K1717">
            <v>1</v>
          </cell>
          <cell r="L1717">
            <v>47265.84</v>
          </cell>
        </row>
        <row r="1718">
          <cell r="A1718">
            <v>109887</v>
          </cell>
          <cell r="B1718">
            <v>27592</v>
          </cell>
          <cell r="C1718">
            <v>20657</v>
          </cell>
          <cell r="D1718" t="str">
            <v>adult</v>
          </cell>
          <cell r="E1718" t="str">
            <v>B</v>
          </cell>
          <cell r="F1718" t="str">
            <v>MEDICAL CASE WORKER II</v>
          </cell>
          <cell r="G1718" t="str">
            <v>9002A</v>
          </cell>
          <cell r="H1718">
            <v>3938.82</v>
          </cell>
          <cell r="I1718">
            <v>1</v>
          </cell>
          <cell r="J1718">
            <v>12</v>
          </cell>
          <cell r="K1718">
            <v>1</v>
          </cell>
          <cell r="L1718">
            <v>47265.84</v>
          </cell>
        </row>
        <row r="1719">
          <cell r="A1719">
            <v>109318</v>
          </cell>
          <cell r="B1719">
            <v>20658</v>
          </cell>
          <cell r="C1719">
            <v>20657</v>
          </cell>
          <cell r="D1719" t="str">
            <v>adult</v>
          </cell>
          <cell r="E1719" t="str">
            <v>B</v>
          </cell>
          <cell r="F1719" t="str">
            <v>MEDICAL RECORDS SUPERVISOR II</v>
          </cell>
          <cell r="G1719" t="str">
            <v>1390A</v>
          </cell>
          <cell r="H1719">
            <v>3581.73</v>
          </cell>
          <cell r="I1719">
            <v>1</v>
          </cell>
          <cell r="J1719">
            <v>12</v>
          </cell>
          <cell r="K1719">
            <v>1</v>
          </cell>
          <cell r="L1719">
            <v>42980.52</v>
          </cell>
        </row>
        <row r="1720">
          <cell r="A1720">
            <v>109314</v>
          </cell>
          <cell r="B1720">
            <v>20658</v>
          </cell>
          <cell r="C1720">
            <v>20657</v>
          </cell>
          <cell r="D1720" t="str">
            <v>adult</v>
          </cell>
          <cell r="E1720" t="str">
            <v>B</v>
          </cell>
          <cell r="F1720" t="str">
            <v>MEDICAL RECORDS TECH. II</v>
          </cell>
          <cell r="G1720" t="str">
            <v>1401A</v>
          </cell>
          <cell r="H1720">
            <v>3202.27</v>
          </cell>
          <cell r="I1720">
            <v>1</v>
          </cell>
          <cell r="J1720">
            <v>12</v>
          </cell>
          <cell r="K1720">
            <v>1</v>
          </cell>
          <cell r="L1720">
            <v>38427.24</v>
          </cell>
        </row>
        <row r="1721">
          <cell r="A1721">
            <v>109319</v>
          </cell>
          <cell r="B1721">
            <v>20658</v>
          </cell>
          <cell r="C1721">
            <v>20657</v>
          </cell>
          <cell r="D1721" t="str">
            <v>adult</v>
          </cell>
          <cell r="E1721" t="str">
            <v>B</v>
          </cell>
          <cell r="F1721" t="str">
            <v>MEDICAL RECORDS TECH. II</v>
          </cell>
          <cell r="G1721" t="str">
            <v>1401A</v>
          </cell>
          <cell r="H1721">
            <v>3202.27</v>
          </cell>
          <cell r="I1721">
            <v>1</v>
          </cell>
          <cell r="J1721">
            <v>12</v>
          </cell>
          <cell r="K1721">
            <v>1</v>
          </cell>
          <cell r="L1721">
            <v>38427.24</v>
          </cell>
        </row>
        <row r="1722">
          <cell r="A1722">
            <v>102551</v>
          </cell>
          <cell r="B1722">
            <v>20657</v>
          </cell>
          <cell r="C1722">
            <v>20657</v>
          </cell>
          <cell r="D1722" t="str">
            <v>adult</v>
          </cell>
          <cell r="E1722" t="str">
            <v>B</v>
          </cell>
          <cell r="F1722" t="str">
            <v>MENTAL HEALTH COUNSELOR, RN</v>
          </cell>
          <cell r="G1722" t="str">
            <v>5278A</v>
          </cell>
          <cell r="H1722">
            <v>6275.27</v>
          </cell>
          <cell r="I1722">
            <v>1</v>
          </cell>
          <cell r="J1722">
            <v>12</v>
          </cell>
          <cell r="K1722">
            <v>1</v>
          </cell>
          <cell r="L1722">
            <v>76804.323333333334</v>
          </cell>
        </row>
        <row r="1723">
          <cell r="A1723">
            <v>106157</v>
          </cell>
          <cell r="B1723">
            <v>18676</v>
          </cell>
          <cell r="C1723">
            <v>20657</v>
          </cell>
          <cell r="D1723" t="str">
            <v>adult</v>
          </cell>
          <cell r="E1723" t="str">
            <v>B</v>
          </cell>
          <cell r="F1723" t="str">
            <v>MENTAL HEALTH SERVICES COORD I</v>
          </cell>
          <cell r="G1723" t="str">
            <v>8148A</v>
          </cell>
          <cell r="H1723">
            <v>5126.91</v>
          </cell>
          <cell r="I1723">
            <v>1</v>
          </cell>
          <cell r="J1723">
            <v>12</v>
          </cell>
          <cell r="K1723">
            <v>1</v>
          </cell>
          <cell r="L1723">
            <v>61522.92</v>
          </cell>
        </row>
        <row r="1724">
          <cell r="A1724">
            <v>109200</v>
          </cell>
          <cell r="B1724">
            <v>27506</v>
          </cell>
          <cell r="C1724">
            <v>20657</v>
          </cell>
          <cell r="D1724" t="str">
            <v>adult</v>
          </cell>
          <cell r="E1724" t="str">
            <v>B</v>
          </cell>
          <cell r="F1724" t="str">
            <v>PATIENT RESOURCES WORKER</v>
          </cell>
          <cell r="G1724" t="str">
            <v>9192A</v>
          </cell>
          <cell r="H1724">
            <v>2748.27</v>
          </cell>
          <cell r="I1724">
            <v>1</v>
          </cell>
          <cell r="J1724">
            <v>12</v>
          </cell>
          <cell r="K1724">
            <v>1</v>
          </cell>
          <cell r="L1724">
            <v>32979.24</v>
          </cell>
        </row>
        <row r="1725">
          <cell r="A1725">
            <v>104356</v>
          </cell>
          <cell r="B1725">
            <v>21561</v>
          </cell>
          <cell r="C1725">
            <v>20657</v>
          </cell>
          <cell r="D1725" t="str">
            <v>adult</v>
          </cell>
          <cell r="E1725" t="str">
            <v>B</v>
          </cell>
          <cell r="F1725" t="str">
            <v>PSYCHIATRIC SOCIAL WORKER II</v>
          </cell>
          <cell r="G1725" t="str">
            <v>9035A</v>
          </cell>
          <cell r="H1725">
            <v>5425.82</v>
          </cell>
          <cell r="I1725">
            <v>1</v>
          </cell>
          <cell r="J1725">
            <v>12</v>
          </cell>
          <cell r="K1725">
            <v>1</v>
          </cell>
          <cell r="L1725">
            <v>65109.84</v>
          </cell>
        </row>
        <row r="1726">
          <cell r="A1726">
            <v>104358</v>
          </cell>
          <cell r="B1726">
            <v>21561</v>
          </cell>
          <cell r="C1726">
            <v>20657</v>
          </cell>
          <cell r="D1726" t="str">
            <v>adult</v>
          </cell>
          <cell r="E1726" t="str">
            <v>B</v>
          </cell>
          <cell r="F1726" t="str">
            <v>PSYCHIATRIC SOCIAL WORKER II</v>
          </cell>
          <cell r="G1726" t="str">
            <v>9035A</v>
          </cell>
          <cell r="H1726">
            <v>5425.82</v>
          </cell>
          <cell r="I1726">
            <v>1</v>
          </cell>
          <cell r="J1726">
            <v>12</v>
          </cell>
          <cell r="K1726">
            <v>1</v>
          </cell>
          <cell r="L1726">
            <v>65109.84</v>
          </cell>
        </row>
        <row r="1727">
          <cell r="A1727">
            <v>109336</v>
          </cell>
          <cell r="B1727">
            <v>20658</v>
          </cell>
          <cell r="C1727">
            <v>20657</v>
          </cell>
          <cell r="D1727" t="str">
            <v>adult</v>
          </cell>
          <cell r="E1727" t="str">
            <v>B</v>
          </cell>
          <cell r="F1727" t="str">
            <v>PSYCHIATRIC SOCIAL WORKER II</v>
          </cell>
          <cell r="G1727" t="str">
            <v>9035A</v>
          </cell>
          <cell r="H1727">
            <v>5425.82</v>
          </cell>
          <cell r="I1727">
            <v>1</v>
          </cell>
          <cell r="J1727">
            <v>12</v>
          </cell>
          <cell r="K1727">
            <v>1</v>
          </cell>
          <cell r="L1727">
            <v>65109.760000000002</v>
          </cell>
        </row>
        <row r="1728">
          <cell r="A1728">
            <v>109338</v>
          </cell>
          <cell r="B1728">
            <v>20658</v>
          </cell>
          <cell r="C1728">
            <v>20657</v>
          </cell>
          <cell r="D1728" t="str">
            <v>adult</v>
          </cell>
          <cell r="E1728" t="str">
            <v>B</v>
          </cell>
          <cell r="F1728" t="str">
            <v>PSYCHIATRIC SOCIAL WORKER II</v>
          </cell>
          <cell r="G1728" t="str">
            <v>9035A</v>
          </cell>
          <cell r="H1728">
            <v>5425.82</v>
          </cell>
          <cell r="I1728">
            <v>1</v>
          </cell>
          <cell r="J1728">
            <v>12</v>
          </cell>
          <cell r="K1728">
            <v>1</v>
          </cell>
          <cell r="L1728">
            <v>65109.760000000002</v>
          </cell>
        </row>
        <row r="1729">
          <cell r="A1729">
            <v>109840</v>
          </cell>
          <cell r="B1729">
            <v>27592</v>
          </cell>
          <cell r="C1729">
            <v>20657</v>
          </cell>
          <cell r="D1729" t="str">
            <v>adult</v>
          </cell>
          <cell r="E1729" t="str">
            <v>B</v>
          </cell>
          <cell r="F1729" t="str">
            <v>PSYCHIATRIC SOCIAL WORKER II</v>
          </cell>
          <cell r="G1729" t="str">
            <v>9035A</v>
          </cell>
          <cell r="H1729">
            <v>5425.82</v>
          </cell>
          <cell r="I1729">
            <v>1</v>
          </cell>
          <cell r="J1729">
            <v>12</v>
          </cell>
          <cell r="K1729">
            <v>1</v>
          </cell>
          <cell r="L1729">
            <v>65109.84</v>
          </cell>
        </row>
        <row r="1730">
          <cell r="A1730">
            <v>109841</v>
          </cell>
          <cell r="B1730">
            <v>27592</v>
          </cell>
          <cell r="C1730">
            <v>20657</v>
          </cell>
          <cell r="D1730" t="str">
            <v>adult</v>
          </cell>
          <cell r="E1730" t="str">
            <v>B</v>
          </cell>
          <cell r="F1730" t="str">
            <v>PSYCHIATRIC SOCIAL WORKER II</v>
          </cell>
          <cell r="G1730" t="str">
            <v>9035A</v>
          </cell>
          <cell r="H1730">
            <v>5425.82</v>
          </cell>
          <cell r="I1730">
            <v>1</v>
          </cell>
          <cell r="J1730">
            <v>12</v>
          </cell>
          <cell r="K1730">
            <v>1</v>
          </cell>
          <cell r="L1730">
            <v>65109.84</v>
          </cell>
        </row>
        <row r="1731">
          <cell r="A1731">
            <v>109842</v>
          </cell>
          <cell r="B1731">
            <v>27592</v>
          </cell>
          <cell r="C1731">
            <v>20657</v>
          </cell>
          <cell r="D1731" t="str">
            <v>adult</v>
          </cell>
          <cell r="E1731" t="str">
            <v>B</v>
          </cell>
          <cell r="F1731" t="str">
            <v>PSYCHIATRIC SOCIAL WORKER II</v>
          </cell>
          <cell r="G1731" t="str">
            <v>9035A</v>
          </cell>
          <cell r="H1731">
            <v>5425.82</v>
          </cell>
          <cell r="I1731">
            <v>1</v>
          </cell>
          <cell r="J1731">
            <v>12</v>
          </cell>
          <cell r="K1731">
            <v>1</v>
          </cell>
          <cell r="L1731">
            <v>65109.84</v>
          </cell>
        </row>
        <row r="1732">
          <cell r="A1732">
            <v>109843</v>
          </cell>
          <cell r="B1732">
            <v>27592</v>
          </cell>
          <cell r="C1732">
            <v>20657</v>
          </cell>
          <cell r="D1732" t="str">
            <v>adult</v>
          </cell>
          <cell r="E1732" t="str">
            <v>B</v>
          </cell>
          <cell r="F1732" t="str">
            <v>PSYCHIATRIC SOCIAL WORKER II</v>
          </cell>
          <cell r="G1732" t="str">
            <v>9035A</v>
          </cell>
          <cell r="H1732">
            <v>5425.82</v>
          </cell>
          <cell r="I1732">
            <v>1</v>
          </cell>
          <cell r="J1732">
            <v>12</v>
          </cell>
          <cell r="K1732">
            <v>1</v>
          </cell>
          <cell r="L1732">
            <v>65109.84</v>
          </cell>
        </row>
        <row r="1733">
          <cell r="A1733">
            <v>109894</v>
          </cell>
          <cell r="B1733">
            <v>27592</v>
          </cell>
          <cell r="C1733">
            <v>20657</v>
          </cell>
          <cell r="D1733" t="str">
            <v>adult</v>
          </cell>
          <cell r="E1733" t="str">
            <v>B</v>
          </cell>
          <cell r="F1733" t="str">
            <v>PSYCHIATRIC SOCIAL WORKER II</v>
          </cell>
          <cell r="G1733" t="str">
            <v>9035A</v>
          </cell>
          <cell r="H1733">
            <v>5425.82</v>
          </cell>
          <cell r="I1733">
            <v>1</v>
          </cell>
          <cell r="J1733">
            <v>12</v>
          </cell>
          <cell r="K1733">
            <v>1</v>
          </cell>
          <cell r="L1733">
            <v>65109.84</v>
          </cell>
        </row>
        <row r="1734">
          <cell r="A1734">
            <v>109896</v>
          </cell>
          <cell r="B1734">
            <v>27592</v>
          </cell>
          <cell r="C1734">
            <v>20657</v>
          </cell>
          <cell r="D1734" t="str">
            <v>adult</v>
          </cell>
          <cell r="E1734" t="str">
            <v>B</v>
          </cell>
          <cell r="F1734" t="str">
            <v>PSYCHIATRIC SOCIAL WORKER II</v>
          </cell>
          <cell r="G1734" t="str">
            <v>9035A</v>
          </cell>
          <cell r="H1734">
            <v>5425.82</v>
          </cell>
          <cell r="I1734">
            <v>1</v>
          </cell>
          <cell r="J1734">
            <v>12</v>
          </cell>
          <cell r="K1734">
            <v>1</v>
          </cell>
          <cell r="L1734">
            <v>65109.84</v>
          </cell>
        </row>
        <row r="1735">
          <cell r="A1735">
            <v>109897</v>
          </cell>
          <cell r="B1735">
            <v>27592</v>
          </cell>
          <cell r="C1735">
            <v>20657</v>
          </cell>
          <cell r="D1735" t="str">
            <v>adult</v>
          </cell>
          <cell r="E1735" t="str">
            <v>B</v>
          </cell>
          <cell r="F1735" t="str">
            <v>PSYCHIATRIC SOCIAL WORKER II</v>
          </cell>
          <cell r="G1735" t="str">
            <v>9035A</v>
          </cell>
          <cell r="H1735">
            <v>5425.82</v>
          </cell>
          <cell r="I1735">
            <v>1</v>
          </cell>
          <cell r="J1735">
            <v>12</v>
          </cell>
          <cell r="K1735">
            <v>1</v>
          </cell>
          <cell r="L1735">
            <v>65109.84</v>
          </cell>
        </row>
        <row r="1736">
          <cell r="A1736">
            <v>104789</v>
          </cell>
          <cell r="B1736">
            <v>20658</v>
          </cell>
          <cell r="C1736">
            <v>20657</v>
          </cell>
          <cell r="D1736" t="str">
            <v>adult</v>
          </cell>
          <cell r="E1736" t="str">
            <v>B</v>
          </cell>
          <cell r="F1736" t="str">
            <v xml:space="preserve">SECRETARY III                      </v>
          </cell>
          <cell r="G1736" t="str">
            <v>2096A</v>
          </cell>
          <cell r="H1736">
            <v>3387</v>
          </cell>
          <cell r="I1736">
            <v>1</v>
          </cell>
          <cell r="J1736">
            <v>12</v>
          </cell>
          <cell r="K1736">
            <v>1</v>
          </cell>
          <cell r="L1736">
            <v>40643.839999999997</v>
          </cell>
        </row>
        <row r="1737">
          <cell r="A1737">
            <v>104430</v>
          </cell>
          <cell r="B1737">
            <v>20472</v>
          </cell>
          <cell r="C1737">
            <v>20657</v>
          </cell>
          <cell r="D1737" t="str">
            <v>adult</v>
          </cell>
          <cell r="E1737" t="str">
            <v>B</v>
          </cell>
          <cell r="F1737" t="str">
            <v>SENIOR MENTAL HEALTH COUNSELOR, RN</v>
          </cell>
          <cell r="G1737" t="str">
            <v>5280A</v>
          </cell>
          <cell r="H1737">
            <v>6790.09</v>
          </cell>
          <cell r="I1737">
            <v>1</v>
          </cell>
          <cell r="J1737">
            <v>12</v>
          </cell>
          <cell r="K1737">
            <v>1</v>
          </cell>
          <cell r="L1737">
            <v>83105.40203389831</v>
          </cell>
        </row>
        <row r="1738">
          <cell r="A1738">
            <v>109347</v>
          </cell>
          <cell r="B1738">
            <v>20658</v>
          </cell>
          <cell r="C1738">
            <v>20657</v>
          </cell>
          <cell r="D1738" t="str">
            <v>adult</v>
          </cell>
          <cell r="E1738" t="str">
            <v>B</v>
          </cell>
          <cell r="F1738" t="str">
            <v xml:space="preserve">SENIOR SECRETARY III               </v>
          </cell>
          <cell r="G1738" t="str">
            <v>2102A</v>
          </cell>
          <cell r="H1738">
            <v>4106.3599999999997</v>
          </cell>
          <cell r="I1738">
            <v>1</v>
          </cell>
          <cell r="J1738">
            <v>12</v>
          </cell>
          <cell r="K1738">
            <v>1</v>
          </cell>
          <cell r="L1738">
            <v>49276.56</v>
          </cell>
        </row>
        <row r="1739">
          <cell r="A1739">
            <v>109852</v>
          </cell>
          <cell r="B1739">
            <v>27592</v>
          </cell>
          <cell r="C1739">
            <v>20657</v>
          </cell>
          <cell r="D1739" t="str">
            <v>adult</v>
          </cell>
          <cell r="E1739" t="str">
            <v>B</v>
          </cell>
          <cell r="F1739" t="str">
            <v xml:space="preserve">SENIOR TYPIST-CLERK                </v>
          </cell>
          <cell r="G1739" t="str">
            <v>2216A</v>
          </cell>
          <cell r="H1739">
            <v>3013.55</v>
          </cell>
          <cell r="I1739">
            <v>1</v>
          </cell>
          <cell r="J1739">
            <v>12</v>
          </cell>
          <cell r="K1739">
            <v>1</v>
          </cell>
          <cell r="L1739">
            <v>36162.6</v>
          </cell>
        </row>
        <row r="1740">
          <cell r="A1740">
            <v>109853</v>
          </cell>
          <cell r="B1740" t="str">
            <v>TBA</v>
          </cell>
          <cell r="C1740">
            <v>20657</v>
          </cell>
          <cell r="D1740" t="str">
            <v>adult</v>
          </cell>
          <cell r="E1740" t="str">
            <v>B</v>
          </cell>
          <cell r="F1740" t="str">
            <v xml:space="preserve">SENIOR TYPIST-CLERK                </v>
          </cell>
          <cell r="G1740" t="str">
            <v>2216A</v>
          </cell>
          <cell r="H1740">
            <v>3013.55</v>
          </cell>
          <cell r="I1740">
            <v>1</v>
          </cell>
          <cell r="J1740">
            <v>12</v>
          </cell>
          <cell r="K1740">
            <v>1</v>
          </cell>
          <cell r="L1740">
            <v>36162.6</v>
          </cell>
        </row>
        <row r="1741">
          <cell r="A1741">
            <v>109854</v>
          </cell>
          <cell r="B1741" t="str">
            <v>TBA</v>
          </cell>
          <cell r="C1741">
            <v>20657</v>
          </cell>
          <cell r="D1741" t="str">
            <v>adult</v>
          </cell>
          <cell r="E1741" t="str">
            <v>B</v>
          </cell>
          <cell r="F1741" t="str">
            <v xml:space="preserve">SENIOR TYPIST-CLERK                </v>
          </cell>
          <cell r="G1741" t="str">
            <v>2216A</v>
          </cell>
          <cell r="H1741">
            <v>3013.55</v>
          </cell>
          <cell r="I1741">
            <v>1</v>
          </cell>
          <cell r="J1741">
            <v>12</v>
          </cell>
          <cell r="K1741">
            <v>1</v>
          </cell>
          <cell r="L1741">
            <v>36162.6</v>
          </cell>
        </row>
        <row r="1742">
          <cell r="A1742">
            <v>109855</v>
          </cell>
          <cell r="B1742" t="str">
            <v>TBA</v>
          </cell>
          <cell r="C1742">
            <v>20657</v>
          </cell>
          <cell r="D1742" t="str">
            <v>adult</v>
          </cell>
          <cell r="E1742" t="str">
            <v>B</v>
          </cell>
          <cell r="F1742" t="str">
            <v xml:space="preserve">SENIOR TYPIST-CLERK                </v>
          </cell>
          <cell r="G1742" t="str">
            <v>2216A</v>
          </cell>
          <cell r="H1742">
            <v>3013.55</v>
          </cell>
          <cell r="I1742">
            <v>1</v>
          </cell>
          <cell r="J1742">
            <v>12</v>
          </cell>
          <cell r="K1742">
            <v>1</v>
          </cell>
          <cell r="L1742">
            <v>36162.6</v>
          </cell>
        </row>
        <row r="1743">
          <cell r="A1743">
            <v>102554</v>
          </cell>
          <cell r="B1743">
            <v>20657</v>
          </cell>
          <cell r="C1743">
            <v>20657</v>
          </cell>
          <cell r="D1743" t="str">
            <v>adult</v>
          </cell>
          <cell r="E1743" t="str">
            <v>B</v>
          </cell>
          <cell r="F1743" t="str">
            <v xml:space="preserve">STAFF ASSISTANT I                  </v>
          </cell>
          <cell r="G1743" t="str">
            <v>0907A</v>
          </cell>
          <cell r="H1743">
            <v>3453.18</v>
          </cell>
          <cell r="I1743">
            <v>1</v>
          </cell>
          <cell r="J1743">
            <v>12</v>
          </cell>
          <cell r="K1743">
            <v>1</v>
          </cell>
          <cell r="L1743">
            <v>41438.480000000003</v>
          </cell>
        </row>
        <row r="1744">
          <cell r="A1744">
            <v>109863</v>
          </cell>
          <cell r="B1744">
            <v>27592</v>
          </cell>
          <cell r="C1744">
            <v>20657</v>
          </cell>
          <cell r="D1744" t="str">
            <v>adult</v>
          </cell>
          <cell r="E1744" t="str">
            <v>B</v>
          </cell>
          <cell r="F1744" t="str">
            <v xml:space="preserve">STAFF ASSISTANT II                 </v>
          </cell>
          <cell r="G1744" t="str">
            <v>0913A</v>
          </cell>
          <cell r="H1744">
            <v>4167.45</v>
          </cell>
          <cell r="I1744">
            <v>1</v>
          </cell>
          <cell r="J1744">
            <v>12</v>
          </cell>
          <cell r="K1744">
            <v>1</v>
          </cell>
          <cell r="L1744">
            <v>50009.4</v>
          </cell>
        </row>
        <row r="1745">
          <cell r="A1745">
            <v>104995</v>
          </cell>
          <cell r="B1745">
            <v>20657</v>
          </cell>
          <cell r="C1745">
            <v>20657</v>
          </cell>
          <cell r="D1745" t="str">
            <v>adult</v>
          </cell>
          <cell r="E1745" t="str">
            <v>B</v>
          </cell>
          <cell r="F1745" t="str">
            <v>SUBSTANCE ABUSE COUNSELOR</v>
          </cell>
          <cell r="G1745" t="str">
            <v>5884A</v>
          </cell>
          <cell r="H1745">
            <v>3210</v>
          </cell>
          <cell r="I1745">
            <v>1</v>
          </cell>
          <cell r="J1745">
            <v>12</v>
          </cell>
          <cell r="K1745">
            <v>1</v>
          </cell>
          <cell r="L1745">
            <v>38520</v>
          </cell>
        </row>
        <row r="1746">
          <cell r="A1746">
            <v>109315</v>
          </cell>
          <cell r="B1746">
            <v>20658</v>
          </cell>
          <cell r="C1746">
            <v>20657</v>
          </cell>
          <cell r="D1746" t="str">
            <v>adult</v>
          </cell>
          <cell r="E1746" t="str">
            <v>B</v>
          </cell>
          <cell r="F1746" t="str">
            <v>SUPERVISING CLERK</v>
          </cell>
          <cell r="G1746" t="str">
            <v>1174A</v>
          </cell>
          <cell r="H1746">
            <v>2941</v>
          </cell>
          <cell r="I1746">
            <v>1</v>
          </cell>
          <cell r="J1746">
            <v>12</v>
          </cell>
          <cell r="K1746">
            <v>1</v>
          </cell>
          <cell r="L1746">
            <v>35292</v>
          </cell>
        </row>
        <row r="1747">
          <cell r="A1747">
            <v>109917</v>
          </cell>
          <cell r="B1747">
            <v>27592</v>
          </cell>
          <cell r="C1747">
            <v>20657</v>
          </cell>
          <cell r="D1747" t="str">
            <v>adult</v>
          </cell>
          <cell r="E1747" t="str">
            <v>B</v>
          </cell>
          <cell r="F1747" t="str">
            <v xml:space="preserve">SUPVG PSYCHIATRIC SOCIAL WORKER    </v>
          </cell>
          <cell r="G1747" t="str">
            <v>9038A</v>
          </cell>
          <cell r="H1747">
            <v>6062.45</v>
          </cell>
          <cell r="I1747">
            <v>1</v>
          </cell>
          <cell r="J1747">
            <v>12</v>
          </cell>
          <cell r="K1747">
            <v>1</v>
          </cell>
          <cell r="L1747">
            <v>72749.399999999994</v>
          </cell>
        </row>
        <row r="1748">
          <cell r="A1748">
            <v>103633</v>
          </cell>
          <cell r="B1748">
            <v>18634</v>
          </cell>
          <cell r="C1748">
            <v>23007</v>
          </cell>
          <cell r="D1748" t="str">
            <v>adult</v>
          </cell>
          <cell r="E1748" t="str">
            <v>B</v>
          </cell>
          <cell r="F1748" t="str">
            <v>CLINICAL PSYCHOLOGIST II</v>
          </cell>
          <cell r="G1748" t="str">
            <v>8697A</v>
          </cell>
          <cell r="H1748">
            <v>6993.82</v>
          </cell>
          <cell r="I1748">
            <v>1</v>
          </cell>
          <cell r="J1748">
            <v>12</v>
          </cell>
          <cell r="K1748">
            <v>1</v>
          </cell>
          <cell r="L1748">
            <v>83925.52</v>
          </cell>
        </row>
        <row r="1749">
          <cell r="A1749">
            <v>104218</v>
          </cell>
          <cell r="B1749">
            <v>23010</v>
          </cell>
          <cell r="C1749">
            <v>23007</v>
          </cell>
          <cell r="D1749" t="str">
            <v>adult</v>
          </cell>
          <cell r="E1749" t="str">
            <v>B</v>
          </cell>
          <cell r="F1749" t="str">
            <v>CLINICAL PSYCHOLOGIST II</v>
          </cell>
          <cell r="G1749" t="str">
            <v>8697A</v>
          </cell>
          <cell r="H1749">
            <v>6993.82</v>
          </cell>
          <cell r="I1749">
            <v>1</v>
          </cell>
          <cell r="J1749">
            <v>12</v>
          </cell>
          <cell r="K1749">
            <v>1</v>
          </cell>
          <cell r="L1749">
            <v>83925.52</v>
          </cell>
        </row>
        <row r="1750">
          <cell r="A1750">
            <v>104357</v>
          </cell>
          <cell r="B1750">
            <v>21561</v>
          </cell>
          <cell r="C1750">
            <v>23007</v>
          </cell>
          <cell r="D1750" t="str">
            <v>adult</v>
          </cell>
          <cell r="E1750" t="str">
            <v>B</v>
          </cell>
          <cell r="F1750" t="str">
            <v>CLINICAL PSYCHOLOGIST II</v>
          </cell>
          <cell r="G1750" t="str">
            <v>8697A</v>
          </cell>
          <cell r="H1750">
            <v>6993.82</v>
          </cell>
          <cell r="I1750">
            <v>1</v>
          </cell>
          <cell r="J1750">
            <v>12</v>
          </cell>
          <cell r="K1750">
            <v>1</v>
          </cell>
          <cell r="L1750">
            <v>83925.52</v>
          </cell>
        </row>
        <row r="1751">
          <cell r="A1751">
            <v>104462</v>
          </cell>
          <cell r="B1751">
            <v>23034</v>
          </cell>
          <cell r="C1751">
            <v>23007</v>
          </cell>
          <cell r="D1751" t="str">
            <v>adult</v>
          </cell>
          <cell r="E1751" t="str">
            <v>B</v>
          </cell>
          <cell r="F1751" t="str">
            <v>CLINICAL PSYCHOLOGIST II</v>
          </cell>
          <cell r="G1751" t="str">
            <v>8697A</v>
          </cell>
          <cell r="H1751">
            <v>6993.82</v>
          </cell>
          <cell r="I1751">
            <v>1</v>
          </cell>
          <cell r="J1751">
            <v>12</v>
          </cell>
          <cell r="K1751">
            <v>1</v>
          </cell>
          <cell r="L1751">
            <v>83925.52</v>
          </cell>
        </row>
        <row r="1752">
          <cell r="A1752">
            <v>102633</v>
          </cell>
          <cell r="B1752">
            <v>23007</v>
          </cell>
          <cell r="C1752">
            <v>23007</v>
          </cell>
          <cell r="D1752" t="str">
            <v>adult</v>
          </cell>
          <cell r="E1752" t="str">
            <v>B</v>
          </cell>
          <cell r="F1752" t="str">
            <v>COMMUNITY WORKER</v>
          </cell>
          <cell r="G1752" t="str">
            <v>8103A</v>
          </cell>
          <cell r="H1752">
            <v>2984.09</v>
          </cell>
          <cell r="I1752">
            <v>1</v>
          </cell>
          <cell r="J1752">
            <v>12</v>
          </cell>
          <cell r="K1752">
            <v>1</v>
          </cell>
          <cell r="L1752">
            <v>35809.08</v>
          </cell>
        </row>
        <row r="1753">
          <cell r="A1753">
            <v>102649</v>
          </cell>
          <cell r="B1753">
            <v>23007</v>
          </cell>
          <cell r="C1753">
            <v>23007</v>
          </cell>
          <cell r="D1753" t="str">
            <v>adult</v>
          </cell>
          <cell r="E1753" t="str">
            <v>B</v>
          </cell>
          <cell r="F1753" t="str">
            <v>COMMUNITY WORKER</v>
          </cell>
          <cell r="G1753" t="str">
            <v>8103A</v>
          </cell>
          <cell r="H1753">
            <v>2984.09</v>
          </cell>
          <cell r="I1753">
            <v>1</v>
          </cell>
          <cell r="J1753">
            <v>12</v>
          </cell>
          <cell r="K1753">
            <v>1</v>
          </cell>
          <cell r="L1753">
            <v>35809.08</v>
          </cell>
        </row>
        <row r="1754">
          <cell r="A1754">
            <v>106257</v>
          </cell>
          <cell r="B1754">
            <v>23035</v>
          </cell>
          <cell r="C1754">
            <v>23007</v>
          </cell>
          <cell r="D1754" t="str">
            <v>adult</v>
          </cell>
          <cell r="E1754" t="str">
            <v>B</v>
          </cell>
          <cell r="F1754" t="str">
            <v>COMMUNITY WORKER</v>
          </cell>
          <cell r="G1754" t="str">
            <v>8103A</v>
          </cell>
          <cell r="H1754">
            <v>2984.09</v>
          </cell>
          <cell r="I1754">
            <v>1</v>
          </cell>
          <cell r="J1754">
            <v>12</v>
          </cell>
          <cell r="K1754">
            <v>1</v>
          </cell>
          <cell r="L1754">
            <v>35809.08</v>
          </cell>
        </row>
        <row r="1755">
          <cell r="A1755">
            <v>102278</v>
          </cell>
          <cell r="B1755">
            <v>23007</v>
          </cell>
          <cell r="C1755">
            <v>23007</v>
          </cell>
          <cell r="D1755" t="str">
            <v>adult</v>
          </cell>
          <cell r="E1755" t="str">
            <v>B</v>
          </cell>
          <cell r="F1755" t="str">
            <v xml:space="preserve">INT SUPERVISING TYPIST-CLERK       </v>
          </cell>
          <cell r="G1755" t="str">
            <v>2221A</v>
          </cell>
          <cell r="H1755">
            <v>3337.91</v>
          </cell>
          <cell r="I1755">
            <v>1</v>
          </cell>
          <cell r="J1755">
            <v>12</v>
          </cell>
          <cell r="K1755">
            <v>1</v>
          </cell>
          <cell r="L1755">
            <v>40054.519999999997</v>
          </cell>
        </row>
        <row r="1756">
          <cell r="A1756">
            <v>104729</v>
          </cell>
          <cell r="B1756">
            <v>23007</v>
          </cell>
          <cell r="C1756">
            <v>23007</v>
          </cell>
          <cell r="D1756" t="str">
            <v>adult</v>
          </cell>
          <cell r="E1756" t="str">
            <v>B</v>
          </cell>
          <cell r="F1756" t="str">
            <v xml:space="preserve">INTERMEDIATE CLERK                 </v>
          </cell>
          <cell r="G1756" t="str">
            <v>1138A</v>
          </cell>
          <cell r="H1756">
            <v>2611.09</v>
          </cell>
          <cell r="I1756">
            <v>1</v>
          </cell>
          <cell r="J1756">
            <v>12</v>
          </cell>
          <cell r="K1756">
            <v>1</v>
          </cell>
          <cell r="L1756">
            <v>31333</v>
          </cell>
        </row>
        <row r="1757">
          <cell r="A1757">
            <v>102455</v>
          </cell>
          <cell r="B1757">
            <v>23007</v>
          </cell>
          <cell r="C1757">
            <v>23007</v>
          </cell>
          <cell r="D1757" t="str">
            <v>adult</v>
          </cell>
          <cell r="E1757" t="str">
            <v>B</v>
          </cell>
          <cell r="F1757" t="str">
            <v>INTERMEDIATE TYPIST-CLERK</v>
          </cell>
          <cell r="G1757" t="str">
            <v>2214A</v>
          </cell>
          <cell r="H1757">
            <v>2675.27</v>
          </cell>
          <cell r="I1757">
            <v>1</v>
          </cell>
          <cell r="J1757">
            <v>12</v>
          </cell>
          <cell r="K1757">
            <v>1</v>
          </cell>
          <cell r="L1757">
            <v>32103.16</v>
          </cell>
        </row>
        <row r="1758">
          <cell r="A1758">
            <v>104730</v>
          </cell>
          <cell r="B1758">
            <v>23007</v>
          </cell>
          <cell r="C1758">
            <v>23007</v>
          </cell>
          <cell r="D1758" t="str">
            <v>adult</v>
          </cell>
          <cell r="E1758" t="str">
            <v>B</v>
          </cell>
          <cell r="F1758" t="str">
            <v>INTERMEDIATE TYPIST-CLERK</v>
          </cell>
          <cell r="G1758" t="str">
            <v>2214A</v>
          </cell>
          <cell r="H1758">
            <v>2675.27</v>
          </cell>
          <cell r="I1758">
            <v>1</v>
          </cell>
          <cell r="J1758">
            <v>12</v>
          </cell>
          <cell r="K1758">
            <v>1</v>
          </cell>
          <cell r="L1758">
            <v>32103.16</v>
          </cell>
        </row>
        <row r="1759">
          <cell r="A1759">
            <v>109180</v>
          </cell>
          <cell r="B1759">
            <v>27506</v>
          </cell>
          <cell r="C1759">
            <v>23007</v>
          </cell>
          <cell r="D1759" t="str">
            <v>adult</v>
          </cell>
          <cell r="E1759" t="str">
            <v>B</v>
          </cell>
          <cell r="F1759" t="str">
            <v>INTERMEDIATE TYPIST-CLERK</v>
          </cell>
          <cell r="G1759" t="str">
            <v>2214A</v>
          </cell>
          <cell r="H1759">
            <v>2675.27</v>
          </cell>
          <cell r="I1759">
            <v>1</v>
          </cell>
          <cell r="J1759">
            <v>12</v>
          </cell>
          <cell r="K1759">
            <v>1</v>
          </cell>
          <cell r="L1759">
            <v>32103.16</v>
          </cell>
        </row>
        <row r="1760">
          <cell r="A1760">
            <v>109718</v>
          </cell>
          <cell r="B1760">
            <v>23007</v>
          </cell>
          <cell r="C1760">
            <v>23007</v>
          </cell>
          <cell r="D1760" t="str">
            <v>adult</v>
          </cell>
          <cell r="E1760" t="str">
            <v>B</v>
          </cell>
          <cell r="F1760" t="str">
            <v>INTERMEDIATE TYPIST-CLERK</v>
          </cell>
          <cell r="G1760" t="str">
            <v>2214A</v>
          </cell>
          <cell r="H1760">
            <v>2675.27</v>
          </cell>
          <cell r="I1760">
            <v>1</v>
          </cell>
          <cell r="J1760">
            <v>12</v>
          </cell>
          <cell r="K1760">
            <v>1</v>
          </cell>
          <cell r="L1760">
            <v>32103.24</v>
          </cell>
        </row>
        <row r="1761">
          <cell r="A1761">
            <v>109719</v>
          </cell>
          <cell r="B1761">
            <v>23007</v>
          </cell>
          <cell r="C1761">
            <v>23007</v>
          </cell>
          <cell r="D1761" t="str">
            <v>adult</v>
          </cell>
          <cell r="E1761" t="str">
            <v>B</v>
          </cell>
          <cell r="F1761" t="str">
            <v>INTERMEDIATE TYPIST-CLERK</v>
          </cell>
          <cell r="G1761" t="str">
            <v>2214A</v>
          </cell>
          <cell r="H1761">
            <v>2675.27</v>
          </cell>
          <cell r="I1761">
            <v>1</v>
          </cell>
          <cell r="J1761">
            <v>12</v>
          </cell>
          <cell r="K1761">
            <v>1</v>
          </cell>
          <cell r="L1761">
            <v>32103.24</v>
          </cell>
        </row>
        <row r="1762">
          <cell r="A1762">
            <v>109720</v>
          </cell>
          <cell r="B1762">
            <v>23007</v>
          </cell>
          <cell r="C1762">
            <v>23007</v>
          </cell>
          <cell r="D1762" t="str">
            <v>adult</v>
          </cell>
          <cell r="E1762" t="str">
            <v>B</v>
          </cell>
          <cell r="F1762" t="str">
            <v>INTERMEDIATE TYPIST-CLERK</v>
          </cell>
          <cell r="G1762" t="str">
            <v>2214A</v>
          </cell>
          <cell r="H1762">
            <v>2675.27</v>
          </cell>
          <cell r="I1762">
            <v>1</v>
          </cell>
          <cell r="J1762">
            <v>12</v>
          </cell>
          <cell r="K1762">
            <v>1</v>
          </cell>
          <cell r="L1762">
            <v>32103.24</v>
          </cell>
        </row>
        <row r="1763">
          <cell r="A1763">
            <v>109721</v>
          </cell>
          <cell r="B1763">
            <v>23007</v>
          </cell>
          <cell r="C1763">
            <v>23007</v>
          </cell>
          <cell r="D1763" t="str">
            <v>adult</v>
          </cell>
          <cell r="E1763" t="str">
            <v>B</v>
          </cell>
          <cell r="F1763" t="str">
            <v>INTERMEDIATE TYPIST-CLERK</v>
          </cell>
          <cell r="G1763" t="str">
            <v>2214A</v>
          </cell>
          <cell r="H1763">
            <v>2675.27</v>
          </cell>
          <cell r="I1763">
            <v>1</v>
          </cell>
          <cell r="J1763">
            <v>12</v>
          </cell>
          <cell r="K1763">
            <v>1</v>
          </cell>
          <cell r="L1763">
            <v>32103.24</v>
          </cell>
        </row>
        <row r="1764">
          <cell r="A1764">
            <v>109722</v>
          </cell>
          <cell r="B1764">
            <v>23007</v>
          </cell>
          <cell r="C1764">
            <v>23007</v>
          </cell>
          <cell r="D1764" t="str">
            <v>adult</v>
          </cell>
          <cell r="E1764" t="str">
            <v>B</v>
          </cell>
          <cell r="F1764" t="str">
            <v>INTERMEDIATE TYPIST-CLERK</v>
          </cell>
          <cell r="G1764" t="str">
            <v>2214A</v>
          </cell>
          <cell r="H1764">
            <v>2675.27</v>
          </cell>
          <cell r="I1764">
            <v>1</v>
          </cell>
          <cell r="J1764">
            <v>12</v>
          </cell>
          <cell r="K1764">
            <v>1</v>
          </cell>
          <cell r="L1764">
            <v>32103.24</v>
          </cell>
        </row>
        <row r="1765">
          <cell r="A1765">
            <v>104395</v>
          </cell>
          <cell r="B1765">
            <v>23007</v>
          </cell>
          <cell r="C1765">
            <v>23007</v>
          </cell>
          <cell r="D1765" t="str">
            <v>adult</v>
          </cell>
          <cell r="E1765" t="str">
            <v>B</v>
          </cell>
          <cell r="F1765" t="str">
            <v>MEDICAL CASE WORKER II</v>
          </cell>
          <cell r="G1765" t="str">
            <v>9002A</v>
          </cell>
          <cell r="H1765">
            <v>3938.82</v>
          </cell>
          <cell r="I1765">
            <v>1</v>
          </cell>
          <cell r="J1765">
            <v>12</v>
          </cell>
          <cell r="K1765">
            <v>1</v>
          </cell>
          <cell r="L1765">
            <v>47265.68</v>
          </cell>
        </row>
        <row r="1766">
          <cell r="A1766">
            <v>100633</v>
          </cell>
          <cell r="B1766">
            <v>20683</v>
          </cell>
          <cell r="C1766">
            <v>23007</v>
          </cell>
          <cell r="D1766" t="str">
            <v>adult</v>
          </cell>
          <cell r="E1766" t="str">
            <v>B</v>
          </cell>
          <cell r="F1766" t="str">
            <v>MENTAL HEALTH COUNSELOR, RN</v>
          </cell>
          <cell r="G1766" t="str">
            <v>5278A</v>
          </cell>
          <cell r="H1766">
            <v>6275.27</v>
          </cell>
          <cell r="I1766">
            <v>1</v>
          </cell>
          <cell r="J1766">
            <v>12</v>
          </cell>
          <cell r="K1766">
            <v>1</v>
          </cell>
          <cell r="L1766">
            <v>76804.323333333334</v>
          </cell>
        </row>
        <row r="1767">
          <cell r="A1767">
            <v>102787</v>
          </cell>
          <cell r="B1767">
            <v>23007</v>
          </cell>
          <cell r="C1767">
            <v>23007</v>
          </cell>
          <cell r="D1767" t="str">
            <v>adult</v>
          </cell>
          <cell r="E1767" t="str">
            <v>B</v>
          </cell>
          <cell r="F1767" t="str">
            <v>MENTAL HEALTH COUNSELOR, RN</v>
          </cell>
          <cell r="G1767" t="str">
            <v>5278A</v>
          </cell>
          <cell r="H1767">
            <v>6275.27</v>
          </cell>
          <cell r="I1767">
            <v>1</v>
          </cell>
          <cell r="J1767">
            <v>12</v>
          </cell>
          <cell r="K1767">
            <v>1</v>
          </cell>
          <cell r="L1767">
            <v>76804.323333333334</v>
          </cell>
        </row>
        <row r="1768">
          <cell r="A1768">
            <v>103970</v>
          </cell>
          <cell r="B1768">
            <v>23007</v>
          </cell>
          <cell r="C1768">
            <v>23007</v>
          </cell>
          <cell r="D1768" t="str">
            <v>adult</v>
          </cell>
          <cell r="E1768" t="str">
            <v>B</v>
          </cell>
          <cell r="F1768" t="str">
            <v>MENTAL HEALTH COUNSELOR, RN</v>
          </cell>
          <cell r="G1768" t="str">
            <v>5278A</v>
          </cell>
          <cell r="H1768">
            <v>6275.27</v>
          </cell>
          <cell r="I1768">
            <v>1</v>
          </cell>
          <cell r="J1768">
            <v>12</v>
          </cell>
          <cell r="K1768">
            <v>1</v>
          </cell>
          <cell r="L1768">
            <v>76804.323333333334</v>
          </cell>
        </row>
        <row r="1769">
          <cell r="A1769">
            <v>104726</v>
          </cell>
          <cell r="B1769">
            <v>23007</v>
          </cell>
          <cell r="C1769">
            <v>23007</v>
          </cell>
          <cell r="D1769" t="str">
            <v>adult</v>
          </cell>
          <cell r="E1769" t="str">
            <v>B</v>
          </cell>
          <cell r="F1769" t="str">
            <v>MENTAL HEALTH COUNSELOR, RN</v>
          </cell>
          <cell r="G1769" t="str">
            <v>5278A</v>
          </cell>
          <cell r="H1769">
            <v>6275.27</v>
          </cell>
          <cell r="I1769">
            <v>1</v>
          </cell>
          <cell r="J1769">
            <v>12</v>
          </cell>
          <cell r="K1769">
            <v>1</v>
          </cell>
          <cell r="L1769">
            <v>76804.323333333334</v>
          </cell>
        </row>
        <row r="1770">
          <cell r="A1770">
            <v>101722</v>
          </cell>
          <cell r="B1770">
            <v>23007</v>
          </cell>
          <cell r="C1770">
            <v>23007</v>
          </cell>
          <cell r="D1770" t="str">
            <v>adult</v>
          </cell>
          <cell r="E1770" t="str">
            <v>B</v>
          </cell>
          <cell r="F1770" t="str">
            <v>MENTAL HEALTH PSYCHIATRIST</v>
          </cell>
          <cell r="G1770" t="str">
            <v>4735A</v>
          </cell>
          <cell r="H1770">
            <v>12844</v>
          </cell>
          <cell r="I1770">
            <v>1</v>
          </cell>
          <cell r="J1770">
            <v>12</v>
          </cell>
          <cell r="K1770">
            <v>1</v>
          </cell>
          <cell r="L1770">
            <v>154128</v>
          </cell>
        </row>
        <row r="1771">
          <cell r="A1771">
            <v>102740</v>
          </cell>
          <cell r="B1771">
            <v>23007</v>
          </cell>
          <cell r="C1771">
            <v>23007</v>
          </cell>
          <cell r="D1771" t="str">
            <v>adult</v>
          </cell>
          <cell r="E1771" t="str">
            <v>B</v>
          </cell>
          <cell r="F1771" t="str">
            <v>MENTAL HEALTH PSYCHIATRIST</v>
          </cell>
          <cell r="G1771" t="str">
            <v>4735A</v>
          </cell>
          <cell r="H1771">
            <v>12844</v>
          </cell>
          <cell r="I1771">
            <v>1</v>
          </cell>
          <cell r="J1771">
            <v>6</v>
          </cell>
          <cell r="K1771">
            <v>0.5</v>
          </cell>
          <cell r="L1771">
            <v>77064</v>
          </cell>
        </row>
        <row r="1772">
          <cell r="A1772">
            <v>103300</v>
          </cell>
          <cell r="B1772">
            <v>18588</v>
          </cell>
          <cell r="C1772">
            <v>23007</v>
          </cell>
          <cell r="D1772" t="str">
            <v>adult</v>
          </cell>
          <cell r="E1772" t="str">
            <v>B</v>
          </cell>
          <cell r="F1772" t="str">
            <v>MENTAL HEALTH PSYCHIATRIST</v>
          </cell>
          <cell r="G1772" t="str">
            <v>4735A</v>
          </cell>
          <cell r="H1772">
            <v>12844</v>
          </cell>
          <cell r="I1772">
            <v>1</v>
          </cell>
          <cell r="J1772">
            <v>3</v>
          </cell>
          <cell r="K1772">
            <v>0.25</v>
          </cell>
          <cell r="L1772">
            <v>38532</v>
          </cell>
        </row>
        <row r="1773">
          <cell r="A1773">
            <v>104418</v>
          </cell>
          <cell r="B1773">
            <v>23010</v>
          </cell>
          <cell r="C1773">
            <v>23007</v>
          </cell>
          <cell r="D1773" t="str">
            <v>adult</v>
          </cell>
          <cell r="E1773" t="str">
            <v>B</v>
          </cell>
          <cell r="F1773" t="str">
            <v>MENTAL HEALTH PSYCHIATRIST</v>
          </cell>
          <cell r="G1773" t="str">
            <v>4735A</v>
          </cell>
          <cell r="H1773">
            <v>12844</v>
          </cell>
          <cell r="I1773">
            <v>1</v>
          </cell>
          <cell r="J1773">
            <v>12</v>
          </cell>
          <cell r="K1773">
            <v>1</v>
          </cell>
          <cell r="L1773">
            <v>154128</v>
          </cell>
        </row>
        <row r="1774">
          <cell r="A1774">
            <v>104426</v>
          </cell>
          <cell r="B1774">
            <v>23007</v>
          </cell>
          <cell r="C1774">
            <v>23007</v>
          </cell>
          <cell r="D1774" t="str">
            <v>adult</v>
          </cell>
          <cell r="E1774" t="str">
            <v>B</v>
          </cell>
          <cell r="F1774" t="str">
            <v>MENTAL HEALTH PSYCHIATRIST</v>
          </cell>
          <cell r="G1774" t="str">
            <v>4735A</v>
          </cell>
          <cell r="H1774">
            <v>12844</v>
          </cell>
          <cell r="I1774">
            <v>1</v>
          </cell>
          <cell r="J1774">
            <v>7</v>
          </cell>
          <cell r="K1774">
            <v>0.58333333333333337</v>
          </cell>
          <cell r="L1774">
            <v>89908</v>
          </cell>
        </row>
        <row r="1775">
          <cell r="A1775">
            <v>104724</v>
          </cell>
          <cell r="B1775">
            <v>23007</v>
          </cell>
          <cell r="C1775">
            <v>23007</v>
          </cell>
          <cell r="D1775" t="str">
            <v>adult</v>
          </cell>
          <cell r="E1775" t="str">
            <v>B</v>
          </cell>
          <cell r="F1775" t="str">
            <v>MENTAL HEALTH PSYCHIATRIST</v>
          </cell>
          <cell r="G1775" t="str">
            <v>4735A</v>
          </cell>
          <cell r="H1775">
            <v>12844</v>
          </cell>
          <cell r="I1775">
            <v>1</v>
          </cell>
          <cell r="J1775">
            <v>12</v>
          </cell>
          <cell r="K1775">
            <v>1</v>
          </cell>
          <cell r="L1775">
            <v>154128</v>
          </cell>
        </row>
        <row r="1776">
          <cell r="A1776">
            <v>105001</v>
          </cell>
          <cell r="B1776">
            <v>23007</v>
          </cell>
          <cell r="C1776">
            <v>23007</v>
          </cell>
          <cell r="D1776" t="str">
            <v>adult</v>
          </cell>
          <cell r="E1776" t="str">
            <v>B</v>
          </cell>
          <cell r="F1776" t="str">
            <v>MENTAL HEALTH PSYCHIATRIST</v>
          </cell>
          <cell r="G1776" t="str">
            <v>4735A</v>
          </cell>
          <cell r="H1776">
            <v>12844</v>
          </cell>
          <cell r="I1776">
            <v>1</v>
          </cell>
          <cell r="J1776">
            <v>6</v>
          </cell>
          <cell r="K1776">
            <v>0.5</v>
          </cell>
          <cell r="L1776">
            <v>77064</v>
          </cell>
        </row>
        <row r="1777">
          <cell r="A1777">
            <v>107686</v>
          </cell>
          <cell r="B1777">
            <v>18593</v>
          </cell>
          <cell r="C1777">
            <v>23007</v>
          </cell>
          <cell r="D1777" t="str">
            <v>adult</v>
          </cell>
          <cell r="E1777" t="str">
            <v>B</v>
          </cell>
          <cell r="F1777" t="str">
            <v>MENTAL HEALTH PSYCHIATRIST</v>
          </cell>
          <cell r="G1777" t="str">
            <v>4735A</v>
          </cell>
          <cell r="H1777">
            <v>12844</v>
          </cell>
          <cell r="I1777">
            <v>1</v>
          </cell>
          <cell r="J1777">
            <v>12</v>
          </cell>
          <cell r="K1777">
            <v>1</v>
          </cell>
          <cell r="L1777">
            <v>154128</v>
          </cell>
        </row>
        <row r="1778">
          <cell r="A1778">
            <v>103125</v>
          </cell>
          <cell r="B1778">
            <v>18703</v>
          </cell>
          <cell r="C1778">
            <v>23007</v>
          </cell>
          <cell r="D1778" t="str">
            <v>adult</v>
          </cell>
          <cell r="E1778" t="str">
            <v>B</v>
          </cell>
          <cell r="F1778" t="str">
            <v>MENTAL HEALTH SERVICES COORD II</v>
          </cell>
          <cell r="G1778" t="str">
            <v>8149A</v>
          </cell>
          <cell r="H1778">
            <v>5152.3599999999997</v>
          </cell>
          <cell r="I1778">
            <v>1</v>
          </cell>
          <cell r="J1778">
            <v>12</v>
          </cell>
          <cell r="K1778">
            <v>1</v>
          </cell>
          <cell r="L1778">
            <v>61828.72</v>
          </cell>
        </row>
        <row r="1779">
          <cell r="A1779">
            <v>104796</v>
          </cell>
          <cell r="B1779">
            <v>20923</v>
          </cell>
          <cell r="C1779">
            <v>23007</v>
          </cell>
          <cell r="D1779" t="str">
            <v>adult</v>
          </cell>
          <cell r="E1779" t="str">
            <v>B</v>
          </cell>
          <cell r="F1779" t="str">
            <v>OCCUPATIONAL THERAPY SUPERVISOR I</v>
          </cell>
          <cell r="G1779" t="str">
            <v>5859A</v>
          </cell>
          <cell r="H1779">
            <v>6790.09</v>
          </cell>
          <cell r="I1779">
            <v>1</v>
          </cell>
          <cell r="J1779">
            <v>12</v>
          </cell>
          <cell r="K1779">
            <v>1</v>
          </cell>
          <cell r="L1779">
            <v>81481.399999999994</v>
          </cell>
        </row>
        <row r="1780">
          <cell r="A1780">
            <v>102613</v>
          </cell>
          <cell r="B1780">
            <v>23007</v>
          </cell>
          <cell r="C1780">
            <v>23007</v>
          </cell>
          <cell r="D1780" t="str">
            <v>adult</v>
          </cell>
          <cell r="E1780" t="str">
            <v>B</v>
          </cell>
          <cell r="F1780" t="str">
            <v xml:space="preserve">PATIENT FINANCIAL SERVICES WORKER  </v>
          </cell>
          <cell r="G1780" t="str">
            <v>9193A</v>
          </cell>
          <cell r="H1780">
            <v>3403.55</v>
          </cell>
          <cell r="I1780">
            <v>1</v>
          </cell>
          <cell r="J1780">
            <v>12</v>
          </cell>
          <cell r="K1780">
            <v>1</v>
          </cell>
          <cell r="L1780">
            <v>40842.6</v>
          </cell>
        </row>
        <row r="1781">
          <cell r="A1781">
            <v>102733</v>
          </cell>
          <cell r="B1781">
            <v>23007</v>
          </cell>
          <cell r="C1781">
            <v>23007</v>
          </cell>
          <cell r="D1781" t="str">
            <v>adult</v>
          </cell>
          <cell r="E1781" t="str">
            <v>B</v>
          </cell>
          <cell r="F1781" t="str">
            <v xml:space="preserve">PATIENT FINANCIAL SERVICES WORKER  </v>
          </cell>
          <cell r="G1781" t="str">
            <v>9193A</v>
          </cell>
          <cell r="H1781">
            <v>3403.55</v>
          </cell>
          <cell r="I1781">
            <v>1</v>
          </cell>
          <cell r="J1781">
            <v>12</v>
          </cell>
          <cell r="K1781">
            <v>1</v>
          </cell>
          <cell r="L1781">
            <v>40842.6</v>
          </cell>
        </row>
        <row r="1782">
          <cell r="A1782">
            <v>103132</v>
          </cell>
          <cell r="B1782">
            <v>23010</v>
          </cell>
          <cell r="C1782">
            <v>23007</v>
          </cell>
          <cell r="D1782" t="str">
            <v>adult</v>
          </cell>
          <cell r="E1782" t="str">
            <v>B</v>
          </cell>
          <cell r="F1782" t="str">
            <v xml:space="preserve">PATIENT FINANCIAL SERVICES WORKER  </v>
          </cell>
          <cell r="G1782" t="str">
            <v>9193A</v>
          </cell>
          <cell r="H1782">
            <v>3403.55</v>
          </cell>
          <cell r="I1782">
            <v>1</v>
          </cell>
          <cell r="J1782">
            <v>12</v>
          </cell>
          <cell r="K1782">
            <v>1</v>
          </cell>
          <cell r="L1782">
            <v>40842.6</v>
          </cell>
        </row>
        <row r="1783">
          <cell r="A1783">
            <v>104322</v>
          </cell>
          <cell r="B1783">
            <v>23007</v>
          </cell>
          <cell r="C1783">
            <v>23007</v>
          </cell>
          <cell r="D1783" t="str">
            <v>adult</v>
          </cell>
          <cell r="E1783" t="str">
            <v>B</v>
          </cell>
          <cell r="F1783" t="str">
            <v xml:space="preserve">PATIENT FINANCIAL SERVICES WORKER  </v>
          </cell>
          <cell r="G1783" t="str">
            <v>9193A</v>
          </cell>
          <cell r="H1783">
            <v>3403.55</v>
          </cell>
          <cell r="I1783">
            <v>1</v>
          </cell>
          <cell r="J1783">
            <v>12</v>
          </cell>
          <cell r="K1783">
            <v>1</v>
          </cell>
          <cell r="L1783">
            <v>40842.6</v>
          </cell>
        </row>
        <row r="1784">
          <cell r="A1784">
            <v>109766</v>
          </cell>
          <cell r="B1784">
            <v>23007</v>
          </cell>
          <cell r="C1784">
            <v>23007</v>
          </cell>
          <cell r="D1784" t="str">
            <v>adult</v>
          </cell>
          <cell r="E1784" t="str">
            <v>B</v>
          </cell>
          <cell r="F1784" t="str">
            <v>PATIENT RESOURCES WORKER</v>
          </cell>
          <cell r="G1784" t="str">
            <v>9192A</v>
          </cell>
          <cell r="H1784">
            <v>2748.27</v>
          </cell>
          <cell r="I1784">
            <v>1</v>
          </cell>
          <cell r="J1784">
            <v>12</v>
          </cell>
          <cell r="K1784">
            <v>1</v>
          </cell>
          <cell r="L1784">
            <v>32979.24</v>
          </cell>
        </row>
        <row r="1785">
          <cell r="A1785">
            <v>101035</v>
          </cell>
          <cell r="B1785">
            <v>23007</v>
          </cell>
          <cell r="C1785">
            <v>23007</v>
          </cell>
          <cell r="D1785" t="str">
            <v>adult</v>
          </cell>
          <cell r="E1785" t="str">
            <v>B</v>
          </cell>
          <cell r="F1785" t="str">
            <v>PSYCHIATRIC SOCIAL WORKER II</v>
          </cell>
          <cell r="G1785" t="str">
            <v>9035A</v>
          </cell>
          <cell r="H1785">
            <v>5425.82</v>
          </cell>
          <cell r="I1785">
            <v>1</v>
          </cell>
          <cell r="J1785">
            <v>12</v>
          </cell>
          <cell r="K1785">
            <v>1</v>
          </cell>
          <cell r="L1785">
            <v>65109.84</v>
          </cell>
        </row>
        <row r="1786">
          <cell r="A1786">
            <v>101036</v>
          </cell>
          <cell r="B1786">
            <v>23007</v>
          </cell>
          <cell r="C1786">
            <v>23007</v>
          </cell>
          <cell r="D1786" t="str">
            <v>adult</v>
          </cell>
          <cell r="E1786" t="str">
            <v>B</v>
          </cell>
          <cell r="F1786" t="str">
            <v>PSYCHIATRIC SOCIAL WORKER II</v>
          </cell>
          <cell r="G1786" t="str">
            <v>9035A</v>
          </cell>
          <cell r="H1786">
            <v>5425.82</v>
          </cell>
          <cell r="I1786">
            <v>1</v>
          </cell>
          <cell r="J1786">
            <v>12</v>
          </cell>
          <cell r="K1786">
            <v>1</v>
          </cell>
          <cell r="L1786">
            <v>65109.84</v>
          </cell>
        </row>
        <row r="1787">
          <cell r="A1787">
            <v>101131</v>
          </cell>
          <cell r="B1787">
            <v>23003</v>
          </cell>
          <cell r="C1787">
            <v>23007</v>
          </cell>
          <cell r="D1787" t="str">
            <v>adult</v>
          </cell>
          <cell r="E1787" t="str">
            <v>B</v>
          </cell>
          <cell r="F1787" t="str">
            <v>PSYCHIATRIC SOCIAL WORKER II</v>
          </cell>
          <cell r="G1787" t="str">
            <v>9035A</v>
          </cell>
          <cell r="H1787">
            <v>5425.82</v>
          </cell>
          <cell r="I1787">
            <v>1</v>
          </cell>
          <cell r="J1787">
            <v>12</v>
          </cell>
          <cell r="K1787">
            <v>1</v>
          </cell>
          <cell r="L1787">
            <v>65109.84</v>
          </cell>
        </row>
        <row r="1788">
          <cell r="A1788">
            <v>102520</v>
          </cell>
          <cell r="B1788">
            <v>23007</v>
          </cell>
          <cell r="C1788">
            <v>23007</v>
          </cell>
          <cell r="D1788" t="str">
            <v>adult</v>
          </cell>
          <cell r="E1788" t="str">
            <v>B</v>
          </cell>
          <cell r="F1788" t="str">
            <v>PSYCHIATRIC SOCIAL WORKER II</v>
          </cell>
          <cell r="G1788" t="str">
            <v>9035A</v>
          </cell>
          <cell r="H1788">
            <v>5425.82</v>
          </cell>
          <cell r="I1788">
            <v>1</v>
          </cell>
          <cell r="J1788">
            <v>12</v>
          </cell>
          <cell r="K1788">
            <v>1</v>
          </cell>
          <cell r="L1788">
            <v>65109.84</v>
          </cell>
        </row>
        <row r="1789">
          <cell r="A1789">
            <v>102793</v>
          </cell>
          <cell r="B1789">
            <v>23007</v>
          </cell>
          <cell r="C1789">
            <v>23007</v>
          </cell>
          <cell r="D1789" t="str">
            <v>adult</v>
          </cell>
          <cell r="E1789" t="str">
            <v>B</v>
          </cell>
          <cell r="F1789" t="str">
            <v>PSYCHIATRIC SOCIAL WORKER II</v>
          </cell>
          <cell r="G1789" t="str">
            <v>9035A</v>
          </cell>
          <cell r="H1789">
            <v>5425.82</v>
          </cell>
          <cell r="I1789">
            <v>1</v>
          </cell>
          <cell r="J1789">
            <v>12</v>
          </cell>
          <cell r="K1789">
            <v>1</v>
          </cell>
          <cell r="L1789">
            <v>65109.84</v>
          </cell>
        </row>
        <row r="1790">
          <cell r="A1790">
            <v>102813</v>
          </cell>
          <cell r="B1790">
            <v>23007</v>
          </cell>
          <cell r="C1790">
            <v>23007</v>
          </cell>
          <cell r="D1790" t="str">
            <v>adult</v>
          </cell>
          <cell r="E1790" t="str">
            <v>B</v>
          </cell>
          <cell r="F1790" t="str">
            <v>PSYCHIATRIC SOCIAL WORKER II</v>
          </cell>
          <cell r="G1790" t="str">
            <v>9035A</v>
          </cell>
          <cell r="H1790">
            <v>5425.82</v>
          </cell>
          <cell r="I1790">
            <v>1</v>
          </cell>
          <cell r="J1790">
            <v>12</v>
          </cell>
          <cell r="K1790">
            <v>1</v>
          </cell>
          <cell r="L1790">
            <v>65109.84</v>
          </cell>
        </row>
        <row r="1791">
          <cell r="A1791">
            <v>103062</v>
          </cell>
          <cell r="B1791">
            <v>18598</v>
          </cell>
          <cell r="C1791">
            <v>23007</v>
          </cell>
          <cell r="D1791" t="str">
            <v>adult</v>
          </cell>
          <cell r="E1791" t="str">
            <v>B</v>
          </cell>
          <cell r="F1791" t="str">
            <v>PSYCHIATRIC SOCIAL WORKER II</v>
          </cell>
          <cell r="G1791" t="str">
            <v>9035A</v>
          </cell>
          <cell r="H1791">
            <v>5425.82</v>
          </cell>
          <cell r="I1791">
            <v>1</v>
          </cell>
          <cell r="J1791">
            <v>12</v>
          </cell>
          <cell r="K1791">
            <v>1</v>
          </cell>
          <cell r="L1791">
            <v>65109.84</v>
          </cell>
        </row>
        <row r="1792">
          <cell r="A1792">
            <v>103522</v>
          </cell>
          <cell r="B1792">
            <v>20488</v>
          </cell>
          <cell r="C1792">
            <v>23007</v>
          </cell>
          <cell r="D1792" t="str">
            <v>adult</v>
          </cell>
          <cell r="E1792" t="str">
            <v>B</v>
          </cell>
          <cell r="F1792" t="str">
            <v>PSYCHIATRIC SOCIAL WORKER II</v>
          </cell>
          <cell r="G1792" t="str">
            <v>9035A</v>
          </cell>
          <cell r="H1792">
            <v>5425.82</v>
          </cell>
          <cell r="I1792">
            <v>1</v>
          </cell>
          <cell r="J1792">
            <v>12</v>
          </cell>
          <cell r="K1792">
            <v>1</v>
          </cell>
          <cell r="L1792">
            <v>65109.84</v>
          </cell>
        </row>
        <row r="1793">
          <cell r="A1793">
            <v>103972</v>
          </cell>
          <cell r="B1793">
            <v>23007</v>
          </cell>
          <cell r="C1793">
            <v>23007</v>
          </cell>
          <cell r="D1793" t="str">
            <v>adult</v>
          </cell>
          <cell r="E1793" t="str">
            <v>B</v>
          </cell>
          <cell r="F1793" t="str">
            <v>PSYCHIATRIC SOCIAL WORKER II</v>
          </cell>
          <cell r="G1793" t="str">
            <v>9035A</v>
          </cell>
          <cell r="H1793">
            <v>5425.82</v>
          </cell>
          <cell r="I1793">
            <v>1</v>
          </cell>
          <cell r="J1793">
            <v>12</v>
          </cell>
          <cell r="K1793">
            <v>1</v>
          </cell>
          <cell r="L1793">
            <v>65109.84</v>
          </cell>
        </row>
        <row r="1794">
          <cell r="A1794">
            <v>103973</v>
          </cell>
          <cell r="B1794">
            <v>23007</v>
          </cell>
          <cell r="C1794">
            <v>23007</v>
          </cell>
          <cell r="D1794" t="str">
            <v>adult</v>
          </cell>
          <cell r="E1794" t="str">
            <v>B</v>
          </cell>
          <cell r="F1794" t="str">
            <v>PSYCHIATRIC SOCIAL WORKER II</v>
          </cell>
          <cell r="G1794" t="str">
            <v>9035A</v>
          </cell>
          <cell r="H1794">
            <v>5425.82</v>
          </cell>
          <cell r="I1794">
            <v>1</v>
          </cell>
          <cell r="J1794">
            <v>12</v>
          </cell>
          <cell r="K1794">
            <v>1</v>
          </cell>
          <cell r="L1794">
            <v>65109.84</v>
          </cell>
        </row>
        <row r="1795">
          <cell r="A1795">
            <v>104728</v>
          </cell>
          <cell r="B1795">
            <v>23007</v>
          </cell>
          <cell r="C1795">
            <v>23007</v>
          </cell>
          <cell r="D1795" t="str">
            <v>adult</v>
          </cell>
          <cell r="E1795" t="str">
            <v>B</v>
          </cell>
          <cell r="F1795" t="str">
            <v>PSYCHIATRIC SOCIAL WORKER II</v>
          </cell>
          <cell r="G1795" t="str">
            <v>9035A</v>
          </cell>
          <cell r="H1795">
            <v>5425.82</v>
          </cell>
          <cell r="I1795">
            <v>1</v>
          </cell>
          <cell r="J1795">
            <v>12</v>
          </cell>
          <cell r="K1795">
            <v>1</v>
          </cell>
          <cell r="L1795">
            <v>65109.84</v>
          </cell>
        </row>
        <row r="1796">
          <cell r="A1796">
            <v>106259</v>
          </cell>
          <cell r="B1796">
            <v>23035</v>
          </cell>
          <cell r="C1796">
            <v>23007</v>
          </cell>
          <cell r="D1796" t="str">
            <v>adult</v>
          </cell>
          <cell r="E1796" t="str">
            <v>B</v>
          </cell>
          <cell r="F1796" t="str">
            <v>PSYCHIATRIC SOCIAL WORKER II</v>
          </cell>
          <cell r="G1796" t="str">
            <v>9035A</v>
          </cell>
          <cell r="H1796">
            <v>5425.82</v>
          </cell>
          <cell r="I1796">
            <v>1</v>
          </cell>
          <cell r="J1796">
            <v>12</v>
          </cell>
          <cell r="K1796">
            <v>1</v>
          </cell>
          <cell r="L1796">
            <v>65109.84</v>
          </cell>
        </row>
        <row r="1797">
          <cell r="A1797">
            <v>106339</v>
          </cell>
          <cell r="B1797">
            <v>21561</v>
          </cell>
          <cell r="C1797">
            <v>23007</v>
          </cell>
          <cell r="D1797" t="str">
            <v>adult</v>
          </cell>
          <cell r="E1797" t="str">
            <v>B</v>
          </cell>
          <cell r="F1797" t="str">
            <v>PSYCHIATRIC SOCIAL WORKER II</v>
          </cell>
          <cell r="G1797" t="str">
            <v>9035A</v>
          </cell>
          <cell r="H1797">
            <v>5425.82</v>
          </cell>
          <cell r="I1797">
            <v>1</v>
          </cell>
          <cell r="J1797">
            <v>12</v>
          </cell>
          <cell r="K1797">
            <v>1</v>
          </cell>
          <cell r="L1797">
            <v>65109.84</v>
          </cell>
        </row>
        <row r="1798">
          <cell r="A1798">
            <v>103106</v>
          </cell>
          <cell r="B1798">
            <v>23007</v>
          </cell>
          <cell r="C1798">
            <v>23007</v>
          </cell>
          <cell r="D1798" t="str">
            <v>adult</v>
          </cell>
          <cell r="E1798" t="str">
            <v>B</v>
          </cell>
          <cell r="F1798" t="str">
            <v>PSYCHIATRIC TECHNICIAN III</v>
          </cell>
          <cell r="G1798" t="str">
            <v>8163A</v>
          </cell>
          <cell r="H1798">
            <v>3705.73</v>
          </cell>
          <cell r="I1798">
            <v>1</v>
          </cell>
          <cell r="J1798">
            <v>12</v>
          </cell>
          <cell r="K1798">
            <v>1</v>
          </cell>
          <cell r="L1798">
            <v>44468.76</v>
          </cell>
        </row>
        <row r="1799">
          <cell r="A1799">
            <v>104749</v>
          </cell>
          <cell r="B1799">
            <v>23005</v>
          </cell>
          <cell r="C1799">
            <v>23007</v>
          </cell>
          <cell r="D1799" t="str">
            <v>adult</v>
          </cell>
          <cell r="E1799" t="str">
            <v>B</v>
          </cell>
          <cell r="F1799" t="str">
            <v xml:space="preserve">SECRETARY III                      </v>
          </cell>
          <cell r="G1799" t="str">
            <v>2096A</v>
          </cell>
          <cell r="H1799">
            <v>3387</v>
          </cell>
          <cell r="I1799">
            <v>1</v>
          </cell>
          <cell r="J1799">
            <v>12</v>
          </cell>
          <cell r="K1799">
            <v>1</v>
          </cell>
          <cell r="L1799">
            <v>40643.839999999997</v>
          </cell>
        </row>
        <row r="1800">
          <cell r="A1800">
            <v>102461</v>
          </cell>
          <cell r="B1800">
            <v>23007</v>
          </cell>
          <cell r="C1800">
            <v>23007</v>
          </cell>
          <cell r="D1800" t="str">
            <v>adult</v>
          </cell>
          <cell r="E1800" t="str">
            <v>B</v>
          </cell>
          <cell r="F1800" t="str">
            <v xml:space="preserve">STAFF ASSISTANT I                  </v>
          </cell>
          <cell r="G1800" t="str">
            <v>0907A</v>
          </cell>
          <cell r="H1800">
            <v>3453.18</v>
          </cell>
          <cell r="I1800">
            <v>1</v>
          </cell>
          <cell r="J1800">
            <v>12</v>
          </cell>
          <cell r="K1800">
            <v>1</v>
          </cell>
          <cell r="L1800">
            <v>41438.480000000003</v>
          </cell>
        </row>
        <row r="1801">
          <cell r="A1801">
            <v>102258</v>
          </cell>
          <cell r="B1801">
            <v>20493</v>
          </cell>
          <cell r="C1801">
            <v>23007</v>
          </cell>
          <cell r="D1801" t="str">
            <v>adult</v>
          </cell>
          <cell r="E1801" t="str">
            <v>B</v>
          </cell>
          <cell r="F1801" t="str">
            <v xml:space="preserve">STAFF ASSISTANT II                 </v>
          </cell>
          <cell r="G1801" t="str">
            <v>0913A</v>
          </cell>
          <cell r="H1801">
            <v>4167.45</v>
          </cell>
          <cell r="I1801">
            <v>1</v>
          </cell>
          <cell r="J1801">
            <v>12</v>
          </cell>
          <cell r="K1801">
            <v>1</v>
          </cell>
          <cell r="L1801">
            <v>50009.24</v>
          </cell>
        </row>
        <row r="1802">
          <cell r="A1802">
            <v>105060</v>
          </cell>
          <cell r="B1802">
            <v>20452</v>
          </cell>
          <cell r="C1802">
            <v>23007</v>
          </cell>
          <cell r="D1802" t="str">
            <v>adult</v>
          </cell>
          <cell r="E1802" t="str">
            <v>B</v>
          </cell>
          <cell r="F1802" t="str">
            <v>SUBSTANCE ABUSE COUNSELOR</v>
          </cell>
          <cell r="G1802" t="str">
            <v>5884A</v>
          </cell>
          <cell r="H1802">
            <v>3210</v>
          </cell>
          <cell r="I1802">
            <v>1</v>
          </cell>
          <cell r="J1802">
            <v>12</v>
          </cell>
          <cell r="K1802">
            <v>1</v>
          </cell>
          <cell r="L1802">
            <v>38520</v>
          </cell>
        </row>
        <row r="1803">
          <cell r="A1803">
            <v>102744</v>
          </cell>
          <cell r="B1803">
            <v>23007</v>
          </cell>
          <cell r="C1803">
            <v>23007</v>
          </cell>
          <cell r="D1803" t="str">
            <v>adult</v>
          </cell>
          <cell r="E1803" t="str">
            <v>B</v>
          </cell>
          <cell r="F1803" t="str">
            <v xml:space="preserve">SUPVG MENTAL HEALTH PSYCHIATRIST   </v>
          </cell>
          <cell r="G1803" t="str">
            <v>4737A</v>
          </cell>
          <cell r="H1803">
            <v>13870</v>
          </cell>
          <cell r="I1803">
            <v>1</v>
          </cell>
          <cell r="J1803">
            <v>12</v>
          </cell>
          <cell r="K1803">
            <v>1</v>
          </cell>
          <cell r="L1803">
            <v>166440</v>
          </cell>
        </row>
        <row r="1804">
          <cell r="A1804">
            <v>104717</v>
          </cell>
          <cell r="B1804">
            <v>20459</v>
          </cell>
          <cell r="C1804">
            <v>23007</v>
          </cell>
          <cell r="D1804" t="str">
            <v>adult</v>
          </cell>
          <cell r="E1804" t="str">
            <v>B</v>
          </cell>
          <cell r="F1804" t="str">
            <v xml:space="preserve">SUPVG MENTAL HEALTH PSYCHIATRIST   </v>
          </cell>
          <cell r="G1804" t="str">
            <v>4737A</v>
          </cell>
          <cell r="H1804">
            <v>13870</v>
          </cell>
          <cell r="I1804">
            <v>1</v>
          </cell>
          <cell r="J1804">
            <v>12</v>
          </cell>
          <cell r="K1804">
            <v>1</v>
          </cell>
          <cell r="L1804">
            <v>166440</v>
          </cell>
        </row>
        <row r="1805">
          <cell r="A1805">
            <v>102521</v>
          </cell>
          <cell r="B1805">
            <v>23007</v>
          </cell>
          <cell r="C1805">
            <v>23007</v>
          </cell>
          <cell r="D1805" t="str">
            <v>adult</v>
          </cell>
          <cell r="E1805" t="str">
            <v>B</v>
          </cell>
          <cell r="F1805" t="str">
            <v xml:space="preserve">SUPVG PSYCHIATRIC SOCIAL WORKER    </v>
          </cell>
          <cell r="G1805" t="str">
            <v>9038A</v>
          </cell>
          <cell r="H1805">
            <v>6062.45</v>
          </cell>
          <cell r="I1805">
            <v>1</v>
          </cell>
          <cell r="J1805">
            <v>12</v>
          </cell>
          <cell r="K1805">
            <v>1</v>
          </cell>
          <cell r="L1805">
            <v>72749.399999999994</v>
          </cell>
        </row>
        <row r="1806">
          <cell r="A1806">
            <v>102550</v>
          </cell>
          <cell r="B1806">
            <v>20449</v>
          </cell>
          <cell r="C1806">
            <v>23007</v>
          </cell>
          <cell r="D1806" t="str">
            <v>adult</v>
          </cell>
          <cell r="E1806" t="str">
            <v>B</v>
          </cell>
          <cell r="F1806" t="str">
            <v xml:space="preserve">SUPVG PSYCHIATRIC SOCIAL WORKER    </v>
          </cell>
          <cell r="G1806" t="str">
            <v>9038A</v>
          </cell>
          <cell r="H1806">
            <v>6062.45</v>
          </cell>
          <cell r="I1806">
            <v>1</v>
          </cell>
          <cell r="J1806">
            <v>12</v>
          </cell>
          <cell r="K1806">
            <v>1</v>
          </cell>
          <cell r="L1806">
            <v>72749.399999999994</v>
          </cell>
        </row>
        <row r="1807">
          <cell r="A1807">
            <v>105000</v>
          </cell>
          <cell r="B1807">
            <v>23007</v>
          </cell>
          <cell r="C1807">
            <v>23007</v>
          </cell>
          <cell r="D1807" t="str">
            <v>adult</v>
          </cell>
          <cell r="E1807" t="str">
            <v>B</v>
          </cell>
          <cell r="F1807" t="str">
            <v xml:space="preserve">SUPVG PSYCHIATRIC SOCIAL WORKER    </v>
          </cell>
          <cell r="G1807" t="str">
            <v>9038A</v>
          </cell>
          <cell r="H1807">
            <v>6062.45</v>
          </cell>
          <cell r="I1807">
            <v>1</v>
          </cell>
          <cell r="J1807">
            <v>12</v>
          </cell>
          <cell r="K1807">
            <v>1</v>
          </cell>
          <cell r="L1807">
            <v>72749.399999999994</v>
          </cell>
        </row>
        <row r="1808">
          <cell r="A1808">
            <v>106073</v>
          </cell>
          <cell r="B1808">
            <v>18676</v>
          </cell>
          <cell r="C1808">
            <v>20562</v>
          </cell>
          <cell r="D1808" t="str">
            <v>adult</v>
          </cell>
          <cell r="E1808" t="str">
            <v>B</v>
          </cell>
          <cell r="F1808" t="str">
            <v>CLINICAL PSYCHOLOGIST II</v>
          </cell>
          <cell r="G1808" t="str">
            <v>8697A</v>
          </cell>
          <cell r="H1808">
            <v>6993.82</v>
          </cell>
          <cell r="I1808">
            <v>1</v>
          </cell>
          <cell r="J1808">
            <v>12</v>
          </cell>
          <cell r="K1808">
            <v>1</v>
          </cell>
          <cell r="L1808">
            <v>83925.52</v>
          </cell>
        </row>
        <row r="1809">
          <cell r="A1809">
            <v>101741</v>
          </cell>
          <cell r="B1809">
            <v>20562</v>
          </cell>
          <cell r="C1809">
            <v>20562</v>
          </cell>
          <cell r="D1809" t="str">
            <v>adult</v>
          </cell>
          <cell r="E1809" t="str">
            <v>B</v>
          </cell>
          <cell r="F1809" t="str">
            <v xml:space="preserve">INTERMEDIATE STENOGRAPHER          </v>
          </cell>
          <cell r="G1809" t="str">
            <v>2172A</v>
          </cell>
          <cell r="H1809">
            <v>2934</v>
          </cell>
          <cell r="I1809">
            <v>1</v>
          </cell>
          <cell r="J1809">
            <v>12</v>
          </cell>
          <cell r="K1809">
            <v>1</v>
          </cell>
          <cell r="L1809">
            <v>35208</v>
          </cell>
        </row>
        <row r="1810">
          <cell r="A1810">
            <v>100469</v>
          </cell>
          <cell r="B1810">
            <v>20562</v>
          </cell>
          <cell r="C1810">
            <v>20562</v>
          </cell>
          <cell r="D1810" t="str">
            <v>adult</v>
          </cell>
          <cell r="E1810" t="str">
            <v>B</v>
          </cell>
          <cell r="F1810" t="str">
            <v xml:space="preserve">MANAGEMENT SECRETARY III           </v>
          </cell>
          <cell r="G1810" t="str">
            <v>2109A</v>
          </cell>
          <cell r="H1810">
            <v>4576.7299999999996</v>
          </cell>
          <cell r="I1810">
            <v>1</v>
          </cell>
          <cell r="J1810">
            <v>12</v>
          </cell>
          <cell r="K1810">
            <v>1</v>
          </cell>
          <cell r="L1810">
            <v>54920.52</v>
          </cell>
        </row>
        <row r="1811">
          <cell r="A1811">
            <v>103456</v>
          </cell>
          <cell r="B1811">
            <v>20562</v>
          </cell>
          <cell r="C1811">
            <v>20562</v>
          </cell>
          <cell r="D1811" t="str">
            <v>adult</v>
          </cell>
          <cell r="E1811" t="str">
            <v>B</v>
          </cell>
          <cell r="F1811" t="str">
            <v xml:space="preserve">MENTAL HEALTH ANALYST III          </v>
          </cell>
          <cell r="G1811" t="str">
            <v>4731A</v>
          </cell>
          <cell r="H1811">
            <v>7329.55</v>
          </cell>
          <cell r="I1811">
            <v>1</v>
          </cell>
          <cell r="J1811">
            <v>12</v>
          </cell>
          <cell r="K1811">
            <v>1</v>
          </cell>
          <cell r="L1811">
            <v>87954.76</v>
          </cell>
        </row>
        <row r="1812">
          <cell r="A1812">
            <v>104446</v>
          </cell>
          <cell r="B1812">
            <v>20564</v>
          </cell>
          <cell r="C1812">
            <v>20562</v>
          </cell>
          <cell r="D1812" t="str">
            <v>adult</v>
          </cell>
          <cell r="E1812" t="str">
            <v>B</v>
          </cell>
          <cell r="F1812" t="str">
            <v>MENTAL HEALTH PSYCHIATRIST</v>
          </cell>
          <cell r="G1812" t="str">
            <v>4735A</v>
          </cell>
          <cell r="H1812">
            <v>12844</v>
          </cell>
          <cell r="I1812">
            <v>1</v>
          </cell>
          <cell r="J1812">
            <v>9</v>
          </cell>
          <cell r="K1812">
            <v>0.75</v>
          </cell>
          <cell r="L1812">
            <v>115596</v>
          </cell>
        </row>
        <row r="1813">
          <cell r="A1813">
            <v>104884</v>
          </cell>
          <cell r="B1813">
            <v>20492</v>
          </cell>
          <cell r="C1813">
            <v>20562</v>
          </cell>
          <cell r="D1813" t="str">
            <v>adult</v>
          </cell>
          <cell r="E1813" t="str">
            <v>B</v>
          </cell>
          <cell r="F1813" t="str">
            <v>MENTAL HEALTH PSYCHIATRIST</v>
          </cell>
          <cell r="G1813" t="str">
            <v>4735A</v>
          </cell>
          <cell r="H1813">
            <v>12844</v>
          </cell>
          <cell r="I1813">
            <v>1</v>
          </cell>
          <cell r="J1813">
            <v>12</v>
          </cell>
          <cell r="K1813">
            <v>1</v>
          </cell>
          <cell r="L1813">
            <v>154128</v>
          </cell>
        </row>
        <row r="1814">
          <cell r="A1814">
            <v>104368</v>
          </cell>
          <cell r="B1814">
            <v>20560</v>
          </cell>
          <cell r="C1814">
            <v>20562</v>
          </cell>
          <cell r="D1814" t="str">
            <v>adult</v>
          </cell>
          <cell r="E1814" t="str">
            <v>B</v>
          </cell>
          <cell r="F1814" t="str">
            <v>MENTAL HEALTH SERVICES COORD I</v>
          </cell>
          <cell r="G1814" t="str">
            <v>8148A</v>
          </cell>
          <cell r="H1814">
            <v>5126.91</v>
          </cell>
          <cell r="I1814">
            <v>1</v>
          </cell>
          <cell r="J1814">
            <v>12</v>
          </cell>
          <cell r="K1814">
            <v>1</v>
          </cell>
          <cell r="L1814">
            <v>61522.92</v>
          </cell>
        </row>
        <row r="1815">
          <cell r="A1815">
            <v>102572</v>
          </cell>
          <cell r="B1815">
            <v>20564</v>
          </cell>
          <cell r="C1815">
            <v>20562</v>
          </cell>
          <cell r="D1815" t="str">
            <v>adult</v>
          </cell>
          <cell r="E1815" t="str">
            <v>B</v>
          </cell>
          <cell r="F1815" t="str">
            <v xml:space="preserve">PATIENT FINANCIAL SERVICES WORKER  </v>
          </cell>
          <cell r="G1815" t="str">
            <v>9193A</v>
          </cell>
          <cell r="H1815">
            <v>3403.55</v>
          </cell>
          <cell r="I1815">
            <v>1</v>
          </cell>
          <cell r="J1815">
            <v>12</v>
          </cell>
          <cell r="K1815">
            <v>1</v>
          </cell>
          <cell r="L1815">
            <v>40842.6</v>
          </cell>
        </row>
        <row r="1816">
          <cell r="A1816">
            <v>101997</v>
          </cell>
          <cell r="B1816">
            <v>20562</v>
          </cell>
          <cell r="C1816">
            <v>20562</v>
          </cell>
          <cell r="D1816" t="str">
            <v>adult</v>
          </cell>
          <cell r="E1816" t="str">
            <v>B</v>
          </cell>
          <cell r="F1816" t="str">
            <v xml:space="preserve">SECRETARY III                      </v>
          </cell>
          <cell r="G1816" t="str">
            <v>2096A</v>
          </cell>
          <cell r="H1816">
            <v>3387</v>
          </cell>
          <cell r="I1816">
            <v>1</v>
          </cell>
          <cell r="J1816">
            <v>12</v>
          </cell>
          <cell r="K1816">
            <v>1</v>
          </cell>
          <cell r="L1816">
            <v>40643.839999999997</v>
          </cell>
        </row>
        <row r="1817">
          <cell r="A1817">
            <v>104174</v>
          </cell>
          <cell r="B1817">
            <v>20564</v>
          </cell>
          <cell r="C1817">
            <v>20562</v>
          </cell>
          <cell r="D1817" t="str">
            <v>adult</v>
          </cell>
          <cell r="E1817" t="str">
            <v>B</v>
          </cell>
          <cell r="F1817" t="str">
            <v xml:space="preserve">SENIOR SECRETARY III               </v>
          </cell>
          <cell r="G1817" t="str">
            <v>2102A</v>
          </cell>
          <cell r="H1817">
            <v>4106.3599999999997</v>
          </cell>
          <cell r="I1817">
            <v>1</v>
          </cell>
          <cell r="J1817">
            <v>12</v>
          </cell>
          <cell r="K1817">
            <v>1</v>
          </cell>
          <cell r="L1817">
            <v>49276.56</v>
          </cell>
        </row>
        <row r="1818">
          <cell r="A1818">
            <v>101735</v>
          </cell>
          <cell r="B1818">
            <v>20562</v>
          </cell>
          <cell r="C1818">
            <v>20562</v>
          </cell>
          <cell r="D1818" t="str">
            <v>adult</v>
          </cell>
          <cell r="E1818" t="str">
            <v>B</v>
          </cell>
          <cell r="F1818" t="str">
            <v xml:space="preserve">STAFF ASSISTANT II                 </v>
          </cell>
          <cell r="G1818" t="str">
            <v>0913A</v>
          </cell>
          <cell r="H1818">
            <v>4167.45</v>
          </cell>
          <cell r="I1818">
            <v>1</v>
          </cell>
          <cell r="J1818">
            <v>12</v>
          </cell>
          <cell r="K1818">
            <v>1</v>
          </cell>
          <cell r="L1818">
            <v>50009.24</v>
          </cell>
        </row>
        <row r="1819">
          <cell r="A1819">
            <v>104219</v>
          </cell>
          <cell r="B1819">
            <v>20465</v>
          </cell>
          <cell r="C1819">
            <v>20465</v>
          </cell>
          <cell r="D1819" t="str">
            <v>adult</v>
          </cell>
          <cell r="E1819" t="str">
            <v>B</v>
          </cell>
          <cell r="F1819" t="str">
            <v>CLINICAL PSYCHOLOGIST II</v>
          </cell>
          <cell r="G1819" t="str">
            <v>8697A</v>
          </cell>
          <cell r="H1819">
            <v>6993.82</v>
          </cell>
          <cell r="I1819">
            <v>1</v>
          </cell>
          <cell r="J1819">
            <v>12</v>
          </cell>
          <cell r="K1819">
            <v>1</v>
          </cell>
          <cell r="L1819">
            <v>83925.52</v>
          </cell>
        </row>
        <row r="1820">
          <cell r="A1820">
            <v>106075</v>
          </cell>
          <cell r="B1820">
            <v>18676</v>
          </cell>
          <cell r="C1820">
            <v>20465</v>
          </cell>
          <cell r="D1820" t="str">
            <v>adult</v>
          </cell>
          <cell r="E1820" t="str">
            <v>B</v>
          </cell>
          <cell r="F1820" t="str">
            <v>CLINICAL PSYCHOLOGIST II</v>
          </cell>
          <cell r="G1820" t="str">
            <v>8697A</v>
          </cell>
          <cell r="H1820">
            <v>6993.82</v>
          </cell>
          <cell r="I1820">
            <v>1</v>
          </cell>
          <cell r="J1820">
            <v>12</v>
          </cell>
          <cell r="K1820">
            <v>1</v>
          </cell>
          <cell r="L1820">
            <v>83925.52</v>
          </cell>
        </row>
        <row r="1821">
          <cell r="A1821">
            <v>109776</v>
          </cell>
          <cell r="B1821" t="str">
            <v>TBA</v>
          </cell>
          <cell r="C1821">
            <v>20465</v>
          </cell>
          <cell r="D1821" t="str">
            <v>adult</v>
          </cell>
          <cell r="E1821" t="str">
            <v>B</v>
          </cell>
          <cell r="F1821" t="str">
            <v>CLINICAL PSYCHOLOGIST II</v>
          </cell>
          <cell r="G1821" t="str">
            <v>8697A</v>
          </cell>
          <cell r="H1821">
            <v>6993.82</v>
          </cell>
          <cell r="I1821">
            <v>1</v>
          </cell>
          <cell r="J1821">
            <v>12</v>
          </cell>
          <cell r="K1821">
            <v>1</v>
          </cell>
          <cell r="L1821">
            <v>83925.84</v>
          </cell>
        </row>
        <row r="1822">
          <cell r="A1822">
            <v>109777</v>
          </cell>
          <cell r="B1822" t="str">
            <v>TBA</v>
          </cell>
          <cell r="C1822">
            <v>20465</v>
          </cell>
          <cell r="D1822" t="str">
            <v>adult</v>
          </cell>
          <cell r="E1822" t="str">
            <v>B</v>
          </cell>
          <cell r="F1822" t="str">
            <v>CLINICAL PSYCHOLOGIST II</v>
          </cell>
          <cell r="G1822" t="str">
            <v>8697A</v>
          </cell>
          <cell r="H1822">
            <v>6993.82</v>
          </cell>
          <cell r="I1822">
            <v>1</v>
          </cell>
          <cell r="J1822">
            <v>12</v>
          </cell>
          <cell r="K1822">
            <v>1</v>
          </cell>
          <cell r="L1822">
            <v>83925.84</v>
          </cell>
        </row>
        <row r="1823">
          <cell r="A1823">
            <v>104417</v>
          </cell>
          <cell r="B1823">
            <v>20465</v>
          </cell>
          <cell r="C1823">
            <v>20465</v>
          </cell>
          <cell r="D1823" t="str">
            <v>adult</v>
          </cell>
          <cell r="E1823" t="str">
            <v>B</v>
          </cell>
          <cell r="F1823" t="str">
            <v>CONSULTING SPECIALIST, MD (PER SESSION)</v>
          </cell>
          <cell r="G1823" t="str">
            <v>5472J</v>
          </cell>
          <cell r="H1823">
            <v>314</v>
          </cell>
          <cell r="I1823">
            <v>1</v>
          </cell>
          <cell r="J1823">
            <v>104</v>
          </cell>
          <cell r="K1823">
            <v>0.19923371647509577</v>
          </cell>
          <cell r="L1823">
            <v>32656.080000000002</v>
          </cell>
        </row>
        <row r="1824">
          <cell r="A1824">
            <v>102680</v>
          </cell>
          <cell r="B1824">
            <v>20465</v>
          </cell>
          <cell r="C1824">
            <v>20465</v>
          </cell>
          <cell r="D1824" t="str">
            <v>adult</v>
          </cell>
          <cell r="E1824" t="str">
            <v>B</v>
          </cell>
          <cell r="F1824" t="str">
            <v xml:space="preserve">INTERMEDIATE STENOGRAPHER          </v>
          </cell>
          <cell r="G1824" t="str">
            <v>2172A</v>
          </cell>
          <cell r="H1824">
            <v>2934</v>
          </cell>
          <cell r="I1824">
            <v>1</v>
          </cell>
          <cell r="J1824">
            <v>12</v>
          </cell>
          <cell r="K1824">
            <v>1</v>
          </cell>
          <cell r="L1824">
            <v>35208</v>
          </cell>
        </row>
        <row r="1825">
          <cell r="A1825">
            <v>102807</v>
          </cell>
          <cell r="B1825">
            <v>20465</v>
          </cell>
          <cell r="C1825">
            <v>20465</v>
          </cell>
          <cell r="D1825" t="str">
            <v>adult</v>
          </cell>
          <cell r="E1825" t="str">
            <v>B</v>
          </cell>
          <cell r="F1825" t="str">
            <v>INTERMEDIATE TYPIST-CLERK</v>
          </cell>
          <cell r="G1825" t="str">
            <v>2214A</v>
          </cell>
          <cell r="H1825">
            <v>2675.27</v>
          </cell>
          <cell r="I1825">
            <v>1</v>
          </cell>
          <cell r="J1825">
            <v>12</v>
          </cell>
          <cell r="K1825">
            <v>1</v>
          </cell>
          <cell r="L1825">
            <v>32103.16</v>
          </cell>
        </row>
        <row r="1826">
          <cell r="A1826">
            <v>106009</v>
          </cell>
          <cell r="B1826">
            <v>21533</v>
          </cell>
          <cell r="C1826">
            <v>20465</v>
          </cell>
          <cell r="D1826" t="str">
            <v>adult</v>
          </cell>
          <cell r="E1826" t="str">
            <v>B</v>
          </cell>
          <cell r="F1826" t="str">
            <v>INTERMEDIATE TYPIST-CLERK</v>
          </cell>
          <cell r="G1826" t="str">
            <v>2214A</v>
          </cell>
          <cell r="H1826">
            <v>2675.27</v>
          </cell>
          <cell r="I1826">
            <v>1</v>
          </cell>
          <cell r="J1826">
            <v>12</v>
          </cell>
          <cell r="K1826">
            <v>1</v>
          </cell>
          <cell r="L1826">
            <v>32103.16</v>
          </cell>
        </row>
        <row r="1827">
          <cell r="A1827">
            <v>106509</v>
          </cell>
          <cell r="B1827">
            <v>21540</v>
          </cell>
          <cell r="C1827">
            <v>20465</v>
          </cell>
          <cell r="D1827" t="str">
            <v>adult</v>
          </cell>
          <cell r="E1827" t="str">
            <v>B</v>
          </cell>
          <cell r="F1827" t="str">
            <v>INTERMEDIATE TYPIST-CLERK</v>
          </cell>
          <cell r="G1827" t="str">
            <v>2214A</v>
          </cell>
          <cell r="H1827">
            <v>2675.27</v>
          </cell>
          <cell r="I1827">
            <v>1</v>
          </cell>
          <cell r="J1827">
            <v>12</v>
          </cell>
          <cell r="K1827">
            <v>1</v>
          </cell>
          <cell r="L1827">
            <v>32103.16</v>
          </cell>
        </row>
        <row r="1828">
          <cell r="A1828">
            <v>109688</v>
          </cell>
          <cell r="B1828">
            <v>20465</v>
          </cell>
          <cell r="C1828">
            <v>20465</v>
          </cell>
          <cell r="D1828" t="str">
            <v>adult</v>
          </cell>
          <cell r="E1828" t="str">
            <v>B</v>
          </cell>
          <cell r="F1828" t="str">
            <v>INTERMEDIATE TYPIST-CLERK</v>
          </cell>
          <cell r="G1828" t="str">
            <v>2214A</v>
          </cell>
          <cell r="H1828">
            <v>2675.27</v>
          </cell>
          <cell r="I1828">
            <v>1</v>
          </cell>
          <cell r="J1828">
            <v>12</v>
          </cell>
          <cell r="K1828">
            <v>1</v>
          </cell>
          <cell r="L1828">
            <v>32103.24</v>
          </cell>
        </row>
        <row r="1829">
          <cell r="A1829">
            <v>109689</v>
          </cell>
          <cell r="B1829">
            <v>20465</v>
          </cell>
          <cell r="C1829">
            <v>20465</v>
          </cell>
          <cell r="D1829" t="str">
            <v>adult</v>
          </cell>
          <cell r="E1829" t="str">
            <v>B</v>
          </cell>
          <cell r="F1829" t="str">
            <v>INTERMEDIATE TYPIST-CLERK</v>
          </cell>
          <cell r="G1829" t="str">
            <v>2214A</v>
          </cell>
          <cell r="H1829">
            <v>2675.27</v>
          </cell>
          <cell r="I1829">
            <v>1</v>
          </cell>
          <cell r="J1829">
            <v>12</v>
          </cell>
          <cell r="K1829">
            <v>1</v>
          </cell>
          <cell r="L1829">
            <v>32103.24</v>
          </cell>
        </row>
        <row r="1830">
          <cell r="A1830">
            <v>109690</v>
          </cell>
          <cell r="B1830">
            <v>20465</v>
          </cell>
          <cell r="C1830">
            <v>20465</v>
          </cell>
          <cell r="D1830" t="str">
            <v>adult</v>
          </cell>
          <cell r="E1830" t="str">
            <v>B</v>
          </cell>
          <cell r="F1830" t="str">
            <v>INTERMEDIATE TYPIST-CLERK</v>
          </cell>
          <cell r="G1830" t="str">
            <v>2214A</v>
          </cell>
          <cell r="H1830">
            <v>2675.27</v>
          </cell>
          <cell r="I1830">
            <v>1</v>
          </cell>
          <cell r="J1830">
            <v>12</v>
          </cell>
          <cell r="K1830">
            <v>1</v>
          </cell>
          <cell r="L1830">
            <v>32103.24</v>
          </cell>
        </row>
        <row r="1831">
          <cell r="A1831">
            <v>109691</v>
          </cell>
          <cell r="B1831">
            <v>20465</v>
          </cell>
          <cell r="C1831">
            <v>20465</v>
          </cell>
          <cell r="D1831" t="str">
            <v>adult</v>
          </cell>
          <cell r="E1831" t="str">
            <v>B</v>
          </cell>
          <cell r="F1831" t="str">
            <v>INTERMEDIATE TYPIST-CLERK</v>
          </cell>
          <cell r="G1831" t="str">
            <v>2214A</v>
          </cell>
          <cell r="H1831">
            <v>2675.27</v>
          </cell>
          <cell r="I1831">
            <v>1</v>
          </cell>
          <cell r="J1831">
            <v>12</v>
          </cell>
          <cell r="K1831">
            <v>1</v>
          </cell>
          <cell r="L1831">
            <v>32103.24</v>
          </cell>
        </row>
        <row r="1832">
          <cell r="A1832">
            <v>109692</v>
          </cell>
          <cell r="B1832">
            <v>20465</v>
          </cell>
          <cell r="C1832">
            <v>20465</v>
          </cell>
          <cell r="D1832" t="str">
            <v>adult</v>
          </cell>
          <cell r="E1832" t="str">
            <v>B</v>
          </cell>
          <cell r="F1832" t="str">
            <v>INTERMEDIATE TYPIST-CLERK</v>
          </cell>
          <cell r="G1832" t="str">
            <v>2214A</v>
          </cell>
          <cell r="H1832">
            <v>2675.27</v>
          </cell>
          <cell r="I1832">
            <v>1</v>
          </cell>
          <cell r="J1832">
            <v>12</v>
          </cell>
          <cell r="K1832">
            <v>1</v>
          </cell>
          <cell r="L1832">
            <v>32103.24</v>
          </cell>
        </row>
        <row r="1833">
          <cell r="A1833">
            <v>106106</v>
          </cell>
          <cell r="B1833">
            <v>18676</v>
          </cell>
          <cell r="C1833">
            <v>20465</v>
          </cell>
          <cell r="D1833" t="str">
            <v>adult</v>
          </cell>
          <cell r="E1833" t="str">
            <v>B</v>
          </cell>
          <cell r="F1833" t="str">
            <v>MEDICAL CASE WORKER II</v>
          </cell>
          <cell r="G1833" t="str">
            <v>9002A</v>
          </cell>
          <cell r="H1833">
            <v>3938.82</v>
          </cell>
          <cell r="I1833">
            <v>1</v>
          </cell>
          <cell r="J1833">
            <v>12</v>
          </cell>
          <cell r="K1833">
            <v>1</v>
          </cell>
          <cell r="L1833">
            <v>47265.68</v>
          </cell>
        </row>
        <row r="1834">
          <cell r="A1834">
            <v>106107</v>
          </cell>
          <cell r="B1834">
            <v>18676</v>
          </cell>
          <cell r="C1834">
            <v>20465</v>
          </cell>
          <cell r="D1834" t="str">
            <v>adult</v>
          </cell>
          <cell r="E1834" t="str">
            <v>B</v>
          </cell>
          <cell r="F1834" t="str">
            <v>MEDICAL CASE WORKER II</v>
          </cell>
          <cell r="G1834" t="str">
            <v>9002A</v>
          </cell>
          <cell r="H1834">
            <v>3938.82</v>
          </cell>
          <cell r="I1834">
            <v>1</v>
          </cell>
          <cell r="J1834">
            <v>12</v>
          </cell>
          <cell r="K1834">
            <v>1</v>
          </cell>
          <cell r="L1834">
            <v>47265.68</v>
          </cell>
        </row>
        <row r="1835">
          <cell r="A1835">
            <v>109881</v>
          </cell>
          <cell r="B1835">
            <v>27592</v>
          </cell>
          <cell r="C1835">
            <v>20465</v>
          </cell>
          <cell r="D1835" t="str">
            <v>adult</v>
          </cell>
          <cell r="E1835" t="str">
            <v>B</v>
          </cell>
          <cell r="F1835" t="str">
            <v>MEDICAL CASE WORKER II</v>
          </cell>
          <cell r="G1835" t="str">
            <v>9002A</v>
          </cell>
          <cell r="H1835">
            <v>3938.82</v>
          </cell>
          <cell r="I1835">
            <v>1</v>
          </cell>
          <cell r="J1835">
            <v>12</v>
          </cell>
          <cell r="K1835">
            <v>1</v>
          </cell>
          <cell r="L1835">
            <v>47265.84</v>
          </cell>
        </row>
        <row r="1836">
          <cell r="A1836">
            <v>100648</v>
          </cell>
          <cell r="B1836">
            <v>20465</v>
          </cell>
          <cell r="C1836">
            <v>20465</v>
          </cell>
          <cell r="D1836" t="str">
            <v>adult</v>
          </cell>
          <cell r="E1836" t="str">
            <v>B</v>
          </cell>
          <cell r="F1836" t="str">
            <v>MENTAL HEALTH COUNSELOR, RN</v>
          </cell>
          <cell r="G1836" t="str">
            <v>5278A</v>
          </cell>
          <cell r="H1836">
            <v>6275.27</v>
          </cell>
          <cell r="I1836">
            <v>1</v>
          </cell>
          <cell r="J1836">
            <v>12</v>
          </cell>
          <cell r="K1836">
            <v>1</v>
          </cell>
          <cell r="L1836">
            <v>76804.323333333334</v>
          </cell>
        </row>
        <row r="1837">
          <cell r="A1837">
            <v>104302</v>
          </cell>
          <cell r="B1837">
            <v>20465</v>
          </cell>
          <cell r="C1837">
            <v>20465</v>
          </cell>
          <cell r="D1837" t="str">
            <v>adult</v>
          </cell>
          <cell r="E1837" t="str">
            <v>B</v>
          </cell>
          <cell r="F1837" t="str">
            <v>MENTAL HEALTH COUNSELOR, RN</v>
          </cell>
          <cell r="G1837" t="str">
            <v>5278A</v>
          </cell>
          <cell r="H1837">
            <v>6275.27</v>
          </cell>
          <cell r="I1837">
            <v>1</v>
          </cell>
          <cell r="J1837">
            <v>12</v>
          </cell>
          <cell r="K1837">
            <v>1</v>
          </cell>
          <cell r="L1837">
            <v>76804.323333333334</v>
          </cell>
        </row>
        <row r="1838">
          <cell r="A1838">
            <v>104999</v>
          </cell>
          <cell r="B1838">
            <v>23005</v>
          </cell>
          <cell r="C1838">
            <v>20465</v>
          </cell>
          <cell r="D1838" t="str">
            <v>adult</v>
          </cell>
          <cell r="E1838" t="str">
            <v>B</v>
          </cell>
          <cell r="F1838" t="str">
            <v>MENTAL HEALTH COUNSELOR, RN</v>
          </cell>
          <cell r="G1838" t="str">
            <v>5278A</v>
          </cell>
          <cell r="H1838">
            <v>6275.27</v>
          </cell>
          <cell r="I1838">
            <v>1</v>
          </cell>
          <cell r="J1838">
            <v>12</v>
          </cell>
          <cell r="K1838">
            <v>1</v>
          </cell>
          <cell r="L1838">
            <v>76804.323333333334</v>
          </cell>
        </row>
        <row r="1839">
          <cell r="A1839">
            <v>102712</v>
          </cell>
          <cell r="B1839">
            <v>20465</v>
          </cell>
          <cell r="C1839">
            <v>20465</v>
          </cell>
          <cell r="D1839" t="str">
            <v>adult</v>
          </cell>
          <cell r="E1839" t="str">
            <v>B</v>
          </cell>
          <cell r="F1839" t="str">
            <v>MENTAL HEALTH PSYCHIATRIST</v>
          </cell>
          <cell r="G1839" t="str">
            <v>4735A</v>
          </cell>
          <cell r="H1839">
            <v>12844</v>
          </cell>
          <cell r="I1839">
            <v>1</v>
          </cell>
          <cell r="J1839">
            <v>12</v>
          </cell>
          <cell r="K1839">
            <v>1</v>
          </cell>
          <cell r="L1839">
            <v>154128</v>
          </cell>
        </row>
        <row r="1840">
          <cell r="A1840">
            <v>102785</v>
          </cell>
          <cell r="B1840">
            <v>20465</v>
          </cell>
          <cell r="C1840">
            <v>20465</v>
          </cell>
          <cell r="D1840" t="str">
            <v>adult</v>
          </cell>
          <cell r="E1840" t="str">
            <v>B</v>
          </cell>
          <cell r="F1840" t="str">
            <v>MENTAL HEALTH PSYCHIATRIST</v>
          </cell>
          <cell r="G1840" t="str">
            <v>4735A</v>
          </cell>
          <cell r="H1840">
            <v>12844</v>
          </cell>
          <cell r="I1840">
            <v>1</v>
          </cell>
          <cell r="J1840">
            <v>6</v>
          </cell>
          <cell r="K1840">
            <v>0.5</v>
          </cell>
          <cell r="L1840">
            <v>77064</v>
          </cell>
        </row>
        <row r="1841">
          <cell r="A1841">
            <v>103287</v>
          </cell>
          <cell r="B1841">
            <v>23017</v>
          </cell>
          <cell r="C1841">
            <v>20465</v>
          </cell>
          <cell r="D1841" t="str">
            <v>adult</v>
          </cell>
          <cell r="E1841" t="str">
            <v>B</v>
          </cell>
          <cell r="F1841" t="str">
            <v>MENTAL HEALTH PSYCHIATRIST</v>
          </cell>
          <cell r="G1841" t="str">
            <v>4735A</v>
          </cell>
          <cell r="H1841">
            <v>12844</v>
          </cell>
          <cell r="I1841">
            <v>1</v>
          </cell>
          <cell r="J1841">
            <v>3</v>
          </cell>
          <cell r="K1841">
            <v>0.25</v>
          </cell>
          <cell r="L1841">
            <v>38532</v>
          </cell>
        </row>
        <row r="1842">
          <cell r="A1842">
            <v>104419</v>
          </cell>
          <cell r="B1842">
            <v>23010</v>
          </cell>
          <cell r="C1842">
            <v>20465</v>
          </cell>
          <cell r="D1842" t="str">
            <v>adult</v>
          </cell>
          <cell r="E1842" t="str">
            <v>B</v>
          </cell>
          <cell r="F1842" t="str">
            <v>MENTAL HEALTH PSYCHIATRIST</v>
          </cell>
          <cell r="G1842" t="str">
            <v>4735F</v>
          </cell>
          <cell r="H1842">
            <v>73.209999999999994</v>
          </cell>
          <cell r="I1842">
            <v>1</v>
          </cell>
          <cell r="J1842">
            <v>1044</v>
          </cell>
          <cell r="K1842">
            <v>0.5</v>
          </cell>
          <cell r="L1842">
            <v>76431.240000000005</v>
          </cell>
        </row>
        <row r="1843">
          <cell r="A1843">
            <v>104514</v>
          </cell>
          <cell r="B1843">
            <v>21535</v>
          </cell>
          <cell r="C1843">
            <v>20465</v>
          </cell>
          <cell r="D1843" t="str">
            <v>adult</v>
          </cell>
          <cell r="E1843" t="str">
            <v>B</v>
          </cell>
          <cell r="F1843" t="str">
            <v>MENTAL HEALTH PSYCHIATRIST</v>
          </cell>
          <cell r="G1843" t="str">
            <v>4735A</v>
          </cell>
          <cell r="H1843">
            <v>12844</v>
          </cell>
          <cell r="I1843">
            <v>1</v>
          </cell>
          <cell r="J1843">
            <v>6</v>
          </cell>
          <cell r="K1843">
            <v>0.5</v>
          </cell>
          <cell r="L1843">
            <v>77064</v>
          </cell>
        </row>
        <row r="1844">
          <cell r="A1844">
            <v>100579</v>
          </cell>
          <cell r="B1844">
            <v>20465</v>
          </cell>
          <cell r="C1844">
            <v>20465</v>
          </cell>
          <cell r="D1844" t="str">
            <v>adult</v>
          </cell>
          <cell r="E1844" t="str">
            <v>B</v>
          </cell>
          <cell r="F1844" t="str">
            <v>MNTL HLTH CLINICAL PROGRAM HEAD</v>
          </cell>
          <cell r="G1844" t="str">
            <v>4726A</v>
          </cell>
          <cell r="H1844">
            <v>8709.73</v>
          </cell>
          <cell r="I1844">
            <v>1</v>
          </cell>
          <cell r="J1844">
            <v>12</v>
          </cell>
          <cell r="K1844">
            <v>1</v>
          </cell>
          <cell r="L1844">
            <v>104516.76</v>
          </cell>
        </row>
        <row r="1845">
          <cell r="A1845">
            <v>104797</v>
          </cell>
          <cell r="B1845">
            <v>20923</v>
          </cell>
          <cell r="C1845">
            <v>20465</v>
          </cell>
          <cell r="D1845" t="str">
            <v>adult</v>
          </cell>
          <cell r="E1845" t="str">
            <v>B</v>
          </cell>
          <cell r="F1845" t="str">
            <v xml:space="preserve">OCCUPATIONAL THERAPIST II          </v>
          </cell>
          <cell r="G1845" t="str">
            <v>5857A</v>
          </cell>
          <cell r="H1845">
            <v>6416.09</v>
          </cell>
          <cell r="I1845">
            <v>1</v>
          </cell>
          <cell r="J1845">
            <v>12</v>
          </cell>
          <cell r="K1845">
            <v>1</v>
          </cell>
          <cell r="L1845">
            <v>76993.16</v>
          </cell>
        </row>
        <row r="1846">
          <cell r="A1846">
            <v>102606</v>
          </cell>
          <cell r="B1846">
            <v>20465</v>
          </cell>
          <cell r="C1846">
            <v>20465</v>
          </cell>
          <cell r="D1846" t="str">
            <v>adult</v>
          </cell>
          <cell r="E1846" t="str">
            <v>B</v>
          </cell>
          <cell r="F1846" t="str">
            <v xml:space="preserve">PATIENT FINANCIAL SERVICES WORKER  </v>
          </cell>
          <cell r="G1846" t="str">
            <v>9193A</v>
          </cell>
          <cell r="H1846">
            <v>3403.55</v>
          </cell>
          <cell r="I1846">
            <v>1</v>
          </cell>
          <cell r="J1846">
            <v>12</v>
          </cell>
          <cell r="K1846">
            <v>1</v>
          </cell>
          <cell r="L1846">
            <v>40842.6</v>
          </cell>
        </row>
        <row r="1847">
          <cell r="A1847">
            <v>104303</v>
          </cell>
          <cell r="B1847">
            <v>20465</v>
          </cell>
          <cell r="C1847">
            <v>20465</v>
          </cell>
          <cell r="D1847" t="str">
            <v>adult</v>
          </cell>
          <cell r="E1847" t="str">
            <v>B</v>
          </cell>
          <cell r="F1847" t="str">
            <v xml:space="preserve">PATIENT FINANCIAL SERVICES WORKER  </v>
          </cell>
          <cell r="G1847" t="str">
            <v>9193A</v>
          </cell>
          <cell r="H1847">
            <v>3403.55</v>
          </cell>
          <cell r="I1847">
            <v>1</v>
          </cell>
          <cell r="J1847">
            <v>12</v>
          </cell>
          <cell r="K1847">
            <v>1</v>
          </cell>
          <cell r="L1847">
            <v>40842.6</v>
          </cell>
        </row>
        <row r="1848">
          <cell r="A1848">
            <v>109826</v>
          </cell>
          <cell r="B1848">
            <v>27592</v>
          </cell>
          <cell r="C1848">
            <v>20465</v>
          </cell>
          <cell r="D1848" t="str">
            <v>adult</v>
          </cell>
          <cell r="E1848" t="str">
            <v>B</v>
          </cell>
          <cell r="F1848" t="str">
            <v xml:space="preserve">PATIENT FINANCIAL SERVICES WORKER  </v>
          </cell>
          <cell r="G1848" t="str">
            <v>9193A</v>
          </cell>
          <cell r="H1848">
            <v>3403.55</v>
          </cell>
          <cell r="I1848">
            <v>1</v>
          </cell>
          <cell r="J1848">
            <v>12</v>
          </cell>
          <cell r="K1848">
            <v>1</v>
          </cell>
          <cell r="L1848">
            <v>40842.6</v>
          </cell>
        </row>
        <row r="1849">
          <cell r="A1849">
            <v>109759</v>
          </cell>
          <cell r="B1849">
            <v>20465</v>
          </cell>
          <cell r="C1849">
            <v>20465</v>
          </cell>
          <cell r="D1849" t="str">
            <v>adult</v>
          </cell>
          <cell r="E1849" t="str">
            <v>B</v>
          </cell>
          <cell r="F1849" t="str">
            <v>PATIENT RESOURCES WORKER</v>
          </cell>
          <cell r="G1849" t="str">
            <v>9192A</v>
          </cell>
          <cell r="H1849">
            <v>2748.27</v>
          </cell>
          <cell r="I1849">
            <v>1</v>
          </cell>
          <cell r="J1849">
            <v>12</v>
          </cell>
          <cell r="K1849">
            <v>1</v>
          </cell>
          <cell r="L1849">
            <v>32979.24</v>
          </cell>
        </row>
        <row r="1850">
          <cell r="A1850">
            <v>109760</v>
          </cell>
          <cell r="B1850">
            <v>20465</v>
          </cell>
          <cell r="C1850">
            <v>20465</v>
          </cell>
          <cell r="D1850" t="str">
            <v>adult</v>
          </cell>
          <cell r="E1850" t="str">
            <v>B</v>
          </cell>
          <cell r="F1850" t="str">
            <v>PATIENT RESOURCES WORKER</v>
          </cell>
          <cell r="G1850" t="str">
            <v>9192A</v>
          </cell>
          <cell r="H1850">
            <v>2748.27</v>
          </cell>
          <cell r="I1850">
            <v>1</v>
          </cell>
          <cell r="J1850">
            <v>12</v>
          </cell>
          <cell r="K1850">
            <v>1</v>
          </cell>
          <cell r="L1850">
            <v>32979.24</v>
          </cell>
        </row>
        <row r="1851">
          <cell r="A1851">
            <v>102726</v>
          </cell>
          <cell r="B1851">
            <v>20465</v>
          </cell>
          <cell r="C1851">
            <v>20465</v>
          </cell>
          <cell r="D1851" t="str">
            <v>adult</v>
          </cell>
          <cell r="E1851" t="str">
            <v>B</v>
          </cell>
          <cell r="F1851" t="str">
            <v>PSYCHIATRIC SOCIAL WORKER II</v>
          </cell>
          <cell r="G1851" t="str">
            <v>9035A</v>
          </cell>
          <cell r="H1851">
            <v>5425.82</v>
          </cell>
          <cell r="I1851">
            <v>1</v>
          </cell>
          <cell r="J1851">
            <v>12</v>
          </cell>
          <cell r="K1851">
            <v>1</v>
          </cell>
          <cell r="L1851">
            <v>65109.84</v>
          </cell>
        </row>
        <row r="1852">
          <cell r="A1852">
            <v>102738</v>
          </cell>
          <cell r="B1852">
            <v>20465</v>
          </cell>
          <cell r="C1852">
            <v>20465</v>
          </cell>
          <cell r="D1852" t="str">
            <v>adult</v>
          </cell>
          <cell r="E1852" t="str">
            <v>B</v>
          </cell>
          <cell r="F1852" t="str">
            <v>PSYCHIATRIC SOCIAL WORKER II</v>
          </cell>
          <cell r="G1852" t="str">
            <v>9035A</v>
          </cell>
          <cell r="H1852">
            <v>5425.82</v>
          </cell>
          <cell r="I1852">
            <v>1</v>
          </cell>
          <cell r="J1852">
            <v>12</v>
          </cell>
          <cell r="K1852">
            <v>1</v>
          </cell>
          <cell r="L1852">
            <v>65109.84</v>
          </cell>
        </row>
        <row r="1853">
          <cell r="A1853">
            <v>104189</v>
          </cell>
          <cell r="B1853">
            <v>20465</v>
          </cell>
          <cell r="C1853">
            <v>20465</v>
          </cell>
          <cell r="D1853" t="str">
            <v>adult</v>
          </cell>
          <cell r="E1853" t="str">
            <v>B</v>
          </cell>
          <cell r="F1853" t="str">
            <v>PSYCHIATRIC SOCIAL WORKER II</v>
          </cell>
          <cell r="G1853" t="str">
            <v>9035A</v>
          </cell>
          <cell r="H1853">
            <v>5425.82</v>
          </cell>
          <cell r="I1853">
            <v>1</v>
          </cell>
          <cell r="J1853">
            <v>12</v>
          </cell>
          <cell r="K1853">
            <v>1</v>
          </cell>
          <cell r="L1853">
            <v>65109.84</v>
          </cell>
        </row>
        <row r="1854">
          <cell r="A1854">
            <v>104703</v>
          </cell>
          <cell r="B1854">
            <v>20465</v>
          </cell>
          <cell r="C1854">
            <v>20465</v>
          </cell>
          <cell r="D1854" t="str">
            <v>adult</v>
          </cell>
          <cell r="E1854" t="str">
            <v>B</v>
          </cell>
          <cell r="F1854" t="str">
            <v>PSYCHIATRIC SOCIAL WORKER II</v>
          </cell>
          <cell r="G1854" t="str">
            <v>9035A</v>
          </cell>
          <cell r="H1854">
            <v>5425.82</v>
          </cell>
          <cell r="I1854">
            <v>1</v>
          </cell>
          <cell r="J1854">
            <v>12</v>
          </cell>
          <cell r="K1854">
            <v>1</v>
          </cell>
          <cell r="L1854">
            <v>65109.84</v>
          </cell>
        </row>
        <row r="1855">
          <cell r="A1855">
            <v>104706</v>
          </cell>
          <cell r="B1855">
            <v>20465</v>
          </cell>
          <cell r="C1855">
            <v>20465</v>
          </cell>
          <cell r="D1855" t="str">
            <v>adult</v>
          </cell>
          <cell r="E1855" t="str">
            <v>B</v>
          </cell>
          <cell r="F1855" t="str">
            <v>PSYCHIATRIC SOCIAL WORKER II</v>
          </cell>
          <cell r="G1855" t="str">
            <v>9035A</v>
          </cell>
          <cell r="H1855">
            <v>5425.82</v>
          </cell>
          <cell r="I1855">
            <v>1</v>
          </cell>
          <cell r="J1855">
            <v>12</v>
          </cell>
          <cell r="K1855">
            <v>1</v>
          </cell>
          <cell r="L1855">
            <v>65109.84</v>
          </cell>
        </row>
        <row r="1856">
          <cell r="A1856">
            <v>106651</v>
          </cell>
          <cell r="B1856">
            <v>21542</v>
          </cell>
          <cell r="C1856">
            <v>20465</v>
          </cell>
          <cell r="D1856" t="str">
            <v>adult</v>
          </cell>
          <cell r="E1856" t="str">
            <v>B</v>
          </cell>
          <cell r="F1856" t="str">
            <v>PSYCHIATRIC SOCIAL WORKER II</v>
          </cell>
          <cell r="G1856" t="str">
            <v>9035A</v>
          </cell>
          <cell r="H1856">
            <v>5425.82</v>
          </cell>
          <cell r="I1856">
            <v>1</v>
          </cell>
          <cell r="J1856">
            <v>12</v>
          </cell>
          <cell r="K1856">
            <v>1</v>
          </cell>
          <cell r="L1856">
            <v>65109.84</v>
          </cell>
        </row>
        <row r="1857">
          <cell r="A1857">
            <v>109837</v>
          </cell>
          <cell r="B1857" t="str">
            <v>TBA</v>
          </cell>
          <cell r="C1857">
            <v>20465</v>
          </cell>
          <cell r="D1857" t="str">
            <v>adult</v>
          </cell>
          <cell r="E1857" t="str">
            <v>B</v>
          </cell>
          <cell r="F1857" t="str">
            <v>PSYCHIATRIC SOCIAL WORKER II</v>
          </cell>
          <cell r="G1857" t="str">
            <v>9035A</v>
          </cell>
          <cell r="H1857">
            <v>5425.82</v>
          </cell>
          <cell r="I1857">
            <v>1</v>
          </cell>
          <cell r="J1857">
            <v>12</v>
          </cell>
          <cell r="K1857">
            <v>1</v>
          </cell>
          <cell r="L1857">
            <v>65109.84</v>
          </cell>
        </row>
        <row r="1858">
          <cell r="A1858">
            <v>102639</v>
          </cell>
          <cell r="B1858">
            <v>20465</v>
          </cell>
          <cell r="C1858">
            <v>20465</v>
          </cell>
          <cell r="D1858" t="str">
            <v>adult</v>
          </cell>
          <cell r="E1858" t="str">
            <v>B</v>
          </cell>
          <cell r="F1858" t="str">
            <v>PSYCHIATRIC TECHNICIAN II</v>
          </cell>
          <cell r="G1858" t="str">
            <v>8162A</v>
          </cell>
          <cell r="H1858">
            <v>3420.09</v>
          </cell>
          <cell r="I1858">
            <v>1</v>
          </cell>
          <cell r="J1858">
            <v>12</v>
          </cell>
          <cell r="K1858">
            <v>1</v>
          </cell>
          <cell r="L1858">
            <v>41041.08</v>
          </cell>
        </row>
        <row r="1859">
          <cell r="A1859">
            <v>102265</v>
          </cell>
          <cell r="B1859">
            <v>20465</v>
          </cell>
          <cell r="C1859">
            <v>20465</v>
          </cell>
          <cell r="D1859" t="str">
            <v>adult</v>
          </cell>
          <cell r="E1859" t="str">
            <v>B</v>
          </cell>
          <cell r="F1859" t="str">
            <v xml:space="preserve">SECRETARY III                      </v>
          </cell>
          <cell r="G1859" t="str">
            <v>2096A</v>
          </cell>
          <cell r="H1859">
            <v>3387</v>
          </cell>
          <cell r="I1859">
            <v>1</v>
          </cell>
          <cell r="J1859">
            <v>12</v>
          </cell>
          <cell r="K1859">
            <v>1</v>
          </cell>
          <cell r="L1859">
            <v>40643.839999999997</v>
          </cell>
        </row>
        <row r="1860">
          <cell r="A1860">
            <v>103296</v>
          </cell>
          <cell r="B1860">
            <v>20483</v>
          </cell>
          <cell r="C1860">
            <v>20465</v>
          </cell>
          <cell r="D1860" t="str">
            <v>adult</v>
          </cell>
          <cell r="E1860" t="str">
            <v>B</v>
          </cell>
          <cell r="F1860" t="str">
            <v xml:space="preserve">SENIOR CLERK                       </v>
          </cell>
          <cell r="G1860" t="str">
            <v>1140A</v>
          </cell>
          <cell r="H1860">
            <v>2941</v>
          </cell>
          <cell r="I1860">
            <v>1</v>
          </cell>
          <cell r="J1860">
            <v>12</v>
          </cell>
          <cell r="K1860">
            <v>1</v>
          </cell>
          <cell r="L1860">
            <v>35292</v>
          </cell>
        </row>
        <row r="1861">
          <cell r="A1861">
            <v>102641</v>
          </cell>
          <cell r="B1861">
            <v>20465</v>
          </cell>
          <cell r="C1861">
            <v>20465</v>
          </cell>
          <cell r="D1861" t="str">
            <v>adult</v>
          </cell>
          <cell r="E1861" t="str">
            <v>B</v>
          </cell>
          <cell r="F1861" t="str">
            <v xml:space="preserve">SENIOR COMMUNITY WORKER II         </v>
          </cell>
          <cell r="G1861" t="str">
            <v>8105A</v>
          </cell>
          <cell r="H1861">
            <v>3428.36</v>
          </cell>
          <cell r="I1861">
            <v>1</v>
          </cell>
          <cell r="J1861">
            <v>12</v>
          </cell>
          <cell r="K1861">
            <v>1</v>
          </cell>
          <cell r="L1861">
            <v>41140.32</v>
          </cell>
        </row>
        <row r="1862">
          <cell r="A1862">
            <v>102643</v>
          </cell>
          <cell r="B1862">
            <v>20465</v>
          </cell>
          <cell r="C1862">
            <v>20465</v>
          </cell>
          <cell r="D1862" t="str">
            <v>adult</v>
          </cell>
          <cell r="E1862" t="str">
            <v>B</v>
          </cell>
          <cell r="F1862" t="str">
            <v>SENIOR MENTAL HEALTH COUNSELOR, RN</v>
          </cell>
          <cell r="G1862" t="str">
            <v>5280A</v>
          </cell>
          <cell r="H1862">
            <v>6790.09</v>
          </cell>
          <cell r="I1862">
            <v>1</v>
          </cell>
          <cell r="J1862">
            <v>12</v>
          </cell>
          <cell r="K1862">
            <v>1</v>
          </cell>
          <cell r="L1862">
            <v>83105.40203389831</v>
          </cell>
        </row>
        <row r="1863">
          <cell r="A1863">
            <v>102645</v>
          </cell>
          <cell r="B1863">
            <v>20465</v>
          </cell>
          <cell r="C1863">
            <v>20465</v>
          </cell>
          <cell r="D1863" t="str">
            <v>adult</v>
          </cell>
          <cell r="E1863" t="str">
            <v>B</v>
          </cell>
          <cell r="F1863" t="str">
            <v>SENIOR MENTAL HEALTH COUNSELOR, RN</v>
          </cell>
          <cell r="G1863" t="str">
            <v>5280A</v>
          </cell>
          <cell r="H1863">
            <v>6790.09</v>
          </cell>
          <cell r="I1863">
            <v>1</v>
          </cell>
          <cell r="J1863">
            <v>12</v>
          </cell>
          <cell r="K1863">
            <v>1</v>
          </cell>
          <cell r="L1863">
            <v>83105.40203389831</v>
          </cell>
        </row>
        <row r="1864">
          <cell r="A1864">
            <v>109912</v>
          </cell>
          <cell r="B1864">
            <v>27592</v>
          </cell>
          <cell r="C1864">
            <v>20465</v>
          </cell>
          <cell r="D1864" t="str">
            <v>adult</v>
          </cell>
          <cell r="E1864" t="str">
            <v>B</v>
          </cell>
          <cell r="F1864" t="str">
            <v xml:space="preserve">SENIOR TYPIST-CLERK                </v>
          </cell>
          <cell r="G1864" t="str">
            <v>2216A</v>
          </cell>
          <cell r="H1864">
            <v>3013.55</v>
          </cell>
          <cell r="I1864">
            <v>1</v>
          </cell>
          <cell r="J1864">
            <v>12</v>
          </cell>
          <cell r="K1864">
            <v>1</v>
          </cell>
          <cell r="L1864">
            <v>36162.6</v>
          </cell>
        </row>
        <row r="1865">
          <cell r="A1865">
            <v>104091</v>
          </cell>
          <cell r="B1865">
            <v>18709</v>
          </cell>
          <cell r="C1865">
            <v>20465</v>
          </cell>
          <cell r="D1865" t="str">
            <v>adult</v>
          </cell>
          <cell r="E1865" t="str">
            <v>B</v>
          </cell>
          <cell r="F1865" t="str">
            <v xml:space="preserve">STAFF ASSISTANT II                 </v>
          </cell>
          <cell r="G1865" t="str">
            <v>0913A</v>
          </cell>
          <cell r="H1865">
            <v>4167.45</v>
          </cell>
          <cell r="I1865">
            <v>1</v>
          </cell>
          <cell r="J1865">
            <v>12</v>
          </cell>
          <cell r="K1865">
            <v>1</v>
          </cell>
          <cell r="L1865">
            <v>50009.24</v>
          </cell>
        </row>
        <row r="1866">
          <cell r="A1866">
            <v>104991</v>
          </cell>
          <cell r="B1866">
            <v>20465</v>
          </cell>
          <cell r="C1866">
            <v>20465</v>
          </cell>
          <cell r="D1866" t="str">
            <v>adult</v>
          </cell>
          <cell r="E1866" t="str">
            <v>B</v>
          </cell>
          <cell r="F1866" t="str">
            <v>SUBSTANCE ABUSE COUNSELOR</v>
          </cell>
          <cell r="G1866" t="str">
            <v>5884A</v>
          </cell>
          <cell r="H1866">
            <v>3210</v>
          </cell>
          <cell r="I1866">
            <v>1</v>
          </cell>
          <cell r="J1866">
            <v>12</v>
          </cell>
          <cell r="K1866">
            <v>1</v>
          </cell>
          <cell r="L1866">
            <v>38520</v>
          </cell>
        </row>
        <row r="1867">
          <cell r="A1867">
            <v>102489</v>
          </cell>
          <cell r="B1867">
            <v>20465</v>
          </cell>
          <cell r="C1867">
            <v>20465</v>
          </cell>
          <cell r="D1867" t="str">
            <v>adult</v>
          </cell>
          <cell r="E1867" t="str">
            <v>B</v>
          </cell>
          <cell r="F1867" t="str">
            <v xml:space="preserve">SUPVG PSYCHIATRIC SOCIAL WORKER    </v>
          </cell>
          <cell r="G1867" t="str">
            <v>9038A</v>
          </cell>
          <cell r="H1867">
            <v>6062.45</v>
          </cell>
          <cell r="I1867">
            <v>1</v>
          </cell>
          <cell r="J1867">
            <v>12</v>
          </cell>
          <cell r="K1867">
            <v>1</v>
          </cell>
          <cell r="L1867">
            <v>72749.399999999994</v>
          </cell>
        </row>
        <row r="1868">
          <cell r="A1868">
            <v>102750</v>
          </cell>
          <cell r="B1868">
            <v>20459</v>
          </cell>
          <cell r="C1868">
            <v>20459</v>
          </cell>
          <cell r="D1868" t="str">
            <v>adult</v>
          </cell>
          <cell r="E1868" t="str">
            <v>B</v>
          </cell>
          <cell r="F1868" t="str">
            <v xml:space="preserve">CLINIC DRIVER                      </v>
          </cell>
          <cell r="G1868" t="str">
            <v>5064A</v>
          </cell>
          <cell r="H1868">
            <v>2836</v>
          </cell>
          <cell r="I1868">
            <v>1</v>
          </cell>
          <cell r="J1868">
            <v>12</v>
          </cell>
          <cell r="K1868">
            <v>1</v>
          </cell>
          <cell r="L1868">
            <v>34032</v>
          </cell>
        </row>
        <row r="1869">
          <cell r="A1869">
            <v>102467</v>
          </cell>
          <cell r="B1869">
            <v>20459</v>
          </cell>
          <cell r="C1869">
            <v>20459</v>
          </cell>
          <cell r="D1869" t="str">
            <v>adult</v>
          </cell>
          <cell r="E1869" t="str">
            <v>B</v>
          </cell>
          <cell r="F1869" t="str">
            <v>CLINICAL PSYCHOLOGIST II</v>
          </cell>
          <cell r="G1869" t="str">
            <v>8697A</v>
          </cell>
          <cell r="H1869">
            <v>6993.82</v>
          </cell>
          <cell r="I1869">
            <v>1</v>
          </cell>
          <cell r="J1869">
            <v>12</v>
          </cell>
          <cell r="K1869">
            <v>1</v>
          </cell>
          <cell r="L1869">
            <v>83925.52</v>
          </cell>
        </row>
        <row r="1870">
          <cell r="A1870">
            <v>104424</v>
          </cell>
          <cell r="B1870">
            <v>20459</v>
          </cell>
          <cell r="C1870">
            <v>20459</v>
          </cell>
          <cell r="D1870" t="str">
            <v>adult</v>
          </cell>
          <cell r="E1870" t="str">
            <v>B</v>
          </cell>
          <cell r="F1870" t="str">
            <v>CLINICAL PSYCHOLOGIST II</v>
          </cell>
          <cell r="G1870" t="str">
            <v>8697A</v>
          </cell>
          <cell r="H1870">
            <v>6993.82</v>
          </cell>
          <cell r="I1870">
            <v>1</v>
          </cell>
          <cell r="J1870">
            <v>12</v>
          </cell>
          <cell r="K1870">
            <v>1</v>
          </cell>
          <cell r="L1870">
            <v>83925.52</v>
          </cell>
        </row>
        <row r="1871">
          <cell r="A1871">
            <v>103298</v>
          </cell>
          <cell r="B1871">
            <v>21572</v>
          </cell>
          <cell r="C1871">
            <v>20459</v>
          </cell>
          <cell r="D1871" t="str">
            <v>adult</v>
          </cell>
          <cell r="E1871" t="str">
            <v>B</v>
          </cell>
          <cell r="F1871" t="str">
            <v>CONSULTING SPECIALIST, MD (PER SESSION)</v>
          </cell>
          <cell r="G1871" t="str">
            <v>5472J</v>
          </cell>
          <cell r="H1871">
            <v>314</v>
          </cell>
          <cell r="I1871">
            <v>1</v>
          </cell>
          <cell r="J1871">
            <v>189</v>
          </cell>
          <cell r="K1871">
            <v>0.36206896551724138</v>
          </cell>
          <cell r="L1871">
            <v>59346.28</v>
          </cell>
        </row>
        <row r="1872">
          <cell r="A1872">
            <v>104727</v>
          </cell>
          <cell r="B1872">
            <v>23007</v>
          </cell>
          <cell r="C1872">
            <v>20459</v>
          </cell>
          <cell r="D1872" t="str">
            <v>adult</v>
          </cell>
          <cell r="E1872" t="str">
            <v>B</v>
          </cell>
          <cell r="F1872" t="str">
            <v>INTERMEDIATE TYPIST-CLERK</v>
          </cell>
          <cell r="G1872" t="str">
            <v>2214A</v>
          </cell>
          <cell r="H1872">
            <v>2675.27</v>
          </cell>
          <cell r="I1872">
            <v>1</v>
          </cell>
          <cell r="J1872">
            <v>12</v>
          </cell>
          <cell r="K1872">
            <v>1</v>
          </cell>
          <cell r="L1872">
            <v>32103.16</v>
          </cell>
        </row>
        <row r="1873">
          <cell r="A1873">
            <v>109709</v>
          </cell>
          <cell r="B1873">
            <v>20459</v>
          </cell>
          <cell r="C1873">
            <v>20459</v>
          </cell>
          <cell r="D1873" t="str">
            <v>adult</v>
          </cell>
          <cell r="E1873" t="str">
            <v>B</v>
          </cell>
          <cell r="F1873" t="str">
            <v>INTERMEDIATE TYPIST-CLERK</v>
          </cell>
          <cell r="G1873" t="str">
            <v>2214A</v>
          </cell>
          <cell r="H1873">
            <v>2675.27</v>
          </cell>
          <cell r="I1873">
            <v>1</v>
          </cell>
          <cell r="J1873">
            <v>12</v>
          </cell>
          <cell r="K1873">
            <v>1</v>
          </cell>
          <cell r="L1873">
            <v>32103.24</v>
          </cell>
        </row>
        <row r="1874">
          <cell r="A1874">
            <v>109710</v>
          </cell>
          <cell r="B1874">
            <v>20459</v>
          </cell>
          <cell r="C1874">
            <v>20459</v>
          </cell>
          <cell r="D1874" t="str">
            <v>adult</v>
          </cell>
          <cell r="E1874" t="str">
            <v>B</v>
          </cell>
          <cell r="F1874" t="str">
            <v>INTERMEDIATE TYPIST-CLERK</v>
          </cell>
          <cell r="G1874" t="str">
            <v>2214A</v>
          </cell>
          <cell r="H1874">
            <v>2675.27</v>
          </cell>
          <cell r="I1874">
            <v>1</v>
          </cell>
          <cell r="J1874">
            <v>12</v>
          </cell>
          <cell r="K1874">
            <v>1</v>
          </cell>
          <cell r="L1874">
            <v>32103.24</v>
          </cell>
        </row>
        <row r="1875">
          <cell r="A1875">
            <v>109711</v>
          </cell>
          <cell r="B1875">
            <v>20459</v>
          </cell>
          <cell r="C1875">
            <v>20459</v>
          </cell>
          <cell r="D1875" t="str">
            <v>adult</v>
          </cell>
          <cell r="E1875" t="str">
            <v>B</v>
          </cell>
          <cell r="F1875" t="str">
            <v>INTERMEDIATE TYPIST-CLERK</v>
          </cell>
          <cell r="G1875" t="str">
            <v>2214A</v>
          </cell>
          <cell r="H1875">
            <v>2675.27</v>
          </cell>
          <cell r="I1875">
            <v>1</v>
          </cell>
          <cell r="J1875">
            <v>12</v>
          </cell>
          <cell r="K1875">
            <v>1</v>
          </cell>
          <cell r="L1875">
            <v>32103.24</v>
          </cell>
        </row>
        <row r="1876">
          <cell r="A1876">
            <v>104312</v>
          </cell>
          <cell r="B1876">
            <v>20459</v>
          </cell>
          <cell r="C1876">
            <v>20459</v>
          </cell>
          <cell r="D1876" t="str">
            <v>adult</v>
          </cell>
          <cell r="E1876" t="str">
            <v>B</v>
          </cell>
          <cell r="F1876" t="str">
            <v>MENTAL HEALTH CONSULTANT,MD(PER SESSION)</v>
          </cell>
          <cell r="G1876" t="str">
            <v>5467J</v>
          </cell>
          <cell r="H1876">
            <v>314</v>
          </cell>
          <cell r="I1876">
            <v>1</v>
          </cell>
          <cell r="J1876">
            <v>132</v>
          </cell>
          <cell r="K1876">
            <v>0.25287356321839083</v>
          </cell>
          <cell r="L1876">
            <v>41447.64</v>
          </cell>
        </row>
        <row r="1877">
          <cell r="A1877">
            <v>100716</v>
          </cell>
          <cell r="B1877">
            <v>20459</v>
          </cell>
          <cell r="C1877">
            <v>20459</v>
          </cell>
          <cell r="D1877" t="str">
            <v>adult</v>
          </cell>
          <cell r="E1877" t="str">
            <v>B</v>
          </cell>
          <cell r="F1877" t="str">
            <v>MENTAL HEALTH PSYCHIATRIST</v>
          </cell>
          <cell r="G1877" t="str">
            <v>4735A</v>
          </cell>
          <cell r="H1877">
            <v>12844</v>
          </cell>
          <cell r="I1877">
            <v>1</v>
          </cell>
          <cell r="J1877">
            <v>12</v>
          </cell>
          <cell r="K1877">
            <v>1</v>
          </cell>
          <cell r="L1877">
            <v>154128</v>
          </cell>
        </row>
        <row r="1878">
          <cell r="A1878">
            <v>104126</v>
          </cell>
          <cell r="B1878">
            <v>23034</v>
          </cell>
          <cell r="C1878">
            <v>20459</v>
          </cell>
          <cell r="D1878" t="str">
            <v>adult</v>
          </cell>
          <cell r="E1878" t="str">
            <v>B</v>
          </cell>
          <cell r="F1878" t="str">
            <v>MENTAL HEALTH PSYCHIATRIST</v>
          </cell>
          <cell r="G1878" t="str">
            <v>4735A</v>
          </cell>
          <cell r="H1878">
            <v>12844</v>
          </cell>
          <cell r="I1878">
            <v>1</v>
          </cell>
          <cell r="J1878">
            <v>6</v>
          </cell>
          <cell r="K1878">
            <v>0.5</v>
          </cell>
          <cell r="L1878">
            <v>77064</v>
          </cell>
        </row>
        <row r="1879">
          <cell r="A1879">
            <v>102764</v>
          </cell>
          <cell r="B1879">
            <v>20459</v>
          </cell>
          <cell r="C1879">
            <v>20459</v>
          </cell>
          <cell r="D1879" t="str">
            <v>adult</v>
          </cell>
          <cell r="E1879" t="str">
            <v>B</v>
          </cell>
          <cell r="F1879" t="str">
            <v>MNTL HLTH CLINICAL PROGRAM HEAD</v>
          </cell>
          <cell r="G1879" t="str">
            <v>4726A</v>
          </cell>
          <cell r="H1879">
            <v>8709.73</v>
          </cell>
          <cell r="I1879">
            <v>1</v>
          </cell>
          <cell r="J1879">
            <v>12</v>
          </cell>
          <cell r="K1879">
            <v>1</v>
          </cell>
          <cell r="L1879">
            <v>104516.76</v>
          </cell>
        </row>
        <row r="1880">
          <cell r="A1880">
            <v>102605</v>
          </cell>
          <cell r="B1880">
            <v>20459</v>
          </cell>
          <cell r="C1880">
            <v>20459</v>
          </cell>
          <cell r="D1880" t="str">
            <v>adult</v>
          </cell>
          <cell r="E1880" t="str">
            <v>B</v>
          </cell>
          <cell r="F1880" t="str">
            <v xml:space="preserve">PATIENT FINANCIAL SERVICES WORKER  </v>
          </cell>
          <cell r="G1880" t="str">
            <v>9193A</v>
          </cell>
          <cell r="H1880">
            <v>3403.55</v>
          </cell>
          <cell r="I1880">
            <v>1</v>
          </cell>
          <cell r="J1880">
            <v>12</v>
          </cell>
          <cell r="K1880">
            <v>1</v>
          </cell>
          <cell r="L1880">
            <v>40842.6</v>
          </cell>
        </row>
        <row r="1881">
          <cell r="A1881">
            <v>104197</v>
          </cell>
          <cell r="B1881">
            <v>20459</v>
          </cell>
          <cell r="C1881">
            <v>20459</v>
          </cell>
          <cell r="D1881" t="str">
            <v>adult</v>
          </cell>
          <cell r="E1881" t="str">
            <v>B</v>
          </cell>
          <cell r="F1881" t="str">
            <v>PSYCHIATRIC SOCIAL WORKER II</v>
          </cell>
          <cell r="G1881" t="str">
            <v>9035A</v>
          </cell>
          <cell r="H1881">
            <v>5425.82</v>
          </cell>
          <cell r="I1881">
            <v>1</v>
          </cell>
          <cell r="J1881">
            <v>12</v>
          </cell>
          <cell r="K1881">
            <v>1</v>
          </cell>
          <cell r="L1881">
            <v>65109.84</v>
          </cell>
        </row>
        <row r="1882">
          <cell r="A1882">
            <v>104720</v>
          </cell>
          <cell r="B1882">
            <v>20459</v>
          </cell>
          <cell r="C1882">
            <v>20459</v>
          </cell>
          <cell r="D1882" t="str">
            <v>adult</v>
          </cell>
          <cell r="E1882" t="str">
            <v>B</v>
          </cell>
          <cell r="F1882" t="str">
            <v>PSYCHIATRIC SOCIAL WORKER II</v>
          </cell>
          <cell r="G1882" t="str">
            <v>9035A</v>
          </cell>
          <cell r="H1882">
            <v>5425.82</v>
          </cell>
          <cell r="I1882">
            <v>1</v>
          </cell>
          <cell r="J1882">
            <v>12</v>
          </cell>
          <cell r="K1882">
            <v>1</v>
          </cell>
          <cell r="L1882">
            <v>65109.84</v>
          </cell>
        </row>
        <row r="1883">
          <cell r="A1883">
            <v>106032</v>
          </cell>
          <cell r="B1883">
            <v>21533</v>
          </cell>
          <cell r="C1883">
            <v>20459</v>
          </cell>
          <cell r="D1883" t="str">
            <v>adult</v>
          </cell>
          <cell r="E1883" t="str">
            <v>B</v>
          </cell>
          <cell r="F1883" t="str">
            <v>PSYCHIATRIC SOCIAL WORKER II</v>
          </cell>
          <cell r="G1883" t="str">
            <v>9035A</v>
          </cell>
          <cell r="H1883">
            <v>5425.82</v>
          </cell>
          <cell r="I1883">
            <v>1</v>
          </cell>
          <cell r="J1883">
            <v>12</v>
          </cell>
          <cell r="K1883">
            <v>1</v>
          </cell>
          <cell r="L1883">
            <v>65109.84</v>
          </cell>
        </row>
        <row r="1884">
          <cell r="A1884">
            <v>104721</v>
          </cell>
          <cell r="B1884">
            <v>20459</v>
          </cell>
          <cell r="C1884">
            <v>20459</v>
          </cell>
          <cell r="D1884" t="str">
            <v>adult</v>
          </cell>
          <cell r="E1884" t="str">
            <v>B</v>
          </cell>
          <cell r="F1884" t="str">
            <v>REHABILITATION COUNSELOR II</v>
          </cell>
          <cell r="G1884" t="str">
            <v>8593A</v>
          </cell>
          <cell r="H1884">
            <v>4076.09</v>
          </cell>
          <cell r="I1884">
            <v>1</v>
          </cell>
          <cell r="J1884">
            <v>12</v>
          </cell>
          <cell r="K1884">
            <v>1</v>
          </cell>
          <cell r="L1884">
            <v>48922.8</v>
          </cell>
        </row>
        <row r="1885">
          <cell r="A1885">
            <v>104723</v>
          </cell>
          <cell r="B1885">
            <v>20459</v>
          </cell>
          <cell r="C1885">
            <v>20459</v>
          </cell>
          <cell r="D1885" t="str">
            <v>adult</v>
          </cell>
          <cell r="E1885" t="str">
            <v>B</v>
          </cell>
          <cell r="F1885" t="str">
            <v xml:space="preserve">SECRETARY III                      </v>
          </cell>
          <cell r="G1885" t="str">
            <v>2096A</v>
          </cell>
          <cell r="H1885">
            <v>3387</v>
          </cell>
          <cell r="I1885">
            <v>1</v>
          </cell>
          <cell r="J1885">
            <v>12</v>
          </cell>
          <cell r="K1885">
            <v>1</v>
          </cell>
          <cell r="L1885">
            <v>40643.839999999997</v>
          </cell>
        </row>
        <row r="1886">
          <cell r="A1886">
            <v>107388</v>
          </cell>
          <cell r="B1886">
            <v>18639</v>
          </cell>
          <cell r="C1886">
            <v>20459</v>
          </cell>
          <cell r="D1886" t="str">
            <v>adult</v>
          </cell>
          <cell r="E1886" t="str">
            <v>B</v>
          </cell>
          <cell r="F1886" t="str">
            <v xml:space="preserve">SENIOR COMMUNITY WORKER I          </v>
          </cell>
          <cell r="G1886" t="str">
            <v>8104A</v>
          </cell>
          <cell r="H1886">
            <v>3087.73</v>
          </cell>
          <cell r="I1886">
            <v>1</v>
          </cell>
          <cell r="J1886">
            <v>12</v>
          </cell>
          <cell r="K1886">
            <v>1</v>
          </cell>
          <cell r="L1886">
            <v>37052.76</v>
          </cell>
        </row>
        <row r="1887">
          <cell r="A1887">
            <v>104313</v>
          </cell>
          <cell r="B1887">
            <v>20459</v>
          </cell>
          <cell r="C1887">
            <v>20459</v>
          </cell>
          <cell r="D1887" t="str">
            <v>adult</v>
          </cell>
          <cell r="E1887" t="str">
            <v>B</v>
          </cell>
          <cell r="F1887" t="str">
            <v xml:space="preserve">SENIOR COMMUNITY WORKER II         </v>
          </cell>
          <cell r="G1887" t="str">
            <v>8105A</v>
          </cell>
          <cell r="H1887">
            <v>3428.36</v>
          </cell>
          <cell r="I1887">
            <v>1</v>
          </cell>
          <cell r="J1887">
            <v>12</v>
          </cell>
          <cell r="K1887">
            <v>1</v>
          </cell>
          <cell r="L1887">
            <v>41140.32</v>
          </cell>
        </row>
        <row r="1888">
          <cell r="A1888">
            <v>102499</v>
          </cell>
          <cell r="B1888">
            <v>23010</v>
          </cell>
          <cell r="C1888">
            <v>20459</v>
          </cell>
          <cell r="D1888" t="str">
            <v>adult</v>
          </cell>
          <cell r="E1888" t="str">
            <v>B</v>
          </cell>
          <cell r="F1888" t="str">
            <v xml:space="preserve">SENIOR TYPIST-CLERK                </v>
          </cell>
          <cell r="G1888" t="str">
            <v>2216A</v>
          </cell>
          <cell r="H1888">
            <v>3013.55</v>
          </cell>
          <cell r="I1888">
            <v>1</v>
          </cell>
          <cell r="J1888">
            <v>12</v>
          </cell>
          <cell r="K1888">
            <v>1</v>
          </cell>
          <cell r="L1888">
            <v>36162.6</v>
          </cell>
        </row>
        <row r="1889">
          <cell r="A1889">
            <v>102476</v>
          </cell>
          <cell r="B1889">
            <v>20459</v>
          </cell>
          <cell r="C1889">
            <v>20459</v>
          </cell>
          <cell r="D1889" t="str">
            <v>adult</v>
          </cell>
          <cell r="E1889" t="str">
            <v>B</v>
          </cell>
          <cell r="F1889" t="str">
            <v xml:space="preserve">SUPVG PSYCHIATRIC SOCIAL WORKER    </v>
          </cell>
          <cell r="G1889" t="str">
            <v>9038A</v>
          </cell>
          <cell r="H1889">
            <v>6062.45</v>
          </cell>
          <cell r="I1889">
            <v>1</v>
          </cell>
          <cell r="J1889">
            <v>12</v>
          </cell>
          <cell r="K1889">
            <v>1</v>
          </cell>
          <cell r="L1889">
            <v>72749.399999999994</v>
          </cell>
        </row>
        <row r="1890">
          <cell r="A1890">
            <v>105072</v>
          </cell>
          <cell r="B1890">
            <v>23034</v>
          </cell>
          <cell r="C1890">
            <v>23034</v>
          </cell>
          <cell r="D1890" t="str">
            <v>adult</v>
          </cell>
          <cell r="E1890" t="str">
            <v>B</v>
          </cell>
          <cell r="F1890" t="str">
            <v>CLINICAL PSYCHOLOGIST II</v>
          </cell>
          <cell r="G1890" t="str">
            <v>8697A</v>
          </cell>
          <cell r="H1890">
            <v>6993.82</v>
          </cell>
          <cell r="I1890">
            <v>1</v>
          </cell>
          <cell r="J1890">
            <v>12</v>
          </cell>
          <cell r="K1890">
            <v>1</v>
          </cell>
          <cell r="L1890">
            <v>83925.52</v>
          </cell>
        </row>
        <row r="1891">
          <cell r="A1891">
            <v>106620</v>
          </cell>
          <cell r="B1891">
            <v>18676</v>
          </cell>
          <cell r="C1891">
            <v>23034</v>
          </cell>
          <cell r="D1891" t="str">
            <v>adult</v>
          </cell>
          <cell r="E1891" t="str">
            <v>B</v>
          </cell>
          <cell r="F1891" t="str">
            <v>CLINICAL PSYCHOLOGIST II</v>
          </cell>
          <cell r="G1891" t="str">
            <v>8697A</v>
          </cell>
          <cell r="H1891">
            <v>6993.82</v>
          </cell>
          <cell r="I1891">
            <v>1</v>
          </cell>
          <cell r="J1891">
            <v>12</v>
          </cell>
          <cell r="K1891">
            <v>1</v>
          </cell>
          <cell r="L1891">
            <v>83925.52</v>
          </cell>
        </row>
        <row r="1892">
          <cell r="A1892">
            <v>102621</v>
          </cell>
          <cell r="B1892">
            <v>23003</v>
          </cell>
          <cell r="C1892">
            <v>23034</v>
          </cell>
          <cell r="D1892" t="str">
            <v>adult</v>
          </cell>
          <cell r="E1892" t="str">
            <v>B</v>
          </cell>
          <cell r="F1892" t="str">
            <v>INTERMEDIATE TYPIST-CLERK</v>
          </cell>
          <cell r="G1892" t="str">
            <v>2214A</v>
          </cell>
          <cell r="H1892">
            <v>2675.27</v>
          </cell>
          <cell r="I1892">
            <v>1</v>
          </cell>
          <cell r="J1892">
            <v>12</v>
          </cell>
          <cell r="K1892">
            <v>1</v>
          </cell>
          <cell r="L1892">
            <v>32103.16</v>
          </cell>
        </row>
        <row r="1893">
          <cell r="A1893">
            <v>104743</v>
          </cell>
          <cell r="B1893">
            <v>23003</v>
          </cell>
          <cell r="C1893">
            <v>23034</v>
          </cell>
          <cell r="D1893" t="str">
            <v>adult</v>
          </cell>
          <cell r="E1893" t="str">
            <v>B</v>
          </cell>
          <cell r="F1893" t="str">
            <v>INTERMEDIATE TYPIST-CLERK</v>
          </cell>
          <cell r="G1893" t="str">
            <v>2214A</v>
          </cell>
          <cell r="H1893">
            <v>2675.27</v>
          </cell>
          <cell r="I1893">
            <v>1</v>
          </cell>
          <cell r="J1893">
            <v>12</v>
          </cell>
          <cell r="K1893">
            <v>1</v>
          </cell>
          <cell r="L1893">
            <v>32103.16</v>
          </cell>
        </row>
        <row r="1894">
          <cell r="A1894">
            <v>109714</v>
          </cell>
          <cell r="B1894">
            <v>23034</v>
          </cell>
          <cell r="C1894">
            <v>23034</v>
          </cell>
          <cell r="D1894" t="str">
            <v>adult</v>
          </cell>
          <cell r="E1894" t="str">
            <v>B</v>
          </cell>
          <cell r="F1894" t="str">
            <v>INTERMEDIATE TYPIST-CLERK</v>
          </cell>
          <cell r="G1894" t="str">
            <v>2214A</v>
          </cell>
          <cell r="H1894">
            <v>2675.27</v>
          </cell>
          <cell r="I1894">
            <v>1</v>
          </cell>
          <cell r="J1894">
            <v>12</v>
          </cell>
          <cell r="K1894">
            <v>1</v>
          </cell>
          <cell r="L1894">
            <v>32103.24</v>
          </cell>
        </row>
        <row r="1895">
          <cell r="A1895">
            <v>109715</v>
          </cell>
          <cell r="B1895">
            <v>23034</v>
          </cell>
          <cell r="C1895">
            <v>23034</v>
          </cell>
          <cell r="D1895" t="str">
            <v>adult</v>
          </cell>
          <cell r="E1895" t="str">
            <v>B</v>
          </cell>
          <cell r="F1895" t="str">
            <v>INTERMEDIATE TYPIST-CLERK</v>
          </cell>
          <cell r="G1895" t="str">
            <v>2214A</v>
          </cell>
          <cell r="H1895">
            <v>2675.27</v>
          </cell>
          <cell r="I1895">
            <v>1</v>
          </cell>
          <cell r="J1895">
            <v>12</v>
          </cell>
          <cell r="K1895">
            <v>1</v>
          </cell>
          <cell r="L1895">
            <v>32103.24</v>
          </cell>
        </row>
        <row r="1896">
          <cell r="A1896">
            <v>109716</v>
          </cell>
          <cell r="B1896">
            <v>23034</v>
          </cell>
          <cell r="C1896">
            <v>23034</v>
          </cell>
          <cell r="D1896" t="str">
            <v>adult</v>
          </cell>
          <cell r="E1896" t="str">
            <v>B</v>
          </cell>
          <cell r="F1896" t="str">
            <v>INTERMEDIATE TYPIST-CLERK</v>
          </cell>
          <cell r="G1896" t="str">
            <v>2214A</v>
          </cell>
          <cell r="H1896">
            <v>2675.27</v>
          </cell>
          <cell r="I1896">
            <v>1</v>
          </cell>
          <cell r="J1896">
            <v>12</v>
          </cell>
          <cell r="K1896">
            <v>1</v>
          </cell>
          <cell r="L1896">
            <v>32103.24</v>
          </cell>
        </row>
        <row r="1897">
          <cell r="A1897">
            <v>109717</v>
          </cell>
          <cell r="B1897">
            <v>23034</v>
          </cell>
          <cell r="C1897">
            <v>23034</v>
          </cell>
          <cell r="D1897" t="str">
            <v>adult</v>
          </cell>
          <cell r="E1897" t="str">
            <v>B</v>
          </cell>
          <cell r="F1897" t="str">
            <v>INTERMEDIATE TYPIST-CLERK</v>
          </cell>
          <cell r="G1897" t="str">
            <v>2214A</v>
          </cell>
          <cell r="H1897">
            <v>2675.27</v>
          </cell>
          <cell r="I1897">
            <v>1</v>
          </cell>
          <cell r="J1897">
            <v>12</v>
          </cell>
          <cell r="K1897">
            <v>1</v>
          </cell>
          <cell r="L1897">
            <v>32103.24</v>
          </cell>
        </row>
        <row r="1898">
          <cell r="A1898">
            <v>102196</v>
          </cell>
          <cell r="B1898">
            <v>23034</v>
          </cell>
          <cell r="C1898">
            <v>23034</v>
          </cell>
          <cell r="D1898" t="str">
            <v>adult</v>
          </cell>
          <cell r="E1898" t="str">
            <v>B</v>
          </cell>
          <cell r="F1898" t="str">
            <v>MEDICAL CASE WORKER II</v>
          </cell>
          <cell r="G1898" t="str">
            <v>9002A</v>
          </cell>
          <cell r="H1898">
            <v>3938.82</v>
          </cell>
          <cell r="I1898">
            <v>1</v>
          </cell>
          <cell r="J1898">
            <v>12</v>
          </cell>
          <cell r="K1898">
            <v>1</v>
          </cell>
          <cell r="L1898">
            <v>47265.68</v>
          </cell>
        </row>
        <row r="1899">
          <cell r="A1899">
            <v>106102</v>
          </cell>
          <cell r="B1899">
            <v>18676</v>
          </cell>
          <cell r="C1899">
            <v>23034</v>
          </cell>
          <cell r="D1899" t="str">
            <v>adult</v>
          </cell>
          <cell r="E1899" t="str">
            <v>B</v>
          </cell>
          <cell r="F1899" t="str">
            <v>MEDICAL CASE WORKER II</v>
          </cell>
          <cell r="G1899" t="str">
            <v>9002A</v>
          </cell>
          <cell r="H1899">
            <v>3938.82</v>
          </cell>
          <cell r="I1899">
            <v>1</v>
          </cell>
          <cell r="J1899">
            <v>12</v>
          </cell>
          <cell r="K1899">
            <v>1</v>
          </cell>
          <cell r="L1899">
            <v>47265.68</v>
          </cell>
        </row>
        <row r="1900">
          <cell r="A1900">
            <v>106109</v>
          </cell>
          <cell r="B1900">
            <v>18676</v>
          </cell>
          <cell r="C1900">
            <v>23034</v>
          </cell>
          <cell r="D1900" t="str">
            <v>adult</v>
          </cell>
          <cell r="E1900" t="str">
            <v>B</v>
          </cell>
          <cell r="F1900" t="str">
            <v>MEDICAL CASE WORKER II</v>
          </cell>
          <cell r="G1900" t="str">
            <v>9002A</v>
          </cell>
          <cell r="H1900">
            <v>3938.82</v>
          </cell>
          <cell r="I1900">
            <v>1</v>
          </cell>
          <cell r="J1900">
            <v>12</v>
          </cell>
          <cell r="K1900">
            <v>1</v>
          </cell>
          <cell r="L1900">
            <v>47265.68</v>
          </cell>
        </row>
        <row r="1901">
          <cell r="A1901">
            <v>100761</v>
          </cell>
          <cell r="B1901">
            <v>23003</v>
          </cell>
          <cell r="C1901">
            <v>23034</v>
          </cell>
          <cell r="D1901" t="str">
            <v>adult</v>
          </cell>
          <cell r="E1901" t="str">
            <v>B</v>
          </cell>
          <cell r="F1901" t="str">
            <v>MENTAL HEALTH PSYCHIATRIST</v>
          </cell>
          <cell r="G1901" t="str">
            <v>4735A</v>
          </cell>
          <cell r="H1901">
            <v>12844</v>
          </cell>
          <cell r="I1901">
            <v>1</v>
          </cell>
          <cell r="J1901">
            <v>12</v>
          </cell>
          <cell r="K1901">
            <v>1</v>
          </cell>
          <cell r="L1901">
            <v>154128</v>
          </cell>
        </row>
        <row r="1902">
          <cell r="A1902">
            <v>102198</v>
          </cell>
          <cell r="B1902">
            <v>23034</v>
          </cell>
          <cell r="C1902">
            <v>23034</v>
          </cell>
          <cell r="D1902" t="str">
            <v>adult</v>
          </cell>
          <cell r="E1902" t="str">
            <v>B</v>
          </cell>
          <cell r="F1902" t="str">
            <v>MENTAL HEALTH PSYCHIATRIST</v>
          </cell>
          <cell r="G1902" t="str">
            <v>4735A</v>
          </cell>
          <cell r="H1902">
            <v>12844</v>
          </cell>
          <cell r="I1902">
            <v>1</v>
          </cell>
          <cell r="J1902">
            <v>3</v>
          </cell>
          <cell r="K1902">
            <v>0.25</v>
          </cell>
          <cell r="L1902">
            <v>38532</v>
          </cell>
        </row>
        <row r="1903">
          <cell r="A1903">
            <v>102199</v>
          </cell>
          <cell r="B1903">
            <v>23034</v>
          </cell>
          <cell r="C1903">
            <v>23034</v>
          </cell>
          <cell r="D1903" t="str">
            <v>adult</v>
          </cell>
          <cell r="E1903" t="str">
            <v>B</v>
          </cell>
          <cell r="F1903" t="str">
            <v>MENTAL HEALTH PSYCHIATRIST</v>
          </cell>
          <cell r="G1903" t="str">
            <v>4735A</v>
          </cell>
          <cell r="H1903">
            <v>12844</v>
          </cell>
          <cell r="I1903">
            <v>1</v>
          </cell>
          <cell r="J1903">
            <v>2</v>
          </cell>
          <cell r="K1903">
            <v>0.16666666666666666</v>
          </cell>
          <cell r="L1903">
            <v>25688</v>
          </cell>
        </row>
        <row r="1904">
          <cell r="A1904">
            <v>104643</v>
          </cell>
          <cell r="B1904">
            <v>20683</v>
          </cell>
          <cell r="C1904">
            <v>23034</v>
          </cell>
          <cell r="D1904" t="str">
            <v>adult</v>
          </cell>
          <cell r="E1904" t="str">
            <v>B</v>
          </cell>
          <cell r="F1904" t="str">
            <v>MENTAL HEALTH PSYCHIATRIST</v>
          </cell>
          <cell r="G1904" t="str">
            <v>4735A</v>
          </cell>
          <cell r="H1904">
            <v>12844</v>
          </cell>
          <cell r="I1904">
            <v>1</v>
          </cell>
          <cell r="J1904">
            <v>6</v>
          </cell>
          <cell r="K1904">
            <v>0.5</v>
          </cell>
          <cell r="L1904">
            <v>77064</v>
          </cell>
        </row>
        <row r="1905">
          <cell r="A1905">
            <v>106263</v>
          </cell>
          <cell r="B1905">
            <v>23034</v>
          </cell>
          <cell r="C1905">
            <v>23034</v>
          </cell>
          <cell r="D1905" t="str">
            <v>adult</v>
          </cell>
          <cell r="E1905" t="str">
            <v>B</v>
          </cell>
          <cell r="F1905" t="str">
            <v>MENTAL HEALTH PSYCHIATRIST</v>
          </cell>
          <cell r="G1905" t="str">
            <v>4735A</v>
          </cell>
          <cell r="H1905">
            <v>12844</v>
          </cell>
          <cell r="I1905">
            <v>1</v>
          </cell>
          <cell r="J1905">
            <v>6</v>
          </cell>
          <cell r="K1905">
            <v>0.5</v>
          </cell>
          <cell r="L1905">
            <v>77064</v>
          </cell>
        </row>
        <row r="1906">
          <cell r="A1906">
            <v>102197</v>
          </cell>
          <cell r="B1906">
            <v>23034</v>
          </cell>
          <cell r="C1906">
            <v>23034</v>
          </cell>
          <cell r="D1906" t="str">
            <v>adult</v>
          </cell>
          <cell r="E1906" t="str">
            <v>B</v>
          </cell>
          <cell r="F1906" t="str">
            <v>MNTL HLTH CLINICAL PROGRAM HEAD</v>
          </cell>
          <cell r="G1906" t="str">
            <v>4726A</v>
          </cell>
          <cell r="H1906">
            <v>8709.73</v>
          </cell>
          <cell r="I1906">
            <v>1</v>
          </cell>
          <cell r="J1906">
            <v>12</v>
          </cell>
          <cell r="K1906">
            <v>1</v>
          </cell>
          <cell r="L1906">
            <v>104516.76</v>
          </cell>
        </row>
        <row r="1907">
          <cell r="A1907">
            <v>104787</v>
          </cell>
          <cell r="B1907">
            <v>20564</v>
          </cell>
          <cell r="C1907">
            <v>23034</v>
          </cell>
          <cell r="D1907" t="str">
            <v>adult</v>
          </cell>
          <cell r="E1907" t="str">
            <v>B</v>
          </cell>
          <cell r="F1907" t="str">
            <v>MNTL HLTH CLINICAL PROGRAM HEAD</v>
          </cell>
          <cell r="G1907" t="str">
            <v>4726A</v>
          </cell>
          <cell r="H1907">
            <v>8709.73</v>
          </cell>
          <cell r="I1907">
            <v>1</v>
          </cell>
          <cell r="J1907">
            <v>12</v>
          </cell>
          <cell r="K1907">
            <v>1</v>
          </cell>
          <cell r="L1907">
            <v>104516.76</v>
          </cell>
        </row>
        <row r="1908">
          <cell r="A1908">
            <v>102594</v>
          </cell>
          <cell r="B1908">
            <v>23034</v>
          </cell>
          <cell r="C1908">
            <v>23034</v>
          </cell>
          <cell r="D1908" t="str">
            <v>adult</v>
          </cell>
          <cell r="E1908" t="str">
            <v>B</v>
          </cell>
          <cell r="F1908" t="str">
            <v xml:space="preserve">PATIENT FINANCIAL SERVICES WORKER  </v>
          </cell>
          <cell r="G1908" t="str">
            <v>9193A</v>
          </cell>
          <cell r="H1908">
            <v>3403.55</v>
          </cell>
          <cell r="I1908">
            <v>1</v>
          </cell>
          <cell r="J1908">
            <v>12</v>
          </cell>
          <cell r="K1908">
            <v>1</v>
          </cell>
          <cell r="L1908">
            <v>40842.6</v>
          </cell>
        </row>
        <row r="1909">
          <cell r="A1909">
            <v>109765</v>
          </cell>
          <cell r="B1909">
            <v>23034</v>
          </cell>
          <cell r="C1909">
            <v>23034</v>
          </cell>
          <cell r="D1909" t="str">
            <v>adult</v>
          </cell>
          <cell r="E1909" t="str">
            <v>B</v>
          </cell>
          <cell r="F1909" t="str">
            <v>PATIENT RESOURCES WORKER</v>
          </cell>
          <cell r="G1909" t="str">
            <v>9192A</v>
          </cell>
          <cell r="H1909">
            <v>2748.27</v>
          </cell>
          <cell r="I1909">
            <v>1</v>
          </cell>
          <cell r="J1909">
            <v>12</v>
          </cell>
          <cell r="K1909">
            <v>1</v>
          </cell>
          <cell r="L1909">
            <v>32979.24</v>
          </cell>
        </row>
        <row r="1910">
          <cell r="A1910">
            <v>101109</v>
          </cell>
          <cell r="B1910">
            <v>23007</v>
          </cell>
          <cell r="C1910">
            <v>23034</v>
          </cell>
          <cell r="D1910" t="str">
            <v>adult</v>
          </cell>
          <cell r="E1910" t="str">
            <v>B</v>
          </cell>
          <cell r="F1910" t="str">
            <v>PSYCHIATRIC SOCIAL WORKER II</v>
          </cell>
          <cell r="G1910" t="str">
            <v>9035A</v>
          </cell>
          <cell r="H1910">
            <v>5425.82</v>
          </cell>
          <cell r="I1910">
            <v>1</v>
          </cell>
          <cell r="J1910">
            <v>12</v>
          </cell>
          <cell r="K1910">
            <v>1</v>
          </cell>
          <cell r="L1910">
            <v>65109.84</v>
          </cell>
        </row>
        <row r="1911">
          <cell r="A1911">
            <v>101110</v>
          </cell>
          <cell r="B1911">
            <v>23034</v>
          </cell>
          <cell r="C1911">
            <v>23034</v>
          </cell>
          <cell r="D1911" t="str">
            <v>adult</v>
          </cell>
          <cell r="E1911" t="str">
            <v>B</v>
          </cell>
          <cell r="F1911" t="str">
            <v>PSYCHIATRIC SOCIAL WORKER II</v>
          </cell>
          <cell r="G1911" t="str">
            <v>9035A</v>
          </cell>
          <cell r="H1911">
            <v>5425.82</v>
          </cell>
          <cell r="I1911">
            <v>1</v>
          </cell>
          <cell r="J1911">
            <v>12</v>
          </cell>
          <cell r="K1911">
            <v>1</v>
          </cell>
          <cell r="L1911">
            <v>65109.84</v>
          </cell>
        </row>
        <row r="1912">
          <cell r="A1912">
            <v>101242</v>
          </cell>
          <cell r="B1912">
            <v>23034</v>
          </cell>
          <cell r="C1912">
            <v>23034</v>
          </cell>
          <cell r="D1912" t="str">
            <v>adult</v>
          </cell>
          <cell r="E1912" t="str">
            <v>B</v>
          </cell>
          <cell r="F1912" t="str">
            <v>PSYCHIATRIC SOCIAL WORKER II</v>
          </cell>
          <cell r="G1912" t="str">
            <v>9035A</v>
          </cell>
          <cell r="H1912">
            <v>5425.82</v>
          </cell>
          <cell r="I1912">
            <v>1</v>
          </cell>
          <cell r="J1912">
            <v>12</v>
          </cell>
          <cell r="K1912">
            <v>1</v>
          </cell>
          <cell r="L1912">
            <v>65109.84</v>
          </cell>
        </row>
        <row r="1913">
          <cell r="A1913">
            <v>102850</v>
          </cell>
          <cell r="B1913">
            <v>20488</v>
          </cell>
          <cell r="C1913">
            <v>23034</v>
          </cell>
          <cell r="D1913" t="str">
            <v>adult</v>
          </cell>
          <cell r="E1913" t="str">
            <v>B</v>
          </cell>
          <cell r="F1913" t="str">
            <v>PSYCHIATRIC SOCIAL WORKER II</v>
          </cell>
          <cell r="G1913" t="str">
            <v>9035A</v>
          </cell>
          <cell r="H1913">
            <v>5425.82</v>
          </cell>
          <cell r="I1913">
            <v>1</v>
          </cell>
          <cell r="J1913">
            <v>12</v>
          </cell>
          <cell r="K1913">
            <v>1</v>
          </cell>
          <cell r="L1913">
            <v>65109.84</v>
          </cell>
        </row>
        <row r="1914">
          <cell r="A1914">
            <v>103082</v>
          </cell>
          <cell r="B1914">
            <v>23034</v>
          </cell>
          <cell r="C1914">
            <v>23034</v>
          </cell>
          <cell r="D1914" t="str">
            <v>adult</v>
          </cell>
          <cell r="E1914" t="str">
            <v>B</v>
          </cell>
          <cell r="F1914" t="str">
            <v>PSYCHIATRIC SOCIAL WORKER II</v>
          </cell>
          <cell r="G1914" t="str">
            <v>9035A</v>
          </cell>
          <cell r="H1914">
            <v>5425.82</v>
          </cell>
          <cell r="I1914">
            <v>1</v>
          </cell>
          <cell r="J1914">
            <v>12</v>
          </cell>
          <cell r="K1914">
            <v>1</v>
          </cell>
          <cell r="L1914">
            <v>65109.84</v>
          </cell>
        </row>
        <row r="1915">
          <cell r="A1915">
            <v>103523</v>
          </cell>
          <cell r="B1915">
            <v>23034</v>
          </cell>
          <cell r="C1915">
            <v>23034</v>
          </cell>
          <cell r="D1915" t="str">
            <v>adult</v>
          </cell>
          <cell r="E1915" t="str">
            <v>B</v>
          </cell>
          <cell r="F1915" t="str">
            <v>PSYCHIATRIC SOCIAL WORKER II</v>
          </cell>
          <cell r="G1915" t="str">
            <v>9035A</v>
          </cell>
          <cell r="H1915">
            <v>5425.82</v>
          </cell>
          <cell r="I1915">
            <v>1</v>
          </cell>
          <cell r="J1915">
            <v>12</v>
          </cell>
          <cell r="K1915">
            <v>1</v>
          </cell>
          <cell r="L1915">
            <v>65109.84</v>
          </cell>
        </row>
        <row r="1916">
          <cell r="A1916">
            <v>103762</v>
          </cell>
          <cell r="B1916">
            <v>20446</v>
          </cell>
          <cell r="C1916">
            <v>23034</v>
          </cell>
          <cell r="D1916" t="str">
            <v>adult</v>
          </cell>
          <cell r="E1916" t="str">
            <v>B</v>
          </cell>
          <cell r="F1916" t="str">
            <v>PSYCHIATRIC SOCIAL WORKER II</v>
          </cell>
          <cell r="G1916" t="str">
            <v>9035A</v>
          </cell>
          <cell r="H1916">
            <v>5425.82</v>
          </cell>
          <cell r="I1916">
            <v>1</v>
          </cell>
          <cell r="J1916">
            <v>12</v>
          </cell>
          <cell r="K1916">
            <v>1</v>
          </cell>
          <cell r="L1916">
            <v>65109.84</v>
          </cell>
        </row>
        <row r="1917">
          <cell r="A1917">
            <v>104127</v>
          </cell>
          <cell r="B1917">
            <v>23034</v>
          </cell>
          <cell r="C1917">
            <v>23034</v>
          </cell>
          <cell r="D1917" t="str">
            <v>adult</v>
          </cell>
          <cell r="E1917" t="str">
            <v>B</v>
          </cell>
          <cell r="F1917" t="str">
            <v>PSYCHIATRIC SOCIAL WORKER II</v>
          </cell>
          <cell r="G1917" t="str">
            <v>9035A</v>
          </cell>
          <cell r="H1917">
            <v>5425.82</v>
          </cell>
          <cell r="I1917">
            <v>1</v>
          </cell>
          <cell r="J1917">
            <v>12</v>
          </cell>
          <cell r="K1917">
            <v>1</v>
          </cell>
          <cell r="L1917">
            <v>65109.84</v>
          </cell>
        </row>
        <row r="1918">
          <cell r="A1918">
            <v>104130</v>
          </cell>
          <cell r="B1918">
            <v>23034</v>
          </cell>
          <cell r="C1918">
            <v>23034</v>
          </cell>
          <cell r="D1918" t="str">
            <v>adult</v>
          </cell>
          <cell r="E1918" t="str">
            <v>B</v>
          </cell>
          <cell r="F1918" t="str">
            <v>PSYCHIATRIC SOCIAL WORKER II</v>
          </cell>
          <cell r="G1918" t="str">
            <v>9035A</v>
          </cell>
          <cell r="H1918">
            <v>5425.82</v>
          </cell>
          <cell r="I1918">
            <v>1</v>
          </cell>
          <cell r="J1918">
            <v>12</v>
          </cell>
          <cell r="K1918">
            <v>1</v>
          </cell>
          <cell r="L1918">
            <v>65109.84</v>
          </cell>
        </row>
        <row r="1919">
          <cell r="A1919">
            <v>104167</v>
          </cell>
          <cell r="B1919">
            <v>23034</v>
          </cell>
          <cell r="C1919">
            <v>23034</v>
          </cell>
          <cell r="D1919" t="str">
            <v>adult</v>
          </cell>
          <cell r="E1919" t="str">
            <v>B</v>
          </cell>
          <cell r="F1919" t="str">
            <v>PSYCHIATRIC SOCIAL WORKER II</v>
          </cell>
          <cell r="G1919" t="str">
            <v>9035A</v>
          </cell>
          <cell r="H1919">
            <v>5425.82</v>
          </cell>
          <cell r="I1919">
            <v>1</v>
          </cell>
          <cell r="J1919">
            <v>12</v>
          </cell>
          <cell r="K1919">
            <v>1</v>
          </cell>
          <cell r="L1919">
            <v>65109.84</v>
          </cell>
        </row>
        <row r="1920">
          <cell r="A1920">
            <v>104943</v>
          </cell>
          <cell r="B1920">
            <v>23034</v>
          </cell>
          <cell r="C1920">
            <v>23034</v>
          </cell>
          <cell r="D1920" t="str">
            <v>adult</v>
          </cell>
          <cell r="E1920" t="str">
            <v>B</v>
          </cell>
          <cell r="F1920" t="str">
            <v>PSYCHIATRIC SOCIAL WORKER II</v>
          </cell>
          <cell r="G1920" t="str">
            <v>9035A</v>
          </cell>
          <cell r="H1920">
            <v>5425.82</v>
          </cell>
          <cell r="I1920">
            <v>1</v>
          </cell>
          <cell r="J1920">
            <v>12</v>
          </cell>
          <cell r="K1920">
            <v>1</v>
          </cell>
          <cell r="L1920">
            <v>65109.84</v>
          </cell>
        </row>
        <row r="1921">
          <cell r="A1921">
            <v>106264</v>
          </cell>
          <cell r="B1921">
            <v>23034</v>
          </cell>
          <cell r="C1921">
            <v>23034</v>
          </cell>
          <cell r="D1921" t="str">
            <v>adult</v>
          </cell>
          <cell r="E1921" t="str">
            <v>B</v>
          </cell>
          <cell r="F1921" t="str">
            <v>PSYCHIATRIC SOCIAL WORKER II</v>
          </cell>
          <cell r="G1921" t="str">
            <v>9035A</v>
          </cell>
          <cell r="H1921">
            <v>5425.82</v>
          </cell>
          <cell r="I1921">
            <v>1</v>
          </cell>
          <cell r="J1921">
            <v>12</v>
          </cell>
          <cell r="K1921">
            <v>1</v>
          </cell>
          <cell r="L1921">
            <v>65109.84</v>
          </cell>
        </row>
        <row r="1922">
          <cell r="A1922">
            <v>103804</v>
          </cell>
          <cell r="B1922">
            <v>20446</v>
          </cell>
          <cell r="C1922">
            <v>23034</v>
          </cell>
          <cell r="D1922" t="str">
            <v>adult</v>
          </cell>
          <cell r="E1922" t="str">
            <v>B</v>
          </cell>
          <cell r="F1922" t="str">
            <v>PSYCHIATRIC TECHNICIAN III</v>
          </cell>
          <cell r="G1922" t="str">
            <v>8163A</v>
          </cell>
          <cell r="H1922">
            <v>3705.73</v>
          </cell>
          <cell r="I1922">
            <v>1</v>
          </cell>
          <cell r="J1922">
            <v>12</v>
          </cell>
          <cell r="K1922">
            <v>1</v>
          </cell>
          <cell r="L1922">
            <v>44468.76</v>
          </cell>
        </row>
        <row r="1923">
          <cell r="A1923">
            <v>102201</v>
          </cell>
          <cell r="B1923">
            <v>23034</v>
          </cell>
          <cell r="C1923">
            <v>23034</v>
          </cell>
          <cell r="D1923" t="str">
            <v>adult</v>
          </cell>
          <cell r="E1923" t="str">
            <v>B</v>
          </cell>
          <cell r="F1923" t="str">
            <v>RECREATION THERAPIST II</v>
          </cell>
          <cell r="G1923" t="str">
            <v>5872A</v>
          </cell>
          <cell r="H1923">
            <v>4667.6400000000003</v>
          </cell>
          <cell r="I1923">
            <v>1</v>
          </cell>
          <cell r="J1923">
            <v>12</v>
          </cell>
          <cell r="K1923">
            <v>1</v>
          </cell>
          <cell r="L1923">
            <v>56011.68</v>
          </cell>
        </row>
        <row r="1924">
          <cell r="A1924">
            <v>102203</v>
          </cell>
          <cell r="B1924">
            <v>23034</v>
          </cell>
          <cell r="C1924">
            <v>23034</v>
          </cell>
          <cell r="D1924" t="str">
            <v>adult</v>
          </cell>
          <cell r="E1924" t="str">
            <v>B</v>
          </cell>
          <cell r="F1924" t="str">
            <v>SENIOR MENTAL HEALTH COUNSELOR, RN</v>
          </cell>
          <cell r="G1924" t="str">
            <v>5280A</v>
          </cell>
          <cell r="H1924">
            <v>6790.09</v>
          </cell>
          <cell r="I1924">
            <v>1</v>
          </cell>
          <cell r="J1924">
            <v>12</v>
          </cell>
          <cell r="K1924">
            <v>1</v>
          </cell>
          <cell r="L1924">
            <v>83105.40203389831</v>
          </cell>
        </row>
        <row r="1925">
          <cell r="A1925">
            <v>102595</v>
          </cell>
          <cell r="B1925">
            <v>23034</v>
          </cell>
          <cell r="C1925">
            <v>23034</v>
          </cell>
          <cell r="D1925" t="str">
            <v>adult</v>
          </cell>
          <cell r="E1925" t="str">
            <v>B</v>
          </cell>
          <cell r="F1925" t="str">
            <v xml:space="preserve">SENIOR TYPIST-CLERK                </v>
          </cell>
          <cell r="G1925" t="str">
            <v>2216A</v>
          </cell>
          <cell r="H1925">
            <v>3013.55</v>
          </cell>
          <cell r="I1925">
            <v>1</v>
          </cell>
          <cell r="J1925">
            <v>12</v>
          </cell>
          <cell r="K1925">
            <v>1</v>
          </cell>
          <cell r="L1925">
            <v>36162.6</v>
          </cell>
        </row>
        <row r="1926">
          <cell r="A1926">
            <v>104334</v>
          </cell>
          <cell r="B1926">
            <v>20570</v>
          </cell>
          <cell r="C1926">
            <v>23034</v>
          </cell>
          <cell r="D1926" t="str">
            <v>adult</v>
          </cell>
          <cell r="E1926" t="str">
            <v>B</v>
          </cell>
          <cell r="F1926" t="str">
            <v xml:space="preserve">STAFF ASSISTANT I                  </v>
          </cell>
          <cell r="G1926" t="str">
            <v>0907A</v>
          </cell>
          <cell r="H1926">
            <v>3453.18</v>
          </cell>
          <cell r="I1926">
            <v>1</v>
          </cell>
          <cell r="J1926">
            <v>12</v>
          </cell>
          <cell r="K1926">
            <v>1</v>
          </cell>
          <cell r="L1926">
            <v>41438.480000000003</v>
          </cell>
        </row>
        <row r="1927">
          <cell r="A1927">
            <v>104944</v>
          </cell>
          <cell r="B1927">
            <v>23034</v>
          </cell>
          <cell r="C1927">
            <v>23034</v>
          </cell>
          <cell r="D1927" t="str">
            <v>adult</v>
          </cell>
          <cell r="E1927" t="str">
            <v>B</v>
          </cell>
          <cell r="F1927" t="str">
            <v xml:space="preserve">SUPVG PSYCHIATRIC SOCIAL WORKER    </v>
          </cell>
          <cell r="G1927" t="str">
            <v>9038A</v>
          </cell>
          <cell r="H1927">
            <v>6062.45</v>
          </cell>
          <cell r="I1927">
            <v>1</v>
          </cell>
          <cell r="J1927">
            <v>12</v>
          </cell>
          <cell r="K1927">
            <v>1</v>
          </cell>
          <cell r="L1927">
            <v>72749.399999999994</v>
          </cell>
        </row>
        <row r="1928">
          <cell r="A1928">
            <v>101650</v>
          </cell>
          <cell r="B1928">
            <v>23007</v>
          </cell>
          <cell r="C1928">
            <v>23034</v>
          </cell>
          <cell r="D1928" t="str">
            <v>adult</v>
          </cell>
          <cell r="E1928" t="str">
            <v>B</v>
          </cell>
          <cell r="F1928" t="str">
            <v xml:space="preserve">TRANSCRIBER TYPIST                 </v>
          </cell>
          <cell r="G1928" t="str">
            <v>2201A</v>
          </cell>
          <cell r="H1928">
            <v>2906</v>
          </cell>
          <cell r="I1928">
            <v>1</v>
          </cell>
          <cell r="J1928">
            <v>12</v>
          </cell>
          <cell r="K1928">
            <v>1</v>
          </cell>
          <cell r="L1928">
            <v>34872</v>
          </cell>
        </row>
        <row r="1929">
          <cell r="A1929">
            <v>102204</v>
          </cell>
          <cell r="B1929">
            <v>23034</v>
          </cell>
          <cell r="C1929">
            <v>23034</v>
          </cell>
          <cell r="D1929" t="str">
            <v>adult</v>
          </cell>
          <cell r="E1929" t="str">
            <v>B</v>
          </cell>
          <cell r="F1929" t="str">
            <v xml:space="preserve">TRANSCRIBER TYPIST                 </v>
          </cell>
          <cell r="G1929" t="str">
            <v>2201A</v>
          </cell>
          <cell r="H1929">
            <v>2906</v>
          </cell>
          <cell r="I1929">
            <v>1</v>
          </cell>
          <cell r="J1929">
            <v>12</v>
          </cell>
          <cell r="K1929">
            <v>1</v>
          </cell>
          <cell r="L1929">
            <v>34872</v>
          </cell>
        </row>
        <row r="1930">
          <cell r="A1930">
            <v>104221</v>
          </cell>
          <cell r="B1930">
            <v>20464</v>
          </cell>
          <cell r="C1930">
            <v>20464</v>
          </cell>
          <cell r="D1930" t="str">
            <v>adult</v>
          </cell>
          <cell r="E1930" t="str">
            <v>B</v>
          </cell>
          <cell r="F1930" t="str">
            <v>CLINICAL PSYCHOLOGIST II</v>
          </cell>
          <cell r="G1930" t="str">
            <v>8697A</v>
          </cell>
          <cell r="H1930">
            <v>6993.82</v>
          </cell>
          <cell r="I1930">
            <v>1</v>
          </cell>
          <cell r="J1930">
            <v>12</v>
          </cell>
          <cell r="K1930">
            <v>1</v>
          </cell>
          <cell r="L1930">
            <v>83925.52</v>
          </cell>
        </row>
        <row r="1931">
          <cell r="A1931">
            <v>102754</v>
          </cell>
          <cell r="B1931">
            <v>20464</v>
          </cell>
          <cell r="C1931">
            <v>20464</v>
          </cell>
          <cell r="D1931" t="str">
            <v>adult</v>
          </cell>
          <cell r="E1931" t="str">
            <v>B</v>
          </cell>
          <cell r="F1931" t="str">
            <v>INTERMEDIATE TYPIST-CLERK</v>
          </cell>
          <cell r="G1931" t="str">
            <v>2214A</v>
          </cell>
          <cell r="H1931">
            <v>2675.27</v>
          </cell>
          <cell r="I1931">
            <v>1</v>
          </cell>
          <cell r="J1931">
            <v>12</v>
          </cell>
          <cell r="K1931">
            <v>1</v>
          </cell>
          <cell r="L1931">
            <v>32103.16</v>
          </cell>
        </row>
        <row r="1932">
          <cell r="A1932">
            <v>104223</v>
          </cell>
          <cell r="B1932">
            <v>20464</v>
          </cell>
          <cell r="C1932">
            <v>20464</v>
          </cell>
          <cell r="D1932" t="str">
            <v>adult</v>
          </cell>
          <cell r="E1932" t="str">
            <v>B</v>
          </cell>
          <cell r="F1932" t="str">
            <v>INTERMEDIATE TYPIST-CLERK</v>
          </cell>
          <cell r="G1932" t="str">
            <v>2214A</v>
          </cell>
          <cell r="H1932">
            <v>2675.27</v>
          </cell>
          <cell r="I1932">
            <v>1</v>
          </cell>
          <cell r="J1932">
            <v>12</v>
          </cell>
          <cell r="K1932">
            <v>1</v>
          </cell>
          <cell r="L1932">
            <v>32103.16</v>
          </cell>
        </row>
        <row r="1933">
          <cell r="A1933">
            <v>104737</v>
          </cell>
          <cell r="B1933">
            <v>20464</v>
          </cell>
          <cell r="C1933">
            <v>20464</v>
          </cell>
          <cell r="D1933" t="str">
            <v>adult</v>
          </cell>
          <cell r="E1933" t="str">
            <v>B</v>
          </cell>
          <cell r="F1933" t="str">
            <v>INTERMEDIATE TYPIST-CLERK</v>
          </cell>
          <cell r="G1933" t="str">
            <v>2214A</v>
          </cell>
          <cell r="H1933">
            <v>2675.27</v>
          </cell>
          <cell r="I1933">
            <v>1</v>
          </cell>
          <cell r="J1933">
            <v>12</v>
          </cell>
          <cell r="K1933">
            <v>1</v>
          </cell>
          <cell r="L1933">
            <v>32103.16</v>
          </cell>
        </row>
        <row r="1934">
          <cell r="A1934">
            <v>109723</v>
          </cell>
          <cell r="B1934">
            <v>20464</v>
          </cell>
          <cell r="C1934">
            <v>20464</v>
          </cell>
          <cell r="D1934" t="str">
            <v>adult</v>
          </cell>
          <cell r="E1934" t="str">
            <v>B</v>
          </cell>
          <cell r="F1934" t="str">
            <v>INTERMEDIATE TYPIST-CLERK</v>
          </cell>
          <cell r="G1934" t="str">
            <v>2214A</v>
          </cell>
          <cell r="H1934">
            <v>2675.27</v>
          </cell>
          <cell r="I1934">
            <v>1</v>
          </cell>
          <cell r="J1934">
            <v>12</v>
          </cell>
          <cell r="K1934">
            <v>1</v>
          </cell>
          <cell r="L1934">
            <v>32103.24</v>
          </cell>
        </row>
        <row r="1935">
          <cell r="A1935">
            <v>104331</v>
          </cell>
          <cell r="B1935">
            <v>20464</v>
          </cell>
          <cell r="C1935">
            <v>20464</v>
          </cell>
          <cell r="D1935" t="str">
            <v>adult</v>
          </cell>
          <cell r="E1935" t="str">
            <v>B</v>
          </cell>
          <cell r="F1935" t="str">
            <v>MEDICAL CASE WORKER II</v>
          </cell>
          <cell r="G1935" t="str">
            <v>9002A</v>
          </cell>
          <cell r="H1935">
            <v>3938.82</v>
          </cell>
          <cell r="I1935">
            <v>1</v>
          </cell>
          <cell r="J1935">
            <v>12</v>
          </cell>
          <cell r="K1935">
            <v>1</v>
          </cell>
          <cell r="L1935">
            <v>47265.68</v>
          </cell>
        </row>
        <row r="1936">
          <cell r="A1936">
            <v>104329</v>
          </cell>
          <cell r="B1936">
            <v>20464</v>
          </cell>
          <cell r="C1936">
            <v>20464</v>
          </cell>
          <cell r="D1936" t="str">
            <v>adult</v>
          </cell>
          <cell r="E1936" t="str">
            <v>B</v>
          </cell>
          <cell r="F1936" t="str">
            <v>MENTAL HEALTH CONSULTANT,MD(PER SESSION)</v>
          </cell>
          <cell r="G1936" t="str">
            <v>5467J</v>
          </cell>
          <cell r="H1936">
            <v>314</v>
          </cell>
          <cell r="I1936">
            <v>1</v>
          </cell>
          <cell r="J1936">
            <v>52</v>
          </cell>
          <cell r="K1936">
            <v>9.9616858237547887E-2</v>
          </cell>
          <cell r="L1936">
            <v>16328.04</v>
          </cell>
        </row>
        <row r="1937">
          <cell r="A1937">
            <v>104330</v>
          </cell>
          <cell r="B1937">
            <v>20464</v>
          </cell>
          <cell r="C1937">
            <v>20464</v>
          </cell>
          <cell r="D1937" t="str">
            <v>adult</v>
          </cell>
          <cell r="E1937" t="str">
            <v>B</v>
          </cell>
          <cell r="F1937" t="str">
            <v>MENTAL HEALTH CONSULTANT,MD(PER SESSION)</v>
          </cell>
          <cell r="G1937" t="str">
            <v>5467J</v>
          </cell>
          <cell r="H1937">
            <v>314</v>
          </cell>
          <cell r="I1937">
            <v>1</v>
          </cell>
          <cell r="J1937">
            <v>52</v>
          </cell>
          <cell r="K1937">
            <v>9.9616858237547887E-2</v>
          </cell>
          <cell r="L1937">
            <v>16328.04</v>
          </cell>
        </row>
        <row r="1938">
          <cell r="A1938">
            <v>102658</v>
          </cell>
          <cell r="B1938">
            <v>20464</v>
          </cell>
          <cell r="C1938">
            <v>20464</v>
          </cell>
          <cell r="D1938" t="str">
            <v>adult</v>
          </cell>
          <cell r="E1938" t="str">
            <v>B</v>
          </cell>
          <cell r="F1938" t="str">
            <v>MENTAL HEALTH COUNSELOR, RN</v>
          </cell>
          <cell r="G1938" t="str">
            <v>5278A</v>
          </cell>
          <cell r="H1938">
            <v>6275.27</v>
          </cell>
          <cell r="I1938">
            <v>1</v>
          </cell>
          <cell r="J1938">
            <v>12</v>
          </cell>
          <cell r="K1938">
            <v>1</v>
          </cell>
          <cell r="L1938">
            <v>76804.323333333334</v>
          </cell>
        </row>
        <row r="1939">
          <cell r="A1939">
            <v>102767</v>
          </cell>
          <cell r="B1939">
            <v>20464</v>
          </cell>
          <cell r="C1939">
            <v>20464</v>
          </cell>
          <cell r="D1939" t="str">
            <v>adult</v>
          </cell>
          <cell r="E1939" t="str">
            <v>B</v>
          </cell>
          <cell r="F1939" t="str">
            <v>MENTAL HEALTH COUNSELOR, RN</v>
          </cell>
          <cell r="G1939" t="str">
            <v>5278A</v>
          </cell>
          <cell r="H1939">
            <v>6275.27</v>
          </cell>
          <cell r="I1939">
            <v>1</v>
          </cell>
          <cell r="J1939">
            <v>12</v>
          </cell>
          <cell r="K1939">
            <v>1</v>
          </cell>
          <cell r="L1939">
            <v>76804.323333333334</v>
          </cell>
        </row>
        <row r="1940">
          <cell r="A1940">
            <v>104328</v>
          </cell>
          <cell r="B1940">
            <v>20464</v>
          </cell>
          <cell r="C1940">
            <v>20464</v>
          </cell>
          <cell r="D1940" t="str">
            <v>adult</v>
          </cell>
          <cell r="E1940" t="str">
            <v>B</v>
          </cell>
          <cell r="F1940" t="str">
            <v>MENTAL HEALTH COUNSELOR, RN</v>
          </cell>
          <cell r="G1940" t="str">
            <v>5278F</v>
          </cell>
          <cell r="H1940">
            <v>27.82</v>
          </cell>
          <cell r="I1940">
            <v>1</v>
          </cell>
          <cell r="J1940">
            <v>2088</v>
          </cell>
          <cell r="K1940">
            <v>1</v>
          </cell>
          <cell r="L1940">
            <v>58098.76</v>
          </cell>
        </row>
        <row r="1941">
          <cell r="A1941">
            <v>104422</v>
          </cell>
          <cell r="B1941">
            <v>23017</v>
          </cell>
          <cell r="C1941">
            <v>20464</v>
          </cell>
          <cell r="D1941" t="str">
            <v>adult</v>
          </cell>
          <cell r="E1941" t="str">
            <v>B</v>
          </cell>
          <cell r="F1941" t="str">
            <v>MENTAL HEALTH COUNSELOR, RN</v>
          </cell>
          <cell r="G1941" t="str">
            <v>5278A</v>
          </cell>
          <cell r="H1941">
            <v>6275.27</v>
          </cell>
          <cell r="I1941">
            <v>1</v>
          </cell>
          <cell r="J1941">
            <v>12</v>
          </cell>
          <cell r="K1941">
            <v>1</v>
          </cell>
          <cell r="L1941">
            <v>76804.323333333334</v>
          </cell>
        </row>
        <row r="1942">
          <cell r="A1942">
            <v>102763</v>
          </cell>
          <cell r="B1942">
            <v>20464</v>
          </cell>
          <cell r="C1942">
            <v>20464</v>
          </cell>
          <cell r="D1942" t="str">
            <v>adult</v>
          </cell>
          <cell r="E1942" t="str">
            <v>B</v>
          </cell>
          <cell r="F1942" t="str">
            <v>MENTAL HEALTH PSYCHIATRIST</v>
          </cell>
          <cell r="G1942" t="str">
            <v>4735A</v>
          </cell>
          <cell r="H1942">
            <v>12844</v>
          </cell>
          <cell r="I1942">
            <v>1</v>
          </cell>
          <cell r="J1942">
            <v>6</v>
          </cell>
          <cell r="K1942">
            <v>0.5</v>
          </cell>
          <cell r="L1942">
            <v>77064</v>
          </cell>
        </row>
        <row r="1943">
          <cell r="A1943">
            <v>104317</v>
          </cell>
          <cell r="B1943">
            <v>23007</v>
          </cell>
          <cell r="C1943">
            <v>20464</v>
          </cell>
          <cell r="D1943" t="str">
            <v>adult</v>
          </cell>
          <cell r="E1943" t="str">
            <v>B</v>
          </cell>
          <cell r="F1943" t="str">
            <v>MENTAL HEALTH PSYCHIATRIST</v>
          </cell>
          <cell r="G1943" t="str">
            <v>4735A</v>
          </cell>
          <cell r="H1943">
            <v>12844</v>
          </cell>
          <cell r="I1943">
            <v>1</v>
          </cell>
          <cell r="J1943">
            <v>12</v>
          </cell>
          <cell r="K1943">
            <v>1</v>
          </cell>
          <cell r="L1943">
            <v>154128</v>
          </cell>
        </row>
        <row r="1944">
          <cell r="A1944">
            <v>104427</v>
          </cell>
          <cell r="B1944">
            <v>20464</v>
          </cell>
          <cell r="C1944">
            <v>20464</v>
          </cell>
          <cell r="D1944" t="str">
            <v>adult</v>
          </cell>
          <cell r="E1944" t="str">
            <v>B</v>
          </cell>
          <cell r="F1944" t="str">
            <v>MENTAL HEALTH PSYCHIATRIST</v>
          </cell>
          <cell r="G1944" t="str">
            <v>4735A</v>
          </cell>
          <cell r="H1944">
            <v>12844</v>
          </cell>
          <cell r="I1944">
            <v>1</v>
          </cell>
          <cell r="J1944">
            <v>12</v>
          </cell>
          <cell r="K1944">
            <v>1</v>
          </cell>
          <cell r="L1944">
            <v>154128</v>
          </cell>
        </row>
        <row r="1945">
          <cell r="A1945">
            <v>104733</v>
          </cell>
          <cell r="B1945">
            <v>20464</v>
          </cell>
          <cell r="C1945">
            <v>20464</v>
          </cell>
          <cell r="D1945" t="str">
            <v>adult</v>
          </cell>
          <cell r="E1945" t="str">
            <v>B</v>
          </cell>
          <cell r="F1945" t="str">
            <v>MENTAL HEALTH PSYCHIATRIST</v>
          </cell>
          <cell r="G1945" t="str">
            <v>4735A</v>
          </cell>
          <cell r="H1945">
            <v>12844</v>
          </cell>
          <cell r="I1945">
            <v>1</v>
          </cell>
          <cell r="J1945">
            <v>12</v>
          </cell>
          <cell r="K1945">
            <v>1</v>
          </cell>
          <cell r="L1945">
            <v>154128</v>
          </cell>
        </row>
        <row r="1946">
          <cell r="A1946">
            <v>104332</v>
          </cell>
          <cell r="B1946">
            <v>20464</v>
          </cell>
          <cell r="C1946">
            <v>20464</v>
          </cell>
          <cell r="D1946" t="str">
            <v>adult</v>
          </cell>
          <cell r="E1946" t="str">
            <v>B</v>
          </cell>
          <cell r="F1946" t="str">
            <v>MENTAL HEALTH SERVICES COORD I</v>
          </cell>
          <cell r="G1946" t="str">
            <v>8148A</v>
          </cell>
          <cell r="H1946">
            <v>5126.91</v>
          </cell>
          <cell r="I1946">
            <v>1</v>
          </cell>
          <cell r="J1946">
            <v>12</v>
          </cell>
          <cell r="K1946">
            <v>1</v>
          </cell>
          <cell r="L1946">
            <v>61522.92</v>
          </cell>
        </row>
        <row r="1947">
          <cell r="A1947">
            <v>100870</v>
          </cell>
          <cell r="B1947">
            <v>20923</v>
          </cell>
          <cell r="C1947">
            <v>20464</v>
          </cell>
          <cell r="D1947" t="str">
            <v>adult</v>
          </cell>
          <cell r="E1947" t="str">
            <v>B</v>
          </cell>
          <cell r="F1947" t="str">
            <v>MENTAL HEALTH SERVICES COORD II</v>
          </cell>
          <cell r="G1947" t="str">
            <v>8149A</v>
          </cell>
          <cell r="H1947">
            <v>5152.3599999999997</v>
          </cell>
          <cell r="I1947">
            <v>1</v>
          </cell>
          <cell r="J1947">
            <v>12</v>
          </cell>
          <cell r="K1947">
            <v>1</v>
          </cell>
          <cell r="L1947">
            <v>61828.72</v>
          </cell>
        </row>
        <row r="1948">
          <cell r="A1948">
            <v>100878</v>
          </cell>
          <cell r="B1948">
            <v>20575</v>
          </cell>
          <cell r="C1948">
            <v>20464</v>
          </cell>
          <cell r="D1948" t="str">
            <v>adult</v>
          </cell>
          <cell r="E1948" t="str">
            <v>B</v>
          </cell>
          <cell r="F1948" t="str">
            <v>MENTAL HEALTH SERVICES COORD II</v>
          </cell>
          <cell r="G1948" t="str">
            <v>8149A</v>
          </cell>
          <cell r="H1948">
            <v>5152.3599999999997</v>
          </cell>
          <cell r="I1948">
            <v>1</v>
          </cell>
          <cell r="J1948">
            <v>12</v>
          </cell>
          <cell r="K1948">
            <v>1</v>
          </cell>
          <cell r="L1948">
            <v>61828.72</v>
          </cell>
        </row>
        <row r="1949">
          <cell r="A1949">
            <v>102825</v>
          </cell>
          <cell r="B1949">
            <v>20464</v>
          </cell>
          <cell r="C1949">
            <v>20464</v>
          </cell>
          <cell r="D1949" t="str">
            <v>adult</v>
          </cell>
          <cell r="E1949" t="str">
            <v>B</v>
          </cell>
          <cell r="F1949" t="str">
            <v>MNTL HLTH CLINICAL PROGRAM HEAD</v>
          </cell>
          <cell r="G1949" t="str">
            <v>4726A</v>
          </cell>
          <cell r="H1949">
            <v>8709.73</v>
          </cell>
          <cell r="I1949">
            <v>1</v>
          </cell>
          <cell r="J1949">
            <v>12</v>
          </cell>
          <cell r="K1949">
            <v>1</v>
          </cell>
          <cell r="L1949">
            <v>104516.76</v>
          </cell>
        </row>
        <row r="1950">
          <cell r="A1950">
            <v>104015</v>
          </cell>
          <cell r="B1950">
            <v>20923</v>
          </cell>
          <cell r="C1950">
            <v>20464</v>
          </cell>
          <cell r="D1950" t="str">
            <v>adult</v>
          </cell>
          <cell r="E1950" t="str">
            <v>B</v>
          </cell>
          <cell r="F1950" t="str">
            <v xml:space="preserve">OCCUPATIONAL THERAPIST II          </v>
          </cell>
          <cell r="G1950" t="str">
            <v>5857A</v>
          </cell>
          <cell r="H1950">
            <v>6416.09</v>
          </cell>
          <cell r="I1950">
            <v>1</v>
          </cell>
          <cell r="J1950">
            <v>12</v>
          </cell>
          <cell r="K1950">
            <v>1</v>
          </cell>
          <cell r="L1950">
            <v>76993.16</v>
          </cell>
        </row>
        <row r="1951">
          <cell r="A1951">
            <v>102652</v>
          </cell>
          <cell r="B1951">
            <v>20464</v>
          </cell>
          <cell r="C1951">
            <v>20464</v>
          </cell>
          <cell r="D1951" t="str">
            <v>adult</v>
          </cell>
          <cell r="E1951" t="str">
            <v>B</v>
          </cell>
          <cell r="F1951" t="str">
            <v xml:space="preserve">PATIENT FINANCIAL SERVICES WORKER  </v>
          </cell>
          <cell r="G1951" t="str">
            <v>9193A</v>
          </cell>
          <cell r="H1951">
            <v>3403.55</v>
          </cell>
          <cell r="I1951">
            <v>1</v>
          </cell>
          <cell r="J1951">
            <v>12</v>
          </cell>
          <cell r="K1951">
            <v>1</v>
          </cell>
          <cell r="L1951">
            <v>40842.6</v>
          </cell>
        </row>
        <row r="1952">
          <cell r="A1952">
            <v>104327</v>
          </cell>
          <cell r="B1952">
            <v>20464</v>
          </cell>
          <cell r="C1952">
            <v>20464</v>
          </cell>
          <cell r="D1952" t="str">
            <v>adult</v>
          </cell>
          <cell r="E1952" t="str">
            <v>B</v>
          </cell>
          <cell r="F1952" t="str">
            <v xml:space="preserve">PATIENT FINANCIAL SERVICES WORKER  </v>
          </cell>
          <cell r="G1952" t="str">
            <v>9193A</v>
          </cell>
          <cell r="H1952">
            <v>3403.55</v>
          </cell>
          <cell r="I1952">
            <v>1</v>
          </cell>
          <cell r="J1952">
            <v>12</v>
          </cell>
          <cell r="K1952">
            <v>1</v>
          </cell>
          <cell r="L1952">
            <v>40842.6</v>
          </cell>
        </row>
        <row r="1953">
          <cell r="A1953">
            <v>103947</v>
          </cell>
          <cell r="B1953">
            <v>20465</v>
          </cell>
          <cell r="C1953">
            <v>20464</v>
          </cell>
          <cell r="D1953" t="str">
            <v>adult</v>
          </cell>
          <cell r="E1953" t="str">
            <v>B</v>
          </cell>
          <cell r="F1953" t="str">
            <v>PSYCHIATRIC SOCIAL WORKER II</v>
          </cell>
          <cell r="G1953" t="str">
            <v>9035A</v>
          </cell>
          <cell r="H1953">
            <v>5425.82</v>
          </cell>
          <cell r="I1953">
            <v>1</v>
          </cell>
          <cell r="J1953">
            <v>12</v>
          </cell>
          <cell r="K1953">
            <v>1</v>
          </cell>
          <cell r="L1953">
            <v>65109.84</v>
          </cell>
        </row>
        <row r="1954">
          <cell r="A1954">
            <v>104162</v>
          </cell>
          <cell r="B1954">
            <v>20464</v>
          </cell>
          <cell r="C1954">
            <v>20464</v>
          </cell>
          <cell r="D1954" t="str">
            <v>adult</v>
          </cell>
          <cell r="E1954" t="str">
            <v>B</v>
          </cell>
          <cell r="F1954" t="str">
            <v>PSYCHIATRIC SOCIAL WORKER II</v>
          </cell>
          <cell r="G1954" t="str">
            <v>9035A</v>
          </cell>
          <cell r="H1954">
            <v>5425.82</v>
          </cell>
          <cell r="I1954">
            <v>1</v>
          </cell>
          <cell r="J1954">
            <v>12</v>
          </cell>
          <cell r="K1954">
            <v>1</v>
          </cell>
          <cell r="L1954">
            <v>65109.84</v>
          </cell>
        </row>
        <row r="1955">
          <cell r="A1955">
            <v>104195</v>
          </cell>
          <cell r="B1955">
            <v>20464</v>
          </cell>
          <cell r="C1955">
            <v>20464</v>
          </cell>
          <cell r="D1955" t="str">
            <v>adult</v>
          </cell>
          <cell r="E1955" t="str">
            <v>B</v>
          </cell>
          <cell r="F1955" t="str">
            <v>PSYCHIATRIC SOCIAL WORKER II</v>
          </cell>
          <cell r="G1955" t="str">
            <v>9035A</v>
          </cell>
          <cell r="H1955">
            <v>5425.82</v>
          </cell>
          <cell r="I1955">
            <v>1</v>
          </cell>
          <cell r="J1955">
            <v>12</v>
          </cell>
          <cell r="K1955">
            <v>1</v>
          </cell>
          <cell r="L1955">
            <v>65109.84</v>
          </cell>
        </row>
        <row r="1956">
          <cell r="A1956">
            <v>104326</v>
          </cell>
          <cell r="B1956">
            <v>20464</v>
          </cell>
          <cell r="C1956">
            <v>20464</v>
          </cell>
          <cell r="D1956" t="str">
            <v>adult</v>
          </cell>
          <cell r="E1956" t="str">
            <v>B</v>
          </cell>
          <cell r="F1956" t="str">
            <v>PSYCHIATRIC SOCIAL WORKER II</v>
          </cell>
          <cell r="G1956" t="str">
            <v>9035A</v>
          </cell>
          <cell r="H1956">
            <v>5425.82</v>
          </cell>
          <cell r="I1956">
            <v>1</v>
          </cell>
          <cell r="J1956">
            <v>12</v>
          </cell>
          <cell r="K1956">
            <v>1</v>
          </cell>
          <cell r="L1956">
            <v>65109.84</v>
          </cell>
        </row>
        <row r="1957">
          <cell r="A1957">
            <v>104735</v>
          </cell>
          <cell r="B1957">
            <v>20464</v>
          </cell>
          <cell r="C1957">
            <v>20464</v>
          </cell>
          <cell r="D1957" t="str">
            <v>adult</v>
          </cell>
          <cell r="E1957" t="str">
            <v>B</v>
          </cell>
          <cell r="F1957" t="str">
            <v>PSYCHIATRIC SOCIAL WORKER II</v>
          </cell>
          <cell r="G1957" t="str">
            <v>9035A</v>
          </cell>
          <cell r="H1957">
            <v>5425.82</v>
          </cell>
          <cell r="I1957">
            <v>1</v>
          </cell>
          <cell r="J1957">
            <v>12</v>
          </cell>
          <cell r="K1957">
            <v>1</v>
          </cell>
          <cell r="L1957">
            <v>65109.84</v>
          </cell>
        </row>
        <row r="1958">
          <cell r="A1958">
            <v>101320</v>
          </cell>
          <cell r="B1958">
            <v>20465</v>
          </cell>
          <cell r="C1958">
            <v>20464</v>
          </cell>
          <cell r="D1958" t="str">
            <v>adult</v>
          </cell>
          <cell r="E1958" t="str">
            <v>B</v>
          </cell>
          <cell r="F1958" t="str">
            <v>PSYCHIATRIC TECHNICIAN II</v>
          </cell>
          <cell r="G1958" t="str">
            <v>8162A</v>
          </cell>
          <cell r="H1958">
            <v>3420.09</v>
          </cell>
          <cell r="I1958">
            <v>1</v>
          </cell>
          <cell r="J1958">
            <v>12</v>
          </cell>
          <cell r="K1958">
            <v>1</v>
          </cell>
          <cell r="L1958">
            <v>41041.08</v>
          </cell>
        </row>
        <row r="1959">
          <cell r="A1959">
            <v>104736</v>
          </cell>
          <cell r="B1959">
            <v>20464</v>
          </cell>
          <cell r="C1959">
            <v>20464</v>
          </cell>
          <cell r="D1959" t="str">
            <v>adult</v>
          </cell>
          <cell r="E1959" t="str">
            <v>B</v>
          </cell>
          <cell r="F1959" t="str">
            <v xml:space="preserve">SECRETARY III                      </v>
          </cell>
          <cell r="G1959" t="str">
            <v>2096A</v>
          </cell>
          <cell r="H1959">
            <v>3387</v>
          </cell>
          <cell r="I1959">
            <v>1</v>
          </cell>
          <cell r="J1959">
            <v>12</v>
          </cell>
          <cell r="K1959">
            <v>1</v>
          </cell>
          <cell r="L1959">
            <v>40643.839999999997</v>
          </cell>
        </row>
        <row r="1960">
          <cell r="A1960">
            <v>102762</v>
          </cell>
          <cell r="B1960">
            <v>20464</v>
          </cell>
          <cell r="C1960">
            <v>20464</v>
          </cell>
          <cell r="D1960" t="str">
            <v>adult</v>
          </cell>
          <cell r="E1960" t="str">
            <v>B</v>
          </cell>
          <cell r="F1960" t="str">
            <v>SENIOR MENTAL HEALTH COUNSELOR, RN</v>
          </cell>
          <cell r="G1960" t="str">
            <v>5280A</v>
          </cell>
          <cell r="H1960">
            <v>6790.09</v>
          </cell>
          <cell r="I1960">
            <v>1</v>
          </cell>
          <cell r="J1960">
            <v>12</v>
          </cell>
          <cell r="K1960">
            <v>1</v>
          </cell>
          <cell r="L1960">
            <v>83105.40203389831</v>
          </cell>
        </row>
        <row r="1961">
          <cell r="A1961">
            <v>104738</v>
          </cell>
          <cell r="B1961">
            <v>20464</v>
          </cell>
          <cell r="C1961">
            <v>20464</v>
          </cell>
          <cell r="D1961" t="str">
            <v>adult</v>
          </cell>
          <cell r="E1961" t="str">
            <v>B</v>
          </cell>
          <cell r="F1961" t="str">
            <v xml:space="preserve">STAFF ASSISTANT I                  </v>
          </cell>
          <cell r="G1961" t="str">
            <v>0907A</v>
          </cell>
          <cell r="H1961">
            <v>3453.18</v>
          </cell>
          <cell r="I1961">
            <v>1</v>
          </cell>
          <cell r="J1961">
            <v>12</v>
          </cell>
          <cell r="K1961">
            <v>1</v>
          </cell>
          <cell r="L1961">
            <v>41438.480000000003</v>
          </cell>
        </row>
        <row r="1962">
          <cell r="A1962">
            <v>103145</v>
          </cell>
          <cell r="B1962">
            <v>20673</v>
          </cell>
          <cell r="C1962">
            <v>20464</v>
          </cell>
          <cell r="D1962" t="str">
            <v>adult</v>
          </cell>
          <cell r="E1962" t="str">
            <v>B</v>
          </cell>
          <cell r="F1962" t="str">
            <v xml:space="preserve">STUDENT PROFESSIONAL WORKER        </v>
          </cell>
          <cell r="G1962" t="str">
            <v>8243F</v>
          </cell>
          <cell r="H1962">
            <v>10.3</v>
          </cell>
          <cell r="I1962">
            <v>1</v>
          </cell>
          <cell r="J1962">
            <v>492</v>
          </cell>
          <cell r="K1962">
            <v>0</v>
          </cell>
          <cell r="L1962">
            <v>5068</v>
          </cell>
        </row>
        <row r="1963">
          <cell r="A1963">
            <v>107820</v>
          </cell>
          <cell r="B1963">
            <v>20464</v>
          </cell>
          <cell r="C1963">
            <v>20464</v>
          </cell>
          <cell r="D1963" t="str">
            <v>adult</v>
          </cell>
          <cell r="E1963" t="str">
            <v>B</v>
          </cell>
          <cell r="F1963" t="str">
            <v xml:space="preserve">SUPVG PSYCHIATRIC SOCIAL WORKER    </v>
          </cell>
          <cell r="G1963" t="str">
            <v>9038A</v>
          </cell>
          <cell r="H1963">
            <v>6062.45</v>
          </cell>
          <cell r="I1963">
            <v>1</v>
          </cell>
          <cell r="J1963">
            <v>12</v>
          </cell>
          <cell r="K1963">
            <v>1</v>
          </cell>
          <cell r="L1963">
            <v>72749.399999999994</v>
          </cell>
        </row>
        <row r="1964">
          <cell r="A1964">
            <v>102839</v>
          </cell>
          <cell r="B1964">
            <v>23010</v>
          </cell>
          <cell r="C1964">
            <v>23010</v>
          </cell>
          <cell r="D1964" t="str">
            <v>adult</v>
          </cell>
          <cell r="E1964" t="str">
            <v>B</v>
          </cell>
          <cell r="F1964" t="str">
            <v>CLINICAL PSYCHOLOGIST II</v>
          </cell>
          <cell r="G1964" t="str">
            <v>8697A</v>
          </cell>
          <cell r="H1964">
            <v>6993.82</v>
          </cell>
          <cell r="I1964">
            <v>1</v>
          </cell>
          <cell r="J1964">
            <v>6</v>
          </cell>
          <cell r="K1964">
            <v>0.5</v>
          </cell>
          <cell r="L1964">
            <v>41962.76</v>
          </cell>
        </row>
        <row r="1965">
          <cell r="A1965">
            <v>102664</v>
          </cell>
          <cell r="B1965">
            <v>23010</v>
          </cell>
          <cell r="C1965">
            <v>23010</v>
          </cell>
          <cell r="D1965" t="str">
            <v>adult</v>
          </cell>
          <cell r="E1965" t="str">
            <v>B</v>
          </cell>
          <cell r="F1965" t="str">
            <v>INTERMEDIATE TYPIST-CLERK</v>
          </cell>
          <cell r="G1965" t="str">
            <v>2214A</v>
          </cell>
          <cell r="H1965">
            <v>2675.27</v>
          </cell>
          <cell r="I1965">
            <v>1</v>
          </cell>
          <cell r="J1965">
            <v>12</v>
          </cell>
          <cell r="K1965">
            <v>1</v>
          </cell>
          <cell r="L1965">
            <v>32103.16</v>
          </cell>
        </row>
        <row r="1966">
          <cell r="A1966">
            <v>104700</v>
          </cell>
          <cell r="B1966">
            <v>23010</v>
          </cell>
          <cell r="C1966">
            <v>23010</v>
          </cell>
          <cell r="D1966" t="str">
            <v>adult</v>
          </cell>
          <cell r="E1966" t="str">
            <v>B</v>
          </cell>
          <cell r="F1966" t="str">
            <v>INTERMEDIATE TYPIST-CLERK</v>
          </cell>
          <cell r="G1966" t="str">
            <v>2214A</v>
          </cell>
          <cell r="H1966">
            <v>2675.27</v>
          </cell>
          <cell r="I1966">
            <v>1</v>
          </cell>
          <cell r="J1966">
            <v>12</v>
          </cell>
          <cell r="K1966">
            <v>1</v>
          </cell>
          <cell r="L1966">
            <v>32103.16</v>
          </cell>
        </row>
        <row r="1967">
          <cell r="A1967">
            <v>109333</v>
          </cell>
          <cell r="B1967">
            <v>20658</v>
          </cell>
          <cell r="C1967">
            <v>23010</v>
          </cell>
          <cell r="D1967" t="str">
            <v>adult</v>
          </cell>
          <cell r="E1967" t="str">
            <v>B</v>
          </cell>
          <cell r="F1967" t="str">
            <v>INTERMEDIATE TYPIST-CLERK</v>
          </cell>
          <cell r="G1967" t="str">
            <v>2214A</v>
          </cell>
          <cell r="H1967">
            <v>2675.27</v>
          </cell>
          <cell r="I1967">
            <v>1</v>
          </cell>
          <cell r="J1967">
            <v>12</v>
          </cell>
          <cell r="K1967">
            <v>1</v>
          </cell>
          <cell r="L1967">
            <v>32103.16</v>
          </cell>
        </row>
        <row r="1968">
          <cell r="A1968">
            <v>109693</v>
          </cell>
          <cell r="B1968">
            <v>23010</v>
          </cell>
          <cell r="C1968">
            <v>23010</v>
          </cell>
          <cell r="D1968" t="str">
            <v>adult</v>
          </cell>
          <cell r="E1968" t="str">
            <v>B</v>
          </cell>
          <cell r="F1968" t="str">
            <v>INTERMEDIATE TYPIST-CLERK</v>
          </cell>
          <cell r="G1968" t="str">
            <v>2214A</v>
          </cell>
          <cell r="H1968">
            <v>2675.27</v>
          </cell>
          <cell r="I1968">
            <v>1</v>
          </cell>
          <cell r="J1968">
            <v>12</v>
          </cell>
          <cell r="K1968">
            <v>1</v>
          </cell>
          <cell r="L1968">
            <v>32103.24</v>
          </cell>
        </row>
        <row r="1969">
          <cell r="A1969">
            <v>109694</v>
          </cell>
          <cell r="B1969">
            <v>23010</v>
          </cell>
          <cell r="C1969">
            <v>23010</v>
          </cell>
          <cell r="D1969" t="str">
            <v>adult</v>
          </cell>
          <cell r="E1969" t="str">
            <v>B</v>
          </cell>
          <cell r="F1969" t="str">
            <v>INTERMEDIATE TYPIST-CLERK</v>
          </cell>
          <cell r="G1969" t="str">
            <v>2214A</v>
          </cell>
          <cell r="H1969">
            <v>2675.27</v>
          </cell>
          <cell r="I1969">
            <v>1</v>
          </cell>
          <cell r="J1969">
            <v>12</v>
          </cell>
          <cell r="K1969">
            <v>1</v>
          </cell>
          <cell r="L1969">
            <v>32103.24</v>
          </cell>
        </row>
        <row r="1970">
          <cell r="A1970">
            <v>109695</v>
          </cell>
          <cell r="B1970">
            <v>23010</v>
          </cell>
          <cell r="C1970">
            <v>23010</v>
          </cell>
          <cell r="D1970" t="str">
            <v>adult</v>
          </cell>
          <cell r="E1970" t="str">
            <v>B</v>
          </cell>
          <cell r="F1970" t="str">
            <v>INTERMEDIATE TYPIST-CLERK</v>
          </cell>
          <cell r="G1970" t="str">
            <v>2214A</v>
          </cell>
          <cell r="H1970">
            <v>2675.27</v>
          </cell>
          <cell r="I1970">
            <v>1</v>
          </cell>
          <cell r="J1970">
            <v>12</v>
          </cell>
          <cell r="K1970">
            <v>1</v>
          </cell>
          <cell r="L1970">
            <v>32103.24</v>
          </cell>
        </row>
        <row r="1971">
          <cell r="A1971">
            <v>102456</v>
          </cell>
          <cell r="B1971">
            <v>23010</v>
          </cell>
          <cell r="C1971">
            <v>23010</v>
          </cell>
          <cell r="D1971" t="str">
            <v>adult</v>
          </cell>
          <cell r="E1971" t="str">
            <v>B</v>
          </cell>
          <cell r="F1971" t="str">
            <v>MEDICAL CASE WORKER II</v>
          </cell>
          <cell r="G1971" t="str">
            <v>9002A</v>
          </cell>
          <cell r="H1971">
            <v>3938.82</v>
          </cell>
          <cell r="I1971">
            <v>1</v>
          </cell>
          <cell r="J1971">
            <v>12</v>
          </cell>
          <cell r="K1971">
            <v>1</v>
          </cell>
          <cell r="L1971">
            <v>47265.68</v>
          </cell>
        </row>
        <row r="1972">
          <cell r="A1972">
            <v>106111</v>
          </cell>
          <cell r="B1972">
            <v>18676</v>
          </cell>
          <cell r="C1972">
            <v>23010</v>
          </cell>
          <cell r="D1972" t="str">
            <v>adult</v>
          </cell>
          <cell r="E1972" t="str">
            <v>B</v>
          </cell>
          <cell r="F1972" t="str">
            <v>MEDICAL CASE WORKER II</v>
          </cell>
          <cell r="G1972" t="str">
            <v>9002A</v>
          </cell>
          <cell r="H1972">
            <v>3938.82</v>
          </cell>
          <cell r="I1972">
            <v>1</v>
          </cell>
          <cell r="J1972">
            <v>12</v>
          </cell>
          <cell r="K1972">
            <v>1</v>
          </cell>
          <cell r="L1972">
            <v>47265.68</v>
          </cell>
        </row>
        <row r="1973">
          <cell r="A1973">
            <v>101954</v>
          </cell>
          <cell r="B1973">
            <v>23010</v>
          </cell>
          <cell r="C1973">
            <v>23010</v>
          </cell>
          <cell r="D1973" t="str">
            <v>adult</v>
          </cell>
          <cell r="E1973" t="str">
            <v>B</v>
          </cell>
          <cell r="F1973" t="str">
            <v>MENTAL HEALTH COUNSELOR, RN</v>
          </cell>
          <cell r="G1973" t="str">
            <v>5278A</v>
          </cell>
          <cell r="H1973">
            <v>6275.27</v>
          </cell>
          <cell r="I1973">
            <v>1</v>
          </cell>
          <cell r="J1973">
            <v>12</v>
          </cell>
          <cell r="K1973">
            <v>1</v>
          </cell>
          <cell r="L1973">
            <v>76804.323333333334</v>
          </cell>
        </row>
        <row r="1974">
          <cell r="A1974">
            <v>103946</v>
          </cell>
          <cell r="B1974">
            <v>20465</v>
          </cell>
          <cell r="C1974">
            <v>23010</v>
          </cell>
          <cell r="D1974" t="str">
            <v>adult</v>
          </cell>
          <cell r="E1974" t="str">
            <v>B</v>
          </cell>
          <cell r="F1974" t="str">
            <v>MENTAL HEALTH COUNSELOR, RN</v>
          </cell>
          <cell r="G1974" t="str">
            <v>5278A</v>
          </cell>
          <cell r="H1974">
            <v>6275.27</v>
          </cell>
          <cell r="I1974">
            <v>1</v>
          </cell>
          <cell r="J1974">
            <v>12</v>
          </cell>
          <cell r="K1974">
            <v>1</v>
          </cell>
          <cell r="L1974">
            <v>76804.323333333334</v>
          </cell>
        </row>
        <row r="1975">
          <cell r="A1975">
            <v>103631</v>
          </cell>
          <cell r="B1975">
            <v>23010</v>
          </cell>
          <cell r="C1975">
            <v>23010</v>
          </cell>
          <cell r="D1975" t="str">
            <v>adult</v>
          </cell>
          <cell r="E1975" t="str">
            <v>B</v>
          </cell>
          <cell r="F1975" t="str">
            <v>MENTAL HEALTH PSYCHIATRIST</v>
          </cell>
          <cell r="G1975" t="str">
            <v>4735A</v>
          </cell>
          <cell r="H1975">
            <v>12844</v>
          </cell>
          <cell r="I1975">
            <v>1</v>
          </cell>
          <cell r="J1975">
            <v>12</v>
          </cell>
          <cell r="K1975">
            <v>1</v>
          </cell>
          <cell r="L1975">
            <v>154128</v>
          </cell>
        </row>
        <row r="1976">
          <cell r="A1976">
            <v>104697</v>
          </cell>
          <cell r="B1976">
            <v>23010</v>
          </cell>
          <cell r="C1976">
            <v>23010</v>
          </cell>
          <cell r="D1976" t="str">
            <v>adult</v>
          </cell>
          <cell r="E1976" t="str">
            <v>B</v>
          </cell>
          <cell r="F1976" t="str">
            <v>MENTAL HEALTH PSYCHIATRIST</v>
          </cell>
          <cell r="G1976" t="str">
            <v>4735A</v>
          </cell>
          <cell r="H1976">
            <v>12844</v>
          </cell>
          <cell r="I1976">
            <v>1</v>
          </cell>
          <cell r="J1976">
            <v>3</v>
          </cell>
          <cell r="K1976">
            <v>0.25</v>
          </cell>
          <cell r="L1976">
            <v>38532</v>
          </cell>
        </row>
        <row r="1977">
          <cell r="A1977">
            <v>104956</v>
          </cell>
          <cell r="B1977">
            <v>23010</v>
          </cell>
          <cell r="C1977">
            <v>23010</v>
          </cell>
          <cell r="D1977" t="str">
            <v>adult</v>
          </cell>
          <cell r="E1977" t="str">
            <v>B</v>
          </cell>
          <cell r="F1977" t="str">
            <v>MENTAL HEALTH PSYCHIATRIST</v>
          </cell>
          <cell r="G1977" t="str">
            <v>4735A</v>
          </cell>
          <cell r="H1977">
            <v>12844</v>
          </cell>
          <cell r="I1977">
            <v>1</v>
          </cell>
          <cell r="J1977">
            <v>12</v>
          </cell>
          <cell r="K1977">
            <v>1</v>
          </cell>
          <cell r="L1977">
            <v>154128</v>
          </cell>
        </row>
        <row r="1978">
          <cell r="A1978">
            <v>106161</v>
          </cell>
          <cell r="B1978">
            <v>18676</v>
          </cell>
          <cell r="C1978">
            <v>23010</v>
          </cell>
          <cell r="D1978" t="str">
            <v>adult</v>
          </cell>
          <cell r="E1978" t="str">
            <v>B</v>
          </cell>
          <cell r="F1978" t="str">
            <v>MENTAL HEALTH SERVICES COORD I</v>
          </cell>
          <cell r="G1978" t="str">
            <v>8148A</v>
          </cell>
          <cell r="H1978">
            <v>5126.91</v>
          </cell>
          <cell r="I1978">
            <v>1</v>
          </cell>
          <cell r="J1978">
            <v>12</v>
          </cell>
          <cell r="K1978">
            <v>1</v>
          </cell>
          <cell r="L1978">
            <v>61522.92</v>
          </cell>
        </row>
        <row r="1979">
          <cell r="A1979">
            <v>102722</v>
          </cell>
          <cell r="B1979">
            <v>23010</v>
          </cell>
          <cell r="C1979">
            <v>23010</v>
          </cell>
          <cell r="D1979" t="str">
            <v>adult</v>
          </cell>
          <cell r="E1979" t="str">
            <v>B</v>
          </cell>
          <cell r="F1979" t="str">
            <v>MENTAL HLTH CLINICAL DIST CHIEF</v>
          </cell>
          <cell r="G1979" t="str">
            <v>4722A</v>
          </cell>
          <cell r="H1979">
            <v>10074</v>
          </cell>
          <cell r="I1979">
            <v>1</v>
          </cell>
          <cell r="J1979">
            <v>12</v>
          </cell>
          <cell r="K1979">
            <v>1</v>
          </cell>
          <cell r="L1979">
            <v>120887.6</v>
          </cell>
        </row>
        <row r="1980">
          <cell r="A1980">
            <v>104698</v>
          </cell>
          <cell r="B1980">
            <v>23010</v>
          </cell>
          <cell r="C1980">
            <v>23010</v>
          </cell>
          <cell r="D1980" t="str">
            <v>adult</v>
          </cell>
          <cell r="E1980" t="str">
            <v>B</v>
          </cell>
          <cell r="F1980" t="str">
            <v xml:space="preserve">PATIENT FINANCIAL SERVICES WORKER  </v>
          </cell>
          <cell r="G1980" t="str">
            <v>9193A</v>
          </cell>
          <cell r="H1980">
            <v>3403.55</v>
          </cell>
          <cell r="I1980">
            <v>1</v>
          </cell>
          <cell r="J1980">
            <v>12</v>
          </cell>
          <cell r="K1980">
            <v>1</v>
          </cell>
          <cell r="L1980">
            <v>40842.6</v>
          </cell>
        </row>
        <row r="1981">
          <cell r="A1981">
            <v>109761</v>
          </cell>
          <cell r="B1981">
            <v>23010</v>
          </cell>
          <cell r="C1981">
            <v>23010</v>
          </cell>
          <cell r="D1981" t="str">
            <v>adult</v>
          </cell>
          <cell r="E1981" t="str">
            <v>B</v>
          </cell>
          <cell r="F1981" t="str">
            <v>PATIENT RESOURCES WORKER</v>
          </cell>
          <cell r="G1981" t="str">
            <v>9192A</v>
          </cell>
          <cell r="H1981">
            <v>2748.27</v>
          </cell>
          <cell r="I1981">
            <v>1</v>
          </cell>
          <cell r="J1981">
            <v>12</v>
          </cell>
          <cell r="K1981">
            <v>1</v>
          </cell>
          <cell r="L1981">
            <v>32979.24</v>
          </cell>
        </row>
        <row r="1982">
          <cell r="A1982">
            <v>109762</v>
          </cell>
          <cell r="B1982">
            <v>23010</v>
          </cell>
          <cell r="C1982">
            <v>23010</v>
          </cell>
          <cell r="D1982" t="str">
            <v>adult</v>
          </cell>
          <cell r="E1982" t="str">
            <v>B</v>
          </cell>
          <cell r="F1982" t="str">
            <v>PATIENT RESOURCES WORKER</v>
          </cell>
          <cell r="G1982" t="str">
            <v>9192A</v>
          </cell>
          <cell r="H1982">
            <v>2748.27</v>
          </cell>
          <cell r="I1982">
            <v>1</v>
          </cell>
          <cell r="J1982">
            <v>12</v>
          </cell>
          <cell r="K1982">
            <v>1</v>
          </cell>
          <cell r="L1982">
            <v>32979.24</v>
          </cell>
        </row>
        <row r="1983">
          <cell r="A1983">
            <v>101101</v>
          </cell>
          <cell r="B1983">
            <v>20575</v>
          </cell>
          <cell r="C1983">
            <v>23010</v>
          </cell>
          <cell r="D1983" t="str">
            <v>adult</v>
          </cell>
          <cell r="E1983" t="str">
            <v>B</v>
          </cell>
          <cell r="F1983" t="str">
            <v>PSYCHIATRIC SOCIAL WORKER II</v>
          </cell>
          <cell r="G1983" t="str">
            <v>9035A</v>
          </cell>
          <cell r="H1983">
            <v>5425.82</v>
          </cell>
          <cell r="I1983">
            <v>1</v>
          </cell>
          <cell r="J1983">
            <v>12</v>
          </cell>
          <cell r="K1983">
            <v>1</v>
          </cell>
          <cell r="L1983">
            <v>65109.84</v>
          </cell>
        </row>
        <row r="1984">
          <cell r="A1984">
            <v>101224</v>
          </cell>
          <cell r="B1984">
            <v>23010</v>
          </cell>
          <cell r="C1984">
            <v>23010</v>
          </cell>
          <cell r="D1984" t="str">
            <v>adult</v>
          </cell>
          <cell r="E1984" t="str">
            <v>B</v>
          </cell>
          <cell r="F1984" t="str">
            <v>PSYCHIATRIC SOCIAL WORKER II</v>
          </cell>
          <cell r="G1984" t="str">
            <v>9035A</v>
          </cell>
          <cell r="H1984">
            <v>5425.82</v>
          </cell>
          <cell r="I1984">
            <v>1</v>
          </cell>
          <cell r="J1984">
            <v>12</v>
          </cell>
          <cell r="K1984">
            <v>1</v>
          </cell>
          <cell r="L1984">
            <v>65109.84</v>
          </cell>
        </row>
        <row r="1985">
          <cell r="A1985">
            <v>101225</v>
          </cell>
          <cell r="B1985">
            <v>23010</v>
          </cell>
          <cell r="C1985">
            <v>23010</v>
          </cell>
          <cell r="D1985" t="str">
            <v>adult</v>
          </cell>
          <cell r="E1985" t="str">
            <v>B</v>
          </cell>
          <cell r="F1985" t="str">
            <v>PSYCHIATRIC SOCIAL WORKER II</v>
          </cell>
          <cell r="G1985" t="str">
            <v>9035A</v>
          </cell>
          <cell r="H1985">
            <v>5425.82</v>
          </cell>
          <cell r="I1985">
            <v>1</v>
          </cell>
          <cell r="J1985">
            <v>12</v>
          </cell>
          <cell r="K1985">
            <v>1</v>
          </cell>
          <cell r="L1985">
            <v>65109.84</v>
          </cell>
        </row>
        <row r="1986">
          <cell r="A1986">
            <v>103317</v>
          </cell>
          <cell r="B1986">
            <v>20575</v>
          </cell>
          <cell r="C1986">
            <v>23010</v>
          </cell>
          <cell r="D1986" t="str">
            <v>adult</v>
          </cell>
          <cell r="E1986" t="str">
            <v>B</v>
          </cell>
          <cell r="F1986" t="str">
            <v>PSYCHIATRIC SOCIAL WORKER II</v>
          </cell>
          <cell r="G1986" t="str">
            <v>9035A</v>
          </cell>
          <cell r="H1986">
            <v>5425.82</v>
          </cell>
          <cell r="I1986">
            <v>1</v>
          </cell>
          <cell r="J1986">
            <v>12</v>
          </cell>
          <cell r="K1986">
            <v>1</v>
          </cell>
          <cell r="L1986">
            <v>65109.84</v>
          </cell>
        </row>
        <row r="1987">
          <cell r="A1987">
            <v>103528</v>
          </cell>
          <cell r="B1987">
            <v>23010</v>
          </cell>
          <cell r="C1987">
            <v>23010</v>
          </cell>
          <cell r="D1987" t="str">
            <v>adult</v>
          </cell>
          <cell r="E1987" t="str">
            <v>B</v>
          </cell>
          <cell r="F1987" t="str">
            <v>PSYCHIATRIC SOCIAL WORKER II</v>
          </cell>
          <cell r="G1987" t="str">
            <v>9035A</v>
          </cell>
          <cell r="H1987">
            <v>5425.82</v>
          </cell>
          <cell r="I1987">
            <v>1</v>
          </cell>
          <cell r="J1987">
            <v>12</v>
          </cell>
          <cell r="K1987">
            <v>1</v>
          </cell>
          <cell r="L1987">
            <v>65109.84</v>
          </cell>
        </row>
        <row r="1988">
          <cell r="A1988">
            <v>103640</v>
          </cell>
          <cell r="B1988">
            <v>18634</v>
          </cell>
          <cell r="C1988">
            <v>23010</v>
          </cell>
          <cell r="D1988" t="str">
            <v>adult</v>
          </cell>
          <cell r="E1988" t="str">
            <v>B</v>
          </cell>
          <cell r="F1988" t="str">
            <v>PSYCHIATRIC SOCIAL WORKER II</v>
          </cell>
          <cell r="G1988" t="str">
            <v>9035A</v>
          </cell>
          <cell r="H1988">
            <v>5425.82</v>
          </cell>
          <cell r="I1988">
            <v>1</v>
          </cell>
          <cell r="J1988">
            <v>12</v>
          </cell>
          <cell r="K1988">
            <v>1</v>
          </cell>
          <cell r="L1988">
            <v>65109.84</v>
          </cell>
        </row>
        <row r="1989">
          <cell r="A1989">
            <v>103732</v>
          </cell>
          <cell r="B1989">
            <v>20658</v>
          </cell>
          <cell r="C1989">
            <v>23010</v>
          </cell>
          <cell r="D1989" t="str">
            <v>adult</v>
          </cell>
          <cell r="E1989" t="str">
            <v>B</v>
          </cell>
          <cell r="F1989" t="str">
            <v>PSYCHIATRIC SOCIAL WORKER II</v>
          </cell>
          <cell r="G1989" t="str">
            <v>9035A</v>
          </cell>
          <cell r="H1989">
            <v>5425.82</v>
          </cell>
          <cell r="I1989">
            <v>1</v>
          </cell>
          <cell r="J1989">
            <v>12</v>
          </cell>
          <cell r="K1989">
            <v>1</v>
          </cell>
          <cell r="L1989">
            <v>65109.84</v>
          </cell>
        </row>
        <row r="1990">
          <cell r="A1990">
            <v>104159</v>
          </cell>
          <cell r="B1990">
            <v>23010</v>
          </cell>
          <cell r="C1990">
            <v>23010</v>
          </cell>
          <cell r="D1990" t="str">
            <v>adult</v>
          </cell>
          <cell r="E1990" t="str">
            <v>B</v>
          </cell>
          <cell r="F1990" t="str">
            <v>PSYCHIATRIC SOCIAL WORKER II</v>
          </cell>
          <cell r="G1990" t="str">
            <v>9035A</v>
          </cell>
          <cell r="H1990">
            <v>5425.82</v>
          </cell>
          <cell r="I1990">
            <v>1</v>
          </cell>
          <cell r="J1990">
            <v>12</v>
          </cell>
          <cell r="K1990">
            <v>1</v>
          </cell>
          <cell r="L1990">
            <v>65109.84</v>
          </cell>
        </row>
        <row r="1991">
          <cell r="A1991">
            <v>101321</v>
          </cell>
          <cell r="B1991">
            <v>23010</v>
          </cell>
          <cell r="C1991">
            <v>23010</v>
          </cell>
          <cell r="D1991" t="str">
            <v>adult</v>
          </cell>
          <cell r="E1991" t="str">
            <v>B</v>
          </cell>
          <cell r="F1991" t="str">
            <v>PSYCHIATRIC TECHNICIAN II</v>
          </cell>
          <cell r="G1991" t="str">
            <v>8162A</v>
          </cell>
          <cell r="H1991">
            <v>3420.09</v>
          </cell>
          <cell r="I1991">
            <v>1</v>
          </cell>
          <cell r="J1991">
            <v>12</v>
          </cell>
          <cell r="K1991">
            <v>1</v>
          </cell>
          <cell r="L1991">
            <v>41041.08</v>
          </cell>
        </row>
        <row r="1992">
          <cell r="A1992">
            <v>104701</v>
          </cell>
          <cell r="B1992">
            <v>23010</v>
          </cell>
          <cell r="C1992">
            <v>23010</v>
          </cell>
          <cell r="D1992" t="str">
            <v>adult</v>
          </cell>
          <cell r="E1992" t="str">
            <v>B</v>
          </cell>
          <cell r="F1992" t="str">
            <v xml:space="preserve">RECREATION THERAPIST I             </v>
          </cell>
          <cell r="G1992" t="str">
            <v>5871A</v>
          </cell>
          <cell r="H1992">
            <v>4187.82</v>
          </cell>
          <cell r="I1992">
            <v>1</v>
          </cell>
          <cell r="J1992">
            <v>12</v>
          </cell>
          <cell r="K1992">
            <v>1</v>
          </cell>
          <cell r="L1992">
            <v>50253.84</v>
          </cell>
        </row>
        <row r="1993">
          <cell r="A1993">
            <v>102497</v>
          </cell>
          <cell r="B1993">
            <v>23010</v>
          </cell>
          <cell r="C1993">
            <v>23010</v>
          </cell>
          <cell r="D1993" t="str">
            <v>adult</v>
          </cell>
          <cell r="E1993" t="str">
            <v>B</v>
          </cell>
          <cell r="F1993" t="str">
            <v>RECREATION THERAPIST II</v>
          </cell>
          <cell r="G1993" t="str">
            <v>5872A</v>
          </cell>
          <cell r="H1993">
            <v>4667.6400000000003</v>
          </cell>
          <cell r="I1993">
            <v>1</v>
          </cell>
          <cell r="J1993">
            <v>12</v>
          </cell>
          <cell r="K1993">
            <v>1</v>
          </cell>
          <cell r="L1993">
            <v>56011.68</v>
          </cell>
        </row>
        <row r="1994">
          <cell r="A1994">
            <v>106181</v>
          </cell>
          <cell r="B1994">
            <v>18676</v>
          </cell>
          <cell r="C1994">
            <v>23010</v>
          </cell>
          <cell r="D1994" t="str">
            <v>adult</v>
          </cell>
          <cell r="E1994" t="str">
            <v>B</v>
          </cell>
          <cell r="F1994" t="str">
            <v xml:space="preserve">SENIOR COMMUNITY WORKER I          </v>
          </cell>
          <cell r="G1994" t="str">
            <v>8104A</v>
          </cell>
          <cell r="H1994">
            <v>3087.73</v>
          </cell>
          <cell r="I1994">
            <v>1</v>
          </cell>
          <cell r="J1994">
            <v>12</v>
          </cell>
          <cell r="K1994">
            <v>1</v>
          </cell>
          <cell r="L1994">
            <v>37052.76</v>
          </cell>
        </row>
        <row r="1995">
          <cell r="A1995">
            <v>106189</v>
          </cell>
          <cell r="B1995">
            <v>18676</v>
          </cell>
          <cell r="C1995">
            <v>23010</v>
          </cell>
          <cell r="D1995" t="str">
            <v>adult</v>
          </cell>
          <cell r="E1995" t="str">
            <v>B</v>
          </cell>
          <cell r="F1995" t="str">
            <v xml:space="preserve">SENIOR COMMUNITY WORKER I          </v>
          </cell>
          <cell r="G1995" t="str">
            <v>8104A</v>
          </cell>
          <cell r="H1995">
            <v>3087.73</v>
          </cell>
          <cell r="I1995">
            <v>1</v>
          </cell>
          <cell r="J1995">
            <v>12</v>
          </cell>
          <cell r="K1995">
            <v>1</v>
          </cell>
          <cell r="L1995">
            <v>37052.76</v>
          </cell>
        </row>
        <row r="1996">
          <cell r="A1996">
            <v>101460</v>
          </cell>
          <cell r="B1996">
            <v>23010</v>
          </cell>
          <cell r="C1996">
            <v>23010</v>
          </cell>
          <cell r="D1996" t="str">
            <v>adult</v>
          </cell>
          <cell r="E1996" t="str">
            <v>B</v>
          </cell>
          <cell r="F1996" t="str">
            <v>SENIOR MENTAL HEALTH COUNSELOR, RN</v>
          </cell>
          <cell r="G1996" t="str">
            <v>5280A</v>
          </cell>
          <cell r="H1996">
            <v>6790.09</v>
          </cell>
          <cell r="I1996">
            <v>1</v>
          </cell>
          <cell r="J1996">
            <v>12</v>
          </cell>
          <cell r="K1996">
            <v>1</v>
          </cell>
          <cell r="L1996">
            <v>83105.40203389831</v>
          </cell>
        </row>
        <row r="1997">
          <cell r="A1997">
            <v>102498</v>
          </cell>
          <cell r="B1997">
            <v>23010</v>
          </cell>
          <cell r="C1997">
            <v>23010</v>
          </cell>
          <cell r="D1997" t="str">
            <v>adult</v>
          </cell>
          <cell r="E1997" t="str">
            <v>B</v>
          </cell>
          <cell r="F1997" t="str">
            <v xml:space="preserve">SENIOR SECRETARY III               </v>
          </cell>
          <cell r="G1997" t="str">
            <v>2102A</v>
          </cell>
          <cell r="H1997">
            <v>4106.3599999999997</v>
          </cell>
          <cell r="I1997">
            <v>1</v>
          </cell>
          <cell r="J1997">
            <v>12</v>
          </cell>
          <cell r="K1997">
            <v>1</v>
          </cell>
          <cell r="L1997">
            <v>49276.56</v>
          </cell>
        </row>
        <row r="1998">
          <cell r="A1998">
            <v>102116</v>
          </cell>
          <cell r="B1998">
            <v>20588</v>
          </cell>
          <cell r="C1998">
            <v>23010</v>
          </cell>
          <cell r="D1998" t="str">
            <v>adult</v>
          </cell>
          <cell r="E1998" t="str">
            <v>B</v>
          </cell>
          <cell r="F1998" t="str">
            <v xml:space="preserve">STUDENT PROFESSIONAL WORKER        </v>
          </cell>
          <cell r="G1998" t="str">
            <v>8243F</v>
          </cell>
          <cell r="H1998">
            <v>10.3</v>
          </cell>
          <cell r="I1998">
            <v>1</v>
          </cell>
          <cell r="J1998">
            <v>1044</v>
          </cell>
          <cell r="K1998">
            <v>0</v>
          </cell>
          <cell r="L1998">
            <v>10753</v>
          </cell>
        </row>
        <row r="1999">
          <cell r="A1999">
            <v>103248</v>
          </cell>
          <cell r="B1999">
            <v>20944</v>
          </cell>
          <cell r="C1999">
            <v>23010</v>
          </cell>
          <cell r="D1999" t="str">
            <v>adult</v>
          </cell>
          <cell r="E1999" t="str">
            <v>B</v>
          </cell>
          <cell r="F1999" t="str">
            <v xml:space="preserve">STUDENT PROFESSIONAL WORKER        </v>
          </cell>
          <cell r="G1999" t="str">
            <v>8243F</v>
          </cell>
          <cell r="H1999">
            <v>10.3</v>
          </cell>
          <cell r="I1999">
            <v>1</v>
          </cell>
          <cell r="J1999">
            <v>888</v>
          </cell>
          <cell r="K1999">
            <v>0</v>
          </cell>
          <cell r="L1999">
            <v>9146</v>
          </cell>
        </row>
        <row r="2000">
          <cell r="A2000">
            <v>103945</v>
          </cell>
          <cell r="B2000">
            <v>23010</v>
          </cell>
          <cell r="C2000">
            <v>23010</v>
          </cell>
          <cell r="D2000" t="str">
            <v>adult</v>
          </cell>
          <cell r="E2000" t="str">
            <v>B</v>
          </cell>
          <cell r="F2000" t="str">
            <v xml:space="preserve">SUPVG PSYCHIATRIC SOCIAL WORKER    </v>
          </cell>
          <cell r="G2000" t="str">
            <v>9038A</v>
          </cell>
          <cell r="H2000">
            <v>6062.45</v>
          </cell>
          <cell r="I2000">
            <v>1</v>
          </cell>
          <cell r="J2000">
            <v>12</v>
          </cell>
          <cell r="K2000">
            <v>1</v>
          </cell>
          <cell r="L2000">
            <v>72749.399999999994</v>
          </cell>
        </row>
        <row r="2001">
          <cell r="A2001">
            <v>101677</v>
          </cell>
          <cell r="B2001">
            <v>23010</v>
          </cell>
          <cell r="C2001">
            <v>23010</v>
          </cell>
          <cell r="D2001" t="str">
            <v>adult</v>
          </cell>
          <cell r="E2001" t="str">
            <v>B</v>
          </cell>
          <cell r="F2001" t="str">
            <v xml:space="preserve">TRANSCRIBER TYPIST                 </v>
          </cell>
          <cell r="G2001" t="str">
            <v>2201A</v>
          </cell>
          <cell r="H2001">
            <v>2906</v>
          </cell>
          <cell r="I2001">
            <v>1</v>
          </cell>
          <cell r="J2001">
            <v>12</v>
          </cell>
          <cell r="K2001">
            <v>1</v>
          </cell>
          <cell r="L2001">
            <v>34872</v>
          </cell>
        </row>
        <row r="2002">
          <cell r="A2002">
            <v>109425</v>
          </cell>
          <cell r="B2002">
            <v>27546</v>
          </cell>
          <cell r="C2002">
            <v>27256</v>
          </cell>
          <cell r="D2002" t="str">
            <v>adult</v>
          </cell>
          <cell r="E2002" t="str">
            <v>B</v>
          </cell>
          <cell r="F2002" t="str">
            <v>CLINICAL PSYCHOLOGIST II</v>
          </cell>
          <cell r="G2002" t="str">
            <v>8697A</v>
          </cell>
          <cell r="H2002">
            <v>6993.82</v>
          </cell>
          <cell r="I2002">
            <v>1</v>
          </cell>
          <cell r="J2002">
            <v>12</v>
          </cell>
          <cell r="K2002">
            <v>1</v>
          </cell>
          <cell r="L2002">
            <v>83925.52</v>
          </cell>
        </row>
        <row r="2003">
          <cell r="A2003">
            <v>104423</v>
          </cell>
          <cell r="B2003">
            <v>20459</v>
          </cell>
          <cell r="C2003">
            <v>27256</v>
          </cell>
          <cell r="D2003" t="str">
            <v>adult</v>
          </cell>
          <cell r="E2003" t="str">
            <v>B</v>
          </cell>
          <cell r="F2003" t="str">
            <v>COMMUNITY WORKER</v>
          </cell>
          <cell r="G2003" t="str">
            <v>8103A</v>
          </cell>
          <cell r="H2003">
            <v>2984.09</v>
          </cell>
          <cell r="I2003">
            <v>1</v>
          </cell>
          <cell r="J2003">
            <v>12</v>
          </cell>
          <cell r="K2003">
            <v>1</v>
          </cell>
          <cell r="L2003">
            <v>35809.08</v>
          </cell>
        </row>
        <row r="2004">
          <cell r="A2004">
            <v>104278</v>
          </cell>
          <cell r="B2004">
            <v>20683</v>
          </cell>
          <cell r="C2004">
            <v>27256</v>
          </cell>
          <cell r="D2004" t="str">
            <v>adult</v>
          </cell>
          <cell r="E2004" t="str">
            <v>B</v>
          </cell>
          <cell r="F2004" t="str">
            <v>MENTAL HEALTH EDUCATION CONSULTANT</v>
          </cell>
          <cell r="G2004" t="str">
            <v>8709A</v>
          </cell>
          <cell r="H2004">
            <v>7115.73</v>
          </cell>
          <cell r="I2004">
            <v>1</v>
          </cell>
          <cell r="J2004">
            <v>12</v>
          </cell>
          <cell r="K2004">
            <v>1</v>
          </cell>
          <cell r="L2004">
            <v>85389.16</v>
          </cell>
        </row>
        <row r="2005">
          <cell r="A2005">
            <v>109428</v>
          </cell>
          <cell r="B2005">
            <v>27546</v>
          </cell>
          <cell r="C2005">
            <v>27256</v>
          </cell>
          <cell r="D2005" t="str">
            <v>adult</v>
          </cell>
          <cell r="E2005" t="str">
            <v>B</v>
          </cell>
          <cell r="F2005" t="str">
            <v>MENTAL HEALTH PSYCHIATRIST</v>
          </cell>
          <cell r="G2005" t="str">
            <v>4735A</v>
          </cell>
          <cell r="H2005">
            <v>12844</v>
          </cell>
          <cell r="I2005">
            <v>1</v>
          </cell>
          <cell r="J2005">
            <v>3</v>
          </cell>
          <cell r="K2005">
            <v>0.25</v>
          </cell>
          <cell r="L2005">
            <v>38532</v>
          </cell>
        </row>
        <row r="2006">
          <cell r="A2006">
            <v>102236</v>
          </cell>
          <cell r="B2006">
            <v>20493</v>
          </cell>
          <cell r="C2006">
            <v>27256</v>
          </cell>
          <cell r="D2006" t="str">
            <v>adult</v>
          </cell>
          <cell r="E2006" t="str">
            <v>B</v>
          </cell>
          <cell r="F2006" t="str">
            <v>MENTAL HEALTH SERVICES COORD II</v>
          </cell>
          <cell r="G2006" t="str">
            <v>8149A</v>
          </cell>
          <cell r="H2006">
            <v>5152.3599999999997</v>
          </cell>
          <cell r="I2006">
            <v>1</v>
          </cell>
          <cell r="J2006">
            <v>12</v>
          </cell>
          <cell r="K2006">
            <v>1</v>
          </cell>
          <cell r="L2006">
            <v>61828.72</v>
          </cell>
        </row>
        <row r="2007">
          <cell r="A2007">
            <v>102558</v>
          </cell>
          <cell r="B2007">
            <v>23007</v>
          </cell>
          <cell r="C2007">
            <v>27256</v>
          </cell>
          <cell r="D2007" t="str">
            <v>adult</v>
          </cell>
          <cell r="E2007" t="str">
            <v>B</v>
          </cell>
          <cell r="F2007" t="str">
            <v>MNTL HLTH CLINICAL PROGRAM HEAD</v>
          </cell>
          <cell r="G2007" t="str">
            <v>4726A</v>
          </cell>
          <cell r="H2007">
            <v>8709.73</v>
          </cell>
          <cell r="I2007">
            <v>1</v>
          </cell>
          <cell r="J2007">
            <v>12</v>
          </cell>
          <cell r="K2007">
            <v>1</v>
          </cell>
          <cell r="L2007">
            <v>104516.76</v>
          </cell>
        </row>
        <row r="2008">
          <cell r="A2008">
            <v>101029</v>
          </cell>
          <cell r="B2008">
            <v>23007</v>
          </cell>
          <cell r="C2008">
            <v>27256</v>
          </cell>
          <cell r="D2008" t="str">
            <v>adult</v>
          </cell>
          <cell r="E2008" t="str">
            <v>B</v>
          </cell>
          <cell r="F2008" t="str">
            <v>PSYCHIATRIC SOCIAL WORKER II</v>
          </cell>
          <cell r="G2008" t="str">
            <v>9035A</v>
          </cell>
          <cell r="H2008">
            <v>5425.82</v>
          </cell>
          <cell r="I2008">
            <v>1</v>
          </cell>
          <cell r="J2008">
            <v>12</v>
          </cell>
          <cell r="K2008">
            <v>1</v>
          </cell>
          <cell r="L2008">
            <v>65109.84</v>
          </cell>
        </row>
        <row r="2009">
          <cell r="A2009">
            <v>103521</v>
          </cell>
          <cell r="B2009">
            <v>23034</v>
          </cell>
          <cell r="C2009">
            <v>27256</v>
          </cell>
          <cell r="D2009" t="str">
            <v>adult</v>
          </cell>
          <cell r="E2009" t="str">
            <v>B</v>
          </cell>
          <cell r="F2009" t="str">
            <v>PSYCHIATRIC SOCIAL WORKER II</v>
          </cell>
          <cell r="G2009" t="str">
            <v>9035A</v>
          </cell>
          <cell r="H2009">
            <v>5425.82</v>
          </cell>
          <cell r="I2009">
            <v>1</v>
          </cell>
          <cell r="J2009">
            <v>12</v>
          </cell>
          <cell r="K2009">
            <v>1</v>
          </cell>
          <cell r="L2009">
            <v>65109.84</v>
          </cell>
        </row>
        <row r="2010">
          <cell r="A2010">
            <v>102533</v>
          </cell>
          <cell r="B2010">
            <v>23007</v>
          </cell>
          <cell r="C2010">
            <v>27256</v>
          </cell>
          <cell r="D2010" t="str">
            <v>adult</v>
          </cell>
          <cell r="E2010" t="str">
            <v>B</v>
          </cell>
          <cell r="F2010" t="str">
            <v xml:space="preserve">SENIOR SECRETARY III               </v>
          </cell>
          <cell r="G2010" t="str">
            <v>2102A</v>
          </cell>
          <cell r="H2010">
            <v>4106.3599999999997</v>
          </cell>
          <cell r="I2010">
            <v>1</v>
          </cell>
          <cell r="J2010">
            <v>12</v>
          </cell>
          <cell r="K2010">
            <v>1</v>
          </cell>
          <cell r="L2010">
            <v>49276.56</v>
          </cell>
        </row>
        <row r="2011">
          <cell r="A2011">
            <v>109431</v>
          </cell>
          <cell r="B2011">
            <v>27546</v>
          </cell>
          <cell r="C2011">
            <v>27256</v>
          </cell>
          <cell r="D2011" t="str">
            <v>adult</v>
          </cell>
          <cell r="E2011" t="str">
            <v>B</v>
          </cell>
          <cell r="F2011" t="str">
            <v xml:space="preserve">SR COMMUN MENTAL HLTH PSYCHOLOGIST </v>
          </cell>
          <cell r="G2011" t="str">
            <v>8712A</v>
          </cell>
          <cell r="H2011">
            <v>7311.45</v>
          </cell>
          <cell r="I2011">
            <v>1</v>
          </cell>
          <cell r="J2011">
            <v>12</v>
          </cell>
          <cell r="K2011">
            <v>1</v>
          </cell>
          <cell r="L2011">
            <v>87737.16</v>
          </cell>
        </row>
        <row r="2012">
          <cell r="A2012">
            <v>102245</v>
          </cell>
          <cell r="B2012">
            <v>23035</v>
          </cell>
          <cell r="C2012">
            <v>23035</v>
          </cell>
          <cell r="D2012" t="str">
            <v>adult</v>
          </cell>
          <cell r="E2012" t="str">
            <v>B</v>
          </cell>
          <cell r="F2012" t="str">
            <v>COMMUNITY WORKER</v>
          </cell>
          <cell r="G2012" t="str">
            <v>8103A</v>
          </cell>
          <cell r="H2012">
            <v>2984.09</v>
          </cell>
          <cell r="I2012">
            <v>1</v>
          </cell>
          <cell r="J2012">
            <v>12</v>
          </cell>
          <cell r="K2012">
            <v>1</v>
          </cell>
          <cell r="L2012">
            <v>35809.08</v>
          </cell>
        </row>
        <row r="2013">
          <cell r="A2013">
            <v>106258</v>
          </cell>
          <cell r="B2013">
            <v>23035</v>
          </cell>
          <cell r="C2013">
            <v>23035</v>
          </cell>
          <cell r="D2013" t="str">
            <v>adult</v>
          </cell>
          <cell r="E2013" t="str">
            <v>B</v>
          </cell>
          <cell r="F2013" t="str">
            <v>INTERMEDIATE TYPIST-CLERK</v>
          </cell>
          <cell r="G2013" t="str">
            <v>2214A</v>
          </cell>
          <cell r="H2013">
            <v>2675.27</v>
          </cell>
          <cell r="I2013">
            <v>1</v>
          </cell>
          <cell r="J2013">
            <v>12</v>
          </cell>
          <cell r="K2013">
            <v>1</v>
          </cell>
          <cell r="L2013">
            <v>32103.16</v>
          </cell>
        </row>
        <row r="2014">
          <cell r="A2014">
            <v>109713</v>
          </cell>
          <cell r="B2014">
            <v>23005</v>
          </cell>
          <cell r="C2014">
            <v>23035</v>
          </cell>
          <cell r="D2014" t="str">
            <v>adult</v>
          </cell>
          <cell r="E2014" t="str">
            <v>B</v>
          </cell>
          <cell r="F2014" t="str">
            <v>INTERMEDIATE TYPIST-CLERK</v>
          </cell>
          <cell r="G2014" t="str">
            <v>2214A</v>
          </cell>
          <cell r="H2014">
            <v>2675.27</v>
          </cell>
          <cell r="I2014">
            <v>1</v>
          </cell>
          <cell r="J2014">
            <v>12</v>
          </cell>
          <cell r="K2014">
            <v>1</v>
          </cell>
          <cell r="L2014">
            <v>32103.24</v>
          </cell>
        </row>
        <row r="2015">
          <cell r="A2015">
            <v>104946</v>
          </cell>
          <cell r="B2015">
            <v>23035</v>
          </cell>
          <cell r="C2015">
            <v>23035</v>
          </cell>
          <cell r="D2015" t="str">
            <v>adult</v>
          </cell>
          <cell r="E2015" t="str">
            <v>B</v>
          </cell>
          <cell r="F2015" t="str">
            <v>MENTAL HEALTH PSYCHIATRIST</v>
          </cell>
          <cell r="G2015" t="str">
            <v>4735A</v>
          </cell>
          <cell r="H2015">
            <v>12844</v>
          </cell>
          <cell r="I2015">
            <v>1</v>
          </cell>
          <cell r="J2015">
            <v>3</v>
          </cell>
          <cell r="K2015">
            <v>0.25</v>
          </cell>
          <cell r="L2015">
            <v>38532</v>
          </cell>
        </row>
        <row r="2016">
          <cell r="A2016">
            <v>101079</v>
          </cell>
          <cell r="B2016">
            <v>23035</v>
          </cell>
          <cell r="C2016">
            <v>23035</v>
          </cell>
          <cell r="D2016" t="str">
            <v>adult</v>
          </cell>
          <cell r="E2016" t="str">
            <v>B</v>
          </cell>
          <cell r="F2016" t="str">
            <v>PSYCHIATRIC SOCIAL WORKER II</v>
          </cell>
          <cell r="G2016" t="str">
            <v>9035A</v>
          </cell>
          <cell r="H2016">
            <v>5425.82</v>
          </cell>
          <cell r="I2016">
            <v>1</v>
          </cell>
          <cell r="J2016">
            <v>12</v>
          </cell>
          <cell r="K2016">
            <v>1</v>
          </cell>
          <cell r="L2016">
            <v>65109.84</v>
          </cell>
        </row>
        <row r="2017">
          <cell r="A2017">
            <v>103329</v>
          </cell>
          <cell r="B2017">
            <v>23035</v>
          </cell>
          <cell r="C2017">
            <v>23035</v>
          </cell>
          <cell r="D2017" t="str">
            <v>adult</v>
          </cell>
          <cell r="E2017" t="str">
            <v>B</v>
          </cell>
          <cell r="F2017" t="str">
            <v>PSYCHIATRIC SOCIAL WORKER II</v>
          </cell>
          <cell r="G2017" t="str">
            <v>9035A</v>
          </cell>
          <cell r="H2017">
            <v>5425.82</v>
          </cell>
          <cell r="I2017">
            <v>1</v>
          </cell>
          <cell r="J2017">
            <v>12</v>
          </cell>
          <cell r="K2017">
            <v>1</v>
          </cell>
          <cell r="L2017">
            <v>65109.84</v>
          </cell>
        </row>
        <row r="2018">
          <cell r="A2018">
            <v>106183</v>
          </cell>
          <cell r="B2018">
            <v>18676</v>
          </cell>
          <cell r="C2018">
            <v>23035</v>
          </cell>
          <cell r="D2018" t="str">
            <v>adult</v>
          </cell>
          <cell r="E2018" t="str">
            <v>B</v>
          </cell>
          <cell r="F2018" t="str">
            <v xml:space="preserve">SENIOR COMMUNITY WORKER I          </v>
          </cell>
          <cell r="G2018" t="str">
            <v>8104A</v>
          </cell>
          <cell r="H2018">
            <v>3087.73</v>
          </cell>
          <cell r="I2018">
            <v>1</v>
          </cell>
          <cell r="J2018">
            <v>12</v>
          </cell>
          <cell r="K2018">
            <v>1</v>
          </cell>
          <cell r="L2018">
            <v>37052.76</v>
          </cell>
        </row>
        <row r="2019">
          <cell r="A2019">
            <v>104766</v>
          </cell>
          <cell r="B2019">
            <v>23001</v>
          </cell>
          <cell r="C2019">
            <v>23035</v>
          </cell>
          <cell r="D2019" t="str">
            <v>adult</v>
          </cell>
          <cell r="E2019" t="str">
            <v>B</v>
          </cell>
          <cell r="F2019" t="str">
            <v xml:space="preserve">SUPVG MENTAL HEALTH PSYCHIATRIST   </v>
          </cell>
          <cell r="G2019" t="str">
            <v>4737A</v>
          </cell>
          <cell r="H2019">
            <v>13870</v>
          </cell>
          <cell r="I2019">
            <v>1</v>
          </cell>
          <cell r="J2019">
            <v>12</v>
          </cell>
          <cell r="K2019">
            <v>1</v>
          </cell>
          <cell r="L2019">
            <v>166440</v>
          </cell>
        </row>
        <row r="2020">
          <cell r="A2020">
            <v>104926</v>
          </cell>
          <cell r="B2020">
            <v>20494</v>
          </cell>
          <cell r="C2020">
            <v>20494</v>
          </cell>
          <cell r="D2020" t="str">
            <v>adult</v>
          </cell>
          <cell r="E2020" t="str">
            <v>B</v>
          </cell>
          <cell r="F2020" t="str">
            <v>MENTAL HEALTH PSYCHIATRIST</v>
          </cell>
          <cell r="G2020" t="str">
            <v>4735A</v>
          </cell>
          <cell r="H2020">
            <v>12844</v>
          </cell>
          <cell r="I2020">
            <v>1</v>
          </cell>
          <cell r="J2020">
            <v>3</v>
          </cell>
          <cell r="K2020">
            <v>0.25</v>
          </cell>
          <cell r="L2020">
            <v>38532</v>
          </cell>
        </row>
        <row r="2021">
          <cell r="A2021">
            <v>106159</v>
          </cell>
          <cell r="B2021">
            <v>18676</v>
          </cell>
          <cell r="C2021">
            <v>20494</v>
          </cell>
          <cell r="D2021" t="str">
            <v>adult</v>
          </cell>
          <cell r="E2021" t="str">
            <v>B</v>
          </cell>
          <cell r="F2021" t="str">
            <v>MENTAL HEALTH SERVICES COORD I</v>
          </cell>
          <cell r="G2021" t="str">
            <v>8148A</v>
          </cell>
          <cell r="H2021">
            <v>5126.91</v>
          </cell>
          <cell r="I2021">
            <v>1</v>
          </cell>
          <cell r="J2021">
            <v>12</v>
          </cell>
          <cell r="K2021">
            <v>1</v>
          </cell>
          <cell r="L2021">
            <v>61522.92</v>
          </cell>
        </row>
        <row r="2022">
          <cell r="A2022">
            <v>101100</v>
          </cell>
          <cell r="B2022">
            <v>20494</v>
          </cell>
          <cell r="C2022">
            <v>20494</v>
          </cell>
          <cell r="D2022" t="str">
            <v>adult</v>
          </cell>
          <cell r="E2022" t="str">
            <v>B</v>
          </cell>
          <cell r="F2022" t="str">
            <v>PSYCHIATRIC SOCIAL WORKER II</v>
          </cell>
          <cell r="G2022" t="str">
            <v>9035A</v>
          </cell>
          <cell r="H2022">
            <v>5425.82</v>
          </cell>
          <cell r="I2022">
            <v>1</v>
          </cell>
          <cell r="J2022">
            <v>12</v>
          </cell>
          <cell r="K2022">
            <v>1</v>
          </cell>
          <cell r="L2022">
            <v>65109.84</v>
          </cell>
        </row>
        <row r="2023">
          <cell r="A2023">
            <v>104181</v>
          </cell>
          <cell r="B2023">
            <v>20499</v>
          </cell>
          <cell r="C2023">
            <v>20494</v>
          </cell>
          <cell r="D2023" t="str">
            <v>adult</v>
          </cell>
          <cell r="E2023" t="str">
            <v>B</v>
          </cell>
          <cell r="F2023" t="str">
            <v>PSYCHIATRIC SOCIAL WORKER II</v>
          </cell>
          <cell r="G2023" t="str">
            <v>9035A</v>
          </cell>
          <cell r="H2023">
            <v>5425.82</v>
          </cell>
          <cell r="I2023">
            <v>1</v>
          </cell>
          <cell r="J2023">
            <v>12</v>
          </cell>
          <cell r="K2023">
            <v>1</v>
          </cell>
          <cell r="L2023">
            <v>65109.84</v>
          </cell>
        </row>
        <row r="2024">
          <cell r="A2024">
            <v>106076</v>
          </cell>
          <cell r="B2024">
            <v>18676</v>
          </cell>
          <cell r="C2024">
            <v>23005</v>
          </cell>
          <cell r="D2024" t="str">
            <v>adult</v>
          </cell>
          <cell r="E2024" t="str">
            <v>B</v>
          </cell>
          <cell r="F2024" t="str">
            <v>CLINICAL PSYCHOLOGIST II</v>
          </cell>
          <cell r="G2024" t="str">
            <v>8697A</v>
          </cell>
          <cell r="H2024">
            <v>6993.82</v>
          </cell>
          <cell r="I2024">
            <v>1</v>
          </cell>
          <cell r="J2024">
            <v>12</v>
          </cell>
          <cell r="K2024">
            <v>1</v>
          </cell>
          <cell r="L2024">
            <v>83925.52</v>
          </cell>
        </row>
        <row r="2025">
          <cell r="A2025">
            <v>102506</v>
          </cell>
          <cell r="B2025">
            <v>23005</v>
          </cell>
          <cell r="C2025">
            <v>23005</v>
          </cell>
          <cell r="D2025" t="str">
            <v>adult</v>
          </cell>
          <cell r="E2025" t="str">
            <v>B</v>
          </cell>
          <cell r="F2025" t="str">
            <v>COMMUNITY MENTAL HEALTH PSYCHOLOGIST</v>
          </cell>
          <cell r="G2025" t="str">
            <v>8711A</v>
          </cell>
          <cell r="H2025">
            <v>6942.55</v>
          </cell>
          <cell r="I2025">
            <v>1</v>
          </cell>
          <cell r="J2025">
            <v>12</v>
          </cell>
          <cell r="K2025">
            <v>1</v>
          </cell>
          <cell r="L2025">
            <v>83310.2</v>
          </cell>
        </row>
        <row r="2026">
          <cell r="A2026">
            <v>102508</v>
          </cell>
          <cell r="B2026">
            <v>23005</v>
          </cell>
          <cell r="C2026">
            <v>23005</v>
          </cell>
          <cell r="D2026" t="str">
            <v>adult</v>
          </cell>
          <cell r="E2026" t="str">
            <v>B</v>
          </cell>
          <cell r="F2026" t="str">
            <v>COMMUNITY WORKER</v>
          </cell>
          <cell r="G2026" t="str">
            <v>8103A</v>
          </cell>
          <cell r="H2026">
            <v>2984.09</v>
          </cell>
          <cell r="I2026">
            <v>1</v>
          </cell>
          <cell r="J2026">
            <v>12</v>
          </cell>
          <cell r="K2026">
            <v>1</v>
          </cell>
          <cell r="L2026">
            <v>35809.08</v>
          </cell>
        </row>
        <row r="2027">
          <cell r="A2027">
            <v>102510</v>
          </cell>
          <cell r="B2027">
            <v>23005</v>
          </cell>
          <cell r="C2027">
            <v>23005</v>
          </cell>
          <cell r="D2027" t="str">
            <v>adult</v>
          </cell>
          <cell r="E2027" t="str">
            <v>B</v>
          </cell>
          <cell r="F2027" t="str">
            <v>COMMUNITY WORKER</v>
          </cell>
          <cell r="G2027" t="str">
            <v>8103A</v>
          </cell>
          <cell r="H2027">
            <v>2984.09</v>
          </cell>
          <cell r="I2027">
            <v>1</v>
          </cell>
          <cell r="J2027">
            <v>12</v>
          </cell>
          <cell r="K2027">
            <v>1</v>
          </cell>
          <cell r="L2027">
            <v>35809.08</v>
          </cell>
        </row>
        <row r="2028">
          <cell r="A2028">
            <v>103967</v>
          </cell>
          <cell r="B2028">
            <v>23005</v>
          </cell>
          <cell r="C2028">
            <v>23005</v>
          </cell>
          <cell r="D2028" t="str">
            <v>adult</v>
          </cell>
          <cell r="E2028" t="str">
            <v>B</v>
          </cell>
          <cell r="F2028" t="str">
            <v>COMMUNITY WORKER</v>
          </cell>
          <cell r="G2028" t="str">
            <v>8103A</v>
          </cell>
          <cell r="H2028">
            <v>2984.09</v>
          </cell>
          <cell r="I2028">
            <v>1</v>
          </cell>
          <cell r="J2028">
            <v>6</v>
          </cell>
          <cell r="K2028">
            <v>0.5</v>
          </cell>
          <cell r="L2028">
            <v>17904.54</v>
          </cell>
        </row>
        <row r="2029">
          <cell r="A2029">
            <v>104319</v>
          </cell>
          <cell r="B2029">
            <v>23005</v>
          </cell>
          <cell r="C2029">
            <v>23005</v>
          </cell>
          <cell r="D2029" t="str">
            <v>adult</v>
          </cell>
          <cell r="E2029" t="str">
            <v>B</v>
          </cell>
          <cell r="F2029" t="str">
            <v>COMMUNITY WORKER</v>
          </cell>
          <cell r="G2029" t="str">
            <v>8103A</v>
          </cell>
          <cell r="H2029">
            <v>2984.09</v>
          </cell>
          <cell r="I2029">
            <v>1</v>
          </cell>
          <cell r="J2029">
            <v>12</v>
          </cell>
          <cell r="K2029">
            <v>1</v>
          </cell>
          <cell r="L2029">
            <v>35809.08</v>
          </cell>
        </row>
        <row r="2030">
          <cell r="A2030">
            <v>109591</v>
          </cell>
          <cell r="B2030">
            <v>23005</v>
          </cell>
          <cell r="D2030" t="str">
            <v>adult</v>
          </cell>
          <cell r="E2030" t="str">
            <v>B</v>
          </cell>
          <cell r="F2030" t="str">
            <v>COMMUNITY WORKER</v>
          </cell>
          <cell r="G2030" t="str">
            <v>8103A</v>
          </cell>
          <cell r="H2030">
            <v>2984.09</v>
          </cell>
          <cell r="I2030">
            <v>1</v>
          </cell>
          <cell r="J2030">
            <v>12</v>
          </cell>
          <cell r="K2030">
            <v>1</v>
          </cell>
          <cell r="L2030">
            <v>35809.08</v>
          </cell>
        </row>
        <row r="2031">
          <cell r="A2031">
            <v>109592</v>
          </cell>
          <cell r="B2031">
            <v>23005</v>
          </cell>
          <cell r="D2031" t="str">
            <v>adult</v>
          </cell>
          <cell r="E2031" t="str">
            <v>B</v>
          </cell>
          <cell r="F2031" t="str">
            <v>COMMUNITY WORKER</v>
          </cell>
          <cell r="G2031" t="str">
            <v>8103A</v>
          </cell>
          <cell r="H2031">
            <v>2984.09</v>
          </cell>
          <cell r="I2031">
            <v>1</v>
          </cell>
          <cell r="J2031">
            <v>12</v>
          </cell>
          <cell r="K2031">
            <v>1</v>
          </cell>
          <cell r="L2031">
            <v>35809.08</v>
          </cell>
        </row>
        <row r="2032">
          <cell r="A2032">
            <v>104695</v>
          </cell>
          <cell r="B2032">
            <v>23010</v>
          </cell>
          <cell r="C2032">
            <v>23005</v>
          </cell>
          <cell r="D2032" t="str">
            <v>adult</v>
          </cell>
          <cell r="E2032" t="str">
            <v>B</v>
          </cell>
          <cell r="F2032" t="str">
            <v xml:space="preserve">INT SUPERVISING TYPIST-CLERK       </v>
          </cell>
          <cell r="G2032" t="str">
            <v>2221A</v>
          </cell>
          <cell r="H2032">
            <v>3337.91</v>
          </cell>
          <cell r="I2032">
            <v>1</v>
          </cell>
          <cell r="J2032">
            <v>12</v>
          </cell>
          <cell r="K2032">
            <v>1</v>
          </cell>
          <cell r="L2032">
            <v>40054.519999999997</v>
          </cell>
        </row>
        <row r="2033">
          <cell r="A2033">
            <v>102701</v>
          </cell>
          <cell r="B2033">
            <v>23005</v>
          </cell>
          <cell r="C2033">
            <v>23005</v>
          </cell>
          <cell r="D2033" t="str">
            <v>adult</v>
          </cell>
          <cell r="E2033" t="str">
            <v>B</v>
          </cell>
          <cell r="F2033" t="str">
            <v>INTERMEDIATE TYPIST-CLERK</v>
          </cell>
          <cell r="G2033" t="str">
            <v>2214A</v>
          </cell>
          <cell r="H2033">
            <v>2675.27</v>
          </cell>
          <cell r="I2033">
            <v>1</v>
          </cell>
          <cell r="J2033">
            <v>12</v>
          </cell>
          <cell r="K2033">
            <v>1</v>
          </cell>
          <cell r="L2033">
            <v>32103.16</v>
          </cell>
        </row>
        <row r="2034">
          <cell r="A2034">
            <v>104748</v>
          </cell>
          <cell r="B2034">
            <v>23005</v>
          </cell>
          <cell r="C2034">
            <v>23005</v>
          </cell>
          <cell r="D2034" t="str">
            <v>adult</v>
          </cell>
          <cell r="E2034" t="str">
            <v>B</v>
          </cell>
          <cell r="F2034" t="str">
            <v>INTERMEDIATE TYPIST-CLERK</v>
          </cell>
          <cell r="G2034" t="str">
            <v>2214A</v>
          </cell>
          <cell r="H2034">
            <v>2675.27</v>
          </cell>
          <cell r="I2034">
            <v>1</v>
          </cell>
          <cell r="J2034">
            <v>12</v>
          </cell>
          <cell r="K2034">
            <v>1</v>
          </cell>
          <cell r="L2034">
            <v>32103.16</v>
          </cell>
        </row>
        <row r="2035">
          <cell r="A2035">
            <v>104750</v>
          </cell>
          <cell r="B2035">
            <v>23005</v>
          </cell>
          <cell r="C2035">
            <v>23005</v>
          </cell>
          <cell r="D2035" t="str">
            <v>adult</v>
          </cell>
          <cell r="E2035" t="str">
            <v>B</v>
          </cell>
          <cell r="F2035" t="str">
            <v>INTERMEDIATE TYPIST-CLERK</v>
          </cell>
          <cell r="G2035" t="str">
            <v>2214A</v>
          </cell>
          <cell r="H2035">
            <v>2675.27</v>
          </cell>
          <cell r="I2035">
            <v>1</v>
          </cell>
          <cell r="J2035">
            <v>12</v>
          </cell>
          <cell r="K2035">
            <v>1</v>
          </cell>
          <cell r="L2035">
            <v>32103.16</v>
          </cell>
        </row>
        <row r="2036">
          <cell r="A2036">
            <v>109712</v>
          </cell>
          <cell r="B2036">
            <v>23005</v>
          </cell>
          <cell r="C2036">
            <v>23005</v>
          </cell>
          <cell r="D2036" t="str">
            <v>adult</v>
          </cell>
          <cell r="E2036" t="str">
            <v>B</v>
          </cell>
          <cell r="F2036" t="str">
            <v>INTERMEDIATE TYPIST-CLERK</v>
          </cell>
          <cell r="G2036" t="str">
            <v>2214A</v>
          </cell>
          <cell r="H2036">
            <v>2675.27</v>
          </cell>
          <cell r="I2036">
            <v>1</v>
          </cell>
          <cell r="J2036">
            <v>12</v>
          </cell>
          <cell r="K2036">
            <v>1</v>
          </cell>
          <cell r="L2036">
            <v>32103.24</v>
          </cell>
        </row>
        <row r="2037">
          <cell r="A2037">
            <v>102905</v>
          </cell>
          <cell r="B2037">
            <v>20489</v>
          </cell>
          <cell r="C2037">
            <v>23005</v>
          </cell>
          <cell r="D2037" t="str">
            <v>adult</v>
          </cell>
          <cell r="E2037" t="str">
            <v>B</v>
          </cell>
          <cell r="F2037" t="str">
            <v>MEDICAL CASE WORKER II</v>
          </cell>
          <cell r="G2037" t="str">
            <v>9002A</v>
          </cell>
          <cell r="H2037">
            <v>3938.82</v>
          </cell>
          <cell r="I2037">
            <v>1</v>
          </cell>
          <cell r="J2037">
            <v>12</v>
          </cell>
          <cell r="K2037">
            <v>1</v>
          </cell>
          <cell r="L2037">
            <v>47265.68</v>
          </cell>
        </row>
        <row r="2038">
          <cell r="A2038">
            <v>104437</v>
          </cell>
          <cell r="B2038">
            <v>20658</v>
          </cell>
          <cell r="C2038">
            <v>23005</v>
          </cell>
          <cell r="D2038" t="str">
            <v>adult</v>
          </cell>
          <cell r="E2038" t="str">
            <v>B</v>
          </cell>
          <cell r="F2038" t="str">
            <v>MEDICAL CASE WORKER II</v>
          </cell>
          <cell r="G2038" t="str">
            <v>9002A</v>
          </cell>
          <cell r="H2038">
            <v>3938.82</v>
          </cell>
          <cell r="I2038">
            <v>1</v>
          </cell>
          <cell r="J2038">
            <v>12</v>
          </cell>
          <cell r="K2038">
            <v>1</v>
          </cell>
          <cell r="L2038">
            <v>47265.68</v>
          </cell>
        </row>
        <row r="2039">
          <cell r="A2039">
            <v>103562</v>
          </cell>
          <cell r="B2039">
            <v>20450</v>
          </cell>
          <cell r="C2039">
            <v>23005</v>
          </cell>
          <cell r="D2039" t="str">
            <v>adult</v>
          </cell>
          <cell r="E2039" t="str">
            <v>B</v>
          </cell>
          <cell r="F2039" t="str">
            <v>MENTAL HEALTH COUNSELOR, RN</v>
          </cell>
          <cell r="G2039" t="str">
            <v>5278A</v>
          </cell>
          <cell r="H2039">
            <v>6275.27</v>
          </cell>
          <cell r="I2039">
            <v>1</v>
          </cell>
          <cell r="J2039">
            <v>12</v>
          </cell>
          <cell r="K2039">
            <v>1</v>
          </cell>
          <cell r="L2039">
            <v>76804.323333333334</v>
          </cell>
        </row>
        <row r="2040">
          <cell r="A2040">
            <v>104318</v>
          </cell>
          <cell r="B2040">
            <v>23005</v>
          </cell>
          <cell r="C2040">
            <v>23005</v>
          </cell>
          <cell r="D2040" t="str">
            <v>adult</v>
          </cell>
          <cell r="E2040" t="str">
            <v>B</v>
          </cell>
          <cell r="F2040" t="str">
            <v>MENTAL HEALTH COUNSELOR, RN</v>
          </cell>
          <cell r="G2040" t="str">
            <v>5278A</v>
          </cell>
          <cell r="H2040">
            <v>6275.27</v>
          </cell>
          <cell r="I2040">
            <v>1</v>
          </cell>
          <cell r="J2040">
            <v>12</v>
          </cell>
          <cell r="K2040">
            <v>1</v>
          </cell>
          <cell r="L2040">
            <v>76804.323333333334</v>
          </cell>
        </row>
        <row r="2041">
          <cell r="A2041">
            <v>104425</v>
          </cell>
          <cell r="B2041">
            <v>23005</v>
          </cell>
          <cell r="C2041">
            <v>23005</v>
          </cell>
          <cell r="D2041" t="str">
            <v>adult</v>
          </cell>
          <cell r="E2041" t="str">
            <v>B</v>
          </cell>
          <cell r="F2041" t="str">
            <v>MENTAL HEALTH COUNSELOR, RN</v>
          </cell>
          <cell r="G2041" t="str">
            <v>5278A</v>
          </cell>
          <cell r="H2041">
            <v>6275.27</v>
          </cell>
          <cell r="I2041">
            <v>1</v>
          </cell>
          <cell r="J2041">
            <v>12</v>
          </cell>
          <cell r="K2041">
            <v>1</v>
          </cell>
          <cell r="L2041">
            <v>76804.323333333334</v>
          </cell>
        </row>
        <row r="2042">
          <cell r="A2042">
            <v>106631</v>
          </cell>
          <cell r="B2042">
            <v>18676</v>
          </cell>
          <cell r="C2042">
            <v>23005</v>
          </cell>
          <cell r="D2042" t="str">
            <v>adult</v>
          </cell>
          <cell r="E2042" t="str">
            <v>B</v>
          </cell>
          <cell r="F2042" t="str">
            <v>MENTAL HEALTH COUNSELOR, RN</v>
          </cell>
          <cell r="G2042" t="str">
            <v>5278A</v>
          </cell>
          <cell r="H2042">
            <v>6275.27</v>
          </cell>
          <cell r="I2042">
            <v>1</v>
          </cell>
          <cell r="J2042">
            <v>12</v>
          </cell>
          <cell r="K2042">
            <v>1</v>
          </cell>
          <cell r="L2042">
            <v>76804.323333333334</v>
          </cell>
        </row>
        <row r="2043">
          <cell r="A2043">
            <v>101874</v>
          </cell>
          <cell r="B2043">
            <v>23005</v>
          </cell>
          <cell r="C2043">
            <v>23005</v>
          </cell>
          <cell r="D2043" t="str">
            <v>adult</v>
          </cell>
          <cell r="E2043" t="str">
            <v>B</v>
          </cell>
          <cell r="F2043" t="str">
            <v>MENTAL HEALTH PSYCHIATRIST</v>
          </cell>
          <cell r="G2043" t="str">
            <v>4735A</v>
          </cell>
          <cell r="H2043">
            <v>12844</v>
          </cell>
          <cell r="I2043">
            <v>1</v>
          </cell>
          <cell r="J2043">
            <v>12</v>
          </cell>
          <cell r="K2043">
            <v>1</v>
          </cell>
          <cell r="L2043">
            <v>154128</v>
          </cell>
        </row>
        <row r="2044">
          <cell r="A2044">
            <v>104320</v>
          </cell>
          <cell r="B2044">
            <v>23005</v>
          </cell>
          <cell r="C2044">
            <v>23005</v>
          </cell>
          <cell r="D2044" t="str">
            <v>adult</v>
          </cell>
          <cell r="E2044" t="str">
            <v>B</v>
          </cell>
          <cell r="F2044" t="str">
            <v>MENTAL HEALTH PSYCHIATRIST</v>
          </cell>
          <cell r="G2044" t="str">
            <v>4735A</v>
          </cell>
          <cell r="H2044">
            <v>12844</v>
          </cell>
          <cell r="I2044">
            <v>1</v>
          </cell>
          <cell r="J2044">
            <v>12</v>
          </cell>
          <cell r="K2044">
            <v>1</v>
          </cell>
          <cell r="L2044">
            <v>154128</v>
          </cell>
        </row>
        <row r="2045">
          <cell r="A2045">
            <v>102626</v>
          </cell>
          <cell r="B2045">
            <v>20570</v>
          </cell>
          <cell r="C2045">
            <v>23005</v>
          </cell>
          <cell r="D2045" t="str">
            <v>adult</v>
          </cell>
          <cell r="E2045" t="str">
            <v>B</v>
          </cell>
          <cell r="F2045" t="str">
            <v>MNTL HLTH CLINICAL PROGRAM HEAD</v>
          </cell>
          <cell r="G2045" t="str">
            <v>4726A</v>
          </cell>
          <cell r="H2045">
            <v>8709.73</v>
          </cell>
          <cell r="I2045">
            <v>1</v>
          </cell>
          <cell r="J2045">
            <v>12</v>
          </cell>
          <cell r="K2045">
            <v>1</v>
          </cell>
          <cell r="L2045">
            <v>104516.76</v>
          </cell>
        </row>
        <row r="2046">
          <cell r="A2046">
            <v>102612</v>
          </cell>
          <cell r="B2046">
            <v>23005</v>
          </cell>
          <cell r="C2046">
            <v>23005</v>
          </cell>
          <cell r="D2046" t="str">
            <v>adult</v>
          </cell>
          <cell r="E2046" t="str">
            <v>B</v>
          </cell>
          <cell r="F2046" t="str">
            <v xml:space="preserve">PATIENT FINANCIAL SERVICES WORKER  </v>
          </cell>
          <cell r="G2046" t="str">
            <v>9193A</v>
          </cell>
          <cell r="H2046">
            <v>3403.55</v>
          </cell>
          <cell r="I2046">
            <v>1</v>
          </cell>
          <cell r="J2046">
            <v>12</v>
          </cell>
          <cell r="K2046">
            <v>1</v>
          </cell>
          <cell r="L2046">
            <v>40842.6</v>
          </cell>
        </row>
        <row r="2047">
          <cell r="A2047">
            <v>101113</v>
          </cell>
          <cell r="B2047">
            <v>23005</v>
          </cell>
          <cell r="C2047">
            <v>23005</v>
          </cell>
          <cell r="D2047" t="str">
            <v>adult</v>
          </cell>
          <cell r="E2047" t="str">
            <v>B</v>
          </cell>
          <cell r="F2047" t="str">
            <v>PSYCHIATRIC SOCIAL WORKER II</v>
          </cell>
          <cell r="G2047" t="str">
            <v>9035A</v>
          </cell>
          <cell r="H2047">
            <v>5425.82</v>
          </cell>
          <cell r="I2047">
            <v>1</v>
          </cell>
          <cell r="J2047">
            <v>12</v>
          </cell>
          <cell r="K2047">
            <v>1</v>
          </cell>
          <cell r="L2047">
            <v>65109.84</v>
          </cell>
        </row>
        <row r="2048">
          <cell r="A2048">
            <v>104193</v>
          </cell>
          <cell r="B2048">
            <v>23005</v>
          </cell>
          <cell r="C2048">
            <v>23005</v>
          </cell>
          <cell r="D2048" t="str">
            <v>adult</v>
          </cell>
          <cell r="E2048" t="str">
            <v>B</v>
          </cell>
          <cell r="F2048" t="str">
            <v>PSYCHIATRIC SOCIAL WORKER II</v>
          </cell>
          <cell r="G2048" t="str">
            <v>9035A</v>
          </cell>
          <cell r="H2048">
            <v>5425.82</v>
          </cell>
          <cell r="I2048">
            <v>1</v>
          </cell>
          <cell r="J2048">
            <v>12</v>
          </cell>
          <cell r="K2048">
            <v>1</v>
          </cell>
          <cell r="L2048">
            <v>65109.84</v>
          </cell>
        </row>
        <row r="2049">
          <cell r="A2049">
            <v>104226</v>
          </cell>
          <cell r="B2049">
            <v>20488</v>
          </cell>
          <cell r="C2049">
            <v>23005</v>
          </cell>
          <cell r="D2049" t="str">
            <v>adult</v>
          </cell>
          <cell r="E2049" t="str">
            <v>B</v>
          </cell>
          <cell r="F2049" t="str">
            <v>PSYCHIATRIC SOCIAL WORKER II</v>
          </cell>
          <cell r="G2049" t="str">
            <v>9035A</v>
          </cell>
          <cell r="H2049">
            <v>5425.82</v>
          </cell>
          <cell r="I2049">
            <v>1</v>
          </cell>
          <cell r="J2049">
            <v>12</v>
          </cell>
          <cell r="K2049">
            <v>1</v>
          </cell>
          <cell r="L2049">
            <v>65109.84</v>
          </cell>
        </row>
        <row r="2050">
          <cell r="A2050">
            <v>104746</v>
          </cell>
          <cell r="B2050">
            <v>23005</v>
          </cell>
          <cell r="C2050">
            <v>23005</v>
          </cell>
          <cell r="D2050" t="str">
            <v>adult</v>
          </cell>
          <cell r="E2050" t="str">
            <v>B</v>
          </cell>
          <cell r="F2050" t="str">
            <v>PSYCHIATRIC SOCIAL WORKER II</v>
          </cell>
          <cell r="G2050" t="str">
            <v>9035A</v>
          </cell>
          <cell r="H2050">
            <v>5425.82</v>
          </cell>
          <cell r="I2050">
            <v>1</v>
          </cell>
          <cell r="J2050">
            <v>12</v>
          </cell>
          <cell r="K2050">
            <v>1</v>
          </cell>
          <cell r="L2050">
            <v>65109.84</v>
          </cell>
        </row>
        <row r="2051">
          <cell r="A2051">
            <v>104747</v>
          </cell>
          <cell r="B2051">
            <v>23005</v>
          </cell>
          <cell r="C2051">
            <v>23005</v>
          </cell>
          <cell r="D2051" t="str">
            <v>adult</v>
          </cell>
          <cell r="E2051" t="str">
            <v>B</v>
          </cell>
          <cell r="F2051" t="str">
            <v>PSYCHIATRIC SOCIAL WORKER II</v>
          </cell>
          <cell r="G2051" t="str">
            <v>9035A</v>
          </cell>
          <cell r="H2051">
            <v>5425.82</v>
          </cell>
          <cell r="I2051">
            <v>1</v>
          </cell>
          <cell r="J2051">
            <v>12</v>
          </cell>
          <cell r="K2051">
            <v>1</v>
          </cell>
          <cell r="L2051">
            <v>65109.84</v>
          </cell>
        </row>
        <row r="2052">
          <cell r="A2052">
            <v>106029</v>
          </cell>
          <cell r="B2052">
            <v>21533</v>
          </cell>
          <cell r="C2052">
            <v>23005</v>
          </cell>
          <cell r="D2052" t="str">
            <v>adult</v>
          </cell>
          <cell r="E2052" t="str">
            <v>B</v>
          </cell>
          <cell r="F2052" t="str">
            <v>PSYCHIATRIC SOCIAL WORKER II</v>
          </cell>
          <cell r="G2052" t="str">
            <v>9035A</v>
          </cell>
          <cell r="H2052">
            <v>5425.82</v>
          </cell>
          <cell r="I2052">
            <v>1</v>
          </cell>
          <cell r="J2052">
            <v>12</v>
          </cell>
          <cell r="K2052">
            <v>1</v>
          </cell>
          <cell r="L2052">
            <v>65109.84</v>
          </cell>
        </row>
        <row r="2053">
          <cell r="A2053">
            <v>106184</v>
          </cell>
          <cell r="B2053">
            <v>18676</v>
          </cell>
          <cell r="C2053">
            <v>23005</v>
          </cell>
          <cell r="D2053" t="str">
            <v>adult</v>
          </cell>
          <cell r="E2053" t="str">
            <v>B</v>
          </cell>
          <cell r="F2053" t="str">
            <v xml:space="preserve">SENIOR COMMUNITY WORKER I          </v>
          </cell>
          <cell r="G2053" t="str">
            <v>8104A</v>
          </cell>
          <cell r="H2053">
            <v>3087.73</v>
          </cell>
          <cell r="I2053">
            <v>1</v>
          </cell>
          <cell r="J2053">
            <v>12</v>
          </cell>
          <cell r="K2053">
            <v>1</v>
          </cell>
          <cell r="L2053">
            <v>37052.76</v>
          </cell>
        </row>
        <row r="2054">
          <cell r="A2054">
            <v>102512</v>
          </cell>
          <cell r="B2054">
            <v>23005</v>
          </cell>
          <cell r="C2054">
            <v>23005</v>
          </cell>
          <cell r="D2054" t="str">
            <v>adult</v>
          </cell>
          <cell r="E2054" t="str">
            <v>B</v>
          </cell>
          <cell r="F2054" t="str">
            <v xml:space="preserve">SUPVG PSYCHIATRIC SOCIAL WORKER    </v>
          </cell>
          <cell r="G2054" t="str">
            <v>9038A</v>
          </cell>
          <cell r="H2054">
            <v>6062.45</v>
          </cell>
          <cell r="I2054">
            <v>1</v>
          </cell>
          <cell r="J2054">
            <v>12</v>
          </cell>
          <cell r="K2054">
            <v>1</v>
          </cell>
          <cell r="L2054">
            <v>72749.399999999994</v>
          </cell>
        </row>
        <row r="2055">
          <cell r="A2055">
            <v>104448</v>
          </cell>
          <cell r="B2055">
            <v>20563</v>
          </cell>
          <cell r="C2055">
            <v>20563</v>
          </cell>
          <cell r="D2055" t="str">
            <v>adult</v>
          </cell>
          <cell r="E2055" t="str">
            <v>B</v>
          </cell>
          <cell r="F2055" t="str">
            <v>INTERMEDIATE TYPIST-CLERK</v>
          </cell>
          <cell r="G2055" t="str">
            <v>2214A</v>
          </cell>
          <cell r="H2055">
            <v>2675.27</v>
          </cell>
          <cell r="I2055">
            <v>1</v>
          </cell>
          <cell r="J2055">
            <v>12</v>
          </cell>
          <cell r="K2055">
            <v>1</v>
          </cell>
          <cell r="L2055">
            <v>32103.16</v>
          </cell>
        </row>
        <row r="2056">
          <cell r="A2056">
            <v>104447</v>
          </cell>
          <cell r="B2056">
            <v>20563</v>
          </cell>
          <cell r="C2056">
            <v>20563</v>
          </cell>
          <cell r="D2056" t="str">
            <v>adult</v>
          </cell>
          <cell r="E2056" t="str">
            <v>B</v>
          </cell>
          <cell r="F2056" t="str">
            <v>MENTAL HEALTH PSYCHIATRIST</v>
          </cell>
          <cell r="G2056" t="str">
            <v>4735A</v>
          </cell>
          <cell r="H2056">
            <v>12844</v>
          </cell>
          <cell r="I2056">
            <v>1</v>
          </cell>
          <cell r="J2056">
            <v>12</v>
          </cell>
          <cell r="K2056">
            <v>1</v>
          </cell>
          <cell r="L2056">
            <v>154128</v>
          </cell>
        </row>
        <row r="2057">
          <cell r="A2057">
            <v>104449</v>
          </cell>
          <cell r="B2057">
            <v>20563</v>
          </cell>
          <cell r="C2057">
            <v>20563</v>
          </cell>
          <cell r="D2057" t="str">
            <v>adult</v>
          </cell>
          <cell r="E2057" t="str">
            <v>B</v>
          </cell>
          <cell r="F2057" t="str">
            <v>MENTAL HEALTH PSYCHIATRIST</v>
          </cell>
          <cell r="G2057" t="str">
            <v>4735A</v>
          </cell>
          <cell r="H2057">
            <v>12844</v>
          </cell>
          <cell r="I2057">
            <v>1</v>
          </cell>
          <cell r="J2057">
            <v>12</v>
          </cell>
          <cell r="K2057">
            <v>1</v>
          </cell>
          <cell r="L2057">
            <v>154128</v>
          </cell>
        </row>
        <row r="2058">
          <cell r="A2058">
            <v>102002</v>
          </cell>
          <cell r="B2058">
            <v>20563</v>
          </cell>
          <cell r="C2058">
            <v>20563</v>
          </cell>
          <cell r="D2058" t="str">
            <v>adult</v>
          </cell>
          <cell r="E2058" t="str">
            <v>B</v>
          </cell>
          <cell r="F2058" t="str">
            <v>SENIOR MENTAL HEALTH COUNSELOR, RN</v>
          </cell>
          <cell r="G2058" t="str">
            <v>5280A</v>
          </cell>
          <cell r="H2058">
            <v>6790.09</v>
          </cell>
          <cell r="I2058">
            <v>1</v>
          </cell>
          <cell r="J2058">
            <v>12</v>
          </cell>
          <cell r="K2058">
            <v>1</v>
          </cell>
          <cell r="L2058">
            <v>83105.40203389831</v>
          </cell>
        </row>
        <row r="2059">
          <cell r="A2059">
            <v>103328</v>
          </cell>
          <cell r="B2059">
            <v>21561</v>
          </cell>
          <cell r="C2059">
            <v>21561</v>
          </cell>
          <cell r="D2059" t="str">
            <v>adult</v>
          </cell>
          <cell r="E2059" t="str">
            <v>B</v>
          </cell>
          <cell r="F2059" t="str">
            <v>CLINICAL PSYCHOLOGIST II</v>
          </cell>
          <cell r="G2059" t="str">
            <v>8697A</v>
          </cell>
          <cell r="H2059">
            <v>6993.82</v>
          </cell>
          <cell r="I2059">
            <v>1</v>
          </cell>
          <cell r="J2059">
            <v>12</v>
          </cell>
          <cell r="K2059">
            <v>1</v>
          </cell>
          <cell r="L2059">
            <v>83925.52</v>
          </cell>
        </row>
        <row r="2060">
          <cell r="A2060">
            <v>106070</v>
          </cell>
          <cell r="B2060">
            <v>18676</v>
          </cell>
          <cell r="C2060">
            <v>21561</v>
          </cell>
          <cell r="D2060" t="str">
            <v>adult</v>
          </cell>
          <cell r="E2060" t="str">
            <v>B</v>
          </cell>
          <cell r="F2060" t="str">
            <v>CLINICAL PSYCHOLOGIST II</v>
          </cell>
          <cell r="G2060" t="str">
            <v>8697A</v>
          </cell>
          <cell r="H2060">
            <v>6993.82</v>
          </cell>
          <cell r="I2060">
            <v>1</v>
          </cell>
          <cell r="J2060">
            <v>12</v>
          </cell>
          <cell r="K2060">
            <v>1</v>
          </cell>
          <cell r="L2060">
            <v>83925.52</v>
          </cell>
        </row>
        <row r="2061">
          <cell r="A2061">
            <v>107353</v>
          </cell>
          <cell r="B2061">
            <v>18639</v>
          </cell>
          <cell r="C2061">
            <v>21561</v>
          </cell>
          <cell r="D2061" t="str">
            <v>adult</v>
          </cell>
          <cell r="E2061" t="str">
            <v>B</v>
          </cell>
          <cell r="F2061" t="str">
            <v>CLINICAL PSYCHOLOGIST II</v>
          </cell>
          <cell r="G2061" t="str">
            <v>8697A</v>
          </cell>
          <cell r="H2061">
            <v>6993.82</v>
          </cell>
          <cell r="I2061">
            <v>1</v>
          </cell>
          <cell r="J2061">
            <v>12</v>
          </cell>
          <cell r="K2061">
            <v>1</v>
          </cell>
          <cell r="L2061">
            <v>83925.52</v>
          </cell>
        </row>
        <row r="2062">
          <cell r="A2062">
            <v>107354</v>
          </cell>
          <cell r="B2062">
            <v>18639</v>
          </cell>
          <cell r="C2062">
            <v>21561</v>
          </cell>
          <cell r="D2062" t="str">
            <v>adult</v>
          </cell>
          <cell r="E2062" t="str">
            <v>B</v>
          </cell>
          <cell r="F2062" t="str">
            <v>CLINICAL PSYCHOLOGIST II</v>
          </cell>
          <cell r="G2062" t="str">
            <v>8697A</v>
          </cell>
          <cell r="H2062">
            <v>6993.82</v>
          </cell>
          <cell r="I2062">
            <v>1</v>
          </cell>
          <cell r="J2062">
            <v>12</v>
          </cell>
          <cell r="K2062">
            <v>1</v>
          </cell>
          <cell r="L2062">
            <v>83925.52</v>
          </cell>
        </row>
        <row r="2063">
          <cell r="A2063">
            <v>107355</v>
          </cell>
          <cell r="B2063">
            <v>18639</v>
          </cell>
          <cell r="C2063">
            <v>21561</v>
          </cell>
          <cell r="D2063" t="str">
            <v>adult</v>
          </cell>
          <cell r="E2063" t="str">
            <v>B</v>
          </cell>
          <cell r="F2063" t="str">
            <v>CLINICAL PSYCHOLOGIST II</v>
          </cell>
          <cell r="G2063" t="str">
            <v>8697A</v>
          </cell>
          <cell r="H2063">
            <v>6993.82</v>
          </cell>
          <cell r="I2063">
            <v>1</v>
          </cell>
          <cell r="J2063">
            <v>12</v>
          </cell>
          <cell r="K2063">
            <v>1</v>
          </cell>
          <cell r="L2063">
            <v>83925.52</v>
          </cell>
        </row>
        <row r="2064">
          <cell r="A2064">
            <v>109774</v>
          </cell>
          <cell r="B2064">
            <v>27592</v>
          </cell>
          <cell r="C2064">
            <v>21561</v>
          </cell>
          <cell r="D2064" t="str">
            <v>adult</v>
          </cell>
          <cell r="E2064" t="str">
            <v>B</v>
          </cell>
          <cell r="F2064" t="str">
            <v>CLINICAL PSYCHOLOGIST II</v>
          </cell>
          <cell r="G2064" t="str">
            <v>8697A</v>
          </cell>
          <cell r="H2064">
            <v>6993.82</v>
          </cell>
          <cell r="I2064">
            <v>1</v>
          </cell>
          <cell r="J2064">
            <v>12</v>
          </cell>
          <cell r="K2064">
            <v>1</v>
          </cell>
          <cell r="L2064">
            <v>83925.84</v>
          </cell>
        </row>
        <row r="2065">
          <cell r="A2065">
            <v>106005</v>
          </cell>
          <cell r="B2065">
            <v>21533</v>
          </cell>
          <cell r="C2065">
            <v>21561</v>
          </cell>
          <cell r="D2065" t="str">
            <v>adult</v>
          </cell>
          <cell r="E2065" t="str">
            <v>B</v>
          </cell>
          <cell r="F2065" t="str">
            <v>COMMUNITY WORKER</v>
          </cell>
          <cell r="G2065" t="str">
            <v>8103A</v>
          </cell>
          <cell r="H2065">
            <v>2984.09</v>
          </cell>
          <cell r="I2065">
            <v>1</v>
          </cell>
          <cell r="J2065">
            <v>12</v>
          </cell>
          <cell r="K2065">
            <v>1</v>
          </cell>
          <cell r="L2065">
            <v>35809.08</v>
          </cell>
        </row>
        <row r="2066">
          <cell r="A2066">
            <v>104708</v>
          </cell>
          <cell r="B2066">
            <v>18634</v>
          </cell>
          <cell r="C2066">
            <v>21561</v>
          </cell>
          <cell r="D2066" t="str">
            <v>adult</v>
          </cell>
          <cell r="E2066" t="str">
            <v>B</v>
          </cell>
          <cell r="F2066" t="str">
            <v>INTERMEDIATE TYPIST-CLERK</v>
          </cell>
          <cell r="G2066" t="str">
            <v>2214A</v>
          </cell>
          <cell r="H2066">
            <v>2675.27</v>
          </cell>
          <cell r="I2066">
            <v>1</v>
          </cell>
          <cell r="J2066">
            <v>12</v>
          </cell>
          <cell r="K2066">
            <v>1</v>
          </cell>
          <cell r="L2066">
            <v>32103.16</v>
          </cell>
        </row>
        <row r="2067">
          <cell r="A2067">
            <v>104945</v>
          </cell>
          <cell r="B2067">
            <v>21561</v>
          </cell>
          <cell r="C2067">
            <v>21561</v>
          </cell>
          <cell r="D2067" t="str">
            <v>adult</v>
          </cell>
          <cell r="E2067" t="str">
            <v>B</v>
          </cell>
          <cell r="F2067" t="str">
            <v>INTERMEDIATE TYPIST-CLERK</v>
          </cell>
          <cell r="G2067" t="str">
            <v>2214A</v>
          </cell>
          <cell r="H2067">
            <v>2675.27</v>
          </cell>
          <cell r="I2067">
            <v>1</v>
          </cell>
          <cell r="J2067">
            <v>12</v>
          </cell>
          <cell r="K2067">
            <v>1</v>
          </cell>
          <cell r="L2067">
            <v>32103.16</v>
          </cell>
        </row>
        <row r="2068">
          <cell r="A2068">
            <v>109687</v>
          </cell>
          <cell r="B2068">
            <v>21561</v>
          </cell>
          <cell r="C2068">
            <v>21561</v>
          </cell>
          <cell r="D2068" t="str">
            <v>adult</v>
          </cell>
          <cell r="E2068" t="str">
            <v>B</v>
          </cell>
          <cell r="F2068" t="str">
            <v>INTERMEDIATE TYPIST-CLERK</v>
          </cell>
          <cell r="G2068" t="str">
            <v>2214A</v>
          </cell>
          <cell r="H2068">
            <v>2675.27</v>
          </cell>
          <cell r="I2068">
            <v>1</v>
          </cell>
          <cell r="J2068">
            <v>12</v>
          </cell>
          <cell r="K2068">
            <v>1</v>
          </cell>
          <cell r="L2068">
            <v>32103.24</v>
          </cell>
        </row>
        <row r="2069">
          <cell r="A2069">
            <v>106335</v>
          </cell>
          <cell r="B2069">
            <v>21561</v>
          </cell>
          <cell r="C2069">
            <v>21561</v>
          </cell>
          <cell r="D2069" t="str">
            <v>adult</v>
          </cell>
          <cell r="E2069" t="str">
            <v>B</v>
          </cell>
          <cell r="F2069" t="str">
            <v>MEDICAL CASE WORKER II</v>
          </cell>
          <cell r="G2069" t="str">
            <v>9002A</v>
          </cell>
          <cell r="H2069">
            <v>3938.82</v>
          </cell>
          <cell r="I2069">
            <v>1</v>
          </cell>
          <cell r="J2069">
            <v>12</v>
          </cell>
          <cell r="K2069">
            <v>1</v>
          </cell>
          <cell r="L2069">
            <v>47265.68</v>
          </cell>
        </row>
        <row r="2070">
          <cell r="A2070">
            <v>109186</v>
          </cell>
          <cell r="B2070">
            <v>27506</v>
          </cell>
          <cell r="C2070">
            <v>21561</v>
          </cell>
          <cell r="D2070" t="str">
            <v>adult</v>
          </cell>
          <cell r="E2070" t="str">
            <v>B</v>
          </cell>
          <cell r="F2070" t="str">
            <v>MEDICAL CASE WORKER II</v>
          </cell>
          <cell r="G2070" t="str">
            <v>9002A</v>
          </cell>
          <cell r="H2070">
            <v>3938.82</v>
          </cell>
          <cell r="I2070">
            <v>1</v>
          </cell>
          <cell r="J2070">
            <v>12</v>
          </cell>
          <cell r="K2070">
            <v>1</v>
          </cell>
          <cell r="L2070">
            <v>47265.68</v>
          </cell>
        </row>
        <row r="2071">
          <cell r="A2071">
            <v>109882</v>
          </cell>
          <cell r="B2071">
            <v>27592</v>
          </cell>
          <cell r="C2071">
            <v>21561</v>
          </cell>
          <cell r="D2071" t="str">
            <v>adult</v>
          </cell>
          <cell r="E2071" t="str">
            <v>B</v>
          </cell>
          <cell r="F2071" t="str">
            <v>MEDICAL CASE WORKER II</v>
          </cell>
          <cell r="G2071" t="str">
            <v>9002A</v>
          </cell>
          <cell r="H2071">
            <v>3938.82</v>
          </cell>
          <cell r="I2071">
            <v>1</v>
          </cell>
          <cell r="J2071">
            <v>12</v>
          </cell>
          <cell r="K2071">
            <v>1</v>
          </cell>
          <cell r="L2071">
            <v>47265.84</v>
          </cell>
        </row>
        <row r="2072">
          <cell r="A2072">
            <v>102694</v>
          </cell>
          <cell r="B2072">
            <v>21561</v>
          </cell>
          <cell r="C2072">
            <v>21561</v>
          </cell>
          <cell r="D2072" t="str">
            <v>adult</v>
          </cell>
          <cell r="E2072" t="str">
            <v>B</v>
          </cell>
          <cell r="F2072" t="str">
            <v>MENTAL HEALTH COUNSELOR, RN</v>
          </cell>
          <cell r="G2072" t="str">
            <v>5278N</v>
          </cell>
          <cell r="H2072">
            <v>6400.38</v>
          </cell>
          <cell r="I2072">
            <v>1</v>
          </cell>
          <cell r="J2072">
            <v>12</v>
          </cell>
          <cell r="K2072">
            <v>1</v>
          </cell>
          <cell r="L2072">
            <v>76804.740000000005</v>
          </cell>
        </row>
        <row r="2073">
          <cell r="A2073">
            <v>104453</v>
          </cell>
          <cell r="B2073">
            <v>21561</v>
          </cell>
          <cell r="C2073">
            <v>21561</v>
          </cell>
          <cell r="D2073" t="str">
            <v>adult</v>
          </cell>
          <cell r="E2073" t="str">
            <v>B</v>
          </cell>
          <cell r="F2073" t="str">
            <v>MENTAL HEALTH PSYCHIATRIST</v>
          </cell>
          <cell r="G2073" t="str">
            <v>4735A</v>
          </cell>
          <cell r="H2073">
            <v>12844</v>
          </cell>
          <cell r="I2073">
            <v>1</v>
          </cell>
          <cell r="J2073">
            <v>12</v>
          </cell>
          <cell r="K2073">
            <v>1</v>
          </cell>
          <cell r="L2073">
            <v>154128</v>
          </cell>
        </row>
        <row r="2074">
          <cell r="A2074">
            <v>106336</v>
          </cell>
          <cell r="B2074">
            <v>21561</v>
          </cell>
          <cell r="C2074">
            <v>21561</v>
          </cell>
          <cell r="D2074" t="str">
            <v>adult</v>
          </cell>
          <cell r="E2074" t="str">
            <v>B</v>
          </cell>
          <cell r="F2074" t="str">
            <v>MENTAL HEALTH PSYCHIATRIST</v>
          </cell>
          <cell r="G2074" t="str">
            <v>4735A</v>
          </cell>
          <cell r="H2074">
            <v>12844</v>
          </cell>
          <cell r="I2074">
            <v>1</v>
          </cell>
          <cell r="J2074">
            <v>6</v>
          </cell>
          <cell r="K2074">
            <v>0.5</v>
          </cell>
          <cell r="L2074">
            <v>77064</v>
          </cell>
        </row>
        <row r="2075">
          <cell r="A2075">
            <v>102919</v>
          </cell>
          <cell r="B2075">
            <v>18703</v>
          </cell>
          <cell r="C2075">
            <v>21561</v>
          </cell>
          <cell r="D2075" t="str">
            <v>adult</v>
          </cell>
          <cell r="E2075" t="str">
            <v>B</v>
          </cell>
          <cell r="F2075" t="str">
            <v>MENTAL HEALTH SERVICES COORD II</v>
          </cell>
          <cell r="G2075" t="str">
            <v>8149A</v>
          </cell>
          <cell r="H2075">
            <v>5152.3599999999997</v>
          </cell>
          <cell r="I2075">
            <v>1</v>
          </cell>
          <cell r="J2075">
            <v>12</v>
          </cell>
          <cell r="K2075">
            <v>1</v>
          </cell>
          <cell r="L2075">
            <v>61828.72</v>
          </cell>
        </row>
        <row r="2076">
          <cell r="A2076">
            <v>109758</v>
          </cell>
          <cell r="B2076">
            <v>21561</v>
          </cell>
          <cell r="C2076">
            <v>21561</v>
          </cell>
          <cell r="D2076" t="str">
            <v>adult</v>
          </cell>
          <cell r="E2076" t="str">
            <v>B</v>
          </cell>
          <cell r="F2076" t="str">
            <v>PATIENT RESOURCES WORKER</v>
          </cell>
          <cell r="G2076" t="str">
            <v>9192A</v>
          </cell>
          <cell r="H2076">
            <v>2748.27</v>
          </cell>
          <cell r="I2076">
            <v>1</v>
          </cell>
          <cell r="J2076">
            <v>12</v>
          </cell>
          <cell r="K2076">
            <v>1</v>
          </cell>
          <cell r="L2076">
            <v>32979.24</v>
          </cell>
        </row>
        <row r="2077">
          <cell r="A2077">
            <v>109312</v>
          </cell>
          <cell r="B2077">
            <v>18703</v>
          </cell>
          <cell r="C2077">
            <v>21561</v>
          </cell>
          <cell r="D2077" t="str">
            <v>adult</v>
          </cell>
          <cell r="E2077" t="str">
            <v>B</v>
          </cell>
          <cell r="F2077" t="str">
            <v xml:space="preserve">PSYCHIATRIC SOCIAL WORK CONSULTANT </v>
          </cell>
          <cell r="G2077" t="str">
            <v>9037A</v>
          </cell>
          <cell r="H2077">
            <v>5333</v>
          </cell>
          <cell r="I2077">
            <v>1</v>
          </cell>
          <cell r="J2077">
            <v>12</v>
          </cell>
          <cell r="K2077">
            <v>1</v>
          </cell>
          <cell r="L2077">
            <v>63996</v>
          </cell>
        </row>
        <row r="2078">
          <cell r="A2078">
            <v>101883</v>
          </cell>
          <cell r="B2078">
            <v>21561</v>
          </cell>
          <cell r="C2078">
            <v>21561</v>
          </cell>
          <cell r="D2078" t="str">
            <v>adult</v>
          </cell>
          <cell r="E2078" t="str">
            <v>B</v>
          </cell>
          <cell r="F2078" t="str">
            <v>PSYCHIATRIC SOCIAL WORKER II</v>
          </cell>
          <cell r="G2078" t="str">
            <v>9035A</v>
          </cell>
          <cell r="H2078">
            <v>5425.82</v>
          </cell>
          <cell r="I2078">
            <v>1</v>
          </cell>
          <cell r="J2078">
            <v>12</v>
          </cell>
          <cell r="K2078">
            <v>1</v>
          </cell>
          <cell r="L2078">
            <v>65109.84</v>
          </cell>
        </row>
        <row r="2079">
          <cell r="A2079">
            <v>102301</v>
          </cell>
          <cell r="B2079">
            <v>23017</v>
          </cell>
          <cell r="C2079">
            <v>21561</v>
          </cell>
          <cell r="D2079" t="str">
            <v>adult</v>
          </cell>
          <cell r="E2079" t="str">
            <v>B</v>
          </cell>
          <cell r="F2079" t="str">
            <v>PSYCHIATRIC SOCIAL WORKER II</v>
          </cell>
          <cell r="G2079" t="str">
            <v>9035A</v>
          </cell>
          <cell r="H2079">
            <v>5425.82</v>
          </cell>
          <cell r="I2079">
            <v>1</v>
          </cell>
          <cell r="J2079">
            <v>12</v>
          </cell>
          <cell r="K2079">
            <v>1</v>
          </cell>
          <cell r="L2079">
            <v>65109.84</v>
          </cell>
        </row>
        <row r="2080">
          <cell r="A2080">
            <v>102768</v>
          </cell>
          <cell r="B2080">
            <v>23034</v>
          </cell>
          <cell r="C2080">
            <v>21561</v>
          </cell>
          <cell r="D2080" t="str">
            <v>adult</v>
          </cell>
          <cell r="E2080" t="str">
            <v>B</v>
          </cell>
          <cell r="F2080" t="str">
            <v>PSYCHIATRIC SOCIAL WORKER II</v>
          </cell>
          <cell r="G2080" t="str">
            <v>9035A</v>
          </cell>
          <cell r="H2080">
            <v>5425.82</v>
          </cell>
          <cell r="I2080">
            <v>1</v>
          </cell>
          <cell r="J2080">
            <v>12</v>
          </cell>
          <cell r="K2080">
            <v>1</v>
          </cell>
          <cell r="L2080">
            <v>65109.84</v>
          </cell>
        </row>
        <row r="2081">
          <cell r="A2081">
            <v>104128</v>
          </cell>
          <cell r="B2081">
            <v>21561</v>
          </cell>
          <cell r="C2081">
            <v>21561</v>
          </cell>
          <cell r="D2081" t="str">
            <v>adult</v>
          </cell>
          <cell r="E2081" t="str">
            <v>B</v>
          </cell>
          <cell r="F2081" t="str">
            <v>PSYCHIATRIC SOCIAL WORKER II</v>
          </cell>
          <cell r="G2081" t="str">
            <v>9035A</v>
          </cell>
          <cell r="H2081">
            <v>5425.82</v>
          </cell>
          <cell r="I2081">
            <v>1</v>
          </cell>
          <cell r="J2081">
            <v>12</v>
          </cell>
          <cell r="K2081">
            <v>1</v>
          </cell>
          <cell r="L2081">
            <v>65109.84</v>
          </cell>
        </row>
        <row r="2082">
          <cell r="A2082">
            <v>104129</v>
          </cell>
          <cell r="B2082">
            <v>21561</v>
          </cell>
          <cell r="C2082">
            <v>21561</v>
          </cell>
          <cell r="D2082" t="str">
            <v>adult</v>
          </cell>
          <cell r="E2082" t="str">
            <v>B</v>
          </cell>
          <cell r="F2082" t="str">
            <v>PSYCHIATRIC SOCIAL WORKER II</v>
          </cell>
          <cell r="G2082" t="str">
            <v>9035A</v>
          </cell>
          <cell r="H2082">
            <v>5425.82</v>
          </cell>
          <cell r="I2082">
            <v>1</v>
          </cell>
          <cell r="J2082">
            <v>12</v>
          </cell>
          <cell r="K2082">
            <v>1</v>
          </cell>
          <cell r="L2082">
            <v>65109.84</v>
          </cell>
        </row>
        <row r="2083">
          <cell r="A2083">
            <v>104203</v>
          </cell>
          <cell r="B2083">
            <v>21561</v>
          </cell>
          <cell r="C2083">
            <v>21561</v>
          </cell>
          <cell r="D2083" t="str">
            <v>adult</v>
          </cell>
          <cell r="E2083" t="str">
            <v>B</v>
          </cell>
          <cell r="F2083" t="str">
            <v>PSYCHIATRIC SOCIAL WORKER II</v>
          </cell>
          <cell r="G2083" t="str">
            <v>9035A</v>
          </cell>
          <cell r="H2083">
            <v>5425.82</v>
          </cell>
          <cell r="I2083">
            <v>1</v>
          </cell>
          <cell r="J2083">
            <v>12</v>
          </cell>
          <cell r="K2083">
            <v>1</v>
          </cell>
          <cell r="L2083">
            <v>65109.84</v>
          </cell>
        </row>
        <row r="2084">
          <cell r="A2084">
            <v>104718</v>
          </cell>
          <cell r="B2084">
            <v>20459</v>
          </cell>
          <cell r="C2084">
            <v>21561</v>
          </cell>
          <cell r="D2084" t="str">
            <v>adult</v>
          </cell>
          <cell r="E2084" t="str">
            <v>B</v>
          </cell>
          <cell r="F2084" t="str">
            <v>PSYCHIATRIC SOCIAL WORKER II</v>
          </cell>
          <cell r="G2084" t="str">
            <v>9035A</v>
          </cell>
          <cell r="H2084">
            <v>5425.82</v>
          </cell>
          <cell r="I2084">
            <v>1</v>
          </cell>
          <cell r="J2084">
            <v>12</v>
          </cell>
          <cell r="K2084">
            <v>1</v>
          </cell>
          <cell r="L2084">
            <v>65109.84</v>
          </cell>
        </row>
        <row r="2085">
          <cell r="A2085">
            <v>109838</v>
          </cell>
          <cell r="B2085" t="str">
            <v>TBA</v>
          </cell>
          <cell r="C2085">
            <v>21561</v>
          </cell>
          <cell r="D2085" t="str">
            <v>adult</v>
          </cell>
          <cell r="E2085" t="str">
            <v>B</v>
          </cell>
          <cell r="F2085" t="str">
            <v>PSYCHIATRIC SOCIAL WORKER II</v>
          </cell>
          <cell r="G2085" t="str">
            <v>9035A</v>
          </cell>
          <cell r="H2085">
            <v>5425.82</v>
          </cell>
          <cell r="I2085">
            <v>1</v>
          </cell>
          <cell r="J2085">
            <v>12</v>
          </cell>
          <cell r="K2085">
            <v>1</v>
          </cell>
          <cell r="L2085">
            <v>65109.84</v>
          </cell>
        </row>
        <row r="2086">
          <cell r="A2086">
            <v>109900</v>
          </cell>
          <cell r="B2086">
            <v>27592</v>
          </cell>
          <cell r="C2086">
            <v>21561</v>
          </cell>
          <cell r="D2086" t="str">
            <v>adult</v>
          </cell>
          <cell r="E2086" t="str">
            <v>B</v>
          </cell>
          <cell r="F2086" t="str">
            <v>PSYCHIATRIC SOCIAL WORKER II</v>
          </cell>
          <cell r="G2086" t="str">
            <v>9035A</v>
          </cell>
          <cell r="H2086">
            <v>5425.82</v>
          </cell>
          <cell r="I2086">
            <v>1</v>
          </cell>
          <cell r="J2086">
            <v>12</v>
          </cell>
          <cell r="K2086">
            <v>1</v>
          </cell>
          <cell r="L2086">
            <v>65109.84</v>
          </cell>
        </row>
        <row r="2087">
          <cell r="A2087">
            <v>109902</v>
          </cell>
          <cell r="B2087">
            <v>27592</v>
          </cell>
          <cell r="C2087">
            <v>21561</v>
          </cell>
          <cell r="D2087" t="str">
            <v>adult</v>
          </cell>
          <cell r="E2087" t="str">
            <v>B</v>
          </cell>
          <cell r="F2087" t="str">
            <v>PSYCHIATRIC SOCIAL WORKER II</v>
          </cell>
          <cell r="G2087" t="str">
            <v>9035A</v>
          </cell>
          <cell r="H2087">
            <v>5425.82</v>
          </cell>
          <cell r="I2087">
            <v>1</v>
          </cell>
          <cell r="J2087">
            <v>12</v>
          </cell>
          <cell r="K2087">
            <v>1</v>
          </cell>
          <cell r="L2087">
            <v>65109.84</v>
          </cell>
        </row>
        <row r="2088">
          <cell r="A2088">
            <v>104646</v>
          </cell>
          <cell r="B2088">
            <v>20944</v>
          </cell>
          <cell r="C2088">
            <v>21561</v>
          </cell>
          <cell r="D2088" t="str">
            <v>adult</v>
          </cell>
          <cell r="E2088" t="str">
            <v>B</v>
          </cell>
          <cell r="F2088" t="str">
            <v xml:space="preserve">RESEARCH ANALYST II,BEHAVIOR SCI   </v>
          </cell>
          <cell r="G2088" t="str">
            <v>8972A</v>
          </cell>
          <cell r="H2088">
            <v>4520.7299999999996</v>
          </cell>
          <cell r="I2088">
            <v>1</v>
          </cell>
          <cell r="J2088">
            <v>12</v>
          </cell>
          <cell r="K2088">
            <v>1</v>
          </cell>
          <cell r="L2088">
            <v>54248.44</v>
          </cell>
        </row>
        <row r="2089">
          <cell r="A2089">
            <v>109432</v>
          </cell>
          <cell r="B2089">
            <v>27546</v>
          </cell>
          <cell r="C2089">
            <v>21561</v>
          </cell>
          <cell r="D2089" t="str">
            <v>adult</v>
          </cell>
          <cell r="E2089" t="str">
            <v>B</v>
          </cell>
          <cell r="F2089" t="str">
            <v xml:space="preserve">SENIOR TYPIST-CLERK                </v>
          </cell>
          <cell r="G2089" t="str">
            <v>2216A</v>
          </cell>
          <cell r="H2089">
            <v>3013.55</v>
          </cell>
          <cell r="I2089">
            <v>1</v>
          </cell>
          <cell r="J2089">
            <v>12</v>
          </cell>
          <cell r="K2089">
            <v>1</v>
          </cell>
          <cell r="L2089">
            <v>36162.6</v>
          </cell>
        </row>
        <row r="2090">
          <cell r="A2090">
            <v>106342</v>
          </cell>
          <cell r="B2090">
            <v>21561</v>
          </cell>
          <cell r="C2090">
            <v>21561</v>
          </cell>
          <cell r="D2090" t="str">
            <v>adult</v>
          </cell>
          <cell r="E2090" t="str">
            <v>B</v>
          </cell>
          <cell r="F2090" t="str">
            <v xml:space="preserve">STUDENT WORKER                     </v>
          </cell>
          <cell r="G2090" t="str">
            <v>8242F</v>
          </cell>
          <cell r="H2090">
            <v>8.52</v>
          </cell>
          <cell r="I2090">
            <v>1</v>
          </cell>
          <cell r="J2090">
            <v>1044</v>
          </cell>
          <cell r="K2090">
            <v>0</v>
          </cell>
          <cell r="L2090">
            <v>8895.24</v>
          </cell>
        </row>
        <row r="2091">
          <cell r="A2091">
            <v>106344</v>
          </cell>
          <cell r="B2091">
            <v>21561</v>
          </cell>
          <cell r="C2091">
            <v>21561</v>
          </cell>
          <cell r="D2091" t="str">
            <v>adult</v>
          </cell>
          <cell r="E2091" t="str">
            <v>B</v>
          </cell>
          <cell r="F2091" t="str">
            <v xml:space="preserve">SUPVG PSYCHIATRIC SOCIAL WORKER    </v>
          </cell>
          <cell r="G2091" t="str">
            <v>9038A</v>
          </cell>
          <cell r="H2091">
            <v>6062.45</v>
          </cell>
          <cell r="I2091">
            <v>1</v>
          </cell>
          <cell r="J2091">
            <v>12</v>
          </cell>
          <cell r="K2091">
            <v>1</v>
          </cell>
          <cell r="L2091">
            <v>72749.399999999994</v>
          </cell>
        </row>
        <row r="2092">
          <cell r="A2092">
            <v>101908</v>
          </cell>
          <cell r="B2092">
            <v>20570</v>
          </cell>
          <cell r="C2092">
            <v>20570</v>
          </cell>
          <cell r="D2092" t="str">
            <v>adult</v>
          </cell>
          <cell r="E2092" t="str">
            <v>B</v>
          </cell>
          <cell r="F2092" t="str">
            <v xml:space="preserve">INTERMEDIATE STENOGRAPHER          </v>
          </cell>
          <cell r="G2092" t="str">
            <v>2172A</v>
          </cell>
          <cell r="H2092">
            <v>2934</v>
          </cell>
          <cell r="I2092">
            <v>1</v>
          </cell>
          <cell r="J2092">
            <v>12</v>
          </cell>
          <cell r="K2092">
            <v>1</v>
          </cell>
          <cell r="L2092">
            <v>35208</v>
          </cell>
        </row>
        <row r="2093">
          <cell r="A2093">
            <v>102543</v>
          </cell>
          <cell r="B2093">
            <v>20570</v>
          </cell>
          <cell r="C2093">
            <v>20570</v>
          </cell>
          <cell r="D2093" t="str">
            <v>adult</v>
          </cell>
          <cell r="E2093" t="str">
            <v>B</v>
          </cell>
          <cell r="F2093" t="str">
            <v>MENTAL HEALTH SERVICES COORD II</v>
          </cell>
          <cell r="G2093" t="str">
            <v>8149A</v>
          </cell>
          <cell r="H2093">
            <v>5152.3599999999997</v>
          </cell>
          <cell r="I2093">
            <v>1</v>
          </cell>
          <cell r="J2093">
            <v>12</v>
          </cell>
          <cell r="K2093">
            <v>1</v>
          </cell>
          <cell r="L2093">
            <v>61828.72</v>
          </cell>
        </row>
        <row r="2094">
          <cell r="A2094">
            <v>104335</v>
          </cell>
          <cell r="B2094">
            <v>20472</v>
          </cell>
          <cell r="C2094">
            <v>20472</v>
          </cell>
          <cell r="D2094" t="str">
            <v>adult</v>
          </cell>
          <cell r="E2094" t="str">
            <v>B</v>
          </cell>
          <cell r="F2094" t="str">
            <v>COMMUNITY WORKER</v>
          </cell>
          <cell r="G2094" t="str">
            <v>8103A</v>
          </cell>
          <cell r="H2094">
            <v>2984.09</v>
          </cell>
          <cell r="I2094">
            <v>1</v>
          </cell>
          <cell r="J2094">
            <v>12</v>
          </cell>
          <cell r="K2094">
            <v>1</v>
          </cell>
          <cell r="L2094">
            <v>35809.08</v>
          </cell>
        </row>
        <row r="2095">
          <cell r="A2095">
            <v>103532</v>
          </cell>
          <cell r="B2095">
            <v>20472</v>
          </cell>
          <cell r="C2095">
            <v>20472</v>
          </cell>
          <cell r="D2095" t="str">
            <v>adult</v>
          </cell>
          <cell r="E2095" t="str">
            <v>B</v>
          </cell>
          <cell r="F2095" t="str">
            <v>INTERMEDIATE TYPIST-CLERK</v>
          </cell>
          <cell r="G2095" t="str">
            <v>2214A</v>
          </cell>
          <cell r="H2095">
            <v>2675.27</v>
          </cell>
          <cell r="I2095">
            <v>1</v>
          </cell>
          <cell r="J2095">
            <v>12</v>
          </cell>
          <cell r="K2095">
            <v>1</v>
          </cell>
          <cell r="L2095">
            <v>32103.16</v>
          </cell>
        </row>
        <row r="2096">
          <cell r="A2096">
            <v>103533</v>
          </cell>
          <cell r="B2096">
            <v>20472</v>
          </cell>
          <cell r="C2096">
            <v>20472</v>
          </cell>
          <cell r="D2096" t="str">
            <v>adult</v>
          </cell>
          <cell r="E2096" t="str">
            <v>B</v>
          </cell>
          <cell r="F2096" t="str">
            <v>MEDICAL CASE WORKER II</v>
          </cell>
          <cell r="G2096" t="str">
            <v>9002A</v>
          </cell>
          <cell r="H2096">
            <v>3938.82</v>
          </cell>
          <cell r="I2096">
            <v>1</v>
          </cell>
          <cell r="J2096">
            <v>12</v>
          </cell>
          <cell r="K2096">
            <v>1</v>
          </cell>
          <cell r="L2096">
            <v>47265.68</v>
          </cell>
        </row>
        <row r="2097">
          <cell r="A2097">
            <v>103534</v>
          </cell>
          <cell r="B2097">
            <v>20472</v>
          </cell>
          <cell r="C2097">
            <v>20472</v>
          </cell>
          <cell r="D2097" t="str">
            <v>adult</v>
          </cell>
          <cell r="E2097" t="str">
            <v>B</v>
          </cell>
          <cell r="F2097" t="str">
            <v>MEDICAL CASE WORKER II</v>
          </cell>
          <cell r="G2097" t="str">
            <v>9002A</v>
          </cell>
          <cell r="H2097">
            <v>3938.82</v>
          </cell>
          <cell r="I2097">
            <v>1</v>
          </cell>
          <cell r="J2097">
            <v>12</v>
          </cell>
          <cell r="K2097">
            <v>1</v>
          </cell>
          <cell r="L2097">
            <v>47265.68</v>
          </cell>
        </row>
        <row r="2098">
          <cell r="A2098">
            <v>109189</v>
          </cell>
          <cell r="B2098">
            <v>27506</v>
          </cell>
          <cell r="C2098">
            <v>20472</v>
          </cell>
          <cell r="D2098" t="str">
            <v>adult</v>
          </cell>
          <cell r="E2098" t="str">
            <v>B</v>
          </cell>
          <cell r="F2098" t="str">
            <v>MEDICAL CASE WORKER II</v>
          </cell>
          <cell r="G2098" t="str">
            <v>9002A</v>
          </cell>
          <cell r="H2098">
            <v>3938.82</v>
          </cell>
          <cell r="I2098">
            <v>1</v>
          </cell>
          <cell r="J2098">
            <v>12</v>
          </cell>
          <cell r="K2098">
            <v>1</v>
          </cell>
          <cell r="L2098">
            <v>47265.68</v>
          </cell>
        </row>
        <row r="2099">
          <cell r="A2099">
            <v>102672</v>
          </cell>
          <cell r="B2099">
            <v>20472</v>
          </cell>
          <cell r="C2099">
            <v>20472</v>
          </cell>
          <cell r="D2099" t="str">
            <v>adult</v>
          </cell>
          <cell r="E2099" t="str">
            <v>B</v>
          </cell>
          <cell r="F2099" t="str">
            <v>MENTAL HEALTH COUNSELOR, RN</v>
          </cell>
          <cell r="G2099" t="str">
            <v>5278A</v>
          </cell>
          <cell r="H2099">
            <v>6275.27</v>
          </cell>
          <cell r="I2099">
            <v>1</v>
          </cell>
          <cell r="J2099">
            <v>12</v>
          </cell>
          <cell r="K2099">
            <v>1</v>
          </cell>
          <cell r="L2099">
            <v>76804.323333333334</v>
          </cell>
        </row>
        <row r="2100">
          <cell r="A2100">
            <v>103535</v>
          </cell>
          <cell r="B2100">
            <v>20472</v>
          </cell>
          <cell r="C2100">
            <v>20472</v>
          </cell>
          <cell r="D2100" t="str">
            <v>adult</v>
          </cell>
          <cell r="E2100" t="str">
            <v>B</v>
          </cell>
          <cell r="F2100" t="str">
            <v>MENTAL HEALTH COUNSELOR, RN</v>
          </cell>
          <cell r="G2100" t="str">
            <v>5278A</v>
          </cell>
          <cell r="H2100">
            <v>6275.27</v>
          </cell>
          <cell r="I2100">
            <v>1</v>
          </cell>
          <cell r="J2100">
            <v>12</v>
          </cell>
          <cell r="K2100">
            <v>1</v>
          </cell>
          <cell r="L2100">
            <v>76804.323333333334</v>
          </cell>
        </row>
        <row r="2101">
          <cell r="A2101">
            <v>104885</v>
          </cell>
          <cell r="B2101">
            <v>20492</v>
          </cell>
          <cell r="C2101">
            <v>20472</v>
          </cell>
          <cell r="D2101" t="str">
            <v>adult</v>
          </cell>
          <cell r="E2101" t="str">
            <v>B</v>
          </cell>
          <cell r="F2101" t="str">
            <v>MENTAL HEALTH PSYCHIATRIST</v>
          </cell>
          <cell r="G2101" t="str">
            <v>4735A</v>
          </cell>
          <cell r="H2101">
            <v>12844</v>
          </cell>
          <cell r="I2101">
            <v>1</v>
          </cell>
          <cell r="J2101">
            <v>3</v>
          </cell>
          <cell r="K2101">
            <v>0.25</v>
          </cell>
          <cell r="L2101">
            <v>38532</v>
          </cell>
        </row>
        <row r="2102">
          <cell r="A2102">
            <v>101995</v>
          </cell>
          <cell r="B2102">
            <v>20564</v>
          </cell>
          <cell r="C2102">
            <v>20472</v>
          </cell>
          <cell r="D2102" t="str">
            <v>adult</v>
          </cell>
          <cell r="E2102" t="str">
            <v>B</v>
          </cell>
          <cell r="F2102" t="str">
            <v>MNTL HLTH CLINICAL PROGRAM HEAD</v>
          </cell>
          <cell r="G2102" t="str">
            <v>4726A</v>
          </cell>
          <cell r="H2102">
            <v>8709.73</v>
          </cell>
          <cell r="I2102">
            <v>1</v>
          </cell>
          <cell r="J2102">
            <v>12</v>
          </cell>
          <cell r="K2102">
            <v>1</v>
          </cell>
          <cell r="L2102">
            <v>104516.76</v>
          </cell>
        </row>
        <row r="2103">
          <cell r="A2103">
            <v>102682</v>
          </cell>
          <cell r="B2103">
            <v>20472</v>
          </cell>
          <cell r="C2103">
            <v>20472</v>
          </cell>
          <cell r="D2103" t="str">
            <v>adult</v>
          </cell>
          <cell r="E2103" t="str">
            <v>B</v>
          </cell>
          <cell r="F2103" t="str">
            <v xml:space="preserve">OCCUPATIONAL THERAPIST II          </v>
          </cell>
          <cell r="G2103" t="str">
            <v>5857A</v>
          </cell>
          <cell r="H2103">
            <v>6416.09</v>
          </cell>
          <cell r="I2103">
            <v>1</v>
          </cell>
          <cell r="J2103">
            <v>12</v>
          </cell>
          <cell r="K2103">
            <v>1</v>
          </cell>
          <cell r="L2103">
            <v>76993.16</v>
          </cell>
        </row>
        <row r="2104">
          <cell r="A2104">
            <v>103536</v>
          </cell>
          <cell r="B2104">
            <v>20472</v>
          </cell>
          <cell r="C2104">
            <v>20472</v>
          </cell>
          <cell r="D2104" t="str">
            <v>adult</v>
          </cell>
          <cell r="E2104" t="str">
            <v>B</v>
          </cell>
          <cell r="F2104" t="str">
            <v xml:space="preserve">PHYSICIAN,POST GRADUATE(2ND YEAR)  </v>
          </cell>
          <cell r="G2104" t="str">
            <v>5411M</v>
          </cell>
          <cell r="H2104">
            <v>3518.11</v>
          </cell>
          <cell r="I2104">
            <v>1</v>
          </cell>
          <cell r="J2104">
            <v>12</v>
          </cell>
          <cell r="K2104">
            <v>1</v>
          </cell>
          <cell r="L2104">
            <v>42217.32</v>
          </cell>
        </row>
        <row r="2105">
          <cell r="A2105">
            <v>103537</v>
          </cell>
          <cell r="B2105">
            <v>20472</v>
          </cell>
          <cell r="C2105">
            <v>20472</v>
          </cell>
          <cell r="D2105" t="str">
            <v>adult</v>
          </cell>
          <cell r="E2105" t="str">
            <v>B</v>
          </cell>
          <cell r="F2105" t="str">
            <v>PSYCHIATRIC SOCIAL WORKER II</v>
          </cell>
          <cell r="G2105" t="str">
            <v>9035A</v>
          </cell>
          <cell r="H2105">
            <v>5425.82</v>
          </cell>
          <cell r="I2105">
            <v>1</v>
          </cell>
          <cell r="J2105">
            <v>12</v>
          </cell>
          <cell r="K2105">
            <v>1</v>
          </cell>
          <cell r="L2105">
            <v>65109.84</v>
          </cell>
        </row>
        <row r="2106">
          <cell r="A2106">
            <v>103880</v>
          </cell>
          <cell r="B2106">
            <v>20468</v>
          </cell>
          <cell r="C2106">
            <v>20472</v>
          </cell>
          <cell r="D2106" t="str">
            <v>adult</v>
          </cell>
          <cell r="E2106" t="str">
            <v>B</v>
          </cell>
          <cell r="F2106" t="str">
            <v>PSYCHIATRIC SOCIAL WORKER II</v>
          </cell>
          <cell r="G2106" t="str">
            <v>9035A</v>
          </cell>
          <cell r="H2106">
            <v>5425.82</v>
          </cell>
          <cell r="I2106">
            <v>1</v>
          </cell>
          <cell r="J2106">
            <v>12</v>
          </cell>
          <cell r="K2106">
            <v>1</v>
          </cell>
          <cell r="L2106">
            <v>65109.84</v>
          </cell>
        </row>
        <row r="2107">
          <cell r="A2107">
            <v>102640</v>
          </cell>
          <cell r="B2107">
            <v>20472</v>
          </cell>
          <cell r="C2107">
            <v>20472</v>
          </cell>
          <cell r="D2107" t="str">
            <v>adult</v>
          </cell>
          <cell r="E2107" t="str">
            <v>B</v>
          </cell>
          <cell r="F2107" t="str">
            <v xml:space="preserve">SENIOR SECRETARY II                </v>
          </cell>
          <cell r="G2107" t="str">
            <v>2101A</v>
          </cell>
          <cell r="H2107">
            <v>3891.09</v>
          </cell>
          <cell r="I2107">
            <v>1</v>
          </cell>
          <cell r="J2107">
            <v>12</v>
          </cell>
          <cell r="K2107">
            <v>1</v>
          </cell>
          <cell r="L2107">
            <v>46693.24</v>
          </cell>
        </row>
        <row r="2108">
          <cell r="A2108">
            <v>102638</v>
          </cell>
          <cell r="B2108">
            <v>20459</v>
          </cell>
          <cell r="C2108">
            <v>27552</v>
          </cell>
          <cell r="D2108" t="str">
            <v>adult</v>
          </cell>
          <cell r="E2108" t="str">
            <v>B</v>
          </cell>
          <cell r="F2108" t="str">
            <v>INTERMEDIATE TYPIST-CLERK</v>
          </cell>
          <cell r="G2108" t="str">
            <v>2214A</v>
          </cell>
          <cell r="H2108">
            <v>2675.27</v>
          </cell>
          <cell r="I2108">
            <v>1</v>
          </cell>
          <cell r="J2108">
            <v>12</v>
          </cell>
          <cell r="K2108">
            <v>1</v>
          </cell>
          <cell r="L2108">
            <v>32103.16</v>
          </cell>
        </row>
        <row r="2109">
          <cell r="A2109">
            <v>103635</v>
          </cell>
          <cell r="B2109">
            <v>18634</v>
          </cell>
          <cell r="C2109">
            <v>21557</v>
          </cell>
          <cell r="D2109" t="str">
            <v>adult</v>
          </cell>
          <cell r="E2109" t="str">
            <v>B</v>
          </cell>
          <cell r="F2109" t="str">
            <v>MEDICAL CASE WORKER II</v>
          </cell>
          <cell r="G2109" t="str">
            <v>9002A</v>
          </cell>
          <cell r="H2109">
            <v>3938.82</v>
          </cell>
          <cell r="I2109">
            <v>1</v>
          </cell>
          <cell r="J2109">
            <v>12</v>
          </cell>
          <cell r="K2109">
            <v>1</v>
          </cell>
          <cell r="L2109">
            <v>47265.68</v>
          </cell>
        </row>
        <row r="2110">
          <cell r="A2110">
            <v>103518</v>
          </cell>
          <cell r="B2110">
            <v>20590</v>
          </cell>
          <cell r="C2110">
            <v>21557</v>
          </cell>
          <cell r="D2110" t="str">
            <v>adult</v>
          </cell>
          <cell r="E2110" t="str">
            <v>B</v>
          </cell>
          <cell r="F2110" t="str">
            <v xml:space="preserve">MENTAL HEALTH ANALYST II           </v>
          </cell>
          <cell r="G2110" t="str">
            <v>4729A</v>
          </cell>
          <cell r="H2110">
            <v>6244.55</v>
          </cell>
          <cell r="I2110">
            <v>1</v>
          </cell>
          <cell r="J2110">
            <v>12</v>
          </cell>
          <cell r="K2110">
            <v>1</v>
          </cell>
          <cell r="L2110">
            <v>74934.36</v>
          </cell>
        </row>
        <row r="2111">
          <cell r="A2111">
            <v>107326</v>
          </cell>
          <cell r="B2111">
            <v>21557</v>
          </cell>
          <cell r="C2111">
            <v>21557</v>
          </cell>
          <cell r="D2111" t="str">
            <v>adult</v>
          </cell>
          <cell r="E2111" t="str">
            <v>B</v>
          </cell>
          <cell r="F2111" t="str">
            <v>MENTAL HLTH CLINICAL DIST CHIEF</v>
          </cell>
          <cell r="G2111" t="str">
            <v>4722A</v>
          </cell>
          <cell r="H2111">
            <v>10074</v>
          </cell>
          <cell r="I2111">
            <v>1</v>
          </cell>
          <cell r="J2111">
            <v>12</v>
          </cell>
          <cell r="K2111">
            <v>1</v>
          </cell>
          <cell r="L2111">
            <v>120887.6</v>
          </cell>
        </row>
        <row r="2112">
          <cell r="A2112">
            <v>106059</v>
          </cell>
          <cell r="B2112">
            <v>21557</v>
          </cell>
          <cell r="C2112">
            <v>21557</v>
          </cell>
          <cell r="D2112" t="str">
            <v>adult</v>
          </cell>
          <cell r="E2112" t="str">
            <v>B</v>
          </cell>
          <cell r="F2112" t="str">
            <v>MNTL HLTH CLINICAL PROGRAM HEAD</v>
          </cell>
          <cell r="G2112" t="str">
            <v>4726A</v>
          </cell>
          <cell r="H2112">
            <v>8709.73</v>
          </cell>
          <cell r="I2112">
            <v>1</v>
          </cell>
          <cell r="J2112">
            <v>12</v>
          </cell>
          <cell r="K2112">
            <v>1</v>
          </cell>
          <cell r="L2112">
            <v>104516.76</v>
          </cell>
        </row>
        <row r="2113">
          <cell r="A2113">
            <v>106060</v>
          </cell>
          <cell r="B2113">
            <v>21557</v>
          </cell>
          <cell r="C2113">
            <v>21557</v>
          </cell>
          <cell r="D2113" t="str">
            <v>adult</v>
          </cell>
          <cell r="E2113" t="str">
            <v>B</v>
          </cell>
          <cell r="F2113" t="str">
            <v>PSYCHIATRIC SOCIAL WORKER II</v>
          </cell>
          <cell r="G2113" t="str">
            <v>9035A</v>
          </cell>
          <cell r="H2113">
            <v>5425.82</v>
          </cell>
          <cell r="I2113">
            <v>1</v>
          </cell>
          <cell r="J2113">
            <v>12</v>
          </cell>
          <cell r="K2113">
            <v>1</v>
          </cell>
          <cell r="L2113">
            <v>65109.84</v>
          </cell>
        </row>
        <row r="2114">
          <cell r="A2114">
            <v>107334</v>
          </cell>
          <cell r="B2114">
            <v>21557</v>
          </cell>
          <cell r="C2114">
            <v>21557</v>
          </cell>
          <cell r="D2114" t="str">
            <v>adult</v>
          </cell>
          <cell r="E2114" t="str">
            <v>B</v>
          </cell>
          <cell r="F2114" t="str">
            <v>SECRETARY II</v>
          </cell>
          <cell r="G2114" t="str">
            <v>2095A</v>
          </cell>
          <cell r="H2114">
            <v>3210</v>
          </cell>
          <cell r="I2114">
            <v>1</v>
          </cell>
          <cell r="J2114">
            <v>12</v>
          </cell>
          <cell r="K2114">
            <v>1</v>
          </cell>
          <cell r="L2114">
            <v>38520.239999999998</v>
          </cell>
        </row>
        <row r="2115">
          <cell r="A2115">
            <v>107335</v>
          </cell>
          <cell r="B2115">
            <v>21557</v>
          </cell>
          <cell r="C2115">
            <v>21557</v>
          </cell>
          <cell r="D2115" t="str">
            <v>adult</v>
          </cell>
          <cell r="E2115" t="str">
            <v>B</v>
          </cell>
          <cell r="F2115" t="str">
            <v>SECRETARY II</v>
          </cell>
          <cell r="G2115" t="str">
            <v>2095A</v>
          </cell>
          <cell r="H2115">
            <v>3210</v>
          </cell>
          <cell r="I2115">
            <v>1</v>
          </cell>
          <cell r="J2115">
            <v>12</v>
          </cell>
          <cell r="K2115">
            <v>1</v>
          </cell>
          <cell r="L2115">
            <v>38520.239999999998</v>
          </cell>
        </row>
        <row r="2116">
          <cell r="A2116">
            <v>107331</v>
          </cell>
          <cell r="B2116">
            <v>21557</v>
          </cell>
          <cell r="C2116">
            <v>21557</v>
          </cell>
          <cell r="D2116" t="str">
            <v>adult</v>
          </cell>
          <cell r="E2116" t="str">
            <v>B</v>
          </cell>
          <cell r="F2116" t="str">
            <v xml:space="preserve">SECRETARY III                      </v>
          </cell>
          <cell r="G2116" t="str">
            <v>2096A</v>
          </cell>
          <cell r="H2116">
            <v>3387</v>
          </cell>
          <cell r="I2116">
            <v>1</v>
          </cell>
          <cell r="J2116">
            <v>12</v>
          </cell>
          <cell r="K2116">
            <v>1</v>
          </cell>
          <cell r="L2116">
            <v>40643.839999999997</v>
          </cell>
        </row>
        <row r="2117">
          <cell r="A2117">
            <v>107332</v>
          </cell>
          <cell r="B2117">
            <v>21557</v>
          </cell>
          <cell r="C2117">
            <v>21557</v>
          </cell>
          <cell r="D2117" t="str">
            <v>adult</v>
          </cell>
          <cell r="E2117" t="str">
            <v>B</v>
          </cell>
          <cell r="F2117" t="str">
            <v xml:space="preserve">SENIOR SECRETARY III               </v>
          </cell>
          <cell r="G2117" t="str">
            <v>2102A</v>
          </cell>
          <cell r="H2117">
            <v>4106.3599999999997</v>
          </cell>
          <cell r="I2117">
            <v>1</v>
          </cell>
          <cell r="J2117">
            <v>12</v>
          </cell>
          <cell r="K2117">
            <v>1</v>
          </cell>
          <cell r="L2117">
            <v>49276.56</v>
          </cell>
        </row>
        <row r="2118">
          <cell r="A2118">
            <v>104016</v>
          </cell>
          <cell r="B2118">
            <v>20923</v>
          </cell>
          <cell r="C2118">
            <v>20923</v>
          </cell>
          <cell r="D2118" t="str">
            <v>adult</v>
          </cell>
          <cell r="E2118" t="str">
            <v>B</v>
          </cell>
          <cell r="F2118" t="str">
            <v xml:space="preserve">OCCUPATIONAL THERAPIST II          </v>
          </cell>
          <cell r="G2118" t="str">
            <v>5857A</v>
          </cell>
          <cell r="H2118">
            <v>6416.09</v>
          </cell>
          <cell r="I2118">
            <v>1</v>
          </cell>
          <cell r="J2118">
            <v>12</v>
          </cell>
          <cell r="K2118">
            <v>1</v>
          </cell>
          <cell r="L2118">
            <v>76993.16</v>
          </cell>
        </row>
        <row r="2119">
          <cell r="A2119">
            <v>104090</v>
          </cell>
          <cell r="B2119">
            <v>18709</v>
          </cell>
          <cell r="C2119">
            <v>18709</v>
          </cell>
          <cell r="D2119" t="str">
            <v>adult</v>
          </cell>
          <cell r="E2119" t="str">
            <v>B</v>
          </cell>
          <cell r="F2119" t="str">
            <v xml:space="preserve">SENIOR SECRETARY III               </v>
          </cell>
          <cell r="G2119" t="str">
            <v>2102A</v>
          </cell>
          <cell r="H2119">
            <v>4106.3599999999997</v>
          </cell>
          <cell r="I2119">
            <v>1</v>
          </cell>
          <cell r="J2119">
            <v>12</v>
          </cell>
          <cell r="K2119">
            <v>1</v>
          </cell>
          <cell r="L2119">
            <v>49276.56</v>
          </cell>
        </row>
        <row r="2120">
          <cell r="A2120">
            <v>104190</v>
          </cell>
          <cell r="B2120">
            <v>18634</v>
          </cell>
          <cell r="C2120">
            <v>18634</v>
          </cell>
          <cell r="D2120" t="str">
            <v>adult</v>
          </cell>
          <cell r="E2120" t="str">
            <v>B</v>
          </cell>
          <cell r="F2120" t="str">
            <v>PSYCHIATRIC SOCIAL WORKER II</v>
          </cell>
          <cell r="G2120" t="str">
            <v>9035A</v>
          </cell>
          <cell r="H2120">
            <v>5425.82</v>
          </cell>
          <cell r="I2120">
            <v>1</v>
          </cell>
          <cell r="J2120">
            <v>12</v>
          </cell>
          <cell r="K2120">
            <v>1</v>
          </cell>
          <cell r="L2120">
            <v>65109.84</v>
          </cell>
        </row>
        <row r="2121">
          <cell r="A2121">
            <v>104304</v>
          </cell>
          <cell r="B2121">
            <v>18634</v>
          </cell>
          <cell r="C2121">
            <v>18634</v>
          </cell>
          <cell r="D2121" t="str">
            <v>adult</v>
          </cell>
          <cell r="E2121" t="str">
            <v>B</v>
          </cell>
          <cell r="F2121" t="str">
            <v>PSYCHIATRIC SOCIAL WORKER II</v>
          </cell>
          <cell r="G2121" t="str">
            <v>9035F</v>
          </cell>
          <cell r="H2121">
            <v>26.28</v>
          </cell>
          <cell r="I2121">
            <v>1</v>
          </cell>
          <cell r="J2121">
            <v>418</v>
          </cell>
          <cell r="K2121">
            <v>0.20019157088122605</v>
          </cell>
          <cell r="L2121">
            <v>10985.04</v>
          </cell>
        </row>
        <row r="2122">
          <cell r="A2122">
            <v>104707</v>
          </cell>
          <cell r="B2122">
            <v>18634</v>
          </cell>
          <cell r="C2122">
            <v>18634</v>
          </cell>
          <cell r="D2122" t="str">
            <v>adult</v>
          </cell>
          <cell r="E2122" t="str">
            <v>B</v>
          </cell>
          <cell r="F2122" t="str">
            <v>PSYCHIATRIC SOCIAL WORKER II</v>
          </cell>
          <cell r="G2122" t="str">
            <v>9035A</v>
          </cell>
          <cell r="H2122">
            <v>5425.82</v>
          </cell>
          <cell r="I2122">
            <v>1</v>
          </cell>
          <cell r="J2122">
            <v>12</v>
          </cell>
          <cell r="K2122">
            <v>1</v>
          </cell>
          <cell r="L2122">
            <v>65109.84</v>
          </cell>
        </row>
        <row r="2123">
          <cell r="A2123">
            <v>105024</v>
          </cell>
          <cell r="B2123">
            <v>18713</v>
          </cell>
          <cell r="C2123">
            <v>18713</v>
          </cell>
          <cell r="D2123" t="str">
            <v>adult</v>
          </cell>
          <cell r="E2123" t="str">
            <v>B</v>
          </cell>
          <cell r="F2123" t="str">
            <v xml:space="preserve">SENIOR SECRETARY III               </v>
          </cell>
          <cell r="G2123" t="str">
            <v>2102A</v>
          </cell>
          <cell r="H2123">
            <v>4106.3599999999997</v>
          </cell>
          <cell r="I2123">
            <v>1</v>
          </cell>
          <cell r="J2123">
            <v>12</v>
          </cell>
          <cell r="K2123">
            <v>1</v>
          </cell>
          <cell r="L2123">
            <v>49276.56</v>
          </cell>
        </row>
        <row r="2124">
          <cell r="A2124">
            <v>109325</v>
          </cell>
          <cell r="B2124">
            <v>20658</v>
          </cell>
          <cell r="C2124">
            <v>21544</v>
          </cell>
          <cell r="D2124" t="str">
            <v>adult</v>
          </cell>
          <cell r="E2124" t="str">
            <v>B</v>
          </cell>
          <cell r="F2124" t="str">
            <v>MENTAL HEALTH PSYCHIATRIST</v>
          </cell>
          <cell r="G2124" t="str">
            <v>4735A</v>
          </cell>
          <cell r="H2124">
            <v>12844</v>
          </cell>
          <cell r="I2124">
            <v>1</v>
          </cell>
          <cell r="J2124">
            <v>12</v>
          </cell>
          <cell r="K2124">
            <v>1</v>
          </cell>
          <cell r="L2124">
            <v>154128</v>
          </cell>
        </row>
        <row r="2125">
          <cell r="A2125">
            <v>109408</v>
          </cell>
          <cell r="B2125">
            <v>20443</v>
          </cell>
          <cell r="C2125">
            <v>27526</v>
          </cell>
          <cell r="D2125" t="str">
            <v>adult</v>
          </cell>
          <cell r="E2125" t="str">
            <v>B</v>
          </cell>
          <cell r="F2125" t="str">
            <v>PSYCHIATRIC SOCIAL WORKER II</v>
          </cell>
          <cell r="G2125" t="str">
            <v>9035A</v>
          </cell>
          <cell r="H2125">
            <v>5425.82</v>
          </cell>
          <cell r="I2125">
            <v>1</v>
          </cell>
          <cell r="J2125">
            <v>12</v>
          </cell>
          <cell r="K2125">
            <v>1</v>
          </cell>
          <cell r="L2125">
            <v>65109.760000000002</v>
          </cell>
        </row>
        <row r="2126">
          <cell r="A2126">
            <v>109424</v>
          </cell>
          <cell r="B2126">
            <v>27546</v>
          </cell>
          <cell r="C2126">
            <v>27546</v>
          </cell>
          <cell r="D2126" t="str">
            <v>adult</v>
          </cell>
          <cell r="E2126" t="str">
            <v>B</v>
          </cell>
          <cell r="F2126" t="str">
            <v>ASST BEHAVIORAL SCIENCES CONSULTANT</v>
          </cell>
          <cell r="G2126" t="str">
            <v>8705J</v>
          </cell>
          <cell r="H2126">
            <v>85.79</v>
          </cell>
          <cell r="I2126">
            <v>1</v>
          </cell>
          <cell r="J2126">
            <v>368</v>
          </cell>
          <cell r="K2126">
            <v>0.70499999999999996</v>
          </cell>
          <cell r="L2126">
            <v>31571.119999999999</v>
          </cell>
        </row>
        <row r="2127">
          <cell r="A2127">
            <v>109426</v>
          </cell>
          <cell r="B2127">
            <v>27546</v>
          </cell>
          <cell r="C2127">
            <v>27546</v>
          </cell>
          <cell r="D2127" t="str">
            <v>adult</v>
          </cell>
          <cell r="E2127" t="str">
            <v>B</v>
          </cell>
          <cell r="F2127" t="str">
            <v>CONSULTING SPECIALIST, MD (PER SESSION)</v>
          </cell>
          <cell r="G2127" t="str">
            <v>5472J</v>
          </cell>
          <cell r="H2127">
            <v>314</v>
          </cell>
          <cell r="I2127">
            <v>1</v>
          </cell>
          <cell r="J2127">
            <v>150</v>
          </cell>
          <cell r="K2127">
            <v>0.28699999999999998</v>
          </cell>
          <cell r="L2127">
            <v>47100</v>
          </cell>
        </row>
        <row r="2128">
          <cell r="A2128">
            <v>109429</v>
          </cell>
          <cell r="B2128">
            <v>27546</v>
          </cell>
          <cell r="C2128">
            <v>27546</v>
          </cell>
          <cell r="D2128" t="str">
            <v>adult</v>
          </cell>
          <cell r="E2128" t="str">
            <v>B</v>
          </cell>
          <cell r="F2128" t="str">
            <v>PSYCHIATRIC SOCIAL WORKER II</v>
          </cell>
          <cell r="G2128" t="str">
            <v>9035A</v>
          </cell>
          <cell r="H2128">
            <v>5425.82</v>
          </cell>
          <cell r="I2128">
            <v>1</v>
          </cell>
          <cell r="J2128">
            <v>12</v>
          </cell>
          <cell r="K2128">
            <v>1</v>
          </cell>
          <cell r="L2128">
            <v>65109.84</v>
          </cell>
        </row>
        <row r="2129">
          <cell r="A2129">
            <v>109430</v>
          </cell>
          <cell r="B2129">
            <v>27546</v>
          </cell>
          <cell r="C2129">
            <v>27546</v>
          </cell>
          <cell r="D2129" t="str">
            <v>adult</v>
          </cell>
          <cell r="E2129" t="str">
            <v>B</v>
          </cell>
          <cell r="F2129" t="str">
            <v>PSYCHIATRIC SOCIAL WORKER II</v>
          </cell>
          <cell r="G2129" t="str">
            <v>9035A</v>
          </cell>
          <cell r="H2129">
            <v>5425.82</v>
          </cell>
          <cell r="I2129">
            <v>1</v>
          </cell>
          <cell r="J2129">
            <v>12</v>
          </cell>
          <cell r="K2129">
            <v>1</v>
          </cell>
          <cell r="L2129">
            <v>65109.84</v>
          </cell>
        </row>
        <row r="2130">
          <cell r="A2130">
            <v>109775</v>
          </cell>
          <cell r="B2130" t="str">
            <v>TBA</v>
          </cell>
          <cell r="C2130">
            <v>27592</v>
          </cell>
          <cell r="D2130" t="str">
            <v>adult</v>
          </cell>
          <cell r="E2130" t="str">
            <v>B</v>
          </cell>
          <cell r="F2130" t="str">
            <v>CLINICAL PSYCHOLOGIST II</v>
          </cell>
          <cell r="G2130" t="str">
            <v>8697A</v>
          </cell>
          <cell r="H2130">
            <v>6993.82</v>
          </cell>
          <cell r="I2130">
            <v>1</v>
          </cell>
          <cell r="J2130">
            <v>12</v>
          </cell>
          <cell r="K2130">
            <v>1</v>
          </cell>
          <cell r="L2130">
            <v>83925.84</v>
          </cell>
        </row>
        <row r="2131">
          <cell r="A2131">
            <v>109786</v>
          </cell>
          <cell r="B2131" t="str">
            <v>TBA</v>
          </cell>
          <cell r="C2131">
            <v>27592</v>
          </cell>
          <cell r="D2131" t="str">
            <v>adult</v>
          </cell>
          <cell r="E2131" t="str">
            <v>B</v>
          </cell>
          <cell r="F2131" t="str">
            <v>CLINICAL PSYCHOLOGY INTERN</v>
          </cell>
          <cell r="G2131" t="str">
            <v>8694A</v>
          </cell>
          <cell r="H2131">
            <v>2344.81</v>
          </cell>
          <cell r="I2131">
            <v>1</v>
          </cell>
          <cell r="J2131">
            <v>12</v>
          </cell>
          <cell r="K2131">
            <v>1</v>
          </cell>
          <cell r="L2131">
            <v>28137.72</v>
          </cell>
        </row>
        <row r="2132">
          <cell r="A2132">
            <v>109787</v>
          </cell>
          <cell r="B2132" t="str">
            <v>TBA</v>
          </cell>
          <cell r="C2132">
            <v>27592</v>
          </cell>
          <cell r="D2132" t="str">
            <v>adult</v>
          </cell>
          <cell r="E2132" t="str">
            <v>B</v>
          </cell>
          <cell r="F2132" t="str">
            <v>CLINICAL PSYCHOLOGY INTERN</v>
          </cell>
          <cell r="G2132" t="str">
            <v>8694A</v>
          </cell>
          <cell r="H2132">
            <v>2344.81</v>
          </cell>
          <cell r="I2132">
            <v>1</v>
          </cell>
          <cell r="J2132">
            <v>12</v>
          </cell>
          <cell r="K2132">
            <v>1</v>
          </cell>
          <cell r="L2132">
            <v>28137.72</v>
          </cell>
        </row>
        <row r="2133">
          <cell r="A2133">
            <v>109794</v>
          </cell>
          <cell r="B2133">
            <v>27592</v>
          </cell>
          <cell r="C2133">
            <v>27592</v>
          </cell>
          <cell r="D2133" t="str">
            <v>adult</v>
          </cell>
          <cell r="E2133" t="str">
            <v>B</v>
          </cell>
          <cell r="F2133" t="str">
            <v>MEDICAL CASE WORKER II</v>
          </cell>
          <cell r="G2133" t="str">
            <v>9002A</v>
          </cell>
          <cell r="H2133">
            <v>3938.82</v>
          </cell>
          <cell r="I2133">
            <v>1</v>
          </cell>
          <cell r="J2133">
            <v>12</v>
          </cell>
          <cell r="K2133">
            <v>1</v>
          </cell>
          <cell r="L2133">
            <v>47265.84</v>
          </cell>
        </row>
        <row r="2134">
          <cell r="A2134">
            <v>109886</v>
          </cell>
          <cell r="B2134">
            <v>27592</v>
          </cell>
          <cell r="C2134">
            <v>27592</v>
          </cell>
          <cell r="D2134" t="str">
            <v>adult</v>
          </cell>
          <cell r="E2134" t="str">
            <v>B</v>
          </cell>
          <cell r="F2134" t="str">
            <v>MEDICAL CASE WORKER II</v>
          </cell>
          <cell r="G2134" t="str">
            <v>9002A</v>
          </cell>
          <cell r="H2134">
            <v>3938.82</v>
          </cell>
          <cell r="I2134">
            <v>1</v>
          </cell>
          <cell r="J2134">
            <v>12</v>
          </cell>
          <cell r="K2134">
            <v>1</v>
          </cell>
          <cell r="L2134">
            <v>47265.84</v>
          </cell>
        </row>
        <row r="2135">
          <cell r="A2135">
            <v>109802</v>
          </cell>
          <cell r="B2135" t="str">
            <v>TBA</v>
          </cell>
          <cell r="C2135">
            <v>27592</v>
          </cell>
          <cell r="D2135" t="str">
            <v>adult</v>
          </cell>
          <cell r="E2135" t="str">
            <v>B</v>
          </cell>
          <cell r="F2135" t="str">
            <v>MENTAL HEALTH CLINICIAN</v>
          </cell>
          <cell r="G2135" t="str">
            <v>9030A</v>
          </cell>
          <cell r="H2135">
            <v>5139.6400000000003</v>
          </cell>
          <cell r="I2135">
            <v>1</v>
          </cell>
          <cell r="J2135">
            <v>12</v>
          </cell>
          <cell r="K2135">
            <v>1</v>
          </cell>
          <cell r="L2135">
            <v>61675.68</v>
          </cell>
        </row>
        <row r="2136">
          <cell r="A2136">
            <v>109803</v>
          </cell>
          <cell r="B2136">
            <v>27592</v>
          </cell>
          <cell r="C2136">
            <v>27592</v>
          </cell>
          <cell r="D2136" t="str">
            <v>adult</v>
          </cell>
          <cell r="E2136" t="str">
            <v>B</v>
          </cell>
          <cell r="F2136" t="str">
            <v>MENTAL HEALTH CLINICIAN</v>
          </cell>
          <cell r="G2136" t="str">
            <v>9030A</v>
          </cell>
          <cell r="H2136">
            <v>5139.6400000000003</v>
          </cell>
          <cell r="I2136">
            <v>1</v>
          </cell>
          <cell r="J2136">
            <v>12</v>
          </cell>
          <cell r="K2136">
            <v>1</v>
          </cell>
          <cell r="L2136">
            <v>61675.68</v>
          </cell>
        </row>
        <row r="2137">
          <cell r="A2137">
            <v>109806</v>
          </cell>
          <cell r="B2137">
            <v>27592</v>
          </cell>
          <cell r="C2137">
            <v>27592</v>
          </cell>
          <cell r="D2137" t="str">
            <v>adult</v>
          </cell>
          <cell r="E2137" t="str">
            <v>B</v>
          </cell>
          <cell r="F2137" t="str">
            <v>MENTAL HEALTH COUNSELOR, RN</v>
          </cell>
          <cell r="G2137" t="str">
            <v>5278A</v>
          </cell>
          <cell r="H2137">
            <v>6275.27</v>
          </cell>
          <cell r="I2137">
            <v>1</v>
          </cell>
          <cell r="J2137">
            <v>12</v>
          </cell>
          <cell r="K2137">
            <v>1</v>
          </cell>
          <cell r="L2137">
            <v>75305.323333333334</v>
          </cell>
        </row>
        <row r="2138">
          <cell r="A2138">
            <v>109807</v>
          </cell>
          <cell r="B2138" t="str">
            <v>TBA</v>
          </cell>
          <cell r="C2138">
            <v>27592</v>
          </cell>
          <cell r="D2138" t="str">
            <v>adult</v>
          </cell>
          <cell r="E2138" t="str">
            <v>B</v>
          </cell>
          <cell r="F2138" t="str">
            <v>MENTAL HEALTH COUNSELOR, RN</v>
          </cell>
          <cell r="G2138" t="str">
            <v>5278A</v>
          </cell>
          <cell r="H2138">
            <v>6275.27</v>
          </cell>
          <cell r="I2138">
            <v>1</v>
          </cell>
          <cell r="J2138">
            <v>12</v>
          </cell>
          <cell r="K2138">
            <v>1</v>
          </cell>
          <cell r="L2138">
            <v>76804.323333333334</v>
          </cell>
        </row>
        <row r="2139">
          <cell r="A2139">
            <v>109810</v>
          </cell>
          <cell r="B2139" t="str">
            <v>TBA</v>
          </cell>
          <cell r="C2139">
            <v>27592</v>
          </cell>
          <cell r="D2139" t="str">
            <v>adult</v>
          </cell>
          <cell r="E2139" t="str">
            <v>B</v>
          </cell>
          <cell r="F2139" t="str">
            <v>MENTAL HEALTH PSYCHIATRIST</v>
          </cell>
          <cell r="G2139" t="str">
            <v>4735A</v>
          </cell>
          <cell r="H2139">
            <v>12844</v>
          </cell>
          <cell r="I2139">
            <v>1</v>
          </cell>
          <cell r="J2139">
            <v>12</v>
          </cell>
          <cell r="K2139">
            <v>1</v>
          </cell>
          <cell r="L2139">
            <v>154128</v>
          </cell>
        </row>
        <row r="2140">
          <cell r="A2140">
            <v>109811</v>
          </cell>
          <cell r="B2140">
            <v>27592</v>
          </cell>
          <cell r="C2140">
            <v>27592</v>
          </cell>
          <cell r="D2140" t="str">
            <v>adult</v>
          </cell>
          <cell r="E2140" t="str">
            <v>B</v>
          </cell>
          <cell r="F2140" t="str">
            <v>MENTAL HEALTH PSYCHIATRIST</v>
          </cell>
          <cell r="G2140" t="str">
            <v>4735A</v>
          </cell>
          <cell r="H2140">
            <v>12844</v>
          </cell>
          <cell r="I2140">
            <v>1</v>
          </cell>
          <cell r="J2140">
            <v>12</v>
          </cell>
          <cell r="K2140">
            <v>1</v>
          </cell>
          <cell r="L2140">
            <v>154128</v>
          </cell>
        </row>
        <row r="2141">
          <cell r="A2141">
            <v>109828</v>
          </cell>
          <cell r="B2141" t="str">
            <v>TBA</v>
          </cell>
          <cell r="C2141">
            <v>27592</v>
          </cell>
          <cell r="D2141" t="str">
            <v>adult</v>
          </cell>
          <cell r="E2141" t="str">
            <v>B</v>
          </cell>
          <cell r="F2141" t="str">
            <v xml:space="preserve">PATIENT FINANCIAL SERVICES WORKER  </v>
          </cell>
          <cell r="G2141" t="str">
            <v>9193A</v>
          </cell>
          <cell r="H2141">
            <v>3403.55</v>
          </cell>
          <cell r="I2141">
            <v>1</v>
          </cell>
          <cell r="J2141">
            <v>12</v>
          </cell>
          <cell r="K2141">
            <v>1</v>
          </cell>
          <cell r="L2141">
            <v>40842.6</v>
          </cell>
        </row>
        <row r="2142">
          <cell r="A2142">
            <v>109839</v>
          </cell>
          <cell r="B2142" t="str">
            <v>TBA</v>
          </cell>
          <cell r="C2142">
            <v>27592</v>
          </cell>
          <cell r="D2142" t="str">
            <v>adult</v>
          </cell>
          <cell r="E2142" t="str">
            <v>B</v>
          </cell>
          <cell r="F2142" t="str">
            <v>PSYCHIATRIC SOCIAL WORKER II</v>
          </cell>
          <cell r="G2142" t="str">
            <v>9035A</v>
          </cell>
          <cell r="H2142">
            <v>5425.82</v>
          </cell>
          <cell r="I2142">
            <v>1</v>
          </cell>
          <cell r="J2142">
            <v>12</v>
          </cell>
          <cell r="K2142">
            <v>1</v>
          </cell>
          <cell r="L2142">
            <v>65109.84</v>
          </cell>
        </row>
        <row r="2143">
          <cell r="A2143">
            <v>109844</v>
          </cell>
          <cell r="B2143">
            <v>27592</v>
          </cell>
          <cell r="C2143">
            <v>27592</v>
          </cell>
          <cell r="D2143" t="str">
            <v>adult</v>
          </cell>
          <cell r="E2143" t="str">
            <v>B</v>
          </cell>
          <cell r="F2143" t="str">
            <v>PSYCHIATRIC SOCIAL WORKER II</v>
          </cell>
          <cell r="G2143" t="str">
            <v>9035A</v>
          </cell>
          <cell r="H2143">
            <v>5425.82</v>
          </cell>
          <cell r="I2143">
            <v>1</v>
          </cell>
          <cell r="J2143">
            <v>12</v>
          </cell>
          <cell r="K2143">
            <v>1</v>
          </cell>
          <cell r="L2143">
            <v>65109.84</v>
          </cell>
        </row>
        <row r="2144">
          <cell r="A2144">
            <v>109895</v>
          </cell>
          <cell r="B2144">
            <v>27592</v>
          </cell>
          <cell r="C2144">
            <v>27592</v>
          </cell>
          <cell r="D2144" t="str">
            <v>adult</v>
          </cell>
          <cell r="E2144" t="str">
            <v>B</v>
          </cell>
          <cell r="F2144" t="str">
            <v>PSYCHIATRIC SOCIAL WORKER II</v>
          </cell>
          <cell r="G2144" t="str">
            <v>9035A</v>
          </cell>
          <cell r="H2144">
            <v>5425.82</v>
          </cell>
          <cell r="I2144">
            <v>1</v>
          </cell>
          <cell r="J2144">
            <v>12</v>
          </cell>
          <cell r="K2144">
            <v>1</v>
          </cell>
          <cell r="L2144">
            <v>65109.84</v>
          </cell>
        </row>
        <row r="2145">
          <cell r="A2145">
            <v>109898</v>
          </cell>
          <cell r="B2145">
            <v>27592</v>
          </cell>
          <cell r="C2145">
            <v>27592</v>
          </cell>
          <cell r="D2145" t="str">
            <v>adult</v>
          </cell>
          <cell r="E2145" t="str">
            <v>B</v>
          </cell>
          <cell r="F2145" t="str">
            <v>PSYCHIATRIC SOCIAL WORKER II</v>
          </cell>
          <cell r="G2145" t="str">
            <v>9035A</v>
          </cell>
          <cell r="H2145">
            <v>5425.82</v>
          </cell>
          <cell r="I2145">
            <v>1</v>
          </cell>
          <cell r="J2145">
            <v>12</v>
          </cell>
          <cell r="K2145">
            <v>1</v>
          </cell>
          <cell r="L2145">
            <v>65109.84</v>
          </cell>
        </row>
        <row r="2146">
          <cell r="A2146">
            <v>109899</v>
          </cell>
          <cell r="B2146">
            <v>27592</v>
          </cell>
          <cell r="C2146">
            <v>27592</v>
          </cell>
          <cell r="D2146" t="str">
            <v>adult</v>
          </cell>
          <cell r="E2146" t="str">
            <v>B</v>
          </cell>
          <cell r="F2146" t="str">
            <v>PSYCHIATRIC SOCIAL WORKER II</v>
          </cell>
          <cell r="G2146" t="str">
            <v>9035A</v>
          </cell>
          <cell r="H2146">
            <v>5425.82</v>
          </cell>
          <cell r="I2146">
            <v>1</v>
          </cell>
          <cell r="J2146">
            <v>12</v>
          </cell>
          <cell r="K2146">
            <v>1</v>
          </cell>
          <cell r="L2146">
            <v>65109.84</v>
          </cell>
        </row>
        <row r="2147">
          <cell r="A2147">
            <v>109901</v>
          </cell>
          <cell r="B2147">
            <v>27592</v>
          </cell>
          <cell r="C2147">
            <v>27592</v>
          </cell>
          <cell r="D2147" t="str">
            <v>adult</v>
          </cell>
          <cell r="E2147" t="str">
            <v>B</v>
          </cell>
          <cell r="F2147" t="str">
            <v>PSYCHIATRIC SOCIAL WORKER II</v>
          </cell>
          <cell r="G2147" t="str">
            <v>9035A</v>
          </cell>
          <cell r="H2147">
            <v>5425.82</v>
          </cell>
          <cell r="I2147">
            <v>1</v>
          </cell>
          <cell r="J2147">
            <v>12</v>
          </cell>
          <cell r="K2147">
            <v>1</v>
          </cell>
          <cell r="L2147">
            <v>65109.84</v>
          </cell>
        </row>
        <row r="2148">
          <cell r="A2148">
            <v>109850</v>
          </cell>
          <cell r="B2148">
            <v>27592</v>
          </cell>
          <cell r="C2148">
            <v>27592</v>
          </cell>
          <cell r="D2148" t="str">
            <v>adult</v>
          </cell>
          <cell r="E2148" t="str">
            <v>B</v>
          </cell>
          <cell r="F2148" t="str">
            <v xml:space="preserve">SENIOR TYPIST-CLERK                </v>
          </cell>
          <cell r="G2148" t="str">
            <v>2216A</v>
          </cell>
          <cell r="H2148">
            <v>3013.55</v>
          </cell>
          <cell r="I2148">
            <v>1</v>
          </cell>
          <cell r="J2148">
            <v>12</v>
          </cell>
          <cell r="K2148">
            <v>1</v>
          </cell>
          <cell r="L2148">
            <v>36162.6</v>
          </cell>
        </row>
        <row r="2149">
          <cell r="A2149">
            <v>109851</v>
          </cell>
          <cell r="B2149">
            <v>27592</v>
          </cell>
          <cell r="C2149">
            <v>27592</v>
          </cell>
          <cell r="D2149" t="str">
            <v>adult</v>
          </cell>
          <cell r="E2149" t="str">
            <v>B</v>
          </cell>
          <cell r="F2149" t="str">
            <v xml:space="preserve">SENIOR TYPIST-CLERK                </v>
          </cell>
          <cell r="G2149" t="str">
            <v>2216A</v>
          </cell>
          <cell r="H2149">
            <v>3013.55</v>
          </cell>
          <cell r="I2149">
            <v>1</v>
          </cell>
          <cell r="J2149">
            <v>12</v>
          </cell>
          <cell r="K2149">
            <v>1</v>
          </cell>
          <cell r="L2149">
            <v>36162.6</v>
          </cell>
        </row>
        <row r="2150">
          <cell r="A2150">
            <v>109913</v>
          </cell>
          <cell r="B2150">
            <v>27592</v>
          </cell>
          <cell r="C2150">
            <v>27592</v>
          </cell>
          <cell r="D2150" t="str">
            <v>adult</v>
          </cell>
          <cell r="E2150" t="str">
            <v>B</v>
          </cell>
          <cell r="F2150" t="str">
            <v xml:space="preserve">SENIOR TYPIST-CLERK                </v>
          </cell>
          <cell r="G2150" t="str">
            <v>2216A</v>
          </cell>
          <cell r="H2150">
            <v>3013.55</v>
          </cell>
          <cell r="I2150">
            <v>1</v>
          </cell>
          <cell r="J2150">
            <v>12</v>
          </cell>
          <cell r="K2150">
            <v>1</v>
          </cell>
          <cell r="L2150">
            <v>36162.6</v>
          </cell>
        </row>
        <row r="2151">
          <cell r="A2151">
            <v>109857</v>
          </cell>
          <cell r="B2151">
            <v>27592</v>
          </cell>
          <cell r="C2151">
            <v>27592</v>
          </cell>
          <cell r="D2151" t="str">
            <v>adult</v>
          </cell>
          <cell r="E2151" t="str">
            <v>B</v>
          </cell>
          <cell r="F2151" t="str">
            <v xml:space="preserve">SR COMMUN MENTAL HLTH PSYCHOLOGIST </v>
          </cell>
          <cell r="G2151" t="str">
            <v>8712A</v>
          </cell>
          <cell r="H2151">
            <v>7311.45</v>
          </cell>
          <cell r="I2151">
            <v>1</v>
          </cell>
          <cell r="J2151">
            <v>12</v>
          </cell>
          <cell r="K2151">
            <v>1</v>
          </cell>
          <cell r="L2151">
            <v>87737.4</v>
          </cell>
        </row>
        <row r="2152">
          <cell r="A2152">
            <v>109858</v>
          </cell>
          <cell r="B2152">
            <v>27592</v>
          </cell>
          <cell r="C2152">
            <v>27592</v>
          </cell>
          <cell r="D2152" t="str">
            <v>adult</v>
          </cell>
          <cell r="E2152" t="str">
            <v>B</v>
          </cell>
          <cell r="F2152" t="str">
            <v xml:space="preserve">SR COMMUN MENTAL HLTH PSYCHOLOGIST </v>
          </cell>
          <cell r="G2152" t="str">
            <v>8712A</v>
          </cell>
          <cell r="H2152">
            <v>7311.45</v>
          </cell>
          <cell r="I2152">
            <v>1</v>
          </cell>
          <cell r="J2152">
            <v>12</v>
          </cell>
          <cell r="K2152">
            <v>1</v>
          </cell>
          <cell r="L2152">
            <v>87737.4</v>
          </cell>
        </row>
        <row r="2153">
          <cell r="A2153">
            <v>109867</v>
          </cell>
          <cell r="B2153">
            <v>27592</v>
          </cell>
          <cell r="C2153">
            <v>27592</v>
          </cell>
          <cell r="D2153" t="str">
            <v>adult</v>
          </cell>
          <cell r="E2153" t="str">
            <v>B</v>
          </cell>
          <cell r="F2153" t="str">
            <v xml:space="preserve">STUDENT WORKER                     </v>
          </cell>
          <cell r="G2153" t="str">
            <v>8242F</v>
          </cell>
          <cell r="H2153">
            <v>8.52</v>
          </cell>
          <cell r="I2153">
            <v>1</v>
          </cell>
          <cell r="J2153">
            <v>2088</v>
          </cell>
          <cell r="K2153">
            <v>0</v>
          </cell>
          <cell r="L2153">
            <v>17789.759999999998</v>
          </cell>
        </row>
        <row r="2154">
          <cell r="A2154">
            <v>109868</v>
          </cell>
          <cell r="B2154" t="str">
            <v>TBA</v>
          </cell>
          <cell r="C2154">
            <v>27592</v>
          </cell>
          <cell r="D2154" t="str">
            <v>adult</v>
          </cell>
          <cell r="E2154" t="str">
            <v>B</v>
          </cell>
          <cell r="F2154" t="str">
            <v xml:space="preserve">STUDENT WORKER                     </v>
          </cell>
          <cell r="G2154" t="str">
            <v>8242F</v>
          </cell>
          <cell r="H2154">
            <v>8.52</v>
          </cell>
          <cell r="I2154">
            <v>1</v>
          </cell>
          <cell r="J2154">
            <v>2088</v>
          </cell>
          <cell r="K2154">
            <v>0</v>
          </cell>
          <cell r="L2154">
            <v>17789.759999999998</v>
          </cell>
        </row>
        <row r="2155">
          <cell r="A2155">
            <v>109869</v>
          </cell>
          <cell r="B2155" t="str">
            <v>TBA</v>
          </cell>
          <cell r="C2155">
            <v>27592</v>
          </cell>
          <cell r="D2155" t="str">
            <v>adult</v>
          </cell>
          <cell r="E2155" t="str">
            <v>B</v>
          </cell>
          <cell r="F2155" t="str">
            <v>SUBSTANCE ABUSE COUNSELOR</v>
          </cell>
          <cell r="G2155" t="str">
            <v>5884A</v>
          </cell>
          <cell r="H2155">
            <v>3210</v>
          </cell>
          <cell r="I2155">
            <v>1</v>
          </cell>
          <cell r="J2155">
            <v>12</v>
          </cell>
          <cell r="K2155">
            <v>1</v>
          </cell>
          <cell r="L2155">
            <v>38520</v>
          </cell>
        </row>
        <row r="2156">
          <cell r="A2156">
            <v>109871</v>
          </cell>
          <cell r="B2156">
            <v>27592</v>
          </cell>
          <cell r="C2156">
            <v>27592</v>
          </cell>
          <cell r="D2156" t="str">
            <v>adult</v>
          </cell>
          <cell r="E2156" t="str">
            <v>B</v>
          </cell>
          <cell r="F2156" t="str">
            <v xml:space="preserve">SUPVG PSYCHIATRIC SOCIAL WORKER    </v>
          </cell>
          <cell r="G2156" t="str">
            <v>9038A</v>
          </cell>
          <cell r="H2156">
            <v>6062.45</v>
          </cell>
          <cell r="I2156">
            <v>1</v>
          </cell>
          <cell r="J2156">
            <v>12</v>
          </cell>
          <cell r="K2156">
            <v>1</v>
          </cell>
          <cell r="L2156">
            <v>72749.399999999994</v>
          </cell>
        </row>
        <row r="2157">
          <cell r="A2157">
            <v>109920</v>
          </cell>
          <cell r="B2157">
            <v>27592</v>
          </cell>
          <cell r="C2157">
            <v>27592</v>
          </cell>
          <cell r="D2157" t="str">
            <v>adult</v>
          </cell>
          <cell r="E2157" t="str">
            <v>B</v>
          </cell>
          <cell r="F2157" t="str">
            <v xml:space="preserve">SUPVG PSYCHIATRIC SOCIAL WORKER    </v>
          </cell>
          <cell r="G2157" t="str">
            <v>9038A</v>
          </cell>
          <cell r="H2157">
            <v>6062.45</v>
          </cell>
          <cell r="I2157">
            <v>1</v>
          </cell>
          <cell r="J2157">
            <v>12</v>
          </cell>
          <cell r="K2157">
            <v>1</v>
          </cell>
          <cell r="L2157">
            <v>72749.399999999994</v>
          </cell>
        </row>
        <row r="2158">
          <cell r="A2158">
            <v>100086</v>
          </cell>
          <cell r="B2158">
            <v>20670</v>
          </cell>
          <cell r="C2158">
            <v>20670</v>
          </cell>
          <cell r="D2158" t="str">
            <v>adult</v>
          </cell>
          <cell r="E2158" t="str">
            <v>B</v>
          </cell>
          <cell r="F2158" t="str">
            <v xml:space="preserve">CHIEF MENTAL HEALTH PSYCHIATRIST   </v>
          </cell>
          <cell r="G2158" t="str">
            <v>4739A</v>
          </cell>
          <cell r="H2158">
            <v>15046</v>
          </cell>
          <cell r="I2158">
            <v>1</v>
          </cell>
          <cell r="J2158">
            <v>12</v>
          </cell>
          <cell r="K2158">
            <v>1</v>
          </cell>
          <cell r="L2158">
            <v>180552</v>
          </cell>
        </row>
        <row r="2159">
          <cell r="A2159">
            <v>102133</v>
          </cell>
          <cell r="B2159">
            <v>20670</v>
          </cell>
          <cell r="C2159">
            <v>20670</v>
          </cell>
          <cell r="D2159" t="str">
            <v>adult</v>
          </cell>
          <cell r="E2159" t="str">
            <v>B</v>
          </cell>
          <cell r="F2159" t="str">
            <v xml:space="preserve">MENTAL HEALTH ANALYST I            </v>
          </cell>
          <cell r="G2159" t="str">
            <v>4727A</v>
          </cell>
          <cell r="H2159">
            <v>5602.09</v>
          </cell>
          <cell r="I2159">
            <v>1</v>
          </cell>
          <cell r="J2159">
            <v>12</v>
          </cell>
          <cell r="K2159">
            <v>1</v>
          </cell>
          <cell r="L2159">
            <v>67225.16</v>
          </cell>
        </row>
        <row r="2160">
          <cell r="A2160">
            <v>100544</v>
          </cell>
          <cell r="B2160">
            <v>20670</v>
          </cell>
          <cell r="C2160">
            <v>20670</v>
          </cell>
          <cell r="D2160" t="str">
            <v>adult</v>
          </cell>
          <cell r="E2160" t="str">
            <v>B</v>
          </cell>
          <cell r="F2160" t="str">
            <v>MENTAL HLTH CLINICAL DIST CHIEF</v>
          </cell>
          <cell r="G2160" t="str">
            <v>4722A</v>
          </cell>
          <cell r="H2160">
            <v>10074</v>
          </cell>
          <cell r="I2160">
            <v>1</v>
          </cell>
          <cell r="J2160">
            <v>12</v>
          </cell>
          <cell r="K2160">
            <v>1</v>
          </cell>
          <cell r="L2160">
            <v>120887.6</v>
          </cell>
        </row>
        <row r="2161">
          <cell r="A2161">
            <v>101210</v>
          </cell>
          <cell r="B2161">
            <v>20672</v>
          </cell>
          <cell r="C2161">
            <v>20670</v>
          </cell>
          <cell r="D2161" t="str">
            <v>adult</v>
          </cell>
          <cell r="E2161" t="str">
            <v>B</v>
          </cell>
          <cell r="F2161" t="str">
            <v>PSYCHIATRIC SOCIAL WORKER II</v>
          </cell>
          <cell r="G2161" t="str">
            <v>9035A</v>
          </cell>
          <cell r="H2161">
            <v>5425.82</v>
          </cell>
          <cell r="I2161">
            <v>1</v>
          </cell>
          <cell r="J2161">
            <v>12</v>
          </cell>
          <cell r="K2161">
            <v>1</v>
          </cell>
          <cell r="L2161">
            <v>65109.84</v>
          </cell>
        </row>
        <row r="2162">
          <cell r="A2162">
            <v>101843</v>
          </cell>
          <cell r="B2162">
            <v>20670</v>
          </cell>
          <cell r="C2162">
            <v>20670</v>
          </cell>
          <cell r="D2162" t="str">
            <v>adult</v>
          </cell>
          <cell r="E2162" t="str">
            <v>B</v>
          </cell>
          <cell r="F2162" t="str">
            <v>SENIOR MENTAL HEALTH COUNSELOR, RN</v>
          </cell>
          <cell r="G2162" t="str">
            <v>5280A</v>
          </cell>
          <cell r="H2162">
            <v>6790.09</v>
          </cell>
          <cell r="I2162">
            <v>1</v>
          </cell>
          <cell r="J2162">
            <v>12</v>
          </cell>
          <cell r="K2162">
            <v>1</v>
          </cell>
          <cell r="L2162">
            <v>83105.40203389831</v>
          </cell>
        </row>
        <row r="2163">
          <cell r="A2163">
            <v>102135</v>
          </cell>
          <cell r="B2163">
            <v>20670</v>
          </cell>
          <cell r="C2163">
            <v>20670</v>
          </cell>
          <cell r="D2163" t="str">
            <v>adult</v>
          </cell>
          <cell r="E2163" t="str">
            <v>B</v>
          </cell>
          <cell r="F2163" t="str">
            <v xml:space="preserve">SENIOR SECRETARY III               </v>
          </cell>
          <cell r="G2163" t="str">
            <v>2102A</v>
          </cell>
          <cell r="H2163">
            <v>4106.3599999999997</v>
          </cell>
          <cell r="I2163">
            <v>1</v>
          </cell>
          <cell r="J2163">
            <v>12</v>
          </cell>
          <cell r="K2163">
            <v>1</v>
          </cell>
          <cell r="L2163">
            <v>49276.56</v>
          </cell>
        </row>
        <row r="2164">
          <cell r="A2164">
            <v>103602</v>
          </cell>
          <cell r="B2164">
            <v>20672</v>
          </cell>
          <cell r="C2164">
            <v>20670</v>
          </cell>
          <cell r="D2164" t="str">
            <v>adult</v>
          </cell>
          <cell r="E2164" t="str">
            <v>B</v>
          </cell>
          <cell r="F2164" t="str">
            <v xml:space="preserve">SENIOR TYPIST-CLERK                </v>
          </cell>
          <cell r="G2164" t="str">
            <v>2216A</v>
          </cell>
          <cell r="H2164">
            <v>3013.55</v>
          </cell>
          <cell r="I2164">
            <v>1</v>
          </cell>
          <cell r="J2164">
            <v>12</v>
          </cell>
          <cell r="K2164">
            <v>1</v>
          </cell>
          <cell r="L2164">
            <v>36162.6</v>
          </cell>
        </row>
        <row r="2165">
          <cell r="A2165">
            <v>102142</v>
          </cell>
          <cell r="B2165">
            <v>20670</v>
          </cell>
          <cell r="C2165">
            <v>20670</v>
          </cell>
          <cell r="D2165" t="str">
            <v>adult</v>
          </cell>
          <cell r="E2165" t="str">
            <v>B</v>
          </cell>
          <cell r="F2165" t="str">
            <v xml:space="preserve">SUPVG ADMINISTRATIVE ASSISTANT II  </v>
          </cell>
          <cell r="G2165" t="str">
            <v>0897A</v>
          </cell>
          <cell r="H2165">
            <v>6062.45</v>
          </cell>
          <cell r="I2165">
            <v>1</v>
          </cell>
          <cell r="J2165">
            <v>12</v>
          </cell>
          <cell r="K2165">
            <v>1</v>
          </cell>
          <cell r="L2165">
            <v>72749.56</v>
          </cell>
        </row>
        <row r="2166">
          <cell r="A2166">
            <v>102152</v>
          </cell>
          <cell r="B2166">
            <v>20672</v>
          </cell>
          <cell r="C2166">
            <v>20672</v>
          </cell>
          <cell r="D2166" t="str">
            <v>adult</v>
          </cell>
          <cell r="E2166" t="str">
            <v>B</v>
          </cell>
          <cell r="F2166" t="str">
            <v xml:space="preserve">ADMINISTRATIVE ASSISTANT II        </v>
          </cell>
          <cell r="G2166" t="str">
            <v>0888A</v>
          </cell>
          <cell r="H2166">
            <v>4334.6400000000003</v>
          </cell>
          <cell r="I2166">
            <v>1</v>
          </cell>
          <cell r="J2166">
            <v>12</v>
          </cell>
          <cell r="K2166">
            <v>1</v>
          </cell>
          <cell r="L2166">
            <v>52015.360000000001</v>
          </cell>
        </row>
        <row r="2167">
          <cell r="A2167">
            <v>102910</v>
          </cell>
          <cell r="B2167">
            <v>20676</v>
          </cell>
          <cell r="C2167">
            <v>20672</v>
          </cell>
          <cell r="D2167" t="str">
            <v>adult</v>
          </cell>
          <cell r="E2167" t="str">
            <v>B</v>
          </cell>
          <cell r="F2167" t="str">
            <v>CLINICAL PSYCHOLOGIST II</v>
          </cell>
          <cell r="G2167" t="str">
            <v>8697F</v>
          </cell>
          <cell r="H2167">
            <v>33.880000000000003</v>
          </cell>
          <cell r="I2167">
            <v>1</v>
          </cell>
          <cell r="J2167">
            <v>1096</v>
          </cell>
          <cell r="K2167">
            <v>0.52490421455938696</v>
          </cell>
          <cell r="L2167">
            <v>37132.68</v>
          </cell>
        </row>
        <row r="2168">
          <cell r="A2168">
            <v>103338</v>
          </cell>
          <cell r="B2168">
            <v>20672</v>
          </cell>
          <cell r="C2168">
            <v>20672</v>
          </cell>
          <cell r="D2168" t="str">
            <v>adult</v>
          </cell>
          <cell r="E2168" t="str">
            <v>B</v>
          </cell>
          <cell r="F2168" t="str">
            <v>CLINICAL PSYCHOLOGIST II</v>
          </cell>
          <cell r="G2168" t="str">
            <v>8697A</v>
          </cell>
          <cell r="H2168">
            <v>6993.82</v>
          </cell>
          <cell r="I2168">
            <v>1</v>
          </cell>
          <cell r="J2168">
            <v>12</v>
          </cell>
          <cell r="K2168">
            <v>1</v>
          </cell>
          <cell r="L2168">
            <v>83925.52</v>
          </cell>
        </row>
        <row r="2169">
          <cell r="A2169">
            <v>103341</v>
          </cell>
          <cell r="B2169">
            <v>20672</v>
          </cell>
          <cell r="C2169">
            <v>20672</v>
          </cell>
          <cell r="D2169" t="str">
            <v>adult</v>
          </cell>
          <cell r="E2169" t="str">
            <v>B</v>
          </cell>
          <cell r="F2169" t="str">
            <v>CLINICAL PSYCHOLOGIST II</v>
          </cell>
          <cell r="G2169" t="str">
            <v>8697A</v>
          </cell>
          <cell r="H2169">
            <v>6993.82</v>
          </cell>
          <cell r="I2169">
            <v>1</v>
          </cell>
          <cell r="J2169">
            <v>12</v>
          </cell>
          <cell r="K2169">
            <v>1</v>
          </cell>
          <cell r="L2169">
            <v>83925.52</v>
          </cell>
        </row>
        <row r="2170">
          <cell r="A2170">
            <v>103342</v>
          </cell>
          <cell r="B2170">
            <v>20672</v>
          </cell>
          <cell r="C2170">
            <v>20672</v>
          </cell>
          <cell r="D2170" t="str">
            <v>adult</v>
          </cell>
          <cell r="E2170" t="str">
            <v>B</v>
          </cell>
          <cell r="F2170" t="str">
            <v>CLINICAL PSYCHOLOGIST II</v>
          </cell>
          <cell r="G2170" t="str">
            <v>8697A</v>
          </cell>
          <cell r="H2170">
            <v>6993.82</v>
          </cell>
          <cell r="I2170">
            <v>1</v>
          </cell>
          <cell r="J2170">
            <v>12</v>
          </cell>
          <cell r="K2170">
            <v>1</v>
          </cell>
          <cell r="L2170">
            <v>83925.52</v>
          </cell>
        </row>
        <row r="2171">
          <cell r="A2171">
            <v>103343</v>
          </cell>
          <cell r="B2171">
            <v>20672</v>
          </cell>
          <cell r="C2171">
            <v>20672</v>
          </cell>
          <cell r="D2171" t="str">
            <v>adult</v>
          </cell>
          <cell r="E2171" t="str">
            <v>B</v>
          </cell>
          <cell r="F2171" t="str">
            <v>CLINICAL PSYCHOLOGIST II</v>
          </cell>
          <cell r="G2171" t="str">
            <v>8697A</v>
          </cell>
          <cell r="H2171">
            <v>6993.82</v>
          </cell>
          <cell r="I2171">
            <v>1</v>
          </cell>
          <cell r="J2171">
            <v>12</v>
          </cell>
          <cell r="K2171">
            <v>1</v>
          </cell>
          <cell r="L2171">
            <v>83925.52</v>
          </cell>
        </row>
        <row r="2172">
          <cell r="A2172">
            <v>103344</v>
          </cell>
          <cell r="B2172">
            <v>20672</v>
          </cell>
          <cell r="C2172">
            <v>20672</v>
          </cell>
          <cell r="D2172" t="str">
            <v>adult</v>
          </cell>
          <cell r="E2172" t="str">
            <v>B</v>
          </cell>
          <cell r="F2172" t="str">
            <v>CLINICAL PSYCHOLOGIST II</v>
          </cell>
          <cell r="G2172" t="str">
            <v>8697A</v>
          </cell>
          <cell r="H2172">
            <v>6993.82</v>
          </cell>
          <cell r="I2172">
            <v>1</v>
          </cell>
          <cell r="J2172">
            <v>12</v>
          </cell>
          <cell r="K2172">
            <v>1</v>
          </cell>
          <cell r="L2172">
            <v>83925.52</v>
          </cell>
        </row>
        <row r="2173">
          <cell r="A2173">
            <v>103386</v>
          </cell>
          <cell r="B2173">
            <v>20673</v>
          </cell>
          <cell r="C2173">
            <v>20672</v>
          </cell>
          <cell r="D2173" t="str">
            <v>adult</v>
          </cell>
          <cell r="E2173" t="str">
            <v>B</v>
          </cell>
          <cell r="F2173" t="str">
            <v>CLINICAL PSYCHOLOGIST II</v>
          </cell>
          <cell r="G2173" t="str">
            <v>8697A</v>
          </cell>
          <cell r="H2173">
            <v>6993.82</v>
          </cell>
          <cell r="I2173">
            <v>1</v>
          </cell>
          <cell r="J2173">
            <v>12</v>
          </cell>
          <cell r="K2173">
            <v>1</v>
          </cell>
          <cell r="L2173">
            <v>83925.52</v>
          </cell>
        </row>
        <row r="2174">
          <cell r="A2174">
            <v>103417</v>
          </cell>
          <cell r="B2174">
            <v>20676</v>
          </cell>
          <cell r="C2174">
            <v>20672</v>
          </cell>
          <cell r="D2174" t="str">
            <v>adult</v>
          </cell>
          <cell r="E2174" t="str">
            <v>B</v>
          </cell>
          <cell r="F2174" t="str">
            <v>CLINICAL PSYCHOLOGIST II</v>
          </cell>
          <cell r="G2174" t="str">
            <v>8697A</v>
          </cell>
          <cell r="H2174">
            <v>6993.82</v>
          </cell>
          <cell r="I2174">
            <v>1</v>
          </cell>
          <cell r="J2174">
            <v>12</v>
          </cell>
          <cell r="K2174">
            <v>1</v>
          </cell>
          <cell r="L2174">
            <v>83925.52</v>
          </cell>
        </row>
        <row r="2175">
          <cell r="A2175">
            <v>104225</v>
          </cell>
          <cell r="B2175">
            <v>23036</v>
          </cell>
          <cell r="C2175">
            <v>20672</v>
          </cell>
          <cell r="D2175" t="str">
            <v>adult</v>
          </cell>
          <cell r="E2175" t="str">
            <v>B</v>
          </cell>
          <cell r="F2175" t="str">
            <v>CLINICAL PSYCHOLOGIST II</v>
          </cell>
          <cell r="G2175" t="str">
            <v>8697A</v>
          </cell>
          <cell r="H2175">
            <v>6993.82</v>
          </cell>
          <cell r="I2175">
            <v>1</v>
          </cell>
          <cell r="J2175">
            <v>12</v>
          </cell>
          <cell r="K2175">
            <v>1</v>
          </cell>
          <cell r="L2175">
            <v>83925.52</v>
          </cell>
        </row>
        <row r="2176">
          <cell r="A2176">
            <v>104485</v>
          </cell>
          <cell r="B2176">
            <v>20672</v>
          </cell>
          <cell r="C2176">
            <v>20672</v>
          </cell>
          <cell r="D2176" t="str">
            <v>adult</v>
          </cell>
          <cell r="E2176" t="str">
            <v>B</v>
          </cell>
          <cell r="F2176" t="str">
            <v>CLINICAL PSYCHOLOGIST II</v>
          </cell>
          <cell r="G2176" t="str">
            <v>8697A</v>
          </cell>
          <cell r="H2176">
            <v>6993.82</v>
          </cell>
          <cell r="I2176">
            <v>1</v>
          </cell>
          <cell r="J2176">
            <v>12</v>
          </cell>
          <cell r="K2176">
            <v>1</v>
          </cell>
          <cell r="L2176">
            <v>83925.52</v>
          </cell>
        </row>
        <row r="2177">
          <cell r="A2177">
            <v>104527</v>
          </cell>
          <cell r="B2177">
            <v>18700</v>
          </cell>
          <cell r="C2177">
            <v>20672</v>
          </cell>
          <cell r="D2177" t="str">
            <v>adult</v>
          </cell>
          <cell r="E2177" t="str">
            <v>B</v>
          </cell>
          <cell r="F2177" t="str">
            <v>CLINICAL PSYCHOLOGIST II</v>
          </cell>
          <cell r="G2177" t="str">
            <v>8697A</v>
          </cell>
          <cell r="H2177">
            <v>6993.82</v>
          </cell>
          <cell r="I2177">
            <v>1</v>
          </cell>
          <cell r="J2177">
            <v>12</v>
          </cell>
          <cell r="K2177">
            <v>1</v>
          </cell>
          <cell r="L2177">
            <v>83925.52</v>
          </cell>
        </row>
        <row r="2178">
          <cell r="A2178">
            <v>104528</v>
          </cell>
          <cell r="B2178">
            <v>18700</v>
          </cell>
          <cell r="C2178">
            <v>20672</v>
          </cell>
          <cell r="D2178" t="str">
            <v>adult</v>
          </cell>
          <cell r="E2178" t="str">
            <v>B</v>
          </cell>
          <cell r="F2178" t="str">
            <v>CLINICAL PSYCHOLOGIST II</v>
          </cell>
          <cell r="G2178" t="str">
            <v>8697A</v>
          </cell>
          <cell r="H2178">
            <v>6993.82</v>
          </cell>
          <cell r="I2178">
            <v>1</v>
          </cell>
          <cell r="J2178">
            <v>12</v>
          </cell>
          <cell r="K2178">
            <v>1</v>
          </cell>
          <cell r="L2178">
            <v>83925.52</v>
          </cell>
        </row>
        <row r="2179">
          <cell r="A2179">
            <v>104545</v>
          </cell>
          <cell r="B2179">
            <v>20676</v>
          </cell>
          <cell r="C2179">
            <v>20672</v>
          </cell>
          <cell r="D2179" t="str">
            <v>adult</v>
          </cell>
          <cell r="E2179" t="str">
            <v>B</v>
          </cell>
          <cell r="F2179" t="str">
            <v>CLINICAL PSYCHOLOGIST II</v>
          </cell>
          <cell r="G2179" t="str">
            <v>8697A</v>
          </cell>
          <cell r="H2179">
            <v>6993.82</v>
          </cell>
          <cell r="I2179">
            <v>1</v>
          </cell>
          <cell r="J2179">
            <v>12</v>
          </cell>
          <cell r="K2179">
            <v>1</v>
          </cell>
          <cell r="L2179">
            <v>83925.52</v>
          </cell>
        </row>
        <row r="2180">
          <cell r="A2180">
            <v>100326</v>
          </cell>
          <cell r="B2180">
            <v>20672</v>
          </cell>
          <cell r="C2180">
            <v>20672</v>
          </cell>
          <cell r="D2180" t="str">
            <v>adult</v>
          </cell>
          <cell r="E2180" t="str">
            <v>B</v>
          </cell>
          <cell r="F2180" t="str">
            <v xml:space="preserve">INTERMEDIATE STENOGRAPHER          </v>
          </cell>
          <cell r="G2180" t="str">
            <v>2172A</v>
          </cell>
          <cell r="H2180">
            <v>2934</v>
          </cell>
          <cell r="I2180">
            <v>1</v>
          </cell>
          <cell r="J2180">
            <v>12</v>
          </cell>
          <cell r="K2180">
            <v>1</v>
          </cell>
          <cell r="L2180">
            <v>35208</v>
          </cell>
        </row>
        <row r="2181">
          <cell r="A2181">
            <v>100328</v>
          </cell>
          <cell r="B2181">
            <v>20673</v>
          </cell>
          <cell r="C2181">
            <v>20672</v>
          </cell>
          <cell r="D2181" t="str">
            <v>adult</v>
          </cell>
          <cell r="E2181" t="str">
            <v>B</v>
          </cell>
          <cell r="F2181" t="str">
            <v xml:space="preserve">INTERMEDIATE STENOGRAPHER          </v>
          </cell>
          <cell r="G2181" t="str">
            <v>2172A</v>
          </cell>
          <cell r="H2181">
            <v>2934</v>
          </cell>
          <cell r="I2181">
            <v>1</v>
          </cell>
          <cell r="J2181">
            <v>12</v>
          </cell>
          <cell r="K2181">
            <v>1</v>
          </cell>
          <cell r="L2181">
            <v>35208</v>
          </cell>
        </row>
        <row r="2182">
          <cell r="A2182">
            <v>101826</v>
          </cell>
          <cell r="B2182">
            <v>20672</v>
          </cell>
          <cell r="C2182">
            <v>20672</v>
          </cell>
          <cell r="D2182" t="str">
            <v>adult</v>
          </cell>
          <cell r="E2182" t="str">
            <v>B</v>
          </cell>
          <cell r="F2182" t="str">
            <v>INTERMEDIATE TYPIST-CLERK</v>
          </cell>
          <cell r="G2182" t="str">
            <v>2214A</v>
          </cell>
          <cell r="H2182">
            <v>2675.27</v>
          </cell>
          <cell r="I2182">
            <v>1</v>
          </cell>
          <cell r="J2182">
            <v>12</v>
          </cell>
          <cell r="K2182">
            <v>1</v>
          </cell>
          <cell r="L2182">
            <v>32103.16</v>
          </cell>
        </row>
        <row r="2183">
          <cell r="A2183">
            <v>104556</v>
          </cell>
          <cell r="B2183">
            <v>20672</v>
          </cell>
          <cell r="C2183">
            <v>20672</v>
          </cell>
          <cell r="D2183" t="str">
            <v>adult</v>
          </cell>
          <cell r="E2183" t="str">
            <v>B</v>
          </cell>
          <cell r="F2183" t="str">
            <v>INTERMEDIATE TYPIST-CLERK</v>
          </cell>
          <cell r="G2183" t="str">
            <v>2214A</v>
          </cell>
          <cell r="H2183">
            <v>2675.27</v>
          </cell>
          <cell r="I2183">
            <v>1</v>
          </cell>
          <cell r="J2183">
            <v>12</v>
          </cell>
          <cell r="K2183">
            <v>1</v>
          </cell>
          <cell r="L2183">
            <v>32103.16</v>
          </cell>
        </row>
        <row r="2184">
          <cell r="A2184">
            <v>104557</v>
          </cell>
          <cell r="B2184">
            <v>20672</v>
          </cell>
          <cell r="C2184">
            <v>20672</v>
          </cell>
          <cell r="D2184" t="str">
            <v>adult</v>
          </cell>
          <cell r="E2184" t="str">
            <v>B</v>
          </cell>
          <cell r="F2184" t="str">
            <v>INTERMEDIATE TYPIST-CLERK</v>
          </cell>
          <cell r="G2184" t="str">
            <v>2214A</v>
          </cell>
          <cell r="H2184">
            <v>2675.27</v>
          </cell>
          <cell r="I2184">
            <v>1</v>
          </cell>
          <cell r="J2184">
            <v>12</v>
          </cell>
          <cell r="K2184">
            <v>1</v>
          </cell>
          <cell r="L2184">
            <v>32103.16</v>
          </cell>
        </row>
        <row r="2185">
          <cell r="A2185">
            <v>104558</v>
          </cell>
          <cell r="B2185">
            <v>20672</v>
          </cell>
          <cell r="C2185">
            <v>20672</v>
          </cell>
          <cell r="D2185" t="str">
            <v>adult</v>
          </cell>
          <cell r="E2185" t="str">
            <v>B</v>
          </cell>
          <cell r="F2185" t="str">
            <v>INTERMEDIATE TYPIST-CLERK</v>
          </cell>
          <cell r="G2185" t="str">
            <v>2214A</v>
          </cell>
          <cell r="H2185">
            <v>2675.27</v>
          </cell>
          <cell r="I2185">
            <v>1</v>
          </cell>
          <cell r="J2185">
            <v>12</v>
          </cell>
          <cell r="K2185">
            <v>1</v>
          </cell>
          <cell r="L2185">
            <v>32103.16</v>
          </cell>
        </row>
        <row r="2186">
          <cell r="A2186">
            <v>104521</v>
          </cell>
          <cell r="B2186">
            <v>20670</v>
          </cell>
          <cell r="C2186">
            <v>20672</v>
          </cell>
          <cell r="D2186" t="str">
            <v>adult</v>
          </cell>
          <cell r="E2186" t="str">
            <v>B</v>
          </cell>
          <cell r="F2186" t="str">
            <v xml:space="preserve">MANAGEMENT SECRETARY III           </v>
          </cell>
          <cell r="G2186" t="str">
            <v>2109A</v>
          </cell>
          <cell r="H2186">
            <v>4576.7299999999996</v>
          </cell>
          <cell r="I2186">
            <v>1</v>
          </cell>
          <cell r="J2186">
            <v>12</v>
          </cell>
          <cell r="K2186">
            <v>1</v>
          </cell>
          <cell r="L2186">
            <v>54920.52</v>
          </cell>
        </row>
        <row r="2187">
          <cell r="A2187">
            <v>102214</v>
          </cell>
          <cell r="B2187">
            <v>20489</v>
          </cell>
          <cell r="C2187">
            <v>20672</v>
          </cell>
          <cell r="D2187" t="str">
            <v>adult</v>
          </cell>
          <cell r="E2187" t="str">
            <v>B</v>
          </cell>
          <cell r="F2187" t="str">
            <v>MEDICAL CASE WORKER II</v>
          </cell>
          <cell r="G2187" t="str">
            <v>9002A</v>
          </cell>
          <cell r="H2187">
            <v>3938.82</v>
          </cell>
          <cell r="I2187">
            <v>1</v>
          </cell>
          <cell r="J2187">
            <v>12</v>
          </cell>
          <cell r="K2187">
            <v>1</v>
          </cell>
          <cell r="L2187">
            <v>47265.68</v>
          </cell>
        </row>
        <row r="2188">
          <cell r="A2188">
            <v>104487</v>
          </cell>
          <cell r="B2188">
            <v>20672</v>
          </cell>
          <cell r="C2188">
            <v>20672</v>
          </cell>
          <cell r="D2188" t="str">
            <v>adult</v>
          </cell>
          <cell r="E2188" t="str">
            <v>B</v>
          </cell>
          <cell r="F2188" t="str">
            <v>MEDICAL CASE WORKER II</v>
          </cell>
          <cell r="G2188" t="str">
            <v>9002A</v>
          </cell>
          <cell r="H2188">
            <v>3938.82</v>
          </cell>
          <cell r="I2188">
            <v>1</v>
          </cell>
          <cell r="J2188">
            <v>12</v>
          </cell>
          <cell r="K2188">
            <v>1</v>
          </cell>
          <cell r="L2188">
            <v>47265.68</v>
          </cell>
        </row>
        <row r="2189">
          <cell r="A2189">
            <v>104488</v>
          </cell>
          <cell r="B2189">
            <v>20672</v>
          </cell>
          <cell r="C2189">
            <v>20672</v>
          </cell>
          <cell r="D2189" t="str">
            <v>adult</v>
          </cell>
          <cell r="E2189" t="str">
            <v>B</v>
          </cell>
          <cell r="F2189" t="str">
            <v>MEDICAL CASE WORKER II</v>
          </cell>
          <cell r="G2189" t="str">
            <v>9002A</v>
          </cell>
          <cell r="H2189">
            <v>3938.82</v>
          </cell>
          <cell r="I2189">
            <v>1</v>
          </cell>
          <cell r="J2189">
            <v>12</v>
          </cell>
          <cell r="K2189">
            <v>1</v>
          </cell>
          <cell r="L2189">
            <v>47265.68</v>
          </cell>
        </row>
        <row r="2190">
          <cell r="A2190">
            <v>104490</v>
          </cell>
          <cell r="B2190">
            <v>20672</v>
          </cell>
          <cell r="C2190">
            <v>20672</v>
          </cell>
          <cell r="D2190" t="str">
            <v>adult</v>
          </cell>
          <cell r="E2190" t="str">
            <v>B</v>
          </cell>
          <cell r="F2190" t="str">
            <v>MEDICAL CASE WORKER II</v>
          </cell>
          <cell r="G2190" t="str">
            <v>9002A</v>
          </cell>
          <cell r="H2190">
            <v>3938.82</v>
          </cell>
          <cell r="I2190">
            <v>1</v>
          </cell>
          <cell r="J2190">
            <v>12</v>
          </cell>
          <cell r="K2190">
            <v>1</v>
          </cell>
          <cell r="L2190">
            <v>47265.68</v>
          </cell>
        </row>
        <row r="2191">
          <cell r="A2191">
            <v>104491</v>
          </cell>
          <cell r="B2191">
            <v>20672</v>
          </cell>
          <cell r="C2191">
            <v>20672</v>
          </cell>
          <cell r="D2191" t="str">
            <v>adult</v>
          </cell>
          <cell r="E2191" t="str">
            <v>B</v>
          </cell>
          <cell r="F2191" t="str">
            <v>MEDICAL CASE WORKER II</v>
          </cell>
          <cell r="G2191" t="str">
            <v>9002A</v>
          </cell>
          <cell r="H2191">
            <v>3938.82</v>
          </cell>
          <cell r="I2191">
            <v>1</v>
          </cell>
          <cell r="J2191">
            <v>12</v>
          </cell>
          <cell r="K2191">
            <v>1</v>
          </cell>
          <cell r="L2191">
            <v>47265.68</v>
          </cell>
        </row>
        <row r="2192">
          <cell r="A2192">
            <v>104559</v>
          </cell>
          <cell r="B2192">
            <v>20672</v>
          </cell>
          <cell r="C2192">
            <v>20672</v>
          </cell>
          <cell r="D2192" t="str">
            <v>adult</v>
          </cell>
          <cell r="E2192" t="str">
            <v>B</v>
          </cell>
          <cell r="F2192" t="str">
            <v>MEDICAL CASE WORKER II</v>
          </cell>
          <cell r="G2192" t="str">
            <v>9002A</v>
          </cell>
          <cell r="H2192">
            <v>3938.82</v>
          </cell>
          <cell r="I2192">
            <v>1</v>
          </cell>
          <cell r="J2192">
            <v>12</v>
          </cell>
          <cell r="K2192">
            <v>1</v>
          </cell>
          <cell r="L2192">
            <v>47265.68</v>
          </cell>
        </row>
        <row r="2193">
          <cell r="A2193">
            <v>104786</v>
          </cell>
          <cell r="B2193">
            <v>20564</v>
          </cell>
          <cell r="C2193">
            <v>20672</v>
          </cell>
          <cell r="D2193" t="str">
            <v>adult</v>
          </cell>
          <cell r="E2193" t="str">
            <v>B</v>
          </cell>
          <cell r="F2193" t="str">
            <v>MEDICAL CASE WORKER II</v>
          </cell>
          <cell r="G2193" t="str">
            <v>9002A</v>
          </cell>
          <cell r="H2193">
            <v>3938.82</v>
          </cell>
          <cell r="I2193">
            <v>1</v>
          </cell>
          <cell r="J2193">
            <v>12</v>
          </cell>
          <cell r="K2193">
            <v>1</v>
          </cell>
          <cell r="L2193">
            <v>47265.68</v>
          </cell>
        </row>
        <row r="2194">
          <cell r="A2194">
            <v>102657</v>
          </cell>
          <cell r="B2194">
            <v>23003</v>
          </cell>
          <cell r="C2194">
            <v>20672</v>
          </cell>
          <cell r="D2194" t="str">
            <v>adult</v>
          </cell>
          <cell r="E2194" t="str">
            <v>B</v>
          </cell>
          <cell r="F2194" t="str">
            <v>MENTAL HEALTH CONSULTANT,MD(PER SESSION)</v>
          </cell>
          <cell r="G2194" t="str">
            <v>5467J</v>
          </cell>
          <cell r="H2194">
            <v>314</v>
          </cell>
          <cell r="I2194">
            <v>1</v>
          </cell>
          <cell r="J2194">
            <v>104</v>
          </cell>
          <cell r="K2194">
            <v>0.19923371647509577</v>
          </cell>
          <cell r="L2194">
            <v>32656.080000000002</v>
          </cell>
        </row>
        <row r="2195">
          <cell r="A2195">
            <v>100634</v>
          </cell>
          <cell r="B2195">
            <v>23007</v>
          </cell>
          <cell r="C2195">
            <v>20672</v>
          </cell>
          <cell r="D2195" t="str">
            <v>adult</v>
          </cell>
          <cell r="E2195" t="str">
            <v>B</v>
          </cell>
          <cell r="F2195" t="str">
            <v>MENTAL HEALTH COUNSELOR, RN</v>
          </cell>
          <cell r="G2195" t="str">
            <v>5278A</v>
          </cell>
          <cell r="H2195">
            <v>6275.27</v>
          </cell>
          <cell r="I2195">
            <v>1</v>
          </cell>
          <cell r="J2195">
            <v>12</v>
          </cell>
          <cell r="K2195">
            <v>1</v>
          </cell>
          <cell r="L2195">
            <v>76804.323333333334</v>
          </cell>
        </row>
        <row r="2196">
          <cell r="A2196">
            <v>100688</v>
          </cell>
          <cell r="B2196">
            <v>20672</v>
          </cell>
          <cell r="C2196">
            <v>20672</v>
          </cell>
          <cell r="D2196" t="str">
            <v>adult</v>
          </cell>
          <cell r="E2196" t="str">
            <v>B</v>
          </cell>
          <cell r="F2196" t="str">
            <v>MENTAL HEALTH COUNSELOR, RN</v>
          </cell>
          <cell r="G2196" t="str">
            <v>5278A</v>
          </cell>
          <cell r="H2196">
            <v>6275.27</v>
          </cell>
          <cell r="I2196">
            <v>1</v>
          </cell>
          <cell r="J2196">
            <v>12</v>
          </cell>
          <cell r="K2196">
            <v>1</v>
          </cell>
          <cell r="L2196">
            <v>76804.323333333334</v>
          </cell>
        </row>
        <row r="2197">
          <cell r="A2197">
            <v>100692</v>
          </cell>
          <cell r="B2197">
            <v>20672</v>
          </cell>
          <cell r="C2197">
            <v>20672</v>
          </cell>
          <cell r="D2197" t="str">
            <v>adult</v>
          </cell>
          <cell r="E2197" t="str">
            <v>B</v>
          </cell>
          <cell r="F2197" t="str">
            <v>MENTAL HEALTH COUNSELOR, RN</v>
          </cell>
          <cell r="G2197" t="str">
            <v>5278A</v>
          </cell>
          <cell r="H2197">
            <v>6275.27</v>
          </cell>
          <cell r="I2197">
            <v>1</v>
          </cell>
          <cell r="J2197">
            <v>12</v>
          </cell>
          <cell r="K2197">
            <v>1</v>
          </cell>
          <cell r="L2197">
            <v>76804.323333333334</v>
          </cell>
        </row>
        <row r="2198">
          <cell r="A2198">
            <v>100693</v>
          </cell>
          <cell r="B2198">
            <v>20672</v>
          </cell>
          <cell r="C2198">
            <v>20672</v>
          </cell>
          <cell r="D2198" t="str">
            <v>adult</v>
          </cell>
          <cell r="E2198" t="str">
            <v>B</v>
          </cell>
          <cell r="F2198" t="str">
            <v>MENTAL HEALTH COUNSELOR, RN</v>
          </cell>
          <cell r="G2198" t="str">
            <v>5278A</v>
          </cell>
          <cell r="H2198">
            <v>6275.27</v>
          </cell>
          <cell r="I2198">
            <v>1</v>
          </cell>
          <cell r="J2198">
            <v>12</v>
          </cell>
          <cell r="K2198">
            <v>1</v>
          </cell>
          <cell r="L2198">
            <v>76804.323333333334</v>
          </cell>
        </row>
        <row r="2199">
          <cell r="A2199">
            <v>100694</v>
          </cell>
          <cell r="B2199">
            <v>20672</v>
          </cell>
          <cell r="C2199">
            <v>20672</v>
          </cell>
          <cell r="D2199" t="str">
            <v>adult</v>
          </cell>
          <cell r="E2199" t="str">
            <v>B</v>
          </cell>
          <cell r="F2199" t="str">
            <v>MENTAL HEALTH COUNSELOR, RN</v>
          </cell>
          <cell r="G2199" t="str">
            <v>5278A</v>
          </cell>
          <cell r="H2199">
            <v>6275.27</v>
          </cell>
          <cell r="I2199">
            <v>1</v>
          </cell>
          <cell r="J2199">
            <v>12</v>
          </cell>
          <cell r="K2199">
            <v>1</v>
          </cell>
          <cell r="L2199">
            <v>76804.323333333334</v>
          </cell>
        </row>
        <row r="2200">
          <cell r="A2200">
            <v>100696</v>
          </cell>
          <cell r="B2200">
            <v>20676</v>
          </cell>
          <cell r="C2200">
            <v>20672</v>
          </cell>
          <cell r="D2200" t="str">
            <v>adult</v>
          </cell>
          <cell r="E2200" t="str">
            <v>B</v>
          </cell>
          <cell r="F2200" t="str">
            <v>MENTAL HEALTH COUNSELOR, RN</v>
          </cell>
          <cell r="G2200" t="str">
            <v>5278A</v>
          </cell>
          <cell r="H2200">
            <v>6275.27</v>
          </cell>
          <cell r="I2200">
            <v>1</v>
          </cell>
          <cell r="J2200">
            <v>12</v>
          </cell>
          <cell r="K2200">
            <v>1</v>
          </cell>
          <cell r="L2200">
            <v>76804.323333333334</v>
          </cell>
        </row>
        <row r="2201">
          <cell r="A2201">
            <v>100700</v>
          </cell>
          <cell r="B2201">
            <v>20672</v>
          </cell>
          <cell r="C2201">
            <v>20672</v>
          </cell>
          <cell r="D2201" t="str">
            <v>adult</v>
          </cell>
          <cell r="E2201" t="str">
            <v>B</v>
          </cell>
          <cell r="F2201" t="str">
            <v>MENTAL HEALTH COUNSELOR, RN</v>
          </cell>
          <cell r="G2201" t="str">
            <v>5278A</v>
          </cell>
          <cell r="H2201">
            <v>6275.27</v>
          </cell>
          <cell r="I2201">
            <v>1</v>
          </cell>
          <cell r="J2201">
            <v>12</v>
          </cell>
          <cell r="K2201">
            <v>1</v>
          </cell>
          <cell r="L2201">
            <v>76804.323333333334</v>
          </cell>
        </row>
        <row r="2202">
          <cell r="A2202">
            <v>102708</v>
          </cell>
          <cell r="B2202">
            <v>20672</v>
          </cell>
          <cell r="C2202">
            <v>20672</v>
          </cell>
          <cell r="D2202" t="str">
            <v>adult</v>
          </cell>
          <cell r="E2202" t="str">
            <v>B</v>
          </cell>
          <cell r="F2202" t="str">
            <v>MENTAL HEALTH COUNSELOR, RN</v>
          </cell>
          <cell r="G2202" t="str">
            <v>5278A</v>
          </cell>
          <cell r="H2202">
            <v>6275.27</v>
          </cell>
          <cell r="I2202">
            <v>1</v>
          </cell>
          <cell r="J2202">
            <v>12</v>
          </cell>
          <cell r="K2202">
            <v>1</v>
          </cell>
          <cell r="L2202">
            <v>76804.323333333334</v>
          </cell>
        </row>
        <row r="2203">
          <cell r="A2203">
            <v>102914</v>
          </cell>
          <cell r="B2203">
            <v>20676</v>
          </cell>
          <cell r="C2203">
            <v>20672</v>
          </cell>
          <cell r="D2203" t="str">
            <v>adult</v>
          </cell>
          <cell r="E2203" t="str">
            <v>B</v>
          </cell>
          <cell r="F2203" t="str">
            <v>MENTAL HEALTH COUNSELOR, RN</v>
          </cell>
          <cell r="G2203" t="str">
            <v>5278H</v>
          </cell>
          <cell r="H2203">
            <v>35.770000000000003</v>
          </cell>
          <cell r="I2203">
            <v>1</v>
          </cell>
          <cell r="J2203">
            <v>193</v>
          </cell>
          <cell r="K2203">
            <v>9.2432950191570884E-2</v>
          </cell>
          <cell r="L2203">
            <v>7041.45</v>
          </cell>
        </row>
        <row r="2204">
          <cell r="A2204">
            <v>103346</v>
          </cell>
          <cell r="B2204">
            <v>20672</v>
          </cell>
          <cell r="C2204">
            <v>20672</v>
          </cell>
          <cell r="D2204" t="str">
            <v>adult</v>
          </cell>
          <cell r="E2204" t="str">
            <v>B</v>
          </cell>
          <cell r="F2204" t="str">
            <v>MENTAL HEALTH COUNSELOR, RN</v>
          </cell>
          <cell r="G2204" t="str">
            <v>5278A</v>
          </cell>
          <cell r="H2204">
            <v>6275.27</v>
          </cell>
          <cell r="I2204">
            <v>1</v>
          </cell>
          <cell r="J2204">
            <v>12</v>
          </cell>
          <cell r="K2204">
            <v>1</v>
          </cell>
          <cell r="L2204">
            <v>76804.323333333334</v>
          </cell>
        </row>
        <row r="2205">
          <cell r="A2205">
            <v>103347</v>
          </cell>
          <cell r="B2205">
            <v>20672</v>
          </cell>
          <cell r="C2205">
            <v>20672</v>
          </cell>
          <cell r="D2205" t="str">
            <v>adult</v>
          </cell>
          <cell r="E2205" t="str">
            <v>B</v>
          </cell>
          <cell r="F2205" t="str">
            <v>MENTAL HEALTH COUNSELOR, RN</v>
          </cell>
          <cell r="G2205" t="str">
            <v>5278A</v>
          </cell>
          <cell r="H2205">
            <v>6275.27</v>
          </cell>
          <cell r="I2205">
            <v>1</v>
          </cell>
          <cell r="J2205">
            <v>12</v>
          </cell>
          <cell r="K2205">
            <v>1</v>
          </cell>
          <cell r="L2205">
            <v>76804.323333333334</v>
          </cell>
        </row>
        <row r="2206">
          <cell r="A2206">
            <v>103442</v>
          </cell>
          <cell r="B2206">
            <v>20672</v>
          </cell>
          <cell r="C2206">
            <v>20672</v>
          </cell>
          <cell r="D2206" t="str">
            <v>adult</v>
          </cell>
          <cell r="E2206" t="str">
            <v>B</v>
          </cell>
          <cell r="F2206" t="str">
            <v>MENTAL HEALTH COUNSELOR, RN</v>
          </cell>
          <cell r="G2206" t="str">
            <v>5278A</v>
          </cell>
          <cell r="H2206">
            <v>6275.27</v>
          </cell>
          <cell r="I2206">
            <v>1</v>
          </cell>
          <cell r="J2206">
            <v>12</v>
          </cell>
          <cell r="K2206">
            <v>1</v>
          </cell>
          <cell r="L2206">
            <v>76804.323333333334</v>
          </cell>
        </row>
        <row r="2207">
          <cell r="A2207">
            <v>102169</v>
          </cell>
          <cell r="B2207">
            <v>20676</v>
          </cell>
          <cell r="C2207">
            <v>20672</v>
          </cell>
          <cell r="D2207" t="str">
            <v>adult</v>
          </cell>
          <cell r="E2207" t="str">
            <v>B</v>
          </cell>
          <cell r="F2207" t="str">
            <v>MENTAL HEALTH PSYCHIATRIST</v>
          </cell>
          <cell r="G2207" t="str">
            <v>4735A</v>
          </cell>
          <cell r="H2207">
            <v>12844</v>
          </cell>
          <cell r="I2207">
            <v>1</v>
          </cell>
          <cell r="J2207">
            <v>6</v>
          </cell>
          <cell r="K2207">
            <v>0.5</v>
          </cell>
          <cell r="L2207">
            <v>77064</v>
          </cell>
        </row>
        <row r="2208">
          <cell r="A2208">
            <v>103138</v>
          </cell>
          <cell r="B2208">
            <v>20672</v>
          </cell>
          <cell r="C2208">
            <v>20672</v>
          </cell>
          <cell r="D2208" t="str">
            <v>adult</v>
          </cell>
          <cell r="E2208" t="str">
            <v>B</v>
          </cell>
          <cell r="F2208" t="str">
            <v>MENTAL HEALTH PSYCHIATRIST</v>
          </cell>
          <cell r="G2208" t="str">
            <v>4735A</v>
          </cell>
          <cell r="H2208">
            <v>12844</v>
          </cell>
          <cell r="I2208">
            <v>1</v>
          </cell>
          <cell r="J2208">
            <v>4</v>
          </cell>
          <cell r="K2208">
            <v>0.33333333333333331</v>
          </cell>
          <cell r="L2208">
            <v>51376</v>
          </cell>
        </row>
        <row r="2209">
          <cell r="A2209">
            <v>103322</v>
          </cell>
          <cell r="B2209">
            <v>20672</v>
          </cell>
          <cell r="C2209">
            <v>20672</v>
          </cell>
          <cell r="D2209" t="str">
            <v>adult</v>
          </cell>
          <cell r="E2209" t="str">
            <v>B</v>
          </cell>
          <cell r="F2209" t="str">
            <v>MENTAL HEALTH PSYCHIATRIST</v>
          </cell>
          <cell r="G2209" t="str">
            <v>4735A</v>
          </cell>
          <cell r="H2209">
            <v>12844</v>
          </cell>
          <cell r="I2209">
            <v>1</v>
          </cell>
          <cell r="J2209">
            <v>6</v>
          </cell>
          <cell r="K2209">
            <v>0.5</v>
          </cell>
          <cell r="L2209">
            <v>77064</v>
          </cell>
        </row>
        <row r="2210">
          <cell r="A2210">
            <v>103324</v>
          </cell>
          <cell r="B2210">
            <v>20672</v>
          </cell>
          <cell r="C2210">
            <v>20672</v>
          </cell>
          <cell r="D2210" t="str">
            <v>adult</v>
          </cell>
          <cell r="E2210" t="str">
            <v>B</v>
          </cell>
          <cell r="F2210" t="str">
            <v>MENTAL HEALTH PSYCHIATRIST</v>
          </cell>
          <cell r="G2210" t="str">
            <v>4735A</v>
          </cell>
          <cell r="H2210">
            <v>12844</v>
          </cell>
          <cell r="I2210">
            <v>1</v>
          </cell>
          <cell r="J2210">
            <v>12</v>
          </cell>
          <cell r="K2210">
            <v>1</v>
          </cell>
          <cell r="L2210">
            <v>154128</v>
          </cell>
        </row>
        <row r="2211">
          <cell r="A2211">
            <v>103352</v>
          </cell>
          <cell r="B2211">
            <v>20672</v>
          </cell>
          <cell r="C2211">
            <v>20672</v>
          </cell>
          <cell r="D2211" t="str">
            <v>adult</v>
          </cell>
          <cell r="E2211" t="str">
            <v>B</v>
          </cell>
          <cell r="F2211" t="str">
            <v>MENTAL HEALTH PSYCHIATRIST</v>
          </cell>
          <cell r="G2211" t="str">
            <v>4735A</v>
          </cell>
          <cell r="H2211">
            <v>12844</v>
          </cell>
          <cell r="I2211">
            <v>1</v>
          </cell>
          <cell r="J2211">
            <v>12</v>
          </cell>
          <cell r="K2211">
            <v>1</v>
          </cell>
          <cell r="L2211">
            <v>154128</v>
          </cell>
        </row>
        <row r="2212">
          <cell r="A2212">
            <v>103353</v>
          </cell>
          <cell r="B2212">
            <v>20672</v>
          </cell>
          <cell r="C2212">
            <v>20672</v>
          </cell>
          <cell r="D2212" t="str">
            <v>adult</v>
          </cell>
          <cell r="E2212" t="str">
            <v>B</v>
          </cell>
          <cell r="F2212" t="str">
            <v>MENTAL HEALTH PSYCHIATRIST</v>
          </cell>
          <cell r="G2212" t="str">
            <v>4735A</v>
          </cell>
          <cell r="H2212">
            <v>12844</v>
          </cell>
          <cell r="I2212">
            <v>1</v>
          </cell>
          <cell r="J2212">
            <v>12</v>
          </cell>
          <cell r="K2212">
            <v>1</v>
          </cell>
          <cell r="L2212">
            <v>154128</v>
          </cell>
        </row>
        <row r="2213">
          <cell r="A2213">
            <v>103354</v>
          </cell>
          <cell r="B2213">
            <v>20672</v>
          </cell>
          <cell r="C2213">
            <v>20672</v>
          </cell>
          <cell r="D2213" t="str">
            <v>adult</v>
          </cell>
          <cell r="E2213" t="str">
            <v>B</v>
          </cell>
          <cell r="F2213" t="str">
            <v>MENTAL HEALTH PSYCHIATRIST</v>
          </cell>
          <cell r="G2213" t="str">
            <v>4735A</v>
          </cell>
          <cell r="H2213">
            <v>12844</v>
          </cell>
          <cell r="I2213">
            <v>1</v>
          </cell>
          <cell r="J2213">
            <v>12</v>
          </cell>
          <cell r="K2213">
            <v>1</v>
          </cell>
          <cell r="L2213">
            <v>154128</v>
          </cell>
        </row>
        <row r="2214">
          <cell r="A2214">
            <v>103355</v>
          </cell>
          <cell r="B2214">
            <v>20672</v>
          </cell>
          <cell r="C2214">
            <v>20672</v>
          </cell>
          <cell r="D2214" t="str">
            <v>adult</v>
          </cell>
          <cell r="E2214" t="str">
            <v>B</v>
          </cell>
          <cell r="F2214" t="str">
            <v>MENTAL HEALTH PSYCHIATRIST</v>
          </cell>
          <cell r="G2214" t="str">
            <v>4735A</v>
          </cell>
          <cell r="H2214">
            <v>12844</v>
          </cell>
          <cell r="I2214">
            <v>1</v>
          </cell>
          <cell r="J2214">
            <v>12</v>
          </cell>
          <cell r="K2214">
            <v>1</v>
          </cell>
          <cell r="L2214">
            <v>154128</v>
          </cell>
        </row>
        <row r="2215">
          <cell r="A2215">
            <v>103357</v>
          </cell>
          <cell r="B2215">
            <v>20672</v>
          </cell>
          <cell r="C2215">
            <v>20672</v>
          </cell>
          <cell r="D2215" t="str">
            <v>adult</v>
          </cell>
          <cell r="E2215" t="str">
            <v>B</v>
          </cell>
          <cell r="F2215" t="str">
            <v>MENTAL HEALTH PSYCHIATRIST</v>
          </cell>
          <cell r="G2215" t="str">
            <v>4735A</v>
          </cell>
          <cell r="H2215">
            <v>12844</v>
          </cell>
          <cell r="I2215">
            <v>1</v>
          </cell>
          <cell r="J2215">
            <v>12</v>
          </cell>
          <cell r="K2215">
            <v>1</v>
          </cell>
          <cell r="L2215">
            <v>154128</v>
          </cell>
        </row>
        <row r="2216">
          <cell r="A2216">
            <v>103359</v>
          </cell>
          <cell r="B2216">
            <v>20672</v>
          </cell>
          <cell r="C2216">
            <v>20672</v>
          </cell>
          <cell r="D2216" t="str">
            <v>adult</v>
          </cell>
          <cell r="E2216" t="str">
            <v>B</v>
          </cell>
          <cell r="F2216" t="str">
            <v>MENTAL HEALTH PSYCHIATRIST</v>
          </cell>
          <cell r="G2216" t="str">
            <v>4735A</v>
          </cell>
          <cell r="H2216">
            <v>12844</v>
          </cell>
          <cell r="I2216">
            <v>1</v>
          </cell>
          <cell r="J2216">
            <v>12</v>
          </cell>
          <cell r="K2216">
            <v>1</v>
          </cell>
          <cell r="L2216">
            <v>154128</v>
          </cell>
        </row>
        <row r="2217">
          <cell r="A2217">
            <v>103441</v>
          </cell>
          <cell r="B2217">
            <v>20672</v>
          </cell>
          <cell r="C2217">
            <v>20672</v>
          </cell>
          <cell r="D2217" t="str">
            <v>adult</v>
          </cell>
          <cell r="E2217" t="str">
            <v>B</v>
          </cell>
          <cell r="F2217" t="str">
            <v>MENTAL HEALTH PSYCHIATRIST</v>
          </cell>
          <cell r="G2217" t="str">
            <v>4735A</v>
          </cell>
          <cell r="H2217">
            <v>12844</v>
          </cell>
          <cell r="I2217">
            <v>1</v>
          </cell>
          <cell r="J2217">
            <v>12</v>
          </cell>
          <cell r="K2217">
            <v>1</v>
          </cell>
          <cell r="L2217">
            <v>154128</v>
          </cell>
        </row>
        <row r="2218">
          <cell r="A2218">
            <v>104560</v>
          </cell>
          <cell r="B2218">
            <v>20672</v>
          </cell>
          <cell r="C2218">
            <v>20672</v>
          </cell>
          <cell r="D2218" t="str">
            <v>adult</v>
          </cell>
          <cell r="E2218" t="str">
            <v>B</v>
          </cell>
          <cell r="F2218" t="str">
            <v>MENTAL HEALTH PSYCHIATRIST</v>
          </cell>
          <cell r="G2218" t="str">
            <v>4735A</v>
          </cell>
          <cell r="H2218">
            <v>12844</v>
          </cell>
          <cell r="I2218">
            <v>1</v>
          </cell>
          <cell r="J2218">
            <v>12</v>
          </cell>
          <cell r="K2218">
            <v>1</v>
          </cell>
          <cell r="L2218">
            <v>154128</v>
          </cell>
        </row>
        <row r="2219">
          <cell r="A2219">
            <v>104561</v>
          </cell>
          <cell r="B2219">
            <v>20672</v>
          </cell>
          <cell r="C2219">
            <v>20672</v>
          </cell>
          <cell r="D2219" t="str">
            <v>adult</v>
          </cell>
          <cell r="E2219" t="str">
            <v>B</v>
          </cell>
          <cell r="F2219" t="str">
            <v>MENTAL HEALTH PSYCHIATRIST</v>
          </cell>
          <cell r="G2219" t="str">
            <v>4735A</v>
          </cell>
          <cell r="H2219">
            <v>12844</v>
          </cell>
          <cell r="I2219">
            <v>1</v>
          </cell>
          <cell r="J2219">
            <v>12</v>
          </cell>
          <cell r="K2219">
            <v>1</v>
          </cell>
          <cell r="L2219">
            <v>154128</v>
          </cell>
        </row>
        <row r="2220">
          <cell r="A2220">
            <v>104562</v>
          </cell>
          <cell r="B2220">
            <v>20672</v>
          </cell>
          <cell r="C2220">
            <v>20672</v>
          </cell>
          <cell r="D2220" t="str">
            <v>adult</v>
          </cell>
          <cell r="E2220" t="str">
            <v>B</v>
          </cell>
          <cell r="F2220" t="str">
            <v>MENTAL HEALTH PSYCHIATRIST</v>
          </cell>
          <cell r="G2220" t="str">
            <v>4735A</v>
          </cell>
          <cell r="H2220">
            <v>12844</v>
          </cell>
          <cell r="I2220">
            <v>1</v>
          </cell>
          <cell r="J2220">
            <v>12</v>
          </cell>
          <cell r="K2220">
            <v>1</v>
          </cell>
          <cell r="L2220">
            <v>154128</v>
          </cell>
        </row>
        <row r="2221">
          <cell r="A2221">
            <v>100861</v>
          </cell>
          <cell r="B2221">
            <v>20657</v>
          </cell>
          <cell r="C2221">
            <v>20672</v>
          </cell>
          <cell r="D2221" t="str">
            <v>adult</v>
          </cell>
          <cell r="E2221" t="str">
            <v>B</v>
          </cell>
          <cell r="F2221" t="str">
            <v>MENTAL HEALTH SERVICES COORD I</v>
          </cell>
          <cell r="G2221" t="str">
            <v>8148A</v>
          </cell>
          <cell r="H2221">
            <v>5126.91</v>
          </cell>
          <cell r="I2221">
            <v>1</v>
          </cell>
          <cell r="J2221">
            <v>12</v>
          </cell>
          <cell r="K2221">
            <v>1</v>
          </cell>
          <cell r="L2221">
            <v>61522.92</v>
          </cell>
        </row>
        <row r="2222">
          <cell r="A2222">
            <v>100866</v>
          </cell>
          <cell r="B2222">
            <v>20672</v>
          </cell>
          <cell r="C2222">
            <v>20672</v>
          </cell>
          <cell r="D2222" t="str">
            <v>adult</v>
          </cell>
          <cell r="E2222" t="str">
            <v>B</v>
          </cell>
          <cell r="F2222" t="str">
            <v>MENTAL HEALTH SERVICES COORD I</v>
          </cell>
          <cell r="G2222" t="str">
            <v>8148A</v>
          </cell>
          <cell r="H2222">
            <v>5126.91</v>
          </cell>
          <cell r="I2222">
            <v>1</v>
          </cell>
          <cell r="J2222">
            <v>12</v>
          </cell>
          <cell r="K2222">
            <v>1</v>
          </cell>
          <cell r="L2222">
            <v>61522.92</v>
          </cell>
        </row>
        <row r="2223">
          <cell r="A2223">
            <v>100880</v>
          </cell>
          <cell r="B2223">
            <v>20672</v>
          </cell>
          <cell r="C2223">
            <v>20672</v>
          </cell>
          <cell r="D2223" t="str">
            <v>adult</v>
          </cell>
          <cell r="E2223" t="str">
            <v>B</v>
          </cell>
          <cell r="F2223" t="str">
            <v>MENTAL HEALTH SERVICES COORD II</v>
          </cell>
          <cell r="G2223" t="str">
            <v>8149A</v>
          </cell>
          <cell r="H2223">
            <v>5152.3599999999997</v>
          </cell>
          <cell r="I2223">
            <v>1</v>
          </cell>
          <cell r="J2223">
            <v>12</v>
          </cell>
          <cell r="K2223">
            <v>1</v>
          </cell>
          <cell r="L2223">
            <v>61828.72</v>
          </cell>
        </row>
        <row r="2224">
          <cell r="A2224">
            <v>100592</v>
          </cell>
          <cell r="B2224">
            <v>20672</v>
          </cell>
          <cell r="C2224">
            <v>20672</v>
          </cell>
          <cell r="D2224" t="str">
            <v>adult</v>
          </cell>
          <cell r="E2224" t="str">
            <v>B</v>
          </cell>
          <cell r="F2224" t="str">
            <v>MNTL HLTH CLINICAL PROGRAM HEAD</v>
          </cell>
          <cell r="G2224" t="str">
            <v>4726A</v>
          </cell>
          <cell r="H2224">
            <v>8709.73</v>
          </cell>
          <cell r="I2224">
            <v>1</v>
          </cell>
          <cell r="J2224">
            <v>12</v>
          </cell>
          <cell r="K2224">
            <v>1</v>
          </cell>
          <cell r="L2224">
            <v>104516.76</v>
          </cell>
        </row>
        <row r="2225">
          <cell r="A2225">
            <v>103134</v>
          </cell>
          <cell r="B2225">
            <v>20670</v>
          </cell>
          <cell r="C2225">
            <v>20672</v>
          </cell>
          <cell r="D2225" t="str">
            <v>adult</v>
          </cell>
          <cell r="E2225" t="str">
            <v>B</v>
          </cell>
          <cell r="F2225" t="str">
            <v xml:space="preserve">PATIENT FINANCIAL SERVICES WORKER  </v>
          </cell>
          <cell r="G2225" t="str">
            <v>9193A</v>
          </cell>
          <cell r="H2225">
            <v>3403.55</v>
          </cell>
          <cell r="I2225">
            <v>1</v>
          </cell>
          <cell r="J2225">
            <v>9</v>
          </cell>
          <cell r="K2225">
            <v>0.75</v>
          </cell>
          <cell r="L2225">
            <v>30631.95</v>
          </cell>
        </row>
        <row r="2226">
          <cell r="A2226">
            <v>101212</v>
          </cell>
          <cell r="B2226">
            <v>20672</v>
          </cell>
          <cell r="C2226">
            <v>20672</v>
          </cell>
          <cell r="D2226" t="str">
            <v>adult</v>
          </cell>
          <cell r="E2226" t="str">
            <v>B</v>
          </cell>
          <cell r="F2226" t="str">
            <v>PSYCHIATRIC SOCIAL WORKER II</v>
          </cell>
          <cell r="G2226" t="str">
            <v>9035A</v>
          </cell>
          <cell r="H2226">
            <v>5425.82</v>
          </cell>
          <cell r="I2226">
            <v>1</v>
          </cell>
          <cell r="J2226">
            <v>12</v>
          </cell>
          <cell r="K2226">
            <v>1</v>
          </cell>
          <cell r="L2226">
            <v>65109.84</v>
          </cell>
        </row>
        <row r="2227">
          <cell r="A2227">
            <v>101215</v>
          </cell>
          <cell r="B2227">
            <v>20672</v>
          </cell>
          <cell r="C2227">
            <v>20672</v>
          </cell>
          <cell r="D2227" t="str">
            <v>adult</v>
          </cell>
          <cell r="E2227" t="str">
            <v>B</v>
          </cell>
          <cell r="F2227" t="str">
            <v>PSYCHIATRIC SOCIAL WORKER II</v>
          </cell>
          <cell r="G2227" t="str">
            <v>9035A</v>
          </cell>
          <cell r="H2227">
            <v>5425.82</v>
          </cell>
          <cell r="I2227">
            <v>1</v>
          </cell>
          <cell r="J2227">
            <v>12</v>
          </cell>
          <cell r="K2227">
            <v>1</v>
          </cell>
          <cell r="L2227">
            <v>65109.84</v>
          </cell>
        </row>
        <row r="2228">
          <cell r="A2228">
            <v>101217</v>
          </cell>
          <cell r="B2228">
            <v>20673</v>
          </cell>
          <cell r="C2228">
            <v>20672</v>
          </cell>
          <cell r="D2228" t="str">
            <v>adult</v>
          </cell>
          <cell r="E2228" t="str">
            <v>B</v>
          </cell>
          <cell r="F2228" t="str">
            <v>PSYCHIATRIC SOCIAL WORKER II</v>
          </cell>
          <cell r="G2228" t="str">
            <v>9035A</v>
          </cell>
          <cell r="H2228">
            <v>5425.82</v>
          </cell>
          <cell r="I2228">
            <v>1</v>
          </cell>
          <cell r="J2228">
            <v>12</v>
          </cell>
          <cell r="K2228">
            <v>1</v>
          </cell>
          <cell r="L2228">
            <v>65109.84</v>
          </cell>
        </row>
        <row r="2229">
          <cell r="A2229">
            <v>103139</v>
          </cell>
          <cell r="B2229">
            <v>20672</v>
          </cell>
          <cell r="C2229">
            <v>20672</v>
          </cell>
          <cell r="D2229" t="str">
            <v>adult</v>
          </cell>
          <cell r="E2229" t="str">
            <v>B</v>
          </cell>
          <cell r="F2229" t="str">
            <v>PSYCHIATRIC SOCIAL WORKER II</v>
          </cell>
          <cell r="G2229" t="str">
            <v>9035A</v>
          </cell>
          <cell r="H2229">
            <v>5425.82</v>
          </cell>
          <cell r="I2229">
            <v>1</v>
          </cell>
          <cell r="J2229">
            <v>3</v>
          </cell>
          <cell r="K2229">
            <v>0.25</v>
          </cell>
          <cell r="L2229">
            <v>16277.46</v>
          </cell>
        </row>
        <row r="2230">
          <cell r="A2230">
            <v>103140</v>
          </cell>
          <cell r="B2230">
            <v>20672</v>
          </cell>
          <cell r="C2230">
            <v>20672</v>
          </cell>
          <cell r="D2230" t="str">
            <v>adult</v>
          </cell>
          <cell r="E2230" t="str">
            <v>B</v>
          </cell>
          <cell r="F2230" t="str">
            <v>PSYCHIATRIC SOCIAL WORKER II</v>
          </cell>
          <cell r="G2230" t="str">
            <v>9035A</v>
          </cell>
          <cell r="H2230">
            <v>5425.82</v>
          </cell>
          <cell r="I2230">
            <v>1</v>
          </cell>
          <cell r="J2230">
            <v>6</v>
          </cell>
          <cell r="K2230">
            <v>0.5</v>
          </cell>
          <cell r="L2230">
            <v>32554.92</v>
          </cell>
        </row>
        <row r="2231">
          <cell r="A2231">
            <v>103360</v>
          </cell>
          <cell r="B2231">
            <v>20672</v>
          </cell>
          <cell r="C2231">
            <v>20672</v>
          </cell>
          <cell r="D2231" t="str">
            <v>adult</v>
          </cell>
          <cell r="E2231" t="str">
            <v>B</v>
          </cell>
          <cell r="F2231" t="str">
            <v>PSYCHIATRIC SOCIAL WORKER II</v>
          </cell>
          <cell r="G2231" t="str">
            <v>9035A</v>
          </cell>
          <cell r="H2231">
            <v>5425.82</v>
          </cell>
          <cell r="I2231">
            <v>1</v>
          </cell>
          <cell r="J2231">
            <v>12</v>
          </cell>
          <cell r="K2231">
            <v>1</v>
          </cell>
          <cell r="L2231">
            <v>65109.84</v>
          </cell>
        </row>
        <row r="2232">
          <cell r="A2232">
            <v>103361</v>
          </cell>
          <cell r="B2232">
            <v>20672</v>
          </cell>
          <cell r="C2232">
            <v>20672</v>
          </cell>
          <cell r="D2232" t="str">
            <v>adult</v>
          </cell>
          <cell r="E2232" t="str">
            <v>B</v>
          </cell>
          <cell r="F2232" t="str">
            <v>PSYCHIATRIC SOCIAL WORKER II</v>
          </cell>
          <cell r="G2232" t="str">
            <v>9035A</v>
          </cell>
          <cell r="H2232">
            <v>5425.82</v>
          </cell>
          <cell r="I2232">
            <v>1</v>
          </cell>
          <cell r="J2232">
            <v>12</v>
          </cell>
          <cell r="K2232">
            <v>1</v>
          </cell>
          <cell r="L2232">
            <v>65109.84</v>
          </cell>
        </row>
        <row r="2233">
          <cell r="A2233">
            <v>103362</v>
          </cell>
          <cell r="B2233">
            <v>20672</v>
          </cell>
          <cell r="C2233">
            <v>20672</v>
          </cell>
          <cell r="D2233" t="str">
            <v>adult</v>
          </cell>
          <cell r="E2233" t="str">
            <v>B</v>
          </cell>
          <cell r="F2233" t="str">
            <v>PSYCHIATRIC SOCIAL WORKER II</v>
          </cell>
          <cell r="G2233" t="str">
            <v>9035A</v>
          </cell>
          <cell r="H2233">
            <v>5425.82</v>
          </cell>
          <cell r="I2233">
            <v>1</v>
          </cell>
          <cell r="J2233">
            <v>12</v>
          </cell>
          <cell r="K2233">
            <v>1</v>
          </cell>
          <cell r="L2233">
            <v>65109.84</v>
          </cell>
        </row>
        <row r="2234">
          <cell r="A2234">
            <v>103363</v>
          </cell>
          <cell r="B2234">
            <v>20672</v>
          </cell>
          <cell r="C2234">
            <v>20672</v>
          </cell>
          <cell r="D2234" t="str">
            <v>adult</v>
          </cell>
          <cell r="E2234" t="str">
            <v>B</v>
          </cell>
          <cell r="F2234" t="str">
            <v>PSYCHIATRIC SOCIAL WORKER II</v>
          </cell>
          <cell r="G2234" t="str">
            <v>9035A</v>
          </cell>
          <cell r="H2234">
            <v>5425.82</v>
          </cell>
          <cell r="I2234">
            <v>1</v>
          </cell>
          <cell r="J2234">
            <v>12</v>
          </cell>
          <cell r="K2234">
            <v>1</v>
          </cell>
          <cell r="L2234">
            <v>65109.84</v>
          </cell>
        </row>
        <row r="2235">
          <cell r="A2235">
            <v>103364</v>
          </cell>
          <cell r="B2235">
            <v>20672</v>
          </cell>
          <cell r="C2235">
            <v>20672</v>
          </cell>
          <cell r="D2235" t="str">
            <v>adult</v>
          </cell>
          <cell r="E2235" t="str">
            <v>B</v>
          </cell>
          <cell r="F2235" t="str">
            <v>PSYCHIATRIC SOCIAL WORKER II</v>
          </cell>
          <cell r="G2235" t="str">
            <v>9035A</v>
          </cell>
          <cell r="H2235">
            <v>5425.82</v>
          </cell>
          <cell r="I2235">
            <v>1</v>
          </cell>
          <cell r="J2235">
            <v>12</v>
          </cell>
          <cell r="K2235">
            <v>1</v>
          </cell>
          <cell r="L2235">
            <v>65109.84</v>
          </cell>
        </row>
        <row r="2236">
          <cell r="A2236">
            <v>103365</v>
          </cell>
          <cell r="B2236">
            <v>20672</v>
          </cell>
          <cell r="C2236">
            <v>20672</v>
          </cell>
          <cell r="D2236" t="str">
            <v>adult</v>
          </cell>
          <cell r="E2236" t="str">
            <v>B</v>
          </cell>
          <cell r="F2236" t="str">
            <v>PSYCHIATRIC SOCIAL WORKER II</v>
          </cell>
          <cell r="G2236" t="str">
            <v>9035A</v>
          </cell>
          <cell r="H2236">
            <v>5425.82</v>
          </cell>
          <cell r="I2236">
            <v>1</v>
          </cell>
          <cell r="J2236">
            <v>12</v>
          </cell>
          <cell r="K2236">
            <v>1</v>
          </cell>
          <cell r="L2236">
            <v>65109.84</v>
          </cell>
        </row>
        <row r="2237">
          <cell r="A2237">
            <v>103366</v>
          </cell>
          <cell r="B2237">
            <v>20672</v>
          </cell>
          <cell r="C2237">
            <v>20672</v>
          </cell>
          <cell r="D2237" t="str">
            <v>adult</v>
          </cell>
          <cell r="E2237" t="str">
            <v>B</v>
          </cell>
          <cell r="F2237" t="str">
            <v>PSYCHIATRIC SOCIAL WORKER II</v>
          </cell>
          <cell r="G2237" t="str">
            <v>9035A</v>
          </cell>
          <cell r="H2237">
            <v>5425.82</v>
          </cell>
          <cell r="I2237">
            <v>1</v>
          </cell>
          <cell r="J2237">
            <v>12</v>
          </cell>
          <cell r="K2237">
            <v>1</v>
          </cell>
          <cell r="L2237">
            <v>65109.84</v>
          </cell>
        </row>
        <row r="2238">
          <cell r="A2238">
            <v>103367</v>
          </cell>
          <cell r="B2238">
            <v>20672</v>
          </cell>
          <cell r="C2238">
            <v>20672</v>
          </cell>
          <cell r="D2238" t="str">
            <v>adult</v>
          </cell>
          <cell r="E2238" t="str">
            <v>B</v>
          </cell>
          <cell r="F2238" t="str">
            <v>PSYCHIATRIC SOCIAL WORKER II</v>
          </cell>
          <cell r="G2238" t="str">
            <v>9035A</v>
          </cell>
          <cell r="H2238">
            <v>5425.82</v>
          </cell>
          <cell r="I2238">
            <v>1</v>
          </cell>
          <cell r="J2238">
            <v>12</v>
          </cell>
          <cell r="K2238">
            <v>1</v>
          </cell>
          <cell r="L2238">
            <v>65109.84</v>
          </cell>
        </row>
        <row r="2239">
          <cell r="A2239">
            <v>103368</v>
          </cell>
          <cell r="B2239">
            <v>20672</v>
          </cell>
          <cell r="C2239">
            <v>20672</v>
          </cell>
          <cell r="D2239" t="str">
            <v>adult</v>
          </cell>
          <cell r="E2239" t="str">
            <v>B</v>
          </cell>
          <cell r="F2239" t="str">
            <v>PSYCHIATRIC SOCIAL WORKER II</v>
          </cell>
          <cell r="G2239" t="str">
            <v>9035A</v>
          </cell>
          <cell r="H2239">
            <v>5425.82</v>
          </cell>
          <cell r="I2239">
            <v>1</v>
          </cell>
          <cell r="J2239">
            <v>12</v>
          </cell>
          <cell r="K2239">
            <v>1</v>
          </cell>
          <cell r="L2239">
            <v>65109.84</v>
          </cell>
        </row>
        <row r="2240">
          <cell r="A2240">
            <v>103369</v>
          </cell>
          <cell r="B2240">
            <v>20672</v>
          </cell>
          <cell r="C2240">
            <v>20672</v>
          </cell>
          <cell r="D2240" t="str">
            <v>adult</v>
          </cell>
          <cell r="E2240" t="str">
            <v>B</v>
          </cell>
          <cell r="F2240" t="str">
            <v>PSYCHIATRIC SOCIAL WORKER II</v>
          </cell>
          <cell r="G2240" t="str">
            <v>9035A</v>
          </cell>
          <cell r="H2240">
            <v>5425.82</v>
          </cell>
          <cell r="I2240">
            <v>1</v>
          </cell>
          <cell r="J2240">
            <v>12</v>
          </cell>
          <cell r="K2240">
            <v>1</v>
          </cell>
          <cell r="L2240">
            <v>65109.84</v>
          </cell>
        </row>
        <row r="2241">
          <cell r="A2241">
            <v>103370</v>
          </cell>
          <cell r="B2241">
            <v>20672</v>
          </cell>
          <cell r="C2241">
            <v>20672</v>
          </cell>
          <cell r="D2241" t="str">
            <v>adult</v>
          </cell>
          <cell r="E2241" t="str">
            <v>B</v>
          </cell>
          <cell r="F2241" t="str">
            <v>PSYCHIATRIC SOCIAL WORKER II</v>
          </cell>
          <cell r="G2241" t="str">
            <v>9035A</v>
          </cell>
          <cell r="H2241">
            <v>5425.82</v>
          </cell>
          <cell r="I2241">
            <v>1</v>
          </cell>
          <cell r="J2241">
            <v>12</v>
          </cell>
          <cell r="K2241">
            <v>1</v>
          </cell>
          <cell r="L2241">
            <v>65109.84</v>
          </cell>
        </row>
        <row r="2242">
          <cell r="A2242">
            <v>103443</v>
          </cell>
          <cell r="B2242">
            <v>20672</v>
          </cell>
          <cell r="C2242">
            <v>20672</v>
          </cell>
          <cell r="D2242" t="str">
            <v>adult</v>
          </cell>
          <cell r="E2242" t="str">
            <v>B</v>
          </cell>
          <cell r="F2242" t="str">
            <v>PSYCHIATRIC SOCIAL WORKER II</v>
          </cell>
          <cell r="G2242" t="str">
            <v>9035A</v>
          </cell>
          <cell r="H2242">
            <v>5425.82</v>
          </cell>
          <cell r="I2242">
            <v>1</v>
          </cell>
          <cell r="J2242">
            <v>12</v>
          </cell>
          <cell r="K2242">
            <v>1</v>
          </cell>
          <cell r="L2242">
            <v>65109.84</v>
          </cell>
        </row>
        <row r="2243">
          <cell r="A2243">
            <v>103444</v>
          </cell>
          <cell r="B2243">
            <v>20672</v>
          </cell>
          <cell r="C2243">
            <v>20672</v>
          </cell>
          <cell r="D2243" t="str">
            <v>adult</v>
          </cell>
          <cell r="E2243" t="str">
            <v>B</v>
          </cell>
          <cell r="F2243" t="str">
            <v>PSYCHIATRIC SOCIAL WORKER II</v>
          </cell>
          <cell r="G2243" t="str">
            <v>9035A</v>
          </cell>
          <cell r="H2243">
            <v>5425.82</v>
          </cell>
          <cell r="I2243">
            <v>1</v>
          </cell>
          <cell r="J2243">
            <v>12</v>
          </cell>
          <cell r="K2243">
            <v>1</v>
          </cell>
          <cell r="L2243">
            <v>65109.84</v>
          </cell>
        </row>
        <row r="2244">
          <cell r="A2244">
            <v>104516</v>
          </cell>
          <cell r="B2244">
            <v>18700</v>
          </cell>
          <cell r="C2244">
            <v>20672</v>
          </cell>
          <cell r="D2244" t="str">
            <v>adult</v>
          </cell>
          <cell r="E2244" t="str">
            <v>B</v>
          </cell>
          <cell r="F2244" t="str">
            <v>PSYCHIATRIC SOCIAL WORKER II</v>
          </cell>
          <cell r="G2244" t="str">
            <v>9035A</v>
          </cell>
          <cell r="H2244">
            <v>5425.82</v>
          </cell>
          <cell r="I2244">
            <v>1</v>
          </cell>
          <cell r="J2244">
            <v>12</v>
          </cell>
          <cell r="K2244">
            <v>1</v>
          </cell>
          <cell r="L2244">
            <v>65109.84</v>
          </cell>
        </row>
        <row r="2245">
          <cell r="A2245">
            <v>104532</v>
          </cell>
          <cell r="B2245">
            <v>18700</v>
          </cell>
          <cell r="C2245">
            <v>20672</v>
          </cell>
          <cell r="D2245" t="str">
            <v>adult</v>
          </cell>
          <cell r="E2245" t="str">
            <v>B</v>
          </cell>
          <cell r="F2245" t="str">
            <v>PSYCHIATRIC SOCIAL WORKER II</v>
          </cell>
          <cell r="G2245" t="str">
            <v>9035A</v>
          </cell>
          <cell r="H2245">
            <v>5425.82</v>
          </cell>
          <cell r="I2245">
            <v>1</v>
          </cell>
          <cell r="J2245">
            <v>12</v>
          </cell>
          <cell r="K2245">
            <v>1</v>
          </cell>
          <cell r="L2245">
            <v>65109.84</v>
          </cell>
        </row>
        <row r="2246">
          <cell r="A2246">
            <v>101341</v>
          </cell>
          <cell r="B2246">
            <v>20672</v>
          </cell>
          <cell r="C2246">
            <v>20672</v>
          </cell>
          <cell r="D2246" t="str">
            <v>adult</v>
          </cell>
          <cell r="E2246" t="str">
            <v>B</v>
          </cell>
          <cell r="F2246" t="str">
            <v>PSYCHIATRIC TECHNICIAN II</v>
          </cell>
          <cell r="G2246" t="str">
            <v>8162A</v>
          </cell>
          <cell r="H2246">
            <v>3420.09</v>
          </cell>
          <cell r="I2246">
            <v>1</v>
          </cell>
          <cell r="J2246">
            <v>12</v>
          </cell>
          <cell r="K2246">
            <v>1</v>
          </cell>
          <cell r="L2246">
            <v>41041.08</v>
          </cell>
        </row>
        <row r="2247">
          <cell r="A2247">
            <v>103088</v>
          </cell>
          <cell r="B2247">
            <v>20672</v>
          </cell>
          <cell r="C2247">
            <v>20672</v>
          </cell>
          <cell r="D2247" t="str">
            <v>adult</v>
          </cell>
          <cell r="E2247" t="str">
            <v>B</v>
          </cell>
          <cell r="F2247" t="str">
            <v>PSYCHIATRIC TECHNICIAN III</v>
          </cell>
          <cell r="G2247" t="str">
            <v>8163A</v>
          </cell>
          <cell r="H2247">
            <v>3705.73</v>
          </cell>
          <cell r="I2247">
            <v>1</v>
          </cell>
          <cell r="J2247">
            <v>12</v>
          </cell>
          <cell r="K2247">
            <v>1</v>
          </cell>
          <cell r="L2247">
            <v>44468.76</v>
          </cell>
        </row>
        <row r="2248">
          <cell r="A2248">
            <v>103089</v>
          </cell>
          <cell r="B2248">
            <v>20672</v>
          </cell>
          <cell r="C2248">
            <v>20672</v>
          </cell>
          <cell r="D2248" t="str">
            <v>adult</v>
          </cell>
          <cell r="E2248" t="str">
            <v>B</v>
          </cell>
          <cell r="F2248" t="str">
            <v>PSYCHIATRIC TECHNICIAN III</v>
          </cell>
          <cell r="G2248" t="str">
            <v>8163A</v>
          </cell>
          <cell r="H2248">
            <v>3705.73</v>
          </cell>
          <cell r="I2248">
            <v>1</v>
          </cell>
          <cell r="J2248">
            <v>12</v>
          </cell>
          <cell r="K2248">
            <v>1</v>
          </cell>
          <cell r="L2248">
            <v>44468.76</v>
          </cell>
        </row>
        <row r="2249">
          <cell r="A2249">
            <v>104564</v>
          </cell>
          <cell r="B2249">
            <v>20672</v>
          </cell>
          <cell r="C2249">
            <v>20672</v>
          </cell>
          <cell r="D2249" t="str">
            <v>adult</v>
          </cell>
          <cell r="E2249" t="str">
            <v>B</v>
          </cell>
          <cell r="F2249" t="str">
            <v xml:space="preserve">RECREATION THERAPIST I             </v>
          </cell>
          <cell r="G2249" t="str">
            <v>5871A</v>
          </cell>
          <cell r="H2249">
            <v>4187.82</v>
          </cell>
          <cell r="I2249">
            <v>1</v>
          </cell>
          <cell r="J2249">
            <v>12</v>
          </cell>
          <cell r="K2249">
            <v>1</v>
          </cell>
          <cell r="L2249">
            <v>50253.84</v>
          </cell>
        </row>
        <row r="2250">
          <cell r="A2250">
            <v>102163</v>
          </cell>
          <cell r="B2250">
            <v>20672</v>
          </cell>
          <cell r="C2250">
            <v>20672</v>
          </cell>
          <cell r="D2250" t="str">
            <v>adult</v>
          </cell>
          <cell r="E2250" t="str">
            <v>B</v>
          </cell>
          <cell r="F2250" t="str">
            <v>RECREATION THERAPIST II</v>
          </cell>
          <cell r="G2250" t="str">
            <v>5872A</v>
          </cell>
          <cell r="H2250">
            <v>4667.6400000000003</v>
          </cell>
          <cell r="I2250">
            <v>1</v>
          </cell>
          <cell r="J2250">
            <v>12</v>
          </cell>
          <cell r="K2250">
            <v>1</v>
          </cell>
          <cell r="L2250">
            <v>56011.68</v>
          </cell>
        </row>
        <row r="2251">
          <cell r="A2251">
            <v>103818</v>
          </cell>
          <cell r="B2251">
            <v>20446</v>
          </cell>
          <cell r="C2251">
            <v>20672</v>
          </cell>
          <cell r="D2251" t="str">
            <v>adult</v>
          </cell>
          <cell r="E2251" t="str">
            <v>B</v>
          </cell>
          <cell r="F2251" t="str">
            <v>RECREATION THERAPIST II</v>
          </cell>
          <cell r="G2251" t="str">
            <v>5872A</v>
          </cell>
          <cell r="H2251">
            <v>4667.6400000000003</v>
          </cell>
          <cell r="I2251">
            <v>1</v>
          </cell>
          <cell r="J2251">
            <v>12</v>
          </cell>
          <cell r="K2251">
            <v>1</v>
          </cell>
          <cell r="L2251">
            <v>56011.68</v>
          </cell>
        </row>
        <row r="2252">
          <cell r="A2252">
            <v>104484</v>
          </cell>
          <cell r="B2252">
            <v>20672</v>
          </cell>
          <cell r="C2252">
            <v>20672</v>
          </cell>
          <cell r="D2252" t="str">
            <v>adult</v>
          </cell>
          <cell r="E2252" t="str">
            <v>B</v>
          </cell>
          <cell r="F2252" t="str">
            <v>RECREATION THERAPY ASSISTANT</v>
          </cell>
          <cell r="G2252" t="str">
            <v>5870A</v>
          </cell>
          <cell r="H2252">
            <v>3241.64</v>
          </cell>
          <cell r="I2252">
            <v>1</v>
          </cell>
          <cell r="J2252">
            <v>12</v>
          </cell>
          <cell r="K2252">
            <v>1</v>
          </cell>
          <cell r="L2252">
            <v>38899.68</v>
          </cell>
        </row>
        <row r="2253">
          <cell r="A2253">
            <v>104567</v>
          </cell>
          <cell r="B2253">
            <v>20672</v>
          </cell>
          <cell r="C2253">
            <v>20672</v>
          </cell>
          <cell r="D2253" t="str">
            <v>adult</v>
          </cell>
          <cell r="E2253" t="str">
            <v>B</v>
          </cell>
          <cell r="F2253" t="str">
            <v>REHABILITATION COUNSELOR II</v>
          </cell>
          <cell r="G2253" t="str">
            <v>8593A</v>
          </cell>
          <cell r="H2253">
            <v>4076.09</v>
          </cell>
          <cell r="I2253">
            <v>1</v>
          </cell>
          <cell r="J2253">
            <v>12</v>
          </cell>
          <cell r="K2253">
            <v>1</v>
          </cell>
          <cell r="L2253">
            <v>48922.8</v>
          </cell>
        </row>
        <row r="2254">
          <cell r="A2254">
            <v>104569</v>
          </cell>
          <cell r="B2254">
            <v>20672</v>
          </cell>
          <cell r="C2254">
            <v>20672</v>
          </cell>
          <cell r="D2254" t="str">
            <v>adult</v>
          </cell>
          <cell r="E2254" t="str">
            <v>B</v>
          </cell>
          <cell r="F2254" t="str">
            <v>REHABILITATION COUNSELOR II</v>
          </cell>
          <cell r="G2254" t="str">
            <v>8593A</v>
          </cell>
          <cell r="H2254">
            <v>4076.09</v>
          </cell>
          <cell r="I2254">
            <v>1</v>
          </cell>
          <cell r="J2254">
            <v>12</v>
          </cell>
          <cell r="K2254">
            <v>1</v>
          </cell>
          <cell r="L2254">
            <v>48922.8</v>
          </cell>
        </row>
        <row r="2255">
          <cell r="A2255">
            <v>101418</v>
          </cell>
          <cell r="B2255">
            <v>20672</v>
          </cell>
          <cell r="C2255">
            <v>20672</v>
          </cell>
          <cell r="D2255" t="str">
            <v>adult</v>
          </cell>
          <cell r="E2255" t="str">
            <v>B</v>
          </cell>
          <cell r="F2255" t="str">
            <v xml:space="preserve">SECRETARY III                      </v>
          </cell>
          <cell r="G2255" t="str">
            <v>2096A</v>
          </cell>
          <cell r="H2255">
            <v>3387</v>
          </cell>
          <cell r="I2255">
            <v>1</v>
          </cell>
          <cell r="J2255">
            <v>12</v>
          </cell>
          <cell r="K2255">
            <v>1</v>
          </cell>
          <cell r="L2255">
            <v>40643.839999999997</v>
          </cell>
        </row>
        <row r="2256">
          <cell r="A2256">
            <v>101422</v>
          </cell>
          <cell r="B2256">
            <v>20672</v>
          </cell>
          <cell r="C2256">
            <v>20672</v>
          </cell>
          <cell r="D2256" t="str">
            <v>adult</v>
          </cell>
          <cell r="E2256" t="str">
            <v>B</v>
          </cell>
          <cell r="F2256" t="str">
            <v xml:space="preserve">SENIOR CLERK                       </v>
          </cell>
          <cell r="G2256" t="str">
            <v>1140A</v>
          </cell>
          <cell r="H2256">
            <v>2941</v>
          </cell>
          <cell r="I2256">
            <v>1</v>
          </cell>
          <cell r="J2256">
            <v>12</v>
          </cell>
          <cell r="K2256">
            <v>1</v>
          </cell>
          <cell r="L2256">
            <v>35292</v>
          </cell>
        </row>
        <row r="2257">
          <cell r="A2257">
            <v>101464</v>
          </cell>
          <cell r="B2257">
            <v>20672</v>
          </cell>
          <cell r="C2257">
            <v>20672</v>
          </cell>
          <cell r="D2257" t="str">
            <v>adult</v>
          </cell>
          <cell r="E2257" t="str">
            <v>B</v>
          </cell>
          <cell r="F2257" t="str">
            <v>SENIOR MENTAL HEALTH COUNSELOR, RN</v>
          </cell>
          <cell r="G2257" t="str">
            <v>5280A</v>
          </cell>
          <cell r="H2257">
            <v>6790.09</v>
          </cell>
          <cell r="I2257">
            <v>1</v>
          </cell>
          <cell r="J2257">
            <v>12</v>
          </cell>
          <cell r="K2257">
            <v>1</v>
          </cell>
          <cell r="L2257">
            <v>83105.40203389831</v>
          </cell>
        </row>
        <row r="2258">
          <cell r="A2258">
            <v>101465</v>
          </cell>
          <cell r="B2258">
            <v>20672</v>
          </cell>
          <cell r="C2258">
            <v>20672</v>
          </cell>
          <cell r="D2258" t="str">
            <v>adult</v>
          </cell>
          <cell r="E2258" t="str">
            <v>B</v>
          </cell>
          <cell r="F2258" t="str">
            <v>SENIOR MENTAL HEALTH COUNSELOR, RN</v>
          </cell>
          <cell r="G2258" t="str">
            <v>5280A</v>
          </cell>
          <cell r="H2258">
            <v>6790.09</v>
          </cell>
          <cell r="I2258">
            <v>1</v>
          </cell>
          <cell r="J2258">
            <v>12</v>
          </cell>
          <cell r="K2258">
            <v>1</v>
          </cell>
          <cell r="L2258">
            <v>83105.40203389831</v>
          </cell>
        </row>
        <row r="2259">
          <cell r="A2259">
            <v>103445</v>
          </cell>
          <cell r="B2259">
            <v>20672</v>
          </cell>
          <cell r="C2259">
            <v>20672</v>
          </cell>
          <cell r="D2259" t="str">
            <v>adult</v>
          </cell>
          <cell r="E2259" t="str">
            <v>B</v>
          </cell>
          <cell r="F2259" t="str">
            <v>SENIOR MENTAL HEALTH COUNSELOR, RN</v>
          </cell>
          <cell r="G2259" t="str">
            <v>5280A</v>
          </cell>
          <cell r="H2259">
            <v>6790.09</v>
          </cell>
          <cell r="I2259">
            <v>1</v>
          </cell>
          <cell r="J2259">
            <v>12</v>
          </cell>
          <cell r="K2259">
            <v>1</v>
          </cell>
          <cell r="L2259">
            <v>83105.40203389831</v>
          </cell>
        </row>
        <row r="2260">
          <cell r="A2260">
            <v>103372</v>
          </cell>
          <cell r="B2260">
            <v>20672</v>
          </cell>
          <cell r="C2260">
            <v>20672</v>
          </cell>
          <cell r="D2260" t="str">
            <v>adult</v>
          </cell>
          <cell r="E2260" t="str">
            <v>B</v>
          </cell>
          <cell r="F2260" t="str">
            <v xml:space="preserve">SENIOR TYPIST-CLERK                </v>
          </cell>
          <cell r="G2260" t="str">
            <v>2216A</v>
          </cell>
          <cell r="H2260">
            <v>3013.55</v>
          </cell>
          <cell r="I2260">
            <v>1</v>
          </cell>
          <cell r="J2260">
            <v>12</v>
          </cell>
          <cell r="K2260">
            <v>1</v>
          </cell>
          <cell r="L2260">
            <v>36162.6</v>
          </cell>
        </row>
        <row r="2261">
          <cell r="A2261">
            <v>103599</v>
          </cell>
          <cell r="B2261">
            <v>20672</v>
          </cell>
          <cell r="C2261">
            <v>20672</v>
          </cell>
          <cell r="D2261" t="str">
            <v>adult</v>
          </cell>
          <cell r="E2261" t="str">
            <v>B</v>
          </cell>
          <cell r="F2261" t="str">
            <v xml:space="preserve">SENIOR TYPIST-CLERK                </v>
          </cell>
          <cell r="G2261" t="str">
            <v>2216A</v>
          </cell>
          <cell r="H2261">
            <v>3013.55</v>
          </cell>
          <cell r="I2261">
            <v>1</v>
          </cell>
          <cell r="J2261">
            <v>12</v>
          </cell>
          <cell r="K2261">
            <v>1</v>
          </cell>
          <cell r="L2261">
            <v>36162.6</v>
          </cell>
        </row>
        <row r="2262">
          <cell r="A2262">
            <v>103603</v>
          </cell>
          <cell r="B2262">
            <v>20672</v>
          </cell>
          <cell r="C2262">
            <v>20672</v>
          </cell>
          <cell r="D2262" t="str">
            <v>adult</v>
          </cell>
          <cell r="E2262" t="str">
            <v>B</v>
          </cell>
          <cell r="F2262" t="str">
            <v xml:space="preserve">SENIOR TYPIST-CLERK                </v>
          </cell>
          <cell r="G2262" t="str">
            <v>2216A</v>
          </cell>
          <cell r="H2262">
            <v>3013.55</v>
          </cell>
          <cell r="I2262">
            <v>1</v>
          </cell>
          <cell r="J2262">
            <v>12</v>
          </cell>
          <cell r="K2262">
            <v>1</v>
          </cell>
          <cell r="L2262">
            <v>36162.6</v>
          </cell>
        </row>
        <row r="2263">
          <cell r="A2263">
            <v>103604</v>
          </cell>
          <cell r="B2263">
            <v>20672</v>
          </cell>
          <cell r="C2263">
            <v>20672</v>
          </cell>
          <cell r="D2263" t="str">
            <v>adult</v>
          </cell>
          <cell r="E2263" t="str">
            <v>B</v>
          </cell>
          <cell r="F2263" t="str">
            <v xml:space="preserve">SENIOR TYPIST-CLERK                </v>
          </cell>
          <cell r="G2263" t="str">
            <v>2216A</v>
          </cell>
          <cell r="H2263">
            <v>3013.55</v>
          </cell>
          <cell r="I2263">
            <v>1</v>
          </cell>
          <cell r="J2263">
            <v>12</v>
          </cell>
          <cell r="K2263">
            <v>1</v>
          </cell>
          <cell r="L2263">
            <v>36162.6</v>
          </cell>
        </row>
        <row r="2264">
          <cell r="A2264">
            <v>103606</v>
          </cell>
          <cell r="B2264">
            <v>20672</v>
          </cell>
          <cell r="C2264">
            <v>20672</v>
          </cell>
          <cell r="D2264" t="str">
            <v>adult</v>
          </cell>
          <cell r="E2264" t="str">
            <v>B</v>
          </cell>
          <cell r="F2264" t="str">
            <v xml:space="preserve">SENIOR TYPIST-CLERK                </v>
          </cell>
          <cell r="G2264" t="str">
            <v>2216A</v>
          </cell>
          <cell r="H2264">
            <v>3013.55</v>
          </cell>
          <cell r="I2264">
            <v>1</v>
          </cell>
          <cell r="J2264">
            <v>12</v>
          </cell>
          <cell r="K2264">
            <v>1</v>
          </cell>
          <cell r="L2264">
            <v>36162.6</v>
          </cell>
        </row>
        <row r="2265">
          <cell r="A2265">
            <v>103607</v>
          </cell>
          <cell r="B2265">
            <v>20672</v>
          </cell>
          <cell r="C2265">
            <v>20672</v>
          </cell>
          <cell r="D2265" t="str">
            <v>adult</v>
          </cell>
          <cell r="E2265" t="str">
            <v>B</v>
          </cell>
          <cell r="F2265" t="str">
            <v xml:space="preserve">SENIOR TYPIST-CLERK                </v>
          </cell>
          <cell r="G2265" t="str">
            <v>2216A</v>
          </cell>
          <cell r="H2265">
            <v>3013.55</v>
          </cell>
          <cell r="I2265">
            <v>1</v>
          </cell>
          <cell r="J2265">
            <v>12</v>
          </cell>
          <cell r="K2265">
            <v>1</v>
          </cell>
          <cell r="L2265">
            <v>36162.6</v>
          </cell>
        </row>
        <row r="2266">
          <cell r="A2266">
            <v>103615</v>
          </cell>
          <cell r="B2266">
            <v>20676</v>
          </cell>
          <cell r="C2266">
            <v>20672</v>
          </cell>
          <cell r="D2266" t="str">
            <v>adult</v>
          </cell>
          <cell r="E2266" t="str">
            <v>B</v>
          </cell>
          <cell r="F2266" t="str">
            <v xml:space="preserve">SENIOR TYPIST-CLERK                </v>
          </cell>
          <cell r="G2266" t="str">
            <v>2216A</v>
          </cell>
          <cell r="H2266">
            <v>3013.55</v>
          </cell>
          <cell r="I2266">
            <v>1</v>
          </cell>
          <cell r="J2266">
            <v>12</v>
          </cell>
          <cell r="K2266">
            <v>1</v>
          </cell>
          <cell r="L2266">
            <v>36162.6</v>
          </cell>
        </row>
        <row r="2267">
          <cell r="A2267">
            <v>103616</v>
          </cell>
          <cell r="B2267">
            <v>20672</v>
          </cell>
          <cell r="C2267">
            <v>20672</v>
          </cell>
          <cell r="D2267" t="str">
            <v>adult</v>
          </cell>
          <cell r="E2267" t="str">
            <v>B</v>
          </cell>
          <cell r="F2267" t="str">
            <v xml:space="preserve">SENIOR TYPIST-CLERK                </v>
          </cell>
          <cell r="G2267" t="str">
            <v>2216A</v>
          </cell>
          <cell r="H2267">
            <v>3013.55</v>
          </cell>
          <cell r="I2267">
            <v>1</v>
          </cell>
          <cell r="J2267">
            <v>12</v>
          </cell>
          <cell r="K2267">
            <v>1</v>
          </cell>
          <cell r="L2267">
            <v>36162.6</v>
          </cell>
        </row>
        <row r="2268">
          <cell r="A2268">
            <v>102155</v>
          </cell>
          <cell r="B2268">
            <v>20672</v>
          </cell>
          <cell r="C2268">
            <v>20672</v>
          </cell>
          <cell r="D2268" t="str">
            <v>adult</v>
          </cell>
          <cell r="E2268" t="str">
            <v>B</v>
          </cell>
          <cell r="F2268" t="str">
            <v xml:space="preserve">SR COMMUN MENTAL HLTH PSYCHOLOGIST </v>
          </cell>
          <cell r="G2268" t="str">
            <v>8712A</v>
          </cell>
          <cell r="H2268">
            <v>7311.45</v>
          </cell>
          <cell r="I2268">
            <v>1</v>
          </cell>
          <cell r="J2268">
            <v>12</v>
          </cell>
          <cell r="K2268">
            <v>1</v>
          </cell>
          <cell r="L2268">
            <v>87737.16</v>
          </cell>
        </row>
        <row r="2269">
          <cell r="A2269">
            <v>102164</v>
          </cell>
          <cell r="B2269">
            <v>20673</v>
          </cell>
          <cell r="C2269">
            <v>20672</v>
          </cell>
          <cell r="D2269" t="str">
            <v>adult</v>
          </cell>
          <cell r="E2269" t="str">
            <v>B</v>
          </cell>
          <cell r="F2269" t="str">
            <v xml:space="preserve">SR COMMUN MENTAL HLTH PSYCHOLOGIST </v>
          </cell>
          <cell r="G2269" t="str">
            <v>8712A</v>
          </cell>
          <cell r="H2269">
            <v>7311.45</v>
          </cell>
          <cell r="I2269">
            <v>1</v>
          </cell>
          <cell r="J2269">
            <v>12</v>
          </cell>
          <cell r="K2269">
            <v>1</v>
          </cell>
          <cell r="L2269">
            <v>87737.16</v>
          </cell>
        </row>
        <row r="2270">
          <cell r="A2270">
            <v>103373</v>
          </cell>
          <cell r="B2270">
            <v>20672</v>
          </cell>
          <cell r="C2270">
            <v>20672</v>
          </cell>
          <cell r="D2270" t="str">
            <v>adult</v>
          </cell>
          <cell r="E2270" t="str">
            <v>B</v>
          </cell>
          <cell r="F2270" t="str">
            <v xml:space="preserve">SR COMMUN MENTAL HLTH PSYCHOLOGIST </v>
          </cell>
          <cell r="G2270" t="str">
            <v>8712A</v>
          </cell>
          <cell r="H2270">
            <v>7311.45</v>
          </cell>
          <cell r="I2270">
            <v>1</v>
          </cell>
          <cell r="J2270">
            <v>12</v>
          </cell>
          <cell r="K2270">
            <v>1</v>
          </cell>
          <cell r="L2270">
            <v>87737.16</v>
          </cell>
        </row>
        <row r="2271">
          <cell r="A2271">
            <v>109416</v>
          </cell>
          <cell r="B2271">
            <v>20443</v>
          </cell>
          <cell r="C2271">
            <v>20672</v>
          </cell>
          <cell r="D2271" t="str">
            <v>adult</v>
          </cell>
          <cell r="E2271" t="str">
            <v>B</v>
          </cell>
          <cell r="F2271" t="str">
            <v xml:space="preserve">SR COMMUN MENTAL HLTH PSYCHOLOGIST </v>
          </cell>
          <cell r="G2271" t="str">
            <v>8712A</v>
          </cell>
          <cell r="H2271">
            <v>7311.45</v>
          </cell>
          <cell r="I2271">
            <v>1</v>
          </cell>
          <cell r="J2271">
            <v>12</v>
          </cell>
          <cell r="K2271">
            <v>1</v>
          </cell>
          <cell r="L2271">
            <v>87737.16</v>
          </cell>
        </row>
        <row r="2272">
          <cell r="A2272">
            <v>101525</v>
          </cell>
          <cell r="B2272">
            <v>20673</v>
          </cell>
          <cell r="C2272">
            <v>20672</v>
          </cell>
          <cell r="D2272" t="str">
            <v>adult</v>
          </cell>
          <cell r="E2272" t="str">
            <v>B</v>
          </cell>
          <cell r="F2272" t="str">
            <v>STAFF NURSE,SHERIFF</v>
          </cell>
          <cell r="G2272" t="str">
            <v>5336A</v>
          </cell>
          <cell r="H2272">
            <v>5657</v>
          </cell>
          <cell r="I2272">
            <v>1</v>
          </cell>
          <cell r="J2272">
            <v>12</v>
          </cell>
          <cell r="K2272">
            <v>1</v>
          </cell>
          <cell r="L2272">
            <v>69245.380952380947</v>
          </cell>
        </row>
        <row r="2273">
          <cell r="A2273">
            <v>102158</v>
          </cell>
          <cell r="B2273">
            <v>20672</v>
          </cell>
          <cell r="C2273">
            <v>20672</v>
          </cell>
          <cell r="D2273" t="str">
            <v>adult</v>
          </cell>
          <cell r="E2273" t="str">
            <v>B</v>
          </cell>
          <cell r="F2273" t="str">
            <v xml:space="preserve">STUDENT PROFESSIONAL WORKER        </v>
          </cell>
          <cell r="G2273" t="str">
            <v>8243F</v>
          </cell>
          <cell r="H2273">
            <v>10.3</v>
          </cell>
          <cell r="I2273">
            <v>1</v>
          </cell>
          <cell r="J2273">
            <v>671</v>
          </cell>
          <cell r="K2273">
            <v>0</v>
          </cell>
          <cell r="L2273">
            <v>6911.75</v>
          </cell>
        </row>
        <row r="2274">
          <cell r="A2274">
            <v>102160</v>
          </cell>
          <cell r="B2274">
            <v>20672</v>
          </cell>
          <cell r="C2274">
            <v>20672</v>
          </cell>
          <cell r="D2274" t="str">
            <v>adult</v>
          </cell>
          <cell r="E2274" t="str">
            <v>B</v>
          </cell>
          <cell r="F2274" t="str">
            <v xml:space="preserve">STUDENT PROFESSIONAL WORKER        </v>
          </cell>
          <cell r="G2274" t="str">
            <v>8243F</v>
          </cell>
          <cell r="H2274">
            <v>10.3</v>
          </cell>
          <cell r="I2274">
            <v>1</v>
          </cell>
          <cell r="J2274">
            <v>207</v>
          </cell>
          <cell r="K2274">
            <v>0</v>
          </cell>
          <cell r="L2274">
            <v>2131.75</v>
          </cell>
        </row>
        <row r="2275">
          <cell r="A2275">
            <v>103142</v>
          </cell>
          <cell r="B2275">
            <v>20672</v>
          </cell>
          <cell r="C2275">
            <v>20672</v>
          </cell>
          <cell r="D2275" t="str">
            <v>adult</v>
          </cell>
          <cell r="E2275" t="str">
            <v>B</v>
          </cell>
          <cell r="F2275" t="str">
            <v xml:space="preserve">STUDENT PROFESSIONAL WORKER        </v>
          </cell>
          <cell r="G2275" t="str">
            <v>8243F</v>
          </cell>
          <cell r="H2275">
            <v>10.3</v>
          </cell>
          <cell r="I2275">
            <v>1</v>
          </cell>
          <cell r="J2275">
            <v>310</v>
          </cell>
          <cell r="K2275">
            <v>0</v>
          </cell>
          <cell r="L2275">
            <v>3193.5</v>
          </cell>
        </row>
        <row r="2276">
          <cell r="A2276">
            <v>104535</v>
          </cell>
          <cell r="B2276">
            <v>18700</v>
          </cell>
          <cell r="C2276">
            <v>20672</v>
          </cell>
          <cell r="D2276" t="str">
            <v>adult</v>
          </cell>
          <cell r="E2276" t="str">
            <v>B</v>
          </cell>
          <cell r="F2276" t="str">
            <v>SUBSTANCE ABUSE COUNSELOR</v>
          </cell>
          <cell r="G2276" t="str">
            <v>5884A</v>
          </cell>
          <cell r="H2276">
            <v>3210</v>
          </cell>
          <cell r="I2276">
            <v>1</v>
          </cell>
          <cell r="J2276">
            <v>12</v>
          </cell>
          <cell r="K2276">
            <v>1</v>
          </cell>
          <cell r="L2276">
            <v>38520</v>
          </cell>
        </row>
        <row r="2277">
          <cell r="A2277">
            <v>104536</v>
          </cell>
          <cell r="B2277">
            <v>18700</v>
          </cell>
          <cell r="C2277">
            <v>20672</v>
          </cell>
          <cell r="D2277" t="str">
            <v>adult</v>
          </cell>
          <cell r="E2277" t="str">
            <v>B</v>
          </cell>
          <cell r="F2277" t="str">
            <v>SUBSTANCE ABUSE COUNSELOR</v>
          </cell>
          <cell r="G2277" t="str">
            <v>5884A</v>
          </cell>
          <cell r="H2277">
            <v>3210</v>
          </cell>
          <cell r="I2277">
            <v>1</v>
          </cell>
          <cell r="J2277">
            <v>12</v>
          </cell>
          <cell r="K2277">
            <v>1</v>
          </cell>
          <cell r="L2277">
            <v>38520</v>
          </cell>
        </row>
        <row r="2278">
          <cell r="A2278">
            <v>104551</v>
          </cell>
          <cell r="B2278">
            <v>20676</v>
          </cell>
          <cell r="C2278">
            <v>20672</v>
          </cell>
          <cell r="D2278" t="str">
            <v>adult</v>
          </cell>
          <cell r="E2278" t="str">
            <v>B</v>
          </cell>
          <cell r="F2278" t="str">
            <v>SUBSTANCE ABUSE COUNSELOR</v>
          </cell>
          <cell r="G2278" t="str">
            <v>5884A</v>
          </cell>
          <cell r="H2278">
            <v>3210</v>
          </cell>
          <cell r="I2278">
            <v>1</v>
          </cell>
          <cell r="J2278">
            <v>12</v>
          </cell>
          <cell r="K2278">
            <v>1</v>
          </cell>
          <cell r="L2278">
            <v>38520</v>
          </cell>
        </row>
        <row r="2279">
          <cell r="A2279">
            <v>104575</v>
          </cell>
          <cell r="B2279">
            <v>20672</v>
          </cell>
          <cell r="C2279">
            <v>20672</v>
          </cell>
          <cell r="D2279" t="str">
            <v>adult</v>
          </cell>
          <cell r="E2279" t="str">
            <v>B</v>
          </cell>
          <cell r="F2279" t="str">
            <v>SUBSTANCE ABUSE COUNSELOR</v>
          </cell>
          <cell r="G2279" t="str">
            <v>5884A</v>
          </cell>
          <cell r="H2279">
            <v>3210</v>
          </cell>
          <cell r="I2279">
            <v>1</v>
          </cell>
          <cell r="J2279">
            <v>12</v>
          </cell>
          <cell r="K2279">
            <v>1</v>
          </cell>
          <cell r="L2279">
            <v>38520</v>
          </cell>
        </row>
        <row r="2280">
          <cell r="A2280">
            <v>104577</v>
          </cell>
          <cell r="B2280">
            <v>20672</v>
          </cell>
          <cell r="C2280">
            <v>20672</v>
          </cell>
          <cell r="D2280" t="str">
            <v>adult</v>
          </cell>
          <cell r="E2280" t="str">
            <v>B</v>
          </cell>
          <cell r="F2280" t="str">
            <v>SUBSTANCE ABUSE COUNSELOR</v>
          </cell>
          <cell r="G2280" t="str">
            <v>5884A</v>
          </cell>
          <cell r="H2280">
            <v>3210</v>
          </cell>
          <cell r="I2280">
            <v>1</v>
          </cell>
          <cell r="J2280">
            <v>12</v>
          </cell>
          <cell r="K2280">
            <v>1</v>
          </cell>
          <cell r="L2280">
            <v>38520</v>
          </cell>
        </row>
        <row r="2281">
          <cell r="A2281">
            <v>104578</v>
          </cell>
          <cell r="B2281">
            <v>20672</v>
          </cell>
          <cell r="C2281">
            <v>20672</v>
          </cell>
          <cell r="D2281" t="str">
            <v>adult</v>
          </cell>
          <cell r="E2281" t="str">
            <v>B</v>
          </cell>
          <cell r="F2281" t="str">
            <v>SUBSTANCE ABUSE COUNSELOR</v>
          </cell>
          <cell r="G2281" t="str">
            <v>5884A</v>
          </cell>
          <cell r="H2281">
            <v>3210</v>
          </cell>
          <cell r="I2281">
            <v>1</v>
          </cell>
          <cell r="J2281">
            <v>12</v>
          </cell>
          <cell r="K2281">
            <v>1</v>
          </cell>
          <cell r="L2281">
            <v>38520</v>
          </cell>
        </row>
        <row r="2282">
          <cell r="A2282">
            <v>101610</v>
          </cell>
          <cell r="B2282">
            <v>20672</v>
          </cell>
          <cell r="C2282">
            <v>20672</v>
          </cell>
          <cell r="D2282" t="str">
            <v>adult</v>
          </cell>
          <cell r="E2282" t="str">
            <v>B</v>
          </cell>
          <cell r="F2282" t="str">
            <v xml:space="preserve">SUPERVISING STAFF NURSE I,SHERIFF  </v>
          </cell>
          <cell r="G2282" t="str">
            <v>5340A</v>
          </cell>
          <cell r="H2282">
            <v>6353.18</v>
          </cell>
          <cell r="I2282">
            <v>1</v>
          </cell>
          <cell r="J2282">
            <v>12</v>
          </cell>
          <cell r="K2282">
            <v>1</v>
          </cell>
          <cell r="L2282">
            <v>77747.960000000006</v>
          </cell>
        </row>
        <row r="2283">
          <cell r="A2283">
            <v>103374</v>
          </cell>
          <cell r="B2283">
            <v>20672</v>
          </cell>
          <cell r="C2283">
            <v>20672</v>
          </cell>
          <cell r="D2283" t="str">
            <v>adult</v>
          </cell>
          <cell r="E2283" t="str">
            <v>B</v>
          </cell>
          <cell r="F2283" t="str">
            <v xml:space="preserve">SUPVG MENTAL HEALTH PSYCHIATRIST   </v>
          </cell>
          <cell r="G2283" t="str">
            <v>4737A</v>
          </cell>
          <cell r="H2283">
            <v>13870</v>
          </cell>
          <cell r="I2283">
            <v>1</v>
          </cell>
          <cell r="J2283">
            <v>12</v>
          </cell>
          <cell r="K2283">
            <v>1</v>
          </cell>
          <cell r="L2283">
            <v>166440</v>
          </cell>
        </row>
        <row r="2284">
          <cell r="A2284">
            <v>102878</v>
          </cell>
          <cell r="B2284">
            <v>20676</v>
          </cell>
          <cell r="C2284">
            <v>20676</v>
          </cell>
          <cell r="D2284" t="str">
            <v>adult</v>
          </cell>
          <cell r="E2284" t="str">
            <v>B</v>
          </cell>
          <cell r="F2284" t="str">
            <v>ASST BEHAVIORAL SCIENCES CONSULTANT</v>
          </cell>
          <cell r="G2284" t="str">
            <v>8705J</v>
          </cell>
          <cell r="H2284">
            <v>85.79</v>
          </cell>
          <cell r="I2284">
            <v>1</v>
          </cell>
          <cell r="J2284">
            <v>412</v>
          </cell>
          <cell r="K2284">
            <v>0.78927203065134099</v>
          </cell>
          <cell r="L2284">
            <v>35345.08</v>
          </cell>
        </row>
        <row r="2285">
          <cell r="A2285">
            <v>102908</v>
          </cell>
          <cell r="B2285">
            <v>20676</v>
          </cell>
          <cell r="C2285">
            <v>20676</v>
          </cell>
          <cell r="D2285" t="str">
            <v>adult</v>
          </cell>
          <cell r="E2285" t="str">
            <v>B</v>
          </cell>
          <cell r="F2285" t="str">
            <v>ASST BEHAVIORAL SCIENCES CONSULTANT</v>
          </cell>
          <cell r="G2285" t="str">
            <v>8705J</v>
          </cell>
          <cell r="H2285">
            <v>85.79</v>
          </cell>
          <cell r="I2285">
            <v>1</v>
          </cell>
          <cell r="J2285">
            <v>391</v>
          </cell>
          <cell r="K2285">
            <v>0.74904214559386972</v>
          </cell>
          <cell r="L2285">
            <v>33544.19</v>
          </cell>
        </row>
        <row r="2286">
          <cell r="A2286">
            <v>102167</v>
          </cell>
          <cell r="B2286">
            <v>20670</v>
          </cell>
          <cell r="C2286">
            <v>20676</v>
          </cell>
          <cell r="D2286" t="str">
            <v>adult</v>
          </cell>
          <cell r="E2286" t="str">
            <v>B</v>
          </cell>
          <cell r="F2286" t="str">
            <v>CLINICAL PSYCHOLOGIST II</v>
          </cell>
          <cell r="G2286" t="str">
            <v>8697A</v>
          </cell>
          <cell r="H2286">
            <v>6993.82</v>
          </cell>
          <cell r="I2286">
            <v>1</v>
          </cell>
          <cell r="J2286">
            <v>12</v>
          </cell>
          <cell r="K2286">
            <v>1</v>
          </cell>
          <cell r="L2286">
            <v>83925.52</v>
          </cell>
        </row>
        <row r="2287">
          <cell r="A2287">
            <v>102879</v>
          </cell>
          <cell r="B2287">
            <v>20676</v>
          </cell>
          <cell r="C2287">
            <v>20676</v>
          </cell>
          <cell r="D2287" t="str">
            <v>adult</v>
          </cell>
          <cell r="E2287" t="str">
            <v>B</v>
          </cell>
          <cell r="F2287" t="str">
            <v>CLINICAL PSYCHOLOGIST II</v>
          </cell>
          <cell r="G2287" t="str">
            <v>8697N</v>
          </cell>
          <cell r="H2287">
            <v>6993.82</v>
          </cell>
          <cell r="I2287">
            <v>1</v>
          </cell>
          <cell r="J2287">
            <v>12</v>
          </cell>
          <cell r="K2287">
            <v>1</v>
          </cell>
          <cell r="L2287">
            <v>83925.52</v>
          </cell>
        </row>
        <row r="2288">
          <cell r="A2288">
            <v>103388</v>
          </cell>
          <cell r="B2288">
            <v>20673</v>
          </cell>
          <cell r="C2288">
            <v>20676</v>
          </cell>
          <cell r="D2288" t="str">
            <v>adult</v>
          </cell>
          <cell r="E2288" t="str">
            <v>B</v>
          </cell>
          <cell r="F2288" t="str">
            <v>CLINICAL PSYCHOLOGIST II</v>
          </cell>
          <cell r="G2288" t="str">
            <v>8697A</v>
          </cell>
          <cell r="H2288">
            <v>6993.82</v>
          </cell>
          <cell r="I2288">
            <v>1</v>
          </cell>
          <cell r="J2288">
            <v>12</v>
          </cell>
          <cell r="K2288">
            <v>1</v>
          </cell>
          <cell r="L2288">
            <v>83925.52</v>
          </cell>
        </row>
        <row r="2289">
          <cell r="A2289">
            <v>103416</v>
          </cell>
          <cell r="B2289">
            <v>20676</v>
          </cell>
          <cell r="C2289">
            <v>20676</v>
          </cell>
          <cell r="D2289" t="str">
            <v>adult</v>
          </cell>
          <cell r="E2289" t="str">
            <v>B</v>
          </cell>
          <cell r="F2289" t="str">
            <v>CLINICAL PSYCHOLOGIST II</v>
          </cell>
          <cell r="G2289" t="str">
            <v>8697A</v>
          </cell>
          <cell r="H2289">
            <v>6993.82</v>
          </cell>
          <cell r="I2289">
            <v>1</v>
          </cell>
          <cell r="J2289">
            <v>12</v>
          </cell>
          <cell r="K2289">
            <v>1</v>
          </cell>
          <cell r="L2289">
            <v>83925.52</v>
          </cell>
        </row>
        <row r="2290">
          <cell r="A2290">
            <v>103418</v>
          </cell>
          <cell r="B2290">
            <v>20676</v>
          </cell>
          <cell r="C2290">
            <v>20676</v>
          </cell>
          <cell r="D2290" t="str">
            <v>adult</v>
          </cell>
          <cell r="E2290" t="str">
            <v>B</v>
          </cell>
          <cell r="F2290" t="str">
            <v>CLINICAL PSYCHOLOGIST II</v>
          </cell>
          <cell r="G2290" t="str">
            <v>8697A</v>
          </cell>
          <cell r="H2290">
            <v>6993.82</v>
          </cell>
          <cell r="I2290">
            <v>1</v>
          </cell>
          <cell r="J2290">
            <v>12</v>
          </cell>
          <cell r="K2290">
            <v>1</v>
          </cell>
          <cell r="L2290">
            <v>83925.52</v>
          </cell>
        </row>
        <row r="2291">
          <cell r="A2291">
            <v>103439</v>
          </cell>
          <cell r="B2291">
            <v>20672</v>
          </cell>
          <cell r="C2291">
            <v>20676</v>
          </cell>
          <cell r="D2291" t="str">
            <v>adult</v>
          </cell>
          <cell r="E2291" t="str">
            <v>B</v>
          </cell>
          <cell r="F2291" t="str">
            <v>CLINICAL PSYCHOLOGIST II</v>
          </cell>
          <cell r="G2291" t="str">
            <v>8697A</v>
          </cell>
          <cell r="H2291">
            <v>6993.82</v>
          </cell>
          <cell r="I2291">
            <v>1</v>
          </cell>
          <cell r="J2291">
            <v>12</v>
          </cell>
          <cell r="K2291">
            <v>1</v>
          </cell>
          <cell r="L2291">
            <v>83925.52</v>
          </cell>
        </row>
        <row r="2292">
          <cell r="A2292">
            <v>104554</v>
          </cell>
          <cell r="B2292">
            <v>20672</v>
          </cell>
          <cell r="C2292">
            <v>20676</v>
          </cell>
          <cell r="D2292" t="str">
            <v>adult</v>
          </cell>
          <cell r="E2292" t="str">
            <v>B</v>
          </cell>
          <cell r="F2292" t="str">
            <v>CLINICAL PSYCHOLOGIST II</v>
          </cell>
          <cell r="G2292" t="str">
            <v>8697A</v>
          </cell>
          <cell r="H2292">
            <v>6993.82</v>
          </cell>
          <cell r="I2292">
            <v>1</v>
          </cell>
          <cell r="J2292">
            <v>12</v>
          </cell>
          <cell r="K2292">
            <v>1</v>
          </cell>
          <cell r="L2292">
            <v>83925.52</v>
          </cell>
        </row>
        <row r="2293">
          <cell r="A2293">
            <v>100329</v>
          </cell>
          <cell r="B2293">
            <v>20672</v>
          </cell>
          <cell r="C2293">
            <v>20676</v>
          </cell>
          <cell r="D2293" t="str">
            <v>adult</v>
          </cell>
          <cell r="E2293" t="str">
            <v>B</v>
          </cell>
          <cell r="F2293" t="str">
            <v xml:space="preserve">INTERMEDIATE STENOGRAPHER          </v>
          </cell>
          <cell r="G2293" t="str">
            <v>2172A</v>
          </cell>
          <cell r="H2293">
            <v>2934</v>
          </cell>
          <cell r="I2293">
            <v>1</v>
          </cell>
          <cell r="J2293">
            <v>12</v>
          </cell>
          <cell r="K2293">
            <v>1</v>
          </cell>
          <cell r="L2293">
            <v>35208</v>
          </cell>
        </row>
        <row r="2294">
          <cell r="A2294">
            <v>100445</v>
          </cell>
          <cell r="B2294">
            <v>20676</v>
          </cell>
          <cell r="C2294">
            <v>20676</v>
          </cell>
          <cell r="D2294" t="str">
            <v>adult</v>
          </cell>
          <cell r="E2294" t="str">
            <v>B</v>
          </cell>
          <cell r="F2294" t="str">
            <v>INTERMEDIATE TYPIST-CLERK</v>
          </cell>
          <cell r="G2294" t="str">
            <v>2214A</v>
          </cell>
          <cell r="H2294">
            <v>2675.27</v>
          </cell>
          <cell r="I2294">
            <v>1</v>
          </cell>
          <cell r="J2294">
            <v>12</v>
          </cell>
          <cell r="K2294">
            <v>1</v>
          </cell>
          <cell r="L2294">
            <v>32103.16</v>
          </cell>
        </row>
        <row r="2295">
          <cell r="A2295">
            <v>104366</v>
          </cell>
          <cell r="B2295">
            <v>20676</v>
          </cell>
          <cell r="C2295">
            <v>20676</v>
          </cell>
          <cell r="D2295" t="str">
            <v>adult</v>
          </cell>
          <cell r="E2295" t="str">
            <v>B</v>
          </cell>
          <cell r="F2295" t="str">
            <v>MEDICAL CASE WORKER II</v>
          </cell>
          <cell r="G2295" t="str">
            <v>9002A</v>
          </cell>
          <cell r="H2295">
            <v>3938.82</v>
          </cell>
          <cell r="I2295">
            <v>1</v>
          </cell>
          <cell r="J2295">
            <v>12</v>
          </cell>
          <cell r="K2295">
            <v>1</v>
          </cell>
          <cell r="L2295">
            <v>47265.68</v>
          </cell>
        </row>
        <row r="2296">
          <cell r="A2296">
            <v>104530</v>
          </cell>
          <cell r="B2296">
            <v>18700</v>
          </cell>
          <cell r="C2296">
            <v>20676</v>
          </cell>
          <cell r="D2296" t="str">
            <v>adult</v>
          </cell>
          <cell r="E2296" t="str">
            <v>B</v>
          </cell>
          <cell r="F2296" t="str">
            <v>MEDICAL CASE WORKER II</v>
          </cell>
          <cell r="G2296" t="str">
            <v>9002A</v>
          </cell>
          <cell r="H2296">
            <v>3938.82</v>
          </cell>
          <cell r="I2296">
            <v>1</v>
          </cell>
          <cell r="J2296">
            <v>12</v>
          </cell>
          <cell r="K2296">
            <v>1</v>
          </cell>
          <cell r="L2296">
            <v>47265.68</v>
          </cell>
        </row>
        <row r="2297">
          <cell r="A2297">
            <v>104547</v>
          </cell>
          <cell r="B2297">
            <v>20676</v>
          </cell>
          <cell r="C2297">
            <v>20676</v>
          </cell>
          <cell r="D2297" t="str">
            <v>adult</v>
          </cell>
          <cell r="E2297" t="str">
            <v>B</v>
          </cell>
          <cell r="F2297" t="str">
            <v>MEDICAL CASE WORKER II</v>
          </cell>
          <cell r="G2297" t="str">
            <v>9002A</v>
          </cell>
          <cell r="H2297">
            <v>3938.82</v>
          </cell>
          <cell r="I2297">
            <v>1</v>
          </cell>
          <cell r="J2297">
            <v>12</v>
          </cell>
          <cell r="K2297">
            <v>1</v>
          </cell>
          <cell r="L2297">
            <v>47265.68</v>
          </cell>
        </row>
        <row r="2298">
          <cell r="A2298">
            <v>100695</v>
          </cell>
          <cell r="B2298">
            <v>20672</v>
          </cell>
          <cell r="C2298">
            <v>20676</v>
          </cell>
          <cell r="D2298" t="str">
            <v>adult</v>
          </cell>
          <cell r="E2298" t="str">
            <v>B</v>
          </cell>
          <cell r="F2298" t="str">
            <v>MENTAL HEALTH COUNSELOR, RN</v>
          </cell>
          <cell r="G2298" t="str">
            <v>5278A</v>
          </cell>
          <cell r="H2298">
            <v>6275.27</v>
          </cell>
          <cell r="I2298">
            <v>1</v>
          </cell>
          <cell r="J2298">
            <v>12</v>
          </cell>
          <cell r="K2298">
            <v>1</v>
          </cell>
          <cell r="L2298">
            <v>76804.323333333334</v>
          </cell>
        </row>
        <row r="2299">
          <cell r="A2299">
            <v>100699</v>
          </cell>
          <cell r="B2299">
            <v>20676</v>
          </cell>
          <cell r="C2299">
            <v>20676</v>
          </cell>
          <cell r="D2299" t="str">
            <v>adult</v>
          </cell>
          <cell r="E2299" t="str">
            <v>B</v>
          </cell>
          <cell r="F2299" t="str">
            <v>MENTAL HEALTH COUNSELOR, RN</v>
          </cell>
          <cell r="G2299" t="str">
            <v>5278A</v>
          </cell>
          <cell r="H2299">
            <v>6275.27</v>
          </cell>
          <cell r="I2299">
            <v>1</v>
          </cell>
          <cell r="J2299">
            <v>12</v>
          </cell>
          <cell r="K2299">
            <v>1</v>
          </cell>
          <cell r="L2299">
            <v>76804.323333333334</v>
          </cell>
        </row>
        <row r="2300">
          <cell r="A2300">
            <v>103350</v>
          </cell>
          <cell r="B2300">
            <v>20672</v>
          </cell>
          <cell r="C2300">
            <v>20676</v>
          </cell>
          <cell r="D2300" t="str">
            <v>adult</v>
          </cell>
          <cell r="E2300" t="str">
            <v>B</v>
          </cell>
          <cell r="F2300" t="str">
            <v>MENTAL HEALTH COUNSELOR, RN</v>
          </cell>
          <cell r="G2300" t="str">
            <v>5278A</v>
          </cell>
          <cell r="H2300">
            <v>6275.27</v>
          </cell>
          <cell r="I2300">
            <v>1</v>
          </cell>
          <cell r="J2300">
            <v>12</v>
          </cell>
          <cell r="K2300">
            <v>1</v>
          </cell>
          <cell r="L2300">
            <v>76804.323333333334</v>
          </cell>
        </row>
        <row r="2301">
          <cell r="A2301">
            <v>103411</v>
          </cell>
          <cell r="B2301">
            <v>20676</v>
          </cell>
          <cell r="C2301">
            <v>20676</v>
          </cell>
          <cell r="D2301" t="str">
            <v>adult</v>
          </cell>
          <cell r="E2301" t="str">
            <v>B</v>
          </cell>
          <cell r="F2301" t="str">
            <v>MENTAL HEALTH COUNSELOR, RN</v>
          </cell>
          <cell r="G2301" t="str">
            <v>5278A</v>
          </cell>
          <cell r="H2301">
            <v>6275.27</v>
          </cell>
          <cell r="I2301">
            <v>1</v>
          </cell>
          <cell r="J2301">
            <v>12</v>
          </cell>
          <cell r="K2301">
            <v>1</v>
          </cell>
          <cell r="L2301">
            <v>76804.323333333334</v>
          </cell>
        </row>
        <row r="2302">
          <cell r="A2302">
            <v>103412</v>
          </cell>
          <cell r="B2302">
            <v>20676</v>
          </cell>
          <cell r="C2302">
            <v>20676</v>
          </cell>
          <cell r="D2302" t="str">
            <v>adult</v>
          </cell>
          <cell r="E2302" t="str">
            <v>B</v>
          </cell>
          <cell r="F2302" t="str">
            <v>MENTAL HEALTH COUNSELOR, RN</v>
          </cell>
          <cell r="G2302" t="str">
            <v>5278A</v>
          </cell>
          <cell r="H2302">
            <v>6275.27</v>
          </cell>
          <cell r="I2302">
            <v>1</v>
          </cell>
          <cell r="J2302">
            <v>12</v>
          </cell>
          <cell r="K2302">
            <v>1</v>
          </cell>
          <cell r="L2302">
            <v>76804.323333333334</v>
          </cell>
        </row>
        <row r="2303">
          <cell r="A2303">
            <v>103413</v>
          </cell>
          <cell r="B2303">
            <v>20676</v>
          </cell>
          <cell r="C2303">
            <v>20676</v>
          </cell>
          <cell r="D2303" t="str">
            <v>adult</v>
          </cell>
          <cell r="E2303" t="str">
            <v>B</v>
          </cell>
          <cell r="F2303" t="str">
            <v>MENTAL HEALTH COUNSELOR, RN</v>
          </cell>
          <cell r="G2303" t="str">
            <v>5278A</v>
          </cell>
          <cell r="H2303">
            <v>6275.27</v>
          </cell>
          <cell r="I2303">
            <v>1</v>
          </cell>
          <cell r="J2303">
            <v>12</v>
          </cell>
          <cell r="K2303">
            <v>1</v>
          </cell>
          <cell r="L2303">
            <v>76804.323333333334</v>
          </cell>
        </row>
        <row r="2304">
          <cell r="A2304">
            <v>100815</v>
          </cell>
          <cell r="B2304">
            <v>20672</v>
          </cell>
          <cell r="C2304">
            <v>20676</v>
          </cell>
          <cell r="D2304" t="str">
            <v>adult</v>
          </cell>
          <cell r="E2304" t="str">
            <v>B</v>
          </cell>
          <cell r="F2304" t="str">
            <v>MENTAL HEALTH PSYCHIATRIST</v>
          </cell>
          <cell r="G2304" t="str">
            <v>4735A</v>
          </cell>
          <cell r="H2304">
            <v>12844</v>
          </cell>
          <cell r="I2304">
            <v>1</v>
          </cell>
          <cell r="J2304">
            <v>12</v>
          </cell>
          <cell r="K2304">
            <v>1</v>
          </cell>
          <cell r="L2304">
            <v>154128</v>
          </cell>
        </row>
        <row r="2305">
          <cell r="A2305">
            <v>100816</v>
          </cell>
          <cell r="B2305">
            <v>20676</v>
          </cell>
          <cell r="C2305">
            <v>20676</v>
          </cell>
          <cell r="D2305" t="str">
            <v>adult</v>
          </cell>
          <cell r="E2305" t="str">
            <v>B</v>
          </cell>
          <cell r="F2305" t="str">
            <v>MENTAL HEALTH PSYCHIATRIST</v>
          </cell>
          <cell r="G2305" t="str">
            <v>4735A</v>
          </cell>
          <cell r="H2305">
            <v>12844</v>
          </cell>
          <cell r="I2305">
            <v>1</v>
          </cell>
          <cell r="J2305">
            <v>12</v>
          </cell>
          <cell r="K2305">
            <v>1</v>
          </cell>
          <cell r="L2305">
            <v>154128</v>
          </cell>
        </row>
        <row r="2306">
          <cell r="A2306">
            <v>103419</v>
          </cell>
          <cell r="B2306">
            <v>20676</v>
          </cell>
          <cell r="C2306">
            <v>20676</v>
          </cell>
          <cell r="D2306" t="str">
            <v>adult</v>
          </cell>
          <cell r="E2306" t="str">
            <v>B</v>
          </cell>
          <cell r="F2306" t="str">
            <v>MENTAL HEALTH PSYCHIATRIST</v>
          </cell>
          <cell r="G2306" t="str">
            <v>4735A</v>
          </cell>
          <cell r="H2306">
            <v>12844</v>
          </cell>
          <cell r="I2306">
            <v>1</v>
          </cell>
          <cell r="J2306">
            <v>12</v>
          </cell>
          <cell r="K2306">
            <v>1</v>
          </cell>
          <cell r="L2306">
            <v>154128</v>
          </cell>
        </row>
        <row r="2307">
          <cell r="A2307">
            <v>103421</v>
          </cell>
          <cell r="B2307">
            <v>20676</v>
          </cell>
          <cell r="C2307">
            <v>20676</v>
          </cell>
          <cell r="D2307" t="str">
            <v>adult</v>
          </cell>
          <cell r="E2307" t="str">
            <v>B</v>
          </cell>
          <cell r="F2307" t="str">
            <v>MENTAL HEALTH PSYCHIATRIST</v>
          </cell>
          <cell r="G2307" t="str">
            <v>4735A</v>
          </cell>
          <cell r="H2307">
            <v>12844</v>
          </cell>
          <cell r="I2307">
            <v>1</v>
          </cell>
          <cell r="J2307">
            <v>12</v>
          </cell>
          <cell r="K2307">
            <v>1</v>
          </cell>
          <cell r="L2307">
            <v>154128</v>
          </cell>
        </row>
        <row r="2308">
          <cell r="A2308">
            <v>102249</v>
          </cell>
          <cell r="B2308">
            <v>20673</v>
          </cell>
          <cell r="C2308">
            <v>20676</v>
          </cell>
          <cell r="D2308" t="str">
            <v>adult</v>
          </cell>
          <cell r="E2308" t="str">
            <v>B</v>
          </cell>
          <cell r="F2308" t="str">
            <v>MENTAL HEALTH SERVICES COORD II</v>
          </cell>
          <cell r="G2308" t="str">
            <v>8149A</v>
          </cell>
          <cell r="H2308">
            <v>5152.3599999999997</v>
          </cell>
          <cell r="I2308">
            <v>1</v>
          </cell>
          <cell r="J2308">
            <v>12</v>
          </cell>
          <cell r="K2308">
            <v>1</v>
          </cell>
          <cell r="L2308">
            <v>61828.72</v>
          </cell>
        </row>
        <row r="2309">
          <cell r="A2309">
            <v>103415</v>
          </cell>
          <cell r="B2309">
            <v>20673</v>
          </cell>
          <cell r="C2309">
            <v>20676</v>
          </cell>
          <cell r="D2309" t="str">
            <v>adult</v>
          </cell>
          <cell r="E2309" t="str">
            <v>B</v>
          </cell>
          <cell r="F2309" t="str">
            <v>MNTL HLTH CLINICAL PROGRAM HEAD</v>
          </cell>
          <cell r="G2309" t="str">
            <v>4726A</v>
          </cell>
          <cell r="H2309">
            <v>8709.73</v>
          </cell>
          <cell r="I2309">
            <v>1</v>
          </cell>
          <cell r="J2309">
            <v>12</v>
          </cell>
          <cell r="K2309">
            <v>1</v>
          </cell>
          <cell r="L2309">
            <v>104516.76</v>
          </cell>
        </row>
        <row r="2310">
          <cell r="A2310">
            <v>101213</v>
          </cell>
          <cell r="B2310">
            <v>20676</v>
          </cell>
          <cell r="C2310">
            <v>20676</v>
          </cell>
          <cell r="D2310" t="str">
            <v>adult</v>
          </cell>
          <cell r="E2310" t="str">
            <v>B</v>
          </cell>
          <cell r="F2310" t="str">
            <v>PSYCHIATRIC SOCIAL WORKER II</v>
          </cell>
          <cell r="G2310" t="str">
            <v>9035A</v>
          </cell>
          <cell r="H2310">
            <v>5425.82</v>
          </cell>
          <cell r="I2310">
            <v>1</v>
          </cell>
          <cell r="J2310">
            <v>12</v>
          </cell>
          <cell r="K2310">
            <v>1</v>
          </cell>
          <cell r="L2310">
            <v>65109.84</v>
          </cell>
        </row>
        <row r="2311">
          <cell r="A2311">
            <v>103422</v>
          </cell>
          <cell r="B2311">
            <v>20676</v>
          </cell>
          <cell r="C2311">
            <v>20676</v>
          </cell>
          <cell r="D2311" t="str">
            <v>adult</v>
          </cell>
          <cell r="E2311" t="str">
            <v>B</v>
          </cell>
          <cell r="F2311" t="str">
            <v>PSYCHIATRIC SOCIAL WORKER II</v>
          </cell>
          <cell r="G2311" t="str">
            <v>9035A</v>
          </cell>
          <cell r="H2311">
            <v>5425.82</v>
          </cell>
          <cell r="I2311">
            <v>1</v>
          </cell>
          <cell r="J2311">
            <v>12</v>
          </cell>
          <cell r="K2311">
            <v>1</v>
          </cell>
          <cell r="L2311">
            <v>65109.84</v>
          </cell>
        </row>
        <row r="2312">
          <cell r="A2312">
            <v>103423</v>
          </cell>
          <cell r="B2312">
            <v>20676</v>
          </cell>
          <cell r="C2312">
            <v>20676</v>
          </cell>
          <cell r="D2312" t="str">
            <v>adult</v>
          </cell>
          <cell r="E2312" t="str">
            <v>B</v>
          </cell>
          <cell r="F2312" t="str">
            <v>PSYCHIATRIC SOCIAL WORKER II</v>
          </cell>
          <cell r="G2312" t="str">
            <v>9035A</v>
          </cell>
          <cell r="H2312">
            <v>5425.82</v>
          </cell>
          <cell r="I2312">
            <v>1</v>
          </cell>
          <cell r="J2312">
            <v>12</v>
          </cell>
          <cell r="K2312">
            <v>1</v>
          </cell>
          <cell r="L2312">
            <v>65109.84</v>
          </cell>
        </row>
        <row r="2313">
          <cell r="A2313">
            <v>103425</v>
          </cell>
          <cell r="B2313">
            <v>20676</v>
          </cell>
          <cell r="C2313">
            <v>20676</v>
          </cell>
          <cell r="D2313" t="str">
            <v>adult</v>
          </cell>
          <cell r="E2313" t="str">
            <v>B</v>
          </cell>
          <cell r="F2313" t="str">
            <v>PSYCHIATRIC SOCIAL WORKER II</v>
          </cell>
          <cell r="G2313" t="str">
            <v>9035A</v>
          </cell>
          <cell r="H2313">
            <v>5425.82</v>
          </cell>
          <cell r="I2313">
            <v>1</v>
          </cell>
          <cell r="J2313">
            <v>12</v>
          </cell>
          <cell r="K2313">
            <v>1</v>
          </cell>
          <cell r="L2313">
            <v>65109.84</v>
          </cell>
        </row>
        <row r="2314">
          <cell r="A2314">
            <v>109961</v>
          </cell>
          <cell r="B2314">
            <v>20676</v>
          </cell>
          <cell r="C2314">
            <v>20676</v>
          </cell>
          <cell r="D2314" t="str">
            <v>adult</v>
          </cell>
          <cell r="E2314" t="str">
            <v>B</v>
          </cell>
          <cell r="F2314" t="str">
            <v>PSYCHIATRIC SOCIAL WORKER II</v>
          </cell>
          <cell r="G2314" t="str">
            <v>9035A</v>
          </cell>
          <cell r="H2314">
            <v>5425.82</v>
          </cell>
          <cell r="I2314">
            <v>1</v>
          </cell>
          <cell r="J2314">
            <v>12</v>
          </cell>
          <cell r="K2314">
            <v>1</v>
          </cell>
          <cell r="L2314">
            <v>65109.84</v>
          </cell>
        </row>
        <row r="2315">
          <cell r="A2315">
            <v>101336</v>
          </cell>
          <cell r="B2315">
            <v>20676</v>
          </cell>
          <cell r="C2315">
            <v>20676</v>
          </cell>
          <cell r="D2315" t="str">
            <v>adult</v>
          </cell>
          <cell r="E2315" t="str">
            <v>B</v>
          </cell>
          <cell r="F2315" t="str">
            <v>PSYCHIATRIC TECHNICIAN II</v>
          </cell>
          <cell r="G2315" t="str">
            <v>8162A</v>
          </cell>
          <cell r="H2315">
            <v>3420.09</v>
          </cell>
          <cell r="I2315">
            <v>1</v>
          </cell>
          <cell r="J2315">
            <v>12</v>
          </cell>
          <cell r="K2315">
            <v>1</v>
          </cell>
          <cell r="L2315">
            <v>41041.08</v>
          </cell>
        </row>
        <row r="2316">
          <cell r="A2316">
            <v>103085</v>
          </cell>
          <cell r="B2316">
            <v>20673</v>
          </cell>
          <cell r="C2316">
            <v>20676</v>
          </cell>
          <cell r="D2316" t="str">
            <v>adult</v>
          </cell>
          <cell r="E2316" t="str">
            <v>B</v>
          </cell>
          <cell r="F2316" t="str">
            <v>PSYCHIATRIC TECHNICIAN III</v>
          </cell>
          <cell r="G2316" t="str">
            <v>8163A</v>
          </cell>
          <cell r="H2316">
            <v>3705.73</v>
          </cell>
          <cell r="I2316">
            <v>1</v>
          </cell>
          <cell r="J2316">
            <v>12</v>
          </cell>
          <cell r="K2316">
            <v>1</v>
          </cell>
          <cell r="L2316">
            <v>44468.76</v>
          </cell>
        </row>
        <row r="2317">
          <cell r="A2317">
            <v>103087</v>
          </cell>
          <cell r="B2317">
            <v>20673</v>
          </cell>
          <cell r="C2317">
            <v>20676</v>
          </cell>
          <cell r="D2317" t="str">
            <v>adult</v>
          </cell>
          <cell r="E2317" t="str">
            <v>B</v>
          </cell>
          <cell r="F2317" t="str">
            <v>PSYCHIATRIC TECHNICIAN III</v>
          </cell>
          <cell r="G2317" t="str">
            <v>8163A</v>
          </cell>
          <cell r="H2317">
            <v>3705.73</v>
          </cell>
          <cell r="I2317">
            <v>1</v>
          </cell>
          <cell r="J2317">
            <v>12</v>
          </cell>
          <cell r="K2317">
            <v>1</v>
          </cell>
          <cell r="L2317">
            <v>44468.76</v>
          </cell>
        </row>
        <row r="2318">
          <cell r="A2318">
            <v>102170</v>
          </cell>
          <cell r="B2318">
            <v>20676</v>
          </cell>
          <cell r="C2318">
            <v>20676</v>
          </cell>
          <cell r="D2318" t="str">
            <v>adult</v>
          </cell>
          <cell r="E2318" t="str">
            <v>B</v>
          </cell>
          <cell r="F2318" t="str">
            <v>RECREATION THERAPIST II</v>
          </cell>
          <cell r="G2318" t="str">
            <v>5872A</v>
          </cell>
          <cell r="H2318">
            <v>4667.6400000000003</v>
          </cell>
          <cell r="I2318">
            <v>1</v>
          </cell>
          <cell r="J2318">
            <v>12</v>
          </cell>
          <cell r="K2318">
            <v>1</v>
          </cell>
          <cell r="L2318">
            <v>56011.68</v>
          </cell>
        </row>
        <row r="2319">
          <cell r="A2319">
            <v>103427</v>
          </cell>
          <cell r="B2319">
            <v>20676</v>
          </cell>
          <cell r="C2319">
            <v>20676</v>
          </cell>
          <cell r="D2319" t="str">
            <v>adult</v>
          </cell>
          <cell r="E2319" t="str">
            <v>B</v>
          </cell>
          <cell r="F2319" t="str">
            <v xml:space="preserve">SENIOR COMMUNITY WORKER II         </v>
          </cell>
          <cell r="G2319" t="str">
            <v>8105A</v>
          </cell>
          <cell r="H2319">
            <v>3428.36</v>
          </cell>
          <cell r="I2319">
            <v>1</v>
          </cell>
          <cell r="J2319">
            <v>12</v>
          </cell>
          <cell r="K2319">
            <v>1</v>
          </cell>
          <cell r="L2319">
            <v>41140.32</v>
          </cell>
        </row>
        <row r="2320">
          <cell r="A2320">
            <v>102171</v>
          </cell>
          <cell r="B2320">
            <v>20676</v>
          </cell>
          <cell r="C2320">
            <v>20676</v>
          </cell>
          <cell r="D2320" t="str">
            <v>adult</v>
          </cell>
          <cell r="E2320" t="str">
            <v>B</v>
          </cell>
          <cell r="F2320" t="str">
            <v>SENIOR MENTAL HEALTH COUNSELOR, RN</v>
          </cell>
          <cell r="G2320" t="str">
            <v>5280A</v>
          </cell>
          <cell r="H2320">
            <v>6790.09</v>
          </cell>
          <cell r="I2320">
            <v>1</v>
          </cell>
          <cell r="J2320">
            <v>12</v>
          </cell>
          <cell r="K2320">
            <v>1</v>
          </cell>
          <cell r="L2320">
            <v>83105.40203389831</v>
          </cell>
        </row>
        <row r="2321">
          <cell r="A2321">
            <v>103428</v>
          </cell>
          <cell r="B2321">
            <v>20676</v>
          </cell>
          <cell r="C2321">
            <v>20676</v>
          </cell>
          <cell r="D2321" t="str">
            <v>adult</v>
          </cell>
          <cell r="E2321" t="str">
            <v>B</v>
          </cell>
          <cell r="F2321" t="str">
            <v>SENIOR MENTAL HEALTH COUNSELOR, RN</v>
          </cell>
          <cell r="G2321" t="str">
            <v>5280A</v>
          </cell>
          <cell r="H2321">
            <v>6790.09</v>
          </cell>
          <cell r="I2321">
            <v>1</v>
          </cell>
          <cell r="J2321">
            <v>12</v>
          </cell>
          <cell r="K2321">
            <v>1</v>
          </cell>
          <cell r="L2321">
            <v>83105.40203389831</v>
          </cell>
        </row>
        <row r="2322">
          <cell r="A2322">
            <v>103612</v>
          </cell>
          <cell r="B2322">
            <v>20672</v>
          </cell>
          <cell r="C2322">
            <v>20676</v>
          </cell>
          <cell r="D2322" t="str">
            <v>adult</v>
          </cell>
          <cell r="E2322" t="str">
            <v>B</v>
          </cell>
          <cell r="F2322" t="str">
            <v xml:space="preserve">SENIOR TYPIST-CLERK                </v>
          </cell>
          <cell r="G2322" t="str">
            <v>2216A</v>
          </cell>
          <cell r="H2322">
            <v>3013.55</v>
          </cell>
          <cell r="I2322">
            <v>1</v>
          </cell>
          <cell r="J2322">
            <v>12</v>
          </cell>
          <cell r="K2322">
            <v>1</v>
          </cell>
          <cell r="L2322">
            <v>36162.6</v>
          </cell>
        </row>
        <row r="2323">
          <cell r="A2323">
            <v>104550</v>
          </cell>
          <cell r="B2323">
            <v>20676</v>
          </cell>
          <cell r="C2323">
            <v>20676</v>
          </cell>
          <cell r="D2323" t="str">
            <v>adult</v>
          </cell>
          <cell r="E2323" t="str">
            <v>B</v>
          </cell>
          <cell r="F2323" t="str">
            <v>SUBSTANCE ABUSE COUNSELOR</v>
          </cell>
          <cell r="G2323" t="str">
            <v>5884A</v>
          </cell>
          <cell r="H2323">
            <v>3210</v>
          </cell>
          <cell r="I2323">
            <v>1</v>
          </cell>
          <cell r="J2323">
            <v>12</v>
          </cell>
          <cell r="K2323">
            <v>1</v>
          </cell>
          <cell r="L2323">
            <v>38520</v>
          </cell>
        </row>
        <row r="2324">
          <cell r="A2324">
            <v>106343</v>
          </cell>
          <cell r="B2324">
            <v>21561</v>
          </cell>
          <cell r="C2324">
            <v>20676</v>
          </cell>
          <cell r="D2324" t="str">
            <v>adult</v>
          </cell>
          <cell r="E2324" t="str">
            <v>B</v>
          </cell>
          <cell r="F2324" t="str">
            <v>SUBSTANCE ABUSE COUNSELOR</v>
          </cell>
          <cell r="G2324" t="str">
            <v>5884A</v>
          </cell>
          <cell r="H2324">
            <v>3210</v>
          </cell>
          <cell r="I2324">
            <v>1</v>
          </cell>
          <cell r="J2324">
            <v>12</v>
          </cell>
          <cell r="K2324">
            <v>1</v>
          </cell>
          <cell r="L2324">
            <v>38520</v>
          </cell>
        </row>
        <row r="2325">
          <cell r="A2325">
            <v>104548</v>
          </cell>
          <cell r="B2325">
            <v>20676</v>
          </cell>
          <cell r="C2325">
            <v>20676</v>
          </cell>
          <cell r="D2325" t="str">
            <v>adult</v>
          </cell>
          <cell r="E2325" t="str">
            <v>B</v>
          </cell>
          <cell r="F2325" t="str">
            <v xml:space="preserve">SUPVG MENTAL HEALTH PSYCHIATRIST   </v>
          </cell>
          <cell r="G2325" t="str">
            <v>4737A</v>
          </cell>
          <cell r="H2325">
            <v>13870</v>
          </cell>
          <cell r="I2325">
            <v>1</v>
          </cell>
          <cell r="J2325">
            <v>12</v>
          </cell>
          <cell r="K2325">
            <v>1</v>
          </cell>
          <cell r="L2325">
            <v>166440</v>
          </cell>
        </row>
        <row r="2326">
          <cell r="A2326">
            <v>103387</v>
          </cell>
          <cell r="B2326">
            <v>20673</v>
          </cell>
          <cell r="C2326">
            <v>20673</v>
          </cell>
          <cell r="D2326" t="str">
            <v>adult</v>
          </cell>
          <cell r="E2326" t="str">
            <v>B</v>
          </cell>
          <cell r="F2326" t="str">
            <v>CLINICAL PSYCHOLOGIST II</v>
          </cell>
          <cell r="G2326" t="str">
            <v>8697A</v>
          </cell>
          <cell r="H2326">
            <v>6993.82</v>
          </cell>
          <cell r="I2326">
            <v>1</v>
          </cell>
          <cell r="J2326">
            <v>12</v>
          </cell>
          <cell r="K2326">
            <v>1</v>
          </cell>
          <cell r="L2326">
            <v>83925.52</v>
          </cell>
        </row>
        <row r="2327">
          <cell r="A2327">
            <v>104538</v>
          </cell>
          <cell r="B2327">
            <v>20673</v>
          </cell>
          <cell r="C2327">
            <v>20673</v>
          </cell>
          <cell r="D2327" t="str">
            <v>adult</v>
          </cell>
          <cell r="E2327" t="str">
            <v>B</v>
          </cell>
          <cell r="F2327" t="str">
            <v>CLINICAL PSYCHOLOGIST II</v>
          </cell>
          <cell r="G2327" t="str">
            <v>8697A</v>
          </cell>
          <cell r="H2327">
            <v>6993.82</v>
          </cell>
          <cell r="I2327">
            <v>1</v>
          </cell>
          <cell r="J2327">
            <v>12</v>
          </cell>
          <cell r="K2327">
            <v>1</v>
          </cell>
          <cell r="L2327">
            <v>83925.52</v>
          </cell>
        </row>
        <row r="2328">
          <cell r="A2328">
            <v>104555</v>
          </cell>
          <cell r="B2328">
            <v>20672</v>
          </cell>
          <cell r="C2328">
            <v>20673</v>
          </cell>
          <cell r="D2328" t="str">
            <v>adult</v>
          </cell>
          <cell r="E2328" t="str">
            <v>B</v>
          </cell>
          <cell r="F2328" t="str">
            <v>CLINICAL PSYCHOLOGIST II</v>
          </cell>
          <cell r="G2328" t="str">
            <v>8697A</v>
          </cell>
          <cell r="H2328">
            <v>6993.82</v>
          </cell>
          <cell r="I2328">
            <v>1</v>
          </cell>
          <cell r="J2328">
            <v>12</v>
          </cell>
          <cell r="K2328">
            <v>1</v>
          </cell>
          <cell r="L2328">
            <v>83925.52</v>
          </cell>
        </row>
        <row r="2329">
          <cell r="A2329">
            <v>104489</v>
          </cell>
          <cell r="B2329">
            <v>20672</v>
          </cell>
          <cell r="C2329">
            <v>20673</v>
          </cell>
          <cell r="D2329" t="str">
            <v>adult</v>
          </cell>
          <cell r="E2329" t="str">
            <v>B</v>
          </cell>
          <cell r="F2329" t="str">
            <v xml:space="preserve">INT SUPERVISING TYPIST-CLERK       </v>
          </cell>
          <cell r="G2329" t="str">
            <v>2221A</v>
          </cell>
          <cell r="H2329">
            <v>3337.91</v>
          </cell>
          <cell r="I2329">
            <v>1</v>
          </cell>
          <cell r="J2329">
            <v>12</v>
          </cell>
          <cell r="K2329">
            <v>1</v>
          </cell>
          <cell r="L2329">
            <v>40054.519999999997</v>
          </cell>
        </row>
        <row r="2330">
          <cell r="A2330">
            <v>100446</v>
          </cell>
          <cell r="B2330">
            <v>20672</v>
          </cell>
          <cell r="C2330">
            <v>20673</v>
          </cell>
          <cell r="D2330" t="str">
            <v>adult</v>
          </cell>
          <cell r="E2330" t="str">
            <v>B</v>
          </cell>
          <cell r="F2330" t="str">
            <v>INTERMEDIATE TYPIST-CLERK</v>
          </cell>
          <cell r="G2330" t="str">
            <v>2214A</v>
          </cell>
          <cell r="H2330">
            <v>2675.27</v>
          </cell>
          <cell r="I2330">
            <v>1</v>
          </cell>
          <cell r="J2330">
            <v>12</v>
          </cell>
          <cell r="K2330">
            <v>1</v>
          </cell>
          <cell r="L2330">
            <v>32103.16</v>
          </cell>
        </row>
        <row r="2331">
          <cell r="A2331">
            <v>100502</v>
          </cell>
          <cell r="B2331">
            <v>20673</v>
          </cell>
          <cell r="C2331">
            <v>20673</v>
          </cell>
          <cell r="D2331" t="str">
            <v>adult</v>
          </cell>
          <cell r="E2331" t="str">
            <v>B</v>
          </cell>
          <cell r="F2331" t="str">
            <v>MEDICAL CASE WORKER II</v>
          </cell>
          <cell r="G2331" t="str">
            <v>9002A</v>
          </cell>
          <cell r="H2331">
            <v>3938.82</v>
          </cell>
          <cell r="I2331">
            <v>1</v>
          </cell>
          <cell r="J2331">
            <v>12</v>
          </cell>
          <cell r="K2331">
            <v>1</v>
          </cell>
          <cell r="L2331">
            <v>47265.68</v>
          </cell>
        </row>
        <row r="2332">
          <cell r="A2332">
            <v>100818</v>
          </cell>
          <cell r="B2332">
            <v>20673</v>
          </cell>
          <cell r="C2332">
            <v>20673</v>
          </cell>
          <cell r="D2332" t="str">
            <v>adult</v>
          </cell>
          <cell r="E2332" t="str">
            <v>B</v>
          </cell>
          <cell r="F2332" t="str">
            <v>MENTAL HEALTH PSYCHIATRIST</v>
          </cell>
          <cell r="G2332" t="str">
            <v>4735A</v>
          </cell>
          <cell r="H2332">
            <v>12844</v>
          </cell>
          <cell r="I2332">
            <v>1</v>
          </cell>
          <cell r="J2332">
            <v>12</v>
          </cell>
          <cell r="K2332">
            <v>1</v>
          </cell>
          <cell r="L2332">
            <v>154128</v>
          </cell>
        </row>
        <row r="2333">
          <cell r="A2333">
            <v>103356</v>
          </cell>
          <cell r="B2333">
            <v>20672</v>
          </cell>
          <cell r="C2333">
            <v>20673</v>
          </cell>
          <cell r="D2333" t="str">
            <v>adult</v>
          </cell>
          <cell r="E2333" t="str">
            <v>B</v>
          </cell>
          <cell r="F2333" t="str">
            <v>MENTAL HEALTH PSYCHIATRIST</v>
          </cell>
          <cell r="G2333" t="str">
            <v>4735A</v>
          </cell>
          <cell r="H2333">
            <v>12844</v>
          </cell>
          <cell r="I2333">
            <v>1</v>
          </cell>
          <cell r="J2333">
            <v>12</v>
          </cell>
          <cell r="K2333">
            <v>1</v>
          </cell>
          <cell r="L2333">
            <v>154128</v>
          </cell>
        </row>
        <row r="2334">
          <cell r="A2334">
            <v>103389</v>
          </cell>
          <cell r="B2334">
            <v>20673</v>
          </cell>
          <cell r="C2334">
            <v>20673</v>
          </cell>
          <cell r="D2334" t="str">
            <v>adult</v>
          </cell>
          <cell r="E2334" t="str">
            <v>B</v>
          </cell>
          <cell r="F2334" t="str">
            <v>MENTAL HEALTH PSYCHIATRIST</v>
          </cell>
          <cell r="G2334" t="str">
            <v>4735A</v>
          </cell>
          <cell r="H2334">
            <v>12844</v>
          </cell>
          <cell r="I2334">
            <v>1</v>
          </cell>
          <cell r="J2334">
            <v>12</v>
          </cell>
          <cell r="K2334">
            <v>1</v>
          </cell>
          <cell r="L2334">
            <v>154128</v>
          </cell>
        </row>
        <row r="2335">
          <cell r="A2335">
            <v>103390</v>
          </cell>
          <cell r="B2335">
            <v>20673</v>
          </cell>
          <cell r="C2335">
            <v>20673</v>
          </cell>
          <cell r="D2335" t="str">
            <v>adult</v>
          </cell>
          <cell r="E2335" t="str">
            <v>B</v>
          </cell>
          <cell r="F2335" t="str">
            <v>MENTAL HEALTH PSYCHIATRIST</v>
          </cell>
          <cell r="G2335" t="str">
            <v>4735A</v>
          </cell>
          <cell r="H2335">
            <v>12844</v>
          </cell>
          <cell r="I2335">
            <v>1</v>
          </cell>
          <cell r="J2335">
            <v>12</v>
          </cell>
          <cell r="K2335">
            <v>1</v>
          </cell>
          <cell r="L2335">
            <v>154128</v>
          </cell>
        </row>
        <row r="2336">
          <cell r="A2336">
            <v>103391</v>
          </cell>
          <cell r="B2336">
            <v>20673</v>
          </cell>
          <cell r="C2336">
            <v>20673</v>
          </cell>
          <cell r="D2336" t="str">
            <v>adult</v>
          </cell>
          <cell r="E2336" t="str">
            <v>B</v>
          </cell>
          <cell r="F2336" t="str">
            <v>MENTAL HEALTH PSYCHIATRIST</v>
          </cell>
          <cell r="G2336" t="str">
            <v>4735A</v>
          </cell>
          <cell r="H2336">
            <v>12844</v>
          </cell>
          <cell r="I2336">
            <v>1</v>
          </cell>
          <cell r="J2336">
            <v>12</v>
          </cell>
          <cell r="K2336">
            <v>1</v>
          </cell>
          <cell r="L2336">
            <v>154128</v>
          </cell>
        </row>
        <row r="2337">
          <cell r="A2337">
            <v>104541</v>
          </cell>
          <cell r="B2337">
            <v>20673</v>
          </cell>
          <cell r="C2337">
            <v>20673</v>
          </cell>
          <cell r="D2337" t="str">
            <v>adult</v>
          </cell>
          <cell r="E2337" t="str">
            <v>B</v>
          </cell>
          <cell r="F2337" t="str">
            <v>MENTAL HEALTH PSYCHIATRIST</v>
          </cell>
          <cell r="G2337" t="str">
            <v>4735A</v>
          </cell>
          <cell r="H2337">
            <v>12844</v>
          </cell>
          <cell r="I2337">
            <v>1</v>
          </cell>
          <cell r="J2337">
            <v>12</v>
          </cell>
          <cell r="K2337">
            <v>1</v>
          </cell>
          <cell r="L2337">
            <v>154128</v>
          </cell>
        </row>
        <row r="2338">
          <cell r="A2338">
            <v>102161</v>
          </cell>
          <cell r="B2338">
            <v>20673</v>
          </cell>
          <cell r="C2338">
            <v>20673</v>
          </cell>
          <cell r="D2338" t="str">
            <v>adult</v>
          </cell>
          <cell r="E2338" t="str">
            <v>B</v>
          </cell>
          <cell r="F2338" t="str">
            <v>MENTAL HEALTH SERVICES COORD II</v>
          </cell>
          <cell r="G2338" t="str">
            <v>8149A</v>
          </cell>
          <cell r="H2338">
            <v>5152.3599999999997</v>
          </cell>
          <cell r="I2338">
            <v>1</v>
          </cell>
          <cell r="J2338">
            <v>12</v>
          </cell>
          <cell r="K2338">
            <v>1</v>
          </cell>
          <cell r="L2338">
            <v>61828.72</v>
          </cell>
        </row>
        <row r="2339">
          <cell r="A2339">
            <v>102887</v>
          </cell>
          <cell r="B2339">
            <v>20673</v>
          </cell>
          <cell r="C2339">
            <v>20673</v>
          </cell>
          <cell r="D2339" t="str">
            <v>adult</v>
          </cell>
          <cell r="E2339" t="str">
            <v>B</v>
          </cell>
          <cell r="F2339" t="str">
            <v>NURSING ASSISTANT, SHERIFF</v>
          </cell>
          <cell r="G2339" t="str">
            <v>5107N</v>
          </cell>
          <cell r="H2339">
            <v>3573</v>
          </cell>
          <cell r="I2339">
            <v>1</v>
          </cell>
          <cell r="J2339">
            <v>12</v>
          </cell>
          <cell r="K2339">
            <v>1</v>
          </cell>
          <cell r="L2339">
            <v>42876</v>
          </cell>
        </row>
        <row r="2340">
          <cell r="A2340">
            <v>102888</v>
          </cell>
          <cell r="B2340">
            <v>20673</v>
          </cell>
          <cell r="C2340">
            <v>20673</v>
          </cell>
          <cell r="D2340" t="str">
            <v>adult</v>
          </cell>
          <cell r="E2340" t="str">
            <v>B</v>
          </cell>
          <cell r="F2340" t="str">
            <v>NURSING ASSISTANT, SHERIFF</v>
          </cell>
          <cell r="G2340" t="str">
            <v>5107N</v>
          </cell>
          <cell r="H2340">
            <v>3573</v>
          </cell>
          <cell r="I2340">
            <v>1</v>
          </cell>
          <cell r="J2340">
            <v>12</v>
          </cell>
          <cell r="K2340">
            <v>1</v>
          </cell>
          <cell r="L2340">
            <v>42876</v>
          </cell>
        </row>
        <row r="2341">
          <cell r="A2341">
            <v>102889</v>
          </cell>
          <cell r="B2341">
            <v>20673</v>
          </cell>
          <cell r="C2341">
            <v>20673</v>
          </cell>
          <cell r="D2341" t="str">
            <v>adult</v>
          </cell>
          <cell r="E2341" t="str">
            <v>B</v>
          </cell>
          <cell r="F2341" t="str">
            <v>NURSING ASSISTANT, SHERIFF</v>
          </cell>
          <cell r="G2341" t="str">
            <v>5107N</v>
          </cell>
          <cell r="H2341">
            <v>3573</v>
          </cell>
          <cell r="I2341">
            <v>1</v>
          </cell>
          <cell r="J2341">
            <v>12</v>
          </cell>
          <cell r="K2341">
            <v>1</v>
          </cell>
          <cell r="L2341">
            <v>42876</v>
          </cell>
        </row>
        <row r="2342">
          <cell r="A2342">
            <v>104483</v>
          </cell>
          <cell r="B2342">
            <v>20673</v>
          </cell>
          <cell r="C2342">
            <v>20673</v>
          </cell>
          <cell r="D2342" t="str">
            <v>adult</v>
          </cell>
          <cell r="E2342" t="str">
            <v>B</v>
          </cell>
          <cell r="F2342" t="str">
            <v>NURSING ASSISTANT, SHERIFF</v>
          </cell>
          <cell r="G2342" t="str">
            <v>5107A</v>
          </cell>
          <cell r="H2342">
            <v>3573</v>
          </cell>
          <cell r="I2342">
            <v>1</v>
          </cell>
          <cell r="J2342">
            <v>12</v>
          </cell>
          <cell r="K2342">
            <v>1</v>
          </cell>
          <cell r="L2342">
            <v>42876</v>
          </cell>
        </row>
        <row r="2343">
          <cell r="A2343">
            <v>104492</v>
          </cell>
          <cell r="B2343">
            <v>20676</v>
          </cell>
          <cell r="C2343">
            <v>20673</v>
          </cell>
          <cell r="D2343" t="str">
            <v>adult</v>
          </cell>
          <cell r="E2343" t="str">
            <v>B</v>
          </cell>
          <cell r="F2343" t="str">
            <v>NURSING ASSISTANT, SHERIFF</v>
          </cell>
          <cell r="G2343" t="str">
            <v>5107A</v>
          </cell>
          <cell r="H2343">
            <v>3573</v>
          </cell>
          <cell r="I2343">
            <v>1</v>
          </cell>
          <cell r="J2343">
            <v>12</v>
          </cell>
          <cell r="K2343">
            <v>1</v>
          </cell>
          <cell r="L2343">
            <v>42876</v>
          </cell>
        </row>
        <row r="2344">
          <cell r="A2344">
            <v>100883</v>
          </cell>
          <cell r="B2344">
            <v>20673</v>
          </cell>
          <cell r="C2344">
            <v>20673</v>
          </cell>
          <cell r="D2344" t="str">
            <v>adult</v>
          </cell>
          <cell r="E2344" t="str">
            <v>B</v>
          </cell>
          <cell r="F2344" t="str">
            <v xml:space="preserve">NURSING CARE SPECIALIST II       </v>
          </cell>
          <cell r="G2344" t="str">
            <v>5353A</v>
          </cell>
          <cell r="H2344">
            <v>6213.82</v>
          </cell>
          <cell r="I2344">
            <v>1</v>
          </cell>
          <cell r="J2344">
            <v>12</v>
          </cell>
          <cell r="K2344">
            <v>1</v>
          </cell>
          <cell r="L2344">
            <v>76048.84</v>
          </cell>
        </row>
        <row r="2345">
          <cell r="A2345">
            <v>101214</v>
          </cell>
          <cell r="B2345">
            <v>20673</v>
          </cell>
          <cell r="C2345">
            <v>20673</v>
          </cell>
          <cell r="D2345" t="str">
            <v>adult</v>
          </cell>
          <cell r="E2345" t="str">
            <v>B</v>
          </cell>
          <cell r="F2345" t="str">
            <v>PSYCHIATRIC SOCIAL WORKER II</v>
          </cell>
          <cell r="G2345" t="str">
            <v>9035A</v>
          </cell>
          <cell r="H2345">
            <v>5425.82</v>
          </cell>
          <cell r="I2345">
            <v>1</v>
          </cell>
          <cell r="J2345">
            <v>12</v>
          </cell>
          <cell r="K2345">
            <v>1</v>
          </cell>
          <cell r="L2345">
            <v>65109.84</v>
          </cell>
        </row>
        <row r="2346">
          <cell r="A2346">
            <v>103392</v>
          </cell>
          <cell r="B2346">
            <v>20673</v>
          </cell>
          <cell r="C2346">
            <v>20673</v>
          </cell>
          <cell r="D2346" t="str">
            <v>adult</v>
          </cell>
          <cell r="E2346" t="str">
            <v>B</v>
          </cell>
          <cell r="F2346" t="str">
            <v>PSYCHIATRIC SOCIAL WORKER II</v>
          </cell>
          <cell r="G2346" t="str">
            <v>9035A</v>
          </cell>
          <cell r="H2346">
            <v>5425.82</v>
          </cell>
          <cell r="I2346">
            <v>1</v>
          </cell>
          <cell r="J2346">
            <v>12</v>
          </cell>
          <cell r="K2346">
            <v>1</v>
          </cell>
          <cell r="L2346">
            <v>65109.84</v>
          </cell>
        </row>
        <row r="2347">
          <cell r="A2347">
            <v>103393</v>
          </cell>
          <cell r="B2347">
            <v>20673</v>
          </cell>
          <cell r="C2347">
            <v>20673</v>
          </cell>
          <cell r="D2347" t="str">
            <v>adult</v>
          </cell>
          <cell r="E2347" t="str">
            <v>B</v>
          </cell>
          <cell r="F2347" t="str">
            <v>PSYCHIATRIC SOCIAL WORKER II</v>
          </cell>
          <cell r="G2347" t="str">
            <v>9035A</v>
          </cell>
          <cell r="H2347">
            <v>5425.82</v>
          </cell>
          <cell r="I2347">
            <v>1</v>
          </cell>
          <cell r="J2347">
            <v>12</v>
          </cell>
          <cell r="K2347">
            <v>1</v>
          </cell>
          <cell r="L2347">
            <v>65109.84</v>
          </cell>
        </row>
        <row r="2348">
          <cell r="A2348">
            <v>103086</v>
          </cell>
          <cell r="B2348">
            <v>20673</v>
          </cell>
          <cell r="C2348">
            <v>20673</v>
          </cell>
          <cell r="D2348" t="str">
            <v>adult</v>
          </cell>
          <cell r="E2348" t="str">
            <v>B</v>
          </cell>
          <cell r="F2348" t="str">
            <v>PSYCHIATRIC TECHNICIAN III</v>
          </cell>
          <cell r="G2348" t="str">
            <v>8163A</v>
          </cell>
          <cell r="H2348">
            <v>3705.73</v>
          </cell>
          <cell r="I2348">
            <v>1</v>
          </cell>
          <cell r="J2348">
            <v>12</v>
          </cell>
          <cell r="K2348">
            <v>1</v>
          </cell>
          <cell r="L2348">
            <v>44468.76</v>
          </cell>
        </row>
        <row r="2349">
          <cell r="A2349">
            <v>103396</v>
          </cell>
          <cell r="B2349">
            <v>20673</v>
          </cell>
          <cell r="C2349">
            <v>20673</v>
          </cell>
          <cell r="D2349" t="str">
            <v>adult</v>
          </cell>
          <cell r="E2349" t="str">
            <v>B</v>
          </cell>
          <cell r="F2349" t="str">
            <v xml:space="preserve">RECREATION THERAPIST I             </v>
          </cell>
          <cell r="G2349" t="str">
            <v>5871A</v>
          </cell>
          <cell r="H2349">
            <v>4187.82</v>
          </cell>
          <cell r="I2349">
            <v>1</v>
          </cell>
          <cell r="J2349">
            <v>12</v>
          </cell>
          <cell r="K2349">
            <v>1</v>
          </cell>
          <cell r="L2349">
            <v>50253.84</v>
          </cell>
        </row>
        <row r="2350">
          <cell r="A2350">
            <v>103371</v>
          </cell>
          <cell r="B2350">
            <v>20672</v>
          </cell>
          <cell r="C2350">
            <v>20673</v>
          </cell>
          <cell r="D2350" t="str">
            <v>adult</v>
          </cell>
          <cell r="E2350" t="str">
            <v>B</v>
          </cell>
          <cell r="F2350" t="str">
            <v>RECREATION THERAPIST II</v>
          </cell>
          <cell r="G2350" t="str">
            <v>5872A</v>
          </cell>
          <cell r="H2350">
            <v>4667.6400000000003</v>
          </cell>
          <cell r="I2350">
            <v>1</v>
          </cell>
          <cell r="J2350">
            <v>12</v>
          </cell>
          <cell r="K2350">
            <v>1</v>
          </cell>
          <cell r="L2350">
            <v>56011.68</v>
          </cell>
        </row>
        <row r="2351">
          <cell r="A2351">
            <v>103395</v>
          </cell>
          <cell r="B2351">
            <v>20673</v>
          </cell>
          <cell r="C2351">
            <v>20673</v>
          </cell>
          <cell r="D2351" t="str">
            <v>adult</v>
          </cell>
          <cell r="E2351" t="str">
            <v>B</v>
          </cell>
          <cell r="F2351" t="str">
            <v>RECREATION THERAPIST II</v>
          </cell>
          <cell r="G2351" t="str">
            <v>5872A</v>
          </cell>
          <cell r="H2351">
            <v>4667.6400000000003</v>
          </cell>
          <cell r="I2351">
            <v>1</v>
          </cell>
          <cell r="J2351">
            <v>12</v>
          </cell>
          <cell r="K2351">
            <v>1</v>
          </cell>
          <cell r="L2351">
            <v>56011.68</v>
          </cell>
        </row>
        <row r="2352">
          <cell r="A2352">
            <v>103605</v>
          </cell>
          <cell r="B2352">
            <v>20672</v>
          </cell>
          <cell r="C2352">
            <v>20673</v>
          </cell>
          <cell r="D2352" t="str">
            <v>adult</v>
          </cell>
          <cell r="E2352" t="str">
            <v>B</v>
          </cell>
          <cell r="F2352" t="str">
            <v xml:space="preserve">SENIOR TYPIST-CLERK                </v>
          </cell>
          <cell r="G2352" t="str">
            <v>2216A</v>
          </cell>
          <cell r="H2352">
            <v>3013.55</v>
          </cell>
          <cell r="I2352">
            <v>1</v>
          </cell>
          <cell r="J2352">
            <v>12</v>
          </cell>
          <cell r="K2352">
            <v>1</v>
          </cell>
          <cell r="L2352">
            <v>36162.6</v>
          </cell>
        </row>
        <row r="2353">
          <cell r="A2353">
            <v>103609</v>
          </cell>
          <cell r="B2353">
            <v>20673</v>
          </cell>
          <cell r="C2353">
            <v>20673</v>
          </cell>
          <cell r="D2353" t="str">
            <v>adult</v>
          </cell>
          <cell r="E2353" t="str">
            <v>B</v>
          </cell>
          <cell r="F2353" t="str">
            <v xml:space="preserve">SENIOR TYPIST-CLERK                </v>
          </cell>
          <cell r="G2353" t="str">
            <v>2216A</v>
          </cell>
          <cell r="H2353">
            <v>3013.55</v>
          </cell>
          <cell r="I2353">
            <v>1</v>
          </cell>
          <cell r="J2353">
            <v>12</v>
          </cell>
          <cell r="K2353">
            <v>1</v>
          </cell>
          <cell r="L2353">
            <v>36162.6</v>
          </cell>
        </row>
        <row r="2354">
          <cell r="A2354">
            <v>103610</v>
          </cell>
          <cell r="B2354">
            <v>20673</v>
          </cell>
          <cell r="C2354">
            <v>20673</v>
          </cell>
          <cell r="D2354" t="str">
            <v>adult</v>
          </cell>
          <cell r="E2354" t="str">
            <v>B</v>
          </cell>
          <cell r="F2354" t="str">
            <v xml:space="preserve">SENIOR TYPIST-CLERK                </v>
          </cell>
          <cell r="G2354" t="str">
            <v>2216A</v>
          </cell>
          <cell r="H2354">
            <v>3013.55</v>
          </cell>
          <cell r="I2354">
            <v>1</v>
          </cell>
          <cell r="J2354">
            <v>12</v>
          </cell>
          <cell r="K2354">
            <v>1</v>
          </cell>
          <cell r="L2354">
            <v>36162.6</v>
          </cell>
        </row>
        <row r="2355">
          <cell r="A2355">
            <v>102896</v>
          </cell>
          <cell r="B2355">
            <v>20676</v>
          </cell>
          <cell r="C2355">
            <v>20673</v>
          </cell>
          <cell r="D2355" t="str">
            <v>adult</v>
          </cell>
          <cell r="E2355" t="str">
            <v>B</v>
          </cell>
          <cell r="F2355" t="str">
            <v xml:space="preserve">SR COMMUN MENTAL HLTH PSYCHOLOGIST </v>
          </cell>
          <cell r="G2355" t="str">
            <v>8712A</v>
          </cell>
          <cell r="H2355">
            <v>7311.45</v>
          </cell>
          <cell r="I2355">
            <v>1</v>
          </cell>
          <cell r="J2355">
            <v>12</v>
          </cell>
          <cell r="K2355">
            <v>1</v>
          </cell>
          <cell r="L2355">
            <v>87737.16</v>
          </cell>
        </row>
        <row r="2356">
          <cell r="A2356">
            <v>103398</v>
          </cell>
          <cell r="B2356">
            <v>20673</v>
          </cell>
          <cell r="C2356">
            <v>20673</v>
          </cell>
          <cell r="D2356" t="str">
            <v>adult</v>
          </cell>
          <cell r="E2356" t="str">
            <v>B</v>
          </cell>
          <cell r="F2356" t="str">
            <v xml:space="preserve">STAFF ASSISTANT II                 </v>
          </cell>
          <cell r="G2356" t="str">
            <v>0913A</v>
          </cell>
          <cell r="H2356">
            <v>4167.45</v>
          </cell>
          <cell r="I2356">
            <v>1</v>
          </cell>
          <cell r="J2356">
            <v>12</v>
          </cell>
          <cell r="K2356">
            <v>1</v>
          </cell>
          <cell r="L2356">
            <v>50009.24</v>
          </cell>
        </row>
        <row r="2357">
          <cell r="A2357">
            <v>101526</v>
          </cell>
          <cell r="B2357">
            <v>20673</v>
          </cell>
          <cell r="C2357">
            <v>20673</v>
          </cell>
          <cell r="D2357" t="str">
            <v>adult</v>
          </cell>
          <cell r="E2357" t="str">
            <v>B</v>
          </cell>
          <cell r="F2357" t="str">
            <v>STAFF NURSE,SHERIFF</v>
          </cell>
          <cell r="G2357" t="str">
            <v>5336A</v>
          </cell>
          <cell r="H2357">
            <v>5657</v>
          </cell>
          <cell r="I2357">
            <v>1</v>
          </cell>
          <cell r="J2357">
            <v>12</v>
          </cell>
          <cell r="K2357">
            <v>1</v>
          </cell>
          <cell r="L2357">
            <v>69245.380952380947</v>
          </cell>
        </row>
        <row r="2358">
          <cell r="A2358">
            <v>101528</v>
          </cell>
          <cell r="B2358">
            <v>20673</v>
          </cell>
          <cell r="C2358">
            <v>20673</v>
          </cell>
          <cell r="D2358" t="str">
            <v>adult</v>
          </cell>
          <cell r="E2358" t="str">
            <v>B</v>
          </cell>
          <cell r="F2358" t="str">
            <v>STAFF NURSE,SHERIFF</v>
          </cell>
          <cell r="G2358" t="str">
            <v>5336A</v>
          </cell>
          <cell r="H2358">
            <v>5657</v>
          </cell>
          <cell r="I2358">
            <v>1</v>
          </cell>
          <cell r="J2358">
            <v>12</v>
          </cell>
          <cell r="K2358">
            <v>1</v>
          </cell>
          <cell r="L2358">
            <v>69245.380952380947</v>
          </cell>
        </row>
        <row r="2359">
          <cell r="A2359">
            <v>101529</v>
          </cell>
          <cell r="B2359">
            <v>20673</v>
          </cell>
          <cell r="C2359">
            <v>20673</v>
          </cell>
          <cell r="D2359" t="str">
            <v>adult</v>
          </cell>
          <cell r="E2359" t="str">
            <v>B</v>
          </cell>
          <cell r="F2359" t="str">
            <v>STAFF NURSE,SHERIFF</v>
          </cell>
          <cell r="G2359" t="str">
            <v>5336A</v>
          </cell>
          <cell r="H2359">
            <v>5657</v>
          </cell>
          <cell r="I2359">
            <v>1</v>
          </cell>
          <cell r="J2359">
            <v>12</v>
          </cell>
          <cell r="K2359">
            <v>1</v>
          </cell>
          <cell r="L2359">
            <v>69245.380952380947</v>
          </cell>
        </row>
        <row r="2360">
          <cell r="A2360">
            <v>101530</v>
          </cell>
          <cell r="B2360">
            <v>20673</v>
          </cell>
          <cell r="C2360">
            <v>20673</v>
          </cell>
          <cell r="D2360" t="str">
            <v>adult</v>
          </cell>
          <cell r="E2360" t="str">
            <v>B</v>
          </cell>
          <cell r="F2360" t="str">
            <v>STAFF NURSE,SHERIFF</v>
          </cell>
          <cell r="G2360" t="str">
            <v>5336A</v>
          </cell>
          <cell r="H2360">
            <v>5657</v>
          </cell>
          <cell r="I2360">
            <v>1</v>
          </cell>
          <cell r="J2360">
            <v>12</v>
          </cell>
          <cell r="K2360">
            <v>1</v>
          </cell>
          <cell r="L2360">
            <v>69245.380952380947</v>
          </cell>
        </row>
        <row r="2361">
          <cell r="A2361">
            <v>101531</v>
          </cell>
          <cell r="B2361">
            <v>20673</v>
          </cell>
          <cell r="C2361">
            <v>20673</v>
          </cell>
          <cell r="D2361" t="str">
            <v>adult</v>
          </cell>
          <cell r="E2361" t="str">
            <v>B</v>
          </cell>
          <cell r="F2361" t="str">
            <v>STAFF NURSE,SHERIFF</v>
          </cell>
          <cell r="G2361" t="str">
            <v>5336A</v>
          </cell>
          <cell r="H2361">
            <v>5657</v>
          </cell>
          <cell r="I2361">
            <v>1</v>
          </cell>
          <cell r="J2361">
            <v>12</v>
          </cell>
          <cell r="K2361">
            <v>1</v>
          </cell>
          <cell r="L2361">
            <v>69245.380952380947</v>
          </cell>
        </row>
        <row r="2362">
          <cell r="A2362">
            <v>102897</v>
          </cell>
          <cell r="B2362">
            <v>20673</v>
          </cell>
          <cell r="C2362">
            <v>20673</v>
          </cell>
          <cell r="D2362" t="str">
            <v>adult</v>
          </cell>
          <cell r="E2362" t="str">
            <v>B</v>
          </cell>
          <cell r="F2362" t="str">
            <v>STAFF NURSE,SHERIFF</v>
          </cell>
          <cell r="G2362" t="str">
            <v>5336N</v>
          </cell>
          <cell r="H2362">
            <v>5657</v>
          </cell>
          <cell r="I2362">
            <v>1</v>
          </cell>
          <cell r="J2362">
            <v>12</v>
          </cell>
          <cell r="K2362">
            <v>1</v>
          </cell>
          <cell r="L2362">
            <v>69245.380952380947</v>
          </cell>
        </row>
        <row r="2363">
          <cell r="A2363">
            <v>102898</v>
          </cell>
          <cell r="B2363">
            <v>20673</v>
          </cell>
          <cell r="C2363">
            <v>20673</v>
          </cell>
          <cell r="D2363" t="str">
            <v>adult</v>
          </cell>
          <cell r="E2363" t="str">
            <v>B</v>
          </cell>
          <cell r="F2363" t="str">
            <v>STAFF NURSE,SHERIFF</v>
          </cell>
          <cell r="G2363" t="str">
            <v>5336N</v>
          </cell>
          <cell r="H2363">
            <v>5657</v>
          </cell>
          <cell r="I2363">
            <v>1</v>
          </cell>
          <cell r="J2363">
            <v>12</v>
          </cell>
          <cell r="K2363">
            <v>1</v>
          </cell>
          <cell r="L2363">
            <v>69245.380952380947</v>
          </cell>
        </row>
        <row r="2364">
          <cell r="A2364">
            <v>102900</v>
          </cell>
          <cell r="B2364">
            <v>20673</v>
          </cell>
          <cell r="C2364">
            <v>20673</v>
          </cell>
          <cell r="D2364" t="str">
            <v>adult</v>
          </cell>
          <cell r="E2364" t="str">
            <v>B</v>
          </cell>
          <cell r="F2364" t="str">
            <v>STAFF NURSE,SHERIFF</v>
          </cell>
          <cell r="G2364" t="str">
            <v>5336N</v>
          </cell>
          <cell r="H2364">
            <v>5657</v>
          </cell>
          <cell r="I2364">
            <v>1</v>
          </cell>
          <cell r="J2364">
            <v>12</v>
          </cell>
          <cell r="K2364">
            <v>1</v>
          </cell>
          <cell r="L2364">
            <v>69245.380952380947</v>
          </cell>
        </row>
        <row r="2365">
          <cell r="A2365">
            <v>102901</v>
          </cell>
          <cell r="B2365">
            <v>20672</v>
          </cell>
          <cell r="C2365">
            <v>20673</v>
          </cell>
          <cell r="D2365" t="str">
            <v>adult</v>
          </cell>
          <cell r="E2365" t="str">
            <v>B</v>
          </cell>
          <cell r="F2365" t="str">
            <v>STAFF NURSE,SHERIFF</v>
          </cell>
          <cell r="G2365" t="str">
            <v>5336N</v>
          </cell>
          <cell r="H2365">
            <v>5657</v>
          </cell>
          <cell r="I2365">
            <v>1</v>
          </cell>
          <cell r="J2365">
            <v>12</v>
          </cell>
          <cell r="K2365">
            <v>1</v>
          </cell>
          <cell r="L2365">
            <v>69245.380952380947</v>
          </cell>
        </row>
        <row r="2366">
          <cell r="A2366">
            <v>103399</v>
          </cell>
          <cell r="B2366">
            <v>20673</v>
          </cell>
          <cell r="C2366">
            <v>20673</v>
          </cell>
          <cell r="D2366" t="str">
            <v>adult</v>
          </cell>
          <cell r="E2366" t="str">
            <v>B</v>
          </cell>
          <cell r="F2366" t="str">
            <v>STAFF NURSE,SHERIFF</v>
          </cell>
          <cell r="G2366" t="str">
            <v>5336A</v>
          </cell>
          <cell r="H2366">
            <v>5657</v>
          </cell>
          <cell r="I2366">
            <v>1</v>
          </cell>
          <cell r="J2366">
            <v>12</v>
          </cell>
          <cell r="K2366">
            <v>1</v>
          </cell>
          <cell r="L2366">
            <v>69245.380952380947</v>
          </cell>
        </row>
        <row r="2367">
          <cell r="A2367">
            <v>103401</v>
          </cell>
          <cell r="B2367">
            <v>20673</v>
          </cell>
          <cell r="C2367">
            <v>20673</v>
          </cell>
          <cell r="D2367" t="str">
            <v>adult</v>
          </cell>
          <cell r="E2367" t="str">
            <v>B</v>
          </cell>
          <cell r="F2367" t="str">
            <v>STAFF NURSE,SHERIFF</v>
          </cell>
          <cell r="G2367" t="str">
            <v>5336A</v>
          </cell>
          <cell r="H2367">
            <v>5657</v>
          </cell>
          <cell r="I2367">
            <v>1</v>
          </cell>
          <cell r="J2367">
            <v>12</v>
          </cell>
          <cell r="K2367">
            <v>1</v>
          </cell>
          <cell r="L2367">
            <v>69245.380952380947</v>
          </cell>
        </row>
        <row r="2368">
          <cell r="A2368">
            <v>103402</v>
          </cell>
          <cell r="B2368">
            <v>20673</v>
          </cell>
          <cell r="C2368">
            <v>20673</v>
          </cell>
          <cell r="D2368" t="str">
            <v>adult</v>
          </cell>
          <cell r="E2368" t="str">
            <v>B</v>
          </cell>
          <cell r="F2368" t="str">
            <v>STAFF NURSE,SHERIFF</v>
          </cell>
          <cell r="G2368" t="str">
            <v>5336A</v>
          </cell>
          <cell r="H2368">
            <v>5657</v>
          </cell>
          <cell r="I2368">
            <v>1</v>
          </cell>
          <cell r="J2368">
            <v>12</v>
          </cell>
          <cell r="K2368">
            <v>1</v>
          </cell>
          <cell r="L2368">
            <v>69245.380952380947</v>
          </cell>
        </row>
        <row r="2369">
          <cell r="A2369">
            <v>103403</v>
          </cell>
          <cell r="B2369">
            <v>20673</v>
          </cell>
          <cell r="C2369">
            <v>20673</v>
          </cell>
          <cell r="D2369" t="str">
            <v>adult</v>
          </cell>
          <cell r="E2369" t="str">
            <v>B</v>
          </cell>
          <cell r="F2369" t="str">
            <v>STAFF NURSE,SHERIFF</v>
          </cell>
          <cell r="G2369" t="str">
            <v>5336A</v>
          </cell>
          <cell r="H2369">
            <v>5657</v>
          </cell>
          <cell r="I2369">
            <v>1</v>
          </cell>
          <cell r="J2369">
            <v>12</v>
          </cell>
          <cell r="K2369">
            <v>1</v>
          </cell>
          <cell r="L2369">
            <v>69245.380952380947</v>
          </cell>
        </row>
        <row r="2370">
          <cell r="A2370">
            <v>103404</v>
          </cell>
          <cell r="B2370">
            <v>20673</v>
          </cell>
          <cell r="C2370">
            <v>20673</v>
          </cell>
          <cell r="D2370" t="str">
            <v>adult</v>
          </cell>
          <cell r="E2370" t="str">
            <v>B</v>
          </cell>
          <cell r="F2370" t="str">
            <v>STAFF NURSE,SHERIFF</v>
          </cell>
          <cell r="G2370" t="str">
            <v>5336A</v>
          </cell>
          <cell r="H2370">
            <v>5657</v>
          </cell>
          <cell r="I2370">
            <v>1</v>
          </cell>
          <cell r="J2370">
            <v>12</v>
          </cell>
          <cell r="K2370">
            <v>1</v>
          </cell>
          <cell r="L2370">
            <v>69245.380952380947</v>
          </cell>
        </row>
        <row r="2371">
          <cell r="A2371">
            <v>103405</v>
          </cell>
          <cell r="B2371">
            <v>20673</v>
          </cell>
          <cell r="C2371">
            <v>20673</v>
          </cell>
          <cell r="D2371" t="str">
            <v>adult</v>
          </cell>
          <cell r="E2371" t="str">
            <v>B</v>
          </cell>
          <cell r="F2371" t="str">
            <v>STAFF NURSE,SHERIFF</v>
          </cell>
          <cell r="G2371" t="str">
            <v>5336A</v>
          </cell>
          <cell r="H2371">
            <v>5657</v>
          </cell>
          <cell r="I2371">
            <v>1</v>
          </cell>
          <cell r="J2371">
            <v>12</v>
          </cell>
          <cell r="K2371">
            <v>1</v>
          </cell>
          <cell r="L2371">
            <v>69245.380952380947</v>
          </cell>
        </row>
        <row r="2372">
          <cell r="A2372">
            <v>103406</v>
          </cell>
          <cell r="B2372">
            <v>20673</v>
          </cell>
          <cell r="C2372">
            <v>20673</v>
          </cell>
          <cell r="D2372" t="str">
            <v>adult</v>
          </cell>
          <cell r="E2372" t="str">
            <v>B</v>
          </cell>
          <cell r="F2372" t="str">
            <v>STAFF NURSE,SHERIFF</v>
          </cell>
          <cell r="G2372" t="str">
            <v>5336A</v>
          </cell>
          <cell r="H2372">
            <v>5657</v>
          </cell>
          <cell r="I2372">
            <v>1</v>
          </cell>
          <cell r="J2372">
            <v>12</v>
          </cell>
          <cell r="K2372">
            <v>1</v>
          </cell>
          <cell r="L2372">
            <v>69245.380952380947</v>
          </cell>
        </row>
        <row r="2373">
          <cell r="A2373">
            <v>103407</v>
          </cell>
          <cell r="B2373">
            <v>20673</v>
          </cell>
          <cell r="C2373">
            <v>20673</v>
          </cell>
          <cell r="D2373" t="str">
            <v>adult</v>
          </cell>
          <cell r="E2373" t="str">
            <v>B</v>
          </cell>
          <cell r="F2373" t="str">
            <v>STAFF NURSE,SHERIFF</v>
          </cell>
          <cell r="G2373" t="str">
            <v>5336A</v>
          </cell>
          <cell r="H2373">
            <v>5657</v>
          </cell>
          <cell r="I2373">
            <v>1</v>
          </cell>
          <cell r="J2373">
            <v>12</v>
          </cell>
          <cell r="K2373">
            <v>1</v>
          </cell>
          <cell r="L2373">
            <v>69245.380952380947</v>
          </cell>
        </row>
        <row r="2374">
          <cell r="A2374">
            <v>103408</v>
          </cell>
          <cell r="B2374">
            <v>20673</v>
          </cell>
          <cell r="C2374">
            <v>20673</v>
          </cell>
          <cell r="D2374" t="str">
            <v>adult</v>
          </cell>
          <cell r="E2374" t="str">
            <v>B</v>
          </cell>
          <cell r="F2374" t="str">
            <v>STAFF NURSE,SHERIFF</v>
          </cell>
          <cell r="G2374" t="str">
            <v>5336A</v>
          </cell>
          <cell r="H2374">
            <v>5657</v>
          </cell>
          <cell r="I2374">
            <v>1</v>
          </cell>
          <cell r="J2374">
            <v>12</v>
          </cell>
          <cell r="K2374">
            <v>1</v>
          </cell>
          <cell r="L2374">
            <v>69245.380952380947</v>
          </cell>
        </row>
        <row r="2375">
          <cell r="A2375">
            <v>104572</v>
          </cell>
          <cell r="B2375">
            <v>20672</v>
          </cell>
          <cell r="C2375">
            <v>20673</v>
          </cell>
          <cell r="D2375" t="str">
            <v>adult</v>
          </cell>
          <cell r="E2375" t="str">
            <v>B</v>
          </cell>
          <cell r="F2375" t="str">
            <v>STAFF NURSE,SHERIFF</v>
          </cell>
          <cell r="G2375" t="str">
            <v>5336A</v>
          </cell>
          <cell r="H2375">
            <v>5657</v>
          </cell>
          <cell r="I2375">
            <v>1</v>
          </cell>
          <cell r="J2375">
            <v>12</v>
          </cell>
          <cell r="K2375">
            <v>1</v>
          </cell>
          <cell r="L2375">
            <v>69245.380952380947</v>
          </cell>
        </row>
        <row r="2376">
          <cell r="A2376">
            <v>101609</v>
          </cell>
          <cell r="B2376">
            <v>20673</v>
          </cell>
          <cell r="C2376">
            <v>20673</v>
          </cell>
          <cell r="D2376" t="str">
            <v>adult</v>
          </cell>
          <cell r="E2376" t="str">
            <v>B</v>
          </cell>
          <cell r="F2376" t="str">
            <v xml:space="preserve">SUPERVISING STAFF NURSE I,SHERIFF  </v>
          </cell>
          <cell r="G2376" t="str">
            <v>5340A</v>
          </cell>
          <cell r="H2376">
            <v>6353.18</v>
          </cell>
          <cell r="I2376">
            <v>1</v>
          </cell>
          <cell r="J2376">
            <v>12</v>
          </cell>
          <cell r="K2376">
            <v>1</v>
          </cell>
          <cell r="L2376">
            <v>77747.960000000006</v>
          </cell>
        </row>
        <row r="2377">
          <cell r="A2377">
            <v>101611</v>
          </cell>
          <cell r="B2377">
            <v>20673</v>
          </cell>
          <cell r="C2377">
            <v>20673</v>
          </cell>
          <cell r="D2377" t="str">
            <v>adult</v>
          </cell>
          <cell r="E2377" t="str">
            <v>B</v>
          </cell>
          <cell r="F2377" t="str">
            <v xml:space="preserve">SUPERVISING STAFF NURSE I,SHERIFF  </v>
          </cell>
          <cell r="G2377" t="str">
            <v>5340A</v>
          </cell>
          <cell r="H2377">
            <v>6353.18</v>
          </cell>
          <cell r="I2377">
            <v>1</v>
          </cell>
          <cell r="J2377">
            <v>12</v>
          </cell>
          <cell r="K2377">
            <v>1</v>
          </cell>
          <cell r="L2377">
            <v>77747.960000000006</v>
          </cell>
        </row>
        <row r="2378">
          <cell r="A2378">
            <v>102165</v>
          </cell>
          <cell r="B2378">
            <v>20673</v>
          </cell>
          <cell r="C2378">
            <v>20673</v>
          </cell>
          <cell r="D2378" t="str">
            <v>adult</v>
          </cell>
          <cell r="E2378" t="str">
            <v>B</v>
          </cell>
          <cell r="F2378" t="str">
            <v xml:space="preserve">SUPERVISING STAFF NURSE I,SHERIFF  </v>
          </cell>
          <cell r="G2378" t="str">
            <v>5340A</v>
          </cell>
          <cell r="H2378">
            <v>6353.18</v>
          </cell>
          <cell r="I2378">
            <v>1</v>
          </cell>
          <cell r="J2378">
            <v>12</v>
          </cell>
          <cell r="K2378">
            <v>1</v>
          </cell>
          <cell r="L2378">
            <v>77747.960000000006</v>
          </cell>
        </row>
        <row r="2379">
          <cell r="A2379">
            <v>102894</v>
          </cell>
          <cell r="B2379">
            <v>20673</v>
          </cell>
          <cell r="C2379">
            <v>20673</v>
          </cell>
          <cell r="D2379" t="str">
            <v>adult</v>
          </cell>
          <cell r="E2379" t="str">
            <v>B</v>
          </cell>
          <cell r="F2379" t="str">
            <v xml:space="preserve">SUPERVISING STAFF NURSE I,SHERIFF  </v>
          </cell>
          <cell r="G2379" t="str">
            <v>5340N</v>
          </cell>
          <cell r="H2379">
            <v>6353.18</v>
          </cell>
          <cell r="I2379">
            <v>1</v>
          </cell>
          <cell r="J2379">
            <v>12</v>
          </cell>
          <cell r="K2379">
            <v>1</v>
          </cell>
          <cell r="L2379">
            <v>77748.160000000003</v>
          </cell>
        </row>
        <row r="2380">
          <cell r="A2380">
            <v>103397</v>
          </cell>
          <cell r="B2380">
            <v>20673</v>
          </cell>
          <cell r="C2380">
            <v>20673</v>
          </cell>
          <cell r="D2380" t="str">
            <v>adult</v>
          </cell>
          <cell r="E2380" t="str">
            <v>B</v>
          </cell>
          <cell r="F2380" t="str">
            <v xml:space="preserve">SUPERVISING STAFF NURSE I,SHERIFF  </v>
          </cell>
          <cell r="G2380" t="str">
            <v>5340A</v>
          </cell>
          <cell r="H2380">
            <v>6353.18</v>
          </cell>
          <cell r="I2380">
            <v>1</v>
          </cell>
          <cell r="J2380">
            <v>12</v>
          </cell>
          <cell r="K2380">
            <v>1</v>
          </cell>
          <cell r="L2380">
            <v>77747.960000000006</v>
          </cell>
        </row>
        <row r="2381">
          <cell r="A2381">
            <v>101612</v>
          </cell>
          <cell r="B2381">
            <v>20673</v>
          </cell>
          <cell r="C2381">
            <v>20673</v>
          </cell>
          <cell r="D2381" t="str">
            <v>adult</v>
          </cell>
          <cell r="E2381" t="str">
            <v>B</v>
          </cell>
          <cell r="F2381" t="str">
            <v xml:space="preserve">SUPERVISING STAFF NURSE II,SHERIFF </v>
          </cell>
          <cell r="G2381" t="str">
            <v>5341A</v>
          </cell>
          <cell r="H2381">
            <v>6959.64</v>
          </cell>
          <cell r="I2381">
            <v>1</v>
          </cell>
          <cell r="J2381">
            <v>12</v>
          </cell>
          <cell r="K2381">
            <v>1</v>
          </cell>
          <cell r="L2381">
            <v>85177.68</v>
          </cell>
        </row>
        <row r="2382">
          <cell r="A2382">
            <v>104544</v>
          </cell>
          <cell r="B2382">
            <v>20673</v>
          </cell>
          <cell r="C2382">
            <v>20673</v>
          </cell>
          <cell r="D2382" t="str">
            <v>adult</v>
          </cell>
          <cell r="E2382" t="str">
            <v>B</v>
          </cell>
          <cell r="F2382" t="str">
            <v xml:space="preserve">SUPVG MENTAL HEALTH PSYCHIATRIST   </v>
          </cell>
          <cell r="G2382" t="str">
            <v>4737A</v>
          </cell>
          <cell r="H2382">
            <v>13870</v>
          </cell>
          <cell r="I2382">
            <v>1</v>
          </cell>
          <cell r="J2382">
            <v>12</v>
          </cell>
          <cell r="K2382">
            <v>1</v>
          </cell>
          <cell r="L2382">
            <v>166440</v>
          </cell>
        </row>
        <row r="2383">
          <cell r="A2383">
            <v>104529</v>
          </cell>
          <cell r="B2383">
            <v>18700</v>
          </cell>
          <cell r="C2383">
            <v>18700</v>
          </cell>
          <cell r="D2383" t="str">
            <v>adult</v>
          </cell>
          <cell r="E2383" t="str">
            <v>B</v>
          </cell>
          <cell r="F2383" t="str">
            <v>INTERMEDIATE TYPIST-CLERK</v>
          </cell>
          <cell r="G2383" t="str">
            <v>2214A</v>
          </cell>
          <cell r="H2383">
            <v>2675.27</v>
          </cell>
          <cell r="I2383">
            <v>1</v>
          </cell>
          <cell r="J2383">
            <v>12</v>
          </cell>
          <cell r="K2383">
            <v>1</v>
          </cell>
          <cell r="L2383">
            <v>32103.16</v>
          </cell>
        </row>
        <row r="2384">
          <cell r="A2384">
            <v>106507</v>
          </cell>
          <cell r="B2384">
            <v>20499</v>
          </cell>
          <cell r="C2384">
            <v>18700</v>
          </cell>
          <cell r="D2384" t="str">
            <v>adult</v>
          </cell>
          <cell r="E2384" t="str">
            <v>B</v>
          </cell>
          <cell r="F2384" t="str">
            <v>INTERMEDIATE TYPIST-CLERK</v>
          </cell>
          <cell r="G2384" t="str">
            <v>2214A</v>
          </cell>
          <cell r="H2384">
            <v>2675.27</v>
          </cell>
          <cell r="I2384">
            <v>1</v>
          </cell>
          <cell r="J2384">
            <v>12</v>
          </cell>
          <cell r="K2384">
            <v>1</v>
          </cell>
          <cell r="L2384">
            <v>32103.16</v>
          </cell>
        </row>
        <row r="2385">
          <cell r="A2385">
            <v>109670</v>
          </cell>
          <cell r="B2385">
            <v>18700</v>
          </cell>
          <cell r="C2385">
            <v>18700</v>
          </cell>
          <cell r="D2385" t="str">
            <v>adult</v>
          </cell>
          <cell r="E2385" t="str">
            <v>B</v>
          </cell>
          <cell r="F2385" t="str">
            <v>INTERMEDIATE TYPIST-CLERK</v>
          </cell>
          <cell r="G2385" t="str">
            <v>2214A</v>
          </cell>
          <cell r="H2385">
            <v>2675.27</v>
          </cell>
          <cell r="I2385">
            <v>1</v>
          </cell>
          <cell r="J2385">
            <v>12</v>
          </cell>
          <cell r="K2385">
            <v>1</v>
          </cell>
          <cell r="L2385">
            <v>32103.24</v>
          </cell>
        </row>
        <row r="2386">
          <cell r="A2386">
            <v>109671</v>
          </cell>
          <cell r="B2386">
            <v>18700</v>
          </cell>
          <cell r="C2386">
            <v>18700</v>
          </cell>
          <cell r="D2386" t="str">
            <v>adult</v>
          </cell>
          <cell r="E2386" t="str">
            <v>B</v>
          </cell>
          <cell r="F2386" t="str">
            <v>INTERMEDIATE TYPIST-CLERK</v>
          </cell>
          <cell r="G2386" t="str">
            <v>2214A</v>
          </cell>
          <cell r="H2386">
            <v>2675.27</v>
          </cell>
          <cell r="I2386">
            <v>1</v>
          </cell>
          <cell r="J2386">
            <v>12</v>
          </cell>
          <cell r="K2386">
            <v>1</v>
          </cell>
          <cell r="L2386">
            <v>32103.24</v>
          </cell>
        </row>
        <row r="2387">
          <cell r="A2387">
            <v>104367</v>
          </cell>
          <cell r="B2387">
            <v>20670</v>
          </cell>
          <cell r="C2387">
            <v>18700</v>
          </cell>
          <cell r="D2387" t="str">
            <v>adult</v>
          </cell>
          <cell r="E2387" t="str">
            <v>B</v>
          </cell>
          <cell r="F2387" t="str">
            <v>MENTAL HEALTH CONSULTANT, MD</v>
          </cell>
          <cell r="G2387" t="str">
            <v>5467J</v>
          </cell>
          <cell r="H2387">
            <v>314</v>
          </cell>
          <cell r="I2387">
            <v>1</v>
          </cell>
          <cell r="J2387">
            <v>52</v>
          </cell>
          <cell r="K2387">
            <v>9.9616858237547887E-2</v>
          </cell>
          <cell r="L2387">
            <v>16328.04</v>
          </cell>
        </row>
        <row r="2388">
          <cell r="A2388">
            <v>103345</v>
          </cell>
          <cell r="B2388">
            <v>20672</v>
          </cell>
          <cell r="C2388">
            <v>18700</v>
          </cell>
          <cell r="D2388" t="str">
            <v>adult</v>
          </cell>
          <cell r="E2388" t="str">
            <v>B</v>
          </cell>
          <cell r="F2388" t="str">
            <v>MENTAL HEALTH COUNSELOR, RN</v>
          </cell>
          <cell r="G2388" t="str">
            <v>5278A</v>
          </cell>
          <cell r="H2388">
            <v>6275.27</v>
          </cell>
          <cell r="I2388">
            <v>1</v>
          </cell>
          <cell r="J2388">
            <v>12</v>
          </cell>
          <cell r="K2388">
            <v>1</v>
          </cell>
          <cell r="L2388">
            <v>76804.323333333334</v>
          </cell>
        </row>
        <row r="2389">
          <cell r="A2389">
            <v>103348</v>
          </cell>
          <cell r="B2389">
            <v>20672</v>
          </cell>
          <cell r="C2389">
            <v>18700</v>
          </cell>
          <cell r="D2389" t="str">
            <v>adult</v>
          </cell>
          <cell r="E2389" t="str">
            <v>B</v>
          </cell>
          <cell r="F2389" t="str">
            <v>MENTAL HEALTH COUNSELOR, RN</v>
          </cell>
          <cell r="G2389" t="str">
            <v>5278A</v>
          </cell>
          <cell r="H2389">
            <v>6275.27</v>
          </cell>
          <cell r="I2389">
            <v>1</v>
          </cell>
          <cell r="J2389">
            <v>12</v>
          </cell>
          <cell r="K2389">
            <v>1</v>
          </cell>
          <cell r="L2389">
            <v>76804.323333333334</v>
          </cell>
        </row>
        <row r="2390">
          <cell r="A2390">
            <v>103351</v>
          </cell>
          <cell r="B2390">
            <v>20672</v>
          </cell>
          <cell r="C2390">
            <v>18700</v>
          </cell>
          <cell r="D2390" t="str">
            <v>adult</v>
          </cell>
          <cell r="E2390" t="str">
            <v>B</v>
          </cell>
          <cell r="F2390" t="str">
            <v>MENTAL HEALTH COUNSELOR, RN</v>
          </cell>
          <cell r="G2390" t="str">
            <v>5278A</v>
          </cell>
          <cell r="H2390">
            <v>6275.27</v>
          </cell>
          <cell r="I2390">
            <v>1</v>
          </cell>
          <cell r="J2390">
            <v>12</v>
          </cell>
          <cell r="K2390">
            <v>1</v>
          </cell>
          <cell r="L2390">
            <v>76804.323333333334</v>
          </cell>
        </row>
        <row r="2391">
          <cell r="A2391">
            <v>103414</v>
          </cell>
          <cell r="B2391">
            <v>20676</v>
          </cell>
          <cell r="C2391">
            <v>18700</v>
          </cell>
          <cell r="D2391" t="str">
            <v>adult</v>
          </cell>
          <cell r="E2391" t="str">
            <v>B</v>
          </cell>
          <cell r="F2391" t="str">
            <v>MENTAL HEALTH COUNSELOR, RN</v>
          </cell>
          <cell r="G2391" t="str">
            <v>5278A</v>
          </cell>
          <cell r="H2391">
            <v>6275.27</v>
          </cell>
          <cell r="I2391">
            <v>1</v>
          </cell>
          <cell r="J2391">
            <v>12</v>
          </cell>
          <cell r="K2391">
            <v>1</v>
          </cell>
          <cell r="L2391">
            <v>76804.323333333334</v>
          </cell>
        </row>
        <row r="2392">
          <cell r="A2392">
            <v>104493</v>
          </cell>
          <cell r="B2392">
            <v>20676</v>
          </cell>
          <cell r="C2392">
            <v>18700</v>
          </cell>
          <cell r="D2392" t="str">
            <v>adult</v>
          </cell>
          <cell r="E2392" t="str">
            <v>B</v>
          </cell>
          <cell r="F2392" t="str">
            <v>MENTAL HEALTH COUNSELOR, RN</v>
          </cell>
          <cell r="G2392" t="str">
            <v>5278A</v>
          </cell>
          <cell r="H2392">
            <v>6275.27</v>
          </cell>
          <cell r="I2392">
            <v>1</v>
          </cell>
          <cell r="J2392">
            <v>12</v>
          </cell>
          <cell r="K2392">
            <v>1</v>
          </cell>
          <cell r="L2392">
            <v>76804.323333333334</v>
          </cell>
        </row>
        <row r="2393">
          <cell r="A2393">
            <v>100812</v>
          </cell>
          <cell r="B2393">
            <v>20672</v>
          </cell>
          <cell r="C2393">
            <v>18700</v>
          </cell>
          <cell r="D2393" t="str">
            <v>adult</v>
          </cell>
          <cell r="E2393" t="str">
            <v>B</v>
          </cell>
          <cell r="F2393" t="str">
            <v>MENTAL HEALTH PSYCHIATRIST</v>
          </cell>
          <cell r="G2393" t="str">
            <v>4735A</v>
          </cell>
          <cell r="H2393">
            <v>12844</v>
          </cell>
          <cell r="I2393">
            <v>1</v>
          </cell>
          <cell r="J2393">
            <v>12</v>
          </cell>
          <cell r="K2393">
            <v>1</v>
          </cell>
          <cell r="L2393">
            <v>154128</v>
          </cell>
        </row>
        <row r="2394">
          <cell r="A2394">
            <v>100817</v>
          </cell>
          <cell r="B2394">
            <v>20672</v>
          </cell>
          <cell r="C2394">
            <v>18700</v>
          </cell>
          <cell r="D2394" t="str">
            <v>adult</v>
          </cell>
          <cell r="E2394" t="str">
            <v>B</v>
          </cell>
          <cell r="F2394" t="str">
            <v>MENTAL HEALTH PSYCHIATRIST</v>
          </cell>
          <cell r="G2394" t="str">
            <v>4735A</v>
          </cell>
          <cell r="H2394">
            <v>12844</v>
          </cell>
          <cell r="I2394">
            <v>1</v>
          </cell>
          <cell r="J2394">
            <v>12</v>
          </cell>
          <cell r="K2394">
            <v>1</v>
          </cell>
          <cell r="L2394">
            <v>154128</v>
          </cell>
        </row>
        <row r="2395">
          <cell r="A2395">
            <v>100819</v>
          </cell>
          <cell r="B2395">
            <v>20673</v>
          </cell>
          <cell r="C2395">
            <v>18700</v>
          </cell>
          <cell r="D2395" t="str">
            <v>adult</v>
          </cell>
          <cell r="E2395" t="str">
            <v>B</v>
          </cell>
          <cell r="F2395" t="str">
            <v>MENTAL HEALTH PSYCHIATRIST</v>
          </cell>
          <cell r="G2395" t="str">
            <v>4735A</v>
          </cell>
          <cell r="H2395">
            <v>12844</v>
          </cell>
          <cell r="I2395">
            <v>1</v>
          </cell>
          <cell r="J2395">
            <v>12</v>
          </cell>
          <cell r="K2395">
            <v>1</v>
          </cell>
          <cell r="L2395">
            <v>154128</v>
          </cell>
        </row>
        <row r="2396">
          <cell r="A2396">
            <v>103315</v>
          </cell>
          <cell r="B2396">
            <v>20564</v>
          </cell>
          <cell r="C2396">
            <v>18700</v>
          </cell>
          <cell r="D2396" t="str">
            <v>adult</v>
          </cell>
          <cell r="E2396" t="str">
            <v>B</v>
          </cell>
          <cell r="F2396" t="str">
            <v>MENTAL HEALTH PSYCHIATRIST</v>
          </cell>
          <cell r="G2396" t="str">
            <v>4735A</v>
          </cell>
          <cell r="H2396">
            <v>12844</v>
          </cell>
          <cell r="I2396">
            <v>1</v>
          </cell>
          <cell r="J2396">
            <v>6</v>
          </cell>
          <cell r="K2396">
            <v>0.5</v>
          </cell>
          <cell r="L2396">
            <v>77064</v>
          </cell>
        </row>
        <row r="2397">
          <cell r="A2397">
            <v>103321</v>
          </cell>
          <cell r="B2397">
            <v>20672</v>
          </cell>
          <cell r="C2397">
            <v>18700</v>
          </cell>
          <cell r="D2397" t="str">
            <v>adult</v>
          </cell>
          <cell r="E2397" t="str">
            <v>B</v>
          </cell>
          <cell r="F2397" t="str">
            <v>MENTAL HEALTH PSYCHIATRIST</v>
          </cell>
          <cell r="G2397" t="str">
            <v>4735A</v>
          </cell>
          <cell r="H2397">
            <v>12844</v>
          </cell>
          <cell r="I2397">
            <v>1</v>
          </cell>
          <cell r="J2397">
            <v>12</v>
          </cell>
          <cell r="K2397">
            <v>1</v>
          </cell>
          <cell r="L2397">
            <v>154128</v>
          </cell>
        </row>
        <row r="2398">
          <cell r="A2398">
            <v>103358</v>
          </cell>
          <cell r="B2398">
            <v>20672</v>
          </cell>
          <cell r="C2398">
            <v>18700</v>
          </cell>
          <cell r="D2398" t="str">
            <v>adult</v>
          </cell>
          <cell r="E2398" t="str">
            <v>B</v>
          </cell>
          <cell r="F2398" t="str">
            <v>MENTAL HEALTH PSYCHIATRIST</v>
          </cell>
          <cell r="G2398" t="str">
            <v>4735A</v>
          </cell>
          <cell r="H2398">
            <v>12844</v>
          </cell>
          <cell r="I2398">
            <v>1</v>
          </cell>
          <cell r="J2398">
            <v>12</v>
          </cell>
          <cell r="K2398">
            <v>1</v>
          </cell>
          <cell r="L2398">
            <v>154128</v>
          </cell>
        </row>
        <row r="2399">
          <cell r="A2399">
            <v>104531</v>
          </cell>
          <cell r="B2399">
            <v>18700</v>
          </cell>
          <cell r="C2399">
            <v>18700</v>
          </cell>
          <cell r="D2399" t="str">
            <v>adult</v>
          </cell>
          <cell r="E2399" t="str">
            <v>B</v>
          </cell>
          <cell r="F2399" t="str">
            <v>MENTAL HEALTH PSYCHIATRIST</v>
          </cell>
          <cell r="G2399" t="str">
            <v>4735A</v>
          </cell>
          <cell r="H2399">
            <v>12844</v>
          </cell>
          <cell r="I2399">
            <v>1</v>
          </cell>
          <cell r="J2399">
            <v>12</v>
          </cell>
          <cell r="K2399">
            <v>1</v>
          </cell>
          <cell r="L2399">
            <v>154128</v>
          </cell>
        </row>
        <row r="2400">
          <cell r="A2400">
            <v>104563</v>
          </cell>
          <cell r="B2400">
            <v>20672</v>
          </cell>
          <cell r="C2400">
            <v>18700</v>
          </cell>
          <cell r="D2400" t="str">
            <v>adult</v>
          </cell>
          <cell r="E2400" t="str">
            <v>B</v>
          </cell>
          <cell r="F2400" t="str">
            <v>MENTAL HEALTH PSYCHIATRIST</v>
          </cell>
          <cell r="G2400" t="str">
            <v>4735A</v>
          </cell>
          <cell r="H2400">
            <v>12844</v>
          </cell>
          <cell r="I2400">
            <v>1</v>
          </cell>
          <cell r="J2400">
            <v>12</v>
          </cell>
          <cell r="K2400">
            <v>1</v>
          </cell>
          <cell r="L2400">
            <v>154128</v>
          </cell>
        </row>
        <row r="2401">
          <cell r="A2401">
            <v>103426</v>
          </cell>
          <cell r="B2401">
            <v>20676</v>
          </cell>
          <cell r="C2401">
            <v>18700</v>
          </cell>
          <cell r="D2401" t="str">
            <v>adult</v>
          </cell>
          <cell r="E2401" t="str">
            <v>B</v>
          </cell>
          <cell r="F2401" t="str">
            <v>PSYCHIATRIC SOCIAL WORKER II</v>
          </cell>
          <cell r="G2401" t="str">
            <v>9035A</v>
          </cell>
          <cell r="H2401">
            <v>5425.82</v>
          </cell>
          <cell r="I2401">
            <v>1</v>
          </cell>
          <cell r="J2401">
            <v>12</v>
          </cell>
          <cell r="K2401">
            <v>1</v>
          </cell>
          <cell r="L2401">
            <v>65109.84</v>
          </cell>
        </row>
        <row r="2402">
          <cell r="A2402">
            <v>102929</v>
          </cell>
          <cell r="B2402">
            <v>20676</v>
          </cell>
          <cell r="C2402">
            <v>18700</v>
          </cell>
          <cell r="D2402" t="str">
            <v>adult</v>
          </cell>
          <cell r="E2402" t="str">
            <v>B</v>
          </cell>
          <cell r="F2402" t="str">
            <v>SENIOR MENTAL HEALTH COUNSELOR, RN*</v>
          </cell>
          <cell r="G2402" t="str">
            <v>5280F</v>
          </cell>
          <cell r="H2402">
            <v>30.1</v>
          </cell>
          <cell r="I2402">
            <v>1</v>
          </cell>
          <cell r="J2402">
            <v>193</v>
          </cell>
          <cell r="K2402">
            <v>9.2432950191570884E-2</v>
          </cell>
          <cell r="L2402">
            <v>5808.8</v>
          </cell>
        </row>
        <row r="2403">
          <cell r="A2403">
            <v>104519</v>
          </cell>
          <cell r="B2403">
            <v>20670</v>
          </cell>
          <cell r="C2403">
            <v>18700</v>
          </cell>
          <cell r="D2403" t="str">
            <v>adult</v>
          </cell>
          <cell r="E2403" t="str">
            <v>B</v>
          </cell>
          <cell r="F2403" t="str">
            <v xml:space="preserve">STAFF ASSISTANT II                 </v>
          </cell>
          <cell r="G2403" t="str">
            <v>0913A</v>
          </cell>
          <cell r="H2403">
            <v>4167.45</v>
          </cell>
          <cell r="I2403">
            <v>1</v>
          </cell>
          <cell r="J2403">
            <v>12</v>
          </cell>
          <cell r="K2403">
            <v>1</v>
          </cell>
          <cell r="L2403">
            <v>50009.24</v>
          </cell>
        </row>
        <row r="2404">
          <cell r="A2404">
            <v>103400</v>
          </cell>
          <cell r="B2404">
            <v>20673</v>
          </cell>
          <cell r="C2404">
            <v>18700</v>
          </cell>
          <cell r="D2404" t="str">
            <v>adult</v>
          </cell>
          <cell r="E2404" t="str">
            <v>B</v>
          </cell>
          <cell r="F2404" t="str">
            <v>STAFF NURSE,SHERIFF</v>
          </cell>
          <cell r="G2404" t="str">
            <v>5336A</v>
          </cell>
          <cell r="H2404">
            <v>5657</v>
          </cell>
          <cell r="I2404">
            <v>1</v>
          </cell>
          <cell r="J2404">
            <v>12</v>
          </cell>
          <cell r="K2404">
            <v>1</v>
          </cell>
          <cell r="L2404">
            <v>69245.380952380947</v>
          </cell>
        </row>
        <row r="2405">
          <cell r="A2405">
            <v>103435</v>
          </cell>
          <cell r="B2405">
            <v>20672</v>
          </cell>
          <cell r="C2405">
            <v>18700</v>
          </cell>
          <cell r="D2405" t="str">
            <v>adult</v>
          </cell>
          <cell r="E2405" t="str">
            <v>B</v>
          </cell>
          <cell r="F2405" t="str">
            <v xml:space="preserve">SUPVG MENTAL HEALTH PSYCHIATRIST   </v>
          </cell>
          <cell r="G2405" t="str">
            <v>4737A</v>
          </cell>
          <cell r="H2405">
            <v>13870</v>
          </cell>
          <cell r="I2405">
            <v>1</v>
          </cell>
          <cell r="J2405">
            <v>12</v>
          </cell>
          <cell r="K2405">
            <v>1</v>
          </cell>
          <cell r="L2405">
            <v>166440</v>
          </cell>
        </row>
        <row r="2406">
          <cell r="A2406">
            <v>104537</v>
          </cell>
          <cell r="B2406">
            <v>18700</v>
          </cell>
          <cell r="C2406">
            <v>18700</v>
          </cell>
          <cell r="D2406" t="str">
            <v>adult</v>
          </cell>
          <cell r="E2406" t="str">
            <v>B</v>
          </cell>
          <cell r="F2406" t="str">
            <v xml:space="preserve">SUPVG MENTAL HEALTH PSYCHIATRIST   </v>
          </cell>
          <cell r="G2406" t="str">
            <v>4737A</v>
          </cell>
          <cell r="H2406">
            <v>13870</v>
          </cell>
          <cell r="I2406">
            <v>1</v>
          </cell>
          <cell r="J2406">
            <v>12</v>
          </cell>
          <cell r="K2406">
            <v>1</v>
          </cell>
          <cell r="L2406">
            <v>166440</v>
          </cell>
        </row>
        <row r="2407">
          <cell r="A2407">
            <v>103133</v>
          </cell>
          <cell r="B2407">
            <v>21534</v>
          </cell>
          <cell r="D2407" t="str">
            <v>adult</v>
          </cell>
          <cell r="E2407" t="str">
            <v>B</v>
          </cell>
          <cell r="F2407" t="str">
            <v>DEPUTY DIRECTOR, MENTAL HEALTH (UC)</v>
          </cell>
          <cell r="G2407" t="str">
            <v>4707A</v>
          </cell>
          <cell r="H2407">
            <v>10568.17</v>
          </cell>
          <cell r="I2407">
            <v>1</v>
          </cell>
          <cell r="J2407">
            <v>12</v>
          </cell>
          <cell r="K2407">
            <v>1</v>
          </cell>
          <cell r="L2407">
            <v>126818.04</v>
          </cell>
        </row>
        <row r="2408">
          <cell r="A2408">
            <v>104568</v>
          </cell>
          <cell r="B2408">
            <v>20672</v>
          </cell>
          <cell r="C2408">
            <v>27273</v>
          </cell>
          <cell r="D2408" t="str">
            <v>adult</v>
          </cell>
          <cell r="E2408" t="str">
            <v>B</v>
          </cell>
          <cell r="F2408" t="str">
            <v>REHABILITATION COUNSELOR II</v>
          </cell>
          <cell r="G2408" t="str">
            <v>8593A</v>
          </cell>
          <cell r="H2408">
            <v>4076.09</v>
          </cell>
          <cell r="I2408">
            <v>1</v>
          </cell>
          <cell r="J2408">
            <v>12</v>
          </cell>
          <cell r="K2408">
            <v>1</v>
          </cell>
          <cell r="L2408">
            <v>48922.8</v>
          </cell>
        </row>
        <row r="2409">
          <cell r="A2409">
            <v>110094</v>
          </cell>
          <cell r="B2409">
            <v>32038</v>
          </cell>
          <cell r="D2409" t="str">
            <v>adult</v>
          </cell>
          <cell r="E2409" t="str">
            <v>M</v>
          </cell>
          <cell r="F2409" t="str">
            <v>INTERMEDIATE TYPIST-CLERK</v>
          </cell>
          <cell r="G2409" t="str">
            <v>2214A</v>
          </cell>
          <cell r="H2409">
            <v>2675.27</v>
          </cell>
          <cell r="I2409">
            <v>1</v>
          </cell>
          <cell r="J2409">
            <v>12</v>
          </cell>
          <cell r="K2409">
            <v>1</v>
          </cell>
          <cell r="L2409">
            <v>32103.24</v>
          </cell>
        </row>
        <row r="2410">
          <cell r="A2410">
            <v>110095</v>
          </cell>
          <cell r="B2410">
            <v>32038</v>
          </cell>
          <cell r="D2410" t="str">
            <v>adult</v>
          </cell>
          <cell r="E2410" t="str">
            <v>M</v>
          </cell>
          <cell r="F2410" t="str">
            <v xml:space="preserve">MENTAL HEALTH ANALYST II           </v>
          </cell>
          <cell r="G2410" t="str">
            <v>4729A</v>
          </cell>
          <cell r="H2410">
            <v>6244.55</v>
          </cell>
          <cell r="I2410">
            <v>1</v>
          </cell>
          <cell r="J2410">
            <v>12</v>
          </cell>
          <cell r="K2410">
            <v>1</v>
          </cell>
          <cell r="L2410">
            <v>74934.600000000006</v>
          </cell>
        </row>
        <row r="2411">
          <cell r="A2411">
            <v>110090</v>
          </cell>
          <cell r="B2411">
            <v>32038</v>
          </cell>
          <cell r="D2411" t="str">
            <v>adult</v>
          </cell>
          <cell r="E2411" t="str">
            <v>M</v>
          </cell>
          <cell r="F2411" t="str">
            <v>MENTAL HEALTH SERVICES COORD II</v>
          </cell>
          <cell r="G2411" t="str">
            <v>8149A</v>
          </cell>
          <cell r="H2411">
            <v>5152.3599999999997</v>
          </cell>
          <cell r="I2411">
            <v>1</v>
          </cell>
          <cell r="J2411">
            <v>12</v>
          </cell>
          <cell r="K2411">
            <v>1</v>
          </cell>
          <cell r="L2411">
            <v>61828.32</v>
          </cell>
        </row>
        <row r="2412">
          <cell r="A2412">
            <v>110091</v>
          </cell>
          <cell r="B2412">
            <v>32038</v>
          </cell>
          <cell r="D2412" t="str">
            <v>adult</v>
          </cell>
          <cell r="E2412" t="str">
            <v>M</v>
          </cell>
          <cell r="F2412" t="str">
            <v>MENTAL HEALTH SERVICES COORD II</v>
          </cell>
          <cell r="G2412" t="str">
            <v>8149A</v>
          </cell>
          <cell r="H2412">
            <v>5152.3599999999997</v>
          </cell>
          <cell r="I2412">
            <v>1</v>
          </cell>
          <cell r="J2412">
            <v>12</v>
          </cell>
          <cell r="K2412">
            <v>1</v>
          </cell>
          <cell r="L2412">
            <v>61828.32</v>
          </cell>
        </row>
        <row r="2413">
          <cell r="A2413">
            <v>110092</v>
          </cell>
          <cell r="B2413">
            <v>32038</v>
          </cell>
          <cell r="D2413" t="str">
            <v>adult</v>
          </cell>
          <cell r="E2413" t="str">
            <v>M</v>
          </cell>
          <cell r="F2413" t="str">
            <v>MENTAL HEALTH SERVICES COORD II</v>
          </cell>
          <cell r="G2413" t="str">
            <v>8149A</v>
          </cell>
          <cell r="H2413">
            <v>5152.3599999999997</v>
          </cell>
          <cell r="I2413">
            <v>1</v>
          </cell>
          <cell r="J2413">
            <v>12</v>
          </cell>
          <cell r="K2413">
            <v>1</v>
          </cell>
          <cell r="L2413">
            <v>61828.32</v>
          </cell>
        </row>
        <row r="2414">
          <cell r="A2414">
            <v>110082</v>
          </cell>
          <cell r="B2414">
            <v>32038</v>
          </cell>
          <cell r="D2414" t="str">
            <v>adult</v>
          </cell>
          <cell r="E2414" t="str">
            <v>M</v>
          </cell>
          <cell r="F2414" t="str">
            <v>PSYCHIATRIC SOCIAL WORKER II</v>
          </cell>
          <cell r="G2414" t="str">
            <v>9035A</v>
          </cell>
          <cell r="H2414">
            <v>5425.82</v>
          </cell>
          <cell r="I2414">
            <v>1</v>
          </cell>
          <cell r="J2414">
            <v>12</v>
          </cell>
          <cell r="K2414">
            <v>1</v>
          </cell>
          <cell r="L2414">
            <v>65109.84</v>
          </cell>
        </row>
        <row r="2415">
          <cell r="A2415">
            <v>110083</v>
          </cell>
          <cell r="B2415">
            <v>32038</v>
          </cell>
          <cell r="D2415" t="str">
            <v>adult</v>
          </cell>
          <cell r="E2415" t="str">
            <v>M</v>
          </cell>
          <cell r="F2415" t="str">
            <v>PSYCHIATRIC SOCIAL WORKER II</v>
          </cell>
          <cell r="G2415" t="str">
            <v>9035A</v>
          </cell>
          <cell r="H2415">
            <v>5425.82</v>
          </cell>
          <cell r="I2415">
            <v>1</v>
          </cell>
          <cell r="J2415">
            <v>12</v>
          </cell>
          <cell r="K2415">
            <v>1</v>
          </cell>
          <cell r="L2415">
            <v>65109.84</v>
          </cell>
        </row>
        <row r="2416">
          <cell r="A2416">
            <v>110084</v>
          </cell>
          <cell r="B2416">
            <v>32038</v>
          </cell>
          <cell r="D2416" t="str">
            <v>adult</v>
          </cell>
          <cell r="E2416" t="str">
            <v>M</v>
          </cell>
          <cell r="F2416" t="str">
            <v>PSYCHIATRIC SOCIAL WORKER II</v>
          </cell>
          <cell r="G2416" t="str">
            <v>9035A</v>
          </cell>
          <cell r="H2416">
            <v>5425.82</v>
          </cell>
          <cell r="I2416">
            <v>1</v>
          </cell>
          <cell r="J2416">
            <v>12</v>
          </cell>
          <cell r="K2416">
            <v>1</v>
          </cell>
          <cell r="L2416">
            <v>65109.84</v>
          </cell>
        </row>
        <row r="2417">
          <cell r="A2417">
            <v>110085</v>
          </cell>
          <cell r="B2417">
            <v>32038</v>
          </cell>
          <cell r="D2417" t="str">
            <v>adult</v>
          </cell>
          <cell r="E2417" t="str">
            <v>M</v>
          </cell>
          <cell r="F2417" t="str">
            <v>PSYCHIATRIC SOCIAL WORKER II</v>
          </cell>
          <cell r="G2417" t="str">
            <v>9035A</v>
          </cell>
          <cell r="H2417">
            <v>5425.82</v>
          </cell>
          <cell r="I2417">
            <v>1</v>
          </cell>
          <cell r="J2417">
            <v>12</v>
          </cell>
          <cell r="K2417">
            <v>1</v>
          </cell>
          <cell r="L2417">
            <v>65109.84</v>
          </cell>
        </row>
        <row r="2418">
          <cell r="A2418">
            <v>110086</v>
          </cell>
          <cell r="B2418">
            <v>32038</v>
          </cell>
          <cell r="D2418" t="str">
            <v>adult</v>
          </cell>
          <cell r="E2418" t="str">
            <v>M</v>
          </cell>
          <cell r="F2418" t="str">
            <v>PSYCHIATRIC SOCIAL WORKER II</v>
          </cell>
          <cell r="G2418" t="str">
            <v>9035A</v>
          </cell>
          <cell r="H2418">
            <v>5425.82</v>
          </cell>
          <cell r="I2418">
            <v>1</v>
          </cell>
          <cell r="J2418">
            <v>12</v>
          </cell>
          <cell r="K2418">
            <v>1</v>
          </cell>
          <cell r="L2418">
            <v>65109.84</v>
          </cell>
        </row>
        <row r="2419">
          <cell r="A2419">
            <v>110087</v>
          </cell>
          <cell r="B2419">
            <v>32038</v>
          </cell>
          <cell r="D2419" t="str">
            <v>adult</v>
          </cell>
          <cell r="E2419" t="str">
            <v>M</v>
          </cell>
          <cell r="F2419" t="str">
            <v>PSYCHIATRIC SOCIAL WORKER II</v>
          </cell>
          <cell r="G2419" t="str">
            <v>9035A</v>
          </cell>
          <cell r="H2419">
            <v>5425.82</v>
          </cell>
          <cell r="I2419">
            <v>1</v>
          </cell>
          <cell r="J2419">
            <v>12</v>
          </cell>
          <cell r="K2419">
            <v>1</v>
          </cell>
          <cell r="L2419">
            <v>65109.84</v>
          </cell>
        </row>
        <row r="2420">
          <cell r="A2420">
            <v>110088</v>
          </cell>
          <cell r="B2420">
            <v>32038</v>
          </cell>
          <cell r="D2420" t="str">
            <v>adult</v>
          </cell>
          <cell r="E2420" t="str">
            <v>M</v>
          </cell>
          <cell r="F2420" t="str">
            <v>PSYCHIATRIC SOCIAL WORKER II</v>
          </cell>
          <cell r="G2420" t="str">
            <v>9035A</v>
          </cell>
          <cell r="H2420">
            <v>5425.82</v>
          </cell>
          <cell r="I2420">
            <v>1</v>
          </cell>
          <cell r="J2420">
            <v>12</v>
          </cell>
          <cell r="K2420">
            <v>1</v>
          </cell>
          <cell r="L2420">
            <v>65109.84</v>
          </cell>
        </row>
        <row r="2421">
          <cell r="A2421">
            <v>110089</v>
          </cell>
          <cell r="B2421">
            <v>32038</v>
          </cell>
          <cell r="D2421" t="str">
            <v>adult</v>
          </cell>
          <cell r="E2421" t="str">
            <v>M</v>
          </cell>
          <cell r="F2421" t="str">
            <v>PSYCHIATRIC SOCIAL WORKER II</v>
          </cell>
          <cell r="G2421" t="str">
            <v>9035A</v>
          </cell>
          <cell r="H2421">
            <v>5425.82</v>
          </cell>
          <cell r="I2421">
            <v>1</v>
          </cell>
          <cell r="J2421">
            <v>12</v>
          </cell>
          <cell r="K2421">
            <v>1</v>
          </cell>
          <cell r="L2421">
            <v>65109.84</v>
          </cell>
        </row>
        <row r="2422">
          <cell r="A2422">
            <v>110093</v>
          </cell>
          <cell r="B2422">
            <v>32038</v>
          </cell>
          <cell r="D2422" t="str">
            <v>adult</v>
          </cell>
          <cell r="E2422" t="str">
            <v>M</v>
          </cell>
          <cell r="F2422" t="str">
            <v xml:space="preserve">STAFF ASSISTANT II                 </v>
          </cell>
          <cell r="G2422" t="str">
            <v>0913A</v>
          </cell>
          <cell r="H2422">
            <v>4167.45</v>
          </cell>
          <cell r="I2422">
            <v>1</v>
          </cell>
          <cell r="J2422">
            <v>12</v>
          </cell>
          <cell r="K2422">
            <v>1</v>
          </cell>
          <cell r="L2422">
            <v>50009.4</v>
          </cell>
        </row>
        <row r="2423">
          <cell r="A2423">
            <v>110081</v>
          </cell>
          <cell r="B2423">
            <v>32038</v>
          </cell>
          <cell r="D2423" t="str">
            <v>adult</v>
          </cell>
          <cell r="E2423" t="str">
            <v>M</v>
          </cell>
          <cell r="F2423" t="str">
            <v xml:space="preserve">SUPVG PSYCHIATRIC SOCIAL WORKER    </v>
          </cell>
          <cell r="G2423" t="str">
            <v>9038A</v>
          </cell>
          <cell r="H2423">
            <v>6062.45</v>
          </cell>
          <cell r="I2423">
            <v>1</v>
          </cell>
          <cell r="J2423">
            <v>12</v>
          </cell>
          <cell r="K2423">
            <v>1</v>
          </cell>
          <cell r="L2423">
            <v>72749.399999999994</v>
          </cell>
        </row>
        <row r="2424">
          <cell r="A2424">
            <v>110107</v>
          </cell>
          <cell r="B2424">
            <v>32032</v>
          </cell>
          <cell r="D2424" t="str">
            <v>adult</v>
          </cell>
          <cell r="E2424" t="str">
            <v>M</v>
          </cell>
          <cell r="F2424" t="str">
            <v xml:space="preserve">COMMUNITY SERVICES COUNSELOR       </v>
          </cell>
          <cell r="G2424" t="str">
            <v>8108A</v>
          </cell>
          <cell r="H2424">
            <v>3257.45</v>
          </cell>
          <cell r="I2424">
            <v>1</v>
          </cell>
          <cell r="J2424">
            <v>12</v>
          </cell>
          <cell r="K2424">
            <v>1</v>
          </cell>
          <cell r="L2424">
            <v>39089.4</v>
          </cell>
        </row>
        <row r="2425">
          <cell r="A2425">
            <v>110108</v>
          </cell>
          <cell r="B2425">
            <v>32032</v>
          </cell>
          <cell r="D2425" t="str">
            <v>adult</v>
          </cell>
          <cell r="E2425" t="str">
            <v>M</v>
          </cell>
          <cell r="F2425" t="str">
            <v xml:space="preserve">COMMUNITY SERVICES COUNSELOR       </v>
          </cell>
          <cell r="G2425" t="str">
            <v>8108A</v>
          </cell>
          <cell r="H2425">
            <v>3257.45</v>
          </cell>
          <cell r="I2425">
            <v>1</v>
          </cell>
          <cell r="J2425">
            <v>12</v>
          </cell>
          <cell r="K2425">
            <v>1</v>
          </cell>
          <cell r="L2425">
            <v>39089.4</v>
          </cell>
        </row>
        <row r="2426">
          <cell r="A2426">
            <v>110096</v>
          </cell>
          <cell r="B2426">
            <v>32032</v>
          </cell>
          <cell r="D2426" t="str">
            <v>adult</v>
          </cell>
          <cell r="E2426" t="str">
            <v>M</v>
          </cell>
          <cell r="F2426" t="str">
            <v>COMMUNITY WORKER</v>
          </cell>
          <cell r="G2426" t="str">
            <v>8103A</v>
          </cell>
          <cell r="H2426">
            <v>2984.09</v>
          </cell>
          <cell r="I2426">
            <v>1</v>
          </cell>
          <cell r="J2426">
            <v>12</v>
          </cell>
          <cell r="K2426">
            <v>1</v>
          </cell>
          <cell r="L2426">
            <v>35809.08</v>
          </cell>
        </row>
        <row r="2427">
          <cell r="A2427">
            <v>110097</v>
          </cell>
          <cell r="B2427">
            <v>32032</v>
          </cell>
          <cell r="D2427" t="str">
            <v>adult</v>
          </cell>
          <cell r="E2427" t="str">
            <v>M</v>
          </cell>
          <cell r="F2427" t="str">
            <v>COMMUNITY WORKER</v>
          </cell>
          <cell r="G2427" t="str">
            <v>8103A</v>
          </cell>
          <cell r="H2427">
            <v>2984.09</v>
          </cell>
          <cell r="I2427">
            <v>1</v>
          </cell>
          <cell r="J2427">
            <v>12</v>
          </cell>
          <cell r="K2427">
            <v>1</v>
          </cell>
          <cell r="L2427">
            <v>35809.08</v>
          </cell>
        </row>
        <row r="2428">
          <cell r="A2428">
            <v>110098</v>
          </cell>
          <cell r="B2428">
            <v>32032</v>
          </cell>
          <cell r="D2428" t="str">
            <v>adult</v>
          </cell>
          <cell r="E2428" t="str">
            <v>M</v>
          </cell>
          <cell r="F2428" t="str">
            <v>COMMUNITY WORKER</v>
          </cell>
          <cell r="G2428" t="str">
            <v>8103A</v>
          </cell>
          <cell r="H2428">
            <v>2984.09</v>
          </cell>
          <cell r="I2428">
            <v>1</v>
          </cell>
          <cell r="J2428">
            <v>12</v>
          </cell>
          <cell r="K2428">
            <v>1</v>
          </cell>
          <cell r="L2428">
            <v>35809.08</v>
          </cell>
        </row>
        <row r="2429">
          <cell r="A2429">
            <v>110099</v>
          </cell>
          <cell r="B2429">
            <v>32032</v>
          </cell>
          <cell r="D2429" t="str">
            <v>adult</v>
          </cell>
          <cell r="E2429" t="str">
            <v>M</v>
          </cell>
          <cell r="F2429" t="str">
            <v>COMMUNITY WORKER</v>
          </cell>
          <cell r="G2429" t="str">
            <v>8103A</v>
          </cell>
          <cell r="H2429">
            <v>2984.09</v>
          </cell>
          <cell r="I2429">
            <v>1</v>
          </cell>
          <cell r="J2429">
            <v>12</v>
          </cell>
          <cell r="K2429">
            <v>1</v>
          </cell>
          <cell r="L2429">
            <v>35809.08</v>
          </cell>
        </row>
        <row r="2430">
          <cell r="A2430">
            <v>110100</v>
          </cell>
          <cell r="B2430">
            <v>32032</v>
          </cell>
          <cell r="D2430" t="str">
            <v>adult</v>
          </cell>
          <cell r="E2430" t="str">
            <v>M</v>
          </cell>
          <cell r="F2430" t="str">
            <v>COMMUNITY WORKER</v>
          </cell>
          <cell r="G2430" t="str">
            <v>8103A</v>
          </cell>
          <cell r="H2430">
            <v>2984.09</v>
          </cell>
          <cell r="I2430">
            <v>1</v>
          </cell>
          <cell r="J2430">
            <v>12</v>
          </cell>
          <cell r="K2430">
            <v>1</v>
          </cell>
          <cell r="L2430">
            <v>35809.08</v>
          </cell>
        </row>
        <row r="2431">
          <cell r="A2431">
            <v>110101</v>
          </cell>
          <cell r="B2431">
            <v>32032</v>
          </cell>
          <cell r="D2431" t="str">
            <v>adult</v>
          </cell>
          <cell r="E2431" t="str">
            <v>M</v>
          </cell>
          <cell r="F2431" t="str">
            <v>COMMUNITY WORKER</v>
          </cell>
          <cell r="G2431" t="str">
            <v>8103A</v>
          </cell>
          <cell r="H2431">
            <v>2984.09</v>
          </cell>
          <cell r="I2431">
            <v>1</v>
          </cell>
          <cell r="J2431">
            <v>12</v>
          </cell>
          <cell r="K2431">
            <v>1</v>
          </cell>
          <cell r="L2431">
            <v>35809.08</v>
          </cell>
        </row>
        <row r="2432">
          <cell r="A2432">
            <v>110102</v>
          </cell>
          <cell r="B2432">
            <v>32032</v>
          </cell>
          <cell r="D2432" t="str">
            <v>adult</v>
          </cell>
          <cell r="E2432" t="str">
            <v>M</v>
          </cell>
          <cell r="F2432" t="str">
            <v>COMMUNITY WORKER</v>
          </cell>
          <cell r="G2432" t="str">
            <v>8103A</v>
          </cell>
          <cell r="H2432">
            <v>2984.09</v>
          </cell>
          <cell r="I2432">
            <v>1</v>
          </cell>
          <cell r="J2432">
            <v>12</v>
          </cell>
          <cell r="K2432">
            <v>1</v>
          </cell>
          <cell r="L2432">
            <v>35809.08</v>
          </cell>
        </row>
        <row r="2433">
          <cell r="A2433">
            <v>110103</v>
          </cell>
          <cell r="B2433">
            <v>32032</v>
          </cell>
          <cell r="D2433" t="str">
            <v>adult</v>
          </cell>
          <cell r="E2433" t="str">
            <v>M</v>
          </cell>
          <cell r="F2433" t="str">
            <v>COMMUNITY WORKER</v>
          </cell>
          <cell r="G2433" t="str">
            <v>8103A</v>
          </cell>
          <cell r="H2433">
            <v>2984.09</v>
          </cell>
          <cell r="I2433">
            <v>1</v>
          </cell>
          <cell r="J2433">
            <v>12</v>
          </cell>
          <cell r="K2433">
            <v>1</v>
          </cell>
          <cell r="L2433">
            <v>35809.08</v>
          </cell>
        </row>
        <row r="2434">
          <cell r="A2434">
            <v>110104</v>
          </cell>
          <cell r="B2434">
            <v>32032</v>
          </cell>
          <cell r="D2434" t="str">
            <v>adult</v>
          </cell>
          <cell r="E2434" t="str">
            <v>M</v>
          </cell>
          <cell r="F2434" t="str">
            <v>COMMUNITY WORKER</v>
          </cell>
          <cell r="G2434" t="str">
            <v>8103A</v>
          </cell>
          <cell r="H2434">
            <v>2984.09</v>
          </cell>
          <cell r="I2434">
            <v>1</v>
          </cell>
          <cell r="J2434">
            <v>12</v>
          </cell>
          <cell r="K2434">
            <v>1</v>
          </cell>
          <cell r="L2434">
            <v>35809.08</v>
          </cell>
        </row>
        <row r="2435">
          <cell r="A2435">
            <v>110105</v>
          </cell>
          <cell r="B2435">
            <v>32032</v>
          </cell>
          <cell r="D2435" t="str">
            <v>adult</v>
          </cell>
          <cell r="E2435" t="str">
            <v>M</v>
          </cell>
          <cell r="F2435" t="str">
            <v>NURSE PRACTITIONER</v>
          </cell>
          <cell r="G2435" t="str">
            <v>5121A</v>
          </cell>
          <cell r="H2435">
            <v>7239.09</v>
          </cell>
          <cell r="I2435">
            <v>1</v>
          </cell>
          <cell r="J2435">
            <v>12</v>
          </cell>
          <cell r="K2435">
            <v>1</v>
          </cell>
          <cell r="L2435">
            <v>88605.84</v>
          </cell>
        </row>
        <row r="2436">
          <cell r="A2436">
            <v>110106</v>
          </cell>
          <cell r="B2436">
            <v>32032</v>
          </cell>
          <cell r="D2436" t="str">
            <v>adult</v>
          </cell>
          <cell r="E2436" t="str">
            <v>M</v>
          </cell>
          <cell r="F2436" t="str">
            <v>NURSE PRACTITIONER</v>
          </cell>
          <cell r="G2436" t="str">
            <v>5121A</v>
          </cell>
          <cell r="H2436">
            <v>7239.09</v>
          </cell>
          <cell r="I2436">
            <v>1</v>
          </cell>
          <cell r="J2436">
            <v>12</v>
          </cell>
          <cell r="K2436">
            <v>1</v>
          </cell>
          <cell r="L2436">
            <v>88605.84</v>
          </cell>
        </row>
        <row r="2437">
          <cell r="A2437">
            <v>110117</v>
          </cell>
          <cell r="B2437">
            <v>32036</v>
          </cell>
          <cell r="D2437" t="str">
            <v>adult</v>
          </cell>
          <cell r="E2437" t="str">
            <v>M</v>
          </cell>
          <cell r="F2437" t="str">
            <v>COMMUNITY WORKER</v>
          </cell>
          <cell r="G2437" t="str">
            <v>8103A</v>
          </cell>
          <cell r="H2437">
            <v>2984.09</v>
          </cell>
          <cell r="I2437">
            <v>1</v>
          </cell>
          <cell r="J2437">
            <v>12</v>
          </cell>
          <cell r="K2437">
            <v>1</v>
          </cell>
          <cell r="L2437">
            <v>35809.08</v>
          </cell>
        </row>
        <row r="2438">
          <cell r="A2438">
            <v>110118</v>
          </cell>
          <cell r="B2438">
            <v>32036</v>
          </cell>
          <cell r="D2438" t="str">
            <v>adult</v>
          </cell>
          <cell r="E2438" t="str">
            <v>M</v>
          </cell>
          <cell r="F2438" t="str">
            <v>COMMUNITY WORKER</v>
          </cell>
          <cell r="G2438" t="str">
            <v>8103A</v>
          </cell>
          <cell r="H2438">
            <v>2984.09</v>
          </cell>
          <cell r="I2438">
            <v>1</v>
          </cell>
          <cell r="J2438">
            <v>12</v>
          </cell>
          <cell r="K2438">
            <v>1</v>
          </cell>
          <cell r="L2438">
            <v>35809.08</v>
          </cell>
        </row>
        <row r="2439">
          <cell r="A2439">
            <v>110119</v>
          </cell>
          <cell r="B2439">
            <v>32036</v>
          </cell>
          <cell r="D2439" t="str">
            <v>adult</v>
          </cell>
          <cell r="E2439" t="str">
            <v>M</v>
          </cell>
          <cell r="F2439" t="str">
            <v>COMMUNITY WORKER</v>
          </cell>
          <cell r="G2439" t="str">
            <v>8103A</v>
          </cell>
          <cell r="H2439">
            <v>2984.09</v>
          </cell>
          <cell r="I2439">
            <v>1</v>
          </cell>
          <cell r="J2439">
            <v>12</v>
          </cell>
          <cell r="K2439">
            <v>1</v>
          </cell>
          <cell r="L2439">
            <v>35809.08</v>
          </cell>
        </row>
        <row r="2440">
          <cell r="A2440">
            <v>110120</v>
          </cell>
          <cell r="B2440">
            <v>32036</v>
          </cell>
          <cell r="D2440" t="str">
            <v>adult</v>
          </cell>
          <cell r="E2440" t="str">
            <v>M</v>
          </cell>
          <cell r="F2440" t="str">
            <v>COMMUNITY WORKER</v>
          </cell>
          <cell r="G2440" t="str">
            <v>8103A</v>
          </cell>
          <cell r="H2440">
            <v>2984.09</v>
          </cell>
          <cell r="I2440">
            <v>1</v>
          </cell>
          <cell r="J2440">
            <v>12</v>
          </cell>
          <cell r="K2440">
            <v>1</v>
          </cell>
          <cell r="L2440">
            <v>35809.08</v>
          </cell>
        </row>
        <row r="2441">
          <cell r="A2441">
            <v>110121</v>
          </cell>
          <cell r="B2441">
            <v>32036</v>
          </cell>
          <cell r="D2441" t="str">
            <v>adult</v>
          </cell>
          <cell r="E2441" t="str">
            <v>M</v>
          </cell>
          <cell r="F2441" t="str">
            <v>COMMUNITY WORKER</v>
          </cell>
          <cell r="G2441" t="str">
            <v>8103A</v>
          </cell>
          <cell r="H2441">
            <v>2984.09</v>
          </cell>
          <cell r="I2441">
            <v>1</v>
          </cell>
          <cell r="J2441">
            <v>12</v>
          </cell>
          <cell r="K2441">
            <v>1</v>
          </cell>
          <cell r="L2441">
            <v>35809.08</v>
          </cell>
        </row>
        <row r="2442">
          <cell r="A2442">
            <v>110122</v>
          </cell>
          <cell r="B2442">
            <v>32036</v>
          </cell>
          <cell r="D2442" t="str">
            <v>adult</v>
          </cell>
          <cell r="E2442" t="str">
            <v>M</v>
          </cell>
          <cell r="F2442" t="str">
            <v>COMMUNITY WORKER</v>
          </cell>
          <cell r="G2442" t="str">
            <v>8103A</v>
          </cell>
          <cell r="H2442">
            <v>2984.09</v>
          </cell>
          <cell r="I2442">
            <v>1</v>
          </cell>
          <cell r="J2442">
            <v>12</v>
          </cell>
          <cell r="K2442">
            <v>1</v>
          </cell>
          <cell r="L2442">
            <v>35809.08</v>
          </cell>
        </row>
        <row r="2443">
          <cell r="A2443">
            <v>110109</v>
          </cell>
          <cell r="B2443">
            <v>32036</v>
          </cell>
          <cell r="D2443" t="str">
            <v>adult</v>
          </cell>
          <cell r="E2443" t="str">
            <v>M</v>
          </cell>
          <cell r="F2443" t="str">
            <v>MENTAL HEALTH SERVICES COORD II</v>
          </cell>
          <cell r="G2443" t="str">
            <v>8149A</v>
          </cell>
          <cell r="H2443">
            <v>5152.3599999999997</v>
          </cell>
          <cell r="I2443">
            <v>1</v>
          </cell>
          <cell r="J2443">
            <v>12</v>
          </cell>
          <cell r="K2443">
            <v>1</v>
          </cell>
          <cell r="L2443">
            <v>61828.32</v>
          </cell>
        </row>
        <row r="2444">
          <cell r="A2444">
            <v>110110</v>
          </cell>
          <cell r="B2444">
            <v>32036</v>
          </cell>
          <cell r="D2444" t="str">
            <v>adult</v>
          </cell>
          <cell r="E2444" t="str">
            <v>M</v>
          </cell>
          <cell r="F2444" t="str">
            <v>MENTAL HEALTH SERVICES COORD II</v>
          </cell>
          <cell r="G2444" t="str">
            <v>8149A</v>
          </cell>
          <cell r="H2444">
            <v>5152.3599999999997</v>
          </cell>
          <cell r="I2444">
            <v>1</v>
          </cell>
          <cell r="J2444">
            <v>12</v>
          </cell>
          <cell r="K2444">
            <v>1</v>
          </cell>
          <cell r="L2444">
            <v>61828.32</v>
          </cell>
        </row>
        <row r="2445">
          <cell r="A2445">
            <v>110111</v>
          </cell>
          <cell r="B2445">
            <v>32036</v>
          </cell>
          <cell r="D2445" t="str">
            <v>adult</v>
          </cell>
          <cell r="E2445" t="str">
            <v>M</v>
          </cell>
          <cell r="F2445" t="str">
            <v>MENTAL HEALTH SERVICES COORD II</v>
          </cell>
          <cell r="G2445" t="str">
            <v>8149A</v>
          </cell>
          <cell r="H2445">
            <v>5152.3599999999997</v>
          </cell>
          <cell r="I2445">
            <v>1</v>
          </cell>
          <cell r="J2445">
            <v>12</v>
          </cell>
          <cell r="K2445">
            <v>1</v>
          </cell>
          <cell r="L2445">
            <v>61828.32</v>
          </cell>
        </row>
        <row r="2446">
          <cell r="A2446">
            <v>110112</v>
          </cell>
          <cell r="B2446">
            <v>32036</v>
          </cell>
          <cell r="D2446" t="str">
            <v>adult</v>
          </cell>
          <cell r="E2446" t="str">
            <v>M</v>
          </cell>
          <cell r="F2446" t="str">
            <v>MENTAL HEALTH SERVICES COORD II</v>
          </cell>
          <cell r="G2446" t="str">
            <v>8149A</v>
          </cell>
          <cell r="H2446">
            <v>5152.3599999999997</v>
          </cell>
          <cell r="I2446">
            <v>1</v>
          </cell>
          <cell r="J2446">
            <v>12</v>
          </cell>
          <cell r="K2446">
            <v>1</v>
          </cell>
          <cell r="L2446">
            <v>61828.32</v>
          </cell>
        </row>
        <row r="2447">
          <cell r="A2447">
            <v>110113</v>
          </cell>
          <cell r="B2447">
            <v>32036</v>
          </cell>
          <cell r="D2447" t="str">
            <v>adult</v>
          </cell>
          <cell r="E2447" t="str">
            <v>M</v>
          </cell>
          <cell r="F2447" t="str">
            <v>MENTAL HEALTH SERVICES COORD II</v>
          </cell>
          <cell r="G2447" t="str">
            <v>8149A</v>
          </cell>
          <cell r="H2447">
            <v>5152.3599999999997</v>
          </cell>
          <cell r="I2447">
            <v>1</v>
          </cell>
          <cell r="J2447">
            <v>12</v>
          </cell>
          <cell r="K2447">
            <v>1</v>
          </cell>
          <cell r="L2447">
            <v>61828.32</v>
          </cell>
        </row>
        <row r="2448">
          <cell r="A2448">
            <v>110114</v>
          </cell>
          <cell r="B2448">
            <v>32036</v>
          </cell>
          <cell r="D2448" t="str">
            <v>adult</v>
          </cell>
          <cell r="E2448" t="str">
            <v>M</v>
          </cell>
          <cell r="F2448" t="str">
            <v>MENTAL HEALTH SERVICES COORD II</v>
          </cell>
          <cell r="G2448" t="str">
            <v>8149A</v>
          </cell>
          <cell r="H2448">
            <v>5152.3599999999997</v>
          </cell>
          <cell r="I2448">
            <v>1</v>
          </cell>
          <cell r="J2448">
            <v>12</v>
          </cell>
          <cell r="K2448">
            <v>1</v>
          </cell>
          <cell r="L2448">
            <v>61828.32</v>
          </cell>
        </row>
        <row r="2449">
          <cell r="A2449">
            <v>110115</v>
          </cell>
          <cell r="B2449">
            <v>32036</v>
          </cell>
          <cell r="D2449" t="str">
            <v>adult</v>
          </cell>
          <cell r="E2449" t="str">
            <v>M</v>
          </cell>
          <cell r="F2449" t="str">
            <v>MENTAL HEALTH SERVICES COORD II</v>
          </cell>
          <cell r="G2449" t="str">
            <v>8149A</v>
          </cell>
          <cell r="H2449">
            <v>5152.3599999999997</v>
          </cell>
          <cell r="I2449">
            <v>1</v>
          </cell>
          <cell r="J2449">
            <v>12</v>
          </cell>
          <cell r="K2449">
            <v>1</v>
          </cell>
          <cell r="L2449">
            <v>61828.32</v>
          </cell>
        </row>
        <row r="2450">
          <cell r="A2450">
            <v>110116</v>
          </cell>
          <cell r="B2450">
            <v>32036</v>
          </cell>
          <cell r="D2450" t="str">
            <v>adult</v>
          </cell>
          <cell r="E2450" t="str">
            <v>M</v>
          </cell>
          <cell r="F2450" t="str">
            <v>MENTAL HEALTH SERVICES COORD II</v>
          </cell>
          <cell r="G2450" t="str">
            <v>8149A</v>
          </cell>
          <cell r="H2450">
            <v>5152.3599999999997</v>
          </cell>
          <cell r="I2450">
            <v>1</v>
          </cell>
          <cell r="J2450">
            <v>12</v>
          </cell>
          <cell r="K2450">
            <v>1</v>
          </cell>
          <cell r="L2450">
            <v>61828.32</v>
          </cell>
        </row>
        <row r="2451">
          <cell r="A2451">
            <v>110128</v>
          </cell>
          <cell r="B2451">
            <v>32051</v>
          </cell>
          <cell r="D2451" t="str">
            <v>adult</v>
          </cell>
          <cell r="E2451" t="str">
            <v>M</v>
          </cell>
          <cell r="F2451" t="str">
            <v>COMMUNITY WORKER</v>
          </cell>
          <cell r="G2451" t="str">
            <v>8103A</v>
          </cell>
          <cell r="H2451">
            <v>2984.09</v>
          </cell>
          <cell r="I2451">
            <v>1</v>
          </cell>
          <cell r="J2451">
            <v>12</v>
          </cell>
          <cell r="K2451">
            <v>1</v>
          </cell>
          <cell r="L2451">
            <v>35809.08</v>
          </cell>
        </row>
        <row r="2452">
          <cell r="A2452">
            <v>110129</v>
          </cell>
          <cell r="B2452">
            <v>32051</v>
          </cell>
          <cell r="D2452" t="str">
            <v>adult</v>
          </cell>
          <cell r="E2452" t="str">
            <v>M</v>
          </cell>
          <cell r="F2452" t="str">
            <v>COMMUNITY WORKER</v>
          </cell>
          <cell r="G2452" t="str">
            <v>8103A</v>
          </cell>
          <cell r="H2452">
            <v>2984.09</v>
          </cell>
          <cell r="I2452">
            <v>1</v>
          </cell>
          <cell r="J2452">
            <v>12</v>
          </cell>
          <cell r="K2452">
            <v>1</v>
          </cell>
          <cell r="L2452">
            <v>35809.08</v>
          </cell>
        </row>
        <row r="2453">
          <cell r="A2453">
            <v>110130</v>
          </cell>
          <cell r="B2453">
            <v>32051</v>
          </cell>
          <cell r="D2453" t="str">
            <v>adult</v>
          </cell>
          <cell r="E2453" t="str">
            <v>M</v>
          </cell>
          <cell r="F2453" t="str">
            <v>COMMUNITY WORKER</v>
          </cell>
          <cell r="G2453" t="str">
            <v>8103A</v>
          </cell>
          <cell r="H2453">
            <v>2984.09</v>
          </cell>
          <cell r="I2453">
            <v>1</v>
          </cell>
          <cell r="J2453">
            <v>12</v>
          </cell>
          <cell r="K2453">
            <v>1</v>
          </cell>
          <cell r="L2453">
            <v>35809.08</v>
          </cell>
        </row>
        <row r="2454">
          <cell r="A2454">
            <v>110131</v>
          </cell>
          <cell r="B2454">
            <v>32051</v>
          </cell>
          <cell r="D2454" t="str">
            <v>adult</v>
          </cell>
          <cell r="E2454" t="str">
            <v>M</v>
          </cell>
          <cell r="F2454" t="str">
            <v>COMMUNITY WORKER</v>
          </cell>
          <cell r="G2454" t="str">
            <v>8103A</v>
          </cell>
          <cell r="H2454">
            <v>2984.09</v>
          </cell>
          <cell r="I2454">
            <v>1</v>
          </cell>
          <cell r="J2454">
            <v>12</v>
          </cell>
          <cell r="K2454">
            <v>1</v>
          </cell>
          <cell r="L2454">
            <v>35809.08</v>
          </cell>
        </row>
        <row r="2455">
          <cell r="A2455">
            <v>110132</v>
          </cell>
          <cell r="B2455">
            <v>32051</v>
          </cell>
          <cell r="D2455" t="str">
            <v>adult</v>
          </cell>
          <cell r="E2455" t="str">
            <v>M</v>
          </cell>
          <cell r="F2455" t="str">
            <v>COMMUNITY WORKER</v>
          </cell>
          <cell r="G2455" t="str">
            <v>8103A</v>
          </cell>
          <cell r="H2455">
            <v>2984.09</v>
          </cell>
          <cell r="I2455">
            <v>1</v>
          </cell>
          <cell r="J2455">
            <v>12</v>
          </cell>
          <cell r="K2455">
            <v>1</v>
          </cell>
          <cell r="L2455">
            <v>35809.08</v>
          </cell>
        </row>
        <row r="2456">
          <cell r="A2456">
            <v>110133</v>
          </cell>
          <cell r="B2456">
            <v>32051</v>
          </cell>
          <cell r="D2456" t="str">
            <v>adult</v>
          </cell>
          <cell r="E2456" t="str">
            <v>M</v>
          </cell>
          <cell r="F2456" t="str">
            <v>COMMUNITY WORKER</v>
          </cell>
          <cell r="G2456" t="str">
            <v>8103A</v>
          </cell>
          <cell r="H2456">
            <v>2984.09</v>
          </cell>
          <cell r="I2456">
            <v>1</v>
          </cell>
          <cell r="J2456">
            <v>12</v>
          </cell>
          <cell r="K2456">
            <v>1</v>
          </cell>
          <cell r="L2456">
            <v>35809.08</v>
          </cell>
        </row>
        <row r="2457">
          <cell r="A2457">
            <v>110134</v>
          </cell>
          <cell r="B2457">
            <v>32051</v>
          </cell>
          <cell r="D2457" t="str">
            <v>adult</v>
          </cell>
          <cell r="E2457" t="str">
            <v>M</v>
          </cell>
          <cell r="F2457" t="str">
            <v>COMMUNITY WORKER</v>
          </cell>
          <cell r="G2457" t="str">
            <v>8103A</v>
          </cell>
          <cell r="H2457">
            <v>2984.09</v>
          </cell>
          <cell r="I2457">
            <v>1</v>
          </cell>
          <cell r="J2457">
            <v>12</v>
          </cell>
          <cell r="K2457">
            <v>1</v>
          </cell>
          <cell r="L2457">
            <v>35809.08</v>
          </cell>
        </row>
        <row r="2458">
          <cell r="A2458">
            <v>110135</v>
          </cell>
          <cell r="B2458">
            <v>32051</v>
          </cell>
          <cell r="D2458" t="str">
            <v>adult</v>
          </cell>
          <cell r="E2458" t="str">
            <v>M</v>
          </cell>
          <cell r="F2458" t="str">
            <v>COMMUNITY WORKER</v>
          </cell>
          <cell r="G2458" t="str">
            <v>8103A</v>
          </cell>
          <cell r="H2458">
            <v>2984.09</v>
          </cell>
          <cell r="I2458">
            <v>1</v>
          </cell>
          <cell r="J2458">
            <v>12</v>
          </cell>
          <cell r="K2458">
            <v>1</v>
          </cell>
          <cell r="L2458">
            <v>35809.08</v>
          </cell>
        </row>
        <row r="2459">
          <cell r="A2459">
            <v>110178</v>
          </cell>
          <cell r="B2459">
            <v>32051</v>
          </cell>
          <cell r="D2459" t="str">
            <v>adult</v>
          </cell>
          <cell r="E2459" t="str">
            <v>M</v>
          </cell>
          <cell r="F2459" t="str">
            <v>INTERMEDIATE TYPIST-CLERK</v>
          </cell>
          <cell r="G2459" t="str">
            <v>2214A</v>
          </cell>
          <cell r="H2459">
            <v>2675.27</v>
          </cell>
          <cell r="I2459">
            <v>1</v>
          </cell>
          <cell r="J2459">
            <v>12</v>
          </cell>
          <cell r="K2459">
            <v>1</v>
          </cell>
          <cell r="L2459">
            <v>32103.24</v>
          </cell>
        </row>
        <row r="2460">
          <cell r="A2460">
            <v>110179</v>
          </cell>
          <cell r="B2460">
            <v>32051</v>
          </cell>
          <cell r="D2460" t="str">
            <v>adult</v>
          </cell>
          <cell r="E2460" t="str">
            <v>M</v>
          </cell>
          <cell r="F2460" t="str">
            <v>INTERMEDIATE TYPIST-CLERK</v>
          </cell>
          <cell r="G2460" t="str">
            <v>2214A</v>
          </cell>
          <cell r="H2460">
            <v>2675.27</v>
          </cell>
          <cell r="I2460">
            <v>1</v>
          </cell>
          <cell r="J2460">
            <v>12</v>
          </cell>
          <cell r="K2460">
            <v>1</v>
          </cell>
          <cell r="L2460">
            <v>32103.24</v>
          </cell>
        </row>
        <row r="2461">
          <cell r="A2461">
            <v>110180</v>
          </cell>
          <cell r="B2461">
            <v>32051</v>
          </cell>
          <cell r="D2461" t="str">
            <v>adult</v>
          </cell>
          <cell r="E2461" t="str">
            <v>M</v>
          </cell>
          <cell r="F2461" t="str">
            <v>INTERMEDIATE TYPIST-CLERK</v>
          </cell>
          <cell r="G2461" t="str">
            <v>2214A</v>
          </cell>
          <cell r="H2461">
            <v>2675.27</v>
          </cell>
          <cell r="I2461">
            <v>1</v>
          </cell>
          <cell r="J2461">
            <v>12</v>
          </cell>
          <cell r="K2461">
            <v>1</v>
          </cell>
          <cell r="L2461">
            <v>32103.24</v>
          </cell>
        </row>
        <row r="2462">
          <cell r="A2462">
            <v>110181</v>
          </cell>
          <cell r="B2462">
            <v>32051</v>
          </cell>
          <cell r="D2462" t="str">
            <v>adult</v>
          </cell>
          <cell r="E2462" t="str">
            <v>M</v>
          </cell>
          <cell r="F2462" t="str">
            <v>INTERMEDIATE TYPIST-CLERK</v>
          </cell>
          <cell r="G2462" t="str">
            <v>2214A</v>
          </cell>
          <cell r="H2462">
            <v>2675.27</v>
          </cell>
          <cell r="I2462">
            <v>1</v>
          </cell>
          <cell r="J2462">
            <v>12</v>
          </cell>
          <cell r="K2462">
            <v>1</v>
          </cell>
          <cell r="L2462">
            <v>32103.24</v>
          </cell>
        </row>
        <row r="2463">
          <cell r="A2463">
            <v>110182</v>
          </cell>
          <cell r="B2463">
            <v>32051</v>
          </cell>
          <cell r="D2463" t="str">
            <v>adult</v>
          </cell>
          <cell r="E2463" t="str">
            <v>M</v>
          </cell>
          <cell r="F2463" t="str">
            <v>INTERMEDIATE TYPIST-CLERK</v>
          </cell>
          <cell r="G2463" t="str">
            <v>2214A</v>
          </cell>
          <cell r="H2463">
            <v>2675.27</v>
          </cell>
          <cell r="I2463">
            <v>1</v>
          </cell>
          <cell r="J2463">
            <v>12</v>
          </cell>
          <cell r="K2463">
            <v>1</v>
          </cell>
          <cell r="L2463">
            <v>32103.24</v>
          </cell>
        </row>
        <row r="2464">
          <cell r="A2464">
            <v>110183</v>
          </cell>
          <cell r="B2464">
            <v>32051</v>
          </cell>
          <cell r="D2464" t="str">
            <v>adult</v>
          </cell>
          <cell r="E2464" t="str">
            <v>M</v>
          </cell>
          <cell r="F2464" t="str">
            <v>INTERMEDIATE TYPIST-CLERK</v>
          </cell>
          <cell r="G2464" t="str">
            <v>2214A</v>
          </cell>
          <cell r="H2464">
            <v>2675.27</v>
          </cell>
          <cell r="I2464">
            <v>1</v>
          </cell>
          <cell r="J2464">
            <v>12</v>
          </cell>
          <cell r="K2464">
            <v>1</v>
          </cell>
          <cell r="L2464">
            <v>32103.24</v>
          </cell>
        </row>
        <row r="2465">
          <cell r="A2465">
            <v>110184</v>
          </cell>
          <cell r="B2465">
            <v>32051</v>
          </cell>
          <cell r="D2465" t="str">
            <v>adult</v>
          </cell>
          <cell r="E2465" t="str">
            <v>M</v>
          </cell>
          <cell r="F2465" t="str">
            <v>INTERMEDIATE TYPIST-CLERK</v>
          </cell>
          <cell r="G2465" t="str">
            <v>2214A</v>
          </cell>
          <cell r="H2465">
            <v>2675.27</v>
          </cell>
          <cell r="I2465">
            <v>1</v>
          </cell>
          <cell r="J2465">
            <v>12</v>
          </cell>
          <cell r="K2465">
            <v>1</v>
          </cell>
          <cell r="L2465">
            <v>32103.24</v>
          </cell>
        </row>
        <row r="2466">
          <cell r="A2466">
            <v>110185</v>
          </cell>
          <cell r="B2466">
            <v>32051</v>
          </cell>
          <cell r="D2466" t="str">
            <v>adult</v>
          </cell>
          <cell r="E2466" t="str">
            <v>M</v>
          </cell>
          <cell r="F2466" t="str">
            <v>INTERMEDIATE TYPIST-CLERK</v>
          </cell>
          <cell r="G2466" t="str">
            <v>2214A</v>
          </cell>
          <cell r="H2466">
            <v>2675.27</v>
          </cell>
          <cell r="I2466">
            <v>1</v>
          </cell>
          <cell r="J2466">
            <v>12</v>
          </cell>
          <cell r="K2466">
            <v>1</v>
          </cell>
          <cell r="L2466">
            <v>32103.24</v>
          </cell>
        </row>
        <row r="2467">
          <cell r="A2467">
            <v>110136</v>
          </cell>
          <cell r="B2467">
            <v>32051</v>
          </cell>
          <cell r="D2467" t="str">
            <v>adult</v>
          </cell>
          <cell r="E2467" t="str">
            <v>M</v>
          </cell>
          <cell r="F2467" t="str">
            <v>MENTAL HEALTH SERVICES COORD II</v>
          </cell>
          <cell r="G2467" t="str">
            <v>8149A</v>
          </cell>
          <cell r="H2467">
            <v>5152.3599999999997</v>
          </cell>
          <cell r="I2467">
            <v>1</v>
          </cell>
          <cell r="J2467">
            <v>12</v>
          </cell>
          <cell r="K2467">
            <v>1</v>
          </cell>
          <cell r="L2467">
            <v>61828.32</v>
          </cell>
        </row>
        <row r="2468">
          <cell r="A2468">
            <v>110137</v>
          </cell>
          <cell r="B2468">
            <v>32051</v>
          </cell>
          <cell r="D2468" t="str">
            <v>adult</v>
          </cell>
          <cell r="E2468" t="str">
            <v>M</v>
          </cell>
          <cell r="F2468" t="str">
            <v>MENTAL HEALTH SERVICES COORD II</v>
          </cell>
          <cell r="G2468" t="str">
            <v>8149A</v>
          </cell>
          <cell r="H2468">
            <v>5152.3599999999997</v>
          </cell>
          <cell r="I2468">
            <v>1</v>
          </cell>
          <cell r="J2468">
            <v>12</v>
          </cell>
          <cell r="K2468">
            <v>1</v>
          </cell>
          <cell r="L2468">
            <v>61828.32</v>
          </cell>
        </row>
        <row r="2469">
          <cell r="A2469">
            <v>110138</v>
          </cell>
          <cell r="B2469">
            <v>32051</v>
          </cell>
          <cell r="D2469" t="str">
            <v>adult</v>
          </cell>
          <cell r="E2469" t="str">
            <v>M</v>
          </cell>
          <cell r="F2469" t="str">
            <v>MENTAL HEALTH SERVICES COORD II</v>
          </cell>
          <cell r="G2469" t="str">
            <v>8149A</v>
          </cell>
          <cell r="H2469">
            <v>5152.3599999999997</v>
          </cell>
          <cell r="I2469">
            <v>1</v>
          </cell>
          <cell r="J2469">
            <v>12</v>
          </cell>
          <cell r="K2469">
            <v>1</v>
          </cell>
          <cell r="L2469">
            <v>61828.32</v>
          </cell>
        </row>
        <row r="2470">
          <cell r="A2470">
            <v>110139</v>
          </cell>
          <cell r="B2470">
            <v>32051</v>
          </cell>
          <cell r="D2470" t="str">
            <v>adult</v>
          </cell>
          <cell r="E2470" t="str">
            <v>M</v>
          </cell>
          <cell r="F2470" t="str">
            <v>MENTAL HEALTH SERVICES COORD II</v>
          </cell>
          <cell r="G2470" t="str">
            <v>8149A</v>
          </cell>
          <cell r="H2470">
            <v>5152.3599999999997</v>
          </cell>
          <cell r="I2470">
            <v>1</v>
          </cell>
          <cell r="J2470">
            <v>12</v>
          </cell>
          <cell r="K2470">
            <v>1</v>
          </cell>
          <cell r="L2470">
            <v>61828.32</v>
          </cell>
        </row>
        <row r="2471">
          <cell r="A2471">
            <v>110140</v>
          </cell>
          <cell r="B2471">
            <v>32051</v>
          </cell>
          <cell r="D2471" t="str">
            <v>adult</v>
          </cell>
          <cell r="E2471" t="str">
            <v>M</v>
          </cell>
          <cell r="F2471" t="str">
            <v>MENTAL HEALTH SERVICES COORD II</v>
          </cell>
          <cell r="G2471" t="str">
            <v>8149A</v>
          </cell>
          <cell r="H2471">
            <v>5152.3599999999997</v>
          </cell>
          <cell r="I2471">
            <v>1</v>
          </cell>
          <cell r="J2471">
            <v>12</v>
          </cell>
          <cell r="K2471">
            <v>1</v>
          </cell>
          <cell r="L2471">
            <v>61828.32</v>
          </cell>
        </row>
        <row r="2472">
          <cell r="A2472">
            <v>110141</v>
          </cell>
          <cell r="B2472">
            <v>32051</v>
          </cell>
          <cell r="D2472" t="str">
            <v>adult</v>
          </cell>
          <cell r="E2472" t="str">
            <v>M</v>
          </cell>
          <cell r="F2472" t="str">
            <v>MENTAL HEALTH SERVICES COORD II</v>
          </cell>
          <cell r="G2472" t="str">
            <v>8149A</v>
          </cell>
          <cell r="H2472">
            <v>5152.3599999999997</v>
          </cell>
          <cell r="I2472">
            <v>1</v>
          </cell>
          <cell r="J2472">
            <v>12</v>
          </cell>
          <cell r="K2472">
            <v>1</v>
          </cell>
          <cell r="L2472">
            <v>61828.32</v>
          </cell>
        </row>
        <row r="2473">
          <cell r="A2473">
            <v>110142</v>
          </cell>
          <cell r="B2473">
            <v>32051</v>
          </cell>
          <cell r="D2473" t="str">
            <v>adult</v>
          </cell>
          <cell r="E2473" t="str">
            <v>M</v>
          </cell>
          <cell r="F2473" t="str">
            <v>MENTAL HEALTH SERVICES COORD II</v>
          </cell>
          <cell r="G2473" t="str">
            <v>8149A</v>
          </cell>
          <cell r="H2473">
            <v>5152.3599999999997</v>
          </cell>
          <cell r="I2473">
            <v>1</v>
          </cell>
          <cell r="J2473">
            <v>12</v>
          </cell>
          <cell r="K2473">
            <v>1</v>
          </cell>
          <cell r="L2473">
            <v>61828.32</v>
          </cell>
        </row>
        <row r="2474">
          <cell r="A2474">
            <v>110143</v>
          </cell>
          <cell r="B2474">
            <v>32051</v>
          </cell>
          <cell r="D2474" t="str">
            <v>adult</v>
          </cell>
          <cell r="E2474" t="str">
            <v>M</v>
          </cell>
          <cell r="F2474" t="str">
            <v>MENTAL HEALTH SERVICES COORD II</v>
          </cell>
          <cell r="G2474" t="str">
            <v>8149A</v>
          </cell>
          <cell r="H2474">
            <v>5152.3599999999997</v>
          </cell>
          <cell r="I2474">
            <v>1</v>
          </cell>
          <cell r="J2474">
            <v>12</v>
          </cell>
          <cell r="K2474">
            <v>1</v>
          </cell>
          <cell r="L2474">
            <v>61828.32</v>
          </cell>
        </row>
        <row r="2475">
          <cell r="A2475">
            <v>110144</v>
          </cell>
          <cell r="B2475">
            <v>32051</v>
          </cell>
          <cell r="D2475" t="str">
            <v>adult</v>
          </cell>
          <cell r="E2475" t="str">
            <v>M</v>
          </cell>
          <cell r="F2475" t="str">
            <v>MENTAL HEALTH SERVICES COORD II</v>
          </cell>
          <cell r="G2475" t="str">
            <v>8149A</v>
          </cell>
          <cell r="H2475">
            <v>5152.3599999999997</v>
          </cell>
          <cell r="I2475">
            <v>1</v>
          </cell>
          <cell r="J2475">
            <v>12</v>
          </cell>
          <cell r="K2475">
            <v>1</v>
          </cell>
          <cell r="L2475">
            <v>61828.32</v>
          </cell>
        </row>
        <row r="2476">
          <cell r="A2476">
            <v>110145</v>
          </cell>
          <cell r="B2476">
            <v>32051</v>
          </cell>
          <cell r="D2476" t="str">
            <v>adult</v>
          </cell>
          <cell r="E2476" t="str">
            <v>M</v>
          </cell>
          <cell r="F2476" t="str">
            <v>MENTAL HEALTH SERVICES COORD II</v>
          </cell>
          <cell r="G2476" t="str">
            <v>8149A</v>
          </cell>
          <cell r="H2476">
            <v>5152.3599999999997</v>
          </cell>
          <cell r="I2476">
            <v>1</v>
          </cell>
          <cell r="J2476">
            <v>12</v>
          </cell>
          <cell r="K2476">
            <v>1</v>
          </cell>
          <cell r="L2476">
            <v>61828.32</v>
          </cell>
        </row>
        <row r="2477">
          <cell r="A2477">
            <v>110146</v>
          </cell>
          <cell r="B2477">
            <v>32051</v>
          </cell>
          <cell r="D2477" t="str">
            <v>adult</v>
          </cell>
          <cell r="E2477" t="str">
            <v>M</v>
          </cell>
          <cell r="F2477" t="str">
            <v>MENTAL HEALTH SERVICES COORD II</v>
          </cell>
          <cell r="G2477" t="str">
            <v>8149A</v>
          </cell>
          <cell r="H2477">
            <v>5152.3599999999997</v>
          </cell>
          <cell r="I2477">
            <v>1</v>
          </cell>
          <cell r="J2477">
            <v>12</v>
          </cell>
          <cell r="K2477">
            <v>1</v>
          </cell>
          <cell r="L2477">
            <v>61828.32</v>
          </cell>
        </row>
        <row r="2478">
          <cell r="A2478">
            <v>110147</v>
          </cell>
          <cell r="B2478">
            <v>32051</v>
          </cell>
          <cell r="D2478" t="str">
            <v>adult</v>
          </cell>
          <cell r="E2478" t="str">
            <v>M</v>
          </cell>
          <cell r="F2478" t="str">
            <v>MENTAL HEALTH SERVICES COORD II</v>
          </cell>
          <cell r="G2478" t="str">
            <v>8149A</v>
          </cell>
          <cell r="H2478">
            <v>5152.3599999999997</v>
          </cell>
          <cell r="I2478">
            <v>1</v>
          </cell>
          <cell r="J2478">
            <v>12</v>
          </cell>
          <cell r="K2478">
            <v>1</v>
          </cell>
          <cell r="L2478">
            <v>61828.32</v>
          </cell>
        </row>
        <row r="2479">
          <cell r="A2479">
            <v>110148</v>
          </cell>
          <cell r="B2479">
            <v>32051</v>
          </cell>
          <cell r="D2479" t="str">
            <v>adult</v>
          </cell>
          <cell r="E2479" t="str">
            <v>M</v>
          </cell>
          <cell r="F2479" t="str">
            <v>MENTAL HEALTH SERVICES COORD II</v>
          </cell>
          <cell r="G2479" t="str">
            <v>8149A</v>
          </cell>
          <cell r="H2479">
            <v>5152.3599999999997</v>
          </cell>
          <cell r="I2479">
            <v>1</v>
          </cell>
          <cell r="J2479">
            <v>12</v>
          </cell>
          <cell r="K2479">
            <v>1</v>
          </cell>
          <cell r="L2479">
            <v>61828.32</v>
          </cell>
        </row>
        <row r="2480">
          <cell r="A2480">
            <v>110149</v>
          </cell>
          <cell r="B2480">
            <v>32051</v>
          </cell>
          <cell r="D2480" t="str">
            <v>adult</v>
          </cell>
          <cell r="E2480" t="str">
            <v>M</v>
          </cell>
          <cell r="F2480" t="str">
            <v>MENTAL HEALTH SERVICES COORD II</v>
          </cell>
          <cell r="G2480" t="str">
            <v>8149A</v>
          </cell>
          <cell r="H2480">
            <v>5152.3599999999997</v>
          </cell>
          <cell r="I2480">
            <v>1</v>
          </cell>
          <cell r="J2480">
            <v>12</v>
          </cell>
          <cell r="K2480">
            <v>1</v>
          </cell>
          <cell r="L2480">
            <v>61828.32</v>
          </cell>
        </row>
        <row r="2481">
          <cell r="A2481">
            <v>110150</v>
          </cell>
          <cell r="B2481">
            <v>32051</v>
          </cell>
          <cell r="D2481" t="str">
            <v>adult</v>
          </cell>
          <cell r="E2481" t="str">
            <v>M</v>
          </cell>
          <cell r="F2481" t="str">
            <v>MENTAL HEALTH SERVICES COORD II</v>
          </cell>
          <cell r="G2481" t="str">
            <v>8149A</v>
          </cell>
          <cell r="H2481">
            <v>5152.3599999999997</v>
          </cell>
          <cell r="I2481">
            <v>1</v>
          </cell>
          <cell r="J2481">
            <v>12</v>
          </cell>
          <cell r="K2481">
            <v>1</v>
          </cell>
          <cell r="L2481">
            <v>61828.32</v>
          </cell>
        </row>
        <row r="2482">
          <cell r="A2482">
            <v>110151</v>
          </cell>
          <cell r="B2482">
            <v>32051</v>
          </cell>
          <cell r="D2482" t="str">
            <v>adult</v>
          </cell>
          <cell r="E2482" t="str">
            <v>M</v>
          </cell>
          <cell r="F2482" t="str">
            <v>MENTAL HEALTH SERVICES COORD II</v>
          </cell>
          <cell r="G2482" t="str">
            <v>8149A</v>
          </cell>
          <cell r="H2482">
            <v>5152.3599999999997</v>
          </cell>
          <cell r="I2482">
            <v>1</v>
          </cell>
          <cell r="J2482">
            <v>12</v>
          </cell>
          <cell r="K2482">
            <v>1</v>
          </cell>
          <cell r="L2482">
            <v>61828.32</v>
          </cell>
        </row>
        <row r="2483">
          <cell r="A2483">
            <v>110152</v>
          </cell>
          <cell r="B2483">
            <v>32051</v>
          </cell>
          <cell r="D2483" t="str">
            <v>adult</v>
          </cell>
          <cell r="E2483" t="str">
            <v>M</v>
          </cell>
          <cell r="F2483" t="str">
            <v>PSYCHIATRIC SOCIAL WORKER II</v>
          </cell>
          <cell r="G2483" t="str">
            <v>9035A</v>
          </cell>
          <cell r="H2483">
            <v>5425.82</v>
          </cell>
          <cell r="I2483">
            <v>1</v>
          </cell>
          <cell r="J2483">
            <v>12</v>
          </cell>
          <cell r="K2483">
            <v>1</v>
          </cell>
          <cell r="L2483">
            <v>65109.84</v>
          </cell>
        </row>
        <row r="2484">
          <cell r="A2484">
            <v>110153</v>
          </cell>
          <cell r="B2484">
            <v>32051</v>
          </cell>
          <cell r="D2484" t="str">
            <v>adult</v>
          </cell>
          <cell r="E2484" t="str">
            <v>M</v>
          </cell>
          <cell r="F2484" t="str">
            <v>PSYCHIATRIC SOCIAL WORKER II</v>
          </cell>
          <cell r="G2484" t="str">
            <v>9035A</v>
          </cell>
          <cell r="H2484">
            <v>5425.82</v>
          </cell>
          <cell r="I2484">
            <v>1</v>
          </cell>
          <cell r="J2484">
            <v>12</v>
          </cell>
          <cell r="K2484">
            <v>1</v>
          </cell>
          <cell r="L2484">
            <v>65109.84</v>
          </cell>
        </row>
        <row r="2485">
          <cell r="A2485">
            <v>110154</v>
          </cell>
          <cell r="B2485">
            <v>32051</v>
          </cell>
          <cell r="D2485" t="str">
            <v>adult</v>
          </cell>
          <cell r="E2485" t="str">
            <v>M</v>
          </cell>
          <cell r="F2485" t="str">
            <v>PSYCHIATRIC SOCIAL WORKER II</v>
          </cell>
          <cell r="G2485" t="str">
            <v>9035A</v>
          </cell>
          <cell r="H2485">
            <v>5425.82</v>
          </cell>
          <cell r="I2485">
            <v>1</v>
          </cell>
          <cell r="J2485">
            <v>12</v>
          </cell>
          <cell r="K2485">
            <v>1</v>
          </cell>
          <cell r="L2485">
            <v>65109.84</v>
          </cell>
        </row>
        <row r="2486">
          <cell r="A2486">
            <v>110155</v>
          </cell>
          <cell r="B2486">
            <v>32051</v>
          </cell>
          <cell r="D2486" t="str">
            <v>adult</v>
          </cell>
          <cell r="E2486" t="str">
            <v>M</v>
          </cell>
          <cell r="F2486" t="str">
            <v>PSYCHIATRIC SOCIAL WORKER II</v>
          </cell>
          <cell r="G2486" t="str">
            <v>9035A</v>
          </cell>
          <cell r="H2486">
            <v>5425.82</v>
          </cell>
          <cell r="I2486">
            <v>1</v>
          </cell>
          <cell r="J2486">
            <v>12</v>
          </cell>
          <cell r="K2486">
            <v>1</v>
          </cell>
          <cell r="L2486">
            <v>65109.84</v>
          </cell>
        </row>
        <row r="2487">
          <cell r="A2487">
            <v>110156</v>
          </cell>
          <cell r="B2487">
            <v>32051</v>
          </cell>
          <cell r="D2487" t="str">
            <v>adult</v>
          </cell>
          <cell r="E2487" t="str">
            <v>M</v>
          </cell>
          <cell r="F2487" t="str">
            <v>PSYCHIATRIC SOCIAL WORKER II</v>
          </cell>
          <cell r="G2487" t="str">
            <v>9035A</v>
          </cell>
          <cell r="H2487">
            <v>5425.82</v>
          </cell>
          <cell r="I2487">
            <v>1</v>
          </cell>
          <cell r="J2487">
            <v>12</v>
          </cell>
          <cell r="K2487">
            <v>1</v>
          </cell>
          <cell r="L2487">
            <v>65109.84</v>
          </cell>
        </row>
        <row r="2488">
          <cell r="A2488">
            <v>110157</v>
          </cell>
          <cell r="B2488">
            <v>32051</v>
          </cell>
          <cell r="D2488" t="str">
            <v>adult</v>
          </cell>
          <cell r="E2488" t="str">
            <v>M</v>
          </cell>
          <cell r="F2488" t="str">
            <v>PSYCHIATRIC SOCIAL WORKER II</v>
          </cell>
          <cell r="G2488" t="str">
            <v>9035A</v>
          </cell>
          <cell r="H2488">
            <v>5425.82</v>
          </cell>
          <cell r="I2488">
            <v>1</v>
          </cell>
          <cell r="J2488">
            <v>12</v>
          </cell>
          <cell r="K2488">
            <v>1</v>
          </cell>
          <cell r="L2488">
            <v>65109.84</v>
          </cell>
        </row>
        <row r="2489">
          <cell r="A2489">
            <v>110158</v>
          </cell>
          <cell r="B2489">
            <v>32051</v>
          </cell>
          <cell r="D2489" t="str">
            <v>adult</v>
          </cell>
          <cell r="E2489" t="str">
            <v>M</v>
          </cell>
          <cell r="F2489" t="str">
            <v>PSYCHIATRIC SOCIAL WORKER II</v>
          </cell>
          <cell r="G2489" t="str">
            <v>9035A</v>
          </cell>
          <cell r="H2489">
            <v>5425.82</v>
          </cell>
          <cell r="I2489">
            <v>1</v>
          </cell>
          <cell r="J2489">
            <v>12</v>
          </cell>
          <cell r="K2489">
            <v>1</v>
          </cell>
          <cell r="L2489">
            <v>65109.84</v>
          </cell>
        </row>
        <row r="2490">
          <cell r="A2490">
            <v>110159</v>
          </cell>
          <cell r="B2490">
            <v>32051</v>
          </cell>
          <cell r="D2490" t="str">
            <v>adult</v>
          </cell>
          <cell r="E2490" t="str">
            <v>M</v>
          </cell>
          <cell r="F2490" t="str">
            <v>PSYCHIATRIC SOCIAL WORKER II</v>
          </cell>
          <cell r="G2490" t="str">
            <v>9035A</v>
          </cell>
          <cell r="H2490">
            <v>5425.82</v>
          </cell>
          <cell r="I2490">
            <v>1</v>
          </cell>
          <cell r="J2490">
            <v>12</v>
          </cell>
          <cell r="K2490">
            <v>1</v>
          </cell>
          <cell r="L2490">
            <v>65109.84</v>
          </cell>
        </row>
        <row r="2491">
          <cell r="A2491">
            <v>110160</v>
          </cell>
          <cell r="B2491">
            <v>32051</v>
          </cell>
          <cell r="D2491" t="str">
            <v>adult</v>
          </cell>
          <cell r="E2491" t="str">
            <v>M</v>
          </cell>
          <cell r="F2491" t="str">
            <v>PSYCHIATRIC SOCIAL WORKER II</v>
          </cell>
          <cell r="G2491" t="str">
            <v>9035A</v>
          </cell>
          <cell r="H2491">
            <v>5425.82</v>
          </cell>
          <cell r="I2491">
            <v>1</v>
          </cell>
          <cell r="J2491">
            <v>12</v>
          </cell>
          <cell r="K2491">
            <v>1</v>
          </cell>
          <cell r="L2491">
            <v>65109.84</v>
          </cell>
        </row>
        <row r="2492">
          <cell r="A2492">
            <v>110161</v>
          </cell>
          <cell r="B2492">
            <v>32051</v>
          </cell>
          <cell r="D2492" t="str">
            <v>adult</v>
          </cell>
          <cell r="E2492" t="str">
            <v>M</v>
          </cell>
          <cell r="F2492" t="str">
            <v>PSYCHIATRIC SOCIAL WORKER II</v>
          </cell>
          <cell r="G2492" t="str">
            <v>9035A</v>
          </cell>
          <cell r="H2492">
            <v>5425.82</v>
          </cell>
          <cell r="I2492">
            <v>1</v>
          </cell>
          <cell r="J2492">
            <v>12</v>
          </cell>
          <cell r="K2492">
            <v>1</v>
          </cell>
          <cell r="L2492">
            <v>65109.84</v>
          </cell>
        </row>
        <row r="2493">
          <cell r="A2493">
            <v>110162</v>
          </cell>
          <cell r="B2493">
            <v>32051</v>
          </cell>
          <cell r="D2493" t="str">
            <v>adult</v>
          </cell>
          <cell r="E2493" t="str">
            <v>M</v>
          </cell>
          <cell r="F2493" t="str">
            <v>PSYCHIATRIC SOCIAL WORKER II</v>
          </cell>
          <cell r="G2493" t="str">
            <v>9035A</v>
          </cell>
          <cell r="H2493">
            <v>5425.82</v>
          </cell>
          <cell r="I2493">
            <v>1</v>
          </cell>
          <cell r="J2493">
            <v>12</v>
          </cell>
          <cell r="K2493">
            <v>1</v>
          </cell>
          <cell r="L2493">
            <v>65109.84</v>
          </cell>
        </row>
        <row r="2494">
          <cell r="A2494">
            <v>110163</v>
          </cell>
          <cell r="B2494">
            <v>32051</v>
          </cell>
          <cell r="D2494" t="str">
            <v>adult</v>
          </cell>
          <cell r="E2494" t="str">
            <v>M</v>
          </cell>
          <cell r="F2494" t="str">
            <v>PSYCHIATRIC SOCIAL WORKER II</v>
          </cell>
          <cell r="G2494" t="str">
            <v>9035A</v>
          </cell>
          <cell r="H2494">
            <v>5425.82</v>
          </cell>
          <cell r="I2494">
            <v>1</v>
          </cell>
          <cell r="J2494">
            <v>12</v>
          </cell>
          <cell r="K2494">
            <v>1</v>
          </cell>
          <cell r="L2494">
            <v>65109.84</v>
          </cell>
        </row>
        <row r="2495">
          <cell r="A2495">
            <v>110164</v>
          </cell>
          <cell r="B2495">
            <v>32051</v>
          </cell>
          <cell r="D2495" t="str">
            <v>adult</v>
          </cell>
          <cell r="E2495" t="str">
            <v>M</v>
          </cell>
          <cell r="F2495" t="str">
            <v>PSYCHIATRIC SOCIAL WORKER II</v>
          </cell>
          <cell r="G2495" t="str">
            <v>9035A</v>
          </cell>
          <cell r="H2495">
            <v>5425.82</v>
          </cell>
          <cell r="I2495">
            <v>1</v>
          </cell>
          <cell r="J2495">
            <v>12</v>
          </cell>
          <cell r="K2495">
            <v>1</v>
          </cell>
          <cell r="L2495">
            <v>65109.84</v>
          </cell>
        </row>
        <row r="2496">
          <cell r="A2496">
            <v>110165</v>
          </cell>
          <cell r="B2496">
            <v>32051</v>
          </cell>
          <cell r="D2496" t="str">
            <v>adult</v>
          </cell>
          <cell r="E2496" t="str">
            <v>M</v>
          </cell>
          <cell r="F2496" t="str">
            <v>PSYCHIATRIC SOCIAL WORKER II</v>
          </cell>
          <cell r="G2496" t="str">
            <v>9035A</v>
          </cell>
          <cell r="H2496">
            <v>5425.82</v>
          </cell>
          <cell r="I2496">
            <v>1</v>
          </cell>
          <cell r="J2496">
            <v>12</v>
          </cell>
          <cell r="K2496">
            <v>1</v>
          </cell>
          <cell r="L2496">
            <v>65109.84</v>
          </cell>
        </row>
        <row r="2497">
          <cell r="A2497">
            <v>110166</v>
          </cell>
          <cell r="B2497">
            <v>32051</v>
          </cell>
          <cell r="D2497" t="str">
            <v>adult</v>
          </cell>
          <cell r="E2497" t="str">
            <v>M</v>
          </cell>
          <cell r="F2497" t="str">
            <v>PSYCHIATRIC SOCIAL WORKER II</v>
          </cell>
          <cell r="G2497" t="str">
            <v>9035A</v>
          </cell>
          <cell r="H2497">
            <v>5425.82</v>
          </cell>
          <cell r="I2497">
            <v>1</v>
          </cell>
          <cell r="J2497">
            <v>12</v>
          </cell>
          <cell r="K2497">
            <v>1</v>
          </cell>
          <cell r="L2497">
            <v>65109.84</v>
          </cell>
        </row>
        <row r="2498">
          <cell r="A2498">
            <v>110167</v>
          </cell>
          <cell r="B2498">
            <v>32051</v>
          </cell>
          <cell r="D2498" t="str">
            <v>adult</v>
          </cell>
          <cell r="E2498" t="str">
            <v>M</v>
          </cell>
          <cell r="F2498" t="str">
            <v>PSYCHIATRIC SOCIAL WORKER II</v>
          </cell>
          <cell r="G2498" t="str">
            <v>9035A</v>
          </cell>
          <cell r="H2498">
            <v>5425.82</v>
          </cell>
          <cell r="I2498">
            <v>1</v>
          </cell>
          <cell r="J2498">
            <v>12</v>
          </cell>
          <cell r="K2498">
            <v>1</v>
          </cell>
          <cell r="L2498">
            <v>65109.84</v>
          </cell>
        </row>
        <row r="2499">
          <cell r="A2499">
            <v>110168</v>
          </cell>
          <cell r="B2499">
            <v>32051</v>
          </cell>
          <cell r="D2499" t="str">
            <v>adult</v>
          </cell>
          <cell r="E2499" t="str">
            <v>M</v>
          </cell>
          <cell r="F2499" t="str">
            <v>PSYCHIATRIC SOCIAL WORKER II</v>
          </cell>
          <cell r="G2499" t="str">
            <v>9035A</v>
          </cell>
          <cell r="H2499">
            <v>5425.82</v>
          </cell>
          <cell r="I2499">
            <v>1</v>
          </cell>
          <cell r="J2499">
            <v>12</v>
          </cell>
          <cell r="K2499">
            <v>1</v>
          </cell>
          <cell r="L2499">
            <v>65109.84</v>
          </cell>
        </row>
        <row r="2500">
          <cell r="A2500">
            <v>110169</v>
          </cell>
          <cell r="B2500">
            <v>32051</v>
          </cell>
          <cell r="D2500" t="str">
            <v>adult</v>
          </cell>
          <cell r="E2500" t="str">
            <v>M</v>
          </cell>
          <cell r="F2500" t="str">
            <v>PSYCHIATRIC SOCIAL WORKER II</v>
          </cell>
          <cell r="G2500" t="str">
            <v>9035A</v>
          </cell>
          <cell r="H2500">
            <v>5425.82</v>
          </cell>
          <cell r="I2500">
            <v>1</v>
          </cell>
          <cell r="J2500">
            <v>12</v>
          </cell>
          <cell r="K2500">
            <v>1</v>
          </cell>
          <cell r="L2500">
            <v>65109.84</v>
          </cell>
        </row>
        <row r="2501">
          <cell r="A2501">
            <v>110170</v>
          </cell>
          <cell r="B2501">
            <v>32051</v>
          </cell>
          <cell r="D2501" t="str">
            <v>adult</v>
          </cell>
          <cell r="E2501" t="str">
            <v>M</v>
          </cell>
          <cell r="F2501" t="str">
            <v>PSYCHIATRIC SOCIAL WORKER II</v>
          </cell>
          <cell r="G2501" t="str">
            <v>9035A</v>
          </cell>
          <cell r="H2501">
            <v>5425.82</v>
          </cell>
          <cell r="I2501">
            <v>1</v>
          </cell>
          <cell r="J2501">
            <v>12</v>
          </cell>
          <cell r="K2501">
            <v>1</v>
          </cell>
          <cell r="L2501">
            <v>65109.84</v>
          </cell>
        </row>
        <row r="2502">
          <cell r="A2502">
            <v>110171</v>
          </cell>
          <cell r="B2502">
            <v>32051</v>
          </cell>
          <cell r="D2502" t="str">
            <v>adult</v>
          </cell>
          <cell r="E2502" t="str">
            <v>M</v>
          </cell>
          <cell r="F2502" t="str">
            <v>PSYCHIATRIC SOCIAL WORKER II</v>
          </cell>
          <cell r="G2502" t="str">
            <v>9035A</v>
          </cell>
          <cell r="H2502">
            <v>5425.82</v>
          </cell>
          <cell r="I2502">
            <v>1</v>
          </cell>
          <cell r="J2502">
            <v>12</v>
          </cell>
          <cell r="K2502">
            <v>1</v>
          </cell>
          <cell r="L2502">
            <v>65109.84</v>
          </cell>
        </row>
        <row r="2503">
          <cell r="A2503">
            <v>110172</v>
          </cell>
          <cell r="B2503">
            <v>32051</v>
          </cell>
          <cell r="D2503" t="str">
            <v>adult</v>
          </cell>
          <cell r="E2503" t="str">
            <v>M</v>
          </cell>
          <cell r="F2503" t="str">
            <v>PSYCHIATRIC SOCIAL WORKER II</v>
          </cell>
          <cell r="G2503" t="str">
            <v>9035A</v>
          </cell>
          <cell r="H2503">
            <v>5425.82</v>
          </cell>
          <cell r="I2503">
            <v>1</v>
          </cell>
          <cell r="J2503">
            <v>12</v>
          </cell>
          <cell r="K2503">
            <v>1</v>
          </cell>
          <cell r="L2503">
            <v>65109.84</v>
          </cell>
        </row>
        <row r="2504">
          <cell r="A2504">
            <v>110173</v>
          </cell>
          <cell r="B2504">
            <v>32051</v>
          </cell>
          <cell r="D2504" t="str">
            <v>adult</v>
          </cell>
          <cell r="E2504" t="str">
            <v>M</v>
          </cell>
          <cell r="F2504" t="str">
            <v>PSYCHIATRIC SOCIAL WORKER II</v>
          </cell>
          <cell r="G2504" t="str">
            <v>9035A</v>
          </cell>
          <cell r="H2504">
            <v>5425.82</v>
          </cell>
          <cell r="I2504">
            <v>1</v>
          </cell>
          <cell r="J2504">
            <v>12</v>
          </cell>
          <cell r="K2504">
            <v>1</v>
          </cell>
          <cell r="L2504">
            <v>65109.84</v>
          </cell>
        </row>
        <row r="2505">
          <cell r="A2505">
            <v>110174</v>
          </cell>
          <cell r="B2505">
            <v>32051</v>
          </cell>
          <cell r="D2505" t="str">
            <v>adult</v>
          </cell>
          <cell r="E2505" t="str">
            <v>M</v>
          </cell>
          <cell r="F2505" t="str">
            <v>PSYCHIATRIC SOCIAL WORKER II</v>
          </cell>
          <cell r="G2505" t="str">
            <v>9035A</v>
          </cell>
          <cell r="H2505">
            <v>5425.82</v>
          </cell>
          <cell r="I2505">
            <v>1</v>
          </cell>
          <cell r="J2505">
            <v>12</v>
          </cell>
          <cell r="K2505">
            <v>1</v>
          </cell>
          <cell r="L2505">
            <v>65109.84</v>
          </cell>
        </row>
        <row r="2506">
          <cell r="A2506">
            <v>110175</v>
          </cell>
          <cell r="B2506">
            <v>32051</v>
          </cell>
          <cell r="D2506" t="str">
            <v>adult</v>
          </cell>
          <cell r="E2506" t="str">
            <v>M</v>
          </cell>
          <cell r="F2506" t="str">
            <v>PSYCHIATRIC SOCIAL WORKER II</v>
          </cell>
          <cell r="G2506" t="str">
            <v>9035A</v>
          </cell>
          <cell r="H2506">
            <v>5425.82</v>
          </cell>
          <cell r="I2506">
            <v>1</v>
          </cell>
          <cell r="J2506">
            <v>12</v>
          </cell>
          <cell r="K2506">
            <v>1</v>
          </cell>
          <cell r="L2506">
            <v>65109.84</v>
          </cell>
        </row>
        <row r="2507">
          <cell r="A2507">
            <v>110176</v>
          </cell>
          <cell r="B2507">
            <v>32051</v>
          </cell>
          <cell r="D2507" t="str">
            <v>adult</v>
          </cell>
          <cell r="E2507" t="str">
            <v>M</v>
          </cell>
          <cell r="F2507" t="str">
            <v>PSYCHIATRIC SOCIAL WORKER II</v>
          </cell>
          <cell r="G2507" t="str">
            <v>9035A</v>
          </cell>
          <cell r="H2507">
            <v>5425.82</v>
          </cell>
          <cell r="I2507">
            <v>1</v>
          </cell>
          <cell r="J2507">
            <v>12</v>
          </cell>
          <cell r="K2507">
            <v>1</v>
          </cell>
          <cell r="L2507">
            <v>65109.84</v>
          </cell>
        </row>
        <row r="2508">
          <cell r="A2508">
            <v>110177</v>
          </cell>
          <cell r="B2508">
            <v>32051</v>
          </cell>
          <cell r="D2508" t="str">
            <v>adult</v>
          </cell>
          <cell r="E2508" t="str">
            <v>M</v>
          </cell>
          <cell r="F2508" t="str">
            <v>PSYCHIATRIC SOCIAL WORKER II</v>
          </cell>
          <cell r="G2508" t="str">
            <v>9035A</v>
          </cell>
          <cell r="H2508">
            <v>5425.82</v>
          </cell>
          <cell r="I2508">
            <v>1</v>
          </cell>
          <cell r="J2508">
            <v>12</v>
          </cell>
          <cell r="K2508">
            <v>1</v>
          </cell>
          <cell r="L2508">
            <v>65109.84</v>
          </cell>
        </row>
        <row r="2509">
          <cell r="A2509">
            <v>110186</v>
          </cell>
          <cell r="B2509">
            <v>32051</v>
          </cell>
          <cell r="D2509" t="str">
            <v>adult</v>
          </cell>
          <cell r="E2509" t="str">
            <v>M</v>
          </cell>
          <cell r="F2509" t="str">
            <v xml:space="preserve">SUPVG PSYCHIATRIC SOCIAL WORKER    </v>
          </cell>
          <cell r="G2509" t="str">
            <v>9038A</v>
          </cell>
          <cell r="H2509">
            <v>6062.45</v>
          </cell>
          <cell r="I2509">
            <v>1</v>
          </cell>
          <cell r="J2509">
            <v>12</v>
          </cell>
          <cell r="K2509">
            <v>1</v>
          </cell>
          <cell r="L2509">
            <v>72749.399999999994</v>
          </cell>
        </row>
        <row r="2510">
          <cell r="A2510">
            <v>110187</v>
          </cell>
          <cell r="B2510">
            <v>32051</v>
          </cell>
          <cell r="D2510" t="str">
            <v>adult</v>
          </cell>
          <cell r="E2510" t="str">
            <v>M</v>
          </cell>
          <cell r="F2510" t="str">
            <v xml:space="preserve">SUPVG PSYCHIATRIC SOCIAL WORKER    </v>
          </cell>
          <cell r="G2510" t="str">
            <v>9038A</v>
          </cell>
          <cell r="H2510">
            <v>6062.45</v>
          </cell>
          <cell r="I2510">
            <v>1</v>
          </cell>
          <cell r="J2510">
            <v>12</v>
          </cell>
          <cell r="K2510">
            <v>1</v>
          </cell>
          <cell r="L2510">
            <v>72749.399999999994</v>
          </cell>
        </row>
        <row r="2511">
          <cell r="A2511">
            <v>110068</v>
          </cell>
          <cell r="B2511">
            <v>32031</v>
          </cell>
          <cell r="D2511" t="str">
            <v>adult</v>
          </cell>
          <cell r="E2511" t="str">
            <v>M</v>
          </cell>
          <cell r="F2511" t="str">
            <v>CLINICAL PSYCHOLOGIST II</v>
          </cell>
          <cell r="G2511" t="str">
            <v>8697A</v>
          </cell>
          <cell r="H2511">
            <v>6993.82</v>
          </cell>
          <cell r="I2511">
            <v>1</v>
          </cell>
          <cell r="J2511">
            <v>12</v>
          </cell>
          <cell r="K2511">
            <v>1</v>
          </cell>
          <cell r="L2511">
            <v>83925.84</v>
          </cell>
        </row>
        <row r="2512">
          <cell r="A2512">
            <v>110069</v>
          </cell>
          <cell r="B2512">
            <v>32031</v>
          </cell>
          <cell r="D2512" t="str">
            <v>adult</v>
          </cell>
          <cell r="E2512" t="str">
            <v>M</v>
          </cell>
          <cell r="F2512" t="str">
            <v>INTERMEDIATE TYPIST-CLERK</v>
          </cell>
          <cell r="G2512" t="str">
            <v>2214A</v>
          </cell>
          <cell r="H2512">
            <v>2675.27</v>
          </cell>
          <cell r="I2512">
            <v>1</v>
          </cell>
          <cell r="J2512">
            <v>12</v>
          </cell>
          <cell r="K2512">
            <v>1</v>
          </cell>
          <cell r="L2512">
            <v>32103.24</v>
          </cell>
        </row>
        <row r="2513">
          <cell r="A2513">
            <v>110070</v>
          </cell>
          <cell r="B2513">
            <v>32031</v>
          </cell>
          <cell r="D2513" t="str">
            <v>adult</v>
          </cell>
          <cell r="E2513" t="str">
            <v>M</v>
          </cell>
          <cell r="F2513" t="str">
            <v xml:space="preserve">MENTAL HEALTH ANALYST II           </v>
          </cell>
          <cell r="G2513" t="str">
            <v>4729A</v>
          </cell>
          <cell r="H2513">
            <v>6244.55</v>
          </cell>
          <cell r="I2513">
            <v>1</v>
          </cell>
          <cell r="J2513">
            <v>12</v>
          </cell>
          <cell r="K2513">
            <v>1</v>
          </cell>
          <cell r="L2513">
            <v>74934.600000000006</v>
          </cell>
        </row>
        <row r="2514">
          <cell r="A2514">
            <v>110071</v>
          </cell>
          <cell r="B2514">
            <v>32031</v>
          </cell>
          <cell r="D2514" t="str">
            <v>adult</v>
          </cell>
          <cell r="E2514" t="str">
            <v>M</v>
          </cell>
          <cell r="F2514" t="str">
            <v xml:space="preserve">MENTAL HEALTH ANALYST II           </v>
          </cell>
          <cell r="G2514" t="str">
            <v>4729A</v>
          </cell>
          <cell r="H2514">
            <v>6244.55</v>
          </cell>
          <cell r="I2514">
            <v>1</v>
          </cell>
          <cell r="J2514">
            <v>12</v>
          </cell>
          <cell r="K2514">
            <v>1</v>
          </cell>
          <cell r="L2514">
            <v>74934.600000000006</v>
          </cell>
        </row>
        <row r="2515">
          <cell r="A2515">
            <v>110072</v>
          </cell>
          <cell r="B2515">
            <v>32031</v>
          </cell>
          <cell r="D2515" t="str">
            <v>adult</v>
          </cell>
          <cell r="E2515" t="str">
            <v>M</v>
          </cell>
          <cell r="F2515" t="str">
            <v>MENTAL HEALTH SERVICES COORD II</v>
          </cell>
          <cell r="G2515" t="str">
            <v>8149A</v>
          </cell>
          <cell r="H2515">
            <v>5152.3599999999997</v>
          </cell>
          <cell r="I2515">
            <v>1</v>
          </cell>
          <cell r="J2515">
            <v>12</v>
          </cell>
          <cell r="K2515">
            <v>1</v>
          </cell>
          <cell r="L2515">
            <v>61828.32</v>
          </cell>
        </row>
        <row r="2516">
          <cell r="A2516">
            <v>110073</v>
          </cell>
          <cell r="B2516">
            <v>32031</v>
          </cell>
          <cell r="D2516" t="str">
            <v>adult</v>
          </cell>
          <cell r="E2516" t="str">
            <v>M</v>
          </cell>
          <cell r="F2516" t="str">
            <v>MENTAL HEALTH SERVICES COORD II</v>
          </cell>
          <cell r="G2516" t="str">
            <v>8149A</v>
          </cell>
          <cell r="H2516">
            <v>5152.3599999999997</v>
          </cell>
          <cell r="I2516">
            <v>1</v>
          </cell>
          <cell r="J2516">
            <v>12</v>
          </cell>
          <cell r="K2516">
            <v>1</v>
          </cell>
          <cell r="L2516">
            <v>61828.32</v>
          </cell>
        </row>
        <row r="2517">
          <cell r="A2517">
            <v>110074</v>
          </cell>
          <cell r="B2517">
            <v>32031</v>
          </cell>
          <cell r="D2517" t="str">
            <v>adult</v>
          </cell>
          <cell r="E2517" t="str">
            <v>M</v>
          </cell>
          <cell r="F2517" t="str">
            <v>MENTAL HEALTH SERVICES COORD II</v>
          </cell>
          <cell r="G2517" t="str">
            <v>8149A</v>
          </cell>
          <cell r="H2517">
            <v>5152.3599999999997</v>
          </cell>
          <cell r="I2517">
            <v>1</v>
          </cell>
          <cell r="J2517">
            <v>12</v>
          </cell>
          <cell r="K2517">
            <v>1</v>
          </cell>
          <cell r="L2517">
            <v>61828.32</v>
          </cell>
        </row>
        <row r="2518">
          <cell r="A2518">
            <v>110075</v>
          </cell>
          <cell r="B2518">
            <v>32031</v>
          </cell>
          <cell r="D2518" t="str">
            <v>adult</v>
          </cell>
          <cell r="E2518" t="str">
            <v>M</v>
          </cell>
          <cell r="F2518" t="str">
            <v>MENTAL HLTH CLINICAL DIST CHIEF</v>
          </cell>
          <cell r="G2518" t="str">
            <v>4722A</v>
          </cell>
          <cell r="H2518">
            <v>10074</v>
          </cell>
          <cell r="I2518">
            <v>1</v>
          </cell>
          <cell r="J2518">
            <v>12</v>
          </cell>
          <cell r="K2518">
            <v>1</v>
          </cell>
          <cell r="L2518">
            <v>120888</v>
          </cell>
        </row>
        <row r="2519">
          <cell r="A2519">
            <v>110076</v>
          </cell>
          <cell r="B2519">
            <v>32031</v>
          </cell>
          <cell r="D2519" t="str">
            <v>adult</v>
          </cell>
          <cell r="E2519" t="str">
            <v>M</v>
          </cell>
          <cell r="F2519" t="str">
            <v>MNTL HLTH CLINICAL PROGRAM HEAD</v>
          </cell>
          <cell r="G2519" t="str">
            <v>4726A</v>
          </cell>
          <cell r="H2519">
            <v>8709.73</v>
          </cell>
          <cell r="I2519">
            <v>1</v>
          </cell>
          <cell r="J2519">
            <v>12</v>
          </cell>
          <cell r="K2519">
            <v>1</v>
          </cell>
          <cell r="L2519">
            <v>104516.76</v>
          </cell>
        </row>
        <row r="2520">
          <cell r="A2520">
            <v>110077</v>
          </cell>
          <cell r="B2520">
            <v>32031</v>
          </cell>
          <cell r="D2520" t="str">
            <v>adult</v>
          </cell>
          <cell r="E2520" t="str">
            <v>M</v>
          </cell>
          <cell r="F2520" t="str">
            <v xml:space="preserve">SECRETARY III                      </v>
          </cell>
          <cell r="G2520" t="str">
            <v>2096A</v>
          </cell>
          <cell r="H2520">
            <v>3387</v>
          </cell>
          <cell r="I2520">
            <v>1</v>
          </cell>
          <cell r="J2520">
            <v>12</v>
          </cell>
          <cell r="K2520">
            <v>1</v>
          </cell>
          <cell r="L2520">
            <v>40644</v>
          </cell>
        </row>
        <row r="2521">
          <cell r="A2521">
            <v>110080</v>
          </cell>
          <cell r="B2521">
            <v>32031</v>
          </cell>
          <cell r="D2521" t="str">
            <v>adult</v>
          </cell>
          <cell r="E2521" t="str">
            <v>M</v>
          </cell>
          <cell r="F2521" t="str">
            <v xml:space="preserve">SENIOR SECRETARY III               </v>
          </cell>
          <cell r="G2521" t="str">
            <v>2102A</v>
          </cell>
          <cell r="H2521">
            <v>4106.3599999999997</v>
          </cell>
          <cell r="I2521">
            <v>1</v>
          </cell>
          <cell r="J2521">
            <v>12</v>
          </cell>
          <cell r="K2521">
            <v>1</v>
          </cell>
          <cell r="L2521">
            <v>49276.32</v>
          </cell>
        </row>
        <row r="2522">
          <cell r="A2522">
            <v>110078</v>
          </cell>
          <cell r="B2522">
            <v>32031</v>
          </cell>
          <cell r="D2522" t="str">
            <v>adult</v>
          </cell>
          <cell r="E2522" t="str">
            <v>M</v>
          </cell>
          <cell r="F2522" t="str">
            <v xml:space="preserve">SENIOR TYPIST-CLERK                </v>
          </cell>
          <cell r="G2522" t="str">
            <v>2216A</v>
          </cell>
          <cell r="H2522">
            <v>3013.55</v>
          </cell>
          <cell r="I2522">
            <v>1</v>
          </cell>
          <cell r="J2522">
            <v>12</v>
          </cell>
          <cell r="K2522">
            <v>1</v>
          </cell>
          <cell r="L2522">
            <v>36162.6</v>
          </cell>
        </row>
        <row r="2523">
          <cell r="A2523">
            <v>110079</v>
          </cell>
          <cell r="B2523">
            <v>32031</v>
          </cell>
          <cell r="D2523" t="str">
            <v>adult</v>
          </cell>
          <cell r="E2523" t="str">
            <v>M</v>
          </cell>
          <cell r="F2523" t="str">
            <v xml:space="preserve">SUPVG PSYCHIATRIC SOCIAL WORKER    </v>
          </cell>
          <cell r="G2523" t="str">
            <v>9038A</v>
          </cell>
          <cell r="H2523">
            <v>6062.45</v>
          </cell>
          <cell r="I2523">
            <v>1</v>
          </cell>
          <cell r="J2523">
            <v>12</v>
          </cell>
          <cell r="K2523">
            <v>1</v>
          </cell>
          <cell r="L2523">
            <v>72749.399999999994</v>
          </cell>
        </row>
        <row r="2524">
          <cell r="A2524">
            <v>110292</v>
          </cell>
          <cell r="B2524">
            <v>32061</v>
          </cell>
          <cell r="D2524" t="str">
            <v>adult</v>
          </cell>
          <cell r="E2524" t="str">
            <v>M</v>
          </cell>
          <cell r="F2524" t="str">
            <v>DIV CHIEF, PROG DEVELOPMENT</v>
          </cell>
          <cell r="G2524" t="str">
            <v>4720N</v>
          </cell>
          <cell r="H2524">
            <v>9356</v>
          </cell>
          <cell r="I2524">
            <v>1</v>
          </cell>
          <cell r="J2524">
            <v>12</v>
          </cell>
          <cell r="K2524">
            <v>1</v>
          </cell>
          <cell r="L2524">
            <v>112272</v>
          </cell>
        </row>
        <row r="2525">
          <cell r="A2525">
            <v>110293</v>
          </cell>
          <cell r="B2525">
            <v>32061</v>
          </cell>
          <cell r="D2525" t="str">
            <v>adult</v>
          </cell>
          <cell r="E2525" t="str">
            <v>M</v>
          </cell>
          <cell r="F2525" t="str">
            <v>SENIOR SECRETARY III</v>
          </cell>
          <cell r="G2525" t="str">
            <v>2102N</v>
          </cell>
          <cell r="H2525">
            <v>4106.3599999999997</v>
          </cell>
          <cell r="I2525">
            <v>1</v>
          </cell>
          <cell r="J2525">
            <v>12</v>
          </cell>
          <cell r="K2525">
            <v>1</v>
          </cell>
          <cell r="L2525">
            <v>49276.32</v>
          </cell>
        </row>
        <row r="2526">
          <cell r="A2526">
            <v>110294</v>
          </cell>
          <cell r="B2526">
            <v>32061</v>
          </cell>
          <cell r="D2526" t="str">
            <v>adult</v>
          </cell>
          <cell r="E2526" t="str">
            <v>M</v>
          </cell>
          <cell r="F2526" t="str">
            <v xml:space="preserve">STAFF ASSISTANT II                 </v>
          </cell>
          <cell r="G2526" t="str">
            <v>0913A</v>
          </cell>
          <cell r="H2526">
            <v>4167.45</v>
          </cell>
          <cell r="I2526">
            <v>1</v>
          </cell>
          <cell r="J2526">
            <v>12</v>
          </cell>
          <cell r="K2526">
            <v>1</v>
          </cell>
          <cell r="L2526">
            <v>50009.4</v>
          </cell>
        </row>
        <row r="2527">
          <cell r="A2527">
            <v>110061</v>
          </cell>
          <cell r="B2527">
            <v>32031</v>
          </cell>
          <cell r="D2527" t="str">
            <v>adult</v>
          </cell>
          <cell r="E2527" t="str">
            <v>M</v>
          </cell>
          <cell r="F2527" t="str">
            <v xml:space="preserve">MENTAL HEALTH ANALYST I            </v>
          </cell>
          <cell r="G2527" t="str">
            <v>4727A</v>
          </cell>
          <cell r="H2527">
            <v>5602.09</v>
          </cell>
          <cell r="I2527">
            <v>1</v>
          </cell>
          <cell r="J2527">
            <v>12</v>
          </cell>
          <cell r="K2527">
            <v>1</v>
          </cell>
          <cell r="L2527">
            <v>67225.08</v>
          </cell>
        </row>
        <row r="2528">
          <cell r="A2528">
            <v>110062</v>
          </cell>
          <cell r="B2528">
            <v>32031</v>
          </cell>
          <cell r="D2528" t="str">
            <v>adult</v>
          </cell>
          <cell r="E2528" t="str">
            <v>M</v>
          </cell>
          <cell r="F2528" t="str">
            <v xml:space="preserve">MENTAL HEALTH ANALYST I            </v>
          </cell>
          <cell r="G2528" t="str">
            <v>4727A</v>
          </cell>
          <cell r="H2528">
            <v>5602.09</v>
          </cell>
          <cell r="I2528">
            <v>1</v>
          </cell>
          <cell r="J2528">
            <v>12</v>
          </cell>
          <cell r="K2528">
            <v>1</v>
          </cell>
          <cell r="L2528">
            <v>67225.08</v>
          </cell>
        </row>
        <row r="2529">
          <cell r="A2529">
            <v>110059</v>
          </cell>
          <cell r="B2529">
            <v>32031</v>
          </cell>
          <cell r="D2529" t="str">
            <v>adult</v>
          </cell>
          <cell r="E2529" t="str">
            <v>M</v>
          </cell>
          <cell r="F2529" t="str">
            <v xml:space="preserve">MENTAL HEALTH ANALYST II           </v>
          </cell>
          <cell r="G2529" t="str">
            <v>4729A</v>
          </cell>
          <cell r="H2529">
            <v>6244.55</v>
          </cell>
          <cell r="I2529">
            <v>1</v>
          </cell>
          <cell r="J2529">
            <v>12</v>
          </cell>
          <cell r="K2529">
            <v>1</v>
          </cell>
          <cell r="L2529">
            <v>74934.600000000006</v>
          </cell>
        </row>
        <row r="2530">
          <cell r="A2530">
            <v>110060</v>
          </cell>
          <cell r="B2530">
            <v>32031</v>
          </cell>
          <cell r="D2530" t="str">
            <v>adult</v>
          </cell>
          <cell r="E2530" t="str">
            <v>M</v>
          </cell>
          <cell r="F2530" t="str">
            <v xml:space="preserve">MENTAL HEALTH ANALYST II           </v>
          </cell>
          <cell r="G2530" t="str">
            <v>4729A</v>
          </cell>
          <cell r="H2530">
            <v>6244.55</v>
          </cell>
          <cell r="I2530">
            <v>1</v>
          </cell>
          <cell r="J2530">
            <v>12</v>
          </cell>
          <cell r="K2530">
            <v>1</v>
          </cell>
          <cell r="L2530">
            <v>74934.600000000006</v>
          </cell>
        </row>
        <row r="2531">
          <cell r="A2531">
            <v>110063</v>
          </cell>
          <cell r="B2531">
            <v>32031</v>
          </cell>
          <cell r="D2531" t="str">
            <v>adult</v>
          </cell>
          <cell r="E2531" t="str">
            <v>M</v>
          </cell>
          <cell r="F2531" t="str">
            <v xml:space="preserve">STAFF ASSISTANT II                 </v>
          </cell>
          <cell r="G2531" t="str">
            <v>0913A</v>
          </cell>
          <cell r="H2531">
            <v>4167.45</v>
          </cell>
          <cell r="I2531">
            <v>1</v>
          </cell>
          <cell r="J2531">
            <v>12</v>
          </cell>
          <cell r="K2531">
            <v>1</v>
          </cell>
          <cell r="L2531">
            <v>50009.4</v>
          </cell>
        </row>
        <row r="2532">
          <cell r="A2532">
            <v>110064</v>
          </cell>
          <cell r="B2532">
            <v>32036</v>
          </cell>
          <cell r="D2532" t="str">
            <v>adult</v>
          </cell>
          <cell r="E2532" t="str">
            <v>M</v>
          </cell>
          <cell r="F2532" t="str">
            <v>COMMUNITY WORKER</v>
          </cell>
          <cell r="G2532" t="str">
            <v>8103A</v>
          </cell>
          <cell r="H2532">
            <v>2984.09</v>
          </cell>
          <cell r="I2532">
            <v>1</v>
          </cell>
          <cell r="J2532">
            <v>12</v>
          </cell>
          <cell r="K2532">
            <v>1</v>
          </cell>
          <cell r="L2532">
            <v>35809.08</v>
          </cell>
        </row>
        <row r="2533">
          <cell r="A2533">
            <v>110065</v>
          </cell>
          <cell r="B2533">
            <v>32036</v>
          </cell>
          <cell r="D2533" t="str">
            <v>adult</v>
          </cell>
          <cell r="E2533" t="str">
            <v>M</v>
          </cell>
          <cell r="F2533" t="str">
            <v>COMMUNITY WORKER</v>
          </cell>
          <cell r="G2533" t="str">
            <v>8103A</v>
          </cell>
          <cell r="H2533">
            <v>2984.09</v>
          </cell>
          <cell r="I2533">
            <v>1</v>
          </cell>
          <cell r="J2533">
            <v>12</v>
          </cell>
          <cell r="K2533">
            <v>1</v>
          </cell>
          <cell r="L2533">
            <v>35809.08</v>
          </cell>
        </row>
        <row r="2534">
          <cell r="A2534">
            <v>110066</v>
          </cell>
          <cell r="B2534">
            <v>32036</v>
          </cell>
          <cell r="D2534" t="str">
            <v>adult</v>
          </cell>
          <cell r="E2534" t="str">
            <v>M</v>
          </cell>
          <cell r="F2534" t="str">
            <v>COMMUNITY WORKER</v>
          </cell>
          <cell r="G2534" t="str">
            <v>8103A</v>
          </cell>
          <cell r="H2534">
            <v>2984.09</v>
          </cell>
          <cell r="I2534">
            <v>1</v>
          </cell>
          <cell r="J2534">
            <v>12</v>
          </cell>
          <cell r="K2534">
            <v>1</v>
          </cell>
          <cell r="L2534">
            <v>35809.08</v>
          </cell>
        </row>
        <row r="2535">
          <cell r="A2535">
            <v>110067</v>
          </cell>
          <cell r="B2535">
            <v>32036</v>
          </cell>
          <cell r="D2535" t="str">
            <v>adult</v>
          </cell>
          <cell r="E2535" t="str">
            <v>M</v>
          </cell>
          <cell r="F2535" t="str">
            <v>COMMUNITY WORKER</v>
          </cell>
          <cell r="G2535" t="str">
            <v>8103A</v>
          </cell>
          <cell r="H2535">
            <v>2984.09</v>
          </cell>
          <cell r="I2535">
            <v>1</v>
          </cell>
          <cell r="J2535">
            <v>12</v>
          </cell>
          <cell r="K2535">
            <v>1</v>
          </cell>
          <cell r="L2535">
            <v>35809.08</v>
          </cell>
        </row>
        <row r="2536">
          <cell r="A2536">
            <v>110195</v>
          </cell>
          <cell r="B2536">
            <v>32051</v>
          </cell>
          <cell r="D2536" t="str">
            <v>adult</v>
          </cell>
          <cell r="E2536" t="str">
            <v>M</v>
          </cell>
          <cell r="F2536" t="str">
            <v>CLINICAL PSYCHOLOGIST II</v>
          </cell>
          <cell r="G2536" t="str">
            <v>8697A</v>
          </cell>
          <cell r="H2536">
            <v>6993.82</v>
          </cell>
          <cell r="I2536">
            <v>1</v>
          </cell>
          <cell r="J2536">
            <v>12</v>
          </cell>
          <cell r="K2536">
            <v>1</v>
          </cell>
          <cell r="L2536">
            <v>83925.84</v>
          </cell>
        </row>
        <row r="2537">
          <cell r="A2537">
            <v>110196</v>
          </cell>
          <cell r="B2537">
            <v>32051</v>
          </cell>
          <cell r="D2537" t="str">
            <v>adult</v>
          </cell>
          <cell r="E2537" t="str">
            <v>M</v>
          </cell>
          <cell r="F2537" t="str">
            <v>COMMUNITY WORKER</v>
          </cell>
          <cell r="G2537" t="str">
            <v>8103A</v>
          </cell>
          <cell r="H2537">
            <v>2984.09</v>
          </cell>
          <cell r="I2537">
            <v>1</v>
          </cell>
          <cell r="J2537">
            <v>12</v>
          </cell>
          <cell r="K2537">
            <v>1</v>
          </cell>
          <cell r="L2537">
            <v>35809.08</v>
          </cell>
        </row>
        <row r="2538">
          <cell r="A2538">
            <v>110197</v>
          </cell>
          <cell r="B2538">
            <v>32051</v>
          </cell>
          <cell r="D2538" t="str">
            <v>adult</v>
          </cell>
          <cell r="E2538" t="str">
            <v>M</v>
          </cell>
          <cell r="F2538" t="str">
            <v>COMMUNITY WORKER</v>
          </cell>
          <cell r="G2538" t="str">
            <v>8103A</v>
          </cell>
          <cell r="H2538">
            <v>2984.09</v>
          </cell>
          <cell r="I2538">
            <v>1</v>
          </cell>
          <cell r="J2538">
            <v>12</v>
          </cell>
          <cell r="K2538">
            <v>1</v>
          </cell>
          <cell r="L2538">
            <v>35809.08</v>
          </cell>
        </row>
        <row r="2539">
          <cell r="A2539">
            <v>110193</v>
          </cell>
          <cell r="B2539">
            <v>32051</v>
          </cell>
          <cell r="D2539" t="str">
            <v>adult</v>
          </cell>
          <cell r="E2539" t="str">
            <v>M</v>
          </cell>
          <cell r="F2539" t="str">
            <v>MEDICAL CASE WORKER II</v>
          </cell>
          <cell r="G2539" t="str">
            <v>9002A</v>
          </cell>
          <cell r="H2539">
            <v>3938.82</v>
          </cell>
          <cell r="I2539">
            <v>1</v>
          </cell>
          <cell r="J2539">
            <v>12</v>
          </cell>
          <cell r="K2539">
            <v>1</v>
          </cell>
          <cell r="L2539">
            <v>47265.84</v>
          </cell>
        </row>
        <row r="2540">
          <cell r="A2540">
            <v>110188</v>
          </cell>
          <cell r="B2540">
            <v>32051</v>
          </cell>
          <cell r="D2540" t="str">
            <v>adult</v>
          </cell>
          <cell r="E2540" t="str">
            <v>M</v>
          </cell>
          <cell r="F2540" t="str">
            <v>MENTAL HEALTH SERVICES COORD II</v>
          </cell>
          <cell r="G2540" t="str">
            <v>8149A</v>
          </cell>
          <cell r="H2540">
            <v>5152.3599999999997</v>
          </cell>
          <cell r="I2540">
            <v>1</v>
          </cell>
          <cell r="J2540">
            <v>12</v>
          </cell>
          <cell r="K2540">
            <v>1</v>
          </cell>
          <cell r="L2540">
            <v>61828.32</v>
          </cell>
        </row>
        <row r="2541">
          <cell r="A2541">
            <v>110189</v>
          </cell>
          <cell r="B2541">
            <v>32051</v>
          </cell>
          <cell r="D2541" t="str">
            <v>adult</v>
          </cell>
          <cell r="E2541" t="str">
            <v>M</v>
          </cell>
          <cell r="F2541" t="str">
            <v>PSYCHIATRIC SOCIAL WORKER II</v>
          </cell>
          <cell r="G2541" t="str">
            <v>9035A</v>
          </cell>
          <cell r="H2541">
            <v>5425.82</v>
          </cell>
          <cell r="I2541">
            <v>1</v>
          </cell>
          <cell r="J2541">
            <v>12</v>
          </cell>
          <cell r="K2541">
            <v>1</v>
          </cell>
          <cell r="L2541">
            <v>65109.84</v>
          </cell>
        </row>
        <row r="2542">
          <cell r="A2542">
            <v>110190</v>
          </cell>
          <cell r="B2542">
            <v>32051</v>
          </cell>
          <cell r="D2542" t="str">
            <v>adult</v>
          </cell>
          <cell r="E2542" t="str">
            <v>M</v>
          </cell>
          <cell r="F2542" t="str">
            <v>PSYCHIATRIC SOCIAL WORKER II</v>
          </cell>
          <cell r="G2542" t="str">
            <v>9035A</v>
          </cell>
          <cell r="H2542">
            <v>5425.82</v>
          </cell>
          <cell r="I2542">
            <v>1</v>
          </cell>
          <cell r="J2542">
            <v>12</v>
          </cell>
          <cell r="K2542">
            <v>1</v>
          </cell>
          <cell r="L2542">
            <v>65109.84</v>
          </cell>
        </row>
        <row r="2543">
          <cell r="A2543">
            <v>110191</v>
          </cell>
          <cell r="B2543">
            <v>32051</v>
          </cell>
          <cell r="D2543" t="str">
            <v>adult</v>
          </cell>
          <cell r="E2543" t="str">
            <v>M</v>
          </cell>
          <cell r="F2543" t="str">
            <v>PSYCHIATRIC SOCIAL WORKER II</v>
          </cell>
          <cell r="G2543" t="str">
            <v>9035A</v>
          </cell>
          <cell r="H2543">
            <v>5425.82</v>
          </cell>
          <cell r="I2543">
            <v>1</v>
          </cell>
          <cell r="J2543">
            <v>12</v>
          </cell>
          <cell r="K2543">
            <v>1</v>
          </cell>
          <cell r="L2543">
            <v>65109.84</v>
          </cell>
        </row>
        <row r="2544">
          <cell r="A2544">
            <v>110192</v>
          </cell>
          <cell r="B2544">
            <v>32051</v>
          </cell>
          <cell r="D2544" t="str">
            <v>adult</v>
          </cell>
          <cell r="E2544" t="str">
            <v>M</v>
          </cell>
          <cell r="F2544" t="str">
            <v>PSYCHIATRIC SOCIAL WORKER II</v>
          </cell>
          <cell r="G2544" t="str">
            <v>9035A</v>
          </cell>
          <cell r="H2544">
            <v>5425.82</v>
          </cell>
          <cell r="I2544">
            <v>1</v>
          </cell>
          <cell r="J2544">
            <v>12</v>
          </cell>
          <cell r="K2544">
            <v>1</v>
          </cell>
          <cell r="L2544">
            <v>65109.84</v>
          </cell>
        </row>
        <row r="2545">
          <cell r="A2545">
            <v>110198</v>
          </cell>
          <cell r="B2545">
            <v>32051</v>
          </cell>
          <cell r="D2545" t="str">
            <v>adult</v>
          </cell>
          <cell r="E2545" t="str">
            <v>M</v>
          </cell>
          <cell r="F2545" t="str">
            <v xml:space="preserve">SENIOR TYPIST-CLERK                </v>
          </cell>
          <cell r="G2545" t="str">
            <v>2216A</v>
          </cell>
          <cell r="H2545">
            <v>3013.55</v>
          </cell>
          <cell r="I2545">
            <v>1</v>
          </cell>
          <cell r="J2545">
            <v>12</v>
          </cell>
          <cell r="K2545">
            <v>1</v>
          </cell>
          <cell r="L2545">
            <v>36162.6</v>
          </cell>
        </row>
        <row r="2546">
          <cell r="A2546">
            <v>110194</v>
          </cell>
          <cell r="B2546">
            <v>32051</v>
          </cell>
          <cell r="D2546" t="str">
            <v>adult</v>
          </cell>
          <cell r="E2546" t="str">
            <v>M</v>
          </cell>
          <cell r="F2546" t="str">
            <v xml:space="preserve">SUPVG PSYCHIATRIC SOCIAL WORKER    </v>
          </cell>
          <cell r="G2546" t="str">
            <v>9038A</v>
          </cell>
          <cell r="H2546">
            <v>6062.45</v>
          </cell>
          <cell r="I2546">
            <v>1</v>
          </cell>
          <cell r="J2546">
            <v>12</v>
          </cell>
          <cell r="K2546">
            <v>1</v>
          </cell>
          <cell r="L2546">
            <v>72749.399999999994</v>
          </cell>
        </row>
        <row r="2547">
          <cell r="A2547">
            <v>110127</v>
          </cell>
          <cell r="B2547">
            <v>32042</v>
          </cell>
          <cell r="D2547" t="str">
            <v>adult</v>
          </cell>
          <cell r="E2547" t="str">
            <v>M</v>
          </cell>
          <cell r="F2547" t="str">
            <v>CLINICAL PSYCHOLOGIST II</v>
          </cell>
          <cell r="G2547" t="str">
            <v>8697A</v>
          </cell>
          <cell r="H2547">
            <v>6993.82</v>
          </cell>
          <cell r="I2547">
            <v>1</v>
          </cell>
          <cell r="J2547">
            <v>12</v>
          </cell>
          <cell r="K2547">
            <v>1</v>
          </cell>
          <cell r="L2547">
            <v>83925.84</v>
          </cell>
        </row>
        <row r="2548">
          <cell r="A2548">
            <v>110126</v>
          </cell>
          <cell r="B2548">
            <v>32042</v>
          </cell>
          <cell r="D2548" t="str">
            <v>adult</v>
          </cell>
          <cell r="E2548" t="str">
            <v>M</v>
          </cell>
          <cell r="F2548" t="str">
            <v xml:space="preserve">MENTAL HEALTH ANALYST II           </v>
          </cell>
          <cell r="G2548" t="str">
            <v>4729A</v>
          </cell>
          <cell r="H2548">
            <v>6244.55</v>
          </cell>
          <cell r="I2548">
            <v>1</v>
          </cell>
          <cell r="J2548">
            <v>12</v>
          </cell>
          <cell r="K2548">
            <v>1</v>
          </cell>
          <cell r="L2548">
            <v>74934.600000000006</v>
          </cell>
        </row>
        <row r="2549">
          <cell r="A2549">
            <v>110125</v>
          </cell>
          <cell r="B2549">
            <v>32042</v>
          </cell>
          <cell r="D2549" t="str">
            <v>adult</v>
          </cell>
          <cell r="E2549" t="str">
            <v>M</v>
          </cell>
          <cell r="F2549" t="str">
            <v>MENTAL HEALTH SERVICES COORD II</v>
          </cell>
          <cell r="G2549" t="str">
            <v>8149A</v>
          </cell>
          <cell r="H2549">
            <v>5152.3599999999997</v>
          </cell>
          <cell r="I2549">
            <v>1</v>
          </cell>
          <cell r="J2549">
            <v>12</v>
          </cell>
          <cell r="K2549">
            <v>1</v>
          </cell>
          <cell r="L2549">
            <v>61828.32</v>
          </cell>
        </row>
        <row r="2550">
          <cell r="A2550">
            <v>110124</v>
          </cell>
          <cell r="B2550">
            <v>32042</v>
          </cell>
          <cell r="D2550" t="str">
            <v>adult</v>
          </cell>
          <cell r="E2550" t="str">
            <v>M</v>
          </cell>
          <cell r="F2550" t="str">
            <v xml:space="preserve">SECRETARY III                      </v>
          </cell>
          <cell r="G2550" t="str">
            <v>2096A</v>
          </cell>
          <cell r="H2550">
            <v>3387</v>
          </cell>
          <cell r="I2550">
            <v>1</v>
          </cell>
          <cell r="J2550">
            <v>12</v>
          </cell>
          <cell r="K2550">
            <v>1</v>
          </cell>
          <cell r="L2550">
            <v>40644</v>
          </cell>
        </row>
        <row r="2551">
          <cell r="A2551">
            <v>110123</v>
          </cell>
          <cell r="B2551">
            <v>32043</v>
          </cell>
          <cell r="D2551" t="str">
            <v>adult</v>
          </cell>
          <cell r="E2551" t="str">
            <v>M</v>
          </cell>
          <cell r="F2551" t="str">
            <v>MNTL HLTH CLINICAL PROGRAM HEAD</v>
          </cell>
          <cell r="G2551" t="str">
            <v>4726A</v>
          </cell>
          <cell r="H2551">
            <v>8709.73</v>
          </cell>
          <cell r="I2551">
            <v>1</v>
          </cell>
          <cell r="J2551">
            <v>12</v>
          </cell>
          <cell r="K2551">
            <v>1</v>
          </cell>
          <cell r="L2551">
            <v>104516.76</v>
          </cell>
        </row>
        <row r="2552">
          <cell r="A2552">
            <v>109457</v>
          </cell>
          <cell r="B2552">
            <v>32079</v>
          </cell>
          <cell r="D2552" t="str">
            <v>adult</v>
          </cell>
          <cell r="E2552" t="str">
            <v>M</v>
          </cell>
          <cell r="F2552" t="str">
            <v>ASSISTANT NURSING DIRECTOR I</v>
          </cell>
          <cell r="G2552" t="str">
            <v>5314A</v>
          </cell>
          <cell r="H2552">
            <v>7010.91</v>
          </cell>
          <cell r="I2552">
            <v>1</v>
          </cell>
          <cell r="J2552">
            <v>12</v>
          </cell>
          <cell r="K2552">
            <v>1</v>
          </cell>
          <cell r="L2552">
            <v>84130.92</v>
          </cell>
        </row>
        <row r="2553">
          <cell r="A2553">
            <v>109458</v>
          </cell>
          <cell r="B2553">
            <v>32079</v>
          </cell>
          <cell r="D2553" t="str">
            <v>adult</v>
          </cell>
          <cell r="E2553" t="str">
            <v>M</v>
          </cell>
          <cell r="F2553" t="str">
            <v>CLINICAL PSYCHOLOGIST II</v>
          </cell>
          <cell r="G2553" t="str">
            <v>8697A</v>
          </cell>
          <cell r="H2553">
            <v>6993.82</v>
          </cell>
          <cell r="I2553">
            <v>1</v>
          </cell>
          <cell r="J2553">
            <v>12</v>
          </cell>
          <cell r="K2553">
            <v>1</v>
          </cell>
          <cell r="L2553">
            <v>83925.84</v>
          </cell>
        </row>
        <row r="2554">
          <cell r="A2554">
            <v>109459</v>
          </cell>
          <cell r="B2554">
            <v>32079</v>
          </cell>
          <cell r="D2554" t="str">
            <v>adult</v>
          </cell>
          <cell r="E2554" t="str">
            <v>M</v>
          </cell>
          <cell r="F2554" t="str">
            <v>CLINICAL PSYCHOLOGIST II</v>
          </cell>
          <cell r="G2554" t="str">
            <v>8697A</v>
          </cell>
          <cell r="H2554">
            <v>6993.82</v>
          </cell>
          <cell r="I2554">
            <v>1</v>
          </cell>
          <cell r="J2554">
            <v>12</v>
          </cell>
          <cell r="K2554">
            <v>1</v>
          </cell>
          <cell r="L2554">
            <v>83925.84</v>
          </cell>
        </row>
        <row r="2555">
          <cell r="A2555">
            <v>109460</v>
          </cell>
          <cell r="B2555">
            <v>32079</v>
          </cell>
          <cell r="D2555" t="str">
            <v>adult</v>
          </cell>
          <cell r="E2555" t="str">
            <v>M</v>
          </cell>
          <cell r="F2555" t="str">
            <v>CLINICAL PSYCHOLOGIST II</v>
          </cell>
          <cell r="G2555" t="str">
            <v>8697A</v>
          </cell>
          <cell r="H2555">
            <v>6993.82</v>
          </cell>
          <cell r="I2555">
            <v>1</v>
          </cell>
          <cell r="J2555">
            <v>12</v>
          </cell>
          <cell r="K2555">
            <v>1</v>
          </cell>
          <cell r="L2555">
            <v>83925.84</v>
          </cell>
        </row>
        <row r="2556">
          <cell r="A2556">
            <v>109440</v>
          </cell>
          <cell r="B2556">
            <v>32079</v>
          </cell>
          <cell r="D2556" t="str">
            <v>adult</v>
          </cell>
          <cell r="E2556" t="str">
            <v>M</v>
          </cell>
          <cell r="F2556" t="str">
            <v>INTERMEDIATE TYPIST-CLERK</v>
          </cell>
          <cell r="G2556" t="str">
            <v>2214A</v>
          </cell>
          <cell r="H2556">
            <v>2675.27</v>
          </cell>
          <cell r="I2556">
            <v>1</v>
          </cell>
          <cell r="J2556">
            <v>12</v>
          </cell>
          <cell r="K2556">
            <v>1</v>
          </cell>
          <cell r="L2556">
            <v>32103.24</v>
          </cell>
        </row>
        <row r="2557">
          <cell r="A2557">
            <v>109441</v>
          </cell>
          <cell r="B2557">
            <v>32079</v>
          </cell>
          <cell r="D2557" t="str">
            <v>adult</v>
          </cell>
          <cell r="E2557" t="str">
            <v>M</v>
          </cell>
          <cell r="F2557" t="str">
            <v>INTERMEDIATE TYPIST-CLERK</v>
          </cell>
          <cell r="G2557" t="str">
            <v>2214A</v>
          </cell>
          <cell r="H2557">
            <v>2675.27</v>
          </cell>
          <cell r="I2557">
            <v>1</v>
          </cell>
          <cell r="J2557">
            <v>12</v>
          </cell>
          <cell r="K2557">
            <v>1</v>
          </cell>
          <cell r="L2557">
            <v>32103.24</v>
          </cell>
        </row>
        <row r="2558">
          <cell r="A2558">
            <v>109450</v>
          </cell>
          <cell r="B2558">
            <v>32079</v>
          </cell>
          <cell r="D2558" t="str">
            <v>adult</v>
          </cell>
          <cell r="E2558" t="str">
            <v>M</v>
          </cell>
          <cell r="F2558" t="str">
            <v>MEDICAL CASE WORKER II</v>
          </cell>
          <cell r="G2558" t="str">
            <v>9002A</v>
          </cell>
          <cell r="H2558">
            <v>3938.82</v>
          </cell>
          <cell r="I2558">
            <v>1</v>
          </cell>
          <cell r="J2558">
            <v>12</v>
          </cell>
          <cell r="K2558">
            <v>1</v>
          </cell>
          <cell r="L2558">
            <v>47265.84</v>
          </cell>
        </row>
        <row r="2559">
          <cell r="A2559">
            <v>109451</v>
          </cell>
          <cell r="B2559">
            <v>32079</v>
          </cell>
          <cell r="D2559" t="str">
            <v>adult</v>
          </cell>
          <cell r="E2559" t="str">
            <v>M</v>
          </cell>
          <cell r="F2559" t="str">
            <v>MEDICAL CASE WORKER II</v>
          </cell>
          <cell r="G2559" t="str">
            <v>9002A</v>
          </cell>
          <cell r="H2559">
            <v>3938.82</v>
          </cell>
          <cell r="I2559">
            <v>1</v>
          </cell>
          <cell r="J2559">
            <v>12</v>
          </cell>
          <cell r="K2559">
            <v>1</v>
          </cell>
          <cell r="L2559">
            <v>47265.84</v>
          </cell>
        </row>
        <row r="2560">
          <cell r="A2560">
            <v>109461</v>
          </cell>
          <cell r="B2560">
            <v>32079</v>
          </cell>
          <cell r="D2560" t="str">
            <v>adult</v>
          </cell>
          <cell r="E2560" t="str">
            <v>M</v>
          </cell>
          <cell r="F2560" t="str">
            <v>MEDICAL CASE WORKER II</v>
          </cell>
          <cell r="G2560" t="str">
            <v>9002A</v>
          </cell>
          <cell r="H2560">
            <v>3938.82</v>
          </cell>
          <cell r="I2560">
            <v>1</v>
          </cell>
          <cell r="J2560">
            <v>12</v>
          </cell>
          <cell r="K2560">
            <v>1</v>
          </cell>
          <cell r="L2560">
            <v>47265.84</v>
          </cell>
        </row>
        <row r="2561">
          <cell r="A2561">
            <v>109462</v>
          </cell>
          <cell r="B2561">
            <v>32079</v>
          </cell>
          <cell r="D2561" t="str">
            <v>adult</v>
          </cell>
          <cell r="E2561" t="str">
            <v>M</v>
          </cell>
          <cell r="F2561" t="str">
            <v>MEDICAL CASE WORKER II</v>
          </cell>
          <cell r="G2561" t="str">
            <v>9002A</v>
          </cell>
          <cell r="H2561">
            <v>3938.82</v>
          </cell>
          <cell r="I2561">
            <v>1</v>
          </cell>
          <cell r="J2561">
            <v>12</v>
          </cell>
          <cell r="K2561">
            <v>1</v>
          </cell>
          <cell r="L2561">
            <v>47265.84</v>
          </cell>
        </row>
        <row r="2562">
          <cell r="A2562">
            <v>109463</v>
          </cell>
          <cell r="B2562">
            <v>32079</v>
          </cell>
          <cell r="D2562" t="str">
            <v>adult</v>
          </cell>
          <cell r="E2562" t="str">
            <v>M</v>
          </cell>
          <cell r="F2562" t="str">
            <v>MEDICAL CASE WORKER II</v>
          </cell>
          <cell r="G2562" t="str">
            <v>9002A</v>
          </cell>
          <cell r="H2562">
            <v>3938.82</v>
          </cell>
          <cell r="I2562">
            <v>1</v>
          </cell>
          <cell r="J2562">
            <v>12</v>
          </cell>
          <cell r="K2562">
            <v>1</v>
          </cell>
          <cell r="L2562">
            <v>47265.84</v>
          </cell>
        </row>
        <row r="2563">
          <cell r="A2563">
            <v>109442</v>
          </cell>
          <cell r="B2563">
            <v>32079</v>
          </cell>
          <cell r="D2563" t="str">
            <v>adult</v>
          </cell>
          <cell r="E2563" t="str">
            <v>M</v>
          </cell>
          <cell r="F2563" t="str">
            <v>MEDICAL RECORDS TECH. II</v>
          </cell>
          <cell r="G2563" t="str">
            <v>1401A</v>
          </cell>
          <cell r="H2563">
            <v>3202.27</v>
          </cell>
          <cell r="I2563">
            <v>1</v>
          </cell>
          <cell r="J2563">
            <v>12</v>
          </cell>
          <cell r="K2563">
            <v>1</v>
          </cell>
          <cell r="L2563">
            <v>38427.24</v>
          </cell>
        </row>
        <row r="2564">
          <cell r="A2564">
            <v>109464</v>
          </cell>
          <cell r="B2564">
            <v>32079</v>
          </cell>
          <cell r="D2564" t="str">
            <v>adult</v>
          </cell>
          <cell r="E2564" t="str">
            <v>M</v>
          </cell>
          <cell r="F2564" t="str">
            <v>MENTAL HEALTH COUNSELOR, RN</v>
          </cell>
          <cell r="G2564" t="str">
            <v>5278A</v>
          </cell>
          <cell r="H2564">
            <v>6275.27</v>
          </cell>
          <cell r="I2564">
            <v>1</v>
          </cell>
          <cell r="J2564">
            <v>12</v>
          </cell>
          <cell r="K2564">
            <v>1</v>
          </cell>
          <cell r="L2564">
            <v>76804.320000000007</v>
          </cell>
        </row>
        <row r="2565">
          <cell r="A2565">
            <v>109465</v>
          </cell>
          <cell r="B2565">
            <v>32079</v>
          </cell>
          <cell r="D2565" t="str">
            <v>adult</v>
          </cell>
          <cell r="E2565" t="str">
            <v>M</v>
          </cell>
          <cell r="F2565" t="str">
            <v>MENTAL HEALTH COUNSELOR, RN</v>
          </cell>
          <cell r="G2565" t="str">
            <v>5278A</v>
          </cell>
          <cell r="H2565">
            <v>6275.27</v>
          </cell>
          <cell r="I2565">
            <v>1</v>
          </cell>
          <cell r="J2565">
            <v>12</v>
          </cell>
          <cell r="K2565">
            <v>1</v>
          </cell>
          <cell r="L2565">
            <v>76804.320000000007</v>
          </cell>
        </row>
        <row r="2566">
          <cell r="A2566">
            <v>109466</v>
          </cell>
          <cell r="B2566">
            <v>32079</v>
          </cell>
          <cell r="D2566" t="str">
            <v>adult</v>
          </cell>
          <cell r="E2566" t="str">
            <v>M</v>
          </cell>
          <cell r="F2566" t="str">
            <v>MENTAL HEALTH COUNSELOR, RN</v>
          </cell>
          <cell r="G2566" t="str">
            <v>5278A</v>
          </cell>
          <cell r="H2566">
            <v>6275.27</v>
          </cell>
          <cell r="I2566">
            <v>1</v>
          </cell>
          <cell r="J2566">
            <v>12</v>
          </cell>
          <cell r="K2566">
            <v>1</v>
          </cell>
          <cell r="L2566">
            <v>76804.320000000007</v>
          </cell>
        </row>
        <row r="2567">
          <cell r="A2567">
            <v>109467</v>
          </cell>
          <cell r="B2567">
            <v>32079</v>
          </cell>
          <cell r="D2567" t="str">
            <v>adult</v>
          </cell>
          <cell r="E2567" t="str">
            <v>M</v>
          </cell>
          <cell r="F2567" t="str">
            <v>MENTAL HEALTH COUNSELOR, RN</v>
          </cell>
          <cell r="G2567" t="str">
            <v>5278A</v>
          </cell>
          <cell r="H2567">
            <v>6275.27</v>
          </cell>
          <cell r="I2567">
            <v>1</v>
          </cell>
          <cell r="J2567">
            <v>12</v>
          </cell>
          <cell r="K2567">
            <v>1</v>
          </cell>
          <cell r="L2567">
            <v>76804.320000000007</v>
          </cell>
        </row>
        <row r="2568">
          <cell r="A2568">
            <v>109468</v>
          </cell>
          <cell r="B2568">
            <v>32079</v>
          </cell>
          <cell r="D2568" t="str">
            <v>adult</v>
          </cell>
          <cell r="E2568" t="str">
            <v>M</v>
          </cell>
          <cell r="F2568" t="str">
            <v>MENTAL HEALTH COUNSELOR, RN</v>
          </cell>
          <cell r="G2568" t="str">
            <v>5278A</v>
          </cell>
          <cell r="H2568">
            <v>6275.27</v>
          </cell>
          <cell r="I2568">
            <v>1</v>
          </cell>
          <cell r="J2568">
            <v>12</v>
          </cell>
          <cell r="K2568">
            <v>1</v>
          </cell>
          <cell r="L2568">
            <v>76804.320000000007</v>
          </cell>
        </row>
        <row r="2569">
          <cell r="A2569">
            <v>109469</v>
          </cell>
          <cell r="B2569">
            <v>32079</v>
          </cell>
          <cell r="D2569" t="str">
            <v>adult</v>
          </cell>
          <cell r="E2569" t="str">
            <v>M</v>
          </cell>
          <cell r="F2569" t="str">
            <v>MENTAL HEALTH COUNSELOR, RN</v>
          </cell>
          <cell r="G2569" t="str">
            <v>5278A</v>
          </cell>
          <cell r="H2569">
            <v>6275.27</v>
          </cell>
          <cell r="I2569">
            <v>1</v>
          </cell>
          <cell r="J2569">
            <v>12</v>
          </cell>
          <cell r="K2569">
            <v>1</v>
          </cell>
          <cell r="L2569">
            <v>76804.320000000007</v>
          </cell>
        </row>
        <row r="2570">
          <cell r="A2570">
            <v>109452</v>
          </cell>
          <cell r="B2570">
            <v>32079</v>
          </cell>
          <cell r="D2570" t="str">
            <v>adult</v>
          </cell>
          <cell r="E2570" t="str">
            <v>M</v>
          </cell>
          <cell r="F2570" t="str">
            <v>MENTAL HEALTH PSYCHIATRIST</v>
          </cell>
          <cell r="G2570" t="str">
            <v>4735A</v>
          </cell>
          <cell r="H2570">
            <v>12844</v>
          </cell>
          <cell r="I2570">
            <v>1</v>
          </cell>
          <cell r="J2570">
            <v>6</v>
          </cell>
          <cell r="K2570">
            <v>0.5</v>
          </cell>
          <cell r="L2570">
            <v>77064</v>
          </cell>
        </row>
        <row r="2571">
          <cell r="A2571">
            <v>109453</v>
          </cell>
          <cell r="B2571">
            <v>32079</v>
          </cell>
          <cell r="D2571" t="str">
            <v>adult</v>
          </cell>
          <cell r="E2571" t="str">
            <v>M</v>
          </cell>
          <cell r="F2571" t="str">
            <v>MENTAL HEALTH PSYCHIATRIST</v>
          </cell>
          <cell r="G2571" t="str">
            <v>4735A</v>
          </cell>
          <cell r="H2571">
            <v>12844</v>
          </cell>
          <cell r="I2571">
            <v>1</v>
          </cell>
          <cell r="J2571">
            <v>6</v>
          </cell>
          <cell r="K2571">
            <v>0.5</v>
          </cell>
          <cell r="L2571">
            <v>77064</v>
          </cell>
        </row>
        <row r="2572">
          <cell r="A2572">
            <v>109470</v>
          </cell>
          <cell r="B2572">
            <v>32079</v>
          </cell>
          <cell r="D2572" t="str">
            <v>adult</v>
          </cell>
          <cell r="E2572" t="str">
            <v>M</v>
          </cell>
          <cell r="F2572" t="str">
            <v>MENTAL HEALTH PSYCHIATRIST</v>
          </cell>
          <cell r="G2572" t="str">
            <v>4735A</v>
          </cell>
          <cell r="H2572">
            <v>12844</v>
          </cell>
          <cell r="I2572">
            <v>1</v>
          </cell>
          <cell r="J2572">
            <v>12</v>
          </cell>
          <cell r="K2572">
            <v>1</v>
          </cell>
          <cell r="L2572">
            <v>154128</v>
          </cell>
        </row>
        <row r="2573">
          <cell r="A2573">
            <v>109471</v>
          </cell>
          <cell r="B2573">
            <v>32079</v>
          </cell>
          <cell r="D2573" t="str">
            <v>adult</v>
          </cell>
          <cell r="E2573" t="str">
            <v>M</v>
          </cell>
          <cell r="F2573" t="str">
            <v>MENTAL HEALTH PSYCHIATRIST</v>
          </cell>
          <cell r="G2573" t="str">
            <v>4735A</v>
          </cell>
          <cell r="H2573">
            <v>12844</v>
          </cell>
          <cell r="I2573">
            <v>1</v>
          </cell>
          <cell r="J2573">
            <v>12</v>
          </cell>
          <cell r="K2573">
            <v>1</v>
          </cell>
          <cell r="L2573">
            <v>154128</v>
          </cell>
        </row>
        <row r="2574">
          <cell r="A2574">
            <v>109443</v>
          </cell>
          <cell r="B2574">
            <v>32079</v>
          </cell>
          <cell r="D2574" t="str">
            <v>adult</v>
          </cell>
          <cell r="E2574" t="str">
            <v>M</v>
          </cell>
          <cell r="F2574" t="str">
            <v>MNTL HLTH CLINICAL PROGRAM HEAD</v>
          </cell>
          <cell r="G2574" t="str">
            <v>4726A</v>
          </cell>
          <cell r="H2574">
            <v>8709.73</v>
          </cell>
          <cell r="I2574">
            <v>1</v>
          </cell>
          <cell r="J2574">
            <v>12</v>
          </cell>
          <cell r="K2574">
            <v>1</v>
          </cell>
          <cell r="L2574">
            <v>104516.76</v>
          </cell>
        </row>
        <row r="2575">
          <cell r="A2575">
            <v>109472</v>
          </cell>
          <cell r="B2575">
            <v>32079</v>
          </cell>
          <cell r="D2575" t="str">
            <v>adult</v>
          </cell>
          <cell r="E2575" t="str">
            <v>M</v>
          </cell>
          <cell r="F2575" t="str">
            <v>NURSE PRACTITIONER</v>
          </cell>
          <cell r="G2575" t="str">
            <v>5121A</v>
          </cell>
          <cell r="H2575">
            <v>7239.09</v>
          </cell>
          <cell r="I2575">
            <v>1</v>
          </cell>
          <cell r="J2575">
            <v>12</v>
          </cell>
          <cell r="K2575">
            <v>1</v>
          </cell>
          <cell r="L2575">
            <v>88605.84</v>
          </cell>
        </row>
        <row r="2576">
          <cell r="A2576">
            <v>109473</v>
          </cell>
          <cell r="B2576">
            <v>32079</v>
          </cell>
          <cell r="D2576" t="str">
            <v>adult</v>
          </cell>
          <cell r="E2576" t="str">
            <v>M</v>
          </cell>
          <cell r="F2576" t="str">
            <v>NURSE PRACTITIONER</v>
          </cell>
          <cell r="G2576" t="str">
            <v>5121A</v>
          </cell>
          <cell r="H2576">
            <v>7239.09</v>
          </cell>
          <cell r="I2576">
            <v>1</v>
          </cell>
          <cell r="J2576">
            <v>12</v>
          </cell>
          <cell r="K2576">
            <v>1</v>
          </cell>
          <cell r="L2576">
            <v>88605.84</v>
          </cell>
        </row>
        <row r="2577">
          <cell r="A2577">
            <v>109445</v>
          </cell>
          <cell r="B2577">
            <v>32079</v>
          </cell>
          <cell r="D2577" t="str">
            <v>adult</v>
          </cell>
          <cell r="E2577" t="str">
            <v>M</v>
          </cell>
          <cell r="F2577" t="str">
            <v xml:space="preserve">PATIENT FINANCIAL SERVICES WORKER  </v>
          </cell>
          <cell r="G2577" t="str">
            <v>9193A</v>
          </cell>
          <cell r="H2577">
            <v>3403.55</v>
          </cell>
          <cell r="I2577">
            <v>1</v>
          </cell>
          <cell r="J2577">
            <v>12</v>
          </cell>
          <cell r="K2577">
            <v>1</v>
          </cell>
          <cell r="L2577">
            <v>40842.6</v>
          </cell>
        </row>
        <row r="2578">
          <cell r="A2578">
            <v>109454</v>
          </cell>
          <cell r="B2578">
            <v>32079</v>
          </cell>
          <cell r="D2578" t="str">
            <v>adult</v>
          </cell>
          <cell r="E2578" t="str">
            <v>M</v>
          </cell>
          <cell r="F2578" t="str">
            <v>PSYCHIATRIC SOCIAL WORKER II</v>
          </cell>
          <cell r="G2578" t="str">
            <v>9035A</v>
          </cell>
          <cell r="H2578">
            <v>5425.82</v>
          </cell>
          <cell r="I2578">
            <v>1</v>
          </cell>
          <cell r="J2578">
            <v>12</v>
          </cell>
          <cell r="K2578">
            <v>1</v>
          </cell>
          <cell r="L2578">
            <v>65109.84</v>
          </cell>
        </row>
        <row r="2579">
          <cell r="A2579">
            <v>109474</v>
          </cell>
          <cell r="B2579">
            <v>32079</v>
          </cell>
          <cell r="D2579" t="str">
            <v>adult</v>
          </cell>
          <cell r="E2579" t="str">
            <v>M</v>
          </cell>
          <cell r="F2579" t="str">
            <v>PSYCHIATRIC SOCIAL WORKER II</v>
          </cell>
          <cell r="G2579" t="str">
            <v>9035A</v>
          </cell>
          <cell r="H2579">
            <v>5425.82</v>
          </cell>
          <cell r="I2579">
            <v>1</v>
          </cell>
          <cell r="J2579">
            <v>12</v>
          </cell>
          <cell r="K2579">
            <v>1</v>
          </cell>
          <cell r="L2579">
            <v>65109.84</v>
          </cell>
        </row>
        <row r="2580">
          <cell r="A2580">
            <v>109475</v>
          </cell>
          <cell r="B2580">
            <v>32079</v>
          </cell>
          <cell r="D2580" t="str">
            <v>adult</v>
          </cell>
          <cell r="E2580" t="str">
            <v>M</v>
          </cell>
          <cell r="F2580" t="str">
            <v>PSYCHIATRIC SOCIAL WORKER II</v>
          </cell>
          <cell r="G2580" t="str">
            <v>9035A</v>
          </cell>
          <cell r="H2580">
            <v>5425.82</v>
          </cell>
          <cell r="I2580">
            <v>1</v>
          </cell>
          <cell r="J2580">
            <v>12</v>
          </cell>
          <cell r="K2580">
            <v>1</v>
          </cell>
          <cell r="L2580">
            <v>65109.84</v>
          </cell>
        </row>
        <row r="2581">
          <cell r="A2581">
            <v>109476</v>
          </cell>
          <cell r="B2581">
            <v>32079</v>
          </cell>
          <cell r="D2581" t="str">
            <v>adult</v>
          </cell>
          <cell r="E2581" t="str">
            <v>M</v>
          </cell>
          <cell r="F2581" t="str">
            <v>PSYCHIATRIC SOCIAL WORKER II</v>
          </cell>
          <cell r="G2581" t="str">
            <v>9035A</v>
          </cell>
          <cell r="H2581">
            <v>5425.82</v>
          </cell>
          <cell r="I2581">
            <v>1</v>
          </cell>
          <cell r="J2581">
            <v>12</v>
          </cell>
          <cell r="K2581">
            <v>1</v>
          </cell>
          <cell r="L2581">
            <v>65109.84</v>
          </cell>
        </row>
        <row r="2582">
          <cell r="A2582">
            <v>109477</v>
          </cell>
          <cell r="B2582">
            <v>32079</v>
          </cell>
          <cell r="D2582" t="str">
            <v>adult</v>
          </cell>
          <cell r="E2582" t="str">
            <v>M</v>
          </cell>
          <cell r="F2582" t="str">
            <v>PSYCHIATRIC SOCIAL WORKER II</v>
          </cell>
          <cell r="G2582" t="str">
            <v>9035A</v>
          </cell>
          <cell r="H2582">
            <v>5425.82</v>
          </cell>
          <cell r="I2582">
            <v>1</v>
          </cell>
          <cell r="J2582">
            <v>12</v>
          </cell>
          <cell r="K2582">
            <v>1</v>
          </cell>
          <cell r="L2582">
            <v>65109.84</v>
          </cell>
        </row>
        <row r="2583">
          <cell r="A2583">
            <v>109478</v>
          </cell>
          <cell r="B2583">
            <v>32079</v>
          </cell>
          <cell r="D2583" t="str">
            <v>adult</v>
          </cell>
          <cell r="E2583" t="str">
            <v>M</v>
          </cell>
          <cell r="F2583" t="str">
            <v>PSYCHIATRIC SOCIAL WORKER II</v>
          </cell>
          <cell r="G2583" t="str">
            <v>9035A</v>
          </cell>
          <cell r="H2583">
            <v>5425.82</v>
          </cell>
          <cell r="I2583">
            <v>1</v>
          </cell>
          <cell r="J2583">
            <v>12</v>
          </cell>
          <cell r="K2583">
            <v>1</v>
          </cell>
          <cell r="L2583">
            <v>65109.84</v>
          </cell>
        </row>
        <row r="2584">
          <cell r="A2584">
            <v>109446</v>
          </cell>
          <cell r="B2584">
            <v>32079</v>
          </cell>
          <cell r="D2584" t="str">
            <v>adult</v>
          </cell>
          <cell r="E2584" t="str">
            <v>M</v>
          </cell>
          <cell r="F2584" t="str">
            <v xml:space="preserve">SECRETARY III                      </v>
          </cell>
          <cell r="G2584" t="str">
            <v>2096A</v>
          </cell>
          <cell r="H2584">
            <v>3387</v>
          </cell>
          <cell r="I2584">
            <v>1</v>
          </cell>
          <cell r="J2584">
            <v>12</v>
          </cell>
          <cell r="K2584">
            <v>1</v>
          </cell>
          <cell r="L2584">
            <v>40644</v>
          </cell>
        </row>
        <row r="2585">
          <cell r="A2585">
            <v>109480</v>
          </cell>
          <cell r="B2585">
            <v>32079</v>
          </cell>
          <cell r="D2585" t="str">
            <v>adult</v>
          </cell>
          <cell r="E2585" t="str">
            <v>M</v>
          </cell>
          <cell r="F2585" t="str">
            <v xml:space="preserve">SENIOR COMMUNITY WORKER I          </v>
          </cell>
          <cell r="G2585" t="str">
            <v>8104A</v>
          </cell>
          <cell r="H2585">
            <v>3087.73</v>
          </cell>
          <cell r="I2585">
            <v>1</v>
          </cell>
          <cell r="J2585">
            <v>12</v>
          </cell>
          <cell r="K2585">
            <v>1</v>
          </cell>
          <cell r="L2585">
            <v>37052.76</v>
          </cell>
        </row>
        <row r="2586">
          <cell r="A2586">
            <v>109481</v>
          </cell>
          <cell r="B2586">
            <v>32079</v>
          </cell>
          <cell r="D2586" t="str">
            <v>adult</v>
          </cell>
          <cell r="E2586" t="str">
            <v>M</v>
          </cell>
          <cell r="F2586" t="str">
            <v xml:space="preserve">SENIOR COMMUNITY WORKER I          </v>
          </cell>
          <cell r="G2586" t="str">
            <v>8104A</v>
          </cell>
          <cell r="H2586">
            <v>3087.73</v>
          </cell>
          <cell r="I2586">
            <v>1</v>
          </cell>
          <cell r="J2586">
            <v>12</v>
          </cell>
          <cell r="K2586">
            <v>1</v>
          </cell>
          <cell r="L2586">
            <v>37052.76</v>
          </cell>
        </row>
        <row r="2587">
          <cell r="A2587">
            <v>109455</v>
          </cell>
          <cell r="B2587">
            <v>32079</v>
          </cell>
          <cell r="D2587" t="str">
            <v>adult</v>
          </cell>
          <cell r="E2587" t="str">
            <v>M</v>
          </cell>
          <cell r="F2587" t="str">
            <v>SENIOR MENTAL HEALTH COUNSELOR, RN</v>
          </cell>
          <cell r="G2587" t="str">
            <v>5280A</v>
          </cell>
          <cell r="H2587">
            <v>6790.09</v>
          </cell>
          <cell r="I2587">
            <v>1</v>
          </cell>
          <cell r="J2587">
            <v>12</v>
          </cell>
          <cell r="K2587">
            <v>1</v>
          </cell>
          <cell r="L2587">
            <v>83105.399999999994</v>
          </cell>
        </row>
        <row r="2588">
          <cell r="A2588">
            <v>109482</v>
          </cell>
          <cell r="B2588">
            <v>32079</v>
          </cell>
          <cell r="D2588" t="str">
            <v>adult</v>
          </cell>
          <cell r="E2588" t="str">
            <v>M</v>
          </cell>
          <cell r="F2588" t="str">
            <v>SENIOR MENTAL HEALTH COUNSELOR, RN</v>
          </cell>
          <cell r="G2588" t="str">
            <v>5280A</v>
          </cell>
          <cell r="H2588">
            <v>6790.09</v>
          </cell>
          <cell r="I2588">
            <v>1</v>
          </cell>
          <cell r="J2588">
            <v>12</v>
          </cell>
          <cell r="K2588">
            <v>1</v>
          </cell>
          <cell r="L2588">
            <v>83105.399999999994</v>
          </cell>
        </row>
        <row r="2589">
          <cell r="A2589">
            <v>109483</v>
          </cell>
          <cell r="B2589">
            <v>32079</v>
          </cell>
          <cell r="D2589" t="str">
            <v>adult</v>
          </cell>
          <cell r="E2589" t="str">
            <v>M</v>
          </cell>
          <cell r="F2589" t="str">
            <v>SENIOR MENTAL HEALTH COUNSELOR, RN</v>
          </cell>
          <cell r="G2589" t="str">
            <v>5280A</v>
          </cell>
          <cell r="H2589">
            <v>6790.09</v>
          </cell>
          <cell r="I2589">
            <v>1</v>
          </cell>
          <cell r="J2589">
            <v>12</v>
          </cell>
          <cell r="K2589">
            <v>1</v>
          </cell>
          <cell r="L2589">
            <v>83105.399999999994</v>
          </cell>
        </row>
        <row r="2590">
          <cell r="A2590">
            <v>109484</v>
          </cell>
          <cell r="B2590">
            <v>32079</v>
          </cell>
          <cell r="D2590" t="str">
            <v>adult</v>
          </cell>
          <cell r="E2590" t="str">
            <v>M</v>
          </cell>
          <cell r="F2590" t="str">
            <v>SENIOR MENTAL HEALTH COUNSELOR, RN</v>
          </cell>
          <cell r="G2590" t="str">
            <v>5280A</v>
          </cell>
          <cell r="H2590">
            <v>6790.09</v>
          </cell>
          <cell r="I2590">
            <v>1</v>
          </cell>
          <cell r="J2590">
            <v>12</v>
          </cell>
          <cell r="K2590">
            <v>1</v>
          </cell>
          <cell r="L2590">
            <v>83105.399999999994</v>
          </cell>
        </row>
        <row r="2591">
          <cell r="A2591">
            <v>109485</v>
          </cell>
          <cell r="B2591">
            <v>32079</v>
          </cell>
          <cell r="D2591" t="str">
            <v>adult</v>
          </cell>
          <cell r="E2591" t="str">
            <v>M</v>
          </cell>
          <cell r="F2591" t="str">
            <v>SENIOR MENTAL HEALTH COUNSELOR, RN</v>
          </cell>
          <cell r="G2591" t="str">
            <v>5280A</v>
          </cell>
          <cell r="H2591">
            <v>6790.09</v>
          </cell>
          <cell r="I2591">
            <v>1</v>
          </cell>
          <cell r="J2591">
            <v>12</v>
          </cell>
          <cell r="K2591">
            <v>1</v>
          </cell>
          <cell r="L2591">
            <v>83105.399999999994</v>
          </cell>
        </row>
        <row r="2592">
          <cell r="A2592">
            <v>109486</v>
          </cell>
          <cell r="B2592">
            <v>32079</v>
          </cell>
          <cell r="D2592" t="str">
            <v>adult</v>
          </cell>
          <cell r="E2592" t="str">
            <v>M</v>
          </cell>
          <cell r="F2592" t="str">
            <v>SENIOR MENTAL HEALTH COUNSELOR, RN</v>
          </cell>
          <cell r="G2592" t="str">
            <v>5280A</v>
          </cell>
          <cell r="H2592">
            <v>6790.09</v>
          </cell>
          <cell r="I2592">
            <v>1</v>
          </cell>
          <cell r="J2592">
            <v>12</v>
          </cell>
          <cell r="K2592">
            <v>1</v>
          </cell>
          <cell r="L2592">
            <v>83105.399999999994</v>
          </cell>
        </row>
        <row r="2593">
          <cell r="A2593">
            <v>109447</v>
          </cell>
          <cell r="B2593">
            <v>32079</v>
          </cell>
          <cell r="D2593" t="str">
            <v>adult</v>
          </cell>
          <cell r="E2593" t="str">
            <v>M</v>
          </cell>
          <cell r="F2593" t="str">
            <v xml:space="preserve">SENIOR TYPIST-CLERK                </v>
          </cell>
          <cell r="G2593" t="str">
            <v>2216A</v>
          </cell>
          <cell r="H2593">
            <v>3013.55</v>
          </cell>
          <cell r="I2593">
            <v>1</v>
          </cell>
          <cell r="J2593">
            <v>12</v>
          </cell>
          <cell r="K2593">
            <v>1</v>
          </cell>
          <cell r="L2593">
            <v>36162.6</v>
          </cell>
        </row>
        <row r="2594">
          <cell r="A2594">
            <v>109456</v>
          </cell>
          <cell r="B2594">
            <v>32079</v>
          </cell>
          <cell r="D2594" t="str">
            <v>adult</v>
          </cell>
          <cell r="E2594" t="str">
            <v>M</v>
          </cell>
          <cell r="F2594" t="str">
            <v xml:space="preserve">SENIOR TYPIST-CLERK                </v>
          </cell>
          <cell r="G2594" t="str">
            <v>2216A</v>
          </cell>
          <cell r="H2594">
            <v>3013.55</v>
          </cell>
          <cell r="I2594">
            <v>1</v>
          </cell>
          <cell r="J2594">
            <v>12</v>
          </cell>
          <cell r="K2594">
            <v>1</v>
          </cell>
          <cell r="L2594">
            <v>36162.6</v>
          </cell>
        </row>
        <row r="2595">
          <cell r="A2595">
            <v>109479</v>
          </cell>
          <cell r="B2595">
            <v>32079</v>
          </cell>
          <cell r="D2595" t="str">
            <v>adult</v>
          </cell>
          <cell r="E2595" t="str">
            <v>M</v>
          </cell>
          <cell r="F2595" t="str">
            <v xml:space="preserve">SR COMMUN MENTAL HLTH PSYCHOLOGIST </v>
          </cell>
          <cell r="G2595" t="str">
            <v>8712A</v>
          </cell>
          <cell r="H2595">
            <v>7311.45</v>
          </cell>
          <cell r="I2595">
            <v>1</v>
          </cell>
          <cell r="J2595">
            <v>12</v>
          </cell>
          <cell r="K2595">
            <v>1</v>
          </cell>
          <cell r="L2595">
            <v>87737.4</v>
          </cell>
        </row>
        <row r="2596">
          <cell r="A2596">
            <v>109448</v>
          </cell>
          <cell r="B2596">
            <v>32079</v>
          </cell>
          <cell r="D2596" t="str">
            <v>adult</v>
          </cell>
          <cell r="E2596" t="str">
            <v>M</v>
          </cell>
          <cell r="F2596" t="str">
            <v xml:space="preserve">STAFF ASSISTANT II                 </v>
          </cell>
          <cell r="G2596" t="str">
            <v>0913A</v>
          </cell>
          <cell r="H2596">
            <v>4167.45</v>
          </cell>
          <cell r="I2596">
            <v>1</v>
          </cell>
          <cell r="J2596">
            <v>12</v>
          </cell>
          <cell r="K2596">
            <v>1</v>
          </cell>
          <cell r="L2596">
            <v>50009.4</v>
          </cell>
        </row>
        <row r="2597">
          <cell r="A2597">
            <v>108788</v>
          </cell>
          <cell r="B2597">
            <v>32079</v>
          </cell>
          <cell r="D2597" t="str">
            <v>adult</v>
          </cell>
          <cell r="E2597" t="str">
            <v>M</v>
          </cell>
          <cell r="F2597" t="str">
            <v>SUBSTANCE ABUSE COUNSELOR</v>
          </cell>
          <cell r="G2597" t="str">
            <v>5884A</v>
          </cell>
          <cell r="H2597">
            <v>3210</v>
          </cell>
          <cell r="I2597">
            <v>1</v>
          </cell>
          <cell r="J2597">
            <v>12</v>
          </cell>
          <cell r="K2597">
            <v>1</v>
          </cell>
          <cell r="L2597">
            <v>38520</v>
          </cell>
        </row>
        <row r="2598">
          <cell r="A2598">
            <v>109487</v>
          </cell>
          <cell r="B2598">
            <v>32079</v>
          </cell>
          <cell r="D2598" t="str">
            <v>adult</v>
          </cell>
          <cell r="E2598" t="str">
            <v>M</v>
          </cell>
          <cell r="F2598" t="str">
            <v>SUBSTANCE ABUSE COUNSELOR</v>
          </cell>
          <cell r="G2598" t="str">
            <v>5884A</v>
          </cell>
          <cell r="H2598">
            <v>3210</v>
          </cell>
          <cell r="I2598">
            <v>1</v>
          </cell>
          <cell r="J2598">
            <v>12</v>
          </cell>
          <cell r="K2598">
            <v>1</v>
          </cell>
          <cell r="L2598">
            <v>38520</v>
          </cell>
        </row>
        <row r="2599">
          <cell r="A2599">
            <v>109489</v>
          </cell>
          <cell r="B2599">
            <v>32079</v>
          </cell>
          <cell r="D2599" t="str">
            <v>adult</v>
          </cell>
          <cell r="E2599" t="str">
            <v>M</v>
          </cell>
          <cell r="F2599" t="str">
            <v>SUBSTANCE ABUSE COUNSELOR</v>
          </cell>
          <cell r="G2599" t="str">
            <v>5884A</v>
          </cell>
          <cell r="H2599">
            <v>3210</v>
          </cell>
          <cell r="I2599">
            <v>1</v>
          </cell>
          <cell r="J2599">
            <v>12</v>
          </cell>
          <cell r="K2599">
            <v>1</v>
          </cell>
          <cell r="L2599">
            <v>38520</v>
          </cell>
        </row>
        <row r="2600">
          <cell r="A2600">
            <v>109449</v>
          </cell>
          <cell r="B2600">
            <v>32079</v>
          </cell>
          <cell r="D2600" t="str">
            <v>adult</v>
          </cell>
          <cell r="E2600" t="str">
            <v>M</v>
          </cell>
          <cell r="F2600" t="str">
            <v xml:space="preserve">SUPVG MENTAL HEALTH PSYCHIATRIST   </v>
          </cell>
          <cell r="G2600" t="str">
            <v>4737A</v>
          </cell>
          <cell r="H2600">
            <v>13870</v>
          </cell>
          <cell r="I2600">
            <v>1</v>
          </cell>
          <cell r="J2600">
            <v>12</v>
          </cell>
          <cell r="K2600">
            <v>1</v>
          </cell>
          <cell r="L2600">
            <v>166440</v>
          </cell>
        </row>
        <row r="2601">
          <cell r="A2601">
            <v>109490</v>
          </cell>
          <cell r="B2601">
            <v>32079</v>
          </cell>
          <cell r="D2601" t="str">
            <v>adult</v>
          </cell>
          <cell r="E2601" t="str">
            <v>M</v>
          </cell>
          <cell r="F2601" t="str">
            <v xml:space="preserve">SUPVG PSYCHIATRIC SOCIAL WORKER    </v>
          </cell>
          <cell r="G2601" t="str">
            <v>9038A</v>
          </cell>
          <cell r="H2601">
            <v>6062.45</v>
          </cell>
          <cell r="I2601">
            <v>1</v>
          </cell>
          <cell r="J2601">
            <v>12</v>
          </cell>
          <cell r="K2601">
            <v>1</v>
          </cell>
          <cell r="L2601">
            <v>72749.399999999994</v>
          </cell>
        </row>
        <row r="2602">
          <cell r="A2602">
            <v>109444</v>
          </cell>
          <cell r="B2602">
            <v>32079</v>
          </cell>
          <cell r="D2602" t="str">
            <v>adult</v>
          </cell>
          <cell r="E2602" t="str">
            <v>M</v>
          </cell>
          <cell r="F2602" t="str">
            <v>TRAINING COORDINATOR, MH</v>
          </cell>
          <cell r="G2602" t="str">
            <v>1865A</v>
          </cell>
          <cell r="H2602">
            <v>6062.45</v>
          </cell>
          <cell r="I2602">
            <v>1</v>
          </cell>
          <cell r="J2602">
            <v>12</v>
          </cell>
          <cell r="K2602">
            <v>1</v>
          </cell>
          <cell r="L2602">
            <v>72749.399999999994</v>
          </cell>
        </row>
        <row r="2603">
          <cell r="A2603">
            <v>103768</v>
          </cell>
          <cell r="B2603">
            <v>32031</v>
          </cell>
          <cell r="C2603">
            <v>23015</v>
          </cell>
          <cell r="D2603" t="str">
            <v>adult</v>
          </cell>
          <cell r="E2603" t="str">
            <v>M</v>
          </cell>
          <cell r="F2603" t="str">
            <v>PSYCHIATRIC SOCIAL WORKER II</v>
          </cell>
          <cell r="G2603" t="str">
            <v>9035A</v>
          </cell>
          <cell r="H2603">
            <v>5425.82</v>
          </cell>
          <cell r="I2603">
            <v>1</v>
          </cell>
          <cell r="J2603">
            <v>12</v>
          </cell>
          <cell r="K2603">
            <v>1</v>
          </cell>
          <cell r="L2603">
            <v>65109.84</v>
          </cell>
        </row>
        <row r="2604">
          <cell r="A2604">
            <v>104247</v>
          </cell>
          <cell r="B2604">
            <v>32031</v>
          </cell>
          <cell r="C2604">
            <v>23015</v>
          </cell>
          <cell r="D2604" t="str">
            <v>adult</v>
          </cell>
          <cell r="E2604" t="str">
            <v>M</v>
          </cell>
          <cell r="F2604" t="str">
            <v>PSYCHIATRIC SOCIAL WORKER II</v>
          </cell>
          <cell r="G2604" t="str">
            <v>9035A</v>
          </cell>
          <cell r="H2604">
            <v>5425.82</v>
          </cell>
          <cell r="I2604">
            <v>1</v>
          </cell>
          <cell r="J2604">
            <v>12</v>
          </cell>
          <cell r="K2604">
            <v>1</v>
          </cell>
          <cell r="L2604">
            <v>65109.84</v>
          </cell>
        </row>
        <row r="2605">
          <cell r="A2605">
            <v>102568</v>
          </cell>
          <cell r="B2605">
            <v>32031</v>
          </cell>
          <cell r="C2605">
            <v>23015</v>
          </cell>
          <cell r="D2605" t="str">
            <v>adult</v>
          </cell>
          <cell r="E2605" t="str">
            <v>M</v>
          </cell>
          <cell r="F2605" t="str">
            <v>MENTAL HEALTH COUNSELOR, RN</v>
          </cell>
          <cell r="G2605" t="str">
            <v>5278A</v>
          </cell>
          <cell r="H2605">
            <v>6275.27</v>
          </cell>
          <cell r="I2605">
            <v>1</v>
          </cell>
          <cell r="J2605">
            <v>12</v>
          </cell>
          <cell r="K2605">
            <v>1</v>
          </cell>
          <cell r="L2605">
            <v>76804.323333333334</v>
          </cell>
        </row>
        <row r="2606">
          <cell r="A2606">
            <v>104105</v>
          </cell>
          <cell r="B2606">
            <v>32031</v>
          </cell>
          <cell r="C2606">
            <v>23015</v>
          </cell>
          <cell r="D2606" t="str">
            <v>adult</v>
          </cell>
          <cell r="E2606" t="str">
            <v>M</v>
          </cell>
          <cell r="F2606" t="str">
            <v>MENTAL HEALTH COUNSELOR, RN</v>
          </cell>
          <cell r="G2606" t="str">
            <v>5278A</v>
          </cell>
          <cell r="H2606">
            <v>6275.27</v>
          </cell>
          <cell r="I2606">
            <v>1</v>
          </cell>
          <cell r="J2606">
            <v>12</v>
          </cell>
          <cell r="K2606">
            <v>1</v>
          </cell>
          <cell r="L2606">
            <v>76804.323333333334</v>
          </cell>
        </row>
        <row r="2607">
          <cell r="A2607">
            <v>103316</v>
          </cell>
          <cell r="B2607">
            <v>32031</v>
          </cell>
          <cell r="C2607">
            <v>20572</v>
          </cell>
          <cell r="D2607" t="str">
            <v>adult</v>
          </cell>
          <cell r="E2607" t="str">
            <v>M</v>
          </cell>
          <cell r="F2607" t="str">
            <v>COMMUNITY WORKER</v>
          </cell>
          <cell r="G2607" t="str">
            <v>8103A</v>
          </cell>
          <cell r="H2607">
            <v>2984.09</v>
          </cell>
          <cell r="I2607">
            <v>1</v>
          </cell>
          <cell r="J2607">
            <v>12</v>
          </cell>
          <cell r="K2607">
            <v>1</v>
          </cell>
          <cell r="L2607">
            <v>35809.08</v>
          </cell>
        </row>
        <row r="2608">
          <cell r="A2608">
            <v>104323</v>
          </cell>
          <cell r="B2608">
            <v>32031</v>
          </cell>
          <cell r="C2608">
            <v>20465</v>
          </cell>
          <cell r="D2608" t="str">
            <v>adult</v>
          </cell>
          <cell r="E2608" t="str">
            <v>M</v>
          </cell>
          <cell r="F2608" t="str">
            <v>PSYCHIATRIC TECHNICIAN II</v>
          </cell>
          <cell r="G2608" t="str">
            <v>8162A</v>
          </cell>
          <cell r="H2608">
            <v>3420.09</v>
          </cell>
          <cell r="I2608">
            <v>1</v>
          </cell>
          <cell r="J2608">
            <v>12</v>
          </cell>
          <cell r="K2608">
            <v>1</v>
          </cell>
          <cell r="L2608">
            <v>41041.08</v>
          </cell>
        </row>
        <row r="2609">
          <cell r="A2609">
            <v>104990</v>
          </cell>
          <cell r="B2609">
            <v>32031</v>
          </cell>
          <cell r="C2609">
            <v>20465</v>
          </cell>
          <cell r="D2609" t="str">
            <v>adult</v>
          </cell>
          <cell r="E2609" t="str">
            <v>M</v>
          </cell>
          <cell r="F2609" t="str">
            <v>MENTAL HEALTH COUNSELOR, RN</v>
          </cell>
          <cell r="G2609" t="str">
            <v>5278A</v>
          </cell>
          <cell r="H2609">
            <v>6275.27</v>
          </cell>
          <cell r="I2609">
            <v>1</v>
          </cell>
          <cell r="J2609">
            <v>12</v>
          </cell>
          <cell r="K2609">
            <v>1</v>
          </cell>
          <cell r="L2609">
            <v>76804.323333333334</v>
          </cell>
        </row>
        <row r="2610">
          <cell r="A2610">
            <v>104702</v>
          </cell>
          <cell r="B2610">
            <v>32031</v>
          </cell>
          <cell r="C2610">
            <v>20472</v>
          </cell>
          <cell r="D2610" t="str">
            <v>adult</v>
          </cell>
          <cell r="E2610" t="str">
            <v>M</v>
          </cell>
          <cell r="F2610" t="str">
            <v>PSYCHIATRIC SOCIAL WORKER II</v>
          </cell>
          <cell r="G2610" t="str">
            <v>9035A</v>
          </cell>
          <cell r="H2610">
            <v>5425.82</v>
          </cell>
          <cell r="I2610">
            <v>1</v>
          </cell>
          <cell r="J2610">
            <v>12</v>
          </cell>
          <cell r="K2610">
            <v>1</v>
          </cell>
          <cell r="L2610">
            <v>65109.84</v>
          </cell>
        </row>
        <row r="2611">
          <cell r="A2611">
            <v>104765</v>
          </cell>
          <cell r="B2611">
            <v>32031</v>
          </cell>
          <cell r="C2611">
            <v>23001</v>
          </cell>
          <cell r="D2611" t="str">
            <v>adult</v>
          </cell>
          <cell r="E2611" t="str">
            <v>M</v>
          </cell>
          <cell r="F2611" t="str">
            <v>MEDICAL CASE WORKER II</v>
          </cell>
          <cell r="G2611" t="str">
            <v>9002A</v>
          </cell>
          <cell r="H2611">
            <v>3938.82</v>
          </cell>
          <cell r="I2611">
            <v>1</v>
          </cell>
          <cell r="J2611">
            <v>12</v>
          </cell>
          <cell r="K2611">
            <v>1</v>
          </cell>
          <cell r="L2611">
            <v>47265.68</v>
          </cell>
        </row>
        <row r="2612">
          <cell r="A2612">
            <v>101104</v>
          </cell>
          <cell r="B2612">
            <v>32031</v>
          </cell>
          <cell r="C2612">
            <v>23001</v>
          </cell>
          <cell r="D2612" t="str">
            <v>adult</v>
          </cell>
          <cell r="E2612" t="str">
            <v>M</v>
          </cell>
          <cell r="F2612" t="str">
            <v>PSYCHIATRIC SOCIAL WORKER II</v>
          </cell>
          <cell r="G2612" t="str">
            <v>9035A</v>
          </cell>
          <cell r="H2612">
            <v>5425.82</v>
          </cell>
          <cell r="I2612">
            <v>1</v>
          </cell>
          <cell r="J2612">
            <v>12</v>
          </cell>
          <cell r="K2612">
            <v>1</v>
          </cell>
          <cell r="L2612">
            <v>65109.84</v>
          </cell>
        </row>
        <row r="2613">
          <cell r="A2613">
            <v>104217</v>
          </cell>
          <cell r="B2613">
            <v>32031</v>
          </cell>
          <cell r="C2613">
            <v>23001</v>
          </cell>
          <cell r="D2613" t="str">
            <v>adult</v>
          </cell>
          <cell r="E2613" t="str">
            <v>M</v>
          </cell>
          <cell r="F2613" t="str">
            <v>PSYCHIATRIC SOCIAL WORKER II</v>
          </cell>
          <cell r="G2613" t="str">
            <v>9035A</v>
          </cell>
          <cell r="H2613">
            <v>5425.82</v>
          </cell>
          <cell r="I2613">
            <v>1</v>
          </cell>
          <cell r="J2613">
            <v>12</v>
          </cell>
          <cell r="K2613">
            <v>1</v>
          </cell>
          <cell r="L2613">
            <v>65109.84</v>
          </cell>
        </row>
        <row r="2614">
          <cell r="A2614">
            <v>104908</v>
          </cell>
          <cell r="B2614">
            <v>32031</v>
          </cell>
          <cell r="C2614">
            <v>20477</v>
          </cell>
          <cell r="D2614" t="str">
            <v>adult</v>
          </cell>
          <cell r="E2614" t="str">
            <v>M</v>
          </cell>
          <cell r="F2614" t="str">
            <v>MEDICAL CASE WORKER II</v>
          </cell>
          <cell r="G2614" t="str">
            <v>9002A</v>
          </cell>
          <cell r="H2614">
            <v>3938.82</v>
          </cell>
          <cell r="I2614">
            <v>1</v>
          </cell>
          <cell r="J2614">
            <v>12</v>
          </cell>
          <cell r="K2614">
            <v>1</v>
          </cell>
          <cell r="L2614">
            <v>47265.68</v>
          </cell>
        </row>
        <row r="2615">
          <cell r="A2615">
            <v>104972</v>
          </cell>
          <cell r="B2615">
            <v>32031</v>
          </cell>
          <cell r="C2615">
            <v>20477</v>
          </cell>
          <cell r="D2615" t="str">
            <v>adult</v>
          </cell>
          <cell r="E2615" t="str">
            <v>M</v>
          </cell>
          <cell r="F2615" t="str">
            <v>MENTAL HEALTH SERVICES COORD II</v>
          </cell>
          <cell r="G2615" t="str">
            <v>8149A</v>
          </cell>
          <cell r="H2615">
            <v>5152.3599999999997</v>
          </cell>
          <cell r="I2615">
            <v>1</v>
          </cell>
          <cell r="J2615">
            <v>12</v>
          </cell>
          <cell r="K2615">
            <v>1</v>
          </cell>
          <cell r="L2615">
            <v>61828.72</v>
          </cell>
        </row>
        <row r="2616">
          <cell r="A2616">
            <v>100675</v>
          </cell>
          <cell r="B2616">
            <v>32031</v>
          </cell>
          <cell r="C2616">
            <v>20477</v>
          </cell>
          <cell r="D2616" t="str">
            <v>adult</v>
          </cell>
          <cell r="E2616" t="str">
            <v>M</v>
          </cell>
          <cell r="F2616" t="str">
            <v>MENTAL HEALTH COUNSELOR, RN</v>
          </cell>
          <cell r="G2616" t="str">
            <v>5278A</v>
          </cell>
          <cell r="H2616">
            <v>6275.27</v>
          </cell>
          <cell r="I2616">
            <v>1</v>
          </cell>
          <cell r="J2616">
            <v>12</v>
          </cell>
          <cell r="K2616">
            <v>1</v>
          </cell>
          <cell r="L2616">
            <v>76804.323333333334</v>
          </cell>
        </row>
        <row r="2617">
          <cell r="A2617">
            <v>104031</v>
          </cell>
          <cell r="B2617">
            <v>32031</v>
          </cell>
          <cell r="C2617">
            <v>20923</v>
          </cell>
          <cell r="D2617" t="str">
            <v>adult</v>
          </cell>
          <cell r="E2617" t="str">
            <v>M</v>
          </cell>
          <cell r="F2617" t="str">
            <v>REHABILITATION COUNSELOR II</v>
          </cell>
          <cell r="G2617" t="str">
            <v>8593A</v>
          </cell>
          <cell r="H2617">
            <v>4076.09</v>
          </cell>
          <cell r="I2617">
            <v>1</v>
          </cell>
          <cell r="J2617">
            <v>12</v>
          </cell>
          <cell r="K2617">
            <v>1</v>
          </cell>
          <cell r="L2617">
            <v>48922.8</v>
          </cell>
        </row>
        <row r="2618">
          <cell r="A2618">
            <v>103953</v>
          </cell>
          <cell r="B2618">
            <v>32031</v>
          </cell>
          <cell r="C2618">
            <v>20477</v>
          </cell>
          <cell r="D2618" t="str">
            <v>adult</v>
          </cell>
          <cell r="E2618" t="str">
            <v>M</v>
          </cell>
          <cell r="F2618" t="str">
            <v>PSYCHIATRIC SOCIAL WORKER II</v>
          </cell>
          <cell r="G2618" t="str">
            <v>9035A</v>
          </cell>
          <cell r="H2618">
            <v>5425.82</v>
          </cell>
          <cell r="I2618">
            <v>1</v>
          </cell>
          <cell r="J2618">
            <v>12</v>
          </cell>
          <cell r="K2618">
            <v>1</v>
          </cell>
          <cell r="L2618">
            <v>65109.84</v>
          </cell>
        </row>
        <row r="2619">
          <cell r="A2619">
            <v>104070</v>
          </cell>
          <cell r="B2619">
            <v>32031</v>
          </cell>
          <cell r="C2619">
            <v>20477</v>
          </cell>
          <cell r="D2619" t="str">
            <v>adult</v>
          </cell>
          <cell r="E2619" t="str">
            <v>M</v>
          </cell>
          <cell r="F2619" t="str">
            <v>PSYCHIATRIC SOCIAL WORKER II</v>
          </cell>
          <cell r="G2619" t="str">
            <v>9035A</v>
          </cell>
          <cell r="H2619">
            <v>5425.82</v>
          </cell>
          <cell r="I2619">
            <v>1</v>
          </cell>
          <cell r="J2619">
            <v>12</v>
          </cell>
          <cell r="K2619">
            <v>1</v>
          </cell>
          <cell r="L2619">
            <v>65109.84</v>
          </cell>
        </row>
        <row r="2620">
          <cell r="A2620">
            <v>100627</v>
          </cell>
          <cell r="B2620">
            <v>32031</v>
          </cell>
          <cell r="C2620">
            <v>20672</v>
          </cell>
          <cell r="D2620" t="str">
            <v>adult</v>
          </cell>
          <cell r="E2620" t="str">
            <v>M</v>
          </cell>
          <cell r="F2620" t="str">
            <v>MENTAL HEALTH COUNSELOR, RN</v>
          </cell>
          <cell r="G2620" t="str">
            <v>5278A</v>
          </cell>
          <cell r="H2620">
            <v>6275.27</v>
          </cell>
          <cell r="I2620">
            <v>1</v>
          </cell>
          <cell r="J2620">
            <v>12</v>
          </cell>
          <cell r="K2620">
            <v>1</v>
          </cell>
          <cell r="L2620">
            <v>76804.323333333334</v>
          </cell>
        </row>
        <row r="2621">
          <cell r="A2621">
            <v>103919</v>
          </cell>
          <cell r="B2621">
            <v>32031</v>
          </cell>
          <cell r="C2621">
            <v>20590</v>
          </cell>
          <cell r="D2621" t="str">
            <v>adult</v>
          </cell>
          <cell r="E2621" t="str">
            <v>M</v>
          </cell>
          <cell r="F2621" t="str">
            <v>PSYCHIATRIC SOCIAL WORKER II</v>
          </cell>
          <cell r="G2621" t="str">
            <v>9035A</v>
          </cell>
          <cell r="H2621">
            <v>5425.82</v>
          </cell>
          <cell r="I2621">
            <v>1</v>
          </cell>
          <cell r="J2621">
            <v>12</v>
          </cell>
          <cell r="K2621">
            <v>1</v>
          </cell>
          <cell r="L2621">
            <v>65109.84</v>
          </cell>
        </row>
        <row r="2622">
          <cell r="A2622">
            <v>102693</v>
          </cell>
          <cell r="B2622">
            <v>32031</v>
          </cell>
          <cell r="C2622">
            <v>20452</v>
          </cell>
          <cell r="D2622" t="str">
            <v>adult</v>
          </cell>
          <cell r="E2622" t="str">
            <v>M</v>
          </cell>
          <cell r="F2622" t="str">
            <v>PSYCHIATRIC SOCIAL WORKER II</v>
          </cell>
          <cell r="G2622" t="str">
            <v>9035A</v>
          </cell>
          <cell r="H2622">
            <v>5425.82</v>
          </cell>
          <cell r="I2622">
            <v>1</v>
          </cell>
          <cell r="J2622">
            <v>12</v>
          </cell>
          <cell r="K2622">
            <v>1</v>
          </cell>
          <cell r="L2622">
            <v>65109.84</v>
          </cell>
        </row>
        <row r="2623">
          <cell r="A2623">
            <v>101015</v>
          </cell>
          <cell r="B2623">
            <v>32031</v>
          </cell>
          <cell r="C2623">
            <v>20452</v>
          </cell>
          <cell r="D2623" t="str">
            <v>adult</v>
          </cell>
          <cell r="E2623" t="str">
            <v>M</v>
          </cell>
          <cell r="F2623" t="str">
            <v>PSYCHIATRIC SOCIAL WORKER II</v>
          </cell>
          <cell r="G2623" t="str">
            <v>9035A</v>
          </cell>
          <cell r="H2623">
            <v>5425.82</v>
          </cell>
          <cell r="I2623">
            <v>1</v>
          </cell>
          <cell r="J2623">
            <v>12</v>
          </cell>
          <cell r="K2623">
            <v>1</v>
          </cell>
          <cell r="L2623">
            <v>65109.84</v>
          </cell>
        </row>
        <row r="2624">
          <cell r="A2624">
            <v>102524</v>
          </cell>
          <cell r="B2624">
            <v>32031</v>
          </cell>
          <cell r="C2624">
            <v>23003</v>
          </cell>
          <cell r="D2624" t="str">
            <v>adult</v>
          </cell>
          <cell r="E2624" t="str">
            <v>M</v>
          </cell>
          <cell r="F2624" t="str">
            <v>COMMUNITY WORKER</v>
          </cell>
          <cell r="G2624" t="str">
            <v>8103A</v>
          </cell>
          <cell r="H2624">
            <v>2984.09</v>
          </cell>
          <cell r="I2624">
            <v>1</v>
          </cell>
          <cell r="J2624">
            <v>12</v>
          </cell>
          <cell r="K2624">
            <v>1</v>
          </cell>
          <cell r="L2624">
            <v>35809.08</v>
          </cell>
        </row>
        <row r="2625">
          <cell r="A2625">
            <v>100665</v>
          </cell>
          <cell r="B2625">
            <v>32031</v>
          </cell>
          <cell r="C2625">
            <v>23003</v>
          </cell>
          <cell r="D2625" t="str">
            <v>adult</v>
          </cell>
          <cell r="E2625" t="str">
            <v>M</v>
          </cell>
          <cell r="F2625" t="str">
            <v>MENTAL HEALTH COUNSELOR, RN</v>
          </cell>
          <cell r="G2625" t="str">
            <v>5278A</v>
          </cell>
          <cell r="H2625">
            <v>6275.27</v>
          </cell>
          <cell r="I2625">
            <v>1</v>
          </cell>
          <cell r="J2625">
            <v>12</v>
          </cell>
          <cell r="K2625">
            <v>1</v>
          </cell>
          <cell r="L2625">
            <v>76804.323333333334</v>
          </cell>
        </row>
        <row r="2626">
          <cell r="A2626">
            <v>103938</v>
          </cell>
          <cell r="B2626">
            <v>32031</v>
          </cell>
          <cell r="C2626">
            <v>23003</v>
          </cell>
          <cell r="D2626" t="str">
            <v>adult</v>
          </cell>
          <cell r="E2626" t="str">
            <v>M</v>
          </cell>
          <cell r="F2626" t="str">
            <v>PSYCHIATRIC SOCIAL WORKER II</v>
          </cell>
          <cell r="G2626" t="str">
            <v>9035A</v>
          </cell>
          <cell r="H2626">
            <v>5425.82</v>
          </cell>
          <cell r="I2626">
            <v>1</v>
          </cell>
          <cell r="J2626">
            <v>12</v>
          </cell>
          <cell r="K2626">
            <v>1</v>
          </cell>
          <cell r="L2626">
            <v>65109.84</v>
          </cell>
        </row>
        <row r="2627">
          <cell r="A2627">
            <v>104156</v>
          </cell>
          <cell r="B2627">
            <v>32031</v>
          </cell>
          <cell r="C2627">
            <v>23003</v>
          </cell>
          <cell r="D2627" t="str">
            <v>adult</v>
          </cell>
          <cell r="E2627" t="str">
            <v>M</v>
          </cell>
          <cell r="F2627" t="str">
            <v>PSYCHIATRIC SOCIAL WORKER II</v>
          </cell>
          <cell r="G2627" t="str">
            <v>9035A</v>
          </cell>
          <cell r="H2627">
            <v>5425.82</v>
          </cell>
          <cell r="I2627">
            <v>1</v>
          </cell>
          <cell r="J2627">
            <v>12</v>
          </cell>
          <cell r="K2627">
            <v>1</v>
          </cell>
          <cell r="L2627">
            <v>65109.84</v>
          </cell>
        </row>
        <row r="2628">
          <cell r="A2628">
            <v>102530</v>
          </cell>
          <cell r="B2628">
            <v>32031</v>
          </cell>
          <cell r="C2628">
            <v>23003</v>
          </cell>
          <cell r="D2628" t="str">
            <v>adult</v>
          </cell>
          <cell r="E2628" t="str">
            <v>M</v>
          </cell>
          <cell r="F2628" t="str">
            <v>PSYCHIATRIC TECHNICIAN II</v>
          </cell>
          <cell r="G2628" t="str">
            <v>8162A</v>
          </cell>
          <cell r="H2628">
            <v>3420.09</v>
          </cell>
          <cell r="I2628">
            <v>1</v>
          </cell>
          <cell r="J2628">
            <v>12</v>
          </cell>
          <cell r="K2628">
            <v>1</v>
          </cell>
          <cell r="L2628">
            <v>41041.08</v>
          </cell>
        </row>
        <row r="2629">
          <cell r="A2629">
            <v>104973</v>
          </cell>
          <cell r="B2629">
            <v>32031</v>
          </cell>
          <cell r="C2629">
            <v>20483</v>
          </cell>
          <cell r="D2629" t="str">
            <v>adult</v>
          </cell>
          <cell r="E2629" t="str">
            <v>M</v>
          </cell>
          <cell r="F2629" t="str">
            <v>COMMUNITY WORKER</v>
          </cell>
          <cell r="G2629" t="str">
            <v>8103A</v>
          </cell>
          <cell r="H2629">
            <v>2984.09</v>
          </cell>
          <cell r="I2629">
            <v>1</v>
          </cell>
          <cell r="J2629">
            <v>12</v>
          </cell>
          <cell r="K2629">
            <v>1</v>
          </cell>
          <cell r="L2629">
            <v>35809.08</v>
          </cell>
        </row>
        <row r="2630">
          <cell r="A2630">
            <v>103916</v>
          </cell>
          <cell r="B2630">
            <v>32031</v>
          </cell>
          <cell r="C2630">
            <v>20483</v>
          </cell>
          <cell r="D2630" t="str">
            <v>adult</v>
          </cell>
          <cell r="E2630" t="str">
            <v>M</v>
          </cell>
          <cell r="F2630" t="str">
            <v>INTERMEDIATE TYPIST-CLERK</v>
          </cell>
          <cell r="G2630" t="str">
            <v>2214A</v>
          </cell>
          <cell r="H2630">
            <v>2675.27</v>
          </cell>
          <cell r="I2630">
            <v>1</v>
          </cell>
          <cell r="J2630">
            <v>12</v>
          </cell>
          <cell r="K2630">
            <v>1</v>
          </cell>
          <cell r="L2630">
            <v>32103.16</v>
          </cell>
        </row>
        <row r="2631">
          <cell r="A2631">
            <v>109751</v>
          </cell>
          <cell r="B2631">
            <v>32031</v>
          </cell>
          <cell r="C2631">
            <v>20483</v>
          </cell>
          <cell r="D2631" t="str">
            <v>adult</v>
          </cell>
          <cell r="E2631" t="str">
            <v>M</v>
          </cell>
          <cell r="F2631" t="str">
            <v>PATIENT RESOURCES WORKER</v>
          </cell>
          <cell r="G2631" t="str">
            <v>9192A</v>
          </cell>
          <cell r="H2631">
            <v>2748.27</v>
          </cell>
          <cell r="I2631">
            <v>1</v>
          </cell>
          <cell r="J2631">
            <v>12</v>
          </cell>
          <cell r="K2631">
            <v>1</v>
          </cell>
          <cell r="L2631">
            <v>32979.24</v>
          </cell>
        </row>
        <row r="2632">
          <cell r="A2632">
            <v>100626</v>
          </cell>
          <cell r="B2632">
            <v>32031</v>
          </cell>
          <cell r="C2632">
            <v>20483</v>
          </cell>
          <cell r="D2632" t="str">
            <v>adult</v>
          </cell>
          <cell r="E2632" t="str">
            <v>M</v>
          </cell>
          <cell r="F2632" t="str">
            <v>MENTAL HEALTH COUNSELOR, RN</v>
          </cell>
          <cell r="G2632" t="str">
            <v>5278A</v>
          </cell>
          <cell r="H2632">
            <v>6275.27</v>
          </cell>
          <cell r="I2632">
            <v>1</v>
          </cell>
          <cell r="J2632">
            <v>12</v>
          </cell>
          <cell r="K2632">
            <v>1</v>
          </cell>
          <cell r="L2632">
            <v>76804.323333333334</v>
          </cell>
        </row>
        <row r="2633">
          <cell r="A2633">
            <v>104684</v>
          </cell>
          <cell r="B2633">
            <v>32031</v>
          </cell>
          <cell r="C2633">
            <v>20472</v>
          </cell>
          <cell r="D2633" t="str">
            <v>adult</v>
          </cell>
          <cell r="E2633" t="str">
            <v>M</v>
          </cell>
          <cell r="F2633" t="str">
            <v>PSYCHIATRIC SOCIAL WORKER II</v>
          </cell>
          <cell r="G2633" t="str">
            <v>9035A</v>
          </cell>
          <cell r="H2633">
            <v>5425.82</v>
          </cell>
          <cell r="I2633">
            <v>1</v>
          </cell>
          <cell r="J2633">
            <v>12</v>
          </cell>
          <cell r="K2633">
            <v>1</v>
          </cell>
          <cell r="L2633">
            <v>65109.84</v>
          </cell>
        </row>
        <row r="2634">
          <cell r="A2634">
            <v>103917</v>
          </cell>
          <cell r="B2634">
            <v>32031</v>
          </cell>
          <cell r="C2634">
            <v>20450</v>
          </cell>
          <cell r="D2634" t="str">
            <v>adult</v>
          </cell>
          <cell r="E2634" t="str">
            <v>M</v>
          </cell>
          <cell r="F2634" t="str">
            <v>PSYCHIATRIC SOCIAL WORKER II</v>
          </cell>
          <cell r="G2634" t="str">
            <v>9035A</v>
          </cell>
          <cell r="H2634">
            <v>5425.82</v>
          </cell>
          <cell r="I2634">
            <v>1</v>
          </cell>
          <cell r="J2634">
            <v>12</v>
          </cell>
          <cell r="K2634">
            <v>1</v>
          </cell>
          <cell r="L2634">
            <v>65109.84</v>
          </cell>
        </row>
        <row r="2635">
          <cell r="A2635">
            <v>103918</v>
          </cell>
          <cell r="B2635">
            <v>32031</v>
          </cell>
          <cell r="C2635">
            <v>20483</v>
          </cell>
          <cell r="D2635" t="str">
            <v>adult</v>
          </cell>
          <cell r="E2635" t="str">
            <v>M</v>
          </cell>
          <cell r="F2635" t="str">
            <v>PSYCHIATRIC SOCIAL WORKER II</v>
          </cell>
          <cell r="G2635" t="str">
            <v>9035A</v>
          </cell>
          <cell r="H2635">
            <v>5425.82</v>
          </cell>
          <cell r="I2635">
            <v>1</v>
          </cell>
          <cell r="J2635">
            <v>12</v>
          </cell>
          <cell r="K2635">
            <v>1</v>
          </cell>
          <cell r="L2635">
            <v>65109.84</v>
          </cell>
        </row>
        <row r="2636">
          <cell r="A2636">
            <v>101441</v>
          </cell>
          <cell r="B2636">
            <v>32031</v>
          </cell>
          <cell r="C2636">
            <v>20483</v>
          </cell>
          <cell r="D2636" t="str">
            <v>adult</v>
          </cell>
          <cell r="E2636" t="str">
            <v>M</v>
          </cell>
          <cell r="F2636" t="str">
            <v xml:space="preserve">SENIOR COMMUNITY WORKER II         </v>
          </cell>
          <cell r="G2636" t="str">
            <v>8105A</v>
          </cell>
          <cell r="H2636">
            <v>3428.36</v>
          </cell>
          <cell r="I2636">
            <v>1</v>
          </cell>
          <cell r="J2636">
            <v>12</v>
          </cell>
          <cell r="K2636">
            <v>1</v>
          </cell>
          <cell r="L2636">
            <v>41140.32</v>
          </cell>
        </row>
        <row r="2637">
          <cell r="A2637">
            <v>101581</v>
          </cell>
          <cell r="B2637">
            <v>32031</v>
          </cell>
          <cell r="C2637">
            <v>20483</v>
          </cell>
          <cell r="D2637" t="str">
            <v>adult</v>
          </cell>
          <cell r="E2637" t="str">
            <v>M</v>
          </cell>
          <cell r="F2637" t="str">
            <v xml:space="preserve">SUPVG PSYCHIATRIC SOCIAL WORKER    </v>
          </cell>
          <cell r="G2637" t="str">
            <v>9038A</v>
          </cell>
          <cell r="H2637">
            <v>6062.45</v>
          </cell>
          <cell r="I2637">
            <v>1</v>
          </cell>
          <cell r="J2637">
            <v>12</v>
          </cell>
          <cell r="K2637">
            <v>1</v>
          </cell>
          <cell r="L2637">
            <v>72749.399999999994</v>
          </cell>
        </row>
        <row r="2638">
          <cell r="A2638">
            <v>101910</v>
          </cell>
          <cell r="B2638">
            <v>32031</v>
          </cell>
          <cell r="C2638">
            <v>20477</v>
          </cell>
          <cell r="D2638" t="str">
            <v>adult</v>
          </cell>
          <cell r="E2638" t="str">
            <v>M</v>
          </cell>
          <cell r="F2638" t="str">
            <v>PSYCHIATRIC SOCIAL WORKER II</v>
          </cell>
          <cell r="G2638" t="str">
            <v>9035A</v>
          </cell>
          <cell r="H2638">
            <v>5425.82</v>
          </cell>
          <cell r="I2638">
            <v>1</v>
          </cell>
          <cell r="J2638">
            <v>12</v>
          </cell>
          <cell r="K2638">
            <v>1</v>
          </cell>
          <cell r="L2638">
            <v>65109.84</v>
          </cell>
        </row>
        <row r="2639">
          <cell r="A2639">
            <v>101955</v>
          </cell>
          <cell r="B2639">
            <v>32031</v>
          </cell>
          <cell r="C2639">
            <v>20477</v>
          </cell>
          <cell r="D2639" t="str">
            <v>adult</v>
          </cell>
          <cell r="E2639" t="str">
            <v>M</v>
          </cell>
          <cell r="F2639" t="str">
            <v>PSYCHIATRIC SOCIAL WORKER II</v>
          </cell>
          <cell r="G2639" t="str">
            <v>9035A</v>
          </cell>
          <cell r="H2639">
            <v>5425.82</v>
          </cell>
          <cell r="I2639">
            <v>1</v>
          </cell>
          <cell r="J2639">
            <v>12</v>
          </cell>
          <cell r="K2639">
            <v>1</v>
          </cell>
          <cell r="L2639">
            <v>65109.84</v>
          </cell>
        </row>
        <row r="2640">
          <cell r="A2640">
            <v>104400</v>
          </cell>
          <cell r="B2640">
            <v>32031</v>
          </cell>
          <cell r="C2640">
            <v>20452</v>
          </cell>
          <cell r="D2640" t="str">
            <v>adult</v>
          </cell>
          <cell r="E2640" t="str">
            <v>M</v>
          </cell>
          <cell r="F2640" t="str">
            <v>CLINICAL PSYCHOLOGIST II</v>
          </cell>
          <cell r="G2640" t="str">
            <v>8697A</v>
          </cell>
          <cell r="H2640">
            <v>6993.82</v>
          </cell>
          <cell r="I2640">
            <v>1</v>
          </cell>
          <cell r="J2640">
            <v>12</v>
          </cell>
          <cell r="K2640">
            <v>1</v>
          </cell>
          <cell r="L2640">
            <v>83925.52</v>
          </cell>
        </row>
        <row r="2641">
          <cell r="A2641">
            <v>104257</v>
          </cell>
          <cell r="B2641">
            <v>32031</v>
          </cell>
          <cell r="C2641">
            <v>20452</v>
          </cell>
          <cell r="D2641" t="str">
            <v>adult</v>
          </cell>
          <cell r="E2641" t="str">
            <v>M</v>
          </cell>
          <cell r="F2641" t="str">
            <v>COMMUNITY WORKER</v>
          </cell>
          <cell r="G2641" t="str">
            <v>8103A</v>
          </cell>
          <cell r="H2641">
            <v>2984.09</v>
          </cell>
          <cell r="I2641">
            <v>1</v>
          </cell>
          <cell r="J2641">
            <v>12</v>
          </cell>
          <cell r="K2641">
            <v>1</v>
          </cell>
          <cell r="L2641">
            <v>35809.08</v>
          </cell>
        </row>
        <row r="2642">
          <cell r="A2642">
            <v>102687</v>
          </cell>
          <cell r="B2642">
            <v>32031</v>
          </cell>
          <cell r="C2642">
            <v>20469</v>
          </cell>
          <cell r="D2642" t="str">
            <v>adult</v>
          </cell>
          <cell r="E2642" t="str">
            <v>M</v>
          </cell>
          <cell r="F2642" t="str">
            <v>MEDICAL CASE WORKER II</v>
          </cell>
          <cell r="G2642" t="str">
            <v>9002A</v>
          </cell>
          <cell r="H2642">
            <v>3938.82</v>
          </cell>
          <cell r="I2642">
            <v>1</v>
          </cell>
          <cell r="J2642">
            <v>12</v>
          </cell>
          <cell r="K2642">
            <v>1</v>
          </cell>
          <cell r="L2642">
            <v>47265.68</v>
          </cell>
        </row>
        <row r="2643">
          <cell r="A2643">
            <v>100354</v>
          </cell>
          <cell r="B2643">
            <v>32031</v>
          </cell>
          <cell r="C2643">
            <v>20452</v>
          </cell>
          <cell r="D2643" t="str">
            <v>adult</v>
          </cell>
          <cell r="E2643" t="str">
            <v>M</v>
          </cell>
          <cell r="F2643" t="str">
            <v>INTERMEDIATE TYPIST-CLERK</v>
          </cell>
          <cell r="G2643" t="str">
            <v>2214A</v>
          </cell>
          <cell r="H2643">
            <v>2675.27</v>
          </cell>
          <cell r="I2643">
            <v>1</v>
          </cell>
          <cell r="J2643">
            <v>12</v>
          </cell>
          <cell r="K2643">
            <v>1</v>
          </cell>
          <cell r="L2643">
            <v>32103.16</v>
          </cell>
        </row>
        <row r="2644">
          <cell r="A2644">
            <v>100619</v>
          </cell>
          <cell r="B2644">
            <v>32031</v>
          </cell>
          <cell r="C2644">
            <v>20452</v>
          </cell>
          <cell r="D2644" t="str">
            <v>adult</v>
          </cell>
          <cell r="E2644" t="str">
            <v>M</v>
          </cell>
          <cell r="F2644" t="str">
            <v>MENTAL HEALTH COUNSELOR, RN</v>
          </cell>
          <cell r="G2644" t="str">
            <v>5278A</v>
          </cell>
          <cell r="H2644">
            <v>6275.27</v>
          </cell>
          <cell r="I2644">
            <v>1</v>
          </cell>
          <cell r="J2644">
            <v>12</v>
          </cell>
          <cell r="K2644">
            <v>1</v>
          </cell>
          <cell r="L2644">
            <v>76804.323333333334</v>
          </cell>
        </row>
        <row r="2645">
          <cell r="A2645">
            <v>100720</v>
          </cell>
          <cell r="B2645">
            <v>32031</v>
          </cell>
          <cell r="C2645">
            <v>20452</v>
          </cell>
          <cell r="D2645" t="str">
            <v>adult</v>
          </cell>
          <cell r="E2645" t="str">
            <v>M</v>
          </cell>
          <cell r="F2645" t="str">
            <v>MENTAL HEALTH PSYCHIATRIST</v>
          </cell>
          <cell r="G2645" t="str">
            <v>4735A</v>
          </cell>
          <cell r="H2645">
            <v>12844</v>
          </cell>
          <cell r="I2645">
            <v>1</v>
          </cell>
          <cell r="J2645">
            <v>12</v>
          </cell>
          <cell r="K2645">
            <v>1</v>
          </cell>
          <cell r="L2645">
            <v>154128</v>
          </cell>
        </row>
        <row r="2646">
          <cell r="A2646">
            <v>103884</v>
          </cell>
          <cell r="B2646">
            <v>32031</v>
          </cell>
          <cell r="C2646">
            <v>20452</v>
          </cell>
          <cell r="D2646" t="str">
            <v>adult</v>
          </cell>
          <cell r="E2646" t="str">
            <v>M</v>
          </cell>
          <cell r="F2646" t="str">
            <v>PSYCHIATRIC SOCIAL WORKER II</v>
          </cell>
          <cell r="G2646" t="str">
            <v>9035A</v>
          </cell>
          <cell r="H2646">
            <v>5425.82</v>
          </cell>
          <cell r="I2646">
            <v>1</v>
          </cell>
          <cell r="J2646">
            <v>12</v>
          </cell>
          <cell r="K2646">
            <v>1</v>
          </cell>
          <cell r="L2646">
            <v>65109.84</v>
          </cell>
        </row>
        <row r="2647">
          <cell r="A2647">
            <v>100970</v>
          </cell>
          <cell r="B2647">
            <v>32031</v>
          </cell>
          <cell r="C2647">
            <v>20452</v>
          </cell>
          <cell r="D2647" t="str">
            <v>adult</v>
          </cell>
          <cell r="E2647" t="str">
            <v>M</v>
          </cell>
          <cell r="F2647" t="str">
            <v>PSYCHIATRIC SOCIAL WORKER II</v>
          </cell>
          <cell r="G2647" t="str">
            <v>9035A</v>
          </cell>
          <cell r="H2647">
            <v>5425.82</v>
          </cell>
          <cell r="I2647">
            <v>1</v>
          </cell>
          <cell r="J2647">
            <v>12</v>
          </cell>
          <cell r="K2647">
            <v>1</v>
          </cell>
          <cell r="L2647">
            <v>65109.84</v>
          </cell>
        </row>
        <row r="2648">
          <cell r="A2648">
            <v>100971</v>
          </cell>
          <cell r="B2648">
            <v>32031</v>
          </cell>
          <cell r="C2648">
            <v>20452</v>
          </cell>
          <cell r="D2648" t="str">
            <v>adult</v>
          </cell>
          <cell r="E2648" t="str">
            <v>M</v>
          </cell>
          <cell r="F2648" t="str">
            <v>PSYCHIATRIC SOCIAL WORKER II</v>
          </cell>
          <cell r="G2648" t="str">
            <v>9035A</v>
          </cell>
          <cell r="H2648">
            <v>5425.82</v>
          </cell>
          <cell r="I2648">
            <v>1</v>
          </cell>
          <cell r="J2648">
            <v>12</v>
          </cell>
          <cell r="K2648">
            <v>1</v>
          </cell>
          <cell r="L2648">
            <v>65109.84</v>
          </cell>
        </row>
        <row r="2649">
          <cell r="A2649">
            <v>102737</v>
          </cell>
          <cell r="B2649">
            <v>32031</v>
          </cell>
          <cell r="C2649">
            <v>21537</v>
          </cell>
          <cell r="D2649" t="str">
            <v>adult</v>
          </cell>
          <cell r="E2649" t="str">
            <v>M</v>
          </cell>
          <cell r="F2649" t="str">
            <v>COMMUNITY WORKER</v>
          </cell>
          <cell r="G2649" t="str">
            <v>8103A</v>
          </cell>
          <cell r="H2649">
            <v>2984.09</v>
          </cell>
          <cell r="I2649">
            <v>1</v>
          </cell>
          <cell r="J2649">
            <v>12</v>
          </cell>
          <cell r="K2649">
            <v>1</v>
          </cell>
          <cell r="L2649">
            <v>35809.08</v>
          </cell>
        </row>
        <row r="2650">
          <cell r="A2650">
            <v>104271</v>
          </cell>
          <cell r="B2650">
            <v>32031</v>
          </cell>
          <cell r="C2650">
            <v>23015</v>
          </cell>
          <cell r="D2650" t="str">
            <v>adult</v>
          </cell>
          <cell r="E2650" t="str">
            <v>M</v>
          </cell>
          <cell r="F2650" t="str">
            <v>INTERMEDIATE TYPIST-CLERK</v>
          </cell>
          <cell r="G2650" t="str">
            <v>2214A</v>
          </cell>
          <cell r="H2650">
            <v>2675.27</v>
          </cell>
          <cell r="I2650">
            <v>1</v>
          </cell>
          <cell r="J2650">
            <v>12</v>
          </cell>
          <cell r="K2650">
            <v>1</v>
          </cell>
          <cell r="L2650">
            <v>32103.16</v>
          </cell>
        </row>
        <row r="2651">
          <cell r="A2651">
            <v>100494</v>
          </cell>
          <cell r="B2651">
            <v>32031</v>
          </cell>
          <cell r="C2651">
            <v>23015</v>
          </cell>
          <cell r="D2651" t="str">
            <v>adult</v>
          </cell>
          <cell r="E2651" t="str">
            <v>M</v>
          </cell>
          <cell r="F2651" t="str">
            <v>MEDICAL CASE WORKER II</v>
          </cell>
          <cell r="G2651" t="str">
            <v>9002A</v>
          </cell>
          <cell r="H2651">
            <v>3938.82</v>
          </cell>
          <cell r="I2651">
            <v>1</v>
          </cell>
          <cell r="J2651">
            <v>12</v>
          </cell>
          <cell r="K2651">
            <v>1</v>
          </cell>
          <cell r="L2651">
            <v>47265.68</v>
          </cell>
        </row>
        <row r="2652">
          <cell r="A2652">
            <v>100658</v>
          </cell>
          <cell r="B2652">
            <v>32031</v>
          </cell>
          <cell r="C2652">
            <v>23015</v>
          </cell>
          <cell r="D2652" t="str">
            <v>adult</v>
          </cell>
          <cell r="E2652" t="str">
            <v>M</v>
          </cell>
          <cell r="F2652" t="str">
            <v>MENTAL HEALTH COUNSELOR, RN</v>
          </cell>
          <cell r="G2652" t="str">
            <v>5278A</v>
          </cell>
          <cell r="H2652">
            <v>6275.27</v>
          </cell>
          <cell r="I2652">
            <v>1</v>
          </cell>
          <cell r="J2652">
            <v>12</v>
          </cell>
          <cell r="K2652">
            <v>1</v>
          </cell>
          <cell r="L2652">
            <v>76804.323333333334</v>
          </cell>
        </row>
        <row r="2653">
          <cell r="A2653">
            <v>101893</v>
          </cell>
          <cell r="B2653">
            <v>32031</v>
          </cell>
          <cell r="C2653">
            <v>23015</v>
          </cell>
          <cell r="D2653" t="str">
            <v>adult</v>
          </cell>
          <cell r="E2653" t="str">
            <v>M</v>
          </cell>
          <cell r="F2653" t="str">
            <v>MENTAL HEALTH PSYCHIATRIST</v>
          </cell>
          <cell r="G2653" t="str">
            <v>4735A</v>
          </cell>
          <cell r="H2653">
            <v>12844</v>
          </cell>
          <cell r="I2653">
            <v>1</v>
          </cell>
          <cell r="J2653">
            <v>12</v>
          </cell>
          <cell r="K2653">
            <v>1</v>
          </cell>
          <cell r="L2653">
            <v>154128</v>
          </cell>
        </row>
        <row r="2654">
          <cell r="A2654">
            <v>101050</v>
          </cell>
          <cell r="B2654">
            <v>32031</v>
          </cell>
          <cell r="C2654">
            <v>23015</v>
          </cell>
          <cell r="D2654" t="str">
            <v>adult</v>
          </cell>
          <cell r="E2654" t="str">
            <v>M</v>
          </cell>
          <cell r="F2654" t="str">
            <v>PSYCHIATRIC SOCIAL WORKER II</v>
          </cell>
          <cell r="G2654" t="str">
            <v>9035A</v>
          </cell>
          <cell r="H2654">
            <v>5425.82</v>
          </cell>
          <cell r="I2654">
            <v>1</v>
          </cell>
          <cell r="J2654">
            <v>12</v>
          </cell>
          <cell r="K2654">
            <v>1</v>
          </cell>
          <cell r="L2654">
            <v>65109.84</v>
          </cell>
        </row>
        <row r="2655">
          <cell r="A2655">
            <v>101052</v>
          </cell>
          <cell r="B2655">
            <v>32031</v>
          </cell>
          <cell r="C2655">
            <v>23015</v>
          </cell>
          <cell r="D2655" t="str">
            <v>adult</v>
          </cell>
          <cell r="E2655" t="str">
            <v>M</v>
          </cell>
          <cell r="F2655" t="str">
            <v>PSYCHIATRIC SOCIAL WORKER II</v>
          </cell>
          <cell r="G2655" t="str">
            <v>9035A</v>
          </cell>
          <cell r="H2655">
            <v>5425.82</v>
          </cell>
          <cell r="I2655">
            <v>1</v>
          </cell>
          <cell r="J2655">
            <v>12</v>
          </cell>
          <cell r="K2655">
            <v>1</v>
          </cell>
          <cell r="L2655">
            <v>65109.84</v>
          </cell>
        </row>
        <row r="2656">
          <cell r="A2656">
            <v>101055</v>
          </cell>
          <cell r="B2656">
            <v>32031</v>
          </cell>
          <cell r="C2656">
            <v>23015</v>
          </cell>
          <cell r="D2656" t="str">
            <v>adult</v>
          </cell>
          <cell r="E2656" t="str">
            <v>M</v>
          </cell>
          <cell r="F2656" t="str">
            <v>PSYCHIATRIC SOCIAL WORKER II</v>
          </cell>
          <cell r="G2656" t="str">
            <v>9035A</v>
          </cell>
          <cell r="H2656">
            <v>5425.82</v>
          </cell>
          <cell r="I2656">
            <v>1</v>
          </cell>
          <cell r="J2656">
            <v>12</v>
          </cell>
          <cell r="K2656">
            <v>1</v>
          </cell>
          <cell r="L2656">
            <v>65109.84</v>
          </cell>
        </row>
        <row r="2657">
          <cell r="A2657">
            <v>103654</v>
          </cell>
          <cell r="B2657">
            <v>32031</v>
          </cell>
          <cell r="C2657">
            <v>23015</v>
          </cell>
          <cell r="D2657" t="str">
            <v>adult</v>
          </cell>
          <cell r="E2657" t="str">
            <v>M</v>
          </cell>
          <cell r="F2657" t="str">
            <v>PSYCHIATRIC TECHNICIAN III</v>
          </cell>
          <cell r="G2657" t="str">
            <v>8163A</v>
          </cell>
          <cell r="H2657">
            <v>3705.73</v>
          </cell>
          <cell r="I2657">
            <v>1</v>
          </cell>
          <cell r="J2657">
            <v>12</v>
          </cell>
          <cell r="K2657">
            <v>1</v>
          </cell>
          <cell r="L2657">
            <v>44468.76</v>
          </cell>
        </row>
        <row r="2658">
          <cell r="A2658">
            <v>104975</v>
          </cell>
          <cell r="B2658">
            <v>32031</v>
          </cell>
          <cell r="C2658">
            <v>23015</v>
          </cell>
          <cell r="D2658" t="str">
            <v>adult</v>
          </cell>
          <cell r="E2658" t="str">
            <v>M</v>
          </cell>
          <cell r="F2658" t="str">
            <v xml:space="preserve">SUPVG PSYCHIATRIC SOCIAL WORKER    </v>
          </cell>
          <cell r="G2658" t="str">
            <v>9038A</v>
          </cell>
          <cell r="H2658">
            <v>6062.45</v>
          </cell>
          <cell r="I2658">
            <v>1</v>
          </cell>
          <cell r="J2658">
            <v>12</v>
          </cell>
          <cell r="K2658">
            <v>1</v>
          </cell>
          <cell r="L2658">
            <v>72749.399999999994</v>
          </cell>
        </row>
        <row r="2659">
          <cell r="A2659">
            <v>104993</v>
          </cell>
          <cell r="B2659">
            <v>32031</v>
          </cell>
          <cell r="C2659">
            <v>23010</v>
          </cell>
          <cell r="D2659" t="str">
            <v>adult</v>
          </cell>
          <cell r="E2659" t="str">
            <v>M</v>
          </cell>
          <cell r="F2659" t="str">
            <v>SUBSTANCE ABUSE COUNSELOR</v>
          </cell>
          <cell r="G2659" t="str">
            <v>5884A</v>
          </cell>
          <cell r="H2659">
            <v>3210</v>
          </cell>
          <cell r="I2659">
            <v>1</v>
          </cell>
          <cell r="J2659">
            <v>12</v>
          </cell>
          <cell r="K2659">
            <v>1</v>
          </cell>
          <cell r="L2659">
            <v>38520</v>
          </cell>
        </row>
        <row r="2660">
          <cell r="A2660">
            <v>102500</v>
          </cell>
          <cell r="B2660">
            <v>32031</v>
          </cell>
          <cell r="C2660">
            <v>23010</v>
          </cell>
          <cell r="D2660" t="str">
            <v>adult</v>
          </cell>
          <cell r="E2660" t="str">
            <v>M</v>
          </cell>
          <cell r="F2660" t="str">
            <v xml:space="preserve">SENIOR TYPIST-CLERK                </v>
          </cell>
          <cell r="G2660" t="str">
            <v>2216A</v>
          </cell>
          <cell r="H2660">
            <v>3013.55</v>
          </cell>
          <cell r="I2660">
            <v>1</v>
          </cell>
          <cell r="J2660">
            <v>12</v>
          </cell>
          <cell r="K2660">
            <v>1</v>
          </cell>
          <cell r="L2660">
            <v>36162.6</v>
          </cell>
        </row>
        <row r="2661">
          <cell r="A2661">
            <v>102565</v>
          </cell>
          <cell r="B2661">
            <v>32031</v>
          </cell>
          <cell r="C2661">
            <v>23010</v>
          </cell>
          <cell r="D2661" t="str">
            <v>adult</v>
          </cell>
          <cell r="E2661" t="str">
            <v>M</v>
          </cell>
          <cell r="F2661" t="str">
            <v>MENTAL HEALTH COUNSELOR, RN</v>
          </cell>
          <cell r="G2661" t="str">
            <v>5278A</v>
          </cell>
          <cell r="H2661">
            <v>6275.27</v>
          </cell>
          <cell r="I2661">
            <v>1</v>
          </cell>
          <cell r="J2661">
            <v>12</v>
          </cell>
          <cell r="K2661">
            <v>1</v>
          </cell>
          <cell r="L2661">
            <v>76804.323333333334</v>
          </cell>
        </row>
        <row r="2662">
          <cell r="A2662">
            <v>101596</v>
          </cell>
          <cell r="B2662">
            <v>32031</v>
          </cell>
          <cell r="C2662">
            <v>23010</v>
          </cell>
          <cell r="D2662" t="str">
            <v>adult</v>
          </cell>
          <cell r="E2662" t="str">
            <v>M</v>
          </cell>
          <cell r="F2662" t="str">
            <v xml:space="preserve">SUPVG PSYCHIATRIC SOCIAL WORKER    </v>
          </cell>
          <cell r="G2662" t="str">
            <v>9038A</v>
          </cell>
          <cell r="H2662">
            <v>6062.45</v>
          </cell>
          <cell r="I2662">
            <v>1</v>
          </cell>
          <cell r="J2662">
            <v>12</v>
          </cell>
          <cell r="K2662">
            <v>1</v>
          </cell>
          <cell r="L2662">
            <v>72749.399999999994</v>
          </cell>
        </row>
        <row r="2663">
          <cell r="A2663">
            <v>101951</v>
          </cell>
          <cell r="B2663">
            <v>32031</v>
          </cell>
          <cell r="C2663">
            <v>20658</v>
          </cell>
          <cell r="D2663" t="str">
            <v>adult</v>
          </cell>
          <cell r="E2663" t="str">
            <v>M</v>
          </cell>
          <cell r="F2663" t="str">
            <v xml:space="preserve">SUPVG PSYCHIATRIC SOCIAL WORKER    </v>
          </cell>
          <cell r="G2663" t="str">
            <v>9038A</v>
          </cell>
          <cell r="H2663">
            <v>6062.45</v>
          </cell>
          <cell r="I2663">
            <v>1</v>
          </cell>
          <cell r="J2663">
            <v>12</v>
          </cell>
          <cell r="K2663">
            <v>1</v>
          </cell>
          <cell r="L2663">
            <v>72749.399999999994</v>
          </cell>
        </row>
        <row r="2664">
          <cell r="A2664">
            <v>102331</v>
          </cell>
          <cell r="B2664">
            <v>32031</v>
          </cell>
          <cell r="C2664">
            <v>20658</v>
          </cell>
          <cell r="D2664" t="str">
            <v>adult</v>
          </cell>
          <cell r="E2664" t="str">
            <v>M</v>
          </cell>
          <cell r="F2664" t="str">
            <v>PSYCHIATRIC SOCIAL WORKER II</v>
          </cell>
          <cell r="G2664" t="str">
            <v>9035A</v>
          </cell>
          <cell r="H2664">
            <v>5425.82</v>
          </cell>
          <cell r="I2664">
            <v>1</v>
          </cell>
          <cell r="J2664">
            <v>12</v>
          </cell>
          <cell r="K2664">
            <v>1</v>
          </cell>
          <cell r="L2664">
            <v>65109.84</v>
          </cell>
        </row>
        <row r="2665">
          <cell r="A2665">
            <v>109342</v>
          </cell>
          <cell r="B2665">
            <v>32031</v>
          </cell>
          <cell r="C2665">
            <v>20658</v>
          </cell>
          <cell r="D2665" t="str">
            <v>adult</v>
          </cell>
          <cell r="E2665" t="str">
            <v>M</v>
          </cell>
          <cell r="F2665" t="str">
            <v xml:space="preserve">SUPVG PSYCHIATRIC SOCIAL WORKER    </v>
          </cell>
          <cell r="G2665" t="str">
            <v>9038A</v>
          </cell>
          <cell r="H2665">
            <v>6062.45</v>
          </cell>
          <cell r="I2665">
            <v>1</v>
          </cell>
          <cell r="J2665">
            <v>12</v>
          </cell>
          <cell r="K2665">
            <v>1</v>
          </cell>
          <cell r="L2665">
            <v>72749</v>
          </cell>
        </row>
        <row r="2666">
          <cell r="A2666">
            <v>107542</v>
          </cell>
          <cell r="B2666">
            <v>32031</v>
          </cell>
          <cell r="C2666">
            <v>27552</v>
          </cell>
          <cell r="D2666" t="str">
            <v>adult</v>
          </cell>
          <cell r="E2666" t="str">
            <v>M</v>
          </cell>
          <cell r="F2666" t="str">
            <v>INTERMEDIATE TYPIST-CLERK</v>
          </cell>
          <cell r="G2666" t="str">
            <v>2214A</v>
          </cell>
          <cell r="H2666">
            <v>2675.27</v>
          </cell>
          <cell r="I2666">
            <v>1</v>
          </cell>
          <cell r="J2666">
            <v>12</v>
          </cell>
          <cell r="K2666">
            <v>1</v>
          </cell>
          <cell r="L2666">
            <v>32103.16</v>
          </cell>
        </row>
        <row r="2667">
          <cell r="A2667">
            <v>104997</v>
          </cell>
          <cell r="B2667">
            <v>32031</v>
          </cell>
          <cell r="C2667">
            <v>20944</v>
          </cell>
          <cell r="D2667" t="str">
            <v>adult</v>
          </cell>
          <cell r="E2667" t="str">
            <v>M</v>
          </cell>
          <cell r="F2667" t="str">
            <v>MENTAL HEALTH COUNSELOR, RN</v>
          </cell>
          <cell r="G2667" t="str">
            <v>5278A</v>
          </cell>
          <cell r="H2667">
            <v>6275.27</v>
          </cell>
          <cell r="I2667">
            <v>1</v>
          </cell>
          <cell r="J2667">
            <v>12</v>
          </cell>
          <cell r="K2667">
            <v>1</v>
          </cell>
          <cell r="L2667">
            <v>76804.323333333334</v>
          </cell>
        </row>
        <row r="2668">
          <cell r="A2668">
            <v>104742</v>
          </cell>
          <cell r="B2668">
            <v>32031</v>
          </cell>
          <cell r="C2668">
            <v>23003</v>
          </cell>
          <cell r="D2668" t="str">
            <v>adult</v>
          </cell>
          <cell r="E2668" t="str">
            <v>M</v>
          </cell>
          <cell r="F2668" t="str">
            <v>PSYCHIATRIC SOCIAL WORKER II</v>
          </cell>
          <cell r="G2668" t="str">
            <v>9035A</v>
          </cell>
          <cell r="H2668">
            <v>5425.82</v>
          </cell>
          <cell r="I2668">
            <v>1</v>
          </cell>
          <cell r="J2668">
            <v>12</v>
          </cell>
          <cell r="K2668">
            <v>1</v>
          </cell>
          <cell r="L2668">
            <v>65109.84</v>
          </cell>
        </row>
        <row r="2669">
          <cell r="A2669">
            <v>101041</v>
          </cell>
          <cell r="B2669">
            <v>32031</v>
          </cell>
          <cell r="C2669">
            <v>23003</v>
          </cell>
          <cell r="D2669" t="str">
            <v>adult</v>
          </cell>
          <cell r="E2669" t="str">
            <v>M</v>
          </cell>
          <cell r="F2669" t="str">
            <v>PSYCHIATRIC SOCIAL WORKER II</v>
          </cell>
          <cell r="G2669" t="str">
            <v>9035A</v>
          </cell>
          <cell r="H2669">
            <v>5425.82</v>
          </cell>
          <cell r="I2669">
            <v>1</v>
          </cell>
          <cell r="J2669">
            <v>12</v>
          </cell>
          <cell r="K2669">
            <v>1</v>
          </cell>
          <cell r="L2669">
            <v>65109.84</v>
          </cell>
        </row>
        <row r="2670">
          <cell r="A2670">
            <v>102531</v>
          </cell>
          <cell r="B2670">
            <v>32031</v>
          </cell>
          <cell r="C2670">
            <v>23003</v>
          </cell>
          <cell r="D2670" t="str">
            <v>adult</v>
          </cell>
          <cell r="E2670" t="str">
            <v>M</v>
          </cell>
          <cell r="F2670" t="str">
            <v>RECREATION THERAPIST II</v>
          </cell>
          <cell r="G2670" t="str">
            <v>5872A</v>
          </cell>
          <cell r="H2670">
            <v>4667.6400000000003</v>
          </cell>
          <cell r="I2670">
            <v>1</v>
          </cell>
          <cell r="J2670">
            <v>12</v>
          </cell>
          <cell r="K2670">
            <v>1</v>
          </cell>
          <cell r="L2670">
            <v>56011.68</v>
          </cell>
        </row>
        <row r="2671">
          <cell r="A2671">
            <v>100752</v>
          </cell>
          <cell r="B2671">
            <v>32031</v>
          </cell>
          <cell r="C2671">
            <v>20564</v>
          </cell>
          <cell r="D2671" t="str">
            <v>adult</v>
          </cell>
          <cell r="E2671" t="str">
            <v>M</v>
          </cell>
          <cell r="F2671" t="str">
            <v>MENTAL HEALTH PSYCHIATRIST</v>
          </cell>
          <cell r="G2671" t="str">
            <v>4735A</v>
          </cell>
          <cell r="H2671">
            <v>12844</v>
          </cell>
          <cell r="I2671">
            <v>1</v>
          </cell>
          <cell r="J2671">
            <v>12</v>
          </cell>
          <cell r="K2671">
            <v>1</v>
          </cell>
          <cell r="L2671">
            <v>154128</v>
          </cell>
        </row>
        <row r="2672">
          <cell r="A2672">
            <v>102270</v>
          </cell>
          <cell r="B2672">
            <v>32031</v>
          </cell>
          <cell r="C2672">
            <v>20564</v>
          </cell>
          <cell r="D2672" t="str">
            <v>adult</v>
          </cell>
          <cell r="E2672" t="str">
            <v>M</v>
          </cell>
          <cell r="F2672" t="str">
            <v>PSYCHIATRIC SOCIAL WORKER II</v>
          </cell>
          <cell r="G2672" t="str">
            <v>9035A</v>
          </cell>
          <cell r="H2672">
            <v>5425.82</v>
          </cell>
          <cell r="I2672">
            <v>1</v>
          </cell>
          <cell r="J2672">
            <v>12</v>
          </cell>
          <cell r="K2672">
            <v>1</v>
          </cell>
          <cell r="L2672">
            <v>65109.84</v>
          </cell>
        </row>
        <row r="2673">
          <cell r="A2673">
            <v>106030</v>
          </cell>
          <cell r="B2673">
            <v>32031</v>
          </cell>
          <cell r="C2673">
            <v>20564</v>
          </cell>
          <cell r="D2673" t="str">
            <v>adult</v>
          </cell>
          <cell r="E2673" t="str">
            <v>M</v>
          </cell>
          <cell r="F2673" t="str">
            <v>PSYCHIATRIC SOCIAL WORKER II</v>
          </cell>
          <cell r="G2673" t="str">
            <v>9035A</v>
          </cell>
          <cell r="H2673">
            <v>5425.82</v>
          </cell>
          <cell r="I2673">
            <v>1</v>
          </cell>
          <cell r="J2673">
            <v>12</v>
          </cell>
          <cell r="K2673">
            <v>1</v>
          </cell>
          <cell r="L2673">
            <v>65109.84</v>
          </cell>
        </row>
        <row r="2674">
          <cell r="A2674">
            <v>101760</v>
          </cell>
          <cell r="B2674">
            <v>32031</v>
          </cell>
          <cell r="C2674">
            <v>20564</v>
          </cell>
          <cell r="D2674" t="str">
            <v>adult</v>
          </cell>
          <cell r="E2674" t="str">
            <v>M</v>
          </cell>
          <cell r="F2674" t="str">
            <v>PSYCHIATRIC SOCIAL WORKER II</v>
          </cell>
          <cell r="G2674" t="str">
            <v>9035A</v>
          </cell>
          <cell r="H2674">
            <v>5425.82</v>
          </cell>
          <cell r="I2674">
            <v>1</v>
          </cell>
          <cell r="J2674">
            <v>12</v>
          </cell>
          <cell r="K2674">
            <v>1</v>
          </cell>
          <cell r="L2674">
            <v>65109.84</v>
          </cell>
        </row>
        <row r="2675">
          <cell r="A2675">
            <v>101754</v>
          </cell>
          <cell r="B2675">
            <v>32031</v>
          </cell>
          <cell r="C2675">
            <v>20563</v>
          </cell>
          <cell r="D2675" t="str">
            <v>adult</v>
          </cell>
          <cell r="E2675" t="str">
            <v>M</v>
          </cell>
          <cell r="F2675" t="str">
            <v xml:space="preserve">TRANSCRIBER TYPIST                 </v>
          </cell>
          <cell r="G2675" t="str">
            <v>2201A</v>
          </cell>
          <cell r="H2675">
            <v>2906</v>
          </cell>
          <cell r="I2675">
            <v>1</v>
          </cell>
          <cell r="J2675">
            <v>12</v>
          </cell>
          <cell r="K2675">
            <v>1</v>
          </cell>
          <cell r="L2675">
            <v>34872</v>
          </cell>
        </row>
        <row r="2676">
          <cell r="A2676">
            <v>109187</v>
          </cell>
          <cell r="B2676">
            <v>32031</v>
          </cell>
          <cell r="C2676">
            <v>23007</v>
          </cell>
          <cell r="D2676" t="str">
            <v>adult</v>
          </cell>
          <cell r="E2676" t="str">
            <v>M</v>
          </cell>
          <cell r="F2676" t="str">
            <v>MEDICAL CASE WORKER II</v>
          </cell>
          <cell r="G2676" t="str">
            <v>9002A</v>
          </cell>
          <cell r="H2676">
            <v>3938.82</v>
          </cell>
          <cell r="I2676">
            <v>1</v>
          </cell>
          <cell r="J2676">
            <v>12</v>
          </cell>
          <cell r="K2676">
            <v>1</v>
          </cell>
          <cell r="L2676">
            <v>47265.68</v>
          </cell>
        </row>
        <row r="2677">
          <cell r="A2677">
            <v>104325</v>
          </cell>
          <cell r="B2677">
            <v>32031</v>
          </cell>
          <cell r="C2677">
            <v>23007</v>
          </cell>
          <cell r="D2677" t="str">
            <v>adult</v>
          </cell>
          <cell r="E2677" t="str">
            <v>M</v>
          </cell>
          <cell r="F2677" t="str">
            <v>PSYCHIATRIC TECHNICIAN II</v>
          </cell>
          <cell r="G2677" t="str">
            <v>8162A</v>
          </cell>
          <cell r="H2677">
            <v>3420.09</v>
          </cell>
          <cell r="I2677">
            <v>1</v>
          </cell>
          <cell r="J2677">
            <v>12</v>
          </cell>
          <cell r="K2677">
            <v>1</v>
          </cell>
          <cell r="L2677">
            <v>41041.08</v>
          </cell>
        </row>
        <row r="2678">
          <cell r="A2678">
            <v>102795</v>
          </cell>
          <cell r="B2678">
            <v>32031</v>
          </cell>
          <cell r="C2678">
            <v>23007</v>
          </cell>
          <cell r="D2678" t="str">
            <v>adult</v>
          </cell>
          <cell r="E2678" t="str">
            <v>M</v>
          </cell>
          <cell r="F2678" t="str">
            <v>MENTAL HEALTH COUNSELOR, RN</v>
          </cell>
          <cell r="G2678" t="str">
            <v>5278A</v>
          </cell>
          <cell r="H2678">
            <v>6275.27</v>
          </cell>
          <cell r="I2678">
            <v>1</v>
          </cell>
          <cell r="J2678">
            <v>12</v>
          </cell>
          <cell r="K2678">
            <v>1</v>
          </cell>
          <cell r="L2678">
            <v>76804.323333333334</v>
          </cell>
        </row>
        <row r="2679">
          <cell r="A2679">
            <v>106340</v>
          </cell>
          <cell r="B2679">
            <v>32031</v>
          </cell>
          <cell r="C2679">
            <v>23007</v>
          </cell>
          <cell r="D2679" t="str">
            <v>adult</v>
          </cell>
          <cell r="E2679" t="str">
            <v>M</v>
          </cell>
          <cell r="F2679" t="str">
            <v>PSYCHIATRIC SOCIAL WORKER II</v>
          </cell>
          <cell r="G2679" t="str">
            <v>9035A</v>
          </cell>
          <cell r="H2679">
            <v>5425.82</v>
          </cell>
          <cell r="I2679">
            <v>1</v>
          </cell>
          <cell r="J2679">
            <v>12</v>
          </cell>
          <cell r="K2679">
            <v>1</v>
          </cell>
          <cell r="L2679">
            <v>65109.84</v>
          </cell>
        </row>
        <row r="2680">
          <cell r="A2680">
            <v>100397</v>
          </cell>
          <cell r="B2680">
            <v>32031</v>
          </cell>
          <cell r="C2680">
            <v>23007</v>
          </cell>
          <cell r="D2680" t="str">
            <v>adult</v>
          </cell>
          <cell r="E2680" t="str">
            <v>M</v>
          </cell>
          <cell r="F2680" t="str">
            <v>INTERMEDIATE TYPIST-CLERK</v>
          </cell>
          <cell r="G2680" t="str">
            <v>2214A</v>
          </cell>
          <cell r="H2680">
            <v>2675.27</v>
          </cell>
          <cell r="I2680">
            <v>1</v>
          </cell>
          <cell r="J2680">
            <v>12</v>
          </cell>
          <cell r="K2680">
            <v>1</v>
          </cell>
          <cell r="L2680">
            <v>32103.16</v>
          </cell>
        </row>
        <row r="2681">
          <cell r="A2681">
            <v>104306</v>
          </cell>
          <cell r="B2681">
            <v>32031</v>
          </cell>
          <cell r="C2681">
            <v>23010</v>
          </cell>
          <cell r="D2681" t="str">
            <v>adult</v>
          </cell>
          <cell r="E2681" t="str">
            <v>M</v>
          </cell>
          <cell r="F2681" t="str">
            <v>MENTAL HEALTH PSYCHIATRIST</v>
          </cell>
          <cell r="G2681" t="str">
            <v>4735A</v>
          </cell>
          <cell r="H2681">
            <v>12844</v>
          </cell>
          <cell r="I2681">
            <v>1</v>
          </cell>
          <cell r="J2681">
            <v>9</v>
          </cell>
          <cell r="K2681">
            <v>0.75</v>
          </cell>
          <cell r="L2681">
            <v>115596</v>
          </cell>
        </row>
        <row r="2682">
          <cell r="A2682">
            <v>102515</v>
          </cell>
          <cell r="B2682">
            <v>32031</v>
          </cell>
          <cell r="C2682">
            <v>23007</v>
          </cell>
          <cell r="D2682" t="str">
            <v>adult</v>
          </cell>
          <cell r="E2682" t="str">
            <v>M</v>
          </cell>
          <cell r="F2682" t="str">
            <v>MEDICAL CASE WORKER II</v>
          </cell>
          <cell r="G2682" t="str">
            <v>9002A</v>
          </cell>
          <cell r="H2682">
            <v>3938.82</v>
          </cell>
          <cell r="I2682">
            <v>1</v>
          </cell>
          <cell r="J2682">
            <v>12</v>
          </cell>
          <cell r="K2682">
            <v>1</v>
          </cell>
          <cell r="L2682">
            <v>47265.68</v>
          </cell>
        </row>
        <row r="2683">
          <cell r="A2683">
            <v>104893</v>
          </cell>
          <cell r="B2683">
            <v>20492</v>
          </cell>
          <cell r="C2683">
            <v>20452</v>
          </cell>
          <cell r="D2683" t="str">
            <v>adult</v>
          </cell>
          <cell r="E2683" t="str">
            <v>M</v>
          </cell>
          <cell r="F2683" t="str">
            <v>MEDICAL CASE WORKER II</v>
          </cell>
          <cell r="G2683" t="str">
            <v>9002A</v>
          </cell>
          <cell r="H2683">
            <v>3938.82</v>
          </cell>
          <cell r="I2683">
            <v>1</v>
          </cell>
          <cell r="J2683">
            <v>12</v>
          </cell>
          <cell r="K2683">
            <v>1</v>
          </cell>
          <cell r="L2683">
            <v>47265.68</v>
          </cell>
        </row>
        <row r="2684">
          <cell r="A2684">
            <v>100058</v>
          </cell>
          <cell r="B2684">
            <v>18662</v>
          </cell>
          <cell r="C2684">
            <v>18662</v>
          </cell>
          <cell r="D2684" t="str">
            <v>sa4&amp;7</v>
          </cell>
          <cell r="E2684" t="str">
            <v>B</v>
          </cell>
          <cell r="F2684" t="str">
            <v xml:space="preserve">ADMINISTRATIVE ASSISTANT III       </v>
          </cell>
          <cell r="G2684" t="str">
            <v>0889A</v>
          </cell>
          <cell r="H2684">
            <v>4832</v>
          </cell>
          <cell r="I2684">
            <v>1</v>
          </cell>
          <cell r="J2684">
            <v>12</v>
          </cell>
          <cell r="K2684">
            <v>1</v>
          </cell>
          <cell r="L2684">
            <v>57983.839999999997</v>
          </cell>
        </row>
        <row r="2685">
          <cell r="A2685">
            <v>103454</v>
          </cell>
          <cell r="B2685">
            <v>18662</v>
          </cell>
          <cell r="C2685">
            <v>18662</v>
          </cell>
          <cell r="D2685" t="str">
            <v>sa4&amp;7</v>
          </cell>
          <cell r="E2685" t="str">
            <v>B</v>
          </cell>
          <cell r="F2685" t="str">
            <v>CLINICAL PSYCHOLOGIST II</v>
          </cell>
          <cell r="G2685" t="str">
            <v>8697A</v>
          </cell>
          <cell r="H2685">
            <v>6993.82</v>
          </cell>
          <cell r="I2685">
            <v>1</v>
          </cell>
          <cell r="J2685">
            <v>12</v>
          </cell>
          <cell r="K2685">
            <v>1</v>
          </cell>
          <cell r="L2685">
            <v>83925.52</v>
          </cell>
        </row>
        <row r="2686">
          <cell r="A2686">
            <v>104294</v>
          </cell>
          <cell r="B2686">
            <v>23001</v>
          </cell>
          <cell r="C2686">
            <v>18662</v>
          </cell>
          <cell r="D2686" t="str">
            <v>sa4&amp;7</v>
          </cell>
          <cell r="E2686" t="str">
            <v>B</v>
          </cell>
          <cell r="F2686" t="str">
            <v>CLINICAL PSYCHOLOGIST II</v>
          </cell>
          <cell r="G2686" t="str">
            <v>8697A</v>
          </cell>
          <cell r="H2686">
            <v>6993.82</v>
          </cell>
          <cell r="I2686">
            <v>1</v>
          </cell>
          <cell r="J2686">
            <v>12</v>
          </cell>
          <cell r="K2686">
            <v>1</v>
          </cell>
          <cell r="L2686">
            <v>83925.52</v>
          </cell>
        </row>
        <row r="2687">
          <cell r="A2687">
            <v>100207</v>
          </cell>
          <cell r="B2687">
            <v>18662</v>
          </cell>
          <cell r="C2687">
            <v>18662</v>
          </cell>
          <cell r="D2687" t="str">
            <v>sa4&amp;7</v>
          </cell>
          <cell r="E2687" t="str">
            <v>B</v>
          </cell>
          <cell r="F2687" t="str">
            <v>COMMUNITY WORKER</v>
          </cell>
          <cell r="G2687" t="str">
            <v>8103A</v>
          </cell>
          <cell r="H2687">
            <v>2984.09</v>
          </cell>
          <cell r="I2687">
            <v>1</v>
          </cell>
          <cell r="J2687">
            <v>12</v>
          </cell>
          <cell r="K2687">
            <v>1</v>
          </cell>
          <cell r="L2687">
            <v>35809.08</v>
          </cell>
        </row>
        <row r="2688">
          <cell r="A2688">
            <v>102537</v>
          </cell>
          <cell r="B2688">
            <v>18662</v>
          </cell>
          <cell r="C2688">
            <v>18662</v>
          </cell>
          <cell r="D2688" t="str">
            <v>sa4&amp;7</v>
          </cell>
          <cell r="E2688" t="str">
            <v>B</v>
          </cell>
          <cell r="F2688" t="str">
            <v>COMMUNITY WORKER</v>
          </cell>
          <cell r="G2688" t="str">
            <v>8103A</v>
          </cell>
          <cell r="H2688">
            <v>2984.09</v>
          </cell>
          <cell r="I2688">
            <v>1</v>
          </cell>
          <cell r="J2688">
            <v>12</v>
          </cell>
          <cell r="K2688">
            <v>1</v>
          </cell>
          <cell r="L2688">
            <v>35809.08</v>
          </cell>
        </row>
        <row r="2689">
          <cell r="A2689">
            <v>104339</v>
          </cell>
          <cell r="B2689">
            <v>18662</v>
          </cell>
          <cell r="C2689">
            <v>18662</v>
          </cell>
          <cell r="D2689" t="str">
            <v>sa4&amp;7</v>
          </cell>
          <cell r="E2689" t="str">
            <v>B</v>
          </cell>
          <cell r="F2689" t="str">
            <v>COMMUNITY WORKER</v>
          </cell>
          <cell r="G2689" t="str">
            <v>8103A</v>
          </cell>
          <cell r="H2689">
            <v>2984.09</v>
          </cell>
          <cell r="I2689">
            <v>1</v>
          </cell>
          <cell r="J2689">
            <v>12</v>
          </cell>
          <cell r="K2689">
            <v>1</v>
          </cell>
          <cell r="L2689">
            <v>35809.08</v>
          </cell>
        </row>
        <row r="2690">
          <cell r="A2690">
            <v>104342</v>
          </cell>
          <cell r="B2690">
            <v>18662</v>
          </cell>
          <cell r="C2690">
            <v>18662</v>
          </cell>
          <cell r="D2690" t="str">
            <v>sa4&amp;7</v>
          </cell>
          <cell r="E2690" t="str">
            <v>B</v>
          </cell>
          <cell r="F2690" t="str">
            <v>INTERMEDIATE TYPIST-CLERK</v>
          </cell>
          <cell r="G2690" t="str">
            <v>2214A</v>
          </cell>
          <cell r="H2690">
            <v>2675.27</v>
          </cell>
          <cell r="I2690">
            <v>1</v>
          </cell>
          <cell r="J2690">
            <v>12</v>
          </cell>
          <cell r="K2690">
            <v>1</v>
          </cell>
          <cell r="L2690">
            <v>32103.16</v>
          </cell>
        </row>
        <row r="2691">
          <cell r="A2691">
            <v>109729</v>
          </cell>
          <cell r="B2691">
            <v>18662</v>
          </cell>
          <cell r="C2691">
            <v>18662</v>
          </cell>
          <cell r="D2691" t="str">
            <v>sa4&amp;7</v>
          </cell>
          <cell r="E2691" t="str">
            <v>B</v>
          </cell>
          <cell r="F2691" t="str">
            <v>INTERMEDIATE TYPIST-CLERK</v>
          </cell>
          <cell r="G2691" t="str">
            <v>2214A</v>
          </cell>
          <cell r="H2691">
            <v>2675.27</v>
          </cell>
          <cell r="I2691">
            <v>1</v>
          </cell>
          <cell r="J2691">
            <v>12</v>
          </cell>
          <cell r="K2691">
            <v>1</v>
          </cell>
          <cell r="L2691">
            <v>32103.24</v>
          </cell>
        </row>
        <row r="2692">
          <cell r="A2692">
            <v>109730</v>
          </cell>
          <cell r="B2692">
            <v>18662</v>
          </cell>
          <cell r="C2692">
            <v>18662</v>
          </cell>
          <cell r="D2692" t="str">
            <v>sa4&amp;7</v>
          </cell>
          <cell r="E2692" t="str">
            <v>B</v>
          </cell>
          <cell r="F2692" t="str">
            <v>INTERMEDIATE TYPIST-CLERK</v>
          </cell>
          <cell r="G2692" t="str">
            <v>2214A</v>
          </cell>
          <cell r="H2692">
            <v>2675.27</v>
          </cell>
          <cell r="I2692">
            <v>1</v>
          </cell>
          <cell r="J2692">
            <v>12</v>
          </cell>
          <cell r="K2692">
            <v>1</v>
          </cell>
          <cell r="L2692">
            <v>32103.24</v>
          </cell>
        </row>
        <row r="2693">
          <cell r="A2693">
            <v>109731</v>
          </cell>
          <cell r="B2693">
            <v>18662</v>
          </cell>
          <cell r="C2693">
            <v>18662</v>
          </cell>
          <cell r="D2693" t="str">
            <v>sa4&amp;7</v>
          </cell>
          <cell r="E2693" t="str">
            <v>B</v>
          </cell>
          <cell r="F2693" t="str">
            <v>INTERMEDIATE TYPIST-CLERK</v>
          </cell>
          <cell r="G2693" t="str">
            <v>2214A</v>
          </cell>
          <cell r="H2693">
            <v>2675.27</v>
          </cell>
          <cell r="I2693">
            <v>1</v>
          </cell>
          <cell r="J2693">
            <v>12</v>
          </cell>
          <cell r="K2693">
            <v>1</v>
          </cell>
          <cell r="L2693">
            <v>32103.24</v>
          </cell>
        </row>
        <row r="2694">
          <cell r="A2694">
            <v>104337</v>
          </cell>
          <cell r="B2694">
            <v>18662</v>
          </cell>
          <cell r="C2694">
            <v>18662</v>
          </cell>
          <cell r="D2694" t="str">
            <v>sa4&amp;7</v>
          </cell>
          <cell r="E2694" t="str">
            <v>B</v>
          </cell>
          <cell r="F2694" t="str">
            <v>MEDICAL CASE WORKER II</v>
          </cell>
          <cell r="G2694" t="str">
            <v>9002A</v>
          </cell>
          <cell r="H2694">
            <v>3938.82</v>
          </cell>
          <cell r="I2694">
            <v>1</v>
          </cell>
          <cell r="J2694">
            <v>12</v>
          </cell>
          <cell r="K2694">
            <v>1</v>
          </cell>
          <cell r="L2694">
            <v>47265.68</v>
          </cell>
        </row>
        <row r="2695">
          <cell r="A2695">
            <v>104338</v>
          </cell>
          <cell r="B2695">
            <v>18662</v>
          </cell>
          <cell r="C2695">
            <v>18662</v>
          </cell>
          <cell r="D2695" t="str">
            <v>sa4&amp;7</v>
          </cell>
          <cell r="E2695" t="str">
            <v>B</v>
          </cell>
          <cell r="F2695" t="str">
            <v>MEDICAL CASE WORKER II</v>
          </cell>
          <cell r="G2695" t="str">
            <v>9002F</v>
          </cell>
          <cell r="H2695">
            <v>18.12</v>
          </cell>
          <cell r="I2695">
            <v>1</v>
          </cell>
          <cell r="J2695">
            <v>2088</v>
          </cell>
          <cell r="K2695">
            <v>1</v>
          </cell>
          <cell r="L2695">
            <v>37834.839999999997</v>
          </cell>
        </row>
        <row r="2696">
          <cell r="A2696">
            <v>104343</v>
          </cell>
          <cell r="B2696">
            <v>20572</v>
          </cell>
          <cell r="C2696">
            <v>18662</v>
          </cell>
          <cell r="D2696" t="str">
            <v>sa4&amp;7</v>
          </cell>
          <cell r="E2696" t="str">
            <v>B</v>
          </cell>
          <cell r="F2696" t="str">
            <v>MEDICAL CASE WORKER II</v>
          </cell>
          <cell r="G2696" t="str">
            <v>9002A</v>
          </cell>
          <cell r="H2696">
            <v>3938.82</v>
          </cell>
          <cell r="I2696">
            <v>1</v>
          </cell>
          <cell r="J2696">
            <v>12</v>
          </cell>
          <cell r="K2696">
            <v>1</v>
          </cell>
          <cell r="L2696">
            <v>47265.68</v>
          </cell>
        </row>
        <row r="2697">
          <cell r="A2697">
            <v>106622</v>
          </cell>
          <cell r="B2697">
            <v>18676</v>
          </cell>
          <cell r="C2697">
            <v>18662</v>
          </cell>
          <cell r="D2697" t="str">
            <v>sa4&amp;7</v>
          </cell>
          <cell r="E2697" t="str">
            <v>B</v>
          </cell>
          <cell r="F2697" t="str">
            <v>MEDICAL CASE WORKER II</v>
          </cell>
          <cell r="G2697" t="str">
            <v>9002A</v>
          </cell>
          <cell r="H2697">
            <v>3938.82</v>
          </cell>
          <cell r="I2697">
            <v>1</v>
          </cell>
          <cell r="J2697">
            <v>12</v>
          </cell>
          <cell r="K2697">
            <v>1</v>
          </cell>
          <cell r="L2697">
            <v>47265.68</v>
          </cell>
        </row>
        <row r="2698">
          <cell r="A2698">
            <v>103471</v>
          </cell>
          <cell r="B2698">
            <v>18662</v>
          </cell>
          <cell r="C2698">
            <v>18662</v>
          </cell>
          <cell r="D2698" t="str">
            <v>sa4&amp;7</v>
          </cell>
          <cell r="E2698" t="str">
            <v>B</v>
          </cell>
          <cell r="F2698" t="str">
            <v>MENTAL HEALTH COUNSELOR, RN</v>
          </cell>
          <cell r="G2698" t="str">
            <v>5278A</v>
          </cell>
          <cell r="H2698">
            <v>6275.27</v>
          </cell>
          <cell r="I2698">
            <v>1</v>
          </cell>
          <cell r="J2698">
            <v>12</v>
          </cell>
          <cell r="K2698">
            <v>1</v>
          </cell>
          <cell r="L2698">
            <v>76804.323333333334</v>
          </cell>
        </row>
        <row r="2699">
          <cell r="A2699">
            <v>103984</v>
          </cell>
          <cell r="B2699">
            <v>21533</v>
          </cell>
          <cell r="C2699">
            <v>18662</v>
          </cell>
          <cell r="D2699" t="str">
            <v>sa4&amp;7</v>
          </cell>
          <cell r="E2699" t="str">
            <v>B</v>
          </cell>
          <cell r="F2699" t="str">
            <v>MENTAL HEALTH COUNSELOR, RN</v>
          </cell>
          <cell r="G2699" t="str">
            <v>5278A</v>
          </cell>
          <cell r="H2699">
            <v>6275.27</v>
          </cell>
          <cell r="I2699">
            <v>1</v>
          </cell>
          <cell r="J2699">
            <v>12</v>
          </cell>
          <cell r="K2699">
            <v>1</v>
          </cell>
          <cell r="L2699">
            <v>76804.323333333334</v>
          </cell>
        </row>
        <row r="2700">
          <cell r="A2700">
            <v>104340</v>
          </cell>
          <cell r="B2700">
            <v>18662</v>
          </cell>
          <cell r="C2700">
            <v>18662</v>
          </cell>
          <cell r="D2700" t="str">
            <v>sa4&amp;7</v>
          </cell>
          <cell r="E2700" t="str">
            <v>B</v>
          </cell>
          <cell r="F2700" t="str">
            <v>MENTAL HEALTH COUNSELOR, RN</v>
          </cell>
          <cell r="G2700" t="str">
            <v>5278A</v>
          </cell>
          <cell r="H2700">
            <v>6275.27</v>
          </cell>
          <cell r="I2700">
            <v>1</v>
          </cell>
          <cell r="J2700">
            <v>12</v>
          </cell>
          <cell r="K2700">
            <v>1</v>
          </cell>
          <cell r="L2700">
            <v>76804.323333333334</v>
          </cell>
        </row>
        <row r="2701">
          <cell r="A2701">
            <v>104408</v>
          </cell>
          <cell r="B2701">
            <v>18598</v>
          </cell>
          <cell r="C2701">
            <v>18662</v>
          </cell>
          <cell r="D2701" t="str">
            <v>sa4&amp;7</v>
          </cell>
          <cell r="E2701" t="str">
            <v>B</v>
          </cell>
          <cell r="F2701" t="str">
            <v>MENTAL HEALTH COUNSELOR, RN</v>
          </cell>
          <cell r="G2701" t="str">
            <v>5278A</v>
          </cell>
          <cell r="H2701">
            <v>6275.27</v>
          </cell>
          <cell r="I2701">
            <v>1</v>
          </cell>
          <cell r="J2701">
            <v>12</v>
          </cell>
          <cell r="K2701">
            <v>1</v>
          </cell>
          <cell r="L2701">
            <v>76804.323333333334</v>
          </cell>
        </row>
        <row r="2702">
          <cell r="A2702">
            <v>104435</v>
          </cell>
          <cell r="B2702">
            <v>18662</v>
          </cell>
          <cell r="C2702">
            <v>18662</v>
          </cell>
          <cell r="D2702" t="str">
            <v>sa4&amp;7</v>
          </cell>
          <cell r="E2702" t="str">
            <v>B</v>
          </cell>
          <cell r="F2702" t="str">
            <v>MENTAL HEALTH COUNSELOR, RN</v>
          </cell>
          <cell r="G2702" t="str">
            <v>5278A</v>
          </cell>
          <cell r="H2702">
            <v>6275.27</v>
          </cell>
          <cell r="I2702">
            <v>1</v>
          </cell>
          <cell r="J2702">
            <v>12</v>
          </cell>
          <cell r="K2702">
            <v>1</v>
          </cell>
          <cell r="L2702">
            <v>76804.323333333334</v>
          </cell>
        </row>
        <row r="2703">
          <cell r="A2703">
            <v>103461</v>
          </cell>
          <cell r="B2703">
            <v>18662</v>
          </cell>
          <cell r="C2703">
            <v>18662</v>
          </cell>
          <cell r="D2703" t="str">
            <v>sa4&amp;7</v>
          </cell>
          <cell r="E2703" t="str">
            <v>B</v>
          </cell>
          <cell r="F2703" t="str">
            <v>MENTAL HEALTH SERVICES COORD II</v>
          </cell>
          <cell r="G2703" t="str">
            <v>8149A</v>
          </cell>
          <cell r="H2703">
            <v>5152.3599999999997</v>
          </cell>
          <cell r="I2703">
            <v>1</v>
          </cell>
          <cell r="J2703">
            <v>12</v>
          </cell>
          <cell r="K2703">
            <v>1</v>
          </cell>
          <cell r="L2703">
            <v>61828.72</v>
          </cell>
        </row>
        <row r="2704">
          <cell r="A2704">
            <v>102730</v>
          </cell>
          <cell r="B2704">
            <v>20559</v>
          </cell>
          <cell r="C2704">
            <v>18662</v>
          </cell>
          <cell r="D2704" t="str">
            <v>sa4&amp;7</v>
          </cell>
          <cell r="E2704" t="str">
            <v>B</v>
          </cell>
          <cell r="F2704" t="str">
            <v>MNTL HLTH CLINICAL PROGRAM HEAD</v>
          </cell>
          <cell r="G2704" t="str">
            <v>4726A</v>
          </cell>
          <cell r="H2704">
            <v>8709.73</v>
          </cell>
          <cell r="I2704">
            <v>1</v>
          </cell>
          <cell r="J2704">
            <v>12</v>
          </cell>
          <cell r="K2704">
            <v>1</v>
          </cell>
          <cell r="L2704">
            <v>104516.76</v>
          </cell>
        </row>
        <row r="2705">
          <cell r="A2705">
            <v>102545</v>
          </cell>
          <cell r="B2705">
            <v>18662</v>
          </cell>
          <cell r="C2705">
            <v>18662</v>
          </cell>
          <cell r="D2705" t="str">
            <v>sa4&amp;7</v>
          </cell>
          <cell r="E2705" t="str">
            <v>B</v>
          </cell>
          <cell r="F2705" t="str">
            <v>PSYCHIATRIC SOCIAL WORKER II</v>
          </cell>
          <cell r="G2705" t="str">
            <v>9035A</v>
          </cell>
          <cell r="H2705">
            <v>5425.82</v>
          </cell>
          <cell r="I2705">
            <v>1</v>
          </cell>
          <cell r="J2705">
            <v>12</v>
          </cell>
          <cell r="K2705">
            <v>1</v>
          </cell>
          <cell r="L2705">
            <v>65109.84</v>
          </cell>
        </row>
        <row r="2706">
          <cell r="A2706">
            <v>103153</v>
          </cell>
          <cell r="B2706">
            <v>18662</v>
          </cell>
          <cell r="C2706">
            <v>18662</v>
          </cell>
          <cell r="D2706" t="str">
            <v>sa4&amp;7</v>
          </cell>
          <cell r="E2706" t="str">
            <v>B</v>
          </cell>
          <cell r="F2706" t="str">
            <v>PSYCHIATRIC SOCIAL WORKER II</v>
          </cell>
          <cell r="G2706" t="str">
            <v>9035A</v>
          </cell>
          <cell r="H2706">
            <v>5425.82</v>
          </cell>
          <cell r="I2706">
            <v>1</v>
          </cell>
          <cell r="J2706">
            <v>6</v>
          </cell>
          <cell r="K2706">
            <v>0.5</v>
          </cell>
          <cell r="L2706">
            <v>32554.92</v>
          </cell>
        </row>
        <row r="2707">
          <cell r="A2707">
            <v>103473</v>
          </cell>
          <cell r="B2707">
            <v>18662</v>
          </cell>
          <cell r="C2707">
            <v>18662</v>
          </cell>
          <cell r="D2707" t="str">
            <v>sa4&amp;7</v>
          </cell>
          <cell r="E2707" t="str">
            <v>B</v>
          </cell>
          <cell r="F2707" t="str">
            <v>PSYCHIATRIC SOCIAL WORKER II</v>
          </cell>
          <cell r="G2707" t="str">
            <v>9035A</v>
          </cell>
          <cell r="H2707">
            <v>5425.82</v>
          </cell>
          <cell r="I2707">
            <v>1</v>
          </cell>
          <cell r="J2707">
            <v>12</v>
          </cell>
          <cell r="K2707">
            <v>1</v>
          </cell>
          <cell r="L2707">
            <v>65109.84</v>
          </cell>
        </row>
        <row r="2708">
          <cell r="A2708">
            <v>103475</v>
          </cell>
          <cell r="B2708">
            <v>18662</v>
          </cell>
          <cell r="C2708">
            <v>18662</v>
          </cell>
          <cell r="D2708" t="str">
            <v>sa4&amp;7</v>
          </cell>
          <cell r="E2708" t="str">
            <v>B</v>
          </cell>
          <cell r="F2708" t="str">
            <v>PSYCHIATRIC SOCIAL WORKER II</v>
          </cell>
          <cell r="G2708" t="str">
            <v>9035A</v>
          </cell>
          <cell r="H2708">
            <v>5425.82</v>
          </cell>
          <cell r="I2708">
            <v>1</v>
          </cell>
          <cell r="J2708">
            <v>12</v>
          </cell>
          <cell r="K2708">
            <v>1</v>
          </cell>
          <cell r="L2708">
            <v>65109.84</v>
          </cell>
        </row>
        <row r="2709">
          <cell r="A2709">
            <v>103477</v>
          </cell>
          <cell r="B2709">
            <v>18662</v>
          </cell>
          <cell r="C2709">
            <v>18662</v>
          </cell>
          <cell r="D2709" t="str">
            <v>sa4&amp;7</v>
          </cell>
          <cell r="E2709" t="str">
            <v>B</v>
          </cell>
          <cell r="F2709" t="str">
            <v>PSYCHIATRIC SOCIAL WORKER II</v>
          </cell>
          <cell r="G2709" t="str">
            <v>9035A</v>
          </cell>
          <cell r="H2709">
            <v>5425.82</v>
          </cell>
          <cell r="I2709">
            <v>1</v>
          </cell>
          <cell r="J2709">
            <v>12</v>
          </cell>
          <cell r="K2709">
            <v>1</v>
          </cell>
          <cell r="L2709">
            <v>65109.84</v>
          </cell>
        </row>
        <row r="2710">
          <cell r="A2710">
            <v>103478</v>
          </cell>
          <cell r="B2710">
            <v>18662</v>
          </cell>
          <cell r="C2710">
            <v>18662</v>
          </cell>
          <cell r="D2710" t="str">
            <v>sa4&amp;7</v>
          </cell>
          <cell r="E2710" t="str">
            <v>B</v>
          </cell>
          <cell r="F2710" t="str">
            <v>PSYCHIATRIC SOCIAL WORKER II</v>
          </cell>
          <cell r="G2710" t="str">
            <v>9035A</v>
          </cell>
          <cell r="H2710">
            <v>5425.82</v>
          </cell>
          <cell r="I2710">
            <v>1</v>
          </cell>
          <cell r="J2710">
            <v>12</v>
          </cell>
          <cell r="K2710">
            <v>1</v>
          </cell>
          <cell r="L2710">
            <v>65109.84</v>
          </cell>
        </row>
        <row r="2711">
          <cell r="A2711">
            <v>103479</v>
          </cell>
          <cell r="B2711">
            <v>18662</v>
          </cell>
          <cell r="C2711">
            <v>18662</v>
          </cell>
          <cell r="D2711" t="str">
            <v>sa4&amp;7</v>
          </cell>
          <cell r="E2711" t="str">
            <v>B</v>
          </cell>
          <cell r="F2711" t="str">
            <v>PSYCHIATRIC SOCIAL WORKER II</v>
          </cell>
          <cell r="G2711" t="str">
            <v>9035A</v>
          </cell>
          <cell r="H2711">
            <v>5425.82</v>
          </cell>
          <cell r="I2711">
            <v>1</v>
          </cell>
          <cell r="J2711">
            <v>12</v>
          </cell>
          <cell r="K2711">
            <v>1</v>
          </cell>
          <cell r="L2711">
            <v>65109.84</v>
          </cell>
        </row>
        <row r="2712">
          <cell r="A2712">
            <v>103480</v>
          </cell>
          <cell r="B2712">
            <v>18662</v>
          </cell>
          <cell r="C2712">
            <v>18662</v>
          </cell>
          <cell r="D2712" t="str">
            <v>sa4&amp;7</v>
          </cell>
          <cell r="E2712" t="str">
            <v>B</v>
          </cell>
          <cell r="F2712" t="str">
            <v>PSYCHIATRIC SOCIAL WORKER II</v>
          </cell>
          <cell r="G2712" t="str">
            <v>9035A</v>
          </cell>
          <cell r="H2712">
            <v>5425.82</v>
          </cell>
          <cell r="I2712">
            <v>1</v>
          </cell>
          <cell r="J2712">
            <v>12</v>
          </cell>
          <cell r="K2712">
            <v>1</v>
          </cell>
          <cell r="L2712">
            <v>65109.84</v>
          </cell>
        </row>
        <row r="2713">
          <cell r="A2713">
            <v>103481</v>
          </cell>
          <cell r="B2713">
            <v>18662</v>
          </cell>
          <cell r="C2713">
            <v>18662</v>
          </cell>
          <cell r="D2713" t="str">
            <v>sa4&amp;7</v>
          </cell>
          <cell r="E2713" t="str">
            <v>B</v>
          </cell>
          <cell r="F2713" t="str">
            <v>PSYCHIATRIC SOCIAL WORKER II</v>
          </cell>
          <cell r="G2713" t="str">
            <v>9035A</v>
          </cell>
          <cell r="H2713">
            <v>5425.82</v>
          </cell>
          <cell r="I2713">
            <v>1</v>
          </cell>
          <cell r="J2713">
            <v>12</v>
          </cell>
          <cell r="K2713">
            <v>1</v>
          </cell>
          <cell r="L2713">
            <v>65109.84</v>
          </cell>
        </row>
        <row r="2714">
          <cell r="A2714">
            <v>103483</v>
          </cell>
          <cell r="B2714">
            <v>18662</v>
          </cell>
          <cell r="C2714">
            <v>18662</v>
          </cell>
          <cell r="D2714" t="str">
            <v>sa4&amp;7</v>
          </cell>
          <cell r="E2714" t="str">
            <v>B</v>
          </cell>
          <cell r="F2714" t="str">
            <v>PSYCHIATRIC SOCIAL WORKER II</v>
          </cell>
          <cell r="G2714" t="str">
            <v>9035A</v>
          </cell>
          <cell r="H2714">
            <v>5425.82</v>
          </cell>
          <cell r="I2714">
            <v>1</v>
          </cell>
          <cell r="J2714">
            <v>12</v>
          </cell>
          <cell r="K2714">
            <v>1</v>
          </cell>
          <cell r="L2714">
            <v>65109.84</v>
          </cell>
        </row>
        <row r="2715">
          <cell r="A2715">
            <v>104433</v>
          </cell>
          <cell r="B2715">
            <v>18662</v>
          </cell>
          <cell r="C2715">
            <v>18662</v>
          </cell>
          <cell r="D2715" t="str">
            <v>sa4&amp;7</v>
          </cell>
          <cell r="E2715" t="str">
            <v>B</v>
          </cell>
          <cell r="F2715" t="str">
            <v>PSYCHIATRIC SOCIAL WORKER II</v>
          </cell>
          <cell r="G2715" t="str">
            <v>9035F</v>
          </cell>
          <cell r="H2715">
            <v>26.28</v>
          </cell>
          <cell r="I2715">
            <v>1</v>
          </cell>
          <cell r="J2715">
            <v>1566</v>
          </cell>
          <cell r="K2715">
            <v>0.75</v>
          </cell>
          <cell r="L2715">
            <v>41154.480000000003</v>
          </cell>
        </row>
        <row r="2716">
          <cell r="A2716">
            <v>102622</v>
          </cell>
          <cell r="B2716">
            <v>23017</v>
          </cell>
          <cell r="C2716">
            <v>18662</v>
          </cell>
          <cell r="D2716" t="str">
            <v>sa4&amp;7</v>
          </cell>
          <cell r="E2716" t="str">
            <v>B</v>
          </cell>
          <cell r="F2716" t="str">
            <v>PSYCHIATRIC TECHNICIAN II</v>
          </cell>
          <cell r="G2716" t="str">
            <v>8162A</v>
          </cell>
          <cell r="H2716">
            <v>3420.09</v>
          </cell>
          <cell r="I2716">
            <v>1</v>
          </cell>
          <cell r="J2716">
            <v>12</v>
          </cell>
          <cell r="K2716">
            <v>1</v>
          </cell>
          <cell r="L2716">
            <v>41041.08</v>
          </cell>
        </row>
        <row r="2717">
          <cell r="A2717">
            <v>102627</v>
          </cell>
          <cell r="B2717">
            <v>18662</v>
          </cell>
          <cell r="C2717">
            <v>18662</v>
          </cell>
          <cell r="D2717" t="str">
            <v>sa4&amp;7</v>
          </cell>
          <cell r="E2717" t="str">
            <v>B</v>
          </cell>
          <cell r="F2717" t="str">
            <v>PSYCHIATRIC TECHNICIAN II</v>
          </cell>
          <cell r="G2717" t="str">
            <v>8162A</v>
          </cell>
          <cell r="H2717">
            <v>3420.09</v>
          </cell>
          <cell r="I2717">
            <v>1</v>
          </cell>
          <cell r="J2717">
            <v>12</v>
          </cell>
          <cell r="K2717">
            <v>1</v>
          </cell>
          <cell r="L2717">
            <v>41041.08</v>
          </cell>
        </row>
        <row r="2718">
          <cell r="A2718">
            <v>102655</v>
          </cell>
          <cell r="B2718">
            <v>18662</v>
          </cell>
          <cell r="C2718">
            <v>18662</v>
          </cell>
          <cell r="D2718" t="str">
            <v>sa4&amp;7</v>
          </cell>
          <cell r="E2718" t="str">
            <v>B</v>
          </cell>
          <cell r="F2718" t="str">
            <v>PSYCHIATRIC TECHNICIAN II</v>
          </cell>
          <cell r="G2718" t="str">
            <v>8162A</v>
          </cell>
          <cell r="H2718">
            <v>3420.09</v>
          </cell>
          <cell r="I2718">
            <v>1</v>
          </cell>
          <cell r="J2718">
            <v>12</v>
          </cell>
          <cell r="K2718">
            <v>1</v>
          </cell>
          <cell r="L2718">
            <v>41041.08</v>
          </cell>
        </row>
        <row r="2719">
          <cell r="A2719">
            <v>104434</v>
          </cell>
          <cell r="B2719">
            <v>18662</v>
          </cell>
          <cell r="C2719">
            <v>18662</v>
          </cell>
          <cell r="D2719" t="str">
            <v>sa4&amp;7</v>
          </cell>
          <cell r="E2719" t="str">
            <v>B</v>
          </cell>
          <cell r="F2719" t="str">
            <v>PSYCHIATRIC TECHNICIAN II</v>
          </cell>
          <cell r="G2719" t="str">
            <v>8162A</v>
          </cell>
          <cell r="H2719">
            <v>3420.09</v>
          </cell>
          <cell r="I2719">
            <v>1</v>
          </cell>
          <cell r="J2719">
            <v>12</v>
          </cell>
          <cell r="K2719">
            <v>1</v>
          </cell>
          <cell r="L2719">
            <v>41041.08</v>
          </cell>
        </row>
        <row r="2720">
          <cell r="A2720">
            <v>103090</v>
          </cell>
          <cell r="B2720">
            <v>18662</v>
          </cell>
          <cell r="C2720">
            <v>18662</v>
          </cell>
          <cell r="D2720" t="str">
            <v>sa4&amp;7</v>
          </cell>
          <cell r="E2720" t="str">
            <v>B</v>
          </cell>
          <cell r="F2720" t="str">
            <v>PSYCHIATRIC TECHNICIAN III</v>
          </cell>
          <cell r="G2720" t="str">
            <v>8163A</v>
          </cell>
          <cell r="H2720">
            <v>3705.73</v>
          </cell>
          <cell r="I2720">
            <v>1</v>
          </cell>
          <cell r="J2720">
            <v>12</v>
          </cell>
          <cell r="K2720">
            <v>1</v>
          </cell>
          <cell r="L2720">
            <v>44468.76</v>
          </cell>
        </row>
        <row r="2721">
          <cell r="A2721">
            <v>103092</v>
          </cell>
          <cell r="B2721">
            <v>18662</v>
          </cell>
          <cell r="C2721">
            <v>18662</v>
          </cell>
          <cell r="D2721" t="str">
            <v>sa4&amp;7</v>
          </cell>
          <cell r="E2721" t="str">
            <v>B</v>
          </cell>
          <cell r="F2721" t="str">
            <v>PSYCHIATRIC TECHNICIAN III</v>
          </cell>
          <cell r="G2721" t="str">
            <v>8163A</v>
          </cell>
          <cell r="H2721">
            <v>3705.73</v>
          </cell>
          <cell r="I2721">
            <v>1</v>
          </cell>
          <cell r="J2721">
            <v>12</v>
          </cell>
          <cell r="K2721">
            <v>1</v>
          </cell>
          <cell r="L2721">
            <v>44468.76</v>
          </cell>
        </row>
        <row r="2722">
          <cell r="A2722">
            <v>103101</v>
          </cell>
          <cell r="B2722">
            <v>23015</v>
          </cell>
          <cell r="C2722">
            <v>18662</v>
          </cell>
          <cell r="D2722" t="str">
            <v>sa4&amp;7</v>
          </cell>
          <cell r="E2722" t="str">
            <v>B</v>
          </cell>
          <cell r="F2722" t="str">
            <v>PSYCHIATRIC TECHNICIAN III</v>
          </cell>
          <cell r="G2722" t="str">
            <v>8163A</v>
          </cell>
          <cell r="H2722">
            <v>3705.73</v>
          </cell>
          <cell r="I2722">
            <v>1</v>
          </cell>
          <cell r="J2722">
            <v>12</v>
          </cell>
          <cell r="K2722">
            <v>1</v>
          </cell>
          <cell r="L2722">
            <v>44468.76</v>
          </cell>
        </row>
        <row r="2723">
          <cell r="A2723">
            <v>103802</v>
          </cell>
          <cell r="B2723">
            <v>20446</v>
          </cell>
          <cell r="C2723">
            <v>18662</v>
          </cell>
          <cell r="D2723" t="str">
            <v>sa4&amp;7</v>
          </cell>
          <cell r="E2723" t="str">
            <v>B</v>
          </cell>
          <cell r="F2723" t="str">
            <v>PSYCHIATRIC TECHNICIAN III</v>
          </cell>
          <cell r="G2723" t="str">
            <v>8163A</v>
          </cell>
          <cell r="H2723">
            <v>3705.73</v>
          </cell>
          <cell r="I2723">
            <v>1</v>
          </cell>
          <cell r="J2723">
            <v>12</v>
          </cell>
          <cell r="K2723">
            <v>1</v>
          </cell>
          <cell r="L2723">
            <v>44468.76</v>
          </cell>
        </row>
        <row r="2724">
          <cell r="A2724">
            <v>103966</v>
          </cell>
          <cell r="B2724">
            <v>23017</v>
          </cell>
          <cell r="C2724">
            <v>18662</v>
          </cell>
          <cell r="D2724" t="str">
            <v>sa4&amp;7</v>
          </cell>
          <cell r="E2724" t="str">
            <v>B</v>
          </cell>
          <cell r="F2724" t="str">
            <v>SENIOR MENTAL HEALTH COUNSELOR, RN</v>
          </cell>
          <cell r="G2724" t="str">
            <v>5280A</v>
          </cell>
          <cell r="H2724">
            <v>6790.09</v>
          </cell>
          <cell r="I2724">
            <v>1</v>
          </cell>
          <cell r="J2724">
            <v>12</v>
          </cell>
          <cell r="K2724">
            <v>1</v>
          </cell>
          <cell r="L2724">
            <v>83105.40203389831</v>
          </cell>
        </row>
        <row r="2725">
          <cell r="A2725">
            <v>102400</v>
          </cell>
          <cell r="B2725">
            <v>18662</v>
          </cell>
          <cell r="C2725">
            <v>18662</v>
          </cell>
          <cell r="D2725" t="str">
            <v>sa4&amp;7</v>
          </cell>
          <cell r="E2725" t="str">
            <v>B</v>
          </cell>
          <cell r="F2725" t="str">
            <v xml:space="preserve">SENIOR SECRETARY III               </v>
          </cell>
          <cell r="G2725" t="str">
            <v>2102A</v>
          </cell>
          <cell r="H2725">
            <v>4106.3599999999997</v>
          </cell>
          <cell r="I2725">
            <v>1</v>
          </cell>
          <cell r="J2725">
            <v>12</v>
          </cell>
          <cell r="K2725">
            <v>1</v>
          </cell>
          <cell r="L2725">
            <v>49276.56</v>
          </cell>
        </row>
        <row r="2726">
          <cell r="A2726">
            <v>103726</v>
          </cell>
          <cell r="B2726">
            <v>21533</v>
          </cell>
          <cell r="C2726">
            <v>18662</v>
          </cell>
          <cell r="D2726" t="str">
            <v>sa4&amp;7</v>
          </cell>
          <cell r="E2726" t="str">
            <v>B</v>
          </cell>
          <cell r="F2726" t="str">
            <v xml:space="preserve">SENIOR TYPIST-CLERK                </v>
          </cell>
          <cell r="G2726" t="str">
            <v>2216A</v>
          </cell>
          <cell r="H2726">
            <v>3013.55</v>
          </cell>
          <cell r="I2726">
            <v>1</v>
          </cell>
          <cell r="J2726">
            <v>12</v>
          </cell>
          <cell r="K2726">
            <v>1</v>
          </cell>
          <cell r="L2726">
            <v>36162.6</v>
          </cell>
        </row>
        <row r="2727">
          <cell r="A2727">
            <v>104432</v>
          </cell>
          <cell r="B2727">
            <v>18662</v>
          </cell>
          <cell r="C2727">
            <v>18662</v>
          </cell>
          <cell r="D2727" t="str">
            <v>sa4&amp;7</v>
          </cell>
          <cell r="E2727" t="str">
            <v>B</v>
          </cell>
          <cell r="F2727" t="str">
            <v xml:space="preserve">STAFF ASSISTANT II                 </v>
          </cell>
          <cell r="G2727" t="str">
            <v>0913A</v>
          </cell>
          <cell r="H2727">
            <v>4167.45</v>
          </cell>
          <cell r="I2727">
            <v>1</v>
          </cell>
          <cell r="J2727">
            <v>12</v>
          </cell>
          <cell r="K2727">
            <v>1</v>
          </cell>
          <cell r="L2727">
            <v>50009.24</v>
          </cell>
        </row>
        <row r="2728">
          <cell r="A2728">
            <v>101606</v>
          </cell>
          <cell r="B2728">
            <v>18662</v>
          </cell>
          <cell r="C2728">
            <v>18662</v>
          </cell>
          <cell r="D2728" t="str">
            <v>sa4&amp;7</v>
          </cell>
          <cell r="E2728" t="str">
            <v>B</v>
          </cell>
          <cell r="F2728" t="str">
            <v xml:space="preserve">SUPVG PSYCHIATRIC SOCIAL WORKER    </v>
          </cell>
          <cell r="G2728" t="str">
            <v>9038A</v>
          </cell>
          <cell r="H2728">
            <v>6062.45</v>
          </cell>
          <cell r="I2728">
            <v>1</v>
          </cell>
          <cell r="J2728">
            <v>12</v>
          </cell>
          <cell r="K2728">
            <v>1</v>
          </cell>
          <cell r="L2728">
            <v>72749.399999999994</v>
          </cell>
        </row>
        <row r="2729">
          <cell r="A2729">
            <v>103468</v>
          </cell>
          <cell r="B2729">
            <v>18662</v>
          </cell>
          <cell r="C2729">
            <v>18662</v>
          </cell>
          <cell r="D2729" t="str">
            <v>sa4&amp;7</v>
          </cell>
          <cell r="E2729" t="str">
            <v>B</v>
          </cell>
          <cell r="F2729" t="str">
            <v xml:space="preserve">SUPVG PSYCHIATRIC SOCIAL WORKER    </v>
          </cell>
          <cell r="G2729" t="str">
            <v>9038A</v>
          </cell>
          <cell r="H2729">
            <v>6062.45</v>
          </cell>
          <cell r="I2729">
            <v>1</v>
          </cell>
          <cell r="J2729">
            <v>12</v>
          </cell>
          <cell r="K2729">
            <v>1</v>
          </cell>
          <cell r="L2729">
            <v>72749.399999999994</v>
          </cell>
        </row>
        <row r="2730">
          <cell r="A2730">
            <v>103469</v>
          </cell>
          <cell r="B2730">
            <v>18662</v>
          </cell>
          <cell r="C2730">
            <v>18662</v>
          </cell>
          <cell r="D2730" t="str">
            <v>sa4&amp;7</v>
          </cell>
          <cell r="E2730" t="str">
            <v>B</v>
          </cell>
          <cell r="F2730" t="str">
            <v xml:space="preserve">SUPVG PSYCHIATRIC SOCIAL WORKER    </v>
          </cell>
          <cell r="G2730" t="str">
            <v>9038A</v>
          </cell>
          <cell r="H2730">
            <v>6062.45</v>
          </cell>
          <cell r="I2730">
            <v>1</v>
          </cell>
          <cell r="J2730">
            <v>12</v>
          </cell>
          <cell r="K2730">
            <v>1</v>
          </cell>
          <cell r="L2730">
            <v>72749.399999999994</v>
          </cell>
        </row>
        <row r="2731">
          <cell r="A2731">
            <v>100135</v>
          </cell>
          <cell r="B2731">
            <v>23036</v>
          </cell>
          <cell r="C2731">
            <v>20440</v>
          </cell>
          <cell r="D2731" t="str">
            <v>sa4&amp;7</v>
          </cell>
          <cell r="E2731" t="str">
            <v>B</v>
          </cell>
          <cell r="F2731" t="str">
            <v>CLINICAL PSYCHOLOGIST II</v>
          </cell>
          <cell r="G2731" t="str">
            <v>8697A</v>
          </cell>
          <cell r="H2731">
            <v>6993.82</v>
          </cell>
          <cell r="I2731">
            <v>1</v>
          </cell>
          <cell r="J2731">
            <v>12</v>
          </cell>
          <cell r="K2731">
            <v>1</v>
          </cell>
          <cell r="L2731">
            <v>83925.52</v>
          </cell>
        </row>
        <row r="2732">
          <cell r="A2732">
            <v>106084</v>
          </cell>
          <cell r="B2732">
            <v>18676</v>
          </cell>
          <cell r="C2732">
            <v>20440</v>
          </cell>
          <cell r="D2732" t="str">
            <v>sa4&amp;7</v>
          </cell>
          <cell r="E2732" t="str">
            <v>B</v>
          </cell>
          <cell r="F2732" t="str">
            <v>CLINICAL PSYCHOLOGIST II</v>
          </cell>
          <cell r="G2732" t="str">
            <v>8697A</v>
          </cell>
          <cell r="H2732">
            <v>6993.82</v>
          </cell>
          <cell r="I2732">
            <v>1</v>
          </cell>
          <cell r="J2732">
            <v>12</v>
          </cell>
          <cell r="K2732">
            <v>1</v>
          </cell>
          <cell r="L2732">
            <v>83925.52</v>
          </cell>
        </row>
        <row r="2733">
          <cell r="A2733">
            <v>104864</v>
          </cell>
          <cell r="B2733">
            <v>20559</v>
          </cell>
          <cell r="C2733">
            <v>20440</v>
          </cell>
          <cell r="D2733" t="str">
            <v>sa4&amp;7</v>
          </cell>
          <cell r="E2733" t="str">
            <v>B</v>
          </cell>
          <cell r="F2733" t="str">
            <v>MENTAL HEALTH SERVICES COORD I</v>
          </cell>
          <cell r="G2733" t="str">
            <v>8148A</v>
          </cell>
          <cell r="H2733">
            <v>5126.91</v>
          </cell>
          <cell r="I2733">
            <v>1</v>
          </cell>
          <cell r="J2733">
            <v>12</v>
          </cell>
          <cell r="K2733">
            <v>1</v>
          </cell>
          <cell r="L2733">
            <v>61522.92</v>
          </cell>
        </row>
        <row r="2734">
          <cell r="A2734">
            <v>102918</v>
          </cell>
          <cell r="B2734">
            <v>18703</v>
          </cell>
          <cell r="C2734">
            <v>20440</v>
          </cell>
          <cell r="D2734" t="str">
            <v>sa4&amp;7</v>
          </cell>
          <cell r="E2734" t="str">
            <v>B</v>
          </cell>
          <cell r="F2734" t="str">
            <v>MENTAL HEALTH SERVICES COORD II</v>
          </cell>
          <cell r="G2734" t="str">
            <v>8149A</v>
          </cell>
          <cell r="H2734">
            <v>5152.3599999999997</v>
          </cell>
          <cell r="I2734">
            <v>1</v>
          </cell>
          <cell r="J2734">
            <v>12</v>
          </cell>
          <cell r="K2734">
            <v>1</v>
          </cell>
          <cell r="L2734">
            <v>61828.72</v>
          </cell>
        </row>
        <row r="2735">
          <cell r="A2735">
            <v>103643</v>
          </cell>
          <cell r="B2735">
            <v>18634</v>
          </cell>
          <cell r="C2735">
            <v>20440</v>
          </cell>
          <cell r="D2735" t="str">
            <v>sa4&amp;7</v>
          </cell>
          <cell r="E2735" t="str">
            <v>B</v>
          </cell>
          <cell r="F2735" t="str">
            <v>SENIOR MENTAL HEALTH COUNSELOR, RN</v>
          </cell>
          <cell r="G2735" t="str">
            <v>5280A</v>
          </cell>
          <cell r="H2735">
            <v>6790.09</v>
          </cell>
          <cell r="I2735">
            <v>1</v>
          </cell>
          <cell r="J2735">
            <v>12</v>
          </cell>
          <cell r="K2735">
            <v>1</v>
          </cell>
          <cell r="L2735">
            <v>83105.40203389831</v>
          </cell>
        </row>
        <row r="2736">
          <cell r="A2736">
            <v>102364</v>
          </cell>
          <cell r="B2736">
            <v>20483</v>
          </cell>
          <cell r="C2736">
            <v>20440</v>
          </cell>
          <cell r="D2736" t="str">
            <v>sa4&amp;7</v>
          </cell>
          <cell r="E2736" t="str">
            <v>B</v>
          </cell>
          <cell r="F2736" t="str">
            <v xml:space="preserve">SENIOR SECRETARY III               </v>
          </cell>
          <cell r="G2736" t="str">
            <v>2102A</v>
          </cell>
          <cell r="H2736">
            <v>4106.3599999999997</v>
          </cell>
          <cell r="I2736">
            <v>1</v>
          </cell>
          <cell r="J2736">
            <v>12</v>
          </cell>
          <cell r="K2736">
            <v>1</v>
          </cell>
          <cell r="L2736">
            <v>49276.56</v>
          </cell>
        </row>
        <row r="2737">
          <cell r="A2737">
            <v>102505</v>
          </cell>
          <cell r="B2737">
            <v>20570</v>
          </cell>
          <cell r="C2737">
            <v>20440</v>
          </cell>
          <cell r="D2737" t="str">
            <v>sa4&amp;7</v>
          </cell>
          <cell r="E2737" t="str">
            <v>B</v>
          </cell>
          <cell r="F2737" t="str">
            <v xml:space="preserve">SR COMMUN MENTAL HLTH PSYCHOLOGIST </v>
          </cell>
          <cell r="G2737" t="str">
            <v>8712A</v>
          </cell>
          <cell r="H2737">
            <v>7311.45</v>
          </cell>
          <cell r="I2737">
            <v>1</v>
          </cell>
          <cell r="J2737">
            <v>12</v>
          </cell>
          <cell r="K2737">
            <v>1</v>
          </cell>
          <cell r="L2737">
            <v>87737.16</v>
          </cell>
        </row>
        <row r="2738">
          <cell r="A2738">
            <v>102700</v>
          </cell>
          <cell r="B2738">
            <v>20440</v>
          </cell>
          <cell r="C2738">
            <v>20440</v>
          </cell>
          <cell r="D2738" t="str">
            <v>sa4&amp;7</v>
          </cell>
          <cell r="E2738" t="str">
            <v>B</v>
          </cell>
          <cell r="F2738" t="str">
            <v>SUPVG ADMINISTRATIVE ASSISTANT I</v>
          </cell>
          <cell r="G2738" t="str">
            <v>0896N</v>
          </cell>
          <cell r="H2738">
            <v>4832</v>
          </cell>
          <cell r="I2738">
            <v>1</v>
          </cell>
          <cell r="J2738">
            <v>12</v>
          </cell>
          <cell r="K2738">
            <v>1</v>
          </cell>
          <cell r="L2738">
            <v>57983.839999999997</v>
          </cell>
        </row>
        <row r="2739">
          <cell r="A2739">
            <v>102832</v>
          </cell>
          <cell r="B2739">
            <v>20483</v>
          </cell>
          <cell r="C2739">
            <v>20483</v>
          </cell>
          <cell r="D2739" t="str">
            <v>sa4&amp;7</v>
          </cell>
          <cell r="E2739" t="str">
            <v>B</v>
          </cell>
          <cell r="F2739" t="str">
            <v>ASST BEHAVIORAL SCIENCES CONSULTANT</v>
          </cell>
          <cell r="G2739" t="str">
            <v>8705J</v>
          </cell>
          <cell r="H2739">
            <v>85.79</v>
          </cell>
          <cell r="I2739">
            <v>1</v>
          </cell>
          <cell r="J2739">
            <v>261</v>
          </cell>
          <cell r="K2739">
            <v>0.5</v>
          </cell>
          <cell r="L2739">
            <v>22391.49</v>
          </cell>
        </row>
        <row r="2740">
          <cell r="A2740">
            <v>102435</v>
          </cell>
          <cell r="B2740">
            <v>20499</v>
          </cell>
          <cell r="C2740">
            <v>20483</v>
          </cell>
          <cell r="D2740" t="str">
            <v>sa4&amp;7</v>
          </cell>
          <cell r="E2740" t="str">
            <v>B</v>
          </cell>
          <cell r="F2740" t="str">
            <v>CLINICAL PSYCHOLOGIST II</v>
          </cell>
          <cell r="G2740" t="str">
            <v>8697A</v>
          </cell>
          <cell r="H2740">
            <v>6993.82</v>
          </cell>
          <cell r="I2740">
            <v>1</v>
          </cell>
          <cell r="J2740">
            <v>12</v>
          </cell>
          <cell r="K2740">
            <v>1</v>
          </cell>
          <cell r="L2740">
            <v>83925.52</v>
          </cell>
        </row>
        <row r="2741">
          <cell r="A2741">
            <v>104411</v>
          </cell>
          <cell r="B2741">
            <v>20483</v>
          </cell>
          <cell r="C2741">
            <v>20483</v>
          </cell>
          <cell r="D2741" t="str">
            <v>sa4&amp;7</v>
          </cell>
          <cell r="E2741" t="str">
            <v>B</v>
          </cell>
          <cell r="F2741" t="str">
            <v>CLINICAL PSYCHOLOGIST II</v>
          </cell>
          <cell r="G2741" t="str">
            <v>8697A</v>
          </cell>
          <cell r="H2741">
            <v>6993.82</v>
          </cell>
          <cell r="I2741">
            <v>1</v>
          </cell>
          <cell r="J2741">
            <v>12</v>
          </cell>
          <cell r="K2741">
            <v>1</v>
          </cell>
          <cell r="L2741">
            <v>83925.52</v>
          </cell>
        </row>
        <row r="2742">
          <cell r="A2742">
            <v>106072</v>
          </cell>
          <cell r="B2742">
            <v>18676</v>
          </cell>
          <cell r="C2742">
            <v>20483</v>
          </cell>
          <cell r="D2742" t="str">
            <v>sa4&amp;7</v>
          </cell>
          <cell r="E2742" t="str">
            <v>B</v>
          </cell>
          <cell r="F2742" t="str">
            <v>CLINICAL PSYCHOLOGIST II</v>
          </cell>
          <cell r="G2742" t="str">
            <v>8697A</v>
          </cell>
          <cell r="H2742">
            <v>6993.82</v>
          </cell>
          <cell r="I2742">
            <v>1</v>
          </cell>
          <cell r="J2742">
            <v>12</v>
          </cell>
          <cell r="K2742">
            <v>1</v>
          </cell>
          <cell r="L2742">
            <v>83925.52</v>
          </cell>
        </row>
        <row r="2743">
          <cell r="A2743">
            <v>100159</v>
          </cell>
          <cell r="B2743">
            <v>20483</v>
          </cell>
          <cell r="C2743">
            <v>20483</v>
          </cell>
          <cell r="D2743" t="str">
            <v>sa4&amp;7</v>
          </cell>
          <cell r="E2743" t="str">
            <v>B</v>
          </cell>
          <cell r="F2743" t="str">
            <v>COMMUNITY MENTAL HEALTH PSYCHOLOGIST</v>
          </cell>
          <cell r="G2743" t="str">
            <v>8711A</v>
          </cell>
          <cell r="H2743">
            <v>6942.55</v>
          </cell>
          <cell r="I2743">
            <v>1</v>
          </cell>
          <cell r="J2743">
            <v>12</v>
          </cell>
          <cell r="K2743">
            <v>1</v>
          </cell>
          <cell r="L2743">
            <v>83310.2</v>
          </cell>
        </row>
        <row r="2744">
          <cell r="A2744">
            <v>104275</v>
          </cell>
          <cell r="B2744">
            <v>20483</v>
          </cell>
          <cell r="C2744">
            <v>20483</v>
          </cell>
          <cell r="D2744" t="str">
            <v>sa4&amp;7</v>
          </cell>
          <cell r="E2744" t="str">
            <v>B</v>
          </cell>
          <cell r="F2744" t="str">
            <v>COMMUNITY MENTAL HEALTH PSYCHOLOGIST</v>
          </cell>
          <cell r="G2744" t="str">
            <v>8711A</v>
          </cell>
          <cell r="H2744">
            <v>6942.55</v>
          </cell>
          <cell r="I2744">
            <v>1</v>
          </cell>
          <cell r="J2744">
            <v>12</v>
          </cell>
          <cell r="K2744">
            <v>1</v>
          </cell>
          <cell r="L2744">
            <v>83310.2</v>
          </cell>
        </row>
        <row r="2745">
          <cell r="A2745">
            <v>102367</v>
          </cell>
          <cell r="B2745">
            <v>20483</v>
          </cell>
          <cell r="C2745">
            <v>20483</v>
          </cell>
          <cell r="D2745" t="str">
            <v>sa4&amp;7</v>
          </cell>
          <cell r="E2745" t="str">
            <v>B</v>
          </cell>
          <cell r="F2745" t="str">
            <v xml:space="preserve">COMMUNITY SERVICES COUNSELOR       </v>
          </cell>
          <cell r="G2745" t="str">
            <v>8108A</v>
          </cell>
          <cell r="H2745">
            <v>3257.45</v>
          </cell>
          <cell r="I2745">
            <v>1</v>
          </cell>
          <cell r="J2745">
            <v>12</v>
          </cell>
          <cell r="K2745">
            <v>1</v>
          </cell>
          <cell r="L2745">
            <v>39089.32</v>
          </cell>
        </row>
        <row r="2746">
          <cell r="A2746">
            <v>104276</v>
          </cell>
          <cell r="B2746">
            <v>20483</v>
          </cell>
          <cell r="C2746">
            <v>20483</v>
          </cell>
          <cell r="D2746" t="str">
            <v>sa4&amp;7</v>
          </cell>
          <cell r="E2746" t="str">
            <v>B</v>
          </cell>
          <cell r="F2746" t="str">
            <v>COMMUNITY WORKER</v>
          </cell>
          <cell r="G2746" t="str">
            <v>8103A</v>
          </cell>
          <cell r="H2746">
            <v>2984.09</v>
          </cell>
          <cell r="I2746">
            <v>1</v>
          </cell>
          <cell r="J2746">
            <v>12</v>
          </cell>
          <cell r="K2746">
            <v>1</v>
          </cell>
          <cell r="L2746">
            <v>35809.08</v>
          </cell>
        </row>
        <row r="2747">
          <cell r="A2747">
            <v>104687</v>
          </cell>
          <cell r="B2747">
            <v>20483</v>
          </cell>
          <cell r="C2747">
            <v>20483</v>
          </cell>
          <cell r="D2747" t="str">
            <v>sa4&amp;7</v>
          </cell>
          <cell r="E2747" t="str">
            <v>B</v>
          </cell>
          <cell r="F2747" t="str">
            <v>COMMUNITY WORKER</v>
          </cell>
          <cell r="G2747" t="str">
            <v>8103A</v>
          </cell>
          <cell r="H2747">
            <v>2984.09</v>
          </cell>
          <cell r="I2747">
            <v>1</v>
          </cell>
          <cell r="J2747">
            <v>12</v>
          </cell>
          <cell r="K2747">
            <v>1</v>
          </cell>
          <cell r="L2747">
            <v>35809.08</v>
          </cell>
        </row>
        <row r="2748">
          <cell r="A2748">
            <v>102327</v>
          </cell>
          <cell r="B2748">
            <v>20477</v>
          </cell>
          <cell r="C2748">
            <v>20483</v>
          </cell>
          <cell r="D2748" t="str">
            <v>sa4&amp;7</v>
          </cell>
          <cell r="E2748" t="str">
            <v>B</v>
          </cell>
          <cell r="F2748" t="str">
            <v xml:space="preserve">INT SUPERVISING TYPIST-CLERK       </v>
          </cell>
          <cell r="G2748" t="str">
            <v>2221A</v>
          </cell>
          <cell r="H2748">
            <v>3337.91</v>
          </cell>
          <cell r="I2748">
            <v>1</v>
          </cell>
          <cell r="J2748">
            <v>12</v>
          </cell>
          <cell r="K2748">
            <v>1</v>
          </cell>
          <cell r="L2748">
            <v>40054.519999999997</v>
          </cell>
        </row>
        <row r="2749">
          <cell r="A2749">
            <v>104686</v>
          </cell>
          <cell r="B2749">
            <v>20483</v>
          </cell>
          <cell r="C2749">
            <v>20483</v>
          </cell>
          <cell r="D2749" t="str">
            <v>sa4&amp;7</v>
          </cell>
          <cell r="E2749" t="str">
            <v>B</v>
          </cell>
          <cell r="F2749" t="str">
            <v xml:space="preserve">INT SUPERVISING TYPIST-CLERK       </v>
          </cell>
          <cell r="G2749" t="str">
            <v>2221A</v>
          </cell>
          <cell r="H2749">
            <v>3337.91</v>
          </cell>
          <cell r="I2749">
            <v>1</v>
          </cell>
          <cell r="J2749">
            <v>12</v>
          </cell>
          <cell r="K2749">
            <v>1</v>
          </cell>
          <cell r="L2749">
            <v>40054.519999999997</v>
          </cell>
        </row>
        <row r="2750">
          <cell r="A2750">
            <v>109182</v>
          </cell>
          <cell r="B2750">
            <v>27506</v>
          </cell>
          <cell r="C2750">
            <v>20483</v>
          </cell>
          <cell r="D2750" t="str">
            <v>sa4&amp;7</v>
          </cell>
          <cell r="E2750" t="str">
            <v>B</v>
          </cell>
          <cell r="F2750" t="str">
            <v>INTERMEDIATE TYPIST-CLERK</v>
          </cell>
          <cell r="G2750" t="str">
            <v>2214A</v>
          </cell>
          <cell r="H2750">
            <v>2675.27</v>
          </cell>
          <cell r="I2750">
            <v>1</v>
          </cell>
          <cell r="J2750">
            <v>12</v>
          </cell>
          <cell r="K2750">
            <v>1</v>
          </cell>
          <cell r="L2750">
            <v>32103.16</v>
          </cell>
        </row>
        <row r="2751">
          <cell r="A2751">
            <v>109665</v>
          </cell>
          <cell r="B2751">
            <v>20483</v>
          </cell>
          <cell r="C2751">
            <v>20483</v>
          </cell>
          <cell r="D2751" t="str">
            <v>sa4&amp;7</v>
          </cell>
          <cell r="E2751" t="str">
            <v>B</v>
          </cell>
          <cell r="F2751" t="str">
            <v>INTERMEDIATE TYPIST-CLERK</v>
          </cell>
          <cell r="G2751" t="str">
            <v>2214A</v>
          </cell>
          <cell r="H2751">
            <v>2675.27</v>
          </cell>
          <cell r="I2751">
            <v>1</v>
          </cell>
          <cell r="J2751">
            <v>12</v>
          </cell>
          <cell r="K2751">
            <v>1</v>
          </cell>
          <cell r="L2751">
            <v>32103.24</v>
          </cell>
        </row>
        <row r="2752">
          <cell r="A2752">
            <v>109666</v>
          </cell>
          <cell r="B2752">
            <v>20483</v>
          </cell>
          <cell r="C2752">
            <v>20483</v>
          </cell>
          <cell r="D2752" t="str">
            <v>sa4&amp;7</v>
          </cell>
          <cell r="E2752" t="str">
            <v>B</v>
          </cell>
          <cell r="F2752" t="str">
            <v>INTERMEDIATE TYPIST-CLERK</v>
          </cell>
          <cell r="G2752" t="str">
            <v>2214A</v>
          </cell>
          <cell r="H2752">
            <v>2675.27</v>
          </cell>
          <cell r="I2752">
            <v>1</v>
          </cell>
          <cell r="J2752">
            <v>12</v>
          </cell>
          <cell r="K2752">
            <v>1</v>
          </cell>
          <cell r="L2752">
            <v>32103.24</v>
          </cell>
        </row>
        <row r="2753">
          <cell r="A2753">
            <v>109667</v>
          </cell>
          <cell r="B2753">
            <v>20483</v>
          </cell>
          <cell r="C2753">
            <v>20483</v>
          </cell>
          <cell r="D2753" t="str">
            <v>sa4&amp;7</v>
          </cell>
          <cell r="E2753" t="str">
            <v>B</v>
          </cell>
          <cell r="F2753" t="str">
            <v>INTERMEDIATE TYPIST-CLERK</v>
          </cell>
          <cell r="G2753" t="str">
            <v>2214A</v>
          </cell>
          <cell r="H2753">
            <v>2675.27</v>
          </cell>
          <cell r="I2753">
            <v>1</v>
          </cell>
          <cell r="J2753">
            <v>12</v>
          </cell>
          <cell r="K2753">
            <v>1</v>
          </cell>
          <cell r="L2753">
            <v>32103.24</v>
          </cell>
        </row>
        <row r="2754">
          <cell r="A2754">
            <v>100683</v>
          </cell>
          <cell r="B2754">
            <v>20483</v>
          </cell>
          <cell r="C2754">
            <v>20483</v>
          </cell>
          <cell r="D2754" t="str">
            <v>sa4&amp;7</v>
          </cell>
          <cell r="E2754" t="str">
            <v>B</v>
          </cell>
          <cell r="F2754" t="str">
            <v>MENTAL HEALTH COUNSELOR, RN</v>
          </cell>
          <cell r="G2754" t="str">
            <v>5278A</v>
          </cell>
          <cell r="H2754">
            <v>6275.27</v>
          </cell>
          <cell r="I2754">
            <v>1</v>
          </cell>
          <cell r="J2754">
            <v>12</v>
          </cell>
          <cell r="K2754">
            <v>1</v>
          </cell>
          <cell r="L2754">
            <v>76804.323333333334</v>
          </cell>
        </row>
        <row r="2755">
          <cell r="A2755">
            <v>104463</v>
          </cell>
          <cell r="B2755">
            <v>20446</v>
          </cell>
          <cell r="C2755">
            <v>20483</v>
          </cell>
          <cell r="D2755" t="str">
            <v>sa4&amp;7</v>
          </cell>
          <cell r="E2755" t="str">
            <v>B</v>
          </cell>
          <cell r="F2755" t="str">
            <v>MENTAL HEALTH COUNSELOR, RN</v>
          </cell>
          <cell r="G2755" t="str">
            <v>5278A</v>
          </cell>
          <cell r="H2755">
            <v>6275.27</v>
          </cell>
          <cell r="I2755">
            <v>1</v>
          </cell>
          <cell r="J2755">
            <v>12</v>
          </cell>
          <cell r="K2755">
            <v>1</v>
          </cell>
          <cell r="L2755">
            <v>76804.323333333334</v>
          </cell>
        </row>
        <row r="2756">
          <cell r="A2756">
            <v>103059</v>
          </cell>
          <cell r="B2756">
            <v>18598</v>
          </cell>
          <cell r="C2756">
            <v>20483</v>
          </cell>
          <cell r="D2756" t="str">
            <v>sa4&amp;7</v>
          </cell>
          <cell r="E2756" t="str">
            <v>B</v>
          </cell>
          <cell r="F2756" t="str">
            <v>MENTAL HEALTH PSYCHIATRIST</v>
          </cell>
          <cell r="G2756" t="str">
            <v>4735A</v>
          </cell>
          <cell r="H2756">
            <v>12844</v>
          </cell>
          <cell r="I2756">
            <v>1</v>
          </cell>
          <cell r="J2756">
            <v>12</v>
          </cell>
          <cell r="K2756">
            <v>1</v>
          </cell>
          <cell r="L2756">
            <v>154128</v>
          </cell>
        </row>
        <row r="2757">
          <cell r="A2757">
            <v>103306</v>
          </cell>
          <cell r="B2757">
            <v>20443</v>
          </cell>
          <cell r="C2757">
            <v>20483</v>
          </cell>
          <cell r="D2757" t="str">
            <v>sa4&amp;7</v>
          </cell>
          <cell r="E2757" t="str">
            <v>B</v>
          </cell>
          <cell r="F2757" t="str">
            <v>MENTAL HEALTH PSYCHIATRIST</v>
          </cell>
          <cell r="G2757" t="str">
            <v>4735A</v>
          </cell>
          <cell r="H2757">
            <v>12844</v>
          </cell>
          <cell r="I2757">
            <v>1</v>
          </cell>
          <cell r="J2757">
            <v>12</v>
          </cell>
          <cell r="K2757">
            <v>1</v>
          </cell>
          <cell r="L2757">
            <v>154128</v>
          </cell>
        </row>
        <row r="2758">
          <cell r="A2758">
            <v>104410</v>
          </cell>
          <cell r="B2758">
            <v>20483</v>
          </cell>
          <cell r="C2758">
            <v>20483</v>
          </cell>
          <cell r="D2758" t="str">
            <v>sa4&amp;7</v>
          </cell>
          <cell r="E2758" t="str">
            <v>B</v>
          </cell>
          <cell r="F2758" t="str">
            <v>MENTAL HEALTH PSYCHIATRIST</v>
          </cell>
          <cell r="G2758" t="str">
            <v>4735A</v>
          </cell>
          <cell r="H2758">
            <v>12844</v>
          </cell>
          <cell r="I2758">
            <v>1</v>
          </cell>
          <cell r="J2758">
            <v>9</v>
          </cell>
          <cell r="K2758">
            <v>0.75</v>
          </cell>
          <cell r="L2758">
            <v>115596</v>
          </cell>
        </row>
        <row r="2759">
          <cell r="A2759">
            <v>104998</v>
          </cell>
          <cell r="B2759">
            <v>23005</v>
          </cell>
          <cell r="C2759">
            <v>20483</v>
          </cell>
          <cell r="D2759" t="str">
            <v>sa4&amp;7</v>
          </cell>
          <cell r="E2759" t="str">
            <v>B</v>
          </cell>
          <cell r="F2759" t="str">
            <v>MENTAL HEALTH PSYCHIATRIST</v>
          </cell>
          <cell r="G2759" t="str">
            <v>4735A</v>
          </cell>
          <cell r="H2759">
            <v>12844</v>
          </cell>
          <cell r="I2759">
            <v>1</v>
          </cell>
          <cell r="J2759">
            <v>2</v>
          </cell>
          <cell r="K2759">
            <v>0.16666666666666666</v>
          </cell>
          <cell r="L2759">
            <v>25688</v>
          </cell>
        </row>
        <row r="2760">
          <cell r="A2760">
            <v>106025</v>
          </cell>
          <cell r="B2760">
            <v>21533</v>
          </cell>
          <cell r="C2760">
            <v>20483</v>
          </cell>
          <cell r="D2760" t="str">
            <v>sa4&amp;7</v>
          </cell>
          <cell r="E2760" t="str">
            <v>B</v>
          </cell>
          <cell r="F2760" t="str">
            <v>MENTAL HEALTH PSYCHIATRIST</v>
          </cell>
          <cell r="G2760" t="str">
            <v>4735A</v>
          </cell>
          <cell r="H2760">
            <v>12844</v>
          </cell>
          <cell r="I2760">
            <v>1</v>
          </cell>
          <cell r="J2760">
            <v>12</v>
          </cell>
          <cell r="K2760">
            <v>1</v>
          </cell>
          <cell r="L2760">
            <v>154128</v>
          </cell>
        </row>
        <row r="2761">
          <cell r="A2761">
            <v>106310</v>
          </cell>
          <cell r="B2761">
            <v>20488</v>
          </cell>
          <cell r="C2761">
            <v>20483</v>
          </cell>
          <cell r="D2761" t="str">
            <v>sa4&amp;7</v>
          </cell>
          <cell r="E2761" t="str">
            <v>B</v>
          </cell>
          <cell r="F2761" t="str">
            <v>MENTAL HEALTH PSYCHIATRIST</v>
          </cell>
          <cell r="G2761" t="str">
            <v>4735A</v>
          </cell>
          <cell r="H2761">
            <v>12844</v>
          </cell>
          <cell r="I2761">
            <v>1</v>
          </cell>
          <cell r="J2761">
            <v>6</v>
          </cell>
          <cell r="K2761">
            <v>0.5</v>
          </cell>
          <cell r="L2761">
            <v>77064</v>
          </cell>
        </row>
        <row r="2762">
          <cell r="A2762">
            <v>102771</v>
          </cell>
          <cell r="B2762">
            <v>18677</v>
          </cell>
          <cell r="C2762">
            <v>20483</v>
          </cell>
          <cell r="D2762" t="str">
            <v>sa4&amp;7</v>
          </cell>
          <cell r="E2762" t="str">
            <v>B</v>
          </cell>
          <cell r="F2762" t="str">
            <v>MENTAL HEALTH SERVICES COORD II</v>
          </cell>
          <cell r="G2762" t="str">
            <v>8149N</v>
          </cell>
          <cell r="H2762">
            <v>5152.3599999999997</v>
          </cell>
          <cell r="I2762">
            <v>1</v>
          </cell>
          <cell r="J2762">
            <v>12</v>
          </cell>
          <cell r="K2762">
            <v>1</v>
          </cell>
          <cell r="L2762">
            <v>61828.72</v>
          </cell>
        </row>
        <row r="2763">
          <cell r="A2763">
            <v>102345</v>
          </cell>
          <cell r="B2763">
            <v>20481</v>
          </cell>
          <cell r="C2763">
            <v>20483</v>
          </cell>
          <cell r="D2763" t="str">
            <v>sa4&amp;7</v>
          </cell>
          <cell r="E2763" t="str">
            <v>B</v>
          </cell>
          <cell r="F2763" t="str">
            <v>MNTL HLTH CLINICAL PROGRAM HEAD</v>
          </cell>
          <cell r="G2763" t="str">
            <v>4726A</v>
          </cell>
          <cell r="H2763">
            <v>8709.73</v>
          </cell>
          <cell r="I2763">
            <v>1</v>
          </cell>
          <cell r="J2763">
            <v>12</v>
          </cell>
          <cell r="K2763">
            <v>1</v>
          </cell>
          <cell r="L2763">
            <v>104516.76</v>
          </cell>
        </row>
        <row r="2764">
          <cell r="A2764">
            <v>106163</v>
          </cell>
          <cell r="B2764">
            <v>18676</v>
          </cell>
          <cell r="C2764">
            <v>20483</v>
          </cell>
          <cell r="D2764" t="str">
            <v>sa4&amp;7</v>
          </cell>
          <cell r="E2764" t="str">
            <v>B</v>
          </cell>
          <cell r="F2764" t="str">
            <v xml:space="preserve">OCCUPATIONAL THERAPIST I </v>
          </cell>
          <cell r="G2764" t="str">
            <v>5856A</v>
          </cell>
          <cell r="H2764">
            <v>5756.27</v>
          </cell>
          <cell r="I2764">
            <v>1</v>
          </cell>
          <cell r="J2764">
            <v>12</v>
          </cell>
          <cell r="K2764">
            <v>1</v>
          </cell>
          <cell r="L2764">
            <v>68715.399999999994</v>
          </cell>
        </row>
        <row r="2765">
          <cell r="A2765">
            <v>102602</v>
          </cell>
          <cell r="B2765">
            <v>20483</v>
          </cell>
          <cell r="C2765">
            <v>20483</v>
          </cell>
          <cell r="D2765" t="str">
            <v>sa4&amp;7</v>
          </cell>
          <cell r="E2765" t="str">
            <v>B</v>
          </cell>
          <cell r="F2765" t="str">
            <v xml:space="preserve">PATIENT FINANCIAL SERVICES WORKER  </v>
          </cell>
          <cell r="G2765" t="str">
            <v>9193A</v>
          </cell>
          <cell r="H2765">
            <v>3403.55</v>
          </cell>
          <cell r="I2765">
            <v>1</v>
          </cell>
          <cell r="J2765">
            <v>12</v>
          </cell>
          <cell r="K2765">
            <v>1</v>
          </cell>
          <cell r="L2765">
            <v>40842.6</v>
          </cell>
        </row>
        <row r="2766">
          <cell r="A2766">
            <v>109199</v>
          </cell>
          <cell r="B2766">
            <v>27506</v>
          </cell>
          <cell r="C2766">
            <v>20483</v>
          </cell>
          <cell r="D2766" t="str">
            <v>sa4&amp;7</v>
          </cell>
          <cell r="E2766" t="str">
            <v>B</v>
          </cell>
          <cell r="F2766" t="str">
            <v>PATIENT RESOURCES WORKER</v>
          </cell>
          <cell r="G2766" t="str">
            <v>9192A</v>
          </cell>
          <cell r="H2766">
            <v>2748.27</v>
          </cell>
          <cell r="I2766">
            <v>1</v>
          </cell>
          <cell r="J2766">
            <v>12</v>
          </cell>
          <cell r="K2766">
            <v>1</v>
          </cell>
          <cell r="L2766">
            <v>32979.24</v>
          </cell>
        </row>
        <row r="2767">
          <cell r="A2767">
            <v>109752</v>
          </cell>
          <cell r="B2767">
            <v>20483</v>
          </cell>
          <cell r="C2767">
            <v>20483</v>
          </cell>
          <cell r="D2767" t="str">
            <v>sa4&amp;7</v>
          </cell>
          <cell r="E2767" t="str">
            <v>B</v>
          </cell>
          <cell r="F2767" t="str">
            <v>PATIENT RESOURCES WORKER</v>
          </cell>
          <cell r="G2767" t="str">
            <v>9192A</v>
          </cell>
          <cell r="H2767">
            <v>2748.27</v>
          </cell>
          <cell r="I2767">
            <v>1</v>
          </cell>
          <cell r="J2767">
            <v>12</v>
          </cell>
          <cell r="K2767">
            <v>1</v>
          </cell>
          <cell r="L2767">
            <v>32979.24</v>
          </cell>
        </row>
        <row r="2768">
          <cell r="A2768">
            <v>100992</v>
          </cell>
          <cell r="B2768">
            <v>20483</v>
          </cell>
          <cell r="C2768">
            <v>20483</v>
          </cell>
          <cell r="D2768" t="str">
            <v>sa4&amp;7</v>
          </cell>
          <cell r="E2768" t="str">
            <v>B</v>
          </cell>
          <cell r="F2768" t="str">
            <v>PSYCHIATRIC SOCIAL WORKER II</v>
          </cell>
          <cell r="G2768" t="str">
            <v>9035A</v>
          </cell>
          <cell r="H2768">
            <v>5425.82</v>
          </cell>
          <cell r="I2768">
            <v>1</v>
          </cell>
          <cell r="J2768">
            <v>12</v>
          </cell>
          <cell r="K2768">
            <v>1</v>
          </cell>
          <cell r="L2768">
            <v>65109.84</v>
          </cell>
        </row>
        <row r="2769">
          <cell r="A2769">
            <v>100993</v>
          </cell>
          <cell r="B2769">
            <v>20483</v>
          </cell>
          <cell r="C2769">
            <v>20483</v>
          </cell>
          <cell r="D2769" t="str">
            <v>sa4&amp;7</v>
          </cell>
          <cell r="E2769" t="str">
            <v>B</v>
          </cell>
          <cell r="F2769" t="str">
            <v>PSYCHIATRIC SOCIAL WORKER II</v>
          </cell>
          <cell r="G2769" t="str">
            <v>9035A</v>
          </cell>
          <cell r="H2769">
            <v>5425.82</v>
          </cell>
          <cell r="I2769">
            <v>1</v>
          </cell>
          <cell r="J2769">
            <v>12</v>
          </cell>
          <cell r="K2769">
            <v>1</v>
          </cell>
          <cell r="L2769">
            <v>65109.84</v>
          </cell>
        </row>
        <row r="2770">
          <cell r="A2770">
            <v>103063</v>
          </cell>
          <cell r="B2770">
            <v>18598</v>
          </cell>
          <cell r="C2770">
            <v>20483</v>
          </cell>
          <cell r="D2770" t="str">
            <v>sa4&amp;7</v>
          </cell>
          <cell r="E2770" t="str">
            <v>B</v>
          </cell>
          <cell r="F2770" t="str">
            <v>PSYCHIATRIC SOCIAL WORKER II</v>
          </cell>
          <cell r="G2770" t="str">
            <v>9035A</v>
          </cell>
          <cell r="H2770">
            <v>5425.82</v>
          </cell>
          <cell r="I2770">
            <v>1</v>
          </cell>
          <cell r="J2770">
            <v>12</v>
          </cell>
          <cell r="K2770">
            <v>1</v>
          </cell>
          <cell r="L2770">
            <v>65109.84</v>
          </cell>
        </row>
        <row r="2771">
          <cell r="A2771">
            <v>103960</v>
          </cell>
          <cell r="B2771">
            <v>20483</v>
          </cell>
          <cell r="C2771">
            <v>20483</v>
          </cell>
          <cell r="D2771" t="str">
            <v>sa4&amp;7</v>
          </cell>
          <cell r="E2771" t="str">
            <v>B</v>
          </cell>
          <cell r="F2771" t="str">
            <v>PSYCHIATRIC SOCIAL WORKER II</v>
          </cell>
          <cell r="G2771" t="str">
            <v>9035A</v>
          </cell>
          <cell r="H2771">
            <v>5425.82</v>
          </cell>
          <cell r="I2771">
            <v>1</v>
          </cell>
          <cell r="J2771">
            <v>12</v>
          </cell>
          <cell r="K2771">
            <v>1</v>
          </cell>
          <cell r="L2771">
            <v>65109.84</v>
          </cell>
        </row>
        <row r="2772">
          <cell r="A2772">
            <v>104169</v>
          </cell>
          <cell r="B2772">
            <v>20477</v>
          </cell>
          <cell r="C2772">
            <v>20483</v>
          </cell>
          <cell r="D2772" t="str">
            <v>sa4&amp;7</v>
          </cell>
          <cell r="E2772" t="str">
            <v>B</v>
          </cell>
          <cell r="F2772" t="str">
            <v>PSYCHIATRIC SOCIAL WORKER II</v>
          </cell>
          <cell r="G2772" t="str">
            <v>9035A</v>
          </cell>
          <cell r="H2772">
            <v>5425.82</v>
          </cell>
          <cell r="I2772">
            <v>1</v>
          </cell>
          <cell r="J2772">
            <v>12</v>
          </cell>
          <cell r="K2772">
            <v>1</v>
          </cell>
          <cell r="L2772">
            <v>65109.84</v>
          </cell>
        </row>
        <row r="2773">
          <cell r="A2773">
            <v>104184</v>
          </cell>
          <cell r="B2773">
            <v>20477</v>
          </cell>
          <cell r="C2773">
            <v>20483</v>
          </cell>
          <cell r="D2773" t="str">
            <v>sa4&amp;7</v>
          </cell>
          <cell r="E2773" t="str">
            <v>B</v>
          </cell>
          <cell r="F2773" t="str">
            <v>PSYCHIATRIC SOCIAL WORKER II</v>
          </cell>
          <cell r="G2773" t="str">
            <v>9035A</v>
          </cell>
          <cell r="H2773">
            <v>5425.82</v>
          </cell>
          <cell r="I2773">
            <v>1</v>
          </cell>
          <cell r="J2773">
            <v>12</v>
          </cell>
          <cell r="K2773">
            <v>1</v>
          </cell>
          <cell r="L2773">
            <v>65109.84</v>
          </cell>
        </row>
        <row r="2774">
          <cell r="A2774">
            <v>104185</v>
          </cell>
          <cell r="B2774">
            <v>20483</v>
          </cell>
          <cell r="C2774">
            <v>20483</v>
          </cell>
          <cell r="D2774" t="str">
            <v>sa4&amp;7</v>
          </cell>
          <cell r="E2774" t="str">
            <v>B</v>
          </cell>
          <cell r="F2774" t="str">
            <v>PSYCHIATRIC SOCIAL WORKER II</v>
          </cell>
          <cell r="G2774" t="str">
            <v>9035A</v>
          </cell>
          <cell r="H2774">
            <v>5425.82</v>
          </cell>
          <cell r="I2774">
            <v>1</v>
          </cell>
          <cell r="J2774">
            <v>12</v>
          </cell>
          <cell r="K2774">
            <v>1</v>
          </cell>
          <cell r="L2774">
            <v>65109.84</v>
          </cell>
        </row>
        <row r="2775">
          <cell r="A2775">
            <v>106639</v>
          </cell>
          <cell r="B2775">
            <v>18676</v>
          </cell>
          <cell r="C2775">
            <v>20483</v>
          </cell>
          <cell r="D2775" t="str">
            <v>sa4&amp;7</v>
          </cell>
          <cell r="E2775" t="str">
            <v>B</v>
          </cell>
          <cell r="F2775" t="str">
            <v>PSYCHIATRIC SOCIAL WORKER II</v>
          </cell>
          <cell r="G2775" t="str">
            <v>9035A</v>
          </cell>
          <cell r="H2775">
            <v>5425.82</v>
          </cell>
          <cell r="I2775">
            <v>1</v>
          </cell>
          <cell r="J2775">
            <v>12</v>
          </cell>
          <cell r="K2775">
            <v>1</v>
          </cell>
          <cell r="L2775">
            <v>65109.84</v>
          </cell>
        </row>
        <row r="2776">
          <cell r="A2776">
            <v>101254</v>
          </cell>
          <cell r="B2776">
            <v>20483</v>
          </cell>
          <cell r="C2776">
            <v>20483</v>
          </cell>
          <cell r="D2776" t="str">
            <v>sa4&amp;7</v>
          </cell>
          <cell r="E2776" t="str">
            <v>B</v>
          </cell>
          <cell r="F2776" t="str">
            <v>PSYCHIATRIC TECHNICIAN II</v>
          </cell>
          <cell r="G2776" t="str">
            <v>8162A</v>
          </cell>
          <cell r="H2776">
            <v>3420.09</v>
          </cell>
          <cell r="I2776">
            <v>1</v>
          </cell>
          <cell r="J2776">
            <v>12</v>
          </cell>
          <cell r="K2776">
            <v>1</v>
          </cell>
          <cell r="L2776">
            <v>41041.08</v>
          </cell>
        </row>
        <row r="2777">
          <cell r="A2777">
            <v>104003</v>
          </cell>
          <cell r="B2777">
            <v>20483</v>
          </cell>
          <cell r="C2777">
            <v>20483</v>
          </cell>
          <cell r="D2777" t="str">
            <v>sa4&amp;7</v>
          </cell>
          <cell r="E2777" t="str">
            <v>B</v>
          </cell>
          <cell r="F2777" t="str">
            <v>PSYCHIATRIC TECHNICIAN II</v>
          </cell>
          <cell r="G2777" t="str">
            <v>8162A</v>
          </cell>
          <cell r="H2777">
            <v>3420.09</v>
          </cell>
          <cell r="I2777">
            <v>1</v>
          </cell>
          <cell r="J2777">
            <v>6</v>
          </cell>
          <cell r="K2777">
            <v>0.5</v>
          </cell>
          <cell r="L2777">
            <v>20520.54</v>
          </cell>
        </row>
        <row r="2778">
          <cell r="A2778">
            <v>106043</v>
          </cell>
          <cell r="B2778">
            <v>21533</v>
          </cell>
          <cell r="C2778">
            <v>20483</v>
          </cell>
          <cell r="D2778" t="str">
            <v>sa4&amp;7</v>
          </cell>
          <cell r="E2778" t="str">
            <v>B</v>
          </cell>
          <cell r="F2778" t="str">
            <v>REHABILITATION COUNSELOR II</v>
          </cell>
          <cell r="G2778" t="str">
            <v>8593A</v>
          </cell>
          <cell r="H2778">
            <v>4076.09</v>
          </cell>
          <cell r="I2778">
            <v>1</v>
          </cell>
          <cell r="J2778">
            <v>12</v>
          </cell>
          <cell r="K2778">
            <v>1</v>
          </cell>
          <cell r="L2778">
            <v>48922.8</v>
          </cell>
        </row>
        <row r="2779">
          <cell r="A2779">
            <v>101442</v>
          </cell>
          <cell r="B2779">
            <v>20483</v>
          </cell>
          <cell r="C2779">
            <v>20483</v>
          </cell>
          <cell r="D2779" t="str">
            <v>sa4&amp;7</v>
          </cell>
          <cell r="E2779" t="str">
            <v>B</v>
          </cell>
          <cell r="F2779" t="str">
            <v xml:space="preserve">SENIOR COMMUNITY WORKER II         </v>
          </cell>
          <cell r="G2779" t="str">
            <v>8105A</v>
          </cell>
          <cell r="H2779">
            <v>3428.36</v>
          </cell>
          <cell r="I2779">
            <v>1</v>
          </cell>
          <cell r="J2779">
            <v>12</v>
          </cell>
          <cell r="K2779">
            <v>1</v>
          </cell>
          <cell r="L2779">
            <v>41140.32</v>
          </cell>
        </row>
        <row r="2780">
          <cell r="A2780">
            <v>102363</v>
          </cell>
          <cell r="B2780">
            <v>20483</v>
          </cell>
          <cell r="C2780">
            <v>20483</v>
          </cell>
          <cell r="D2780" t="str">
            <v>sa4&amp;7</v>
          </cell>
          <cell r="E2780" t="str">
            <v>B</v>
          </cell>
          <cell r="F2780" t="str">
            <v xml:space="preserve">SENIOR COMMUNITY WORKER II         </v>
          </cell>
          <cell r="G2780" t="str">
            <v>8105A</v>
          </cell>
          <cell r="H2780">
            <v>3428.36</v>
          </cell>
          <cell r="I2780">
            <v>1</v>
          </cell>
          <cell r="J2780">
            <v>12</v>
          </cell>
          <cell r="K2780">
            <v>1</v>
          </cell>
          <cell r="L2780">
            <v>41140.32</v>
          </cell>
        </row>
        <row r="2781">
          <cell r="A2781">
            <v>101453</v>
          </cell>
          <cell r="B2781">
            <v>20483</v>
          </cell>
          <cell r="C2781">
            <v>20483</v>
          </cell>
          <cell r="D2781" t="str">
            <v>sa4&amp;7</v>
          </cell>
          <cell r="E2781" t="str">
            <v>B</v>
          </cell>
          <cell r="F2781" t="str">
            <v>SENIOR MENTAL HEALTH COUNSELOR, RN</v>
          </cell>
          <cell r="G2781" t="str">
            <v>5280A</v>
          </cell>
          <cell r="H2781">
            <v>6790.09</v>
          </cell>
          <cell r="I2781">
            <v>1</v>
          </cell>
          <cell r="J2781">
            <v>12</v>
          </cell>
          <cell r="K2781">
            <v>1</v>
          </cell>
          <cell r="L2781">
            <v>83105.40203389831</v>
          </cell>
        </row>
        <row r="2782">
          <cell r="A2782">
            <v>101463</v>
          </cell>
          <cell r="B2782">
            <v>20483</v>
          </cell>
          <cell r="C2782">
            <v>20483</v>
          </cell>
          <cell r="D2782" t="str">
            <v>sa4&amp;7</v>
          </cell>
          <cell r="E2782" t="str">
            <v>B</v>
          </cell>
          <cell r="F2782" t="str">
            <v>SENIOR MENTAL HEALTH COUNSELOR, RN</v>
          </cell>
          <cell r="G2782" t="str">
            <v>5280A</v>
          </cell>
          <cell r="H2782">
            <v>6790.09</v>
          </cell>
          <cell r="I2782">
            <v>1</v>
          </cell>
          <cell r="J2782">
            <v>12</v>
          </cell>
          <cell r="K2782">
            <v>1</v>
          </cell>
          <cell r="L2782">
            <v>83105.40203389831</v>
          </cell>
        </row>
        <row r="2783">
          <cell r="A2783">
            <v>101501</v>
          </cell>
          <cell r="B2783">
            <v>20483</v>
          </cell>
          <cell r="C2783">
            <v>20483</v>
          </cell>
          <cell r="D2783" t="str">
            <v>sa4&amp;7</v>
          </cell>
          <cell r="E2783" t="str">
            <v>B</v>
          </cell>
          <cell r="F2783" t="str">
            <v xml:space="preserve">SENIOR TYPIST-CLERK                </v>
          </cell>
          <cell r="G2783" t="str">
            <v>2216A</v>
          </cell>
          <cell r="H2783">
            <v>3013.55</v>
          </cell>
          <cell r="I2783">
            <v>1</v>
          </cell>
          <cell r="J2783">
            <v>12</v>
          </cell>
          <cell r="K2783">
            <v>1</v>
          </cell>
          <cell r="L2783">
            <v>36162.6</v>
          </cell>
        </row>
        <row r="2784">
          <cell r="A2784">
            <v>102365</v>
          </cell>
          <cell r="B2784">
            <v>20483</v>
          </cell>
          <cell r="C2784">
            <v>20483</v>
          </cell>
          <cell r="D2784" t="str">
            <v>sa4&amp;7</v>
          </cell>
          <cell r="E2784" t="str">
            <v>B</v>
          </cell>
          <cell r="F2784" t="str">
            <v xml:space="preserve">SENIOR TYPIST-CLERK                </v>
          </cell>
          <cell r="G2784" t="str">
            <v>2216A</v>
          </cell>
          <cell r="H2784">
            <v>3013.55</v>
          </cell>
          <cell r="I2784">
            <v>1</v>
          </cell>
          <cell r="J2784">
            <v>12</v>
          </cell>
          <cell r="K2784">
            <v>1</v>
          </cell>
          <cell r="L2784">
            <v>36162.6</v>
          </cell>
        </row>
        <row r="2785">
          <cell r="A2785">
            <v>102487</v>
          </cell>
          <cell r="B2785">
            <v>20465</v>
          </cell>
          <cell r="C2785">
            <v>20483</v>
          </cell>
          <cell r="D2785" t="str">
            <v>sa4&amp;7</v>
          </cell>
          <cell r="E2785" t="str">
            <v>B</v>
          </cell>
          <cell r="F2785" t="str">
            <v xml:space="preserve">SENIOR TYPIST-CLERK                </v>
          </cell>
          <cell r="G2785" t="str">
            <v>2216A</v>
          </cell>
          <cell r="H2785">
            <v>3013.55</v>
          </cell>
          <cell r="I2785">
            <v>1</v>
          </cell>
          <cell r="J2785">
            <v>12</v>
          </cell>
          <cell r="K2785">
            <v>1</v>
          </cell>
          <cell r="L2785">
            <v>36162.6</v>
          </cell>
        </row>
        <row r="2786">
          <cell r="A2786">
            <v>102769</v>
          </cell>
          <cell r="B2786">
            <v>20483</v>
          </cell>
          <cell r="C2786">
            <v>20483</v>
          </cell>
          <cell r="D2786" t="str">
            <v>sa4&amp;7</v>
          </cell>
          <cell r="E2786" t="str">
            <v>B</v>
          </cell>
          <cell r="F2786" t="str">
            <v xml:space="preserve">SR COMMUN MENTAL HLTH PSYCHOLOGIST </v>
          </cell>
          <cell r="G2786" t="str">
            <v>8712A</v>
          </cell>
          <cell r="H2786">
            <v>7311.45</v>
          </cell>
          <cell r="I2786">
            <v>1</v>
          </cell>
          <cell r="J2786">
            <v>12</v>
          </cell>
          <cell r="K2786">
            <v>1</v>
          </cell>
          <cell r="L2786">
            <v>87737.16</v>
          </cell>
        </row>
        <row r="2787">
          <cell r="A2787">
            <v>101520</v>
          </cell>
          <cell r="B2787">
            <v>20483</v>
          </cell>
          <cell r="C2787">
            <v>20483</v>
          </cell>
          <cell r="D2787" t="str">
            <v>sa4&amp;7</v>
          </cell>
          <cell r="E2787" t="str">
            <v>B</v>
          </cell>
          <cell r="F2787" t="str">
            <v xml:space="preserve">STAFF ASSISTANT I                  </v>
          </cell>
          <cell r="G2787" t="str">
            <v>0907A</v>
          </cell>
          <cell r="H2787">
            <v>3453.18</v>
          </cell>
          <cell r="I2787">
            <v>1</v>
          </cell>
          <cell r="J2787">
            <v>12</v>
          </cell>
          <cell r="K2787">
            <v>1</v>
          </cell>
          <cell r="L2787">
            <v>41438.480000000003</v>
          </cell>
        </row>
        <row r="2788">
          <cell r="A2788">
            <v>103637</v>
          </cell>
          <cell r="B2788">
            <v>18634</v>
          </cell>
          <cell r="C2788">
            <v>20483</v>
          </cell>
          <cell r="D2788" t="str">
            <v>sa4&amp;7</v>
          </cell>
          <cell r="E2788" t="str">
            <v>B</v>
          </cell>
          <cell r="F2788" t="str">
            <v xml:space="preserve">SUPVG MENTAL HEALTH PSYCHIATRIST   </v>
          </cell>
          <cell r="G2788" t="str">
            <v>4737A</v>
          </cell>
          <cell r="H2788">
            <v>13870</v>
          </cell>
          <cell r="I2788">
            <v>1</v>
          </cell>
          <cell r="J2788">
            <v>12</v>
          </cell>
          <cell r="K2788">
            <v>1</v>
          </cell>
          <cell r="L2788">
            <v>166440</v>
          </cell>
        </row>
        <row r="2789">
          <cell r="A2789">
            <v>101633</v>
          </cell>
          <cell r="B2789">
            <v>20483</v>
          </cell>
          <cell r="C2789">
            <v>20483</v>
          </cell>
          <cell r="D2789" t="str">
            <v>sa4&amp;7</v>
          </cell>
          <cell r="E2789" t="str">
            <v>B</v>
          </cell>
          <cell r="F2789" t="str">
            <v xml:space="preserve">TRANSCRIBER TYPIST                 </v>
          </cell>
          <cell r="G2789" t="str">
            <v>2201A</v>
          </cell>
          <cell r="H2789">
            <v>2906</v>
          </cell>
          <cell r="I2789">
            <v>1</v>
          </cell>
          <cell r="J2789">
            <v>12</v>
          </cell>
          <cell r="K2789">
            <v>1</v>
          </cell>
          <cell r="L2789">
            <v>34872</v>
          </cell>
        </row>
        <row r="2790">
          <cell r="A2790">
            <v>104284</v>
          </cell>
          <cell r="B2790">
            <v>20477</v>
          </cell>
          <cell r="C2790">
            <v>20450</v>
          </cell>
          <cell r="D2790" t="str">
            <v>sa4&amp;7</v>
          </cell>
          <cell r="E2790" t="str">
            <v>B</v>
          </cell>
          <cell r="F2790" t="str">
            <v>CLINICAL PSYCHOLOGIST II</v>
          </cell>
          <cell r="G2790" t="str">
            <v>8697A</v>
          </cell>
          <cell r="H2790">
            <v>6993.82</v>
          </cell>
          <cell r="I2790">
            <v>1</v>
          </cell>
          <cell r="J2790">
            <v>12</v>
          </cell>
          <cell r="K2790">
            <v>1</v>
          </cell>
          <cell r="L2790">
            <v>83925.52</v>
          </cell>
        </row>
        <row r="2791">
          <cell r="A2791">
            <v>106348</v>
          </cell>
          <cell r="B2791">
            <v>21564</v>
          </cell>
          <cell r="C2791">
            <v>20450</v>
          </cell>
          <cell r="D2791" t="str">
            <v>sa4&amp;7</v>
          </cell>
          <cell r="E2791" t="str">
            <v>B</v>
          </cell>
          <cell r="F2791" t="str">
            <v>CLINICAL PSYCHOLOGIST II</v>
          </cell>
          <cell r="G2791" t="str">
            <v>8697A</v>
          </cell>
          <cell r="H2791">
            <v>6993.82</v>
          </cell>
          <cell r="I2791">
            <v>1</v>
          </cell>
          <cell r="J2791">
            <v>12</v>
          </cell>
          <cell r="K2791">
            <v>1</v>
          </cell>
          <cell r="L2791">
            <v>83925.52</v>
          </cell>
        </row>
        <row r="2792">
          <cell r="A2792">
            <v>109394</v>
          </cell>
          <cell r="B2792">
            <v>20450</v>
          </cell>
          <cell r="C2792">
            <v>20450</v>
          </cell>
          <cell r="D2792" t="str">
            <v>sa4&amp;7</v>
          </cell>
          <cell r="E2792" t="str">
            <v>B</v>
          </cell>
          <cell r="F2792" t="str">
            <v>CLINICAL PSYCHOLOGIST II</v>
          </cell>
          <cell r="G2792" t="str">
            <v>8697A</v>
          </cell>
          <cell r="H2792">
            <v>6993.82</v>
          </cell>
          <cell r="I2792">
            <v>1</v>
          </cell>
          <cell r="J2792">
            <v>12</v>
          </cell>
          <cell r="K2792">
            <v>1</v>
          </cell>
          <cell r="L2792">
            <v>83925.84</v>
          </cell>
        </row>
        <row r="2793">
          <cell r="A2793">
            <v>109395</v>
          </cell>
          <cell r="B2793">
            <v>20450</v>
          </cell>
          <cell r="C2793">
            <v>20450</v>
          </cell>
          <cell r="D2793" t="str">
            <v>sa4&amp;7</v>
          </cell>
          <cell r="E2793" t="str">
            <v>B</v>
          </cell>
          <cell r="F2793" t="str">
            <v>CLINICAL PSYCHOLOGIST II</v>
          </cell>
          <cell r="G2793" t="str">
            <v>8697A</v>
          </cell>
          <cell r="H2793">
            <v>6993.82</v>
          </cell>
          <cell r="I2793">
            <v>1</v>
          </cell>
          <cell r="J2793">
            <v>12</v>
          </cell>
          <cell r="K2793">
            <v>1</v>
          </cell>
          <cell r="L2793">
            <v>83925.84</v>
          </cell>
        </row>
        <row r="2794">
          <cell r="A2794">
            <v>100164</v>
          </cell>
          <cell r="B2794">
            <v>20679</v>
          </cell>
          <cell r="C2794">
            <v>20450</v>
          </cell>
          <cell r="D2794" t="str">
            <v>sa4&amp;7</v>
          </cell>
          <cell r="E2794" t="str">
            <v>B</v>
          </cell>
          <cell r="F2794" t="str">
            <v>COMMUNITY MENTAL HEALTH PSYCHOLOGIST</v>
          </cell>
          <cell r="G2794" t="str">
            <v>8711A</v>
          </cell>
          <cell r="H2794">
            <v>6942.55</v>
          </cell>
          <cell r="I2794">
            <v>1</v>
          </cell>
          <cell r="J2794">
            <v>12</v>
          </cell>
          <cell r="K2794">
            <v>1</v>
          </cell>
          <cell r="L2794">
            <v>83310.2</v>
          </cell>
        </row>
        <row r="2795">
          <cell r="A2795">
            <v>102856</v>
          </cell>
          <cell r="B2795">
            <v>20981</v>
          </cell>
          <cell r="C2795">
            <v>20450</v>
          </cell>
          <cell r="D2795" t="str">
            <v>sa4&amp;7</v>
          </cell>
          <cell r="E2795" t="str">
            <v>B</v>
          </cell>
          <cell r="F2795" t="str">
            <v>MENTAL HEALTH COUNSELOR, RN</v>
          </cell>
          <cell r="G2795" t="str">
            <v>5278A</v>
          </cell>
          <cell r="H2795">
            <v>6275.27</v>
          </cell>
          <cell r="I2795">
            <v>1</v>
          </cell>
          <cell r="J2795">
            <v>12</v>
          </cell>
          <cell r="K2795">
            <v>1</v>
          </cell>
          <cell r="L2795">
            <v>76804.323333333334</v>
          </cell>
        </row>
        <row r="2796">
          <cell r="A2796">
            <v>102861</v>
          </cell>
          <cell r="B2796">
            <v>20450</v>
          </cell>
          <cell r="C2796">
            <v>20450</v>
          </cell>
          <cell r="D2796" t="str">
            <v>sa4&amp;7</v>
          </cell>
          <cell r="E2796" t="str">
            <v>B</v>
          </cell>
          <cell r="F2796" t="str">
            <v>MENTAL HEALTH COUNSELOR, RN</v>
          </cell>
          <cell r="G2796" t="str">
            <v>5278A</v>
          </cell>
          <cell r="H2796">
            <v>6275.27</v>
          </cell>
          <cell r="I2796">
            <v>1</v>
          </cell>
          <cell r="J2796">
            <v>6</v>
          </cell>
          <cell r="K2796">
            <v>0.5</v>
          </cell>
          <cell r="L2796">
            <v>35373.241666666661</v>
          </cell>
        </row>
        <row r="2797">
          <cell r="A2797">
            <v>102862</v>
          </cell>
          <cell r="B2797">
            <v>20450</v>
          </cell>
          <cell r="C2797">
            <v>20450</v>
          </cell>
          <cell r="D2797" t="str">
            <v>sa4&amp;7</v>
          </cell>
          <cell r="E2797" t="str">
            <v>B</v>
          </cell>
          <cell r="F2797" t="str">
            <v>MENTAL HEALTH COUNSELOR, RN</v>
          </cell>
          <cell r="G2797" t="str">
            <v>5278A</v>
          </cell>
          <cell r="H2797">
            <v>6275.27</v>
          </cell>
          <cell r="I2797">
            <v>1</v>
          </cell>
          <cell r="J2797">
            <v>12</v>
          </cell>
          <cell r="K2797">
            <v>1</v>
          </cell>
          <cell r="L2797">
            <v>76804.323333333334</v>
          </cell>
        </row>
        <row r="2798">
          <cell r="A2798">
            <v>102864</v>
          </cell>
          <cell r="B2798">
            <v>20450</v>
          </cell>
          <cell r="C2798">
            <v>20450</v>
          </cell>
          <cell r="D2798" t="str">
            <v>sa4&amp;7</v>
          </cell>
          <cell r="E2798" t="str">
            <v>B</v>
          </cell>
          <cell r="F2798" t="str">
            <v>MENTAL HEALTH COUNSELOR, RN</v>
          </cell>
          <cell r="G2798" t="str">
            <v>5278A</v>
          </cell>
          <cell r="H2798">
            <v>6275.27</v>
          </cell>
          <cell r="I2798">
            <v>1</v>
          </cell>
          <cell r="J2798">
            <v>12</v>
          </cell>
          <cell r="K2798">
            <v>1</v>
          </cell>
          <cell r="L2798">
            <v>76804.323333333334</v>
          </cell>
        </row>
        <row r="2799">
          <cell r="A2799">
            <v>103561</v>
          </cell>
          <cell r="B2799">
            <v>20450</v>
          </cell>
          <cell r="C2799">
            <v>20450</v>
          </cell>
          <cell r="D2799" t="str">
            <v>sa4&amp;7</v>
          </cell>
          <cell r="E2799" t="str">
            <v>B</v>
          </cell>
          <cell r="F2799" t="str">
            <v>MENTAL HEALTH COUNSELOR, RN</v>
          </cell>
          <cell r="G2799" t="str">
            <v>5278A</v>
          </cell>
          <cell r="H2799">
            <v>6275.27</v>
          </cell>
          <cell r="I2799">
            <v>1</v>
          </cell>
          <cell r="J2799">
            <v>12</v>
          </cell>
          <cell r="K2799">
            <v>1</v>
          </cell>
          <cell r="L2799">
            <v>76804.323333333334</v>
          </cell>
        </row>
        <row r="2800">
          <cell r="A2800">
            <v>103564</v>
          </cell>
          <cell r="B2800">
            <v>20450</v>
          </cell>
          <cell r="C2800">
            <v>20450</v>
          </cell>
          <cell r="D2800" t="str">
            <v>sa4&amp;7</v>
          </cell>
          <cell r="E2800" t="str">
            <v>B</v>
          </cell>
          <cell r="F2800" t="str">
            <v>MENTAL HEALTH COUNSELOR, RN</v>
          </cell>
          <cell r="G2800" t="str">
            <v>5278A</v>
          </cell>
          <cell r="H2800">
            <v>6275.27</v>
          </cell>
          <cell r="I2800">
            <v>1</v>
          </cell>
          <cell r="J2800">
            <v>6</v>
          </cell>
          <cell r="K2800">
            <v>0.5</v>
          </cell>
          <cell r="L2800">
            <v>38402.161666666667</v>
          </cell>
        </row>
        <row r="2801">
          <cell r="A2801">
            <v>104296</v>
          </cell>
          <cell r="B2801">
            <v>23001</v>
          </cell>
          <cell r="C2801">
            <v>20450</v>
          </cell>
          <cell r="D2801" t="str">
            <v>sa4&amp;7</v>
          </cell>
          <cell r="E2801" t="str">
            <v>B</v>
          </cell>
          <cell r="F2801" t="str">
            <v>MENTAL HEALTH COUNSELOR, RN</v>
          </cell>
          <cell r="G2801" t="str">
            <v>5278A</v>
          </cell>
          <cell r="H2801">
            <v>6275.27</v>
          </cell>
          <cell r="I2801">
            <v>1</v>
          </cell>
          <cell r="J2801">
            <v>12</v>
          </cell>
          <cell r="K2801">
            <v>1</v>
          </cell>
          <cell r="L2801">
            <v>76804.323333333334</v>
          </cell>
        </row>
        <row r="2802">
          <cell r="A2802">
            <v>104648</v>
          </cell>
          <cell r="B2802">
            <v>20450</v>
          </cell>
          <cell r="C2802">
            <v>20450</v>
          </cell>
          <cell r="D2802" t="str">
            <v>sa4&amp;7</v>
          </cell>
          <cell r="E2802" t="str">
            <v>B</v>
          </cell>
          <cell r="F2802" t="str">
            <v>MENTAL HEALTH COUNSELOR, RN</v>
          </cell>
          <cell r="G2802" t="str">
            <v>5278A</v>
          </cell>
          <cell r="H2802">
            <v>6275.27</v>
          </cell>
          <cell r="I2802">
            <v>1</v>
          </cell>
          <cell r="J2802">
            <v>12</v>
          </cell>
          <cell r="K2802">
            <v>1</v>
          </cell>
          <cell r="L2802">
            <v>76804.323333333334</v>
          </cell>
        </row>
        <row r="2803">
          <cell r="A2803">
            <v>104649</v>
          </cell>
          <cell r="B2803">
            <v>20450</v>
          </cell>
          <cell r="C2803">
            <v>20450</v>
          </cell>
          <cell r="D2803" t="str">
            <v>sa4&amp;7</v>
          </cell>
          <cell r="E2803" t="str">
            <v>B</v>
          </cell>
          <cell r="F2803" t="str">
            <v>MENTAL HEALTH COUNSELOR, RN</v>
          </cell>
          <cell r="G2803" t="str">
            <v>5278A</v>
          </cell>
          <cell r="H2803">
            <v>6275.27</v>
          </cell>
          <cell r="I2803">
            <v>1</v>
          </cell>
          <cell r="J2803">
            <v>12</v>
          </cell>
          <cell r="K2803">
            <v>1</v>
          </cell>
          <cell r="L2803">
            <v>76804.323333333334</v>
          </cell>
        </row>
        <row r="2804">
          <cell r="A2804">
            <v>109396</v>
          </cell>
          <cell r="B2804">
            <v>20450</v>
          </cell>
          <cell r="C2804">
            <v>20450</v>
          </cell>
          <cell r="D2804" t="str">
            <v>sa4&amp;7</v>
          </cell>
          <cell r="E2804" t="str">
            <v>B</v>
          </cell>
          <cell r="F2804" t="str">
            <v>MENTAL HEALTH COUNSELOR, RN</v>
          </cell>
          <cell r="G2804" t="str">
            <v>5278A</v>
          </cell>
          <cell r="H2804">
            <v>6275.27</v>
          </cell>
          <cell r="I2804">
            <v>1</v>
          </cell>
          <cell r="J2804">
            <v>12</v>
          </cell>
          <cell r="K2804">
            <v>1</v>
          </cell>
          <cell r="L2804">
            <v>82862.163333333345</v>
          </cell>
        </row>
        <row r="2805">
          <cell r="A2805">
            <v>109397</v>
          </cell>
          <cell r="B2805">
            <v>20450</v>
          </cell>
          <cell r="C2805">
            <v>20450</v>
          </cell>
          <cell r="D2805" t="str">
            <v>sa4&amp;7</v>
          </cell>
          <cell r="E2805" t="str">
            <v>B</v>
          </cell>
          <cell r="F2805" t="str">
            <v>MENTAL HEALTH COUNSELOR, RN</v>
          </cell>
          <cell r="G2805" t="str">
            <v>5278A</v>
          </cell>
          <cell r="H2805">
            <v>6275.27</v>
          </cell>
          <cell r="I2805">
            <v>1</v>
          </cell>
          <cell r="J2805">
            <v>12</v>
          </cell>
          <cell r="K2805">
            <v>1</v>
          </cell>
          <cell r="L2805">
            <v>82862.163333333345</v>
          </cell>
        </row>
        <row r="2806">
          <cell r="A2806">
            <v>109398</v>
          </cell>
          <cell r="B2806">
            <v>20450</v>
          </cell>
          <cell r="C2806">
            <v>20450</v>
          </cell>
          <cell r="D2806" t="str">
            <v>sa4&amp;7</v>
          </cell>
          <cell r="E2806" t="str">
            <v>B</v>
          </cell>
          <cell r="F2806" t="str">
            <v>MENTAL HEALTH EDUCATION CONSULTANT</v>
          </cell>
          <cell r="G2806" t="str">
            <v>8709A</v>
          </cell>
          <cell r="H2806">
            <v>7115.73</v>
          </cell>
          <cell r="I2806">
            <v>1</v>
          </cell>
          <cell r="J2806">
            <v>12</v>
          </cell>
          <cell r="K2806">
            <v>1</v>
          </cell>
          <cell r="L2806">
            <v>85388.76</v>
          </cell>
        </row>
        <row r="2807">
          <cell r="A2807">
            <v>109202</v>
          </cell>
          <cell r="B2807">
            <v>27506</v>
          </cell>
          <cell r="C2807">
            <v>20450</v>
          </cell>
          <cell r="D2807" t="str">
            <v>sa4&amp;7</v>
          </cell>
          <cell r="E2807" t="str">
            <v>B</v>
          </cell>
          <cell r="F2807" t="str">
            <v>PATIENT RESOURCES WORKER</v>
          </cell>
          <cell r="G2807" t="str">
            <v>9192A</v>
          </cell>
          <cell r="H2807">
            <v>2748.27</v>
          </cell>
          <cell r="I2807">
            <v>1</v>
          </cell>
          <cell r="J2807">
            <v>12</v>
          </cell>
          <cell r="K2807">
            <v>1</v>
          </cell>
          <cell r="L2807">
            <v>32979.24</v>
          </cell>
        </row>
        <row r="2808">
          <cell r="A2808">
            <v>102734</v>
          </cell>
          <cell r="B2808">
            <v>20465</v>
          </cell>
          <cell r="C2808">
            <v>20450</v>
          </cell>
          <cell r="D2808" t="str">
            <v>sa4&amp;7</v>
          </cell>
          <cell r="E2808" t="str">
            <v>B</v>
          </cell>
          <cell r="F2808" t="str">
            <v>PSYCHIATRIC SOCIAL WORKER II</v>
          </cell>
          <cell r="G2808" t="str">
            <v>9035A</v>
          </cell>
          <cell r="H2808">
            <v>5425.82</v>
          </cell>
          <cell r="I2808">
            <v>1</v>
          </cell>
          <cell r="J2808">
            <v>12</v>
          </cell>
          <cell r="K2808">
            <v>1</v>
          </cell>
          <cell r="L2808">
            <v>65109.84</v>
          </cell>
        </row>
        <row r="2809">
          <cell r="A2809">
            <v>102821</v>
          </cell>
          <cell r="B2809">
            <v>23003</v>
          </cell>
          <cell r="C2809">
            <v>20450</v>
          </cell>
          <cell r="D2809" t="str">
            <v>sa4&amp;7</v>
          </cell>
          <cell r="E2809" t="str">
            <v>B</v>
          </cell>
          <cell r="F2809" t="str">
            <v>PSYCHIATRIC SOCIAL WORKER II</v>
          </cell>
          <cell r="G2809" t="str">
            <v>9035A</v>
          </cell>
          <cell r="H2809">
            <v>5425.82</v>
          </cell>
          <cell r="I2809">
            <v>1</v>
          </cell>
          <cell r="J2809">
            <v>12</v>
          </cell>
          <cell r="K2809">
            <v>1</v>
          </cell>
          <cell r="L2809">
            <v>65109.84</v>
          </cell>
        </row>
        <row r="2810">
          <cell r="A2810">
            <v>103941</v>
          </cell>
          <cell r="B2810">
            <v>23010</v>
          </cell>
          <cell r="C2810">
            <v>20450</v>
          </cell>
          <cell r="D2810" t="str">
            <v>sa4&amp;7</v>
          </cell>
          <cell r="E2810" t="str">
            <v>B</v>
          </cell>
          <cell r="F2810" t="str">
            <v>PSYCHIATRIC SOCIAL WORKER II</v>
          </cell>
          <cell r="G2810" t="str">
            <v>9035A</v>
          </cell>
          <cell r="H2810">
            <v>5425.82</v>
          </cell>
          <cell r="I2810">
            <v>1</v>
          </cell>
          <cell r="J2810">
            <v>12</v>
          </cell>
          <cell r="K2810">
            <v>1</v>
          </cell>
          <cell r="L2810">
            <v>65109.84</v>
          </cell>
        </row>
        <row r="2811">
          <cell r="A2811">
            <v>106044</v>
          </cell>
          <cell r="B2811">
            <v>21533</v>
          </cell>
          <cell r="C2811">
            <v>20450</v>
          </cell>
          <cell r="D2811" t="str">
            <v>sa4&amp;7</v>
          </cell>
          <cell r="E2811" t="str">
            <v>B</v>
          </cell>
          <cell r="F2811" t="str">
            <v>REHABILITATION COUNSELOR II</v>
          </cell>
          <cell r="G2811" t="str">
            <v>8593A</v>
          </cell>
          <cell r="H2811">
            <v>4076.09</v>
          </cell>
          <cell r="I2811">
            <v>1</v>
          </cell>
          <cell r="J2811">
            <v>12</v>
          </cell>
          <cell r="K2811">
            <v>1</v>
          </cell>
          <cell r="L2811">
            <v>48922.8</v>
          </cell>
        </row>
        <row r="2812">
          <cell r="A2812">
            <v>106080</v>
          </cell>
          <cell r="B2812">
            <v>18676</v>
          </cell>
          <cell r="C2812">
            <v>18676</v>
          </cell>
          <cell r="D2812" t="str">
            <v>sa4&amp;7</v>
          </cell>
          <cell r="E2812" t="str">
            <v>B</v>
          </cell>
          <cell r="F2812" t="str">
            <v>CLINICAL PSYCHOLOGIST II</v>
          </cell>
          <cell r="G2812" t="str">
            <v>8697A</v>
          </cell>
          <cell r="H2812">
            <v>6993.82</v>
          </cell>
          <cell r="I2812">
            <v>1</v>
          </cell>
          <cell r="J2812">
            <v>12</v>
          </cell>
          <cell r="K2812">
            <v>1</v>
          </cell>
          <cell r="L2812">
            <v>83925.52</v>
          </cell>
        </row>
        <row r="2813">
          <cell r="A2813">
            <v>106082</v>
          </cell>
          <cell r="B2813">
            <v>18676</v>
          </cell>
          <cell r="C2813">
            <v>18676</v>
          </cell>
          <cell r="D2813" t="str">
            <v>sa4&amp;7</v>
          </cell>
          <cell r="E2813" t="str">
            <v>B</v>
          </cell>
          <cell r="F2813" t="str">
            <v>CLINICAL PSYCHOLOGIST II</v>
          </cell>
          <cell r="G2813" t="str">
            <v>8697A</v>
          </cell>
          <cell r="H2813">
            <v>6993.82</v>
          </cell>
          <cell r="I2813">
            <v>1</v>
          </cell>
          <cell r="J2813">
            <v>12</v>
          </cell>
          <cell r="K2813">
            <v>1</v>
          </cell>
          <cell r="L2813">
            <v>83925.52</v>
          </cell>
        </row>
        <row r="2814">
          <cell r="A2814">
            <v>106086</v>
          </cell>
          <cell r="B2814">
            <v>18676</v>
          </cell>
          <cell r="C2814">
            <v>18676</v>
          </cell>
          <cell r="D2814" t="str">
            <v>sa4&amp;7</v>
          </cell>
          <cell r="E2814" t="str">
            <v>B</v>
          </cell>
          <cell r="F2814" t="str">
            <v>CLINICAL PSYCHOLOGIST II</v>
          </cell>
          <cell r="G2814" t="str">
            <v>8697A</v>
          </cell>
          <cell r="H2814">
            <v>6993.82</v>
          </cell>
          <cell r="I2814">
            <v>1</v>
          </cell>
          <cell r="J2814">
            <v>12</v>
          </cell>
          <cell r="K2814">
            <v>1</v>
          </cell>
          <cell r="L2814">
            <v>83925.52</v>
          </cell>
        </row>
        <row r="2815">
          <cell r="A2815">
            <v>100301</v>
          </cell>
          <cell r="B2815">
            <v>20923</v>
          </cell>
          <cell r="C2815">
            <v>18676</v>
          </cell>
          <cell r="D2815" t="str">
            <v>sa4&amp;7</v>
          </cell>
          <cell r="E2815" t="str">
            <v>B</v>
          </cell>
          <cell r="F2815" t="str">
            <v xml:space="preserve">INTERMEDIATE STENOGRAPHER          </v>
          </cell>
          <cell r="G2815" t="str">
            <v>2172A</v>
          </cell>
          <cell r="H2815">
            <v>2934</v>
          </cell>
          <cell r="I2815">
            <v>1</v>
          </cell>
          <cell r="J2815">
            <v>12</v>
          </cell>
          <cell r="K2815">
            <v>1</v>
          </cell>
          <cell r="L2815">
            <v>35208</v>
          </cell>
        </row>
        <row r="2816">
          <cell r="A2816">
            <v>106090</v>
          </cell>
          <cell r="B2816">
            <v>18676</v>
          </cell>
          <cell r="C2816">
            <v>18676</v>
          </cell>
          <cell r="D2816" t="str">
            <v>sa4&amp;7</v>
          </cell>
          <cell r="E2816" t="str">
            <v>B</v>
          </cell>
          <cell r="F2816" t="str">
            <v>INTERMEDIATE TYPIST-CLERK</v>
          </cell>
          <cell r="G2816" t="str">
            <v>2214A</v>
          </cell>
          <cell r="H2816">
            <v>2675.27</v>
          </cell>
          <cell r="I2816">
            <v>1</v>
          </cell>
          <cell r="J2816">
            <v>12</v>
          </cell>
          <cell r="K2816">
            <v>1</v>
          </cell>
          <cell r="L2816">
            <v>32103.16</v>
          </cell>
        </row>
        <row r="2817">
          <cell r="A2817">
            <v>100488</v>
          </cell>
          <cell r="B2817">
            <v>20944</v>
          </cell>
          <cell r="C2817">
            <v>18676</v>
          </cell>
          <cell r="D2817" t="str">
            <v>sa4&amp;7</v>
          </cell>
          <cell r="E2817" t="str">
            <v>B</v>
          </cell>
          <cell r="F2817" t="str">
            <v>MEDICAL CASE WORKER II</v>
          </cell>
          <cell r="G2817" t="str">
            <v>9002A</v>
          </cell>
          <cell r="H2817">
            <v>3938.82</v>
          </cell>
          <cell r="I2817">
            <v>1</v>
          </cell>
          <cell r="J2817">
            <v>12</v>
          </cell>
          <cell r="K2817">
            <v>1</v>
          </cell>
          <cell r="L2817">
            <v>47265.68</v>
          </cell>
        </row>
        <row r="2818">
          <cell r="A2818">
            <v>106101</v>
          </cell>
          <cell r="B2818">
            <v>18676</v>
          </cell>
          <cell r="C2818">
            <v>18676</v>
          </cell>
          <cell r="D2818" t="str">
            <v>sa4&amp;7</v>
          </cell>
          <cell r="E2818" t="str">
            <v>B</v>
          </cell>
          <cell r="F2818" t="str">
            <v>MEDICAL CASE WORKER II</v>
          </cell>
          <cell r="G2818" t="str">
            <v>9002A</v>
          </cell>
          <cell r="H2818">
            <v>3938.82</v>
          </cell>
          <cell r="I2818">
            <v>1</v>
          </cell>
          <cell r="J2818">
            <v>12</v>
          </cell>
          <cell r="K2818">
            <v>1</v>
          </cell>
          <cell r="L2818">
            <v>47265.68</v>
          </cell>
        </row>
        <row r="2819">
          <cell r="A2819">
            <v>106105</v>
          </cell>
          <cell r="B2819">
            <v>18676</v>
          </cell>
          <cell r="C2819">
            <v>18676</v>
          </cell>
          <cell r="D2819" t="str">
            <v>sa4&amp;7</v>
          </cell>
          <cell r="E2819" t="str">
            <v>B</v>
          </cell>
          <cell r="F2819" t="str">
            <v>MEDICAL CASE WORKER II</v>
          </cell>
          <cell r="G2819" t="str">
            <v>9002A</v>
          </cell>
          <cell r="H2819">
            <v>3938.82</v>
          </cell>
          <cell r="I2819">
            <v>1</v>
          </cell>
          <cell r="J2819">
            <v>12</v>
          </cell>
          <cell r="K2819">
            <v>1</v>
          </cell>
          <cell r="L2819">
            <v>47265.68</v>
          </cell>
        </row>
        <row r="2820">
          <cell r="A2820">
            <v>106110</v>
          </cell>
          <cell r="B2820">
            <v>18676</v>
          </cell>
          <cell r="C2820">
            <v>18676</v>
          </cell>
          <cell r="D2820" t="str">
            <v>sa4&amp;7</v>
          </cell>
          <cell r="E2820" t="str">
            <v>B</v>
          </cell>
          <cell r="F2820" t="str">
            <v>MEDICAL CASE WORKER II</v>
          </cell>
          <cell r="G2820" t="str">
            <v>9002A</v>
          </cell>
          <cell r="H2820">
            <v>3938.82</v>
          </cell>
          <cell r="I2820">
            <v>1</v>
          </cell>
          <cell r="J2820">
            <v>12</v>
          </cell>
          <cell r="K2820">
            <v>1</v>
          </cell>
          <cell r="L2820">
            <v>47265.68</v>
          </cell>
        </row>
        <row r="2821">
          <cell r="A2821">
            <v>106624</v>
          </cell>
          <cell r="B2821">
            <v>18676</v>
          </cell>
          <cell r="C2821">
            <v>18676</v>
          </cell>
          <cell r="D2821" t="str">
            <v>sa4&amp;7</v>
          </cell>
          <cell r="E2821" t="str">
            <v>B</v>
          </cell>
          <cell r="F2821" t="str">
            <v>MEDICAL CASE WORKER II</v>
          </cell>
          <cell r="G2821" t="str">
            <v>9002A</v>
          </cell>
          <cell r="H2821">
            <v>3938.82</v>
          </cell>
          <cell r="I2821">
            <v>1</v>
          </cell>
          <cell r="J2821">
            <v>12</v>
          </cell>
          <cell r="K2821">
            <v>1</v>
          </cell>
          <cell r="L2821">
            <v>47265.68</v>
          </cell>
        </row>
        <row r="2822">
          <cell r="A2822">
            <v>104077</v>
          </cell>
          <cell r="B2822">
            <v>18676</v>
          </cell>
          <cell r="C2822">
            <v>18676</v>
          </cell>
          <cell r="D2822" t="str">
            <v>sa4&amp;7</v>
          </cell>
          <cell r="E2822" t="str">
            <v>B</v>
          </cell>
          <cell r="F2822" t="str">
            <v xml:space="preserve">MENTAL HEALTH ANALYST III          </v>
          </cell>
          <cell r="G2822" t="str">
            <v>4731A</v>
          </cell>
          <cell r="H2822">
            <v>7329.55</v>
          </cell>
          <cell r="I2822">
            <v>1</v>
          </cell>
          <cell r="J2822">
            <v>12</v>
          </cell>
          <cell r="K2822">
            <v>1</v>
          </cell>
          <cell r="L2822">
            <v>87954.76</v>
          </cell>
        </row>
        <row r="2823">
          <cell r="A2823">
            <v>106627</v>
          </cell>
          <cell r="B2823">
            <v>18676</v>
          </cell>
          <cell r="C2823">
            <v>18676</v>
          </cell>
          <cell r="D2823" t="str">
            <v>sa4&amp;7</v>
          </cell>
          <cell r="E2823" t="str">
            <v>B</v>
          </cell>
          <cell r="F2823" t="str">
            <v>MENTAL HEALTH COUNSELOR, RN</v>
          </cell>
          <cell r="G2823" t="str">
            <v>5278A</v>
          </cell>
          <cell r="H2823">
            <v>6275.27</v>
          </cell>
          <cell r="I2823">
            <v>1</v>
          </cell>
          <cell r="J2823">
            <v>12</v>
          </cell>
          <cell r="K2823">
            <v>1</v>
          </cell>
          <cell r="L2823">
            <v>76804.323333333334</v>
          </cell>
        </row>
        <row r="2824">
          <cell r="A2824">
            <v>106146</v>
          </cell>
          <cell r="B2824">
            <v>18676</v>
          </cell>
          <cell r="C2824">
            <v>18676</v>
          </cell>
          <cell r="D2824" t="str">
            <v>sa4&amp;7</v>
          </cell>
          <cell r="E2824" t="str">
            <v>B</v>
          </cell>
          <cell r="F2824" t="str">
            <v>MENTAL HEALTH PSYCHIATRIST</v>
          </cell>
          <cell r="G2824" t="str">
            <v>4735A</v>
          </cell>
          <cell r="H2824">
            <v>12844</v>
          </cell>
          <cell r="I2824">
            <v>1</v>
          </cell>
          <cell r="J2824">
            <v>6</v>
          </cell>
          <cell r="K2824">
            <v>0.5</v>
          </cell>
          <cell r="L2824">
            <v>77064</v>
          </cell>
        </row>
        <row r="2825">
          <cell r="A2825">
            <v>106147</v>
          </cell>
          <cell r="B2825">
            <v>18676</v>
          </cell>
          <cell r="C2825">
            <v>18676</v>
          </cell>
          <cell r="D2825" t="str">
            <v>sa4&amp;7</v>
          </cell>
          <cell r="E2825" t="str">
            <v>B</v>
          </cell>
          <cell r="F2825" t="str">
            <v>MENTAL HEALTH PSYCHIATRIST</v>
          </cell>
          <cell r="G2825" t="str">
            <v>4735A</v>
          </cell>
          <cell r="H2825">
            <v>12844</v>
          </cell>
          <cell r="I2825">
            <v>1</v>
          </cell>
          <cell r="J2825">
            <v>6</v>
          </cell>
          <cell r="K2825">
            <v>0.5</v>
          </cell>
          <cell r="L2825">
            <v>77064</v>
          </cell>
        </row>
        <row r="2826">
          <cell r="A2826">
            <v>106148</v>
          </cell>
          <cell r="B2826">
            <v>18676</v>
          </cell>
          <cell r="C2826">
            <v>18676</v>
          </cell>
          <cell r="D2826" t="str">
            <v>sa4&amp;7</v>
          </cell>
          <cell r="E2826" t="str">
            <v>B</v>
          </cell>
          <cell r="F2826" t="str">
            <v>MENTAL HEALTH PSYCHIATRIST</v>
          </cell>
          <cell r="G2826" t="str">
            <v>4735A</v>
          </cell>
          <cell r="H2826">
            <v>12844</v>
          </cell>
          <cell r="I2826">
            <v>1</v>
          </cell>
          <cell r="J2826">
            <v>6</v>
          </cell>
          <cell r="K2826">
            <v>0.5</v>
          </cell>
          <cell r="L2826">
            <v>77064</v>
          </cell>
        </row>
        <row r="2827">
          <cell r="A2827">
            <v>106155</v>
          </cell>
          <cell r="B2827">
            <v>18676</v>
          </cell>
          <cell r="C2827">
            <v>18676</v>
          </cell>
          <cell r="D2827" t="str">
            <v>sa4&amp;7</v>
          </cell>
          <cell r="E2827" t="str">
            <v>B</v>
          </cell>
          <cell r="F2827" t="str">
            <v>MENTAL HEALTH SERVICES COORD I</v>
          </cell>
          <cell r="G2827" t="str">
            <v>8148A</v>
          </cell>
          <cell r="H2827">
            <v>5126.91</v>
          </cell>
          <cell r="I2827">
            <v>1</v>
          </cell>
          <cell r="J2827">
            <v>12</v>
          </cell>
          <cell r="K2827">
            <v>1</v>
          </cell>
          <cell r="L2827">
            <v>61522.92</v>
          </cell>
        </row>
        <row r="2828">
          <cell r="A2828">
            <v>106140</v>
          </cell>
          <cell r="B2828">
            <v>18676</v>
          </cell>
          <cell r="C2828">
            <v>18676</v>
          </cell>
          <cell r="D2828" t="str">
            <v>sa4&amp;7</v>
          </cell>
          <cell r="E2828" t="str">
            <v>B</v>
          </cell>
          <cell r="F2828" t="str">
            <v>MENTAL HLTH CLINICAL DIST CHIEF</v>
          </cell>
          <cell r="G2828" t="str">
            <v>4722A</v>
          </cell>
          <cell r="H2828">
            <v>10074</v>
          </cell>
          <cell r="I2828">
            <v>1</v>
          </cell>
          <cell r="J2828">
            <v>12</v>
          </cell>
          <cell r="K2828">
            <v>1</v>
          </cell>
          <cell r="L2828">
            <v>120887.6</v>
          </cell>
        </row>
        <row r="2829">
          <cell r="A2829">
            <v>102837</v>
          </cell>
          <cell r="B2829">
            <v>20560</v>
          </cell>
          <cell r="C2829">
            <v>18676</v>
          </cell>
          <cell r="D2829" t="str">
            <v>sa4&amp;7</v>
          </cell>
          <cell r="E2829" t="str">
            <v>B</v>
          </cell>
          <cell r="F2829" t="str">
            <v>MNTL HLTH CLINICAL PROGRAM HEAD</v>
          </cell>
          <cell r="G2829" t="str">
            <v>4726A</v>
          </cell>
          <cell r="H2829">
            <v>8709.73</v>
          </cell>
          <cell r="I2829">
            <v>1</v>
          </cell>
          <cell r="J2829">
            <v>12</v>
          </cell>
          <cell r="K2829">
            <v>1</v>
          </cell>
          <cell r="L2829">
            <v>104516.76</v>
          </cell>
        </row>
        <row r="2830">
          <cell r="A2830">
            <v>106138</v>
          </cell>
          <cell r="B2830">
            <v>18676</v>
          </cell>
          <cell r="C2830">
            <v>18676</v>
          </cell>
          <cell r="D2830" t="str">
            <v>sa4&amp;7</v>
          </cell>
          <cell r="E2830" t="str">
            <v>B</v>
          </cell>
          <cell r="F2830" t="str">
            <v>MNTL HLTH CLINICAL PROGRAM HEAD</v>
          </cell>
          <cell r="G2830" t="str">
            <v>4726A</v>
          </cell>
          <cell r="H2830">
            <v>8709.73</v>
          </cell>
          <cell r="I2830">
            <v>1</v>
          </cell>
          <cell r="J2830">
            <v>12</v>
          </cell>
          <cell r="K2830">
            <v>1</v>
          </cell>
          <cell r="L2830">
            <v>104516.76</v>
          </cell>
        </row>
        <row r="2831">
          <cell r="A2831">
            <v>106139</v>
          </cell>
          <cell r="B2831">
            <v>18676</v>
          </cell>
          <cell r="C2831">
            <v>18676</v>
          </cell>
          <cell r="D2831" t="str">
            <v>sa4&amp;7</v>
          </cell>
          <cell r="E2831" t="str">
            <v>B</v>
          </cell>
          <cell r="F2831" t="str">
            <v>MNTL HLTH CLINICAL PROGRAM HEAD</v>
          </cell>
          <cell r="G2831" t="str">
            <v>4726A</v>
          </cell>
          <cell r="H2831">
            <v>8709.73</v>
          </cell>
          <cell r="I2831">
            <v>1</v>
          </cell>
          <cell r="J2831">
            <v>12</v>
          </cell>
          <cell r="K2831">
            <v>1</v>
          </cell>
          <cell r="L2831">
            <v>104516.76</v>
          </cell>
        </row>
        <row r="2832">
          <cell r="A2832">
            <v>106166</v>
          </cell>
          <cell r="B2832">
            <v>18676</v>
          </cell>
          <cell r="C2832">
            <v>18676</v>
          </cell>
          <cell r="D2832" t="str">
            <v>sa4&amp;7</v>
          </cell>
          <cell r="E2832" t="str">
            <v>B</v>
          </cell>
          <cell r="F2832" t="str">
            <v xml:space="preserve">OCCUPATIONAL THERAPIST I </v>
          </cell>
          <cell r="G2832" t="str">
            <v>5856A</v>
          </cell>
          <cell r="H2832">
            <v>5756.27</v>
          </cell>
          <cell r="I2832">
            <v>1</v>
          </cell>
          <cell r="J2832">
            <v>12</v>
          </cell>
          <cell r="K2832">
            <v>1</v>
          </cell>
          <cell r="L2832">
            <v>68715.399999999994</v>
          </cell>
        </row>
        <row r="2833">
          <cell r="A2833">
            <v>106638</v>
          </cell>
          <cell r="B2833">
            <v>18676</v>
          </cell>
          <cell r="C2833">
            <v>18676</v>
          </cell>
          <cell r="D2833" t="str">
            <v>sa4&amp;7</v>
          </cell>
          <cell r="E2833" t="str">
            <v>B</v>
          </cell>
          <cell r="F2833" t="str">
            <v>PSYCHIATRIC SOCIAL WORKER II</v>
          </cell>
          <cell r="G2833" t="str">
            <v>9035A</v>
          </cell>
          <cell r="H2833">
            <v>5425.82</v>
          </cell>
          <cell r="I2833">
            <v>1</v>
          </cell>
          <cell r="J2833">
            <v>6</v>
          </cell>
          <cell r="K2833">
            <v>0.5</v>
          </cell>
          <cell r="L2833">
            <v>32554.92</v>
          </cell>
        </row>
        <row r="2834">
          <cell r="A2834">
            <v>104030</v>
          </cell>
          <cell r="B2834">
            <v>20923</v>
          </cell>
          <cell r="C2834">
            <v>18676</v>
          </cell>
          <cell r="D2834" t="str">
            <v>sa4&amp;7</v>
          </cell>
          <cell r="E2834" t="str">
            <v>B</v>
          </cell>
          <cell r="F2834" t="str">
            <v>REHABILITATION COUNSELOR II</v>
          </cell>
          <cell r="G2834" t="str">
            <v>8593A</v>
          </cell>
          <cell r="H2834">
            <v>4076.09</v>
          </cell>
          <cell r="I2834">
            <v>1</v>
          </cell>
          <cell r="J2834">
            <v>12</v>
          </cell>
          <cell r="K2834">
            <v>1</v>
          </cell>
          <cell r="L2834">
            <v>48922.8</v>
          </cell>
        </row>
        <row r="2835">
          <cell r="A2835">
            <v>106176</v>
          </cell>
          <cell r="B2835">
            <v>18676</v>
          </cell>
          <cell r="C2835">
            <v>18676</v>
          </cell>
          <cell r="D2835" t="str">
            <v>sa4&amp;7</v>
          </cell>
          <cell r="E2835" t="str">
            <v>B</v>
          </cell>
          <cell r="F2835" t="str">
            <v xml:space="preserve">SECRETARY III                      </v>
          </cell>
          <cell r="G2835" t="str">
            <v>2096A</v>
          </cell>
          <cell r="H2835">
            <v>3387</v>
          </cell>
          <cell r="I2835">
            <v>1</v>
          </cell>
          <cell r="J2835">
            <v>12</v>
          </cell>
          <cell r="K2835">
            <v>1</v>
          </cell>
          <cell r="L2835">
            <v>40643.839999999997</v>
          </cell>
        </row>
        <row r="2836">
          <cell r="A2836">
            <v>106644</v>
          </cell>
          <cell r="B2836">
            <v>18676</v>
          </cell>
          <cell r="C2836">
            <v>18676</v>
          </cell>
          <cell r="D2836" t="str">
            <v>sa4&amp;7</v>
          </cell>
          <cell r="E2836" t="str">
            <v>B</v>
          </cell>
          <cell r="F2836" t="str">
            <v xml:space="preserve">STUDENT PROFESSIONAL WORKER        </v>
          </cell>
          <cell r="G2836" t="str">
            <v>8243F</v>
          </cell>
          <cell r="H2836">
            <v>10.3</v>
          </cell>
          <cell r="I2836">
            <v>1</v>
          </cell>
          <cell r="J2836">
            <v>2088</v>
          </cell>
          <cell r="K2836">
            <v>0</v>
          </cell>
          <cell r="L2836">
            <v>21506</v>
          </cell>
        </row>
        <row r="2837">
          <cell r="A2837">
            <v>104421</v>
          </cell>
          <cell r="B2837">
            <v>23017</v>
          </cell>
          <cell r="C2837">
            <v>23017</v>
          </cell>
          <cell r="D2837" t="str">
            <v>sa4&amp;7</v>
          </cell>
          <cell r="E2837" t="str">
            <v>B</v>
          </cell>
          <cell r="F2837" t="str">
            <v>CLINICAL PSYCHOLOGIST II</v>
          </cell>
          <cell r="G2837" t="str">
            <v>8697A</v>
          </cell>
          <cell r="H2837">
            <v>6993.82</v>
          </cell>
          <cell r="I2837">
            <v>1</v>
          </cell>
          <cell r="J2837">
            <v>12</v>
          </cell>
          <cell r="K2837">
            <v>1</v>
          </cell>
          <cell r="L2837">
            <v>83925.52</v>
          </cell>
        </row>
        <row r="2838">
          <cell r="A2838">
            <v>100409</v>
          </cell>
          <cell r="B2838">
            <v>23017</v>
          </cell>
          <cell r="C2838">
            <v>23017</v>
          </cell>
          <cell r="D2838" t="str">
            <v>sa4&amp;7</v>
          </cell>
          <cell r="E2838" t="str">
            <v>B</v>
          </cell>
          <cell r="F2838" t="str">
            <v>INTERMEDIATE TYPIST-CLERK</v>
          </cell>
          <cell r="G2838" t="str">
            <v>2214A</v>
          </cell>
          <cell r="H2838">
            <v>2675.27</v>
          </cell>
          <cell r="I2838">
            <v>1</v>
          </cell>
          <cell r="J2838">
            <v>12</v>
          </cell>
          <cell r="K2838">
            <v>1</v>
          </cell>
          <cell r="L2838">
            <v>32103.16</v>
          </cell>
        </row>
        <row r="2839">
          <cell r="A2839">
            <v>100410</v>
          </cell>
          <cell r="B2839">
            <v>23017</v>
          </cell>
          <cell r="C2839">
            <v>23017</v>
          </cell>
          <cell r="D2839" t="str">
            <v>sa4&amp;7</v>
          </cell>
          <cell r="E2839" t="str">
            <v>B</v>
          </cell>
          <cell r="F2839" t="str">
            <v>INTERMEDIATE TYPIST-CLERK</v>
          </cell>
          <cell r="G2839" t="str">
            <v>2214A</v>
          </cell>
          <cell r="H2839">
            <v>2675.27</v>
          </cell>
          <cell r="I2839">
            <v>1</v>
          </cell>
          <cell r="J2839">
            <v>12</v>
          </cell>
          <cell r="K2839">
            <v>1</v>
          </cell>
          <cell r="L2839">
            <v>32103.16</v>
          </cell>
        </row>
        <row r="2840">
          <cell r="A2840">
            <v>100412</v>
          </cell>
          <cell r="B2840">
            <v>23017</v>
          </cell>
          <cell r="C2840">
            <v>23017</v>
          </cell>
          <cell r="D2840" t="str">
            <v>sa4&amp;7</v>
          </cell>
          <cell r="E2840" t="str">
            <v>B</v>
          </cell>
          <cell r="F2840" t="str">
            <v>INTERMEDIATE TYPIST-CLERK</v>
          </cell>
          <cell r="G2840" t="str">
            <v>2214A</v>
          </cell>
          <cell r="H2840">
            <v>2675.27</v>
          </cell>
          <cell r="I2840">
            <v>1</v>
          </cell>
          <cell r="J2840">
            <v>12</v>
          </cell>
          <cell r="K2840">
            <v>1</v>
          </cell>
          <cell r="L2840">
            <v>32103.16</v>
          </cell>
        </row>
        <row r="2841">
          <cell r="A2841">
            <v>102471</v>
          </cell>
          <cell r="B2841">
            <v>23017</v>
          </cell>
          <cell r="C2841">
            <v>23017</v>
          </cell>
          <cell r="D2841" t="str">
            <v>sa4&amp;7</v>
          </cell>
          <cell r="E2841" t="str">
            <v>B</v>
          </cell>
          <cell r="F2841" t="str">
            <v>INTERMEDIATE TYPIST-CLERK</v>
          </cell>
          <cell r="G2841" t="str">
            <v>2214A</v>
          </cell>
          <cell r="H2841">
            <v>2675.27</v>
          </cell>
          <cell r="I2841">
            <v>1</v>
          </cell>
          <cell r="J2841">
            <v>12</v>
          </cell>
          <cell r="K2841">
            <v>1</v>
          </cell>
          <cell r="L2841">
            <v>32103.16</v>
          </cell>
        </row>
        <row r="2842">
          <cell r="A2842">
            <v>102760</v>
          </cell>
          <cell r="B2842">
            <v>23017</v>
          </cell>
          <cell r="C2842">
            <v>23017</v>
          </cell>
          <cell r="D2842" t="str">
            <v>sa4&amp;7</v>
          </cell>
          <cell r="E2842" t="str">
            <v>B</v>
          </cell>
          <cell r="F2842" t="str">
            <v>INTERMEDIATE TYPIST-CLERK</v>
          </cell>
          <cell r="G2842" t="str">
            <v>2214A</v>
          </cell>
          <cell r="H2842">
            <v>2675.27</v>
          </cell>
          <cell r="I2842">
            <v>1</v>
          </cell>
          <cell r="J2842">
            <v>12</v>
          </cell>
          <cell r="K2842">
            <v>1</v>
          </cell>
          <cell r="L2842">
            <v>32103.16</v>
          </cell>
        </row>
        <row r="2843">
          <cell r="A2843">
            <v>104710</v>
          </cell>
          <cell r="B2843">
            <v>23017</v>
          </cell>
          <cell r="C2843">
            <v>23017</v>
          </cell>
          <cell r="D2843" t="str">
            <v>sa4&amp;7</v>
          </cell>
          <cell r="E2843" t="str">
            <v>B</v>
          </cell>
          <cell r="F2843" t="str">
            <v>INTERMEDIATE TYPIST-CLERK</v>
          </cell>
          <cell r="G2843" t="str">
            <v>2214A</v>
          </cell>
          <cell r="H2843">
            <v>2675.27</v>
          </cell>
          <cell r="I2843">
            <v>1</v>
          </cell>
          <cell r="J2843">
            <v>12</v>
          </cell>
          <cell r="K2843">
            <v>1</v>
          </cell>
          <cell r="L2843">
            <v>32103.16</v>
          </cell>
        </row>
        <row r="2844">
          <cell r="A2844">
            <v>106010</v>
          </cell>
          <cell r="B2844">
            <v>21533</v>
          </cell>
          <cell r="C2844">
            <v>23017</v>
          </cell>
          <cell r="D2844" t="str">
            <v>sa4&amp;7</v>
          </cell>
          <cell r="E2844" t="str">
            <v>B</v>
          </cell>
          <cell r="F2844" t="str">
            <v>INTERMEDIATE TYPIST-CLERK</v>
          </cell>
          <cell r="G2844" t="str">
            <v>2214A</v>
          </cell>
          <cell r="H2844">
            <v>2675.27</v>
          </cell>
          <cell r="I2844">
            <v>1</v>
          </cell>
          <cell r="J2844">
            <v>12</v>
          </cell>
          <cell r="K2844">
            <v>1</v>
          </cell>
          <cell r="L2844">
            <v>32103.16</v>
          </cell>
        </row>
        <row r="2845">
          <cell r="A2845">
            <v>109701</v>
          </cell>
          <cell r="B2845">
            <v>23017</v>
          </cell>
          <cell r="C2845">
            <v>23017</v>
          </cell>
          <cell r="D2845" t="str">
            <v>sa4&amp;7</v>
          </cell>
          <cell r="E2845" t="str">
            <v>B</v>
          </cell>
          <cell r="F2845" t="str">
            <v>INTERMEDIATE TYPIST-CLERK</v>
          </cell>
          <cell r="G2845" t="str">
            <v>2214A</v>
          </cell>
          <cell r="H2845">
            <v>2675.27</v>
          </cell>
          <cell r="I2845">
            <v>1</v>
          </cell>
          <cell r="J2845">
            <v>12</v>
          </cell>
          <cell r="K2845">
            <v>1</v>
          </cell>
          <cell r="L2845">
            <v>32103.24</v>
          </cell>
        </row>
        <row r="2846">
          <cell r="A2846">
            <v>109702</v>
          </cell>
          <cell r="B2846">
            <v>23017</v>
          </cell>
          <cell r="C2846">
            <v>23017</v>
          </cell>
          <cell r="D2846" t="str">
            <v>sa4&amp;7</v>
          </cell>
          <cell r="E2846" t="str">
            <v>B</v>
          </cell>
          <cell r="F2846" t="str">
            <v>INTERMEDIATE TYPIST-CLERK</v>
          </cell>
          <cell r="G2846" t="str">
            <v>2214A</v>
          </cell>
          <cell r="H2846">
            <v>2675.27</v>
          </cell>
          <cell r="I2846">
            <v>1</v>
          </cell>
          <cell r="J2846">
            <v>12</v>
          </cell>
          <cell r="K2846">
            <v>1</v>
          </cell>
          <cell r="L2846">
            <v>32103.24</v>
          </cell>
        </row>
        <row r="2847">
          <cell r="A2847">
            <v>102293</v>
          </cell>
          <cell r="B2847">
            <v>23017</v>
          </cell>
          <cell r="C2847">
            <v>23017</v>
          </cell>
          <cell r="D2847" t="str">
            <v>sa4&amp;7</v>
          </cell>
          <cell r="E2847" t="str">
            <v>B</v>
          </cell>
          <cell r="F2847" t="str">
            <v>MEDICAL CASE WORKER II</v>
          </cell>
          <cell r="G2847" t="str">
            <v>9002A</v>
          </cell>
          <cell r="H2847">
            <v>3938.82</v>
          </cell>
          <cell r="I2847">
            <v>1</v>
          </cell>
          <cell r="J2847">
            <v>12</v>
          </cell>
          <cell r="K2847">
            <v>1</v>
          </cell>
          <cell r="L2847">
            <v>47265.68</v>
          </cell>
        </row>
        <row r="2848">
          <cell r="A2848">
            <v>106114</v>
          </cell>
          <cell r="B2848">
            <v>18676</v>
          </cell>
          <cell r="C2848">
            <v>23017</v>
          </cell>
          <cell r="D2848" t="str">
            <v>sa4&amp;7</v>
          </cell>
          <cell r="E2848" t="str">
            <v>B</v>
          </cell>
          <cell r="F2848" t="str">
            <v>MEDICAL CASE WORKER II</v>
          </cell>
          <cell r="G2848" t="str">
            <v>9002A</v>
          </cell>
          <cell r="H2848">
            <v>3938.82</v>
          </cell>
          <cell r="I2848">
            <v>1</v>
          </cell>
          <cell r="J2848">
            <v>12</v>
          </cell>
          <cell r="K2848">
            <v>1</v>
          </cell>
          <cell r="L2848">
            <v>47265.68</v>
          </cell>
        </row>
        <row r="2849">
          <cell r="A2849">
            <v>104310</v>
          </cell>
          <cell r="B2849">
            <v>23017</v>
          </cell>
          <cell r="C2849">
            <v>23017</v>
          </cell>
          <cell r="D2849" t="str">
            <v>sa4&amp;7</v>
          </cell>
          <cell r="E2849" t="str">
            <v>B</v>
          </cell>
          <cell r="F2849" t="str">
            <v>MENTAL HEALTH CONSULTANT,MD(PER SESSION)</v>
          </cell>
          <cell r="G2849" t="str">
            <v>5467J</v>
          </cell>
          <cell r="H2849">
            <v>314</v>
          </cell>
          <cell r="I2849">
            <v>1</v>
          </cell>
          <cell r="J2849">
            <v>104</v>
          </cell>
          <cell r="K2849">
            <v>0.19923371647509577</v>
          </cell>
          <cell r="L2849">
            <v>32656.080000000002</v>
          </cell>
        </row>
        <row r="2850">
          <cell r="A2850">
            <v>104311</v>
          </cell>
          <cell r="B2850">
            <v>23017</v>
          </cell>
          <cell r="C2850">
            <v>23017</v>
          </cell>
          <cell r="D2850" t="str">
            <v>sa4&amp;7</v>
          </cell>
          <cell r="E2850" t="str">
            <v>B</v>
          </cell>
          <cell r="F2850" t="str">
            <v>MENTAL HEALTH CONSULTANT,MD(PER SESSION)</v>
          </cell>
          <cell r="G2850" t="str">
            <v>5467J</v>
          </cell>
          <cell r="H2850">
            <v>314</v>
          </cell>
          <cell r="I2850">
            <v>1</v>
          </cell>
          <cell r="J2850">
            <v>313</v>
          </cell>
          <cell r="K2850">
            <v>0.59961685823754785</v>
          </cell>
          <cell r="L2850">
            <v>98281.76</v>
          </cell>
        </row>
        <row r="2851">
          <cell r="A2851">
            <v>100667</v>
          </cell>
          <cell r="B2851">
            <v>23017</v>
          </cell>
          <cell r="C2851">
            <v>23017</v>
          </cell>
          <cell r="D2851" t="str">
            <v>sa4&amp;7</v>
          </cell>
          <cell r="E2851" t="str">
            <v>B</v>
          </cell>
          <cell r="F2851" t="str">
            <v>MENTAL HEALTH COUNSELOR, RN</v>
          </cell>
          <cell r="G2851" t="str">
            <v>5278A</v>
          </cell>
          <cell r="H2851">
            <v>6275.27</v>
          </cell>
          <cell r="I2851">
            <v>1</v>
          </cell>
          <cell r="J2851">
            <v>12</v>
          </cell>
          <cell r="K2851">
            <v>1</v>
          </cell>
          <cell r="L2851">
            <v>76804.323333333334</v>
          </cell>
        </row>
        <row r="2852">
          <cell r="A2852">
            <v>104220</v>
          </cell>
          <cell r="B2852">
            <v>23017</v>
          </cell>
          <cell r="C2852">
            <v>23017</v>
          </cell>
          <cell r="D2852" t="str">
            <v>sa4&amp;7</v>
          </cell>
          <cell r="E2852" t="str">
            <v>B</v>
          </cell>
          <cell r="F2852" t="str">
            <v>MENTAL HEALTH COUNSELOR, RN</v>
          </cell>
          <cell r="G2852" t="str">
            <v>5278A</v>
          </cell>
          <cell r="H2852">
            <v>6275.27</v>
          </cell>
          <cell r="I2852">
            <v>1</v>
          </cell>
          <cell r="J2852">
            <v>12</v>
          </cell>
          <cell r="K2852">
            <v>1</v>
          </cell>
          <cell r="L2852">
            <v>76804.323333333334</v>
          </cell>
        </row>
        <row r="2853">
          <cell r="A2853">
            <v>104394</v>
          </cell>
          <cell r="B2853">
            <v>23007</v>
          </cell>
          <cell r="C2853">
            <v>23017</v>
          </cell>
          <cell r="D2853" t="str">
            <v>sa4&amp;7</v>
          </cell>
          <cell r="E2853" t="str">
            <v>B</v>
          </cell>
          <cell r="F2853" t="str">
            <v>MENTAL HEALTH COUNSELOR, RN</v>
          </cell>
          <cell r="G2853" t="str">
            <v>5278A</v>
          </cell>
          <cell r="H2853">
            <v>6275.27</v>
          </cell>
          <cell r="I2853">
            <v>1</v>
          </cell>
          <cell r="J2853">
            <v>5</v>
          </cell>
          <cell r="K2853">
            <v>0.41666666666666669</v>
          </cell>
          <cell r="L2853">
            <v>32001.801388888889</v>
          </cell>
        </row>
        <row r="2854">
          <cell r="A2854">
            <v>106628</v>
          </cell>
          <cell r="B2854">
            <v>18676</v>
          </cell>
          <cell r="C2854">
            <v>23017</v>
          </cell>
          <cell r="D2854" t="str">
            <v>sa4&amp;7</v>
          </cell>
          <cell r="E2854" t="str">
            <v>B</v>
          </cell>
          <cell r="F2854" t="str">
            <v>MENTAL HEALTH COUNSELOR, RN</v>
          </cell>
          <cell r="G2854" t="str">
            <v>5278A</v>
          </cell>
          <cell r="H2854">
            <v>6275.27</v>
          </cell>
          <cell r="I2854">
            <v>1</v>
          </cell>
          <cell r="J2854">
            <v>12</v>
          </cell>
          <cell r="K2854">
            <v>1</v>
          </cell>
          <cell r="L2854">
            <v>76804.323333333334</v>
          </cell>
        </row>
        <row r="2855">
          <cell r="A2855">
            <v>106629</v>
          </cell>
          <cell r="B2855">
            <v>18676</v>
          </cell>
          <cell r="C2855">
            <v>23017</v>
          </cell>
          <cell r="D2855" t="str">
            <v>sa4&amp;7</v>
          </cell>
          <cell r="E2855" t="str">
            <v>B</v>
          </cell>
          <cell r="F2855" t="str">
            <v>MENTAL HEALTH COUNSELOR, RN</v>
          </cell>
          <cell r="G2855" t="str">
            <v>5278A</v>
          </cell>
          <cell r="H2855">
            <v>6275.27</v>
          </cell>
          <cell r="I2855">
            <v>1</v>
          </cell>
          <cell r="J2855">
            <v>12</v>
          </cell>
          <cell r="K2855">
            <v>1</v>
          </cell>
          <cell r="L2855">
            <v>76804.323333333334</v>
          </cell>
        </row>
        <row r="2856">
          <cell r="A2856">
            <v>103280</v>
          </cell>
          <cell r="B2856">
            <v>23017</v>
          </cell>
          <cell r="C2856">
            <v>23017</v>
          </cell>
          <cell r="D2856" t="str">
            <v>sa4&amp;7</v>
          </cell>
          <cell r="E2856" t="str">
            <v>B</v>
          </cell>
          <cell r="F2856" t="str">
            <v>MENTAL HEALTH PSYCHIATRIST</v>
          </cell>
          <cell r="G2856" t="str">
            <v>4735A</v>
          </cell>
          <cell r="H2856">
            <v>12844</v>
          </cell>
          <cell r="I2856">
            <v>1</v>
          </cell>
          <cell r="J2856">
            <v>3</v>
          </cell>
          <cell r="K2856">
            <v>0.25</v>
          </cell>
          <cell r="L2856">
            <v>38532</v>
          </cell>
        </row>
        <row r="2857">
          <cell r="A2857">
            <v>103282</v>
          </cell>
          <cell r="B2857">
            <v>23017</v>
          </cell>
          <cell r="C2857">
            <v>23017</v>
          </cell>
          <cell r="D2857" t="str">
            <v>sa4&amp;7</v>
          </cell>
          <cell r="E2857" t="str">
            <v>B</v>
          </cell>
          <cell r="F2857" t="str">
            <v>MENTAL HEALTH PSYCHIATRIST</v>
          </cell>
          <cell r="G2857" t="str">
            <v>4735A</v>
          </cell>
          <cell r="H2857">
            <v>12844</v>
          </cell>
          <cell r="I2857">
            <v>1</v>
          </cell>
          <cell r="J2857">
            <v>6</v>
          </cell>
          <cell r="K2857">
            <v>0.5</v>
          </cell>
          <cell r="L2857">
            <v>77064</v>
          </cell>
        </row>
        <row r="2858">
          <cell r="A2858">
            <v>103284</v>
          </cell>
          <cell r="B2858">
            <v>23017</v>
          </cell>
          <cell r="C2858">
            <v>23017</v>
          </cell>
          <cell r="D2858" t="str">
            <v>sa4&amp;7</v>
          </cell>
          <cell r="E2858" t="str">
            <v>B</v>
          </cell>
          <cell r="F2858" t="str">
            <v>MENTAL HEALTH PSYCHIATRIST</v>
          </cell>
          <cell r="G2858" t="str">
            <v>4735A</v>
          </cell>
          <cell r="H2858">
            <v>12844</v>
          </cell>
          <cell r="I2858">
            <v>1</v>
          </cell>
          <cell r="J2858">
            <v>3</v>
          </cell>
          <cell r="K2858">
            <v>0.25</v>
          </cell>
          <cell r="L2858">
            <v>38532</v>
          </cell>
        </row>
        <row r="2859">
          <cell r="A2859">
            <v>103285</v>
          </cell>
          <cell r="B2859">
            <v>23017</v>
          </cell>
          <cell r="C2859">
            <v>23017</v>
          </cell>
          <cell r="D2859" t="str">
            <v>sa4&amp;7</v>
          </cell>
          <cell r="E2859" t="str">
            <v>B</v>
          </cell>
          <cell r="F2859" t="str">
            <v>MENTAL HEALTH PSYCHIATRIST</v>
          </cell>
          <cell r="G2859" t="str">
            <v>4735A</v>
          </cell>
          <cell r="H2859">
            <v>12844</v>
          </cell>
          <cell r="I2859">
            <v>1</v>
          </cell>
          <cell r="J2859">
            <v>3</v>
          </cell>
          <cell r="K2859">
            <v>0.25</v>
          </cell>
          <cell r="L2859">
            <v>38532</v>
          </cell>
        </row>
        <row r="2860">
          <cell r="A2860">
            <v>103286</v>
          </cell>
          <cell r="B2860">
            <v>23017</v>
          </cell>
          <cell r="C2860">
            <v>23017</v>
          </cell>
          <cell r="D2860" t="str">
            <v>sa4&amp;7</v>
          </cell>
          <cell r="E2860" t="str">
            <v>B</v>
          </cell>
          <cell r="F2860" t="str">
            <v>MENTAL HEALTH PSYCHIATRIST</v>
          </cell>
          <cell r="G2860" t="str">
            <v>4735A</v>
          </cell>
          <cell r="H2860">
            <v>12844</v>
          </cell>
          <cell r="I2860">
            <v>1</v>
          </cell>
          <cell r="J2860">
            <v>6</v>
          </cell>
          <cell r="K2860">
            <v>0.5</v>
          </cell>
          <cell r="L2860">
            <v>77064</v>
          </cell>
        </row>
        <row r="2861">
          <cell r="A2861">
            <v>103842</v>
          </cell>
          <cell r="B2861">
            <v>20492</v>
          </cell>
          <cell r="C2861">
            <v>23017</v>
          </cell>
          <cell r="D2861" t="str">
            <v>sa4&amp;7</v>
          </cell>
          <cell r="E2861" t="str">
            <v>B</v>
          </cell>
          <cell r="F2861" t="str">
            <v>MENTAL HEALTH PSYCHIATRIST</v>
          </cell>
          <cell r="G2861" t="str">
            <v>4735A</v>
          </cell>
          <cell r="H2861">
            <v>12844</v>
          </cell>
          <cell r="I2861">
            <v>1</v>
          </cell>
          <cell r="J2861">
            <v>4</v>
          </cell>
          <cell r="K2861">
            <v>0.33333333333333331</v>
          </cell>
          <cell r="L2861">
            <v>51376</v>
          </cell>
        </row>
        <row r="2862">
          <cell r="A2862">
            <v>104711</v>
          </cell>
          <cell r="B2862">
            <v>23017</v>
          </cell>
          <cell r="C2862">
            <v>23017</v>
          </cell>
          <cell r="D2862" t="str">
            <v>sa4&amp;7</v>
          </cell>
          <cell r="E2862" t="str">
            <v>B</v>
          </cell>
          <cell r="F2862" t="str">
            <v>MENTAL HEALTH PSYCHIATRIST</v>
          </cell>
          <cell r="G2862" t="str">
            <v>4735A</v>
          </cell>
          <cell r="H2862">
            <v>12844</v>
          </cell>
          <cell r="I2862">
            <v>1</v>
          </cell>
          <cell r="J2862">
            <v>3</v>
          </cell>
          <cell r="K2862">
            <v>0.25</v>
          </cell>
          <cell r="L2862">
            <v>38532</v>
          </cell>
        </row>
        <row r="2863">
          <cell r="A2863">
            <v>104880</v>
          </cell>
          <cell r="B2863">
            <v>18588</v>
          </cell>
          <cell r="C2863">
            <v>23017</v>
          </cell>
          <cell r="D2863" t="str">
            <v>sa4&amp;7</v>
          </cell>
          <cell r="E2863" t="str">
            <v>B</v>
          </cell>
          <cell r="F2863" t="str">
            <v>MENTAL HEALTH PSYCHIATRIST</v>
          </cell>
          <cell r="G2863" t="str">
            <v>4735A</v>
          </cell>
          <cell r="H2863">
            <v>12844</v>
          </cell>
          <cell r="I2863">
            <v>1</v>
          </cell>
          <cell r="J2863">
            <v>6</v>
          </cell>
          <cell r="K2863">
            <v>0.5</v>
          </cell>
          <cell r="L2863">
            <v>77064</v>
          </cell>
        </row>
        <row r="2864">
          <cell r="A2864">
            <v>106145</v>
          </cell>
          <cell r="B2864">
            <v>18676</v>
          </cell>
          <cell r="C2864">
            <v>23017</v>
          </cell>
          <cell r="D2864" t="str">
            <v>sa4&amp;7</v>
          </cell>
          <cell r="E2864" t="str">
            <v>B</v>
          </cell>
          <cell r="F2864" t="str">
            <v>MENTAL HEALTH PSYCHIATRIST</v>
          </cell>
          <cell r="G2864" t="str">
            <v>4735A</v>
          </cell>
          <cell r="H2864">
            <v>12844</v>
          </cell>
          <cell r="I2864">
            <v>1</v>
          </cell>
          <cell r="J2864">
            <v>6</v>
          </cell>
          <cell r="K2864">
            <v>0.5</v>
          </cell>
          <cell r="L2864">
            <v>77064</v>
          </cell>
        </row>
        <row r="2865">
          <cell r="A2865">
            <v>104238</v>
          </cell>
          <cell r="B2865">
            <v>20944</v>
          </cell>
          <cell r="C2865">
            <v>23017</v>
          </cell>
          <cell r="D2865" t="str">
            <v>sa4&amp;7</v>
          </cell>
          <cell r="E2865" t="str">
            <v>B</v>
          </cell>
          <cell r="F2865" t="str">
            <v>MENTAL HEALTH SERVICES COORD I</v>
          </cell>
          <cell r="G2865" t="str">
            <v>8148A</v>
          </cell>
          <cell r="H2865">
            <v>5126.91</v>
          </cell>
          <cell r="I2865">
            <v>1</v>
          </cell>
          <cell r="J2865">
            <v>12</v>
          </cell>
          <cell r="K2865">
            <v>1</v>
          </cell>
          <cell r="L2865">
            <v>61522.92</v>
          </cell>
        </row>
        <row r="2866">
          <cell r="A2866">
            <v>104441</v>
          </cell>
          <cell r="B2866">
            <v>20572</v>
          </cell>
          <cell r="C2866">
            <v>23017</v>
          </cell>
          <cell r="D2866" t="str">
            <v>sa4&amp;7</v>
          </cell>
          <cell r="E2866" t="str">
            <v>B</v>
          </cell>
          <cell r="F2866" t="str">
            <v>MENTAL HEALTH SERVICES COORD I</v>
          </cell>
          <cell r="G2866" t="str">
            <v>8148A</v>
          </cell>
          <cell r="H2866">
            <v>5126.91</v>
          </cell>
          <cell r="I2866">
            <v>1</v>
          </cell>
          <cell r="J2866">
            <v>12</v>
          </cell>
          <cell r="K2866">
            <v>1</v>
          </cell>
          <cell r="L2866">
            <v>61522.92</v>
          </cell>
        </row>
        <row r="2867">
          <cell r="A2867">
            <v>100580</v>
          </cell>
          <cell r="B2867">
            <v>18713</v>
          </cell>
          <cell r="C2867">
            <v>23017</v>
          </cell>
          <cell r="D2867" t="str">
            <v>sa4&amp;7</v>
          </cell>
          <cell r="E2867" t="str">
            <v>B</v>
          </cell>
          <cell r="F2867" t="str">
            <v>MNTL HLTH CLINICAL PROGRAM HEAD</v>
          </cell>
          <cell r="G2867" t="str">
            <v>4726A</v>
          </cell>
          <cell r="H2867">
            <v>8709.73</v>
          </cell>
          <cell r="I2867">
            <v>1</v>
          </cell>
          <cell r="J2867">
            <v>12</v>
          </cell>
          <cell r="K2867">
            <v>1</v>
          </cell>
          <cell r="L2867">
            <v>104516.76</v>
          </cell>
        </row>
        <row r="2868">
          <cell r="A2868">
            <v>105019</v>
          </cell>
          <cell r="B2868">
            <v>23017</v>
          </cell>
          <cell r="C2868">
            <v>23017</v>
          </cell>
          <cell r="D2868" t="str">
            <v>sa4&amp;7</v>
          </cell>
          <cell r="E2868" t="str">
            <v>B</v>
          </cell>
          <cell r="F2868" t="str">
            <v>MNTL HLTH CLINICAL PROGRAM HEAD</v>
          </cell>
          <cell r="G2868" t="str">
            <v>4726A</v>
          </cell>
          <cell r="H2868">
            <v>8709.73</v>
          </cell>
          <cell r="I2868">
            <v>1</v>
          </cell>
          <cell r="J2868">
            <v>12</v>
          </cell>
          <cell r="K2868">
            <v>1</v>
          </cell>
          <cell r="L2868">
            <v>104516.76</v>
          </cell>
        </row>
        <row r="2869">
          <cell r="A2869">
            <v>104014</v>
          </cell>
          <cell r="B2869">
            <v>20923</v>
          </cell>
          <cell r="C2869">
            <v>23017</v>
          </cell>
          <cell r="D2869" t="str">
            <v>sa4&amp;7</v>
          </cell>
          <cell r="E2869" t="str">
            <v>B</v>
          </cell>
          <cell r="F2869" t="str">
            <v xml:space="preserve">OCCUPATIONAL THERAPIST II          </v>
          </cell>
          <cell r="G2869" t="str">
            <v>5857A</v>
          </cell>
          <cell r="H2869">
            <v>6416.09</v>
          </cell>
          <cell r="I2869">
            <v>1</v>
          </cell>
          <cell r="J2869">
            <v>12</v>
          </cell>
          <cell r="K2869">
            <v>1</v>
          </cell>
          <cell r="L2869">
            <v>76993.16</v>
          </cell>
        </row>
        <row r="2870">
          <cell r="A2870">
            <v>102319</v>
          </cell>
          <cell r="B2870">
            <v>23017</v>
          </cell>
          <cell r="C2870">
            <v>23017</v>
          </cell>
          <cell r="D2870" t="str">
            <v>sa4&amp;7</v>
          </cell>
          <cell r="E2870" t="str">
            <v>B</v>
          </cell>
          <cell r="F2870" t="str">
            <v xml:space="preserve">PATIENT FINANCIAL SERVICES WORKER  </v>
          </cell>
          <cell r="G2870" t="str">
            <v>9193A</v>
          </cell>
          <cell r="H2870">
            <v>3403.55</v>
          </cell>
          <cell r="I2870">
            <v>1</v>
          </cell>
          <cell r="J2870">
            <v>12</v>
          </cell>
          <cell r="K2870">
            <v>1</v>
          </cell>
          <cell r="L2870">
            <v>40842.6</v>
          </cell>
        </row>
        <row r="2871">
          <cell r="A2871">
            <v>102328</v>
          </cell>
          <cell r="B2871">
            <v>23017</v>
          </cell>
          <cell r="C2871">
            <v>23017</v>
          </cell>
          <cell r="D2871" t="str">
            <v>sa4&amp;7</v>
          </cell>
          <cell r="E2871" t="str">
            <v>B</v>
          </cell>
          <cell r="F2871" t="str">
            <v xml:space="preserve">PATIENT FINANCIAL SERVICES WORKER  </v>
          </cell>
          <cell r="G2871" t="str">
            <v>9193A</v>
          </cell>
          <cell r="H2871">
            <v>3403.55</v>
          </cell>
          <cell r="I2871">
            <v>1</v>
          </cell>
          <cell r="J2871">
            <v>12</v>
          </cell>
          <cell r="K2871">
            <v>1</v>
          </cell>
          <cell r="L2871">
            <v>40842.6</v>
          </cell>
        </row>
        <row r="2872">
          <cell r="A2872">
            <v>109763</v>
          </cell>
          <cell r="B2872">
            <v>23017</v>
          </cell>
          <cell r="C2872">
            <v>23017</v>
          </cell>
          <cell r="D2872" t="str">
            <v>sa4&amp;7</v>
          </cell>
          <cell r="E2872" t="str">
            <v>B</v>
          </cell>
          <cell r="F2872" t="str">
            <v>PATIENT RESOURCES WORKER</v>
          </cell>
          <cell r="G2872" t="str">
            <v>9192A</v>
          </cell>
          <cell r="H2872">
            <v>2748.27</v>
          </cell>
          <cell r="I2872">
            <v>1</v>
          </cell>
          <cell r="J2872">
            <v>12</v>
          </cell>
          <cell r="K2872">
            <v>1</v>
          </cell>
          <cell r="L2872">
            <v>32979.24</v>
          </cell>
        </row>
        <row r="2873">
          <cell r="A2873">
            <v>101121</v>
          </cell>
          <cell r="B2873">
            <v>20575</v>
          </cell>
          <cell r="C2873">
            <v>23017</v>
          </cell>
          <cell r="D2873" t="str">
            <v>sa4&amp;7</v>
          </cell>
          <cell r="E2873" t="str">
            <v>B</v>
          </cell>
          <cell r="F2873" t="str">
            <v>PSYCHIATRIC SOCIAL WORKER II</v>
          </cell>
          <cell r="G2873" t="str">
            <v>9035A</v>
          </cell>
          <cell r="H2873">
            <v>5425.82</v>
          </cell>
          <cell r="I2873">
            <v>1</v>
          </cell>
          <cell r="J2873">
            <v>12</v>
          </cell>
          <cell r="K2873">
            <v>1</v>
          </cell>
          <cell r="L2873">
            <v>65109.84</v>
          </cell>
        </row>
        <row r="2874">
          <cell r="A2874">
            <v>101128</v>
          </cell>
          <cell r="B2874">
            <v>23010</v>
          </cell>
          <cell r="C2874">
            <v>23017</v>
          </cell>
          <cell r="D2874" t="str">
            <v>sa4&amp;7</v>
          </cell>
          <cell r="E2874" t="str">
            <v>B</v>
          </cell>
          <cell r="F2874" t="str">
            <v>PSYCHIATRIC SOCIAL WORKER II</v>
          </cell>
          <cell r="G2874" t="str">
            <v>9035A</v>
          </cell>
          <cell r="H2874">
            <v>5425.82</v>
          </cell>
          <cell r="I2874">
            <v>1</v>
          </cell>
          <cell r="J2874">
            <v>12</v>
          </cell>
          <cell r="K2874">
            <v>1</v>
          </cell>
          <cell r="L2874">
            <v>65109.84</v>
          </cell>
        </row>
        <row r="2875">
          <cell r="A2875">
            <v>102559</v>
          </cell>
          <cell r="B2875">
            <v>20572</v>
          </cell>
          <cell r="C2875">
            <v>23017</v>
          </cell>
          <cell r="D2875" t="str">
            <v>sa4&amp;7</v>
          </cell>
          <cell r="E2875" t="str">
            <v>B</v>
          </cell>
          <cell r="F2875" t="str">
            <v>PSYCHIATRIC SOCIAL WORKER II</v>
          </cell>
          <cell r="G2875" t="str">
            <v>9035A</v>
          </cell>
          <cell r="H2875">
            <v>5425.82</v>
          </cell>
          <cell r="I2875">
            <v>1</v>
          </cell>
          <cell r="J2875">
            <v>12</v>
          </cell>
          <cell r="K2875">
            <v>1</v>
          </cell>
          <cell r="L2875">
            <v>65109.84</v>
          </cell>
        </row>
        <row r="2876">
          <cell r="A2876">
            <v>103718</v>
          </cell>
          <cell r="B2876">
            <v>21533</v>
          </cell>
          <cell r="C2876">
            <v>23017</v>
          </cell>
          <cell r="D2876" t="str">
            <v>sa4&amp;7</v>
          </cell>
          <cell r="E2876" t="str">
            <v>B</v>
          </cell>
          <cell r="F2876" t="str">
            <v>PSYCHIATRIC SOCIAL WORKER II</v>
          </cell>
          <cell r="G2876" t="str">
            <v>9035A</v>
          </cell>
          <cell r="H2876">
            <v>5425.82</v>
          </cell>
          <cell r="I2876">
            <v>1</v>
          </cell>
          <cell r="J2876">
            <v>12</v>
          </cell>
          <cell r="K2876">
            <v>1</v>
          </cell>
          <cell r="L2876">
            <v>65109.84</v>
          </cell>
        </row>
        <row r="2877">
          <cell r="A2877">
            <v>103912</v>
          </cell>
          <cell r="B2877">
            <v>18622</v>
          </cell>
          <cell r="C2877">
            <v>23017</v>
          </cell>
          <cell r="D2877" t="str">
            <v>sa4&amp;7</v>
          </cell>
          <cell r="E2877" t="str">
            <v>B</v>
          </cell>
          <cell r="F2877" t="str">
            <v>PSYCHIATRIC SOCIAL WORKER II</v>
          </cell>
          <cell r="G2877" t="str">
            <v>9035A</v>
          </cell>
          <cell r="H2877">
            <v>5425.82</v>
          </cell>
          <cell r="I2877">
            <v>1</v>
          </cell>
          <cell r="J2877">
            <v>12</v>
          </cell>
          <cell r="K2877">
            <v>1</v>
          </cell>
          <cell r="L2877">
            <v>65109.84</v>
          </cell>
        </row>
        <row r="2878">
          <cell r="A2878">
            <v>103958</v>
          </cell>
          <cell r="B2878">
            <v>18213</v>
          </cell>
          <cell r="C2878">
            <v>23017</v>
          </cell>
          <cell r="D2878" t="str">
            <v>sa4&amp;7</v>
          </cell>
          <cell r="E2878" t="str">
            <v>B</v>
          </cell>
          <cell r="F2878" t="str">
            <v>PSYCHIATRIC SOCIAL WORKER II</v>
          </cell>
          <cell r="G2878" t="str">
            <v>9035A</v>
          </cell>
          <cell r="H2878">
            <v>5425.82</v>
          </cell>
          <cell r="I2878">
            <v>1</v>
          </cell>
          <cell r="J2878">
            <v>12</v>
          </cell>
          <cell r="K2878">
            <v>1</v>
          </cell>
          <cell r="L2878">
            <v>65109.84</v>
          </cell>
        </row>
        <row r="2879">
          <cell r="A2879">
            <v>104191</v>
          </cell>
          <cell r="B2879">
            <v>23017</v>
          </cell>
          <cell r="C2879">
            <v>23017</v>
          </cell>
          <cell r="D2879" t="str">
            <v>sa4&amp;7</v>
          </cell>
          <cell r="E2879" t="str">
            <v>B</v>
          </cell>
          <cell r="F2879" t="str">
            <v>PSYCHIATRIC SOCIAL WORKER II</v>
          </cell>
          <cell r="G2879" t="str">
            <v>9035A</v>
          </cell>
          <cell r="H2879">
            <v>5425.82</v>
          </cell>
          <cell r="I2879">
            <v>1</v>
          </cell>
          <cell r="J2879">
            <v>12</v>
          </cell>
          <cell r="K2879">
            <v>1</v>
          </cell>
          <cell r="L2879">
            <v>65109.84</v>
          </cell>
        </row>
        <row r="2880">
          <cell r="A2880">
            <v>104688</v>
          </cell>
          <cell r="B2880">
            <v>23017</v>
          </cell>
          <cell r="C2880">
            <v>23017</v>
          </cell>
          <cell r="D2880" t="str">
            <v>sa4&amp;7</v>
          </cell>
          <cell r="E2880" t="str">
            <v>B</v>
          </cell>
          <cell r="F2880" t="str">
            <v>PSYCHIATRIC SOCIAL WORKER II</v>
          </cell>
          <cell r="G2880" t="str">
            <v>9035A</v>
          </cell>
          <cell r="H2880">
            <v>5425.82</v>
          </cell>
          <cell r="I2880">
            <v>1</v>
          </cell>
          <cell r="J2880">
            <v>12</v>
          </cell>
          <cell r="K2880">
            <v>1</v>
          </cell>
          <cell r="L2880">
            <v>65109.84</v>
          </cell>
        </row>
        <row r="2881">
          <cell r="A2881">
            <v>104709</v>
          </cell>
          <cell r="B2881">
            <v>23017</v>
          </cell>
          <cell r="C2881">
            <v>23017</v>
          </cell>
          <cell r="D2881" t="str">
            <v>sa4&amp;7</v>
          </cell>
          <cell r="E2881" t="str">
            <v>B</v>
          </cell>
          <cell r="F2881" t="str">
            <v>PSYCHIATRIC SOCIAL WORKER II</v>
          </cell>
          <cell r="G2881" t="str">
            <v>9035A</v>
          </cell>
          <cell r="H2881">
            <v>5425.82</v>
          </cell>
          <cell r="I2881">
            <v>1</v>
          </cell>
          <cell r="J2881">
            <v>12</v>
          </cell>
          <cell r="K2881">
            <v>1</v>
          </cell>
          <cell r="L2881">
            <v>65109.84</v>
          </cell>
        </row>
        <row r="2882">
          <cell r="A2882">
            <v>104725</v>
          </cell>
          <cell r="B2882">
            <v>23007</v>
          </cell>
          <cell r="C2882">
            <v>23017</v>
          </cell>
          <cell r="D2882" t="str">
            <v>sa4&amp;7</v>
          </cell>
          <cell r="E2882" t="str">
            <v>B</v>
          </cell>
          <cell r="F2882" t="str">
            <v>PSYCHIATRIC SOCIAL WORKER II</v>
          </cell>
          <cell r="G2882" t="str">
            <v>9035A</v>
          </cell>
          <cell r="H2882">
            <v>5425.82</v>
          </cell>
          <cell r="I2882">
            <v>1</v>
          </cell>
          <cell r="J2882">
            <v>12</v>
          </cell>
          <cell r="K2882">
            <v>1</v>
          </cell>
          <cell r="L2882">
            <v>65109.84</v>
          </cell>
        </row>
        <row r="2883">
          <cell r="A2883">
            <v>106648</v>
          </cell>
          <cell r="B2883">
            <v>21542</v>
          </cell>
          <cell r="C2883">
            <v>23017</v>
          </cell>
          <cell r="D2883" t="str">
            <v>sa4&amp;7</v>
          </cell>
          <cell r="E2883" t="str">
            <v>B</v>
          </cell>
          <cell r="F2883" t="str">
            <v>PSYCHIATRIC SOCIAL WORKER II</v>
          </cell>
          <cell r="G2883" t="str">
            <v>9035A</v>
          </cell>
          <cell r="H2883">
            <v>5425.82</v>
          </cell>
          <cell r="I2883">
            <v>1</v>
          </cell>
          <cell r="J2883">
            <v>12</v>
          </cell>
          <cell r="K2883">
            <v>1</v>
          </cell>
          <cell r="L2883">
            <v>65109.84</v>
          </cell>
        </row>
        <row r="2884">
          <cell r="A2884">
            <v>102305</v>
          </cell>
          <cell r="B2884">
            <v>23017</v>
          </cell>
          <cell r="C2884">
            <v>23017</v>
          </cell>
          <cell r="D2884" t="str">
            <v>sa4&amp;7</v>
          </cell>
          <cell r="E2884" t="str">
            <v>B</v>
          </cell>
          <cell r="F2884" t="str">
            <v>PSYCHIATRIC TECHNICIAN II</v>
          </cell>
          <cell r="G2884" t="str">
            <v>8162A</v>
          </cell>
          <cell r="H2884">
            <v>3420.09</v>
          </cell>
          <cell r="I2884">
            <v>1</v>
          </cell>
          <cell r="J2884">
            <v>12</v>
          </cell>
          <cell r="K2884">
            <v>1</v>
          </cell>
          <cell r="L2884">
            <v>41041.08</v>
          </cell>
        </row>
        <row r="2885">
          <cell r="A2885">
            <v>103812</v>
          </cell>
          <cell r="B2885">
            <v>20446</v>
          </cell>
          <cell r="C2885">
            <v>23017</v>
          </cell>
          <cell r="D2885" t="str">
            <v>sa4&amp;7</v>
          </cell>
          <cell r="E2885" t="str">
            <v>B</v>
          </cell>
          <cell r="F2885" t="str">
            <v>PSYCHIATRIC TECHNICIAN III</v>
          </cell>
          <cell r="G2885" t="str">
            <v>8163A</v>
          </cell>
          <cell r="H2885">
            <v>3705.73</v>
          </cell>
          <cell r="I2885">
            <v>1</v>
          </cell>
          <cell r="J2885">
            <v>12</v>
          </cell>
          <cell r="K2885">
            <v>1</v>
          </cell>
          <cell r="L2885">
            <v>44468.76</v>
          </cell>
        </row>
        <row r="2886">
          <cell r="A2886">
            <v>102322</v>
          </cell>
          <cell r="B2886">
            <v>23017</v>
          </cell>
          <cell r="C2886">
            <v>23017</v>
          </cell>
          <cell r="D2886" t="str">
            <v>sa4&amp;7</v>
          </cell>
          <cell r="E2886" t="str">
            <v>B</v>
          </cell>
          <cell r="F2886" t="str">
            <v>RECREATION THERAPIST II</v>
          </cell>
          <cell r="G2886" t="str">
            <v>5872A</v>
          </cell>
          <cell r="H2886">
            <v>4667.6400000000003</v>
          </cell>
          <cell r="I2886">
            <v>1</v>
          </cell>
          <cell r="J2886">
            <v>12</v>
          </cell>
          <cell r="K2886">
            <v>1</v>
          </cell>
          <cell r="L2886">
            <v>56011.68</v>
          </cell>
        </row>
        <row r="2887">
          <cell r="A2887">
            <v>106050</v>
          </cell>
          <cell r="B2887">
            <v>21533</v>
          </cell>
          <cell r="C2887">
            <v>23017</v>
          </cell>
          <cell r="D2887" t="str">
            <v>sa4&amp;7</v>
          </cell>
          <cell r="E2887" t="str">
            <v>B</v>
          </cell>
          <cell r="F2887" t="str">
            <v>REHABILITATION COUNSELOR II</v>
          </cell>
          <cell r="G2887" t="str">
            <v>8593A</v>
          </cell>
          <cell r="H2887">
            <v>4076.09</v>
          </cell>
          <cell r="I2887">
            <v>1</v>
          </cell>
          <cell r="J2887">
            <v>12</v>
          </cell>
          <cell r="K2887">
            <v>1</v>
          </cell>
          <cell r="L2887">
            <v>48922.8</v>
          </cell>
        </row>
        <row r="2888">
          <cell r="A2888">
            <v>106191</v>
          </cell>
          <cell r="B2888">
            <v>18676</v>
          </cell>
          <cell r="C2888">
            <v>23017</v>
          </cell>
          <cell r="D2888" t="str">
            <v>sa4&amp;7</v>
          </cell>
          <cell r="E2888" t="str">
            <v>B</v>
          </cell>
          <cell r="F2888" t="str">
            <v xml:space="preserve">SENIOR COMMUNITY WORKER I          </v>
          </cell>
          <cell r="G2888" t="str">
            <v>8104A</v>
          </cell>
          <cell r="H2888">
            <v>3087.73</v>
          </cell>
          <cell r="I2888">
            <v>1</v>
          </cell>
          <cell r="J2888">
            <v>12</v>
          </cell>
          <cell r="K2888">
            <v>1</v>
          </cell>
          <cell r="L2888">
            <v>37052.76</v>
          </cell>
        </row>
        <row r="2889">
          <cell r="A2889">
            <v>103326</v>
          </cell>
          <cell r="B2889">
            <v>23017</v>
          </cell>
          <cell r="C2889">
            <v>23017</v>
          </cell>
          <cell r="D2889" t="str">
            <v>sa4&amp;7</v>
          </cell>
          <cell r="E2889" t="str">
            <v>B</v>
          </cell>
          <cell r="F2889" t="str">
            <v>SENIOR MENTAL HEALTH COUNSELOR, RN</v>
          </cell>
          <cell r="G2889" t="str">
            <v>5280A</v>
          </cell>
          <cell r="H2889">
            <v>6790.09</v>
          </cell>
          <cell r="I2889">
            <v>1</v>
          </cell>
          <cell r="J2889">
            <v>12</v>
          </cell>
          <cell r="K2889">
            <v>1</v>
          </cell>
          <cell r="L2889">
            <v>83105.40203389831</v>
          </cell>
        </row>
        <row r="2890">
          <cell r="A2890">
            <v>102324</v>
          </cell>
          <cell r="B2890">
            <v>23017</v>
          </cell>
          <cell r="C2890">
            <v>23017</v>
          </cell>
          <cell r="D2890" t="str">
            <v>sa4&amp;7</v>
          </cell>
          <cell r="E2890" t="str">
            <v>B</v>
          </cell>
          <cell r="F2890" t="str">
            <v xml:space="preserve">SENIOR SECRETARY III               </v>
          </cell>
          <cell r="G2890" t="str">
            <v>2102A</v>
          </cell>
          <cell r="H2890">
            <v>4106.3599999999997</v>
          </cell>
          <cell r="I2890">
            <v>1</v>
          </cell>
          <cell r="J2890">
            <v>12</v>
          </cell>
          <cell r="K2890">
            <v>1</v>
          </cell>
          <cell r="L2890">
            <v>49276.56</v>
          </cell>
        </row>
        <row r="2891">
          <cell r="A2891">
            <v>106058</v>
          </cell>
          <cell r="B2891">
            <v>21533</v>
          </cell>
          <cell r="C2891">
            <v>23017</v>
          </cell>
          <cell r="D2891" t="str">
            <v>sa4&amp;7</v>
          </cell>
          <cell r="E2891" t="str">
            <v>B</v>
          </cell>
          <cell r="F2891" t="str">
            <v xml:space="preserve">SENIOR TYPIST-CLERK                </v>
          </cell>
          <cell r="G2891" t="str">
            <v>2216A</v>
          </cell>
          <cell r="H2891">
            <v>3013.55</v>
          </cell>
          <cell r="I2891">
            <v>1</v>
          </cell>
          <cell r="J2891">
            <v>12</v>
          </cell>
          <cell r="K2891">
            <v>1</v>
          </cell>
          <cell r="L2891">
            <v>36162.6</v>
          </cell>
        </row>
        <row r="2892">
          <cell r="A2892">
            <v>103327</v>
          </cell>
          <cell r="B2892">
            <v>23017</v>
          </cell>
          <cell r="C2892">
            <v>23017</v>
          </cell>
          <cell r="D2892" t="str">
            <v>sa4&amp;7</v>
          </cell>
          <cell r="E2892" t="str">
            <v>B</v>
          </cell>
          <cell r="F2892" t="str">
            <v xml:space="preserve">STAFF ASSISTANT II                 </v>
          </cell>
          <cell r="G2892" t="str">
            <v>0913A</v>
          </cell>
          <cell r="H2892">
            <v>4167.45</v>
          </cell>
          <cell r="I2892">
            <v>1</v>
          </cell>
          <cell r="J2892">
            <v>12</v>
          </cell>
          <cell r="K2892">
            <v>1</v>
          </cell>
          <cell r="L2892">
            <v>50009.24</v>
          </cell>
        </row>
        <row r="2893">
          <cell r="A2893">
            <v>104476</v>
          </cell>
          <cell r="B2893">
            <v>20492</v>
          </cell>
          <cell r="C2893">
            <v>23017</v>
          </cell>
          <cell r="D2893" t="str">
            <v>sa4&amp;7</v>
          </cell>
          <cell r="E2893" t="str">
            <v>B</v>
          </cell>
          <cell r="F2893" t="str">
            <v xml:space="preserve">SUPVG MENTAL HEALTH PSYCHIATRIST   </v>
          </cell>
          <cell r="G2893" t="str">
            <v>4737A</v>
          </cell>
          <cell r="H2893">
            <v>13870</v>
          </cell>
          <cell r="I2893">
            <v>1</v>
          </cell>
          <cell r="J2893">
            <v>12</v>
          </cell>
          <cell r="K2893">
            <v>1</v>
          </cell>
          <cell r="L2893">
            <v>166440</v>
          </cell>
        </row>
        <row r="2894">
          <cell r="A2894">
            <v>102325</v>
          </cell>
          <cell r="B2894">
            <v>23017</v>
          </cell>
          <cell r="C2894">
            <v>23017</v>
          </cell>
          <cell r="D2894" t="str">
            <v>sa4&amp;7</v>
          </cell>
          <cell r="E2894" t="str">
            <v>B</v>
          </cell>
          <cell r="F2894" t="str">
            <v xml:space="preserve">SUPVG PSYCHIATRIC SOCIAL WORKER    </v>
          </cell>
          <cell r="G2894" t="str">
            <v>9038A</v>
          </cell>
          <cell r="H2894">
            <v>6062.45</v>
          </cell>
          <cell r="I2894">
            <v>1</v>
          </cell>
          <cell r="J2894">
            <v>12</v>
          </cell>
          <cell r="K2894">
            <v>1</v>
          </cell>
          <cell r="L2894">
            <v>72749.399999999994</v>
          </cell>
        </row>
        <row r="2895">
          <cell r="A2895">
            <v>102718</v>
          </cell>
          <cell r="B2895">
            <v>23200</v>
          </cell>
          <cell r="C2895">
            <v>23017</v>
          </cell>
          <cell r="D2895" t="str">
            <v>sa4&amp;7</v>
          </cell>
          <cell r="E2895" t="str">
            <v>B</v>
          </cell>
          <cell r="F2895" t="str">
            <v xml:space="preserve">SUPVG PSYCHIATRIC SOCIAL WORKER    </v>
          </cell>
          <cell r="G2895" t="str">
            <v>9038A</v>
          </cell>
          <cell r="H2895">
            <v>6062.45</v>
          </cell>
          <cell r="I2895">
            <v>1</v>
          </cell>
          <cell r="J2895">
            <v>12</v>
          </cell>
          <cell r="K2895">
            <v>1</v>
          </cell>
          <cell r="L2895">
            <v>72749.399999999994</v>
          </cell>
        </row>
        <row r="2896">
          <cell r="A2896">
            <v>103330</v>
          </cell>
          <cell r="B2896">
            <v>23036</v>
          </cell>
          <cell r="C2896">
            <v>23036</v>
          </cell>
          <cell r="D2896" t="str">
            <v>sa4&amp;7</v>
          </cell>
          <cell r="E2896" t="str">
            <v>B</v>
          </cell>
          <cell r="F2896" t="str">
            <v>CONSULTING SPECIALIST, MD (PER SESSION)</v>
          </cell>
          <cell r="G2896" t="str">
            <v>5472J</v>
          </cell>
          <cell r="H2896">
            <v>314</v>
          </cell>
          <cell r="I2896">
            <v>1</v>
          </cell>
          <cell r="J2896">
            <v>34</v>
          </cell>
          <cell r="K2896">
            <v>6.5134099616858232E-2</v>
          </cell>
          <cell r="L2896">
            <v>10675.68</v>
          </cell>
        </row>
        <row r="2897">
          <cell r="A2897">
            <v>100430</v>
          </cell>
          <cell r="B2897">
            <v>23036</v>
          </cell>
          <cell r="C2897">
            <v>23036</v>
          </cell>
          <cell r="D2897" t="str">
            <v>sa4&amp;7</v>
          </cell>
          <cell r="E2897" t="str">
            <v>B</v>
          </cell>
          <cell r="F2897" t="str">
            <v>INTERMEDIATE TYPIST-CLERK</v>
          </cell>
          <cell r="G2897" t="str">
            <v>2214A</v>
          </cell>
          <cell r="H2897">
            <v>2675.27</v>
          </cell>
          <cell r="I2897">
            <v>1</v>
          </cell>
          <cell r="J2897">
            <v>12</v>
          </cell>
          <cell r="K2897">
            <v>1</v>
          </cell>
          <cell r="L2897">
            <v>32103.16</v>
          </cell>
        </row>
        <row r="2898">
          <cell r="A2898">
            <v>102666</v>
          </cell>
          <cell r="B2898">
            <v>20477</v>
          </cell>
          <cell r="C2898">
            <v>23036</v>
          </cell>
          <cell r="D2898" t="str">
            <v>sa4&amp;7</v>
          </cell>
          <cell r="E2898" t="str">
            <v>B</v>
          </cell>
          <cell r="F2898" t="str">
            <v>INTERMEDIATE TYPIST-CLERK</v>
          </cell>
          <cell r="G2898" t="str">
            <v>2214A</v>
          </cell>
          <cell r="H2898">
            <v>2675.27</v>
          </cell>
          <cell r="I2898">
            <v>1</v>
          </cell>
          <cell r="J2898">
            <v>12</v>
          </cell>
          <cell r="K2898">
            <v>1</v>
          </cell>
          <cell r="L2898">
            <v>32103.16</v>
          </cell>
        </row>
        <row r="2899">
          <cell r="A2899">
            <v>109705</v>
          </cell>
          <cell r="B2899">
            <v>23036</v>
          </cell>
          <cell r="C2899">
            <v>23036</v>
          </cell>
          <cell r="D2899" t="str">
            <v>sa4&amp;7</v>
          </cell>
          <cell r="E2899" t="str">
            <v>B</v>
          </cell>
          <cell r="F2899" t="str">
            <v>INTERMEDIATE TYPIST-CLERK</v>
          </cell>
          <cell r="G2899" t="str">
            <v>2214A</v>
          </cell>
          <cell r="H2899">
            <v>2675.27</v>
          </cell>
          <cell r="I2899">
            <v>1</v>
          </cell>
          <cell r="J2899">
            <v>12</v>
          </cell>
          <cell r="K2899">
            <v>1</v>
          </cell>
          <cell r="L2899">
            <v>32103.24</v>
          </cell>
        </row>
        <row r="2900">
          <cell r="A2900">
            <v>109706</v>
          </cell>
          <cell r="B2900">
            <v>23036</v>
          </cell>
          <cell r="C2900">
            <v>23036</v>
          </cell>
          <cell r="D2900" t="str">
            <v>sa4&amp;7</v>
          </cell>
          <cell r="E2900" t="str">
            <v>B</v>
          </cell>
          <cell r="F2900" t="str">
            <v>INTERMEDIATE TYPIST-CLERK</v>
          </cell>
          <cell r="G2900" t="str">
            <v>2214A</v>
          </cell>
          <cell r="H2900">
            <v>2675.27</v>
          </cell>
          <cell r="I2900">
            <v>1</v>
          </cell>
          <cell r="J2900">
            <v>12</v>
          </cell>
          <cell r="K2900">
            <v>1</v>
          </cell>
          <cell r="L2900">
            <v>32103.24</v>
          </cell>
        </row>
        <row r="2901">
          <cell r="A2901">
            <v>109707</v>
          </cell>
          <cell r="B2901">
            <v>23036</v>
          </cell>
          <cell r="C2901">
            <v>23036</v>
          </cell>
          <cell r="D2901" t="str">
            <v>sa4&amp;7</v>
          </cell>
          <cell r="E2901" t="str">
            <v>B</v>
          </cell>
          <cell r="F2901" t="str">
            <v>INTERMEDIATE TYPIST-CLERK</v>
          </cell>
          <cell r="G2901" t="str">
            <v>2214A</v>
          </cell>
          <cell r="H2901">
            <v>2675.27</v>
          </cell>
          <cell r="I2901">
            <v>1</v>
          </cell>
          <cell r="J2901">
            <v>12</v>
          </cell>
          <cell r="K2901">
            <v>1</v>
          </cell>
          <cell r="L2901">
            <v>32103.24</v>
          </cell>
        </row>
        <row r="2902">
          <cell r="A2902">
            <v>102232</v>
          </cell>
          <cell r="B2902">
            <v>23036</v>
          </cell>
          <cell r="C2902">
            <v>23036</v>
          </cell>
          <cell r="D2902" t="str">
            <v>sa4&amp;7</v>
          </cell>
          <cell r="E2902" t="str">
            <v>B</v>
          </cell>
          <cell r="F2902" t="str">
            <v>MEDICAL CASE WORKER II</v>
          </cell>
          <cell r="G2902" t="str">
            <v>9002A</v>
          </cell>
          <cell r="H2902">
            <v>3938.82</v>
          </cell>
          <cell r="I2902">
            <v>1</v>
          </cell>
          <cell r="J2902">
            <v>12</v>
          </cell>
          <cell r="K2902">
            <v>1</v>
          </cell>
          <cell r="L2902">
            <v>47265.68</v>
          </cell>
        </row>
        <row r="2903">
          <cell r="A2903">
            <v>106011</v>
          </cell>
          <cell r="B2903">
            <v>21533</v>
          </cell>
          <cell r="C2903">
            <v>23036</v>
          </cell>
          <cell r="D2903" t="str">
            <v>sa4&amp;7</v>
          </cell>
          <cell r="E2903" t="str">
            <v>B</v>
          </cell>
          <cell r="F2903" t="str">
            <v>MEDICAL CASE WORKER II</v>
          </cell>
          <cell r="G2903" t="str">
            <v>9002A</v>
          </cell>
          <cell r="H2903">
            <v>3938.82</v>
          </cell>
          <cell r="I2903">
            <v>1</v>
          </cell>
          <cell r="J2903">
            <v>12</v>
          </cell>
          <cell r="K2903">
            <v>1</v>
          </cell>
          <cell r="L2903">
            <v>47265.68</v>
          </cell>
        </row>
        <row r="2904">
          <cell r="A2904">
            <v>106630</v>
          </cell>
          <cell r="B2904">
            <v>18676</v>
          </cell>
          <cell r="C2904">
            <v>23036</v>
          </cell>
          <cell r="D2904" t="str">
            <v>sa4&amp;7</v>
          </cell>
          <cell r="E2904" t="str">
            <v>B</v>
          </cell>
          <cell r="F2904" t="str">
            <v>MENTAL HEALTH COUNSELOR, RN</v>
          </cell>
          <cell r="G2904" t="str">
            <v>5278A</v>
          </cell>
          <cell r="H2904">
            <v>6275.27</v>
          </cell>
          <cell r="I2904">
            <v>1</v>
          </cell>
          <cell r="J2904">
            <v>12</v>
          </cell>
          <cell r="K2904">
            <v>1</v>
          </cell>
          <cell r="L2904">
            <v>76804.323333333334</v>
          </cell>
        </row>
        <row r="2905">
          <cell r="A2905">
            <v>102240</v>
          </cell>
          <cell r="B2905">
            <v>23036</v>
          </cell>
          <cell r="C2905">
            <v>23036</v>
          </cell>
          <cell r="D2905" t="str">
            <v>sa4&amp;7</v>
          </cell>
          <cell r="E2905" t="str">
            <v>B</v>
          </cell>
          <cell r="F2905" t="str">
            <v>MENTAL HEALTH PSYCHIATRIST</v>
          </cell>
          <cell r="G2905" t="str">
            <v>4735A</v>
          </cell>
          <cell r="H2905">
            <v>12844</v>
          </cell>
          <cell r="I2905">
            <v>1</v>
          </cell>
          <cell r="J2905">
            <v>3</v>
          </cell>
          <cell r="K2905">
            <v>0.25</v>
          </cell>
          <cell r="L2905">
            <v>38532</v>
          </cell>
        </row>
        <row r="2906">
          <cell r="A2906">
            <v>103029</v>
          </cell>
          <cell r="B2906">
            <v>18593</v>
          </cell>
          <cell r="C2906">
            <v>23036</v>
          </cell>
          <cell r="D2906" t="str">
            <v>sa4&amp;7</v>
          </cell>
          <cell r="E2906" t="str">
            <v>B</v>
          </cell>
          <cell r="F2906" t="str">
            <v>MENTAL HEALTH PSYCHIATRIST</v>
          </cell>
          <cell r="G2906" t="str">
            <v>4735A</v>
          </cell>
          <cell r="H2906">
            <v>12844</v>
          </cell>
          <cell r="I2906">
            <v>1</v>
          </cell>
          <cell r="J2906">
            <v>12</v>
          </cell>
          <cell r="K2906">
            <v>1</v>
          </cell>
          <cell r="L2906">
            <v>154128</v>
          </cell>
        </row>
        <row r="2907">
          <cell r="A2907">
            <v>106315</v>
          </cell>
          <cell r="B2907">
            <v>23036</v>
          </cell>
          <cell r="C2907">
            <v>23036</v>
          </cell>
          <cell r="D2907" t="str">
            <v>sa4&amp;7</v>
          </cell>
          <cell r="E2907" t="str">
            <v>B</v>
          </cell>
          <cell r="F2907" t="str">
            <v>MENTAL HEALTH PSYCHIATRIST</v>
          </cell>
          <cell r="G2907" t="str">
            <v>4735A</v>
          </cell>
          <cell r="H2907">
            <v>12844</v>
          </cell>
          <cell r="I2907">
            <v>1</v>
          </cell>
          <cell r="J2907">
            <v>6</v>
          </cell>
          <cell r="K2907">
            <v>0.5</v>
          </cell>
          <cell r="L2907">
            <v>77064</v>
          </cell>
        </row>
        <row r="2908">
          <cell r="A2908">
            <v>107330</v>
          </cell>
          <cell r="B2908">
            <v>21557</v>
          </cell>
          <cell r="C2908">
            <v>23036</v>
          </cell>
          <cell r="D2908" t="str">
            <v>sa4&amp;7</v>
          </cell>
          <cell r="E2908" t="str">
            <v>B</v>
          </cell>
          <cell r="F2908" t="str">
            <v>MENTAL HEALTH SERVICES COORD II</v>
          </cell>
          <cell r="G2908" t="str">
            <v>8149A</v>
          </cell>
          <cell r="H2908">
            <v>5152.3599999999997</v>
          </cell>
          <cell r="I2908">
            <v>1</v>
          </cell>
          <cell r="J2908">
            <v>12</v>
          </cell>
          <cell r="K2908">
            <v>1</v>
          </cell>
          <cell r="L2908">
            <v>61828.72</v>
          </cell>
        </row>
        <row r="2909">
          <cell r="A2909">
            <v>109769</v>
          </cell>
          <cell r="B2909">
            <v>23036</v>
          </cell>
          <cell r="C2909">
            <v>23036</v>
          </cell>
          <cell r="D2909" t="str">
            <v>sa4&amp;7</v>
          </cell>
          <cell r="E2909" t="str">
            <v>B</v>
          </cell>
          <cell r="F2909" t="str">
            <v xml:space="preserve">PATIENT FINANCIAL SERVICES WORKER  </v>
          </cell>
          <cell r="G2909" t="str">
            <v>9193A</v>
          </cell>
          <cell r="H2909">
            <v>3403.55</v>
          </cell>
          <cell r="I2909">
            <v>1</v>
          </cell>
          <cell r="J2909">
            <v>12</v>
          </cell>
          <cell r="K2909">
            <v>1</v>
          </cell>
          <cell r="L2909">
            <v>40842.6</v>
          </cell>
        </row>
        <row r="2910">
          <cell r="A2910">
            <v>109764</v>
          </cell>
          <cell r="B2910">
            <v>23036</v>
          </cell>
          <cell r="C2910">
            <v>23036</v>
          </cell>
          <cell r="D2910" t="str">
            <v>sa4&amp;7</v>
          </cell>
          <cell r="E2910" t="str">
            <v>B</v>
          </cell>
          <cell r="F2910" t="str">
            <v>PATIENT RESOURCES WORKER</v>
          </cell>
          <cell r="G2910" t="str">
            <v>9192A</v>
          </cell>
          <cell r="H2910">
            <v>2748.27</v>
          </cell>
          <cell r="I2910">
            <v>1</v>
          </cell>
          <cell r="J2910">
            <v>12</v>
          </cell>
          <cell r="K2910">
            <v>1</v>
          </cell>
          <cell r="L2910">
            <v>32979.24</v>
          </cell>
        </row>
        <row r="2911">
          <cell r="A2911">
            <v>101154</v>
          </cell>
          <cell r="B2911">
            <v>18608</v>
          </cell>
          <cell r="C2911">
            <v>23036</v>
          </cell>
          <cell r="D2911" t="str">
            <v>sa4&amp;7</v>
          </cell>
          <cell r="E2911" t="str">
            <v>B</v>
          </cell>
          <cell r="F2911" t="str">
            <v>PSYCHIATRIC SOCIAL WORKER II</v>
          </cell>
          <cell r="G2911" t="str">
            <v>9035A</v>
          </cell>
          <cell r="H2911">
            <v>5425.82</v>
          </cell>
          <cell r="I2911">
            <v>1</v>
          </cell>
          <cell r="J2911">
            <v>12</v>
          </cell>
          <cell r="K2911">
            <v>1</v>
          </cell>
          <cell r="L2911">
            <v>65109.84</v>
          </cell>
        </row>
        <row r="2912">
          <cell r="A2912">
            <v>102852</v>
          </cell>
          <cell r="B2912">
            <v>23036</v>
          </cell>
          <cell r="C2912">
            <v>23036</v>
          </cell>
          <cell r="D2912" t="str">
            <v>sa4&amp;7</v>
          </cell>
          <cell r="E2912" t="str">
            <v>B</v>
          </cell>
          <cell r="F2912" t="str">
            <v>PSYCHIATRIC SOCIAL WORKER II</v>
          </cell>
          <cell r="G2912" t="str">
            <v>9035A</v>
          </cell>
          <cell r="H2912">
            <v>5425.82</v>
          </cell>
          <cell r="I2912">
            <v>1</v>
          </cell>
          <cell r="J2912">
            <v>12</v>
          </cell>
          <cell r="K2912">
            <v>1</v>
          </cell>
          <cell r="L2912">
            <v>65109.84</v>
          </cell>
        </row>
        <row r="2913">
          <cell r="A2913">
            <v>103083</v>
          </cell>
          <cell r="B2913">
            <v>23036</v>
          </cell>
          <cell r="C2913">
            <v>23036</v>
          </cell>
          <cell r="D2913" t="str">
            <v>sa4&amp;7</v>
          </cell>
          <cell r="E2913" t="str">
            <v>B</v>
          </cell>
          <cell r="F2913" t="str">
            <v>PSYCHIATRIC SOCIAL WORKER II</v>
          </cell>
          <cell r="G2913" t="str">
            <v>9035A</v>
          </cell>
          <cell r="H2913">
            <v>5425.82</v>
          </cell>
          <cell r="I2913">
            <v>1</v>
          </cell>
          <cell r="J2913">
            <v>12</v>
          </cell>
          <cell r="K2913">
            <v>1</v>
          </cell>
          <cell r="L2913">
            <v>65109.84</v>
          </cell>
        </row>
        <row r="2914">
          <cell r="A2914">
            <v>103529</v>
          </cell>
          <cell r="B2914">
            <v>23017</v>
          </cell>
          <cell r="C2914">
            <v>23036</v>
          </cell>
          <cell r="D2914" t="str">
            <v>sa4&amp;7</v>
          </cell>
          <cell r="E2914" t="str">
            <v>B</v>
          </cell>
          <cell r="F2914" t="str">
            <v>PSYCHIATRIC SOCIAL WORKER II</v>
          </cell>
          <cell r="G2914" t="str">
            <v>9035A</v>
          </cell>
          <cell r="H2914">
            <v>5425.82</v>
          </cell>
          <cell r="I2914">
            <v>1</v>
          </cell>
          <cell r="J2914">
            <v>12</v>
          </cell>
          <cell r="K2914">
            <v>1</v>
          </cell>
          <cell r="L2914">
            <v>65109.84</v>
          </cell>
        </row>
        <row r="2915">
          <cell r="A2915">
            <v>104118</v>
          </cell>
          <cell r="B2915">
            <v>23036</v>
          </cell>
          <cell r="C2915">
            <v>23036</v>
          </cell>
          <cell r="D2915" t="str">
            <v>sa4&amp;7</v>
          </cell>
          <cell r="E2915" t="str">
            <v>B</v>
          </cell>
          <cell r="F2915" t="str">
            <v>PSYCHIATRIC SOCIAL WORKER II</v>
          </cell>
          <cell r="G2915" t="str">
            <v>9035A</v>
          </cell>
          <cell r="H2915">
            <v>5425.82</v>
          </cell>
          <cell r="I2915">
            <v>1</v>
          </cell>
          <cell r="J2915">
            <v>12</v>
          </cell>
          <cell r="K2915">
            <v>1</v>
          </cell>
          <cell r="L2915">
            <v>65109.84</v>
          </cell>
        </row>
        <row r="2916">
          <cell r="A2916">
            <v>104121</v>
          </cell>
          <cell r="B2916">
            <v>23036</v>
          </cell>
          <cell r="C2916">
            <v>23036</v>
          </cell>
          <cell r="D2916" t="str">
            <v>sa4&amp;7</v>
          </cell>
          <cell r="E2916" t="str">
            <v>B</v>
          </cell>
          <cell r="F2916" t="str">
            <v>PSYCHIATRIC SOCIAL WORKER II</v>
          </cell>
          <cell r="G2916" t="str">
            <v>9035A</v>
          </cell>
          <cell r="H2916">
            <v>5425.82</v>
          </cell>
          <cell r="I2916">
            <v>1</v>
          </cell>
          <cell r="J2916">
            <v>12</v>
          </cell>
          <cell r="K2916">
            <v>1</v>
          </cell>
          <cell r="L2916">
            <v>65109.84</v>
          </cell>
        </row>
        <row r="2917">
          <cell r="A2917">
            <v>104165</v>
          </cell>
          <cell r="B2917">
            <v>23036</v>
          </cell>
          <cell r="C2917">
            <v>23036</v>
          </cell>
          <cell r="D2917" t="str">
            <v>sa4&amp;7</v>
          </cell>
          <cell r="E2917" t="str">
            <v>B</v>
          </cell>
          <cell r="F2917" t="str">
            <v>PSYCHIATRIC SOCIAL WORKER II</v>
          </cell>
          <cell r="G2917" t="str">
            <v>9035A</v>
          </cell>
          <cell r="H2917">
            <v>5425.82</v>
          </cell>
          <cell r="I2917">
            <v>1</v>
          </cell>
          <cell r="J2917">
            <v>12</v>
          </cell>
          <cell r="K2917">
            <v>1</v>
          </cell>
          <cell r="L2917">
            <v>65109.84</v>
          </cell>
        </row>
        <row r="2918">
          <cell r="A2918">
            <v>104200</v>
          </cell>
          <cell r="B2918">
            <v>23036</v>
          </cell>
          <cell r="C2918">
            <v>23036</v>
          </cell>
          <cell r="D2918" t="str">
            <v>sa4&amp;7</v>
          </cell>
          <cell r="E2918" t="str">
            <v>B</v>
          </cell>
          <cell r="F2918" t="str">
            <v>PSYCHIATRIC SOCIAL WORKER II</v>
          </cell>
          <cell r="G2918" t="str">
            <v>9035A</v>
          </cell>
          <cell r="H2918">
            <v>5425.82</v>
          </cell>
          <cell r="I2918">
            <v>1</v>
          </cell>
          <cell r="J2918">
            <v>12</v>
          </cell>
          <cell r="K2918">
            <v>1</v>
          </cell>
          <cell r="L2918">
            <v>65109.84</v>
          </cell>
        </row>
        <row r="2919">
          <cell r="A2919">
            <v>104204</v>
          </cell>
          <cell r="B2919">
            <v>21561</v>
          </cell>
          <cell r="C2919">
            <v>23036</v>
          </cell>
          <cell r="D2919" t="str">
            <v>sa4&amp;7</v>
          </cell>
          <cell r="E2919" t="str">
            <v>B</v>
          </cell>
          <cell r="F2919" t="str">
            <v>PSYCHIATRIC SOCIAL WORKER II</v>
          </cell>
          <cell r="G2919" t="str">
            <v>9035A</v>
          </cell>
          <cell r="H2919">
            <v>5425.82</v>
          </cell>
          <cell r="I2919">
            <v>1</v>
          </cell>
          <cell r="J2919">
            <v>12</v>
          </cell>
          <cell r="K2919">
            <v>1</v>
          </cell>
          <cell r="L2919">
            <v>65109.84</v>
          </cell>
        </row>
        <row r="2920">
          <cell r="A2920">
            <v>106193</v>
          </cell>
          <cell r="B2920">
            <v>18676</v>
          </cell>
          <cell r="C2920">
            <v>23036</v>
          </cell>
          <cell r="D2920" t="str">
            <v>sa4&amp;7</v>
          </cell>
          <cell r="E2920" t="str">
            <v>B</v>
          </cell>
          <cell r="F2920" t="str">
            <v xml:space="preserve">SENIOR COMMUNITY WORKER I          </v>
          </cell>
          <cell r="G2920" t="str">
            <v>8104A</v>
          </cell>
          <cell r="H2920">
            <v>3087.73</v>
          </cell>
          <cell r="I2920">
            <v>1</v>
          </cell>
          <cell r="J2920">
            <v>12</v>
          </cell>
          <cell r="K2920">
            <v>1</v>
          </cell>
          <cell r="L2920">
            <v>37052.76</v>
          </cell>
        </row>
        <row r="2921">
          <cell r="A2921">
            <v>106317</v>
          </cell>
          <cell r="B2921">
            <v>23036</v>
          </cell>
          <cell r="C2921">
            <v>23036</v>
          </cell>
          <cell r="D2921" t="str">
            <v>sa4&amp;7</v>
          </cell>
          <cell r="E2921" t="str">
            <v>B</v>
          </cell>
          <cell r="F2921" t="str">
            <v xml:space="preserve">SENIOR COMMUNITY WORKER I          </v>
          </cell>
          <cell r="G2921" t="str">
            <v>8104A</v>
          </cell>
          <cell r="H2921">
            <v>3087.73</v>
          </cell>
          <cell r="I2921">
            <v>1</v>
          </cell>
          <cell r="J2921">
            <v>12</v>
          </cell>
          <cell r="K2921">
            <v>1</v>
          </cell>
          <cell r="L2921">
            <v>37052.76</v>
          </cell>
        </row>
        <row r="2922">
          <cell r="A2922">
            <v>107004</v>
          </cell>
          <cell r="B2922">
            <v>18593</v>
          </cell>
          <cell r="C2922">
            <v>23036</v>
          </cell>
          <cell r="D2922" t="str">
            <v>sa4&amp;7</v>
          </cell>
          <cell r="E2922" t="str">
            <v>B</v>
          </cell>
          <cell r="F2922" t="str">
            <v xml:space="preserve">SENIOR TYPIST-CLERK                </v>
          </cell>
          <cell r="G2922" t="str">
            <v>2216A</v>
          </cell>
          <cell r="H2922">
            <v>3013.55</v>
          </cell>
          <cell r="I2922">
            <v>1</v>
          </cell>
          <cell r="J2922">
            <v>12</v>
          </cell>
          <cell r="K2922">
            <v>1</v>
          </cell>
          <cell r="L2922">
            <v>36162.6</v>
          </cell>
        </row>
        <row r="2923">
          <cell r="A2923">
            <v>104354</v>
          </cell>
          <cell r="B2923">
            <v>23036</v>
          </cell>
          <cell r="C2923">
            <v>23036</v>
          </cell>
          <cell r="D2923" t="str">
            <v>sa4&amp;7</v>
          </cell>
          <cell r="E2923" t="str">
            <v>B</v>
          </cell>
          <cell r="F2923" t="str">
            <v xml:space="preserve">SUPVG PSYCHIATRIC SOCIAL WORKER    </v>
          </cell>
          <cell r="G2923" t="str">
            <v>9038A</v>
          </cell>
          <cell r="H2923">
            <v>6062.45</v>
          </cell>
          <cell r="I2923">
            <v>1</v>
          </cell>
          <cell r="J2923">
            <v>12</v>
          </cell>
          <cell r="K2923">
            <v>1</v>
          </cell>
          <cell r="L2923">
            <v>72749.399999999994</v>
          </cell>
        </row>
        <row r="2924">
          <cell r="A2924">
            <v>105046</v>
          </cell>
          <cell r="B2924">
            <v>23036</v>
          </cell>
          <cell r="C2924">
            <v>23036</v>
          </cell>
          <cell r="D2924" t="str">
            <v>sa4&amp;7</v>
          </cell>
          <cell r="E2924" t="str">
            <v>B</v>
          </cell>
          <cell r="F2924" t="str">
            <v xml:space="preserve">SUPVG PSYCHIATRIC SOCIAL WORKER    </v>
          </cell>
          <cell r="G2924" t="str">
            <v>9038A</v>
          </cell>
          <cell r="H2924">
            <v>6062.45</v>
          </cell>
          <cell r="I2924">
            <v>1</v>
          </cell>
          <cell r="J2924">
            <v>12</v>
          </cell>
          <cell r="K2924">
            <v>1</v>
          </cell>
          <cell r="L2924">
            <v>72749.399999999994</v>
          </cell>
        </row>
        <row r="2925">
          <cell r="A2925">
            <v>109736</v>
          </cell>
          <cell r="B2925">
            <v>20924</v>
          </cell>
          <cell r="C2925">
            <v>20924</v>
          </cell>
          <cell r="D2925" t="str">
            <v>sa4&amp;7</v>
          </cell>
          <cell r="E2925" t="str">
            <v>B</v>
          </cell>
          <cell r="F2925" t="str">
            <v>INTERMEDIATE TYPIST-CLERK</v>
          </cell>
          <cell r="G2925" t="str">
            <v>2214A</v>
          </cell>
          <cell r="H2925">
            <v>2675.27</v>
          </cell>
          <cell r="I2925">
            <v>1</v>
          </cell>
          <cell r="J2925">
            <v>12</v>
          </cell>
          <cell r="K2925">
            <v>1</v>
          </cell>
          <cell r="L2925">
            <v>32103.24</v>
          </cell>
        </row>
        <row r="2926">
          <cell r="A2926">
            <v>100475</v>
          </cell>
          <cell r="B2926">
            <v>20499</v>
          </cell>
          <cell r="C2926">
            <v>20924</v>
          </cell>
          <cell r="D2926" t="str">
            <v>sa4&amp;7</v>
          </cell>
          <cell r="E2926" t="str">
            <v>B</v>
          </cell>
          <cell r="F2926" t="str">
            <v>MEDICAL CASE WORKER II</v>
          </cell>
          <cell r="G2926" t="str">
            <v>9002A</v>
          </cell>
          <cell r="H2926">
            <v>3938.82</v>
          </cell>
          <cell r="I2926">
            <v>1</v>
          </cell>
          <cell r="J2926">
            <v>12</v>
          </cell>
          <cell r="K2926">
            <v>1</v>
          </cell>
          <cell r="L2926">
            <v>47265.68</v>
          </cell>
        </row>
        <row r="2927">
          <cell r="A2927">
            <v>102869</v>
          </cell>
          <cell r="B2927">
            <v>20924</v>
          </cell>
          <cell r="C2927">
            <v>20924</v>
          </cell>
          <cell r="D2927" t="str">
            <v>sa4&amp;7</v>
          </cell>
          <cell r="E2927" t="str">
            <v>B</v>
          </cell>
          <cell r="F2927" t="str">
            <v>MEDICAL CASE WORKER II</v>
          </cell>
          <cell r="G2927" t="str">
            <v>9002A</v>
          </cell>
          <cell r="H2927">
            <v>3938.82</v>
          </cell>
          <cell r="I2927">
            <v>1</v>
          </cell>
          <cell r="J2927">
            <v>12</v>
          </cell>
          <cell r="K2927">
            <v>1</v>
          </cell>
          <cell r="L2927">
            <v>47265.68</v>
          </cell>
        </row>
        <row r="2928">
          <cell r="A2928">
            <v>102870</v>
          </cell>
          <cell r="B2928">
            <v>20924</v>
          </cell>
          <cell r="C2928">
            <v>20924</v>
          </cell>
          <cell r="D2928" t="str">
            <v>sa4&amp;7</v>
          </cell>
          <cell r="E2928" t="str">
            <v>B</v>
          </cell>
          <cell r="F2928" t="str">
            <v>MEDICAL CASE WORKER II</v>
          </cell>
          <cell r="G2928" t="str">
            <v>9002A</v>
          </cell>
          <cell r="H2928">
            <v>3938.82</v>
          </cell>
          <cell r="I2928">
            <v>1</v>
          </cell>
          <cell r="J2928">
            <v>12</v>
          </cell>
          <cell r="K2928">
            <v>1</v>
          </cell>
          <cell r="L2928">
            <v>47265.68</v>
          </cell>
        </row>
        <row r="2929">
          <cell r="A2929">
            <v>102871</v>
          </cell>
          <cell r="B2929">
            <v>20924</v>
          </cell>
          <cell r="C2929">
            <v>20924</v>
          </cell>
          <cell r="D2929" t="str">
            <v>sa4&amp;7</v>
          </cell>
          <cell r="E2929" t="str">
            <v>B</v>
          </cell>
          <cell r="F2929" t="str">
            <v>MEDICAL CASE WORKER II</v>
          </cell>
          <cell r="G2929" t="str">
            <v>9002A</v>
          </cell>
          <cell r="H2929">
            <v>3938.82</v>
          </cell>
          <cell r="I2929">
            <v>1</v>
          </cell>
          <cell r="J2929">
            <v>12</v>
          </cell>
          <cell r="K2929">
            <v>1</v>
          </cell>
          <cell r="L2929">
            <v>47265.68</v>
          </cell>
        </row>
        <row r="2930">
          <cell r="A2930">
            <v>102872</v>
          </cell>
          <cell r="B2930">
            <v>20924</v>
          </cell>
          <cell r="C2930">
            <v>20924</v>
          </cell>
          <cell r="D2930" t="str">
            <v>sa4&amp;7</v>
          </cell>
          <cell r="E2930" t="str">
            <v>B</v>
          </cell>
          <cell r="F2930" t="str">
            <v>MEDICAL CASE WORKER II</v>
          </cell>
          <cell r="G2930" t="str">
            <v>9002A</v>
          </cell>
          <cell r="H2930">
            <v>3938.82</v>
          </cell>
          <cell r="I2930">
            <v>1</v>
          </cell>
          <cell r="J2930">
            <v>12</v>
          </cell>
          <cell r="K2930">
            <v>1</v>
          </cell>
          <cell r="L2930">
            <v>47265.68</v>
          </cell>
        </row>
        <row r="2931">
          <cell r="A2931">
            <v>102873</v>
          </cell>
          <cell r="B2931">
            <v>20924</v>
          </cell>
          <cell r="C2931">
            <v>20924</v>
          </cell>
          <cell r="D2931" t="str">
            <v>sa4&amp;7</v>
          </cell>
          <cell r="E2931" t="str">
            <v>B</v>
          </cell>
          <cell r="F2931" t="str">
            <v>MEDICAL CASE WORKER II</v>
          </cell>
          <cell r="G2931" t="str">
            <v>9002A</v>
          </cell>
          <cell r="H2931">
            <v>3938.82</v>
          </cell>
          <cell r="I2931">
            <v>1</v>
          </cell>
          <cell r="J2931">
            <v>12</v>
          </cell>
          <cell r="K2931">
            <v>1</v>
          </cell>
          <cell r="L2931">
            <v>47265.68</v>
          </cell>
        </row>
        <row r="2932">
          <cell r="A2932">
            <v>109194</v>
          </cell>
          <cell r="B2932">
            <v>27506</v>
          </cell>
          <cell r="C2932">
            <v>20924</v>
          </cell>
          <cell r="D2932" t="str">
            <v>sa4&amp;7</v>
          </cell>
          <cell r="E2932" t="str">
            <v>B</v>
          </cell>
          <cell r="F2932" t="str">
            <v>MEDICAL CASE WORKER II</v>
          </cell>
          <cell r="G2932" t="str">
            <v>9002A</v>
          </cell>
          <cell r="H2932">
            <v>3938.82</v>
          </cell>
          <cell r="I2932">
            <v>1</v>
          </cell>
          <cell r="J2932">
            <v>12</v>
          </cell>
          <cell r="K2932">
            <v>1</v>
          </cell>
          <cell r="L2932">
            <v>47265.68</v>
          </cell>
        </row>
        <row r="2933">
          <cell r="A2933">
            <v>102867</v>
          </cell>
          <cell r="B2933">
            <v>20924</v>
          </cell>
          <cell r="C2933">
            <v>20924</v>
          </cell>
          <cell r="D2933" t="str">
            <v>sa4&amp;7</v>
          </cell>
          <cell r="E2933" t="str">
            <v>B</v>
          </cell>
          <cell r="F2933" t="str">
            <v>MENTAL HEALTH SERVICES COORD II</v>
          </cell>
          <cell r="G2933" t="str">
            <v>8149A</v>
          </cell>
          <cell r="H2933">
            <v>5152.3599999999997</v>
          </cell>
          <cell r="I2933">
            <v>1</v>
          </cell>
          <cell r="J2933">
            <v>12</v>
          </cell>
          <cell r="K2933">
            <v>1</v>
          </cell>
          <cell r="L2933">
            <v>61828.72</v>
          </cell>
        </row>
        <row r="2934">
          <cell r="A2934">
            <v>100996</v>
          </cell>
          <cell r="B2934">
            <v>20477</v>
          </cell>
          <cell r="C2934">
            <v>20924</v>
          </cell>
          <cell r="D2934" t="str">
            <v>sa4&amp;7</v>
          </cell>
          <cell r="E2934" t="str">
            <v>B</v>
          </cell>
          <cell r="F2934" t="str">
            <v>PSYCHIATRIC SOCIAL WORKER II</v>
          </cell>
          <cell r="G2934" t="str">
            <v>9035A</v>
          </cell>
          <cell r="H2934">
            <v>5425.82</v>
          </cell>
          <cell r="I2934">
            <v>1</v>
          </cell>
          <cell r="J2934">
            <v>12</v>
          </cell>
          <cell r="K2934">
            <v>1</v>
          </cell>
          <cell r="L2934">
            <v>65109.84</v>
          </cell>
        </row>
        <row r="2935">
          <cell r="A2935">
            <v>102868</v>
          </cell>
          <cell r="B2935">
            <v>20924</v>
          </cell>
          <cell r="C2935">
            <v>20924</v>
          </cell>
          <cell r="D2935" t="str">
            <v>sa4&amp;7</v>
          </cell>
          <cell r="E2935" t="str">
            <v>B</v>
          </cell>
          <cell r="F2935" t="str">
            <v>PSYCHIATRIC SOCIAL WORKER II</v>
          </cell>
          <cell r="G2935" t="str">
            <v>9035A</v>
          </cell>
          <cell r="H2935">
            <v>5425.82</v>
          </cell>
          <cell r="I2935">
            <v>1</v>
          </cell>
          <cell r="J2935">
            <v>12</v>
          </cell>
          <cell r="K2935">
            <v>1</v>
          </cell>
          <cell r="L2935">
            <v>65109.84</v>
          </cell>
        </row>
        <row r="2936">
          <cell r="A2936">
            <v>103325</v>
          </cell>
          <cell r="B2936">
            <v>20928</v>
          </cell>
          <cell r="C2936">
            <v>20924</v>
          </cell>
          <cell r="D2936" t="str">
            <v>sa4&amp;7</v>
          </cell>
          <cell r="E2936" t="str">
            <v>B</v>
          </cell>
          <cell r="F2936" t="str">
            <v>PSYCHIATRIC SOCIAL WORKER II</v>
          </cell>
          <cell r="G2936" t="str">
            <v>9035A</v>
          </cell>
          <cell r="H2936">
            <v>5425.82</v>
          </cell>
          <cell r="I2936">
            <v>1</v>
          </cell>
          <cell r="J2936">
            <v>12</v>
          </cell>
          <cell r="K2936">
            <v>1</v>
          </cell>
          <cell r="L2936">
            <v>65109.84</v>
          </cell>
        </row>
        <row r="2937">
          <cell r="A2937">
            <v>104860</v>
          </cell>
          <cell r="B2937">
            <v>20924</v>
          </cell>
          <cell r="C2937">
            <v>20924</v>
          </cell>
          <cell r="D2937" t="str">
            <v>sa4&amp;7</v>
          </cell>
          <cell r="E2937" t="str">
            <v>B</v>
          </cell>
          <cell r="F2937" t="str">
            <v>PSYCHIATRIC SOCIAL WORKER II</v>
          </cell>
          <cell r="G2937" t="str">
            <v>9035A</v>
          </cell>
          <cell r="H2937">
            <v>5425.82</v>
          </cell>
          <cell r="I2937">
            <v>1</v>
          </cell>
          <cell r="J2937">
            <v>12</v>
          </cell>
          <cell r="K2937">
            <v>1</v>
          </cell>
          <cell r="L2937">
            <v>65109.84</v>
          </cell>
        </row>
        <row r="2938">
          <cell r="A2938">
            <v>102549</v>
          </cell>
          <cell r="B2938">
            <v>20449</v>
          </cell>
          <cell r="C2938">
            <v>20924</v>
          </cell>
          <cell r="D2938" t="str">
            <v>sa4&amp;7</v>
          </cell>
          <cell r="E2938" t="str">
            <v>B</v>
          </cell>
          <cell r="F2938" t="str">
            <v>PSYCHIATRIC TECHNICIAN II</v>
          </cell>
          <cell r="G2938" t="str">
            <v>8162A</v>
          </cell>
          <cell r="H2938">
            <v>3420.09</v>
          </cell>
          <cell r="I2938">
            <v>1</v>
          </cell>
          <cell r="J2938">
            <v>12</v>
          </cell>
          <cell r="K2938">
            <v>1</v>
          </cell>
          <cell r="L2938">
            <v>41041.08</v>
          </cell>
        </row>
        <row r="2939">
          <cell r="A2939">
            <v>102560</v>
          </cell>
          <cell r="B2939">
            <v>20572</v>
          </cell>
          <cell r="C2939">
            <v>20924</v>
          </cell>
          <cell r="D2939" t="str">
            <v>sa4&amp;7</v>
          </cell>
          <cell r="E2939" t="str">
            <v>B</v>
          </cell>
          <cell r="F2939" t="str">
            <v xml:space="preserve">SECRETARY III                      </v>
          </cell>
          <cell r="G2939" t="str">
            <v>2096A</v>
          </cell>
          <cell r="H2939">
            <v>3387</v>
          </cell>
          <cell r="I2939">
            <v>1</v>
          </cell>
          <cell r="J2939">
            <v>12</v>
          </cell>
          <cell r="K2939">
            <v>1</v>
          </cell>
          <cell r="L2939">
            <v>40643.839999999997</v>
          </cell>
        </row>
        <row r="2940">
          <cell r="A2940">
            <v>104451</v>
          </cell>
          <cell r="B2940">
            <v>20449</v>
          </cell>
          <cell r="C2940">
            <v>20924</v>
          </cell>
          <cell r="D2940" t="str">
            <v>sa4&amp;7</v>
          </cell>
          <cell r="E2940" t="str">
            <v>B</v>
          </cell>
          <cell r="F2940" t="str">
            <v xml:space="preserve">SENIOR CLERK                       </v>
          </cell>
          <cell r="G2940" t="str">
            <v>1140A</v>
          </cell>
          <cell r="H2940">
            <v>2941</v>
          </cell>
          <cell r="I2940">
            <v>1</v>
          </cell>
          <cell r="J2940">
            <v>12</v>
          </cell>
          <cell r="K2940">
            <v>1</v>
          </cell>
          <cell r="L2940">
            <v>35292</v>
          </cell>
        </row>
        <row r="2941">
          <cell r="A2941">
            <v>102561</v>
          </cell>
          <cell r="B2941">
            <v>20572</v>
          </cell>
          <cell r="C2941">
            <v>20924</v>
          </cell>
          <cell r="D2941" t="str">
            <v>sa4&amp;7</v>
          </cell>
          <cell r="E2941" t="str">
            <v>B</v>
          </cell>
          <cell r="F2941" t="str">
            <v xml:space="preserve">SENIOR COMMUNITY WORKER II         </v>
          </cell>
          <cell r="G2941" t="str">
            <v>8105A</v>
          </cell>
          <cell r="H2941">
            <v>3428.36</v>
          </cell>
          <cell r="I2941">
            <v>1</v>
          </cell>
          <cell r="J2941">
            <v>12</v>
          </cell>
          <cell r="K2941">
            <v>1</v>
          </cell>
          <cell r="L2941">
            <v>41140.32</v>
          </cell>
        </row>
        <row r="2942">
          <cell r="A2942">
            <v>102875</v>
          </cell>
          <cell r="B2942">
            <v>20924</v>
          </cell>
          <cell r="C2942">
            <v>20924</v>
          </cell>
          <cell r="D2942" t="str">
            <v>sa4&amp;7</v>
          </cell>
          <cell r="E2942" t="str">
            <v>B</v>
          </cell>
          <cell r="F2942" t="str">
            <v xml:space="preserve">SENIOR TYPIST-CLERK                </v>
          </cell>
          <cell r="G2942" t="str">
            <v>2216A</v>
          </cell>
          <cell r="H2942">
            <v>3013.55</v>
          </cell>
          <cell r="I2942">
            <v>1</v>
          </cell>
          <cell r="J2942">
            <v>12</v>
          </cell>
          <cell r="K2942">
            <v>1</v>
          </cell>
          <cell r="L2942">
            <v>36162.6</v>
          </cell>
        </row>
        <row r="2943">
          <cell r="A2943">
            <v>103126</v>
          </cell>
          <cell r="B2943">
            <v>20924</v>
          </cell>
          <cell r="C2943">
            <v>20924</v>
          </cell>
          <cell r="D2943" t="str">
            <v>sa4&amp;7</v>
          </cell>
          <cell r="E2943" t="str">
            <v>B</v>
          </cell>
          <cell r="F2943" t="str">
            <v xml:space="preserve">SUPVG PSYCHIATRIC SOCIAL WORKER    </v>
          </cell>
          <cell r="G2943" t="str">
            <v>9038A</v>
          </cell>
          <cell r="H2943">
            <v>6062.45</v>
          </cell>
          <cell r="I2943">
            <v>1</v>
          </cell>
          <cell r="J2943">
            <v>12</v>
          </cell>
          <cell r="K2943">
            <v>1</v>
          </cell>
          <cell r="L2943">
            <v>72749.399999999994</v>
          </cell>
        </row>
        <row r="2944">
          <cell r="A2944">
            <v>101626</v>
          </cell>
          <cell r="B2944">
            <v>20944</v>
          </cell>
          <cell r="C2944">
            <v>20924</v>
          </cell>
          <cell r="D2944" t="str">
            <v>sa4&amp;7</v>
          </cell>
          <cell r="E2944" t="str">
            <v>B</v>
          </cell>
          <cell r="F2944" t="str">
            <v xml:space="preserve">SYSTEMS AID                        </v>
          </cell>
          <cell r="G2944" t="str">
            <v>2584A</v>
          </cell>
          <cell r="H2944">
            <v>3281.18</v>
          </cell>
          <cell r="I2944">
            <v>1</v>
          </cell>
          <cell r="J2944">
            <v>12</v>
          </cell>
          <cell r="K2944">
            <v>1</v>
          </cell>
          <cell r="L2944">
            <v>39373.919999999998</v>
          </cell>
        </row>
        <row r="2945">
          <cell r="A2945">
            <v>103339</v>
          </cell>
          <cell r="B2945">
            <v>20672</v>
          </cell>
          <cell r="C2945">
            <v>20481</v>
          </cell>
          <cell r="D2945" t="str">
            <v>sa4&amp;7</v>
          </cell>
          <cell r="E2945" t="str">
            <v>B</v>
          </cell>
          <cell r="F2945" t="str">
            <v>CLINICAL PSYCHOLOGIST II</v>
          </cell>
          <cell r="G2945" t="str">
            <v>8697A</v>
          </cell>
          <cell r="H2945">
            <v>6993.82</v>
          </cell>
          <cell r="I2945">
            <v>1</v>
          </cell>
          <cell r="J2945">
            <v>12</v>
          </cell>
          <cell r="K2945">
            <v>1</v>
          </cell>
          <cell r="L2945">
            <v>83925.52</v>
          </cell>
        </row>
        <row r="2946">
          <cell r="A2946">
            <v>106359</v>
          </cell>
          <cell r="B2946">
            <v>21564</v>
          </cell>
          <cell r="C2946">
            <v>20481</v>
          </cell>
          <cell r="D2946" t="str">
            <v>sa4&amp;7</v>
          </cell>
          <cell r="E2946" t="str">
            <v>B</v>
          </cell>
          <cell r="F2946" t="str">
            <v>CLINICAL PSYCHOLOGIST II</v>
          </cell>
          <cell r="G2946" t="str">
            <v>8697A</v>
          </cell>
          <cell r="H2946">
            <v>6993.82</v>
          </cell>
          <cell r="I2946">
            <v>1</v>
          </cell>
          <cell r="J2946">
            <v>12</v>
          </cell>
          <cell r="K2946">
            <v>1</v>
          </cell>
          <cell r="L2946">
            <v>83925.52</v>
          </cell>
        </row>
        <row r="2947">
          <cell r="A2947">
            <v>102341</v>
          </cell>
          <cell r="B2947">
            <v>20481</v>
          </cell>
          <cell r="C2947">
            <v>20481</v>
          </cell>
          <cell r="D2947" t="str">
            <v>sa4&amp;7</v>
          </cell>
          <cell r="E2947" t="str">
            <v>B</v>
          </cell>
          <cell r="F2947" t="str">
            <v>COMMUNITY WORKER</v>
          </cell>
          <cell r="G2947" t="str">
            <v>8103A</v>
          </cell>
          <cell r="H2947">
            <v>2984.09</v>
          </cell>
          <cell r="I2947">
            <v>1</v>
          </cell>
          <cell r="J2947">
            <v>12</v>
          </cell>
          <cell r="K2947">
            <v>1</v>
          </cell>
          <cell r="L2947">
            <v>35809.08</v>
          </cell>
        </row>
        <row r="2948">
          <cell r="A2948">
            <v>102342</v>
          </cell>
          <cell r="B2948">
            <v>20481</v>
          </cell>
          <cell r="C2948">
            <v>20481</v>
          </cell>
          <cell r="D2948" t="str">
            <v>sa4&amp;7</v>
          </cell>
          <cell r="E2948" t="str">
            <v>B</v>
          </cell>
          <cell r="F2948" t="str">
            <v>INTERMEDIATE TYPIST-CLERK</v>
          </cell>
          <cell r="G2948" t="str">
            <v>2214A</v>
          </cell>
          <cell r="H2948">
            <v>2675.27</v>
          </cell>
          <cell r="I2948">
            <v>1</v>
          </cell>
          <cell r="J2948">
            <v>12</v>
          </cell>
          <cell r="K2948">
            <v>1</v>
          </cell>
          <cell r="L2948">
            <v>32103.16</v>
          </cell>
        </row>
        <row r="2949">
          <cell r="A2949">
            <v>102343</v>
          </cell>
          <cell r="B2949">
            <v>20481</v>
          </cell>
          <cell r="C2949">
            <v>20481</v>
          </cell>
          <cell r="D2949" t="str">
            <v>sa4&amp;7</v>
          </cell>
          <cell r="E2949" t="str">
            <v>B</v>
          </cell>
          <cell r="F2949" t="str">
            <v>INTERMEDIATE TYPIST-CLERK</v>
          </cell>
          <cell r="G2949" t="str">
            <v>2214A</v>
          </cell>
          <cell r="H2949">
            <v>2675.27</v>
          </cell>
          <cell r="I2949">
            <v>1</v>
          </cell>
          <cell r="J2949">
            <v>12</v>
          </cell>
          <cell r="K2949">
            <v>1</v>
          </cell>
          <cell r="L2949">
            <v>32103.16</v>
          </cell>
        </row>
        <row r="2950">
          <cell r="A2950">
            <v>102344</v>
          </cell>
          <cell r="B2950">
            <v>20481</v>
          </cell>
          <cell r="C2950">
            <v>20481</v>
          </cell>
          <cell r="D2950" t="str">
            <v>sa4&amp;7</v>
          </cell>
          <cell r="E2950" t="str">
            <v>B</v>
          </cell>
          <cell r="F2950" t="str">
            <v>INTERMEDIATE TYPIST-CLERK</v>
          </cell>
          <cell r="G2950" t="str">
            <v>2214A</v>
          </cell>
          <cell r="H2950">
            <v>2675.27</v>
          </cell>
          <cell r="I2950">
            <v>1</v>
          </cell>
          <cell r="J2950">
            <v>12</v>
          </cell>
          <cell r="K2950">
            <v>1</v>
          </cell>
          <cell r="L2950">
            <v>32103.16</v>
          </cell>
        </row>
        <row r="2951">
          <cell r="A2951">
            <v>109672</v>
          </cell>
          <cell r="B2951">
            <v>20481</v>
          </cell>
          <cell r="C2951">
            <v>20481</v>
          </cell>
          <cell r="D2951" t="str">
            <v>sa4&amp;7</v>
          </cell>
          <cell r="E2951" t="str">
            <v>B</v>
          </cell>
          <cell r="F2951" t="str">
            <v>INTERMEDIATE TYPIST-CLERK</v>
          </cell>
          <cell r="G2951" t="str">
            <v>2214A</v>
          </cell>
          <cell r="H2951">
            <v>2675.27</v>
          </cell>
          <cell r="I2951">
            <v>1</v>
          </cell>
          <cell r="J2951">
            <v>12</v>
          </cell>
          <cell r="K2951">
            <v>1</v>
          </cell>
          <cell r="L2951">
            <v>32103.24</v>
          </cell>
        </row>
        <row r="2952">
          <cell r="A2952">
            <v>100478</v>
          </cell>
          <cell r="B2952">
            <v>20575</v>
          </cell>
          <cell r="C2952">
            <v>20481</v>
          </cell>
          <cell r="D2952" t="str">
            <v>sa4&amp;7</v>
          </cell>
          <cell r="E2952" t="str">
            <v>B</v>
          </cell>
          <cell r="F2952" t="str">
            <v>MEDICAL CASE WORKER II</v>
          </cell>
          <cell r="G2952" t="str">
            <v>9002A</v>
          </cell>
          <cell r="H2952">
            <v>3938.82</v>
          </cell>
          <cell r="I2952">
            <v>1</v>
          </cell>
          <cell r="J2952">
            <v>12</v>
          </cell>
          <cell r="K2952">
            <v>1</v>
          </cell>
          <cell r="L2952">
            <v>47265.68</v>
          </cell>
        </row>
        <row r="2953">
          <cell r="A2953">
            <v>102346</v>
          </cell>
          <cell r="B2953">
            <v>20481</v>
          </cell>
          <cell r="C2953">
            <v>20481</v>
          </cell>
          <cell r="D2953" t="str">
            <v>sa4&amp;7</v>
          </cell>
          <cell r="E2953" t="str">
            <v>B</v>
          </cell>
          <cell r="F2953" t="str">
            <v>MENTAL HEALTH COUNSELOR, RN</v>
          </cell>
          <cell r="G2953" t="str">
            <v>5278A</v>
          </cell>
          <cell r="H2953">
            <v>6275.27</v>
          </cell>
          <cell r="I2953">
            <v>1</v>
          </cell>
          <cell r="J2953">
            <v>12</v>
          </cell>
          <cell r="K2953">
            <v>1</v>
          </cell>
          <cell r="L2953">
            <v>76804.323333333334</v>
          </cell>
        </row>
        <row r="2954">
          <cell r="A2954">
            <v>106314</v>
          </cell>
          <cell r="B2954">
            <v>23036</v>
          </cell>
          <cell r="C2954">
            <v>20481</v>
          </cell>
          <cell r="D2954" t="str">
            <v>sa4&amp;7</v>
          </cell>
          <cell r="E2954" t="str">
            <v>B</v>
          </cell>
          <cell r="F2954" t="str">
            <v>MENTAL HEALTH COUNSELOR, RN</v>
          </cell>
          <cell r="G2954" t="str">
            <v>5278A</v>
          </cell>
          <cell r="H2954">
            <v>6275.27</v>
          </cell>
          <cell r="I2954">
            <v>1</v>
          </cell>
          <cell r="J2954">
            <v>12</v>
          </cell>
          <cell r="K2954">
            <v>1</v>
          </cell>
          <cell r="L2954">
            <v>76804.323333333334</v>
          </cell>
        </row>
        <row r="2955">
          <cell r="A2955">
            <v>102347</v>
          </cell>
          <cell r="B2955">
            <v>20481</v>
          </cell>
          <cell r="C2955">
            <v>20481</v>
          </cell>
          <cell r="D2955" t="str">
            <v>sa4&amp;7</v>
          </cell>
          <cell r="E2955" t="str">
            <v>B</v>
          </cell>
          <cell r="F2955" t="str">
            <v>MENTAL HEALTH PSYCHIATRIST</v>
          </cell>
          <cell r="G2955" t="str">
            <v>4735A</v>
          </cell>
          <cell r="H2955">
            <v>12844</v>
          </cell>
          <cell r="I2955">
            <v>1</v>
          </cell>
          <cell r="J2955">
            <v>12</v>
          </cell>
          <cell r="K2955">
            <v>1</v>
          </cell>
          <cell r="L2955">
            <v>154128</v>
          </cell>
        </row>
        <row r="2956">
          <cell r="A2956">
            <v>102349</v>
          </cell>
          <cell r="B2956">
            <v>20481</v>
          </cell>
          <cell r="C2956">
            <v>20481</v>
          </cell>
          <cell r="D2956" t="str">
            <v>sa4&amp;7</v>
          </cell>
          <cell r="E2956" t="str">
            <v>B</v>
          </cell>
          <cell r="F2956" t="str">
            <v>MENTAL HEALTH PSYCHIATRIST</v>
          </cell>
          <cell r="G2956" t="str">
            <v>4735A</v>
          </cell>
          <cell r="H2956">
            <v>12844</v>
          </cell>
          <cell r="I2956">
            <v>1</v>
          </cell>
          <cell r="J2956">
            <v>12</v>
          </cell>
          <cell r="K2956">
            <v>1</v>
          </cell>
          <cell r="L2956">
            <v>154128</v>
          </cell>
        </row>
        <row r="2957">
          <cell r="A2957">
            <v>103273</v>
          </cell>
          <cell r="B2957">
            <v>20481</v>
          </cell>
          <cell r="C2957">
            <v>20481</v>
          </cell>
          <cell r="D2957" t="str">
            <v>sa4&amp;7</v>
          </cell>
          <cell r="E2957" t="str">
            <v>B</v>
          </cell>
          <cell r="F2957" t="str">
            <v>MENTAL HEALTH PSYCHIATRIST</v>
          </cell>
          <cell r="G2957" t="str">
            <v>4735A</v>
          </cell>
          <cell r="H2957">
            <v>12844</v>
          </cell>
          <cell r="I2957">
            <v>1</v>
          </cell>
          <cell r="J2957">
            <v>7</v>
          </cell>
          <cell r="K2957">
            <v>0.58333333333333337</v>
          </cell>
          <cell r="L2957">
            <v>89908</v>
          </cell>
        </row>
        <row r="2958">
          <cell r="A2958">
            <v>104145</v>
          </cell>
          <cell r="B2958">
            <v>20481</v>
          </cell>
          <cell r="C2958">
            <v>20481</v>
          </cell>
          <cell r="D2958" t="str">
            <v>sa4&amp;7</v>
          </cell>
          <cell r="E2958" t="str">
            <v>B</v>
          </cell>
          <cell r="F2958" t="str">
            <v>MENTAL HEALTH PSYCHIATRIST</v>
          </cell>
          <cell r="G2958" t="str">
            <v>4735A</v>
          </cell>
          <cell r="H2958">
            <v>12844</v>
          </cell>
          <cell r="I2958">
            <v>1</v>
          </cell>
          <cell r="J2958">
            <v>6</v>
          </cell>
          <cell r="K2958">
            <v>0.5</v>
          </cell>
          <cell r="L2958">
            <v>77064</v>
          </cell>
        </row>
        <row r="2959">
          <cell r="A2959">
            <v>104412</v>
          </cell>
          <cell r="B2959">
            <v>20483</v>
          </cell>
          <cell r="C2959">
            <v>20481</v>
          </cell>
          <cell r="D2959" t="str">
            <v>sa4&amp;7</v>
          </cell>
          <cell r="E2959" t="str">
            <v>B</v>
          </cell>
          <cell r="F2959" t="str">
            <v>MENTAL HEALTH PSYCHIATRIST</v>
          </cell>
          <cell r="G2959" t="str">
            <v>4735A</v>
          </cell>
          <cell r="H2959">
            <v>12844</v>
          </cell>
          <cell r="I2959">
            <v>1</v>
          </cell>
          <cell r="J2959">
            <v>12</v>
          </cell>
          <cell r="K2959">
            <v>1</v>
          </cell>
          <cell r="L2959">
            <v>154128</v>
          </cell>
        </row>
        <row r="2960">
          <cell r="A2960">
            <v>104168</v>
          </cell>
          <cell r="B2960">
            <v>18710</v>
          </cell>
          <cell r="C2960">
            <v>20481</v>
          </cell>
          <cell r="D2960" t="str">
            <v>sa4&amp;7</v>
          </cell>
          <cell r="E2960" t="str">
            <v>B</v>
          </cell>
          <cell r="F2960" t="str">
            <v>MNTL HLTH CLINICAL PROGRAM HEAD</v>
          </cell>
          <cell r="G2960" t="str">
            <v>4726A</v>
          </cell>
          <cell r="H2960">
            <v>8709.73</v>
          </cell>
          <cell r="I2960">
            <v>1</v>
          </cell>
          <cell r="J2960">
            <v>12</v>
          </cell>
          <cell r="K2960">
            <v>1</v>
          </cell>
          <cell r="L2960">
            <v>104516.76</v>
          </cell>
        </row>
        <row r="2961">
          <cell r="A2961">
            <v>102601</v>
          </cell>
          <cell r="B2961">
            <v>20481</v>
          </cell>
          <cell r="C2961">
            <v>20481</v>
          </cell>
          <cell r="D2961" t="str">
            <v>sa4&amp;7</v>
          </cell>
          <cell r="E2961" t="str">
            <v>B</v>
          </cell>
          <cell r="F2961" t="str">
            <v xml:space="preserve">PATIENT FINANCIAL SERVICES WORKER  </v>
          </cell>
          <cell r="G2961" t="str">
            <v>9193A</v>
          </cell>
          <cell r="H2961">
            <v>3403.55</v>
          </cell>
          <cell r="I2961">
            <v>1</v>
          </cell>
          <cell r="J2961">
            <v>12</v>
          </cell>
          <cell r="K2961">
            <v>1</v>
          </cell>
          <cell r="L2961">
            <v>40842.6</v>
          </cell>
        </row>
        <row r="2962">
          <cell r="A2962">
            <v>109755</v>
          </cell>
          <cell r="B2962">
            <v>20481</v>
          </cell>
          <cell r="C2962">
            <v>20481</v>
          </cell>
          <cell r="D2962" t="str">
            <v>sa4&amp;7</v>
          </cell>
          <cell r="E2962" t="str">
            <v>B</v>
          </cell>
          <cell r="F2962" t="str">
            <v>PATIENT RESOURCES WORKER</v>
          </cell>
          <cell r="G2962" t="str">
            <v>9192A</v>
          </cell>
          <cell r="H2962">
            <v>2748.27</v>
          </cell>
          <cell r="I2962">
            <v>1</v>
          </cell>
          <cell r="J2962">
            <v>12</v>
          </cell>
          <cell r="K2962">
            <v>1</v>
          </cell>
          <cell r="L2962">
            <v>32979.24</v>
          </cell>
        </row>
        <row r="2963">
          <cell r="A2963">
            <v>101103</v>
          </cell>
          <cell r="B2963">
            <v>23001</v>
          </cell>
          <cell r="C2963">
            <v>20481</v>
          </cell>
          <cell r="D2963" t="str">
            <v>sa4&amp;7</v>
          </cell>
          <cell r="E2963" t="str">
            <v>B</v>
          </cell>
          <cell r="F2963" t="str">
            <v>PSYCHIATRIC SOCIAL WORKER II</v>
          </cell>
          <cell r="G2963" t="str">
            <v>9035A</v>
          </cell>
          <cell r="H2963">
            <v>5425.82</v>
          </cell>
          <cell r="I2963">
            <v>1</v>
          </cell>
          <cell r="J2963">
            <v>12</v>
          </cell>
          <cell r="K2963">
            <v>1</v>
          </cell>
          <cell r="L2963">
            <v>65109.84</v>
          </cell>
        </row>
        <row r="2964">
          <cell r="A2964">
            <v>101105</v>
          </cell>
          <cell r="B2964">
            <v>20672</v>
          </cell>
          <cell r="C2964">
            <v>20481</v>
          </cell>
          <cell r="D2964" t="str">
            <v>sa4&amp;7</v>
          </cell>
          <cell r="E2964" t="str">
            <v>B</v>
          </cell>
          <cell r="F2964" t="str">
            <v>PSYCHIATRIC SOCIAL WORKER II</v>
          </cell>
          <cell r="G2964" t="str">
            <v>9035A</v>
          </cell>
          <cell r="H2964">
            <v>5425.82</v>
          </cell>
          <cell r="I2964">
            <v>1</v>
          </cell>
          <cell r="J2964">
            <v>12</v>
          </cell>
          <cell r="K2964">
            <v>1</v>
          </cell>
          <cell r="L2964">
            <v>65109.84</v>
          </cell>
        </row>
        <row r="2965">
          <cell r="A2965">
            <v>102353</v>
          </cell>
          <cell r="B2965">
            <v>20481</v>
          </cell>
          <cell r="C2965">
            <v>20481</v>
          </cell>
          <cell r="D2965" t="str">
            <v>sa4&amp;7</v>
          </cell>
          <cell r="E2965" t="str">
            <v>B</v>
          </cell>
          <cell r="F2965" t="str">
            <v>PSYCHIATRIC SOCIAL WORKER II</v>
          </cell>
          <cell r="G2965" t="str">
            <v>9035A</v>
          </cell>
          <cell r="H2965">
            <v>5425.82</v>
          </cell>
          <cell r="I2965">
            <v>1</v>
          </cell>
          <cell r="J2965">
            <v>12</v>
          </cell>
          <cell r="K2965">
            <v>1</v>
          </cell>
          <cell r="L2965">
            <v>65109.84</v>
          </cell>
        </row>
        <row r="2966">
          <cell r="A2966">
            <v>103474</v>
          </cell>
          <cell r="B2966">
            <v>18662</v>
          </cell>
          <cell r="C2966">
            <v>20481</v>
          </cell>
          <cell r="D2966" t="str">
            <v>sa4&amp;7</v>
          </cell>
          <cell r="E2966" t="str">
            <v>B</v>
          </cell>
          <cell r="F2966" t="str">
            <v>PSYCHIATRIC SOCIAL WORKER II</v>
          </cell>
          <cell r="G2966" t="str">
            <v>9035A</v>
          </cell>
          <cell r="H2966">
            <v>5425.82</v>
          </cell>
          <cell r="I2966">
            <v>1</v>
          </cell>
          <cell r="J2966">
            <v>12</v>
          </cell>
          <cell r="K2966">
            <v>1</v>
          </cell>
          <cell r="L2966">
            <v>65109.84</v>
          </cell>
        </row>
        <row r="2967">
          <cell r="A2967">
            <v>103914</v>
          </cell>
          <cell r="B2967">
            <v>20481</v>
          </cell>
          <cell r="C2967">
            <v>20481</v>
          </cell>
          <cell r="D2967" t="str">
            <v>sa4&amp;7</v>
          </cell>
          <cell r="E2967" t="str">
            <v>B</v>
          </cell>
          <cell r="F2967" t="str">
            <v>PSYCHIATRIC SOCIAL WORKER II</v>
          </cell>
          <cell r="G2967" t="str">
            <v>9035A</v>
          </cell>
          <cell r="H2967">
            <v>5425.82</v>
          </cell>
          <cell r="I2967">
            <v>1</v>
          </cell>
          <cell r="J2967">
            <v>12</v>
          </cell>
          <cell r="K2967">
            <v>1</v>
          </cell>
          <cell r="L2967">
            <v>65109.84</v>
          </cell>
        </row>
        <row r="2968">
          <cell r="A2968">
            <v>103915</v>
          </cell>
          <cell r="B2968">
            <v>20481</v>
          </cell>
          <cell r="C2968">
            <v>20481</v>
          </cell>
          <cell r="D2968" t="str">
            <v>sa4&amp;7</v>
          </cell>
          <cell r="E2968" t="str">
            <v>B</v>
          </cell>
          <cell r="F2968" t="str">
            <v>PSYCHIATRIC SOCIAL WORKER II</v>
          </cell>
          <cell r="G2968" t="str">
            <v>9035A</v>
          </cell>
          <cell r="H2968">
            <v>5425.82</v>
          </cell>
          <cell r="I2968">
            <v>1</v>
          </cell>
          <cell r="J2968">
            <v>12</v>
          </cell>
          <cell r="K2968">
            <v>1</v>
          </cell>
          <cell r="L2968">
            <v>65109.84</v>
          </cell>
        </row>
        <row r="2969">
          <cell r="A2969">
            <v>104146</v>
          </cell>
          <cell r="B2969">
            <v>20481</v>
          </cell>
          <cell r="C2969">
            <v>20481</v>
          </cell>
          <cell r="D2969" t="str">
            <v>sa4&amp;7</v>
          </cell>
          <cell r="E2969" t="str">
            <v>B</v>
          </cell>
          <cell r="F2969" t="str">
            <v>PSYCHIATRIC SOCIAL WORKER II</v>
          </cell>
          <cell r="G2969" t="str">
            <v>9035A</v>
          </cell>
          <cell r="H2969">
            <v>5425.82</v>
          </cell>
          <cell r="I2969">
            <v>1</v>
          </cell>
          <cell r="J2969">
            <v>12</v>
          </cell>
          <cell r="K2969">
            <v>1</v>
          </cell>
          <cell r="L2969">
            <v>65109.84</v>
          </cell>
        </row>
        <row r="2970">
          <cell r="A2970">
            <v>104186</v>
          </cell>
          <cell r="B2970">
            <v>20481</v>
          </cell>
          <cell r="C2970">
            <v>20481</v>
          </cell>
          <cell r="D2970" t="str">
            <v>sa4&amp;7</v>
          </cell>
          <cell r="E2970" t="str">
            <v>B</v>
          </cell>
          <cell r="F2970" t="str">
            <v>PSYCHIATRIC SOCIAL WORKER II</v>
          </cell>
          <cell r="G2970" t="str">
            <v>9035A</v>
          </cell>
          <cell r="H2970">
            <v>5425.82</v>
          </cell>
          <cell r="I2970">
            <v>1</v>
          </cell>
          <cell r="J2970">
            <v>12</v>
          </cell>
          <cell r="K2970">
            <v>1</v>
          </cell>
          <cell r="L2970">
            <v>65109.84</v>
          </cell>
        </row>
        <row r="2971">
          <cell r="A2971">
            <v>104471</v>
          </cell>
          <cell r="B2971">
            <v>23036</v>
          </cell>
          <cell r="C2971">
            <v>20481</v>
          </cell>
          <cell r="D2971" t="str">
            <v>sa4&amp;7</v>
          </cell>
          <cell r="E2971" t="str">
            <v>B</v>
          </cell>
          <cell r="F2971" t="str">
            <v>PSYCHIATRIC SOCIAL WORKER II</v>
          </cell>
          <cell r="G2971" t="str">
            <v>9035A</v>
          </cell>
          <cell r="H2971">
            <v>5425.82</v>
          </cell>
          <cell r="I2971">
            <v>1</v>
          </cell>
          <cell r="J2971">
            <v>12</v>
          </cell>
          <cell r="K2971">
            <v>1</v>
          </cell>
          <cell r="L2971">
            <v>65109.84</v>
          </cell>
        </row>
        <row r="2972">
          <cell r="A2972">
            <v>102355</v>
          </cell>
          <cell r="B2972">
            <v>20481</v>
          </cell>
          <cell r="C2972">
            <v>20481</v>
          </cell>
          <cell r="D2972" t="str">
            <v>sa4&amp;7</v>
          </cell>
          <cell r="E2972" t="str">
            <v>B</v>
          </cell>
          <cell r="F2972" t="str">
            <v xml:space="preserve">SENIOR COMMUNITY WORKER II         </v>
          </cell>
          <cell r="G2972" t="str">
            <v>8105A</v>
          </cell>
          <cell r="H2972">
            <v>3428.36</v>
          </cell>
          <cell r="I2972">
            <v>1</v>
          </cell>
          <cell r="J2972">
            <v>12</v>
          </cell>
          <cell r="K2972">
            <v>1</v>
          </cell>
          <cell r="L2972">
            <v>41140.32</v>
          </cell>
        </row>
        <row r="2973">
          <cell r="A2973">
            <v>102356</v>
          </cell>
          <cell r="B2973">
            <v>20481</v>
          </cell>
          <cell r="C2973">
            <v>20481</v>
          </cell>
          <cell r="D2973" t="str">
            <v>sa4&amp;7</v>
          </cell>
          <cell r="E2973" t="str">
            <v>B</v>
          </cell>
          <cell r="F2973" t="str">
            <v>SENIOR MENTAL HEALTH COUNSELOR, RN</v>
          </cell>
          <cell r="G2973" t="str">
            <v>5280A</v>
          </cell>
          <cell r="H2973">
            <v>6790.09</v>
          </cell>
          <cell r="I2973">
            <v>1</v>
          </cell>
          <cell r="J2973">
            <v>12</v>
          </cell>
          <cell r="K2973">
            <v>1</v>
          </cell>
          <cell r="L2973">
            <v>83105.40203389831</v>
          </cell>
        </row>
        <row r="2974">
          <cell r="A2974">
            <v>106057</v>
          </cell>
          <cell r="B2974">
            <v>21533</v>
          </cell>
          <cell r="C2974">
            <v>20481</v>
          </cell>
          <cell r="D2974" t="str">
            <v>sa4&amp;7</v>
          </cell>
          <cell r="E2974" t="str">
            <v>B</v>
          </cell>
          <cell r="F2974" t="str">
            <v xml:space="preserve">SENIOR TYPIST-CLERK                </v>
          </cell>
          <cell r="G2974" t="str">
            <v>2216A</v>
          </cell>
          <cell r="H2974">
            <v>3013.55</v>
          </cell>
          <cell r="I2974">
            <v>1</v>
          </cell>
          <cell r="J2974">
            <v>12</v>
          </cell>
          <cell r="K2974">
            <v>1</v>
          </cell>
          <cell r="L2974">
            <v>36162.6</v>
          </cell>
        </row>
        <row r="2975">
          <cell r="A2975">
            <v>104680</v>
          </cell>
          <cell r="B2975">
            <v>20481</v>
          </cell>
          <cell r="C2975">
            <v>20481</v>
          </cell>
          <cell r="D2975" t="str">
            <v>sa4&amp;7</v>
          </cell>
          <cell r="E2975" t="str">
            <v>B</v>
          </cell>
          <cell r="F2975" t="str">
            <v xml:space="preserve">STUDENT WORKER                     </v>
          </cell>
          <cell r="G2975" t="str">
            <v>8242F</v>
          </cell>
          <cell r="H2975">
            <v>8.52</v>
          </cell>
          <cell r="I2975">
            <v>1</v>
          </cell>
          <cell r="J2975">
            <v>1044</v>
          </cell>
          <cell r="K2975">
            <v>0</v>
          </cell>
          <cell r="L2975">
            <v>8895.24</v>
          </cell>
        </row>
        <row r="2976">
          <cell r="A2976">
            <v>102359</v>
          </cell>
          <cell r="B2976">
            <v>20481</v>
          </cell>
          <cell r="C2976">
            <v>20481</v>
          </cell>
          <cell r="D2976" t="str">
            <v>sa4&amp;7</v>
          </cell>
          <cell r="E2976" t="str">
            <v>B</v>
          </cell>
          <cell r="F2976" t="str">
            <v xml:space="preserve">SUPVG PSYCHIATRIC SOCIAL WORKER    </v>
          </cell>
          <cell r="G2976" t="str">
            <v>9038A</v>
          </cell>
          <cell r="H2976">
            <v>6062.45</v>
          </cell>
          <cell r="I2976">
            <v>1</v>
          </cell>
          <cell r="J2976">
            <v>12</v>
          </cell>
          <cell r="K2976">
            <v>1</v>
          </cell>
          <cell r="L2976">
            <v>72749.399999999994</v>
          </cell>
        </row>
        <row r="2977">
          <cell r="A2977">
            <v>106269</v>
          </cell>
          <cell r="B2977">
            <v>20446</v>
          </cell>
          <cell r="C2977">
            <v>21532</v>
          </cell>
          <cell r="D2977" t="str">
            <v>sa4&amp;7</v>
          </cell>
          <cell r="E2977" t="str">
            <v>B</v>
          </cell>
          <cell r="F2977" t="str">
            <v>CLINICAL PSYCHOLOGIST II</v>
          </cell>
          <cell r="G2977" t="str">
            <v>8697A</v>
          </cell>
          <cell r="H2977">
            <v>6993.82</v>
          </cell>
          <cell r="I2977">
            <v>1</v>
          </cell>
          <cell r="J2977">
            <v>12</v>
          </cell>
          <cell r="K2977">
            <v>1</v>
          </cell>
          <cell r="L2977">
            <v>83925.52</v>
          </cell>
        </row>
        <row r="2978">
          <cell r="A2978">
            <v>105063</v>
          </cell>
          <cell r="B2978">
            <v>21532</v>
          </cell>
          <cell r="C2978">
            <v>21532</v>
          </cell>
          <cell r="D2978" t="str">
            <v>sa4&amp;7</v>
          </cell>
          <cell r="E2978" t="str">
            <v>B</v>
          </cell>
          <cell r="F2978" t="str">
            <v>DEPUTY DIRECTOR, MENTAL HEALTH (UC)</v>
          </cell>
          <cell r="G2978" t="str">
            <v>4707A</v>
          </cell>
          <cell r="H2978">
            <v>10568.17</v>
          </cell>
          <cell r="I2978">
            <v>1</v>
          </cell>
          <cell r="J2978">
            <v>12</v>
          </cell>
          <cell r="K2978">
            <v>1</v>
          </cell>
          <cell r="L2978">
            <v>126818</v>
          </cell>
        </row>
        <row r="2979">
          <cell r="A2979">
            <v>102596</v>
          </cell>
          <cell r="B2979">
            <v>23036</v>
          </cell>
          <cell r="C2979">
            <v>21532</v>
          </cell>
          <cell r="D2979" t="str">
            <v>sa4&amp;7</v>
          </cell>
          <cell r="E2979" t="str">
            <v>B</v>
          </cell>
          <cell r="F2979" t="str">
            <v>INTERMEDIATE TYPIST-CLERK</v>
          </cell>
          <cell r="G2979" t="str">
            <v>2214A</v>
          </cell>
          <cell r="H2979">
            <v>2675.27</v>
          </cell>
          <cell r="I2979">
            <v>1</v>
          </cell>
          <cell r="J2979">
            <v>12</v>
          </cell>
          <cell r="K2979">
            <v>1</v>
          </cell>
          <cell r="L2979">
            <v>32103.16</v>
          </cell>
        </row>
        <row r="2980">
          <cell r="A2980">
            <v>105064</v>
          </cell>
          <cell r="B2980">
            <v>21532</v>
          </cell>
          <cell r="C2980">
            <v>21532</v>
          </cell>
          <cell r="D2980" t="str">
            <v>sa4&amp;7</v>
          </cell>
          <cell r="E2980" t="str">
            <v>B</v>
          </cell>
          <cell r="F2980" t="str">
            <v xml:space="preserve">MANAGEMENT SECRETARY III           </v>
          </cell>
          <cell r="G2980" t="str">
            <v>2109A</v>
          </cell>
          <cell r="H2980">
            <v>4576.7299999999996</v>
          </cell>
          <cell r="I2980">
            <v>1</v>
          </cell>
          <cell r="J2980">
            <v>12</v>
          </cell>
          <cell r="K2980">
            <v>1</v>
          </cell>
          <cell r="L2980">
            <v>54920.52</v>
          </cell>
        </row>
        <row r="2981">
          <cell r="A2981">
            <v>104815</v>
          </cell>
          <cell r="B2981">
            <v>20905</v>
          </cell>
          <cell r="C2981">
            <v>21532</v>
          </cell>
          <cell r="D2981" t="str">
            <v>sa4&amp;7</v>
          </cell>
          <cell r="E2981" t="str">
            <v>B</v>
          </cell>
          <cell r="F2981" t="str">
            <v xml:space="preserve">MENTAL HEALTH ANALYST I            </v>
          </cell>
          <cell r="G2981" t="str">
            <v>4727A</v>
          </cell>
          <cell r="H2981">
            <v>5602.09</v>
          </cell>
          <cell r="I2981">
            <v>1</v>
          </cell>
          <cell r="J2981">
            <v>12</v>
          </cell>
          <cell r="K2981">
            <v>1</v>
          </cell>
          <cell r="L2981">
            <v>67225.16</v>
          </cell>
        </row>
        <row r="2982">
          <cell r="A2982">
            <v>100550</v>
          </cell>
          <cell r="B2982">
            <v>20440</v>
          </cell>
          <cell r="C2982">
            <v>21532</v>
          </cell>
          <cell r="D2982" t="str">
            <v>sa4&amp;7</v>
          </cell>
          <cell r="E2982" t="str">
            <v>B</v>
          </cell>
          <cell r="F2982" t="str">
            <v>MENTAL HLTH CLINICAL DIST CHIEF</v>
          </cell>
          <cell r="G2982" t="str">
            <v>4722A</v>
          </cell>
          <cell r="H2982">
            <v>10074</v>
          </cell>
          <cell r="I2982">
            <v>1</v>
          </cell>
          <cell r="J2982">
            <v>12</v>
          </cell>
          <cell r="K2982">
            <v>1</v>
          </cell>
          <cell r="L2982">
            <v>120887.6</v>
          </cell>
        </row>
        <row r="2983">
          <cell r="A2983">
            <v>102725</v>
          </cell>
          <cell r="B2983">
            <v>20559</v>
          </cell>
          <cell r="C2983">
            <v>21532</v>
          </cell>
          <cell r="D2983" t="str">
            <v>sa4&amp;7</v>
          </cell>
          <cell r="E2983" t="str">
            <v>B</v>
          </cell>
          <cell r="F2983" t="str">
            <v>MENTAL HLTH CLINICAL DIST CHIEF</v>
          </cell>
          <cell r="G2983" t="str">
            <v>4722A</v>
          </cell>
          <cell r="H2983">
            <v>10074</v>
          </cell>
          <cell r="I2983">
            <v>1</v>
          </cell>
          <cell r="J2983">
            <v>12</v>
          </cell>
          <cell r="K2983">
            <v>1</v>
          </cell>
          <cell r="L2983">
            <v>120887.6</v>
          </cell>
        </row>
        <row r="2984">
          <cell r="A2984">
            <v>104119</v>
          </cell>
          <cell r="B2984">
            <v>23036</v>
          </cell>
          <cell r="C2984">
            <v>21532</v>
          </cell>
          <cell r="D2984" t="str">
            <v>sa4&amp;7</v>
          </cell>
          <cell r="E2984" t="str">
            <v>B</v>
          </cell>
          <cell r="F2984" t="str">
            <v>PSYCHIATRIC SOCIAL WORKER II</v>
          </cell>
          <cell r="G2984" t="str">
            <v>9035A</v>
          </cell>
          <cell r="H2984">
            <v>5425.82</v>
          </cell>
          <cell r="I2984">
            <v>1</v>
          </cell>
          <cell r="J2984">
            <v>12</v>
          </cell>
          <cell r="K2984">
            <v>1</v>
          </cell>
          <cell r="L2984">
            <v>65109.84</v>
          </cell>
        </row>
        <row r="2985">
          <cell r="A2985">
            <v>104120</v>
          </cell>
          <cell r="B2985">
            <v>23036</v>
          </cell>
          <cell r="C2985">
            <v>21532</v>
          </cell>
          <cell r="D2985" t="str">
            <v>sa4&amp;7</v>
          </cell>
          <cell r="E2985" t="str">
            <v>B</v>
          </cell>
          <cell r="F2985" t="str">
            <v>PSYCHIATRIC SOCIAL WORKER II</v>
          </cell>
          <cell r="G2985" t="str">
            <v>9035A</v>
          </cell>
          <cell r="H2985">
            <v>5425.82</v>
          </cell>
          <cell r="I2985">
            <v>1</v>
          </cell>
          <cell r="J2985">
            <v>12</v>
          </cell>
          <cell r="K2985">
            <v>1</v>
          </cell>
          <cell r="L2985">
            <v>65109.84</v>
          </cell>
        </row>
        <row r="2986">
          <cell r="A2986">
            <v>104192</v>
          </cell>
          <cell r="B2986">
            <v>23007</v>
          </cell>
          <cell r="C2986">
            <v>21532</v>
          </cell>
          <cell r="D2986" t="str">
            <v>sa4&amp;7</v>
          </cell>
          <cell r="E2986" t="str">
            <v>B</v>
          </cell>
          <cell r="F2986" t="str">
            <v>PSYCHIATRIC SOCIAL WORKER II</v>
          </cell>
          <cell r="G2986" t="str">
            <v>9035A</v>
          </cell>
          <cell r="H2986">
            <v>5425.82</v>
          </cell>
          <cell r="I2986">
            <v>1</v>
          </cell>
          <cell r="J2986">
            <v>12</v>
          </cell>
          <cell r="K2986">
            <v>1</v>
          </cell>
          <cell r="L2986">
            <v>65109.84</v>
          </cell>
        </row>
        <row r="2987">
          <cell r="A2987">
            <v>101417</v>
          </cell>
          <cell r="B2987">
            <v>20597</v>
          </cell>
          <cell r="C2987">
            <v>21532</v>
          </cell>
          <cell r="D2987" t="str">
            <v>sa4&amp;7</v>
          </cell>
          <cell r="E2987" t="str">
            <v>B</v>
          </cell>
          <cell r="F2987" t="str">
            <v xml:space="preserve">SECRETARY III                      </v>
          </cell>
          <cell r="G2987" t="str">
            <v>2096A</v>
          </cell>
          <cell r="H2987">
            <v>3387</v>
          </cell>
          <cell r="I2987">
            <v>1</v>
          </cell>
          <cell r="J2987">
            <v>12</v>
          </cell>
          <cell r="K2987">
            <v>1</v>
          </cell>
          <cell r="L2987">
            <v>40643.839999999997</v>
          </cell>
        </row>
        <row r="2988">
          <cell r="A2988">
            <v>102096</v>
          </cell>
          <cell r="B2988">
            <v>20923</v>
          </cell>
          <cell r="C2988">
            <v>21532</v>
          </cell>
          <cell r="D2988" t="str">
            <v>sa4&amp;7</v>
          </cell>
          <cell r="E2988" t="str">
            <v>B</v>
          </cell>
          <cell r="F2988" t="str">
            <v xml:space="preserve">SECRETARY III                      </v>
          </cell>
          <cell r="G2988" t="str">
            <v>2096A</v>
          </cell>
          <cell r="H2988">
            <v>3387</v>
          </cell>
          <cell r="I2988">
            <v>1</v>
          </cell>
          <cell r="J2988">
            <v>12</v>
          </cell>
          <cell r="K2988">
            <v>1</v>
          </cell>
          <cell r="L2988">
            <v>40643.839999999997</v>
          </cell>
        </row>
        <row r="2989">
          <cell r="A2989">
            <v>107385</v>
          </cell>
          <cell r="B2989">
            <v>18639</v>
          </cell>
          <cell r="C2989">
            <v>21532</v>
          </cell>
          <cell r="D2989" t="str">
            <v>sa4&amp;7</v>
          </cell>
          <cell r="E2989" t="str">
            <v>B</v>
          </cell>
          <cell r="F2989" t="str">
            <v xml:space="preserve">SENIOR COMMUNITY WORKER I          </v>
          </cell>
          <cell r="G2989" t="str">
            <v>8104A</v>
          </cell>
          <cell r="H2989">
            <v>3087.73</v>
          </cell>
          <cell r="I2989">
            <v>1</v>
          </cell>
          <cell r="J2989">
            <v>12</v>
          </cell>
          <cell r="K2989">
            <v>1</v>
          </cell>
          <cell r="L2989">
            <v>37052.76</v>
          </cell>
        </row>
        <row r="2990">
          <cell r="A2990">
            <v>102448</v>
          </cell>
          <cell r="B2990">
            <v>20481</v>
          </cell>
          <cell r="C2990">
            <v>21532</v>
          </cell>
          <cell r="D2990" t="str">
            <v>sa4&amp;7</v>
          </cell>
          <cell r="E2990" t="str">
            <v>B</v>
          </cell>
          <cell r="F2990" t="str">
            <v xml:space="preserve">STAFF ASSISTANT I                  </v>
          </cell>
          <cell r="G2990" t="str">
            <v>0907A</v>
          </cell>
          <cell r="H2990">
            <v>3453.18</v>
          </cell>
          <cell r="I2990">
            <v>1</v>
          </cell>
          <cell r="J2990">
            <v>12</v>
          </cell>
          <cell r="K2990">
            <v>1</v>
          </cell>
          <cell r="L2990">
            <v>41438.480000000003</v>
          </cell>
        </row>
        <row r="2991">
          <cell r="A2991">
            <v>104525</v>
          </cell>
          <cell r="B2991">
            <v>20679</v>
          </cell>
          <cell r="C2991">
            <v>21532</v>
          </cell>
          <cell r="D2991" t="str">
            <v>sa4&amp;7</v>
          </cell>
          <cell r="E2991" t="str">
            <v>B</v>
          </cell>
          <cell r="F2991" t="str">
            <v xml:space="preserve">STAFF ASSISTANT I                  </v>
          </cell>
          <cell r="G2991" t="str">
            <v>0907A</v>
          </cell>
          <cell r="H2991">
            <v>3453.18</v>
          </cell>
          <cell r="I2991">
            <v>1</v>
          </cell>
          <cell r="J2991">
            <v>12</v>
          </cell>
          <cell r="K2991">
            <v>1</v>
          </cell>
          <cell r="L2991">
            <v>41438.480000000003</v>
          </cell>
        </row>
        <row r="2992">
          <cell r="A2992">
            <v>105021</v>
          </cell>
          <cell r="B2992">
            <v>21532</v>
          </cell>
          <cell r="C2992">
            <v>21532</v>
          </cell>
          <cell r="D2992" t="str">
            <v>sa4&amp;7</v>
          </cell>
          <cell r="E2992" t="str">
            <v>B</v>
          </cell>
          <cell r="F2992" t="str">
            <v>STAFF ASSISTANT III</v>
          </cell>
          <cell r="G2992" t="str">
            <v>0915A</v>
          </cell>
          <cell r="H2992">
            <v>4737.6400000000003</v>
          </cell>
          <cell r="I2992">
            <v>1</v>
          </cell>
          <cell r="J2992">
            <v>12</v>
          </cell>
          <cell r="K2992">
            <v>1</v>
          </cell>
          <cell r="L2992">
            <v>56851.519999999997</v>
          </cell>
        </row>
        <row r="2993">
          <cell r="A2993">
            <v>101654</v>
          </cell>
          <cell r="B2993">
            <v>20572</v>
          </cell>
          <cell r="C2993">
            <v>21532</v>
          </cell>
          <cell r="D2993" t="str">
            <v>sa4&amp;7</v>
          </cell>
          <cell r="E2993" t="str">
            <v>B</v>
          </cell>
          <cell r="F2993" t="str">
            <v xml:space="preserve">TRANSCRIBER TYPIST                 </v>
          </cell>
          <cell r="G2993" t="str">
            <v>2201A</v>
          </cell>
          <cell r="H2993">
            <v>2906</v>
          </cell>
          <cell r="I2993">
            <v>1</v>
          </cell>
          <cell r="J2993">
            <v>12</v>
          </cell>
          <cell r="K2993">
            <v>1</v>
          </cell>
          <cell r="L2993">
            <v>34872</v>
          </cell>
        </row>
        <row r="2994">
          <cell r="A2994">
            <v>102360</v>
          </cell>
          <cell r="B2994">
            <v>20483</v>
          </cell>
          <cell r="C2994">
            <v>21533</v>
          </cell>
          <cell r="D2994" t="str">
            <v>sa4&amp;7</v>
          </cell>
          <cell r="E2994" t="str">
            <v>B</v>
          </cell>
          <cell r="F2994" t="str">
            <v>CLINICAL PSYCHOLOGIST II</v>
          </cell>
          <cell r="G2994" t="str">
            <v>8697A</v>
          </cell>
          <cell r="H2994">
            <v>6993.82</v>
          </cell>
          <cell r="I2994">
            <v>1</v>
          </cell>
          <cell r="J2994">
            <v>12</v>
          </cell>
          <cell r="K2994">
            <v>1</v>
          </cell>
          <cell r="L2994">
            <v>83925.52</v>
          </cell>
        </row>
        <row r="2995">
          <cell r="A2995">
            <v>103447</v>
          </cell>
          <cell r="B2995">
            <v>20679</v>
          </cell>
          <cell r="C2995">
            <v>21533</v>
          </cell>
          <cell r="D2995" t="str">
            <v>sa4&amp;7</v>
          </cell>
          <cell r="E2995" t="str">
            <v>B</v>
          </cell>
          <cell r="F2995" t="str">
            <v>CLINICAL PSYCHOLOGIST II</v>
          </cell>
          <cell r="G2995" t="str">
            <v>8697A</v>
          </cell>
          <cell r="H2995">
            <v>6993.82</v>
          </cell>
          <cell r="I2995">
            <v>1</v>
          </cell>
          <cell r="J2995">
            <v>12</v>
          </cell>
          <cell r="K2995">
            <v>1</v>
          </cell>
          <cell r="L2995">
            <v>83925.52</v>
          </cell>
        </row>
        <row r="2996">
          <cell r="A2996">
            <v>106287</v>
          </cell>
          <cell r="B2996">
            <v>23019</v>
          </cell>
          <cell r="C2996">
            <v>21533</v>
          </cell>
          <cell r="D2996" t="str">
            <v>sa4&amp;7</v>
          </cell>
          <cell r="E2996" t="str">
            <v>B</v>
          </cell>
          <cell r="F2996" t="str">
            <v>CLINICAL PSYCHOLOGIST II</v>
          </cell>
          <cell r="G2996" t="str">
            <v>8697A</v>
          </cell>
          <cell r="H2996">
            <v>6993.82</v>
          </cell>
          <cell r="I2996">
            <v>1</v>
          </cell>
          <cell r="J2996">
            <v>12</v>
          </cell>
          <cell r="K2996">
            <v>1</v>
          </cell>
          <cell r="L2996">
            <v>83925.52</v>
          </cell>
        </row>
        <row r="2997">
          <cell r="A2997">
            <v>106354</v>
          </cell>
          <cell r="B2997">
            <v>21564</v>
          </cell>
          <cell r="C2997">
            <v>21533</v>
          </cell>
          <cell r="D2997" t="str">
            <v>sa4&amp;7</v>
          </cell>
          <cell r="E2997" t="str">
            <v>B</v>
          </cell>
          <cell r="F2997" t="str">
            <v>CLINICAL PSYCHOLOGIST II</v>
          </cell>
          <cell r="G2997" t="str">
            <v>8697A</v>
          </cell>
          <cell r="H2997">
            <v>6993.82</v>
          </cell>
          <cell r="I2997">
            <v>1</v>
          </cell>
          <cell r="J2997">
            <v>12</v>
          </cell>
          <cell r="K2997">
            <v>1</v>
          </cell>
          <cell r="L2997">
            <v>83925.52</v>
          </cell>
        </row>
        <row r="2998">
          <cell r="A2998">
            <v>102831</v>
          </cell>
          <cell r="B2998">
            <v>20483</v>
          </cell>
          <cell r="C2998">
            <v>21533</v>
          </cell>
          <cell r="D2998" t="str">
            <v>sa4&amp;7</v>
          </cell>
          <cell r="E2998" t="str">
            <v>B</v>
          </cell>
          <cell r="F2998" t="str">
            <v xml:space="preserve">COMMUNITY SERVICES COUNSELOR       </v>
          </cell>
          <cell r="G2998" t="str">
            <v>8108A</v>
          </cell>
          <cell r="H2998">
            <v>3257.45</v>
          </cell>
          <cell r="I2998">
            <v>1</v>
          </cell>
          <cell r="J2998">
            <v>12</v>
          </cell>
          <cell r="K2998">
            <v>1</v>
          </cell>
          <cell r="L2998">
            <v>39089.32</v>
          </cell>
        </row>
        <row r="2999">
          <cell r="A2999">
            <v>106001</v>
          </cell>
          <cell r="B2999">
            <v>21533</v>
          </cell>
          <cell r="C2999">
            <v>21533</v>
          </cell>
          <cell r="D2999" t="str">
            <v>sa4&amp;7</v>
          </cell>
          <cell r="E2999" t="str">
            <v>B</v>
          </cell>
          <cell r="F2999" t="str">
            <v>COMMUNITY WORKER</v>
          </cell>
          <cell r="G2999" t="str">
            <v>8103A</v>
          </cell>
          <cell r="H2999">
            <v>2984.09</v>
          </cell>
          <cell r="I2999">
            <v>1</v>
          </cell>
          <cell r="J2999">
            <v>12</v>
          </cell>
          <cell r="K2999">
            <v>1</v>
          </cell>
          <cell r="L2999">
            <v>35809.08</v>
          </cell>
        </row>
        <row r="3000">
          <cell r="A3000">
            <v>106002</v>
          </cell>
          <cell r="B3000">
            <v>21533</v>
          </cell>
          <cell r="C3000">
            <v>21533</v>
          </cell>
          <cell r="D3000" t="str">
            <v>sa4&amp;7</v>
          </cell>
          <cell r="E3000" t="str">
            <v>B</v>
          </cell>
          <cell r="F3000" t="str">
            <v>COMMUNITY WORKER</v>
          </cell>
          <cell r="G3000" t="str">
            <v>8103A</v>
          </cell>
          <cell r="H3000">
            <v>2984.09</v>
          </cell>
          <cell r="I3000">
            <v>1</v>
          </cell>
          <cell r="J3000">
            <v>12</v>
          </cell>
          <cell r="K3000">
            <v>1</v>
          </cell>
          <cell r="L3000">
            <v>35809.08</v>
          </cell>
        </row>
        <row r="3001">
          <cell r="A3001">
            <v>106003</v>
          </cell>
          <cell r="B3001">
            <v>21533</v>
          </cell>
          <cell r="C3001">
            <v>21533</v>
          </cell>
          <cell r="D3001" t="str">
            <v>sa4&amp;7</v>
          </cell>
          <cell r="E3001" t="str">
            <v>B</v>
          </cell>
          <cell r="F3001" t="str">
            <v>COMMUNITY WORKER</v>
          </cell>
          <cell r="G3001" t="str">
            <v>8103A</v>
          </cell>
          <cell r="H3001">
            <v>2984.09</v>
          </cell>
          <cell r="I3001">
            <v>1</v>
          </cell>
          <cell r="J3001">
            <v>12</v>
          </cell>
          <cell r="K3001">
            <v>1</v>
          </cell>
          <cell r="L3001">
            <v>35809.08</v>
          </cell>
        </row>
        <row r="3002">
          <cell r="A3002">
            <v>106004</v>
          </cell>
          <cell r="B3002">
            <v>21533</v>
          </cell>
          <cell r="C3002">
            <v>21533</v>
          </cell>
          <cell r="D3002" t="str">
            <v>sa4&amp;7</v>
          </cell>
          <cell r="E3002" t="str">
            <v>B</v>
          </cell>
          <cell r="F3002" t="str">
            <v>COMMUNITY WORKER</v>
          </cell>
          <cell r="G3002" t="str">
            <v>8103A</v>
          </cell>
          <cell r="H3002">
            <v>2984.09</v>
          </cell>
          <cell r="I3002">
            <v>1</v>
          </cell>
          <cell r="J3002">
            <v>12</v>
          </cell>
          <cell r="K3002">
            <v>1</v>
          </cell>
          <cell r="L3002">
            <v>35809.08</v>
          </cell>
        </row>
        <row r="3003">
          <cell r="A3003">
            <v>106008</v>
          </cell>
          <cell r="B3003">
            <v>21533</v>
          </cell>
          <cell r="C3003">
            <v>21533</v>
          </cell>
          <cell r="D3003" t="str">
            <v>sa4&amp;7</v>
          </cell>
          <cell r="E3003" t="str">
            <v>B</v>
          </cell>
          <cell r="F3003" t="str">
            <v>COMMUNITY WORKER</v>
          </cell>
          <cell r="G3003" t="str">
            <v>8103A</v>
          </cell>
          <cell r="H3003">
            <v>2984.09</v>
          </cell>
          <cell r="I3003">
            <v>1</v>
          </cell>
          <cell r="J3003">
            <v>12</v>
          </cell>
          <cell r="K3003">
            <v>1</v>
          </cell>
          <cell r="L3003">
            <v>35809.08</v>
          </cell>
        </row>
        <row r="3004">
          <cell r="A3004">
            <v>103714</v>
          </cell>
          <cell r="B3004">
            <v>21533</v>
          </cell>
          <cell r="C3004">
            <v>21533</v>
          </cell>
          <cell r="D3004" t="str">
            <v>sa4&amp;7</v>
          </cell>
          <cell r="E3004" t="str">
            <v>B</v>
          </cell>
          <cell r="F3004" t="str">
            <v>INTERMEDIATE TYPIST-CLERK</v>
          </cell>
          <cell r="G3004" t="str">
            <v>2214A</v>
          </cell>
          <cell r="H3004">
            <v>2675.27</v>
          </cell>
          <cell r="I3004">
            <v>1</v>
          </cell>
          <cell r="J3004">
            <v>12</v>
          </cell>
          <cell r="K3004">
            <v>1</v>
          </cell>
          <cell r="L3004">
            <v>32103.16</v>
          </cell>
        </row>
        <row r="3005">
          <cell r="A3005">
            <v>103751</v>
          </cell>
          <cell r="B3005">
            <v>20446</v>
          </cell>
          <cell r="C3005">
            <v>21533</v>
          </cell>
          <cell r="D3005" t="str">
            <v>sa4&amp;7</v>
          </cell>
          <cell r="E3005" t="str">
            <v>B</v>
          </cell>
          <cell r="F3005" t="str">
            <v>INTERMEDIATE TYPIST-CLERK</v>
          </cell>
          <cell r="G3005" t="str">
            <v>2214A</v>
          </cell>
          <cell r="H3005">
            <v>2675.27</v>
          </cell>
          <cell r="I3005">
            <v>1</v>
          </cell>
          <cell r="J3005">
            <v>12</v>
          </cell>
          <cell r="K3005">
            <v>1</v>
          </cell>
          <cell r="L3005">
            <v>32103.16</v>
          </cell>
        </row>
        <row r="3006">
          <cell r="A3006">
            <v>109183</v>
          </cell>
          <cell r="B3006">
            <v>27506</v>
          </cell>
          <cell r="C3006">
            <v>21533</v>
          </cell>
          <cell r="D3006" t="str">
            <v>sa4&amp;7</v>
          </cell>
          <cell r="E3006" t="str">
            <v>B</v>
          </cell>
          <cell r="F3006" t="str">
            <v>INTERMEDIATE TYPIST-CLERK</v>
          </cell>
          <cell r="G3006" t="str">
            <v>2214A</v>
          </cell>
          <cell r="H3006">
            <v>2675.27</v>
          </cell>
          <cell r="I3006">
            <v>1</v>
          </cell>
          <cell r="J3006">
            <v>12</v>
          </cell>
          <cell r="K3006">
            <v>1</v>
          </cell>
          <cell r="L3006">
            <v>32103.16</v>
          </cell>
        </row>
        <row r="3007">
          <cell r="A3007">
            <v>109655</v>
          </cell>
          <cell r="B3007">
            <v>21533</v>
          </cell>
          <cell r="C3007">
            <v>21533</v>
          </cell>
          <cell r="D3007" t="str">
            <v>sa4&amp;7</v>
          </cell>
          <cell r="E3007" t="str">
            <v>B</v>
          </cell>
          <cell r="F3007" t="str">
            <v>INTERMEDIATE TYPIST-CLERK</v>
          </cell>
          <cell r="G3007" t="str">
            <v>2214A</v>
          </cell>
          <cell r="H3007">
            <v>2675.27</v>
          </cell>
          <cell r="I3007">
            <v>1</v>
          </cell>
          <cell r="J3007">
            <v>12</v>
          </cell>
          <cell r="K3007">
            <v>1</v>
          </cell>
          <cell r="L3007">
            <v>32103.24</v>
          </cell>
        </row>
        <row r="3008">
          <cell r="A3008">
            <v>109662</v>
          </cell>
          <cell r="B3008">
            <v>21533</v>
          </cell>
          <cell r="C3008">
            <v>21533</v>
          </cell>
          <cell r="D3008" t="str">
            <v>sa4&amp;7</v>
          </cell>
          <cell r="E3008" t="str">
            <v>B</v>
          </cell>
          <cell r="F3008" t="str">
            <v>INTERMEDIATE TYPIST-CLERK</v>
          </cell>
          <cell r="G3008" t="str">
            <v>2214A</v>
          </cell>
          <cell r="H3008">
            <v>2675.27</v>
          </cell>
          <cell r="I3008">
            <v>1</v>
          </cell>
          <cell r="J3008">
            <v>12</v>
          </cell>
          <cell r="K3008">
            <v>1</v>
          </cell>
          <cell r="L3008">
            <v>32103.24</v>
          </cell>
        </row>
        <row r="3009">
          <cell r="A3009">
            <v>109664</v>
          </cell>
          <cell r="B3009">
            <v>21533</v>
          </cell>
          <cell r="C3009">
            <v>21533</v>
          </cell>
          <cell r="D3009" t="str">
            <v>sa4&amp;7</v>
          </cell>
          <cell r="E3009" t="str">
            <v>B</v>
          </cell>
          <cell r="F3009" t="str">
            <v>INTERMEDIATE TYPIST-CLERK</v>
          </cell>
          <cell r="G3009" t="str">
            <v>2214A</v>
          </cell>
          <cell r="H3009">
            <v>2675.27</v>
          </cell>
          <cell r="I3009">
            <v>1</v>
          </cell>
          <cell r="J3009">
            <v>12</v>
          </cell>
          <cell r="K3009">
            <v>1</v>
          </cell>
          <cell r="L3009">
            <v>32103.24</v>
          </cell>
        </row>
        <row r="3010">
          <cell r="A3010">
            <v>109673</v>
          </cell>
          <cell r="B3010">
            <v>21533</v>
          </cell>
          <cell r="C3010">
            <v>21533</v>
          </cell>
          <cell r="D3010" t="str">
            <v>sa4&amp;7</v>
          </cell>
          <cell r="E3010" t="str">
            <v>B</v>
          </cell>
          <cell r="F3010" t="str">
            <v>INTERMEDIATE TYPIST-CLERK</v>
          </cell>
          <cell r="G3010" t="str">
            <v>2214A</v>
          </cell>
          <cell r="H3010">
            <v>2675.27</v>
          </cell>
          <cell r="I3010">
            <v>1</v>
          </cell>
          <cell r="J3010">
            <v>12</v>
          </cell>
          <cell r="K3010">
            <v>1</v>
          </cell>
          <cell r="L3010">
            <v>32103.24</v>
          </cell>
        </row>
        <row r="3011">
          <cell r="A3011">
            <v>109680</v>
          </cell>
          <cell r="B3011">
            <v>21533</v>
          </cell>
          <cell r="C3011">
            <v>21533</v>
          </cell>
          <cell r="D3011" t="str">
            <v>sa4&amp;7</v>
          </cell>
          <cell r="E3011" t="str">
            <v>B</v>
          </cell>
          <cell r="F3011" t="str">
            <v>INTERMEDIATE TYPIST-CLERK</v>
          </cell>
          <cell r="G3011" t="str">
            <v>2214A</v>
          </cell>
          <cell r="H3011">
            <v>2675.27</v>
          </cell>
          <cell r="I3011">
            <v>1</v>
          </cell>
          <cell r="J3011">
            <v>12</v>
          </cell>
          <cell r="K3011">
            <v>1</v>
          </cell>
          <cell r="L3011">
            <v>32103.24</v>
          </cell>
        </row>
        <row r="3012">
          <cell r="A3012">
            <v>109696</v>
          </cell>
          <cell r="B3012">
            <v>21533</v>
          </cell>
          <cell r="C3012">
            <v>21533</v>
          </cell>
          <cell r="D3012" t="str">
            <v>sa4&amp;7</v>
          </cell>
          <cell r="E3012" t="str">
            <v>B</v>
          </cell>
          <cell r="F3012" t="str">
            <v>INTERMEDIATE TYPIST-CLERK</v>
          </cell>
          <cell r="G3012" t="str">
            <v>2214A</v>
          </cell>
          <cell r="H3012">
            <v>2675.27</v>
          </cell>
          <cell r="I3012">
            <v>1</v>
          </cell>
          <cell r="J3012">
            <v>12</v>
          </cell>
          <cell r="K3012">
            <v>1</v>
          </cell>
          <cell r="L3012">
            <v>32103.24</v>
          </cell>
        </row>
        <row r="3013">
          <cell r="A3013">
            <v>109708</v>
          </cell>
          <cell r="B3013">
            <v>21533</v>
          </cell>
          <cell r="C3013">
            <v>21533</v>
          </cell>
          <cell r="D3013" t="str">
            <v>sa4&amp;7</v>
          </cell>
          <cell r="E3013" t="str">
            <v>B</v>
          </cell>
          <cell r="F3013" t="str">
            <v>INTERMEDIATE TYPIST-CLERK</v>
          </cell>
          <cell r="G3013" t="str">
            <v>2214A</v>
          </cell>
          <cell r="H3013">
            <v>2675.27</v>
          </cell>
          <cell r="I3013">
            <v>1</v>
          </cell>
          <cell r="J3013">
            <v>12</v>
          </cell>
          <cell r="K3013">
            <v>1</v>
          </cell>
          <cell r="L3013">
            <v>32103.24</v>
          </cell>
        </row>
        <row r="3014">
          <cell r="A3014">
            <v>109726</v>
          </cell>
          <cell r="B3014">
            <v>21533</v>
          </cell>
          <cell r="C3014">
            <v>21533</v>
          </cell>
          <cell r="D3014" t="str">
            <v>sa4&amp;7</v>
          </cell>
          <cell r="E3014" t="str">
            <v>B</v>
          </cell>
          <cell r="F3014" t="str">
            <v>INTERMEDIATE TYPIST-CLERK</v>
          </cell>
          <cell r="G3014" t="str">
            <v>2214A</v>
          </cell>
          <cell r="H3014">
            <v>2675.27</v>
          </cell>
          <cell r="I3014">
            <v>1</v>
          </cell>
          <cell r="J3014">
            <v>12</v>
          </cell>
          <cell r="K3014">
            <v>1</v>
          </cell>
          <cell r="L3014">
            <v>32103.24</v>
          </cell>
        </row>
        <row r="3015">
          <cell r="A3015">
            <v>100485</v>
          </cell>
          <cell r="B3015">
            <v>20572</v>
          </cell>
          <cell r="C3015">
            <v>21533</v>
          </cell>
          <cell r="D3015" t="str">
            <v>sa4&amp;7</v>
          </cell>
          <cell r="E3015" t="str">
            <v>B</v>
          </cell>
          <cell r="F3015" t="str">
            <v>MEDICAL CASE WORKER II</v>
          </cell>
          <cell r="G3015" t="str">
            <v>9002A</v>
          </cell>
          <cell r="H3015">
            <v>3938.82</v>
          </cell>
          <cell r="I3015">
            <v>1</v>
          </cell>
          <cell r="J3015">
            <v>12</v>
          </cell>
          <cell r="K3015">
            <v>1</v>
          </cell>
          <cell r="L3015">
            <v>47265.68</v>
          </cell>
        </row>
        <row r="3016">
          <cell r="A3016">
            <v>106012</v>
          </cell>
          <cell r="B3016">
            <v>21533</v>
          </cell>
          <cell r="C3016">
            <v>21533</v>
          </cell>
          <cell r="D3016" t="str">
            <v>sa4&amp;7</v>
          </cell>
          <cell r="E3016" t="str">
            <v>B</v>
          </cell>
          <cell r="F3016" t="str">
            <v>MEDICAL CASE WORKER II</v>
          </cell>
          <cell r="G3016" t="str">
            <v>9002A</v>
          </cell>
          <cell r="H3016">
            <v>3938.82</v>
          </cell>
          <cell r="I3016">
            <v>1</v>
          </cell>
          <cell r="J3016">
            <v>12</v>
          </cell>
          <cell r="K3016">
            <v>1</v>
          </cell>
          <cell r="L3016">
            <v>47265.68</v>
          </cell>
        </row>
        <row r="3017">
          <cell r="A3017">
            <v>106014</v>
          </cell>
          <cell r="B3017">
            <v>21533</v>
          </cell>
          <cell r="C3017">
            <v>21533</v>
          </cell>
          <cell r="D3017" t="str">
            <v>sa4&amp;7</v>
          </cell>
          <cell r="E3017" t="str">
            <v>B</v>
          </cell>
          <cell r="F3017" t="str">
            <v>MEDICAL CASE WORKER II</v>
          </cell>
          <cell r="G3017" t="str">
            <v>9002A</v>
          </cell>
          <cell r="H3017">
            <v>3938.82</v>
          </cell>
          <cell r="I3017">
            <v>1</v>
          </cell>
          <cell r="J3017">
            <v>12</v>
          </cell>
          <cell r="K3017">
            <v>1</v>
          </cell>
          <cell r="L3017">
            <v>47265.68</v>
          </cell>
        </row>
        <row r="3018">
          <cell r="A3018">
            <v>106015</v>
          </cell>
          <cell r="B3018">
            <v>21533</v>
          </cell>
          <cell r="C3018">
            <v>21533</v>
          </cell>
          <cell r="D3018" t="str">
            <v>sa4&amp;7</v>
          </cell>
          <cell r="E3018" t="str">
            <v>B</v>
          </cell>
          <cell r="F3018" t="str">
            <v>MEDICAL CASE WORKER II</v>
          </cell>
          <cell r="G3018" t="str">
            <v>9002A</v>
          </cell>
          <cell r="H3018">
            <v>3938.82</v>
          </cell>
          <cell r="I3018">
            <v>1</v>
          </cell>
          <cell r="J3018">
            <v>12</v>
          </cell>
          <cell r="K3018">
            <v>1</v>
          </cell>
          <cell r="L3018">
            <v>47265.68</v>
          </cell>
        </row>
        <row r="3019">
          <cell r="A3019">
            <v>106017</v>
          </cell>
          <cell r="B3019">
            <v>21533</v>
          </cell>
          <cell r="C3019">
            <v>21533</v>
          </cell>
          <cell r="D3019" t="str">
            <v>sa4&amp;7</v>
          </cell>
          <cell r="E3019" t="str">
            <v>B</v>
          </cell>
          <cell r="F3019" t="str">
            <v>MEDICAL CASE WORKER II</v>
          </cell>
          <cell r="G3019" t="str">
            <v>9002A</v>
          </cell>
          <cell r="H3019">
            <v>3938.82</v>
          </cell>
          <cell r="I3019">
            <v>1</v>
          </cell>
          <cell r="J3019">
            <v>12</v>
          </cell>
          <cell r="K3019">
            <v>1</v>
          </cell>
          <cell r="L3019">
            <v>47265.68</v>
          </cell>
        </row>
        <row r="3020">
          <cell r="A3020">
            <v>106018</v>
          </cell>
          <cell r="B3020">
            <v>21533</v>
          </cell>
          <cell r="C3020">
            <v>21533</v>
          </cell>
          <cell r="D3020" t="str">
            <v>sa4&amp;7</v>
          </cell>
          <cell r="E3020" t="str">
            <v>B</v>
          </cell>
          <cell r="F3020" t="str">
            <v>MEDICAL CASE WORKER II</v>
          </cell>
          <cell r="G3020" t="str">
            <v>9002A</v>
          </cell>
          <cell r="H3020">
            <v>3938.82</v>
          </cell>
          <cell r="I3020">
            <v>1</v>
          </cell>
          <cell r="J3020">
            <v>12</v>
          </cell>
          <cell r="K3020">
            <v>1</v>
          </cell>
          <cell r="L3020">
            <v>47265.68</v>
          </cell>
        </row>
        <row r="3021">
          <cell r="A3021">
            <v>106020</v>
          </cell>
          <cell r="B3021">
            <v>21533</v>
          </cell>
          <cell r="C3021">
            <v>21533</v>
          </cell>
          <cell r="D3021" t="str">
            <v>sa4&amp;7</v>
          </cell>
          <cell r="E3021" t="str">
            <v>B</v>
          </cell>
          <cell r="F3021" t="str">
            <v>MEDICAL CASE WORKER II</v>
          </cell>
          <cell r="G3021" t="str">
            <v>9002A</v>
          </cell>
          <cell r="H3021">
            <v>3938.82</v>
          </cell>
          <cell r="I3021">
            <v>1</v>
          </cell>
          <cell r="J3021">
            <v>12</v>
          </cell>
          <cell r="K3021">
            <v>1</v>
          </cell>
          <cell r="L3021">
            <v>47265.68</v>
          </cell>
        </row>
        <row r="3022">
          <cell r="A3022">
            <v>106021</v>
          </cell>
          <cell r="B3022">
            <v>21533</v>
          </cell>
          <cell r="C3022">
            <v>21533</v>
          </cell>
          <cell r="D3022" t="str">
            <v>sa4&amp;7</v>
          </cell>
          <cell r="E3022" t="str">
            <v>B</v>
          </cell>
          <cell r="F3022" t="str">
            <v>MEDICAL CASE WORKER II</v>
          </cell>
          <cell r="G3022" t="str">
            <v>9002A</v>
          </cell>
          <cell r="H3022">
            <v>3938.82</v>
          </cell>
          <cell r="I3022">
            <v>1</v>
          </cell>
          <cell r="J3022">
            <v>12</v>
          </cell>
          <cell r="K3022">
            <v>1</v>
          </cell>
          <cell r="L3022">
            <v>47265.68</v>
          </cell>
        </row>
        <row r="3023">
          <cell r="A3023">
            <v>106022</v>
          </cell>
          <cell r="B3023">
            <v>21533</v>
          </cell>
          <cell r="C3023">
            <v>21533</v>
          </cell>
          <cell r="D3023" t="str">
            <v>sa4&amp;7</v>
          </cell>
          <cell r="E3023" t="str">
            <v>B</v>
          </cell>
          <cell r="F3023" t="str">
            <v>MEDICAL CASE WORKER II</v>
          </cell>
          <cell r="G3023" t="str">
            <v>9002A</v>
          </cell>
          <cell r="H3023">
            <v>3938.82</v>
          </cell>
          <cell r="I3023">
            <v>1</v>
          </cell>
          <cell r="J3023">
            <v>12</v>
          </cell>
          <cell r="K3023">
            <v>1</v>
          </cell>
          <cell r="L3023">
            <v>47265.68</v>
          </cell>
        </row>
        <row r="3024">
          <cell r="A3024">
            <v>106239</v>
          </cell>
          <cell r="B3024">
            <v>18674</v>
          </cell>
          <cell r="C3024">
            <v>21533</v>
          </cell>
          <cell r="D3024" t="str">
            <v>sa4&amp;7</v>
          </cell>
          <cell r="E3024" t="str">
            <v>B</v>
          </cell>
          <cell r="F3024" t="str">
            <v>MEDICAL CASE WORKER II</v>
          </cell>
          <cell r="G3024" t="str">
            <v>9002A</v>
          </cell>
          <cell r="H3024">
            <v>3938.82</v>
          </cell>
          <cell r="I3024">
            <v>1</v>
          </cell>
          <cell r="J3024">
            <v>12</v>
          </cell>
          <cell r="K3024">
            <v>1</v>
          </cell>
          <cell r="L3024">
            <v>47265.68</v>
          </cell>
        </row>
        <row r="3025">
          <cell r="A3025">
            <v>100625</v>
          </cell>
          <cell r="B3025">
            <v>20488</v>
          </cell>
          <cell r="C3025">
            <v>21533</v>
          </cell>
          <cell r="D3025" t="str">
            <v>sa4&amp;7</v>
          </cell>
          <cell r="E3025" t="str">
            <v>B</v>
          </cell>
          <cell r="F3025" t="str">
            <v>MENTAL HEALTH COUNSELOR, RN</v>
          </cell>
          <cell r="G3025" t="str">
            <v>5278A</v>
          </cell>
          <cell r="H3025">
            <v>6275.27</v>
          </cell>
          <cell r="I3025">
            <v>1</v>
          </cell>
          <cell r="J3025">
            <v>12</v>
          </cell>
          <cell r="K3025">
            <v>1</v>
          </cell>
          <cell r="L3025">
            <v>76804.323333333334</v>
          </cell>
        </row>
        <row r="3026">
          <cell r="A3026">
            <v>100628</v>
          </cell>
          <cell r="B3026">
            <v>20658</v>
          </cell>
          <cell r="C3026">
            <v>21533</v>
          </cell>
          <cell r="D3026" t="str">
            <v>sa4&amp;7</v>
          </cell>
          <cell r="E3026" t="str">
            <v>B</v>
          </cell>
          <cell r="F3026" t="str">
            <v>MENTAL HEALTH COUNSELOR, RN</v>
          </cell>
          <cell r="G3026" t="str">
            <v>5278A</v>
          </cell>
          <cell r="H3026">
            <v>6275.27</v>
          </cell>
          <cell r="I3026">
            <v>1</v>
          </cell>
          <cell r="J3026">
            <v>12</v>
          </cell>
          <cell r="K3026">
            <v>1</v>
          </cell>
          <cell r="L3026">
            <v>76804.323333333334</v>
          </cell>
        </row>
        <row r="3027">
          <cell r="A3027">
            <v>101755</v>
          </cell>
          <cell r="B3027">
            <v>20564</v>
          </cell>
          <cell r="C3027">
            <v>21533</v>
          </cell>
          <cell r="D3027" t="str">
            <v>sa4&amp;7</v>
          </cell>
          <cell r="E3027" t="str">
            <v>B</v>
          </cell>
          <cell r="F3027" t="str">
            <v>MENTAL HEALTH COUNSELOR, RN</v>
          </cell>
          <cell r="G3027" t="str">
            <v>5278A</v>
          </cell>
          <cell r="H3027">
            <v>6275.27</v>
          </cell>
          <cell r="I3027">
            <v>1</v>
          </cell>
          <cell r="J3027">
            <v>12</v>
          </cell>
          <cell r="K3027">
            <v>1</v>
          </cell>
          <cell r="L3027">
            <v>76804.323333333334</v>
          </cell>
        </row>
        <row r="3028">
          <cell r="A3028">
            <v>101756</v>
          </cell>
          <cell r="B3028">
            <v>20564</v>
          </cell>
          <cell r="C3028">
            <v>21533</v>
          </cell>
          <cell r="D3028" t="str">
            <v>sa4&amp;7</v>
          </cell>
          <cell r="E3028" t="str">
            <v>B</v>
          </cell>
          <cell r="F3028" t="str">
            <v>MENTAL HEALTH COUNSELOR, RN</v>
          </cell>
          <cell r="G3028" t="str">
            <v>5278A</v>
          </cell>
          <cell r="H3028">
            <v>6275.27</v>
          </cell>
          <cell r="I3028">
            <v>1</v>
          </cell>
          <cell r="J3028">
            <v>12</v>
          </cell>
          <cell r="K3028">
            <v>1</v>
          </cell>
          <cell r="L3028">
            <v>76804.323333333334</v>
          </cell>
        </row>
        <row r="3029">
          <cell r="A3029">
            <v>101758</v>
          </cell>
          <cell r="B3029">
            <v>20564</v>
          </cell>
          <cell r="C3029">
            <v>21533</v>
          </cell>
          <cell r="D3029" t="str">
            <v>sa4&amp;7</v>
          </cell>
          <cell r="E3029" t="str">
            <v>B</v>
          </cell>
          <cell r="F3029" t="str">
            <v>MENTAL HEALTH COUNSELOR, RN</v>
          </cell>
          <cell r="G3029" t="str">
            <v>5278A</v>
          </cell>
          <cell r="H3029">
            <v>6275.27</v>
          </cell>
          <cell r="I3029">
            <v>1</v>
          </cell>
          <cell r="J3029">
            <v>12</v>
          </cell>
          <cell r="K3029">
            <v>1</v>
          </cell>
          <cell r="L3029">
            <v>76804.323333333334</v>
          </cell>
        </row>
        <row r="3030">
          <cell r="A3030">
            <v>103558</v>
          </cell>
          <cell r="B3030">
            <v>20981</v>
          </cell>
          <cell r="C3030">
            <v>21533</v>
          </cell>
          <cell r="D3030" t="str">
            <v>sa4&amp;7</v>
          </cell>
          <cell r="E3030" t="str">
            <v>B</v>
          </cell>
          <cell r="F3030" t="str">
            <v>MENTAL HEALTH COUNSELOR, RN</v>
          </cell>
          <cell r="G3030" t="str">
            <v>5278A</v>
          </cell>
          <cell r="H3030">
            <v>6275.27</v>
          </cell>
          <cell r="I3030">
            <v>1</v>
          </cell>
          <cell r="J3030">
            <v>12</v>
          </cell>
          <cell r="K3030">
            <v>1</v>
          </cell>
          <cell r="L3030">
            <v>76804.323333333334</v>
          </cell>
        </row>
        <row r="3031">
          <cell r="A3031">
            <v>103563</v>
          </cell>
          <cell r="B3031">
            <v>20450</v>
          </cell>
          <cell r="C3031">
            <v>21533</v>
          </cell>
          <cell r="D3031" t="str">
            <v>sa4&amp;7</v>
          </cell>
          <cell r="E3031" t="str">
            <v>B</v>
          </cell>
          <cell r="F3031" t="str">
            <v>MENTAL HEALTH COUNSELOR, RN</v>
          </cell>
          <cell r="G3031" t="str">
            <v>5278A</v>
          </cell>
          <cell r="H3031">
            <v>6275.27</v>
          </cell>
          <cell r="I3031">
            <v>1</v>
          </cell>
          <cell r="J3031">
            <v>12</v>
          </cell>
          <cell r="K3031">
            <v>1</v>
          </cell>
          <cell r="L3031">
            <v>76804.323333333334</v>
          </cell>
        </row>
        <row r="3032">
          <cell r="A3032">
            <v>103715</v>
          </cell>
          <cell r="B3032">
            <v>20564</v>
          </cell>
          <cell r="C3032">
            <v>21533</v>
          </cell>
          <cell r="D3032" t="str">
            <v>sa4&amp;7</v>
          </cell>
          <cell r="E3032" t="str">
            <v>B</v>
          </cell>
          <cell r="F3032" t="str">
            <v>MENTAL HEALTH COUNSELOR, RN</v>
          </cell>
          <cell r="G3032" t="str">
            <v>5278A</v>
          </cell>
          <cell r="H3032">
            <v>6275.27</v>
          </cell>
          <cell r="I3032">
            <v>1</v>
          </cell>
          <cell r="J3032">
            <v>12</v>
          </cell>
          <cell r="K3032">
            <v>1</v>
          </cell>
          <cell r="L3032">
            <v>76804.323333333334</v>
          </cell>
        </row>
        <row r="3033">
          <cell r="A3033">
            <v>103756</v>
          </cell>
          <cell r="B3033">
            <v>20446</v>
          </cell>
          <cell r="C3033">
            <v>21533</v>
          </cell>
          <cell r="D3033" t="str">
            <v>sa4&amp;7</v>
          </cell>
          <cell r="E3033" t="str">
            <v>B</v>
          </cell>
          <cell r="F3033" t="str">
            <v>MENTAL HEALTH COUNSELOR, RN</v>
          </cell>
          <cell r="G3033" t="str">
            <v>5278A</v>
          </cell>
          <cell r="H3033">
            <v>6275.27</v>
          </cell>
          <cell r="I3033">
            <v>1</v>
          </cell>
          <cell r="J3033">
            <v>12</v>
          </cell>
          <cell r="K3033">
            <v>1</v>
          </cell>
          <cell r="L3033">
            <v>76804.323333333334</v>
          </cell>
        </row>
        <row r="3034">
          <cell r="A3034">
            <v>103874</v>
          </cell>
          <cell r="B3034">
            <v>20981</v>
          </cell>
          <cell r="C3034">
            <v>21533</v>
          </cell>
          <cell r="D3034" t="str">
            <v>sa4&amp;7</v>
          </cell>
          <cell r="E3034" t="str">
            <v>B</v>
          </cell>
          <cell r="F3034" t="str">
            <v>MENTAL HEALTH COUNSELOR, RN</v>
          </cell>
          <cell r="G3034" t="str">
            <v>5278A</v>
          </cell>
          <cell r="H3034">
            <v>6275.27</v>
          </cell>
          <cell r="I3034">
            <v>1</v>
          </cell>
          <cell r="J3034">
            <v>12</v>
          </cell>
          <cell r="K3034">
            <v>1</v>
          </cell>
          <cell r="L3034">
            <v>76804.323333333334</v>
          </cell>
        </row>
        <row r="3035">
          <cell r="A3035">
            <v>104647</v>
          </cell>
          <cell r="B3035">
            <v>20450</v>
          </cell>
          <cell r="C3035">
            <v>21533</v>
          </cell>
          <cell r="D3035" t="str">
            <v>sa4&amp;7</v>
          </cell>
          <cell r="E3035" t="str">
            <v>B</v>
          </cell>
          <cell r="F3035" t="str">
            <v>MENTAL HEALTH COUNSELOR, RN</v>
          </cell>
          <cell r="G3035" t="str">
            <v>5278A</v>
          </cell>
          <cell r="H3035">
            <v>6275.27</v>
          </cell>
          <cell r="I3035">
            <v>1</v>
          </cell>
          <cell r="J3035">
            <v>12</v>
          </cell>
          <cell r="K3035">
            <v>1</v>
          </cell>
          <cell r="L3035">
            <v>76804.323333333334</v>
          </cell>
        </row>
        <row r="3036">
          <cell r="A3036">
            <v>104772</v>
          </cell>
          <cell r="B3036">
            <v>21533</v>
          </cell>
          <cell r="C3036">
            <v>21533</v>
          </cell>
          <cell r="D3036" t="str">
            <v>sa4&amp;7</v>
          </cell>
          <cell r="E3036" t="str">
            <v>B</v>
          </cell>
          <cell r="F3036" t="str">
            <v>MENTAL HEALTH COUNSELOR, RN</v>
          </cell>
          <cell r="G3036" t="str">
            <v>5278A</v>
          </cell>
          <cell r="H3036">
            <v>6275.27</v>
          </cell>
          <cell r="I3036">
            <v>1</v>
          </cell>
          <cell r="J3036">
            <v>12</v>
          </cell>
          <cell r="K3036">
            <v>1</v>
          </cell>
          <cell r="L3036">
            <v>76804.323333333334</v>
          </cell>
        </row>
        <row r="3037">
          <cell r="A3037">
            <v>104773</v>
          </cell>
          <cell r="B3037">
            <v>21533</v>
          </cell>
          <cell r="C3037">
            <v>21533</v>
          </cell>
          <cell r="D3037" t="str">
            <v>sa4&amp;7</v>
          </cell>
          <cell r="E3037" t="str">
            <v>B</v>
          </cell>
          <cell r="F3037" t="str">
            <v>MENTAL HEALTH COUNSELOR, RN</v>
          </cell>
          <cell r="G3037" t="str">
            <v>5278A</v>
          </cell>
          <cell r="H3037">
            <v>6275.27</v>
          </cell>
          <cell r="I3037">
            <v>1</v>
          </cell>
          <cell r="J3037">
            <v>12</v>
          </cell>
          <cell r="K3037">
            <v>1</v>
          </cell>
          <cell r="L3037">
            <v>76804.323333333334</v>
          </cell>
        </row>
        <row r="3038">
          <cell r="A3038">
            <v>105011</v>
          </cell>
          <cell r="B3038">
            <v>23001</v>
          </cell>
          <cell r="C3038">
            <v>21533</v>
          </cell>
          <cell r="D3038" t="str">
            <v>sa4&amp;7</v>
          </cell>
          <cell r="E3038" t="str">
            <v>B</v>
          </cell>
          <cell r="F3038" t="str">
            <v>MENTAL HEALTH COUNSELOR, RN</v>
          </cell>
          <cell r="G3038" t="str">
            <v>5278A</v>
          </cell>
          <cell r="H3038">
            <v>6275.27</v>
          </cell>
          <cell r="I3038">
            <v>1</v>
          </cell>
          <cell r="J3038">
            <v>12</v>
          </cell>
          <cell r="K3038">
            <v>1</v>
          </cell>
          <cell r="L3038">
            <v>76804.323333333334</v>
          </cell>
        </row>
        <row r="3039">
          <cell r="A3039">
            <v>104117</v>
          </cell>
          <cell r="B3039">
            <v>23036</v>
          </cell>
          <cell r="C3039">
            <v>21533</v>
          </cell>
          <cell r="D3039" t="str">
            <v>sa4&amp;7</v>
          </cell>
          <cell r="E3039" t="str">
            <v>B</v>
          </cell>
          <cell r="F3039" t="str">
            <v>MENTAL HEALTH PSYCHIATRIST</v>
          </cell>
          <cell r="G3039" t="str">
            <v>4735A</v>
          </cell>
          <cell r="H3039">
            <v>12844</v>
          </cell>
          <cell r="I3039">
            <v>1</v>
          </cell>
          <cell r="J3039">
            <v>6</v>
          </cell>
          <cell r="K3039">
            <v>0.5</v>
          </cell>
          <cell r="L3039">
            <v>77064</v>
          </cell>
        </row>
        <row r="3040">
          <cell r="A3040">
            <v>106026</v>
          </cell>
          <cell r="B3040">
            <v>21533</v>
          </cell>
          <cell r="C3040">
            <v>21533</v>
          </cell>
          <cell r="D3040" t="str">
            <v>sa4&amp;7</v>
          </cell>
          <cell r="E3040" t="str">
            <v>B</v>
          </cell>
          <cell r="F3040" t="str">
            <v>MENTAL HEALTH PSYCHIATRIST</v>
          </cell>
          <cell r="G3040" t="str">
            <v>4735A</v>
          </cell>
          <cell r="H3040">
            <v>12844</v>
          </cell>
          <cell r="I3040">
            <v>1</v>
          </cell>
          <cell r="J3040">
            <v>12</v>
          </cell>
          <cell r="K3040">
            <v>1</v>
          </cell>
          <cell r="L3040">
            <v>154128</v>
          </cell>
        </row>
        <row r="3041">
          <cell r="A3041">
            <v>100879</v>
          </cell>
          <cell r="B3041">
            <v>18715</v>
          </cell>
          <cell r="C3041">
            <v>21533</v>
          </cell>
          <cell r="D3041" t="str">
            <v>sa4&amp;7</v>
          </cell>
          <cell r="E3041" t="str">
            <v>B</v>
          </cell>
          <cell r="F3041" t="str">
            <v>MENTAL HEALTH SERVICES COORD II</v>
          </cell>
          <cell r="G3041" t="str">
            <v>8149A</v>
          </cell>
          <cell r="H3041">
            <v>5152.3599999999997</v>
          </cell>
          <cell r="I3041">
            <v>1</v>
          </cell>
          <cell r="J3041">
            <v>12</v>
          </cell>
          <cell r="K3041">
            <v>1</v>
          </cell>
          <cell r="L3041">
            <v>61828.72</v>
          </cell>
        </row>
        <row r="3042">
          <cell r="A3042">
            <v>102134</v>
          </cell>
          <cell r="B3042">
            <v>20679</v>
          </cell>
          <cell r="C3042">
            <v>21533</v>
          </cell>
          <cell r="D3042" t="str">
            <v>sa4&amp;7</v>
          </cell>
          <cell r="E3042" t="str">
            <v>B</v>
          </cell>
          <cell r="F3042" t="str">
            <v>MENTAL HEALTH SERVICES COORD II</v>
          </cell>
          <cell r="G3042" t="str">
            <v>8149A</v>
          </cell>
          <cell r="H3042">
            <v>5152.3599999999997</v>
          </cell>
          <cell r="I3042">
            <v>1</v>
          </cell>
          <cell r="J3042">
            <v>12</v>
          </cell>
          <cell r="K3042">
            <v>1</v>
          </cell>
          <cell r="L3042">
            <v>61828.72</v>
          </cell>
        </row>
        <row r="3043">
          <cell r="A3043">
            <v>105022</v>
          </cell>
          <cell r="B3043">
            <v>21533</v>
          </cell>
          <cell r="C3043">
            <v>21533</v>
          </cell>
          <cell r="D3043" t="str">
            <v>sa4&amp;7</v>
          </cell>
          <cell r="E3043" t="str">
            <v>B</v>
          </cell>
          <cell r="F3043" t="str">
            <v>MENTAL HEALTH SERVICES COORD II</v>
          </cell>
          <cell r="G3043" t="str">
            <v>8149A</v>
          </cell>
          <cell r="H3043">
            <v>5152.3599999999997</v>
          </cell>
          <cell r="I3043">
            <v>1</v>
          </cell>
          <cell r="J3043">
            <v>12</v>
          </cell>
          <cell r="K3043">
            <v>1</v>
          </cell>
          <cell r="L3043">
            <v>61828.72</v>
          </cell>
        </row>
        <row r="3044">
          <cell r="A3044">
            <v>102636</v>
          </cell>
          <cell r="B3044">
            <v>20468</v>
          </cell>
          <cell r="C3044">
            <v>21533</v>
          </cell>
          <cell r="D3044" t="str">
            <v>sa4&amp;7</v>
          </cell>
          <cell r="E3044" t="str">
            <v>B</v>
          </cell>
          <cell r="F3044" t="str">
            <v>MENTAL HLTH CLINICAL DIST CHIEF</v>
          </cell>
          <cell r="G3044" t="str">
            <v>4722A</v>
          </cell>
          <cell r="H3044">
            <v>10074</v>
          </cell>
          <cell r="I3044">
            <v>1</v>
          </cell>
          <cell r="J3044">
            <v>12</v>
          </cell>
          <cell r="K3044">
            <v>1</v>
          </cell>
          <cell r="L3044">
            <v>120887.6</v>
          </cell>
        </row>
        <row r="3045">
          <cell r="A3045">
            <v>106023</v>
          </cell>
          <cell r="B3045">
            <v>21533</v>
          </cell>
          <cell r="C3045">
            <v>21533</v>
          </cell>
          <cell r="D3045" t="str">
            <v>sa4&amp;7</v>
          </cell>
          <cell r="E3045" t="str">
            <v>B</v>
          </cell>
          <cell r="F3045" t="str">
            <v>MENTAL HLTH CLINICAL DIST CHIEF</v>
          </cell>
          <cell r="G3045" t="str">
            <v>4722A</v>
          </cell>
          <cell r="H3045">
            <v>10074</v>
          </cell>
          <cell r="I3045">
            <v>1</v>
          </cell>
          <cell r="J3045">
            <v>12</v>
          </cell>
          <cell r="K3045">
            <v>1</v>
          </cell>
          <cell r="L3045">
            <v>120887.6</v>
          </cell>
        </row>
        <row r="3046">
          <cell r="A3046">
            <v>100591</v>
          </cell>
          <cell r="B3046">
            <v>20483</v>
          </cell>
          <cell r="C3046">
            <v>21533</v>
          </cell>
          <cell r="D3046" t="str">
            <v>sa4&amp;7</v>
          </cell>
          <cell r="E3046" t="str">
            <v>B</v>
          </cell>
          <cell r="F3046" t="str">
            <v>MNTL HLTH CLINICAL PROGRAM HEAD</v>
          </cell>
          <cell r="G3046" t="str">
            <v>4726A</v>
          </cell>
          <cell r="H3046">
            <v>8709.73</v>
          </cell>
          <cell r="I3046">
            <v>1</v>
          </cell>
          <cell r="J3046">
            <v>12</v>
          </cell>
          <cell r="K3046">
            <v>1</v>
          </cell>
          <cell r="L3046">
            <v>104516.76</v>
          </cell>
        </row>
        <row r="3047">
          <cell r="A3047">
            <v>109375</v>
          </cell>
          <cell r="B3047">
            <v>21533</v>
          </cell>
          <cell r="C3047">
            <v>21533</v>
          </cell>
          <cell r="D3047" t="str">
            <v>sa4&amp;7</v>
          </cell>
          <cell r="E3047" t="str">
            <v>B</v>
          </cell>
          <cell r="F3047" t="str">
            <v xml:space="preserve">PATIENT FINANCIAL SERVICES WORKER  </v>
          </cell>
          <cell r="G3047" t="str">
            <v>9193A</v>
          </cell>
          <cell r="H3047">
            <v>3403.55</v>
          </cell>
          <cell r="I3047">
            <v>1</v>
          </cell>
          <cell r="J3047">
            <v>12</v>
          </cell>
          <cell r="K3047">
            <v>1</v>
          </cell>
          <cell r="L3047">
            <v>40842.6</v>
          </cell>
        </row>
        <row r="3048">
          <cell r="A3048">
            <v>109376</v>
          </cell>
          <cell r="B3048">
            <v>21533</v>
          </cell>
          <cell r="C3048">
            <v>21533</v>
          </cell>
          <cell r="D3048" t="str">
            <v>sa4&amp;7</v>
          </cell>
          <cell r="E3048" t="str">
            <v>B</v>
          </cell>
          <cell r="F3048" t="str">
            <v xml:space="preserve">PATIENT FINANCIAL SERVICES WORKER  </v>
          </cell>
          <cell r="G3048" t="str">
            <v>9193A</v>
          </cell>
          <cell r="H3048">
            <v>3403.55</v>
          </cell>
          <cell r="I3048">
            <v>1</v>
          </cell>
          <cell r="J3048">
            <v>12</v>
          </cell>
          <cell r="K3048">
            <v>1</v>
          </cell>
          <cell r="L3048">
            <v>40842.6</v>
          </cell>
        </row>
        <row r="3049">
          <cell r="A3049">
            <v>109203</v>
          </cell>
          <cell r="B3049">
            <v>27506</v>
          </cell>
          <cell r="C3049">
            <v>21533</v>
          </cell>
          <cell r="D3049" t="str">
            <v>sa4&amp;7</v>
          </cell>
          <cell r="E3049" t="str">
            <v>B</v>
          </cell>
          <cell r="F3049" t="str">
            <v>PATIENT RESOURCES WORKER</v>
          </cell>
          <cell r="G3049" t="str">
            <v>9192A</v>
          </cell>
          <cell r="H3049">
            <v>2748.27</v>
          </cell>
          <cell r="I3049">
            <v>1</v>
          </cell>
          <cell r="J3049">
            <v>12</v>
          </cell>
          <cell r="K3049">
            <v>1</v>
          </cell>
          <cell r="L3049">
            <v>32979.24</v>
          </cell>
        </row>
        <row r="3050">
          <cell r="A3050">
            <v>101197</v>
          </cell>
          <cell r="B3050">
            <v>20572</v>
          </cell>
          <cell r="C3050">
            <v>21533</v>
          </cell>
          <cell r="D3050" t="str">
            <v>sa4&amp;7</v>
          </cell>
          <cell r="E3050" t="str">
            <v>B</v>
          </cell>
          <cell r="F3050" t="str">
            <v>PSYCHIATRIC SOCIAL WORKER II</v>
          </cell>
          <cell r="G3050" t="str">
            <v>9035A</v>
          </cell>
          <cell r="H3050">
            <v>5425.82</v>
          </cell>
          <cell r="I3050">
            <v>1</v>
          </cell>
          <cell r="J3050">
            <v>12</v>
          </cell>
          <cell r="K3050">
            <v>1</v>
          </cell>
          <cell r="L3050">
            <v>65109.84</v>
          </cell>
        </row>
        <row r="3051">
          <cell r="A3051">
            <v>101230</v>
          </cell>
          <cell r="B3051">
            <v>20449</v>
          </cell>
          <cell r="C3051">
            <v>21533</v>
          </cell>
          <cell r="D3051" t="str">
            <v>sa4&amp;7</v>
          </cell>
          <cell r="E3051" t="str">
            <v>B</v>
          </cell>
          <cell r="F3051" t="str">
            <v>PSYCHIATRIC SOCIAL WORKER II</v>
          </cell>
          <cell r="G3051" t="str">
            <v>9035A</v>
          </cell>
          <cell r="H3051">
            <v>5425.82</v>
          </cell>
          <cell r="I3051">
            <v>1</v>
          </cell>
          <cell r="J3051">
            <v>12</v>
          </cell>
          <cell r="K3051">
            <v>1</v>
          </cell>
          <cell r="L3051">
            <v>65109.84</v>
          </cell>
        </row>
        <row r="3052">
          <cell r="A3052">
            <v>103078</v>
          </cell>
          <cell r="B3052">
            <v>20449</v>
          </cell>
          <cell r="C3052">
            <v>21533</v>
          </cell>
          <cell r="D3052" t="str">
            <v>sa4&amp;7</v>
          </cell>
          <cell r="E3052" t="str">
            <v>B</v>
          </cell>
          <cell r="F3052" t="str">
            <v>PSYCHIATRIC SOCIAL WORKER II</v>
          </cell>
          <cell r="G3052" t="str">
            <v>9035A</v>
          </cell>
          <cell r="H3052">
            <v>5425.82</v>
          </cell>
          <cell r="I3052">
            <v>1</v>
          </cell>
          <cell r="J3052">
            <v>12</v>
          </cell>
          <cell r="K3052">
            <v>1</v>
          </cell>
          <cell r="L3052">
            <v>65109.84</v>
          </cell>
        </row>
        <row r="3053">
          <cell r="A3053">
            <v>103763</v>
          </cell>
          <cell r="B3053">
            <v>20446</v>
          </cell>
          <cell r="C3053">
            <v>21533</v>
          </cell>
          <cell r="D3053" t="str">
            <v>sa4&amp;7</v>
          </cell>
          <cell r="E3053" t="str">
            <v>B</v>
          </cell>
          <cell r="F3053" t="str">
            <v>PSYCHIATRIC SOCIAL WORKER II</v>
          </cell>
          <cell r="G3053" t="str">
            <v>9035A</v>
          </cell>
          <cell r="H3053">
            <v>5425.82</v>
          </cell>
          <cell r="I3053">
            <v>1</v>
          </cell>
          <cell r="J3053">
            <v>12</v>
          </cell>
          <cell r="K3053">
            <v>1</v>
          </cell>
          <cell r="L3053">
            <v>65109.84</v>
          </cell>
        </row>
        <row r="3054">
          <cell r="A3054">
            <v>103860</v>
          </cell>
          <cell r="B3054">
            <v>18588</v>
          </cell>
          <cell r="C3054">
            <v>21533</v>
          </cell>
          <cell r="D3054" t="str">
            <v>sa4&amp;7</v>
          </cell>
          <cell r="E3054" t="str">
            <v>B</v>
          </cell>
          <cell r="F3054" t="str">
            <v>PSYCHIATRIC SOCIAL WORKER II</v>
          </cell>
          <cell r="G3054" t="str">
            <v>9035A</v>
          </cell>
          <cell r="H3054">
            <v>5425.82</v>
          </cell>
          <cell r="I3054">
            <v>1</v>
          </cell>
          <cell r="J3054">
            <v>12</v>
          </cell>
          <cell r="K3054">
            <v>1</v>
          </cell>
          <cell r="L3054">
            <v>65109.84</v>
          </cell>
        </row>
        <row r="3055">
          <cell r="A3055">
            <v>103908</v>
          </cell>
          <cell r="B3055">
            <v>20477</v>
          </cell>
          <cell r="C3055">
            <v>21533</v>
          </cell>
          <cell r="D3055" t="str">
            <v>sa4&amp;7</v>
          </cell>
          <cell r="E3055" t="str">
            <v>B</v>
          </cell>
          <cell r="F3055" t="str">
            <v>PSYCHIATRIC SOCIAL WORKER II</v>
          </cell>
          <cell r="G3055" t="str">
            <v>9035A</v>
          </cell>
          <cell r="H3055">
            <v>5425.82</v>
          </cell>
          <cell r="I3055">
            <v>1</v>
          </cell>
          <cell r="J3055">
            <v>12</v>
          </cell>
          <cell r="K3055">
            <v>1</v>
          </cell>
          <cell r="L3055">
            <v>65109.84</v>
          </cell>
        </row>
        <row r="3056">
          <cell r="A3056">
            <v>104771</v>
          </cell>
          <cell r="B3056">
            <v>21533</v>
          </cell>
          <cell r="C3056">
            <v>21533</v>
          </cell>
          <cell r="D3056" t="str">
            <v>sa4&amp;7</v>
          </cell>
          <cell r="E3056" t="str">
            <v>B</v>
          </cell>
          <cell r="F3056" t="str">
            <v>PSYCHIATRIC SOCIAL WORKER II</v>
          </cell>
          <cell r="G3056" t="str">
            <v>9035A</v>
          </cell>
          <cell r="H3056">
            <v>5425.82</v>
          </cell>
          <cell r="I3056">
            <v>1</v>
          </cell>
          <cell r="J3056">
            <v>12</v>
          </cell>
          <cell r="K3056">
            <v>1</v>
          </cell>
          <cell r="L3056">
            <v>65109.84</v>
          </cell>
        </row>
        <row r="3057">
          <cell r="A3057">
            <v>106027</v>
          </cell>
          <cell r="B3057">
            <v>21533</v>
          </cell>
          <cell r="C3057">
            <v>21533</v>
          </cell>
          <cell r="D3057" t="str">
            <v>sa4&amp;7</v>
          </cell>
          <cell r="E3057" t="str">
            <v>B</v>
          </cell>
          <cell r="F3057" t="str">
            <v>PSYCHIATRIC SOCIAL WORKER II</v>
          </cell>
          <cell r="G3057" t="str">
            <v>9035A</v>
          </cell>
          <cell r="H3057">
            <v>5425.82</v>
          </cell>
          <cell r="I3057">
            <v>1</v>
          </cell>
          <cell r="J3057">
            <v>12</v>
          </cell>
          <cell r="K3057">
            <v>1</v>
          </cell>
          <cell r="L3057">
            <v>65109.84</v>
          </cell>
        </row>
        <row r="3058">
          <cell r="A3058">
            <v>106031</v>
          </cell>
          <cell r="B3058">
            <v>21533</v>
          </cell>
          <cell r="C3058">
            <v>21533</v>
          </cell>
          <cell r="D3058" t="str">
            <v>sa4&amp;7</v>
          </cell>
          <cell r="E3058" t="str">
            <v>B</v>
          </cell>
          <cell r="F3058" t="str">
            <v>PSYCHIATRIC SOCIAL WORKER II</v>
          </cell>
          <cell r="G3058" t="str">
            <v>9035A</v>
          </cell>
          <cell r="H3058">
            <v>5425.82</v>
          </cell>
          <cell r="I3058">
            <v>1</v>
          </cell>
          <cell r="J3058">
            <v>12</v>
          </cell>
          <cell r="K3058">
            <v>1</v>
          </cell>
          <cell r="L3058">
            <v>65109.84</v>
          </cell>
        </row>
        <row r="3059">
          <cell r="A3059">
            <v>101255</v>
          </cell>
          <cell r="B3059">
            <v>20483</v>
          </cell>
          <cell r="C3059">
            <v>21533</v>
          </cell>
          <cell r="D3059" t="str">
            <v>sa4&amp;7</v>
          </cell>
          <cell r="E3059" t="str">
            <v>B</v>
          </cell>
          <cell r="F3059" t="str">
            <v>PSYCHIATRIC TECHNICIAN II</v>
          </cell>
          <cell r="G3059" t="str">
            <v>8162A</v>
          </cell>
          <cell r="H3059">
            <v>3420.09</v>
          </cell>
          <cell r="I3059">
            <v>1</v>
          </cell>
          <cell r="J3059">
            <v>12</v>
          </cell>
          <cell r="K3059">
            <v>1</v>
          </cell>
          <cell r="L3059">
            <v>41041.08</v>
          </cell>
        </row>
        <row r="3060">
          <cell r="A3060">
            <v>104038</v>
          </cell>
          <cell r="B3060">
            <v>21533</v>
          </cell>
          <cell r="C3060">
            <v>21533</v>
          </cell>
          <cell r="D3060" t="str">
            <v>sa4&amp;7</v>
          </cell>
          <cell r="E3060" t="str">
            <v>B</v>
          </cell>
          <cell r="F3060" t="str">
            <v>PSYCHIATRIC TECHNICIAN II</v>
          </cell>
          <cell r="G3060" t="str">
            <v>8162A</v>
          </cell>
          <cell r="H3060">
            <v>3420.09</v>
          </cell>
          <cell r="I3060">
            <v>1</v>
          </cell>
          <cell r="J3060">
            <v>12</v>
          </cell>
          <cell r="K3060">
            <v>1</v>
          </cell>
          <cell r="L3060">
            <v>41041.08</v>
          </cell>
        </row>
        <row r="3061">
          <cell r="A3061">
            <v>104277</v>
          </cell>
          <cell r="B3061">
            <v>20483</v>
          </cell>
          <cell r="C3061">
            <v>21533</v>
          </cell>
          <cell r="D3061" t="str">
            <v>sa4&amp;7</v>
          </cell>
          <cell r="E3061" t="str">
            <v>B</v>
          </cell>
          <cell r="F3061" t="str">
            <v>PSYCHIATRIC TECHNICIAN II</v>
          </cell>
          <cell r="G3061" t="str">
            <v>8162A</v>
          </cell>
          <cell r="H3061">
            <v>3420.09</v>
          </cell>
          <cell r="I3061">
            <v>1</v>
          </cell>
          <cell r="J3061">
            <v>12</v>
          </cell>
          <cell r="K3061">
            <v>1</v>
          </cell>
          <cell r="L3061">
            <v>41041.08</v>
          </cell>
        </row>
        <row r="3062">
          <cell r="A3062">
            <v>104974</v>
          </cell>
          <cell r="B3062">
            <v>20483</v>
          </cell>
          <cell r="C3062">
            <v>21533</v>
          </cell>
          <cell r="D3062" t="str">
            <v>sa4&amp;7</v>
          </cell>
          <cell r="E3062" t="str">
            <v>B</v>
          </cell>
          <cell r="F3062" t="str">
            <v>PSYCHIATRIC TECHNICIAN II</v>
          </cell>
          <cell r="G3062" t="str">
            <v>8162A</v>
          </cell>
          <cell r="H3062">
            <v>3420.09</v>
          </cell>
          <cell r="I3062">
            <v>1</v>
          </cell>
          <cell r="J3062">
            <v>12</v>
          </cell>
          <cell r="K3062">
            <v>1</v>
          </cell>
          <cell r="L3062">
            <v>41041.08</v>
          </cell>
        </row>
        <row r="3063">
          <cell r="A3063">
            <v>106036</v>
          </cell>
          <cell r="B3063">
            <v>21533</v>
          </cell>
          <cell r="C3063">
            <v>21533</v>
          </cell>
          <cell r="D3063" t="str">
            <v>sa4&amp;7</v>
          </cell>
          <cell r="E3063" t="str">
            <v>B</v>
          </cell>
          <cell r="F3063" t="str">
            <v>PSYCHIATRIC TECHNICIAN II</v>
          </cell>
          <cell r="G3063" t="str">
            <v>8162A</v>
          </cell>
          <cell r="H3063">
            <v>3420.09</v>
          </cell>
          <cell r="I3063">
            <v>1</v>
          </cell>
          <cell r="J3063">
            <v>12</v>
          </cell>
          <cell r="K3063">
            <v>1</v>
          </cell>
          <cell r="L3063">
            <v>41041.08</v>
          </cell>
        </row>
        <row r="3064">
          <cell r="A3064">
            <v>106037</v>
          </cell>
          <cell r="B3064">
            <v>21533</v>
          </cell>
          <cell r="C3064">
            <v>21533</v>
          </cell>
          <cell r="D3064" t="str">
            <v>sa4&amp;7</v>
          </cell>
          <cell r="E3064" t="str">
            <v>B</v>
          </cell>
          <cell r="F3064" t="str">
            <v>PSYCHIATRIC TECHNICIAN II</v>
          </cell>
          <cell r="G3064" t="str">
            <v>8162A</v>
          </cell>
          <cell r="H3064">
            <v>3420.09</v>
          </cell>
          <cell r="I3064">
            <v>1</v>
          </cell>
          <cell r="J3064">
            <v>12</v>
          </cell>
          <cell r="K3064">
            <v>1</v>
          </cell>
          <cell r="L3064">
            <v>41041.08</v>
          </cell>
        </row>
        <row r="3065">
          <cell r="A3065">
            <v>106038</v>
          </cell>
          <cell r="B3065">
            <v>21533</v>
          </cell>
          <cell r="C3065">
            <v>21533</v>
          </cell>
          <cell r="D3065" t="str">
            <v>sa4&amp;7</v>
          </cell>
          <cell r="E3065" t="str">
            <v>B</v>
          </cell>
          <cell r="F3065" t="str">
            <v>PSYCHIATRIC TECHNICIAN II</v>
          </cell>
          <cell r="G3065" t="str">
            <v>8162A</v>
          </cell>
          <cell r="H3065">
            <v>3420.09</v>
          </cell>
          <cell r="I3065">
            <v>1</v>
          </cell>
          <cell r="J3065">
            <v>12</v>
          </cell>
          <cell r="K3065">
            <v>1</v>
          </cell>
          <cell r="L3065">
            <v>41041.08</v>
          </cell>
        </row>
        <row r="3066">
          <cell r="A3066">
            <v>103103</v>
          </cell>
          <cell r="B3066">
            <v>20483</v>
          </cell>
          <cell r="C3066">
            <v>21533</v>
          </cell>
          <cell r="D3066" t="str">
            <v>sa4&amp;7</v>
          </cell>
          <cell r="E3066" t="str">
            <v>B</v>
          </cell>
          <cell r="F3066" t="str">
            <v>PSYCHIATRIC TECHNICIAN III</v>
          </cell>
          <cell r="G3066" t="str">
            <v>8163A</v>
          </cell>
          <cell r="H3066">
            <v>3705.73</v>
          </cell>
          <cell r="I3066">
            <v>1</v>
          </cell>
          <cell r="J3066">
            <v>12</v>
          </cell>
          <cell r="K3066">
            <v>1</v>
          </cell>
          <cell r="L3066">
            <v>44468.76</v>
          </cell>
        </row>
        <row r="3067">
          <cell r="A3067">
            <v>103104</v>
          </cell>
          <cell r="B3067">
            <v>23017</v>
          </cell>
          <cell r="C3067">
            <v>21533</v>
          </cell>
          <cell r="D3067" t="str">
            <v>sa4&amp;7</v>
          </cell>
          <cell r="E3067" t="str">
            <v>B</v>
          </cell>
          <cell r="F3067" t="str">
            <v>PSYCHIATRIC TECHNICIAN III</v>
          </cell>
          <cell r="G3067" t="str">
            <v>8163A</v>
          </cell>
          <cell r="H3067">
            <v>3705.73</v>
          </cell>
          <cell r="I3067">
            <v>1</v>
          </cell>
          <cell r="J3067">
            <v>12</v>
          </cell>
          <cell r="K3067">
            <v>1</v>
          </cell>
          <cell r="L3067">
            <v>44468.76</v>
          </cell>
        </row>
        <row r="3068">
          <cell r="A3068">
            <v>103656</v>
          </cell>
          <cell r="B3068">
            <v>23017</v>
          </cell>
          <cell r="C3068">
            <v>21533</v>
          </cell>
          <cell r="D3068" t="str">
            <v>sa4&amp;7</v>
          </cell>
          <cell r="E3068" t="str">
            <v>B</v>
          </cell>
          <cell r="F3068" t="str">
            <v>PSYCHIATRIC TECHNICIAN III</v>
          </cell>
          <cell r="G3068" t="str">
            <v>8163A</v>
          </cell>
          <cell r="H3068">
            <v>3705.73</v>
          </cell>
          <cell r="I3068">
            <v>1</v>
          </cell>
          <cell r="J3068">
            <v>12</v>
          </cell>
          <cell r="K3068">
            <v>1</v>
          </cell>
          <cell r="L3068">
            <v>44468.76</v>
          </cell>
        </row>
        <row r="3069">
          <cell r="A3069">
            <v>103657</v>
          </cell>
          <cell r="B3069">
            <v>23017</v>
          </cell>
          <cell r="C3069">
            <v>21533</v>
          </cell>
          <cell r="D3069" t="str">
            <v>sa4&amp;7</v>
          </cell>
          <cell r="E3069" t="str">
            <v>B</v>
          </cell>
          <cell r="F3069" t="str">
            <v>PSYCHIATRIC TECHNICIAN III</v>
          </cell>
          <cell r="G3069" t="str">
            <v>8163A</v>
          </cell>
          <cell r="H3069">
            <v>3705.73</v>
          </cell>
          <cell r="I3069">
            <v>1</v>
          </cell>
          <cell r="J3069">
            <v>12</v>
          </cell>
          <cell r="K3069">
            <v>1</v>
          </cell>
          <cell r="L3069">
            <v>44468.76</v>
          </cell>
        </row>
        <row r="3070">
          <cell r="A3070">
            <v>103801</v>
          </cell>
          <cell r="B3070">
            <v>20446</v>
          </cell>
          <cell r="C3070">
            <v>21533</v>
          </cell>
          <cell r="D3070" t="str">
            <v>sa4&amp;7</v>
          </cell>
          <cell r="E3070" t="str">
            <v>B</v>
          </cell>
          <cell r="F3070" t="str">
            <v>PSYCHIATRIC TECHNICIAN III</v>
          </cell>
          <cell r="G3070" t="str">
            <v>8163A</v>
          </cell>
          <cell r="H3070">
            <v>3705.73</v>
          </cell>
          <cell r="I3070">
            <v>1</v>
          </cell>
          <cell r="J3070">
            <v>12</v>
          </cell>
          <cell r="K3070">
            <v>1</v>
          </cell>
          <cell r="L3070">
            <v>44468.76</v>
          </cell>
        </row>
        <row r="3071">
          <cell r="A3071">
            <v>103805</v>
          </cell>
          <cell r="B3071">
            <v>20446</v>
          </cell>
          <cell r="C3071">
            <v>21533</v>
          </cell>
          <cell r="D3071" t="str">
            <v>sa4&amp;7</v>
          </cell>
          <cell r="E3071" t="str">
            <v>B</v>
          </cell>
          <cell r="F3071" t="str">
            <v>PSYCHIATRIC TECHNICIAN III</v>
          </cell>
          <cell r="G3071" t="str">
            <v>8163A</v>
          </cell>
          <cell r="H3071">
            <v>3705.73</v>
          </cell>
          <cell r="I3071">
            <v>1</v>
          </cell>
          <cell r="J3071">
            <v>12</v>
          </cell>
          <cell r="K3071">
            <v>1</v>
          </cell>
          <cell r="L3071">
            <v>44468.76</v>
          </cell>
        </row>
        <row r="3072">
          <cell r="A3072">
            <v>103807</v>
          </cell>
          <cell r="B3072">
            <v>20446</v>
          </cell>
          <cell r="C3072">
            <v>21533</v>
          </cell>
          <cell r="D3072" t="str">
            <v>sa4&amp;7</v>
          </cell>
          <cell r="E3072" t="str">
            <v>B</v>
          </cell>
          <cell r="F3072" t="str">
            <v>PSYCHIATRIC TECHNICIAN III</v>
          </cell>
          <cell r="G3072" t="str">
            <v>8163A</v>
          </cell>
          <cell r="H3072">
            <v>3705.73</v>
          </cell>
          <cell r="I3072">
            <v>1</v>
          </cell>
          <cell r="J3072">
            <v>12</v>
          </cell>
          <cell r="K3072">
            <v>1</v>
          </cell>
          <cell r="L3072">
            <v>44468.76</v>
          </cell>
        </row>
        <row r="3073">
          <cell r="A3073">
            <v>103808</v>
          </cell>
          <cell r="B3073">
            <v>20446</v>
          </cell>
          <cell r="C3073">
            <v>21533</v>
          </cell>
          <cell r="D3073" t="str">
            <v>sa4&amp;7</v>
          </cell>
          <cell r="E3073" t="str">
            <v>B</v>
          </cell>
          <cell r="F3073" t="str">
            <v>PSYCHIATRIC TECHNICIAN III</v>
          </cell>
          <cell r="G3073" t="str">
            <v>8163A</v>
          </cell>
          <cell r="H3073">
            <v>3705.73</v>
          </cell>
          <cell r="I3073">
            <v>1</v>
          </cell>
          <cell r="J3073">
            <v>12</v>
          </cell>
          <cell r="K3073">
            <v>1</v>
          </cell>
          <cell r="L3073">
            <v>44468.76</v>
          </cell>
        </row>
        <row r="3074">
          <cell r="A3074">
            <v>103810</v>
          </cell>
          <cell r="B3074">
            <v>20446</v>
          </cell>
          <cell r="C3074">
            <v>21533</v>
          </cell>
          <cell r="D3074" t="str">
            <v>sa4&amp;7</v>
          </cell>
          <cell r="E3074" t="str">
            <v>B</v>
          </cell>
          <cell r="F3074" t="str">
            <v>PSYCHIATRIC TECHNICIAN III</v>
          </cell>
          <cell r="G3074" t="str">
            <v>8163A</v>
          </cell>
          <cell r="H3074">
            <v>3705.73</v>
          </cell>
          <cell r="I3074">
            <v>1</v>
          </cell>
          <cell r="J3074">
            <v>12</v>
          </cell>
          <cell r="K3074">
            <v>1</v>
          </cell>
          <cell r="L3074">
            <v>44468.76</v>
          </cell>
        </row>
        <row r="3075">
          <cell r="A3075">
            <v>106045</v>
          </cell>
          <cell r="B3075">
            <v>21533</v>
          </cell>
          <cell r="C3075">
            <v>21533</v>
          </cell>
          <cell r="D3075" t="str">
            <v>sa4&amp;7</v>
          </cell>
          <cell r="E3075" t="str">
            <v>B</v>
          </cell>
          <cell r="F3075" t="str">
            <v>REHABILITATION COUNSELOR II</v>
          </cell>
          <cell r="G3075" t="str">
            <v>8593A</v>
          </cell>
          <cell r="H3075">
            <v>4076.09</v>
          </cell>
          <cell r="I3075">
            <v>1</v>
          </cell>
          <cell r="J3075">
            <v>12</v>
          </cell>
          <cell r="K3075">
            <v>1</v>
          </cell>
          <cell r="L3075">
            <v>48913.08</v>
          </cell>
        </row>
        <row r="3076">
          <cell r="A3076">
            <v>106049</v>
          </cell>
          <cell r="B3076">
            <v>21533</v>
          </cell>
          <cell r="C3076">
            <v>21533</v>
          </cell>
          <cell r="D3076" t="str">
            <v>sa4&amp;7</v>
          </cell>
          <cell r="E3076" t="str">
            <v>B</v>
          </cell>
          <cell r="F3076" t="str">
            <v>REHABILITATION COUNSELOR II</v>
          </cell>
          <cell r="G3076" t="str">
            <v>8593A</v>
          </cell>
          <cell r="H3076">
            <v>4076.09</v>
          </cell>
          <cell r="I3076">
            <v>1</v>
          </cell>
          <cell r="J3076">
            <v>12</v>
          </cell>
          <cell r="K3076">
            <v>1</v>
          </cell>
          <cell r="L3076">
            <v>48922.8</v>
          </cell>
        </row>
        <row r="3077">
          <cell r="A3077">
            <v>106312</v>
          </cell>
          <cell r="B3077">
            <v>20488</v>
          </cell>
          <cell r="C3077">
            <v>21533</v>
          </cell>
          <cell r="D3077" t="str">
            <v>sa4&amp;7</v>
          </cell>
          <cell r="E3077" t="str">
            <v>B</v>
          </cell>
          <cell r="F3077" t="str">
            <v xml:space="preserve">SENIOR COMMUNITY WORKER I          </v>
          </cell>
          <cell r="G3077" t="str">
            <v>8104A</v>
          </cell>
          <cell r="H3077">
            <v>3087.73</v>
          </cell>
          <cell r="I3077">
            <v>1</v>
          </cell>
          <cell r="J3077">
            <v>12</v>
          </cell>
          <cell r="K3077">
            <v>1</v>
          </cell>
          <cell r="L3077">
            <v>37052.76</v>
          </cell>
        </row>
        <row r="3078">
          <cell r="A3078">
            <v>102679</v>
          </cell>
          <cell r="B3078">
            <v>20928</v>
          </cell>
          <cell r="C3078">
            <v>21533</v>
          </cell>
          <cell r="D3078" t="str">
            <v>sa4&amp;7</v>
          </cell>
          <cell r="E3078" t="str">
            <v>B</v>
          </cell>
          <cell r="F3078" t="str">
            <v>SENIOR MENTAL HEALTH COUNSELOR, RN</v>
          </cell>
          <cell r="G3078" t="str">
            <v>5280A</v>
          </cell>
          <cell r="H3078">
            <v>6790.09</v>
          </cell>
          <cell r="I3078">
            <v>1</v>
          </cell>
          <cell r="J3078">
            <v>12</v>
          </cell>
          <cell r="K3078">
            <v>1</v>
          </cell>
          <cell r="L3078">
            <v>83105.40203389831</v>
          </cell>
        </row>
        <row r="3079">
          <cell r="A3079">
            <v>106051</v>
          </cell>
          <cell r="B3079">
            <v>21533</v>
          </cell>
          <cell r="C3079">
            <v>21533</v>
          </cell>
          <cell r="D3079" t="str">
            <v>sa4&amp;7</v>
          </cell>
          <cell r="E3079" t="str">
            <v>B</v>
          </cell>
          <cell r="F3079" t="str">
            <v>SENIOR MENTAL HEALTH COUNSELOR, RN</v>
          </cell>
          <cell r="G3079" t="str">
            <v>5280A</v>
          </cell>
          <cell r="H3079">
            <v>6790.09</v>
          </cell>
          <cell r="I3079">
            <v>1</v>
          </cell>
          <cell r="J3079">
            <v>12</v>
          </cell>
          <cell r="K3079">
            <v>1</v>
          </cell>
          <cell r="L3079">
            <v>83105.40203389831</v>
          </cell>
        </row>
        <row r="3080">
          <cell r="A3080">
            <v>106052</v>
          </cell>
          <cell r="B3080">
            <v>21533</v>
          </cell>
          <cell r="C3080">
            <v>21533</v>
          </cell>
          <cell r="D3080" t="str">
            <v>sa4&amp;7</v>
          </cell>
          <cell r="E3080" t="str">
            <v>B</v>
          </cell>
          <cell r="F3080" t="str">
            <v>SENIOR MENTAL HEALTH COUNSELOR, RN</v>
          </cell>
          <cell r="G3080" t="str">
            <v>5280A</v>
          </cell>
          <cell r="H3080">
            <v>6790.09</v>
          </cell>
          <cell r="I3080">
            <v>1</v>
          </cell>
          <cell r="J3080">
            <v>12</v>
          </cell>
          <cell r="K3080">
            <v>1</v>
          </cell>
          <cell r="L3080">
            <v>83105.40203389831</v>
          </cell>
        </row>
        <row r="3081">
          <cell r="A3081">
            <v>106053</v>
          </cell>
          <cell r="B3081">
            <v>21533</v>
          </cell>
          <cell r="C3081">
            <v>21533</v>
          </cell>
          <cell r="D3081" t="str">
            <v>sa4&amp;7</v>
          </cell>
          <cell r="E3081" t="str">
            <v>B</v>
          </cell>
          <cell r="F3081" t="str">
            <v>SENIOR MENTAL HEALTH COUNSELOR, RN</v>
          </cell>
          <cell r="G3081" t="str">
            <v>5280A</v>
          </cell>
          <cell r="H3081">
            <v>6790.09</v>
          </cell>
          <cell r="I3081">
            <v>1</v>
          </cell>
          <cell r="J3081">
            <v>12</v>
          </cell>
          <cell r="K3081">
            <v>1</v>
          </cell>
          <cell r="L3081">
            <v>83105.40203389831</v>
          </cell>
        </row>
        <row r="3082">
          <cell r="A3082">
            <v>106054</v>
          </cell>
          <cell r="B3082">
            <v>21533</v>
          </cell>
          <cell r="C3082">
            <v>21533</v>
          </cell>
          <cell r="D3082" t="str">
            <v>sa4&amp;7</v>
          </cell>
          <cell r="E3082" t="str">
            <v>B</v>
          </cell>
          <cell r="F3082" t="str">
            <v>SENIOR MENTAL HEALTH COUNSELOR, RN</v>
          </cell>
          <cell r="G3082" t="str">
            <v>5280A</v>
          </cell>
          <cell r="H3082">
            <v>6790.09</v>
          </cell>
          <cell r="I3082">
            <v>1</v>
          </cell>
          <cell r="J3082">
            <v>12</v>
          </cell>
          <cell r="K3082">
            <v>1</v>
          </cell>
          <cell r="L3082">
            <v>83105.40203389831</v>
          </cell>
        </row>
        <row r="3083">
          <cell r="A3083">
            <v>102541</v>
          </cell>
          <cell r="B3083">
            <v>20924</v>
          </cell>
          <cell r="C3083">
            <v>21533</v>
          </cell>
          <cell r="D3083" t="str">
            <v>sa4&amp;7</v>
          </cell>
          <cell r="E3083" t="str">
            <v>B</v>
          </cell>
          <cell r="F3083" t="str">
            <v xml:space="preserve">SENIOR SECRETARY III               </v>
          </cell>
          <cell r="G3083" t="str">
            <v>2102A</v>
          </cell>
          <cell r="H3083">
            <v>4106.3599999999997</v>
          </cell>
          <cell r="I3083">
            <v>1</v>
          </cell>
          <cell r="J3083">
            <v>12</v>
          </cell>
          <cell r="K3083">
            <v>1</v>
          </cell>
          <cell r="L3083">
            <v>49276.56</v>
          </cell>
        </row>
        <row r="3084">
          <cell r="A3084">
            <v>106055</v>
          </cell>
          <cell r="B3084">
            <v>21533</v>
          </cell>
          <cell r="C3084">
            <v>21533</v>
          </cell>
          <cell r="D3084" t="str">
            <v>sa4&amp;7</v>
          </cell>
          <cell r="E3084" t="str">
            <v>B</v>
          </cell>
          <cell r="F3084" t="str">
            <v xml:space="preserve">SENIOR SECRETARY III               </v>
          </cell>
          <cell r="G3084" t="str">
            <v>2102A</v>
          </cell>
          <cell r="H3084">
            <v>4106.3599999999997</v>
          </cell>
          <cell r="I3084">
            <v>1</v>
          </cell>
          <cell r="J3084">
            <v>12</v>
          </cell>
          <cell r="K3084">
            <v>1</v>
          </cell>
          <cell r="L3084">
            <v>49276.56</v>
          </cell>
        </row>
        <row r="3085">
          <cell r="A3085">
            <v>106056</v>
          </cell>
          <cell r="B3085">
            <v>21533</v>
          </cell>
          <cell r="C3085">
            <v>21533</v>
          </cell>
          <cell r="D3085" t="str">
            <v>sa4&amp;7</v>
          </cell>
          <cell r="E3085" t="str">
            <v>B</v>
          </cell>
          <cell r="F3085" t="str">
            <v xml:space="preserve">SENIOR SECRETARY III               </v>
          </cell>
          <cell r="G3085" t="str">
            <v>2102A</v>
          </cell>
          <cell r="H3085">
            <v>4106.3599999999997</v>
          </cell>
          <cell r="I3085">
            <v>1</v>
          </cell>
          <cell r="J3085">
            <v>12</v>
          </cell>
          <cell r="K3085">
            <v>1</v>
          </cell>
          <cell r="L3085">
            <v>49276.56</v>
          </cell>
        </row>
        <row r="3086">
          <cell r="A3086">
            <v>109340</v>
          </cell>
          <cell r="B3086">
            <v>20658</v>
          </cell>
          <cell r="C3086">
            <v>21533</v>
          </cell>
          <cell r="D3086" t="str">
            <v>sa4&amp;7</v>
          </cell>
          <cell r="E3086" t="str">
            <v>B</v>
          </cell>
          <cell r="F3086" t="str">
            <v xml:space="preserve">SUPVG MENTAL HEALTH PSYCHIATRIST   </v>
          </cell>
          <cell r="G3086" t="str">
            <v>4737A</v>
          </cell>
          <cell r="H3086">
            <v>13870</v>
          </cell>
          <cell r="I3086">
            <v>1</v>
          </cell>
          <cell r="J3086">
            <v>12</v>
          </cell>
          <cell r="K3086">
            <v>1</v>
          </cell>
          <cell r="L3086">
            <v>166440</v>
          </cell>
        </row>
        <row r="3087">
          <cell r="A3087">
            <v>102562</v>
          </cell>
          <cell r="B3087">
            <v>20572</v>
          </cell>
          <cell r="C3087">
            <v>21533</v>
          </cell>
          <cell r="D3087" t="str">
            <v>sa4&amp;7</v>
          </cell>
          <cell r="E3087" t="str">
            <v>B</v>
          </cell>
          <cell r="F3087" t="str">
            <v xml:space="preserve">SUPVG PSYCHIATRIC SOCIAL WORKER    </v>
          </cell>
          <cell r="G3087" t="str">
            <v>9038A</v>
          </cell>
          <cell r="H3087">
            <v>6062.45</v>
          </cell>
          <cell r="I3087">
            <v>1</v>
          </cell>
          <cell r="J3087">
            <v>12</v>
          </cell>
          <cell r="K3087">
            <v>1</v>
          </cell>
          <cell r="L3087">
            <v>72749.399999999994</v>
          </cell>
        </row>
        <row r="3088">
          <cell r="A3088">
            <v>103827</v>
          </cell>
          <cell r="B3088">
            <v>20446</v>
          </cell>
          <cell r="C3088">
            <v>21533</v>
          </cell>
          <cell r="D3088" t="str">
            <v>sa4&amp;7</v>
          </cell>
          <cell r="E3088" t="str">
            <v>B</v>
          </cell>
          <cell r="F3088" t="str">
            <v xml:space="preserve">SUPVG PSYCHIATRIC SOCIAL WORKER    </v>
          </cell>
          <cell r="G3088" t="str">
            <v>9038A</v>
          </cell>
          <cell r="H3088">
            <v>6062.45</v>
          </cell>
          <cell r="I3088">
            <v>1</v>
          </cell>
          <cell r="J3088">
            <v>12</v>
          </cell>
          <cell r="K3088">
            <v>1</v>
          </cell>
          <cell r="L3088">
            <v>72749.399999999994</v>
          </cell>
        </row>
        <row r="3089">
          <cell r="A3089">
            <v>104808</v>
          </cell>
          <cell r="B3089">
            <v>21532</v>
          </cell>
          <cell r="C3089">
            <v>21533</v>
          </cell>
          <cell r="D3089" t="str">
            <v>sa4&amp;7</v>
          </cell>
          <cell r="E3089" t="str">
            <v>B</v>
          </cell>
          <cell r="F3089" t="str">
            <v>TRAINING COORDINATOR, MH</v>
          </cell>
          <cell r="G3089" t="str">
            <v>1865A</v>
          </cell>
          <cell r="H3089">
            <v>6062.45</v>
          </cell>
          <cell r="I3089">
            <v>1</v>
          </cell>
          <cell r="J3089">
            <v>12</v>
          </cell>
          <cell r="K3089">
            <v>1</v>
          </cell>
          <cell r="L3089">
            <v>72749.56</v>
          </cell>
        </row>
        <row r="3090">
          <cell r="A3090">
            <v>101629</v>
          </cell>
          <cell r="B3090">
            <v>20449</v>
          </cell>
          <cell r="C3090">
            <v>21533</v>
          </cell>
          <cell r="D3090" t="str">
            <v>sa4&amp;7</v>
          </cell>
          <cell r="E3090" t="str">
            <v>B</v>
          </cell>
          <cell r="F3090" t="str">
            <v xml:space="preserve">TRANSCRIBER TYPIST                 </v>
          </cell>
          <cell r="G3090" t="str">
            <v>2201A</v>
          </cell>
          <cell r="H3090">
            <v>2906</v>
          </cell>
          <cell r="I3090">
            <v>1</v>
          </cell>
          <cell r="J3090">
            <v>12</v>
          </cell>
          <cell r="K3090">
            <v>1</v>
          </cell>
          <cell r="L3090">
            <v>34872</v>
          </cell>
        </row>
        <row r="3091">
          <cell r="A3091">
            <v>102339</v>
          </cell>
          <cell r="B3091">
            <v>20477</v>
          </cell>
          <cell r="C3091">
            <v>20477</v>
          </cell>
          <cell r="D3091" t="str">
            <v>sa4&amp;7</v>
          </cell>
          <cell r="E3091" t="str">
            <v>B</v>
          </cell>
          <cell r="F3091" t="str">
            <v>ASST BEHAVIORAL SCIENCES CONSULTANT</v>
          </cell>
          <cell r="G3091" t="str">
            <v>8705J</v>
          </cell>
          <cell r="H3091">
            <v>85.79</v>
          </cell>
          <cell r="I3091">
            <v>1</v>
          </cell>
          <cell r="J3091">
            <v>32</v>
          </cell>
          <cell r="K3091">
            <v>6.1302681992337162E-2</v>
          </cell>
          <cell r="L3091">
            <v>2744.88</v>
          </cell>
        </row>
        <row r="3092">
          <cell r="A3092">
            <v>106071</v>
          </cell>
          <cell r="B3092">
            <v>18676</v>
          </cell>
          <cell r="C3092">
            <v>20477</v>
          </cell>
          <cell r="D3092" t="str">
            <v>sa4&amp;7</v>
          </cell>
          <cell r="E3092" t="str">
            <v>B</v>
          </cell>
          <cell r="F3092" t="str">
            <v>CLINICAL PSYCHOLOGIST II</v>
          </cell>
          <cell r="G3092" t="str">
            <v>8697A</v>
          </cell>
          <cell r="H3092">
            <v>6993.82</v>
          </cell>
          <cell r="I3092">
            <v>1</v>
          </cell>
          <cell r="J3092">
            <v>12</v>
          </cell>
          <cell r="K3092">
            <v>1</v>
          </cell>
          <cell r="L3092">
            <v>83925.52</v>
          </cell>
        </row>
        <row r="3093">
          <cell r="A3093">
            <v>106367</v>
          </cell>
          <cell r="B3093">
            <v>21564</v>
          </cell>
          <cell r="C3093">
            <v>20477</v>
          </cell>
          <cell r="D3093" t="str">
            <v>sa4&amp;7</v>
          </cell>
          <cell r="E3093" t="str">
            <v>B</v>
          </cell>
          <cell r="F3093" t="str">
            <v>CLINICAL PSYCHOLOGIST II</v>
          </cell>
          <cell r="G3093" t="str">
            <v>8697A</v>
          </cell>
          <cell r="H3093">
            <v>6993.82</v>
          </cell>
          <cell r="I3093">
            <v>1</v>
          </cell>
          <cell r="J3093">
            <v>12</v>
          </cell>
          <cell r="K3093">
            <v>1</v>
          </cell>
          <cell r="L3093">
            <v>83925.52</v>
          </cell>
        </row>
        <row r="3094">
          <cell r="A3094">
            <v>106377</v>
          </cell>
          <cell r="B3094">
            <v>21564</v>
          </cell>
          <cell r="C3094">
            <v>20477</v>
          </cell>
          <cell r="D3094" t="str">
            <v>sa4&amp;7</v>
          </cell>
          <cell r="E3094" t="str">
            <v>B</v>
          </cell>
          <cell r="F3094" t="str">
            <v>CLINICAL PSYCHOLOGIST II</v>
          </cell>
          <cell r="G3094" t="str">
            <v>8697A</v>
          </cell>
          <cell r="H3094">
            <v>6993.82</v>
          </cell>
          <cell r="I3094">
            <v>1</v>
          </cell>
          <cell r="J3094">
            <v>12</v>
          </cell>
          <cell r="K3094">
            <v>1</v>
          </cell>
          <cell r="L3094">
            <v>83925.52</v>
          </cell>
        </row>
        <row r="3095">
          <cell r="A3095">
            <v>106007</v>
          </cell>
          <cell r="B3095">
            <v>21533</v>
          </cell>
          <cell r="C3095">
            <v>20477</v>
          </cell>
          <cell r="D3095" t="str">
            <v>sa4&amp;7</v>
          </cell>
          <cell r="E3095" t="str">
            <v>B</v>
          </cell>
          <cell r="F3095" t="str">
            <v>COMMUNITY WORKER</v>
          </cell>
          <cell r="G3095" t="str">
            <v>8103A</v>
          </cell>
          <cell r="H3095">
            <v>2984.09</v>
          </cell>
          <cell r="I3095">
            <v>1</v>
          </cell>
          <cell r="J3095">
            <v>12</v>
          </cell>
          <cell r="K3095">
            <v>1</v>
          </cell>
          <cell r="L3095">
            <v>35809.08</v>
          </cell>
        </row>
        <row r="3096">
          <cell r="A3096">
            <v>102818</v>
          </cell>
          <cell r="B3096">
            <v>20478</v>
          </cell>
          <cell r="C3096">
            <v>20477</v>
          </cell>
          <cell r="D3096" t="str">
            <v>sa4&amp;7</v>
          </cell>
          <cell r="E3096" t="str">
            <v>B</v>
          </cell>
          <cell r="F3096" t="str">
            <v>INTERMEDIATE TYPIST-CLERK</v>
          </cell>
          <cell r="G3096" t="str">
            <v>2214A</v>
          </cell>
          <cell r="H3096">
            <v>2675.27</v>
          </cell>
          <cell r="I3096">
            <v>1</v>
          </cell>
          <cell r="J3096">
            <v>12</v>
          </cell>
          <cell r="K3096">
            <v>1</v>
          </cell>
          <cell r="L3096">
            <v>32103.16</v>
          </cell>
        </row>
        <row r="3097">
          <cell r="A3097">
            <v>103907</v>
          </cell>
          <cell r="B3097">
            <v>20477</v>
          </cell>
          <cell r="C3097">
            <v>20477</v>
          </cell>
          <cell r="D3097" t="str">
            <v>sa4&amp;7</v>
          </cell>
          <cell r="E3097" t="str">
            <v>B</v>
          </cell>
          <cell r="F3097" t="str">
            <v>INTERMEDIATE TYPIST-CLERK</v>
          </cell>
          <cell r="G3097" t="str">
            <v>2214A</v>
          </cell>
          <cell r="H3097">
            <v>2675.27</v>
          </cell>
          <cell r="I3097">
            <v>1</v>
          </cell>
          <cell r="J3097">
            <v>12</v>
          </cell>
          <cell r="K3097">
            <v>1</v>
          </cell>
          <cell r="L3097">
            <v>32103.16</v>
          </cell>
        </row>
        <row r="3098">
          <cell r="A3098">
            <v>104024</v>
          </cell>
          <cell r="B3098">
            <v>27611</v>
          </cell>
          <cell r="C3098">
            <v>20477</v>
          </cell>
          <cell r="D3098" t="str">
            <v>sa4&amp;7</v>
          </cell>
          <cell r="E3098" t="str">
            <v>B</v>
          </cell>
          <cell r="F3098" t="str">
            <v>INTERMEDIATE TYPIST-CLERK</v>
          </cell>
          <cell r="G3098" t="str">
            <v>2214A</v>
          </cell>
          <cell r="H3098">
            <v>2675.27</v>
          </cell>
          <cell r="I3098">
            <v>1</v>
          </cell>
          <cell r="J3098">
            <v>12</v>
          </cell>
          <cell r="K3098">
            <v>1</v>
          </cell>
          <cell r="L3098">
            <v>32103.16</v>
          </cell>
        </row>
        <row r="3099">
          <cell r="A3099">
            <v>104157</v>
          </cell>
          <cell r="B3099">
            <v>20477</v>
          </cell>
          <cell r="C3099">
            <v>20477</v>
          </cell>
          <cell r="D3099" t="str">
            <v>sa4&amp;7</v>
          </cell>
          <cell r="E3099" t="str">
            <v>B</v>
          </cell>
          <cell r="F3099" t="str">
            <v>INTERMEDIATE TYPIST-CLERK</v>
          </cell>
          <cell r="G3099" t="str">
            <v>2214A</v>
          </cell>
          <cell r="H3099">
            <v>2675.27</v>
          </cell>
          <cell r="I3099">
            <v>1</v>
          </cell>
          <cell r="J3099">
            <v>12</v>
          </cell>
          <cell r="K3099">
            <v>1</v>
          </cell>
          <cell r="L3099">
            <v>32103.16</v>
          </cell>
        </row>
        <row r="3100">
          <cell r="A3100">
            <v>104282</v>
          </cell>
          <cell r="B3100">
            <v>20477</v>
          </cell>
          <cell r="C3100">
            <v>20477</v>
          </cell>
          <cell r="D3100" t="str">
            <v>sa4&amp;7</v>
          </cell>
          <cell r="E3100" t="str">
            <v>B</v>
          </cell>
          <cell r="F3100" t="str">
            <v>INTERMEDIATE TYPIST-CLERK</v>
          </cell>
          <cell r="G3100" t="str">
            <v>2214A</v>
          </cell>
          <cell r="H3100">
            <v>2675.27</v>
          </cell>
          <cell r="I3100">
            <v>1</v>
          </cell>
          <cell r="J3100">
            <v>12</v>
          </cell>
          <cell r="K3100">
            <v>1</v>
          </cell>
          <cell r="L3100">
            <v>32103.16</v>
          </cell>
        </row>
        <row r="3101">
          <cell r="A3101">
            <v>106411</v>
          </cell>
          <cell r="B3101">
            <v>21564</v>
          </cell>
          <cell r="C3101">
            <v>20477</v>
          </cell>
          <cell r="D3101" t="str">
            <v>sa4&amp;7</v>
          </cell>
          <cell r="E3101" t="str">
            <v>B</v>
          </cell>
          <cell r="F3101" t="str">
            <v>INTERMEDIATE TYPIST-CLERK</v>
          </cell>
          <cell r="G3101" t="str">
            <v>2214A</v>
          </cell>
          <cell r="H3101">
            <v>2675.27</v>
          </cell>
          <cell r="I3101">
            <v>1</v>
          </cell>
          <cell r="J3101">
            <v>12</v>
          </cell>
          <cell r="K3101">
            <v>1</v>
          </cell>
          <cell r="L3101">
            <v>32103.16</v>
          </cell>
        </row>
        <row r="3102">
          <cell r="A3102">
            <v>109668</v>
          </cell>
          <cell r="B3102">
            <v>20477</v>
          </cell>
          <cell r="C3102">
            <v>20477</v>
          </cell>
          <cell r="D3102" t="str">
            <v>sa4&amp;7</v>
          </cell>
          <cell r="E3102" t="str">
            <v>B</v>
          </cell>
          <cell r="F3102" t="str">
            <v>INTERMEDIATE TYPIST-CLERK</v>
          </cell>
          <cell r="G3102" t="str">
            <v>2214A</v>
          </cell>
          <cell r="H3102">
            <v>2675.27</v>
          </cell>
          <cell r="I3102">
            <v>1</v>
          </cell>
          <cell r="J3102">
            <v>12</v>
          </cell>
          <cell r="K3102">
            <v>1</v>
          </cell>
          <cell r="L3102">
            <v>32103.24</v>
          </cell>
        </row>
        <row r="3103">
          <cell r="A3103">
            <v>109669</v>
          </cell>
          <cell r="B3103">
            <v>20477</v>
          </cell>
          <cell r="C3103">
            <v>20477</v>
          </cell>
          <cell r="D3103" t="str">
            <v>sa4&amp;7</v>
          </cell>
          <cell r="E3103" t="str">
            <v>B</v>
          </cell>
          <cell r="F3103" t="str">
            <v>INTERMEDIATE TYPIST-CLERK</v>
          </cell>
          <cell r="G3103" t="str">
            <v>2214A</v>
          </cell>
          <cell r="H3103">
            <v>2675.27</v>
          </cell>
          <cell r="I3103">
            <v>1</v>
          </cell>
          <cell r="J3103">
            <v>12</v>
          </cell>
          <cell r="K3103">
            <v>1</v>
          </cell>
          <cell r="L3103">
            <v>32103.24</v>
          </cell>
        </row>
        <row r="3104">
          <cell r="A3104">
            <v>104283</v>
          </cell>
          <cell r="B3104">
            <v>20477</v>
          </cell>
          <cell r="C3104">
            <v>20477</v>
          </cell>
          <cell r="D3104" t="str">
            <v>sa4&amp;7</v>
          </cell>
          <cell r="E3104" t="str">
            <v>B</v>
          </cell>
          <cell r="F3104" t="str">
            <v>MEDICAL CASE WORKER II</v>
          </cell>
          <cell r="G3104" t="str">
            <v>9002F</v>
          </cell>
          <cell r="H3104">
            <v>18.12</v>
          </cell>
          <cell r="I3104">
            <v>1</v>
          </cell>
          <cell r="J3104">
            <v>1044</v>
          </cell>
          <cell r="K3104">
            <v>0.5</v>
          </cell>
          <cell r="L3104">
            <v>18916.919999999998</v>
          </cell>
        </row>
        <row r="3105">
          <cell r="A3105">
            <v>106016</v>
          </cell>
          <cell r="B3105">
            <v>21533</v>
          </cell>
          <cell r="C3105">
            <v>20477</v>
          </cell>
          <cell r="D3105" t="str">
            <v>sa4&amp;7</v>
          </cell>
          <cell r="E3105" t="str">
            <v>B</v>
          </cell>
          <cell r="F3105" t="str">
            <v>MEDICAL CASE WORKER II</v>
          </cell>
          <cell r="G3105" t="str">
            <v>9002A</v>
          </cell>
          <cell r="H3105">
            <v>3938.82</v>
          </cell>
          <cell r="I3105">
            <v>1</v>
          </cell>
          <cell r="J3105">
            <v>12</v>
          </cell>
          <cell r="K3105">
            <v>1</v>
          </cell>
          <cell r="L3105">
            <v>47265.68</v>
          </cell>
        </row>
        <row r="3106">
          <cell r="A3106">
            <v>106019</v>
          </cell>
          <cell r="B3106">
            <v>21533</v>
          </cell>
          <cell r="C3106">
            <v>20477</v>
          </cell>
          <cell r="D3106" t="str">
            <v>sa4&amp;7</v>
          </cell>
          <cell r="E3106" t="str">
            <v>B</v>
          </cell>
          <cell r="F3106" t="str">
            <v>MEDICAL CASE WORKER II</v>
          </cell>
          <cell r="G3106" t="str">
            <v>9002A</v>
          </cell>
          <cell r="H3106">
            <v>3938.82</v>
          </cell>
          <cell r="I3106">
            <v>1</v>
          </cell>
          <cell r="J3106">
            <v>12</v>
          </cell>
          <cell r="K3106">
            <v>1</v>
          </cell>
          <cell r="L3106">
            <v>47265.68</v>
          </cell>
        </row>
        <row r="3107">
          <cell r="A3107">
            <v>106103</v>
          </cell>
          <cell r="B3107">
            <v>18676</v>
          </cell>
          <cell r="C3107">
            <v>20477</v>
          </cell>
          <cell r="D3107" t="str">
            <v>sa4&amp;7</v>
          </cell>
          <cell r="E3107" t="str">
            <v>B</v>
          </cell>
          <cell r="F3107" t="str">
            <v>MEDICAL CASE WORKER II</v>
          </cell>
          <cell r="G3107" t="str">
            <v>9002A</v>
          </cell>
          <cell r="H3107">
            <v>3938.82</v>
          </cell>
          <cell r="I3107">
            <v>1</v>
          </cell>
          <cell r="J3107">
            <v>12</v>
          </cell>
          <cell r="K3107">
            <v>1</v>
          </cell>
          <cell r="L3107">
            <v>47265.68</v>
          </cell>
        </row>
        <row r="3108">
          <cell r="A3108">
            <v>104281</v>
          </cell>
          <cell r="B3108">
            <v>20477</v>
          </cell>
          <cell r="C3108">
            <v>20477</v>
          </cell>
          <cell r="D3108" t="str">
            <v>sa4&amp;7</v>
          </cell>
          <cell r="E3108" t="str">
            <v>B</v>
          </cell>
          <cell r="F3108" t="str">
            <v>MENTAL HEALTH CONSULTANT,MD(PER SESSION)</v>
          </cell>
          <cell r="G3108" t="str">
            <v>5467J</v>
          </cell>
          <cell r="H3108">
            <v>314</v>
          </cell>
          <cell r="I3108">
            <v>1</v>
          </cell>
          <cell r="J3108">
            <v>329</v>
          </cell>
          <cell r="K3108">
            <v>0.63026819923371646</v>
          </cell>
          <cell r="L3108">
            <v>103306.08</v>
          </cell>
        </row>
        <row r="3109">
          <cell r="A3109">
            <v>100671</v>
          </cell>
          <cell r="B3109">
            <v>20477</v>
          </cell>
          <cell r="C3109">
            <v>20477</v>
          </cell>
          <cell r="D3109" t="str">
            <v>sa4&amp;7</v>
          </cell>
          <cell r="E3109" t="str">
            <v>B</v>
          </cell>
          <cell r="F3109" t="str">
            <v>MENTAL HEALTH COUNSELOR, RN</v>
          </cell>
          <cell r="G3109" t="str">
            <v>5278A</v>
          </cell>
          <cell r="H3109">
            <v>6275.27</v>
          </cell>
          <cell r="I3109">
            <v>1</v>
          </cell>
          <cell r="J3109">
            <v>12</v>
          </cell>
          <cell r="K3109">
            <v>1</v>
          </cell>
          <cell r="L3109">
            <v>76804.323333333334</v>
          </cell>
        </row>
        <row r="3110">
          <cell r="A3110">
            <v>103061</v>
          </cell>
          <cell r="B3110">
            <v>18598</v>
          </cell>
          <cell r="C3110">
            <v>20477</v>
          </cell>
          <cell r="D3110" t="str">
            <v>sa4&amp;7</v>
          </cell>
          <cell r="E3110" t="str">
            <v>B</v>
          </cell>
          <cell r="F3110" t="str">
            <v>MENTAL HEALTH COUNSELOR, RN</v>
          </cell>
          <cell r="G3110" t="str">
            <v>5278A</v>
          </cell>
          <cell r="H3110">
            <v>6275.27</v>
          </cell>
          <cell r="I3110">
            <v>1</v>
          </cell>
          <cell r="J3110">
            <v>12</v>
          </cell>
          <cell r="K3110">
            <v>1</v>
          </cell>
          <cell r="L3110">
            <v>70746.483333333323</v>
          </cell>
        </row>
        <row r="3111">
          <cell r="A3111">
            <v>104274</v>
          </cell>
          <cell r="B3111">
            <v>18598</v>
          </cell>
          <cell r="C3111">
            <v>20477</v>
          </cell>
          <cell r="D3111" t="str">
            <v>sa4&amp;7</v>
          </cell>
          <cell r="E3111" t="str">
            <v>B</v>
          </cell>
          <cell r="F3111" t="str">
            <v>MENTAL HEALTH COUNSELOR, RN</v>
          </cell>
          <cell r="G3111" t="str">
            <v>5278A</v>
          </cell>
          <cell r="H3111">
            <v>6275.27</v>
          </cell>
          <cell r="I3111">
            <v>1</v>
          </cell>
          <cell r="J3111">
            <v>12</v>
          </cell>
          <cell r="K3111">
            <v>1</v>
          </cell>
          <cell r="L3111">
            <v>76804.323333333334</v>
          </cell>
        </row>
        <row r="3112">
          <cell r="A3112">
            <v>104413</v>
          </cell>
          <cell r="B3112">
            <v>20477</v>
          </cell>
          <cell r="C3112">
            <v>20477</v>
          </cell>
          <cell r="D3112" t="str">
            <v>sa4&amp;7</v>
          </cell>
          <cell r="E3112" t="str">
            <v>B</v>
          </cell>
          <cell r="F3112" t="str">
            <v>MENTAL HEALTH COUNSELOR, RN</v>
          </cell>
          <cell r="G3112" t="str">
            <v>5278A</v>
          </cell>
          <cell r="H3112">
            <v>6275.27</v>
          </cell>
          <cell r="I3112">
            <v>1</v>
          </cell>
          <cell r="J3112">
            <v>12</v>
          </cell>
          <cell r="K3112">
            <v>1</v>
          </cell>
          <cell r="L3112">
            <v>76804.323333333334</v>
          </cell>
        </row>
        <row r="3113">
          <cell r="A3113">
            <v>100767</v>
          </cell>
          <cell r="B3113">
            <v>23010</v>
          </cell>
          <cell r="C3113">
            <v>20477</v>
          </cell>
          <cell r="D3113" t="str">
            <v>sa4&amp;7</v>
          </cell>
          <cell r="E3113" t="str">
            <v>B</v>
          </cell>
          <cell r="F3113" t="str">
            <v>MENTAL HEALTH PSYCHIATRIST</v>
          </cell>
          <cell r="G3113" t="str">
            <v>4735A</v>
          </cell>
          <cell r="H3113">
            <v>12844</v>
          </cell>
          <cell r="I3113">
            <v>1</v>
          </cell>
          <cell r="J3113">
            <v>12</v>
          </cell>
          <cell r="K3113">
            <v>1</v>
          </cell>
          <cell r="L3113">
            <v>154128</v>
          </cell>
        </row>
        <row r="3114">
          <cell r="A3114">
            <v>100777</v>
          </cell>
          <cell r="B3114">
            <v>20477</v>
          </cell>
          <cell r="C3114">
            <v>20477</v>
          </cell>
          <cell r="D3114" t="str">
            <v>sa4&amp;7</v>
          </cell>
          <cell r="E3114" t="str">
            <v>B</v>
          </cell>
          <cell r="F3114" t="str">
            <v>MENTAL HEALTH PSYCHIATRIST</v>
          </cell>
          <cell r="G3114" t="str">
            <v>4735A</v>
          </cell>
          <cell r="H3114">
            <v>12844</v>
          </cell>
          <cell r="I3114">
            <v>1</v>
          </cell>
          <cell r="J3114">
            <v>12</v>
          </cell>
          <cell r="K3114">
            <v>1</v>
          </cell>
          <cell r="L3114">
            <v>154128</v>
          </cell>
        </row>
        <row r="3115">
          <cell r="A3115">
            <v>100778</v>
          </cell>
          <cell r="B3115">
            <v>20477</v>
          </cell>
          <cell r="C3115">
            <v>20477</v>
          </cell>
          <cell r="D3115" t="str">
            <v>sa4&amp;7</v>
          </cell>
          <cell r="E3115" t="str">
            <v>B</v>
          </cell>
          <cell r="F3115" t="str">
            <v>MENTAL HEALTH PSYCHIATRIST</v>
          </cell>
          <cell r="G3115" t="str">
            <v>4735A</v>
          </cell>
          <cell r="H3115">
            <v>12844</v>
          </cell>
          <cell r="I3115">
            <v>1</v>
          </cell>
          <cell r="J3115">
            <v>12</v>
          </cell>
          <cell r="K3115">
            <v>1</v>
          </cell>
          <cell r="L3115">
            <v>154128</v>
          </cell>
        </row>
        <row r="3116">
          <cell r="A3116">
            <v>100780</v>
          </cell>
          <cell r="B3116">
            <v>20477</v>
          </cell>
          <cell r="C3116">
            <v>20477</v>
          </cell>
          <cell r="D3116" t="str">
            <v>sa4&amp;7</v>
          </cell>
          <cell r="E3116" t="str">
            <v>B</v>
          </cell>
          <cell r="F3116" t="str">
            <v>MENTAL HEALTH PSYCHIATRIST</v>
          </cell>
          <cell r="G3116" t="str">
            <v>4735A</v>
          </cell>
          <cell r="H3116">
            <v>12844</v>
          </cell>
          <cell r="I3116">
            <v>1</v>
          </cell>
          <cell r="J3116">
            <v>12</v>
          </cell>
          <cell r="K3116">
            <v>1</v>
          </cell>
          <cell r="L3116">
            <v>154128</v>
          </cell>
        </row>
        <row r="3117">
          <cell r="A3117">
            <v>104280</v>
          </cell>
          <cell r="B3117">
            <v>20477</v>
          </cell>
          <cell r="C3117">
            <v>20477</v>
          </cell>
          <cell r="D3117" t="str">
            <v>sa4&amp;7</v>
          </cell>
          <cell r="E3117" t="str">
            <v>B</v>
          </cell>
          <cell r="F3117" t="str">
            <v>MENTAL HEALTH PSYCHIATRIST</v>
          </cell>
          <cell r="G3117" t="str">
            <v>4735A</v>
          </cell>
          <cell r="H3117">
            <v>12844</v>
          </cell>
          <cell r="I3117">
            <v>1</v>
          </cell>
          <cell r="J3117">
            <v>12</v>
          </cell>
          <cell r="K3117">
            <v>1</v>
          </cell>
          <cell r="L3117">
            <v>154128</v>
          </cell>
        </row>
        <row r="3118">
          <cell r="A3118">
            <v>104285</v>
          </cell>
          <cell r="B3118">
            <v>20477</v>
          </cell>
          <cell r="C3118">
            <v>20477</v>
          </cell>
          <cell r="D3118" t="str">
            <v>sa4&amp;7</v>
          </cell>
          <cell r="E3118" t="str">
            <v>B</v>
          </cell>
          <cell r="F3118" t="str">
            <v>MENTAL HEALTH PSYCHIATRIST</v>
          </cell>
          <cell r="G3118" t="str">
            <v>4735A</v>
          </cell>
          <cell r="H3118">
            <v>12844</v>
          </cell>
          <cell r="I3118">
            <v>1</v>
          </cell>
          <cell r="J3118">
            <v>12</v>
          </cell>
          <cell r="K3118">
            <v>1</v>
          </cell>
          <cell r="L3118">
            <v>154128</v>
          </cell>
        </row>
        <row r="3119">
          <cell r="A3119">
            <v>102921</v>
          </cell>
          <cell r="B3119">
            <v>20683</v>
          </cell>
          <cell r="C3119">
            <v>20477</v>
          </cell>
          <cell r="D3119" t="str">
            <v>sa4&amp;7</v>
          </cell>
          <cell r="E3119" t="str">
            <v>B</v>
          </cell>
          <cell r="F3119" t="str">
            <v>MENTAL HEALTH SERVICES COORD II</v>
          </cell>
          <cell r="G3119" t="str">
            <v>8149N</v>
          </cell>
          <cell r="H3119">
            <v>5152.3599999999997</v>
          </cell>
          <cell r="I3119">
            <v>1</v>
          </cell>
          <cell r="J3119">
            <v>12</v>
          </cell>
          <cell r="K3119">
            <v>1</v>
          </cell>
          <cell r="L3119">
            <v>61828.72</v>
          </cell>
        </row>
        <row r="3120">
          <cell r="A3120">
            <v>104279</v>
          </cell>
          <cell r="B3120">
            <v>20477</v>
          </cell>
          <cell r="C3120">
            <v>20477</v>
          </cell>
          <cell r="D3120" t="str">
            <v>sa4&amp;7</v>
          </cell>
          <cell r="E3120" t="str">
            <v>B</v>
          </cell>
          <cell r="F3120" t="str">
            <v>MENTAL HEALTH SERVICES COORD II</v>
          </cell>
          <cell r="G3120" t="str">
            <v>8149A</v>
          </cell>
          <cell r="H3120">
            <v>5152.3599999999997</v>
          </cell>
          <cell r="I3120">
            <v>1</v>
          </cell>
          <cell r="J3120">
            <v>12</v>
          </cell>
          <cell r="K3120">
            <v>1</v>
          </cell>
          <cell r="L3120">
            <v>61828.72</v>
          </cell>
        </row>
        <row r="3121">
          <cell r="A3121">
            <v>100595</v>
          </cell>
          <cell r="B3121">
            <v>20658</v>
          </cell>
          <cell r="C3121">
            <v>20477</v>
          </cell>
          <cell r="D3121" t="str">
            <v>sa4&amp;7</v>
          </cell>
          <cell r="E3121" t="str">
            <v>B</v>
          </cell>
          <cell r="F3121" t="str">
            <v>MNTL HLTH CLINICAL PROGRAM HEAD</v>
          </cell>
          <cell r="G3121" t="str">
            <v>4726A</v>
          </cell>
          <cell r="H3121">
            <v>8709.73</v>
          </cell>
          <cell r="I3121">
            <v>1</v>
          </cell>
          <cell r="J3121">
            <v>12</v>
          </cell>
          <cell r="K3121">
            <v>1</v>
          </cell>
          <cell r="L3121">
            <v>104516.76</v>
          </cell>
        </row>
        <row r="3122">
          <cell r="A3122">
            <v>102847</v>
          </cell>
          <cell r="B3122">
            <v>20477</v>
          </cell>
          <cell r="C3122">
            <v>20477</v>
          </cell>
          <cell r="D3122" t="str">
            <v>sa4&amp;7</v>
          </cell>
          <cell r="E3122" t="str">
            <v>B</v>
          </cell>
          <cell r="F3122" t="str">
            <v xml:space="preserve">PATIENT FINANCIAL SERVICES WORKER  </v>
          </cell>
          <cell r="G3122" t="str">
            <v>9193A</v>
          </cell>
          <cell r="H3122">
            <v>3403.55</v>
          </cell>
          <cell r="I3122">
            <v>1</v>
          </cell>
          <cell r="J3122">
            <v>12</v>
          </cell>
          <cell r="K3122">
            <v>1</v>
          </cell>
          <cell r="L3122">
            <v>40842.6</v>
          </cell>
        </row>
        <row r="3123">
          <cell r="A3123">
            <v>104286</v>
          </cell>
          <cell r="B3123">
            <v>20477</v>
          </cell>
          <cell r="C3123">
            <v>20477</v>
          </cell>
          <cell r="D3123" t="str">
            <v>sa4&amp;7</v>
          </cell>
          <cell r="E3123" t="str">
            <v>B</v>
          </cell>
          <cell r="F3123" t="str">
            <v xml:space="preserve">PATIENT FINANCIAL SERVICES WORKER  </v>
          </cell>
          <cell r="G3123" t="str">
            <v>9193A</v>
          </cell>
          <cell r="H3123">
            <v>3403.55</v>
          </cell>
          <cell r="I3123">
            <v>1</v>
          </cell>
          <cell r="J3123">
            <v>12</v>
          </cell>
          <cell r="K3123">
            <v>1</v>
          </cell>
          <cell r="L3123">
            <v>40842.6</v>
          </cell>
        </row>
        <row r="3124">
          <cell r="A3124">
            <v>109753</v>
          </cell>
          <cell r="B3124">
            <v>20477</v>
          </cell>
          <cell r="C3124">
            <v>20477</v>
          </cell>
          <cell r="D3124" t="str">
            <v>sa4&amp;7</v>
          </cell>
          <cell r="E3124" t="str">
            <v>B</v>
          </cell>
          <cell r="F3124" t="str">
            <v>PATIENT RESOURCES WORKER</v>
          </cell>
          <cell r="G3124" t="str">
            <v>9192A</v>
          </cell>
          <cell r="H3124">
            <v>2748.27</v>
          </cell>
          <cell r="I3124">
            <v>1</v>
          </cell>
          <cell r="J3124">
            <v>12</v>
          </cell>
          <cell r="K3124">
            <v>1</v>
          </cell>
          <cell r="L3124">
            <v>32979.24</v>
          </cell>
        </row>
        <row r="3125">
          <cell r="A3125">
            <v>109754</v>
          </cell>
          <cell r="B3125">
            <v>20477</v>
          </cell>
          <cell r="C3125">
            <v>20477</v>
          </cell>
          <cell r="D3125" t="str">
            <v>sa4&amp;7</v>
          </cell>
          <cell r="E3125" t="str">
            <v>B</v>
          </cell>
          <cell r="F3125" t="str">
            <v>PATIENT RESOURCES WORKER</v>
          </cell>
          <cell r="G3125" t="str">
            <v>9192A</v>
          </cell>
          <cell r="H3125">
            <v>2748.27</v>
          </cell>
          <cell r="I3125">
            <v>1</v>
          </cell>
          <cell r="J3125">
            <v>12</v>
          </cell>
          <cell r="K3125">
            <v>1</v>
          </cell>
          <cell r="L3125">
            <v>32979.24</v>
          </cell>
        </row>
        <row r="3126">
          <cell r="A3126">
            <v>101156</v>
          </cell>
          <cell r="B3126">
            <v>20575</v>
          </cell>
          <cell r="C3126">
            <v>20477</v>
          </cell>
          <cell r="D3126" t="str">
            <v>sa4&amp;7</v>
          </cell>
          <cell r="E3126" t="str">
            <v>B</v>
          </cell>
          <cell r="F3126" t="str">
            <v>PSYCHIATRIC SOCIAL WORKER II</v>
          </cell>
          <cell r="G3126" t="str">
            <v>9035A</v>
          </cell>
          <cell r="H3126">
            <v>5425.82</v>
          </cell>
          <cell r="I3126">
            <v>1</v>
          </cell>
          <cell r="J3126">
            <v>12</v>
          </cell>
          <cell r="K3126">
            <v>1</v>
          </cell>
          <cell r="L3126">
            <v>65109.84</v>
          </cell>
        </row>
        <row r="3127">
          <cell r="A3127">
            <v>102330</v>
          </cell>
          <cell r="B3127">
            <v>20477</v>
          </cell>
          <cell r="C3127">
            <v>20477</v>
          </cell>
          <cell r="D3127" t="str">
            <v>sa4&amp;7</v>
          </cell>
          <cell r="E3127" t="str">
            <v>B</v>
          </cell>
          <cell r="F3127" t="str">
            <v>PSYCHIATRIC SOCIAL WORKER II</v>
          </cell>
          <cell r="G3127" t="str">
            <v>9035A</v>
          </cell>
          <cell r="H3127">
            <v>5425.82</v>
          </cell>
          <cell r="I3127">
            <v>1</v>
          </cell>
          <cell r="J3127">
            <v>12</v>
          </cell>
          <cell r="K3127">
            <v>1</v>
          </cell>
          <cell r="L3127">
            <v>65109.84</v>
          </cell>
        </row>
        <row r="3128">
          <cell r="A3128">
            <v>102843</v>
          </cell>
          <cell r="B3128">
            <v>20477</v>
          </cell>
          <cell r="C3128">
            <v>20477</v>
          </cell>
          <cell r="D3128" t="str">
            <v>sa4&amp;7</v>
          </cell>
          <cell r="E3128" t="str">
            <v>B</v>
          </cell>
          <cell r="F3128" t="str">
            <v>PSYCHIATRIC SOCIAL WORKER II</v>
          </cell>
          <cell r="G3128" t="str">
            <v>9035A</v>
          </cell>
          <cell r="H3128">
            <v>5425.82</v>
          </cell>
          <cell r="I3128">
            <v>1</v>
          </cell>
          <cell r="J3128">
            <v>12</v>
          </cell>
          <cell r="K3128">
            <v>1</v>
          </cell>
          <cell r="L3128">
            <v>65109.84</v>
          </cell>
        </row>
        <row r="3129">
          <cell r="A3129">
            <v>102851</v>
          </cell>
          <cell r="B3129">
            <v>21572</v>
          </cell>
          <cell r="C3129">
            <v>20477</v>
          </cell>
          <cell r="D3129" t="str">
            <v>sa4&amp;7</v>
          </cell>
          <cell r="E3129" t="str">
            <v>B</v>
          </cell>
          <cell r="F3129" t="str">
            <v>PSYCHIATRIC SOCIAL WORKER II</v>
          </cell>
          <cell r="G3129" t="str">
            <v>9035A</v>
          </cell>
          <cell r="H3129">
            <v>5425.82</v>
          </cell>
          <cell r="I3129">
            <v>1</v>
          </cell>
          <cell r="J3129">
            <v>12</v>
          </cell>
          <cell r="K3129">
            <v>1</v>
          </cell>
          <cell r="L3129">
            <v>65109.84</v>
          </cell>
        </row>
        <row r="3130">
          <cell r="A3130">
            <v>103526</v>
          </cell>
          <cell r="B3130">
            <v>20477</v>
          </cell>
          <cell r="C3130">
            <v>20477</v>
          </cell>
          <cell r="D3130" t="str">
            <v>sa4&amp;7</v>
          </cell>
          <cell r="E3130" t="str">
            <v>B</v>
          </cell>
          <cell r="F3130" t="str">
            <v>PSYCHIATRIC SOCIAL WORKER II</v>
          </cell>
          <cell r="G3130" t="str">
            <v>9035A</v>
          </cell>
          <cell r="H3130">
            <v>5425.82</v>
          </cell>
          <cell r="I3130">
            <v>1</v>
          </cell>
          <cell r="J3130">
            <v>12</v>
          </cell>
          <cell r="K3130">
            <v>1</v>
          </cell>
          <cell r="L3130">
            <v>65109.84</v>
          </cell>
        </row>
        <row r="3131">
          <cell r="A3131">
            <v>103911</v>
          </cell>
          <cell r="B3131">
            <v>18622</v>
          </cell>
          <cell r="C3131">
            <v>20477</v>
          </cell>
          <cell r="D3131" t="str">
            <v>sa4&amp;7</v>
          </cell>
          <cell r="E3131" t="str">
            <v>B</v>
          </cell>
          <cell r="F3131" t="str">
            <v>PSYCHIATRIC SOCIAL WORKER II</v>
          </cell>
          <cell r="G3131" t="str">
            <v>9035A</v>
          </cell>
          <cell r="H3131">
            <v>5425.82</v>
          </cell>
          <cell r="I3131">
            <v>1</v>
          </cell>
          <cell r="J3131">
            <v>12</v>
          </cell>
          <cell r="K3131">
            <v>1</v>
          </cell>
          <cell r="L3131">
            <v>65109.84</v>
          </cell>
        </row>
        <row r="3132">
          <cell r="A3132">
            <v>103913</v>
          </cell>
          <cell r="B3132">
            <v>18622</v>
          </cell>
          <cell r="C3132">
            <v>20477</v>
          </cell>
          <cell r="D3132" t="str">
            <v>sa4&amp;7</v>
          </cell>
          <cell r="E3132" t="str">
            <v>B</v>
          </cell>
          <cell r="F3132" t="str">
            <v>PSYCHIATRIC SOCIAL WORKER II</v>
          </cell>
          <cell r="G3132" t="str">
            <v>9035A</v>
          </cell>
          <cell r="H3132">
            <v>5425.82</v>
          </cell>
          <cell r="I3132">
            <v>1</v>
          </cell>
          <cell r="J3132">
            <v>12</v>
          </cell>
          <cell r="K3132">
            <v>1</v>
          </cell>
          <cell r="L3132">
            <v>65109.84</v>
          </cell>
        </row>
        <row r="3133">
          <cell r="A3133">
            <v>104142</v>
          </cell>
          <cell r="B3133">
            <v>20477</v>
          </cell>
          <cell r="C3133">
            <v>20477</v>
          </cell>
          <cell r="D3133" t="str">
            <v>sa4&amp;7</v>
          </cell>
          <cell r="E3133" t="str">
            <v>B</v>
          </cell>
          <cell r="F3133" t="str">
            <v>PSYCHIATRIC SOCIAL WORKER II</v>
          </cell>
          <cell r="G3133" t="str">
            <v>9035A</v>
          </cell>
          <cell r="H3133">
            <v>5425.82</v>
          </cell>
          <cell r="I3133">
            <v>1</v>
          </cell>
          <cell r="J3133">
            <v>12</v>
          </cell>
          <cell r="K3133">
            <v>1</v>
          </cell>
          <cell r="L3133">
            <v>65109.84</v>
          </cell>
        </row>
        <row r="3134">
          <cell r="A3134">
            <v>104188</v>
          </cell>
          <cell r="B3134">
            <v>23010</v>
          </cell>
          <cell r="C3134">
            <v>20477</v>
          </cell>
          <cell r="D3134" t="str">
            <v>sa4&amp;7</v>
          </cell>
          <cell r="E3134" t="str">
            <v>B</v>
          </cell>
          <cell r="F3134" t="str">
            <v>PSYCHIATRIC SOCIAL WORKER II</v>
          </cell>
          <cell r="G3134" t="str">
            <v>9035A</v>
          </cell>
          <cell r="H3134">
            <v>5425.82</v>
          </cell>
          <cell r="I3134">
            <v>1</v>
          </cell>
          <cell r="J3134">
            <v>12</v>
          </cell>
          <cell r="K3134">
            <v>1</v>
          </cell>
          <cell r="L3134">
            <v>65109.84</v>
          </cell>
        </row>
        <row r="3135">
          <cell r="A3135">
            <v>104230</v>
          </cell>
          <cell r="B3135">
            <v>20477</v>
          </cell>
          <cell r="C3135">
            <v>20477</v>
          </cell>
          <cell r="D3135" t="str">
            <v>sa4&amp;7</v>
          </cell>
          <cell r="E3135" t="str">
            <v>B</v>
          </cell>
          <cell r="F3135" t="str">
            <v>PSYCHIATRIC SOCIAL WORKER II</v>
          </cell>
          <cell r="G3135" t="str">
            <v>9035A</v>
          </cell>
          <cell r="H3135">
            <v>5425.82</v>
          </cell>
          <cell r="I3135">
            <v>1</v>
          </cell>
          <cell r="J3135">
            <v>12</v>
          </cell>
          <cell r="K3135">
            <v>1</v>
          </cell>
          <cell r="L3135">
            <v>65109.84</v>
          </cell>
        </row>
        <row r="3136">
          <cell r="A3136">
            <v>105012</v>
          </cell>
          <cell r="B3136">
            <v>20477</v>
          </cell>
          <cell r="C3136">
            <v>20477</v>
          </cell>
          <cell r="D3136" t="str">
            <v>sa4&amp;7</v>
          </cell>
          <cell r="E3136" t="str">
            <v>B</v>
          </cell>
          <cell r="F3136" t="str">
            <v>PSYCHIATRIC SOCIAL WORKER II</v>
          </cell>
          <cell r="G3136" t="str">
            <v>9035A</v>
          </cell>
          <cell r="H3136">
            <v>5425.82</v>
          </cell>
          <cell r="I3136">
            <v>1</v>
          </cell>
          <cell r="J3136">
            <v>12</v>
          </cell>
          <cell r="K3136">
            <v>1</v>
          </cell>
          <cell r="L3136">
            <v>65109.84</v>
          </cell>
        </row>
        <row r="3137">
          <cell r="A3137">
            <v>106647</v>
          </cell>
          <cell r="B3137">
            <v>21542</v>
          </cell>
          <cell r="C3137">
            <v>20477</v>
          </cell>
          <cell r="D3137" t="str">
            <v>sa4&amp;7</v>
          </cell>
          <cell r="E3137" t="str">
            <v>B</v>
          </cell>
          <cell r="F3137" t="str">
            <v>PSYCHIATRIC SOCIAL WORKER II</v>
          </cell>
          <cell r="G3137" t="str">
            <v>9035A</v>
          </cell>
          <cell r="H3137">
            <v>5425.82</v>
          </cell>
          <cell r="I3137">
            <v>1</v>
          </cell>
          <cell r="J3137">
            <v>12</v>
          </cell>
          <cell r="K3137">
            <v>1</v>
          </cell>
          <cell r="L3137">
            <v>65109.84</v>
          </cell>
        </row>
        <row r="3138">
          <cell r="A3138">
            <v>103814</v>
          </cell>
          <cell r="B3138">
            <v>20446</v>
          </cell>
          <cell r="C3138">
            <v>20477</v>
          </cell>
          <cell r="D3138" t="str">
            <v>sa4&amp;7</v>
          </cell>
          <cell r="E3138" t="str">
            <v>B</v>
          </cell>
          <cell r="F3138" t="str">
            <v>RECREATION THERAPIST II</v>
          </cell>
          <cell r="G3138" t="str">
            <v>5872A</v>
          </cell>
          <cell r="H3138">
            <v>4667.6400000000003</v>
          </cell>
          <cell r="I3138">
            <v>1</v>
          </cell>
          <cell r="J3138">
            <v>12</v>
          </cell>
          <cell r="K3138">
            <v>1</v>
          </cell>
          <cell r="L3138">
            <v>56011.68</v>
          </cell>
        </row>
        <row r="3139">
          <cell r="A3139">
            <v>104473</v>
          </cell>
          <cell r="B3139">
            <v>20591</v>
          </cell>
          <cell r="C3139">
            <v>20477</v>
          </cell>
          <cell r="D3139" t="str">
            <v>sa4&amp;7</v>
          </cell>
          <cell r="E3139" t="str">
            <v>B</v>
          </cell>
          <cell r="F3139" t="str">
            <v xml:space="preserve">SENIOR CLERK                       </v>
          </cell>
          <cell r="G3139" t="str">
            <v>1140A</v>
          </cell>
          <cell r="H3139">
            <v>2941</v>
          </cell>
          <cell r="I3139">
            <v>1</v>
          </cell>
          <cell r="J3139">
            <v>12</v>
          </cell>
          <cell r="K3139">
            <v>1</v>
          </cell>
          <cell r="L3139">
            <v>35292</v>
          </cell>
        </row>
        <row r="3140">
          <cell r="A3140">
            <v>102368</v>
          </cell>
          <cell r="B3140">
            <v>20477</v>
          </cell>
          <cell r="C3140">
            <v>20477</v>
          </cell>
          <cell r="D3140" t="str">
            <v>sa4&amp;7</v>
          </cell>
          <cell r="E3140" t="str">
            <v>B</v>
          </cell>
          <cell r="F3140" t="str">
            <v xml:space="preserve">SENIOR COMMUNITY WORKER II         </v>
          </cell>
          <cell r="G3140" t="str">
            <v>8105A</v>
          </cell>
          <cell r="H3140">
            <v>3428.36</v>
          </cell>
          <cell r="I3140">
            <v>1</v>
          </cell>
          <cell r="J3140">
            <v>12</v>
          </cell>
          <cell r="K3140">
            <v>1</v>
          </cell>
          <cell r="L3140">
            <v>41140.32</v>
          </cell>
        </row>
        <row r="3141">
          <cell r="A3141">
            <v>102334</v>
          </cell>
          <cell r="B3141">
            <v>20477</v>
          </cell>
          <cell r="C3141">
            <v>20477</v>
          </cell>
          <cell r="D3141" t="str">
            <v>sa4&amp;7</v>
          </cell>
          <cell r="E3141" t="str">
            <v>B</v>
          </cell>
          <cell r="F3141" t="str">
            <v>SENIOR MENTAL HEALTH COUNSELOR, RN</v>
          </cell>
          <cell r="G3141" t="str">
            <v>5280A</v>
          </cell>
          <cell r="H3141">
            <v>6790.09</v>
          </cell>
          <cell r="I3141">
            <v>1</v>
          </cell>
          <cell r="J3141">
            <v>12</v>
          </cell>
          <cell r="K3141">
            <v>1</v>
          </cell>
          <cell r="L3141">
            <v>83105.40203389831</v>
          </cell>
        </row>
        <row r="3142">
          <cell r="A3142">
            <v>102610</v>
          </cell>
          <cell r="B3142">
            <v>23001</v>
          </cell>
          <cell r="C3142">
            <v>20477</v>
          </cell>
          <cell r="D3142" t="str">
            <v>sa4&amp;7</v>
          </cell>
          <cell r="E3142" t="str">
            <v>B</v>
          </cell>
          <cell r="F3142" t="str">
            <v>SENIOR MENTAL HEALTH COUNSELOR, RN</v>
          </cell>
          <cell r="G3142" t="str">
            <v>5280A</v>
          </cell>
          <cell r="H3142">
            <v>6790.09</v>
          </cell>
          <cell r="I3142">
            <v>1</v>
          </cell>
          <cell r="J3142">
            <v>12</v>
          </cell>
          <cell r="K3142">
            <v>1</v>
          </cell>
          <cell r="L3142">
            <v>83105.40203389831</v>
          </cell>
        </row>
        <row r="3143">
          <cell r="A3143">
            <v>102433</v>
          </cell>
          <cell r="B3143">
            <v>20477</v>
          </cell>
          <cell r="C3143">
            <v>20477</v>
          </cell>
          <cell r="D3143" t="str">
            <v>sa4&amp;7</v>
          </cell>
          <cell r="E3143" t="str">
            <v>B</v>
          </cell>
          <cell r="F3143" t="str">
            <v xml:space="preserve">SENIOR SECRETARY III               </v>
          </cell>
          <cell r="G3143" t="str">
            <v>2102A</v>
          </cell>
          <cell r="H3143">
            <v>4106.3599999999997</v>
          </cell>
          <cell r="I3143">
            <v>1</v>
          </cell>
          <cell r="J3143">
            <v>12</v>
          </cell>
          <cell r="K3143">
            <v>1</v>
          </cell>
          <cell r="L3143">
            <v>49276.56</v>
          </cell>
        </row>
        <row r="3144">
          <cell r="A3144">
            <v>102333</v>
          </cell>
          <cell r="B3144">
            <v>20477</v>
          </cell>
          <cell r="C3144">
            <v>20477</v>
          </cell>
          <cell r="D3144" t="str">
            <v>sa4&amp;7</v>
          </cell>
          <cell r="E3144" t="str">
            <v>B</v>
          </cell>
          <cell r="F3144" t="str">
            <v xml:space="preserve">SR COMMUN MENTAL HLTH PSYCHOLOGIST </v>
          </cell>
          <cell r="G3144" t="str">
            <v>8712A</v>
          </cell>
          <cell r="H3144">
            <v>7311.45</v>
          </cell>
          <cell r="I3144">
            <v>1</v>
          </cell>
          <cell r="J3144">
            <v>12</v>
          </cell>
          <cell r="K3144">
            <v>1</v>
          </cell>
          <cell r="L3144">
            <v>87737.16</v>
          </cell>
        </row>
        <row r="3145">
          <cell r="A3145">
            <v>103295</v>
          </cell>
          <cell r="B3145">
            <v>20477</v>
          </cell>
          <cell r="C3145">
            <v>20477</v>
          </cell>
          <cell r="D3145" t="str">
            <v>sa4&amp;7</v>
          </cell>
          <cell r="E3145" t="str">
            <v>B</v>
          </cell>
          <cell r="F3145" t="str">
            <v xml:space="preserve">STAFF ASSISTANT II                 </v>
          </cell>
          <cell r="G3145" t="str">
            <v>0913A</v>
          </cell>
          <cell r="H3145">
            <v>4167.45</v>
          </cell>
          <cell r="I3145">
            <v>1</v>
          </cell>
          <cell r="J3145">
            <v>12</v>
          </cell>
          <cell r="K3145">
            <v>1</v>
          </cell>
          <cell r="L3145">
            <v>50009.24</v>
          </cell>
        </row>
        <row r="3146">
          <cell r="A3146">
            <v>103825</v>
          </cell>
          <cell r="B3146">
            <v>20446</v>
          </cell>
          <cell r="C3146">
            <v>20477</v>
          </cell>
          <cell r="D3146" t="str">
            <v>sa4&amp;7</v>
          </cell>
          <cell r="E3146" t="str">
            <v>B</v>
          </cell>
          <cell r="F3146" t="str">
            <v>SUBSTANCE ABUSE COUNSELOR</v>
          </cell>
          <cell r="G3146" t="str">
            <v>5884A</v>
          </cell>
          <cell r="H3146">
            <v>3210</v>
          </cell>
          <cell r="I3146">
            <v>1</v>
          </cell>
          <cell r="J3146">
            <v>12</v>
          </cell>
          <cell r="K3146">
            <v>1</v>
          </cell>
          <cell r="L3146">
            <v>38520</v>
          </cell>
        </row>
        <row r="3147">
          <cell r="A3147">
            <v>109322</v>
          </cell>
          <cell r="B3147">
            <v>20658</v>
          </cell>
          <cell r="C3147">
            <v>20477</v>
          </cell>
          <cell r="D3147" t="str">
            <v>sa4&amp;7</v>
          </cell>
          <cell r="E3147" t="str">
            <v>B</v>
          </cell>
          <cell r="F3147" t="str">
            <v xml:space="preserve">SUPVG MENTAL HEALTH PSYCHIATRIST   </v>
          </cell>
          <cell r="G3147" t="str">
            <v>4737A</v>
          </cell>
          <cell r="H3147">
            <v>13870</v>
          </cell>
          <cell r="I3147">
            <v>1</v>
          </cell>
          <cell r="J3147">
            <v>12</v>
          </cell>
          <cell r="K3147">
            <v>1</v>
          </cell>
          <cell r="L3147">
            <v>166440</v>
          </cell>
        </row>
        <row r="3148">
          <cell r="A3148">
            <v>102336</v>
          </cell>
          <cell r="B3148">
            <v>20477</v>
          </cell>
          <cell r="C3148">
            <v>20477</v>
          </cell>
          <cell r="D3148" t="str">
            <v>sa4&amp;7</v>
          </cell>
          <cell r="E3148" t="str">
            <v>B</v>
          </cell>
          <cell r="F3148" t="str">
            <v xml:space="preserve">SUPVG PSYCHIATRIC SOCIAL WORKER    </v>
          </cell>
          <cell r="G3148" t="str">
            <v>9038A</v>
          </cell>
          <cell r="H3148">
            <v>6062.45</v>
          </cell>
          <cell r="I3148">
            <v>1</v>
          </cell>
          <cell r="J3148">
            <v>12</v>
          </cell>
          <cell r="K3148">
            <v>1</v>
          </cell>
          <cell r="L3148">
            <v>72749.399999999994</v>
          </cell>
        </row>
        <row r="3149">
          <cell r="A3149">
            <v>103375</v>
          </cell>
          <cell r="B3149">
            <v>20477</v>
          </cell>
          <cell r="C3149">
            <v>20477</v>
          </cell>
          <cell r="D3149" t="str">
            <v>sa4&amp;7</v>
          </cell>
          <cell r="E3149" t="str">
            <v>B</v>
          </cell>
          <cell r="F3149" t="str">
            <v xml:space="preserve">SUPVG PSYCHIATRIC SOCIAL WORKER    </v>
          </cell>
          <cell r="G3149" t="str">
            <v>9038A</v>
          </cell>
          <cell r="H3149">
            <v>6062.45</v>
          </cell>
          <cell r="I3149">
            <v>1</v>
          </cell>
          <cell r="J3149">
            <v>12</v>
          </cell>
          <cell r="K3149">
            <v>1</v>
          </cell>
          <cell r="L3149">
            <v>72749.399999999994</v>
          </cell>
        </row>
        <row r="3150">
          <cell r="A3150">
            <v>105005</v>
          </cell>
          <cell r="B3150">
            <v>20468</v>
          </cell>
          <cell r="C3150">
            <v>20477</v>
          </cell>
          <cell r="D3150" t="str">
            <v>sa4&amp;7</v>
          </cell>
          <cell r="E3150" t="str">
            <v>B</v>
          </cell>
          <cell r="F3150" t="str">
            <v xml:space="preserve">SUPVG PSYCHIATRIC SOCIAL WORKER    </v>
          </cell>
          <cell r="G3150" t="str">
            <v>9038A</v>
          </cell>
          <cell r="H3150">
            <v>6062.45</v>
          </cell>
          <cell r="I3150">
            <v>1</v>
          </cell>
          <cell r="J3150">
            <v>12</v>
          </cell>
          <cell r="K3150">
            <v>1</v>
          </cell>
          <cell r="L3150">
            <v>72749.399999999994</v>
          </cell>
        </row>
        <row r="3151">
          <cell r="A3151">
            <v>102781</v>
          </cell>
          <cell r="B3151">
            <v>23200</v>
          </cell>
          <cell r="C3151">
            <v>23200</v>
          </cell>
          <cell r="D3151" t="str">
            <v>sa4&amp;7</v>
          </cell>
          <cell r="E3151" t="str">
            <v>B</v>
          </cell>
          <cell r="F3151" t="str">
            <v>COMMUNITY WORKER</v>
          </cell>
          <cell r="G3151" t="str">
            <v>8103A</v>
          </cell>
          <cell r="H3151">
            <v>2984.09</v>
          </cell>
          <cell r="I3151">
            <v>1</v>
          </cell>
          <cell r="J3151">
            <v>12</v>
          </cell>
          <cell r="K3151">
            <v>1</v>
          </cell>
          <cell r="L3151">
            <v>35809.08</v>
          </cell>
        </row>
        <row r="3152">
          <cell r="A3152">
            <v>102849</v>
          </cell>
          <cell r="B3152">
            <v>23200</v>
          </cell>
          <cell r="C3152">
            <v>23200</v>
          </cell>
          <cell r="D3152" t="str">
            <v>sa4&amp;7</v>
          </cell>
          <cell r="E3152" t="str">
            <v>B</v>
          </cell>
          <cell r="F3152" t="str">
            <v>COMMUNITY WORKER</v>
          </cell>
          <cell r="G3152" t="str">
            <v>8103A</v>
          </cell>
          <cell r="H3152">
            <v>2984.09</v>
          </cell>
          <cell r="I3152">
            <v>1</v>
          </cell>
          <cell r="J3152">
            <v>12</v>
          </cell>
          <cell r="K3152">
            <v>1</v>
          </cell>
          <cell r="L3152">
            <v>35809.08</v>
          </cell>
        </row>
        <row r="3153">
          <cell r="A3153">
            <v>104716</v>
          </cell>
          <cell r="B3153">
            <v>23200</v>
          </cell>
          <cell r="C3153">
            <v>23200</v>
          </cell>
          <cell r="D3153" t="str">
            <v>sa4&amp;7</v>
          </cell>
          <cell r="E3153" t="str">
            <v>B</v>
          </cell>
          <cell r="F3153" t="str">
            <v>INTERMEDIATE TYPIST-CLERK</v>
          </cell>
          <cell r="G3153" t="str">
            <v>2214A</v>
          </cell>
          <cell r="H3153">
            <v>2675.27</v>
          </cell>
          <cell r="I3153">
            <v>1</v>
          </cell>
          <cell r="J3153">
            <v>12</v>
          </cell>
          <cell r="K3153">
            <v>1</v>
          </cell>
          <cell r="L3153">
            <v>32103.16</v>
          </cell>
        </row>
        <row r="3154">
          <cell r="A3154">
            <v>109700</v>
          </cell>
          <cell r="B3154">
            <v>23200</v>
          </cell>
          <cell r="C3154">
            <v>23200</v>
          </cell>
          <cell r="D3154" t="str">
            <v>sa4&amp;7</v>
          </cell>
          <cell r="E3154" t="str">
            <v>B</v>
          </cell>
          <cell r="F3154" t="str">
            <v>INTERMEDIATE TYPIST-CLERK</v>
          </cell>
          <cell r="G3154" t="str">
            <v>2214A</v>
          </cell>
          <cell r="H3154">
            <v>2675.27</v>
          </cell>
          <cell r="I3154">
            <v>1</v>
          </cell>
          <cell r="J3154">
            <v>12</v>
          </cell>
          <cell r="K3154">
            <v>1</v>
          </cell>
          <cell r="L3154">
            <v>32103.24</v>
          </cell>
        </row>
        <row r="3155">
          <cell r="A3155">
            <v>104713</v>
          </cell>
          <cell r="B3155">
            <v>23200</v>
          </cell>
          <cell r="C3155">
            <v>23200</v>
          </cell>
          <cell r="D3155" t="str">
            <v>sa4&amp;7</v>
          </cell>
          <cell r="E3155" t="str">
            <v>B</v>
          </cell>
          <cell r="F3155" t="str">
            <v>MENTAL HEALTH PSYCHIATRIST</v>
          </cell>
          <cell r="G3155" t="str">
            <v>4735A</v>
          </cell>
          <cell r="H3155">
            <v>12844</v>
          </cell>
          <cell r="I3155">
            <v>1</v>
          </cell>
          <cell r="J3155">
            <v>12</v>
          </cell>
          <cell r="K3155">
            <v>1</v>
          </cell>
          <cell r="L3155">
            <v>154128</v>
          </cell>
        </row>
        <row r="3156">
          <cell r="A3156">
            <v>100599</v>
          </cell>
          <cell r="B3156">
            <v>23200</v>
          </cell>
          <cell r="C3156">
            <v>23200</v>
          </cell>
          <cell r="D3156" t="str">
            <v>sa4&amp;7</v>
          </cell>
          <cell r="E3156" t="str">
            <v>B</v>
          </cell>
          <cell r="F3156" t="str">
            <v>MNTL HLTH CLINICAL PROGRAM HEAD</v>
          </cell>
          <cell r="G3156" t="str">
            <v>4726A</v>
          </cell>
          <cell r="H3156">
            <v>8709.73</v>
          </cell>
          <cell r="I3156">
            <v>1</v>
          </cell>
          <cell r="J3156">
            <v>12</v>
          </cell>
          <cell r="K3156">
            <v>1</v>
          </cell>
          <cell r="L3156">
            <v>104516.76</v>
          </cell>
        </row>
        <row r="3157">
          <cell r="A3157">
            <v>104714</v>
          </cell>
          <cell r="B3157">
            <v>23200</v>
          </cell>
          <cell r="C3157">
            <v>23200</v>
          </cell>
          <cell r="D3157" t="str">
            <v>sa4&amp;7</v>
          </cell>
          <cell r="E3157" t="str">
            <v>B</v>
          </cell>
          <cell r="F3157" t="str">
            <v xml:space="preserve">PATIENT FINANCIAL SERVICES WORKER  </v>
          </cell>
          <cell r="G3157" t="str">
            <v>9193A</v>
          </cell>
          <cell r="H3157">
            <v>3403.55</v>
          </cell>
          <cell r="I3157">
            <v>1</v>
          </cell>
          <cell r="J3157">
            <v>12</v>
          </cell>
          <cell r="K3157">
            <v>1</v>
          </cell>
          <cell r="L3157">
            <v>40842.6</v>
          </cell>
        </row>
        <row r="3158">
          <cell r="A3158">
            <v>102845</v>
          </cell>
          <cell r="B3158">
            <v>23200</v>
          </cell>
          <cell r="C3158">
            <v>23200</v>
          </cell>
          <cell r="D3158" t="str">
            <v>sa4&amp;7</v>
          </cell>
          <cell r="E3158" t="str">
            <v>B</v>
          </cell>
          <cell r="F3158" t="str">
            <v>PSYCHIATRIC SOCIAL WORKER II</v>
          </cell>
          <cell r="G3158" t="str">
            <v>9035A</v>
          </cell>
          <cell r="H3158">
            <v>5425.82</v>
          </cell>
          <cell r="I3158">
            <v>1</v>
          </cell>
          <cell r="J3158">
            <v>12</v>
          </cell>
          <cell r="K3158">
            <v>1</v>
          </cell>
          <cell r="L3158">
            <v>65109.84</v>
          </cell>
        </row>
        <row r="3159">
          <cell r="A3159">
            <v>104198</v>
          </cell>
          <cell r="B3159">
            <v>23200</v>
          </cell>
          <cell r="C3159">
            <v>23200</v>
          </cell>
          <cell r="D3159" t="str">
            <v>sa4&amp;7</v>
          </cell>
          <cell r="E3159" t="str">
            <v>B</v>
          </cell>
          <cell r="F3159" t="str">
            <v>PSYCHIATRIC SOCIAL WORKER II</v>
          </cell>
          <cell r="G3159" t="str">
            <v>9035A</v>
          </cell>
          <cell r="H3159">
            <v>5425.82</v>
          </cell>
          <cell r="I3159">
            <v>1</v>
          </cell>
          <cell r="J3159">
            <v>12</v>
          </cell>
          <cell r="K3159">
            <v>1</v>
          </cell>
          <cell r="L3159">
            <v>65109.84</v>
          </cell>
        </row>
        <row r="3160">
          <cell r="A3160">
            <v>104715</v>
          </cell>
          <cell r="B3160">
            <v>23200</v>
          </cell>
          <cell r="C3160">
            <v>23200</v>
          </cell>
          <cell r="D3160" t="str">
            <v>sa4&amp;7</v>
          </cell>
          <cell r="E3160" t="str">
            <v>B</v>
          </cell>
          <cell r="F3160" t="str">
            <v>PSYCHIATRIC SOCIAL WORKER II</v>
          </cell>
          <cell r="G3160" t="str">
            <v>9035A</v>
          </cell>
          <cell r="H3160">
            <v>5425.82</v>
          </cell>
          <cell r="I3160">
            <v>1</v>
          </cell>
          <cell r="J3160">
            <v>12</v>
          </cell>
          <cell r="K3160">
            <v>1</v>
          </cell>
          <cell r="L3160">
            <v>65109.84</v>
          </cell>
        </row>
        <row r="3161">
          <cell r="A3161">
            <v>109909</v>
          </cell>
          <cell r="B3161">
            <v>27593</v>
          </cell>
          <cell r="C3161">
            <v>23200</v>
          </cell>
          <cell r="D3161" t="str">
            <v>sa4&amp;7</v>
          </cell>
          <cell r="E3161" t="str">
            <v>B</v>
          </cell>
          <cell r="F3161" t="str">
            <v>PSYCHIATRIC SOCIAL WORKER II</v>
          </cell>
          <cell r="G3161" t="str">
            <v>9035A</v>
          </cell>
          <cell r="H3161">
            <v>5425.82</v>
          </cell>
          <cell r="I3161">
            <v>1</v>
          </cell>
          <cell r="J3161">
            <v>12</v>
          </cell>
          <cell r="K3161">
            <v>1</v>
          </cell>
          <cell r="L3161">
            <v>65109.84</v>
          </cell>
        </row>
        <row r="3162">
          <cell r="A3162">
            <v>109910</v>
          </cell>
          <cell r="B3162">
            <v>27593</v>
          </cell>
          <cell r="C3162">
            <v>23200</v>
          </cell>
          <cell r="D3162" t="str">
            <v>sa4&amp;7</v>
          </cell>
          <cell r="E3162" t="str">
            <v>B</v>
          </cell>
          <cell r="F3162" t="str">
            <v>PSYCHIATRIC SOCIAL WORKER II</v>
          </cell>
          <cell r="G3162" t="str">
            <v>9035A</v>
          </cell>
          <cell r="H3162">
            <v>5425.82</v>
          </cell>
          <cell r="I3162">
            <v>1</v>
          </cell>
          <cell r="J3162">
            <v>12</v>
          </cell>
          <cell r="K3162">
            <v>1</v>
          </cell>
          <cell r="L3162">
            <v>65109.84</v>
          </cell>
        </row>
        <row r="3163">
          <cell r="A3163">
            <v>102316</v>
          </cell>
          <cell r="B3163">
            <v>23017</v>
          </cell>
          <cell r="C3163">
            <v>23200</v>
          </cell>
          <cell r="D3163" t="str">
            <v>sa4&amp;7</v>
          </cell>
          <cell r="E3163" t="str">
            <v>B</v>
          </cell>
          <cell r="F3163" t="str">
            <v xml:space="preserve">SUPVG PSYCHIATRIC SOCIAL WORKER    </v>
          </cell>
          <cell r="G3163" t="str">
            <v>9038A</v>
          </cell>
          <cell r="H3163">
            <v>6062.45</v>
          </cell>
          <cell r="I3163">
            <v>1</v>
          </cell>
          <cell r="J3163">
            <v>12</v>
          </cell>
          <cell r="K3163">
            <v>1</v>
          </cell>
          <cell r="L3163">
            <v>72749.399999999994</v>
          </cell>
        </row>
        <row r="3164">
          <cell r="A3164">
            <v>103745</v>
          </cell>
          <cell r="B3164">
            <v>20446</v>
          </cell>
          <cell r="C3164">
            <v>20488</v>
          </cell>
          <cell r="D3164" t="str">
            <v>sa4&amp;7</v>
          </cell>
          <cell r="E3164" t="str">
            <v>B</v>
          </cell>
          <cell r="F3164" t="str">
            <v>CLINICAL PSYCHOLOGIST II</v>
          </cell>
          <cell r="G3164" t="str">
            <v>8697A</v>
          </cell>
          <cell r="H3164">
            <v>6993.82</v>
          </cell>
          <cell r="I3164">
            <v>1</v>
          </cell>
          <cell r="J3164">
            <v>12</v>
          </cell>
          <cell r="K3164">
            <v>1</v>
          </cell>
          <cell r="L3164">
            <v>83925.52</v>
          </cell>
        </row>
        <row r="3165">
          <cell r="A3165">
            <v>104775</v>
          </cell>
          <cell r="B3165">
            <v>21533</v>
          </cell>
          <cell r="C3165">
            <v>20488</v>
          </cell>
          <cell r="D3165" t="str">
            <v>sa4&amp;7</v>
          </cell>
          <cell r="E3165" t="str">
            <v>B</v>
          </cell>
          <cell r="F3165" t="str">
            <v>COMMUNITY WORKER</v>
          </cell>
          <cell r="G3165" t="str">
            <v>8103A</v>
          </cell>
          <cell r="H3165">
            <v>2984.09</v>
          </cell>
          <cell r="I3165">
            <v>1</v>
          </cell>
          <cell r="J3165">
            <v>12</v>
          </cell>
          <cell r="K3165">
            <v>1</v>
          </cell>
          <cell r="L3165">
            <v>35809.08</v>
          </cell>
        </row>
        <row r="3166">
          <cell r="A3166">
            <v>102221</v>
          </cell>
          <cell r="B3166">
            <v>20488</v>
          </cell>
          <cell r="C3166">
            <v>20488</v>
          </cell>
          <cell r="D3166" t="str">
            <v>sa4&amp;7</v>
          </cell>
          <cell r="E3166" t="str">
            <v>B</v>
          </cell>
          <cell r="F3166" t="str">
            <v>INTERMEDIATE TYPIST-CLERK</v>
          </cell>
          <cell r="G3166" t="str">
            <v>2214A</v>
          </cell>
          <cell r="H3166">
            <v>2675.27</v>
          </cell>
          <cell r="I3166">
            <v>1</v>
          </cell>
          <cell r="J3166">
            <v>12</v>
          </cell>
          <cell r="K3166">
            <v>1</v>
          </cell>
          <cell r="L3166">
            <v>32103.16</v>
          </cell>
        </row>
        <row r="3167">
          <cell r="A3167">
            <v>104287</v>
          </cell>
          <cell r="B3167">
            <v>20481</v>
          </cell>
          <cell r="C3167">
            <v>20488</v>
          </cell>
          <cell r="D3167" t="str">
            <v>sa4&amp;7</v>
          </cell>
          <cell r="E3167" t="str">
            <v>B</v>
          </cell>
          <cell r="F3167" t="str">
            <v>INTERMEDIATE TYPIST-CLERK</v>
          </cell>
          <cell r="G3167" t="str">
            <v>2214A</v>
          </cell>
          <cell r="H3167">
            <v>2675.27</v>
          </cell>
          <cell r="I3167">
            <v>1</v>
          </cell>
          <cell r="J3167">
            <v>12</v>
          </cell>
          <cell r="K3167">
            <v>1</v>
          </cell>
          <cell r="L3167">
            <v>32103.16</v>
          </cell>
        </row>
        <row r="3168">
          <cell r="A3168">
            <v>109192</v>
          </cell>
          <cell r="B3168">
            <v>27506</v>
          </cell>
          <cell r="C3168">
            <v>20488</v>
          </cell>
          <cell r="D3168" t="str">
            <v>sa4&amp;7</v>
          </cell>
          <cell r="E3168" t="str">
            <v>B</v>
          </cell>
          <cell r="F3168" t="str">
            <v>MEDICAL CASE WORKER II</v>
          </cell>
          <cell r="G3168" t="str">
            <v>9002A</v>
          </cell>
          <cell r="H3168">
            <v>3938.82</v>
          </cell>
          <cell r="I3168">
            <v>1</v>
          </cell>
          <cell r="J3168">
            <v>12</v>
          </cell>
          <cell r="K3168">
            <v>1</v>
          </cell>
          <cell r="L3168">
            <v>47265.68</v>
          </cell>
        </row>
        <row r="3169">
          <cell r="A3169">
            <v>106633</v>
          </cell>
          <cell r="B3169">
            <v>18676</v>
          </cell>
          <cell r="C3169">
            <v>20488</v>
          </cell>
          <cell r="D3169" t="str">
            <v>sa4&amp;7</v>
          </cell>
          <cell r="E3169" t="str">
            <v>B</v>
          </cell>
          <cell r="F3169" t="str">
            <v>MENTAL HEALTH COUNSELOR, RN</v>
          </cell>
          <cell r="G3169" t="str">
            <v>5278A</v>
          </cell>
          <cell r="H3169">
            <v>6275.27</v>
          </cell>
          <cell r="I3169">
            <v>1</v>
          </cell>
          <cell r="J3169">
            <v>12</v>
          </cell>
          <cell r="K3169">
            <v>1</v>
          </cell>
          <cell r="L3169">
            <v>76804.323333333334</v>
          </cell>
        </row>
        <row r="3170">
          <cell r="A3170">
            <v>100723</v>
          </cell>
          <cell r="B3170">
            <v>20488</v>
          </cell>
          <cell r="C3170">
            <v>20488</v>
          </cell>
          <cell r="D3170" t="str">
            <v>sa4&amp;7</v>
          </cell>
          <cell r="E3170" t="str">
            <v>B</v>
          </cell>
          <cell r="F3170" t="str">
            <v>MENTAL HEALTH PSYCHIATRIST</v>
          </cell>
          <cell r="G3170" t="str">
            <v>4735A</v>
          </cell>
          <cell r="H3170">
            <v>12844</v>
          </cell>
          <cell r="I3170">
            <v>1</v>
          </cell>
          <cell r="J3170">
            <v>6</v>
          </cell>
          <cell r="K3170">
            <v>0.5</v>
          </cell>
          <cell r="L3170">
            <v>77064</v>
          </cell>
        </row>
        <row r="3171">
          <cell r="A3171">
            <v>104293</v>
          </cell>
          <cell r="B3171">
            <v>23001</v>
          </cell>
          <cell r="C3171">
            <v>20488</v>
          </cell>
          <cell r="D3171" t="str">
            <v>sa4&amp;7</v>
          </cell>
          <cell r="E3171" t="str">
            <v>B</v>
          </cell>
          <cell r="F3171" t="str">
            <v>MENTAL HEALTH PSYCHIATRIST</v>
          </cell>
          <cell r="G3171" t="str">
            <v>4735A</v>
          </cell>
          <cell r="H3171">
            <v>12844</v>
          </cell>
          <cell r="I3171">
            <v>1</v>
          </cell>
          <cell r="J3171">
            <v>12</v>
          </cell>
          <cell r="K3171">
            <v>1</v>
          </cell>
          <cell r="L3171">
            <v>154128</v>
          </cell>
        </row>
        <row r="3172">
          <cell r="A3172">
            <v>100600</v>
          </cell>
          <cell r="B3172">
            <v>20488</v>
          </cell>
          <cell r="C3172">
            <v>20488</v>
          </cell>
          <cell r="D3172" t="str">
            <v>sa4&amp;7</v>
          </cell>
          <cell r="E3172" t="str">
            <v>B</v>
          </cell>
          <cell r="F3172" t="str">
            <v>MNTL HLTH CLINICAL PROGRAM HEAD</v>
          </cell>
          <cell r="G3172" t="str">
            <v>4726A</v>
          </cell>
          <cell r="H3172">
            <v>8709.73</v>
          </cell>
          <cell r="I3172">
            <v>1</v>
          </cell>
          <cell r="J3172">
            <v>12</v>
          </cell>
          <cell r="K3172">
            <v>1</v>
          </cell>
          <cell r="L3172">
            <v>104516.76</v>
          </cell>
        </row>
        <row r="3173">
          <cell r="A3173">
            <v>106168</v>
          </cell>
          <cell r="B3173">
            <v>18676</v>
          </cell>
          <cell r="C3173">
            <v>20488</v>
          </cell>
          <cell r="D3173" t="str">
            <v>sa4&amp;7</v>
          </cell>
          <cell r="E3173" t="str">
            <v>B</v>
          </cell>
          <cell r="F3173" t="str">
            <v xml:space="preserve">OCCUPATIONAL THERAPIST I </v>
          </cell>
          <cell r="G3173" t="str">
            <v>5856A</v>
          </cell>
          <cell r="H3173">
            <v>5756.27</v>
          </cell>
          <cell r="I3173">
            <v>1</v>
          </cell>
          <cell r="J3173">
            <v>12</v>
          </cell>
          <cell r="K3173">
            <v>1</v>
          </cell>
          <cell r="L3173">
            <v>68715.399999999994</v>
          </cell>
        </row>
        <row r="3174">
          <cell r="A3174">
            <v>102591</v>
          </cell>
          <cell r="B3174">
            <v>20488</v>
          </cell>
          <cell r="C3174">
            <v>20488</v>
          </cell>
          <cell r="D3174" t="str">
            <v>sa4&amp;7</v>
          </cell>
          <cell r="E3174" t="str">
            <v>B</v>
          </cell>
          <cell r="F3174" t="str">
            <v xml:space="preserve">PATIENT FINANCIAL SERVICES WORKER  </v>
          </cell>
          <cell r="G3174" t="str">
            <v>9193A</v>
          </cell>
          <cell r="H3174">
            <v>3403.55</v>
          </cell>
          <cell r="I3174">
            <v>1</v>
          </cell>
          <cell r="J3174">
            <v>12</v>
          </cell>
          <cell r="K3174">
            <v>1</v>
          </cell>
          <cell r="L3174">
            <v>40842.6</v>
          </cell>
        </row>
        <row r="3175">
          <cell r="A3175">
            <v>102597</v>
          </cell>
          <cell r="B3175">
            <v>23036</v>
          </cell>
          <cell r="C3175">
            <v>20488</v>
          </cell>
          <cell r="D3175" t="str">
            <v>sa4&amp;7</v>
          </cell>
          <cell r="E3175" t="str">
            <v>B</v>
          </cell>
          <cell r="F3175" t="str">
            <v xml:space="preserve">PATIENT FINANCIAL SERVICES WORKER  </v>
          </cell>
          <cell r="G3175" t="str">
            <v>9193A</v>
          </cell>
          <cell r="H3175">
            <v>3403.55</v>
          </cell>
          <cell r="I3175">
            <v>1</v>
          </cell>
          <cell r="J3175">
            <v>12</v>
          </cell>
          <cell r="K3175">
            <v>1</v>
          </cell>
          <cell r="L3175">
            <v>40842.6</v>
          </cell>
        </row>
        <row r="3176">
          <cell r="A3176">
            <v>104123</v>
          </cell>
          <cell r="B3176">
            <v>20488</v>
          </cell>
          <cell r="C3176">
            <v>20488</v>
          </cell>
          <cell r="D3176" t="str">
            <v>sa4&amp;7</v>
          </cell>
          <cell r="E3176" t="str">
            <v>B</v>
          </cell>
          <cell r="F3176" t="str">
            <v>PSYCHIATRIC SOCIAL WORKER II</v>
          </cell>
          <cell r="G3176" t="str">
            <v>9035A</v>
          </cell>
          <cell r="H3176">
            <v>5425.82</v>
          </cell>
          <cell r="I3176">
            <v>1</v>
          </cell>
          <cell r="J3176">
            <v>12</v>
          </cell>
          <cell r="K3176">
            <v>1</v>
          </cell>
          <cell r="L3176">
            <v>65109.84</v>
          </cell>
        </row>
        <row r="3177">
          <cell r="A3177">
            <v>104124</v>
          </cell>
          <cell r="B3177">
            <v>20488</v>
          </cell>
          <cell r="C3177">
            <v>20488</v>
          </cell>
          <cell r="D3177" t="str">
            <v>sa4&amp;7</v>
          </cell>
          <cell r="E3177" t="str">
            <v>B</v>
          </cell>
          <cell r="F3177" t="str">
            <v>PSYCHIATRIC SOCIAL WORKER II</v>
          </cell>
          <cell r="G3177" t="str">
            <v>9035A</v>
          </cell>
          <cell r="H3177">
            <v>5425.82</v>
          </cell>
          <cell r="I3177">
            <v>1</v>
          </cell>
          <cell r="J3177">
            <v>12</v>
          </cell>
          <cell r="K3177">
            <v>1</v>
          </cell>
          <cell r="L3177">
            <v>65109.84</v>
          </cell>
        </row>
        <row r="3178">
          <cell r="A3178">
            <v>104125</v>
          </cell>
          <cell r="B3178">
            <v>20488</v>
          </cell>
          <cell r="C3178">
            <v>20488</v>
          </cell>
          <cell r="D3178" t="str">
            <v>sa4&amp;7</v>
          </cell>
          <cell r="E3178" t="str">
            <v>B</v>
          </cell>
          <cell r="F3178" t="str">
            <v>PSYCHIATRIC SOCIAL WORKER II</v>
          </cell>
          <cell r="G3178" t="str">
            <v>9035A</v>
          </cell>
          <cell r="H3178">
            <v>5425.82</v>
          </cell>
          <cell r="I3178">
            <v>1</v>
          </cell>
          <cell r="J3178">
            <v>12</v>
          </cell>
          <cell r="K3178">
            <v>1</v>
          </cell>
          <cell r="L3178">
            <v>65109.84</v>
          </cell>
        </row>
        <row r="3179">
          <cell r="A3179">
            <v>104166</v>
          </cell>
          <cell r="B3179">
            <v>20488</v>
          </cell>
          <cell r="C3179">
            <v>20488</v>
          </cell>
          <cell r="D3179" t="str">
            <v>sa4&amp;7</v>
          </cell>
          <cell r="E3179" t="str">
            <v>B</v>
          </cell>
          <cell r="F3179" t="str">
            <v>PSYCHIATRIC SOCIAL WORKER II</v>
          </cell>
          <cell r="G3179" t="str">
            <v>9035A</v>
          </cell>
          <cell r="H3179">
            <v>5425.82</v>
          </cell>
          <cell r="I3179">
            <v>1</v>
          </cell>
          <cell r="J3179">
            <v>12</v>
          </cell>
          <cell r="K3179">
            <v>1</v>
          </cell>
          <cell r="L3179">
            <v>65109.84</v>
          </cell>
        </row>
        <row r="3180">
          <cell r="A3180">
            <v>104202</v>
          </cell>
          <cell r="B3180">
            <v>20488</v>
          </cell>
          <cell r="C3180">
            <v>20488</v>
          </cell>
          <cell r="D3180" t="str">
            <v>sa4&amp;7</v>
          </cell>
          <cell r="E3180" t="str">
            <v>B</v>
          </cell>
          <cell r="F3180" t="str">
            <v>PSYCHIATRIC SOCIAL WORKER II</v>
          </cell>
          <cell r="G3180" t="str">
            <v>9035A</v>
          </cell>
          <cell r="H3180">
            <v>5425.82</v>
          </cell>
          <cell r="I3180">
            <v>1</v>
          </cell>
          <cell r="J3180">
            <v>12</v>
          </cell>
          <cell r="K3180">
            <v>1</v>
          </cell>
          <cell r="L3180">
            <v>65109.84</v>
          </cell>
        </row>
        <row r="3181">
          <cell r="A3181">
            <v>102224</v>
          </cell>
          <cell r="B3181">
            <v>20488</v>
          </cell>
          <cell r="C3181">
            <v>20488</v>
          </cell>
          <cell r="D3181" t="str">
            <v>sa4&amp;7</v>
          </cell>
          <cell r="E3181" t="str">
            <v>B</v>
          </cell>
          <cell r="F3181" t="str">
            <v xml:space="preserve">SECRETARY III                      </v>
          </cell>
          <cell r="G3181" t="str">
            <v>2096A</v>
          </cell>
          <cell r="H3181">
            <v>3387</v>
          </cell>
          <cell r="I3181">
            <v>1</v>
          </cell>
          <cell r="J3181">
            <v>12</v>
          </cell>
          <cell r="K3181">
            <v>1</v>
          </cell>
          <cell r="L3181">
            <v>40643.839999999997</v>
          </cell>
        </row>
        <row r="3182">
          <cell r="A3182">
            <v>106195</v>
          </cell>
          <cell r="B3182">
            <v>18676</v>
          </cell>
          <cell r="C3182">
            <v>20488</v>
          </cell>
          <cell r="D3182" t="str">
            <v>sa4&amp;7</v>
          </cell>
          <cell r="E3182" t="str">
            <v>B</v>
          </cell>
          <cell r="F3182" t="str">
            <v xml:space="preserve">SENIOR COMMUNITY WORKER I          </v>
          </cell>
          <cell r="G3182" t="str">
            <v>8104A</v>
          </cell>
          <cell r="H3182">
            <v>3087.73</v>
          </cell>
          <cell r="I3182">
            <v>1</v>
          </cell>
          <cell r="J3182">
            <v>12</v>
          </cell>
          <cell r="K3182">
            <v>1</v>
          </cell>
          <cell r="L3182">
            <v>37052.76</v>
          </cell>
        </row>
        <row r="3183">
          <cell r="A3183">
            <v>101440</v>
          </cell>
          <cell r="B3183">
            <v>20488</v>
          </cell>
          <cell r="C3183">
            <v>20488</v>
          </cell>
          <cell r="D3183" t="str">
            <v>sa4&amp;7</v>
          </cell>
          <cell r="E3183" t="str">
            <v>B</v>
          </cell>
          <cell r="F3183" t="str">
            <v xml:space="preserve">SENIOR COMMUNITY WORKER II         </v>
          </cell>
          <cell r="G3183" t="str">
            <v>8105A</v>
          </cell>
          <cell r="H3183">
            <v>3428.36</v>
          </cell>
          <cell r="I3183">
            <v>1</v>
          </cell>
          <cell r="J3183">
            <v>12</v>
          </cell>
          <cell r="K3183">
            <v>1</v>
          </cell>
          <cell r="L3183">
            <v>41140.32</v>
          </cell>
        </row>
        <row r="3184">
          <cell r="A3184">
            <v>104921</v>
          </cell>
          <cell r="B3184">
            <v>20488</v>
          </cell>
          <cell r="C3184">
            <v>20488</v>
          </cell>
          <cell r="D3184" t="str">
            <v>sa4&amp;7</v>
          </cell>
          <cell r="E3184" t="str">
            <v>B</v>
          </cell>
          <cell r="F3184" t="str">
            <v xml:space="preserve">SUPVG PSYCHIATRIC SOCIAL WORKER    </v>
          </cell>
          <cell r="G3184" t="str">
            <v>9038A</v>
          </cell>
          <cell r="H3184">
            <v>6062.45</v>
          </cell>
          <cell r="I3184">
            <v>1</v>
          </cell>
          <cell r="J3184">
            <v>12</v>
          </cell>
          <cell r="K3184">
            <v>1</v>
          </cell>
          <cell r="L3184">
            <v>72749.399999999994</v>
          </cell>
        </row>
        <row r="3185">
          <cell r="A3185">
            <v>103449</v>
          </cell>
          <cell r="B3185">
            <v>20679</v>
          </cell>
          <cell r="C3185">
            <v>20679</v>
          </cell>
          <cell r="D3185" t="str">
            <v>sa4&amp;7</v>
          </cell>
          <cell r="E3185" t="str">
            <v>B</v>
          </cell>
          <cell r="F3185" t="str">
            <v>CLINICAL PSYCHOLOGIST II</v>
          </cell>
          <cell r="G3185" t="str">
            <v>8697A</v>
          </cell>
          <cell r="H3185">
            <v>6993.82</v>
          </cell>
          <cell r="I3185">
            <v>1</v>
          </cell>
          <cell r="J3185">
            <v>12</v>
          </cell>
          <cell r="K3185">
            <v>1</v>
          </cell>
          <cell r="L3185">
            <v>83925.52</v>
          </cell>
        </row>
        <row r="3186">
          <cell r="A3186">
            <v>104150</v>
          </cell>
          <cell r="B3186">
            <v>18677</v>
          </cell>
          <cell r="C3186">
            <v>20679</v>
          </cell>
          <cell r="D3186" t="str">
            <v>sa4&amp;7</v>
          </cell>
          <cell r="E3186" t="str">
            <v>B</v>
          </cell>
          <cell r="F3186" t="str">
            <v>INTERMEDIATE TYPIST-CLERK</v>
          </cell>
          <cell r="G3186" t="str">
            <v>2214A</v>
          </cell>
          <cell r="H3186">
            <v>2675.27</v>
          </cell>
          <cell r="I3186">
            <v>1</v>
          </cell>
          <cell r="J3186">
            <v>12</v>
          </cell>
          <cell r="K3186">
            <v>1</v>
          </cell>
          <cell r="L3186">
            <v>32103.16</v>
          </cell>
        </row>
        <row r="3187">
          <cell r="A3187">
            <v>106089</v>
          </cell>
          <cell r="B3187">
            <v>18676</v>
          </cell>
          <cell r="C3187">
            <v>20679</v>
          </cell>
          <cell r="D3187" t="str">
            <v>sa4&amp;7</v>
          </cell>
          <cell r="E3187" t="str">
            <v>B</v>
          </cell>
          <cell r="F3187" t="str">
            <v>INTERMEDIATE TYPIST-CLERK</v>
          </cell>
          <cell r="G3187" t="str">
            <v>2214A</v>
          </cell>
          <cell r="H3187">
            <v>2675.27</v>
          </cell>
          <cell r="I3187">
            <v>1</v>
          </cell>
          <cell r="J3187">
            <v>12</v>
          </cell>
          <cell r="K3187">
            <v>1</v>
          </cell>
          <cell r="L3187">
            <v>32103.16</v>
          </cell>
        </row>
        <row r="3188">
          <cell r="A3188">
            <v>109305</v>
          </cell>
          <cell r="B3188">
            <v>20679</v>
          </cell>
          <cell r="C3188">
            <v>20679</v>
          </cell>
          <cell r="D3188" t="str">
            <v>sa4&amp;7</v>
          </cell>
          <cell r="E3188" t="str">
            <v>B</v>
          </cell>
          <cell r="F3188" t="str">
            <v>INTERMEDIATE TYPIST-CLERK</v>
          </cell>
          <cell r="G3188" t="str">
            <v>2214A</v>
          </cell>
          <cell r="H3188">
            <v>2675.27</v>
          </cell>
          <cell r="I3188">
            <v>1</v>
          </cell>
          <cell r="J3188">
            <v>12</v>
          </cell>
          <cell r="K3188">
            <v>1</v>
          </cell>
          <cell r="L3188">
            <v>32103.16</v>
          </cell>
        </row>
        <row r="3189">
          <cell r="A3189">
            <v>109663</v>
          </cell>
          <cell r="B3189">
            <v>20679</v>
          </cell>
          <cell r="C3189">
            <v>20679</v>
          </cell>
          <cell r="D3189" t="str">
            <v>sa4&amp;7</v>
          </cell>
          <cell r="E3189" t="str">
            <v>B</v>
          </cell>
          <cell r="F3189" t="str">
            <v>INTERMEDIATE TYPIST-CLERK</v>
          </cell>
          <cell r="G3189" t="str">
            <v>2214A</v>
          </cell>
          <cell r="H3189">
            <v>2675.27</v>
          </cell>
          <cell r="I3189">
            <v>1</v>
          </cell>
          <cell r="J3189">
            <v>12</v>
          </cell>
          <cell r="K3189">
            <v>1</v>
          </cell>
          <cell r="L3189">
            <v>32103.24</v>
          </cell>
        </row>
        <row r="3190">
          <cell r="A3190">
            <v>100698</v>
          </cell>
          <cell r="B3190">
            <v>20679</v>
          </cell>
          <cell r="C3190">
            <v>20679</v>
          </cell>
          <cell r="D3190" t="str">
            <v>sa4&amp;7</v>
          </cell>
          <cell r="E3190" t="str">
            <v>B</v>
          </cell>
          <cell r="F3190" t="str">
            <v>MENTAL HEALTH COUNSELOR, RN</v>
          </cell>
          <cell r="G3190" t="str">
            <v>5278A</v>
          </cell>
          <cell r="H3190">
            <v>6275.27</v>
          </cell>
          <cell r="I3190">
            <v>1</v>
          </cell>
          <cell r="J3190">
            <v>12</v>
          </cell>
          <cell r="K3190">
            <v>1</v>
          </cell>
          <cell r="L3190">
            <v>76804.323333333334</v>
          </cell>
        </row>
        <row r="3191">
          <cell r="A3191">
            <v>101841</v>
          </cell>
          <cell r="B3191">
            <v>20679</v>
          </cell>
          <cell r="C3191">
            <v>20679</v>
          </cell>
          <cell r="D3191" t="str">
            <v>sa4&amp;7</v>
          </cell>
          <cell r="E3191" t="str">
            <v>B</v>
          </cell>
          <cell r="F3191" t="str">
            <v>MENTAL HEALTH COUNSELOR, RN</v>
          </cell>
          <cell r="G3191" t="str">
            <v>5278A</v>
          </cell>
          <cell r="H3191">
            <v>6275.27</v>
          </cell>
          <cell r="I3191">
            <v>1</v>
          </cell>
          <cell r="J3191">
            <v>12</v>
          </cell>
          <cell r="K3191">
            <v>1</v>
          </cell>
          <cell r="L3191">
            <v>76804.323333333334</v>
          </cell>
        </row>
        <row r="3192">
          <cell r="A3192">
            <v>102863</v>
          </cell>
          <cell r="B3192">
            <v>20450</v>
          </cell>
          <cell r="C3192">
            <v>20679</v>
          </cell>
          <cell r="D3192" t="str">
            <v>sa4&amp;7</v>
          </cell>
          <cell r="E3192" t="str">
            <v>B</v>
          </cell>
          <cell r="F3192" t="str">
            <v>MENTAL HEALTH COUNSELOR, RN</v>
          </cell>
          <cell r="G3192" t="str">
            <v>5278A</v>
          </cell>
          <cell r="H3192">
            <v>6275.27</v>
          </cell>
          <cell r="I3192">
            <v>1</v>
          </cell>
          <cell r="J3192">
            <v>12</v>
          </cell>
          <cell r="K3192">
            <v>1</v>
          </cell>
          <cell r="L3192">
            <v>76804.323333333334</v>
          </cell>
        </row>
        <row r="3193">
          <cell r="A3193">
            <v>104496</v>
          </cell>
          <cell r="B3193">
            <v>20679</v>
          </cell>
          <cell r="C3193">
            <v>20679</v>
          </cell>
          <cell r="D3193" t="str">
            <v>sa4&amp;7</v>
          </cell>
          <cell r="E3193" t="str">
            <v>B</v>
          </cell>
          <cell r="F3193" t="str">
            <v>MENTAL HEALTH COUNSELOR, RN</v>
          </cell>
          <cell r="G3193" t="str">
            <v>5278A</v>
          </cell>
          <cell r="H3193">
            <v>6275.27</v>
          </cell>
          <cell r="I3193">
            <v>1</v>
          </cell>
          <cell r="J3193">
            <v>12</v>
          </cell>
          <cell r="K3193">
            <v>1</v>
          </cell>
          <cell r="L3193">
            <v>76804.323333333334</v>
          </cell>
        </row>
        <row r="3194">
          <cell r="A3194">
            <v>105009</v>
          </cell>
          <cell r="B3194">
            <v>20468</v>
          </cell>
          <cell r="C3194">
            <v>20679</v>
          </cell>
          <cell r="D3194" t="str">
            <v>sa4&amp;7</v>
          </cell>
          <cell r="E3194" t="str">
            <v>B</v>
          </cell>
          <cell r="F3194" t="str">
            <v>MENTAL HEALTH COUNSELOR, RN</v>
          </cell>
          <cell r="G3194" t="str">
            <v>5278A</v>
          </cell>
          <cell r="H3194">
            <v>6275.27</v>
          </cell>
          <cell r="I3194">
            <v>1</v>
          </cell>
          <cell r="J3194">
            <v>12</v>
          </cell>
          <cell r="K3194">
            <v>1</v>
          </cell>
          <cell r="L3194">
            <v>76804.323333333334</v>
          </cell>
        </row>
        <row r="3195">
          <cell r="A3195">
            <v>101840</v>
          </cell>
          <cell r="B3195">
            <v>20679</v>
          </cell>
          <cell r="C3195">
            <v>20679</v>
          </cell>
          <cell r="D3195" t="str">
            <v>sa4&amp;7</v>
          </cell>
          <cell r="E3195" t="str">
            <v>B</v>
          </cell>
          <cell r="F3195" t="str">
            <v>MNTL HLTH CLINICAL PROGRAM HEAD</v>
          </cell>
          <cell r="G3195" t="str">
            <v>4726A</v>
          </cell>
          <cell r="H3195">
            <v>8709.73</v>
          </cell>
          <cell r="I3195">
            <v>1</v>
          </cell>
          <cell r="J3195">
            <v>12</v>
          </cell>
          <cell r="K3195">
            <v>1</v>
          </cell>
          <cell r="L3195">
            <v>104516.76</v>
          </cell>
        </row>
        <row r="3196">
          <cell r="A3196">
            <v>101219</v>
          </cell>
          <cell r="B3196">
            <v>20679</v>
          </cell>
          <cell r="C3196">
            <v>20679</v>
          </cell>
          <cell r="D3196" t="str">
            <v>sa4&amp;7</v>
          </cell>
          <cell r="E3196" t="str">
            <v>B</v>
          </cell>
          <cell r="F3196" t="str">
            <v>PSYCHIATRIC SOCIAL WORKER II</v>
          </cell>
          <cell r="G3196" t="str">
            <v>9035A</v>
          </cell>
          <cell r="H3196">
            <v>5425.82</v>
          </cell>
          <cell r="I3196">
            <v>1</v>
          </cell>
          <cell r="J3196">
            <v>12</v>
          </cell>
          <cell r="K3196">
            <v>1</v>
          </cell>
          <cell r="L3196">
            <v>65109.84</v>
          </cell>
        </row>
        <row r="3197">
          <cell r="A3197">
            <v>101855</v>
          </cell>
          <cell r="B3197">
            <v>23036</v>
          </cell>
          <cell r="C3197">
            <v>20679</v>
          </cell>
          <cell r="D3197" t="str">
            <v>sa4&amp;7</v>
          </cell>
          <cell r="E3197" t="str">
            <v>B</v>
          </cell>
          <cell r="F3197" t="str">
            <v>PSYCHIATRIC SOCIAL WORKER II</v>
          </cell>
          <cell r="G3197" t="str">
            <v>9035A</v>
          </cell>
          <cell r="H3197">
            <v>5425.82</v>
          </cell>
          <cell r="I3197">
            <v>1</v>
          </cell>
          <cell r="J3197">
            <v>12</v>
          </cell>
          <cell r="K3197">
            <v>1</v>
          </cell>
          <cell r="L3197">
            <v>65109.84</v>
          </cell>
        </row>
        <row r="3198">
          <cell r="A3198">
            <v>103450</v>
          </cell>
          <cell r="B3198">
            <v>20679</v>
          </cell>
          <cell r="C3198">
            <v>20679</v>
          </cell>
          <cell r="D3198" t="str">
            <v>sa4&amp;7</v>
          </cell>
          <cell r="E3198" t="str">
            <v>B</v>
          </cell>
          <cell r="F3198" t="str">
            <v>PSYCHIATRIC SOCIAL WORKER II</v>
          </cell>
          <cell r="G3198" t="str">
            <v>9035A</v>
          </cell>
          <cell r="H3198">
            <v>5425.82</v>
          </cell>
          <cell r="I3198">
            <v>1</v>
          </cell>
          <cell r="J3198">
            <v>12</v>
          </cell>
          <cell r="K3198">
            <v>1</v>
          </cell>
          <cell r="L3198">
            <v>65109.84</v>
          </cell>
        </row>
        <row r="3199">
          <cell r="A3199">
            <v>103451</v>
          </cell>
          <cell r="B3199">
            <v>20679</v>
          </cell>
          <cell r="C3199">
            <v>20679</v>
          </cell>
          <cell r="D3199" t="str">
            <v>sa4&amp;7</v>
          </cell>
          <cell r="E3199" t="str">
            <v>B</v>
          </cell>
          <cell r="F3199" t="str">
            <v>PSYCHIATRIC SOCIAL WORKER II</v>
          </cell>
          <cell r="G3199" t="str">
            <v>9035A</v>
          </cell>
          <cell r="H3199">
            <v>5425.82</v>
          </cell>
          <cell r="I3199">
            <v>1</v>
          </cell>
          <cell r="J3199">
            <v>12</v>
          </cell>
          <cell r="K3199">
            <v>1</v>
          </cell>
          <cell r="L3199">
            <v>65109.84</v>
          </cell>
        </row>
        <row r="3200">
          <cell r="A3200">
            <v>106028</v>
          </cell>
          <cell r="B3200">
            <v>21533</v>
          </cell>
          <cell r="C3200">
            <v>20679</v>
          </cell>
          <cell r="D3200" t="str">
            <v>sa4&amp;7</v>
          </cell>
          <cell r="E3200" t="str">
            <v>B</v>
          </cell>
          <cell r="F3200" t="str">
            <v>PSYCHIATRIC SOCIAL WORKER II</v>
          </cell>
          <cell r="G3200" t="str">
            <v>9035A</v>
          </cell>
          <cell r="H3200">
            <v>5425.82</v>
          </cell>
          <cell r="I3200">
            <v>1</v>
          </cell>
          <cell r="J3200">
            <v>12</v>
          </cell>
          <cell r="K3200">
            <v>1</v>
          </cell>
          <cell r="L3200">
            <v>65109.84</v>
          </cell>
        </row>
        <row r="3201">
          <cell r="A3201">
            <v>109304</v>
          </cell>
          <cell r="B3201">
            <v>20679</v>
          </cell>
          <cell r="C3201">
            <v>20679</v>
          </cell>
          <cell r="D3201" t="str">
            <v>sa4&amp;7</v>
          </cell>
          <cell r="E3201" t="str">
            <v>B</v>
          </cell>
          <cell r="F3201" t="str">
            <v>PSYCHIATRIC SOCIAL WORKER II</v>
          </cell>
          <cell r="G3201" t="str">
            <v>9035A</v>
          </cell>
          <cell r="H3201">
            <v>5425.82</v>
          </cell>
          <cell r="I3201">
            <v>1</v>
          </cell>
          <cell r="J3201">
            <v>12</v>
          </cell>
          <cell r="K3201">
            <v>1</v>
          </cell>
          <cell r="L3201">
            <v>65109.760000000002</v>
          </cell>
        </row>
        <row r="3202">
          <cell r="A3202">
            <v>106046</v>
          </cell>
          <cell r="B3202">
            <v>21533</v>
          </cell>
          <cell r="C3202">
            <v>20679</v>
          </cell>
          <cell r="D3202" t="str">
            <v>sa4&amp;7</v>
          </cell>
          <cell r="E3202" t="str">
            <v>B</v>
          </cell>
          <cell r="F3202" t="str">
            <v>REHABILITATION COUNSELOR II</v>
          </cell>
          <cell r="G3202" t="str">
            <v>8593A</v>
          </cell>
          <cell r="H3202">
            <v>4076.09</v>
          </cell>
          <cell r="I3202">
            <v>1</v>
          </cell>
          <cell r="J3202">
            <v>12</v>
          </cell>
          <cell r="K3202">
            <v>1</v>
          </cell>
          <cell r="L3202">
            <v>48922.8</v>
          </cell>
        </row>
        <row r="3203">
          <cell r="A3203">
            <v>103452</v>
          </cell>
          <cell r="B3203">
            <v>20679</v>
          </cell>
          <cell r="C3203">
            <v>20679</v>
          </cell>
          <cell r="D3203" t="str">
            <v>sa4&amp;7</v>
          </cell>
          <cell r="E3203" t="str">
            <v>B</v>
          </cell>
          <cell r="F3203" t="str">
            <v>SENIOR MENTAL HEALTH COUNSELOR, RN</v>
          </cell>
          <cell r="G3203" t="str">
            <v>5280A</v>
          </cell>
          <cell r="H3203">
            <v>6790.09</v>
          </cell>
          <cell r="I3203">
            <v>1</v>
          </cell>
          <cell r="J3203">
            <v>12</v>
          </cell>
          <cell r="K3203">
            <v>1</v>
          </cell>
          <cell r="L3203">
            <v>83105.40203389831</v>
          </cell>
        </row>
        <row r="3204">
          <cell r="A3204">
            <v>101502</v>
          </cell>
          <cell r="B3204">
            <v>20679</v>
          </cell>
          <cell r="C3204">
            <v>20679</v>
          </cell>
          <cell r="D3204" t="str">
            <v>sa4&amp;7</v>
          </cell>
          <cell r="E3204" t="str">
            <v>B</v>
          </cell>
          <cell r="F3204" t="str">
            <v xml:space="preserve">SENIOR TYPIST-CLERK                </v>
          </cell>
          <cell r="G3204" t="str">
            <v>2216A</v>
          </cell>
          <cell r="H3204">
            <v>3013.55</v>
          </cell>
          <cell r="I3204">
            <v>1</v>
          </cell>
          <cell r="J3204">
            <v>12</v>
          </cell>
          <cell r="K3204">
            <v>1</v>
          </cell>
          <cell r="L3204">
            <v>36162.6</v>
          </cell>
        </row>
        <row r="3205">
          <cell r="A3205">
            <v>104494</v>
          </cell>
          <cell r="B3205">
            <v>20679</v>
          </cell>
          <cell r="C3205">
            <v>20679</v>
          </cell>
          <cell r="D3205" t="str">
            <v>sa4&amp;7</v>
          </cell>
          <cell r="E3205" t="str">
            <v>B</v>
          </cell>
          <cell r="F3205" t="str">
            <v xml:space="preserve">SR COMMUN MENTAL HLTH PSYCHOLOGIST </v>
          </cell>
          <cell r="G3205" t="str">
            <v>8712A</v>
          </cell>
          <cell r="H3205">
            <v>7311.45</v>
          </cell>
          <cell r="I3205">
            <v>1</v>
          </cell>
          <cell r="J3205">
            <v>12</v>
          </cell>
          <cell r="K3205">
            <v>1</v>
          </cell>
          <cell r="L3205">
            <v>87737.16</v>
          </cell>
        </row>
        <row r="3206">
          <cell r="A3206">
            <v>110412</v>
          </cell>
          <cell r="B3206">
            <v>20679</v>
          </cell>
          <cell r="D3206" t="str">
            <v>sa4&amp;7</v>
          </cell>
          <cell r="E3206" t="str">
            <v>B</v>
          </cell>
          <cell r="F3206" t="str">
            <v xml:space="preserve">SR COMMUN MENTAL HLTH PSYCHOLOGIST </v>
          </cell>
          <cell r="G3206" t="str">
            <v>8712A</v>
          </cell>
          <cell r="H3206">
            <v>7311.45</v>
          </cell>
          <cell r="J3206">
            <v>10</v>
          </cell>
          <cell r="K3206">
            <v>1</v>
          </cell>
          <cell r="L3206">
            <v>73114.5</v>
          </cell>
        </row>
        <row r="3207">
          <cell r="A3207">
            <v>104524</v>
          </cell>
          <cell r="B3207">
            <v>20679</v>
          </cell>
          <cell r="C3207">
            <v>20679</v>
          </cell>
          <cell r="D3207" t="str">
            <v>sa4&amp;7</v>
          </cell>
          <cell r="E3207" t="str">
            <v>B</v>
          </cell>
          <cell r="F3207" t="str">
            <v xml:space="preserve">SUPVG PSYCHIATRIC SOCIAL WORKER    </v>
          </cell>
          <cell r="G3207" t="str">
            <v>9038A</v>
          </cell>
          <cell r="H3207">
            <v>6062.45</v>
          </cell>
          <cell r="I3207">
            <v>1</v>
          </cell>
          <cell r="J3207">
            <v>12</v>
          </cell>
          <cell r="K3207">
            <v>1</v>
          </cell>
          <cell r="L3207">
            <v>72749.399999999994</v>
          </cell>
        </row>
        <row r="3208">
          <cell r="A3208">
            <v>110413</v>
          </cell>
          <cell r="C3208">
            <v>20679</v>
          </cell>
          <cell r="D3208" t="str">
            <v>sa4&amp;7</v>
          </cell>
          <cell r="E3208" t="str">
            <v>B</v>
          </cell>
          <cell r="F3208" t="str">
            <v xml:space="preserve">SUPVG PSYCHIATRIC SOCIAL WORKER    </v>
          </cell>
          <cell r="G3208" t="str">
            <v>9038A</v>
          </cell>
          <cell r="H3208">
            <v>6062.45</v>
          </cell>
          <cell r="J3208">
            <v>10</v>
          </cell>
          <cell r="K3208">
            <v>1</v>
          </cell>
          <cell r="L3208">
            <v>60624.5</v>
          </cell>
        </row>
        <row r="3209">
          <cell r="A3209">
            <v>103158</v>
          </cell>
          <cell r="B3209">
            <v>20449</v>
          </cell>
          <cell r="C3209">
            <v>20449</v>
          </cell>
          <cell r="D3209" t="str">
            <v>sa4&amp;7</v>
          </cell>
          <cell r="E3209" t="str">
            <v>B</v>
          </cell>
          <cell r="F3209" t="str">
            <v xml:space="preserve">CHIEF MENTAL HEALTH PSYCHIATRIST   </v>
          </cell>
          <cell r="G3209" t="str">
            <v>4739A</v>
          </cell>
          <cell r="H3209">
            <v>15046</v>
          </cell>
          <cell r="I3209">
            <v>1</v>
          </cell>
          <cell r="J3209">
            <v>3</v>
          </cell>
          <cell r="K3209">
            <v>0.25</v>
          </cell>
          <cell r="L3209">
            <v>45138</v>
          </cell>
        </row>
        <row r="3210">
          <cell r="A3210">
            <v>104351</v>
          </cell>
          <cell r="B3210">
            <v>20449</v>
          </cell>
          <cell r="C3210">
            <v>20449</v>
          </cell>
          <cell r="D3210" t="str">
            <v>sa4&amp;7</v>
          </cell>
          <cell r="E3210" t="str">
            <v>B</v>
          </cell>
          <cell r="F3210" t="str">
            <v xml:space="preserve">INTERMEDIATE CLERK                 </v>
          </cell>
          <cell r="G3210" t="str">
            <v>1138A</v>
          </cell>
          <cell r="H3210">
            <v>2611.09</v>
          </cell>
          <cell r="I3210">
            <v>1</v>
          </cell>
          <cell r="J3210">
            <v>12</v>
          </cell>
          <cell r="K3210">
            <v>1</v>
          </cell>
          <cell r="L3210">
            <v>31333</v>
          </cell>
        </row>
        <row r="3211">
          <cell r="A3211">
            <v>103311</v>
          </cell>
          <cell r="B3211">
            <v>20449</v>
          </cell>
          <cell r="C3211">
            <v>20449</v>
          </cell>
          <cell r="D3211" t="str">
            <v>sa4&amp;7</v>
          </cell>
          <cell r="E3211" t="str">
            <v>B</v>
          </cell>
          <cell r="F3211" t="str">
            <v>MEDICAL CASE WORKER II</v>
          </cell>
          <cell r="G3211" t="str">
            <v>9002A</v>
          </cell>
          <cell r="H3211">
            <v>3938.82</v>
          </cell>
          <cell r="I3211">
            <v>1</v>
          </cell>
          <cell r="J3211">
            <v>12</v>
          </cell>
          <cell r="K3211">
            <v>1</v>
          </cell>
          <cell r="L3211">
            <v>47265.68</v>
          </cell>
        </row>
        <row r="3212">
          <cell r="A3212">
            <v>100706</v>
          </cell>
          <cell r="B3212">
            <v>23010</v>
          </cell>
          <cell r="C3212">
            <v>20449</v>
          </cell>
          <cell r="D3212" t="str">
            <v>sa4&amp;7</v>
          </cell>
          <cell r="E3212" t="str">
            <v>B</v>
          </cell>
          <cell r="F3212" t="str">
            <v>MENTAL HEALTH COUNSELOR, RN</v>
          </cell>
          <cell r="G3212" t="str">
            <v>5278A</v>
          </cell>
          <cell r="H3212">
            <v>6275.27</v>
          </cell>
          <cell r="I3212">
            <v>1</v>
          </cell>
          <cell r="J3212">
            <v>12</v>
          </cell>
          <cell r="K3212">
            <v>1</v>
          </cell>
          <cell r="L3212">
            <v>76804.323333333334</v>
          </cell>
        </row>
        <row r="3213">
          <cell r="A3213">
            <v>103080</v>
          </cell>
          <cell r="B3213">
            <v>20449</v>
          </cell>
          <cell r="C3213">
            <v>20449</v>
          </cell>
          <cell r="D3213" t="str">
            <v>sa4&amp;7</v>
          </cell>
          <cell r="E3213" t="str">
            <v>B</v>
          </cell>
          <cell r="F3213" t="str">
            <v>PSYCHIATRIC SOCIAL WORKER II</v>
          </cell>
          <cell r="G3213" t="str">
            <v>9035A</v>
          </cell>
          <cell r="H3213">
            <v>5425.82</v>
          </cell>
          <cell r="I3213">
            <v>1</v>
          </cell>
          <cell r="J3213">
            <v>12</v>
          </cell>
          <cell r="K3213">
            <v>1</v>
          </cell>
          <cell r="L3213">
            <v>65109.84</v>
          </cell>
        </row>
        <row r="3214">
          <cell r="A3214">
            <v>101273</v>
          </cell>
          <cell r="B3214">
            <v>20449</v>
          </cell>
          <cell r="C3214">
            <v>20449</v>
          </cell>
          <cell r="D3214" t="str">
            <v>sa4&amp;7</v>
          </cell>
          <cell r="E3214" t="str">
            <v>B</v>
          </cell>
          <cell r="F3214" t="str">
            <v>PSYCHIATRIC TECHNICIAN II</v>
          </cell>
          <cell r="G3214" t="str">
            <v>8162A</v>
          </cell>
          <cell r="H3214">
            <v>3420.09</v>
          </cell>
          <cell r="I3214">
            <v>1</v>
          </cell>
          <cell r="J3214">
            <v>12</v>
          </cell>
          <cell r="K3214">
            <v>1</v>
          </cell>
          <cell r="L3214">
            <v>41041.08</v>
          </cell>
        </row>
        <row r="3215">
          <cell r="A3215">
            <v>106216</v>
          </cell>
          <cell r="B3215">
            <v>21542</v>
          </cell>
          <cell r="C3215">
            <v>18213</v>
          </cell>
          <cell r="D3215" t="str">
            <v>sa4&amp;7</v>
          </cell>
          <cell r="E3215" t="str">
            <v>B</v>
          </cell>
          <cell r="F3215" t="str">
            <v>CLINICAL PSYCHOLOGIST II</v>
          </cell>
          <cell r="G3215" t="str">
            <v>8697A</v>
          </cell>
          <cell r="H3215">
            <v>6993.82</v>
          </cell>
          <cell r="I3215">
            <v>1</v>
          </cell>
          <cell r="J3215">
            <v>12</v>
          </cell>
          <cell r="K3215">
            <v>1</v>
          </cell>
          <cell r="L3215">
            <v>83925.52</v>
          </cell>
        </row>
        <row r="3216">
          <cell r="A3216">
            <v>104970</v>
          </cell>
          <cell r="B3216">
            <v>21542</v>
          </cell>
          <cell r="C3216">
            <v>18213</v>
          </cell>
          <cell r="D3216" t="str">
            <v>sa4&amp;7</v>
          </cell>
          <cell r="E3216" t="str">
            <v>B</v>
          </cell>
          <cell r="F3216" t="str">
            <v>MENTAL HEALTH EDUCATION CONSULTANT</v>
          </cell>
          <cell r="G3216" t="str">
            <v>8709A</v>
          </cell>
          <cell r="H3216">
            <v>7115.73</v>
          </cell>
          <cell r="I3216">
            <v>1</v>
          </cell>
          <cell r="J3216">
            <v>12</v>
          </cell>
          <cell r="K3216">
            <v>1</v>
          </cell>
          <cell r="L3216">
            <v>85389.16</v>
          </cell>
        </row>
        <row r="3217">
          <cell r="A3217">
            <v>103903</v>
          </cell>
          <cell r="B3217">
            <v>18213</v>
          </cell>
          <cell r="C3217">
            <v>18213</v>
          </cell>
          <cell r="D3217" t="str">
            <v>sa4&amp;7</v>
          </cell>
          <cell r="E3217" t="str">
            <v>B</v>
          </cell>
          <cell r="F3217" t="str">
            <v>MNTL HLTH CLINICAL PROGRAM HEAD</v>
          </cell>
          <cell r="G3217" t="str">
            <v>4726A</v>
          </cell>
          <cell r="H3217">
            <v>8709.73</v>
          </cell>
          <cell r="I3217">
            <v>1</v>
          </cell>
          <cell r="J3217">
            <v>12</v>
          </cell>
          <cell r="K3217">
            <v>1</v>
          </cell>
          <cell r="L3217">
            <v>104516.76</v>
          </cell>
        </row>
        <row r="3218">
          <cell r="A3218">
            <v>103639</v>
          </cell>
          <cell r="B3218">
            <v>18634</v>
          </cell>
          <cell r="C3218">
            <v>18213</v>
          </cell>
          <cell r="D3218" t="str">
            <v>sa4&amp;7</v>
          </cell>
          <cell r="E3218" t="str">
            <v>B</v>
          </cell>
          <cell r="F3218" t="str">
            <v>PSYCHIATRIC SOCIAL WORKER II</v>
          </cell>
          <cell r="G3218" t="str">
            <v>9035A</v>
          </cell>
          <cell r="H3218">
            <v>5425.82</v>
          </cell>
          <cell r="I3218">
            <v>1</v>
          </cell>
          <cell r="J3218">
            <v>12</v>
          </cell>
          <cell r="K3218">
            <v>1</v>
          </cell>
          <cell r="L3218">
            <v>65109.84</v>
          </cell>
        </row>
        <row r="3219">
          <cell r="A3219">
            <v>103905</v>
          </cell>
          <cell r="B3219">
            <v>18213</v>
          </cell>
          <cell r="C3219">
            <v>18213</v>
          </cell>
          <cell r="D3219" t="str">
            <v>sa4&amp;7</v>
          </cell>
          <cell r="E3219" t="str">
            <v>B</v>
          </cell>
          <cell r="F3219" t="str">
            <v>PSYCHIATRIC SOCIAL WORKER II</v>
          </cell>
          <cell r="G3219" t="str">
            <v>9035A</v>
          </cell>
          <cell r="H3219">
            <v>5425.82</v>
          </cell>
          <cell r="I3219">
            <v>1</v>
          </cell>
          <cell r="J3219">
            <v>12</v>
          </cell>
          <cell r="K3219">
            <v>1</v>
          </cell>
          <cell r="L3219">
            <v>65109.84</v>
          </cell>
        </row>
        <row r="3220">
          <cell r="A3220">
            <v>103925</v>
          </cell>
          <cell r="B3220">
            <v>18213</v>
          </cell>
          <cell r="C3220">
            <v>18213</v>
          </cell>
          <cell r="D3220" t="str">
            <v>sa4&amp;7</v>
          </cell>
          <cell r="E3220" t="str">
            <v>B</v>
          </cell>
          <cell r="F3220" t="str">
            <v>PSYCHIATRIC SOCIAL WORKER II</v>
          </cell>
          <cell r="G3220" t="str">
            <v>9035A</v>
          </cell>
          <cell r="H3220">
            <v>5425.82</v>
          </cell>
          <cell r="I3220">
            <v>1</v>
          </cell>
          <cell r="J3220">
            <v>12</v>
          </cell>
          <cell r="K3220">
            <v>1</v>
          </cell>
          <cell r="L3220">
            <v>65109.84</v>
          </cell>
        </row>
        <row r="3221">
          <cell r="A3221">
            <v>103926</v>
          </cell>
          <cell r="B3221">
            <v>18213</v>
          </cell>
          <cell r="C3221">
            <v>18213</v>
          </cell>
          <cell r="D3221" t="str">
            <v>sa4&amp;7</v>
          </cell>
          <cell r="E3221" t="str">
            <v>B</v>
          </cell>
          <cell r="F3221" t="str">
            <v>PSYCHIATRIC SOCIAL WORKER II</v>
          </cell>
          <cell r="G3221" t="str">
            <v>9035A</v>
          </cell>
          <cell r="H3221">
            <v>5425.82</v>
          </cell>
          <cell r="I3221">
            <v>1</v>
          </cell>
          <cell r="J3221">
            <v>12</v>
          </cell>
          <cell r="K3221">
            <v>1</v>
          </cell>
          <cell r="L3221">
            <v>65109.84</v>
          </cell>
        </row>
        <row r="3222">
          <cell r="A3222">
            <v>103930</v>
          </cell>
          <cell r="B3222">
            <v>18213</v>
          </cell>
          <cell r="C3222">
            <v>18213</v>
          </cell>
          <cell r="D3222" t="str">
            <v>sa4&amp;7</v>
          </cell>
          <cell r="E3222" t="str">
            <v>B</v>
          </cell>
          <cell r="F3222" t="str">
            <v>PSYCHIATRIC SOCIAL WORKER II</v>
          </cell>
          <cell r="G3222" t="str">
            <v>9035A</v>
          </cell>
          <cell r="H3222">
            <v>5425.82</v>
          </cell>
          <cell r="I3222">
            <v>1</v>
          </cell>
          <cell r="J3222">
            <v>12</v>
          </cell>
          <cell r="K3222">
            <v>1</v>
          </cell>
          <cell r="L3222">
            <v>65109.84</v>
          </cell>
        </row>
        <row r="3223">
          <cell r="A3223">
            <v>104205</v>
          </cell>
          <cell r="B3223">
            <v>20487</v>
          </cell>
          <cell r="C3223">
            <v>18213</v>
          </cell>
          <cell r="D3223" t="str">
            <v>sa4&amp;7</v>
          </cell>
          <cell r="E3223" t="str">
            <v>B</v>
          </cell>
          <cell r="F3223" t="str">
            <v>PSYCHIATRIC SOCIAL WORKER II</v>
          </cell>
          <cell r="G3223" t="str">
            <v>9035A</v>
          </cell>
          <cell r="H3223">
            <v>5425.82</v>
          </cell>
          <cell r="I3223">
            <v>1</v>
          </cell>
          <cell r="J3223">
            <v>12</v>
          </cell>
          <cell r="K3223">
            <v>1</v>
          </cell>
          <cell r="L3223">
            <v>65109.84</v>
          </cell>
        </row>
        <row r="3224">
          <cell r="A3224">
            <v>101317</v>
          </cell>
          <cell r="B3224">
            <v>18213</v>
          </cell>
          <cell r="C3224">
            <v>18213</v>
          </cell>
          <cell r="D3224" t="str">
            <v>sa4&amp;7</v>
          </cell>
          <cell r="E3224" t="str">
            <v>B</v>
          </cell>
          <cell r="F3224" t="str">
            <v>PSYCHIATRIC TECHNICIAN II</v>
          </cell>
          <cell r="G3224" t="str">
            <v>8162A</v>
          </cell>
          <cell r="H3224">
            <v>3420.09</v>
          </cell>
          <cell r="I3224">
            <v>1</v>
          </cell>
          <cell r="J3224">
            <v>12</v>
          </cell>
          <cell r="K3224">
            <v>1</v>
          </cell>
          <cell r="L3224">
            <v>41041.08</v>
          </cell>
        </row>
        <row r="3225">
          <cell r="A3225">
            <v>102405</v>
          </cell>
          <cell r="B3225">
            <v>18213</v>
          </cell>
          <cell r="C3225">
            <v>18213</v>
          </cell>
          <cell r="D3225" t="str">
            <v>sa4&amp;7</v>
          </cell>
          <cell r="E3225" t="str">
            <v>B</v>
          </cell>
          <cell r="F3225" t="str">
            <v>PSYCHIATRIC TECHNICIAN II</v>
          </cell>
          <cell r="G3225" t="str">
            <v>8162A</v>
          </cell>
          <cell r="H3225">
            <v>3420.09</v>
          </cell>
          <cell r="I3225">
            <v>1</v>
          </cell>
          <cell r="J3225">
            <v>12</v>
          </cell>
          <cell r="K3225">
            <v>1</v>
          </cell>
          <cell r="L3225">
            <v>41041.08</v>
          </cell>
        </row>
        <row r="3226">
          <cell r="A3226">
            <v>102536</v>
          </cell>
          <cell r="B3226">
            <v>18213</v>
          </cell>
          <cell r="C3226">
            <v>18213</v>
          </cell>
          <cell r="D3226" t="str">
            <v>sa4&amp;7</v>
          </cell>
          <cell r="E3226" t="str">
            <v>B</v>
          </cell>
          <cell r="F3226" t="str">
            <v>PSYCHIATRIC TECHNICIAN II</v>
          </cell>
          <cell r="G3226" t="str">
            <v>8162A</v>
          </cell>
          <cell r="H3226">
            <v>3420.09</v>
          </cell>
          <cell r="I3226">
            <v>1</v>
          </cell>
          <cell r="J3226">
            <v>12</v>
          </cell>
          <cell r="K3226">
            <v>1</v>
          </cell>
          <cell r="L3226">
            <v>41041.08</v>
          </cell>
        </row>
        <row r="3227">
          <cell r="A3227">
            <v>103333</v>
          </cell>
          <cell r="B3227">
            <v>18213</v>
          </cell>
          <cell r="C3227">
            <v>18213</v>
          </cell>
          <cell r="D3227" t="str">
            <v>sa4&amp;7</v>
          </cell>
          <cell r="E3227" t="str">
            <v>B</v>
          </cell>
          <cell r="F3227" t="str">
            <v>PSYCHIATRIC TECHNICIAN III</v>
          </cell>
          <cell r="G3227" t="str">
            <v>8163A</v>
          </cell>
          <cell r="H3227">
            <v>3705.73</v>
          </cell>
          <cell r="I3227">
            <v>1</v>
          </cell>
          <cell r="J3227">
            <v>12</v>
          </cell>
          <cell r="K3227">
            <v>1</v>
          </cell>
          <cell r="L3227">
            <v>44468.76</v>
          </cell>
        </row>
        <row r="3228">
          <cell r="A3228">
            <v>103904</v>
          </cell>
          <cell r="B3228">
            <v>18213</v>
          </cell>
          <cell r="C3228">
            <v>18213</v>
          </cell>
          <cell r="D3228" t="str">
            <v>sa4&amp;7</v>
          </cell>
          <cell r="E3228" t="str">
            <v>B</v>
          </cell>
          <cell r="F3228" t="str">
            <v xml:space="preserve">SECRETARY III                      </v>
          </cell>
          <cell r="G3228" t="str">
            <v>2096A</v>
          </cell>
          <cell r="H3228">
            <v>3387</v>
          </cell>
          <cell r="I3228">
            <v>1</v>
          </cell>
          <cell r="J3228">
            <v>12</v>
          </cell>
          <cell r="K3228">
            <v>1</v>
          </cell>
          <cell r="L3228">
            <v>40643.839999999997</v>
          </cell>
        </row>
        <row r="3229">
          <cell r="A3229">
            <v>102406</v>
          </cell>
          <cell r="B3229">
            <v>18213</v>
          </cell>
          <cell r="C3229">
            <v>18213</v>
          </cell>
          <cell r="D3229" t="str">
            <v>sa4&amp;7</v>
          </cell>
          <cell r="E3229" t="str">
            <v>B</v>
          </cell>
          <cell r="F3229" t="str">
            <v xml:space="preserve">SENIOR COMMUNITY WORKER II         </v>
          </cell>
          <cell r="G3229" t="str">
            <v>8105A</v>
          </cell>
          <cell r="H3229">
            <v>3428.36</v>
          </cell>
          <cell r="I3229">
            <v>1</v>
          </cell>
          <cell r="J3229">
            <v>12</v>
          </cell>
          <cell r="K3229">
            <v>1</v>
          </cell>
          <cell r="L3229">
            <v>41140.32</v>
          </cell>
        </row>
        <row r="3230">
          <cell r="A3230">
            <v>101957</v>
          </cell>
          <cell r="B3230">
            <v>20575</v>
          </cell>
          <cell r="C3230">
            <v>20575</v>
          </cell>
          <cell r="D3230" t="str">
            <v>sa4&amp;7</v>
          </cell>
          <cell r="E3230" t="str">
            <v>B</v>
          </cell>
          <cell r="F3230" t="str">
            <v xml:space="preserve">SENIOR SECRETARY III               </v>
          </cell>
          <cell r="G3230" t="str">
            <v>2102A</v>
          </cell>
          <cell r="H3230">
            <v>4106.3599999999997</v>
          </cell>
          <cell r="I3230">
            <v>1</v>
          </cell>
          <cell r="J3230">
            <v>12</v>
          </cell>
          <cell r="K3230">
            <v>1</v>
          </cell>
          <cell r="L3230">
            <v>49276.56</v>
          </cell>
        </row>
        <row r="3231">
          <cell r="A3231">
            <v>103337</v>
          </cell>
          <cell r="B3231">
            <v>20575</v>
          </cell>
          <cell r="C3231">
            <v>20575</v>
          </cell>
          <cell r="D3231" t="str">
            <v>sa4&amp;7</v>
          </cell>
          <cell r="E3231" t="str">
            <v>B</v>
          </cell>
          <cell r="F3231" t="str">
            <v xml:space="preserve">STUDENT PROFESSIONAL WORKER        </v>
          </cell>
          <cell r="G3231" t="str">
            <v>8243F</v>
          </cell>
          <cell r="H3231">
            <v>10.3</v>
          </cell>
          <cell r="I3231">
            <v>1</v>
          </cell>
          <cell r="J3231">
            <v>809</v>
          </cell>
          <cell r="K3231">
            <v>0</v>
          </cell>
          <cell r="L3231">
            <v>8332.25</v>
          </cell>
        </row>
        <row r="3232">
          <cell r="A3232">
            <v>102671</v>
          </cell>
          <cell r="B3232">
            <v>20928</v>
          </cell>
          <cell r="C3232">
            <v>20928</v>
          </cell>
          <cell r="D3232" t="str">
            <v>sa4&amp;7</v>
          </cell>
          <cell r="E3232" t="str">
            <v>B</v>
          </cell>
          <cell r="F3232" t="str">
            <v xml:space="preserve">PATIENT FINANCIAL SERVICES WORKER  </v>
          </cell>
          <cell r="G3232" t="str">
            <v>9193A</v>
          </cell>
          <cell r="H3232">
            <v>3403.55</v>
          </cell>
          <cell r="I3232">
            <v>1</v>
          </cell>
          <cell r="J3232">
            <v>12</v>
          </cell>
          <cell r="K3232">
            <v>1</v>
          </cell>
          <cell r="L3232">
            <v>40842.6</v>
          </cell>
        </row>
        <row r="3233">
          <cell r="A3233">
            <v>102630</v>
          </cell>
          <cell r="B3233">
            <v>20928</v>
          </cell>
          <cell r="C3233">
            <v>20928</v>
          </cell>
          <cell r="D3233" t="str">
            <v>sa4&amp;7</v>
          </cell>
          <cell r="E3233" t="str">
            <v>B</v>
          </cell>
          <cell r="F3233" t="str">
            <v xml:space="preserve">SECRETARY III                      </v>
          </cell>
          <cell r="G3233" t="str">
            <v>2096A</v>
          </cell>
          <cell r="H3233">
            <v>3387</v>
          </cell>
          <cell r="I3233">
            <v>1</v>
          </cell>
          <cell r="J3233">
            <v>12</v>
          </cell>
          <cell r="K3233">
            <v>1</v>
          </cell>
          <cell r="L3233">
            <v>40644</v>
          </cell>
        </row>
        <row r="3234">
          <cell r="A3234">
            <v>102699</v>
          </cell>
          <cell r="B3234">
            <v>20928</v>
          </cell>
          <cell r="C3234">
            <v>20928</v>
          </cell>
          <cell r="D3234" t="str">
            <v>sa4&amp;7</v>
          </cell>
          <cell r="E3234" t="str">
            <v>B</v>
          </cell>
          <cell r="F3234" t="str">
            <v>SENIOR MENTAL HEALTH COUNSELOR, RN</v>
          </cell>
          <cell r="G3234" t="str">
            <v>5280A</v>
          </cell>
          <cell r="H3234">
            <v>6790.09</v>
          </cell>
          <cell r="I3234">
            <v>1</v>
          </cell>
          <cell r="J3234">
            <v>12</v>
          </cell>
          <cell r="K3234">
            <v>1</v>
          </cell>
          <cell r="L3234">
            <v>83105.40203389831</v>
          </cell>
        </row>
        <row r="3235">
          <cell r="A3235">
            <v>102673</v>
          </cell>
          <cell r="B3235">
            <v>20928</v>
          </cell>
          <cell r="C3235">
            <v>20928</v>
          </cell>
          <cell r="D3235" t="str">
            <v>sa4&amp;7</v>
          </cell>
          <cell r="E3235" t="str">
            <v>B</v>
          </cell>
          <cell r="F3235" t="str">
            <v xml:space="preserve">SR COMMUN MENTAL HLTH PSYCHOLOGIST </v>
          </cell>
          <cell r="G3235" t="str">
            <v>8712A</v>
          </cell>
          <cell r="H3235">
            <v>7311.45</v>
          </cell>
          <cell r="I3235">
            <v>1</v>
          </cell>
          <cell r="J3235">
            <v>12</v>
          </cell>
          <cell r="K3235">
            <v>1</v>
          </cell>
          <cell r="L3235">
            <v>87737.16</v>
          </cell>
        </row>
        <row r="3236">
          <cell r="A3236">
            <v>109674</v>
          </cell>
          <cell r="B3236">
            <v>20981</v>
          </cell>
          <cell r="C3236">
            <v>20981</v>
          </cell>
          <cell r="D3236" t="str">
            <v>sa4&amp;7</v>
          </cell>
          <cell r="E3236" t="str">
            <v>B</v>
          </cell>
          <cell r="F3236" t="str">
            <v>INTERMEDIATE TYPIST-CLERK</v>
          </cell>
          <cell r="G3236" t="str">
            <v>2214A</v>
          </cell>
          <cell r="H3236">
            <v>2675.27</v>
          </cell>
          <cell r="I3236">
            <v>1</v>
          </cell>
          <cell r="J3236">
            <v>12</v>
          </cell>
          <cell r="K3236">
            <v>1</v>
          </cell>
          <cell r="L3236">
            <v>32103.24</v>
          </cell>
        </row>
        <row r="3237">
          <cell r="A3237">
            <v>109675</v>
          </cell>
          <cell r="B3237">
            <v>20981</v>
          </cell>
          <cell r="C3237">
            <v>20981</v>
          </cell>
          <cell r="D3237" t="str">
            <v>sa4&amp;7</v>
          </cell>
          <cell r="E3237" t="str">
            <v>B</v>
          </cell>
          <cell r="F3237" t="str">
            <v>INTERMEDIATE TYPIST-CLERK</v>
          </cell>
          <cell r="G3237" t="str">
            <v>2214A</v>
          </cell>
          <cell r="H3237">
            <v>2675.27</v>
          </cell>
          <cell r="I3237">
            <v>1</v>
          </cell>
          <cell r="J3237">
            <v>12</v>
          </cell>
          <cell r="K3237">
            <v>1</v>
          </cell>
          <cell r="L3237">
            <v>32103.24</v>
          </cell>
        </row>
        <row r="3238">
          <cell r="A3238">
            <v>102854</v>
          </cell>
          <cell r="B3238">
            <v>20981</v>
          </cell>
          <cell r="C3238">
            <v>20981</v>
          </cell>
          <cell r="D3238" t="str">
            <v>sa4&amp;7</v>
          </cell>
          <cell r="E3238" t="str">
            <v>B</v>
          </cell>
          <cell r="F3238" t="str">
            <v>MENTAL HEALTH COUNSELOR, RN</v>
          </cell>
          <cell r="G3238" t="str">
            <v>5278A</v>
          </cell>
          <cell r="H3238">
            <v>6275.27</v>
          </cell>
          <cell r="I3238">
            <v>1</v>
          </cell>
          <cell r="J3238">
            <v>12</v>
          </cell>
          <cell r="K3238">
            <v>1</v>
          </cell>
          <cell r="L3238">
            <v>76804.323333333334</v>
          </cell>
        </row>
        <row r="3239">
          <cell r="A3239">
            <v>102855</v>
          </cell>
          <cell r="B3239">
            <v>20981</v>
          </cell>
          <cell r="C3239">
            <v>20981</v>
          </cell>
          <cell r="D3239" t="str">
            <v>sa4&amp;7</v>
          </cell>
          <cell r="E3239" t="str">
            <v>B</v>
          </cell>
          <cell r="F3239" t="str">
            <v>MENTAL HEALTH COUNSELOR, RN</v>
          </cell>
          <cell r="G3239" t="str">
            <v>5278A</v>
          </cell>
          <cell r="H3239">
            <v>6275.27</v>
          </cell>
          <cell r="I3239">
            <v>1</v>
          </cell>
          <cell r="J3239">
            <v>12</v>
          </cell>
          <cell r="K3239">
            <v>1</v>
          </cell>
          <cell r="L3239">
            <v>76804.323333333334</v>
          </cell>
        </row>
        <row r="3240">
          <cell r="A3240">
            <v>102857</v>
          </cell>
          <cell r="B3240">
            <v>20981</v>
          </cell>
          <cell r="C3240">
            <v>20981</v>
          </cell>
          <cell r="D3240" t="str">
            <v>sa4&amp;7</v>
          </cell>
          <cell r="E3240" t="str">
            <v>B</v>
          </cell>
          <cell r="F3240" t="str">
            <v>MENTAL HEALTH COUNSELOR, RN</v>
          </cell>
          <cell r="G3240" t="str">
            <v>5278A</v>
          </cell>
          <cell r="H3240">
            <v>6275.27</v>
          </cell>
          <cell r="I3240">
            <v>1</v>
          </cell>
          <cell r="J3240">
            <v>12</v>
          </cell>
          <cell r="K3240">
            <v>1</v>
          </cell>
          <cell r="L3240">
            <v>76804.323333333334</v>
          </cell>
        </row>
        <row r="3241">
          <cell r="A3241">
            <v>103559</v>
          </cell>
          <cell r="B3241">
            <v>20981</v>
          </cell>
          <cell r="C3241">
            <v>20981</v>
          </cell>
          <cell r="D3241" t="str">
            <v>sa4&amp;7</v>
          </cell>
          <cell r="E3241" t="str">
            <v>B</v>
          </cell>
          <cell r="F3241" t="str">
            <v>MENTAL HEALTH COUNSELOR, RN</v>
          </cell>
          <cell r="G3241" t="str">
            <v>5278A</v>
          </cell>
          <cell r="H3241">
            <v>6275.27</v>
          </cell>
          <cell r="I3241">
            <v>1</v>
          </cell>
          <cell r="J3241">
            <v>12</v>
          </cell>
          <cell r="K3241">
            <v>1</v>
          </cell>
          <cell r="L3241">
            <v>76804.323333333334</v>
          </cell>
        </row>
        <row r="3242">
          <cell r="A3242">
            <v>103871</v>
          </cell>
          <cell r="B3242">
            <v>20981</v>
          </cell>
          <cell r="C3242">
            <v>20981</v>
          </cell>
          <cell r="D3242" t="str">
            <v>sa4&amp;7</v>
          </cell>
          <cell r="E3242" t="str">
            <v>B</v>
          </cell>
          <cell r="F3242" t="str">
            <v>MENTAL HEALTH COUNSELOR, RN</v>
          </cell>
          <cell r="G3242" t="str">
            <v>5278A</v>
          </cell>
          <cell r="H3242">
            <v>6275.27</v>
          </cell>
          <cell r="I3242">
            <v>1</v>
          </cell>
          <cell r="J3242">
            <v>12</v>
          </cell>
          <cell r="K3242">
            <v>1</v>
          </cell>
          <cell r="L3242">
            <v>76804.323333333334</v>
          </cell>
        </row>
        <row r="3243">
          <cell r="A3243">
            <v>103872</v>
          </cell>
          <cell r="B3243">
            <v>20981</v>
          </cell>
          <cell r="C3243">
            <v>20981</v>
          </cell>
          <cell r="D3243" t="str">
            <v>sa4&amp;7</v>
          </cell>
          <cell r="E3243" t="str">
            <v>B</v>
          </cell>
          <cell r="F3243" t="str">
            <v>MENTAL HEALTH COUNSELOR, RN</v>
          </cell>
          <cell r="G3243" t="str">
            <v>5278A</v>
          </cell>
          <cell r="H3243">
            <v>6275.27</v>
          </cell>
          <cell r="I3243">
            <v>1</v>
          </cell>
          <cell r="J3243">
            <v>12</v>
          </cell>
          <cell r="K3243">
            <v>1</v>
          </cell>
          <cell r="L3243">
            <v>76804.323333333334</v>
          </cell>
        </row>
        <row r="3244">
          <cell r="A3244">
            <v>104650</v>
          </cell>
          <cell r="B3244">
            <v>20981</v>
          </cell>
          <cell r="D3244" t="str">
            <v>sa4&amp;7</v>
          </cell>
          <cell r="E3244" t="str">
            <v>B</v>
          </cell>
          <cell r="F3244" t="str">
            <v>MENTAL HEALTH SERVICES COORD II</v>
          </cell>
          <cell r="G3244" t="str">
            <v>8149A</v>
          </cell>
          <cell r="H3244">
            <v>5152.3599999999997</v>
          </cell>
          <cell r="I3244">
            <v>1</v>
          </cell>
          <cell r="J3244">
            <v>12</v>
          </cell>
          <cell r="K3244">
            <v>1</v>
          </cell>
          <cell r="L3244">
            <v>61828.72</v>
          </cell>
        </row>
        <row r="3245">
          <cell r="A3245">
            <v>103875</v>
          </cell>
          <cell r="B3245">
            <v>20981</v>
          </cell>
          <cell r="C3245">
            <v>20981</v>
          </cell>
          <cell r="D3245" t="str">
            <v>sa4&amp;7</v>
          </cell>
          <cell r="E3245" t="str">
            <v>B</v>
          </cell>
          <cell r="F3245" t="str">
            <v>MNTL HLTH CLINICAL PROGRAM HEAD</v>
          </cell>
          <cell r="G3245" t="str">
            <v>4726A</v>
          </cell>
          <cell r="H3245">
            <v>8709.73</v>
          </cell>
          <cell r="I3245">
            <v>1</v>
          </cell>
          <cell r="J3245">
            <v>12</v>
          </cell>
          <cell r="K3245">
            <v>1</v>
          </cell>
          <cell r="L3245">
            <v>104516.76</v>
          </cell>
        </row>
        <row r="3246">
          <cell r="A3246">
            <v>102858</v>
          </cell>
          <cell r="B3246">
            <v>20981</v>
          </cell>
          <cell r="C3246">
            <v>20981</v>
          </cell>
          <cell r="D3246" t="str">
            <v>sa4&amp;7</v>
          </cell>
          <cell r="E3246" t="str">
            <v>B</v>
          </cell>
          <cell r="F3246" t="str">
            <v xml:space="preserve">PATIENT FINANCIAL SERVICES WORKER  </v>
          </cell>
          <cell r="G3246" t="str">
            <v>9193A</v>
          </cell>
          <cell r="H3246">
            <v>3403.55</v>
          </cell>
          <cell r="I3246">
            <v>1</v>
          </cell>
          <cell r="J3246">
            <v>12</v>
          </cell>
          <cell r="K3246">
            <v>1</v>
          </cell>
          <cell r="L3246">
            <v>40842.6</v>
          </cell>
        </row>
        <row r="3247">
          <cell r="A3247">
            <v>102859</v>
          </cell>
          <cell r="B3247">
            <v>20981</v>
          </cell>
          <cell r="C3247">
            <v>20981</v>
          </cell>
          <cell r="D3247" t="str">
            <v>sa4&amp;7</v>
          </cell>
          <cell r="E3247" t="str">
            <v>B</v>
          </cell>
          <cell r="F3247" t="str">
            <v xml:space="preserve">SECRETARY III                      </v>
          </cell>
          <cell r="G3247" t="str">
            <v>2096A</v>
          </cell>
          <cell r="H3247">
            <v>3387</v>
          </cell>
          <cell r="I3247">
            <v>1</v>
          </cell>
          <cell r="J3247">
            <v>12</v>
          </cell>
          <cell r="K3247">
            <v>1</v>
          </cell>
          <cell r="L3247">
            <v>40643.839999999997</v>
          </cell>
        </row>
        <row r="3248">
          <cell r="A3248">
            <v>105042</v>
          </cell>
          <cell r="B3248">
            <v>20981</v>
          </cell>
          <cell r="C3248">
            <v>20981</v>
          </cell>
          <cell r="D3248" t="str">
            <v>sa4&amp;7</v>
          </cell>
          <cell r="E3248" t="str">
            <v>B</v>
          </cell>
          <cell r="F3248" t="str">
            <v xml:space="preserve">STAFF ASSISTANT I                  </v>
          </cell>
          <cell r="G3248" t="str">
            <v>0907A</v>
          </cell>
          <cell r="H3248">
            <v>3453.18</v>
          </cell>
          <cell r="I3248">
            <v>1</v>
          </cell>
          <cell r="J3248">
            <v>12</v>
          </cell>
          <cell r="K3248">
            <v>1</v>
          </cell>
          <cell r="L3248">
            <v>41438.480000000003</v>
          </cell>
        </row>
        <row r="3249">
          <cell r="A3249">
            <v>104513</v>
          </cell>
          <cell r="B3249">
            <v>21535</v>
          </cell>
          <cell r="C3249">
            <v>20981</v>
          </cell>
          <cell r="D3249" t="str">
            <v>sa4&amp;7</v>
          </cell>
          <cell r="E3249" t="str">
            <v>B</v>
          </cell>
          <cell r="F3249" t="str">
            <v xml:space="preserve">SUPVG PSYCHIATRIC SOCIAL WORKER    </v>
          </cell>
          <cell r="G3249" t="str">
            <v>9038A</v>
          </cell>
          <cell r="H3249">
            <v>6062.45</v>
          </cell>
          <cell r="I3249">
            <v>1</v>
          </cell>
          <cell r="J3249">
            <v>12</v>
          </cell>
          <cell r="K3249">
            <v>1</v>
          </cell>
          <cell r="L3249">
            <v>72749.399999999994</v>
          </cell>
        </row>
        <row r="3250">
          <cell r="A3250">
            <v>103713</v>
          </cell>
          <cell r="B3250">
            <v>21533</v>
          </cell>
          <cell r="C3250">
            <v>27240</v>
          </cell>
          <cell r="D3250" t="str">
            <v>sa4&amp;7</v>
          </cell>
          <cell r="E3250" t="str">
            <v>B</v>
          </cell>
          <cell r="F3250" t="str">
            <v>CLINICAL PSYCHOLOGIST II</v>
          </cell>
          <cell r="G3250" t="str">
            <v>8697A</v>
          </cell>
          <cell r="H3250">
            <v>6993.82</v>
          </cell>
          <cell r="I3250">
            <v>1</v>
          </cell>
          <cell r="J3250">
            <v>12</v>
          </cell>
          <cell r="K3250">
            <v>1</v>
          </cell>
          <cell r="L3250">
            <v>83925.52</v>
          </cell>
        </row>
        <row r="3251">
          <cell r="A3251">
            <v>109374</v>
          </cell>
          <cell r="B3251">
            <v>21533</v>
          </cell>
          <cell r="C3251">
            <v>27240</v>
          </cell>
          <cell r="D3251" t="str">
            <v>sa4&amp;7</v>
          </cell>
          <cell r="E3251" t="str">
            <v>B</v>
          </cell>
          <cell r="F3251" t="str">
            <v xml:space="preserve">PATIENT FINANCIAL SERVICES WORKER  </v>
          </cell>
          <cell r="G3251" t="str">
            <v>9193A</v>
          </cell>
          <cell r="H3251">
            <v>3403.55</v>
          </cell>
          <cell r="I3251">
            <v>1</v>
          </cell>
          <cell r="J3251">
            <v>12</v>
          </cell>
          <cell r="K3251">
            <v>1</v>
          </cell>
          <cell r="L3251">
            <v>40842.6</v>
          </cell>
        </row>
        <row r="3252">
          <cell r="A3252">
            <v>103719</v>
          </cell>
          <cell r="B3252">
            <v>21533</v>
          </cell>
          <cell r="C3252">
            <v>27240</v>
          </cell>
          <cell r="D3252" t="str">
            <v>sa4&amp;7</v>
          </cell>
          <cell r="E3252" t="str">
            <v>B</v>
          </cell>
          <cell r="F3252" t="str">
            <v>PSYCHIATRIC SOCIAL WORKER II</v>
          </cell>
          <cell r="G3252" t="str">
            <v>9035A</v>
          </cell>
          <cell r="H3252">
            <v>5425.82</v>
          </cell>
          <cell r="I3252">
            <v>1</v>
          </cell>
          <cell r="J3252">
            <v>12</v>
          </cell>
          <cell r="K3252">
            <v>1</v>
          </cell>
          <cell r="L3252">
            <v>65109.84</v>
          </cell>
        </row>
        <row r="3253">
          <cell r="A3253">
            <v>103720</v>
          </cell>
          <cell r="B3253">
            <v>21533</v>
          </cell>
          <cell r="C3253">
            <v>27240</v>
          </cell>
          <cell r="D3253" t="str">
            <v>sa4&amp;7</v>
          </cell>
          <cell r="E3253" t="str">
            <v>B</v>
          </cell>
          <cell r="F3253" t="str">
            <v>PSYCHIATRIC SOCIAL WORKER II</v>
          </cell>
          <cell r="G3253" t="str">
            <v>9035A</v>
          </cell>
          <cell r="H3253">
            <v>5425.82</v>
          </cell>
          <cell r="I3253">
            <v>1</v>
          </cell>
          <cell r="J3253">
            <v>12</v>
          </cell>
          <cell r="K3253">
            <v>1</v>
          </cell>
          <cell r="L3253">
            <v>65109.84</v>
          </cell>
        </row>
        <row r="3254">
          <cell r="A3254">
            <v>103105</v>
          </cell>
          <cell r="B3254">
            <v>23001</v>
          </cell>
          <cell r="C3254">
            <v>27240</v>
          </cell>
          <cell r="D3254" t="str">
            <v>sa4&amp;7</v>
          </cell>
          <cell r="E3254" t="str">
            <v>B</v>
          </cell>
          <cell r="F3254" t="str">
            <v>PSYCHIATRIC TECHNICIAN III</v>
          </cell>
          <cell r="G3254" t="str">
            <v>8163A</v>
          </cell>
          <cell r="H3254">
            <v>3705.73</v>
          </cell>
          <cell r="I3254">
            <v>1</v>
          </cell>
          <cell r="J3254">
            <v>12</v>
          </cell>
          <cell r="K3254">
            <v>1</v>
          </cell>
          <cell r="L3254">
            <v>44468.76</v>
          </cell>
        </row>
        <row r="3255">
          <cell r="A3255">
            <v>103655</v>
          </cell>
          <cell r="B3255">
            <v>23017</v>
          </cell>
          <cell r="C3255">
            <v>27240</v>
          </cell>
          <cell r="D3255" t="str">
            <v>sa4&amp;7</v>
          </cell>
          <cell r="E3255" t="str">
            <v>B</v>
          </cell>
          <cell r="F3255" t="str">
            <v>PSYCHIATRIC TECHNICIAN III</v>
          </cell>
          <cell r="G3255" t="str">
            <v>8163A</v>
          </cell>
          <cell r="H3255">
            <v>3705.73</v>
          </cell>
          <cell r="I3255">
            <v>1</v>
          </cell>
          <cell r="J3255">
            <v>12</v>
          </cell>
          <cell r="K3255">
            <v>1</v>
          </cell>
          <cell r="L3255">
            <v>44468.76</v>
          </cell>
        </row>
        <row r="3256">
          <cell r="A3256">
            <v>103830</v>
          </cell>
          <cell r="B3256">
            <v>20446</v>
          </cell>
          <cell r="C3256">
            <v>27240</v>
          </cell>
          <cell r="D3256" t="str">
            <v>sa4&amp;7</v>
          </cell>
          <cell r="E3256" t="str">
            <v>B</v>
          </cell>
          <cell r="F3256" t="str">
            <v xml:space="preserve">SUPVG PSYCHIATRIC SOCIAL WORKER    </v>
          </cell>
          <cell r="G3256" t="str">
            <v>9038A</v>
          </cell>
          <cell r="H3256">
            <v>6062.45</v>
          </cell>
          <cell r="I3256">
            <v>1</v>
          </cell>
          <cell r="J3256">
            <v>12</v>
          </cell>
          <cell r="K3256">
            <v>1</v>
          </cell>
          <cell r="L3256">
            <v>72749.399999999994</v>
          </cell>
        </row>
        <row r="3257">
          <cell r="A3257">
            <v>109703</v>
          </cell>
          <cell r="B3257">
            <v>23017</v>
          </cell>
          <cell r="C3257">
            <v>20952</v>
          </cell>
          <cell r="D3257" t="str">
            <v>sa4&amp;7</v>
          </cell>
          <cell r="E3257" t="str">
            <v>B</v>
          </cell>
          <cell r="F3257" t="str">
            <v>INTERMEDIATE TYPIST-CLERK</v>
          </cell>
          <cell r="G3257" t="str">
            <v>2214A</v>
          </cell>
          <cell r="H3257">
            <v>2675.27</v>
          </cell>
          <cell r="I3257">
            <v>1</v>
          </cell>
          <cell r="J3257">
            <v>12</v>
          </cell>
          <cell r="K3257">
            <v>1</v>
          </cell>
          <cell r="L3257">
            <v>32103.24</v>
          </cell>
        </row>
        <row r="3258">
          <cell r="A3258">
            <v>103309</v>
          </cell>
          <cell r="B3258">
            <v>20446</v>
          </cell>
          <cell r="C3258">
            <v>20952</v>
          </cell>
          <cell r="D3258" t="str">
            <v>sa4&amp;7</v>
          </cell>
          <cell r="E3258" t="str">
            <v>B</v>
          </cell>
          <cell r="F3258" t="str">
            <v>PSYCHIATRIC SOCIAL WORKER II</v>
          </cell>
          <cell r="G3258" t="str">
            <v>9035A</v>
          </cell>
          <cell r="H3258">
            <v>5425.82</v>
          </cell>
          <cell r="I3258">
            <v>1</v>
          </cell>
          <cell r="J3258">
            <v>12</v>
          </cell>
          <cell r="K3258">
            <v>1</v>
          </cell>
          <cell r="L3258">
            <v>65109.84</v>
          </cell>
        </row>
        <row r="3259">
          <cell r="A3259">
            <v>104369</v>
          </cell>
          <cell r="B3259">
            <v>20952</v>
          </cell>
          <cell r="C3259">
            <v>20952</v>
          </cell>
          <cell r="D3259" t="str">
            <v>sa4&amp;7</v>
          </cell>
          <cell r="E3259" t="str">
            <v>B</v>
          </cell>
          <cell r="F3259" t="str">
            <v>SENIOR DISASTER SERVICES ANALYST</v>
          </cell>
          <cell r="G3259" t="str">
            <v>1515A</v>
          </cell>
          <cell r="H3259">
            <v>6416.09</v>
          </cell>
          <cell r="I3259">
            <v>1</v>
          </cell>
          <cell r="J3259">
            <v>12</v>
          </cell>
          <cell r="K3259">
            <v>1</v>
          </cell>
          <cell r="L3259">
            <v>76993.08</v>
          </cell>
        </row>
        <row r="3260">
          <cell r="A3260">
            <v>104345</v>
          </cell>
          <cell r="B3260">
            <v>20572</v>
          </cell>
          <cell r="C3260">
            <v>20572</v>
          </cell>
          <cell r="D3260" t="str">
            <v>sa4&amp;7</v>
          </cell>
          <cell r="E3260" t="str">
            <v>B</v>
          </cell>
          <cell r="F3260" t="str">
            <v>MEDICAL CASE WORKER II</v>
          </cell>
          <cell r="G3260" t="str">
            <v>9002A</v>
          </cell>
          <cell r="H3260">
            <v>3938.82</v>
          </cell>
          <cell r="I3260">
            <v>1</v>
          </cell>
          <cell r="J3260">
            <v>12</v>
          </cell>
          <cell r="K3260">
            <v>1</v>
          </cell>
          <cell r="L3260">
            <v>47265.84</v>
          </cell>
        </row>
        <row r="3261">
          <cell r="A3261">
            <v>103448</v>
          </cell>
          <cell r="B3261">
            <v>20679</v>
          </cell>
          <cell r="C3261">
            <v>21535</v>
          </cell>
          <cell r="D3261" t="str">
            <v>sa4&amp;7</v>
          </cell>
          <cell r="E3261" t="str">
            <v>B</v>
          </cell>
          <cell r="F3261" t="str">
            <v>CLINICAL PSYCHOLOGIST II</v>
          </cell>
          <cell r="G3261" t="str">
            <v>8697A</v>
          </cell>
          <cell r="H3261">
            <v>6993.82</v>
          </cell>
          <cell r="I3261">
            <v>1</v>
          </cell>
          <cell r="J3261">
            <v>12</v>
          </cell>
          <cell r="K3261">
            <v>1</v>
          </cell>
          <cell r="L3261">
            <v>83925.52</v>
          </cell>
        </row>
        <row r="3262">
          <cell r="A3262">
            <v>105039</v>
          </cell>
          <cell r="B3262">
            <v>21535</v>
          </cell>
          <cell r="C3262">
            <v>21535</v>
          </cell>
          <cell r="D3262" t="str">
            <v>sa4&amp;7</v>
          </cell>
          <cell r="E3262" t="str">
            <v>B</v>
          </cell>
          <cell r="F3262" t="str">
            <v>PSYCHIATRIC TECHNICIAN II</v>
          </cell>
          <cell r="G3262" t="str">
            <v>8162A</v>
          </cell>
          <cell r="H3262">
            <v>3420.09</v>
          </cell>
          <cell r="I3262">
            <v>1</v>
          </cell>
          <cell r="J3262">
            <v>12</v>
          </cell>
          <cell r="K3262">
            <v>1</v>
          </cell>
          <cell r="L3262">
            <v>41041.08</v>
          </cell>
        </row>
        <row r="3263">
          <cell r="A3263">
            <v>105040</v>
          </cell>
          <cell r="B3263">
            <v>21535</v>
          </cell>
          <cell r="C3263">
            <v>21535</v>
          </cell>
          <cell r="D3263" t="str">
            <v>sa4&amp;7</v>
          </cell>
          <cell r="E3263" t="str">
            <v>B</v>
          </cell>
          <cell r="F3263" t="str">
            <v>PSYCHIATRIC TECHNICIAN II</v>
          </cell>
          <cell r="G3263" t="str">
            <v>8162A</v>
          </cell>
          <cell r="H3263">
            <v>3420.09</v>
          </cell>
          <cell r="I3263">
            <v>1</v>
          </cell>
          <cell r="J3263">
            <v>12</v>
          </cell>
          <cell r="K3263">
            <v>1</v>
          </cell>
          <cell r="L3263">
            <v>41041.08</v>
          </cell>
        </row>
        <row r="3264">
          <cell r="A3264">
            <v>103565</v>
          </cell>
          <cell r="B3264">
            <v>18632</v>
          </cell>
          <cell r="C3264">
            <v>18632</v>
          </cell>
          <cell r="D3264" t="str">
            <v>sa4&amp;7</v>
          </cell>
          <cell r="E3264" t="str">
            <v>B</v>
          </cell>
          <cell r="F3264" t="str">
            <v>MENTAL HEALTH COUNSELOR, RN</v>
          </cell>
          <cell r="G3264" t="str">
            <v>5278A</v>
          </cell>
          <cell r="H3264">
            <v>6275.27</v>
          </cell>
          <cell r="I3264">
            <v>1</v>
          </cell>
          <cell r="J3264">
            <v>12</v>
          </cell>
          <cell r="K3264">
            <v>1</v>
          </cell>
          <cell r="L3264">
            <v>76804.323333333334</v>
          </cell>
        </row>
        <row r="3265">
          <cell r="A3265">
            <v>103566</v>
          </cell>
          <cell r="B3265">
            <v>18632</v>
          </cell>
          <cell r="C3265">
            <v>18632</v>
          </cell>
          <cell r="D3265" t="str">
            <v>sa4&amp;7</v>
          </cell>
          <cell r="E3265" t="str">
            <v>B</v>
          </cell>
          <cell r="F3265" t="str">
            <v>MENTAL HEALTH COUNSELOR, RN</v>
          </cell>
          <cell r="G3265" t="str">
            <v>5278A</v>
          </cell>
          <cell r="H3265">
            <v>6275.27</v>
          </cell>
          <cell r="I3265">
            <v>1</v>
          </cell>
          <cell r="J3265">
            <v>12</v>
          </cell>
          <cell r="K3265">
            <v>1</v>
          </cell>
          <cell r="L3265">
            <v>76804.323333333334</v>
          </cell>
        </row>
        <row r="3266">
          <cell r="A3266">
            <v>106417</v>
          </cell>
          <cell r="B3266">
            <v>21564</v>
          </cell>
          <cell r="C3266">
            <v>18632</v>
          </cell>
          <cell r="D3266" t="str">
            <v>sa4&amp;7</v>
          </cell>
          <cell r="E3266" t="str">
            <v>B</v>
          </cell>
          <cell r="F3266" t="str">
            <v xml:space="preserve">SR COMMUN MENTAL HLTH PSYCHOLOGIST </v>
          </cell>
          <cell r="G3266" t="str">
            <v>8712A</v>
          </cell>
          <cell r="H3266">
            <v>7311.45</v>
          </cell>
          <cell r="I3266">
            <v>1</v>
          </cell>
          <cell r="J3266">
            <v>12</v>
          </cell>
          <cell r="K3266">
            <v>1</v>
          </cell>
          <cell r="L3266">
            <v>87737.16</v>
          </cell>
        </row>
        <row r="3267">
          <cell r="A3267">
            <v>104855</v>
          </cell>
          <cell r="B3267">
            <v>21531</v>
          </cell>
          <cell r="C3267">
            <v>21531</v>
          </cell>
          <cell r="D3267" t="str">
            <v>sa4&amp;7</v>
          </cell>
          <cell r="E3267" t="str">
            <v>B</v>
          </cell>
          <cell r="F3267" t="str">
            <v>INTERMEDIATE TYPIST-CLERK</v>
          </cell>
          <cell r="G3267" t="str">
            <v>2214A</v>
          </cell>
          <cell r="H3267">
            <v>2675.27</v>
          </cell>
          <cell r="I3267">
            <v>1</v>
          </cell>
          <cell r="J3267">
            <v>12</v>
          </cell>
          <cell r="K3267">
            <v>1</v>
          </cell>
          <cell r="L3267">
            <v>32103.16</v>
          </cell>
        </row>
        <row r="3268">
          <cell r="A3268">
            <v>104859</v>
          </cell>
          <cell r="B3268">
            <v>21531</v>
          </cell>
          <cell r="C3268">
            <v>21531</v>
          </cell>
          <cell r="D3268" t="str">
            <v>sa4&amp;7</v>
          </cell>
          <cell r="E3268" t="str">
            <v>B</v>
          </cell>
          <cell r="F3268" t="str">
            <v>MENTAL HEALTH COUNSELOR, RN</v>
          </cell>
          <cell r="G3268" t="str">
            <v>5278A</v>
          </cell>
          <cell r="H3268">
            <v>6275.27</v>
          </cell>
          <cell r="I3268">
            <v>1</v>
          </cell>
          <cell r="J3268">
            <v>12</v>
          </cell>
          <cell r="K3268">
            <v>1</v>
          </cell>
          <cell r="L3268">
            <v>76804.323333333334</v>
          </cell>
        </row>
        <row r="3269">
          <cell r="A3269">
            <v>104856</v>
          </cell>
          <cell r="B3269">
            <v>21531</v>
          </cell>
          <cell r="C3269">
            <v>21531</v>
          </cell>
          <cell r="D3269" t="str">
            <v>sa4&amp;7</v>
          </cell>
          <cell r="E3269" t="str">
            <v>B</v>
          </cell>
          <cell r="F3269" t="str">
            <v>MENTAL HEALTH PSYCHIATRIST</v>
          </cell>
          <cell r="G3269" t="str">
            <v>4735A</v>
          </cell>
          <cell r="H3269">
            <v>12844</v>
          </cell>
          <cell r="I3269">
            <v>1</v>
          </cell>
          <cell r="J3269">
            <v>12</v>
          </cell>
          <cell r="K3269">
            <v>1</v>
          </cell>
          <cell r="L3269">
            <v>154128</v>
          </cell>
        </row>
        <row r="3270">
          <cell r="A3270">
            <v>106213</v>
          </cell>
          <cell r="B3270">
            <v>21542</v>
          </cell>
          <cell r="C3270">
            <v>21542</v>
          </cell>
          <cell r="D3270" t="str">
            <v>sa4&amp;7</v>
          </cell>
          <cell r="E3270" t="str">
            <v>B</v>
          </cell>
          <cell r="F3270" t="str">
            <v>CLINICAL PSYCHOLOGIST II</v>
          </cell>
          <cell r="G3270" t="str">
            <v>8697A</v>
          </cell>
          <cell r="H3270">
            <v>6993.82</v>
          </cell>
          <cell r="I3270">
            <v>1</v>
          </cell>
          <cell r="J3270">
            <v>12</v>
          </cell>
          <cell r="K3270">
            <v>1</v>
          </cell>
          <cell r="L3270">
            <v>83925.52</v>
          </cell>
        </row>
        <row r="3271">
          <cell r="A3271">
            <v>106214</v>
          </cell>
          <cell r="B3271">
            <v>21542</v>
          </cell>
          <cell r="C3271">
            <v>21542</v>
          </cell>
          <cell r="D3271" t="str">
            <v>sa4&amp;7</v>
          </cell>
          <cell r="E3271" t="str">
            <v>B</v>
          </cell>
          <cell r="F3271" t="str">
            <v>CLINICAL PSYCHOLOGIST II</v>
          </cell>
          <cell r="G3271" t="str">
            <v>8697A</v>
          </cell>
          <cell r="H3271">
            <v>6993.82</v>
          </cell>
          <cell r="I3271">
            <v>1</v>
          </cell>
          <cell r="J3271">
            <v>12</v>
          </cell>
          <cell r="K3271">
            <v>1</v>
          </cell>
          <cell r="L3271">
            <v>83925.52</v>
          </cell>
        </row>
        <row r="3272">
          <cell r="A3272">
            <v>106215</v>
          </cell>
          <cell r="B3272">
            <v>21542</v>
          </cell>
          <cell r="C3272">
            <v>21542</v>
          </cell>
          <cell r="D3272" t="str">
            <v>sa4&amp;7</v>
          </cell>
          <cell r="E3272" t="str">
            <v>B</v>
          </cell>
          <cell r="F3272" t="str">
            <v>CLINICAL PSYCHOLOGIST II</v>
          </cell>
          <cell r="G3272" t="str">
            <v>8697A</v>
          </cell>
          <cell r="H3272">
            <v>6993.82</v>
          </cell>
          <cell r="I3272">
            <v>1</v>
          </cell>
          <cell r="J3272">
            <v>12</v>
          </cell>
          <cell r="K3272">
            <v>1</v>
          </cell>
          <cell r="L3272">
            <v>83925.52</v>
          </cell>
        </row>
        <row r="3273">
          <cell r="A3273">
            <v>106217</v>
          </cell>
          <cell r="B3273">
            <v>21542</v>
          </cell>
          <cell r="C3273">
            <v>21542</v>
          </cell>
          <cell r="D3273" t="str">
            <v>sa4&amp;7</v>
          </cell>
          <cell r="E3273" t="str">
            <v>B</v>
          </cell>
          <cell r="F3273" t="str">
            <v>CLINICAL PSYCHOLOGIST II</v>
          </cell>
          <cell r="G3273" t="str">
            <v>8697A</v>
          </cell>
          <cell r="H3273">
            <v>6993.82</v>
          </cell>
          <cell r="I3273">
            <v>1</v>
          </cell>
          <cell r="J3273">
            <v>12</v>
          </cell>
          <cell r="K3273">
            <v>1</v>
          </cell>
          <cell r="L3273">
            <v>83925.52</v>
          </cell>
        </row>
        <row r="3274">
          <cell r="A3274">
            <v>106218</v>
          </cell>
          <cell r="B3274">
            <v>21542</v>
          </cell>
          <cell r="C3274">
            <v>21542</v>
          </cell>
          <cell r="D3274" t="str">
            <v>sa4&amp;7</v>
          </cell>
          <cell r="E3274" t="str">
            <v>B</v>
          </cell>
          <cell r="F3274" t="str">
            <v>CLINICAL PSYCHOLOGIST II</v>
          </cell>
          <cell r="G3274" t="str">
            <v>8697A</v>
          </cell>
          <cell r="H3274">
            <v>6993.82</v>
          </cell>
          <cell r="I3274">
            <v>1</v>
          </cell>
          <cell r="J3274">
            <v>12</v>
          </cell>
          <cell r="K3274">
            <v>1</v>
          </cell>
          <cell r="L3274">
            <v>83925.52</v>
          </cell>
        </row>
        <row r="3275">
          <cell r="A3275">
            <v>109951</v>
          </cell>
          <cell r="B3275">
            <v>27576</v>
          </cell>
          <cell r="D3275" t="str">
            <v>sa4&amp;7</v>
          </cell>
          <cell r="E3275" t="str">
            <v>B</v>
          </cell>
          <cell r="F3275" t="str">
            <v>INTERMEDIATE TYPIST-CLERK</v>
          </cell>
          <cell r="G3275" t="str">
            <v>2214A</v>
          </cell>
          <cell r="H3275">
            <v>2675.27</v>
          </cell>
          <cell r="I3275">
            <v>1</v>
          </cell>
          <cell r="J3275">
            <v>12</v>
          </cell>
          <cell r="K3275">
            <v>1</v>
          </cell>
          <cell r="L3275">
            <v>32103.24</v>
          </cell>
        </row>
        <row r="3276">
          <cell r="A3276">
            <v>109954</v>
          </cell>
          <cell r="B3276">
            <v>27576</v>
          </cell>
          <cell r="D3276" t="str">
            <v>sa4&amp;7</v>
          </cell>
          <cell r="E3276" t="str">
            <v>B</v>
          </cell>
          <cell r="F3276" t="str">
            <v>MEDICAL CASE WORKER II</v>
          </cell>
          <cell r="G3276" t="str">
            <v>9002A</v>
          </cell>
          <cell r="H3276">
            <v>3938.82</v>
          </cell>
          <cell r="I3276">
            <v>1</v>
          </cell>
          <cell r="J3276">
            <v>12</v>
          </cell>
          <cell r="K3276">
            <v>1</v>
          </cell>
          <cell r="L3276">
            <v>47265.84</v>
          </cell>
        </row>
        <row r="3277">
          <cell r="A3277">
            <v>109950</v>
          </cell>
          <cell r="B3277">
            <v>27576</v>
          </cell>
          <cell r="D3277" t="str">
            <v>sa4&amp;7</v>
          </cell>
          <cell r="E3277" t="str">
            <v>B</v>
          </cell>
          <cell r="F3277" t="str">
            <v>MENTAL HEALTH SERVICES COORD I</v>
          </cell>
          <cell r="G3277" t="str">
            <v>8148A</v>
          </cell>
          <cell r="H3277">
            <v>5126.91</v>
          </cell>
          <cell r="I3277">
            <v>1</v>
          </cell>
          <cell r="J3277">
            <v>12</v>
          </cell>
          <cell r="K3277">
            <v>1</v>
          </cell>
          <cell r="L3277">
            <v>61522.92</v>
          </cell>
        </row>
        <row r="3278">
          <cell r="A3278">
            <v>109955</v>
          </cell>
          <cell r="B3278">
            <v>27576</v>
          </cell>
          <cell r="D3278" t="str">
            <v>sa4&amp;7</v>
          </cell>
          <cell r="E3278" t="str">
            <v>B</v>
          </cell>
          <cell r="F3278" t="str">
            <v xml:space="preserve">PATIENT FINANCIAL SERVICES WORKER  </v>
          </cell>
          <cell r="G3278" t="str">
            <v>9193A</v>
          </cell>
          <cell r="H3278">
            <v>3403.55</v>
          </cell>
          <cell r="I3278">
            <v>1</v>
          </cell>
          <cell r="J3278">
            <v>12</v>
          </cell>
          <cell r="K3278">
            <v>1</v>
          </cell>
          <cell r="L3278">
            <v>40842.6</v>
          </cell>
        </row>
        <row r="3279">
          <cell r="A3279">
            <v>109956</v>
          </cell>
          <cell r="B3279">
            <v>27576</v>
          </cell>
          <cell r="D3279" t="str">
            <v>sa4&amp;7</v>
          </cell>
          <cell r="E3279" t="str">
            <v>B</v>
          </cell>
          <cell r="F3279" t="str">
            <v>PSYCHIATRIC SOCIAL WORKER II</v>
          </cell>
          <cell r="G3279" t="str">
            <v>9035A</v>
          </cell>
          <cell r="H3279">
            <v>5425.82</v>
          </cell>
          <cell r="I3279">
            <v>1</v>
          </cell>
          <cell r="J3279">
            <v>12</v>
          </cell>
          <cell r="K3279">
            <v>1</v>
          </cell>
          <cell r="L3279">
            <v>65109.84</v>
          </cell>
        </row>
        <row r="3280">
          <cell r="A3280">
            <v>109957</v>
          </cell>
          <cell r="B3280">
            <v>27576</v>
          </cell>
          <cell r="D3280" t="str">
            <v>sa4&amp;7</v>
          </cell>
          <cell r="E3280" t="str">
            <v>B</v>
          </cell>
          <cell r="F3280" t="str">
            <v>PSYCHIATRIC SOCIAL WORKER II</v>
          </cell>
          <cell r="G3280" t="str">
            <v>9035A</v>
          </cell>
          <cell r="H3280">
            <v>5425.82</v>
          </cell>
          <cell r="I3280">
            <v>1</v>
          </cell>
          <cell r="J3280">
            <v>12</v>
          </cell>
          <cell r="K3280">
            <v>1</v>
          </cell>
          <cell r="L3280">
            <v>65109.84</v>
          </cell>
        </row>
        <row r="3281">
          <cell r="A3281">
            <v>109958</v>
          </cell>
          <cell r="B3281">
            <v>27576</v>
          </cell>
          <cell r="D3281" t="str">
            <v>sa4&amp;7</v>
          </cell>
          <cell r="E3281" t="str">
            <v>B</v>
          </cell>
          <cell r="F3281" t="str">
            <v>PSYCHIATRIC SOCIAL WORKER II</v>
          </cell>
          <cell r="G3281" t="str">
            <v>9035A</v>
          </cell>
          <cell r="H3281">
            <v>5425.82</v>
          </cell>
          <cell r="I3281">
            <v>1</v>
          </cell>
          <cell r="J3281">
            <v>12</v>
          </cell>
          <cell r="K3281">
            <v>1</v>
          </cell>
          <cell r="L3281">
            <v>65109.84</v>
          </cell>
        </row>
        <row r="3282">
          <cell r="A3282">
            <v>109952</v>
          </cell>
          <cell r="B3282">
            <v>27576</v>
          </cell>
          <cell r="D3282" t="str">
            <v>sa4&amp;7</v>
          </cell>
          <cell r="E3282" t="str">
            <v>B</v>
          </cell>
          <cell r="F3282" t="str">
            <v xml:space="preserve">SR COMMUN MENTAL HLTH PSYCHOLOGIST </v>
          </cell>
          <cell r="G3282" t="str">
            <v>8712A</v>
          </cell>
          <cell r="H3282">
            <v>7311.45</v>
          </cell>
          <cell r="I3282">
            <v>1</v>
          </cell>
          <cell r="J3282">
            <v>12</v>
          </cell>
          <cell r="K3282">
            <v>1</v>
          </cell>
          <cell r="L3282">
            <v>87737.4</v>
          </cell>
        </row>
        <row r="3283">
          <cell r="A3283">
            <v>109949</v>
          </cell>
          <cell r="B3283">
            <v>27576</v>
          </cell>
          <cell r="D3283" t="str">
            <v>sa4&amp;7</v>
          </cell>
          <cell r="E3283" t="str">
            <v>B</v>
          </cell>
          <cell r="F3283" t="str">
            <v xml:space="preserve">STAFF ASSISTANT I                  </v>
          </cell>
          <cell r="G3283" t="str">
            <v>0907A</v>
          </cell>
          <cell r="H3283">
            <v>3453.18</v>
          </cell>
          <cell r="I3283">
            <v>1</v>
          </cell>
          <cell r="J3283">
            <v>12</v>
          </cell>
          <cell r="K3283">
            <v>1</v>
          </cell>
          <cell r="L3283">
            <v>41438.160000000003</v>
          </cell>
        </row>
        <row r="3284">
          <cell r="A3284">
            <v>109953</v>
          </cell>
          <cell r="B3284">
            <v>27576</v>
          </cell>
          <cell r="D3284" t="str">
            <v>sa4&amp;7</v>
          </cell>
          <cell r="E3284" t="str">
            <v>B</v>
          </cell>
          <cell r="F3284" t="str">
            <v>STUDENT WORKER</v>
          </cell>
          <cell r="G3284" t="str">
            <v>8242F</v>
          </cell>
          <cell r="H3284">
            <v>8.52</v>
          </cell>
          <cell r="I3284">
            <v>1</v>
          </cell>
          <cell r="J3284">
            <v>2088</v>
          </cell>
          <cell r="K3284">
            <v>0</v>
          </cell>
          <cell r="L3284">
            <v>17789.759999999998</v>
          </cell>
        </row>
        <row r="3285">
          <cell r="A3285">
            <v>109888</v>
          </cell>
          <cell r="B3285">
            <v>27593</v>
          </cell>
          <cell r="C3285">
            <v>27593</v>
          </cell>
          <cell r="D3285" t="str">
            <v>sa4&amp;7</v>
          </cell>
          <cell r="E3285" t="str">
            <v>B</v>
          </cell>
          <cell r="F3285" t="str">
            <v>MEDICAL CASE WORKER II</v>
          </cell>
          <cell r="G3285" t="str">
            <v>9002A</v>
          </cell>
          <cell r="H3285">
            <v>3938.82</v>
          </cell>
          <cell r="I3285">
            <v>1</v>
          </cell>
          <cell r="J3285">
            <v>12</v>
          </cell>
          <cell r="K3285">
            <v>1</v>
          </cell>
          <cell r="L3285">
            <v>47265.84</v>
          </cell>
        </row>
        <row r="3286">
          <cell r="A3286">
            <v>109889</v>
          </cell>
          <cell r="B3286">
            <v>27593</v>
          </cell>
          <cell r="C3286">
            <v>27593</v>
          </cell>
          <cell r="D3286" t="str">
            <v>sa4&amp;7</v>
          </cell>
          <cell r="E3286" t="str">
            <v>B</v>
          </cell>
          <cell r="F3286" t="str">
            <v>MEDICAL CASE WORKER II</v>
          </cell>
          <cell r="G3286" t="str">
            <v>9002A</v>
          </cell>
          <cell r="H3286">
            <v>3938.82</v>
          </cell>
          <cell r="I3286">
            <v>1</v>
          </cell>
          <cell r="J3286">
            <v>12</v>
          </cell>
          <cell r="K3286">
            <v>1</v>
          </cell>
          <cell r="L3286">
            <v>47265.84</v>
          </cell>
        </row>
        <row r="3287">
          <cell r="A3287">
            <v>109890</v>
          </cell>
          <cell r="B3287">
            <v>27593</v>
          </cell>
          <cell r="C3287">
            <v>27593</v>
          </cell>
          <cell r="D3287" t="str">
            <v>sa4&amp;7</v>
          </cell>
          <cell r="E3287" t="str">
            <v>B</v>
          </cell>
          <cell r="F3287" t="str">
            <v>MEDICAL CASE WORKER II</v>
          </cell>
          <cell r="G3287" t="str">
            <v>9002A</v>
          </cell>
          <cell r="H3287">
            <v>3938.82</v>
          </cell>
          <cell r="I3287">
            <v>1</v>
          </cell>
          <cell r="J3287">
            <v>12</v>
          </cell>
          <cell r="K3287">
            <v>1</v>
          </cell>
          <cell r="L3287">
            <v>47265.84</v>
          </cell>
        </row>
        <row r="3288">
          <cell r="A3288">
            <v>109891</v>
          </cell>
          <cell r="B3288">
            <v>27593</v>
          </cell>
          <cell r="C3288">
            <v>27593</v>
          </cell>
          <cell r="D3288" t="str">
            <v>sa4&amp;7</v>
          </cell>
          <cell r="E3288" t="str">
            <v>B</v>
          </cell>
          <cell r="F3288" t="str">
            <v>MEDICAL CASE WORKER II</v>
          </cell>
          <cell r="G3288" t="str">
            <v>9002A</v>
          </cell>
          <cell r="H3288">
            <v>3938.82</v>
          </cell>
          <cell r="I3288">
            <v>1</v>
          </cell>
          <cell r="J3288">
            <v>12</v>
          </cell>
          <cell r="K3288">
            <v>1</v>
          </cell>
          <cell r="L3288">
            <v>47265.84</v>
          </cell>
        </row>
        <row r="3289">
          <cell r="A3289">
            <v>109892</v>
          </cell>
          <cell r="B3289">
            <v>27593</v>
          </cell>
          <cell r="C3289">
            <v>27593</v>
          </cell>
          <cell r="D3289" t="str">
            <v>sa4&amp;7</v>
          </cell>
          <cell r="E3289" t="str">
            <v>B</v>
          </cell>
          <cell r="F3289" t="str">
            <v>MEDICAL CASE WORKER II</v>
          </cell>
          <cell r="G3289" t="str">
            <v>9002A</v>
          </cell>
          <cell r="H3289">
            <v>3938.82</v>
          </cell>
          <cell r="I3289">
            <v>1</v>
          </cell>
          <cell r="J3289">
            <v>12</v>
          </cell>
          <cell r="K3289">
            <v>1</v>
          </cell>
          <cell r="L3289">
            <v>47265.84</v>
          </cell>
        </row>
        <row r="3290">
          <cell r="A3290">
            <v>109829</v>
          </cell>
          <cell r="B3290">
            <v>27593</v>
          </cell>
          <cell r="D3290" t="str">
            <v>sa4&amp;7</v>
          </cell>
          <cell r="E3290" t="str">
            <v>B</v>
          </cell>
          <cell r="F3290" t="str">
            <v>PSYCHIATRIC SOCIAL WORKER II</v>
          </cell>
          <cell r="G3290" t="str">
            <v>9035A</v>
          </cell>
          <cell r="H3290">
            <v>5425.82</v>
          </cell>
          <cell r="I3290">
            <v>1</v>
          </cell>
          <cell r="J3290">
            <v>12</v>
          </cell>
          <cell r="K3290">
            <v>1</v>
          </cell>
          <cell r="L3290">
            <v>65109.84</v>
          </cell>
        </row>
        <row r="3291">
          <cell r="A3291">
            <v>109830</v>
          </cell>
          <cell r="B3291">
            <v>27593</v>
          </cell>
          <cell r="D3291" t="str">
            <v>sa4&amp;7</v>
          </cell>
          <cell r="E3291" t="str">
            <v>B</v>
          </cell>
          <cell r="F3291" t="str">
            <v>PSYCHIATRIC SOCIAL WORKER II</v>
          </cell>
          <cell r="G3291" t="str">
            <v>9035A</v>
          </cell>
          <cell r="H3291">
            <v>5425.82</v>
          </cell>
          <cell r="I3291">
            <v>1</v>
          </cell>
          <cell r="J3291">
            <v>12</v>
          </cell>
          <cell r="K3291">
            <v>1</v>
          </cell>
          <cell r="L3291">
            <v>65109.84</v>
          </cell>
        </row>
        <row r="3292">
          <cell r="A3292">
            <v>109831</v>
          </cell>
          <cell r="B3292">
            <v>27593</v>
          </cell>
          <cell r="D3292" t="str">
            <v>sa4&amp;7</v>
          </cell>
          <cell r="E3292" t="str">
            <v>B</v>
          </cell>
          <cell r="F3292" t="str">
            <v>PSYCHIATRIC SOCIAL WORKER II</v>
          </cell>
          <cell r="G3292" t="str">
            <v>9035A</v>
          </cell>
          <cell r="H3292">
            <v>5425.82</v>
          </cell>
          <cell r="I3292">
            <v>1</v>
          </cell>
          <cell r="J3292">
            <v>12</v>
          </cell>
          <cell r="K3292">
            <v>1</v>
          </cell>
          <cell r="L3292">
            <v>65109.84</v>
          </cell>
        </row>
        <row r="3293">
          <cell r="A3293">
            <v>109903</v>
          </cell>
          <cell r="B3293">
            <v>27593</v>
          </cell>
          <cell r="C3293">
            <v>27593</v>
          </cell>
          <cell r="D3293" t="str">
            <v>sa4&amp;7</v>
          </cell>
          <cell r="E3293" t="str">
            <v>B</v>
          </cell>
          <cell r="F3293" t="str">
            <v>PSYCHIATRIC SOCIAL WORKER II</v>
          </cell>
          <cell r="G3293" t="str">
            <v>9035A</v>
          </cell>
          <cell r="H3293">
            <v>5425.82</v>
          </cell>
          <cell r="I3293">
            <v>1</v>
          </cell>
          <cell r="J3293">
            <v>12</v>
          </cell>
          <cell r="K3293">
            <v>1</v>
          </cell>
          <cell r="L3293">
            <v>65109.84</v>
          </cell>
        </row>
        <row r="3294">
          <cell r="A3294">
            <v>109904</v>
          </cell>
          <cell r="B3294">
            <v>27593</v>
          </cell>
          <cell r="C3294">
            <v>27593</v>
          </cell>
          <cell r="D3294" t="str">
            <v>sa4&amp;7</v>
          </cell>
          <cell r="E3294" t="str">
            <v>B</v>
          </cell>
          <cell r="F3294" t="str">
            <v>PSYCHIATRIC SOCIAL WORKER II</v>
          </cell>
          <cell r="G3294" t="str">
            <v>9035A</v>
          </cell>
          <cell r="H3294">
            <v>5425.82</v>
          </cell>
          <cell r="I3294">
            <v>1</v>
          </cell>
          <cell r="J3294">
            <v>12</v>
          </cell>
          <cell r="K3294">
            <v>1</v>
          </cell>
          <cell r="L3294">
            <v>65109.84</v>
          </cell>
        </row>
        <row r="3295">
          <cell r="A3295">
            <v>109905</v>
          </cell>
          <cell r="B3295">
            <v>27593</v>
          </cell>
          <cell r="C3295">
            <v>27593</v>
          </cell>
          <cell r="D3295" t="str">
            <v>sa4&amp;7</v>
          </cell>
          <cell r="E3295" t="str">
            <v>B</v>
          </cell>
          <cell r="F3295" t="str">
            <v>PSYCHIATRIC SOCIAL WORKER II</v>
          </cell>
          <cell r="G3295" t="str">
            <v>9035A</v>
          </cell>
          <cell r="H3295">
            <v>5425.82</v>
          </cell>
          <cell r="I3295">
            <v>1</v>
          </cell>
          <cell r="J3295">
            <v>12</v>
          </cell>
          <cell r="K3295">
            <v>1</v>
          </cell>
          <cell r="L3295">
            <v>65109.84</v>
          </cell>
        </row>
        <row r="3296">
          <cell r="A3296">
            <v>109906</v>
          </cell>
          <cell r="B3296">
            <v>27593</v>
          </cell>
          <cell r="C3296">
            <v>27593</v>
          </cell>
          <cell r="D3296" t="str">
            <v>sa4&amp;7</v>
          </cell>
          <cell r="E3296" t="str">
            <v>B</v>
          </cell>
          <cell r="F3296" t="str">
            <v>PSYCHIATRIC SOCIAL WORKER II</v>
          </cell>
          <cell r="G3296" t="str">
            <v>9035A</v>
          </cell>
          <cell r="H3296">
            <v>5425.82</v>
          </cell>
          <cell r="I3296">
            <v>1</v>
          </cell>
          <cell r="J3296">
            <v>12</v>
          </cell>
          <cell r="K3296">
            <v>1</v>
          </cell>
          <cell r="L3296">
            <v>65109.84</v>
          </cell>
        </row>
        <row r="3297">
          <cell r="A3297">
            <v>109907</v>
          </cell>
          <cell r="B3297">
            <v>27593</v>
          </cell>
          <cell r="C3297">
            <v>27593</v>
          </cell>
          <cell r="D3297" t="str">
            <v>sa4&amp;7</v>
          </cell>
          <cell r="E3297" t="str">
            <v>B</v>
          </cell>
          <cell r="F3297" t="str">
            <v>PSYCHIATRIC SOCIAL WORKER II</v>
          </cell>
          <cell r="G3297" t="str">
            <v>9035A</v>
          </cell>
          <cell r="H3297">
            <v>5425.82</v>
          </cell>
          <cell r="I3297">
            <v>1</v>
          </cell>
          <cell r="J3297">
            <v>12</v>
          </cell>
          <cell r="K3297">
            <v>1</v>
          </cell>
          <cell r="L3297">
            <v>65109.84</v>
          </cell>
        </row>
        <row r="3298">
          <cell r="A3298">
            <v>109908</v>
          </cell>
          <cell r="B3298">
            <v>27593</v>
          </cell>
          <cell r="C3298">
            <v>27593</v>
          </cell>
          <cell r="D3298" t="str">
            <v>sa4&amp;7</v>
          </cell>
          <cell r="E3298" t="str">
            <v>B</v>
          </cell>
          <cell r="F3298" t="str">
            <v>PSYCHIATRIC SOCIAL WORKER II</v>
          </cell>
          <cell r="G3298" t="str">
            <v>9035A</v>
          </cell>
          <cell r="H3298">
            <v>5425.82</v>
          </cell>
          <cell r="I3298">
            <v>1</v>
          </cell>
          <cell r="J3298">
            <v>12</v>
          </cell>
          <cell r="K3298">
            <v>1</v>
          </cell>
          <cell r="L3298">
            <v>65109.84</v>
          </cell>
        </row>
        <row r="3299">
          <cell r="A3299">
            <v>109914</v>
          </cell>
          <cell r="B3299">
            <v>27593</v>
          </cell>
          <cell r="C3299">
            <v>27593</v>
          </cell>
          <cell r="D3299" t="str">
            <v>sa4&amp;7</v>
          </cell>
          <cell r="E3299" t="str">
            <v>B</v>
          </cell>
          <cell r="F3299" t="str">
            <v xml:space="preserve">SENIOR TYPIST-CLERK                </v>
          </cell>
          <cell r="G3299" t="str">
            <v>2216A</v>
          </cell>
          <cell r="H3299">
            <v>3013.55</v>
          </cell>
          <cell r="I3299">
            <v>1</v>
          </cell>
          <cell r="J3299">
            <v>12</v>
          </cell>
          <cell r="K3299">
            <v>1</v>
          </cell>
          <cell r="L3299">
            <v>36162.6</v>
          </cell>
        </row>
        <row r="3300">
          <cell r="A3300">
            <v>109915</v>
          </cell>
          <cell r="B3300">
            <v>27593</v>
          </cell>
          <cell r="C3300">
            <v>27593</v>
          </cell>
          <cell r="D3300" t="str">
            <v>sa4&amp;7</v>
          </cell>
          <cell r="E3300" t="str">
            <v>B</v>
          </cell>
          <cell r="F3300" t="str">
            <v xml:space="preserve">SENIOR TYPIST-CLERK                </v>
          </cell>
          <cell r="G3300" t="str">
            <v>2216A</v>
          </cell>
          <cell r="H3300">
            <v>3013.55</v>
          </cell>
          <cell r="I3300">
            <v>1</v>
          </cell>
          <cell r="J3300">
            <v>12</v>
          </cell>
          <cell r="K3300">
            <v>1</v>
          </cell>
          <cell r="L3300">
            <v>36162.6</v>
          </cell>
        </row>
        <row r="3301">
          <cell r="A3301">
            <v>109916</v>
          </cell>
          <cell r="B3301">
            <v>27593</v>
          </cell>
          <cell r="C3301">
            <v>27593</v>
          </cell>
          <cell r="D3301" t="str">
            <v>sa4&amp;7</v>
          </cell>
          <cell r="E3301" t="str">
            <v>B</v>
          </cell>
          <cell r="F3301" t="str">
            <v xml:space="preserve">SENIOR TYPIST-CLERK                </v>
          </cell>
          <cell r="G3301" t="str">
            <v>2216A</v>
          </cell>
          <cell r="H3301">
            <v>3013.55</v>
          </cell>
          <cell r="I3301">
            <v>1</v>
          </cell>
          <cell r="J3301">
            <v>12</v>
          </cell>
          <cell r="K3301">
            <v>1</v>
          </cell>
          <cell r="L3301">
            <v>36162.6</v>
          </cell>
        </row>
        <row r="3302">
          <cell r="A3302">
            <v>109864</v>
          </cell>
          <cell r="B3302">
            <v>27593</v>
          </cell>
          <cell r="C3302">
            <v>27593</v>
          </cell>
          <cell r="D3302" t="str">
            <v>sa4&amp;7</v>
          </cell>
          <cell r="E3302" t="str">
            <v>B</v>
          </cell>
          <cell r="F3302" t="str">
            <v xml:space="preserve">STAFF ASSISTANT II                 </v>
          </cell>
          <cell r="G3302" t="str">
            <v>0913A</v>
          </cell>
          <cell r="H3302">
            <v>4167.45</v>
          </cell>
          <cell r="I3302">
            <v>1</v>
          </cell>
          <cell r="J3302">
            <v>12</v>
          </cell>
          <cell r="K3302">
            <v>1</v>
          </cell>
          <cell r="L3302">
            <v>50009.4</v>
          </cell>
        </row>
        <row r="3303">
          <cell r="A3303">
            <v>109872</v>
          </cell>
          <cell r="B3303" t="str">
            <v>TBA</v>
          </cell>
          <cell r="C3303">
            <v>27593</v>
          </cell>
          <cell r="D3303" t="str">
            <v>sa4&amp;7</v>
          </cell>
          <cell r="E3303" t="str">
            <v>B</v>
          </cell>
          <cell r="F3303" t="str">
            <v xml:space="preserve">SUPVG PSYCHIATRIC SOCIAL WORKER    </v>
          </cell>
          <cell r="G3303" t="str">
            <v>9038A</v>
          </cell>
          <cell r="H3303">
            <v>6062.45</v>
          </cell>
          <cell r="I3303">
            <v>1</v>
          </cell>
          <cell r="J3303">
            <v>12</v>
          </cell>
          <cell r="K3303">
            <v>1</v>
          </cell>
          <cell r="L3303">
            <v>72749.399999999994</v>
          </cell>
        </row>
        <row r="3304">
          <cell r="A3304">
            <v>109873</v>
          </cell>
          <cell r="B3304">
            <v>27593</v>
          </cell>
          <cell r="C3304">
            <v>27593</v>
          </cell>
          <cell r="D3304" t="str">
            <v>sa4&amp;7</v>
          </cell>
          <cell r="E3304" t="str">
            <v>B</v>
          </cell>
          <cell r="F3304" t="str">
            <v xml:space="preserve">SUPVG PSYCHIATRIC SOCIAL WORKER    </v>
          </cell>
          <cell r="G3304" t="str">
            <v>9038A</v>
          </cell>
          <cell r="H3304">
            <v>6062.45</v>
          </cell>
          <cell r="I3304">
            <v>1</v>
          </cell>
          <cell r="J3304">
            <v>12</v>
          </cell>
          <cell r="K3304">
            <v>1</v>
          </cell>
          <cell r="L3304">
            <v>72749.399999999994</v>
          </cell>
        </row>
        <row r="3305">
          <cell r="A3305">
            <v>109874</v>
          </cell>
          <cell r="B3305">
            <v>27593</v>
          </cell>
          <cell r="C3305">
            <v>27593</v>
          </cell>
          <cell r="D3305" t="str">
            <v>sa4&amp;7</v>
          </cell>
          <cell r="E3305" t="str">
            <v>B</v>
          </cell>
          <cell r="F3305" t="str">
            <v xml:space="preserve">SUPVG PSYCHIATRIC SOCIAL WORKER    </v>
          </cell>
          <cell r="G3305" t="str">
            <v>9038A</v>
          </cell>
          <cell r="H3305">
            <v>6062.45</v>
          </cell>
          <cell r="I3305">
            <v>1</v>
          </cell>
          <cell r="J3305">
            <v>12</v>
          </cell>
          <cell r="K3305">
            <v>1</v>
          </cell>
          <cell r="L3305">
            <v>72749.399999999994</v>
          </cell>
        </row>
        <row r="3306">
          <cell r="A3306">
            <v>109921</v>
          </cell>
          <cell r="B3306">
            <v>27593</v>
          </cell>
          <cell r="C3306">
            <v>27593</v>
          </cell>
          <cell r="D3306" t="str">
            <v>sa4&amp;7</v>
          </cell>
          <cell r="E3306" t="str">
            <v>B</v>
          </cell>
          <cell r="F3306" t="str">
            <v>TRAINING COORDINATOR, MH</v>
          </cell>
          <cell r="G3306" t="str">
            <v>1865A</v>
          </cell>
          <cell r="H3306">
            <v>6062.45</v>
          </cell>
          <cell r="I3306">
            <v>1</v>
          </cell>
          <cell r="J3306">
            <v>12</v>
          </cell>
          <cell r="K3306">
            <v>1</v>
          </cell>
          <cell r="L3306">
            <v>72749.399999999994</v>
          </cell>
        </row>
        <row r="3307">
          <cell r="A3307">
            <v>109491</v>
          </cell>
          <cell r="B3307">
            <v>32082</v>
          </cell>
          <cell r="D3307" t="str">
            <v>sa4&amp;7</v>
          </cell>
          <cell r="E3307" t="str">
            <v>M</v>
          </cell>
          <cell r="F3307" t="str">
            <v>COMMUNITY WORKER</v>
          </cell>
          <cell r="G3307" t="str">
            <v>8103A</v>
          </cell>
          <cell r="H3307">
            <v>2984.09</v>
          </cell>
          <cell r="I3307">
            <v>1</v>
          </cell>
          <cell r="J3307">
            <v>6</v>
          </cell>
          <cell r="K3307">
            <v>0.5</v>
          </cell>
          <cell r="L3307">
            <v>17904.54</v>
          </cell>
        </row>
        <row r="3308">
          <cell r="A3308">
            <v>109492</v>
          </cell>
          <cell r="B3308">
            <v>32082</v>
          </cell>
          <cell r="D3308" t="str">
            <v>sa4&amp;7</v>
          </cell>
          <cell r="E3308" t="str">
            <v>M</v>
          </cell>
          <cell r="F3308" t="str">
            <v>COMMUNITY WORKER</v>
          </cell>
          <cell r="G3308" t="str">
            <v>8103A</v>
          </cell>
          <cell r="H3308">
            <v>2984.09</v>
          </cell>
          <cell r="I3308">
            <v>1</v>
          </cell>
          <cell r="J3308">
            <v>6</v>
          </cell>
          <cell r="K3308">
            <v>0.5</v>
          </cell>
          <cell r="L3308">
            <v>17904.54</v>
          </cell>
        </row>
        <row r="3309">
          <cell r="A3309">
            <v>109493</v>
          </cell>
          <cell r="B3309">
            <v>32082</v>
          </cell>
          <cell r="D3309" t="str">
            <v>sa4&amp;7</v>
          </cell>
          <cell r="E3309" t="str">
            <v>M</v>
          </cell>
          <cell r="F3309" t="str">
            <v>COMMUNITY WORKER</v>
          </cell>
          <cell r="G3309" t="str">
            <v>8103A</v>
          </cell>
          <cell r="H3309">
            <v>2984.09</v>
          </cell>
          <cell r="I3309">
            <v>1</v>
          </cell>
          <cell r="J3309">
            <v>6</v>
          </cell>
          <cell r="K3309">
            <v>0.5</v>
          </cell>
          <cell r="L3309">
            <v>17904.54</v>
          </cell>
        </row>
        <row r="3310">
          <cell r="A3310">
            <v>109494</v>
          </cell>
          <cell r="B3310">
            <v>32082</v>
          </cell>
          <cell r="D3310" t="str">
            <v>sa4&amp;7</v>
          </cell>
          <cell r="E3310" t="str">
            <v>M</v>
          </cell>
          <cell r="F3310" t="str">
            <v>COMMUNITY WORKER</v>
          </cell>
          <cell r="G3310" t="str">
            <v>8103A</v>
          </cell>
          <cell r="H3310">
            <v>2984.09</v>
          </cell>
          <cell r="I3310">
            <v>1</v>
          </cell>
          <cell r="J3310">
            <v>6</v>
          </cell>
          <cell r="K3310">
            <v>0.5</v>
          </cell>
          <cell r="L3310">
            <v>17904.54</v>
          </cell>
        </row>
        <row r="3311">
          <cell r="A3311">
            <v>109495</v>
          </cell>
          <cell r="B3311">
            <v>32082</v>
          </cell>
          <cell r="D3311" t="str">
            <v>sa4&amp;7</v>
          </cell>
          <cell r="E3311" t="str">
            <v>M</v>
          </cell>
          <cell r="F3311" t="str">
            <v>COMMUNITY WORKER</v>
          </cell>
          <cell r="G3311" t="str">
            <v>8103A</v>
          </cell>
          <cell r="H3311">
            <v>2984.09</v>
          </cell>
          <cell r="I3311">
            <v>1</v>
          </cell>
          <cell r="J3311">
            <v>6</v>
          </cell>
          <cell r="K3311">
            <v>0.5</v>
          </cell>
          <cell r="L3311">
            <v>17904.54</v>
          </cell>
        </row>
        <row r="3312">
          <cell r="A3312">
            <v>109496</v>
          </cell>
          <cell r="B3312">
            <v>32082</v>
          </cell>
          <cell r="D3312" t="str">
            <v>sa4&amp;7</v>
          </cell>
          <cell r="E3312" t="str">
            <v>M</v>
          </cell>
          <cell r="F3312" t="str">
            <v>PSYCHIATRIC SOCIAL WORKER II</v>
          </cell>
          <cell r="G3312" t="str">
            <v>9035A</v>
          </cell>
          <cell r="H3312">
            <v>5425.82</v>
          </cell>
          <cell r="I3312">
            <v>1</v>
          </cell>
          <cell r="J3312">
            <v>12</v>
          </cell>
          <cell r="K3312">
            <v>1</v>
          </cell>
          <cell r="L3312">
            <v>65109.84</v>
          </cell>
        </row>
        <row r="3313">
          <cell r="A3313">
            <v>109497</v>
          </cell>
          <cell r="B3313">
            <v>32082</v>
          </cell>
          <cell r="D3313" t="str">
            <v>sa4&amp;7</v>
          </cell>
          <cell r="E3313" t="str">
            <v>M</v>
          </cell>
          <cell r="F3313" t="str">
            <v>PSYCHIATRIC SOCIAL WORKER II</v>
          </cell>
          <cell r="G3313" t="str">
            <v>9035A</v>
          </cell>
          <cell r="H3313">
            <v>5425.82</v>
          </cell>
          <cell r="I3313">
            <v>1</v>
          </cell>
          <cell r="J3313">
            <v>12</v>
          </cell>
          <cell r="K3313">
            <v>1</v>
          </cell>
          <cell r="L3313">
            <v>65109.84</v>
          </cell>
        </row>
        <row r="3314">
          <cell r="A3314">
            <v>109498</v>
          </cell>
          <cell r="B3314">
            <v>32082</v>
          </cell>
          <cell r="D3314" t="str">
            <v>sa4&amp;7</v>
          </cell>
          <cell r="E3314" t="str">
            <v>M</v>
          </cell>
          <cell r="F3314" t="str">
            <v>PSYCHIATRIC SOCIAL WORKER II</v>
          </cell>
          <cell r="G3314" t="str">
            <v>9035A</v>
          </cell>
          <cell r="H3314">
            <v>5425.82</v>
          </cell>
          <cell r="I3314">
            <v>1</v>
          </cell>
          <cell r="J3314">
            <v>12</v>
          </cell>
          <cell r="K3314">
            <v>1</v>
          </cell>
          <cell r="L3314">
            <v>65109.84</v>
          </cell>
        </row>
        <row r="3315">
          <cell r="A3315">
            <v>109499</v>
          </cell>
          <cell r="B3315">
            <v>32082</v>
          </cell>
          <cell r="D3315" t="str">
            <v>sa4&amp;7</v>
          </cell>
          <cell r="E3315" t="str">
            <v>M</v>
          </cell>
          <cell r="F3315" t="str">
            <v>PSYCHIATRIC SOCIAL WORKER II</v>
          </cell>
          <cell r="G3315" t="str">
            <v>9035A</v>
          </cell>
          <cell r="H3315">
            <v>5425.82</v>
          </cell>
          <cell r="I3315">
            <v>1</v>
          </cell>
          <cell r="J3315">
            <v>12</v>
          </cell>
          <cell r="K3315">
            <v>1</v>
          </cell>
          <cell r="L3315">
            <v>65109.84</v>
          </cell>
        </row>
        <row r="3316">
          <cell r="A3316">
            <v>109500</v>
          </cell>
          <cell r="B3316">
            <v>32082</v>
          </cell>
          <cell r="D3316" t="str">
            <v>sa4&amp;7</v>
          </cell>
          <cell r="E3316" t="str">
            <v>M</v>
          </cell>
          <cell r="F3316" t="str">
            <v>PSYCHIATRIC SOCIAL WORKER II</v>
          </cell>
          <cell r="G3316" t="str">
            <v>9035A</v>
          </cell>
          <cell r="H3316">
            <v>5425.82</v>
          </cell>
          <cell r="I3316">
            <v>1</v>
          </cell>
          <cell r="J3316">
            <v>12</v>
          </cell>
          <cell r="K3316">
            <v>1</v>
          </cell>
          <cell r="L3316">
            <v>65109.84</v>
          </cell>
        </row>
        <row r="3317">
          <cell r="A3317">
            <v>109501</v>
          </cell>
          <cell r="B3317">
            <v>32082</v>
          </cell>
          <cell r="D3317" t="str">
            <v>sa4&amp;7</v>
          </cell>
          <cell r="E3317" t="str">
            <v>M</v>
          </cell>
          <cell r="F3317" t="str">
            <v>PSYCHIATRIC SOCIAL WORKER II</v>
          </cell>
          <cell r="G3317" t="str">
            <v>9035A</v>
          </cell>
          <cell r="H3317">
            <v>5425.82</v>
          </cell>
          <cell r="I3317">
            <v>1</v>
          </cell>
          <cell r="J3317">
            <v>12</v>
          </cell>
          <cell r="K3317">
            <v>1</v>
          </cell>
          <cell r="L3317">
            <v>65109.84</v>
          </cell>
        </row>
        <row r="3318">
          <cell r="A3318">
            <v>110285</v>
          </cell>
          <cell r="B3318">
            <v>32082</v>
          </cell>
          <cell r="D3318" t="str">
            <v>sa4&amp;7</v>
          </cell>
          <cell r="E3318" t="str">
            <v>M</v>
          </cell>
          <cell r="F3318" t="str">
            <v>PSYCHIATRIC SOCIAL WORKER II</v>
          </cell>
          <cell r="G3318" t="str">
            <v>9035A</v>
          </cell>
          <cell r="H3318">
            <v>5425.82</v>
          </cell>
          <cell r="I3318">
            <v>1</v>
          </cell>
          <cell r="J3318">
            <v>12</v>
          </cell>
          <cell r="K3318">
            <v>1</v>
          </cell>
          <cell r="L3318">
            <v>65109.84</v>
          </cell>
        </row>
        <row r="3319">
          <cell r="A3319">
            <v>110286</v>
          </cell>
          <cell r="B3319">
            <v>32082</v>
          </cell>
          <cell r="D3319" t="str">
            <v>sa4&amp;7</v>
          </cell>
          <cell r="E3319" t="str">
            <v>M</v>
          </cell>
          <cell r="F3319" t="str">
            <v>PSYCHIATRIC SOCIAL WORKER II</v>
          </cell>
          <cell r="G3319" t="str">
            <v>9035A</v>
          </cell>
          <cell r="H3319">
            <v>5425.82</v>
          </cell>
          <cell r="I3319">
            <v>1</v>
          </cell>
          <cell r="J3319">
            <v>12</v>
          </cell>
          <cell r="K3319">
            <v>1</v>
          </cell>
          <cell r="L3319">
            <v>65109.84</v>
          </cell>
        </row>
        <row r="3320">
          <cell r="A3320">
            <v>110289</v>
          </cell>
          <cell r="B3320">
            <v>32082</v>
          </cell>
          <cell r="D3320" t="str">
            <v>sa4&amp;7</v>
          </cell>
          <cell r="E3320" t="str">
            <v>M</v>
          </cell>
          <cell r="F3320" t="str">
            <v>COMMUNITY WORKER</v>
          </cell>
          <cell r="G3320" t="str">
            <v>8103A</v>
          </cell>
          <cell r="H3320">
            <v>2984.09</v>
          </cell>
          <cell r="I3320">
            <v>1</v>
          </cell>
          <cell r="J3320">
            <v>12</v>
          </cell>
          <cell r="K3320">
            <v>1</v>
          </cell>
          <cell r="L3320">
            <v>35809.08</v>
          </cell>
        </row>
        <row r="3321">
          <cell r="A3321">
            <v>110290</v>
          </cell>
          <cell r="B3321">
            <v>32082</v>
          </cell>
          <cell r="D3321" t="str">
            <v>sa4&amp;7</v>
          </cell>
          <cell r="E3321" t="str">
            <v>M</v>
          </cell>
          <cell r="F3321" t="str">
            <v>COMMUNITY WORKER</v>
          </cell>
          <cell r="G3321" t="str">
            <v>8103A</v>
          </cell>
          <cell r="H3321">
            <v>2984.09</v>
          </cell>
          <cell r="I3321">
            <v>1</v>
          </cell>
          <cell r="J3321">
            <v>12</v>
          </cell>
          <cell r="K3321">
            <v>1</v>
          </cell>
          <cell r="L3321">
            <v>35809.08</v>
          </cell>
        </row>
        <row r="3322">
          <cell r="A3322">
            <v>110291</v>
          </cell>
          <cell r="B3322">
            <v>32082</v>
          </cell>
          <cell r="D3322" t="str">
            <v>sa4&amp;7</v>
          </cell>
          <cell r="E3322" t="str">
            <v>M</v>
          </cell>
          <cell r="F3322" t="str">
            <v>COMMUNITY WORKER</v>
          </cell>
          <cell r="G3322" t="str">
            <v>8103A</v>
          </cell>
          <cell r="H3322">
            <v>2984.09</v>
          </cell>
          <cell r="I3322">
            <v>1</v>
          </cell>
          <cell r="J3322">
            <v>6</v>
          </cell>
          <cell r="K3322">
            <v>0.5</v>
          </cell>
          <cell r="L3322">
            <v>17904.54</v>
          </cell>
        </row>
        <row r="3323">
          <cell r="A3323">
            <v>110287</v>
          </cell>
          <cell r="B3323">
            <v>32082</v>
          </cell>
          <cell r="D3323" t="str">
            <v>sa4&amp;7</v>
          </cell>
          <cell r="E3323" t="str">
            <v>M</v>
          </cell>
          <cell r="F3323" t="str">
            <v xml:space="preserve">SUPVG PSYCHIATRIC SOCIAL WORKER    </v>
          </cell>
          <cell r="G3323" t="str">
            <v>9038A</v>
          </cell>
          <cell r="H3323">
            <v>6062.45</v>
          </cell>
          <cell r="I3323">
            <v>1</v>
          </cell>
          <cell r="J3323">
            <v>12</v>
          </cell>
          <cell r="K3323">
            <v>1</v>
          </cell>
          <cell r="L3323">
            <v>72749.399999999994</v>
          </cell>
        </row>
        <row r="3324">
          <cell r="A3324">
            <v>110288</v>
          </cell>
          <cell r="B3324">
            <v>32082</v>
          </cell>
          <cell r="D3324" t="str">
            <v>sa4&amp;7</v>
          </cell>
          <cell r="E3324" t="str">
            <v>M</v>
          </cell>
          <cell r="F3324" t="str">
            <v xml:space="preserve">SUPVG PSYCHIATRIC SOCIAL WORKER    </v>
          </cell>
          <cell r="G3324" t="str">
            <v>9038A</v>
          </cell>
          <cell r="H3324">
            <v>6062.45</v>
          </cell>
          <cell r="I3324">
            <v>1</v>
          </cell>
          <cell r="J3324">
            <v>12</v>
          </cell>
          <cell r="K3324">
            <v>1</v>
          </cell>
          <cell r="L3324">
            <v>72749.399999999994</v>
          </cell>
        </row>
        <row r="3325">
          <cell r="A3325">
            <v>101967</v>
          </cell>
          <cell r="B3325">
            <v>20525</v>
          </cell>
          <cell r="C3325">
            <v>20499</v>
          </cell>
          <cell r="D3325" t="str">
            <v>older</v>
          </cell>
          <cell r="E3325" t="str">
            <v>B</v>
          </cell>
          <cell r="F3325" t="str">
            <v>CLINICAL PSYCHOLOGIST II</v>
          </cell>
          <cell r="G3325" t="str">
            <v>8697A</v>
          </cell>
          <cell r="H3325">
            <v>6993.82</v>
          </cell>
          <cell r="I3325">
            <v>1</v>
          </cell>
          <cell r="J3325">
            <v>12</v>
          </cell>
          <cell r="K3325">
            <v>1</v>
          </cell>
          <cell r="L3325">
            <v>83925.52</v>
          </cell>
        </row>
        <row r="3326">
          <cell r="A3326">
            <v>102909</v>
          </cell>
          <cell r="B3326">
            <v>20676</v>
          </cell>
          <cell r="C3326">
            <v>20499</v>
          </cell>
          <cell r="D3326" t="str">
            <v>older</v>
          </cell>
          <cell r="E3326" t="str">
            <v>B</v>
          </cell>
          <cell r="F3326" t="str">
            <v>CLINICAL PSYCHOLOGIST II</v>
          </cell>
          <cell r="G3326" t="str">
            <v>8697A</v>
          </cell>
          <cell r="H3326">
            <v>6993.82</v>
          </cell>
          <cell r="I3326">
            <v>1</v>
          </cell>
          <cell r="J3326">
            <v>12</v>
          </cell>
          <cell r="K3326">
            <v>1</v>
          </cell>
          <cell r="L3326">
            <v>83925.52</v>
          </cell>
        </row>
        <row r="3327">
          <cell r="A3327">
            <v>104266</v>
          </cell>
          <cell r="B3327">
            <v>20469</v>
          </cell>
          <cell r="C3327">
            <v>20499</v>
          </cell>
          <cell r="D3327" t="str">
            <v>older</v>
          </cell>
          <cell r="E3327" t="str">
            <v>B</v>
          </cell>
          <cell r="F3327" t="str">
            <v>CLINICAL PSYCHOLOGIST II</v>
          </cell>
          <cell r="G3327" t="str">
            <v>8697A</v>
          </cell>
          <cell r="H3327">
            <v>6993.82</v>
          </cell>
          <cell r="I3327">
            <v>1</v>
          </cell>
          <cell r="J3327">
            <v>12</v>
          </cell>
          <cell r="K3327">
            <v>1</v>
          </cell>
          <cell r="L3327">
            <v>83925.52</v>
          </cell>
        </row>
        <row r="3328">
          <cell r="A3328">
            <v>104403</v>
          </cell>
          <cell r="B3328">
            <v>20499</v>
          </cell>
          <cell r="C3328">
            <v>20499</v>
          </cell>
          <cell r="D3328" t="str">
            <v>older</v>
          </cell>
          <cell r="E3328" t="str">
            <v>B</v>
          </cell>
          <cell r="F3328" t="str">
            <v>CLINICAL PSYCHOLOGIST II</v>
          </cell>
          <cell r="G3328" t="str">
            <v>8697A</v>
          </cell>
          <cell r="H3328">
            <v>6993.82</v>
          </cell>
          <cell r="I3328">
            <v>1</v>
          </cell>
          <cell r="J3328">
            <v>6</v>
          </cell>
          <cell r="K3328">
            <v>0.5</v>
          </cell>
          <cell r="L3328">
            <v>41962.76</v>
          </cell>
        </row>
        <row r="3329">
          <cell r="A3329">
            <v>105073</v>
          </cell>
          <cell r="B3329">
            <v>18588</v>
          </cell>
          <cell r="C3329">
            <v>20499</v>
          </cell>
          <cell r="D3329" t="str">
            <v>older</v>
          </cell>
          <cell r="E3329" t="str">
            <v>B</v>
          </cell>
          <cell r="F3329" t="str">
            <v>CLINICAL PSYCHOLOGIST II</v>
          </cell>
          <cell r="G3329" t="str">
            <v>8697A</v>
          </cell>
          <cell r="H3329">
            <v>6993.82</v>
          </cell>
          <cell r="I3329">
            <v>1</v>
          </cell>
          <cell r="J3329">
            <v>12</v>
          </cell>
          <cell r="K3329">
            <v>1</v>
          </cell>
          <cell r="L3329">
            <v>83925.52</v>
          </cell>
        </row>
        <row r="3330">
          <cell r="A3330">
            <v>107336</v>
          </cell>
          <cell r="B3330">
            <v>21557</v>
          </cell>
          <cell r="C3330">
            <v>20499</v>
          </cell>
          <cell r="D3330" t="str">
            <v>older</v>
          </cell>
          <cell r="E3330" t="str">
            <v>B</v>
          </cell>
          <cell r="F3330" t="str">
            <v>CLINICAL PSYCHOLOGIST II</v>
          </cell>
          <cell r="G3330" t="str">
            <v>8697A</v>
          </cell>
          <cell r="H3330">
            <v>6993.82</v>
          </cell>
          <cell r="I3330">
            <v>1</v>
          </cell>
          <cell r="J3330">
            <v>12</v>
          </cell>
          <cell r="K3330">
            <v>1</v>
          </cell>
          <cell r="L3330">
            <v>83925.52</v>
          </cell>
        </row>
        <row r="3331">
          <cell r="A3331">
            <v>100358</v>
          </cell>
          <cell r="B3331">
            <v>20499</v>
          </cell>
          <cell r="C3331">
            <v>20499</v>
          </cell>
          <cell r="D3331" t="str">
            <v>older</v>
          </cell>
          <cell r="E3331" t="str">
            <v>B</v>
          </cell>
          <cell r="F3331" t="str">
            <v>INTERMEDIATE TYPIST-CLERK</v>
          </cell>
          <cell r="G3331" t="str">
            <v>2214A</v>
          </cell>
          <cell r="H3331">
            <v>2675.27</v>
          </cell>
          <cell r="I3331">
            <v>1</v>
          </cell>
          <cell r="J3331">
            <v>12</v>
          </cell>
          <cell r="K3331">
            <v>1</v>
          </cell>
          <cell r="L3331">
            <v>32103.16</v>
          </cell>
        </row>
        <row r="3332">
          <cell r="A3332">
            <v>101935</v>
          </cell>
          <cell r="B3332">
            <v>20499</v>
          </cell>
          <cell r="C3332">
            <v>20499</v>
          </cell>
          <cell r="D3332" t="str">
            <v>older</v>
          </cell>
          <cell r="E3332" t="str">
            <v>B</v>
          </cell>
          <cell r="F3332" t="str">
            <v>INTERMEDIATE TYPIST-CLERK</v>
          </cell>
          <cell r="G3332" t="str">
            <v>2214A</v>
          </cell>
          <cell r="H3332">
            <v>2675.27</v>
          </cell>
          <cell r="I3332">
            <v>1</v>
          </cell>
          <cell r="J3332">
            <v>12</v>
          </cell>
          <cell r="K3332">
            <v>1</v>
          </cell>
          <cell r="L3332">
            <v>32103.16</v>
          </cell>
        </row>
        <row r="3333">
          <cell r="A3333">
            <v>102437</v>
          </cell>
          <cell r="B3333">
            <v>20499</v>
          </cell>
          <cell r="C3333">
            <v>20499</v>
          </cell>
          <cell r="D3333" t="str">
            <v>older</v>
          </cell>
          <cell r="E3333" t="str">
            <v>B</v>
          </cell>
          <cell r="F3333" t="str">
            <v>INTERMEDIATE TYPIST-CLERK</v>
          </cell>
          <cell r="G3333" t="str">
            <v>2214A</v>
          </cell>
          <cell r="H3333">
            <v>2675.27</v>
          </cell>
          <cell r="I3333">
            <v>1</v>
          </cell>
          <cell r="J3333">
            <v>12</v>
          </cell>
          <cell r="K3333">
            <v>1</v>
          </cell>
          <cell r="L3333">
            <v>32103.16</v>
          </cell>
        </row>
        <row r="3334">
          <cell r="A3334">
            <v>102438</v>
          </cell>
          <cell r="B3334">
            <v>20499</v>
          </cell>
          <cell r="C3334">
            <v>20499</v>
          </cell>
          <cell r="D3334" t="str">
            <v>older</v>
          </cell>
          <cell r="E3334" t="str">
            <v>B</v>
          </cell>
          <cell r="F3334" t="str">
            <v>INTERMEDIATE TYPIST-CLERK</v>
          </cell>
          <cell r="G3334" t="str">
            <v>2214A</v>
          </cell>
          <cell r="H3334">
            <v>2675.27</v>
          </cell>
          <cell r="I3334">
            <v>1</v>
          </cell>
          <cell r="J3334">
            <v>12</v>
          </cell>
          <cell r="K3334">
            <v>1</v>
          </cell>
          <cell r="L3334">
            <v>32103.16</v>
          </cell>
        </row>
        <row r="3335">
          <cell r="A3335">
            <v>102660</v>
          </cell>
          <cell r="B3335">
            <v>23017</v>
          </cell>
          <cell r="C3335">
            <v>20499</v>
          </cell>
          <cell r="D3335" t="str">
            <v>older</v>
          </cell>
          <cell r="E3335" t="str">
            <v>B</v>
          </cell>
          <cell r="F3335" t="str">
            <v>INTERMEDIATE TYPIST-CLERK</v>
          </cell>
          <cell r="G3335" t="str">
            <v>2214A</v>
          </cell>
          <cell r="H3335">
            <v>2675.27</v>
          </cell>
          <cell r="I3335">
            <v>1</v>
          </cell>
          <cell r="J3335">
            <v>12</v>
          </cell>
          <cell r="K3335">
            <v>1</v>
          </cell>
          <cell r="L3335">
            <v>32103.16</v>
          </cell>
        </row>
        <row r="3336">
          <cell r="A3336">
            <v>104153</v>
          </cell>
          <cell r="B3336">
            <v>20499</v>
          </cell>
          <cell r="C3336">
            <v>20499</v>
          </cell>
          <cell r="D3336" t="str">
            <v>older</v>
          </cell>
          <cell r="E3336" t="str">
            <v>B</v>
          </cell>
          <cell r="F3336" t="str">
            <v>INTERMEDIATE TYPIST-CLERK</v>
          </cell>
          <cell r="G3336" t="str">
            <v>2214A</v>
          </cell>
          <cell r="H3336">
            <v>2675.27</v>
          </cell>
          <cell r="I3336">
            <v>1</v>
          </cell>
          <cell r="J3336">
            <v>12</v>
          </cell>
          <cell r="K3336">
            <v>1</v>
          </cell>
          <cell r="L3336">
            <v>32103.16</v>
          </cell>
        </row>
        <row r="3337">
          <cell r="A3337">
            <v>104664</v>
          </cell>
          <cell r="B3337">
            <v>20499</v>
          </cell>
          <cell r="C3337">
            <v>20499</v>
          </cell>
          <cell r="D3337" t="str">
            <v>older</v>
          </cell>
          <cell r="E3337" t="str">
            <v>B</v>
          </cell>
          <cell r="F3337" t="str">
            <v>INTERMEDIATE TYPIST-CLERK</v>
          </cell>
          <cell r="G3337" t="str">
            <v>2214A</v>
          </cell>
          <cell r="H3337">
            <v>2675.27</v>
          </cell>
          <cell r="I3337">
            <v>1</v>
          </cell>
          <cell r="J3337">
            <v>12</v>
          </cell>
          <cell r="K3337">
            <v>1</v>
          </cell>
          <cell r="L3337">
            <v>32103.16</v>
          </cell>
        </row>
        <row r="3338">
          <cell r="A3338">
            <v>104986</v>
          </cell>
          <cell r="B3338">
            <v>20499</v>
          </cell>
          <cell r="C3338">
            <v>20499</v>
          </cell>
          <cell r="D3338" t="str">
            <v>older</v>
          </cell>
          <cell r="E3338" t="str">
            <v>B</v>
          </cell>
          <cell r="F3338" t="str">
            <v>INTERMEDIATE TYPIST-CLERK</v>
          </cell>
          <cell r="G3338" t="str">
            <v>2214A</v>
          </cell>
          <cell r="H3338">
            <v>2675.27</v>
          </cell>
          <cell r="I3338">
            <v>1</v>
          </cell>
          <cell r="J3338">
            <v>4</v>
          </cell>
          <cell r="K3338">
            <v>0.33333333333333331</v>
          </cell>
          <cell r="L3338">
            <v>10700.72</v>
          </cell>
        </row>
        <row r="3339">
          <cell r="A3339">
            <v>109184</v>
          </cell>
          <cell r="B3339">
            <v>27506</v>
          </cell>
          <cell r="C3339">
            <v>20499</v>
          </cell>
          <cell r="D3339" t="str">
            <v>older</v>
          </cell>
          <cell r="E3339" t="str">
            <v>B</v>
          </cell>
          <cell r="F3339" t="str">
            <v>INTERMEDIATE TYPIST-CLERK</v>
          </cell>
          <cell r="G3339" t="str">
            <v>2214A</v>
          </cell>
          <cell r="H3339">
            <v>2675.27</v>
          </cell>
          <cell r="I3339">
            <v>1</v>
          </cell>
          <cell r="J3339">
            <v>12</v>
          </cell>
          <cell r="K3339">
            <v>1</v>
          </cell>
          <cell r="L3339">
            <v>32103.16</v>
          </cell>
        </row>
        <row r="3340">
          <cell r="A3340">
            <v>109659</v>
          </cell>
          <cell r="B3340">
            <v>20499</v>
          </cell>
          <cell r="C3340">
            <v>20499</v>
          </cell>
          <cell r="D3340" t="str">
            <v>older</v>
          </cell>
          <cell r="E3340" t="str">
            <v>B</v>
          </cell>
          <cell r="F3340" t="str">
            <v>INTERMEDIATE TYPIST-CLERK</v>
          </cell>
          <cell r="G3340" t="str">
            <v>2214A</v>
          </cell>
          <cell r="H3340">
            <v>2675.27</v>
          </cell>
          <cell r="I3340">
            <v>1</v>
          </cell>
          <cell r="J3340">
            <v>12</v>
          </cell>
          <cell r="K3340">
            <v>1</v>
          </cell>
          <cell r="L3340">
            <v>32103.24</v>
          </cell>
        </row>
        <row r="3341">
          <cell r="A3341">
            <v>109660</v>
          </cell>
          <cell r="B3341">
            <v>20499</v>
          </cell>
          <cell r="C3341">
            <v>20499</v>
          </cell>
          <cell r="D3341" t="str">
            <v>older</v>
          </cell>
          <cell r="E3341" t="str">
            <v>B</v>
          </cell>
          <cell r="F3341" t="str">
            <v>INTERMEDIATE TYPIST-CLERK</v>
          </cell>
          <cell r="G3341" t="str">
            <v>2214A</v>
          </cell>
          <cell r="H3341">
            <v>2675.27</v>
          </cell>
          <cell r="I3341">
            <v>1</v>
          </cell>
          <cell r="J3341">
            <v>12</v>
          </cell>
          <cell r="K3341">
            <v>1</v>
          </cell>
          <cell r="L3341">
            <v>32103.24</v>
          </cell>
        </row>
        <row r="3342">
          <cell r="A3342">
            <v>109661</v>
          </cell>
          <cell r="B3342">
            <v>20499</v>
          </cell>
          <cell r="C3342">
            <v>20499</v>
          </cell>
          <cell r="D3342" t="str">
            <v>older</v>
          </cell>
          <cell r="E3342" t="str">
            <v>B</v>
          </cell>
          <cell r="F3342" t="str">
            <v>INTERMEDIATE TYPIST-CLERK</v>
          </cell>
          <cell r="G3342" t="str">
            <v>2214A</v>
          </cell>
          <cell r="H3342">
            <v>2675.27</v>
          </cell>
          <cell r="I3342">
            <v>1</v>
          </cell>
          <cell r="J3342">
            <v>12</v>
          </cell>
          <cell r="K3342">
            <v>1</v>
          </cell>
          <cell r="L3342">
            <v>32103.24</v>
          </cell>
        </row>
        <row r="3343">
          <cell r="A3343">
            <v>102440</v>
          </cell>
          <cell r="B3343">
            <v>20499</v>
          </cell>
          <cell r="C3343">
            <v>20499</v>
          </cell>
          <cell r="D3343" t="str">
            <v>older</v>
          </cell>
          <cell r="E3343" t="str">
            <v>B</v>
          </cell>
          <cell r="F3343" t="str">
            <v>MEDICAL CASE WORKER II</v>
          </cell>
          <cell r="G3343" t="str">
            <v>9002A</v>
          </cell>
          <cell r="H3343">
            <v>3938.82</v>
          </cell>
          <cell r="I3343">
            <v>1</v>
          </cell>
          <cell r="J3343">
            <v>12</v>
          </cell>
          <cell r="K3343">
            <v>1</v>
          </cell>
          <cell r="L3343">
            <v>47265.68</v>
          </cell>
        </row>
        <row r="3344">
          <cell r="A3344">
            <v>109195</v>
          </cell>
          <cell r="B3344">
            <v>27506</v>
          </cell>
          <cell r="C3344">
            <v>20499</v>
          </cell>
          <cell r="D3344" t="str">
            <v>older</v>
          </cell>
          <cell r="E3344" t="str">
            <v>B</v>
          </cell>
          <cell r="F3344" t="str">
            <v>MEDICAL CASE WORKER II</v>
          </cell>
          <cell r="G3344" t="str">
            <v>9002A</v>
          </cell>
          <cell r="H3344">
            <v>3938.82</v>
          </cell>
          <cell r="I3344">
            <v>1</v>
          </cell>
          <cell r="J3344">
            <v>12</v>
          </cell>
          <cell r="K3344">
            <v>1</v>
          </cell>
          <cell r="L3344">
            <v>47265.68</v>
          </cell>
        </row>
        <row r="3345">
          <cell r="A3345">
            <v>104037</v>
          </cell>
          <cell r="B3345">
            <v>20923</v>
          </cell>
          <cell r="C3345">
            <v>20499</v>
          </cell>
          <cell r="D3345" t="str">
            <v>older</v>
          </cell>
          <cell r="E3345" t="str">
            <v>B</v>
          </cell>
          <cell r="F3345" t="str">
            <v xml:space="preserve">MENTAL HEALTH ANALYST I            </v>
          </cell>
          <cell r="G3345" t="str">
            <v>4727A</v>
          </cell>
          <cell r="H3345">
            <v>5602.09</v>
          </cell>
          <cell r="I3345">
            <v>1</v>
          </cell>
          <cell r="J3345">
            <v>12</v>
          </cell>
          <cell r="K3345">
            <v>1</v>
          </cell>
          <cell r="L3345">
            <v>67225.16</v>
          </cell>
        </row>
        <row r="3346">
          <cell r="A3346">
            <v>100620</v>
          </cell>
          <cell r="B3346">
            <v>20499</v>
          </cell>
          <cell r="C3346">
            <v>20499</v>
          </cell>
          <cell r="D3346" t="str">
            <v>older</v>
          </cell>
          <cell r="E3346" t="str">
            <v>B</v>
          </cell>
          <cell r="F3346" t="str">
            <v>MENTAL HEALTH COUNSELOR, RN</v>
          </cell>
          <cell r="G3346" t="str">
            <v>5278A</v>
          </cell>
          <cell r="H3346">
            <v>6275.27</v>
          </cell>
          <cell r="I3346">
            <v>1</v>
          </cell>
          <cell r="J3346">
            <v>12</v>
          </cell>
          <cell r="K3346">
            <v>1</v>
          </cell>
          <cell r="L3346">
            <v>76804.323333333334</v>
          </cell>
        </row>
        <row r="3347">
          <cell r="A3347">
            <v>101925</v>
          </cell>
          <cell r="B3347">
            <v>20499</v>
          </cell>
          <cell r="C3347">
            <v>20499</v>
          </cell>
          <cell r="D3347" t="str">
            <v>older</v>
          </cell>
          <cell r="E3347" t="str">
            <v>B</v>
          </cell>
          <cell r="F3347" t="str">
            <v>MENTAL HEALTH COUNSELOR, RN</v>
          </cell>
          <cell r="G3347" t="str">
            <v>5278A</v>
          </cell>
          <cell r="H3347">
            <v>6275.27</v>
          </cell>
          <cell r="I3347">
            <v>1</v>
          </cell>
          <cell r="J3347">
            <v>12</v>
          </cell>
          <cell r="K3347">
            <v>1</v>
          </cell>
          <cell r="L3347">
            <v>76804.323333333334</v>
          </cell>
        </row>
        <row r="3348">
          <cell r="A3348">
            <v>102705</v>
          </cell>
          <cell r="B3348">
            <v>20499</v>
          </cell>
          <cell r="C3348">
            <v>20499</v>
          </cell>
          <cell r="D3348" t="str">
            <v>older</v>
          </cell>
          <cell r="E3348" t="str">
            <v>B</v>
          </cell>
          <cell r="F3348" t="str">
            <v>MENTAL HEALTH COUNSELOR, RN</v>
          </cell>
          <cell r="G3348" t="str">
            <v>5278A</v>
          </cell>
          <cell r="H3348">
            <v>6275.27</v>
          </cell>
          <cell r="I3348">
            <v>1</v>
          </cell>
          <cell r="J3348">
            <v>12</v>
          </cell>
          <cell r="K3348">
            <v>1</v>
          </cell>
          <cell r="L3348">
            <v>76804.323333333334</v>
          </cell>
        </row>
        <row r="3349">
          <cell r="A3349">
            <v>103885</v>
          </cell>
          <cell r="B3349">
            <v>20499</v>
          </cell>
          <cell r="C3349">
            <v>20499</v>
          </cell>
          <cell r="D3349" t="str">
            <v>older</v>
          </cell>
          <cell r="E3349" t="str">
            <v>B</v>
          </cell>
          <cell r="F3349" t="str">
            <v>MENTAL HEALTH COUNSELOR, RN</v>
          </cell>
          <cell r="G3349" t="str">
            <v>5278A</v>
          </cell>
          <cell r="H3349">
            <v>6275.27</v>
          </cell>
          <cell r="I3349">
            <v>1</v>
          </cell>
          <cell r="J3349">
            <v>6</v>
          </cell>
          <cell r="K3349">
            <v>0.5</v>
          </cell>
          <cell r="L3349">
            <v>38402.161666666667</v>
          </cell>
        </row>
        <row r="3350">
          <cell r="A3350">
            <v>104662</v>
          </cell>
          <cell r="B3350">
            <v>20499</v>
          </cell>
          <cell r="C3350">
            <v>20499</v>
          </cell>
          <cell r="D3350" t="str">
            <v>older</v>
          </cell>
          <cell r="E3350" t="str">
            <v>B</v>
          </cell>
          <cell r="F3350" t="str">
            <v>MENTAL HEALTH COUNSELOR, RN</v>
          </cell>
          <cell r="G3350" t="str">
            <v>5278A</v>
          </cell>
          <cell r="H3350">
            <v>6275.27</v>
          </cell>
          <cell r="I3350">
            <v>1</v>
          </cell>
          <cell r="J3350">
            <v>12</v>
          </cell>
          <cell r="K3350">
            <v>1</v>
          </cell>
          <cell r="L3350">
            <v>76804.323333333334</v>
          </cell>
        </row>
        <row r="3351">
          <cell r="A3351">
            <v>100726</v>
          </cell>
          <cell r="B3351">
            <v>20499</v>
          </cell>
          <cell r="C3351">
            <v>20499</v>
          </cell>
          <cell r="D3351" t="str">
            <v>older</v>
          </cell>
          <cell r="E3351" t="str">
            <v>B</v>
          </cell>
          <cell r="F3351" t="str">
            <v>MENTAL HEALTH PSYCHIATRIST</v>
          </cell>
          <cell r="G3351" t="str">
            <v>4735A</v>
          </cell>
          <cell r="H3351">
            <v>12844</v>
          </cell>
          <cell r="I3351">
            <v>1</v>
          </cell>
          <cell r="J3351">
            <v>12</v>
          </cell>
          <cell r="K3351">
            <v>1</v>
          </cell>
          <cell r="L3351">
            <v>154128</v>
          </cell>
        </row>
        <row r="3352">
          <cell r="A3352">
            <v>101909</v>
          </cell>
          <cell r="B3352">
            <v>20499</v>
          </cell>
          <cell r="C3352">
            <v>20499</v>
          </cell>
          <cell r="D3352" t="str">
            <v>older</v>
          </cell>
          <cell r="E3352" t="str">
            <v>B</v>
          </cell>
          <cell r="F3352" t="str">
            <v>MENTAL HEALTH PSYCHIATRIST</v>
          </cell>
          <cell r="G3352" t="str">
            <v>4735A</v>
          </cell>
          <cell r="H3352">
            <v>12844</v>
          </cell>
          <cell r="I3352">
            <v>1</v>
          </cell>
          <cell r="J3352">
            <v>12</v>
          </cell>
          <cell r="K3352">
            <v>1</v>
          </cell>
          <cell r="L3352">
            <v>154128</v>
          </cell>
        </row>
        <row r="3353">
          <cell r="A3353">
            <v>101923</v>
          </cell>
          <cell r="B3353">
            <v>20499</v>
          </cell>
          <cell r="C3353">
            <v>20499</v>
          </cell>
          <cell r="D3353" t="str">
            <v>older</v>
          </cell>
          <cell r="E3353" t="str">
            <v>B</v>
          </cell>
          <cell r="F3353" t="str">
            <v>MENTAL HEALTH PSYCHIATRIST</v>
          </cell>
          <cell r="G3353" t="str">
            <v>4735A</v>
          </cell>
          <cell r="H3353">
            <v>12844</v>
          </cell>
          <cell r="I3353">
            <v>1</v>
          </cell>
          <cell r="J3353">
            <v>12</v>
          </cell>
          <cell r="K3353">
            <v>1</v>
          </cell>
          <cell r="L3353">
            <v>154128</v>
          </cell>
        </row>
        <row r="3354">
          <cell r="A3354">
            <v>102691</v>
          </cell>
          <cell r="B3354">
            <v>20452</v>
          </cell>
          <cell r="C3354">
            <v>20499</v>
          </cell>
          <cell r="D3354" t="str">
            <v>older</v>
          </cell>
          <cell r="E3354" t="str">
            <v>B</v>
          </cell>
          <cell r="F3354" t="str">
            <v>MENTAL HEALTH PSYCHIATRIST</v>
          </cell>
          <cell r="G3354" t="str">
            <v>4735A</v>
          </cell>
          <cell r="H3354">
            <v>12844</v>
          </cell>
          <cell r="I3354">
            <v>1</v>
          </cell>
          <cell r="J3354">
            <v>12</v>
          </cell>
          <cell r="K3354">
            <v>1</v>
          </cell>
          <cell r="L3354">
            <v>154128</v>
          </cell>
        </row>
        <row r="3355">
          <cell r="A3355">
            <v>104270</v>
          </cell>
          <cell r="B3355">
            <v>20499</v>
          </cell>
          <cell r="C3355">
            <v>20499</v>
          </cell>
          <cell r="D3355" t="str">
            <v>older</v>
          </cell>
          <cell r="E3355" t="str">
            <v>B</v>
          </cell>
          <cell r="F3355" t="str">
            <v>MENTAL HEALTH PSYCHIATRIST</v>
          </cell>
          <cell r="G3355" t="str">
            <v>4735A</v>
          </cell>
          <cell r="H3355">
            <v>12844</v>
          </cell>
          <cell r="I3355">
            <v>1</v>
          </cell>
          <cell r="J3355">
            <v>12</v>
          </cell>
          <cell r="K3355">
            <v>1</v>
          </cell>
          <cell r="L3355">
            <v>154128</v>
          </cell>
        </row>
        <row r="3356">
          <cell r="A3356">
            <v>104404</v>
          </cell>
          <cell r="B3356">
            <v>20499</v>
          </cell>
          <cell r="C3356">
            <v>20499</v>
          </cell>
          <cell r="D3356" t="str">
            <v>older</v>
          </cell>
          <cell r="E3356" t="str">
            <v>B</v>
          </cell>
          <cell r="F3356" t="str">
            <v>MENTAL HEALTH PSYCHIATRIST</v>
          </cell>
          <cell r="G3356" t="str">
            <v>4735A</v>
          </cell>
          <cell r="H3356">
            <v>12844</v>
          </cell>
          <cell r="I3356">
            <v>1</v>
          </cell>
          <cell r="J3356">
            <v>12</v>
          </cell>
          <cell r="K3356">
            <v>1</v>
          </cell>
          <cell r="L3356">
            <v>154128</v>
          </cell>
        </row>
        <row r="3357">
          <cell r="A3357">
            <v>104981</v>
          </cell>
          <cell r="B3357">
            <v>20499</v>
          </cell>
          <cell r="C3357">
            <v>20499</v>
          </cell>
          <cell r="D3357" t="str">
            <v>older</v>
          </cell>
          <cell r="E3357" t="str">
            <v>B</v>
          </cell>
          <cell r="F3357" t="str">
            <v>MENTAL HEALTH PSYCHIATRIST</v>
          </cell>
          <cell r="G3357" t="str">
            <v>4735A</v>
          </cell>
          <cell r="H3357">
            <v>12844</v>
          </cell>
          <cell r="I3357">
            <v>1</v>
          </cell>
          <cell r="J3357">
            <v>2</v>
          </cell>
          <cell r="K3357">
            <v>0.16666666666666666</v>
          </cell>
          <cell r="L3357">
            <v>25688</v>
          </cell>
        </row>
        <row r="3358">
          <cell r="A3358">
            <v>103630</v>
          </cell>
          <cell r="B3358">
            <v>20499</v>
          </cell>
          <cell r="C3358">
            <v>20499</v>
          </cell>
          <cell r="D3358" t="str">
            <v>older</v>
          </cell>
          <cell r="E3358" t="str">
            <v>B</v>
          </cell>
          <cell r="F3358" t="str">
            <v>MENTAL HEALTH SERVICES COORD II</v>
          </cell>
          <cell r="G3358" t="str">
            <v>8149A</v>
          </cell>
          <cell r="H3358">
            <v>5152.3599999999997</v>
          </cell>
          <cell r="I3358">
            <v>1</v>
          </cell>
          <cell r="J3358">
            <v>12</v>
          </cell>
          <cell r="K3358">
            <v>1</v>
          </cell>
          <cell r="L3358">
            <v>61828.72</v>
          </cell>
        </row>
        <row r="3359">
          <cell r="A3359">
            <v>103886</v>
          </cell>
          <cell r="B3359">
            <v>20499</v>
          </cell>
          <cell r="C3359">
            <v>20499</v>
          </cell>
          <cell r="D3359" t="str">
            <v>older</v>
          </cell>
          <cell r="E3359" t="str">
            <v>B</v>
          </cell>
          <cell r="F3359" t="str">
            <v>MENTAL HEALTH SERVICES COORD II</v>
          </cell>
          <cell r="G3359" t="str">
            <v>8149A</v>
          </cell>
          <cell r="H3359">
            <v>5152.3599999999997</v>
          </cell>
          <cell r="I3359">
            <v>1</v>
          </cell>
          <cell r="J3359">
            <v>12</v>
          </cell>
          <cell r="K3359">
            <v>1</v>
          </cell>
          <cell r="L3359">
            <v>61828.72</v>
          </cell>
        </row>
        <row r="3360">
          <cell r="A3360">
            <v>102447</v>
          </cell>
          <cell r="B3360">
            <v>20499</v>
          </cell>
          <cell r="C3360">
            <v>20499</v>
          </cell>
          <cell r="D3360" t="str">
            <v>older</v>
          </cell>
          <cell r="E3360" t="str">
            <v>B</v>
          </cell>
          <cell r="F3360" t="str">
            <v>MENTAL HLTH CLINICAL DIST CHIEF</v>
          </cell>
          <cell r="G3360" t="str">
            <v>4722A</v>
          </cell>
          <cell r="H3360">
            <v>10074</v>
          </cell>
          <cell r="I3360">
            <v>1</v>
          </cell>
          <cell r="J3360">
            <v>12</v>
          </cell>
          <cell r="K3360">
            <v>1</v>
          </cell>
          <cell r="L3360">
            <v>120887.6</v>
          </cell>
        </row>
        <row r="3361">
          <cell r="A3361">
            <v>104984</v>
          </cell>
          <cell r="B3361">
            <v>20499</v>
          </cell>
          <cell r="C3361">
            <v>20499</v>
          </cell>
          <cell r="D3361" t="str">
            <v>older</v>
          </cell>
          <cell r="E3361" t="str">
            <v>B</v>
          </cell>
          <cell r="F3361" t="str">
            <v>MNTL HLTH CLINICAL PROGRAM HEAD</v>
          </cell>
          <cell r="G3361" t="str">
            <v>4726A</v>
          </cell>
          <cell r="H3361">
            <v>8709.73</v>
          </cell>
          <cell r="I3361">
            <v>1</v>
          </cell>
          <cell r="J3361">
            <v>12</v>
          </cell>
          <cell r="K3361">
            <v>1</v>
          </cell>
          <cell r="L3361">
            <v>104516.76</v>
          </cell>
        </row>
        <row r="3362">
          <cell r="A3362">
            <v>108077</v>
          </cell>
          <cell r="B3362">
            <v>23036</v>
          </cell>
          <cell r="C3362">
            <v>20499</v>
          </cell>
          <cell r="D3362" t="str">
            <v>older</v>
          </cell>
          <cell r="E3362" t="str">
            <v>B</v>
          </cell>
          <cell r="F3362" t="str">
            <v>NURSE PRACTITIONER</v>
          </cell>
          <cell r="G3362" t="str">
            <v>5121A</v>
          </cell>
          <cell r="H3362">
            <v>7239.09</v>
          </cell>
          <cell r="I3362">
            <v>1</v>
          </cell>
          <cell r="J3362">
            <v>12</v>
          </cell>
          <cell r="K3362">
            <v>1</v>
          </cell>
          <cell r="L3362">
            <v>88606.080000000002</v>
          </cell>
        </row>
        <row r="3363">
          <cell r="A3363">
            <v>106311</v>
          </cell>
          <cell r="B3363">
            <v>20488</v>
          </cell>
          <cell r="C3363">
            <v>20499</v>
          </cell>
          <cell r="D3363" t="str">
            <v>older</v>
          </cell>
          <cell r="E3363" t="str">
            <v>B</v>
          </cell>
          <cell r="F3363" t="str">
            <v xml:space="preserve">OCCUPATIONAL THERAPIST II          </v>
          </cell>
          <cell r="G3363" t="str">
            <v>5857A</v>
          </cell>
          <cell r="H3363">
            <v>6416.09</v>
          </cell>
          <cell r="I3363">
            <v>1</v>
          </cell>
          <cell r="J3363">
            <v>12</v>
          </cell>
          <cell r="K3363">
            <v>1</v>
          </cell>
          <cell r="L3363">
            <v>76993.16</v>
          </cell>
        </row>
        <row r="3364">
          <cell r="A3364">
            <v>102607</v>
          </cell>
          <cell r="B3364">
            <v>20499</v>
          </cell>
          <cell r="C3364">
            <v>20499</v>
          </cell>
          <cell r="D3364" t="str">
            <v>older</v>
          </cell>
          <cell r="E3364" t="str">
            <v>B</v>
          </cell>
          <cell r="F3364" t="str">
            <v xml:space="preserve">PATIENT FINANCIAL SERVICES WORKER  </v>
          </cell>
          <cell r="G3364" t="str">
            <v>9193A</v>
          </cell>
          <cell r="H3364">
            <v>3403.55</v>
          </cell>
          <cell r="I3364">
            <v>1</v>
          </cell>
          <cell r="J3364">
            <v>12</v>
          </cell>
          <cell r="K3364">
            <v>1</v>
          </cell>
          <cell r="L3364">
            <v>40842.6</v>
          </cell>
        </row>
        <row r="3365">
          <cell r="A3365">
            <v>109749</v>
          </cell>
          <cell r="B3365">
            <v>20499</v>
          </cell>
          <cell r="C3365">
            <v>20499</v>
          </cell>
          <cell r="D3365" t="str">
            <v>older</v>
          </cell>
          <cell r="E3365" t="str">
            <v>B</v>
          </cell>
          <cell r="F3365" t="str">
            <v>PATIENT RESOURCES WORKER</v>
          </cell>
          <cell r="G3365" t="str">
            <v>9192A</v>
          </cell>
          <cell r="H3365">
            <v>2748.27</v>
          </cell>
          <cell r="I3365">
            <v>1</v>
          </cell>
          <cell r="J3365">
            <v>12</v>
          </cell>
          <cell r="K3365">
            <v>1</v>
          </cell>
          <cell r="L3365">
            <v>32979.24</v>
          </cell>
        </row>
        <row r="3366">
          <cell r="A3366">
            <v>100972</v>
          </cell>
          <cell r="B3366">
            <v>20499</v>
          </cell>
          <cell r="C3366">
            <v>20499</v>
          </cell>
          <cell r="D3366" t="str">
            <v>older</v>
          </cell>
          <cell r="E3366" t="str">
            <v>B</v>
          </cell>
          <cell r="F3366" t="str">
            <v>PSYCHIATRIC SOCIAL WORKER II</v>
          </cell>
          <cell r="G3366" t="str">
            <v>9035A</v>
          </cell>
          <cell r="H3366">
            <v>5425.82</v>
          </cell>
          <cell r="I3366">
            <v>1</v>
          </cell>
          <cell r="J3366">
            <v>12</v>
          </cell>
          <cell r="K3366">
            <v>1</v>
          </cell>
          <cell r="L3366">
            <v>65109.84</v>
          </cell>
        </row>
        <row r="3367">
          <cell r="A3367">
            <v>101934</v>
          </cell>
          <cell r="B3367">
            <v>23010</v>
          </cell>
          <cell r="C3367">
            <v>20499</v>
          </cell>
          <cell r="D3367" t="str">
            <v>older</v>
          </cell>
          <cell r="E3367" t="str">
            <v>B</v>
          </cell>
          <cell r="F3367" t="str">
            <v>PSYCHIATRIC SOCIAL WORKER II</v>
          </cell>
          <cell r="G3367" t="str">
            <v>9035A</v>
          </cell>
          <cell r="H3367">
            <v>5425.82</v>
          </cell>
          <cell r="I3367">
            <v>1</v>
          </cell>
          <cell r="J3367">
            <v>12</v>
          </cell>
          <cell r="K3367">
            <v>1</v>
          </cell>
          <cell r="L3367">
            <v>65109.84</v>
          </cell>
        </row>
        <row r="3368">
          <cell r="A3368">
            <v>102443</v>
          </cell>
          <cell r="B3368">
            <v>20499</v>
          </cell>
          <cell r="C3368">
            <v>20499</v>
          </cell>
          <cell r="D3368" t="str">
            <v>older</v>
          </cell>
          <cell r="E3368" t="str">
            <v>B</v>
          </cell>
          <cell r="F3368" t="str">
            <v>PSYCHIATRIC SOCIAL WORKER II</v>
          </cell>
          <cell r="G3368" t="str">
            <v>9035A</v>
          </cell>
          <cell r="H3368">
            <v>5425.82</v>
          </cell>
          <cell r="I3368">
            <v>1</v>
          </cell>
          <cell r="J3368">
            <v>12</v>
          </cell>
          <cell r="K3368">
            <v>1</v>
          </cell>
          <cell r="L3368">
            <v>65109.84</v>
          </cell>
        </row>
        <row r="3369">
          <cell r="A3369">
            <v>102446</v>
          </cell>
          <cell r="B3369">
            <v>20499</v>
          </cell>
          <cell r="C3369">
            <v>20499</v>
          </cell>
          <cell r="D3369" t="str">
            <v>older</v>
          </cell>
          <cell r="E3369" t="str">
            <v>B</v>
          </cell>
          <cell r="F3369" t="str">
            <v>PSYCHIATRIC SOCIAL WORKER II</v>
          </cell>
          <cell r="G3369" t="str">
            <v>9035A</v>
          </cell>
          <cell r="H3369">
            <v>5425.82</v>
          </cell>
          <cell r="I3369">
            <v>1</v>
          </cell>
          <cell r="J3369">
            <v>12</v>
          </cell>
          <cell r="K3369">
            <v>1</v>
          </cell>
          <cell r="L3369">
            <v>65109.84</v>
          </cell>
        </row>
        <row r="3370">
          <cell r="A3370">
            <v>103887</v>
          </cell>
          <cell r="B3370">
            <v>20499</v>
          </cell>
          <cell r="C3370">
            <v>20499</v>
          </cell>
          <cell r="D3370" t="str">
            <v>older</v>
          </cell>
          <cell r="E3370" t="str">
            <v>B</v>
          </cell>
          <cell r="F3370" t="str">
            <v>PSYCHIATRIC SOCIAL WORKER II</v>
          </cell>
          <cell r="G3370" t="str">
            <v>9035A</v>
          </cell>
          <cell r="H3370">
            <v>5425.82</v>
          </cell>
          <cell r="I3370">
            <v>1</v>
          </cell>
          <cell r="J3370">
            <v>12</v>
          </cell>
          <cell r="K3370">
            <v>1</v>
          </cell>
          <cell r="L3370">
            <v>65109.84</v>
          </cell>
        </row>
        <row r="3371">
          <cell r="A3371">
            <v>103889</v>
          </cell>
          <cell r="B3371">
            <v>20499</v>
          </cell>
          <cell r="C3371">
            <v>20499</v>
          </cell>
          <cell r="D3371" t="str">
            <v>older</v>
          </cell>
          <cell r="E3371" t="str">
            <v>B</v>
          </cell>
          <cell r="F3371" t="str">
            <v>PSYCHIATRIC SOCIAL WORKER II</v>
          </cell>
          <cell r="G3371" t="str">
            <v>9035A</v>
          </cell>
          <cell r="H3371">
            <v>5425.82</v>
          </cell>
          <cell r="I3371">
            <v>1</v>
          </cell>
          <cell r="J3371">
            <v>12</v>
          </cell>
          <cell r="K3371">
            <v>1</v>
          </cell>
          <cell r="L3371">
            <v>65109.84</v>
          </cell>
        </row>
        <row r="3372">
          <cell r="A3372">
            <v>104154</v>
          </cell>
          <cell r="B3372">
            <v>20499</v>
          </cell>
          <cell r="C3372">
            <v>20499</v>
          </cell>
          <cell r="D3372" t="str">
            <v>older</v>
          </cell>
          <cell r="E3372" t="str">
            <v>B</v>
          </cell>
          <cell r="F3372" t="str">
            <v>PSYCHIATRIC SOCIAL WORKER II</v>
          </cell>
          <cell r="G3372" t="str">
            <v>9035A</v>
          </cell>
          <cell r="H3372">
            <v>5425.82</v>
          </cell>
          <cell r="I3372">
            <v>1</v>
          </cell>
          <cell r="J3372">
            <v>12</v>
          </cell>
          <cell r="K3372">
            <v>1</v>
          </cell>
          <cell r="L3372">
            <v>65109.84</v>
          </cell>
        </row>
        <row r="3373">
          <cell r="A3373">
            <v>104402</v>
          </cell>
          <cell r="B3373">
            <v>20499</v>
          </cell>
          <cell r="C3373">
            <v>20499</v>
          </cell>
          <cell r="D3373" t="str">
            <v>older</v>
          </cell>
          <cell r="E3373" t="str">
            <v>B</v>
          </cell>
          <cell r="F3373" t="str">
            <v>PSYCHIATRIC SOCIAL WORKER II</v>
          </cell>
          <cell r="G3373" t="str">
            <v>9035A</v>
          </cell>
          <cell r="H3373">
            <v>5425.82</v>
          </cell>
          <cell r="I3373">
            <v>1</v>
          </cell>
          <cell r="J3373">
            <v>12</v>
          </cell>
          <cell r="K3373">
            <v>1</v>
          </cell>
          <cell r="L3373">
            <v>65109.84</v>
          </cell>
        </row>
        <row r="3374">
          <cell r="A3374">
            <v>104732</v>
          </cell>
          <cell r="B3374">
            <v>23007</v>
          </cell>
          <cell r="C3374">
            <v>20499</v>
          </cell>
          <cell r="D3374" t="str">
            <v>older</v>
          </cell>
          <cell r="E3374" t="str">
            <v>B</v>
          </cell>
          <cell r="F3374" t="str">
            <v>PSYCHIATRIC SOCIAL WORKER II</v>
          </cell>
          <cell r="G3374" t="str">
            <v>9035A</v>
          </cell>
          <cell r="H3374">
            <v>5425.82</v>
          </cell>
          <cell r="I3374">
            <v>1</v>
          </cell>
          <cell r="J3374">
            <v>12</v>
          </cell>
          <cell r="K3374">
            <v>1</v>
          </cell>
          <cell r="L3374">
            <v>65109.84</v>
          </cell>
        </row>
        <row r="3375">
          <cell r="A3375">
            <v>106033</v>
          </cell>
          <cell r="B3375">
            <v>21533</v>
          </cell>
          <cell r="C3375">
            <v>20499</v>
          </cell>
          <cell r="D3375" t="str">
            <v>older</v>
          </cell>
          <cell r="E3375" t="str">
            <v>B</v>
          </cell>
          <cell r="F3375" t="str">
            <v>PSYCHIATRIC SOCIAL WORKER II</v>
          </cell>
          <cell r="G3375" t="str">
            <v>9035A</v>
          </cell>
          <cell r="H3375">
            <v>5425.82</v>
          </cell>
          <cell r="I3375">
            <v>1</v>
          </cell>
          <cell r="J3375">
            <v>12</v>
          </cell>
          <cell r="K3375">
            <v>1</v>
          </cell>
          <cell r="L3375">
            <v>65109.84</v>
          </cell>
        </row>
        <row r="3376">
          <cell r="A3376">
            <v>103070</v>
          </cell>
          <cell r="B3376">
            <v>18598</v>
          </cell>
          <cell r="C3376">
            <v>20499</v>
          </cell>
          <cell r="D3376" t="str">
            <v>older</v>
          </cell>
          <cell r="E3376" t="str">
            <v>B</v>
          </cell>
          <cell r="F3376" t="str">
            <v>PSYCHIATRIC TECHNICIAN II</v>
          </cell>
          <cell r="G3376" t="str">
            <v>8162A</v>
          </cell>
          <cell r="H3376">
            <v>3420.09</v>
          </cell>
          <cell r="I3376">
            <v>1</v>
          </cell>
          <cell r="J3376">
            <v>12</v>
          </cell>
          <cell r="K3376">
            <v>1</v>
          </cell>
          <cell r="L3376">
            <v>41041.08</v>
          </cell>
        </row>
        <row r="3377">
          <cell r="A3377">
            <v>107541</v>
          </cell>
          <cell r="B3377">
            <v>18587</v>
          </cell>
          <cell r="C3377">
            <v>20499</v>
          </cell>
          <cell r="D3377" t="str">
            <v>older</v>
          </cell>
          <cell r="E3377" t="str">
            <v>B</v>
          </cell>
          <cell r="F3377" t="str">
            <v>PSYCHIATRIC TECHNICIAN II</v>
          </cell>
          <cell r="G3377" t="str">
            <v>8162A</v>
          </cell>
          <cell r="H3377">
            <v>3420.09</v>
          </cell>
          <cell r="I3377">
            <v>1</v>
          </cell>
          <cell r="J3377">
            <v>12</v>
          </cell>
          <cell r="K3377">
            <v>1</v>
          </cell>
          <cell r="L3377">
            <v>41041.08</v>
          </cell>
        </row>
        <row r="3378">
          <cell r="A3378">
            <v>103066</v>
          </cell>
          <cell r="B3378">
            <v>18598</v>
          </cell>
          <cell r="C3378">
            <v>20499</v>
          </cell>
          <cell r="D3378" t="str">
            <v>older</v>
          </cell>
          <cell r="E3378" t="str">
            <v>B</v>
          </cell>
          <cell r="F3378" t="str">
            <v>PSYCHIATRIC TECHNICIAN III</v>
          </cell>
          <cell r="G3378" t="str">
            <v>8163A</v>
          </cell>
          <cell r="H3378">
            <v>3705.73</v>
          </cell>
          <cell r="I3378">
            <v>1</v>
          </cell>
          <cell r="J3378">
            <v>12</v>
          </cell>
          <cell r="K3378">
            <v>1</v>
          </cell>
          <cell r="L3378">
            <v>44468.76</v>
          </cell>
        </row>
        <row r="3379">
          <cell r="A3379">
            <v>102707</v>
          </cell>
          <cell r="B3379">
            <v>20499</v>
          </cell>
          <cell r="C3379">
            <v>20499</v>
          </cell>
          <cell r="D3379" t="str">
            <v>older</v>
          </cell>
          <cell r="E3379" t="str">
            <v>B</v>
          </cell>
          <cell r="F3379" t="str">
            <v>RECREATION THERAPIST II</v>
          </cell>
          <cell r="G3379" t="str">
            <v>5872A</v>
          </cell>
          <cell r="H3379">
            <v>4667.6400000000003</v>
          </cell>
          <cell r="I3379">
            <v>1</v>
          </cell>
          <cell r="J3379">
            <v>12</v>
          </cell>
          <cell r="K3379">
            <v>1</v>
          </cell>
          <cell r="L3379">
            <v>56011.68</v>
          </cell>
        </row>
        <row r="3380">
          <cell r="A3380">
            <v>101373</v>
          </cell>
          <cell r="B3380">
            <v>20499</v>
          </cell>
          <cell r="C3380">
            <v>20499</v>
          </cell>
          <cell r="D3380" t="str">
            <v>older</v>
          </cell>
          <cell r="E3380" t="str">
            <v>B</v>
          </cell>
          <cell r="F3380" t="str">
            <v xml:space="preserve">RECREATION THERAPY SUPERVISOR      </v>
          </cell>
          <cell r="G3380" t="str">
            <v>5873A</v>
          </cell>
          <cell r="H3380">
            <v>4989.45</v>
          </cell>
          <cell r="I3380">
            <v>1</v>
          </cell>
          <cell r="J3380">
            <v>12</v>
          </cell>
          <cell r="K3380">
            <v>1</v>
          </cell>
          <cell r="L3380">
            <v>59873.4</v>
          </cell>
        </row>
        <row r="3381">
          <cell r="A3381">
            <v>104985</v>
          </cell>
          <cell r="B3381">
            <v>20499</v>
          </cell>
          <cell r="C3381">
            <v>20499</v>
          </cell>
          <cell r="D3381" t="str">
            <v>older</v>
          </cell>
          <cell r="E3381" t="str">
            <v>B</v>
          </cell>
          <cell r="F3381" t="str">
            <v xml:space="preserve">SECRETARY III                      </v>
          </cell>
          <cell r="G3381" t="str">
            <v>2096A</v>
          </cell>
          <cell r="H3381">
            <v>3387</v>
          </cell>
          <cell r="I3381">
            <v>1</v>
          </cell>
          <cell r="J3381">
            <v>12</v>
          </cell>
          <cell r="K3381">
            <v>1</v>
          </cell>
          <cell r="L3381">
            <v>40643.839999999997</v>
          </cell>
        </row>
        <row r="3382">
          <cell r="A3382">
            <v>102689</v>
          </cell>
          <cell r="B3382">
            <v>20452</v>
          </cell>
          <cell r="C3382">
            <v>20499</v>
          </cell>
          <cell r="D3382" t="str">
            <v>older</v>
          </cell>
          <cell r="E3382" t="str">
            <v>B</v>
          </cell>
          <cell r="F3382" t="str">
            <v>SENIOR MENTAL HEALTH COUNSELOR, RN</v>
          </cell>
          <cell r="G3382" t="str">
            <v>5280A</v>
          </cell>
          <cell r="H3382">
            <v>6790.09</v>
          </cell>
          <cell r="I3382">
            <v>1</v>
          </cell>
          <cell r="J3382">
            <v>12</v>
          </cell>
          <cell r="K3382">
            <v>1</v>
          </cell>
          <cell r="L3382">
            <v>83105.40203389831</v>
          </cell>
        </row>
        <row r="3383">
          <cell r="A3383">
            <v>103127</v>
          </cell>
          <cell r="B3383">
            <v>20499</v>
          </cell>
          <cell r="C3383">
            <v>20499</v>
          </cell>
          <cell r="D3383" t="str">
            <v>older</v>
          </cell>
          <cell r="E3383" t="str">
            <v xml:space="preserve">B </v>
          </cell>
          <cell r="F3383" t="str">
            <v>SENIOR MENTAL HEALTH COUNSELOR, RN</v>
          </cell>
          <cell r="G3383" t="str">
            <v>5280A</v>
          </cell>
          <cell r="H3383">
            <v>6790.09</v>
          </cell>
          <cell r="I3383">
            <v>1</v>
          </cell>
          <cell r="J3383">
            <v>12</v>
          </cell>
          <cell r="K3383">
            <v>1</v>
          </cell>
          <cell r="L3383">
            <v>83105.40203389831</v>
          </cell>
        </row>
        <row r="3384">
          <cell r="A3384">
            <v>101475</v>
          </cell>
          <cell r="B3384">
            <v>20499</v>
          </cell>
          <cell r="C3384">
            <v>20499</v>
          </cell>
          <cell r="D3384" t="str">
            <v>older</v>
          </cell>
          <cell r="E3384" t="str">
            <v>B</v>
          </cell>
          <cell r="F3384" t="str">
            <v xml:space="preserve">SENIOR SECRETARY III               </v>
          </cell>
          <cell r="G3384" t="str">
            <v>2102A</v>
          </cell>
          <cell r="H3384">
            <v>4106.3599999999997</v>
          </cell>
          <cell r="I3384">
            <v>1</v>
          </cell>
          <cell r="J3384">
            <v>12</v>
          </cell>
          <cell r="K3384">
            <v>1</v>
          </cell>
          <cell r="L3384">
            <v>49276.56</v>
          </cell>
        </row>
        <row r="3385">
          <cell r="A3385">
            <v>106413</v>
          </cell>
          <cell r="B3385">
            <v>21564</v>
          </cell>
          <cell r="C3385">
            <v>20499</v>
          </cell>
          <cell r="D3385" t="str">
            <v>older</v>
          </cell>
          <cell r="E3385" t="str">
            <v>B</v>
          </cell>
          <cell r="F3385" t="str">
            <v xml:space="preserve">SR COMMUN MENTAL HLTH PSYCHOLOGIST </v>
          </cell>
          <cell r="G3385" t="str">
            <v>8712A</v>
          </cell>
          <cell r="H3385">
            <v>7311.45</v>
          </cell>
          <cell r="I3385">
            <v>1</v>
          </cell>
          <cell r="J3385">
            <v>12</v>
          </cell>
          <cell r="K3385">
            <v>1</v>
          </cell>
          <cell r="L3385">
            <v>87737.16</v>
          </cell>
        </row>
        <row r="3386">
          <cell r="A3386">
            <v>102358</v>
          </cell>
          <cell r="B3386">
            <v>20499</v>
          </cell>
          <cell r="C3386">
            <v>20499</v>
          </cell>
          <cell r="D3386" t="str">
            <v>older</v>
          </cell>
          <cell r="E3386" t="str">
            <v>B</v>
          </cell>
          <cell r="F3386" t="str">
            <v xml:space="preserve">STAFF ASSISTANT II                 </v>
          </cell>
          <cell r="G3386" t="str">
            <v>0913A</v>
          </cell>
          <cell r="H3386">
            <v>4167.45</v>
          </cell>
          <cell r="I3386">
            <v>1</v>
          </cell>
          <cell r="J3386">
            <v>12</v>
          </cell>
          <cell r="K3386">
            <v>1</v>
          </cell>
          <cell r="L3386">
            <v>50009.24</v>
          </cell>
        </row>
        <row r="3387">
          <cell r="A3387">
            <v>104372</v>
          </cell>
          <cell r="B3387">
            <v>20558</v>
          </cell>
          <cell r="C3387">
            <v>20487</v>
          </cell>
          <cell r="D3387" t="str">
            <v>older</v>
          </cell>
          <cell r="E3387" t="str">
            <v>B</v>
          </cell>
          <cell r="F3387" t="str">
            <v xml:space="preserve">INTERMEDIATE CLERK                 </v>
          </cell>
          <cell r="G3387" t="str">
            <v>1138A</v>
          </cell>
          <cell r="H3387">
            <v>2611.09</v>
          </cell>
          <cell r="I3387">
            <v>1</v>
          </cell>
          <cell r="J3387">
            <v>12</v>
          </cell>
          <cell r="K3387">
            <v>1</v>
          </cell>
          <cell r="L3387">
            <v>31333</v>
          </cell>
        </row>
        <row r="3388">
          <cell r="A3388">
            <v>104116</v>
          </cell>
          <cell r="B3388">
            <v>20492</v>
          </cell>
          <cell r="C3388">
            <v>20487</v>
          </cell>
          <cell r="D3388" t="str">
            <v>older</v>
          </cell>
          <cell r="E3388" t="str">
            <v>B</v>
          </cell>
          <cell r="F3388" t="str">
            <v>INTERMEDIATE TYPIST-CLERK</v>
          </cell>
          <cell r="G3388" t="str">
            <v>2214A</v>
          </cell>
          <cell r="H3388">
            <v>2675.27</v>
          </cell>
          <cell r="I3388">
            <v>1</v>
          </cell>
          <cell r="J3388">
            <v>12</v>
          </cell>
          <cell r="K3388">
            <v>1</v>
          </cell>
          <cell r="L3388">
            <v>32103.16</v>
          </cell>
        </row>
        <row r="3389">
          <cell r="A3389">
            <v>103759</v>
          </cell>
          <cell r="B3389">
            <v>20446</v>
          </cell>
          <cell r="C3389">
            <v>20487</v>
          </cell>
          <cell r="D3389" t="str">
            <v>older</v>
          </cell>
          <cell r="E3389" t="str">
            <v>B</v>
          </cell>
          <cell r="F3389" t="str">
            <v>MENTAL HEALTH PSYCHIATRIST</v>
          </cell>
          <cell r="G3389" t="str">
            <v>4735A</v>
          </cell>
          <cell r="H3389">
            <v>12844</v>
          </cell>
          <cell r="I3389">
            <v>1</v>
          </cell>
          <cell r="J3389">
            <v>8</v>
          </cell>
          <cell r="K3389">
            <v>0.66666666666666663</v>
          </cell>
          <cell r="L3389">
            <v>102752</v>
          </cell>
        </row>
        <row r="3390">
          <cell r="A3390">
            <v>103836</v>
          </cell>
          <cell r="B3390">
            <v>21566</v>
          </cell>
          <cell r="C3390">
            <v>20487</v>
          </cell>
          <cell r="D3390" t="str">
            <v>older</v>
          </cell>
          <cell r="E3390" t="str">
            <v>B</v>
          </cell>
          <cell r="F3390" t="str">
            <v>MENTAL HLTH CLINICAL DIST CHIEF</v>
          </cell>
          <cell r="G3390" t="str">
            <v>4722A</v>
          </cell>
          <cell r="H3390">
            <v>10074</v>
          </cell>
          <cell r="I3390">
            <v>1</v>
          </cell>
          <cell r="J3390">
            <v>12</v>
          </cell>
          <cell r="K3390">
            <v>1</v>
          </cell>
          <cell r="L3390">
            <v>120887.6</v>
          </cell>
        </row>
        <row r="3391">
          <cell r="A3391">
            <v>109311</v>
          </cell>
          <cell r="B3391">
            <v>18703</v>
          </cell>
          <cell r="C3391">
            <v>20487</v>
          </cell>
          <cell r="D3391" t="str">
            <v>older</v>
          </cell>
          <cell r="E3391" t="str">
            <v>B</v>
          </cell>
          <cell r="F3391" t="str">
            <v xml:space="preserve">PSYCHIATRIC SOCIAL WORK CONSULTANT </v>
          </cell>
          <cell r="G3391" t="str">
            <v>9037A</v>
          </cell>
          <cell r="H3391">
            <v>5333</v>
          </cell>
          <cell r="I3391">
            <v>1</v>
          </cell>
          <cell r="J3391">
            <v>12</v>
          </cell>
          <cell r="K3391">
            <v>1</v>
          </cell>
          <cell r="L3391">
            <v>63996</v>
          </cell>
        </row>
        <row r="3392">
          <cell r="A3392">
            <v>103888</v>
          </cell>
          <cell r="B3392">
            <v>20499</v>
          </cell>
          <cell r="C3392">
            <v>20487</v>
          </cell>
          <cell r="D3392" t="str">
            <v>older</v>
          </cell>
          <cell r="E3392" t="str">
            <v>B</v>
          </cell>
          <cell r="F3392" t="str">
            <v>PSYCHIATRIC SOCIAL WORKER II</v>
          </cell>
          <cell r="G3392" t="str">
            <v>9035A</v>
          </cell>
          <cell r="H3392">
            <v>5425.82</v>
          </cell>
          <cell r="I3392">
            <v>1</v>
          </cell>
          <cell r="J3392">
            <v>6</v>
          </cell>
          <cell r="K3392">
            <v>0.5</v>
          </cell>
          <cell r="L3392">
            <v>32554.92</v>
          </cell>
        </row>
        <row r="3393">
          <cell r="A3393">
            <v>104853</v>
          </cell>
          <cell r="B3393">
            <v>20528</v>
          </cell>
          <cell r="C3393">
            <v>20487</v>
          </cell>
          <cell r="D3393" t="str">
            <v>older</v>
          </cell>
          <cell r="E3393" t="str">
            <v>B</v>
          </cell>
          <cell r="F3393" t="str">
            <v>STAFF ASSISTANT III</v>
          </cell>
          <cell r="G3393" t="str">
            <v>0915A</v>
          </cell>
          <cell r="H3393">
            <v>4737.6400000000003</v>
          </cell>
          <cell r="I3393">
            <v>1</v>
          </cell>
          <cell r="J3393">
            <v>12</v>
          </cell>
          <cell r="K3393">
            <v>1</v>
          </cell>
          <cell r="L3393">
            <v>56851.519999999997</v>
          </cell>
        </row>
        <row r="3394">
          <cell r="A3394">
            <v>104472</v>
          </cell>
          <cell r="B3394">
            <v>20487</v>
          </cell>
          <cell r="C3394">
            <v>20487</v>
          </cell>
          <cell r="D3394" t="str">
            <v>older</v>
          </cell>
          <cell r="E3394" t="str">
            <v>B</v>
          </cell>
          <cell r="F3394" t="str">
            <v xml:space="preserve">SUPVG PSYCHIATRIC SOCIAL WORKER    </v>
          </cell>
          <cell r="G3394" t="str">
            <v>9038A</v>
          </cell>
          <cell r="H3394">
            <v>6062.45</v>
          </cell>
          <cell r="I3394">
            <v>1</v>
          </cell>
          <cell r="J3394">
            <v>12</v>
          </cell>
          <cell r="K3394">
            <v>1</v>
          </cell>
          <cell r="L3394">
            <v>72749.399999999994</v>
          </cell>
        </row>
        <row r="3395">
          <cell r="A3395">
            <v>101678</v>
          </cell>
          <cell r="B3395">
            <v>20477</v>
          </cell>
          <cell r="C3395">
            <v>20487</v>
          </cell>
          <cell r="D3395" t="str">
            <v>older</v>
          </cell>
          <cell r="E3395" t="str">
            <v>B</v>
          </cell>
          <cell r="F3395" t="str">
            <v xml:space="preserve">TRANSCRIBER TYPIST                 </v>
          </cell>
          <cell r="G3395" t="str">
            <v>2201A</v>
          </cell>
          <cell r="H3395">
            <v>2906</v>
          </cell>
          <cell r="I3395">
            <v>1</v>
          </cell>
          <cell r="J3395">
            <v>12</v>
          </cell>
          <cell r="K3395">
            <v>1</v>
          </cell>
          <cell r="L3395">
            <v>34872</v>
          </cell>
        </row>
        <row r="3396">
          <cell r="A3396">
            <v>104213</v>
          </cell>
          <cell r="B3396">
            <v>20452</v>
          </cell>
          <cell r="C3396">
            <v>20452</v>
          </cell>
          <cell r="D3396" t="str">
            <v>older</v>
          </cell>
          <cell r="E3396" t="str">
            <v>B</v>
          </cell>
          <cell r="F3396" t="str">
            <v>CLINICAL PSYCHOLOGIST II</v>
          </cell>
          <cell r="G3396" t="str">
            <v>8697A</v>
          </cell>
          <cell r="H3396">
            <v>6993.82</v>
          </cell>
          <cell r="I3396">
            <v>1</v>
          </cell>
          <cell r="J3396">
            <v>12</v>
          </cell>
          <cell r="K3396">
            <v>1</v>
          </cell>
          <cell r="L3396">
            <v>83925.52</v>
          </cell>
        </row>
        <row r="3397">
          <cell r="A3397">
            <v>104398</v>
          </cell>
          <cell r="B3397">
            <v>20452</v>
          </cell>
          <cell r="C3397">
            <v>20452</v>
          </cell>
          <cell r="D3397" t="str">
            <v>older</v>
          </cell>
          <cell r="E3397" t="str">
            <v>B</v>
          </cell>
          <cell r="F3397" t="str">
            <v>CLINICAL PSYCHOLOGIST II</v>
          </cell>
          <cell r="G3397" t="str">
            <v>8697A</v>
          </cell>
          <cell r="H3397">
            <v>6993.82</v>
          </cell>
          <cell r="I3397">
            <v>1</v>
          </cell>
          <cell r="J3397">
            <v>12</v>
          </cell>
          <cell r="K3397">
            <v>1</v>
          </cell>
          <cell r="L3397">
            <v>83925.52</v>
          </cell>
        </row>
        <row r="3398">
          <cell r="A3398">
            <v>106085</v>
          </cell>
          <cell r="B3398">
            <v>18676</v>
          </cell>
          <cell r="C3398">
            <v>20452</v>
          </cell>
          <cell r="D3398" t="str">
            <v>older</v>
          </cell>
          <cell r="E3398" t="str">
            <v>B</v>
          </cell>
          <cell r="F3398" t="str">
            <v>CLINICAL PSYCHOLOGIST II</v>
          </cell>
          <cell r="G3398" t="str">
            <v>8697A</v>
          </cell>
          <cell r="H3398">
            <v>6993.82</v>
          </cell>
          <cell r="I3398">
            <v>1</v>
          </cell>
          <cell r="J3398">
            <v>12</v>
          </cell>
          <cell r="K3398">
            <v>1</v>
          </cell>
          <cell r="L3398">
            <v>83925.52</v>
          </cell>
        </row>
        <row r="3399">
          <cell r="A3399">
            <v>102669</v>
          </cell>
          <cell r="B3399">
            <v>20452</v>
          </cell>
          <cell r="C3399">
            <v>20452</v>
          </cell>
          <cell r="D3399" t="str">
            <v>older</v>
          </cell>
          <cell r="E3399" t="str">
            <v>B</v>
          </cell>
          <cell r="F3399" t="str">
            <v>COMMUNITY MENTAL HEALTH PSYCHOLOGIST</v>
          </cell>
          <cell r="G3399" t="str">
            <v>8711A</v>
          </cell>
          <cell r="H3399">
            <v>6942.55</v>
          </cell>
          <cell r="I3399">
            <v>1</v>
          </cell>
          <cell r="J3399">
            <v>6</v>
          </cell>
          <cell r="K3399">
            <v>0.5</v>
          </cell>
          <cell r="L3399">
            <v>41655.599999999999</v>
          </cell>
        </row>
        <row r="3400">
          <cell r="A3400">
            <v>104670</v>
          </cell>
          <cell r="B3400">
            <v>20452</v>
          </cell>
          <cell r="C3400">
            <v>20452</v>
          </cell>
          <cell r="D3400" t="str">
            <v>older</v>
          </cell>
          <cell r="E3400" t="str">
            <v>B</v>
          </cell>
          <cell r="F3400" t="str">
            <v>COMMUNITY WORKER</v>
          </cell>
          <cell r="G3400" t="str">
            <v>8103A</v>
          </cell>
          <cell r="H3400">
            <v>2984.09</v>
          </cell>
          <cell r="I3400">
            <v>1</v>
          </cell>
          <cell r="J3400">
            <v>12</v>
          </cell>
          <cell r="K3400">
            <v>1</v>
          </cell>
          <cell r="L3400">
            <v>35809.08</v>
          </cell>
        </row>
        <row r="3401">
          <cell r="A3401">
            <v>102439</v>
          </cell>
          <cell r="B3401">
            <v>20452</v>
          </cell>
          <cell r="C3401">
            <v>20452</v>
          </cell>
          <cell r="D3401" t="str">
            <v>older</v>
          </cell>
          <cell r="E3401" t="str">
            <v>B</v>
          </cell>
          <cell r="F3401" t="str">
            <v xml:space="preserve">INT SUPERVISING TYPIST-CLERK       </v>
          </cell>
          <cell r="G3401" t="str">
            <v>2221A</v>
          </cell>
          <cell r="H3401">
            <v>3337.91</v>
          </cell>
          <cell r="I3401">
            <v>1</v>
          </cell>
          <cell r="J3401">
            <v>12</v>
          </cell>
          <cell r="K3401">
            <v>1</v>
          </cell>
          <cell r="L3401">
            <v>40054.519999999997</v>
          </cell>
        </row>
        <row r="3402">
          <cell r="A3402">
            <v>100391</v>
          </cell>
          <cell r="B3402">
            <v>20492</v>
          </cell>
          <cell r="C3402">
            <v>20452</v>
          </cell>
          <cell r="D3402" t="str">
            <v>older</v>
          </cell>
          <cell r="E3402" t="str">
            <v>B</v>
          </cell>
          <cell r="F3402" t="str">
            <v>INTERMEDIATE TYPIST-CLERK</v>
          </cell>
          <cell r="G3402" t="str">
            <v>2214A</v>
          </cell>
          <cell r="H3402">
            <v>2675.27</v>
          </cell>
          <cell r="I3402">
            <v>1</v>
          </cell>
          <cell r="J3402">
            <v>12</v>
          </cell>
          <cell r="K3402">
            <v>1</v>
          </cell>
          <cell r="L3402">
            <v>32103.16</v>
          </cell>
        </row>
        <row r="3403">
          <cell r="A3403">
            <v>102513</v>
          </cell>
          <cell r="B3403">
            <v>20452</v>
          </cell>
          <cell r="C3403">
            <v>20452</v>
          </cell>
          <cell r="D3403" t="str">
            <v>older</v>
          </cell>
          <cell r="E3403" t="str">
            <v>B</v>
          </cell>
          <cell r="F3403" t="str">
            <v>INTERMEDIATE TYPIST-CLERK</v>
          </cell>
          <cell r="G3403" t="str">
            <v>2214A</v>
          </cell>
          <cell r="H3403">
            <v>2675.27</v>
          </cell>
          <cell r="I3403">
            <v>1</v>
          </cell>
          <cell r="J3403">
            <v>12</v>
          </cell>
          <cell r="K3403">
            <v>1</v>
          </cell>
          <cell r="L3403">
            <v>32103.16</v>
          </cell>
        </row>
        <row r="3404">
          <cell r="A3404">
            <v>102685</v>
          </cell>
          <cell r="B3404">
            <v>20452</v>
          </cell>
          <cell r="C3404">
            <v>20452</v>
          </cell>
          <cell r="D3404" t="str">
            <v>older</v>
          </cell>
          <cell r="E3404" t="str">
            <v>B</v>
          </cell>
          <cell r="F3404" t="str">
            <v>INTERMEDIATE TYPIST-CLERK</v>
          </cell>
          <cell r="G3404" t="str">
            <v>2214A</v>
          </cell>
          <cell r="H3404">
            <v>2675.27</v>
          </cell>
          <cell r="I3404">
            <v>1</v>
          </cell>
          <cell r="J3404">
            <v>12</v>
          </cell>
          <cell r="K3404">
            <v>1</v>
          </cell>
          <cell r="L3404">
            <v>32103.16</v>
          </cell>
        </row>
        <row r="3405">
          <cell r="A3405">
            <v>103843</v>
          </cell>
          <cell r="B3405">
            <v>20492</v>
          </cell>
          <cell r="C3405">
            <v>20452</v>
          </cell>
          <cell r="D3405" t="str">
            <v>older</v>
          </cell>
          <cell r="E3405" t="str">
            <v>B</v>
          </cell>
          <cell r="F3405" t="str">
            <v>INTERMEDIATE TYPIST-CLERK</v>
          </cell>
          <cell r="G3405" t="str">
            <v>2214A</v>
          </cell>
          <cell r="H3405">
            <v>2675.27</v>
          </cell>
          <cell r="I3405">
            <v>1</v>
          </cell>
          <cell r="J3405">
            <v>12</v>
          </cell>
          <cell r="K3405">
            <v>1</v>
          </cell>
          <cell r="L3405">
            <v>32103.16</v>
          </cell>
        </row>
        <row r="3406">
          <cell r="A3406">
            <v>106326</v>
          </cell>
          <cell r="B3406">
            <v>21562</v>
          </cell>
          <cell r="C3406">
            <v>20452</v>
          </cell>
          <cell r="D3406" t="str">
            <v>older</v>
          </cell>
          <cell r="E3406" t="str">
            <v>B</v>
          </cell>
          <cell r="F3406" t="str">
            <v>INTERMEDIATE TYPIST-CLERK</v>
          </cell>
          <cell r="G3406" t="str">
            <v>2214A</v>
          </cell>
          <cell r="H3406">
            <v>2675.27</v>
          </cell>
          <cell r="I3406">
            <v>1</v>
          </cell>
          <cell r="J3406">
            <v>12</v>
          </cell>
          <cell r="K3406">
            <v>1</v>
          </cell>
          <cell r="L3406">
            <v>32103.16</v>
          </cell>
        </row>
        <row r="3407">
          <cell r="A3407">
            <v>106333</v>
          </cell>
          <cell r="B3407">
            <v>21562</v>
          </cell>
          <cell r="C3407">
            <v>20452</v>
          </cell>
          <cell r="D3407" t="str">
            <v>older</v>
          </cell>
          <cell r="E3407" t="str">
            <v>B</v>
          </cell>
          <cell r="F3407" t="str">
            <v>INTERMEDIATE TYPIST-CLERK</v>
          </cell>
          <cell r="G3407" t="str">
            <v>2214A</v>
          </cell>
          <cell r="H3407">
            <v>2675.27</v>
          </cell>
          <cell r="I3407">
            <v>1</v>
          </cell>
          <cell r="J3407">
            <v>12</v>
          </cell>
          <cell r="K3407">
            <v>1</v>
          </cell>
          <cell r="L3407">
            <v>32103.16</v>
          </cell>
        </row>
        <row r="3408">
          <cell r="A3408">
            <v>102567</v>
          </cell>
          <cell r="B3408">
            <v>20575</v>
          </cell>
          <cell r="C3408">
            <v>20452</v>
          </cell>
          <cell r="D3408" t="str">
            <v>older</v>
          </cell>
          <cell r="E3408" t="str">
            <v>B</v>
          </cell>
          <cell r="F3408" t="str">
            <v>MEDICAL CASE WORKER II</v>
          </cell>
          <cell r="G3408" t="str">
            <v>9002A</v>
          </cell>
          <cell r="H3408">
            <v>3938.82</v>
          </cell>
          <cell r="I3408">
            <v>1</v>
          </cell>
          <cell r="J3408">
            <v>12</v>
          </cell>
          <cell r="K3408">
            <v>1</v>
          </cell>
          <cell r="L3408">
            <v>47265.68</v>
          </cell>
        </row>
        <row r="3409">
          <cell r="A3409">
            <v>109196</v>
          </cell>
          <cell r="B3409">
            <v>27506</v>
          </cell>
          <cell r="C3409">
            <v>20452</v>
          </cell>
          <cell r="D3409" t="str">
            <v>older</v>
          </cell>
          <cell r="E3409" t="str">
            <v>B</v>
          </cell>
          <cell r="F3409" t="str">
            <v>MEDICAL CASE WORKER II</v>
          </cell>
          <cell r="G3409" t="str">
            <v>9002A</v>
          </cell>
          <cell r="H3409">
            <v>3938.82</v>
          </cell>
          <cell r="I3409">
            <v>1</v>
          </cell>
          <cell r="J3409">
            <v>12</v>
          </cell>
          <cell r="K3409">
            <v>1</v>
          </cell>
          <cell r="L3409">
            <v>47265.68</v>
          </cell>
        </row>
        <row r="3410">
          <cell r="A3410">
            <v>104255</v>
          </cell>
          <cell r="B3410">
            <v>20452</v>
          </cell>
          <cell r="C3410">
            <v>20452</v>
          </cell>
          <cell r="D3410" t="str">
            <v>older</v>
          </cell>
          <cell r="E3410" t="str">
            <v>B</v>
          </cell>
          <cell r="F3410" t="str">
            <v>MENTAL HEALTH CONSULTANT, MD</v>
          </cell>
          <cell r="G3410" t="str">
            <v>5467J</v>
          </cell>
          <cell r="H3410">
            <v>314</v>
          </cell>
          <cell r="I3410">
            <v>1</v>
          </cell>
          <cell r="J3410">
            <v>261</v>
          </cell>
          <cell r="K3410">
            <v>0.5</v>
          </cell>
          <cell r="L3410">
            <v>81953.72</v>
          </cell>
        </row>
        <row r="3411">
          <cell r="A3411">
            <v>100632</v>
          </cell>
          <cell r="B3411">
            <v>23001</v>
          </cell>
          <cell r="C3411">
            <v>20452</v>
          </cell>
          <cell r="D3411" t="str">
            <v>older</v>
          </cell>
          <cell r="E3411" t="str">
            <v>B</v>
          </cell>
          <cell r="F3411" t="str">
            <v>MENTAL HEALTH COUNSELOR, RN</v>
          </cell>
          <cell r="G3411" t="str">
            <v>5278A</v>
          </cell>
          <cell r="H3411">
            <v>6275.27</v>
          </cell>
          <cell r="I3411">
            <v>1</v>
          </cell>
          <cell r="J3411">
            <v>12</v>
          </cell>
          <cell r="K3411">
            <v>1</v>
          </cell>
          <cell r="L3411">
            <v>76804.323333333334</v>
          </cell>
        </row>
        <row r="3412">
          <cell r="A3412">
            <v>103882</v>
          </cell>
          <cell r="B3412">
            <v>20452</v>
          </cell>
          <cell r="C3412">
            <v>20452</v>
          </cell>
          <cell r="D3412" t="str">
            <v>older</v>
          </cell>
          <cell r="E3412" t="str">
            <v>B</v>
          </cell>
          <cell r="F3412" t="str">
            <v>MENTAL HEALTH COUNSELOR, RN</v>
          </cell>
          <cell r="G3412" t="str">
            <v>5278A</v>
          </cell>
          <cell r="H3412">
            <v>6275.27</v>
          </cell>
          <cell r="I3412">
            <v>1</v>
          </cell>
          <cell r="J3412">
            <v>6</v>
          </cell>
          <cell r="K3412">
            <v>0.5</v>
          </cell>
          <cell r="L3412">
            <v>35373.241666666661</v>
          </cell>
        </row>
        <row r="3413">
          <cell r="A3413">
            <v>102494</v>
          </cell>
          <cell r="B3413">
            <v>23010</v>
          </cell>
          <cell r="C3413">
            <v>20452</v>
          </cell>
          <cell r="D3413" t="str">
            <v>older</v>
          </cell>
          <cell r="E3413" t="str">
            <v>B</v>
          </cell>
          <cell r="F3413" t="str">
            <v>MENTAL HEALTH PSYCHIATRIST</v>
          </cell>
          <cell r="G3413" t="str">
            <v>4735A</v>
          </cell>
          <cell r="H3413">
            <v>12844</v>
          </cell>
          <cell r="I3413">
            <v>1</v>
          </cell>
          <cell r="J3413">
            <v>12</v>
          </cell>
          <cell r="K3413">
            <v>1</v>
          </cell>
          <cell r="L3413">
            <v>154128</v>
          </cell>
        </row>
        <row r="3414">
          <cell r="A3414">
            <v>103312</v>
          </cell>
          <cell r="B3414">
            <v>20452</v>
          </cell>
          <cell r="C3414">
            <v>20452</v>
          </cell>
          <cell r="D3414" t="str">
            <v>older</v>
          </cell>
          <cell r="E3414" t="str">
            <v>B</v>
          </cell>
          <cell r="F3414" t="str">
            <v>MENTAL HEALTH PSYCHIATRIST</v>
          </cell>
          <cell r="G3414" t="str">
            <v>4735A</v>
          </cell>
          <cell r="H3414">
            <v>12844</v>
          </cell>
          <cell r="I3414">
            <v>1</v>
          </cell>
          <cell r="J3414">
            <v>12</v>
          </cell>
          <cell r="K3414">
            <v>1</v>
          </cell>
          <cell r="L3414">
            <v>154128</v>
          </cell>
        </row>
        <row r="3415">
          <cell r="A3415">
            <v>103432</v>
          </cell>
          <cell r="B3415">
            <v>20672</v>
          </cell>
          <cell r="C3415">
            <v>20452</v>
          </cell>
          <cell r="D3415" t="str">
            <v>older</v>
          </cell>
          <cell r="E3415" t="str">
            <v>B</v>
          </cell>
          <cell r="F3415" t="str">
            <v>MENTAL HEALTH PSYCHIATRIST</v>
          </cell>
          <cell r="G3415" t="str">
            <v>4735A</v>
          </cell>
          <cell r="H3415">
            <v>12844</v>
          </cell>
          <cell r="I3415">
            <v>1</v>
          </cell>
          <cell r="J3415">
            <v>12</v>
          </cell>
          <cell r="K3415">
            <v>1</v>
          </cell>
          <cell r="L3415">
            <v>154128</v>
          </cell>
        </row>
        <row r="3416">
          <cell r="A3416">
            <v>104259</v>
          </cell>
          <cell r="B3416">
            <v>20452</v>
          </cell>
          <cell r="C3416">
            <v>20452</v>
          </cell>
          <cell r="D3416" t="str">
            <v>older</v>
          </cell>
          <cell r="E3416" t="str">
            <v>B</v>
          </cell>
          <cell r="F3416" t="str">
            <v>MENTAL HEALTH PSYCHIATRIST</v>
          </cell>
          <cell r="G3416" t="str">
            <v>4735A</v>
          </cell>
          <cell r="H3416">
            <v>12844</v>
          </cell>
          <cell r="I3416">
            <v>1</v>
          </cell>
          <cell r="J3416">
            <v>12</v>
          </cell>
          <cell r="K3416">
            <v>1</v>
          </cell>
          <cell r="L3416">
            <v>154128</v>
          </cell>
        </row>
        <row r="3417">
          <cell r="A3417">
            <v>104621</v>
          </cell>
          <cell r="B3417">
            <v>18587</v>
          </cell>
          <cell r="C3417">
            <v>20452</v>
          </cell>
          <cell r="D3417" t="str">
            <v>older</v>
          </cell>
          <cell r="E3417" t="str">
            <v>B</v>
          </cell>
          <cell r="F3417" t="str">
            <v>MENTAL HEALTH SERVICES COORD I</v>
          </cell>
          <cell r="G3417" t="str">
            <v>8148A</v>
          </cell>
          <cell r="H3417">
            <v>5126.91</v>
          </cell>
          <cell r="I3417">
            <v>1</v>
          </cell>
          <cell r="J3417">
            <v>12</v>
          </cell>
          <cell r="K3417">
            <v>1</v>
          </cell>
          <cell r="L3417">
            <v>61522.92</v>
          </cell>
        </row>
        <row r="3418">
          <cell r="A3418">
            <v>104673</v>
          </cell>
          <cell r="B3418">
            <v>20452</v>
          </cell>
          <cell r="C3418">
            <v>20452</v>
          </cell>
          <cell r="D3418" t="str">
            <v>older</v>
          </cell>
          <cell r="E3418" t="str">
            <v>B</v>
          </cell>
          <cell r="F3418" t="str">
            <v>MENTAL HEALTH SERVICES COORD II</v>
          </cell>
          <cell r="G3418" t="str">
            <v>8149A</v>
          </cell>
          <cell r="H3418">
            <v>5152.3599999999997</v>
          </cell>
          <cell r="I3418">
            <v>1</v>
          </cell>
          <cell r="J3418">
            <v>12</v>
          </cell>
          <cell r="K3418">
            <v>1</v>
          </cell>
          <cell r="L3418">
            <v>61828.72</v>
          </cell>
        </row>
        <row r="3419">
          <cell r="A3419">
            <v>100558</v>
          </cell>
          <cell r="B3419">
            <v>20452</v>
          </cell>
          <cell r="C3419">
            <v>20452</v>
          </cell>
          <cell r="D3419" t="str">
            <v>older</v>
          </cell>
          <cell r="E3419" t="str">
            <v>B</v>
          </cell>
          <cell r="F3419" t="str">
            <v>MENTAL HLTH CLINICAL DIST CHIEF</v>
          </cell>
          <cell r="G3419" t="str">
            <v>4722A</v>
          </cell>
          <cell r="H3419">
            <v>10074</v>
          </cell>
          <cell r="I3419">
            <v>1</v>
          </cell>
          <cell r="J3419">
            <v>12</v>
          </cell>
          <cell r="K3419">
            <v>1</v>
          </cell>
          <cell r="L3419">
            <v>120887.6</v>
          </cell>
        </row>
        <row r="3420">
          <cell r="A3420">
            <v>102168</v>
          </cell>
          <cell r="B3420">
            <v>20676</v>
          </cell>
          <cell r="C3420">
            <v>20452</v>
          </cell>
          <cell r="D3420" t="str">
            <v>older</v>
          </cell>
          <cell r="E3420" t="str">
            <v>B</v>
          </cell>
          <cell r="F3420" t="str">
            <v>MNTL HLTH CLINICAL PROGRAM HEAD</v>
          </cell>
          <cell r="G3420" t="str">
            <v>4726A</v>
          </cell>
          <cell r="H3420">
            <v>8709.73</v>
          </cell>
          <cell r="I3420">
            <v>1</v>
          </cell>
          <cell r="J3420">
            <v>12</v>
          </cell>
          <cell r="K3420">
            <v>1</v>
          </cell>
          <cell r="L3420">
            <v>104516.76</v>
          </cell>
        </row>
        <row r="3421">
          <cell r="A3421">
            <v>104012</v>
          </cell>
          <cell r="B3421">
            <v>20923</v>
          </cell>
          <cell r="C3421">
            <v>20452</v>
          </cell>
          <cell r="D3421" t="str">
            <v>older</v>
          </cell>
          <cell r="E3421" t="str">
            <v>B</v>
          </cell>
          <cell r="F3421" t="str">
            <v xml:space="preserve">OCCUPATIONAL THERAPIST II          </v>
          </cell>
          <cell r="G3421" t="str">
            <v>5857A</v>
          </cell>
          <cell r="H3421">
            <v>6416.09</v>
          </cell>
          <cell r="I3421">
            <v>1</v>
          </cell>
          <cell r="J3421">
            <v>12</v>
          </cell>
          <cell r="K3421">
            <v>1</v>
          </cell>
          <cell r="L3421">
            <v>76993.16</v>
          </cell>
        </row>
        <row r="3422">
          <cell r="A3422">
            <v>102604</v>
          </cell>
          <cell r="B3422">
            <v>20452</v>
          </cell>
          <cell r="C3422">
            <v>20452</v>
          </cell>
          <cell r="D3422" t="str">
            <v>older</v>
          </cell>
          <cell r="E3422" t="str">
            <v>B</v>
          </cell>
          <cell r="F3422" t="str">
            <v xml:space="preserve">PATIENT FINANCIAL SERVICES WORKER  </v>
          </cell>
          <cell r="G3422" t="str">
            <v>9193A</v>
          </cell>
          <cell r="H3422">
            <v>3403.55</v>
          </cell>
          <cell r="I3422">
            <v>1</v>
          </cell>
          <cell r="J3422">
            <v>12</v>
          </cell>
          <cell r="K3422">
            <v>1</v>
          </cell>
          <cell r="L3422">
            <v>40842.6</v>
          </cell>
        </row>
        <row r="3423">
          <cell r="A3423">
            <v>109205</v>
          </cell>
          <cell r="B3423">
            <v>27506</v>
          </cell>
          <cell r="C3423">
            <v>20452</v>
          </cell>
          <cell r="D3423" t="str">
            <v>older</v>
          </cell>
          <cell r="E3423" t="str">
            <v>B</v>
          </cell>
          <cell r="F3423" t="str">
            <v>PATIENT RESOURCES WORKER</v>
          </cell>
          <cell r="G3423" t="str">
            <v>9192A</v>
          </cell>
          <cell r="H3423">
            <v>2748.27</v>
          </cell>
          <cell r="I3423">
            <v>1</v>
          </cell>
          <cell r="J3423">
            <v>12</v>
          </cell>
          <cell r="K3423">
            <v>1</v>
          </cell>
          <cell r="L3423">
            <v>32979.24</v>
          </cell>
        </row>
        <row r="3424">
          <cell r="A3424">
            <v>109179</v>
          </cell>
          <cell r="B3424">
            <v>20502</v>
          </cell>
          <cell r="C3424">
            <v>20452</v>
          </cell>
          <cell r="D3424" t="str">
            <v>older</v>
          </cell>
          <cell r="E3424" t="str">
            <v>B</v>
          </cell>
          <cell r="F3424" t="str">
            <v xml:space="preserve">PRIN MENTAL HEALTH COUNSELOR,RN    </v>
          </cell>
          <cell r="G3424" t="str">
            <v>5284A</v>
          </cell>
          <cell r="H3424">
            <v>7586.91</v>
          </cell>
          <cell r="I3424">
            <v>1</v>
          </cell>
          <cell r="J3424">
            <v>12</v>
          </cell>
          <cell r="K3424">
            <v>1</v>
          </cell>
          <cell r="L3424">
            <v>91043</v>
          </cell>
        </row>
        <row r="3425">
          <cell r="A3425">
            <v>104114</v>
          </cell>
          <cell r="B3425">
            <v>20492</v>
          </cell>
          <cell r="C3425">
            <v>20452</v>
          </cell>
          <cell r="D3425" t="str">
            <v>older</v>
          </cell>
          <cell r="E3425" t="str">
            <v>B</v>
          </cell>
          <cell r="F3425" t="str">
            <v>PSYCHIATRIC SOCIAL WORKER II</v>
          </cell>
          <cell r="G3425" t="str">
            <v>9035A</v>
          </cell>
          <cell r="H3425">
            <v>5425.82</v>
          </cell>
          <cell r="I3425">
            <v>1</v>
          </cell>
          <cell r="J3425">
            <v>12</v>
          </cell>
          <cell r="K3425">
            <v>1</v>
          </cell>
          <cell r="L3425">
            <v>65109.84</v>
          </cell>
        </row>
        <row r="3426">
          <cell r="A3426">
            <v>104138</v>
          </cell>
          <cell r="B3426">
            <v>20564</v>
          </cell>
          <cell r="C3426">
            <v>20452</v>
          </cell>
          <cell r="D3426" t="str">
            <v>older</v>
          </cell>
          <cell r="E3426" t="str">
            <v>B</v>
          </cell>
          <cell r="F3426" t="str">
            <v>PSYCHIATRIC SOCIAL WORKER II</v>
          </cell>
          <cell r="G3426" t="str">
            <v>9035A</v>
          </cell>
          <cell r="H3426">
            <v>5425.82</v>
          </cell>
          <cell r="I3426">
            <v>1</v>
          </cell>
          <cell r="J3426">
            <v>12</v>
          </cell>
          <cell r="K3426">
            <v>1</v>
          </cell>
          <cell r="L3426">
            <v>65109.84</v>
          </cell>
        </row>
        <row r="3427">
          <cell r="A3427">
            <v>104182</v>
          </cell>
          <cell r="B3427">
            <v>20452</v>
          </cell>
          <cell r="C3427">
            <v>20452</v>
          </cell>
          <cell r="D3427" t="str">
            <v>older</v>
          </cell>
          <cell r="E3427" t="str">
            <v>B</v>
          </cell>
          <cell r="F3427" t="str">
            <v>PSYCHIATRIC SOCIAL WORKER II</v>
          </cell>
          <cell r="G3427" t="str">
            <v>9035A</v>
          </cell>
          <cell r="H3427">
            <v>5425.82</v>
          </cell>
          <cell r="I3427">
            <v>1</v>
          </cell>
          <cell r="J3427">
            <v>12</v>
          </cell>
          <cell r="K3427">
            <v>1</v>
          </cell>
          <cell r="L3427">
            <v>65109.84</v>
          </cell>
        </row>
        <row r="3428">
          <cell r="A3428">
            <v>104889</v>
          </cell>
          <cell r="B3428">
            <v>20492</v>
          </cell>
          <cell r="C3428">
            <v>20452</v>
          </cell>
          <cell r="D3428" t="str">
            <v>older</v>
          </cell>
          <cell r="E3428" t="str">
            <v>B</v>
          </cell>
          <cell r="F3428" t="str">
            <v>PSYCHIATRIC SOCIAL WORKER II</v>
          </cell>
          <cell r="G3428" t="str">
            <v>9035A</v>
          </cell>
          <cell r="H3428">
            <v>5425.82</v>
          </cell>
          <cell r="I3428">
            <v>1</v>
          </cell>
          <cell r="J3428">
            <v>12</v>
          </cell>
          <cell r="K3428">
            <v>1</v>
          </cell>
          <cell r="L3428">
            <v>65109.84</v>
          </cell>
        </row>
        <row r="3429">
          <cell r="A3429">
            <v>106331</v>
          </cell>
          <cell r="B3429">
            <v>21562</v>
          </cell>
          <cell r="C3429">
            <v>20452</v>
          </cell>
          <cell r="D3429" t="str">
            <v>older</v>
          </cell>
          <cell r="E3429" t="str">
            <v>B</v>
          </cell>
          <cell r="F3429" t="str">
            <v>PSYCHIATRIC SOCIAL WORKER II</v>
          </cell>
          <cell r="G3429" t="str">
            <v>9035A</v>
          </cell>
          <cell r="H3429">
            <v>5425.82</v>
          </cell>
          <cell r="I3429">
            <v>1</v>
          </cell>
          <cell r="J3429">
            <v>12</v>
          </cell>
          <cell r="K3429">
            <v>1</v>
          </cell>
          <cell r="L3429">
            <v>65109.84</v>
          </cell>
        </row>
        <row r="3430">
          <cell r="A3430">
            <v>109403</v>
          </cell>
          <cell r="B3430">
            <v>20443</v>
          </cell>
          <cell r="C3430">
            <v>20452</v>
          </cell>
          <cell r="D3430" t="str">
            <v>older</v>
          </cell>
          <cell r="E3430" t="str">
            <v>B</v>
          </cell>
          <cell r="F3430" t="str">
            <v>PSYCHIATRIC SOCIAL WORKER II</v>
          </cell>
          <cell r="G3430" t="str">
            <v>9035A</v>
          </cell>
          <cell r="H3430">
            <v>5425.82</v>
          </cell>
          <cell r="I3430">
            <v>1</v>
          </cell>
          <cell r="J3430">
            <v>12</v>
          </cell>
          <cell r="K3430">
            <v>1</v>
          </cell>
          <cell r="L3430">
            <v>65109.760000000002</v>
          </cell>
        </row>
        <row r="3431">
          <cell r="A3431">
            <v>101264</v>
          </cell>
          <cell r="B3431">
            <v>23001</v>
          </cell>
          <cell r="C3431">
            <v>20452</v>
          </cell>
          <cell r="D3431" t="str">
            <v>older</v>
          </cell>
          <cell r="E3431" t="str">
            <v>B</v>
          </cell>
          <cell r="F3431" t="str">
            <v>PSYCHIATRIC TECHNICIAN II</v>
          </cell>
          <cell r="G3431" t="str">
            <v>8162A</v>
          </cell>
          <cell r="H3431">
            <v>3420.09</v>
          </cell>
          <cell r="I3431">
            <v>1</v>
          </cell>
          <cell r="J3431">
            <v>12</v>
          </cell>
          <cell r="K3431">
            <v>1</v>
          </cell>
          <cell r="L3431">
            <v>41041.08</v>
          </cell>
        </row>
        <row r="3432">
          <cell r="A3432">
            <v>103068</v>
          </cell>
          <cell r="B3432">
            <v>20499</v>
          </cell>
          <cell r="C3432">
            <v>20452</v>
          </cell>
          <cell r="D3432" t="str">
            <v>older</v>
          </cell>
          <cell r="E3432" t="str">
            <v>B</v>
          </cell>
          <cell r="F3432" t="str">
            <v>PSYCHIATRIC TECHNICIAN II</v>
          </cell>
          <cell r="G3432" t="str">
            <v>8162A</v>
          </cell>
          <cell r="H3432">
            <v>3420.09</v>
          </cell>
          <cell r="I3432">
            <v>1</v>
          </cell>
          <cell r="J3432">
            <v>12</v>
          </cell>
          <cell r="K3432">
            <v>1</v>
          </cell>
          <cell r="L3432">
            <v>41041.08</v>
          </cell>
        </row>
        <row r="3433">
          <cell r="A3433">
            <v>102683</v>
          </cell>
          <cell r="B3433">
            <v>20452</v>
          </cell>
          <cell r="C3433">
            <v>20452</v>
          </cell>
          <cell r="D3433" t="str">
            <v>older</v>
          </cell>
          <cell r="E3433" t="str">
            <v>B</v>
          </cell>
          <cell r="F3433" t="str">
            <v>RECREATION THERAPIST II</v>
          </cell>
          <cell r="G3433" t="str">
            <v>5872A</v>
          </cell>
          <cell r="H3433">
            <v>4667.6400000000003</v>
          </cell>
          <cell r="I3433">
            <v>1</v>
          </cell>
          <cell r="J3433">
            <v>12</v>
          </cell>
          <cell r="K3433">
            <v>1</v>
          </cell>
          <cell r="L3433">
            <v>56011.68</v>
          </cell>
        </row>
        <row r="3434">
          <cell r="A3434">
            <v>102432</v>
          </cell>
          <cell r="B3434">
            <v>20452</v>
          </cell>
          <cell r="C3434">
            <v>20452</v>
          </cell>
          <cell r="D3434" t="str">
            <v>older</v>
          </cell>
          <cell r="E3434" t="str">
            <v>B</v>
          </cell>
          <cell r="F3434" t="str">
            <v xml:space="preserve">RECREATION THERAPY AIDE            </v>
          </cell>
          <cell r="G3434" t="str">
            <v>5869A</v>
          </cell>
          <cell r="H3434">
            <v>2741.64</v>
          </cell>
          <cell r="I3434">
            <v>1</v>
          </cell>
          <cell r="J3434">
            <v>12</v>
          </cell>
          <cell r="K3434">
            <v>1</v>
          </cell>
          <cell r="L3434">
            <v>32899.68</v>
          </cell>
        </row>
        <row r="3435">
          <cell r="A3435">
            <v>102272</v>
          </cell>
          <cell r="B3435">
            <v>20452</v>
          </cell>
          <cell r="C3435">
            <v>20452</v>
          </cell>
          <cell r="D3435" t="str">
            <v>older</v>
          </cell>
          <cell r="E3435" t="str">
            <v>B</v>
          </cell>
          <cell r="F3435" t="str">
            <v xml:space="preserve">SENIOR SECRETARY III               </v>
          </cell>
          <cell r="G3435" t="str">
            <v>2102A</v>
          </cell>
          <cell r="H3435">
            <v>4106.3599999999997</v>
          </cell>
          <cell r="I3435">
            <v>1</v>
          </cell>
          <cell r="J3435">
            <v>12</v>
          </cell>
          <cell r="K3435">
            <v>1</v>
          </cell>
          <cell r="L3435">
            <v>49276.56</v>
          </cell>
        </row>
        <row r="3436">
          <cell r="A3436">
            <v>104258</v>
          </cell>
          <cell r="B3436">
            <v>20452</v>
          </cell>
          <cell r="C3436">
            <v>20452</v>
          </cell>
          <cell r="D3436" t="str">
            <v>older</v>
          </cell>
          <cell r="E3436" t="str">
            <v>B</v>
          </cell>
          <cell r="F3436" t="str">
            <v xml:space="preserve">STAFF ASSISTANT I                  </v>
          </cell>
          <cell r="G3436" t="str">
            <v>0907A</v>
          </cell>
          <cell r="H3436">
            <v>3453.18</v>
          </cell>
          <cell r="I3436">
            <v>1</v>
          </cell>
          <cell r="J3436">
            <v>12</v>
          </cell>
          <cell r="K3436">
            <v>1</v>
          </cell>
          <cell r="L3436">
            <v>41438.480000000003</v>
          </cell>
        </row>
        <row r="3437">
          <cell r="A3437">
            <v>107003</v>
          </cell>
          <cell r="B3437">
            <v>18593</v>
          </cell>
          <cell r="C3437">
            <v>20452</v>
          </cell>
          <cell r="D3437" t="str">
            <v>older</v>
          </cell>
          <cell r="E3437" t="str">
            <v>B</v>
          </cell>
          <cell r="F3437" t="str">
            <v xml:space="preserve">STAFF ASSISTANT II                 </v>
          </cell>
          <cell r="G3437" t="str">
            <v>0913A</v>
          </cell>
          <cell r="H3437">
            <v>4167.45</v>
          </cell>
          <cell r="I3437">
            <v>1</v>
          </cell>
          <cell r="J3437">
            <v>12</v>
          </cell>
          <cell r="K3437">
            <v>1</v>
          </cell>
          <cell r="L3437">
            <v>50009.24</v>
          </cell>
        </row>
        <row r="3438">
          <cell r="A3438">
            <v>103823</v>
          </cell>
          <cell r="B3438">
            <v>20446</v>
          </cell>
          <cell r="C3438">
            <v>20452</v>
          </cell>
          <cell r="D3438" t="str">
            <v>older</v>
          </cell>
          <cell r="E3438" t="str">
            <v>B</v>
          </cell>
          <cell r="F3438" t="str">
            <v>SUBSTANCE ABUSE COUNSELOR</v>
          </cell>
          <cell r="G3438" t="str">
            <v>5884A</v>
          </cell>
          <cell r="H3438">
            <v>3210</v>
          </cell>
          <cell r="I3438">
            <v>1</v>
          </cell>
          <cell r="J3438">
            <v>12</v>
          </cell>
          <cell r="K3438">
            <v>1</v>
          </cell>
          <cell r="L3438">
            <v>38520</v>
          </cell>
        </row>
        <row r="3439">
          <cell r="A3439">
            <v>106320</v>
          </cell>
          <cell r="B3439">
            <v>18709</v>
          </cell>
          <cell r="C3439">
            <v>20452</v>
          </cell>
          <cell r="D3439" t="str">
            <v>older</v>
          </cell>
          <cell r="E3439" t="str">
            <v>B</v>
          </cell>
          <cell r="F3439" t="str">
            <v xml:space="preserve">SUPVG MENTAL HEALTH PSYCHIATRIST   </v>
          </cell>
          <cell r="G3439" t="str">
            <v>4737A</v>
          </cell>
          <cell r="H3439">
            <v>13870</v>
          </cell>
          <cell r="I3439">
            <v>1</v>
          </cell>
          <cell r="J3439">
            <v>12</v>
          </cell>
          <cell r="K3439">
            <v>1</v>
          </cell>
          <cell r="L3439">
            <v>166440</v>
          </cell>
        </row>
        <row r="3440">
          <cell r="A3440">
            <v>102421</v>
          </cell>
          <cell r="B3440">
            <v>20452</v>
          </cell>
          <cell r="C3440">
            <v>20452</v>
          </cell>
          <cell r="D3440" t="str">
            <v>older</v>
          </cell>
          <cell r="E3440" t="str">
            <v>B</v>
          </cell>
          <cell r="F3440" t="str">
            <v xml:space="preserve">SUPVG PSYCHIATRIC SOCIAL WORKER    </v>
          </cell>
          <cell r="G3440" t="str">
            <v>9038A</v>
          </cell>
          <cell r="H3440">
            <v>6062.45</v>
          </cell>
          <cell r="I3440">
            <v>1</v>
          </cell>
          <cell r="J3440">
            <v>12</v>
          </cell>
          <cell r="K3440">
            <v>1</v>
          </cell>
          <cell r="L3440">
            <v>72749.399999999994</v>
          </cell>
        </row>
        <row r="3441">
          <cell r="A3441">
            <v>100059</v>
          </cell>
          <cell r="B3441">
            <v>20588</v>
          </cell>
          <cell r="C3441">
            <v>18587</v>
          </cell>
          <cell r="D3441" t="str">
            <v>older</v>
          </cell>
          <cell r="E3441" t="str">
            <v>B</v>
          </cell>
          <cell r="F3441" t="str">
            <v xml:space="preserve">ADMINISTRATIVE ASSISTANT III       </v>
          </cell>
          <cell r="G3441" t="str">
            <v>0889A</v>
          </cell>
          <cell r="H3441">
            <v>4832</v>
          </cell>
          <cell r="I3441">
            <v>1</v>
          </cell>
          <cell r="J3441">
            <v>12</v>
          </cell>
          <cell r="K3441">
            <v>1</v>
          </cell>
          <cell r="L3441">
            <v>57983.839999999997</v>
          </cell>
        </row>
        <row r="3442">
          <cell r="A3442">
            <v>100239</v>
          </cell>
          <cell r="B3442">
            <v>20588</v>
          </cell>
          <cell r="C3442">
            <v>18587</v>
          </cell>
          <cell r="D3442" t="str">
            <v>older</v>
          </cell>
          <cell r="E3442" t="str">
            <v>B</v>
          </cell>
          <cell r="F3442" t="str">
            <v>DEPUTY DIRECTOR, MENTAL HEALTH (UC)</v>
          </cell>
          <cell r="G3442" t="str">
            <v>4707A</v>
          </cell>
          <cell r="H3442">
            <v>10568.17</v>
          </cell>
          <cell r="I3442">
            <v>1</v>
          </cell>
          <cell r="J3442">
            <v>12</v>
          </cell>
          <cell r="K3442">
            <v>1</v>
          </cell>
          <cell r="L3442">
            <v>126818</v>
          </cell>
        </row>
        <row r="3443">
          <cell r="A3443">
            <v>102651</v>
          </cell>
          <cell r="B3443">
            <v>20477</v>
          </cell>
          <cell r="C3443">
            <v>18587</v>
          </cell>
          <cell r="D3443" t="str">
            <v>older</v>
          </cell>
          <cell r="E3443" t="str">
            <v>B</v>
          </cell>
          <cell r="F3443" t="str">
            <v>INTERMEDIATE TYPIST-CLERK</v>
          </cell>
          <cell r="G3443" t="str">
            <v>2214A</v>
          </cell>
          <cell r="H3443">
            <v>2675.27</v>
          </cell>
          <cell r="I3443">
            <v>1</v>
          </cell>
          <cell r="J3443">
            <v>12</v>
          </cell>
          <cell r="K3443">
            <v>1</v>
          </cell>
          <cell r="L3443">
            <v>32103.16</v>
          </cell>
        </row>
        <row r="3444">
          <cell r="A3444">
            <v>103596</v>
          </cell>
          <cell r="B3444">
            <v>18587</v>
          </cell>
          <cell r="C3444">
            <v>18587</v>
          </cell>
          <cell r="D3444" t="str">
            <v>older</v>
          </cell>
          <cell r="E3444" t="str">
            <v>B</v>
          </cell>
          <cell r="F3444" t="str">
            <v>INTERMEDIATE TYPIST-CLERK</v>
          </cell>
          <cell r="G3444" t="str">
            <v>2214A</v>
          </cell>
          <cell r="H3444">
            <v>2675.27</v>
          </cell>
          <cell r="I3444">
            <v>1</v>
          </cell>
          <cell r="J3444">
            <v>12</v>
          </cell>
          <cell r="K3444">
            <v>1</v>
          </cell>
          <cell r="L3444">
            <v>32103.16</v>
          </cell>
        </row>
        <row r="3445">
          <cell r="A3445">
            <v>104620</v>
          </cell>
          <cell r="B3445">
            <v>18587</v>
          </cell>
          <cell r="C3445">
            <v>18587</v>
          </cell>
          <cell r="D3445" t="str">
            <v>older</v>
          </cell>
          <cell r="E3445" t="str">
            <v>B</v>
          </cell>
          <cell r="F3445" t="str">
            <v>INTERMEDIATE TYPIST-CLERK</v>
          </cell>
          <cell r="G3445" t="str">
            <v>2214A</v>
          </cell>
          <cell r="H3445">
            <v>2675.27</v>
          </cell>
          <cell r="I3445">
            <v>1</v>
          </cell>
          <cell r="J3445">
            <v>12</v>
          </cell>
          <cell r="K3445">
            <v>1</v>
          </cell>
          <cell r="L3445">
            <v>32103.16</v>
          </cell>
        </row>
        <row r="3446">
          <cell r="A3446">
            <v>104634</v>
          </cell>
          <cell r="B3446">
            <v>18587</v>
          </cell>
          <cell r="C3446">
            <v>18587</v>
          </cell>
          <cell r="D3446" t="str">
            <v>older</v>
          </cell>
          <cell r="E3446" t="str">
            <v>B</v>
          </cell>
          <cell r="F3446" t="str">
            <v>INTERMEDIATE TYPIST-CLERK</v>
          </cell>
          <cell r="G3446" t="str">
            <v>2214A</v>
          </cell>
          <cell r="H3446">
            <v>2675.27</v>
          </cell>
          <cell r="I3446">
            <v>1</v>
          </cell>
          <cell r="J3446">
            <v>12</v>
          </cell>
          <cell r="K3446">
            <v>1</v>
          </cell>
          <cell r="L3446">
            <v>32103.16</v>
          </cell>
        </row>
        <row r="3447">
          <cell r="A3447">
            <v>100482</v>
          </cell>
          <cell r="B3447">
            <v>20483</v>
          </cell>
          <cell r="C3447">
            <v>18587</v>
          </cell>
          <cell r="D3447" t="str">
            <v>older</v>
          </cell>
          <cell r="E3447" t="str">
            <v>B</v>
          </cell>
          <cell r="F3447" t="str">
            <v>MEDICAL CASE WORKER II</v>
          </cell>
          <cell r="G3447" t="str">
            <v>9002A</v>
          </cell>
          <cell r="H3447">
            <v>3938.82</v>
          </cell>
          <cell r="I3447">
            <v>1</v>
          </cell>
          <cell r="J3447">
            <v>12</v>
          </cell>
          <cell r="K3447">
            <v>1</v>
          </cell>
          <cell r="L3447">
            <v>47265.68</v>
          </cell>
        </row>
        <row r="3448">
          <cell r="A3448">
            <v>104909</v>
          </cell>
          <cell r="B3448">
            <v>20446</v>
          </cell>
          <cell r="C3448">
            <v>18587</v>
          </cell>
          <cell r="D3448" t="str">
            <v>older</v>
          </cell>
          <cell r="E3448" t="str">
            <v>B</v>
          </cell>
          <cell r="F3448" t="str">
            <v>MEDICAL CASE WORKER II</v>
          </cell>
          <cell r="G3448" t="str">
            <v>9002A</v>
          </cell>
          <cell r="H3448">
            <v>3938.82</v>
          </cell>
          <cell r="I3448">
            <v>1</v>
          </cell>
          <cell r="J3448">
            <v>12</v>
          </cell>
          <cell r="K3448">
            <v>1</v>
          </cell>
          <cell r="L3448">
            <v>47265.68</v>
          </cell>
        </row>
        <row r="3449">
          <cell r="A3449">
            <v>104914</v>
          </cell>
          <cell r="B3449">
            <v>20446</v>
          </cell>
          <cell r="C3449">
            <v>18587</v>
          </cell>
          <cell r="D3449" t="str">
            <v>older</v>
          </cell>
          <cell r="E3449" t="str">
            <v>B</v>
          </cell>
          <cell r="F3449" t="str">
            <v>MEDICAL CASE WORKER II</v>
          </cell>
          <cell r="G3449" t="str">
            <v>9002A</v>
          </cell>
          <cell r="H3449">
            <v>3938.82</v>
          </cell>
          <cell r="I3449">
            <v>1</v>
          </cell>
          <cell r="J3449">
            <v>12</v>
          </cell>
          <cell r="K3449">
            <v>1</v>
          </cell>
          <cell r="L3449">
            <v>47265.68</v>
          </cell>
        </row>
        <row r="3450">
          <cell r="A3450">
            <v>107679</v>
          </cell>
          <cell r="B3450">
            <v>18587</v>
          </cell>
          <cell r="C3450">
            <v>18587</v>
          </cell>
          <cell r="D3450" t="str">
            <v>older</v>
          </cell>
          <cell r="E3450" t="str">
            <v>B</v>
          </cell>
          <cell r="F3450" t="str">
            <v>MEDICAL CASE WORKER II</v>
          </cell>
          <cell r="G3450" t="str">
            <v>9002A</v>
          </cell>
          <cell r="H3450">
            <v>3938.82</v>
          </cell>
          <cell r="I3450">
            <v>1</v>
          </cell>
          <cell r="J3450">
            <v>12</v>
          </cell>
          <cell r="K3450">
            <v>1</v>
          </cell>
          <cell r="L3450">
            <v>47265.68</v>
          </cell>
        </row>
        <row r="3451">
          <cell r="A3451">
            <v>100538</v>
          </cell>
          <cell r="B3451">
            <v>20944</v>
          </cell>
          <cell r="C3451">
            <v>18587</v>
          </cell>
          <cell r="D3451" t="str">
            <v>older</v>
          </cell>
          <cell r="E3451" t="str">
            <v>B</v>
          </cell>
          <cell r="F3451" t="str">
            <v xml:space="preserve">MENTAL HEALTH ANALYST III          </v>
          </cell>
          <cell r="G3451" t="str">
            <v>4731A</v>
          </cell>
          <cell r="H3451">
            <v>7329.55</v>
          </cell>
          <cell r="I3451">
            <v>1</v>
          </cell>
          <cell r="J3451">
            <v>12</v>
          </cell>
          <cell r="K3451">
            <v>1</v>
          </cell>
          <cell r="L3451">
            <v>87954.76</v>
          </cell>
        </row>
        <row r="3452">
          <cell r="A3452">
            <v>103698</v>
          </cell>
          <cell r="B3452">
            <v>18587</v>
          </cell>
          <cell r="C3452">
            <v>18587</v>
          </cell>
          <cell r="D3452" t="str">
            <v>older</v>
          </cell>
          <cell r="E3452" t="str">
            <v>B</v>
          </cell>
          <cell r="F3452" t="str">
            <v>MENTAL HEALTH COUNSELOR, RN</v>
          </cell>
          <cell r="G3452" t="str">
            <v>5278A</v>
          </cell>
          <cell r="H3452">
            <v>6275.27</v>
          </cell>
          <cell r="I3452">
            <v>1</v>
          </cell>
          <cell r="J3452">
            <v>12</v>
          </cell>
          <cell r="K3452">
            <v>1</v>
          </cell>
          <cell r="L3452">
            <v>76804.323333333334</v>
          </cell>
        </row>
        <row r="3453">
          <cell r="A3453">
            <v>104624</v>
          </cell>
          <cell r="B3453">
            <v>18587</v>
          </cell>
          <cell r="C3453">
            <v>18587</v>
          </cell>
          <cell r="D3453" t="str">
            <v>older</v>
          </cell>
          <cell r="E3453" t="str">
            <v>B</v>
          </cell>
          <cell r="F3453" t="str">
            <v>MENTAL HEALTH COUNSELOR, RN</v>
          </cell>
          <cell r="G3453" t="str">
            <v>5278A</v>
          </cell>
          <cell r="H3453">
            <v>6275.27</v>
          </cell>
          <cell r="I3453">
            <v>1</v>
          </cell>
          <cell r="J3453">
            <v>12</v>
          </cell>
          <cell r="K3453">
            <v>1</v>
          </cell>
          <cell r="L3453">
            <v>76804.323333333334</v>
          </cell>
        </row>
        <row r="3454">
          <cell r="A3454">
            <v>104625</v>
          </cell>
          <cell r="B3454">
            <v>18587</v>
          </cell>
          <cell r="C3454">
            <v>18587</v>
          </cell>
          <cell r="D3454" t="str">
            <v>older</v>
          </cell>
          <cell r="E3454" t="str">
            <v>B</v>
          </cell>
          <cell r="F3454" t="str">
            <v>MENTAL HEALTH COUNSELOR, RN</v>
          </cell>
          <cell r="G3454" t="str">
            <v>5278A</v>
          </cell>
          <cell r="H3454">
            <v>6275.27</v>
          </cell>
          <cell r="I3454">
            <v>1</v>
          </cell>
          <cell r="J3454">
            <v>12</v>
          </cell>
          <cell r="K3454">
            <v>1</v>
          </cell>
          <cell r="L3454">
            <v>76804.323333333334</v>
          </cell>
        </row>
        <row r="3455">
          <cell r="A3455">
            <v>104626</v>
          </cell>
          <cell r="B3455">
            <v>18587</v>
          </cell>
          <cell r="C3455">
            <v>18587</v>
          </cell>
          <cell r="D3455" t="str">
            <v>older</v>
          </cell>
          <cell r="E3455" t="str">
            <v>B</v>
          </cell>
          <cell r="F3455" t="str">
            <v>MENTAL HEALTH COUNSELOR, RN</v>
          </cell>
          <cell r="G3455" t="str">
            <v>5278A</v>
          </cell>
          <cell r="H3455">
            <v>6275.27</v>
          </cell>
          <cell r="I3455">
            <v>1</v>
          </cell>
          <cell r="J3455">
            <v>12</v>
          </cell>
          <cell r="K3455">
            <v>1</v>
          </cell>
          <cell r="L3455">
            <v>76804.323333333334</v>
          </cell>
        </row>
        <row r="3456">
          <cell r="A3456">
            <v>104007</v>
          </cell>
          <cell r="B3456">
            <v>18587</v>
          </cell>
          <cell r="C3456">
            <v>18587</v>
          </cell>
          <cell r="D3456" t="str">
            <v>older</v>
          </cell>
          <cell r="E3456" t="str">
            <v>B</v>
          </cell>
          <cell r="F3456" t="str">
            <v>MENTAL HEALTH PSYCHIATRIST</v>
          </cell>
          <cell r="G3456" t="str">
            <v>4735A</v>
          </cell>
          <cell r="H3456">
            <v>12844</v>
          </cell>
          <cell r="I3456">
            <v>1</v>
          </cell>
          <cell r="J3456">
            <v>12</v>
          </cell>
          <cell r="K3456">
            <v>1</v>
          </cell>
          <cell r="L3456">
            <v>154128</v>
          </cell>
        </row>
        <row r="3457">
          <cell r="A3457">
            <v>102502</v>
          </cell>
          <cell r="B3457">
            <v>23007</v>
          </cell>
          <cell r="C3457">
            <v>18587</v>
          </cell>
          <cell r="D3457" t="str">
            <v>older</v>
          </cell>
          <cell r="E3457" t="str">
            <v>B</v>
          </cell>
          <cell r="F3457" t="str">
            <v>MENTAL HLTH CLINICAL DIST CHIEF</v>
          </cell>
          <cell r="G3457" t="str">
            <v>4722A</v>
          </cell>
          <cell r="H3457">
            <v>10074</v>
          </cell>
          <cell r="I3457">
            <v>1</v>
          </cell>
          <cell r="J3457">
            <v>12</v>
          </cell>
          <cell r="K3457">
            <v>1</v>
          </cell>
          <cell r="L3457">
            <v>120887.6</v>
          </cell>
        </row>
        <row r="3458">
          <cell r="A3458">
            <v>106505</v>
          </cell>
          <cell r="B3458">
            <v>18587</v>
          </cell>
          <cell r="C3458">
            <v>18587</v>
          </cell>
          <cell r="D3458" t="str">
            <v>older</v>
          </cell>
          <cell r="E3458" t="str">
            <v>B</v>
          </cell>
          <cell r="F3458" t="str">
            <v>MNTL HLTH CLINICAL PROGRAM HEAD</v>
          </cell>
          <cell r="G3458" t="str">
            <v>4726A</v>
          </cell>
          <cell r="H3458">
            <v>8709.73</v>
          </cell>
          <cell r="I3458">
            <v>1</v>
          </cell>
          <cell r="J3458">
            <v>12</v>
          </cell>
          <cell r="K3458">
            <v>1</v>
          </cell>
          <cell r="L3458">
            <v>104516.76</v>
          </cell>
        </row>
        <row r="3459">
          <cell r="A3459">
            <v>104632</v>
          </cell>
          <cell r="B3459">
            <v>18587</v>
          </cell>
          <cell r="C3459">
            <v>18587</v>
          </cell>
          <cell r="D3459" t="str">
            <v>older</v>
          </cell>
          <cell r="E3459" t="str">
            <v>B</v>
          </cell>
          <cell r="F3459" t="str">
            <v xml:space="preserve">PATIENT FINANCIAL SERVICES WORKER  </v>
          </cell>
          <cell r="G3459" t="str">
            <v>9193A</v>
          </cell>
          <cell r="H3459">
            <v>3403.55</v>
          </cell>
          <cell r="I3459">
            <v>1</v>
          </cell>
          <cell r="J3459">
            <v>12</v>
          </cell>
          <cell r="K3459">
            <v>1</v>
          </cell>
          <cell r="L3459">
            <v>40842.6</v>
          </cell>
        </row>
        <row r="3460">
          <cell r="A3460">
            <v>101235</v>
          </cell>
          <cell r="B3460">
            <v>18716</v>
          </cell>
          <cell r="C3460">
            <v>18587</v>
          </cell>
          <cell r="D3460" t="str">
            <v>older</v>
          </cell>
          <cell r="E3460" t="str">
            <v>B</v>
          </cell>
          <cell r="F3460" t="str">
            <v>PSYCHIATRIC SOCIAL WORKER II</v>
          </cell>
          <cell r="G3460" t="str">
            <v>9035A</v>
          </cell>
          <cell r="H3460">
            <v>5425.82</v>
          </cell>
          <cell r="I3460">
            <v>1</v>
          </cell>
          <cell r="J3460">
            <v>12</v>
          </cell>
          <cell r="K3460">
            <v>1</v>
          </cell>
          <cell r="L3460">
            <v>65109.84</v>
          </cell>
        </row>
        <row r="3461">
          <cell r="A3461">
            <v>102736</v>
          </cell>
          <cell r="B3461">
            <v>20465</v>
          </cell>
          <cell r="C3461">
            <v>18587</v>
          </cell>
          <cell r="D3461" t="str">
            <v>older</v>
          </cell>
          <cell r="E3461" t="str">
            <v>B</v>
          </cell>
          <cell r="F3461" t="str">
            <v>PSYCHIATRIC SOCIAL WORKER II</v>
          </cell>
          <cell r="G3461" t="str">
            <v>9035A</v>
          </cell>
          <cell r="H3461">
            <v>5425.82</v>
          </cell>
          <cell r="I3461">
            <v>1</v>
          </cell>
          <cell r="J3461">
            <v>12</v>
          </cell>
          <cell r="K3461">
            <v>1</v>
          </cell>
          <cell r="L3461">
            <v>65109.84</v>
          </cell>
        </row>
        <row r="3462">
          <cell r="A3462">
            <v>102791</v>
          </cell>
          <cell r="B3462">
            <v>23010</v>
          </cell>
          <cell r="C3462">
            <v>18587</v>
          </cell>
          <cell r="D3462" t="str">
            <v>older</v>
          </cell>
          <cell r="E3462" t="str">
            <v>B</v>
          </cell>
          <cell r="F3462" t="str">
            <v>PSYCHIATRIC SOCIAL WORKER II</v>
          </cell>
          <cell r="G3462" t="str">
            <v>9035A</v>
          </cell>
          <cell r="H3462">
            <v>5425.82</v>
          </cell>
          <cell r="I3462">
            <v>1</v>
          </cell>
          <cell r="J3462">
            <v>12</v>
          </cell>
          <cell r="K3462">
            <v>1</v>
          </cell>
          <cell r="L3462">
            <v>65109.84</v>
          </cell>
        </row>
        <row r="3463">
          <cell r="A3463">
            <v>103764</v>
          </cell>
          <cell r="B3463">
            <v>20446</v>
          </cell>
          <cell r="C3463">
            <v>18587</v>
          </cell>
          <cell r="D3463" t="str">
            <v>older</v>
          </cell>
          <cell r="E3463" t="str">
            <v>B</v>
          </cell>
          <cell r="F3463" t="str">
            <v>PSYCHIATRIC SOCIAL WORKER II</v>
          </cell>
          <cell r="G3463" t="str">
            <v>9035A</v>
          </cell>
          <cell r="H3463">
            <v>5425.82</v>
          </cell>
          <cell r="I3463">
            <v>1</v>
          </cell>
          <cell r="J3463">
            <v>12</v>
          </cell>
          <cell r="K3463">
            <v>1</v>
          </cell>
          <cell r="L3463">
            <v>65109.84</v>
          </cell>
        </row>
        <row r="3464">
          <cell r="A3464">
            <v>104628</v>
          </cell>
          <cell r="B3464">
            <v>18587</v>
          </cell>
          <cell r="C3464">
            <v>18587</v>
          </cell>
          <cell r="D3464" t="str">
            <v>older</v>
          </cell>
          <cell r="E3464" t="str">
            <v>B</v>
          </cell>
          <cell r="F3464" t="str">
            <v>PSYCHIATRIC SOCIAL WORKER II</v>
          </cell>
          <cell r="G3464" t="str">
            <v>9035A</v>
          </cell>
          <cell r="H3464">
            <v>5425.82</v>
          </cell>
          <cell r="I3464">
            <v>1</v>
          </cell>
          <cell r="J3464">
            <v>12</v>
          </cell>
          <cell r="K3464">
            <v>1</v>
          </cell>
          <cell r="L3464">
            <v>65109.84</v>
          </cell>
        </row>
        <row r="3465">
          <cell r="A3465">
            <v>104629</v>
          </cell>
          <cell r="B3465">
            <v>18587</v>
          </cell>
          <cell r="C3465">
            <v>18587</v>
          </cell>
          <cell r="D3465" t="str">
            <v>older</v>
          </cell>
          <cell r="E3465" t="str">
            <v>B</v>
          </cell>
          <cell r="F3465" t="str">
            <v>PSYCHIATRIC SOCIAL WORKER II</v>
          </cell>
          <cell r="G3465" t="str">
            <v>9035A</v>
          </cell>
          <cell r="H3465">
            <v>5425.82</v>
          </cell>
          <cell r="I3465">
            <v>1</v>
          </cell>
          <cell r="J3465">
            <v>12</v>
          </cell>
          <cell r="K3465">
            <v>1</v>
          </cell>
          <cell r="L3465">
            <v>65109.84</v>
          </cell>
        </row>
        <row r="3466">
          <cell r="A3466">
            <v>104630</v>
          </cell>
          <cell r="B3466">
            <v>18587</v>
          </cell>
          <cell r="C3466">
            <v>18587</v>
          </cell>
          <cell r="D3466" t="str">
            <v>older</v>
          </cell>
          <cell r="E3466" t="str">
            <v>B</v>
          </cell>
          <cell r="F3466" t="str">
            <v>PSYCHIATRIC SOCIAL WORKER II</v>
          </cell>
          <cell r="G3466" t="str">
            <v>9035A</v>
          </cell>
          <cell r="H3466">
            <v>5425.82</v>
          </cell>
          <cell r="I3466">
            <v>1</v>
          </cell>
          <cell r="J3466">
            <v>12</v>
          </cell>
          <cell r="K3466">
            <v>1</v>
          </cell>
          <cell r="L3466">
            <v>65109.84</v>
          </cell>
        </row>
        <row r="3467">
          <cell r="A3467">
            <v>103511</v>
          </cell>
          <cell r="B3467">
            <v>18593</v>
          </cell>
          <cell r="C3467">
            <v>18587</v>
          </cell>
          <cell r="D3467" t="str">
            <v>older</v>
          </cell>
          <cell r="E3467" t="str">
            <v>B</v>
          </cell>
          <cell r="F3467" t="str">
            <v xml:space="preserve">SECRETARY III                      </v>
          </cell>
          <cell r="G3467" t="str">
            <v>2096A</v>
          </cell>
          <cell r="H3467">
            <v>3387</v>
          </cell>
          <cell r="I3467">
            <v>1</v>
          </cell>
          <cell r="J3467">
            <v>12</v>
          </cell>
          <cell r="K3467">
            <v>1</v>
          </cell>
          <cell r="L3467">
            <v>40643.839999999997</v>
          </cell>
        </row>
        <row r="3468">
          <cell r="A3468">
            <v>103821</v>
          </cell>
          <cell r="B3468">
            <v>20446</v>
          </cell>
          <cell r="C3468">
            <v>18587</v>
          </cell>
          <cell r="D3468" t="str">
            <v>older</v>
          </cell>
          <cell r="E3468" t="str">
            <v>B</v>
          </cell>
          <cell r="F3468" t="str">
            <v xml:space="preserve">SECRETARY III                      </v>
          </cell>
          <cell r="G3468" t="str">
            <v>2096A</v>
          </cell>
          <cell r="H3468">
            <v>3387</v>
          </cell>
          <cell r="I3468">
            <v>1</v>
          </cell>
          <cell r="J3468">
            <v>12</v>
          </cell>
          <cell r="K3468">
            <v>1</v>
          </cell>
          <cell r="L3468">
            <v>40643.839999999997</v>
          </cell>
        </row>
        <row r="3469">
          <cell r="A3469">
            <v>104623</v>
          </cell>
          <cell r="B3469">
            <v>18587</v>
          </cell>
          <cell r="C3469">
            <v>18587</v>
          </cell>
          <cell r="D3469" t="str">
            <v>older</v>
          </cell>
          <cell r="E3469" t="str">
            <v>B</v>
          </cell>
          <cell r="F3469" t="str">
            <v>SENIOR MENTAL HEALTH COUNSELOR, RN</v>
          </cell>
          <cell r="G3469" t="str">
            <v>5280A</v>
          </cell>
          <cell r="H3469">
            <v>6790.09</v>
          </cell>
          <cell r="I3469">
            <v>1</v>
          </cell>
          <cell r="J3469">
            <v>12</v>
          </cell>
          <cell r="K3469">
            <v>1</v>
          </cell>
          <cell r="L3469">
            <v>83105.40203389831</v>
          </cell>
        </row>
        <row r="3470">
          <cell r="A3470">
            <v>104355</v>
          </cell>
          <cell r="B3470">
            <v>20487</v>
          </cell>
          <cell r="C3470">
            <v>18587</v>
          </cell>
          <cell r="D3470" t="str">
            <v>older</v>
          </cell>
          <cell r="E3470" t="str">
            <v>B</v>
          </cell>
          <cell r="F3470" t="str">
            <v xml:space="preserve">SENIOR SECRETARY III               </v>
          </cell>
          <cell r="G3470" t="str">
            <v>2102A</v>
          </cell>
          <cell r="H3470">
            <v>4106.3599999999997</v>
          </cell>
          <cell r="I3470">
            <v>1</v>
          </cell>
          <cell r="J3470">
            <v>12</v>
          </cell>
          <cell r="K3470">
            <v>1</v>
          </cell>
          <cell r="L3470">
            <v>49276.56</v>
          </cell>
        </row>
        <row r="3471">
          <cell r="A3471">
            <v>104431</v>
          </cell>
          <cell r="B3471">
            <v>18662</v>
          </cell>
          <cell r="C3471">
            <v>18587</v>
          </cell>
          <cell r="D3471" t="str">
            <v>older</v>
          </cell>
          <cell r="E3471" t="str">
            <v>B</v>
          </cell>
          <cell r="F3471" t="str">
            <v xml:space="preserve">SENIOR TYPIST-CLERK                </v>
          </cell>
          <cell r="G3471" t="str">
            <v>2216A</v>
          </cell>
          <cell r="H3471">
            <v>3013.55</v>
          </cell>
          <cell r="I3471">
            <v>1</v>
          </cell>
          <cell r="J3471">
            <v>12</v>
          </cell>
          <cell r="K3471">
            <v>1</v>
          </cell>
          <cell r="L3471">
            <v>36162.6</v>
          </cell>
        </row>
        <row r="3472">
          <cell r="A3472">
            <v>104457</v>
          </cell>
          <cell r="B3472">
            <v>20597</v>
          </cell>
          <cell r="C3472">
            <v>18587</v>
          </cell>
          <cell r="D3472" t="str">
            <v>older</v>
          </cell>
          <cell r="E3472" t="str">
            <v>B</v>
          </cell>
          <cell r="F3472" t="str">
            <v xml:space="preserve">STAFF ASSISTANT I                  </v>
          </cell>
          <cell r="G3472" t="str">
            <v>0907A</v>
          </cell>
          <cell r="H3472">
            <v>3453.18</v>
          </cell>
          <cell r="I3472">
            <v>1</v>
          </cell>
          <cell r="J3472">
            <v>12</v>
          </cell>
          <cell r="K3472">
            <v>1</v>
          </cell>
          <cell r="L3472">
            <v>41438.480000000003</v>
          </cell>
        </row>
        <row r="3473">
          <cell r="A3473">
            <v>104508</v>
          </cell>
          <cell r="B3473">
            <v>20905</v>
          </cell>
          <cell r="C3473">
            <v>18587</v>
          </cell>
          <cell r="D3473" t="str">
            <v>older</v>
          </cell>
          <cell r="E3473" t="str">
            <v>B</v>
          </cell>
          <cell r="F3473" t="str">
            <v xml:space="preserve">SUPVG ADMINISTRATIVE ASSISTANT III </v>
          </cell>
          <cell r="G3473" t="str">
            <v>0898A</v>
          </cell>
          <cell r="H3473">
            <v>6416.09</v>
          </cell>
          <cell r="I3473">
            <v>1</v>
          </cell>
          <cell r="J3473">
            <v>12</v>
          </cell>
          <cell r="K3473">
            <v>1</v>
          </cell>
          <cell r="L3473">
            <v>76993.16</v>
          </cell>
        </row>
        <row r="3474">
          <cell r="A3474">
            <v>100298</v>
          </cell>
          <cell r="B3474">
            <v>18716</v>
          </cell>
          <cell r="C3474">
            <v>18716</v>
          </cell>
          <cell r="D3474" t="str">
            <v>older</v>
          </cell>
          <cell r="E3474" t="str">
            <v>B</v>
          </cell>
          <cell r="F3474" t="str">
            <v xml:space="preserve">INTERMEDIATE STENOGRAPHER          </v>
          </cell>
          <cell r="G3474" t="str">
            <v>2172A</v>
          </cell>
          <cell r="H3474">
            <v>2934</v>
          </cell>
          <cell r="I3474">
            <v>1</v>
          </cell>
          <cell r="J3474">
            <v>12</v>
          </cell>
          <cell r="K3474">
            <v>1</v>
          </cell>
          <cell r="L3474">
            <v>35208</v>
          </cell>
        </row>
        <row r="3475">
          <cell r="A3475">
            <v>102110</v>
          </cell>
          <cell r="B3475">
            <v>20905</v>
          </cell>
          <cell r="C3475">
            <v>18716</v>
          </cell>
          <cell r="D3475" t="str">
            <v>older</v>
          </cell>
          <cell r="E3475" t="str">
            <v>B</v>
          </cell>
          <cell r="F3475" t="str">
            <v xml:space="preserve">MENTAL HEALTH ANALYST I            </v>
          </cell>
          <cell r="G3475" t="str">
            <v>4727A</v>
          </cell>
          <cell r="H3475">
            <v>5602.09</v>
          </cell>
          <cell r="I3475">
            <v>1</v>
          </cell>
          <cell r="J3475">
            <v>12</v>
          </cell>
          <cell r="K3475">
            <v>1</v>
          </cell>
          <cell r="L3475">
            <v>67225.16</v>
          </cell>
        </row>
        <row r="3476">
          <cell r="A3476">
            <v>102416</v>
          </cell>
          <cell r="B3476">
            <v>18213</v>
          </cell>
          <cell r="C3476">
            <v>18716</v>
          </cell>
          <cell r="D3476" t="str">
            <v>older</v>
          </cell>
          <cell r="E3476" t="str">
            <v>B</v>
          </cell>
          <cell r="F3476" t="str">
            <v xml:space="preserve">PSYCHIATRIC SOCIAL WORK CONSULTANT </v>
          </cell>
          <cell r="G3476" t="str">
            <v>9037A</v>
          </cell>
          <cell r="H3476">
            <v>5333</v>
          </cell>
          <cell r="I3476">
            <v>1</v>
          </cell>
          <cell r="J3476">
            <v>12</v>
          </cell>
          <cell r="K3476">
            <v>1</v>
          </cell>
          <cell r="L3476">
            <v>63996</v>
          </cell>
        </row>
        <row r="3477">
          <cell r="A3477">
            <v>107537</v>
          </cell>
          <cell r="B3477">
            <v>18587</v>
          </cell>
          <cell r="C3477">
            <v>18716</v>
          </cell>
          <cell r="D3477" t="str">
            <v>older</v>
          </cell>
          <cell r="E3477" t="str">
            <v>B</v>
          </cell>
          <cell r="F3477" t="str">
            <v xml:space="preserve">SUPVG PSYCHIATRIC SOCIAL WORKER    </v>
          </cell>
          <cell r="G3477" t="str">
            <v>9038A</v>
          </cell>
          <cell r="H3477">
            <v>6062.45</v>
          </cell>
          <cell r="I3477">
            <v>1</v>
          </cell>
          <cell r="J3477">
            <v>12</v>
          </cell>
          <cell r="K3477">
            <v>1</v>
          </cell>
          <cell r="L3477">
            <v>72749.399999999994</v>
          </cell>
        </row>
        <row r="3478">
          <cell r="A3478">
            <v>104267</v>
          </cell>
          <cell r="B3478">
            <v>20469</v>
          </cell>
          <cell r="C3478">
            <v>20469</v>
          </cell>
          <cell r="D3478" t="str">
            <v>older</v>
          </cell>
          <cell r="E3478" t="str">
            <v>B</v>
          </cell>
          <cell r="F3478" t="str">
            <v>CLINICAL PSYCHOLOGIST II</v>
          </cell>
          <cell r="G3478" t="str">
            <v>8697A</v>
          </cell>
          <cell r="H3478">
            <v>6993.82</v>
          </cell>
          <cell r="I3478">
            <v>1</v>
          </cell>
          <cell r="J3478">
            <v>12</v>
          </cell>
          <cell r="K3478">
            <v>1</v>
          </cell>
          <cell r="L3478">
            <v>83925.52</v>
          </cell>
        </row>
        <row r="3479">
          <cell r="A3479">
            <v>104401</v>
          </cell>
          <cell r="B3479">
            <v>20469</v>
          </cell>
          <cell r="C3479">
            <v>20469</v>
          </cell>
          <cell r="D3479" t="str">
            <v>older</v>
          </cell>
          <cell r="E3479" t="str">
            <v>B</v>
          </cell>
          <cell r="F3479" t="str">
            <v>CLINICAL PSYCHOLOGIST II</v>
          </cell>
          <cell r="G3479" t="str">
            <v>8697A</v>
          </cell>
          <cell r="H3479">
            <v>6993.82</v>
          </cell>
          <cell r="I3479">
            <v>1</v>
          </cell>
          <cell r="J3479">
            <v>9</v>
          </cell>
          <cell r="K3479">
            <v>0.75</v>
          </cell>
          <cell r="L3479">
            <v>62944.14</v>
          </cell>
        </row>
        <row r="3480">
          <cell r="A3480">
            <v>100345</v>
          </cell>
          <cell r="B3480">
            <v>20469</v>
          </cell>
          <cell r="C3480">
            <v>20469</v>
          </cell>
          <cell r="D3480" t="str">
            <v>older</v>
          </cell>
          <cell r="E3480" t="str">
            <v>B</v>
          </cell>
          <cell r="F3480" t="str">
            <v>INTERMEDIATE TYPIST-CLERK</v>
          </cell>
          <cell r="G3480" t="str">
            <v>2214A</v>
          </cell>
          <cell r="H3480">
            <v>2675.27</v>
          </cell>
          <cell r="I3480">
            <v>1</v>
          </cell>
          <cell r="J3480">
            <v>12</v>
          </cell>
          <cell r="K3480">
            <v>1</v>
          </cell>
          <cell r="L3480">
            <v>32103.16</v>
          </cell>
        </row>
        <row r="3481">
          <cell r="A3481">
            <v>100370</v>
          </cell>
          <cell r="B3481">
            <v>20658</v>
          </cell>
          <cell r="C3481">
            <v>20469</v>
          </cell>
          <cell r="D3481" t="str">
            <v>older</v>
          </cell>
          <cell r="E3481" t="str">
            <v>B</v>
          </cell>
          <cell r="F3481" t="str">
            <v>INTERMEDIATE TYPIST-CLERK</v>
          </cell>
          <cell r="G3481" t="str">
            <v>2214A</v>
          </cell>
          <cell r="H3481">
            <v>2675.27</v>
          </cell>
          <cell r="I3481">
            <v>1</v>
          </cell>
          <cell r="J3481">
            <v>12</v>
          </cell>
          <cell r="K3481">
            <v>1</v>
          </cell>
          <cell r="L3481">
            <v>32103.16</v>
          </cell>
        </row>
        <row r="3482">
          <cell r="A3482">
            <v>104659</v>
          </cell>
          <cell r="B3482">
            <v>20469</v>
          </cell>
          <cell r="C3482">
            <v>20469</v>
          </cell>
          <cell r="D3482" t="str">
            <v>older</v>
          </cell>
          <cell r="E3482" t="str">
            <v>B</v>
          </cell>
          <cell r="F3482" t="str">
            <v>INTERMEDIATE TYPIST-CLERK</v>
          </cell>
          <cell r="G3482" t="str">
            <v>2214A</v>
          </cell>
          <cell r="H3482">
            <v>2675.27</v>
          </cell>
          <cell r="I3482">
            <v>1</v>
          </cell>
          <cell r="J3482">
            <v>12</v>
          </cell>
          <cell r="K3482">
            <v>1</v>
          </cell>
          <cell r="L3482">
            <v>32103.16</v>
          </cell>
        </row>
        <row r="3483">
          <cell r="A3483">
            <v>109427</v>
          </cell>
          <cell r="B3483">
            <v>27546</v>
          </cell>
          <cell r="C3483">
            <v>20469</v>
          </cell>
          <cell r="D3483" t="str">
            <v>older</v>
          </cell>
          <cell r="E3483" t="str">
            <v>B</v>
          </cell>
          <cell r="F3483" t="str">
            <v>INTERMEDIATE TYPIST-CLERK</v>
          </cell>
          <cell r="G3483" t="str">
            <v>2214A</v>
          </cell>
          <cell r="H3483">
            <v>2675.27</v>
          </cell>
          <cell r="I3483">
            <v>1</v>
          </cell>
          <cell r="J3483">
            <v>12</v>
          </cell>
          <cell r="K3483">
            <v>1</v>
          </cell>
          <cell r="L3483">
            <v>32103.16</v>
          </cell>
        </row>
        <row r="3484">
          <cell r="A3484">
            <v>109656</v>
          </cell>
          <cell r="B3484">
            <v>20469</v>
          </cell>
          <cell r="C3484">
            <v>20469</v>
          </cell>
          <cell r="D3484" t="str">
            <v>older</v>
          </cell>
          <cell r="E3484" t="str">
            <v>B</v>
          </cell>
          <cell r="F3484" t="str">
            <v>INTERMEDIATE TYPIST-CLERK</v>
          </cell>
          <cell r="G3484" t="str">
            <v>2214A</v>
          </cell>
          <cell r="H3484">
            <v>2675.27</v>
          </cell>
          <cell r="I3484">
            <v>1</v>
          </cell>
          <cell r="J3484">
            <v>12</v>
          </cell>
          <cell r="K3484">
            <v>1</v>
          </cell>
          <cell r="L3484">
            <v>32103.24</v>
          </cell>
        </row>
        <row r="3485">
          <cell r="A3485">
            <v>109657</v>
          </cell>
          <cell r="B3485">
            <v>20469</v>
          </cell>
          <cell r="C3485">
            <v>20469</v>
          </cell>
          <cell r="D3485" t="str">
            <v>older</v>
          </cell>
          <cell r="E3485" t="str">
            <v>B</v>
          </cell>
          <cell r="F3485" t="str">
            <v>INTERMEDIATE TYPIST-CLERK</v>
          </cell>
          <cell r="G3485" t="str">
            <v>2214A</v>
          </cell>
          <cell r="H3485">
            <v>2675.27</v>
          </cell>
          <cell r="I3485">
            <v>1</v>
          </cell>
          <cell r="J3485">
            <v>12</v>
          </cell>
          <cell r="K3485">
            <v>1</v>
          </cell>
          <cell r="L3485">
            <v>32103.24</v>
          </cell>
        </row>
        <row r="3486">
          <cell r="A3486">
            <v>100480</v>
          </cell>
          <cell r="B3486">
            <v>20469</v>
          </cell>
          <cell r="C3486">
            <v>20469</v>
          </cell>
          <cell r="D3486" t="str">
            <v>older</v>
          </cell>
          <cell r="E3486" t="str">
            <v>B</v>
          </cell>
          <cell r="F3486" t="str">
            <v>MEDICAL CASE WORKER II</v>
          </cell>
          <cell r="G3486" t="str">
            <v>9002A</v>
          </cell>
          <cell r="H3486">
            <v>3938.82</v>
          </cell>
          <cell r="I3486">
            <v>1</v>
          </cell>
          <cell r="J3486">
            <v>12</v>
          </cell>
          <cell r="K3486">
            <v>1</v>
          </cell>
          <cell r="L3486">
            <v>47265.68</v>
          </cell>
        </row>
        <row r="3487">
          <cell r="A3487">
            <v>103858</v>
          </cell>
          <cell r="B3487">
            <v>21572</v>
          </cell>
          <cell r="C3487">
            <v>20469</v>
          </cell>
          <cell r="D3487" t="str">
            <v>older</v>
          </cell>
          <cell r="E3487" t="str">
            <v>B</v>
          </cell>
          <cell r="F3487" t="str">
            <v>MEDICAL CASE WORKER II</v>
          </cell>
          <cell r="G3487" t="str">
            <v>9002A</v>
          </cell>
          <cell r="H3487">
            <v>3938.82</v>
          </cell>
          <cell r="I3487">
            <v>1</v>
          </cell>
          <cell r="J3487">
            <v>12</v>
          </cell>
          <cell r="K3487">
            <v>1</v>
          </cell>
          <cell r="L3487">
            <v>47265.68</v>
          </cell>
        </row>
        <row r="3488">
          <cell r="A3488">
            <v>103881</v>
          </cell>
          <cell r="B3488">
            <v>20469</v>
          </cell>
          <cell r="C3488">
            <v>20469</v>
          </cell>
          <cell r="D3488" t="str">
            <v>older</v>
          </cell>
          <cell r="E3488" t="str">
            <v>B</v>
          </cell>
          <cell r="F3488" t="str">
            <v>MENTAL HEALTH COUNSELOR, RN</v>
          </cell>
          <cell r="G3488" t="str">
            <v>5278A</v>
          </cell>
          <cell r="H3488">
            <v>6275.27</v>
          </cell>
          <cell r="I3488">
            <v>1</v>
          </cell>
          <cell r="J3488">
            <v>12</v>
          </cell>
          <cell r="K3488">
            <v>1</v>
          </cell>
          <cell r="L3488">
            <v>76804.323333333334</v>
          </cell>
        </row>
        <row r="3489">
          <cell r="A3489">
            <v>104263</v>
          </cell>
          <cell r="B3489">
            <v>20469</v>
          </cell>
          <cell r="C3489">
            <v>20469</v>
          </cell>
          <cell r="D3489" t="str">
            <v>older</v>
          </cell>
          <cell r="E3489" t="str">
            <v>B</v>
          </cell>
          <cell r="F3489" t="str">
            <v>MENTAL HEALTH COUNSELOR, RN</v>
          </cell>
          <cell r="G3489" t="str">
            <v>5278A</v>
          </cell>
          <cell r="H3489">
            <v>6275.27</v>
          </cell>
          <cell r="I3489">
            <v>1</v>
          </cell>
          <cell r="J3489">
            <v>12</v>
          </cell>
          <cell r="K3489">
            <v>1</v>
          </cell>
          <cell r="L3489">
            <v>76804.323333333334</v>
          </cell>
        </row>
        <row r="3490">
          <cell r="A3490">
            <v>104656</v>
          </cell>
          <cell r="B3490">
            <v>20469</v>
          </cell>
          <cell r="C3490">
            <v>20469</v>
          </cell>
          <cell r="D3490" t="str">
            <v>older</v>
          </cell>
          <cell r="E3490" t="str">
            <v>B</v>
          </cell>
          <cell r="F3490" t="str">
            <v>MENTAL HEALTH COUNSELOR, RN</v>
          </cell>
          <cell r="G3490" t="str">
            <v>5278A</v>
          </cell>
          <cell r="H3490">
            <v>6275.27</v>
          </cell>
          <cell r="I3490">
            <v>1</v>
          </cell>
          <cell r="J3490">
            <v>12</v>
          </cell>
          <cell r="K3490">
            <v>1</v>
          </cell>
          <cell r="L3490">
            <v>76804.323333333334</v>
          </cell>
        </row>
        <row r="3491">
          <cell r="A3491">
            <v>100808</v>
          </cell>
          <cell r="B3491">
            <v>20469</v>
          </cell>
          <cell r="C3491">
            <v>20469</v>
          </cell>
          <cell r="D3491" t="str">
            <v>older</v>
          </cell>
          <cell r="E3491" t="str">
            <v>B</v>
          </cell>
          <cell r="F3491" t="str">
            <v>MENTAL HEALTH PSYCHIATRIST</v>
          </cell>
          <cell r="G3491" t="str">
            <v>4735A</v>
          </cell>
          <cell r="H3491">
            <v>12844</v>
          </cell>
          <cell r="I3491">
            <v>1</v>
          </cell>
          <cell r="J3491">
            <v>12</v>
          </cell>
          <cell r="K3491">
            <v>1</v>
          </cell>
          <cell r="L3491">
            <v>154128</v>
          </cell>
        </row>
        <row r="3492">
          <cell r="A3492">
            <v>103335</v>
          </cell>
          <cell r="B3492">
            <v>23017</v>
          </cell>
          <cell r="C3492">
            <v>20469</v>
          </cell>
          <cell r="D3492" t="str">
            <v>older</v>
          </cell>
          <cell r="E3492" t="str">
            <v>B</v>
          </cell>
          <cell r="F3492" t="str">
            <v>MENTAL HEALTH PSYCHIATRIST</v>
          </cell>
          <cell r="G3492" t="str">
            <v>4735A</v>
          </cell>
          <cell r="H3492">
            <v>12844</v>
          </cell>
          <cell r="I3492">
            <v>1</v>
          </cell>
          <cell r="J3492">
            <v>12</v>
          </cell>
          <cell r="K3492">
            <v>1</v>
          </cell>
          <cell r="L3492">
            <v>154128</v>
          </cell>
        </row>
        <row r="3493">
          <cell r="A3493">
            <v>104731</v>
          </cell>
          <cell r="B3493">
            <v>23007</v>
          </cell>
          <cell r="C3493">
            <v>20469</v>
          </cell>
          <cell r="D3493" t="str">
            <v>older</v>
          </cell>
          <cell r="E3493" t="str">
            <v>B</v>
          </cell>
          <cell r="F3493" t="str">
            <v>MENTAL HEALTH PSYCHIATRIST</v>
          </cell>
          <cell r="G3493" t="str">
            <v>4735A</v>
          </cell>
          <cell r="H3493">
            <v>12844</v>
          </cell>
          <cell r="I3493">
            <v>1</v>
          </cell>
          <cell r="J3493">
            <v>12</v>
          </cell>
          <cell r="K3493">
            <v>1</v>
          </cell>
          <cell r="L3493">
            <v>154128</v>
          </cell>
        </row>
        <row r="3494">
          <cell r="A3494">
            <v>104977</v>
          </cell>
          <cell r="B3494">
            <v>20469</v>
          </cell>
          <cell r="C3494">
            <v>20469</v>
          </cell>
          <cell r="D3494" t="str">
            <v>older</v>
          </cell>
          <cell r="E3494" t="str">
            <v>B</v>
          </cell>
          <cell r="F3494" t="str">
            <v>MENTAL HEALTH PSYCHIATRIST</v>
          </cell>
          <cell r="G3494" t="str">
            <v>4735A</v>
          </cell>
          <cell r="H3494">
            <v>12844</v>
          </cell>
          <cell r="I3494">
            <v>1</v>
          </cell>
          <cell r="J3494">
            <v>1</v>
          </cell>
          <cell r="K3494">
            <v>8.3333333333333329E-2</v>
          </cell>
          <cell r="L3494">
            <v>12844</v>
          </cell>
        </row>
        <row r="3495">
          <cell r="A3495">
            <v>102799</v>
          </cell>
          <cell r="B3495">
            <v>20469</v>
          </cell>
          <cell r="C3495">
            <v>20469</v>
          </cell>
          <cell r="D3495" t="str">
            <v>older</v>
          </cell>
          <cell r="E3495" t="str">
            <v>B</v>
          </cell>
          <cell r="F3495" t="str">
            <v>MNTL HLTH CLINICAL PROGRAM HEAD</v>
          </cell>
          <cell r="G3495" t="str">
            <v>4726A</v>
          </cell>
          <cell r="H3495">
            <v>8709.73</v>
          </cell>
          <cell r="I3495">
            <v>1</v>
          </cell>
          <cell r="J3495">
            <v>12</v>
          </cell>
          <cell r="K3495">
            <v>1</v>
          </cell>
          <cell r="L3495">
            <v>104516.76</v>
          </cell>
        </row>
        <row r="3496">
          <cell r="A3496">
            <v>102600</v>
          </cell>
          <cell r="B3496">
            <v>20469</v>
          </cell>
          <cell r="C3496">
            <v>20469</v>
          </cell>
          <cell r="D3496" t="str">
            <v>older</v>
          </cell>
          <cell r="E3496" t="str">
            <v>B</v>
          </cell>
          <cell r="F3496" t="str">
            <v xml:space="preserve">PATIENT FINANCIAL SERVICES WORKER  </v>
          </cell>
          <cell r="G3496" t="str">
            <v>9193A</v>
          </cell>
          <cell r="H3496">
            <v>3403.55</v>
          </cell>
          <cell r="I3496">
            <v>1</v>
          </cell>
          <cell r="J3496">
            <v>12</v>
          </cell>
          <cell r="K3496">
            <v>1</v>
          </cell>
          <cell r="L3496">
            <v>40842.6</v>
          </cell>
        </row>
        <row r="3497">
          <cell r="A3497">
            <v>109204</v>
          </cell>
          <cell r="B3497">
            <v>27506</v>
          </cell>
          <cell r="C3497">
            <v>20469</v>
          </cell>
          <cell r="D3497" t="str">
            <v>older</v>
          </cell>
          <cell r="E3497" t="str">
            <v>B</v>
          </cell>
          <cell r="F3497" t="str">
            <v>PATIENT RESOURCES WORKER</v>
          </cell>
          <cell r="G3497" t="str">
            <v>9192A</v>
          </cell>
          <cell r="H3497">
            <v>2748.27</v>
          </cell>
          <cell r="I3497">
            <v>1</v>
          </cell>
          <cell r="J3497">
            <v>12</v>
          </cell>
          <cell r="K3497">
            <v>1</v>
          </cell>
          <cell r="L3497">
            <v>32979.24</v>
          </cell>
        </row>
        <row r="3498">
          <cell r="A3498">
            <v>109748</v>
          </cell>
          <cell r="B3498">
            <v>20469</v>
          </cell>
          <cell r="C3498">
            <v>20469</v>
          </cell>
          <cell r="D3498" t="str">
            <v>older</v>
          </cell>
          <cell r="E3498" t="str">
            <v>B</v>
          </cell>
          <cell r="F3498" t="str">
            <v>PATIENT RESOURCES WORKER</v>
          </cell>
          <cell r="G3498" t="str">
            <v>9192A</v>
          </cell>
          <cell r="H3498">
            <v>2748.27</v>
          </cell>
          <cell r="I3498">
            <v>1</v>
          </cell>
          <cell r="J3498">
            <v>12</v>
          </cell>
          <cell r="K3498">
            <v>1</v>
          </cell>
          <cell r="L3498">
            <v>32979.24</v>
          </cell>
        </row>
        <row r="3499">
          <cell r="A3499">
            <v>103933</v>
          </cell>
          <cell r="B3499">
            <v>23001</v>
          </cell>
          <cell r="C3499">
            <v>20469</v>
          </cell>
          <cell r="D3499" t="str">
            <v>older</v>
          </cell>
          <cell r="E3499" t="str">
            <v>B</v>
          </cell>
          <cell r="F3499" t="str">
            <v>PSYCHIATRIC SOCIAL WORKER II</v>
          </cell>
          <cell r="G3499" t="str">
            <v>9035A</v>
          </cell>
          <cell r="H3499">
            <v>5425.82</v>
          </cell>
          <cell r="I3499">
            <v>1</v>
          </cell>
          <cell r="J3499">
            <v>12</v>
          </cell>
          <cell r="K3499">
            <v>1</v>
          </cell>
          <cell r="L3499">
            <v>65109.84</v>
          </cell>
        </row>
        <row r="3500">
          <cell r="A3500">
            <v>104155</v>
          </cell>
          <cell r="B3500">
            <v>20469</v>
          </cell>
          <cell r="C3500">
            <v>20469</v>
          </cell>
          <cell r="D3500" t="str">
            <v>older</v>
          </cell>
          <cell r="E3500" t="str">
            <v>B</v>
          </cell>
          <cell r="F3500" t="str">
            <v>PSYCHIATRIC SOCIAL WORKER II</v>
          </cell>
          <cell r="G3500" t="str">
            <v>9035A</v>
          </cell>
          <cell r="H3500">
            <v>5425.82</v>
          </cell>
          <cell r="I3500">
            <v>1</v>
          </cell>
          <cell r="J3500">
            <v>12</v>
          </cell>
          <cell r="K3500">
            <v>1</v>
          </cell>
          <cell r="L3500">
            <v>65109.84</v>
          </cell>
        </row>
        <row r="3501">
          <cell r="A3501">
            <v>104265</v>
          </cell>
          <cell r="B3501">
            <v>20469</v>
          </cell>
          <cell r="C3501">
            <v>20469</v>
          </cell>
          <cell r="D3501" t="str">
            <v>older</v>
          </cell>
          <cell r="E3501" t="str">
            <v>B</v>
          </cell>
          <cell r="F3501" t="str">
            <v>PSYCHIATRIC SOCIAL WORKER II</v>
          </cell>
          <cell r="G3501" t="str">
            <v>9035A</v>
          </cell>
          <cell r="H3501">
            <v>5425.82</v>
          </cell>
          <cell r="I3501">
            <v>1</v>
          </cell>
          <cell r="J3501">
            <v>12</v>
          </cell>
          <cell r="K3501">
            <v>1</v>
          </cell>
          <cell r="L3501">
            <v>65109.84</v>
          </cell>
        </row>
        <row r="3502">
          <cell r="A3502">
            <v>104268</v>
          </cell>
          <cell r="B3502">
            <v>20469</v>
          </cell>
          <cell r="C3502">
            <v>20469</v>
          </cell>
          <cell r="D3502" t="str">
            <v>older</v>
          </cell>
          <cell r="E3502" t="str">
            <v>B</v>
          </cell>
          <cell r="F3502" t="str">
            <v>PSYCHIATRIC SOCIAL WORKER II</v>
          </cell>
          <cell r="G3502" t="str">
            <v>9035A</v>
          </cell>
          <cell r="H3502">
            <v>5425.82</v>
          </cell>
          <cell r="I3502">
            <v>1</v>
          </cell>
          <cell r="J3502">
            <v>9</v>
          </cell>
          <cell r="K3502">
            <v>0.75</v>
          </cell>
          <cell r="L3502">
            <v>48832.38</v>
          </cell>
        </row>
        <row r="3503">
          <cell r="A3503">
            <v>104269</v>
          </cell>
          <cell r="B3503">
            <v>20469</v>
          </cell>
          <cell r="C3503">
            <v>20469</v>
          </cell>
          <cell r="D3503" t="str">
            <v>older</v>
          </cell>
          <cell r="E3503" t="str">
            <v>B</v>
          </cell>
          <cell r="F3503" t="str">
            <v>PSYCHIATRIC SOCIAL WORKER II</v>
          </cell>
          <cell r="G3503" t="str">
            <v>9035A</v>
          </cell>
          <cell r="H3503">
            <v>5425.82</v>
          </cell>
          <cell r="I3503">
            <v>1</v>
          </cell>
          <cell r="J3503">
            <v>12</v>
          </cell>
          <cell r="K3503">
            <v>1</v>
          </cell>
          <cell r="L3503">
            <v>65109.84</v>
          </cell>
        </row>
        <row r="3504">
          <cell r="A3504">
            <v>103100</v>
          </cell>
          <cell r="B3504">
            <v>20469</v>
          </cell>
          <cell r="C3504">
            <v>20469</v>
          </cell>
          <cell r="D3504" t="str">
            <v>older</v>
          </cell>
          <cell r="E3504" t="str">
            <v>B</v>
          </cell>
          <cell r="F3504" t="str">
            <v>PSYCHIATRIC TECHNICIAN III</v>
          </cell>
          <cell r="G3504" t="str">
            <v>8163A</v>
          </cell>
          <cell r="H3504">
            <v>3705.73</v>
          </cell>
          <cell r="I3504">
            <v>1</v>
          </cell>
          <cell r="J3504">
            <v>12</v>
          </cell>
          <cell r="K3504">
            <v>1</v>
          </cell>
          <cell r="L3504">
            <v>44468.76</v>
          </cell>
        </row>
        <row r="3505">
          <cell r="A3505">
            <v>104660</v>
          </cell>
          <cell r="B3505">
            <v>20469</v>
          </cell>
          <cell r="C3505">
            <v>20469</v>
          </cell>
          <cell r="D3505" t="str">
            <v>older</v>
          </cell>
          <cell r="E3505" t="str">
            <v>B</v>
          </cell>
          <cell r="F3505" t="str">
            <v xml:space="preserve">SECRETARY III                      </v>
          </cell>
          <cell r="G3505" t="str">
            <v>2096A</v>
          </cell>
          <cell r="H3505">
            <v>3387</v>
          </cell>
          <cell r="I3505">
            <v>1</v>
          </cell>
          <cell r="J3505">
            <v>12</v>
          </cell>
          <cell r="K3505">
            <v>1</v>
          </cell>
          <cell r="L3505">
            <v>40643.839999999997</v>
          </cell>
        </row>
        <row r="3506">
          <cell r="A3506">
            <v>104262</v>
          </cell>
          <cell r="B3506">
            <v>20469</v>
          </cell>
          <cell r="C3506">
            <v>20469</v>
          </cell>
          <cell r="D3506" t="str">
            <v>older</v>
          </cell>
          <cell r="E3506" t="str">
            <v>B</v>
          </cell>
          <cell r="F3506" t="str">
            <v>SENIOR MENTAL HEALTH COUNSELOR, RN</v>
          </cell>
          <cell r="G3506" t="str">
            <v>5280A</v>
          </cell>
          <cell r="H3506">
            <v>6790.09</v>
          </cell>
          <cell r="I3506">
            <v>1</v>
          </cell>
          <cell r="J3506">
            <v>12</v>
          </cell>
          <cell r="K3506">
            <v>1</v>
          </cell>
          <cell r="L3506">
            <v>83105.40203389831</v>
          </cell>
        </row>
        <row r="3507">
          <cell r="A3507">
            <v>104574</v>
          </cell>
          <cell r="B3507">
            <v>20672</v>
          </cell>
          <cell r="C3507">
            <v>20469</v>
          </cell>
          <cell r="D3507" t="str">
            <v>older</v>
          </cell>
          <cell r="E3507" t="str">
            <v>B</v>
          </cell>
          <cell r="F3507" t="str">
            <v>SUBSTANCE ABUSE COUNSELOR</v>
          </cell>
          <cell r="G3507" t="str">
            <v>5884A</v>
          </cell>
          <cell r="H3507">
            <v>3210</v>
          </cell>
          <cell r="I3507">
            <v>1</v>
          </cell>
          <cell r="J3507">
            <v>12</v>
          </cell>
          <cell r="K3507">
            <v>1</v>
          </cell>
          <cell r="L3507">
            <v>38520</v>
          </cell>
        </row>
        <row r="3508">
          <cell r="A3508">
            <v>103277</v>
          </cell>
          <cell r="B3508">
            <v>23001</v>
          </cell>
          <cell r="C3508">
            <v>23001</v>
          </cell>
          <cell r="D3508" t="str">
            <v>older</v>
          </cell>
          <cell r="E3508" t="str">
            <v>B</v>
          </cell>
          <cell r="F3508" t="str">
            <v xml:space="preserve">CHIEF MENTAL HEALTH PSYCHIATRIST   </v>
          </cell>
          <cell r="G3508" t="str">
            <v>4739A</v>
          </cell>
          <cell r="H3508">
            <v>15046</v>
          </cell>
          <cell r="I3508">
            <v>1</v>
          </cell>
          <cell r="J3508">
            <v>2</v>
          </cell>
          <cell r="K3508">
            <v>0.16666666666666666</v>
          </cell>
          <cell r="L3508">
            <v>30092</v>
          </cell>
        </row>
        <row r="3509">
          <cell r="A3509">
            <v>104619</v>
          </cell>
          <cell r="B3509">
            <v>18587</v>
          </cell>
          <cell r="C3509">
            <v>23001</v>
          </cell>
          <cell r="D3509" t="str">
            <v>older</v>
          </cell>
          <cell r="E3509" t="str">
            <v>B</v>
          </cell>
          <cell r="F3509" t="str">
            <v xml:space="preserve">CLERK                              </v>
          </cell>
          <cell r="G3509" t="str">
            <v>1136A</v>
          </cell>
          <cell r="H3509">
            <v>1953.36</v>
          </cell>
          <cell r="I3509">
            <v>1</v>
          </cell>
          <cell r="J3509">
            <v>12</v>
          </cell>
          <cell r="K3509">
            <v>1</v>
          </cell>
          <cell r="L3509">
            <v>23440.48</v>
          </cell>
        </row>
        <row r="3510">
          <cell r="A3510">
            <v>106374</v>
          </cell>
          <cell r="B3510">
            <v>21564</v>
          </cell>
          <cell r="C3510">
            <v>23001</v>
          </cell>
          <cell r="D3510" t="str">
            <v>older</v>
          </cell>
          <cell r="E3510" t="str">
            <v>B</v>
          </cell>
          <cell r="F3510" t="str">
            <v>CLINICAL PSYCHOLOGIST II</v>
          </cell>
          <cell r="G3510" t="str">
            <v>8697A</v>
          </cell>
          <cell r="H3510">
            <v>6993.82</v>
          </cell>
          <cell r="I3510">
            <v>1</v>
          </cell>
          <cell r="J3510">
            <v>12</v>
          </cell>
          <cell r="K3510">
            <v>1</v>
          </cell>
          <cell r="L3510">
            <v>83925.52</v>
          </cell>
        </row>
        <row r="3511">
          <cell r="A3511">
            <v>104671</v>
          </cell>
          <cell r="B3511">
            <v>23001</v>
          </cell>
          <cell r="C3511">
            <v>23001</v>
          </cell>
          <cell r="D3511" t="str">
            <v>older</v>
          </cell>
          <cell r="E3511" t="str">
            <v>B</v>
          </cell>
          <cell r="F3511" t="str">
            <v>COMMUNITY WORKER</v>
          </cell>
          <cell r="G3511" t="str">
            <v>8103A</v>
          </cell>
          <cell r="H3511">
            <v>2984.09</v>
          </cell>
          <cell r="I3511">
            <v>1</v>
          </cell>
          <cell r="J3511">
            <v>12</v>
          </cell>
          <cell r="K3511">
            <v>1</v>
          </cell>
          <cell r="L3511">
            <v>35809.08</v>
          </cell>
        </row>
        <row r="3512">
          <cell r="A3512">
            <v>104689</v>
          </cell>
          <cell r="B3512">
            <v>23001</v>
          </cell>
          <cell r="C3512">
            <v>23001</v>
          </cell>
          <cell r="D3512" t="str">
            <v>older</v>
          </cell>
          <cell r="E3512" t="str">
            <v>B</v>
          </cell>
          <cell r="F3512" t="str">
            <v>INTERMEDIATE TYPIST-CLERK</v>
          </cell>
          <cell r="G3512" t="str">
            <v>2214A</v>
          </cell>
          <cell r="H3512">
            <v>2675.27</v>
          </cell>
          <cell r="I3512">
            <v>1</v>
          </cell>
          <cell r="J3512">
            <v>12</v>
          </cell>
          <cell r="K3512">
            <v>1</v>
          </cell>
          <cell r="L3512">
            <v>32103.16</v>
          </cell>
        </row>
        <row r="3513">
          <cell r="A3513">
            <v>104693</v>
          </cell>
          <cell r="B3513">
            <v>23001</v>
          </cell>
          <cell r="C3513">
            <v>23001</v>
          </cell>
          <cell r="D3513" t="str">
            <v>older</v>
          </cell>
          <cell r="E3513" t="str">
            <v>B</v>
          </cell>
          <cell r="F3513" t="str">
            <v>INTERMEDIATE TYPIST-CLERK</v>
          </cell>
          <cell r="G3513" t="str">
            <v>2214A</v>
          </cell>
          <cell r="H3513">
            <v>2675.27</v>
          </cell>
          <cell r="I3513">
            <v>1</v>
          </cell>
          <cell r="J3513">
            <v>12</v>
          </cell>
          <cell r="K3513">
            <v>1</v>
          </cell>
          <cell r="L3513">
            <v>32103.16</v>
          </cell>
        </row>
        <row r="3514">
          <cell r="A3514">
            <v>104694</v>
          </cell>
          <cell r="B3514">
            <v>23001</v>
          </cell>
          <cell r="C3514">
            <v>23001</v>
          </cell>
          <cell r="D3514" t="str">
            <v>older</v>
          </cell>
          <cell r="E3514" t="str">
            <v>B</v>
          </cell>
          <cell r="F3514" t="str">
            <v>INTERMEDIATE TYPIST-CLERK</v>
          </cell>
          <cell r="G3514" t="str">
            <v>2214A</v>
          </cell>
          <cell r="H3514">
            <v>2675.27</v>
          </cell>
          <cell r="I3514">
            <v>1</v>
          </cell>
          <cell r="J3514">
            <v>12</v>
          </cell>
          <cell r="K3514">
            <v>1</v>
          </cell>
          <cell r="L3514">
            <v>32103.16</v>
          </cell>
        </row>
        <row r="3515">
          <cell r="A3515">
            <v>106506</v>
          </cell>
          <cell r="B3515">
            <v>23001</v>
          </cell>
          <cell r="C3515">
            <v>23001</v>
          </cell>
          <cell r="D3515" t="str">
            <v>older</v>
          </cell>
          <cell r="E3515" t="str">
            <v>B</v>
          </cell>
          <cell r="F3515" t="str">
            <v>INTERMEDIATE TYPIST-CLERK</v>
          </cell>
          <cell r="G3515" t="str">
            <v>2214A</v>
          </cell>
          <cell r="H3515">
            <v>2675.27</v>
          </cell>
          <cell r="I3515">
            <v>1</v>
          </cell>
          <cell r="J3515">
            <v>12</v>
          </cell>
          <cell r="K3515">
            <v>1</v>
          </cell>
          <cell r="L3515">
            <v>32103.16</v>
          </cell>
        </row>
        <row r="3516">
          <cell r="A3516">
            <v>109676</v>
          </cell>
          <cell r="B3516">
            <v>23001</v>
          </cell>
          <cell r="C3516">
            <v>23001</v>
          </cell>
          <cell r="D3516" t="str">
            <v>older</v>
          </cell>
          <cell r="E3516" t="str">
            <v>B</v>
          </cell>
          <cell r="F3516" t="str">
            <v>INTERMEDIATE TYPIST-CLERK</v>
          </cell>
          <cell r="G3516" t="str">
            <v>2214A</v>
          </cell>
          <cell r="H3516">
            <v>2675.27</v>
          </cell>
          <cell r="I3516">
            <v>1</v>
          </cell>
          <cell r="J3516">
            <v>12</v>
          </cell>
          <cell r="K3516">
            <v>1</v>
          </cell>
          <cell r="L3516">
            <v>32103.24</v>
          </cell>
        </row>
        <row r="3517">
          <cell r="A3517">
            <v>109677</v>
          </cell>
          <cell r="B3517">
            <v>23001</v>
          </cell>
          <cell r="C3517">
            <v>23001</v>
          </cell>
          <cell r="D3517" t="str">
            <v>older</v>
          </cell>
          <cell r="E3517" t="str">
            <v>B</v>
          </cell>
          <cell r="F3517" t="str">
            <v>INTERMEDIATE TYPIST-CLERK</v>
          </cell>
          <cell r="G3517" t="str">
            <v>2214A</v>
          </cell>
          <cell r="H3517">
            <v>2675.27</v>
          </cell>
          <cell r="I3517">
            <v>1</v>
          </cell>
          <cell r="J3517">
            <v>12</v>
          </cell>
          <cell r="K3517">
            <v>1</v>
          </cell>
          <cell r="L3517">
            <v>32103.24</v>
          </cell>
        </row>
        <row r="3518">
          <cell r="A3518">
            <v>109678</v>
          </cell>
          <cell r="B3518">
            <v>23001</v>
          </cell>
          <cell r="C3518">
            <v>23001</v>
          </cell>
          <cell r="D3518" t="str">
            <v>older</v>
          </cell>
          <cell r="E3518" t="str">
            <v>B</v>
          </cell>
          <cell r="F3518" t="str">
            <v>INTERMEDIATE TYPIST-CLERK</v>
          </cell>
          <cell r="G3518" t="str">
            <v>2214A</v>
          </cell>
          <cell r="H3518">
            <v>2675.27</v>
          </cell>
          <cell r="I3518">
            <v>1</v>
          </cell>
          <cell r="J3518">
            <v>12</v>
          </cell>
          <cell r="K3518">
            <v>1</v>
          </cell>
          <cell r="L3518">
            <v>32103.24</v>
          </cell>
        </row>
        <row r="3519">
          <cell r="A3519">
            <v>100484</v>
          </cell>
          <cell r="B3519">
            <v>23001</v>
          </cell>
          <cell r="C3519">
            <v>23001</v>
          </cell>
          <cell r="D3519" t="str">
            <v>older</v>
          </cell>
          <cell r="E3519" t="str">
            <v>B</v>
          </cell>
          <cell r="F3519" t="str">
            <v>MEDICAL CASE WORKER II</v>
          </cell>
          <cell r="G3519" t="str">
            <v>9002A</v>
          </cell>
          <cell r="H3519">
            <v>3938.82</v>
          </cell>
          <cell r="I3519">
            <v>1</v>
          </cell>
          <cell r="J3519">
            <v>12</v>
          </cell>
          <cell r="K3519">
            <v>1</v>
          </cell>
          <cell r="L3519">
            <v>47265.68</v>
          </cell>
        </row>
        <row r="3520">
          <cell r="A3520">
            <v>109197</v>
          </cell>
          <cell r="B3520">
            <v>27506</v>
          </cell>
          <cell r="C3520">
            <v>23001</v>
          </cell>
          <cell r="D3520" t="str">
            <v>older</v>
          </cell>
          <cell r="E3520" t="str">
            <v>B</v>
          </cell>
          <cell r="F3520" t="str">
            <v>MEDICAL CASE WORKER II</v>
          </cell>
          <cell r="G3520" t="str">
            <v>9002A</v>
          </cell>
          <cell r="H3520">
            <v>3938.82</v>
          </cell>
          <cell r="I3520">
            <v>1</v>
          </cell>
          <cell r="J3520">
            <v>12</v>
          </cell>
          <cell r="K3520">
            <v>1</v>
          </cell>
          <cell r="L3520">
            <v>47265.68</v>
          </cell>
        </row>
        <row r="3521">
          <cell r="A3521">
            <v>108075</v>
          </cell>
          <cell r="B3521">
            <v>23036</v>
          </cell>
          <cell r="C3521">
            <v>23001</v>
          </cell>
          <cell r="D3521" t="str">
            <v>older</v>
          </cell>
          <cell r="E3521" t="str">
            <v>B</v>
          </cell>
          <cell r="F3521" t="str">
            <v>MENTAL HEALTH CLINICIAN</v>
          </cell>
          <cell r="G3521" t="str">
            <v>9030A</v>
          </cell>
          <cell r="H3521">
            <v>5139.6400000000003</v>
          </cell>
          <cell r="I3521">
            <v>1</v>
          </cell>
          <cell r="J3521">
            <v>12</v>
          </cell>
          <cell r="K3521">
            <v>1</v>
          </cell>
          <cell r="L3521">
            <v>61675.68</v>
          </cell>
        </row>
        <row r="3522">
          <cell r="A3522">
            <v>104290</v>
          </cell>
          <cell r="B3522">
            <v>23001</v>
          </cell>
          <cell r="C3522">
            <v>23001</v>
          </cell>
          <cell r="D3522" t="str">
            <v>older</v>
          </cell>
          <cell r="E3522" t="str">
            <v>B</v>
          </cell>
          <cell r="F3522" t="str">
            <v>MENTAL HEALTH CONSULTANT,MD(PER SESSION)</v>
          </cell>
          <cell r="G3522" t="str">
            <v>5467J</v>
          </cell>
          <cell r="H3522">
            <v>314</v>
          </cell>
          <cell r="I3522">
            <v>1</v>
          </cell>
          <cell r="J3522">
            <v>104</v>
          </cell>
          <cell r="K3522">
            <v>0.19923371647509577</v>
          </cell>
          <cell r="L3522">
            <v>32656.080000000002</v>
          </cell>
        </row>
        <row r="3523">
          <cell r="A3523">
            <v>103472</v>
          </cell>
          <cell r="B3523">
            <v>18662</v>
          </cell>
          <cell r="C3523">
            <v>23001</v>
          </cell>
          <cell r="D3523" t="str">
            <v>older</v>
          </cell>
          <cell r="E3523" t="str">
            <v>B</v>
          </cell>
          <cell r="F3523" t="str">
            <v>MENTAL HEALTH COUNSELOR, RN</v>
          </cell>
          <cell r="G3523" t="str">
            <v>5278A</v>
          </cell>
          <cell r="H3523">
            <v>6275.27</v>
          </cell>
          <cell r="I3523">
            <v>1</v>
          </cell>
          <cell r="J3523">
            <v>12</v>
          </cell>
          <cell r="K3523">
            <v>1</v>
          </cell>
          <cell r="L3523">
            <v>76804.323333333334</v>
          </cell>
        </row>
        <row r="3524">
          <cell r="A3524">
            <v>100729</v>
          </cell>
          <cell r="B3524">
            <v>23001</v>
          </cell>
          <cell r="C3524">
            <v>23001</v>
          </cell>
          <cell r="D3524" t="str">
            <v>older</v>
          </cell>
          <cell r="E3524" t="str">
            <v>B</v>
          </cell>
          <cell r="F3524" t="str">
            <v>MENTAL HEALTH PSYCHIATRIST</v>
          </cell>
          <cell r="G3524" t="str">
            <v>4735A</v>
          </cell>
          <cell r="H3524">
            <v>12844</v>
          </cell>
          <cell r="I3524">
            <v>1</v>
          </cell>
          <cell r="J3524">
            <v>12</v>
          </cell>
          <cell r="K3524">
            <v>1</v>
          </cell>
          <cell r="L3524">
            <v>154128</v>
          </cell>
        </row>
        <row r="3525">
          <cell r="A3525">
            <v>100748</v>
          </cell>
          <cell r="B3525">
            <v>23001</v>
          </cell>
          <cell r="C3525">
            <v>23001</v>
          </cell>
          <cell r="D3525" t="str">
            <v>older</v>
          </cell>
          <cell r="E3525" t="str">
            <v>B</v>
          </cell>
          <cell r="F3525" t="str">
            <v>MENTAL HEALTH PSYCHIATRIST</v>
          </cell>
          <cell r="G3525" t="str">
            <v>4735A</v>
          </cell>
          <cell r="H3525">
            <v>12844</v>
          </cell>
          <cell r="I3525">
            <v>1</v>
          </cell>
          <cell r="J3525">
            <v>12</v>
          </cell>
          <cell r="K3525">
            <v>1</v>
          </cell>
          <cell r="L3525">
            <v>154128</v>
          </cell>
        </row>
        <row r="3526">
          <cell r="A3526">
            <v>101884</v>
          </cell>
          <cell r="B3526">
            <v>23001</v>
          </cell>
          <cell r="C3526">
            <v>23001</v>
          </cell>
          <cell r="D3526" t="str">
            <v>older</v>
          </cell>
          <cell r="E3526" t="str">
            <v>B</v>
          </cell>
          <cell r="F3526" t="str">
            <v>MENTAL HEALTH PSYCHIATRIST</v>
          </cell>
          <cell r="G3526" t="str">
            <v>4735A</v>
          </cell>
          <cell r="H3526">
            <v>12844</v>
          </cell>
          <cell r="I3526">
            <v>1</v>
          </cell>
          <cell r="J3526">
            <v>12</v>
          </cell>
          <cell r="K3526">
            <v>1</v>
          </cell>
          <cell r="L3526">
            <v>154128</v>
          </cell>
        </row>
        <row r="3527">
          <cell r="A3527">
            <v>103261</v>
          </cell>
          <cell r="B3527">
            <v>20499</v>
          </cell>
          <cell r="C3527">
            <v>23001</v>
          </cell>
          <cell r="D3527" t="str">
            <v>older</v>
          </cell>
          <cell r="E3527" t="str">
            <v>B</v>
          </cell>
          <cell r="F3527" t="str">
            <v>MENTAL HEALTH PSYCHIATRIST</v>
          </cell>
          <cell r="G3527" t="str">
            <v>4735A</v>
          </cell>
          <cell r="H3527">
            <v>12844</v>
          </cell>
          <cell r="I3527">
            <v>1</v>
          </cell>
          <cell r="J3527">
            <v>6</v>
          </cell>
          <cell r="K3527">
            <v>0.5</v>
          </cell>
          <cell r="L3527">
            <v>77064</v>
          </cell>
        </row>
        <row r="3528">
          <cell r="A3528">
            <v>103932</v>
          </cell>
          <cell r="B3528">
            <v>23001</v>
          </cell>
          <cell r="C3528">
            <v>23001</v>
          </cell>
          <cell r="D3528" t="str">
            <v>older</v>
          </cell>
          <cell r="E3528" t="str">
            <v>B</v>
          </cell>
          <cell r="F3528" t="str">
            <v>MENTAL HEALTH PSYCHIATRIST</v>
          </cell>
          <cell r="G3528" t="str">
            <v>4735A</v>
          </cell>
          <cell r="H3528">
            <v>12844</v>
          </cell>
          <cell r="I3528">
            <v>1</v>
          </cell>
          <cell r="J3528">
            <v>4</v>
          </cell>
          <cell r="K3528">
            <v>0.33333333333333331</v>
          </cell>
          <cell r="L3528">
            <v>51376</v>
          </cell>
        </row>
        <row r="3529">
          <cell r="A3529">
            <v>104292</v>
          </cell>
          <cell r="B3529">
            <v>23001</v>
          </cell>
          <cell r="C3529">
            <v>23001</v>
          </cell>
          <cell r="D3529" t="str">
            <v>older</v>
          </cell>
          <cell r="E3529" t="str">
            <v>B</v>
          </cell>
          <cell r="F3529" t="str">
            <v>MENTAL HEALTH PSYCHIATRIST</v>
          </cell>
          <cell r="G3529" t="str">
            <v>4735A</v>
          </cell>
          <cell r="H3529">
            <v>12844</v>
          </cell>
          <cell r="I3529">
            <v>1</v>
          </cell>
          <cell r="J3529">
            <v>12</v>
          </cell>
          <cell r="K3529">
            <v>1</v>
          </cell>
          <cell r="L3529">
            <v>154128</v>
          </cell>
        </row>
        <row r="3530">
          <cell r="A3530">
            <v>104295</v>
          </cell>
          <cell r="B3530">
            <v>23001</v>
          </cell>
          <cell r="C3530">
            <v>23001</v>
          </cell>
          <cell r="D3530" t="str">
            <v>older</v>
          </cell>
          <cell r="E3530" t="str">
            <v>B</v>
          </cell>
          <cell r="F3530" t="str">
            <v>MENTAL HEALTH PSYCHIATRIST</v>
          </cell>
          <cell r="G3530" t="str">
            <v>4735A</v>
          </cell>
          <cell r="H3530">
            <v>12844</v>
          </cell>
          <cell r="I3530">
            <v>1</v>
          </cell>
          <cell r="J3530">
            <v>3</v>
          </cell>
          <cell r="K3530">
            <v>0.25</v>
          </cell>
          <cell r="L3530">
            <v>38532</v>
          </cell>
        </row>
        <row r="3531">
          <cell r="A3531">
            <v>104298</v>
          </cell>
          <cell r="B3531">
            <v>23001</v>
          </cell>
          <cell r="C3531">
            <v>23001</v>
          </cell>
          <cell r="D3531" t="str">
            <v>older</v>
          </cell>
          <cell r="E3531" t="str">
            <v>B</v>
          </cell>
          <cell r="F3531" t="str">
            <v>MENTAL HEALTH PSYCHIATRIST</v>
          </cell>
          <cell r="G3531" t="str">
            <v>4735A</v>
          </cell>
          <cell r="H3531">
            <v>12844</v>
          </cell>
          <cell r="I3531">
            <v>1</v>
          </cell>
          <cell r="J3531">
            <v>12</v>
          </cell>
          <cell r="K3531">
            <v>1</v>
          </cell>
          <cell r="L3531">
            <v>154128</v>
          </cell>
        </row>
        <row r="3532">
          <cell r="A3532">
            <v>104299</v>
          </cell>
          <cell r="B3532">
            <v>23001</v>
          </cell>
          <cell r="C3532">
            <v>23001</v>
          </cell>
          <cell r="D3532" t="str">
            <v>older</v>
          </cell>
          <cell r="E3532" t="str">
            <v>B</v>
          </cell>
          <cell r="F3532" t="str">
            <v>MENTAL HEALTH PSYCHIATRIST</v>
          </cell>
          <cell r="G3532" t="str">
            <v>4735A</v>
          </cell>
          <cell r="H3532">
            <v>12844</v>
          </cell>
          <cell r="I3532">
            <v>1</v>
          </cell>
          <cell r="J3532">
            <v>9</v>
          </cell>
          <cell r="K3532">
            <v>0.75</v>
          </cell>
          <cell r="L3532">
            <v>115596</v>
          </cell>
        </row>
        <row r="3533">
          <cell r="A3533">
            <v>104300</v>
          </cell>
          <cell r="B3533">
            <v>23001</v>
          </cell>
          <cell r="C3533">
            <v>23001</v>
          </cell>
          <cell r="D3533" t="str">
            <v>older</v>
          </cell>
          <cell r="E3533" t="str">
            <v>B</v>
          </cell>
          <cell r="F3533" t="str">
            <v>MENTAL HEALTH PSYCHIATRIST</v>
          </cell>
          <cell r="G3533" t="str">
            <v>4735A</v>
          </cell>
          <cell r="H3533">
            <v>12844</v>
          </cell>
          <cell r="I3533">
            <v>1</v>
          </cell>
          <cell r="J3533">
            <v>12</v>
          </cell>
          <cell r="K3533">
            <v>1</v>
          </cell>
          <cell r="L3533">
            <v>154128</v>
          </cell>
        </row>
        <row r="3534">
          <cell r="A3534">
            <v>104857</v>
          </cell>
          <cell r="B3534">
            <v>21531</v>
          </cell>
          <cell r="C3534">
            <v>23001</v>
          </cell>
          <cell r="D3534" t="str">
            <v>older</v>
          </cell>
          <cell r="E3534" t="str">
            <v>B</v>
          </cell>
          <cell r="F3534" t="str">
            <v>MENTAL HEALTH PSYCHIATRIST</v>
          </cell>
          <cell r="G3534" t="str">
            <v>4735A</v>
          </cell>
          <cell r="H3534">
            <v>12844</v>
          </cell>
          <cell r="I3534">
            <v>1</v>
          </cell>
          <cell r="J3534">
            <v>12</v>
          </cell>
          <cell r="K3534">
            <v>1</v>
          </cell>
          <cell r="L3534">
            <v>154128</v>
          </cell>
        </row>
        <row r="3535">
          <cell r="A3535">
            <v>104083</v>
          </cell>
          <cell r="B3535">
            <v>18703</v>
          </cell>
          <cell r="C3535">
            <v>23001</v>
          </cell>
          <cell r="D3535" t="str">
            <v>older</v>
          </cell>
          <cell r="E3535" t="str">
            <v>B</v>
          </cell>
          <cell r="F3535" t="str">
            <v>MENTAL HEALTH SERVICES COORD I</v>
          </cell>
          <cell r="G3535" t="str">
            <v>8148A</v>
          </cell>
          <cell r="H3535">
            <v>5126.91</v>
          </cell>
          <cell r="I3535">
            <v>1</v>
          </cell>
          <cell r="J3535">
            <v>12</v>
          </cell>
          <cell r="K3535">
            <v>1</v>
          </cell>
          <cell r="L3535">
            <v>61522.92</v>
          </cell>
        </row>
        <row r="3536">
          <cell r="A3536">
            <v>102820</v>
          </cell>
          <cell r="B3536">
            <v>23001</v>
          </cell>
          <cell r="C3536">
            <v>23001</v>
          </cell>
          <cell r="D3536" t="str">
            <v>older</v>
          </cell>
          <cell r="E3536" t="str">
            <v>B</v>
          </cell>
          <cell r="F3536" t="str">
            <v>MENTAL HLTH CLINICAL DIST CHIEF</v>
          </cell>
          <cell r="G3536" t="str">
            <v>4722A</v>
          </cell>
          <cell r="H3536">
            <v>10074</v>
          </cell>
          <cell r="I3536">
            <v>1</v>
          </cell>
          <cell r="J3536">
            <v>12</v>
          </cell>
          <cell r="K3536">
            <v>1</v>
          </cell>
          <cell r="L3536">
            <v>120887.6</v>
          </cell>
        </row>
        <row r="3537">
          <cell r="A3537">
            <v>104767</v>
          </cell>
          <cell r="B3537">
            <v>23001</v>
          </cell>
          <cell r="C3537">
            <v>23001</v>
          </cell>
          <cell r="D3537" t="str">
            <v>older</v>
          </cell>
          <cell r="E3537" t="str">
            <v>B</v>
          </cell>
          <cell r="F3537" t="str">
            <v xml:space="preserve">OCCUPATIONAL THERAPIST II          </v>
          </cell>
          <cell r="G3537" t="str">
            <v>5857A</v>
          </cell>
          <cell r="H3537">
            <v>6416.09</v>
          </cell>
          <cell r="I3537">
            <v>1</v>
          </cell>
          <cell r="J3537">
            <v>12</v>
          </cell>
          <cell r="K3537">
            <v>1</v>
          </cell>
          <cell r="L3537">
            <v>76993.16</v>
          </cell>
        </row>
        <row r="3538">
          <cell r="A3538">
            <v>106338</v>
          </cell>
          <cell r="B3538">
            <v>21561</v>
          </cell>
          <cell r="C3538">
            <v>23001</v>
          </cell>
          <cell r="D3538" t="str">
            <v>older</v>
          </cell>
          <cell r="E3538" t="str">
            <v>B</v>
          </cell>
          <cell r="F3538" t="str">
            <v>PATIENT RESOURCES WORKER</v>
          </cell>
          <cell r="G3538" t="str">
            <v>9192A</v>
          </cell>
          <cell r="H3538">
            <v>2748.27</v>
          </cell>
          <cell r="I3538">
            <v>1</v>
          </cell>
          <cell r="J3538">
            <v>12</v>
          </cell>
          <cell r="K3538">
            <v>1</v>
          </cell>
          <cell r="L3538">
            <v>32979.24</v>
          </cell>
        </row>
        <row r="3539">
          <cell r="A3539">
            <v>109756</v>
          </cell>
          <cell r="B3539">
            <v>23001</v>
          </cell>
          <cell r="C3539">
            <v>23001</v>
          </cell>
          <cell r="D3539" t="str">
            <v>older</v>
          </cell>
          <cell r="E3539" t="str">
            <v>B</v>
          </cell>
          <cell r="F3539" t="str">
            <v>PATIENT RESOURCES WORKER</v>
          </cell>
          <cell r="G3539" t="str">
            <v>9192A</v>
          </cell>
          <cell r="H3539">
            <v>2748.27</v>
          </cell>
          <cell r="I3539">
            <v>1</v>
          </cell>
          <cell r="J3539">
            <v>12</v>
          </cell>
          <cell r="K3539">
            <v>1</v>
          </cell>
          <cell r="L3539">
            <v>32979.24</v>
          </cell>
        </row>
        <row r="3540">
          <cell r="A3540">
            <v>109757</v>
          </cell>
          <cell r="B3540">
            <v>23001</v>
          </cell>
          <cell r="C3540">
            <v>23001</v>
          </cell>
          <cell r="D3540" t="str">
            <v>older</v>
          </cell>
          <cell r="E3540" t="str">
            <v>B</v>
          </cell>
          <cell r="F3540" t="str">
            <v>PATIENT RESOURCES WORKER</v>
          </cell>
          <cell r="G3540" t="str">
            <v>9192A</v>
          </cell>
          <cell r="H3540">
            <v>2748.27</v>
          </cell>
          <cell r="I3540">
            <v>1</v>
          </cell>
          <cell r="J3540">
            <v>12</v>
          </cell>
          <cell r="K3540">
            <v>1</v>
          </cell>
          <cell r="L3540">
            <v>32979.24</v>
          </cell>
        </row>
        <row r="3541">
          <cell r="A3541">
            <v>101016</v>
          </cell>
          <cell r="B3541">
            <v>20452</v>
          </cell>
          <cell r="C3541">
            <v>23001</v>
          </cell>
          <cell r="D3541" t="str">
            <v>older</v>
          </cell>
          <cell r="E3541" t="str">
            <v>B</v>
          </cell>
          <cell r="F3541" t="str">
            <v>PSYCHIATRIC SOCIAL WORKER II</v>
          </cell>
          <cell r="G3541" t="str">
            <v>9035A</v>
          </cell>
          <cell r="H3541">
            <v>5425.82</v>
          </cell>
          <cell r="I3541">
            <v>1</v>
          </cell>
          <cell r="J3541">
            <v>12</v>
          </cell>
          <cell r="K3541">
            <v>1</v>
          </cell>
          <cell r="L3541">
            <v>65109.84</v>
          </cell>
        </row>
        <row r="3542">
          <cell r="A3542">
            <v>101020</v>
          </cell>
          <cell r="B3542">
            <v>23001</v>
          </cell>
          <cell r="C3542">
            <v>23001</v>
          </cell>
          <cell r="D3542" t="str">
            <v>older</v>
          </cell>
          <cell r="E3542" t="str">
            <v>B</v>
          </cell>
          <cell r="F3542" t="str">
            <v>PSYCHIATRIC SOCIAL WORKER II</v>
          </cell>
          <cell r="G3542" t="str">
            <v>9035A</v>
          </cell>
          <cell r="H3542">
            <v>5425.82</v>
          </cell>
          <cell r="I3542">
            <v>1</v>
          </cell>
          <cell r="J3542">
            <v>12</v>
          </cell>
          <cell r="K3542">
            <v>1</v>
          </cell>
          <cell r="L3542">
            <v>65109.84</v>
          </cell>
        </row>
        <row r="3543">
          <cell r="A3543">
            <v>101022</v>
          </cell>
          <cell r="B3543">
            <v>20575</v>
          </cell>
          <cell r="C3543">
            <v>23001</v>
          </cell>
          <cell r="D3543" t="str">
            <v>older</v>
          </cell>
          <cell r="E3543" t="str">
            <v>B</v>
          </cell>
          <cell r="F3543" t="str">
            <v>PSYCHIATRIC SOCIAL WORKER II</v>
          </cell>
          <cell r="G3543" t="str">
            <v>9035A</v>
          </cell>
          <cell r="H3543">
            <v>5425.82</v>
          </cell>
          <cell r="I3543">
            <v>1</v>
          </cell>
          <cell r="J3543">
            <v>12</v>
          </cell>
          <cell r="K3543">
            <v>1</v>
          </cell>
          <cell r="L3543">
            <v>65109.84</v>
          </cell>
        </row>
        <row r="3544">
          <cell r="A3544">
            <v>101025</v>
          </cell>
          <cell r="B3544">
            <v>23001</v>
          </cell>
          <cell r="C3544">
            <v>23001</v>
          </cell>
          <cell r="D3544" t="str">
            <v>older</v>
          </cell>
          <cell r="E3544" t="str">
            <v>B</v>
          </cell>
          <cell r="F3544" t="str">
            <v>PSYCHIATRIC SOCIAL WORKER II</v>
          </cell>
          <cell r="G3544" t="str">
            <v>9035A</v>
          </cell>
          <cell r="H3544">
            <v>5425.82</v>
          </cell>
          <cell r="I3544">
            <v>1</v>
          </cell>
          <cell r="J3544">
            <v>12</v>
          </cell>
          <cell r="K3544">
            <v>1</v>
          </cell>
          <cell r="L3544">
            <v>65109.84</v>
          </cell>
        </row>
        <row r="3545">
          <cell r="A3545">
            <v>101184</v>
          </cell>
          <cell r="B3545">
            <v>21572</v>
          </cell>
          <cell r="C3545">
            <v>23001</v>
          </cell>
          <cell r="D3545" t="str">
            <v>older</v>
          </cell>
          <cell r="E3545" t="str">
            <v>B</v>
          </cell>
          <cell r="F3545" t="str">
            <v>PSYCHIATRIC SOCIAL WORKER II</v>
          </cell>
          <cell r="G3545" t="str">
            <v>9035A</v>
          </cell>
          <cell r="H3545">
            <v>5425.82</v>
          </cell>
          <cell r="I3545">
            <v>1</v>
          </cell>
          <cell r="J3545">
            <v>12</v>
          </cell>
          <cell r="K3545">
            <v>1</v>
          </cell>
          <cell r="L3545">
            <v>65109.84</v>
          </cell>
        </row>
        <row r="3546">
          <cell r="A3546">
            <v>101201</v>
          </cell>
          <cell r="B3546">
            <v>21572</v>
          </cell>
          <cell r="C3546">
            <v>23001</v>
          </cell>
          <cell r="D3546" t="str">
            <v>older</v>
          </cell>
          <cell r="E3546" t="str">
            <v>B</v>
          </cell>
          <cell r="F3546" t="str">
            <v>PSYCHIATRIC SOCIAL WORKER II</v>
          </cell>
          <cell r="G3546" t="str">
            <v>9035A</v>
          </cell>
          <cell r="H3546">
            <v>5425.82</v>
          </cell>
          <cell r="I3546">
            <v>1</v>
          </cell>
          <cell r="J3546">
            <v>12</v>
          </cell>
          <cell r="K3546">
            <v>1</v>
          </cell>
          <cell r="L3546">
            <v>65109.84</v>
          </cell>
        </row>
        <row r="3547">
          <cell r="A3547">
            <v>103846</v>
          </cell>
          <cell r="B3547">
            <v>20492</v>
          </cell>
          <cell r="C3547">
            <v>23001</v>
          </cell>
          <cell r="D3547" t="str">
            <v>older</v>
          </cell>
          <cell r="E3547" t="str">
            <v>B</v>
          </cell>
          <cell r="F3547" t="str">
            <v>PSYCHIATRIC SOCIAL WORKER II</v>
          </cell>
          <cell r="G3547" t="str">
            <v>9035A</v>
          </cell>
          <cell r="H3547">
            <v>5425.82</v>
          </cell>
          <cell r="I3547">
            <v>1</v>
          </cell>
          <cell r="J3547">
            <v>12</v>
          </cell>
          <cell r="K3547">
            <v>1</v>
          </cell>
          <cell r="L3547">
            <v>65109.84</v>
          </cell>
        </row>
        <row r="3548">
          <cell r="A3548">
            <v>103948</v>
          </cell>
          <cell r="B3548">
            <v>23001</v>
          </cell>
          <cell r="C3548">
            <v>23001</v>
          </cell>
          <cell r="D3548" t="str">
            <v>older</v>
          </cell>
          <cell r="E3548" t="str">
            <v>B</v>
          </cell>
          <cell r="F3548" t="str">
            <v>PSYCHIATRIC SOCIAL WORKER II</v>
          </cell>
          <cell r="G3548" t="str">
            <v>9035A</v>
          </cell>
          <cell r="H3548">
            <v>5425.82</v>
          </cell>
          <cell r="I3548">
            <v>1</v>
          </cell>
          <cell r="J3548">
            <v>12</v>
          </cell>
          <cell r="K3548">
            <v>1</v>
          </cell>
          <cell r="L3548">
            <v>65109.84</v>
          </cell>
        </row>
        <row r="3549">
          <cell r="A3549">
            <v>104134</v>
          </cell>
          <cell r="B3549">
            <v>18588</v>
          </cell>
          <cell r="C3549">
            <v>23001</v>
          </cell>
          <cell r="D3549" t="str">
            <v>older</v>
          </cell>
          <cell r="E3549" t="str">
            <v>B</v>
          </cell>
          <cell r="F3549" t="str">
            <v>PSYCHIATRIC SOCIAL WORKER II</v>
          </cell>
          <cell r="G3549" t="str">
            <v>9035A</v>
          </cell>
          <cell r="H3549">
            <v>5425.82</v>
          </cell>
          <cell r="I3549">
            <v>1</v>
          </cell>
          <cell r="J3549">
            <v>12</v>
          </cell>
          <cell r="K3549">
            <v>1</v>
          </cell>
          <cell r="L3549">
            <v>65109.84</v>
          </cell>
        </row>
        <row r="3550">
          <cell r="A3550">
            <v>104158</v>
          </cell>
          <cell r="B3550">
            <v>23001</v>
          </cell>
          <cell r="C3550">
            <v>23001</v>
          </cell>
          <cell r="D3550" t="str">
            <v>older</v>
          </cell>
          <cell r="E3550" t="str">
            <v>B</v>
          </cell>
          <cell r="F3550" t="str">
            <v>PSYCHIATRIC SOCIAL WORKER II</v>
          </cell>
          <cell r="G3550" t="str">
            <v>9035A</v>
          </cell>
          <cell r="H3550">
            <v>5425.82</v>
          </cell>
          <cell r="I3550">
            <v>1</v>
          </cell>
          <cell r="J3550">
            <v>12</v>
          </cell>
          <cell r="K3550">
            <v>1</v>
          </cell>
          <cell r="L3550">
            <v>65109.84</v>
          </cell>
        </row>
        <row r="3551">
          <cell r="A3551">
            <v>104187</v>
          </cell>
          <cell r="B3551">
            <v>23001</v>
          </cell>
          <cell r="C3551">
            <v>23001</v>
          </cell>
          <cell r="D3551" t="str">
            <v>older</v>
          </cell>
          <cell r="E3551" t="str">
            <v>B</v>
          </cell>
          <cell r="F3551" t="str">
            <v>PSYCHIATRIC SOCIAL WORKER II</v>
          </cell>
          <cell r="G3551" t="str">
            <v>9035A</v>
          </cell>
          <cell r="H3551">
            <v>5425.82</v>
          </cell>
          <cell r="I3551">
            <v>1</v>
          </cell>
          <cell r="J3551">
            <v>12</v>
          </cell>
          <cell r="K3551">
            <v>1</v>
          </cell>
          <cell r="L3551">
            <v>65109.84</v>
          </cell>
        </row>
        <row r="3552">
          <cell r="A3552">
            <v>104288</v>
          </cell>
          <cell r="B3552">
            <v>23001</v>
          </cell>
          <cell r="C3552">
            <v>23001</v>
          </cell>
          <cell r="D3552" t="str">
            <v>older</v>
          </cell>
          <cell r="E3552" t="str">
            <v>B</v>
          </cell>
          <cell r="F3552" t="str">
            <v>PSYCHIATRIC SOCIAL WORKER II</v>
          </cell>
          <cell r="G3552" t="str">
            <v>9035A</v>
          </cell>
          <cell r="H3552">
            <v>5425.82</v>
          </cell>
          <cell r="I3552">
            <v>1</v>
          </cell>
          <cell r="J3552">
            <v>12</v>
          </cell>
          <cell r="K3552">
            <v>1</v>
          </cell>
          <cell r="L3552">
            <v>65109.84</v>
          </cell>
        </row>
        <row r="3553">
          <cell r="A3553">
            <v>104291</v>
          </cell>
          <cell r="B3553">
            <v>23001</v>
          </cell>
          <cell r="C3553">
            <v>23001</v>
          </cell>
          <cell r="D3553" t="str">
            <v>older</v>
          </cell>
          <cell r="E3553" t="str">
            <v>B</v>
          </cell>
          <cell r="F3553" t="str">
            <v>PSYCHIATRIC SOCIAL WORKER II</v>
          </cell>
          <cell r="G3553" t="str">
            <v>9035A</v>
          </cell>
          <cell r="H3553">
            <v>5425.82</v>
          </cell>
          <cell r="I3553">
            <v>1</v>
          </cell>
          <cell r="J3553">
            <v>12</v>
          </cell>
          <cell r="K3553">
            <v>1</v>
          </cell>
          <cell r="L3553">
            <v>65109.84</v>
          </cell>
        </row>
        <row r="3554">
          <cell r="A3554">
            <v>104297</v>
          </cell>
          <cell r="B3554">
            <v>23001</v>
          </cell>
          <cell r="C3554">
            <v>23001</v>
          </cell>
          <cell r="D3554" t="str">
            <v>older</v>
          </cell>
          <cell r="E3554" t="str">
            <v>B</v>
          </cell>
          <cell r="F3554" t="str">
            <v>PSYCHIATRIC SOCIAL WORKER II</v>
          </cell>
          <cell r="G3554" t="str">
            <v>9035A</v>
          </cell>
          <cell r="H3554">
            <v>5425.82</v>
          </cell>
          <cell r="I3554">
            <v>1</v>
          </cell>
          <cell r="J3554">
            <v>12</v>
          </cell>
          <cell r="K3554">
            <v>1</v>
          </cell>
          <cell r="L3554">
            <v>65109.84</v>
          </cell>
        </row>
        <row r="3555">
          <cell r="A3555">
            <v>104301</v>
          </cell>
          <cell r="B3555">
            <v>23001</v>
          </cell>
          <cell r="C3555">
            <v>23001</v>
          </cell>
          <cell r="D3555" t="str">
            <v>older</v>
          </cell>
          <cell r="E3555" t="str">
            <v>B</v>
          </cell>
          <cell r="F3555" t="str">
            <v>PSYCHIATRIC SOCIAL WORKER II</v>
          </cell>
          <cell r="G3555" t="str">
            <v>9035A</v>
          </cell>
          <cell r="H3555">
            <v>5425.82</v>
          </cell>
          <cell r="I3555">
            <v>1</v>
          </cell>
          <cell r="J3555">
            <v>12</v>
          </cell>
          <cell r="K3555">
            <v>1</v>
          </cell>
          <cell r="L3555">
            <v>65109.84</v>
          </cell>
        </row>
        <row r="3556">
          <cell r="A3556">
            <v>104768</v>
          </cell>
          <cell r="B3556">
            <v>23001</v>
          </cell>
          <cell r="C3556">
            <v>23001</v>
          </cell>
          <cell r="D3556" t="str">
            <v>older</v>
          </cell>
          <cell r="E3556" t="str">
            <v>B</v>
          </cell>
          <cell r="F3556" t="str">
            <v>PSYCHIATRIC SOCIAL WORKER II</v>
          </cell>
          <cell r="G3556" t="str">
            <v>9035A</v>
          </cell>
          <cell r="H3556">
            <v>5425.82</v>
          </cell>
          <cell r="I3556">
            <v>1</v>
          </cell>
          <cell r="J3556">
            <v>12</v>
          </cell>
          <cell r="K3556">
            <v>1</v>
          </cell>
          <cell r="L3556">
            <v>65109.84</v>
          </cell>
        </row>
        <row r="3557">
          <cell r="A3557">
            <v>104876</v>
          </cell>
          <cell r="B3557">
            <v>18588</v>
          </cell>
          <cell r="C3557">
            <v>23001</v>
          </cell>
          <cell r="D3557" t="str">
            <v>older</v>
          </cell>
          <cell r="E3557" t="str">
            <v>B</v>
          </cell>
          <cell r="F3557" t="str">
            <v>PSYCHIATRIC SOCIAL WORKER II</v>
          </cell>
          <cell r="G3557" t="str">
            <v>9035A</v>
          </cell>
          <cell r="H3557">
            <v>5425.82</v>
          </cell>
          <cell r="I3557">
            <v>1</v>
          </cell>
          <cell r="J3557">
            <v>12</v>
          </cell>
          <cell r="K3557">
            <v>1</v>
          </cell>
          <cell r="L3557">
            <v>65109.84</v>
          </cell>
        </row>
        <row r="3558">
          <cell r="A3558">
            <v>104289</v>
          </cell>
          <cell r="B3558">
            <v>23001</v>
          </cell>
          <cell r="C3558">
            <v>23001</v>
          </cell>
          <cell r="D3558" t="str">
            <v>older</v>
          </cell>
          <cell r="E3558" t="str">
            <v>B</v>
          </cell>
          <cell r="F3558" t="str">
            <v>PSYCHIATRIC TECHNICIAN II</v>
          </cell>
          <cell r="G3558" t="str">
            <v>8162A</v>
          </cell>
          <cell r="H3558">
            <v>3420.09</v>
          </cell>
          <cell r="I3558">
            <v>1</v>
          </cell>
          <cell r="J3558">
            <v>12</v>
          </cell>
          <cell r="K3558">
            <v>1</v>
          </cell>
          <cell r="L3558">
            <v>41041.08</v>
          </cell>
        </row>
        <row r="3559">
          <cell r="A3559">
            <v>104691</v>
          </cell>
          <cell r="B3559">
            <v>23001</v>
          </cell>
          <cell r="C3559">
            <v>23001</v>
          </cell>
          <cell r="D3559" t="str">
            <v>older</v>
          </cell>
          <cell r="E3559" t="str">
            <v>B</v>
          </cell>
          <cell r="F3559" t="str">
            <v>RECREATION THERAPIST II</v>
          </cell>
          <cell r="G3559" t="str">
            <v>5872A</v>
          </cell>
          <cell r="H3559">
            <v>4667.6400000000003</v>
          </cell>
          <cell r="I3559">
            <v>1</v>
          </cell>
          <cell r="J3559">
            <v>12</v>
          </cell>
          <cell r="K3559">
            <v>1</v>
          </cell>
          <cell r="L3559">
            <v>56011.68</v>
          </cell>
        </row>
        <row r="3560">
          <cell r="A3560">
            <v>102264</v>
          </cell>
          <cell r="B3560">
            <v>23001</v>
          </cell>
          <cell r="C3560">
            <v>23001</v>
          </cell>
          <cell r="D3560" t="str">
            <v>older</v>
          </cell>
          <cell r="E3560" t="str">
            <v>B</v>
          </cell>
          <cell r="F3560" t="str">
            <v xml:space="preserve">SECRETARY III                      </v>
          </cell>
          <cell r="G3560" t="str">
            <v>2096A</v>
          </cell>
          <cell r="H3560">
            <v>3387</v>
          </cell>
          <cell r="I3560">
            <v>1</v>
          </cell>
          <cell r="J3560">
            <v>12</v>
          </cell>
          <cell r="K3560">
            <v>1</v>
          </cell>
          <cell r="L3560">
            <v>40643.839999999997</v>
          </cell>
        </row>
        <row r="3561">
          <cell r="A3561">
            <v>102608</v>
          </cell>
          <cell r="B3561">
            <v>23001</v>
          </cell>
          <cell r="C3561">
            <v>23001</v>
          </cell>
          <cell r="D3561" t="str">
            <v>older</v>
          </cell>
          <cell r="E3561" t="str">
            <v>B</v>
          </cell>
          <cell r="F3561" t="str">
            <v xml:space="preserve">SENIOR COMMUNITY WORKER I          </v>
          </cell>
          <cell r="G3561" t="str">
            <v>8104N</v>
          </cell>
          <cell r="I3561">
            <v>1</v>
          </cell>
          <cell r="J3561">
            <v>12</v>
          </cell>
          <cell r="K3561">
            <v>1</v>
          </cell>
          <cell r="L3561">
            <v>37052.76</v>
          </cell>
        </row>
        <row r="3562">
          <cell r="A3562">
            <v>101456</v>
          </cell>
          <cell r="B3562">
            <v>20575</v>
          </cell>
          <cell r="C3562">
            <v>23001</v>
          </cell>
          <cell r="D3562" t="str">
            <v>older</v>
          </cell>
          <cell r="E3562" t="str">
            <v>B</v>
          </cell>
          <cell r="F3562" t="str">
            <v>SENIOR MENTAL HEALTH COUNSELOR, RN</v>
          </cell>
          <cell r="G3562" t="str">
            <v>5280A</v>
          </cell>
          <cell r="H3562">
            <v>6790.09</v>
          </cell>
          <cell r="I3562">
            <v>1</v>
          </cell>
          <cell r="J3562">
            <v>12</v>
          </cell>
          <cell r="K3562">
            <v>1</v>
          </cell>
          <cell r="L3562">
            <v>83105.40203389831</v>
          </cell>
        </row>
        <row r="3563">
          <cell r="A3563">
            <v>101457</v>
          </cell>
          <cell r="B3563">
            <v>23001</v>
          </cell>
          <cell r="C3563">
            <v>23001</v>
          </cell>
          <cell r="D3563" t="str">
            <v>older</v>
          </cell>
          <cell r="E3563" t="str">
            <v>B</v>
          </cell>
          <cell r="F3563" t="str">
            <v>SENIOR MENTAL HEALTH COUNSELOR, RN</v>
          </cell>
          <cell r="G3563" t="str">
            <v>5280A</v>
          </cell>
          <cell r="H3563">
            <v>6790.09</v>
          </cell>
          <cell r="I3563">
            <v>1</v>
          </cell>
          <cell r="J3563">
            <v>12</v>
          </cell>
          <cell r="K3563">
            <v>1</v>
          </cell>
          <cell r="L3563">
            <v>83105.40203389831</v>
          </cell>
        </row>
        <row r="3564">
          <cell r="A3564">
            <v>102593</v>
          </cell>
          <cell r="B3564">
            <v>18588</v>
          </cell>
          <cell r="C3564">
            <v>23001</v>
          </cell>
          <cell r="D3564" t="str">
            <v>older</v>
          </cell>
          <cell r="E3564" t="str">
            <v>B</v>
          </cell>
          <cell r="F3564" t="str">
            <v xml:space="preserve">SENIOR TYPIST-CLERK                </v>
          </cell>
          <cell r="G3564" t="str">
            <v>2216A</v>
          </cell>
          <cell r="H3564">
            <v>3013.55</v>
          </cell>
          <cell r="I3564">
            <v>1</v>
          </cell>
          <cell r="J3564">
            <v>12</v>
          </cell>
          <cell r="K3564">
            <v>1</v>
          </cell>
          <cell r="L3564">
            <v>36162.6</v>
          </cell>
        </row>
        <row r="3565">
          <cell r="A3565">
            <v>102453</v>
          </cell>
          <cell r="B3565">
            <v>23001</v>
          </cell>
          <cell r="C3565">
            <v>23001</v>
          </cell>
          <cell r="D3565" t="str">
            <v>older</v>
          </cell>
          <cell r="E3565" t="str">
            <v>B</v>
          </cell>
          <cell r="F3565" t="str">
            <v xml:space="preserve">STAFF ASSISTANT II                 </v>
          </cell>
          <cell r="G3565" t="str">
            <v>0913A</v>
          </cell>
          <cell r="H3565">
            <v>4167.45</v>
          </cell>
          <cell r="I3565">
            <v>1</v>
          </cell>
          <cell r="J3565">
            <v>12</v>
          </cell>
          <cell r="K3565">
            <v>1</v>
          </cell>
          <cell r="L3565">
            <v>50009.24</v>
          </cell>
        </row>
        <row r="3566">
          <cell r="A3566">
            <v>107685</v>
          </cell>
          <cell r="B3566">
            <v>18593</v>
          </cell>
          <cell r="C3566">
            <v>23001</v>
          </cell>
          <cell r="D3566" t="str">
            <v>older</v>
          </cell>
          <cell r="E3566" t="str">
            <v>B</v>
          </cell>
          <cell r="F3566" t="str">
            <v xml:space="preserve">SUPVG MENTAL HEALTH PSYCHIATRIST   </v>
          </cell>
          <cell r="G3566" t="str">
            <v>4737A</v>
          </cell>
          <cell r="H3566">
            <v>13870</v>
          </cell>
          <cell r="I3566">
            <v>1</v>
          </cell>
          <cell r="J3566">
            <v>12</v>
          </cell>
          <cell r="K3566">
            <v>1</v>
          </cell>
          <cell r="L3566">
            <v>166440</v>
          </cell>
        </row>
        <row r="3567">
          <cell r="A3567">
            <v>101592</v>
          </cell>
          <cell r="B3567">
            <v>23001</v>
          </cell>
          <cell r="C3567">
            <v>23001</v>
          </cell>
          <cell r="D3567" t="str">
            <v>older</v>
          </cell>
          <cell r="E3567" t="str">
            <v>B</v>
          </cell>
          <cell r="F3567" t="str">
            <v xml:space="preserve">SUPVG PSYCHIATRIC SOCIAL WORKER    </v>
          </cell>
          <cell r="G3567" t="str">
            <v>9038A</v>
          </cell>
          <cell r="H3567">
            <v>6062.45</v>
          </cell>
          <cell r="I3567">
            <v>1</v>
          </cell>
          <cell r="J3567">
            <v>12</v>
          </cell>
          <cell r="K3567">
            <v>1</v>
          </cell>
          <cell r="L3567">
            <v>72749.399999999994</v>
          </cell>
        </row>
        <row r="3568">
          <cell r="A3568">
            <v>101607</v>
          </cell>
          <cell r="B3568">
            <v>23001</v>
          </cell>
          <cell r="C3568">
            <v>23001</v>
          </cell>
          <cell r="D3568" t="str">
            <v>older</v>
          </cell>
          <cell r="E3568" t="str">
            <v>B</v>
          </cell>
          <cell r="F3568" t="str">
            <v xml:space="preserve">SUPVG PSYCHIATRIC SOCIAL WORKER    </v>
          </cell>
          <cell r="G3568" t="str">
            <v>9038A</v>
          </cell>
          <cell r="H3568">
            <v>6062.45</v>
          </cell>
          <cell r="I3568">
            <v>1</v>
          </cell>
          <cell r="J3568">
            <v>12</v>
          </cell>
          <cell r="K3568">
            <v>1</v>
          </cell>
          <cell r="L3568">
            <v>72749.399999999994</v>
          </cell>
        </row>
        <row r="3569">
          <cell r="A3569">
            <v>103851</v>
          </cell>
          <cell r="B3569">
            <v>18588</v>
          </cell>
          <cell r="C3569">
            <v>23001</v>
          </cell>
          <cell r="D3569" t="str">
            <v>older</v>
          </cell>
          <cell r="E3569" t="str">
            <v>B</v>
          </cell>
          <cell r="F3569" t="str">
            <v xml:space="preserve">SUPVG PSYCHIATRIC SOCIAL WORKER    </v>
          </cell>
          <cell r="G3569" t="str">
            <v>9038A</v>
          </cell>
          <cell r="H3569">
            <v>6062.45</v>
          </cell>
          <cell r="I3569">
            <v>1</v>
          </cell>
          <cell r="J3569">
            <v>12</v>
          </cell>
          <cell r="K3569">
            <v>1</v>
          </cell>
          <cell r="L3569">
            <v>72749.399999999994</v>
          </cell>
        </row>
        <row r="3570">
          <cell r="A3570">
            <v>104665</v>
          </cell>
          <cell r="B3570">
            <v>20499</v>
          </cell>
          <cell r="C3570">
            <v>23001</v>
          </cell>
          <cell r="D3570" t="str">
            <v>older</v>
          </cell>
          <cell r="E3570" t="str">
            <v>B</v>
          </cell>
          <cell r="F3570" t="str">
            <v xml:space="preserve">SUPVG PSYCHIATRIC SOCIAL WORKER    </v>
          </cell>
          <cell r="G3570" t="str">
            <v>9038A</v>
          </cell>
          <cell r="H3570">
            <v>6062.45</v>
          </cell>
          <cell r="I3570">
            <v>1</v>
          </cell>
          <cell r="J3570">
            <v>12</v>
          </cell>
          <cell r="K3570">
            <v>1</v>
          </cell>
          <cell r="L3570">
            <v>72749.399999999994</v>
          </cell>
        </row>
        <row r="3571">
          <cell r="A3571">
            <v>104988</v>
          </cell>
          <cell r="B3571">
            <v>23001</v>
          </cell>
          <cell r="C3571">
            <v>23001</v>
          </cell>
          <cell r="D3571" t="str">
            <v>older</v>
          </cell>
          <cell r="E3571" t="str">
            <v>B</v>
          </cell>
          <cell r="F3571" t="str">
            <v xml:space="preserve">SUPVG PSYCHIATRIC SOCIAL WORKER    </v>
          </cell>
          <cell r="G3571" t="str">
            <v>9038A</v>
          </cell>
          <cell r="H3571">
            <v>6062.45</v>
          </cell>
          <cell r="I3571">
            <v>1</v>
          </cell>
          <cell r="J3571">
            <v>12</v>
          </cell>
          <cell r="K3571">
            <v>1</v>
          </cell>
          <cell r="L3571">
            <v>72749.399999999994</v>
          </cell>
        </row>
        <row r="3572">
          <cell r="A3572">
            <v>104067</v>
          </cell>
          <cell r="B3572">
            <v>18588</v>
          </cell>
          <cell r="C3572">
            <v>18588</v>
          </cell>
          <cell r="D3572" t="str">
            <v>older</v>
          </cell>
          <cell r="E3572" t="str">
            <v>B</v>
          </cell>
          <cell r="F3572" t="str">
            <v>INTERMEDIATE TYPIST-CLERK</v>
          </cell>
          <cell r="G3572" t="str">
            <v>2214A</v>
          </cell>
          <cell r="H3572">
            <v>2675.27</v>
          </cell>
          <cell r="I3572">
            <v>1</v>
          </cell>
          <cell r="J3572">
            <v>12</v>
          </cell>
          <cell r="K3572">
            <v>1</v>
          </cell>
          <cell r="L3572">
            <v>32103.16</v>
          </cell>
        </row>
        <row r="3573">
          <cell r="A3573">
            <v>104137</v>
          </cell>
          <cell r="B3573">
            <v>18588</v>
          </cell>
          <cell r="C3573">
            <v>18588</v>
          </cell>
          <cell r="D3573" t="str">
            <v>older</v>
          </cell>
          <cell r="E3573" t="str">
            <v>B</v>
          </cell>
          <cell r="F3573" t="str">
            <v>INTERMEDIATE TYPIST-CLERK</v>
          </cell>
          <cell r="G3573" t="str">
            <v>2214A</v>
          </cell>
          <cell r="H3573">
            <v>2675.27</v>
          </cell>
          <cell r="I3573">
            <v>1</v>
          </cell>
          <cell r="J3573">
            <v>12</v>
          </cell>
          <cell r="K3573">
            <v>1</v>
          </cell>
          <cell r="L3573">
            <v>32103.16</v>
          </cell>
        </row>
        <row r="3574">
          <cell r="A3574">
            <v>104873</v>
          </cell>
          <cell r="B3574">
            <v>18588</v>
          </cell>
          <cell r="C3574">
            <v>18588</v>
          </cell>
          <cell r="D3574" t="str">
            <v>older</v>
          </cell>
          <cell r="E3574" t="str">
            <v>B</v>
          </cell>
          <cell r="F3574" t="str">
            <v>INTERMEDIATE TYPIST-CLERK</v>
          </cell>
          <cell r="G3574" t="str">
            <v>2214A</v>
          </cell>
          <cell r="H3574">
            <v>2675.27</v>
          </cell>
          <cell r="I3574">
            <v>1</v>
          </cell>
          <cell r="J3574">
            <v>12</v>
          </cell>
          <cell r="K3574">
            <v>1</v>
          </cell>
          <cell r="L3574">
            <v>32103.16</v>
          </cell>
        </row>
        <row r="3575">
          <cell r="A3575">
            <v>109679</v>
          </cell>
          <cell r="B3575">
            <v>18588</v>
          </cell>
          <cell r="C3575">
            <v>18588</v>
          </cell>
          <cell r="D3575" t="str">
            <v>older</v>
          </cell>
          <cell r="E3575" t="str">
            <v>B</v>
          </cell>
          <cell r="F3575" t="str">
            <v>INTERMEDIATE TYPIST-CLERK</v>
          </cell>
          <cell r="G3575" t="str">
            <v>2214A</v>
          </cell>
          <cell r="H3575">
            <v>2675.27</v>
          </cell>
          <cell r="I3575">
            <v>1</v>
          </cell>
          <cell r="J3575">
            <v>12</v>
          </cell>
          <cell r="K3575">
            <v>1</v>
          </cell>
          <cell r="L3575">
            <v>32103.24</v>
          </cell>
        </row>
        <row r="3576">
          <cell r="A3576">
            <v>104894</v>
          </cell>
          <cell r="B3576">
            <v>20492</v>
          </cell>
          <cell r="C3576">
            <v>18588</v>
          </cell>
          <cell r="D3576" t="str">
            <v>older</v>
          </cell>
          <cell r="E3576" t="str">
            <v>B</v>
          </cell>
          <cell r="F3576" t="str">
            <v>MEDICAL CASE WORKER II</v>
          </cell>
          <cell r="G3576" t="str">
            <v>9002A</v>
          </cell>
          <cell r="H3576">
            <v>3938.82</v>
          </cell>
          <cell r="I3576">
            <v>1</v>
          </cell>
          <cell r="J3576">
            <v>12</v>
          </cell>
          <cell r="K3576">
            <v>1</v>
          </cell>
          <cell r="L3576">
            <v>47265.68</v>
          </cell>
        </row>
        <row r="3577">
          <cell r="A3577">
            <v>104668</v>
          </cell>
          <cell r="B3577">
            <v>20452</v>
          </cell>
          <cell r="C3577">
            <v>18588</v>
          </cell>
          <cell r="D3577" t="str">
            <v>older</v>
          </cell>
          <cell r="E3577" t="str">
            <v>B</v>
          </cell>
          <cell r="F3577" t="str">
            <v>MENTAL HEALTH COUNSELOR, RN</v>
          </cell>
          <cell r="G3577" t="str">
            <v>5278A</v>
          </cell>
          <cell r="H3577">
            <v>6275.27</v>
          </cell>
          <cell r="I3577">
            <v>1</v>
          </cell>
          <cell r="J3577">
            <v>12</v>
          </cell>
          <cell r="K3577">
            <v>1</v>
          </cell>
          <cell r="L3577">
            <v>76804.323333333334</v>
          </cell>
        </row>
        <row r="3578">
          <cell r="A3578">
            <v>103217</v>
          </cell>
          <cell r="B3578">
            <v>18588</v>
          </cell>
          <cell r="C3578">
            <v>18588</v>
          </cell>
          <cell r="D3578" t="str">
            <v>older</v>
          </cell>
          <cell r="E3578" t="str">
            <v>B</v>
          </cell>
          <cell r="F3578" t="str">
            <v>MENTAL HEALTH PSYCHIATRIST</v>
          </cell>
          <cell r="G3578" t="str">
            <v>4735A</v>
          </cell>
          <cell r="H3578">
            <v>12844</v>
          </cell>
          <cell r="I3578">
            <v>1</v>
          </cell>
          <cell r="J3578">
            <v>1</v>
          </cell>
          <cell r="K3578">
            <v>8.3333333333333329E-2</v>
          </cell>
          <cell r="L3578">
            <v>12844</v>
          </cell>
        </row>
        <row r="3579">
          <cell r="A3579">
            <v>104131</v>
          </cell>
          <cell r="B3579">
            <v>18588</v>
          </cell>
          <cell r="C3579">
            <v>18588</v>
          </cell>
          <cell r="D3579" t="str">
            <v>older</v>
          </cell>
          <cell r="E3579" t="str">
            <v>B</v>
          </cell>
          <cell r="F3579" t="str">
            <v>MNTL HLTH CLINICAL PROGRAM HEAD</v>
          </cell>
          <cell r="G3579" t="str">
            <v>4726A</v>
          </cell>
          <cell r="H3579">
            <v>8709.73</v>
          </cell>
          <cell r="I3579">
            <v>1</v>
          </cell>
          <cell r="J3579">
            <v>12</v>
          </cell>
          <cell r="K3579">
            <v>1</v>
          </cell>
          <cell r="L3579">
            <v>104516.76</v>
          </cell>
        </row>
        <row r="3580">
          <cell r="A3580">
            <v>104877</v>
          </cell>
          <cell r="B3580">
            <v>18588</v>
          </cell>
          <cell r="C3580">
            <v>18588</v>
          </cell>
          <cell r="D3580" t="str">
            <v>older</v>
          </cell>
          <cell r="E3580" t="str">
            <v>B</v>
          </cell>
          <cell r="F3580" t="str">
            <v xml:space="preserve">PATIENT FINANCIAL SERVICES WORKER  </v>
          </cell>
          <cell r="G3580" t="str">
            <v>9193A</v>
          </cell>
          <cell r="H3580">
            <v>3403.55</v>
          </cell>
          <cell r="I3580">
            <v>1</v>
          </cell>
          <cell r="J3580">
            <v>12</v>
          </cell>
          <cell r="K3580">
            <v>1</v>
          </cell>
          <cell r="L3580">
            <v>40842.6</v>
          </cell>
        </row>
        <row r="3581">
          <cell r="A3581">
            <v>101024</v>
          </cell>
          <cell r="B3581">
            <v>23001</v>
          </cell>
          <cell r="C3581">
            <v>18588</v>
          </cell>
          <cell r="D3581" t="str">
            <v>older</v>
          </cell>
          <cell r="E3581" t="str">
            <v>B</v>
          </cell>
          <cell r="F3581" t="str">
            <v>PSYCHIATRIC SOCIAL WORKER II</v>
          </cell>
          <cell r="G3581" t="str">
            <v>9035A</v>
          </cell>
          <cell r="H3581">
            <v>5425.82</v>
          </cell>
          <cell r="I3581">
            <v>1</v>
          </cell>
          <cell r="J3581">
            <v>12</v>
          </cell>
          <cell r="K3581">
            <v>1</v>
          </cell>
          <cell r="L3581">
            <v>65109.84</v>
          </cell>
        </row>
        <row r="3582">
          <cell r="A3582">
            <v>101207</v>
          </cell>
          <cell r="B3582">
            <v>20452</v>
          </cell>
          <cell r="C3582">
            <v>18588</v>
          </cell>
          <cell r="D3582" t="str">
            <v>older</v>
          </cell>
          <cell r="E3582" t="str">
            <v>B</v>
          </cell>
          <cell r="F3582" t="str">
            <v>PSYCHIATRIC SOCIAL WORKER II</v>
          </cell>
          <cell r="G3582" t="str">
            <v>9035A</v>
          </cell>
          <cell r="H3582">
            <v>5425.82</v>
          </cell>
          <cell r="I3582">
            <v>1</v>
          </cell>
          <cell r="J3582">
            <v>12</v>
          </cell>
          <cell r="K3582">
            <v>1</v>
          </cell>
          <cell r="L3582">
            <v>65109.84</v>
          </cell>
        </row>
        <row r="3583">
          <cell r="A3583">
            <v>103849</v>
          </cell>
          <cell r="B3583">
            <v>18588</v>
          </cell>
          <cell r="C3583">
            <v>18588</v>
          </cell>
          <cell r="D3583" t="str">
            <v>older</v>
          </cell>
          <cell r="E3583" t="str">
            <v>B</v>
          </cell>
          <cell r="F3583" t="str">
            <v>PSYCHIATRIC SOCIAL WORKER II</v>
          </cell>
          <cell r="G3583" t="str">
            <v>9035A</v>
          </cell>
          <cell r="H3583">
            <v>5425.82</v>
          </cell>
          <cell r="I3583">
            <v>1</v>
          </cell>
          <cell r="J3583">
            <v>12</v>
          </cell>
          <cell r="K3583">
            <v>1</v>
          </cell>
          <cell r="L3583">
            <v>65109.84</v>
          </cell>
        </row>
        <row r="3584">
          <cell r="A3584">
            <v>104132</v>
          </cell>
          <cell r="B3584">
            <v>18588</v>
          </cell>
          <cell r="C3584">
            <v>18588</v>
          </cell>
          <cell r="D3584" t="str">
            <v>older</v>
          </cell>
          <cell r="E3584" t="str">
            <v>B</v>
          </cell>
          <cell r="F3584" t="str">
            <v>PSYCHIATRIC SOCIAL WORKER II</v>
          </cell>
          <cell r="G3584" t="str">
            <v>9035A</v>
          </cell>
          <cell r="H3584">
            <v>5425.82</v>
          </cell>
          <cell r="I3584">
            <v>1</v>
          </cell>
          <cell r="J3584">
            <v>12</v>
          </cell>
          <cell r="K3584">
            <v>1</v>
          </cell>
          <cell r="L3584">
            <v>65109.84</v>
          </cell>
        </row>
        <row r="3585">
          <cell r="A3585">
            <v>104135</v>
          </cell>
          <cell r="B3585">
            <v>18588</v>
          </cell>
          <cell r="C3585">
            <v>18588</v>
          </cell>
          <cell r="D3585" t="str">
            <v>older</v>
          </cell>
          <cell r="E3585" t="str">
            <v>B</v>
          </cell>
          <cell r="F3585" t="str">
            <v>PSYCHIATRIC SOCIAL WORKER II</v>
          </cell>
          <cell r="G3585" t="str">
            <v>9035A</v>
          </cell>
          <cell r="H3585">
            <v>5425.82</v>
          </cell>
          <cell r="I3585">
            <v>1</v>
          </cell>
          <cell r="J3585">
            <v>12</v>
          </cell>
          <cell r="K3585">
            <v>1</v>
          </cell>
          <cell r="L3585">
            <v>65109.84</v>
          </cell>
        </row>
        <row r="3586">
          <cell r="A3586">
            <v>104644</v>
          </cell>
          <cell r="B3586">
            <v>20683</v>
          </cell>
          <cell r="C3586">
            <v>18588</v>
          </cell>
          <cell r="D3586" t="str">
            <v>older</v>
          </cell>
          <cell r="E3586" t="str">
            <v>B</v>
          </cell>
          <cell r="F3586" t="str">
            <v>PSYCHIATRIC SOCIAL WORKER II</v>
          </cell>
          <cell r="G3586" t="str">
            <v>9035A</v>
          </cell>
          <cell r="H3586">
            <v>5425.82</v>
          </cell>
          <cell r="I3586">
            <v>1</v>
          </cell>
          <cell r="J3586">
            <v>12</v>
          </cell>
          <cell r="K3586">
            <v>1</v>
          </cell>
          <cell r="L3586">
            <v>65109.84</v>
          </cell>
        </row>
        <row r="3587">
          <cell r="A3587">
            <v>104874</v>
          </cell>
          <cell r="B3587">
            <v>18588</v>
          </cell>
          <cell r="C3587">
            <v>18588</v>
          </cell>
          <cell r="D3587" t="str">
            <v>older</v>
          </cell>
          <cell r="E3587" t="str">
            <v>B</v>
          </cell>
          <cell r="F3587" t="str">
            <v>PSYCHIATRIC SOCIAL WORKER II</v>
          </cell>
          <cell r="G3587" t="str">
            <v>9035A</v>
          </cell>
          <cell r="H3587">
            <v>5425.82</v>
          </cell>
          <cell r="I3587">
            <v>1</v>
          </cell>
          <cell r="J3587">
            <v>12</v>
          </cell>
          <cell r="K3587">
            <v>1</v>
          </cell>
          <cell r="L3587">
            <v>65109.84</v>
          </cell>
        </row>
        <row r="3588">
          <cell r="A3588">
            <v>103862</v>
          </cell>
          <cell r="B3588">
            <v>18588</v>
          </cell>
          <cell r="C3588">
            <v>18588</v>
          </cell>
          <cell r="D3588" t="str">
            <v>older</v>
          </cell>
          <cell r="E3588" t="str">
            <v>B</v>
          </cell>
          <cell r="F3588" t="str">
            <v>PSYCHIATRIC TECHNICIAN III</v>
          </cell>
          <cell r="G3588" t="str">
            <v>8163A</v>
          </cell>
          <cell r="H3588">
            <v>3705.73</v>
          </cell>
          <cell r="I3588">
            <v>1</v>
          </cell>
          <cell r="J3588">
            <v>12</v>
          </cell>
          <cell r="K3588">
            <v>1</v>
          </cell>
          <cell r="L3588">
            <v>44468.76</v>
          </cell>
        </row>
        <row r="3589">
          <cell r="A3589">
            <v>102720</v>
          </cell>
          <cell r="B3589">
            <v>23001</v>
          </cell>
          <cell r="C3589">
            <v>18588</v>
          </cell>
          <cell r="D3589" t="str">
            <v>older</v>
          </cell>
          <cell r="E3589" t="str">
            <v>B</v>
          </cell>
          <cell r="F3589" t="str">
            <v xml:space="preserve">SECRETARY III                      </v>
          </cell>
          <cell r="G3589" t="str">
            <v>2096A</v>
          </cell>
          <cell r="H3589">
            <v>3387</v>
          </cell>
          <cell r="I3589">
            <v>1</v>
          </cell>
          <cell r="J3589">
            <v>12</v>
          </cell>
          <cell r="K3589">
            <v>1</v>
          </cell>
          <cell r="L3589">
            <v>40643.839999999997</v>
          </cell>
        </row>
        <row r="3590">
          <cell r="A3590">
            <v>104136</v>
          </cell>
          <cell r="B3590">
            <v>18588</v>
          </cell>
          <cell r="C3590">
            <v>18588</v>
          </cell>
          <cell r="D3590" t="str">
            <v>older</v>
          </cell>
          <cell r="E3590" t="str">
            <v>B</v>
          </cell>
          <cell r="F3590" t="str">
            <v xml:space="preserve">SECRETARY III                      </v>
          </cell>
          <cell r="G3590" t="str">
            <v>2096A</v>
          </cell>
          <cell r="H3590">
            <v>3387</v>
          </cell>
          <cell r="I3590">
            <v>1</v>
          </cell>
          <cell r="J3590">
            <v>12</v>
          </cell>
          <cell r="K3590">
            <v>1</v>
          </cell>
          <cell r="L3590">
            <v>40643.839999999997</v>
          </cell>
        </row>
        <row r="3591">
          <cell r="A3591">
            <v>103332</v>
          </cell>
          <cell r="B3591">
            <v>23036</v>
          </cell>
          <cell r="C3591">
            <v>20492</v>
          </cell>
          <cell r="D3591" t="str">
            <v>older</v>
          </cell>
          <cell r="E3591" t="str">
            <v>B</v>
          </cell>
          <cell r="F3591" t="str">
            <v xml:space="preserve">BEHAVIORAL SCIENCES CONSULTANT     </v>
          </cell>
          <cell r="G3591" t="str">
            <v>8707J</v>
          </cell>
          <cell r="H3591">
            <v>127.78</v>
          </cell>
          <cell r="I3591">
            <v>1</v>
          </cell>
          <cell r="J3591">
            <v>95</v>
          </cell>
          <cell r="K3591">
            <v>0.18199233716475097</v>
          </cell>
          <cell r="L3591">
            <v>12139.4</v>
          </cell>
        </row>
        <row r="3592">
          <cell r="A3592">
            <v>104475</v>
          </cell>
          <cell r="B3592">
            <v>20492</v>
          </cell>
          <cell r="C3592">
            <v>20492</v>
          </cell>
          <cell r="D3592" t="str">
            <v>older</v>
          </cell>
          <cell r="E3592" t="str">
            <v>B</v>
          </cell>
          <cell r="F3592" t="str">
            <v>CLINICAL PSYCHOLOGIST II</v>
          </cell>
          <cell r="G3592" t="str">
            <v>8697A</v>
          </cell>
          <cell r="H3592">
            <v>6993.82</v>
          </cell>
          <cell r="I3592">
            <v>1</v>
          </cell>
          <cell r="J3592">
            <v>12</v>
          </cell>
          <cell r="K3592">
            <v>1</v>
          </cell>
          <cell r="L3592">
            <v>83925.52</v>
          </cell>
        </row>
        <row r="3593">
          <cell r="A3593">
            <v>104883</v>
          </cell>
          <cell r="B3593">
            <v>20492</v>
          </cell>
          <cell r="C3593">
            <v>20492</v>
          </cell>
          <cell r="D3593" t="str">
            <v>older</v>
          </cell>
          <cell r="E3593" t="str">
            <v>B</v>
          </cell>
          <cell r="F3593" t="str">
            <v>CLINICAL PSYCHOLOGIST II</v>
          </cell>
          <cell r="G3593" t="str">
            <v>8697A</v>
          </cell>
          <cell r="H3593">
            <v>6993.82</v>
          </cell>
          <cell r="I3593">
            <v>1</v>
          </cell>
          <cell r="J3593">
            <v>12</v>
          </cell>
          <cell r="K3593">
            <v>1</v>
          </cell>
          <cell r="L3593">
            <v>83925.52</v>
          </cell>
        </row>
        <row r="3594">
          <cell r="A3594">
            <v>105076</v>
          </cell>
          <cell r="B3594">
            <v>20492</v>
          </cell>
          <cell r="C3594">
            <v>20492</v>
          </cell>
          <cell r="D3594" t="str">
            <v>older</v>
          </cell>
          <cell r="E3594" t="str">
            <v>B</v>
          </cell>
          <cell r="F3594" t="str">
            <v>CLINICAL PSYCHOLOGIST II</v>
          </cell>
          <cell r="G3594" t="str">
            <v>8697A</v>
          </cell>
          <cell r="H3594">
            <v>6993.82</v>
          </cell>
          <cell r="I3594">
            <v>1</v>
          </cell>
          <cell r="J3594">
            <v>12</v>
          </cell>
          <cell r="K3594">
            <v>1</v>
          </cell>
          <cell r="L3594">
            <v>83925.52</v>
          </cell>
        </row>
        <row r="3595">
          <cell r="A3595">
            <v>106074</v>
          </cell>
          <cell r="B3595">
            <v>18676</v>
          </cell>
          <cell r="C3595">
            <v>20492</v>
          </cell>
          <cell r="D3595" t="str">
            <v>older</v>
          </cell>
          <cell r="E3595" t="str">
            <v>B</v>
          </cell>
          <cell r="F3595" t="str">
            <v>CLINICAL PSYCHOLOGIST II</v>
          </cell>
          <cell r="G3595" t="str">
            <v>8697A</v>
          </cell>
          <cell r="H3595">
            <v>6993.82</v>
          </cell>
          <cell r="I3595">
            <v>1</v>
          </cell>
          <cell r="J3595">
            <v>12</v>
          </cell>
          <cell r="K3595">
            <v>1</v>
          </cell>
          <cell r="L3595">
            <v>83925.52</v>
          </cell>
        </row>
        <row r="3596">
          <cell r="A3596">
            <v>106270</v>
          </cell>
          <cell r="B3596">
            <v>20492</v>
          </cell>
          <cell r="C3596">
            <v>20492</v>
          </cell>
          <cell r="D3596" t="str">
            <v>older</v>
          </cell>
          <cell r="E3596" t="str">
            <v>B</v>
          </cell>
          <cell r="F3596" t="str">
            <v>CLINICAL PSYCHOLOGIST II</v>
          </cell>
          <cell r="G3596" t="str">
            <v>8697A</v>
          </cell>
          <cell r="H3596">
            <v>6993.82</v>
          </cell>
          <cell r="I3596">
            <v>1</v>
          </cell>
          <cell r="J3596">
            <v>12</v>
          </cell>
          <cell r="K3596">
            <v>1</v>
          </cell>
          <cell r="L3596">
            <v>83925.52</v>
          </cell>
        </row>
        <row r="3597">
          <cell r="A3597">
            <v>106327</v>
          </cell>
          <cell r="B3597">
            <v>21562</v>
          </cell>
          <cell r="C3597">
            <v>20492</v>
          </cell>
          <cell r="D3597" t="str">
            <v>older</v>
          </cell>
          <cell r="E3597" t="str">
            <v>B</v>
          </cell>
          <cell r="F3597" t="str">
            <v>CLINICAL PSYCHOLOGIST II</v>
          </cell>
          <cell r="G3597" t="str">
            <v>8697A</v>
          </cell>
          <cell r="H3597">
            <v>6993.82</v>
          </cell>
          <cell r="I3597">
            <v>1</v>
          </cell>
          <cell r="J3597">
            <v>12</v>
          </cell>
          <cell r="K3597">
            <v>1</v>
          </cell>
          <cell r="L3597">
            <v>83925.52</v>
          </cell>
        </row>
        <row r="3598">
          <cell r="A3598">
            <v>106356</v>
          </cell>
          <cell r="B3598">
            <v>21564</v>
          </cell>
          <cell r="C3598">
            <v>20492</v>
          </cell>
          <cell r="D3598" t="str">
            <v>older</v>
          </cell>
          <cell r="E3598" t="str">
            <v>B</v>
          </cell>
          <cell r="F3598" t="str">
            <v>CLINICAL PSYCHOLOGIST II</v>
          </cell>
          <cell r="G3598" t="str">
            <v>8697A</v>
          </cell>
          <cell r="H3598">
            <v>6993.82</v>
          </cell>
          <cell r="I3598">
            <v>1</v>
          </cell>
          <cell r="J3598">
            <v>12</v>
          </cell>
          <cell r="K3598">
            <v>1</v>
          </cell>
          <cell r="L3598">
            <v>83925.52</v>
          </cell>
        </row>
        <row r="3599">
          <cell r="A3599">
            <v>104896</v>
          </cell>
          <cell r="B3599">
            <v>20492</v>
          </cell>
          <cell r="C3599">
            <v>20492</v>
          </cell>
          <cell r="D3599" t="str">
            <v>older</v>
          </cell>
          <cell r="E3599" t="str">
            <v>B</v>
          </cell>
          <cell r="F3599" t="str">
            <v>INTERMEDIATE TYPIST-CLERK</v>
          </cell>
          <cell r="G3599" t="str">
            <v>2214A</v>
          </cell>
          <cell r="H3599">
            <v>2675.27</v>
          </cell>
          <cell r="I3599">
            <v>1</v>
          </cell>
          <cell r="J3599">
            <v>12</v>
          </cell>
          <cell r="K3599">
            <v>1</v>
          </cell>
          <cell r="L3599">
            <v>32103.16</v>
          </cell>
        </row>
        <row r="3600">
          <cell r="A3600">
            <v>109658</v>
          </cell>
          <cell r="B3600">
            <v>20492</v>
          </cell>
          <cell r="C3600">
            <v>20492</v>
          </cell>
          <cell r="D3600" t="str">
            <v>older</v>
          </cell>
          <cell r="E3600" t="str">
            <v>B</v>
          </cell>
          <cell r="F3600" t="str">
            <v>INTERMEDIATE TYPIST-CLERK</v>
          </cell>
          <cell r="G3600" t="str">
            <v>2214A</v>
          </cell>
          <cell r="H3600">
            <v>2675.27</v>
          </cell>
          <cell r="I3600">
            <v>1</v>
          </cell>
          <cell r="J3600">
            <v>12</v>
          </cell>
          <cell r="K3600">
            <v>1</v>
          </cell>
          <cell r="L3600">
            <v>32103.24</v>
          </cell>
        </row>
        <row r="3601">
          <cell r="A3601">
            <v>104892</v>
          </cell>
          <cell r="B3601">
            <v>20492</v>
          </cell>
          <cell r="C3601">
            <v>20492</v>
          </cell>
          <cell r="D3601" t="str">
            <v>older</v>
          </cell>
          <cell r="E3601" t="str">
            <v>B</v>
          </cell>
          <cell r="F3601" t="str">
            <v>MEDICAL CASE WORKER II</v>
          </cell>
          <cell r="G3601" t="str">
            <v>9002A</v>
          </cell>
          <cell r="H3601">
            <v>3938.82</v>
          </cell>
          <cell r="I3601">
            <v>1</v>
          </cell>
          <cell r="J3601">
            <v>12</v>
          </cell>
          <cell r="K3601">
            <v>1</v>
          </cell>
          <cell r="L3601">
            <v>47265.68</v>
          </cell>
        </row>
        <row r="3602">
          <cell r="A3602">
            <v>104913</v>
          </cell>
          <cell r="B3602">
            <v>20446</v>
          </cell>
          <cell r="C3602">
            <v>20492</v>
          </cell>
          <cell r="D3602" t="str">
            <v>older</v>
          </cell>
          <cell r="E3602" t="str">
            <v>B</v>
          </cell>
          <cell r="F3602" t="str">
            <v>MEDICAL CASE WORKER II</v>
          </cell>
          <cell r="G3602" t="str">
            <v>9002A</v>
          </cell>
          <cell r="H3602">
            <v>3938.82</v>
          </cell>
          <cell r="I3602">
            <v>1</v>
          </cell>
          <cell r="J3602">
            <v>12</v>
          </cell>
          <cell r="K3602">
            <v>1</v>
          </cell>
          <cell r="L3602">
            <v>47265.68</v>
          </cell>
        </row>
        <row r="3603">
          <cell r="A3603">
            <v>102846</v>
          </cell>
          <cell r="B3603">
            <v>20444</v>
          </cell>
          <cell r="C3603">
            <v>20492</v>
          </cell>
          <cell r="D3603" t="str">
            <v>older</v>
          </cell>
          <cell r="E3603" t="str">
            <v>B</v>
          </cell>
          <cell r="F3603" t="str">
            <v>MENTAL HEALTH PSYCHIATRIST</v>
          </cell>
          <cell r="G3603" t="str">
            <v>4735A</v>
          </cell>
          <cell r="H3603">
            <v>12844</v>
          </cell>
          <cell r="I3603">
            <v>1</v>
          </cell>
          <cell r="J3603">
            <v>6</v>
          </cell>
          <cell r="K3603">
            <v>0.5</v>
          </cell>
          <cell r="L3603">
            <v>77064</v>
          </cell>
        </row>
        <row r="3604">
          <cell r="A3604">
            <v>103299</v>
          </cell>
          <cell r="B3604">
            <v>18588</v>
          </cell>
          <cell r="C3604">
            <v>20492</v>
          </cell>
          <cell r="D3604" t="str">
            <v>older</v>
          </cell>
          <cell r="E3604" t="str">
            <v>B</v>
          </cell>
          <cell r="F3604" t="str">
            <v>MENTAL HEALTH PSYCHIATRIST</v>
          </cell>
          <cell r="G3604" t="str">
            <v>4735A</v>
          </cell>
          <cell r="H3604">
            <v>12844</v>
          </cell>
          <cell r="I3604">
            <v>1</v>
          </cell>
          <cell r="J3604">
            <v>12</v>
          </cell>
          <cell r="K3604">
            <v>1</v>
          </cell>
          <cell r="L3604">
            <v>154128</v>
          </cell>
        </row>
        <row r="3605">
          <cell r="A3605">
            <v>106162</v>
          </cell>
          <cell r="B3605">
            <v>18676</v>
          </cell>
          <cell r="C3605">
            <v>20492</v>
          </cell>
          <cell r="D3605" t="str">
            <v>older</v>
          </cell>
          <cell r="E3605" t="str">
            <v>B</v>
          </cell>
          <cell r="F3605" t="str">
            <v>MENTAL HEALTH SERVICES COORD I</v>
          </cell>
          <cell r="G3605" t="str">
            <v>8148A</v>
          </cell>
          <cell r="H3605">
            <v>5126.91</v>
          </cell>
          <cell r="I3605">
            <v>1</v>
          </cell>
          <cell r="J3605">
            <v>12</v>
          </cell>
          <cell r="K3605">
            <v>1</v>
          </cell>
          <cell r="L3605">
            <v>61522.92</v>
          </cell>
        </row>
        <row r="3606">
          <cell r="A3606">
            <v>104109</v>
          </cell>
          <cell r="B3606">
            <v>20492</v>
          </cell>
          <cell r="C3606">
            <v>20492</v>
          </cell>
          <cell r="D3606" t="str">
            <v>older</v>
          </cell>
          <cell r="E3606" t="str">
            <v>B</v>
          </cell>
          <cell r="F3606" t="str">
            <v>MNTL HLTH CLINICAL PROGRAM HEAD</v>
          </cell>
          <cell r="G3606" t="str">
            <v>4726A</v>
          </cell>
          <cell r="H3606">
            <v>8709.73</v>
          </cell>
          <cell r="I3606">
            <v>1</v>
          </cell>
          <cell r="J3606">
            <v>12</v>
          </cell>
          <cell r="K3606">
            <v>1</v>
          </cell>
          <cell r="L3606">
            <v>104516.76</v>
          </cell>
        </row>
        <row r="3607">
          <cell r="A3607">
            <v>104887</v>
          </cell>
          <cell r="B3607">
            <v>20492</v>
          </cell>
          <cell r="C3607">
            <v>20492</v>
          </cell>
          <cell r="D3607" t="str">
            <v>older</v>
          </cell>
          <cell r="E3607" t="str">
            <v>B</v>
          </cell>
          <cell r="F3607" t="str">
            <v xml:space="preserve">PATIENT FINANCIAL SERVICES WORKER  </v>
          </cell>
          <cell r="G3607" t="str">
            <v>9193A</v>
          </cell>
          <cell r="H3607">
            <v>3403.55</v>
          </cell>
          <cell r="I3607">
            <v>1</v>
          </cell>
          <cell r="J3607">
            <v>12</v>
          </cell>
          <cell r="K3607">
            <v>1</v>
          </cell>
          <cell r="L3607">
            <v>40842.6</v>
          </cell>
        </row>
        <row r="3608">
          <cell r="A3608">
            <v>101094</v>
          </cell>
          <cell r="B3608">
            <v>20446</v>
          </cell>
          <cell r="C3608">
            <v>20492</v>
          </cell>
          <cell r="D3608" t="str">
            <v>older</v>
          </cell>
          <cell r="E3608" t="str">
            <v>B</v>
          </cell>
          <cell r="F3608" t="str">
            <v>PSYCHIATRIC SOCIAL WORKER II</v>
          </cell>
          <cell r="G3608" t="str">
            <v>9035A</v>
          </cell>
          <cell r="H3608">
            <v>5425.82</v>
          </cell>
          <cell r="I3608">
            <v>1</v>
          </cell>
          <cell r="J3608">
            <v>12</v>
          </cell>
          <cell r="K3608">
            <v>1</v>
          </cell>
          <cell r="L3608">
            <v>65109.84</v>
          </cell>
        </row>
        <row r="3609">
          <cell r="A3609">
            <v>103847</v>
          </cell>
          <cell r="B3609">
            <v>20492</v>
          </cell>
          <cell r="C3609">
            <v>20492</v>
          </cell>
          <cell r="D3609" t="str">
            <v>older</v>
          </cell>
          <cell r="E3609" t="str">
            <v>B</v>
          </cell>
          <cell r="F3609" t="str">
            <v>PSYCHIATRIC SOCIAL WORKER II</v>
          </cell>
          <cell r="G3609" t="str">
            <v>9035A</v>
          </cell>
          <cell r="H3609">
            <v>5425.82</v>
          </cell>
          <cell r="I3609">
            <v>1</v>
          </cell>
          <cell r="J3609">
            <v>12</v>
          </cell>
          <cell r="K3609">
            <v>1</v>
          </cell>
          <cell r="L3609">
            <v>65109.84</v>
          </cell>
        </row>
        <row r="3610">
          <cell r="A3610">
            <v>104113</v>
          </cell>
          <cell r="B3610">
            <v>20492</v>
          </cell>
          <cell r="C3610">
            <v>20492</v>
          </cell>
          <cell r="D3610" t="str">
            <v>older</v>
          </cell>
          <cell r="E3610" t="str">
            <v>B</v>
          </cell>
          <cell r="F3610" t="str">
            <v>PSYCHIATRIC SOCIAL WORKER II</v>
          </cell>
          <cell r="G3610" t="str">
            <v>9035A</v>
          </cell>
          <cell r="H3610">
            <v>5425.82</v>
          </cell>
          <cell r="I3610">
            <v>1</v>
          </cell>
          <cell r="J3610">
            <v>12</v>
          </cell>
          <cell r="K3610">
            <v>1</v>
          </cell>
          <cell r="L3610">
            <v>65109.84</v>
          </cell>
        </row>
        <row r="3611">
          <cell r="A3611">
            <v>104891</v>
          </cell>
          <cell r="B3611">
            <v>20492</v>
          </cell>
          <cell r="C3611">
            <v>20492</v>
          </cell>
          <cell r="D3611" t="str">
            <v>older</v>
          </cell>
          <cell r="E3611" t="str">
            <v>B</v>
          </cell>
          <cell r="F3611" t="str">
            <v>PSYCHIATRIC SOCIAL WORKER II</v>
          </cell>
          <cell r="G3611" t="str">
            <v>9035A</v>
          </cell>
          <cell r="H3611">
            <v>5425.82</v>
          </cell>
          <cell r="I3611">
            <v>1</v>
          </cell>
          <cell r="J3611">
            <v>12</v>
          </cell>
          <cell r="K3611">
            <v>1</v>
          </cell>
          <cell r="L3611">
            <v>65109.84</v>
          </cell>
        </row>
        <row r="3612">
          <cell r="A3612">
            <v>106323</v>
          </cell>
          <cell r="B3612">
            <v>20492</v>
          </cell>
          <cell r="C3612">
            <v>20492</v>
          </cell>
          <cell r="D3612" t="str">
            <v>older</v>
          </cell>
          <cell r="E3612" t="str">
            <v>B</v>
          </cell>
          <cell r="F3612" t="str">
            <v>PSYCHIATRIC SOCIAL WORKER II</v>
          </cell>
          <cell r="G3612" t="str">
            <v>9035A</v>
          </cell>
          <cell r="H3612">
            <v>5425.82</v>
          </cell>
          <cell r="I3612">
            <v>1</v>
          </cell>
          <cell r="J3612">
            <v>12</v>
          </cell>
          <cell r="K3612">
            <v>1</v>
          </cell>
          <cell r="L3612">
            <v>65109.84</v>
          </cell>
        </row>
        <row r="3613">
          <cell r="A3613">
            <v>104115</v>
          </cell>
          <cell r="B3613">
            <v>20492</v>
          </cell>
          <cell r="C3613">
            <v>20492</v>
          </cell>
          <cell r="D3613" t="str">
            <v>older</v>
          </cell>
          <cell r="E3613" t="str">
            <v>B</v>
          </cell>
          <cell r="F3613" t="str">
            <v xml:space="preserve">SECRETARY III                      </v>
          </cell>
          <cell r="G3613" t="str">
            <v>2096A</v>
          </cell>
          <cell r="H3613">
            <v>3387</v>
          </cell>
          <cell r="I3613">
            <v>1</v>
          </cell>
          <cell r="J3613">
            <v>12</v>
          </cell>
          <cell r="K3613">
            <v>1</v>
          </cell>
          <cell r="L3613">
            <v>40643.839999999997</v>
          </cell>
        </row>
        <row r="3614">
          <cell r="A3614">
            <v>104474</v>
          </cell>
          <cell r="B3614">
            <v>20492</v>
          </cell>
          <cell r="C3614">
            <v>20492</v>
          </cell>
          <cell r="D3614" t="str">
            <v>older</v>
          </cell>
          <cell r="E3614" t="str">
            <v>B</v>
          </cell>
          <cell r="F3614" t="str">
            <v xml:space="preserve">SR COMMUN MENTAL HLTH PSYCHOLOGIST </v>
          </cell>
          <cell r="G3614" t="str">
            <v>8712A</v>
          </cell>
          <cell r="H3614">
            <v>7311.45</v>
          </cell>
          <cell r="I3614">
            <v>1</v>
          </cell>
          <cell r="J3614">
            <v>12</v>
          </cell>
          <cell r="K3614">
            <v>1</v>
          </cell>
          <cell r="L3614">
            <v>87737.16</v>
          </cell>
        </row>
        <row r="3615">
          <cell r="A3615">
            <v>104886</v>
          </cell>
          <cell r="B3615">
            <v>20492</v>
          </cell>
          <cell r="C3615">
            <v>20492</v>
          </cell>
          <cell r="D3615" t="str">
            <v>older</v>
          </cell>
          <cell r="E3615" t="str">
            <v>B</v>
          </cell>
          <cell r="F3615" t="str">
            <v xml:space="preserve">STAFF ASSISTANT I                  </v>
          </cell>
          <cell r="G3615" t="str">
            <v>0907A</v>
          </cell>
          <cell r="H3615">
            <v>3453.18</v>
          </cell>
          <cell r="I3615">
            <v>1</v>
          </cell>
          <cell r="J3615">
            <v>12</v>
          </cell>
          <cell r="K3615">
            <v>1</v>
          </cell>
          <cell r="L3615">
            <v>41438.480000000003</v>
          </cell>
        </row>
        <row r="3616">
          <cell r="A3616">
            <v>106325</v>
          </cell>
          <cell r="B3616">
            <v>20492</v>
          </cell>
          <cell r="C3616">
            <v>20492</v>
          </cell>
          <cell r="D3616" t="str">
            <v>older</v>
          </cell>
          <cell r="E3616" t="str">
            <v>B</v>
          </cell>
          <cell r="F3616" t="str">
            <v xml:space="preserve">SUPERVISING TYPIST-CLERK           </v>
          </cell>
          <cell r="G3616" t="str">
            <v>2219A</v>
          </cell>
          <cell r="H3616">
            <v>3013.55</v>
          </cell>
          <cell r="I3616">
            <v>1</v>
          </cell>
          <cell r="J3616">
            <v>12</v>
          </cell>
          <cell r="K3616">
            <v>1</v>
          </cell>
          <cell r="L3616">
            <v>36162.6</v>
          </cell>
        </row>
        <row r="3617">
          <cell r="A3617">
            <v>104888</v>
          </cell>
          <cell r="B3617">
            <v>20492</v>
          </cell>
          <cell r="C3617">
            <v>20492</v>
          </cell>
          <cell r="D3617" t="str">
            <v>older</v>
          </cell>
          <cell r="E3617" t="str">
            <v>B</v>
          </cell>
          <cell r="F3617" t="str">
            <v xml:space="preserve">SUPVG PSYCHIATRIC SOCIAL WORKER    </v>
          </cell>
          <cell r="G3617" t="str">
            <v>9038A</v>
          </cell>
          <cell r="H3617">
            <v>6062.45</v>
          </cell>
          <cell r="I3617">
            <v>1</v>
          </cell>
          <cell r="J3617">
            <v>12</v>
          </cell>
          <cell r="K3617">
            <v>1</v>
          </cell>
          <cell r="L3617">
            <v>72749.399999999994</v>
          </cell>
        </row>
        <row r="3618">
          <cell r="A3618">
            <v>102139</v>
          </cell>
          <cell r="B3618">
            <v>20597</v>
          </cell>
          <cell r="C3618">
            <v>27255</v>
          </cell>
          <cell r="D3618" t="str">
            <v>older</v>
          </cell>
          <cell r="E3618" t="str">
            <v>B</v>
          </cell>
          <cell r="F3618" t="str">
            <v xml:space="preserve">MENTAL HEALTH ANALYST II           </v>
          </cell>
          <cell r="G3618" t="str">
            <v>4729A</v>
          </cell>
          <cell r="H3618">
            <v>6244.55</v>
          </cell>
          <cell r="I3618">
            <v>1</v>
          </cell>
          <cell r="J3618">
            <v>12</v>
          </cell>
          <cell r="K3618">
            <v>1</v>
          </cell>
          <cell r="L3618">
            <v>74934.36</v>
          </cell>
        </row>
        <row r="3619">
          <cell r="A3619">
            <v>102452</v>
          </cell>
          <cell r="B3619">
            <v>23001</v>
          </cell>
          <cell r="C3619">
            <v>27255</v>
          </cell>
          <cell r="D3619" t="str">
            <v>older</v>
          </cell>
          <cell r="E3619" t="str">
            <v>B</v>
          </cell>
          <cell r="F3619" t="str">
            <v xml:space="preserve">SENIOR SECRETARY III               </v>
          </cell>
          <cell r="G3619" t="str">
            <v>2102A</v>
          </cell>
          <cell r="H3619">
            <v>4106.3599999999997</v>
          </cell>
          <cell r="I3619">
            <v>1</v>
          </cell>
          <cell r="J3619">
            <v>12</v>
          </cell>
          <cell r="K3619">
            <v>1</v>
          </cell>
          <cell r="L3619">
            <v>49276.56</v>
          </cell>
        </row>
        <row r="3620">
          <cell r="A3620">
            <v>102667</v>
          </cell>
          <cell r="B3620">
            <v>20452</v>
          </cell>
          <cell r="C3620">
            <v>21562</v>
          </cell>
          <cell r="D3620" t="str">
            <v>older</v>
          </cell>
          <cell r="E3620" t="str">
            <v>B</v>
          </cell>
          <cell r="F3620" t="str">
            <v>CLINICAL PSYCHOLOGIST II</v>
          </cell>
          <cell r="G3620" t="str">
            <v>8697A</v>
          </cell>
          <cell r="H3620">
            <v>6993.82</v>
          </cell>
          <cell r="I3620">
            <v>1</v>
          </cell>
          <cell r="J3620">
            <v>12</v>
          </cell>
          <cell r="K3620">
            <v>1</v>
          </cell>
          <cell r="L3620">
            <v>83925.52</v>
          </cell>
        </row>
        <row r="3621">
          <cell r="A3621">
            <v>105070</v>
          </cell>
          <cell r="B3621">
            <v>21561</v>
          </cell>
          <cell r="C3621">
            <v>21562</v>
          </cell>
          <cell r="D3621" t="str">
            <v>older</v>
          </cell>
          <cell r="E3621" t="str">
            <v>B</v>
          </cell>
          <cell r="F3621" t="str">
            <v>CLINICAL PSYCHOLOGIST II</v>
          </cell>
          <cell r="G3621" t="str">
            <v>8697A</v>
          </cell>
          <cell r="H3621">
            <v>6993.82</v>
          </cell>
          <cell r="I3621">
            <v>1</v>
          </cell>
          <cell r="J3621">
            <v>12</v>
          </cell>
          <cell r="K3621">
            <v>1</v>
          </cell>
          <cell r="L3621">
            <v>83925.52</v>
          </cell>
        </row>
        <row r="3622">
          <cell r="A3622">
            <v>106272</v>
          </cell>
          <cell r="B3622">
            <v>20446</v>
          </cell>
          <cell r="C3622">
            <v>21562</v>
          </cell>
          <cell r="D3622" t="str">
            <v>older</v>
          </cell>
          <cell r="E3622" t="str">
            <v>B</v>
          </cell>
          <cell r="F3622" t="str">
            <v>MEDICAL CASE WORKER II</v>
          </cell>
          <cell r="G3622" t="str">
            <v>9002A</v>
          </cell>
          <cell r="H3622">
            <v>3938.82</v>
          </cell>
          <cell r="I3622">
            <v>1</v>
          </cell>
          <cell r="J3622">
            <v>12</v>
          </cell>
          <cell r="K3622">
            <v>1</v>
          </cell>
          <cell r="L3622">
            <v>47265.68</v>
          </cell>
        </row>
        <row r="3623">
          <cell r="A3623">
            <v>104784</v>
          </cell>
          <cell r="B3623">
            <v>20564</v>
          </cell>
          <cell r="C3623">
            <v>21562</v>
          </cell>
          <cell r="D3623" t="str">
            <v>older</v>
          </cell>
          <cell r="E3623" t="str">
            <v>B</v>
          </cell>
          <cell r="F3623" t="str">
            <v>MENTAL HEALTH PSYCHIATRIST</v>
          </cell>
          <cell r="G3623" t="str">
            <v>4735A</v>
          </cell>
          <cell r="H3623">
            <v>12844</v>
          </cell>
          <cell r="I3623">
            <v>1</v>
          </cell>
          <cell r="J3623">
            <v>12</v>
          </cell>
          <cell r="K3623">
            <v>1</v>
          </cell>
          <cell r="L3623">
            <v>154128</v>
          </cell>
        </row>
        <row r="3624">
          <cell r="A3624">
            <v>106329</v>
          </cell>
          <cell r="B3624">
            <v>21562</v>
          </cell>
          <cell r="C3624">
            <v>21562</v>
          </cell>
          <cell r="D3624" t="str">
            <v>older</v>
          </cell>
          <cell r="E3624" t="str">
            <v>B</v>
          </cell>
          <cell r="F3624" t="str">
            <v>MENTAL HEALTH PSYCHIATRIST</v>
          </cell>
          <cell r="G3624" t="str">
            <v>4735A</v>
          </cell>
          <cell r="H3624">
            <v>12844</v>
          </cell>
          <cell r="I3624">
            <v>1</v>
          </cell>
          <cell r="J3624">
            <v>3</v>
          </cell>
          <cell r="K3624">
            <v>0.25</v>
          </cell>
          <cell r="L3624">
            <v>38532</v>
          </cell>
        </row>
        <row r="3625">
          <cell r="A3625">
            <v>104180</v>
          </cell>
          <cell r="B3625">
            <v>20469</v>
          </cell>
          <cell r="C3625">
            <v>21562</v>
          </cell>
          <cell r="D3625" t="str">
            <v>older</v>
          </cell>
          <cell r="E3625" t="str">
            <v>B</v>
          </cell>
          <cell r="F3625" t="str">
            <v>PSYCHIATRIC SOCIAL WORKER II</v>
          </cell>
          <cell r="G3625" t="str">
            <v>9035A</v>
          </cell>
          <cell r="H3625">
            <v>5425.82</v>
          </cell>
          <cell r="I3625">
            <v>1</v>
          </cell>
          <cell r="J3625">
            <v>12</v>
          </cell>
          <cell r="K3625">
            <v>1</v>
          </cell>
          <cell r="L3625">
            <v>65109.84</v>
          </cell>
        </row>
        <row r="3626">
          <cell r="A3626">
            <v>106330</v>
          </cell>
          <cell r="B3626">
            <v>21562</v>
          </cell>
          <cell r="C3626">
            <v>21562</v>
          </cell>
          <cell r="D3626" t="str">
            <v>older</v>
          </cell>
          <cell r="E3626" t="str">
            <v>B</v>
          </cell>
          <cell r="F3626" t="str">
            <v>PSYCHIATRIC SOCIAL WORKER II</v>
          </cell>
          <cell r="G3626" t="str">
            <v>9035A</v>
          </cell>
          <cell r="H3626">
            <v>5425.82</v>
          </cell>
          <cell r="I3626">
            <v>1</v>
          </cell>
          <cell r="J3626">
            <v>12</v>
          </cell>
          <cell r="K3626">
            <v>1</v>
          </cell>
          <cell r="L3626">
            <v>65109.84</v>
          </cell>
        </row>
        <row r="3627">
          <cell r="A3627">
            <v>104978</v>
          </cell>
          <cell r="B3627">
            <v>20469</v>
          </cell>
          <cell r="C3627">
            <v>21562</v>
          </cell>
          <cell r="D3627" t="str">
            <v>older</v>
          </cell>
          <cell r="E3627" t="str">
            <v>B</v>
          </cell>
          <cell r="F3627" t="str">
            <v>SUBSTANCE ABUSE COUNSELOR</v>
          </cell>
          <cell r="G3627" t="str">
            <v>5884A</v>
          </cell>
          <cell r="H3627">
            <v>3210</v>
          </cell>
          <cell r="I3627">
            <v>1</v>
          </cell>
          <cell r="J3627">
            <v>6</v>
          </cell>
          <cell r="K3627">
            <v>0.5</v>
          </cell>
          <cell r="L3627">
            <v>19260</v>
          </cell>
        </row>
        <row r="3628">
          <cell r="A3628">
            <v>103832</v>
          </cell>
          <cell r="B3628">
            <v>20446</v>
          </cell>
          <cell r="C3628">
            <v>21562</v>
          </cell>
          <cell r="D3628" t="str">
            <v>older</v>
          </cell>
          <cell r="E3628" t="str">
            <v>B</v>
          </cell>
          <cell r="F3628" t="str">
            <v xml:space="preserve">SUPVG PSYCHIATRIC SOCIAL WORKER    </v>
          </cell>
          <cell r="G3628" t="str">
            <v>9038A</v>
          </cell>
          <cell r="H3628">
            <v>6062.45</v>
          </cell>
          <cell r="I3628">
            <v>1</v>
          </cell>
          <cell r="J3628">
            <v>12</v>
          </cell>
          <cell r="K3628">
            <v>1</v>
          </cell>
          <cell r="L3628">
            <v>72749.399999999994</v>
          </cell>
        </row>
        <row r="3629">
          <cell r="A3629">
            <v>109185</v>
          </cell>
          <cell r="B3629">
            <v>27506</v>
          </cell>
          <cell r="C3629">
            <v>27553</v>
          </cell>
          <cell r="D3629" t="str">
            <v>older</v>
          </cell>
          <cell r="E3629" t="str">
            <v>B</v>
          </cell>
          <cell r="F3629" t="str">
            <v>INTERMEDIATE TYPIST-CLERK</v>
          </cell>
          <cell r="G3629" t="str">
            <v>2214A</v>
          </cell>
          <cell r="H3629">
            <v>2675.27</v>
          </cell>
          <cell r="I3629">
            <v>1</v>
          </cell>
          <cell r="J3629">
            <v>12</v>
          </cell>
          <cell r="K3629">
            <v>1</v>
          </cell>
          <cell r="L3629">
            <v>32103.16</v>
          </cell>
        </row>
        <row r="3630">
          <cell r="A3630">
            <v>104261</v>
          </cell>
          <cell r="B3630">
            <v>20452</v>
          </cell>
          <cell r="C3630">
            <v>27553</v>
          </cell>
          <cell r="D3630" t="str">
            <v>older</v>
          </cell>
          <cell r="E3630" t="str">
            <v>B</v>
          </cell>
          <cell r="F3630" t="str">
            <v>MENTAL HEALTH PSYCHIATRIST</v>
          </cell>
          <cell r="G3630" t="str">
            <v>4735A</v>
          </cell>
          <cell r="H3630">
            <v>12844</v>
          </cell>
          <cell r="I3630">
            <v>1</v>
          </cell>
          <cell r="J3630">
            <v>6</v>
          </cell>
          <cell r="K3630">
            <v>0.5</v>
          </cell>
          <cell r="L3630">
            <v>77064</v>
          </cell>
        </row>
        <row r="3631">
          <cell r="A3631">
            <v>103030</v>
          </cell>
          <cell r="B3631">
            <v>20474</v>
          </cell>
          <cell r="C3631">
            <v>27553</v>
          </cell>
          <cell r="D3631" t="str">
            <v>older</v>
          </cell>
          <cell r="E3631" t="str">
            <v>B</v>
          </cell>
          <cell r="F3631" t="str">
            <v xml:space="preserve">SUPVG MENTAL HEALTH PSYCHIATRIST   </v>
          </cell>
          <cell r="G3631" t="str">
            <v>4737A</v>
          </cell>
          <cell r="H3631">
            <v>13870</v>
          </cell>
          <cell r="I3631">
            <v>1</v>
          </cell>
          <cell r="J3631">
            <v>12</v>
          </cell>
          <cell r="K3631">
            <v>1</v>
          </cell>
          <cell r="L3631">
            <v>166440</v>
          </cell>
        </row>
        <row r="3632">
          <cell r="A3632">
            <v>109517</v>
          </cell>
          <cell r="B3632">
            <v>32078</v>
          </cell>
          <cell r="D3632" t="str">
            <v>older</v>
          </cell>
          <cell r="E3632" t="str">
            <v>M</v>
          </cell>
          <cell r="F3632" t="str">
            <v>COMMUNITY WORKER</v>
          </cell>
          <cell r="G3632" t="str">
            <v>8103A</v>
          </cell>
          <cell r="H3632">
            <v>2984.09</v>
          </cell>
          <cell r="I3632">
            <v>1</v>
          </cell>
          <cell r="J3632">
            <v>12</v>
          </cell>
          <cell r="K3632">
            <v>1</v>
          </cell>
          <cell r="L3632">
            <v>35809.08</v>
          </cell>
        </row>
        <row r="3633">
          <cell r="A3633">
            <v>109518</v>
          </cell>
          <cell r="B3633">
            <v>32078</v>
          </cell>
          <cell r="D3633" t="str">
            <v>older</v>
          </cell>
          <cell r="E3633" t="str">
            <v>M</v>
          </cell>
          <cell r="F3633" t="str">
            <v>COMMUNITY WORKER</v>
          </cell>
          <cell r="G3633" t="str">
            <v>8103A</v>
          </cell>
          <cell r="H3633">
            <v>2984.09</v>
          </cell>
          <cell r="I3633">
            <v>1</v>
          </cell>
          <cell r="J3633">
            <v>12</v>
          </cell>
          <cell r="K3633">
            <v>1</v>
          </cell>
          <cell r="L3633">
            <v>35809.08</v>
          </cell>
        </row>
        <row r="3634">
          <cell r="A3634">
            <v>109503</v>
          </cell>
          <cell r="B3634">
            <v>32078</v>
          </cell>
          <cell r="D3634" t="str">
            <v>older</v>
          </cell>
          <cell r="E3634" t="str">
            <v>M</v>
          </cell>
          <cell r="F3634" t="str">
            <v>INTERMEDIATE TYPIST-CLERK</v>
          </cell>
          <cell r="G3634" t="str">
            <v>2214A</v>
          </cell>
          <cell r="H3634">
            <v>2675.27</v>
          </cell>
          <cell r="I3634">
            <v>1</v>
          </cell>
          <cell r="J3634">
            <v>12</v>
          </cell>
          <cell r="K3634">
            <v>1</v>
          </cell>
          <cell r="L3634">
            <v>32103.24</v>
          </cell>
        </row>
        <row r="3635">
          <cell r="A3635">
            <v>109504</v>
          </cell>
          <cell r="B3635">
            <v>32078</v>
          </cell>
          <cell r="D3635" t="str">
            <v>older</v>
          </cell>
          <cell r="E3635" t="str">
            <v>M</v>
          </cell>
          <cell r="F3635" t="str">
            <v>INTERMEDIATE TYPIST-CLERK</v>
          </cell>
          <cell r="G3635" t="str">
            <v>2214A</v>
          </cell>
          <cell r="H3635">
            <v>2675.27</v>
          </cell>
          <cell r="I3635">
            <v>1</v>
          </cell>
          <cell r="J3635">
            <v>12</v>
          </cell>
          <cell r="K3635">
            <v>1</v>
          </cell>
          <cell r="L3635">
            <v>32103.24</v>
          </cell>
        </row>
        <row r="3636">
          <cell r="A3636">
            <v>109505</v>
          </cell>
          <cell r="B3636">
            <v>32078</v>
          </cell>
          <cell r="D3636" t="str">
            <v>older</v>
          </cell>
          <cell r="E3636" t="str">
            <v>M</v>
          </cell>
          <cell r="F3636" t="str">
            <v>MEDICAL CASE WORKER II</v>
          </cell>
          <cell r="G3636" t="str">
            <v>9002A</v>
          </cell>
          <cell r="H3636">
            <v>3938.82</v>
          </cell>
          <cell r="I3636">
            <v>1</v>
          </cell>
          <cell r="J3636">
            <v>12</v>
          </cell>
          <cell r="K3636">
            <v>1</v>
          </cell>
          <cell r="L3636">
            <v>47265.84</v>
          </cell>
        </row>
        <row r="3637">
          <cell r="A3637">
            <v>109506</v>
          </cell>
          <cell r="B3637">
            <v>32078</v>
          </cell>
          <cell r="D3637" t="str">
            <v>older</v>
          </cell>
          <cell r="E3637" t="str">
            <v>M</v>
          </cell>
          <cell r="F3637" t="str">
            <v>MEDICAL CASE WORKER II</v>
          </cell>
          <cell r="G3637" t="str">
            <v>9002A</v>
          </cell>
          <cell r="H3637">
            <v>3938.82</v>
          </cell>
          <cell r="I3637">
            <v>1</v>
          </cell>
          <cell r="J3637">
            <v>12</v>
          </cell>
          <cell r="K3637">
            <v>1</v>
          </cell>
          <cell r="L3637">
            <v>47265.84</v>
          </cell>
        </row>
        <row r="3638">
          <cell r="A3638">
            <v>109507</v>
          </cell>
          <cell r="B3638">
            <v>32078</v>
          </cell>
          <cell r="D3638" t="str">
            <v>older</v>
          </cell>
          <cell r="E3638" t="str">
            <v>M</v>
          </cell>
          <cell r="F3638" t="str">
            <v>MEDICAL CASE WORKER II</v>
          </cell>
          <cell r="G3638" t="str">
            <v>9002A</v>
          </cell>
          <cell r="H3638">
            <v>3938.82</v>
          </cell>
          <cell r="I3638">
            <v>1</v>
          </cell>
          <cell r="J3638">
            <v>12</v>
          </cell>
          <cell r="K3638">
            <v>1</v>
          </cell>
          <cell r="L3638">
            <v>47265.84</v>
          </cell>
        </row>
        <row r="3639">
          <cell r="A3639">
            <v>109508</v>
          </cell>
          <cell r="B3639">
            <v>32078</v>
          </cell>
          <cell r="D3639" t="str">
            <v>older</v>
          </cell>
          <cell r="E3639" t="str">
            <v>M</v>
          </cell>
          <cell r="F3639" t="str">
            <v>MEDICAL CASE WORKER II</v>
          </cell>
          <cell r="G3639" t="str">
            <v>9002A</v>
          </cell>
          <cell r="H3639">
            <v>3938.82</v>
          </cell>
          <cell r="I3639">
            <v>1</v>
          </cell>
          <cell r="J3639">
            <v>12</v>
          </cell>
          <cell r="K3639">
            <v>1</v>
          </cell>
          <cell r="L3639">
            <v>47265.84</v>
          </cell>
        </row>
        <row r="3640">
          <cell r="A3640">
            <v>109509</v>
          </cell>
          <cell r="B3640">
            <v>32078</v>
          </cell>
          <cell r="D3640" t="str">
            <v>older</v>
          </cell>
          <cell r="E3640" t="str">
            <v>M</v>
          </cell>
          <cell r="F3640" t="str">
            <v>MENTAL HEALTH COUNSELOR, RN</v>
          </cell>
          <cell r="G3640" t="str">
            <v>5278A</v>
          </cell>
          <cell r="H3640">
            <v>6275.27</v>
          </cell>
          <cell r="I3640">
            <v>1</v>
          </cell>
          <cell r="J3640">
            <v>12</v>
          </cell>
          <cell r="K3640">
            <v>1</v>
          </cell>
          <cell r="L3640">
            <v>76804.320000000007</v>
          </cell>
        </row>
        <row r="3641">
          <cell r="A3641">
            <v>109510</v>
          </cell>
          <cell r="B3641">
            <v>32078</v>
          </cell>
          <cell r="D3641" t="str">
            <v>older</v>
          </cell>
          <cell r="E3641" t="str">
            <v>M</v>
          </cell>
          <cell r="F3641" t="str">
            <v>MENTAL HEALTH COUNSELOR, RN</v>
          </cell>
          <cell r="G3641" t="str">
            <v>5278A</v>
          </cell>
          <cell r="H3641">
            <v>6275.27</v>
          </cell>
          <cell r="I3641">
            <v>1</v>
          </cell>
          <cell r="J3641">
            <v>12</v>
          </cell>
          <cell r="K3641">
            <v>1</v>
          </cell>
          <cell r="L3641">
            <v>76804.320000000007</v>
          </cell>
        </row>
        <row r="3642">
          <cell r="A3642">
            <v>109511</v>
          </cell>
          <cell r="B3642">
            <v>32078</v>
          </cell>
          <cell r="D3642" t="str">
            <v>older</v>
          </cell>
          <cell r="E3642" t="str">
            <v>M</v>
          </cell>
          <cell r="F3642" t="str">
            <v>MENTAL HEALTH PSYCHIATRIST</v>
          </cell>
          <cell r="G3642" t="str">
            <v>4735A</v>
          </cell>
          <cell r="H3642">
            <v>12844</v>
          </cell>
          <cell r="I3642">
            <v>1</v>
          </cell>
          <cell r="J3642">
            <v>12</v>
          </cell>
          <cell r="K3642">
            <v>1</v>
          </cell>
          <cell r="L3642">
            <v>154128</v>
          </cell>
        </row>
        <row r="3643">
          <cell r="A3643">
            <v>109512</v>
          </cell>
          <cell r="B3643">
            <v>32078</v>
          </cell>
          <cell r="D3643" t="str">
            <v>older</v>
          </cell>
          <cell r="E3643" t="str">
            <v>M</v>
          </cell>
          <cell r="F3643" t="str">
            <v>MENTAL HEALTH PSYCHIATRIST</v>
          </cell>
          <cell r="G3643" t="str">
            <v>4735A</v>
          </cell>
          <cell r="H3643">
            <v>12844</v>
          </cell>
          <cell r="I3643">
            <v>1</v>
          </cell>
          <cell r="J3643">
            <v>12</v>
          </cell>
          <cell r="K3643">
            <v>1</v>
          </cell>
          <cell r="L3643">
            <v>154128</v>
          </cell>
        </row>
        <row r="3644">
          <cell r="A3644">
            <v>109513</v>
          </cell>
          <cell r="B3644">
            <v>32078</v>
          </cell>
          <cell r="D3644" t="str">
            <v>older</v>
          </cell>
          <cell r="E3644" t="str">
            <v>M</v>
          </cell>
          <cell r="F3644" t="str">
            <v>MNTL HLTH CLINICAL PROGRAM HEAD</v>
          </cell>
          <cell r="G3644" t="str">
            <v>4726A</v>
          </cell>
          <cell r="H3644">
            <v>8709.73</v>
          </cell>
          <cell r="I3644">
            <v>1</v>
          </cell>
          <cell r="J3644">
            <v>12</v>
          </cell>
          <cell r="K3644">
            <v>1</v>
          </cell>
          <cell r="L3644">
            <v>104516.76</v>
          </cell>
        </row>
        <row r="3645">
          <cell r="A3645">
            <v>109514</v>
          </cell>
          <cell r="B3645">
            <v>32078</v>
          </cell>
          <cell r="D3645" t="str">
            <v>older</v>
          </cell>
          <cell r="E3645" t="str">
            <v>M</v>
          </cell>
          <cell r="F3645" t="str">
            <v xml:space="preserve">PATIENT FINANCIAL SERVICES WORKER  </v>
          </cell>
          <cell r="G3645" t="str">
            <v>9193A</v>
          </cell>
          <cell r="H3645">
            <v>3403.55</v>
          </cell>
          <cell r="I3645">
            <v>1</v>
          </cell>
          <cell r="J3645">
            <v>12</v>
          </cell>
          <cell r="K3645">
            <v>1</v>
          </cell>
          <cell r="L3645">
            <v>40842.6</v>
          </cell>
        </row>
        <row r="3646">
          <cell r="A3646">
            <v>109515</v>
          </cell>
          <cell r="B3646">
            <v>32078</v>
          </cell>
          <cell r="D3646" t="str">
            <v>older</v>
          </cell>
          <cell r="E3646" t="str">
            <v>M</v>
          </cell>
          <cell r="F3646" t="str">
            <v>PSYCHIATRIC SOCIAL WORKER II</v>
          </cell>
          <cell r="G3646" t="str">
            <v>9035A</v>
          </cell>
          <cell r="H3646">
            <v>5425.82</v>
          </cell>
          <cell r="I3646">
            <v>1</v>
          </cell>
          <cell r="J3646">
            <v>12</v>
          </cell>
          <cell r="K3646">
            <v>1</v>
          </cell>
          <cell r="L3646">
            <v>65109.84</v>
          </cell>
        </row>
        <row r="3647">
          <cell r="A3647">
            <v>109516</v>
          </cell>
          <cell r="B3647">
            <v>32078</v>
          </cell>
          <cell r="D3647" t="str">
            <v>older</v>
          </cell>
          <cell r="E3647" t="str">
            <v>M</v>
          </cell>
          <cell r="F3647" t="str">
            <v xml:space="preserve">SECRETARY III                      </v>
          </cell>
          <cell r="G3647" t="str">
            <v>2096A</v>
          </cell>
          <cell r="H3647">
            <v>3387</v>
          </cell>
          <cell r="I3647">
            <v>1</v>
          </cell>
          <cell r="J3647">
            <v>12</v>
          </cell>
          <cell r="K3647">
            <v>1</v>
          </cell>
          <cell r="L3647">
            <v>40644</v>
          </cell>
        </row>
        <row r="3648">
          <cell r="A3648">
            <v>109519</v>
          </cell>
          <cell r="B3648">
            <v>32078</v>
          </cell>
          <cell r="D3648" t="str">
            <v>older</v>
          </cell>
          <cell r="E3648" t="str">
            <v>M</v>
          </cell>
          <cell r="F3648" t="str">
            <v>SENIOR MENTAL HEALTH COUNSELOR, RN</v>
          </cell>
          <cell r="G3648" t="str">
            <v>5280A</v>
          </cell>
          <cell r="H3648">
            <v>6790.09</v>
          </cell>
          <cell r="I3648">
            <v>1</v>
          </cell>
          <cell r="J3648">
            <v>12</v>
          </cell>
          <cell r="K3648">
            <v>1</v>
          </cell>
          <cell r="L3648">
            <v>83105.399999999994</v>
          </cell>
        </row>
        <row r="3649">
          <cell r="A3649">
            <v>110284</v>
          </cell>
          <cell r="B3649">
            <v>32080</v>
          </cell>
          <cell r="D3649" t="str">
            <v>older</v>
          </cell>
          <cell r="E3649" t="str">
            <v>M</v>
          </cell>
          <cell r="F3649" t="str">
            <v xml:space="preserve">MENTAL HEALTH ANALYST II           </v>
          </cell>
          <cell r="G3649" t="str">
            <v>4729A</v>
          </cell>
          <cell r="H3649">
            <v>6244.55</v>
          </cell>
          <cell r="I3649">
            <v>1</v>
          </cell>
          <cell r="J3649">
            <v>12</v>
          </cell>
          <cell r="K3649">
            <v>1</v>
          </cell>
          <cell r="L3649">
            <v>74934.600000000006</v>
          </cell>
        </row>
        <row r="3650">
          <cell r="A3650">
            <v>110283</v>
          </cell>
          <cell r="B3650">
            <v>32080</v>
          </cell>
          <cell r="D3650" t="str">
            <v>older</v>
          </cell>
          <cell r="E3650" t="str">
            <v>M</v>
          </cell>
          <cell r="F3650" t="str">
            <v>MENTAL HLTH CLINICAL DIST CHIEF</v>
          </cell>
          <cell r="G3650" t="str">
            <v>4722A</v>
          </cell>
          <cell r="H3650">
            <v>10074</v>
          </cell>
          <cell r="I3650">
            <v>1</v>
          </cell>
          <cell r="J3650">
            <v>12</v>
          </cell>
          <cell r="K3650">
            <v>1</v>
          </cell>
          <cell r="L3650">
            <v>120888</v>
          </cell>
        </row>
        <row r="3651">
          <cell r="A3651">
            <v>110272</v>
          </cell>
          <cell r="B3651">
            <v>32078</v>
          </cell>
          <cell r="D3651" t="str">
            <v>older</v>
          </cell>
          <cell r="E3651" t="str">
            <v>M</v>
          </cell>
          <cell r="F3651" t="str">
            <v>COMMUNITY WORKER</v>
          </cell>
          <cell r="G3651" t="str">
            <v>8103A</v>
          </cell>
          <cell r="H3651">
            <v>2984.09</v>
          </cell>
          <cell r="I3651">
            <v>1</v>
          </cell>
          <cell r="J3651">
            <v>12</v>
          </cell>
          <cell r="K3651">
            <v>1</v>
          </cell>
          <cell r="L3651">
            <v>35809.08</v>
          </cell>
        </row>
        <row r="3652">
          <cell r="A3652">
            <v>110271</v>
          </cell>
          <cell r="B3652">
            <v>32078</v>
          </cell>
          <cell r="D3652" t="str">
            <v>older</v>
          </cell>
          <cell r="E3652" t="str">
            <v>M</v>
          </cell>
          <cell r="F3652" t="str">
            <v>MEDICAL CASE WORKER II</v>
          </cell>
          <cell r="G3652" t="str">
            <v>9002A</v>
          </cell>
          <cell r="H3652">
            <v>3938.82</v>
          </cell>
          <cell r="I3652">
            <v>1</v>
          </cell>
          <cell r="J3652">
            <v>12</v>
          </cell>
          <cell r="K3652">
            <v>1</v>
          </cell>
          <cell r="L3652">
            <v>47265.84</v>
          </cell>
        </row>
        <row r="3653">
          <cell r="A3653">
            <v>110273</v>
          </cell>
          <cell r="B3653">
            <v>32078</v>
          </cell>
          <cell r="D3653" t="str">
            <v>older</v>
          </cell>
          <cell r="E3653" t="str">
            <v>M</v>
          </cell>
          <cell r="F3653" t="str">
            <v>MENTAL HEALTH COUNSELOR, RN</v>
          </cell>
          <cell r="G3653" t="str">
            <v>5278A</v>
          </cell>
          <cell r="H3653">
            <v>6275.27</v>
          </cell>
          <cell r="I3653">
            <v>1</v>
          </cell>
          <cell r="J3653">
            <v>12</v>
          </cell>
          <cell r="K3653">
            <v>1</v>
          </cell>
          <cell r="L3653">
            <v>76804.320000000007</v>
          </cell>
        </row>
        <row r="3654">
          <cell r="A3654">
            <v>110274</v>
          </cell>
          <cell r="B3654">
            <v>32078</v>
          </cell>
          <cell r="D3654" t="str">
            <v>older</v>
          </cell>
          <cell r="E3654" t="str">
            <v>M</v>
          </cell>
          <cell r="F3654" t="str">
            <v>MENTAL HEALTH COUNSELOR, RN</v>
          </cell>
          <cell r="G3654" t="str">
            <v>5278A</v>
          </cell>
          <cell r="H3654">
            <v>6275.27</v>
          </cell>
          <cell r="I3654">
            <v>1</v>
          </cell>
          <cell r="J3654">
            <v>12</v>
          </cell>
          <cell r="K3654">
            <v>1</v>
          </cell>
          <cell r="L3654">
            <v>76804.320000000007</v>
          </cell>
        </row>
        <row r="3655">
          <cell r="A3655">
            <v>110275</v>
          </cell>
          <cell r="B3655">
            <v>32078</v>
          </cell>
          <cell r="D3655" t="str">
            <v>older</v>
          </cell>
          <cell r="E3655" t="str">
            <v>M</v>
          </cell>
          <cell r="F3655" t="str">
            <v>MENTAL HEALTH COUNSELOR, RN</v>
          </cell>
          <cell r="G3655" t="str">
            <v>5278A</v>
          </cell>
          <cell r="H3655">
            <v>6275.27</v>
          </cell>
          <cell r="I3655">
            <v>1</v>
          </cell>
          <cell r="J3655">
            <v>12</v>
          </cell>
          <cell r="K3655">
            <v>1</v>
          </cell>
          <cell r="L3655">
            <v>76804.320000000007</v>
          </cell>
        </row>
        <row r="3656">
          <cell r="A3656">
            <v>110276</v>
          </cell>
          <cell r="B3656">
            <v>32078</v>
          </cell>
          <cell r="D3656" t="str">
            <v>older</v>
          </cell>
          <cell r="E3656" t="str">
            <v>M</v>
          </cell>
          <cell r="F3656" t="str">
            <v>MENTAL HEALTH COUNSELOR, RN</v>
          </cell>
          <cell r="G3656" t="str">
            <v>5278A</v>
          </cell>
          <cell r="H3656">
            <v>6275.27</v>
          </cell>
          <cell r="I3656">
            <v>1</v>
          </cell>
          <cell r="J3656">
            <v>12</v>
          </cell>
          <cell r="K3656">
            <v>1</v>
          </cell>
          <cell r="L3656">
            <v>76804.320000000007</v>
          </cell>
        </row>
        <row r="3657">
          <cell r="A3657">
            <v>110277</v>
          </cell>
          <cell r="B3657">
            <v>32078</v>
          </cell>
          <cell r="D3657" t="str">
            <v>older</v>
          </cell>
          <cell r="E3657" t="str">
            <v>M</v>
          </cell>
          <cell r="F3657" t="str">
            <v>MENTAL HEALTH PSYCHIATRIST</v>
          </cell>
          <cell r="G3657" t="str">
            <v>4735A</v>
          </cell>
          <cell r="H3657">
            <v>12844</v>
          </cell>
          <cell r="I3657">
            <v>1</v>
          </cell>
          <cell r="J3657">
            <v>12</v>
          </cell>
          <cell r="K3657">
            <v>1</v>
          </cell>
          <cell r="L3657">
            <v>154128</v>
          </cell>
        </row>
        <row r="3658">
          <cell r="A3658">
            <v>110269</v>
          </cell>
          <cell r="B3658">
            <v>32078</v>
          </cell>
          <cell r="D3658" t="str">
            <v>older</v>
          </cell>
          <cell r="E3658" t="str">
            <v>M</v>
          </cell>
          <cell r="F3658" t="str">
            <v>PATIENT RESOURCES WORKER</v>
          </cell>
          <cell r="G3658" t="str">
            <v>9192A</v>
          </cell>
          <cell r="H3658">
            <v>2748.27</v>
          </cell>
          <cell r="I3658">
            <v>1</v>
          </cell>
          <cell r="J3658">
            <v>12</v>
          </cell>
          <cell r="K3658">
            <v>1</v>
          </cell>
          <cell r="L3658">
            <v>32979.24</v>
          </cell>
        </row>
        <row r="3659">
          <cell r="A3659">
            <v>110278</v>
          </cell>
          <cell r="B3659">
            <v>32078</v>
          </cell>
          <cell r="D3659" t="str">
            <v>older</v>
          </cell>
          <cell r="E3659" t="str">
            <v>M</v>
          </cell>
          <cell r="F3659" t="str">
            <v>PSYCHIATRIC SOCIAL WORKER II</v>
          </cell>
          <cell r="G3659" t="str">
            <v>9035A</v>
          </cell>
          <cell r="H3659">
            <v>5425.82</v>
          </cell>
          <cell r="I3659">
            <v>1</v>
          </cell>
          <cell r="J3659">
            <v>12</v>
          </cell>
          <cell r="K3659">
            <v>1</v>
          </cell>
          <cell r="L3659">
            <v>65109.84</v>
          </cell>
        </row>
        <row r="3660">
          <cell r="A3660">
            <v>110279</v>
          </cell>
          <cell r="B3660">
            <v>32078</v>
          </cell>
          <cell r="D3660" t="str">
            <v>older</v>
          </cell>
          <cell r="E3660" t="str">
            <v>M</v>
          </cell>
          <cell r="F3660" t="str">
            <v>PSYCHIATRIC SOCIAL WORKER II</v>
          </cell>
          <cell r="G3660" t="str">
            <v>9035A</v>
          </cell>
          <cell r="H3660">
            <v>5425.82</v>
          </cell>
          <cell r="I3660">
            <v>1</v>
          </cell>
          <cell r="J3660">
            <v>12</v>
          </cell>
          <cell r="K3660">
            <v>1</v>
          </cell>
          <cell r="L3660">
            <v>65109.84</v>
          </cell>
        </row>
        <row r="3661">
          <cell r="A3661">
            <v>110280</v>
          </cell>
          <cell r="B3661">
            <v>32078</v>
          </cell>
          <cell r="D3661" t="str">
            <v>older</v>
          </cell>
          <cell r="E3661" t="str">
            <v>M</v>
          </cell>
          <cell r="F3661" t="str">
            <v>PSYCHIATRIC SOCIAL WORKER II</v>
          </cell>
          <cell r="G3661" t="str">
            <v>9035A</v>
          </cell>
          <cell r="H3661">
            <v>5425.82</v>
          </cell>
          <cell r="I3661">
            <v>1</v>
          </cell>
          <cell r="J3661">
            <v>12</v>
          </cell>
          <cell r="K3661">
            <v>1</v>
          </cell>
          <cell r="L3661">
            <v>65109.84</v>
          </cell>
        </row>
        <row r="3662">
          <cell r="A3662">
            <v>110270</v>
          </cell>
          <cell r="B3662">
            <v>32078</v>
          </cell>
          <cell r="D3662" t="str">
            <v>older</v>
          </cell>
          <cell r="E3662" t="str">
            <v>M</v>
          </cell>
          <cell r="F3662" t="str">
            <v xml:space="preserve">STAFF ASSISTANT II                 </v>
          </cell>
          <cell r="G3662" t="str">
            <v>0913A</v>
          </cell>
          <cell r="H3662">
            <v>4167.45</v>
          </cell>
          <cell r="I3662">
            <v>1</v>
          </cell>
          <cell r="J3662">
            <v>12</v>
          </cell>
          <cell r="K3662">
            <v>1</v>
          </cell>
          <cell r="L3662">
            <v>50009.4</v>
          </cell>
        </row>
        <row r="3663">
          <cell r="A3663">
            <v>110281</v>
          </cell>
          <cell r="B3663">
            <v>32080</v>
          </cell>
          <cell r="D3663" t="str">
            <v>older</v>
          </cell>
          <cell r="E3663" t="str">
            <v>M</v>
          </cell>
          <cell r="F3663" t="str">
            <v>MENTAL HEALTH PSYCHIATRIST</v>
          </cell>
          <cell r="G3663" t="str">
            <v>4735A</v>
          </cell>
          <cell r="H3663">
            <v>12844</v>
          </cell>
          <cell r="I3663">
            <v>1</v>
          </cell>
          <cell r="J3663">
            <v>12</v>
          </cell>
          <cell r="K3663">
            <v>1</v>
          </cell>
          <cell r="L3663">
            <v>154128</v>
          </cell>
        </row>
        <row r="3664">
          <cell r="A3664">
            <v>110282</v>
          </cell>
          <cell r="B3664">
            <v>32080</v>
          </cell>
          <cell r="D3664" t="str">
            <v>older</v>
          </cell>
          <cell r="E3664" t="str">
            <v>M</v>
          </cell>
          <cell r="F3664" t="str">
            <v>PSYCHIATRIC SOCIAL WORKER II</v>
          </cell>
          <cell r="G3664" t="str">
            <v>9035A</v>
          </cell>
          <cell r="H3664">
            <v>5425.82</v>
          </cell>
          <cell r="I3664">
            <v>1</v>
          </cell>
          <cell r="J3664">
            <v>12</v>
          </cell>
          <cell r="K3664">
            <v>1</v>
          </cell>
          <cell r="L3664">
            <v>65109.84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A6">
            <v>100265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List-Budget"/>
      <sheetName val="Spending Plan"/>
      <sheetName val="Item List -ic 214 (value)"/>
      <sheetName val="Item List -icl 21410(formular)"/>
      <sheetName val="Long Beach"/>
      <sheetName val="So bay ties"/>
      <sheetName val="Roybal"/>
      <sheetName val="St Antonio"/>
      <sheetName val="Edelman"/>
      <sheetName val="ic21410"/>
      <sheetName val="SFC and Katie A sort"/>
      <sheetName val="Weighted Annual "/>
      <sheetName val="Spending_Plan"/>
      <sheetName val="Item_List_-ic_214_(value)"/>
      <sheetName val="Item_List_-icl_21410(formular)"/>
      <sheetName val="Long_Beach"/>
      <sheetName val="So_bay_ties"/>
      <sheetName val="St_Antonio"/>
      <sheetName val="Item_List-Budget"/>
      <sheetName val="SFC_and_Katie_A_sort"/>
      <sheetName val="Weighted_Annual_"/>
      <sheetName val="Spending_Plan1"/>
      <sheetName val="Item_List_-ic_214_(value)1"/>
      <sheetName val="Item_List_-icl_21410(formular)1"/>
      <sheetName val="Long_Beach1"/>
      <sheetName val="So_bay_ties1"/>
      <sheetName val="St_Antonio1"/>
      <sheetName val="Item_List-Budget1"/>
      <sheetName val="SFC_and_Katie_A_sort1"/>
      <sheetName val="Weighted_Annual_1"/>
      <sheetName val="Spending_Plan2"/>
      <sheetName val="Item_List_-ic_214_(value)2"/>
      <sheetName val="Item_List_-icl_21410(formular)2"/>
      <sheetName val="Long_Beach2"/>
      <sheetName val="So_bay_ties2"/>
      <sheetName val="St_Antonio2"/>
      <sheetName val="Item_List-Budget2"/>
      <sheetName val="SFC_and_Katie_A_sort2"/>
      <sheetName val="Weighted_Annual_2"/>
      <sheetName val="Item_List-Budget3"/>
      <sheetName val="Spending_Plan3"/>
      <sheetName val="Item_List_-ic_214_(value)3"/>
      <sheetName val="Item_List_-icl_21410(formular)3"/>
      <sheetName val="Long_Beach3"/>
      <sheetName val="So_bay_ties3"/>
      <sheetName val="St_Antonio3"/>
      <sheetName val="SFC_and_Katie_A_sort3"/>
      <sheetName val="Weighted_Annual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.sdmc allocatted"/>
      <sheetName val="REVENUE"/>
      <sheetName val="05-06"/>
      <sheetName val="FY 2007-08 Budget Request"/>
      <sheetName val="clinics"/>
      <sheetName val="9779"/>
      <sheetName val="9879"/>
      <sheetName val="org code"/>
      <sheetName val="sdmc allocatted"/>
      <sheetName val="Sheet1_Crosstab"/>
      <sheetName val="ALLOCATION"/>
      <sheetName val="Sheet1"/>
      <sheetName val="9761"/>
      <sheetName val="9761d"/>
      <sheetName val="9026"/>
      <sheetName val="Sheet3"/>
      <sheetName val="rev_sdmc_allocatted"/>
      <sheetName val="FY_2007-08_Budget_Request"/>
      <sheetName val="org_code"/>
      <sheetName val="sdmc_allocatted"/>
    </sheetNames>
    <sheetDataSet>
      <sheetData sheetId="0"/>
      <sheetData sheetId="1"/>
      <sheetData sheetId="2"/>
      <sheetData sheetId="3"/>
      <sheetData sheetId="4">
        <row r="6">
          <cell r="C6">
            <v>18588</v>
          </cell>
          <cell r="D6" t="str">
            <v>.</v>
          </cell>
          <cell r="E6">
            <v>392</v>
          </cell>
          <cell r="F6" t="str">
            <v>.</v>
          </cell>
          <cell r="G6">
            <v>728</v>
          </cell>
          <cell r="H6" t="str">
            <v>.</v>
          </cell>
          <cell r="I6">
            <v>1267</v>
          </cell>
          <cell r="J6">
            <v>2387</v>
          </cell>
          <cell r="K6">
            <v>548.35973087072955</v>
          </cell>
        </row>
        <row r="7">
          <cell r="C7">
            <v>18608</v>
          </cell>
          <cell r="D7" t="str">
            <v>.</v>
          </cell>
          <cell r="E7" t="str">
            <v>.</v>
          </cell>
          <cell r="F7">
            <v>1485</v>
          </cell>
          <cell r="G7" t="str">
            <v>.</v>
          </cell>
          <cell r="H7" t="str">
            <v>.</v>
          </cell>
          <cell r="J7">
            <v>1485</v>
          </cell>
          <cell r="K7">
            <v>341.1454546891635</v>
          </cell>
        </row>
        <row r="8">
          <cell r="C8">
            <v>18634</v>
          </cell>
          <cell r="D8">
            <v>1010.54</v>
          </cell>
          <cell r="E8">
            <v>361.2</v>
          </cell>
          <cell r="F8">
            <v>2976.05</v>
          </cell>
          <cell r="G8">
            <v>100</v>
          </cell>
          <cell r="H8" t="str">
            <v>.</v>
          </cell>
          <cell r="J8">
            <v>3437.25</v>
          </cell>
          <cell r="K8">
            <v>789.63112062648293</v>
          </cell>
        </row>
        <row r="9">
          <cell r="C9">
            <v>20452</v>
          </cell>
          <cell r="D9">
            <v>10760.25</v>
          </cell>
          <cell r="E9">
            <v>9284.69</v>
          </cell>
          <cell r="F9">
            <v>13433.3</v>
          </cell>
          <cell r="G9">
            <v>15469.01</v>
          </cell>
          <cell r="H9">
            <v>14889.02</v>
          </cell>
          <cell r="I9">
            <v>14535</v>
          </cell>
          <cell r="J9">
            <v>67611.02</v>
          </cell>
          <cell r="K9">
            <v>15532.115932591334</v>
          </cell>
        </row>
        <row r="10">
          <cell r="C10">
            <v>20459</v>
          </cell>
          <cell r="D10">
            <v>2300.2199999999998</v>
          </cell>
          <cell r="E10">
            <v>1424.55</v>
          </cell>
          <cell r="F10">
            <v>1655.52</v>
          </cell>
          <cell r="G10">
            <v>1539.7</v>
          </cell>
          <cell r="H10">
            <v>1134.04</v>
          </cell>
          <cell r="I10">
            <v>2726</v>
          </cell>
          <cell r="J10">
            <v>8479.81</v>
          </cell>
          <cell r="K10">
            <v>1948.0462209614248</v>
          </cell>
        </row>
        <row r="11">
          <cell r="C11">
            <v>20464</v>
          </cell>
          <cell r="D11">
            <v>4695.2</v>
          </cell>
          <cell r="E11">
            <v>4838.57</v>
          </cell>
          <cell r="F11">
            <v>5503.44</v>
          </cell>
          <cell r="G11">
            <v>7582.79</v>
          </cell>
          <cell r="H11">
            <v>6064.83</v>
          </cell>
          <cell r="I11">
            <v>4684</v>
          </cell>
          <cell r="J11">
            <v>28673.629999999997</v>
          </cell>
          <cell r="K11">
            <v>6587.1235986120128</v>
          </cell>
        </row>
        <row r="12">
          <cell r="C12">
            <v>20465</v>
          </cell>
          <cell r="D12">
            <v>5901.14</v>
          </cell>
          <cell r="E12">
            <v>6897.7</v>
          </cell>
          <cell r="F12">
            <v>8245.99</v>
          </cell>
          <cell r="G12">
            <v>4219.79</v>
          </cell>
          <cell r="H12">
            <v>7472.37</v>
          </cell>
          <cell r="I12">
            <v>2733</v>
          </cell>
          <cell r="J12">
            <v>29568.85</v>
          </cell>
          <cell r="K12">
            <v>6792.7803218085346</v>
          </cell>
        </row>
        <row r="13">
          <cell r="C13">
            <v>20468</v>
          </cell>
          <cell r="D13">
            <v>10289.34</v>
          </cell>
          <cell r="E13">
            <v>6675.32</v>
          </cell>
          <cell r="F13">
            <v>9387.25</v>
          </cell>
          <cell r="G13">
            <v>8891.2099999999991</v>
          </cell>
          <cell r="H13">
            <v>8644.7199999999993</v>
          </cell>
          <cell r="I13">
            <v>4799</v>
          </cell>
          <cell r="J13">
            <v>38397.5</v>
          </cell>
          <cell r="K13">
            <v>8820.9647113987576</v>
          </cell>
        </row>
        <row r="14">
          <cell r="C14">
            <v>20469</v>
          </cell>
          <cell r="D14">
            <v>3180.47</v>
          </cell>
          <cell r="E14">
            <v>1865.65</v>
          </cell>
          <cell r="F14">
            <v>6290.06</v>
          </cell>
          <cell r="G14">
            <v>6748.38</v>
          </cell>
          <cell r="H14">
            <v>5618.66</v>
          </cell>
          <cell r="I14">
            <v>4150</v>
          </cell>
          <cell r="J14">
            <v>24672.75</v>
          </cell>
          <cell r="K14">
            <v>5668.0111226815216</v>
          </cell>
        </row>
        <row r="15">
          <cell r="C15">
            <v>20477</v>
          </cell>
          <cell r="D15" t="str">
            <v>.</v>
          </cell>
          <cell r="E15">
            <v>8940.6200000000008</v>
          </cell>
          <cell r="F15">
            <v>19913.53</v>
          </cell>
          <cell r="G15">
            <v>25155.55</v>
          </cell>
          <cell r="H15">
            <v>16007.56</v>
          </cell>
          <cell r="I15">
            <v>13647</v>
          </cell>
          <cell r="J15">
            <v>83664.259999999995</v>
          </cell>
          <cell r="K15">
            <v>19219.987891536966</v>
          </cell>
        </row>
        <row r="16">
          <cell r="C16">
            <v>20481</v>
          </cell>
          <cell r="D16">
            <v>3194.91</v>
          </cell>
          <cell r="E16">
            <v>2735.07</v>
          </cell>
          <cell r="F16">
            <v>7081.7</v>
          </cell>
          <cell r="G16">
            <v>7106.62</v>
          </cell>
          <cell r="H16">
            <v>5166.1000000000004</v>
          </cell>
          <cell r="I16">
            <v>3947</v>
          </cell>
          <cell r="J16">
            <v>26036.489999999998</v>
          </cell>
          <cell r="K16">
            <v>5981.2998111514198</v>
          </cell>
        </row>
        <row r="17">
          <cell r="C17">
            <v>20483</v>
          </cell>
          <cell r="D17">
            <v>5054</v>
          </cell>
          <cell r="E17">
            <v>6384.75</v>
          </cell>
          <cell r="F17">
            <v>16690.599999999999</v>
          </cell>
          <cell r="G17">
            <v>27053.55</v>
          </cell>
          <cell r="H17">
            <v>26547.25</v>
          </cell>
          <cell r="I17">
            <v>19399</v>
          </cell>
          <cell r="J17">
            <v>96075.15</v>
          </cell>
          <cell r="K17">
            <v>22071.111603420595</v>
          </cell>
        </row>
        <row r="18">
          <cell r="C18">
            <v>20492</v>
          </cell>
          <cell r="D18">
            <v>25</v>
          </cell>
          <cell r="E18">
            <v>868.15</v>
          </cell>
          <cell r="F18">
            <v>368.91</v>
          </cell>
          <cell r="G18" t="str">
            <v>.</v>
          </cell>
          <cell r="H18" t="str">
            <v>.</v>
          </cell>
          <cell r="I18">
            <v>1193</v>
          </cell>
          <cell r="J18">
            <v>2430.06</v>
          </cell>
          <cell r="K18">
            <v>558.25180041882072</v>
          </cell>
        </row>
        <row r="19">
          <cell r="C19">
            <v>20499</v>
          </cell>
          <cell r="D19">
            <v>7214.18</v>
          </cell>
          <cell r="E19">
            <v>9178.4</v>
          </cell>
          <cell r="F19">
            <v>14569.68</v>
          </cell>
          <cell r="G19">
            <v>11300.89</v>
          </cell>
          <cell r="H19">
            <v>9486.81</v>
          </cell>
          <cell r="I19">
            <v>9047</v>
          </cell>
          <cell r="J19">
            <v>53582.78</v>
          </cell>
          <cell r="K19">
            <v>12309.442320949103</v>
          </cell>
        </row>
        <row r="20">
          <cell r="C20">
            <v>20564</v>
          </cell>
          <cell r="D20">
            <v>144.44999999999999</v>
          </cell>
          <cell r="E20">
            <v>7960.55</v>
          </cell>
          <cell r="F20">
            <v>921.3</v>
          </cell>
          <cell r="G20">
            <v>1036.05</v>
          </cell>
          <cell r="H20">
            <v>583.04999999999995</v>
          </cell>
          <cell r="I20">
            <v>2508</v>
          </cell>
          <cell r="J20">
            <v>13008.949999999999</v>
          </cell>
          <cell r="K20">
            <v>2988.5145877296927</v>
          </cell>
        </row>
        <row r="21">
          <cell r="C21">
            <v>20657</v>
          </cell>
          <cell r="D21" t="str">
            <v>.</v>
          </cell>
          <cell r="E21" t="str">
            <v>.</v>
          </cell>
          <cell r="F21">
            <v>960</v>
          </cell>
          <cell r="G21">
            <v>864</v>
          </cell>
          <cell r="H21">
            <v>192</v>
          </cell>
          <cell r="J21">
            <v>2016</v>
          </cell>
          <cell r="K21">
            <v>463.13079909316741</v>
          </cell>
        </row>
        <row r="22">
          <cell r="C22">
            <v>20658</v>
          </cell>
          <cell r="D22" t="str">
            <v>.</v>
          </cell>
          <cell r="E22">
            <v>96</v>
          </cell>
          <cell r="F22">
            <v>672</v>
          </cell>
          <cell r="G22" t="str">
            <v>.</v>
          </cell>
          <cell r="H22">
            <v>15112.59</v>
          </cell>
          <cell r="I22">
            <v>11010</v>
          </cell>
          <cell r="J22">
            <v>26890.59</v>
          </cell>
          <cell r="K22">
            <v>6177.5101363029453</v>
          </cell>
        </row>
        <row r="23">
          <cell r="C23">
            <v>20683</v>
          </cell>
          <cell r="D23" t="str">
            <v>.</v>
          </cell>
          <cell r="E23">
            <v>3232</v>
          </cell>
          <cell r="F23">
            <v>1427</v>
          </cell>
          <cell r="G23">
            <v>391</v>
          </cell>
          <cell r="H23" t="str">
            <v>.</v>
          </cell>
          <cell r="J23">
            <v>5050</v>
          </cell>
          <cell r="K23">
            <v>1160.1242735220712</v>
          </cell>
        </row>
        <row r="24">
          <cell r="C24">
            <v>21537</v>
          </cell>
          <cell r="D24">
            <v>2196</v>
          </cell>
          <cell r="E24">
            <v>4727.2</v>
          </cell>
          <cell r="F24">
            <v>4782</v>
          </cell>
          <cell r="G24">
            <v>8198</v>
          </cell>
          <cell r="H24">
            <v>7435.43</v>
          </cell>
          <cell r="I24">
            <v>4176</v>
          </cell>
          <cell r="J24">
            <v>29318.63</v>
          </cell>
          <cell r="K24">
            <v>6735.2978870123579</v>
          </cell>
        </row>
        <row r="25">
          <cell r="C25">
            <v>21561</v>
          </cell>
          <cell r="D25" t="str">
            <v>.</v>
          </cell>
          <cell r="E25">
            <v>25</v>
          </cell>
          <cell r="F25" t="str">
            <v>.</v>
          </cell>
          <cell r="G25">
            <v>445.34</v>
          </cell>
          <cell r="H25">
            <v>732.68</v>
          </cell>
          <cell r="I25">
            <v>503</v>
          </cell>
          <cell r="J25">
            <v>1706.02</v>
          </cell>
          <cell r="K25">
            <v>391.91984418101464</v>
          </cell>
        </row>
        <row r="26">
          <cell r="C26">
            <v>23001</v>
          </cell>
          <cell r="D26">
            <v>6722.67</v>
          </cell>
          <cell r="E26">
            <v>6142.05</v>
          </cell>
          <cell r="F26">
            <v>13551.71</v>
          </cell>
          <cell r="G26">
            <v>12350.84</v>
          </cell>
          <cell r="H26">
            <v>11261.18</v>
          </cell>
          <cell r="I26">
            <v>9031</v>
          </cell>
          <cell r="J26">
            <v>52336.78</v>
          </cell>
          <cell r="K26">
            <v>12023.201757620685</v>
          </cell>
        </row>
        <row r="27">
          <cell r="C27">
            <v>23003</v>
          </cell>
          <cell r="D27">
            <v>7897.23</v>
          </cell>
          <cell r="E27">
            <v>6035.6</v>
          </cell>
          <cell r="F27">
            <v>8129.92</v>
          </cell>
          <cell r="G27">
            <v>10577.81</v>
          </cell>
          <cell r="H27">
            <v>8130.82</v>
          </cell>
          <cell r="I27">
            <v>6449</v>
          </cell>
          <cell r="J27">
            <v>39323.15</v>
          </cell>
          <cell r="K27">
            <v>9033.6120448216716</v>
          </cell>
        </row>
        <row r="28">
          <cell r="C28">
            <v>23005</v>
          </cell>
          <cell r="D28">
            <v>1630.41</v>
          </cell>
          <cell r="E28">
            <v>3389.1</v>
          </cell>
          <cell r="F28">
            <v>6263.02</v>
          </cell>
          <cell r="G28">
            <v>4475</v>
          </cell>
          <cell r="H28">
            <v>5118.6499999999996</v>
          </cell>
          <cell r="I28">
            <v>3314</v>
          </cell>
          <cell r="J28">
            <v>22559.77</v>
          </cell>
          <cell r="K28">
            <v>5182.6013429851519</v>
          </cell>
        </row>
        <row r="29">
          <cell r="C29">
            <v>23007</v>
          </cell>
          <cell r="D29">
            <v>10687.29</v>
          </cell>
          <cell r="E29">
            <v>14866.77</v>
          </cell>
          <cell r="F29">
            <v>17328.080000000002</v>
          </cell>
          <cell r="G29">
            <v>14872.77</v>
          </cell>
          <cell r="H29">
            <v>11698.48</v>
          </cell>
          <cell r="I29">
            <v>11322</v>
          </cell>
          <cell r="J29">
            <v>70088.100000000006</v>
          </cell>
          <cell r="K29">
            <v>16101.169523770752</v>
          </cell>
        </row>
        <row r="30">
          <cell r="C30">
            <v>23010</v>
          </cell>
          <cell r="D30">
            <v>3700.08</v>
          </cell>
          <cell r="E30">
            <v>3037.29</v>
          </cell>
          <cell r="F30">
            <v>6946.09</v>
          </cell>
          <cell r="G30">
            <v>4762.4799999999996</v>
          </cell>
          <cell r="H30">
            <v>7238.54</v>
          </cell>
          <cell r="I30">
            <v>4921</v>
          </cell>
          <cell r="J30">
            <v>26905.4</v>
          </cell>
          <cell r="K30">
            <v>6180.9124017466811</v>
          </cell>
        </row>
        <row r="31">
          <cell r="C31">
            <v>23015</v>
          </cell>
          <cell r="D31">
            <v>3311.8</v>
          </cell>
          <cell r="E31">
            <v>3491.03</v>
          </cell>
          <cell r="F31">
            <v>9179.7000000000007</v>
          </cell>
          <cell r="G31">
            <v>12738.45</v>
          </cell>
          <cell r="H31">
            <v>13855.8</v>
          </cell>
          <cell r="I31">
            <v>18183</v>
          </cell>
          <cell r="J31">
            <v>57447.979999999996</v>
          </cell>
          <cell r="K31">
            <v>13197.385358972371</v>
          </cell>
        </row>
        <row r="32">
          <cell r="C32">
            <v>23017</v>
          </cell>
          <cell r="D32">
            <v>8899.7000000000007</v>
          </cell>
          <cell r="E32">
            <v>9312.44</v>
          </cell>
          <cell r="F32">
            <v>11475.38</v>
          </cell>
          <cell r="G32">
            <v>12274.02</v>
          </cell>
          <cell r="H32">
            <v>7896.49</v>
          </cell>
          <cell r="I32">
            <v>10369</v>
          </cell>
          <cell r="J32">
            <v>51327.329999999994</v>
          </cell>
          <cell r="K32">
            <v>11791.303253084676</v>
          </cell>
        </row>
        <row r="33">
          <cell r="C33">
            <v>23034</v>
          </cell>
          <cell r="D33">
            <v>425.4</v>
          </cell>
          <cell r="E33">
            <v>463</v>
          </cell>
          <cell r="F33">
            <v>1725</v>
          </cell>
          <cell r="G33">
            <v>2620.34</v>
          </cell>
          <cell r="H33">
            <v>2935</v>
          </cell>
          <cell r="I33">
            <v>1055</v>
          </cell>
          <cell r="J33">
            <v>8798.34</v>
          </cell>
          <cell r="K33">
            <v>2021.2213466733031</v>
          </cell>
        </row>
        <row r="34">
          <cell r="C34">
            <v>23036</v>
          </cell>
          <cell r="D34">
            <v>1183</v>
          </cell>
          <cell r="E34">
            <v>1348.6</v>
          </cell>
          <cell r="F34">
            <v>1512.15</v>
          </cell>
          <cell r="G34">
            <v>750</v>
          </cell>
          <cell r="H34">
            <v>275</v>
          </cell>
          <cell r="I34">
            <v>171</v>
          </cell>
          <cell r="J34">
            <v>4056.75</v>
          </cell>
          <cell r="K34">
            <v>931.94735576448761</v>
          </cell>
        </row>
        <row r="35">
          <cell r="C35">
            <v>23200</v>
          </cell>
          <cell r="D35" t="str">
            <v>.</v>
          </cell>
          <cell r="E35" t="str">
            <v>.</v>
          </cell>
          <cell r="F35">
            <v>329.73</v>
          </cell>
          <cell r="G35" t="str">
            <v>.</v>
          </cell>
          <cell r="H35">
            <v>781.28</v>
          </cell>
          <cell r="I35">
            <v>593</v>
          </cell>
          <cell r="J35">
            <v>1704.01</v>
          </cell>
          <cell r="K35">
            <v>391.45809174739497</v>
          </cell>
        </row>
        <row r="36">
          <cell r="C36">
            <v>27553</v>
          </cell>
          <cell r="I36">
            <v>173</v>
          </cell>
          <cell r="J36">
            <v>173</v>
          </cell>
          <cell r="K36">
            <v>39.742871152340264</v>
          </cell>
        </row>
        <row r="37">
          <cell r="C37">
            <v>20488</v>
          </cell>
          <cell r="I37">
            <v>90</v>
          </cell>
          <cell r="J37">
            <v>90</v>
          </cell>
          <cell r="K37">
            <v>20.675482102373547</v>
          </cell>
        </row>
        <row r="38">
          <cell r="C38">
            <v>27613</v>
          </cell>
          <cell r="I38">
            <v>0</v>
          </cell>
          <cell r="J38">
            <v>0</v>
          </cell>
          <cell r="K38">
            <v>0</v>
          </cell>
        </row>
      </sheetData>
      <sheetData sheetId="5"/>
      <sheetData sheetId="6"/>
      <sheetData sheetId="7"/>
      <sheetData sheetId="8">
        <row r="15">
          <cell r="A15">
            <v>20657</v>
          </cell>
          <cell r="B15" t="str">
            <v>JIM ALLEN</v>
          </cell>
          <cell r="C15">
            <v>7558</v>
          </cell>
          <cell r="D15" t="str">
            <v>A F HAWKINS URGENT COMM CARE</v>
          </cell>
          <cell r="E15">
            <v>562615.21</v>
          </cell>
          <cell r="F15">
            <v>990877.36810300325</v>
          </cell>
          <cell r="G15">
            <v>19443.473364999998</v>
          </cell>
          <cell r="H15">
            <v>22071.20154286419</v>
          </cell>
          <cell r="I15">
            <v>47573.95</v>
          </cell>
          <cell r="J15">
            <v>26116.559701516326</v>
          </cell>
          <cell r="M15">
            <v>5228</v>
          </cell>
          <cell r="N15">
            <v>4313.5276984444754</v>
          </cell>
          <cell r="O15">
            <v>102081</v>
          </cell>
        </row>
        <row r="16">
          <cell r="A16">
            <v>20944</v>
          </cell>
          <cell r="B16" t="str">
            <v>JIM ALLEN</v>
          </cell>
          <cell r="C16">
            <v>100</v>
          </cell>
          <cell r="D16" t="str">
            <v xml:space="preserve">ADULT SYSTEMS OF CARE ADMIN </v>
          </cell>
          <cell r="F16">
            <v>0</v>
          </cell>
          <cell r="H16">
            <v>0</v>
          </cell>
          <cell r="J16">
            <v>0</v>
          </cell>
          <cell r="M16">
            <v>11673</v>
          </cell>
          <cell r="N16">
            <v>9631.1799586729849</v>
          </cell>
          <cell r="O16">
            <v>0</v>
          </cell>
        </row>
        <row r="17">
          <cell r="A17">
            <v>20658</v>
          </cell>
          <cell r="B17" t="str">
            <v>JIM ALLEN</v>
          </cell>
          <cell r="C17">
            <v>6864</v>
          </cell>
          <cell r="D17" t="str">
            <v>AUGUSTUS F HAWKINS COMP MHC</v>
          </cell>
          <cell r="E17">
            <v>1095506.7250000001</v>
          </cell>
          <cell r="F17">
            <v>1929405.3930876497</v>
          </cell>
          <cell r="G17">
            <v>416376.63662200002</v>
          </cell>
          <cell r="H17">
            <v>472648.71312379785</v>
          </cell>
          <cell r="I17">
            <v>1018783.06</v>
          </cell>
          <cell r="J17">
            <v>559278.94592278951</v>
          </cell>
          <cell r="K17">
            <v>20733.22</v>
          </cell>
          <cell r="L17">
            <v>49350.916424765252</v>
          </cell>
          <cell r="M17">
            <v>11154</v>
          </cell>
          <cell r="N17">
            <v>9202.9624997034589</v>
          </cell>
          <cell r="O17">
            <v>281185</v>
          </cell>
        </row>
        <row r="18">
          <cell r="A18">
            <v>20459</v>
          </cell>
          <cell r="B18" t="str">
            <v>JIM ALLEN</v>
          </cell>
          <cell r="C18">
            <v>7064</v>
          </cell>
          <cell r="D18" t="str">
            <v>COASTAL ASIAN PACIFIC MHS</v>
          </cell>
          <cell r="E18">
            <v>727537.81499999994</v>
          </cell>
          <cell r="F18">
            <v>1281338.9018093017</v>
          </cell>
          <cell r="G18">
            <v>117526.540356</v>
          </cell>
          <cell r="H18">
            <v>133409.90625173916</v>
          </cell>
          <cell r="I18">
            <v>287561.88</v>
          </cell>
          <cell r="J18">
            <v>157862.17051349056</v>
          </cell>
          <cell r="K18">
            <v>17445.060000000001</v>
          </cell>
          <cell r="L18">
            <v>41524.16740308622</v>
          </cell>
          <cell r="M18">
            <v>35817</v>
          </cell>
          <cell r="N18">
            <v>29551.955159752444</v>
          </cell>
          <cell r="O18">
            <v>153198</v>
          </cell>
        </row>
        <row r="19">
          <cell r="A19">
            <v>21561</v>
          </cell>
          <cell r="B19" t="str">
            <v>JIM ALLEN</v>
          </cell>
          <cell r="C19">
            <v>7398</v>
          </cell>
          <cell r="D19" t="str">
            <v>COMPTON CHILD FAM SRVCS CTR</v>
          </cell>
          <cell r="E19">
            <v>133.59</v>
          </cell>
          <cell r="F19">
            <v>235.27857983946117</v>
          </cell>
          <cell r="G19">
            <v>301547.36096000002</v>
          </cell>
          <cell r="H19">
            <v>342300.59894789674</v>
          </cell>
          <cell r="I19">
            <v>737820.8</v>
          </cell>
          <cell r="J19">
            <v>405039.75331500825</v>
          </cell>
          <cell r="K19">
            <v>33540.89</v>
          </cell>
          <cell r="L19">
            <v>79836.786529166435</v>
          </cell>
          <cell r="M19">
            <v>50329</v>
          </cell>
          <cell r="N19">
            <v>41525.542374715376</v>
          </cell>
          <cell r="O19">
            <v>67163</v>
          </cell>
        </row>
        <row r="20">
          <cell r="A20">
            <v>20465</v>
          </cell>
          <cell r="B20" t="str">
            <v>JIM ALLEN</v>
          </cell>
          <cell r="C20">
            <v>1938</v>
          </cell>
          <cell r="D20" t="str">
            <v>COMPTON MENTAL HEALTH CENTER</v>
          </cell>
          <cell r="E20">
            <v>513731.78499999997</v>
          </cell>
          <cell r="F20">
            <v>904783.92688967276</v>
          </cell>
          <cell r="G20">
            <v>5476.6944360000007</v>
          </cell>
          <cell r="H20">
            <v>6216.8535639948368</v>
          </cell>
          <cell r="I20">
            <v>13400.28</v>
          </cell>
          <cell r="J20">
            <v>7356.3202684880116</v>
          </cell>
          <cell r="L20">
            <v>0</v>
          </cell>
          <cell r="M20">
            <v>49224</v>
          </cell>
          <cell r="N20">
            <v>40613.826975560609</v>
          </cell>
          <cell r="O20">
            <v>90597</v>
          </cell>
        </row>
        <row r="21">
          <cell r="A21">
            <v>20564</v>
          </cell>
          <cell r="B21" t="str">
            <v>JIM ALLEN</v>
          </cell>
          <cell r="C21">
            <v>6859</v>
          </cell>
          <cell r="D21" t="str">
            <v>DMH AT HARBOR-UCLA MEDICAL CTR</v>
          </cell>
          <cell r="E21">
            <v>1771375.7150000001</v>
          </cell>
          <cell r="F21">
            <v>3119745.2098758151</v>
          </cell>
          <cell r="G21">
            <v>489635.58439900004</v>
          </cell>
          <cell r="H21">
            <v>555808.39199655107</v>
          </cell>
          <cell r="I21">
            <v>1198031.77</v>
          </cell>
          <cell r="J21">
            <v>657680.68965301965</v>
          </cell>
          <cell r="K21">
            <v>24770.99</v>
          </cell>
          <cell r="L21">
            <v>58961.948855445306</v>
          </cell>
          <cell r="M21">
            <v>60293</v>
          </cell>
          <cell r="N21">
            <v>49746.657521482928</v>
          </cell>
          <cell r="O21">
            <v>414794</v>
          </cell>
        </row>
        <row r="22">
          <cell r="A22">
            <v>20672</v>
          </cell>
          <cell r="B22" t="str">
            <v>JIM ALLEN</v>
          </cell>
          <cell r="C22">
            <v>6701</v>
          </cell>
          <cell r="D22" t="str">
            <v>FORENSIC OUTPATIENT PROGRAM (MIS)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20673</v>
          </cell>
          <cell r="B23" t="str">
            <v>JIM ALLEN</v>
          </cell>
          <cell r="C23">
            <v>6702</v>
          </cell>
          <cell r="D23" t="str">
            <v>FORENSIC INPATIENT PROGRAM (MIS)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</row>
        <row r="24">
          <cell r="A24" t="str">
            <v>????</v>
          </cell>
          <cell r="B24" t="str">
            <v>JIM ALLEN</v>
          </cell>
          <cell r="C24">
            <v>7069</v>
          </cell>
          <cell r="D24" t="str">
            <v>FORENSIC SYBIL BRAND-OUTPT (MIS)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>
            <v>23005</v>
          </cell>
          <cell r="B25" t="str">
            <v>JIM ALLEN</v>
          </cell>
          <cell r="C25">
            <v>7207</v>
          </cell>
          <cell r="D25" t="str">
            <v>LONG BEACH ASIAN PAC MH PROG</v>
          </cell>
          <cell r="E25">
            <v>1346954.395</v>
          </cell>
          <cell r="F25">
            <v>2372254.7882634974</v>
          </cell>
          <cell r="G25">
            <v>81583.067373999991</v>
          </cell>
          <cell r="H25">
            <v>92608.778724583695</v>
          </cell>
          <cell r="I25">
            <v>199616.02</v>
          </cell>
          <cell r="J25">
            <v>109582.7381100177</v>
          </cell>
          <cell r="K25">
            <v>4173.33</v>
          </cell>
          <cell r="L25">
            <v>9933.703498200739</v>
          </cell>
          <cell r="M25">
            <v>8235</v>
          </cell>
          <cell r="N25">
            <v>6794.5486986783199</v>
          </cell>
          <cell r="O25">
            <v>252216</v>
          </cell>
        </row>
        <row r="26">
          <cell r="A26">
            <v>23034</v>
          </cell>
          <cell r="B26" t="str">
            <v>JIM ALLEN</v>
          </cell>
          <cell r="C26">
            <v>1926</v>
          </cell>
          <cell r="D26" t="str">
            <v>LONG BEACH CHILD &amp; ADOL CLINIC</v>
          </cell>
          <cell r="E26">
            <v>4508.37</v>
          </cell>
          <cell r="F26">
            <v>7940.1369188624267</v>
          </cell>
          <cell r="G26">
            <v>584966.58002600004</v>
          </cell>
          <cell r="H26">
            <v>664023.09099950467</v>
          </cell>
          <cell r="I26">
            <v>1431285.98</v>
          </cell>
          <cell r="J26">
            <v>785729.70599694375</v>
          </cell>
          <cell r="K26">
            <v>84185.919999999998</v>
          </cell>
          <cell r="L26">
            <v>200386.25462238729</v>
          </cell>
          <cell r="M26">
            <v>22344</v>
          </cell>
          <cell r="N26">
            <v>18435.627944537751</v>
          </cell>
          <cell r="O26">
            <v>132691</v>
          </cell>
        </row>
        <row r="27">
          <cell r="A27">
            <v>23007</v>
          </cell>
          <cell r="B27" t="str">
            <v>JIM ALLEN</v>
          </cell>
          <cell r="C27">
            <v>1927</v>
          </cell>
          <cell r="D27" t="str">
            <v>LONG BEACH MHS ADULT CLINIC</v>
          </cell>
          <cell r="E27">
            <v>1338070.08</v>
          </cell>
          <cell r="F27">
            <v>2356607.7412087298</v>
          </cell>
          <cell r="G27">
            <v>27026.816038000001</v>
          </cell>
          <cell r="H27">
            <v>30679.410650485504</v>
          </cell>
          <cell r="I27">
            <v>66128.740000000005</v>
          </cell>
          <cell r="J27">
            <v>36302.539229894741</v>
          </cell>
          <cell r="L27">
            <v>0</v>
          </cell>
          <cell r="M27">
            <v>41497</v>
          </cell>
          <cell r="N27">
            <v>34238.419835950728</v>
          </cell>
          <cell r="O27">
            <v>238687</v>
          </cell>
        </row>
        <row r="28">
          <cell r="A28">
            <v>27498</v>
          </cell>
          <cell r="B28" t="str">
            <v>JIM ALLEN</v>
          </cell>
          <cell r="C28">
            <v>1700</v>
          </cell>
          <cell r="D28" t="str">
            <v xml:space="preserve">OLDER ADULT BUREAU ADMIN 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M28">
            <v>13685</v>
          </cell>
          <cell r="N28">
            <v>11291.244558762939</v>
          </cell>
          <cell r="O28">
            <v>0</v>
          </cell>
        </row>
        <row r="29">
          <cell r="A29">
            <v>20464</v>
          </cell>
          <cell r="B29" t="str">
            <v>JIM ALLEN</v>
          </cell>
          <cell r="C29">
            <v>1928</v>
          </cell>
          <cell r="D29" t="str">
            <v>SAN PEDRO MENTAL HEALTH SRVCS</v>
          </cell>
          <cell r="E29">
            <v>880925.87</v>
          </cell>
          <cell r="F29">
            <v>1551485.7971213548</v>
          </cell>
          <cell r="G29">
            <v>13036.900602</v>
          </cell>
          <cell r="H29">
            <v>14798.799333815916</v>
          </cell>
          <cell r="I29">
            <v>31898.46</v>
          </cell>
          <cell r="J29">
            <v>17511.222737999062</v>
          </cell>
          <cell r="L29">
            <v>0</v>
          </cell>
          <cell r="M29">
            <v>75770</v>
          </cell>
          <cell r="N29">
            <v>62516.448682314061</v>
          </cell>
          <cell r="O29">
            <v>156128</v>
          </cell>
        </row>
        <row r="30">
          <cell r="A30">
            <v>23003</v>
          </cell>
          <cell r="B30" t="str">
            <v>JIM ALLEN</v>
          </cell>
          <cell r="C30">
            <v>1935</v>
          </cell>
          <cell r="D30" t="str">
            <v>SOUTH BAY MHS</v>
          </cell>
          <cell r="E30">
            <v>976865.63</v>
          </cell>
          <cell r="F30">
            <v>1720454.8103928478</v>
          </cell>
          <cell r="G30">
            <v>17094.098198</v>
          </cell>
          <cell r="H30">
            <v>19404.315239309071</v>
          </cell>
          <cell r="I30">
            <v>41825.54</v>
          </cell>
          <cell r="J30">
            <v>22960.868552183685</v>
          </cell>
          <cell r="L30">
            <v>0</v>
          </cell>
          <cell r="M30">
            <v>145759</v>
          </cell>
          <cell r="N30">
            <v>120263.09942570166</v>
          </cell>
          <cell r="O30">
            <v>173693</v>
          </cell>
        </row>
        <row r="31">
          <cell r="A31" t="str">
            <v>NGA?</v>
          </cell>
          <cell r="B31" t="str">
            <v>JIM ALLEN</v>
          </cell>
          <cell r="C31">
            <v>7532</v>
          </cell>
          <cell r="D31" t="str">
            <v xml:space="preserve">SOUTH LOS ANGELES FAMILY SVCS 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>
            <v>23010</v>
          </cell>
          <cell r="B32" t="str">
            <v>JIM ALLEN</v>
          </cell>
          <cell r="C32">
            <v>1908</v>
          </cell>
          <cell r="D32" t="str">
            <v>WEST CENTRAL FAMILY MHS</v>
          </cell>
          <cell r="E32">
            <v>671300.09499999997</v>
          </cell>
          <cell r="F32">
            <v>1182293.0832973679</v>
          </cell>
          <cell r="G32">
            <v>7926.6874560000006</v>
          </cell>
          <cell r="H32">
            <v>8997.9559271337748</v>
          </cell>
          <cell r="I32">
            <v>19394.88</v>
          </cell>
          <cell r="J32">
            <v>10647.161764447665</v>
          </cell>
          <cell r="L32">
            <v>0</v>
          </cell>
          <cell r="M32">
            <v>69334</v>
          </cell>
          <cell r="N32">
            <v>57206.222158368262</v>
          </cell>
          <cell r="O32">
            <v>118548</v>
          </cell>
        </row>
        <row r="33">
          <cell r="A33">
            <v>20489</v>
          </cell>
          <cell r="B33" t="str">
            <v>OLIVIA CELLIS</v>
          </cell>
          <cell r="C33">
            <v>7437</v>
          </cell>
          <cell r="D33" t="str">
            <v>AB3632 ASSESSMENT UNIT</v>
          </cell>
          <cell r="E33">
            <v>332.88</v>
          </cell>
          <cell r="F33">
            <v>586.26793664914919</v>
          </cell>
          <cell r="G33">
            <v>354022.07867399999</v>
          </cell>
          <cell r="H33">
            <v>401867.12025964068</v>
          </cell>
          <cell r="I33">
            <v>866215.02</v>
          </cell>
          <cell r="J33">
            <v>475524.02699755132</v>
          </cell>
          <cell r="K33">
            <v>41692.67</v>
          </cell>
          <cell r="L33">
            <v>99240.324112478294</v>
          </cell>
          <cell r="M33">
            <v>32824</v>
          </cell>
          <cell r="N33">
            <v>27082.485304847258</v>
          </cell>
          <cell r="O33">
            <v>79082</v>
          </cell>
        </row>
        <row r="34">
          <cell r="A34">
            <v>20468</v>
          </cell>
          <cell r="B34" t="str">
            <v>OLIVIA CELLIS</v>
          </cell>
          <cell r="C34">
            <v>1904</v>
          </cell>
          <cell r="D34" t="str">
            <v>ANTELOPE VALLEY MHS</v>
          </cell>
          <cell r="E34">
            <v>604840.18500000006</v>
          </cell>
          <cell r="F34">
            <v>1065243.9535641663</v>
          </cell>
          <cell r="G34">
            <v>11808.426055000002</v>
          </cell>
          <cell r="H34">
            <v>13404.30006878628</v>
          </cell>
          <cell r="I34">
            <v>28892.65</v>
          </cell>
          <cell r="J34">
            <v>15861.13027528754</v>
          </cell>
          <cell r="L34">
            <v>0</v>
          </cell>
          <cell r="M34">
            <v>49322</v>
          </cell>
          <cell r="N34">
            <v>40694.684992861214</v>
          </cell>
          <cell r="O34">
            <v>107805</v>
          </cell>
        </row>
        <row r="35">
          <cell r="A35">
            <v>23015</v>
          </cell>
          <cell r="B35" t="str">
            <v>OLIVIA CELLIS</v>
          </cell>
          <cell r="C35">
            <v>1917</v>
          </cell>
          <cell r="D35" t="str">
            <v>ARCADIA MHS</v>
          </cell>
          <cell r="E35">
            <v>1077463.04</v>
          </cell>
          <cell r="F35">
            <v>1897626.8723759905</v>
          </cell>
          <cell r="G35">
            <v>12864.968686</v>
          </cell>
          <cell r="H35">
            <v>14603.631325587628</v>
          </cell>
          <cell r="I35">
            <v>31477.78</v>
          </cell>
          <cell r="J35">
            <v>17280.283025504432</v>
          </cell>
          <cell r="K35">
            <v>3481.55</v>
          </cell>
          <cell r="L35">
            <v>8287.0718141533944</v>
          </cell>
          <cell r="M35">
            <v>86368</v>
          </cell>
          <cell r="N35">
            <v>71260.665696107972</v>
          </cell>
          <cell r="O35">
            <v>190608</v>
          </cell>
        </row>
        <row r="36">
          <cell r="A36">
            <v>20941</v>
          </cell>
          <cell r="B36" t="str">
            <v>OLIVIA CELLIS</v>
          </cell>
          <cell r="C36">
            <v>7171</v>
          </cell>
          <cell r="D36" t="str">
            <v>COUNTYWIDE CHILDRENS CASE MNGM</v>
          </cell>
          <cell r="E36">
            <v>1419.5250000000001</v>
          </cell>
          <cell r="F36">
            <v>2500.0660681683598</v>
          </cell>
          <cell r="G36">
            <v>1091059.9780280001</v>
          </cell>
          <cell r="H36">
            <v>1238513.5216507632</v>
          </cell>
          <cell r="I36">
            <v>2669586.44</v>
          </cell>
          <cell r="J36">
            <v>1465516.6039107207</v>
          </cell>
          <cell r="K36">
            <v>37898.050000000003</v>
          </cell>
          <cell r="L36">
            <v>90208.057321128828</v>
          </cell>
          <cell r="M36">
            <v>547994</v>
          </cell>
          <cell r="N36">
            <v>452139.88094517641</v>
          </cell>
          <cell r="O36">
            <v>235907</v>
          </cell>
        </row>
        <row r="37">
          <cell r="A37">
            <v>20597</v>
          </cell>
          <cell r="B37" t="str">
            <v>OLIVIA CELLIS</v>
          </cell>
          <cell r="C37">
            <v>300</v>
          </cell>
          <cell r="D37" t="str">
            <v>DMH CHILDREN &amp; FAMILY SERVICES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>
            <v>18213</v>
          </cell>
          <cell r="B38" t="str">
            <v>OLIVIA CELLIS</v>
          </cell>
          <cell r="C38">
            <v>7170</v>
          </cell>
          <cell r="D38" t="str">
            <v>DMH/DPSS CO-LOCATED PROGRAM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M38">
            <v>321750</v>
          </cell>
          <cell r="N38">
            <v>265470.07210683054</v>
          </cell>
          <cell r="O38">
            <v>0</v>
          </cell>
        </row>
        <row r="39">
          <cell r="A39">
            <v>21537</v>
          </cell>
          <cell r="B39" t="str">
            <v>OLIVIA CELLIS</v>
          </cell>
          <cell r="C39">
            <v>7386</v>
          </cell>
          <cell r="D39" t="str">
            <v>PALMDALE MENTAL HEALTH CENTER</v>
          </cell>
          <cell r="E39">
            <v>326512.72499999998</v>
          </cell>
          <cell r="F39">
            <v>575053.89802764077</v>
          </cell>
          <cell r="G39">
            <v>13262.952572</v>
          </cell>
          <cell r="H39">
            <v>15055.401561996634</v>
          </cell>
          <cell r="I39">
            <v>32451.56</v>
          </cell>
          <cell r="J39">
            <v>17814.856747176538</v>
          </cell>
          <cell r="L39">
            <v>0</v>
          </cell>
          <cell r="M39">
            <v>61004</v>
          </cell>
          <cell r="N39">
            <v>50333.290687816909</v>
          </cell>
          <cell r="O39">
            <v>59664</v>
          </cell>
        </row>
        <row r="40">
          <cell r="A40">
            <v>18674</v>
          </cell>
          <cell r="B40" t="str">
            <v>OLIVIA CELLIS</v>
          </cell>
          <cell r="C40">
            <v>1939</v>
          </cell>
          <cell r="D40" t="str">
            <v>SECTOR II AB3632 PROGRAM</v>
          </cell>
          <cell r="E40">
            <v>1950</v>
          </cell>
          <cell r="F40">
            <v>3434.3381292533068</v>
          </cell>
          <cell r="G40">
            <v>508175.92885199998</v>
          </cell>
          <cell r="H40">
            <v>576854.40941404062</v>
          </cell>
          <cell r="I40">
            <v>1243395.96</v>
          </cell>
          <cell r="J40">
            <v>682584.16259243141</v>
          </cell>
          <cell r="K40">
            <v>47434.86</v>
          </cell>
          <cell r="L40">
            <v>112908.35728750478</v>
          </cell>
          <cell r="O40">
            <v>112693</v>
          </cell>
        </row>
        <row r="41">
          <cell r="L41">
            <v>0</v>
          </cell>
        </row>
        <row r="42">
          <cell r="A42" t="str">
            <v>a</v>
          </cell>
          <cell r="B42" t="str">
            <v>ROBIN KAY</v>
          </cell>
          <cell r="C42">
            <v>7593</v>
          </cell>
          <cell r="D42" t="str">
            <v>DMH URGENT CMM SVC HILLVIEW</v>
          </cell>
          <cell r="E42">
            <v>16611.54</v>
          </cell>
          <cell r="F42">
            <v>29256.228311598199</v>
          </cell>
          <cell r="G42">
            <v>649.56325800000002</v>
          </cell>
          <cell r="H42">
            <v>737.34981980970201</v>
          </cell>
          <cell r="I42">
            <v>1589.34</v>
          </cell>
          <cell r="J42">
            <v>872.49625049019369</v>
          </cell>
          <cell r="L42">
            <v>0</v>
          </cell>
          <cell r="M42">
            <v>1655</v>
          </cell>
          <cell r="N42">
            <v>1365.5103942091826</v>
          </cell>
          <cell r="O42">
            <v>3030</v>
          </cell>
        </row>
        <row r="43">
          <cell r="A43" t="str">
            <v>b</v>
          </cell>
          <cell r="B43" t="str">
            <v>ROBIN KAY</v>
          </cell>
          <cell r="C43">
            <v>7591</v>
          </cell>
          <cell r="D43" t="str">
            <v>DMH URGENT COMM SRVCS  SFMHC</v>
          </cell>
          <cell r="E43">
            <v>12683.29</v>
          </cell>
          <cell r="F43">
            <v>22337.798180193422</v>
          </cell>
          <cell r="G43">
            <v>419.93925000000002</v>
          </cell>
          <cell r="H43">
            <v>476.69280321043254</v>
          </cell>
          <cell r="I43">
            <v>1027.5</v>
          </cell>
          <cell r="J43">
            <v>564.06426402070929</v>
          </cell>
          <cell r="L43">
            <v>0</v>
          </cell>
          <cell r="M43">
            <v>849</v>
          </cell>
          <cell r="N43">
            <v>700.49445600217291</v>
          </cell>
          <cell r="O43">
            <v>2297</v>
          </cell>
        </row>
        <row r="44">
          <cell r="A44" t="str">
            <v>c</v>
          </cell>
          <cell r="B44" t="str">
            <v>ROBIN KAY</v>
          </cell>
          <cell r="C44">
            <v>7592</v>
          </cell>
          <cell r="D44" t="str">
            <v>DMH URGENT COMM SRVCS OVMC</v>
          </cell>
          <cell r="E44">
            <v>2809.8</v>
          </cell>
          <cell r="F44">
            <v>4948.6170643979185</v>
          </cell>
          <cell r="G44">
            <v>86.820141000000007</v>
          </cell>
          <cell r="H44">
            <v>98.553627431622559</v>
          </cell>
          <cell r="I44">
            <v>212.43</v>
          </cell>
          <cell r="J44">
            <v>116.61719864323044</v>
          </cell>
          <cell r="L44">
            <v>0</v>
          </cell>
          <cell r="M44">
            <v>8763</v>
          </cell>
          <cell r="N44">
            <v>7230.1918939305551</v>
          </cell>
          <cell r="O44">
            <v>508</v>
          </cell>
        </row>
        <row r="45">
          <cell r="A45">
            <v>27553</v>
          </cell>
          <cell r="D45" t="str">
            <v>Total</v>
          </cell>
          <cell r="F45">
            <v>56542.643556189541</v>
          </cell>
          <cell r="H45">
            <v>1312.5962504517572</v>
          </cell>
          <cell r="J45">
            <v>1553.1777131541335</v>
          </cell>
          <cell r="L45">
            <v>0</v>
          </cell>
          <cell r="N45">
            <v>9296.196744141911</v>
          </cell>
          <cell r="O45">
            <v>5835</v>
          </cell>
          <cell r="P45">
            <v>0</v>
          </cell>
        </row>
        <row r="47">
          <cell r="A47" t="str">
            <v>a</v>
          </cell>
          <cell r="B47" t="str">
            <v>ROBIN KAY</v>
          </cell>
          <cell r="C47">
            <v>7191</v>
          </cell>
          <cell r="D47" t="str">
            <v>EDMUND D EDELMAN W MHC CH &amp; FM</v>
          </cell>
          <cell r="E47">
            <v>421.57499999999999</v>
          </cell>
          <cell r="F47">
            <v>742.47748555895532</v>
          </cell>
          <cell r="G47">
            <v>274817.939564</v>
          </cell>
          <cell r="H47">
            <v>311958.77494965849</v>
          </cell>
          <cell r="I47">
            <v>672419.72</v>
          </cell>
          <cell r="J47">
            <v>369136.67588789435</v>
          </cell>
          <cell r="K47">
            <v>34547.440000000002</v>
          </cell>
          <cell r="L47">
            <v>82232.659670306486</v>
          </cell>
          <cell r="M47">
            <v>46394</v>
          </cell>
          <cell r="N47">
            <v>38278.845455553368</v>
          </cell>
          <cell r="O47">
            <v>61608</v>
          </cell>
        </row>
        <row r="48">
          <cell r="A48" t="str">
            <v>b</v>
          </cell>
          <cell r="B48" t="str">
            <v>ROBIN KAY</v>
          </cell>
          <cell r="C48">
            <v>1906</v>
          </cell>
          <cell r="D48" t="str">
            <v>EDMUND D. EDELMAN WESTSIDE MHC</v>
          </cell>
          <cell r="E48">
            <v>1642372.4750000001</v>
          </cell>
          <cell r="F48">
            <v>2892544.8273480125</v>
          </cell>
          <cell r="G48">
            <v>31226.960546000002</v>
          </cell>
          <cell r="H48">
            <v>35447.192322256895</v>
          </cell>
          <cell r="I48">
            <v>76405.58</v>
          </cell>
          <cell r="J48">
            <v>41944.191970584361</v>
          </cell>
          <cell r="L48">
            <v>0</v>
          </cell>
          <cell r="M48">
            <v>106495</v>
          </cell>
          <cell r="N48">
            <v>87867.087269671858</v>
          </cell>
          <cell r="O48">
            <v>292555</v>
          </cell>
        </row>
        <row r="49">
          <cell r="A49">
            <v>18588</v>
          </cell>
          <cell r="D49" t="str">
            <v>Total</v>
          </cell>
          <cell r="F49">
            <v>2893287.3048335714</v>
          </cell>
          <cell r="H49">
            <v>347405.9672719154</v>
          </cell>
          <cell r="J49">
            <v>411080.86785847868</v>
          </cell>
          <cell r="L49">
            <v>82232.659670306486</v>
          </cell>
          <cell r="N49">
            <v>126145.93272522523</v>
          </cell>
          <cell r="O49">
            <v>354163</v>
          </cell>
          <cell r="P49">
            <v>0</v>
          </cell>
        </row>
        <row r="51">
          <cell r="A51">
            <v>18716</v>
          </cell>
          <cell r="B51" t="str">
            <v>ROBIN KAY</v>
          </cell>
          <cell r="C51">
            <v>7241</v>
          </cell>
          <cell r="D51" t="str">
            <v>LAC-DMH OLDER ADULT SERVICES</v>
          </cell>
          <cell r="E51">
            <v>382353.78499999997</v>
          </cell>
          <cell r="F51">
            <v>673401.11932811339</v>
          </cell>
          <cell r="H51">
            <v>0</v>
          </cell>
          <cell r="J51">
            <v>0</v>
          </cell>
          <cell r="M51">
            <v>112671</v>
          </cell>
          <cell r="N51">
            <v>92962.792523228287</v>
          </cell>
          <cell r="O51">
            <v>66560</v>
          </cell>
        </row>
        <row r="52">
          <cell r="A52">
            <v>20452</v>
          </cell>
          <cell r="B52" t="str">
            <v>ROBIN KAY</v>
          </cell>
          <cell r="C52">
            <v>6840</v>
          </cell>
          <cell r="D52" t="str">
            <v>SAN FERNANDO MHS</v>
          </cell>
          <cell r="E52">
            <v>1387639.885</v>
          </cell>
          <cell r="F52">
            <v>2443910.0342195765</v>
          </cell>
          <cell r="G52">
            <v>160925.68630500001</v>
          </cell>
          <cell r="H52">
            <v>182674.31899564795</v>
          </cell>
          <cell r="I52">
            <v>393750.15</v>
          </cell>
          <cell r="J52">
            <v>216156.09592972643</v>
          </cell>
          <cell r="K52">
            <v>25060.84</v>
          </cell>
          <cell r="L52">
            <v>59651.873677818199</v>
          </cell>
          <cell r="M52">
            <v>84938</v>
          </cell>
          <cell r="N52">
            <v>70080.798708966497</v>
          </cell>
          <cell r="O52">
            <v>278014</v>
          </cell>
        </row>
        <row r="53">
          <cell r="A53">
            <v>20469</v>
          </cell>
          <cell r="B53" t="str">
            <v>ROBIN KAY</v>
          </cell>
          <cell r="C53">
            <v>1905</v>
          </cell>
          <cell r="D53" t="str">
            <v>SANTA CLARITA VALLEY MH CENTER</v>
          </cell>
          <cell r="E53">
            <v>560598.21499999997</v>
          </cell>
          <cell r="F53">
            <v>987325.03844402207</v>
          </cell>
          <cell r="G53">
            <v>10739.005287</v>
          </cell>
          <cell r="H53">
            <v>12190.350232686478</v>
          </cell>
          <cell r="I53">
            <v>26276.01</v>
          </cell>
          <cell r="J53">
            <v>14424.679554307344</v>
          </cell>
          <cell r="K53">
            <v>485.55</v>
          </cell>
          <cell r="L53">
            <v>1155.746066942075</v>
          </cell>
          <cell r="M53">
            <v>37884</v>
          </cell>
          <cell r="N53">
            <v>31257.399259347843</v>
          </cell>
          <cell r="O53">
            <v>99918</v>
          </cell>
        </row>
        <row r="54">
          <cell r="A54">
            <v>20492</v>
          </cell>
          <cell r="B54" t="str">
            <v>ROBIN KAY</v>
          </cell>
          <cell r="C54">
            <v>7340</v>
          </cell>
          <cell r="D54" t="str">
            <v>VALY COORDINATED CHILDRN SRVCS</v>
          </cell>
          <cell r="E54">
            <v>3578.59</v>
          </cell>
          <cell r="F54">
            <v>6302.6092748536375</v>
          </cell>
          <cell r="G54">
            <v>512342.60491699999</v>
          </cell>
          <cell r="H54">
            <v>581584.19948128168</v>
          </cell>
          <cell r="I54">
            <v>1253590.9099999999</v>
          </cell>
          <cell r="J54">
            <v>688180.86037197197</v>
          </cell>
          <cell r="K54">
            <v>301920.28999999998</v>
          </cell>
          <cell r="L54">
            <v>718655.51992073038</v>
          </cell>
          <cell r="M54">
            <v>102205</v>
          </cell>
          <cell r="N54">
            <v>84327.486308247448</v>
          </cell>
          <cell r="O54">
            <v>136015</v>
          </cell>
        </row>
        <row r="55">
          <cell r="A55">
            <v>20499</v>
          </cell>
          <cell r="B55" t="str">
            <v>ROBIN KAY</v>
          </cell>
          <cell r="C55">
            <v>6841</v>
          </cell>
          <cell r="D55" t="str">
            <v>WEST VALLEY MENTAL HEALTH CTR</v>
          </cell>
          <cell r="E55">
            <v>946428.77500000002</v>
          </cell>
          <cell r="F55">
            <v>1666849.4505666662</v>
          </cell>
          <cell r="G55">
            <v>22543.892</v>
          </cell>
          <cell r="H55">
            <v>25590.632627822342</v>
          </cell>
          <cell r="I55">
            <v>55160</v>
          </cell>
          <cell r="J55">
            <v>30281.055769715156</v>
          </cell>
          <cell r="L55">
            <v>0</v>
          </cell>
          <cell r="M55">
            <v>93392</v>
          </cell>
          <cell r="N55">
            <v>77056.040323857393</v>
          </cell>
          <cell r="O55">
            <v>169555</v>
          </cell>
        </row>
        <row r="56">
          <cell r="A56" t="str">
            <v>20592-594</v>
          </cell>
          <cell r="B56" t="str">
            <v>SANDRA THOMAS</v>
          </cell>
          <cell r="C56">
            <v>7608</v>
          </cell>
          <cell r="D56" t="str">
            <v>AUGUSTUS F HWKNS SPCL FC MHS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O56">
            <v>0</v>
          </cell>
        </row>
        <row r="57">
          <cell r="A57">
            <v>20444</v>
          </cell>
          <cell r="B57" t="str">
            <v>SANDRA THOMAS</v>
          </cell>
          <cell r="C57">
            <v>6821</v>
          </cell>
          <cell r="D57" t="str">
            <v>BARRY J NIDORF JUV HALL MH UNT</v>
          </cell>
          <cell r="E57">
            <v>74.400000000000006</v>
          </cell>
          <cell r="F57">
            <v>131.0332086238185</v>
          </cell>
          <cell r="G57">
            <v>130079.454331</v>
          </cell>
          <cell r="H57">
            <v>147659.30959091778</v>
          </cell>
          <cell r="I57">
            <v>318276.13</v>
          </cell>
          <cell r="J57">
            <v>174723.30026648138</v>
          </cell>
          <cell r="L57">
            <v>0</v>
          </cell>
          <cell r="O57">
            <v>27716</v>
          </cell>
        </row>
        <row r="58">
          <cell r="A58">
            <v>20443</v>
          </cell>
          <cell r="B58" t="str">
            <v>SANDRA THOMAS</v>
          </cell>
          <cell r="C58">
            <v>1957</v>
          </cell>
          <cell r="D58" t="str">
            <v>CENTRAL JUVENILE HALL</v>
          </cell>
          <cell r="E58">
            <v>5262.78</v>
          </cell>
          <cell r="F58">
            <v>9268.8030871137016</v>
          </cell>
          <cell r="G58">
            <v>222373.649565</v>
          </cell>
          <cell r="H58">
            <v>252426.79356900844</v>
          </cell>
          <cell r="I58">
            <v>544099.94999999995</v>
          </cell>
          <cell r="J58">
            <v>298693.27284715784</v>
          </cell>
          <cell r="L58">
            <v>0</v>
          </cell>
          <cell r="O58">
            <v>48275</v>
          </cell>
        </row>
        <row r="59">
          <cell r="A59" t="str">
            <v>20592-594</v>
          </cell>
          <cell r="B59" t="str">
            <v>SANDRA THOMAS</v>
          </cell>
          <cell r="C59">
            <v>7611</v>
          </cell>
          <cell r="D59" t="str">
            <v>CENTURY SPCLZD FSTR CR MHS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O59">
            <v>0</v>
          </cell>
        </row>
        <row r="60">
          <cell r="A60">
            <v>20442</v>
          </cell>
          <cell r="B60" t="str">
            <v>SANDRA THOMAS</v>
          </cell>
          <cell r="C60">
            <v>7195</v>
          </cell>
          <cell r="D60" t="str">
            <v>CHALLENGER MENTAL HEALTH UNIT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O60">
            <v>0</v>
          </cell>
        </row>
        <row r="61">
          <cell r="A61" t="str">
            <v>20592-594</v>
          </cell>
          <cell r="B61" t="str">
            <v>SANDRA THOMAS</v>
          </cell>
          <cell r="C61">
            <v>7607</v>
          </cell>
          <cell r="D61" t="str">
            <v>COMPTON SPCLZD FSTR CR MHS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O61">
            <v>0</v>
          </cell>
        </row>
        <row r="62">
          <cell r="A62">
            <v>20441</v>
          </cell>
          <cell r="B62" t="str">
            <v>SANDRA THOMAS</v>
          </cell>
          <cell r="C62">
            <v>1958</v>
          </cell>
          <cell r="D62" t="str">
            <v>DOROTHY KIRBY CENTER</v>
          </cell>
          <cell r="E62">
            <v>31042.51</v>
          </cell>
          <cell r="F62">
            <v>54672.038831142083</v>
          </cell>
          <cell r="G62">
            <v>1461891.940833</v>
          </cell>
          <cell r="H62">
            <v>1659462.3323883691</v>
          </cell>
          <cell r="I62">
            <v>3576931.59</v>
          </cell>
          <cell r="J62">
            <v>1963619.7418645015</v>
          </cell>
          <cell r="L62">
            <v>0</v>
          </cell>
          <cell r="O62">
            <v>316740</v>
          </cell>
        </row>
        <row r="63">
          <cell r="A63" t="str">
            <v>20592-594</v>
          </cell>
          <cell r="B63" t="str">
            <v>SANDRA THOMAS</v>
          </cell>
          <cell r="C63">
            <v>7609</v>
          </cell>
          <cell r="D63" t="str">
            <v>HAWTHORNE SPCLZD FC MHS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O63">
            <v>0</v>
          </cell>
        </row>
        <row r="64">
          <cell r="A64" t="str">
            <v>21564P</v>
          </cell>
          <cell r="B64" t="str">
            <v>SANDRA THOMAS</v>
          </cell>
          <cell r="C64">
            <v>7442</v>
          </cell>
          <cell r="D64" t="str">
            <v>ICAT - PASADENA</v>
          </cell>
          <cell r="F64">
            <v>0</v>
          </cell>
          <cell r="G64">
            <v>229145.95569700003</v>
          </cell>
          <cell r="H64">
            <v>260114.35693504839</v>
          </cell>
          <cell r="I64">
            <v>560670.31000000006</v>
          </cell>
          <cell r="J64">
            <v>307789.86449480581</v>
          </cell>
          <cell r="K64">
            <v>1458.63</v>
          </cell>
          <cell r="L64">
            <v>3471.9511597646356</v>
          </cell>
          <cell r="M64">
            <v>38895</v>
          </cell>
          <cell r="N64">
            <v>32091.556968438766</v>
          </cell>
          <cell r="O64">
            <v>62921</v>
          </cell>
        </row>
        <row r="65">
          <cell r="A65" t="str">
            <v>21564W</v>
          </cell>
          <cell r="B65" t="str">
            <v>SANDRA THOMAS</v>
          </cell>
          <cell r="C65">
            <v>7443</v>
          </cell>
          <cell r="D65" t="str">
            <v>ICAT - WILSHIRE</v>
          </cell>
          <cell r="E65">
            <v>14679.975</v>
          </cell>
          <cell r="F65">
            <v>25854.357886659134</v>
          </cell>
          <cell r="G65">
            <v>137973.58065800002</v>
          </cell>
          <cell r="H65">
            <v>156620.30384833697</v>
          </cell>
          <cell r="I65">
            <v>337591.34</v>
          </cell>
          <cell r="J65">
            <v>185326.72577797086</v>
          </cell>
          <cell r="K65">
            <v>2590.35</v>
          </cell>
          <cell r="L65">
            <v>6165.7642354101599</v>
          </cell>
          <cell r="M65">
            <v>40415</v>
          </cell>
          <cell r="N65">
            <v>33345.681318407325</v>
          </cell>
          <cell r="O65">
            <v>32165</v>
          </cell>
        </row>
        <row r="66">
          <cell r="A66" t="str">
            <v>21564T</v>
          </cell>
          <cell r="B66" t="str">
            <v>SANDRA THOMAS</v>
          </cell>
          <cell r="C66">
            <v>7509</v>
          </cell>
          <cell r="D66" t="str">
            <v>ICAT TORRANCE</v>
          </cell>
          <cell r="F66">
            <v>0</v>
          </cell>
          <cell r="G66">
            <v>153238.288612</v>
          </cell>
          <cell r="H66">
            <v>173947.99213844285</v>
          </cell>
          <cell r="I66">
            <v>374940.76</v>
          </cell>
          <cell r="J66">
            <v>205830.34923675467</v>
          </cell>
          <cell r="L66">
            <v>0</v>
          </cell>
          <cell r="M66">
            <v>38262</v>
          </cell>
          <cell r="N66">
            <v>31569.280183221603</v>
          </cell>
          <cell r="O66">
            <v>32635</v>
          </cell>
        </row>
        <row r="67">
          <cell r="A67">
            <v>27254</v>
          </cell>
          <cell r="B67" t="str">
            <v>SANDRA THOMAS</v>
          </cell>
          <cell r="C67">
            <v>7458</v>
          </cell>
          <cell r="D67" t="str">
            <v>JUVENILE COURT MENTAL HLTH SVS</v>
          </cell>
          <cell r="E67">
            <v>1621.61</v>
          </cell>
          <cell r="F67">
            <v>2855.9779762966432</v>
          </cell>
          <cell r="G67">
            <v>333457.65973200003</v>
          </cell>
          <cell r="H67">
            <v>378523.48064544494</v>
          </cell>
          <cell r="I67">
            <v>815898.36</v>
          </cell>
          <cell r="J67">
            <v>447901.80822297203</v>
          </cell>
          <cell r="L67">
            <v>0</v>
          </cell>
          <cell r="M67">
            <v>43437</v>
          </cell>
          <cell r="N67">
            <v>35839.078545779012</v>
          </cell>
          <cell r="O67">
            <v>71298</v>
          </cell>
        </row>
        <row r="68">
          <cell r="A68">
            <v>20445</v>
          </cell>
          <cell r="B68" t="str">
            <v>SANDRA THOMAS</v>
          </cell>
          <cell r="C68">
            <v>7166</v>
          </cell>
          <cell r="D68" t="str">
            <v>LOS PADRINOS JUV HALL MH UNIT</v>
          </cell>
          <cell r="E68">
            <v>2762.89</v>
          </cell>
          <cell r="F68">
            <v>4865.9992174013687</v>
          </cell>
          <cell r="G68">
            <v>220010.44398999997</v>
          </cell>
          <cell r="H68">
            <v>249744.20771853294</v>
          </cell>
          <cell r="I68">
            <v>538317.69999999995</v>
          </cell>
          <cell r="J68">
            <v>295519.00463242916</v>
          </cell>
          <cell r="L68">
            <v>0</v>
          </cell>
          <cell r="O68">
            <v>47336</v>
          </cell>
        </row>
        <row r="69">
          <cell r="A69">
            <v>20593</v>
          </cell>
          <cell r="B69" t="str">
            <v>SANDRA THOMAS</v>
          </cell>
          <cell r="C69">
            <v>7616</v>
          </cell>
          <cell r="D69" t="str">
            <v>SPECIALIZED FOSTER CR CMMRC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O69">
            <v>0</v>
          </cell>
        </row>
        <row r="70">
          <cell r="L70">
            <v>0</v>
          </cell>
        </row>
        <row r="71">
          <cell r="A71" t="str">
            <v>a</v>
          </cell>
          <cell r="B71" t="str">
            <v>SANDRA THOMAS</v>
          </cell>
          <cell r="C71">
            <v>7615</v>
          </cell>
          <cell r="D71" t="str">
            <v xml:space="preserve">SPECIALIZED FOSTER CR AICC 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M71">
            <v>2883</v>
          </cell>
          <cell r="N71">
            <v>2378.7108558943041</v>
          </cell>
          <cell r="O71">
            <v>0</v>
          </cell>
        </row>
        <row r="72">
          <cell r="A72" t="str">
            <v>b</v>
          </cell>
          <cell r="B72" t="str">
            <v>SANDRA THOMAS</v>
          </cell>
          <cell r="C72">
            <v>7610</v>
          </cell>
          <cell r="D72" t="str">
            <v xml:space="preserve">SPECIALIZED FC PALMDALE CL 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M72">
            <v>9192</v>
          </cell>
          <cell r="N72">
            <v>7584.1519900729945</v>
          </cell>
          <cell r="O72">
            <v>0</v>
          </cell>
        </row>
        <row r="73">
          <cell r="A73">
            <v>28002</v>
          </cell>
          <cell r="D73" t="str">
            <v>Total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9962.8628459672982</v>
          </cell>
          <cell r="O73">
            <v>0</v>
          </cell>
          <cell r="P73">
            <v>0</v>
          </cell>
        </row>
        <row r="75">
          <cell r="A75" t="str">
            <v>23019P</v>
          </cell>
          <cell r="B75" t="str">
            <v>SANDRA THOMAS</v>
          </cell>
          <cell r="C75">
            <v>7404</v>
          </cell>
          <cell r="D75" t="str">
            <v>START EAST - PASADENA</v>
          </cell>
          <cell r="F75">
            <v>0</v>
          </cell>
          <cell r="G75">
            <v>111065.389795</v>
          </cell>
          <cell r="H75">
            <v>126075.55021598459</v>
          </cell>
          <cell r="I75">
            <v>271752.84999999998</v>
          </cell>
          <cell r="J75">
            <v>149183.52440951846</v>
          </cell>
          <cell r="M75">
            <v>1225</v>
          </cell>
          <cell r="N75">
            <v>1010.7252162575521</v>
          </cell>
          <cell r="O75">
            <v>23653</v>
          </cell>
        </row>
        <row r="76">
          <cell r="A76" t="str">
            <v>23019S</v>
          </cell>
          <cell r="B76" t="str">
            <v>SANDRA THOMAS</v>
          </cell>
          <cell r="C76">
            <v>7559</v>
          </cell>
          <cell r="D76" t="str">
            <v>START NORTH SANTA CLARITA</v>
          </cell>
          <cell r="F76">
            <v>0</v>
          </cell>
          <cell r="G76">
            <v>90263.058409000005</v>
          </cell>
          <cell r="H76">
            <v>102461.84499146772</v>
          </cell>
          <cell r="I76">
            <v>220854.07</v>
          </cell>
          <cell r="J76">
            <v>121241.74058445569</v>
          </cell>
          <cell r="M76">
            <v>211</v>
          </cell>
          <cell r="N76">
            <v>174.09226173905591</v>
          </cell>
          <cell r="O76">
            <v>19223</v>
          </cell>
        </row>
        <row r="77">
          <cell r="A77" t="str">
            <v>23019T</v>
          </cell>
          <cell r="B77" t="str">
            <v>SANDRA THOMAS</v>
          </cell>
          <cell r="C77">
            <v>7492</v>
          </cell>
          <cell r="D77" t="str">
            <v>START SOUTH - TORRANCE</v>
          </cell>
          <cell r="F77">
            <v>0</v>
          </cell>
          <cell r="G77">
            <v>85586.590398999993</v>
          </cell>
          <cell r="H77">
            <v>97153.366098840241</v>
          </cell>
          <cell r="I77">
            <v>209411.77</v>
          </cell>
          <cell r="J77">
            <v>114960.28800226185</v>
          </cell>
          <cell r="M77">
            <v>3947</v>
          </cell>
          <cell r="N77">
            <v>3256.5979008722925</v>
          </cell>
          <cell r="O77">
            <v>18227</v>
          </cell>
        </row>
        <row r="78">
          <cell r="A78" t="str">
            <v>23019M</v>
          </cell>
          <cell r="B78" t="str">
            <v>SANDRA THOMAS</v>
          </cell>
          <cell r="C78">
            <v>7403</v>
          </cell>
          <cell r="D78" t="str">
            <v>START WEST - METRO NORTH</v>
          </cell>
          <cell r="F78">
            <v>0</v>
          </cell>
          <cell r="G78">
            <v>127349.305635</v>
          </cell>
          <cell r="H78">
            <v>144560.18933702976</v>
          </cell>
          <cell r="I78">
            <v>311596.05</v>
          </cell>
          <cell r="J78">
            <v>171056.15242336752</v>
          </cell>
          <cell r="M78">
            <v>13947</v>
          </cell>
          <cell r="N78">
            <v>11507.415992770679</v>
          </cell>
          <cell r="O78">
            <v>27121</v>
          </cell>
        </row>
        <row r="79">
          <cell r="A79" t="str">
            <v>20592-594</v>
          </cell>
          <cell r="B79" t="str">
            <v>SANDRA THOMAS</v>
          </cell>
          <cell r="C79">
            <v>7612</v>
          </cell>
          <cell r="D79" t="str">
            <v>WATERIDGE SPCLZD FC MHS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18662</v>
          </cell>
          <cell r="B80" t="str">
            <v>TONY BELIZ</v>
          </cell>
          <cell r="C80">
            <v>7206</v>
          </cell>
          <cell r="D80" t="str">
            <v>ACCESS CENTER</v>
          </cell>
          <cell r="E80">
            <v>96020.285000000003</v>
          </cell>
          <cell r="F80">
            <v>169110.83382424072</v>
          </cell>
          <cell r="G80">
            <v>45136.051470000006</v>
          </cell>
          <cell r="H80">
            <v>51236.055932101292</v>
          </cell>
          <cell r="I80">
            <v>110438.1</v>
          </cell>
          <cell r="J80">
            <v>60626.944619314359</v>
          </cell>
          <cell r="K80">
            <v>2209.5</v>
          </cell>
          <cell r="L80">
            <v>5259.2337244537412</v>
          </cell>
          <cell r="M80">
            <v>238968</v>
          </cell>
          <cell r="N80">
            <v>197168.14977847732</v>
          </cell>
          <cell r="O80">
            <v>26520</v>
          </cell>
        </row>
        <row r="81">
          <cell r="A81">
            <v>23200</v>
          </cell>
          <cell r="B81" t="str">
            <v>TONY BELIZ</v>
          </cell>
          <cell r="C81">
            <v>7421</v>
          </cell>
          <cell r="D81" t="str">
            <v>AMERICAN INDIAN COUNSELING CTR</v>
          </cell>
          <cell r="E81">
            <v>83465.785000000003</v>
          </cell>
          <cell r="F81">
            <v>146999.86046849168</v>
          </cell>
          <cell r="G81">
            <v>110316.57374199999</v>
          </cell>
          <cell r="H81">
            <v>125225.53387816063</v>
          </cell>
          <cell r="I81">
            <v>269920.65999999997</v>
          </cell>
          <cell r="J81">
            <v>148177.71136436408</v>
          </cell>
          <cell r="K81">
            <v>10156.68</v>
          </cell>
          <cell r="L81">
            <v>24175.765550796485</v>
          </cell>
          <cell r="M81">
            <v>37280</v>
          </cell>
          <cell r="N81">
            <v>30759.04984659718</v>
          </cell>
          <cell r="O81">
            <v>38908</v>
          </cell>
        </row>
        <row r="82">
          <cell r="A82" t="str">
            <v>???</v>
          </cell>
          <cell r="B82" t="str">
            <v>TONY BELIZ</v>
          </cell>
          <cell r="C82">
            <v>7175</v>
          </cell>
          <cell r="D82" t="str">
            <v>CONTINUING CARE - METRO UNIT</v>
          </cell>
          <cell r="F82">
            <v>0</v>
          </cell>
          <cell r="H82">
            <v>0</v>
          </cell>
          <cell r="J82">
            <v>0</v>
          </cell>
          <cell r="N82">
            <v>0</v>
          </cell>
          <cell r="O82">
            <v>0</v>
          </cell>
        </row>
        <row r="83">
          <cell r="A83">
            <v>20483</v>
          </cell>
          <cell r="B83" t="str">
            <v>TONY BELIZ</v>
          </cell>
          <cell r="C83">
            <v>7057</v>
          </cell>
          <cell r="D83" t="str">
            <v>DOWNTOWN MENTAL HEALTH CENTER</v>
          </cell>
          <cell r="E83">
            <v>803439.85</v>
          </cell>
          <cell r="F83">
            <v>1415017.4930341321</v>
          </cell>
          <cell r="G83">
            <v>4171.7235099999998</v>
          </cell>
          <cell r="H83">
            <v>4735.5196595716279</v>
          </cell>
          <cell r="I83">
            <v>10207.299999999999</v>
          </cell>
          <cell r="J83">
            <v>5603.477530061884</v>
          </cell>
          <cell r="M83">
            <v>27453</v>
          </cell>
          <cell r="N83">
            <v>22650.970907688636</v>
          </cell>
          <cell r="O83">
            <v>140751</v>
          </cell>
        </row>
        <row r="84">
          <cell r="A84">
            <v>21532</v>
          </cell>
          <cell r="B84" t="str">
            <v>TONY BELIZ</v>
          </cell>
          <cell r="C84">
            <v>7379</v>
          </cell>
          <cell r="D84" t="str">
            <v>EMERGENCY OUTREACH BUREAU</v>
          </cell>
          <cell r="E84">
            <v>493586.97</v>
          </cell>
          <cell r="F84">
            <v>869304.89803774771</v>
          </cell>
          <cell r="G84">
            <v>276833.16161100002</v>
          </cell>
          <cell r="H84">
            <v>314246.34832289262</v>
          </cell>
          <cell r="I84">
            <v>677350.53</v>
          </cell>
          <cell r="J84">
            <v>371843.53108368604</v>
          </cell>
          <cell r="K84">
            <v>5564.7</v>
          </cell>
          <cell r="L84">
            <v>13245.556870996939</v>
          </cell>
          <cell r="M84">
            <v>48466</v>
          </cell>
          <cell r="N84">
            <v>39988.414964194708</v>
          </cell>
          <cell r="O84">
            <v>145365</v>
          </cell>
        </row>
        <row r="85">
          <cell r="A85">
            <v>21532</v>
          </cell>
          <cell r="B85" t="str">
            <v>TONY BELIZ</v>
          </cell>
          <cell r="C85">
            <v>1600</v>
          </cell>
          <cell r="D85" t="str">
            <v xml:space="preserve">EOB ADMINISTRATION 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</row>
        <row r="86">
          <cell r="A86">
            <v>23017</v>
          </cell>
          <cell r="B86" t="str">
            <v>TONY BELIZ</v>
          </cell>
          <cell r="C86">
            <v>7588</v>
          </cell>
          <cell r="D86" t="str">
            <v>EOB CRISIS  HOMELESS RIO HONDO</v>
          </cell>
          <cell r="E86">
            <v>939106.82</v>
          </cell>
          <cell r="F86">
            <v>1653954.0304450367</v>
          </cell>
          <cell r="G86">
            <v>97380.59751800001</v>
          </cell>
          <cell r="H86">
            <v>110541.29855487982</v>
          </cell>
          <cell r="I86">
            <v>238269.14</v>
          </cell>
          <cell r="J86">
            <v>130802.05069873223</v>
          </cell>
          <cell r="K86">
            <v>5755.66</v>
          </cell>
          <cell r="L86">
            <v>13700.095577501437</v>
          </cell>
          <cell r="M86">
            <v>65536</v>
          </cell>
          <cell r="N86">
            <v>54072.561447065258</v>
          </cell>
          <cell r="O86">
            <v>184720</v>
          </cell>
        </row>
        <row r="87">
          <cell r="L87">
            <v>0</v>
          </cell>
        </row>
        <row r="88">
          <cell r="A88" t="str">
            <v>a</v>
          </cell>
          <cell r="B88" t="str">
            <v>TONY BELIZ</v>
          </cell>
          <cell r="C88">
            <v>7478</v>
          </cell>
          <cell r="D88" t="str">
            <v>EOB CRISIS &amp; HMLS-ANTELOPE</v>
          </cell>
          <cell r="E88">
            <v>135671.31</v>
          </cell>
          <cell r="F88">
            <v>238944.18101474128</v>
          </cell>
          <cell r="G88">
            <v>155952.70644499999</v>
          </cell>
          <cell r="H88">
            <v>177029.25554951277</v>
          </cell>
          <cell r="I88">
            <v>381582.35</v>
          </cell>
          <cell r="J88">
            <v>209476.36731488339</v>
          </cell>
          <cell r="L88">
            <v>0</v>
          </cell>
          <cell r="M88">
            <v>26249</v>
          </cell>
          <cell r="N88">
            <v>21657.572409424069</v>
          </cell>
          <cell r="O88">
            <v>56831</v>
          </cell>
        </row>
        <row r="89">
          <cell r="A89" t="str">
            <v>b</v>
          </cell>
          <cell r="B89" t="str">
            <v>TONY BELIZ</v>
          </cell>
          <cell r="C89">
            <v>7475</v>
          </cell>
          <cell r="D89" t="str">
            <v>EOB CRISIS &amp; HMLS-EDELMAN</v>
          </cell>
          <cell r="E89">
            <v>121196.06</v>
          </cell>
          <cell r="F89">
            <v>213450.38460167774</v>
          </cell>
          <cell r="G89">
            <v>56032.741390999996</v>
          </cell>
          <cell r="H89">
            <v>63605.401412802014</v>
          </cell>
          <cell r="I89">
            <v>137099.93</v>
          </cell>
          <cell r="J89">
            <v>75263.426873713644</v>
          </cell>
          <cell r="L89">
            <v>0</v>
          </cell>
          <cell r="M89">
            <v>40492</v>
          </cell>
          <cell r="N89">
            <v>33409.21261771494</v>
          </cell>
          <cell r="O89">
            <v>33031</v>
          </cell>
        </row>
        <row r="90">
          <cell r="A90" t="str">
            <v>c</v>
          </cell>
          <cell r="B90" t="str">
            <v>TONY BELIZ</v>
          </cell>
          <cell r="C90">
            <v>7476</v>
          </cell>
          <cell r="D90" t="str">
            <v>EOB CRISIS &amp; HMLS-LATINO</v>
          </cell>
          <cell r="E90">
            <v>98186.05</v>
          </cell>
          <cell r="F90">
            <v>172925.17706449828</v>
          </cell>
          <cell r="G90">
            <v>66709.240099999995</v>
          </cell>
          <cell r="H90">
            <v>75724.797487509903</v>
          </cell>
          <cell r="I90">
            <v>163223</v>
          </cell>
          <cell r="J90">
            <v>89604.147315087335</v>
          </cell>
          <cell r="K90">
            <v>1585.65</v>
          </cell>
          <cell r="L90">
            <v>3774.2946165105573</v>
          </cell>
          <cell r="M90">
            <v>85760</v>
          </cell>
          <cell r="N90">
            <v>70759.015956120551</v>
          </cell>
          <cell r="O90">
            <v>31437</v>
          </cell>
        </row>
        <row r="91">
          <cell r="A91" t="str">
            <v>d</v>
          </cell>
          <cell r="B91" t="str">
            <v>TONY BELIZ</v>
          </cell>
          <cell r="C91">
            <v>7477</v>
          </cell>
          <cell r="D91" t="str">
            <v>LAC/EOB CRISIS &amp; HMLS-SAN FERN</v>
          </cell>
          <cell r="E91">
            <v>438522.40500000003</v>
          </cell>
          <cell r="F91">
            <v>772325.23898633895</v>
          </cell>
          <cell r="G91">
            <v>190881.11575900001</v>
          </cell>
          <cell r="H91">
            <v>216678.13654258984</v>
          </cell>
          <cell r="I91">
            <v>467044.57</v>
          </cell>
          <cell r="J91">
            <v>256392.36169529799</v>
          </cell>
          <cell r="K91">
            <v>7643.1</v>
          </cell>
          <cell r="L91">
            <v>18192.735586952884</v>
          </cell>
          <cell r="M91">
            <v>35986</v>
          </cell>
          <cell r="N91">
            <v>29691.393985505525</v>
          </cell>
          <cell r="O91">
            <v>117655</v>
          </cell>
        </row>
        <row r="92">
          <cell r="A92">
            <v>21533</v>
          </cell>
          <cell r="D92" t="str">
            <v>Total</v>
          </cell>
          <cell r="F92">
            <v>1397644.9816672562</v>
          </cell>
          <cell r="H92">
            <v>533037.59099241451</v>
          </cell>
          <cell r="J92">
            <v>630736.30319898226</v>
          </cell>
          <cell r="L92">
            <v>21967.030203463441</v>
          </cell>
          <cell r="N92">
            <v>155517.19496876508</v>
          </cell>
          <cell r="O92">
            <v>238954</v>
          </cell>
        </row>
        <row r="93">
          <cell r="A93">
            <v>20477</v>
          </cell>
          <cell r="B93" t="str">
            <v>TONY BELIZ</v>
          </cell>
          <cell r="C93">
            <v>1909</v>
          </cell>
          <cell r="D93" t="str">
            <v>HOLLYWOOD MENTAL HEALTH CENTER</v>
          </cell>
          <cell r="E93">
            <v>1103634.3700000001</v>
          </cell>
          <cell r="F93">
            <v>1943719.7936643346</v>
          </cell>
          <cell r="G93">
            <v>20687.646078999998</v>
          </cell>
          <cell r="H93">
            <v>23483.52053594376</v>
          </cell>
          <cell r="I93">
            <v>50618.17</v>
          </cell>
          <cell r="J93">
            <v>27787.738011800629</v>
          </cell>
          <cell r="M93">
            <v>77597</v>
          </cell>
          <cell r="N93">
            <v>64023.873147703896</v>
          </cell>
          <cell r="O93">
            <v>196526</v>
          </cell>
        </row>
        <row r="94">
          <cell r="A94">
            <v>21378</v>
          </cell>
          <cell r="B94" t="str">
            <v>TONY BELIZ</v>
          </cell>
          <cell r="C94">
            <v>7461</v>
          </cell>
          <cell r="D94" t="str">
            <v>HOPE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>
            <v>20928</v>
          </cell>
          <cell r="B95" t="str">
            <v>TONY BELIZ</v>
          </cell>
          <cell r="C95">
            <v>7213</v>
          </cell>
          <cell r="D95" t="str">
            <v>INTENSIVE CASE MGMT PROGRAM</v>
          </cell>
          <cell r="E95">
            <v>4508.7250000000004</v>
          </cell>
          <cell r="F95">
            <v>7940.7621445218547</v>
          </cell>
          <cell r="G95">
            <v>772.14873599999999</v>
          </cell>
          <cell r="H95">
            <v>876.50236423299839</v>
          </cell>
          <cell r="I95">
            <v>1889.28</v>
          </cell>
          <cell r="J95">
            <v>1037.1536084954216</v>
          </cell>
          <cell r="M95">
            <v>252937</v>
          </cell>
          <cell r="N95">
            <v>208693.71757105016</v>
          </cell>
          <cell r="O95">
            <v>949</v>
          </cell>
        </row>
        <row r="97">
          <cell r="A97" t="str">
            <v>???</v>
          </cell>
          <cell r="B97" t="str">
            <v>TONY BELIZ</v>
          </cell>
          <cell r="C97">
            <v>6849</v>
          </cell>
          <cell r="D97" t="str">
            <v>LA CENTRAL CONTINUING CARE SRV</v>
          </cell>
          <cell r="F97">
            <v>0</v>
          </cell>
          <cell r="H97">
            <v>0</v>
          </cell>
          <cell r="J97">
            <v>0</v>
          </cell>
          <cell r="N97">
            <v>0</v>
          </cell>
          <cell r="O97">
            <v>0</v>
          </cell>
        </row>
        <row r="98">
          <cell r="A98">
            <v>18634</v>
          </cell>
          <cell r="B98" t="str">
            <v>TONY BELIZ</v>
          </cell>
          <cell r="C98">
            <v>7267</v>
          </cell>
          <cell r="D98" t="str">
            <v xml:space="preserve">LATINO MENTAL HEALTH CENTER </v>
          </cell>
          <cell r="F98">
            <v>0</v>
          </cell>
          <cell r="H98">
            <v>0</v>
          </cell>
          <cell r="J98">
            <v>0</v>
          </cell>
          <cell r="N98">
            <v>0</v>
          </cell>
          <cell r="O98">
            <v>0</v>
          </cell>
        </row>
        <row r="99">
          <cell r="A99">
            <v>18632</v>
          </cell>
          <cell r="B99" t="str">
            <v>TONY BELIZ</v>
          </cell>
          <cell r="C99">
            <v>7259</v>
          </cell>
          <cell r="D99" t="str">
            <v>LONG BEACH MET</v>
          </cell>
          <cell r="E99">
            <v>96559.08</v>
          </cell>
          <cell r="F99">
            <v>170059.75906134382</v>
          </cell>
          <cell r="G99">
            <v>14072.358400000001</v>
          </cell>
          <cell r="H99">
            <v>15974.196204517384</v>
          </cell>
          <cell r="I99">
            <v>34432</v>
          </cell>
          <cell r="J99">
            <v>18902.054246969405</v>
          </cell>
          <cell r="M99">
            <v>37890</v>
          </cell>
          <cell r="N99">
            <v>31262.349750202982</v>
          </cell>
          <cell r="O99">
            <v>19806</v>
          </cell>
        </row>
        <row r="100">
          <cell r="A100">
            <v>20981</v>
          </cell>
          <cell r="B100" t="str">
            <v>TONY BELIZ</v>
          </cell>
          <cell r="C100">
            <v>7217</v>
          </cell>
          <cell r="D100" t="str">
            <v>M.E.T.</v>
          </cell>
          <cell r="E100">
            <v>95684.425000000003</v>
          </cell>
          <cell r="F100">
            <v>168519.31751445043</v>
          </cell>
          <cell r="G100">
            <v>17635.03717</v>
          </cell>
          <cell r="H100">
            <v>20018.36052068834</v>
          </cell>
          <cell r="I100">
            <v>43149.1</v>
          </cell>
          <cell r="J100">
            <v>23687.460179713857</v>
          </cell>
          <cell r="M100">
            <v>10827</v>
          </cell>
          <cell r="N100">
            <v>8933.1607480983821</v>
          </cell>
          <cell r="O100">
            <v>20412</v>
          </cell>
        </row>
        <row r="101">
          <cell r="A101">
            <v>20679</v>
          </cell>
          <cell r="B101" t="str">
            <v>TONY BELIZ</v>
          </cell>
          <cell r="C101">
            <v>7072</v>
          </cell>
          <cell r="D101" t="str">
            <v>MENTAL HEALTH COURT PROGRAM*</v>
          </cell>
          <cell r="F101">
            <v>0</v>
          </cell>
          <cell r="H101">
            <v>0</v>
          </cell>
          <cell r="J101">
            <v>0</v>
          </cell>
          <cell r="M101">
            <v>94688</v>
          </cell>
          <cell r="N101">
            <v>78125.346348567429</v>
          </cell>
          <cell r="O101">
            <v>0</v>
          </cell>
        </row>
        <row r="102">
          <cell r="A102">
            <v>20481</v>
          </cell>
          <cell r="B102" t="str">
            <v>TONY BELIZ</v>
          </cell>
          <cell r="C102">
            <v>1914</v>
          </cell>
          <cell r="D102" t="str">
            <v>NORTHEAST MENTAL HEALTH CENTER</v>
          </cell>
          <cell r="E102">
            <v>919199.33499999996</v>
          </cell>
          <cell r="F102">
            <v>1618892.9869614274</v>
          </cell>
          <cell r="G102">
            <v>12046.775808</v>
          </cell>
          <cell r="H102">
            <v>13674.862089131091</v>
          </cell>
          <cell r="I102">
            <v>29475.84</v>
          </cell>
          <cell r="J102">
            <v>16181.282721160276</v>
          </cell>
          <cell r="M102">
            <v>86600</v>
          </cell>
          <cell r="N102">
            <v>71452.084675840015</v>
          </cell>
          <cell r="O102">
            <v>162580</v>
          </cell>
        </row>
        <row r="105">
          <cell r="A105" t="str">
            <v>a</v>
          </cell>
          <cell r="B105" t="str">
            <v>TONY BELIZ</v>
          </cell>
          <cell r="C105">
            <v>6857</v>
          </cell>
          <cell r="D105" t="str">
            <v>ROYBAL FAMILY MHS</v>
          </cell>
          <cell r="E105">
            <v>14596.24</v>
          </cell>
          <cell r="F105">
            <v>25706.883884990915</v>
          </cell>
          <cell r="G105">
            <v>387617.16963000002</v>
          </cell>
          <cell r="H105">
            <v>440002.48884432315</v>
          </cell>
          <cell r="I105">
            <v>948414.9</v>
          </cell>
          <cell r="J105">
            <v>520649.10224308964</v>
          </cell>
          <cell r="K105">
            <v>83248</v>
          </cell>
          <cell r="L105">
            <v>198153.74025495592</v>
          </cell>
          <cell r="M105">
            <v>39868</v>
          </cell>
          <cell r="N105">
            <v>32894.361568780478</v>
          </cell>
          <cell r="O105">
            <v>92337</v>
          </cell>
        </row>
        <row r="106">
          <cell r="A106" t="str">
            <v>b</v>
          </cell>
          <cell r="B106" t="str">
            <v>TONY BELIZ</v>
          </cell>
          <cell r="C106">
            <v>7584</v>
          </cell>
          <cell r="D106" t="str">
            <v>ROYBAL SCHOOL BASED PROGRAM</v>
          </cell>
          <cell r="F106">
            <v>0</v>
          </cell>
          <cell r="G106">
            <v>72834.766220999998</v>
          </cell>
          <cell r="H106">
            <v>82678.17042837746</v>
          </cell>
          <cell r="I106">
            <v>178210.83</v>
          </cell>
          <cell r="J106">
            <v>97831.98118196569</v>
          </cell>
          <cell r="K106">
            <v>24780.63</v>
          </cell>
          <cell r="L106">
            <v>58984.894776741407</v>
          </cell>
          <cell r="M106">
            <v>5483</v>
          </cell>
          <cell r="N106">
            <v>4523.9235597878851</v>
          </cell>
          <cell r="O106">
            <v>17668</v>
          </cell>
        </row>
        <row r="107">
          <cell r="A107">
            <v>20488</v>
          </cell>
          <cell r="D107" t="str">
            <v>Total</v>
          </cell>
          <cell r="F107">
            <v>25706.883884990915</v>
          </cell>
          <cell r="H107">
            <v>522680.65927270061</v>
          </cell>
          <cell r="J107">
            <v>618481.08342505537</v>
          </cell>
          <cell r="L107">
            <v>257138.63503169734</v>
          </cell>
          <cell r="N107">
            <v>37418.285128568365</v>
          </cell>
          <cell r="O107">
            <v>110005</v>
          </cell>
        </row>
        <row r="108">
          <cell r="A108">
            <v>23036</v>
          </cell>
          <cell r="B108" t="str">
            <v>TONY BELIZ</v>
          </cell>
          <cell r="C108">
            <v>7468</v>
          </cell>
          <cell r="D108" t="str">
            <v>SAN ANTONIO MENTAL HEALTH CTR</v>
          </cell>
          <cell r="E108">
            <v>12982.19</v>
          </cell>
          <cell r="F108">
            <v>22864.220573441533</v>
          </cell>
          <cell r="G108">
            <v>248600.92988000001</v>
          </cell>
          <cell r="H108">
            <v>282198.6135976034</v>
          </cell>
          <cell r="I108">
            <v>608272.4</v>
          </cell>
          <cell r="J108">
            <v>333921.87214609294</v>
          </cell>
          <cell r="K108">
            <v>64468.74</v>
          </cell>
          <cell r="L108">
            <v>153453.80021771436</v>
          </cell>
          <cell r="M108">
            <v>36166</v>
          </cell>
          <cell r="N108">
            <v>29839.908711159696</v>
          </cell>
          <cell r="O108">
            <v>60815</v>
          </cell>
        </row>
        <row r="109">
          <cell r="A109">
            <v>20450</v>
          </cell>
          <cell r="B109" t="str">
            <v>TONY BELIZ</v>
          </cell>
          <cell r="C109">
            <v>7216</v>
          </cell>
          <cell r="D109" t="str">
            <v>SMART</v>
          </cell>
          <cell r="E109">
            <v>494916.2</v>
          </cell>
          <cell r="F109">
            <v>871645.93663854129</v>
          </cell>
          <cell r="G109">
            <v>104775.62757900001</v>
          </cell>
          <cell r="H109">
            <v>118935.7451554381</v>
          </cell>
          <cell r="I109">
            <v>256363.17</v>
          </cell>
          <cell r="J109">
            <v>140735.08789106179</v>
          </cell>
          <cell r="K109">
            <v>1074.1500000000001</v>
          </cell>
          <cell r="L109">
            <v>2556.7802240877968</v>
          </cell>
          <cell r="M109">
            <v>49481</v>
          </cell>
          <cell r="N109">
            <v>40825.873000522392</v>
          </cell>
          <cell r="O109">
            <v>108562</v>
          </cell>
        </row>
        <row r="110">
          <cell r="A110">
            <v>23061</v>
          </cell>
          <cell r="B110" t="str">
            <v>ADMIN DEPUTY</v>
          </cell>
          <cell r="C110">
            <v>600</v>
          </cell>
          <cell r="D110" t="str">
            <v xml:space="preserve">DMH CONTRACTS </v>
          </cell>
          <cell r="F110">
            <v>0</v>
          </cell>
          <cell r="H110">
            <v>0</v>
          </cell>
          <cell r="J110">
            <v>0</v>
          </cell>
          <cell r="N110">
            <v>0</v>
          </cell>
          <cell r="O110">
            <v>0</v>
          </cell>
        </row>
        <row r="111">
          <cell r="A111">
            <v>20540</v>
          </cell>
          <cell r="B111" t="str">
            <v>ADMIN DEPUTY</v>
          </cell>
          <cell r="C111">
            <v>1300</v>
          </cell>
          <cell r="D111" t="str">
            <v xml:space="preserve">DMH ADMINISTRATIVE SUPPORT </v>
          </cell>
          <cell r="F111">
            <v>0</v>
          </cell>
          <cell r="H111">
            <v>0</v>
          </cell>
          <cell r="J111">
            <v>0</v>
          </cell>
          <cell r="N111">
            <v>0</v>
          </cell>
          <cell r="O111">
            <v>0</v>
          </cell>
        </row>
        <row r="112">
          <cell r="A112" t="str">
            <v>???</v>
          </cell>
          <cell r="B112" t="str">
            <v>DENNIS MURATA</v>
          </cell>
          <cell r="C112">
            <v>1500</v>
          </cell>
          <cell r="D112" t="str">
            <v xml:space="preserve">COMMUNITY PROGRAM ADMIN </v>
          </cell>
          <cell r="F112">
            <v>0</v>
          </cell>
          <cell r="H112">
            <v>0</v>
          </cell>
          <cell r="J112">
            <v>0</v>
          </cell>
          <cell r="N112">
            <v>0</v>
          </cell>
          <cell r="O112">
            <v>0</v>
          </cell>
        </row>
        <row r="113">
          <cell r="A113">
            <v>20502</v>
          </cell>
          <cell r="B113" t="str">
            <v>SHILA SHIMA</v>
          </cell>
          <cell r="C113">
            <v>1200</v>
          </cell>
          <cell r="D113" t="str">
            <v xml:space="preserve">DMH CHIEF DEPUTY DIRECTOR </v>
          </cell>
          <cell r="F113">
            <v>0</v>
          </cell>
          <cell r="H113">
            <v>0</v>
          </cell>
          <cell r="J113">
            <v>0</v>
          </cell>
          <cell r="M113">
            <v>4707</v>
          </cell>
          <cell r="N113">
            <v>3883.6600758565701</v>
          </cell>
          <cell r="O113">
            <v>0</v>
          </cell>
        </row>
        <row r="114">
          <cell r="A114">
            <v>20560</v>
          </cell>
          <cell r="B114" t="str">
            <v>DENNIS MURATA</v>
          </cell>
          <cell r="C114">
            <v>1400</v>
          </cell>
          <cell r="D114" t="str">
            <v>BUREAU OF STDARD,PRATCS &amp; COND</v>
          </cell>
          <cell r="F114">
            <v>0</v>
          </cell>
          <cell r="H114">
            <v>0</v>
          </cell>
          <cell r="J114">
            <v>0</v>
          </cell>
          <cell r="M114">
            <v>203384</v>
          </cell>
          <cell r="N114">
            <v>167808.43868026612</v>
          </cell>
          <cell r="O114">
            <v>0</v>
          </cell>
        </row>
        <row r="115">
          <cell r="A115">
            <v>20565</v>
          </cell>
          <cell r="B115" t="str">
            <v>Jeremy Cortez</v>
          </cell>
          <cell r="C115">
            <v>500</v>
          </cell>
          <cell r="D115" t="str">
            <v xml:space="preserve">DMH FINANCE </v>
          </cell>
          <cell r="F115">
            <v>0</v>
          </cell>
          <cell r="H115">
            <v>0</v>
          </cell>
          <cell r="J115">
            <v>0</v>
          </cell>
          <cell r="M115">
            <v>41314</v>
          </cell>
          <cell r="N115">
            <v>34087.429864868987</v>
          </cell>
          <cell r="O115">
            <v>0</v>
          </cell>
        </row>
        <row r="116">
          <cell r="A116">
            <v>20528</v>
          </cell>
          <cell r="B116" t="str">
            <v>ROD SHANER</v>
          </cell>
          <cell r="C116">
            <v>1100</v>
          </cell>
          <cell r="D116" t="str">
            <v xml:space="preserve">DMH MEDICAL DIRECTOR </v>
          </cell>
          <cell r="F116">
            <v>0</v>
          </cell>
          <cell r="H116">
            <v>0</v>
          </cell>
          <cell r="J116">
            <v>0</v>
          </cell>
          <cell r="M116">
            <v>82314</v>
          </cell>
          <cell r="N116">
            <v>67915.784041652369</v>
          </cell>
          <cell r="O116">
            <v>0</v>
          </cell>
        </row>
        <row r="117">
          <cell r="A117">
            <v>20525</v>
          </cell>
          <cell r="B117" t="str">
            <v>MARV SOUTHARD</v>
          </cell>
          <cell r="C117">
            <v>1000</v>
          </cell>
          <cell r="D117" t="str">
            <v xml:space="preserve">DMH EXECUTIVE OFFICE </v>
          </cell>
          <cell r="F117">
            <v>0</v>
          </cell>
          <cell r="H117">
            <v>0</v>
          </cell>
          <cell r="J117">
            <v>0</v>
          </cell>
          <cell r="M117">
            <v>14244</v>
          </cell>
          <cell r="N117">
            <v>11752.465290100059</v>
          </cell>
          <cell r="O117">
            <v>0</v>
          </cell>
        </row>
      </sheetData>
      <sheetData sheetId="9"/>
      <sheetData sheetId="10">
        <row r="4">
          <cell r="B4">
            <v>-280</v>
          </cell>
          <cell r="C4">
            <v>202.02855220051873</v>
          </cell>
        </row>
        <row r="5">
          <cell r="A5">
            <v>20459</v>
          </cell>
          <cell r="B5">
            <v>-280</v>
          </cell>
          <cell r="C5">
            <v>202.02855220051873</v>
          </cell>
        </row>
        <row r="6">
          <cell r="B6">
            <v>-201.26</v>
          </cell>
          <cell r="C6">
            <v>145.21523719955854</v>
          </cell>
        </row>
        <row r="7">
          <cell r="A7">
            <v>20464</v>
          </cell>
          <cell r="B7">
            <v>-201.26</v>
          </cell>
          <cell r="C7">
            <v>145.21523719955854</v>
          </cell>
        </row>
        <row r="8">
          <cell r="B8">
            <v>-29.85</v>
          </cell>
          <cell r="C8">
            <v>21.537686725662443</v>
          </cell>
        </row>
        <row r="9">
          <cell r="B9">
            <v>-29.85</v>
          </cell>
          <cell r="C9">
            <v>21.537686725662443</v>
          </cell>
        </row>
        <row r="10">
          <cell r="A10">
            <v>20469</v>
          </cell>
          <cell r="B10">
            <v>-59.7</v>
          </cell>
          <cell r="C10">
            <v>43.075373451324886</v>
          </cell>
        </row>
        <row r="11">
          <cell r="B11">
            <v>-27.94</v>
          </cell>
          <cell r="C11">
            <v>20.159563387437476</v>
          </cell>
        </row>
        <row r="12">
          <cell r="B12">
            <v>-27.94</v>
          </cell>
          <cell r="C12">
            <v>20.159563387437476</v>
          </cell>
        </row>
        <row r="13">
          <cell r="A13">
            <v>20477</v>
          </cell>
          <cell r="B13">
            <v>-55.88</v>
          </cell>
          <cell r="C13">
            <v>40.319126774874952</v>
          </cell>
        </row>
        <row r="14">
          <cell r="B14">
            <v>-153.30000000000001</v>
          </cell>
          <cell r="C14">
            <v>110.61063232978401</v>
          </cell>
        </row>
        <row r="15">
          <cell r="B15">
            <v>-473.28</v>
          </cell>
          <cell r="C15">
            <v>341.48597566236248</v>
          </cell>
        </row>
        <row r="16">
          <cell r="B16">
            <v>-87904.84</v>
          </cell>
          <cell r="C16">
            <v>63426.026987922305</v>
          </cell>
        </row>
        <row r="17">
          <cell r="A17">
            <v>20492</v>
          </cell>
          <cell r="B17">
            <v>-88531.42</v>
          </cell>
          <cell r="C17">
            <v>63878.123595914454</v>
          </cell>
        </row>
        <row r="18">
          <cell r="B18">
            <v>-55.74</v>
          </cell>
          <cell r="C18">
            <v>40.218112498774694</v>
          </cell>
        </row>
        <row r="19">
          <cell r="B19">
            <v>-27.94</v>
          </cell>
          <cell r="C19">
            <v>20.159563387437476</v>
          </cell>
        </row>
        <row r="20">
          <cell r="B20">
            <v>-27.87</v>
          </cell>
          <cell r="C20">
            <v>20.109056249387347</v>
          </cell>
        </row>
        <row r="21">
          <cell r="A21">
            <v>20499</v>
          </cell>
          <cell r="B21">
            <v>-111.55000000000001</v>
          </cell>
          <cell r="C21">
            <v>80.486732135599524</v>
          </cell>
        </row>
        <row r="22">
          <cell r="B22">
            <v>-121.49</v>
          </cell>
          <cell r="C22">
            <v>87.658745738717926</v>
          </cell>
        </row>
        <row r="23">
          <cell r="B23">
            <v>-50</v>
          </cell>
          <cell r="C23">
            <v>36.076527178664058</v>
          </cell>
        </row>
        <row r="24">
          <cell r="B24">
            <v>-824.97</v>
          </cell>
          <cell r="C24">
            <v>595.24105253164976</v>
          </cell>
        </row>
        <row r="25">
          <cell r="B25">
            <v>-4039.62</v>
          </cell>
          <cell r="C25">
            <v>2914.7092144294979</v>
          </cell>
        </row>
        <row r="26">
          <cell r="B26">
            <v>-1180.99</v>
          </cell>
          <cell r="C26">
            <v>852.12035665460928</v>
          </cell>
        </row>
        <row r="27">
          <cell r="A27">
            <v>20511</v>
          </cell>
          <cell r="B27">
            <v>-6217.07</v>
          </cell>
          <cell r="C27">
            <v>4485.8058965331393</v>
          </cell>
        </row>
        <row r="28">
          <cell r="B28">
            <v>-27.87</v>
          </cell>
          <cell r="C28">
            <v>20.109056249387347</v>
          </cell>
        </row>
        <row r="29">
          <cell r="B29">
            <v>-27.87</v>
          </cell>
          <cell r="C29">
            <v>20.109056249387347</v>
          </cell>
        </row>
        <row r="30">
          <cell r="B30">
            <v>-27.94</v>
          </cell>
          <cell r="C30">
            <v>20.159563387437476</v>
          </cell>
        </row>
        <row r="31">
          <cell r="B31">
            <v>-27.87</v>
          </cell>
          <cell r="C31">
            <v>20.109056249387347</v>
          </cell>
        </row>
        <row r="32">
          <cell r="B32">
            <v>-195.58</v>
          </cell>
          <cell r="C32">
            <v>141.11694371206232</v>
          </cell>
        </row>
        <row r="33">
          <cell r="B33">
            <v>-27.94</v>
          </cell>
          <cell r="C33">
            <v>20.159563387437476</v>
          </cell>
        </row>
        <row r="34">
          <cell r="B34">
            <v>-27.94</v>
          </cell>
          <cell r="C34">
            <v>20.159563387437476</v>
          </cell>
        </row>
        <row r="35">
          <cell r="B35">
            <v>-169.93</v>
          </cell>
          <cell r="C35">
            <v>122.60968526940768</v>
          </cell>
        </row>
        <row r="36">
          <cell r="B36">
            <v>-527.73</v>
          </cell>
          <cell r="C36">
            <v>380.77331375992765</v>
          </cell>
        </row>
        <row r="37">
          <cell r="B37">
            <v>-27.87</v>
          </cell>
          <cell r="C37">
            <v>20.109056249387347</v>
          </cell>
        </row>
        <row r="38">
          <cell r="A38">
            <v>20564</v>
          </cell>
          <cell r="B38">
            <v>-1088.54</v>
          </cell>
          <cell r="C38">
            <v>785.41485790125944</v>
          </cell>
        </row>
        <row r="39">
          <cell r="B39">
            <v>-41.38</v>
          </cell>
          <cell r="C39">
            <v>29.856933893062376</v>
          </cell>
        </row>
        <row r="40">
          <cell r="B40">
            <v>-83.47</v>
          </cell>
          <cell r="C40">
            <v>60.226154472061772</v>
          </cell>
        </row>
        <row r="41">
          <cell r="A41">
            <v>23001</v>
          </cell>
          <cell r="B41">
            <v>-124.85</v>
          </cell>
          <cell r="C41">
            <v>90.083088365124155</v>
          </cell>
        </row>
        <row r="42">
          <cell r="B42">
            <v>-55.73</v>
          </cell>
          <cell r="C42">
            <v>40.210897193338951</v>
          </cell>
        </row>
        <row r="43">
          <cell r="B43">
            <v>-83.82</v>
          </cell>
          <cell r="C43">
            <v>60.478690162312418</v>
          </cell>
        </row>
        <row r="44">
          <cell r="B44">
            <v>-27.94</v>
          </cell>
          <cell r="C44">
            <v>20.159563387437476</v>
          </cell>
        </row>
        <row r="45">
          <cell r="B45">
            <v>-27.87</v>
          </cell>
          <cell r="C45">
            <v>20.109056249387347</v>
          </cell>
        </row>
        <row r="46">
          <cell r="B46">
            <v>-76.8</v>
          </cell>
          <cell r="C46">
            <v>55.413545746427992</v>
          </cell>
        </row>
        <row r="47">
          <cell r="A47">
            <v>23005</v>
          </cell>
          <cell r="B47">
            <v>-272.15999999999997</v>
          </cell>
          <cell r="C47">
            <v>196.37175273890418</v>
          </cell>
        </row>
        <row r="48">
          <cell r="B48">
            <v>-5.97</v>
          </cell>
          <cell r="C48">
            <v>4.3075373451324888</v>
          </cell>
        </row>
        <row r="49">
          <cell r="B49">
            <v>-5.97</v>
          </cell>
          <cell r="C49">
            <v>4.3075373451324888</v>
          </cell>
        </row>
        <row r="50">
          <cell r="A50">
            <v>23007</v>
          </cell>
          <cell r="B50">
            <v>-11.94</v>
          </cell>
          <cell r="C50">
            <v>8.6150746902649775</v>
          </cell>
        </row>
        <row r="51">
          <cell r="B51">
            <v>-27.87</v>
          </cell>
          <cell r="C51">
            <v>20.109056249387347</v>
          </cell>
        </row>
        <row r="52">
          <cell r="B52">
            <v>-27.87</v>
          </cell>
          <cell r="C52">
            <v>20.109056249387347</v>
          </cell>
        </row>
        <row r="53">
          <cell r="A53">
            <v>23017</v>
          </cell>
          <cell r="B53">
            <v>-55.74</v>
          </cell>
          <cell r="C53">
            <v>40.218112498774694</v>
          </cell>
        </row>
        <row r="54">
          <cell r="B54">
            <v>-5.88</v>
          </cell>
          <cell r="C54">
            <v>4.2425995962108933</v>
          </cell>
        </row>
        <row r="55">
          <cell r="A55">
            <v>23164</v>
          </cell>
          <cell r="B55">
            <v>-5.88</v>
          </cell>
          <cell r="C55">
            <v>4.2425995962108933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A15">
            <v>20657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Print - LAC"/>
      <sheetName val="Print - MH"/>
      <sheetName val="Input Data"/>
      <sheetName val="clinics"/>
      <sheetName val="ALLOCATION"/>
      <sheetName val="sdmc allocatted"/>
      <sheetName val="ENCUMB"/>
      <sheetName val="LEAD MANAGERS"/>
      <sheetName val="Lead Manager Revised"/>
      <sheetName val="look up table"/>
      <sheetName val="Print_-_LAC"/>
      <sheetName val="Print_-_MH"/>
      <sheetName val="Input_Data"/>
      <sheetName val="sdmc_allocatted"/>
      <sheetName val="LEAD_MANAGERS"/>
      <sheetName val="Lead_Manager_Revised"/>
      <sheetName val="Print_-_LAC1"/>
      <sheetName val="Print_-_MH1"/>
      <sheetName val="Input_Data1"/>
      <sheetName val="sdmc_allocatted1"/>
      <sheetName val="LEAD_MANAGERS1"/>
      <sheetName val="Lead_Manager_Revised1"/>
      <sheetName val="look_up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Print - LAC"/>
      <sheetName val="Print - MH"/>
      <sheetName val="Input Data"/>
      <sheetName val="clinics"/>
      <sheetName val="ALLOCATION"/>
      <sheetName val="sdmc allocatted"/>
      <sheetName val="ENCUMB"/>
      <sheetName val="LEAD MANAGERS"/>
      <sheetName val="Lead Manager Revised"/>
      <sheetName val="look up table"/>
      <sheetName val="Print_-_LAC"/>
      <sheetName val="Print_-_MH"/>
      <sheetName val="Input_Data"/>
      <sheetName val="sdmc_allocatted"/>
      <sheetName val="LEAD_MANAGERS"/>
      <sheetName val="Lead_Manager_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PHYS_15"/>
      <sheetName val="MH1968"/>
      <sheetName val="MH1969_INST"/>
      <sheetName val="MH1969"/>
      <sheetName val="MH1992_INST"/>
      <sheetName val="MH1960_HOSP_15"/>
      <sheetName val="MH1979"/>
      <sheetName val="MH1979_Rev"/>
      <sheetName val="MH1991"/>
      <sheetName val="MH1992"/>
      <sheetName val="Crosschecks"/>
      <sheetName val="#REF"/>
    </sheetNames>
    <sheetDataSet>
      <sheetData sheetId="0">
        <row r="3">
          <cell r="B3">
            <v>20212022</v>
          </cell>
        </row>
        <row r="4">
          <cell r="B4" t="str">
            <v>2021 - 2022</v>
          </cell>
        </row>
        <row r="5">
          <cell r="B5">
            <v>5</v>
          </cell>
        </row>
        <row r="6">
          <cell r="B6" t="str">
            <v>OFF</v>
          </cell>
        </row>
        <row r="11">
          <cell r="B11" t="str">
            <v>07/01/21 - 06/30/22</v>
          </cell>
        </row>
        <row r="12">
          <cell r="B12" t="str">
            <v>(Rev. 03/2022)</v>
          </cell>
        </row>
        <row r="22">
          <cell r="B22">
            <v>0.5</v>
          </cell>
        </row>
        <row r="23">
          <cell r="B23">
            <v>0.75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/>
        </row>
        <row r="11">
          <cell r="B11">
            <v>1</v>
          </cell>
        </row>
        <row r="12">
          <cell r="B12">
            <v>1</v>
          </cell>
        </row>
        <row r="21">
          <cell r="B21">
            <v>1</v>
          </cell>
        </row>
      </sheetData>
      <sheetData sheetId="7">
        <row r="15">
          <cell r="F15">
            <v>693</v>
          </cell>
        </row>
      </sheetData>
      <sheetData sheetId="8">
        <row r="1">
          <cell r="M1" t="str">
            <v>Department of Mental Health</v>
          </cell>
        </row>
      </sheetData>
      <sheetData sheetId="9">
        <row r="20">
          <cell r="AB2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L11">
            <v>0</v>
          </cell>
        </row>
      </sheetData>
      <sheetData sheetId="18"/>
      <sheetData sheetId="19"/>
      <sheetData sheetId="20">
        <row r="30">
          <cell r="E30">
            <v>0</v>
          </cell>
        </row>
      </sheetData>
      <sheetData sheetId="21"/>
      <sheetData sheetId="22">
        <row r="188">
          <cell r="F188">
            <v>0</v>
          </cell>
        </row>
      </sheetData>
      <sheetData sheetId="23"/>
      <sheetData sheetId="24"/>
      <sheetData sheetId="25"/>
      <sheetData sheetId="26"/>
      <sheetData sheetId="27"/>
      <sheetData sheetId="28">
        <row r="5">
          <cell r="D5">
            <v>1</v>
          </cell>
        </row>
      </sheetData>
      <sheetData sheetId="29">
        <row r="5">
          <cell r="D5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7">
          <cell r="I7" t="str">
            <v>COSTS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29">
          <cell r="K29">
            <v>0</v>
          </cell>
        </row>
      </sheetData>
      <sheetData sheetId="49"/>
      <sheetData sheetId="50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Medi-Cal"/>
      <sheetName val="Non Medi-Cal"/>
      <sheetName val="HOME"/>
      <sheetName val="Print-LAC Forms"/>
      <sheetName val="Check List"/>
      <sheetName val="MH1900_INFO"/>
      <sheetName val="MH1901_Schedule_A"/>
      <sheetName val="MH1901_Schedule_B"/>
      <sheetName val="LAC102"/>
      <sheetName val="LAC102_S"/>
      <sheetName val="LAC101"/>
      <sheetName val="MH1961"/>
      <sheetName val="MH1962"/>
      <sheetName val="MH1901_Schedule_C"/>
      <sheetName val="LAC103"/>
      <sheetName val="MH1960"/>
      <sheetName val="MH1964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8"/>
      <sheetName val="MH1979"/>
      <sheetName val="MH1979_HIDDEN"/>
      <sheetName val="MH1969_INST"/>
      <sheetName val="MH1969"/>
      <sheetName val="MH1991"/>
      <sheetName val="MH1963"/>
      <sheetName val="MH1992_INST"/>
      <sheetName val="MH1992"/>
      <sheetName val="MH1992_HIDDEN"/>
      <sheetName val="MH1960_Support"/>
      <sheetName val="Input Data"/>
      <sheetName val="Disclos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COUNTY OF LOS ANGELES - DEPARTMENT OF MENTAL HEALTH</v>
          </cell>
        </row>
        <row r="3">
          <cell r="A3" t="str">
            <v>SUPPLEMENTAL DETAIL TO MH 1960</v>
          </cell>
        </row>
        <row r="4">
          <cell r="A4" t="str">
            <v>LAC 101 - (08/07)</v>
          </cell>
        </row>
        <row r="6">
          <cell r="C6" t="str">
            <v>Entity Name</v>
          </cell>
          <cell r="D6" t="str">
            <v>Vermont Mental Health Center</v>
          </cell>
          <cell r="H6" t="str">
            <v>Fiscal Year</v>
          </cell>
          <cell r="I6" t="str">
            <v>2009 - 2010</v>
          </cell>
        </row>
        <row r="8">
          <cell r="C8" t="str">
            <v>Entity Number</v>
          </cell>
          <cell r="D8" t="str">
            <v>00055</v>
          </cell>
        </row>
        <row r="11">
          <cell r="G11" t="str">
            <v>1</v>
          </cell>
          <cell r="H11" t="str">
            <v>2</v>
          </cell>
          <cell r="I11" t="str">
            <v>3</v>
          </cell>
        </row>
        <row r="12">
          <cell r="G12" t="str">
            <v>Salaries</v>
          </cell>
          <cell r="I12" t="str">
            <v>Total</v>
          </cell>
        </row>
        <row r="13">
          <cell r="B13" t="str">
            <v>DESCRIPTION</v>
          </cell>
          <cell r="G13" t="str">
            <v xml:space="preserve">and </v>
          </cell>
          <cell r="H13" t="str">
            <v>Other</v>
          </cell>
          <cell r="I13" t="str">
            <v>Cost</v>
          </cell>
        </row>
        <row r="14">
          <cell r="G14" t="str">
            <v>Benefits</v>
          </cell>
        </row>
        <row r="15">
          <cell r="B15" t="str">
            <v xml:space="preserve"> Distribution of Total Cost </v>
          </cell>
        </row>
        <row r="16">
          <cell r="A16">
            <v>1</v>
          </cell>
          <cell r="B16" t="str">
            <v xml:space="preserve"> Total Agency Costs per Trial Balance</v>
          </cell>
          <cell r="G16">
            <v>4500000</v>
          </cell>
          <cell r="H16">
            <v>500000</v>
          </cell>
          <cell r="I16">
            <v>5000000</v>
          </cell>
        </row>
        <row r="17">
          <cell r="A17">
            <v>2</v>
          </cell>
          <cell r="B17" t="str">
            <v xml:space="preserve"> LESS: Administrative Costs</v>
          </cell>
          <cell r="G17">
            <v>450000</v>
          </cell>
          <cell r="H17">
            <v>50000</v>
          </cell>
          <cell r="I17">
            <v>500000</v>
          </cell>
        </row>
        <row r="18">
          <cell r="A18">
            <v>3</v>
          </cell>
          <cell r="B18" t="str">
            <v xml:space="preserve"> LESS: Unallowable Costs </v>
          </cell>
          <cell r="G18">
            <v>0</v>
          </cell>
          <cell r="H18">
            <v>0</v>
          </cell>
          <cell r="I18">
            <v>0</v>
          </cell>
        </row>
        <row r="19">
          <cell r="A19">
            <v>4</v>
          </cell>
          <cell r="B19" t="str">
            <v xml:space="preserve"> LESS: Program Costs Not Applicable to DMH Contracted Svcs.</v>
          </cell>
          <cell r="G19">
            <v>50000</v>
          </cell>
          <cell r="H19">
            <v>20000</v>
          </cell>
          <cell r="I19">
            <v>70000</v>
          </cell>
        </row>
        <row r="20">
          <cell r="A20">
            <v>5</v>
          </cell>
          <cell r="B20" t="str">
            <v>Program Costs Applicable to DMH Contracted Services (Line 1 minus Lines 2 thru 4)</v>
          </cell>
          <cell r="G20">
            <v>4000000</v>
          </cell>
          <cell r="H20">
            <v>430000</v>
          </cell>
          <cell r="I20">
            <v>4430000</v>
          </cell>
        </row>
        <row r="21">
          <cell r="B21" t="str">
            <v xml:space="preserve"> Allocation of Administrative Costs </v>
          </cell>
        </row>
        <row r="22">
          <cell r="A22">
            <v>6</v>
          </cell>
          <cell r="B22" t="str">
            <v>Total Administrative Costs (From Line 2)</v>
          </cell>
          <cell r="G22">
            <v>450000</v>
          </cell>
          <cell r="H22">
            <v>50000</v>
          </cell>
          <cell r="I22">
            <v>500000</v>
          </cell>
        </row>
        <row r="23">
          <cell r="A23">
            <v>7</v>
          </cell>
          <cell r="B23" t="str">
            <v xml:space="preserve">LESS: Unallowable Admin. Costs 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8</v>
          </cell>
          <cell r="B24" t="str">
            <v>LESS: Admin. Costs Not Applicable to DMH Contracted Services</v>
          </cell>
          <cell r="G24">
            <v>4500</v>
          </cell>
          <cell r="H24">
            <v>2500</v>
          </cell>
          <cell r="I24">
            <v>7000</v>
          </cell>
        </row>
        <row r="25">
          <cell r="A25">
            <v>9</v>
          </cell>
          <cell r="B25" t="str">
            <v>Total Admin. Costs Applicable to DMH Contracted Srvcs. (Line 6 minus Lines 7 &amp; 8)</v>
          </cell>
          <cell r="G25">
            <v>445500</v>
          </cell>
          <cell r="H25">
            <v>47500</v>
          </cell>
          <cell r="I25">
            <v>493000</v>
          </cell>
        </row>
        <row r="26">
          <cell r="B26" t="str">
            <v xml:space="preserve"> Total Cost after Administrative Cost Allocation</v>
          </cell>
        </row>
        <row r="27">
          <cell r="A27">
            <v>10</v>
          </cell>
          <cell r="B27" t="str">
            <v xml:space="preserve"> Total Agency Costs Per Trial Balance (From Line 1)</v>
          </cell>
          <cell r="G27">
            <v>4500000</v>
          </cell>
          <cell r="H27">
            <v>500000</v>
          </cell>
          <cell r="I27">
            <v>5000000</v>
          </cell>
        </row>
        <row r="28">
          <cell r="A28">
            <v>11</v>
          </cell>
          <cell r="B28" t="str">
            <v>LESS: Unallowable Costs (Line 3 plus Line 7)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12</v>
          </cell>
          <cell r="B29" t="str">
            <v>LESS: Costs Not Applicable to DMH Contracted Svcs. (Line 4 plus Line 8)</v>
          </cell>
          <cell r="G29">
            <v>54500</v>
          </cell>
          <cell r="H29">
            <v>22500</v>
          </cell>
          <cell r="I29">
            <v>77000</v>
          </cell>
        </row>
        <row r="30">
          <cell r="A30">
            <v>13</v>
          </cell>
          <cell r="B30" t="str">
            <v>Total Costs Applicable to DMH Contracted Services (Line 10 minus Lines 11 &amp; 12)</v>
          </cell>
          <cell r="G30">
            <v>4445500</v>
          </cell>
          <cell r="H30">
            <v>477500</v>
          </cell>
          <cell r="I30">
            <v>4923000</v>
          </cell>
        </row>
        <row r="31">
          <cell r="A31">
            <v>14</v>
          </cell>
          <cell r="B31" t="str">
            <v>PLUS: SD/MC Adjustments (from MH 1961)</v>
          </cell>
          <cell r="G31">
            <v>0</v>
          </cell>
          <cell r="H31">
            <v>-3000</v>
          </cell>
          <cell r="I31">
            <v>-3000</v>
          </cell>
        </row>
        <row r="32">
          <cell r="A32">
            <v>15</v>
          </cell>
          <cell r="B32" t="str">
            <v>Allowable Costs to be Allocated to Modes/SFC (Line 13 plus Line 14)</v>
          </cell>
          <cell r="G32">
            <v>4445500</v>
          </cell>
          <cell r="H32">
            <v>474500</v>
          </cell>
          <cell r="I32">
            <v>4920000</v>
          </cell>
        </row>
        <row r="34">
          <cell r="A34" t="str">
            <v>NEXT STEP:  Complete MH 1901 Schedule B.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-UP"/>
      <sheetName val="Sheet1"/>
      <sheetName val="Input Data"/>
    </sheetNames>
    <sheetDataSet>
      <sheetData sheetId="0" refreshError="1">
        <row r="1">
          <cell r="A1" t="str">
            <v xml:space="preserve"> </v>
          </cell>
          <cell r="B1" t="str">
            <v xml:space="preserve"> </v>
          </cell>
        </row>
        <row r="2">
          <cell r="A2" t="str">
            <v>0577A</v>
          </cell>
          <cell r="B2" t="str">
            <v>Account Clerk I</v>
          </cell>
          <cell r="C2">
            <v>2457</v>
          </cell>
        </row>
        <row r="3">
          <cell r="A3" t="str">
            <v>0646A</v>
          </cell>
          <cell r="B3" t="str">
            <v>Accountant I</v>
          </cell>
          <cell r="C3">
            <v>3378.82</v>
          </cell>
        </row>
        <row r="4">
          <cell r="A4" t="str">
            <v>0672A</v>
          </cell>
          <cell r="B4" t="str">
            <v>Health Care Financial Analyst</v>
          </cell>
          <cell r="C4">
            <v>4796.2700000000004</v>
          </cell>
        </row>
        <row r="5">
          <cell r="A5" t="str">
            <v>0752A</v>
          </cell>
          <cell r="B5" t="str">
            <v>Fiscal Officer I</v>
          </cell>
          <cell r="C5">
            <v>6229.18</v>
          </cell>
        </row>
        <row r="6">
          <cell r="A6" t="str">
            <v>0887A</v>
          </cell>
          <cell r="B6" t="str">
            <v>Administrative Assistant I</v>
          </cell>
          <cell r="C6">
            <v>3210</v>
          </cell>
        </row>
        <row r="7">
          <cell r="A7" t="str">
            <v>0888A</v>
          </cell>
          <cell r="B7" t="str">
            <v>Administrative Assistant II</v>
          </cell>
          <cell r="C7">
            <v>4126.7299999999996</v>
          </cell>
        </row>
        <row r="8">
          <cell r="A8" t="str">
            <v>0889A</v>
          </cell>
          <cell r="B8" t="str">
            <v>Administrative Assistant III</v>
          </cell>
          <cell r="C8">
            <v>4599.45</v>
          </cell>
        </row>
        <row r="9">
          <cell r="A9" t="str">
            <v>0889N</v>
          </cell>
          <cell r="B9" t="str">
            <v>Administrative Assistant III</v>
          </cell>
          <cell r="C9">
            <v>4410.3599999999997</v>
          </cell>
        </row>
        <row r="10">
          <cell r="A10" t="str">
            <v>0896A</v>
          </cell>
          <cell r="B10" t="str">
            <v>Supervising Admin. Assist. I</v>
          </cell>
          <cell r="C10">
            <v>4599.45</v>
          </cell>
        </row>
        <row r="11">
          <cell r="A11" t="str">
            <v>0896N</v>
          </cell>
          <cell r="B11" t="str">
            <v>Supervising Admin. Assist. I</v>
          </cell>
          <cell r="C11">
            <v>4599.45</v>
          </cell>
        </row>
        <row r="12">
          <cell r="A12" t="str">
            <v>0907A</v>
          </cell>
          <cell r="B12" t="str">
            <v>Staff Assistant I</v>
          </cell>
          <cell r="C12">
            <v>3289.09</v>
          </cell>
        </row>
        <row r="13">
          <cell r="A13" t="str">
            <v>0907U</v>
          </cell>
          <cell r="B13" t="str">
            <v>Staff Assistant I</v>
          </cell>
          <cell r="C13">
            <v>3155.91</v>
          </cell>
        </row>
        <row r="14">
          <cell r="A14" t="str">
            <v>0913A</v>
          </cell>
          <cell r="B14" t="str">
            <v>Staff Assistant II</v>
          </cell>
          <cell r="C14">
            <v>3967.45</v>
          </cell>
        </row>
        <row r="15">
          <cell r="A15" t="str">
            <v>0915A</v>
          </cell>
          <cell r="B15" t="str">
            <v>Staff Assistant III</v>
          </cell>
          <cell r="C15">
            <v>4509.6400000000003</v>
          </cell>
        </row>
        <row r="16">
          <cell r="A16" t="str">
            <v>1003A</v>
          </cell>
          <cell r="B16" t="str">
            <v>Administrative Services Mgr II</v>
          </cell>
          <cell r="C16">
            <v>6092.27</v>
          </cell>
        </row>
        <row r="17">
          <cell r="A17" t="str">
            <v>1004A</v>
          </cell>
          <cell r="B17" t="str">
            <v>Administrative Services Mgr III</v>
          </cell>
          <cell r="C17">
            <v>7532</v>
          </cell>
        </row>
        <row r="18">
          <cell r="A18" t="str">
            <v>1083A</v>
          </cell>
          <cell r="B18" t="str">
            <v>Project Administrator, ICSC</v>
          </cell>
          <cell r="C18">
            <v>8097</v>
          </cell>
        </row>
        <row r="19">
          <cell r="A19" t="str">
            <v>1136A</v>
          </cell>
          <cell r="B19" t="str">
            <v>Clerk</v>
          </cell>
          <cell r="C19">
            <v>1807.09</v>
          </cell>
        </row>
        <row r="20">
          <cell r="A20" t="str">
            <v>1138A</v>
          </cell>
          <cell r="B20" t="str">
            <v>Intermediate Clerk</v>
          </cell>
          <cell r="C20">
            <v>2421</v>
          </cell>
        </row>
        <row r="21">
          <cell r="A21" t="str">
            <v>1140A</v>
          </cell>
          <cell r="B21" t="str">
            <v>Senior Clerk</v>
          </cell>
          <cell r="C21">
            <v>2728.36</v>
          </cell>
        </row>
        <row r="22">
          <cell r="A22" t="str">
            <v>1174A</v>
          </cell>
          <cell r="B22" t="str">
            <v>Supervising Clerk</v>
          </cell>
          <cell r="C22">
            <v>2728.36</v>
          </cell>
        </row>
        <row r="23">
          <cell r="A23" t="str">
            <v>1176A</v>
          </cell>
          <cell r="B23" t="str">
            <v>Intermediate Spvg Clerk</v>
          </cell>
          <cell r="C23">
            <v>2934</v>
          </cell>
        </row>
        <row r="24">
          <cell r="A24" t="str">
            <v>1865A</v>
          </cell>
          <cell r="B24" t="str">
            <v>Training Coordinator, MH</v>
          </cell>
          <cell r="C24">
            <v>5770.45</v>
          </cell>
        </row>
        <row r="25">
          <cell r="A25" t="str">
            <v>2095A</v>
          </cell>
          <cell r="B25" t="str">
            <v>Secretary II</v>
          </cell>
          <cell r="C25">
            <v>2976.73</v>
          </cell>
        </row>
        <row r="26">
          <cell r="A26" t="str">
            <v>2096A</v>
          </cell>
          <cell r="B26" t="str">
            <v>Secretary III</v>
          </cell>
          <cell r="C26">
            <v>3140.45</v>
          </cell>
        </row>
        <row r="27">
          <cell r="A27" t="str">
            <v>2096N</v>
          </cell>
          <cell r="B27" t="str">
            <v>Secretary III</v>
          </cell>
          <cell r="C27">
            <v>3140.45</v>
          </cell>
        </row>
        <row r="28">
          <cell r="A28" t="str">
            <v>2101A</v>
          </cell>
          <cell r="B28" t="str">
            <v>Senior Secretary II</v>
          </cell>
          <cell r="C28">
            <v>3705.73</v>
          </cell>
        </row>
        <row r="29">
          <cell r="A29" t="str">
            <v>2102A</v>
          </cell>
          <cell r="B29" t="str">
            <v>Senior Secretary III</v>
          </cell>
          <cell r="C29">
            <v>3910.18</v>
          </cell>
        </row>
        <row r="30">
          <cell r="A30" t="str">
            <v>2109A</v>
          </cell>
          <cell r="B30" t="str">
            <v>Management Secretary III</v>
          </cell>
          <cell r="C30">
            <v>4356.2700000000004</v>
          </cell>
        </row>
        <row r="31">
          <cell r="A31" t="str">
            <v>2115A</v>
          </cell>
          <cell r="B31" t="str">
            <v>Senior Mgmt Secretary II</v>
          </cell>
          <cell r="C31">
            <v>4599.45</v>
          </cell>
        </row>
        <row r="32">
          <cell r="A32" t="str">
            <v>2170A</v>
          </cell>
          <cell r="B32" t="str">
            <v>Stenographer</v>
          </cell>
          <cell r="C32">
            <v>2517</v>
          </cell>
        </row>
        <row r="33">
          <cell r="A33" t="str">
            <v>2172A</v>
          </cell>
          <cell r="B33" t="str">
            <v>Intermediate Stenographer</v>
          </cell>
          <cell r="C33">
            <v>2794.73</v>
          </cell>
        </row>
        <row r="34">
          <cell r="A34" t="str">
            <v>2172N</v>
          </cell>
          <cell r="B34" t="str">
            <v>Intermediate Stenographer</v>
          </cell>
          <cell r="C34">
            <v>2715.09</v>
          </cell>
        </row>
        <row r="35">
          <cell r="A35" t="str">
            <v>2201A</v>
          </cell>
          <cell r="B35" t="str">
            <v>Transcriber Typist</v>
          </cell>
          <cell r="C35">
            <v>2695.18</v>
          </cell>
        </row>
        <row r="36">
          <cell r="A36" t="str">
            <v>2209A</v>
          </cell>
          <cell r="B36" t="str">
            <v>Medical Transcriber Typist</v>
          </cell>
          <cell r="C36">
            <v>2920</v>
          </cell>
        </row>
        <row r="37">
          <cell r="A37" t="str">
            <v>2212A</v>
          </cell>
          <cell r="B37" t="str">
            <v>Typist Clerk</v>
          </cell>
          <cell r="C37">
            <v>1928.82</v>
          </cell>
        </row>
        <row r="38">
          <cell r="A38" t="str">
            <v>2214A</v>
          </cell>
          <cell r="B38" t="str">
            <v>Intermediate Typist Clerk</v>
          </cell>
          <cell r="C38">
            <v>2481</v>
          </cell>
        </row>
        <row r="39">
          <cell r="A39" t="str">
            <v>2214N</v>
          </cell>
          <cell r="B39" t="str">
            <v>Intermediate Typist Clerk</v>
          </cell>
          <cell r="C39">
            <v>2481</v>
          </cell>
        </row>
        <row r="40">
          <cell r="A40" t="str">
            <v>2216A</v>
          </cell>
          <cell r="B40" t="str">
            <v>Senior Typist Clerk</v>
          </cell>
          <cell r="C40">
            <v>2794.73</v>
          </cell>
        </row>
        <row r="41">
          <cell r="A41" t="str">
            <v>2216N</v>
          </cell>
          <cell r="B41" t="str">
            <v>Senior Typist Clerk</v>
          </cell>
          <cell r="C41">
            <v>2794.73</v>
          </cell>
        </row>
        <row r="42">
          <cell r="A42" t="str">
            <v>2219A</v>
          </cell>
          <cell r="B42" t="str">
            <v>Supervising Typist Clerk</v>
          </cell>
          <cell r="C42">
            <v>2794.73</v>
          </cell>
        </row>
        <row r="43">
          <cell r="A43" t="str">
            <v>2221A</v>
          </cell>
          <cell r="B43" t="str">
            <v>Intermediate Spvg Typist Clerk</v>
          </cell>
          <cell r="C43">
            <v>3095.18</v>
          </cell>
        </row>
        <row r="44">
          <cell r="A44" t="str">
            <v>2234A</v>
          </cell>
          <cell r="B44" t="str">
            <v>Word Processor I</v>
          </cell>
          <cell r="C44">
            <v>2721.73</v>
          </cell>
        </row>
        <row r="45">
          <cell r="A45" t="str">
            <v>2235A</v>
          </cell>
          <cell r="B45" t="str">
            <v>Word Processor II</v>
          </cell>
          <cell r="C45">
            <v>3028.27</v>
          </cell>
        </row>
        <row r="46">
          <cell r="A46" t="str">
            <v>2584A</v>
          </cell>
          <cell r="B46" t="str">
            <v>Systems Aid</v>
          </cell>
          <cell r="C46">
            <v>3125</v>
          </cell>
        </row>
        <row r="47">
          <cell r="A47" t="str">
            <v>2588A</v>
          </cell>
          <cell r="B47" t="str">
            <v>Data Systems Analyst Aid</v>
          </cell>
          <cell r="C47">
            <v>4026.55</v>
          </cell>
        </row>
        <row r="48">
          <cell r="A48" t="str">
            <v>2591A</v>
          </cell>
          <cell r="B48" t="str">
            <v>Data Systems Analyst II</v>
          </cell>
          <cell r="C48">
            <v>5165.09</v>
          </cell>
        </row>
        <row r="49">
          <cell r="A49" t="str">
            <v>2593A</v>
          </cell>
          <cell r="B49" t="str">
            <v>Data Systems Coordinator</v>
          </cell>
          <cell r="C49">
            <v>6290.64</v>
          </cell>
        </row>
        <row r="50">
          <cell r="A50" t="str">
            <v>4604A</v>
          </cell>
          <cell r="B50" t="str">
            <v>Programs Administrator, HS</v>
          </cell>
          <cell r="C50">
            <v>7885.5</v>
          </cell>
        </row>
        <row r="51">
          <cell r="A51" t="str">
            <v>4710A</v>
          </cell>
          <cell r="B51" t="str">
            <v>Deputy Director, Child &amp; Youth Services, MH</v>
          </cell>
          <cell r="C51">
            <v>10058.92</v>
          </cell>
        </row>
        <row r="52">
          <cell r="A52" t="str">
            <v>4712A</v>
          </cell>
          <cell r="B52" t="str">
            <v>Deputy Director, MH</v>
          </cell>
          <cell r="C52">
            <v>10058.92</v>
          </cell>
        </row>
        <row r="53">
          <cell r="A53" t="str">
            <v>4720A</v>
          </cell>
          <cell r="B53" t="str">
            <v>Division Chief, Prog. Development</v>
          </cell>
          <cell r="C53">
            <v>8905.5499999999993</v>
          </cell>
        </row>
        <row r="54">
          <cell r="A54" t="str">
            <v>4722A</v>
          </cell>
          <cell r="B54" t="str">
            <v>MH Clinical District Chief</v>
          </cell>
          <cell r="C54">
            <v>9589.18</v>
          </cell>
        </row>
        <row r="55">
          <cell r="A55" t="str">
            <v>4726A</v>
          </cell>
          <cell r="B55" t="str">
            <v>MH Clinical Program Head</v>
          </cell>
          <cell r="C55">
            <v>8290.64</v>
          </cell>
        </row>
        <row r="56">
          <cell r="A56" t="str">
            <v>4726N</v>
          </cell>
          <cell r="B56" t="str">
            <v>MH Clinical Program Head</v>
          </cell>
          <cell r="C56">
            <v>8290.64</v>
          </cell>
        </row>
        <row r="57">
          <cell r="A57" t="str">
            <v>4727A</v>
          </cell>
          <cell r="B57" t="str">
            <v>MH Analyst I</v>
          </cell>
          <cell r="C57">
            <v>5333</v>
          </cell>
        </row>
        <row r="58">
          <cell r="A58" t="str">
            <v>4729A</v>
          </cell>
          <cell r="B58" t="str">
            <v>MH Analyst II</v>
          </cell>
          <cell r="C58">
            <v>5943.91</v>
          </cell>
        </row>
        <row r="59">
          <cell r="A59" t="str">
            <v>4731A</v>
          </cell>
          <cell r="B59" t="str">
            <v>MH Analyst III</v>
          </cell>
          <cell r="C59">
            <v>6976.73</v>
          </cell>
        </row>
        <row r="60">
          <cell r="A60" t="str">
            <v>4735A</v>
          </cell>
          <cell r="B60" t="str">
            <v>MH Psychiatrist</v>
          </cell>
          <cell r="C60">
            <v>12225</v>
          </cell>
        </row>
        <row r="61">
          <cell r="A61" t="str">
            <v>4735F</v>
          </cell>
          <cell r="B61" t="str">
            <v>MH Psychiatrist</v>
          </cell>
          <cell r="C61">
            <v>11869</v>
          </cell>
        </row>
        <row r="62">
          <cell r="A62" t="str">
            <v>4735Q</v>
          </cell>
          <cell r="B62" t="str">
            <v>MH Psychiatrist</v>
          </cell>
          <cell r="C62">
            <v>11694</v>
          </cell>
        </row>
        <row r="63">
          <cell r="A63" t="str">
            <v>4735R</v>
          </cell>
          <cell r="B63" t="str">
            <v>MH Psychiatrist</v>
          </cell>
          <cell r="C63">
            <v>11694</v>
          </cell>
        </row>
        <row r="64">
          <cell r="A64" t="str">
            <v>4735U</v>
          </cell>
          <cell r="B64" t="str">
            <v>MH Psychiatrist</v>
          </cell>
          <cell r="C64">
            <v>11694</v>
          </cell>
        </row>
        <row r="65">
          <cell r="A65" t="str">
            <v>4735V</v>
          </cell>
          <cell r="B65" t="str">
            <v>MH Psychiatrist</v>
          </cell>
          <cell r="C65">
            <v>11694</v>
          </cell>
        </row>
        <row r="66">
          <cell r="A66" t="str">
            <v>4735Y</v>
          </cell>
          <cell r="B66" t="str">
            <v>MH Psychiatrist</v>
          </cell>
          <cell r="C66">
            <v>11694</v>
          </cell>
        </row>
        <row r="67">
          <cell r="A67" t="str">
            <v>4735Z</v>
          </cell>
          <cell r="B67" t="str">
            <v>MH Psychiatrist</v>
          </cell>
          <cell r="C67">
            <v>11694</v>
          </cell>
        </row>
        <row r="68">
          <cell r="A68" t="str">
            <v>4737A</v>
          </cell>
          <cell r="B68" t="str">
            <v>Supervising MH Psychiatrist</v>
          </cell>
          <cell r="C68">
            <v>13202</v>
          </cell>
        </row>
        <row r="69">
          <cell r="A69" t="str">
            <v>4739A</v>
          </cell>
          <cell r="B69" t="str">
            <v>Chief MH Psychiatrist</v>
          </cell>
          <cell r="C69">
            <v>14321</v>
          </cell>
        </row>
        <row r="70">
          <cell r="A70" t="str">
            <v>5064A</v>
          </cell>
          <cell r="B70" t="str">
            <v>Clinic Driver</v>
          </cell>
          <cell r="C70">
            <v>2701.82</v>
          </cell>
        </row>
        <row r="71">
          <cell r="A71" t="str">
            <v>5107A</v>
          </cell>
          <cell r="B71" t="str">
            <v>Nursing Assistant, Sheriff</v>
          </cell>
          <cell r="C71">
            <v>3403.55</v>
          </cell>
        </row>
        <row r="72">
          <cell r="A72" t="str">
            <v>5230A</v>
          </cell>
          <cell r="B72" t="str">
            <v>Public Health Nurse</v>
          </cell>
          <cell r="C72">
            <v>5320</v>
          </cell>
        </row>
        <row r="73">
          <cell r="A73" t="str">
            <v>5276A</v>
          </cell>
          <cell r="B73" t="str">
            <v>Assistant MH Counselor, RN</v>
          </cell>
          <cell r="C73">
            <v>5268</v>
          </cell>
        </row>
        <row r="74">
          <cell r="A74" t="str">
            <v>5276U</v>
          </cell>
          <cell r="B74" t="str">
            <v>Assistant MH Counselor, RN</v>
          </cell>
          <cell r="C74">
            <v>5051.2700000000004</v>
          </cell>
        </row>
        <row r="75">
          <cell r="A75" t="str">
            <v>5278A</v>
          </cell>
          <cell r="B75" t="str">
            <v>MH Counselor, RN</v>
          </cell>
          <cell r="C75">
            <v>5770.45</v>
          </cell>
        </row>
        <row r="76">
          <cell r="A76" t="str">
            <v>5278F</v>
          </cell>
          <cell r="B76" t="str">
            <v>MH Counselor, RN</v>
          </cell>
          <cell r="C76">
            <v>5533.45</v>
          </cell>
        </row>
        <row r="77">
          <cell r="A77" t="str">
            <v>5278N</v>
          </cell>
          <cell r="B77" t="str">
            <v>MH Counselor, RN</v>
          </cell>
          <cell r="C77">
            <v>5533.45</v>
          </cell>
        </row>
        <row r="78">
          <cell r="A78" t="str">
            <v>5278U</v>
          </cell>
          <cell r="B78" t="str">
            <v>MH Counselor, RN</v>
          </cell>
          <cell r="C78">
            <v>5533.45</v>
          </cell>
        </row>
        <row r="79">
          <cell r="A79" t="str">
            <v>5280A</v>
          </cell>
          <cell r="B79" t="str">
            <v>Senior MH Counselor, RN</v>
          </cell>
          <cell r="C79">
            <v>6244.55</v>
          </cell>
        </row>
        <row r="80">
          <cell r="A80" t="str">
            <v>5280F</v>
          </cell>
          <cell r="B80" t="str">
            <v>Senior MH Counselor, RN</v>
          </cell>
          <cell r="C80">
            <v>5987.91</v>
          </cell>
        </row>
        <row r="81">
          <cell r="A81" t="str">
            <v>5280N</v>
          </cell>
          <cell r="B81" t="str">
            <v>Senior MH Counselor, RN</v>
          </cell>
          <cell r="C81">
            <v>6244.55</v>
          </cell>
        </row>
        <row r="82">
          <cell r="A82" t="str">
            <v xml:space="preserve">5284A </v>
          </cell>
          <cell r="B82" t="str">
            <v>Principal MH Counselor, RN</v>
          </cell>
          <cell r="C82">
            <v>7221</v>
          </cell>
        </row>
        <row r="83">
          <cell r="A83" t="str">
            <v>5328A</v>
          </cell>
          <cell r="B83" t="str">
            <v>Clinical Nurse II</v>
          </cell>
          <cell r="C83">
            <v>4772.82</v>
          </cell>
        </row>
        <row r="84">
          <cell r="A84" t="str">
            <v>5336A</v>
          </cell>
          <cell r="B84" t="str">
            <v>Staff Nurse, Sheriff</v>
          </cell>
          <cell r="C84">
            <v>5203.2700000000004</v>
          </cell>
        </row>
        <row r="85">
          <cell r="A85" t="str">
            <v>5467J</v>
          </cell>
          <cell r="B85" t="str">
            <v>MH Consultant, MD</v>
          </cell>
          <cell r="C85">
            <v>299</v>
          </cell>
        </row>
        <row r="86">
          <cell r="A86" t="str">
            <v>5470A</v>
          </cell>
          <cell r="B86" t="str">
            <v>MH Consultant, MD</v>
          </cell>
          <cell r="C86">
            <v>11694</v>
          </cell>
        </row>
        <row r="87">
          <cell r="A87" t="str">
            <v>5470F</v>
          </cell>
          <cell r="B87" t="str">
            <v>MH Consultant, MD</v>
          </cell>
          <cell r="C87">
            <v>11694</v>
          </cell>
        </row>
        <row r="88">
          <cell r="A88" t="str">
            <v>5470J</v>
          </cell>
          <cell r="B88" t="str">
            <v>MH Consultant, MD</v>
          </cell>
          <cell r="C88">
            <v>289</v>
          </cell>
        </row>
        <row r="89">
          <cell r="A89" t="str">
            <v>5471F</v>
          </cell>
          <cell r="B89" t="str">
            <v>Consulting Specialist, MD (PH)</v>
          </cell>
          <cell r="C89">
            <v>289</v>
          </cell>
        </row>
        <row r="90">
          <cell r="A90" t="str">
            <v>5472J</v>
          </cell>
          <cell r="B90" t="str">
            <v>Consulting Specialist, MD</v>
          </cell>
          <cell r="C90">
            <v>299</v>
          </cell>
        </row>
        <row r="91">
          <cell r="A91" t="str">
            <v>5475F</v>
          </cell>
          <cell r="B91" t="str">
            <v>Physician, MD</v>
          </cell>
          <cell r="C91">
            <v>8246</v>
          </cell>
        </row>
        <row r="92">
          <cell r="A92" t="str">
            <v>5477A</v>
          </cell>
          <cell r="B92" t="str">
            <v>Physician Specialist, MD</v>
          </cell>
          <cell r="C92">
            <v>11694</v>
          </cell>
        </row>
        <row r="93">
          <cell r="A93" t="str">
            <v>5491A</v>
          </cell>
          <cell r="B93" t="str">
            <v>Deputy Director, M.D., MH</v>
          </cell>
          <cell r="C93">
            <v>12170</v>
          </cell>
        </row>
        <row r="94">
          <cell r="A94" t="str">
            <v>5492A</v>
          </cell>
          <cell r="B94" t="str">
            <v>MH Clinical District Chief, MD</v>
          </cell>
          <cell r="C94">
            <v>11844</v>
          </cell>
        </row>
        <row r="95">
          <cell r="A95" t="str">
            <v>5512A</v>
          </cell>
          <cell r="B95" t="str">
            <v>Pharmacist</v>
          </cell>
          <cell r="C95">
            <v>7457.09</v>
          </cell>
        </row>
        <row r="96">
          <cell r="A96" t="str">
            <v>5513A</v>
          </cell>
          <cell r="B96" t="str">
            <v>Clinical Pharmacist</v>
          </cell>
          <cell r="C96">
            <v>7873.09</v>
          </cell>
        </row>
        <row r="97">
          <cell r="A97" t="str">
            <v>5856A</v>
          </cell>
          <cell r="B97" t="str">
            <v>Occupational Therapist I</v>
          </cell>
          <cell r="C97">
            <v>5479.27</v>
          </cell>
        </row>
        <row r="98">
          <cell r="A98" t="str">
            <v>5857A</v>
          </cell>
          <cell r="B98" t="str">
            <v>Occupational Therapist II</v>
          </cell>
          <cell r="C98">
            <v>6107.18</v>
          </cell>
        </row>
        <row r="99">
          <cell r="A99" t="str">
            <v>5859A</v>
          </cell>
          <cell r="B99" t="str">
            <v>Occupational Therapy Spvr I</v>
          </cell>
          <cell r="C99">
            <v>6463.27</v>
          </cell>
        </row>
        <row r="100">
          <cell r="A100" t="str">
            <v>5869A</v>
          </cell>
          <cell r="B100" t="str">
            <v>Recreation Therapy Aide</v>
          </cell>
          <cell r="C100">
            <v>2611.09</v>
          </cell>
        </row>
        <row r="101">
          <cell r="A101" t="str">
            <v>5871A</v>
          </cell>
          <cell r="B101" t="str">
            <v>Recreation Therapist I</v>
          </cell>
          <cell r="C101">
            <v>3986.91</v>
          </cell>
        </row>
        <row r="102">
          <cell r="A102" t="str">
            <v>5872A</v>
          </cell>
          <cell r="B102" t="str">
            <v>Recreation Therapist II</v>
          </cell>
          <cell r="C102">
            <v>4443.09</v>
          </cell>
        </row>
        <row r="103">
          <cell r="A103" t="str">
            <v>5873A</v>
          </cell>
          <cell r="B103" t="str">
            <v>Recreation Therapy Supervisor</v>
          </cell>
          <cell r="C103">
            <v>4749.3599999999997</v>
          </cell>
        </row>
        <row r="104">
          <cell r="A104" t="str">
            <v>5884A</v>
          </cell>
          <cell r="B104" t="str">
            <v>Substance Abuse Counselor</v>
          </cell>
          <cell r="C104">
            <v>3057.91</v>
          </cell>
        </row>
        <row r="105">
          <cell r="A105" t="str">
            <v>5884U</v>
          </cell>
          <cell r="B105" t="str">
            <v>Substance Abuse Counselor</v>
          </cell>
          <cell r="C105">
            <v>2969.36</v>
          </cell>
        </row>
        <row r="106">
          <cell r="A106" t="str">
            <v>6022A</v>
          </cell>
          <cell r="B106" t="str">
            <v>Light Vehicle Driver</v>
          </cell>
          <cell r="C106">
            <v>2229.73</v>
          </cell>
        </row>
        <row r="107">
          <cell r="A107" t="str">
            <v>8103A</v>
          </cell>
          <cell r="B107" t="str">
            <v>Community Worker</v>
          </cell>
          <cell r="C107">
            <v>2843</v>
          </cell>
        </row>
        <row r="108">
          <cell r="A108" t="str">
            <v>8103F</v>
          </cell>
          <cell r="B108" t="str">
            <v>Community Worker</v>
          </cell>
          <cell r="C108">
            <v>2761.55</v>
          </cell>
        </row>
        <row r="109">
          <cell r="A109" t="str">
            <v>8103N</v>
          </cell>
          <cell r="B109" t="str">
            <v>Community Worker</v>
          </cell>
          <cell r="C109">
            <v>2843</v>
          </cell>
        </row>
        <row r="110">
          <cell r="A110" t="str">
            <v>8103Q</v>
          </cell>
          <cell r="B110" t="str">
            <v>Community Worker</v>
          </cell>
          <cell r="C110">
            <v>2761.55</v>
          </cell>
        </row>
        <row r="111">
          <cell r="A111" t="str">
            <v>8103S</v>
          </cell>
          <cell r="B111" t="str">
            <v>Community Worker</v>
          </cell>
          <cell r="C111">
            <v>2761.55</v>
          </cell>
        </row>
        <row r="112">
          <cell r="A112" t="str">
            <v>8103T</v>
          </cell>
          <cell r="B112" t="str">
            <v>Community Worker</v>
          </cell>
          <cell r="C112">
            <v>2761.55</v>
          </cell>
        </row>
        <row r="113">
          <cell r="A113" t="str">
            <v>8103U</v>
          </cell>
          <cell r="B113" t="str">
            <v>Community Worker</v>
          </cell>
          <cell r="C113">
            <v>2761.55</v>
          </cell>
        </row>
        <row r="114">
          <cell r="A114" t="str">
            <v>8104A</v>
          </cell>
          <cell r="B114" t="str">
            <v>Senior Community Worker I</v>
          </cell>
          <cell r="C114">
            <v>2941</v>
          </cell>
        </row>
        <row r="115">
          <cell r="A115" t="str">
            <v>8104N</v>
          </cell>
          <cell r="B115" t="str">
            <v>Senior Community Worker I</v>
          </cell>
          <cell r="C115">
            <v>2857</v>
          </cell>
        </row>
        <row r="116">
          <cell r="A116" t="str">
            <v>8105A</v>
          </cell>
          <cell r="B116" t="str">
            <v>Senior Community Worker II</v>
          </cell>
          <cell r="C116">
            <v>3265.36</v>
          </cell>
        </row>
        <row r="117">
          <cell r="A117" t="str">
            <v>8105F</v>
          </cell>
          <cell r="B117" t="str">
            <v>Senior Community Worker II</v>
          </cell>
          <cell r="C117">
            <v>3171.36</v>
          </cell>
        </row>
        <row r="118">
          <cell r="A118" t="str">
            <v>8108A</v>
          </cell>
          <cell r="B118" t="str">
            <v>Community Services Counselor</v>
          </cell>
          <cell r="C118">
            <v>3102.64</v>
          </cell>
        </row>
        <row r="119">
          <cell r="A119" t="str">
            <v>8109A</v>
          </cell>
          <cell r="B119" t="str">
            <v>Community Services Coordinator I</v>
          </cell>
          <cell r="C119">
            <v>4026.55</v>
          </cell>
        </row>
        <row r="120">
          <cell r="A120" t="str">
            <v>8110A</v>
          </cell>
          <cell r="B120" t="str">
            <v>Community Services Coordinator II</v>
          </cell>
          <cell r="C120">
            <v>4116.55</v>
          </cell>
        </row>
        <row r="121">
          <cell r="A121" t="str">
            <v>8148A</v>
          </cell>
          <cell r="B121" t="str">
            <v>MH Services Coordinator I</v>
          </cell>
          <cell r="C121">
            <v>4880</v>
          </cell>
        </row>
        <row r="122">
          <cell r="A122" t="str">
            <v>8148F</v>
          </cell>
          <cell r="B122" t="str">
            <v>MH Services Coordinator I</v>
          </cell>
          <cell r="C122">
            <v>4737.6400000000003</v>
          </cell>
        </row>
        <row r="123">
          <cell r="A123" t="str">
            <v>8149A</v>
          </cell>
          <cell r="B123" t="str">
            <v>MH Services Coordinator II</v>
          </cell>
          <cell r="C123">
            <v>4904</v>
          </cell>
        </row>
        <row r="124">
          <cell r="A124" t="str">
            <v>8149N</v>
          </cell>
          <cell r="B124" t="str">
            <v>MH Services Coordinator II</v>
          </cell>
          <cell r="C124">
            <v>4904</v>
          </cell>
        </row>
        <row r="125">
          <cell r="A125" t="str">
            <v>8161A</v>
          </cell>
          <cell r="B125" t="str">
            <v>Psychiatric Technician I</v>
          </cell>
          <cell r="C125">
            <v>2850</v>
          </cell>
        </row>
        <row r="126">
          <cell r="A126" t="str">
            <v>8162A</v>
          </cell>
          <cell r="B126" t="str">
            <v>Psychiatric Technician II</v>
          </cell>
          <cell r="C126">
            <v>3257.45</v>
          </cell>
        </row>
        <row r="127">
          <cell r="A127" t="str">
            <v>8162N</v>
          </cell>
          <cell r="B127" t="str">
            <v>Psychiatric Technician II</v>
          </cell>
          <cell r="C127">
            <v>3257.45</v>
          </cell>
        </row>
        <row r="128">
          <cell r="A128" t="str">
            <v>8162U</v>
          </cell>
          <cell r="B128" t="str">
            <v>Psychiatric Technician II</v>
          </cell>
          <cell r="C128">
            <v>3125</v>
          </cell>
        </row>
        <row r="129">
          <cell r="A129" t="str">
            <v>8163A</v>
          </cell>
          <cell r="B129" t="str">
            <v>Psychiatric Technician III</v>
          </cell>
          <cell r="C129">
            <v>3529.82</v>
          </cell>
        </row>
        <row r="130">
          <cell r="A130" t="str">
            <v>8163F</v>
          </cell>
          <cell r="B130" t="str">
            <v>Psychiatric Technician III</v>
          </cell>
          <cell r="C130">
            <v>3387</v>
          </cell>
        </row>
        <row r="131">
          <cell r="A131" t="str">
            <v>8163N</v>
          </cell>
          <cell r="B131" t="str">
            <v>Psychiatric Technician III</v>
          </cell>
          <cell r="C131">
            <v>3387</v>
          </cell>
        </row>
        <row r="132">
          <cell r="A132" t="str">
            <v>8242F</v>
          </cell>
          <cell r="B132" t="str">
            <v>Student Worker</v>
          </cell>
          <cell r="C132">
            <v>7.89</v>
          </cell>
        </row>
        <row r="133">
          <cell r="A133" t="str">
            <v>8243F</v>
          </cell>
          <cell r="B133" t="str">
            <v>Student Professional Worker</v>
          </cell>
          <cell r="C133">
            <v>9.5399999999999991</v>
          </cell>
        </row>
        <row r="134">
          <cell r="A134" t="str">
            <v>8245J</v>
          </cell>
          <cell r="B134" t="str">
            <v>Guest Instructor</v>
          </cell>
          <cell r="C134">
            <v>93.68</v>
          </cell>
        </row>
        <row r="135">
          <cell r="A135" t="str">
            <v>8593A</v>
          </cell>
          <cell r="B135" t="str">
            <v>Rehabilitation Counselor II</v>
          </cell>
          <cell r="C135">
            <v>3881.55</v>
          </cell>
        </row>
        <row r="136">
          <cell r="A136" t="str">
            <v>8693J</v>
          </cell>
          <cell r="B136" t="str">
            <v>Clinical Psychologist II</v>
          </cell>
          <cell r="C136">
            <v>154.58000000000001</v>
          </cell>
        </row>
        <row r="137">
          <cell r="A137" t="str">
            <v>8697A</v>
          </cell>
          <cell r="B137" t="str">
            <v>Clinical Psychologist II</v>
          </cell>
          <cell r="C137">
            <v>6657</v>
          </cell>
        </row>
        <row r="138">
          <cell r="A138" t="str">
            <v>8697N</v>
          </cell>
          <cell r="B138" t="str">
            <v>Clinical Psychologist II</v>
          </cell>
          <cell r="C138">
            <v>6657</v>
          </cell>
        </row>
        <row r="139">
          <cell r="A139" t="str">
            <v>8697U</v>
          </cell>
          <cell r="B139" t="str">
            <v>Clinical Psychologist II</v>
          </cell>
          <cell r="C139">
            <v>6122.09</v>
          </cell>
        </row>
        <row r="140">
          <cell r="A140" t="str">
            <v>8697Y</v>
          </cell>
          <cell r="B140" t="str">
            <v>Clinical Psychologist II</v>
          </cell>
          <cell r="C140">
            <v>6122.09</v>
          </cell>
        </row>
        <row r="141">
          <cell r="A141" t="str">
            <v>8697Z</v>
          </cell>
          <cell r="B141" t="str">
            <v>Clinical Psychologist II</v>
          </cell>
          <cell r="C141">
            <v>6122.09</v>
          </cell>
        </row>
        <row r="142">
          <cell r="A142" t="str">
            <v>8705J</v>
          </cell>
          <cell r="B142" t="str">
            <v>Assistant Beh. Sci. Consultant</v>
          </cell>
          <cell r="C142">
            <v>81.66</v>
          </cell>
        </row>
        <row r="143">
          <cell r="A143" t="str">
            <v>8706A</v>
          </cell>
          <cell r="B143" t="str">
            <v>Behavioral Sciences Consultant</v>
          </cell>
          <cell r="C143">
            <v>5216</v>
          </cell>
        </row>
        <row r="144">
          <cell r="A144" t="str">
            <v>8706U</v>
          </cell>
          <cell r="B144" t="str">
            <v>Behavioral Sciences Consultant</v>
          </cell>
          <cell r="C144">
            <v>5001.82</v>
          </cell>
        </row>
        <row r="145">
          <cell r="A145" t="str">
            <v>8706Z</v>
          </cell>
          <cell r="B145" t="str">
            <v>Behavioral Sciences Consultant</v>
          </cell>
          <cell r="C145">
            <v>5001.82</v>
          </cell>
        </row>
        <row r="146">
          <cell r="A146" t="str">
            <v>8707J</v>
          </cell>
          <cell r="B146" t="str">
            <v>Behavioral Sciences Consultant</v>
          </cell>
          <cell r="C146">
            <v>121.62</v>
          </cell>
        </row>
        <row r="147">
          <cell r="A147" t="str">
            <v>8709A</v>
          </cell>
          <cell r="B147" t="str">
            <v>MH Education Consultant</v>
          </cell>
          <cell r="C147">
            <v>6773.45</v>
          </cell>
        </row>
        <row r="148">
          <cell r="A148" t="str">
            <v>8711A</v>
          </cell>
          <cell r="B148" t="str">
            <v>Community MH Psychologist</v>
          </cell>
          <cell r="C148">
            <v>6608.45</v>
          </cell>
        </row>
        <row r="149">
          <cell r="A149" t="str">
            <v>8711U</v>
          </cell>
          <cell r="B149" t="str">
            <v>Community MH Psychologist</v>
          </cell>
          <cell r="C149">
            <v>6077.36</v>
          </cell>
        </row>
        <row r="150">
          <cell r="A150" t="str">
            <v>8712A</v>
          </cell>
          <cell r="B150" t="str">
            <v>Senior Community MH Psy</v>
          </cell>
          <cell r="C150">
            <v>6400.36</v>
          </cell>
        </row>
        <row r="151">
          <cell r="A151" t="str">
            <v>8972A</v>
          </cell>
          <cell r="B151" t="str">
            <v>Research Analyst II, Beh. Sci.</v>
          </cell>
          <cell r="C151">
            <v>4302.55</v>
          </cell>
        </row>
        <row r="152">
          <cell r="A152" t="str">
            <v>8972N</v>
          </cell>
          <cell r="B152" t="str">
            <v>Research Analyst II, Beh. Sci.</v>
          </cell>
          <cell r="C152">
            <v>4126.7299999999996</v>
          </cell>
        </row>
        <row r="153">
          <cell r="A153" t="str">
            <v>8973A</v>
          </cell>
          <cell r="B153" t="str">
            <v>Research Analyst III, Beh. Sci.</v>
          </cell>
          <cell r="C153">
            <v>5216</v>
          </cell>
        </row>
        <row r="154">
          <cell r="A154" t="str">
            <v>8974A</v>
          </cell>
          <cell r="B154" t="str">
            <v>Chief Research Analyst, Beh. Sci.</v>
          </cell>
          <cell r="C154">
            <v>5798.82</v>
          </cell>
        </row>
        <row r="155">
          <cell r="A155" t="str">
            <v>9001A</v>
          </cell>
          <cell r="B155" t="str">
            <v>Medical Case Worker I</v>
          </cell>
          <cell r="C155">
            <v>2741.64</v>
          </cell>
        </row>
        <row r="156">
          <cell r="A156" t="str">
            <v>9001F</v>
          </cell>
          <cell r="B156" t="str">
            <v>Medical Case Worker I</v>
          </cell>
          <cell r="C156">
            <v>2662</v>
          </cell>
        </row>
        <row r="157">
          <cell r="A157" t="str">
            <v>9002A</v>
          </cell>
          <cell r="B157" t="str">
            <v>Medical Case Worker II</v>
          </cell>
          <cell r="C157">
            <v>3678.18</v>
          </cell>
        </row>
        <row r="158">
          <cell r="A158" t="str">
            <v>9002F</v>
          </cell>
          <cell r="B158" t="str">
            <v>Medical Case Worker II</v>
          </cell>
          <cell r="C158">
            <v>16.93</v>
          </cell>
        </row>
        <row r="159">
          <cell r="A159" t="str">
            <v>9002N</v>
          </cell>
          <cell r="B159" t="str">
            <v>Medical Case Worker II</v>
          </cell>
          <cell r="C159">
            <v>3678.18</v>
          </cell>
        </row>
        <row r="160">
          <cell r="A160" t="str">
            <v>9002Y</v>
          </cell>
          <cell r="B160" t="str">
            <v>Medical Case Worker II</v>
          </cell>
          <cell r="C160">
            <v>3573</v>
          </cell>
        </row>
        <row r="161">
          <cell r="A161" t="str">
            <v>9030A</v>
          </cell>
          <cell r="B161" t="str">
            <v>MH Clinician</v>
          </cell>
          <cell r="C161">
            <v>4892</v>
          </cell>
        </row>
        <row r="162">
          <cell r="A162" t="str">
            <v>9034A</v>
          </cell>
          <cell r="B162" t="str">
            <v>Psychiatric Social Worker I</v>
          </cell>
          <cell r="C162">
            <v>4509.6400000000003</v>
          </cell>
        </row>
        <row r="163">
          <cell r="A163" t="str">
            <v>9034N</v>
          </cell>
          <cell r="B163" t="str">
            <v>Psychiatric Social Worker I</v>
          </cell>
          <cell r="C163">
            <v>4157.2700000000004</v>
          </cell>
        </row>
        <row r="164">
          <cell r="A164" t="str">
            <v>9034Q</v>
          </cell>
          <cell r="B164" t="str">
            <v>Psychiatric Social Worker I</v>
          </cell>
          <cell r="C164">
            <v>4157.2700000000004</v>
          </cell>
        </row>
        <row r="165">
          <cell r="A165" t="str">
            <v>9034S</v>
          </cell>
          <cell r="B165" t="str">
            <v>Psychiatric Social Worker I</v>
          </cell>
          <cell r="C165">
            <v>4157.2700000000004</v>
          </cell>
        </row>
        <row r="166">
          <cell r="A166" t="str">
            <v>9034U</v>
          </cell>
          <cell r="B166" t="str">
            <v>Psychiatric Social Worker I</v>
          </cell>
          <cell r="C166">
            <v>4157.2700000000004</v>
          </cell>
        </row>
        <row r="167">
          <cell r="A167" t="str">
            <v>9035A</v>
          </cell>
          <cell r="B167" t="str">
            <v>Psychiatric Social Worker II</v>
          </cell>
          <cell r="C167">
            <v>5165.09</v>
          </cell>
        </row>
        <row r="168">
          <cell r="A168" t="str">
            <v>9035F</v>
          </cell>
          <cell r="B168" t="str">
            <v>Psychiatric Social Worker II</v>
          </cell>
          <cell r="C168">
            <v>25.02</v>
          </cell>
        </row>
        <row r="169">
          <cell r="A169" t="str">
            <v>9035N</v>
          </cell>
          <cell r="B169" t="str">
            <v>Psychiatric Social Worker II</v>
          </cell>
          <cell r="C169">
            <v>5165.09</v>
          </cell>
        </row>
        <row r="170">
          <cell r="A170" t="str">
            <v>9035U</v>
          </cell>
          <cell r="B170" t="str">
            <v>Psychiatric Social Worker II</v>
          </cell>
          <cell r="C170">
            <v>4761.09</v>
          </cell>
        </row>
        <row r="171">
          <cell r="A171" t="str">
            <v>9035V</v>
          </cell>
          <cell r="B171" t="str">
            <v>Psychiatric Social Worker II</v>
          </cell>
          <cell r="C171">
            <v>4761.09</v>
          </cell>
        </row>
        <row r="172">
          <cell r="A172" t="str">
            <v>9035Y</v>
          </cell>
          <cell r="B172" t="str">
            <v>Psychiatric Social Worker II</v>
          </cell>
          <cell r="C172">
            <v>4761.09</v>
          </cell>
        </row>
        <row r="173">
          <cell r="A173" t="str">
            <v>9037A</v>
          </cell>
          <cell r="B173" t="str">
            <v>Psychiatric Social Work Consultant</v>
          </cell>
          <cell r="C173">
            <v>5076</v>
          </cell>
        </row>
        <row r="174">
          <cell r="A174" t="str">
            <v>9038A</v>
          </cell>
          <cell r="B174" t="str">
            <v>Supervising Psy Social Worker</v>
          </cell>
          <cell r="C174">
            <v>5770.45</v>
          </cell>
        </row>
        <row r="175">
          <cell r="A175" t="str">
            <v>9038N</v>
          </cell>
          <cell r="B175" t="str">
            <v>Supervising Psy Social Worker</v>
          </cell>
          <cell r="C175">
            <v>5770.45</v>
          </cell>
        </row>
        <row r="176">
          <cell r="A176" t="str">
            <v>9038U</v>
          </cell>
          <cell r="B176" t="str">
            <v>Supervising Psy Social Worker</v>
          </cell>
          <cell r="C176">
            <v>5320</v>
          </cell>
        </row>
        <row r="177">
          <cell r="A177" t="str">
            <v>9192A</v>
          </cell>
          <cell r="B177" t="str">
            <v>Patient Resources Worker</v>
          </cell>
          <cell r="C177">
            <v>2617.4499999999998</v>
          </cell>
        </row>
        <row r="178">
          <cell r="A178" t="str">
            <v>9193A</v>
          </cell>
          <cell r="B178" t="str">
            <v>Patient Financial Services Worker</v>
          </cell>
          <cell r="C178">
            <v>3241.64</v>
          </cell>
        </row>
        <row r="179">
          <cell r="A179" t="str">
            <v>9193F</v>
          </cell>
          <cell r="B179" t="str">
            <v>Patient Financial Services Worker</v>
          </cell>
          <cell r="C179">
            <v>3148.18</v>
          </cell>
        </row>
        <row r="180">
          <cell r="A180" t="str">
            <v>9193N</v>
          </cell>
          <cell r="B180" t="str">
            <v>Patient Financial Services Worker</v>
          </cell>
          <cell r="C180">
            <v>3241.64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_Crosstab"/>
      <sheetName val="MAA"/>
      <sheetName val="NAME"/>
      <sheetName val="B001"/>
      <sheetName val="B002"/>
      <sheetName val="Sheet1"/>
      <sheetName val="A001"/>
      <sheetName val="ISUOS3-1-07(FY056)"/>
    </sheetNames>
    <sheetDataSet>
      <sheetData sheetId="0" refreshError="1"/>
      <sheetData sheetId="1" refreshError="1">
        <row r="6">
          <cell r="C6">
            <v>1926</v>
          </cell>
          <cell r="D6" t="str">
            <v>1926 LONG BEACH CHILD &amp; ADOL CLINIC</v>
          </cell>
          <cell r="E6">
            <v>22344</v>
          </cell>
        </row>
        <row r="7">
          <cell r="C7">
            <v>1927</v>
          </cell>
          <cell r="D7" t="str">
            <v xml:space="preserve">1927 LONG BEACH MHS ADULT CLINIC </v>
          </cell>
          <cell r="E7">
            <v>41497</v>
          </cell>
        </row>
        <row r="8">
          <cell r="C8">
            <v>1700</v>
          </cell>
          <cell r="D8" t="str">
            <v xml:space="preserve">1700 OLDER ADULT BUREAU ADMIN </v>
          </cell>
          <cell r="E8">
            <v>13685</v>
          </cell>
        </row>
        <row r="9">
          <cell r="C9">
            <v>1928</v>
          </cell>
          <cell r="D9" t="str">
            <v xml:space="preserve">1928 SAN PEDRO MENTAL HEALTH SRVCS </v>
          </cell>
          <cell r="E9">
            <v>75770</v>
          </cell>
        </row>
        <row r="10">
          <cell r="C10">
            <v>100</v>
          </cell>
          <cell r="D10" t="str">
            <v xml:space="preserve">0100 ADULT SYSTEMS OF CARE ADMIN </v>
          </cell>
          <cell r="E10">
            <v>11673</v>
          </cell>
        </row>
        <row r="11">
          <cell r="C11">
            <v>7398</v>
          </cell>
          <cell r="D11" t="str">
            <v xml:space="preserve">7398 COMPTON CHILD FAM SRVCS CTR </v>
          </cell>
          <cell r="E11">
            <v>50329</v>
          </cell>
        </row>
        <row r="12">
          <cell r="C12">
            <v>7207</v>
          </cell>
          <cell r="D12" t="str">
            <v xml:space="preserve">7207 LONG BEACH ASIAN PAC MH PROG </v>
          </cell>
          <cell r="E12">
            <v>8235</v>
          </cell>
        </row>
        <row r="13">
          <cell r="C13">
            <v>6859</v>
          </cell>
          <cell r="D13" t="str">
            <v>6859 DMH AT HARBOR-UCLA MEDICAL CTR</v>
          </cell>
          <cell r="E13">
            <v>60293</v>
          </cell>
        </row>
        <row r="14">
          <cell r="C14">
            <v>1908</v>
          </cell>
          <cell r="D14" t="str">
            <v xml:space="preserve">1908 WEST CENTRAL FAMILY MHS </v>
          </cell>
          <cell r="E14">
            <v>69334</v>
          </cell>
        </row>
        <row r="15">
          <cell r="C15">
            <v>7064</v>
          </cell>
          <cell r="D15" t="str">
            <v xml:space="preserve">7064 COASTAL ASIAN PACIFIC MHS </v>
          </cell>
          <cell r="E15">
            <v>35817</v>
          </cell>
        </row>
        <row r="16">
          <cell r="C16">
            <v>1938</v>
          </cell>
          <cell r="D16" t="str">
            <v xml:space="preserve">1938 COMPTON MENTAL HEALTH CENTER </v>
          </cell>
          <cell r="E16">
            <v>49224</v>
          </cell>
        </row>
        <row r="17">
          <cell r="C17">
            <v>1935</v>
          </cell>
          <cell r="D17" t="str">
            <v xml:space="preserve">1935 SOUTH BAY MHS </v>
          </cell>
          <cell r="E17">
            <v>145759</v>
          </cell>
        </row>
        <row r="18">
          <cell r="C18">
            <v>6864</v>
          </cell>
          <cell r="D18" t="str">
            <v xml:space="preserve">6864 AUGUSTUS F HAWKINS COMP MHC </v>
          </cell>
          <cell r="E18">
            <v>11154</v>
          </cell>
        </row>
        <row r="19">
          <cell r="C19">
            <v>7532</v>
          </cell>
          <cell r="D19" t="str">
            <v xml:space="preserve">7532 SOUTH LOS ANGELES FAMILY SVCS </v>
          </cell>
          <cell r="E19">
            <v>18248</v>
          </cell>
        </row>
        <row r="20">
          <cell r="C20">
            <v>7558</v>
          </cell>
          <cell r="D20" t="str">
            <v xml:space="preserve">7558 A F HAWKINS URGENT COMM CARE </v>
          </cell>
          <cell r="E20">
            <v>5228</v>
          </cell>
        </row>
        <row r="21">
          <cell r="C21">
            <v>300</v>
          </cell>
          <cell r="D21" t="str">
            <v>0300 DMH CHILDREN &amp; FAMILY SERVICES</v>
          </cell>
        </row>
        <row r="22">
          <cell r="C22">
            <v>1917</v>
          </cell>
          <cell r="D22" t="str">
            <v xml:space="preserve">1917 ARCADIA MHS </v>
          </cell>
          <cell r="E22">
            <v>86368</v>
          </cell>
        </row>
        <row r="23">
          <cell r="C23">
            <v>1904</v>
          </cell>
          <cell r="D23" t="str">
            <v xml:space="preserve">1904 ANTELOPE VALLEY MHS </v>
          </cell>
          <cell r="E23">
            <v>49322</v>
          </cell>
        </row>
        <row r="24">
          <cell r="C24">
            <v>7171</v>
          </cell>
          <cell r="D24" t="str">
            <v>7171 COUNTYWIDE CHILDRENS CASE MNGM</v>
          </cell>
          <cell r="E24">
            <v>547994</v>
          </cell>
        </row>
        <row r="25">
          <cell r="C25">
            <v>7386</v>
          </cell>
          <cell r="D25" t="str">
            <v xml:space="preserve">7386 PALMDALE MENTAL HEALTH CENTER </v>
          </cell>
          <cell r="E25">
            <v>61004</v>
          </cell>
        </row>
        <row r="26">
          <cell r="C26">
            <v>7170</v>
          </cell>
          <cell r="D26" t="str">
            <v xml:space="preserve">7170 DMH/DPSS CO-LOCATED PROGRAM </v>
          </cell>
          <cell r="E26">
            <v>321750</v>
          </cell>
        </row>
        <row r="27">
          <cell r="C27">
            <v>7461</v>
          </cell>
          <cell r="D27" t="str">
            <v xml:space="preserve">7461 HOPE </v>
          </cell>
          <cell r="E27">
            <v>32333</v>
          </cell>
        </row>
        <row r="28">
          <cell r="C28">
            <v>7437</v>
          </cell>
          <cell r="D28" t="str">
            <v xml:space="preserve">7437 AB3632 ASSESSMENT UNIT </v>
          </cell>
          <cell r="E28">
            <v>32824</v>
          </cell>
        </row>
        <row r="29">
          <cell r="C29">
            <v>7191</v>
          </cell>
          <cell r="D29" t="str">
            <v>7191 EDMUND D EDELMAN W MHC CH &amp; FM</v>
          </cell>
          <cell r="E29">
            <v>46394</v>
          </cell>
        </row>
        <row r="30">
          <cell r="C30">
            <v>7241</v>
          </cell>
          <cell r="D30" t="str">
            <v xml:space="preserve">7241 LAC-DMH OLDER ADULT SERVICES </v>
          </cell>
          <cell r="E30">
            <v>112671</v>
          </cell>
        </row>
        <row r="31">
          <cell r="C31">
            <v>1906</v>
          </cell>
          <cell r="D31" t="str">
            <v>1906 EDMUND D. EDELMAN WESTSIDE MHC</v>
          </cell>
          <cell r="E31">
            <v>106495</v>
          </cell>
        </row>
        <row r="32">
          <cell r="C32">
            <v>6841</v>
          </cell>
          <cell r="D32" t="str">
            <v xml:space="preserve">6841 WEST VALLEY MENTAL HEALTH CTR </v>
          </cell>
          <cell r="E32">
            <v>93392</v>
          </cell>
        </row>
        <row r="33">
          <cell r="C33">
            <v>1905</v>
          </cell>
          <cell r="D33" t="str">
            <v>1905 SANTA CLARITA VALLEY MH CENTER</v>
          </cell>
          <cell r="E33">
            <v>37884</v>
          </cell>
        </row>
        <row r="34">
          <cell r="C34">
            <v>7559</v>
          </cell>
          <cell r="D34" t="str">
            <v xml:space="preserve">7559 START NORTH SANTA CLARITA </v>
          </cell>
          <cell r="E34">
            <v>211</v>
          </cell>
        </row>
        <row r="35">
          <cell r="C35">
            <v>6840</v>
          </cell>
          <cell r="D35" t="str">
            <v xml:space="preserve">6840 SAN FERNANDO MHS </v>
          </cell>
          <cell r="E35">
            <v>84938</v>
          </cell>
        </row>
        <row r="36">
          <cell r="C36">
            <v>7591</v>
          </cell>
          <cell r="D36" t="str">
            <v xml:space="preserve">7591 DMH URGENT COMM SRVCS SFMHC </v>
          </cell>
          <cell r="E36">
            <v>849</v>
          </cell>
        </row>
        <row r="37">
          <cell r="C37">
            <v>7592</v>
          </cell>
          <cell r="D37" t="str">
            <v xml:space="preserve">7592 DMH URGENT COMM SRVCS OVMC </v>
          </cell>
          <cell r="E37">
            <v>8763</v>
          </cell>
        </row>
        <row r="38">
          <cell r="C38">
            <v>7593</v>
          </cell>
          <cell r="D38" t="str">
            <v xml:space="preserve">7593 DMH URGENT CMM SVC HILLVIEW </v>
          </cell>
          <cell r="E38">
            <v>1655</v>
          </cell>
        </row>
        <row r="39">
          <cell r="C39">
            <v>7340</v>
          </cell>
          <cell r="D39" t="str">
            <v>7340 VALY COORDINATED CHILDRN SRVCS</v>
          </cell>
          <cell r="E39">
            <v>102205</v>
          </cell>
        </row>
        <row r="40">
          <cell r="C40">
            <v>1957</v>
          </cell>
          <cell r="D40" t="str">
            <v xml:space="preserve">1957 CENTRAL JUVENILE HALL </v>
          </cell>
        </row>
        <row r="41">
          <cell r="C41">
            <v>7404</v>
          </cell>
          <cell r="D41" t="str">
            <v xml:space="preserve">7404 START EAST - PASADENA </v>
          </cell>
          <cell r="E41">
            <v>1225</v>
          </cell>
        </row>
        <row r="42">
          <cell r="C42">
            <v>7458</v>
          </cell>
          <cell r="D42" t="str">
            <v>7458 JUVENILE COURT MENTAL HLTH SVS</v>
          </cell>
          <cell r="E42">
            <v>43437</v>
          </cell>
        </row>
        <row r="43">
          <cell r="C43">
            <v>7443</v>
          </cell>
          <cell r="D43" t="str">
            <v xml:space="preserve">7443 ICAT - WILSHIRE </v>
          </cell>
          <cell r="E43">
            <v>40415</v>
          </cell>
        </row>
        <row r="44">
          <cell r="C44">
            <v>7442</v>
          </cell>
          <cell r="D44" t="str">
            <v xml:space="preserve">7442 ICAT - PASADENA </v>
          </cell>
          <cell r="E44">
            <v>38895</v>
          </cell>
        </row>
        <row r="45">
          <cell r="C45">
            <v>7403</v>
          </cell>
          <cell r="D45" t="str">
            <v xml:space="preserve">7403 START WEST - METRO NORTH </v>
          </cell>
          <cell r="E45">
            <v>13947</v>
          </cell>
        </row>
        <row r="46">
          <cell r="C46">
            <v>7509</v>
          </cell>
          <cell r="D46" t="str">
            <v xml:space="preserve">7509 ICAT TORRANCE </v>
          </cell>
          <cell r="E46">
            <v>38262</v>
          </cell>
        </row>
        <row r="47">
          <cell r="C47">
            <v>7492</v>
          </cell>
          <cell r="D47" t="str">
            <v xml:space="preserve">7492 START SOUTH - TORRANCE </v>
          </cell>
          <cell r="E47">
            <v>3947</v>
          </cell>
        </row>
        <row r="48">
          <cell r="C48">
            <v>7615</v>
          </cell>
          <cell r="D48" t="str">
            <v xml:space="preserve">7615 SPECIALIZED FOSTER CR AICC </v>
          </cell>
          <cell r="E48">
            <v>2883</v>
          </cell>
        </row>
        <row r="49">
          <cell r="C49">
            <v>7610</v>
          </cell>
          <cell r="D49" t="str">
            <v xml:space="preserve">7610 SPECIALIZED FC PALMDALE CL </v>
          </cell>
          <cell r="E49">
            <v>9192</v>
          </cell>
        </row>
        <row r="50">
          <cell r="C50">
            <v>6849</v>
          </cell>
          <cell r="D50" t="str">
            <v>6849 LA CENTRAL CONTINUING CARE SRV</v>
          </cell>
        </row>
        <row r="51">
          <cell r="C51">
            <v>7267</v>
          </cell>
          <cell r="D51" t="str">
            <v xml:space="preserve">7267 LATINO MENTAL HEALTH CENTER </v>
          </cell>
        </row>
        <row r="52">
          <cell r="C52">
            <v>7468</v>
          </cell>
          <cell r="D52" t="str">
            <v xml:space="preserve">7468 SAN ANTONIO MENTAL HEALTH CTR </v>
          </cell>
          <cell r="E52">
            <v>36166</v>
          </cell>
        </row>
        <row r="53">
          <cell r="C53">
            <v>7487</v>
          </cell>
          <cell r="D53" t="str">
            <v xml:space="preserve">7487 CASA DE LA ESPERANZA </v>
          </cell>
        </row>
        <row r="54">
          <cell r="C54">
            <v>1600</v>
          </cell>
          <cell r="D54" t="str">
            <v xml:space="preserve">1600 EOB ADMINISTRATION </v>
          </cell>
          <cell r="E54">
            <v>331</v>
          </cell>
        </row>
        <row r="55">
          <cell r="C55">
            <v>7379</v>
          </cell>
          <cell r="D55" t="str">
            <v xml:space="preserve">7379 EOB CRISIS HOMELESS DOWNTOWN </v>
          </cell>
          <cell r="E55">
            <v>48135</v>
          </cell>
        </row>
        <row r="56">
          <cell r="C56">
            <v>6857</v>
          </cell>
          <cell r="D56" t="str">
            <v xml:space="preserve">6857 ROYBAL FAMILY MHS </v>
          </cell>
          <cell r="E56">
            <v>39868</v>
          </cell>
        </row>
        <row r="57">
          <cell r="C57">
            <v>7584</v>
          </cell>
          <cell r="D57" t="str">
            <v xml:space="preserve">7584 ROYBAL SCHOOL BASED PROGRAM </v>
          </cell>
          <cell r="E57">
            <v>5483</v>
          </cell>
        </row>
        <row r="58">
          <cell r="C58">
            <v>7057</v>
          </cell>
          <cell r="D58" t="str">
            <v xml:space="preserve">7057 DOWNTOWN MENTAL HEALTH CENTER </v>
          </cell>
          <cell r="E58">
            <v>27453</v>
          </cell>
        </row>
        <row r="59">
          <cell r="C59">
            <v>1930</v>
          </cell>
          <cell r="D59" t="str">
            <v xml:space="preserve">1930 RIO HONDO COMMUNITY MHC </v>
          </cell>
          <cell r="E59">
            <v>63828</v>
          </cell>
        </row>
        <row r="60">
          <cell r="C60">
            <v>7216</v>
          </cell>
          <cell r="D60" t="str">
            <v xml:space="preserve">7216 SMART </v>
          </cell>
          <cell r="E60">
            <v>49481</v>
          </cell>
        </row>
        <row r="61">
          <cell r="C61">
            <v>7478</v>
          </cell>
          <cell r="D61" t="str">
            <v xml:space="preserve">7478 EOB CRISIS &amp; HMLS-ANTELOPE </v>
          </cell>
          <cell r="E61">
            <v>26249</v>
          </cell>
        </row>
        <row r="62">
          <cell r="C62">
            <v>7206</v>
          </cell>
          <cell r="D62" t="str">
            <v xml:space="preserve">7206 ACCESS CENTER </v>
          </cell>
          <cell r="E62">
            <v>238968</v>
          </cell>
        </row>
        <row r="63">
          <cell r="C63">
            <v>1914</v>
          </cell>
          <cell r="D63" t="str">
            <v>1914 NORTHEAST MENTAL HEALTH CENTER</v>
          </cell>
          <cell r="E63">
            <v>86600</v>
          </cell>
        </row>
        <row r="64">
          <cell r="C64">
            <v>7175</v>
          </cell>
          <cell r="D64" t="str">
            <v xml:space="preserve">7175 CONTINUING CARE - METRO UNIT </v>
          </cell>
          <cell r="E64">
            <v>99263</v>
          </cell>
        </row>
        <row r="65">
          <cell r="C65">
            <v>7217</v>
          </cell>
          <cell r="D65" t="str">
            <v xml:space="preserve">7217 M.E.T. </v>
          </cell>
          <cell r="E65">
            <v>10827</v>
          </cell>
        </row>
        <row r="66">
          <cell r="C66">
            <v>7072</v>
          </cell>
          <cell r="D66" t="str">
            <v xml:space="preserve">7072 MENTAL HEALTH COURT PROGRAM </v>
          </cell>
          <cell r="E66">
            <v>94688</v>
          </cell>
        </row>
        <row r="67">
          <cell r="C67">
            <v>1909</v>
          </cell>
          <cell r="D67" t="str">
            <v>1909 HOLLYWOOD MENTAL HEALTH CENTER</v>
          </cell>
          <cell r="E67">
            <v>77597</v>
          </cell>
        </row>
        <row r="68">
          <cell r="C68">
            <v>7477</v>
          </cell>
          <cell r="D68" t="str">
            <v>7477 LAC/EOB CRISIS &amp; HMLS-SAN FERN</v>
          </cell>
          <cell r="E68">
            <v>35986</v>
          </cell>
        </row>
        <row r="69">
          <cell r="C69">
            <v>7421</v>
          </cell>
          <cell r="D69" t="str">
            <v>7421 AMERICAN INDIAN COUNSELING CTR</v>
          </cell>
          <cell r="E69">
            <v>37280</v>
          </cell>
        </row>
        <row r="70">
          <cell r="C70">
            <v>7259</v>
          </cell>
          <cell r="D70" t="str">
            <v xml:space="preserve">7259 LONG BEACH MET </v>
          </cell>
          <cell r="E70">
            <v>37890</v>
          </cell>
        </row>
        <row r="71">
          <cell r="C71">
            <v>7588</v>
          </cell>
          <cell r="D71" t="str">
            <v>7588 EOB CRISIS HOMELESS RIO HONDO</v>
          </cell>
          <cell r="E71">
            <v>1708</v>
          </cell>
        </row>
        <row r="72">
          <cell r="C72">
            <v>7475</v>
          </cell>
          <cell r="D72" t="str">
            <v xml:space="preserve">7475 EOB CRISIS &amp; HMLS-EDELMAN </v>
          </cell>
          <cell r="E72">
            <v>40492</v>
          </cell>
        </row>
        <row r="73">
          <cell r="C73">
            <v>7213</v>
          </cell>
          <cell r="D73" t="str">
            <v xml:space="preserve">7213 INTENSIVE CASE MGMT PROGRAM </v>
          </cell>
          <cell r="E73">
            <v>252937</v>
          </cell>
        </row>
        <row r="74">
          <cell r="C74">
            <v>7476</v>
          </cell>
          <cell r="D74" t="str">
            <v xml:space="preserve">7476 EOB CRISIS HMLS AUGUSTUS FH </v>
          </cell>
          <cell r="E74">
            <v>85760</v>
          </cell>
        </row>
        <row r="75">
          <cell r="C75">
            <v>600</v>
          </cell>
          <cell r="D75" t="str">
            <v xml:space="preserve">0600 DMH CONTRACTS </v>
          </cell>
        </row>
        <row r="76">
          <cell r="C76">
            <v>1300</v>
          </cell>
          <cell r="D76" t="str">
            <v xml:space="preserve">1300 DMH ADMINISTRATIVE SUPPORT </v>
          </cell>
        </row>
        <row r="77">
          <cell r="C77">
            <v>1500</v>
          </cell>
          <cell r="D77" t="str">
            <v xml:space="preserve">1500 COMMUNITY PROGRAM ADMIN </v>
          </cell>
        </row>
        <row r="78">
          <cell r="C78">
            <v>1200</v>
          </cell>
          <cell r="D78" t="str">
            <v xml:space="preserve">1200 DMH CHIEF DEPUTY DIRECTOR </v>
          </cell>
          <cell r="E78">
            <v>4707</v>
          </cell>
        </row>
        <row r="79">
          <cell r="C79">
            <v>1400</v>
          </cell>
          <cell r="D79" t="str">
            <v>1400 BUREAU OF STDARD,PRATCS &amp; COND</v>
          </cell>
          <cell r="E79">
            <v>203384</v>
          </cell>
        </row>
        <row r="80">
          <cell r="C80">
            <v>500</v>
          </cell>
          <cell r="D80" t="str">
            <v xml:space="preserve">0500 DMH FINANCE </v>
          </cell>
          <cell r="E80">
            <v>41314</v>
          </cell>
        </row>
        <row r="81">
          <cell r="C81">
            <v>1100</v>
          </cell>
          <cell r="D81" t="str">
            <v xml:space="preserve">1100 DMH MEDICAL DIRECTOR </v>
          </cell>
          <cell r="E81">
            <v>82314</v>
          </cell>
        </row>
        <row r="82">
          <cell r="C82">
            <v>1000</v>
          </cell>
          <cell r="D82" t="str">
            <v xml:space="preserve">1000 DMH EXECUTIVE OFFICE </v>
          </cell>
          <cell r="E82">
            <v>14244</v>
          </cell>
        </row>
      </sheetData>
      <sheetData sheetId="2" refreshError="1"/>
      <sheetData sheetId="3" refreshError="1"/>
      <sheetData sheetId="4" refreshError="1">
        <row r="2">
          <cell r="A2">
            <v>1904</v>
          </cell>
          <cell r="B2">
            <v>28892.65</v>
          </cell>
        </row>
        <row r="3">
          <cell r="A3">
            <v>1905</v>
          </cell>
          <cell r="B3">
            <v>26276.01</v>
          </cell>
        </row>
        <row r="4">
          <cell r="A4">
            <v>1906</v>
          </cell>
          <cell r="B4">
            <v>76405.58</v>
          </cell>
        </row>
        <row r="5">
          <cell r="A5">
            <v>1908</v>
          </cell>
          <cell r="B5">
            <v>19394.88</v>
          </cell>
        </row>
        <row r="6">
          <cell r="A6">
            <v>1909</v>
          </cell>
          <cell r="B6">
            <v>50618.17</v>
          </cell>
        </row>
        <row r="7">
          <cell r="A7">
            <v>1914</v>
          </cell>
          <cell r="B7">
            <v>29475.84</v>
          </cell>
        </row>
        <row r="8">
          <cell r="A8">
            <v>1917</v>
          </cell>
          <cell r="B8">
            <v>31477.78</v>
          </cell>
        </row>
        <row r="9">
          <cell r="A9">
            <v>1926</v>
          </cell>
          <cell r="B9">
            <v>1431285.98</v>
          </cell>
        </row>
        <row r="10">
          <cell r="A10">
            <v>1927</v>
          </cell>
          <cell r="B10">
            <v>66128.740000000005</v>
          </cell>
        </row>
        <row r="11">
          <cell r="A11">
            <v>1928</v>
          </cell>
          <cell r="B11">
            <v>31898.46</v>
          </cell>
        </row>
        <row r="12">
          <cell r="A12">
            <v>1930</v>
          </cell>
          <cell r="B12">
            <v>43469.74</v>
          </cell>
        </row>
        <row r="13">
          <cell r="A13">
            <v>1935</v>
          </cell>
          <cell r="B13">
            <v>41825.54</v>
          </cell>
        </row>
        <row r="14">
          <cell r="A14">
            <v>1938</v>
          </cell>
          <cell r="B14">
            <v>13400.28</v>
          </cell>
        </row>
        <row r="15">
          <cell r="A15">
            <v>1939</v>
          </cell>
          <cell r="B15">
            <v>1243395.96</v>
          </cell>
        </row>
        <row r="16">
          <cell r="A16">
            <v>1957</v>
          </cell>
          <cell r="B16">
            <v>544099.94999999995</v>
          </cell>
        </row>
        <row r="17">
          <cell r="A17">
            <v>1958</v>
          </cell>
          <cell r="B17">
            <v>3576931.59</v>
          </cell>
        </row>
        <row r="18">
          <cell r="A18">
            <v>6821</v>
          </cell>
          <cell r="B18">
            <v>318276.13</v>
          </cell>
        </row>
        <row r="19">
          <cell r="A19">
            <v>6840</v>
          </cell>
          <cell r="B19">
            <v>393750.15</v>
          </cell>
        </row>
        <row r="20">
          <cell r="A20">
            <v>6841</v>
          </cell>
          <cell r="B20">
            <v>55160</v>
          </cell>
        </row>
        <row r="21">
          <cell r="A21">
            <v>6857</v>
          </cell>
          <cell r="B21">
            <v>948414.9</v>
          </cell>
        </row>
        <row r="22">
          <cell r="A22">
            <v>6859</v>
          </cell>
          <cell r="B22">
            <v>1198031.77</v>
          </cell>
        </row>
        <row r="23">
          <cell r="A23">
            <v>6864</v>
          </cell>
          <cell r="B23">
            <v>1018783.06</v>
          </cell>
        </row>
        <row r="24">
          <cell r="A24">
            <v>7057</v>
          </cell>
          <cell r="B24">
            <v>10207.299999999999</v>
          </cell>
        </row>
        <row r="25">
          <cell r="A25">
            <v>7064</v>
          </cell>
          <cell r="B25">
            <v>287561.88</v>
          </cell>
        </row>
        <row r="26">
          <cell r="A26">
            <v>7166</v>
          </cell>
          <cell r="B26">
            <v>538317.69999999995</v>
          </cell>
        </row>
        <row r="27">
          <cell r="A27">
            <v>7171</v>
          </cell>
          <cell r="B27">
            <v>2669586.44</v>
          </cell>
        </row>
        <row r="28">
          <cell r="A28">
            <v>7191</v>
          </cell>
          <cell r="B28">
            <v>672419.72</v>
          </cell>
        </row>
        <row r="29">
          <cell r="A29">
            <v>7206</v>
          </cell>
          <cell r="B29">
            <v>110438.1</v>
          </cell>
        </row>
        <row r="30">
          <cell r="A30">
            <v>7207</v>
          </cell>
          <cell r="B30">
            <v>199616.02</v>
          </cell>
        </row>
        <row r="31">
          <cell r="A31">
            <v>7213</v>
          </cell>
          <cell r="B31">
            <v>1889.28</v>
          </cell>
        </row>
        <row r="32">
          <cell r="A32">
            <v>7216</v>
          </cell>
          <cell r="B32">
            <v>256363.17</v>
          </cell>
        </row>
        <row r="33">
          <cell r="A33">
            <v>7217</v>
          </cell>
          <cell r="B33">
            <v>43149.1</v>
          </cell>
        </row>
        <row r="34">
          <cell r="A34">
            <v>7259</v>
          </cell>
          <cell r="B34">
            <v>34432</v>
          </cell>
        </row>
        <row r="35">
          <cell r="A35">
            <v>7340</v>
          </cell>
          <cell r="B35">
            <v>1253590.9099999999</v>
          </cell>
        </row>
        <row r="36">
          <cell r="A36">
            <v>7379</v>
          </cell>
          <cell r="B36">
            <v>677350.53</v>
          </cell>
        </row>
        <row r="37">
          <cell r="A37">
            <v>7386</v>
          </cell>
          <cell r="B37">
            <v>32451.56</v>
          </cell>
        </row>
        <row r="38">
          <cell r="A38">
            <v>7398</v>
          </cell>
          <cell r="B38">
            <v>737820.8</v>
          </cell>
        </row>
        <row r="39">
          <cell r="A39">
            <v>7403</v>
          </cell>
          <cell r="B39">
            <v>311596.05</v>
          </cell>
        </row>
        <row r="40">
          <cell r="A40">
            <v>7404</v>
          </cell>
          <cell r="B40">
            <v>271752.84999999998</v>
          </cell>
        </row>
        <row r="41">
          <cell r="A41">
            <v>7421</v>
          </cell>
          <cell r="B41">
            <v>269920.65999999997</v>
          </cell>
        </row>
        <row r="42">
          <cell r="A42">
            <v>7437</v>
          </cell>
          <cell r="B42">
            <v>866215.02</v>
          </cell>
        </row>
        <row r="43">
          <cell r="A43">
            <v>7442</v>
          </cell>
          <cell r="B43">
            <v>560670.31000000006</v>
          </cell>
        </row>
        <row r="44">
          <cell r="A44">
            <v>7443</v>
          </cell>
          <cell r="B44">
            <v>337591.34</v>
          </cell>
        </row>
        <row r="45">
          <cell r="A45">
            <v>7458</v>
          </cell>
          <cell r="B45">
            <v>815898.36</v>
          </cell>
        </row>
        <row r="46">
          <cell r="A46">
            <v>7461</v>
          </cell>
          <cell r="B46">
            <v>10677.89</v>
          </cell>
        </row>
        <row r="47">
          <cell r="A47">
            <v>7468</v>
          </cell>
          <cell r="B47">
            <v>608272.4</v>
          </cell>
        </row>
        <row r="48">
          <cell r="A48">
            <v>7475</v>
          </cell>
          <cell r="B48">
            <v>137099.93</v>
          </cell>
        </row>
        <row r="49">
          <cell r="A49">
            <v>7476</v>
          </cell>
          <cell r="B49">
            <v>163223</v>
          </cell>
        </row>
        <row r="50">
          <cell r="A50">
            <v>7477</v>
          </cell>
          <cell r="B50">
            <v>467044.57</v>
          </cell>
        </row>
        <row r="51">
          <cell r="A51">
            <v>7478</v>
          </cell>
          <cell r="B51">
            <v>381582.35</v>
          </cell>
        </row>
        <row r="52">
          <cell r="A52">
            <v>7492</v>
          </cell>
          <cell r="B52">
            <v>209411.77</v>
          </cell>
        </row>
        <row r="53">
          <cell r="A53">
            <v>7509</v>
          </cell>
          <cell r="B53">
            <v>374940.76</v>
          </cell>
        </row>
        <row r="54">
          <cell r="A54">
            <v>7532</v>
          </cell>
          <cell r="B54">
            <v>368716.42</v>
          </cell>
        </row>
        <row r="55">
          <cell r="A55">
            <v>7558</v>
          </cell>
          <cell r="B55">
            <v>47573.95</v>
          </cell>
        </row>
        <row r="56">
          <cell r="A56">
            <v>7559</v>
          </cell>
          <cell r="B56">
            <v>220854.07</v>
          </cell>
        </row>
        <row r="57">
          <cell r="A57">
            <v>7584</v>
          </cell>
          <cell r="B57">
            <v>178210.83</v>
          </cell>
        </row>
        <row r="58">
          <cell r="A58">
            <v>7588</v>
          </cell>
          <cell r="B58">
            <v>194799.4</v>
          </cell>
        </row>
        <row r="59">
          <cell r="A59">
            <v>7591</v>
          </cell>
          <cell r="B59">
            <v>1027.5</v>
          </cell>
        </row>
        <row r="60">
          <cell r="A60">
            <v>7592</v>
          </cell>
          <cell r="B60">
            <v>212.43</v>
          </cell>
        </row>
        <row r="61">
          <cell r="A61">
            <v>7593</v>
          </cell>
          <cell r="B61">
            <v>1589.34</v>
          </cell>
        </row>
      </sheetData>
      <sheetData sheetId="5" refreshError="1"/>
      <sheetData sheetId="6" refreshError="1">
        <row r="2">
          <cell r="A2">
            <v>1905</v>
          </cell>
          <cell r="B2">
            <v>485.55</v>
          </cell>
        </row>
        <row r="3">
          <cell r="A3">
            <v>1917</v>
          </cell>
          <cell r="B3">
            <v>3481.55</v>
          </cell>
        </row>
        <row r="4">
          <cell r="A4">
            <v>1926</v>
          </cell>
          <cell r="B4">
            <v>84185.919999999998</v>
          </cell>
        </row>
        <row r="5">
          <cell r="A5">
            <v>1939</v>
          </cell>
          <cell r="B5">
            <v>47434.86</v>
          </cell>
        </row>
        <row r="6">
          <cell r="A6">
            <v>6840</v>
          </cell>
          <cell r="B6">
            <v>25060.84</v>
          </cell>
        </row>
        <row r="7">
          <cell r="A7">
            <v>6857</v>
          </cell>
          <cell r="B7">
            <v>83248</v>
          </cell>
        </row>
        <row r="8">
          <cell r="A8">
            <v>6859</v>
          </cell>
          <cell r="B8">
            <v>24770.99</v>
          </cell>
        </row>
        <row r="9">
          <cell r="A9">
            <v>6864</v>
          </cell>
          <cell r="B9">
            <v>20733.22</v>
          </cell>
        </row>
        <row r="10">
          <cell r="A10">
            <v>7064</v>
          </cell>
          <cell r="B10">
            <v>17445.060000000001</v>
          </cell>
        </row>
        <row r="11">
          <cell r="A11">
            <v>7171</v>
          </cell>
          <cell r="B11">
            <v>37898.050000000003</v>
          </cell>
        </row>
        <row r="12">
          <cell r="A12">
            <v>7191</v>
          </cell>
          <cell r="B12">
            <v>34547.440000000002</v>
          </cell>
        </row>
        <row r="13">
          <cell r="A13">
            <v>7206</v>
          </cell>
          <cell r="B13">
            <v>2209.5</v>
          </cell>
        </row>
        <row r="14">
          <cell r="A14">
            <v>7207</v>
          </cell>
          <cell r="B14">
            <v>4173.33</v>
          </cell>
        </row>
        <row r="15">
          <cell r="A15">
            <v>7216</v>
          </cell>
          <cell r="B15">
            <v>1074.1500000000001</v>
          </cell>
        </row>
        <row r="16">
          <cell r="A16">
            <v>7340</v>
          </cell>
          <cell r="B16">
            <v>301920.28999999998</v>
          </cell>
        </row>
        <row r="17">
          <cell r="A17">
            <v>7379</v>
          </cell>
          <cell r="B17">
            <v>5564.7</v>
          </cell>
        </row>
        <row r="18">
          <cell r="A18">
            <v>7398</v>
          </cell>
          <cell r="B18">
            <v>33540.89</v>
          </cell>
        </row>
        <row r="19">
          <cell r="A19">
            <v>7421</v>
          </cell>
          <cell r="B19">
            <v>10156.68</v>
          </cell>
        </row>
        <row r="20">
          <cell r="A20">
            <v>7437</v>
          </cell>
          <cell r="B20">
            <v>41692.67</v>
          </cell>
        </row>
        <row r="21">
          <cell r="A21">
            <v>7442</v>
          </cell>
          <cell r="B21">
            <v>1458.63</v>
          </cell>
        </row>
        <row r="22">
          <cell r="A22">
            <v>7443</v>
          </cell>
          <cell r="B22">
            <v>2590.35</v>
          </cell>
        </row>
        <row r="23">
          <cell r="A23">
            <v>7461</v>
          </cell>
          <cell r="B23">
            <v>1108.25</v>
          </cell>
        </row>
        <row r="24">
          <cell r="A24">
            <v>7468</v>
          </cell>
          <cell r="B24">
            <v>64468.74</v>
          </cell>
        </row>
        <row r="25">
          <cell r="A25">
            <v>7476</v>
          </cell>
          <cell r="B25">
            <v>1585.65</v>
          </cell>
        </row>
        <row r="26">
          <cell r="A26">
            <v>7477</v>
          </cell>
          <cell r="B26">
            <v>7643.1</v>
          </cell>
        </row>
        <row r="27">
          <cell r="A27">
            <v>7584</v>
          </cell>
          <cell r="B27">
            <v>24780.63</v>
          </cell>
        </row>
        <row r="28">
          <cell r="A28">
            <v>7588</v>
          </cell>
          <cell r="B28">
            <v>5755.66</v>
          </cell>
        </row>
      </sheetData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ZATION "/>
      <sheetName val="Fund &amp; PMT &amp; percentage"/>
      <sheetName val=" Monthly Fund &amp; PMT "/>
      <sheetName val="Fund "/>
      <sheetName val="payment less cfa "/>
      <sheetName val=" percentage "/>
      <sheetName val="1112 FUNDING"/>
      <sheetName val="B002"/>
      <sheetName val="A001"/>
      <sheetName val="MAA"/>
      <sheetName val="Sheet1"/>
    </sheetNames>
    <sheetDataSet>
      <sheetData sheetId="0"/>
      <sheetData sheetId="1"/>
      <sheetData sheetId="2"/>
      <sheetData sheetId="3">
        <row r="5">
          <cell r="A5" t="str">
            <v>256</v>
          </cell>
          <cell r="B5" t="str">
            <v>1736 Family Crisis Center</v>
          </cell>
          <cell r="C5">
            <v>379000</v>
          </cell>
        </row>
        <row r="6">
          <cell r="A6" t="str">
            <v>269</v>
          </cell>
          <cell r="B6" t="str">
            <v>Aids Project Los Angeles, Incorporated</v>
          </cell>
          <cell r="C6">
            <v>32109</v>
          </cell>
        </row>
        <row r="7">
          <cell r="A7" t="str">
            <v>177</v>
          </cell>
          <cell r="B7" t="str">
            <v xml:space="preserve">Alcott Center for Mental Health Services </v>
          </cell>
          <cell r="C7">
            <v>1472628</v>
          </cell>
        </row>
        <row r="8">
          <cell r="A8" t="str">
            <v>173</v>
          </cell>
          <cell r="B8" t="str">
            <v>Alma Family Services</v>
          </cell>
          <cell r="C8">
            <v>8021599</v>
          </cell>
        </row>
        <row r="9">
          <cell r="A9" t="str">
            <v>180</v>
          </cell>
          <cell r="B9" t="str">
            <v>Amanecer Community Counseling Service of Los Angeles, Inc.</v>
          </cell>
          <cell r="C9">
            <v>8013001</v>
          </cell>
        </row>
        <row r="10">
          <cell r="A10" t="str">
            <v>409</v>
          </cell>
          <cell r="B10" t="str">
            <v>ASC Treatment Group (The Anne Sippi Clinic)</v>
          </cell>
          <cell r="C10">
            <v>1369800</v>
          </cell>
        </row>
        <row r="11">
          <cell r="A11" t="str">
            <v>1167</v>
          </cell>
          <cell r="B11" t="str">
            <v>Asian American Drug Abuse Program, Inc</v>
          </cell>
          <cell r="C11">
            <v>452808</v>
          </cell>
        </row>
        <row r="12">
          <cell r="A12" t="str">
            <v>274</v>
          </cell>
          <cell r="B12" t="str">
            <v>B.R.I.D.G.E.S.</v>
          </cell>
          <cell r="C12">
            <v>2526313</v>
          </cell>
        </row>
        <row r="13">
          <cell r="A13" t="str">
            <v>175</v>
          </cell>
          <cell r="B13" t="str">
            <v>Barbour and Floyd Associates</v>
          </cell>
          <cell r="C13">
            <v>1997600</v>
          </cell>
        </row>
        <row r="14">
          <cell r="A14" t="str">
            <v>1150</v>
          </cell>
          <cell r="B14" t="str">
            <v>Behavioral Health Services</v>
          </cell>
          <cell r="C14">
            <v>753985</v>
          </cell>
        </row>
        <row r="15">
          <cell r="A15" t="str">
            <v>860</v>
          </cell>
          <cell r="B15" t="str">
            <v>Bienvenidos Children's Center, Inc.</v>
          </cell>
          <cell r="C15">
            <v>5317328</v>
          </cell>
        </row>
        <row r="16">
          <cell r="A16" t="str">
            <v>1149</v>
          </cell>
          <cell r="B16" t="str">
            <v>California Hispanic Commission (James Z Hernandez Executive Director)</v>
          </cell>
          <cell r="C16">
            <v>3172176</v>
          </cell>
        </row>
        <row r="17">
          <cell r="A17" t="str">
            <v>1192</v>
          </cell>
          <cell r="B17" t="str">
            <v>California Institute of Health &amp; Social Services, Inc.(Alafia MH)</v>
          </cell>
          <cell r="C17">
            <v>2101963</v>
          </cell>
        </row>
        <row r="18">
          <cell r="A18" t="str">
            <v>1285</v>
          </cell>
          <cell r="B18" t="str">
            <v>Catholic Healthcare West dba California Hospital Medical Center</v>
          </cell>
          <cell r="C18">
            <v>1056071</v>
          </cell>
        </row>
        <row r="19">
          <cell r="A19" t="str">
            <v>178</v>
          </cell>
          <cell r="B19" t="str">
            <v>Cedars-Sinai Medical Center (Thalians)</v>
          </cell>
          <cell r="C19">
            <v>1045692</v>
          </cell>
        </row>
        <row r="20">
          <cell r="A20" t="str">
            <v>1209</v>
          </cell>
          <cell r="B20" t="str">
            <v>Center for Integrated Family &amp; Health Services</v>
          </cell>
          <cell r="C20">
            <v>1305455</v>
          </cell>
        </row>
        <row r="21">
          <cell r="A21" t="str">
            <v>210</v>
          </cell>
          <cell r="B21" t="str">
            <v>Child and Family Center (Santa Clarita Valley Child)</v>
          </cell>
          <cell r="C21">
            <v>10812950</v>
          </cell>
        </row>
        <row r="22">
          <cell r="A22" t="str">
            <v>207</v>
          </cell>
          <cell r="B22" t="str">
            <v>Child and Family Guidance Center  (SFV)</v>
          </cell>
          <cell r="C22">
            <v>25622784</v>
          </cell>
        </row>
        <row r="23">
          <cell r="A23" t="str">
            <v>783</v>
          </cell>
          <cell r="B23" t="str">
            <v>ChildNet Youth and Family Services, Inc.</v>
          </cell>
          <cell r="C23">
            <v>12284358</v>
          </cell>
        </row>
        <row r="24">
          <cell r="A24" t="str">
            <v>668</v>
          </cell>
          <cell r="B24" t="str">
            <v>Children's Bureau of Southern California</v>
          </cell>
          <cell r="C24">
            <v>14006968</v>
          </cell>
        </row>
        <row r="25">
          <cell r="A25" t="str">
            <v>179</v>
          </cell>
          <cell r="B25" t="str">
            <v>Children's Hospital of Los Angeles</v>
          </cell>
          <cell r="C25">
            <v>13265415</v>
          </cell>
        </row>
        <row r="26">
          <cell r="A26" t="str">
            <v>591</v>
          </cell>
          <cell r="B26" t="str">
            <v>Children's Institute Inc.</v>
          </cell>
          <cell r="C26">
            <v>20406286</v>
          </cell>
        </row>
        <row r="27">
          <cell r="A27" t="str">
            <v>322</v>
          </cell>
          <cell r="B27" t="str">
            <v>City of Gardena</v>
          </cell>
          <cell r="C27">
            <v>33742</v>
          </cell>
        </row>
        <row r="28">
          <cell r="A28" t="str">
            <v>327</v>
          </cell>
          <cell r="B28" t="str">
            <v>Clontarf Manor</v>
          </cell>
          <cell r="C28">
            <v>850215</v>
          </cell>
        </row>
        <row r="29">
          <cell r="A29" t="str">
            <v>666</v>
          </cell>
          <cell r="B29" t="str">
            <v>College Hospital - Cerritos</v>
          </cell>
          <cell r="C29">
            <v>1316400</v>
          </cell>
        </row>
        <row r="30">
          <cell r="A30" t="str">
            <v>181</v>
          </cell>
          <cell r="B30" t="str">
            <v>Community Family Guidance Ctr (Fam Youth &amp; Stars)</v>
          </cell>
          <cell r="C30">
            <v>5607868</v>
          </cell>
        </row>
        <row r="31">
          <cell r="A31" t="str">
            <v>779</v>
          </cell>
          <cell r="B31" t="str">
            <v>Counseling  &amp; Research Assn, Inc (Masada Homes)</v>
          </cell>
          <cell r="C31">
            <v>11331949</v>
          </cell>
        </row>
        <row r="32">
          <cell r="A32" t="str">
            <v>694</v>
          </cell>
          <cell r="B32" t="str">
            <v>Counseling 4 Kids (Childreach)</v>
          </cell>
          <cell r="C32">
            <v>5957983</v>
          </cell>
        </row>
        <row r="33">
          <cell r="A33" t="str">
            <v>183</v>
          </cell>
          <cell r="B33" t="str">
            <v xml:space="preserve">Didi Hirsch Psychiatric Service </v>
          </cell>
          <cell r="C33">
            <v>23693356</v>
          </cell>
        </row>
        <row r="34">
          <cell r="A34" t="str">
            <v>1181</v>
          </cell>
          <cell r="B34" t="str">
            <v>Drew Child Development Corporation</v>
          </cell>
          <cell r="C34">
            <v>2022521</v>
          </cell>
        </row>
        <row r="35">
          <cell r="A35" t="str">
            <v>184</v>
          </cell>
          <cell r="B35" t="str">
            <v>Dubnoff Center for Child Development</v>
          </cell>
          <cell r="C35">
            <v>3209218</v>
          </cell>
        </row>
        <row r="36">
          <cell r="A36" t="str">
            <v>778</v>
          </cell>
          <cell r="B36" t="str">
            <v>D'Veal Corp (D'Veal Family and Youth Svcs)</v>
          </cell>
          <cell r="C36">
            <v>8147241</v>
          </cell>
        </row>
        <row r="37">
          <cell r="A37" t="str">
            <v>185</v>
          </cell>
          <cell r="B37" t="str">
            <v>El Centro De Amistad, Incorporated</v>
          </cell>
          <cell r="C37">
            <v>2825207</v>
          </cell>
        </row>
        <row r="38">
          <cell r="A38" t="str">
            <v>1250</v>
          </cell>
          <cell r="B38" t="str">
            <v>El Centro Del Pueblo, Inc.</v>
          </cell>
          <cell r="C38">
            <v>699880</v>
          </cell>
        </row>
        <row r="39">
          <cell r="A39" t="str">
            <v>1311</v>
          </cell>
          <cell r="B39" t="str">
            <v>Emotional Health Association(dba SHARE the Self-Help &amp; Recovery Exchange)</v>
          </cell>
          <cell r="C39">
            <v>811600</v>
          </cell>
        </row>
        <row r="40">
          <cell r="A40" t="str">
            <v>188</v>
          </cell>
          <cell r="B40" t="str">
            <v>ENKI Hlth and Research, Sys, Inc. (Children &amp; Youth)</v>
          </cell>
          <cell r="C40">
            <v>29385186</v>
          </cell>
        </row>
        <row r="41">
          <cell r="A41" t="str">
            <v>995</v>
          </cell>
          <cell r="B41" t="str">
            <v>Ettie Lee Homes, Inc.</v>
          </cell>
          <cell r="C41">
            <v>3139451</v>
          </cell>
        </row>
        <row r="42">
          <cell r="A42" t="str">
            <v>1567</v>
          </cell>
          <cell r="B42" t="str">
            <v>Exceptional Children's Foundation</v>
          </cell>
          <cell r="C42">
            <v>1023916</v>
          </cell>
        </row>
        <row r="43">
          <cell r="A43" t="str">
            <v>527</v>
          </cell>
          <cell r="B43" t="str">
            <v>Exodus Recovery, Inc.</v>
          </cell>
          <cell r="C43">
            <v>14332610</v>
          </cell>
        </row>
        <row r="44">
          <cell r="A44" t="str">
            <v>120</v>
          </cell>
          <cell r="B44" t="str">
            <v>Families First, Inc. dba EMQ</v>
          </cell>
          <cell r="C44">
            <v>8102398</v>
          </cell>
        </row>
        <row r="45">
          <cell r="A45" t="str">
            <v>302</v>
          </cell>
          <cell r="B45" t="str">
            <v>Filipino-American Services Group, Incorporated</v>
          </cell>
          <cell r="C45">
            <v>21134</v>
          </cell>
        </row>
        <row r="46">
          <cell r="A46" t="str">
            <v>647</v>
          </cell>
          <cell r="B46" t="str">
            <v xml:space="preserve">Five Acres - The Boys and Girls Aid Society </v>
          </cell>
          <cell r="C46">
            <v>15738848</v>
          </cell>
        </row>
        <row r="47">
          <cell r="A47" t="str">
            <v>870</v>
          </cell>
          <cell r="B47" t="str">
            <v>Florence Crittenton Svcs of Orange County, Inc. dba Crittenton Services for Children and Families</v>
          </cell>
          <cell r="C47">
            <v>5974817</v>
          </cell>
        </row>
        <row r="48">
          <cell r="A48" t="str">
            <v>724</v>
          </cell>
          <cell r="B48" t="str">
            <v>Foothill Family Service</v>
          </cell>
          <cell r="C48">
            <v>12464279</v>
          </cell>
        </row>
        <row r="49">
          <cell r="A49" t="str">
            <v>300</v>
          </cell>
          <cell r="B49" t="str">
            <v>For The Child (Cedar House, Inc.)</v>
          </cell>
          <cell r="C49">
            <v>1693475</v>
          </cell>
        </row>
        <row r="50">
          <cell r="A50" t="str">
            <v>190</v>
          </cell>
          <cell r="B50" t="str">
            <v>Gateways Hospital and Mental Health Center</v>
          </cell>
          <cell r="C50">
            <v>17312148</v>
          </cell>
        </row>
        <row r="51">
          <cell r="A51" t="str">
            <v>174</v>
          </cell>
          <cell r="B51" t="str">
            <v>Hamburger Home (Aviva Center)</v>
          </cell>
          <cell r="C51">
            <v>9873047</v>
          </cell>
        </row>
        <row r="52">
          <cell r="A52" t="str">
            <v>206</v>
          </cell>
          <cell r="B52" t="str">
            <v>Harbor View Rehab. Center (Regency Health)</v>
          </cell>
          <cell r="C52">
            <v>5437042</v>
          </cell>
        </row>
        <row r="53">
          <cell r="A53" t="str">
            <v>192</v>
          </cell>
          <cell r="B53" t="str">
            <v>Hathaway - Sycamores Child and Family Services</v>
          </cell>
          <cell r="C53">
            <v>39240532</v>
          </cell>
        </row>
        <row r="54">
          <cell r="A54" t="str">
            <v>193</v>
          </cell>
          <cell r="B54" t="str">
            <v>Health Research Assn. (dba USC Satellite Housing Program)</v>
          </cell>
          <cell r="C54">
            <v>277600</v>
          </cell>
        </row>
        <row r="55">
          <cell r="A55" t="str">
            <v>209</v>
          </cell>
          <cell r="B55" t="str">
            <v>HealthView Inc.</v>
          </cell>
          <cell r="C55">
            <v>803376</v>
          </cell>
        </row>
        <row r="56">
          <cell r="A56" t="str">
            <v>1232</v>
          </cell>
          <cell r="B56" t="str">
            <v>Helpline Youth Counseling, Inc</v>
          </cell>
          <cell r="C56">
            <v>213017</v>
          </cell>
        </row>
        <row r="57">
          <cell r="A57" t="str">
            <v>965</v>
          </cell>
          <cell r="B57" t="str">
            <v>Heritage Cl &amp; the Comm Assis Prog for Srs dba Geronet</v>
          </cell>
          <cell r="C57">
            <v>2385100</v>
          </cell>
        </row>
        <row r="58">
          <cell r="A58" t="str">
            <v>321</v>
          </cell>
          <cell r="B58" t="str">
            <v>Hillsides Home for Children (The Church Home for Children)</v>
          </cell>
          <cell r="C58">
            <v>14244185</v>
          </cell>
        </row>
        <row r="59">
          <cell r="A59" t="str">
            <v>194</v>
          </cell>
          <cell r="B59" t="str">
            <v>Hillview Mental Health Center, Inc</v>
          </cell>
          <cell r="C59">
            <v>9473559</v>
          </cell>
        </row>
        <row r="60">
          <cell r="A60" t="str">
            <v>508</v>
          </cell>
          <cell r="B60" t="str">
            <v>Homes for Life Foundation</v>
          </cell>
          <cell r="C60">
            <v>1714944</v>
          </cell>
        </row>
        <row r="61">
          <cell r="A61" t="str">
            <v>699</v>
          </cell>
          <cell r="B61" t="str">
            <v>Institute for Multicultural Counseling &amp; Education Svcs, Inc</v>
          </cell>
          <cell r="C61">
            <v>2701240</v>
          </cell>
        </row>
        <row r="62">
          <cell r="A62" t="str">
            <v>171</v>
          </cell>
          <cell r="B62" t="str">
            <v>Institute for the Redesign of Learning (Almansor)</v>
          </cell>
          <cell r="C62">
            <v>10869062</v>
          </cell>
        </row>
        <row r="63">
          <cell r="A63" t="str">
            <v>195</v>
          </cell>
          <cell r="B63" t="str">
            <v>Intercommunity Child Guidance Center dba The Whole Child</v>
          </cell>
          <cell r="C63">
            <v>5734390</v>
          </cell>
        </row>
        <row r="64">
          <cell r="A64" t="str">
            <v>1521</v>
          </cell>
          <cell r="B64" t="str">
            <v>Jewish Family Service of Los Angeles</v>
          </cell>
          <cell r="C64">
            <v>1051300</v>
          </cell>
        </row>
        <row r="65">
          <cell r="A65" t="str">
            <v>1563</v>
          </cell>
          <cell r="B65" t="str">
            <v>JWCH Institute Inc.</v>
          </cell>
          <cell r="C65">
            <v>266710</v>
          </cell>
        </row>
        <row r="66">
          <cell r="A66" t="str">
            <v>197</v>
          </cell>
          <cell r="B66" t="str">
            <v>Kedren Comm MH Center</v>
          </cell>
          <cell r="C66">
            <v>28169768</v>
          </cell>
        </row>
        <row r="67">
          <cell r="A67" t="str">
            <v>326</v>
          </cell>
          <cell r="B67" t="str">
            <v>Koreatown Youth &amp; Community Center, Inc</v>
          </cell>
          <cell r="C67">
            <v>490760</v>
          </cell>
        </row>
        <row r="68">
          <cell r="A68" t="str">
            <v>317</v>
          </cell>
          <cell r="B68" t="str">
            <v>LAMP, Inc.</v>
          </cell>
          <cell r="C68">
            <v>2344545</v>
          </cell>
        </row>
        <row r="69">
          <cell r="A69" t="str">
            <v>697</v>
          </cell>
          <cell r="B69" t="str">
            <v>LeRoy Haynes Ctr. For Children &amp; Family Svcs. Inc</v>
          </cell>
          <cell r="C69">
            <v>2944583</v>
          </cell>
        </row>
        <row r="70">
          <cell r="A70" t="str">
            <v>315</v>
          </cell>
          <cell r="B70" t="str">
            <v>Los Angeles Unified School District</v>
          </cell>
          <cell r="C70">
            <v>3882869</v>
          </cell>
        </row>
        <row r="71">
          <cell r="A71" t="str">
            <v>1034</v>
          </cell>
          <cell r="B71" t="str">
            <v>Maryvale</v>
          </cell>
          <cell r="C71">
            <v>2554415</v>
          </cell>
        </row>
        <row r="72">
          <cell r="A72" t="str">
            <v>971</v>
          </cell>
          <cell r="B72" t="str">
            <v>McKinley Children's Center, Inc</v>
          </cell>
          <cell r="C72">
            <v>3391756</v>
          </cell>
        </row>
        <row r="73">
          <cell r="A73" t="str">
            <v>200</v>
          </cell>
          <cell r="B73" t="str">
            <v>Mental Health America of Los Angeles</v>
          </cell>
          <cell r="C73">
            <v>15094268</v>
          </cell>
        </row>
        <row r="74">
          <cell r="A74" t="str">
            <v>1142</v>
          </cell>
          <cell r="B74" t="str">
            <v>New Directions, Inc.</v>
          </cell>
          <cell r="C74">
            <v>64218</v>
          </cell>
        </row>
        <row r="75">
          <cell r="A75" t="str">
            <v>1170</v>
          </cell>
          <cell r="B75" t="str">
            <v>New Horizons Family Center</v>
          </cell>
          <cell r="C75">
            <v>732705</v>
          </cell>
        </row>
        <row r="76">
          <cell r="A76" t="str">
            <v>305</v>
          </cell>
          <cell r="B76" t="str">
            <v>Ocean Park Community Center</v>
          </cell>
          <cell r="C76">
            <v>312912</v>
          </cell>
        </row>
        <row r="77">
          <cell r="A77" t="str">
            <v>518</v>
          </cell>
          <cell r="B77" t="str">
            <v>Olive Crest Treatment Centers, Inc</v>
          </cell>
          <cell r="C77">
            <v>3116430</v>
          </cell>
        </row>
        <row r="78">
          <cell r="A78" t="str">
            <v>859</v>
          </cell>
          <cell r="B78" t="str">
            <v>One in Long Beach, Inc.(dba The Gay &amp; Lesbian Ctr. of Greater Long Beach)</v>
          </cell>
          <cell r="C78">
            <v>128000</v>
          </cell>
        </row>
        <row r="79">
          <cell r="A79" t="str">
            <v>781</v>
          </cell>
          <cell r="B79" t="str">
            <v>Optimist Boy's Home &amp; Ranch, Inc (Optimist Youth Homes &amp; Family Svcs)</v>
          </cell>
          <cell r="C79">
            <v>5754701</v>
          </cell>
        </row>
        <row r="80">
          <cell r="A80" t="str">
            <v>579</v>
          </cell>
          <cell r="B80" t="str">
            <v>Pacific Asian Counseling Services (WRAP)</v>
          </cell>
          <cell r="C80">
            <v>2655431</v>
          </cell>
        </row>
        <row r="81">
          <cell r="A81" t="str">
            <v>203</v>
          </cell>
          <cell r="B81" t="str">
            <v>Pacific Clinics</v>
          </cell>
          <cell r="C81">
            <v>80233007</v>
          </cell>
        </row>
        <row r="82">
          <cell r="A82" t="str">
            <v>1204</v>
          </cell>
          <cell r="B82" t="str">
            <v>Pacific Lodge Youth Services</v>
          </cell>
          <cell r="C82">
            <v>1745504</v>
          </cell>
        </row>
        <row r="83">
          <cell r="A83" t="str">
            <v>1169</v>
          </cell>
          <cell r="B83" t="str">
            <v>Para Los Ninos</v>
          </cell>
          <cell r="C83">
            <v>1172257</v>
          </cell>
        </row>
        <row r="84">
          <cell r="A84" t="str">
            <v>1228</v>
          </cell>
          <cell r="B84" t="str">
            <v>Pasadena Unified School District</v>
          </cell>
          <cell r="C84">
            <v>2621229</v>
          </cell>
        </row>
        <row r="85">
          <cell r="A85" t="str">
            <v>711</v>
          </cell>
          <cell r="B85" t="str">
            <v>Pediatric &amp; Family Medical Ctr. Dba Eisner Pediatric &amp; Family Medical Ctr.</v>
          </cell>
          <cell r="C85">
            <v>812644</v>
          </cell>
        </row>
        <row r="86">
          <cell r="A86" t="str">
            <v>201</v>
          </cell>
          <cell r="B86" t="str">
            <v>Penny Lane (National Foundation for the Treatment)</v>
          </cell>
          <cell r="C86">
            <v>21100701</v>
          </cell>
        </row>
        <row r="87">
          <cell r="A87" t="str">
            <v>1194</v>
          </cell>
          <cell r="B87" t="str">
            <v>Personal Involvement Center, Inc.</v>
          </cell>
          <cell r="C87">
            <v>3068398</v>
          </cell>
        </row>
        <row r="88">
          <cell r="A88" t="str">
            <v>805</v>
          </cell>
          <cell r="B88" t="str">
            <v>Phoenix Houses of Los Angeles, Inc.</v>
          </cell>
          <cell r="C88">
            <v>2341805</v>
          </cell>
        </row>
        <row r="89">
          <cell r="A89" t="str">
            <v>838</v>
          </cell>
          <cell r="B89" t="str">
            <v>Prototypes</v>
          </cell>
          <cell r="C89">
            <v>6490122</v>
          </cell>
        </row>
        <row r="90">
          <cell r="A90" t="str">
            <v>801</v>
          </cell>
          <cell r="B90" t="str">
            <v>Providence Comm. Serv. (formerly Aspen)</v>
          </cell>
          <cell r="C90">
            <v>6236108</v>
          </cell>
        </row>
        <row r="91">
          <cell r="A91" t="str">
            <v>848</v>
          </cell>
          <cell r="B91" t="str">
            <v>Rosemary Children's Services</v>
          </cell>
          <cell r="C91">
            <v>2144334</v>
          </cell>
        </row>
        <row r="92">
          <cell r="A92" t="str">
            <v>217</v>
          </cell>
          <cell r="B92" t="str">
            <v>Saint John's Health Center</v>
          </cell>
          <cell r="C92">
            <v>2968680</v>
          </cell>
        </row>
        <row r="93">
          <cell r="A93" t="str">
            <v>208</v>
          </cell>
          <cell r="B93" t="str">
            <v>San Fernando Valley Community MHC</v>
          </cell>
          <cell r="C93">
            <v>31253758</v>
          </cell>
        </row>
        <row r="94">
          <cell r="A94" t="str">
            <v>320</v>
          </cell>
          <cell r="B94" t="str">
            <v>San Gabriel Children's Center (RTI)</v>
          </cell>
          <cell r="C94">
            <v>4436764</v>
          </cell>
        </row>
        <row r="95">
          <cell r="A95" t="str">
            <v>1195</v>
          </cell>
          <cell r="B95" t="str">
            <v>Serenity Infant Care Homes, Inc</v>
          </cell>
          <cell r="C95">
            <v>945551</v>
          </cell>
        </row>
        <row r="96">
          <cell r="A96" t="str">
            <v>558</v>
          </cell>
          <cell r="B96" t="str">
            <v>SHIELDS for Families Project, Inc.</v>
          </cell>
          <cell r="C96">
            <v>10241170</v>
          </cell>
        </row>
        <row r="97">
          <cell r="A97" t="str">
            <v>212</v>
          </cell>
          <cell r="B97" t="str">
            <v>Social Model Recovery Systems, Inc (dba The River Community)</v>
          </cell>
          <cell r="C97">
            <v>2589126</v>
          </cell>
        </row>
        <row r="98">
          <cell r="A98" t="str">
            <v>213</v>
          </cell>
          <cell r="B98" t="str">
            <v>South Bay Children's Health Center</v>
          </cell>
          <cell r="C98">
            <v>948626</v>
          </cell>
        </row>
        <row r="99">
          <cell r="A99" t="str">
            <v>506</v>
          </cell>
          <cell r="B99" t="str">
            <v>South Central Health &amp; Rehab Program (SCHARP)</v>
          </cell>
          <cell r="C99">
            <v>7918921</v>
          </cell>
        </row>
        <row r="100">
          <cell r="A100" t="str">
            <v>1738</v>
          </cell>
          <cell r="B100" t="str">
            <v>Southern California Alcohol and Drug Program, Inc.</v>
          </cell>
          <cell r="C100">
            <v>200000</v>
          </cell>
        </row>
        <row r="101">
          <cell r="A101" t="str">
            <v>214</v>
          </cell>
          <cell r="B101" t="str">
            <v xml:space="preserve">Special Service For Groups </v>
          </cell>
          <cell r="C101">
            <v>29751054</v>
          </cell>
        </row>
        <row r="102">
          <cell r="A102" t="str">
            <v>1160</v>
          </cell>
          <cell r="B102" t="str">
            <v>SPIRITT Family Services, Inc</v>
          </cell>
          <cell r="C102">
            <v>539545</v>
          </cell>
        </row>
        <row r="103">
          <cell r="A103" t="str">
            <v>1186</v>
          </cell>
          <cell r="B103" t="str">
            <v>St. Anne's Maternity Home</v>
          </cell>
          <cell r="C103">
            <v>3235940</v>
          </cell>
        </row>
        <row r="104">
          <cell r="A104" t="str">
            <v>1366</v>
          </cell>
          <cell r="B104" t="str">
            <v>St. Francis Medical Center - Children's Couns. Ctr.</v>
          </cell>
          <cell r="C104">
            <v>2495138</v>
          </cell>
        </row>
        <row r="105">
          <cell r="A105" t="str">
            <v>218</v>
          </cell>
          <cell r="B105" t="str">
            <v>St. Joseph Center</v>
          </cell>
          <cell r="C105">
            <v>1145088</v>
          </cell>
        </row>
        <row r="106">
          <cell r="A106" t="str">
            <v>543</v>
          </cell>
          <cell r="B106" t="str">
            <v>Star View Adolescent Center</v>
          </cell>
          <cell r="C106">
            <v>31720193</v>
          </cell>
        </row>
        <row r="107">
          <cell r="A107" t="str">
            <v>215</v>
          </cell>
          <cell r="B107" t="str">
            <v>Step-Up On Second Street, Inc.</v>
          </cell>
          <cell r="C107">
            <v>3012533</v>
          </cell>
        </row>
        <row r="108">
          <cell r="A108" t="str">
            <v>216</v>
          </cell>
          <cell r="B108" t="str">
            <v>Stirling Academy, Incorporated</v>
          </cell>
          <cell r="C108">
            <v>3548719</v>
          </cell>
        </row>
        <row r="109">
          <cell r="A109" t="str">
            <v>1156</v>
          </cell>
          <cell r="B109" t="str">
            <v>Tarzana Treatment Center, Inc</v>
          </cell>
          <cell r="C109">
            <v>3692516</v>
          </cell>
        </row>
        <row r="110">
          <cell r="A110" t="str">
            <v>108</v>
          </cell>
          <cell r="B110" t="str">
            <v>Telecare Corporation</v>
          </cell>
          <cell r="C110">
            <v>9773057</v>
          </cell>
        </row>
        <row r="111">
          <cell r="A111" t="str">
            <v>1379</v>
          </cell>
          <cell r="B111" t="str">
            <v>Tessie Cleveland Community Services Corporation</v>
          </cell>
          <cell r="C111">
            <v>7086208</v>
          </cell>
        </row>
        <row r="112">
          <cell r="A112" t="str">
            <v>1066</v>
          </cell>
          <cell r="B112" t="str">
            <v>The Children's Center of the Antelope Valley</v>
          </cell>
          <cell r="C112">
            <v>1547892</v>
          </cell>
        </row>
        <row r="113">
          <cell r="A113" t="str">
            <v>1227</v>
          </cell>
          <cell r="B113" t="str">
            <v>The David &amp; Margaret Home, Inc</v>
          </cell>
          <cell r="C113">
            <v>2079878</v>
          </cell>
        </row>
        <row r="114">
          <cell r="A114" t="str">
            <v>191</v>
          </cell>
          <cell r="B114" t="str">
            <v>The Guidance Center (Greater Long Beach Child Guidance Ctr., Inc)</v>
          </cell>
          <cell r="C114">
            <v>12266632</v>
          </cell>
        </row>
        <row r="115">
          <cell r="A115" t="str">
            <v>198</v>
          </cell>
          <cell r="B115" t="str">
            <v>The Help Group Child &amp; Family Center (LA Center for Therapy &amp; Education)</v>
          </cell>
          <cell r="C115">
            <v>13618129</v>
          </cell>
        </row>
        <row r="116">
          <cell r="A116" t="str">
            <v>199</v>
          </cell>
          <cell r="B116" t="str">
            <v>The Los Angeles Child Guidance Clinic</v>
          </cell>
          <cell r="C116">
            <v>17269704</v>
          </cell>
        </row>
        <row r="117">
          <cell r="A117" t="str">
            <v>323</v>
          </cell>
          <cell r="B117" t="str">
            <v>The Los Angeles Free Clinic</v>
          </cell>
          <cell r="C117">
            <v>23300</v>
          </cell>
        </row>
        <row r="118">
          <cell r="A118" t="str">
            <v>304</v>
          </cell>
          <cell r="B118" t="str">
            <v>The Los Angeles Gay and Lesbian Comm Services Ctr</v>
          </cell>
          <cell r="C118">
            <v>112397</v>
          </cell>
        </row>
        <row r="119">
          <cell r="A119" t="str">
            <v>984</v>
          </cell>
          <cell r="B119" t="str">
            <v>The Regents / UCLA Ties for Adoption</v>
          </cell>
          <cell r="C119">
            <v>1516603</v>
          </cell>
        </row>
        <row r="120">
          <cell r="A120" t="str">
            <v>1224</v>
          </cell>
          <cell r="B120" t="str">
            <v>The Village Family Services</v>
          </cell>
          <cell r="C120">
            <v>4572350</v>
          </cell>
        </row>
        <row r="121">
          <cell r="A121" t="str">
            <v>1171</v>
          </cell>
          <cell r="B121" t="str">
            <v>Tobinworld</v>
          </cell>
          <cell r="C121">
            <v>1185471</v>
          </cell>
        </row>
        <row r="122">
          <cell r="A122" t="str">
            <v>630</v>
          </cell>
          <cell r="B122" t="str">
            <v>Topanga-Roscoe Corporation (Topanga West)</v>
          </cell>
          <cell r="C122">
            <v>432116</v>
          </cell>
        </row>
        <row r="123">
          <cell r="A123" t="str">
            <v>309</v>
          </cell>
          <cell r="B123" t="str">
            <v>Traveler's Aid Society of Los Angeles</v>
          </cell>
          <cell r="C123">
            <v>76306</v>
          </cell>
        </row>
        <row r="124">
          <cell r="A124" t="str">
            <v>66</v>
          </cell>
          <cell r="B124" t="str">
            <v>Tri-City Mental Health Center</v>
          </cell>
          <cell r="C124">
            <v>4582015</v>
          </cell>
        </row>
        <row r="125">
          <cell r="A125" t="str">
            <v>1026</v>
          </cell>
          <cell r="B125" t="str">
            <v>Trinity Youth Services (Trinity El Monte - Trinity Children &amp; Family Svcs)</v>
          </cell>
          <cell r="C125">
            <v>1052201</v>
          </cell>
        </row>
        <row r="126">
          <cell r="A126" t="str">
            <v>938</v>
          </cell>
          <cell r="B126" t="str">
            <v>United American Indian Involvement, Inc.</v>
          </cell>
          <cell r="C126">
            <v>1393088</v>
          </cell>
        </row>
        <row r="127">
          <cell r="A127" t="str">
            <v>221</v>
          </cell>
          <cell r="B127" t="str">
            <v>Verdugo Mental Health Center</v>
          </cell>
          <cell r="C127">
            <v>5001857</v>
          </cell>
        </row>
        <row r="128">
          <cell r="A128" t="str">
            <v>1044</v>
          </cell>
          <cell r="B128" t="str">
            <v>VIP Community Mental Health Center</v>
          </cell>
          <cell r="C128">
            <v>7319255</v>
          </cell>
        </row>
        <row r="129">
          <cell r="A129" t="str">
            <v>196</v>
          </cell>
          <cell r="B129" t="str">
            <v>Vista Del Mar Child and Family Services (Jewish Orphans of So. Cal.)</v>
          </cell>
          <cell r="C129">
            <v>11975278</v>
          </cell>
        </row>
        <row r="130">
          <cell r="A130" t="str">
            <v>310</v>
          </cell>
          <cell r="B130" t="str">
            <v>Watts Labor Community Action Committee - WLCAC</v>
          </cell>
          <cell r="C130">
            <v>252100</v>
          </cell>
        </row>
        <row r="131">
          <cell r="A131" t="str">
            <v>316</v>
          </cell>
          <cell r="B131" t="str">
            <v>Westside Center For Independent Living, Incorporated</v>
          </cell>
          <cell r="C131">
            <v>105317</v>
          </cell>
        </row>
        <row r="132">
          <cell r="A132" t="str">
            <v>1559</v>
          </cell>
          <cell r="B132" t="str">
            <v>Wise &amp; Healthy Aging</v>
          </cell>
          <cell r="C132">
            <v>370251</v>
          </cell>
        </row>
      </sheetData>
      <sheetData sheetId="4"/>
      <sheetData sheetId="5"/>
      <sheetData sheetId="6">
        <row r="2">
          <cell r="A2" t="str">
            <v>256</v>
          </cell>
          <cell r="B2" t="str">
            <v>1736 Family Crisis Center</v>
          </cell>
          <cell r="C2">
            <v>266500</v>
          </cell>
        </row>
        <row r="3">
          <cell r="A3" t="str">
            <v>269</v>
          </cell>
          <cell r="B3" t="str">
            <v>Aids Project Los Angeles, Incorporated</v>
          </cell>
          <cell r="C3">
            <v>32109</v>
          </cell>
        </row>
        <row r="4">
          <cell r="A4" t="str">
            <v>177</v>
          </cell>
          <cell r="B4" t="str">
            <v xml:space="preserve">Alcott Center for Mental Health Services </v>
          </cell>
          <cell r="C4">
            <v>1472628</v>
          </cell>
        </row>
        <row r="5">
          <cell r="A5" t="str">
            <v>173</v>
          </cell>
          <cell r="B5" t="str">
            <v>Alma Family Services</v>
          </cell>
          <cell r="C5">
            <v>7671393</v>
          </cell>
        </row>
        <row r="6">
          <cell r="A6" t="str">
            <v>40010</v>
          </cell>
          <cell r="B6" t="str">
            <v>ALTAMED HEALTH SERVICES CORP</v>
          </cell>
          <cell r="C6">
            <v>130787</v>
          </cell>
        </row>
        <row r="7">
          <cell r="A7" t="str">
            <v>180</v>
          </cell>
          <cell r="B7" t="str">
            <v>Amanecer Community Counseling Service of Los Angeles, Inc.</v>
          </cell>
          <cell r="C7">
            <v>7890067</v>
          </cell>
        </row>
        <row r="8">
          <cell r="A8" t="str">
            <v>40020</v>
          </cell>
          <cell r="B8" t="str">
            <v>ANTELOPE VALLEY COMMUNITY CLINIC</v>
          </cell>
          <cell r="C8">
            <v>5000</v>
          </cell>
        </row>
        <row r="9">
          <cell r="A9" t="str">
            <v>409</v>
          </cell>
          <cell r="B9" t="str">
            <v>ASC Treatment Group (The Anne Sippi Clinic)</v>
          </cell>
          <cell r="C9">
            <v>1369800</v>
          </cell>
        </row>
        <row r="10">
          <cell r="A10" t="str">
            <v>1167</v>
          </cell>
          <cell r="B10" t="str">
            <v>Asian American Drug Abuse Program, Inc</v>
          </cell>
          <cell r="C10">
            <v>444564</v>
          </cell>
        </row>
        <row r="11">
          <cell r="A11" t="str">
            <v>40030</v>
          </cell>
          <cell r="B11" t="str">
            <v>ASIAN PACIFIC HEALTH CARE VENTURE, INC.</v>
          </cell>
          <cell r="C11">
            <v>223778</v>
          </cell>
        </row>
        <row r="12">
          <cell r="A12" t="str">
            <v>888</v>
          </cell>
          <cell r="B12" t="str">
            <v>Aurora Charter Oak, LLC  (Charter Behav Hlth Sys)</v>
          </cell>
          <cell r="C12">
            <v>1744800</v>
          </cell>
        </row>
        <row r="13">
          <cell r="A13" t="str">
            <v>274</v>
          </cell>
          <cell r="B13" t="str">
            <v>B.R.I.D.G.E.S.</v>
          </cell>
          <cell r="C13">
            <v>2396517</v>
          </cell>
        </row>
        <row r="14">
          <cell r="A14" t="str">
            <v>175</v>
          </cell>
          <cell r="B14" t="str">
            <v>Barbour and Floyd Associates</v>
          </cell>
          <cell r="C14">
            <v>2024600</v>
          </cell>
        </row>
        <row r="15">
          <cell r="A15" t="str">
            <v>1150</v>
          </cell>
          <cell r="B15" t="str">
            <v>Behavioral Health Services</v>
          </cell>
          <cell r="C15">
            <v>731038</v>
          </cell>
        </row>
        <row r="16">
          <cell r="A16" t="str">
            <v>860</v>
          </cell>
          <cell r="B16" t="str">
            <v>Bienvenidos Children's Center, Inc.</v>
          </cell>
          <cell r="C16">
            <v>5289007</v>
          </cell>
        </row>
        <row r="17">
          <cell r="A17" t="str">
            <v>1149</v>
          </cell>
          <cell r="B17" t="str">
            <v>California Hispanic Commission (James Z Hernandez Executive Director)</v>
          </cell>
          <cell r="C17">
            <v>3131315</v>
          </cell>
        </row>
        <row r="18">
          <cell r="A18" t="str">
            <v>1192</v>
          </cell>
          <cell r="B18" t="str">
            <v>California Institute of Health &amp; Social Services, Inc.(Alafia MH)</v>
          </cell>
          <cell r="C18">
            <v>2082189</v>
          </cell>
        </row>
        <row r="19">
          <cell r="A19" t="str">
            <v>1285</v>
          </cell>
          <cell r="B19" t="str">
            <v>Catholic Healthcare West dba California Hospital Medical Center</v>
          </cell>
          <cell r="C19">
            <v>1041784</v>
          </cell>
        </row>
        <row r="20">
          <cell r="A20" t="str">
            <v>178</v>
          </cell>
          <cell r="B20" t="str">
            <v>Cedars-Sinai Medical Center (Thalians)</v>
          </cell>
          <cell r="C20">
            <v>1037221</v>
          </cell>
        </row>
        <row r="21">
          <cell r="A21" t="str">
            <v>1209</v>
          </cell>
          <cell r="B21" t="str">
            <v>Center for Integrated Family &amp; Health Services</v>
          </cell>
          <cell r="C21">
            <v>1288907</v>
          </cell>
        </row>
        <row r="22">
          <cell r="A22" t="str">
            <v>40250</v>
          </cell>
          <cell r="B22" t="str">
            <v>CENTRAL CITY COMMUNITY HEALTH CENTER INC.</v>
          </cell>
          <cell r="C22">
            <v>5000</v>
          </cell>
        </row>
        <row r="23">
          <cell r="A23" t="str">
            <v>210</v>
          </cell>
          <cell r="B23" t="str">
            <v>Child and Family Center (Santa Clarita Valley Child)   EPSDT</v>
          </cell>
          <cell r="C23">
            <v>10228787</v>
          </cell>
        </row>
        <row r="24">
          <cell r="A24" t="str">
            <v>207</v>
          </cell>
          <cell r="B24" t="str">
            <v>Child and Family Guidance Center  (SFV)</v>
          </cell>
          <cell r="C24">
            <v>25071726</v>
          </cell>
        </row>
        <row r="25">
          <cell r="A25" t="str">
            <v>783</v>
          </cell>
          <cell r="B25" t="str">
            <v>ChildNet Youth and Family Services, Inc.</v>
          </cell>
          <cell r="C25">
            <v>12187839</v>
          </cell>
        </row>
        <row r="26">
          <cell r="A26" t="str">
            <v>668</v>
          </cell>
          <cell r="B26" t="str">
            <v>Children's Bureau of Southern California</v>
          </cell>
          <cell r="C26">
            <v>13889543</v>
          </cell>
        </row>
        <row r="27">
          <cell r="A27" t="str">
            <v>179</v>
          </cell>
          <cell r="B27" t="str">
            <v>Children's Hospital of Los Angeles</v>
          </cell>
          <cell r="C27">
            <v>12112609</v>
          </cell>
        </row>
        <row r="28">
          <cell r="A28" t="str">
            <v>591</v>
          </cell>
          <cell r="B28" t="str">
            <v>Children's Institute Inc.</v>
          </cell>
          <cell r="C28">
            <v>20076011</v>
          </cell>
        </row>
        <row r="29">
          <cell r="A29" t="str">
            <v>40260</v>
          </cell>
          <cell r="B29" t="str">
            <v>CHINATOWN SERVICE CENTER</v>
          </cell>
          <cell r="C29">
            <v>132587</v>
          </cell>
        </row>
        <row r="30">
          <cell r="A30" t="str">
            <v>322</v>
          </cell>
          <cell r="B30" t="str">
            <v>City of Gardena</v>
          </cell>
          <cell r="C30">
            <v>33742</v>
          </cell>
        </row>
        <row r="31">
          <cell r="A31" t="str">
            <v>40040</v>
          </cell>
          <cell r="B31" t="str">
            <v>CLINICA MONSENOR OSCAR A. ROMERO</v>
          </cell>
          <cell r="C31">
            <v>329967</v>
          </cell>
        </row>
        <row r="32">
          <cell r="A32" t="str">
            <v>327</v>
          </cell>
          <cell r="B32" t="str">
            <v>Clontarf Manor</v>
          </cell>
          <cell r="C32">
            <v>850215</v>
          </cell>
        </row>
        <row r="33">
          <cell r="A33" t="str">
            <v>666</v>
          </cell>
          <cell r="B33" t="str">
            <v>College Hospital - Cerritos</v>
          </cell>
          <cell r="C33">
            <v>1316400</v>
          </cell>
        </row>
        <row r="34">
          <cell r="A34" t="str">
            <v>181</v>
          </cell>
          <cell r="B34" t="str">
            <v>Community Family Guidance Ctr (Fam Youth &amp; Stars)</v>
          </cell>
          <cell r="C34">
            <v>5497967</v>
          </cell>
        </row>
        <row r="35">
          <cell r="A35" t="str">
            <v>40060</v>
          </cell>
          <cell r="B35" t="str">
            <v>COMMUNITY HEALTH ALLIANCE OF PASADENA</v>
          </cell>
          <cell r="C35">
            <v>210579</v>
          </cell>
        </row>
        <row r="36">
          <cell r="A36" t="str">
            <v>779</v>
          </cell>
          <cell r="B36" t="str">
            <v>Counseling  &amp; Research Assn, Inc (Masada Homes)</v>
          </cell>
          <cell r="C36">
            <v>11927547</v>
          </cell>
        </row>
        <row r="37">
          <cell r="A37" t="str">
            <v>694</v>
          </cell>
          <cell r="B37" t="str">
            <v>Counseling 4 Kids (Childreach)</v>
          </cell>
          <cell r="C37">
            <v>5903635</v>
          </cell>
        </row>
        <row r="38">
          <cell r="A38" t="str">
            <v>183</v>
          </cell>
          <cell r="B38" t="str">
            <v xml:space="preserve">Didi Hirsch Psychiatric Service </v>
          </cell>
          <cell r="C38">
            <v>27476782</v>
          </cell>
        </row>
        <row r="39">
          <cell r="A39" t="str">
            <v>1181</v>
          </cell>
          <cell r="B39" t="str">
            <v>Drew Child Development Corporation</v>
          </cell>
          <cell r="C39">
            <v>2006899</v>
          </cell>
        </row>
        <row r="40">
          <cell r="A40" t="str">
            <v>184</v>
          </cell>
          <cell r="B40" t="str">
            <v>Dubnoff Center for Child Development</v>
          </cell>
          <cell r="C40">
            <v>2850132</v>
          </cell>
        </row>
        <row r="41">
          <cell r="A41" t="str">
            <v>778</v>
          </cell>
          <cell r="B41" t="str">
            <v>D'Veal Corp (D'Veal Family and Youth Svcs)</v>
          </cell>
          <cell r="C41">
            <v>8010343</v>
          </cell>
        </row>
        <row r="42">
          <cell r="A42" t="str">
            <v>40700</v>
          </cell>
          <cell r="B42" t="str">
            <v>EAST VALLEY COMMUNITY HEALTH CENTER INC.</v>
          </cell>
          <cell r="C42">
            <v>500000</v>
          </cell>
        </row>
        <row r="43">
          <cell r="A43" t="str">
            <v>185</v>
          </cell>
          <cell r="B43" t="str">
            <v>El Centro De Amistad, Incorporated</v>
          </cell>
          <cell r="C43">
            <v>2717933</v>
          </cell>
        </row>
        <row r="44">
          <cell r="A44" t="str">
            <v>1250</v>
          </cell>
          <cell r="B44" t="str">
            <v>El Centro Del Pueblo, Inc.</v>
          </cell>
          <cell r="C44">
            <v>690741</v>
          </cell>
        </row>
        <row r="45">
          <cell r="A45" t="str">
            <v>40330</v>
          </cell>
          <cell r="B45" t="str">
            <v>EL PROYECTO DEL BARRIO</v>
          </cell>
          <cell r="C45">
            <v>285571</v>
          </cell>
        </row>
        <row r="46">
          <cell r="A46" t="str">
            <v>40280</v>
          </cell>
          <cell r="B46" t="str">
            <v>ELDORADO COMMUNITY SERVICE CENTER</v>
          </cell>
          <cell r="C46">
            <v>107989</v>
          </cell>
        </row>
        <row r="47">
          <cell r="A47" t="str">
            <v>1311</v>
          </cell>
          <cell r="B47" t="str">
            <v>Emotional Health Association(dba SHARE the Self-Help &amp; Recovery Exchange)</v>
          </cell>
          <cell r="C47">
            <v>767100</v>
          </cell>
        </row>
        <row r="48">
          <cell r="A48" t="str">
            <v>188</v>
          </cell>
          <cell r="B48" t="str">
            <v>ENKI Hlth and Research, Sys, Inc. (Children &amp; Youth)</v>
          </cell>
          <cell r="C48">
            <v>29002234</v>
          </cell>
        </row>
        <row r="49">
          <cell r="A49" t="str">
            <v>995</v>
          </cell>
          <cell r="B49" t="str">
            <v>Ettie Lee Homes, Inc.</v>
          </cell>
          <cell r="C49">
            <v>3109107</v>
          </cell>
        </row>
        <row r="50">
          <cell r="A50" t="str">
            <v>1567</v>
          </cell>
          <cell r="B50" t="str">
            <v>Exceptional Children's Foundation</v>
          </cell>
          <cell r="C50">
            <v>1009854</v>
          </cell>
        </row>
        <row r="51">
          <cell r="A51" t="str">
            <v>527</v>
          </cell>
          <cell r="B51" t="str">
            <v>Exodus Recovery, Inc.</v>
          </cell>
          <cell r="C51">
            <v>13779964</v>
          </cell>
        </row>
        <row r="52">
          <cell r="A52" t="str">
            <v>120</v>
          </cell>
          <cell r="B52" t="str">
            <v>Families First, Inc. dba EMQ</v>
          </cell>
          <cell r="C52">
            <v>6845087</v>
          </cell>
        </row>
        <row r="53">
          <cell r="A53" t="str">
            <v>302</v>
          </cell>
          <cell r="B53" t="str">
            <v>Filipino-American Services Group, Incorporated</v>
          </cell>
          <cell r="C53">
            <v>21134</v>
          </cell>
        </row>
        <row r="54">
          <cell r="A54" t="str">
            <v>647</v>
          </cell>
          <cell r="B54" t="str">
            <v xml:space="preserve">Five Acres - The Boys and Girls Aid Society </v>
          </cell>
          <cell r="C54">
            <v>15649151</v>
          </cell>
        </row>
        <row r="55">
          <cell r="A55" t="str">
            <v>870</v>
          </cell>
          <cell r="B55" t="str">
            <v>Florence Crittenton Svcs of Orange County, Inc. dba Crittenton Services for Children and Families</v>
          </cell>
          <cell r="C55">
            <v>5955944</v>
          </cell>
        </row>
        <row r="56">
          <cell r="A56" t="str">
            <v>724</v>
          </cell>
          <cell r="B56" t="str">
            <v>Foothill Family Service</v>
          </cell>
          <cell r="C56">
            <v>12323853</v>
          </cell>
        </row>
        <row r="57">
          <cell r="A57" t="str">
            <v>300</v>
          </cell>
          <cell r="B57" t="str">
            <v>For The Child (Cedar House, Inc.)</v>
          </cell>
          <cell r="C57">
            <v>1825962</v>
          </cell>
        </row>
        <row r="58">
          <cell r="A58" t="str">
            <v>40360</v>
          </cell>
          <cell r="B58" t="str">
            <v>GARFIELD HEALTH CENTER</v>
          </cell>
          <cell r="C58">
            <v>92391</v>
          </cell>
        </row>
        <row r="59">
          <cell r="A59" t="str">
            <v>190</v>
          </cell>
          <cell r="B59" t="str">
            <v>Gateways Hospital and Mental Health Center</v>
          </cell>
          <cell r="C59">
            <v>17295230</v>
          </cell>
        </row>
        <row r="60">
          <cell r="A60" t="str">
            <v>174</v>
          </cell>
          <cell r="B60" t="str">
            <v>Hamburger Home (Aviva Center)</v>
          </cell>
          <cell r="C60">
            <v>9817789</v>
          </cell>
        </row>
        <row r="61">
          <cell r="A61" t="str">
            <v>40090</v>
          </cell>
          <cell r="B61" t="str">
            <v>HARBOR COMMUNITY CLINIC</v>
          </cell>
          <cell r="C61">
            <v>6600</v>
          </cell>
        </row>
        <row r="62">
          <cell r="A62" t="str">
            <v>206</v>
          </cell>
          <cell r="B62" t="str">
            <v>Harbor View Rehab. Center (Regency Health)</v>
          </cell>
          <cell r="C62">
            <v>5423316</v>
          </cell>
        </row>
        <row r="63">
          <cell r="A63" t="str">
            <v>192</v>
          </cell>
          <cell r="B63" t="str">
            <v>Hathaway - Sycamores Child and Family Services</v>
          </cell>
          <cell r="C63">
            <v>39794159</v>
          </cell>
        </row>
        <row r="64">
          <cell r="A64" t="str">
            <v>193</v>
          </cell>
          <cell r="B64" t="str">
            <v>Health Research Assn. (dba USC Satellite Housing Program)</v>
          </cell>
          <cell r="C64">
            <v>277600</v>
          </cell>
        </row>
        <row r="65">
          <cell r="A65" t="str">
            <v>209</v>
          </cell>
          <cell r="B65" t="str">
            <v>HealthView Inc.</v>
          </cell>
          <cell r="C65">
            <v>803376</v>
          </cell>
        </row>
        <row r="66">
          <cell r="A66" t="str">
            <v>1232</v>
          </cell>
          <cell r="B66" t="str">
            <v>Helpline Youth Counseling, Inc</v>
          </cell>
          <cell r="C66">
            <v>207317</v>
          </cell>
        </row>
        <row r="67">
          <cell r="A67" t="str">
            <v>965</v>
          </cell>
          <cell r="B67" t="str">
            <v>Heritage Cl &amp; the Comm Assis Prog for Srs dba Geronet</v>
          </cell>
          <cell r="C67">
            <v>2412100</v>
          </cell>
        </row>
        <row r="68">
          <cell r="A68" t="str">
            <v>321</v>
          </cell>
          <cell r="B68" t="str">
            <v>Hillsides Home for Children (The Church Home for Children)</v>
          </cell>
          <cell r="C68">
            <v>14200482</v>
          </cell>
        </row>
        <row r="69">
          <cell r="A69" t="str">
            <v>194</v>
          </cell>
          <cell r="B69" t="str">
            <v>Hillview Mental Health Center, Inc</v>
          </cell>
          <cell r="C69">
            <v>9167800</v>
          </cell>
        </row>
        <row r="70">
          <cell r="A70" t="str">
            <v>508</v>
          </cell>
          <cell r="B70" t="str">
            <v>Homes for Life Foundation</v>
          </cell>
          <cell r="C70">
            <v>1455444</v>
          </cell>
        </row>
        <row r="71">
          <cell r="A71" t="str">
            <v>699</v>
          </cell>
          <cell r="B71" t="str">
            <v>Institute for Multicultural Counseling &amp; Education Svcs, Inc</v>
          </cell>
          <cell r="C71">
            <v>2617239</v>
          </cell>
        </row>
        <row r="72">
          <cell r="A72" t="str">
            <v>171</v>
          </cell>
          <cell r="B72" t="str">
            <v>Institute for the Redesign of Learning (Almansor)</v>
          </cell>
          <cell r="C72">
            <v>10553302</v>
          </cell>
        </row>
        <row r="73">
          <cell r="A73" t="str">
            <v>195</v>
          </cell>
          <cell r="B73" t="str">
            <v>Intercommunity Child Guidance Center dba The Whole Child</v>
          </cell>
          <cell r="C73">
            <v>5594196</v>
          </cell>
        </row>
        <row r="74">
          <cell r="A74" t="str">
            <v>1521</v>
          </cell>
          <cell r="B74" t="str">
            <v>Jewish Family Service of Los Angeles</v>
          </cell>
          <cell r="C74">
            <v>1076300</v>
          </cell>
        </row>
        <row r="75">
          <cell r="A75" t="str">
            <v>1563</v>
          </cell>
          <cell r="B75" t="str">
            <v>JWCH Institute Inc.</v>
          </cell>
          <cell r="C75">
            <v>320052</v>
          </cell>
        </row>
        <row r="76">
          <cell r="A76" t="str">
            <v>197</v>
          </cell>
          <cell r="B76" t="str">
            <v>Kedren Comm MH Center</v>
          </cell>
          <cell r="C76">
            <v>28129713</v>
          </cell>
        </row>
        <row r="77">
          <cell r="A77" t="str">
            <v>326</v>
          </cell>
          <cell r="B77" t="str">
            <v>Koreatown Youth &amp; Community Center, Inc</v>
          </cell>
          <cell r="C77">
            <v>529830</v>
          </cell>
        </row>
        <row r="78">
          <cell r="A78" t="str">
            <v>317</v>
          </cell>
          <cell r="B78" t="str">
            <v>LAMP, Inc.</v>
          </cell>
          <cell r="C78">
            <v>2344500</v>
          </cell>
        </row>
        <row r="79">
          <cell r="A79" t="str">
            <v>697</v>
          </cell>
          <cell r="B79" t="str">
            <v>LeRoy Haynes Ctr. For Children &amp; Family Svcs. Inc</v>
          </cell>
          <cell r="C79">
            <v>2913980</v>
          </cell>
        </row>
        <row r="80">
          <cell r="A80" t="str">
            <v>315</v>
          </cell>
          <cell r="B80" t="str">
            <v>Los Angeles Unified School District</v>
          </cell>
          <cell r="C80">
            <v>3849161</v>
          </cell>
        </row>
        <row r="81">
          <cell r="A81" t="str">
            <v>1034</v>
          </cell>
          <cell r="B81" t="str">
            <v>Maryvale</v>
          </cell>
          <cell r="C81">
            <v>2528905</v>
          </cell>
        </row>
        <row r="82">
          <cell r="A82" t="str">
            <v>971</v>
          </cell>
          <cell r="B82" t="str">
            <v>McKinley Children's Center, Inc</v>
          </cell>
          <cell r="C82">
            <v>3358342</v>
          </cell>
        </row>
        <row r="83">
          <cell r="A83" t="str">
            <v>200</v>
          </cell>
          <cell r="B83" t="str">
            <v>Mental Health America of Los Angeles</v>
          </cell>
          <cell r="C83">
            <v>14871248</v>
          </cell>
        </row>
        <row r="84">
          <cell r="A84" t="str">
            <v>40130</v>
          </cell>
          <cell r="B84" t="str">
            <v>MISSION CITY COMMUNITY NETWORK, INC.</v>
          </cell>
          <cell r="C84">
            <v>135587</v>
          </cell>
        </row>
        <row r="85">
          <cell r="A85" t="str">
            <v>1142</v>
          </cell>
          <cell r="B85" t="str">
            <v>New Directions, Inc.</v>
          </cell>
          <cell r="C85">
            <v>64218</v>
          </cell>
        </row>
        <row r="86">
          <cell r="A86" t="str">
            <v>40470</v>
          </cell>
          <cell r="B86" t="str">
            <v>NORTHEAST COMMUNITY CLINIC</v>
          </cell>
          <cell r="C86">
            <v>18599</v>
          </cell>
        </row>
        <row r="87">
          <cell r="A87" t="str">
            <v>305</v>
          </cell>
          <cell r="B87" t="str">
            <v>Ocean Park Community Center</v>
          </cell>
          <cell r="C87">
            <v>424604</v>
          </cell>
        </row>
        <row r="88">
          <cell r="A88" t="str">
            <v>518</v>
          </cell>
          <cell r="B88" t="str">
            <v>Olive Crest Treatment Centers, Inc</v>
          </cell>
          <cell r="C88">
            <v>3116430</v>
          </cell>
        </row>
        <row r="89">
          <cell r="A89" t="str">
            <v>859</v>
          </cell>
          <cell r="B89" t="str">
            <v>One in Long Beach, Inc.(dba The Gay &amp; Lesbian Ctr. of Greater Long Beach)</v>
          </cell>
          <cell r="C89">
            <v>128000</v>
          </cell>
        </row>
        <row r="90">
          <cell r="A90" t="str">
            <v>781</v>
          </cell>
          <cell r="B90" t="str">
            <v>Optimist Boy's Home &amp; Ranch, Inc (Optimist Youth Homes &amp; Family Svcs)</v>
          </cell>
          <cell r="C90">
            <v>5724999</v>
          </cell>
        </row>
        <row r="91">
          <cell r="A91" t="str">
            <v>579</v>
          </cell>
          <cell r="B91" t="str">
            <v>Pacific Asian Counseling Services (WRAP)</v>
          </cell>
          <cell r="C91">
            <v>2451713</v>
          </cell>
        </row>
        <row r="92">
          <cell r="A92" t="str">
            <v>203</v>
          </cell>
          <cell r="B92" t="str">
            <v>Pacific Clinics</v>
          </cell>
          <cell r="C92">
            <v>76109315</v>
          </cell>
        </row>
        <row r="93">
          <cell r="A93" t="str">
            <v>1204</v>
          </cell>
          <cell r="B93" t="str">
            <v>Pacific Lodge Youth Services</v>
          </cell>
          <cell r="C93">
            <v>1727770</v>
          </cell>
        </row>
        <row r="94">
          <cell r="A94" t="str">
            <v>1169</v>
          </cell>
          <cell r="B94" t="str">
            <v>Para Los Ninos</v>
          </cell>
          <cell r="C94">
            <v>1172496</v>
          </cell>
        </row>
        <row r="95">
          <cell r="A95" t="str">
            <v>1228</v>
          </cell>
          <cell r="B95" t="str">
            <v>Pasadena Unified School District</v>
          </cell>
          <cell r="C95">
            <v>2593957</v>
          </cell>
        </row>
        <row r="96">
          <cell r="A96" t="str">
            <v>711</v>
          </cell>
          <cell r="B96" t="str">
            <v>Pediatric &amp; Family Medical Ctr. Dba Eisner Pediatric &amp; Family Medical Ctr.</v>
          </cell>
          <cell r="C96">
            <v>966612</v>
          </cell>
        </row>
        <row r="97">
          <cell r="A97" t="str">
            <v>201</v>
          </cell>
          <cell r="B97" t="str">
            <v>Penny Lane (National Foundation for the Treatment)</v>
          </cell>
          <cell r="C97">
            <v>20566557</v>
          </cell>
        </row>
        <row r="98">
          <cell r="A98" t="str">
            <v>1194</v>
          </cell>
          <cell r="B98" t="str">
            <v>Personal Involvement Center, Inc.</v>
          </cell>
          <cell r="C98">
            <v>3051882</v>
          </cell>
        </row>
        <row r="99">
          <cell r="A99" t="str">
            <v>805</v>
          </cell>
          <cell r="B99" t="str">
            <v>Phoenix Houses of Los Angeles, Inc.</v>
          </cell>
          <cell r="C99">
            <v>2262703</v>
          </cell>
        </row>
        <row r="100">
          <cell r="A100" t="str">
            <v>838</v>
          </cell>
          <cell r="B100" t="str">
            <v>Prototypes</v>
          </cell>
          <cell r="C100">
            <v>6152121</v>
          </cell>
        </row>
        <row r="101">
          <cell r="A101" t="str">
            <v>801</v>
          </cell>
          <cell r="B101" t="str">
            <v>Providence Comm. Serv. (formerly Aspen)</v>
          </cell>
          <cell r="C101">
            <v>6163817</v>
          </cell>
        </row>
        <row r="102">
          <cell r="A102" t="str">
            <v>848</v>
          </cell>
          <cell r="B102" t="str">
            <v>Rosemary Children's Services</v>
          </cell>
          <cell r="C102">
            <v>2131191</v>
          </cell>
        </row>
        <row r="103">
          <cell r="A103" t="str">
            <v>217</v>
          </cell>
          <cell r="B103" t="str">
            <v>Saint John's Health Center</v>
          </cell>
          <cell r="C103">
            <v>2928542</v>
          </cell>
        </row>
        <row r="104">
          <cell r="A104" t="str">
            <v>208</v>
          </cell>
          <cell r="B104" t="str">
            <v>San Fernando Valley Community MHC</v>
          </cell>
          <cell r="C104">
            <v>30747196</v>
          </cell>
        </row>
        <row r="105">
          <cell r="A105" t="str">
            <v>320</v>
          </cell>
          <cell r="B105" t="str">
            <v>San Gabriel Children's Center (RTI)</v>
          </cell>
          <cell r="C105">
            <v>4421887</v>
          </cell>
        </row>
        <row r="106">
          <cell r="A106" t="str">
            <v>558</v>
          </cell>
          <cell r="B106" t="str">
            <v>SHIELDS for Families Project, Inc.</v>
          </cell>
          <cell r="C106">
            <v>9867485</v>
          </cell>
        </row>
        <row r="107">
          <cell r="A107" t="str">
            <v>212</v>
          </cell>
          <cell r="B107" t="str">
            <v>Social Model Recovery Systems, Inc (dba The River Community)</v>
          </cell>
          <cell r="C107">
            <v>2591126</v>
          </cell>
        </row>
        <row r="108">
          <cell r="A108" t="str">
            <v>213</v>
          </cell>
          <cell r="B108" t="str">
            <v>South Bay Children's Health Center</v>
          </cell>
          <cell r="C108">
            <v>937220</v>
          </cell>
        </row>
        <row r="109">
          <cell r="A109" t="str">
            <v>40170</v>
          </cell>
          <cell r="B109" t="str">
            <v>SOUTH BAY FAMILY HEALTHCARE CENTER</v>
          </cell>
          <cell r="C109">
            <v>429557</v>
          </cell>
        </row>
        <row r="110">
          <cell r="A110" t="str">
            <v>506</v>
          </cell>
          <cell r="B110" t="str">
            <v>South Central Health &amp; Rehab Program (SCHARP)</v>
          </cell>
          <cell r="C110">
            <v>7437403</v>
          </cell>
        </row>
        <row r="111">
          <cell r="A111" t="str">
            <v>1738</v>
          </cell>
          <cell r="B111" t="str">
            <v>Southern California Alcohol and Drug Program, Inc.</v>
          </cell>
          <cell r="C111">
            <v>200000</v>
          </cell>
        </row>
        <row r="112">
          <cell r="A112" t="str">
            <v>214</v>
          </cell>
          <cell r="B112" t="str">
            <v xml:space="preserve">Special Service For Groups </v>
          </cell>
          <cell r="C112">
            <v>29068478</v>
          </cell>
        </row>
        <row r="113">
          <cell r="A113" t="str">
            <v>1160</v>
          </cell>
          <cell r="B113" t="str">
            <v>SPIRITT Family Services, Inc</v>
          </cell>
          <cell r="C113">
            <v>530878</v>
          </cell>
        </row>
        <row r="114">
          <cell r="A114" t="str">
            <v>1186</v>
          </cell>
          <cell r="B114" t="str">
            <v>St. Anne's Maternity Home</v>
          </cell>
          <cell r="C114">
            <v>3228016</v>
          </cell>
        </row>
        <row r="115">
          <cell r="A115" t="str">
            <v>1366</v>
          </cell>
          <cell r="B115" t="str">
            <v>St. Francis Medical Center - Children's Couns. Ctr.</v>
          </cell>
          <cell r="C115">
            <v>2467933</v>
          </cell>
        </row>
        <row r="116">
          <cell r="A116" t="str">
            <v>40200</v>
          </cell>
          <cell r="B116" t="str">
            <v>ST. JOHN'S WELL CHILD AND FAMILY CENTER INC.</v>
          </cell>
          <cell r="C116">
            <v>52194</v>
          </cell>
        </row>
        <row r="117">
          <cell r="A117" t="str">
            <v>218</v>
          </cell>
          <cell r="B117" t="str">
            <v>St. Joseph Center</v>
          </cell>
          <cell r="C117">
            <v>741821</v>
          </cell>
        </row>
        <row r="118">
          <cell r="A118" t="str">
            <v>543</v>
          </cell>
          <cell r="B118" t="str">
            <v>Star View Adolescent Center</v>
          </cell>
          <cell r="C118">
            <v>31222779</v>
          </cell>
        </row>
        <row r="119">
          <cell r="A119" t="str">
            <v>215</v>
          </cell>
          <cell r="B119" t="str">
            <v>Step-Up On Second Street, Inc.</v>
          </cell>
          <cell r="C119">
            <v>3189944</v>
          </cell>
        </row>
        <row r="120">
          <cell r="A120" t="str">
            <v>216</v>
          </cell>
          <cell r="B120" t="str">
            <v>Stirling Academy, Incorporated</v>
          </cell>
          <cell r="C120">
            <v>3370314</v>
          </cell>
        </row>
        <row r="121">
          <cell r="A121" t="str">
            <v>40230</v>
          </cell>
          <cell r="B121" t="str">
            <v>T.H.E. CLINIC, INC.</v>
          </cell>
          <cell r="C121">
            <v>272373</v>
          </cell>
        </row>
        <row r="122">
          <cell r="A122" t="str">
            <v>1156</v>
          </cell>
          <cell r="B122" t="str">
            <v>Tarzana Treatment Center, Inc</v>
          </cell>
          <cell r="C122">
            <v>3702361</v>
          </cell>
        </row>
        <row r="123">
          <cell r="A123" t="str">
            <v>108</v>
          </cell>
          <cell r="B123" t="str">
            <v>Telecare Corporation</v>
          </cell>
          <cell r="C123">
            <v>9424792</v>
          </cell>
        </row>
        <row r="124">
          <cell r="A124" t="str">
            <v>1379</v>
          </cell>
          <cell r="B124" t="str">
            <v>Tessie Cleveland Community Services Corporation</v>
          </cell>
          <cell r="C124">
            <v>7437643</v>
          </cell>
        </row>
        <row r="125">
          <cell r="A125" t="str">
            <v>1066</v>
          </cell>
          <cell r="B125" t="str">
            <v>The Children's Center of the Antelope Valley</v>
          </cell>
          <cell r="C125">
            <v>1530309</v>
          </cell>
        </row>
        <row r="126">
          <cell r="A126" t="str">
            <v>1227</v>
          </cell>
          <cell r="B126" t="str">
            <v>The David &amp; Margaret Home, Inc</v>
          </cell>
          <cell r="C126">
            <v>2028349</v>
          </cell>
        </row>
        <row r="127">
          <cell r="A127" t="str">
            <v>191</v>
          </cell>
          <cell r="B127" t="str">
            <v>The Guidance Center (Greater Long Beach Child Guidance Ctr., Inc)</v>
          </cell>
          <cell r="C127">
            <v>11917655</v>
          </cell>
        </row>
        <row r="128">
          <cell r="A128" t="str">
            <v>198</v>
          </cell>
          <cell r="B128" t="str">
            <v>The Help Group Child &amp; Family Center (LA Center for Therapy &amp; Education)</v>
          </cell>
          <cell r="C128">
            <v>13497753</v>
          </cell>
        </row>
        <row r="129">
          <cell r="A129" t="str">
            <v>199</v>
          </cell>
          <cell r="B129" t="str">
            <v>The Los Angeles Child Guidance Clinic</v>
          </cell>
          <cell r="C129">
            <v>16867195</v>
          </cell>
        </row>
        <row r="130">
          <cell r="A130" t="str">
            <v>323</v>
          </cell>
          <cell r="B130" t="str">
            <v>The Los Angeles Free Clinic</v>
          </cell>
          <cell r="C130">
            <v>523300</v>
          </cell>
        </row>
        <row r="131">
          <cell r="A131" t="str">
            <v>304</v>
          </cell>
          <cell r="B131" t="str">
            <v>The Los Angeles Gay and Lesbian Comm Services Ctr</v>
          </cell>
          <cell r="C131">
            <v>112397</v>
          </cell>
        </row>
        <row r="132">
          <cell r="A132" t="str">
            <v>984</v>
          </cell>
          <cell r="B132" t="str">
            <v>The Regents / UCLA Ties for Adoption</v>
          </cell>
          <cell r="C132">
            <v>1506683</v>
          </cell>
        </row>
        <row r="133">
          <cell r="A133" t="str">
            <v>1224</v>
          </cell>
          <cell r="B133" t="str">
            <v>The Village Family Services</v>
          </cell>
          <cell r="C133">
            <v>4354941</v>
          </cell>
        </row>
        <row r="134">
          <cell r="A134" t="str">
            <v>1171</v>
          </cell>
          <cell r="B134" t="str">
            <v>Tobinworld</v>
          </cell>
          <cell r="C134">
            <v>1171573</v>
          </cell>
        </row>
        <row r="135">
          <cell r="A135" t="str">
            <v>630</v>
          </cell>
          <cell r="B135" t="str">
            <v>Topanga-Roscoe Corporation (Topanga West)</v>
          </cell>
          <cell r="C135">
            <v>432116</v>
          </cell>
        </row>
        <row r="136">
          <cell r="A136" t="str">
            <v>309</v>
          </cell>
          <cell r="B136" t="str">
            <v>Traveler's Aid Society of Los Angeles</v>
          </cell>
          <cell r="C136">
            <v>76306</v>
          </cell>
        </row>
        <row r="137">
          <cell r="A137" t="str">
            <v>66</v>
          </cell>
          <cell r="B137" t="str">
            <v>Tri-City Mental Health Center</v>
          </cell>
          <cell r="C137">
            <v>4582015</v>
          </cell>
        </row>
        <row r="138">
          <cell r="A138" t="str">
            <v>1026</v>
          </cell>
          <cell r="B138" t="str">
            <v>Trinity Youth Services (Trinity El Monte - Trinity Children &amp; Family Svcs)</v>
          </cell>
          <cell r="C138">
            <v>1039393</v>
          </cell>
        </row>
        <row r="139">
          <cell r="A139" t="str">
            <v>938</v>
          </cell>
          <cell r="B139" t="str">
            <v>United American Indian Involvement, Inc.</v>
          </cell>
          <cell r="C139">
            <v>1315292</v>
          </cell>
        </row>
        <row r="140">
          <cell r="A140" t="str">
            <v>40240</v>
          </cell>
          <cell r="B140" t="str">
            <v>VALLEY COMMUNITY CLINIC</v>
          </cell>
          <cell r="C140">
            <v>283771</v>
          </cell>
        </row>
        <row r="141">
          <cell r="A141" t="str">
            <v>40560</v>
          </cell>
          <cell r="B141" t="str">
            <v>VENICE FAMILY CLINIC</v>
          </cell>
          <cell r="C141">
            <v>500000</v>
          </cell>
        </row>
        <row r="142">
          <cell r="A142" t="str">
            <v>1044</v>
          </cell>
          <cell r="B142" t="str">
            <v>VIP Community Mental Health Center</v>
          </cell>
          <cell r="C142">
            <v>7267649</v>
          </cell>
        </row>
        <row r="143">
          <cell r="A143" t="str">
            <v>196</v>
          </cell>
          <cell r="B143" t="str">
            <v>Vista Del Mar Child and Family Services (Jewish Orphans of So. Cal.)</v>
          </cell>
          <cell r="C143">
            <v>11939895</v>
          </cell>
        </row>
        <row r="144">
          <cell r="A144" t="str">
            <v>310</v>
          </cell>
          <cell r="B144" t="str">
            <v>Watts Labor Community Action Committee - WLCAC</v>
          </cell>
          <cell r="C144">
            <v>252100</v>
          </cell>
        </row>
        <row r="145">
          <cell r="A145" t="str">
            <v>316</v>
          </cell>
          <cell r="B145" t="str">
            <v>Westside Center For Independent Living, Incorporated</v>
          </cell>
          <cell r="C145">
            <v>105317</v>
          </cell>
        </row>
        <row r="146">
          <cell r="A146" t="str">
            <v>40600</v>
          </cell>
          <cell r="B146" t="str">
            <v>WESTSIDE FAMILY HEALTH CENTER</v>
          </cell>
          <cell r="C146">
            <v>5000</v>
          </cell>
        </row>
        <row r="147">
          <cell r="A147" t="str">
            <v>583</v>
          </cell>
          <cell r="B147" t="str">
            <v>White Memorial Medical Center</v>
          </cell>
          <cell r="C147">
            <v>0</v>
          </cell>
        </row>
        <row r="148">
          <cell r="A148" t="str">
            <v>1559</v>
          </cell>
          <cell r="B148" t="str">
            <v>Wise &amp; Healthy Aging</v>
          </cell>
          <cell r="C148">
            <v>380251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Charges"/>
      <sheetName val="Fixed Assets"/>
      <sheetName val="1112 FUNDING"/>
      <sheetName val="Fund "/>
      <sheetName val="Other_Charges"/>
      <sheetName val="Fixed_Assets"/>
      <sheetName val="1112_FUNDING"/>
      <sheetName val="Fund_"/>
    </sheetNames>
    <sheetDataSet>
      <sheetData sheetId="0" refreshError="1"/>
      <sheetData sheetId="1">
        <row r="1">
          <cell r="A1" t="str">
            <v>COUNTY OF LOS ANGELES - DEPARTMENT OF MENTAL HEALTH</v>
          </cell>
        </row>
        <row r="2">
          <cell r="A2" t="str">
            <v>FY 2006-07 BUDGET REQUEST FOR FIXED ASSETS</v>
          </cell>
        </row>
        <row r="5">
          <cell r="A5" t="str">
            <v>SERVICE AREA/BUREAU:</v>
          </cell>
        </row>
        <row r="6">
          <cell r="A6" t="str">
            <v>UNIT CODE:</v>
          </cell>
        </row>
        <row r="7">
          <cell r="A7" t="str">
            <v xml:space="preserve">UNIT DESCRIPTION: </v>
          </cell>
        </row>
        <row r="9">
          <cell r="A9" t="str">
            <v>(1)</v>
          </cell>
          <cell r="B9" t="str">
            <v>(2)</v>
          </cell>
          <cell r="C9" t="str">
            <v>(3)</v>
          </cell>
          <cell r="D9" t="str">
            <v>(4)</v>
          </cell>
          <cell r="E9" t="str">
            <v>(5)</v>
          </cell>
        </row>
        <row r="12">
          <cell r="C12" t="str">
            <v>Unit</v>
          </cell>
        </row>
        <row r="13">
          <cell r="A13" t="str">
            <v>Equipment Description</v>
          </cell>
          <cell r="B13" t="str">
            <v>Quantity</v>
          </cell>
          <cell r="C13" t="str">
            <v>Prices</v>
          </cell>
          <cell r="D13" t="str">
            <v>Amount</v>
          </cell>
          <cell r="E13" t="str">
            <v>Justification of Need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A29" t="str">
            <v>Total</v>
          </cell>
          <cell r="D29">
            <v>0</v>
          </cell>
        </row>
      </sheetData>
      <sheetData sheetId="2" refreshError="1"/>
      <sheetData sheetId="3" refreshError="1"/>
      <sheetData sheetId="4"/>
      <sheetData sheetId="5">
        <row r="1">
          <cell r="A1" t="str">
            <v>COUNTY OF LOS ANGELES - DEPARTMENT OF MENTAL HEALTH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PHYS_15"/>
      <sheetName val="MH1968"/>
      <sheetName val="MH1969_INST"/>
      <sheetName val="MH1969"/>
      <sheetName val="MH1992_INST"/>
      <sheetName val="MH1960_HOSP_15"/>
      <sheetName val="MH1979"/>
      <sheetName val="MH1979_"/>
      <sheetName val="MH1991"/>
      <sheetName val="MH1992"/>
      <sheetName val="MH1992_"/>
      <sheetName val="Crosschecks"/>
      <sheetName val="Input Data"/>
      <sheetName val="Database"/>
    </sheetNames>
    <sheetDataSet>
      <sheetData sheetId="0">
        <row r="3">
          <cell r="B3">
            <v>20212022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 t="str">
            <v>Five Acres</v>
          </cell>
        </row>
      </sheetData>
      <sheetData sheetId="7">
        <row r="15">
          <cell r="F15">
            <v>693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8">
          <cell r="F188">
            <v>0</v>
          </cell>
        </row>
      </sheetData>
      <sheetData sheetId="23"/>
      <sheetData sheetId="24"/>
      <sheetData sheetId="25"/>
      <sheetData sheetId="26"/>
      <sheetData sheetId="27"/>
      <sheetData sheetId="28">
        <row r="5">
          <cell r="D5">
            <v>2</v>
          </cell>
        </row>
      </sheetData>
      <sheetData sheetId="29">
        <row r="5">
          <cell r="D5">
            <v>1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7">
          <cell r="I7" t="str">
            <v>COSTS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 by cc"/>
      <sheetName val="LOOK-UP"/>
      <sheetName val="CSOC"/>
      <sheetName val="ASOC"/>
      <sheetName val="Info"/>
      <sheetName val="sort_by_cc"/>
      <sheetName val="Fixed Assets"/>
    </sheetNames>
    <sheetDataSet>
      <sheetData sheetId="0" refreshError="1"/>
      <sheetData sheetId="1" refreshError="1">
        <row r="1">
          <cell r="A1" t="str">
            <v xml:space="preserve"> </v>
          </cell>
          <cell r="B1" t="str">
            <v xml:space="preserve"> </v>
          </cell>
        </row>
        <row r="2">
          <cell r="A2" t="str">
            <v>0577A</v>
          </cell>
          <cell r="B2" t="str">
            <v>Account Clerk I</v>
          </cell>
          <cell r="C2">
            <v>2224.1799999999998</v>
          </cell>
        </row>
        <row r="3">
          <cell r="A3" t="str">
            <v>0672A</v>
          </cell>
          <cell r="B3" t="str">
            <v>Health Care Financial Analyst</v>
          </cell>
          <cell r="C3">
            <v>4281.6400000000003</v>
          </cell>
        </row>
        <row r="4">
          <cell r="A4" t="str">
            <v>0752A</v>
          </cell>
          <cell r="B4" t="str">
            <v>Fiscal Officer I</v>
          </cell>
          <cell r="C4">
            <v>5560.91</v>
          </cell>
        </row>
        <row r="5">
          <cell r="A5" t="str">
            <v>0888A</v>
          </cell>
          <cell r="B5" t="str">
            <v>Administrative Assistant II</v>
          </cell>
          <cell r="C5">
            <v>3687.36</v>
          </cell>
        </row>
        <row r="6">
          <cell r="A6" t="str">
            <v>0889A</v>
          </cell>
          <cell r="B6" t="str">
            <v>Administrative Assistant III</v>
          </cell>
          <cell r="C6">
            <v>4106.3599999999997</v>
          </cell>
        </row>
        <row r="7">
          <cell r="A7" t="str">
            <v>0889N</v>
          </cell>
          <cell r="B7" t="str">
            <v>Administrative Assistant III</v>
          </cell>
          <cell r="C7">
            <v>4106.3599999999997</v>
          </cell>
        </row>
        <row r="8">
          <cell r="A8" t="str">
            <v>0896A</v>
          </cell>
          <cell r="B8" t="str">
            <v>Supervising Administrative Asst I</v>
          </cell>
          <cell r="C8">
            <v>4106.3599999999997</v>
          </cell>
        </row>
        <row r="9">
          <cell r="A9" t="str">
            <v>0896N</v>
          </cell>
          <cell r="B9" t="str">
            <v>Supervising Administrative Asst I</v>
          </cell>
          <cell r="C9">
            <v>4106.3599999999997</v>
          </cell>
        </row>
        <row r="10">
          <cell r="A10" t="str">
            <v>0907A</v>
          </cell>
          <cell r="B10" t="str">
            <v>Staff Assistant I</v>
          </cell>
          <cell r="C10">
            <v>2941</v>
          </cell>
        </row>
        <row r="11">
          <cell r="A11" t="str">
            <v>0907U</v>
          </cell>
          <cell r="B11" t="str">
            <v>Staff Assistant I</v>
          </cell>
          <cell r="C11">
            <v>2941</v>
          </cell>
        </row>
        <row r="12">
          <cell r="A12" t="str">
            <v>0913A</v>
          </cell>
          <cell r="B12" t="str">
            <v>Staff Assistant II</v>
          </cell>
          <cell r="C12">
            <v>3547.09</v>
          </cell>
        </row>
        <row r="13">
          <cell r="A13" t="str">
            <v>0915A</v>
          </cell>
          <cell r="B13" t="str">
            <v>Staff Assistant III</v>
          </cell>
          <cell r="C13">
            <v>4026.55</v>
          </cell>
        </row>
        <row r="14">
          <cell r="A14" t="str">
            <v>1003A</v>
          </cell>
          <cell r="B14" t="str">
            <v>Administrative Services Manager II</v>
          </cell>
          <cell r="C14">
            <v>5439.18</v>
          </cell>
        </row>
        <row r="15">
          <cell r="A15" t="str">
            <v>1083A</v>
          </cell>
          <cell r="B15" t="str">
            <v>Project Administrator, ICSC</v>
          </cell>
          <cell r="C15">
            <v>7198.17</v>
          </cell>
        </row>
        <row r="16">
          <cell r="A16" t="str">
            <v>1136A</v>
          </cell>
          <cell r="B16" t="str">
            <v>Clerk</v>
          </cell>
          <cell r="C16">
            <v>1635.36</v>
          </cell>
        </row>
        <row r="17">
          <cell r="A17" t="str">
            <v>1138A</v>
          </cell>
          <cell r="B17" t="str">
            <v>Intermediate Clerk</v>
          </cell>
          <cell r="C17">
            <v>2191.09</v>
          </cell>
        </row>
        <row r="18">
          <cell r="A18" t="str">
            <v>1140A</v>
          </cell>
          <cell r="B18" t="str">
            <v>Senior Clerk</v>
          </cell>
          <cell r="C18">
            <v>2475</v>
          </cell>
        </row>
        <row r="19">
          <cell r="A19" t="str">
            <v>1176A</v>
          </cell>
          <cell r="B19" t="str">
            <v>Intermediate Supvg Clerk</v>
          </cell>
        </row>
        <row r="20">
          <cell r="A20" t="str">
            <v>1865A</v>
          </cell>
          <cell r="B20" t="str">
            <v>Training Coordinator Mental Health</v>
          </cell>
          <cell r="C20">
            <v>5152.3599999999997</v>
          </cell>
        </row>
        <row r="21">
          <cell r="A21" t="str">
            <v>2095A</v>
          </cell>
          <cell r="B21" t="str">
            <v>Secretary II</v>
          </cell>
          <cell r="C21">
            <v>2701.82</v>
          </cell>
        </row>
        <row r="22">
          <cell r="A22" t="str">
            <v>2096A</v>
          </cell>
          <cell r="B22" t="str">
            <v>Secretary III</v>
          </cell>
          <cell r="C22">
            <v>2850</v>
          </cell>
        </row>
        <row r="23">
          <cell r="A23" t="str">
            <v>2096N</v>
          </cell>
          <cell r="B23" t="str">
            <v>Secretary III</v>
          </cell>
          <cell r="C23">
            <v>2850</v>
          </cell>
        </row>
        <row r="24">
          <cell r="A24" t="str">
            <v>2101A</v>
          </cell>
          <cell r="B24" t="str">
            <v>Senior Secretary II</v>
          </cell>
          <cell r="C24">
            <v>3273.27</v>
          </cell>
        </row>
        <row r="25">
          <cell r="A25" t="str">
            <v>2102A</v>
          </cell>
          <cell r="B25" t="str">
            <v>Senior Secretary III</v>
          </cell>
          <cell r="C25">
            <v>3453.18</v>
          </cell>
        </row>
        <row r="26">
          <cell r="A26" t="str">
            <v>2109A</v>
          </cell>
          <cell r="B26" t="str">
            <v>Management Secretary III</v>
          </cell>
          <cell r="C26">
            <v>3844.18</v>
          </cell>
        </row>
        <row r="27">
          <cell r="A27" t="str">
            <v>2115A</v>
          </cell>
          <cell r="B27" t="str">
            <v>Senior Management Secretary II</v>
          </cell>
          <cell r="C27">
            <v>4056.27</v>
          </cell>
        </row>
        <row r="28">
          <cell r="A28" t="str">
            <v>2170A</v>
          </cell>
          <cell r="B28" t="str">
            <v>Stenographer</v>
          </cell>
          <cell r="C28">
            <v>2303.73</v>
          </cell>
        </row>
        <row r="29">
          <cell r="A29" t="str">
            <v>2172A</v>
          </cell>
          <cell r="B29" t="str">
            <v>Intermediate Stenographer</v>
          </cell>
          <cell r="C29">
            <v>2560.64</v>
          </cell>
        </row>
        <row r="30">
          <cell r="A30" t="str">
            <v>2172N</v>
          </cell>
          <cell r="B30" t="str">
            <v>Intermediate Stenographer</v>
          </cell>
          <cell r="C30">
            <v>2560.64</v>
          </cell>
        </row>
        <row r="31">
          <cell r="A31" t="str">
            <v>2201A</v>
          </cell>
          <cell r="B31" t="str">
            <v>Transcriber Typist</v>
          </cell>
          <cell r="C31">
            <v>2445</v>
          </cell>
        </row>
        <row r="32">
          <cell r="A32" t="str">
            <v>2209A</v>
          </cell>
          <cell r="B32" t="str">
            <v>Medical Transcriber Typist</v>
          </cell>
          <cell r="C32">
            <v>2649.27</v>
          </cell>
        </row>
        <row r="33">
          <cell r="A33" t="str">
            <v>2212A</v>
          </cell>
          <cell r="B33" t="str">
            <v>Typist Clerk</v>
          </cell>
        </row>
        <row r="34">
          <cell r="A34" t="str">
            <v>2214A</v>
          </cell>
          <cell r="B34" t="str">
            <v>Intermediate Typist Clerk</v>
          </cell>
          <cell r="C34">
            <v>2246.36</v>
          </cell>
        </row>
        <row r="35">
          <cell r="A35" t="str">
            <v>2214N</v>
          </cell>
          <cell r="B35" t="str">
            <v>Intermediate Typist Clerk</v>
          </cell>
          <cell r="C35">
            <v>2246.36</v>
          </cell>
        </row>
        <row r="36">
          <cell r="A36" t="str">
            <v>2216A</v>
          </cell>
          <cell r="B36" t="str">
            <v>Senior Typist Clerk</v>
          </cell>
          <cell r="C36">
            <v>2535.5500000000002</v>
          </cell>
        </row>
        <row r="37">
          <cell r="A37" t="str">
            <v>2216N</v>
          </cell>
          <cell r="B37" t="str">
            <v>Senior Typist Clerk</v>
          </cell>
          <cell r="C37">
            <v>2535.5500000000002</v>
          </cell>
        </row>
        <row r="38">
          <cell r="A38" t="str">
            <v>2219A</v>
          </cell>
          <cell r="B38" t="str">
            <v>Supervising Typist Clerk</v>
          </cell>
          <cell r="C38">
            <v>2535.5500000000002</v>
          </cell>
        </row>
        <row r="39">
          <cell r="A39" t="str">
            <v>2221A</v>
          </cell>
          <cell r="B39" t="str">
            <v>Intermediate Supvg Typist Clerk</v>
          </cell>
          <cell r="C39">
            <v>2808</v>
          </cell>
        </row>
        <row r="40">
          <cell r="A40" t="str">
            <v>2234A</v>
          </cell>
          <cell r="B40" t="str">
            <v>Word Processor I</v>
          </cell>
          <cell r="C40">
            <v>2493</v>
          </cell>
        </row>
        <row r="41">
          <cell r="A41" t="str">
            <v>2235A</v>
          </cell>
          <cell r="B41" t="str">
            <v>Word Processor II</v>
          </cell>
          <cell r="C41">
            <v>2774.82</v>
          </cell>
        </row>
        <row r="42">
          <cell r="A42" t="str">
            <v>2584A</v>
          </cell>
          <cell r="B42" t="str">
            <v>Systems Aid</v>
          </cell>
          <cell r="C42">
            <v>2794.73</v>
          </cell>
        </row>
        <row r="43">
          <cell r="A43" t="str">
            <v>2593A</v>
          </cell>
          <cell r="B43" t="str">
            <v>Data System Coordinator</v>
          </cell>
          <cell r="C43">
            <v>5479.27</v>
          </cell>
        </row>
        <row r="44">
          <cell r="A44" t="str">
            <v>4604A</v>
          </cell>
          <cell r="B44" t="str">
            <v>Prgms Adm. HS</v>
          </cell>
        </row>
        <row r="45">
          <cell r="A45" t="str">
            <v>4710A</v>
          </cell>
          <cell r="B45" t="str">
            <v>Deputy Director, Child &amp; Youth Services, MH</v>
          </cell>
          <cell r="C45">
            <v>8942.33</v>
          </cell>
        </row>
        <row r="46">
          <cell r="A46" t="str">
            <v>4712A</v>
          </cell>
          <cell r="B46" t="str">
            <v>Deputy Director, Mental Health</v>
          </cell>
          <cell r="C46">
            <v>8942.33</v>
          </cell>
        </row>
        <row r="47">
          <cell r="A47" t="str">
            <v>4720A</v>
          </cell>
          <cell r="B47" t="str">
            <v>Division Chief, Program Development</v>
          </cell>
          <cell r="C47">
            <v>7311.45</v>
          </cell>
        </row>
        <row r="48">
          <cell r="A48" t="str">
            <v>4722A</v>
          </cell>
          <cell r="B48" t="str">
            <v>Mental Health Clinical District Chief</v>
          </cell>
          <cell r="C48">
            <v>7873.09</v>
          </cell>
        </row>
        <row r="49">
          <cell r="A49" t="str">
            <v>4726A</v>
          </cell>
          <cell r="B49" t="str">
            <v>Mental Health Clinical Program Head</v>
          </cell>
          <cell r="C49">
            <v>6806.73</v>
          </cell>
        </row>
        <row r="50">
          <cell r="A50" t="str">
            <v>4726N</v>
          </cell>
          <cell r="B50" t="str">
            <v>Mental Health Clinical Program Head</v>
          </cell>
          <cell r="C50">
            <v>6806.73</v>
          </cell>
        </row>
        <row r="51">
          <cell r="A51" t="str">
            <v>4727A</v>
          </cell>
          <cell r="B51" t="str">
            <v>Mental Health Analyst I</v>
          </cell>
          <cell r="C51">
            <v>4761.09</v>
          </cell>
        </row>
        <row r="52">
          <cell r="A52" t="str">
            <v>4729A</v>
          </cell>
          <cell r="B52" t="str">
            <v>Mental Health Analyst II</v>
          </cell>
          <cell r="C52">
            <v>5307</v>
          </cell>
        </row>
        <row r="53">
          <cell r="A53" t="str">
            <v>4731A</v>
          </cell>
          <cell r="B53" t="str">
            <v>Mental Health Analyst III</v>
          </cell>
          <cell r="C53">
            <v>6229.18</v>
          </cell>
        </row>
        <row r="54">
          <cell r="A54" t="str">
            <v>4735A</v>
          </cell>
          <cell r="B54" t="str">
            <v>Mental Health Psychiatrist</v>
          </cell>
          <cell r="C54">
            <v>9745</v>
          </cell>
        </row>
        <row r="55">
          <cell r="A55" t="str">
            <v>4735F</v>
          </cell>
          <cell r="B55" t="str">
            <v>Mental Health Psychiatrist</v>
          </cell>
          <cell r="C55">
            <v>55.55</v>
          </cell>
        </row>
        <row r="56">
          <cell r="A56" t="str">
            <v>4735Q</v>
          </cell>
          <cell r="B56" t="str">
            <v>Mental Health Psychiatrist</v>
          </cell>
          <cell r="C56">
            <v>55.55</v>
          </cell>
        </row>
        <row r="57">
          <cell r="A57" t="str">
            <v>4735R</v>
          </cell>
          <cell r="B57" t="str">
            <v>Mental Health Psychiatrist</v>
          </cell>
          <cell r="C57">
            <v>55.55</v>
          </cell>
        </row>
        <row r="58">
          <cell r="A58" t="str">
            <v>4735U</v>
          </cell>
          <cell r="B58" t="str">
            <v>Mental Health Psychiatrist</v>
          </cell>
          <cell r="C58">
            <v>9745</v>
          </cell>
        </row>
        <row r="59">
          <cell r="A59" t="str">
            <v>4735V</v>
          </cell>
          <cell r="B59" t="str">
            <v>Mental Health Psychiatrist</v>
          </cell>
          <cell r="C59">
            <v>9745</v>
          </cell>
        </row>
        <row r="60">
          <cell r="A60" t="str">
            <v>4735Y</v>
          </cell>
          <cell r="B60" t="str">
            <v>Mental Health Psychiatrist</v>
          </cell>
          <cell r="C60">
            <v>9745</v>
          </cell>
        </row>
        <row r="61">
          <cell r="A61" t="str">
            <v>4735Z</v>
          </cell>
          <cell r="B61" t="str">
            <v>Mental Health Psychiatrist</v>
          </cell>
          <cell r="C61">
            <v>9745</v>
          </cell>
        </row>
        <row r="62">
          <cell r="A62" t="str">
            <v>4737A</v>
          </cell>
          <cell r="B62" t="str">
            <v>Supervising Mental Health Psychiatrist</v>
          </cell>
          <cell r="C62">
            <v>11651</v>
          </cell>
        </row>
        <row r="63">
          <cell r="A63" t="str">
            <v>4739A</v>
          </cell>
          <cell r="B63" t="str">
            <v>Chief Mental Health Psychiatrist</v>
          </cell>
          <cell r="C63">
            <v>12636</v>
          </cell>
        </row>
        <row r="64">
          <cell r="A64" t="str">
            <v>5064A</v>
          </cell>
          <cell r="B64" t="str">
            <v>Clinic Driver</v>
          </cell>
          <cell r="C64">
            <v>2475</v>
          </cell>
        </row>
        <row r="65">
          <cell r="A65" t="str">
            <v>5107A</v>
          </cell>
          <cell r="B65" t="str">
            <v>Nursing Assistant, Sheriff</v>
          </cell>
          <cell r="C65">
            <v>3043</v>
          </cell>
        </row>
        <row r="66">
          <cell r="A66" t="str">
            <v>5276A</v>
          </cell>
          <cell r="B66" t="str">
            <v>Assistant Mental Health Counselor, RN</v>
          </cell>
          <cell r="C66">
            <v>4679</v>
          </cell>
        </row>
        <row r="67">
          <cell r="A67" t="str">
            <v>5276U</v>
          </cell>
          <cell r="B67" t="str">
            <v>Assistant Mental Health Counselor, RN</v>
          </cell>
        </row>
        <row r="68">
          <cell r="A68" t="str">
            <v>5278A</v>
          </cell>
          <cell r="B68" t="str">
            <v>Mental Health Counselor, RN</v>
          </cell>
          <cell r="C68">
            <v>5126.91</v>
          </cell>
        </row>
        <row r="69">
          <cell r="A69" t="str">
            <v>5278F</v>
          </cell>
          <cell r="B69" t="str">
            <v>Mental Health Counselor, RN</v>
          </cell>
          <cell r="C69">
            <v>24.83</v>
          </cell>
        </row>
        <row r="70">
          <cell r="A70" t="str">
            <v>5278N</v>
          </cell>
          <cell r="B70" t="str">
            <v>Mental Health Counselor, RN</v>
          </cell>
          <cell r="C70">
            <v>5126.91</v>
          </cell>
        </row>
        <row r="71">
          <cell r="A71" t="str">
            <v>5278U</v>
          </cell>
          <cell r="B71" t="str">
            <v>Mental Health Counselor, RN</v>
          </cell>
          <cell r="C71">
            <v>5126.91</v>
          </cell>
        </row>
        <row r="72">
          <cell r="A72" t="str">
            <v>5280A</v>
          </cell>
          <cell r="B72" t="str">
            <v>Senior Mental Health Counselor, RN</v>
          </cell>
          <cell r="C72">
            <v>5547.18</v>
          </cell>
        </row>
        <row r="73">
          <cell r="A73" t="str">
            <v>5280F</v>
          </cell>
          <cell r="B73" t="str">
            <v>Senior Mental Health Counselor, RN</v>
          </cell>
          <cell r="C73">
            <v>5547.18</v>
          </cell>
        </row>
        <row r="74">
          <cell r="A74" t="str">
            <v>5280N</v>
          </cell>
          <cell r="B74" t="str">
            <v>Senior Mental Health Counselor, RN</v>
          </cell>
          <cell r="C74">
            <v>5547.18</v>
          </cell>
        </row>
        <row r="75">
          <cell r="A75" t="str">
            <v>5328A</v>
          </cell>
          <cell r="B75" t="str">
            <v>Clinical Nurse II</v>
          </cell>
        </row>
        <row r="76">
          <cell r="A76" t="str">
            <v>5336A</v>
          </cell>
          <cell r="B76" t="str">
            <v>Staff Nurse, Sheriff</v>
          </cell>
          <cell r="C76">
            <v>4622.18</v>
          </cell>
        </row>
        <row r="77">
          <cell r="A77" t="str">
            <v>5467J</v>
          </cell>
          <cell r="B77" t="str">
            <v>Mental Health Consultant, MD</v>
          </cell>
          <cell r="C77">
            <v>260.07</v>
          </cell>
        </row>
        <row r="78">
          <cell r="A78" t="str">
            <v>5470A</v>
          </cell>
          <cell r="B78" t="str">
            <v>Mental Health Counselor, MD</v>
          </cell>
        </row>
        <row r="79">
          <cell r="A79" t="str">
            <v>5470F</v>
          </cell>
          <cell r="B79" t="str">
            <v>Mental Health Consultant, MD</v>
          </cell>
        </row>
        <row r="80">
          <cell r="A80" t="str">
            <v>5470J</v>
          </cell>
          <cell r="B80" t="str">
            <v>Mental Health Consultant, MD</v>
          </cell>
        </row>
        <row r="81">
          <cell r="A81" t="str">
            <v>5471F</v>
          </cell>
          <cell r="B81" t="str">
            <v>Consulting Specialist, MD (PH)</v>
          </cell>
        </row>
        <row r="82">
          <cell r="A82" t="str">
            <v>5472J</v>
          </cell>
          <cell r="B82" t="str">
            <v>Consulting Specialist, MD</v>
          </cell>
          <cell r="C82">
            <v>260.07</v>
          </cell>
        </row>
        <row r="83">
          <cell r="A83" t="str">
            <v>5475F</v>
          </cell>
          <cell r="B83" t="str">
            <v>Physician, MD</v>
          </cell>
          <cell r="C83">
            <v>45.63</v>
          </cell>
        </row>
        <row r="84">
          <cell r="A84" t="str">
            <v>5477A</v>
          </cell>
          <cell r="B84" t="str">
            <v>Physician Specialist, MD</v>
          </cell>
        </row>
        <row r="85">
          <cell r="A85" t="str">
            <v>5491A</v>
          </cell>
          <cell r="B85" t="str">
            <v>Deputy Director, M.D., MH</v>
          </cell>
          <cell r="C85">
            <v>8942.33</v>
          </cell>
        </row>
        <row r="86">
          <cell r="A86" t="str">
            <v>5492A</v>
          </cell>
          <cell r="B86" t="str">
            <v>Mental Health Clinical District Chief, MD</v>
          </cell>
          <cell r="C86">
            <v>10460</v>
          </cell>
        </row>
        <row r="87">
          <cell r="A87" t="str">
            <v>5512A</v>
          </cell>
          <cell r="B87" t="str">
            <v>Pharmacist</v>
          </cell>
          <cell r="C87">
            <v>6002.82</v>
          </cell>
        </row>
        <row r="88">
          <cell r="A88" t="str">
            <v>5513A</v>
          </cell>
          <cell r="B88" t="str">
            <v>Clinical Pharmacist</v>
          </cell>
          <cell r="C88">
            <v>6337.45</v>
          </cell>
        </row>
        <row r="89">
          <cell r="A89" t="str">
            <v>5856A</v>
          </cell>
          <cell r="B89" t="str">
            <v>Occupational Therapist I</v>
          </cell>
          <cell r="C89">
            <v>4498.55</v>
          </cell>
        </row>
        <row r="90">
          <cell r="A90" t="str">
            <v>5857A</v>
          </cell>
          <cell r="B90" t="str">
            <v>Occupational Therapist II</v>
          </cell>
          <cell r="C90">
            <v>5014.18</v>
          </cell>
        </row>
        <row r="91">
          <cell r="A91" t="str">
            <v>5859A</v>
          </cell>
          <cell r="B91" t="str">
            <v>Occupational Therapy Supervisor I</v>
          </cell>
          <cell r="C91">
            <v>5307</v>
          </cell>
        </row>
        <row r="92">
          <cell r="A92" t="str">
            <v>5869A</v>
          </cell>
          <cell r="B92" t="str">
            <v>Recreation Therapy Aide</v>
          </cell>
          <cell r="C92">
            <v>2391</v>
          </cell>
        </row>
        <row r="93">
          <cell r="A93" t="str">
            <v>5871A</v>
          </cell>
          <cell r="B93" t="str">
            <v>Recreation Therapist I</v>
          </cell>
          <cell r="C93">
            <v>3581.73</v>
          </cell>
        </row>
        <row r="94">
          <cell r="A94" t="str">
            <v>5872A</v>
          </cell>
          <cell r="B94" t="str">
            <v>Recreation Therapist II</v>
          </cell>
          <cell r="C94">
            <v>3986.91</v>
          </cell>
        </row>
        <row r="95">
          <cell r="A95" t="str">
            <v>5873A</v>
          </cell>
          <cell r="B95" t="str">
            <v>Recreation Therapy Supervisor</v>
          </cell>
          <cell r="C95">
            <v>4260.7299999999996</v>
          </cell>
        </row>
        <row r="96">
          <cell r="A96" t="str">
            <v>5884A</v>
          </cell>
          <cell r="B96" t="str">
            <v>Substance Abuse Counselor</v>
          </cell>
          <cell r="C96">
            <v>2801.36</v>
          </cell>
        </row>
        <row r="97">
          <cell r="A97" t="str">
            <v>6022A</v>
          </cell>
          <cell r="B97" t="str">
            <v>Light Vehicle Driver</v>
          </cell>
          <cell r="C97">
            <v>2037.36</v>
          </cell>
        </row>
        <row r="98">
          <cell r="A98" t="str">
            <v>8103A</v>
          </cell>
          <cell r="B98" t="str">
            <v>Community Worker</v>
          </cell>
          <cell r="C98">
            <v>2604.73</v>
          </cell>
        </row>
        <row r="99">
          <cell r="A99" t="str">
            <v>8103F</v>
          </cell>
          <cell r="B99" t="str">
            <v>Community Worker</v>
          </cell>
        </row>
        <row r="100">
          <cell r="A100" t="str">
            <v>8103N</v>
          </cell>
          <cell r="B100" t="str">
            <v>Community Worker</v>
          </cell>
          <cell r="C100">
            <v>2604.73</v>
          </cell>
        </row>
        <row r="101">
          <cell r="A101" t="str">
            <v>8103Q</v>
          </cell>
          <cell r="B101" t="str">
            <v>Community Worker</v>
          </cell>
          <cell r="C101">
            <v>2604.73</v>
          </cell>
        </row>
        <row r="102">
          <cell r="A102" t="str">
            <v>8103S</v>
          </cell>
          <cell r="B102" t="str">
            <v>Community Worker</v>
          </cell>
          <cell r="C102">
            <v>2604.73</v>
          </cell>
        </row>
        <row r="103">
          <cell r="A103" t="str">
            <v>8103T</v>
          </cell>
          <cell r="B103" t="str">
            <v>Community Worker</v>
          </cell>
          <cell r="C103">
            <v>2604.73</v>
          </cell>
        </row>
        <row r="104">
          <cell r="A104" t="str">
            <v>8103U</v>
          </cell>
          <cell r="B104" t="str">
            <v>Community Worker</v>
          </cell>
          <cell r="C104">
            <v>2604.73</v>
          </cell>
        </row>
        <row r="105">
          <cell r="A105" t="str">
            <v>8104A</v>
          </cell>
          <cell r="B105" t="str">
            <v>Senior Community Worker I</v>
          </cell>
          <cell r="C105">
            <v>2695.18</v>
          </cell>
        </row>
        <row r="106">
          <cell r="A106" t="str">
            <v>8104N</v>
          </cell>
          <cell r="B106" t="str">
            <v>Senior Community Worker I</v>
          </cell>
          <cell r="C106">
            <v>2695.18</v>
          </cell>
        </row>
        <row r="107">
          <cell r="A107" t="str">
            <v>8105A</v>
          </cell>
          <cell r="B107" t="str">
            <v>Senior Community Worker II</v>
          </cell>
          <cell r="C107">
            <v>2991.45</v>
          </cell>
        </row>
        <row r="108">
          <cell r="A108" t="str">
            <v>8105F</v>
          </cell>
          <cell r="B108" t="str">
            <v>Senior Community Worker II</v>
          </cell>
          <cell r="C108">
            <v>2991.45</v>
          </cell>
        </row>
        <row r="109">
          <cell r="A109" t="str">
            <v>8108A</v>
          </cell>
          <cell r="B109" t="str">
            <v>Community Services Counselor</v>
          </cell>
          <cell r="C109">
            <v>2843</v>
          </cell>
        </row>
        <row r="110">
          <cell r="A110" t="str">
            <v>8109A</v>
          </cell>
          <cell r="B110" t="str">
            <v>Community Services Coordinator I</v>
          </cell>
          <cell r="C110">
            <v>3687.36</v>
          </cell>
        </row>
        <row r="111">
          <cell r="A111" t="str">
            <v>8110A</v>
          </cell>
          <cell r="B111" t="str">
            <v>Community Services Coordinator II</v>
          </cell>
        </row>
        <row r="112">
          <cell r="A112" t="str">
            <v>8148A</v>
          </cell>
          <cell r="B112" t="str">
            <v>Mental Health Services Coordinator I</v>
          </cell>
          <cell r="C112">
            <v>4465.2700000000004</v>
          </cell>
        </row>
        <row r="113">
          <cell r="A113" t="str">
            <v>8148F</v>
          </cell>
          <cell r="B113" t="str">
            <v>Mental Health Services Coordinator I</v>
          </cell>
          <cell r="C113">
            <v>22.84</v>
          </cell>
        </row>
        <row r="114">
          <cell r="A114" t="str">
            <v>8149A</v>
          </cell>
          <cell r="B114" t="str">
            <v>Mental Health Services Coordinator II</v>
          </cell>
          <cell r="C114">
            <v>4487.45</v>
          </cell>
        </row>
        <row r="115">
          <cell r="A115" t="str">
            <v>8149N</v>
          </cell>
          <cell r="B115" t="str">
            <v>Mental Health Services Coordinator II</v>
          </cell>
          <cell r="C115">
            <v>4487.45</v>
          </cell>
        </row>
        <row r="116">
          <cell r="A116" t="str">
            <v>8161A</v>
          </cell>
          <cell r="B116" t="str">
            <v>Psychiatric Technician I</v>
          </cell>
          <cell r="C116">
            <v>2623.82</v>
          </cell>
        </row>
        <row r="117">
          <cell r="A117" t="str">
            <v>8162A</v>
          </cell>
          <cell r="B117" t="str">
            <v>Psychiatric Technician II</v>
          </cell>
          <cell r="C117">
            <v>2913</v>
          </cell>
        </row>
        <row r="118">
          <cell r="A118" t="str">
            <v>8162N</v>
          </cell>
          <cell r="B118" t="str">
            <v>Psychiatric Technician II</v>
          </cell>
          <cell r="C118">
            <v>2913</v>
          </cell>
        </row>
        <row r="119">
          <cell r="A119" t="str">
            <v>8162U</v>
          </cell>
          <cell r="B119" t="str">
            <v>Psychiatric Technician II</v>
          </cell>
          <cell r="C119">
            <v>2913</v>
          </cell>
        </row>
        <row r="120">
          <cell r="A120" t="str">
            <v>8163A</v>
          </cell>
          <cell r="B120" t="str">
            <v>Psychiatric Technician III</v>
          </cell>
          <cell r="C120">
            <v>3155.91</v>
          </cell>
        </row>
        <row r="121">
          <cell r="A121" t="str">
            <v>8163F</v>
          </cell>
          <cell r="B121" t="str">
            <v>Psychiatric Technician III</v>
          </cell>
          <cell r="C121">
            <v>3155.91</v>
          </cell>
        </row>
        <row r="122">
          <cell r="A122" t="str">
            <v>8163N</v>
          </cell>
          <cell r="B122" t="str">
            <v>Psychiatric Technician III</v>
          </cell>
          <cell r="C122">
            <v>3155.91</v>
          </cell>
        </row>
        <row r="123">
          <cell r="A123" t="str">
            <v>8242F</v>
          </cell>
          <cell r="B123" t="str">
            <v>Student Worker</v>
          </cell>
          <cell r="C123">
            <v>7.15</v>
          </cell>
        </row>
        <row r="124">
          <cell r="A124" t="str">
            <v>8243F</v>
          </cell>
          <cell r="B124" t="str">
            <v>Student Professional Worker</v>
          </cell>
          <cell r="C124">
            <v>8.64</v>
          </cell>
        </row>
        <row r="125">
          <cell r="A125" t="str">
            <v>8245J</v>
          </cell>
          <cell r="B125" t="str">
            <v>Guest Instructor</v>
          </cell>
          <cell r="C125">
            <v>81.2</v>
          </cell>
        </row>
        <row r="126">
          <cell r="A126" t="str">
            <v>8593A</v>
          </cell>
          <cell r="B126" t="str">
            <v>Rehabilitation Counselor II</v>
          </cell>
          <cell r="C126">
            <v>3555.73</v>
          </cell>
        </row>
        <row r="127">
          <cell r="A127" t="str">
            <v>8693J</v>
          </cell>
          <cell r="B127" t="str">
            <v>Clinical Psychologist II</v>
          </cell>
          <cell r="C127">
            <v>127.11</v>
          </cell>
        </row>
        <row r="128">
          <cell r="A128" t="str">
            <v>8697A</v>
          </cell>
          <cell r="B128" t="str">
            <v>Clinical Psychologist II</v>
          </cell>
          <cell r="C128">
            <v>5465.91</v>
          </cell>
        </row>
        <row r="129">
          <cell r="A129" t="str">
            <v>8697N</v>
          </cell>
          <cell r="B129" t="str">
            <v>Clinical Psychologist II</v>
          </cell>
          <cell r="C129">
            <v>5465.91</v>
          </cell>
        </row>
        <row r="130">
          <cell r="A130" t="str">
            <v>8697U</v>
          </cell>
          <cell r="B130" t="str">
            <v>Clinical Psychologist II</v>
          </cell>
          <cell r="C130">
            <v>5465.91</v>
          </cell>
        </row>
        <row r="131">
          <cell r="A131" t="str">
            <v>8697Y</v>
          </cell>
          <cell r="B131" t="str">
            <v>Clinical Psychologist II</v>
          </cell>
          <cell r="C131">
            <v>5465.91</v>
          </cell>
        </row>
        <row r="132">
          <cell r="A132" t="str">
            <v>8697Z</v>
          </cell>
          <cell r="B132" t="str">
            <v>Clinical Psychologist II</v>
          </cell>
          <cell r="C132">
            <v>5465.91</v>
          </cell>
        </row>
        <row r="133">
          <cell r="A133" t="str">
            <v>8705J</v>
          </cell>
          <cell r="B133" t="str">
            <v>Assistant Behavioral Sciences Consultant</v>
          </cell>
          <cell r="C133">
            <v>72.89</v>
          </cell>
        </row>
        <row r="134">
          <cell r="A134" t="str">
            <v>8706A</v>
          </cell>
          <cell r="B134" t="str">
            <v>Behavioral Sciences Consultant</v>
          </cell>
          <cell r="C134">
            <v>4656.2700000000004</v>
          </cell>
        </row>
        <row r="135">
          <cell r="A135" t="str">
            <v>8706U</v>
          </cell>
          <cell r="B135" t="str">
            <v>Behavioral Sciences Consultant</v>
          </cell>
        </row>
        <row r="136">
          <cell r="A136" t="str">
            <v>8706Z</v>
          </cell>
          <cell r="B136" t="str">
            <v>Behavioral Sciences Consultant</v>
          </cell>
        </row>
        <row r="137">
          <cell r="A137" t="str">
            <v>8707J</v>
          </cell>
          <cell r="B137" t="str">
            <v>Behavioral Sciences Consultant</v>
          </cell>
          <cell r="C137">
            <v>108.56</v>
          </cell>
        </row>
        <row r="138">
          <cell r="A138" t="str">
            <v>8709A</v>
          </cell>
          <cell r="B138" t="str">
            <v>Mental Health Education Consultant</v>
          </cell>
          <cell r="C138">
            <v>5560.91</v>
          </cell>
        </row>
        <row r="139">
          <cell r="A139" t="str">
            <v>8711A</v>
          </cell>
          <cell r="B139" t="str">
            <v>Community Mental Health Psychologist</v>
          </cell>
          <cell r="C139">
            <v>5425.82</v>
          </cell>
        </row>
        <row r="140">
          <cell r="A140" t="str">
            <v>8711U</v>
          </cell>
          <cell r="B140" t="str">
            <v>Community Mental Health Psychologist</v>
          </cell>
          <cell r="C140">
            <v>5425.82</v>
          </cell>
        </row>
        <row r="141">
          <cell r="A141" t="str">
            <v>8712A</v>
          </cell>
          <cell r="B141" t="str">
            <v>Senior Community MH Psychologist</v>
          </cell>
          <cell r="C141">
            <v>5713.73</v>
          </cell>
        </row>
        <row r="142">
          <cell r="A142" t="str">
            <v>8972A</v>
          </cell>
          <cell r="B142" t="str">
            <v>Research Analyst II, Behavioral Sci</v>
          </cell>
          <cell r="C142">
            <v>3844.18</v>
          </cell>
        </row>
        <row r="143">
          <cell r="A143" t="str">
            <v>8972N</v>
          </cell>
          <cell r="B143" t="str">
            <v>Research Analyst II, Behavioral Sci</v>
          </cell>
          <cell r="C143">
            <v>3844.18</v>
          </cell>
        </row>
        <row r="144">
          <cell r="A144" t="str">
            <v>8973A</v>
          </cell>
          <cell r="B144" t="str">
            <v>Research Analyst III, Behavioral Sci</v>
          </cell>
          <cell r="C144">
            <v>4656.2700000000004</v>
          </cell>
        </row>
        <row r="145">
          <cell r="A145" t="str">
            <v>8974A</v>
          </cell>
          <cell r="B145" t="str">
            <v>Chief Research Analyst, Behavioral Sciences</v>
          </cell>
          <cell r="C145">
            <v>5177.82</v>
          </cell>
        </row>
        <row r="146">
          <cell r="A146" t="str">
            <v>9001A</v>
          </cell>
          <cell r="B146" t="str">
            <v>Medical Case Worker I</v>
          </cell>
          <cell r="C146">
            <v>2560.64</v>
          </cell>
        </row>
        <row r="147">
          <cell r="A147" t="str">
            <v>9001F</v>
          </cell>
          <cell r="B147" t="str">
            <v>Medical Case Worker I</v>
          </cell>
          <cell r="C147">
            <v>2560.64</v>
          </cell>
        </row>
        <row r="148">
          <cell r="A148" t="str">
            <v>9002A</v>
          </cell>
          <cell r="B148" t="str">
            <v>Medical Case Worker II</v>
          </cell>
          <cell r="C148">
            <v>3436.64</v>
          </cell>
        </row>
        <row r="149">
          <cell r="A149" t="str">
            <v>9002F</v>
          </cell>
          <cell r="B149" t="str">
            <v>Medical Case Worker II</v>
          </cell>
          <cell r="C149">
            <v>15.82</v>
          </cell>
        </row>
        <row r="150">
          <cell r="A150" t="str">
            <v>9002N</v>
          </cell>
          <cell r="B150" t="str">
            <v>Medical Case Worker II</v>
          </cell>
          <cell r="C150">
            <v>3436.64</v>
          </cell>
        </row>
        <row r="151">
          <cell r="A151" t="str">
            <v>9002Y</v>
          </cell>
          <cell r="B151" t="str">
            <v>Medical Case Worker II</v>
          </cell>
          <cell r="C151">
            <v>3436.64</v>
          </cell>
        </row>
        <row r="152">
          <cell r="A152" t="str">
            <v>9030A</v>
          </cell>
          <cell r="B152" t="str">
            <v>Mental Health Clinician</v>
          </cell>
          <cell r="C152">
            <v>4271.18</v>
          </cell>
        </row>
        <row r="153">
          <cell r="A153" t="str">
            <v>9034A</v>
          </cell>
          <cell r="B153" t="str">
            <v>Psychiatric Social Worker I</v>
          </cell>
          <cell r="C153">
            <v>3938.82</v>
          </cell>
        </row>
        <row r="154">
          <cell r="A154" t="str">
            <v>9034N</v>
          </cell>
          <cell r="B154" t="str">
            <v>Psychiatric Social Worker I</v>
          </cell>
        </row>
        <row r="155">
          <cell r="A155" t="str">
            <v>9034Q</v>
          </cell>
          <cell r="B155" t="str">
            <v>Psychiatric Social Worker I</v>
          </cell>
        </row>
        <row r="156">
          <cell r="A156" t="str">
            <v>9034S</v>
          </cell>
          <cell r="B156" t="str">
            <v>Psychiatric Social Worker I</v>
          </cell>
        </row>
        <row r="157">
          <cell r="A157" t="str">
            <v>9034U</v>
          </cell>
          <cell r="B157" t="str">
            <v>Psychiatric Social Worker I</v>
          </cell>
        </row>
        <row r="158">
          <cell r="A158" t="str">
            <v>9035A</v>
          </cell>
          <cell r="B158" t="str">
            <v>Psychiatric Social Worker II</v>
          </cell>
          <cell r="C158">
            <v>4509.6400000000003</v>
          </cell>
        </row>
        <row r="159">
          <cell r="A159" t="str">
            <v>9035F</v>
          </cell>
          <cell r="B159" t="str">
            <v>Psychiatric Social Worker II</v>
          </cell>
          <cell r="C159">
            <v>21.86</v>
          </cell>
        </row>
        <row r="160">
          <cell r="A160" t="str">
            <v>9035N</v>
          </cell>
          <cell r="B160" t="str">
            <v>Psychiatric Social Worker II</v>
          </cell>
          <cell r="C160">
            <v>4509.6400000000003</v>
          </cell>
        </row>
        <row r="161">
          <cell r="A161" t="str">
            <v>9035U</v>
          </cell>
          <cell r="B161" t="str">
            <v>Psychiatric Social Worker II</v>
          </cell>
          <cell r="C161">
            <v>4509.6400000000003</v>
          </cell>
        </row>
        <row r="162">
          <cell r="A162" t="str">
            <v>9035V</v>
          </cell>
          <cell r="B162" t="str">
            <v>Psychiatric Social Worker II</v>
          </cell>
          <cell r="C162">
            <v>4509.6400000000003</v>
          </cell>
        </row>
        <row r="163">
          <cell r="A163" t="str">
            <v>9035Y</v>
          </cell>
          <cell r="B163" t="str">
            <v>Psychiatric Social Worker II</v>
          </cell>
          <cell r="C163">
            <v>4509.6400000000003</v>
          </cell>
        </row>
        <row r="164">
          <cell r="A164" t="str">
            <v>9037A</v>
          </cell>
          <cell r="B164" t="str">
            <v>Psychiatric Social Work Consultant</v>
          </cell>
          <cell r="C164">
            <v>4432</v>
          </cell>
        </row>
        <row r="165">
          <cell r="A165" t="str">
            <v>9038A</v>
          </cell>
          <cell r="B165" t="str">
            <v>Supervising Psychiatric Social Worker</v>
          </cell>
          <cell r="C165">
            <v>5038.91</v>
          </cell>
        </row>
        <row r="166">
          <cell r="A166" t="str">
            <v>9038N</v>
          </cell>
          <cell r="B166" t="str">
            <v>Supervising Psychiatric Social Worker</v>
          </cell>
          <cell r="C166">
            <v>5038.91</v>
          </cell>
        </row>
        <row r="167">
          <cell r="A167" t="str">
            <v>9038U</v>
          </cell>
          <cell r="B167" t="str">
            <v>Supervising Psychiatric Social Worker</v>
          </cell>
          <cell r="C167">
            <v>5038.91</v>
          </cell>
        </row>
        <row r="168">
          <cell r="A168" t="str">
            <v>9192A</v>
          </cell>
          <cell r="B168" t="str">
            <v>Patient Resources Worker</v>
          </cell>
          <cell r="C168">
            <v>2397</v>
          </cell>
        </row>
        <row r="169">
          <cell r="A169" t="str">
            <v>9193A</v>
          </cell>
          <cell r="B169" t="str">
            <v>Patient Financial Services Worker</v>
          </cell>
          <cell r="C169">
            <v>2969.36</v>
          </cell>
        </row>
        <row r="170">
          <cell r="A170" t="str">
            <v>9193F</v>
          </cell>
          <cell r="B170" t="str">
            <v>Patient Financial Services Worker</v>
          </cell>
          <cell r="C170">
            <v>2969.36</v>
          </cell>
        </row>
        <row r="171">
          <cell r="A171" t="str">
            <v>9193N</v>
          </cell>
          <cell r="B171" t="str">
            <v>Patient Financial Services Worker</v>
          </cell>
          <cell r="C171">
            <v>2969.36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A Subprogram FY10-11 (070511)"/>
      <sheetName val="MCA Subprogram FY11-12ORIG 913"/>
      <sheetName val="MCA Subprogram FY11-12 MARI (2)"/>
      <sheetName val="CFA analysis DDE (2)"/>
      <sheetName val="CFA Summary"/>
      <sheetName val="CFA analysis"/>
      <sheetName val="Sheet2"/>
      <sheetName val="Sheet3"/>
      <sheetName val="Sheet4"/>
      <sheetName val="Sheet1"/>
      <sheetName val="funding analysis"/>
      <sheetName val="EDI Prov List"/>
      <sheetName val="Sheet9"/>
      <sheetName val="MCA Subprogram FY11-12 MARILOU"/>
      <sheetName val="Sheet7"/>
      <sheetName val="MCA_Subprogram_FY10-11_(070511)"/>
      <sheetName val="MCA_Subprogram_FY11-12ORIG_913"/>
      <sheetName val="MCA_Subprogram_FY11-12_MARI_(2)"/>
      <sheetName val="CFA_analysis_DDE_(2)"/>
      <sheetName val="CFA_Summary"/>
      <sheetName val="CFA_analysis"/>
      <sheetName val="funding_analysis"/>
      <sheetName val="EDI_Prov_List"/>
      <sheetName val="MCA_Subprogram_FY11-12_MARILOU"/>
      <sheetName val="MCA_Subprogram_FY10-11_(0705112"/>
      <sheetName val="MCA_Subprogram_FY11-12ORIG_9132"/>
      <sheetName val="MCA_Subprogram_FY11-12_MARI_(22"/>
      <sheetName val="CFA_analysis_DDE_(2)2"/>
      <sheetName val="CFA_Summary2"/>
      <sheetName val="CFA_analysis2"/>
      <sheetName val="funding_analysis2"/>
      <sheetName val="EDI_Prov_List2"/>
      <sheetName val="MCA_Subprogram_FY11-12_MARILOU2"/>
      <sheetName val="MCA_Subprogram_FY10-11_(0705111"/>
      <sheetName val="MCA_Subprogram_FY11-12ORIG_9131"/>
      <sheetName val="MCA_Subprogram_FY11-12_MARI_(21"/>
      <sheetName val="CFA_analysis_DDE_(2)1"/>
      <sheetName val="CFA_Summary1"/>
      <sheetName val="CFA_analysis1"/>
      <sheetName val="funding_analysis1"/>
      <sheetName val="EDI_Prov_List1"/>
      <sheetName val="MCA_Subprogram_FY11-12_MARILOU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INPUT"/>
      <sheetName val="CONTROL ENCUM. LOG 0809 "/>
      <sheetName val="FY 07-08 CPE ISSUES"/>
      <sheetName val="settlement encumb"/>
      <sheetName val="CONTROL ENCUM. LOG0708"/>
      <sheetName val="CONTROL_ENCUM__LOG_0809_"/>
      <sheetName val="FY_07-08_CPE_ISSUES"/>
      <sheetName val="settlement_encumb"/>
      <sheetName val="CONTROL_ENCUM__LOG07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NAL ADOPTED"/>
      <sheetName val="FINAL ADOPTED_Detail  "/>
      <sheetName val="Proposed_FinalChg_Detail"/>
      <sheetName val="variance"/>
      <sheetName val="Summary vs pdf file"/>
      <sheetName val="Summary"/>
      <sheetName val="Max Rate 10-01-06"/>
      <sheetName val="Detail"/>
      <sheetName val="CAO Proposed"/>
      <sheetName val="Summary_FINAL_ADOPTED"/>
      <sheetName val="FINAL_ADOPTED_Detail__"/>
      <sheetName val="Summary_vs_pdf_file"/>
      <sheetName val="Max_Rate_10-01-06"/>
      <sheetName val="CAO_Proposed"/>
    </sheetNames>
    <sheetDataSet>
      <sheetData sheetId="0"/>
      <sheetData sheetId="1"/>
      <sheetData sheetId="2">
        <row r="1">
          <cell r="A1" t="str">
            <v>COUNTY OF LOS ANGELES</v>
          </cell>
        </row>
        <row r="2">
          <cell r="A2" t="str">
            <v>DEPARTMENT OF MENTAL HEALTH</v>
          </cell>
        </row>
        <row r="3">
          <cell r="A3" t="str">
            <v>BUDGET &amp; FINANCIAL REPORTING DIVISION</v>
          </cell>
        </row>
        <row r="4">
          <cell r="A4" t="str">
            <v>SALARIES AND EMPLOYEE BENEFITS WALKTHRU</v>
          </cell>
        </row>
        <row r="5">
          <cell r="A5" t="str">
            <v>FY 2006-07 FINAL ADOPTED BUDGET</v>
          </cell>
        </row>
        <row r="12">
          <cell r="A12" t="str">
            <v xml:space="preserve">Item </v>
          </cell>
        </row>
        <row r="13">
          <cell r="A13" t="str">
            <v>Number</v>
          </cell>
        </row>
        <row r="15">
          <cell r="A15" t="str">
            <v>00577</v>
          </cell>
        </row>
        <row r="16">
          <cell r="A16" t="str">
            <v>00578</v>
          </cell>
        </row>
        <row r="17">
          <cell r="A17" t="str">
            <v>00646</v>
          </cell>
        </row>
        <row r="18">
          <cell r="A18" t="str">
            <v>00647</v>
          </cell>
        </row>
        <row r="19">
          <cell r="A19" t="str">
            <v>00648</v>
          </cell>
        </row>
        <row r="20">
          <cell r="A20" t="str">
            <v>00656</v>
          </cell>
        </row>
        <row r="21">
          <cell r="A21" t="str">
            <v>00657</v>
          </cell>
        </row>
        <row r="22">
          <cell r="A22" t="str">
            <v>00665</v>
          </cell>
        </row>
        <row r="23">
          <cell r="A23" t="str">
            <v>00642</v>
          </cell>
        </row>
        <row r="24">
          <cell r="A24" t="str">
            <v>00643</v>
          </cell>
        </row>
        <row r="25">
          <cell r="A25" t="str">
            <v>00887</v>
          </cell>
        </row>
        <row r="26">
          <cell r="A26" t="str">
            <v>00888</v>
          </cell>
        </row>
        <row r="27">
          <cell r="A27" t="str">
            <v>00889</v>
          </cell>
        </row>
        <row r="28">
          <cell r="A28" t="str">
            <v>00889</v>
          </cell>
        </row>
        <row r="29">
          <cell r="A29" t="str">
            <v>01003</v>
          </cell>
        </row>
        <row r="30">
          <cell r="A30" t="str">
            <v>01004</v>
          </cell>
        </row>
        <row r="31">
          <cell r="A31" t="str">
            <v>01002</v>
          </cell>
        </row>
        <row r="32">
          <cell r="A32" t="str">
            <v>09214</v>
          </cell>
        </row>
        <row r="33">
          <cell r="A33" t="str">
            <v>04456</v>
          </cell>
        </row>
        <row r="34">
          <cell r="A34" t="str">
            <v>02616</v>
          </cell>
        </row>
        <row r="35">
          <cell r="A35" t="str">
            <v>4702A</v>
          </cell>
        </row>
        <row r="36">
          <cell r="A36" t="str">
            <v>01488</v>
          </cell>
        </row>
        <row r="37">
          <cell r="A37" t="str">
            <v>01335</v>
          </cell>
        </row>
        <row r="38">
          <cell r="A38" t="str">
            <v>08705</v>
          </cell>
        </row>
        <row r="39">
          <cell r="A39" t="str">
            <v>05276</v>
          </cell>
        </row>
        <row r="40">
          <cell r="A40" t="str">
            <v>05276</v>
          </cell>
        </row>
        <row r="41">
          <cell r="A41" t="str">
            <v>05276</v>
          </cell>
        </row>
        <row r="42">
          <cell r="A42" t="str">
            <v>05314</v>
          </cell>
        </row>
        <row r="43">
          <cell r="A43" t="str">
            <v>05320</v>
          </cell>
        </row>
        <row r="44">
          <cell r="A44" t="str">
            <v>05295</v>
          </cell>
        </row>
        <row r="45">
          <cell r="A45" t="str">
            <v>08707</v>
          </cell>
        </row>
        <row r="46">
          <cell r="A46" t="str">
            <v>08706</v>
          </cell>
        </row>
        <row r="47">
          <cell r="A47" t="str">
            <v>04721</v>
          </cell>
        </row>
        <row r="48">
          <cell r="A48" t="str">
            <v>04715</v>
          </cell>
        </row>
        <row r="49">
          <cell r="A49" t="str">
            <v>04739</v>
          </cell>
        </row>
        <row r="50">
          <cell r="A50" t="str">
            <v>08974</v>
          </cell>
        </row>
        <row r="51">
          <cell r="A51" t="str">
            <v>00700</v>
          </cell>
        </row>
        <row r="52">
          <cell r="A52">
            <v>99999</v>
          </cell>
        </row>
        <row r="53">
          <cell r="A53" t="str">
            <v>04706</v>
          </cell>
        </row>
        <row r="54">
          <cell r="A54" t="str">
            <v>04708</v>
          </cell>
        </row>
        <row r="55">
          <cell r="A55" t="str">
            <v>99999</v>
          </cell>
        </row>
        <row r="56">
          <cell r="A56" t="str">
            <v>01029</v>
          </cell>
        </row>
        <row r="57">
          <cell r="A57" t="str">
            <v>09043</v>
          </cell>
        </row>
        <row r="58">
          <cell r="A58" t="str">
            <v>08703</v>
          </cell>
        </row>
        <row r="59">
          <cell r="A59" t="str">
            <v>04725</v>
          </cell>
        </row>
        <row r="60">
          <cell r="A60" t="str">
            <v>04717</v>
          </cell>
        </row>
        <row r="61">
          <cell r="A61" t="str">
            <v>04724</v>
          </cell>
        </row>
        <row r="62">
          <cell r="A62" t="str">
            <v>01136</v>
          </cell>
        </row>
        <row r="63">
          <cell r="A63" t="str">
            <v>01136</v>
          </cell>
        </row>
        <row r="64">
          <cell r="A64" t="str">
            <v>01136</v>
          </cell>
        </row>
        <row r="65">
          <cell r="A65" t="str">
            <v>05064</v>
          </cell>
        </row>
        <row r="66">
          <cell r="A66" t="str">
            <v>05327</v>
          </cell>
        </row>
        <row r="67">
          <cell r="A67" t="str">
            <v>05468</v>
          </cell>
        </row>
        <row r="68">
          <cell r="A68" t="str">
            <v>05357</v>
          </cell>
        </row>
        <row r="69">
          <cell r="A69" t="str">
            <v>05513</v>
          </cell>
        </row>
        <row r="70">
          <cell r="A70" t="str">
            <v>08697</v>
          </cell>
        </row>
        <row r="71">
          <cell r="A71" t="str">
            <v>08697</v>
          </cell>
        </row>
        <row r="72">
          <cell r="A72" t="str">
            <v>08697</v>
          </cell>
        </row>
        <row r="73">
          <cell r="A73" t="str">
            <v>08697</v>
          </cell>
        </row>
        <row r="74">
          <cell r="A74" t="str">
            <v>08693</v>
          </cell>
        </row>
        <row r="75">
          <cell r="A75" t="str">
            <v>08694</v>
          </cell>
        </row>
        <row r="76">
          <cell r="A76" t="str">
            <v>06026</v>
          </cell>
        </row>
        <row r="77">
          <cell r="A77" t="str">
            <v>08711</v>
          </cell>
        </row>
        <row r="78">
          <cell r="A78" t="str">
            <v>08109</v>
          </cell>
        </row>
        <row r="79">
          <cell r="A79" t="str">
            <v>08110</v>
          </cell>
        </row>
        <row r="80">
          <cell r="A80" t="str">
            <v>08110</v>
          </cell>
        </row>
        <row r="81">
          <cell r="A81" t="str">
            <v>08110</v>
          </cell>
        </row>
        <row r="82">
          <cell r="A82" t="str">
            <v>08108</v>
          </cell>
        </row>
        <row r="83">
          <cell r="A83" t="str">
            <v>08103</v>
          </cell>
        </row>
        <row r="84">
          <cell r="A84" t="str">
            <v>08103</v>
          </cell>
        </row>
        <row r="85">
          <cell r="A85" t="str">
            <v>08103</v>
          </cell>
        </row>
        <row r="86">
          <cell r="A86" t="str">
            <v>08103</v>
          </cell>
        </row>
        <row r="87">
          <cell r="A87" t="str">
            <v>01479</v>
          </cell>
        </row>
        <row r="88">
          <cell r="A88" t="str">
            <v>05471</v>
          </cell>
        </row>
        <row r="89">
          <cell r="A89" t="str">
            <v>05472</v>
          </cell>
        </row>
        <row r="90">
          <cell r="A90" t="str">
            <v>04614</v>
          </cell>
        </row>
        <row r="91">
          <cell r="A91" t="str">
            <v>02657</v>
          </cell>
        </row>
        <row r="92">
          <cell r="A92" t="str">
            <v>02672</v>
          </cell>
        </row>
        <row r="94">
          <cell r="A94" t="str">
            <v>02612</v>
          </cell>
        </row>
        <row r="95">
          <cell r="A95" t="str">
            <v>01842</v>
          </cell>
        </row>
        <row r="96">
          <cell r="A96" t="str">
            <v>01848</v>
          </cell>
        </row>
        <row r="97">
          <cell r="A97" t="str">
            <v>01907</v>
          </cell>
        </row>
        <row r="98">
          <cell r="A98" t="str">
            <v>05491</v>
          </cell>
        </row>
        <row r="99">
          <cell r="A99" t="str">
            <v>05489</v>
          </cell>
        </row>
        <row r="100">
          <cell r="A100" t="str">
            <v>04707</v>
          </cell>
        </row>
        <row r="101">
          <cell r="A101" t="str">
            <v>04712</v>
          </cell>
        </row>
        <row r="102">
          <cell r="A102" t="str">
            <v>01480</v>
          </cell>
        </row>
        <row r="103">
          <cell r="A103" t="str">
            <v>01481</v>
          </cell>
        </row>
        <row r="104">
          <cell r="A104" t="str">
            <v>04701</v>
          </cell>
        </row>
        <row r="105">
          <cell r="A105" t="str">
            <v>01491</v>
          </cell>
        </row>
        <row r="106">
          <cell r="A106" t="str">
            <v>04720</v>
          </cell>
        </row>
        <row r="107">
          <cell r="A107" t="str">
            <v>04720</v>
          </cell>
        </row>
        <row r="108">
          <cell r="A108" t="str">
            <v>01496</v>
          </cell>
        </row>
        <row r="109">
          <cell r="A109" t="str">
            <v>02629</v>
          </cell>
        </row>
        <row r="110">
          <cell r="A110" t="str">
            <v>01489</v>
          </cell>
        </row>
        <row r="111">
          <cell r="A111" t="str">
            <v>05515</v>
          </cell>
        </row>
        <row r="112">
          <cell r="A112" t="str">
            <v>06471</v>
          </cell>
        </row>
        <row r="113">
          <cell r="A113" t="str">
            <v>01120</v>
          </cell>
        </row>
        <row r="114">
          <cell r="A114" t="str">
            <v>00945</v>
          </cell>
        </row>
        <row r="115">
          <cell r="A115" t="str">
            <v>01495</v>
          </cell>
        </row>
        <row r="116">
          <cell r="A116" t="str">
            <v>04733</v>
          </cell>
        </row>
        <row r="117">
          <cell r="A117" t="str">
            <v>02122</v>
          </cell>
        </row>
        <row r="118">
          <cell r="A118" t="str">
            <v>09999</v>
          </cell>
        </row>
        <row r="119">
          <cell r="A119" t="str">
            <v>04704</v>
          </cell>
        </row>
        <row r="120">
          <cell r="A120" t="str">
            <v>00749</v>
          </cell>
        </row>
        <row r="121">
          <cell r="A121" t="str">
            <v>00752</v>
          </cell>
        </row>
        <row r="122">
          <cell r="A122" t="str">
            <v>00753</v>
          </cell>
        </row>
        <row r="123">
          <cell r="A123" t="str">
            <v>08245</v>
          </cell>
        </row>
        <row r="124">
          <cell r="A124" t="str">
            <v>01179</v>
          </cell>
        </row>
        <row r="125">
          <cell r="A125" t="str">
            <v>01850</v>
          </cell>
        </row>
        <row r="126">
          <cell r="A126" t="str">
            <v>08699</v>
          </cell>
        </row>
        <row r="127">
          <cell r="A127" t="str">
            <v>01031</v>
          </cell>
        </row>
        <row r="128">
          <cell r="A128" t="str">
            <v>00672</v>
          </cell>
        </row>
        <row r="129">
          <cell r="A129" t="str">
            <v>02588</v>
          </cell>
        </row>
        <row r="130">
          <cell r="A130" t="str">
            <v>02590</v>
          </cell>
        </row>
        <row r="131">
          <cell r="A131" t="str">
            <v>02590</v>
          </cell>
        </row>
        <row r="132">
          <cell r="A132" t="str">
            <v>02591</v>
          </cell>
        </row>
        <row r="133">
          <cell r="A133" t="str">
            <v>02593</v>
          </cell>
        </row>
        <row r="134">
          <cell r="A134" t="str">
            <v>02573</v>
          </cell>
        </row>
        <row r="135">
          <cell r="A135" t="str">
            <v>02574</v>
          </cell>
        </row>
        <row r="136">
          <cell r="A136" t="str">
            <v>02595</v>
          </cell>
        </row>
        <row r="137">
          <cell r="A137" t="str">
            <v>02596</v>
          </cell>
        </row>
        <row r="138">
          <cell r="A138" t="str">
            <v>02597</v>
          </cell>
        </row>
        <row r="139">
          <cell r="A139" t="str">
            <v>07096</v>
          </cell>
        </row>
        <row r="140">
          <cell r="A140" t="str">
            <v>02221</v>
          </cell>
        </row>
        <row r="141">
          <cell r="A141" t="str">
            <v>01138</v>
          </cell>
        </row>
        <row r="142">
          <cell r="A142" t="str">
            <v>02172</v>
          </cell>
        </row>
        <row r="143">
          <cell r="A143" t="str">
            <v>01176</v>
          </cell>
        </row>
        <row r="144">
          <cell r="A144" t="str">
            <v>02214</v>
          </cell>
        </row>
        <row r="145">
          <cell r="A145" t="str">
            <v>02214</v>
          </cell>
        </row>
        <row r="146">
          <cell r="A146" t="str">
            <v>02214</v>
          </cell>
        </row>
        <row r="147">
          <cell r="A147" t="str">
            <v>02214</v>
          </cell>
        </row>
        <row r="148">
          <cell r="A148" t="str">
            <v>00735</v>
          </cell>
        </row>
        <row r="149">
          <cell r="A149" t="str">
            <v>00736</v>
          </cell>
        </row>
        <row r="150">
          <cell r="A150" t="str">
            <v>01013</v>
          </cell>
        </row>
        <row r="151">
          <cell r="A151" t="str">
            <v>06022</v>
          </cell>
        </row>
        <row r="152">
          <cell r="A152" t="str">
            <v>06022</v>
          </cell>
        </row>
        <row r="153">
          <cell r="A153" t="str">
            <v>02109</v>
          </cell>
        </row>
        <row r="154">
          <cell r="A154" t="str">
            <v>02110</v>
          </cell>
        </row>
        <row r="155">
          <cell r="A155" t="str">
            <v>09001</v>
          </cell>
        </row>
        <row r="156">
          <cell r="A156" t="str">
            <v>09001</v>
          </cell>
        </row>
        <row r="157">
          <cell r="A157" t="str">
            <v>09002</v>
          </cell>
        </row>
        <row r="158">
          <cell r="A158" t="str">
            <v>09002</v>
          </cell>
        </row>
        <row r="159">
          <cell r="A159" t="str">
            <v>09002</v>
          </cell>
        </row>
        <row r="160">
          <cell r="A160" t="str">
            <v>09002</v>
          </cell>
        </row>
        <row r="161">
          <cell r="A161" t="str">
            <v>04567</v>
          </cell>
        </row>
        <row r="162">
          <cell r="A162" t="str">
            <v>04574</v>
          </cell>
        </row>
        <row r="163">
          <cell r="A163" t="str">
            <v>01395</v>
          </cell>
        </row>
        <row r="164">
          <cell r="A164" t="str">
            <v>01390</v>
          </cell>
        </row>
        <row r="165">
          <cell r="A165" t="str">
            <v>01401</v>
          </cell>
        </row>
        <row r="166">
          <cell r="A166" t="str">
            <v>02209</v>
          </cell>
        </row>
        <row r="167">
          <cell r="A167" t="str">
            <v>04727</v>
          </cell>
        </row>
        <row r="168">
          <cell r="A168" t="str">
            <v>04729</v>
          </cell>
        </row>
        <row r="169">
          <cell r="A169" t="str">
            <v>04731</v>
          </cell>
        </row>
        <row r="170">
          <cell r="A170" t="str">
            <v>09030</v>
          </cell>
        </row>
        <row r="171">
          <cell r="A171" t="str">
            <v>05470</v>
          </cell>
        </row>
        <row r="172">
          <cell r="A172" t="str">
            <v>05467</v>
          </cell>
        </row>
        <row r="173">
          <cell r="A173" t="str">
            <v>05278</v>
          </cell>
        </row>
        <row r="174">
          <cell r="A174" t="str">
            <v>05278</v>
          </cell>
        </row>
        <row r="175">
          <cell r="A175" t="str">
            <v>05278</v>
          </cell>
        </row>
        <row r="176">
          <cell r="A176" t="str">
            <v>05278</v>
          </cell>
        </row>
        <row r="177">
          <cell r="A177" t="str">
            <v>05278</v>
          </cell>
        </row>
        <row r="178">
          <cell r="A178" t="str">
            <v>08709</v>
          </cell>
        </row>
        <row r="179">
          <cell r="A179" t="str">
            <v>08709</v>
          </cell>
        </row>
        <row r="180">
          <cell r="A180" t="str">
            <v>08709</v>
          </cell>
        </row>
        <row r="181">
          <cell r="A181" t="str">
            <v>04735</v>
          </cell>
        </row>
        <row r="182">
          <cell r="A182" t="str">
            <v>04735</v>
          </cell>
        </row>
        <row r="183">
          <cell r="A183" t="str">
            <v>08148</v>
          </cell>
        </row>
        <row r="184">
          <cell r="A184" t="str">
            <v>08148</v>
          </cell>
        </row>
        <row r="185">
          <cell r="A185" t="str">
            <v>08148</v>
          </cell>
        </row>
        <row r="186">
          <cell r="A186" t="str">
            <v>08149</v>
          </cell>
        </row>
        <row r="187">
          <cell r="A187" t="str">
            <v>08149</v>
          </cell>
        </row>
        <row r="188">
          <cell r="A188" t="str">
            <v>08149</v>
          </cell>
        </row>
        <row r="189">
          <cell r="A189" t="str">
            <v>08149</v>
          </cell>
        </row>
        <row r="190">
          <cell r="A190" t="str">
            <v>04722</v>
          </cell>
        </row>
        <row r="191">
          <cell r="A191" t="str">
            <v>05492</v>
          </cell>
        </row>
        <row r="192">
          <cell r="A192" t="str">
            <v>04726</v>
          </cell>
        </row>
        <row r="193">
          <cell r="A193" t="str">
            <v>04726</v>
          </cell>
        </row>
        <row r="194">
          <cell r="A194" t="str">
            <v>04726</v>
          </cell>
        </row>
        <row r="195">
          <cell r="A195" t="str">
            <v>04719</v>
          </cell>
        </row>
        <row r="196">
          <cell r="A196" t="str">
            <v>05121</v>
          </cell>
        </row>
        <row r="197">
          <cell r="A197" t="str">
            <v>05107</v>
          </cell>
        </row>
        <row r="198">
          <cell r="A198" t="str">
            <v>05107</v>
          </cell>
        </row>
        <row r="199">
          <cell r="A199" t="str">
            <v>05100</v>
          </cell>
        </row>
        <row r="200">
          <cell r="A200" t="str">
            <v>05353</v>
          </cell>
        </row>
        <row r="201">
          <cell r="A201" t="str">
            <v>05856</v>
          </cell>
        </row>
        <row r="202">
          <cell r="A202" t="str">
            <v>05857</v>
          </cell>
        </row>
        <row r="203">
          <cell r="A203" t="str">
            <v>05823</v>
          </cell>
        </row>
        <row r="204">
          <cell r="A204" t="str">
            <v>05859</v>
          </cell>
        </row>
        <row r="205">
          <cell r="A205" t="str">
            <v>05865</v>
          </cell>
        </row>
        <row r="206">
          <cell r="A206" t="str">
            <v>09193</v>
          </cell>
        </row>
        <row r="207">
          <cell r="A207" t="str">
            <v>09193</v>
          </cell>
        </row>
        <row r="208">
          <cell r="A208" t="str">
            <v>09192</v>
          </cell>
        </row>
        <row r="209">
          <cell r="A209" t="str">
            <v>01331</v>
          </cell>
        </row>
        <row r="210">
          <cell r="A210" t="str">
            <v>01334</v>
          </cell>
        </row>
        <row r="211">
          <cell r="A211" t="str">
            <v>01854</v>
          </cell>
        </row>
        <row r="212">
          <cell r="A212" t="str">
            <v>05512</v>
          </cell>
        </row>
        <row r="213">
          <cell r="A213" t="str">
            <v>05530</v>
          </cell>
        </row>
        <row r="214">
          <cell r="A214" t="str">
            <v>05504</v>
          </cell>
        </row>
        <row r="215">
          <cell r="A215" t="str">
            <v>05475</v>
          </cell>
        </row>
        <row r="216">
          <cell r="A216" t="str">
            <v>05475</v>
          </cell>
        </row>
        <row r="217">
          <cell r="A217" t="str">
            <v>05411</v>
          </cell>
        </row>
        <row r="218">
          <cell r="A218" t="str">
            <v>01845</v>
          </cell>
        </row>
        <row r="219">
          <cell r="A219" t="str">
            <v>05284</v>
          </cell>
        </row>
        <row r="220">
          <cell r="A220" t="str">
            <v>02526</v>
          </cell>
        </row>
        <row r="221">
          <cell r="A221" t="str">
            <v>07575</v>
          </cell>
        </row>
        <row r="222">
          <cell r="A222" t="str">
            <v>02344</v>
          </cell>
        </row>
        <row r="223">
          <cell r="A223" t="str">
            <v>02346</v>
          </cell>
        </row>
        <row r="224">
          <cell r="A224" t="str">
            <v>08152</v>
          </cell>
        </row>
        <row r="225">
          <cell r="A225" t="str">
            <v>01083</v>
          </cell>
        </row>
        <row r="226">
          <cell r="A226" t="str">
            <v>09037</v>
          </cell>
        </row>
        <row r="227">
          <cell r="A227" t="str">
            <v>09037</v>
          </cell>
        </row>
        <row r="228">
          <cell r="A228" t="str">
            <v>09037</v>
          </cell>
        </row>
        <row r="229">
          <cell r="A229" t="str">
            <v>09034</v>
          </cell>
        </row>
        <row r="230">
          <cell r="A230" t="str">
            <v>09034</v>
          </cell>
        </row>
        <row r="231">
          <cell r="A231" t="str">
            <v>09035</v>
          </cell>
        </row>
        <row r="232">
          <cell r="A232" t="str">
            <v>09035</v>
          </cell>
        </row>
        <row r="233">
          <cell r="A233" t="str">
            <v>09035</v>
          </cell>
        </row>
        <row r="234">
          <cell r="A234" t="str">
            <v>09035</v>
          </cell>
        </row>
        <row r="235">
          <cell r="A235" t="str">
            <v>08161</v>
          </cell>
        </row>
        <row r="236">
          <cell r="A236" t="str">
            <v>08162</v>
          </cell>
        </row>
        <row r="237">
          <cell r="A237" t="str">
            <v>08162</v>
          </cell>
        </row>
        <row r="238">
          <cell r="A238" t="str">
            <v>08162</v>
          </cell>
        </row>
        <row r="239">
          <cell r="A239" t="str">
            <v>08163</v>
          </cell>
        </row>
        <row r="240">
          <cell r="A240" t="str">
            <v>05230</v>
          </cell>
        </row>
        <row r="241">
          <cell r="A241" t="str">
            <v>01601</v>
          </cell>
        </row>
        <row r="242">
          <cell r="A242" t="str">
            <v>05871</v>
          </cell>
        </row>
        <row r="243">
          <cell r="A243" t="str">
            <v>05872</v>
          </cell>
        </row>
        <row r="244">
          <cell r="A244" t="str">
            <v>05872</v>
          </cell>
        </row>
        <row r="245">
          <cell r="A245" t="str">
            <v>05869</v>
          </cell>
        </row>
        <row r="246">
          <cell r="A246" t="str">
            <v>05870</v>
          </cell>
        </row>
        <row r="247">
          <cell r="A247" t="str">
            <v>05873</v>
          </cell>
        </row>
        <row r="248">
          <cell r="A248" t="str">
            <v>08592</v>
          </cell>
        </row>
        <row r="249">
          <cell r="A249" t="str">
            <v>08593</v>
          </cell>
        </row>
        <row r="250">
          <cell r="A250" t="str">
            <v>08593</v>
          </cell>
        </row>
        <row r="251">
          <cell r="A251" t="str">
            <v>08971</v>
          </cell>
        </row>
        <row r="252">
          <cell r="A252" t="str">
            <v>08972</v>
          </cell>
        </row>
        <row r="253">
          <cell r="A253" t="str">
            <v>08973</v>
          </cell>
        </row>
        <row r="254">
          <cell r="A254" t="str">
            <v>08973</v>
          </cell>
        </row>
        <row r="255">
          <cell r="A255" t="str">
            <v>02094</v>
          </cell>
        </row>
        <row r="256">
          <cell r="A256" t="str">
            <v>02094</v>
          </cell>
        </row>
        <row r="257">
          <cell r="A257" t="str">
            <v>02095</v>
          </cell>
        </row>
        <row r="258">
          <cell r="A258" t="str">
            <v>02096</v>
          </cell>
        </row>
        <row r="259">
          <cell r="A259" t="str">
            <v>02096</v>
          </cell>
        </row>
        <row r="260">
          <cell r="A260" t="str">
            <v>02157</v>
          </cell>
        </row>
        <row r="261">
          <cell r="A261" t="str">
            <v>02649</v>
          </cell>
        </row>
        <row r="262">
          <cell r="A262" t="str">
            <v>00666</v>
          </cell>
        </row>
        <row r="263">
          <cell r="A263" t="str">
            <v>01140</v>
          </cell>
        </row>
        <row r="264">
          <cell r="A264" t="str">
            <v>08104</v>
          </cell>
        </row>
        <row r="265">
          <cell r="A265" t="str">
            <v>08105</v>
          </cell>
        </row>
        <row r="266">
          <cell r="A266" t="str">
            <v>08105</v>
          </cell>
        </row>
        <row r="267">
          <cell r="A267" t="str">
            <v>02674</v>
          </cell>
        </row>
        <row r="268">
          <cell r="A268" t="str">
            <v>01908</v>
          </cell>
        </row>
        <row r="269">
          <cell r="A269" t="str">
            <v>01843</v>
          </cell>
        </row>
        <row r="270">
          <cell r="A270" t="str">
            <v>01849</v>
          </cell>
        </row>
        <row r="271">
          <cell r="A271" t="str">
            <v>02536</v>
          </cell>
        </row>
        <row r="272">
          <cell r="A272" t="str">
            <v>02115</v>
          </cell>
        </row>
        <row r="273">
          <cell r="A273" t="str">
            <v>02116</v>
          </cell>
        </row>
        <row r="274">
          <cell r="A274" t="str">
            <v>02183</v>
          </cell>
        </row>
        <row r="275">
          <cell r="A275" t="str">
            <v>05280</v>
          </cell>
        </row>
        <row r="276">
          <cell r="A276" t="str">
            <v>05280</v>
          </cell>
        </row>
        <row r="277">
          <cell r="A277" t="str">
            <v>05280</v>
          </cell>
        </row>
        <row r="278">
          <cell r="A278" t="str">
            <v>05478</v>
          </cell>
        </row>
        <row r="279">
          <cell r="A279" t="str">
            <v>02101</v>
          </cell>
        </row>
        <row r="280">
          <cell r="A280" t="str">
            <v>02102</v>
          </cell>
        </row>
        <row r="281">
          <cell r="A281" t="str">
            <v>02102</v>
          </cell>
        </row>
        <row r="282">
          <cell r="A282" t="str">
            <v>05337</v>
          </cell>
        </row>
        <row r="283">
          <cell r="A283" t="str">
            <v>01353</v>
          </cell>
        </row>
        <row r="284">
          <cell r="A284" t="str">
            <v>02585</v>
          </cell>
        </row>
        <row r="285">
          <cell r="A285" t="str">
            <v>02216</v>
          </cell>
        </row>
        <row r="286">
          <cell r="A286" t="str">
            <v>02216</v>
          </cell>
        </row>
        <row r="287">
          <cell r="A287" t="str">
            <v>02216</v>
          </cell>
        </row>
        <row r="288">
          <cell r="A288" t="str">
            <v>09051</v>
          </cell>
        </row>
        <row r="289">
          <cell r="A289" t="str">
            <v>08712</v>
          </cell>
        </row>
        <row r="290">
          <cell r="A290" t="str">
            <v>01483</v>
          </cell>
        </row>
        <row r="291">
          <cell r="A291" t="str">
            <v>01515</v>
          </cell>
        </row>
        <row r="292">
          <cell r="A292" t="str">
            <v>02536</v>
          </cell>
        </row>
        <row r="293">
          <cell r="A293" t="str">
            <v>00907</v>
          </cell>
        </row>
        <row r="294">
          <cell r="A294" t="str">
            <v>00907</v>
          </cell>
        </row>
        <row r="295">
          <cell r="A295" t="str">
            <v>00913</v>
          </cell>
        </row>
        <row r="296">
          <cell r="A296" t="str">
            <v>00913</v>
          </cell>
        </row>
        <row r="297">
          <cell r="A297" t="str">
            <v>00913</v>
          </cell>
        </row>
        <row r="298">
          <cell r="A298" t="str">
            <v>00915</v>
          </cell>
        </row>
        <row r="299">
          <cell r="A299" t="str">
            <v>05335</v>
          </cell>
        </row>
        <row r="300">
          <cell r="A300" t="str">
            <v>05336</v>
          </cell>
        </row>
        <row r="301">
          <cell r="A301" t="str">
            <v>05336</v>
          </cell>
        </row>
        <row r="302">
          <cell r="A302" t="str">
            <v>01352</v>
          </cell>
        </row>
        <row r="303">
          <cell r="A303" t="str">
            <v>02170</v>
          </cell>
        </row>
        <row r="304">
          <cell r="A304" t="str">
            <v>08243</v>
          </cell>
        </row>
        <row r="305">
          <cell r="A305" t="str">
            <v>08242</v>
          </cell>
        </row>
        <row r="306">
          <cell r="A306" t="str">
            <v>05884</v>
          </cell>
        </row>
        <row r="307">
          <cell r="A307" t="str">
            <v>01174</v>
          </cell>
        </row>
        <row r="308">
          <cell r="A308" t="str">
            <v>01340</v>
          </cell>
        </row>
        <row r="309">
          <cell r="A309" t="str">
            <v>05340</v>
          </cell>
        </row>
        <row r="310">
          <cell r="A310" t="str">
            <v>05340</v>
          </cell>
        </row>
        <row r="311">
          <cell r="A311" t="str">
            <v>05341</v>
          </cell>
        </row>
        <row r="312">
          <cell r="A312" t="str">
            <v>02219</v>
          </cell>
        </row>
        <row r="313">
          <cell r="A313" t="str">
            <v>00896</v>
          </cell>
        </row>
        <row r="314">
          <cell r="A314" t="str">
            <v>00896</v>
          </cell>
        </row>
        <row r="315">
          <cell r="A315" t="str">
            <v>00897</v>
          </cell>
        </row>
        <row r="316">
          <cell r="A316" t="str">
            <v>00898</v>
          </cell>
        </row>
        <row r="317">
          <cell r="A317" t="str">
            <v>01485</v>
          </cell>
        </row>
        <row r="318">
          <cell r="A318" t="str">
            <v>01404</v>
          </cell>
        </row>
        <row r="319">
          <cell r="A319" t="str">
            <v>04737</v>
          </cell>
        </row>
        <row r="320">
          <cell r="A320" t="str">
            <v>09195</v>
          </cell>
        </row>
        <row r="321">
          <cell r="A321" t="str">
            <v>09038</v>
          </cell>
        </row>
        <row r="322">
          <cell r="A322" t="str">
            <v>09038</v>
          </cell>
        </row>
        <row r="323">
          <cell r="A323" t="str">
            <v>09038</v>
          </cell>
        </row>
        <row r="324">
          <cell r="A324" t="str">
            <v>02584</v>
          </cell>
        </row>
        <row r="325">
          <cell r="A325" t="str">
            <v>01865</v>
          </cell>
        </row>
        <row r="326">
          <cell r="A326" t="str">
            <v>01865</v>
          </cell>
        </row>
        <row r="327">
          <cell r="A327" t="str">
            <v>02201</v>
          </cell>
        </row>
        <row r="328">
          <cell r="A328" t="str">
            <v>02212</v>
          </cell>
        </row>
        <row r="329">
          <cell r="A329" t="str">
            <v>02683</v>
          </cell>
        </row>
        <row r="330">
          <cell r="A330" t="str">
            <v>02329</v>
          </cell>
        </row>
        <row r="331">
          <cell r="A331" t="str">
            <v>02331</v>
          </cell>
        </row>
        <row r="332">
          <cell r="A332" t="str">
            <v>02332</v>
          </cell>
        </row>
        <row r="333">
          <cell r="A333" t="str">
            <v>02234</v>
          </cell>
        </row>
        <row r="334">
          <cell r="A334" t="str">
            <v>02235</v>
          </cell>
        </row>
        <row r="335">
          <cell r="A335" t="str">
            <v>02235</v>
          </cell>
        </row>
        <row r="344">
          <cell r="A344" t="str">
            <v>VARIABLE EMPLOYEE BENEFITS</v>
          </cell>
        </row>
        <row r="363">
          <cell r="A363" t="str">
            <v>FIXED EMPLOYEE BENEFITS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request 04-19-07 (2)"/>
      <sheetName val="FFS"/>
      <sheetName val="sb 90 idea"/>
      <sheetName val="allocatted mhsa"/>
      <sheetName val="cgf allocatted"/>
      <sheetName val="sdmc admin allocatted"/>
      <sheetName val="FY 2007 08rev Budget Request"/>
      <sheetName val="budget request 04-19-07"/>
      <sheetName val="SUMMARY"/>
      <sheetName val="DIRECTOR"/>
      <sheetName val="CHIEF DEPUTY DIRECTOR"/>
      <sheetName val="ADMIN DEPUTY"/>
      <sheetName val="MEDICAL DIRECTOR"/>
      <sheetName val="PROGRAM SUPPORT"/>
      <sheetName val="PUBLIC GUARDIAN"/>
      <sheetName val="TAYJUVENILE JUSTICE"/>
      <sheetName val="SERV. AREA 1 &amp; 3"/>
      <sheetName val="SERV AREA 2 &amp; 5"/>
      <sheetName val="SERV. AREA 4&amp; 7"/>
      <sheetName val="SERV AREA 6 &amp; 8"/>
      <sheetName val="mhsa"/>
      <sheetName val="CONTRACTS"/>
      <sheetName val="REF 2"/>
      <sheetName val="OCD ALLOC FOR BUDGET START PT"/>
      <sheetName val="3089 SPREAD"/>
      <sheetName val="4532 SPREAD"/>
      <sheetName val="4194 SPREAD"/>
      <sheetName val="3240 SPREAD"/>
      <sheetName val="3235 SPREAD"/>
      <sheetName val="IRA LESSER"/>
      <sheetName val="AFH PES"/>
      <sheetName val="ADMIN SAVINGS"/>
      <sheetName val="CHANGES PER KIM ON 1_17_06"/>
      <sheetName val="Module2"/>
      <sheetName val="budget_request_04-19-07_(2)"/>
      <sheetName val="sb_90_idea"/>
      <sheetName val="allocatted_mhsa"/>
      <sheetName val="cgf_allocatted"/>
      <sheetName val="sdmc_admin_allocatted"/>
      <sheetName val="FY_2007_08rev_Budget_Request"/>
      <sheetName val="budget_request_04-19-07"/>
      <sheetName val="CHIEF_DEPUTY_DIRECTOR"/>
      <sheetName val="ADMIN_DEPUTY"/>
      <sheetName val="MEDICAL_DIRECTOR"/>
      <sheetName val="PROGRAM_SUPPORT"/>
      <sheetName val="PUBLIC_GUARDIAN"/>
      <sheetName val="TAYJUVENILE_JUSTICE"/>
      <sheetName val="SERV__AREA_1_&amp;_3"/>
      <sheetName val="SERV_AREA_2_&amp;_5"/>
      <sheetName val="SERV__AREA_4&amp;_7"/>
      <sheetName val="SERV_AREA_6_&amp;_8"/>
      <sheetName val="REF_2"/>
      <sheetName val="OCD_ALLOC_FOR_BUDGET_START_PT"/>
      <sheetName val="3089_SPREAD"/>
      <sheetName val="4532_SPREAD"/>
      <sheetName val="4194_SPREAD"/>
      <sheetName val="3240_SPREAD"/>
      <sheetName val="3235_SPREAD"/>
      <sheetName val="IRA_LESSER"/>
      <sheetName val="AFH_PES"/>
      <sheetName val="ADMIN_SAVINGS"/>
      <sheetName val="CHANGES_PER_KIM_ON_1_17_06"/>
      <sheetName val="Sheet2"/>
      <sheetName val="Administrative Infrastructure"/>
      <sheetName val="Delivery Infrastructure"/>
      <sheetName val="FFS Services"/>
      <sheetName val="PMPM Bundle"/>
      <sheetName val="Incentive"/>
      <sheetName val="Pay for Outcomes"/>
      <sheetName val="Pay for Reporting"/>
      <sheetName val="Incentives.Rollover "/>
      <sheetName val="PMPM projection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6">
          <cell r="B16">
            <v>23125</v>
          </cell>
          <cell r="C16" t="str">
            <v>SA 6 &amp; 8</v>
          </cell>
          <cell r="D16" t="str">
            <v>1736 FAMILY CRISIS CENTER</v>
          </cell>
          <cell r="G16">
            <v>64873.599999999999</v>
          </cell>
          <cell r="I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W16">
            <v>1000</v>
          </cell>
          <cell r="X16">
            <v>0</v>
          </cell>
          <cell r="Y16">
            <v>0</v>
          </cell>
          <cell r="Z16">
            <v>76000</v>
          </cell>
          <cell r="AC16">
            <v>0</v>
          </cell>
          <cell r="AD16">
            <v>0</v>
          </cell>
          <cell r="AG16">
            <v>0</v>
          </cell>
          <cell r="AW16">
            <v>0</v>
          </cell>
          <cell r="AY16">
            <v>0</v>
          </cell>
          <cell r="AZ16">
            <v>141873.60000000001</v>
          </cell>
        </row>
        <row r="17">
          <cell r="B17">
            <v>27620</v>
          </cell>
          <cell r="C17" t="str">
            <v>SA 6 &amp; 8</v>
          </cell>
          <cell r="D17" t="str">
            <v>ASIAN AMERICAN DRUG ABUSE PROGRAM, INC.</v>
          </cell>
          <cell r="G17">
            <v>142124.4</v>
          </cell>
          <cell r="I17">
            <v>0</v>
          </cell>
          <cell r="K17">
            <v>0</v>
          </cell>
          <cell r="L17">
            <v>0</v>
          </cell>
          <cell r="N17">
            <v>0</v>
          </cell>
          <cell r="O17">
            <v>472000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W17">
            <v>0</v>
          </cell>
          <cell r="X17">
            <v>0</v>
          </cell>
          <cell r="Y17">
            <v>0</v>
          </cell>
          <cell r="Z17">
            <v>166500</v>
          </cell>
          <cell r="AC17">
            <v>0</v>
          </cell>
          <cell r="AD17">
            <v>0</v>
          </cell>
          <cell r="AG17">
            <v>0</v>
          </cell>
          <cell r="AW17">
            <v>0</v>
          </cell>
          <cell r="AY17">
            <v>0</v>
          </cell>
          <cell r="AZ17">
            <v>780624.4</v>
          </cell>
        </row>
        <row r="18">
          <cell r="B18">
            <v>20466</v>
          </cell>
          <cell r="C18" t="str">
            <v>SA 6 &amp; 8</v>
          </cell>
          <cell r="D18" t="str">
            <v xml:space="preserve">BARBOUR AND FLOYD MEDICAL ASSOCIATES </v>
          </cell>
          <cell r="G18">
            <v>85.36</v>
          </cell>
          <cell r="I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W18">
            <v>951827</v>
          </cell>
          <cell r="X18">
            <v>0</v>
          </cell>
          <cell r="Y18">
            <v>0</v>
          </cell>
          <cell r="Z18">
            <v>100</v>
          </cell>
          <cell r="AC18">
            <v>0</v>
          </cell>
          <cell r="AD18">
            <v>0</v>
          </cell>
          <cell r="AG18">
            <v>0</v>
          </cell>
          <cell r="AW18">
            <v>0</v>
          </cell>
          <cell r="AY18">
            <v>0</v>
          </cell>
          <cell r="AZ18">
            <v>952012.36</v>
          </cell>
        </row>
        <row r="19">
          <cell r="B19">
            <v>27633</v>
          </cell>
          <cell r="C19" t="str">
            <v>SA 6 &amp; 8</v>
          </cell>
          <cell r="D19" t="str">
            <v>CALIFORNIA INSTITUTE OF HEALTH &amp; SOCIAL SVC, INC.</v>
          </cell>
          <cell r="G19">
            <v>612031.20000000007</v>
          </cell>
          <cell r="I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717000</v>
          </cell>
          <cell r="AC19">
            <v>0</v>
          </cell>
          <cell r="AD19">
            <v>0</v>
          </cell>
          <cell r="AG19">
            <v>0</v>
          </cell>
          <cell r="AW19">
            <v>0</v>
          </cell>
          <cell r="AY19">
            <v>0</v>
          </cell>
          <cell r="AZ19">
            <v>1329031.2000000002</v>
          </cell>
        </row>
        <row r="20">
          <cell r="B20">
            <v>21575</v>
          </cell>
          <cell r="C20" t="str">
            <v>SA 6 &amp; 8</v>
          </cell>
          <cell r="D20" t="str">
            <v>CHILDNET YOUTH &amp; FAM SVCS, INC.</v>
          </cell>
          <cell r="G20">
            <v>3164295.2</v>
          </cell>
          <cell r="I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W20">
            <v>7651</v>
          </cell>
          <cell r="X20">
            <v>0</v>
          </cell>
          <cell r="Y20">
            <v>0</v>
          </cell>
          <cell r="Z20">
            <v>3707000</v>
          </cell>
          <cell r="AC20">
            <v>0</v>
          </cell>
          <cell r="AD20">
            <v>0</v>
          </cell>
          <cell r="AG20">
            <v>0</v>
          </cell>
          <cell r="AW20">
            <v>0</v>
          </cell>
          <cell r="AY20">
            <v>0</v>
          </cell>
          <cell r="AZ20">
            <v>6878946.2000000002</v>
          </cell>
        </row>
        <row r="21">
          <cell r="B21">
            <v>27635</v>
          </cell>
          <cell r="C21" t="str">
            <v>SA 6 &amp; 8</v>
          </cell>
          <cell r="D21" t="str">
            <v>DREW CHILD DEVELOPMENT CORPORATION</v>
          </cell>
          <cell r="G21">
            <v>441311.2</v>
          </cell>
          <cell r="I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W21">
            <v>0</v>
          </cell>
          <cell r="X21">
            <v>0</v>
          </cell>
          <cell r="Y21">
            <v>0</v>
          </cell>
          <cell r="Z21">
            <v>517000</v>
          </cell>
          <cell r="AC21">
            <v>0</v>
          </cell>
          <cell r="AD21">
            <v>0</v>
          </cell>
          <cell r="AG21">
            <v>0</v>
          </cell>
          <cell r="AW21">
            <v>0</v>
          </cell>
          <cell r="AY21">
            <v>0</v>
          </cell>
          <cell r="AZ21">
            <v>958311.2</v>
          </cell>
        </row>
        <row r="22">
          <cell r="B22">
            <v>27492</v>
          </cell>
          <cell r="C22" t="str">
            <v>SA 6 &amp; 8</v>
          </cell>
          <cell r="D22" t="str">
            <v xml:space="preserve">FH &amp; HF TORRANCE I, LLC C/O HEALTH QUALITY MANAGEMENT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138616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293892</v>
          </cell>
          <cell r="AZ22">
            <v>432508</v>
          </cell>
        </row>
        <row r="23">
          <cell r="B23">
            <v>23108</v>
          </cell>
          <cell r="C23" t="str">
            <v>SA 6 &amp; 8</v>
          </cell>
          <cell r="D23" t="str">
            <v xml:space="preserve">FOR THE CHILD, INC. </v>
          </cell>
          <cell r="G23">
            <v>425519.60000000003</v>
          </cell>
          <cell r="I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W23">
            <v>9430</v>
          </cell>
          <cell r="X23">
            <v>0</v>
          </cell>
          <cell r="Y23">
            <v>0</v>
          </cell>
          <cell r="Z23">
            <v>498500</v>
          </cell>
          <cell r="AC23">
            <v>0</v>
          </cell>
          <cell r="AD23">
            <v>0</v>
          </cell>
          <cell r="AG23">
            <v>0</v>
          </cell>
          <cell r="AW23">
            <v>0</v>
          </cell>
          <cell r="AY23">
            <v>0</v>
          </cell>
          <cell r="AZ23">
            <v>933449.60000000009</v>
          </cell>
        </row>
        <row r="24">
          <cell r="B24">
            <v>23157</v>
          </cell>
          <cell r="C24" t="str">
            <v>SA 6 &amp; 8</v>
          </cell>
          <cell r="D24" t="str">
            <v>GUIDANCE CENTER, THE (GREATER LONG BEACH CHILD)</v>
          </cell>
          <cell r="G24">
            <v>3226175.2248</v>
          </cell>
          <cell r="I24">
            <v>216695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169797</v>
          </cell>
          <cell r="T24">
            <v>200265</v>
          </cell>
          <cell r="W24">
            <v>90980</v>
          </cell>
          <cell r="X24">
            <v>0</v>
          </cell>
          <cell r="Y24">
            <v>0</v>
          </cell>
          <cell r="Z24">
            <v>3779493</v>
          </cell>
          <cell r="AC24">
            <v>0</v>
          </cell>
          <cell r="AD24">
            <v>0</v>
          </cell>
          <cell r="AG24">
            <v>0</v>
          </cell>
          <cell r="AW24">
            <v>0</v>
          </cell>
          <cell r="AY24">
            <v>0</v>
          </cell>
          <cell r="AZ24">
            <v>7683405.2248</v>
          </cell>
        </row>
        <row r="25">
          <cell r="B25">
            <v>23164</v>
          </cell>
          <cell r="C25" t="str">
            <v>SA 6 &amp; 8</v>
          </cell>
          <cell r="D25" t="str">
            <v>HEALTH VIEW INC  (HARBOR VIEW HOUSE)</v>
          </cell>
          <cell r="G25">
            <v>0</v>
          </cell>
          <cell r="I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W25">
            <v>473895</v>
          </cell>
          <cell r="X25">
            <v>0</v>
          </cell>
          <cell r="Y25">
            <v>0</v>
          </cell>
          <cell r="Z25">
            <v>0</v>
          </cell>
          <cell r="AC25">
            <v>0</v>
          </cell>
          <cell r="AD25">
            <v>0</v>
          </cell>
          <cell r="AG25">
            <v>0</v>
          </cell>
          <cell r="AW25">
            <v>0</v>
          </cell>
          <cell r="AY25">
            <v>0</v>
          </cell>
          <cell r="AZ25">
            <v>473895</v>
          </cell>
        </row>
        <row r="26">
          <cell r="B26">
            <v>20966</v>
          </cell>
          <cell r="C26" t="str">
            <v>SA 6 &amp; 8</v>
          </cell>
          <cell r="D26" t="str">
            <v>HOMES FOR LIFE FOUNDATION</v>
          </cell>
          <cell r="G26">
            <v>117241.96</v>
          </cell>
          <cell r="I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W26">
            <v>169743</v>
          </cell>
          <cell r="X26">
            <v>0</v>
          </cell>
          <cell r="Y26">
            <v>0</v>
          </cell>
          <cell r="Z26">
            <v>137350</v>
          </cell>
          <cell r="AC26">
            <v>0</v>
          </cell>
          <cell r="AD26">
            <v>0</v>
          </cell>
          <cell r="AG26">
            <v>0</v>
          </cell>
          <cell r="AW26">
            <v>0</v>
          </cell>
          <cell r="AY26">
            <v>0</v>
          </cell>
          <cell r="AZ26">
            <v>424334.96</v>
          </cell>
        </row>
        <row r="27">
          <cell r="B27">
            <v>23136</v>
          </cell>
          <cell r="C27" t="str">
            <v>SA 6 &amp; 8</v>
          </cell>
          <cell r="D27" t="str">
            <v xml:space="preserve">KEDREN COMMUNITY HEALTH CENTER, INC. DBA KEDREN </v>
          </cell>
          <cell r="G27">
            <v>2684017.16</v>
          </cell>
          <cell r="I27">
            <v>0</v>
          </cell>
          <cell r="K27">
            <v>383265</v>
          </cell>
          <cell r="L27">
            <v>150000</v>
          </cell>
          <cell r="N27">
            <v>40000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37506.300000000003</v>
          </cell>
          <cell r="W27">
            <v>3183244</v>
          </cell>
          <cell r="X27">
            <v>150000</v>
          </cell>
          <cell r="Y27">
            <v>0</v>
          </cell>
          <cell r="Z27">
            <v>3144350</v>
          </cell>
          <cell r="AC27">
            <v>0</v>
          </cell>
          <cell r="AD27">
            <v>0</v>
          </cell>
          <cell r="AG27">
            <v>0</v>
          </cell>
          <cell r="AW27">
            <v>0</v>
          </cell>
          <cell r="AY27">
            <v>43997</v>
          </cell>
          <cell r="AZ27">
            <v>9816379.4600000009</v>
          </cell>
        </row>
        <row r="28">
          <cell r="B28">
            <v>23141</v>
          </cell>
          <cell r="C28" t="str">
            <v>SA 6 &amp; 8</v>
          </cell>
          <cell r="D28" t="str">
            <v>LOS ANGELES CHILD GUIDANCE CLINIC</v>
          </cell>
          <cell r="G28">
            <v>4364584.84</v>
          </cell>
          <cell r="I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200172</v>
          </cell>
          <cell r="T28">
            <v>224445</v>
          </cell>
          <cell r="W28">
            <v>40000</v>
          </cell>
          <cell r="X28">
            <v>0</v>
          </cell>
          <cell r="Y28">
            <v>0</v>
          </cell>
          <cell r="Z28">
            <v>5113150</v>
          </cell>
          <cell r="AC28">
            <v>0</v>
          </cell>
          <cell r="AD28">
            <v>0</v>
          </cell>
          <cell r="AG28">
            <v>0</v>
          </cell>
          <cell r="AW28">
            <v>0</v>
          </cell>
          <cell r="AY28">
            <v>0</v>
          </cell>
          <cell r="AZ28">
            <v>9942351.8399999999</v>
          </cell>
        </row>
        <row r="29">
          <cell r="B29">
            <v>23146</v>
          </cell>
          <cell r="C29" t="str">
            <v>SA 6 &amp; 8</v>
          </cell>
          <cell r="D29" t="str">
            <v>NATIONAL MENTAL HEALTH ASSOCIATION OF GREATER LA</v>
          </cell>
          <cell r="G29">
            <v>321593.8</v>
          </cell>
          <cell r="I29">
            <v>0</v>
          </cell>
          <cell r="K29">
            <v>0</v>
          </cell>
          <cell r="L29">
            <v>2581001</v>
          </cell>
          <cell r="N29">
            <v>1000000</v>
          </cell>
          <cell r="O29">
            <v>0</v>
          </cell>
          <cell r="P29">
            <v>0</v>
          </cell>
          <cell r="R29">
            <v>348000</v>
          </cell>
          <cell r="S29">
            <v>0</v>
          </cell>
          <cell r="T29">
            <v>0</v>
          </cell>
          <cell r="W29">
            <v>266762</v>
          </cell>
          <cell r="X29">
            <v>2581001</v>
          </cell>
          <cell r="Y29">
            <v>35000</v>
          </cell>
          <cell r="Z29">
            <v>376750</v>
          </cell>
          <cell r="AC29">
            <v>0</v>
          </cell>
          <cell r="AD29">
            <v>35000</v>
          </cell>
          <cell r="AG29">
            <v>0</v>
          </cell>
          <cell r="AW29">
            <v>0</v>
          </cell>
          <cell r="AY29">
            <v>1830885</v>
          </cell>
          <cell r="AZ29">
            <v>9375992.8000000007</v>
          </cell>
        </row>
        <row r="30">
          <cell r="B30">
            <v>27520</v>
          </cell>
          <cell r="C30" t="str">
            <v>SA 6 &amp; 8</v>
          </cell>
          <cell r="D30" t="str">
            <v>PERSONAL INVOLVEMENT CENTER, INC.</v>
          </cell>
          <cell r="G30">
            <v>518988.79999999999</v>
          </cell>
          <cell r="I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0</v>
          </cell>
          <cell r="Y30">
            <v>0</v>
          </cell>
          <cell r="Z30">
            <v>608000</v>
          </cell>
          <cell r="AC30">
            <v>0</v>
          </cell>
          <cell r="AD30">
            <v>0</v>
          </cell>
          <cell r="AG30">
            <v>0</v>
          </cell>
          <cell r="AW30">
            <v>0</v>
          </cell>
          <cell r="AY30">
            <v>0</v>
          </cell>
          <cell r="AZ30">
            <v>1126988.8</v>
          </cell>
        </row>
        <row r="31">
          <cell r="B31">
            <v>18638</v>
          </cell>
          <cell r="C31" t="str">
            <v>SA 6 &amp; 8</v>
          </cell>
          <cell r="D31" t="str">
            <v>SHIELDS FOR FAMILY PROJECT, INC.</v>
          </cell>
          <cell r="G31">
            <v>1966785.7352</v>
          </cell>
          <cell r="I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23962.25</v>
          </cell>
          <cell r="W31">
            <v>221273</v>
          </cell>
          <cell r="X31">
            <v>0</v>
          </cell>
          <cell r="Y31">
            <v>0</v>
          </cell>
          <cell r="Z31">
            <v>2304107</v>
          </cell>
          <cell r="AC31">
            <v>0</v>
          </cell>
          <cell r="AD31">
            <v>0</v>
          </cell>
          <cell r="AG31">
            <v>0</v>
          </cell>
          <cell r="AW31">
            <v>0</v>
          </cell>
          <cell r="AY31">
            <v>0</v>
          </cell>
          <cell r="AZ31">
            <v>4516127.9852</v>
          </cell>
        </row>
        <row r="32">
          <cell r="B32">
            <v>23169</v>
          </cell>
          <cell r="C32" t="str">
            <v>SA 6 &amp; 8</v>
          </cell>
          <cell r="D32" t="str">
            <v>SOUTH BAY CHILDREN'S HEALTH CENTER ASSOCIATION</v>
          </cell>
          <cell r="G32">
            <v>260665.5392</v>
          </cell>
          <cell r="I32">
            <v>14647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95144</v>
          </cell>
          <cell r="T32">
            <v>27961.05</v>
          </cell>
          <cell r="W32">
            <v>0</v>
          </cell>
          <cell r="X32">
            <v>0</v>
          </cell>
          <cell r="Y32">
            <v>0</v>
          </cell>
          <cell r="Z32">
            <v>305372</v>
          </cell>
          <cell r="AC32">
            <v>0</v>
          </cell>
          <cell r="AD32">
            <v>0</v>
          </cell>
          <cell r="AG32">
            <v>0</v>
          </cell>
          <cell r="AW32">
            <v>0</v>
          </cell>
          <cell r="AY32">
            <v>0</v>
          </cell>
          <cell r="AZ32">
            <v>703789.58920000005</v>
          </cell>
        </row>
        <row r="33">
          <cell r="B33">
            <v>18626</v>
          </cell>
          <cell r="C33" t="str">
            <v>SA 6 &amp; 8</v>
          </cell>
          <cell r="D33" t="str">
            <v>SOUTH CENTRAL HEALTH &amp; REHAB PROGRAM (SCHARP)</v>
          </cell>
          <cell r="G33">
            <v>532646.40000000002</v>
          </cell>
          <cell r="I33">
            <v>0</v>
          </cell>
          <cell r="K33">
            <v>838100</v>
          </cell>
          <cell r="L33">
            <v>975250</v>
          </cell>
          <cell r="N33">
            <v>0</v>
          </cell>
          <cell r="O33">
            <v>0</v>
          </cell>
          <cell r="P33">
            <v>0</v>
          </cell>
          <cell r="R33">
            <v>40000</v>
          </cell>
          <cell r="S33">
            <v>0</v>
          </cell>
          <cell r="T33">
            <v>22378.850000000002</v>
          </cell>
          <cell r="W33">
            <v>144669</v>
          </cell>
          <cell r="X33">
            <v>975250</v>
          </cell>
          <cell r="Y33">
            <v>0</v>
          </cell>
          <cell r="Z33">
            <v>624000</v>
          </cell>
          <cell r="AC33">
            <v>0</v>
          </cell>
          <cell r="AD33">
            <v>0</v>
          </cell>
          <cell r="AG33">
            <v>0</v>
          </cell>
          <cell r="AW33">
            <v>0</v>
          </cell>
          <cell r="AY33">
            <v>0</v>
          </cell>
          <cell r="AZ33">
            <v>4152294.25</v>
          </cell>
        </row>
        <row r="34">
          <cell r="B34">
            <v>21568</v>
          </cell>
          <cell r="C34" t="str">
            <v>SA 6 &amp; 8</v>
          </cell>
          <cell r="D34" t="str">
            <v>ST. FRANCIS MEDICAL CENTER-CHILDREN'S COUNSELING CTR</v>
          </cell>
          <cell r="G34">
            <v>853758.7696</v>
          </cell>
          <cell r="I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6500</v>
          </cell>
          <cell r="W34">
            <v>0</v>
          </cell>
          <cell r="X34">
            <v>0</v>
          </cell>
          <cell r="Y34">
            <v>0</v>
          </cell>
          <cell r="Z34">
            <v>1000186</v>
          </cell>
          <cell r="AC34">
            <v>0</v>
          </cell>
          <cell r="AD34">
            <v>0</v>
          </cell>
          <cell r="AG34">
            <v>0</v>
          </cell>
          <cell r="AW34">
            <v>0</v>
          </cell>
          <cell r="AY34">
            <v>0</v>
          </cell>
          <cell r="AZ34">
            <v>1860444.7696</v>
          </cell>
        </row>
        <row r="35">
          <cell r="B35">
            <v>23172</v>
          </cell>
          <cell r="C35" t="str">
            <v>SA 6 &amp; 8</v>
          </cell>
          <cell r="D35" t="str">
            <v>TELECARE CORP. (LA PAZ &amp; LA CASA MENTAL HEALTH CTR)</v>
          </cell>
          <cell r="G35">
            <v>39521.68</v>
          </cell>
          <cell r="I35">
            <v>0</v>
          </cell>
          <cell r="K35">
            <v>775208</v>
          </cell>
          <cell r="L35">
            <v>984565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W35">
            <v>1057475</v>
          </cell>
          <cell r="X35">
            <v>984565</v>
          </cell>
          <cell r="Y35">
            <v>0</v>
          </cell>
          <cell r="Z35">
            <v>46300</v>
          </cell>
          <cell r="AC35">
            <v>0</v>
          </cell>
          <cell r="AD35">
            <v>0</v>
          </cell>
          <cell r="AG35">
            <v>0</v>
          </cell>
          <cell r="AW35">
            <v>0</v>
          </cell>
          <cell r="AY35">
            <v>0</v>
          </cell>
          <cell r="AZ35">
            <v>3887634.68</v>
          </cell>
        </row>
        <row r="36">
          <cell r="B36" t="str">
            <v>TBA</v>
          </cell>
          <cell r="C36" t="str">
            <v>SA 6 &amp; 8</v>
          </cell>
          <cell r="D36" t="str">
            <v>TESSIE CLEVELAND COMMUNITY SERVICES CORP.</v>
          </cell>
          <cell r="G36">
            <v>1368498.7756000001</v>
          </cell>
          <cell r="I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W36">
            <v>13300</v>
          </cell>
          <cell r="X36">
            <v>0</v>
          </cell>
          <cell r="Y36">
            <v>0</v>
          </cell>
          <cell r="Z36">
            <v>1603208.5</v>
          </cell>
          <cell r="AC36">
            <v>0</v>
          </cell>
          <cell r="AD36">
            <v>0</v>
          </cell>
          <cell r="AG36">
            <v>0</v>
          </cell>
          <cell r="AW36">
            <v>0</v>
          </cell>
          <cell r="AY36">
            <v>0</v>
          </cell>
          <cell r="AZ36">
            <v>2985007.2756000003</v>
          </cell>
        </row>
        <row r="37">
          <cell r="B37">
            <v>23175</v>
          </cell>
          <cell r="C37" t="str">
            <v>SA 6 &amp; 8</v>
          </cell>
          <cell r="D37" t="str">
            <v>TRANSITIONAL LIVING CENTERS FOR LA COUNTY, INC.</v>
          </cell>
          <cell r="G37">
            <v>24242.240000000002</v>
          </cell>
          <cell r="I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W37">
            <v>364324</v>
          </cell>
          <cell r="X37">
            <v>0</v>
          </cell>
          <cell r="Y37">
            <v>0</v>
          </cell>
          <cell r="Z37">
            <v>28400</v>
          </cell>
          <cell r="AC37">
            <v>0</v>
          </cell>
          <cell r="AD37">
            <v>0</v>
          </cell>
          <cell r="AG37">
            <v>0</v>
          </cell>
          <cell r="AW37">
            <v>0</v>
          </cell>
          <cell r="AY37">
            <v>558310</v>
          </cell>
          <cell r="AZ37">
            <v>975276.24</v>
          </cell>
        </row>
        <row r="38">
          <cell r="B38">
            <v>23179</v>
          </cell>
          <cell r="C38" t="str">
            <v>SA 6 &amp; 8</v>
          </cell>
          <cell r="D38" t="str">
            <v xml:space="preserve">WATTS LABOR COMMUNITY ACTION COMMITTEE (WLCAC) </v>
          </cell>
          <cell r="G38">
            <v>0</v>
          </cell>
          <cell r="I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W38">
            <v>25707</v>
          </cell>
          <cell r="X38">
            <v>0</v>
          </cell>
          <cell r="Y38">
            <v>0</v>
          </cell>
          <cell r="Z38">
            <v>0</v>
          </cell>
          <cell r="AC38">
            <v>0</v>
          </cell>
          <cell r="AD38">
            <v>0</v>
          </cell>
          <cell r="AG38">
            <v>0</v>
          </cell>
          <cell r="AW38">
            <v>0</v>
          </cell>
          <cell r="AY38">
            <v>0</v>
          </cell>
          <cell r="AZ38">
            <v>25707</v>
          </cell>
        </row>
        <row r="39">
          <cell r="B39" t="str">
            <v>TBA</v>
          </cell>
          <cell r="C39" t="str">
            <v>SA 6 &amp; 8</v>
          </cell>
          <cell r="D39" t="str">
            <v>UNITED STATES VETERANS INITIATIVE</v>
          </cell>
          <cell r="G39">
            <v>0</v>
          </cell>
          <cell r="I39">
            <v>0</v>
          </cell>
          <cell r="K39">
            <v>0</v>
          </cell>
          <cell r="L39">
            <v>0</v>
          </cell>
          <cell r="N39">
            <v>124057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C39">
            <v>0</v>
          </cell>
          <cell r="AD39">
            <v>0</v>
          </cell>
          <cell r="AG39">
            <v>0</v>
          </cell>
          <cell r="AW39">
            <v>0</v>
          </cell>
          <cell r="AY39">
            <v>0</v>
          </cell>
          <cell r="AZ39">
            <v>124057</v>
          </cell>
        </row>
        <row r="40">
          <cell r="D40" t="str">
            <v>Sub total:  SA 6 &amp; 8</v>
          </cell>
          <cell r="E40">
            <v>0</v>
          </cell>
          <cell r="F40">
            <v>0</v>
          </cell>
          <cell r="G40">
            <v>21128961.4844</v>
          </cell>
          <cell r="H40">
            <v>0</v>
          </cell>
          <cell r="I40">
            <v>231342</v>
          </cell>
          <cell r="K40">
            <v>1996573</v>
          </cell>
          <cell r="L40">
            <v>4690816</v>
          </cell>
          <cell r="M40">
            <v>25264613.150000002</v>
          </cell>
          <cell r="N40">
            <v>1164057</v>
          </cell>
          <cell r="O40">
            <v>472000</v>
          </cell>
          <cell r="P40">
            <v>0</v>
          </cell>
          <cell r="Q40">
            <v>0</v>
          </cell>
          <cell r="R40">
            <v>388000</v>
          </cell>
          <cell r="S40">
            <v>465113</v>
          </cell>
          <cell r="T40">
            <v>543018.44999999995</v>
          </cell>
          <cell r="U40">
            <v>0</v>
          </cell>
          <cell r="V40">
            <v>0</v>
          </cell>
          <cell r="W40">
            <v>7159896</v>
          </cell>
          <cell r="X40">
            <v>4690816</v>
          </cell>
          <cell r="Y40">
            <v>35000</v>
          </cell>
          <cell r="Z40">
            <v>24752766.5</v>
          </cell>
          <cell r="AA40">
            <v>0</v>
          </cell>
          <cell r="AB40">
            <v>0</v>
          </cell>
          <cell r="AC40">
            <v>0</v>
          </cell>
          <cell r="AD40">
            <v>35000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2916784</v>
          </cell>
          <cell r="AZ40">
            <v>95934756.584399998</v>
          </cell>
        </row>
        <row r="41">
          <cell r="C41" t="str">
            <v>cgf</v>
          </cell>
          <cell r="G41">
            <v>3615018.6</v>
          </cell>
          <cell r="T41">
            <v>292394.54999999993</v>
          </cell>
          <cell r="W41">
            <v>7140900</v>
          </cell>
        </row>
        <row r="42">
          <cell r="C42" t="str">
            <v>ift/ab2034</v>
          </cell>
          <cell r="G42">
            <v>8784</v>
          </cell>
          <cell r="W42">
            <v>18996</v>
          </cell>
        </row>
        <row r="44">
          <cell r="B44">
            <v>27233</v>
          </cell>
          <cell r="C44" t="str">
            <v>SA 1 &amp; 3</v>
          </cell>
          <cell r="D44" t="str">
            <v>BIENVENIDOS CHILDREN'S CTR, INC.</v>
          </cell>
          <cell r="G44">
            <v>1304599.56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780</v>
          </cell>
          <cell r="W44">
            <v>1286</v>
          </cell>
          <cell r="X44">
            <v>0</v>
          </cell>
          <cell r="Y44">
            <v>0</v>
          </cell>
          <cell r="Z44">
            <v>1528350</v>
          </cell>
          <cell r="AC44">
            <v>0</v>
          </cell>
          <cell r="AD44">
            <v>0</v>
          </cell>
          <cell r="AG44">
            <v>0</v>
          </cell>
          <cell r="AW44">
            <v>0</v>
          </cell>
          <cell r="AY44">
            <v>0</v>
          </cell>
          <cell r="AZ44">
            <v>2835015.56</v>
          </cell>
        </row>
        <row r="45">
          <cell r="B45">
            <v>23105</v>
          </cell>
          <cell r="C45" t="str">
            <v>SA 1 &amp; 3</v>
          </cell>
          <cell r="D45" t="str">
            <v>BRASWELL REHAB INST FOR DEV. OF GROWTH DBA BRIDGES</v>
          </cell>
          <cell r="G45">
            <v>230002.52000000002</v>
          </cell>
          <cell r="I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W45">
            <v>509580</v>
          </cell>
          <cell r="X45">
            <v>0</v>
          </cell>
          <cell r="Y45">
            <v>0</v>
          </cell>
          <cell r="Z45">
            <v>269450</v>
          </cell>
          <cell r="AC45">
            <v>0</v>
          </cell>
          <cell r="AD45">
            <v>0</v>
          </cell>
          <cell r="AG45">
            <v>0</v>
          </cell>
          <cell r="AW45">
            <v>0</v>
          </cell>
          <cell r="AY45">
            <v>180241</v>
          </cell>
          <cell r="AZ45">
            <v>1189273.52</v>
          </cell>
        </row>
        <row r="46">
          <cell r="B46">
            <v>27634</v>
          </cell>
          <cell r="C46" t="str">
            <v>SA 1 &amp; 3</v>
          </cell>
          <cell r="D46" t="str">
            <v>CENTER FOR INTEGRATED FAMILY &amp; HLT SVC DBA THE FAMILY</v>
          </cell>
          <cell r="G46">
            <v>425092.8</v>
          </cell>
          <cell r="I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  <cell r="X46">
            <v>0</v>
          </cell>
          <cell r="Y46">
            <v>0</v>
          </cell>
          <cell r="Z46">
            <v>498000</v>
          </cell>
          <cell r="AC46">
            <v>0</v>
          </cell>
          <cell r="AD46">
            <v>0</v>
          </cell>
          <cell r="AG46">
            <v>0</v>
          </cell>
          <cell r="AW46">
            <v>0</v>
          </cell>
          <cell r="AY46">
            <v>0</v>
          </cell>
          <cell r="AZ46">
            <v>923092.8</v>
          </cell>
        </row>
        <row r="47">
          <cell r="B47">
            <v>27601</v>
          </cell>
          <cell r="C47" t="str">
            <v>SA 1 &amp; 3</v>
          </cell>
          <cell r="D47" t="str">
            <v>CHILDREN'S CENTER OF ANTELOPE VALLEY, THE</v>
          </cell>
          <cell r="G47">
            <v>511306.4</v>
          </cell>
          <cell r="I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W47">
            <v>0</v>
          </cell>
          <cell r="X47">
            <v>0</v>
          </cell>
          <cell r="Y47">
            <v>0</v>
          </cell>
          <cell r="Z47">
            <v>599000</v>
          </cell>
          <cell r="AC47">
            <v>0</v>
          </cell>
          <cell r="AD47">
            <v>0</v>
          </cell>
          <cell r="AG47">
            <v>0</v>
          </cell>
          <cell r="AW47">
            <v>0</v>
          </cell>
          <cell r="AY47">
            <v>0</v>
          </cell>
          <cell r="AZ47">
            <v>1110306.3999999999</v>
          </cell>
        </row>
        <row r="48">
          <cell r="B48">
            <v>27502</v>
          </cell>
          <cell r="C48" t="str">
            <v>SA 1 &amp; 3</v>
          </cell>
          <cell r="D48" t="str">
            <v>CHILDREN'S CIRCLE, THE (CARING FOR CHILDREN &amp; FAMILIES WITH AIDS)</v>
          </cell>
          <cell r="G48">
            <v>447243.72000000003</v>
          </cell>
          <cell r="I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W48">
            <v>0</v>
          </cell>
          <cell r="X48">
            <v>0</v>
          </cell>
          <cell r="Y48">
            <v>0</v>
          </cell>
          <cell r="Z48">
            <v>523950</v>
          </cell>
          <cell r="AC48">
            <v>0</v>
          </cell>
          <cell r="AD48">
            <v>0</v>
          </cell>
          <cell r="AG48">
            <v>0</v>
          </cell>
          <cell r="AW48">
            <v>0</v>
          </cell>
          <cell r="AY48">
            <v>0</v>
          </cell>
          <cell r="AZ48">
            <v>971193.72</v>
          </cell>
        </row>
        <row r="49">
          <cell r="B49">
            <v>21570</v>
          </cell>
          <cell r="C49" t="str">
            <v>SA 1 &amp; 3</v>
          </cell>
          <cell r="D49" t="str">
            <v>COUNSELING &amp; RESEARCH ASSO. INC., (MASADA HOMES)</v>
          </cell>
          <cell r="G49">
            <v>2939670.36</v>
          </cell>
          <cell r="I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4221.1000000000004</v>
          </cell>
          <cell r="W49">
            <v>5000</v>
          </cell>
          <cell r="X49">
            <v>0</v>
          </cell>
          <cell r="Y49">
            <v>0</v>
          </cell>
          <cell r="Z49">
            <v>3443850</v>
          </cell>
          <cell r="AC49">
            <v>0</v>
          </cell>
          <cell r="AD49">
            <v>0</v>
          </cell>
          <cell r="AG49">
            <v>0</v>
          </cell>
          <cell r="AW49">
            <v>0</v>
          </cell>
          <cell r="AY49">
            <v>0</v>
          </cell>
          <cell r="AZ49">
            <v>6392741.46</v>
          </cell>
        </row>
        <row r="50">
          <cell r="B50">
            <v>21574</v>
          </cell>
          <cell r="C50" t="str">
            <v>SA 1 &amp; 3</v>
          </cell>
          <cell r="D50" t="str">
            <v>D' VEAL CORPORATION DBA D'VEAL FAMILY AND YOUTH SVCS</v>
          </cell>
          <cell r="G50">
            <v>2172283.96</v>
          </cell>
          <cell r="I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W50">
            <v>1000</v>
          </cell>
          <cell r="X50">
            <v>0</v>
          </cell>
          <cell r="Y50">
            <v>0</v>
          </cell>
          <cell r="Z50">
            <v>2544850</v>
          </cell>
          <cell r="AC50">
            <v>0</v>
          </cell>
          <cell r="AD50">
            <v>0</v>
          </cell>
          <cell r="AG50">
            <v>0</v>
          </cell>
          <cell r="AW50">
            <v>0</v>
          </cell>
          <cell r="AY50">
            <v>0</v>
          </cell>
          <cell r="AZ50">
            <v>4718133.96</v>
          </cell>
        </row>
        <row r="51">
          <cell r="B51">
            <v>27545</v>
          </cell>
          <cell r="C51" t="str">
            <v>SA 1 &amp; 3</v>
          </cell>
          <cell r="D51" t="str">
            <v>DAVID &amp; MARGARET HOME, INC.</v>
          </cell>
          <cell r="G51">
            <v>426800</v>
          </cell>
          <cell r="I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W51">
            <v>0</v>
          </cell>
          <cell r="X51">
            <v>0</v>
          </cell>
          <cell r="Y51">
            <v>0</v>
          </cell>
          <cell r="Z51">
            <v>500000</v>
          </cell>
          <cell r="AC51">
            <v>0</v>
          </cell>
          <cell r="AD51">
            <v>0</v>
          </cell>
          <cell r="AG51">
            <v>0</v>
          </cell>
          <cell r="AW51">
            <v>0</v>
          </cell>
          <cell r="AY51">
            <v>0</v>
          </cell>
          <cell r="AZ51">
            <v>926800</v>
          </cell>
        </row>
        <row r="52">
          <cell r="B52">
            <v>23118</v>
          </cell>
          <cell r="C52" t="str">
            <v>SA 1 &amp; 3</v>
          </cell>
          <cell r="D52" t="str">
            <v>DUBNOFF CENTER FOR CHILD DEV &amp; EDU THERAPY, INC.</v>
          </cell>
          <cell r="G52">
            <v>616555.28</v>
          </cell>
          <cell r="I52">
            <v>126771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154928</v>
          </cell>
          <cell r="T52">
            <v>30940</v>
          </cell>
          <cell r="W52">
            <v>5641</v>
          </cell>
          <cell r="X52">
            <v>0</v>
          </cell>
          <cell r="Y52">
            <v>0</v>
          </cell>
          <cell r="Z52">
            <v>722300</v>
          </cell>
          <cell r="AC52">
            <v>0</v>
          </cell>
          <cell r="AD52">
            <v>0</v>
          </cell>
          <cell r="AG52">
            <v>0</v>
          </cell>
          <cell r="AW52">
            <v>0</v>
          </cell>
          <cell r="AY52">
            <v>0</v>
          </cell>
          <cell r="AZ52">
            <v>1657135.28</v>
          </cell>
        </row>
        <row r="53">
          <cell r="B53">
            <v>21571</v>
          </cell>
          <cell r="C53" t="str">
            <v>SA 1 &amp; 3</v>
          </cell>
          <cell r="D53" t="str">
            <v>EASTFIELD MING QUONG (LOS ANGELES ORPHANS HOME SOCIETY)</v>
          </cell>
          <cell r="G53">
            <v>1339298.4000000001</v>
          </cell>
          <cell r="I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W53">
            <v>20026</v>
          </cell>
          <cell r="X53">
            <v>0</v>
          </cell>
          <cell r="Y53">
            <v>0</v>
          </cell>
          <cell r="Z53">
            <v>1569000</v>
          </cell>
          <cell r="AC53">
            <v>0</v>
          </cell>
          <cell r="AD53">
            <v>0</v>
          </cell>
          <cell r="AG53">
            <v>0</v>
          </cell>
          <cell r="AW53">
            <v>0</v>
          </cell>
          <cell r="AY53">
            <v>0</v>
          </cell>
          <cell r="AZ53">
            <v>2928324.4000000004</v>
          </cell>
        </row>
        <row r="54">
          <cell r="B54">
            <v>27234</v>
          </cell>
          <cell r="C54" t="str">
            <v>SA 1 &amp; 3</v>
          </cell>
          <cell r="D54" t="str">
            <v>ETTIE LEE HOMES, INC.</v>
          </cell>
          <cell r="G54">
            <v>954324.8</v>
          </cell>
          <cell r="I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W54">
            <v>45000</v>
          </cell>
          <cell r="X54">
            <v>0</v>
          </cell>
          <cell r="Y54">
            <v>0</v>
          </cell>
          <cell r="Z54">
            <v>1118000</v>
          </cell>
          <cell r="AC54">
            <v>0</v>
          </cell>
          <cell r="AD54">
            <v>0</v>
          </cell>
          <cell r="AG54">
            <v>0</v>
          </cell>
          <cell r="AW54">
            <v>0</v>
          </cell>
          <cell r="AY54">
            <v>0</v>
          </cell>
          <cell r="AZ54">
            <v>2117324.7999999998</v>
          </cell>
        </row>
        <row r="55">
          <cell r="B55">
            <v>18675</v>
          </cell>
          <cell r="C55" t="str">
            <v>SA 1 &amp; 3</v>
          </cell>
          <cell r="D55" t="str">
            <v>FIVE ACRES - THE BOYS &amp; GIRLS AID SOCIETY OF LA COUNTY</v>
          </cell>
          <cell r="G55">
            <v>4143652.2468000003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W55">
            <v>1000</v>
          </cell>
          <cell r="X55">
            <v>0</v>
          </cell>
          <cell r="Y55">
            <v>0</v>
          </cell>
          <cell r="Z55">
            <v>4854325.5</v>
          </cell>
          <cell r="AC55">
            <v>0</v>
          </cell>
          <cell r="AD55">
            <v>0</v>
          </cell>
          <cell r="AG55">
            <v>0</v>
          </cell>
          <cell r="AW55">
            <v>0</v>
          </cell>
          <cell r="AY55">
            <v>0</v>
          </cell>
          <cell r="AZ55">
            <v>8998977.7467999998</v>
          </cell>
        </row>
        <row r="56">
          <cell r="B56">
            <v>27627</v>
          </cell>
          <cell r="C56" t="str">
            <v>SA 1 &amp; 3</v>
          </cell>
          <cell r="D56" t="str">
            <v>FLORENCE CRITTENTON SERVICES OF ORANGE CTY, INC. DBA</v>
          </cell>
          <cell r="G56">
            <v>960300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W56">
            <v>0</v>
          </cell>
          <cell r="X56">
            <v>0</v>
          </cell>
          <cell r="Y56">
            <v>0</v>
          </cell>
          <cell r="Z56">
            <v>1125000</v>
          </cell>
          <cell r="AC56">
            <v>0</v>
          </cell>
          <cell r="AD56">
            <v>0</v>
          </cell>
          <cell r="AG56">
            <v>0</v>
          </cell>
          <cell r="AW56">
            <v>0</v>
          </cell>
          <cell r="AY56">
            <v>0</v>
          </cell>
          <cell r="AZ56">
            <v>2085300</v>
          </cell>
        </row>
        <row r="57">
          <cell r="B57">
            <v>18701</v>
          </cell>
          <cell r="C57" t="str">
            <v>SA 1 &amp; 3</v>
          </cell>
          <cell r="D57" t="str">
            <v>FOOTHILL FAMILY SERVICE</v>
          </cell>
          <cell r="G57">
            <v>2740482.8000000003</v>
          </cell>
          <cell r="I57">
            <v>80000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168987</v>
          </cell>
          <cell r="W57">
            <v>928</v>
          </cell>
          <cell r="X57">
            <v>0</v>
          </cell>
          <cell r="Y57">
            <v>0</v>
          </cell>
          <cell r="Z57">
            <v>3210500</v>
          </cell>
          <cell r="AC57">
            <v>0</v>
          </cell>
          <cell r="AD57">
            <v>0</v>
          </cell>
          <cell r="AG57">
            <v>0</v>
          </cell>
          <cell r="AW57">
            <v>0</v>
          </cell>
          <cell r="AY57">
            <v>0</v>
          </cell>
          <cell r="AZ57">
            <v>6200897.8000000007</v>
          </cell>
        </row>
        <row r="58">
          <cell r="B58">
            <v>27478</v>
          </cell>
          <cell r="C58" t="str">
            <v>SA 1 &amp; 3</v>
          </cell>
          <cell r="D58" t="str">
            <v>HERITAGE CLINIC &amp; THE COMMUNITY ASS. PRO. FOR SENIORS</v>
          </cell>
          <cell r="G58">
            <v>0</v>
          </cell>
          <cell r="I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W58">
            <v>268960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G58">
            <v>0</v>
          </cell>
          <cell r="AW58">
            <v>0</v>
          </cell>
          <cell r="AY58">
            <v>0</v>
          </cell>
          <cell r="AZ58">
            <v>268960</v>
          </cell>
        </row>
        <row r="59">
          <cell r="B59">
            <v>23135</v>
          </cell>
          <cell r="C59" t="str">
            <v>SA 1 &amp; 3</v>
          </cell>
          <cell r="D59" t="str">
            <v>HILLSIDES FORMERLY CHURCH HOME FOR CHILDREN OF THE</v>
          </cell>
          <cell r="G59">
            <v>3008513.2</v>
          </cell>
          <cell r="I59">
            <v>40000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137070.70000000001</v>
          </cell>
          <cell r="W59">
            <v>9198</v>
          </cell>
          <cell r="X59">
            <v>0</v>
          </cell>
          <cell r="Y59">
            <v>0</v>
          </cell>
          <cell r="Z59">
            <v>3524500</v>
          </cell>
          <cell r="AC59">
            <v>0</v>
          </cell>
          <cell r="AD59">
            <v>0</v>
          </cell>
          <cell r="AG59">
            <v>0</v>
          </cell>
          <cell r="AW59">
            <v>0</v>
          </cell>
          <cell r="AY59">
            <v>0</v>
          </cell>
          <cell r="AZ59">
            <v>6719281.9000000004</v>
          </cell>
        </row>
        <row r="60">
          <cell r="B60">
            <v>27614</v>
          </cell>
          <cell r="C60" t="str">
            <v>SA 1 &amp; 3</v>
          </cell>
          <cell r="D60" t="str">
            <v>INSTITUTE FOR APPLIED BEHAVIOR ANALYSIS, A PSY. CORP.</v>
          </cell>
          <cell r="G60">
            <v>42680</v>
          </cell>
          <cell r="I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W60">
            <v>0</v>
          </cell>
          <cell r="X60">
            <v>0</v>
          </cell>
          <cell r="Y60">
            <v>0</v>
          </cell>
          <cell r="Z60">
            <v>50000</v>
          </cell>
          <cell r="AC60">
            <v>0</v>
          </cell>
          <cell r="AD60">
            <v>0</v>
          </cell>
          <cell r="AG60">
            <v>0</v>
          </cell>
          <cell r="AW60">
            <v>0</v>
          </cell>
          <cell r="AY60">
            <v>0</v>
          </cell>
          <cell r="AZ60">
            <v>92680</v>
          </cell>
        </row>
        <row r="61">
          <cell r="B61">
            <v>23186</v>
          </cell>
          <cell r="C61" t="str">
            <v>SA 1 &amp; 3</v>
          </cell>
          <cell r="D61" t="str">
            <v>INSTITUTE FOR THE REDESIGN OF LEARNING (ALMANSOR)</v>
          </cell>
          <cell r="G61">
            <v>2429815.08</v>
          </cell>
          <cell r="I61">
            <v>125000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135485</v>
          </cell>
          <cell r="T61">
            <v>171450.5</v>
          </cell>
          <cell r="W61">
            <v>0</v>
          </cell>
          <cell r="X61">
            <v>0</v>
          </cell>
          <cell r="Y61">
            <v>0</v>
          </cell>
          <cell r="Z61">
            <v>2846550</v>
          </cell>
          <cell r="AC61">
            <v>0</v>
          </cell>
          <cell r="AD61">
            <v>0</v>
          </cell>
          <cell r="AG61">
            <v>0</v>
          </cell>
          <cell r="AW61">
            <v>0</v>
          </cell>
          <cell r="AY61">
            <v>0</v>
          </cell>
          <cell r="AZ61">
            <v>5708300.5800000001</v>
          </cell>
        </row>
        <row r="62">
          <cell r="B62">
            <v>27637</v>
          </cell>
          <cell r="C62" t="str">
            <v>SA 1 &amp; 3</v>
          </cell>
          <cell r="D62" t="str">
            <v>KIDS FIRST FOUNDATION (MID VALLEY YOUTH CTR / HELICON)</v>
          </cell>
          <cell r="G62">
            <v>640200</v>
          </cell>
          <cell r="I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W62">
            <v>0</v>
          </cell>
          <cell r="X62">
            <v>0</v>
          </cell>
          <cell r="Y62">
            <v>0</v>
          </cell>
          <cell r="Z62">
            <v>750000</v>
          </cell>
          <cell r="AC62">
            <v>0</v>
          </cell>
          <cell r="AD62">
            <v>0</v>
          </cell>
          <cell r="AG62">
            <v>0</v>
          </cell>
          <cell r="AW62">
            <v>0</v>
          </cell>
          <cell r="AY62">
            <v>0</v>
          </cell>
          <cell r="AZ62">
            <v>1390200</v>
          </cell>
        </row>
        <row r="63">
          <cell r="B63">
            <v>27543</v>
          </cell>
          <cell r="C63" t="str">
            <v>SA 1 &amp; 3</v>
          </cell>
          <cell r="D63" t="str">
            <v>LEROY HAYNES CTR FOR CHILDREN &amp; FAMILY SVCS, INC.</v>
          </cell>
          <cell r="G63">
            <v>1047281.8400000001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  <cell r="X63">
            <v>0</v>
          </cell>
          <cell r="Y63">
            <v>0</v>
          </cell>
          <cell r="Z63">
            <v>1226900</v>
          </cell>
          <cell r="AC63">
            <v>0</v>
          </cell>
          <cell r="AD63">
            <v>0</v>
          </cell>
          <cell r="AG63">
            <v>0</v>
          </cell>
          <cell r="AW63">
            <v>0</v>
          </cell>
          <cell r="AY63">
            <v>0</v>
          </cell>
          <cell r="AZ63">
            <v>2274181.84</v>
          </cell>
        </row>
        <row r="64">
          <cell r="B64">
            <v>20470</v>
          </cell>
          <cell r="C64" t="str">
            <v>SA 1 &amp; 3</v>
          </cell>
          <cell r="D64" t="str">
            <v>LOS ANGELES UNIFIED SCHOOL DISTRICT (97TH SCHOOL)</v>
          </cell>
          <cell r="G64">
            <v>923795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197774</v>
          </cell>
          <cell r="W64">
            <v>62770</v>
          </cell>
          <cell r="X64">
            <v>0</v>
          </cell>
          <cell r="Y64">
            <v>0</v>
          </cell>
          <cell r="Z64">
            <v>1082450</v>
          </cell>
          <cell r="AC64">
            <v>0</v>
          </cell>
          <cell r="AD64">
            <v>0</v>
          </cell>
          <cell r="AG64">
            <v>0</v>
          </cell>
          <cell r="AW64">
            <v>0</v>
          </cell>
          <cell r="AY64">
            <v>0</v>
          </cell>
          <cell r="AZ64">
            <v>2266789</v>
          </cell>
        </row>
        <row r="65">
          <cell r="B65">
            <v>27507</v>
          </cell>
          <cell r="C65" t="str">
            <v>SA 1 &amp; 3</v>
          </cell>
          <cell r="D65" t="str">
            <v>MARYVALE</v>
          </cell>
          <cell r="G65">
            <v>1009808.8</v>
          </cell>
          <cell r="I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W65">
            <v>0</v>
          </cell>
          <cell r="X65">
            <v>0</v>
          </cell>
          <cell r="Y65">
            <v>0</v>
          </cell>
          <cell r="Z65">
            <v>1183000</v>
          </cell>
          <cell r="AC65">
            <v>0</v>
          </cell>
          <cell r="AD65">
            <v>0</v>
          </cell>
          <cell r="AG65">
            <v>0</v>
          </cell>
          <cell r="AW65">
            <v>0</v>
          </cell>
          <cell r="AY65">
            <v>0</v>
          </cell>
          <cell r="AZ65">
            <v>2192808.7999999998</v>
          </cell>
        </row>
        <row r="66">
          <cell r="B66">
            <v>27495</v>
          </cell>
          <cell r="C66" t="str">
            <v>SA 1 &amp; 3</v>
          </cell>
          <cell r="D66" t="str">
            <v>MCKINLEY CHILDREN'S CENTER, INC.</v>
          </cell>
          <cell r="G66">
            <v>1175834</v>
          </cell>
          <cell r="I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W66">
            <v>29780</v>
          </cell>
          <cell r="X66">
            <v>0</v>
          </cell>
          <cell r="Y66">
            <v>0</v>
          </cell>
          <cell r="Z66">
            <v>1377500</v>
          </cell>
          <cell r="AC66">
            <v>0</v>
          </cell>
          <cell r="AD66">
            <v>0</v>
          </cell>
          <cell r="AG66">
            <v>0</v>
          </cell>
          <cell r="AW66">
            <v>0</v>
          </cell>
          <cell r="AY66">
            <v>0</v>
          </cell>
          <cell r="AZ66">
            <v>2583114</v>
          </cell>
        </row>
        <row r="67">
          <cell r="B67">
            <v>18664</v>
          </cell>
          <cell r="C67" t="str">
            <v>SA 1 &amp; 3</v>
          </cell>
          <cell r="D67" t="str">
            <v>OLIVE CREST TREATMENT CENTERS, INC. (OLIVE CREST)</v>
          </cell>
          <cell r="G67">
            <v>405886.8</v>
          </cell>
          <cell r="I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W67">
            <v>1231</v>
          </cell>
          <cell r="X67">
            <v>0</v>
          </cell>
          <cell r="Y67">
            <v>0</v>
          </cell>
          <cell r="Z67">
            <v>475500</v>
          </cell>
          <cell r="AC67">
            <v>0</v>
          </cell>
          <cell r="AD67">
            <v>0</v>
          </cell>
          <cell r="AG67">
            <v>0</v>
          </cell>
          <cell r="AW67">
            <v>0</v>
          </cell>
          <cell r="AY67">
            <v>0</v>
          </cell>
          <cell r="AZ67">
            <v>882617.8</v>
          </cell>
        </row>
        <row r="68">
          <cell r="B68">
            <v>21569</v>
          </cell>
          <cell r="C68" t="str">
            <v>SA 1 &amp; 3</v>
          </cell>
          <cell r="D68" t="str">
            <v xml:space="preserve">OPTIMIST BOYS' HOME &amp; RANCH INC. (OPTIMIST YOUTH HOMES) </v>
          </cell>
          <cell r="G68">
            <v>1971133.12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W68">
            <v>10000</v>
          </cell>
          <cell r="X68">
            <v>0</v>
          </cell>
          <cell r="Y68">
            <v>0</v>
          </cell>
          <cell r="Z68">
            <v>2309200</v>
          </cell>
          <cell r="AC68">
            <v>0</v>
          </cell>
          <cell r="AD68">
            <v>0</v>
          </cell>
          <cell r="AG68">
            <v>0</v>
          </cell>
          <cell r="AW68">
            <v>0</v>
          </cell>
          <cell r="AY68">
            <v>0</v>
          </cell>
          <cell r="AZ68">
            <v>4290333.12</v>
          </cell>
        </row>
        <row r="69">
          <cell r="B69">
            <v>23153</v>
          </cell>
          <cell r="C69" t="str">
            <v>SA 1 &amp; 3</v>
          </cell>
          <cell r="D69" t="str">
            <v xml:space="preserve">PACIFIC CLINICS </v>
          </cell>
          <cell r="G69">
            <v>11719202.439999999</v>
          </cell>
          <cell r="I69">
            <v>100000</v>
          </cell>
          <cell r="K69">
            <v>660112</v>
          </cell>
          <cell r="L69">
            <v>513070</v>
          </cell>
          <cell r="N69">
            <v>80000</v>
          </cell>
          <cell r="O69">
            <v>0</v>
          </cell>
          <cell r="P69">
            <v>0</v>
          </cell>
          <cell r="R69">
            <v>25000</v>
          </cell>
          <cell r="S69">
            <v>700000</v>
          </cell>
          <cell r="T69">
            <v>937528.15</v>
          </cell>
          <cell r="W69">
            <v>6545348</v>
          </cell>
          <cell r="X69">
            <v>513070</v>
          </cell>
          <cell r="Y69">
            <v>0</v>
          </cell>
          <cell r="Z69">
            <v>13729150</v>
          </cell>
          <cell r="AC69">
            <v>0</v>
          </cell>
          <cell r="AD69">
            <v>0</v>
          </cell>
          <cell r="AG69">
            <v>0</v>
          </cell>
          <cell r="AW69">
            <v>260000</v>
          </cell>
          <cell r="AY69">
            <v>38423</v>
          </cell>
          <cell r="AZ69">
            <v>35820903.590000004</v>
          </cell>
        </row>
        <row r="70">
          <cell r="B70">
            <v>27518</v>
          </cell>
          <cell r="C70" t="str">
            <v>SA 1 &amp; 3</v>
          </cell>
          <cell r="D70" t="str">
            <v>PACIFIC LODGE YOUTH SERVICE</v>
          </cell>
          <cell r="G70">
            <v>640200</v>
          </cell>
          <cell r="I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W70">
            <v>0</v>
          </cell>
          <cell r="X70">
            <v>0</v>
          </cell>
          <cell r="Y70">
            <v>0</v>
          </cell>
          <cell r="Z70">
            <v>750000</v>
          </cell>
          <cell r="AC70">
            <v>0</v>
          </cell>
          <cell r="AD70">
            <v>0</v>
          </cell>
          <cell r="AG70">
            <v>0</v>
          </cell>
          <cell r="AW70">
            <v>0</v>
          </cell>
          <cell r="AY70">
            <v>0</v>
          </cell>
          <cell r="AZ70">
            <v>1390200</v>
          </cell>
        </row>
        <row r="71">
          <cell r="B71">
            <v>27542</v>
          </cell>
          <cell r="C71" t="str">
            <v>SA 1 &amp; 3</v>
          </cell>
          <cell r="D71" t="str">
            <v>PASADENA UNIFIED SCHOOL DISTRICT</v>
          </cell>
          <cell r="G71">
            <v>853600</v>
          </cell>
          <cell r="I71">
            <v>100000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18723.900000000001</v>
          </cell>
          <cell r="W71">
            <v>0</v>
          </cell>
          <cell r="X71">
            <v>0</v>
          </cell>
          <cell r="Y71">
            <v>0</v>
          </cell>
          <cell r="Z71">
            <v>1000000</v>
          </cell>
          <cell r="AC71">
            <v>0</v>
          </cell>
          <cell r="AD71">
            <v>0</v>
          </cell>
          <cell r="AG71">
            <v>0</v>
          </cell>
          <cell r="AW71">
            <v>0</v>
          </cell>
          <cell r="AY71">
            <v>0</v>
          </cell>
          <cell r="AZ71">
            <v>1972323.9</v>
          </cell>
        </row>
        <row r="72">
          <cell r="B72">
            <v>23149</v>
          </cell>
          <cell r="C72" t="str">
            <v>SA 1 &amp; 3</v>
          </cell>
          <cell r="D72" t="str">
            <v xml:space="preserve">PENNY LANE CENTERS (NATIONAL FOUNDATION TREATMENT) </v>
          </cell>
          <cell r="G72">
            <v>5006278.6400000006</v>
          </cell>
          <cell r="I72">
            <v>175000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6934</v>
          </cell>
          <cell r="T72">
            <v>170378</v>
          </cell>
          <cell r="W72">
            <v>36400</v>
          </cell>
          <cell r="X72">
            <v>0</v>
          </cell>
          <cell r="Y72">
            <v>0</v>
          </cell>
          <cell r="Z72">
            <v>5864900</v>
          </cell>
          <cell r="AC72">
            <v>0</v>
          </cell>
          <cell r="AD72">
            <v>0</v>
          </cell>
          <cell r="AG72">
            <v>0</v>
          </cell>
          <cell r="AW72">
            <v>0</v>
          </cell>
          <cell r="AY72">
            <v>0</v>
          </cell>
          <cell r="AZ72">
            <v>11259890.640000001</v>
          </cell>
        </row>
        <row r="73">
          <cell r="B73">
            <v>21573</v>
          </cell>
          <cell r="C73" t="str">
            <v>SA 1 &amp; 3</v>
          </cell>
          <cell r="D73" t="str">
            <v>PHOENIX HOUSES OF LOS ANGELES, INC.</v>
          </cell>
          <cell r="G73">
            <v>789153.20000000007</v>
          </cell>
          <cell r="I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3628.9500000000003</v>
          </cell>
          <cell r="W73">
            <v>8000</v>
          </cell>
          <cell r="X73">
            <v>0</v>
          </cell>
          <cell r="Y73">
            <v>0</v>
          </cell>
          <cell r="Z73">
            <v>924500</v>
          </cell>
          <cell r="AC73">
            <v>0</v>
          </cell>
          <cell r="AD73">
            <v>0</v>
          </cell>
          <cell r="AG73">
            <v>0</v>
          </cell>
          <cell r="AW73">
            <v>0</v>
          </cell>
          <cell r="AY73">
            <v>0</v>
          </cell>
          <cell r="AZ73">
            <v>1725282.15</v>
          </cell>
        </row>
        <row r="74">
          <cell r="B74">
            <v>27210</v>
          </cell>
          <cell r="C74" t="str">
            <v>SA 1 &amp; 3</v>
          </cell>
          <cell r="D74" t="str">
            <v>PROTOTYPES</v>
          </cell>
          <cell r="G74">
            <v>338793.84</v>
          </cell>
          <cell r="I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W74">
            <v>791624</v>
          </cell>
          <cell r="X74">
            <v>0</v>
          </cell>
          <cell r="Y74">
            <v>0</v>
          </cell>
          <cell r="Z74">
            <v>396900</v>
          </cell>
          <cell r="AC74">
            <v>0</v>
          </cell>
          <cell r="AD74">
            <v>0</v>
          </cell>
          <cell r="AG74">
            <v>0</v>
          </cell>
          <cell r="AW74">
            <v>0</v>
          </cell>
          <cell r="AY74">
            <v>0</v>
          </cell>
          <cell r="AZ74">
            <v>1527317.84</v>
          </cell>
        </row>
        <row r="75">
          <cell r="B75">
            <v>27236</v>
          </cell>
          <cell r="C75" t="str">
            <v>SA 1 &amp; 3</v>
          </cell>
          <cell r="D75" t="str">
            <v>ROSEMARY CHILDREN'S SERVICES</v>
          </cell>
          <cell r="G75">
            <v>714036.4</v>
          </cell>
          <cell r="I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W75">
            <v>5000</v>
          </cell>
          <cell r="X75">
            <v>0</v>
          </cell>
          <cell r="Y75">
            <v>0</v>
          </cell>
          <cell r="Z75">
            <v>836500</v>
          </cell>
          <cell r="AC75">
            <v>0</v>
          </cell>
          <cell r="AD75">
            <v>0</v>
          </cell>
          <cell r="AG75">
            <v>0</v>
          </cell>
          <cell r="AW75">
            <v>0</v>
          </cell>
          <cell r="AY75">
            <v>0</v>
          </cell>
          <cell r="AZ75">
            <v>1555536.4</v>
          </cell>
        </row>
        <row r="76">
          <cell r="B76">
            <v>18665</v>
          </cell>
          <cell r="C76" t="str">
            <v>SA 1 &amp; 3</v>
          </cell>
          <cell r="D76" t="str">
            <v xml:space="preserve">SAN GABRIEL CHILDREN'S CTR, INC. (RESEARCH &amp; TREATMENT </v>
          </cell>
          <cell r="G76">
            <v>791714</v>
          </cell>
          <cell r="I76">
            <v>186994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W76">
            <v>0</v>
          </cell>
          <cell r="X76">
            <v>0</v>
          </cell>
          <cell r="Y76">
            <v>0</v>
          </cell>
          <cell r="Z76">
            <v>927500</v>
          </cell>
          <cell r="AC76">
            <v>0</v>
          </cell>
          <cell r="AD76">
            <v>0</v>
          </cell>
          <cell r="AG76">
            <v>0</v>
          </cell>
          <cell r="AW76">
            <v>0</v>
          </cell>
          <cell r="AY76">
            <v>0</v>
          </cell>
          <cell r="AZ76">
            <v>1906208</v>
          </cell>
        </row>
        <row r="77">
          <cell r="B77">
            <v>27522</v>
          </cell>
          <cell r="C77" t="str">
            <v>SA 1 &amp; 3</v>
          </cell>
          <cell r="D77" t="str">
            <v>SERENITY INFANT CARE HOMES, INC.</v>
          </cell>
          <cell r="G77">
            <v>354244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W77">
            <v>0</v>
          </cell>
          <cell r="X77">
            <v>0</v>
          </cell>
          <cell r="Y77">
            <v>0</v>
          </cell>
          <cell r="Z77">
            <v>415000</v>
          </cell>
          <cell r="AC77">
            <v>0</v>
          </cell>
          <cell r="AD77">
            <v>0</v>
          </cell>
          <cell r="AG77">
            <v>0</v>
          </cell>
          <cell r="AW77">
            <v>0</v>
          </cell>
          <cell r="AY77">
            <v>0</v>
          </cell>
          <cell r="AZ77">
            <v>769244</v>
          </cell>
        </row>
        <row r="78">
          <cell r="B78">
            <v>23168</v>
          </cell>
          <cell r="C78" t="str">
            <v>SA 1 &amp; 3</v>
          </cell>
          <cell r="D78" t="str">
            <v>SOCIAL MODEL RECOVERY SYSTEMS, INC.(THE RIVER COMM)</v>
          </cell>
          <cell r="G78">
            <v>90524.28</v>
          </cell>
          <cell r="I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W78">
            <v>800226</v>
          </cell>
          <cell r="X78">
            <v>0</v>
          </cell>
          <cell r="Y78">
            <v>0</v>
          </cell>
          <cell r="Z78">
            <v>106050</v>
          </cell>
          <cell r="AC78">
            <v>0</v>
          </cell>
          <cell r="AD78">
            <v>0</v>
          </cell>
          <cell r="AG78">
            <v>0</v>
          </cell>
          <cell r="AW78">
            <v>0</v>
          </cell>
          <cell r="AY78">
            <v>0</v>
          </cell>
          <cell r="AZ78">
            <v>996800.28</v>
          </cell>
        </row>
        <row r="79">
          <cell r="B79">
            <v>27523</v>
          </cell>
          <cell r="C79" t="str">
            <v>SA 1 &amp; 3</v>
          </cell>
          <cell r="D79" t="str">
            <v xml:space="preserve">ST. ANNE'S </v>
          </cell>
          <cell r="G79">
            <v>613567.68000000005</v>
          </cell>
          <cell r="I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W79">
            <v>0</v>
          </cell>
          <cell r="X79">
            <v>0</v>
          </cell>
          <cell r="Y79">
            <v>0</v>
          </cell>
          <cell r="Z79">
            <v>718800</v>
          </cell>
          <cell r="AC79">
            <v>0</v>
          </cell>
          <cell r="AD79">
            <v>0</v>
          </cell>
          <cell r="AG79">
            <v>0</v>
          </cell>
          <cell r="AW79">
            <v>0</v>
          </cell>
          <cell r="AY79">
            <v>0</v>
          </cell>
          <cell r="AZ79">
            <v>1332367.6800000002</v>
          </cell>
        </row>
        <row r="80">
          <cell r="B80">
            <v>18631</v>
          </cell>
          <cell r="C80" t="str">
            <v>SA 1 &amp; 3</v>
          </cell>
          <cell r="D80" t="str">
            <v>STAR VIEW ADOLESCENT CENTER, INC. (PHF)</v>
          </cell>
          <cell r="G80">
            <v>7673010.4000000004</v>
          </cell>
          <cell r="I80">
            <v>207244</v>
          </cell>
          <cell r="K80">
            <v>0</v>
          </cell>
          <cell r="L80">
            <v>0</v>
          </cell>
          <cell r="N80">
            <v>40000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W80">
            <v>20000</v>
          </cell>
          <cell r="X80">
            <v>0</v>
          </cell>
          <cell r="Y80">
            <v>0</v>
          </cell>
          <cell r="Z80">
            <v>8989000</v>
          </cell>
          <cell r="AC80">
            <v>0</v>
          </cell>
          <cell r="AD80">
            <v>0</v>
          </cell>
          <cell r="AG80">
            <v>0</v>
          </cell>
          <cell r="AW80">
            <v>0</v>
          </cell>
          <cell r="AY80">
            <v>0</v>
          </cell>
          <cell r="AZ80">
            <v>16929254.399999999</v>
          </cell>
        </row>
        <row r="81">
          <cell r="B81">
            <v>20961</v>
          </cell>
          <cell r="C81" t="str">
            <v>SA 1 &amp; 3</v>
          </cell>
          <cell r="D81" t="str">
            <v>SUNBRIDGE HARBOR VIEW REHAB CTR, INC. (HARBOR VIEW)</v>
          </cell>
          <cell r="G81">
            <v>1762702.7792</v>
          </cell>
          <cell r="I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50193</v>
          </cell>
          <cell r="T81">
            <v>7540</v>
          </cell>
          <cell r="W81">
            <v>0</v>
          </cell>
          <cell r="X81">
            <v>0</v>
          </cell>
          <cell r="Y81">
            <v>0</v>
          </cell>
          <cell r="Z81">
            <v>2065022</v>
          </cell>
          <cell r="AC81">
            <v>0</v>
          </cell>
          <cell r="AD81">
            <v>0</v>
          </cell>
          <cell r="AG81">
            <v>0</v>
          </cell>
          <cell r="AW81">
            <v>0</v>
          </cell>
          <cell r="AY81">
            <v>0</v>
          </cell>
          <cell r="AZ81">
            <v>3885457.7791999998</v>
          </cell>
        </row>
        <row r="82">
          <cell r="B82">
            <v>27524</v>
          </cell>
          <cell r="C82" t="str">
            <v>SA 1 &amp; 3</v>
          </cell>
          <cell r="D82" t="str">
            <v>TOBINWORLD</v>
          </cell>
          <cell r="G82">
            <v>425946.4</v>
          </cell>
          <cell r="I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W82">
            <v>0</v>
          </cell>
          <cell r="X82">
            <v>0</v>
          </cell>
          <cell r="Y82">
            <v>0</v>
          </cell>
          <cell r="Z82">
            <v>499000</v>
          </cell>
          <cell r="AC82">
            <v>0</v>
          </cell>
          <cell r="AD82">
            <v>0</v>
          </cell>
          <cell r="AG82">
            <v>0</v>
          </cell>
          <cell r="AW82">
            <v>0</v>
          </cell>
          <cell r="AY82">
            <v>0</v>
          </cell>
          <cell r="AZ82">
            <v>924946.4</v>
          </cell>
        </row>
        <row r="83">
          <cell r="B83">
            <v>27525</v>
          </cell>
          <cell r="C83" t="str">
            <v>SA 1 &amp; 3</v>
          </cell>
          <cell r="D83" t="str">
            <v>TRINITY EL MONTE - TRINITY CHILDREN &amp; FAMILY SVCS</v>
          </cell>
          <cell r="G83">
            <v>426800</v>
          </cell>
          <cell r="I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W83">
            <v>0</v>
          </cell>
          <cell r="X83">
            <v>0</v>
          </cell>
          <cell r="Y83">
            <v>0</v>
          </cell>
          <cell r="Z83">
            <v>500000</v>
          </cell>
          <cell r="AC83">
            <v>0</v>
          </cell>
          <cell r="AD83">
            <v>0</v>
          </cell>
          <cell r="AG83">
            <v>0</v>
          </cell>
          <cell r="AW83">
            <v>0</v>
          </cell>
          <cell r="AY83">
            <v>0</v>
          </cell>
          <cell r="AZ83">
            <v>926800</v>
          </cell>
        </row>
        <row r="84">
          <cell r="B84">
            <v>27490</v>
          </cell>
          <cell r="C84" t="str">
            <v>SA 1 &amp; 3</v>
          </cell>
          <cell r="D84" t="str">
            <v>UCLA TIES FOR ADOPTION (THE REGENTS)</v>
          </cell>
          <cell r="G84">
            <v>733669.20000000007</v>
          </cell>
          <cell r="I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W84">
            <v>7559</v>
          </cell>
          <cell r="X84">
            <v>0</v>
          </cell>
          <cell r="Y84">
            <v>0</v>
          </cell>
          <cell r="Z84">
            <v>859500</v>
          </cell>
          <cell r="AC84">
            <v>0</v>
          </cell>
          <cell r="AD84">
            <v>0</v>
          </cell>
          <cell r="AG84">
            <v>0</v>
          </cell>
          <cell r="AW84">
            <v>0</v>
          </cell>
          <cell r="AY84">
            <v>0</v>
          </cell>
          <cell r="AZ84">
            <v>1600728.2000000002</v>
          </cell>
        </row>
        <row r="85">
          <cell r="D85" t="str">
            <v>Sub total:  SA 1 &amp; 3</v>
          </cell>
          <cell r="E85">
            <v>0</v>
          </cell>
          <cell r="F85">
            <v>0</v>
          </cell>
          <cell r="G85">
            <v>64800003.94600001</v>
          </cell>
          <cell r="H85">
            <v>0</v>
          </cell>
          <cell r="I85">
            <v>1141009</v>
          </cell>
          <cell r="K85">
            <v>660112</v>
          </cell>
          <cell r="L85">
            <v>513070</v>
          </cell>
          <cell r="M85">
            <v>24558050.766000003</v>
          </cell>
          <cell r="N85">
            <v>120000</v>
          </cell>
          <cell r="O85">
            <v>0</v>
          </cell>
          <cell r="P85">
            <v>0</v>
          </cell>
          <cell r="Q85">
            <v>0</v>
          </cell>
          <cell r="R85">
            <v>25000</v>
          </cell>
          <cell r="S85">
            <v>1047540</v>
          </cell>
          <cell r="T85">
            <v>1849022.3</v>
          </cell>
          <cell r="U85">
            <v>0</v>
          </cell>
          <cell r="V85">
            <v>0</v>
          </cell>
          <cell r="W85">
            <v>9185557</v>
          </cell>
          <cell r="X85">
            <v>513070</v>
          </cell>
          <cell r="Y85">
            <v>0</v>
          </cell>
          <cell r="Z85">
            <v>75913997.5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260000</v>
          </cell>
          <cell r="AY85">
            <v>255264</v>
          </cell>
          <cell r="AZ85">
            <v>180841696.51200002</v>
          </cell>
        </row>
        <row r="86">
          <cell r="C86" t="str">
            <v>cgf</v>
          </cell>
          <cell r="G86">
            <v>10955075.766000001</v>
          </cell>
          <cell r="T86">
            <v>889175</v>
          </cell>
          <cell r="W86">
            <v>9122900</v>
          </cell>
        </row>
        <row r="87">
          <cell r="C87" t="str">
            <v>ift</v>
          </cell>
          <cell r="G87">
            <v>1003290.2</v>
          </cell>
          <cell r="X87">
            <v>513050</v>
          </cell>
        </row>
        <row r="89">
          <cell r="B89">
            <v>23106</v>
          </cell>
          <cell r="C89" t="str">
            <v>SA 2 &amp; 5</v>
          </cell>
          <cell r="D89" t="str">
            <v>ALCOTT CENTER FOR MH  SERVICES(Beverlywood)</v>
          </cell>
          <cell r="G89">
            <v>10755.36</v>
          </cell>
          <cell r="I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W89">
            <v>601655</v>
          </cell>
          <cell r="X89">
            <v>0</v>
          </cell>
          <cell r="Y89">
            <v>0</v>
          </cell>
          <cell r="Z89">
            <v>12600</v>
          </cell>
          <cell r="AC89">
            <v>0</v>
          </cell>
          <cell r="AD89">
            <v>0</v>
          </cell>
          <cell r="AG89">
            <v>0</v>
          </cell>
          <cell r="AW89">
            <v>0</v>
          </cell>
          <cell r="AY89">
            <v>0</v>
          </cell>
          <cell r="AZ89">
            <v>625010.36</v>
          </cell>
        </row>
        <row r="90">
          <cell r="B90">
            <v>23166</v>
          </cell>
          <cell r="C90" t="str">
            <v>SA 2 &amp; 5</v>
          </cell>
          <cell r="D90" t="str">
            <v>CENTER FOR HEALTHY AGING DBA SENIOR HEALTH &amp; PEER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W90">
            <v>140586</v>
          </cell>
          <cell r="X90">
            <v>0</v>
          </cell>
          <cell r="Y90">
            <v>0</v>
          </cell>
          <cell r="Z90">
            <v>0</v>
          </cell>
          <cell r="AC90">
            <v>0</v>
          </cell>
          <cell r="AD90">
            <v>0</v>
          </cell>
          <cell r="AG90">
            <v>0</v>
          </cell>
          <cell r="AW90">
            <v>0</v>
          </cell>
          <cell r="AY90">
            <v>0</v>
          </cell>
          <cell r="AZ90">
            <v>140586</v>
          </cell>
        </row>
        <row r="91">
          <cell r="B91">
            <v>23165</v>
          </cell>
          <cell r="C91" t="str">
            <v>SA 2 &amp; 5</v>
          </cell>
          <cell r="D91" t="str">
            <v>CHILD &amp; FAMILY CENTER (SANTA CLARITA CHILD &amp; FAMILY)</v>
          </cell>
          <cell r="G91">
            <v>1663239.6</v>
          </cell>
          <cell r="I91">
            <v>1153775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378624</v>
          </cell>
          <cell r="T91">
            <v>185775.85</v>
          </cell>
          <cell r="W91">
            <v>104796</v>
          </cell>
          <cell r="X91">
            <v>0</v>
          </cell>
          <cell r="Y91">
            <v>0</v>
          </cell>
          <cell r="Z91">
            <v>1948500</v>
          </cell>
          <cell r="AC91">
            <v>0</v>
          </cell>
          <cell r="AD91">
            <v>0</v>
          </cell>
          <cell r="AG91">
            <v>0</v>
          </cell>
          <cell r="AW91">
            <v>91657</v>
          </cell>
          <cell r="AY91">
            <v>0</v>
          </cell>
          <cell r="AZ91">
            <v>5526367.4500000002</v>
          </cell>
        </row>
        <row r="92">
          <cell r="B92">
            <v>23162</v>
          </cell>
          <cell r="C92" t="str">
            <v>SA 2 &amp; 5</v>
          </cell>
          <cell r="D92" t="str">
            <v>CHILD AND FAMILY GUIDANCE CENTER (SFV)</v>
          </cell>
          <cell r="G92">
            <v>6204263.5600000005</v>
          </cell>
          <cell r="I92">
            <v>728312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520737</v>
          </cell>
          <cell r="T92">
            <v>727013.3</v>
          </cell>
          <cell r="W92">
            <v>18728</v>
          </cell>
          <cell r="X92">
            <v>0</v>
          </cell>
          <cell r="Y92">
            <v>0</v>
          </cell>
          <cell r="Z92">
            <v>7268350</v>
          </cell>
          <cell r="AC92">
            <v>0</v>
          </cell>
          <cell r="AD92">
            <v>0</v>
          </cell>
          <cell r="AG92">
            <v>0</v>
          </cell>
          <cell r="AW92">
            <v>75000</v>
          </cell>
          <cell r="AY92">
            <v>0</v>
          </cell>
          <cell r="AZ92">
            <v>15542403.859999999</v>
          </cell>
        </row>
        <row r="93">
          <cell r="B93">
            <v>27508</v>
          </cell>
          <cell r="C93" t="str">
            <v>SA 2 &amp; 5</v>
          </cell>
          <cell r="D93" t="str">
            <v>COUNSELLING4KIDS</v>
          </cell>
          <cell r="G93">
            <v>1699560.28</v>
          </cell>
          <cell r="I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W93">
            <v>8000</v>
          </cell>
          <cell r="X93">
            <v>0</v>
          </cell>
          <cell r="Y93">
            <v>0</v>
          </cell>
          <cell r="Z93">
            <v>1991050</v>
          </cell>
          <cell r="AC93">
            <v>0</v>
          </cell>
          <cell r="AD93">
            <v>0</v>
          </cell>
          <cell r="AG93">
            <v>0</v>
          </cell>
          <cell r="AW93">
            <v>0</v>
          </cell>
          <cell r="AY93">
            <v>0</v>
          </cell>
          <cell r="AZ93">
            <v>3698610.2800000003</v>
          </cell>
        </row>
        <row r="94">
          <cell r="B94">
            <v>23116</v>
          </cell>
          <cell r="C94" t="str">
            <v>SA 2 &amp; 5</v>
          </cell>
          <cell r="D94" t="str">
            <v xml:space="preserve">DIDI HIRSCH PSYCHIATRIC SERVICE </v>
          </cell>
          <cell r="G94">
            <v>2842266.0640000002</v>
          </cell>
          <cell r="I94">
            <v>135000</v>
          </cell>
          <cell r="K94">
            <v>376740</v>
          </cell>
          <cell r="L94">
            <v>209851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240333</v>
          </cell>
          <cell r="T94">
            <v>255695.05000000002</v>
          </cell>
          <cell r="W94">
            <v>2346118</v>
          </cell>
          <cell r="X94">
            <v>209851</v>
          </cell>
          <cell r="Y94">
            <v>0</v>
          </cell>
          <cell r="Z94">
            <v>3329740</v>
          </cell>
          <cell r="AC94">
            <v>0</v>
          </cell>
          <cell r="AD94">
            <v>0</v>
          </cell>
          <cell r="AG94">
            <v>0</v>
          </cell>
          <cell r="AW94">
            <v>180000</v>
          </cell>
          <cell r="AY94">
            <v>0</v>
          </cell>
          <cell r="AZ94">
            <v>10125594.114</v>
          </cell>
        </row>
        <row r="95">
          <cell r="B95">
            <v>27638</v>
          </cell>
          <cell r="C95" t="str">
            <v>SA 2 &amp; 5</v>
          </cell>
          <cell r="D95" t="str">
            <v>EDUCATIONAL RESOURCE &amp; SERVICES CTR. (FORMERLY KAYNE-ERAS CENTER)</v>
          </cell>
          <cell r="G95">
            <v>344000.8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3250</v>
          </cell>
          <cell r="W95">
            <v>0</v>
          </cell>
          <cell r="X95">
            <v>0</v>
          </cell>
          <cell r="Y95">
            <v>0</v>
          </cell>
          <cell r="Z95">
            <v>403000</v>
          </cell>
          <cell r="AC95">
            <v>0</v>
          </cell>
          <cell r="AD95">
            <v>0</v>
          </cell>
          <cell r="AG95">
            <v>0</v>
          </cell>
          <cell r="AW95">
            <v>0</v>
          </cell>
          <cell r="AY95">
            <v>0</v>
          </cell>
          <cell r="AZ95">
            <v>750250.8</v>
          </cell>
        </row>
        <row r="96">
          <cell r="B96">
            <v>23119</v>
          </cell>
          <cell r="C96" t="str">
            <v>SA 2 &amp; 5</v>
          </cell>
          <cell r="D96" t="str">
            <v>EL CENTRO DE AMISTAD, INC.</v>
          </cell>
          <cell r="G96">
            <v>581472.32000000007</v>
          </cell>
          <cell r="I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2601.9500000000003</v>
          </cell>
          <cell r="W96">
            <v>122819</v>
          </cell>
          <cell r="X96">
            <v>0</v>
          </cell>
          <cell r="Y96">
            <v>0</v>
          </cell>
          <cell r="Z96">
            <v>681200</v>
          </cell>
          <cell r="AC96">
            <v>0</v>
          </cell>
          <cell r="AD96">
            <v>0</v>
          </cell>
          <cell r="AG96">
            <v>0</v>
          </cell>
          <cell r="AW96">
            <v>0</v>
          </cell>
          <cell r="AY96">
            <v>0</v>
          </cell>
          <cell r="AZ96">
            <v>1388093.27</v>
          </cell>
        </row>
        <row r="97">
          <cell r="B97">
            <v>18629</v>
          </cell>
          <cell r="C97" t="str">
            <v>SA 2 &amp; 5</v>
          </cell>
          <cell r="D97" t="str">
            <v xml:space="preserve">EXODUS RECOVERY, INC. </v>
          </cell>
          <cell r="G97">
            <v>4694.8</v>
          </cell>
          <cell r="I97">
            <v>0</v>
          </cell>
          <cell r="K97">
            <v>407433</v>
          </cell>
          <cell r="L97">
            <v>232484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W97">
            <v>540664</v>
          </cell>
          <cell r="X97">
            <v>232484</v>
          </cell>
          <cell r="Y97">
            <v>0</v>
          </cell>
          <cell r="Z97">
            <v>5500</v>
          </cell>
          <cell r="AC97">
            <v>0</v>
          </cell>
          <cell r="AD97">
            <v>0</v>
          </cell>
          <cell r="AG97">
            <v>0</v>
          </cell>
          <cell r="AW97">
            <v>0</v>
          </cell>
          <cell r="AY97">
            <v>0</v>
          </cell>
          <cell r="AZ97">
            <v>1423259.8</v>
          </cell>
        </row>
        <row r="98">
          <cell r="B98">
            <v>23132</v>
          </cell>
          <cell r="C98" t="str">
            <v>SA 2 &amp; 5</v>
          </cell>
          <cell r="D98" t="str">
            <v>HATHAWAY CHILDREN &amp; FAMILY SERVICES</v>
          </cell>
          <cell r="G98">
            <v>9508677.2000000011</v>
          </cell>
          <cell r="I98">
            <v>685815</v>
          </cell>
          <cell r="K98">
            <v>0</v>
          </cell>
          <cell r="L98">
            <v>0</v>
          </cell>
          <cell r="N98">
            <v>40000</v>
          </cell>
          <cell r="O98">
            <v>0</v>
          </cell>
          <cell r="P98">
            <v>0</v>
          </cell>
          <cell r="R98">
            <v>0</v>
          </cell>
          <cell r="S98">
            <v>276588</v>
          </cell>
          <cell r="T98">
            <v>471998.8</v>
          </cell>
          <cell r="W98">
            <v>122941</v>
          </cell>
          <cell r="X98">
            <v>0</v>
          </cell>
          <cell r="Y98">
            <v>0</v>
          </cell>
          <cell r="Z98">
            <v>11139500</v>
          </cell>
          <cell r="AC98">
            <v>0</v>
          </cell>
          <cell r="AD98">
            <v>0</v>
          </cell>
          <cell r="AG98">
            <v>0</v>
          </cell>
          <cell r="AW98">
            <v>0</v>
          </cell>
          <cell r="AY98">
            <v>0</v>
          </cell>
          <cell r="AZ98">
            <v>22245520</v>
          </cell>
        </row>
        <row r="99">
          <cell r="B99">
            <v>23138</v>
          </cell>
          <cell r="C99" t="str">
            <v>SA 2 &amp; 5</v>
          </cell>
          <cell r="D99" t="str">
            <v xml:space="preserve">HELP GROUP C&amp;F CTR, THE (LA CTR FOR THERAPY &amp; ED) </v>
          </cell>
          <cell r="G99">
            <v>2743726.48</v>
          </cell>
          <cell r="I99">
            <v>671583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1194501</v>
          </cell>
          <cell r="T99">
            <v>111441.2</v>
          </cell>
          <cell r="W99">
            <v>38309</v>
          </cell>
          <cell r="X99">
            <v>0</v>
          </cell>
          <cell r="Y99">
            <v>0</v>
          </cell>
          <cell r="Z99">
            <v>3214300</v>
          </cell>
          <cell r="AC99">
            <v>0</v>
          </cell>
          <cell r="AD99">
            <v>0</v>
          </cell>
          <cell r="AG99">
            <v>0</v>
          </cell>
          <cell r="AW99">
            <v>0</v>
          </cell>
          <cell r="AY99">
            <v>0</v>
          </cell>
          <cell r="AZ99">
            <v>7973860.6800000006</v>
          </cell>
        </row>
        <row r="100">
          <cell r="B100">
            <v>23133</v>
          </cell>
          <cell r="C100" t="str">
            <v>SA 2 &amp; 5</v>
          </cell>
          <cell r="D100" t="str">
            <v>HILLVIEW MENTAL HEALTH CENTER,  INC.</v>
          </cell>
          <cell r="G100">
            <v>210711.16</v>
          </cell>
          <cell r="I100">
            <v>0</v>
          </cell>
          <cell r="K100">
            <v>796852</v>
          </cell>
          <cell r="L100">
            <v>355000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W100">
            <v>1987373</v>
          </cell>
          <cell r="X100">
            <v>355000</v>
          </cell>
          <cell r="Y100">
            <v>0</v>
          </cell>
          <cell r="Z100">
            <v>246850</v>
          </cell>
          <cell r="AC100">
            <v>0</v>
          </cell>
          <cell r="AD100">
            <v>0</v>
          </cell>
          <cell r="AG100">
            <v>0</v>
          </cell>
          <cell r="AW100">
            <v>0</v>
          </cell>
          <cell r="AY100">
            <v>956260</v>
          </cell>
          <cell r="AZ100">
            <v>4908046.16</v>
          </cell>
        </row>
        <row r="101">
          <cell r="B101">
            <v>27639</v>
          </cell>
          <cell r="C101" t="str">
            <v>SA 2 &amp; 5</v>
          </cell>
          <cell r="D101" t="str">
            <v>NEW HORIZONS FAMILY CENTER</v>
          </cell>
          <cell r="G101">
            <v>255866.6</v>
          </cell>
          <cell r="I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299750</v>
          </cell>
          <cell r="AC101">
            <v>0</v>
          </cell>
          <cell r="AD101">
            <v>0</v>
          </cell>
          <cell r="AG101">
            <v>0</v>
          </cell>
          <cell r="AW101">
            <v>0</v>
          </cell>
          <cell r="AY101">
            <v>0</v>
          </cell>
          <cell r="AZ101">
            <v>555616.6</v>
          </cell>
        </row>
        <row r="102">
          <cell r="B102">
            <v>27626</v>
          </cell>
          <cell r="C102" t="str">
            <v>SA 2 &amp; 5</v>
          </cell>
          <cell r="D102" t="str">
            <v>NEW DIRECTIONS</v>
          </cell>
          <cell r="G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54495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C102">
            <v>0</v>
          </cell>
          <cell r="AD102">
            <v>0</v>
          </cell>
          <cell r="AG102">
            <v>0</v>
          </cell>
          <cell r="AW102">
            <v>0</v>
          </cell>
          <cell r="AY102">
            <v>0</v>
          </cell>
          <cell r="AZ102">
            <v>54495</v>
          </cell>
        </row>
        <row r="103">
          <cell r="B103">
            <v>23151</v>
          </cell>
          <cell r="C103" t="str">
            <v>SA 2 &amp; 5</v>
          </cell>
          <cell r="D103" t="str">
            <v>OCEAN PARK COMMUNITY CENTER (McKinney)</v>
          </cell>
          <cell r="G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195548</v>
          </cell>
          <cell r="S103">
            <v>0</v>
          </cell>
          <cell r="T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C103">
            <v>0</v>
          </cell>
          <cell r="AD103">
            <v>0</v>
          </cell>
          <cell r="AG103">
            <v>0</v>
          </cell>
          <cell r="AW103">
            <v>0</v>
          </cell>
          <cell r="AY103">
            <v>0</v>
          </cell>
          <cell r="AZ103">
            <v>195548</v>
          </cell>
        </row>
        <row r="104">
          <cell r="B104">
            <v>18618</v>
          </cell>
          <cell r="C104" t="str">
            <v>SA 2 &amp; 5</v>
          </cell>
          <cell r="D104" t="str">
            <v>PACIFIC ASIAN COUNSELING (WRAP FAMILY SERVICES)</v>
          </cell>
          <cell r="G104">
            <v>467772.8</v>
          </cell>
          <cell r="I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18671.25</v>
          </cell>
          <cell r="W104">
            <v>356134</v>
          </cell>
          <cell r="X104">
            <v>0</v>
          </cell>
          <cell r="Y104">
            <v>0</v>
          </cell>
          <cell r="Z104">
            <v>548000</v>
          </cell>
          <cell r="AC104">
            <v>0</v>
          </cell>
          <cell r="AD104">
            <v>0</v>
          </cell>
          <cell r="AG104">
            <v>0</v>
          </cell>
          <cell r="AW104">
            <v>0</v>
          </cell>
          <cell r="AY104">
            <v>0</v>
          </cell>
          <cell r="AZ104">
            <v>1390578.05</v>
          </cell>
        </row>
        <row r="105">
          <cell r="B105">
            <v>23163</v>
          </cell>
          <cell r="C105" t="str">
            <v>SA 2 &amp; 5</v>
          </cell>
          <cell r="D105" t="str">
            <v xml:space="preserve">SAN FERNANDO VALLEY COMMUNITY MHC, INC. </v>
          </cell>
          <cell r="G105">
            <v>3926133.2</v>
          </cell>
          <cell r="I105">
            <v>132136</v>
          </cell>
          <cell r="K105">
            <v>590741</v>
          </cell>
          <cell r="L105">
            <v>241152</v>
          </cell>
          <cell r="N105">
            <v>40000</v>
          </cell>
          <cell r="O105">
            <v>0</v>
          </cell>
          <cell r="P105">
            <v>0</v>
          </cell>
          <cell r="R105">
            <v>40000</v>
          </cell>
          <cell r="S105">
            <v>0</v>
          </cell>
          <cell r="T105">
            <v>259000.30000000002</v>
          </cell>
          <cell r="W105">
            <v>4492353</v>
          </cell>
          <cell r="X105">
            <v>241152</v>
          </cell>
          <cell r="Y105">
            <v>0</v>
          </cell>
          <cell r="Z105">
            <v>4599500</v>
          </cell>
          <cell r="AC105">
            <v>0</v>
          </cell>
          <cell r="AD105">
            <v>0</v>
          </cell>
          <cell r="AG105">
            <v>0</v>
          </cell>
          <cell r="AW105">
            <v>0</v>
          </cell>
          <cell r="AY105">
            <v>48245</v>
          </cell>
          <cell r="AZ105">
            <v>14610412.5</v>
          </cell>
        </row>
        <row r="106">
          <cell r="B106">
            <v>23171</v>
          </cell>
          <cell r="C106" t="str">
            <v>SA 2 &amp; 5</v>
          </cell>
          <cell r="D106" t="str">
            <v>ST. JOHN'S HOSPITAL AND HEALTH CTR</v>
          </cell>
          <cell r="G106">
            <v>532390.32000000007</v>
          </cell>
          <cell r="I106">
            <v>50000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109656.95</v>
          </cell>
          <cell r="W106">
            <v>170213</v>
          </cell>
          <cell r="X106">
            <v>0</v>
          </cell>
          <cell r="Y106">
            <v>0</v>
          </cell>
          <cell r="Z106">
            <v>623700</v>
          </cell>
          <cell r="AC106">
            <v>0</v>
          </cell>
          <cell r="AD106">
            <v>0</v>
          </cell>
          <cell r="AG106">
            <v>0</v>
          </cell>
          <cell r="AW106">
            <v>71657</v>
          </cell>
          <cell r="AY106">
            <v>0</v>
          </cell>
          <cell r="AZ106">
            <v>1557617.27</v>
          </cell>
        </row>
        <row r="107">
          <cell r="B107">
            <v>23167</v>
          </cell>
          <cell r="C107" t="str">
            <v>SA 2 &amp; 5</v>
          </cell>
          <cell r="D107" t="str">
            <v>ST. JOSEPH CENTER</v>
          </cell>
          <cell r="G107">
            <v>0</v>
          </cell>
          <cell r="I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99564</v>
          </cell>
          <cell r="S107">
            <v>0</v>
          </cell>
          <cell r="T107">
            <v>0</v>
          </cell>
          <cell r="W107">
            <v>170000</v>
          </cell>
          <cell r="X107">
            <v>0</v>
          </cell>
          <cell r="Y107">
            <v>0</v>
          </cell>
          <cell r="Z107">
            <v>0</v>
          </cell>
          <cell r="AC107">
            <v>0</v>
          </cell>
          <cell r="AD107">
            <v>0</v>
          </cell>
          <cell r="AG107">
            <v>0</v>
          </cell>
          <cell r="AW107">
            <v>0</v>
          </cell>
          <cell r="AY107">
            <v>0</v>
          </cell>
          <cell r="AZ107">
            <v>269564</v>
          </cell>
        </row>
        <row r="108">
          <cell r="B108">
            <v>23182</v>
          </cell>
          <cell r="C108" t="str">
            <v>SA 2 &amp; 5</v>
          </cell>
          <cell r="D108" t="str">
            <v>STEP-UP ON SECOND STREET, INC.</v>
          </cell>
          <cell r="G108">
            <v>83652.800000000003</v>
          </cell>
          <cell r="I108">
            <v>0</v>
          </cell>
          <cell r="K108">
            <v>84979</v>
          </cell>
          <cell r="L108">
            <v>75000</v>
          </cell>
          <cell r="N108">
            <v>0</v>
          </cell>
          <cell r="O108">
            <v>0</v>
          </cell>
          <cell r="P108">
            <v>0</v>
          </cell>
          <cell r="R108">
            <v>80000</v>
          </cell>
          <cell r="S108">
            <v>0</v>
          </cell>
          <cell r="T108">
            <v>0</v>
          </cell>
          <cell r="W108">
            <v>777056</v>
          </cell>
          <cell r="X108">
            <v>75000</v>
          </cell>
          <cell r="Y108">
            <v>0</v>
          </cell>
          <cell r="Z108">
            <v>98000</v>
          </cell>
          <cell r="AC108">
            <v>0</v>
          </cell>
          <cell r="AD108">
            <v>0</v>
          </cell>
          <cell r="AG108">
            <v>0</v>
          </cell>
          <cell r="AW108">
            <v>0</v>
          </cell>
          <cell r="AY108">
            <v>0</v>
          </cell>
          <cell r="AZ108">
            <v>1273687.8</v>
          </cell>
        </row>
        <row r="109">
          <cell r="B109">
            <v>23187</v>
          </cell>
          <cell r="C109" t="str">
            <v>SA 2 &amp; 5</v>
          </cell>
          <cell r="D109" t="str">
            <v>STIRLING ACADEMY, INC.(STIRLING BEHAVIORAL HEALTH INST.)</v>
          </cell>
          <cell r="G109">
            <v>813139.36</v>
          </cell>
          <cell r="I109">
            <v>321010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36760</v>
          </cell>
          <cell r="T109">
            <v>121969.25</v>
          </cell>
          <cell r="W109">
            <v>0</v>
          </cell>
          <cell r="X109">
            <v>0</v>
          </cell>
          <cell r="Y109">
            <v>0</v>
          </cell>
          <cell r="Z109">
            <v>952600</v>
          </cell>
          <cell r="AC109">
            <v>0</v>
          </cell>
          <cell r="AD109">
            <v>0</v>
          </cell>
          <cell r="AG109">
            <v>0</v>
          </cell>
          <cell r="AW109">
            <v>0</v>
          </cell>
          <cell r="AY109">
            <v>0</v>
          </cell>
          <cell r="AZ109">
            <v>2245478.61</v>
          </cell>
        </row>
        <row r="110">
          <cell r="B110">
            <v>27625</v>
          </cell>
          <cell r="C110" t="str">
            <v>SA 2 &amp; 5</v>
          </cell>
          <cell r="D110" t="str">
            <v>TARZANA TREATMENT CENTER, INC.</v>
          </cell>
          <cell r="G110">
            <v>213400</v>
          </cell>
          <cell r="I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4095</v>
          </cell>
          <cell r="W110">
            <v>0</v>
          </cell>
          <cell r="X110">
            <v>0</v>
          </cell>
          <cell r="Y110">
            <v>0</v>
          </cell>
          <cell r="Z110">
            <v>250000</v>
          </cell>
          <cell r="AC110">
            <v>0</v>
          </cell>
          <cell r="AD110">
            <v>0</v>
          </cell>
          <cell r="AG110">
            <v>0</v>
          </cell>
          <cell r="AW110">
            <v>0</v>
          </cell>
          <cell r="AY110">
            <v>0</v>
          </cell>
          <cell r="AZ110">
            <v>467495</v>
          </cell>
        </row>
        <row r="111">
          <cell r="B111">
            <v>21528</v>
          </cell>
          <cell r="C111" t="str">
            <v>SA 2 &amp; 5</v>
          </cell>
          <cell r="D111" t="str">
            <v>TOPANGA-ROSCOE CORP (TOPANGA WEST GUEST HOME)</v>
          </cell>
          <cell r="G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250000</v>
          </cell>
          <cell r="X111">
            <v>0</v>
          </cell>
          <cell r="Y111">
            <v>0</v>
          </cell>
          <cell r="Z111">
            <v>0</v>
          </cell>
          <cell r="AC111">
            <v>0</v>
          </cell>
          <cell r="AD111">
            <v>0</v>
          </cell>
          <cell r="AG111">
            <v>0</v>
          </cell>
          <cell r="AW111">
            <v>0</v>
          </cell>
          <cell r="AY111">
            <v>0</v>
          </cell>
          <cell r="AZ111">
            <v>250000</v>
          </cell>
        </row>
        <row r="112">
          <cell r="B112">
            <v>23178</v>
          </cell>
          <cell r="C112" t="str">
            <v>SA 2 &amp; 5</v>
          </cell>
          <cell r="D112" t="str">
            <v xml:space="preserve">VERDUGO MENTAL HEALTH CENTER </v>
          </cell>
          <cell r="G112">
            <v>824577.6</v>
          </cell>
          <cell r="I112">
            <v>0</v>
          </cell>
          <cell r="K112">
            <v>136546</v>
          </cell>
          <cell r="L112">
            <v>34098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135564</v>
          </cell>
          <cell r="T112">
            <v>139831.25</v>
          </cell>
          <cell r="W112">
            <v>839678</v>
          </cell>
          <cell r="X112">
            <v>34098</v>
          </cell>
          <cell r="Y112">
            <v>0</v>
          </cell>
          <cell r="Z112">
            <v>966000</v>
          </cell>
          <cell r="AC112">
            <v>0</v>
          </cell>
          <cell r="AD112">
            <v>0</v>
          </cell>
          <cell r="AG112">
            <v>0</v>
          </cell>
          <cell r="AW112">
            <v>0</v>
          </cell>
          <cell r="AY112">
            <v>0</v>
          </cell>
          <cell r="AZ112">
            <v>3110392.85</v>
          </cell>
        </row>
        <row r="113">
          <cell r="B113">
            <v>27544</v>
          </cell>
          <cell r="C113" t="str">
            <v>SA 2 &amp; 5</v>
          </cell>
          <cell r="D113" t="str">
            <v>VILLAGE FAMILY SERVICES, THE</v>
          </cell>
          <cell r="G113">
            <v>440256.5772</v>
          </cell>
          <cell r="I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515764.5</v>
          </cell>
          <cell r="AC113">
            <v>0</v>
          </cell>
          <cell r="AD113">
            <v>0</v>
          </cell>
          <cell r="AG113">
            <v>0</v>
          </cell>
          <cell r="AW113">
            <v>0</v>
          </cell>
          <cell r="AY113">
            <v>0</v>
          </cell>
          <cell r="AZ113">
            <v>956021.07719999994</v>
          </cell>
        </row>
        <row r="114">
          <cell r="B114">
            <v>23188</v>
          </cell>
          <cell r="C114" t="str">
            <v>SA 2 &amp; 5</v>
          </cell>
          <cell r="D114" t="str">
            <v>VISTA DEL MAR CHILD &amp; FAMILY SVCS (JEWISH ORPHANS)</v>
          </cell>
          <cell r="G114">
            <v>2790674.48</v>
          </cell>
          <cell r="I114">
            <v>482386</v>
          </cell>
          <cell r="K114">
            <v>0</v>
          </cell>
          <cell r="L114">
            <v>0</v>
          </cell>
          <cell r="N114">
            <v>40000</v>
          </cell>
          <cell r="O114">
            <v>0</v>
          </cell>
          <cell r="P114">
            <v>0</v>
          </cell>
          <cell r="R114">
            <v>0</v>
          </cell>
          <cell r="S114">
            <v>289072</v>
          </cell>
          <cell r="T114">
            <v>27300</v>
          </cell>
          <cell r="W114">
            <v>7500</v>
          </cell>
          <cell r="X114">
            <v>0</v>
          </cell>
          <cell r="Y114">
            <v>0</v>
          </cell>
          <cell r="Z114">
            <v>3269300</v>
          </cell>
          <cell r="AC114">
            <v>0</v>
          </cell>
          <cell r="AD114">
            <v>0</v>
          </cell>
          <cell r="AG114">
            <v>0</v>
          </cell>
          <cell r="AW114">
            <v>0</v>
          </cell>
          <cell r="AY114">
            <v>0</v>
          </cell>
          <cell r="AZ114">
            <v>6906232.4800000004</v>
          </cell>
        </row>
        <row r="115">
          <cell r="D115" t="str">
            <v>Sub total:  SA 2 &amp; 5</v>
          </cell>
          <cell r="E115">
            <v>0</v>
          </cell>
          <cell r="F115">
            <v>0</v>
          </cell>
          <cell r="G115">
            <v>36161231.361200005</v>
          </cell>
          <cell r="H115">
            <v>0</v>
          </cell>
          <cell r="I115">
            <v>4360017</v>
          </cell>
          <cell r="K115">
            <v>2393291</v>
          </cell>
          <cell r="L115">
            <v>1147585</v>
          </cell>
          <cell r="M115">
            <v>28349479.68</v>
          </cell>
          <cell r="N115">
            <v>174495</v>
          </cell>
          <cell r="O115">
            <v>0</v>
          </cell>
          <cell r="P115">
            <v>0</v>
          </cell>
          <cell r="Q115">
            <v>0</v>
          </cell>
          <cell r="R115">
            <v>415112</v>
          </cell>
          <cell r="S115">
            <v>3072179</v>
          </cell>
          <cell r="T115">
            <v>2438300.15</v>
          </cell>
          <cell r="U115">
            <v>0</v>
          </cell>
          <cell r="V115">
            <v>0</v>
          </cell>
          <cell r="W115">
            <v>13094923</v>
          </cell>
          <cell r="X115">
            <v>1147585</v>
          </cell>
          <cell r="Y115">
            <v>0</v>
          </cell>
          <cell r="Z115">
            <v>42363204.5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418314</v>
          </cell>
          <cell r="AY115">
            <v>1115005</v>
          </cell>
          <cell r="AZ115">
            <v>136650721.69120002</v>
          </cell>
        </row>
        <row r="116">
          <cell r="C116" t="str">
            <v>cgf</v>
          </cell>
          <cell r="G116">
            <v>6176059.6799999997</v>
          </cell>
          <cell r="T116">
            <v>1312920</v>
          </cell>
          <cell r="W116">
            <v>13094900</v>
          </cell>
        </row>
        <row r="117">
          <cell r="C117" t="str">
            <v>ift</v>
          </cell>
          <cell r="G117">
            <v>25912.799999999999</v>
          </cell>
          <cell r="X117">
            <v>1147600</v>
          </cell>
        </row>
        <row r="118">
          <cell r="B118">
            <v>23100</v>
          </cell>
          <cell r="C118" t="str">
            <v>SA 4 &amp;  7</v>
          </cell>
          <cell r="D118" t="str">
            <v>AIDS PROJECT LOS ANGELES, INC.</v>
          </cell>
          <cell r="G118">
            <v>0</v>
          </cell>
          <cell r="I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C118">
            <v>0</v>
          </cell>
          <cell r="AD118">
            <v>0</v>
          </cell>
          <cell r="AG118">
            <v>37466</v>
          </cell>
          <cell r="AW118">
            <v>0</v>
          </cell>
          <cell r="AY118">
            <v>0</v>
          </cell>
          <cell r="AZ118">
            <v>37466</v>
          </cell>
        </row>
        <row r="119">
          <cell r="B119">
            <v>23173</v>
          </cell>
          <cell r="C119" t="str">
            <v>SA 4 &amp;  7</v>
          </cell>
          <cell r="D119" t="str">
            <v>AMANECER COMMUNITY COUNSELING (formerly COMMUNITY COUNSELING SVCS. Of LA, INC.)</v>
          </cell>
          <cell r="G119">
            <v>1215142.28</v>
          </cell>
          <cell r="I119">
            <v>27797</v>
          </cell>
          <cell r="K119">
            <v>0</v>
          </cell>
          <cell r="L119">
            <v>0</v>
          </cell>
          <cell r="N119">
            <v>40000</v>
          </cell>
          <cell r="O119">
            <v>0</v>
          </cell>
          <cell r="P119">
            <v>0</v>
          </cell>
          <cell r="R119">
            <v>0</v>
          </cell>
          <cell r="S119">
            <v>4343</v>
          </cell>
          <cell r="T119">
            <v>40249.950000000004</v>
          </cell>
          <cell r="W119">
            <v>480640</v>
          </cell>
          <cell r="X119">
            <v>0</v>
          </cell>
          <cell r="Y119">
            <v>0</v>
          </cell>
          <cell r="Z119">
            <v>1423550</v>
          </cell>
          <cell r="AC119">
            <v>0</v>
          </cell>
          <cell r="AD119">
            <v>0</v>
          </cell>
          <cell r="AG119">
            <v>0</v>
          </cell>
          <cell r="AW119">
            <v>0</v>
          </cell>
          <cell r="AY119">
            <v>0</v>
          </cell>
          <cell r="AZ119">
            <v>3231722.23</v>
          </cell>
        </row>
        <row r="120">
          <cell r="B120">
            <v>21526</v>
          </cell>
          <cell r="C120" t="str">
            <v>SA 4 &amp;  7</v>
          </cell>
          <cell r="D120" t="str">
            <v>ASC TREATMENT GROUP DBA THE ANNE SIPPI CLINIC</v>
          </cell>
          <cell r="G120">
            <v>0</v>
          </cell>
          <cell r="I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W120">
            <v>605205</v>
          </cell>
          <cell r="X120">
            <v>0</v>
          </cell>
          <cell r="Y120">
            <v>0</v>
          </cell>
          <cell r="Z120">
            <v>0</v>
          </cell>
          <cell r="AC120">
            <v>0</v>
          </cell>
          <cell r="AD120">
            <v>0</v>
          </cell>
          <cell r="AG120">
            <v>0</v>
          </cell>
          <cell r="AW120">
            <v>0</v>
          </cell>
          <cell r="AY120">
            <v>0</v>
          </cell>
          <cell r="AZ120">
            <v>605205</v>
          </cell>
        </row>
        <row r="121">
          <cell r="B121">
            <v>21526</v>
          </cell>
          <cell r="C121" t="str">
            <v>SA 4 &amp;  7</v>
          </cell>
          <cell r="D121" t="str">
            <v>ASIAN REHABILITATION SERVICES, INC.</v>
          </cell>
          <cell r="AY121">
            <v>191777</v>
          </cell>
          <cell r="AZ121">
            <v>191777</v>
          </cell>
        </row>
        <row r="122">
          <cell r="B122">
            <v>23103</v>
          </cell>
          <cell r="C122" t="str">
            <v>SA 4 &amp;  7</v>
          </cell>
          <cell r="D122" t="str">
            <v>ASSOC. LEAGUE OF MEXICAN AMERICAN DBA ALMA FAMILY SVCS</v>
          </cell>
          <cell r="G122">
            <v>1397684.6400000001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11505</v>
          </cell>
          <cell r="W122">
            <v>516234</v>
          </cell>
          <cell r="X122">
            <v>0</v>
          </cell>
          <cell r="Y122">
            <v>0</v>
          </cell>
          <cell r="Z122">
            <v>1637400</v>
          </cell>
          <cell r="AC122">
            <v>0</v>
          </cell>
          <cell r="AD122">
            <v>0</v>
          </cell>
          <cell r="AG122">
            <v>0</v>
          </cell>
          <cell r="AW122">
            <v>0</v>
          </cell>
          <cell r="AY122">
            <v>0</v>
          </cell>
          <cell r="AZ122">
            <v>3562823.64</v>
          </cell>
        </row>
        <row r="123">
          <cell r="B123">
            <v>27621</v>
          </cell>
          <cell r="C123" t="str">
            <v>SA 4 &amp;  7</v>
          </cell>
          <cell r="D123" t="str">
            <v>BEHAVIORAL HEALTH SERVICES, INC.</v>
          </cell>
          <cell r="G123">
            <v>196754.80000000002</v>
          </cell>
          <cell r="I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W123">
            <v>105000</v>
          </cell>
          <cell r="X123">
            <v>0</v>
          </cell>
          <cell r="Y123">
            <v>0</v>
          </cell>
          <cell r="Z123">
            <v>230500</v>
          </cell>
          <cell r="AC123">
            <v>0</v>
          </cell>
          <cell r="AD123">
            <v>0</v>
          </cell>
          <cell r="AG123">
            <v>0</v>
          </cell>
          <cell r="AW123">
            <v>0</v>
          </cell>
          <cell r="AY123">
            <v>0</v>
          </cell>
          <cell r="AZ123">
            <v>532254.80000000005</v>
          </cell>
        </row>
        <row r="124">
          <cell r="B124">
            <v>27622</v>
          </cell>
          <cell r="C124" t="str">
            <v>SA 4 &amp;  7</v>
          </cell>
          <cell r="D124" t="str">
            <v>CALIFORNIA HISPANIC COMMISSION, INC.</v>
          </cell>
          <cell r="G124">
            <v>530939.20000000007</v>
          </cell>
          <cell r="I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7995</v>
          </cell>
          <cell r="W124">
            <v>0</v>
          </cell>
          <cell r="X124">
            <v>0</v>
          </cell>
          <cell r="Y124">
            <v>0</v>
          </cell>
          <cell r="Z124">
            <v>622000</v>
          </cell>
          <cell r="AC124">
            <v>0</v>
          </cell>
          <cell r="AD124">
            <v>0</v>
          </cell>
          <cell r="AG124">
            <v>0</v>
          </cell>
          <cell r="AW124">
            <v>0</v>
          </cell>
          <cell r="AY124">
            <v>0</v>
          </cell>
          <cell r="AZ124">
            <v>1160934.2000000002</v>
          </cell>
        </row>
        <row r="125">
          <cell r="B125">
            <v>27550</v>
          </cell>
          <cell r="C125" t="str">
            <v>SA 4 &amp;  7</v>
          </cell>
          <cell r="D125" t="str">
            <v>CATHOLIC HEALTHCARE WEST DBA CALIFORNIA HOSPITAL MC</v>
          </cell>
          <cell r="G125">
            <v>398033.68</v>
          </cell>
          <cell r="I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466300</v>
          </cell>
          <cell r="AC125">
            <v>0</v>
          </cell>
          <cell r="AD125">
            <v>0</v>
          </cell>
          <cell r="AG125">
            <v>0</v>
          </cell>
          <cell r="AW125">
            <v>0</v>
          </cell>
          <cell r="AY125">
            <v>0</v>
          </cell>
          <cell r="AZ125">
            <v>864333.67999999993</v>
          </cell>
        </row>
        <row r="126">
          <cell r="B126">
            <v>23109</v>
          </cell>
          <cell r="C126" t="str">
            <v>SA 4 &amp;  7</v>
          </cell>
          <cell r="D126" t="str">
            <v>CEDARS-SINAI MEDICAL CENTER (THALIANS MHC)</v>
          </cell>
          <cell r="G126">
            <v>451895.84</v>
          </cell>
          <cell r="I126">
            <v>107591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58545</v>
          </cell>
          <cell r="T126">
            <v>0</v>
          </cell>
          <cell r="W126">
            <v>4261</v>
          </cell>
          <cell r="X126">
            <v>0</v>
          </cell>
          <cell r="Y126">
            <v>0</v>
          </cell>
          <cell r="Z126">
            <v>529400</v>
          </cell>
          <cell r="AC126">
            <v>0</v>
          </cell>
          <cell r="AD126">
            <v>0</v>
          </cell>
          <cell r="AG126">
            <v>0</v>
          </cell>
          <cell r="AW126">
            <v>0</v>
          </cell>
          <cell r="AY126">
            <v>0</v>
          </cell>
          <cell r="AZ126">
            <v>1151692.8400000001</v>
          </cell>
        </row>
        <row r="127">
          <cell r="B127">
            <v>18681</v>
          </cell>
          <cell r="C127" t="str">
            <v>SA 4 &amp;  7</v>
          </cell>
          <cell r="D127" t="str">
            <v>CHILDREN'S BUREAU OF SOUTHERN CALIFORNIA</v>
          </cell>
          <cell r="G127">
            <v>3270781.8000000003</v>
          </cell>
          <cell r="I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41841.15</v>
          </cell>
          <cell r="W127">
            <v>132286</v>
          </cell>
          <cell r="X127">
            <v>0</v>
          </cell>
          <cell r="Y127">
            <v>0</v>
          </cell>
          <cell r="Z127">
            <v>3831750</v>
          </cell>
          <cell r="AC127">
            <v>0</v>
          </cell>
          <cell r="AD127">
            <v>0</v>
          </cell>
          <cell r="AG127">
            <v>0</v>
          </cell>
          <cell r="AW127">
            <v>400000</v>
          </cell>
          <cell r="AY127">
            <v>0</v>
          </cell>
          <cell r="AZ127">
            <v>7676658.9500000002</v>
          </cell>
        </row>
        <row r="128">
          <cell r="B128">
            <v>23112</v>
          </cell>
          <cell r="C128" t="str">
            <v>SA 4 &amp;  7</v>
          </cell>
          <cell r="D128" t="str">
            <v>CHILDREN'S HOSPITAL OF LOS ANGELES</v>
          </cell>
          <cell r="G128">
            <v>3253197.64</v>
          </cell>
          <cell r="I128">
            <v>117761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501196</v>
          </cell>
          <cell r="R128">
            <v>0</v>
          </cell>
          <cell r="S128">
            <v>18438</v>
          </cell>
          <cell r="T128">
            <v>239724.55000000002</v>
          </cell>
          <cell r="W128">
            <v>0</v>
          </cell>
          <cell r="X128">
            <v>0</v>
          </cell>
          <cell r="Y128">
            <v>0</v>
          </cell>
          <cell r="Z128">
            <v>3811150</v>
          </cell>
          <cell r="AC128">
            <v>0</v>
          </cell>
          <cell r="AD128">
            <v>0</v>
          </cell>
          <cell r="AG128">
            <v>0</v>
          </cell>
          <cell r="AW128">
            <v>0</v>
          </cell>
          <cell r="AY128">
            <v>0</v>
          </cell>
          <cell r="AZ128">
            <v>7941467.1899999995</v>
          </cell>
        </row>
        <row r="129">
          <cell r="B129">
            <v>18663</v>
          </cell>
          <cell r="C129" t="str">
            <v>SA 4 &amp;  7</v>
          </cell>
          <cell r="D129" t="str">
            <v>CHILDREN'S INSTITUTE INC.</v>
          </cell>
          <cell r="G129">
            <v>3315510.44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747701</v>
          </cell>
          <cell r="R129">
            <v>0</v>
          </cell>
          <cell r="S129">
            <v>0</v>
          </cell>
          <cell r="T129">
            <v>153205</v>
          </cell>
          <cell r="W129">
            <v>33832</v>
          </cell>
          <cell r="X129">
            <v>0</v>
          </cell>
          <cell r="Y129">
            <v>0</v>
          </cell>
          <cell r="Z129">
            <v>3884150</v>
          </cell>
          <cell r="AC129">
            <v>0</v>
          </cell>
          <cell r="AD129">
            <v>0</v>
          </cell>
          <cell r="AG129">
            <v>0</v>
          </cell>
          <cell r="AW129">
            <v>0</v>
          </cell>
          <cell r="AY129">
            <v>0</v>
          </cell>
          <cell r="AZ129">
            <v>8134398.4399999995</v>
          </cell>
        </row>
        <row r="130">
          <cell r="B130">
            <v>23134</v>
          </cell>
          <cell r="C130" t="str">
            <v>SA 4 &amp;  7</v>
          </cell>
          <cell r="D130" t="str">
            <v xml:space="preserve">CLONTARF MANOR </v>
          </cell>
          <cell r="G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W130">
            <v>480900</v>
          </cell>
          <cell r="X130">
            <v>0</v>
          </cell>
          <cell r="Y130">
            <v>0</v>
          </cell>
          <cell r="Z130">
            <v>0</v>
          </cell>
          <cell r="AC130">
            <v>0</v>
          </cell>
          <cell r="AD130">
            <v>0</v>
          </cell>
          <cell r="AG130">
            <v>0</v>
          </cell>
          <cell r="AW130">
            <v>0</v>
          </cell>
          <cell r="AY130">
            <v>0</v>
          </cell>
          <cell r="AZ130">
            <v>480900</v>
          </cell>
        </row>
        <row r="131">
          <cell r="B131">
            <v>23114</v>
          </cell>
          <cell r="C131" t="str">
            <v>SA 4 &amp;  7</v>
          </cell>
          <cell r="D131" t="str">
            <v>COMMUNITY FAMILY GUIDANCE CENTER</v>
          </cell>
          <cell r="G131">
            <v>1380868.72</v>
          </cell>
          <cell r="I131">
            <v>150000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196212</v>
          </cell>
          <cell r="T131">
            <v>210575.30000000002</v>
          </cell>
          <cell r="W131">
            <v>0</v>
          </cell>
          <cell r="X131">
            <v>0</v>
          </cell>
          <cell r="Y131">
            <v>0</v>
          </cell>
          <cell r="Z131">
            <v>1617700</v>
          </cell>
          <cell r="AC131">
            <v>0</v>
          </cell>
          <cell r="AD131">
            <v>0</v>
          </cell>
          <cell r="AG131">
            <v>0</v>
          </cell>
          <cell r="AW131">
            <v>96000</v>
          </cell>
          <cell r="AY131">
            <v>0</v>
          </cell>
          <cell r="AZ131">
            <v>3651356.02</v>
          </cell>
        </row>
        <row r="132">
          <cell r="B132">
            <v>27549</v>
          </cell>
          <cell r="C132" t="str">
            <v>SA 4 &amp;  7</v>
          </cell>
          <cell r="D132" t="str">
            <v>EL CENTRO DEL PUEBLO, INC.</v>
          </cell>
          <cell r="G132">
            <v>256080</v>
          </cell>
          <cell r="I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300000</v>
          </cell>
          <cell r="AC132">
            <v>0</v>
          </cell>
          <cell r="AD132">
            <v>0</v>
          </cell>
          <cell r="AG132">
            <v>0</v>
          </cell>
          <cell r="AW132">
            <v>0</v>
          </cell>
          <cell r="AY132">
            <v>0</v>
          </cell>
          <cell r="AZ132">
            <v>556080</v>
          </cell>
        </row>
        <row r="133">
          <cell r="B133">
            <v>23122</v>
          </cell>
          <cell r="C133" t="str">
            <v>SA 4 &amp;  7</v>
          </cell>
          <cell r="D133" t="str">
            <v xml:space="preserve">ENKI HEALTH AND RESEARCH SYSTEMS, INC. </v>
          </cell>
          <cell r="G133">
            <v>4849813.76</v>
          </cell>
          <cell r="I133">
            <v>402997</v>
          </cell>
          <cell r="K133">
            <v>674554</v>
          </cell>
          <cell r="L133">
            <v>200000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163221</v>
          </cell>
          <cell r="T133">
            <v>548002</v>
          </cell>
          <cell r="W133">
            <v>3276380</v>
          </cell>
          <cell r="X133">
            <v>200000</v>
          </cell>
          <cell r="Y133">
            <v>0</v>
          </cell>
          <cell r="Z133">
            <v>5681600</v>
          </cell>
          <cell r="AC133">
            <v>0</v>
          </cell>
          <cell r="AD133">
            <v>0</v>
          </cell>
          <cell r="AG133">
            <v>0</v>
          </cell>
          <cell r="AW133">
            <v>0</v>
          </cell>
          <cell r="AY133">
            <v>339426</v>
          </cell>
          <cell r="AZ133">
            <v>16335993.76</v>
          </cell>
        </row>
        <row r="134">
          <cell r="B134">
            <v>23128</v>
          </cell>
          <cell r="C134" t="str">
            <v>SA 4 &amp;  7</v>
          </cell>
          <cell r="D134" t="str">
            <v xml:space="preserve">GATEWAYS HOSPITAL &amp; MHC </v>
          </cell>
          <cell r="G134">
            <v>417837.2</v>
          </cell>
          <cell r="I134">
            <v>0</v>
          </cell>
          <cell r="K134">
            <v>0</v>
          </cell>
          <cell r="L134">
            <v>0</v>
          </cell>
          <cell r="N134">
            <v>700000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15553.2</v>
          </cell>
          <cell r="W134">
            <v>1628369</v>
          </cell>
          <cell r="X134">
            <v>0</v>
          </cell>
          <cell r="Y134">
            <v>0</v>
          </cell>
          <cell r="Z134">
            <v>489500</v>
          </cell>
          <cell r="AC134">
            <v>0</v>
          </cell>
          <cell r="AD134">
            <v>0</v>
          </cell>
          <cell r="AG134">
            <v>0</v>
          </cell>
          <cell r="AW134">
            <v>0</v>
          </cell>
          <cell r="AY134">
            <v>129320</v>
          </cell>
          <cell r="AZ134">
            <v>3380579.4</v>
          </cell>
        </row>
        <row r="135">
          <cell r="B135">
            <v>27231</v>
          </cell>
          <cell r="C135" t="str">
            <v>SA 4 &amp;  7</v>
          </cell>
          <cell r="D135" t="str">
            <v>GAY &amp; LESBIAN ADOLESCENT SOC. SVCS, INC.</v>
          </cell>
          <cell r="G135">
            <v>921802.64</v>
          </cell>
          <cell r="I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W135">
            <v>19000</v>
          </cell>
          <cell r="X135">
            <v>0</v>
          </cell>
          <cell r="Y135">
            <v>0</v>
          </cell>
          <cell r="Z135">
            <v>1079900</v>
          </cell>
          <cell r="AC135">
            <v>0</v>
          </cell>
          <cell r="AD135">
            <v>0</v>
          </cell>
          <cell r="AG135">
            <v>0</v>
          </cell>
          <cell r="AW135">
            <v>0</v>
          </cell>
          <cell r="AY135">
            <v>0</v>
          </cell>
          <cell r="AZ135">
            <v>2020702.6400000001</v>
          </cell>
        </row>
        <row r="136">
          <cell r="B136">
            <v>20486</v>
          </cell>
          <cell r="C136" t="str">
            <v>SA 4 &amp;  7</v>
          </cell>
          <cell r="D136" t="str">
            <v>HAMBURGER HOME (AVIVA CENTER)</v>
          </cell>
          <cell r="G136">
            <v>2329986.56</v>
          </cell>
          <cell r="I136">
            <v>40360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87019.400000000009</v>
          </cell>
          <cell r="W136">
            <v>0</v>
          </cell>
          <cell r="X136">
            <v>0</v>
          </cell>
          <cell r="Y136">
            <v>0</v>
          </cell>
          <cell r="Z136">
            <v>2729600</v>
          </cell>
          <cell r="AC136">
            <v>0</v>
          </cell>
          <cell r="AD136">
            <v>0</v>
          </cell>
          <cell r="AG136">
            <v>0</v>
          </cell>
          <cell r="AW136">
            <v>0</v>
          </cell>
          <cell r="AY136">
            <v>0</v>
          </cell>
          <cell r="AZ136">
            <v>5186965.96</v>
          </cell>
        </row>
        <row r="137">
          <cell r="B137">
            <v>23174</v>
          </cell>
          <cell r="C137" t="str">
            <v>SA 4 &amp;  7</v>
          </cell>
          <cell r="D137" t="str">
            <v xml:space="preserve">HEALTH RESEARCH ASSOCIATION DBA USC ALTERNATIVE </v>
          </cell>
          <cell r="G137">
            <v>0</v>
          </cell>
          <cell r="I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W137">
            <v>101461</v>
          </cell>
          <cell r="X137">
            <v>0</v>
          </cell>
          <cell r="Y137">
            <v>0</v>
          </cell>
          <cell r="Z137">
            <v>0</v>
          </cell>
          <cell r="AC137">
            <v>0</v>
          </cell>
          <cell r="AD137">
            <v>0</v>
          </cell>
          <cell r="AG137">
            <v>0</v>
          </cell>
          <cell r="AW137">
            <v>0</v>
          </cell>
          <cell r="AY137">
            <v>0</v>
          </cell>
          <cell r="AZ137">
            <v>101461</v>
          </cell>
        </row>
        <row r="138">
          <cell r="B138">
            <v>27537</v>
          </cell>
          <cell r="C138" t="str">
            <v>SA 4 &amp;  7</v>
          </cell>
          <cell r="D138" t="str">
            <v>HELPLINE YOUTH COUNSELING, INC.</v>
          </cell>
          <cell r="G138">
            <v>64020</v>
          </cell>
          <cell r="I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3120</v>
          </cell>
          <cell r="W138">
            <v>0</v>
          </cell>
          <cell r="X138">
            <v>0</v>
          </cell>
          <cell r="Y138">
            <v>0</v>
          </cell>
          <cell r="Z138">
            <v>75000</v>
          </cell>
          <cell r="AC138">
            <v>0</v>
          </cell>
          <cell r="AD138">
            <v>0</v>
          </cell>
          <cell r="AG138">
            <v>0</v>
          </cell>
          <cell r="AW138">
            <v>0</v>
          </cell>
          <cell r="AY138">
            <v>0</v>
          </cell>
          <cell r="AZ138">
            <v>142140</v>
          </cell>
        </row>
        <row r="139">
          <cell r="B139">
            <v>20906</v>
          </cell>
          <cell r="C139" t="str">
            <v>SA 4 &amp;  7</v>
          </cell>
          <cell r="D139" t="str">
            <v>INTERCOMMUNITY CHILD GUIDANCE CTR</v>
          </cell>
          <cell r="G139">
            <v>1365375.8800000001</v>
          </cell>
          <cell r="I139">
            <v>199415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163332</v>
          </cell>
          <cell r="T139">
            <v>171736.5</v>
          </cell>
          <cell r="W139">
            <v>39418</v>
          </cell>
          <cell r="X139">
            <v>0</v>
          </cell>
          <cell r="Y139">
            <v>0</v>
          </cell>
          <cell r="Z139">
            <v>1599550</v>
          </cell>
          <cell r="AC139">
            <v>0</v>
          </cell>
          <cell r="AD139">
            <v>0</v>
          </cell>
          <cell r="AG139">
            <v>0</v>
          </cell>
          <cell r="AW139">
            <v>0</v>
          </cell>
          <cell r="AY139">
            <v>0</v>
          </cell>
          <cell r="AZ139">
            <v>3538827.38</v>
          </cell>
        </row>
        <row r="140">
          <cell r="B140">
            <v>27529</v>
          </cell>
          <cell r="C140" t="str">
            <v>SA 4 &amp;  7</v>
          </cell>
          <cell r="D140" t="str">
            <v>INSTITUTE FOR MULTICULTURAL COUN. &amp; EDU. SVCS, INC.</v>
          </cell>
          <cell r="G140">
            <v>224070</v>
          </cell>
          <cell r="I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W140">
            <v>35000</v>
          </cell>
          <cell r="X140">
            <v>0</v>
          </cell>
          <cell r="Y140">
            <v>0</v>
          </cell>
          <cell r="Z140">
            <v>262500</v>
          </cell>
          <cell r="AC140">
            <v>0</v>
          </cell>
          <cell r="AD140">
            <v>0</v>
          </cell>
          <cell r="AG140">
            <v>0</v>
          </cell>
          <cell r="AW140">
            <v>0</v>
          </cell>
          <cell r="AY140">
            <v>0</v>
          </cell>
          <cell r="AZ140">
            <v>521570</v>
          </cell>
        </row>
        <row r="141">
          <cell r="B141">
            <v>23137</v>
          </cell>
          <cell r="C141" t="str">
            <v>SA 4 &amp;  7</v>
          </cell>
          <cell r="D141" t="str">
            <v>KOREAN YOUTH &amp; COMMUNITY CENTER, INC.</v>
          </cell>
          <cell r="G141">
            <v>103712.40000000001</v>
          </cell>
          <cell r="I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46800</v>
          </cell>
          <cell r="W141">
            <v>712</v>
          </cell>
          <cell r="X141">
            <v>0</v>
          </cell>
          <cell r="Y141">
            <v>0</v>
          </cell>
          <cell r="Z141">
            <v>121500</v>
          </cell>
          <cell r="AC141">
            <v>0</v>
          </cell>
          <cell r="AD141">
            <v>0</v>
          </cell>
          <cell r="AG141">
            <v>0</v>
          </cell>
          <cell r="AW141">
            <v>0</v>
          </cell>
          <cell r="AY141">
            <v>0</v>
          </cell>
          <cell r="AZ141">
            <v>272724.40000000002</v>
          </cell>
        </row>
        <row r="142">
          <cell r="B142">
            <v>23143</v>
          </cell>
          <cell r="C142" t="str">
            <v>SA 4 &amp;  7</v>
          </cell>
          <cell r="D142" t="str">
            <v>LAMP INC. DBA LAMP COMMUNITY</v>
          </cell>
          <cell r="G142">
            <v>0</v>
          </cell>
          <cell r="I142">
            <v>0</v>
          </cell>
          <cell r="K142">
            <v>1066530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384445</v>
          </cell>
          <cell r="S142">
            <v>0</v>
          </cell>
          <cell r="T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C142">
            <v>0</v>
          </cell>
          <cell r="AD142">
            <v>0</v>
          </cell>
          <cell r="AG142">
            <v>0</v>
          </cell>
          <cell r="AM142">
            <v>27000</v>
          </cell>
          <cell r="AW142">
            <v>0</v>
          </cell>
          <cell r="AY142">
            <v>253785</v>
          </cell>
          <cell r="AZ142">
            <v>1731760</v>
          </cell>
        </row>
        <row r="143">
          <cell r="B143">
            <v>23190</v>
          </cell>
          <cell r="C143" t="str">
            <v>SA 4 &amp;  7</v>
          </cell>
          <cell r="D143" t="str">
            <v>LOS ANGELES FREE CLINIC, THE</v>
          </cell>
          <cell r="G143">
            <v>0</v>
          </cell>
          <cell r="I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20000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C143">
            <v>0</v>
          </cell>
          <cell r="AD143">
            <v>0</v>
          </cell>
          <cell r="AG143">
            <v>0</v>
          </cell>
          <cell r="AW143">
            <v>0</v>
          </cell>
          <cell r="AY143">
            <v>0</v>
          </cell>
          <cell r="AZ143">
            <v>20000</v>
          </cell>
        </row>
        <row r="144">
          <cell r="B144">
            <v>23142</v>
          </cell>
          <cell r="C144" t="str">
            <v>SA 4 &amp;  7</v>
          </cell>
          <cell r="D144" t="str">
            <v>LOS ANGELES GAY &amp; LESBIAN COMMUNITY SVCS CTR</v>
          </cell>
          <cell r="G144">
            <v>0</v>
          </cell>
          <cell r="I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C144">
            <v>0</v>
          </cell>
          <cell r="AD144">
            <v>0</v>
          </cell>
          <cell r="AG144">
            <v>65136</v>
          </cell>
          <cell r="AW144">
            <v>0</v>
          </cell>
          <cell r="AY144">
            <v>0</v>
          </cell>
          <cell r="AZ144">
            <v>65136</v>
          </cell>
        </row>
        <row r="145">
          <cell r="B145">
            <v>27519</v>
          </cell>
          <cell r="C145" t="str">
            <v>SA 4 &amp;  7</v>
          </cell>
          <cell r="D145" t="str">
            <v>PARA LOS NINOS</v>
          </cell>
          <cell r="G145">
            <v>405460</v>
          </cell>
          <cell r="I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3315</v>
          </cell>
          <cell r="W145">
            <v>0</v>
          </cell>
          <cell r="X145">
            <v>0</v>
          </cell>
          <cell r="Y145">
            <v>0</v>
          </cell>
          <cell r="Z145">
            <v>475000</v>
          </cell>
          <cell r="AC145">
            <v>0</v>
          </cell>
          <cell r="AD145">
            <v>0</v>
          </cell>
          <cell r="AG145">
            <v>0</v>
          </cell>
          <cell r="AW145">
            <v>0</v>
          </cell>
          <cell r="AY145">
            <v>0</v>
          </cell>
          <cell r="AZ145">
            <v>883775</v>
          </cell>
        </row>
        <row r="146">
          <cell r="B146">
            <v>27548</v>
          </cell>
          <cell r="C146" t="str">
            <v>SA 4 &amp;  7</v>
          </cell>
          <cell r="D146" t="str">
            <v>PEDIATRIC &amp; FAMILY MEDICAL CENTER (DBA EISNER</v>
          </cell>
          <cell r="G146">
            <v>256080</v>
          </cell>
          <cell r="I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300000</v>
          </cell>
          <cell r="AC146">
            <v>0</v>
          </cell>
          <cell r="AD146">
            <v>0</v>
          </cell>
          <cell r="AG146">
            <v>0</v>
          </cell>
          <cell r="AW146">
            <v>0</v>
          </cell>
          <cell r="AY146">
            <v>0</v>
          </cell>
          <cell r="AZ146">
            <v>556080</v>
          </cell>
        </row>
        <row r="147">
          <cell r="B147">
            <v>23156</v>
          </cell>
          <cell r="C147" t="str">
            <v>SA 4 &amp;  7</v>
          </cell>
          <cell r="D147" t="str">
            <v>PORTALS*</v>
          </cell>
          <cell r="G147">
            <v>353177</v>
          </cell>
          <cell r="I147">
            <v>0</v>
          </cell>
          <cell r="K147">
            <v>911087</v>
          </cell>
          <cell r="L147">
            <v>795360</v>
          </cell>
          <cell r="N147">
            <v>0</v>
          </cell>
          <cell r="O147">
            <v>0</v>
          </cell>
          <cell r="P147">
            <v>0</v>
          </cell>
          <cell r="R147">
            <v>40000</v>
          </cell>
          <cell r="S147">
            <v>0</v>
          </cell>
          <cell r="T147">
            <v>0</v>
          </cell>
          <cell r="W147">
            <v>3317839</v>
          </cell>
          <cell r="X147">
            <v>795360</v>
          </cell>
          <cell r="Y147">
            <v>56201</v>
          </cell>
          <cell r="Z147">
            <v>413750</v>
          </cell>
          <cell r="AC147">
            <v>0</v>
          </cell>
          <cell r="AD147">
            <v>56201</v>
          </cell>
          <cell r="AG147">
            <v>0</v>
          </cell>
          <cell r="AW147">
            <v>0</v>
          </cell>
          <cell r="AY147">
            <v>0</v>
          </cell>
          <cell r="AZ147">
            <v>6738975</v>
          </cell>
        </row>
        <row r="148">
          <cell r="B148">
            <v>18637</v>
          </cell>
          <cell r="C148" t="str">
            <v>SA 4 &amp;  7</v>
          </cell>
          <cell r="D148" t="str">
            <v>PROVIDENCE COMMUNITY SERVICES (FORMERLY ASPEN)</v>
          </cell>
          <cell r="G148">
            <v>1002126.4</v>
          </cell>
          <cell r="I148">
            <v>96690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65840</v>
          </cell>
          <cell r="T148">
            <v>9169.5500000000011</v>
          </cell>
          <cell r="W148">
            <v>108000</v>
          </cell>
          <cell r="X148">
            <v>0</v>
          </cell>
          <cell r="Y148">
            <v>0</v>
          </cell>
          <cell r="Z148">
            <v>1174000</v>
          </cell>
          <cell r="AC148">
            <v>0</v>
          </cell>
          <cell r="AD148">
            <v>0</v>
          </cell>
          <cell r="AG148">
            <v>0</v>
          </cell>
          <cell r="AW148">
            <v>0</v>
          </cell>
          <cell r="AY148">
            <v>0</v>
          </cell>
          <cell r="AZ148">
            <v>2455825.9500000002</v>
          </cell>
        </row>
        <row r="149">
          <cell r="B149">
            <v>23170</v>
          </cell>
          <cell r="C149" t="str">
            <v>SA 4 &amp;  7</v>
          </cell>
          <cell r="D149" t="str">
            <v xml:space="preserve">SPECIAL SERVICE FOR GROUPS </v>
          </cell>
          <cell r="G149">
            <v>3755192.5444</v>
          </cell>
          <cell r="I149">
            <v>32795</v>
          </cell>
          <cell r="K149">
            <v>56653</v>
          </cell>
          <cell r="L149">
            <v>50000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1686</v>
          </cell>
          <cell r="T149">
            <v>137915.05000000002</v>
          </cell>
          <cell r="W149">
            <v>3448378</v>
          </cell>
          <cell r="X149">
            <v>50000</v>
          </cell>
          <cell r="Y149">
            <v>0</v>
          </cell>
          <cell r="Z149">
            <v>4399241.5</v>
          </cell>
          <cell r="AC149">
            <v>0</v>
          </cell>
          <cell r="AD149">
            <v>0</v>
          </cell>
          <cell r="AG149">
            <v>0</v>
          </cell>
          <cell r="AW149">
            <v>0</v>
          </cell>
          <cell r="AY149">
            <v>284840</v>
          </cell>
          <cell r="AZ149">
            <v>12216701.0944</v>
          </cell>
        </row>
        <row r="150">
          <cell r="B150">
            <v>27624</v>
          </cell>
          <cell r="C150" t="str">
            <v>SA 4 &amp;  7</v>
          </cell>
          <cell r="D150" t="str">
            <v>SPIRITT  FAMILY SERVICES, INC.</v>
          </cell>
          <cell r="G150">
            <v>192060</v>
          </cell>
          <cell r="I150">
            <v>0</v>
          </cell>
          <cell r="K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225000</v>
          </cell>
          <cell r="AC150">
            <v>0</v>
          </cell>
          <cell r="AD150">
            <v>0</v>
          </cell>
          <cell r="AG150">
            <v>0</v>
          </cell>
          <cell r="AW150">
            <v>0</v>
          </cell>
          <cell r="AY150">
            <v>0</v>
          </cell>
          <cell r="AZ150">
            <v>417060</v>
          </cell>
        </row>
        <row r="151">
          <cell r="B151">
            <v>27248</v>
          </cell>
          <cell r="C151" t="str">
            <v>SA 4 &amp;  7</v>
          </cell>
          <cell r="D151" t="str">
            <v>UNITED AMERICAN INDIAN INVOLVEMENT, INC.</v>
          </cell>
          <cell r="E151" t="str">
            <v xml:space="preserve"> </v>
          </cell>
          <cell r="G151">
            <v>436189.60000000003</v>
          </cell>
          <cell r="I151">
            <v>0</v>
          </cell>
          <cell r="K151">
            <v>0</v>
          </cell>
          <cell r="L151">
            <v>0</v>
          </cell>
          <cell r="M151" t="str">
            <v xml:space="preserve"> 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W151">
            <v>6609</v>
          </cell>
          <cell r="X151">
            <v>0</v>
          </cell>
          <cell r="Y151">
            <v>0</v>
          </cell>
          <cell r="Z151">
            <v>511000</v>
          </cell>
          <cell r="AC151">
            <v>0</v>
          </cell>
          <cell r="AD151">
            <v>0</v>
          </cell>
          <cell r="AG151">
            <v>0</v>
          </cell>
          <cell r="AW151">
            <v>0</v>
          </cell>
          <cell r="AY151">
            <v>0</v>
          </cell>
          <cell r="AZ151">
            <v>953798.60000000009</v>
          </cell>
        </row>
        <row r="152">
          <cell r="B152">
            <v>27600</v>
          </cell>
          <cell r="C152" t="str">
            <v>SA 4 &amp;  7</v>
          </cell>
          <cell r="D152" t="str">
            <v>VIP COMMUNITY MENTAL HEALTH CENTER, INC. (VIP CMHC)</v>
          </cell>
          <cell r="G152">
            <v>2338864</v>
          </cell>
          <cell r="I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9035</v>
          </cell>
          <cell r="W152">
            <v>0</v>
          </cell>
          <cell r="X152">
            <v>0</v>
          </cell>
          <cell r="Y152">
            <v>0</v>
          </cell>
          <cell r="Z152">
            <v>2740000</v>
          </cell>
          <cell r="AC152">
            <v>0</v>
          </cell>
          <cell r="AD152">
            <v>0</v>
          </cell>
          <cell r="AG152">
            <v>0</v>
          </cell>
          <cell r="AW152">
            <v>0</v>
          </cell>
          <cell r="AY152">
            <v>0</v>
          </cell>
          <cell r="AZ152">
            <v>5087899</v>
          </cell>
        </row>
        <row r="153">
          <cell r="D153" t="str">
            <v>Sub total:  SA 4 &amp; 7</v>
          </cell>
          <cell r="E153">
            <v>0</v>
          </cell>
          <cell r="F153">
            <v>0</v>
          </cell>
          <cell r="G153">
            <v>34682657.024399996</v>
          </cell>
          <cell r="H153">
            <v>0</v>
          </cell>
          <cell r="I153">
            <v>1175406</v>
          </cell>
          <cell r="K153">
            <v>2708824</v>
          </cell>
          <cell r="L153">
            <v>1045360</v>
          </cell>
          <cell r="M153">
            <v>35013843.719999999</v>
          </cell>
          <cell r="N153">
            <v>740000</v>
          </cell>
          <cell r="O153">
            <v>0</v>
          </cell>
          <cell r="P153">
            <v>1248897</v>
          </cell>
          <cell r="Q153">
            <v>0</v>
          </cell>
          <cell r="R153">
            <v>444445</v>
          </cell>
          <cell r="S153">
            <v>671617</v>
          </cell>
          <cell r="T153">
            <v>1736761.6500000001</v>
          </cell>
          <cell r="U153">
            <v>0</v>
          </cell>
          <cell r="V153">
            <v>0</v>
          </cell>
          <cell r="W153">
            <v>14339524</v>
          </cell>
          <cell r="X153">
            <v>1045360</v>
          </cell>
          <cell r="Y153">
            <v>56201</v>
          </cell>
          <cell r="Z153">
            <v>40631041.5</v>
          </cell>
          <cell r="AA153">
            <v>0</v>
          </cell>
          <cell r="AB153">
            <v>0</v>
          </cell>
          <cell r="AC153">
            <v>0</v>
          </cell>
          <cell r="AD153">
            <v>56201</v>
          </cell>
          <cell r="AE153">
            <v>0</v>
          </cell>
          <cell r="AF153">
            <v>0</v>
          </cell>
          <cell r="AG153">
            <v>102602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27000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496000</v>
          </cell>
          <cell r="AY153">
            <v>1316348</v>
          </cell>
          <cell r="AZ153">
            <v>137538088.8944</v>
          </cell>
        </row>
        <row r="154">
          <cell r="D154" t="str">
            <v>CGF</v>
          </cell>
          <cell r="G154">
            <v>5706093.7199999997</v>
          </cell>
          <cell r="T154">
            <v>935199.99999999988</v>
          </cell>
          <cell r="W154">
            <v>14105550</v>
          </cell>
        </row>
        <row r="155">
          <cell r="D155" t="str">
            <v>IFT</v>
          </cell>
          <cell r="G155">
            <v>242292</v>
          </cell>
          <cell r="W155">
            <v>234000</v>
          </cell>
        </row>
        <row r="157">
          <cell r="D157" t="str">
            <v xml:space="preserve">ALLOCATED SUB TOTAL </v>
          </cell>
          <cell r="E157">
            <v>0</v>
          </cell>
          <cell r="F157">
            <v>0</v>
          </cell>
          <cell r="G157">
            <v>156772853.81600001</v>
          </cell>
          <cell r="H157">
            <v>0</v>
          </cell>
          <cell r="I157">
            <v>6907774</v>
          </cell>
          <cell r="J157">
            <v>0</v>
          </cell>
          <cell r="K157">
            <v>7758800</v>
          </cell>
          <cell r="L157">
            <v>7396831</v>
          </cell>
          <cell r="M157">
            <v>113185987.31600001</v>
          </cell>
          <cell r="N157">
            <v>2198552</v>
          </cell>
          <cell r="O157">
            <v>472000</v>
          </cell>
          <cell r="P157">
            <v>1248897</v>
          </cell>
          <cell r="Q157">
            <v>0</v>
          </cell>
          <cell r="R157">
            <v>1272557</v>
          </cell>
          <cell r="S157">
            <v>5256449</v>
          </cell>
          <cell r="T157">
            <v>6567102.5499999998</v>
          </cell>
          <cell r="U157">
            <v>0</v>
          </cell>
          <cell r="V157">
            <v>0</v>
          </cell>
          <cell r="W157">
            <v>43779900</v>
          </cell>
          <cell r="X157">
            <v>7396831</v>
          </cell>
          <cell r="Y157">
            <v>91201</v>
          </cell>
          <cell r="Z157">
            <v>183661010</v>
          </cell>
          <cell r="AA157">
            <v>0</v>
          </cell>
          <cell r="AB157">
            <v>0</v>
          </cell>
          <cell r="AC157">
            <v>0</v>
          </cell>
          <cell r="AD157">
            <v>91201</v>
          </cell>
          <cell r="AE157">
            <v>0</v>
          </cell>
          <cell r="AF157">
            <v>0</v>
          </cell>
          <cell r="AG157">
            <v>102602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27000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1174314</v>
          </cell>
          <cell r="AY157">
            <v>5603401</v>
          </cell>
          <cell r="AZ157">
            <v>550965263.68200004</v>
          </cell>
        </row>
        <row r="158">
          <cell r="G158">
            <v>156772853.81600001</v>
          </cell>
          <cell r="I158">
            <v>6907774</v>
          </cell>
          <cell r="T158">
            <v>6567102.5499999998</v>
          </cell>
          <cell r="W158">
            <v>43779900</v>
          </cell>
          <cell r="X158">
            <v>7396831</v>
          </cell>
          <cell r="Y158">
            <v>91201</v>
          </cell>
          <cell r="Z158">
            <v>183661010</v>
          </cell>
          <cell r="AG158">
            <v>102602</v>
          </cell>
          <cell r="AW158">
            <v>1174314</v>
          </cell>
          <cell r="AY158">
            <v>5149401</v>
          </cell>
        </row>
        <row r="159">
          <cell r="D159" t="str">
            <v xml:space="preserve">IMD </v>
          </cell>
        </row>
        <row r="160">
          <cell r="B160">
            <v>20958</v>
          </cell>
          <cell r="C160" t="str">
            <v>SA 4 &amp;  7</v>
          </cell>
          <cell r="D160" t="str">
            <v xml:space="preserve">AMADA ENTERPRISE  - </v>
          </cell>
          <cell r="G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C160">
            <v>0</v>
          </cell>
          <cell r="AG160">
            <v>0</v>
          </cell>
          <cell r="AW160">
            <v>0</v>
          </cell>
          <cell r="AY160">
            <v>0</v>
          </cell>
          <cell r="AZ160">
            <v>0</v>
          </cell>
        </row>
        <row r="161">
          <cell r="B161">
            <v>20955</v>
          </cell>
          <cell r="C161" t="str">
            <v>SA 4 &amp;  7</v>
          </cell>
          <cell r="D161" t="str">
            <v>BRASWELL ENTERPRISE</v>
          </cell>
          <cell r="G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C161">
            <v>0</v>
          </cell>
          <cell r="AG161">
            <v>0</v>
          </cell>
          <cell r="AW161">
            <v>0</v>
          </cell>
          <cell r="AY161">
            <v>0</v>
          </cell>
          <cell r="AZ161">
            <v>0</v>
          </cell>
        </row>
        <row r="162">
          <cell r="B162">
            <v>20964</v>
          </cell>
          <cell r="C162" t="str">
            <v>SA 4 &amp;  7</v>
          </cell>
          <cell r="D162" t="str">
            <v xml:space="preserve">COMMUNITY CARE CENTER, INC. </v>
          </cell>
          <cell r="G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C162">
            <v>0</v>
          </cell>
          <cell r="AG162">
            <v>0</v>
          </cell>
          <cell r="AW162">
            <v>0</v>
          </cell>
          <cell r="AY162">
            <v>0</v>
          </cell>
          <cell r="AZ162">
            <v>0</v>
          </cell>
        </row>
        <row r="163">
          <cell r="B163">
            <v>20954</v>
          </cell>
          <cell r="C163" t="str">
            <v>SA 4 &amp;  7</v>
          </cell>
          <cell r="D163" t="str">
            <v xml:space="preserve">LANDMARK MEDICAL SERVICES </v>
          </cell>
          <cell r="G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C163">
            <v>0</v>
          </cell>
          <cell r="AG163">
            <v>0</v>
          </cell>
          <cell r="AW163">
            <v>0</v>
          </cell>
          <cell r="AY163">
            <v>0</v>
          </cell>
          <cell r="AZ163">
            <v>0</v>
          </cell>
        </row>
        <row r="164">
          <cell r="B164">
            <v>20957</v>
          </cell>
          <cell r="C164" t="str">
            <v>SA 4 &amp;  7</v>
          </cell>
          <cell r="D164" t="str">
            <v>MEADOWBROOK MANOR</v>
          </cell>
          <cell r="G164">
            <v>0</v>
          </cell>
          <cell r="K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C164">
            <v>0</v>
          </cell>
          <cell r="AG164">
            <v>0</v>
          </cell>
          <cell r="AW164">
            <v>0</v>
          </cell>
          <cell r="AY164">
            <v>0</v>
          </cell>
          <cell r="AZ164">
            <v>0</v>
          </cell>
        </row>
        <row r="165">
          <cell r="B165">
            <v>23159</v>
          </cell>
          <cell r="C165" t="str">
            <v>SA 4 &amp;  7</v>
          </cell>
          <cell r="D165" t="str">
            <v>REGENCY HEALTH SERVICES</v>
          </cell>
          <cell r="G165">
            <v>0</v>
          </cell>
          <cell r="K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C165">
            <v>0</v>
          </cell>
          <cell r="AG165">
            <v>0</v>
          </cell>
          <cell r="AW165">
            <v>0</v>
          </cell>
          <cell r="AY165">
            <v>0</v>
          </cell>
          <cell r="AZ165">
            <v>0</v>
          </cell>
        </row>
        <row r="166">
          <cell r="B166">
            <v>23184</v>
          </cell>
          <cell r="C166" t="str">
            <v>SA 4 &amp;  7</v>
          </cell>
          <cell r="D166" t="str">
            <v>SAN GABRIEL VAL. CONV.HOSP.</v>
          </cell>
          <cell r="G166">
            <v>0</v>
          </cell>
          <cell r="K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C166">
            <v>0</v>
          </cell>
          <cell r="AG166">
            <v>0</v>
          </cell>
          <cell r="AW166">
            <v>0</v>
          </cell>
          <cell r="AY166">
            <v>0</v>
          </cell>
          <cell r="AZ166">
            <v>0</v>
          </cell>
        </row>
        <row r="167">
          <cell r="B167">
            <v>23172</v>
          </cell>
          <cell r="C167" t="str">
            <v>SA 4 &amp;  7</v>
          </cell>
          <cell r="D167" t="str">
            <v>TELECARE CORP.</v>
          </cell>
          <cell r="G167">
            <v>0</v>
          </cell>
          <cell r="K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C167">
            <v>0</v>
          </cell>
          <cell r="AG167">
            <v>0</v>
          </cell>
          <cell r="AW167">
            <v>0</v>
          </cell>
          <cell r="AY167">
            <v>0</v>
          </cell>
          <cell r="AZ167">
            <v>0</v>
          </cell>
        </row>
        <row r="168">
          <cell r="C168" t="str">
            <v>SA 4 &amp;  7</v>
          </cell>
          <cell r="D168" t="str">
            <v>IMD COLA</v>
          </cell>
          <cell r="G168">
            <v>0</v>
          </cell>
          <cell r="K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T168">
            <v>0</v>
          </cell>
          <cell r="W168">
            <v>0</v>
          </cell>
          <cell r="Z168">
            <v>0</v>
          </cell>
          <cell r="AC168" t="str">
            <v xml:space="preserve"> </v>
          </cell>
          <cell r="AG168">
            <v>0</v>
          </cell>
          <cell r="AW168">
            <v>0</v>
          </cell>
          <cell r="AY168">
            <v>0</v>
          </cell>
          <cell r="AZ168">
            <v>0</v>
          </cell>
        </row>
        <row r="169">
          <cell r="D169" t="str">
            <v>Sub total: IMD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</row>
        <row r="171">
          <cell r="D171" t="str">
            <v>MIO</v>
          </cell>
        </row>
        <row r="172">
          <cell r="B172">
            <v>20955</v>
          </cell>
          <cell r="D172" t="str">
            <v>BRASWELL ENTERPRISE</v>
          </cell>
          <cell r="G172">
            <v>0</v>
          </cell>
          <cell r="K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C172">
            <v>0</v>
          </cell>
          <cell r="AG172">
            <v>0</v>
          </cell>
          <cell r="AW172">
            <v>0</v>
          </cell>
          <cell r="AY172">
            <v>0</v>
          </cell>
          <cell r="AZ172">
            <v>0</v>
          </cell>
        </row>
        <row r="173">
          <cell r="D173" t="str">
            <v>Sub total: MIO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</row>
        <row r="175">
          <cell r="D175" t="str">
            <v>TOTAL IMD &amp;  MIO</v>
          </cell>
        </row>
        <row r="176">
          <cell r="AG176" t="str">
            <v xml:space="preserve"> </v>
          </cell>
          <cell r="AY176" t="str">
            <v xml:space="preserve"> </v>
          </cell>
        </row>
        <row r="177">
          <cell r="D177" t="str">
            <v>ESCORT SERVICES</v>
          </cell>
        </row>
        <row r="178">
          <cell r="B178">
            <v>20902</v>
          </cell>
          <cell r="D178" t="str">
            <v>METROPOLITAN STATE  HOSPITAL</v>
          </cell>
          <cell r="G178">
            <v>0</v>
          </cell>
          <cell r="K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C178">
            <v>0</v>
          </cell>
          <cell r="AG178">
            <v>0</v>
          </cell>
          <cell r="AW178">
            <v>0</v>
          </cell>
          <cell r="AY178">
            <v>0</v>
          </cell>
          <cell r="AZ178">
            <v>0</v>
          </cell>
        </row>
        <row r="179">
          <cell r="B179">
            <v>23155</v>
          </cell>
          <cell r="D179" t="str">
            <v>PATTON STATE HOSPITAL</v>
          </cell>
          <cell r="G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C179">
            <v>0</v>
          </cell>
          <cell r="AG179">
            <v>0</v>
          </cell>
          <cell r="AW179">
            <v>0</v>
          </cell>
          <cell r="AY179">
            <v>0</v>
          </cell>
          <cell r="AZ179">
            <v>0</v>
          </cell>
        </row>
        <row r="180">
          <cell r="D180" t="str">
            <v>TOTAL STATE HOSPITAL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</row>
        <row r="182">
          <cell r="D182" t="str">
            <v>UNALLOCATED</v>
          </cell>
        </row>
        <row r="184">
          <cell r="D184" t="str">
            <v>UNALLOCATED</v>
          </cell>
          <cell r="T184">
            <v>0</v>
          </cell>
          <cell r="AY184">
            <v>89052595.340000004</v>
          </cell>
          <cell r="AZ184">
            <v>89052595.340000004</v>
          </cell>
        </row>
        <row r="185">
          <cell r="D185" t="str">
            <v>MANAGED CARE CURTAILMENT</v>
          </cell>
          <cell r="W185">
            <v>-500000</v>
          </cell>
          <cell r="AZ185">
            <v>-500000</v>
          </cell>
        </row>
        <row r="186">
          <cell r="D186" t="str">
            <v>UNALLOCATED 100% SGF/FFP ONLY</v>
          </cell>
          <cell r="G186">
            <v>605778</v>
          </cell>
          <cell r="T186">
            <v>0.14999999990686774</v>
          </cell>
          <cell r="W186">
            <v>592775</v>
          </cell>
          <cell r="Z186">
            <v>903750</v>
          </cell>
          <cell r="AZ186">
            <v>2102303.15</v>
          </cell>
        </row>
        <row r="187">
          <cell r="D187" t="str">
            <v xml:space="preserve">UNALLOCATED SPECIALIZED FOSTER CARE </v>
          </cell>
          <cell r="G187">
            <v>2133573.2000000002</v>
          </cell>
          <cell r="Z187">
            <v>2499500</v>
          </cell>
          <cell r="AZ187">
            <v>4633073.2</v>
          </cell>
        </row>
        <row r="188">
          <cell r="D188" t="str">
            <v>WRAPAROUND EPSDT</v>
          </cell>
          <cell r="G188">
            <v>2419956</v>
          </cell>
          <cell r="Z188">
            <v>2835000</v>
          </cell>
          <cell r="AZ188">
            <v>5254956</v>
          </cell>
        </row>
        <row r="189">
          <cell r="D189" t="str">
            <v>UNALLOCATED MHSA EPSDT/FFP/MATCH</v>
          </cell>
          <cell r="G189">
            <v>12781077.852400001</v>
          </cell>
          <cell r="W189">
            <v>11871850.5</v>
          </cell>
          <cell r="Z189">
            <v>14973146.5</v>
          </cell>
          <cell r="AX189">
            <v>14082918.66</v>
          </cell>
          <cell r="AY189">
            <v>14082918.66</v>
          </cell>
          <cell r="AZ189">
            <v>53708993.512400001</v>
          </cell>
        </row>
        <row r="190">
          <cell r="D190" t="str">
            <v>SB 90/AB3632 SERVICES-IDEA</v>
          </cell>
          <cell r="I190">
            <v>0</v>
          </cell>
          <cell r="AZ190">
            <v>0</v>
          </cell>
        </row>
        <row r="191">
          <cell r="D191" t="str">
            <v>AUDIT SETTLEMENT</v>
          </cell>
          <cell r="AZ191">
            <v>0</v>
          </cell>
        </row>
        <row r="192">
          <cell r="D192" t="str">
            <v>EPSDT EXPANSION / Healthy Faimily Expansion Budget Request</v>
          </cell>
          <cell r="G192">
            <v>8745901.9472000003</v>
          </cell>
          <cell r="T192">
            <v>2971429.0000000005</v>
          </cell>
          <cell r="Z192">
            <v>10245902</v>
          </cell>
          <cell r="AZ192">
            <v>21963232.9472</v>
          </cell>
        </row>
        <row r="193">
          <cell r="D193" t="str">
            <v>AUDIT SETTLEMENT</v>
          </cell>
          <cell r="G193">
            <v>0</v>
          </cell>
          <cell r="L193">
            <v>0</v>
          </cell>
          <cell r="T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P193">
            <v>500000</v>
          </cell>
          <cell r="AZ193">
            <v>500000</v>
          </cell>
        </row>
        <row r="194">
          <cell r="D194" t="str">
            <v>ROUNDING</v>
          </cell>
          <cell r="G194">
            <v>-9140</v>
          </cell>
          <cell r="K194">
            <v>966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W194">
            <v>-50557.5</v>
          </cell>
          <cell r="Z194">
            <v>-309</v>
          </cell>
          <cell r="AY194">
            <v>-10</v>
          </cell>
          <cell r="AZ194">
            <v>-59050.5</v>
          </cell>
        </row>
        <row r="195">
          <cell r="D195" t="str">
            <v xml:space="preserve">UNALLOCATED SUB TOTAL </v>
          </cell>
          <cell r="E195">
            <v>0</v>
          </cell>
          <cell r="F195">
            <v>0</v>
          </cell>
          <cell r="G195">
            <v>26677146.999600001</v>
          </cell>
          <cell r="H195">
            <v>0</v>
          </cell>
          <cell r="I195">
            <v>0</v>
          </cell>
          <cell r="J195">
            <v>0</v>
          </cell>
          <cell r="K195">
            <v>966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2971429.1500000004</v>
          </cell>
          <cell r="U195">
            <v>0</v>
          </cell>
          <cell r="V195">
            <v>0</v>
          </cell>
          <cell r="W195">
            <v>11914068</v>
          </cell>
          <cell r="X195">
            <v>0</v>
          </cell>
          <cell r="Y195">
            <v>0</v>
          </cell>
          <cell r="Z195">
            <v>31456989.5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500000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Y195">
            <v>103135504</v>
          </cell>
          <cell r="AZ195">
            <v>176656103.6496</v>
          </cell>
        </row>
        <row r="196">
          <cell r="W196">
            <v>7419076.5</v>
          </cell>
        </row>
        <row r="197">
          <cell r="D197" t="str">
            <v>TOTAL CONTRACT PROVIDERS</v>
          </cell>
          <cell r="E197">
            <v>0</v>
          </cell>
          <cell r="F197">
            <v>0</v>
          </cell>
          <cell r="G197">
            <v>183450000.81560001</v>
          </cell>
          <cell r="H197">
            <v>0</v>
          </cell>
          <cell r="I197">
            <v>6907774</v>
          </cell>
          <cell r="K197">
            <v>7759766</v>
          </cell>
          <cell r="L197">
            <v>7396831</v>
          </cell>
          <cell r="M197">
            <v>113185987.31600001</v>
          </cell>
          <cell r="N197">
            <v>2198552</v>
          </cell>
          <cell r="O197">
            <v>472000</v>
          </cell>
          <cell r="P197">
            <v>1248897</v>
          </cell>
          <cell r="Q197">
            <v>0</v>
          </cell>
          <cell r="R197">
            <v>1272557</v>
          </cell>
          <cell r="S197">
            <v>5256449</v>
          </cell>
          <cell r="T197">
            <v>9538531.6999999993</v>
          </cell>
          <cell r="U197">
            <v>0</v>
          </cell>
          <cell r="V197">
            <v>0</v>
          </cell>
          <cell r="W197">
            <v>55693968</v>
          </cell>
          <cell r="X197">
            <v>7396831</v>
          </cell>
          <cell r="Y197">
            <v>91201</v>
          </cell>
          <cell r="Z197">
            <v>215117999.5</v>
          </cell>
          <cell r="AA197">
            <v>0</v>
          </cell>
          <cell r="AB197">
            <v>0</v>
          </cell>
          <cell r="AC197">
            <v>0</v>
          </cell>
          <cell r="AD197">
            <v>91201</v>
          </cell>
          <cell r="AE197">
            <v>0</v>
          </cell>
          <cell r="AF197">
            <v>0</v>
          </cell>
          <cell r="AG197">
            <v>102602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27000</v>
          </cell>
          <cell r="AN197">
            <v>0</v>
          </cell>
          <cell r="AO197">
            <v>0</v>
          </cell>
          <cell r="AP197">
            <v>500000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1174314</v>
          </cell>
          <cell r="AX197">
            <v>108738905</v>
          </cell>
          <cell r="AZ197">
            <v>727621367.33159995</v>
          </cell>
        </row>
        <row r="198">
          <cell r="G198">
            <v>183459140.81560001</v>
          </cell>
          <cell r="I198">
            <v>6907774</v>
          </cell>
          <cell r="K198">
            <v>7759766</v>
          </cell>
          <cell r="N198">
            <v>2198552</v>
          </cell>
          <cell r="O198">
            <v>472000</v>
          </cell>
          <cell r="P198">
            <v>1248997</v>
          </cell>
          <cell r="R198">
            <v>1272567</v>
          </cell>
          <cell r="S198">
            <v>5256449</v>
          </cell>
          <cell r="T198">
            <v>9538533.5500000007</v>
          </cell>
          <cell r="Z198">
            <v>215118000</v>
          </cell>
          <cell r="AD198">
            <v>91201</v>
          </cell>
          <cell r="AG198">
            <v>102602</v>
          </cell>
          <cell r="AW198">
            <v>1174314</v>
          </cell>
          <cell r="AY198">
            <v>108738910</v>
          </cell>
        </row>
        <row r="199">
          <cell r="D199" t="str">
            <v>OTHER COUNTY DEPARTMENT</v>
          </cell>
          <cell r="G199">
            <v>183450000</v>
          </cell>
          <cell r="Z199">
            <v>-0.5</v>
          </cell>
          <cell r="AX199">
            <v>2192068.6476000003</v>
          </cell>
          <cell r="AY199">
            <v>11871850.5</v>
          </cell>
        </row>
        <row r="200">
          <cell r="B200">
            <v>20554</v>
          </cell>
          <cell r="D200" t="str">
            <v>DHS HARBOR/UCLA MED CTR</v>
          </cell>
          <cell r="G200">
            <v>126179.43606881508</v>
          </cell>
          <cell r="W200">
            <v>1790411.427175682</v>
          </cell>
          <cell r="Z200">
            <v>148013.79532937103</v>
          </cell>
          <cell r="AZ200">
            <v>2064604.6585738682</v>
          </cell>
        </row>
        <row r="201">
          <cell r="B201">
            <v>20553</v>
          </cell>
          <cell r="D201" t="str">
            <v>DHS MLK/DREW MED CTR</v>
          </cell>
          <cell r="G201">
            <v>225723.32842615776</v>
          </cell>
          <cell r="W201">
            <v>1815900.4054111054</v>
          </cell>
          <cell r="Z201">
            <v>263344.8858589083</v>
          </cell>
          <cell r="AZ201">
            <v>2304968.6196961715</v>
          </cell>
        </row>
        <row r="202">
          <cell r="B202">
            <v>20552</v>
          </cell>
          <cell r="D202" t="str">
            <v>DHS LAC/USC MED CTR</v>
          </cell>
          <cell r="G202">
            <v>281190.42348567065</v>
          </cell>
          <cell r="W202">
            <v>1677512.4798208885</v>
          </cell>
          <cell r="Z202">
            <v>329204.92133704224</v>
          </cell>
          <cell r="AZ202">
            <v>2287907.8246436017</v>
          </cell>
        </row>
        <row r="203">
          <cell r="B203">
            <v>20555</v>
          </cell>
          <cell r="D203" t="str">
            <v>DHS - OLIVE VIEW/UCLA MC</v>
          </cell>
          <cell r="G203">
            <v>199906.8120193565</v>
          </cell>
          <cell r="W203">
            <v>1241369.6875923239</v>
          </cell>
          <cell r="Z203">
            <v>234242.39747467838</v>
          </cell>
          <cell r="AZ203">
            <v>1675518.8970863589</v>
          </cell>
        </row>
        <row r="204">
          <cell r="D204" t="str">
            <v>TOTAL OTHER COUNTY DEPARTMENT</v>
          </cell>
          <cell r="E204">
            <v>0</v>
          </cell>
          <cell r="F204">
            <v>0</v>
          </cell>
          <cell r="G204">
            <v>833000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6525194</v>
          </cell>
          <cell r="X204">
            <v>0</v>
          </cell>
          <cell r="Y204">
            <v>0</v>
          </cell>
          <cell r="Z204">
            <v>974805.99999999988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Y204">
            <v>0</v>
          </cell>
          <cell r="AZ204">
            <v>8333000</v>
          </cell>
        </row>
        <row r="206">
          <cell r="D206" t="str">
            <v>DIRECTLY OPERATED CLINICS</v>
          </cell>
        </row>
        <row r="208">
          <cell r="B208" t="str">
            <v>18593O</v>
          </cell>
          <cell r="C208" t="str">
            <v>MEDICAL DIRECTOR'S OFFICE</v>
          </cell>
          <cell r="D208" t="str">
            <v>TREATMENT AUTHORIZATION REQUEST (OUTPATIENT)</v>
          </cell>
          <cell r="E208">
            <v>11654363</v>
          </cell>
          <cell r="N208">
            <v>0</v>
          </cell>
          <cell r="V208">
            <v>10798000</v>
          </cell>
          <cell r="AC208">
            <v>0</v>
          </cell>
          <cell r="AZ208">
            <v>22452363</v>
          </cell>
        </row>
        <row r="209">
          <cell r="B209" t="str">
            <v>18593I</v>
          </cell>
          <cell r="C209" t="str">
            <v>MEDICAL DIRECTOR'S OFFICE</v>
          </cell>
          <cell r="D209" t="str">
            <v>TREATMENT AUTHORIZATION REQUEST (INTPATIENT)</v>
          </cell>
          <cell r="E209">
            <v>36200000</v>
          </cell>
          <cell r="AZ209">
            <v>36200000</v>
          </cell>
        </row>
        <row r="210">
          <cell r="B210">
            <v>20474</v>
          </cell>
          <cell r="C210" t="str">
            <v>MEDICAL DIRECTOR'S OFFICE</v>
          </cell>
          <cell r="D210" t="str">
            <v>OFFICE OF MANAGED CARE</v>
          </cell>
          <cell r="E210">
            <v>1160255</v>
          </cell>
          <cell r="AZ210">
            <v>1160255</v>
          </cell>
        </row>
        <row r="211">
          <cell r="B211">
            <v>20528</v>
          </cell>
          <cell r="C211" t="str">
            <v>MEDICAL DIRECTOR'S OFFICE</v>
          </cell>
          <cell r="D211" t="str">
            <v>OFFICE OF MEDICAL DIRECTOR</v>
          </cell>
          <cell r="M211">
            <v>0</v>
          </cell>
          <cell r="AA211">
            <v>0</v>
          </cell>
          <cell r="AD211">
            <v>67094.255996900669</v>
          </cell>
          <cell r="AZ211">
            <v>67094.255996900669</v>
          </cell>
        </row>
        <row r="212">
          <cell r="B212">
            <v>27477</v>
          </cell>
          <cell r="C212" t="str">
            <v>MEDICAL DIRECTOR'S OFFICE</v>
          </cell>
          <cell r="D212" t="str">
            <v>VALUE OPTIONS</v>
          </cell>
          <cell r="E212">
            <v>167000</v>
          </cell>
          <cell r="F212">
            <v>598000</v>
          </cell>
          <cell r="N212">
            <v>0</v>
          </cell>
          <cell r="Z212">
            <v>700000</v>
          </cell>
          <cell r="AC212">
            <v>0</v>
          </cell>
          <cell r="AZ212">
            <v>1465000</v>
          </cell>
        </row>
        <row r="213">
          <cell r="B213">
            <v>20683</v>
          </cell>
          <cell r="C213" t="str">
            <v>MEDICAL DIRECTOR'S OFFICE</v>
          </cell>
          <cell r="D213" t="str">
            <v>HIV MENTAL HEALTH TEAM</v>
          </cell>
          <cell r="G213">
            <v>0</v>
          </cell>
          <cell r="N213">
            <v>0</v>
          </cell>
          <cell r="Z213">
            <v>0</v>
          </cell>
          <cell r="AC213">
            <v>4535.8478823590631</v>
          </cell>
          <cell r="AL213">
            <v>1541.2516272667376</v>
          </cell>
          <cell r="AT213">
            <v>1160.1242735220712</v>
          </cell>
          <cell r="AZ213">
            <v>7237.2237831478724</v>
          </cell>
        </row>
        <row r="214">
          <cell r="D214" t="str">
            <v>UNALLOCATTED</v>
          </cell>
          <cell r="E214">
            <v>28825382</v>
          </cell>
          <cell r="AZ214">
            <v>28825382</v>
          </cell>
        </row>
        <row r="215">
          <cell r="D215" t="str">
            <v>Sub total:  Medical Director</v>
          </cell>
          <cell r="E215">
            <v>78007000</v>
          </cell>
          <cell r="F215">
            <v>598000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10798000</v>
          </cell>
          <cell r="W215">
            <v>0</v>
          </cell>
          <cell r="X215">
            <v>0</v>
          </cell>
          <cell r="Y215">
            <v>0</v>
          </cell>
          <cell r="Z215">
            <v>700000</v>
          </cell>
          <cell r="AA215">
            <v>0</v>
          </cell>
          <cell r="AB215">
            <v>0</v>
          </cell>
          <cell r="AC215">
            <v>4535.8478823590631</v>
          </cell>
          <cell r="AD215">
            <v>67094.255996900669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1541.2516272667376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1160.1242735220712</v>
          </cell>
          <cell r="AU215">
            <v>0</v>
          </cell>
          <cell r="AV215">
            <v>0</v>
          </cell>
          <cell r="AW215">
            <v>0</v>
          </cell>
          <cell r="AY215">
            <v>0</v>
          </cell>
          <cell r="AZ215">
            <v>90177331.479780048</v>
          </cell>
        </row>
        <row r="217">
          <cell r="B217">
            <v>18705</v>
          </cell>
          <cell r="C217" t="str">
            <v>JUVENILE JUSTICE PROGRAM</v>
          </cell>
          <cell r="D217" t="str">
            <v>MH CHILD COURT ASSESSMENT</v>
          </cell>
          <cell r="N217">
            <v>0</v>
          </cell>
          <cell r="AC217">
            <v>0</v>
          </cell>
          <cell r="AZ217">
            <v>0</v>
          </cell>
        </row>
        <row r="218">
          <cell r="B218">
            <v>18706</v>
          </cell>
          <cell r="C218" t="str">
            <v>JUVENILE JUSTICE PROGRAM</v>
          </cell>
          <cell r="D218" t="str">
            <v>CSOC - JUVENILE JUSTICE PROGRAM ADMIN</v>
          </cell>
          <cell r="N218">
            <v>0</v>
          </cell>
          <cell r="AC218">
            <v>0</v>
          </cell>
          <cell r="AZ218">
            <v>0</v>
          </cell>
        </row>
        <row r="219">
          <cell r="B219">
            <v>20441</v>
          </cell>
          <cell r="C219" t="str">
            <v>JUVENILE JUSTICE PROGRAM</v>
          </cell>
          <cell r="D219" t="str">
            <v>DOROTHY KIRBY CENTER</v>
          </cell>
          <cell r="G219">
            <v>1634783.605742886</v>
          </cell>
          <cell r="I219">
            <v>188.46676482670404</v>
          </cell>
          <cell r="M219">
            <v>525460.36416699993</v>
          </cell>
          <cell r="N219">
            <v>0</v>
          </cell>
          <cell r="S219">
            <v>357.81636513070271</v>
          </cell>
          <cell r="T219">
            <v>0</v>
          </cell>
          <cell r="W219">
            <v>54490.784654458599</v>
          </cell>
          <cell r="Z219">
            <v>1934417.7323344632</v>
          </cell>
          <cell r="AA219">
            <v>316740.00573440001</v>
          </cell>
          <cell r="AC219">
            <v>0</v>
          </cell>
          <cell r="AD219">
            <v>0</v>
          </cell>
          <cell r="AZ219">
            <v>4466438.7757631652</v>
          </cell>
        </row>
        <row r="220">
          <cell r="B220">
            <v>20442</v>
          </cell>
          <cell r="C220" t="str">
            <v>JUVENILE JUSTICE PROGRAM</v>
          </cell>
          <cell r="D220" t="str">
            <v>MH CHILD COURT ASSESSMENT</v>
          </cell>
          <cell r="I220">
            <v>287.34182068028252</v>
          </cell>
          <cell r="M220">
            <v>979822</v>
          </cell>
          <cell r="N220">
            <v>182816.70046720901</v>
          </cell>
          <cell r="S220">
            <v>545.53706548948435</v>
          </cell>
          <cell r="AC220">
            <v>0</v>
          </cell>
          <cell r="AN220">
            <v>0</v>
          </cell>
          <cell r="AZ220">
            <v>1163471.5793533789</v>
          </cell>
        </row>
        <row r="221">
          <cell r="B221">
            <v>20443</v>
          </cell>
          <cell r="C221" t="str">
            <v>JUVENILE JUSTICE PROGRAM</v>
          </cell>
          <cell r="D221" t="str">
            <v>CENTRAL JUVENILE HALL</v>
          </cell>
          <cell r="G221">
            <v>248672.82355420274</v>
          </cell>
          <cell r="I221">
            <v>23.081241038651527</v>
          </cell>
          <cell r="M221">
            <v>2067800.105435</v>
          </cell>
          <cell r="N221">
            <v>522081.67267693399</v>
          </cell>
          <cell r="S221">
            <v>43.82123171026965</v>
          </cell>
          <cell r="T221">
            <v>0</v>
          </cell>
          <cell r="W221">
            <v>9238.07422994441</v>
          </cell>
          <cell r="Z221">
            <v>294251.24997772038</v>
          </cell>
          <cell r="AA221">
            <v>48274.604390400003</v>
          </cell>
          <cell r="AC221">
            <v>0</v>
          </cell>
          <cell r="AD221">
            <v>0</v>
          </cell>
          <cell r="AZ221">
            <v>3190385.4327369505</v>
          </cell>
        </row>
        <row r="222">
          <cell r="B222">
            <v>20444</v>
          </cell>
          <cell r="C222" t="str">
            <v>JUVENILE JUSTICE PROGRAM</v>
          </cell>
          <cell r="D222" t="str">
            <v>BARRY J NIDORF JUV HALL MH UNT</v>
          </cell>
          <cell r="G222">
            <v>145463.39127030704</v>
          </cell>
          <cell r="I222">
            <v>2955.2192007335361</v>
          </cell>
          <cell r="M222">
            <v>1462777.010669</v>
          </cell>
          <cell r="N222">
            <v>245682.3670704274</v>
          </cell>
          <cell r="S222">
            <v>5610.6751423426931</v>
          </cell>
          <cell r="T222">
            <v>0</v>
          </cell>
          <cell r="W222">
            <v>130.59879430792552</v>
          </cell>
          <cell r="Z222">
            <v>172124.89927736888</v>
          </cell>
          <cell r="AA222">
            <v>27715.705907200001</v>
          </cell>
          <cell r="AC222">
            <v>0</v>
          </cell>
          <cell r="AD222">
            <v>0</v>
          </cell>
          <cell r="AZ222">
            <v>2062459.8673316874</v>
          </cell>
        </row>
        <row r="223">
          <cell r="B223">
            <v>20445</v>
          </cell>
          <cell r="C223" t="str">
            <v>JUVENILE JUSTICE PROGRAM</v>
          </cell>
          <cell r="D223" t="str">
            <v>LOS PADRINOS JUV HALL MH UNIT</v>
          </cell>
          <cell r="G223">
            <v>246030.13183185225</v>
          </cell>
          <cell r="M223">
            <v>52699.296009999998</v>
          </cell>
          <cell r="N223">
            <v>154799.25978543001</v>
          </cell>
          <cell r="T223">
            <v>0</v>
          </cell>
          <cell r="W223">
            <v>4849.8669731911868</v>
          </cell>
          <cell r="Z223">
            <v>291124.18795504665</v>
          </cell>
          <cell r="AA223">
            <v>47336.136499200002</v>
          </cell>
          <cell r="AC223">
            <v>0</v>
          </cell>
          <cell r="AD223">
            <v>0</v>
          </cell>
          <cell r="AZ223">
            <v>796838.87905472005</v>
          </cell>
        </row>
        <row r="224">
          <cell r="B224">
            <v>21564</v>
          </cell>
          <cell r="C224" t="str">
            <v>JUVENILE JUSTICE PROGRAM</v>
          </cell>
          <cell r="D224" t="str">
            <v>ICAT</v>
          </cell>
          <cell r="G224">
            <v>581898.30425589217</v>
          </cell>
          <cell r="I224">
            <v>9198.44963855686</v>
          </cell>
          <cell r="M224">
            <v>244372</v>
          </cell>
          <cell r="S224">
            <v>17463.852672022345</v>
          </cell>
          <cell r="T224">
            <v>9625.7009728185621</v>
          </cell>
          <cell r="W224">
            <v>25768.642949872159</v>
          </cell>
          <cell r="Z224">
            <v>688552.53638076258</v>
          </cell>
          <cell r="AA224">
            <v>113727.45103360001</v>
          </cell>
          <cell r="AD224">
            <v>95833.100882809784</v>
          </cell>
          <cell r="AZ224">
            <v>1786440.0387863345</v>
          </cell>
        </row>
        <row r="225">
          <cell r="B225">
            <v>23019</v>
          </cell>
          <cell r="C225" t="str">
            <v>JUVENILE JUSTICE PROGRAM</v>
          </cell>
          <cell r="D225" t="str">
            <v xml:space="preserve">START </v>
          </cell>
          <cell r="G225">
            <v>463257.604401469</v>
          </cell>
          <cell r="I225">
            <v>15573.615839086697</v>
          </cell>
          <cell r="M225">
            <v>105004</v>
          </cell>
          <cell r="S225">
            <v>29567.518796260298</v>
          </cell>
          <cell r="T225">
            <v>0</v>
          </cell>
          <cell r="W225">
            <v>0</v>
          </cell>
          <cell r="Z225">
            <v>548166.57167647616</v>
          </cell>
          <cell r="AA225">
            <v>88225.026969600003</v>
          </cell>
          <cell r="AD225">
            <v>15755.909911073326</v>
          </cell>
          <cell r="AZ225">
            <v>1265550.2475939654</v>
          </cell>
        </row>
        <row r="226">
          <cell r="B226">
            <v>27254</v>
          </cell>
          <cell r="C226" t="str">
            <v>JUVENILE JUSTICE PROGRAM</v>
          </cell>
          <cell r="D226" t="str">
            <v>JUVENILE MH EXPANSION PROGRAM</v>
          </cell>
          <cell r="G226">
            <v>372894.26127395051</v>
          </cell>
          <cell r="I226">
            <v>3248.474488523475</v>
          </cell>
          <cell r="M226">
            <v>110642.13026800001</v>
          </cell>
          <cell r="N226">
            <v>0</v>
          </cell>
          <cell r="S226">
            <v>6167.4393083156119</v>
          </cell>
          <cell r="T226">
            <v>0</v>
          </cell>
          <cell r="W226">
            <v>2846.5095542698259</v>
          </cell>
          <cell r="Z226">
            <v>441240.82769125799</v>
          </cell>
          <cell r="AA226">
            <v>71298.083123200006</v>
          </cell>
          <cell r="AC226">
            <v>0</v>
          </cell>
          <cell r="AD226">
            <v>35405.559172648318</v>
          </cell>
          <cell r="AZ226">
            <v>1043743.2848801658</v>
          </cell>
        </row>
        <row r="227">
          <cell r="B227">
            <v>28002</v>
          </cell>
          <cell r="C227" t="str">
            <v>JUVENILE JUSTICE PROGRAM</v>
          </cell>
          <cell r="D227" t="str">
            <v>COUNTYWIDE SPEC FOSTER CARE/CHILD WELFARE - ADMIN</v>
          </cell>
          <cell r="G227">
            <v>0</v>
          </cell>
          <cell r="M227">
            <v>0</v>
          </cell>
          <cell r="N227">
            <v>0</v>
          </cell>
          <cell r="T227">
            <v>0</v>
          </cell>
          <cell r="W227">
            <v>0</v>
          </cell>
          <cell r="Z227">
            <v>0</v>
          </cell>
          <cell r="AA227">
            <v>0</v>
          </cell>
          <cell r="AC227">
            <v>0</v>
          </cell>
          <cell r="AD227">
            <v>9842.34931071963</v>
          </cell>
          <cell r="AZ227">
            <v>9842.34931071963</v>
          </cell>
        </row>
        <row r="228">
          <cell r="D228" t="str">
            <v>Sub total:  Juvenile Justice</v>
          </cell>
          <cell r="E228">
            <v>0</v>
          </cell>
          <cell r="F228">
            <v>0</v>
          </cell>
          <cell r="G228">
            <v>3693000.1223305594</v>
          </cell>
          <cell r="H228">
            <v>0</v>
          </cell>
          <cell r="I228">
            <v>31474.648993446208</v>
          </cell>
          <cell r="J228">
            <v>0</v>
          </cell>
          <cell r="K228">
            <v>0</v>
          </cell>
          <cell r="L228">
            <v>0</v>
          </cell>
          <cell r="M228">
            <v>5548576.9065490002</v>
          </cell>
          <cell r="N228">
            <v>1105380.0000000005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59756.660581271404</v>
          </cell>
          <cell r="T228">
            <v>9625.7009728185621</v>
          </cell>
          <cell r="U228">
            <v>0</v>
          </cell>
          <cell r="V228">
            <v>0</v>
          </cell>
          <cell r="W228">
            <v>97324.4771560441</v>
          </cell>
          <cell r="X228">
            <v>0</v>
          </cell>
          <cell r="Y228">
            <v>0</v>
          </cell>
          <cell r="Z228">
            <v>4369878.0052930955</v>
          </cell>
          <cell r="AA228">
            <v>713317.01365760004</v>
          </cell>
          <cell r="AB228">
            <v>0</v>
          </cell>
          <cell r="AC228">
            <v>0</v>
          </cell>
          <cell r="AD228">
            <v>156836.91927725106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Y228">
            <v>0</v>
          </cell>
          <cell r="AZ228">
            <v>15785170.454811087</v>
          </cell>
        </row>
        <row r="230">
          <cell r="B230">
            <v>20551</v>
          </cell>
          <cell r="C230" t="str">
            <v>PUBLIC GUARDIAN</v>
          </cell>
          <cell r="D230" t="str">
            <v>DEPUTY DIRECTOR - PUBLIC GUARDIAN</v>
          </cell>
          <cell r="M230">
            <v>235211</v>
          </cell>
          <cell r="AZ230">
            <v>235211</v>
          </cell>
        </row>
        <row r="231">
          <cell r="B231">
            <v>20651</v>
          </cell>
          <cell r="C231" t="str">
            <v>PUBLIC GUARDIAN</v>
          </cell>
          <cell r="D231" t="str">
            <v>PUBLIC GUARDIAN - LPS</v>
          </cell>
          <cell r="M231">
            <v>7924495</v>
          </cell>
          <cell r="N231">
            <v>0</v>
          </cell>
          <cell r="U231">
            <v>832960</v>
          </cell>
          <cell r="AB231" t="str">
            <v xml:space="preserve"> </v>
          </cell>
          <cell r="AC231">
            <v>0</v>
          </cell>
          <cell r="AD231">
            <v>767600</v>
          </cell>
          <cell r="AE231">
            <v>280000</v>
          </cell>
          <cell r="AP231">
            <v>196300</v>
          </cell>
          <cell r="AZ231">
            <v>10001355</v>
          </cell>
        </row>
        <row r="232">
          <cell r="B232">
            <v>20652</v>
          </cell>
          <cell r="C232" t="str">
            <v>PUBLIC GUARDIAN</v>
          </cell>
          <cell r="D232" t="str">
            <v>PUBLIC GUARDIAN - PROBATE (NCC)</v>
          </cell>
          <cell r="M232">
            <v>298407</v>
          </cell>
          <cell r="N232">
            <v>0</v>
          </cell>
          <cell r="U232">
            <v>263040</v>
          </cell>
          <cell r="AC232">
            <v>0</v>
          </cell>
          <cell r="AD232">
            <v>242400</v>
          </cell>
          <cell r="AF232">
            <v>715000</v>
          </cell>
          <cell r="AI232">
            <v>94235</v>
          </cell>
          <cell r="AJ232">
            <v>15000</v>
          </cell>
          <cell r="AP232">
            <v>105700</v>
          </cell>
          <cell r="AU232">
            <v>131000</v>
          </cell>
          <cell r="AZ232">
            <v>1864782</v>
          </cell>
        </row>
        <row r="233">
          <cell r="D233" t="str">
            <v>Sub total:  Public Guardian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8458113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1096000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1010000</v>
          </cell>
          <cell r="AE233">
            <v>280000</v>
          </cell>
          <cell r="AF233">
            <v>715000</v>
          </cell>
          <cell r="AG233">
            <v>0</v>
          </cell>
          <cell r="AH233">
            <v>0</v>
          </cell>
          <cell r="AI233">
            <v>94235</v>
          </cell>
          <cell r="AJ233">
            <v>15000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302000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131000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12101348</v>
          </cell>
        </row>
        <row r="235">
          <cell r="B235">
            <v>20591</v>
          </cell>
          <cell r="C235" t="str">
            <v>PROGRAM SUPPORT BUREAU</v>
          </cell>
          <cell r="D235" t="str">
            <v>TRAINING DIVISION</v>
          </cell>
          <cell r="E235" t="str">
            <v xml:space="preserve"> </v>
          </cell>
          <cell r="N235">
            <v>60000</v>
          </cell>
          <cell r="R235">
            <v>8000</v>
          </cell>
          <cell r="AC235">
            <v>0</v>
          </cell>
          <cell r="AR235">
            <v>3000</v>
          </cell>
          <cell r="AY235">
            <v>0</v>
          </cell>
          <cell r="AZ235">
            <v>71000</v>
          </cell>
        </row>
        <row r="236">
          <cell r="B236">
            <v>20560</v>
          </cell>
          <cell r="C236" t="str">
            <v>PROGRAM SUPPORT BUREAU</v>
          </cell>
          <cell r="D236" t="str">
            <v>STANDARDS AND RECORDS</v>
          </cell>
          <cell r="M236">
            <v>0</v>
          </cell>
          <cell r="Y236">
            <v>0</v>
          </cell>
          <cell r="AA236">
            <v>0</v>
          </cell>
          <cell r="AD236">
            <v>165778.58154959843</v>
          </cell>
          <cell r="AZ236">
            <v>165778.58154959843</v>
          </cell>
        </row>
        <row r="237">
          <cell r="D237" t="str">
            <v>Sub total:  Program Support Bureau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60000</v>
          </cell>
          <cell r="O237">
            <v>0</v>
          </cell>
          <cell r="P237">
            <v>0</v>
          </cell>
          <cell r="Q237">
            <v>0</v>
          </cell>
          <cell r="R237">
            <v>8000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165778.58154959843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3000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236778.58154959843</v>
          </cell>
        </row>
        <row r="239">
          <cell r="B239">
            <v>32011</v>
          </cell>
          <cell r="C239" t="str">
            <v>MENTAL HEALTH SERVIES ACT</v>
          </cell>
          <cell r="D239" t="str">
            <v>Children Full Service Partnership-FSP</v>
          </cell>
          <cell r="G239">
            <v>914205.5</v>
          </cell>
          <cell r="W239">
            <v>0</v>
          </cell>
          <cell r="Z239">
            <v>1071000.0702226572</v>
          </cell>
          <cell r="AX239">
            <v>156794.5702226572</v>
          </cell>
          <cell r="AY239">
            <v>4672103.4493516013</v>
          </cell>
          <cell r="AZ239">
            <v>6657309.0195742585</v>
          </cell>
        </row>
        <row r="240">
          <cell r="B240">
            <v>32012</v>
          </cell>
          <cell r="C240" t="str">
            <v>MENTAL HEALTH SERVIES ACT</v>
          </cell>
          <cell r="D240" t="str">
            <v>Family Support Services-FSP</v>
          </cell>
          <cell r="G240">
            <v>0</v>
          </cell>
          <cell r="W240">
            <v>0</v>
          </cell>
          <cell r="Z240">
            <v>0</v>
          </cell>
          <cell r="AX240">
            <v>0</v>
          </cell>
          <cell r="AY240">
            <v>138053</v>
          </cell>
          <cell r="AZ240">
            <v>138053</v>
          </cell>
        </row>
        <row r="241">
          <cell r="B241">
            <v>32013</v>
          </cell>
          <cell r="C241" t="str">
            <v>MENTAL HEALTH SERVIES ACT</v>
          </cell>
          <cell r="D241" t="str">
            <v>Integrated Mental Health/Co-Occurring Disorder-FSP</v>
          </cell>
          <cell r="G241">
            <v>283228</v>
          </cell>
          <cell r="W241">
            <v>0</v>
          </cell>
          <cell r="Z241">
            <v>331804.50207976508</v>
          </cell>
          <cell r="AX241">
            <v>48576.502079765109</v>
          </cell>
          <cell r="AY241">
            <v>335419.50207976508</v>
          </cell>
          <cell r="AZ241">
            <v>950452.00415953016</v>
          </cell>
        </row>
        <row r="242">
          <cell r="B242">
            <v>32015</v>
          </cell>
          <cell r="C242" t="str">
            <v>MENTAL HEALTH SERVIES ACT</v>
          </cell>
          <cell r="D242" t="str">
            <v>Respite Care-FSP</v>
          </cell>
          <cell r="G242">
            <v>0</v>
          </cell>
          <cell r="W242">
            <v>0</v>
          </cell>
          <cell r="Z242">
            <v>0</v>
          </cell>
          <cell r="AX242">
            <v>0</v>
          </cell>
          <cell r="AY242">
            <v>28932</v>
          </cell>
          <cell r="AZ242">
            <v>28932</v>
          </cell>
        </row>
        <row r="243">
          <cell r="B243">
            <v>32014</v>
          </cell>
          <cell r="C243" t="str">
            <v>MENTAL HEALTH SERVIES ACT</v>
          </cell>
          <cell r="D243" t="str">
            <v>Integrated Mental Health/Co-Occurring Disorder-SD</v>
          </cell>
          <cell r="G243">
            <v>0</v>
          </cell>
          <cell r="W243">
            <v>0</v>
          </cell>
          <cell r="Z243">
            <v>0</v>
          </cell>
          <cell r="AX243">
            <v>0</v>
          </cell>
          <cell r="AY243">
            <v>5325</v>
          </cell>
          <cell r="AZ243">
            <v>5325</v>
          </cell>
        </row>
        <row r="244">
          <cell r="B244">
            <v>32021</v>
          </cell>
          <cell r="C244" t="str">
            <v>MENTAL HEALTH SERVIES ACT</v>
          </cell>
          <cell r="D244" t="str">
            <v>TAY Full Service Partnership-FSP</v>
          </cell>
          <cell r="G244">
            <v>262910</v>
          </cell>
          <cell r="W244">
            <v>133000</v>
          </cell>
          <cell r="Z244">
            <v>308000</v>
          </cell>
          <cell r="AX244">
            <v>178090</v>
          </cell>
          <cell r="AY244">
            <v>898860.24467824772</v>
          </cell>
          <cell r="AZ244">
            <v>1602770.2446782477</v>
          </cell>
        </row>
        <row r="245">
          <cell r="B245">
            <v>32022</v>
          </cell>
          <cell r="C245" t="str">
            <v>MENTAL HEALTH SERVIES ACT</v>
          </cell>
          <cell r="D245" t="str">
            <v>Drop-in Center-FSP</v>
          </cell>
          <cell r="G245">
            <v>0</v>
          </cell>
          <cell r="W245">
            <v>0</v>
          </cell>
          <cell r="Z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32024</v>
          </cell>
          <cell r="C246" t="str">
            <v>MENTAL HEALTH SERVIES ACT</v>
          </cell>
          <cell r="D246" t="str">
            <v>Transitional Aged Youth Housing Service-FSP</v>
          </cell>
          <cell r="G246">
            <v>0</v>
          </cell>
          <cell r="W246">
            <v>0</v>
          </cell>
          <cell r="Z246">
            <v>0</v>
          </cell>
          <cell r="AX246">
            <v>0</v>
          </cell>
          <cell r="AY246">
            <v>652725</v>
          </cell>
          <cell r="AZ246">
            <v>652725</v>
          </cell>
        </row>
        <row r="247">
          <cell r="B247">
            <v>32026</v>
          </cell>
          <cell r="C247" t="str">
            <v>MENTAL HEALTH SERVIES ACT</v>
          </cell>
          <cell r="D247" t="str">
            <v>Probation Camps-FSP</v>
          </cell>
          <cell r="G247">
            <v>0</v>
          </cell>
          <cell r="W247">
            <v>0</v>
          </cell>
          <cell r="Z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32031</v>
          </cell>
          <cell r="C248" t="str">
            <v>MENTAL HEALTH SERVIES ACT</v>
          </cell>
          <cell r="D248" t="str">
            <v>Adults Full Service Partnership-FSP</v>
          </cell>
          <cell r="G248">
            <v>0</v>
          </cell>
          <cell r="W248">
            <v>3423900</v>
          </cell>
          <cell r="Z248">
            <v>0</v>
          </cell>
          <cell r="AX248">
            <v>3423900</v>
          </cell>
          <cell r="AY248">
            <v>9959877</v>
          </cell>
          <cell r="AZ248">
            <v>13383777</v>
          </cell>
        </row>
        <row r="249">
          <cell r="B249">
            <v>32032</v>
          </cell>
          <cell r="C249" t="str">
            <v>MENTAL HEALTH SERVIES ACT</v>
          </cell>
          <cell r="D249" t="str">
            <v>Wellness/Client Run Center-FSP</v>
          </cell>
          <cell r="G249">
            <v>0</v>
          </cell>
          <cell r="W249">
            <v>2258556</v>
          </cell>
          <cell r="Z249">
            <v>0</v>
          </cell>
          <cell r="AX249">
            <v>2258556</v>
          </cell>
          <cell r="AY249">
            <v>9807209</v>
          </cell>
          <cell r="AZ249">
            <v>12065765</v>
          </cell>
        </row>
        <row r="250">
          <cell r="B250">
            <v>32034</v>
          </cell>
          <cell r="C250" t="str">
            <v>MENTAL HEALTH SERVIES ACT</v>
          </cell>
          <cell r="D250" t="str">
            <v>IMD Step-Down Facilities-FSP</v>
          </cell>
          <cell r="G250">
            <v>0</v>
          </cell>
          <cell r="W250">
            <v>0</v>
          </cell>
          <cell r="Z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32036</v>
          </cell>
          <cell r="C251" t="str">
            <v>MENTAL HEALTH SERVIES ACT</v>
          </cell>
          <cell r="D251" t="str">
            <v>Adults Housing Service-FSP</v>
          </cell>
          <cell r="G251">
            <v>0</v>
          </cell>
          <cell r="W251">
            <v>0</v>
          </cell>
          <cell r="Z251">
            <v>0</v>
          </cell>
          <cell r="AX251">
            <v>0</v>
          </cell>
          <cell r="AY251">
            <v>1305141</v>
          </cell>
          <cell r="AZ251">
            <v>1305141</v>
          </cell>
        </row>
        <row r="252">
          <cell r="B252">
            <v>32038</v>
          </cell>
          <cell r="C252" t="str">
            <v>MENTAL HEALTH SERVIES ACT</v>
          </cell>
          <cell r="D252" t="str">
            <v>Jail Transition &amp; Linkage Service-FSP</v>
          </cell>
          <cell r="G252">
            <v>0</v>
          </cell>
          <cell r="W252">
            <v>0</v>
          </cell>
          <cell r="Z252">
            <v>0</v>
          </cell>
          <cell r="AX252">
            <v>0</v>
          </cell>
          <cell r="AY252">
            <v>1466551</v>
          </cell>
          <cell r="AZ252">
            <v>1466551</v>
          </cell>
        </row>
        <row r="253">
          <cell r="B253">
            <v>32041</v>
          </cell>
          <cell r="C253" t="str">
            <v>MENTAL HEALTH SERVIES ACT</v>
          </cell>
          <cell r="D253" t="str">
            <v>Older Adults Full service Partnership-FSP</v>
          </cell>
          <cell r="G253">
            <v>0</v>
          </cell>
          <cell r="W253">
            <v>12000</v>
          </cell>
          <cell r="Z253">
            <v>0</v>
          </cell>
          <cell r="AX253">
            <v>12000</v>
          </cell>
          <cell r="AY253">
            <v>34584</v>
          </cell>
          <cell r="AZ253">
            <v>46584</v>
          </cell>
        </row>
        <row r="254">
          <cell r="B254">
            <v>32042</v>
          </cell>
          <cell r="C254" t="str">
            <v>MENTAL HEALTH SERVIES ACT</v>
          </cell>
          <cell r="D254" t="str">
            <v>Transformation Design Team-SD</v>
          </cell>
          <cell r="G254">
            <v>0</v>
          </cell>
          <cell r="W254">
            <v>0</v>
          </cell>
          <cell r="Z254">
            <v>0</v>
          </cell>
          <cell r="AX254">
            <v>0</v>
          </cell>
          <cell r="AY254">
            <v>393196</v>
          </cell>
          <cell r="AZ254">
            <v>393196</v>
          </cell>
        </row>
        <row r="255">
          <cell r="B255">
            <v>32043</v>
          </cell>
          <cell r="C255" t="str">
            <v>MENTAL HEALTH SERVIES ACT</v>
          </cell>
          <cell r="D255" t="str">
            <v>Field-Capable Clinical Services-FSP</v>
          </cell>
          <cell r="G255">
            <v>0</v>
          </cell>
          <cell r="W255">
            <v>1280138</v>
          </cell>
          <cell r="Z255">
            <v>0</v>
          </cell>
          <cell r="AX255">
            <v>1280138</v>
          </cell>
          <cell r="AY255">
            <v>2634195</v>
          </cell>
          <cell r="AZ255">
            <v>3914333</v>
          </cell>
        </row>
        <row r="256">
          <cell r="B256">
            <v>32045</v>
          </cell>
          <cell r="C256" t="str">
            <v>MENTAL HEALTH SERVIES ACT</v>
          </cell>
          <cell r="D256" t="str">
            <v>Service Extenders-FSP</v>
          </cell>
          <cell r="G256">
            <v>0</v>
          </cell>
          <cell r="W256">
            <v>0</v>
          </cell>
          <cell r="Z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32047</v>
          </cell>
          <cell r="C257" t="str">
            <v>MENTAL HEALTH SERVIES ACT</v>
          </cell>
          <cell r="D257" t="str">
            <v>Training-FSP</v>
          </cell>
          <cell r="G257">
            <v>0</v>
          </cell>
          <cell r="W257">
            <v>0</v>
          </cell>
          <cell r="Z257">
            <v>0</v>
          </cell>
          <cell r="AX257">
            <v>0</v>
          </cell>
          <cell r="AY257">
            <v>198858</v>
          </cell>
          <cell r="AZ257">
            <v>198858</v>
          </cell>
        </row>
        <row r="258">
          <cell r="B258">
            <v>32051</v>
          </cell>
          <cell r="C258" t="str">
            <v>MENTAL HEALTH SERVIES ACT</v>
          </cell>
          <cell r="D258" t="str">
            <v>Service Area Navigator Teams-SD</v>
          </cell>
          <cell r="G258">
            <v>0</v>
          </cell>
          <cell r="W258">
            <v>0</v>
          </cell>
          <cell r="Z258">
            <v>0</v>
          </cell>
          <cell r="AX258">
            <v>0</v>
          </cell>
          <cell r="AY258">
            <v>5923664</v>
          </cell>
          <cell r="AZ258">
            <v>5923664</v>
          </cell>
        </row>
        <row r="259">
          <cell r="B259">
            <v>32078</v>
          </cell>
          <cell r="C259" t="str">
            <v>MENTAL HEALTH SERVIES ACT</v>
          </cell>
          <cell r="D259" t="str">
            <v>Alternative Crisis Services-UCC/Olive View-FSP</v>
          </cell>
          <cell r="G259">
            <v>85360</v>
          </cell>
          <cell r="W259">
            <v>734081</v>
          </cell>
          <cell r="Z259">
            <v>0</v>
          </cell>
          <cell r="AX259">
            <v>748721</v>
          </cell>
          <cell r="AY259">
            <v>2605642</v>
          </cell>
          <cell r="AZ259">
            <v>3425083</v>
          </cell>
        </row>
        <row r="260">
          <cell r="B260">
            <v>32079</v>
          </cell>
          <cell r="C260" t="str">
            <v>MENTAL HEALTH SERVIES ACT</v>
          </cell>
          <cell r="D260" t="str">
            <v>Alternative Crisis Services-UCC/AFH-FSP</v>
          </cell>
          <cell r="G260">
            <v>85360</v>
          </cell>
          <cell r="W260">
            <v>830554</v>
          </cell>
          <cell r="Z260">
            <v>0</v>
          </cell>
          <cell r="AX260">
            <v>845194</v>
          </cell>
          <cell r="AY260">
            <v>5171268</v>
          </cell>
          <cell r="AZ260">
            <v>6087182</v>
          </cell>
        </row>
        <row r="261">
          <cell r="B261">
            <v>32054</v>
          </cell>
          <cell r="C261" t="str">
            <v>MENTAL HEALTH SERVIES ACT</v>
          </cell>
          <cell r="D261" t="str">
            <v>Planning, Outreach, Engagement-O&amp;E</v>
          </cell>
          <cell r="G261">
            <v>0</v>
          </cell>
          <cell r="W261">
            <v>120000</v>
          </cell>
          <cell r="Z261">
            <v>0</v>
          </cell>
          <cell r="AX261">
            <v>120000</v>
          </cell>
          <cell r="AY261">
            <v>5340364</v>
          </cell>
          <cell r="AZ261">
            <v>5460364</v>
          </cell>
        </row>
        <row r="262">
          <cell r="B262">
            <v>32055</v>
          </cell>
          <cell r="C262" t="str">
            <v>MENTAL HEALTH SERVIES ACT</v>
          </cell>
          <cell r="D262" t="str">
            <v>Administration-FSP</v>
          </cell>
          <cell r="G262">
            <v>0</v>
          </cell>
          <cell r="W262">
            <v>0</v>
          </cell>
          <cell r="Z262">
            <v>0</v>
          </cell>
          <cell r="AD262">
            <v>630424</v>
          </cell>
          <cell r="AX262">
            <v>0</v>
          </cell>
          <cell r="AY262">
            <v>5442234</v>
          </cell>
          <cell r="AZ262">
            <v>6072658</v>
          </cell>
        </row>
        <row r="263">
          <cell r="B263">
            <v>32080</v>
          </cell>
          <cell r="C263" t="str">
            <v>MENTAL HEALTH SERVIES ACT</v>
          </cell>
          <cell r="D263" t="str">
            <v>Alternative Crisis Services-UCC/Westside-FSP</v>
          </cell>
          <cell r="G263">
            <v>10297</v>
          </cell>
          <cell r="W263">
            <v>241255</v>
          </cell>
          <cell r="Z263">
            <v>0</v>
          </cell>
          <cell r="AX263">
            <v>243020.63763151455</v>
          </cell>
          <cell r="AY263">
            <v>218848.63763151455</v>
          </cell>
          <cell r="AZ263">
            <v>470400.63763151458</v>
          </cell>
        </row>
        <row r="264">
          <cell r="B264">
            <v>32081</v>
          </cell>
          <cell r="C264" t="str">
            <v>MENTAL HEALTH SERVIES ACT</v>
          </cell>
          <cell r="D264" t="str">
            <v>Alternative Crisis Services-CW Resource Management-FSP</v>
          </cell>
          <cell r="G264">
            <v>0</v>
          </cell>
          <cell r="W264">
            <v>0</v>
          </cell>
          <cell r="Z264">
            <v>0</v>
          </cell>
          <cell r="AX264">
            <v>0</v>
          </cell>
          <cell r="AY264">
            <v>272710</v>
          </cell>
          <cell r="AZ264">
            <v>272710</v>
          </cell>
        </row>
        <row r="265">
          <cell r="B265">
            <v>32082</v>
          </cell>
          <cell r="C265" t="str">
            <v>MENTAL HEALTH SERVIES ACT</v>
          </cell>
          <cell r="D265" t="str">
            <v>Alternative Crisis Services- Residential &amp; Bridging-FSP</v>
          </cell>
          <cell r="G265">
            <v>0</v>
          </cell>
          <cell r="W265">
            <v>0</v>
          </cell>
          <cell r="Z265">
            <v>0</v>
          </cell>
          <cell r="AX265">
            <v>0</v>
          </cell>
          <cell r="AY265">
            <v>1234440</v>
          </cell>
          <cell r="AZ265">
            <v>1234440</v>
          </cell>
        </row>
        <row r="266">
          <cell r="B266">
            <v>32083</v>
          </cell>
          <cell r="C266" t="str">
            <v>MENTAL HEALTH SERVIES ACT</v>
          </cell>
          <cell r="D266" t="str">
            <v>Alternative Crisis Services-Enriched Services-FSP</v>
          </cell>
          <cell r="G266">
            <v>0</v>
          </cell>
          <cell r="W266">
            <v>0</v>
          </cell>
          <cell r="Z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32061</v>
          </cell>
          <cell r="C267" t="str">
            <v>MENTAL HEALTH SERVIES ACT</v>
          </cell>
          <cell r="D267" t="str">
            <v>Housing Trust Fund-FSP</v>
          </cell>
          <cell r="Z267">
            <v>0</v>
          </cell>
          <cell r="AX267">
            <v>0</v>
          </cell>
          <cell r="AY267">
            <v>42701</v>
          </cell>
          <cell r="AZ267">
            <v>42701</v>
          </cell>
        </row>
        <row r="268">
          <cell r="B268">
            <v>32084</v>
          </cell>
          <cell r="C268" t="str">
            <v>MENTAL HEALTH SERVIES ACT</v>
          </cell>
          <cell r="D268" t="str">
            <v>Infrastructure-Intergrated Behavioral Health Information System Project</v>
          </cell>
          <cell r="Z268">
            <v>0</v>
          </cell>
          <cell r="AX268">
            <v>0</v>
          </cell>
          <cell r="AY268">
            <v>799169</v>
          </cell>
          <cell r="AZ268">
            <v>799169</v>
          </cell>
        </row>
        <row r="269">
          <cell r="B269">
            <v>32065</v>
          </cell>
          <cell r="C269" t="str">
            <v>MENTAL HEALTH SERVIES ACT</v>
          </cell>
          <cell r="D269" t="str">
            <v>Outreach &amp; Engagement-FSP</v>
          </cell>
          <cell r="AY269">
            <v>0</v>
          </cell>
          <cell r="AZ269">
            <v>0</v>
          </cell>
        </row>
        <row r="270">
          <cell r="B270">
            <v>32067</v>
          </cell>
          <cell r="C270" t="str">
            <v>MENTAL HEALTH SERVIES ACT</v>
          </cell>
          <cell r="D270" t="str">
            <v>Planning &amp; Outcomes-FSP</v>
          </cell>
          <cell r="AY270">
            <v>298118</v>
          </cell>
          <cell r="AZ270">
            <v>298118</v>
          </cell>
        </row>
        <row r="271">
          <cell r="B271">
            <v>32069</v>
          </cell>
          <cell r="C271" t="str">
            <v>MENTAL HEALTH SERVIES ACT</v>
          </cell>
          <cell r="D271" t="str">
            <v>Infrastructure-FSP</v>
          </cell>
          <cell r="AY271">
            <v>0</v>
          </cell>
          <cell r="AZ271">
            <v>0</v>
          </cell>
        </row>
        <row r="272">
          <cell r="B272">
            <v>32073</v>
          </cell>
          <cell r="C272" t="str">
            <v>MENTAL HEALTH SERVIES ACT</v>
          </cell>
          <cell r="D272" t="str">
            <v>Start Up Costs (Staff &amp; AB 2034)</v>
          </cell>
          <cell r="AY272">
            <v>0</v>
          </cell>
          <cell r="AZ272">
            <v>0</v>
          </cell>
        </row>
        <row r="273">
          <cell r="B273">
            <v>32074</v>
          </cell>
          <cell r="C273" t="str">
            <v>MENTAL HEALTH SERVIES ACT</v>
          </cell>
          <cell r="D273" t="str">
            <v>Directly Operated Clinics</v>
          </cell>
          <cell r="AY273">
            <v>0</v>
          </cell>
          <cell r="AZ273">
            <v>0</v>
          </cell>
        </row>
        <row r="274">
          <cell r="B274">
            <v>32075</v>
          </cell>
          <cell r="C274" t="str">
            <v>MENTAL HEALTH SERVIES ACT</v>
          </cell>
          <cell r="D274" t="str">
            <v>Provider Clinics Infrastructure</v>
          </cell>
          <cell r="AY274">
            <v>0</v>
          </cell>
          <cell r="AZ274">
            <v>0</v>
          </cell>
        </row>
        <row r="275">
          <cell r="B275">
            <v>32076</v>
          </cell>
          <cell r="C275" t="str">
            <v>MENTAL HEALTH SERVIES ACT</v>
          </cell>
          <cell r="D275" t="str">
            <v>Skid Row  Wellness Center</v>
          </cell>
          <cell r="AY275">
            <v>0</v>
          </cell>
          <cell r="AZ275">
            <v>0</v>
          </cell>
        </row>
        <row r="276">
          <cell r="B276">
            <v>32077</v>
          </cell>
          <cell r="C276" t="str">
            <v>MENTAL HEALTH SERVIES ACT</v>
          </cell>
          <cell r="D276" t="str">
            <v>Urgent Care Centers</v>
          </cell>
          <cell r="AY276">
            <v>0</v>
          </cell>
          <cell r="AZ276">
            <v>0</v>
          </cell>
        </row>
        <row r="277">
          <cell r="D277" t="str">
            <v>Sub total:  MHSA</v>
          </cell>
          <cell r="E277">
            <v>0</v>
          </cell>
          <cell r="F277">
            <v>0</v>
          </cell>
          <cell r="G277">
            <v>1641360.5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9033484</v>
          </cell>
          <cell r="X277">
            <v>0</v>
          </cell>
          <cell r="Y277">
            <v>0</v>
          </cell>
          <cell r="Z277">
            <v>1710804.5723024223</v>
          </cell>
          <cell r="AA277">
            <v>0</v>
          </cell>
          <cell r="AB277">
            <v>0</v>
          </cell>
          <cell r="AC277">
            <v>0</v>
          </cell>
          <cell r="AD277">
            <v>630424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9314990.7099339385</v>
          </cell>
          <cell r="AY277">
            <v>59880187.833741128</v>
          </cell>
          <cell r="AZ277">
            <v>72896260.906043559</v>
          </cell>
        </row>
        <row r="281">
          <cell r="B281">
            <v>18598</v>
          </cell>
          <cell r="C281" t="str">
            <v>SA 6 &amp; 8</v>
          </cell>
          <cell r="D281" t="str">
            <v>CASE MANAGEMENT - FFS</v>
          </cell>
          <cell r="E281">
            <v>0</v>
          </cell>
          <cell r="K281">
            <v>0</v>
          </cell>
          <cell r="L281">
            <v>0</v>
          </cell>
          <cell r="N281">
            <v>0</v>
          </cell>
          <cell r="Q281">
            <v>0</v>
          </cell>
          <cell r="R281">
            <v>0</v>
          </cell>
          <cell r="S281">
            <v>0</v>
          </cell>
          <cell r="X281">
            <v>0</v>
          </cell>
          <cell r="Y281">
            <v>0</v>
          </cell>
          <cell r="AC281">
            <v>0</v>
          </cell>
          <cell r="AG281">
            <v>0</v>
          </cell>
          <cell r="AL281">
            <v>0</v>
          </cell>
          <cell r="AW281">
            <v>0</v>
          </cell>
          <cell r="AY281">
            <v>0</v>
          </cell>
          <cell r="AZ281">
            <v>0</v>
          </cell>
        </row>
        <row r="282">
          <cell r="B282">
            <v>18634</v>
          </cell>
          <cell r="C282" t="str">
            <v>SA 6 &amp; 8</v>
          </cell>
          <cell r="D282" t="str">
            <v>AUGUSTUS F. HAWKINS (LATINO MHC)</v>
          </cell>
          <cell r="K282">
            <v>0</v>
          </cell>
          <cell r="L282">
            <v>0</v>
          </cell>
          <cell r="N282">
            <v>0</v>
          </cell>
          <cell r="Q282">
            <v>0</v>
          </cell>
          <cell r="R282">
            <v>0</v>
          </cell>
          <cell r="X282">
            <v>0</v>
          </cell>
          <cell r="Y282">
            <v>0</v>
          </cell>
          <cell r="AC282">
            <v>0</v>
          </cell>
          <cell r="AG282">
            <v>0</v>
          </cell>
          <cell r="AL282">
            <v>7288.3454963746271</v>
          </cell>
          <cell r="AT282">
            <v>789.63112062648293</v>
          </cell>
          <cell r="AW282">
            <v>0</v>
          </cell>
          <cell r="AY282">
            <v>0</v>
          </cell>
          <cell r="AZ282">
            <v>8077.9766170011098</v>
          </cell>
        </row>
        <row r="283">
          <cell r="B283">
            <v>18700</v>
          </cell>
          <cell r="C283" t="str">
            <v>SA 6 &amp; 8</v>
          </cell>
          <cell r="D283" t="str">
            <v>JAIL - INMATE RECEPTION CENTER</v>
          </cell>
          <cell r="N283">
            <v>0</v>
          </cell>
          <cell r="AC283">
            <v>0</v>
          </cell>
          <cell r="AZ283">
            <v>0</v>
          </cell>
        </row>
        <row r="284">
          <cell r="B284">
            <v>20459</v>
          </cell>
          <cell r="C284" t="str">
            <v>SA 6 &amp; 8</v>
          </cell>
          <cell r="D284" t="str">
            <v>COASTAL ASIAN PACIFIC MHS</v>
          </cell>
          <cell r="G284">
            <v>131425.89821255236</v>
          </cell>
          <cell r="I284">
            <v>22871.132227723854</v>
          </cell>
          <cell r="K284">
            <v>0</v>
          </cell>
          <cell r="L284">
            <v>0</v>
          </cell>
          <cell r="M284">
            <v>1139611.9856439999</v>
          </cell>
          <cell r="N284">
            <v>311236.594804594</v>
          </cell>
          <cell r="Q284">
            <v>0</v>
          </cell>
          <cell r="R284">
            <v>0</v>
          </cell>
          <cell r="S284">
            <v>43422.326518273578</v>
          </cell>
          <cell r="T284">
            <v>41472.403176325439</v>
          </cell>
          <cell r="W284">
            <v>1277090.8797368621</v>
          </cell>
          <cell r="X284">
            <v>0</v>
          </cell>
          <cell r="Y284">
            <v>0</v>
          </cell>
          <cell r="Z284">
            <v>155514.52014642389</v>
          </cell>
          <cell r="AA284">
            <v>153197.5868928</v>
          </cell>
          <cell r="AC284">
            <v>916.510022992019</v>
          </cell>
          <cell r="AD284">
            <v>29194.48656414451</v>
          </cell>
          <cell r="AG284">
            <v>0</v>
          </cell>
          <cell r="AL284">
            <v>16692.464593179047</v>
          </cell>
          <cell r="AO284">
            <v>202.02855220051873</v>
          </cell>
          <cell r="AT284">
            <v>1948.0462209614248</v>
          </cell>
          <cell r="AW284">
            <v>0</v>
          </cell>
          <cell r="AY284">
            <v>0</v>
          </cell>
          <cell r="AZ284">
            <v>3324796.8633130328</v>
          </cell>
        </row>
        <row r="285">
          <cell r="B285">
            <v>20464</v>
          </cell>
          <cell r="C285" t="str">
            <v>SA 6 &amp; 8</v>
          </cell>
          <cell r="D285" t="str">
            <v>SAN PEDRO MENTAL HEALTH SRVCS</v>
          </cell>
          <cell r="G285">
            <v>14578.71869907504</v>
          </cell>
          <cell r="M285">
            <v>1615737.199398</v>
          </cell>
          <cell r="N285">
            <v>349335.29948555649</v>
          </cell>
          <cell r="T285">
            <v>0</v>
          </cell>
          <cell r="W285">
            <v>1546342.1572131761</v>
          </cell>
          <cell r="Z285">
            <v>17250.804245367628</v>
          </cell>
          <cell r="AA285">
            <v>156128.01740800001</v>
          </cell>
          <cell r="AC285">
            <v>64109.658733286567</v>
          </cell>
          <cell r="AD285">
            <v>61760.232486395544</v>
          </cell>
          <cell r="AL285">
            <v>20157.221831877592</v>
          </cell>
          <cell r="AO285">
            <v>145.21523719955854</v>
          </cell>
          <cell r="AT285">
            <v>6587.1235986120128</v>
          </cell>
          <cell r="AZ285">
            <v>3852131.648336546</v>
          </cell>
        </row>
        <row r="286">
          <cell r="B286">
            <v>20465</v>
          </cell>
          <cell r="C286" t="str">
            <v>SA 6 &amp; 8</v>
          </cell>
          <cell r="D286" t="str">
            <v>COMPTON MENTAL HEALTH CENTER</v>
          </cell>
          <cell r="G286">
            <v>6124.3995042030638</v>
          </cell>
          <cell r="I286">
            <v>1929.8011124546174</v>
          </cell>
          <cell r="M286">
            <v>1735774.2305640001</v>
          </cell>
          <cell r="N286">
            <v>564212.76057631895</v>
          </cell>
          <cell r="S286">
            <v>3663.8524575865063</v>
          </cell>
          <cell r="T286">
            <v>0</v>
          </cell>
          <cell r="W286">
            <v>901784.29729379585</v>
          </cell>
          <cell r="Z286">
            <v>7246.9206072366796</v>
          </cell>
          <cell r="AA286">
            <v>90596.789504</v>
          </cell>
          <cell r="AC286">
            <v>3122.3099219822689</v>
          </cell>
          <cell r="AD286">
            <v>40122.550929264013</v>
          </cell>
          <cell r="AT286">
            <v>6792.7803218085346</v>
          </cell>
          <cell r="AZ286">
            <v>3361370.6927926508</v>
          </cell>
        </row>
        <row r="287">
          <cell r="B287">
            <v>20494</v>
          </cell>
          <cell r="C287" t="str">
            <v>SA 6 &amp; 8</v>
          </cell>
          <cell r="D287" t="str">
            <v>COASTAL ASIAN PACIFIC MH - C &amp; Y</v>
          </cell>
          <cell r="N287">
            <v>22111.393841514775</v>
          </cell>
          <cell r="AZ287">
            <v>22111.393841514775</v>
          </cell>
        </row>
        <row r="288">
          <cell r="B288">
            <v>20564</v>
          </cell>
          <cell r="C288" t="str">
            <v>SA 6 &amp; 8</v>
          </cell>
          <cell r="D288" t="str">
            <v>DMH AT HARBOR-UCLA MEDICAL CTR</v>
          </cell>
          <cell r="G288">
            <v>547542.67658642353</v>
          </cell>
          <cell r="I288">
            <v>108721.41278639449</v>
          </cell>
          <cell r="M288">
            <v>1889426</v>
          </cell>
          <cell r="N288">
            <v>0</v>
          </cell>
          <cell r="S288">
            <v>206414.64701149409</v>
          </cell>
          <cell r="T288">
            <v>58888.446606473444</v>
          </cell>
          <cell r="W288">
            <v>3109402.3205018747</v>
          </cell>
          <cell r="Z288">
            <v>647899.97836890235</v>
          </cell>
          <cell r="AA288">
            <v>414793.83669760008</v>
          </cell>
          <cell r="AC288">
            <v>10556.979888822048</v>
          </cell>
          <cell r="AD288">
            <v>49144.908239438388</v>
          </cell>
          <cell r="AG288">
            <v>57308</v>
          </cell>
          <cell r="AL288">
            <v>54978.92135777988</v>
          </cell>
          <cell r="AO288">
            <v>785.41485790125944</v>
          </cell>
          <cell r="AT288">
            <v>2988.5145877296927</v>
          </cell>
          <cell r="AZ288">
            <v>7158852.057490834</v>
          </cell>
        </row>
        <row r="289">
          <cell r="B289">
            <v>20570</v>
          </cell>
          <cell r="C289" t="str">
            <v>SA 6 &amp; 8</v>
          </cell>
          <cell r="D289" t="str">
            <v>COUNTYWIDE CHILDREN'S CASE MNGM</v>
          </cell>
          <cell r="N289">
            <v>0</v>
          </cell>
          <cell r="AC289">
            <v>0</v>
          </cell>
          <cell r="AZ289">
            <v>0</v>
          </cell>
        </row>
        <row r="290">
          <cell r="B290">
            <v>20590</v>
          </cell>
          <cell r="C290" t="str">
            <v>SA 6 &amp; 8</v>
          </cell>
          <cell r="D290" t="str">
            <v>HOMELESS DIVISION (PATH)</v>
          </cell>
          <cell r="N290">
            <v>0</v>
          </cell>
          <cell r="R290">
            <v>668443</v>
          </cell>
          <cell r="AC290">
            <v>0</v>
          </cell>
          <cell r="AZ290">
            <v>668443</v>
          </cell>
        </row>
        <row r="291">
          <cell r="B291">
            <v>20657</v>
          </cell>
          <cell r="C291" t="str">
            <v>SA 6 &amp; 8</v>
          </cell>
          <cell r="D291" t="str">
            <v>AUGUSTUS F. HAWKINS COMP MHC</v>
          </cell>
          <cell r="G291">
            <v>21742.969235939945</v>
          </cell>
          <cell r="M291">
            <v>1814631.7116350001</v>
          </cell>
          <cell r="N291">
            <v>110904.49604684519</v>
          </cell>
          <cell r="T291">
            <v>0</v>
          </cell>
          <cell r="W291">
            <v>987592.31297446648</v>
          </cell>
          <cell r="Z291">
            <v>25728.16677133966</v>
          </cell>
          <cell r="AA291">
            <v>102080.89236479999</v>
          </cell>
          <cell r="AC291">
            <v>0.5</v>
          </cell>
          <cell r="AD291">
            <v>4261.3500783803074</v>
          </cell>
          <cell r="AT291">
            <v>463.13079909316741</v>
          </cell>
          <cell r="AZ291">
            <v>3067405.529905865</v>
          </cell>
        </row>
        <row r="292">
          <cell r="B292">
            <v>20658</v>
          </cell>
          <cell r="C292" t="str">
            <v>SA 6 &amp; 8</v>
          </cell>
          <cell r="D292" t="str">
            <v>AFH HOMELESS OUTREACH CCU</v>
          </cell>
          <cell r="G292">
            <v>634136.08726041624</v>
          </cell>
          <cell r="I292">
            <v>8154.4658788649876</v>
          </cell>
          <cell r="K292">
            <v>0</v>
          </cell>
          <cell r="L292">
            <v>0</v>
          </cell>
          <cell r="M292">
            <v>3522175.8095240002</v>
          </cell>
          <cell r="N292">
            <v>0</v>
          </cell>
          <cell r="Q292">
            <v>0</v>
          </cell>
          <cell r="R292">
            <v>0</v>
          </cell>
          <cell r="S292">
            <v>15481.781857086269</v>
          </cell>
          <cell r="T292">
            <v>49289.395335037771</v>
          </cell>
          <cell r="W292">
            <v>1925755.5451291855</v>
          </cell>
          <cell r="X292">
            <v>0</v>
          </cell>
          <cell r="Y292">
            <v>0</v>
          </cell>
          <cell r="Z292">
            <v>750364.81134291063</v>
          </cell>
          <cell r="AA292">
            <v>313550.77744640008</v>
          </cell>
          <cell r="AC292">
            <v>4949.7698193619581</v>
          </cell>
          <cell r="AD292">
            <v>23965.611133232174</v>
          </cell>
          <cell r="AG292">
            <v>0</v>
          </cell>
          <cell r="AL292">
            <v>4151.7624911095872</v>
          </cell>
          <cell r="AT292">
            <v>6177.5101363029453</v>
          </cell>
          <cell r="AW292">
            <v>0</v>
          </cell>
          <cell r="AY292">
            <v>0</v>
          </cell>
          <cell r="AZ292">
            <v>7258153.3273539087</v>
          </cell>
        </row>
        <row r="293">
          <cell r="B293">
            <v>20670</v>
          </cell>
          <cell r="C293" t="str">
            <v>SA 6 &amp; 8</v>
          </cell>
          <cell r="D293" t="str">
            <v>JAIL MH SERVICES ADMINISTRATION</v>
          </cell>
          <cell r="N293">
            <v>0</v>
          </cell>
          <cell r="AC293">
            <v>0</v>
          </cell>
          <cell r="AZ293">
            <v>0</v>
          </cell>
        </row>
        <row r="294">
          <cell r="B294">
            <v>20672</v>
          </cell>
          <cell r="C294" t="str">
            <v>SA 6 &amp; 8</v>
          </cell>
          <cell r="D294" t="str">
            <v>FORENSIC OUTPATIENT PROGRAM</v>
          </cell>
          <cell r="M294">
            <v>10968794</v>
          </cell>
          <cell r="N294">
            <v>0</v>
          </cell>
          <cell r="AC294">
            <v>0</v>
          </cell>
          <cell r="AZ294">
            <v>10968794</v>
          </cell>
        </row>
        <row r="295">
          <cell r="B295">
            <v>20673</v>
          </cell>
          <cell r="C295" t="str">
            <v>SA 6 &amp; 8</v>
          </cell>
          <cell r="D295" t="str">
            <v>FORENSIC JAIL INPATIENT PROGRAM</v>
          </cell>
          <cell r="M295">
            <v>5521928</v>
          </cell>
          <cell r="N295">
            <v>0</v>
          </cell>
          <cell r="AC295">
            <v>0</v>
          </cell>
          <cell r="AZ295">
            <v>5521928</v>
          </cell>
        </row>
        <row r="296">
          <cell r="B296">
            <v>20676</v>
          </cell>
          <cell r="C296" t="str">
            <v>SA 6 &amp; 8</v>
          </cell>
          <cell r="D296" t="str">
            <v>FORENSIC OUTPATIENT PROGRAM - SYBIL BRAND</v>
          </cell>
          <cell r="M296">
            <v>4245739</v>
          </cell>
          <cell r="N296">
            <v>0</v>
          </cell>
          <cell r="AC296">
            <v>0</v>
          </cell>
          <cell r="AZ296">
            <v>4245739</v>
          </cell>
        </row>
        <row r="297">
          <cell r="B297">
            <v>20944</v>
          </cell>
          <cell r="C297" t="str">
            <v>SA 6 &amp; 8</v>
          </cell>
          <cell r="D297" t="str">
            <v>ADULT SYSTEM OF CARE - ADMIN</v>
          </cell>
          <cell r="G297">
            <v>0</v>
          </cell>
          <cell r="M297">
            <v>0</v>
          </cell>
          <cell r="N297">
            <v>0</v>
          </cell>
          <cell r="T297">
            <v>0</v>
          </cell>
          <cell r="W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9514.6785510584032</v>
          </cell>
          <cell r="AZ297">
            <v>9514.6785510584032</v>
          </cell>
        </row>
        <row r="298">
          <cell r="B298">
            <v>21534</v>
          </cell>
          <cell r="C298" t="str">
            <v>SA 6 &amp; 8</v>
          </cell>
          <cell r="D298" t="str">
            <v>JUSTICE PROGRAM ADMINISTRATION</v>
          </cell>
          <cell r="N298">
            <v>0</v>
          </cell>
          <cell r="AC298">
            <v>0</v>
          </cell>
          <cell r="AZ298">
            <v>0</v>
          </cell>
        </row>
        <row r="299">
          <cell r="B299">
            <v>21544</v>
          </cell>
          <cell r="C299" t="str">
            <v>SA 6 &amp; 8</v>
          </cell>
          <cell r="D299" t="str">
            <v>CROMIO</v>
          </cell>
          <cell r="N299">
            <v>0</v>
          </cell>
          <cell r="AC299">
            <v>0</v>
          </cell>
          <cell r="AZ299">
            <v>0</v>
          </cell>
        </row>
        <row r="300">
          <cell r="B300">
            <v>21557</v>
          </cell>
          <cell r="C300" t="str">
            <v>SA 6 &amp; 8</v>
          </cell>
          <cell r="D300" t="str">
            <v>AB 2034 PROGRAM</v>
          </cell>
          <cell r="K300">
            <v>1788369</v>
          </cell>
          <cell r="N300">
            <v>0</v>
          </cell>
          <cell r="AC300">
            <v>0</v>
          </cell>
          <cell r="AZ300">
            <v>1788369</v>
          </cell>
        </row>
        <row r="301">
          <cell r="B301">
            <v>21560</v>
          </cell>
          <cell r="C301" t="str">
            <v>SA 6 &amp; 8</v>
          </cell>
          <cell r="D301" t="str">
            <v>SAMHSA</v>
          </cell>
          <cell r="N301">
            <v>0</v>
          </cell>
          <cell r="O301" t="str">
            <v xml:space="preserve"> </v>
          </cell>
          <cell r="P301" t="str">
            <v xml:space="preserve"> </v>
          </cell>
          <cell r="AC301">
            <v>0</v>
          </cell>
          <cell r="AZ301">
            <v>0</v>
          </cell>
        </row>
        <row r="302">
          <cell r="B302">
            <v>21561</v>
          </cell>
          <cell r="C302" t="str">
            <v>SA 6 &amp; 8</v>
          </cell>
          <cell r="D302" t="str">
            <v>COMPTON CHILD &amp; FAM SRVCS CTR</v>
          </cell>
          <cell r="G302">
            <v>337210.06887249433</v>
          </cell>
          <cell r="I302">
            <v>6440.9766182084295</v>
          </cell>
          <cell r="M302">
            <v>234810.94053999998</v>
          </cell>
          <cell r="N302">
            <v>378818.52138407598</v>
          </cell>
          <cell r="S302">
            <v>12228.611466527562</v>
          </cell>
          <cell r="T302">
            <v>79737.26160717028</v>
          </cell>
          <cell r="W302">
            <v>234.49856090854527</v>
          </cell>
          <cell r="Z302">
            <v>399016.19667408837</v>
          </cell>
          <cell r="AA302">
            <v>67162.576844800016</v>
          </cell>
          <cell r="AC302">
            <v>81.816098173230657</v>
          </cell>
          <cell r="AD302">
            <v>41023.237967636283</v>
          </cell>
          <cell r="AL302">
            <v>333.98681201812707</v>
          </cell>
          <cell r="AT302">
            <v>391.91984418101464</v>
          </cell>
          <cell r="AZ302">
            <v>1557490.613290282</v>
          </cell>
        </row>
        <row r="303">
          <cell r="B303">
            <v>23003</v>
          </cell>
          <cell r="C303" t="str">
            <v>SA 6 &amp; 8</v>
          </cell>
          <cell r="D303" t="str">
            <v>SOUTH BAY MHS</v>
          </cell>
          <cell r="G303">
            <v>19115.743584389686</v>
          </cell>
          <cell r="I303">
            <v>2714.9214077903421</v>
          </cell>
          <cell r="M303">
            <v>2656660.301802</v>
          </cell>
          <cell r="N303">
            <v>491889.16609177005</v>
          </cell>
          <cell r="S303">
            <v>5154.4542118304871</v>
          </cell>
          <cell r="T303">
            <v>0</v>
          </cell>
          <cell r="W303">
            <v>1714750.9876189791</v>
          </cell>
          <cell r="Z303">
            <v>22619.405544869362</v>
          </cell>
          <cell r="AA303">
            <v>173693.26387200001</v>
          </cell>
          <cell r="AC303">
            <v>33562.043862946994</v>
          </cell>
          <cell r="AD303">
            <v>118808.36382452855</v>
          </cell>
          <cell r="AL303">
            <v>20315.410044585198</v>
          </cell>
          <cell r="AT303">
            <v>9033.6120448216716</v>
          </cell>
          <cell r="AZ303">
            <v>5268317.6739105126</v>
          </cell>
        </row>
        <row r="304">
          <cell r="B304">
            <v>23005</v>
          </cell>
          <cell r="C304" t="str">
            <v>SA 6 &amp; 8</v>
          </cell>
          <cell r="D304" t="str">
            <v>LONG BEACH ASIAN MHS</v>
          </cell>
          <cell r="G304">
            <v>91231.545454198626</v>
          </cell>
          <cell r="I304">
            <v>5139.7541727230537</v>
          </cell>
          <cell r="K304">
            <v>0</v>
          </cell>
          <cell r="L304">
            <v>0</v>
          </cell>
          <cell r="M304">
            <v>1860692.0031259998</v>
          </cell>
          <cell r="N304">
            <v>0</v>
          </cell>
          <cell r="Q304">
            <v>0</v>
          </cell>
          <cell r="R304">
            <v>0</v>
          </cell>
          <cell r="S304">
            <v>9758.1563382815766</v>
          </cell>
          <cell r="T304">
            <v>9921.3200956519613</v>
          </cell>
          <cell r="W304">
            <v>2364390.0534242103</v>
          </cell>
          <cell r="X304">
            <v>0</v>
          </cell>
          <cell r="Y304">
            <v>0</v>
          </cell>
          <cell r="Z304">
            <v>107953.07626949355</v>
          </cell>
          <cell r="AA304">
            <v>252215.64610560003</v>
          </cell>
          <cell r="AC304">
            <v>0.5</v>
          </cell>
          <cell r="AD304">
            <v>6712.3599647019582</v>
          </cell>
          <cell r="AG304">
            <v>0</v>
          </cell>
          <cell r="AL304">
            <v>5056.9608839242364</v>
          </cell>
          <cell r="AO304">
            <v>196.37175273890418</v>
          </cell>
          <cell r="AT304">
            <v>5182.6013429851519</v>
          </cell>
          <cell r="AW304">
            <v>0</v>
          </cell>
          <cell r="AY304">
            <v>0</v>
          </cell>
          <cell r="AZ304">
            <v>4718450.3489305088</v>
          </cell>
        </row>
        <row r="305">
          <cell r="B305">
            <v>23007</v>
          </cell>
          <cell r="C305" t="str">
            <v>SA 6 &amp; 8</v>
          </cell>
          <cell r="D305" t="str">
            <v>LONG BEACH MHS ADULT CLINIC</v>
          </cell>
          <cell r="G305">
            <v>30223.161192868607</v>
          </cell>
          <cell r="I305">
            <v>1175.8118571426585</v>
          </cell>
          <cell r="M305">
            <v>2929371.6339619998</v>
          </cell>
          <cell r="N305">
            <v>831783.72035133874</v>
          </cell>
          <cell r="S305">
            <v>2232.3550000299801</v>
          </cell>
          <cell r="T305">
            <v>0</v>
          </cell>
          <cell r="W305">
            <v>2348794.8810149119</v>
          </cell>
          <cell r="Z305">
            <v>35762.665305247094</v>
          </cell>
          <cell r="AA305">
            <v>238687.08505600004</v>
          </cell>
          <cell r="AC305">
            <v>26670.93697065059</v>
          </cell>
          <cell r="AD305">
            <v>33824.262471795642</v>
          </cell>
          <cell r="AG305">
            <v>61762</v>
          </cell>
          <cell r="AL305">
            <v>43195.523429918685</v>
          </cell>
          <cell r="AO305">
            <v>8.6150746902649775</v>
          </cell>
          <cell r="AT305">
            <v>16101.169523770752</v>
          </cell>
          <cell r="AZ305">
            <v>6599593.8212103657</v>
          </cell>
        </row>
        <row r="306">
          <cell r="B306">
            <v>23010</v>
          </cell>
          <cell r="C306" t="str">
            <v>SA 6 &amp; 8</v>
          </cell>
          <cell r="D306" t="str">
            <v>WEST CENTRAL FAMILY MHS</v>
          </cell>
          <cell r="G306">
            <v>8864.1426489653895</v>
          </cell>
          <cell r="M306">
            <v>2039104.847544</v>
          </cell>
          <cell r="N306">
            <v>679290.03828692669</v>
          </cell>
          <cell r="T306">
            <v>0</v>
          </cell>
          <cell r="W306">
            <v>1178373.4277660733</v>
          </cell>
          <cell r="Z306">
            <v>10488.822289301606</v>
          </cell>
          <cell r="AA306">
            <v>118548.05089279999</v>
          </cell>
          <cell r="AC306">
            <v>33377.981916532037</v>
          </cell>
          <cell r="AD306">
            <v>56514.239926247188</v>
          </cell>
          <cell r="AL306">
            <v>6211.2519147496769</v>
          </cell>
          <cell r="AT306">
            <v>6180.9124017466811</v>
          </cell>
          <cell r="AZ306">
            <v>4136953.7155873426</v>
          </cell>
        </row>
        <row r="307">
          <cell r="B307">
            <v>23034</v>
          </cell>
          <cell r="C307" t="str">
            <v>SA 6 &amp; 8</v>
          </cell>
          <cell r="D307" t="str">
            <v>LONG BEACH CHILD &amp; ADOL CLINIC</v>
          </cell>
          <cell r="G307">
            <v>654148.05856928346</v>
          </cell>
          <cell r="I307">
            <v>18676.678430491724</v>
          </cell>
          <cell r="M307">
            <v>291705.85197399999</v>
          </cell>
          <cell r="N307">
            <v>206942.23583918615</v>
          </cell>
          <cell r="S307">
            <v>35458.884195621591</v>
          </cell>
          <cell r="T307">
            <v>200136.45215378332</v>
          </cell>
          <cell r="W307">
            <v>7913.8129878228774</v>
          </cell>
          <cell r="Z307">
            <v>774044.71125311905</v>
          </cell>
          <cell r="AA307">
            <v>132691.49122560001</v>
          </cell>
          <cell r="AC307">
            <v>6434.3242319262999</v>
          </cell>
          <cell r="AD307">
            <v>18212.625507140321</v>
          </cell>
          <cell r="AL307">
            <v>3202.6682454709967</v>
          </cell>
          <cell r="AT307">
            <v>2021.2213466733031</v>
          </cell>
          <cell r="AZ307">
            <v>2351589.0159601192</v>
          </cell>
        </row>
        <row r="308">
          <cell r="B308">
            <v>23035</v>
          </cell>
          <cell r="C308" t="str">
            <v>SA 6 &amp; 8</v>
          </cell>
          <cell r="D308" t="str">
            <v>LONG BEACH ASIAN PACIFIC MH - C &amp; Y</v>
          </cell>
          <cell r="N308">
            <v>42521.911233682265</v>
          </cell>
          <cell r="AZ308">
            <v>42521.911233682265</v>
          </cell>
        </row>
        <row r="309">
          <cell r="B309">
            <v>27273</v>
          </cell>
          <cell r="C309" t="str">
            <v>SA 6 &amp; 8</v>
          </cell>
          <cell r="D309" t="str">
            <v>MIOCR II  PROGRAM</v>
          </cell>
          <cell r="N309">
            <v>0</v>
          </cell>
          <cell r="AC309">
            <v>0</v>
          </cell>
          <cell r="AZ309">
            <v>0</v>
          </cell>
        </row>
        <row r="310">
          <cell r="B310">
            <v>27526</v>
          </cell>
          <cell r="C310" t="str">
            <v>SA 6 &amp; 8</v>
          </cell>
          <cell r="D310" t="str">
            <v>SOUTH LOS ANGELES FAMILY SERVICES</v>
          </cell>
          <cell r="N310">
            <v>0</v>
          </cell>
          <cell r="AC310">
            <v>0</v>
          </cell>
          <cell r="AZ310">
            <v>0</v>
          </cell>
        </row>
        <row r="311">
          <cell r="D311" t="str">
            <v>Sub total:  SA 6 &amp; 8</v>
          </cell>
          <cell r="E311">
            <v>0</v>
          </cell>
          <cell r="F311">
            <v>0</v>
          </cell>
          <cell r="G311">
            <v>2496343.4698208105</v>
          </cell>
          <cell r="H311">
            <v>0</v>
          </cell>
          <cell r="I311">
            <v>175824.95449179411</v>
          </cell>
          <cell r="J311">
            <v>0</v>
          </cell>
          <cell r="K311">
            <v>1788369</v>
          </cell>
          <cell r="L311">
            <v>0</v>
          </cell>
          <cell r="M311">
            <v>42466163.515713006</v>
          </cell>
          <cell r="N311">
            <v>3989046.1379418094</v>
          </cell>
          <cell r="O311">
            <v>0</v>
          </cell>
          <cell r="P311">
            <v>0</v>
          </cell>
          <cell r="Q311">
            <v>0</v>
          </cell>
          <cell r="R311">
            <v>668443</v>
          </cell>
          <cell r="S311">
            <v>333815.06905673165</v>
          </cell>
          <cell r="T311">
            <v>439445.27897444216</v>
          </cell>
          <cell r="U311">
            <v>0</v>
          </cell>
          <cell r="V311">
            <v>0</v>
          </cell>
          <cell r="W311">
            <v>17362425.174222264</v>
          </cell>
          <cell r="X311">
            <v>0</v>
          </cell>
          <cell r="Y311">
            <v>0</v>
          </cell>
          <cell r="Z311">
            <v>2953890.0788182998</v>
          </cell>
          <cell r="AA311">
            <v>2213346.0143104</v>
          </cell>
          <cell r="AB311">
            <v>0</v>
          </cell>
          <cell r="AC311">
            <v>183783.33146667402</v>
          </cell>
          <cell r="AD311">
            <v>493058.90764396323</v>
          </cell>
          <cell r="AE311">
            <v>0</v>
          </cell>
          <cell r="AF311">
            <v>0</v>
          </cell>
          <cell r="AG311">
            <v>119070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181584.51710098764</v>
          </cell>
          <cell r="AM311">
            <v>0</v>
          </cell>
          <cell r="AN311">
            <v>0</v>
          </cell>
          <cell r="AO311">
            <v>1337.6454747305058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64658.173289312836</v>
          </cell>
          <cell r="AU311">
            <v>0</v>
          </cell>
          <cell r="AV311">
            <v>0</v>
          </cell>
          <cell r="AW311">
            <v>0</v>
          </cell>
          <cell r="AY311">
            <v>0</v>
          </cell>
          <cell r="AZ311">
            <v>75930604.268325239</v>
          </cell>
        </row>
        <row r="313">
          <cell r="B313">
            <v>18639</v>
          </cell>
          <cell r="C313" t="str">
            <v>SA 1 &amp; 3</v>
          </cell>
          <cell r="D313" t="str">
            <v>Children's SOC</v>
          </cell>
          <cell r="N313">
            <v>140600</v>
          </cell>
          <cell r="P313">
            <v>126103</v>
          </cell>
          <cell r="AZ313">
            <v>266703</v>
          </cell>
        </row>
        <row r="314">
          <cell r="B314">
            <v>18674</v>
          </cell>
          <cell r="C314" t="str">
            <v>SA 1 &amp; 3</v>
          </cell>
          <cell r="D314" t="str">
            <v>SAN ANTONIO MHC SOMOS FAMILIA (AB 3632 Sector II)</v>
          </cell>
          <cell r="G314">
            <v>568275.70774283016</v>
          </cell>
          <cell r="I314">
            <v>882532.57958962047</v>
          </cell>
          <cell r="M314">
            <v>138350.252148</v>
          </cell>
          <cell r="N314">
            <v>0</v>
          </cell>
          <cell r="S314">
            <v>1675545.2879373499</v>
          </cell>
          <cell r="T314">
            <v>112767.60518637094</v>
          </cell>
          <cell r="W314">
            <v>3422.9522701674023</v>
          </cell>
          <cell r="Z314">
            <v>672433.09882172861</v>
          </cell>
          <cell r="AA314">
            <v>112693.37057280002</v>
          </cell>
          <cell r="AC314">
            <v>0</v>
          </cell>
          <cell r="AD314">
            <v>0</v>
          </cell>
          <cell r="AL314" t="str">
            <v xml:space="preserve"> </v>
          </cell>
          <cell r="AZ314">
            <v>4166020.8542688671</v>
          </cell>
        </row>
        <row r="315">
          <cell r="B315">
            <v>18704</v>
          </cell>
          <cell r="C315" t="str">
            <v>SA 1 &amp; 3</v>
          </cell>
          <cell r="D315" t="str">
            <v>FFS CHILD/MEDI-CAL</v>
          </cell>
          <cell r="E315">
            <v>0</v>
          </cell>
          <cell r="K315">
            <v>0</v>
          </cell>
          <cell r="L315">
            <v>0</v>
          </cell>
          <cell r="N315">
            <v>0</v>
          </cell>
          <cell r="Q315">
            <v>0</v>
          </cell>
          <cell r="R315">
            <v>0</v>
          </cell>
          <cell r="X315">
            <v>0</v>
          </cell>
          <cell r="Y315">
            <v>0</v>
          </cell>
          <cell r="AC315">
            <v>0</v>
          </cell>
          <cell r="AG315">
            <v>0</v>
          </cell>
          <cell r="AL315">
            <v>0</v>
          </cell>
          <cell r="AW315">
            <v>0</v>
          </cell>
          <cell r="AY315">
            <v>0</v>
          </cell>
          <cell r="AZ315">
            <v>0</v>
          </cell>
        </row>
        <row r="316">
          <cell r="B316">
            <v>20446</v>
          </cell>
          <cell r="C316" t="str">
            <v>SA 1 &amp; 3</v>
          </cell>
          <cell r="D316" t="str">
            <v>START Program  (Maclaren)</v>
          </cell>
          <cell r="AZ316">
            <v>0</v>
          </cell>
        </row>
        <row r="317">
          <cell r="B317">
            <v>20468</v>
          </cell>
          <cell r="C317" t="str">
            <v>SA 1 &amp; 3</v>
          </cell>
          <cell r="D317" t="str">
            <v>ANTELOPE VALLEY MHS</v>
          </cell>
          <cell r="G317">
            <v>13204.957757234377</v>
          </cell>
          <cell r="I317">
            <v>121.33941375184919</v>
          </cell>
          <cell r="M317">
            <v>1108228.0839450001</v>
          </cell>
          <cell r="N317">
            <v>436686.45318445284</v>
          </cell>
          <cell r="S317">
            <v>230.3707394547755</v>
          </cell>
          <cell r="T317">
            <v>0</v>
          </cell>
          <cell r="W317">
            <v>1061712.3509406266</v>
          </cell>
          <cell r="Z317">
            <v>15625.251165100792</v>
          </cell>
          <cell r="AA317">
            <v>107805.39566080002</v>
          </cell>
          <cell r="AC317">
            <v>5024.1719853301038</v>
          </cell>
          <cell r="AD317">
            <v>40202.430865698836</v>
          </cell>
          <cell r="AL317">
            <v>9465.6878908867257</v>
          </cell>
          <cell r="AT317">
            <v>8820.9647113987576</v>
          </cell>
          <cell r="AZ317">
            <v>2807127.4582597357</v>
          </cell>
        </row>
        <row r="318">
          <cell r="B318">
            <v>20489</v>
          </cell>
          <cell r="C318" t="str">
            <v>SA 1 &amp; 3</v>
          </cell>
          <cell r="D318" t="str">
            <v>AB 3632 PLACEMENT/CASE MGMT - C &amp; Y</v>
          </cell>
          <cell r="G318">
            <v>395890.74549347081</v>
          </cell>
          <cell r="I318">
            <v>4970187</v>
          </cell>
          <cell r="K318">
            <v>0</v>
          </cell>
          <cell r="L318">
            <v>0</v>
          </cell>
          <cell r="M318">
            <v>100094.74582600001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4842000</v>
          </cell>
          <cell r="T318">
            <v>99116.61064722552</v>
          </cell>
          <cell r="W318">
            <v>584.3242829196538</v>
          </cell>
          <cell r="X318">
            <v>0</v>
          </cell>
          <cell r="Y318">
            <v>0</v>
          </cell>
          <cell r="Z318">
            <v>468452.26209720492</v>
          </cell>
          <cell r="AA318">
            <v>79082.233088000008</v>
          </cell>
          <cell r="AC318">
            <v>0</v>
          </cell>
          <cell r="AD318">
            <v>26754.888097313542</v>
          </cell>
          <cell r="AG318">
            <v>0</v>
          </cell>
          <cell r="AW318">
            <v>0</v>
          </cell>
          <cell r="AY318">
            <v>0</v>
          </cell>
          <cell r="AZ318">
            <v>10982162.809532134</v>
          </cell>
        </row>
        <row r="319">
          <cell r="B319">
            <v>20493</v>
          </cell>
          <cell r="C319" t="str">
            <v>SA 1 &amp; 3</v>
          </cell>
          <cell r="D319" t="str">
            <v>SECTOR II C&amp; Y ADMINISTRATION</v>
          </cell>
          <cell r="N319">
            <v>30468</v>
          </cell>
          <cell r="AZ319">
            <v>30468</v>
          </cell>
        </row>
        <row r="320">
          <cell r="B320">
            <v>20597</v>
          </cell>
          <cell r="C320" t="str">
            <v>SA 1 &amp; 3</v>
          </cell>
          <cell r="D320" t="str">
            <v>Children's Svcs. Bureau - Admin.</v>
          </cell>
          <cell r="AW320">
            <v>58686</v>
          </cell>
          <cell r="AZ320">
            <v>58686</v>
          </cell>
        </row>
        <row r="321">
          <cell r="B321">
            <v>20941</v>
          </cell>
          <cell r="C321" t="str">
            <v>SA 1 &amp; 3</v>
          </cell>
          <cell r="D321" t="str">
            <v>COUNTYWIDE INTERAGENCY CASE MANAGEMENT</v>
          </cell>
          <cell r="G321">
            <v>1220094.9435058986</v>
          </cell>
          <cell r="I321">
            <v>499948.37190688262</v>
          </cell>
          <cell r="M321">
            <v>447796.08447200002</v>
          </cell>
          <cell r="S321">
            <v>949184.37928949064</v>
          </cell>
          <cell r="T321">
            <v>90095.603523091369</v>
          </cell>
          <cell r="W321">
            <v>2491.7776006714776</v>
          </cell>
          <cell r="Z321">
            <v>1443722.1449727621</v>
          </cell>
          <cell r="AA321">
            <v>235906.56092159997</v>
          </cell>
          <cell r="AD321">
            <v>446670.67231291853</v>
          </cell>
          <cell r="AZ321">
            <v>5335910.5385053148</v>
          </cell>
        </row>
        <row r="322">
          <cell r="B322">
            <v>21537</v>
          </cell>
          <cell r="C322" t="str">
            <v>SA 1 &amp; 3</v>
          </cell>
          <cell r="D322" t="str">
            <v>PALMDALE MENTAL HEALTH CENTER</v>
          </cell>
          <cell r="G322">
            <v>14831.504862183176</v>
          </cell>
          <cell r="I322">
            <v>212.01540697712807</v>
          </cell>
          <cell r="M322">
            <v>758642.55242799991</v>
          </cell>
          <cell r="N322">
            <v>214047.806076123</v>
          </cell>
          <cell r="S322">
            <v>402.52498813792738</v>
          </cell>
          <cell r="T322">
            <v>0</v>
          </cell>
          <cell r="W322">
            <v>573147.4221934845</v>
          </cell>
          <cell r="Z322">
            <v>17549.92275541836</v>
          </cell>
          <cell r="AA322">
            <v>59663.918950400002</v>
          </cell>
          <cell r="AC322">
            <v>463.76785541331247</v>
          </cell>
          <cell r="AD322">
            <v>49724.445329286973</v>
          </cell>
          <cell r="AL322">
            <v>1462.2450974305671</v>
          </cell>
          <cell r="AT322">
            <v>6735.2978870123579</v>
          </cell>
          <cell r="AZ322">
            <v>1696883.4238298673</v>
          </cell>
        </row>
        <row r="323">
          <cell r="B323">
            <v>21549</v>
          </cell>
          <cell r="C323" t="str">
            <v>SA 1 &amp; 3</v>
          </cell>
          <cell r="D323" t="str">
            <v>CW CASE MANAGEMENT PLACEMENT</v>
          </cell>
          <cell r="H323">
            <v>554000</v>
          </cell>
          <cell r="N323">
            <v>0</v>
          </cell>
          <cell r="AC323">
            <v>0</v>
          </cell>
          <cell r="AZ323">
            <v>554000</v>
          </cell>
        </row>
        <row r="324">
          <cell r="B324">
            <v>21572</v>
          </cell>
          <cell r="C324" t="str">
            <v>SA 1 &amp; 3</v>
          </cell>
          <cell r="D324" t="str">
            <v>AB3632 ASSESSMENT UNIT</v>
          </cell>
          <cell r="N324">
            <v>0</v>
          </cell>
          <cell r="AC324">
            <v>0</v>
          </cell>
          <cell r="AL324">
            <v>0</v>
          </cell>
          <cell r="AZ324">
            <v>0</v>
          </cell>
        </row>
        <row r="325">
          <cell r="B325">
            <v>23015</v>
          </cell>
          <cell r="C325" t="str">
            <v>SA 1 &amp; 3</v>
          </cell>
          <cell r="D325" t="str">
            <v>ARCADIA MHS</v>
          </cell>
          <cell r="G325">
            <v>14386.453135711576</v>
          </cell>
          <cell r="I325">
            <v>897.21964416418211</v>
          </cell>
          <cell r="M325">
            <v>3459363.5038139997</v>
          </cell>
          <cell r="N325">
            <v>547757.30597536836</v>
          </cell>
          <cell r="S325">
            <v>1703.4296317119235</v>
          </cell>
          <cell r="T325">
            <v>8276.741110580062</v>
          </cell>
          <cell r="W325">
            <v>1891335.6711740876</v>
          </cell>
          <cell r="Z325">
            <v>17023.298957339892</v>
          </cell>
          <cell r="AA325">
            <v>190607.62608639998</v>
          </cell>
          <cell r="AC325">
            <v>85202.626102700291</v>
          </cell>
          <cell r="AD325">
            <v>70398.67704084744</v>
          </cell>
          <cell r="AL325">
            <v>46416.465141340392</v>
          </cell>
          <cell r="AT325">
            <v>13197.385358972371</v>
          </cell>
          <cell r="AZ325">
            <v>6346566.4031732222</v>
          </cell>
        </row>
        <row r="326">
          <cell r="B326">
            <v>27610</v>
          </cell>
          <cell r="C326" t="str">
            <v>SA 1 &amp; 3</v>
          </cell>
          <cell r="D326" t="str">
            <v>PERMANANCY TEAM</v>
          </cell>
          <cell r="N326">
            <v>30468</v>
          </cell>
          <cell r="AZ326">
            <v>30468</v>
          </cell>
        </row>
        <row r="327">
          <cell r="D327" t="str">
            <v>UNALLOCATED SB90 AB3632 SERVICES / IDEA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X327">
            <v>0</v>
          </cell>
          <cell r="Y327">
            <v>0</v>
          </cell>
          <cell r="AC327">
            <v>0</v>
          </cell>
          <cell r="AG327">
            <v>0</v>
          </cell>
          <cell r="AW327">
            <v>0</v>
          </cell>
          <cell r="AY327">
            <v>0</v>
          </cell>
          <cell r="AZ327">
            <v>0</v>
          </cell>
        </row>
        <row r="328">
          <cell r="D328" t="str">
            <v>Sub total:  SA 1 &amp; 3</v>
          </cell>
          <cell r="E328">
            <v>0</v>
          </cell>
          <cell r="F328">
            <v>0</v>
          </cell>
          <cell r="G328">
            <v>2226684.312497329</v>
          </cell>
          <cell r="H328">
            <v>554000</v>
          </cell>
          <cell r="I328">
            <v>6353898.5259613963</v>
          </cell>
          <cell r="J328">
            <v>0</v>
          </cell>
          <cell r="K328">
            <v>0</v>
          </cell>
          <cell r="L328">
            <v>0</v>
          </cell>
          <cell r="M328">
            <v>6012475.2226329995</v>
          </cell>
          <cell r="N328">
            <v>1400027.5652359442</v>
          </cell>
          <cell r="O328">
            <v>0</v>
          </cell>
          <cell r="P328">
            <v>126103</v>
          </cell>
          <cell r="Q328">
            <v>0</v>
          </cell>
          <cell r="R328">
            <v>0</v>
          </cell>
          <cell r="S328">
            <v>7469065.9925861461</v>
          </cell>
          <cell r="T328">
            <v>310256.56046726787</v>
          </cell>
          <cell r="U328">
            <v>0</v>
          </cell>
          <cell r="V328">
            <v>0</v>
          </cell>
          <cell r="W328">
            <v>3532694.4984619571</v>
          </cell>
          <cell r="X328">
            <v>0</v>
          </cell>
          <cell r="Y328">
            <v>0</v>
          </cell>
          <cell r="Z328">
            <v>2634805.9787695548</v>
          </cell>
          <cell r="AA328">
            <v>785759.10528000002</v>
          </cell>
          <cell r="AB328">
            <v>0</v>
          </cell>
          <cell r="AC328">
            <v>90690.565943443711</v>
          </cell>
          <cell r="AD328">
            <v>633751.11364606535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57344.398129657682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28753.647957383488</v>
          </cell>
          <cell r="AU328">
            <v>0</v>
          </cell>
          <cell r="AV328">
            <v>0</v>
          </cell>
          <cell r="AW328">
            <v>58686</v>
          </cell>
          <cell r="AY328">
            <v>0</v>
          </cell>
          <cell r="AZ328">
            <v>32274996.487569146</v>
          </cell>
        </row>
        <row r="330">
          <cell r="B330">
            <v>18587</v>
          </cell>
          <cell r="C330" t="str">
            <v>SA 2 &amp; 5</v>
          </cell>
          <cell r="D330" t="str">
            <v>GERIATRIC MOBILE ASSESSMENT</v>
          </cell>
          <cell r="N330">
            <v>397931</v>
          </cell>
          <cell r="AC330" t="str">
            <v xml:space="preserve">  </v>
          </cell>
          <cell r="AL330" t="str">
            <v xml:space="preserve"> </v>
          </cell>
          <cell r="AZ330">
            <v>397931</v>
          </cell>
        </row>
        <row r="331">
          <cell r="B331">
            <v>18588</v>
          </cell>
          <cell r="C331" t="str">
            <v>SA 2 &amp; 5</v>
          </cell>
          <cell r="D331" t="str">
            <v>EDMUND D EDELMAN W MHC CH &amp; FM</v>
          </cell>
          <cell r="G331">
            <v>307319.47390534845</v>
          </cell>
          <cell r="I331">
            <v>204158.4788697506</v>
          </cell>
          <cell r="M331">
            <v>79183.09943599999</v>
          </cell>
          <cell r="N331">
            <v>184579.11228316795</v>
          </cell>
          <cell r="S331">
            <v>387608.10101960658</v>
          </cell>
          <cell r="T331">
            <v>82130.148041331617</v>
          </cell>
          <cell r="W331">
            <v>740.01595040811412</v>
          </cell>
          <cell r="Z331">
            <v>363647.05256758205</v>
          </cell>
          <cell r="AA331">
            <v>61607.80938240001</v>
          </cell>
          <cell r="AC331">
            <v>6028.1368573191412</v>
          </cell>
          <cell r="AD331">
            <v>37815.813989360366</v>
          </cell>
          <cell r="AG331">
            <v>53400</v>
          </cell>
          <cell r="AL331">
            <v>5209.2039021776627</v>
          </cell>
          <cell r="AT331">
            <v>548.35973087072955</v>
          </cell>
          <cell r="AZ331">
            <v>1773974.8059353235</v>
          </cell>
        </row>
        <row r="332">
          <cell r="B332">
            <v>18716</v>
          </cell>
          <cell r="C332" t="str">
            <v>SA 2 &amp; 5</v>
          </cell>
          <cell r="D332" t="str">
            <v>LAC-DMH OLDER ADULT SERVICES</v>
          </cell>
          <cell r="G332">
            <v>0</v>
          </cell>
          <cell r="M332">
            <v>382353.78499999992</v>
          </cell>
          <cell r="N332">
            <v>0</v>
          </cell>
          <cell r="T332">
            <v>0</v>
          </cell>
          <cell r="W332">
            <v>671168.59301171731</v>
          </cell>
          <cell r="Z332">
            <v>0</v>
          </cell>
          <cell r="AA332">
            <v>66560.146892799996</v>
          </cell>
          <cell r="AC332">
            <v>0</v>
          </cell>
          <cell r="AD332">
            <v>91838.288959676283</v>
          </cell>
          <cell r="AL332" t="str">
            <v xml:space="preserve"> </v>
          </cell>
          <cell r="AZ332">
            <v>1211920.8138641934</v>
          </cell>
        </row>
        <row r="333">
          <cell r="B333">
            <v>20452</v>
          </cell>
          <cell r="C333" t="str">
            <v>SA 2 &amp; 5</v>
          </cell>
          <cell r="D333" t="str">
            <v>SAN FERNANDO MHS</v>
          </cell>
          <cell r="G333">
            <v>179957.6742754541</v>
          </cell>
          <cell r="I333">
            <v>70940.518968754244</v>
          </cell>
          <cell r="M333">
            <v>3275358.5676950002</v>
          </cell>
          <cell r="N333">
            <v>526796.35622251465</v>
          </cell>
          <cell r="S333">
            <v>134685.17200486627</v>
          </cell>
          <cell r="T333">
            <v>59577.511365245147</v>
          </cell>
          <cell r="W333">
            <v>2435807.7407874786</v>
          </cell>
          <cell r="Z333">
            <v>212941.52630672895</v>
          </cell>
          <cell r="AA333">
            <v>278013.65975039999</v>
          </cell>
          <cell r="AC333">
            <v>31383.015181194336</v>
          </cell>
          <cell r="AD333">
            <v>69233.08205001273</v>
          </cell>
          <cell r="AL333">
            <v>26725.205431367827</v>
          </cell>
          <cell r="AT333">
            <v>15532.115932591334</v>
          </cell>
          <cell r="AZ333">
            <v>7316952.1459716093</v>
          </cell>
        </row>
        <row r="334">
          <cell r="B334">
            <v>20469</v>
          </cell>
          <cell r="C334" t="str">
            <v>SA 2 &amp; 5</v>
          </cell>
          <cell r="D334" t="str">
            <v>SANTA CLARITA VALLEY MH CENTER               18218</v>
          </cell>
          <cell r="G334">
            <v>12009.06119994767</v>
          </cell>
          <cell r="I334">
            <v>3263.0851459013138</v>
          </cell>
          <cell r="M334">
            <v>1212420.1572130001</v>
          </cell>
          <cell r="N334">
            <v>354658.71529580501</v>
          </cell>
          <cell r="S334">
            <v>6195.1785880762391</v>
          </cell>
          <cell r="T334">
            <v>1154.3053083374214</v>
          </cell>
          <cell r="W334">
            <v>984051.76035181701</v>
          </cell>
          <cell r="Z334">
            <v>14210.162649210097</v>
          </cell>
          <cell r="AA334">
            <v>99918.26344960001</v>
          </cell>
          <cell r="AC334">
            <v>49005.743860371578</v>
          </cell>
          <cell r="AD334">
            <v>30879.301141805579</v>
          </cell>
          <cell r="AL334">
            <v>13571.555282384117</v>
          </cell>
          <cell r="AO334">
            <v>43.075373451324886</v>
          </cell>
          <cell r="AT334">
            <v>5668.0111226815216</v>
          </cell>
          <cell r="AZ334">
            <v>2787048.3759823884</v>
          </cell>
        </row>
        <row r="335">
          <cell r="B335">
            <v>20492</v>
          </cell>
          <cell r="C335" t="str">
            <v>SA 2 &amp; 5</v>
          </cell>
          <cell r="D335" t="str">
            <v>VALY COORDINATED CHILDRN SRVCS</v>
          </cell>
          <cell r="G335">
            <v>572935.15864425723</v>
          </cell>
          <cell r="I335">
            <v>4131.7836355861191</v>
          </cell>
          <cell r="M335">
            <v>769232.54158299998</v>
          </cell>
          <cell r="N335">
            <v>228482.13519372023</v>
          </cell>
          <cell r="S335">
            <v>7844.4589599198471</v>
          </cell>
          <cell r="T335">
            <v>717759.64049381856</v>
          </cell>
          <cell r="W335">
            <v>6281.7142382042903</v>
          </cell>
          <cell r="Z335">
            <v>677946.5652003974</v>
          </cell>
          <cell r="AA335">
            <v>136014.6557952</v>
          </cell>
          <cell r="AC335">
            <v>317.41558614250459</v>
          </cell>
          <cell r="AD335">
            <v>83307.43778899376</v>
          </cell>
          <cell r="AL335">
            <v>12291.374258554166</v>
          </cell>
          <cell r="AO335">
            <v>63878.123595914454</v>
          </cell>
          <cell r="AT335">
            <v>558.25180041882072</v>
          </cell>
          <cell r="AZ335">
            <v>3280981.2567741261</v>
          </cell>
        </row>
        <row r="336">
          <cell r="B336">
            <v>20499</v>
          </cell>
          <cell r="C336" t="str">
            <v>SA 2 &amp; 5</v>
          </cell>
          <cell r="D336" t="str">
            <v>WEST VALLEY MENTAL HEALTH CTR    18219</v>
          </cell>
          <cell r="G336">
            <v>25210.061032444173</v>
          </cell>
          <cell r="I336">
            <v>5786.8340128484651</v>
          </cell>
          <cell r="M336">
            <v>3383916.8829999999</v>
          </cell>
          <cell r="N336">
            <v>665426.9762810712</v>
          </cell>
          <cell r="S336">
            <v>10986.679343682179</v>
          </cell>
          <cell r="T336">
            <v>0</v>
          </cell>
          <cell r="W336">
            <v>1661323.3456092326</v>
          </cell>
          <cell r="Z336">
            <v>29830.730454525969</v>
          </cell>
          <cell r="AA336">
            <v>169555.44755200003</v>
          </cell>
          <cell r="AC336">
            <v>82980.089278983331</v>
          </cell>
          <cell r="AD336">
            <v>76123.949219604765</v>
          </cell>
          <cell r="AL336">
            <v>27930.005593191621</v>
          </cell>
          <cell r="AO336">
            <v>80.486732135599524</v>
          </cell>
          <cell r="AT336">
            <v>12309.442320949103</v>
          </cell>
          <cell r="AZ336">
            <v>6151460.9304306693</v>
          </cell>
        </row>
        <row r="337">
          <cell r="B337">
            <v>23001</v>
          </cell>
          <cell r="C337" t="str">
            <v>SA 2 &amp; 5</v>
          </cell>
          <cell r="D337" t="str">
            <v>EDMUND D. EDELMAN WESTSIDE MHC</v>
          </cell>
          <cell r="G337">
            <v>34920.038705933577</v>
          </cell>
          <cell r="M337">
            <v>4033942.3044540002</v>
          </cell>
          <cell r="N337">
            <v>855350.9257612935</v>
          </cell>
          <cell r="T337">
            <v>0</v>
          </cell>
          <cell r="W337">
            <v>2882955.175262413</v>
          </cell>
          <cell r="Z337">
            <v>41320.418096477886</v>
          </cell>
          <cell r="AA337">
            <v>292554.54213120003</v>
          </cell>
          <cell r="AC337">
            <v>17671.557409267491</v>
          </cell>
          <cell r="AD337">
            <v>86804.222761497876</v>
          </cell>
          <cell r="AH337">
            <v>102000</v>
          </cell>
          <cell r="AL337">
            <v>30954.805931349736</v>
          </cell>
          <cell r="AO337">
            <v>90.083088365124155</v>
          </cell>
          <cell r="AT337">
            <v>12023.201757620685</v>
          </cell>
          <cell r="AZ337">
            <v>8390587.2753594201</v>
          </cell>
        </row>
        <row r="338">
          <cell r="B338">
            <v>27498</v>
          </cell>
          <cell r="C338" t="str">
            <v>SA 2 &amp; 5</v>
          </cell>
          <cell r="D338" t="str">
            <v>OLDER ADULT BUREAU ADMIN</v>
          </cell>
          <cell r="G338">
            <v>0</v>
          </cell>
          <cell r="M338">
            <v>0</v>
          </cell>
          <cell r="T338">
            <v>0</v>
          </cell>
          <cell r="W338">
            <v>0</v>
          </cell>
          <cell r="Z338">
            <v>0</v>
          </cell>
          <cell r="AA338">
            <v>0</v>
          </cell>
          <cell r="AD338">
            <v>11154.662552148913</v>
          </cell>
          <cell r="AZ338">
            <v>11154.662552148913</v>
          </cell>
        </row>
        <row r="339">
          <cell r="B339">
            <v>27553</v>
          </cell>
          <cell r="C339" t="str">
            <v>SA 2 &amp; 5</v>
          </cell>
          <cell r="D339" t="str">
            <v>PSYCHIATRIC EMERGENCY SERVICES (PES)-OLIVE VIEW</v>
          </cell>
          <cell r="G339">
            <v>1293.075949551547</v>
          </cell>
          <cell r="M339">
            <v>462425.94235099998</v>
          </cell>
          <cell r="T339">
            <v>0</v>
          </cell>
          <cell r="W339">
            <v>56355.187764812566</v>
          </cell>
          <cell r="Z339">
            <v>1530.0796003095845</v>
          </cell>
          <cell r="AA339">
            <v>5835.0336512000003</v>
          </cell>
          <cell r="AD339">
            <v>9183.7473858284102</v>
          </cell>
          <cell r="AT339">
            <v>39.742871152340264</v>
          </cell>
          <cell r="AZ339">
            <v>536662.80957385444</v>
          </cell>
        </row>
        <row r="340">
          <cell r="D340" t="str">
            <v>Sub total:  SA 2 &amp; 5</v>
          </cell>
          <cell r="E340">
            <v>0</v>
          </cell>
          <cell r="F340">
            <v>0</v>
          </cell>
          <cell r="G340">
            <v>1133644.5437129368</v>
          </cell>
          <cell r="H340">
            <v>0</v>
          </cell>
          <cell r="I340">
            <v>288280.70063284069</v>
          </cell>
          <cell r="J340">
            <v>0</v>
          </cell>
          <cell r="K340">
            <v>0</v>
          </cell>
          <cell r="L340">
            <v>0</v>
          </cell>
          <cell r="M340">
            <v>13598833.280732</v>
          </cell>
          <cell r="N340">
            <v>3213225.2210375727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547319.58991615113</v>
          </cell>
          <cell r="T340">
            <v>860621.60520873277</v>
          </cell>
          <cell r="U340">
            <v>0</v>
          </cell>
          <cell r="V340">
            <v>0</v>
          </cell>
          <cell r="W340">
            <v>8698683.5329760835</v>
          </cell>
          <cell r="X340">
            <v>0</v>
          </cell>
          <cell r="Y340">
            <v>0</v>
          </cell>
          <cell r="Z340">
            <v>1341426.5348752316</v>
          </cell>
          <cell r="AA340">
            <v>1110059.5586047999</v>
          </cell>
          <cell r="AB340">
            <v>0</v>
          </cell>
          <cell r="AC340">
            <v>187385.9581732784</v>
          </cell>
          <cell r="AD340">
            <v>496340.5058489287</v>
          </cell>
          <cell r="AE340">
            <v>0</v>
          </cell>
          <cell r="AF340">
            <v>0</v>
          </cell>
          <cell r="AG340">
            <v>53400</v>
          </cell>
          <cell r="AH340">
            <v>102000</v>
          </cell>
          <cell r="AI340">
            <v>0</v>
          </cell>
          <cell r="AJ340">
            <v>0</v>
          </cell>
          <cell r="AK340">
            <v>0</v>
          </cell>
          <cell r="AL340">
            <v>116682.15039902514</v>
          </cell>
          <cell r="AM340">
            <v>0</v>
          </cell>
          <cell r="AN340">
            <v>0</v>
          </cell>
          <cell r="AO340">
            <v>64091.768789866503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46679.125536284533</v>
          </cell>
          <cell r="AU340">
            <v>0</v>
          </cell>
          <cell r="AV340">
            <v>0</v>
          </cell>
          <cell r="AW340">
            <v>0</v>
          </cell>
          <cell r="AY340">
            <v>0</v>
          </cell>
          <cell r="AZ340">
            <v>31858674.076443736</v>
          </cell>
        </row>
        <row r="342">
          <cell r="B342">
            <v>18213</v>
          </cell>
          <cell r="C342" t="str">
            <v>SA 4 &amp; 7</v>
          </cell>
          <cell r="D342" t="str">
            <v>DMH/DPSS CO-LOCATED</v>
          </cell>
          <cell r="G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T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D342">
            <v>262258.87293780874</v>
          </cell>
          <cell r="AG342">
            <v>0</v>
          </cell>
          <cell r="AL342" t="str">
            <v xml:space="preserve"> </v>
          </cell>
          <cell r="AW342">
            <v>0</v>
          </cell>
          <cell r="AY342">
            <v>0</v>
          </cell>
          <cell r="AZ342">
            <v>262258.87293780874</v>
          </cell>
        </row>
        <row r="343">
          <cell r="B343">
            <v>18608</v>
          </cell>
          <cell r="C343" t="str">
            <v>SA 4 &amp; 7</v>
          </cell>
          <cell r="D343" t="str">
            <v>RIO HONDO MHC - C &amp; Y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X343">
            <v>0</v>
          </cell>
          <cell r="Y343">
            <v>0</v>
          </cell>
          <cell r="AG343">
            <v>0</v>
          </cell>
          <cell r="AL343">
            <v>0</v>
          </cell>
          <cell r="AT343">
            <v>341.1454546891635</v>
          </cell>
          <cell r="AW343">
            <v>0</v>
          </cell>
          <cell r="AY343">
            <v>0</v>
          </cell>
          <cell r="AZ343">
            <v>341.1454546891635</v>
          </cell>
        </row>
        <row r="344">
          <cell r="B344">
            <v>18621</v>
          </cell>
          <cell r="C344" t="str">
            <v>SA 4 &amp; 7</v>
          </cell>
          <cell r="D344" t="str">
            <v xml:space="preserve">SIDEKICK PROGRAM </v>
          </cell>
          <cell r="K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X344">
            <v>0</v>
          </cell>
          <cell r="Y344">
            <v>0</v>
          </cell>
          <cell r="AG344">
            <v>0</v>
          </cell>
          <cell r="AW344">
            <v>0</v>
          </cell>
          <cell r="AY344">
            <v>0</v>
          </cell>
          <cell r="AZ344">
            <v>0</v>
          </cell>
        </row>
        <row r="345">
          <cell r="B345">
            <v>18632</v>
          </cell>
          <cell r="C345" t="str">
            <v>SA 4 &amp; 7</v>
          </cell>
          <cell r="D345" t="str">
            <v>LONG BEACH MET</v>
          </cell>
          <cell r="G345">
            <v>15736.635632144993</v>
          </cell>
          <cell r="M345">
            <v>334400.72159999999</v>
          </cell>
          <cell r="N345">
            <v>0</v>
          </cell>
          <cell r="T345">
            <v>0</v>
          </cell>
          <cell r="W345">
            <v>169495.96004680812</v>
          </cell>
          <cell r="Z345">
            <v>18620.951976255223</v>
          </cell>
          <cell r="AA345">
            <v>19805.9659264</v>
          </cell>
          <cell r="AD345">
            <v>30884.191750158734</v>
          </cell>
          <cell r="AZ345">
            <v>588944.42693176714</v>
          </cell>
        </row>
        <row r="346">
          <cell r="B346">
            <v>18662</v>
          </cell>
          <cell r="C346" t="str">
            <v>SA 4 &amp; 7</v>
          </cell>
          <cell r="D346" t="str">
            <v>ACCESS CENTER</v>
          </cell>
          <cell r="G346">
            <v>50474.097920724671</v>
          </cell>
          <cell r="M346">
            <v>106876.60853</v>
          </cell>
          <cell r="N346">
            <v>0</v>
          </cell>
          <cell r="T346">
            <v>5252.6775384029088</v>
          </cell>
          <cell r="W346">
            <v>168550.18078095949</v>
          </cell>
          <cell r="Z346">
            <v>59725.32982251604</v>
          </cell>
          <cell r="AA346">
            <v>26520.058316800005</v>
          </cell>
          <cell r="AD346">
            <v>194783.14948936217</v>
          </cell>
          <cell r="AZ346">
            <v>612182.10239876527</v>
          </cell>
        </row>
        <row r="347">
          <cell r="B347">
            <v>18676</v>
          </cell>
          <cell r="C347" t="str">
            <v>SA 4 &amp; 7</v>
          </cell>
          <cell r="D347" t="str">
            <v>CAL WORKS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X347">
            <v>0</v>
          </cell>
          <cell r="Y347">
            <v>0</v>
          </cell>
          <cell r="AG347">
            <v>0</v>
          </cell>
          <cell r="AW347">
            <v>0</v>
          </cell>
          <cell r="AY347">
            <v>0</v>
          </cell>
          <cell r="AZ347">
            <v>0</v>
          </cell>
        </row>
        <row r="348">
          <cell r="B348">
            <v>20440</v>
          </cell>
          <cell r="C348" t="str">
            <v>SA 4 &amp; 7</v>
          </cell>
          <cell r="D348" t="str">
            <v>HOLLYWOOD GI ADMINISTRATION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X348">
            <v>0</v>
          </cell>
          <cell r="Y348">
            <v>0</v>
          </cell>
          <cell r="AG348">
            <v>0</v>
          </cell>
          <cell r="AW348">
            <v>0</v>
          </cell>
          <cell r="AY348">
            <v>0</v>
          </cell>
          <cell r="AZ348">
            <v>0</v>
          </cell>
        </row>
        <row r="349">
          <cell r="B349">
            <v>20449</v>
          </cell>
          <cell r="C349" t="str">
            <v>SA 4 &amp; 7</v>
          </cell>
          <cell r="D349" t="str">
            <v>METRO STATE HOSPITAL CCU</v>
          </cell>
          <cell r="G349">
            <v>0</v>
          </cell>
          <cell r="I349">
            <v>405.41965424832313</v>
          </cell>
          <cell r="K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769.71548362423391</v>
          </cell>
          <cell r="T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G349">
            <v>0</v>
          </cell>
          <cell r="AW349">
            <v>0</v>
          </cell>
          <cell r="AY349">
            <v>0</v>
          </cell>
          <cell r="AZ349">
            <v>1175.1351378725572</v>
          </cell>
        </row>
        <row r="350">
          <cell r="B350">
            <v>20450</v>
          </cell>
          <cell r="C350" t="str">
            <v>SA 4 &amp; 7</v>
          </cell>
          <cell r="D350" t="str">
            <v>SMART</v>
          </cell>
          <cell r="G350">
            <v>117166.98988707147</v>
          </cell>
          <cell r="I350">
            <v>0</v>
          </cell>
          <cell r="M350">
            <v>1769897.109921</v>
          </cell>
          <cell r="N350">
            <v>0</v>
          </cell>
          <cell r="S350">
            <v>0</v>
          </cell>
          <cell r="T350">
            <v>2553.5929295657324</v>
          </cell>
          <cell r="W350">
            <v>868756.16940134566</v>
          </cell>
          <cell r="Z350">
            <v>138642.14326935858</v>
          </cell>
          <cell r="AA350">
            <v>108562.35642880001</v>
          </cell>
          <cell r="AD350">
            <v>40332.031987057388</v>
          </cell>
          <cell r="AZ350">
            <v>3045910.3938241992</v>
          </cell>
        </row>
        <row r="351">
          <cell r="B351">
            <v>20477</v>
          </cell>
          <cell r="C351" t="str">
            <v>SA 4 &amp; 7</v>
          </cell>
          <cell r="D351" t="str">
            <v>HOLLYWOOD MENTAL HEALTH CENTER</v>
          </cell>
          <cell r="G351">
            <v>23134.284899395116</v>
          </cell>
          <cell r="I351">
            <v>2509.8061430249618</v>
          </cell>
          <cell r="M351">
            <v>3391730.808921</v>
          </cell>
          <cell r="N351">
            <v>640362.56017448404</v>
          </cell>
          <cell r="S351">
            <v>4765.0295907910395</v>
          </cell>
          <cell r="T351">
            <v>0</v>
          </cell>
          <cell r="W351">
            <v>1937275.7806288572</v>
          </cell>
          <cell r="Z351">
            <v>27374.492120583258</v>
          </cell>
          <cell r="AA351">
            <v>196526.47664640003</v>
          </cell>
          <cell r="AC351">
            <v>66416.587789903439</v>
          </cell>
          <cell r="AD351">
            <v>63249.422729930513</v>
          </cell>
          <cell r="AG351">
            <v>63328</v>
          </cell>
          <cell r="AL351">
            <v>27217.475539169849</v>
          </cell>
          <cell r="AO351">
            <v>40.319126774874952</v>
          </cell>
          <cell r="AT351">
            <v>19219.987891536966</v>
          </cell>
          <cell r="AZ351">
            <v>6463151.0322018517</v>
          </cell>
        </row>
        <row r="352">
          <cell r="B352">
            <v>20478</v>
          </cell>
          <cell r="C352" t="str">
            <v>SA 4 &amp; 7</v>
          </cell>
          <cell r="D352" t="str">
            <v>COMMUNITY LIVING PROGRAM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X352">
            <v>0</v>
          </cell>
          <cell r="Y352">
            <v>0</v>
          </cell>
          <cell r="AG352">
            <v>0</v>
          </cell>
          <cell r="AL352" t="str">
            <v xml:space="preserve"> </v>
          </cell>
          <cell r="AW352">
            <v>0</v>
          </cell>
          <cell r="AY352">
            <v>0</v>
          </cell>
          <cell r="AZ352">
            <v>0</v>
          </cell>
        </row>
        <row r="353">
          <cell r="B353">
            <v>20481</v>
          </cell>
          <cell r="C353" t="str">
            <v>SA 4 &amp; 7</v>
          </cell>
          <cell r="D353" t="str">
            <v>NORTHEAST MENTAL HEALTH CENTER</v>
          </cell>
          <cell r="G353">
            <v>13471.496109183452</v>
          </cell>
          <cell r="I353">
            <v>23.081241038651527</v>
          </cell>
          <cell r="M353">
            <v>1672637.4791919999</v>
          </cell>
          <cell r="N353">
            <v>347727.18429287721</v>
          </cell>
          <cell r="S353">
            <v>43.82123171026965</v>
          </cell>
          <cell r="T353">
            <v>0</v>
          </cell>
          <cell r="W353">
            <v>1613525.872038265</v>
          </cell>
          <cell r="Z353">
            <v>15940.642457591275</v>
          </cell>
          <cell r="AA353">
            <v>162579.79735040001</v>
          </cell>
          <cell r="AC353">
            <v>30125.367473322236</v>
          </cell>
          <cell r="AD353">
            <v>70587.780563836015</v>
          </cell>
          <cell r="AL353">
            <v>18151.079018407167</v>
          </cell>
          <cell r="AT353">
            <v>5981.2998111514198</v>
          </cell>
          <cell r="AZ353">
            <v>3950794.9007797823</v>
          </cell>
        </row>
        <row r="354">
          <cell r="B354">
            <v>20483</v>
          </cell>
          <cell r="C354" t="str">
            <v>SA 4 &amp; 7</v>
          </cell>
          <cell r="D354" t="str">
            <v>DOWNTOWN MENTAL HEALTH CENTER</v>
          </cell>
          <cell r="G354">
            <v>4665.0952860128245</v>
          </cell>
          <cell r="M354">
            <v>804371.77648999996</v>
          </cell>
          <cell r="N354">
            <v>731276.52080888546</v>
          </cell>
          <cell r="T354">
            <v>0</v>
          </cell>
          <cell r="W354">
            <v>1410326.2864104907</v>
          </cell>
          <cell r="Z354">
            <v>5520.1453039971511</v>
          </cell>
          <cell r="AA354">
            <v>140751.25248000002</v>
          </cell>
          <cell r="AC354">
            <v>514.32752027337847</v>
          </cell>
          <cell r="AD354">
            <v>22376.978519849767</v>
          </cell>
          <cell r="AL354">
            <v>3085.3257205874802</v>
          </cell>
          <cell r="AT354">
            <v>22071.111603420595</v>
          </cell>
          <cell r="AZ354">
            <v>3144958.8201435171</v>
          </cell>
        </row>
        <row r="355">
          <cell r="B355">
            <v>20488</v>
          </cell>
          <cell r="C355" t="str">
            <v>SA 4 &amp; 7</v>
          </cell>
          <cell r="D355" t="str">
            <v>ROYBAL FAMILY MHS/CASA DE LA ESPERANZA</v>
          </cell>
          <cell r="G355">
            <v>514907.60358995595</v>
          </cell>
          <cell r="I355">
            <v>46807.116596500033</v>
          </cell>
          <cell r="M355">
            <v>338399.18964900001</v>
          </cell>
          <cell r="N355">
            <v>183694.6565295074</v>
          </cell>
          <cell r="S355">
            <v>88866.343825707474</v>
          </cell>
          <cell r="T355">
            <v>256818.08477277152</v>
          </cell>
          <cell r="W355">
            <v>25621.657868670896</v>
          </cell>
          <cell r="Z355">
            <v>609283.32985430653</v>
          </cell>
          <cell r="AA355">
            <v>110005.2289536</v>
          </cell>
          <cell r="AD355">
            <v>36965.663237304005</v>
          </cell>
          <cell r="AL355">
            <v>3449.8892481906587</v>
          </cell>
          <cell r="AT355">
            <v>20.675482102373547</v>
          </cell>
          <cell r="AZ355">
            <v>2214839.4396076165</v>
          </cell>
        </row>
        <row r="356">
          <cell r="B356">
            <v>20520</v>
          </cell>
          <cell r="C356" t="str">
            <v>SA 4 &amp; 7</v>
          </cell>
          <cell r="D356" t="str">
            <v>LIFE SUPPORT</v>
          </cell>
          <cell r="N356">
            <v>0</v>
          </cell>
          <cell r="Q356">
            <v>400000</v>
          </cell>
          <cell r="AL356" t="str">
            <v xml:space="preserve">  </v>
          </cell>
          <cell r="AZ356">
            <v>400000</v>
          </cell>
        </row>
        <row r="357">
          <cell r="B357">
            <v>20522</v>
          </cell>
          <cell r="C357" t="str">
            <v>SA 4 &amp; 7</v>
          </cell>
          <cell r="D357" t="str">
            <v>SPECIALIZED SHELTERS</v>
          </cell>
          <cell r="K357">
            <v>0</v>
          </cell>
          <cell r="L357">
            <v>0</v>
          </cell>
          <cell r="N357">
            <v>16315</v>
          </cell>
          <cell r="O357">
            <v>0</v>
          </cell>
          <cell r="P357">
            <v>0</v>
          </cell>
          <cell r="R357">
            <v>0</v>
          </cell>
          <cell r="X357">
            <v>0</v>
          </cell>
          <cell r="Y357">
            <v>0</v>
          </cell>
          <cell r="AG357">
            <v>0</v>
          </cell>
          <cell r="AL357" t="str">
            <v xml:space="preserve"> </v>
          </cell>
          <cell r="AW357">
            <v>0</v>
          </cell>
          <cell r="AY357">
            <v>0</v>
          </cell>
          <cell r="AZ357">
            <v>16315</v>
          </cell>
        </row>
        <row r="358">
          <cell r="B358">
            <v>20572</v>
          </cell>
          <cell r="C358" t="str">
            <v>SA 4 &amp; 7</v>
          </cell>
          <cell r="D358" t="str">
            <v>LA CENTRAL CONTINUING CARE SRV</v>
          </cell>
          <cell r="N358">
            <v>0</v>
          </cell>
          <cell r="AL358" t="str">
            <v xml:space="preserve"> </v>
          </cell>
          <cell r="AZ358">
            <v>0</v>
          </cell>
        </row>
        <row r="359">
          <cell r="B359">
            <v>20575</v>
          </cell>
          <cell r="C359" t="str">
            <v>SA 4 &amp; 7</v>
          </cell>
          <cell r="D359" t="str">
            <v>LPS MENTAL HEALTH SERVICES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X359">
            <v>0</v>
          </cell>
          <cell r="Y359">
            <v>0</v>
          </cell>
          <cell r="AG359">
            <v>0</v>
          </cell>
          <cell r="AL359">
            <v>4381.3605962952461</v>
          </cell>
          <cell r="AW359">
            <v>0</v>
          </cell>
          <cell r="AY359">
            <v>0</v>
          </cell>
          <cell r="AZ359">
            <v>4381.3605962952461</v>
          </cell>
        </row>
        <row r="360">
          <cell r="B360">
            <v>20679</v>
          </cell>
          <cell r="C360" t="str">
            <v>SA 4 &amp; 7</v>
          </cell>
          <cell r="D360" t="str">
            <v>MENTAL HEALTH COURT PROGRAM</v>
          </cell>
          <cell r="G360">
            <v>0</v>
          </cell>
          <cell r="K360">
            <v>0</v>
          </cell>
          <cell r="L360">
            <v>0</v>
          </cell>
          <cell r="M360">
            <v>424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T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C360">
            <v>1396.180654311921</v>
          </cell>
          <cell r="AD360">
            <v>77180.320623885738</v>
          </cell>
          <cell r="AG360">
            <v>0</v>
          </cell>
          <cell r="AL360" t="str">
            <v xml:space="preserve"> </v>
          </cell>
          <cell r="AW360">
            <v>0</v>
          </cell>
          <cell r="AY360">
            <v>0</v>
          </cell>
          <cell r="AZ360">
            <v>79000.501278197655</v>
          </cell>
        </row>
        <row r="361">
          <cell r="B361">
            <v>20924</v>
          </cell>
          <cell r="C361" t="str">
            <v>SA 4 &amp; 7</v>
          </cell>
          <cell r="D361" t="str">
            <v>INSTITUTION FOR MENTAL DISEASES (IMD) ADMIN.</v>
          </cell>
          <cell r="K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X361">
            <v>0</v>
          </cell>
          <cell r="Y361">
            <v>0</v>
          </cell>
          <cell r="AG361">
            <v>0</v>
          </cell>
          <cell r="AL361" t="str">
            <v xml:space="preserve"> </v>
          </cell>
          <cell r="AW361">
            <v>0</v>
          </cell>
          <cell r="AY361">
            <v>0</v>
          </cell>
          <cell r="AZ361">
            <v>0</v>
          </cell>
        </row>
        <row r="362">
          <cell r="B362">
            <v>20928</v>
          </cell>
          <cell r="C362" t="str">
            <v>SA 4 &amp; 7</v>
          </cell>
          <cell r="D362" t="str">
            <v>INTENSIVE CASE MGMT PROGRAM</v>
          </cell>
          <cell r="G362">
            <v>863.46744212066949</v>
          </cell>
          <cell r="M362">
            <v>22298.216264000002</v>
          </cell>
          <cell r="N362">
            <v>0</v>
          </cell>
          <cell r="T362">
            <v>0</v>
          </cell>
          <cell r="W362">
            <v>7914.4361406720627</v>
          </cell>
          <cell r="Z362">
            <v>1021.7295582510302</v>
          </cell>
          <cell r="AA362">
            <v>949.32177920000015</v>
          </cell>
          <cell r="AD362">
            <v>206169.30083689361</v>
          </cell>
          <cell r="AL362">
            <v>754.4867125266926</v>
          </cell>
          <cell r="AZ362">
            <v>239970.95873366407</v>
          </cell>
        </row>
        <row r="363">
          <cell r="B363">
            <v>20952</v>
          </cell>
          <cell r="C363" t="str">
            <v>SA 4 &amp; 7</v>
          </cell>
          <cell r="D363" t="str">
            <v>EMERGENCY DISASTER PLANNING &amp; MANAGEMENT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X363">
            <v>0</v>
          </cell>
          <cell r="Y363">
            <v>0</v>
          </cell>
          <cell r="AG363">
            <v>0</v>
          </cell>
          <cell r="AL363" t="str">
            <v xml:space="preserve"> </v>
          </cell>
          <cell r="AW363">
            <v>0</v>
          </cell>
          <cell r="AY363">
            <v>0</v>
          </cell>
          <cell r="AZ363">
            <v>0</v>
          </cell>
        </row>
        <row r="364">
          <cell r="B364">
            <v>20981</v>
          </cell>
          <cell r="C364" t="str">
            <v>SA 4 &amp; 7</v>
          </cell>
          <cell r="D364" t="str">
            <v>M.E.T.</v>
          </cell>
          <cell r="G364">
            <v>24600.828554981184</v>
          </cell>
          <cell r="M364">
            <v>447219.93783000001</v>
          </cell>
          <cell r="N364">
            <v>0</v>
          </cell>
          <cell r="T364">
            <v>2634.659371774168</v>
          </cell>
          <cell r="W364">
            <v>298716.10327871918</v>
          </cell>
          <cell r="Z364">
            <v>29109.833753960564</v>
          </cell>
          <cell r="AA364">
            <v>34405.3983744</v>
          </cell>
          <cell r="AD364">
            <v>35179.776087011109</v>
          </cell>
          <cell r="AZ364">
            <v>871866.53725084628</v>
          </cell>
        </row>
        <row r="365">
          <cell r="B365">
            <v>21532</v>
          </cell>
          <cell r="C365" t="str">
            <v>SA 4 &amp; 7</v>
          </cell>
          <cell r="D365" t="str">
            <v>EMERGENCY OUTREACH BUREAU</v>
          </cell>
          <cell r="G365">
            <v>309573.02758626558</v>
          </cell>
          <cell r="I365">
            <v>61.549976103070733</v>
          </cell>
          <cell r="M365">
            <v>2372018.7183889998</v>
          </cell>
          <cell r="N365">
            <v>30468</v>
          </cell>
          <cell r="S365">
            <v>116.85661789405239</v>
          </cell>
          <cell r="T365">
            <v>13229.044896108018</v>
          </cell>
          <cell r="W365">
            <v>866422.89204438427</v>
          </cell>
          <cell r="Z365">
            <v>366313.65271320351</v>
          </cell>
          <cell r="AA365">
            <v>0</v>
          </cell>
          <cell r="AD365">
            <v>39504.704073982408</v>
          </cell>
          <cell r="AZ365">
            <v>3997708.4462969401</v>
          </cell>
        </row>
        <row r="366">
          <cell r="B366">
            <v>21533</v>
          </cell>
          <cell r="C366" t="str">
            <v>SA 4 &amp; 7</v>
          </cell>
          <cell r="D366" t="str">
            <v>EOB CRISIS &amp; HOMELESS-OUTREACH</v>
          </cell>
          <cell r="G366">
            <v>525110.51199633023</v>
          </cell>
          <cell r="I366">
            <v>3891.9522643350174</v>
          </cell>
          <cell r="M366">
            <v>4137550.0088050002</v>
          </cell>
          <cell r="N366">
            <v>0</v>
          </cell>
          <cell r="S366">
            <v>7389.1235612128703</v>
          </cell>
          <cell r="T366">
            <v>21939.645997979569</v>
          </cell>
          <cell r="W366">
            <v>1393011.370119856</v>
          </cell>
          <cell r="Z366">
            <v>621356.29588683904</v>
          </cell>
          <cell r="AA366">
            <v>238953.54496000003</v>
          </cell>
          <cell r="AD366">
            <v>153636.01611011269</v>
          </cell>
          <cell r="AZ366">
            <v>7102838.4697016645</v>
          </cell>
        </row>
        <row r="367">
          <cell r="B367">
            <v>21535</v>
          </cell>
          <cell r="C367" t="str">
            <v>SA 4 &amp; 7</v>
          </cell>
          <cell r="D367" t="str">
            <v>1370.01 PC PROGRAM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X367">
            <v>0</v>
          </cell>
          <cell r="Y367">
            <v>0</v>
          </cell>
          <cell r="AG367">
            <v>0</v>
          </cell>
          <cell r="AW367">
            <v>0</v>
          </cell>
          <cell r="AY367">
            <v>0</v>
          </cell>
          <cell r="AZ367">
            <v>0</v>
          </cell>
        </row>
        <row r="368">
          <cell r="B368">
            <v>21542</v>
          </cell>
          <cell r="C368" t="str">
            <v>SA 4 &amp; 7</v>
          </cell>
          <cell r="D368" t="str">
            <v>ADULT -GROW PROGRAM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X368">
            <v>0</v>
          </cell>
          <cell r="Y368">
            <v>0</v>
          </cell>
          <cell r="AG368">
            <v>0</v>
          </cell>
          <cell r="AW368">
            <v>0</v>
          </cell>
          <cell r="AY368">
            <v>0</v>
          </cell>
          <cell r="AZ368">
            <v>0</v>
          </cell>
        </row>
        <row r="369">
          <cell r="B369">
            <v>23017</v>
          </cell>
          <cell r="C369" t="str">
            <v>SA 4 &amp; 7</v>
          </cell>
          <cell r="D369" t="str">
            <v>RIO HONDO COMMUNITY MHC                 18215</v>
          </cell>
          <cell r="G369">
            <v>108897.38146388662</v>
          </cell>
          <cell r="I369">
            <v>1296.0574413290224</v>
          </cell>
          <cell r="M369">
            <v>3662734.273482</v>
          </cell>
          <cell r="N369">
            <v>609295.43821936159</v>
          </cell>
          <cell r="S369">
            <v>2460.6490331776554</v>
          </cell>
          <cell r="T369">
            <v>13683.01697247526</v>
          </cell>
          <cell r="W369">
            <v>1648470.6776659947</v>
          </cell>
          <cell r="Z369">
            <v>128856.82543458506</v>
          </cell>
          <cell r="AA369">
            <v>184719.6338176</v>
          </cell>
          <cell r="AC369">
            <v>49164.833096433831</v>
          </cell>
          <cell r="AD369">
            <v>53418.484838701574</v>
          </cell>
          <cell r="AL369">
            <v>45194.112143196697</v>
          </cell>
          <cell r="AO369">
            <v>40.218112498774694</v>
          </cell>
          <cell r="AT369">
            <v>11791.303253084676</v>
          </cell>
          <cell r="AZ369">
            <v>6520022.9049743256</v>
          </cell>
        </row>
        <row r="370">
          <cell r="B370">
            <v>23036</v>
          </cell>
          <cell r="C370" t="str">
            <v>SA 4 &amp; 7</v>
          </cell>
          <cell r="D370" t="str">
            <v>SAN ANTONIO MENTAL HEALTH</v>
          </cell>
          <cell r="G370">
            <v>278001.89137692709</v>
          </cell>
          <cell r="I370">
            <v>25874.746149125778</v>
          </cell>
          <cell r="M370">
            <v>161691.51912000001</v>
          </cell>
          <cell r="N370">
            <v>227897.03369514475</v>
          </cell>
          <cell r="S370">
            <v>49124.88217364467</v>
          </cell>
          <cell r="T370">
            <v>153262.503972454</v>
          </cell>
          <cell r="W370">
            <v>22788.418837048484</v>
          </cell>
          <cell r="Z370">
            <v>328955.94647076871</v>
          </cell>
          <cell r="AA370">
            <v>60815.328460800003</v>
          </cell>
          <cell r="AD370">
            <v>29478.95695001955</v>
          </cell>
          <cell r="AL370">
            <v>3647.0365003139168</v>
          </cell>
          <cell r="AT370">
            <v>931.94735576448761</v>
          </cell>
          <cell r="AZ370">
            <v>1342470.2110620115</v>
          </cell>
        </row>
        <row r="371">
          <cell r="B371">
            <v>23200</v>
          </cell>
          <cell r="C371" t="str">
            <v>SA 4 &amp; 7</v>
          </cell>
          <cell r="D371" t="str">
            <v>AMERICAN INDIAN  COUNSELING CTR</v>
          </cell>
          <cell r="G371">
            <v>123363.23989335772</v>
          </cell>
          <cell r="I371">
            <v>6724.3348892604781</v>
          </cell>
          <cell r="M371">
            <v>233654.379258</v>
          </cell>
          <cell r="N371">
            <v>152493.6820644121</v>
          </cell>
          <cell r="S371">
            <v>12766.585504925224</v>
          </cell>
          <cell r="T371">
            <v>24145.62792520754</v>
          </cell>
          <cell r="W371">
            <v>146512.51192156633</v>
          </cell>
          <cell r="Z371">
            <v>145974.0836216053</v>
          </cell>
          <cell r="AA371">
            <v>38907.655526399998</v>
          </cell>
          <cell r="AD371">
            <v>30386.979900921553</v>
          </cell>
          <cell r="AL371">
            <v>2966.9172643750567</v>
          </cell>
          <cell r="AT371">
            <v>391.45809174739497</v>
          </cell>
          <cell r="AZ371">
            <v>918287.45586177858</v>
          </cell>
        </row>
        <row r="372">
          <cell r="B372">
            <v>27240</v>
          </cell>
          <cell r="C372" t="str">
            <v>SA 4 &amp; 7</v>
          </cell>
          <cell r="D372" t="str">
            <v>CHILD CRISIS TEAM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X372">
            <v>0</v>
          </cell>
          <cell r="Y372">
            <v>0</v>
          </cell>
          <cell r="AG372">
            <v>0</v>
          </cell>
          <cell r="AW372">
            <v>0</v>
          </cell>
          <cell r="AY372">
            <v>0</v>
          </cell>
          <cell r="AZ372">
            <v>0</v>
          </cell>
        </row>
        <row r="373">
          <cell r="B373">
            <v>27593</v>
          </cell>
          <cell r="C373" t="str">
            <v>SA 4 &amp; 7</v>
          </cell>
          <cell r="D373" t="str">
            <v>SPECIALIZED FOSTER CARE</v>
          </cell>
          <cell r="G373">
            <v>3795000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X373">
            <v>0</v>
          </cell>
          <cell r="Y373">
            <v>0</v>
          </cell>
          <cell r="Z373">
            <v>4446500</v>
          </cell>
          <cell r="AG373">
            <v>0</v>
          </cell>
          <cell r="AW373">
            <v>0</v>
          </cell>
          <cell r="AY373">
            <v>0</v>
          </cell>
          <cell r="AZ373">
            <v>8241500</v>
          </cell>
        </row>
        <row r="374">
          <cell r="D374" t="str">
            <v>Sub total:  SA 4 &amp; 7</v>
          </cell>
          <cell r="E374">
            <v>0</v>
          </cell>
          <cell r="F374">
            <v>0</v>
          </cell>
          <cell r="G374">
            <v>5904966.5516383573</v>
          </cell>
          <cell r="H374">
            <v>0</v>
          </cell>
          <cell r="I374">
            <v>87594.064354965347</v>
          </cell>
          <cell r="J374">
            <v>0</v>
          </cell>
          <cell r="K374">
            <v>0</v>
          </cell>
          <cell r="L374">
            <v>0</v>
          </cell>
          <cell r="M374">
            <v>19455904.747450996</v>
          </cell>
          <cell r="N374">
            <v>2939530.0757846725</v>
          </cell>
          <cell r="O374">
            <v>0</v>
          </cell>
          <cell r="P374">
            <v>0</v>
          </cell>
          <cell r="Q374">
            <v>400000</v>
          </cell>
          <cell r="R374">
            <v>0</v>
          </cell>
          <cell r="S374">
            <v>166303.0070226875</v>
          </cell>
          <cell r="T374">
            <v>493518.85437673877</v>
          </cell>
          <cell r="U374">
            <v>0</v>
          </cell>
          <cell r="V374">
            <v>0</v>
          </cell>
          <cell r="W374">
            <v>10577388.317183638</v>
          </cell>
          <cell r="X374">
            <v>0</v>
          </cell>
          <cell r="Y374">
            <v>0</v>
          </cell>
          <cell r="Z374">
            <v>6943195.402243821</v>
          </cell>
          <cell r="AA374">
            <v>1323502.0190208002</v>
          </cell>
          <cell r="AB374">
            <v>0</v>
          </cell>
          <cell r="AC374">
            <v>147617.29653424482</v>
          </cell>
          <cell r="AD374">
            <v>1346392.6306368352</v>
          </cell>
          <cell r="AE374">
            <v>0</v>
          </cell>
          <cell r="AF374">
            <v>0</v>
          </cell>
          <cell r="AG374">
            <v>63328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108847.68274306275</v>
          </cell>
          <cell r="AM374">
            <v>0</v>
          </cell>
          <cell r="AN374">
            <v>0</v>
          </cell>
          <cell r="AO374">
            <v>80.537239273649647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60748.928943497078</v>
          </cell>
          <cell r="AU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50018918.115173601</v>
          </cell>
        </row>
        <row r="376">
          <cell r="B376">
            <v>20525</v>
          </cell>
          <cell r="C376" t="str">
            <v>DIRECTOR'S OFFICE</v>
          </cell>
          <cell r="D376" t="str">
            <v>OFFICE OF THE DIRECTOR</v>
          </cell>
          <cell r="F376">
            <v>0</v>
          </cell>
          <cell r="G376">
            <v>0</v>
          </cell>
          <cell r="M376">
            <v>0</v>
          </cell>
          <cell r="N376">
            <v>244868</v>
          </cell>
          <cell r="T376">
            <v>0</v>
          </cell>
          <cell r="Z376">
            <v>0</v>
          </cell>
          <cell r="AA376">
            <v>0</v>
          </cell>
          <cell r="AD376">
            <v>11610.304230384298</v>
          </cell>
          <cell r="AZ376">
            <v>256478.3042303843</v>
          </cell>
        </row>
        <row r="377">
          <cell r="B377">
            <v>70001</v>
          </cell>
          <cell r="C377" t="str">
            <v xml:space="preserve"> CHIEF DEPUTY</v>
          </cell>
          <cell r="D377" t="str">
            <v>OFFICE OF THE CHIEF DEPUTY</v>
          </cell>
          <cell r="F377">
            <v>0</v>
          </cell>
          <cell r="G377">
            <v>0</v>
          </cell>
          <cell r="J377">
            <v>111998</v>
          </cell>
          <cell r="AZ377">
            <v>111998</v>
          </cell>
        </row>
        <row r="378">
          <cell r="B378">
            <v>20502</v>
          </cell>
          <cell r="C378" t="str">
            <v xml:space="preserve"> CHIEF DEPUTY</v>
          </cell>
          <cell r="D378" t="str">
            <v>OFFICE OF THE CHIEF DEPUTY</v>
          </cell>
          <cell r="F378">
            <v>0</v>
          </cell>
          <cell r="G378">
            <v>0</v>
          </cell>
          <cell r="M378">
            <v>0</v>
          </cell>
          <cell r="T378">
            <v>0</v>
          </cell>
          <cell r="AD378">
            <v>3836.6822530482232</v>
          </cell>
          <cell r="AZ378">
            <v>3836.6822530482232</v>
          </cell>
        </row>
        <row r="379">
          <cell r="B379">
            <v>20565</v>
          </cell>
          <cell r="C379" t="str">
            <v>ADMINISTRATIVE DEPUTY</v>
          </cell>
          <cell r="D379" t="str">
            <v>DMH FINANCE</v>
          </cell>
          <cell r="F379">
            <v>0</v>
          </cell>
          <cell r="G379">
            <v>0</v>
          </cell>
          <cell r="M379">
            <v>0</v>
          </cell>
          <cell r="T379">
            <v>0</v>
          </cell>
          <cell r="AD379">
            <v>33675.098917024494</v>
          </cell>
          <cell r="AZ379">
            <v>33675.098917024494</v>
          </cell>
        </row>
        <row r="380">
          <cell r="B380">
            <v>20566</v>
          </cell>
          <cell r="C380" t="str">
            <v>ACCOUNTING DIVISION</v>
          </cell>
          <cell r="AA380">
            <v>2408233.9615559811</v>
          </cell>
          <cell r="AZ380">
            <v>2408233.9615559811</v>
          </cell>
        </row>
        <row r="381">
          <cell r="B381">
            <v>20567</v>
          </cell>
          <cell r="C381" t="str">
            <v>BUDGET &amp; FINANCIAL REPORTING DIVISION</v>
          </cell>
          <cell r="AA381">
            <v>2099090.8322717184</v>
          </cell>
          <cell r="AZ381">
            <v>2099090.8322717184</v>
          </cell>
        </row>
        <row r="382">
          <cell r="B382">
            <v>20569</v>
          </cell>
          <cell r="C382" t="str">
            <v>CONTRACTS PAYABLE</v>
          </cell>
          <cell r="AA382">
            <v>915538.66190894425</v>
          </cell>
          <cell r="AZ382">
            <v>915538.66190894425</v>
          </cell>
        </row>
        <row r="383">
          <cell r="B383">
            <v>21553</v>
          </cell>
          <cell r="C383" t="str">
            <v>RECOVERY SECTION</v>
          </cell>
          <cell r="AA383">
            <v>685797.65621396806</v>
          </cell>
          <cell r="AZ383">
            <v>685797.65621396806</v>
          </cell>
        </row>
        <row r="384">
          <cell r="B384">
            <v>23043</v>
          </cell>
          <cell r="C384" t="str">
            <v>MIS/ITS</v>
          </cell>
          <cell r="AA384">
            <v>10026605.111691406</v>
          </cell>
          <cell r="AZ384">
            <v>10026605.111691406</v>
          </cell>
        </row>
        <row r="385">
          <cell r="B385">
            <v>23061</v>
          </cell>
          <cell r="C385" t="str">
            <v>CONTRACTS DEVELOPMENT &amp; ADMINISTRATION DIVISION</v>
          </cell>
          <cell r="AA385">
            <v>1926296.789031009</v>
          </cell>
          <cell r="AZ385">
            <v>1926296.789031009</v>
          </cell>
        </row>
        <row r="386">
          <cell r="B386">
            <v>27589</v>
          </cell>
          <cell r="C386" t="str">
            <v xml:space="preserve">REVENUE MANAGEMENT </v>
          </cell>
          <cell r="AA386">
            <v>3122138.4114361759</v>
          </cell>
          <cell r="AZ386">
            <v>3122138.4114361759</v>
          </cell>
        </row>
        <row r="387">
          <cell r="B387">
            <v>28009</v>
          </cell>
          <cell r="C387" t="str">
            <v>PROGRAM RECOVERY, SETTLEMENT AND AUDIT</v>
          </cell>
          <cell r="AA387">
            <v>97314.575890799053</v>
          </cell>
          <cell r="AZ387">
            <v>97314.575890799053</v>
          </cell>
        </row>
        <row r="388">
          <cell r="AZ388">
            <v>0</v>
          </cell>
        </row>
        <row r="389">
          <cell r="B389">
            <v>20511</v>
          </cell>
          <cell r="C389" t="str">
            <v>GEN SVC/ADMIN EXPENDITURES</v>
          </cell>
          <cell r="D389" t="str">
            <v xml:space="preserve">MENTAL HEALTH </v>
          </cell>
          <cell r="N389">
            <v>42000</v>
          </cell>
          <cell r="AB389">
            <v>90000</v>
          </cell>
          <cell r="AG389">
            <v>37600</v>
          </cell>
          <cell r="AO389">
            <v>4489.8058965331393</v>
          </cell>
          <cell r="AS389">
            <v>14000</v>
          </cell>
          <cell r="AZ389">
            <v>188089.80589653313</v>
          </cell>
        </row>
        <row r="390">
          <cell r="B390">
            <v>20540</v>
          </cell>
          <cell r="C390" t="str">
            <v>ADMINISTRATIVE DEPUTY</v>
          </cell>
          <cell r="D390" t="str">
            <v>ADMINISTRATIVE SERVICES BUREAU</v>
          </cell>
          <cell r="AV390">
            <v>10000</v>
          </cell>
          <cell r="AZ390">
            <v>10000</v>
          </cell>
        </row>
        <row r="391">
          <cell r="B391">
            <v>20512</v>
          </cell>
          <cell r="C391" t="str">
            <v>Gen Admin DMH Only</v>
          </cell>
          <cell r="D391" t="str">
            <v>MENTAL HEALTH</v>
          </cell>
          <cell r="AK391">
            <v>26000</v>
          </cell>
          <cell r="AP391">
            <v>40000</v>
          </cell>
          <cell r="AQ391">
            <v>63000</v>
          </cell>
          <cell r="AZ391">
            <v>129000</v>
          </cell>
        </row>
        <row r="392">
          <cell r="D392" t="str">
            <v>UNALLOCATED</v>
          </cell>
          <cell r="E392">
            <v>0</v>
          </cell>
          <cell r="F392">
            <v>0</v>
          </cell>
          <cell r="I392">
            <v>2500000</v>
          </cell>
          <cell r="M392">
            <v>52704945</v>
          </cell>
          <cell r="N392">
            <v>0</v>
          </cell>
          <cell r="Q392" t="str">
            <v xml:space="preserve"> </v>
          </cell>
          <cell r="AA392">
            <v>0</v>
          </cell>
          <cell r="AH392" t="str">
            <v xml:space="preserve"> </v>
          </cell>
          <cell r="AM392" t="str">
            <v xml:space="preserve"> </v>
          </cell>
          <cell r="AO392">
            <v>0</v>
          </cell>
          <cell r="AQ392">
            <v>0</v>
          </cell>
          <cell r="AS392">
            <v>0</v>
          </cell>
          <cell r="AV392">
            <v>0</v>
          </cell>
          <cell r="AZ392">
            <v>55204945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>
        <row r="16">
          <cell r="B16">
            <v>23125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O"/>
      <sheetName val="MD"/>
      <sheetName val="EOS"/>
      <sheetName val="PQO"/>
      <sheetName val="TCC"/>
      <sheetName val="CIO"/>
      <sheetName val="ADM"/>
      <sheetName val="FIS"/>
      <sheetName val="TAR"/>
      <sheetName val="JS"/>
      <sheetName val="PG"/>
      <sheetName val="CC"/>
      <sheetName val="DHS-INTER"/>
      <sheetName val="ASOC"/>
      <sheetName val="CSOC"/>
      <sheetName val="Module2"/>
      <sheetName val="Fixed Assets"/>
      <sheetName val="Fixed_Asset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SEB_PT"/>
      <sheetName val="SEB_raw"/>
      <sheetName val="86100_IG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Perm403"/>
      <sheetName val="Walkthru"/>
      <sheetName val="Reconciliation"/>
      <sheetName val="Renewals "/>
      <sheetName val="Supercessions"/>
      <sheetName val="Detail-ALPHA sort"/>
      <sheetName val="Detail-Funding (2)"/>
      <sheetName val="Detail-Funding"/>
      <sheetName val="Detail-ALPHA"/>
      <sheetName val="MHSA-SUMMARY"/>
      <sheetName val="MHSA-CHILDREN"/>
      <sheetName val="MHSA-TAY"/>
      <sheetName val="MHSA-ADULT"/>
      <sheetName val="MHSA-OLDER ADULT"/>
      <sheetName val="MHSA-CROSS CUTTING"/>
      <sheetName val="MHSA-ONE TIME"/>
      <sheetName val="WORKINGPAPER"/>
      <sheetName val="BACKUPFORNEWFORMAT"/>
      <sheetName val="COMPARISONNEWFORMAT"/>
      <sheetName val="Info"/>
    </sheetNames>
    <sheetDataSet>
      <sheetData sheetId="0">
        <row r="10">
          <cell r="BQ10">
            <v>18616</v>
          </cell>
          <cell r="BR10">
            <v>1175300</v>
          </cell>
        </row>
        <row r="11">
          <cell r="BQ11">
            <v>18617</v>
          </cell>
          <cell r="BR11">
            <v>3250444</v>
          </cell>
        </row>
        <row r="12">
          <cell r="BQ12">
            <v>18618</v>
          </cell>
          <cell r="BR12">
            <v>662649</v>
          </cell>
        </row>
        <row r="13">
          <cell r="BQ13">
            <v>18626</v>
          </cell>
          <cell r="BR13">
            <v>3492406</v>
          </cell>
        </row>
        <row r="14">
          <cell r="BQ14">
            <v>18629</v>
          </cell>
          <cell r="BR14">
            <v>1381975</v>
          </cell>
        </row>
        <row r="15">
          <cell r="BQ15">
            <v>18631</v>
          </cell>
          <cell r="BR15">
            <v>1511758</v>
          </cell>
        </row>
        <row r="16">
          <cell r="BQ16">
            <v>18637</v>
          </cell>
          <cell r="BR16">
            <v>456207</v>
          </cell>
        </row>
        <row r="17">
          <cell r="BQ17">
            <v>18638</v>
          </cell>
          <cell r="BR17">
            <v>632596</v>
          </cell>
        </row>
        <row r="18">
          <cell r="BQ18">
            <v>18663</v>
          </cell>
          <cell r="BR18">
            <v>201375</v>
          </cell>
        </row>
        <row r="19">
          <cell r="BQ19">
            <v>18664</v>
          </cell>
          <cell r="BR19">
            <v>74768</v>
          </cell>
        </row>
        <row r="20">
          <cell r="BQ20">
            <v>18665</v>
          </cell>
          <cell r="BR20">
            <v>81420</v>
          </cell>
        </row>
        <row r="21">
          <cell r="BQ21">
            <v>18675</v>
          </cell>
          <cell r="BR21">
            <v>1</v>
          </cell>
        </row>
        <row r="22">
          <cell r="BQ22">
            <v>18681</v>
          </cell>
          <cell r="BR22">
            <v>430000</v>
          </cell>
        </row>
        <row r="23">
          <cell r="BQ23">
            <v>18682</v>
          </cell>
          <cell r="BR23">
            <v>205912</v>
          </cell>
        </row>
        <row r="24">
          <cell r="BQ24">
            <v>18699</v>
          </cell>
          <cell r="BR24">
            <v>38656</v>
          </cell>
        </row>
        <row r="25">
          <cell r="BQ25">
            <v>18701</v>
          </cell>
          <cell r="BR25">
            <v>4176</v>
          </cell>
        </row>
        <row r="26">
          <cell r="BQ26">
            <v>20466</v>
          </cell>
          <cell r="BR26">
            <v>904970</v>
          </cell>
        </row>
        <row r="27">
          <cell r="BQ27">
            <v>20470</v>
          </cell>
          <cell r="BR27">
            <v>0</v>
          </cell>
        </row>
        <row r="28">
          <cell r="BQ28">
            <v>20486</v>
          </cell>
          <cell r="BR28">
            <v>266904</v>
          </cell>
        </row>
        <row r="29">
          <cell r="BQ29">
            <v>20902</v>
          </cell>
          <cell r="BR29">
            <v>220000</v>
          </cell>
        </row>
        <row r="30">
          <cell r="BQ30">
            <v>20906</v>
          </cell>
          <cell r="BR30">
            <v>753496</v>
          </cell>
        </row>
        <row r="31">
          <cell r="BQ31">
            <v>20961</v>
          </cell>
          <cell r="BR31">
            <v>433826</v>
          </cell>
        </row>
        <row r="32">
          <cell r="BQ32">
            <v>20966</v>
          </cell>
          <cell r="BR32">
            <v>627702</v>
          </cell>
        </row>
        <row r="33">
          <cell r="BQ33">
            <v>21526</v>
          </cell>
          <cell r="BR33">
            <v>420278</v>
          </cell>
        </row>
        <row r="34">
          <cell r="BQ34">
            <v>21527</v>
          </cell>
          <cell r="BR34">
            <v>930750</v>
          </cell>
        </row>
        <row r="35">
          <cell r="BQ35">
            <v>21528</v>
          </cell>
          <cell r="BR35">
            <v>296274</v>
          </cell>
        </row>
        <row r="36">
          <cell r="BQ36">
            <v>21568</v>
          </cell>
          <cell r="BR36">
            <v>38370</v>
          </cell>
        </row>
        <row r="37">
          <cell r="BQ37">
            <v>21569</v>
          </cell>
          <cell r="BR37">
            <v>151602</v>
          </cell>
        </row>
        <row r="38">
          <cell r="BQ38">
            <v>21570</v>
          </cell>
          <cell r="BR38">
            <v>145511</v>
          </cell>
        </row>
        <row r="39">
          <cell r="BQ39">
            <v>21571</v>
          </cell>
          <cell r="BR39">
            <v>0</v>
          </cell>
        </row>
        <row r="40">
          <cell r="BQ40">
            <v>21573</v>
          </cell>
          <cell r="BR40">
            <v>0</v>
          </cell>
        </row>
        <row r="41">
          <cell r="BQ41">
            <v>21574</v>
          </cell>
          <cell r="BR41">
            <v>251945</v>
          </cell>
        </row>
        <row r="42">
          <cell r="BQ42">
            <v>21575</v>
          </cell>
          <cell r="BR42">
            <v>93545</v>
          </cell>
        </row>
        <row r="43">
          <cell r="BQ43">
            <v>23100</v>
          </cell>
          <cell r="BR43">
            <v>126841</v>
          </cell>
        </row>
        <row r="44">
          <cell r="BQ44">
            <v>23101</v>
          </cell>
          <cell r="BR44">
            <v>196717</v>
          </cell>
        </row>
        <row r="45">
          <cell r="BQ45">
            <v>23103</v>
          </cell>
          <cell r="BR45">
            <v>1110970</v>
          </cell>
        </row>
        <row r="46">
          <cell r="BQ46">
            <v>23105</v>
          </cell>
          <cell r="BR46">
            <v>1131114</v>
          </cell>
        </row>
        <row r="47">
          <cell r="BQ47">
            <v>23106</v>
          </cell>
          <cell r="BR47">
            <v>658620</v>
          </cell>
        </row>
        <row r="48">
          <cell r="BQ48">
            <v>23108</v>
          </cell>
          <cell r="BR48">
            <v>0</v>
          </cell>
        </row>
        <row r="49">
          <cell r="BQ49">
            <v>23109</v>
          </cell>
          <cell r="BR49">
            <v>211193</v>
          </cell>
        </row>
        <row r="50">
          <cell r="BQ50">
            <v>23112</v>
          </cell>
          <cell r="BR50">
            <v>948170</v>
          </cell>
        </row>
        <row r="51">
          <cell r="BQ51">
            <v>23113</v>
          </cell>
          <cell r="BR51">
            <v>93885</v>
          </cell>
        </row>
        <row r="52">
          <cell r="BQ52">
            <v>23114</v>
          </cell>
          <cell r="BR52">
            <v>894566</v>
          </cell>
        </row>
        <row r="53">
          <cell r="BQ53">
            <v>23116</v>
          </cell>
          <cell r="BR53">
            <v>7210960</v>
          </cell>
        </row>
        <row r="54">
          <cell r="BQ54">
            <v>23118</v>
          </cell>
          <cell r="BR54">
            <v>507921</v>
          </cell>
        </row>
        <row r="55">
          <cell r="BQ55">
            <v>23119</v>
          </cell>
          <cell r="BR55">
            <v>451788</v>
          </cell>
        </row>
        <row r="56">
          <cell r="BQ56">
            <v>23122</v>
          </cell>
          <cell r="BR56">
            <v>10559546</v>
          </cell>
        </row>
        <row r="57">
          <cell r="BQ57">
            <v>23123</v>
          </cell>
          <cell r="BR57">
            <v>58881</v>
          </cell>
        </row>
        <row r="58">
          <cell r="BQ58">
            <v>23125</v>
          </cell>
          <cell r="BR58">
            <v>150000</v>
          </cell>
        </row>
        <row r="59">
          <cell r="BQ59">
            <v>23128</v>
          </cell>
          <cell r="BR59">
            <v>7254098</v>
          </cell>
        </row>
        <row r="60">
          <cell r="BQ60">
            <v>23132</v>
          </cell>
          <cell r="BR60">
            <v>1403908</v>
          </cell>
        </row>
        <row r="61">
          <cell r="BQ61">
            <v>23133</v>
          </cell>
          <cell r="BR61">
            <v>4608116</v>
          </cell>
        </row>
        <row r="62">
          <cell r="BQ62">
            <v>23134</v>
          </cell>
          <cell r="BR62">
            <v>540763</v>
          </cell>
        </row>
        <row r="63">
          <cell r="BQ63">
            <v>23135</v>
          </cell>
          <cell r="BR63">
            <v>230415</v>
          </cell>
        </row>
        <row r="64">
          <cell r="BQ64">
            <v>23136</v>
          </cell>
          <cell r="BR64">
            <v>11002372</v>
          </cell>
        </row>
        <row r="65">
          <cell r="BQ65">
            <v>23137</v>
          </cell>
          <cell r="BR65">
            <v>140784</v>
          </cell>
        </row>
        <row r="66">
          <cell r="BQ66">
            <v>23138</v>
          </cell>
          <cell r="BR66">
            <v>1886791</v>
          </cell>
        </row>
        <row r="67">
          <cell r="BQ67">
            <v>23141</v>
          </cell>
          <cell r="BR67">
            <v>2238882</v>
          </cell>
        </row>
        <row r="68">
          <cell r="BQ68">
            <v>23142</v>
          </cell>
          <cell r="BR68">
            <v>201206</v>
          </cell>
        </row>
        <row r="69">
          <cell r="BQ69">
            <v>23143</v>
          </cell>
          <cell r="BR69">
            <v>1788009</v>
          </cell>
        </row>
        <row r="70">
          <cell r="BQ70">
            <v>23146</v>
          </cell>
          <cell r="BR70">
            <v>5157209</v>
          </cell>
        </row>
        <row r="71">
          <cell r="BQ71">
            <v>23149</v>
          </cell>
          <cell r="BR71">
            <v>1135365</v>
          </cell>
        </row>
        <row r="72">
          <cell r="BQ72">
            <v>23151</v>
          </cell>
          <cell r="BR72">
            <v>211210</v>
          </cell>
        </row>
        <row r="73">
          <cell r="BQ73">
            <v>23153</v>
          </cell>
          <cell r="BR73">
            <v>15229052</v>
          </cell>
        </row>
        <row r="74">
          <cell r="BQ74">
            <v>23154</v>
          </cell>
          <cell r="BR74">
            <v>825933</v>
          </cell>
        </row>
        <row r="75">
          <cell r="BQ75">
            <v>23155</v>
          </cell>
          <cell r="BR75">
            <v>56694</v>
          </cell>
        </row>
        <row r="76">
          <cell r="BQ76">
            <v>23156</v>
          </cell>
          <cell r="BR76">
            <v>6651457</v>
          </cell>
        </row>
        <row r="77">
          <cell r="BQ77">
            <v>23157</v>
          </cell>
          <cell r="BR77">
            <v>2282418</v>
          </cell>
        </row>
        <row r="78">
          <cell r="BQ78">
            <v>23162</v>
          </cell>
          <cell r="BR78">
            <v>3771228</v>
          </cell>
        </row>
        <row r="79">
          <cell r="BQ79">
            <v>23163</v>
          </cell>
          <cell r="BR79">
            <v>8194343</v>
          </cell>
        </row>
        <row r="80">
          <cell r="BQ80">
            <v>23164</v>
          </cell>
          <cell r="BR80">
            <v>368116</v>
          </cell>
        </row>
        <row r="81">
          <cell r="BQ81">
            <v>23165</v>
          </cell>
          <cell r="BR81">
            <v>1334214</v>
          </cell>
        </row>
        <row r="82">
          <cell r="BQ82">
            <v>23166</v>
          </cell>
          <cell r="BR82">
            <v>298260</v>
          </cell>
        </row>
        <row r="83">
          <cell r="BQ83">
            <v>23167</v>
          </cell>
          <cell r="BR83">
            <v>293837</v>
          </cell>
        </row>
        <row r="84">
          <cell r="BQ84">
            <v>23168</v>
          </cell>
          <cell r="BR84">
            <v>1100080</v>
          </cell>
        </row>
        <row r="85">
          <cell r="BQ85">
            <v>23169</v>
          </cell>
          <cell r="BR85">
            <v>435103</v>
          </cell>
        </row>
        <row r="86">
          <cell r="BQ86">
            <v>23170</v>
          </cell>
          <cell r="BR86">
            <v>5291332</v>
          </cell>
        </row>
        <row r="87">
          <cell r="BQ87">
            <v>23171</v>
          </cell>
          <cell r="BR87">
            <v>1290699</v>
          </cell>
        </row>
        <row r="88">
          <cell r="BQ88">
            <v>23172</v>
          </cell>
          <cell r="BR88">
            <v>4714742</v>
          </cell>
        </row>
        <row r="89">
          <cell r="BQ89">
            <v>23173</v>
          </cell>
          <cell r="BR89">
            <v>2413177</v>
          </cell>
        </row>
        <row r="90">
          <cell r="BQ90">
            <v>23174</v>
          </cell>
          <cell r="BR90">
            <v>180634</v>
          </cell>
        </row>
        <row r="91">
          <cell r="BQ91">
            <v>23175</v>
          </cell>
          <cell r="BR91">
            <v>1295524</v>
          </cell>
        </row>
        <row r="92">
          <cell r="BQ92">
            <v>23176</v>
          </cell>
          <cell r="BR92">
            <v>84648</v>
          </cell>
        </row>
        <row r="93">
          <cell r="BQ93">
            <v>23177</v>
          </cell>
          <cell r="BR93">
            <v>120114</v>
          </cell>
        </row>
        <row r="94">
          <cell r="BQ94">
            <v>23178</v>
          </cell>
          <cell r="BR94">
            <v>2719306</v>
          </cell>
        </row>
        <row r="95">
          <cell r="BQ95">
            <v>23179</v>
          </cell>
          <cell r="BR95">
            <v>232225</v>
          </cell>
        </row>
        <row r="96">
          <cell r="BQ96">
            <v>23180</v>
          </cell>
          <cell r="BR96">
            <v>94470</v>
          </cell>
        </row>
        <row r="97">
          <cell r="BQ97">
            <v>23181</v>
          </cell>
          <cell r="BR97">
            <v>238160</v>
          </cell>
        </row>
        <row r="98">
          <cell r="BQ98">
            <v>23182</v>
          </cell>
          <cell r="BR98">
            <v>1331527</v>
          </cell>
        </row>
        <row r="99">
          <cell r="BQ99">
            <v>23186</v>
          </cell>
          <cell r="BR99">
            <v>331101</v>
          </cell>
        </row>
        <row r="100">
          <cell r="BQ100">
            <v>23187</v>
          </cell>
          <cell r="BR100">
            <v>254388</v>
          </cell>
        </row>
        <row r="101">
          <cell r="BQ101">
            <v>23188</v>
          </cell>
          <cell r="BR101">
            <v>552851</v>
          </cell>
        </row>
        <row r="102">
          <cell r="BQ102">
            <v>23190</v>
          </cell>
          <cell r="BR102">
            <v>23430</v>
          </cell>
        </row>
        <row r="103">
          <cell r="BQ103">
            <v>27210</v>
          </cell>
          <cell r="BR103">
            <v>546147</v>
          </cell>
        </row>
        <row r="104">
          <cell r="BQ104">
            <v>27231</v>
          </cell>
          <cell r="BR104">
            <v>33145</v>
          </cell>
        </row>
        <row r="105">
          <cell r="BQ105">
            <v>27233</v>
          </cell>
          <cell r="BR105">
            <v>0</v>
          </cell>
        </row>
        <row r="106">
          <cell r="BQ106">
            <v>27234</v>
          </cell>
          <cell r="BR106">
            <v>0</v>
          </cell>
        </row>
        <row r="107">
          <cell r="BQ107">
            <v>27235</v>
          </cell>
          <cell r="BR107">
            <v>143641</v>
          </cell>
        </row>
        <row r="108">
          <cell r="BQ108">
            <v>27236</v>
          </cell>
          <cell r="BR108">
            <v>0</v>
          </cell>
        </row>
        <row r="109">
          <cell r="BQ109">
            <v>27237</v>
          </cell>
          <cell r="BR109">
            <v>1</v>
          </cell>
        </row>
        <row r="110">
          <cell r="BQ110">
            <v>27248</v>
          </cell>
          <cell r="BR110">
            <v>35001</v>
          </cell>
        </row>
        <row r="111">
          <cell r="BQ111">
            <v>27252</v>
          </cell>
          <cell r="BR111">
            <v>0</v>
          </cell>
        </row>
        <row r="112">
          <cell r="BQ112">
            <v>27476</v>
          </cell>
          <cell r="BR112">
            <v>1000000</v>
          </cell>
        </row>
        <row r="113">
          <cell r="BQ113">
            <v>27478</v>
          </cell>
          <cell r="BR113">
            <v>200166</v>
          </cell>
        </row>
        <row r="114">
          <cell r="BQ114">
            <v>27479</v>
          </cell>
          <cell r="BR114">
            <v>0</v>
          </cell>
        </row>
        <row r="115">
          <cell r="BQ115">
            <v>27490</v>
          </cell>
          <cell r="BR115">
            <v>0</v>
          </cell>
        </row>
        <row r="116">
          <cell r="BQ116">
            <v>27495</v>
          </cell>
          <cell r="BR116">
            <v>1</v>
          </cell>
        </row>
        <row r="117">
          <cell r="BQ117">
            <v>27502</v>
          </cell>
          <cell r="BR117">
            <v>0</v>
          </cell>
        </row>
        <row r="118">
          <cell r="BQ118">
            <v>27507</v>
          </cell>
          <cell r="BR118">
            <v>1</v>
          </cell>
        </row>
        <row r="119">
          <cell r="BQ119">
            <v>27508</v>
          </cell>
          <cell r="BR119">
            <v>0</v>
          </cell>
        </row>
        <row r="120">
          <cell r="BQ120">
            <v>27600</v>
          </cell>
          <cell r="BR120">
            <v>0</v>
          </cell>
        </row>
        <row r="121">
          <cell r="BQ121">
            <v>27601</v>
          </cell>
          <cell r="BR121">
            <v>19851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f match"/>
      <sheetName val="FY0607 ORG CHART"/>
      <sheetName val="ab3632 gross cost"/>
      <sheetName val="03-02-07"/>
      <sheetName val="FY 2007 08rev Budget Request"/>
      <sheetName val="rev.sdmc allocatted"/>
      <sheetName val="budget request 04-05-07"/>
      <sheetName val="final adopt dmh"/>
      <sheetName val="other"/>
      <sheetName val="dhs"/>
      <sheetName val="cgf_match"/>
      <sheetName val="FY0607_ORG_CHART"/>
      <sheetName val="ab3632_gross_cost"/>
      <sheetName val="FY_2007_08rev_Budget_Request"/>
      <sheetName val="rev_sdmc_allocatted"/>
      <sheetName val="budget_request_04-05-07"/>
      <sheetName val="final_adopt_dmh"/>
      <sheetName val="ECAPS CODES 2014"/>
      <sheetName val="cgf_match1"/>
      <sheetName val="FY0607_ORG_CHART1"/>
      <sheetName val="ab3632_gross_cost1"/>
      <sheetName val="FY_2007_08rev_Budget_Request1"/>
      <sheetName val="rev_sdmc_allocatted1"/>
      <sheetName val="budget_request_04-05-071"/>
      <sheetName val="final_adopt_dmh1"/>
      <sheetName val="ECAPS_CODES_2014"/>
      <sheetName val="cgf_match2"/>
      <sheetName val="FY0607_ORG_CHART2"/>
      <sheetName val="ab3632_gross_cost2"/>
      <sheetName val="FY_2007_08rev_Budget_Request2"/>
      <sheetName val="rev_sdmc_allocatted2"/>
      <sheetName val="budget_request_04-05-072"/>
      <sheetName val="final_adopt_dmh2"/>
      <sheetName val="ECAPS_CODES_20141"/>
      <sheetName val="cgf_match3"/>
      <sheetName val="FY0607_ORG_CHART3"/>
      <sheetName val="ab3632_gross_cost3"/>
      <sheetName val="FY_2007_08rev_Budget_Request3"/>
      <sheetName val="rev_sdmc_allocatted3"/>
      <sheetName val="budget_request_04-05-073"/>
      <sheetName val="final_adopt_dmh3"/>
      <sheetName val="ECAPS_CODES_20142"/>
    </sheetNames>
    <sheetDataSet>
      <sheetData sheetId="0" refreshError="1"/>
      <sheetData sheetId="1" refreshError="1"/>
      <sheetData sheetId="2" refreshError="1">
        <row r="61">
          <cell r="B61">
            <v>18588</v>
          </cell>
          <cell r="C61">
            <v>968194.26833824557</v>
          </cell>
          <cell r="D61">
            <v>204158.4788697506</v>
          </cell>
          <cell r="E61">
            <v>387608.10101960658</v>
          </cell>
        </row>
        <row r="62">
          <cell r="B62">
            <v>18674</v>
          </cell>
          <cell r="C62">
            <v>4185292.6702376585</v>
          </cell>
          <cell r="D62">
            <v>882532.57958962047</v>
          </cell>
          <cell r="E62">
            <v>1675545.2879373499</v>
          </cell>
        </row>
        <row r="63">
          <cell r="B63">
            <v>20441</v>
          </cell>
          <cell r="C63">
            <v>893.77841414012983</v>
          </cell>
          <cell r="D63">
            <v>188.46676482670404</v>
          </cell>
          <cell r="E63">
            <v>357.81636513070271</v>
          </cell>
        </row>
        <row r="64">
          <cell r="B64">
            <v>20442</v>
          </cell>
          <cell r="C64">
            <v>1362.6801364150729</v>
          </cell>
          <cell r="D64">
            <v>287.34182068028252</v>
          </cell>
          <cell r="E64">
            <v>545.53706548948435</v>
          </cell>
        </row>
        <row r="65">
          <cell r="B65">
            <v>20443</v>
          </cell>
          <cell r="C65">
            <v>109.45969720911255</v>
          </cell>
          <cell r="D65">
            <v>23.081241038651527</v>
          </cell>
          <cell r="E65">
            <v>43.82123171026965</v>
          </cell>
        </row>
        <row r="66">
          <cell r="B66">
            <v>20444</v>
          </cell>
          <cell r="C66">
            <v>14014.731632374433</v>
          </cell>
          <cell r="D66">
            <v>2955.2192007335361</v>
          </cell>
          <cell r="E66">
            <v>5610.6751423426931</v>
          </cell>
        </row>
        <row r="67">
          <cell r="B67" t="str">
            <v>20445</v>
          </cell>
          <cell r="C67">
            <v>671.35280954922359</v>
          </cell>
          <cell r="D67">
            <v>141.56494503706267</v>
          </cell>
          <cell r="E67">
            <v>268.77022115632047</v>
          </cell>
        </row>
        <row r="68">
          <cell r="B68">
            <v>20449</v>
          </cell>
          <cell r="C68">
            <v>1922.6484625471937</v>
          </cell>
          <cell r="D68">
            <v>405.41965424832313</v>
          </cell>
          <cell r="E68">
            <v>769.71548362423391</v>
          </cell>
        </row>
        <row r="69">
          <cell r="B69">
            <v>20450</v>
          </cell>
          <cell r="C69">
            <v>0</v>
          </cell>
          <cell r="D69">
            <v>0</v>
          </cell>
          <cell r="E69">
            <v>0</v>
          </cell>
        </row>
        <row r="70">
          <cell r="B70">
            <v>20452</v>
          </cell>
          <cell r="C70">
            <v>336425.91891717474</v>
          </cell>
          <cell r="D70">
            <v>70940.518968754244</v>
          </cell>
          <cell r="E70">
            <v>134685.17200486627</v>
          </cell>
        </row>
        <row r="71">
          <cell r="B71">
            <v>20459</v>
          </cell>
          <cell r="C71">
            <v>108463.28428718183</v>
          </cell>
          <cell r="D71">
            <v>22871.132227723854</v>
          </cell>
          <cell r="E71">
            <v>43422.326518273578</v>
          </cell>
        </row>
        <row r="72">
          <cell r="B72">
            <v>20465</v>
          </cell>
          <cell r="C72">
            <v>9151.8235561666297</v>
          </cell>
          <cell r="D72">
            <v>1929.8011124546174</v>
          </cell>
          <cell r="E72">
            <v>3663.8524575865063</v>
          </cell>
        </row>
        <row r="73">
          <cell r="B73">
            <v>20468</v>
          </cell>
          <cell r="C73">
            <v>575.43593373368287</v>
          </cell>
          <cell r="D73">
            <v>121.33941375184919</v>
          </cell>
          <cell r="E73">
            <v>230.3707394547755</v>
          </cell>
        </row>
        <row r="74">
          <cell r="B74">
            <v>20469</v>
          </cell>
          <cell r="C74">
            <v>15474.7446829132</v>
          </cell>
          <cell r="D74">
            <v>3263.0851459013138</v>
          </cell>
          <cell r="E74">
            <v>6195.1785880762391</v>
          </cell>
        </row>
        <row r="75">
          <cell r="B75">
            <v>20477</v>
          </cell>
          <cell r="C75">
            <v>11902.419805288469</v>
          </cell>
          <cell r="D75">
            <v>2509.8061430249618</v>
          </cell>
          <cell r="E75">
            <v>4765.0295907910395</v>
          </cell>
        </row>
        <row r="76">
          <cell r="B76">
            <v>20481</v>
          </cell>
          <cell r="C76">
            <v>109.45969720911255</v>
          </cell>
          <cell r="D76">
            <v>23.081241038651527</v>
          </cell>
          <cell r="E76">
            <v>43.82123171026965</v>
          </cell>
        </row>
        <row r="77">
          <cell r="B77">
            <v>20488</v>
          </cell>
          <cell r="C77">
            <v>221976.48736932257</v>
          </cell>
          <cell r="D77">
            <v>46807.116596500033</v>
          </cell>
          <cell r="E77">
            <v>88866.343825707474</v>
          </cell>
        </row>
        <row r="78">
          <cell r="B78">
            <v>20489</v>
          </cell>
          <cell r="C78">
            <v>0</v>
          </cell>
          <cell r="D78">
            <v>0</v>
          </cell>
          <cell r="E78">
            <v>0</v>
          </cell>
        </row>
        <row r="79">
          <cell r="B79">
            <v>20492</v>
          </cell>
          <cell r="C79">
            <v>19594.431032866392</v>
          </cell>
          <cell r="D79">
            <v>4131.7836355861191</v>
          </cell>
          <cell r="E79">
            <v>7844.4589599198471</v>
          </cell>
        </row>
        <row r="80">
          <cell r="B80">
            <v>20499</v>
          </cell>
          <cell r="C80">
            <v>27443.285990777611</v>
          </cell>
          <cell r="D80">
            <v>5786.8340128484651</v>
          </cell>
          <cell r="E80">
            <v>10986.679343682179</v>
          </cell>
        </row>
        <row r="81">
          <cell r="B81">
            <v>20564</v>
          </cell>
          <cell r="C81">
            <v>515596.75252370856</v>
          </cell>
          <cell r="D81">
            <v>108721.41278639449</v>
          </cell>
          <cell r="E81">
            <v>206414.64701149409</v>
          </cell>
        </row>
        <row r="82">
          <cell r="B82">
            <v>20658</v>
          </cell>
          <cell r="C82">
            <v>38671.463311175095</v>
          </cell>
          <cell r="D82">
            <v>8154.4658788649876</v>
          </cell>
          <cell r="E82">
            <v>15481.781857086269</v>
          </cell>
        </row>
        <row r="83">
          <cell r="B83">
            <v>20941</v>
          </cell>
          <cell r="C83">
            <v>2370938.2574999225</v>
          </cell>
          <cell r="D83">
            <v>499948.37190688262</v>
          </cell>
          <cell r="E83">
            <v>949184.37928949064</v>
          </cell>
        </row>
        <row r="84">
          <cell r="B84">
            <v>21378</v>
          </cell>
          <cell r="C84">
            <v>54.729848604556274</v>
          </cell>
          <cell r="D84">
            <v>11.540620519325763</v>
          </cell>
          <cell r="E84">
            <v>21.910615855134825</v>
          </cell>
        </row>
        <row r="85">
          <cell r="B85">
            <v>21532</v>
          </cell>
          <cell r="C85">
            <v>291.89252589096679</v>
          </cell>
          <cell r="D85">
            <v>61.549976103070733</v>
          </cell>
          <cell r="E85">
            <v>116.85661789405239</v>
          </cell>
        </row>
        <row r="86">
          <cell r="B86">
            <v>21533</v>
          </cell>
          <cell r="C86">
            <v>18457.062845669228</v>
          </cell>
          <cell r="D86">
            <v>3891.9522643350174</v>
          </cell>
          <cell r="E86">
            <v>7389.1235612128703</v>
          </cell>
        </row>
        <row r="87">
          <cell r="B87">
            <v>21537</v>
          </cell>
          <cell r="C87">
            <v>1005.4546985805853</v>
          </cell>
          <cell r="D87">
            <v>212.01540697712807</v>
          </cell>
          <cell r="E87">
            <v>402.52498813792738</v>
          </cell>
        </row>
        <row r="88">
          <cell r="B88">
            <v>21561</v>
          </cell>
          <cell r="C88">
            <v>30545.4697682607</v>
          </cell>
          <cell r="D88">
            <v>6440.9766182084295</v>
          </cell>
          <cell r="E88">
            <v>12228.611466527562</v>
          </cell>
        </row>
        <row r="89">
          <cell r="B89">
            <v>21564</v>
          </cell>
          <cell r="C89">
            <v>43622.416599854041</v>
          </cell>
          <cell r="D89">
            <v>9198.44963855686</v>
          </cell>
          <cell r="E89">
            <v>17463.852672022345</v>
          </cell>
        </row>
        <row r="90">
          <cell r="B90">
            <v>23003</v>
          </cell>
          <cell r="C90">
            <v>12875.151502712708</v>
          </cell>
          <cell r="D90">
            <v>2714.9214077903421</v>
          </cell>
          <cell r="E90">
            <v>5154.4542118304871</v>
          </cell>
        </row>
        <row r="91">
          <cell r="B91">
            <v>23005</v>
          </cell>
          <cell r="C91">
            <v>24374.596432376529</v>
          </cell>
          <cell r="D91">
            <v>5139.7541727230537</v>
          </cell>
          <cell r="E91">
            <v>9758.1563382815766</v>
          </cell>
        </row>
        <row r="92">
          <cell r="B92">
            <v>23007</v>
          </cell>
          <cell r="C92">
            <v>5576.1304014023217</v>
          </cell>
          <cell r="D92">
            <v>1175.8118571426585</v>
          </cell>
          <cell r="E92">
            <v>2232.3550000299801</v>
          </cell>
        </row>
        <row r="93">
          <cell r="B93">
            <v>23015</v>
          </cell>
          <cell r="C93">
            <v>4254.9441087599662</v>
          </cell>
          <cell r="D93">
            <v>897.21964416418211</v>
          </cell>
          <cell r="E93">
            <v>1703.4296317119235</v>
          </cell>
        </row>
        <row r="94">
          <cell r="B94">
            <v>23017</v>
          </cell>
          <cell r="C94">
            <v>6146.3789947830364</v>
          </cell>
          <cell r="D94">
            <v>1296.0574413290224</v>
          </cell>
          <cell r="E94">
            <v>2460.6490331776554</v>
          </cell>
        </row>
        <row r="95">
          <cell r="B95">
            <v>23019</v>
          </cell>
          <cell r="C95">
            <v>73855.789268125998</v>
          </cell>
          <cell r="D95">
            <v>15573.615839086697</v>
          </cell>
          <cell r="E95">
            <v>29567.518796260298</v>
          </cell>
        </row>
        <row r="96">
          <cell r="B96">
            <v>23034</v>
          </cell>
          <cell r="C96">
            <v>88571.648398375037</v>
          </cell>
          <cell r="D96">
            <v>18676.678430491724</v>
          </cell>
          <cell r="E96">
            <v>35458.884195621591</v>
          </cell>
        </row>
        <row r="97">
          <cell r="B97">
            <v>23036</v>
          </cell>
          <cell r="C97">
            <v>122707.52140680503</v>
          </cell>
          <cell r="D97">
            <v>25874.746149125778</v>
          </cell>
          <cell r="E97">
            <v>49124.88217364467</v>
          </cell>
        </row>
        <row r="98">
          <cell r="B98">
            <v>23200</v>
          </cell>
          <cell r="C98">
            <v>31889.258453588121</v>
          </cell>
          <cell r="D98">
            <v>6724.3348892604781</v>
          </cell>
          <cell r="E98">
            <v>12766.585504925224</v>
          </cell>
        </row>
        <row r="99">
          <cell r="B99">
            <v>27254</v>
          </cell>
          <cell r="C99">
            <v>15405.455595297582</v>
          </cell>
          <cell r="D99">
            <v>3248.474488523475</v>
          </cell>
          <cell r="E99">
            <v>6167.4393083156119</v>
          </cell>
        </row>
        <row r="100">
          <cell r="C100">
            <v>9328419.2551846709</v>
          </cell>
          <cell r="D100">
            <v>1967038.9999999998</v>
          </cell>
          <cell r="E100">
            <v>3734550.9999999991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>
        <row r="61">
          <cell r="B61">
            <v>18588</v>
          </cell>
        </row>
      </sheetData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61">
          <cell r="B61">
            <v>18588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Walkthru"/>
      <sheetName val="Perm403"/>
      <sheetName val="summary SABM"/>
      <sheetName val="summary alpha"/>
      <sheetName val="Dr. Southard"/>
      <sheetName val="J.ALLEN"/>
      <sheetName val="J. HATAKEYAMA"/>
      <sheetName val="R. KAY"/>
      <sheetName val="D. MURATA"/>
      <sheetName val="C. FULLMORE"/>
      <sheetName val="T. BELIZ"/>
      <sheetName val="UNIDENTIFIED"/>
      <sheetName val="LE Table"/>
      <sheetName val="WORKINGPAPER"/>
      <sheetName val="BACKUPFORNEWFORMAT"/>
      <sheetName val="COMPARISONNEWFORMAT"/>
      <sheetName val="summary"/>
      <sheetName val="PERMANENT_(2)"/>
      <sheetName val="REVCAOPRO03-04-new_(2)"/>
      <sheetName val="summary_SABM"/>
      <sheetName val="summary_alpha"/>
      <sheetName val="Dr__Southard"/>
      <sheetName val="J_ALLEN"/>
      <sheetName val="J__HATAKEYAMA"/>
      <sheetName val="R__KAY"/>
      <sheetName val="D__MURATA"/>
      <sheetName val="C__FULLMORE"/>
      <sheetName val="T__BELIZ"/>
      <sheetName val="LE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Fund Org #</v>
          </cell>
          <cell r="B1" t="str">
            <v>LE #</v>
          </cell>
          <cell r="C1" t="str">
            <v>CONTRACTOR</v>
          </cell>
          <cell r="D1" t="str">
            <v>NR/CR</v>
          </cell>
          <cell r="E1" t="str">
            <v>DeputyDirector</v>
          </cell>
        </row>
        <row r="2">
          <cell r="A2">
            <v>18618</v>
          </cell>
          <cell r="B2">
            <v>579</v>
          </cell>
          <cell r="C2" t="str">
            <v>WRAP Family Services</v>
          </cell>
          <cell r="D2" t="str">
            <v>NR/CR</v>
          </cell>
          <cell r="E2" t="str">
            <v>R. Kay</v>
          </cell>
        </row>
        <row r="3">
          <cell r="A3">
            <v>18626</v>
          </cell>
          <cell r="B3">
            <v>506</v>
          </cell>
          <cell r="C3" t="str">
            <v>South Central Health and Rehabilitation Prog. (SCHARP)</v>
          </cell>
          <cell r="D3" t="str">
            <v>NR/CR</v>
          </cell>
          <cell r="E3" t="str">
            <v>J. Allen</v>
          </cell>
        </row>
        <row r="4">
          <cell r="A4">
            <v>18629</v>
          </cell>
          <cell r="B4">
            <v>527</v>
          </cell>
          <cell r="C4" t="str">
            <v>Exodus Recovery, Inc.</v>
          </cell>
          <cell r="D4" t="str">
            <v>NR/CR</v>
          </cell>
          <cell r="E4" t="str">
            <v>R. Kay</v>
          </cell>
        </row>
        <row r="5">
          <cell r="A5">
            <v>18631</v>
          </cell>
          <cell r="B5">
            <v>543</v>
          </cell>
          <cell r="C5" t="str">
            <v>Star View Adolescent Center, Inc. (PHF)</v>
          </cell>
          <cell r="D5" t="str">
            <v>NR</v>
          </cell>
          <cell r="E5" t="str">
            <v>J. Hatakeyama</v>
          </cell>
        </row>
        <row r="6">
          <cell r="A6">
            <v>18637</v>
          </cell>
          <cell r="B6">
            <v>801</v>
          </cell>
          <cell r="C6" t="str">
            <v>Aspen Community Services</v>
          </cell>
          <cell r="D6" t="str">
            <v>CR</v>
          </cell>
          <cell r="E6" t="str">
            <v>T. Beliz</v>
          </cell>
        </row>
        <row r="7">
          <cell r="A7">
            <v>18638</v>
          </cell>
          <cell r="B7">
            <v>558</v>
          </cell>
          <cell r="C7" t="str">
            <v>SHIELDS for Families, Inc.</v>
          </cell>
          <cell r="D7" t="str">
            <v>CR</v>
          </cell>
          <cell r="E7" t="str">
            <v>J. Allen</v>
          </cell>
        </row>
        <row r="8">
          <cell r="A8">
            <v>18663</v>
          </cell>
          <cell r="B8">
            <v>591</v>
          </cell>
          <cell r="C8" t="str">
            <v>Children's Institute Inc.</v>
          </cell>
          <cell r="D8" t="str">
            <v>CR</v>
          </cell>
          <cell r="E8" t="str">
            <v>T. Beliz</v>
          </cell>
        </row>
        <row r="9">
          <cell r="A9">
            <v>18664</v>
          </cell>
          <cell r="B9">
            <v>518</v>
          </cell>
          <cell r="C9" t="str">
            <v>Olive Crest Treatment Center, Inc.</v>
          </cell>
          <cell r="D9" t="str">
            <v>NR/CR</v>
          </cell>
          <cell r="E9" t="str">
            <v>J. Hatakeyama</v>
          </cell>
        </row>
        <row r="10">
          <cell r="A10">
            <v>18665</v>
          </cell>
          <cell r="B10">
            <v>320</v>
          </cell>
          <cell r="C10" t="str">
            <v>San Gabriel Children's  Center,  Inc.</v>
          </cell>
          <cell r="D10" t="str">
            <v>CR</v>
          </cell>
          <cell r="E10" t="str">
            <v>J. Hatakeyama</v>
          </cell>
        </row>
        <row r="11">
          <cell r="A11">
            <v>18675</v>
          </cell>
          <cell r="B11">
            <v>647</v>
          </cell>
          <cell r="C11" t="str">
            <v>Five Acres - The Boys' &amp; Girls' Aid Society of LA County</v>
          </cell>
          <cell r="D11" t="str">
            <v>NR</v>
          </cell>
          <cell r="E11" t="str">
            <v>J. Hatakeyama</v>
          </cell>
        </row>
        <row r="12">
          <cell r="A12">
            <v>18681</v>
          </cell>
          <cell r="B12">
            <v>668</v>
          </cell>
          <cell r="C12" t="str">
            <v>Children's Bureau of Southern California</v>
          </cell>
          <cell r="D12" t="str">
            <v>NR</v>
          </cell>
          <cell r="E12" t="str">
            <v>T. Beliz</v>
          </cell>
        </row>
        <row r="13">
          <cell r="A13">
            <v>18699</v>
          </cell>
          <cell r="B13">
            <v>690</v>
          </cell>
          <cell r="C13" t="str">
            <v>Enrichment Through Employment</v>
          </cell>
          <cell r="D13" t="str">
            <v>CR</v>
          </cell>
          <cell r="E13" t="str">
            <v>J. Allen</v>
          </cell>
        </row>
        <row r="14">
          <cell r="A14">
            <v>18701</v>
          </cell>
          <cell r="B14">
            <v>724</v>
          </cell>
          <cell r="C14" t="str">
            <v>Foothill Family Service</v>
          </cell>
          <cell r="D14" t="str">
            <v>NR</v>
          </cell>
          <cell r="E14" t="str">
            <v>J. Hatakeyama</v>
          </cell>
        </row>
        <row r="15">
          <cell r="A15">
            <v>20466</v>
          </cell>
          <cell r="B15">
            <v>175</v>
          </cell>
          <cell r="C15" t="str">
            <v>Barbour and Floyd Medical Associates</v>
          </cell>
          <cell r="D15" t="str">
            <v>CR</v>
          </cell>
          <cell r="E15" t="str">
            <v>J. Allen</v>
          </cell>
        </row>
        <row r="16">
          <cell r="A16">
            <v>20470</v>
          </cell>
          <cell r="B16">
            <v>315</v>
          </cell>
          <cell r="C16" t="str">
            <v>Los Angeles Unified School District (97th School)</v>
          </cell>
          <cell r="D16" t="str">
            <v>NR</v>
          </cell>
          <cell r="E16" t="str">
            <v>J. Hatakeyama</v>
          </cell>
        </row>
        <row r="17">
          <cell r="A17">
            <v>20486</v>
          </cell>
          <cell r="B17">
            <v>174</v>
          </cell>
          <cell r="C17" t="str">
            <v>Hamburger Home</v>
          </cell>
          <cell r="D17" t="str">
            <v>NR</v>
          </cell>
          <cell r="E17" t="str">
            <v>T. Beliz</v>
          </cell>
        </row>
        <row r="18">
          <cell r="A18">
            <v>20906</v>
          </cell>
          <cell r="B18">
            <v>195</v>
          </cell>
          <cell r="C18" t="str">
            <v>Intercommunity Child Guidance Center</v>
          </cell>
          <cell r="D18" t="str">
            <v>NR</v>
          </cell>
          <cell r="E18" t="str">
            <v>T. Beliz</v>
          </cell>
        </row>
        <row r="19">
          <cell r="A19">
            <v>20961</v>
          </cell>
          <cell r="B19">
            <v>206</v>
          </cell>
          <cell r="C19" t="str">
            <v>Harbor View Rehabilitation Center, Inc.</v>
          </cell>
          <cell r="D19" t="str">
            <v>NR</v>
          </cell>
          <cell r="E19" t="str">
            <v>J. Hatakeyama</v>
          </cell>
        </row>
        <row r="20">
          <cell r="A20">
            <v>20966</v>
          </cell>
          <cell r="B20">
            <v>508</v>
          </cell>
          <cell r="C20" t="str">
            <v>Homes for Life Foundation</v>
          </cell>
          <cell r="D20" t="str">
            <v>NR</v>
          </cell>
          <cell r="E20" t="str">
            <v>K. Williams</v>
          </cell>
        </row>
        <row r="21">
          <cell r="A21">
            <v>21526</v>
          </cell>
          <cell r="B21">
            <v>409</v>
          </cell>
          <cell r="C21" t="str">
            <v>ASC Treatment Group</v>
          </cell>
          <cell r="D21" t="str">
            <v>NR</v>
          </cell>
          <cell r="E21" t="str">
            <v>T. Beliz</v>
          </cell>
        </row>
        <row r="22">
          <cell r="A22">
            <v>21527</v>
          </cell>
          <cell r="B22">
            <v>666</v>
          </cell>
          <cell r="C22" t="str">
            <v>College Hospital - Cerritos</v>
          </cell>
          <cell r="E22" t="str">
            <v>J. Allen</v>
          </cell>
        </row>
        <row r="23">
          <cell r="A23">
            <v>21528</v>
          </cell>
          <cell r="B23">
            <v>630</v>
          </cell>
          <cell r="C23" t="str">
            <v>Topanga-Roscoe Corporation</v>
          </cell>
          <cell r="D23" t="str">
            <v>NR</v>
          </cell>
          <cell r="E23" t="str">
            <v>R. Kay</v>
          </cell>
        </row>
        <row r="24">
          <cell r="A24">
            <v>21568</v>
          </cell>
          <cell r="B24">
            <v>784</v>
          </cell>
          <cell r="C24" t="str">
            <v>St. Francis Medical Center-Children's Counseling Center</v>
          </cell>
          <cell r="D24" t="str">
            <v>NR</v>
          </cell>
          <cell r="E24" t="str">
            <v>J. Allen</v>
          </cell>
        </row>
        <row r="25">
          <cell r="A25">
            <v>21569</v>
          </cell>
          <cell r="B25">
            <v>781</v>
          </cell>
          <cell r="C25" t="str">
            <v>Optimist Boys' Home and Ranch, Inc.</v>
          </cell>
          <cell r="D25" t="str">
            <v>NR</v>
          </cell>
          <cell r="E25" t="str">
            <v>J. Hatakeyama</v>
          </cell>
        </row>
        <row r="26">
          <cell r="A26">
            <v>21570</v>
          </cell>
          <cell r="B26">
            <v>779</v>
          </cell>
          <cell r="C26" t="str">
            <v>Counseling and Research Associates, Inc.</v>
          </cell>
          <cell r="D26" t="str">
            <v>NR</v>
          </cell>
          <cell r="E26" t="str">
            <v>J. Hatakeyama</v>
          </cell>
        </row>
        <row r="27">
          <cell r="A27">
            <v>21571</v>
          </cell>
          <cell r="B27">
            <v>780</v>
          </cell>
          <cell r="C27" t="str">
            <v>Los Angeles Orphans Home Society</v>
          </cell>
          <cell r="D27" t="str">
            <v>CR</v>
          </cell>
          <cell r="E27" t="str">
            <v>J. Hatakeyama</v>
          </cell>
        </row>
        <row r="28">
          <cell r="A28">
            <v>21573</v>
          </cell>
          <cell r="B28">
            <v>805</v>
          </cell>
          <cell r="C28" t="str">
            <v>Phoenix Houses of Los Angeles, Inc.</v>
          </cell>
          <cell r="D28" t="str">
            <v>CR</v>
          </cell>
          <cell r="E28" t="str">
            <v>J. Hatakeyama</v>
          </cell>
        </row>
        <row r="29">
          <cell r="A29">
            <v>21574</v>
          </cell>
          <cell r="B29">
            <v>778</v>
          </cell>
          <cell r="C29" t="str">
            <v>D'Veal Corporation dba D'Veal Family and Youth Services</v>
          </cell>
          <cell r="D29" t="str">
            <v>NR</v>
          </cell>
          <cell r="E29" t="str">
            <v>J. Hatakeyama</v>
          </cell>
        </row>
        <row r="30">
          <cell r="A30">
            <v>21575</v>
          </cell>
          <cell r="B30">
            <v>783</v>
          </cell>
          <cell r="C30" t="str">
            <v>ChildNet Youth and Family Services, Inc.</v>
          </cell>
          <cell r="D30" t="str">
            <v>CR</v>
          </cell>
          <cell r="E30" t="str">
            <v>J. Allen</v>
          </cell>
        </row>
        <row r="31">
          <cell r="A31">
            <v>23100</v>
          </cell>
          <cell r="B31">
            <v>269</v>
          </cell>
          <cell r="C31" t="str">
            <v>AIDS Project Los Angeles, Inc.</v>
          </cell>
          <cell r="D31" t="str">
            <v>CR</v>
          </cell>
          <cell r="E31" t="str">
            <v>T. Beliz</v>
          </cell>
        </row>
        <row r="32">
          <cell r="A32">
            <v>23101</v>
          </cell>
          <cell r="B32">
            <v>325</v>
          </cell>
          <cell r="C32" t="str">
            <v>Asian Rehabilitation Services, Inc.</v>
          </cell>
          <cell r="D32" t="str">
            <v>NR</v>
          </cell>
          <cell r="E32" t="str">
            <v>T. Beliz</v>
          </cell>
        </row>
        <row r="33">
          <cell r="A33">
            <v>23103</v>
          </cell>
          <cell r="B33">
            <v>173</v>
          </cell>
          <cell r="C33" t="str">
            <v>Associated League of Mexican Americans, Inc. (ALMA)</v>
          </cell>
          <cell r="D33" t="str">
            <v>CR</v>
          </cell>
          <cell r="E33" t="str">
            <v>T. Beliz</v>
          </cell>
        </row>
        <row r="34">
          <cell r="A34">
            <v>23105</v>
          </cell>
          <cell r="B34">
            <v>274</v>
          </cell>
          <cell r="C34" t="str">
            <v>Braswell Rehab. Inst. for Dev. of Grow. &amp; Educ. Svs. Inc.</v>
          </cell>
          <cell r="D34" t="str">
            <v>NR</v>
          </cell>
          <cell r="E34" t="str">
            <v>J. Hatakeyama</v>
          </cell>
        </row>
        <row r="35">
          <cell r="A35">
            <v>23106</v>
          </cell>
          <cell r="B35">
            <v>177</v>
          </cell>
          <cell r="C35" t="str">
            <v>Alcott Center for Mental Health Services</v>
          </cell>
          <cell r="D35" t="str">
            <v>NR</v>
          </cell>
          <cell r="E35" t="str">
            <v>R. Kay</v>
          </cell>
        </row>
        <row r="36">
          <cell r="A36">
            <v>23108</v>
          </cell>
          <cell r="B36">
            <v>300</v>
          </cell>
          <cell r="C36" t="str">
            <v>For The Child,  Inc.</v>
          </cell>
          <cell r="D36" t="str">
            <v>CR</v>
          </cell>
          <cell r="E36" t="str">
            <v>J. Allen</v>
          </cell>
        </row>
        <row r="37">
          <cell r="A37">
            <v>23109</v>
          </cell>
          <cell r="B37">
            <v>178</v>
          </cell>
          <cell r="C37" t="str">
            <v>Cedars-Sinai Medical Center</v>
          </cell>
          <cell r="D37" t="str">
            <v>NR</v>
          </cell>
          <cell r="E37" t="str">
            <v>T. Beliz</v>
          </cell>
        </row>
        <row r="38">
          <cell r="A38">
            <v>23112</v>
          </cell>
          <cell r="B38">
            <v>179</v>
          </cell>
          <cell r="C38" t="str">
            <v>Children's Hospital of Los Angeles</v>
          </cell>
          <cell r="D38" t="str">
            <v>NR</v>
          </cell>
          <cell r="E38" t="str">
            <v>T. Beliz</v>
          </cell>
        </row>
        <row r="39">
          <cell r="A39">
            <v>23113</v>
          </cell>
          <cell r="B39">
            <v>322</v>
          </cell>
          <cell r="C39" t="str">
            <v>City of Gardena</v>
          </cell>
          <cell r="D39" t="str">
            <v>CR</v>
          </cell>
          <cell r="E39" t="str">
            <v>J. Allen</v>
          </cell>
        </row>
        <row r="40">
          <cell r="A40">
            <v>23114</v>
          </cell>
          <cell r="B40">
            <v>181</v>
          </cell>
          <cell r="C40" t="str">
            <v>Community Family Guidance Center</v>
          </cell>
          <cell r="D40" t="str">
            <v>NR/CR</v>
          </cell>
          <cell r="E40" t="str">
            <v>T. Beliz</v>
          </cell>
        </row>
        <row r="41">
          <cell r="A41">
            <v>23116</v>
          </cell>
          <cell r="B41">
            <v>183</v>
          </cell>
          <cell r="C41" t="str">
            <v>Didi Hirsch Psychiatric Service</v>
          </cell>
          <cell r="D41" t="str">
            <v>CR</v>
          </cell>
          <cell r="E41" t="str">
            <v>R. Kay</v>
          </cell>
        </row>
        <row r="42">
          <cell r="A42">
            <v>23118</v>
          </cell>
          <cell r="B42">
            <v>184</v>
          </cell>
          <cell r="C42" t="str">
            <v>Dubnoff Center for Child Development  &amp; Education Therapy, Inc.</v>
          </cell>
          <cell r="D42" t="str">
            <v>NR</v>
          </cell>
          <cell r="E42" t="str">
            <v>J. Hatakeyama</v>
          </cell>
        </row>
        <row r="43">
          <cell r="A43">
            <v>23119</v>
          </cell>
          <cell r="B43">
            <v>185</v>
          </cell>
          <cell r="C43" t="str">
            <v>El Centro de Amistad, Inc.</v>
          </cell>
          <cell r="D43" t="str">
            <v>CR</v>
          </cell>
          <cell r="E43" t="str">
            <v>R. Kay</v>
          </cell>
        </row>
        <row r="44">
          <cell r="A44">
            <v>23122</v>
          </cell>
          <cell r="B44">
            <v>188</v>
          </cell>
          <cell r="C44" t="str">
            <v>ENKI Health and Research Systems, Inc.</v>
          </cell>
          <cell r="D44" t="str">
            <v>NR</v>
          </cell>
          <cell r="E44" t="str">
            <v>T. Beliz</v>
          </cell>
        </row>
        <row r="45">
          <cell r="A45">
            <v>23123</v>
          </cell>
          <cell r="B45">
            <v>302</v>
          </cell>
          <cell r="C45" t="str">
            <v>Filipino-American Service Group Inc.</v>
          </cell>
          <cell r="D45" t="str">
            <v>NR</v>
          </cell>
          <cell r="E45" t="str">
            <v>T. Beliz</v>
          </cell>
        </row>
        <row r="46">
          <cell r="A46">
            <v>23125</v>
          </cell>
          <cell r="B46">
            <v>256</v>
          </cell>
          <cell r="C46" t="str">
            <v>1736 Family Crisis Center</v>
          </cell>
          <cell r="D46" t="str">
            <v>CR</v>
          </cell>
          <cell r="E46" t="str">
            <v>J. Allen</v>
          </cell>
        </row>
        <row r="47">
          <cell r="A47">
            <v>23128</v>
          </cell>
          <cell r="B47">
            <v>190</v>
          </cell>
          <cell r="C47" t="str">
            <v>Gateways Hospital and MHC</v>
          </cell>
          <cell r="D47" t="str">
            <v>NR</v>
          </cell>
          <cell r="E47" t="str">
            <v>T. Beliz</v>
          </cell>
        </row>
        <row r="48">
          <cell r="A48">
            <v>23132</v>
          </cell>
          <cell r="B48">
            <v>192</v>
          </cell>
          <cell r="C48" t="str">
            <v>Hathaway Children and Family Services</v>
          </cell>
          <cell r="D48" t="str">
            <v>NR/CR</v>
          </cell>
          <cell r="E48" t="str">
            <v>R. Kay</v>
          </cell>
        </row>
        <row r="49">
          <cell r="A49">
            <v>23133</v>
          </cell>
          <cell r="B49">
            <v>194</v>
          </cell>
          <cell r="C49" t="str">
            <v>Hillview Mental Health Center, Inc.</v>
          </cell>
          <cell r="D49" t="str">
            <v>CR</v>
          </cell>
          <cell r="E49" t="str">
            <v>R. Kay</v>
          </cell>
        </row>
        <row r="50">
          <cell r="A50">
            <v>23134</v>
          </cell>
          <cell r="B50">
            <v>327</v>
          </cell>
          <cell r="C50" t="str">
            <v>Clontarf Manor, Inc.</v>
          </cell>
          <cell r="D50" t="str">
            <v>NR</v>
          </cell>
          <cell r="E50" t="str">
            <v>T. Beliz</v>
          </cell>
        </row>
        <row r="51">
          <cell r="A51">
            <v>23135</v>
          </cell>
          <cell r="B51">
            <v>321</v>
          </cell>
          <cell r="C51" t="str">
            <v>Hillsides</v>
          </cell>
          <cell r="D51" t="str">
            <v>NR</v>
          </cell>
          <cell r="E51" t="str">
            <v>J. Hatakeyama</v>
          </cell>
        </row>
        <row r="52">
          <cell r="A52">
            <v>23136</v>
          </cell>
          <cell r="B52">
            <v>197</v>
          </cell>
          <cell r="C52" t="str">
            <v>Kedren Community Health Center, Inc.</v>
          </cell>
          <cell r="D52" t="str">
            <v>NR/CR</v>
          </cell>
          <cell r="E52" t="str">
            <v>J. Allen</v>
          </cell>
        </row>
        <row r="53">
          <cell r="A53">
            <v>23137</v>
          </cell>
          <cell r="B53">
            <v>326</v>
          </cell>
          <cell r="C53" t="str">
            <v>Koreatown Youth and Community Center, Inc.</v>
          </cell>
          <cell r="D53" t="str">
            <v>CR</v>
          </cell>
          <cell r="E53" t="str">
            <v>T. Beliz</v>
          </cell>
        </row>
        <row r="54">
          <cell r="A54">
            <v>23138</v>
          </cell>
          <cell r="B54">
            <v>198</v>
          </cell>
          <cell r="C54" t="str">
            <v>The Help Group Child and Family Center</v>
          </cell>
          <cell r="D54" t="str">
            <v>NR/CR</v>
          </cell>
          <cell r="E54" t="str">
            <v>R. Kay</v>
          </cell>
        </row>
        <row r="55">
          <cell r="A55">
            <v>23141</v>
          </cell>
          <cell r="B55">
            <v>199</v>
          </cell>
          <cell r="C55" t="str">
            <v>Los Angeles Child Guidance Clinic</v>
          </cell>
          <cell r="D55" t="str">
            <v>NR/CR</v>
          </cell>
          <cell r="E55" t="str">
            <v>J. Allen</v>
          </cell>
        </row>
        <row r="56">
          <cell r="A56">
            <v>23142</v>
          </cell>
          <cell r="B56">
            <v>304</v>
          </cell>
          <cell r="C56" t="str">
            <v>The Los Angeles Gay and Lesbian Community Services Center dba L.A. Gay and Lesbian Center</v>
          </cell>
          <cell r="D56" t="str">
            <v>CR</v>
          </cell>
          <cell r="E56" t="str">
            <v>T. Beliz</v>
          </cell>
        </row>
        <row r="57">
          <cell r="A57">
            <v>23143</v>
          </cell>
          <cell r="B57">
            <v>317</v>
          </cell>
          <cell r="C57" t="str">
            <v>LAMP, Inc.</v>
          </cell>
          <cell r="D57" t="str">
            <v>CR</v>
          </cell>
          <cell r="E57" t="str">
            <v>T. Beliz</v>
          </cell>
        </row>
        <row r="58">
          <cell r="A58">
            <v>23146</v>
          </cell>
          <cell r="B58">
            <v>200</v>
          </cell>
          <cell r="C58" t="str">
            <v>National Mental Health Association of Greater Los Angeles</v>
          </cell>
          <cell r="D58" t="str">
            <v>CR</v>
          </cell>
          <cell r="E58" t="str">
            <v>J. Allen</v>
          </cell>
        </row>
        <row r="59">
          <cell r="A59">
            <v>23149</v>
          </cell>
          <cell r="B59">
            <v>201</v>
          </cell>
          <cell r="C59" t="str">
            <v>Penny Lane Centers</v>
          </cell>
          <cell r="D59" t="str">
            <v>NR/CR</v>
          </cell>
          <cell r="E59" t="str">
            <v>J. Hatakeyama</v>
          </cell>
        </row>
        <row r="60">
          <cell r="A60">
            <v>23151</v>
          </cell>
          <cell r="B60">
            <v>305</v>
          </cell>
          <cell r="C60" t="str">
            <v>Ocean Park Community Center</v>
          </cell>
          <cell r="D60" t="str">
            <v>CR</v>
          </cell>
          <cell r="E60" t="str">
            <v>R. Kay</v>
          </cell>
        </row>
        <row r="61">
          <cell r="A61">
            <v>23153</v>
          </cell>
          <cell r="B61">
            <v>203</v>
          </cell>
          <cell r="C61" t="str">
            <v>Pacific Clinics</v>
          </cell>
          <cell r="D61" t="str">
            <v>CR</v>
          </cell>
          <cell r="E61" t="str">
            <v>J. Hatakeyama</v>
          </cell>
        </row>
        <row r="62">
          <cell r="A62">
            <v>23154</v>
          </cell>
          <cell r="B62">
            <v>204</v>
          </cell>
          <cell r="C62" t="str">
            <v>Pasadena Children's Training Society</v>
          </cell>
          <cell r="D62" t="str">
            <v>NR/CR</v>
          </cell>
          <cell r="E62" t="str">
            <v>J. Hatakeyama</v>
          </cell>
        </row>
        <row r="63">
          <cell r="A63">
            <v>23156</v>
          </cell>
          <cell r="B63">
            <v>205</v>
          </cell>
          <cell r="C63" t="str">
            <v>Portals</v>
          </cell>
          <cell r="D63" t="str">
            <v>NR/CR</v>
          </cell>
          <cell r="E63" t="str">
            <v>T. Beliz</v>
          </cell>
        </row>
        <row r="64">
          <cell r="A64">
            <v>23157</v>
          </cell>
          <cell r="B64">
            <v>191</v>
          </cell>
          <cell r="C64" t="str">
            <v>The Guidance Center</v>
          </cell>
          <cell r="D64" t="str">
            <v>CR</v>
          </cell>
          <cell r="E64" t="str">
            <v>J. Allen</v>
          </cell>
        </row>
        <row r="65">
          <cell r="A65">
            <v>23162</v>
          </cell>
          <cell r="B65">
            <v>207</v>
          </cell>
          <cell r="C65" t="str">
            <v>Child and Family Guidance Center</v>
          </cell>
          <cell r="D65" t="str">
            <v>CR</v>
          </cell>
          <cell r="E65" t="str">
            <v>R. Kay</v>
          </cell>
        </row>
        <row r="66">
          <cell r="A66">
            <v>23163</v>
          </cell>
          <cell r="B66">
            <v>208</v>
          </cell>
          <cell r="C66" t="str">
            <v>San Fernando Valley Community Mental Health Center, Inc.</v>
          </cell>
          <cell r="D66" t="str">
            <v>CR</v>
          </cell>
          <cell r="E66" t="str">
            <v>R. Kay</v>
          </cell>
        </row>
        <row r="67">
          <cell r="A67">
            <v>23164</v>
          </cell>
          <cell r="B67">
            <v>209</v>
          </cell>
          <cell r="C67" t="str">
            <v>Healthview, Inc. dba Harbor View House</v>
          </cell>
          <cell r="D67" t="str">
            <v>NR</v>
          </cell>
          <cell r="E67" t="str">
            <v>J. Allen</v>
          </cell>
        </row>
        <row r="68">
          <cell r="A68">
            <v>23165</v>
          </cell>
          <cell r="B68">
            <v>210</v>
          </cell>
          <cell r="C68" t="str">
            <v>Child and Family Center</v>
          </cell>
          <cell r="D68" t="str">
            <v>NR</v>
          </cell>
          <cell r="E68" t="str">
            <v>R. Kay</v>
          </cell>
        </row>
        <row r="69">
          <cell r="A69">
            <v>23166</v>
          </cell>
          <cell r="B69">
            <v>211</v>
          </cell>
          <cell r="C69" t="str">
            <v>Center for Healthy Aging</v>
          </cell>
          <cell r="D69" t="str">
            <v>NR</v>
          </cell>
          <cell r="E69" t="str">
            <v>R. Kay</v>
          </cell>
        </row>
        <row r="70">
          <cell r="A70">
            <v>23167</v>
          </cell>
          <cell r="B70">
            <v>218</v>
          </cell>
          <cell r="C70" t="str">
            <v>St. Joseph Center</v>
          </cell>
          <cell r="D70" t="str">
            <v>CR</v>
          </cell>
          <cell r="E70" t="str">
            <v>R. Kay</v>
          </cell>
        </row>
        <row r="71">
          <cell r="A71">
            <v>23168</v>
          </cell>
          <cell r="B71">
            <v>212</v>
          </cell>
          <cell r="C71" t="str">
            <v>Social Model Recovery Systems, Inc.</v>
          </cell>
          <cell r="D71" t="str">
            <v>CR</v>
          </cell>
          <cell r="E71" t="str">
            <v>J. Hatakeyama</v>
          </cell>
        </row>
        <row r="72">
          <cell r="A72">
            <v>23169</v>
          </cell>
          <cell r="B72">
            <v>213</v>
          </cell>
          <cell r="C72" t="str">
            <v>South Bay Children's Health Center Association</v>
          </cell>
          <cell r="D72" t="str">
            <v>NR</v>
          </cell>
          <cell r="E72" t="str">
            <v>J. Allen</v>
          </cell>
        </row>
        <row r="73">
          <cell r="A73">
            <v>23170</v>
          </cell>
          <cell r="B73">
            <v>214</v>
          </cell>
          <cell r="C73" t="str">
            <v>Special Service for Groups</v>
          </cell>
          <cell r="D73" t="str">
            <v>NR/CR</v>
          </cell>
          <cell r="E73" t="str">
            <v>T. Beliz</v>
          </cell>
        </row>
        <row r="74">
          <cell r="A74">
            <v>23171</v>
          </cell>
          <cell r="B74">
            <v>217</v>
          </cell>
          <cell r="C74" t="str">
            <v>St. John's Hospital and Health Center</v>
          </cell>
          <cell r="D74" t="str">
            <v>CR</v>
          </cell>
          <cell r="E74" t="str">
            <v>R. Kay</v>
          </cell>
        </row>
        <row r="75">
          <cell r="A75">
            <v>23172</v>
          </cell>
          <cell r="B75">
            <v>108</v>
          </cell>
          <cell r="C75" t="str">
            <v>Telecare Corporation</v>
          </cell>
          <cell r="D75" t="str">
            <v>NR/CR</v>
          </cell>
          <cell r="E75" t="str">
            <v>J. Allen</v>
          </cell>
        </row>
        <row r="76">
          <cell r="A76">
            <v>23173</v>
          </cell>
          <cell r="B76">
            <v>180</v>
          </cell>
          <cell r="C76" t="str">
            <v>Community Counseling Service of Los Angeles, Inc.</v>
          </cell>
          <cell r="D76" t="str">
            <v>NR/CR</v>
          </cell>
          <cell r="E76" t="str">
            <v>T. Beliz</v>
          </cell>
        </row>
        <row r="77">
          <cell r="A77">
            <v>23174</v>
          </cell>
          <cell r="B77">
            <v>193</v>
          </cell>
          <cell r="C77" t="str">
            <v>Health Research Association</v>
          </cell>
          <cell r="D77" t="str">
            <v>CR</v>
          </cell>
          <cell r="E77" t="str">
            <v>T. Beliz</v>
          </cell>
        </row>
        <row r="78">
          <cell r="A78">
            <v>23175</v>
          </cell>
          <cell r="B78">
            <v>219</v>
          </cell>
          <cell r="C78" t="str">
            <v>Transitional Living Centers for L.A. County Inc.</v>
          </cell>
          <cell r="D78" t="str">
            <v>NR</v>
          </cell>
          <cell r="E78" t="str">
            <v>J. Allen</v>
          </cell>
        </row>
        <row r="79">
          <cell r="A79">
            <v>23176</v>
          </cell>
          <cell r="B79">
            <v>309</v>
          </cell>
          <cell r="C79" t="str">
            <v>Travelers Aid Society of Los Angeles</v>
          </cell>
          <cell r="D79" t="str">
            <v>CR</v>
          </cell>
          <cell r="E79" t="str">
            <v>T. Beliz</v>
          </cell>
        </row>
        <row r="80">
          <cell r="A80">
            <v>23178</v>
          </cell>
          <cell r="B80">
            <v>221</v>
          </cell>
          <cell r="C80" t="str">
            <v>Verdugo Mental Health Center</v>
          </cell>
          <cell r="D80" t="str">
            <v>CR</v>
          </cell>
          <cell r="E80" t="str">
            <v>R. Kay</v>
          </cell>
        </row>
        <row r="81">
          <cell r="A81">
            <v>23179</v>
          </cell>
          <cell r="B81">
            <v>310</v>
          </cell>
          <cell r="C81" t="str">
            <v>Watts Labor Community Action Committee (WLCAC)</v>
          </cell>
          <cell r="D81" t="str">
            <v>NR</v>
          </cell>
          <cell r="E81" t="str">
            <v>J. Allen</v>
          </cell>
        </row>
        <row r="82">
          <cell r="A82">
            <v>23180</v>
          </cell>
          <cell r="B82">
            <v>316</v>
          </cell>
          <cell r="C82" t="str">
            <v>Westside Center for Independent Living, Inc.</v>
          </cell>
          <cell r="D82" t="str">
            <v>CR</v>
          </cell>
          <cell r="E82" t="str">
            <v>R. Kay</v>
          </cell>
        </row>
        <row r="83">
          <cell r="A83">
            <v>23182</v>
          </cell>
          <cell r="B83">
            <v>215</v>
          </cell>
          <cell r="C83" t="str">
            <v>Step-Up On Second Street, Inc.</v>
          </cell>
          <cell r="D83" t="str">
            <v>NR/CR</v>
          </cell>
          <cell r="E83" t="str">
            <v>R. Kay</v>
          </cell>
        </row>
        <row r="84">
          <cell r="A84">
            <v>23186</v>
          </cell>
          <cell r="B84">
            <v>171</v>
          </cell>
          <cell r="C84" t="str">
            <v>Institute for the Redesign of Learning</v>
          </cell>
          <cell r="D84" t="str">
            <v>NR</v>
          </cell>
          <cell r="E84" t="str">
            <v>J. Hatakeyama</v>
          </cell>
        </row>
        <row r="85">
          <cell r="A85">
            <v>23187</v>
          </cell>
          <cell r="B85">
            <v>216</v>
          </cell>
          <cell r="C85" t="str">
            <v>Stirling Academy, Inc.</v>
          </cell>
          <cell r="D85" t="str">
            <v>CR</v>
          </cell>
          <cell r="E85" t="str">
            <v>R. Kay</v>
          </cell>
        </row>
        <row r="86">
          <cell r="A86">
            <v>23188</v>
          </cell>
          <cell r="B86">
            <v>196</v>
          </cell>
          <cell r="C86" t="str">
            <v>Vista Del Mar Child &amp; Family Services</v>
          </cell>
          <cell r="D86" t="str">
            <v>CR</v>
          </cell>
          <cell r="E86" t="str">
            <v>R. Kay</v>
          </cell>
        </row>
        <row r="87">
          <cell r="A87">
            <v>23190</v>
          </cell>
          <cell r="B87">
            <v>323</v>
          </cell>
          <cell r="C87" t="str">
            <v>Los Angeles Free Clinic, The</v>
          </cell>
          <cell r="D87" t="str">
            <v>CR</v>
          </cell>
          <cell r="E87" t="str">
            <v>T. Beliz</v>
          </cell>
        </row>
        <row r="88">
          <cell r="A88">
            <v>27210</v>
          </cell>
          <cell r="B88">
            <v>838</v>
          </cell>
          <cell r="C88" t="str">
            <v>PROTOTYPES</v>
          </cell>
          <cell r="D88" t="str">
            <v>CR</v>
          </cell>
          <cell r="E88" t="str">
            <v>J. Hatakeyama</v>
          </cell>
        </row>
        <row r="89">
          <cell r="A89">
            <v>27231</v>
          </cell>
          <cell r="B89">
            <v>846</v>
          </cell>
          <cell r="C89" t="str">
            <v>Gay and Lesbian Adolescent Social Services, Inc.</v>
          </cell>
          <cell r="D89" t="str">
            <v>NR</v>
          </cell>
          <cell r="E89" t="str">
            <v>T. Beliz</v>
          </cell>
        </row>
        <row r="90">
          <cell r="A90">
            <v>27233</v>
          </cell>
          <cell r="B90">
            <v>860</v>
          </cell>
          <cell r="C90" t="str">
            <v>Bienvenidos Children's Center, Inc.</v>
          </cell>
          <cell r="D90" t="str">
            <v>NR</v>
          </cell>
          <cell r="E90" t="str">
            <v>J. Hatakeyama</v>
          </cell>
        </row>
        <row r="91">
          <cell r="A91">
            <v>27234</v>
          </cell>
          <cell r="B91">
            <v>995</v>
          </cell>
          <cell r="C91" t="str">
            <v>Ettie Lee Homes, Inc.</v>
          </cell>
          <cell r="D91" t="str">
            <v>CR</v>
          </cell>
          <cell r="E91" t="str">
            <v>J. Hatakeyama</v>
          </cell>
        </row>
        <row r="92">
          <cell r="A92">
            <v>27235</v>
          </cell>
          <cell r="B92">
            <v>859</v>
          </cell>
          <cell r="C92" t="str">
            <v>One In Long Beach, Inc.</v>
          </cell>
          <cell r="D92" t="str">
            <v>NR</v>
          </cell>
          <cell r="E92" t="str">
            <v>J. Allen</v>
          </cell>
        </row>
        <row r="93">
          <cell r="A93">
            <v>27236</v>
          </cell>
          <cell r="B93">
            <v>848</v>
          </cell>
          <cell r="C93" t="str">
            <v>Rosemary Children's Services</v>
          </cell>
          <cell r="D93" t="str">
            <v>NR</v>
          </cell>
          <cell r="E93" t="str">
            <v>J. Hatakeyama</v>
          </cell>
        </row>
        <row r="94">
          <cell r="A94">
            <v>27248</v>
          </cell>
          <cell r="B94">
            <v>938</v>
          </cell>
          <cell r="C94" t="str">
            <v>United American Indian Involvement, Inc.</v>
          </cell>
          <cell r="D94" t="str">
            <v>NR/CR</v>
          </cell>
          <cell r="E94" t="str">
            <v>T. Beliz</v>
          </cell>
        </row>
        <row r="95">
          <cell r="A95">
            <v>27478</v>
          </cell>
          <cell r="B95">
            <v>965</v>
          </cell>
          <cell r="C95" t="str">
            <v>Heritage Clinic and The Community Assistance for Seniors</v>
          </cell>
          <cell r="D95" t="str">
            <v>NR</v>
          </cell>
          <cell r="E95" t="str">
            <v>J. Hatakeyama</v>
          </cell>
        </row>
        <row r="96">
          <cell r="A96">
            <v>27492</v>
          </cell>
          <cell r="B96">
            <v>993</v>
          </cell>
          <cell r="C96" t="str">
            <v>FH &amp; HF Torrance I, LLC c/o Health Quality Management Group</v>
          </cell>
          <cell r="D96" t="str">
            <v>CR</v>
          </cell>
          <cell r="E96" t="str">
            <v>I. Lesser</v>
          </cell>
        </row>
        <row r="97">
          <cell r="A97">
            <v>27495</v>
          </cell>
          <cell r="B97">
            <v>971</v>
          </cell>
          <cell r="C97" t="str">
            <v>McKinley Children's Center, Inc.</v>
          </cell>
          <cell r="D97" t="str">
            <v>CR</v>
          </cell>
          <cell r="E97" t="str">
            <v>J. Hatakeyama</v>
          </cell>
        </row>
        <row r="98">
          <cell r="A98">
            <v>27496</v>
          </cell>
          <cell r="B98">
            <v>472</v>
          </cell>
          <cell r="C98" t="str">
            <v>Devereux Foundation dba Devereux California</v>
          </cell>
          <cell r="D98" t="str">
            <v>CR</v>
          </cell>
          <cell r="E98" t="str">
            <v>J. Hatakeyama</v>
          </cell>
        </row>
        <row r="99">
          <cell r="A99">
            <v>27502</v>
          </cell>
          <cell r="B99">
            <v>1030</v>
          </cell>
          <cell r="C99" t="str">
            <v>Caring for Children and Families With Aids</v>
          </cell>
          <cell r="D99" t="str">
            <v>CR</v>
          </cell>
          <cell r="E99" t="str">
            <v>J. Hatakeyama</v>
          </cell>
        </row>
        <row r="100">
          <cell r="A100">
            <v>27507</v>
          </cell>
          <cell r="B100">
            <v>1034</v>
          </cell>
          <cell r="C100" t="str">
            <v>Maryvale</v>
          </cell>
          <cell r="D100" t="str">
            <v>NR/CR</v>
          </cell>
          <cell r="E100" t="str">
            <v>J. Hatakeyama</v>
          </cell>
        </row>
        <row r="101">
          <cell r="A101">
            <v>27508</v>
          </cell>
          <cell r="B101">
            <v>694</v>
          </cell>
          <cell r="C101" t="str">
            <v>Counseling4Kids</v>
          </cell>
          <cell r="D101" t="str">
            <v>CR</v>
          </cell>
          <cell r="E101" t="str">
            <v>R. Kay</v>
          </cell>
        </row>
        <row r="102">
          <cell r="A102">
            <v>27518</v>
          </cell>
          <cell r="B102">
            <v>1204</v>
          </cell>
          <cell r="C102" t="str">
            <v>Pacific Lodge Youth Services</v>
          </cell>
          <cell r="D102" t="str">
            <v>CR</v>
          </cell>
          <cell r="E102" t="str">
            <v>J. Hatakeyama</v>
          </cell>
        </row>
        <row r="103">
          <cell r="A103">
            <v>27519</v>
          </cell>
          <cell r="B103">
            <v>1169</v>
          </cell>
          <cell r="C103" t="str">
            <v>Para Los Ninos</v>
          </cell>
          <cell r="D103" t="str">
            <v>CR</v>
          </cell>
          <cell r="E103" t="str">
            <v>T. Beliz</v>
          </cell>
        </row>
        <row r="104">
          <cell r="A104">
            <v>27520</v>
          </cell>
          <cell r="B104">
            <v>1194</v>
          </cell>
          <cell r="C104" t="str">
            <v>Personal Involvement Center, Inc.</v>
          </cell>
          <cell r="D104" t="str">
            <v>CR</v>
          </cell>
          <cell r="E104" t="str">
            <v>J. Allen</v>
          </cell>
        </row>
        <row r="105">
          <cell r="A105">
            <v>27522</v>
          </cell>
          <cell r="B105">
            <v>1195</v>
          </cell>
          <cell r="C105" t="str">
            <v>Serenity Infant Care Homes, Inc.</v>
          </cell>
          <cell r="D105" t="str">
            <v>CR</v>
          </cell>
          <cell r="E105" t="str">
            <v>J. Hatakeyama</v>
          </cell>
        </row>
        <row r="106">
          <cell r="A106">
            <v>27523</v>
          </cell>
          <cell r="B106">
            <v>1186</v>
          </cell>
          <cell r="C106" t="str">
            <v>St. Anne's</v>
          </cell>
          <cell r="D106" t="str">
            <v>CR</v>
          </cell>
          <cell r="E106" t="str">
            <v>J. Hatakeyama</v>
          </cell>
        </row>
        <row r="107">
          <cell r="A107">
            <v>27524</v>
          </cell>
          <cell r="B107">
            <v>1171</v>
          </cell>
          <cell r="C107" t="str">
            <v>Tobinworld</v>
          </cell>
          <cell r="D107" t="str">
            <v>CR</v>
          </cell>
          <cell r="E107" t="str">
            <v>J. Hatakeyama</v>
          </cell>
        </row>
        <row r="108">
          <cell r="A108">
            <v>27525</v>
          </cell>
          <cell r="B108">
            <v>1026</v>
          </cell>
          <cell r="C108" t="str">
            <v>Trinity Youth Services</v>
          </cell>
          <cell r="D108" t="str">
            <v>CR</v>
          </cell>
          <cell r="E108" t="str">
            <v>J. Hatakeyama</v>
          </cell>
        </row>
        <row r="109">
          <cell r="A109">
            <v>27529</v>
          </cell>
          <cell r="B109">
            <v>699</v>
          </cell>
          <cell r="C109" t="str">
            <v>Institute for Multicultural Counseling &amp; Education Services, Inc. (I.M.C.E.S.)</v>
          </cell>
          <cell r="D109" t="str">
            <v>CR</v>
          </cell>
          <cell r="E109" t="str">
            <v>T. Beliz</v>
          </cell>
        </row>
        <row r="110">
          <cell r="A110">
            <v>27537</v>
          </cell>
          <cell r="B110">
            <v>1232</v>
          </cell>
          <cell r="C110" t="str">
            <v>Helpline Youth Counseling, Inc.</v>
          </cell>
          <cell r="D110" t="str">
            <v>CR</v>
          </cell>
          <cell r="E110" t="str">
            <v>T. Beliz</v>
          </cell>
        </row>
        <row r="111">
          <cell r="A111">
            <v>27543</v>
          </cell>
          <cell r="B111">
            <v>697</v>
          </cell>
          <cell r="C111" t="str">
            <v>LeRoy Haynes Center for Children and Family Services, Inc.</v>
          </cell>
          <cell r="D111" t="str">
            <v>CR</v>
          </cell>
          <cell r="E111" t="str">
            <v>J. Hatakeyama</v>
          </cell>
        </row>
        <row r="112">
          <cell r="A112">
            <v>27544</v>
          </cell>
          <cell r="B112">
            <v>1224</v>
          </cell>
          <cell r="C112" t="str">
            <v>The Village Family Services</v>
          </cell>
          <cell r="D112" t="str">
            <v>CR</v>
          </cell>
          <cell r="E112" t="str">
            <v>R. Kay</v>
          </cell>
        </row>
        <row r="113">
          <cell r="A113">
            <v>27545</v>
          </cell>
          <cell r="B113">
            <v>1227</v>
          </cell>
          <cell r="C113" t="str">
            <v>David &amp; Margaret Home, Inc.</v>
          </cell>
          <cell r="D113" t="str">
            <v>CR</v>
          </cell>
          <cell r="E113" t="str">
            <v>J. Hatakeyama</v>
          </cell>
        </row>
        <row r="114">
          <cell r="A114">
            <v>27549</v>
          </cell>
          <cell r="B114">
            <v>1250</v>
          </cell>
          <cell r="C114" t="str">
            <v>El Centro del Pueblo, Inc.</v>
          </cell>
          <cell r="D114" t="str">
            <v>CR</v>
          </cell>
          <cell r="E114" t="str">
            <v>T. Beliz</v>
          </cell>
        </row>
        <row r="115">
          <cell r="A115">
            <v>27550</v>
          </cell>
          <cell r="B115">
            <v>1251</v>
          </cell>
          <cell r="C115" t="str">
            <v>Catholic Healthcare West dba California Hospital Medical Center</v>
          </cell>
          <cell r="D115" t="str">
            <v>CR</v>
          </cell>
          <cell r="E115" t="str">
            <v>T. Beliz</v>
          </cell>
        </row>
        <row r="116">
          <cell r="A116">
            <v>27600</v>
          </cell>
          <cell r="B116">
            <v>1044</v>
          </cell>
          <cell r="C116" t="str">
            <v>VIP Community Mental Health Center (VIP CMHC)</v>
          </cell>
          <cell r="D116" t="str">
            <v>NR/CR</v>
          </cell>
          <cell r="E116" t="str">
            <v>T. Beliz</v>
          </cell>
        </row>
        <row r="117">
          <cell r="A117">
            <v>27601</v>
          </cell>
          <cell r="B117">
            <v>1066</v>
          </cell>
          <cell r="C117" t="str">
            <v>The Children's Center of the Antelope Valley</v>
          </cell>
          <cell r="D117" t="str">
            <v>NR</v>
          </cell>
          <cell r="E117" t="str">
            <v>J. Hatakeyama</v>
          </cell>
        </row>
        <row r="118">
          <cell r="A118">
            <v>27613</v>
          </cell>
          <cell r="B118">
            <v>1129</v>
          </cell>
          <cell r="C118" t="str">
            <v>The Rehab Program at PRCC, Inc.</v>
          </cell>
          <cell r="D118" t="str">
            <v>CR</v>
          </cell>
          <cell r="E118" t="str">
            <v>J. Hatakeyama</v>
          </cell>
        </row>
        <row r="119">
          <cell r="A119">
            <v>27614</v>
          </cell>
          <cell r="B119">
            <v>1111</v>
          </cell>
          <cell r="C119" t="str">
            <v>Institute for Applied Behavioral Analysis, A Psychological Corp.</v>
          </cell>
          <cell r="D119" t="str">
            <v>CR</v>
          </cell>
          <cell r="E119" t="str">
            <v>J. Hatakeyama</v>
          </cell>
        </row>
        <row r="120">
          <cell r="A120">
            <v>27620</v>
          </cell>
          <cell r="B120">
            <v>1167</v>
          </cell>
          <cell r="C120" t="str">
            <v>Asian American Drug Abuse Program, Inc.</v>
          </cell>
          <cell r="D120" t="str">
            <v>CR</v>
          </cell>
          <cell r="E120" t="str">
            <v>J. Allen</v>
          </cell>
        </row>
        <row r="121">
          <cell r="A121">
            <v>27621</v>
          </cell>
          <cell r="B121">
            <v>1150</v>
          </cell>
          <cell r="C121" t="str">
            <v>Behavioral Health Services, Inc.</v>
          </cell>
          <cell r="D121" t="str">
            <v>CR</v>
          </cell>
          <cell r="E121" t="str">
            <v>T. Beliz</v>
          </cell>
        </row>
        <row r="122">
          <cell r="A122">
            <v>27622</v>
          </cell>
          <cell r="B122">
            <v>1149</v>
          </cell>
          <cell r="C122" t="str">
            <v>California Hispanic Commission, Inc.</v>
          </cell>
          <cell r="D122" t="str">
            <v>CR</v>
          </cell>
          <cell r="E122" t="str">
            <v>T. Beliz</v>
          </cell>
        </row>
        <row r="123">
          <cell r="A123">
            <v>27624</v>
          </cell>
          <cell r="B123">
            <v>1160</v>
          </cell>
          <cell r="C123" t="str">
            <v>SPIRITT Family Services, Inc.</v>
          </cell>
          <cell r="D123" t="str">
            <v>CR</v>
          </cell>
          <cell r="E123" t="str">
            <v>T. Beliz</v>
          </cell>
        </row>
        <row r="124">
          <cell r="A124">
            <v>27625</v>
          </cell>
          <cell r="B124">
            <v>1156</v>
          </cell>
          <cell r="C124" t="str">
            <v>Tarzana Treatment Center, Inc.</v>
          </cell>
          <cell r="D124" t="str">
            <v>NR</v>
          </cell>
          <cell r="E124" t="str">
            <v>R. Kay</v>
          </cell>
        </row>
        <row r="125">
          <cell r="A125">
            <v>27626</v>
          </cell>
          <cell r="B125">
            <v>1142</v>
          </cell>
          <cell r="C125" t="str">
            <v>New Directions, Inc.</v>
          </cell>
          <cell r="D125" t="str">
            <v>NR</v>
          </cell>
          <cell r="E125" t="str">
            <v>R. Kay</v>
          </cell>
        </row>
        <row r="126">
          <cell r="A126">
            <v>27627</v>
          </cell>
          <cell r="B126">
            <v>870</v>
          </cell>
          <cell r="C126" t="str">
            <v>Florence Crittenton Services of Orange County, Inc.</v>
          </cell>
          <cell r="D126" t="str">
            <v>CR</v>
          </cell>
          <cell r="E126" t="str">
            <v>J. Hatakeyama</v>
          </cell>
        </row>
        <row r="127">
          <cell r="A127">
            <v>27633</v>
          </cell>
          <cell r="B127">
            <v>1192</v>
          </cell>
          <cell r="C127" t="str">
            <v>California Institute of Health and Social Services, Inc. dba Alafia Mental Health</v>
          </cell>
          <cell r="D127" t="str">
            <v>CR</v>
          </cell>
          <cell r="E127" t="str">
            <v>J. Allen</v>
          </cell>
        </row>
        <row r="128">
          <cell r="A128">
            <v>27634</v>
          </cell>
          <cell r="B128">
            <v>1209</v>
          </cell>
          <cell r="C128" t="str">
            <v>Center for Integrated Family and Health Services</v>
          </cell>
          <cell r="D128" t="str">
            <v>CR</v>
          </cell>
          <cell r="E128" t="str">
            <v>J. Hatakeyama</v>
          </cell>
        </row>
        <row r="129">
          <cell r="A129">
            <v>27635</v>
          </cell>
          <cell r="B129">
            <v>1181</v>
          </cell>
          <cell r="C129" t="str">
            <v>Drew Child Development Corporation</v>
          </cell>
          <cell r="D129" t="str">
            <v>NR</v>
          </cell>
          <cell r="E129" t="str">
            <v>J. Allen</v>
          </cell>
        </row>
        <row r="130">
          <cell r="A130">
            <v>27636</v>
          </cell>
          <cell r="B130">
            <v>182</v>
          </cell>
          <cell r="C130" t="str">
            <v>Florence Crittenton Center, Los Angeles</v>
          </cell>
          <cell r="D130" t="str">
            <v>CR</v>
          </cell>
          <cell r="E130" t="str">
            <v>J. Hatakeyama</v>
          </cell>
        </row>
        <row r="131">
          <cell r="A131">
            <v>27637</v>
          </cell>
          <cell r="B131">
            <v>1201</v>
          </cell>
          <cell r="C131" t="str">
            <v>Kids First Foundation, Inc.</v>
          </cell>
          <cell r="D131" t="str">
            <v>CR</v>
          </cell>
          <cell r="E131" t="str">
            <v>J. Hatakeyama</v>
          </cell>
        </row>
        <row r="132">
          <cell r="A132">
            <v>27638</v>
          </cell>
          <cell r="B132">
            <v>1184</v>
          </cell>
          <cell r="C132" t="str">
            <v>Kayne-Eras Center</v>
          </cell>
          <cell r="D132" t="str">
            <v>CR</v>
          </cell>
          <cell r="E132" t="str">
            <v>R. Kay</v>
          </cell>
        </row>
        <row r="133">
          <cell r="A133">
            <v>27639</v>
          </cell>
          <cell r="B133">
            <v>1170</v>
          </cell>
          <cell r="C133" t="str">
            <v>New Horizons Family Center</v>
          </cell>
          <cell r="D133" t="str">
            <v>CR</v>
          </cell>
          <cell r="E133" t="str">
            <v>R. Kay</v>
          </cell>
        </row>
        <row r="135">
          <cell r="C135" t="str">
            <v>IMD</v>
          </cell>
        </row>
        <row r="136">
          <cell r="A136" t="str">
            <v>Fund org #</v>
          </cell>
          <cell r="B136" t="str">
            <v>LE #</v>
          </cell>
          <cell r="C136" t="str">
            <v>Name</v>
          </cell>
        </row>
        <row r="137">
          <cell r="A137">
            <v>20955</v>
          </cell>
          <cell r="B137">
            <v>279</v>
          </cell>
          <cell r="C137" t="str">
            <v>Braswell Enterprises</v>
          </cell>
          <cell r="D137" t="str">
            <v>NR</v>
          </cell>
          <cell r="E137" t="str">
            <v>T. Beliz</v>
          </cell>
        </row>
        <row r="138">
          <cell r="A138">
            <v>23184</v>
          </cell>
          <cell r="B138">
            <v>308</v>
          </cell>
          <cell r="C138" t="str">
            <v>San Gabriel Valley Convalescent Hospital</v>
          </cell>
          <cell r="D138" t="str">
            <v>NR</v>
          </cell>
          <cell r="E138" t="str">
            <v>T. Beliz</v>
          </cell>
        </row>
        <row r="139">
          <cell r="A139">
            <v>20964</v>
          </cell>
          <cell r="B139">
            <v>311</v>
          </cell>
          <cell r="C139" t="str">
            <v>Community Care Center, Inc.</v>
          </cell>
          <cell r="D139" t="str">
            <v>NR</v>
          </cell>
          <cell r="E139" t="str">
            <v>T. Beliz</v>
          </cell>
        </row>
        <row r="140">
          <cell r="A140">
            <v>20954</v>
          </cell>
          <cell r="B140">
            <v>313</v>
          </cell>
          <cell r="C140" t="str">
            <v>Landmark Medical Services, Inc.</v>
          </cell>
          <cell r="D140" t="str">
            <v>NR</v>
          </cell>
          <cell r="E140" t="str">
            <v>T. Beliz</v>
          </cell>
        </row>
        <row r="141">
          <cell r="A141">
            <v>20957</v>
          </cell>
          <cell r="B141">
            <v>314</v>
          </cell>
          <cell r="C141" t="str">
            <v>Meadowbrook Rehabilitation Center</v>
          </cell>
          <cell r="D141" t="str">
            <v>NR</v>
          </cell>
          <cell r="E141" t="str">
            <v>T. Beliz</v>
          </cell>
        </row>
        <row r="142">
          <cell r="A142">
            <v>20958</v>
          </cell>
          <cell r="B142">
            <v>324</v>
          </cell>
          <cell r="C142" t="str">
            <v>Amada Enterprises, Inc.</v>
          </cell>
          <cell r="D142" t="str">
            <v>NR</v>
          </cell>
          <cell r="E142" t="str">
            <v>T. Beliz</v>
          </cell>
        </row>
        <row r="144">
          <cell r="B144">
            <v>578</v>
          </cell>
          <cell r="C144" t="str">
            <v>Aurora Charter Oak, LLC</v>
          </cell>
          <cell r="E144" t="str">
            <v>J. Allen</v>
          </cell>
        </row>
        <row r="145">
          <cell r="B145">
            <v>693</v>
          </cell>
          <cell r="C145" t="str">
            <v>Parenting Institute Incorporated</v>
          </cell>
          <cell r="E145" t="str">
            <v>J. Allen</v>
          </cell>
        </row>
        <row r="146">
          <cell r="B146">
            <v>695</v>
          </cell>
          <cell r="C146" t="str">
            <v>El Dorado Community Service Centers</v>
          </cell>
          <cell r="E146" t="str">
            <v>J. Allen</v>
          </cell>
        </row>
        <row r="147">
          <cell r="B147">
            <v>712</v>
          </cell>
          <cell r="C147" t="str">
            <v>Multiservice Family Center, Inc.</v>
          </cell>
          <cell r="E147" t="str">
            <v>J. Allen</v>
          </cell>
        </row>
        <row r="148">
          <cell r="B148">
            <v>786</v>
          </cell>
          <cell r="C148" t="str">
            <v>Kamila Comprehensive Health Center</v>
          </cell>
          <cell r="E148" t="str">
            <v>J. Hatakeyama</v>
          </cell>
        </row>
      </sheetData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Fund Org #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LAC CMA"/>
      <sheetName val="MH1901_Schedule_B"/>
      <sheetName val="LAC101"/>
      <sheetName val="LAC 102_MH"/>
      <sheetName val="LAC 102_IMD_ERS_PHF"/>
      <sheetName val="LAC 102_UCC"/>
      <sheetName val="10B_MH_(OPTIONAL)"/>
      <sheetName val="10B_IMD_ERS_PHF_(OPTIONAL)"/>
      <sheetName val="10B_UCC_(OPTIONAL)"/>
      <sheetName val="MH1901_Schedule_C"/>
      <sheetName val="LAC103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HOSP_15"/>
      <sheetName val="MH1960_PHYS_15"/>
      <sheetName val="MH1969_INST"/>
      <sheetName val="MH1969"/>
      <sheetName val="MH1992_INST"/>
      <sheetName val="MH1991"/>
      <sheetName val="MH1968"/>
      <sheetName val="MH1979"/>
      <sheetName val="MH1992"/>
      <sheetName val="Crosschecks"/>
      <sheetName val="Input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3">
          <cell r="I13">
            <v>0</v>
          </cell>
        </row>
      </sheetData>
      <sheetData sheetId="47"/>
      <sheetData sheetId="48"/>
      <sheetData sheetId="49"/>
      <sheetData sheetId="5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f match"/>
      <sheetName val="sdmc allocatted"/>
      <sheetName val="cgf"/>
      <sheetName val="ffp"/>
      <sheetName val="epsdt"/>
      <sheetName val="hf"/>
      <sheetName val="uos not used"/>
      <sheetName val="sorted"/>
      <sheetName val="Sheet1"/>
      <sheetName val="all"/>
      <sheetName val="ECAPS CODES 2014"/>
      <sheetName val="cgf_match"/>
      <sheetName val="sdmc_allocatted"/>
      <sheetName val="uos_not_used"/>
      <sheetName val="ECAPS_CODES_2014"/>
      <sheetName val="Fixed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>
            <v>7558</v>
          </cell>
          <cell r="B1">
            <v>20657</v>
          </cell>
        </row>
        <row r="2">
          <cell r="A2">
            <v>100</v>
          </cell>
          <cell r="B2">
            <v>20944</v>
          </cell>
        </row>
        <row r="3">
          <cell r="A3">
            <v>6864</v>
          </cell>
          <cell r="B3">
            <v>20658</v>
          </cell>
        </row>
        <row r="4">
          <cell r="A4">
            <v>7064</v>
          </cell>
          <cell r="B4">
            <v>20459</v>
          </cell>
        </row>
        <row r="5">
          <cell r="A5">
            <v>7398</v>
          </cell>
          <cell r="B5">
            <v>21561</v>
          </cell>
        </row>
        <row r="6">
          <cell r="A6">
            <v>1938</v>
          </cell>
          <cell r="B6">
            <v>20465</v>
          </cell>
        </row>
        <row r="7">
          <cell r="A7">
            <v>6859</v>
          </cell>
          <cell r="B7">
            <v>20564</v>
          </cell>
        </row>
        <row r="8">
          <cell r="A8">
            <v>7207</v>
          </cell>
          <cell r="B8">
            <v>23005</v>
          </cell>
        </row>
        <row r="9">
          <cell r="A9">
            <v>1926</v>
          </cell>
          <cell r="B9">
            <v>23034</v>
          </cell>
        </row>
        <row r="10">
          <cell r="A10">
            <v>1927</v>
          </cell>
          <cell r="B10">
            <v>23007</v>
          </cell>
        </row>
        <row r="11">
          <cell r="A11">
            <v>1700</v>
          </cell>
          <cell r="B11">
            <v>27498</v>
          </cell>
        </row>
        <row r="12">
          <cell r="A12">
            <v>1928</v>
          </cell>
          <cell r="B12">
            <v>20464</v>
          </cell>
        </row>
        <row r="13">
          <cell r="A13">
            <v>1935</v>
          </cell>
          <cell r="B13">
            <v>23003</v>
          </cell>
        </row>
        <row r="14">
          <cell r="A14">
            <v>7532</v>
          </cell>
          <cell r="B14" t="str">
            <v>NGA?</v>
          </cell>
        </row>
        <row r="15">
          <cell r="A15">
            <v>1908</v>
          </cell>
          <cell r="B15">
            <v>23010</v>
          </cell>
        </row>
        <row r="16">
          <cell r="A16">
            <v>7437</v>
          </cell>
          <cell r="B16">
            <v>20489</v>
          </cell>
        </row>
        <row r="17">
          <cell r="A17">
            <v>1904</v>
          </cell>
          <cell r="B17">
            <v>20468</v>
          </cell>
        </row>
        <row r="18">
          <cell r="A18">
            <v>1917</v>
          </cell>
          <cell r="B18">
            <v>23015</v>
          </cell>
        </row>
        <row r="19">
          <cell r="A19">
            <v>7171</v>
          </cell>
          <cell r="B19">
            <v>20941</v>
          </cell>
        </row>
        <row r="20">
          <cell r="A20">
            <v>7170</v>
          </cell>
          <cell r="B20">
            <v>18213</v>
          </cell>
        </row>
        <row r="21">
          <cell r="A21">
            <v>7386</v>
          </cell>
          <cell r="B21">
            <v>21537</v>
          </cell>
        </row>
        <row r="22">
          <cell r="A22">
            <v>1939</v>
          </cell>
          <cell r="B22">
            <v>18674</v>
          </cell>
        </row>
        <row r="23">
          <cell r="A23">
            <v>7593</v>
          </cell>
          <cell r="B23">
            <v>27553</v>
          </cell>
        </row>
        <row r="24">
          <cell r="A24">
            <v>7591</v>
          </cell>
          <cell r="B24">
            <v>27553</v>
          </cell>
        </row>
        <row r="25">
          <cell r="A25">
            <v>7592</v>
          </cell>
          <cell r="B25">
            <v>27553</v>
          </cell>
        </row>
        <row r="26">
          <cell r="A26">
            <v>7191</v>
          </cell>
          <cell r="B26">
            <v>18588</v>
          </cell>
        </row>
        <row r="27">
          <cell r="A27">
            <v>1906</v>
          </cell>
          <cell r="B27">
            <v>18588</v>
          </cell>
        </row>
        <row r="28">
          <cell r="A28">
            <v>7241</v>
          </cell>
          <cell r="B28">
            <v>18716</v>
          </cell>
        </row>
        <row r="29">
          <cell r="A29">
            <v>6840</v>
          </cell>
          <cell r="B29">
            <v>20452</v>
          </cell>
        </row>
        <row r="30">
          <cell r="A30">
            <v>1905</v>
          </cell>
          <cell r="B30">
            <v>20469</v>
          </cell>
        </row>
        <row r="31">
          <cell r="A31">
            <v>7340</v>
          </cell>
          <cell r="B31">
            <v>20492</v>
          </cell>
        </row>
        <row r="32">
          <cell r="A32">
            <v>6841</v>
          </cell>
          <cell r="B32">
            <v>20499</v>
          </cell>
        </row>
        <row r="33">
          <cell r="A33">
            <v>6821</v>
          </cell>
          <cell r="B33">
            <v>20444</v>
          </cell>
        </row>
        <row r="34">
          <cell r="A34">
            <v>1957</v>
          </cell>
          <cell r="B34">
            <v>20443</v>
          </cell>
        </row>
        <row r="35">
          <cell r="A35">
            <v>1958</v>
          </cell>
          <cell r="B35">
            <v>20441</v>
          </cell>
        </row>
        <row r="36">
          <cell r="A36">
            <v>7442</v>
          </cell>
          <cell r="B36">
            <v>21564</v>
          </cell>
        </row>
        <row r="37">
          <cell r="A37">
            <v>7443</v>
          </cell>
          <cell r="B37">
            <v>21564</v>
          </cell>
        </row>
        <row r="38">
          <cell r="A38">
            <v>7509</v>
          </cell>
          <cell r="B38">
            <v>21564</v>
          </cell>
        </row>
        <row r="39">
          <cell r="A39">
            <v>7458</v>
          </cell>
          <cell r="B39">
            <v>27254</v>
          </cell>
        </row>
        <row r="40">
          <cell r="A40">
            <v>7166</v>
          </cell>
          <cell r="B40">
            <v>20445</v>
          </cell>
        </row>
        <row r="41">
          <cell r="A41">
            <v>7615</v>
          </cell>
          <cell r="B41">
            <v>28002</v>
          </cell>
        </row>
        <row r="42">
          <cell r="A42">
            <v>7610</v>
          </cell>
          <cell r="B42">
            <v>28002</v>
          </cell>
        </row>
        <row r="43">
          <cell r="A43">
            <v>7404</v>
          </cell>
          <cell r="B43">
            <v>23019</v>
          </cell>
        </row>
        <row r="44">
          <cell r="A44">
            <v>7559</v>
          </cell>
          <cell r="B44">
            <v>23019</v>
          </cell>
        </row>
        <row r="45">
          <cell r="A45">
            <v>7492</v>
          </cell>
          <cell r="B45">
            <v>23019</v>
          </cell>
        </row>
        <row r="46">
          <cell r="A46">
            <v>7403</v>
          </cell>
          <cell r="B46">
            <v>23019</v>
          </cell>
        </row>
        <row r="47">
          <cell r="A47">
            <v>7206</v>
          </cell>
          <cell r="B47">
            <v>18662</v>
          </cell>
        </row>
        <row r="48">
          <cell r="A48">
            <v>7421</v>
          </cell>
          <cell r="B48">
            <v>23200</v>
          </cell>
        </row>
        <row r="49">
          <cell r="A49">
            <v>7175</v>
          </cell>
          <cell r="B49" t="str">
            <v>???</v>
          </cell>
        </row>
        <row r="50">
          <cell r="A50">
            <v>7057</v>
          </cell>
          <cell r="B50">
            <v>20483</v>
          </cell>
        </row>
        <row r="51">
          <cell r="A51">
            <v>7379</v>
          </cell>
          <cell r="B51">
            <v>21532</v>
          </cell>
        </row>
        <row r="52">
          <cell r="A52">
            <v>1600</v>
          </cell>
          <cell r="B52">
            <v>21532</v>
          </cell>
        </row>
        <row r="53">
          <cell r="A53">
            <v>7588</v>
          </cell>
          <cell r="B53">
            <v>23017</v>
          </cell>
        </row>
        <row r="54">
          <cell r="A54">
            <v>7478</v>
          </cell>
          <cell r="B54">
            <v>21533</v>
          </cell>
        </row>
        <row r="55">
          <cell r="A55">
            <v>7475</v>
          </cell>
          <cell r="B55">
            <v>21533</v>
          </cell>
        </row>
        <row r="56">
          <cell r="A56">
            <v>7476</v>
          </cell>
          <cell r="B56">
            <v>21533</v>
          </cell>
        </row>
        <row r="57">
          <cell r="A57">
            <v>1909</v>
          </cell>
          <cell r="B57">
            <v>20477</v>
          </cell>
        </row>
        <row r="58">
          <cell r="A58">
            <v>7461</v>
          </cell>
          <cell r="B58">
            <v>21378</v>
          </cell>
        </row>
        <row r="59">
          <cell r="A59">
            <v>7213</v>
          </cell>
          <cell r="B59">
            <v>20928</v>
          </cell>
        </row>
        <row r="60">
          <cell r="A60">
            <v>7477</v>
          </cell>
          <cell r="B60">
            <v>21533</v>
          </cell>
        </row>
        <row r="61">
          <cell r="A61">
            <v>7259</v>
          </cell>
          <cell r="B61">
            <v>18632</v>
          </cell>
        </row>
        <row r="62">
          <cell r="A62">
            <v>7217</v>
          </cell>
          <cell r="B62">
            <v>20981</v>
          </cell>
        </row>
        <row r="63">
          <cell r="A63">
            <v>7072</v>
          </cell>
          <cell r="B63">
            <v>20679</v>
          </cell>
        </row>
        <row r="64">
          <cell r="A64">
            <v>1914</v>
          </cell>
          <cell r="B64">
            <v>20481</v>
          </cell>
        </row>
        <row r="65">
          <cell r="A65">
            <v>1930</v>
          </cell>
          <cell r="B65">
            <v>23017</v>
          </cell>
        </row>
        <row r="66">
          <cell r="A66">
            <v>6857</v>
          </cell>
          <cell r="B66">
            <v>20488</v>
          </cell>
        </row>
        <row r="67">
          <cell r="A67">
            <v>7584</v>
          </cell>
          <cell r="B67">
            <v>20488</v>
          </cell>
        </row>
        <row r="68">
          <cell r="A68">
            <v>7468</v>
          </cell>
          <cell r="B68">
            <v>23036</v>
          </cell>
        </row>
        <row r="69">
          <cell r="A69">
            <v>7216</v>
          </cell>
          <cell r="B69">
            <v>20450</v>
          </cell>
        </row>
        <row r="70">
          <cell r="A70">
            <v>1200</v>
          </cell>
          <cell r="B70">
            <v>20502</v>
          </cell>
        </row>
        <row r="71">
          <cell r="A71">
            <v>1400</v>
          </cell>
          <cell r="B71">
            <v>20560</v>
          </cell>
        </row>
        <row r="72">
          <cell r="A72">
            <v>500</v>
          </cell>
          <cell r="B72">
            <v>20565</v>
          </cell>
        </row>
        <row r="73">
          <cell r="A73">
            <v>1100</v>
          </cell>
          <cell r="B73">
            <v>20528</v>
          </cell>
        </row>
        <row r="74">
          <cell r="A74">
            <v>1000</v>
          </cell>
          <cell r="B74">
            <v>20525</v>
          </cell>
        </row>
        <row r="75">
          <cell r="A75">
            <v>7195</v>
          </cell>
          <cell r="B75">
            <v>20442</v>
          </cell>
        </row>
      </sheetData>
      <sheetData sheetId="9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</sheetNames>
    <sheetDataSet>
      <sheetData sheetId="0" refreshError="1">
        <row r="81">
          <cell r="EM8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revised"/>
      <sheetName val="FY 06-07 CCDetail"/>
      <sheetName val="sort_unique no"/>
      <sheetName val="10-25-05 Oracle Update DMH"/>
      <sheetName val="Sheet1"/>
      <sheetName val="NOTES"/>
      <sheetName val="Walkthru_CCDetail0506"/>
      <sheetName val="Subtotal_0506"/>
      <sheetName val="FOOTNOTES"/>
      <sheetName val="FY0607_Salary Savings"/>
      <sheetName val="0607PositionVariances"/>
      <sheetName val="Walkthru_CCDetail0607"/>
      <sheetName val="Subtotal_0607"/>
      <sheetName val="Salary Balancing Factors"/>
      <sheetName val="FY_06-07_CCDetail"/>
      <sheetName val="sort_unique_no"/>
      <sheetName val="10-25-05_Oracle_Update_DMH"/>
      <sheetName val="FY0607_Salary_Savings"/>
      <sheetName val="Salary_Balancing_Factors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FY_06-07_CCDetail1"/>
      <sheetName val="sort_unique_no1"/>
      <sheetName val="10-25-05_Oracle_Update_DMH1"/>
      <sheetName val="FY0607_Salary_Savings1"/>
      <sheetName val="Salary_Balancing_Factors1"/>
      <sheetName val="SEB_PT"/>
      <sheetName val="SEB_raw"/>
      <sheetName val="86100_IGT"/>
      <sheetName val="FY_06-07_CCDetail2"/>
      <sheetName val="sort_unique_no2"/>
      <sheetName val="10-25-05_Oracle_Update_DMH2"/>
      <sheetName val="FY0607_Salary_Savings2"/>
      <sheetName val="Salary_Balancing_Factors2"/>
      <sheetName val="SEB_PT1"/>
      <sheetName val="SEB_raw1"/>
      <sheetName val="86100_IGT1"/>
      <sheetName val="FY_06-07_CCDetail3"/>
      <sheetName val="sort_unique_no3"/>
      <sheetName val="10-25-05_Oracle_Update_DMH3"/>
      <sheetName val="FY0607_Salary_Savings3"/>
      <sheetName val="Salary_Balancing_Factor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>
        <row r="9">
          <cell r="H9" t="str">
            <v>$</v>
          </cell>
          <cell r="I9">
            <v>1178993</v>
          </cell>
          <cell r="J9" t="str">
            <v>$</v>
          </cell>
          <cell r="K9">
            <v>1133780</v>
          </cell>
          <cell r="L9" t="str">
            <v>$</v>
          </cell>
          <cell r="M9">
            <v>1107880</v>
          </cell>
          <cell r="N9" t="str">
            <v>$</v>
          </cell>
          <cell r="O9">
            <v>1107609</v>
          </cell>
          <cell r="P9" t="str">
            <v>$</v>
          </cell>
          <cell r="Q9">
            <v>1200000</v>
          </cell>
          <cell r="R9" t="str">
            <v>$</v>
          </cell>
          <cell r="S9">
            <v>1200000</v>
          </cell>
          <cell r="T9" t="str">
            <v>$</v>
          </cell>
          <cell r="U9">
            <v>1200000</v>
          </cell>
          <cell r="V9" t="str">
            <v>$</v>
          </cell>
          <cell r="W9">
            <v>0</v>
          </cell>
        </row>
        <row r="10">
          <cell r="I10">
            <v>22395</v>
          </cell>
          <cell r="K10">
            <v>277</v>
          </cell>
          <cell r="M10">
            <v>35459</v>
          </cell>
          <cell r="O10">
            <v>88994</v>
          </cell>
          <cell r="Q10">
            <v>35500</v>
          </cell>
          <cell r="S10">
            <v>35500</v>
          </cell>
          <cell r="U10">
            <v>35500</v>
          </cell>
          <cell r="W10">
            <v>0</v>
          </cell>
        </row>
        <row r="11">
          <cell r="I11">
            <v>6942</v>
          </cell>
          <cell r="K11">
            <v>7788</v>
          </cell>
          <cell r="M11">
            <v>5885</v>
          </cell>
          <cell r="O11">
            <v>8197</v>
          </cell>
          <cell r="Q11">
            <v>7800</v>
          </cell>
          <cell r="S11">
            <v>6000</v>
          </cell>
          <cell r="U11">
            <v>6000</v>
          </cell>
          <cell r="W11">
            <v>0</v>
          </cell>
        </row>
        <row r="12">
          <cell r="I12">
            <v>76505</v>
          </cell>
          <cell r="K12">
            <v>96374</v>
          </cell>
          <cell r="M12">
            <v>114016</v>
          </cell>
          <cell r="O12">
            <v>113683</v>
          </cell>
          <cell r="Q12">
            <v>120000</v>
          </cell>
          <cell r="S12">
            <v>130000</v>
          </cell>
          <cell r="U12">
            <v>130000</v>
          </cell>
          <cell r="W12">
            <v>0</v>
          </cell>
        </row>
        <row r="13">
          <cell r="I13">
            <v>134966</v>
          </cell>
          <cell r="K13">
            <v>120271</v>
          </cell>
          <cell r="M13">
            <v>141310</v>
          </cell>
          <cell r="O13">
            <v>127315</v>
          </cell>
          <cell r="Q13">
            <v>133000</v>
          </cell>
          <cell r="S13">
            <v>133000</v>
          </cell>
          <cell r="U13">
            <v>133000</v>
          </cell>
          <cell r="W13">
            <v>0</v>
          </cell>
        </row>
        <row r="14">
          <cell r="I14">
            <v>84429</v>
          </cell>
          <cell r="K14">
            <v>96358</v>
          </cell>
          <cell r="M14">
            <v>134949</v>
          </cell>
          <cell r="O14">
            <v>81724</v>
          </cell>
          <cell r="Q14">
            <v>135800</v>
          </cell>
          <cell r="S14">
            <v>165000</v>
          </cell>
          <cell r="U14">
            <v>165000</v>
          </cell>
          <cell r="W14">
            <v>0</v>
          </cell>
        </row>
        <row r="15">
          <cell r="I15">
            <v>136741</v>
          </cell>
          <cell r="K15">
            <v>263473</v>
          </cell>
          <cell r="M15">
            <v>201164</v>
          </cell>
          <cell r="O15">
            <v>378125</v>
          </cell>
          <cell r="Q15">
            <v>291500</v>
          </cell>
          <cell r="S15">
            <v>520000</v>
          </cell>
          <cell r="U15">
            <v>520000</v>
          </cell>
          <cell r="W15">
            <v>0</v>
          </cell>
        </row>
        <row r="16">
          <cell r="I16">
            <v>305580</v>
          </cell>
          <cell r="K16">
            <v>238498</v>
          </cell>
          <cell r="M16">
            <v>104060</v>
          </cell>
          <cell r="O16">
            <v>189084</v>
          </cell>
          <cell r="Q16">
            <v>176000</v>
          </cell>
          <cell r="S16">
            <v>176600</v>
          </cell>
          <cell r="U16">
            <v>176600</v>
          </cell>
          <cell r="W16">
            <v>0</v>
          </cell>
        </row>
        <row r="17">
          <cell r="I17">
            <v>483681</v>
          </cell>
          <cell r="K17">
            <v>364795</v>
          </cell>
          <cell r="M17">
            <v>342071</v>
          </cell>
          <cell r="O17">
            <v>333802</v>
          </cell>
          <cell r="Q17">
            <v>350000</v>
          </cell>
          <cell r="S17">
            <v>333900</v>
          </cell>
          <cell r="U17">
            <v>333900</v>
          </cell>
          <cell r="W17">
            <v>0</v>
          </cell>
        </row>
        <row r="18">
          <cell r="I18">
            <v>11337</v>
          </cell>
          <cell r="K18">
            <v>11196</v>
          </cell>
          <cell r="M18">
            <v>8862</v>
          </cell>
          <cell r="O18">
            <v>6805</v>
          </cell>
          <cell r="Q18">
            <v>7000</v>
          </cell>
          <cell r="S18">
            <v>19900</v>
          </cell>
          <cell r="U18">
            <v>19900</v>
          </cell>
          <cell r="W18">
            <v>0</v>
          </cell>
        </row>
        <row r="19">
          <cell r="I19">
            <v>8014</v>
          </cell>
          <cell r="K19">
            <v>6864</v>
          </cell>
          <cell r="M19">
            <v>6780</v>
          </cell>
          <cell r="O19">
            <v>5472</v>
          </cell>
          <cell r="Q19">
            <v>7700</v>
          </cell>
          <cell r="S19">
            <v>400</v>
          </cell>
          <cell r="U19">
            <v>400</v>
          </cell>
          <cell r="W19">
            <v>0</v>
          </cell>
        </row>
        <row r="20">
          <cell r="I20">
            <v>35295</v>
          </cell>
          <cell r="K20">
            <v>35619</v>
          </cell>
          <cell r="M20">
            <v>5550</v>
          </cell>
          <cell r="O20">
            <v>1838</v>
          </cell>
          <cell r="Q20">
            <v>7000</v>
          </cell>
          <cell r="S20">
            <v>7000</v>
          </cell>
          <cell r="U20">
            <v>7000</v>
          </cell>
          <cell r="W20">
            <v>0</v>
          </cell>
        </row>
        <row r="21">
          <cell r="I21">
            <v>268061</v>
          </cell>
          <cell r="K21">
            <v>432483</v>
          </cell>
          <cell r="M21">
            <v>288833</v>
          </cell>
          <cell r="O21">
            <v>272069</v>
          </cell>
          <cell r="Q21">
            <v>450000</v>
          </cell>
          <cell r="S21">
            <v>0</v>
          </cell>
          <cell r="U21">
            <v>0</v>
          </cell>
          <cell r="W21">
            <v>0</v>
          </cell>
        </row>
        <row r="22">
          <cell r="I22">
            <v>15870</v>
          </cell>
          <cell r="K22">
            <v>17033</v>
          </cell>
          <cell r="M22">
            <v>12646</v>
          </cell>
          <cell r="O22">
            <v>15810</v>
          </cell>
          <cell r="Q22">
            <v>17000</v>
          </cell>
          <cell r="S22">
            <v>17000</v>
          </cell>
          <cell r="U22">
            <v>17000</v>
          </cell>
          <cell r="W22">
            <v>0</v>
          </cell>
        </row>
        <row r="23">
          <cell r="I23">
            <v>331003</v>
          </cell>
          <cell r="K23">
            <v>276554</v>
          </cell>
          <cell r="M23">
            <v>56611</v>
          </cell>
          <cell r="O23">
            <v>51596</v>
          </cell>
          <cell r="Q23">
            <v>120000</v>
          </cell>
          <cell r="S23">
            <v>80000</v>
          </cell>
          <cell r="U23">
            <v>80000</v>
          </cell>
          <cell r="W23">
            <v>0</v>
          </cell>
        </row>
        <row r="24">
          <cell r="I24">
            <v>1427</v>
          </cell>
          <cell r="K24">
            <v>5151</v>
          </cell>
          <cell r="M24">
            <v>3840</v>
          </cell>
          <cell r="O24">
            <v>15011</v>
          </cell>
          <cell r="Q24">
            <v>17000</v>
          </cell>
          <cell r="S24">
            <v>20000</v>
          </cell>
          <cell r="U24">
            <v>20000</v>
          </cell>
          <cell r="W24">
            <v>0</v>
          </cell>
        </row>
        <row r="25">
          <cell r="I25">
            <v>1880893</v>
          </cell>
          <cell r="K25">
            <v>1954512</v>
          </cell>
          <cell r="M25">
            <v>1743655</v>
          </cell>
          <cell r="O25">
            <v>1839137</v>
          </cell>
          <cell r="Q25">
            <v>2000000</v>
          </cell>
          <cell r="S25">
            <v>2882800</v>
          </cell>
          <cell r="U25">
            <v>2882800</v>
          </cell>
          <cell r="W25">
            <v>0</v>
          </cell>
        </row>
        <row r="26">
          <cell r="I26">
            <v>11023</v>
          </cell>
          <cell r="K26">
            <v>4137</v>
          </cell>
          <cell r="M26">
            <v>656</v>
          </cell>
          <cell r="O26">
            <v>85</v>
          </cell>
          <cell r="Q26">
            <v>4100</v>
          </cell>
          <cell r="S26">
            <v>4100</v>
          </cell>
          <cell r="U26">
            <v>4100</v>
          </cell>
          <cell r="W26">
            <v>0</v>
          </cell>
        </row>
        <row r="27">
          <cell r="I27">
            <v>143556</v>
          </cell>
          <cell r="K27">
            <v>107720</v>
          </cell>
          <cell r="M27">
            <v>129889</v>
          </cell>
          <cell r="O27">
            <v>153626</v>
          </cell>
          <cell r="Q27">
            <v>145000</v>
          </cell>
          <cell r="S27">
            <v>206500</v>
          </cell>
          <cell r="U27">
            <v>206500</v>
          </cell>
          <cell r="W27">
            <v>0</v>
          </cell>
        </row>
        <row r="28">
          <cell r="I28">
            <v>11680</v>
          </cell>
          <cell r="K28">
            <v>10163</v>
          </cell>
          <cell r="M28">
            <v>10010</v>
          </cell>
          <cell r="O28">
            <v>9883</v>
          </cell>
          <cell r="Q28">
            <v>11500</v>
          </cell>
          <cell r="S28">
            <v>0</v>
          </cell>
          <cell r="U28">
            <v>0</v>
          </cell>
          <cell r="W28">
            <v>0</v>
          </cell>
        </row>
        <row r="29">
          <cell r="I29">
            <v>891928</v>
          </cell>
          <cell r="K29">
            <v>792283</v>
          </cell>
          <cell r="M29">
            <v>777920</v>
          </cell>
          <cell r="O29">
            <v>753903</v>
          </cell>
          <cell r="Q29">
            <v>828000</v>
          </cell>
          <cell r="S29">
            <v>933400</v>
          </cell>
          <cell r="U29">
            <v>933400</v>
          </cell>
          <cell r="W29">
            <v>0</v>
          </cell>
        </row>
        <row r="30">
          <cell r="I30">
            <v>0</v>
          </cell>
          <cell r="K30">
            <v>0</v>
          </cell>
          <cell r="M30">
            <v>62662</v>
          </cell>
          <cell r="O30">
            <v>0</v>
          </cell>
          <cell r="Q30">
            <v>98900</v>
          </cell>
          <cell r="S30">
            <v>63000</v>
          </cell>
          <cell r="U30">
            <v>63000</v>
          </cell>
          <cell r="W30">
            <v>0</v>
          </cell>
        </row>
        <row r="31">
          <cell r="I31">
            <v>6040319</v>
          </cell>
          <cell r="K31">
            <v>5975329</v>
          </cell>
          <cell r="M31">
            <v>5294708</v>
          </cell>
          <cell r="O31">
            <v>5553768</v>
          </cell>
          <cell r="Q31">
            <v>6162800</v>
          </cell>
          <cell r="S31">
            <v>6934100</v>
          </cell>
          <cell r="U31">
            <v>6934100</v>
          </cell>
          <cell r="W31">
            <v>0</v>
          </cell>
        </row>
        <row r="32">
          <cell r="Q32">
            <v>0</v>
          </cell>
        </row>
        <row r="33">
          <cell r="I33">
            <v>49694</v>
          </cell>
          <cell r="K33">
            <v>147452</v>
          </cell>
          <cell r="M33">
            <v>240401</v>
          </cell>
          <cell r="O33">
            <v>241954</v>
          </cell>
          <cell r="Q33">
            <v>260700</v>
          </cell>
          <cell r="S33">
            <v>252200</v>
          </cell>
          <cell r="U33">
            <v>252200</v>
          </cell>
          <cell r="W33">
            <v>0</v>
          </cell>
        </row>
        <row r="34">
          <cell r="I34">
            <v>0</v>
          </cell>
          <cell r="K34">
            <v>580218</v>
          </cell>
          <cell r="M34">
            <v>0</v>
          </cell>
          <cell r="O34">
            <v>0</v>
          </cell>
          <cell r="Q34">
            <v>25000</v>
          </cell>
          <cell r="S34">
            <v>25000</v>
          </cell>
          <cell r="U34">
            <v>25000</v>
          </cell>
          <cell r="W34">
            <v>0</v>
          </cell>
        </row>
        <row r="35">
          <cell r="I35">
            <v>246240</v>
          </cell>
          <cell r="K35">
            <v>197387</v>
          </cell>
          <cell r="M35">
            <v>504599</v>
          </cell>
          <cell r="O35">
            <v>154763</v>
          </cell>
          <cell r="Q35">
            <v>312400</v>
          </cell>
          <cell r="S35">
            <v>273600</v>
          </cell>
          <cell r="U35">
            <v>273600</v>
          </cell>
          <cell r="W35">
            <v>0</v>
          </cell>
        </row>
        <row r="36">
          <cell r="I36">
            <v>2225415</v>
          </cell>
          <cell r="K36">
            <v>1816180</v>
          </cell>
          <cell r="M36">
            <v>1404569</v>
          </cell>
          <cell r="O36">
            <v>1539918</v>
          </cell>
          <cell r="Q36">
            <v>1425500</v>
          </cell>
          <cell r="S36">
            <v>1909000</v>
          </cell>
          <cell r="U36">
            <v>1909000</v>
          </cell>
          <cell r="W36">
            <v>0</v>
          </cell>
        </row>
        <row r="37">
          <cell r="M37">
            <v>2567</v>
          </cell>
          <cell r="O37">
            <v>15364</v>
          </cell>
          <cell r="Q37">
            <v>7400</v>
          </cell>
          <cell r="S37">
            <v>7500</v>
          </cell>
          <cell r="U37">
            <v>7500</v>
          </cell>
          <cell r="W37">
            <v>0</v>
          </cell>
        </row>
        <row r="38">
          <cell r="I38">
            <v>8488</v>
          </cell>
          <cell r="K38">
            <v>5772</v>
          </cell>
          <cell r="M38">
            <v>3519</v>
          </cell>
          <cell r="O38">
            <v>3793</v>
          </cell>
          <cell r="Q38">
            <v>2400</v>
          </cell>
          <cell r="S38">
            <v>2400</v>
          </cell>
          <cell r="U38">
            <v>2400</v>
          </cell>
          <cell r="W38">
            <v>0</v>
          </cell>
        </row>
        <row r="39">
          <cell r="I39">
            <v>3</v>
          </cell>
          <cell r="K39">
            <v>116</v>
          </cell>
          <cell r="M39">
            <v>39</v>
          </cell>
          <cell r="O39">
            <v>43</v>
          </cell>
          <cell r="Q39">
            <v>150</v>
          </cell>
          <cell r="S39">
            <v>200</v>
          </cell>
          <cell r="U39">
            <v>200</v>
          </cell>
          <cell r="W39">
            <v>0</v>
          </cell>
        </row>
        <row r="40">
          <cell r="I40">
            <v>0</v>
          </cell>
          <cell r="K40">
            <v>0</v>
          </cell>
          <cell r="M40">
            <v>0</v>
          </cell>
          <cell r="O40">
            <v>0</v>
          </cell>
          <cell r="Q40">
            <v>50</v>
          </cell>
          <cell r="S40">
            <v>100</v>
          </cell>
          <cell r="U40">
            <v>100</v>
          </cell>
          <cell r="W40">
            <v>0</v>
          </cell>
        </row>
        <row r="41">
          <cell r="I41">
            <v>4139</v>
          </cell>
          <cell r="K41">
            <v>2465</v>
          </cell>
          <cell r="M41">
            <v>3427</v>
          </cell>
          <cell r="O41">
            <v>3721</v>
          </cell>
          <cell r="Q41">
            <v>6600</v>
          </cell>
          <cell r="S41">
            <v>7500</v>
          </cell>
          <cell r="U41">
            <v>7500</v>
          </cell>
          <cell r="W41">
            <v>0</v>
          </cell>
        </row>
        <row r="42">
          <cell r="I42">
            <v>0</v>
          </cell>
          <cell r="K42">
            <v>0</v>
          </cell>
          <cell r="M42">
            <v>58260</v>
          </cell>
          <cell r="O42">
            <v>113480</v>
          </cell>
          <cell r="Q42">
            <v>71100</v>
          </cell>
          <cell r="S42">
            <v>100000</v>
          </cell>
          <cell r="U42">
            <v>100000</v>
          </cell>
          <cell r="W42">
            <v>0</v>
          </cell>
        </row>
        <row r="43">
          <cell r="I43">
            <v>0</v>
          </cell>
          <cell r="K43">
            <v>0</v>
          </cell>
          <cell r="M43">
            <v>40476</v>
          </cell>
          <cell r="O43">
            <v>75985</v>
          </cell>
          <cell r="Q43">
            <v>27300</v>
          </cell>
          <cell r="S43">
            <v>0</v>
          </cell>
          <cell r="U43">
            <v>0</v>
          </cell>
          <cell r="W43">
            <v>0</v>
          </cell>
        </row>
        <row r="44">
          <cell r="I44">
            <v>5313</v>
          </cell>
          <cell r="K44">
            <v>6916</v>
          </cell>
          <cell r="M44">
            <v>84200</v>
          </cell>
          <cell r="O44">
            <v>-42137</v>
          </cell>
          <cell r="Q44">
            <v>37400</v>
          </cell>
          <cell r="S44">
            <v>60900</v>
          </cell>
          <cell r="U44">
            <v>60900</v>
          </cell>
          <cell r="W44">
            <v>0</v>
          </cell>
        </row>
        <row r="45">
          <cell r="I45">
            <v>2539292</v>
          </cell>
          <cell r="K45">
            <v>2756506</v>
          </cell>
          <cell r="M45">
            <v>2342057</v>
          </cell>
          <cell r="O45">
            <v>2106884</v>
          </cell>
          <cell r="Q45">
            <v>2176000</v>
          </cell>
          <cell r="S45">
            <v>2638400</v>
          </cell>
          <cell r="U45">
            <v>2638400</v>
          </cell>
          <cell r="W45">
            <v>0</v>
          </cell>
        </row>
        <row r="47">
          <cell r="I47">
            <v>8579611</v>
          </cell>
          <cell r="K47">
            <v>8731835</v>
          </cell>
          <cell r="M47">
            <v>7636765</v>
          </cell>
          <cell r="O47">
            <v>7660652</v>
          </cell>
          <cell r="Q47">
            <v>8338800</v>
          </cell>
          <cell r="S47">
            <v>9572500</v>
          </cell>
          <cell r="U47">
            <v>9572500</v>
          </cell>
          <cell r="W47">
            <v>0</v>
          </cell>
        </row>
        <row r="50">
          <cell r="I50">
            <v>12779</v>
          </cell>
          <cell r="K50">
            <v>6464</v>
          </cell>
          <cell r="M50">
            <v>7376</v>
          </cell>
          <cell r="O50">
            <v>7000</v>
          </cell>
          <cell r="Q50">
            <v>7000</v>
          </cell>
          <cell r="S50">
            <v>0</v>
          </cell>
          <cell r="U50">
            <v>0</v>
          </cell>
          <cell r="W50">
            <v>0</v>
          </cell>
        </row>
        <row r="51">
          <cell r="I51">
            <v>346190</v>
          </cell>
          <cell r="K51">
            <v>443503</v>
          </cell>
          <cell r="M51">
            <v>396955</v>
          </cell>
          <cell r="O51">
            <v>349963</v>
          </cell>
          <cell r="Q51">
            <v>438000</v>
          </cell>
          <cell r="S51">
            <v>450800</v>
          </cell>
          <cell r="U51">
            <v>450800</v>
          </cell>
          <cell r="W51">
            <v>0</v>
          </cell>
        </row>
        <row r="52">
          <cell r="I52">
            <v>66620</v>
          </cell>
          <cell r="K52">
            <v>75098</v>
          </cell>
          <cell r="M52">
            <v>62936</v>
          </cell>
          <cell r="O52">
            <v>116955</v>
          </cell>
          <cell r="Q52">
            <v>174200</v>
          </cell>
          <cell r="S52">
            <v>170500</v>
          </cell>
          <cell r="U52">
            <v>174000</v>
          </cell>
          <cell r="W52">
            <v>3500</v>
          </cell>
        </row>
        <row r="53">
          <cell r="I53">
            <v>277982</v>
          </cell>
          <cell r="K53">
            <v>339762</v>
          </cell>
          <cell r="M53">
            <v>931102</v>
          </cell>
          <cell r="O53">
            <v>1058525</v>
          </cell>
          <cell r="Q53">
            <v>50000</v>
          </cell>
          <cell r="S53">
            <v>50000</v>
          </cell>
          <cell r="U53">
            <v>50000</v>
          </cell>
          <cell r="W53">
            <v>0</v>
          </cell>
        </row>
        <row r="54">
          <cell r="I54">
            <v>346194</v>
          </cell>
          <cell r="K54">
            <v>324499</v>
          </cell>
          <cell r="M54">
            <v>593395</v>
          </cell>
          <cell r="O54">
            <v>771763</v>
          </cell>
          <cell r="Q54">
            <v>760800</v>
          </cell>
          <cell r="S54">
            <v>894000</v>
          </cell>
          <cell r="U54">
            <v>504000</v>
          </cell>
          <cell r="W54">
            <v>-390000</v>
          </cell>
        </row>
        <row r="55">
          <cell r="I55">
            <v>510492</v>
          </cell>
          <cell r="K55">
            <v>346411</v>
          </cell>
          <cell r="M55">
            <v>468201</v>
          </cell>
          <cell r="O55">
            <v>435166</v>
          </cell>
          <cell r="Q55">
            <v>532100</v>
          </cell>
          <cell r="S55">
            <v>515000</v>
          </cell>
          <cell r="U55">
            <v>515000</v>
          </cell>
          <cell r="W55">
            <v>0</v>
          </cell>
        </row>
        <row r="56"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66800</v>
          </cell>
          <cell r="S56">
            <v>105000</v>
          </cell>
          <cell r="U56">
            <v>105000</v>
          </cell>
          <cell r="W56">
            <v>0</v>
          </cell>
        </row>
        <row r="57">
          <cell r="I57">
            <v>103120</v>
          </cell>
          <cell r="K57">
            <v>46989</v>
          </cell>
          <cell r="M57">
            <v>9918</v>
          </cell>
          <cell r="O57">
            <v>43153</v>
          </cell>
          <cell r="Q57">
            <v>100000</v>
          </cell>
          <cell r="S57">
            <v>100000</v>
          </cell>
          <cell r="U57">
            <v>100000</v>
          </cell>
          <cell r="W57">
            <v>0</v>
          </cell>
        </row>
        <row r="58">
          <cell r="I58">
            <v>110386</v>
          </cell>
          <cell r="K58">
            <v>184403</v>
          </cell>
          <cell r="M58">
            <v>165133</v>
          </cell>
          <cell r="O58">
            <v>15956</v>
          </cell>
          <cell r="Q58">
            <v>15413</v>
          </cell>
          <cell r="S58">
            <v>33700</v>
          </cell>
          <cell r="U58">
            <v>33700</v>
          </cell>
          <cell r="W58">
            <v>0</v>
          </cell>
        </row>
        <row r="59">
          <cell r="I59">
            <v>0</v>
          </cell>
          <cell r="K59">
            <v>0</v>
          </cell>
          <cell r="M59">
            <v>0</v>
          </cell>
          <cell r="O59">
            <v>1537</v>
          </cell>
          <cell r="Q59">
            <v>684</v>
          </cell>
          <cell r="S59">
            <v>6000</v>
          </cell>
          <cell r="U59">
            <v>6000</v>
          </cell>
          <cell r="W59">
            <v>0</v>
          </cell>
        </row>
        <row r="60">
          <cell r="I60">
            <v>21370598</v>
          </cell>
          <cell r="K60">
            <v>14723680</v>
          </cell>
          <cell r="M60">
            <v>0</v>
          </cell>
          <cell r="O60">
            <v>26041212</v>
          </cell>
          <cell r="Q60">
            <v>27780081</v>
          </cell>
          <cell r="S60">
            <v>31866565</v>
          </cell>
          <cell r="U60">
            <v>31866565</v>
          </cell>
          <cell r="W60">
            <v>0</v>
          </cell>
        </row>
        <row r="61">
          <cell r="I61">
            <v>1004212</v>
          </cell>
          <cell r="K61">
            <v>1043791</v>
          </cell>
          <cell r="M61">
            <v>1056883</v>
          </cell>
          <cell r="O61">
            <v>986871</v>
          </cell>
          <cell r="Q61">
            <v>1044000</v>
          </cell>
          <cell r="S61">
            <v>1052000</v>
          </cell>
          <cell r="U61">
            <v>957000</v>
          </cell>
          <cell r="W61">
            <v>-95000</v>
          </cell>
        </row>
        <row r="62">
          <cell r="O62">
            <v>0</v>
          </cell>
          <cell r="S62">
            <v>827100</v>
          </cell>
          <cell r="U62">
            <v>820100</v>
          </cell>
        </row>
        <row r="63">
          <cell r="I63">
            <v>810755</v>
          </cell>
          <cell r="K63">
            <v>2216098</v>
          </cell>
          <cell r="M63">
            <v>1113477</v>
          </cell>
          <cell r="O63">
            <v>627690</v>
          </cell>
          <cell r="Q63">
            <v>772681</v>
          </cell>
          <cell r="S63">
            <v>777681</v>
          </cell>
          <cell r="U63">
            <v>763653</v>
          </cell>
          <cell r="W63">
            <v>-14028</v>
          </cell>
        </row>
        <row r="64">
          <cell r="I64">
            <v>3845130</v>
          </cell>
          <cell r="K64">
            <v>4186605</v>
          </cell>
          <cell r="M64">
            <v>4224407</v>
          </cell>
          <cell r="O64">
            <v>5015067</v>
          </cell>
          <cell r="Q64">
            <v>6008600</v>
          </cell>
          <cell r="S64">
            <v>5041500</v>
          </cell>
          <cell r="U64">
            <v>5041500</v>
          </cell>
          <cell r="W64">
            <v>0</v>
          </cell>
        </row>
        <row r="65">
          <cell r="I65">
            <v>192840</v>
          </cell>
          <cell r="K65">
            <v>182811</v>
          </cell>
          <cell r="M65">
            <v>223698</v>
          </cell>
          <cell r="O65">
            <v>231522</v>
          </cell>
          <cell r="Q65">
            <v>251600</v>
          </cell>
          <cell r="S65">
            <v>250000</v>
          </cell>
          <cell r="U65">
            <v>370495</v>
          </cell>
          <cell r="W65">
            <v>120495</v>
          </cell>
        </row>
        <row r="66"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15000</v>
          </cell>
          <cell r="U66">
            <v>15000</v>
          </cell>
          <cell r="W66">
            <v>0</v>
          </cell>
        </row>
        <row r="67">
          <cell r="I67">
            <v>28997298</v>
          </cell>
          <cell r="K67">
            <v>24120114</v>
          </cell>
          <cell r="M67">
            <v>9253481</v>
          </cell>
          <cell r="O67">
            <v>35702380</v>
          </cell>
          <cell r="Q67">
            <v>38001959</v>
          </cell>
          <cell r="S67">
            <v>42154846</v>
          </cell>
          <cell r="U67">
            <v>41772813</v>
          </cell>
          <cell r="W67">
            <v>-375033</v>
          </cell>
        </row>
        <row r="69">
          <cell r="I69">
            <v>37576909</v>
          </cell>
          <cell r="K69">
            <v>32851949</v>
          </cell>
          <cell r="M69">
            <v>16890246</v>
          </cell>
          <cell r="O69">
            <v>43363032</v>
          </cell>
          <cell r="Q69">
            <v>46340759</v>
          </cell>
          <cell r="S69">
            <v>51727346</v>
          </cell>
          <cell r="U69">
            <v>51345313</v>
          </cell>
          <cell r="W69">
            <v>-375033</v>
          </cell>
        </row>
        <row r="72">
          <cell r="I72">
            <v>125925</v>
          </cell>
          <cell r="K72">
            <v>113509</v>
          </cell>
          <cell r="M72">
            <v>202067</v>
          </cell>
          <cell r="O72">
            <v>146099</v>
          </cell>
          <cell r="Q72">
            <v>159300</v>
          </cell>
          <cell r="S72">
            <v>160000</v>
          </cell>
          <cell r="U72">
            <v>226055</v>
          </cell>
          <cell r="W72">
            <v>66055</v>
          </cell>
        </row>
        <row r="73">
          <cell r="I73">
            <v>166725</v>
          </cell>
          <cell r="K73">
            <v>201521</v>
          </cell>
          <cell r="M73">
            <v>234518</v>
          </cell>
          <cell r="O73">
            <v>243602</v>
          </cell>
          <cell r="Q73">
            <v>220000</v>
          </cell>
          <cell r="S73">
            <v>220000</v>
          </cell>
          <cell r="U73">
            <v>250000</v>
          </cell>
          <cell r="W73">
            <v>30000</v>
          </cell>
        </row>
        <row r="74">
          <cell r="I74">
            <v>292</v>
          </cell>
          <cell r="K74">
            <v>10724</v>
          </cell>
          <cell r="M74">
            <v>10294</v>
          </cell>
          <cell r="O74">
            <v>20254</v>
          </cell>
          <cell r="Q74">
            <v>25000</v>
          </cell>
          <cell r="S74">
            <v>25000</v>
          </cell>
          <cell r="U74">
            <v>25000</v>
          </cell>
          <cell r="W74">
            <v>0</v>
          </cell>
        </row>
        <row r="75">
          <cell r="I75">
            <v>292942</v>
          </cell>
          <cell r="K75">
            <v>325754</v>
          </cell>
          <cell r="M75">
            <v>446879</v>
          </cell>
          <cell r="O75">
            <v>409955</v>
          </cell>
          <cell r="Q75">
            <v>404300</v>
          </cell>
          <cell r="S75">
            <v>405000</v>
          </cell>
          <cell r="U75">
            <v>501055</v>
          </cell>
          <cell r="W75">
            <v>96055</v>
          </cell>
        </row>
        <row r="78">
          <cell r="I78">
            <v>8589</v>
          </cell>
          <cell r="K78">
            <v>5551</v>
          </cell>
          <cell r="M78">
            <v>2382</v>
          </cell>
          <cell r="O78">
            <v>1898</v>
          </cell>
          <cell r="Q78">
            <v>2000</v>
          </cell>
          <cell r="S78">
            <v>2500</v>
          </cell>
          <cell r="U78">
            <v>2500</v>
          </cell>
          <cell r="W78">
            <v>0</v>
          </cell>
        </row>
        <row r="79">
          <cell r="I79">
            <v>21553</v>
          </cell>
          <cell r="K79">
            <v>25017</v>
          </cell>
          <cell r="M79">
            <v>30047</v>
          </cell>
          <cell r="O79">
            <v>37359</v>
          </cell>
          <cell r="Q79">
            <v>35000</v>
          </cell>
          <cell r="S79">
            <v>35000</v>
          </cell>
          <cell r="U79">
            <v>35000</v>
          </cell>
          <cell r="W79">
            <v>0</v>
          </cell>
        </row>
        <row r="80">
          <cell r="I80">
            <v>471</v>
          </cell>
          <cell r="K80">
            <v>780</v>
          </cell>
          <cell r="M80">
            <v>530</v>
          </cell>
          <cell r="O80">
            <v>7149</v>
          </cell>
          <cell r="Q80">
            <v>1000</v>
          </cell>
          <cell r="S80">
            <v>1000</v>
          </cell>
          <cell r="U80">
            <v>1000</v>
          </cell>
          <cell r="W80">
            <v>0</v>
          </cell>
        </row>
        <row r="81">
          <cell r="I81">
            <v>0</v>
          </cell>
          <cell r="K81">
            <v>11435</v>
          </cell>
          <cell r="M81">
            <v>2237</v>
          </cell>
          <cell r="O81">
            <v>1251</v>
          </cell>
          <cell r="Q81">
            <v>10000</v>
          </cell>
          <cell r="S81">
            <v>10000</v>
          </cell>
          <cell r="U81">
            <v>10000</v>
          </cell>
          <cell r="W81">
            <v>0</v>
          </cell>
        </row>
        <row r="82">
          <cell r="I82">
            <v>5163</v>
          </cell>
          <cell r="K82">
            <v>4954</v>
          </cell>
          <cell r="M82">
            <v>3199</v>
          </cell>
          <cell r="O82">
            <v>9401</v>
          </cell>
          <cell r="Q82">
            <v>3000</v>
          </cell>
          <cell r="S82">
            <v>3500</v>
          </cell>
          <cell r="U82">
            <v>3500</v>
          </cell>
          <cell r="W82">
            <v>0</v>
          </cell>
        </row>
        <row r="83">
          <cell r="I83">
            <v>4679436</v>
          </cell>
          <cell r="K83">
            <v>5474506</v>
          </cell>
          <cell r="M83">
            <v>9194590</v>
          </cell>
          <cell r="O83">
            <v>10445559</v>
          </cell>
          <cell r="Q83">
            <v>9500000</v>
          </cell>
          <cell r="S83">
            <v>10000000</v>
          </cell>
          <cell r="U83">
            <v>13000000</v>
          </cell>
          <cell r="W83">
            <v>3000000</v>
          </cell>
        </row>
        <row r="84">
          <cell r="I84">
            <v>0</v>
          </cell>
          <cell r="K84">
            <v>0</v>
          </cell>
          <cell r="M84">
            <v>0</v>
          </cell>
          <cell r="O84">
            <v>37895</v>
          </cell>
          <cell r="Q84">
            <v>36000</v>
          </cell>
          <cell r="S84">
            <v>36000</v>
          </cell>
          <cell r="U84">
            <v>36000</v>
          </cell>
          <cell r="W84">
            <v>0</v>
          </cell>
        </row>
        <row r="85">
          <cell r="I85">
            <v>27769</v>
          </cell>
          <cell r="K85">
            <v>37844</v>
          </cell>
          <cell r="M85">
            <v>56582</v>
          </cell>
          <cell r="O85">
            <v>38751</v>
          </cell>
          <cell r="Q85">
            <v>42000</v>
          </cell>
          <cell r="S85">
            <v>43300</v>
          </cell>
          <cell r="U85">
            <v>43300</v>
          </cell>
          <cell r="W85">
            <v>0</v>
          </cell>
        </row>
        <row r="86"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  <cell r="S86">
            <v>5000</v>
          </cell>
          <cell r="U86">
            <v>5000</v>
          </cell>
          <cell r="W86">
            <v>0</v>
          </cell>
        </row>
        <row r="87">
          <cell r="I87">
            <v>0</v>
          </cell>
          <cell r="K87">
            <v>1142526</v>
          </cell>
          <cell r="M87">
            <v>348447</v>
          </cell>
          <cell r="O87">
            <v>349524</v>
          </cell>
          <cell r="Q87">
            <v>270000</v>
          </cell>
          <cell r="S87">
            <v>790000</v>
          </cell>
          <cell r="U87">
            <v>790000</v>
          </cell>
          <cell r="W87">
            <v>0</v>
          </cell>
        </row>
        <row r="88">
          <cell r="I88">
            <v>0</v>
          </cell>
          <cell r="K88">
            <v>0</v>
          </cell>
          <cell r="M88">
            <v>0</v>
          </cell>
          <cell r="O88">
            <v>95310</v>
          </cell>
          <cell r="Q88">
            <v>93000</v>
          </cell>
          <cell r="S88">
            <v>93000</v>
          </cell>
          <cell r="U88">
            <v>93000</v>
          </cell>
          <cell r="W88">
            <v>0</v>
          </cell>
        </row>
        <row r="89">
          <cell r="I89">
            <v>0</v>
          </cell>
          <cell r="K89">
            <v>0</v>
          </cell>
          <cell r="M89">
            <v>461121</v>
          </cell>
          <cell r="O89">
            <v>420454</v>
          </cell>
          <cell r="Q89">
            <v>264000</v>
          </cell>
          <cell r="S89">
            <v>561000</v>
          </cell>
          <cell r="U89">
            <v>561000</v>
          </cell>
          <cell r="W89">
            <v>0</v>
          </cell>
        </row>
        <row r="90">
          <cell r="I90">
            <v>0</v>
          </cell>
          <cell r="K90">
            <v>0</v>
          </cell>
          <cell r="M90">
            <v>0</v>
          </cell>
          <cell r="O90">
            <v>37895</v>
          </cell>
          <cell r="Q90">
            <v>36000</v>
          </cell>
          <cell r="S90">
            <v>10000</v>
          </cell>
          <cell r="U90">
            <v>10000</v>
          </cell>
          <cell r="W90">
            <v>0</v>
          </cell>
        </row>
        <row r="91">
          <cell r="I91">
            <v>292078</v>
          </cell>
          <cell r="K91">
            <v>260007</v>
          </cell>
          <cell r="M91">
            <v>255580</v>
          </cell>
          <cell r="O91">
            <v>213490</v>
          </cell>
          <cell r="Q91">
            <v>350000</v>
          </cell>
          <cell r="S91">
            <v>350000</v>
          </cell>
          <cell r="U91">
            <v>350000</v>
          </cell>
          <cell r="W91">
            <v>0</v>
          </cell>
        </row>
        <row r="92">
          <cell r="I92">
            <v>712829</v>
          </cell>
          <cell r="K92">
            <v>1818892</v>
          </cell>
          <cell r="M92">
            <v>1471906</v>
          </cell>
          <cell r="O92">
            <v>1591734</v>
          </cell>
          <cell r="Q92">
            <v>1873083</v>
          </cell>
          <cell r="S92">
            <v>1765850</v>
          </cell>
          <cell r="U92">
            <v>2590025</v>
          </cell>
          <cell r="W92">
            <v>824175</v>
          </cell>
        </row>
        <row r="93">
          <cell r="I93">
            <v>170497</v>
          </cell>
          <cell r="K93">
            <v>202421</v>
          </cell>
          <cell r="M93">
            <v>242782</v>
          </cell>
          <cell r="O93">
            <v>283441</v>
          </cell>
          <cell r="Q93">
            <v>250000</v>
          </cell>
          <cell r="S93">
            <v>250000</v>
          </cell>
          <cell r="U93">
            <v>400000</v>
          </cell>
          <cell r="W93">
            <v>150000</v>
          </cell>
        </row>
        <row r="94">
          <cell r="I94">
            <v>100433251</v>
          </cell>
          <cell r="K94">
            <v>121343524</v>
          </cell>
          <cell r="M94">
            <v>117554126</v>
          </cell>
          <cell r="O94">
            <v>128011812</v>
          </cell>
          <cell r="Q94">
            <v>126192071</v>
          </cell>
          <cell r="S94">
            <v>152810296</v>
          </cell>
          <cell r="U94">
            <v>191708422</v>
          </cell>
          <cell r="W94">
            <v>38898126</v>
          </cell>
        </row>
        <row r="95">
          <cell r="I95">
            <v>0</v>
          </cell>
          <cell r="K95">
            <v>0</v>
          </cell>
          <cell r="M95">
            <v>9013668</v>
          </cell>
          <cell r="O95">
            <v>21131433</v>
          </cell>
          <cell r="Q95">
            <v>31405300</v>
          </cell>
          <cell r="S95">
            <v>30491317</v>
          </cell>
          <cell r="U95">
            <v>52316034</v>
          </cell>
          <cell r="W95">
            <v>21824717</v>
          </cell>
        </row>
        <row r="96">
          <cell r="I96">
            <v>147</v>
          </cell>
          <cell r="K96">
            <v>0</v>
          </cell>
          <cell r="M96">
            <v>98550</v>
          </cell>
          <cell r="O96">
            <v>143550</v>
          </cell>
          <cell r="Q96">
            <v>352700</v>
          </cell>
          <cell r="S96">
            <v>400700</v>
          </cell>
          <cell r="U96">
            <v>600700</v>
          </cell>
          <cell r="W96">
            <v>200000</v>
          </cell>
        </row>
        <row r="97">
          <cell r="I97">
            <v>5500</v>
          </cell>
          <cell r="K97">
            <v>0</v>
          </cell>
          <cell r="M97">
            <v>1631</v>
          </cell>
          <cell r="O97">
            <v>0</v>
          </cell>
          <cell r="Q97">
            <v>50000</v>
          </cell>
          <cell r="S97">
            <v>50000</v>
          </cell>
          <cell r="U97">
            <v>50000</v>
          </cell>
          <cell r="W97">
            <v>0</v>
          </cell>
        </row>
        <row r="98">
          <cell r="I98">
            <v>567469</v>
          </cell>
          <cell r="K98">
            <v>565888</v>
          </cell>
          <cell r="M98">
            <v>573302</v>
          </cell>
          <cell r="O98">
            <v>556547</v>
          </cell>
          <cell r="Q98">
            <v>540588</v>
          </cell>
          <cell r="S98">
            <v>452878</v>
          </cell>
          <cell r="U98">
            <v>954365</v>
          </cell>
          <cell r="W98">
            <v>501487</v>
          </cell>
        </row>
        <row r="99">
          <cell r="I99">
            <v>165022</v>
          </cell>
          <cell r="K99">
            <v>172883</v>
          </cell>
          <cell r="M99">
            <v>259649</v>
          </cell>
          <cell r="O99">
            <v>130836</v>
          </cell>
          <cell r="Q99">
            <v>190000</v>
          </cell>
          <cell r="S99">
            <v>200000</v>
          </cell>
          <cell r="U99">
            <v>200000</v>
          </cell>
          <cell r="W99">
            <v>0</v>
          </cell>
        </row>
        <row r="100">
          <cell r="I100">
            <v>6109804</v>
          </cell>
          <cell r="K100">
            <v>5963193</v>
          </cell>
          <cell r="M100">
            <v>5907512</v>
          </cell>
          <cell r="O100">
            <v>5399811</v>
          </cell>
          <cell r="Q100">
            <v>5806000</v>
          </cell>
          <cell r="S100">
            <v>5655384</v>
          </cell>
          <cell r="U100">
            <v>5655384</v>
          </cell>
          <cell r="W100">
            <v>0</v>
          </cell>
        </row>
        <row r="101">
          <cell r="I101">
            <v>140425</v>
          </cell>
          <cell r="K101">
            <v>156429</v>
          </cell>
          <cell r="M101">
            <v>196238</v>
          </cell>
          <cell r="O101">
            <v>67244</v>
          </cell>
          <cell r="Q101">
            <v>177920</v>
          </cell>
          <cell r="S101">
            <v>177920</v>
          </cell>
          <cell r="U101">
            <v>177920</v>
          </cell>
          <cell r="W101">
            <v>0</v>
          </cell>
        </row>
        <row r="102">
          <cell r="I102">
            <v>1599527</v>
          </cell>
          <cell r="K102">
            <v>1813116</v>
          </cell>
          <cell r="M102">
            <v>1847960</v>
          </cell>
          <cell r="O102">
            <v>1629951</v>
          </cell>
          <cell r="Q102">
            <v>1850000</v>
          </cell>
          <cell r="S102">
            <v>1850000</v>
          </cell>
          <cell r="U102">
            <v>1850000</v>
          </cell>
          <cell r="W102">
            <v>0</v>
          </cell>
        </row>
        <row r="103">
          <cell r="I103">
            <v>28049</v>
          </cell>
          <cell r="K103">
            <v>20978</v>
          </cell>
          <cell r="M103">
            <v>8612</v>
          </cell>
          <cell r="O103">
            <v>42700</v>
          </cell>
          <cell r="Q103">
            <v>20000</v>
          </cell>
          <cell r="S103">
            <v>30000</v>
          </cell>
          <cell r="U103">
            <v>30000</v>
          </cell>
          <cell r="W103">
            <v>0</v>
          </cell>
        </row>
        <row r="104">
          <cell r="I104">
            <v>601341</v>
          </cell>
          <cell r="K104">
            <v>705865</v>
          </cell>
          <cell r="M104">
            <v>480437</v>
          </cell>
          <cell r="O104">
            <v>531373</v>
          </cell>
          <cell r="Q104">
            <v>526000</v>
          </cell>
          <cell r="S104">
            <v>526000</v>
          </cell>
          <cell r="U104">
            <v>526000</v>
          </cell>
          <cell r="W104">
            <v>0</v>
          </cell>
        </row>
        <row r="105">
          <cell r="I105">
            <v>94891</v>
          </cell>
          <cell r="K105">
            <v>83076</v>
          </cell>
          <cell r="M105">
            <v>66057</v>
          </cell>
          <cell r="O105">
            <v>0</v>
          </cell>
          <cell r="Q105">
            <v>103178</v>
          </cell>
          <cell r="S105">
            <v>10000</v>
          </cell>
          <cell r="U105">
            <v>10000</v>
          </cell>
          <cell r="W105">
            <v>0</v>
          </cell>
        </row>
        <row r="106">
          <cell r="I106">
            <v>0</v>
          </cell>
          <cell r="K106">
            <v>4288</v>
          </cell>
          <cell r="M106">
            <v>9608</v>
          </cell>
          <cell r="O106">
            <v>13151</v>
          </cell>
          <cell r="Q106">
            <v>10000</v>
          </cell>
          <cell r="S106">
            <v>25302</v>
          </cell>
          <cell r="U106">
            <v>25302</v>
          </cell>
          <cell r="W106">
            <v>0</v>
          </cell>
        </row>
        <row r="107">
          <cell r="I107">
            <v>0</v>
          </cell>
          <cell r="K107">
            <v>0</v>
          </cell>
          <cell r="M107">
            <v>0</v>
          </cell>
          <cell r="O107">
            <v>29809</v>
          </cell>
          <cell r="Q107">
            <v>26002</v>
          </cell>
          <cell r="S107">
            <v>3000</v>
          </cell>
          <cell r="U107">
            <v>3000</v>
          </cell>
          <cell r="W107">
            <v>0</v>
          </cell>
        </row>
        <row r="108">
          <cell r="I108">
            <v>0</v>
          </cell>
          <cell r="K108">
            <v>0</v>
          </cell>
          <cell r="M108">
            <v>0</v>
          </cell>
          <cell r="O108">
            <v>572</v>
          </cell>
          <cell r="Q108">
            <v>3000</v>
          </cell>
          <cell r="S108">
            <v>0</v>
          </cell>
          <cell r="U108">
            <v>0</v>
          </cell>
          <cell r="W108">
            <v>0</v>
          </cell>
        </row>
        <row r="109">
          <cell r="I109">
            <v>17204</v>
          </cell>
          <cell r="K109">
            <v>13017</v>
          </cell>
          <cell r="M109">
            <v>25090</v>
          </cell>
          <cell r="O109">
            <v>43727</v>
          </cell>
          <cell r="Q109">
            <v>30000</v>
          </cell>
          <cell r="S109">
            <v>30000</v>
          </cell>
          <cell r="U109">
            <v>30000</v>
          </cell>
          <cell r="W109">
            <v>0</v>
          </cell>
        </row>
        <row r="110">
          <cell r="I110">
            <v>51251</v>
          </cell>
          <cell r="K110">
            <v>43840</v>
          </cell>
          <cell r="M110">
            <v>-1872995</v>
          </cell>
          <cell r="O110">
            <v>-1966589</v>
          </cell>
          <cell r="Q110">
            <v>100000</v>
          </cell>
          <cell r="S110">
            <v>100000</v>
          </cell>
          <cell r="U110">
            <v>100000</v>
          </cell>
          <cell r="W110">
            <v>0</v>
          </cell>
        </row>
        <row r="111"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6096000</v>
          </cell>
          <cell r="U111">
            <v>0</v>
          </cell>
          <cell r="W111">
            <v>-6096000</v>
          </cell>
        </row>
        <row r="112"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2800000</v>
          </cell>
          <cell r="U112">
            <v>0</v>
          </cell>
          <cell r="W112">
            <v>-2800000</v>
          </cell>
        </row>
        <row r="113">
          <cell r="I113">
            <v>8930202</v>
          </cell>
          <cell r="K113">
            <v>9265602</v>
          </cell>
          <cell r="M113">
            <v>14810413</v>
          </cell>
          <cell r="O113">
            <v>30907</v>
          </cell>
          <cell r="Q113">
            <v>45000</v>
          </cell>
          <cell r="S113">
            <v>0</v>
          </cell>
          <cell r="U113">
            <v>1000000</v>
          </cell>
          <cell r="W113">
            <v>1000000</v>
          </cell>
        </row>
        <row r="114"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U114">
            <v>-4598602</v>
          </cell>
          <cell r="W114">
            <v>-4598602</v>
          </cell>
        </row>
        <row r="115"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950000</v>
          </cell>
          <cell r="U115">
            <v>500000</v>
          </cell>
          <cell r="W115">
            <v>-450000</v>
          </cell>
        </row>
        <row r="116">
          <cell r="I116">
            <v>2121</v>
          </cell>
          <cell r="K116">
            <v>0</v>
          </cell>
          <cell r="M116">
            <v>0</v>
          </cell>
          <cell r="O116">
            <v>0</v>
          </cell>
          <cell r="Q116">
            <v>3499</v>
          </cell>
          <cell r="S116">
            <v>707</v>
          </cell>
          <cell r="U116">
            <v>1794</v>
          </cell>
          <cell r="W116">
            <v>1087</v>
          </cell>
        </row>
        <row r="117"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U117">
            <v>0</v>
          </cell>
          <cell r="W117">
            <v>0</v>
          </cell>
        </row>
        <row r="118">
          <cell r="I118">
            <v>124664589</v>
          </cell>
          <cell r="K118">
            <v>149135632</v>
          </cell>
          <cell r="M118">
            <v>161049261</v>
          </cell>
          <cell r="O118">
            <v>169367945</v>
          </cell>
          <cell r="Q118">
            <v>180196341</v>
          </cell>
          <cell r="S118">
            <v>216615654</v>
          </cell>
          <cell r="U118">
            <v>269070644</v>
          </cell>
          <cell r="W118">
            <v>52454990</v>
          </cell>
        </row>
        <row r="120">
          <cell r="H120" t="str">
            <v>$</v>
          </cell>
          <cell r="I120">
            <v>162534440</v>
          </cell>
          <cell r="J120" t="str">
            <v>$</v>
          </cell>
          <cell r="K120">
            <v>182313335</v>
          </cell>
          <cell r="L120" t="str">
            <v>$</v>
          </cell>
          <cell r="M120">
            <v>178386386</v>
          </cell>
          <cell r="N120" t="str">
            <v>$</v>
          </cell>
          <cell r="O120">
            <v>213140932</v>
          </cell>
          <cell r="P120" t="str">
            <v>$</v>
          </cell>
          <cell r="Q120">
            <v>226941400</v>
          </cell>
          <cell r="R120" t="str">
            <v>$</v>
          </cell>
          <cell r="S120">
            <v>268748000</v>
          </cell>
          <cell r="T120" t="str">
            <v>$</v>
          </cell>
          <cell r="U120">
            <v>320917012</v>
          </cell>
          <cell r="V120" t="str">
            <v>$</v>
          </cell>
          <cell r="W120">
            <v>52176012</v>
          </cell>
        </row>
        <row r="122">
          <cell r="H122" t="str">
            <v>**  Based on Report No. 11 dated August 21, 1995, the actuals are net of FEMA.</v>
          </cell>
        </row>
        <row r="123">
          <cell r="S123">
            <v>183301613</v>
          </cell>
        </row>
      </sheetData>
      <sheetData sheetId="1"/>
      <sheetData sheetId="2"/>
      <sheetData sheetId="3">
        <row r="8">
          <cell r="H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_1"/>
      <sheetName val="MH1901_Schedule_A_2"/>
      <sheetName val="LAC101"/>
      <sheetName val="MH1901_Schedule_B_1"/>
      <sheetName val="MH1901_Schedule_B_2"/>
      <sheetName val="MH1901_Schedule_B_3"/>
      <sheetName val="LAC102"/>
      <sheetName val="LAC102_S"/>
      <sheetName val="MH1901_Schedule_C"/>
      <sheetName val="LAC103"/>
      <sheetName val="MH1960"/>
      <sheetName val="MH1961"/>
      <sheetName val="MH1962"/>
      <sheetName val="MH1963"/>
      <sheetName val="MH1964"/>
      <sheetName val="MH1966_MODE15_(1)"/>
      <sheetName val="MH1966_MODE15_(2)"/>
      <sheetName val="MH1966_HOSPINPT"/>
      <sheetName val="MH1966_MODE5(OTHR)"/>
      <sheetName val="MH1966_MODE10"/>
      <sheetName val="MH1966_MODE45"/>
      <sheetName val="MH1966_MODE60"/>
      <sheetName val="MH1966_MODE55"/>
      <sheetName val="MH1968"/>
      <sheetName val="MH1968_Data"/>
      <sheetName val="MH1979"/>
      <sheetName val="MH1991"/>
      <sheetName val="MH1992"/>
      <sheetName val="MH1969"/>
      <sheetName val="MH1969_INST"/>
      <sheetName val="MH1979_HIDDEN"/>
      <sheetName val="MH1992_INST"/>
      <sheetName val="Input Data"/>
      <sheetName val="MH1992_HIDDEN"/>
      <sheetName val="MH1960_Support"/>
      <sheetName val="Disclosures"/>
      <sheetName val="Disclosures1"/>
    </sheetNames>
    <sheetDataSet>
      <sheetData sheetId="0">
        <row r="3">
          <cell r="B3">
            <v>20082009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rrors"/>
      <sheetName val="DMH"/>
      <sheetName val="HOME"/>
      <sheetName val="Medi-Cal"/>
      <sheetName val="Non Medi-Cal"/>
      <sheetName val="MH1900_INFO"/>
      <sheetName val="MH1901_Schedule_A"/>
      <sheetName val="MH1901_Schedule_B"/>
      <sheetName val="MH1901_Schedule_C"/>
      <sheetName val="MH1960"/>
      <sheetName val="MH1961"/>
      <sheetName val="MH1962"/>
      <sheetName val="MH1963"/>
      <sheetName val="MH1964"/>
      <sheetName val="MH1965"/>
      <sheetName val="MH1966_HOSPINPT"/>
      <sheetName val="MH1966_MODE5(OTHR)"/>
      <sheetName val="MH1966_MODE10"/>
      <sheetName val="MH1966_MODE15_(1)"/>
      <sheetName val="MH1966_MODE15_(2)"/>
      <sheetName val="MH1966_MODE45"/>
      <sheetName val="MH1966_MODE55"/>
      <sheetName val="MH1966_MODE60"/>
      <sheetName val="MH1960_HOSP_COSTS"/>
      <sheetName val="MH1960_HOSP_05"/>
      <sheetName val="MH1960_PHYS_05"/>
      <sheetName val="MH1960_HOSP_05_ADMIN"/>
      <sheetName val="MH1960_PHYS_05_ADMIN"/>
      <sheetName val="MH1960_HOSP_10"/>
      <sheetName val="MH1960_PHYS_10"/>
      <sheetName val="MH1960_HOSP_15"/>
      <sheetName val="MH1960_PHYS_15"/>
      <sheetName val="MH1968"/>
      <sheetName val="MH1969_INST"/>
      <sheetName val="MH1969"/>
      <sheetName val="MH1992_INST"/>
      <sheetName val="MH1979"/>
      <sheetName val="MH1991"/>
      <sheetName val="MH1992"/>
      <sheetName val="Crosschecks"/>
    </sheetNames>
    <sheetDataSet>
      <sheetData sheetId="0">
        <row r="3">
          <cell r="B3">
            <v>20192020</v>
          </cell>
        </row>
        <row r="4">
          <cell r="B4" t="str">
            <v>2019 - 2020</v>
          </cell>
        </row>
        <row r="5">
          <cell r="B5">
            <v>5</v>
          </cell>
        </row>
        <row r="6">
          <cell r="B6" t="str">
            <v>ON</v>
          </cell>
        </row>
        <row r="8">
          <cell r="B8" t="str">
            <v>07/01/19 - 12/31/19</v>
          </cell>
        </row>
        <row r="9">
          <cell r="B9" t="str">
            <v>01/01/20 - 06/30/20</v>
          </cell>
        </row>
        <row r="10">
          <cell r="B10" t="str">
            <v>07/01/19 - 09/30/19</v>
          </cell>
        </row>
        <row r="11">
          <cell r="B11" t="str">
            <v>07/01/19 - 06/30/20</v>
          </cell>
          <cell r="C11" t="str">
            <v>18-19</v>
          </cell>
        </row>
        <row r="12">
          <cell r="B12" t="str">
            <v>(Rev. 02/2019)</v>
          </cell>
        </row>
        <row r="13">
          <cell r="B13">
            <v>0.5</v>
          </cell>
        </row>
        <row r="22">
          <cell r="B22">
            <v>0.5</v>
          </cell>
        </row>
        <row r="23">
          <cell r="B23">
            <v>0.75</v>
          </cell>
        </row>
      </sheetData>
      <sheetData sheetId="1"/>
      <sheetData sheetId="2"/>
      <sheetData sheetId="3"/>
      <sheetData sheetId="4"/>
      <sheetData sheetId="5"/>
      <sheetData sheetId="6">
        <row r="7">
          <cell r="B7"/>
        </row>
        <row r="8">
          <cell r="B8"/>
        </row>
        <row r="9">
          <cell r="B9"/>
        </row>
        <row r="10">
          <cell r="B10"/>
        </row>
        <row r="11">
          <cell r="B11">
            <v>1</v>
          </cell>
        </row>
        <row r="12">
          <cell r="B12">
            <v>1</v>
          </cell>
        </row>
        <row r="21">
          <cell r="B21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80">
          <cell r="F80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5">
          <cell r="D5">
            <v>1</v>
          </cell>
        </row>
      </sheetData>
      <sheetData sheetId="20">
        <row r="5">
          <cell r="D5">
            <v>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07 08 rev Budget Reqby SAB"/>
      <sheetName val="03-02-07"/>
      <sheetName val="budget request 04-05-07"/>
      <sheetName val="final adopt dmh"/>
      <sheetName val="FY 2007 08rev Budget Request"/>
      <sheetName val="other"/>
      <sheetName val="dhs"/>
      <sheetName val="budget request original"/>
      <sheetName val="budget request mhsa"/>
      <sheetName val="rev.sdmc allocatted"/>
      <sheetName val="ACT"/>
      <sheetName val="FY_07_08_rev_Budget_Reqby_SAB"/>
      <sheetName val="budget_request_04-05-07"/>
      <sheetName val="final_adopt_dmh"/>
      <sheetName val="FY_2007_08rev_Budget_Request"/>
      <sheetName val="budget_request_original"/>
      <sheetName val="budget_request_mhsa"/>
      <sheetName val="rev_sdmc_allocatted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  <sheetName val="FY_07_08_rev_Budget_Reqby_SAB1"/>
      <sheetName val="budget_request_04-05-071"/>
      <sheetName val="final_adopt_dmh1"/>
      <sheetName val="FY_2007_08rev_Budget_Request1"/>
      <sheetName val="budget_request_original1"/>
      <sheetName val="budget_request_mhsa1"/>
      <sheetName val="rev_sdmc_allocatted1"/>
      <sheetName val="SEB_PT"/>
      <sheetName val="SEB_raw"/>
      <sheetName val="86100_IGT"/>
      <sheetName val="FY_07_08_rev_Budget_Reqby_SAB2"/>
      <sheetName val="budget_request_04-05-072"/>
      <sheetName val="final_adopt_dmh2"/>
      <sheetName val="FY_2007_08rev_Budget_Request2"/>
      <sheetName val="budget_request_original2"/>
      <sheetName val="budget_request_mhsa2"/>
      <sheetName val="rev_sdmc_allocatted2"/>
      <sheetName val="SEB_PT1"/>
      <sheetName val="SEB_raw1"/>
      <sheetName val="86100_IGT1"/>
      <sheetName val="FY_07_08_rev_Budget_Reqby_SAB3"/>
      <sheetName val="budget_request_04-05-073"/>
      <sheetName val="final_adopt_dmh3"/>
      <sheetName val="FY_2007_08rev_Budget_Request3"/>
      <sheetName val="budget_request_original3"/>
      <sheetName val="budget_request_mhsa3"/>
      <sheetName val="rev_sdmc_allocatted3"/>
      <sheetName val="SEB_PT2"/>
      <sheetName val="SEB_raw2"/>
      <sheetName val="86100_IGT2"/>
    </sheetNames>
    <sheetDataSet>
      <sheetData sheetId="0"/>
      <sheetData sheetId="1" refreshError="1">
        <row r="17">
          <cell r="A17">
            <v>32011</v>
          </cell>
          <cell r="D17" t="str">
            <v>Children Full Service Partnership-FSP</v>
          </cell>
        </row>
        <row r="18">
          <cell r="D18" t="str">
            <v>MHSA Flex Funds - Children</v>
          </cell>
        </row>
        <row r="19">
          <cell r="D19" t="str">
            <v>One-time Cost FSP Child</v>
          </cell>
        </row>
        <row r="20">
          <cell r="D20" t="str">
            <v>FSP CHILD EPSDT MHSA Match</v>
          </cell>
        </row>
        <row r="21">
          <cell r="D21" t="str">
            <v>FSP CHILD Non-EPSDT MHSA Match</v>
          </cell>
        </row>
        <row r="22">
          <cell r="D22" t="str">
            <v>FSP CHILD Healthy Families MHSA Match</v>
          </cell>
        </row>
        <row r="23">
          <cell r="A23">
            <v>32012</v>
          </cell>
          <cell r="D23" t="str">
            <v>Family Support Services-FSP</v>
          </cell>
        </row>
        <row r="24">
          <cell r="A24">
            <v>32013</v>
          </cell>
          <cell r="D24" t="str">
            <v>Integrated Mental Health/Co-Occurring Disorder-FSP</v>
          </cell>
        </row>
        <row r="25">
          <cell r="A25">
            <v>32014</v>
          </cell>
          <cell r="D25" t="str">
            <v>Integrated Mental Health/Co-Occurring Disorder-SD</v>
          </cell>
        </row>
        <row r="26">
          <cell r="A26">
            <v>32015</v>
          </cell>
          <cell r="D26" t="str">
            <v>Respite Care-FSP</v>
          </cell>
        </row>
        <row r="27">
          <cell r="A27">
            <v>32016</v>
          </cell>
          <cell r="D27" t="str">
            <v>Respite Care-OE</v>
          </cell>
        </row>
        <row r="28">
          <cell r="D28" t="str">
            <v>One-time Cost non-FSP Child (Plan II)</v>
          </cell>
        </row>
        <row r="30">
          <cell r="B30" t="str">
            <v>Transitional Aged Youth (TAY)</v>
          </cell>
        </row>
        <row r="31">
          <cell r="C31" t="str">
            <v>TAY Full Service Partnership</v>
          </cell>
        </row>
        <row r="32">
          <cell r="A32">
            <v>32021</v>
          </cell>
          <cell r="D32" t="str">
            <v>TAY Full Service Partnership-FSP</v>
          </cell>
        </row>
        <row r="33">
          <cell r="D33" t="str">
            <v>MHSA Flex Funds - TAY</v>
          </cell>
        </row>
        <row r="34">
          <cell r="D34" t="str">
            <v>One-time Cost FSP TAY</v>
          </cell>
        </row>
        <row r="35">
          <cell r="D35" t="str">
            <v>FSP TAY EPSDT MHSA Match</v>
          </cell>
        </row>
        <row r="36">
          <cell r="D36" t="str">
            <v>FSP TAY Non-EPSDT MHSA Match</v>
          </cell>
        </row>
        <row r="37">
          <cell r="D37" t="str">
            <v>FSP TAY Healthy Families MHSA Match</v>
          </cell>
        </row>
        <row r="38">
          <cell r="A38">
            <v>32022</v>
          </cell>
          <cell r="D38" t="str">
            <v>Drop-in Center-FSP</v>
          </cell>
        </row>
        <row r="39">
          <cell r="A39">
            <v>32023</v>
          </cell>
          <cell r="D39" t="str">
            <v>Drop-in Center-SD</v>
          </cell>
        </row>
        <row r="40">
          <cell r="A40">
            <v>32024</v>
          </cell>
          <cell r="D40" t="str">
            <v>Transitional Aged Youth Housing Service-FSP</v>
          </cell>
        </row>
        <row r="41">
          <cell r="A41">
            <v>32025</v>
          </cell>
          <cell r="D41" t="str">
            <v>Transitional Aged Youth Housing Service-SD</v>
          </cell>
        </row>
        <row r="42">
          <cell r="A42">
            <v>32026</v>
          </cell>
          <cell r="D42" t="str">
            <v>Probation Camps-FSP</v>
          </cell>
        </row>
        <row r="43">
          <cell r="A43">
            <v>32027</v>
          </cell>
          <cell r="D43" t="str">
            <v>Probation Camps-SD</v>
          </cell>
        </row>
        <row r="44">
          <cell r="A44">
            <v>32028</v>
          </cell>
          <cell r="D44" t="str">
            <v>Transitional Aged Youth Housing Service-OE</v>
          </cell>
        </row>
        <row r="45">
          <cell r="D45" t="str">
            <v>One-time Cost non-FSP TAY (Plan II)</v>
          </cell>
        </row>
        <row r="47">
          <cell r="B47" t="str">
            <v>Adults</v>
          </cell>
        </row>
        <row r="48">
          <cell r="C48" t="str">
            <v>Adults Full Service Partnership</v>
          </cell>
        </row>
        <row r="49">
          <cell r="A49">
            <v>32031</v>
          </cell>
          <cell r="D49" t="str">
            <v>Adults Full Service Partnership-FSP</v>
          </cell>
        </row>
        <row r="50">
          <cell r="D50" t="str">
            <v xml:space="preserve">MHSA Flex Funds - Adult </v>
          </cell>
        </row>
        <row r="51">
          <cell r="D51" t="str">
            <v>One-time Cost FSP Adult</v>
          </cell>
        </row>
        <row r="52">
          <cell r="D52" t="str">
            <v>FSP Adult FFP MHSA Match</v>
          </cell>
        </row>
        <row r="53">
          <cell r="A53">
            <v>32032</v>
          </cell>
          <cell r="D53" t="str">
            <v>Wellness/Client Run Center-FSP</v>
          </cell>
        </row>
        <row r="54">
          <cell r="D54" t="str">
            <v>Wellness Centers NCR (Plan II)</v>
          </cell>
        </row>
        <row r="55">
          <cell r="D55" t="str">
            <v>Wellness Centers NCR - EPSDT Match (Plan II)</v>
          </cell>
        </row>
        <row r="56">
          <cell r="D56" t="str">
            <v>Wellness Centers NCR - Non EPSDT  FFP Match (Plan II)</v>
          </cell>
        </row>
        <row r="57">
          <cell r="A57">
            <v>32033</v>
          </cell>
          <cell r="D57" t="str">
            <v>Wellness/Client Run Center-SD</v>
          </cell>
        </row>
        <row r="58">
          <cell r="A58">
            <v>32034</v>
          </cell>
          <cell r="D58" t="str">
            <v>IMD Step-Down Facilities-FSP</v>
          </cell>
        </row>
        <row r="59">
          <cell r="D59" t="str">
            <v>EPSDT Match (Plan II)</v>
          </cell>
        </row>
        <row r="60">
          <cell r="D60" t="str">
            <v>Non EPSDT FFP Match (Plan II)</v>
          </cell>
        </row>
        <row r="61">
          <cell r="A61">
            <v>32035</v>
          </cell>
          <cell r="D61" t="str">
            <v>IMD Step-Down Facilities-SD</v>
          </cell>
        </row>
        <row r="62">
          <cell r="A62">
            <v>32036</v>
          </cell>
          <cell r="D62" t="str">
            <v>Adults Housing Service-FSP</v>
          </cell>
        </row>
        <row r="63">
          <cell r="A63">
            <v>32037</v>
          </cell>
          <cell r="D63" t="str">
            <v>Adults Housing Service-SD</v>
          </cell>
        </row>
        <row r="64">
          <cell r="A64">
            <v>32038</v>
          </cell>
          <cell r="D64" t="str">
            <v>Jail Transition &amp; Linkage Service-FSP</v>
          </cell>
        </row>
        <row r="65">
          <cell r="A65">
            <v>32039</v>
          </cell>
          <cell r="D65" t="str">
            <v>Jail Transition &amp; Linkage Service-SD</v>
          </cell>
        </row>
        <row r="66">
          <cell r="C66" t="str">
            <v>One-time Cost non-FSP Adult (Plan II)</v>
          </cell>
        </row>
        <row r="68">
          <cell r="B68" t="str">
            <v>Older Adults</v>
          </cell>
        </row>
        <row r="69">
          <cell r="C69" t="str">
            <v>Older Adults Full service Partnership</v>
          </cell>
        </row>
        <row r="70">
          <cell r="A70">
            <v>32041</v>
          </cell>
          <cell r="D70" t="str">
            <v>Older Adults Full service Partnership-FSP</v>
          </cell>
        </row>
        <row r="71">
          <cell r="D71" t="str">
            <v xml:space="preserve">MHSA Flex Funds - Older Adult </v>
          </cell>
        </row>
        <row r="72">
          <cell r="D72" t="str">
            <v>One-time Cost FSP Older Adult</v>
          </cell>
        </row>
        <row r="73">
          <cell r="D73" t="str">
            <v>FSP Older Adult FFP MHSA Match</v>
          </cell>
        </row>
        <row r="74">
          <cell r="A74">
            <v>32042</v>
          </cell>
          <cell r="D74" t="str">
            <v>Transformation Design Team-SD</v>
          </cell>
        </row>
        <row r="75">
          <cell r="A75">
            <v>32043</v>
          </cell>
          <cell r="D75" t="str">
            <v>Field-Capable Clinical Services-FSP</v>
          </cell>
        </row>
        <row r="76">
          <cell r="D76" t="str">
            <v>Non EPSDT FFP Match (Plan II)</v>
          </cell>
        </row>
        <row r="77">
          <cell r="A77">
            <v>32044</v>
          </cell>
          <cell r="D77" t="str">
            <v>Field-Capable Clinical Services-SD</v>
          </cell>
        </row>
        <row r="78">
          <cell r="A78">
            <v>32045</v>
          </cell>
          <cell r="D78" t="str">
            <v>Service Extenders-FSP</v>
          </cell>
        </row>
        <row r="79">
          <cell r="A79">
            <v>32046</v>
          </cell>
          <cell r="D79" t="str">
            <v>Service Extenders-SD</v>
          </cell>
        </row>
        <row r="80">
          <cell r="A80">
            <v>32047</v>
          </cell>
          <cell r="D80" t="str">
            <v>Training-FSP</v>
          </cell>
        </row>
        <row r="81">
          <cell r="A81">
            <v>32048</v>
          </cell>
          <cell r="D81" t="str">
            <v>Training-SD</v>
          </cell>
        </row>
        <row r="82">
          <cell r="C82" t="str">
            <v>One-time Cost non-FSP Older Adult (Plan II)</v>
          </cell>
        </row>
        <row r="84">
          <cell r="B84" t="str">
            <v>Cross-Cutting</v>
          </cell>
        </row>
        <row r="85">
          <cell r="A85">
            <v>32051</v>
          </cell>
          <cell r="D85" t="str">
            <v>Service Area Navigator Teams-SD</v>
          </cell>
        </row>
        <row r="86">
          <cell r="C86" t="str">
            <v>Alternative Crisis Services-FSP</v>
          </cell>
        </row>
        <row r="87">
          <cell r="A87">
            <v>32052</v>
          </cell>
          <cell r="D87" t="str">
            <v>Alternative Crisis Services-FSP  (1)</v>
          </cell>
        </row>
        <row r="88">
          <cell r="A88">
            <v>32078</v>
          </cell>
          <cell r="D88" t="str">
            <v>Alternative Crisis Services-UCC/Olive View-FSP</v>
          </cell>
        </row>
        <row r="89">
          <cell r="A89">
            <v>32079</v>
          </cell>
          <cell r="D89" t="str">
            <v>Alternative Crisis Services-UCC/AFH-FSP</v>
          </cell>
        </row>
        <row r="90">
          <cell r="A90">
            <v>32080</v>
          </cell>
          <cell r="D90" t="str">
            <v>Alternative Crisis Services-UCC/Westside-FSP</v>
          </cell>
        </row>
        <row r="91">
          <cell r="A91">
            <v>32081</v>
          </cell>
          <cell r="D91" t="str">
            <v>Alternative Crisis Services-CW Resource Management-FSP</v>
          </cell>
        </row>
        <row r="92">
          <cell r="A92">
            <v>32082</v>
          </cell>
          <cell r="D92" t="str">
            <v>Alternative Crisis Services- Residential &amp; Bridging-FSP</v>
          </cell>
        </row>
        <row r="93">
          <cell r="A93">
            <v>32083</v>
          </cell>
          <cell r="D93" t="str">
            <v>Alternative Crisis Services-Enriched Services-FSP</v>
          </cell>
        </row>
        <row r="94">
          <cell r="D94" t="str">
            <v>Enriched Resident Services (Plan II)</v>
          </cell>
        </row>
        <row r="95">
          <cell r="D95" t="str">
            <v>Enriched Resident Services-EPSDT FFP Match (Plan II)</v>
          </cell>
        </row>
        <row r="96">
          <cell r="D96" t="str">
            <v>Alternative  Crisis Services -UCC EPSDT Match (PlanII)</v>
          </cell>
        </row>
        <row r="97">
          <cell r="D97" t="str">
            <v>Alternative  Crisis Services -UCC EPSDT  FFP Match (PlanII)</v>
          </cell>
        </row>
        <row r="98">
          <cell r="D98" t="str">
            <v>Alternative  Crisis Services -UCC Healthy Fam. FFP Match (PlanII)</v>
          </cell>
        </row>
        <row r="99">
          <cell r="A99">
            <v>32053</v>
          </cell>
          <cell r="D99" t="str">
            <v>Alternative Crisis Services-SD</v>
          </cell>
        </row>
        <row r="100">
          <cell r="A100">
            <v>32054</v>
          </cell>
          <cell r="D100" t="str">
            <v>Planning, Outreach, Engagement-O&amp;E</v>
          </cell>
        </row>
        <row r="101">
          <cell r="A101">
            <v>32055</v>
          </cell>
          <cell r="D101" t="str">
            <v>Administration-FSP</v>
          </cell>
        </row>
        <row r="102">
          <cell r="A102">
            <v>32056</v>
          </cell>
          <cell r="D102" t="str">
            <v>Administration-SD</v>
          </cell>
        </row>
        <row r="103">
          <cell r="D103" t="str">
            <v>One-time Cost non-FSP Cross Cutting (Plan II)</v>
          </cell>
        </row>
        <row r="105">
          <cell r="B105" t="str">
            <v xml:space="preserve">Other </v>
          </cell>
        </row>
        <row r="106">
          <cell r="A106">
            <v>32085</v>
          </cell>
          <cell r="C106" t="str">
            <v>American Indian Communty Center</v>
          </cell>
        </row>
        <row r="108">
          <cell r="B108" t="str">
            <v>CSS One-Time</v>
          </cell>
        </row>
        <row r="109">
          <cell r="A109">
            <v>32061</v>
          </cell>
          <cell r="D109" t="str">
            <v>Housing Trust Fund-FSP</v>
          </cell>
        </row>
        <row r="110">
          <cell r="A110">
            <v>32062</v>
          </cell>
          <cell r="D110" t="str">
            <v>Housing Trust Fund-SD</v>
          </cell>
        </row>
        <row r="111">
          <cell r="A111">
            <v>32063</v>
          </cell>
          <cell r="D111" t="str">
            <v>Training &amp; Workforce Development-FSP</v>
          </cell>
        </row>
        <row r="112">
          <cell r="A112">
            <v>32064</v>
          </cell>
          <cell r="D112" t="str">
            <v>Training &amp; Workforce Development-SD</v>
          </cell>
        </row>
        <row r="113">
          <cell r="A113">
            <v>32065</v>
          </cell>
          <cell r="D113" t="str">
            <v>Outreach &amp; Engagement-FSP</v>
          </cell>
        </row>
        <row r="114">
          <cell r="A114">
            <v>32066</v>
          </cell>
          <cell r="D114" t="str">
            <v>Outreach &amp; Engagement-O&amp;E</v>
          </cell>
        </row>
        <row r="115">
          <cell r="A115">
            <v>32067</v>
          </cell>
          <cell r="D115" t="str">
            <v>Planning &amp; Outcomes-FSP</v>
          </cell>
        </row>
        <row r="116">
          <cell r="A116">
            <v>32068</v>
          </cell>
          <cell r="D116" t="str">
            <v>Planning &amp; Outcomes-SD</v>
          </cell>
        </row>
        <row r="117">
          <cell r="A117">
            <v>32069</v>
          </cell>
          <cell r="D117" t="str">
            <v>Infrastructure-FSP</v>
          </cell>
        </row>
        <row r="118">
          <cell r="A118">
            <v>32084</v>
          </cell>
          <cell r="D118" t="str">
            <v>Infrastructure-Intergrated Behavioral Health Information System Project</v>
          </cell>
        </row>
        <row r="119">
          <cell r="A119">
            <v>32070</v>
          </cell>
          <cell r="D119" t="str">
            <v>Infrastructure-SD</v>
          </cell>
        </row>
        <row r="120">
          <cell r="A120">
            <v>32071</v>
          </cell>
          <cell r="D120" t="str">
            <v>Prudent Reserve-FSP</v>
          </cell>
        </row>
        <row r="121">
          <cell r="A121">
            <v>32072</v>
          </cell>
          <cell r="D121" t="str">
            <v>Prudent Reserve-SD</v>
          </cell>
        </row>
        <row r="122">
          <cell r="A122">
            <v>32073</v>
          </cell>
          <cell r="D122" t="str">
            <v>Start Up Costs (Staff &amp; AB 2034)</v>
          </cell>
        </row>
        <row r="123">
          <cell r="A123">
            <v>32074</v>
          </cell>
          <cell r="D123" t="str">
            <v>Directly Operated Clinics</v>
          </cell>
        </row>
        <row r="124">
          <cell r="A124">
            <v>32075</v>
          </cell>
          <cell r="D124" t="str">
            <v>Provider Clinics Infrastructure</v>
          </cell>
        </row>
        <row r="125">
          <cell r="A125">
            <v>32076</v>
          </cell>
          <cell r="D125" t="str">
            <v>Skid Row  Wellness Center</v>
          </cell>
        </row>
        <row r="126">
          <cell r="A126">
            <v>32077</v>
          </cell>
          <cell r="D126" t="str">
            <v>Urgent Care Centers</v>
          </cell>
        </row>
      </sheetData>
      <sheetData sheetId="2"/>
      <sheetData sheetId="3" refreshError="1">
        <row r="4">
          <cell r="A4">
            <v>32011</v>
          </cell>
          <cell r="B4">
            <v>48961.5</v>
          </cell>
          <cell r="C4">
            <v>59899.070222657203</v>
          </cell>
          <cell r="D4">
            <v>10937.570222657207</v>
          </cell>
          <cell r="E4">
            <v>0</v>
          </cell>
          <cell r="F4">
            <v>0</v>
          </cell>
          <cell r="G4">
            <v>526595.87912894459</v>
          </cell>
        </row>
        <row r="5">
          <cell r="A5">
            <v>32012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112198</v>
          </cell>
        </row>
        <row r="6">
          <cell r="A6">
            <v>32013</v>
          </cell>
          <cell r="B6">
            <v>271217</v>
          </cell>
          <cell r="C6">
            <v>331804.50207976508</v>
          </cell>
          <cell r="D6">
            <v>60587.502079765109</v>
          </cell>
          <cell r="E6">
            <v>0</v>
          </cell>
          <cell r="F6">
            <v>0</v>
          </cell>
          <cell r="G6">
            <v>276855</v>
          </cell>
        </row>
        <row r="7">
          <cell r="A7">
            <v>32015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28932</v>
          </cell>
        </row>
        <row r="8">
          <cell r="A8">
            <v>32014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32021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585557.24467824772</v>
          </cell>
        </row>
        <row r="10">
          <cell r="A10">
            <v>32022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32024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546504</v>
          </cell>
        </row>
        <row r="12">
          <cell r="A12">
            <v>32026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32031</v>
          </cell>
          <cell r="B13">
            <v>0</v>
          </cell>
          <cell r="C13">
            <v>0</v>
          </cell>
          <cell r="D13">
            <v>0</v>
          </cell>
          <cell r="E13">
            <v>1477448</v>
          </cell>
          <cell r="F13">
            <v>1477448</v>
          </cell>
          <cell r="G13">
            <v>5529832</v>
          </cell>
        </row>
        <row r="14">
          <cell r="A14">
            <v>32032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724965</v>
          </cell>
        </row>
        <row r="15">
          <cell r="A15">
            <v>32034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32036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1064820</v>
          </cell>
        </row>
        <row r="17">
          <cell r="A17">
            <v>32038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1226213</v>
          </cell>
        </row>
        <row r="18">
          <cell r="A18">
            <v>32041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32042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330000</v>
          </cell>
        </row>
        <row r="20">
          <cell r="A20">
            <v>32043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122163</v>
          </cell>
        </row>
        <row r="21">
          <cell r="A21">
            <v>32045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32047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198858</v>
          </cell>
        </row>
        <row r="23">
          <cell r="A23">
            <v>32051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4879407</v>
          </cell>
        </row>
        <row r="24">
          <cell r="A24">
            <v>32055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4505000</v>
          </cell>
        </row>
        <row r="25">
          <cell r="A25">
            <v>32078</v>
          </cell>
          <cell r="B25">
            <v>81740</v>
          </cell>
          <cell r="C25">
            <v>0</v>
          </cell>
          <cell r="D25">
            <v>18260</v>
          </cell>
          <cell r="E25">
            <v>734081</v>
          </cell>
          <cell r="F25">
            <v>734081</v>
          </cell>
          <cell r="G25">
            <v>1393555</v>
          </cell>
        </row>
        <row r="26">
          <cell r="A26">
            <v>32079</v>
          </cell>
          <cell r="B26">
            <v>81740</v>
          </cell>
          <cell r="C26">
            <v>0</v>
          </cell>
          <cell r="D26">
            <v>18260</v>
          </cell>
          <cell r="E26">
            <v>830554</v>
          </cell>
          <cell r="F26">
            <v>830554</v>
          </cell>
          <cell r="G26">
            <v>2775492</v>
          </cell>
        </row>
        <row r="27">
          <cell r="A27">
            <v>32054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3413600</v>
          </cell>
        </row>
        <row r="28">
          <cell r="A28">
            <v>32055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32080</v>
          </cell>
          <cell r="B29">
            <v>9860</v>
          </cell>
          <cell r="C29">
            <v>0</v>
          </cell>
          <cell r="D29">
            <v>2202.6376315145585</v>
          </cell>
          <cell r="E29">
            <v>241255</v>
          </cell>
          <cell r="F29">
            <v>241255</v>
          </cell>
          <cell r="G29">
            <v>-12063</v>
          </cell>
        </row>
        <row r="30">
          <cell r="A30">
            <v>32081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225339</v>
          </cell>
        </row>
        <row r="31">
          <cell r="A31">
            <v>32082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1008140</v>
          </cell>
        </row>
        <row r="32">
          <cell r="A32">
            <v>32083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43">
          <cell r="A43">
            <v>32061</v>
          </cell>
          <cell r="B43">
            <v>259443</v>
          </cell>
          <cell r="G43">
            <v>259443</v>
          </cell>
        </row>
        <row r="44">
          <cell r="A44">
            <v>32063</v>
          </cell>
          <cell r="B44">
            <v>0</v>
          </cell>
          <cell r="G44">
            <v>0</v>
          </cell>
        </row>
        <row r="45">
          <cell r="A45">
            <v>32065</v>
          </cell>
          <cell r="B45">
            <v>484531</v>
          </cell>
          <cell r="C45">
            <v>32065</v>
          </cell>
          <cell r="D45">
            <v>-484531</v>
          </cell>
          <cell r="G45">
            <v>0</v>
          </cell>
        </row>
        <row r="46">
          <cell r="A46">
            <v>32067</v>
          </cell>
          <cell r="B46">
            <v>484531</v>
          </cell>
          <cell r="C46">
            <v>32067</v>
          </cell>
          <cell r="D46">
            <v>-186413</v>
          </cell>
          <cell r="G46">
            <v>298118</v>
          </cell>
        </row>
        <row r="47">
          <cell r="A47">
            <v>32069</v>
          </cell>
          <cell r="B47">
            <v>852667</v>
          </cell>
          <cell r="C47">
            <v>32069</v>
          </cell>
          <cell r="D47">
            <v>-852667</v>
          </cell>
          <cell r="G47">
            <v>0</v>
          </cell>
        </row>
        <row r="48">
          <cell r="A48">
            <v>32073</v>
          </cell>
          <cell r="B48">
            <v>727000</v>
          </cell>
          <cell r="C48">
            <v>32073</v>
          </cell>
          <cell r="D48">
            <v>-254000</v>
          </cell>
          <cell r="G48">
            <v>473000</v>
          </cell>
        </row>
        <row r="49">
          <cell r="A49">
            <v>32074</v>
          </cell>
          <cell r="B49">
            <v>2333000</v>
          </cell>
          <cell r="C49">
            <v>32074</v>
          </cell>
          <cell r="D49">
            <v>-2333333</v>
          </cell>
          <cell r="G49">
            <v>0</v>
          </cell>
        </row>
        <row r="50">
          <cell r="A50">
            <v>32075</v>
          </cell>
          <cell r="B50">
            <v>1333333</v>
          </cell>
          <cell r="C50">
            <v>32075</v>
          </cell>
          <cell r="D50">
            <v>-1333333</v>
          </cell>
          <cell r="G50">
            <v>0</v>
          </cell>
        </row>
        <row r="51">
          <cell r="A51">
            <v>32076</v>
          </cell>
          <cell r="B51">
            <v>1000000</v>
          </cell>
          <cell r="C51">
            <v>32076</v>
          </cell>
          <cell r="D51">
            <v>-1000000</v>
          </cell>
          <cell r="G51">
            <v>0</v>
          </cell>
        </row>
        <row r="52">
          <cell r="A52">
            <v>32077</v>
          </cell>
          <cell r="B52">
            <v>414640</v>
          </cell>
          <cell r="C52">
            <v>32077</v>
          </cell>
          <cell r="D52">
            <v>-414640</v>
          </cell>
          <cell r="G52">
            <v>0</v>
          </cell>
        </row>
      </sheetData>
      <sheetData sheetId="4"/>
      <sheetData sheetId="5" refreshError="1">
        <row r="5">
          <cell r="A5">
            <v>32011</v>
          </cell>
          <cell r="G5">
            <v>3974534</v>
          </cell>
          <cell r="I5">
            <v>32011</v>
          </cell>
          <cell r="J5">
            <v>826474</v>
          </cell>
          <cell r="K5">
            <v>1011101</v>
          </cell>
          <cell r="L5">
            <v>184627</v>
          </cell>
          <cell r="M5">
            <v>0</v>
          </cell>
          <cell r="N5">
            <v>0</v>
          </cell>
          <cell r="O5">
            <v>14179</v>
          </cell>
        </row>
        <row r="6">
          <cell r="A6">
            <v>32012</v>
          </cell>
          <cell r="G6">
            <v>20651</v>
          </cell>
          <cell r="I6">
            <v>32012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5204</v>
          </cell>
        </row>
        <row r="7">
          <cell r="A7">
            <v>32013</v>
          </cell>
          <cell r="G7">
            <v>9988</v>
          </cell>
          <cell r="I7">
            <v>32013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32015</v>
          </cell>
          <cell r="I8">
            <v>32015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32014</v>
          </cell>
          <cell r="G9">
            <v>5325</v>
          </cell>
          <cell r="I9">
            <v>32014</v>
          </cell>
        </row>
        <row r="10">
          <cell r="A10">
            <v>32021</v>
          </cell>
          <cell r="G10">
            <v>94777</v>
          </cell>
          <cell r="I10">
            <v>32021</v>
          </cell>
          <cell r="J10">
            <v>251760</v>
          </cell>
          <cell r="K10">
            <v>308000</v>
          </cell>
          <cell r="L10">
            <v>56240</v>
          </cell>
          <cell r="M10">
            <v>133000</v>
          </cell>
          <cell r="N10">
            <v>133000</v>
          </cell>
          <cell r="O10">
            <v>40436</v>
          </cell>
        </row>
        <row r="11">
          <cell r="A11">
            <v>32022</v>
          </cell>
          <cell r="I11">
            <v>32022</v>
          </cell>
        </row>
        <row r="12">
          <cell r="A12">
            <v>32024</v>
          </cell>
          <cell r="G12">
            <v>106221</v>
          </cell>
          <cell r="I12">
            <v>32024</v>
          </cell>
        </row>
        <row r="13">
          <cell r="A13">
            <v>32026</v>
          </cell>
          <cell r="I13">
            <v>32026</v>
          </cell>
        </row>
        <row r="14">
          <cell r="A14">
            <v>32031</v>
          </cell>
          <cell r="G14">
            <v>353690</v>
          </cell>
          <cell r="I14">
            <v>32031</v>
          </cell>
          <cell r="M14">
            <v>1946452</v>
          </cell>
          <cell r="N14">
            <v>1946452</v>
          </cell>
          <cell r="O14">
            <v>652455</v>
          </cell>
        </row>
        <row r="15">
          <cell r="A15">
            <v>32032</v>
          </cell>
          <cell r="E15">
            <v>2258556</v>
          </cell>
          <cell r="F15">
            <v>2258556</v>
          </cell>
          <cell r="G15">
            <v>6823688</v>
          </cell>
          <cell r="I15">
            <v>32032</v>
          </cell>
        </row>
        <row r="16">
          <cell r="A16">
            <v>32034</v>
          </cell>
          <cell r="I16">
            <v>32034</v>
          </cell>
        </row>
        <row r="17">
          <cell r="A17">
            <v>32036</v>
          </cell>
          <cell r="G17">
            <v>240321</v>
          </cell>
          <cell r="I17">
            <v>32036</v>
          </cell>
        </row>
        <row r="18">
          <cell r="A18">
            <v>32038</v>
          </cell>
          <cell r="G18">
            <v>240338</v>
          </cell>
          <cell r="I18">
            <v>32038</v>
          </cell>
        </row>
        <row r="19">
          <cell r="A19">
            <v>32041</v>
          </cell>
          <cell r="I19">
            <v>32041</v>
          </cell>
          <cell r="M19">
            <v>12000</v>
          </cell>
          <cell r="N19">
            <v>12000</v>
          </cell>
          <cell r="O19">
            <v>22584</v>
          </cell>
        </row>
        <row r="20">
          <cell r="A20">
            <v>32042</v>
          </cell>
          <cell r="I20">
            <v>32042</v>
          </cell>
        </row>
        <row r="21">
          <cell r="A21">
            <v>32043</v>
          </cell>
          <cell r="I21">
            <v>32043</v>
          </cell>
          <cell r="M21">
            <v>1280138</v>
          </cell>
          <cell r="N21">
            <v>1280138</v>
          </cell>
          <cell r="O21">
            <v>1204348</v>
          </cell>
        </row>
        <row r="22">
          <cell r="A22">
            <v>32045</v>
          </cell>
          <cell r="I22">
            <v>32045</v>
          </cell>
        </row>
        <row r="23">
          <cell r="A23">
            <v>32047</v>
          </cell>
          <cell r="I23">
            <v>32047</v>
          </cell>
        </row>
        <row r="24">
          <cell r="A24">
            <v>32051</v>
          </cell>
          <cell r="G24">
            <v>1044257</v>
          </cell>
          <cell r="I24">
            <v>32051</v>
          </cell>
        </row>
        <row r="26">
          <cell r="A26">
            <v>32078</v>
          </cell>
          <cell r="G26">
            <v>460862</v>
          </cell>
          <cell r="I26">
            <v>32078</v>
          </cell>
          <cell r="O26">
            <v>2504</v>
          </cell>
        </row>
        <row r="27">
          <cell r="A27">
            <v>32079</v>
          </cell>
          <cell r="G27">
            <v>884057</v>
          </cell>
          <cell r="I27">
            <v>32079</v>
          </cell>
          <cell r="O27">
            <v>666525</v>
          </cell>
        </row>
        <row r="28">
          <cell r="A28">
            <v>32054</v>
          </cell>
          <cell r="G28">
            <v>565914</v>
          </cell>
          <cell r="I28">
            <v>32054</v>
          </cell>
          <cell r="M28">
            <v>120000</v>
          </cell>
          <cell r="N28">
            <v>120000</v>
          </cell>
          <cell r="O28">
            <v>1240850</v>
          </cell>
        </row>
        <row r="29">
          <cell r="A29">
            <v>32055</v>
          </cell>
          <cell r="G29">
            <v>937234</v>
          </cell>
          <cell r="I29">
            <v>32055</v>
          </cell>
        </row>
        <row r="30">
          <cell r="A30">
            <v>32080</v>
          </cell>
          <cell r="G30">
            <v>-12109</v>
          </cell>
          <cell r="I30">
            <v>32080</v>
          </cell>
        </row>
        <row r="31">
          <cell r="A31">
            <v>32081</v>
          </cell>
          <cell r="G31">
            <v>47371</v>
          </cell>
          <cell r="I31">
            <v>32081</v>
          </cell>
        </row>
        <row r="32">
          <cell r="A32">
            <v>32082</v>
          </cell>
          <cell r="G32">
            <v>226300</v>
          </cell>
          <cell r="I32">
            <v>32082</v>
          </cell>
        </row>
        <row r="33">
          <cell r="A33">
            <v>32083</v>
          </cell>
          <cell r="I33">
            <v>32083</v>
          </cell>
        </row>
        <row r="34">
          <cell r="A34">
            <v>32061</v>
          </cell>
          <cell r="G34">
            <v>42701</v>
          </cell>
          <cell r="I34">
            <v>32061</v>
          </cell>
          <cell r="O34">
            <v>0</v>
          </cell>
        </row>
        <row r="35">
          <cell r="A35">
            <v>32084</v>
          </cell>
          <cell r="G35">
            <v>799169</v>
          </cell>
          <cell r="I35">
            <v>32084</v>
          </cell>
          <cell r="O35">
            <v>0</v>
          </cell>
        </row>
      </sheetData>
      <sheetData sheetId="6" refreshError="1">
        <row r="2">
          <cell r="C2">
            <v>833000</v>
          </cell>
          <cell r="E2">
            <v>974806</v>
          </cell>
          <cell r="G2">
            <v>6525194</v>
          </cell>
        </row>
        <row r="3">
          <cell r="C3" t="str">
            <v>EPSDT</v>
          </cell>
          <cell r="E3" t="str">
            <v>EPSDT FFP</v>
          </cell>
          <cell r="G3" t="str">
            <v>FFP</v>
          </cell>
        </row>
        <row r="4">
          <cell r="A4">
            <v>20553</v>
          </cell>
          <cell r="B4" t="str">
            <v>mlk</v>
          </cell>
          <cell r="C4">
            <v>151304</v>
          </cell>
          <cell r="D4">
            <v>225723.32842615776</v>
          </cell>
          <cell r="E4">
            <v>186610.5</v>
          </cell>
          <cell r="F4">
            <v>263344.8858589083</v>
          </cell>
          <cell r="G4">
            <v>1865843</v>
          </cell>
          <cell r="H4">
            <v>1815900.4054111054</v>
          </cell>
        </row>
        <row r="5">
          <cell r="A5">
            <v>20552</v>
          </cell>
          <cell r="B5" t="str">
            <v>lac usc</v>
          </cell>
          <cell r="C5">
            <v>188484</v>
          </cell>
          <cell r="D5">
            <v>281190.42348567065</v>
          </cell>
          <cell r="E5">
            <v>233280</v>
          </cell>
          <cell r="F5">
            <v>329204.92133704224</v>
          </cell>
          <cell r="G5">
            <v>1723649</v>
          </cell>
          <cell r="H5">
            <v>1677512.4798208885</v>
          </cell>
        </row>
        <row r="6">
          <cell r="A6">
            <v>20555</v>
          </cell>
          <cell r="B6" t="str">
            <v>olive view</v>
          </cell>
          <cell r="C6">
            <v>133999</v>
          </cell>
          <cell r="D6">
            <v>199906.8120193565</v>
          </cell>
          <cell r="E6">
            <v>165988</v>
          </cell>
          <cell r="F6">
            <v>234242.39747467838</v>
          </cell>
          <cell r="G6">
            <v>1275511</v>
          </cell>
          <cell r="H6">
            <v>1241369.6875923239</v>
          </cell>
        </row>
        <row r="7">
          <cell r="A7">
            <v>20554</v>
          </cell>
          <cell r="B7" t="str">
            <v>harbor ucla</v>
          </cell>
          <cell r="C7">
            <v>84579</v>
          </cell>
          <cell r="D7">
            <v>126179.43606881508</v>
          </cell>
          <cell r="E7">
            <v>104885</v>
          </cell>
          <cell r="F7">
            <v>148013.79532937103</v>
          </cell>
          <cell r="G7">
            <v>1839653</v>
          </cell>
          <cell r="H7">
            <v>1790411.427175682</v>
          </cell>
        </row>
      </sheetData>
      <sheetData sheetId="7"/>
      <sheetData sheetId="8"/>
      <sheetData sheetId="9"/>
      <sheetData sheetId="10" refreshError="1"/>
      <sheetData sheetId="11"/>
      <sheetData sheetId="12"/>
      <sheetData sheetId="13">
        <row r="4">
          <cell r="A4">
            <v>32011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 xml:space="preserve">PREXP   </v>
          </cell>
        </row>
      </sheetData>
      <sheetData sheetId="25">
        <row r="4">
          <cell r="A4" t="str">
            <v xml:space="preserve">CNTR    </v>
          </cell>
        </row>
      </sheetData>
      <sheetData sheetId="26">
        <row r="5">
          <cell r="A5" t="str">
            <v xml:space="preserve">PREXP   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5">
          <cell r="I5" t="str">
            <v xml:space="preserve">20R </v>
          </cell>
        </row>
      </sheetData>
      <sheetData sheetId="37">
        <row r="4">
          <cell r="A4" t="str">
            <v xml:space="preserve">PREXP   </v>
          </cell>
        </row>
      </sheetData>
      <sheetData sheetId="38"/>
      <sheetData sheetId="39"/>
      <sheetData sheetId="40"/>
      <sheetData sheetId="41">
        <row r="4">
          <cell r="A4">
            <v>32011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INDERCAONEWFORMAT"/>
      <sheetName val="Sheet1"/>
      <sheetName val="403PERM"/>
      <sheetName val="PERMANENT (2)"/>
      <sheetName val="NEW-WALKTHRU"/>
      <sheetName val="REVCAOPRO03-04-new"/>
      <sheetName val="REVCAOPRO03-04-new (2)"/>
      <sheetName val="Perm403"/>
      <sheetName val="Walkthru"/>
      <sheetName val="Detail-SA 01- 29- 09"/>
      <sheetName val="Perm403 "/>
      <sheetName val="Walkthru "/>
      <sheetName val="MHSA-SUMMARY"/>
      <sheetName val="Fin Sum 09-10"/>
      <sheetName val="Detail-ALPHA"/>
      <sheetName val="MHSA-CHILDREN"/>
      <sheetName val="MHSA-TAY"/>
      <sheetName val="MHSA-ADULT"/>
      <sheetName val="MHSA-OLDER ADULT"/>
      <sheetName val="MHSA-CROSS CUTTING"/>
      <sheetName val="PEI Plan"/>
      <sheetName val="IT Plan"/>
      <sheetName val="Data"/>
      <sheetName val="WORKINGPAPER"/>
      <sheetName val="BACKUPFORNEWFORMAT"/>
      <sheetName val="COMPARISONNEWFORMAT"/>
      <sheetName val="DROPDOWN LIST"/>
      <sheetName val="DOC"/>
      <sheetName val="FINAL DETAIL"/>
      <sheetName val="dropd"/>
      <sheetName val="SEB PT"/>
      <sheetName val="SEB raw"/>
      <sheetName val="86100 IGT"/>
      <sheetName val="57800"/>
      <sheetName val="86100"/>
      <sheetName val="86101"/>
      <sheetName val="86102"/>
      <sheetName val="86103"/>
      <sheetName val="86104"/>
      <sheetName val="86105"/>
      <sheetName val="86106"/>
      <sheetName val="86107"/>
      <sheetName val="86110"/>
      <sheetName val="86109"/>
      <sheetName val="HFH"/>
      <sheetName val="83606"/>
      <sheetName val="83607"/>
      <sheetName val="83608"/>
      <sheetName val="83612"/>
      <sheetName val="83613"/>
      <sheetName val="J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C1" t="str">
            <v>COUNTY OF LOS ANGELES</v>
          </cell>
          <cell r="L1" t="str">
            <v>`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</row>
        <row r="3">
          <cell r="C3" t="str">
            <v>DEPARTMENT OF MENTAL HEALTH</v>
          </cell>
          <cell r="BP3" t="str">
            <v>Hide</v>
          </cell>
          <cell r="BQ3" t="str">
            <v>Hide</v>
          </cell>
          <cell r="BR3" t="str">
            <v>Hide</v>
          </cell>
          <cell r="BS3" t="str">
            <v>Hide</v>
          </cell>
          <cell r="BT3" t="str">
            <v>Hide</v>
          </cell>
          <cell r="BU3" t="str">
            <v>Hide</v>
          </cell>
          <cell r="BV3" t="str">
            <v>Hide</v>
          </cell>
          <cell r="BW3" t="str">
            <v>Hide</v>
          </cell>
          <cell r="BX3" t="str">
            <v>Hide</v>
          </cell>
          <cell r="BY3" t="str">
            <v>Hide</v>
          </cell>
          <cell r="BZ3" t="str">
            <v>Hide</v>
          </cell>
          <cell r="CA3" t="str">
            <v>Hide</v>
          </cell>
          <cell r="CB3" t="str">
            <v>Hide</v>
          </cell>
          <cell r="CC3" t="str">
            <v>Hide</v>
          </cell>
          <cell r="CD3" t="str">
            <v>Hide</v>
          </cell>
          <cell r="CE3" t="str">
            <v>Hide</v>
          </cell>
          <cell r="CF3" t="str">
            <v>Hide</v>
          </cell>
          <cell r="CG3" t="str">
            <v>Hide</v>
          </cell>
          <cell r="CH3" t="str">
            <v>Hide</v>
          </cell>
          <cell r="CQ3" t="str">
            <v>Hide</v>
          </cell>
        </row>
        <row r="4">
          <cell r="C4" t="str">
            <v>BUDGET &amp; FINANCIAL REPORTING DIVISION</v>
          </cell>
        </row>
        <row r="5">
          <cell r="C5" t="str">
            <v xml:space="preserve">FISCAL YEAR 2009/2010 BUDGET REQUEST -  SUPERCESSION &amp; RENEWAL </v>
          </cell>
          <cell r="M5" t="str">
            <v xml:space="preserve">B Y      F U N D I N G     S O U R C E </v>
          </cell>
        </row>
        <row r="6">
          <cell r="N6" t="str">
            <v>1A</v>
          </cell>
          <cell r="O6" t="str">
            <v>1B</v>
          </cell>
          <cell r="P6" t="str">
            <v>1C</v>
          </cell>
          <cell r="Q6">
            <v>1</v>
          </cell>
          <cell r="R6">
            <v>1</v>
          </cell>
          <cell r="S6">
            <v>2</v>
          </cell>
          <cell r="T6">
            <v>3</v>
          </cell>
          <cell r="U6">
            <v>4</v>
          </cell>
          <cell r="V6">
            <v>5</v>
          </cell>
          <cell r="W6">
            <v>6</v>
          </cell>
          <cell r="X6">
            <v>7</v>
          </cell>
          <cell r="Y6">
            <v>8</v>
          </cell>
          <cell r="Z6">
            <v>9</v>
          </cell>
          <cell r="AA6">
            <v>10</v>
          </cell>
          <cell r="AB6">
            <v>11</v>
          </cell>
          <cell r="AC6">
            <v>12</v>
          </cell>
          <cell r="AD6">
            <v>13</v>
          </cell>
          <cell r="AE6">
            <v>14</v>
          </cell>
          <cell r="AF6">
            <v>15</v>
          </cell>
          <cell r="AG6">
            <v>16</v>
          </cell>
          <cell r="AH6">
            <v>17</v>
          </cell>
          <cell r="AI6">
            <v>18</v>
          </cell>
          <cell r="AJ6">
            <v>19</v>
          </cell>
          <cell r="AK6">
            <v>20</v>
          </cell>
          <cell r="AL6">
            <v>21</v>
          </cell>
          <cell r="AM6">
            <v>22</v>
          </cell>
          <cell r="AN6">
            <v>23</v>
          </cell>
          <cell r="AO6">
            <v>24</v>
          </cell>
          <cell r="AP6">
            <v>25</v>
          </cell>
          <cell r="AQ6">
            <v>26</v>
          </cell>
          <cell r="AR6">
            <v>27</v>
          </cell>
          <cell r="AS6">
            <v>28</v>
          </cell>
          <cell r="AT6">
            <v>29</v>
          </cell>
          <cell r="AU6">
            <v>30</v>
          </cell>
          <cell r="AV6">
            <v>31</v>
          </cell>
          <cell r="AW6">
            <v>32</v>
          </cell>
          <cell r="AX6">
            <v>33</v>
          </cell>
          <cell r="AY6">
            <v>34</v>
          </cell>
          <cell r="AZ6">
            <v>35</v>
          </cell>
          <cell r="BA6">
            <v>36</v>
          </cell>
          <cell r="BB6">
            <v>37</v>
          </cell>
          <cell r="BC6">
            <v>38</v>
          </cell>
          <cell r="BD6">
            <v>39</v>
          </cell>
          <cell r="BE6">
            <v>40</v>
          </cell>
          <cell r="BF6">
            <v>40</v>
          </cell>
          <cell r="BG6">
            <v>41</v>
          </cell>
          <cell r="BH6">
            <v>42</v>
          </cell>
          <cell r="BI6">
            <v>43</v>
          </cell>
          <cell r="BJ6">
            <v>44</v>
          </cell>
          <cell r="BK6">
            <v>45</v>
          </cell>
          <cell r="BL6">
            <v>46</v>
          </cell>
          <cell r="BM6">
            <v>47</v>
          </cell>
          <cell r="BN6">
            <v>48</v>
          </cell>
          <cell r="BO6">
            <v>49</v>
          </cell>
          <cell r="CI6">
            <v>50</v>
          </cell>
          <cell r="CJ6">
            <v>51</v>
          </cell>
          <cell r="CK6">
            <v>52</v>
          </cell>
          <cell r="CL6">
            <v>53</v>
          </cell>
          <cell r="CM6">
            <v>54</v>
          </cell>
          <cell r="CN6">
            <v>55</v>
          </cell>
          <cell r="CO6">
            <v>56</v>
          </cell>
          <cell r="CP6">
            <v>57</v>
          </cell>
          <cell r="CQ6">
            <v>59</v>
          </cell>
          <cell r="CR6">
            <v>59</v>
          </cell>
        </row>
        <row r="7">
          <cell r="A7" t="str">
            <v>UNIT</v>
          </cell>
          <cell r="B7" t="str">
            <v xml:space="preserve">DEPUTY </v>
          </cell>
          <cell r="C7" t="str">
            <v>SERVICE</v>
          </cell>
          <cell r="D7" t="str">
            <v>UNIT</v>
          </cell>
          <cell r="E7" t="str">
            <v>SUPV.</v>
          </cell>
          <cell r="G7" t="str">
            <v>Fin</v>
          </cell>
          <cell r="H7" t="str">
            <v>Prov.</v>
          </cell>
          <cell r="I7" t="str">
            <v>Provider</v>
          </cell>
          <cell r="J7" t="str">
            <v>Supv.</v>
          </cell>
          <cell r="K7" t="str">
            <v>Supv.</v>
          </cell>
          <cell r="L7" t="str">
            <v>Program</v>
          </cell>
          <cell r="M7" t="str">
            <v>Contract</v>
          </cell>
          <cell r="N7" t="str">
            <v>FEE FOR</v>
          </cell>
          <cell r="O7" t="str">
            <v>REGULAR</v>
          </cell>
          <cell r="T7" t="str">
            <v>Transitional</v>
          </cell>
          <cell r="U7" t="str">
            <v>IMD</v>
          </cell>
          <cell r="V7" t="str">
            <v>OTHER</v>
          </cell>
          <cell r="W7" t="str">
            <v>DCFS</v>
          </cell>
          <cell r="X7" t="str">
            <v>DCFS</v>
          </cell>
          <cell r="Y7" t="str">
            <v>DCFS</v>
          </cell>
          <cell r="Z7" t="str">
            <v xml:space="preserve">DCFS </v>
          </cell>
          <cell r="AA7" t="str">
            <v>DCFS</v>
          </cell>
          <cell r="AB7" t="str">
            <v>DPSS</v>
          </cell>
          <cell r="AC7" t="str">
            <v>DPSS</v>
          </cell>
          <cell r="AD7" t="str">
            <v>DPSS</v>
          </cell>
          <cell r="AE7" t="str">
            <v>DPSS</v>
          </cell>
          <cell r="AF7" t="str">
            <v>DHS</v>
          </cell>
          <cell r="AG7" t="str">
            <v>DHS</v>
          </cell>
          <cell r="AH7" t="str">
            <v>DCFS</v>
          </cell>
          <cell r="AI7" t="str">
            <v>PROBATION</v>
          </cell>
          <cell r="AJ7" t="str">
            <v>DHS/ADPA</v>
          </cell>
          <cell r="AN7" t="str">
            <v>SHERIFF</v>
          </cell>
          <cell r="AO7" t="str">
            <v>PATH</v>
          </cell>
          <cell r="AP7" t="str">
            <v>AB2994</v>
          </cell>
          <cell r="AQ7" t="str">
            <v>AB2034</v>
          </cell>
          <cell r="AR7" t="str">
            <v>SAMHSA</v>
          </cell>
          <cell r="AS7" t="str">
            <v>SAMHSA</v>
          </cell>
          <cell r="AT7" t="str">
            <v xml:space="preserve">SAMHSA </v>
          </cell>
          <cell r="AU7" t="str">
            <v>STATE</v>
          </cell>
          <cell r="AY7" t="str">
            <v>GROSS</v>
          </cell>
          <cell r="AZ7" t="str">
            <v>GROSS DCFS</v>
          </cell>
          <cell r="BA7" t="str">
            <v xml:space="preserve">GROSS </v>
          </cell>
          <cell r="BB7" t="str">
            <v>GROSS</v>
          </cell>
          <cell r="BC7" t="str">
            <v>GROSS</v>
          </cell>
          <cell r="BD7" t="str">
            <v>GROSS</v>
          </cell>
          <cell r="BF7" t="str">
            <v>GROSS</v>
          </cell>
          <cell r="BG7" t="str">
            <v>GROSS</v>
          </cell>
          <cell r="BH7" t="str">
            <v>CO-OCCURING</v>
          </cell>
          <cell r="BI7" t="str">
            <v>GROSS</v>
          </cell>
          <cell r="BJ7" t="str">
            <v>EPSDT &amp;</v>
          </cell>
          <cell r="BK7" t="str">
            <v>GROSS</v>
          </cell>
          <cell r="BL7" t="str">
            <v>GROSS</v>
          </cell>
          <cell r="BM7" t="str">
            <v>GROSS</v>
          </cell>
          <cell r="BN7" t="str">
            <v>GROSS</v>
          </cell>
          <cell r="BO7" t="str">
            <v>GROSS</v>
          </cell>
          <cell r="BP7" t="str">
            <v xml:space="preserve">MHSA-CSS </v>
          </cell>
          <cell r="BX7" t="str">
            <v>TOTAL</v>
          </cell>
          <cell r="CC7" t="str">
            <v>TOTAL</v>
          </cell>
          <cell r="CF7" t="str">
            <v>IT PLAN</v>
          </cell>
          <cell r="CQ7" t="str">
            <v>TOTAL</v>
          </cell>
          <cell r="CR7" t="str">
            <v>BUDGET</v>
          </cell>
        </row>
        <row r="8">
          <cell r="A8" t="str">
            <v>CODE</v>
          </cell>
          <cell r="B8" t="str">
            <v>DIRECTOR</v>
          </cell>
          <cell r="C8" t="str">
            <v>AREA</v>
          </cell>
          <cell r="D8" t="str">
            <v>CODE</v>
          </cell>
          <cell r="E8" t="str">
            <v>DISTRICT</v>
          </cell>
          <cell r="F8" t="str">
            <v>ORGANIZATION NAME</v>
          </cell>
          <cell r="G8" t="str">
            <v>Exh</v>
          </cell>
          <cell r="H8" t="str">
            <v>No.</v>
          </cell>
          <cell r="I8" t="str">
            <v>Name</v>
          </cell>
          <cell r="J8" t="str">
            <v>Dist.</v>
          </cell>
          <cell r="K8" t="str">
            <v>Area</v>
          </cell>
          <cell r="L8" t="str">
            <v>Name</v>
          </cell>
          <cell r="M8" t="str">
            <v>No.</v>
          </cell>
          <cell r="N8" t="str">
            <v>SERVICE</v>
          </cell>
          <cell r="O8" t="str">
            <v>CGF</v>
          </cell>
          <cell r="P8" t="str">
            <v>CGF</v>
          </cell>
          <cell r="Q8" t="str">
            <v>SB90</v>
          </cell>
          <cell r="R8" t="str">
            <v>AB 3632</v>
          </cell>
          <cell r="T8" t="str">
            <v>Residential</v>
          </cell>
          <cell r="U8" t="str">
            <v>BEDS &amp; COLA</v>
          </cell>
          <cell r="V8" t="str">
            <v>CGF</v>
          </cell>
          <cell r="W8" t="str">
            <v xml:space="preserve">Family </v>
          </cell>
          <cell r="X8" t="str">
            <v>AB3632</v>
          </cell>
          <cell r="Y8" t="str">
            <v>STAR</v>
          </cell>
          <cell r="Z8" t="str">
            <v>Multi-Disciplinary</v>
          </cell>
          <cell r="AA8" t="str">
            <v>Multi-Disciplinary</v>
          </cell>
          <cell r="AB8" t="str">
            <v>CALWORKS</v>
          </cell>
          <cell r="AC8" t="str">
            <v>CALWORKS</v>
          </cell>
          <cell r="AD8" t="str">
            <v>CalWORKS</v>
          </cell>
          <cell r="AE8" t="str">
            <v>GROW</v>
          </cell>
          <cell r="AF8" t="str">
            <v>LAMP</v>
          </cell>
          <cell r="AG8" t="str">
            <v xml:space="preserve">Social </v>
          </cell>
          <cell r="AH8" t="str">
            <v>Hillview</v>
          </cell>
          <cell r="AI8" t="str">
            <v>Schiff</v>
          </cell>
          <cell r="AJ8" t="str">
            <v xml:space="preserve">Dual </v>
          </cell>
          <cell r="AL8" t="str">
            <v>DCFS</v>
          </cell>
          <cell r="AM8" t="str">
            <v>OAPP</v>
          </cell>
          <cell r="AN8" t="str">
            <v>DEPT.</v>
          </cell>
          <cell r="AO8" t="str">
            <v>MCKINNEY</v>
          </cell>
          <cell r="AQ8" t="str">
            <v>OTHER</v>
          </cell>
          <cell r="AR8" t="str">
            <v>AB3015</v>
          </cell>
          <cell r="AS8" t="str">
            <v>CHILD</v>
          </cell>
          <cell r="AT8" t="str">
            <v>TARGET</v>
          </cell>
          <cell r="AU8" t="str">
            <v>HIV</v>
          </cell>
          <cell r="AV8" t="str">
            <v>MHSA</v>
          </cell>
          <cell r="AY8" t="str">
            <v>MAA</v>
          </cell>
          <cell r="AZ8" t="str">
            <v>STOP 70% &amp;</v>
          </cell>
          <cell r="BA8" t="str">
            <v>HEALTHY</v>
          </cell>
          <cell r="BB8" t="str">
            <v>NON-EPSDT</v>
          </cell>
          <cell r="BC8" t="str">
            <v>NON-EPSDT</v>
          </cell>
          <cell r="BD8" t="str">
            <v>NON-EPSDT</v>
          </cell>
          <cell r="BE8" t="str">
            <v>EPSDT</v>
          </cell>
          <cell r="BF8" t="str">
            <v>EPSDT</v>
          </cell>
          <cell r="BG8" t="str">
            <v>EPSDT</v>
          </cell>
          <cell r="BH8" t="str">
            <v>DISORDERS</v>
          </cell>
          <cell r="BI8" t="str">
            <v>NON EPSDT</v>
          </cell>
          <cell r="BJ8" t="str">
            <v>NON-EPSDT</v>
          </cell>
          <cell r="BK8" t="str">
            <v>EPSDT FOR</v>
          </cell>
          <cell r="BL8" t="str">
            <v>EPSDT FOR</v>
          </cell>
          <cell r="BM8" t="str">
            <v xml:space="preserve">EPSDT </v>
          </cell>
          <cell r="BN8" t="str">
            <v>EPSDT</v>
          </cell>
          <cell r="BO8" t="str">
            <v>ESPDT</v>
          </cell>
          <cell r="BP8" t="str">
            <v>ON-GOING</v>
          </cell>
          <cell r="BW8" t="str">
            <v>AB2034</v>
          </cell>
          <cell r="BX8" t="str">
            <v>MHSA-CSS</v>
          </cell>
          <cell r="BY8" t="str">
            <v>PEI PLAN</v>
          </cell>
          <cell r="CC8" t="str">
            <v>MHSA-CSS</v>
          </cell>
          <cell r="CH8" t="str">
            <v>Total</v>
          </cell>
          <cell r="CL8" t="str">
            <v xml:space="preserve">      MHSA</v>
          </cell>
          <cell r="CQ8" t="str">
            <v>AMOUNT</v>
          </cell>
          <cell r="CR8" t="str">
            <v>AMOUNT</v>
          </cell>
        </row>
        <row r="9">
          <cell r="G9" t="str">
            <v xml:space="preserve">No. </v>
          </cell>
          <cell r="P9" t="str">
            <v>SHARE OF</v>
          </cell>
          <cell r="Q9" t="str">
            <v>BASELINE</v>
          </cell>
          <cell r="R9" t="str">
            <v xml:space="preserve">State </v>
          </cell>
          <cell r="S9" t="str">
            <v>PES</v>
          </cell>
          <cell r="T9" t="str">
            <v>Program</v>
          </cell>
          <cell r="U9" t="str">
            <v>NCC</v>
          </cell>
          <cell r="W9" t="str">
            <v>Preservation</v>
          </cell>
          <cell r="X9" t="str">
            <v>Family</v>
          </cell>
          <cell r="Y9" t="str">
            <v>VIEW</v>
          </cell>
          <cell r="Z9" t="str">
            <v>Assess Team</v>
          </cell>
          <cell r="AA9" t="str">
            <v>Assess Team</v>
          </cell>
          <cell r="AB9" t="str">
            <v>MH</v>
          </cell>
          <cell r="AC9" t="str">
            <v>HOMELESS</v>
          </cell>
          <cell r="AD9" t="str">
            <v>Demonstration</v>
          </cell>
          <cell r="AG9" t="str">
            <v>Model</v>
          </cell>
          <cell r="AH9" t="str">
            <v>Transitional</v>
          </cell>
          <cell r="AI9" t="str">
            <v>Cardenas</v>
          </cell>
          <cell r="AJ9" t="str">
            <v>Diagnosis</v>
          </cell>
          <cell r="AK9" t="str">
            <v>DCFS</v>
          </cell>
          <cell r="AL9" t="str">
            <v>MEDICAL</v>
          </cell>
          <cell r="AN9" t="str">
            <v>DSO</v>
          </cell>
          <cell r="AQ9" t="str">
            <v>SERVICES</v>
          </cell>
          <cell r="AS9" t="str">
            <v>MH</v>
          </cell>
          <cell r="AT9" t="str">
            <v>CAPACITY</v>
          </cell>
          <cell r="AU9" t="str">
            <v>AIDS***</v>
          </cell>
          <cell r="AV9" t="str">
            <v>PLAN -PLAN</v>
          </cell>
          <cell r="AW9" t="str">
            <v>IDEA</v>
          </cell>
          <cell r="AX9" t="str">
            <v>SB90</v>
          </cell>
          <cell r="AY9" t="str">
            <v>MEDI-CAL</v>
          </cell>
          <cell r="AZ9" t="str">
            <v>DMH-CGF 30%</v>
          </cell>
          <cell r="BA9" t="str">
            <v>FAMILY</v>
          </cell>
          <cell r="BB9" t="str">
            <v>MEDI-CAL</v>
          </cell>
          <cell r="BC9" t="str">
            <v>MEDI-CAL</v>
          </cell>
          <cell r="BD9" t="str">
            <v>MEDI-CAL</v>
          </cell>
          <cell r="BE9" t="str">
            <v>MIOCR (PROB)</v>
          </cell>
          <cell r="BF9" t="str">
            <v>FFT</v>
          </cell>
          <cell r="BG9" t="str">
            <v>MEDI-CAL</v>
          </cell>
          <cell r="BH9" t="str">
            <v>PROBATION</v>
          </cell>
          <cell r="BI9" t="str">
            <v>MEDI-CAL</v>
          </cell>
          <cell r="BJ9" t="str">
            <v>TRI-CITY</v>
          </cell>
          <cell r="BK9" t="str">
            <v>FFS STATE</v>
          </cell>
          <cell r="BL9" t="str">
            <v>SPECIALIZED</v>
          </cell>
          <cell r="BM9" t="str">
            <v>KATIE A.</v>
          </cell>
          <cell r="BN9" t="str">
            <v>WRAPAROUND 3</v>
          </cell>
          <cell r="BO9" t="str">
            <v>MEDI-CAL</v>
          </cell>
          <cell r="BP9" t="str">
            <v>GROSS</v>
          </cell>
          <cell r="BQ9" t="str">
            <v>GROSS</v>
          </cell>
          <cell r="BR9" t="str">
            <v>GROSS</v>
          </cell>
          <cell r="BU9" t="str">
            <v>BACKFILLED FOR</v>
          </cell>
          <cell r="BV9" t="str">
            <v>BACKFILLED M/C</v>
          </cell>
          <cell r="BW9" t="str">
            <v xml:space="preserve">OTHER </v>
          </cell>
          <cell r="BX9" t="str">
            <v>ON-GOING</v>
          </cell>
          <cell r="BY9" t="str">
            <v>GROSS</v>
          </cell>
          <cell r="BZ9" t="str">
            <v>GROSS</v>
          </cell>
          <cell r="CC9" t="str">
            <v>PEI Plan</v>
          </cell>
          <cell r="CD9" t="str">
            <v>GROSS</v>
          </cell>
          <cell r="CE9" t="str">
            <v>GROSS</v>
          </cell>
          <cell r="CH9" t="str">
            <v>IT PLAN</v>
          </cell>
          <cell r="CK9" t="str">
            <v>HEALTHY</v>
          </cell>
          <cell r="CQ9" t="str">
            <v>MHSA</v>
          </cell>
        </row>
        <row r="10">
          <cell r="F10">
            <v>858673900</v>
          </cell>
          <cell r="P10" t="str">
            <v>COST</v>
          </cell>
          <cell r="Q10" t="str">
            <v>CGF FUNDED</v>
          </cell>
          <cell r="R10" t="str">
            <v>Allocation</v>
          </cell>
          <cell r="S10" t="str">
            <v>NCC</v>
          </cell>
          <cell r="T10" t="str">
            <v>Indigent-NCC</v>
          </cell>
          <cell r="X10" t="str">
            <v>Preserv</v>
          </cell>
          <cell r="Z10" t="str">
            <v>(MAT)</v>
          </cell>
          <cell r="AA10" t="str">
            <v>(MAT) CW Katie A</v>
          </cell>
          <cell r="AB10" t="str">
            <v>SERVICES</v>
          </cell>
          <cell r="AD10" t="str">
            <v>Project</v>
          </cell>
          <cell r="AH10" t="str">
            <v>Indep Living</v>
          </cell>
          <cell r="AJ10" t="str">
            <v>(BHS)</v>
          </cell>
          <cell r="AK10" t="str">
            <v>THP</v>
          </cell>
          <cell r="AL10" t="str">
            <v>HUB</v>
          </cell>
          <cell r="AN10" t="str">
            <v>MIOCR III</v>
          </cell>
          <cell r="AS10" t="str">
            <v>INITIATIVE</v>
          </cell>
          <cell r="AT10" t="str">
            <v>EXPANSION</v>
          </cell>
          <cell r="BB10" t="str">
            <v>PES-NCC</v>
          </cell>
          <cell r="BC10" t="str">
            <v>TRP</v>
          </cell>
          <cell r="BD10" t="str">
            <v>MIOCR (SHERIFF)</v>
          </cell>
          <cell r="BE10" t="str">
            <v>MATCH</v>
          </cell>
          <cell r="BF10" t="str">
            <v>(PROB)</v>
          </cell>
          <cell r="BG10" t="str">
            <v>MIOCR (PROB)</v>
          </cell>
          <cell r="BH10" t="str">
            <v>DEPARTMENT</v>
          </cell>
          <cell r="BJ10" t="str">
            <v>MEDI-CAL*</v>
          </cell>
          <cell r="BK10" t="str">
            <v>ALLOCATION</v>
          </cell>
          <cell r="BL10" t="str">
            <v>FOSTER CARE 2</v>
          </cell>
          <cell r="BM10" t="str">
            <v xml:space="preserve">SPEC. FOSTER </v>
          </cell>
          <cell r="BP10" t="str">
            <v xml:space="preserve"> EPSDT</v>
          </cell>
          <cell r="BQ10" t="str">
            <v>NON-EPSDT</v>
          </cell>
          <cell r="BR10" t="str">
            <v>HEALTHY FAMILY</v>
          </cell>
          <cell r="BS10" t="str">
            <v>FLEX</v>
          </cell>
          <cell r="BT10" t="str">
            <v>MHSA</v>
          </cell>
          <cell r="BU10" t="str">
            <v>AB2034</v>
          </cell>
          <cell r="BV10" t="str">
            <v>AB2034</v>
          </cell>
          <cell r="BW10" t="str">
            <v>SERVICES</v>
          </cell>
          <cell r="BY10" t="str">
            <v xml:space="preserve"> EPSDT</v>
          </cell>
          <cell r="BZ10" t="str">
            <v>NON-EPSDT</v>
          </cell>
          <cell r="CA10" t="str">
            <v>FLEX</v>
          </cell>
          <cell r="CB10" t="str">
            <v>MHSA</v>
          </cell>
          <cell r="CD10" t="str">
            <v xml:space="preserve"> EPSDT</v>
          </cell>
          <cell r="CE10" t="str">
            <v>NON-EPSDT</v>
          </cell>
          <cell r="CF10" t="str">
            <v>FLEX</v>
          </cell>
          <cell r="CG10" t="str">
            <v>MHSA</v>
          </cell>
          <cell r="CI10" t="str">
            <v xml:space="preserve"> EPSDT</v>
          </cell>
          <cell r="CJ10" t="str">
            <v>NON-EPSDT</v>
          </cell>
          <cell r="CK10" t="str">
            <v>FAMILIES</v>
          </cell>
          <cell r="CL10" t="str">
            <v>FLEX</v>
          </cell>
          <cell r="CM10" t="str">
            <v>MHSA</v>
          </cell>
          <cell r="CN10" t="str">
            <v>PEI PLAN</v>
          </cell>
          <cell r="CO10" t="str">
            <v>IT PLAN</v>
          </cell>
          <cell r="CQ10" t="str">
            <v>COL. (BU-CB)</v>
          </cell>
          <cell r="CR10" t="str">
            <v>(1 Thru 56)</v>
          </cell>
        </row>
        <row r="11">
          <cell r="A11">
            <v>18616</v>
          </cell>
          <cell r="B11" t="str">
            <v>O. Celis</v>
          </cell>
          <cell r="C11" t="str">
            <v>7 &amp; 8</v>
          </cell>
          <cell r="D11">
            <v>18616</v>
          </cell>
          <cell r="E11">
            <v>5</v>
          </cell>
          <cell r="F11" t="str">
            <v>AURORA CHARTER OAK, LLC</v>
          </cell>
          <cell r="N11">
            <v>0</v>
          </cell>
          <cell r="O11">
            <v>1175300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1744800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1744800</v>
          </cell>
        </row>
        <row r="12">
          <cell r="A12">
            <v>18617</v>
          </cell>
          <cell r="B12" t="str">
            <v>R. Kay</v>
          </cell>
          <cell r="C12">
            <v>3</v>
          </cell>
          <cell r="D12">
            <v>18617</v>
          </cell>
          <cell r="E12">
            <v>1</v>
          </cell>
          <cell r="F12" t="str">
            <v>TRI-CITY MENTAL HEALTH CENTER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3974300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3974300</v>
          </cell>
        </row>
        <row r="13">
          <cell r="A13">
            <v>18618</v>
          </cell>
          <cell r="B13" t="str">
            <v>J. Allen</v>
          </cell>
          <cell r="C13" t="str">
            <v>1,2 &amp; 5</v>
          </cell>
          <cell r="D13">
            <v>18618</v>
          </cell>
          <cell r="E13">
            <v>4</v>
          </cell>
          <cell r="F13" t="str">
            <v>PACIFIC ASIAN COUNSELING SERVICES (FORMELY WRAP)</v>
          </cell>
          <cell r="N13">
            <v>11145</v>
          </cell>
          <cell r="O13">
            <v>340618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31100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350000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31900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512300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1096000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68900</v>
          </cell>
          <cell r="BU13">
            <v>0</v>
          </cell>
          <cell r="BV13">
            <v>0</v>
          </cell>
          <cell r="BW13">
            <v>0</v>
          </cell>
          <cell r="BX13">
            <v>68900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68900</v>
          </cell>
          <cell r="CN13">
            <v>0</v>
          </cell>
          <cell r="CO13">
            <v>0</v>
          </cell>
          <cell r="CP13">
            <v>0</v>
          </cell>
          <cell r="CQ13">
            <v>68900</v>
          </cell>
          <cell r="CR13">
            <v>2090200</v>
          </cell>
        </row>
        <row r="14">
          <cell r="A14">
            <v>18626</v>
          </cell>
          <cell r="B14" t="str">
            <v>O. Celis</v>
          </cell>
          <cell r="C14">
            <v>6</v>
          </cell>
          <cell r="D14">
            <v>18626</v>
          </cell>
          <cell r="E14">
            <v>2</v>
          </cell>
          <cell r="F14" t="str">
            <v>SOUTH CENTRAL HEALTH &amp; REHAB PROGRAM (SCHARP)</v>
          </cell>
          <cell r="N14">
            <v>11531</v>
          </cell>
          <cell r="O14">
            <v>1071040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539100</v>
          </cell>
          <cell r="W14">
            <v>0</v>
          </cell>
          <cell r="X14">
            <v>0</v>
          </cell>
          <cell r="Y14">
            <v>0</v>
          </cell>
          <cell r="Z14">
            <v>54400</v>
          </cell>
          <cell r="AA14">
            <v>0</v>
          </cell>
          <cell r="AB14">
            <v>665000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40000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10000</v>
          </cell>
          <cell r="BA14">
            <v>43400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289300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144000</v>
          </cell>
          <cell r="BO14">
            <v>1588100</v>
          </cell>
          <cell r="BP14">
            <v>0</v>
          </cell>
          <cell r="BQ14">
            <v>2108700</v>
          </cell>
          <cell r="BR14">
            <v>0</v>
          </cell>
          <cell r="BS14">
            <v>606200</v>
          </cell>
          <cell r="BT14">
            <v>492700</v>
          </cell>
          <cell r="BU14">
            <v>0</v>
          </cell>
          <cell r="BV14">
            <v>0</v>
          </cell>
          <cell r="BW14">
            <v>0</v>
          </cell>
          <cell r="BX14">
            <v>3207600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2108700</v>
          </cell>
          <cell r="CK14">
            <v>0</v>
          </cell>
          <cell r="CL14">
            <v>606200</v>
          </cell>
          <cell r="CM14">
            <v>492700</v>
          </cell>
          <cell r="CN14">
            <v>0</v>
          </cell>
          <cell r="CO14">
            <v>0</v>
          </cell>
          <cell r="CP14">
            <v>0</v>
          </cell>
          <cell r="CQ14">
            <v>3207600</v>
          </cell>
          <cell r="CR14">
            <v>6580900</v>
          </cell>
        </row>
        <row r="15">
          <cell r="A15">
            <v>18629</v>
          </cell>
          <cell r="B15" t="str">
            <v>T. Beliz</v>
          </cell>
          <cell r="C15" t="str">
            <v>1,2 &amp; 5</v>
          </cell>
          <cell r="D15">
            <v>18629</v>
          </cell>
          <cell r="E15">
            <v>2</v>
          </cell>
          <cell r="F15" t="str">
            <v xml:space="preserve">EXODUS RECOVERY, INC. </v>
          </cell>
          <cell r="N15">
            <v>499635</v>
          </cell>
          <cell r="O15">
            <v>159951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87400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1081300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11000</v>
          </cell>
          <cell r="BP15">
            <v>108400</v>
          </cell>
          <cell r="BQ15">
            <v>3566800</v>
          </cell>
          <cell r="BR15">
            <v>0</v>
          </cell>
          <cell r="BS15">
            <v>836400</v>
          </cell>
          <cell r="BT15">
            <v>2604100</v>
          </cell>
          <cell r="BU15">
            <v>0</v>
          </cell>
          <cell r="BV15">
            <v>0</v>
          </cell>
          <cell r="BW15">
            <v>0</v>
          </cell>
          <cell r="BX15">
            <v>7115700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108400</v>
          </cell>
          <cell r="CJ15">
            <v>3566800</v>
          </cell>
          <cell r="CK15">
            <v>0</v>
          </cell>
          <cell r="CL15">
            <v>836400</v>
          </cell>
          <cell r="CM15">
            <v>2604100</v>
          </cell>
          <cell r="CN15">
            <v>0</v>
          </cell>
          <cell r="CO15">
            <v>0</v>
          </cell>
          <cell r="CP15">
            <v>0</v>
          </cell>
          <cell r="CQ15">
            <v>7115700</v>
          </cell>
          <cell r="CR15">
            <v>8295400</v>
          </cell>
        </row>
        <row r="16">
          <cell r="A16">
            <v>18631</v>
          </cell>
          <cell r="B16" t="str">
            <v>O. Celis</v>
          </cell>
          <cell r="C16">
            <v>3</v>
          </cell>
          <cell r="D16">
            <v>18631</v>
          </cell>
          <cell r="E16">
            <v>4</v>
          </cell>
          <cell r="F16" t="str">
            <v>STAR VIEW ADOLESCENT CENTER, INC. (PHF)</v>
          </cell>
          <cell r="N16">
            <v>0</v>
          </cell>
          <cell r="O16">
            <v>7734</v>
          </cell>
          <cell r="P16">
            <v>0</v>
          </cell>
          <cell r="Q16">
            <v>0</v>
          </cell>
          <cell r="R16">
            <v>193000</v>
          </cell>
          <cell r="S16">
            <v>0</v>
          </cell>
          <cell r="T16">
            <v>0</v>
          </cell>
          <cell r="U16">
            <v>0</v>
          </cell>
          <cell r="V16">
            <v>115600</v>
          </cell>
          <cell r="W16">
            <v>0</v>
          </cell>
          <cell r="X16">
            <v>0</v>
          </cell>
          <cell r="Y16">
            <v>642000</v>
          </cell>
          <cell r="Z16">
            <v>58300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75000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40000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207200</v>
          </cell>
          <cell r="AY16">
            <v>0</v>
          </cell>
          <cell r="AZ16">
            <v>43600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427842</v>
          </cell>
          <cell r="BG16">
            <v>0</v>
          </cell>
          <cell r="BH16">
            <v>50000</v>
          </cell>
          <cell r="BI16">
            <v>40000</v>
          </cell>
          <cell r="BJ16">
            <v>0</v>
          </cell>
          <cell r="BK16">
            <v>0</v>
          </cell>
          <cell r="BL16">
            <v>1785000</v>
          </cell>
          <cell r="BM16">
            <v>100000</v>
          </cell>
          <cell r="BN16">
            <v>0</v>
          </cell>
          <cell r="BO16">
            <v>18434500</v>
          </cell>
          <cell r="BP16">
            <v>2604000</v>
          </cell>
          <cell r="BQ16">
            <v>336000</v>
          </cell>
          <cell r="BR16">
            <v>0</v>
          </cell>
          <cell r="BS16">
            <v>537100</v>
          </cell>
          <cell r="BT16">
            <v>1124400</v>
          </cell>
          <cell r="BU16">
            <v>0</v>
          </cell>
          <cell r="BV16">
            <v>0</v>
          </cell>
          <cell r="BW16">
            <v>0</v>
          </cell>
          <cell r="BX16">
            <v>4601500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2604000</v>
          </cell>
          <cell r="CJ16">
            <v>336000</v>
          </cell>
          <cell r="CK16">
            <v>0</v>
          </cell>
          <cell r="CL16">
            <v>537100</v>
          </cell>
          <cell r="CM16">
            <v>1124400</v>
          </cell>
          <cell r="CN16">
            <v>0</v>
          </cell>
          <cell r="CO16">
            <v>0</v>
          </cell>
          <cell r="CP16">
            <v>0</v>
          </cell>
          <cell r="CQ16">
            <v>4601500</v>
          </cell>
          <cell r="CR16">
            <v>26813542</v>
          </cell>
        </row>
        <row r="17">
          <cell r="A17">
            <v>18637</v>
          </cell>
          <cell r="B17" t="str">
            <v>O. Celis</v>
          </cell>
          <cell r="C17" t="str">
            <v>7 &amp; 8</v>
          </cell>
          <cell r="D17">
            <v>18637</v>
          </cell>
          <cell r="E17">
            <v>4</v>
          </cell>
          <cell r="F17" t="str">
            <v>PROVIDENCE COMMUNITY SERVICES, LLC. (FORMELY ASPEN)</v>
          </cell>
          <cell r="N17">
            <v>0</v>
          </cell>
          <cell r="O17">
            <v>86749</v>
          </cell>
          <cell r="P17">
            <v>2101</v>
          </cell>
          <cell r="Q17">
            <v>0</v>
          </cell>
          <cell r="R17">
            <v>146700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21000</v>
          </cell>
          <cell r="X17">
            <v>0</v>
          </cell>
          <cell r="Y17">
            <v>0</v>
          </cell>
          <cell r="Z17">
            <v>0</v>
          </cell>
          <cell r="AA17">
            <v>50160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160000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65800</v>
          </cell>
          <cell r="AX17">
            <v>96700</v>
          </cell>
          <cell r="AY17">
            <v>0</v>
          </cell>
          <cell r="AZ17">
            <v>57100</v>
          </cell>
          <cell r="BA17">
            <v>23300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648000</v>
          </cell>
          <cell r="BM17">
            <v>1525640</v>
          </cell>
          <cell r="BN17">
            <v>0</v>
          </cell>
          <cell r="BO17">
            <v>2000000</v>
          </cell>
          <cell r="BP17">
            <v>434000</v>
          </cell>
          <cell r="BQ17">
            <v>70000</v>
          </cell>
          <cell r="BR17">
            <v>30700</v>
          </cell>
          <cell r="BS17">
            <v>103300</v>
          </cell>
          <cell r="BT17">
            <v>204600</v>
          </cell>
          <cell r="BU17">
            <v>0</v>
          </cell>
          <cell r="BV17">
            <v>0</v>
          </cell>
          <cell r="BW17">
            <v>0</v>
          </cell>
          <cell r="BX17">
            <v>842600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434000</v>
          </cell>
          <cell r="CJ17">
            <v>70000</v>
          </cell>
          <cell r="CK17">
            <v>30700</v>
          </cell>
          <cell r="CL17">
            <v>103300</v>
          </cell>
          <cell r="CM17">
            <v>204600</v>
          </cell>
          <cell r="CN17">
            <v>0</v>
          </cell>
          <cell r="CO17">
            <v>0</v>
          </cell>
          <cell r="CP17">
            <v>0</v>
          </cell>
          <cell r="CQ17">
            <v>842600</v>
          </cell>
          <cell r="CR17">
            <v>5637000</v>
          </cell>
        </row>
        <row r="18">
          <cell r="A18">
            <v>18638</v>
          </cell>
          <cell r="B18" t="str">
            <v>O. Celis</v>
          </cell>
          <cell r="C18" t="str">
            <v>7 &amp; 8</v>
          </cell>
          <cell r="D18">
            <v>18638</v>
          </cell>
          <cell r="E18">
            <v>2</v>
          </cell>
          <cell r="F18" t="str">
            <v>SHIELDS FOR FAMILY PROJECT, INC.</v>
          </cell>
          <cell r="N18">
            <v>30536</v>
          </cell>
          <cell r="O18">
            <v>92527</v>
          </cell>
          <cell r="P18">
            <v>633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150000</v>
          </cell>
          <cell r="W18">
            <v>143800</v>
          </cell>
          <cell r="X18">
            <v>0</v>
          </cell>
          <cell r="Y18">
            <v>0</v>
          </cell>
          <cell r="Z18">
            <v>17000</v>
          </cell>
          <cell r="AA18">
            <v>0</v>
          </cell>
          <cell r="AB18">
            <v>272300</v>
          </cell>
          <cell r="AC18">
            <v>290000</v>
          </cell>
          <cell r="AD18">
            <v>0</v>
          </cell>
          <cell r="AE18">
            <v>25000</v>
          </cell>
          <cell r="AF18">
            <v>0</v>
          </cell>
          <cell r="AG18">
            <v>0</v>
          </cell>
          <cell r="AH18">
            <v>0</v>
          </cell>
          <cell r="AI18">
            <v>150000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30000</v>
          </cell>
          <cell r="BA18">
            <v>45200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949864</v>
          </cell>
          <cell r="BG18">
            <v>0</v>
          </cell>
          <cell r="BH18">
            <v>0</v>
          </cell>
          <cell r="BI18">
            <v>293900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5108400</v>
          </cell>
          <cell r="BP18">
            <v>0</v>
          </cell>
          <cell r="BQ18">
            <v>148700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148700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148700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148700</v>
          </cell>
          <cell r="CR18">
            <v>7624164</v>
          </cell>
        </row>
        <row r="19">
          <cell r="A19">
            <v>18663</v>
          </cell>
          <cell r="B19" t="str">
            <v>R. Kay</v>
          </cell>
          <cell r="C19">
            <v>4</v>
          </cell>
          <cell r="D19">
            <v>18663</v>
          </cell>
          <cell r="E19">
            <v>2</v>
          </cell>
          <cell r="F19" t="str">
            <v>CHILDREN'S INSTITUTE INC.</v>
          </cell>
          <cell r="N19">
            <v>0</v>
          </cell>
          <cell r="O19">
            <v>3690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122300</v>
          </cell>
          <cell r="X19">
            <v>0</v>
          </cell>
          <cell r="Y19">
            <v>0</v>
          </cell>
          <cell r="Z19">
            <v>82000</v>
          </cell>
          <cell r="AA19">
            <v>0</v>
          </cell>
          <cell r="AB19">
            <v>150000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1115600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173300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67700</v>
          </cell>
          <cell r="BJ19">
            <v>0</v>
          </cell>
          <cell r="BK19">
            <v>0</v>
          </cell>
          <cell r="BL19">
            <v>2185000</v>
          </cell>
          <cell r="BM19">
            <v>100000</v>
          </cell>
          <cell r="BN19">
            <v>144000</v>
          </cell>
          <cell r="BO19">
            <v>9065800</v>
          </cell>
          <cell r="BP19">
            <v>1498000</v>
          </cell>
          <cell r="BQ19">
            <v>0</v>
          </cell>
          <cell r="BR19">
            <v>104400</v>
          </cell>
          <cell r="BS19">
            <v>80000</v>
          </cell>
          <cell r="BT19">
            <v>452600</v>
          </cell>
          <cell r="BU19">
            <v>0</v>
          </cell>
          <cell r="BV19">
            <v>0</v>
          </cell>
          <cell r="BW19">
            <v>0</v>
          </cell>
          <cell r="BX19">
            <v>2135000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1498000</v>
          </cell>
          <cell r="CJ19">
            <v>0</v>
          </cell>
          <cell r="CK19">
            <v>104400</v>
          </cell>
          <cell r="CL19">
            <v>80000</v>
          </cell>
          <cell r="CM19">
            <v>452600</v>
          </cell>
          <cell r="CN19">
            <v>0</v>
          </cell>
          <cell r="CO19">
            <v>0</v>
          </cell>
          <cell r="CP19">
            <v>0</v>
          </cell>
          <cell r="CQ19">
            <v>2135000</v>
          </cell>
          <cell r="CR19">
            <v>15340700</v>
          </cell>
        </row>
        <row r="20">
          <cell r="A20">
            <v>18664</v>
          </cell>
          <cell r="B20" t="str">
            <v>T. Beliz</v>
          </cell>
          <cell r="C20">
            <v>3</v>
          </cell>
          <cell r="D20">
            <v>18664</v>
          </cell>
          <cell r="E20">
            <v>1</v>
          </cell>
          <cell r="F20" t="str">
            <v>OLIVE CREST TREATMENT CENTERS, INC.</v>
          </cell>
          <cell r="N20">
            <v>0</v>
          </cell>
          <cell r="O20">
            <v>74768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58000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2500</v>
          </cell>
          <cell r="BJ20">
            <v>0</v>
          </cell>
          <cell r="BK20">
            <v>0</v>
          </cell>
          <cell r="BL20">
            <v>480000</v>
          </cell>
          <cell r="BM20">
            <v>0</v>
          </cell>
          <cell r="BN20">
            <v>204000</v>
          </cell>
          <cell r="BO20">
            <v>951000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1695500</v>
          </cell>
        </row>
        <row r="21">
          <cell r="A21">
            <v>18665</v>
          </cell>
          <cell r="B21" t="str">
            <v>O. Celis</v>
          </cell>
          <cell r="C21">
            <v>3</v>
          </cell>
          <cell r="D21">
            <v>18665</v>
          </cell>
          <cell r="E21">
            <v>5</v>
          </cell>
          <cell r="F21" t="str">
            <v xml:space="preserve">SAN GABRIEL CHILDREN'S CTR, INC. (RESEARCH &amp; TREATMENT </v>
          </cell>
          <cell r="N21">
            <v>0</v>
          </cell>
          <cell r="O21">
            <v>81420</v>
          </cell>
          <cell r="P21">
            <v>0</v>
          </cell>
          <cell r="Q21">
            <v>0</v>
          </cell>
          <cell r="R21">
            <v>237000</v>
          </cell>
          <cell r="S21">
            <v>0</v>
          </cell>
          <cell r="T21">
            <v>0</v>
          </cell>
          <cell r="U21">
            <v>0</v>
          </cell>
          <cell r="V21">
            <v>56200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187000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144000</v>
          </cell>
          <cell r="BO21">
            <v>1855000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2479200</v>
          </cell>
        </row>
        <row r="22">
          <cell r="A22">
            <v>18675</v>
          </cell>
          <cell r="B22" t="str">
            <v>R. Kay</v>
          </cell>
          <cell r="C22">
            <v>3</v>
          </cell>
          <cell r="D22">
            <v>18675</v>
          </cell>
          <cell r="E22">
            <v>5</v>
          </cell>
          <cell r="F22" t="str">
            <v>FIVE ACRES - THE BOYS &amp; GIRLS AID SOCIETY OF LA COUNTY</v>
          </cell>
          <cell r="N22">
            <v>0</v>
          </cell>
          <cell r="O22">
            <v>1</v>
          </cell>
          <cell r="P22">
            <v>0</v>
          </cell>
          <cell r="Q22">
            <v>0</v>
          </cell>
          <cell r="R22">
            <v>150000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21900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2000</v>
          </cell>
          <cell r="BJ22">
            <v>0</v>
          </cell>
          <cell r="BK22">
            <v>0</v>
          </cell>
          <cell r="BL22">
            <v>480000</v>
          </cell>
          <cell r="BM22">
            <v>0</v>
          </cell>
          <cell r="BN22">
            <v>432000</v>
          </cell>
          <cell r="BO22">
            <v>10080100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11166000</v>
          </cell>
        </row>
        <row r="23">
          <cell r="A23">
            <v>18681</v>
          </cell>
          <cell r="B23" t="str">
            <v>R. Kay</v>
          </cell>
          <cell r="C23">
            <v>4</v>
          </cell>
          <cell r="D23">
            <v>18681</v>
          </cell>
          <cell r="E23">
            <v>2</v>
          </cell>
          <cell r="F23" t="str">
            <v>CHILDREN'S BUREAU OF SOUTHERN CALIFORNIA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60000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400000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100500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201700</v>
          </cell>
          <cell r="BJ23">
            <v>0</v>
          </cell>
          <cell r="BK23">
            <v>0</v>
          </cell>
          <cell r="BL23">
            <v>348000</v>
          </cell>
          <cell r="BM23">
            <v>240000</v>
          </cell>
          <cell r="BN23">
            <v>0</v>
          </cell>
          <cell r="BO23">
            <v>7315500</v>
          </cell>
          <cell r="BP23">
            <v>0</v>
          </cell>
          <cell r="BQ23">
            <v>62900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62900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62900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62900</v>
          </cell>
          <cell r="CR23">
            <v>8728600</v>
          </cell>
        </row>
        <row r="24">
          <cell r="A24">
            <v>18701</v>
          </cell>
          <cell r="B24" t="str">
            <v>R. Kay</v>
          </cell>
          <cell r="C24">
            <v>3</v>
          </cell>
          <cell r="D24">
            <v>18701</v>
          </cell>
          <cell r="E24">
            <v>5</v>
          </cell>
          <cell r="F24" t="str">
            <v>FOOTHILL FAMILY SERVICE</v>
          </cell>
          <cell r="N24">
            <v>0</v>
          </cell>
          <cell r="O24">
            <v>4176</v>
          </cell>
          <cell r="P24">
            <v>0</v>
          </cell>
          <cell r="Q24">
            <v>0</v>
          </cell>
          <cell r="R24">
            <v>150000</v>
          </cell>
          <cell r="S24">
            <v>0</v>
          </cell>
          <cell r="T24">
            <v>0</v>
          </cell>
          <cell r="U24">
            <v>0</v>
          </cell>
          <cell r="V24">
            <v>3100</v>
          </cell>
          <cell r="W24">
            <v>0</v>
          </cell>
          <cell r="X24">
            <v>0</v>
          </cell>
          <cell r="Y24">
            <v>0</v>
          </cell>
          <cell r="Z24">
            <v>50400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80000</v>
          </cell>
          <cell r="AY24">
            <v>0</v>
          </cell>
          <cell r="AZ24">
            <v>0</v>
          </cell>
          <cell r="BA24">
            <v>343100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1900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7275300</v>
          </cell>
          <cell r="BP24">
            <v>700000</v>
          </cell>
          <cell r="BQ24">
            <v>0</v>
          </cell>
          <cell r="BR24">
            <v>137900</v>
          </cell>
          <cell r="BS24">
            <v>39000</v>
          </cell>
          <cell r="BT24">
            <v>216000</v>
          </cell>
          <cell r="BU24">
            <v>0</v>
          </cell>
          <cell r="BV24">
            <v>0</v>
          </cell>
          <cell r="BW24">
            <v>0</v>
          </cell>
          <cell r="BX24">
            <v>1092900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700000</v>
          </cell>
          <cell r="CJ24">
            <v>0</v>
          </cell>
          <cell r="CK24">
            <v>137900</v>
          </cell>
          <cell r="CL24">
            <v>39000</v>
          </cell>
          <cell r="CM24">
            <v>216000</v>
          </cell>
          <cell r="CN24">
            <v>0</v>
          </cell>
          <cell r="CO24">
            <v>0</v>
          </cell>
          <cell r="CP24">
            <v>0</v>
          </cell>
          <cell r="CQ24">
            <v>1092900</v>
          </cell>
          <cell r="CR24">
            <v>8996700</v>
          </cell>
        </row>
        <row r="25">
          <cell r="A25">
            <v>20466</v>
          </cell>
          <cell r="B25" t="str">
            <v>O. Celis</v>
          </cell>
          <cell r="C25" t="str">
            <v>7 &amp; 8</v>
          </cell>
          <cell r="D25">
            <v>20466</v>
          </cell>
          <cell r="E25">
            <v>2</v>
          </cell>
          <cell r="F25" t="str">
            <v xml:space="preserve">BARBOUR AND FLOYD MEDICAL ASSOCIATES </v>
          </cell>
          <cell r="N25">
            <v>109606</v>
          </cell>
          <cell r="O25">
            <v>795364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57600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1583600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200</v>
          </cell>
          <cell r="BP25">
            <v>0</v>
          </cell>
          <cell r="BQ25">
            <v>320000</v>
          </cell>
          <cell r="BR25">
            <v>0</v>
          </cell>
          <cell r="BS25">
            <v>0</v>
          </cell>
          <cell r="BT25">
            <v>36200</v>
          </cell>
          <cell r="BU25">
            <v>0</v>
          </cell>
          <cell r="BV25">
            <v>0</v>
          </cell>
          <cell r="BW25">
            <v>0</v>
          </cell>
          <cell r="BX25">
            <v>356200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320000</v>
          </cell>
          <cell r="CK25">
            <v>0</v>
          </cell>
          <cell r="CL25">
            <v>0</v>
          </cell>
          <cell r="CM25">
            <v>36200</v>
          </cell>
          <cell r="CN25">
            <v>0</v>
          </cell>
          <cell r="CO25">
            <v>0</v>
          </cell>
          <cell r="CP25">
            <v>0</v>
          </cell>
          <cell r="CQ25">
            <v>356200</v>
          </cell>
          <cell r="CR25">
            <v>1997600</v>
          </cell>
        </row>
        <row r="26">
          <cell r="A26">
            <v>20470</v>
          </cell>
          <cell r="B26" t="str">
            <v>O. Celis</v>
          </cell>
          <cell r="C26">
            <v>3</v>
          </cell>
          <cell r="D26">
            <v>20470</v>
          </cell>
          <cell r="E26">
            <v>1</v>
          </cell>
          <cell r="F26" t="str">
            <v>LOS ANGELES UNIFIED SCHOOL DISTRICT (97TH SCHOOL)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200000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6800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213500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125600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2164600</v>
          </cell>
          <cell r="BP26">
            <v>0</v>
          </cell>
          <cell r="BQ26">
            <v>0</v>
          </cell>
          <cell r="BR26">
            <v>90800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90800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90800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90800</v>
          </cell>
          <cell r="CR26">
            <v>2801300</v>
          </cell>
        </row>
        <row r="27">
          <cell r="A27">
            <v>20486</v>
          </cell>
          <cell r="B27" t="str">
            <v>R. Kay</v>
          </cell>
          <cell r="C27">
            <v>4</v>
          </cell>
          <cell r="D27">
            <v>20486</v>
          </cell>
          <cell r="E27">
            <v>3</v>
          </cell>
          <cell r="F27" t="str">
            <v>HAMBURGER HOME (dba AVIVA CENTER)</v>
          </cell>
          <cell r="N27">
            <v>0</v>
          </cell>
          <cell r="O27">
            <v>75735</v>
          </cell>
          <cell r="P27">
            <v>0</v>
          </cell>
          <cell r="Q27">
            <v>0</v>
          </cell>
          <cell r="R27">
            <v>90400</v>
          </cell>
          <cell r="S27">
            <v>0</v>
          </cell>
          <cell r="T27">
            <v>0</v>
          </cell>
          <cell r="U27">
            <v>0</v>
          </cell>
          <cell r="V27">
            <v>12100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75000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40400</v>
          </cell>
          <cell r="AY27">
            <v>0</v>
          </cell>
          <cell r="AZ27">
            <v>46300</v>
          </cell>
          <cell r="BA27">
            <v>127700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50000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5459200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5901100</v>
          </cell>
        </row>
        <row r="28">
          <cell r="A28">
            <v>20906</v>
          </cell>
          <cell r="B28" t="str">
            <v>O. Celis</v>
          </cell>
          <cell r="C28">
            <v>4</v>
          </cell>
          <cell r="D28">
            <v>20906</v>
          </cell>
          <cell r="E28">
            <v>1</v>
          </cell>
          <cell r="F28" t="str">
            <v>INTERCOMMUNITY CHILD GUIDANCE CTR</v>
          </cell>
          <cell r="N28">
            <v>0</v>
          </cell>
          <cell r="O28">
            <v>506624</v>
          </cell>
          <cell r="P28">
            <v>0</v>
          </cell>
          <cell r="Q28">
            <v>0</v>
          </cell>
          <cell r="R28">
            <v>149400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0</v>
          </cell>
          <cell r="Y28">
            <v>0</v>
          </cell>
          <cell r="Z28">
            <v>0</v>
          </cell>
          <cell r="AA28">
            <v>50160</v>
          </cell>
          <cell r="AB28">
            <v>200000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163300</v>
          </cell>
          <cell r="AX28">
            <v>199400</v>
          </cell>
          <cell r="AY28">
            <v>0</v>
          </cell>
          <cell r="AZ28">
            <v>0</v>
          </cell>
          <cell r="BA28">
            <v>300600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24600</v>
          </cell>
          <cell r="BJ28">
            <v>0</v>
          </cell>
          <cell r="BK28">
            <v>0</v>
          </cell>
          <cell r="BL28">
            <v>348000</v>
          </cell>
          <cell r="BM28">
            <v>200640</v>
          </cell>
          <cell r="BN28">
            <v>0</v>
          </cell>
          <cell r="BO28">
            <v>2851100</v>
          </cell>
          <cell r="BP28">
            <v>280000</v>
          </cell>
          <cell r="BQ28">
            <v>0</v>
          </cell>
          <cell r="BR28">
            <v>0</v>
          </cell>
          <cell r="BS28">
            <v>17900</v>
          </cell>
          <cell r="BT28">
            <v>100000</v>
          </cell>
          <cell r="BU28">
            <v>0</v>
          </cell>
          <cell r="BV28">
            <v>0</v>
          </cell>
          <cell r="BW28">
            <v>0</v>
          </cell>
          <cell r="BX28">
            <v>397900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280000</v>
          </cell>
          <cell r="CJ28">
            <v>0</v>
          </cell>
          <cell r="CK28">
            <v>0</v>
          </cell>
          <cell r="CL28">
            <v>17900</v>
          </cell>
          <cell r="CM28">
            <v>100000</v>
          </cell>
          <cell r="CN28">
            <v>0</v>
          </cell>
          <cell r="CO28">
            <v>0</v>
          </cell>
          <cell r="CP28">
            <v>0</v>
          </cell>
          <cell r="CQ28">
            <v>397900</v>
          </cell>
          <cell r="CR28">
            <v>4958600</v>
          </cell>
        </row>
        <row r="29">
          <cell r="A29">
            <v>20961</v>
          </cell>
          <cell r="B29" t="str">
            <v>O. Celis</v>
          </cell>
          <cell r="C29">
            <v>3</v>
          </cell>
          <cell r="D29">
            <v>20961</v>
          </cell>
          <cell r="E29">
            <v>4</v>
          </cell>
          <cell r="F29" t="str">
            <v>SUNBRIDGE HARBOR VIEW REHAB CTR, INC. (FORMELY HARBOR VIEW)</v>
          </cell>
          <cell r="N29">
            <v>0</v>
          </cell>
          <cell r="O29">
            <v>433826</v>
          </cell>
          <cell r="P29">
            <v>0</v>
          </cell>
          <cell r="Q29">
            <v>0</v>
          </cell>
          <cell r="R29">
            <v>100000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50200</v>
          </cell>
          <cell r="AX29">
            <v>0</v>
          </cell>
          <cell r="AY29">
            <v>0</v>
          </cell>
          <cell r="AZ29">
            <v>0</v>
          </cell>
          <cell r="BA29">
            <v>11600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4130000</v>
          </cell>
          <cell r="BP29">
            <v>616000</v>
          </cell>
          <cell r="BQ29">
            <v>0</v>
          </cell>
          <cell r="BR29">
            <v>14000</v>
          </cell>
          <cell r="BS29">
            <v>32500</v>
          </cell>
          <cell r="BT29">
            <v>180000</v>
          </cell>
          <cell r="BU29">
            <v>0</v>
          </cell>
          <cell r="BV29">
            <v>0</v>
          </cell>
          <cell r="BW29">
            <v>0</v>
          </cell>
          <cell r="BX29">
            <v>842500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616000</v>
          </cell>
          <cell r="CJ29">
            <v>0</v>
          </cell>
          <cell r="CK29">
            <v>14000</v>
          </cell>
          <cell r="CL29">
            <v>32500</v>
          </cell>
          <cell r="CM29">
            <v>180000</v>
          </cell>
          <cell r="CN29">
            <v>0</v>
          </cell>
          <cell r="CO29">
            <v>0</v>
          </cell>
          <cell r="CP29">
            <v>0</v>
          </cell>
          <cell r="CQ29">
            <v>842500</v>
          </cell>
          <cell r="CR29">
            <v>5134300</v>
          </cell>
        </row>
        <row r="30">
          <cell r="A30">
            <v>20966</v>
          </cell>
          <cell r="B30" t="str">
            <v>T. Beliz</v>
          </cell>
          <cell r="C30" t="str">
            <v>ADJH</v>
          </cell>
          <cell r="D30">
            <v>20966</v>
          </cell>
          <cell r="E30">
            <v>4</v>
          </cell>
          <cell r="F30" t="str">
            <v>HOMES FOR LIFE FOUNDATION</v>
          </cell>
          <cell r="N30">
            <v>0</v>
          </cell>
          <cell r="O30">
            <v>268295</v>
          </cell>
          <cell r="P30">
            <v>0</v>
          </cell>
          <cell r="Q30">
            <v>0</v>
          </cell>
          <cell r="R30">
            <v>0</v>
          </cell>
          <cell r="S30">
            <v>160000</v>
          </cell>
          <cell r="T30">
            <v>0</v>
          </cell>
          <cell r="U30">
            <v>0</v>
          </cell>
          <cell r="V30">
            <v>694900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259500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251500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274700</v>
          </cell>
          <cell r="BP30">
            <v>0</v>
          </cell>
          <cell r="BQ30">
            <v>88000</v>
          </cell>
          <cell r="BR30">
            <v>0</v>
          </cell>
          <cell r="BS30">
            <v>0</v>
          </cell>
          <cell r="BT30">
            <v>6200</v>
          </cell>
          <cell r="BU30">
            <v>0</v>
          </cell>
          <cell r="BV30">
            <v>0</v>
          </cell>
          <cell r="BW30">
            <v>0</v>
          </cell>
          <cell r="BX30">
            <v>94200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88000</v>
          </cell>
          <cell r="CK30">
            <v>0</v>
          </cell>
          <cell r="CL30">
            <v>0</v>
          </cell>
          <cell r="CM30">
            <v>6200</v>
          </cell>
          <cell r="CN30">
            <v>0</v>
          </cell>
          <cell r="CO30">
            <v>0</v>
          </cell>
          <cell r="CP30">
            <v>0</v>
          </cell>
          <cell r="CQ30">
            <v>94200</v>
          </cell>
          <cell r="CR30">
            <v>1734800</v>
          </cell>
        </row>
        <row r="31">
          <cell r="A31">
            <v>21526</v>
          </cell>
          <cell r="B31" t="str">
            <v>J. Allen</v>
          </cell>
          <cell r="C31">
            <v>4</v>
          </cell>
          <cell r="D31">
            <v>21526</v>
          </cell>
          <cell r="E31">
            <v>1</v>
          </cell>
          <cell r="F31" t="str">
            <v>ASC TREATMENT GROUP DBA THE ANNE SIPPI CLINIC</v>
          </cell>
          <cell r="N31">
            <v>0</v>
          </cell>
          <cell r="O31">
            <v>420278</v>
          </cell>
          <cell r="P31">
            <v>0</v>
          </cell>
          <cell r="Q31">
            <v>0</v>
          </cell>
          <cell r="R31">
            <v>0</v>
          </cell>
          <cell r="S31">
            <v>96300</v>
          </cell>
          <cell r="T31">
            <v>0</v>
          </cell>
          <cell r="U31">
            <v>0</v>
          </cell>
          <cell r="V31">
            <v>36300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468000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742400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26800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1369800</v>
          </cell>
        </row>
        <row r="32">
          <cell r="A32">
            <v>21527</v>
          </cell>
          <cell r="B32" t="str">
            <v>R. Kay</v>
          </cell>
          <cell r="C32" t="str">
            <v>7 &amp; 8</v>
          </cell>
          <cell r="D32">
            <v>21527</v>
          </cell>
          <cell r="E32">
            <v>4</v>
          </cell>
          <cell r="F32" t="str">
            <v>COLLEGE HOSPITAL - CERRITOS</v>
          </cell>
          <cell r="N32">
            <v>0</v>
          </cell>
          <cell r="O32">
            <v>930750</v>
          </cell>
          <cell r="P32">
            <v>0</v>
          </cell>
          <cell r="Q32">
            <v>0</v>
          </cell>
          <cell r="R32">
            <v>0</v>
          </cell>
          <cell r="S32">
            <v>409000</v>
          </cell>
          <cell r="T32">
            <v>0</v>
          </cell>
          <cell r="U32">
            <v>0</v>
          </cell>
          <cell r="V32">
            <v>907400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1316400</v>
          </cell>
        </row>
        <row r="33">
          <cell r="A33">
            <v>21528</v>
          </cell>
          <cell r="B33" t="str">
            <v>R. Kay</v>
          </cell>
          <cell r="C33" t="str">
            <v>1,2 &amp; 5</v>
          </cell>
          <cell r="D33">
            <v>21528</v>
          </cell>
          <cell r="E33">
            <v>5</v>
          </cell>
          <cell r="F33" t="str">
            <v>TOPANGA-ROSCOE CORP (TOPANGA WEST GUEST HOME)</v>
          </cell>
          <cell r="N33">
            <v>0</v>
          </cell>
          <cell r="O33">
            <v>296274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6500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446900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4400</v>
          </cell>
          <cell r="BR33">
            <v>0</v>
          </cell>
          <cell r="BS33">
            <v>0</v>
          </cell>
          <cell r="BT33">
            <v>50900</v>
          </cell>
          <cell r="BU33">
            <v>0</v>
          </cell>
          <cell r="BV33">
            <v>0</v>
          </cell>
          <cell r="BW33">
            <v>0</v>
          </cell>
          <cell r="BX33">
            <v>55300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4400</v>
          </cell>
          <cell r="CK33">
            <v>0</v>
          </cell>
          <cell r="CL33">
            <v>0</v>
          </cell>
          <cell r="CM33">
            <v>50900</v>
          </cell>
          <cell r="CN33">
            <v>0</v>
          </cell>
          <cell r="CO33">
            <v>0</v>
          </cell>
          <cell r="CP33">
            <v>0</v>
          </cell>
          <cell r="CQ33">
            <v>55300</v>
          </cell>
          <cell r="CR33">
            <v>508700</v>
          </cell>
        </row>
        <row r="34">
          <cell r="A34">
            <v>21568</v>
          </cell>
          <cell r="B34" t="str">
            <v>O. Celis</v>
          </cell>
          <cell r="C34">
            <v>6</v>
          </cell>
          <cell r="D34">
            <v>21568</v>
          </cell>
          <cell r="E34">
            <v>2</v>
          </cell>
          <cell r="F34" t="str">
            <v>ST. FRANCIS MEDICAL CENTER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28400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10000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2000400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2038800</v>
          </cell>
        </row>
        <row r="35">
          <cell r="A35">
            <v>21569</v>
          </cell>
          <cell r="B35" t="str">
            <v>O. Celis</v>
          </cell>
          <cell r="C35">
            <v>4</v>
          </cell>
          <cell r="D35">
            <v>21569</v>
          </cell>
          <cell r="E35">
            <v>1</v>
          </cell>
          <cell r="F35" t="str">
            <v>OPTIMIST BOYS' HOME &amp; RANCH INC.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75000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28600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50000</v>
          </cell>
          <cell r="BI35">
            <v>13000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4618400</v>
          </cell>
          <cell r="BP35">
            <v>308000</v>
          </cell>
          <cell r="BQ35">
            <v>0</v>
          </cell>
          <cell r="BR35">
            <v>0</v>
          </cell>
          <cell r="BS35">
            <v>16300</v>
          </cell>
          <cell r="BT35">
            <v>97000</v>
          </cell>
          <cell r="BU35">
            <v>0</v>
          </cell>
          <cell r="BV35">
            <v>0</v>
          </cell>
          <cell r="BW35">
            <v>0</v>
          </cell>
          <cell r="BX35">
            <v>421300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308000</v>
          </cell>
          <cell r="CJ35">
            <v>0</v>
          </cell>
          <cell r="CK35">
            <v>0</v>
          </cell>
          <cell r="CL35">
            <v>16300</v>
          </cell>
          <cell r="CM35">
            <v>97000</v>
          </cell>
          <cell r="CN35">
            <v>0</v>
          </cell>
          <cell r="CO35">
            <v>0</v>
          </cell>
          <cell r="CP35">
            <v>0</v>
          </cell>
          <cell r="CQ35">
            <v>421300</v>
          </cell>
          <cell r="CR35">
            <v>5206300</v>
          </cell>
        </row>
        <row r="36">
          <cell r="A36">
            <v>21570</v>
          </cell>
          <cell r="B36" t="str">
            <v>T. Beliz</v>
          </cell>
          <cell r="C36" t="str">
            <v>7 &amp; 8</v>
          </cell>
          <cell r="D36">
            <v>21570</v>
          </cell>
          <cell r="E36">
            <v>4</v>
          </cell>
          <cell r="F36" t="str">
            <v>COUNSELING &amp; RESEARCH ASSO. INC., (dba MASADA HOMES)</v>
          </cell>
          <cell r="N36">
            <v>0</v>
          </cell>
          <cell r="O36">
            <v>75001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24900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75000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57100</v>
          </cell>
          <cell r="BA36">
            <v>52800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10000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6887700</v>
          </cell>
          <cell r="BP36">
            <v>714000</v>
          </cell>
          <cell r="BQ36">
            <v>42000</v>
          </cell>
          <cell r="BR36">
            <v>14000</v>
          </cell>
          <cell r="BS36">
            <v>85500</v>
          </cell>
          <cell r="BT36">
            <v>250000</v>
          </cell>
          <cell r="BU36">
            <v>0</v>
          </cell>
          <cell r="BV36">
            <v>0</v>
          </cell>
          <cell r="BW36">
            <v>0</v>
          </cell>
          <cell r="BX36">
            <v>1105500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714000</v>
          </cell>
          <cell r="CJ36">
            <v>42000</v>
          </cell>
          <cell r="CK36">
            <v>14000</v>
          </cell>
          <cell r="CL36">
            <v>85500</v>
          </cell>
          <cell r="CM36">
            <v>250000</v>
          </cell>
          <cell r="CN36">
            <v>0</v>
          </cell>
          <cell r="CO36">
            <v>0</v>
          </cell>
          <cell r="CP36">
            <v>0</v>
          </cell>
          <cell r="CQ36">
            <v>1105500</v>
          </cell>
          <cell r="CR36">
            <v>8213000</v>
          </cell>
        </row>
        <row r="37">
          <cell r="A37">
            <v>21571</v>
          </cell>
          <cell r="B37" t="str">
            <v>T. Beliz</v>
          </cell>
          <cell r="C37">
            <v>3</v>
          </cell>
          <cell r="D37">
            <v>21571</v>
          </cell>
          <cell r="E37" t="str">
            <v>N/A</v>
          </cell>
          <cell r="F37" t="str">
            <v>EASTFIELD MING QUONG, INC. (FORMELY LA ORPHANS) Hollygrove/EMQ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</row>
        <row r="38">
          <cell r="A38">
            <v>21573</v>
          </cell>
          <cell r="B38" t="str">
            <v>J. Allen</v>
          </cell>
          <cell r="C38">
            <v>3</v>
          </cell>
          <cell r="D38">
            <v>21573</v>
          </cell>
          <cell r="E38">
            <v>3</v>
          </cell>
          <cell r="F38" t="str">
            <v>PHOENIX HOUSES OF LOS ANGELES, INC.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8700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11900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1849000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1869600</v>
          </cell>
        </row>
        <row r="39">
          <cell r="A39">
            <v>21574</v>
          </cell>
          <cell r="B39" t="str">
            <v>T. Beliz</v>
          </cell>
          <cell r="C39">
            <v>3</v>
          </cell>
          <cell r="D39">
            <v>21574</v>
          </cell>
          <cell r="E39">
            <v>5</v>
          </cell>
          <cell r="F39" t="str">
            <v>D' VEAL CORP. (dva D'VEAL FAMILY AND YOUTH SVCS)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140000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75000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35700</v>
          </cell>
          <cell r="BA39">
            <v>75000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2000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5089700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5417400</v>
          </cell>
        </row>
        <row r="40">
          <cell r="A40">
            <v>21575</v>
          </cell>
          <cell r="B40" t="str">
            <v>R. Kay</v>
          </cell>
          <cell r="C40" t="str">
            <v>7 &amp; 8</v>
          </cell>
          <cell r="D40">
            <v>21575</v>
          </cell>
          <cell r="E40">
            <v>4</v>
          </cell>
          <cell r="F40" t="str">
            <v>CHILDNET YOUTH &amp; FAMILY SERVICES, INC.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19600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15300</v>
          </cell>
          <cell r="BJ40">
            <v>0</v>
          </cell>
          <cell r="BK40">
            <v>0</v>
          </cell>
          <cell r="BL40">
            <v>480000</v>
          </cell>
          <cell r="BM40">
            <v>0</v>
          </cell>
          <cell r="BN40">
            <v>144000</v>
          </cell>
          <cell r="BO40">
            <v>7414000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8072900</v>
          </cell>
        </row>
        <row r="41">
          <cell r="A41">
            <v>23100</v>
          </cell>
          <cell r="B41" t="str">
            <v>J. Allen</v>
          </cell>
          <cell r="C41">
            <v>4</v>
          </cell>
          <cell r="D41">
            <v>23100</v>
          </cell>
          <cell r="E41">
            <v>2</v>
          </cell>
          <cell r="F41" t="str">
            <v>AIDS PROJECT LOS ANGELES, INC.</v>
          </cell>
          <cell r="N41">
            <v>0</v>
          </cell>
          <cell r="O41">
            <v>89375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70800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70800</v>
          </cell>
        </row>
        <row r="42">
          <cell r="A42">
            <v>23101</v>
          </cell>
          <cell r="B42" t="str">
            <v>T. Beliz</v>
          </cell>
          <cell r="C42" t="str">
            <v>1,2 &amp; 5</v>
          </cell>
          <cell r="D42">
            <v>23101</v>
          </cell>
          <cell r="E42">
            <v>2</v>
          </cell>
          <cell r="F42" t="str">
            <v>EXCEPTIONAL CHILDREN'S FOUNDATION</v>
          </cell>
          <cell r="N42">
            <v>0</v>
          </cell>
          <cell r="O42">
            <v>196717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5000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806000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811000</v>
          </cell>
        </row>
        <row r="43">
          <cell r="A43">
            <v>23103</v>
          </cell>
          <cell r="B43" t="str">
            <v>O. Celis</v>
          </cell>
          <cell r="C43">
            <v>4</v>
          </cell>
          <cell r="D43">
            <v>23103</v>
          </cell>
          <cell r="E43">
            <v>1</v>
          </cell>
          <cell r="F43" t="str">
            <v>ASSOC. LEAGUE OF MEXICAN AMERICAN DBA ALMA FAMILY SVCS</v>
          </cell>
          <cell r="N43">
            <v>10450</v>
          </cell>
          <cell r="O43">
            <v>521316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163600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50160</v>
          </cell>
          <cell r="AB43">
            <v>517200</v>
          </cell>
          <cell r="AC43">
            <v>0</v>
          </cell>
          <cell r="AD43">
            <v>0</v>
          </cell>
          <cell r="AE43">
            <v>25000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50000</v>
          </cell>
          <cell r="BA43">
            <v>17700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50000</v>
          </cell>
          <cell r="BI43">
            <v>1032500</v>
          </cell>
          <cell r="BJ43">
            <v>0</v>
          </cell>
          <cell r="BK43">
            <v>0</v>
          </cell>
          <cell r="BL43">
            <v>0</v>
          </cell>
          <cell r="BM43">
            <v>200640</v>
          </cell>
          <cell r="BN43">
            <v>0</v>
          </cell>
          <cell r="BO43">
            <v>3274800</v>
          </cell>
          <cell r="BP43">
            <v>420000</v>
          </cell>
          <cell r="BQ43">
            <v>56000</v>
          </cell>
          <cell r="BR43">
            <v>14000</v>
          </cell>
          <cell r="BS43">
            <v>189400</v>
          </cell>
          <cell r="BT43">
            <v>344500</v>
          </cell>
          <cell r="BU43">
            <v>0</v>
          </cell>
          <cell r="BV43">
            <v>0</v>
          </cell>
          <cell r="BW43">
            <v>0</v>
          </cell>
          <cell r="BX43">
            <v>1023900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420000</v>
          </cell>
          <cell r="CJ43">
            <v>56000</v>
          </cell>
          <cell r="CK43">
            <v>14000</v>
          </cell>
          <cell r="CL43">
            <v>189400</v>
          </cell>
          <cell r="CM43">
            <v>344500</v>
          </cell>
          <cell r="CN43">
            <v>0</v>
          </cell>
          <cell r="CO43">
            <v>0</v>
          </cell>
          <cell r="CP43">
            <v>0</v>
          </cell>
          <cell r="CQ43">
            <v>1023900</v>
          </cell>
          <cell r="CR43">
            <v>6405500</v>
          </cell>
        </row>
        <row r="44">
          <cell r="A44">
            <v>23105</v>
          </cell>
          <cell r="B44" t="str">
            <v>J. Allen</v>
          </cell>
          <cell r="C44">
            <v>3</v>
          </cell>
          <cell r="D44">
            <v>23105</v>
          </cell>
          <cell r="E44">
            <v>1</v>
          </cell>
          <cell r="F44" t="str">
            <v xml:space="preserve">BRASWELL REHAB INST FOR DEV. OF GROWTH (dba BRIDGES) </v>
          </cell>
          <cell r="N44">
            <v>2617</v>
          </cell>
          <cell r="O44">
            <v>1128497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622700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1019200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538900</v>
          </cell>
          <cell r="BP44">
            <v>0</v>
          </cell>
          <cell r="BQ44">
            <v>100000</v>
          </cell>
          <cell r="BR44">
            <v>0</v>
          </cell>
          <cell r="BS44">
            <v>0</v>
          </cell>
          <cell r="BT44">
            <v>130200</v>
          </cell>
          <cell r="BU44">
            <v>0</v>
          </cell>
          <cell r="BV44">
            <v>0</v>
          </cell>
          <cell r="BW44">
            <v>0</v>
          </cell>
          <cell r="BX44">
            <v>230200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100000</v>
          </cell>
          <cell r="CK44">
            <v>0</v>
          </cell>
          <cell r="CL44">
            <v>0</v>
          </cell>
          <cell r="CM44">
            <v>130200</v>
          </cell>
          <cell r="CN44">
            <v>0</v>
          </cell>
          <cell r="CO44">
            <v>0</v>
          </cell>
          <cell r="CP44">
            <v>0</v>
          </cell>
          <cell r="CQ44">
            <v>230200</v>
          </cell>
          <cell r="CR44">
            <v>2411000</v>
          </cell>
        </row>
        <row r="45">
          <cell r="A45">
            <v>23106</v>
          </cell>
          <cell r="B45" t="str">
            <v>T. Beliz</v>
          </cell>
          <cell r="C45" t="str">
            <v>1,2 &amp; 5</v>
          </cell>
          <cell r="D45">
            <v>23106</v>
          </cell>
          <cell r="E45">
            <v>2</v>
          </cell>
          <cell r="F45" t="str">
            <v>ALCOTT CENTER FOR MH  SERVICES(Beverlywood)</v>
          </cell>
          <cell r="N45">
            <v>30213</v>
          </cell>
          <cell r="O45">
            <v>628407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40300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962300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25200</v>
          </cell>
          <cell r="BP45">
            <v>29800</v>
          </cell>
          <cell r="BQ45">
            <v>411600</v>
          </cell>
          <cell r="BR45">
            <v>0</v>
          </cell>
          <cell r="BS45">
            <v>3000</v>
          </cell>
          <cell r="BT45">
            <v>173300</v>
          </cell>
          <cell r="BU45">
            <v>0</v>
          </cell>
          <cell r="BV45">
            <v>0</v>
          </cell>
          <cell r="BW45">
            <v>0</v>
          </cell>
          <cell r="BX45">
            <v>617700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29800</v>
          </cell>
          <cell r="CJ45">
            <v>411600</v>
          </cell>
          <cell r="CK45">
            <v>0</v>
          </cell>
          <cell r="CL45">
            <v>3000</v>
          </cell>
          <cell r="CM45">
            <v>173300</v>
          </cell>
          <cell r="CN45">
            <v>0</v>
          </cell>
          <cell r="CO45">
            <v>0</v>
          </cell>
          <cell r="CP45">
            <v>0</v>
          </cell>
          <cell r="CQ45">
            <v>617700</v>
          </cell>
          <cell r="CR45">
            <v>1645500</v>
          </cell>
        </row>
        <row r="46">
          <cell r="A46">
            <v>23108</v>
          </cell>
          <cell r="B46" t="str">
            <v>J. Allen</v>
          </cell>
          <cell r="C46" t="str">
            <v>7 &amp; 8</v>
          </cell>
          <cell r="D46">
            <v>23108</v>
          </cell>
          <cell r="E46">
            <v>4</v>
          </cell>
          <cell r="F46" t="str">
            <v xml:space="preserve">FOR THE CHILD, INC. 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76200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18900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997000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1092100</v>
          </cell>
        </row>
        <row r="47">
          <cell r="A47">
            <v>23109</v>
          </cell>
          <cell r="B47" t="str">
            <v>O. Celis</v>
          </cell>
          <cell r="C47">
            <v>4</v>
          </cell>
          <cell r="D47">
            <v>23109</v>
          </cell>
          <cell r="E47">
            <v>3</v>
          </cell>
          <cell r="F47" t="str">
            <v>CEDARS-SINAI MEDICAL CENTER</v>
          </cell>
          <cell r="N47">
            <v>0</v>
          </cell>
          <cell r="O47">
            <v>211193</v>
          </cell>
          <cell r="P47">
            <v>0</v>
          </cell>
          <cell r="Q47">
            <v>0</v>
          </cell>
          <cell r="R47">
            <v>157600</v>
          </cell>
          <cell r="S47">
            <v>0</v>
          </cell>
          <cell r="T47">
            <v>0</v>
          </cell>
          <cell r="U47">
            <v>0</v>
          </cell>
          <cell r="V47">
            <v>3100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58500</v>
          </cell>
          <cell r="AX47">
            <v>107600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7100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1058800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 t="str">
            <v>.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1392700</v>
          </cell>
        </row>
        <row r="48">
          <cell r="A48">
            <v>23112</v>
          </cell>
          <cell r="B48" t="str">
            <v>R. Kay</v>
          </cell>
          <cell r="C48">
            <v>4</v>
          </cell>
          <cell r="D48">
            <v>23112</v>
          </cell>
          <cell r="E48">
            <v>3</v>
          </cell>
          <cell r="F48" t="str">
            <v>CHILDREN'S HOSPITAL OF LOS ANGELES</v>
          </cell>
          <cell r="N48">
            <v>0</v>
          </cell>
          <cell r="O48">
            <v>728170</v>
          </cell>
          <cell r="P48">
            <v>0</v>
          </cell>
          <cell r="Q48">
            <v>0</v>
          </cell>
          <cell r="R48">
            <v>122800</v>
          </cell>
          <cell r="S48">
            <v>0</v>
          </cell>
          <cell r="T48">
            <v>0</v>
          </cell>
          <cell r="U48">
            <v>0</v>
          </cell>
          <cell r="V48">
            <v>392500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395000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792300</v>
          </cell>
          <cell r="AT48">
            <v>0</v>
          </cell>
          <cell r="AU48">
            <v>0</v>
          </cell>
          <cell r="AV48">
            <v>0</v>
          </cell>
          <cell r="AW48">
            <v>18400</v>
          </cell>
          <cell r="AX48">
            <v>117800</v>
          </cell>
          <cell r="AY48">
            <v>0</v>
          </cell>
          <cell r="AZ48">
            <v>0</v>
          </cell>
          <cell r="BA48">
            <v>450400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1450000</v>
          </cell>
          <cell r="BM48">
            <v>0</v>
          </cell>
          <cell r="BN48">
            <v>0</v>
          </cell>
          <cell r="BO48">
            <v>6172300</v>
          </cell>
          <cell r="BP48">
            <v>518000</v>
          </cell>
          <cell r="BQ48">
            <v>0</v>
          </cell>
          <cell r="BR48">
            <v>107100</v>
          </cell>
          <cell r="BS48">
            <v>29300</v>
          </cell>
          <cell r="BT48">
            <v>273400</v>
          </cell>
          <cell r="BU48">
            <v>0</v>
          </cell>
          <cell r="BV48">
            <v>0</v>
          </cell>
          <cell r="BW48">
            <v>0</v>
          </cell>
          <cell r="BX48">
            <v>927800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518000</v>
          </cell>
          <cell r="CJ48">
            <v>0</v>
          </cell>
          <cell r="CK48">
            <v>107100</v>
          </cell>
          <cell r="CL48">
            <v>29300</v>
          </cell>
          <cell r="CM48">
            <v>273400</v>
          </cell>
          <cell r="CN48">
            <v>0</v>
          </cell>
          <cell r="CO48">
            <v>0</v>
          </cell>
          <cell r="CP48">
            <v>0</v>
          </cell>
          <cell r="CQ48">
            <v>927800</v>
          </cell>
          <cell r="CR48">
            <v>10839300</v>
          </cell>
        </row>
        <row r="49">
          <cell r="A49">
            <v>23113</v>
          </cell>
          <cell r="B49" t="str">
            <v>T. Beliz</v>
          </cell>
          <cell r="C49" t="str">
            <v>7 &amp; 8</v>
          </cell>
          <cell r="D49">
            <v>23113</v>
          </cell>
          <cell r="E49">
            <v>2</v>
          </cell>
          <cell r="F49" t="str">
            <v>CITY OF GARDENA</v>
          </cell>
          <cell r="N49">
            <v>0</v>
          </cell>
          <cell r="O49">
            <v>93885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74400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74400</v>
          </cell>
        </row>
        <row r="50">
          <cell r="A50">
            <v>23114</v>
          </cell>
          <cell r="B50" t="str">
            <v>T. Beliz</v>
          </cell>
          <cell r="C50">
            <v>4</v>
          </cell>
          <cell r="D50">
            <v>23114</v>
          </cell>
          <cell r="E50">
            <v>4</v>
          </cell>
          <cell r="F50" t="str">
            <v>COMMUNITY FAMILY GUIDANCE CENTER</v>
          </cell>
          <cell r="N50">
            <v>0</v>
          </cell>
          <cell r="O50">
            <v>596347</v>
          </cell>
          <cell r="P50">
            <v>165</v>
          </cell>
          <cell r="Q50">
            <v>0</v>
          </cell>
          <cell r="R50">
            <v>100000</v>
          </cell>
          <cell r="S50">
            <v>0</v>
          </cell>
          <cell r="T50">
            <v>0</v>
          </cell>
          <cell r="U50">
            <v>0</v>
          </cell>
          <cell r="V50">
            <v>26500</v>
          </cell>
          <cell r="W50">
            <v>39700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150000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96000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196200</v>
          </cell>
          <cell r="AX50">
            <v>150000</v>
          </cell>
          <cell r="AY50">
            <v>0</v>
          </cell>
          <cell r="AZ50">
            <v>0</v>
          </cell>
          <cell r="BA50">
            <v>299700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348000</v>
          </cell>
          <cell r="BM50">
            <v>0</v>
          </cell>
          <cell r="BN50">
            <v>0</v>
          </cell>
          <cell r="BO50">
            <v>2887400</v>
          </cell>
          <cell r="BP50">
            <v>252000</v>
          </cell>
          <cell r="BQ50">
            <v>0</v>
          </cell>
          <cell r="BR50">
            <v>114700</v>
          </cell>
          <cell r="BS50">
            <v>14300</v>
          </cell>
          <cell r="BT50">
            <v>76400</v>
          </cell>
          <cell r="BU50">
            <v>0</v>
          </cell>
          <cell r="BV50">
            <v>0</v>
          </cell>
          <cell r="BW50">
            <v>0</v>
          </cell>
          <cell r="BX50">
            <v>457400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252000</v>
          </cell>
          <cell r="CJ50">
            <v>0</v>
          </cell>
          <cell r="CK50">
            <v>114700</v>
          </cell>
          <cell r="CL50">
            <v>14300</v>
          </cell>
          <cell r="CM50">
            <v>76400</v>
          </cell>
          <cell r="CN50">
            <v>0</v>
          </cell>
          <cell r="CO50">
            <v>0</v>
          </cell>
          <cell r="CP50">
            <v>0</v>
          </cell>
          <cell r="CQ50">
            <v>457400</v>
          </cell>
          <cell r="CR50">
            <v>4750900</v>
          </cell>
        </row>
        <row r="51">
          <cell r="A51">
            <v>23116</v>
          </cell>
          <cell r="B51" t="str">
            <v>O. Celis</v>
          </cell>
          <cell r="C51" t="str">
            <v>1,2 &amp; 5</v>
          </cell>
          <cell r="D51">
            <v>23116</v>
          </cell>
          <cell r="E51">
            <v>2</v>
          </cell>
          <cell r="F51" t="str">
            <v xml:space="preserve">DIDI HIRSCH PSYCHIATRIC SERVICE </v>
          </cell>
          <cell r="N51">
            <v>937140</v>
          </cell>
          <cell r="O51">
            <v>4217210</v>
          </cell>
          <cell r="P51">
            <v>0</v>
          </cell>
          <cell r="Q51">
            <v>0</v>
          </cell>
          <cell r="R51">
            <v>175000</v>
          </cell>
          <cell r="S51">
            <v>0</v>
          </cell>
          <cell r="T51">
            <v>0</v>
          </cell>
          <cell r="U51">
            <v>0</v>
          </cell>
          <cell r="V51">
            <v>1566500</v>
          </cell>
          <cell r="W51">
            <v>48200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964900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180000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240300</v>
          </cell>
          <cell r="AX51">
            <v>135000</v>
          </cell>
          <cell r="AY51">
            <v>0</v>
          </cell>
          <cell r="AZ51">
            <v>30000</v>
          </cell>
          <cell r="BA51">
            <v>433900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3965100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6659500</v>
          </cell>
          <cell r="BP51">
            <v>588000</v>
          </cell>
          <cell r="BQ51">
            <v>2063700</v>
          </cell>
          <cell r="BR51">
            <v>0</v>
          </cell>
          <cell r="BS51">
            <v>818900</v>
          </cell>
          <cell r="BT51">
            <v>1099600</v>
          </cell>
          <cell r="BU51">
            <v>0</v>
          </cell>
          <cell r="BV51">
            <v>0</v>
          </cell>
          <cell r="BW51">
            <v>0</v>
          </cell>
          <cell r="BX51">
            <v>4570200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588000</v>
          </cell>
          <cell r="CJ51">
            <v>2063700</v>
          </cell>
          <cell r="CK51">
            <v>0</v>
          </cell>
          <cell r="CL51">
            <v>818900</v>
          </cell>
          <cell r="CM51">
            <v>1099600</v>
          </cell>
          <cell r="CN51">
            <v>0</v>
          </cell>
          <cell r="CO51">
            <v>0</v>
          </cell>
          <cell r="CP51">
            <v>0</v>
          </cell>
          <cell r="CQ51">
            <v>4570200</v>
          </cell>
          <cell r="CR51">
            <v>18968600</v>
          </cell>
        </row>
        <row r="52">
          <cell r="A52">
            <v>23118</v>
          </cell>
          <cell r="B52" t="str">
            <v>J. Allen</v>
          </cell>
          <cell r="C52">
            <v>3</v>
          </cell>
          <cell r="D52">
            <v>23118</v>
          </cell>
          <cell r="E52">
            <v>3</v>
          </cell>
          <cell r="F52" t="str">
            <v>DUBNOFF CENTER FOR CHILD DEV &amp; EDU THERAPY, INC.</v>
          </cell>
          <cell r="N52">
            <v>0</v>
          </cell>
          <cell r="O52">
            <v>376247</v>
          </cell>
          <cell r="P52">
            <v>0</v>
          </cell>
          <cell r="Q52">
            <v>0</v>
          </cell>
          <cell r="R52">
            <v>164600</v>
          </cell>
          <cell r="S52">
            <v>0</v>
          </cell>
          <cell r="T52">
            <v>0</v>
          </cell>
          <cell r="U52">
            <v>0</v>
          </cell>
          <cell r="V52">
            <v>175700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75000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154900</v>
          </cell>
          <cell r="AX52">
            <v>126800</v>
          </cell>
          <cell r="AY52">
            <v>0</v>
          </cell>
          <cell r="AZ52">
            <v>85700</v>
          </cell>
          <cell r="BA52">
            <v>97600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50000</v>
          </cell>
          <cell r="BI52">
            <v>11300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1444600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39800</v>
          </cell>
          <cell r="BU52">
            <v>0</v>
          </cell>
          <cell r="BV52">
            <v>0</v>
          </cell>
          <cell r="BW52">
            <v>0</v>
          </cell>
          <cell r="BX52">
            <v>39800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39800</v>
          </cell>
          <cell r="CN52">
            <v>0</v>
          </cell>
          <cell r="CO52">
            <v>0</v>
          </cell>
          <cell r="CP52">
            <v>0</v>
          </cell>
          <cell r="CQ52">
            <v>39800</v>
          </cell>
          <cell r="CR52">
            <v>2426000</v>
          </cell>
        </row>
        <row r="53">
          <cell r="A53">
            <v>23119</v>
          </cell>
          <cell r="B53" t="str">
            <v>O. Celis</v>
          </cell>
          <cell r="C53" t="str">
            <v>1,2 &amp; 5</v>
          </cell>
          <cell r="D53">
            <v>23119</v>
          </cell>
          <cell r="E53">
            <v>3</v>
          </cell>
          <cell r="F53" t="str">
            <v>EL CENTRO DE AMISTAD, INC.</v>
          </cell>
          <cell r="N53">
            <v>2464</v>
          </cell>
          <cell r="O53">
            <v>261797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71100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220000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30000</v>
          </cell>
          <cell r="BA53">
            <v>154600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245600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1362400</v>
          </cell>
          <cell r="BP53">
            <v>0</v>
          </cell>
          <cell r="BQ53">
            <v>0</v>
          </cell>
          <cell r="BR53">
            <v>0</v>
          </cell>
          <cell r="BS53">
            <v>5900</v>
          </cell>
          <cell r="BT53">
            <v>53500</v>
          </cell>
          <cell r="BU53">
            <v>0</v>
          </cell>
          <cell r="BV53">
            <v>0</v>
          </cell>
          <cell r="BW53">
            <v>0</v>
          </cell>
          <cell r="BX53">
            <v>59400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5900</v>
          </cell>
          <cell r="CM53">
            <v>53500</v>
          </cell>
          <cell r="CN53">
            <v>0</v>
          </cell>
          <cell r="CO53">
            <v>0</v>
          </cell>
          <cell r="CP53">
            <v>0</v>
          </cell>
          <cell r="CQ53">
            <v>59400</v>
          </cell>
          <cell r="CR53">
            <v>2143100</v>
          </cell>
        </row>
        <row r="54">
          <cell r="A54">
            <v>23122</v>
          </cell>
          <cell r="B54" t="str">
            <v>T. Beliz</v>
          </cell>
          <cell r="C54">
            <v>4</v>
          </cell>
          <cell r="D54">
            <v>23122</v>
          </cell>
          <cell r="E54">
            <v>5</v>
          </cell>
          <cell r="F54" t="str">
            <v xml:space="preserve">ENKI HEALTH AND RESEARCH SYSTEMS, INC. </v>
          </cell>
          <cell r="N54">
            <v>407943</v>
          </cell>
          <cell r="O54">
            <v>6859642</v>
          </cell>
          <cell r="P54">
            <v>13250</v>
          </cell>
          <cell r="Q54">
            <v>0</v>
          </cell>
          <cell r="R54">
            <v>178000</v>
          </cell>
          <cell r="S54">
            <v>0</v>
          </cell>
          <cell r="T54">
            <v>0</v>
          </cell>
          <cell r="U54">
            <v>0</v>
          </cell>
          <cell r="V54">
            <v>1775100</v>
          </cell>
          <cell r="W54">
            <v>113700</v>
          </cell>
          <cell r="X54">
            <v>0</v>
          </cell>
          <cell r="Y54">
            <v>0</v>
          </cell>
          <cell r="Z54">
            <v>41600</v>
          </cell>
          <cell r="AA54">
            <v>50160</v>
          </cell>
          <cell r="AB54">
            <v>1024000</v>
          </cell>
          <cell r="AC54">
            <v>290000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163200</v>
          </cell>
          <cell r="AX54">
            <v>403000</v>
          </cell>
          <cell r="AY54">
            <v>0</v>
          </cell>
          <cell r="AZ54">
            <v>0</v>
          </cell>
          <cell r="BA54">
            <v>1013100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6552800</v>
          </cell>
          <cell r="BJ54">
            <v>0</v>
          </cell>
          <cell r="BK54">
            <v>0</v>
          </cell>
          <cell r="BL54">
            <v>348000</v>
          </cell>
          <cell r="BM54">
            <v>200640</v>
          </cell>
          <cell r="BN54">
            <v>0</v>
          </cell>
          <cell r="BO54">
            <v>11720900</v>
          </cell>
          <cell r="BP54">
            <v>266000</v>
          </cell>
          <cell r="BQ54">
            <v>1334600</v>
          </cell>
          <cell r="BR54">
            <v>28000</v>
          </cell>
          <cell r="BS54">
            <v>345900</v>
          </cell>
          <cell r="BT54">
            <v>1497500</v>
          </cell>
          <cell r="BU54">
            <v>0</v>
          </cell>
          <cell r="BV54">
            <v>0</v>
          </cell>
          <cell r="BW54">
            <v>0</v>
          </cell>
          <cell r="BX54">
            <v>3472000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266000</v>
          </cell>
          <cell r="CJ54">
            <v>1334600</v>
          </cell>
          <cell r="CK54">
            <v>28000</v>
          </cell>
          <cell r="CL54">
            <v>345900</v>
          </cell>
          <cell r="CM54">
            <v>1497500</v>
          </cell>
          <cell r="CN54">
            <v>0</v>
          </cell>
          <cell r="CO54">
            <v>0</v>
          </cell>
          <cell r="CP54">
            <v>0</v>
          </cell>
          <cell r="CQ54">
            <v>3472000</v>
          </cell>
          <cell r="CR54">
            <v>27346200</v>
          </cell>
        </row>
        <row r="55">
          <cell r="A55">
            <v>23123</v>
          </cell>
          <cell r="B55" t="str">
            <v>T. Beliz</v>
          </cell>
          <cell r="C55">
            <v>4</v>
          </cell>
          <cell r="D55">
            <v>23123</v>
          </cell>
          <cell r="E55">
            <v>1</v>
          </cell>
          <cell r="F55" t="str">
            <v>FILIPINO-AMERICAN SERVICE GROUP, INC.</v>
          </cell>
          <cell r="N55">
            <v>0</v>
          </cell>
          <cell r="O55">
            <v>58881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46600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46600</v>
          </cell>
        </row>
        <row r="56">
          <cell r="A56">
            <v>23125</v>
          </cell>
          <cell r="B56" t="str">
            <v>J. Allen</v>
          </cell>
          <cell r="C56">
            <v>6</v>
          </cell>
          <cell r="D56">
            <v>23125</v>
          </cell>
          <cell r="E56">
            <v>2</v>
          </cell>
          <cell r="F56" t="str">
            <v>1736 FAMILY CRISIS CENTER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225000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2000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152000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379000</v>
          </cell>
        </row>
        <row r="57">
          <cell r="A57">
            <v>23128</v>
          </cell>
          <cell r="B57" t="str">
            <v>O. Celis</v>
          </cell>
          <cell r="C57">
            <v>4</v>
          </cell>
          <cell r="D57">
            <v>23128</v>
          </cell>
          <cell r="E57">
            <v>1</v>
          </cell>
          <cell r="F57" t="str">
            <v xml:space="preserve">GATEWAYS HOSPITAL &amp; MHC </v>
          </cell>
          <cell r="N57">
            <v>5268</v>
          </cell>
          <cell r="O57">
            <v>6368344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6979300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75000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700000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57100</v>
          </cell>
          <cell r="BA57">
            <v>29200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50000</v>
          </cell>
          <cell r="BI57">
            <v>2088700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144000</v>
          </cell>
          <cell r="BO57">
            <v>979000</v>
          </cell>
          <cell r="BP57">
            <v>0</v>
          </cell>
          <cell r="BQ57">
            <v>2747500</v>
          </cell>
          <cell r="BR57">
            <v>0</v>
          </cell>
          <cell r="BS57">
            <v>162100</v>
          </cell>
          <cell r="BT57">
            <v>1855400</v>
          </cell>
          <cell r="BU57">
            <v>0</v>
          </cell>
          <cell r="BV57">
            <v>0</v>
          </cell>
          <cell r="BW57">
            <v>0</v>
          </cell>
          <cell r="BX57">
            <v>4765000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2747500</v>
          </cell>
          <cell r="CK57">
            <v>0</v>
          </cell>
          <cell r="CL57">
            <v>162100</v>
          </cell>
          <cell r="CM57">
            <v>1855400</v>
          </cell>
          <cell r="CN57">
            <v>0</v>
          </cell>
          <cell r="CO57">
            <v>0</v>
          </cell>
          <cell r="CP57">
            <v>0</v>
          </cell>
          <cell r="CQ57">
            <v>4765000</v>
          </cell>
          <cell r="CR57">
            <v>15867300</v>
          </cell>
        </row>
        <row r="58">
          <cell r="A58">
            <v>23132</v>
          </cell>
          <cell r="B58" t="str">
            <v>T. Beliz</v>
          </cell>
          <cell r="C58">
            <v>3</v>
          </cell>
          <cell r="D58">
            <v>23132</v>
          </cell>
          <cell r="E58">
            <v>5</v>
          </cell>
          <cell r="F58" t="str">
            <v>HATHAWAY SYCAMORES CHILD &amp; FAMILY SERVICES</v>
          </cell>
          <cell r="N58">
            <v>0</v>
          </cell>
          <cell r="O58">
            <v>942322</v>
          </cell>
          <cell r="P58">
            <v>2627</v>
          </cell>
          <cell r="Q58">
            <v>0</v>
          </cell>
          <cell r="R58">
            <v>805800</v>
          </cell>
          <cell r="S58">
            <v>0</v>
          </cell>
          <cell r="T58">
            <v>0</v>
          </cell>
          <cell r="U58">
            <v>0</v>
          </cell>
          <cell r="V58">
            <v>141700</v>
          </cell>
          <cell r="W58">
            <v>37800</v>
          </cell>
          <cell r="X58">
            <v>0</v>
          </cell>
          <cell r="Y58">
            <v>0</v>
          </cell>
          <cell r="Z58">
            <v>50400</v>
          </cell>
          <cell r="AA58">
            <v>110160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40000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276600</v>
          </cell>
          <cell r="AX58">
            <v>685800</v>
          </cell>
          <cell r="AY58">
            <v>0</v>
          </cell>
          <cell r="AZ58">
            <v>0</v>
          </cell>
          <cell r="BA58">
            <v>921800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245900</v>
          </cell>
          <cell r="BJ58">
            <v>0</v>
          </cell>
          <cell r="BK58">
            <v>0</v>
          </cell>
          <cell r="BL58">
            <v>0</v>
          </cell>
          <cell r="BM58">
            <v>440640</v>
          </cell>
          <cell r="BN58">
            <v>0</v>
          </cell>
          <cell r="BO58">
            <v>23133300</v>
          </cell>
          <cell r="BP58">
            <v>1778000</v>
          </cell>
          <cell r="BQ58">
            <v>126000</v>
          </cell>
          <cell r="BR58">
            <v>70000</v>
          </cell>
          <cell r="BS58">
            <v>238900</v>
          </cell>
          <cell r="BT58">
            <v>784300</v>
          </cell>
          <cell r="BU58">
            <v>0</v>
          </cell>
          <cell r="BV58">
            <v>0</v>
          </cell>
          <cell r="BW58">
            <v>0</v>
          </cell>
          <cell r="BX58">
            <v>2997200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1778000</v>
          </cell>
          <cell r="CJ58">
            <v>126000</v>
          </cell>
          <cell r="CK58">
            <v>70000</v>
          </cell>
          <cell r="CL58">
            <v>238900</v>
          </cell>
          <cell r="CM58">
            <v>784300</v>
          </cell>
          <cell r="CN58">
            <v>0</v>
          </cell>
          <cell r="CO58">
            <v>0</v>
          </cell>
          <cell r="CP58">
            <v>0</v>
          </cell>
          <cell r="CQ58">
            <v>2997200</v>
          </cell>
          <cell r="CR58">
            <v>29887100</v>
          </cell>
        </row>
        <row r="59">
          <cell r="A59">
            <v>23133</v>
          </cell>
          <cell r="B59" t="str">
            <v>J. Allen</v>
          </cell>
          <cell r="C59" t="str">
            <v>1,2 &amp; 5</v>
          </cell>
          <cell r="D59">
            <v>23133</v>
          </cell>
          <cell r="E59">
            <v>3</v>
          </cell>
          <cell r="F59" t="str">
            <v>HILLVIEW MENTAL HEALTH CENTER,  INC.</v>
          </cell>
          <cell r="N59">
            <v>138256</v>
          </cell>
          <cell r="O59">
            <v>2869493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502800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125000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200600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30000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3423900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493700</v>
          </cell>
          <cell r="BP59">
            <v>252000</v>
          </cell>
          <cell r="BQ59">
            <v>1658800</v>
          </cell>
          <cell r="BR59">
            <v>0</v>
          </cell>
          <cell r="BS59">
            <v>1661300</v>
          </cell>
          <cell r="BT59">
            <v>1187500</v>
          </cell>
          <cell r="BU59">
            <v>0</v>
          </cell>
          <cell r="BV59">
            <v>0</v>
          </cell>
          <cell r="BW59">
            <v>0</v>
          </cell>
          <cell r="BX59">
            <v>4759600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252000</v>
          </cell>
          <cell r="CJ59">
            <v>1658800</v>
          </cell>
          <cell r="CK59">
            <v>0</v>
          </cell>
          <cell r="CL59">
            <v>1661300</v>
          </cell>
          <cell r="CM59">
            <v>1187500</v>
          </cell>
          <cell r="CN59">
            <v>0</v>
          </cell>
          <cell r="CO59">
            <v>0</v>
          </cell>
          <cell r="CP59">
            <v>0</v>
          </cell>
          <cell r="CQ59">
            <v>4759600</v>
          </cell>
          <cell r="CR59">
            <v>9535600</v>
          </cell>
        </row>
        <row r="60">
          <cell r="A60">
            <v>23134</v>
          </cell>
          <cell r="B60" t="str">
            <v>J. Allen</v>
          </cell>
          <cell r="C60">
            <v>4</v>
          </cell>
          <cell r="D60">
            <v>23134</v>
          </cell>
          <cell r="E60">
            <v>4</v>
          </cell>
          <cell r="F60" t="str">
            <v>CLONTARF MANOR INC.</v>
          </cell>
          <cell r="N60">
            <v>0</v>
          </cell>
          <cell r="O60">
            <v>540763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863000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98800</v>
          </cell>
          <cell r="BR60">
            <v>0</v>
          </cell>
          <cell r="BS60">
            <v>3000</v>
          </cell>
          <cell r="BT60">
            <v>47300</v>
          </cell>
          <cell r="BU60">
            <v>0</v>
          </cell>
          <cell r="BV60">
            <v>0</v>
          </cell>
          <cell r="BW60">
            <v>0</v>
          </cell>
          <cell r="BX60">
            <v>149100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98800</v>
          </cell>
          <cell r="CK60">
            <v>0</v>
          </cell>
          <cell r="CL60">
            <v>3000</v>
          </cell>
          <cell r="CM60">
            <v>47300</v>
          </cell>
          <cell r="CN60">
            <v>0</v>
          </cell>
          <cell r="CO60">
            <v>0</v>
          </cell>
          <cell r="CP60">
            <v>0</v>
          </cell>
          <cell r="CQ60">
            <v>149100</v>
          </cell>
          <cell r="CR60">
            <v>1012100</v>
          </cell>
        </row>
        <row r="61">
          <cell r="A61">
            <v>23135</v>
          </cell>
          <cell r="B61" t="str">
            <v>R. Kay</v>
          </cell>
          <cell r="C61">
            <v>3</v>
          </cell>
          <cell r="D61">
            <v>23135</v>
          </cell>
          <cell r="E61">
            <v>5</v>
          </cell>
          <cell r="F61" t="str">
            <v xml:space="preserve">HILLSIDES (FORMERLY CHURCH HOME FOR CHILDREN) </v>
          </cell>
          <cell r="N61">
            <v>0</v>
          </cell>
          <cell r="O61">
            <v>30415</v>
          </cell>
          <cell r="P61">
            <v>0</v>
          </cell>
          <cell r="Q61">
            <v>0</v>
          </cell>
          <cell r="R61">
            <v>80000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21900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40000</v>
          </cell>
          <cell r="AY61">
            <v>0</v>
          </cell>
          <cell r="AZ61">
            <v>0</v>
          </cell>
          <cell r="BA61">
            <v>222600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18400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7420500</v>
          </cell>
          <cell r="BP61">
            <v>1428000</v>
          </cell>
          <cell r="BQ61">
            <v>196000</v>
          </cell>
          <cell r="BR61">
            <v>99500</v>
          </cell>
          <cell r="BS61">
            <v>306200</v>
          </cell>
          <cell r="BT61">
            <v>638000</v>
          </cell>
          <cell r="BU61">
            <v>0</v>
          </cell>
          <cell r="BV61">
            <v>0</v>
          </cell>
          <cell r="BW61">
            <v>0</v>
          </cell>
          <cell r="BX61">
            <v>2667700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1428000</v>
          </cell>
          <cell r="CJ61">
            <v>196000</v>
          </cell>
          <cell r="CK61">
            <v>99500</v>
          </cell>
          <cell r="CL61">
            <v>306200</v>
          </cell>
          <cell r="CM61">
            <v>638000</v>
          </cell>
          <cell r="CN61">
            <v>0</v>
          </cell>
          <cell r="CO61">
            <v>0</v>
          </cell>
          <cell r="CP61">
            <v>0</v>
          </cell>
          <cell r="CQ61">
            <v>2667700</v>
          </cell>
          <cell r="CR61">
            <v>10471100</v>
          </cell>
        </row>
        <row r="62">
          <cell r="A62">
            <v>23136</v>
          </cell>
          <cell r="B62" t="str">
            <v>T. Beliz</v>
          </cell>
          <cell r="C62">
            <v>6</v>
          </cell>
          <cell r="D62">
            <v>23136</v>
          </cell>
          <cell r="E62">
            <v>2</v>
          </cell>
          <cell r="F62" t="str">
            <v xml:space="preserve">KEDREN COMMUNITY HEALTH CENTER, INC. DBA KEDREN </v>
          </cell>
          <cell r="N62">
            <v>115654</v>
          </cell>
          <cell r="O62">
            <v>9584886</v>
          </cell>
          <cell r="P62">
            <v>750</v>
          </cell>
          <cell r="Q62">
            <v>0</v>
          </cell>
          <cell r="R62">
            <v>0</v>
          </cell>
          <cell r="S62">
            <v>4997000</v>
          </cell>
          <cell r="T62">
            <v>0</v>
          </cell>
          <cell r="U62">
            <v>0</v>
          </cell>
          <cell r="V62">
            <v>5068400</v>
          </cell>
          <cell r="W62">
            <v>215700</v>
          </cell>
          <cell r="X62">
            <v>0</v>
          </cell>
          <cell r="Y62">
            <v>0</v>
          </cell>
          <cell r="Z62">
            <v>24700</v>
          </cell>
          <cell r="AA62">
            <v>0</v>
          </cell>
          <cell r="AB62">
            <v>300000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40000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21400</v>
          </cell>
          <cell r="BA62">
            <v>83200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5349500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7013700</v>
          </cell>
          <cell r="BP62">
            <v>742000</v>
          </cell>
          <cell r="BQ62">
            <v>1667500</v>
          </cell>
          <cell r="BR62">
            <v>14000</v>
          </cell>
          <cell r="BS62">
            <v>496000</v>
          </cell>
          <cell r="BT62">
            <v>738200</v>
          </cell>
          <cell r="BU62">
            <v>0</v>
          </cell>
          <cell r="BV62">
            <v>0</v>
          </cell>
          <cell r="BW62">
            <v>0</v>
          </cell>
          <cell r="BX62">
            <v>3657700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742000</v>
          </cell>
          <cell r="CJ62">
            <v>1667500</v>
          </cell>
          <cell r="CK62">
            <v>14000</v>
          </cell>
          <cell r="CL62">
            <v>496000</v>
          </cell>
          <cell r="CM62">
            <v>738200</v>
          </cell>
          <cell r="CN62">
            <v>0</v>
          </cell>
          <cell r="CO62">
            <v>0</v>
          </cell>
          <cell r="CP62">
            <v>0</v>
          </cell>
          <cell r="CQ62">
            <v>3657700</v>
          </cell>
          <cell r="CR62">
            <v>26771300</v>
          </cell>
        </row>
        <row r="63">
          <cell r="A63">
            <v>23137</v>
          </cell>
          <cell r="B63" t="str">
            <v>T. Beliz</v>
          </cell>
          <cell r="C63">
            <v>4</v>
          </cell>
          <cell r="D63">
            <v>23137</v>
          </cell>
          <cell r="E63">
            <v>2</v>
          </cell>
          <cell r="F63" t="str">
            <v>KOREATOWN YOUTH &amp; COMMUNITY CENTER, INC.</v>
          </cell>
          <cell r="N63">
            <v>0</v>
          </cell>
          <cell r="O63">
            <v>140784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106100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72000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1400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243000</v>
          </cell>
          <cell r="BP63">
            <v>0</v>
          </cell>
          <cell r="BQ63">
            <v>0</v>
          </cell>
          <cell r="BR63">
            <v>0</v>
          </cell>
          <cell r="BS63">
            <v>2800</v>
          </cell>
          <cell r="BT63">
            <v>27800</v>
          </cell>
          <cell r="BU63">
            <v>0</v>
          </cell>
          <cell r="BV63">
            <v>0</v>
          </cell>
          <cell r="BW63">
            <v>0</v>
          </cell>
          <cell r="BX63">
            <v>30600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2800</v>
          </cell>
          <cell r="CM63">
            <v>27800</v>
          </cell>
          <cell r="CN63">
            <v>0</v>
          </cell>
          <cell r="CO63">
            <v>0</v>
          </cell>
          <cell r="CP63">
            <v>0</v>
          </cell>
          <cell r="CQ63">
            <v>30600</v>
          </cell>
          <cell r="CR63">
            <v>453100</v>
          </cell>
        </row>
        <row r="64">
          <cell r="A64">
            <v>23138</v>
          </cell>
          <cell r="B64" t="str">
            <v>R. Kay</v>
          </cell>
          <cell r="C64" t="str">
            <v>1,2 &amp; 5</v>
          </cell>
          <cell r="D64">
            <v>23138</v>
          </cell>
          <cell r="E64">
            <v>3</v>
          </cell>
          <cell r="F64" t="str">
            <v xml:space="preserve">THE HELP GROUP C&amp;F CTR (FORMELY LA CTR FOR THERAPY &amp; ED) </v>
          </cell>
          <cell r="N64">
            <v>0</v>
          </cell>
          <cell r="O64">
            <v>1726959</v>
          </cell>
          <cell r="P64">
            <v>2712</v>
          </cell>
          <cell r="Q64">
            <v>0</v>
          </cell>
          <cell r="R64">
            <v>532800</v>
          </cell>
          <cell r="S64">
            <v>0</v>
          </cell>
          <cell r="T64">
            <v>0</v>
          </cell>
          <cell r="U64">
            <v>0</v>
          </cell>
          <cell r="V64">
            <v>40200</v>
          </cell>
          <cell r="W64">
            <v>27100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204700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1194500</v>
          </cell>
          <cell r="AX64">
            <v>671600</v>
          </cell>
          <cell r="AY64">
            <v>0</v>
          </cell>
          <cell r="AZ64">
            <v>0</v>
          </cell>
          <cell r="BA64">
            <v>220400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76600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6428600</v>
          </cell>
          <cell r="BP64">
            <v>882000</v>
          </cell>
          <cell r="BQ64">
            <v>0</v>
          </cell>
          <cell r="BR64">
            <v>28000</v>
          </cell>
          <cell r="BS64">
            <v>48100</v>
          </cell>
          <cell r="BT64">
            <v>291100</v>
          </cell>
          <cell r="BU64">
            <v>0</v>
          </cell>
          <cell r="BV64">
            <v>0</v>
          </cell>
          <cell r="BW64">
            <v>0</v>
          </cell>
          <cell r="BX64">
            <v>1249200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882000</v>
          </cell>
          <cell r="CJ64">
            <v>0</v>
          </cell>
          <cell r="CK64">
            <v>28000</v>
          </cell>
          <cell r="CL64">
            <v>48100</v>
          </cell>
          <cell r="CM64">
            <v>291100</v>
          </cell>
          <cell r="CN64">
            <v>0</v>
          </cell>
          <cell r="CO64">
            <v>0</v>
          </cell>
          <cell r="CP64">
            <v>0</v>
          </cell>
          <cell r="CQ64">
            <v>1249200</v>
          </cell>
          <cell r="CR64">
            <v>10645700</v>
          </cell>
        </row>
        <row r="65">
          <cell r="A65">
            <v>23141</v>
          </cell>
          <cell r="B65" t="str">
            <v>J. Allen</v>
          </cell>
          <cell r="C65" t="str">
            <v>7 &amp; 8</v>
          </cell>
          <cell r="D65">
            <v>23141</v>
          </cell>
          <cell r="E65">
            <v>2</v>
          </cell>
          <cell r="F65" t="str">
            <v>LOS ANGELES CHILD GUIDANCE CLINIC</v>
          </cell>
          <cell r="N65">
            <v>0</v>
          </cell>
          <cell r="O65">
            <v>1532019</v>
          </cell>
          <cell r="P65">
            <v>1389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227200</v>
          </cell>
          <cell r="W65">
            <v>55200</v>
          </cell>
          <cell r="X65">
            <v>0</v>
          </cell>
          <cell r="Y65">
            <v>0</v>
          </cell>
          <cell r="Z65">
            <v>91700</v>
          </cell>
          <cell r="AA65">
            <v>0</v>
          </cell>
          <cell r="AB65">
            <v>650000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200200</v>
          </cell>
          <cell r="AX65">
            <v>0</v>
          </cell>
          <cell r="AY65">
            <v>0</v>
          </cell>
          <cell r="AZ65">
            <v>30000</v>
          </cell>
          <cell r="BA65">
            <v>432300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80000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11035500</v>
          </cell>
          <cell r="BP65">
            <v>1302000</v>
          </cell>
          <cell r="BQ65">
            <v>70000</v>
          </cell>
          <cell r="BR65">
            <v>42000</v>
          </cell>
          <cell r="BS65">
            <v>150100</v>
          </cell>
          <cell r="BT65">
            <v>573800</v>
          </cell>
          <cell r="BU65">
            <v>0</v>
          </cell>
          <cell r="BV65">
            <v>0</v>
          </cell>
          <cell r="BW65">
            <v>0</v>
          </cell>
          <cell r="BX65">
            <v>2137900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1302000</v>
          </cell>
          <cell r="CJ65">
            <v>70000</v>
          </cell>
          <cell r="CK65">
            <v>42000</v>
          </cell>
          <cell r="CL65">
            <v>150100</v>
          </cell>
          <cell r="CM65">
            <v>573800</v>
          </cell>
          <cell r="CN65">
            <v>0</v>
          </cell>
          <cell r="CO65">
            <v>0</v>
          </cell>
          <cell r="CP65">
            <v>0</v>
          </cell>
          <cell r="CQ65">
            <v>2137900</v>
          </cell>
          <cell r="CR65">
            <v>14940000</v>
          </cell>
        </row>
        <row r="66">
          <cell r="A66">
            <v>23142</v>
          </cell>
          <cell r="B66" t="str">
            <v>T. Beliz</v>
          </cell>
          <cell r="C66">
            <v>4</v>
          </cell>
          <cell r="D66">
            <v>23142</v>
          </cell>
          <cell r="E66">
            <v>3</v>
          </cell>
          <cell r="F66" t="str">
            <v>LOS ANGELES GAY &amp; LESBIAN COMMUNITY SVCS CTR</v>
          </cell>
          <cell r="N66">
            <v>0</v>
          </cell>
          <cell r="O66">
            <v>136070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107700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24900</v>
          </cell>
          <cell r="BU66">
            <v>0</v>
          </cell>
          <cell r="BV66">
            <v>0</v>
          </cell>
          <cell r="BW66">
            <v>0</v>
          </cell>
          <cell r="BX66">
            <v>24900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24900</v>
          </cell>
          <cell r="CN66">
            <v>0</v>
          </cell>
          <cell r="CO66">
            <v>0</v>
          </cell>
          <cell r="CP66">
            <v>0</v>
          </cell>
          <cell r="CQ66">
            <v>24900</v>
          </cell>
          <cell r="CR66">
            <v>132600</v>
          </cell>
        </row>
        <row r="67">
          <cell r="A67">
            <v>23143</v>
          </cell>
          <cell r="B67" t="str">
            <v>R. Kay</v>
          </cell>
          <cell r="C67">
            <v>4</v>
          </cell>
          <cell r="D67">
            <v>23143</v>
          </cell>
          <cell r="E67">
            <v>2</v>
          </cell>
          <cell r="F67" t="str">
            <v xml:space="preserve">LAMP INC. </v>
          </cell>
          <cell r="N67">
            <v>0</v>
          </cell>
          <cell r="O67">
            <v>317748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50000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384400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507600</v>
          </cell>
          <cell r="BR67">
            <v>0</v>
          </cell>
          <cell r="BS67">
            <v>0</v>
          </cell>
          <cell r="BT67">
            <v>1066500</v>
          </cell>
          <cell r="BU67">
            <v>0</v>
          </cell>
          <cell r="BV67">
            <v>0</v>
          </cell>
          <cell r="BW67">
            <v>0</v>
          </cell>
          <cell r="BX67">
            <v>1574100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507600</v>
          </cell>
          <cell r="CK67">
            <v>0</v>
          </cell>
          <cell r="CL67">
            <v>0</v>
          </cell>
          <cell r="CM67">
            <v>1066500</v>
          </cell>
          <cell r="CN67">
            <v>0</v>
          </cell>
          <cell r="CO67">
            <v>0</v>
          </cell>
          <cell r="CP67">
            <v>0</v>
          </cell>
          <cell r="CQ67">
            <v>1574100</v>
          </cell>
          <cell r="CR67">
            <v>2008500</v>
          </cell>
        </row>
        <row r="68">
          <cell r="A68">
            <v>23146</v>
          </cell>
          <cell r="B68" t="str">
            <v>J. Allen</v>
          </cell>
          <cell r="C68" t="str">
            <v>7 &amp; 8</v>
          </cell>
          <cell r="D68">
            <v>23146</v>
          </cell>
          <cell r="E68">
            <v>4</v>
          </cell>
          <cell r="F68" t="str">
            <v>MENTAL HEALTH AMERICA OF LOS ANGELES</v>
          </cell>
          <cell r="N68">
            <v>124267</v>
          </cell>
          <cell r="O68">
            <v>1885588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815000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348000</v>
          </cell>
          <cell r="AP68">
            <v>0</v>
          </cell>
          <cell r="AQ68">
            <v>0</v>
          </cell>
          <cell r="AR68">
            <v>1000000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70000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562000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265260</v>
          </cell>
          <cell r="BP68">
            <v>630000</v>
          </cell>
          <cell r="BQ68">
            <v>6430300</v>
          </cell>
          <cell r="BR68">
            <v>0</v>
          </cell>
          <cell r="BS68">
            <v>486100</v>
          </cell>
          <cell r="BT68">
            <v>4060900</v>
          </cell>
          <cell r="BU68">
            <v>0</v>
          </cell>
          <cell r="BV68">
            <v>0</v>
          </cell>
          <cell r="BW68">
            <v>0</v>
          </cell>
          <cell r="BX68">
            <v>11607300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630000</v>
          </cell>
          <cell r="CJ68">
            <v>6430300</v>
          </cell>
          <cell r="CK68">
            <v>0</v>
          </cell>
          <cell r="CL68">
            <v>486100</v>
          </cell>
          <cell r="CM68">
            <v>4060900</v>
          </cell>
          <cell r="CN68">
            <v>0</v>
          </cell>
          <cell r="CO68">
            <v>0</v>
          </cell>
          <cell r="CP68">
            <v>0</v>
          </cell>
          <cell r="CQ68">
            <v>11607300</v>
          </cell>
          <cell r="CR68">
            <v>14667560</v>
          </cell>
        </row>
        <row r="69">
          <cell r="A69">
            <v>23149</v>
          </cell>
          <cell r="B69" t="str">
            <v>J. Allen</v>
          </cell>
          <cell r="C69">
            <v>3</v>
          </cell>
          <cell r="D69">
            <v>23149</v>
          </cell>
          <cell r="E69">
            <v>3</v>
          </cell>
          <cell r="F69" t="str">
            <v xml:space="preserve">PENNY LANE CENTERS (NATIONAL FOUNDATION TREATMENT) </v>
          </cell>
          <cell r="N69">
            <v>0</v>
          </cell>
          <cell r="O69">
            <v>629656</v>
          </cell>
          <cell r="P69">
            <v>0</v>
          </cell>
          <cell r="Q69">
            <v>0</v>
          </cell>
          <cell r="R69">
            <v>150000</v>
          </cell>
          <cell r="S69">
            <v>0</v>
          </cell>
          <cell r="T69">
            <v>0</v>
          </cell>
          <cell r="U69">
            <v>0</v>
          </cell>
          <cell r="V69">
            <v>48100</v>
          </cell>
          <cell r="W69">
            <v>75500</v>
          </cell>
          <cell r="X69">
            <v>0</v>
          </cell>
          <cell r="Y69">
            <v>0</v>
          </cell>
          <cell r="Z69">
            <v>0</v>
          </cell>
          <cell r="AA69">
            <v>110160</v>
          </cell>
          <cell r="AB69">
            <v>425000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75000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6900</v>
          </cell>
          <cell r="AX69">
            <v>175000</v>
          </cell>
          <cell r="AY69">
            <v>0</v>
          </cell>
          <cell r="AZ69">
            <v>85700</v>
          </cell>
          <cell r="BA69">
            <v>326900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72800</v>
          </cell>
          <cell r="BJ69">
            <v>0</v>
          </cell>
          <cell r="BK69">
            <v>0</v>
          </cell>
          <cell r="BL69">
            <v>348000</v>
          </cell>
          <cell r="BM69">
            <v>840640</v>
          </cell>
          <cell r="BN69">
            <v>288000</v>
          </cell>
          <cell r="BO69">
            <v>11381800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51900</v>
          </cell>
          <cell r="BU69">
            <v>0</v>
          </cell>
          <cell r="BV69">
            <v>0</v>
          </cell>
          <cell r="BW69">
            <v>0</v>
          </cell>
          <cell r="BX69">
            <v>51900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51900</v>
          </cell>
          <cell r="CN69">
            <v>0</v>
          </cell>
          <cell r="CO69">
            <v>0</v>
          </cell>
          <cell r="CP69">
            <v>0</v>
          </cell>
          <cell r="CQ69">
            <v>51900</v>
          </cell>
          <cell r="CR69">
            <v>14461400</v>
          </cell>
        </row>
        <row r="70">
          <cell r="A70">
            <v>23151</v>
          </cell>
          <cell r="B70" t="str">
            <v>T. Beliz</v>
          </cell>
          <cell r="C70" t="str">
            <v>1,2 &amp; 5</v>
          </cell>
          <cell r="D70">
            <v>23151</v>
          </cell>
          <cell r="E70">
            <v>3</v>
          </cell>
          <cell r="F70" t="str">
            <v>OCEAN PARK COMMUNITY CENTER (McKinney)</v>
          </cell>
          <cell r="N70">
            <v>0</v>
          </cell>
          <cell r="O70">
            <v>15662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12400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195500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207900</v>
          </cell>
        </row>
        <row r="71">
          <cell r="A71">
            <v>23153</v>
          </cell>
          <cell r="B71" t="str">
            <v>J. Allen</v>
          </cell>
          <cell r="C71">
            <v>3</v>
          </cell>
          <cell r="D71">
            <v>23153</v>
          </cell>
          <cell r="E71">
            <v>5</v>
          </cell>
          <cell r="F71" t="str">
            <v xml:space="preserve">PACIFIC CLINICS </v>
          </cell>
          <cell r="N71">
            <v>226125</v>
          </cell>
          <cell r="O71">
            <v>11088143</v>
          </cell>
          <cell r="P71">
            <v>5829</v>
          </cell>
          <cell r="Q71">
            <v>0</v>
          </cell>
          <cell r="R71">
            <v>550000</v>
          </cell>
          <cell r="S71">
            <v>0</v>
          </cell>
          <cell r="T71">
            <v>0</v>
          </cell>
          <cell r="U71">
            <v>0</v>
          </cell>
          <cell r="V71">
            <v>656700</v>
          </cell>
          <cell r="W71">
            <v>167400</v>
          </cell>
          <cell r="X71">
            <v>0</v>
          </cell>
          <cell r="Y71">
            <v>0</v>
          </cell>
          <cell r="Z71">
            <v>39500</v>
          </cell>
          <cell r="AA71">
            <v>50160</v>
          </cell>
          <cell r="AB71">
            <v>2444400</v>
          </cell>
          <cell r="AC71">
            <v>290000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75000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25000</v>
          </cell>
          <cell r="AP71">
            <v>260000</v>
          </cell>
          <cell r="AQ71">
            <v>0</v>
          </cell>
          <cell r="AR71">
            <v>80000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700000</v>
          </cell>
          <cell r="AX71">
            <v>100000</v>
          </cell>
          <cell r="AY71">
            <v>112400</v>
          </cell>
          <cell r="AZ71">
            <v>72100</v>
          </cell>
          <cell r="BA71">
            <v>1975000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50000</v>
          </cell>
          <cell r="BI71">
            <v>19666400</v>
          </cell>
          <cell r="BJ71">
            <v>0</v>
          </cell>
          <cell r="BK71">
            <v>0</v>
          </cell>
          <cell r="BL71">
            <v>915000</v>
          </cell>
          <cell r="BM71">
            <v>200640</v>
          </cell>
          <cell r="BN71">
            <v>0</v>
          </cell>
          <cell r="BO71">
            <v>28954400</v>
          </cell>
          <cell r="BP71">
            <v>3472000</v>
          </cell>
          <cell r="BQ71">
            <v>6309600</v>
          </cell>
          <cell r="BR71">
            <v>140000</v>
          </cell>
          <cell r="BS71">
            <v>3400100</v>
          </cell>
          <cell r="BT71">
            <v>7549200</v>
          </cell>
          <cell r="BU71">
            <v>0</v>
          </cell>
          <cell r="BV71">
            <v>0</v>
          </cell>
          <cell r="BW71">
            <v>0</v>
          </cell>
          <cell r="BX71">
            <v>20870900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3472000</v>
          </cell>
          <cell r="CJ71">
            <v>6309600</v>
          </cell>
          <cell r="CK71">
            <v>140000</v>
          </cell>
          <cell r="CL71">
            <v>3400100</v>
          </cell>
          <cell r="CM71">
            <v>7549200</v>
          </cell>
          <cell r="CN71">
            <v>0</v>
          </cell>
          <cell r="CO71">
            <v>0</v>
          </cell>
          <cell r="CP71">
            <v>0</v>
          </cell>
          <cell r="CQ71">
            <v>20870900</v>
          </cell>
          <cell r="CR71">
            <v>78255000</v>
          </cell>
        </row>
        <row r="72">
          <cell r="A72">
            <v>23157</v>
          </cell>
          <cell r="B72" t="str">
            <v>R. Kay</v>
          </cell>
          <cell r="C72" t="str">
            <v xml:space="preserve">7 &amp; 8 </v>
          </cell>
          <cell r="D72">
            <v>23157</v>
          </cell>
          <cell r="E72">
            <v>4</v>
          </cell>
          <cell r="F72" t="str">
            <v>THE GUIDANCE CENTER (GREATER LONG BEACH CHILD)</v>
          </cell>
          <cell r="N72">
            <v>9818</v>
          </cell>
          <cell r="O72">
            <v>872668</v>
          </cell>
          <cell r="P72">
            <v>0</v>
          </cell>
          <cell r="Q72">
            <v>0</v>
          </cell>
          <cell r="R72">
            <v>271700</v>
          </cell>
          <cell r="S72">
            <v>0</v>
          </cell>
          <cell r="T72">
            <v>0</v>
          </cell>
          <cell r="U72">
            <v>0</v>
          </cell>
          <cell r="V72">
            <v>280700</v>
          </cell>
          <cell r="W72">
            <v>168900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345000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169800</v>
          </cell>
          <cell r="AX72">
            <v>216700</v>
          </cell>
          <cell r="AY72">
            <v>0</v>
          </cell>
          <cell r="AZ72">
            <v>15000</v>
          </cell>
          <cell r="BA72">
            <v>311100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62000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7559000</v>
          </cell>
          <cell r="BP72">
            <v>294000</v>
          </cell>
          <cell r="BQ72">
            <v>0</v>
          </cell>
          <cell r="BR72">
            <v>123200</v>
          </cell>
          <cell r="BS72">
            <v>20200</v>
          </cell>
          <cell r="BT72">
            <v>153100</v>
          </cell>
          <cell r="BU72">
            <v>0</v>
          </cell>
          <cell r="BV72">
            <v>0</v>
          </cell>
          <cell r="BW72">
            <v>0</v>
          </cell>
          <cell r="BX72">
            <v>590500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294000</v>
          </cell>
          <cell r="CJ72">
            <v>0</v>
          </cell>
          <cell r="CK72">
            <v>123200</v>
          </cell>
          <cell r="CL72">
            <v>20200</v>
          </cell>
          <cell r="CM72">
            <v>153100</v>
          </cell>
          <cell r="CN72">
            <v>0</v>
          </cell>
          <cell r="CO72">
            <v>0</v>
          </cell>
          <cell r="CP72">
            <v>0</v>
          </cell>
          <cell r="CQ72">
            <v>590500</v>
          </cell>
          <cell r="CR72">
            <v>9990400</v>
          </cell>
        </row>
        <row r="73">
          <cell r="A73">
            <v>23162</v>
          </cell>
          <cell r="B73" t="str">
            <v>O. Celis</v>
          </cell>
          <cell r="C73" t="str">
            <v>1,2 &amp; 5</v>
          </cell>
          <cell r="D73">
            <v>23162</v>
          </cell>
          <cell r="E73">
            <v>3</v>
          </cell>
          <cell r="F73" t="str">
            <v>CHILD AND FAMILY GUIDANCE CENTER (SFV)</v>
          </cell>
          <cell r="N73">
            <v>1560</v>
          </cell>
          <cell r="O73">
            <v>2852494</v>
          </cell>
          <cell r="P73">
            <v>7342</v>
          </cell>
          <cell r="Q73">
            <v>0</v>
          </cell>
          <cell r="R73">
            <v>549000</v>
          </cell>
          <cell r="S73">
            <v>0</v>
          </cell>
          <cell r="T73">
            <v>0</v>
          </cell>
          <cell r="U73">
            <v>0</v>
          </cell>
          <cell r="V73">
            <v>481800</v>
          </cell>
          <cell r="W73">
            <v>51100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290000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57500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75000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520700</v>
          </cell>
          <cell r="AX73">
            <v>728300</v>
          </cell>
          <cell r="AY73">
            <v>0</v>
          </cell>
          <cell r="AZ73">
            <v>14300</v>
          </cell>
          <cell r="BA73">
            <v>1750000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37500</v>
          </cell>
          <cell r="BJ73">
            <v>0</v>
          </cell>
          <cell r="BK73">
            <v>0</v>
          </cell>
          <cell r="BL73">
            <v>354000</v>
          </cell>
          <cell r="BM73">
            <v>0</v>
          </cell>
          <cell r="BN73">
            <v>0</v>
          </cell>
          <cell r="BO73">
            <v>14182700</v>
          </cell>
          <cell r="BP73">
            <v>616000</v>
          </cell>
          <cell r="BQ73">
            <v>0</v>
          </cell>
          <cell r="BR73">
            <v>70000</v>
          </cell>
          <cell r="BS73">
            <v>61700</v>
          </cell>
          <cell r="BT73">
            <v>437400</v>
          </cell>
          <cell r="BU73">
            <v>0</v>
          </cell>
          <cell r="BV73">
            <v>0</v>
          </cell>
          <cell r="BW73">
            <v>0</v>
          </cell>
          <cell r="BX73">
            <v>1185100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616000</v>
          </cell>
          <cell r="CJ73">
            <v>0</v>
          </cell>
          <cell r="CK73">
            <v>70000</v>
          </cell>
          <cell r="CL73">
            <v>61700</v>
          </cell>
          <cell r="CM73">
            <v>437400</v>
          </cell>
          <cell r="CN73">
            <v>0</v>
          </cell>
          <cell r="CO73">
            <v>0</v>
          </cell>
          <cell r="CP73">
            <v>0</v>
          </cell>
          <cell r="CQ73">
            <v>1185100</v>
          </cell>
          <cell r="CR73">
            <v>20277000</v>
          </cell>
        </row>
        <row r="74">
          <cell r="A74">
            <v>23163</v>
          </cell>
          <cell r="B74" t="str">
            <v>O. Celis</v>
          </cell>
          <cell r="C74" t="str">
            <v>1,2 &amp; 5</v>
          </cell>
          <cell r="D74">
            <v>23163</v>
          </cell>
          <cell r="E74">
            <v>3</v>
          </cell>
          <cell r="F74" t="str">
            <v xml:space="preserve">SAN FERNANDO VALLEY COMMUNITY MHC, INC. </v>
          </cell>
          <cell r="N74">
            <v>635037</v>
          </cell>
          <cell r="O74">
            <v>5839561</v>
          </cell>
          <cell r="P74">
            <v>0</v>
          </cell>
          <cell r="Q74">
            <v>0</v>
          </cell>
          <cell r="R74">
            <v>332100</v>
          </cell>
          <cell r="S74">
            <v>0</v>
          </cell>
          <cell r="T74">
            <v>0</v>
          </cell>
          <cell r="U74">
            <v>0</v>
          </cell>
          <cell r="V74">
            <v>858800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712000</v>
          </cell>
          <cell r="AC74">
            <v>290000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132500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40000</v>
          </cell>
          <cell r="AP74">
            <v>0</v>
          </cell>
          <cell r="AQ74">
            <v>0</v>
          </cell>
          <cell r="AR74">
            <v>40000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132100</v>
          </cell>
          <cell r="AY74">
            <v>0</v>
          </cell>
          <cell r="AZ74">
            <v>42900</v>
          </cell>
          <cell r="BA74">
            <v>501500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50000</v>
          </cell>
          <cell r="BI74">
            <v>7169400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9199000</v>
          </cell>
          <cell r="BP74">
            <v>1176000</v>
          </cell>
          <cell r="BQ74">
            <v>3576500</v>
          </cell>
          <cell r="BR74">
            <v>56000</v>
          </cell>
          <cell r="BS74">
            <v>1125900</v>
          </cell>
          <cell r="BT74">
            <v>1981400</v>
          </cell>
          <cell r="BU74">
            <v>0</v>
          </cell>
          <cell r="BV74">
            <v>0</v>
          </cell>
          <cell r="BW74">
            <v>0</v>
          </cell>
          <cell r="BX74">
            <v>7915800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1176000</v>
          </cell>
          <cell r="CJ74">
            <v>3576500</v>
          </cell>
          <cell r="CK74">
            <v>56000</v>
          </cell>
          <cell r="CL74">
            <v>1125900</v>
          </cell>
          <cell r="CM74">
            <v>1981400</v>
          </cell>
          <cell r="CN74">
            <v>0</v>
          </cell>
          <cell r="CO74">
            <v>0</v>
          </cell>
          <cell r="CP74">
            <v>0</v>
          </cell>
          <cell r="CQ74">
            <v>7915800</v>
          </cell>
          <cell r="CR74">
            <v>27416100</v>
          </cell>
        </row>
        <row r="75">
          <cell r="A75">
            <v>23164</v>
          </cell>
          <cell r="B75" t="str">
            <v>T. Beliz</v>
          </cell>
          <cell r="C75" t="str">
            <v>7 &amp; 8</v>
          </cell>
          <cell r="D75">
            <v>23164</v>
          </cell>
          <cell r="E75">
            <v>4</v>
          </cell>
          <cell r="F75" t="str">
            <v>HEALTH VIEW INC.</v>
          </cell>
          <cell r="N75">
            <v>7415</v>
          </cell>
          <cell r="O75">
            <v>360701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769900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177900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177900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177900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177900</v>
          </cell>
          <cell r="CR75">
            <v>947800</v>
          </cell>
        </row>
        <row r="76">
          <cell r="A76">
            <v>23165</v>
          </cell>
          <cell r="B76" t="str">
            <v>O. Celis</v>
          </cell>
          <cell r="C76" t="str">
            <v>1,2 &amp; 5</v>
          </cell>
          <cell r="D76">
            <v>23165</v>
          </cell>
          <cell r="E76">
            <v>5</v>
          </cell>
          <cell r="F76" t="str">
            <v>CHILD &amp; FAMILY CENTER (SANTA CLARITA CHILD &amp; FAMILY)</v>
          </cell>
          <cell r="N76">
            <v>251000</v>
          </cell>
          <cell r="O76">
            <v>620105</v>
          </cell>
          <cell r="P76">
            <v>2095</v>
          </cell>
          <cell r="Q76">
            <v>0</v>
          </cell>
          <cell r="R76">
            <v>453800</v>
          </cell>
          <cell r="S76">
            <v>0</v>
          </cell>
          <cell r="T76">
            <v>0</v>
          </cell>
          <cell r="U76">
            <v>0</v>
          </cell>
          <cell r="V76">
            <v>224100</v>
          </cell>
          <cell r="W76">
            <v>18000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538600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91700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378600</v>
          </cell>
          <cell r="AX76">
            <v>1153800</v>
          </cell>
          <cell r="AY76">
            <v>0</v>
          </cell>
          <cell r="AZ76">
            <v>0</v>
          </cell>
          <cell r="BA76">
            <v>285800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209600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288000</v>
          </cell>
          <cell r="BO76">
            <v>3897000</v>
          </cell>
          <cell r="BP76">
            <v>392000</v>
          </cell>
          <cell r="BQ76">
            <v>42000</v>
          </cell>
          <cell r="BR76">
            <v>28000</v>
          </cell>
          <cell r="BS76">
            <v>79800</v>
          </cell>
          <cell r="BT76">
            <v>258300</v>
          </cell>
          <cell r="BU76">
            <v>0</v>
          </cell>
          <cell r="BV76">
            <v>0</v>
          </cell>
          <cell r="BW76">
            <v>0</v>
          </cell>
          <cell r="BX76">
            <v>800100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392000</v>
          </cell>
          <cell r="CJ76">
            <v>42000</v>
          </cell>
          <cell r="CK76">
            <v>28000</v>
          </cell>
          <cell r="CL76">
            <v>79800</v>
          </cell>
          <cell r="CM76">
            <v>258300</v>
          </cell>
          <cell r="CN76">
            <v>0</v>
          </cell>
          <cell r="CO76">
            <v>0</v>
          </cell>
          <cell r="CP76">
            <v>0</v>
          </cell>
          <cell r="CQ76">
            <v>800100</v>
          </cell>
          <cell r="CR76">
            <v>8339100</v>
          </cell>
        </row>
        <row r="77">
          <cell r="A77">
            <v>23167</v>
          </cell>
          <cell r="B77" t="str">
            <v>O. Celis</v>
          </cell>
          <cell r="C77" t="str">
            <v>1,2 &amp; 5</v>
          </cell>
          <cell r="D77">
            <v>23167</v>
          </cell>
          <cell r="E77">
            <v>3</v>
          </cell>
          <cell r="F77" t="str">
            <v>ST. JOSEPH CENTER</v>
          </cell>
          <cell r="N77">
            <v>4532</v>
          </cell>
          <cell r="O77">
            <v>189741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7600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99600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340000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232000</v>
          </cell>
          <cell r="BR77">
            <v>0</v>
          </cell>
          <cell r="BS77">
            <v>3000</v>
          </cell>
          <cell r="BT77">
            <v>111100</v>
          </cell>
          <cell r="BU77">
            <v>0</v>
          </cell>
          <cell r="BV77">
            <v>0</v>
          </cell>
          <cell r="BW77">
            <v>0</v>
          </cell>
          <cell r="BX77">
            <v>346100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232000</v>
          </cell>
          <cell r="CK77">
            <v>0</v>
          </cell>
          <cell r="CL77">
            <v>3000</v>
          </cell>
          <cell r="CM77">
            <v>111100</v>
          </cell>
          <cell r="CN77">
            <v>0</v>
          </cell>
          <cell r="CO77">
            <v>0</v>
          </cell>
          <cell r="CP77">
            <v>0</v>
          </cell>
          <cell r="CQ77">
            <v>346100</v>
          </cell>
          <cell r="CR77">
            <v>793300</v>
          </cell>
        </row>
        <row r="78">
          <cell r="A78">
            <v>23168</v>
          </cell>
          <cell r="B78" t="str">
            <v>O. Celis</v>
          </cell>
          <cell r="C78">
            <v>3</v>
          </cell>
          <cell r="D78">
            <v>23168</v>
          </cell>
          <cell r="E78">
            <v>5</v>
          </cell>
          <cell r="F78" t="str">
            <v>SOCIAL MODEL RECOVERY SYSTEMS, INC.</v>
          </cell>
          <cell r="N78">
            <v>16877</v>
          </cell>
          <cell r="O78">
            <v>602037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418700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1300100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212100</v>
          </cell>
          <cell r="BP78">
            <v>0</v>
          </cell>
          <cell r="BQ78">
            <v>700400</v>
          </cell>
          <cell r="BR78">
            <v>0</v>
          </cell>
          <cell r="BS78">
            <v>0</v>
          </cell>
          <cell r="BT78">
            <v>200000</v>
          </cell>
          <cell r="BU78">
            <v>0</v>
          </cell>
          <cell r="BV78">
            <v>0</v>
          </cell>
          <cell r="BW78">
            <v>0</v>
          </cell>
          <cell r="BX78">
            <v>900400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700400</v>
          </cell>
          <cell r="CK78">
            <v>0</v>
          </cell>
          <cell r="CL78">
            <v>0</v>
          </cell>
          <cell r="CM78">
            <v>200000</v>
          </cell>
          <cell r="CN78">
            <v>0</v>
          </cell>
          <cell r="CO78">
            <v>0</v>
          </cell>
          <cell r="CP78">
            <v>0</v>
          </cell>
          <cell r="CQ78">
            <v>900400</v>
          </cell>
          <cell r="CR78">
            <v>2831300</v>
          </cell>
        </row>
        <row r="79">
          <cell r="A79">
            <v>23169</v>
          </cell>
          <cell r="B79" t="str">
            <v>O. Celis</v>
          </cell>
          <cell r="C79" t="str">
            <v>7 &amp; 8</v>
          </cell>
          <cell r="D79">
            <v>23169</v>
          </cell>
          <cell r="E79">
            <v>4</v>
          </cell>
          <cell r="F79" t="str">
            <v>SOUTH BAY CHILDREN'S HEALTH CENTER ASSOCIATION</v>
          </cell>
          <cell r="N79">
            <v>0</v>
          </cell>
          <cell r="O79">
            <v>435103</v>
          </cell>
          <cell r="P79">
            <v>0</v>
          </cell>
          <cell r="Q79">
            <v>0</v>
          </cell>
          <cell r="R79">
            <v>14600</v>
          </cell>
          <cell r="S79">
            <v>0</v>
          </cell>
          <cell r="T79">
            <v>0</v>
          </cell>
          <cell r="U79">
            <v>0</v>
          </cell>
          <cell r="V79">
            <v>9900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95100</v>
          </cell>
          <cell r="AX79">
            <v>14600</v>
          </cell>
          <cell r="AY79">
            <v>0</v>
          </cell>
          <cell r="AZ79">
            <v>0</v>
          </cell>
          <cell r="BA79">
            <v>34100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610700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779000</v>
          </cell>
        </row>
        <row r="80">
          <cell r="A80">
            <v>23170</v>
          </cell>
          <cell r="B80" t="str">
            <v>O. Celis</v>
          </cell>
          <cell r="C80">
            <v>4</v>
          </cell>
          <cell r="D80">
            <v>23170</v>
          </cell>
          <cell r="E80">
            <v>1</v>
          </cell>
          <cell r="F80" t="str">
            <v xml:space="preserve">SPECIAL SERVICE FOR GROUPS </v>
          </cell>
          <cell r="N80">
            <v>261309</v>
          </cell>
          <cell r="O80">
            <v>4142546</v>
          </cell>
          <cell r="P80">
            <v>0</v>
          </cell>
          <cell r="Q80">
            <v>0</v>
          </cell>
          <cell r="R80">
            <v>107800</v>
          </cell>
          <cell r="S80">
            <v>0</v>
          </cell>
          <cell r="T80">
            <v>0</v>
          </cell>
          <cell r="U80">
            <v>0</v>
          </cell>
          <cell r="V80">
            <v>193500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250000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1700</v>
          </cell>
          <cell r="AX80">
            <v>32800</v>
          </cell>
          <cell r="AY80">
            <v>0</v>
          </cell>
          <cell r="AZ80">
            <v>31200</v>
          </cell>
          <cell r="BA80">
            <v>261200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5604000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288000</v>
          </cell>
          <cell r="BO80">
            <v>6508300</v>
          </cell>
          <cell r="BP80">
            <v>2506000</v>
          </cell>
          <cell r="BQ80">
            <v>4662400</v>
          </cell>
          <cell r="BR80">
            <v>42000</v>
          </cell>
          <cell r="BS80">
            <v>2012200</v>
          </cell>
          <cell r="BT80">
            <v>3086400</v>
          </cell>
          <cell r="BU80">
            <v>0</v>
          </cell>
          <cell r="BV80">
            <v>0</v>
          </cell>
          <cell r="BW80">
            <v>0</v>
          </cell>
          <cell r="BX80">
            <v>12309000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2506000</v>
          </cell>
          <cell r="CJ80">
            <v>4662400</v>
          </cell>
          <cell r="CK80">
            <v>42000</v>
          </cell>
          <cell r="CL80">
            <v>2012200</v>
          </cell>
          <cell r="CM80">
            <v>3086400</v>
          </cell>
          <cell r="CN80">
            <v>0</v>
          </cell>
          <cell r="CO80">
            <v>0</v>
          </cell>
          <cell r="CP80">
            <v>0</v>
          </cell>
          <cell r="CQ80">
            <v>12309000</v>
          </cell>
          <cell r="CR80">
            <v>25587500</v>
          </cell>
        </row>
        <row r="81">
          <cell r="A81">
            <v>23171</v>
          </cell>
          <cell r="B81" t="str">
            <v>O. Celis</v>
          </cell>
          <cell r="C81" t="str">
            <v>1,2 &amp; 5</v>
          </cell>
          <cell r="D81">
            <v>23171</v>
          </cell>
          <cell r="E81">
            <v>3</v>
          </cell>
          <cell r="F81" t="str">
            <v>ST. JOHN'S HOSPITAL AND HEALTH CTR</v>
          </cell>
          <cell r="N81">
            <v>10213</v>
          </cell>
          <cell r="O81">
            <v>1105486</v>
          </cell>
          <cell r="P81">
            <v>0</v>
          </cell>
          <cell r="Q81">
            <v>0</v>
          </cell>
          <cell r="R81">
            <v>30200</v>
          </cell>
          <cell r="S81">
            <v>0</v>
          </cell>
          <cell r="T81">
            <v>0</v>
          </cell>
          <cell r="U81">
            <v>0</v>
          </cell>
          <cell r="V81">
            <v>334800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71700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208500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340400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1247400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133500</v>
          </cell>
          <cell r="BU81">
            <v>0</v>
          </cell>
          <cell r="BV81">
            <v>0</v>
          </cell>
          <cell r="BW81">
            <v>0</v>
          </cell>
          <cell r="BX81">
            <v>133500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133500</v>
          </cell>
          <cell r="CN81">
            <v>0</v>
          </cell>
          <cell r="CO81">
            <v>0</v>
          </cell>
          <cell r="CP81">
            <v>0</v>
          </cell>
          <cell r="CQ81">
            <v>133500</v>
          </cell>
          <cell r="CR81">
            <v>2366500</v>
          </cell>
        </row>
        <row r="82">
          <cell r="A82">
            <v>23172</v>
          </cell>
          <cell r="B82" t="str">
            <v>R. Kay</v>
          </cell>
          <cell r="C82" t="str">
            <v>7 &amp; 8</v>
          </cell>
          <cell r="D82">
            <v>23172</v>
          </cell>
          <cell r="E82" t="str">
            <v>N/A</v>
          </cell>
          <cell r="F82" t="str">
            <v>TELECARE CORP. (LA PAZ &amp; LA CASA MENTAL HEALTH CTR)</v>
          </cell>
          <cell r="N82">
            <v>846670</v>
          </cell>
          <cell r="O82">
            <v>2053376</v>
          </cell>
          <cell r="P82">
            <v>0</v>
          </cell>
          <cell r="Q82">
            <v>0</v>
          </cell>
          <cell r="R82">
            <v>0</v>
          </cell>
          <cell r="S82">
            <v>245000</v>
          </cell>
          <cell r="T82">
            <v>0</v>
          </cell>
          <cell r="U82">
            <v>0</v>
          </cell>
          <cell r="V82">
            <v>1333800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2115000</v>
          </cell>
          <cell r="BJ82">
            <v>0</v>
          </cell>
          <cell r="BK82">
            <v>0</v>
          </cell>
          <cell r="BL82">
            <v>0</v>
          </cell>
          <cell r="BN82">
            <v>0</v>
          </cell>
          <cell r="BO82">
            <v>92600</v>
          </cell>
          <cell r="BP82">
            <v>0</v>
          </cell>
          <cell r="BQ82">
            <v>3631700</v>
          </cell>
          <cell r="BR82">
            <v>0</v>
          </cell>
          <cell r="BS82">
            <v>1118000</v>
          </cell>
          <cell r="BT82">
            <v>1680300</v>
          </cell>
          <cell r="BU82">
            <v>0</v>
          </cell>
          <cell r="BV82">
            <v>0</v>
          </cell>
          <cell r="BW82">
            <v>0</v>
          </cell>
          <cell r="BX82">
            <v>6430000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3631700</v>
          </cell>
          <cell r="CK82">
            <v>0</v>
          </cell>
          <cell r="CL82">
            <v>1118000</v>
          </cell>
          <cell r="CM82">
            <v>1680300</v>
          </cell>
          <cell r="CN82">
            <v>0</v>
          </cell>
          <cell r="CO82">
            <v>0</v>
          </cell>
          <cell r="CP82">
            <v>0</v>
          </cell>
          <cell r="CQ82">
            <v>6430000</v>
          </cell>
          <cell r="CR82">
            <v>10216400</v>
          </cell>
        </row>
        <row r="83">
          <cell r="A83">
            <v>23173</v>
          </cell>
          <cell r="B83" t="str">
            <v>T. Beliz</v>
          </cell>
          <cell r="C83">
            <v>4</v>
          </cell>
          <cell r="D83">
            <v>23173</v>
          </cell>
          <cell r="E83">
            <v>1</v>
          </cell>
          <cell r="F83" t="str">
            <v>AMANECER COMMUNITY COUNSELING SRVS., INC. (FORMELY COMMUNITY COUNSELING SERVICES)</v>
          </cell>
          <cell r="G83" t="str">
            <v xml:space="preserve">                          </v>
          </cell>
          <cell r="N83">
            <v>163277</v>
          </cell>
          <cell r="O83">
            <v>1461910</v>
          </cell>
          <cell r="P83">
            <v>0</v>
          </cell>
          <cell r="Q83">
            <v>0</v>
          </cell>
          <cell r="R83">
            <v>77800</v>
          </cell>
          <cell r="S83">
            <v>0</v>
          </cell>
          <cell r="T83">
            <v>0</v>
          </cell>
          <cell r="U83">
            <v>0</v>
          </cell>
          <cell r="V83">
            <v>890400</v>
          </cell>
          <cell r="W83">
            <v>64700</v>
          </cell>
          <cell r="X83">
            <v>0</v>
          </cell>
          <cell r="Y83">
            <v>0</v>
          </cell>
          <cell r="Z83">
            <v>18000</v>
          </cell>
          <cell r="AA83">
            <v>0</v>
          </cell>
          <cell r="AB83">
            <v>384400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40000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4300</v>
          </cell>
          <cell r="AX83">
            <v>27800</v>
          </cell>
          <cell r="AY83">
            <v>0</v>
          </cell>
          <cell r="AZ83">
            <v>0</v>
          </cell>
          <cell r="BA83">
            <v>81800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806600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144000</v>
          </cell>
          <cell r="BO83">
            <v>3376200</v>
          </cell>
          <cell r="BP83">
            <v>0</v>
          </cell>
          <cell r="BQ83">
            <v>154700</v>
          </cell>
          <cell r="BR83">
            <v>0</v>
          </cell>
          <cell r="BS83">
            <v>0</v>
          </cell>
          <cell r="BT83">
            <v>228200</v>
          </cell>
          <cell r="BU83">
            <v>0</v>
          </cell>
          <cell r="BV83">
            <v>0</v>
          </cell>
          <cell r="BW83">
            <v>0</v>
          </cell>
          <cell r="BX83">
            <v>382900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154700</v>
          </cell>
          <cell r="CK83">
            <v>0</v>
          </cell>
          <cell r="CL83">
            <v>0</v>
          </cell>
          <cell r="CM83">
            <v>228200</v>
          </cell>
          <cell r="CN83">
            <v>0</v>
          </cell>
          <cell r="CO83">
            <v>0</v>
          </cell>
          <cell r="CP83">
            <v>0</v>
          </cell>
          <cell r="CQ83">
            <v>382900</v>
          </cell>
          <cell r="CR83">
            <v>6298900</v>
          </cell>
        </row>
        <row r="84">
          <cell r="A84">
            <v>23174</v>
          </cell>
          <cell r="B84" t="str">
            <v>R. Kay</v>
          </cell>
          <cell r="C84">
            <v>4</v>
          </cell>
          <cell r="D84">
            <v>23174</v>
          </cell>
          <cell r="E84">
            <v>2</v>
          </cell>
          <cell r="F84" t="str">
            <v>HEALTH RESEARCH ASSOCIATION (dba USC ALTERNATIVE )</v>
          </cell>
          <cell r="N84">
            <v>0</v>
          </cell>
          <cell r="O84">
            <v>180634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53600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202900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21100</v>
          </cell>
          <cell r="BU84">
            <v>0</v>
          </cell>
          <cell r="BV84">
            <v>0</v>
          </cell>
          <cell r="BW84">
            <v>0</v>
          </cell>
          <cell r="BX84">
            <v>21100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21100</v>
          </cell>
          <cell r="CN84">
            <v>0</v>
          </cell>
          <cell r="CO84">
            <v>0</v>
          </cell>
          <cell r="CP84">
            <v>0</v>
          </cell>
          <cell r="CQ84">
            <v>21100</v>
          </cell>
          <cell r="CR84">
            <v>277600</v>
          </cell>
        </row>
        <row r="85">
          <cell r="A85">
            <v>23175</v>
          </cell>
          <cell r="B85" t="str">
            <v>R. Kay</v>
          </cell>
          <cell r="C85" t="str">
            <v>7 &amp; 8</v>
          </cell>
          <cell r="D85">
            <v>23175</v>
          </cell>
          <cell r="E85">
            <v>2</v>
          </cell>
          <cell r="F85" t="str">
            <v>TRANSITIONAL LIVING CENTERS FOR LA COUNTY, INC.</v>
          </cell>
          <cell r="N85">
            <v>0</v>
          </cell>
          <cell r="O85">
            <v>1295524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306200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728600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56800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558300</v>
          </cell>
          <cell r="BU85">
            <v>0</v>
          </cell>
          <cell r="BV85">
            <v>0</v>
          </cell>
          <cell r="BW85">
            <v>0</v>
          </cell>
          <cell r="BX85">
            <v>558300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558300</v>
          </cell>
          <cell r="CN85">
            <v>0</v>
          </cell>
          <cell r="CO85">
            <v>0</v>
          </cell>
          <cell r="CP85">
            <v>0</v>
          </cell>
          <cell r="CQ85">
            <v>558300</v>
          </cell>
          <cell r="CR85">
            <v>1649900</v>
          </cell>
        </row>
        <row r="86">
          <cell r="A86">
            <v>23176</v>
          </cell>
          <cell r="B86" t="str">
            <v>R. Kay</v>
          </cell>
          <cell r="C86">
            <v>4</v>
          </cell>
          <cell r="D86">
            <v>23176</v>
          </cell>
          <cell r="E86">
            <v>3</v>
          </cell>
          <cell r="F86" t="str">
            <v>TRAVELERS AID SOCIETY OF LOS ANGELES</v>
          </cell>
          <cell r="N86">
            <v>0</v>
          </cell>
          <cell r="O86">
            <v>84648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98700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22800</v>
          </cell>
          <cell r="BU86">
            <v>0</v>
          </cell>
          <cell r="BV86">
            <v>0</v>
          </cell>
          <cell r="BW86">
            <v>0</v>
          </cell>
          <cell r="BX86">
            <v>22800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22800</v>
          </cell>
          <cell r="CN86">
            <v>0</v>
          </cell>
          <cell r="CO86">
            <v>0</v>
          </cell>
          <cell r="CP86">
            <v>0</v>
          </cell>
          <cell r="CQ86">
            <v>22800</v>
          </cell>
          <cell r="CR86">
            <v>121500</v>
          </cell>
        </row>
        <row r="87">
          <cell r="A87">
            <v>23178</v>
          </cell>
          <cell r="B87" t="str">
            <v>T. Beliz</v>
          </cell>
          <cell r="C87" t="str">
            <v>1,2 &amp; 5</v>
          </cell>
          <cell r="D87">
            <v>23178</v>
          </cell>
          <cell r="E87">
            <v>5</v>
          </cell>
          <cell r="F87" t="str">
            <v xml:space="preserve">VERDUGO MENTAL HEALTH CENTER </v>
          </cell>
          <cell r="N87">
            <v>20455</v>
          </cell>
          <cell r="O87">
            <v>2096906</v>
          </cell>
          <cell r="P87">
            <v>3740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244000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250000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135600</v>
          </cell>
          <cell r="AX87">
            <v>0</v>
          </cell>
          <cell r="AY87">
            <v>0</v>
          </cell>
          <cell r="AZ87">
            <v>0</v>
          </cell>
          <cell r="BA87">
            <v>215100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1447400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1932000</v>
          </cell>
          <cell r="BP87">
            <v>0</v>
          </cell>
          <cell r="BQ87">
            <v>443900</v>
          </cell>
          <cell r="BR87">
            <v>0</v>
          </cell>
          <cell r="BS87">
            <v>140000</v>
          </cell>
          <cell r="BT87">
            <v>240100</v>
          </cell>
          <cell r="BU87">
            <v>0</v>
          </cell>
          <cell r="BV87">
            <v>0</v>
          </cell>
          <cell r="BW87">
            <v>0</v>
          </cell>
          <cell r="BX87">
            <v>824000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443900</v>
          </cell>
          <cell r="CK87">
            <v>0</v>
          </cell>
          <cell r="CL87">
            <v>140000</v>
          </cell>
          <cell r="CM87">
            <v>240100</v>
          </cell>
          <cell r="CN87">
            <v>0</v>
          </cell>
          <cell r="CO87">
            <v>0</v>
          </cell>
          <cell r="CP87">
            <v>0</v>
          </cell>
          <cell r="CQ87">
            <v>824000</v>
          </cell>
          <cell r="CR87">
            <v>5048100</v>
          </cell>
        </row>
        <row r="88">
          <cell r="A88">
            <v>23179</v>
          </cell>
          <cell r="B88" t="str">
            <v>T. Beliz</v>
          </cell>
          <cell r="C88">
            <v>6</v>
          </cell>
          <cell r="D88">
            <v>23179</v>
          </cell>
          <cell r="E88">
            <v>2</v>
          </cell>
          <cell r="F88" t="str">
            <v xml:space="preserve">WATTS LABOR COMMMUNITY ACTION COMMMITTEE (WLCAC) </v>
          </cell>
          <cell r="N88">
            <v>0</v>
          </cell>
          <cell r="O88">
            <v>232225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200700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51400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252100</v>
          </cell>
        </row>
        <row r="89">
          <cell r="A89">
            <v>23180</v>
          </cell>
          <cell r="B89" t="str">
            <v>T. Beliz</v>
          </cell>
          <cell r="C89" t="str">
            <v>1,2 &amp; 5</v>
          </cell>
          <cell r="D89">
            <v>23180</v>
          </cell>
          <cell r="E89">
            <v>2</v>
          </cell>
          <cell r="F89" t="str">
            <v>WESTSIDE CENTER FOR INDEPENDENT LIVING, INC.</v>
          </cell>
          <cell r="N89">
            <v>0</v>
          </cell>
          <cell r="O89">
            <v>94470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115800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26000</v>
          </cell>
          <cell r="BT89">
            <v>26800</v>
          </cell>
          <cell r="BU89">
            <v>0</v>
          </cell>
          <cell r="BV89">
            <v>0</v>
          </cell>
          <cell r="BW89">
            <v>0</v>
          </cell>
          <cell r="BX89">
            <v>52800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26000</v>
          </cell>
          <cell r="CM89">
            <v>26800</v>
          </cell>
          <cell r="CN89">
            <v>0</v>
          </cell>
          <cell r="CO89">
            <v>0</v>
          </cell>
          <cell r="CP89">
            <v>0</v>
          </cell>
          <cell r="CQ89">
            <v>52800</v>
          </cell>
          <cell r="CR89">
            <v>168600</v>
          </cell>
        </row>
        <row r="90">
          <cell r="A90">
            <v>23182</v>
          </cell>
          <cell r="B90" t="str">
            <v>O. Celis</v>
          </cell>
          <cell r="C90" t="str">
            <v>1,2 &amp; 5</v>
          </cell>
          <cell r="D90">
            <v>23182</v>
          </cell>
          <cell r="E90">
            <v>3</v>
          </cell>
          <cell r="F90" t="str">
            <v>STEP-UP ON SECOND STREET, INC.</v>
          </cell>
          <cell r="N90">
            <v>0</v>
          </cell>
          <cell r="O90">
            <v>1086555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115700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80000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1396200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196000</v>
          </cell>
          <cell r="BP90">
            <v>0</v>
          </cell>
          <cell r="BQ90">
            <v>431500</v>
          </cell>
          <cell r="BR90">
            <v>0</v>
          </cell>
          <cell r="BS90">
            <v>192600</v>
          </cell>
          <cell r="BT90">
            <v>608600</v>
          </cell>
          <cell r="BU90">
            <v>0</v>
          </cell>
          <cell r="BV90">
            <v>0</v>
          </cell>
          <cell r="BW90">
            <v>0</v>
          </cell>
          <cell r="BX90">
            <v>1232700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431500</v>
          </cell>
          <cell r="CK90">
            <v>0</v>
          </cell>
          <cell r="CL90">
            <v>192600</v>
          </cell>
          <cell r="CM90">
            <v>608600</v>
          </cell>
          <cell r="CN90">
            <v>0</v>
          </cell>
          <cell r="CO90">
            <v>0</v>
          </cell>
          <cell r="CP90">
            <v>0</v>
          </cell>
          <cell r="CQ90">
            <v>1232700</v>
          </cell>
          <cell r="CR90">
            <v>3020600</v>
          </cell>
        </row>
        <row r="91">
          <cell r="A91">
            <v>23186</v>
          </cell>
          <cell r="B91" t="str">
            <v>R. Kay</v>
          </cell>
          <cell r="C91">
            <v>3</v>
          </cell>
          <cell r="D91">
            <v>23186</v>
          </cell>
          <cell r="E91">
            <v>5</v>
          </cell>
          <cell r="F91" t="str">
            <v>THE INSTITUTE FOR THE REDESIGN OF LEARNING (ALMANSOR)</v>
          </cell>
          <cell r="N91">
            <v>0</v>
          </cell>
          <cell r="O91">
            <v>192414</v>
          </cell>
          <cell r="P91">
            <v>0</v>
          </cell>
          <cell r="Q91">
            <v>0</v>
          </cell>
          <cell r="R91">
            <v>150000</v>
          </cell>
          <cell r="S91">
            <v>0</v>
          </cell>
          <cell r="T91">
            <v>0</v>
          </cell>
          <cell r="U91">
            <v>0</v>
          </cell>
          <cell r="V91">
            <v>53300</v>
          </cell>
          <cell r="W91">
            <v>0</v>
          </cell>
          <cell r="X91">
            <v>0</v>
          </cell>
          <cell r="Y91">
            <v>0</v>
          </cell>
          <cell r="Z91">
            <v>59200</v>
          </cell>
          <cell r="AA91">
            <v>50160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135500</v>
          </cell>
          <cell r="AX91">
            <v>125000</v>
          </cell>
          <cell r="AY91">
            <v>0</v>
          </cell>
          <cell r="AZ91">
            <v>72100</v>
          </cell>
          <cell r="BA91">
            <v>363800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270000</v>
          </cell>
          <cell r="BM91">
            <v>200640</v>
          </cell>
          <cell r="BN91">
            <v>0</v>
          </cell>
          <cell r="BO91">
            <v>6426000</v>
          </cell>
          <cell r="BP91">
            <v>616000</v>
          </cell>
          <cell r="BQ91">
            <v>0</v>
          </cell>
          <cell r="BR91">
            <v>28000</v>
          </cell>
          <cell r="BS91">
            <v>33800</v>
          </cell>
          <cell r="BT91">
            <v>245100</v>
          </cell>
          <cell r="BU91">
            <v>0</v>
          </cell>
          <cell r="BV91">
            <v>0</v>
          </cell>
          <cell r="BW91">
            <v>0</v>
          </cell>
          <cell r="BX91">
            <v>922900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616000</v>
          </cell>
          <cell r="CJ91">
            <v>0</v>
          </cell>
          <cell r="CK91">
            <v>28000</v>
          </cell>
          <cell r="CL91">
            <v>33800</v>
          </cell>
          <cell r="CM91">
            <v>245100</v>
          </cell>
          <cell r="CN91">
            <v>0</v>
          </cell>
          <cell r="CO91">
            <v>0</v>
          </cell>
          <cell r="CP91">
            <v>0</v>
          </cell>
          <cell r="CQ91">
            <v>922900</v>
          </cell>
          <cell r="CR91">
            <v>8828600</v>
          </cell>
        </row>
        <row r="92">
          <cell r="A92">
            <v>23187</v>
          </cell>
          <cell r="B92" t="str">
            <v>O. Celis</v>
          </cell>
          <cell r="C92" t="str">
            <v>1,2 &amp; 5</v>
          </cell>
          <cell r="D92">
            <v>23187</v>
          </cell>
          <cell r="E92">
            <v>3</v>
          </cell>
          <cell r="F92" t="str">
            <v>STIRLING ACADEMY, INC.(STIRLING BEHAVIORAL HEALTH INST.)</v>
          </cell>
          <cell r="N92">
            <v>0</v>
          </cell>
          <cell r="O92">
            <v>41767</v>
          </cell>
          <cell r="P92">
            <v>0</v>
          </cell>
          <cell r="Q92">
            <v>0</v>
          </cell>
          <cell r="R92">
            <v>271000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299900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36800</v>
          </cell>
          <cell r="AX92">
            <v>321000</v>
          </cell>
          <cell r="AY92">
            <v>0</v>
          </cell>
          <cell r="AZ92">
            <v>30000</v>
          </cell>
          <cell r="BA92">
            <v>147600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1905200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3011500</v>
          </cell>
        </row>
        <row r="93">
          <cell r="A93">
            <v>23188</v>
          </cell>
          <cell r="B93" t="str">
            <v>T. Beliz</v>
          </cell>
          <cell r="C93" t="str">
            <v>1,2 &amp; 5</v>
          </cell>
          <cell r="D93">
            <v>23188</v>
          </cell>
          <cell r="E93">
            <v>2</v>
          </cell>
          <cell r="F93" t="str">
            <v>VISTA DEL MAR CHILD &amp; FAMILY SVCS (JEWISH ORPHANS)</v>
          </cell>
          <cell r="N93">
            <v>0</v>
          </cell>
          <cell r="O93">
            <v>421156</v>
          </cell>
          <cell r="P93">
            <v>4900</v>
          </cell>
          <cell r="Q93">
            <v>0</v>
          </cell>
          <cell r="R93">
            <v>333800</v>
          </cell>
          <cell r="S93">
            <v>0</v>
          </cell>
          <cell r="T93">
            <v>0</v>
          </cell>
          <cell r="U93">
            <v>0</v>
          </cell>
          <cell r="V93">
            <v>243700</v>
          </cell>
          <cell r="W93">
            <v>26700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40000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289100</v>
          </cell>
          <cell r="AX93">
            <v>482400</v>
          </cell>
          <cell r="AY93">
            <v>0</v>
          </cell>
          <cell r="AZ93">
            <v>10000</v>
          </cell>
          <cell r="BA93">
            <v>53600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144000</v>
          </cell>
          <cell r="BO93">
            <v>6538600</v>
          </cell>
          <cell r="BP93">
            <v>0</v>
          </cell>
          <cell r="BQ93">
            <v>15000</v>
          </cell>
          <cell r="BR93">
            <v>0</v>
          </cell>
          <cell r="BS93">
            <v>0</v>
          </cell>
          <cell r="BT93">
            <v>53800</v>
          </cell>
          <cell r="BU93">
            <v>0</v>
          </cell>
          <cell r="BV93">
            <v>0</v>
          </cell>
          <cell r="BW93">
            <v>0</v>
          </cell>
          <cell r="BX93">
            <v>68800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15000</v>
          </cell>
          <cell r="CK93">
            <v>0</v>
          </cell>
          <cell r="CL93">
            <v>0</v>
          </cell>
          <cell r="CM93">
            <v>53800</v>
          </cell>
          <cell r="CN93">
            <v>0</v>
          </cell>
          <cell r="CO93">
            <v>0</v>
          </cell>
          <cell r="CP93">
            <v>0</v>
          </cell>
          <cell r="CQ93">
            <v>68800</v>
          </cell>
          <cell r="CR93">
            <v>8230700</v>
          </cell>
        </row>
        <row r="94">
          <cell r="A94">
            <v>23190</v>
          </cell>
          <cell r="B94" t="str">
            <v>R. Kay</v>
          </cell>
          <cell r="C94">
            <v>4</v>
          </cell>
          <cell r="D94">
            <v>23190</v>
          </cell>
          <cell r="E94">
            <v>3</v>
          </cell>
          <cell r="F94" t="str">
            <v>THE LOS ANGELES FREE CLINIC</v>
          </cell>
          <cell r="N94">
            <v>0</v>
          </cell>
          <cell r="O94">
            <v>23430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3300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20000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23300</v>
          </cell>
        </row>
        <row r="95">
          <cell r="A95">
            <v>27210</v>
          </cell>
          <cell r="B95" t="str">
            <v>J. Allen</v>
          </cell>
          <cell r="C95">
            <v>3</v>
          </cell>
          <cell r="D95">
            <v>27210</v>
          </cell>
          <cell r="E95">
            <v>2</v>
          </cell>
          <cell r="F95" t="str">
            <v>PROTOTYPES</v>
          </cell>
          <cell r="N95">
            <v>7157</v>
          </cell>
          <cell r="O95">
            <v>473990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8900</v>
          </cell>
          <cell r="W95">
            <v>0</v>
          </cell>
          <cell r="X95">
            <v>0</v>
          </cell>
          <cell r="Y95">
            <v>0</v>
          </cell>
          <cell r="Z95">
            <v>21900</v>
          </cell>
          <cell r="AA95">
            <v>0</v>
          </cell>
          <cell r="AB95">
            <v>530000</v>
          </cell>
          <cell r="AC95">
            <v>290000</v>
          </cell>
          <cell r="AD95">
            <v>0</v>
          </cell>
          <cell r="AE95">
            <v>22600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100000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1200000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1465300</v>
          </cell>
          <cell r="BP95">
            <v>308000</v>
          </cell>
          <cell r="BQ95">
            <v>1158000</v>
          </cell>
          <cell r="BR95">
            <v>0</v>
          </cell>
          <cell r="BS95">
            <v>640500</v>
          </cell>
          <cell r="BT95">
            <v>630800</v>
          </cell>
          <cell r="BU95">
            <v>0</v>
          </cell>
          <cell r="BV95">
            <v>0</v>
          </cell>
          <cell r="BW95">
            <v>0</v>
          </cell>
          <cell r="BX95">
            <v>2737300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308000</v>
          </cell>
          <cell r="CJ95">
            <v>1158000</v>
          </cell>
          <cell r="CK95">
            <v>0</v>
          </cell>
          <cell r="CL95">
            <v>640500</v>
          </cell>
          <cell r="CM95">
            <v>630800</v>
          </cell>
          <cell r="CN95">
            <v>0</v>
          </cell>
          <cell r="CO95">
            <v>0</v>
          </cell>
          <cell r="CP95">
            <v>0</v>
          </cell>
          <cell r="CQ95">
            <v>2737300</v>
          </cell>
          <cell r="CR95">
            <v>6376000</v>
          </cell>
        </row>
        <row r="96">
          <cell r="A96">
            <v>27231</v>
          </cell>
          <cell r="B96" t="str">
            <v>R. Kay</v>
          </cell>
          <cell r="C96">
            <v>3</v>
          </cell>
          <cell r="D96">
            <v>27231</v>
          </cell>
          <cell r="E96">
            <v>2</v>
          </cell>
          <cell r="F96" t="str">
            <v>GAY &amp; LESBIAN ADOLESCENT SOC. SVCS, INC. **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</row>
        <row r="97">
          <cell r="A97">
            <v>27233</v>
          </cell>
          <cell r="B97" t="str">
            <v>J. Allen</v>
          </cell>
          <cell r="C97">
            <v>3</v>
          </cell>
          <cell r="D97">
            <v>27233</v>
          </cell>
          <cell r="E97">
            <v>5</v>
          </cell>
          <cell r="F97" t="str">
            <v>BIENVENIDOS CHILDREN'S CTR, INC.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300</v>
          </cell>
          <cell r="W97">
            <v>0</v>
          </cell>
          <cell r="X97">
            <v>0</v>
          </cell>
          <cell r="Y97">
            <v>0</v>
          </cell>
          <cell r="Z97">
            <v>41600</v>
          </cell>
          <cell r="AA97">
            <v>50160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1200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2600</v>
          </cell>
          <cell r="BJ97">
            <v>0</v>
          </cell>
          <cell r="BK97">
            <v>0</v>
          </cell>
          <cell r="BL97">
            <v>270000</v>
          </cell>
          <cell r="BM97">
            <v>200640</v>
          </cell>
          <cell r="BN97">
            <v>0</v>
          </cell>
          <cell r="BO97">
            <v>3492400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4058900</v>
          </cell>
        </row>
        <row r="98">
          <cell r="A98">
            <v>27234</v>
          </cell>
          <cell r="B98" t="str">
            <v>T. Beliz</v>
          </cell>
          <cell r="C98">
            <v>3</v>
          </cell>
          <cell r="D98">
            <v>27234</v>
          </cell>
          <cell r="E98">
            <v>1</v>
          </cell>
          <cell r="F98" t="str">
            <v>ETTIE LEE HOMES, INC.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73100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2236000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2309100</v>
          </cell>
        </row>
        <row r="99">
          <cell r="A99">
            <v>27235</v>
          </cell>
          <cell r="B99" t="str">
            <v>J. Allen</v>
          </cell>
          <cell r="C99" t="str">
            <v>7 &amp; 8</v>
          </cell>
          <cell r="D99">
            <v>27235</v>
          </cell>
          <cell r="E99">
            <v>4</v>
          </cell>
          <cell r="F99" t="str">
            <v>ONE IN LONG BEACH, INC.</v>
          </cell>
          <cell r="N99">
            <v>0</v>
          </cell>
          <cell r="O99">
            <v>143641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104000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24000</v>
          </cell>
          <cell r="BU99">
            <v>0</v>
          </cell>
          <cell r="BV99">
            <v>0</v>
          </cell>
          <cell r="BW99">
            <v>0</v>
          </cell>
          <cell r="BX99">
            <v>24000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24000</v>
          </cell>
          <cell r="CN99">
            <v>0</v>
          </cell>
          <cell r="CO99">
            <v>0</v>
          </cell>
          <cell r="CP99">
            <v>0</v>
          </cell>
          <cell r="CQ99">
            <v>24000</v>
          </cell>
          <cell r="CR99">
            <v>128000</v>
          </cell>
        </row>
        <row r="100">
          <cell r="A100">
            <v>27236</v>
          </cell>
          <cell r="B100" t="str">
            <v>O. Celis</v>
          </cell>
          <cell r="C100">
            <v>3</v>
          </cell>
          <cell r="D100">
            <v>27236</v>
          </cell>
          <cell r="E100">
            <v>5</v>
          </cell>
          <cell r="F100" t="str">
            <v>ROSEMARY CHILDREN'S SERVICES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10000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1673000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1683000</v>
          </cell>
        </row>
        <row r="101">
          <cell r="A101">
            <v>27248</v>
          </cell>
          <cell r="B101" t="str">
            <v>T. Beliz</v>
          </cell>
          <cell r="C101">
            <v>4</v>
          </cell>
          <cell r="D101">
            <v>27248</v>
          </cell>
          <cell r="E101">
            <v>1</v>
          </cell>
          <cell r="F101" t="str">
            <v>UNITED AMERICAN INDIAN INVOLVEMENT, INC.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60000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10700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1022000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1092700</v>
          </cell>
        </row>
        <row r="102">
          <cell r="A102">
            <v>27476</v>
          </cell>
          <cell r="B102" t="str">
            <v>T. Beliz</v>
          </cell>
          <cell r="C102">
            <v>3</v>
          </cell>
          <cell r="D102">
            <v>27476</v>
          </cell>
          <cell r="E102">
            <v>1</v>
          </cell>
          <cell r="F102" t="str">
            <v xml:space="preserve">WHITE MEMORIAL </v>
          </cell>
          <cell r="N102">
            <v>0</v>
          </cell>
          <cell r="O102">
            <v>238160</v>
          </cell>
          <cell r="P102">
            <v>0</v>
          </cell>
          <cell r="Q102">
            <v>0</v>
          </cell>
          <cell r="R102">
            <v>0</v>
          </cell>
          <cell r="S102">
            <v>2098800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2098800</v>
          </cell>
        </row>
        <row r="103">
          <cell r="A103">
            <v>27478</v>
          </cell>
          <cell r="B103" t="str">
            <v>T. Beliz</v>
          </cell>
          <cell r="C103">
            <v>3</v>
          </cell>
          <cell r="D103">
            <v>27478</v>
          </cell>
          <cell r="E103">
            <v>5</v>
          </cell>
          <cell r="F103" t="str">
            <v>HERITAGE CLINIC &amp; THE COMMUNITY ASS. PRO. FOR SENIORS</v>
          </cell>
          <cell r="N103">
            <v>0</v>
          </cell>
          <cell r="O103">
            <v>200166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437000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1253900</v>
          </cell>
          <cell r="BR103">
            <v>0</v>
          </cell>
          <cell r="BS103">
            <v>188500</v>
          </cell>
          <cell r="BT103">
            <v>383700</v>
          </cell>
          <cell r="BU103">
            <v>0</v>
          </cell>
          <cell r="BV103">
            <v>0</v>
          </cell>
          <cell r="BW103">
            <v>0</v>
          </cell>
          <cell r="BX103">
            <v>1826100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1253900</v>
          </cell>
          <cell r="CK103">
            <v>0</v>
          </cell>
          <cell r="CL103">
            <v>188500</v>
          </cell>
          <cell r="CM103">
            <v>383700</v>
          </cell>
          <cell r="CN103">
            <v>0</v>
          </cell>
          <cell r="CO103">
            <v>0</v>
          </cell>
          <cell r="CP103">
            <v>0</v>
          </cell>
          <cell r="CQ103">
            <v>1826100</v>
          </cell>
          <cell r="CR103">
            <v>2263100</v>
          </cell>
        </row>
        <row r="104">
          <cell r="A104">
            <v>27490</v>
          </cell>
          <cell r="B104" t="str">
            <v>T. Beliz</v>
          </cell>
          <cell r="C104">
            <v>3</v>
          </cell>
          <cell r="D104">
            <v>27490</v>
          </cell>
          <cell r="E104" t="str">
            <v>N/A</v>
          </cell>
          <cell r="F104" t="str">
            <v>UCLA TIES FOR ADOPTION (THE REGENTS)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12300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1719000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1731300</v>
          </cell>
        </row>
        <row r="105">
          <cell r="A105">
            <v>27495</v>
          </cell>
          <cell r="B105" t="str">
            <v>R. Kay</v>
          </cell>
          <cell r="C105">
            <v>3</v>
          </cell>
          <cell r="D105">
            <v>27495</v>
          </cell>
          <cell r="E105">
            <v>5</v>
          </cell>
          <cell r="F105" t="str">
            <v>MCKINLEY CHILDREN'S CENTER, INC.</v>
          </cell>
          <cell r="N105">
            <v>0</v>
          </cell>
          <cell r="O105">
            <v>1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11000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48400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2940700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3000100</v>
          </cell>
        </row>
        <row r="106">
          <cell r="A106">
            <v>27507</v>
          </cell>
          <cell r="B106" t="str">
            <v>O. Celis</v>
          </cell>
          <cell r="C106">
            <v>3</v>
          </cell>
          <cell r="D106">
            <v>27507</v>
          </cell>
          <cell r="E106">
            <v>1</v>
          </cell>
          <cell r="F106" t="str">
            <v>MARYVALE</v>
          </cell>
          <cell r="N106">
            <v>0</v>
          </cell>
          <cell r="O106">
            <v>1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2366000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2366000</v>
          </cell>
        </row>
        <row r="107">
          <cell r="A107">
            <v>27508</v>
          </cell>
          <cell r="B107" t="str">
            <v>T. Beliz</v>
          </cell>
          <cell r="C107" t="str">
            <v>1,2 &amp; 5</v>
          </cell>
          <cell r="D107">
            <v>27508</v>
          </cell>
          <cell r="E107">
            <v>5</v>
          </cell>
          <cell r="F107" t="str">
            <v>COUNSELLING4KIDS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13200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13000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4370100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4396300</v>
          </cell>
        </row>
        <row r="108">
          <cell r="A108">
            <v>27518</v>
          </cell>
          <cell r="B108" t="str">
            <v>J. Allen</v>
          </cell>
          <cell r="C108" t="str">
            <v>1,2 &amp; 5</v>
          </cell>
          <cell r="D108">
            <v>27518</v>
          </cell>
          <cell r="E108">
            <v>3</v>
          </cell>
          <cell r="F108" t="str">
            <v>PACIFIC LODGE YOUTH SERVICE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1500000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1500000</v>
          </cell>
        </row>
        <row r="109">
          <cell r="A109">
            <v>27519</v>
          </cell>
          <cell r="B109" t="str">
            <v>J. Allen</v>
          </cell>
          <cell r="C109">
            <v>4</v>
          </cell>
          <cell r="D109">
            <v>27519</v>
          </cell>
          <cell r="E109">
            <v>2</v>
          </cell>
          <cell r="F109" t="str">
            <v>PARA LOS NINOS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5100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950000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955100</v>
          </cell>
        </row>
        <row r="110">
          <cell r="A110">
            <v>27520</v>
          </cell>
          <cell r="B110" t="str">
            <v>J. Allen</v>
          </cell>
          <cell r="C110">
            <v>6</v>
          </cell>
          <cell r="D110">
            <v>27520</v>
          </cell>
          <cell r="E110">
            <v>2</v>
          </cell>
          <cell r="F110" t="str">
            <v>PERSONAL INVOLVEMENT CENTER, INC.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10300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242000</v>
          </cell>
          <cell r="BO110">
            <v>1518300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1770600</v>
          </cell>
        </row>
        <row r="111">
          <cell r="A111">
            <v>27522</v>
          </cell>
          <cell r="B111" t="str">
            <v>O. Celis</v>
          </cell>
          <cell r="C111">
            <v>3</v>
          </cell>
          <cell r="D111">
            <v>27522</v>
          </cell>
          <cell r="E111">
            <v>5</v>
          </cell>
          <cell r="F111" t="str">
            <v>SERENITY INFANT CARE HOMES, INC.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830000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830000</v>
          </cell>
        </row>
        <row r="112">
          <cell r="A112">
            <v>27523</v>
          </cell>
          <cell r="B112" t="str">
            <v>O. Celis</v>
          </cell>
          <cell r="C112">
            <v>3</v>
          </cell>
          <cell r="D112">
            <v>27523</v>
          </cell>
          <cell r="E112">
            <v>1</v>
          </cell>
          <cell r="F112" t="str">
            <v>ST. ANNE'S MATERNITY HOME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144000</v>
          </cell>
          <cell r="BO112">
            <v>1437600</v>
          </cell>
          <cell r="BP112">
            <v>504000</v>
          </cell>
          <cell r="BQ112">
            <v>0</v>
          </cell>
          <cell r="BR112">
            <v>0</v>
          </cell>
          <cell r="BS112">
            <v>26000</v>
          </cell>
          <cell r="BT112">
            <v>144000</v>
          </cell>
          <cell r="BU112">
            <v>0</v>
          </cell>
          <cell r="BV112">
            <v>0</v>
          </cell>
          <cell r="BW112">
            <v>0</v>
          </cell>
          <cell r="BX112">
            <v>674000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504000</v>
          </cell>
          <cell r="CJ112">
            <v>0</v>
          </cell>
          <cell r="CK112">
            <v>0</v>
          </cell>
          <cell r="CL112">
            <v>26000</v>
          </cell>
          <cell r="CM112">
            <v>144000</v>
          </cell>
          <cell r="CN112">
            <v>0</v>
          </cell>
          <cell r="CO112">
            <v>0</v>
          </cell>
          <cell r="CP112">
            <v>0</v>
          </cell>
          <cell r="CQ112">
            <v>674000</v>
          </cell>
          <cell r="CR112">
            <v>2255600</v>
          </cell>
        </row>
        <row r="113">
          <cell r="A113">
            <v>27524</v>
          </cell>
          <cell r="B113" t="str">
            <v>R. Kay</v>
          </cell>
          <cell r="C113">
            <v>3</v>
          </cell>
          <cell r="D113">
            <v>27524</v>
          </cell>
          <cell r="E113">
            <v>5</v>
          </cell>
          <cell r="F113" t="str">
            <v>TOBINWORLD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998000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998000</v>
          </cell>
        </row>
        <row r="114">
          <cell r="A114">
            <v>27525</v>
          </cell>
          <cell r="B114" t="str">
            <v>T. Beliz</v>
          </cell>
          <cell r="C114">
            <v>3</v>
          </cell>
          <cell r="D114">
            <v>27525</v>
          </cell>
          <cell r="E114">
            <v>1</v>
          </cell>
          <cell r="F114" t="str">
            <v>TRINITY YOUTH SERVICES</v>
          </cell>
          <cell r="N114">
            <v>0</v>
          </cell>
          <cell r="O114">
            <v>84648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1000000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1000000</v>
          </cell>
        </row>
        <row r="115">
          <cell r="A115">
            <v>27529</v>
          </cell>
          <cell r="B115" t="str">
            <v>O. Celis</v>
          </cell>
          <cell r="C115">
            <v>4</v>
          </cell>
          <cell r="D115">
            <v>27529</v>
          </cell>
          <cell r="E115">
            <v>2</v>
          </cell>
          <cell r="F115" t="str">
            <v>INSTITUTE FOR MULTICULTURAL COUN. &amp; EDU. SVCS, INC. (IMCES)</v>
          </cell>
          <cell r="N115">
            <v>0</v>
          </cell>
          <cell r="O115">
            <v>34000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22900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240000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62300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525000</v>
          </cell>
          <cell r="BP115">
            <v>0</v>
          </cell>
          <cell r="BQ115">
            <v>361600</v>
          </cell>
          <cell r="BR115">
            <v>0</v>
          </cell>
          <cell r="BS115">
            <v>235000</v>
          </cell>
          <cell r="BT115">
            <v>203400</v>
          </cell>
          <cell r="BU115">
            <v>0</v>
          </cell>
          <cell r="BV115">
            <v>0</v>
          </cell>
          <cell r="BW115">
            <v>0</v>
          </cell>
          <cell r="BX115">
            <v>800000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361600</v>
          </cell>
          <cell r="CK115">
            <v>0</v>
          </cell>
          <cell r="CL115">
            <v>235000</v>
          </cell>
          <cell r="CM115">
            <v>203400</v>
          </cell>
          <cell r="CN115">
            <v>0</v>
          </cell>
          <cell r="CO115">
            <v>0</v>
          </cell>
          <cell r="CP115">
            <v>0</v>
          </cell>
          <cell r="CQ115">
            <v>800000</v>
          </cell>
          <cell r="CR115">
            <v>1650200</v>
          </cell>
        </row>
        <row r="116">
          <cell r="A116">
            <v>27537</v>
          </cell>
          <cell r="B116" t="str">
            <v>O. Celis</v>
          </cell>
          <cell r="C116" t="str">
            <v>7 &amp; 8</v>
          </cell>
          <cell r="D116">
            <v>27537</v>
          </cell>
          <cell r="E116">
            <v>4</v>
          </cell>
          <cell r="F116" t="str">
            <v>HELPLINE YOUTH COUNSELING, INC.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4800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150000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154800</v>
          </cell>
        </row>
        <row r="117">
          <cell r="A117">
            <v>27542</v>
          </cell>
          <cell r="B117" t="str">
            <v>J. Allen</v>
          </cell>
          <cell r="C117">
            <v>3</v>
          </cell>
          <cell r="D117">
            <v>27542</v>
          </cell>
          <cell r="E117">
            <v>5</v>
          </cell>
          <cell r="F117" t="str">
            <v>PASADENA UNIFIED SCHOOL DISTRICT</v>
          </cell>
          <cell r="Q117">
            <v>0</v>
          </cell>
          <cell r="R117">
            <v>150000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100000</v>
          </cell>
          <cell r="AY117">
            <v>0</v>
          </cell>
          <cell r="AZ117">
            <v>0</v>
          </cell>
          <cell r="BA117">
            <v>104600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2000000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2354600</v>
          </cell>
        </row>
        <row r="118">
          <cell r="A118">
            <v>27543</v>
          </cell>
          <cell r="B118" t="str">
            <v>T. Beliz</v>
          </cell>
          <cell r="C118">
            <v>3</v>
          </cell>
          <cell r="D118">
            <v>27543</v>
          </cell>
          <cell r="E118">
            <v>5</v>
          </cell>
          <cell r="F118" t="str">
            <v>LEROY HAYNES CTR FOR CHILDREN &amp; FAMILY SVCS, INC.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2453800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2453800</v>
          </cell>
        </row>
        <row r="119">
          <cell r="A119">
            <v>27544</v>
          </cell>
          <cell r="B119" t="str">
            <v>R. Kay</v>
          </cell>
          <cell r="C119" t="str">
            <v>1,2 &amp; 5</v>
          </cell>
          <cell r="D119">
            <v>27544</v>
          </cell>
          <cell r="E119">
            <v>3</v>
          </cell>
          <cell r="F119" t="str">
            <v>THE VILLAGE FAMILY SERVICES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81200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815000</v>
          </cell>
          <cell r="BO119">
            <v>1050500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1946700</v>
          </cell>
        </row>
        <row r="120">
          <cell r="A120">
            <v>27545</v>
          </cell>
          <cell r="B120" t="str">
            <v>J. Allen</v>
          </cell>
          <cell r="C120">
            <v>3</v>
          </cell>
          <cell r="D120">
            <v>27545</v>
          </cell>
          <cell r="E120">
            <v>5</v>
          </cell>
          <cell r="F120" t="str">
            <v>DAVID &amp; MARGARET HOME, INC.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1000000</v>
          </cell>
          <cell r="BP120">
            <v>378000</v>
          </cell>
          <cell r="BQ120">
            <v>0</v>
          </cell>
          <cell r="BR120">
            <v>0</v>
          </cell>
          <cell r="BS120">
            <v>19500</v>
          </cell>
          <cell r="BT120">
            <v>108000</v>
          </cell>
          <cell r="BU120">
            <v>0</v>
          </cell>
          <cell r="BV120">
            <v>0</v>
          </cell>
          <cell r="BW120">
            <v>0</v>
          </cell>
          <cell r="BX120">
            <v>505500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378000</v>
          </cell>
          <cell r="CJ120">
            <v>0</v>
          </cell>
          <cell r="CK120">
            <v>0</v>
          </cell>
          <cell r="CL120">
            <v>19500</v>
          </cell>
          <cell r="CM120">
            <v>108000</v>
          </cell>
          <cell r="CN120">
            <v>0</v>
          </cell>
          <cell r="CO120">
            <v>0</v>
          </cell>
          <cell r="CP120">
            <v>0</v>
          </cell>
          <cell r="CQ120">
            <v>505500</v>
          </cell>
          <cell r="CR120">
            <v>1505500</v>
          </cell>
        </row>
        <row r="121">
          <cell r="A121">
            <v>27548</v>
          </cell>
          <cell r="B121" t="str">
            <v>J. Allen</v>
          </cell>
          <cell r="C121">
            <v>4</v>
          </cell>
          <cell r="D121">
            <v>27548</v>
          </cell>
          <cell r="E121">
            <v>1</v>
          </cell>
          <cell r="F121" t="str">
            <v>PEDIATRIC &amp; FAMILY MEDICAL CENTER (dba EISNER)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40600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600000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640600</v>
          </cell>
        </row>
        <row r="122">
          <cell r="A122">
            <v>27549</v>
          </cell>
          <cell r="B122" t="str">
            <v>R. Kay</v>
          </cell>
          <cell r="C122">
            <v>4</v>
          </cell>
          <cell r="D122">
            <v>27549</v>
          </cell>
          <cell r="E122">
            <v>1</v>
          </cell>
          <cell r="F122" t="str">
            <v>EL CENTRO DEL PUEBLO, INC.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600000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600000</v>
          </cell>
        </row>
        <row r="123">
          <cell r="A123">
            <v>27550</v>
          </cell>
          <cell r="B123" t="str">
            <v>O. Celis</v>
          </cell>
          <cell r="C123">
            <v>4</v>
          </cell>
          <cell r="D123">
            <v>27550</v>
          </cell>
          <cell r="E123">
            <v>1</v>
          </cell>
          <cell r="F123" t="str">
            <v>CATHOLIC HEALTHCARE WEST (dba CALIFORNIA HOSPITAL)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932600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932600</v>
          </cell>
        </row>
        <row r="124">
          <cell r="A124">
            <v>27597</v>
          </cell>
          <cell r="B124" t="str">
            <v>R. Kay</v>
          </cell>
          <cell r="C124" t="str">
            <v>1,2 &amp; 5</v>
          </cell>
          <cell r="D124">
            <v>27597</v>
          </cell>
          <cell r="E124">
            <v>2</v>
          </cell>
          <cell r="F124" t="str">
            <v>EMOTIONAL HEALTH ASSOCIATION (dba SHARE!)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89000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400000</v>
          </cell>
          <cell r="BT124">
            <v>322600</v>
          </cell>
          <cell r="BU124">
            <v>0</v>
          </cell>
          <cell r="BV124">
            <v>0</v>
          </cell>
          <cell r="BW124">
            <v>0</v>
          </cell>
          <cell r="BX124">
            <v>722600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400000</v>
          </cell>
          <cell r="CM124">
            <v>322600</v>
          </cell>
          <cell r="CN124">
            <v>0</v>
          </cell>
          <cell r="CO124">
            <v>0</v>
          </cell>
          <cell r="CP124">
            <v>0</v>
          </cell>
          <cell r="CQ124">
            <v>722600</v>
          </cell>
          <cell r="CR124">
            <v>811600</v>
          </cell>
        </row>
        <row r="125">
          <cell r="A125">
            <v>27600</v>
          </cell>
          <cell r="B125" t="str">
            <v>T. Beliz</v>
          </cell>
          <cell r="C125">
            <v>4</v>
          </cell>
          <cell r="D125">
            <v>27600</v>
          </cell>
          <cell r="E125">
            <v>1</v>
          </cell>
          <cell r="F125" t="str">
            <v>VIP COMMUNITY MENTAL HEALTH CENTER, INC. (VIP CMHC)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700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364000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11400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5480000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5856100</v>
          </cell>
        </row>
        <row r="126">
          <cell r="A126">
            <v>27601</v>
          </cell>
          <cell r="B126" t="str">
            <v>R. Kay</v>
          </cell>
          <cell r="C126">
            <v>3</v>
          </cell>
          <cell r="D126">
            <v>27601</v>
          </cell>
          <cell r="E126">
            <v>5</v>
          </cell>
          <cell r="F126" t="str">
            <v>THE CHILDREN'S CENTER OF ANTELOPE VALLEY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19900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20300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198000</v>
          </cell>
          <cell r="BM126">
            <v>0</v>
          </cell>
          <cell r="BN126">
            <v>0</v>
          </cell>
          <cell r="BO126">
            <v>1000000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1238200</v>
          </cell>
        </row>
        <row r="127">
          <cell r="A127">
            <v>27620</v>
          </cell>
          <cell r="B127" t="str">
            <v>J. Allen</v>
          </cell>
          <cell r="C127" t="str">
            <v>7 &amp; 8</v>
          </cell>
          <cell r="D127">
            <v>27620</v>
          </cell>
          <cell r="E127">
            <v>2</v>
          </cell>
          <cell r="F127" t="str">
            <v>ASIAN AMERICAN DRUG ABUSE PROGRAM, INC. (AADAP)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139300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333000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472300</v>
          </cell>
        </row>
        <row r="128">
          <cell r="A128">
            <v>27621</v>
          </cell>
          <cell r="B128" t="str">
            <v>TBA</v>
          </cell>
          <cell r="C128">
            <v>4</v>
          </cell>
          <cell r="D128">
            <v>27621</v>
          </cell>
          <cell r="E128">
            <v>2</v>
          </cell>
          <cell r="F128" t="str">
            <v>BEHAVIORAL HEALTH SERVICES, INC.</v>
          </cell>
          <cell r="N128">
            <v>0</v>
          </cell>
          <cell r="O128">
            <v>125000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9500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125000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184000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461000</v>
          </cell>
          <cell r="BP128">
            <v>0</v>
          </cell>
          <cell r="BQ128">
            <v>26000</v>
          </cell>
          <cell r="BR128">
            <v>0</v>
          </cell>
          <cell r="BS128">
            <v>500</v>
          </cell>
          <cell r="BT128">
            <v>10000</v>
          </cell>
          <cell r="BU128">
            <v>0</v>
          </cell>
          <cell r="BV128">
            <v>0</v>
          </cell>
          <cell r="BW128">
            <v>0</v>
          </cell>
          <cell r="BX128">
            <v>36500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26000</v>
          </cell>
          <cell r="CK128">
            <v>0</v>
          </cell>
          <cell r="CL128">
            <v>500</v>
          </cell>
          <cell r="CM128">
            <v>10000</v>
          </cell>
          <cell r="CN128">
            <v>0</v>
          </cell>
          <cell r="CO128">
            <v>0</v>
          </cell>
          <cell r="CP128">
            <v>0</v>
          </cell>
          <cell r="CQ128">
            <v>36500</v>
          </cell>
          <cell r="CR128">
            <v>816000</v>
          </cell>
        </row>
        <row r="129">
          <cell r="A129">
            <v>27622</v>
          </cell>
          <cell r="B129" t="str">
            <v>J. Allen</v>
          </cell>
          <cell r="C129">
            <v>4</v>
          </cell>
          <cell r="D129">
            <v>27622</v>
          </cell>
          <cell r="E129">
            <v>1</v>
          </cell>
          <cell r="F129" t="str">
            <v>CALIFORNIA HISPANIC COMMISSION, INC.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50160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12300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120000</v>
          </cell>
          <cell r="BM129">
            <v>200640</v>
          </cell>
          <cell r="BN129">
            <v>0</v>
          </cell>
          <cell r="BO129">
            <v>1124000</v>
          </cell>
          <cell r="BP129">
            <v>0</v>
          </cell>
          <cell r="BQ129">
            <v>361600</v>
          </cell>
          <cell r="BR129">
            <v>0</v>
          </cell>
          <cell r="BS129">
            <v>235000</v>
          </cell>
          <cell r="BT129">
            <v>603400</v>
          </cell>
          <cell r="BU129">
            <v>0</v>
          </cell>
          <cell r="BV129">
            <v>0</v>
          </cell>
          <cell r="BW129">
            <v>0</v>
          </cell>
          <cell r="BX129">
            <v>1200000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361600</v>
          </cell>
          <cell r="CK129">
            <v>0</v>
          </cell>
          <cell r="CL129">
            <v>235000</v>
          </cell>
          <cell r="CM129">
            <v>603400</v>
          </cell>
          <cell r="CN129">
            <v>0</v>
          </cell>
          <cell r="CO129">
            <v>0</v>
          </cell>
          <cell r="CP129">
            <v>0</v>
          </cell>
          <cell r="CQ129">
            <v>1200000</v>
          </cell>
          <cell r="CR129">
            <v>2707100</v>
          </cell>
        </row>
        <row r="130">
          <cell r="A130">
            <v>27624</v>
          </cell>
          <cell r="B130" t="str">
            <v>O. Celis</v>
          </cell>
          <cell r="C130">
            <v>4</v>
          </cell>
          <cell r="D130">
            <v>27624</v>
          </cell>
          <cell r="E130">
            <v>1</v>
          </cell>
          <cell r="F130" t="str">
            <v>SPIRITT  FAMILY SERVICES, INC.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81200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450000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531200</v>
          </cell>
        </row>
        <row r="131">
          <cell r="A131">
            <v>27625</v>
          </cell>
          <cell r="B131" t="str">
            <v>O. Celis</v>
          </cell>
          <cell r="C131" t="str">
            <v>1,2 &amp; 5</v>
          </cell>
          <cell r="D131">
            <v>27625</v>
          </cell>
          <cell r="E131">
            <v>3</v>
          </cell>
          <cell r="F131" t="str">
            <v>TARZANA TREATMENT CENTER, INC.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60000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6300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240000</v>
          </cell>
          <cell r="BN131">
            <v>0</v>
          </cell>
          <cell r="BO131">
            <v>819000</v>
          </cell>
          <cell r="BP131">
            <v>0</v>
          </cell>
          <cell r="BQ131">
            <v>361600</v>
          </cell>
          <cell r="BR131">
            <v>0</v>
          </cell>
          <cell r="BS131">
            <v>235000</v>
          </cell>
          <cell r="BT131">
            <v>203400</v>
          </cell>
          <cell r="BU131">
            <v>0</v>
          </cell>
          <cell r="BV131">
            <v>0</v>
          </cell>
          <cell r="BW131">
            <v>0</v>
          </cell>
          <cell r="BX131">
            <v>800000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361600</v>
          </cell>
          <cell r="CK131">
            <v>0</v>
          </cell>
          <cell r="CL131">
            <v>235000</v>
          </cell>
          <cell r="CM131">
            <v>203400</v>
          </cell>
          <cell r="CN131">
            <v>0</v>
          </cell>
          <cell r="CO131">
            <v>0</v>
          </cell>
          <cell r="CP131">
            <v>0</v>
          </cell>
          <cell r="CQ131">
            <v>800000</v>
          </cell>
          <cell r="CR131">
            <v>1925300</v>
          </cell>
        </row>
        <row r="132">
          <cell r="A132">
            <v>27626</v>
          </cell>
          <cell r="B132" t="str">
            <v>O. Celis</v>
          </cell>
          <cell r="C132" t="str">
            <v>1,2 &amp; 5</v>
          </cell>
          <cell r="D132">
            <v>27626</v>
          </cell>
          <cell r="E132">
            <v>3</v>
          </cell>
          <cell r="F132" t="str">
            <v>NEW DIRECTIONS, INC.</v>
          </cell>
          <cell r="N132">
            <v>0</v>
          </cell>
          <cell r="O132">
            <v>175000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141600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141600</v>
          </cell>
        </row>
        <row r="133">
          <cell r="A133">
            <v>27627</v>
          </cell>
          <cell r="B133" t="str">
            <v>O. Celis</v>
          </cell>
          <cell r="C133">
            <v>3</v>
          </cell>
          <cell r="D133">
            <v>27627</v>
          </cell>
          <cell r="E133" t="str">
            <v>N/A</v>
          </cell>
          <cell r="F133" t="str">
            <v>FLORENCE CRITTENTON SERVICES OF ORANGE COUNTY, INC.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144000</v>
          </cell>
          <cell r="BO133">
            <v>2250000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2394000</v>
          </cell>
        </row>
        <row r="134">
          <cell r="A134">
            <v>27633</v>
          </cell>
          <cell r="B134" t="str">
            <v>J. Allen</v>
          </cell>
          <cell r="C134">
            <v>6</v>
          </cell>
          <cell r="D134">
            <v>27633</v>
          </cell>
          <cell r="E134">
            <v>4</v>
          </cell>
          <cell r="F134" t="str">
            <v>CALIFORNIA INSTITUTE OF HEALTH &amp; SOCIAL SVC, INC. (dba Alafia MH Institute)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12700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120000</v>
          </cell>
          <cell r="BM134">
            <v>0</v>
          </cell>
          <cell r="BN134">
            <v>0</v>
          </cell>
          <cell r="BO134">
            <v>1687400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1820100</v>
          </cell>
        </row>
        <row r="135">
          <cell r="A135">
            <v>27634</v>
          </cell>
          <cell r="B135" t="str">
            <v>O. Celis</v>
          </cell>
          <cell r="C135">
            <v>3</v>
          </cell>
          <cell r="D135">
            <v>27634</v>
          </cell>
          <cell r="E135">
            <v>5</v>
          </cell>
          <cell r="F135" t="str">
            <v>CENTER FOR INTEGRATED FAMILY &amp; HEALTH SERVICES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81200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996000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1077200</v>
          </cell>
        </row>
        <row r="136">
          <cell r="A136">
            <v>27635</v>
          </cell>
          <cell r="B136" t="str">
            <v>O. Celis</v>
          </cell>
          <cell r="C136">
            <v>6</v>
          </cell>
          <cell r="D136">
            <v>27635</v>
          </cell>
          <cell r="E136">
            <v>2</v>
          </cell>
          <cell r="F136" t="str">
            <v>DREW CHILD DEVELOPMENT CORPORATION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67700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1764700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1832400</v>
          </cell>
        </row>
        <row r="137">
          <cell r="A137">
            <v>27639</v>
          </cell>
          <cell r="B137" t="str">
            <v>T. Beliz</v>
          </cell>
          <cell r="C137" t="str">
            <v>1,2 &amp; 5</v>
          </cell>
          <cell r="D137">
            <v>27639</v>
          </cell>
          <cell r="E137">
            <v>5</v>
          </cell>
          <cell r="F137" t="str">
            <v>NEW HORIZONS FAMILY CENTER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37400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97500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599500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734400</v>
          </cell>
        </row>
        <row r="138">
          <cell r="A138">
            <v>27640</v>
          </cell>
          <cell r="B138" t="str">
            <v>R. Kay</v>
          </cell>
          <cell r="C138">
            <v>6</v>
          </cell>
          <cell r="D138">
            <v>27640</v>
          </cell>
          <cell r="E138">
            <v>2</v>
          </cell>
          <cell r="F138" t="str">
            <v>TESSIE CLEVELAND COMMUNITY SERVICES CORP.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25000</v>
          </cell>
          <cell r="W138">
            <v>0</v>
          </cell>
          <cell r="X138">
            <v>0</v>
          </cell>
          <cell r="Y138">
            <v>0</v>
          </cell>
          <cell r="Z138">
            <v>20700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60000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27700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6105000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6238400</v>
          </cell>
        </row>
        <row r="139">
          <cell r="A139">
            <v>27643</v>
          </cell>
          <cell r="B139" t="str">
            <v>TBD</v>
          </cell>
          <cell r="C139" t="str">
            <v>1,2 &amp; 5</v>
          </cell>
          <cell r="D139">
            <v>27643</v>
          </cell>
          <cell r="E139">
            <v>3</v>
          </cell>
          <cell r="F139" t="str">
            <v xml:space="preserve">WISE AND HEALTHY AGING </v>
          </cell>
          <cell r="N139">
            <v>0</v>
          </cell>
          <cell r="O139">
            <v>298260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71400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281200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49000</v>
          </cell>
          <cell r="BU139">
            <v>0</v>
          </cell>
          <cell r="BV139">
            <v>0</v>
          </cell>
          <cell r="BW139">
            <v>0</v>
          </cell>
          <cell r="BX139">
            <v>49000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49000</v>
          </cell>
          <cell r="CN139">
            <v>0</v>
          </cell>
          <cell r="CO139">
            <v>0</v>
          </cell>
          <cell r="CP139">
            <v>0</v>
          </cell>
          <cell r="CQ139">
            <v>49000</v>
          </cell>
          <cell r="CR139">
            <v>401600</v>
          </cell>
        </row>
        <row r="140">
          <cell r="A140">
            <v>27644</v>
          </cell>
          <cell r="B140" t="str">
            <v>T. Beliz</v>
          </cell>
          <cell r="C140">
            <v>4</v>
          </cell>
          <cell r="D140">
            <v>27644</v>
          </cell>
          <cell r="E140" t="str">
            <v>TBD</v>
          </cell>
          <cell r="F140" t="str">
            <v>USC CARE MEDICAL GROUP, INC. (USC UCC PROGRAM)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15000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15000</v>
          </cell>
        </row>
        <row r="141">
          <cell r="A141">
            <v>27646</v>
          </cell>
          <cell r="B141" t="str">
            <v>J. Allen</v>
          </cell>
          <cell r="C141">
            <v>4</v>
          </cell>
          <cell r="D141">
            <v>27646</v>
          </cell>
          <cell r="E141">
            <v>2</v>
          </cell>
          <cell r="F141" t="str">
            <v>JWCH INSTITUTE</v>
          </cell>
          <cell r="N141">
            <v>240394</v>
          </cell>
          <cell r="O141">
            <v>4309823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133300</v>
          </cell>
          <cell r="BR141">
            <v>0</v>
          </cell>
          <cell r="BS141">
            <v>88300</v>
          </cell>
          <cell r="BT141">
            <v>45100</v>
          </cell>
          <cell r="BU141">
            <v>0</v>
          </cell>
          <cell r="BV141">
            <v>0</v>
          </cell>
          <cell r="BW141">
            <v>0</v>
          </cell>
          <cell r="BX141">
            <v>266700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133300</v>
          </cell>
          <cell r="CK141">
            <v>0</v>
          </cell>
          <cell r="CL141">
            <v>88300</v>
          </cell>
          <cell r="CM141">
            <v>45100</v>
          </cell>
          <cell r="CN141">
            <v>0</v>
          </cell>
          <cell r="CO141">
            <v>0</v>
          </cell>
          <cell r="CP141">
            <v>0</v>
          </cell>
          <cell r="CQ141">
            <v>266700</v>
          </cell>
          <cell r="CR141">
            <v>266700</v>
          </cell>
        </row>
        <row r="142">
          <cell r="A142">
            <v>27654</v>
          </cell>
          <cell r="C142">
            <v>3</v>
          </cell>
          <cell r="D142">
            <v>27654</v>
          </cell>
          <cell r="E142" t="str">
            <v>TBA</v>
          </cell>
          <cell r="F142" t="str">
            <v>FAMILIESFIRST,INC.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32500</v>
          </cell>
          <cell r="BJ142">
            <v>0</v>
          </cell>
          <cell r="BK142">
            <v>0</v>
          </cell>
          <cell r="BL142">
            <v>800000</v>
          </cell>
          <cell r="BM142">
            <v>0</v>
          </cell>
          <cell r="BN142">
            <v>144000</v>
          </cell>
          <cell r="BO142">
            <v>3138000</v>
          </cell>
          <cell r="BP142">
            <v>532000</v>
          </cell>
          <cell r="BQ142">
            <v>0</v>
          </cell>
          <cell r="BR142">
            <v>0</v>
          </cell>
          <cell r="BS142">
            <v>27300</v>
          </cell>
          <cell r="BT142">
            <v>148400</v>
          </cell>
          <cell r="BU142">
            <v>0</v>
          </cell>
          <cell r="BV142">
            <v>0</v>
          </cell>
          <cell r="BW142">
            <v>0</v>
          </cell>
          <cell r="BX142">
            <v>707700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532000</v>
          </cell>
          <cell r="CJ142">
            <v>0</v>
          </cell>
          <cell r="CK142">
            <v>0</v>
          </cell>
          <cell r="CL142">
            <v>27300</v>
          </cell>
          <cell r="CM142">
            <v>148400</v>
          </cell>
          <cell r="CN142">
            <v>0</v>
          </cell>
          <cell r="CO142">
            <v>0</v>
          </cell>
          <cell r="CQ142">
            <v>707700</v>
          </cell>
          <cell r="CR142">
            <v>4822200</v>
          </cell>
        </row>
        <row r="143">
          <cell r="A143">
            <v>28027</v>
          </cell>
          <cell r="B143" t="str">
            <v>O. Celis</v>
          </cell>
          <cell r="C143">
            <v>4</v>
          </cell>
          <cell r="D143">
            <v>28027</v>
          </cell>
          <cell r="E143">
            <v>3</v>
          </cell>
          <cell r="F143" t="str">
            <v>JEWISH FAMILY SERVICES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785300</v>
          </cell>
          <cell r="BR143">
            <v>0</v>
          </cell>
          <cell r="BS143">
            <v>20700</v>
          </cell>
          <cell r="BT143">
            <v>245300</v>
          </cell>
          <cell r="BU143">
            <v>0</v>
          </cell>
          <cell r="BV143">
            <v>0</v>
          </cell>
          <cell r="BW143">
            <v>0</v>
          </cell>
          <cell r="BX143">
            <v>1051300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785300</v>
          </cell>
          <cell r="CK143">
            <v>0</v>
          </cell>
          <cell r="CL143">
            <v>20700</v>
          </cell>
          <cell r="CM143">
            <v>245300</v>
          </cell>
          <cell r="CN143">
            <v>0</v>
          </cell>
          <cell r="CO143">
            <v>0</v>
          </cell>
          <cell r="CP143">
            <v>0</v>
          </cell>
          <cell r="CQ143">
            <v>1051300</v>
          </cell>
          <cell r="CR143">
            <v>1051300</v>
          </cell>
        </row>
        <row r="144">
          <cell r="A144">
            <v>12345</v>
          </cell>
          <cell r="F144" t="str">
            <v>ALLOCATED SUB-TOTAL</v>
          </cell>
          <cell r="N144">
            <v>5326865</v>
          </cell>
          <cell r="O144">
            <v>97087969</v>
          </cell>
          <cell r="P144">
            <v>47533</v>
          </cell>
          <cell r="Q144">
            <v>0</v>
          </cell>
          <cell r="R144">
            <v>7174900</v>
          </cell>
          <cell r="S144">
            <v>8006100</v>
          </cell>
          <cell r="T144">
            <v>0</v>
          </cell>
          <cell r="U144">
            <v>0</v>
          </cell>
          <cell r="V144">
            <v>30694200</v>
          </cell>
          <cell r="W144">
            <v>1556000</v>
          </cell>
          <cell r="X144">
            <v>0</v>
          </cell>
          <cell r="Y144">
            <v>642000</v>
          </cell>
          <cell r="Z144">
            <v>836900</v>
          </cell>
          <cell r="AA144">
            <v>741600</v>
          </cell>
          <cell r="AB144">
            <v>13411400</v>
          </cell>
          <cell r="AC144">
            <v>1450000</v>
          </cell>
          <cell r="AD144">
            <v>0</v>
          </cell>
          <cell r="AE144">
            <v>72600</v>
          </cell>
          <cell r="AF144">
            <v>50000</v>
          </cell>
          <cell r="AG144">
            <v>418700</v>
          </cell>
          <cell r="AH144">
            <v>200600</v>
          </cell>
          <cell r="AI144">
            <v>1175000</v>
          </cell>
          <cell r="AJ144">
            <v>125000</v>
          </cell>
          <cell r="AK144">
            <v>259500</v>
          </cell>
          <cell r="AL144">
            <v>364000</v>
          </cell>
          <cell r="AM144">
            <v>0</v>
          </cell>
          <cell r="AN144">
            <v>0</v>
          </cell>
          <cell r="AO144">
            <v>1292500</v>
          </cell>
          <cell r="AP144">
            <v>1174400</v>
          </cell>
          <cell r="AQ144">
            <v>0</v>
          </cell>
          <cell r="AR144">
            <v>2020000</v>
          </cell>
          <cell r="AS144">
            <v>1907900</v>
          </cell>
          <cell r="AT144">
            <v>139300</v>
          </cell>
          <cell r="AU144">
            <v>0</v>
          </cell>
          <cell r="AV144">
            <v>0</v>
          </cell>
          <cell r="AW144">
            <v>5256200</v>
          </cell>
          <cell r="AX144">
            <v>6857800</v>
          </cell>
          <cell r="AY144">
            <v>182400</v>
          </cell>
          <cell r="AZ144">
            <v>1035500</v>
          </cell>
          <cell r="BA144">
            <v>13254000</v>
          </cell>
          <cell r="BB144">
            <v>468000</v>
          </cell>
          <cell r="BC144">
            <v>0</v>
          </cell>
          <cell r="BD144">
            <v>0</v>
          </cell>
          <cell r="BE144">
            <v>0</v>
          </cell>
          <cell r="BF144">
            <v>1377706</v>
          </cell>
          <cell r="BG144">
            <v>0</v>
          </cell>
          <cell r="BH144">
            <v>400000</v>
          </cell>
          <cell r="BI144">
            <v>76960600</v>
          </cell>
          <cell r="BJ144">
            <v>3974300</v>
          </cell>
          <cell r="BK144">
            <v>15000</v>
          </cell>
          <cell r="BL144">
            <v>12295000</v>
          </cell>
          <cell r="BM144">
            <v>4891400</v>
          </cell>
          <cell r="BN144">
            <v>3997000</v>
          </cell>
          <cell r="BO144">
            <v>370972560</v>
          </cell>
          <cell r="BP144">
            <v>27144200</v>
          </cell>
          <cell r="BQ144">
            <v>49034800</v>
          </cell>
          <cell r="BR144">
            <v>1396300</v>
          </cell>
          <cell r="BS144">
            <v>17645100</v>
          </cell>
          <cell r="BT144">
            <v>41636000</v>
          </cell>
          <cell r="BU144">
            <v>0</v>
          </cell>
          <cell r="BV144">
            <v>0</v>
          </cell>
          <cell r="BW144">
            <v>0</v>
          </cell>
          <cell r="BX144">
            <v>136856400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27144200</v>
          </cell>
          <cell r="CJ144">
            <v>49034800</v>
          </cell>
          <cell r="CK144">
            <v>1396300</v>
          </cell>
          <cell r="CL144">
            <v>17645100</v>
          </cell>
          <cell r="CM144">
            <v>41636000</v>
          </cell>
          <cell r="CN144">
            <v>0</v>
          </cell>
          <cell r="CO144">
            <v>0</v>
          </cell>
          <cell r="CP144">
            <v>0</v>
          </cell>
          <cell r="CQ144">
            <v>136856400</v>
          </cell>
          <cell r="CR144">
            <v>712506466</v>
          </cell>
          <cell r="CT144">
            <v>697642900</v>
          </cell>
        </row>
        <row r="145">
          <cell r="CT145">
            <v>-712506466</v>
          </cell>
        </row>
        <row r="146">
          <cell r="F146" t="str">
            <v xml:space="preserve">IMD </v>
          </cell>
          <cell r="CT146">
            <v>-14863566</v>
          </cell>
        </row>
        <row r="147">
          <cell r="A147">
            <v>20958</v>
          </cell>
          <cell r="B147" t="str">
            <v>T. BELIZ</v>
          </cell>
          <cell r="C147">
            <v>4</v>
          </cell>
          <cell r="D147">
            <v>20958</v>
          </cell>
          <cell r="E147">
            <v>2</v>
          </cell>
          <cell r="F147" t="str">
            <v xml:space="preserve">AMADA ENTERPRISE  - </v>
          </cell>
          <cell r="G147" t="str">
            <v>00-1</v>
          </cell>
          <cell r="H147" t="str">
            <v>0067</v>
          </cell>
          <cell r="J147" t="str">
            <v>CW-2</v>
          </cell>
          <cell r="K147" t="str">
            <v>CW-6</v>
          </cell>
          <cell r="L147" t="str">
            <v xml:space="preserve"> IMD</v>
          </cell>
          <cell r="M147" t="str">
            <v>00325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S147">
            <v>0</v>
          </cell>
          <cell r="BU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C147">
            <v>0</v>
          </cell>
          <cell r="CI147">
            <v>0</v>
          </cell>
          <cell r="CJ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</row>
        <row r="148">
          <cell r="A148">
            <v>20955</v>
          </cell>
          <cell r="B148" t="str">
            <v>T. BELIZ</v>
          </cell>
          <cell r="C148">
            <v>4</v>
          </cell>
          <cell r="D148">
            <v>20955</v>
          </cell>
          <cell r="E148">
            <v>1</v>
          </cell>
          <cell r="F148" t="str">
            <v>BRASWELL ENTERPRISE</v>
          </cell>
          <cell r="G148" t="str">
            <v>D</v>
          </cell>
          <cell r="H148" t="str">
            <v>0058</v>
          </cell>
          <cell r="I148" t="str">
            <v xml:space="preserve">LAUREL PARK </v>
          </cell>
          <cell r="J148" t="str">
            <v>CW-1</v>
          </cell>
          <cell r="K148" t="str">
            <v>CW-3</v>
          </cell>
          <cell r="L148" t="str">
            <v xml:space="preserve"> IMD</v>
          </cell>
          <cell r="M148" t="str">
            <v>00606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S148">
            <v>0</v>
          </cell>
          <cell r="BU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</row>
        <row r="149">
          <cell r="A149">
            <v>20964</v>
          </cell>
          <cell r="B149" t="str">
            <v>T. BELIZ</v>
          </cell>
          <cell r="C149">
            <v>4</v>
          </cell>
          <cell r="D149">
            <v>20964</v>
          </cell>
          <cell r="E149">
            <v>5</v>
          </cell>
          <cell r="F149" t="str">
            <v xml:space="preserve">COMMUNITY CARE CENTER, INC. </v>
          </cell>
          <cell r="G149" t="str">
            <v>00-1a</v>
          </cell>
          <cell r="H149" t="str">
            <v>0035</v>
          </cell>
          <cell r="J149" t="str">
            <v>CW-5</v>
          </cell>
          <cell r="K149" t="str">
            <v>CW-3</v>
          </cell>
          <cell r="L149" t="str">
            <v xml:space="preserve"> IMD</v>
          </cell>
          <cell r="M149" t="str">
            <v>00339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S149">
            <v>0</v>
          </cell>
          <cell r="BU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C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</row>
        <row r="150">
          <cell r="A150">
            <v>20954</v>
          </cell>
          <cell r="B150" t="str">
            <v>T. BELIZ</v>
          </cell>
          <cell r="C150">
            <v>4</v>
          </cell>
          <cell r="D150">
            <v>20954</v>
          </cell>
          <cell r="E150">
            <v>1</v>
          </cell>
          <cell r="F150" t="str">
            <v xml:space="preserve">LANDMARK MEDICAL SERVICES </v>
          </cell>
          <cell r="G150" t="str">
            <v>00-1</v>
          </cell>
          <cell r="H150" t="str">
            <v>0055</v>
          </cell>
          <cell r="J150" t="str">
            <v>CW-1</v>
          </cell>
          <cell r="K150" t="str">
            <v>CW-3</v>
          </cell>
          <cell r="L150" t="str">
            <v xml:space="preserve"> IMD</v>
          </cell>
          <cell r="M150" t="str">
            <v>00364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S150">
            <v>0</v>
          </cell>
          <cell r="BU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C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</row>
        <row r="151">
          <cell r="A151">
            <v>20957</v>
          </cell>
          <cell r="B151" t="str">
            <v>T. BELIZ</v>
          </cell>
          <cell r="C151">
            <v>4</v>
          </cell>
          <cell r="D151">
            <v>20957</v>
          </cell>
          <cell r="E151">
            <v>2</v>
          </cell>
          <cell r="F151" t="str">
            <v>MEADOWBROOK MANOR</v>
          </cell>
          <cell r="G151" t="str">
            <v>00-1a</v>
          </cell>
          <cell r="H151" t="str">
            <v>0059</v>
          </cell>
          <cell r="J151" t="str">
            <v>CW-2</v>
          </cell>
          <cell r="K151" t="str">
            <v>CW-5</v>
          </cell>
          <cell r="L151" t="str">
            <v xml:space="preserve"> IMD</v>
          </cell>
          <cell r="M151" t="str">
            <v>00529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S151">
            <v>0</v>
          </cell>
          <cell r="BU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I151">
            <v>0</v>
          </cell>
          <cell r="CJ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</row>
        <row r="152">
          <cell r="A152">
            <v>23159</v>
          </cell>
          <cell r="B152" t="str">
            <v>T. BELIZ</v>
          </cell>
          <cell r="C152">
            <v>4</v>
          </cell>
          <cell r="D152">
            <v>23159</v>
          </cell>
          <cell r="E152" t="str">
            <v>N/A</v>
          </cell>
          <cell r="F152" t="str">
            <v>REGENCY HEALTH SERVICES</v>
          </cell>
          <cell r="G152" t="str">
            <v>99-2a</v>
          </cell>
          <cell r="H152" t="str">
            <v>0054</v>
          </cell>
          <cell r="I152" t="str">
            <v>HARBOR VIEW CENTER</v>
          </cell>
          <cell r="J152">
            <v>4</v>
          </cell>
          <cell r="K152" t="str">
            <v>CW-8</v>
          </cell>
          <cell r="L152" t="str">
            <v xml:space="preserve"> IMD</v>
          </cell>
          <cell r="M152" t="str">
            <v>00413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S152">
            <v>0</v>
          </cell>
          <cell r="BU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C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</row>
        <row r="153">
          <cell r="A153">
            <v>23184</v>
          </cell>
          <cell r="B153" t="str">
            <v>T. BELIZ</v>
          </cell>
          <cell r="C153">
            <v>4</v>
          </cell>
          <cell r="D153">
            <v>23184</v>
          </cell>
          <cell r="E153" t="str">
            <v>N/A</v>
          </cell>
          <cell r="F153" t="str">
            <v>SAN GABRIEL VAL. CONV.HOSP.</v>
          </cell>
          <cell r="G153" t="str">
            <v>00-1a</v>
          </cell>
          <cell r="H153" t="str">
            <v>0063</v>
          </cell>
          <cell r="I153" t="str">
            <v>PENN MAR</v>
          </cell>
          <cell r="J153" t="str">
            <v>CW-1</v>
          </cell>
          <cell r="K153" t="str">
            <v>CW-3</v>
          </cell>
          <cell r="L153" t="str">
            <v xml:space="preserve"> IMD</v>
          </cell>
          <cell r="M153" t="str">
            <v>00382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S153">
            <v>0</v>
          </cell>
          <cell r="BU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</row>
        <row r="154">
          <cell r="A154">
            <v>23172</v>
          </cell>
          <cell r="B154" t="str">
            <v>T. BELIZ</v>
          </cell>
          <cell r="C154">
            <v>4</v>
          </cell>
          <cell r="D154">
            <v>23172</v>
          </cell>
          <cell r="E154" t="str">
            <v>N/A</v>
          </cell>
          <cell r="F154" t="str">
            <v>TELECARE CORP.</v>
          </cell>
          <cell r="G154" t="str">
            <v>E</v>
          </cell>
          <cell r="H154" t="str">
            <v>0057</v>
          </cell>
          <cell r="I154" t="str">
            <v xml:space="preserve">LA PAZ GERO PSYCH. CTR. </v>
          </cell>
          <cell r="J154" t="str">
            <v>CW-4</v>
          </cell>
          <cell r="K154" t="str">
            <v>CW-6</v>
          </cell>
          <cell r="L154" t="str">
            <v xml:space="preserve"> IMD</v>
          </cell>
          <cell r="M154" t="str">
            <v>00417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S154">
            <v>0</v>
          </cell>
          <cell r="BU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</row>
        <row r="155">
          <cell r="F155" t="str">
            <v>IMD COLA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S155">
            <v>0</v>
          </cell>
          <cell r="BU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</row>
        <row r="156">
          <cell r="F156" t="str">
            <v>TOTAL</v>
          </cell>
          <cell r="N156">
            <v>0</v>
          </cell>
          <cell r="O156">
            <v>42824830</v>
          </cell>
          <cell r="P156">
            <v>0</v>
          </cell>
          <cell r="Q156">
            <v>0</v>
          </cell>
          <cell r="R156">
            <v>0</v>
          </cell>
          <cell r="S156">
            <v>84000</v>
          </cell>
          <cell r="T156">
            <v>0</v>
          </cell>
          <cell r="U156">
            <v>7200000</v>
          </cell>
          <cell r="V156">
            <v>53014800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S156">
            <v>0</v>
          </cell>
          <cell r="BU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C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60298800</v>
          </cell>
          <cell r="CR156">
            <v>60298800</v>
          </cell>
        </row>
        <row r="158">
          <cell r="F158" t="str">
            <v>MIO</v>
          </cell>
        </row>
        <row r="159">
          <cell r="A159">
            <v>20955</v>
          </cell>
          <cell r="B159" t="str">
            <v>T. BELIZ</v>
          </cell>
          <cell r="C159">
            <v>4</v>
          </cell>
          <cell r="D159">
            <v>20955</v>
          </cell>
          <cell r="E159">
            <v>4</v>
          </cell>
          <cell r="F159" t="str">
            <v>BRASWELL ENTERPRISE</v>
          </cell>
          <cell r="L159" t="str">
            <v xml:space="preserve"> MIO (1370 PC)</v>
          </cell>
          <cell r="M159" t="str">
            <v>00605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S159">
            <v>0</v>
          </cell>
          <cell r="BU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C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</row>
        <row r="160">
          <cell r="F160" t="str">
            <v>TOTAL</v>
          </cell>
          <cell r="N160">
            <v>0</v>
          </cell>
          <cell r="O160">
            <v>3101319</v>
          </cell>
          <cell r="P160">
            <v>0</v>
          </cell>
          <cell r="S160">
            <v>0</v>
          </cell>
          <cell r="V160">
            <v>2815300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S160">
            <v>0</v>
          </cell>
          <cell r="BU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C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2815300</v>
          </cell>
          <cell r="CR160">
            <v>2815300</v>
          </cell>
        </row>
        <row r="162">
          <cell r="F162" t="str">
            <v>TOTAL IMD &amp; MIO</v>
          </cell>
          <cell r="N162">
            <v>0</v>
          </cell>
          <cell r="O162">
            <v>45926149</v>
          </cell>
          <cell r="P162">
            <v>0</v>
          </cell>
          <cell r="Q162">
            <v>0</v>
          </cell>
          <cell r="R162">
            <v>0</v>
          </cell>
          <cell r="S162">
            <v>84000</v>
          </cell>
          <cell r="T162">
            <v>0</v>
          </cell>
          <cell r="U162">
            <v>7200000</v>
          </cell>
          <cell r="V162">
            <v>55830100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63114100</v>
          </cell>
          <cell r="CR162">
            <v>63114100</v>
          </cell>
        </row>
        <row r="164">
          <cell r="F164" t="str">
            <v>PRIVATE HOSPITAL - FOR PES DECOMPRESSION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703200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703200</v>
          </cell>
        </row>
        <row r="165">
          <cell r="F165" t="str">
            <v>TOTAL PES-NCC/PDP</v>
          </cell>
          <cell r="Q165">
            <v>0</v>
          </cell>
          <cell r="R165">
            <v>0</v>
          </cell>
          <cell r="S165">
            <v>703200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703200</v>
          </cell>
        </row>
        <row r="166">
          <cell r="AU166" t="str">
            <v xml:space="preserve"> </v>
          </cell>
          <cell r="AV166" t="str">
            <v xml:space="preserve"> </v>
          </cell>
        </row>
        <row r="167">
          <cell r="F167" t="str">
            <v>ESCORT SERVICES</v>
          </cell>
          <cell r="S167" t="str">
            <v xml:space="preserve"> </v>
          </cell>
        </row>
        <row r="168">
          <cell r="A168">
            <v>20902</v>
          </cell>
          <cell r="B168" t="str">
            <v>T. BELIZ</v>
          </cell>
          <cell r="C168">
            <v>4</v>
          </cell>
          <cell r="D168">
            <v>20902</v>
          </cell>
          <cell r="E168" t="str">
            <v>N/A</v>
          </cell>
          <cell r="F168" t="str">
            <v>METROPOLITAN STATE  HOSPITAL</v>
          </cell>
          <cell r="N168">
            <v>0</v>
          </cell>
          <cell r="O168">
            <v>220000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220000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S168">
            <v>0</v>
          </cell>
          <cell r="BU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C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220000</v>
          </cell>
        </row>
        <row r="169">
          <cell r="A169">
            <v>23155</v>
          </cell>
          <cell r="B169" t="str">
            <v>T. BELIZ</v>
          </cell>
          <cell r="C169">
            <v>4</v>
          </cell>
          <cell r="D169">
            <v>23155</v>
          </cell>
          <cell r="E169" t="str">
            <v>N/A</v>
          </cell>
          <cell r="F169" t="str">
            <v>PATTON STATE HOSPITAL &amp; CALIF. DEPT. OF CORRECTIONS</v>
          </cell>
          <cell r="N169">
            <v>0</v>
          </cell>
          <cell r="O169">
            <v>56694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189800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S169">
            <v>0</v>
          </cell>
          <cell r="BU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C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189800</v>
          </cell>
        </row>
        <row r="170"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S170">
            <v>0</v>
          </cell>
          <cell r="BU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C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</row>
        <row r="171">
          <cell r="F171" t="str">
            <v>TOTAL STATE HOSPITAL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409800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S171">
            <v>0</v>
          </cell>
          <cell r="BU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C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409800</v>
          </cell>
        </row>
        <row r="173">
          <cell r="F173" t="str">
            <v>GENERAL ADMINISTRATIVE SERVICES</v>
          </cell>
        </row>
        <row r="174">
          <cell r="F174" t="str">
            <v>AUDIT SETTLEMENT</v>
          </cell>
          <cell r="N174">
            <v>0</v>
          </cell>
          <cell r="O174">
            <v>905000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871300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S174">
            <v>0</v>
          </cell>
          <cell r="BU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C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871300</v>
          </cell>
        </row>
        <row r="175">
          <cell r="F175" t="str">
            <v>STATE AUDIT SETTLEMENT FY 2003-04</v>
          </cell>
          <cell r="N175">
            <v>0</v>
          </cell>
          <cell r="O175">
            <v>905000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S175">
            <v>0</v>
          </cell>
          <cell r="BU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C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</row>
        <row r="176">
          <cell r="F176" t="str">
            <v>UNALLOCATED - FFP ONLY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552900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2409100</v>
          </cell>
          <cell r="BJ176">
            <v>0</v>
          </cell>
          <cell r="BK176">
            <v>0</v>
          </cell>
          <cell r="BL176">
            <v>0</v>
          </cell>
          <cell r="BM176">
            <v>21932800</v>
          </cell>
          <cell r="BN176">
            <v>836500</v>
          </cell>
          <cell r="BO176">
            <v>5677800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31409100</v>
          </cell>
        </row>
        <row r="177">
          <cell r="F177" t="str">
            <v>UNALLOCATED - NON EPSDT MATCH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167100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167100</v>
          </cell>
        </row>
        <row r="178">
          <cell r="F178" t="str">
            <v>UNALLOCATED - HEALTHY FAMILIES MATCH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194000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194000</v>
          </cell>
        </row>
        <row r="179">
          <cell r="F179" t="str">
            <v>UNALLOCATED - EPSDT SGF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18945452</v>
          </cell>
          <cell r="BN179">
            <v>722541</v>
          </cell>
          <cell r="BO179">
            <v>4948400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24616393</v>
          </cell>
        </row>
        <row r="180">
          <cell r="F180" t="str">
            <v>UNALLOCATED - EPSDT  MATCH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2987348</v>
          </cell>
          <cell r="BN180">
            <v>11959</v>
          </cell>
          <cell r="BO180">
            <v>474600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3473907</v>
          </cell>
        </row>
        <row r="181">
          <cell r="F181" t="str">
            <v>UNALLOCATED - EPSDT  MATCH (IFT)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R181">
            <v>0</v>
          </cell>
        </row>
        <row r="182">
          <cell r="F182" t="str">
            <v>UNALLOCATED- VOCATIONAL REHABILITATION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618595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618595</v>
          </cell>
        </row>
        <row r="185">
          <cell r="F185" t="str">
            <v>UNALLOCATED</v>
          </cell>
        </row>
        <row r="186">
          <cell r="F186" t="str">
            <v>UNALLOCATED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33300</v>
          </cell>
          <cell r="W186">
            <v>0</v>
          </cell>
          <cell r="Y186">
            <v>0</v>
          </cell>
          <cell r="Z186">
            <v>190100</v>
          </cell>
          <cell r="AA186">
            <v>2690400</v>
          </cell>
          <cell r="AB186">
            <v>23</v>
          </cell>
          <cell r="AC186">
            <v>50000</v>
          </cell>
          <cell r="AD186">
            <v>1835169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74400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102602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30900</v>
          </cell>
          <cell r="BJ186">
            <v>0</v>
          </cell>
          <cell r="BK186">
            <v>0</v>
          </cell>
          <cell r="BL186">
            <v>1672400</v>
          </cell>
          <cell r="BM186">
            <v>6250000</v>
          </cell>
          <cell r="BN186">
            <v>0</v>
          </cell>
          <cell r="BO186">
            <v>2159800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15089094</v>
          </cell>
        </row>
        <row r="187">
          <cell r="F187" t="str">
            <v>SB90 AB3632 SERVICES / IDEA</v>
          </cell>
          <cell r="Q187">
            <v>0</v>
          </cell>
          <cell r="R187">
            <v>69829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50000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 t="str">
            <v xml:space="preserve"> </v>
          </cell>
          <cell r="BN187">
            <v>0</v>
          </cell>
          <cell r="BO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119829</v>
          </cell>
        </row>
        <row r="188">
          <cell r="F188" t="str">
            <v>RESERVE FOR ACT PROGRAM (SHIFT FROM OC IN BUD. REQ)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182700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182700</v>
          </cell>
        </row>
        <row r="189">
          <cell r="F189" t="str">
            <v>STOP ALLOCATION - DCFS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14900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14900</v>
          </cell>
        </row>
        <row r="190">
          <cell r="F190" t="str">
            <v>CURTAILMENT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</row>
        <row r="191">
          <cell r="A191" t="str">
            <v>00000</v>
          </cell>
          <cell r="D191" t="str">
            <v>00000</v>
          </cell>
          <cell r="F191" t="str">
            <v xml:space="preserve">RESERVE FOR MHSA 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18461000</v>
          </cell>
          <cell r="BQ191">
            <v>1781800</v>
          </cell>
          <cell r="BR191">
            <v>310069</v>
          </cell>
          <cell r="BS191">
            <v>4526200</v>
          </cell>
          <cell r="BT191">
            <v>10314400</v>
          </cell>
          <cell r="BU191">
            <v>0</v>
          </cell>
          <cell r="BV191">
            <v>0</v>
          </cell>
          <cell r="BW191">
            <v>0</v>
          </cell>
          <cell r="BX191">
            <v>35393469</v>
          </cell>
          <cell r="BY191">
            <v>0</v>
          </cell>
          <cell r="BZ191">
            <v>0</v>
          </cell>
          <cell r="CA191">
            <v>0</v>
          </cell>
          <cell r="CB191">
            <v>7775423</v>
          </cell>
          <cell r="CC191">
            <v>7775423</v>
          </cell>
          <cell r="CD191">
            <v>0</v>
          </cell>
          <cell r="CE191">
            <v>0</v>
          </cell>
          <cell r="CF191">
            <v>0</v>
          </cell>
          <cell r="CG191">
            <v>4294020</v>
          </cell>
          <cell r="CH191">
            <v>4294020</v>
          </cell>
          <cell r="CI191">
            <v>18461000</v>
          </cell>
          <cell r="CJ191">
            <v>1781800</v>
          </cell>
          <cell r="CK191">
            <v>310069</v>
          </cell>
          <cell r="CL191">
            <v>4526200</v>
          </cell>
          <cell r="CM191">
            <v>10314400</v>
          </cell>
          <cell r="CN191">
            <v>7775423</v>
          </cell>
          <cell r="CO191">
            <v>4294020</v>
          </cell>
          <cell r="CP191">
            <v>0</v>
          </cell>
          <cell r="CQ191">
            <v>47462912</v>
          </cell>
          <cell r="CR191">
            <v>47462912</v>
          </cell>
        </row>
        <row r="192">
          <cell r="A192" t="str">
            <v xml:space="preserve">Voc Reh </v>
          </cell>
          <cell r="D192" t="str">
            <v xml:space="preserve">Voc Reh </v>
          </cell>
          <cell r="F192" t="str">
            <v>RESERVE FOR MHSA - Voc. Rehab.</v>
          </cell>
          <cell r="BP192">
            <v>0</v>
          </cell>
          <cell r="BQ192">
            <v>0</v>
          </cell>
          <cell r="BR192">
            <v>0</v>
          </cell>
          <cell r="BS192">
            <v>215200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215200</v>
          </cell>
          <cell r="CI192">
            <v>0</v>
          </cell>
          <cell r="CJ192">
            <v>0</v>
          </cell>
          <cell r="CK192">
            <v>0</v>
          </cell>
          <cell r="CL192">
            <v>215200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215200</v>
          </cell>
          <cell r="CR192">
            <v>215200</v>
          </cell>
        </row>
        <row r="193">
          <cell r="F193" t="str">
            <v>CURTAILMENT - UNUSED CONTRACTOR CGF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S193">
            <v>0</v>
          </cell>
          <cell r="BU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</row>
        <row r="194">
          <cell r="F194" t="str">
            <v>CURTAILMENT - ADULT DAY TREATMENT</v>
          </cell>
          <cell r="T194">
            <v>0</v>
          </cell>
          <cell r="U194">
            <v>0</v>
          </cell>
          <cell r="V194">
            <v>0</v>
          </cell>
          <cell r="AD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CI194">
            <v>0</v>
          </cell>
          <cell r="CJ194">
            <v>0</v>
          </cell>
          <cell r="CN194">
            <v>0</v>
          </cell>
          <cell r="CO194">
            <v>0</v>
          </cell>
          <cell r="CQ194">
            <v>0</v>
          </cell>
          <cell r="CR194">
            <v>0</v>
          </cell>
        </row>
        <row r="195">
          <cell r="F195" t="str">
            <v>CURTAILMENT - REDIRECTION OF COMM. OUTREACH SVCS.</v>
          </cell>
          <cell r="T195">
            <v>0</v>
          </cell>
          <cell r="U195">
            <v>0</v>
          </cell>
          <cell r="V195">
            <v>0</v>
          </cell>
          <cell r="AD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CI195">
            <v>0</v>
          </cell>
          <cell r="CJ195">
            <v>0</v>
          </cell>
          <cell r="CN195">
            <v>0</v>
          </cell>
          <cell r="CO195">
            <v>0</v>
          </cell>
          <cell r="CQ195">
            <v>0</v>
          </cell>
          <cell r="CR195">
            <v>0</v>
          </cell>
        </row>
        <row r="196">
          <cell r="F196" t="str">
            <v>CURTAILMENT - TRANSFORM SELF HELP SVCS.</v>
          </cell>
          <cell r="T196">
            <v>0</v>
          </cell>
          <cell r="U196">
            <v>0</v>
          </cell>
          <cell r="V196">
            <v>0</v>
          </cell>
          <cell r="AD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CI196">
            <v>0</v>
          </cell>
          <cell r="CJ196">
            <v>0</v>
          </cell>
          <cell r="CN196">
            <v>0</v>
          </cell>
          <cell r="CO196">
            <v>0</v>
          </cell>
          <cell r="CQ196">
            <v>0</v>
          </cell>
          <cell r="CR196">
            <v>0</v>
          </cell>
        </row>
        <row r="197">
          <cell r="F197" t="str">
            <v xml:space="preserve">CURTAILMENT - MEDI-CAL  MANAGED CARE </v>
          </cell>
          <cell r="T197">
            <v>0</v>
          </cell>
          <cell r="U197">
            <v>0</v>
          </cell>
          <cell r="V197">
            <v>0</v>
          </cell>
          <cell r="AD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</row>
        <row r="198">
          <cell r="F198" t="str">
            <v>MITIGATION PLAN RESTORATION OF RESIDENTIAL PATCH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</row>
        <row r="199">
          <cell r="F199" t="str">
            <v>CURTAILMENT - CONTRACTOR CGF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S199">
            <v>0</v>
          </cell>
          <cell r="BU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C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</row>
        <row r="200">
          <cell r="F200" t="str">
            <v>UNIDENTIFIED CURTAILMENT - FY 09/10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-42858000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S200">
            <v>0</v>
          </cell>
          <cell r="BU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C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-42858000</v>
          </cell>
        </row>
        <row r="201">
          <cell r="F201" t="str">
            <v>PROPOSED MITIGATION PLAN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S201">
            <v>0</v>
          </cell>
          <cell r="BU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C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</row>
        <row r="202">
          <cell r="F202" t="str">
            <v>DOJ COLA &amp; Medication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500000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S202">
            <v>0</v>
          </cell>
          <cell r="BU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C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500000</v>
          </cell>
        </row>
        <row r="203">
          <cell r="F203" t="str">
            <v>Refinancing of Tenant Improvements (6 Months)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-137500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R203">
            <v>-137500</v>
          </cell>
        </row>
        <row r="204">
          <cell r="F204" t="str">
            <v>ROUNDING</v>
          </cell>
          <cell r="Q204">
            <v>0</v>
          </cell>
          <cell r="R204">
            <v>71</v>
          </cell>
          <cell r="S204">
            <v>-50</v>
          </cell>
          <cell r="T204">
            <v>0</v>
          </cell>
          <cell r="U204">
            <v>0</v>
          </cell>
          <cell r="V204">
            <v>-158</v>
          </cell>
          <cell r="W204">
            <v>-106</v>
          </cell>
          <cell r="X204">
            <v>0</v>
          </cell>
          <cell r="Y204">
            <v>-23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</v>
          </cell>
          <cell r="AH204">
            <v>-34</v>
          </cell>
          <cell r="AI204">
            <v>-257</v>
          </cell>
          <cell r="AJ204">
            <v>0</v>
          </cell>
          <cell r="AK204">
            <v>14</v>
          </cell>
          <cell r="AL204">
            <v>0</v>
          </cell>
          <cell r="AM204">
            <v>0</v>
          </cell>
          <cell r="AN204">
            <v>0</v>
          </cell>
          <cell r="AO204">
            <v>57</v>
          </cell>
          <cell r="AP204">
            <v>-86</v>
          </cell>
          <cell r="AQ204">
            <v>0</v>
          </cell>
          <cell r="AR204">
            <v>-48</v>
          </cell>
          <cell r="AS204">
            <v>920</v>
          </cell>
          <cell r="AT204">
            <v>0</v>
          </cell>
          <cell r="AU204">
            <v>0</v>
          </cell>
          <cell r="AV204">
            <v>0</v>
          </cell>
          <cell r="AW204">
            <v>249</v>
          </cell>
          <cell r="AX204">
            <v>0</v>
          </cell>
          <cell r="AY204">
            <v>2</v>
          </cell>
          <cell r="AZ204">
            <v>491</v>
          </cell>
          <cell r="BA204">
            <v>-269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-121</v>
          </cell>
          <cell r="BJ204">
            <v>0</v>
          </cell>
          <cell r="BK204">
            <v>0</v>
          </cell>
          <cell r="BL204">
            <v>0</v>
          </cell>
          <cell r="BM204">
            <v>2</v>
          </cell>
          <cell r="BN204">
            <v>0</v>
          </cell>
          <cell r="BO204">
            <v>198</v>
          </cell>
          <cell r="BP204">
            <v>0</v>
          </cell>
          <cell r="BQ204">
            <v>0</v>
          </cell>
          <cell r="BS204">
            <v>0</v>
          </cell>
          <cell r="BU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C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818</v>
          </cell>
        </row>
        <row r="205">
          <cell r="AD205">
            <v>0</v>
          </cell>
        </row>
        <row r="206">
          <cell r="F206" t="str">
            <v xml:space="preserve">UNALLOCATED SUB TOTAL </v>
          </cell>
          <cell r="N206">
            <v>0</v>
          </cell>
          <cell r="O206">
            <v>9285077</v>
          </cell>
          <cell r="P206">
            <v>0</v>
          </cell>
          <cell r="Q206">
            <v>0</v>
          </cell>
          <cell r="R206">
            <v>69900</v>
          </cell>
          <cell r="S206">
            <v>-50</v>
          </cell>
          <cell r="T206">
            <v>0</v>
          </cell>
          <cell r="U206">
            <v>0</v>
          </cell>
          <cell r="V206">
            <v>-40789763</v>
          </cell>
          <cell r="W206">
            <v>-106</v>
          </cell>
          <cell r="X206">
            <v>0</v>
          </cell>
          <cell r="Y206">
            <v>-23</v>
          </cell>
          <cell r="Z206">
            <v>190100</v>
          </cell>
          <cell r="AA206">
            <v>2690400</v>
          </cell>
          <cell r="AB206">
            <v>23</v>
          </cell>
          <cell r="AC206">
            <v>50000</v>
          </cell>
          <cell r="AD206">
            <v>1835169</v>
          </cell>
          <cell r="AE206">
            <v>0</v>
          </cell>
          <cell r="AF206">
            <v>0</v>
          </cell>
          <cell r="AG206">
            <v>-34</v>
          </cell>
          <cell r="AH206">
            <v>-34</v>
          </cell>
          <cell r="AI206">
            <v>74143</v>
          </cell>
          <cell r="AJ206">
            <v>0</v>
          </cell>
          <cell r="AK206">
            <v>14</v>
          </cell>
          <cell r="AL206">
            <v>0</v>
          </cell>
          <cell r="AM206">
            <v>0</v>
          </cell>
          <cell r="AN206">
            <v>0</v>
          </cell>
          <cell r="AO206">
            <v>57</v>
          </cell>
          <cell r="AP206">
            <v>-86</v>
          </cell>
          <cell r="AQ206">
            <v>0</v>
          </cell>
          <cell r="AR206">
            <v>-48</v>
          </cell>
          <cell r="AS206">
            <v>920</v>
          </cell>
          <cell r="AT206">
            <v>0</v>
          </cell>
          <cell r="AU206">
            <v>102602</v>
          </cell>
          <cell r="AV206">
            <v>0</v>
          </cell>
          <cell r="AW206">
            <v>249</v>
          </cell>
          <cell r="AX206">
            <v>50000</v>
          </cell>
          <cell r="AY206">
            <v>2</v>
          </cell>
          <cell r="AZ206">
            <v>15391</v>
          </cell>
          <cell r="BA206">
            <v>746631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2606979</v>
          </cell>
          <cell r="BJ206">
            <v>0</v>
          </cell>
          <cell r="BK206">
            <v>0</v>
          </cell>
          <cell r="BL206">
            <v>1672400</v>
          </cell>
          <cell r="BM206">
            <v>50115602</v>
          </cell>
          <cell r="BN206">
            <v>1571000</v>
          </cell>
          <cell r="BO206">
            <v>13260798</v>
          </cell>
          <cell r="BP206">
            <v>18461000</v>
          </cell>
          <cell r="BQ206">
            <v>1781800</v>
          </cell>
          <cell r="BR206">
            <v>310069</v>
          </cell>
          <cell r="BS206">
            <v>4741400</v>
          </cell>
          <cell r="BT206">
            <v>10314400</v>
          </cell>
          <cell r="BU206">
            <v>0</v>
          </cell>
          <cell r="BV206">
            <v>0</v>
          </cell>
          <cell r="BW206">
            <v>0</v>
          </cell>
          <cell r="BX206">
            <v>35608669</v>
          </cell>
          <cell r="BY206">
            <v>0</v>
          </cell>
          <cell r="BZ206">
            <v>0</v>
          </cell>
          <cell r="CA206">
            <v>0</v>
          </cell>
          <cell r="CB206">
            <v>7775423</v>
          </cell>
          <cell r="CC206">
            <v>7775423</v>
          </cell>
          <cell r="CD206">
            <v>0</v>
          </cell>
          <cell r="CE206">
            <v>0</v>
          </cell>
          <cell r="CF206">
            <v>0</v>
          </cell>
          <cell r="CG206">
            <v>4294020</v>
          </cell>
          <cell r="CH206">
            <v>4294020</v>
          </cell>
          <cell r="CI206">
            <v>18461000</v>
          </cell>
          <cell r="CJ206">
            <v>1781800</v>
          </cell>
          <cell r="CK206">
            <v>310069</v>
          </cell>
          <cell r="CL206">
            <v>4741400</v>
          </cell>
          <cell r="CM206">
            <v>10314400</v>
          </cell>
          <cell r="CN206">
            <v>7775423</v>
          </cell>
          <cell r="CO206">
            <v>4294020</v>
          </cell>
          <cell r="CP206">
            <v>0</v>
          </cell>
          <cell r="CQ206">
            <v>47678112</v>
          </cell>
          <cell r="CR206">
            <v>81940348</v>
          </cell>
        </row>
        <row r="209">
          <cell r="F209" t="str">
            <v xml:space="preserve">GRAND TOTAL </v>
          </cell>
          <cell r="N209">
            <v>5326865</v>
          </cell>
          <cell r="O209">
            <v>152299195</v>
          </cell>
          <cell r="P209">
            <v>47533</v>
          </cell>
          <cell r="Q209">
            <v>0</v>
          </cell>
          <cell r="R209">
            <v>7244800</v>
          </cell>
          <cell r="S209">
            <v>8793250</v>
          </cell>
          <cell r="T209">
            <v>0</v>
          </cell>
          <cell r="U209">
            <v>7200000</v>
          </cell>
          <cell r="V209">
            <v>46144337</v>
          </cell>
          <cell r="W209">
            <v>1555894</v>
          </cell>
          <cell r="X209">
            <v>0</v>
          </cell>
          <cell r="Y209">
            <v>641977</v>
          </cell>
          <cell r="Z209">
            <v>1027000</v>
          </cell>
          <cell r="AA209">
            <v>3432000</v>
          </cell>
          <cell r="AB209">
            <v>13411423</v>
          </cell>
          <cell r="AC209">
            <v>1500000</v>
          </cell>
          <cell r="AD209">
            <v>1835169</v>
          </cell>
          <cell r="AE209">
            <v>72600</v>
          </cell>
          <cell r="AF209">
            <v>50000</v>
          </cell>
          <cell r="AG209">
            <v>418666</v>
          </cell>
          <cell r="AH209">
            <v>200566</v>
          </cell>
          <cell r="AI209">
            <v>1249143</v>
          </cell>
          <cell r="AJ209">
            <v>125000</v>
          </cell>
          <cell r="AK209">
            <v>259514</v>
          </cell>
          <cell r="AL209">
            <v>364000</v>
          </cell>
          <cell r="AM209">
            <v>0</v>
          </cell>
          <cell r="AN209">
            <v>0</v>
          </cell>
          <cell r="AO209">
            <v>1292557</v>
          </cell>
          <cell r="AP209">
            <v>1174314</v>
          </cell>
          <cell r="AQ209">
            <v>0</v>
          </cell>
          <cell r="AR209">
            <v>2019952</v>
          </cell>
          <cell r="AS209">
            <v>1908820</v>
          </cell>
          <cell r="AT209">
            <v>139300</v>
          </cell>
          <cell r="AU209">
            <v>102602</v>
          </cell>
          <cell r="AV209">
            <v>0</v>
          </cell>
          <cell r="AW209">
            <v>5256449</v>
          </cell>
          <cell r="AX209">
            <v>6907800</v>
          </cell>
          <cell r="AY209">
            <v>182402</v>
          </cell>
          <cell r="AZ209">
            <v>1050891</v>
          </cell>
          <cell r="BA209">
            <v>14000631</v>
          </cell>
          <cell r="BB209">
            <v>468000</v>
          </cell>
          <cell r="BC209">
            <v>0</v>
          </cell>
          <cell r="BD209">
            <v>0</v>
          </cell>
          <cell r="BE209">
            <v>0</v>
          </cell>
          <cell r="BF209">
            <v>1377706</v>
          </cell>
          <cell r="BG209">
            <v>0</v>
          </cell>
          <cell r="BH209">
            <v>400000</v>
          </cell>
          <cell r="BI209">
            <v>79567579</v>
          </cell>
          <cell r="BJ209">
            <v>3974300</v>
          </cell>
          <cell r="BK209">
            <v>15000</v>
          </cell>
          <cell r="BL209">
            <v>13967400</v>
          </cell>
          <cell r="BM209">
            <v>55007002</v>
          </cell>
          <cell r="BN209">
            <v>5568000</v>
          </cell>
          <cell r="BO209">
            <v>384233358</v>
          </cell>
          <cell r="BP209">
            <v>45605200</v>
          </cell>
          <cell r="BQ209">
            <v>50816600</v>
          </cell>
          <cell r="BR209">
            <v>1706369</v>
          </cell>
          <cell r="BS209">
            <v>22386500</v>
          </cell>
          <cell r="BT209">
            <v>51950400</v>
          </cell>
          <cell r="BU209">
            <v>0</v>
          </cell>
          <cell r="BV209">
            <v>0</v>
          </cell>
          <cell r="BX209">
            <v>172465069</v>
          </cell>
          <cell r="BY209">
            <v>0</v>
          </cell>
          <cell r="BZ209">
            <v>0</v>
          </cell>
          <cell r="CA209">
            <v>0</v>
          </cell>
          <cell r="CB209">
            <v>7775423</v>
          </cell>
          <cell r="CC209">
            <v>7775423</v>
          </cell>
          <cell r="CI209">
            <v>45605200</v>
          </cell>
          <cell r="CJ209">
            <v>50816600</v>
          </cell>
          <cell r="CK209">
            <v>1706369</v>
          </cell>
          <cell r="CL209">
            <v>22386500</v>
          </cell>
          <cell r="CM209">
            <v>51950400</v>
          </cell>
          <cell r="CN209">
            <v>7775423</v>
          </cell>
          <cell r="CO209">
            <v>4294020</v>
          </cell>
          <cell r="CP209">
            <v>0</v>
          </cell>
          <cell r="CQ209">
            <v>247648600</v>
          </cell>
          <cell r="CR209">
            <v>858673900</v>
          </cell>
        </row>
        <row r="210">
          <cell r="F210" t="str">
            <v>*Tri-City FFP &amp; SGF does not follow the normal percentage rules.  The match is provided from State directly to provider thru realignment $.</v>
          </cell>
        </row>
        <row r="211">
          <cell r="F211" t="str">
            <v>FFP Non-EPSDT Medi-Cal $1,933,832; FFP EPSDT Medi-Cal $1,156,636 and SGF-EPSDT Medi-Cal $883,804</v>
          </cell>
        </row>
        <row r="212">
          <cell r="F212" t="str">
            <v>**GLASS transfer funding to Unallocated due to bankruptcy pending 403</v>
          </cell>
        </row>
        <row r="213">
          <cell r="F213" t="str">
            <v>*** State HIV/ AIDs transferred to Unallocated due to State termination of the fund.</v>
          </cell>
        </row>
        <row r="214">
          <cell r="F214" t="str">
            <v>Note:  1) Comprehensive Voc. Rehab. Transferred to unallocated pending for 403 to 4612</v>
          </cell>
        </row>
        <row r="215">
          <cell r="B215" t="str">
            <v>1  LAUSD is an EPSDT outlier, EPSDT FFP, $1,082,450; EPSDT SGF, $923,979 and a Healthy Families outlier, FFP only $197,774.</v>
          </cell>
          <cell r="F215" t="str">
            <v xml:space="preserve">            2) Restoration of Calwork Homeless Project (CEO Proposed)</v>
          </cell>
          <cell r="Q215" t="str">
            <v>M978</v>
          </cell>
        </row>
        <row r="216">
          <cell r="R216" t="str">
            <v>M961</v>
          </cell>
          <cell r="S216" t="str">
            <v>M962</v>
          </cell>
          <cell r="T216" t="str">
            <v>M962</v>
          </cell>
          <cell r="U216" t="str">
            <v>M902</v>
          </cell>
          <cell r="V216" t="str">
            <v>M912</v>
          </cell>
          <cell r="X216" t="str">
            <v>M814</v>
          </cell>
          <cell r="Y216" t="str">
            <v>M979</v>
          </cell>
          <cell r="AA216" t="str">
            <v>M906</v>
          </cell>
          <cell r="AB216" t="str">
            <v>M957</v>
          </cell>
          <cell r="AC216" t="str">
            <v>M920</v>
          </cell>
          <cell r="AE216" t="str">
            <v>M917</v>
          </cell>
          <cell r="AF216" t="str">
            <v>M917</v>
          </cell>
          <cell r="AG216" t="str">
            <v>M930</v>
          </cell>
          <cell r="AH216" t="str">
            <v>M924</v>
          </cell>
          <cell r="AJ216" t="str">
            <v>M917</v>
          </cell>
          <cell r="AK216" t="str">
            <v>M930</v>
          </cell>
          <cell r="AL216" t="str">
            <v>M969</v>
          </cell>
          <cell r="AM216" t="str">
            <v>M922</v>
          </cell>
          <cell r="AN216" t="str">
            <v>M976</v>
          </cell>
          <cell r="AO216" t="str">
            <v>M923</v>
          </cell>
          <cell r="AP216" t="str">
            <v>M911</v>
          </cell>
          <cell r="AQ216" t="str">
            <v>M903</v>
          </cell>
          <cell r="AR216" t="str">
            <v>M925</v>
          </cell>
          <cell r="AS216" t="str">
            <v>M964</v>
          </cell>
          <cell r="AT216" t="str">
            <v>M925</v>
          </cell>
          <cell r="AU216" t="str">
            <v>M922</v>
          </cell>
          <cell r="AV216" t="str">
            <v>TBA</v>
          </cell>
          <cell r="AW216" t="str">
            <v>M972</v>
          </cell>
          <cell r="AX216" t="str">
            <v>M926</v>
          </cell>
          <cell r="AY216" t="str">
            <v>M933-CGF</v>
          </cell>
          <cell r="AZ216" t="str">
            <v>M952</v>
          </cell>
          <cell r="BA216" t="str">
            <v>M944-CGF</v>
          </cell>
          <cell r="BB216" t="str">
            <v>M951-CGF</v>
          </cell>
          <cell r="BC216" t="str">
            <v>M951-CGF</v>
          </cell>
          <cell r="BD216" t="str">
            <v>TBA</v>
          </cell>
          <cell r="BE216" t="str">
            <v>TBA</v>
          </cell>
          <cell r="BF216" t="str">
            <v>TBA</v>
          </cell>
          <cell r="BG216" t="str">
            <v>TBA</v>
          </cell>
          <cell r="BH216" t="str">
            <v>TBA</v>
          </cell>
          <cell r="BI216" t="str">
            <v>M951-CGF</v>
          </cell>
          <cell r="BJ216" t="str">
            <v>M949-FFP</v>
          </cell>
          <cell r="BK216" t="str">
            <v>TBA</v>
          </cell>
          <cell r="BM216" t="str">
            <v>TBA</v>
          </cell>
          <cell r="BN216" t="str">
            <v>TBA</v>
          </cell>
          <cell r="BO216" t="str">
            <v>M932-SGF</v>
          </cell>
          <cell r="BT216">
            <v>-54817300</v>
          </cell>
        </row>
        <row r="217">
          <cell r="CT217">
            <v>858673900</v>
          </cell>
        </row>
        <row r="218">
          <cell r="CR218">
            <v>0.27999997138977051</v>
          </cell>
        </row>
        <row r="219">
          <cell r="CO219">
            <v>184534512</v>
          </cell>
          <cell r="CR219">
            <v>674139388</v>
          </cell>
        </row>
        <row r="220">
          <cell r="V220">
            <v>45549842</v>
          </cell>
        </row>
        <row r="221">
          <cell r="V221">
            <v>594495</v>
          </cell>
          <cell r="BG221" t="str">
            <v xml:space="preserve"> </v>
          </cell>
          <cell r="CO221">
            <v>183973012</v>
          </cell>
          <cell r="CR221">
            <v>670478188</v>
          </cell>
        </row>
        <row r="222">
          <cell r="CO222">
            <v>561500</v>
          </cell>
          <cell r="CP222">
            <v>0</v>
          </cell>
          <cell r="CQ222">
            <v>0</v>
          </cell>
          <cell r="CR222">
            <v>3661200</v>
          </cell>
        </row>
        <row r="227">
          <cell r="CR227">
            <v>0.27999997138977051</v>
          </cell>
        </row>
      </sheetData>
      <sheetData sheetId="15">
        <row r="1">
          <cell r="C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</row>
        <row r="3">
          <cell r="C3" t="str">
            <v>BUDGET &amp; FINANCIAL REPORTING DIVISION</v>
          </cell>
        </row>
        <row r="4">
          <cell r="C4" t="str">
            <v>MHSA - CHILDREN ALLOCATION</v>
          </cell>
          <cell r="H4" t="str">
            <v>PLAN I</v>
          </cell>
          <cell r="Q4" t="str">
            <v xml:space="preserve"> </v>
          </cell>
          <cell r="S4" t="str">
            <v>PLAN III</v>
          </cell>
          <cell r="AC4" t="str">
            <v>PLAN II</v>
          </cell>
          <cell r="AM4" t="str">
            <v>PLAN II</v>
          </cell>
        </row>
        <row r="5">
          <cell r="C5" t="str">
            <v>FISCAL YEAR 2009/2010 BUDGET REQUEST &amp;  SUPERCESSION</v>
          </cell>
          <cell r="H5" t="str">
            <v>CHILDREN'S FULL SERVICE PARTNERSHIP</v>
          </cell>
          <cell r="S5" t="str">
            <v>FAMILY SUPPORT SERVICES</v>
          </cell>
          <cell r="AC5" t="str">
            <v>INTERGRATED MH/COD SERVICES</v>
          </cell>
          <cell r="AM5" t="str">
            <v>FAMILY CRISIS SERVICES: RESPITE CARE</v>
          </cell>
          <cell r="AV5" t="str">
            <v>FCCS -CHILDREN</v>
          </cell>
          <cell r="BH5" t="str">
            <v>TOTAL BUDGET</v>
          </cell>
        </row>
        <row r="6">
          <cell r="H6" t="str">
            <v>32011</v>
          </cell>
          <cell r="S6" t="str">
            <v>32012</v>
          </cell>
          <cell r="AC6" t="str">
            <v>32013</v>
          </cell>
          <cell r="AM6" t="str">
            <v>32015</v>
          </cell>
        </row>
        <row r="7">
          <cell r="E7" t="str">
            <v>UNIT</v>
          </cell>
          <cell r="K7" t="str">
            <v>GROSS</v>
          </cell>
          <cell r="BJ7" t="str">
            <v xml:space="preserve">GROSS </v>
          </cell>
        </row>
        <row r="8">
          <cell r="C8" t="str">
            <v>SERVICE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GROSS</v>
          </cell>
          <cell r="K8" t="str">
            <v>HEALTHY</v>
          </cell>
          <cell r="L8" t="str">
            <v>FLEX</v>
          </cell>
          <cell r="M8" t="str">
            <v>FLEX</v>
          </cell>
          <cell r="R8" t="str">
            <v>GROSS</v>
          </cell>
          <cell r="S8" t="str">
            <v>GROSS</v>
          </cell>
          <cell r="T8" t="str">
            <v>GROSS</v>
          </cell>
          <cell r="U8" t="str">
            <v>GROSS</v>
          </cell>
          <cell r="V8" t="str">
            <v>FLEX</v>
          </cell>
          <cell r="W8" t="str">
            <v>FLEX</v>
          </cell>
          <cell r="AB8" t="str">
            <v>GROSS</v>
          </cell>
          <cell r="AC8" t="str">
            <v>GROSS</v>
          </cell>
          <cell r="AD8" t="str">
            <v>GROSS</v>
          </cell>
          <cell r="AE8" t="str">
            <v>GROSS</v>
          </cell>
          <cell r="AF8" t="str">
            <v>FLEX</v>
          </cell>
          <cell r="AG8" t="str">
            <v>FLEX</v>
          </cell>
          <cell r="AL8" t="str">
            <v>GROSS</v>
          </cell>
          <cell r="AM8" t="str">
            <v>GROSS</v>
          </cell>
          <cell r="AN8" t="str">
            <v>GROSS</v>
          </cell>
          <cell r="AO8" t="str">
            <v>GROSS</v>
          </cell>
          <cell r="AP8" t="str">
            <v>FLEX</v>
          </cell>
          <cell r="AQ8" t="str">
            <v>FLEX</v>
          </cell>
          <cell r="AV8" t="str">
            <v>GROSS</v>
          </cell>
          <cell r="AW8" t="str">
            <v>GROSS</v>
          </cell>
          <cell r="AX8" t="str">
            <v>GROSS</v>
          </cell>
          <cell r="AY8" t="str">
            <v>GROSS</v>
          </cell>
          <cell r="AZ8" t="str">
            <v>GROSS</v>
          </cell>
          <cell r="BA8" t="str">
            <v>GROSS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HEALTHY</v>
          </cell>
          <cell r="BK8" t="str">
            <v>FLEX</v>
          </cell>
        </row>
        <row r="9">
          <cell r="A9" t="str">
            <v>CODE</v>
          </cell>
          <cell r="C9" t="str">
            <v>AREA</v>
          </cell>
          <cell r="D9" t="str">
            <v>CODE</v>
          </cell>
          <cell r="E9" t="str">
            <v>UNIT</v>
          </cell>
          <cell r="F9" t="str">
            <v>ORGANIZATION NAME</v>
          </cell>
          <cell r="G9" t="str">
            <v>EPSDT</v>
          </cell>
          <cell r="H9" t="str">
            <v>EPSDT</v>
          </cell>
          <cell r="I9" t="str">
            <v>NON-EPSDT</v>
          </cell>
          <cell r="J9" t="str">
            <v>NON-EPSDT</v>
          </cell>
          <cell r="K9" t="str">
            <v>FAMILIES</v>
          </cell>
          <cell r="L9" t="str">
            <v>FUNDS</v>
          </cell>
          <cell r="M9" t="str">
            <v>FUNDS</v>
          </cell>
          <cell r="N9" t="str">
            <v>MHSA</v>
          </cell>
          <cell r="O9" t="str">
            <v>MHSA</v>
          </cell>
          <cell r="P9" t="str">
            <v>TOTAL</v>
          </cell>
          <cell r="R9" t="str">
            <v>EPSDT</v>
          </cell>
          <cell r="S9" t="str">
            <v>EPSDT</v>
          </cell>
          <cell r="T9" t="str">
            <v>NON-EPSDT</v>
          </cell>
          <cell r="U9" t="str">
            <v>NON-EPSDT</v>
          </cell>
          <cell r="V9" t="str">
            <v>FUNDS</v>
          </cell>
          <cell r="W9" t="str">
            <v>FUNDS</v>
          </cell>
          <cell r="X9" t="str">
            <v>MHSA</v>
          </cell>
          <cell r="Y9" t="str">
            <v>MHSA</v>
          </cell>
          <cell r="Z9" t="str">
            <v>TOTAL</v>
          </cell>
          <cell r="AB9" t="str">
            <v>EPSDT</v>
          </cell>
          <cell r="AC9" t="str">
            <v>EPSDT</v>
          </cell>
          <cell r="AD9" t="str">
            <v>NON-EPSDT</v>
          </cell>
          <cell r="AE9" t="str">
            <v>NON-EPSDT</v>
          </cell>
          <cell r="AF9" t="str">
            <v>FUNDS</v>
          </cell>
          <cell r="AG9" t="str">
            <v>FUNDS</v>
          </cell>
          <cell r="AH9" t="str">
            <v>MHSA</v>
          </cell>
          <cell r="AI9" t="str">
            <v>MHSA</v>
          </cell>
          <cell r="AJ9" t="str">
            <v>TOTAL</v>
          </cell>
          <cell r="AL9" t="str">
            <v>EPSDT</v>
          </cell>
          <cell r="AM9" t="str">
            <v>EPSDT</v>
          </cell>
          <cell r="AN9" t="str">
            <v>NON-EPSDT</v>
          </cell>
          <cell r="AO9" t="str">
            <v>NON-EPSDT</v>
          </cell>
          <cell r="AP9" t="str">
            <v>FUNDS</v>
          </cell>
          <cell r="AQ9" t="str">
            <v>FUNDS</v>
          </cell>
          <cell r="AR9" t="str">
            <v>MHSA</v>
          </cell>
          <cell r="AS9" t="str">
            <v>MHSA</v>
          </cell>
          <cell r="AT9" t="str">
            <v>TOTAL</v>
          </cell>
          <cell r="AV9" t="str">
            <v>EPSDT</v>
          </cell>
          <cell r="AW9" t="str">
            <v>EPSDT</v>
          </cell>
          <cell r="AX9" t="str">
            <v>NON-EPSDT</v>
          </cell>
          <cell r="AY9" t="str">
            <v>NON-EPSDT</v>
          </cell>
          <cell r="AZ9" t="str">
            <v>HEALTHY FAMILY</v>
          </cell>
          <cell r="BA9" t="str">
            <v>HEALTHY FAMILY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NON-EPSDT</v>
          </cell>
          <cell r="BJ9" t="str">
            <v>FAMILIES</v>
          </cell>
          <cell r="BK9" t="str">
            <v>FUNDS</v>
          </cell>
          <cell r="BL9" t="str">
            <v>MHSA</v>
          </cell>
          <cell r="BM9" t="str">
            <v>TOTAL</v>
          </cell>
        </row>
        <row r="10">
          <cell r="A10">
            <v>18616</v>
          </cell>
          <cell r="C10" t="str">
            <v>7 &amp; 8</v>
          </cell>
          <cell r="D10">
            <v>18616</v>
          </cell>
          <cell r="F10" t="str">
            <v>AURORA CHARTER OAK, LLC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W10">
            <v>0</v>
          </cell>
          <cell r="AY10">
            <v>0</v>
          </cell>
          <cell r="BA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18617</v>
          </cell>
          <cell r="C11">
            <v>3</v>
          </cell>
          <cell r="D11">
            <v>18617</v>
          </cell>
          <cell r="F11" t="str">
            <v>TRI-CITY MENTAL HEALTH CENTER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W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18618</v>
          </cell>
          <cell r="C12" t="str">
            <v>1, 2 &amp; 5</v>
          </cell>
          <cell r="D12">
            <v>18618</v>
          </cell>
          <cell r="F12" t="str">
            <v>PACIFIC ASIAN COUNSELING SERVICES (FORMELY WRAP)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W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18626</v>
          </cell>
          <cell r="C13">
            <v>6</v>
          </cell>
          <cell r="D13">
            <v>18626</v>
          </cell>
          <cell r="F13" t="str">
            <v>SOUTH CENTRAL HEALTH &amp; REHAB PROGRAM (SCHARP)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W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18629</v>
          </cell>
          <cell r="C14" t="str">
            <v>1, 2 &amp; 5</v>
          </cell>
          <cell r="D14">
            <v>18629</v>
          </cell>
          <cell r="F14" t="str">
            <v xml:space="preserve">EXODUS RECOVERY, INC. 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18631</v>
          </cell>
          <cell r="C15">
            <v>3</v>
          </cell>
          <cell r="D15">
            <v>18631</v>
          </cell>
          <cell r="F15" t="str">
            <v>STAR VIEW ADOLESCENT CENTER, INC. (PHF)</v>
          </cell>
          <cell r="G15">
            <v>1792000</v>
          </cell>
          <cell r="H15">
            <v>1792000</v>
          </cell>
          <cell r="I15">
            <v>0</v>
          </cell>
          <cell r="J15">
            <v>0</v>
          </cell>
          <cell r="K15">
            <v>0</v>
          </cell>
          <cell r="L15">
            <v>92300</v>
          </cell>
          <cell r="M15">
            <v>92300</v>
          </cell>
          <cell r="N15">
            <v>196000</v>
          </cell>
          <cell r="O15">
            <v>196000</v>
          </cell>
          <cell r="P15">
            <v>2080300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312400</v>
          </cell>
          <cell r="Y15">
            <v>312400</v>
          </cell>
          <cell r="Z15">
            <v>312400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W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1792000</v>
          </cell>
          <cell r="BI15">
            <v>0</v>
          </cell>
          <cell r="BJ15">
            <v>0</v>
          </cell>
          <cell r="BK15">
            <v>92300</v>
          </cell>
          <cell r="BL15">
            <v>508400</v>
          </cell>
          <cell r="BM15">
            <v>2392700</v>
          </cell>
        </row>
        <row r="16">
          <cell r="A16">
            <v>18637</v>
          </cell>
          <cell r="C16" t="str">
            <v xml:space="preserve">7 &amp; 8 </v>
          </cell>
          <cell r="D16">
            <v>18637</v>
          </cell>
          <cell r="F16" t="str">
            <v>PROVIDENCE COMMUNITY SERVICES, LLC. (FORMELY ASPEN)</v>
          </cell>
          <cell r="G16">
            <v>280000</v>
          </cell>
          <cell r="H16">
            <v>280000</v>
          </cell>
          <cell r="I16">
            <v>0</v>
          </cell>
          <cell r="J16">
            <v>0</v>
          </cell>
          <cell r="K16">
            <v>30700</v>
          </cell>
          <cell r="L16">
            <v>14950</v>
          </cell>
          <cell r="M16">
            <v>15000</v>
          </cell>
          <cell r="N16">
            <v>28000</v>
          </cell>
          <cell r="O16">
            <v>28000</v>
          </cell>
          <cell r="P16">
            <v>353700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50600</v>
          </cell>
          <cell r="Y16">
            <v>50600</v>
          </cell>
          <cell r="Z16">
            <v>50600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280000</v>
          </cell>
          <cell r="BI16">
            <v>0</v>
          </cell>
          <cell r="BJ16">
            <v>30700</v>
          </cell>
          <cell r="BK16">
            <v>15000</v>
          </cell>
          <cell r="BL16">
            <v>78600</v>
          </cell>
          <cell r="BM16">
            <v>404300</v>
          </cell>
        </row>
        <row r="17">
          <cell r="A17">
            <v>18638</v>
          </cell>
          <cell r="C17" t="str">
            <v xml:space="preserve">7 &amp; 8 </v>
          </cell>
          <cell r="D17">
            <v>18638</v>
          </cell>
          <cell r="F17" t="str">
            <v>SHIELDS FOR FAMILY PROJECT, INC.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W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18663</v>
          </cell>
          <cell r="C18">
            <v>4</v>
          </cell>
          <cell r="D18">
            <v>18663</v>
          </cell>
          <cell r="F18" t="str">
            <v>CHILDREN'S INSTITUTE INC.</v>
          </cell>
          <cell r="G18">
            <v>1498000</v>
          </cell>
          <cell r="H18">
            <v>1498000</v>
          </cell>
          <cell r="I18">
            <v>0</v>
          </cell>
          <cell r="J18">
            <v>0</v>
          </cell>
          <cell r="K18">
            <v>104400</v>
          </cell>
          <cell r="L18">
            <v>79950</v>
          </cell>
          <cell r="M18">
            <v>80000</v>
          </cell>
          <cell r="N18">
            <v>182000</v>
          </cell>
          <cell r="O18">
            <v>182000</v>
          </cell>
          <cell r="P18">
            <v>1864400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270600</v>
          </cell>
          <cell r="Y18">
            <v>270600</v>
          </cell>
          <cell r="Z18">
            <v>270600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W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1498000</v>
          </cell>
          <cell r="BI18">
            <v>0</v>
          </cell>
          <cell r="BJ18">
            <v>104400</v>
          </cell>
          <cell r="BK18">
            <v>80000</v>
          </cell>
          <cell r="BL18">
            <v>452600</v>
          </cell>
          <cell r="BM18">
            <v>2135000</v>
          </cell>
        </row>
        <row r="19">
          <cell r="A19">
            <v>18664</v>
          </cell>
          <cell r="C19">
            <v>3</v>
          </cell>
          <cell r="D19">
            <v>18664</v>
          </cell>
          <cell r="F19" t="str">
            <v>OLIVE CREST TREATMENT CENTERS, INC.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18665</v>
          </cell>
          <cell r="C20">
            <v>3</v>
          </cell>
          <cell r="D20">
            <v>18665</v>
          </cell>
          <cell r="F20" t="str">
            <v xml:space="preserve">SAN GABRIEL CHILDREN'S CTR, INC. (RESEARCH &amp; TREATMENT 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18675</v>
          </cell>
          <cell r="C21">
            <v>3</v>
          </cell>
          <cell r="D21">
            <v>18675</v>
          </cell>
          <cell r="F21" t="str">
            <v>FIVE ACRES - THE BOYS &amp; GIRLS AID SOCIETY OF LA COUNTY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W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18681</v>
          </cell>
          <cell r="C22">
            <v>4</v>
          </cell>
          <cell r="D22">
            <v>18681</v>
          </cell>
          <cell r="F22" t="str">
            <v>CHILDREN'S BUREAU OF SOUTHERN CALIFORNIA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W22">
            <v>0</v>
          </cell>
          <cell r="AX22">
            <v>56000</v>
          </cell>
          <cell r="AY22">
            <v>56000</v>
          </cell>
          <cell r="BA22">
            <v>0</v>
          </cell>
          <cell r="BC22">
            <v>0</v>
          </cell>
          <cell r="BE22">
            <v>0</v>
          </cell>
          <cell r="BF22">
            <v>56000</v>
          </cell>
          <cell r="BH22">
            <v>0</v>
          </cell>
          <cell r="BI22">
            <v>56000</v>
          </cell>
          <cell r="BJ22">
            <v>0</v>
          </cell>
          <cell r="BK22">
            <v>0</v>
          </cell>
          <cell r="BL22">
            <v>0</v>
          </cell>
          <cell r="BM22">
            <v>56000</v>
          </cell>
        </row>
        <row r="23">
          <cell r="A23">
            <v>18701</v>
          </cell>
          <cell r="C23">
            <v>3</v>
          </cell>
          <cell r="D23">
            <v>18701</v>
          </cell>
          <cell r="F23" t="str">
            <v>FOOTHILL FAMILY SERVICE</v>
          </cell>
          <cell r="G23">
            <v>700000</v>
          </cell>
          <cell r="H23">
            <v>700000</v>
          </cell>
          <cell r="I23">
            <v>0</v>
          </cell>
          <cell r="J23">
            <v>0</v>
          </cell>
          <cell r="K23">
            <v>56000</v>
          </cell>
          <cell r="L23">
            <v>39000</v>
          </cell>
          <cell r="M23">
            <v>39000</v>
          </cell>
          <cell r="N23">
            <v>84000</v>
          </cell>
          <cell r="O23">
            <v>84000</v>
          </cell>
          <cell r="P23">
            <v>879000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132000</v>
          </cell>
          <cell r="Y23">
            <v>132000</v>
          </cell>
          <cell r="Z23">
            <v>132000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0</v>
          </cell>
          <cell r="AY23">
            <v>0</v>
          </cell>
          <cell r="AZ23">
            <v>81937.14285714287</v>
          </cell>
          <cell r="BA23">
            <v>81900</v>
          </cell>
          <cell r="BC23">
            <v>0</v>
          </cell>
          <cell r="BE23">
            <v>0</v>
          </cell>
          <cell r="BF23">
            <v>81900</v>
          </cell>
          <cell r="BH23">
            <v>700000</v>
          </cell>
          <cell r="BI23">
            <v>0</v>
          </cell>
          <cell r="BJ23">
            <v>137900</v>
          </cell>
          <cell r="BK23">
            <v>39000</v>
          </cell>
          <cell r="BL23">
            <v>216000</v>
          </cell>
          <cell r="BM23">
            <v>1092900</v>
          </cell>
        </row>
        <row r="24">
          <cell r="A24">
            <v>20466</v>
          </cell>
          <cell r="C24" t="str">
            <v>7 &amp; 8</v>
          </cell>
          <cell r="D24">
            <v>20466</v>
          </cell>
          <cell r="F24" t="str">
            <v xml:space="preserve">BARBOUR AND FLOYD MEDICAL ASSOCIATES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W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20470</v>
          </cell>
          <cell r="C25">
            <v>3</v>
          </cell>
          <cell r="D25">
            <v>20470</v>
          </cell>
          <cell r="F25" t="str">
            <v>LOS ANGELES UNIFIED SCHOOL DISTRICT (97TH SCHOOL)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0</v>
          </cell>
          <cell r="AY25">
            <v>0</v>
          </cell>
          <cell r="AZ25">
            <v>90786</v>
          </cell>
          <cell r="BA25">
            <v>90800</v>
          </cell>
          <cell r="BC25">
            <v>0</v>
          </cell>
          <cell r="BD25">
            <v>0</v>
          </cell>
          <cell r="BE25">
            <v>0</v>
          </cell>
          <cell r="BF25">
            <v>90800</v>
          </cell>
          <cell r="BH25">
            <v>0</v>
          </cell>
          <cell r="BI25">
            <v>0</v>
          </cell>
          <cell r="BJ25">
            <v>90800</v>
          </cell>
          <cell r="BK25">
            <v>0</v>
          </cell>
          <cell r="BL25">
            <v>0</v>
          </cell>
          <cell r="BM25">
            <v>90800</v>
          </cell>
        </row>
        <row r="26">
          <cell r="A26">
            <v>20486</v>
          </cell>
          <cell r="C26">
            <v>4</v>
          </cell>
          <cell r="D26">
            <v>20486</v>
          </cell>
          <cell r="F26" t="str">
            <v>HAMBURGER HOME (dba AVIVA CENTER)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W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20906</v>
          </cell>
          <cell r="C27">
            <v>4</v>
          </cell>
          <cell r="D27">
            <v>20906</v>
          </cell>
          <cell r="F27" t="str">
            <v>INTERCOMMUNITY CHILD GUIDANCE CTR</v>
          </cell>
          <cell r="G27">
            <v>280000</v>
          </cell>
          <cell r="H27">
            <v>280000</v>
          </cell>
          <cell r="I27">
            <v>0</v>
          </cell>
          <cell r="J27">
            <v>0</v>
          </cell>
          <cell r="K27">
            <v>0</v>
          </cell>
          <cell r="L27">
            <v>17875</v>
          </cell>
          <cell r="M27">
            <v>17900</v>
          </cell>
          <cell r="N27">
            <v>51566</v>
          </cell>
          <cell r="O27">
            <v>51600</v>
          </cell>
          <cell r="P27">
            <v>349500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48400</v>
          </cell>
          <cell r="Y27">
            <v>48400</v>
          </cell>
          <cell r="Z27">
            <v>48400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280000</v>
          </cell>
          <cell r="BI27">
            <v>0</v>
          </cell>
          <cell r="BJ27">
            <v>0</v>
          </cell>
          <cell r="BK27">
            <v>17900</v>
          </cell>
          <cell r="BL27">
            <v>100000</v>
          </cell>
          <cell r="BM27">
            <v>397900</v>
          </cell>
        </row>
        <row r="28">
          <cell r="A28">
            <v>20961</v>
          </cell>
          <cell r="C28">
            <v>3</v>
          </cell>
          <cell r="D28">
            <v>20961</v>
          </cell>
          <cell r="F28" t="str">
            <v>SUNBRIDGE HARBOR VIEW REHAB CTR, INC. (FORMELY HARBOR VIEW)</v>
          </cell>
          <cell r="G28">
            <v>616000</v>
          </cell>
          <cell r="H28">
            <v>616000</v>
          </cell>
          <cell r="I28">
            <v>0</v>
          </cell>
          <cell r="J28">
            <v>0</v>
          </cell>
          <cell r="K28">
            <v>14000</v>
          </cell>
          <cell r="L28">
            <v>32500</v>
          </cell>
          <cell r="M28">
            <v>32500</v>
          </cell>
          <cell r="N28">
            <v>70000</v>
          </cell>
          <cell r="O28">
            <v>70000</v>
          </cell>
          <cell r="P28">
            <v>732500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110000</v>
          </cell>
          <cell r="Y28">
            <v>110000</v>
          </cell>
          <cell r="Z28">
            <v>110000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W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616000</v>
          </cell>
          <cell r="BI28">
            <v>0</v>
          </cell>
          <cell r="BJ28">
            <v>14000</v>
          </cell>
          <cell r="BK28">
            <v>32500</v>
          </cell>
          <cell r="BL28">
            <v>180000</v>
          </cell>
          <cell r="BM28">
            <v>842500</v>
          </cell>
        </row>
        <row r="29">
          <cell r="A29">
            <v>20966</v>
          </cell>
          <cell r="C29" t="str">
            <v>ADJH</v>
          </cell>
          <cell r="D29">
            <v>20966</v>
          </cell>
          <cell r="F29" t="str">
            <v>HOMES FOR LIFE FOUNDATION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21526</v>
          </cell>
          <cell r="C30">
            <v>4</v>
          </cell>
          <cell r="D30">
            <v>21526</v>
          </cell>
          <cell r="F30" t="str">
            <v>ASC TREATMENT GROUP DBA THE ANNE SIPPI CLINIC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21527</v>
          </cell>
          <cell r="C31" t="str">
            <v>7 &amp; 8</v>
          </cell>
          <cell r="D31">
            <v>21527</v>
          </cell>
          <cell r="F31" t="str">
            <v>COLLEGE HOSPITAL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W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21528</v>
          </cell>
          <cell r="C32" t="str">
            <v>1, 2 &amp; 5</v>
          </cell>
          <cell r="D32">
            <v>21528</v>
          </cell>
          <cell r="F32" t="str">
            <v>TOPANGA-ROSCOE CORP (TOPANGA WEST GUEST HOME)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21568</v>
          </cell>
          <cell r="C33">
            <v>6</v>
          </cell>
          <cell r="D33">
            <v>21568</v>
          </cell>
          <cell r="F33" t="str">
            <v>ST. FRANCIS MEDICAL CENTER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W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21569</v>
          </cell>
          <cell r="C34">
            <v>4</v>
          </cell>
          <cell r="D34">
            <v>21569</v>
          </cell>
          <cell r="F34" t="str">
            <v>OPTIMIST BOYS' HOME &amp; RANCH INC.</v>
          </cell>
          <cell r="G34">
            <v>308000</v>
          </cell>
          <cell r="H34">
            <v>308000</v>
          </cell>
          <cell r="I34">
            <v>0</v>
          </cell>
          <cell r="J34">
            <v>0</v>
          </cell>
          <cell r="K34">
            <v>0</v>
          </cell>
          <cell r="L34">
            <v>16250</v>
          </cell>
          <cell r="M34">
            <v>16300</v>
          </cell>
          <cell r="N34">
            <v>42000</v>
          </cell>
          <cell r="O34">
            <v>42000</v>
          </cell>
          <cell r="P34">
            <v>366300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55000</v>
          </cell>
          <cell r="Y34">
            <v>55000</v>
          </cell>
          <cell r="Z34">
            <v>55000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W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308000</v>
          </cell>
          <cell r="BI34">
            <v>0</v>
          </cell>
          <cell r="BJ34">
            <v>0</v>
          </cell>
          <cell r="BK34">
            <v>16300</v>
          </cell>
          <cell r="BL34">
            <v>97000</v>
          </cell>
          <cell r="BM34">
            <v>421300</v>
          </cell>
        </row>
        <row r="35">
          <cell r="A35">
            <v>21570</v>
          </cell>
          <cell r="C35" t="str">
            <v>7 &amp; 8</v>
          </cell>
          <cell r="D35">
            <v>21570</v>
          </cell>
          <cell r="F35" t="str">
            <v>COUNSELING &amp; RESEARCH ASSO. INC., (dba MASADA HOMES)</v>
          </cell>
          <cell r="G35">
            <v>616000</v>
          </cell>
          <cell r="H35">
            <v>616000</v>
          </cell>
          <cell r="I35">
            <v>0</v>
          </cell>
          <cell r="J35">
            <v>0</v>
          </cell>
          <cell r="K35">
            <v>14000</v>
          </cell>
          <cell r="L35">
            <v>32500</v>
          </cell>
          <cell r="M35">
            <v>32500</v>
          </cell>
          <cell r="N35">
            <v>70000</v>
          </cell>
          <cell r="O35">
            <v>70000</v>
          </cell>
          <cell r="P35">
            <v>732500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110000</v>
          </cell>
          <cell r="Y35">
            <v>110000</v>
          </cell>
          <cell r="Z35">
            <v>110000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W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616000</v>
          </cell>
          <cell r="BI35">
            <v>0</v>
          </cell>
          <cell r="BJ35">
            <v>14000</v>
          </cell>
          <cell r="BK35">
            <v>32500</v>
          </cell>
          <cell r="BL35">
            <v>180000</v>
          </cell>
          <cell r="BM35">
            <v>842500</v>
          </cell>
        </row>
        <row r="36">
          <cell r="A36">
            <v>21571</v>
          </cell>
          <cell r="C36">
            <v>3</v>
          </cell>
          <cell r="D36">
            <v>21571</v>
          </cell>
          <cell r="F36" t="str">
            <v>EASTFIELD MING QUONG, INC. (FORMELY LA ORPHANS)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570500</v>
          </cell>
        </row>
        <row r="37">
          <cell r="A37">
            <v>21573</v>
          </cell>
          <cell r="C37">
            <v>3</v>
          </cell>
          <cell r="D37">
            <v>21573</v>
          </cell>
          <cell r="F37" t="str">
            <v>PHOENIX HOUSES OF LOS ANGELES, INC.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W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21574</v>
          </cell>
          <cell r="C38">
            <v>3</v>
          </cell>
          <cell r="D38">
            <v>21574</v>
          </cell>
          <cell r="F38" t="str">
            <v>D' VEAL CORP. (dva D'VEAL FAMILY AND YOUTH SVCS)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W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21575</v>
          </cell>
          <cell r="C39" t="str">
            <v>7 &amp; 8</v>
          </cell>
          <cell r="D39">
            <v>21575</v>
          </cell>
          <cell r="F39" t="str">
            <v>CHILDNET YOUTH &amp; FAMILY SERVICES, INC.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W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23100</v>
          </cell>
          <cell r="C40">
            <v>4</v>
          </cell>
          <cell r="D40">
            <v>23100</v>
          </cell>
          <cell r="F40" t="str">
            <v>AIDS PROJECT LOS ANGELES, INC.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W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23101</v>
          </cell>
          <cell r="C41" t="str">
            <v>1, 2 &amp; 5</v>
          </cell>
          <cell r="D41">
            <v>23101</v>
          </cell>
          <cell r="F41" t="str">
            <v>EXCEPTIONAL CHILDREN'S FOUNDATION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W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23103</v>
          </cell>
          <cell r="C42" t="str">
            <v>7 &amp; 8</v>
          </cell>
          <cell r="D42">
            <v>23103</v>
          </cell>
          <cell r="F42" t="str">
            <v>ASSOC. LEAGUE OF MEXICAN AMERICAN DBA ALMA FAMILY SVCS</v>
          </cell>
          <cell r="G42">
            <v>280000</v>
          </cell>
          <cell r="H42">
            <v>280000</v>
          </cell>
          <cell r="I42">
            <v>0</v>
          </cell>
          <cell r="J42">
            <v>0</v>
          </cell>
          <cell r="K42">
            <v>14000</v>
          </cell>
          <cell r="L42">
            <v>14950</v>
          </cell>
          <cell r="M42">
            <v>15000</v>
          </cell>
          <cell r="N42">
            <v>28000</v>
          </cell>
          <cell r="O42">
            <v>28000</v>
          </cell>
          <cell r="P42">
            <v>337000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50600</v>
          </cell>
          <cell r="Y42">
            <v>50600</v>
          </cell>
          <cell r="Z42">
            <v>50600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W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F42">
            <v>0</v>
          </cell>
          <cell r="BH42">
            <v>280000</v>
          </cell>
          <cell r="BI42">
            <v>0</v>
          </cell>
          <cell r="BJ42">
            <v>14000</v>
          </cell>
          <cell r="BK42">
            <v>15000</v>
          </cell>
          <cell r="BL42">
            <v>78600</v>
          </cell>
          <cell r="BM42">
            <v>387600</v>
          </cell>
        </row>
        <row r="43">
          <cell r="A43">
            <v>23105</v>
          </cell>
          <cell r="C43">
            <v>3</v>
          </cell>
          <cell r="D43">
            <v>23105</v>
          </cell>
          <cell r="F43" t="str">
            <v xml:space="preserve">BRASWELL REHAB INST FOR DEV. OF GROWTH (dba BRIDGES) 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W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23106</v>
          </cell>
          <cell r="C44" t="str">
            <v>1,2 &amp; 5</v>
          </cell>
          <cell r="D44">
            <v>23106</v>
          </cell>
          <cell r="F44" t="str">
            <v>ALCOTT CENTER FOR MH  SERVICES(Beverlywood)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W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27638</v>
          </cell>
          <cell r="C45" t="str">
            <v>2 &amp; 5</v>
          </cell>
          <cell r="D45">
            <v>27638</v>
          </cell>
          <cell r="F45" t="str">
            <v>EDUCATIONAL RESOURCE &amp; SERVICES CTR. (dba KAYNE-ERAS)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W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23108</v>
          </cell>
          <cell r="C46" t="str">
            <v>7 &amp; 8</v>
          </cell>
          <cell r="D46">
            <v>23108</v>
          </cell>
          <cell r="F46" t="str">
            <v xml:space="preserve">FOR THE CHILD, INC.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W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23109</v>
          </cell>
          <cell r="C47">
            <v>4</v>
          </cell>
          <cell r="D47">
            <v>23109</v>
          </cell>
          <cell r="F47" t="str">
            <v>CEDARS-SINAI MEDICAL CENTER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W47">
            <v>0</v>
          </cell>
          <cell r="AY47">
            <v>0</v>
          </cell>
          <cell r="BA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23112</v>
          </cell>
          <cell r="C48">
            <v>4</v>
          </cell>
          <cell r="D48">
            <v>23112</v>
          </cell>
          <cell r="F48" t="str">
            <v>CHILDREN'S HOSPITAL OF LOS ANGELES</v>
          </cell>
          <cell r="G48">
            <v>518000</v>
          </cell>
          <cell r="H48">
            <v>518000</v>
          </cell>
          <cell r="I48">
            <v>0</v>
          </cell>
          <cell r="J48">
            <v>0</v>
          </cell>
          <cell r="K48">
            <v>42000</v>
          </cell>
          <cell r="L48">
            <v>29250</v>
          </cell>
          <cell r="M48">
            <v>29300</v>
          </cell>
          <cell r="N48">
            <v>70000</v>
          </cell>
          <cell r="O48">
            <v>70000</v>
          </cell>
          <cell r="P48">
            <v>659300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99000</v>
          </cell>
          <cell r="Y48">
            <v>99000</v>
          </cell>
          <cell r="Z48">
            <v>99000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W48">
            <v>0</v>
          </cell>
          <cell r="AY48">
            <v>0</v>
          </cell>
          <cell r="AZ48">
            <v>65065.71428571429</v>
          </cell>
          <cell r="BA48">
            <v>65100</v>
          </cell>
          <cell r="BC48">
            <v>0</v>
          </cell>
          <cell r="BD48">
            <v>45054</v>
          </cell>
          <cell r="BE48">
            <v>45100</v>
          </cell>
          <cell r="BF48">
            <v>110200</v>
          </cell>
          <cell r="BH48">
            <v>518000</v>
          </cell>
          <cell r="BI48">
            <v>0</v>
          </cell>
          <cell r="BJ48">
            <v>107100</v>
          </cell>
          <cell r="BK48">
            <v>29300</v>
          </cell>
          <cell r="BL48">
            <v>214100</v>
          </cell>
          <cell r="BM48">
            <v>868500</v>
          </cell>
        </row>
        <row r="49">
          <cell r="A49">
            <v>23113</v>
          </cell>
          <cell r="C49" t="str">
            <v>7 &amp; 8</v>
          </cell>
          <cell r="D49">
            <v>23113</v>
          </cell>
          <cell r="F49" t="str">
            <v>CITY OF GARDENA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W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23114</v>
          </cell>
          <cell r="C50">
            <v>4</v>
          </cell>
          <cell r="D50">
            <v>23114</v>
          </cell>
          <cell r="F50" t="str">
            <v>COMMUNITY FAMILY GUIDANCE CENTER</v>
          </cell>
          <cell r="G50">
            <v>252000</v>
          </cell>
          <cell r="H50">
            <v>252000</v>
          </cell>
          <cell r="I50">
            <v>0</v>
          </cell>
          <cell r="J50">
            <v>0</v>
          </cell>
          <cell r="K50">
            <v>114700</v>
          </cell>
          <cell r="L50">
            <v>14300</v>
          </cell>
          <cell r="M50">
            <v>14300</v>
          </cell>
          <cell r="N50">
            <v>28000</v>
          </cell>
          <cell r="O50">
            <v>28000</v>
          </cell>
          <cell r="P50">
            <v>409000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48400</v>
          </cell>
          <cell r="Y50">
            <v>48400</v>
          </cell>
          <cell r="Z50">
            <v>48400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W50">
            <v>0</v>
          </cell>
          <cell r="AY50">
            <v>0</v>
          </cell>
          <cell r="AZ50">
            <v>-0.42857142856519204</v>
          </cell>
          <cell r="BA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252000</v>
          </cell>
          <cell r="BI50">
            <v>0</v>
          </cell>
          <cell r="BJ50">
            <v>114700</v>
          </cell>
          <cell r="BK50">
            <v>14300</v>
          </cell>
          <cell r="BL50">
            <v>76400</v>
          </cell>
          <cell r="BM50">
            <v>457400</v>
          </cell>
        </row>
        <row r="51">
          <cell r="A51">
            <v>23116</v>
          </cell>
          <cell r="C51" t="str">
            <v>1, 2 &amp; 5</v>
          </cell>
          <cell r="D51">
            <v>23116</v>
          </cell>
          <cell r="F51" t="str">
            <v xml:space="preserve">DIDI HIRSCH PSYCHIATRIC SERVICE 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W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>
            <v>23118</v>
          </cell>
          <cell r="C52">
            <v>3</v>
          </cell>
          <cell r="D52">
            <v>23118</v>
          </cell>
          <cell r="F52" t="str">
            <v>DUBNOFF CENTER FOR CHILD DEV &amp; EDU THERAPY, INC.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W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27492</v>
          </cell>
          <cell r="C53" t="str">
            <v>6 &amp; 8</v>
          </cell>
          <cell r="D53">
            <v>27492</v>
          </cell>
          <cell r="F53" t="str">
            <v xml:space="preserve">FH &amp; HF TORRANCE I, LLC C/O HEALTH QUALITY MANAGEMENT 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W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23119</v>
          </cell>
          <cell r="C54">
            <v>3</v>
          </cell>
          <cell r="D54">
            <v>23119</v>
          </cell>
          <cell r="F54" t="str">
            <v>EL CENTRO DE AMISTAD, INC.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W54">
            <v>0</v>
          </cell>
          <cell r="AY54">
            <v>0</v>
          </cell>
          <cell r="BA54">
            <v>0</v>
          </cell>
          <cell r="BB54">
            <v>5900</v>
          </cell>
          <cell r="BC54">
            <v>5900</v>
          </cell>
          <cell r="BD54">
            <v>53484</v>
          </cell>
          <cell r="BE54">
            <v>53500</v>
          </cell>
          <cell r="BF54">
            <v>59400</v>
          </cell>
          <cell r="BH54">
            <v>0</v>
          </cell>
          <cell r="BI54">
            <v>0</v>
          </cell>
          <cell r="BJ54">
            <v>0</v>
          </cell>
          <cell r="BK54">
            <v>5900</v>
          </cell>
          <cell r="BL54">
            <v>53500</v>
          </cell>
          <cell r="BM54">
            <v>59400</v>
          </cell>
        </row>
        <row r="55">
          <cell r="A55">
            <v>23122</v>
          </cell>
          <cell r="C55">
            <v>4</v>
          </cell>
          <cell r="D55">
            <v>23122</v>
          </cell>
          <cell r="F55" t="str">
            <v xml:space="preserve">ENKI HEALTH AND RESEARCH SYSTEMS, INC. </v>
          </cell>
          <cell r="G55">
            <v>266000</v>
          </cell>
          <cell r="H55">
            <v>266000</v>
          </cell>
          <cell r="I55">
            <v>0</v>
          </cell>
          <cell r="J55">
            <v>0</v>
          </cell>
          <cell r="K55">
            <v>28000</v>
          </cell>
          <cell r="L55">
            <v>14950</v>
          </cell>
          <cell r="M55">
            <v>15000</v>
          </cell>
          <cell r="N55">
            <v>28000</v>
          </cell>
          <cell r="O55">
            <v>28000</v>
          </cell>
          <cell r="P55">
            <v>337000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50600</v>
          </cell>
          <cell r="Y55">
            <v>50600</v>
          </cell>
          <cell r="Z55">
            <v>50600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W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266000</v>
          </cell>
          <cell r="BI55">
            <v>0</v>
          </cell>
          <cell r="BJ55">
            <v>28000</v>
          </cell>
          <cell r="BK55">
            <v>15000</v>
          </cell>
          <cell r="BL55">
            <v>78600</v>
          </cell>
          <cell r="BM55">
            <v>387600</v>
          </cell>
        </row>
        <row r="56">
          <cell r="A56">
            <v>23123</v>
          </cell>
          <cell r="C56">
            <v>4</v>
          </cell>
          <cell r="D56">
            <v>23123</v>
          </cell>
          <cell r="F56" t="str">
            <v>FILIPINO-AMERICAN SERVICE GROUP, INC.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W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23125</v>
          </cell>
          <cell r="C57">
            <v>6</v>
          </cell>
          <cell r="D57">
            <v>23125</v>
          </cell>
          <cell r="F57" t="str">
            <v>1736 FAMILY CRISIS CENTER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>
            <v>23128</v>
          </cell>
          <cell r="C58">
            <v>4</v>
          </cell>
          <cell r="D58">
            <v>23128</v>
          </cell>
          <cell r="F58" t="str">
            <v xml:space="preserve">GATEWAYS HOSPITAL &amp; MHC 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W58">
            <v>0</v>
          </cell>
          <cell r="AY58">
            <v>0</v>
          </cell>
          <cell r="BA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>
            <v>23132</v>
          </cell>
          <cell r="C59">
            <v>3</v>
          </cell>
          <cell r="D59">
            <v>23132</v>
          </cell>
          <cell r="F59" t="str">
            <v>HATHAWAY SYCAMORES CHILD &amp; FAMILY SERVICES</v>
          </cell>
          <cell r="G59">
            <v>1484000</v>
          </cell>
          <cell r="H59">
            <v>1484000</v>
          </cell>
          <cell r="I59">
            <v>0</v>
          </cell>
          <cell r="J59">
            <v>0</v>
          </cell>
          <cell r="K59">
            <v>70000</v>
          </cell>
          <cell r="L59">
            <v>79950</v>
          </cell>
          <cell r="M59">
            <v>80000</v>
          </cell>
          <cell r="N59">
            <v>168000</v>
          </cell>
          <cell r="O59">
            <v>168000</v>
          </cell>
          <cell r="P59">
            <v>1802000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270600</v>
          </cell>
          <cell r="Y59">
            <v>270600</v>
          </cell>
          <cell r="Z59">
            <v>270600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W59">
            <v>0</v>
          </cell>
          <cell r="AY59">
            <v>0</v>
          </cell>
          <cell r="BA59">
            <v>0</v>
          </cell>
          <cell r="BC59">
            <v>0</v>
          </cell>
          <cell r="BD59">
            <v>135690</v>
          </cell>
          <cell r="BE59">
            <v>135700</v>
          </cell>
          <cell r="BF59">
            <v>135700</v>
          </cell>
          <cell r="BH59">
            <v>1484000</v>
          </cell>
          <cell r="BI59">
            <v>0</v>
          </cell>
          <cell r="BJ59">
            <v>70000</v>
          </cell>
          <cell r="BK59">
            <v>80000</v>
          </cell>
          <cell r="BL59">
            <v>574300</v>
          </cell>
          <cell r="BM59">
            <v>2208300</v>
          </cell>
        </row>
        <row r="60">
          <cell r="A60">
            <v>23133</v>
          </cell>
          <cell r="C60" t="str">
            <v>1, 2 &amp; 5</v>
          </cell>
          <cell r="D60">
            <v>23133</v>
          </cell>
          <cell r="F60" t="str">
            <v>HILLVIEW MENTAL HEALTH CENTER,  INC.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W60">
            <v>0</v>
          </cell>
          <cell r="AY60">
            <v>0</v>
          </cell>
          <cell r="BA60">
            <v>0</v>
          </cell>
          <cell r="BC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23134</v>
          </cell>
          <cell r="C61">
            <v>4</v>
          </cell>
          <cell r="D61">
            <v>23134</v>
          </cell>
          <cell r="F61" t="str">
            <v>CLONTARF MANOR INC.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W61">
            <v>0</v>
          </cell>
          <cell r="AY61">
            <v>0</v>
          </cell>
          <cell r="BA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>
            <v>23135</v>
          </cell>
          <cell r="C62">
            <v>3</v>
          </cell>
          <cell r="D62">
            <v>23135</v>
          </cell>
          <cell r="F62" t="str">
            <v xml:space="preserve">HILLSIDES (FORMERLY CHURCH HOME FOR CHILDREN) </v>
          </cell>
          <cell r="G62">
            <v>966000</v>
          </cell>
          <cell r="H62">
            <v>966000</v>
          </cell>
          <cell r="I62">
            <v>0</v>
          </cell>
          <cell r="J62">
            <v>0</v>
          </cell>
          <cell r="K62">
            <v>42000</v>
          </cell>
          <cell r="L62">
            <v>52000</v>
          </cell>
          <cell r="M62">
            <v>52000</v>
          </cell>
          <cell r="N62">
            <v>112000</v>
          </cell>
          <cell r="O62">
            <v>112000</v>
          </cell>
          <cell r="P62">
            <v>1172000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176000</v>
          </cell>
          <cell r="Y62">
            <v>176000</v>
          </cell>
          <cell r="Z62">
            <v>176000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W62">
            <v>0</v>
          </cell>
          <cell r="AY62">
            <v>0</v>
          </cell>
          <cell r="BA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966000</v>
          </cell>
          <cell r="BI62">
            <v>0</v>
          </cell>
          <cell r="BJ62">
            <v>42000</v>
          </cell>
          <cell r="BK62">
            <v>52000</v>
          </cell>
          <cell r="BL62">
            <v>288000</v>
          </cell>
          <cell r="BM62">
            <v>1348000</v>
          </cell>
        </row>
        <row r="63">
          <cell r="A63">
            <v>23136</v>
          </cell>
          <cell r="C63">
            <v>6</v>
          </cell>
          <cell r="D63">
            <v>23136</v>
          </cell>
          <cell r="F63" t="str">
            <v xml:space="preserve">KEDREN COMMUNITY HEALTH CENTER, INC. DBA KEDREN </v>
          </cell>
          <cell r="G63">
            <v>588000</v>
          </cell>
          <cell r="H63">
            <v>588000</v>
          </cell>
          <cell r="I63">
            <v>0</v>
          </cell>
          <cell r="J63">
            <v>0</v>
          </cell>
          <cell r="K63">
            <v>14000</v>
          </cell>
          <cell r="L63">
            <v>31200</v>
          </cell>
          <cell r="M63">
            <v>31200</v>
          </cell>
          <cell r="N63">
            <v>70000</v>
          </cell>
          <cell r="O63">
            <v>70000</v>
          </cell>
          <cell r="P63">
            <v>703200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105600</v>
          </cell>
          <cell r="Y63">
            <v>105600</v>
          </cell>
          <cell r="Z63">
            <v>105600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W63">
            <v>0</v>
          </cell>
          <cell r="AY63">
            <v>0</v>
          </cell>
          <cell r="BA63">
            <v>0</v>
          </cell>
          <cell r="BC63">
            <v>0</v>
          </cell>
          <cell r="BE63">
            <v>0</v>
          </cell>
          <cell r="BF63">
            <v>0</v>
          </cell>
          <cell r="BH63">
            <v>588000</v>
          </cell>
          <cell r="BI63">
            <v>0</v>
          </cell>
          <cell r="BJ63">
            <v>14000</v>
          </cell>
          <cell r="BK63">
            <v>31200</v>
          </cell>
          <cell r="BL63">
            <v>175600</v>
          </cell>
          <cell r="BM63">
            <v>808800</v>
          </cell>
        </row>
        <row r="64">
          <cell r="A64">
            <v>23137</v>
          </cell>
          <cell r="C64">
            <v>4</v>
          </cell>
          <cell r="D64">
            <v>23137</v>
          </cell>
          <cell r="F64" t="str">
            <v>KOREATOWN YOUTH &amp; COMMUNITY CENTER, INC.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W64">
            <v>0</v>
          </cell>
          <cell r="AY64">
            <v>0</v>
          </cell>
          <cell r="BA64">
            <v>0</v>
          </cell>
          <cell r="BB64">
            <v>1750</v>
          </cell>
          <cell r="BC64">
            <v>1800</v>
          </cell>
          <cell r="BD64">
            <v>10250</v>
          </cell>
          <cell r="BE64">
            <v>10300</v>
          </cell>
          <cell r="BF64">
            <v>12100</v>
          </cell>
          <cell r="BH64">
            <v>0</v>
          </cell>
          <cell r="BI64">
            <v>0</v>
          </cell>
          <cell r="BJ64">
            <v>0</v>
          </cell>
          <cell r="BK64">
            <v>1800</v>
          </cell>
          <cell r="BL64">
            <v>10300</v>
          </cell>
          <cell r="BM64">
            <v>12100</v>
          </cell>
        </row>
        <row r="65">
          <cell r="A65">
            <v>23138</v>
          </cell>
          <cell r="C65" t="str">
            <v>1,2 &amp; 5</v>
          </cell>
          <cell r="D65">
            <v>23138</v>
          </cell>
          <cell r="F65" t="str">
            <v xml:space="preserve">THE HELP GROUP C&amp;F CTR (FORMELY LA CTR FOR THERAPY &amp; ED) </v>
          </cell>
          <cell r="G65">
            <v>882000</v>
          </cell>
          <cell r="H65">
            <v>882000</v>
          </cell>
          <cell r="I65">
            <v>0</v>
          </cell>
          <cell r="J65">
            <v>0</v>
          </cell>
          <cell r="K65">
            <v>28000</v>
          </cell>
          <cell r="L65">
            <v>48100</v>
          </cell>
          <cell r="M65">
            <v>48100</v>
          </cell>
          <cell r="N65">
            <v>132667</v>
          </cell>
          <cell r="O65">
            <v>132700</v>
          </cell>
          <cell r="P65">
            <v>1090800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158400</v>
          </cell>
          <cell r="Y65">
            <v>158400</v>
          </cell>
          <cell r="Z65">
            <v>158400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W65">
            <v>0</v>
          </cell>
          <cell r="AY65">
            <v>0</v>
          </cell>
          <cell r="BA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882000</v>
          </cell>
          <cell r="BI65">
            <v>0</v>
          </cell>
          <cell r="BJ65">
            <v>28000</v>
          </cell>
          <cell r="BK65">
            <v>48100</v>
          </cell>
          <cell r="BL65">
            <v>291100</v>
          </cell>
          <cell r="BM65">
            <v>1249200</v>
          </cell>
        </row>
        <row r="66">
          <cell r="A66">
            <v>23141</v>
          </cell>
          <cell r="C66" t="str">
            <v>7 &amp; 8</v>
          </cell>
          <cell r="D66">
            <v>23141</v>
          </cell>
          <cell r="F66" t="str">
            <v>LOS ANGELES CHILD GUIDANCE CLINIC</v>
          </cell>
          <cell r="G66">
            <v>1148000</v>
          </cell>
          <cell r="H66">
            <v>1148000</v>
          </cell>
          <cell r="I66">
            <v>0</v>
          </cell>
          <cell r="J66">
            <v>0</v>
          </cell>
          <cell r="K66">
            <v>42000</v>
          </cell>
          <cell r="L66">
            <v>61750</v>
          </cell>
          <cell r="M66">
            <v>61800</v>
          </cell>
          <cell r="N66">
            <v>140000</v>
          </cell>
          <cell r="O66">
            <v>140000</v>
          </cell>
          <cell r="P66">
            <v>1391800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209000</v>
          </cell>
          <cell r="Y66">
            <v>209000</v>
          </cell>
          <cell r="Z66">
            <v>209000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W66">
            <v>0</v>
          </cell>
          <cell r="AY66">
            <v>0</v>
          </cell>
          <cell r="BA66">
            <v>0</v>
          </cell>
          <cell r="BC66">
            <v>0</v>
          </cell>
          <cell r="BD66">
            <v>65000</v>
          </cell>
          <cell r="BE66">
            <v>65000</v>
          </cell>
          <cell r="BF66">
            <v>65000</v>
          </cell>
          <cell r="BH66">
            <v>1148000</v>
          </cell>
          <cell r="BI66">
            <v>0</v>
          </cell>
          <cell r="BJ66">
            <v>42000</v>
          </cell>
          <cell r="BK66">
            <v>61800</v>
          </cell>
          <cell r="BL66">
            <v>414000</v>
          </cell>
          <cell r="BM66">
            <v>1665800</v>
          </cell>
        </row>
        <row r="67">
          <cell r="A67">
            <v>23142</v>
          </cell>
          <cell r="C67">
            <v>4</v>
          </cell>
          <cell r="D67">
            <v>23142</v>
          </cell>
          <cell r="F67" t="str">
            <v>LOS ANGELES GAY &amp; LESBIAN COMMUNITY SVCS CTR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W67">
            <v>0</v>
          </cell>
          <cell r="AY67">
            <v>0</v>
          </cell>
          <cell r="BA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23143</v>
          </cell>
          <cell r="C68">
            <v>4</v>
          </cell>
          <cell r="D68">
            <v>23143</v>
          </cell>
          <cell r="F68" t="str">
            <v xml:space="preserve">LAMP INC. 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W68">
            <v>0</v>
          </cell>
          <cell r="AY68">
            <v>0</v>
          </cell>
          <cell r="BA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>
            <v>23146</v>
          </cell>
          <cell r="C69" t="str">
            <v>7 &amp; 8</v>
          </cell>
          <cell r="D69">
            <v>23146</v>
          </cell>
          <cell r="F69" t="str">
            <v>MENTAL HEALTH AMERICA OF LOS ANGELES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W69">
            <v>0</v>
          </cell>
          <cell r="AY69">
            <v>0</v>
          </cell>
          <cell r="BA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>
            <v>23149</v>
          </cell>
          <cell r="C70">
            <v>3</v>
          </cell>
          <cell r="D70">
            <v>23149</v>
          </cell>
          <cell r="F70" t="str">
            <v xml:space="preserve">PENNY LANE CENTERS (NATIONAL FOUNDATION TREATMENT) 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W70">
            <v>0</v>
          </cell>
          <cell r="AY70">
            <v>0</v>
          </cell>
          <cell r="BA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23151</v>
          </cell>
          <cell r="C71" t="str">
            <v>1, 2 &amp; 5</v>
          </cell>
          <cell r="D71">
            <v>23151</v>
          </cell>
          <cell r="F71" t="str">
            <v>OCEAN PARK COMMUNITY CENTER (McKinney)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W71">
            <v>0</v>
          </cell>
          <cell r="AY71">
            <v>0</v>
          </cell>
          <cell r="BA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>
            <v>23153</v>
          </cell>
          <cell r="C72">
            <v>3</v>
          </cell>
          <cell r="D72">
            <v>23153</v>
          </cell>
          <cell r="F72" t="str">
            <v xml:space="preserve">PACIFIC CLINICS </v>
          </cell>
          <cell r="G72">
            <v>2226000</v>
          </cell>
          <cell r="H72">
            <v>2226000</v>
          </cell>
          <cell r="I72">
            <v>0</v>
          </cell>
          <cell r="J72">
            <v>0</v>
          </cell>
          <cell r="K72">
            <v>140000</v>
          </cell>
          <cell r="L72">
            <v>121550</v>
          </cell>
          <cell r="M72">
            <v>121600</v>
          </cell>
          <cell r="N72">
            <v>252000</v>
          </cell>
          <cell r="O72">
            <v>252000</v>
          </cell>
          <cell r="P72">
            <v>2739600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411400</v>
          </cell>
          <cell r="Y72">
            <v>411400</v>
          </cell>
          <cell r="Z72">
            <v>411400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W72">
            <v>0</v>
          </cell>
          <cell r="AY72">
            <v>0</v>
          </cell>
          <cell r="BA72">
            <v>0</v>
          </cell>
          <cell r="BC72">
            <v>0</v>
          </cell>
          <cell r="BE72">
            <v>0</v>
          </cell>
          <cell r="BF72">
            <v>0</v>
          </cell>
          <cell r="BH72">
            <v>2226000</v>
          </cell>
          <cell r="BI72">
            <v>0</v>
          </cell>
          <cell r="BJ72">
            <v>140000</v>
          </cell>
          <cell r="BK72">
            <v>121600</v>
          </cell>
          <cell r="BL72">
            <v>663400</v>
          </cell>
          <cell r="BM72">
            <v>3151000</v>
          </cell>
        </row>
        <row r="73">
          <cell r="A73">
            <v>23157</v>
          </cell>
          <cell r="C73" t="str">
            <v>7 &amp; 8</v>
          </cell>
          <cell r="D73">
            <v>23157</v>
          </cell>
          <cell r="F73" t="str">
            <v>THE GUIDANCE CENTER (GREATER LONG BEACH CHILD)</v>
          </cell>
          <cell r="G73">
            <v>294000</v>
          </cell>
          <cell r="H73">
            <v>294000</v>
          </cell>
          <cell r="I73">
            <v>0</v>
          </cell>
          <cell r="J73">
            <v>0</v>
          </cell>
          <cell r="K73">
            <v>123200</v>
          </cell>
          <cell r="L73">
            <v>20162</v>
          </cell>
          <cell r="M73">
            <v>20200</v>
          </cell>
          <cell r="N73">
            <v>84888</v>
          </cell>
          <cell r="O73">
            <v>84900</v>
          </cell>
          <cell r="P73">
            <v>522300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68200</v>
          </cell>
          <cell r="Y73">
            <v>68200</v>
          </cell>
          <cell r="Z73">
            <v>68200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W73">
            <v>0</v>
          </cell>
          <cell r="AY73">
            <v>0</v>
          </cell>
          <cell r="BA73">
            <v>0</v>
          </cell>
          <cell r="BC73">
            <v>0</v>
          </cell>
          <cell r="BE73">
            <v>0</v>
          </cell>
          <cell r="BF73">
            <v>0</v>
          </cell>
          <cell r="BH73">
            <v>294000</v>
          </cell>
          <cell r="BI73">
            <v>0</v>
          </cell>
          <cell r="BJ73">
            <v>123200</v>
          </cell>
          <cell r="BK73">
            <v>20200</v>
          </cell>
          <cell r="BL73">
            <v>153100</v>
          </cell>
          <cell r="BM73">
            <v>590500</v>
          </cell>
        </row>
        <row r="74">
          <cell r="A74">
            <v>23162</v>
          </cell>
          <cell r="C74" t="str">
            <v>2 &amp; 5</v>
          </cell>
          <cell r="D74">
            <v>23162</v>
          </cell>
          <cell r="F74" t="str">
            <v>CHILD AND FAMILY GUIDANCE CENTER (SFV)</v>
          </cell>
          <cell r="G74">
            <v>616000</v>
          </cell>
          <cell r="H74">
            <v>616000</v>
          </cell>
          <cell r="I74">
            <v>0</v>
          </cell>
          <cell r="J74">
            <v>0</v>
          </cell>
          <cell r="K74">
            <v>70000</v>
          </cell>
          <cell r="L74">
            <v>35750</v>
          </cell>
          <cell r="M74">
            <v>35800</v>
          </cell>
          <cell r="N74">
            <v>84000</v>
          </cell>
          <cell r="O74">
            <v>84000</v>
          </cell>
          <cell r="P74">
            <v>805800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121000</v>
          </cell>
          <cell r="Y74">
            <v>121000</v>
          </cell>
          <cell r="Z74">
            <v>121000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W74">
            <v>0</v>
          </cell>
          <cell r="AY74">
            <v>0</v>
          </cell>
          <cell r="BA74">
            <v>0</v>
          </cell>
          <cell r="BB74">
            <v>13370</v>
          </cell>
          <cell r="BC74">
            <v>13400</v>
          </cell>
          <cell r="BD74">
            <v>120275</v>
          </cell>
          <cell r="BE74">
            <v>120300</v>
          </cell>
          <cell r="BF74">
            <v>133700</v>
          </cell>
          <cell r="BH74">
            <v>616000</v>
          </cell>
          <cell r="BI74">
            <v>0</v>
          </cell>
          <cell r="BJ74">
            <v>70000</v>
          </cell>
          <cell r="BK74">
            <v>49200</v>
          </cell>
          <cell r="BL74">
            <v>325300</v>
          </cell>
          <cell r="BM74">
            <v>1060500</v>
          </cell>
        </row>
        <row r="75">
          <cell r="A75">
            <v>23163</v>
          </cell>
          <cell r="C75" t="str">
            <v>1, 2 &amp; 5</v>
          </cell>
          <cell r="D75">
            <v>23163</v>
          </cell>
          <cell r="F75" t="str">
            <v xml:space="preserve">SAN FERNANDO VALLEY COMMUNITY MHC, INC. </v>
          </cell>
          <cell r="G75">
            <v>924000</v>
          </cell>
          <cell r="H75">
            <v>924000</v>
          </cell>
          <cell r="I75">
            <v>0</v>
          </cell>
          <cell r="J75">
            <v>0</v>
          </cell>
          <cell r="K75">
            <v>56000</v>
          </cell>
          <cell r="L75">
            <v>50700</v>
          </cell>
          <cell r="M75">
            <v>50700</v>
          </cell>
          <cell r="N75">
            <v>112000</v>
          </cell>
          <cell r="O75">
            <v>112000</v>
          </cell>
          <cell r="P75">
            <v>1142700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171600</v>
          </cell>
          <cell r="Y75">
            <v>171600</v>
          </cell>
          <cell r="Z75">
            <v>171600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W75">
            <v>0</v>
          </cell>
          <cell r="AY75">
            <v>0</v>
          </cell>
          <cell r="BA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924000</v>
          </cell>
          <cell r="BI75">
            <v>0</v>
          </cell>
          <cell r="BJ75">
            <v>56000</v>
          </cell>
          <cell r="BK75">
            <v>50700</v>
          </cell>
          <cell r="BL75">
            <v>283600</v>
          </cell>
          <cell r="BM75">
            <v>1314300</v>
          </cell>
        </row>
        <row r="76">
          <cell r="A76">
            <v>23164</v>
          </cell>
          <cell r="C76" t="str">
            <v>7 &amp; 8</v>
          </cell>
          <cell r="D76">
            <v>23164</v>
          </cell>
          <cell r="F76" t="str">
            <v>HEALTH VIEW INC.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W76">
            <v>0</v>
          </cell>
          <cell r="AY76">
            <v>0</v>
          </cell>
          <cell r="BA76">
            <v>0</v>
          </cell>
          <cell r="BC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>
            <v>27637</v>
          </cell>
          <cell r="C77" t="str">
            <v>1 &amp; 3</v>
          </cell>
          <cell r="D77">
            <v>27637</v>
          </cell>
          <cell r="F77" t="str">
            <v>KIDS FIRST FOUNDATION (MID VALLEY YOUTY CTR / HELICON)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W77">
            <v>0</v>
          </cell>
          <cell r="AY77">
            <v>0</v>
          </cell>
          <cell r="BA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23165</v>
          </cell>
          <cell r="C78" t="str">
            <v>2 &amp; 5</v>
          </cell>
          <cell r="D78">
            <v>23165</v>
          </cell>
          <cell r="F78" t="str">
            <v>CHILD &amp; FAMILY CENTER (SANTA CLARITA CHILD &amp; FAMILY)</v>
          </cell>
          <cell r="G78">
            <v>294000</v>
          </cell>
          <cell r="H78">
            <v>294000</v>
          </cell>
          <cell r="I78">
            <v>0</v>
          </cell>
          <cell r="J78">
            <v>0</v>
          </cell>
          <cell r="K78">
            <v>28000</v>
          </cell>
          <cell r="L78">
            <v>16900</v>
          </cell>
          <cell r="M78">
            <v>16900</v>
          </cell>
          <cell r="N78">
            <v>42000</v>
          </cell>
          <cell r="O78">
            <v>42000</v>
          </cell>
          <cell r="P78">
            <v>380900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57200</v>
          </cell>
          <cell r="Y78">
            <v>57200</v>
          </cell>
          <cell r="Z78">
            <v>57200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W78">
            <v>0</v>
          </cell>
          <cell r="AY78">
            <v>0</v>
          </cell>
          <cell r="BA78">
            <v>0</v>
          </cell>
          <cell r="BB78">
            <v>3300</v>
          </cell>
          <cell r="BC78">
            <v>3300</v>
          </cell>
          <cell r="BD78">
            <v>29734</v>
          </cell>
          <cell r="BE78">
            <v>29700</v>
          </cell>
          <cell r="BF78">
            <v>33000</v>
          </cell>
          <cell r="BH78">
            <v>294000</v>
          </cell>
          <cell r="BI78">
            <v>0</v>
          </cell>
          <cell r="BJ78">
            <v>28000</v>
          </cell>
          <cell r="BK78">
            <v>20200</v>
          </cell>
          <cell r="BL78">
            <v>128900</v>
          </cell>
          <cell r="BM78">
            <v>471100</v>
          </cell>
        </row>
        <row r="79">
          <cell r="A79">
            <v>23167</v>
          </cell>
          <cell r="C79" t="str">
            <v>1, 2 &amp; 5</v>
          </cell>
          <cell r="D79">
            <v>23167</v>
          </cell>
          <cell r="F79" t="str">
            <v>ST. JOSEPH CENTER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W79">
            <v>0</v>
          </cell>
          <cell r="AY79">
            <v>0</v>
          </cell>
          <cell r="BA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23168</v>
          </cell>
          <cell r="C80">
            <v>3</v>
          </cell>
          <cell r="D80">
            <v>23168</v>
          </cell>
          <cell r="F80" t="str">
            <v>SOCIAL MODEL RECOVERY SYSTEMS, INC.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W80">
            <v>0</v>
          </cell>
          <cell r="AY80">
            <v>0</v>
          </cell>
          <cell r="BA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23169</v>
          </cell>
          <cell r="C81" t="str">
            <v xml:space="preserve">7 &amp; 8 </v>
          </cell>
          <cell r="D81">
            <v>23169</v>
          </cell>
          <cell r="F81" t="str">
            <v>SOUTH BAY CHILDREN'S HEALTH CENTER ASSOCIATION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W81">
            <v>0</v>
          </cell>
          <cell r="AY81">
            <v>0</v>
          </cell>
          <cell r="BA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>
            <v>23170</v>
          </cell>
          <cell r="C82">
            <v>4</v>
          </cell>
          <cell r="D82">
            <v>23170</v>
          </cell>
          <cell r="F82" t="str">
            <v xml:space="preserve">SPECIAL SERVICE FOR GROUPS </v>
          </cell>
          <cell r="G82">
            <v>1512000</v>
          </cell>
          <cell r="H82">
            <v>1512000</v>
          </cell>
          <cell r="I82">
            <v>0</v>
          </cell>
          <cell r="J82">
            <v>0</v>
          </cell>
          <cell r="K82">
            <v>42000</v>
          </cell>
          <cell r="L82">
            <v>79950</v>
          </cell>
          <cell r="M82">
            <v>80000</v>
          </cell>
          <cell r="N82">
            <v>168000</v>
          </cell>
          <cell r="O82">
            <v>168000</v>
          </cell>
          <cell r="P82">
            <v>1802000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270600</v>
          </cell>
          <cell r="Y82">
            <v>270600</v>
          </cell>
          <cell r="Z82">
            <v>270600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W82">
            <v>0</v>
          </cell>
          <cell r="AY82">
            <v>0</v>
          </cell>
          <cell r="BA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1512000</v>
          </cell>
          <cell r="BI82">
            <v>0</v>
          </cell>
          <cell r="BJ82">
            <v>42000</v>
          </cell>
          <cell r="BK82">
            <v>80000</v>
          </cell>
          <cell r="BL82">
            <v>438600</v>
          </cell>
          <cell r="BM82">
            <v>2072600</v>
          </cell>
        </row>
        <row r="83">
          <cell r="A83">
            <v>23171</v>
          </cell>
          <cell r="C83" t="str">
            <v>1, 2 &amp; 5</v>
          </cell>
          <cell r="D83">
            <v>23171</v>
          </cell>
          <cell r="F83" t="str">
            <v>ST. JOHN'S HOSPITAL AND HEALTH CTR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D83">
            <v>133531</v>
          </cell>
          <cell r="BE83">
            <v>133500</v>
          </cell>
          <cell r="BF83">
            <v>133500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133500</v>
          </cell>
          <cell r="BM83">
            <v>133500</v>
          </cell>
        </row>
        <row r="84">
          <cell r="A84">
            <v>23172</v>
          </cell>
          <cell r="C84" t="str">
            <v xml:space="preserve">7 &amp; 8 </v>
          </cell>
          <cell r="D84">
            <v>23172</v>
          </cell>
          <cell r="F84" t="str">
            <v>TELECARE CORP. (LA PAZ &amp; LA CASA MENTAL HEALTH CTR)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W84">
            <v>0</v>
          </cell>
          <cell r="AY84">
            <v>0</v>
          </cell>
          <cell r="BA84">
            <v>0</v>
          </cell>
          <cell r="BC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A85">
            <v>23173</v>
          </cell>
          <cell r="C85">
            <v>4</v>
          </cell>
          <cell r="D85">
            <v>23173</v>
          </cell>
          <cell r="F85" t="str">
            <v>AMANECER COMMUNITY COUNSELING SRVS., INC. (FORMELY COMMUNITY COUNSELING SERVICES)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W85">
            <v>0</v>
          </cell>
          <cell r="AY85">
            <v>0</v>
          </cell>
          <cell r="BA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23174</v>
          </cell>
          <cell r="C86">
            <v>4</v>
          </cell>
          <cell r="D86">
            <v>23174</v>
          </cell>
          <cell r="F86" t="str">
            <v>HEALTH RESEARCH ASSOCIATION (dba USC ALTERNATIVE )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W86">
            <v>0</v>
          </cell>
          <cell r="AY86">
            <v>0</v>
          </cell>
          <cell r="BA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23175</v>
          </cell>
          <cell r="C87" t="str">
            <v>7 &amp; 8</v>
          </cell>
          <cell r="D87">
            <v>23175</v>
          </cell>
          <cell r="F87" t="str">
            <v>TRANSITIONAL LIVING CENTERS FOR LA COUNTY, INC.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W87">
            <v>0</v>
          </cell>
          <cell r="AY87">
            <v>0</v>
          </cell>
          <cell r="BA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23176</v>
          </cell>
          <cell r="C88">
            <v>4</v>
          </cell>
          <cell r="D88">
            <v>23176</v>
          </cell>
          <cell r="F88" t="str">
            <v>TRAVELERS AID SOCIETY OF LOS ANGELES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W88">
            <v>0</v>
          </cell>
          <cell r="AY88">
            <v>0</v>
          </cell>
          <cell r="BA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A89">
            <v>23178</v>
          </cell>
          <cell r="C89" t="str">
            <v>1, 2 &amp; 5</v>
          </cell>
          <cell r="D89">
            <v>23178</v>
          </cell>
          <cell r="F89" t="str">
            <v xml:space="preserve">VERDUGO MENTAL HEALTH CENTER 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W89">
            <v>0</v>
          </cell>
          <cell r="AY89">
            <v>0</v>
          </cell>
          <cell r="BA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23179</v>
          </cell>
          <cell r="C90">
            <v>6</v>
          </cell>
          <cell r="D90">
            <v>23179</v>
          </cell>
          <cell r="F90" t="str">
            <v xml:space="preserve">WATTS LABOR COMMMUNITY ACTION COMMMITTEE (WLCAC) 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W90">
            <v>0</v>
          </cell>
          <cell r="AY90">
            <v>0</v>
          </cell>
          <cell r="BA90">
            <v>0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23180</v>
          </cell>
          <cell r="C91" t="str">
            <v>1, 2 &amp; 5</v>
          </cell>
          <cell r="D91">
            <v>23180</v>
          </cell>
          <cell r="F91" t="str">
            <v>WESTSIDE CENTER FOR INDEPENDENT LIVING, INC.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W91">
            <v>0</v>
          </cell>
          <cell r="AY91">
            <v>0</v>
          </cell>
          <cell r="BA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A92">
            <v>23182</v>
          </cell>
          <cell r="C92" t="str">
            <v>1,2 &amp; 5</v>
          </cell>
          <cell r="D92">
            <v>23182</v>
          </cell>
          <cell r="F92" t="str">
            <v>STEP-UP ON SECOND STREET, INC.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W92">
            <v>0</v>
          </cell>
          <cell r="AY92">
            <v>0</v>
          </cell>
          <cell r="BA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23186</v>
          </cell>
          <cell r="C93">
            <v>4</v>
          </cell>
          <cell r="D93">
            <v>23186</v>
          </cell>
          <cell r="F93" t="str">
            <v>INSTITUTE FOR THE REDESIGN OF LEARNING (ALMANSOR)</v>
          </cell>
          <cell r="G93">
            <v>616000</v>
          </cell>
          <cell r="H93">
            <v>616000</v>
          </cell>
          <cell r="I93">
            <v>0</v>
          </cell>
          <cell r="J93">
            <v>0</v>
          </cell>
          <cell r="K93">
            <v>28000</v>
          </cell>
          <cell r="L93">
            <v>33800</v>
          </cell>
          <cell r="M93">
            <v>33800</v>
          </cell>
          <cell r="N93">
            <v>84000</v>
          </cell>
          <cell r="O93">
            <v>84000</v>
          </cell>
          <cell r="P93">
            <v>761800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114400</v>
          </cell>
          <cell r="Y93">
            <v>114400</v>
          </cell>
          <cell r="Z93">
            <v>114400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W93">
            <v>0</v>
          </cell>
          <cell r="AY93">
            <v>0</v>
          </cell>
          <cell r="BA93">
            <v>0</v>
          </cell>
          <cell r="BC93">
            <v>0</v>
          </cell>
          <cell r="BD93">
            <v>46725</v>
          </cell>
          <cell r="BE93">
            <v>46700</v>
          </cell>
          <cell r="BF93">
            <v>46700</v>
          </cell>
          <cell r="BH93">
            <v>616000</v>
          </cell>
          <cell r="BI93">
            <v>0</v>
          </cell>
          <cell r="BJ93">
            <v>28000</v>
          </cell>
          <cell r="BK93">
            <v>33800</v>
          </cell>
          <cell r="BL93">
            <v>245100</v>
          </cell>
          <cell r="BM93">
            <v>922900</v>
          </cell>
        </row>
        <row r="94">
          <cell r="A94">
            <v>23187</v>
          </cell>
          <cell r="C94" t="str">
            <v>1, 2 &amp; 5</v>
          </cell>
          <cell r="D94">
            <v>23187</v>
          </cell>
          <cell r="F94" t="str">
            <v>STIRLING ACADEMY, INC.(STIRLING BEHAVIORAL HEALTH INST.)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W94">
            <v>0</v>
          </cell>
          <cell r="AY94">
            <v>0</v>
          </cell>
          <cell r="BA94">
            <v>0</v>
          </cell>
          <cell r="BC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A95">
            <v>23188</v>
          </cell>
          <cell r="C95" t="str">
            <v>1, 2 &amp; 5</v>
          </cell>
          <cell r="D95">
            <v>23188</v>
          </cell>
          <cell r="F95" t="str">
            <v>VISTA DEL MAR CHILD &amp; FAMILY SVCS (JEWISH ORPHANS)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W95">
            <v>0</v>
          </cell>
          <cell r="AX95">
            <v>7500</v>
          </cell>
          <cell r="AY95">
            <v>7500</v>
          </cell>
          <cell r="BA95">
            <v>0</v>
          </cell>
          <cell r="BC95">
            <v>0</v>
          </cell>
          <cell r="BD95">
            <v>26813</v>
          </cell>
          <cell r="BE95">
            <v>26800</v>
          </cell>
          <cell r="BF95">
            <v>34300</v>
          </cell>
          <cell r="BH95">
            <v>0</v>
          </cell>
          <cell r="BI95">
            <v>7500</v>
          </cell>
          <cell r="BJ95">
            <v>0</v>
          </cell>
          <cell r="BK95">
            <v>0</v>
          </cell>
          <cell r="BL95">
            <v>26800</v>
          </cell>
          <cell r="BM95">
            <v>34300</v>
          </cell>
        </row>
        <row r="96">
          <cell r="A96">
            <v>23190</v>
          </cell>
          <cell r="C96">
            <v>4</v>
          </cell>
          <cell r="D96">
            <v>23190</v>
          </cell>
          <cell r="F96" t="str">
            <v>THE LOS ANGELES FREE CLINIC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W96">
            <v>0</v>
          </cell>
          <cell r="AY96">
            <v>0</v>
          </cell>
          <cell r="BA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A97">
            <v>27210</v>
          </cell>
          <cell r="C97">
            <v>3</v>
          </cell>
          <cell r="D97">
            <v>27210</v>
          </cell>
          <cell r="F97" t="str">
            <v>PROTOTYPES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W97">
            <v>0</v>
          </cell>
          <cell r="AY97">
            <v>0</v>
          </cell>
          <cell r="BA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27231</v>
          </cell>
          <cell r="C98">
            <v>3</v>
          </cell>
          <cell r="D98">
            <v>27231</v>
          </cell>
          <cell r="F98" t="str">
            <v>GAY &amp; LESBIAN ADOLESCENT SOC. SVCS, INC.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W98">
            <v>0</v>
          </cell>
          <cell r="AY98">
            <v>0</v>
          </cell>
          <cell r="BA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27233</v>
          </cell>
          <cell r="C99">
            <v>3</v>
          </cell>
          <cell r="D99">
            <v>27233</v>
          </cell>
          <cell r="F99" t="str">
            <v>BIENVENIDOS CHILDREN'S CTR, INC.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0</v>
          </cell>
          <cell r="AY99">
            <v>0</v>
          </cell>
          <cell r="BA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27234</v>
          </cell>
          <cell r="C100">
            <v>3</v>
          </cell>
          <cell r="D100">
            <v>27234</v>
          </cell>
          <cell r="F100" t="str">
            <v>ETTIE LEE HOMES, INC.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W100">
            <v>0</v>
          </cell>
          <cell r="AY100">
            <v>0</v>
          </cell>
          <cell r="BA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27235</v>
          </cell>
          <cell r="C101" t="str">
            <v>7 &amp; 8</v>
          </cell>
          <cell r="D101">
            <v>27235</v>
          </cell>
          <cell r="F101" t="str">
            <v>ONE IN LONG BEACH, INC.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W101">
            <v>0</v>
          </cell>
          <cell r="AY101">
            <v>0</v>
          </cell>
          <cell r="BA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27236</v>
          </cell>
          <cell r="C102">
            <v>3</v>
          </cell>
          <cell r="D102">
            <v>27236</v>
          </cell>
          <cell r="F102" t="str">
            <v>ROSEMARY CHILDREN'S SERVICES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W102">
            <v>0</v>
          </cell>
          <cell r="AY102">
            <v>0</v>
          </cell>
          <cell r="BA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27248</v>
          </cell>
          <cell r="C103">
            <v>4</v>
          </cell>
          <cell r="D103">
            <v>27248</v>
          </cell>
          <cell r="F103" t="str">
            <v>UNITED AMERICAN INDIAN INVOLVEMENT, INC.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W103">
            <v>0</v>
          </cell>
          <cell r="AY103">
            <v>0</v>
          </cell>
          <cell r="BA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27476</v>
          </cell>
          <cell r="C104">
            <v>3</v>
          </cell>
          <cell r="D104">
            <v>27476</v>
          </cell>
          <cell r="F104" t="str">
            <v xml:space="preserve">WHITE MEMORIAL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W104">
            <v>0</v>
          </cell>
          <cell r="AY104">
            <v>0</v>
          </cell>
          <cell r="BA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27478</v>
          </cell>
          <cell r="C105">
            <v>3</v>
          </cell>
          <cell r="D105">
            <v>27478</v>
          </cell>
          <cell r="F105" t="str">
            <v>HERITAGE CLINIC &amp; THE COMMUNITY ASS. PRO. FOR SENIORS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W105">
            <v>0</v>
          </cell>
          <cell r="AY105">
            <v>0</v>
          </cell>
          <cell r="BA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27490</v>
          </cell>
          <cell r="C106">
            <v>3</v>
          </cell>
          <cell r="D106">
            <v>27490</v>
          </cell>
          <cell r="F106" t="str">
            <v>UCLA TIES FOR ADOPTION (THE REGENTS)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W106">
            <v>0</v>
          </cell>
          <cell r="AY106">
            <v>0</v>
          </cell>
          <cell r="BA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27495</v>
          </cell>
          <cell r="C107">
            <v>3</v>
          </cell>
          <cell r="D107">
            <v>27495</v>
          </cell>
          <cell r="F107" t="str">
            <v>MCKINLEY CHILDREN'S CENTER, INC.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W107">
            <v>0</v>
          </cell>
          <cell r="AY107">
            <v>0</v>
          </cell>
          <cell r="BA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27507</v>
          </cell>
          <cell r="C108">
            <v>3</v>
          </cell>
          <cell r="D108">
            <v>27507</v>
          </cell>
          <cell r="F108" t="str">
            <v>MARYVALE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W108">
            <v>0</v>
          </cell>
          <cell r="AY108">
            <v>0</v>
          </cell>
          <cell r="BA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27508</v>
          </cell>
          <cell r="C109" t="str">
            <v>1, 2 &amp; 5</v>
          </cell>
          <cell r="D109">
            <v>27508</v>
          </cell>
          <cell r="F109" t="str">
            <v>COUNSELLING4KIDS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W109">
            <v>0</v>
          </cell>
          <cell r="AY109">
            <v>0</v>
          </cell>
          <cell r="BA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27518</v>
          </cell>
          <cell r="C110" t="str">
            <v>1, 2 &amp; 5</v>
          </cell>
          <cell r="D110">
            <v>27518</v>
          </cell>
          <cell r="F110" t="str">
            <v>PACIFIC LODGE YOUTH SERVICE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W110">
            <v>0</v>
          </cell>
          <cell r="AY110">
            <v>0</v>
          </cell>
          <cell r="BA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27519</v>
          </cell>
          <cell r="C111">
            <v>4</v>
          </cell>
          <cell r="D111">
            <v>27519</v>
          </cell>
          <cell r="F111" t="str">
            <v>PARA LOS NINOS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W111">
            <v>0</v>
          </cell>
          <cell r="AY111">
            <v>0</v>
          </cell>
          <cell r="BA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27520</v>
          </cell>
          <cell r="C112">
            <v>6</v>
          </cell>
          <cell r="D112">
            <v>27520</v>
          </cell>
          <cell r="F112" t="str">
            <v>PERSONAL INVOLVEMENT CENTER, INC.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W112">
            <v>0</v>
          </cell>
          <cell r="AY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27522</v>
          </cell>
          <cell r="C113">
            <v>3</v>
          </cell>
          <cell r="D113">
            <v>27522</v>
          </cell>
          <cell r="F113" t="str">
            <v>SERENITY INFANT CARE HOMES, INC.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W113">
            <v>0</v>
          </cell>
          <cell r="AY113">
            <v>0</v>
          </cell>
          <cell r="BA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27523</v>
          </cell>
          <cell r="C114">
            <v>3</v>
          </cell>
          <cell r="D114">
            <v>27523</v>
          </cell>
          <cell r="F114" t="str">
            <v>ST. ANNE'S MATERNITY HOME</v>
          </cell>
          <cell r="G114">
            <v>504000</v>
          </cell>
          <cell r="H114">
            <v>504000</v>
          </cell>
          <cell r="I114">
            <v>0</v>
          </cell>
          <cell r="J114">
            <v>0</v>
          </cell>
          <cell r="K114">
            <v>0</v>
          </cell>
          <cell r="L114">
            <v>26000</v>
          </cell>
          <cell r="M114">
            <v>26000</v>
          </cell>
          <cell r="N114">
            <v>56000</v>
          </cell>
          <cell r="O114">
            <v>56000</v>
          </cell>
          <cell r="P114">
            <v>586000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88000</v>
          </cell>
          <cell r="Y114">
            <v>88000</v>
          </cell>
          <cell r="Z114">
            <v>88000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W114">
            <v>0</v>
          </cell>
          <cell r="AY114">
            <v>0</v>
          </cell>
          <cell r="BA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504000</v>
          </cell>
          <cell r="BI114">
            <v>0</v>
          </cell>
          <cell r="BJ114">
            <v>0</v>
          </cell>
          <cell r="BK114">
            <v>26000</v>
          </cell>
          <cell r="BL114">
            <v>144000</v>
          </cell>
          <cell r="BM114">
            <v>674000</v>
          </cell>
        </row>
        <row r="115">
          <cell r="A115">
            <v>27524</v>
          </cell>
          <cell r="C115">
            <v>3</v>
          </cell>
          <cell r="D115">
            <v>27524</v>
          </cell>
          <cell r="F115" t="str">
            <v>TOBINWORLD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W115">
            <v>0</v>
          </cell>
          <cell r="AY115">
            <v>0</v>
          </cell>
          <cell r="BA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27525</v>
          </cell>
          <cell r="C116">
            <v>3</v>
          </cell>
          <cell r="D116">
            <v>27525</v>
          </cell>
          <cell r="F116" t="str">
            <v>TRINITY YOUTH SERVICES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W116">
            <v>0</v>
          </cell>
          <cell r="AY116">
            <v>0</v>
          </cell>
          <cell r="BA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27529</v>
          </cell>
          <cell r="C117">
            <v>4</v>
          </cell>
          <cell r="D117">
            <v>27529</v>
          </cell>
          <cell r="F117" t="str">
            <v>INSTITUTE FOR MULTICULTURAL COUN. &amp; EDU. SVCS, INC. (IMCES)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W117">
            <v>0</v>
          </cell>
          <cell r="AY117">
            <v>0</v>
          </cell>
          <cell r="BA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27537</v>
          </cell>
          <cell r="C118" t="str">
            <v>7 &amp; 8</v>
          </cell>
          <cell r="D118">
            <v>27537</v>
          </cell>
          <cell r="F118" t="str">
            <v>HELPLINE YOUTH COUNSELING, INC.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W118">
            <v>0</v>
          </cell>
          <cell r="AY118">
            <v>0</v>
          </cell>
          <cell r="BA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27542</v>
          </cell>
          <cell r="C119">
            <v>3</v>
          </cell>
          <cell r="D119">
            <v>27542</v>
          </cell>
          <cell r="F119" t="str">
            <v>PASADENA UNIFIED SCHOOL DISTRICT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W119">
            <v>0</v>
          </cell>
          <cell r="AY119">
            <v>0</v>
          </cell>
          <cell r="BA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27543</v>
          </cell>
          <cell r="C120">
            <v>3</v>
          </cell>
          <cell r="D120">
            <v>27543</v>
          </cell>
          <cell r="F120" t="str">
            <v>LEROY HAYNES CTR FOR CHILDREN &amp; FAMILY SVCS, INC.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W120">
            <v>0</v>
          </cell>
          <cell r="AY120">
            <v>0</v>
          </cell>
          <cell r="BA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27544</v>
          </cell>
          <cell r="C121" t="str">
            <v>1, 2 &amp; 5</v>
          </cell>
          <cell r="D121">
            <v>27544</v>
          </cell>
          <cell r="F121" t="str">
            <v>THE VILLAGE FAMILY SERVICES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W121">
            <v>0</v>
          </cell>
          <cell r="AY121">
            <v>0</v>
          </cell>
          <cell r="BA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27545</v>
          </cell>
          <cell r="C122">
            <v>3</v>
          </cell>
          <cell r="D122">
            <v>27545</v>
          </cell>
          <cell r="F122" t="str">
            <v>DAVID &amp; MARGARET HOME, INC.</v>
          </cell>
          <cell r="G122">
            <v>378000</v>
          </cell>
          <cell r="H122">
            <v>378000</v>
          </cell>
          <cell r="I122">
            <v>0</v>
          </cell>
          <cell r="J122">
            <v>0</v>
          </cell>
          <cell r="K122">
            <v>0</v>
          </cell>
          <cell r="L122">
            <v>19500</v>
          </cell>
          <cell r="M122">
            <v>19500</v>
          </cell>
          <cell r="N122">
            <v>42000</v>
          </cell>
          <cell r="O122">
            <v>42000</v>
          </cell>
          <cell r="P122">
            <v>439500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66000</v>
          </cell>
          <cell r="Y122">
            <v>66000</v>
          </cell>
          <cell r="Z122">
            <v>66000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W122">
            <v>0</v>
          </cell>
          <cell r="AY122">
            <v>0</v>
          </cell>
          <cell r="BA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378000</v>
          </cell>
          <cell r="BI122">
            <v>0</v>
          </cell>
          <cell r="BJ122">
            <v>0</v>
          </cell>
          <cell r="BK122">
            <v>19500</v>
          </cell>
          <cell r="BL122">
            <v>108000</v>
          </cell>
          <cell r="BM122">
            <v>505500</v>
          </cell>
        </row>
        <row r="123">
          <cell r="A123">
            <v>27548</v>
          </cell>
          <cell r="C123">
            <v>4</v>
          </cell>
          <cell r="D123">
            <v>27548</v>
          </cell>
          <cell r="F123" t="str">
            <v>PEDIATRIC &amp; FAMILY MEDICAL CENTER (dba EISNER)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W123">
            <v>0</v>
          </cell>
          <cell r="AY123">
            <v>0</v>
          </cell>
          <cell r="BA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27549</v>
          </cell>
          <cell r="C124">
            <v>4</v>
          </cell>
          <cell r="D124">
            <v>27549</v>
          </cell>
          <cell r="F124" t="str">
            <v>EL CENTRO DEL PUEBLO, INC.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W124">
            <v>0</v>
          </cell>
          <cell r="AY124">
            <v>0</v>
          </cell>
          <cell r="BA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27550</v>
          </cell>
          <cell r="C125">
            <v>4</v>
          </cell>
          <cell r="D125">
            <v>27550</v>
          </cell>
          <cell r="F125" t="str">
            <v>CATHOLIC HEALTHCARE WEST (dba CALIFORNIA HOSPITAL)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W125">
            <v>0</v>
          </cell>
          <cell r="AY125">
            <v>0</v>
          </cell>
          <cell r="BA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27597</v>
          </cell>
          <cell r="C126" t="str">
            <v>1, 2 &amp; 5</v>
          </cell>
          <cell r="D126">
            <v>27597</v>
          </cell>
          <cell r="F126" t="str">
            <v>EMOTIONAL HEALTH ASSOCIATION (dba SHARE!)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W126">
            <v>0</v>
          </cell>
          <cell r="AY126">
            <v>0</v>
          </cell>
          <cell r="BA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27600</v>
          </cell>
          <cell r="C127">
            <v>4</v>
          </cell>
          <cell r="D127">
            <v>27600</v>
          </cell>
          <cell r="F127" t="str">
            <v>VIP COMMUNITY MENTAL HEALTH CENTER, INC. (VIP CMHC)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W127">
            <v>0</v>
          </cell>
          <cell r="AY127">
            <v>0</v>
          </cell>
          <cell r="BA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27601</v>
          </cell>
          <cell r="C128">
            <v>3</v>
          </cell>
          <cell r="D128">
            <v>27601</v>
          </cell>
          <cell r="F128" t="str">
            <v>THE CHILDREN'S CENTER OF ANTELOPE VALLEY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W128">
            <v>0</v>
          </cell>
          <cell r="AY128">
            <v>0</v>
          </cell>
          <cell r="BA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27620</v>
          </cell>
          <cell r="C129" t="str">
            <v>7 &amp; 8</v>
          </cell>
          <cell r="D129">
            <v>27620</v>
          </cell>
          <cell r="F129" t="str">
            <v>ASIAN AMERICAN DRUG ABUSE PROGRAM, INC. (AADAP)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W129">
            <v>0</v>
          </cell>
          <cell r="AY129">
            <v>0</v>
          </cell>
          <cell r="BA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27621</v>
          </cell>
          <cell r="C130">
            <v>4</v>
          </cell>
          <cell r="D130">
            <v>27621</v>
          </cell>
          <cell r="F130" t="str">
            <v>BEHAVIORAL HEALTH SERVICES, INC.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W130">
            <v>0</v>
          </cell>
          <cell r="AY130">
            <v>0</v>
          </cell>
          <cell r="BA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27622</v>
          </cell>
          <cell r="C131">
            <v>4</v>
          </cell>
          <cell r="D131">
            <v>27622</v>
          </cell>
          <cell r="F131" t="str">
            <v>CALIFORNIA HISPANIC COMMISSION, INC.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W131">
            <v>0</v>
          </cell>
          <cell r="AY131">
            <v>0</v>
          </cell>
          <cell r="BA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27624</v>
          </cell>
          <cell r="C132">
            <v>4</v>
          </cell>
          <cell r="D132">
            <v>27624</v>
          </cell>
          <cell r="F132" t="str">
            <v>SPIRITT  FAMILY SERVICES, INC.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W132">
            <v>0</v>
          </cell>
          <cell r="AY132">
            <v>0</v>
          </cell>
          <cell r="BA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27625</v>
          </cell>
          <cell r="C133" t="str">
            <v>1, 2 &amp; 5</v>
          </cell>
          <cell r="D133">
            <v>27625</v>
          </cell>
          <cell r="F133" t="str">
            <v>TARZANA TREATMENT CENTER, INC.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W133">
            <v>0</v>
          </cell>
          <cell r="AY133">
            <v>0</v>
          </cell>
          <cell r="BA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27626</v>
          </cell>
          <cell r="C134" t="str">
            <v>1, 2 &amp; 5</v>
          </cell>
          <cell r="D134">
            <v>27626</v>
          </cell>
          <cell r="F134" t="str">
            <v>NEW DIRECTIONS, INC.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W134">
            <v>0</v>
          </cell>
          <cell r="AY134">
            <v>0</v>
          </cell>
          <cell r="BA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27627</v>
          </cell>
          <cell r="C135">
            <v>3</v>
          </cell>
          <cell r="D135">
            <v>27627</v>
          </cell>
          <cell r="F135" t="str">
            <v>FLORENCE CRITTENTON SERVICES OF ORANGE COUNTY, INC.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W135">
            <v>0</v>
          </cell>
          <cell r="AY135">
            <v>0</v>
          </cell>
          <cell r="BA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27633</v>
          </cell>
          <cell r="C136">
            <v>4</v>
          </cell>
          <cell r="D136">
            <v>27633</v>
          </cell>
          <cell r="F136" t="str">
            <v>CALIFORNIA INSTITUTE OF HEALTH &amp; SOCIAL SVC, INC. (dba Alafia MH Institute)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W136">
            <v>0</v>
          </cell>
          <cell r="AY136">
            <v>0</v>
          </cell>
          <cell r="BA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27634</v>
          </cell>
          <cell r="C137">
            <v>3</v>
          </cell>
          <cell r="D137">
            <v>27634</v>
          </cell>
          <cell r="F137" t="str">
            <v>CENTER FOR INTEGRATED FAMILY &amp; HEALTH SERVICES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W137">
            <v>0</v>
          </cell>
          <cell r="AY137">
            <v>0</v>
          </cell>
          <cell r="BA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27635</v>
          </cell>
          <cell r="C138">
            <v>6</v>
          </cell>
          <cell r="D138">
            <v>27635</v>
          </cell>
          <cell r="F138" t="str">
            <v>DREW CHILD DEVELOPMENT CORPORATION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W138">
            <v>0</v>
          </cell>
          <cell r="AY138">
            <v>0</v>
          </cell>
          <cell r="BA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27639</v>
          </cell>
          <cell r="C139" t="str">
            <v>1, 2 &amp; 5</v>
          </cell>
          <cell r="D139">
            <v>27639</v>
          </cell>
          <cell r="F139" t="str">
            <v>NEW HORIZONS FAMILY CENTER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W139">
            <v>0</v>
          </cell>
          <cell r="AY139">
            <v>0</v>
          </cell>
          <cell r="BA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27640</v>
          </cell>
          <cell r="C140">
            <v>6</v>
          </cell>
          <cell r="D140">
            <v>27640</v>
          </cell>
          <cell r="F140" t="str">
            <v>TESSIE CLEVELAND COMMUNITY SERVICES CORP.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W140">
            <v>0</v>
          </cell>
          <cell r="AY140">
            <v>0</v>
          </cell>
          <cell r="BA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27643</v>
          </cell>
          <cell r="C141" t="str">
            <v>1, 2 &amp; 5</v>
          </cell>
          <cell r="D141">
            <v>27643</v>
          </cell>
          <cell r="F141" t="str">
            <v xml:space="preserve">WISE AND HEALTHY AGING 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W141">
            <v>0</v>
          </cell>
          <cell r="AY141">
            <v>0</v>
          </cell>
          <cell r="BA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27644</v>
          </cell>
          <cell r="C142">
            <v>4</v>
          </cell>
          <cell r="D142">
            <v>27644</v>
          </cell>
          <cell r="F142" t="str">
            <v>USC CARE MEDICAL GROUP, INC. (USC UCC PROGRAM)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W142">
            <v>0</v>
          </cell>
          <cell r="AY142">
            <v>0</v>
          </cell>
          <cell r="BA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27646</v>
          </cell>
          <cell r="C143">
            <v>4</v>
          </cell>
          <cell r="D143">
            <v>27646</v>
          </cell>
          <cell r="F143" t="str">
            <v>JWCH INSTITUTE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W143">
            <v>0</v>
          </cell>
          <cell r="AY143">
            <v>0</v>
          </cell>
          <cell r="BA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27654</v>
          </cell>
          <cell r="C144">
            <v>3</v>
          </cell>
          <cell r="D144">
            <v>27654</v>
          </cell>
          <cell r="F144" t="str">
            <v>FAMILIESFIRST, INC.</v>
          </cell>
          <cell r="G144">
            <v>532000</v>
          </cell>
          <cell r="H144">
            <v>532000</v>
          </cell>
          <cell r="I144">
            <v>0</v>
          </cell>
          <cell r="J144">
            <v>0</v>
          </cell>
          <cell r="K144">
            <v>0</v>
          </cell>
          <cell r="L144">
            <v>27300</v>
          </cell>
          <cell r="M144">
            <v>27300</v>
          </cell>
          <cell r="N144">
            <v>56000</v>
          </cell>
          <cell r="O144">
            <v>56000</v>
          </cell>
          <cell r="P144">
            <v>615300</v>
          </cell>
          <cell r="Q144">
            <v>467700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92400</v>
          </cell>
          <cell r="Y144">
            <v>92400</v>
          </cell>
          <cell r="Z144">
            <v>92400</v>
          </cell>
          <cell r="AA144">
            <v>46200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532000</v>
          </cell>
          <cell r="BI144">
            <v>0</v>
          </cell>
          <cell r="BJ144">
            <v>0</v>
          </cell>
          <cell r="BK144">
            <v>27300</v>
          </cell>
          <cell r="BL144">
            <v>148400</v>
          </cell>
          <cell r="BM144">
            <v>707700</v>
          </cell>
          <cell r="BN144">
            <v>513900</v>
          </cell>
        </row>
        <row r="145">
          <cell r="A145">
            <v>28027</v>
          </cell>
          <cell r="C145">
            <v>4</v>
          </cell>
          <cell r="D145">
            <v>28027</v>
          </cell>
          <cell r="F145" t="str">
            <v>JEWISH FAMILY SERVICES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W145">
            <v>0</v>
          </cell>
          <cell r="AY145">
            <v>0</v>
          </cell>
          <cell r="BA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12345</v>
          </cell>
          <cell r="F146" t="str">
            <v xml:space="preserve">ALLOCATED SUB TOTAL </v>
          </cell>
          <cell r="G146">
            <v>20370000</v>
          </cell>
          <cell r="H146">
            <v>20370000</v>
          </cell>
          <cell r="I146">
            <v>0</v>
          </cell>
          <cell r="J146">
            <v>0</v>
          </cell>
          <cell r="K146">
            <v>1101000</v>
          </cell>
          <cell r="L146">
            <v>1103387</v>
          </cell>
          <cell r="M146">
            <v>1104000</v>
          </cell>
          <cell r="N146">
            <v>2481121</v>
          </cell>
          <cell r="O146">
            <v>2481200</v>
          </cell>
          <cell r="P146">
            <v>25056200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3718000</v>
          </cell>
          <cell r="Y146">
            <v>3718000</v>
          </cell>
          <cell r="Z146">
            <v>3718000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63500</v>
          </cell>
          <cell r="AY146">
            <v>63500</v>
          </cell>
          <cell r="AZ146">
            <v>237788.42857142858</v>
          </cell>
          <cell r="BA146">
            <v>237800</v>
          </cell>
          <cell r="BB146">
            <v>24320</v>
          </cell>
          <cell r="BC146">
            <v>24400</v>
          </cell>
          <cell r="BD146">
            <v>666556</v>
          </cell>
          <cell r="BE146">
            <v>666600</v>
          </cell>
          <cell r="BF146">
            <v>992300</v>
          </cell>
          <cell r="BH146">
            <v>20370000</v>
          </cell>
          <cell r="BI146">
            <v>63500</v>
          </cell>
          <cell r="BJ146">
            <v>1338800</v>
          </cell>
          <cell r="BK146">
            <v>1128400</v>
          </cell>
          <cell r="BL146">
            <v>6865800</v>
          </cell>
          <cell r="BM146">
            <v>29766500</v>
          </cell>
        </row>
        <row r="148">
          <cell r="A148" t="str">
            <v>00000</v>
          </cell>
          <cell r="D148" t="str">
            <v>00000</v>
          </cell>
          <cell r="F148" t="str">
            <v>UNALLOCATED</v>
          </cell>
          <cell r="G148">
            <v>14891001</v>
          </cell>
          <cell r="H148">
            <v>14891000</v>
          </cell>
          <cell r="I148">
            <v>0</v>
          </cell>
          <cell r="J148">
            <v>0</v>
          </cell>
          <cell r="K148">
            <v>309969</v>
          </cell>
          <cell r="L148">
            <v>351000</v>
          </cell>
          <cell r="M148">
            <v>351000</v>
          </cell>
          <cell r="N148">
            <v>913003</v>
          </cell>
          <cell r="O148">
            <v>913000</v>
          </cell>
          <cell r="P148">
            <v>16464969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1212199</v>
          </cell>
          <cell r="Y148">
            <v>1212200</v>
          </cell>
          <cell r="Z148">
            <v>1212200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100</v>
          </cell>
          <cell r="BA148">
            <v>100</v>
          </cell>
          <cell r="BB148">
            <v>-100</v>
          </cell>
          <cell r="BC148">
            <v>-100</v>
          </cell>
          <cell r="BD148">
            <v>0</v>
          </cell>
          <cell r="BE148">
            <v>0</v>
          </cell>
          <cell r="BF148">
            <v>0</v>
          </cell>
          <cell r="BH148">
            <v>14891000</v>
          </cell>
          <cell r="BI148">
            <v>0</v>
          </cell>
          <cell r="BJ148">
            <v>310069</v>
          </cell>
          <cell r="BK148">
            <v>350900</v>
          </cell>
          <cell r="BL148">
            <v>2125200</v>
          </cell>
          <cell r="BM148">
            <v>17677169</v>
          </cell>
        </row>
        <row r="149">
          <cell r="F149" t="str">
            <v xml:space="preserve">UNALLOCATED SUB TOTAL </v>
          </cell>
          <cell r="G149">
            <v>14891001</v>
          </cell>
          <cell r="H149">
            <v>14891000</v>
          </cell>
          <cell r="I149">
            <v>0</v>
          </cell>
          <cell r="J149">
            <v>0</v>
          </cell>
          <cell r="K149">
            <v>309969</v>
          </cell>
          <cell r="L149">
            <v>351000</v>
          </cell>
          <cell r="M149">
            <v>351000</v>
          </cell>
          <cell r="N149">
            <v>913003</v>
          </cell>
          <cell r="O149">
            <v>913000</v>
          </cell>
          <cell r="P149">
            <v>16464969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1212199</v>
          </cell>
          <cell r="Y149">
            <v>1212200</v>
          </cell>
          <cell r="Z149">
            <v>1212200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100</v>
          </cell>
          <cell r="BA149">
            <v>100</v>
          </cell>
          <cell r="BB149">
            <v>-100</v>
          </cell>
          <cell r="BC149">
            <v>-100</v>
          </cell>
          <cell r="BD149">
            <v>0</v>
          </cell>
          <cell r="BE149">
            <v>0</v>
          </cell>
          <cell r="BF149">
            <v>0</v>
          </cell>
          <cell r="BH149">
            <v>14891000</v>
          </cell>
          <cell r="BI149">
            <v>0</v>
          </cell>
          <cell r="BJ149">
            <v>310069</v>
          </cell>
          <cell r="BK149">
            <v>350900</v>
          </cell>
          <cell r="BL149">
            <v>2125200</v>
          </cell>
          <cell r="BM149">
            <v>17677169</v>
          </cell>
        </row>
        <row r="151">
          <cell r="F151" t="str">
            <v xml:space="preserve">GRAND TOTAL </v>
          </cell>
          <cell r="G151">
            <v>35261001</v>
          </cell>
          <cell r="H151">
            <v>35261000</v>
          </cell>
          <cell r="I151">
            <v>0</v>
          </cell>
          <cell r="J151">
            <v>0</v>
          </cell>
          <cell r="K151">
            <v>1410969</v>
          </cell>
          <cell r="L151">
            <v>1454387</v>
          </cell>
          <cell r="M151">
            <v>1455000</v>
          </cell>
          <cell r="N151">
            <v>3394124</v>
          </cell>
          <cell r="O151">
            <v>3394200</v>
          </cell>
          <cell r="P151">
            <v>41521169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4930199</v>
          </cell>
          <cell r="Y151">
            <v>4930200</v>
          </cell>
          <cell r="Z151">
            <v>4930200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63500</v>
          </cell>
          <cell r="AY151">
            <v>63500</v>
          </cell>
          <cell r="AZ151">
            <v>237888.42857142858</v>
          </cell>
          <cell r="BA151">
            <v>237900</v>
          </cell>
          <cell r="BB151">
            <v>24220</v>
          </cell>
          <cell r="BC151">
            <v>24300</v>
          </cell>
          <cell r="BD151">
            <v>666556</v>
          </cell>
          <cell r="BE151">
            <v>666600</v>
          </cell>
          <cell r="BF151">
            <v>992300</v>
          </cell>
          <cell r="BH151">
            <v>35261000</v>
          </cell>
          <cell r="BI151">
            <v>63500</v>
          </cell>
          <cell r="BJ151">
            <v>1648869</v>
          </cell>
          <cell r="BK151">
            <v>1479300</v>
          </cell>
          <cell r="BL151">
            <v>8991000</v>
          </cell>
          <cell r="BM151">
            <v>47443669</v>
          </cell>
        </row>
        <row r="152">
          <cell r="H152" t="str">
            <v>H968</v>
          </cell>
          <cell r="J152" t="str">
            <v>H969</v>
          </cell>
          <cell r="K152" t="str">
            <v>H970</v>
          </cell>
          <cell r="M152" t="str">
            <v>H955</v>
          </cell>
          <cell r="O152" t="str">
            <v>H901</v>
          </cell>
          <cell r="Y152" t="str">
            <v>H902</v>
          </cell>
          <cell r="AI152" t="str">
            <v>H904</v>
          </cell>
          <cell r="AS152" t="str">
            <v>H906</v>
          </cell>
          <cell r="AY152" t="str">
            <v>N/A</v>
          </cell>
          <cell r="BA152" t="str">
            <v>N/A</v>
          </cell>
          <cell r="BC152" t="str">
            <v>N/A</v>
          </cell>
          <cell r="BE152" t="str">
            <v>N/A</v>
          </cell>
        </row>
        <row r="153">
          <cell r="G153" t="str">
            <v>H868-MATCH</v>
          </cell>
          <cell r="I153" t="str">
            <v>H869-MATCH</v>
          </cell>
          <cell r="J153" t="str">
            <v>H970-MATCH</v>
          </cell>
          <cell r="L153" t="str">
            <v>H855</v>
          </cell>
          <cell r="N153" t="str">
            <v>H801</v>
          </cell>
          <cell r="X153" t="str">
            <v>H802</v>
          </cell>
          <cell r="AH153" t="str">
            <v>H803</v>
          </cell>
          <cell r="AR153" t="str">
            <v>H805</v>
          </cell>
        </row>
        <row r="154">
          <cell r="G154" t="str">
            <v>M831-FFP</v>
          </cell>
          <cell r="I154" t="str">
            <v>M849-FFP</v>
          </cell>
          <cell r="J154" t="str">
            <v>M950-FFP</v>
          </cell>
        </row>
        <row r="155">
          <cell r="P155">
            <v>41521169</v>
          </cell>
          <cell r="Z155">
            <v>4930200</v>
          </cell>
          <cell r="BF155">
            <v>992300</v>
          </cell>
        </row>
        <row r="156">
          <cell r="G156">
            <v>7377447</v>
          </cell>
        </row>
      </sheetData>
      <sheetData sheetId="16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</row>
        <row r="3">
          <cell r="B3" t="str">
            <v>BUDGET &amp; FINANCIAL REPORTING DIVISION</v>
          </cell>
        </row>
        <row r="4">
          <cell r="B4" t="str">
            <v>MHSA - TAY ALLOCATION</v>
          </cell>
          <cell r="S4" t="str">
            <v>PLAN II</v>
          </cell>
          <cell r="AC4" t="str">
            <v>TBA</v>
          </cell>
          <cell r="AM4" t="str">
            <v>PLAN II</v>
          </cell>
        </row>
        <row r="5">
          <cell r="B5" t="str">
            <v>FISCAL YEAR 2009/2010 BUDGET REQUEST -  SUPERCESSION &amp; RENEWAL</v>
          </cell>
          <cell r="G5" t="str">
            <v>TAY FULL-SERVICE PARTNERSHIPS</v>
          </cell>
          <cell r="S5" t="str">
            <v>DROP-IN CENTER</v>
          </cell>
          <cell r="AC5" t="str">
            <v>TAY HOUSING SERVICES</v>
          </cell>
          <cell r="AM5" t="str">
            <v>PROBATION CAMP SERVICES</v>
          </cell>
          <cell r="AW5" t="str">
            <v>FCCS- TAY</v>
          </cell>
          <cell r="BH5" t="str">
            <v>TOTAL BUDGET</v>
          </cell>
        </row>
        <row r="6">
          <cell r="G6" t="str">
            <v>32021</v>
          </cell>
          <cell r="S6" t="str">
            <v>32022</v>
          </cell>
          <cell r="AC6" t="str">
            <v>32024</v>
          </cell>
          <cell r="AM6" t="str">
            <v>32026</v>
          </cell>
        </row>
        <row r="7">
          <cell r="D7" t="str">
            <v>UNIT</v>
          </cell>
          <cell r="J7" t="str">
            <v>GROSS</v>
          </cell>
          <cell r="K7" t="str">
            <v>GROSS</v>
          </cell>
        </row>
        <row r="8">
          <cell r="B8" t="str">
            <v xml:space="preserve">SERVICE 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HEALTHY</v>
          </cell>
          <cell r="K8" t="str">
            <v>HEALTHY</v>
          </cell>
          <cell r="L8" t="str">
            <v>FLEX</v>
          </cell>
          <cell r="M8" t="str">
            <v>FLEX</v>
          </cell>
          <cell r="R8" t="str">
            <v>GROSS</v>
          </cell>
          <cell r="S8" t="str">
            <v>GROSS</v>
          </cell>
          <cell r="T8" t="str">
            <v>GROSS</v>
          </cell>
          <cell r="U8" t="str">
            <v>GROSS</v>
          </cell>
          <cell r="V8" t="str">
            <v>FLEX</v>
          </cell>
          <cell r="W8" t="str">
            <v>FLEX</v>
          </cell>
          <cell r="AB8" t="str">
            <v>GROSS</v>
          </cell>
          <cell r="AC8" t="str">
            <v>GROSS</v>
          </cell>
          <cell r="AD8" t="str">
            <v>GROSS</v>
          </cell>
          <cell r="AE8" t="str">
            <v>GROSS</v>
          </cell>
          <cell r="AF8" t="str">
            <v>FLEX</v>
          </cell>
          <cell r="AG8" t="str">
            <v>FLEX</v>
          </cell>
          <cell r="AL8" t="str">
            <v>GROSS</v>
          </cell>
          <cell r="AM8" t="str">
            <v>GROSS</v>
          </cell>
          <cell r="AN8" t="str">
            <v>GROSS</v>
          </cell>
          <cell r="AO8" t="str">
            <v>GROSS</v>
          </cell>
          <cell r="AP8" t="str">
            <v>FLEX</v>
          </cell>
          <cell r="AQ8" t="str">
            <v>FLEX</v>
          </cell>
          <cell r="AV8" t="str">
            <v>GROSS</v>
          </cell>
          <cell r="AW8" t="str">
            <v>GROSS</v>
          </cell>
          <cell r="AX8" t="str">
            <v>GROSS</v>
          </cell>
          <cell r="AY8" t="str">
            <v>GROSS</v>
          </cell>
          <cell r="AZ8" t="str">
            <v>HEALTHY</v>
          </cell>
          <cell r="BA8" t="str">
            <v>HEALTHY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HEALTHY</v>
          </cell>
          <cell r="BK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FAMILIES</v>
          </cell>
          <cell r="K9" t="str">
            <v>FAMILIES</v>
          </cell>
          <cell r="L9" t="str">
            <v>FUNDS</v>
          </cell>
          <cell r="M9" t="str">
            <v>FUNDS</v>
          </cell>
          <cell r="N9" t="str">
            <v>MHSA</v>
          </cell>
          <cell r="O9" t="str">
            <v>MHSA</v>
          </cell>
          <cell r="P9" t="str">
            <v>TOTAL</v>
          </cell>
          <cell r="R9" t="str">
            <v>EPSDT</v>
          </cell>
          <cell r="S9" t="str">
            <v>EPSDT</v>
          </cell>
          <cell r="T9" t="str">
            <v>NON-EPSDT</v>
          </cell>
          <cell r="U9" t="str">
            <v>NON-EPSDT</v>
          </cell>
          <cell r="V9" t="str">
            <v>FUNDS</v>
          </cell>
          <cell r="W9" t="str">
            <v>FUNDS</v>
          </cell>
          <cell r="X9" t="str">
            <v>MHSA</v>
          </cell>
          <cell r="Y9" t="str">
            <v>MHSA</v>
          </cell>
          <cell r="Z9" t="str">
            <v>TOTAL</v>
          </cell>
          <cell r="AB9" t="str">
            <v>EPSDT</v>
          </cell>
          <cell r="AC9" t="str">
            <v>EPSDT</v>
          </cell>
          <cell r="AD9" t="str">
            <v>NON-EPSDT</v>
          </cell>
          <cell r="AE9" t="str">
            <v>NON-EPSDT</v>
          </cell>
          <cell r="AF9" t="str">
            <v>FUNDS</v>
          </cell>
          <cell r="AG9" t="str">
            <v>FUNDS</v>
          </cell>
          <cell r="AH9" t="str">
            <v>MHSA</v>
          </cell>
          <cell r="AI9" t="str">
            <v>MHSA</v>
          </cell>
          <cell r="AJ9" t="str">
            <v>TOTAL</v>
          </cell>
          <cell r="AL9" t="str">
            <v>EPSDT</v>
          </cell>
          <cell r="AM9" t="str">
            <v>EPSDT</v>
          </cell>
          <cell r="AN9" t="str">
            <v>NON-EPSDT</v>
          </cell>
          <cell r="AO9" t="str">
            <v>NON-EPSDT</v>
          </cell>
          <cell r="AP9" t="str">
            <v>FUNDS</v>
          </cell>
          <cell r="AQ9" t="str">
            <v>FUNDS</v>
          </cell>
          <cell r="AR9" t="str">
            <v>MHSA</v>
          </cell>
          <cell r="AS9" t="str">
            <v>MHSA</v>
          </cell>
          <cell r="AT9" t="str">
            <v>TOTAL</v>
          </cell>
          <cell r="AV9" t="str">
            <v>EPSDT</v>
          </cell>
          <cell r="AW9" t="str">
            <v>EPSDT</v>
          </cell>
          <cell r="AX9" t="str">
            <v>NON-EPSDT</v>
          </cell>
          <cell r="AY9" t="str">
            <v>NON-EPSDT</v>
          </cell>
          <cell r="AZ9" t="str">
            <v>FAMILIES</v>
          </cell>
          <cell r="BA9" t="str">
            <v>FAMILIES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NON-EPSDT</v>
          </cell>
          <cell r="BJ9" t="str">
            <v>FAMILIES</v>
          </cell>
          <cell r="BK9" t="str">
            <v>FUNDS</v>
          </cell>
          <cell r="BL9" t="str">
            <v>MHSA</v>
          </cell>
          <cell r="BM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W10">
            <v>0</v>
          </cell>
          <cell r="AY10">
            <v>0</v>
          </cell>
          <cell r="BA10">
            <v>0</v>
          </cell>
          <cell r="BC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W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W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W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</v>
          </cell>
          <cell r="AY14">
            <v>0</v>
          </cell>
          <cell r="BA14">
            <v>0</v>
          </cell>
          <cell r="BC14">
            <v>0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812000</v>
          </cell>
          <cell r="G15">
            <v>812000</v>
          </cell>
          <cell r="H15">
            <v>336000</v>
          </cell>
          <cell r="I15">
            <v>336000</v>
          </cell>
          <cell r="L15">
            <v>444780</v>
          </cell>
          <cell r="M15">
            <v>444800</v>
          </cell>
          <cell r="N15">
            <v>616000</v>
          </cell>
          <cell r="O15">
            <v>616000</v>
          </cell>
          <cell r="P15">
            <v>2208800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W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F15">
            <v>0</v>
          </cell>
          <cell r="BH15">
            <v>812000</v>
          </cell>
          <cell r="BI15">
            <v>336000</v>
          </cell>
          <cell r="BJ15">
            <v>0</v>
          </cell>
          <cell r="BK15">
            <v>444800</v>
          </cell>
          <cell r="BL15">
            <v>616000</v>
          </cell>
          <cell r="BM15">
            <v>2208800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154000</v>
          </cell>
          <cell r="G16">
            <v>154000</v>
          </cell>
          <cell r="H16">
            <v>70000</v>
          </cell>
          <cell r="I16">
            <v>70000</v>
          </cell>
          <cell r="L16">
            <v>88250</v>
          </cell>
          <cell r="M16">
            <v>88300</v>
          </cell>
          <cell r="N16">
            <v>126000</v>
          </cell>
          <cell r="O16">
            <v>126000</v>
          </cell>
          <cell r="P16">
            <v>438300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</v>
          </cell>
          <cell r="AY16">
            <v>0</v>
          </cell>
          <cell r="BA16">
            <v>0</v>
          </cell>
          <cell r="BC16">
            <v>0</v>
          </cell>
          <cell r="BE16">
            <v>0</v>
          </cell>
          <cell r="BF16">
            <v>0</v>
          </cell>
          <cell r="BH16">
            <v>154000</v>
          </cell>
          <cell r="BI16">
            <v>70000</v>
          </cell>
          <cell r="BJ16">
            <v>0</v>
          </cell>
          <cell r="BK16">
            <v>88300</v>
          </cell>
          <cell r="BL16">
            <v>126000</v>
          </cell>
          <cell r="BM16">
            <v>438300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W17">
            <v>0</v>
          </cell>
          <cell r="AY17">
            <v>0</v>
          </cell>
          <cell r="BA17">
            <v>0</v>
          </cell>
          <cell r="BC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W18">
            <v>0</v>
          </cell>
          <cell r="AY18">
            <v>0</v>
          </cell>
          <cell r="BA18">
            <v>0</v>
          </cell>
          <cell r="BC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</v>
          </cell>
          <cell r="AY19">
            <v>0</v>
          </cell>
          <cell r="BA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0</v>
          </cell>
          <cell r="AY20">
            <v>0</v>
          </cell>
          <cell r="BA20">
            <v>0</v>
          </cell>
          <cell r="BC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W21">
            <v>0</v>
          </cell>
          <cell r="AY21">
            <v>0</v>
          </cell>
          <cell r="BA21">
            <v>0</v>
          </cell>
          <cell r="BC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W22">
            <v>0</v>
          </cell>
          <cell r="AY22">
            <v>0</v>
          </cell>
          <cell r="BA22">
            <v>0</v>
          </cell>
          <cell r="BC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0</v>
          </cell>
          <cell r="AY23">
            <v>0</v>
          </cell>
          <cell r="BA23">
            <v>0</v>
          </cell>
          <cell r="BC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W24">
            <v>0</v>
          </cell>
          <cell r="AY24">
            <v>0</v>
          </cell>
          <cell r="BA24">
            <v>0</v>
          </cell>
          <cell r="BC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W26">
            <v>0</v>
          </cell>
          <cell r="AY26">
            <v>0</v>
          </cell>
          <cell r="BA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0</v>
          </cell>
          <cell r="AY27">
            <v>0</v>
          </cell>
          <cell r="BA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W28">
            <v>0</v>
          </cell>
          <cell r="AY28">
            <v>0</v>
          </cell>
          <cell r="BA28">
            <v>0</v>
          </cell>
          <cell r="BC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Y29">
            <v>0</v>
          </cell>
          <cell r="BA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Y30">
            <v>0</v>
          </cell>
          <cell r="BA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W31">
            <v>0</v>
          </cell>
          <cell r="AY31">
            <v>0</v>
          </cell>
          <cell r="BA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Y32">
            <v>0</v>
          </cell>
          <cell r="BA32">
            <v>0</v>
          </cell>
          <cell r="BC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W33">
            <v>0</v>
          </cell>
          <cell r="AY33">
            <v>0</v>
          </cell>
          <cell r="BA33">
            <v>0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W34">
            <v>0</v>
          </cell>
          <cell r="AY34">
            <v>0</v>
          </cell>
          <cell r="BA34">
            <v>0</v>
          </cell>
          <cell r="BC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98000</v>
          </cell>
          <cell r="G35">
            <v>98000</v>
          </cell>
          <cell r="H35">
            <v>42000</v>
          </cell>
          <cell r="I35">
            <v>42000</v>
          </cell>
          <cell r="L35">
            <v>52950</v>
          </cell>
          <cell r="M35">
            <v>53000</v>
          </cell>
          <cell r="N35">
            <v>70000</v>
          </cell>
          <cell r="O35">
            <v>70000</v>
          </cell>
          <cell r="P35">
            <v>263000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W35">
            <v>0</v>
          </cell>
          <cell r="AY35">
            <v>0</v>
          </cell>
          <cell r="BA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98000</v>
          </cell>
          <cell r="BI35">
            <v>42000</v>
          </cell>
          <cell r="BJ35">
            <v>0</v>
          </cell>
          <cell r="BK35">
            <v>53000</v>
          </cell>
          <cell r="BL35">
            <v>70000</v>
          </cell>
          <cell r="BM35">
            <v>263000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W36">
            <v>0</v>
          </cell>
          <cell r="AY36">
            <v>0</v>
          </cell>
          <cell r="BA36">
            <v>0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W37">
            <v>0</v>
          </cell>
          <cell r="AY37">
            <v>0</v>
          </cell>
          <cell r="BA37">
            <v>0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W38">
            <v>0</v>
          </cell>
          <cell r="AY38">
            <v>0</v>
          </cell>
          <cell r="BA38">
            <v>0</v>
          </cell>
          <cell r="BC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W39">
            <v>0</v>
          </cell>
          <cell r="AY39">
            <v>0</v>
          </cell>
          <cell r="BA39">
            <v>0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W40">
            <v>0</v>
          </cell>
          <cell r="AY40">
            <v>0</v>
          </cell>
          <cell r="BA40">
            <v>0</v>
          </cell>
          <cell r="BC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W41">
            <v>0</v>
          </cell>
          <cell r="AY41">
            <v>0</v>
          </cell>
          <cell r="BA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140000</v>
          </cell>
          <cell r="G42">
            <v>140000</v>
          </cell>
          <cell r="H42">
            <v>56000</v>
          </cell>
          <cell r="I42">
            <v>56000</v>
          </cell>
          <cell r="L42">
            <v>77660</v>
          </cell>
          <cell r="M42">
            <v>77700</v>
          </cell>
          <cell r="N42">
            <v>112000</v>
          </cell>
          <cell r="O42">
            <v>112000</v>
          </cell>
          <cell r="P42">
            <v>385700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88600</v>
          </cell>
          <cell r="AQ42">
            <v>88600</v>
          </cell>
          <cell r="AR42">
            <v>0</v>
          </cell>
          <cell r="AS42">
            <v>0</v>
          </cell>
          <cell r="AT42">
            <v>88600</v>
          </cell>
          <cell r="AW42">
            <v>0</v>
          </cell>
          <cell r="AY42">
            <v>0</v>
          </cell>
          <cell r="BA42">
            <v>0</v>
          </cell>
          <cell r="BC42">
            <v>0</v>
          </cell>
          <cell r="BE42">
            <v>0</v>
          </cell>
          <cell r="BF42">
            <v>0</v>
          </cell>
          <cell r="BH42">
            <v>140000</v>
          </cell>
          <cell r="BI42">
            <v>56000</v>
          </cell>
          <cell r="BJ42">
            <v>0</v>
          </cell>
          <cell r="BK42">
            <v>166300</v>
          </cell>
          <cell r="BL42">
            <v>112000</v>
          </cell>
          <cell r="BM42">
            <v>474300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W43">
            <v>0</v>
          </cell>
          <cell r="AY43">
            <v>0</v>
          </cell>
          <cell r="BA43">
            <v>0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W44">
            <v>0</v>
          </cell>
          <cell r="AY44">
            <v>0</v>
          </cell>
          <cell r="BA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23108</v>
          </cell>
          <cell r="B45" t="str">
            <v>7 &amp; 8</v>
          </cell>
          <cell r="C45">
            <v>23108</v>
          </cell>
          <cell r="E45" t="str">
            <v xml:space="preserve">FOR THE CHILD, INC. 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W45">
            <v>0</v>
          </cell>
          <cell r="AY45">
            <v>0</v>
          </cell>
          <cell r="BA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23109</v>
          </cell>
          <cell r="B46">
            <v>4</v>
          </cell>
          <cell r="C46">
            <v>23109</v>
          </cell>
          <cell r="E46" t="str">
            <v>CEDARS-SINAI MEDICAL CENTER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W46">
            <v>0</v>
          </cell>
          <cell r="AY46">
            <v>0</v>
          </cell>
          <cell r="BA46">
            <v>0</v>
          </cell>
          <cell r="BC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23112</v>
          </cell>
          <cell r="B47">
            <v>4</v>
          </cell>
          <cell r="C47">
            <v>23112</v>
          </cell>
          <cell r="E47" t="str">
            <v>CHILDREN'S HOSPITAL OF LOS ANGELES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W47">
            <v>0</v>
          </cell>
          <cell r="AY47">
            <v>0</v>
          </cell>
          <cell r="BA47">
            <v>0</v>
          </cell>
          <cell r="BC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23113</v>
          </cell>
          <cell r="B48" t="str">
            <v>7 &amp; 8</v>
          </cell>
          <cell r="C48">
            <v>23113</v>
          </cell>
          <cell r="E48" t="str">
            <v>CITY OF GARDENA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W48">
            <v>0</v>
          </cell>
          <cell r="AY48">
            <v>0</v>
          </cell>
          <cell r="BA48">
            <v>0</v>
          </cell>
          <cell r="BC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>
            <v>23114</v>
          </cell>
          <cell r="B49">
            <v>4</v>
          </cell>
          <cell r="C49">
            <v>23114</v>
          </cell>
          <cell r="E49" t="str">
            <v>COMMUNITY FAMILY GUIDANCE CENTER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W49">
            <v>0</v>
          </cell>
          <cell r="AY49">
            <v>0</v>
          </cell>
          <cell r="BA49">
            <v>0</v>
          </cell>
          <cell r="BC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23116</v>
          </cell>
          <cell r="B50" t="str">
            <v>1, 2 &amp; 5</v>
          </cell>
          <cell r="C50">
            <v>23116</v>
          </cell>
          <cell r="E50" t="str">
            <v xml:space="preserve">DIDI HIRSCH PSYCHIATRIC SERVICE </v>
          </cell>
          <cell r="F50">
            <v>588000</v>
          </cell>
          <cell r="G50">
            <v>588000</v>
          </cell>
          <cell r="H50">
            <v>252000</v>
          </cell>
          <cell r="I50">
            <v>252000</v>
          </cell>
          <cell r="L50">
            <v>317700</v>
          </cell>
          <cell r="M50">
            <v>317700</v>
          </cell>
          <cell r="N50">
            <v>420000</v>
          </cell>
          <cell r="O50">
            <v>420000</v>
          </cell>
          <cell r="P50">
            <v>1577700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W50">
            <v>0</v>
          </cell>
          <cell r="AX50">
            <v>109448</v>
          </cell>
          <cell r="AY50">
            <v>109400</v>
          </cell>
          <cell r="BA50">
            <v>0</v>
          </cell>
          <cell r="BC50">
            <v>0</v>
          </cell>
          <cell r="BD50">
            <v>12161</v>
          </cell>
          <cell r="BE50">
            <v>12200</v>
          </cell>
          <cell r="BF50">
            <v>121600</v>
          </cell>
          <cell r="BH50">
            <v>588000</v>
          </cell>
          <cell r="BI50">
            <v>361400</v>
          </cell>
          <cell r="BJ50">
            <v>0</v>
          </cell>
          <cell r="BK50">
            <v>317700</v>
          </cell>
          <cell r="BL50">
            <v>432200</v>
          </cell>
          <cell r="BM50">
            <v>1699300</v>
          </cell>
        </row>
        <row r="51">
          <cell r="A51">
            <v>23118</v>
          </cell>
          <cell r="B51">
            <v>3</v>
          </cell>
          <cell r="C51">
            <v>23118</v>
          </cell>
          <cell r="E51" t="str">
            <v>DUBNOFF CENTER FOR CHILD DEV &amp; EDU THERAPY, INC.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39810</v>
          </cell>
          <cell r="AS51">
            <v>39800</v>
          </cell>
          <cell r="AT51">
            <v>39800</v>
          </cell>
          <cell r="AW51">
            <v>0</v>
          </cell>
          <cell r="AY51">
            <v>0</v>
          </cell>
          <cell r="BA51">
            <v>0</v>
          </cell>
          <cell r="BC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39800</v>
          </cell>
          <cell r="BM51">
            <v>39800</v>
          </cell>
        </row>
        <row r="52">
          <cell r="A52">
            <v>23119</v>
          </cell>
          <cell r="B52">
            <v>3</v>
          </cell>
          <cell r="C52">
            <v>23119</v>
          </cell>
          <cell r="E52" t="str">
            <v>EL CENTRO DE AMISTAD,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W52">
            <v>0</v>
          </cell>
          <cell r="AY52">
            <v>0</v>
          </cell>
          <cell r="BA52">
            <v>0</v>
          </cell>
          <cell r="BC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W53">
            <v>0</v>
          </cell>
          <cell r="AY53">
            <v>0</v>
          </cell>
          <cell r="BA53">
            <v>0</v>
          </cell>
          <cell r="BC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23122</v>
          </cell>
          <cell r="B54">
            <v>4</v>
          </cell>
          <cell r="C54">
            <v>23122</v>
          </cell>
          <cell r="E54" t="str">
            <v xml:space="preserve">ENKI HEALTH AND RESEARCH SYSTEMS, INC. 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W54">
            <v>0</v>
          </cell>
          <cell r="AY54">
            <v>0</v>
          </cell>
          <cell r="BA54">
            <v>0</v>
          </cell>
          <cell r="BB54">
            <v>3400</v>
          </cell>
          <cell r="BC54">
            <v>3400</v>
          </cell>
          <cell r="BD54">
            <v>64600</v>
          </cell>
          <cell r="BE54">
            <v>64600</v>
          </cell>
          <cell r="BF54">
            <v>68000</v>
          </cell>
          <cell r="BH54">
            <v>0</v>
          </cell>
          <cell r="BI54">
            <v>0</v>
          </cell>
          <cell r="BJ54">
            <v>0</v>
          </cell>
          <cell r="BK54">
            <v>3400</v>
          </cell>
          <cell r="BL54">
            <v>64600</v>
          </cell>
          <cell r="BM54">
            <v>68000</v>
          </cell>
        </row>
        <row r="55">
          <cell r="A55">
            <v>23123</v>
          </cell>
          <cell r="B55">
            <v>4</v>
          </cell>
          <cell r="C55">
            <v>23123</v>
          </cell>
          <cell r="E55" t="str">
            <v>FILIPINO-AMERICAN SERVICE GROUP, INC.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W55">
            <v>0</v>
          </cell>
          <cell r="AY55">
            <v>0</v>
          </cell>
          <cell r="BA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>
            <v>23125</v>
          </cell>
          <cell r="B56">
            <v>6</v>
          </cell>
          <cell r="C56">
            <v>23125</v>
          </cell>
          <cell r="E56" t="str">
            <v>1736 FAMILY CRISIS CENTER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W56">
            <v>0</v>
          </cell>
          <cell r="AY56">
            <v>0</v>
          </cell>
          <cell r="BA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23128</v>
          </cell>
          <cell r="B57">
            <v>4</v>
          </cell>
          <cell r="C57">
            <v>23128</v>
          </cell>
          <cell r="E57" t="str">
            <v xml:space="preserve">GATEWAYS HOSPITAL &amp; MHC 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162100</v>
          </cell>
          <cell r="AQ57">
            <v>162100</v>
          </cell>
          <cell r="AR57">
            <v>0</v>
          </cell>
          <cell r="AS57">
            <v>0</v>
          </cell>
          <cell r="AT57">
            <v>162100</v>
          </cell>
          <cell r="AW57">
            <v>0</v>
          </cell>
          <cell r="AY57">
            <v>0</v>
          </cell>
          <cell r="BA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162100</v>
          </cell>
          <cell r="BL57">
            <v>0</v>
          </cell>
          <cell r="BM57">
            <v>162100</v>
          </cell>
        </row>
        <row r="58">
          <cell r="A58">
            <v>23132</v>
          </cell>
          <cell r="B58">
            <v>3</v>
          </cell>
          <cell r="C58">
            <v>23132</v>
          </cell>
          <cell r="E58" t="str">
            <v>HATHAWAY SYCAMORES CHILD &amp; FAMILY SERVICES</v>
          </cell>
          <cell r="F58">
            <v>294000</v>
          </cell>
          <cell r="G58">
            <v>294000</v>
          </cell>
          <cell r="H58">
            <v>126000</v>
          </cell>
          <cell r="I58">
            <v>126000</v>
          </cell>
          <cell r="L58">
            <v>158850</v>
          </cell>
          <cell r="M58">
            <v>158900</v>
          </cell>
          <cell r="N58">
            <v>210000</v>
          </cell>
          <cell r="O58">
            <v>210000</v>
          </cell>
          <cell r="P58">
            <v>788900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W58">
            <v>0</v>
          </cell>
          <cell r="AY58">
            <v>0</v>
          </cell>
          <cell r="BA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294000</v>
          </cell>
          <cell r="BI58">
            <v>126000</v>
          </cell>
          <cell r="BJ58">
            <v>0</v>
          </cell>
          <cell r="BK58">
            <v>158900</v>
          </cell>
          <cell r="BL58">
            <v>210000</v>
          </cell>
          <cell r="BM58">
            <v>788900</v>
          </cell>
        </row>
        <row r="59">
          <cell r="A59">
            <v>23133</v>
          </cell>
          <cell r="B59" t="str">
            <v>1, 2 &amp; 5</v>
          </cell>
          <cell r="C59">
            <v>23133</v>
          </cell>
          <cell r="E59" t="str">
            <v>HILLVIEW MENTAL HEALTH CENTER,  INC.</v>
          </cell>
          <cell r="F59">
            <v>252000</v>
          </cell>
          <cell r="G59">
            <v>252000</v>
          </cell>
          <cell r="H59">
            <v>112000</v>
          </cell>
          <cell r="I59">
            <v>112000</v>
          </cell>
          <cell r="L59">
            <v>141200</v>
          </cell>
          <cell r="M59">
            <v>141200</v>
          </cell>
          <cell r="N59">
            <v>196000</v>
          </cell>
          <cell r="O59">
            <v>196000</v>
          </cell>
          <cell r="P59">
            <v>701200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W59">
            <v>0</v>
          </cell>
          <cell r="AY59">
            <v>0</v>
          </cell>
          <cell r="BA59">
            <v>0</v>
          </cell>
          <cell r="BC59">
            <v>0</v>
          </cell>
          <cell r="BE59">
            <v>0</v>
          </cell>
          <cell r="BF59">
            <v>0</v>
          </cell>
          <cell r="BH59">
            <v>252000</v>
          </cell>
          <cell r="BI59">
            <v>112000</v>
          </cell>
          <cell r="BJ59">
            <v>0</v>
          </cell>
          <cell r="BK59">
            <v>141200</v>
          </cell>
          <cell r="BL59">
            <v>196000</v>
          </cell>
          <cell r="BM59">
            <v>701200</v>
          </cell>
        </row>
        <row r="60">
          <cell r="A60">
            <v>23134</v>
          </cell>
          <cell r="B60">
            <v>4</v>
          </cell>
          <cell r="C60">
            <v>23134</v>
          </cell>
          <cell r="E60" t="str">
            <v>CLONTARF MANOR INC.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23135</v>
          </cell>
          <cell r="B61">
            <v>3</v>
          </cell>
          <cell r="C61">
            <v>23135</v>
          </cell>
          <cell r="E61" t="str">
            <v xml:space="preserve">HILLSIDES (FORMERLY CHURCH HOME FOR CHILDREN) </v>
          </cell>
          <cell r="F61">
            <v>462000</v>
          </cell>
          <cell r="G61">
            <v>462000</v>
          </cell>
          <cell r="H61">
            <v>196000</v>
          </cell>
          <cell r="I61">
            <v>196000</v>
          </cell>
          <cell r="J61">
            <v>57503</v>
          </cell>
          <cell r="K61">
            <v>57500</v>
          </cell>
          <cell r="L61">
            <v>254160</v>
          </cell>
          <cell r="M61">
            <v>254200</v>
          </cell>
          <cell r="N61">
            <v>350000</v>
          </cell>
          <cell r="O61">
            <v>350000</v>
          </cell>
          <cell r="P61">
            <v>1262200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W61">
            <v>0</v>
          </cell>
          <cell r="AY61">
            <v>0</v>
          </cell>
          <cell r="AZ61">
            <v>-0.14285714285506401</v>
          </cell>
          <cell r="BA61">
            <v>0</v>
          </cell>
          <cell r="BC61">
            <v>0</v>
          </cell>
          <cell r="BE61">
            <v>0</v>
          </cell>
          <cell r="BF61">
            <v>0</v>
          </cell>
          <cell r="BH61">
            <v>462000</v>
          </cell>
          <cell r="BI61">
            <v>196000</v>
          </cell>
          <cell r="BJ61">
            <v>57500</v>
          </cell>
          <cell r="BK61">
            <v>254200</v>
          </cell>
          <cell r="BL61">
            <v>350000</v>
          </cell>
          <cell r="BM61">
            <v>1319700</v>
          </cell>
        </row>
        <row r="62">
          <cell r="A62">
            <v>23136</v>
          </cell>
          <cell r="B62">
            <v>6</v>
          </cell>
          <cell r="C62">
            <v>23136</v>
          </cell>
          <cell r="E62" t="str">
            <v xml:space="preserve">KEDREN COMMUNITY HEALTH CENTER, INC. DBA KEDREN </v>
          </cell>
          <cell r="F62">
            <v>154000</v>
          </cell>
          <cell r="G62">
            <v>154000</v>
          </cell>
          <cell r="H62">
            <v>70000</v>
          </cell>
          <cell r="I62">
            <v>70000</v>
          </cell>
          <cell r="L62">
            <v>88250</v>
          </cell>
          <cell r="M62">
            <v>88300</v>
          </cell>
          <cell r="N62">
            <v>126000</v>
          </cell>
          <cell r="O62">
            <v>126000</v>
          </cell>
          <cell r="P62">
            <v>438300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W62">
            <v>0</v>
          </cell>
          <cell r="AY62">
            <v>0</v>
          </cell>
          <cell r="BA62">
            <v>0</v>
          </cell>
          <cell r="BC62">
            <v>0</v>
          </cell>
          <cell r="BE62">
            <v>0</v>
          </cell>
          <cell r="BF62">
            <v>0</v>
          </cell>
          <cell r="BH62">
            <v>154000</v>
          </cell>
          <cell r="BI62">
            <v>70000</v>
          </cell>
          <cell r="BJ62">
            <v>0</v>
          </cell>
          <cell r="BK62">
            <v>88300</v>
          </cell>
          <cell r="BL62">
            <v>126000</v>
          </cell>
          <cell r="BM62">
            <v>438300</v>
          </cell>
        </row>
        <row r="63">
          <cell r="A63">
            <v>23137</v>
          </cell>
          <cell r="B63">
            <v>4</v>
          </cell>
          <cell r="C63">
            <v>23137</v>
          </cell>
          <cell r="E63" t="str">
            <v>KOREATOWN YOUTH &amp; COMMUNITY CENTER, INC.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W63">
            <v>0</v>
          </cell>
          <cell r="AY63">
            <v>0</v>
          </cell>
          <cell r="BA63">
            <v>0</v>
          </cell>
          <cell r="BB63">
            <v>950</v>
          </cell>
          <cell r="BC63">
            <v>1000</v>
          </cell>
          <cell r="BD63">
            <v>17530</v>
          </cell>
          <cell r="BE63">
            <v>17500</v>
          </cell>
          <cell r="BF63">
            <v>18500</v>
          </cell>
          <cell r="BH63">
            <v>0</v>
          </cell>
          <cell r="BI63">
            <v>0</v>
          </cell>
          <cell r="BJ63">
            <v>0</v>
          </cell>
          <cell r="BK63">
            <v>1000</v>
          </cell>
          <cell r="BL63">
            <v>17500</v>
          </cell>
          <cell r="BM63">
            <v>18500</v>
          </cell>
        </row>
        <row r="64">
          <cell r="A64">
            <v>23138</v>
          </cell>
          <cell r="B64" t="str">
            <v>1,2 &amp; 5</v>
          </cell>
          <cell r="C64">
            <v>23138</v>
          </cell>
          <cell r="E64" t="str">
            <v xml:space="preserve">THE HELP GROUP C&amp;F CTR (FORMELY LA CTR FOR THERAPY &amp; ED) 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W64">
            <v>0</v>
          </cell>
          <cell r="AY64">
            <v>0</v>
          </cell>
          <cell r="BA64">
            <v>0</v>
          </cell>
          <cell r="BC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>
            <v>23141</v>
          </cell>
          <cell r="B65" t="str">
            <v>7 &amp; 8</v>
          </cell>
          <cell r="C65">
            <v>23141</v>
          </cell>
          <cell r="E65" t="str">
            <v>LOS ANGELES CHILD GUIDANCE CLINIC</v>
          </cell>
          <cell r="F65">
            <v>154000</v>
          </cell>
          <cell r="G65">
            <v>154000</v>
          </cell>
          <cell r="H65">
            <v>70000</v>
          </cell>
          <cell r="I65">
            <v>70000</v>
          </cell>
          <cell r="L65">
            <v>88250</v>
          </cell>
          <cell r="M65">
            <v>88300</v>
          </cell>
          <cell r="N65">
            <v>126000</v>
          </cell>
          <cell r="O65">
            <v>126000</v>
          </cell>
          <cell r="P65">
            <v>438300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W65">
            <v>0</v>
          </cell>
          <cell r="AY65">
            <v>0</v>
          </cell>
          <cell r="BA65">
            <v>0</v>
          </cell>
          <cell r="BC65">
            <v>0</v>
          </cell>
          <cell r="BD65">
            <v>33778</v>
          </cell>
          <cell r="BE65">
            <v>33800</v>
          </cell>
          <cell r="BF65">
            <v>33800</v>
          </cell>
          <cell r="BH65">
            <v>154000</v>
          </cell>
          <cell r="BI65">
            <v>70000</v>
          </cell>
          <cell r="BJ65">
            <v>0</v>
          </cell>
          <cell r="BK65">
            <v>88300</v>
          </cell>
          <cell r="BL65">
            <v>159800</v>
          </cell>
          <cell r="BM65">
            <v>472100</v>
          </cell>
        </row>
        <row r="66">
          <cell r="A66">
            <v>23142</v>
          </cell>
          <cell r="B66">
            <v>4</v>
          </cell>
          <cell r="C66">
            <v>23142</v>
          </cell>
          <cell r="E66" t="str">
            <v>LOS ANGELES GAY &amp; LESBIAN COMMUNITY SVCS CTR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W66">
            <v>0</v>
          </cell>
          <cell r="AY66">
            <v>0</v>
          </cell>
          <cell r="BA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>
            <v>23143</v>
          </cell>
          <cell r="B67">
            <v>4</v>
          </cell>
          <cell r="C67">
            <v>23143</v>
          </cell>
          <cell r="E67" t="str">
            <v xml:space="preserve">LAMP INC. 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W67">
            <v>0</v>
          </cell>
          <cell r="AY67">
            <v>0</v>
          </cell>
          <cell r="BA67">
            <v>0</v>
          </cell>
          <cell r="BC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23146</v>
          </cell>
          <cell r="B68" t="str">
            <v>7 &amp; 8</v>
          </cell>
          <cell r="C68">
            <v>23146</v>
          </cell>
          <cell r="E68" t="str">
            <v>MENTAL HEALTH AMERICA OF LOS ANGELES</v>
          </cell>
          <cell r="F68">
            <v>630000</v>
          </cell>
          <cell r="G68">
            <v>630000</v>
          </cell>
          <cell r="H68">
            <v>336000</v>
          </cell>
          <cell r="I68">
            <v>336000</v>
          </cell>
          <cell r="L68">
            <v>338810</v>
          </cell>
          <cell r="M68">
            <v>338800</v>
          </cell>
          <cell r="N68">
            <v>395636</v>
          </cell>
          <cell r="O68">
            <v>395600</v>
          </cell>
          <cell r="P68">
            <v>1700400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W68">
            <v>0</v>
          </cell>
          <cell r="AY68">
            <v>0</v>
          </cell>
          <cell r="BA68">
            <v>0</v>
          </cell>
          <cell r="BC68">
            <v>0</v>
          </cell>
          <cell r="BE68">
            <v>0</v>
          </cell>
          <cell r="BF68">
            <v>0</v>
          </cell>
          <cell r="BH68">
            <v>630000</v>
          </cell>
          <cell r="BI68">
            <v>336000</v>
          </cell>
          <cell r="BJ68">
            <v>0</v>
          </cell>
          <cell r="BK68">
            <v>338800</v>
          </cell>
          <cell r="BL68">
            <v>395600</v>
          </cell>
          <cell r="BM68">
            <v>1700400</v>
          </cell>
        </row>
        <row r="69">
          <cell r="A69">
            <v>23149</v>
          </cell>
          <cell r="B69">
            <v>3</v>
          </cell>
          <cell r="C69">
            <v>23149</v>
          </cell>
          <cell r="E69" t="str">
            <v xml:space="preserve">PENNY LANE CENTERS (NATIONAL FOUNDATION TREATMENT) 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51899</v>
          </cell>
          <cell r="AS69">
            <v>51900</v>
          </cell>
          <cell r="AT69">
            <v>51900</v>
          </cell>
          <cell r="AW69">
            <v>0</v>
          </cell>
          <cell r="AY69">
            <v>0</v>
          </cell>
          <cell r="BA69">
            <v>0</v>
          </cell>
          <cell r="BC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51900</v>
          </cell>
          <cell r="BM69">
            <v>51900</v>
          </cell>
        </row>
        <row r="70">
          <cell r="A70">
            <v>23151</v>
          </cell>
          <cell r="B70" t="str">
            <v>1, 2 &amp; 5</v>
          </cell>
          <cell r="C70">
            <v>23151</v>
          </cell>
          <cell r="E70" t="str">
            <v>OCEAN PARK COMMUNITY CENTER (McKinney)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W70">
            <v>0</v>
          </cell>
          <cell r="AY70">
            <v>0</v>
          </cell>
          <cell r="BA70">
            <v>0</v>
          </cell>
          <cell r="BC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23153</v>
          </cell>
          <cell r="B71">
            <v>3</v>
          </cell>
          <cell r="C71">
            <v>23153</v>
          </cell>
          <cell r="E71" t="str">
            <v xml:space="preserve">PACIFIC CLINICS </v>
          </cell>
          <cell r="F71">
            <v>1246000</v>
          </cell>
          <cell r="G71">
            <v>1246000</v>
          </cell>
          <cell r="H71">
            <v>546000</v>
          </cell>
          <cell r="I71">
            <v>546000</v>
          </cell>
          <cell r="L71">
            <v>698940</v>
          </cell>
          <cell r="M71">
            <v>698900</v>
          </cell>
          <cell r="N71">
            <v>980000</v>
          </cell>
          <cell r="O71">
            <v>980000</v>
          </cell>
          <cell r="P71">
            <v>3470900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W71">
            <v>0</v>
          </cell>
          <cell r="AY71">
            <v>0</v>
          </cell>
          <cell r="BA71">
            <v>0</v>
          </cell>
          <cell r="BC71">
            <v>0</v>
          </cell>
          <cell r="BE71">
            <v>0</v>
          </cell>
          <cell r="BF71">
            <v>0</v>
          </cell>
          <cell r="BH71">
            <v>1246000</v>
          </cell>
          <cell r="BI71">
            <v>546000</v>
          </cell>
          <cell r="BJ71">
            <v>0</v>
          </cell>
          <cell r="BK71">
            <v>698900</v>
          </cell>
          <cell r="BL71">
            <v>980000</v>
          </cell>
          <cell r="BM71">
            <v>3470900</v>
          </cell>
        </row>
        <row r="72">
          <cell r="A72">
            <v>23157</v>
          </cell>
          <cell r="B72" t="str">
            <v>7 &amp; 8</v>
          </cell>
          <cell r="C72">
            <v>23157</v>
          </cell>
          <cell r="E72" t="str">
            <v>THE GUIDANCE CENTER (GREATER LONG BEACH CHILD)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W72">
            <v>0</v>
          </cell>
          <cell r="AY72">
            <v>0</v>
          </cell>
          <cell r="BA72">
            <v>0</v>
          </cell>
          <cell r="BC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>
            <v>23162</v>
          </cell>
          <cell r="B73" t="str">
            <v>2 &amp; 5</v>
          </cell>
          <cell r="C73">
            <v>23162</v>
          </cell>
          <cell r="E73" t="str">
            <v>CHILD AND FAMILY GUIDANCE CENTER (SFV)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W73">
            <v>0</v>
          </cell>
          <cell r="AY73">
            <v>0</v>
          </cell>
          <cell r="BA73">
            <v>0</v>
          </cell>
          <cell r="BB73">
            <v>12450</v>
          </cell>
          <cell r="BC73">
            <v>12500</v>
          </cell>
          <cell r="BD73">
            <v>112050</v>
          </cell>
          <cell r="BE73">
            <v>112100</v>
          </cell>
          <cell r="BF73">
            <v>124600</v>
          </cell>
          <cell r="BH73">
            <v>0</v>
          </cell>
          <cell r="BI73">
            <v>0</v>
          </cell>
          <cell r="BJ73">
            <v>0</v>
          </cell>
          <cell r="BK73">
            <v>12500</v>
          </cell>
          <cell r="BL73">
            <v>112100</v>
          </cell>
          <cell r="BM73">
            <v>124600</v>
          </cell>
        </row>
        <row r="74">
          <cell r="A74">
            <v>23163</v>
          </cell>
          <cell r="B74" t="str">
            <v>1, 2 &amp; 5</v>
          </cell>
          <cell r="C74">
            <v>23163</v>
          </cell>
          <cell r="E74" t="str">
            <v xml:space="preserve">SAN FERNANDO VALLEY COMMUNITY MHC, INC. </v>
          </cell>
          <cell r="F74">
            <v>252000</v>
          </cell>
          <cell r="G74">
            <v>252000</v>
          </cell>
          <cell r="H74">
            <v>112000</v>
          </cell>
          <cell r="I74">
            <v>112000</v>
          </cell>
          <cell r="L74">
            <v>141200</v>
          </cell>
          <cell r="M74">
            <v>141200</v>
          </cell>
          <cell r="N74">
            <v>196000</v>
          </cell>
          <cell r="O74">
            <v>196000</v>
          </cell>
          <cell r="P74">
            <v>701200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169300</v>
          </cell>
          <cell r="AQ74">
            <v>169300</v>
          </cell>
          <cell r="AR74">
            <v>0</v>
          </cell>
          <cell r="AS74">
            <v>0</v>
          </cell>
          <cell r="AT74">
            <v>169300</v>
          </cell>
          <cell r="AW74">
            <v>0</v>
          </cell>
          <cell r="AY74">
            <v>0</v>
          </cell>
          <cell r="BA74">
            <v>0</v>
          </cell>
          <cell r="BC74">
            <v>0</v>
          </cell>
          <cell r="BE74">
            <v>0</v>
          </cell>
          <cell r="BF74">
            <v>0</v>
          </cell>
          <cell r="BH74">
            <v>252000</v>
          </cell>
          <cell r="BI74">
            <v>112000</v>
          </cell>
          <cell r="BJ74">
            <v>0</v>
          </cell>
          <cell r="BK74">
            <v>310500</v>
          </cell>
          <cell r="BL74">
            <v>196000</v>
          </cell>
          <cell r="BM74">
            <v>870500</v>
          </cell>
        </row>
        <row r="75">
          <cell r="A75">
            <v>23164</v>
          </cell>
          <cell r="B75" t="str">
            <v>7 &amp; 8</v>
          </cell>
          <cell r="C75">
            <v>23164</v>
          </cell>
          <cell r="E75" t="str">
            <v>HEALTH VIEW INC.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W75">
            <v>0</v>
          </cell>
          <cell r="AY75">
            <v>0</v>
          </cell>
          <cell r="BA75">
            <v>0</v>
          </cell>
          <cell r="BC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>
            <v>23165</v>
          </cell>
          <cell r="B76" t="str">
            <v>2 &amp; 5</v>
          </cell>
          <cell r="C76">
            <v>23165</v>
          </cell>
          <cell r="E76" t="str">
            <v>CHILD &amp; FAMILY CENTER (SANTA CLARITA CHILD &amp; FAMILY)</v>
          </cell>
          <cell r="F76">
            <v>98000</v>
          </cell>
          <cell r="G76">
            <v>98000</v>
          </cell>
          <cell r="H76">
            <v>42000</v>
          </cell>
          <cell r="I76">
            <v>42000</v>
          </cell>
          <cell r="L76">
            <v>52950</v>
          </cell>
          <cell r="M76">
            <v>53000</v>
          </cell>
          <cell r="N76">
            <v>70000</v>
          </cell>
          <cell r="O76">
            <v>70000</v>
          </cell>
          <cell r="P76">
            <v>263000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W76">
            <v>0</v>
          </cell>
          <cell r="AY76">
            <v>0</v>
          </cell>
          <cell r="BA76">
            <v>0</v>
          </cell>
          <cell r="BB76">
            <v>3300</v>
          </cell>
          <cell r="BC76">
            <v>3300</v>
          </cell>
          <cell r="BD76">
            <v>29734</v>
          </cell>
          <cell r="BE76">
            <v>29700</v>
          </cell>
          <cell r="BF76">
            <v>33000</v>
          </cell>
          <cell r="BH76">
            <v>98000</v>
          </cell>
          <cell r="BI76">
            <v>42000</v>
          </cell>
          <cell r="BJ76">
            <v>0</v>
          </cell>
          <cell r="BK76">
            <v>56300</v>
          </cell>
          <cell r="BL76">
            <v>99700</v>
          </cell>
          <cell r="BM76">
            <v>296000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W77">
            <v>0</v>
          </cell>
          <cell r="AY77">
            <v>0</v>
          </cell>
          <cell r="BA77">
            <v>0</v>
          </cell>
          <cell r="BC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23167</v>
          </cell>
          <cell r="B78" t="str">
            <v>1, 2 &amp; 5</v>
          </cell>
          <cell r="C78">
            <v>23167</v>
          </cell>
          <cell r="E78" t="str">
            <v>ST. JOSEPH CENTER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W78">
            <v>0</v>
          </cell>
          <cell r="AY78">
            <v>0</v>
          </cell>
          <cell r="BA78">
            <v>0</v>
          </cell>
          <cell r="BC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>
            <v>23168</v>
          </cell>
          <cell r="B79">
            <v>3</v>
          </cell>
          <cell r="C79">
            <v>23168</v>
          </cell>
          <cell r="E79" t="str">
            <v>SOCIAL MODEL RECOVERY SYSTEMS, INC.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W79">
            <v>0</v>
          </cell>
          <cell r="AY79">
            <v>0</v>
          </cell>
          <cell r="BA79">
            <v>0</v>
          </cell>
          <cell r="BC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23169</v>
          </cell>
          <cell r="B80" t="str">
            <v xml:space="preserve">7 &amp; 8 </v>
          </cell>
          <cell r="C80">
            <v>23169</v>
          </cell>
          <cell r="E80" t="str">
            <v>SOUTH BAY CHILDREN'S HEALTH CENTER ASSOCIATION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W80">
            <v>0</v>
          </cell>
          <cell r="AY80">
            <v>0</v>
          </cell>
          <cell r="BA80">
            <v>0</v>
          </cell>
          <cell r="BC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23170</v>
          </cell>
          <cell r="B81">
            <v>4</v>
          </cell>
          <cell r="C81">
            <v>23170</v>
          </cell>
          <cell r="E81" t="str">
            <v xml:space="preserve">SPECIAL SERVICE FOR GROUPS </v>
          </cell>
          <cell r="F81">
            <v>994000</v>
          </cell>
          <cell r="G81">
            <v>994000</v>
          </cell>
          <cell r="H81">
            <v>434000</v>
          </cell>
          <cell r="I81">
            <v>434000</v>
          </cell>
          <cell r="L81">
            <v>550680</v>
          </cell>
          <cell r="M81">
            <v>550700</v>
          </cell>
          <cell r="N81">
            <v>756000</v>
          </cell>
          <cell r="O81">
            <v>756000</v>
          </cell>
          <cell r="P81">
            <v>2734700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W81">
            <v>0</v>
          </cell>
          <cell r="AY81">
            <v>0</v>
          </cell>
          <cell r="BA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994000</v>
          </cell>
          <cell r="BI81">
            <v>434000</v>
          </cell>
          <cell r="BJ81">
            <v>0</v>
          </cell>
          <cell r="BK81">
            <v>550700</v>
          </cell>
          <cell r="BL81">
            <v>756000</v>
          </cell>
          <cell r="BM81">
            <v>2734700</v>
          </cell>
        </row>
        <row r="82">
          <cell r="A82">
            <v>23171</v>
          </cell>
          <cell r="B82" t="str">
            <v>1, 2 &amp; 5</v>
          </cell>
          <cell r="C82">
            <v>23171</v>
          </cell>
          <cell r="E82" t="str">
            <v>ST. JOHN'S HOSPITAL AND HEALTH CTR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W82">
            <v>0</v>
          </cell>
          <cell r="AY82">
            <v>0</v>
          </cell>
          <cell r="BA82">
            <v>0</v>
          </cell>
          <cell r="BC82">
            <v>0</v>
          </cell>
          <cell r="BE82">
            <v>0</v>
          </cell>
          <cell r="BF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A83">
            <v>23172</v>
          </cell>
          <cell r="B83" t="str">
            <v xml:space="preserve">7 &amp; 8 </v>
          </cell>
          <cell r="C83">
            <v>23172</v>
          </cell>
          <cell r="E83" t="str">
            <v>TELECARE CORP. (LA PAZ &amp; LA CASA MENTAL HEALTH CTR)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A84">
            <v>23173</v>
          </cell>
          <cell r="B84">
            <v>4</v>
          </cell>
          <cell r="C84">
            <v>23173</v>
          </cell>
          <cell r="E84" t="str">
            <v>AMANECER COMMUNITY COUNSELING SRVS., INC. (FORMELY COMMUNITY COUNSELING SERVICES)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W84">
            <v>0</v>
          </cell>
          <cell r="AX84">
            <v>62400</v>
          </cell>
          <cell r="AY84">
            <v>62400</v>
          </cell>
          <cell r="BA84">
            <v>0</v>
          </cell>
          <cell r="BC84">
            <v>0</v>
          </cell>
          <cell r="BD84">
            <v>31200</v>
          </cell>
          <cell r="BE84">
            <v>31200</v>
          </cell>
          <cell r="BF84">
            <v>93600</v>
          </cell>
          <cell r="BH84">
            <v>0</v>
          </cell>
          <cell r="BI84">
            <v>62400</v>
          </cell>
          <cell r="BJ84">
            <v>0</v>
          </cell>
          <cell r="BK84">
            <v>0</v>
          </cell>
          <cell r="BL84">
            <v>31200</v>
          </cell>
          <cell r="BM84">
            <v>93600</v>
          </cell>
        </row>
        <row r="85">
          <cell r="A85">
            <v>23174</v>
          </cell>
          <cell r="B85">
            <v>4</v>
          </cell>
          <cell r="C85">
            <v>23174</v>
          </cell>
          <cell r="E85" t="str">
            <v>HEALTH RESEARCH ASSOCIATION (dba USC ALTERNATIVE 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W85">
            <v>0</v>
          </cell>
          <cell r="AY85">
            <v>0</v>
          </cell>
          <cell r="BA85">
            <v>0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23175</v>
          </cell>
          <cell r="B86" t="str">
            <v>7 &amp; 8</v>
          </cell>
          <cell r="C86">
            <v>23175</v>
          </cell>
          <cell r="E86" t="str">
            <v>TRANSITIONAL LIVING CENTERS FOR LA COUNTY, INC.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W86">
            <v>0</v>
          </cell>
          <cell r="AY86">
            <v>0</v>
          </cell>
          <cell r="BA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23176</v>
          </cell>
          <cell r="B87">
            <v>4</v>
          </cell>
          <cell r="C87">
            <v>23176</v>
          </cell>
          <cell r="E87" t="str">
            <v>TRAVELERS AID SOCIETY OF LOS ANGELES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W87">
            <v>0</v>
          </cell>
          <cell r="AY87">
            <v>0</v>
          </cell>
          <cell r="BA87">
            <v>0</v>
          </cell>
          <cell r="BC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23178</v>
          </cell>
          <cell r="B88" t="str">
            <v>1, 2 &amp; 5</v>
          </cell>
          <cell r="C88">
            <v>23178</v>
          </cell>
          <cell r="E88" t="str">
            <v xml:space="preserve">VERDUGO MENTAL HEALTH CENTER </v>
          </cell>
          <cell r="F88">
            <v>0</v>
          </cell>
          <cell r="G88">
            <v>0</v>
          </cell>
          <cell r="H88">
            <v>231980</v>
          </cell>
          <cell r="I88">
            <v>232000</v>
          </cell>
          <cell r="L88">
            <v>0</v>
          </cell>
          <cell r="M88">
            <v>0</v>
          </cell>
          <cell r="N88">
            <v>115990</v>
          </cell>
          <cell r="O88">
            <v>116000</v>
          </cell>
          <cell r="P88">
            <v>348000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W88">
            <v>0</v>
          </cell>
          <cell r="AY88">
            <v>0</v>
          </cell>
          <cell r="BA88">
            <v>0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232000</v>
          </cell>
          <cell r="BJ88">
            <v>0</v>
          </cell>
          <cell r="BK88">
            <v>0</v>
          </cell>
          <cell r="BL88">
            <v>116000</v>
          </cell>
          <cell r="BM88">
            <v>348000</v>
          </cell>
        </row>
        <row r="89">
          <cell r="A89">
            <v>23179</v>
          </cell>
          <cell r="B89">
            <v>6</v>
          </cell>
          <cell r="C89">
            <v>23179</v>
          </cell>
          <cell r="E89" t="str">
            <v xml:space="preserve">WATTS LABOR COMMMUNITY ACTION COMMMITTEE (WLCAC)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W89">
            <v>0</v>
          </cell>
          <cell r="AY89">
            <v>0</v>
          </cell>
          <cell r="BA89">
            <v>0</v>
          </cell>
          <cell r="BC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23180</v>
          </cell>
          <cell r="B90" t="str">
            <v>1, 2 &amp; 5</v>
          </cell>
          <cell r="C90">
            <v>23180</v>
          </cell>
          <cell r="E90" t="str">
            <v>WESTSIDE CENTER FOR INDEPENDENT LIVING, INC.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W90">
            <v>0</v>
          </cell>
          <cell r="AY90">
            <v>0</v>
          </cell>
          <cell r="BA90">
            <v>0</v>
          </cell>
          <cell r="BC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23182</v>
          </cell>
          <cell r="B91" t="str">
            <v>1,2 &amp; 5</v>
          </cell>
          <cell r="C91">
            <v>23182</v>
          </cell>
          <cell r="E91" t="str">
            <v>STEP-UP ON SECOND STREET, INC.</v>
          </cell>
          <cell r="F91">
            <v>0</v>
          </cell>
          <cell r="G91">
            <v>0</v>
          </cell>
          <cell r="H91">
            <v>44166</v>
          </cell>
          <cell r="I91">
            <v>44200</v>
          </cell>
          <cell r="L91">
            <v>17650</v>
          </cell>
          <cell r="M91">
            <v>17700</v>
          </cell>
          <cell r="N91">
            <v>43364</v>
          </cell>
          <cell r="O91">
            <v>43400</v>
          </cell>
          <cell r="P91">
            <v>105300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W91">
            <v>0</v>
          </cell>
          <cell r="AY91">
            <v>0</v>
          </cell>
          <cell r="BA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44200</v>
          </cell>
          <cell r="BJ91">
            <v>0</v>
          </cell>
          <cell r="BK91">
            <v>17700</v>
          </cell>
          <cell r="BL91">
            <v>43400</v>
          </cell>
          <cell r="BM91">
            <v>105300</v>
          </cell>
        </row>
        <row r="92">
          <cell r="A92">
            <v>23186</v>
          </cell>
          <cell r="B92">
            <v>4</v>
          </cell>
          <cell r="C92">
            <v>23186</v>
          </cell>
          <cell r="E92" t="str">
            <v>INSTITUTE FOR THE REDESIGN OF LEARNING (ALMANSOR)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W92">
            <v>0</v>
          </cell>
          <cell r="AY92">
            <v>0</v>
          </cell>
          <cell r="BA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23187</v>
          </cell>
          <cell r="B93" t="str">
            <v>1, 2 &amp; 5</v>
          </cell>
          <cell r="C93">
            <v>23187</v>
          </cell>
          <cell r="E93" t="str">
            <v>STIRLING ACADEMY, INC.(STIRLING BEHAVIORAL HEALTH INST.)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W93">
            <v>0</v>
          </cell>
          <cell r="AY93">
            <v>0</v>
          </cell>
          <cell r="BA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>
            <v>23188</v>
          </cell>
          <cell r="B94" t="str">
            <v>1, 2 &amp; 5</v>
          </cell>
          <cell r="C94">
            <v>23188</v>
          </cell>
          <cell r="E94" t="str">
            <v>VISTA DEL MAR CHILD &amp; FAMILY SVCS (JEWISH ORPHANS)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W94">
            <v>0</v>
          </cell>
          <cell r="AX94">
            <v>7500</v>
          </cell>
          <cell r="AY94">
            <v>7500</v>
          </cell>
          <cell r="BA94">
            <v>0</v>
          </cell>
          <cell r="BC94">
            <v>0</v>
          </cell>
          <cell r="BD94">
            <v>27014</v>
          </cell>
          <cell r="BE94">
            <v>27000</v>
          </cell>
          <cell r="BF94">
            <v>34500</v>
          </cell>
          <cell r="BH94">
            <v>0</v>
          </cell>
          <cell r="BI94">
            <v>7500</v>
          </cell>
          <cell r="BJ94">
            <v>0</v>
          </cell>
          <cell r="BK94">
            <v>0</v>
          </cell>
          <cell r="BL94">
            <v>27000</v>
          </cell>
          <cell r="BM94">
            <v>34500</v>
          </cell>
        </row>
        <row r="95">
          <cell r="A95">
            <v>23190</v>
          </cell>
          <cell r="B95">
            <v>4</v>
          </cell>
          <cell r="C95">
            <v>23190</v>
          </cell>
          <cell r="E95" t="str">
            <v>THE LOS ANGELES FREE CLINIC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W95">
            <v>0</v>
          </cell>
          <cell r="AY95">
            <v>0</v>
          </cell>
          <cell r="BA95">
            <v>0</v>
          </cell>
          <cell r="BC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A96">
            <v>27210</v>
          </cell>
          <cell r="B96">
            <v>3</v>
          </cell>
          <cell r="C96">
            <v>27210</v>
          </cell>
          <cell r="E96" t="str">
            <v>PROTOTYPES</v>
          </cell>
          <cell r="F96">
            <v>308000</v>
          </cell>
          <cell r="G96">
            <v>308000</v>
          </cell>
          <cell r="H96">
            <v>126000</v>
          </cell>
          <cell r="I96">
            <v>126000</v>
          </cell>
          <cell r="L96">
            <v>165910</v>
          </cell>
          <cell r="M96">
            <v>165900</v>
          </cell>
          <cell r="N96">
            <v>224000</v>
          </cell>
          <cell r="O96">
            <v>224000</v>
          </cell>
          <cell r="P96">
            <v>823900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W96">
            <v>0</v>
          </cell>
          <cell r="AY96">
            <v>0</v>
          </cell>
          <cell r="BA96">
            <v>0</v>
          </cell>
          <cell r="BC96">
            <v>0</v>
          </cell>
          <cell r="BE96">
            <v>0</v>
          </cell>
          <cell r="BF96">
            <v>0</v>
          </cell>
          <cell r="BH96">
            <v>308000</v>
          </cell>
          <cell r="BI96">
            <v>126000</v>
          </cell>
          <cell r="BJ96">
            <v>0</v>
          </cell>
          <cell r="BK96">
            <v>165900</v>
          </cell>
          <cell r="BL96">
            <v>224000</v>
          </cell>
          <cell r="BM96">
            <v>823900</v>
          </cell>
        </row>
        <row r="97">
          <cell r="A97">
            <v>27231</v>
          </cell>
          <cell r="B97">
            <v>3</v>
          </cell>
          <cell r="C97">
            <v>27231</v>
          </cell>
          <cell r="E97" t="str">
            <v>GAY &amp; LESBIAN ADOLESCENT SOC. SVCS, INC.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W97">
            <v>0</v>
          </cell>
          <cell r="AY97">
            <v>0</v>
          </cell>
          <cell r="BA97">
            <v>0</v>
          </cell>
          <cell r="BC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27233</v>
          </cell>
          <cell r="B98">
            <v>3</v>
          </cell>
          <cell r="C98">
            <v>27233</v>
          </cell>
          <cell r="E98" t="str">
            <v>BIENVENIDOS CHILDREN'S CTR,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W98">
            <v>0</v>
          </cell>
          <cell r="AY98">
            <v>0</v>
          </cell>
          <cell r="BA98">
            <v>0</v>
          </cell>
          <cell r="BC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27234</v>
          </cell>
          <cell r="B99">
            <v>3</v>
          </cell>
          <cell r="C99">
            <v>27234</v>
          </cell>
          <cell r="E99" t="str">
            <v>ETTIE LEE HOMES,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W99">
            <v>0</v>
          </cell>
          <cell r="AY99">
            <v>0</v>
          </cell>
          <cell r="BA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27235</v>
          </cell>
          <cell r="B100" t="str">
            <v>7 &amp; 8</v>
          </cell>
          <cell r="C100">
            <v>27235</v>
          </cell>
          <cell r="E100" t="str">
            <v>ONE IN LONG BEACH,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W100">
            <v>0</v>
          </cell>
          <cell r="AY100">
            <v>0</v>
          </cell>
          <cell r="BA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27236</v>
          </cell>
          <cell r="B101">
            <v>3</v>
          </cell>
          <cell r="C101">
            <v>27236</v>
          </cell>
          <cell r="E101" t="str">
            <v>ROSEMARY CHILDREN'S SERVICES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W101">
            <v>0</v>
          </cell>
          <cell r="AY101">
            <v>0</v>
          </cell>
          <cell r="BA101">
            <v>0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27248</v>
          </cell>
          <cell r="B102">
            <v>4</v>
          </cell>
          <cell r="C102">
            <v>27248</v>
          </cell>
          <cell r="E102" t="str">
            <v>UNITED AMERICAN INDIAN INVOLVEMENT, INC.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W102">
            <v>0</v>
          </cell>
          <cell r="AY102">
            <v>0</v>
          </cell>
          <cell r="BA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27476</v>
          </cell>
          <cell r="B103">
            <v>3</v>
          </cell>
          <cell r="C103">
            <v>27476</v>
          </cell>
          <cell r="E103" t="str">
            <v xml:space="preserve">WHITE MEMORIAL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W103">
            <v>0</v>
          </cell>
          <cell r="AY103">
            <v>0</v>
          </cell>
          <cell r="BA103">
            <v>0</v>
          </cell>
          <cell r="BC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27478</v>
          </cell>
          <cell r="B104">
            <v>3</v>
          </cell>
          <cell r="C104">
            <v>27478</v>
          </cell>
          <cell r="E104" t="str">
            <v>HERITAGE CLINIC &amp; THE COMMUNITY ASS. PRO. FOR SENIORS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W104">
            <v>0</v>
          </cell>
          <cell r="AY104">
            <v>0</v>
          </cell>
          <cell r="BA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27490</v>
          </cell>
          <cell r="B105">
            <v>3</v>
          </cell>
          <cell r="C105">
            <v>27490</v>
          </cell>
          <cell r="E105" t="str">
            <v>UCLA TIES FOR ADOPTION (THE REGENTS)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W105">
            <v>0</v>
          </cell>
          <cell r="AY105">
            <v>0</v>
          </cell>
          <cell r="BA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27495</v>
          </cell>
          <cell r="B106">
            <v>3</v>
          </cell>
          <cell r="C106">
            <v>27495</v>
          </cell>
          <cell r="E106" t="str">
            <v>MCKINLEY CHILDREN'S CENTER, INC.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W106">
            <v>0</v>
          </cell>
          <cell r="AY106">
            <v>0</v>
          </cell>
          <cell r="BA106">
            <v>0</v>
          </cell>
          <cell r="BC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27507</v>
          </cell>
          <cell r="B107">
            <v>3</v>
          </cell>
          <cell r="C107">
            <v>27507</v>
          </cell>
          <cell r="E107" t="str">
            <v>MARYVALE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W107">
            <v>0</v>
          </cell>
          <cell r="AY107">
            <v>0</v>
          </cell>
          <cell r="BA107">
            <v>0</v>
          </cell>
          <cell r="BC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27508</v>
          </cell>
          <cell r="B108" t="str">
            <v>1, 2 &amp; 5</v>
          </cell>
          <cell r="C108">
            <v>27508</v>
          </cell>
          <cell r="E108" t="str">
            <v>COUNSELLING4KIDS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W108">
            <v>0</v>
          </cell>
          <cell r="AY108">
            <v>0</v>
          </cell>
          <cell r="BA108">
            <v>0</v>
          </cell>
          <cell r="BC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27518</v>
          </cell>
          <cell r="B109" t="str">
            <v>1, 2 &amp; 5</v>
          </cell>
          <cell r="C109">
            <v>27518</v>
          </cell>
          <cell r="E109" t="str">
            <v>PACIFIC LODGE YOUTH SERVICE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W109">
            <v>0</v>
          </cell>
          <cell r="AY109">
            <v>0</v>
          </cell>
          <cell r="BA109">
            <v>0</v>
          </cell>
          <cell r="BC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27519</v>
          </cell>
          <cell r="B110">
            <v>4</v>
          </cell>
          <cell r="C110">
            <v>27519</v>
          </cell>
          <cell r="E110" t="str">
            <v>PARA LOS NINOS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W110">
            <v>0</v>
          </cell>
          <cell r="AY110">
            <v>0</v>
          </cell>
          <cell r="BA110">
            <v>0</v>
          </cell>
          <cell r="BC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27520</v>
          </cell>
          <cell r="B111">
            <v>6</v>
          </cell>
          <cell r="C111">
            <v>27520</v>
          </cell>
          <cell r="E111" t="str">
            <v>PERSONAL INVOLVEMENT CENTER, INC.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W111">
            <v>0</v>
          </cell>
          <cell r="AY111">
            <v>0</v>
          </cell>
          <cell r="BA111">
            <v>0</v>
          </cell>
          <cell r="BC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27522</v>
          </cell>
          <cell r="B112">
            <v>3</v>
          </cell>
          <cell r="C112">
            <v>27522</v>
          </cell>
          <cell r="E112" t="str">
            <v>SERENITY INFANT CARE HOMES,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W112">
            <v>0</v>
          </cell>
          <cell r="AY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27523</v>
          </cell>
          <cell r="B113">
            <v>3</v>
          </cell>
          <cell r="C113">
            <v>27523</v>
          </cell>
          <cell r="E113" t="str">
            <v>ST. ANNE'S MATERNITY HOME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W113">
            <v>0</v>
          </cell>
          <cell r="AY113">
            <v>0</v>
          </cell>
          <cell r="BA113">
            <v>0</v>
          </cell>
          <cell r="BC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27524</v>
          </cell>
          <cell r="B114">
            <v>3</v>
          </cell>
          <cell r="C114">
            <v>27524</v>
          </cell>
          <cell r="E114" t="str">
            <v>TOBINWORLD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W114">
            <v>0</v>
          </cell>
          <cell r="AY114">
            <v>0</v>
          </cell>
          <cell r="BA114">
            <v>0</v>
          </cell>
          <cell r="BC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A115">
            <v>27525</v>
          </cell>
          <cell r="B115">
            <v>3</v>
          </cell>
          <cell r="C115">
            <v>27525</v>
          </cell>
          <cell r="E115" t="str">
            <v>TRINITY YOUTH SERVICES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W115">
            <v>0</v>
          </cell>
          <cell r="AY115">
            <v>0</v>
          </cell>
          <cell r="BA115">
            <v>0</v>
          </cell>
          <cell r="BC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27529</v>
          </cell>
          <cell r="B116">
            <v>4</v>
          </cell>
          <cell r="C116">
            <v>27529</v>
          </cell>
          <cell r="E116" t="str">
            <v>INSTITUTE FOR MULTICULTURAL COUN. &amp; EDU. SVCS, INC. (IMCES)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W116">
            <v>0</v>
          </cell>
          <cell r="AY116">
            <v>0</v>
          </cell>
          <cell r="BA116">
            <v>0</v>
          </cell>
          <cell r="BC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27537</v>
          </cell>
          <cell r="B117" t="str">
            <v>7 &amp; 8</v>
          </cell>
          <cell r="C117">
            <v>27537</v>
          </cell>
          <cell r="E117" t="str">
            <v>HELPLINE YOUTH COUNSELING, INC.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W117">
            <v>0</v>
          </cell>
          <cell r="AY117">
            <v>0</v>
          </cell>
          <cell r="BA117">
            <v>0</v>
          </cell>
          <cell r="BC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27542</v>
          </cell>
          <cell r="B118">
            <v>3</v>
          </cell>
          <cell r="C118">
            <v>27542</v>
          </cell>
          <cell r="E118" t="str">
            <v>PASADENA UNIFIED SCHOOL DISTRICT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W118">
            <v>0</v>
          </cell>
          <cell r="AY118">
            <v>0</v>
          </cell>
          <cell r="BA118">
            <v>0</v>
          </cell>
          <cell r="BC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27543</v>
          </cell>
          <cell r="B119">
            <v>3</v>
          </cell>
          <cell r="C119">
            <v>27543</v>
          </cell>
          <cell r="E119" t="str">
            <v>LEROY HAYNES CTR FOR CHILDREN &amp; FAMILY SVCS, INC.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W119">
            <v>0</v>
          </cell>
          <cell r="AY119">
            <v>0</v>
          </cell>
          <cell r="BA119">
            <v>0</v>
          </cell>
          <cell r="BC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27544</v>
          </cell>
          <cell r="B120" t="str">
            <v>1, 2 &amp; 5</v>
          </cell>
          <cell r="C120">
            <v>27544</v>
          </cell>
          <cell r="E120" t="str">
            <v>THE VILLAGE FAMILY SERVICES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W120">
            <v>0</v>
          </cell>
          <cell r="AY120">
            <v>0</v>
          </cell>
          <cell r="BA120">
            <v>0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27545</v>
          </cell>
          <cell r="B121">
            <v>3</v>
          </cell>
          <cell r="C121">
            <v>27545</v>
          </cell>
          <cell r="E121" t="str">
            <v>DAVID &amp; MARGARET HOME, INC.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W121">
            <v>0</v>
          </cell>
          <cell r="AY121">
            <v>0</v>
          </cell>
          <cell r="BA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27548</v>
          </cell>
          <cell r="B122">
            <v>4</v>
          </cell>
          <cell r="C122">
            <v>27548</v>
          </cell>
          <cell r="E122" t="str">
            <v>PEDIATRIC &amp; FAMILY MEDICAL CENTER (dba EISNER)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W122">
            <v>0</v>
          </cell>
          <cell r="AY122">
            <v>0</v>
          </cell>
          <cell r="BA122">
            <v>0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>
            <v>27549</v>
          </cell>
          <cell r="B123">
            <v>4</v>
          </cell>
          <cell r="C123">
            <v>27549</v>
          </cell>
          <cell r="E123" t="str">
            <v>EL CENTRO DEL PUEBLO, INC.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W123">
            <v>0</v>
          </cell>
          <cell r="AY123">
            <v>0</v>
          </cell>
          <cell r="BA123">
            <v>0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27550</v>
          </cell>
          <cell r="B124">
            <v>4</v>
          </cell>
          <cell r="C124">
            <v>27550</v>
          </cell>
          <cell r="E124" t="str">
            <v>CATHOLIC HEALTHCARE WEST (dba CALIFORNIA HOSPITAL)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W124">
            <v>0</v>
          </cell>
          <cell r="AY124">
            <v>0</v>
          </cell>
          <cell r="BA124">
            <v>0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27597</v>
          </cell>
          <cell r="B125" t="str">
            <v>1, 2 &amp; 5</v>
          </cell>
          <cell r="C125">
            <v>27597</v>
          </cell>
          <cell r="E125" t="str">
            <v>EMOTIONAL HEALTH ASSOCIATION (dba SHARE!)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W125">
            <v>0</v>
          </cell>
          <cell r="AY125">
            <v>0</v>
          </cell>
          <cell r="BA125">
            <v>0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27600</v>
          </cell>
          <cell r="B126">
            <v>4</v>
          </cell>
          <cell r="C126">
            <v>27600</v>
          </cell>
          <cell r="E126" t="str">
            <v>VIP COMMUNITY MENTAL HEALTH CENTER, INC. (VIP CMHC)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W126">
            <v>0</v>
          </cell>
          <cell r="AY126">
            <v>0</v>
          </cell>
          <cell r="BA126">
            <v>0</v>
          </cell>
          <cell r="BC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27601</v>
          </cell>
          <cell r="B127">
            <v>3</v>
          </cell>
          <cell r="C127">
            <v>27601</v>
          </cell>
          <cell r="E127" t="str">
            <v>THE CHILDREN'S CENTER OF ANTELOPE VALLEY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W127">
            <v>0</v>
          </cell>
          <cell r="AY127">
            <v>0</v>
          </cell>
          <cell r="BA127">
            <v>0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27620</v>
          </cell>
          <cell r="B128" t="str">
            <v>7 &amp; 8</v>
          </cell>
          <cell r="C128">
            <v>27620</v>
          </cell>
          <cell r="E128" t="str">
            <v>ASIAN AMERICAN DRUG ABUSE PROGRAM, INC. (AADAP)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W128">
            <v>0</v>
          </cell>
          <cell r="AY128">
            <v>0</v>
          </cell>
          <cell r="BA128">
            <v>0</v>
          </cell>
          <cell r="BC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27621</v>
          </cell>
          <cell r="B129">
            <v>4</v>
          </cell>
          <cell r="C129">
            <v>27621</v>
          </cell>
          <cell r="E129" t="str">
            <v>BEHAVIORAL HEALTH SERVICES, INC.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W129">
            <v>0</v>
          </cell>
          <cell r="AY129">
            <v>0</v>
          </cell>
          <cell r="BA129">
            <v>0</v>
          </cell>
          <cell r="BC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27622</v>
          </cell>
          <cell r="B130">
            <v>4</v>
          </cell>
          <cell r="C130">
            <v>27622</v>
          </cell>
          <cell r="E130" t="str">
            <v>CALIFORNIA HISPANIC COMMISSION,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W130">
            <v>0</v>
          </cell>
          <cell r="AY130">
            <v>0</v>
          </cell>
          <cell r="BA130">
            <v>0</v>
          </cell>
          <cell r="BC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27624</v>
          </cell>
          <cell r="B131">
            <v>4</v>
          </cell>
          <cell r="C131">
            <v>27624</v>
          </cell>
          <cell r="E131" t="str">
            <v>SPIRITT  FAMILY SERVICES,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W131">
            <v>0</v>
          </cell>
          <cell r="AY131">
            <v>0</v>
          </cell>
          <cell r="BA131">
            <v>0</v>
          </cell>
          <cell r="BC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27625</v>
          </cell>
          <cell r="B132" t="str">
            <v>1, 2 &amp; 5</v>
          </cell>
          <cell r="C132">
            <v>27625</v>
          </cell>
          <cell r="E132" t="str">
            <v>TARZANA TREATMENT CENTER,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W132">
            <v>0</v>
          </cell>
          <cell r="AY132">
            <v>0</v>
          </cell>
          <cell r="BA132">
            <v>0</v>
          </cell>
          <cell r="BC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27626</v>
          </cell>
          <cell r="B133" t="str">
            <v>1, 2 &amp; 5</v>
          </cell>
          <cell r="C133">
            <v>27626</v>
          </cell>
          <cell r="E133" t="str">
            <v>NEW DIRECTIONS,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W133">
            <v>0</v>
          </cell>
          <cell r="AY133">
            <v>0</v>
          </cell>
          <cell r="BA133">
            <v>0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27627</v>
          </cell>
          <cell r="B134">
            <v>3</v>
          </cell>
          <cell r="C134">
            <v>27627</v>
          </cell>
          <cell r="E134" t="str">
            <v>FLORENCE CRITTENTON SERVICES OF ORANGE COUNTY,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W134">
            <v>0</v>
          </cell>
          <cell r="AY134">
            <v>0</v>
          </cell>
          <cell r="BA134">
            <v>0</v>
          </cell>
          <cell r="BC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27633</v>
          </cell>
          <cell r="B135">
            <v>4</v>
          </cell>
          <cell r="C135">
            <v>27633</v>
          </cell>
          <cell r="E135" t="str">
            <v>CALIFORNIA INSTITUTE OF HEALTH &amp; SOCIAL SVC, INC. (dba Alafia MH Institute)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W135">
            <v>0</v>
          </cell>
          <cell r="AY135">
            <v>0</v>
          </cell>
          <cell r="BA135">
            <v>0</v>
          </cell>
          <cell r="BC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27634</v>
          </cell>
          <cell r="B136">
            <v>3</v>
          </cell>
          <cell r="C136">
            <v>27634</v>
          </cell>
          <cell r="E136" t="str">
            <v>CENTER FOR INTEGRATED FAMILY &amp; HEALTH SERVICES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W136">
            <v>0</v>
          </cell>
          <cell r="AY136">
            <v>0</v>
          </cell>
          <cell r="BA136">
            <v>0</v>
          </cell>
          <cell r="BC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27635</v>
          </cell>
          <cell r="B137">
            <v>6</v>
          </cell>
          <cell r="C137">
            <v>27635</v>
          </cell>
          <cell r="E137" t="str">
            <v>DREW CHILD DEVELOPMENT CORPORATION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W137">
            <v>0</v>
          </cell>
          <cell r="AY137">
            <v>0</v>
          </cell>
          <cell r="BA137">
            <v>0</v>
          </cell>
          <cell r="BC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27638</v>
          </cell>
          <cell r="B138" t="str">
            <v>2 &amp; 5</v>
          </cell>
          <cell r="C138">
            <v>27638</v>
          </cell>
          <cell r="E138" t="str">
            <v>EDUCATIONAL RESOURCE &amp; SERVICES CTR. (dba KAYNE-ERAS)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W138">
            <v>0</v>
          </cell>
          <cell r="AY138">
            <v>0</v>
          </cell>
          <cell r="BA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W139">
            <v>0</v>
          </cell>
          <cell r="AY139">
            <v>0</v>
          </cell>
          <cell r="BA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W140">
            <v>0</v>
          </cell>
          <cell r="AY140">
            <v>0</v>
          </cell>
          <cell r="BA140">
            <v>0</v>
          </cell>
          <cell r="BC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W141">
            <v>0</v>
          </cell>
          <cell r="AY141">
            <v>0</v>
          </cell>
          <cell r="BA141">
            <v>0</v>
          </cell>
          <cell r="BC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W142">
            <v>0</v>
          </cell>
          <cell r="AY142">
            <v>0</v>
          </cell>
          <cell r="BA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W143">
            <v>0</v>
          </cell>
          <cell r="AY143">
            <v>0</v>
          </cell>
          <cell r="BA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 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W145">
            <v>0</v>
          </cell>
          <cell r="AY145">
            <v>0</v>
          </cell>
          <cell r="BA145">
            <v>0</v>
          </cell>
          <cell r="BC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6636000</v>
          </cell>
          <cell r="G146">
            <v>6636000</v>
          </cell>
          <cell r="H146">
            <v>3202146</v>
          </cell>
          <cell r="I146">
            <v>3202200</v>
          </cell>
          <cell r="J146">
            <v>57503</v>
          </cell>
          <cell r="K146">
            <v>57500</v>
          </cell>
          <cell r="L146">
            <v>3678190</v>
          </cell>
          <cell r="M146">
            <v>3678600</v>
          </cell>
          <cell r="N146">
            <v>5132990</v>
          </cell>
          <cell r="O146">
            <v>5133000</v>
          </cell>
          <cell r="P146">
            <v>18649800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420000</v>
          </cell>
          <cell r="AQ146">
            <v>420000</v>
          </cell>
          <cell r="AR146">
            <v>91709</v>
          </cell>
          <cell r="AS146">
            <v>91700</v>
          </cell>
          <cell r="AT146">
            <v>511700</v>
          </cell>
          <cell r="AV146">
            <v>0</v>
          </cell>
          <cell r="AW146">
            <v>0</v>
          </cell>
          <cell r="AX146">
            <v>179348</v>
          </cell>
          <cell r="AY146">
            <v>179300</v>
          </cell>
          <cell r="AZ146">
            <v>-0.14285714285506401</v>
          </cell>
          <cell r="BA146">
            <v>0</v>
          </cell>
          <cell r="BB146">
            <v>20100</v>
          </cell>
          <cell r="BC146">
            <v>20200</v>
          </cell>
          <cell r="BD146">
            <v>328067</v>
          </cell>
          <cell r="BE146">
            <v>328100</v>
          </cell>
          <cell r="BF146">
            <v>527600</v>
          </cell>
          <cell r="BH146">
            <v>6636000</v>
          </cell>
          <cell r="BI146">
            <v>3381500</v>
          </cell>
          <cell r="BJ146">
            <v>57500</v>
          </cell>
          <cell r="BK146">
            <v>4118800</v>
          </cell>
          <cell r="BL146">
            <v>5552800</v>
          </cell>
          <cell r="BM146">
            <v>19746600</v>
          </cell>
        </row>
        <row r="148">
          <cell r="A148" t="str">
            <v>00000</v>
          </cell>
          <cell r="C148" t="str">
            <v>00000</v>
          </cell>
          <cell r="E148" t="str">
            <v>UNALLOCATED</v>
          </cell>
          <cell r="F148">
            <v>3570000</v>
          </cell>
          <cell r="G148">
            <v>3570000</v>
          </cell>
          <cell r="H148">
            <v>182000</v>
          </cell>
          <cell r="I148">
            <v>182000</v>
          </cell>
          <cell r="J148">
            <v>0</v>
          </cell>
          <cell r="K148">
            <v>0</v>
          </cell>
          <cell r="L148">
            <v>1085000</v>
          </cell>
          <cell r="M148">
            <v>1085000</v>
          </cell>
          <cell r="N148">
            <v>308000</v>
          </cell>
          <cell r="O148">
            <v>308000</v>
          </cell>
          <cell r="P148">
            <v>5145000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423496</v>
          </cell>
          <cell r="AG148">
            <v>423500</v>
          </cell>
          <cell r="AH148">
            <v>0</v>
          </cell>
          <cell r="AI148">
            <v>0</v>
          </cell>
          <cell r="AJ148">
            <v>423500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-100</v>
          </cell>
          <cell r="BC148">
            <v>-100</v>
          </cell>
          <cell r="BD148">
            <v>0</v>
          </cell>
          <cell r="BE148">
            <v>0</v>
          </cell>
          <cell r="BF148">
            <v>-100</v>
          </cell>
          <cell r="BH148">
            <v>3570000</v>
          </cell>
          <cell r="BI148">
            <v>182000</v>
          </cell>
          <cell r="BJ148">
            <v>0</v>
          </cell>
          <cell r="BK148">
            <v>1508400</v>
          </cell>
          <cell r="BL148">
            <v>308000</v>
          </cell>
          <cell r="BM148">
            <v>5568400</v>
          </cell>
        </row>
        <row r="149">
          <cell r="E149" t="str">
            <v xml:space="preserve">UNALLOCATED SUB TOTAL </v>
          </cell>
          <cell r="F149">
            <v>3570000</v>
          </cell>
          <cell r="G149">
            <v>3570000</v>
          </cell>
          <cell r="H149">
            <v>182000</v>
          </cell>
          <cell r="I149">
            <v>182000</v>
          </cell>
          <cell r="J149">
            <v>0</v>
          </cell>
          <cell r="K149">
            <v>0</v>
          </cell>
          <cell r="L149">
            <v>1085000</v>
          </cell>
          <cell r="M149">
            <v>1085000</v>
          </cell>
          <cell r="N149">
            <v>308000</v>
          </cell>
          <cell r="O149">
            <v>308000</v>
          </cell>
          <cell r="P149">
            <v>5145000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423496</v>
          </cell>
          <cell r="AG149">
            <v>423500</v>
          </cell>
          <cell r="AH149">
            <v>0</v>
          </cell>
          <cell r="AI149">
            <v>0</v>
          </cell>
          <cell r="AJ149">
            <v>423500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-100</v>
          </cell>
          <cell r="BC149">
            <v>-100</v>
          </cell>
          <cell r="BD149">
            <v>0</v>
          </cell>
          <cell r="BE149">
            <v>0</v>
          </cell>
          <cell r="BF149">
            <v>-100</v>
          </cell>
          <cell r="BH149">
            <v>3570000</v>
          </cell>
          <cell r="BI149">
            <v>182000</v>
          </cell>
          <cell r="BJ149">
            <v>0</v>
          </cell>
          <cell r="BK149">
            <v>1508400</v>
          </cell>
          <cell r="BL149">
            <v>308000</v>
          </cell>
          <cell r="BM149">
            <v>5568400</v>
          </cell>
        </row>
        <row r="151">
          <cell r="E151" t="str">
            <v xml:space="preserve">GRAND TOTAL </v>
          </cell>
          <cell r="F151">
            <v>10206000</v>
          </cell>
          <cell r="G151">
            <v>10206000</v>
          </cell>
          <cell r="H151">
            <v>3384146</v>
          </cell>
          <cell r="I151">
            <v>3384200</v>
          </cell>
          <cell r="J151">
            <v>57503</v>
          </cell>
          <cell r="K151">
            <v>57500</v>
          </cell>
          <cell r="L151">
            <v>4763190</v>
          </cell>
          <cell r="M151">
            <v>4763600</v>
          </cell>
          <cell r="N151">
            <v>5440990</v>
          </cell>
          <cell r="O151">
            <v>5441000</v>
          </cell>
          <cell r="P151">
            <v>23794800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423496</v>
          </cell>
          <cell r="AG151">
            <v>423500</v>
          </cell>
          <cell r="AH151">
            <v>0</v>
          </cell>
          <cell r="AI151">
            <v>0</v>
          </cell>
          <cell r="AJ151">
            <v>423500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420000</v>
          </cell>
          <cell r="AQ151">
            <v>420000</v>
          </cell>
          <cell r="AR151">
            <v>91709</v>
          </cell>
          <cell r="AS151">
            <v>91700</v>
          </cell>
          <cell r="AT151">
            <v>511700</v>
          </cell>
          <cell r="AV151">
            <v>0</v>
          </cell>
          <cell r="AW151">
            <v>0</v>
          </cell>
          <cell r="AX151">
            <v>179348</v>
          </cell>
          <cell r="AY151">
            <v>179300</v>
          </cell>
          <cell r="AZ151">
            <v>-0.14285714285506401</v>
          </cell>
          <cell r="BA151">
            <v>0</v>
          </cell>
          <cell r="BB151">
            <v>20000</v>
          </cell>
          <cell r="BC151">
            <v>20100</v>
          </cell>
          <cell r="BD151">
            <v>328067</v>
          </cell>
          <cell r="BE151">
            <v>328100</v>
          </cell>
          <cell r="BF151">
            <v>527500</v>
          </cell>
          <cell r="BH151">
            <v>10206000</v>
          </cell>
          <cell r="BI151">
            <v>3563500</v>
          </cell>
          <cell r="BJ151">
            <v>57500</v>
          </cell>
          <cell r="BK151">
            <v>5627200</v>
          </cell>
          <cell r="BL151">
            <v>5860800</v>
          </cell>
          <cell r="BM151">
            <v>25315000</v>
          </cell>
        </row>
        <row r="152">
          <cell r="G152" t="str">
            <v>H971-MATCH</v>
          </cell>
          <cell r="I152" t="str">
            <v>H972-MATCH</v>
          </cell>
          <cell r="M152" t="str">
            <v>H956</v>
          </cell>
          <cell r="O152" t="str">
            <v>H907</v>
          </cell>
          <cell r="W152" t="str">
            <v>H908</v>
          </cell>
          <cell r="AG152" t="str">
            <v>H910</v>
          </cell>
          <cell r="AQ152" t="str">
            <v>H912</v>
          </cell>
          <cell r="AS152" t="str">
            <v>H913</v>
          </cell>
        </row>
        <row r="153">
          <cell r="G153" t="str">
            <v>M931-FFP</v>
          </cell>
          <cell r="I153" t="str">
            <v>M949-FFP</v>
          </cell>
        </row>
      </sheetData>
      <sheetData sheetId="17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</row>
        <row r="3">
          <cell r="B3" t="str">
            <v>BUDGET &amp; FINANCIAL REPORTING DIVISION</v>
          </cell>
        </row>
        <row r="4">
          <cell r="B4" t="str">
            <v>MHSA - ADULT ALLOCATION</v>
          </cell>
        </row>
        <row r="5">
          <cell r="B5" t="str">
            <v xml:space="preserve">FISCAL YEAR 2009/2010 BUDGET REQUEST &amp; SUPERCESSION + RENEWAL </v>
          </cell>
        </row>
        <row r="7">
          <cell r="G7" t="str">
            <v>PLAN I</v>
          </cell>
          <cell r="S7" t="str">
            <v>PLAN II</v>
          </cell>
          <cell r="AC7" t="str">
            <v>PLAN II</v>
          </cell>
          <cell r="AM7" t="str">
            <v>TBA</v>
          </cell>
          <cell r="AW7" t="str">
            <v>TBA</v>
          </cell>
          <cell r="BP7" t="str">
            <v>TBA</v>
          </cell>
        </row>
        <row r="8">
          <cell r="G8" t="str">
            <v>ADULT FULL-SERVICE PARTNERSHIPS</v>
          </cell>
          <cell r="S8" t="str">
            <v>WELLNESS/CLIENT-RUN CENTERS</v>
          </cell>
          <cell r="AC8" t="str">
            <v>IMD STEP-DOWN FACILITIES</v>
          </cell>
          <cell r="AM8" t="str">
            <v>HOUSING SERVICES</v>
          </cell>
          <cell r="AW8" t="str">
            <v>JAIL TRANSITION &amp; LINKAGE SERVICES</v>
          </cell>
          <cell r="BG8" t="str">
            <v>FCCS - ADULT</v>
          </cell>
          <cell r="BP8" t="str">
            <v>START UP COSTS - AB2034</v>
          </cell>
          <cell r="CC8" t="str">
            <v>TOTAL BUDGET</v>
          </cell>
        </row>
        <row r="9">
          <cell r="G9" t="str">
            <v>32031</v>
          </cell>
          <cell r="S9" t="str">
            <v>32032</v>
          </cell>
          <cell r="AC9" t="str">
            <v>32034</v>
          </cell>
          <cell r="AM9" t="str">
            <v>32036</v>
          </cell>
          <cell r="AW9" t="str">
            <v>32038</v>
          </cell>
          <cell r="BP9">
            <v>32073</v>
          </cell>
        </row>
        <row r="10">
          <cell r="D10" t="str">
            <v>UNIT</v>
          </cell>
          <cell r="N10" t="str">
            <v>AB2034</v>
          </cell>
          <cell r="O10" t="str">
            <v>AB2034</v>
          </cell>
          <cell r="BW10" t="str">
            <v xml:space="preserve">BACKFILLED </v>
          </cell>
          <cell r="BX10" t="str">
            <v xml:space="preserve">BACKFILLED </v>
          </cell>
          <cell r="BY10" t="str">
            <v xml:space="preserve">BACKFILLED </v>
          </cell>
          <cell r="BZ10" t="str">
            <v xml:space="preserve">BACKFILLED </v>
          </cell>
          <cell r="CG10" t="str">
            <v>BACKFILLED</v>
          </cell>
          <cell r="CH10" t="str">
            <v>BACKFILLED</v>
          </cell>
          <cell r="CI10" t="str">
            <v>AB2034</v>
          </cell>
        </row>
        <row r="11">
          <cell r="B11" t="str">
            <v xml:space="preserve">SERVICE </v>
          </cell>
          <cell r="F11" t="str">
            <v>GROSS</v>
          </cell>
          <cell r="G11" t="str">
            <v>GROSS</v>
          </cell>
          <cell r="H11" t="str">
            <v>GROSS</v>
          </cell>
          <cell r="I11" t="str">
            <v>GROSS</v>
          </cell>
          <cell r="J11" t="str">
            <v>FLEX</v>
          </cell>
          <cell r="K11" t="str">
            <v>FLEX</v>
          </cell>
          <cell r="N11" t="str">
            <v xml:space="preserve">OTHER </v>
          </cell>
          <cell r="O11" t="str">
            <v xml:space="preserve">OTHER </v>
          </cell>
          <cell r="R11" t="str">
            <v>GROSS</v>
          </cell>
          <cell r="S11" t="str">
            <v>GROSS</v>
          </cell>
          <cell r="T11" t="str">
            <v>GROSS</v>
          </cell>
          <cell r="U11" t="str">
            <v>GROSS</v>
          </cell>
          <cell r="V11" t="str">
            <v>FLEX</v>
          </cell>
          <cell r="W11" t="str">
            <v>FLEX</v>
          </cell>
          <cell r="AB11" t="str">
            <v>GROSS</v>
          </cell>
          <cell r="AC11" t="str">
            <v>GROSS</v>
          </cell>
          <cell r="AD11" t="str">
            <v>GROSS</v>
          </cell>
          <cell r="AE11" t="str">
            <v>GROSS</v>
          </cell>
          <cell r="AF11" t="str">
            <v>FLEX</v>
          </cell>
          <cell r="AG11" t="str">
            <v>FLEX</v>
          </cell>
          <cell r="AL11" t="str">
            <v>GROSS</v>
          </cell>
          <cell r="AM11" t="str">
            <v>GROSS</v>
          </cell>
          <cell r="AN11" t="str">
            <v>GROSS</v>
          </cell>
          <cell r="AO11" t="str">
            <v>GROSS</v>
          </cell>
          <cell r="AP11" t="str">
            <v>FLEX</v>
          </cell>
          <cell r="AQ11" t="str">
            <v>FLEX</v>
          </cell>
          <cell r="AV11" t="str">
            <v>GROSS</v>
          </cell>
          <cell r="AW11" t="str">
            <v>GROSS</v>
          </cell>
          <cell r="AX11" t="str">
            <v>GROSS</v>
          </cell>
          <cell r="AY11" t="str">
            <v>GROSS</v>
          </cell>
          <cell r="AZ11" t="str">
            <v>FLEX</v>
          </cell>
          <cell r="BA11" t="str">
            <v>FLEX</v>
          </cell>
          <cell r="BF11" t="str">
            <v>GROSS</v>
          </cell>
          <cell r="BG11" t="str">
            <v>GROSS</v>
          </cell>
          <cell r="BH11" t="str">
            <v>GROSS</v>
          </cell>
          <cell r="BI11" t="str">
            <v>GROSS</v>
          </cell>
          <cell r="BJ11" t="str">
            <v>FLEX</v>
          </cell>
          <cell r="BK11" t="str">
            <v>FLEX</v>
          </cell>
          <cell r="BP11" t="str">
            <v>GROSS</v>
          </cell>
          <cell r="BQ11" t="str">
            <v>GROSS</v>
          </cell>
          <cell r="BR11" t="str">
            <v>GROSS</v>
          </cell>
          <cell r="BS11" t="str">
            <v>FLEX</v>
          </cell>
          <cell r="BT11" t="str">
            <v>FLEX</v>
          </cell>
          <cell r="BW11" t="str">
            <v xml:space="preserve">FOR </v>
          </cell>
          <cell r="BX11" t="str">
            <v xml:space="preserve">FOR </v>
          </cell>
          <cell r="BY11" t="str">
            <v>MEDI-CAL</v>
          </cell>
          <cell r="BZ11" t="str">
            <v>MEDI-CAL</v>
          </cell>
          <cell r="CC11" t="str">
            <v>GROSS</v>
          </cell>
          <cell r="CD11" t="str">
            <v>GROSS</v>
          </cell>
          <cell r="CE11" t="str">
            <v>FLEX</v>
          </cell>
          <cell r="CG11" t="str">
            <v xml:space="preserve">FOR </v>
          </cell>
          <cell r="CH11" t="str">
            <v>MEDI-CAL</v>
          </cell>
          <cell r="CI11" t="str">
            <v xml:space="preserve">OTHER </v>
          </cell>
        </row>
        <row r="12">
          <cell r="A12" t="str">
            <v>CODE</v>
          </cell>
          <cell r="B12" t="str">
            <v>AREA</v>
          </cell>
          <cell r="C12" t="str">
            <v>CODE</v>
          </cell>
          <cell r="D12" t="str">
            <v>UNIT</v>
          </cell>
          <cell r="E12" t="str">
            <v>ORGANIZATION NAME</v>
          </cell>
          <cell r="F12" t="str">
            <v>EPSDT</v>
          </cell>
          <cell r="G12" t="str">
            <v>EPSDT</v>
          </cell>
          <cell r="H12" t="str">
            <v>NON-EPSDT</v>
          </cell>
          <cell r="I12" t="str">
            <v>NON-EPSDT</v>
          </cell>
          <cell r="J12" t="str">
            <v>FUNDS</v>
          </cell>
          <cell r="K12" t="str">
            <v>FUNDS</v>
          </cell>
          <cell r="L12" t="str">
            <v>MHSA</v>
          </cell>
          <cell r="M12" t="str">
            <v>MHSA</v>
          </cell>
          <cell r="N12" t="str">
            <v>SERVICES</v>
          </cell>
          <cell r="O12" t="str">
            <v>SERVICES</v>
          </cell>
          <cell r="P12" t="str">
            <v>TOTAL</v>
          </cell>
          <cell r="R12" t="str">
            <v>EPSDT</v>
          </cell>
          <cell r="S12" t="str">
            <v>EPSDT</v>
          </cell>
          <cell r="T12" t="str">
            <v>NON-EPSDT</v>
          </cell>
          <cell r="U12" t="str">
            <v>NON-EPSDT</v>
          </cell>
          <cell r="V12" t="str">
            <v>FUNDS</v>
          </cell>
          <cell r="W12" t="str">
            <v>FUNDS</v>
          </cell>
          <cell r="X12" t="str">
            <v>MHSA</v>
          </cell>
          <cell r="Y12" t="str">
            <v>MHSA</v>
          </cell>
          <cell r="Z12" t="str">
            <v>TOTAL</v>
          </cell>
          <cell r="AB12" t="str">
            <v>EPSDT</v>
          </cell>
          <cell r="AC12" t="str">
            <v>EPSDT</v>
          </cell>
          <cell r="AD12" t="str">
            <v>NON-EPSDT</v>
          </cell>
          <cell r="AE12" t="str">
            <v>NON-EPSDT</v>
          </cell>
          <cell r="AF12" t="str">
            <v>FUNDS</v>
          </cell>
          <cell r="AG12" t="str">
            <v>FUNDS</v>
          </cell>
          <cell r="AH12" t="str">
            <v>MHSA</v>
          </cell>
          <cell r="AI12" t="str">
            <v>MHSA</v>
          </cell>
          <cell r="AJ12" t="str">
            <v>TOTAL</v>
          </cell>
          <cell r="AL12" t="str">
            <v>EPSDT</v>
          </cell>
          <cell r="AM12" t="str">
            <v>EPSDT</v>
          </cell>
          <cell r="AN12" t="str">
            <v>NON-EPSDT</v>
          </cell>
          <cell r="AO12" t="str">
            <v>NON-EPSDT</v>
          </cell>
          <cell r="AP12" t="str">
            <v>FUNDS</v>
          </cell>
          <cell r="AQ12" t="str">
            <v>FUNDS</v>
          </cell>
          <cell r="AR12" t="str">
            <v>MHSA</v>
          </cell>
          <cell r="AS12" t="str">
            <v>MHSA</v>
          </cell>
          <cell r="AT12" t="str">
            <v>TOTAL</v>
          </cell>
          <cell r="AV12" t="str">
            <v>EPSDT</v>
          </cell>
          <cell r="AW12" t="str">
            <v>EPSDT</v>
          </cell>
          <cell r="AX12" t="str">
            <v>NON-EPSDT</v>
          </cell>
          <cell r="AY12" t="str">
            <v>NON-EPSDT</v>
          </cell>
          <cell r="AZ12" t="str">
            <v>FUNDS</v>
          </cell>
          <cell r="BA12" t="str">
            <v>FUNDS</v>
          </cell>
          <cell r="BB12" t="str">
            <v>MHSA</v>
          </cell>
          <cell r="BC12" t="str">
            <v>MHSA</v>
          </cell>
          <cell r="BD12" t="str">
            <v>TOTAL</v>
          </cell>
          <cell r="BF12" t="str">
            <v>EPSDT</v>
          </cell>
          <cell r="BG12" t="str">
            <v>EPSDT</v>
          </cell>
          <cell r="BH12" t="str">
            <v>NON-EPSDT</v>
          </cell>
          <cell r="BI12" t="str">
            <v>NON-EPSDT</v>
          </cell>
          <cell r="BJ12" t="str">
            <v>FUNDS</v>
          </cell>
          <cell r="BK12" t="str">
            <v>FUNDS</v>
          </cell>
          <cell r="BL12" t="str">
            <v>MHSA</v>
          </cell>
          <cell r="BM12" t="str">
            <v>MHSA</v>
          </cell>
          <cell r="BN12" t="str">
            <v>TOTAL</v>
          </cell>
          <cell r="BP12" t="str">
            <v>EPSDT</v>
          </cell>
          <cell r="BQ12" t="str">
            <v>NON-EPSDT</v>
          </cell>
          <cell r="BR12" t="str">
            <v>NON-EPSDT</v>
          </cell>
          <cell r="BS12" t="str">
            <v>FUNDS</v>
          </cell>
          <cell r="BT12" t="str">
            <v>FUNDS</v>
          </cell>
          <cell r="BU12" t="str">
            <v>MHSA</v>
          </cell>
          <cell r="BV12" t="str">
            <v>MHSA</v>
          </cell>
          <cell r="BW12" t="str">
            <v>AB2034</v>
          </cell>
          <cell r="BX12" t="str">
            <v>AB2034</v>
          </cell>
          <cell r="BY12" t="str">
            <v>AB2034</v>
          </cell>
          <cell r="BZ12" t="str">
            <v>AB2034</v>
          </cell>
          <cell r="CA12" t="str">
            <v>TOTAL</v>
          </cell>
          <cell r="CC12" t="str">
            <v>EPSDT</v>
          </cell>
          <cell r="CD12" t="str">
            <v>NON-EPSDT</v>
          </cell>
          <cell r="CE12" t="str">
            <v>FUNDS</v>
          </cell>
          <cell r="CF12" t="str">
            <v>MHSA</v>
          </cell>
          <cell r="CG12" t="str">
            <v>AB2034</v>
          </cell>
          <cell r="CH12" t="str">
            <v>AB2034</v>
          </cell>
          <cell r="CI12" t="str">
            <v>SERVICES</v>
          </cell>
          <cell r="CJ12" t="str">
            <v>TOTAL</v>
          </cell>
        </row>
        <row r="13">
          <cell r="A13">
            <v>18616</v>
          </cell>
          <cell r="B13" t="str">
            <v>7 &amp; 8</v>
          </cell>
          <cell r="C13">
            <v>18616</v>
          </cell>
          <cell r="E13" t="str">
            <v>AURORA CHARTER OAK, LLC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I13">
            <v>0</v>
          </cell>
          <cell r="BK13">
            <v>0</v>
          </cell>
          <cell r="BM13">
            <v>0</v>
          </cell>
          <cell r="BN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</row>
        <row r="14">
          <cell r="A14">
            <v>18617</v>
          </cell>
          <cell r="B14">
            <v>3</v>
          </cell>
          <cell r="C14">
            <v>18617</v>
          </cell>
          <cell r="E14" t="str">
            <v>TRI-CITY MENTAL HEALTH CENTER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</row>
        <row r="15">
          <cell r="A15">
            <v>18618</v>
          </cell>
          <cell r="B15" t="str">
            <v>1, 2 &amp; 5</v>
          </cell>
          <cell r="C15">
            <v>18618</v>
          </cell>
          <cell r="E15" t="str">
            <v>PACIFIC ASIAN COUNSELING SERVICES (FORMELY WRAP)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I15">
            <v>0</v>
          </cell>
          <cell r="BK15">
            <v>0</v>
          </cell>
          <cell r="BL15">
            <v>68936</v>
          </cell>
          <cell r="BM15">
            <v>68900</v>
          </cell>
          <cell r="BN15">
            <v>68900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68900</v>
          </cell>
          <cell r="CG15">
            <v>0</v>
          </cell>
          <cell r="CH15">
            <v>0</v>
          </cell>
          <cell r="CI15">
            <v>0</v>
          </cell>
          <cell r="CJ15">
            <v>68900</v>
          </cell>
        </row>
        <row r="16">
          <cell r="A16">
            <v>18626</v>
          </cell>
          <cell r="B16">
            <v>6</v>
          </cell>
          <cell r="C16">
            <v>18626</v>
          </cell>
          <cell r="E16" t="str">
            <v>SOUTH CENTRAL HEALTH &amp; REHAB PROGRAM (SCHARP)</v>
          </cell>
          <cell r="F16">
            <v>0</v>
          </cell>
          <cell r="G16">
            <v>0</v>
          </cell>
          <cell r="H16">
            <v>2108700</v>
          </cell>
          <cell r="I16">
            <v>2108700</v>
          </cell>
          <cell r="J16">
            <v>606213</v>
          </cell>
          <cell r="K16">
            <v>606200</v>
          </cell>
          <cell r="L16">
            <v>425665</v>
          </cell>
          <cell r="M16">
            <v>425700</v>
          </cell>
          <cell r="N16">
            <v>0</v>
          </cell>
          <cell r="O16">
            <v>0</v>
          </cell>
          <cell r="P16">
            <v>3140600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66965</v>
          </cell>
          <cell r="Y16">
            <v>67000</v>
          </cell>
          <cell r="Z16">
            <v>67000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I16">
            <v>0</v>
          </cell>
          <cell r="BK16">
            <v>0</v>
          </cell>
          <cell r="BM16">
            <v>0</v>
          </cell>
          <cell r="BN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2108700</v>
          </cell>
          <cell r="CE16">
            <v>606200</v>
          </cell>
          <cell r="CF16">
            <v>492700</v>
          </cell>
          <cell r="CG16">
            <v>0</v>
          </cell>
          <cell r="CH16">
            <v>0</v>
          </cell>
          <cell r="CI16">
            <v>0</v>
          </cell>
          <cell r="CJ16">
            <v>3207600</v>
          </cell>
        </row>
        <row r="17">
          <cell r="A17">
            <v>18629</v>
          </cell>
          <cell r="B17" t="str">
            <v>1, 2 &amp; 5</v>
          </cell>
          <cell r="C17">
            <v>18629</v>
          </cell>
          <cell r="E17" t="str">
            <v xml:space="preserve">EXODUS RECOVERY, INC. </v>
          </cell>
          <cell r="F17">
            <v>0</v>
          </cell>
          <cell r="G17">
            <v>0</v>
          </cell>
          <cell r="H17">
            <v>1357700</v>
          </cell>
          <cell r="I17">
            <v>1357700</v>
          </cell>
          <cell r="J17">
            <v>836422</v>
          </cell>
          <cell r="K17">
            <v>836400</v>
          </cell>
          <cell r="L17">
            <v>757661</v>
          </cell>
          <cell r="M17">
            <v>757700</v>
          </cell>
          <cell r="N17">
            <v>0</v>
          </cell>
          <cell r="O17">
            <v>0</v>
          </cell>
          <cell r="P17">
            <v>2951800</v>
          </cell>
          <cell r="R17">
            <v>0</v>
          </cell>
          <cell r="S17">
            <v>0</v>
          </cell>
          <cell r="T17">
            <v>300000</v>
          </cell>
          <cell r="U17">
            <v>300000</v>
          </cell>
          <cell r="V17">
            <v>0</v>
          </cell>
          <cell r="W17">
            <v>0</v>
          </cell>
          <cell r="X17">
            <v>150000</v>
          </cell>
          <cell r="Y17">
            <v>150000</v>
          </cell>
          <cell r="Z17">
            <v>450000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I17">
            <v>0</v>
          </cell>
          <cell r="BK17">
            <v>0</v>
          </cell>
          <cell r="BM17">
            <v>0</v>
          </cell>
          <cell r="BN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D17">
            <v>1657700</v>
          </cell>
          <cell r="CE17">
            <v>836400</v>
          </cell>
          <cell r="CF17">
            <v>907700</v>
          </cell>
          <cell r="CG17">
            <v>0</v>
          </cell>
          <cell r="CH17">
            <v>0</v>
          </cell>
          <cell r="CI17">
            <v>0</v>
          </cell>
          <cell r="CJ17">
            <v>3401800</v>
          </cell>
        </row>
        <row r="18">
          <cell r="A18">
            <v>18631</v>
          </cell>
          <cell r="B18">
            <v>3</v>
          </cell>
          <cell r="C18">
            <v>18631</v>
          </cell>
          <cell r="E18" t="str">
            <v>STAR VIEW ADOLESCENT CENTER, INC. (PHF)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I18">
            <v>0</v>
          </cell>
          <cell r="BK18">
            <v>0</v>
          </cell>
          <cell r="BM18">
            <v>0</v>
          </cell>
          <cell r="BN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19">
          <cell r="A19">
            <v>18637</v>
          </cell>
          <cell r="B19" t="str">
            <v xml:space="preserve">7 &amp; 8 </v>
          </cell>
          <cell r="C19">
            <v>18637</v>
          </cell>
          <cell r="E19" t="str">
            <v>PROVIDENCE COMMUNITY SERVICES, LLC. (FORMELY ASPEN)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I19">
            <v>0</v>
          </cell>
          <cell r="BK19">
            <v>0</v>
          </cell>
          <cell r="BM19">
            <v>0</v>
          </cell>
          <cell r="BN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</row>
        <row r="20">
          <cell r="A20">
            <v>18638</v>
          </cell>
          <cell r="B20" t="str">
            <v xml:space="preserve">7 &amp; 8 </v>
          </cell>
          <cell r="C20">
            <v>18638</v>
          </cell>
          <cell r="E20" t="str">
            <v>SHIELDS FOR FAMILY PROJECT, INC.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148670</v>
          </cell>
          <cell r="BI20">
            <v>148700</v>
          </cell>
          <cell r="BK20">
            <v>0</v>
          </cell>
          <cell r="BM20">
            <v>0</v>
          </cell>
          <cell r="BN20">
            <v>148700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C20">
            <v>0</v>
          </cell>
          <cell r="CD20">
            <v>148700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148700</v>
          </cell>
        </row>
        <row r="21">
          <cell r="A21">
            <v>18663</v>
          </cell>
          <cell r="B21">
            <v>4</v>
          </cell>
          <cell r="C21">
            <v>18663</v>
          </cell>
          <cell r="E21" t="str">
            <v>CHILDREN'S INSTITUTE INC.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I21">
            <v>0</v>
          </cell>
          <cell r="BK21">
            <v>0</v>
          </cell>
          <cell r="BM21">
            <v>0</v>
          </cell>
          <cell r="BN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</row>
        <row r="22">
          <cell r="A22">
            <v>18664</v>
          </cell>
          <cell r="B22">
            <v>3</v>
          </cell>
          <cell r="C22">
            <v>18664</v>
          </cell>
          <cell r="E22" t="str">
            <v>OLIVE CREST TREATMENT CENTERS, INC.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I22">
            <v>0</v>
          </cell>
          <cell r="BK22">
            <v>0</v>
          </cell>
          <cell r="BM22">
            <v>0</v>
          </cell>
          <cell r="BN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</row>
        <row r="23">
          <cell r="A23">
            <v>18665</v>
          </cell>
          <cell r="B23">
            <v>3</v>
          </cell>
          <cell r="C23">
            <v>18665</v>
          </cell>
          <cell r="E23" t="str">
            <v xml:space="preserve">SAN GABRIEL CHILDREN'S CTR, INC. (RESEARCH &amp; TREATMENT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I23">
            <v>0</v>
          </cell>
          <cell r="BK23">
            <v>0</v>
          </cell>
          <cell r="BM23">
            <v>0</v>
          </cell>
          <cell r="BN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</row>
        <row r="24">
          <cell r="A24">
            <v>18675</v>
          </cell>
          <cell r="B24">
            <v>3</v>
          </cell>
          <cell r="C24">
            <v>18675</v>
          </cell>
          <cell r="E24" t="str">
            <v>FIVE ACRES - THE BOYS &amp; GIRLS AID SOCIETY OF LA COUNTY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I24">
            <v>0</v>
          </cell>
          <cell r="BK24">
            <v>0</v>
          </cell>
          <cell r="BM24">
            <v>0</v>
          </cell>
          <cell r="BN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A25">
            <v>18681</v>
          </cell>
          <cell r="B25">
            <v>4</v>
          </cell>
          <cell r="C25">
            <v>18681</v>
          </cell>
          <cell r="E25" t="str">
            <v>CHILDREN'S BUREAU OF SOUTHERN CALIFORNIA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I25">
            <v>0</v>
          </cell>
          <cell r="BK25">
            <v>0</v>
          </cell>
          <cell r="BM25">
            <v>0</v>
          </cell>
          <cell r="BN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A26">
            <v>18701</v>
          </cell>
          <cell r="B26">
            <v>3</v>
          </cell>
          <cell r="C26">
            <v>18701</v>
          </cell>
          <cell r="E26" t="str">
            <v>FOOTHILL FAMILY SERVICE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I26">
            <v>0</v>
          </cell>
          <cell r="BK26">
            <v>0</v>
          </cell>
          <cell r="BM26">
            <v>0</v>
          </cell>
          <cell r="BN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</row>
        <row r="27">
          <cell r="A27">
            <v>20466</v>
          </cell>
          <cell r="B27" t="str">
            <v>7 &amp; 8</v>
          </cell>
          <cell r="C27">
            <v>20466</v>
          </cell>
          <cell r="E27" t="str">
            <v xml:space="preserve">BARBOUR AND FLOYD MEDICAL ASSOCIATES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G27">
            <v>0</v>
          </cell>
          <cell r="BH27">
            <v>120000</v>
          </cell>
          <cell r="BI27">
            <v>120000</v>
          </cell>
          <cell r="BK27">
            <v>0</v>
          </cell>
          <cell r="BL27">
            <v>11134</v>
          </cell>
          <cell r="BM27">
            <v>11100</v>
          </cell>
          <cell r="BN27">
            <v>131100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C27">
            <v>0</v>
          </cell>
          <cell r="CD27">
            <v>120000</v>
          </cell>
          <cell r="CE27">
            <v>0</v>
          </cell>
          <cell r="CF27">
            <v>11100</v>
          </cell>
          <cell r="CG27">
            <v>0</v>
          </cell>
          <cell r="CH27">
            <v>0</v>
          </cell>
          <cell r="CI27">
            <v>0</v>
          </cell>
          <cell r="CJ27">
            <v>131100</v>
          </cell>
        </row>
        <row r="28">
          <cell r="A28">
            <v>20470</v>
          </cell>
          <cell r="B28">
            <v>3</v>
          </cell>
          <cell r="C28">
            <v>20470</v>
          </cell>
          <cell r="E28" t="str">
            <v>LOS ANGELES UNIFIED SCHOOL DISTRICT (97TH SCHOOL)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G28">
            <v>0</v>
          </cell>
          <cell r="BI28">
            <v>0</v>
          </cell>
          <cell r="BK28">
            <v>0</v>
          </cell>
          <cell r="BM28">
            <v>0</v>
          </cell>
          <cell r="BN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29">
          <cell r="A29">
            <v>20486</v>
          </cell>
          <cell r="B29">
            <v>4</v>
          </cell>
          <cell r="C29">
            <v>20486</v>
          </cell>
          <cell r="E29" t="str">
            <v>HAMBURGER HOME (dba AVIVA CENTER)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G29">
            <v>0</v>
          </cell>
          <cell r="BI29">
            <v>0</v>
          </cell>
          <cell r="BK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</row>
        <row r="30">
          <cell r="A30">
            <v>20906</v>
          </cell>
          <cell r="B30">
            <v>4</v>
          </cell>
          <cell r="C30">
            <v>20906</v>
          </cell>
          <cell r="E30" t="str">
            <v>INTERCOMMUNITY CHILD GUIDANCE CTR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I30">
            <v>0</v>
          </cell>
          <cell r="BK30">
            <v>0</v>
          </cell>
          <cell r="BM30">
            <v>0</v>
          </cell>
          <cell r="BN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</row>
        <row r="31">
          <cell r="A31">
            <v>20961</v>
          </cell>
          <cell r="B31">
            <v>3</v>
          </cell>
          <cell r="C31">
            <v>20961</v>
          </cell>
          <cell r="E31" t="str">
            <v>SUNBRIDGE HARBOR VIEW REHAB CTR, INC. (FORMELY HARBOR VIEW)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I31">
            <v>0</v>
          </cell>
          <cell r="BK31">
            <v>0</v>
          </cell>
          <cell r="BM31">
            <v>0</v>
          </cell>
          <cell r="BN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</row>
        <row r="32">
          <cell r="A32">
            <v>20966</v>
          </cell>
          <cell r="B32" t="str">
            <v>ADJH</v>
          </cell>
          <cell r="C32">
            <v>20966</v>
          </cell>
          <cell r="E32" t="str">
            <v>HOMES FOR LIFE FOUNDATION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88000</v>
          </cell>
          <cell r="BI32">
            <v>88000</v>
          </cell>
          <cell r="BK32">
            <v>0</v>
          </cell>
          <cell r="BL32">
            <v>6190</v>
          </cell>
          <cell r="BM32">
            <v>6200</v>
          </cell>
          <cell r="BN32">
            <v>94200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C32">
            <v>0</v>
          </cell>
          <cell r="CD32">
            <v>88000</v>
          </cell>
          <cell r="CE32">
            <v>0</v>
          </cell>
          <cell r="CF32">
            <v>6200</v>
          </cell>
          <cell r="CG32">
            <v>0</v>
          </cell>
          <cell r="CH32">
            <v>0</v>
          </cell>
          <cell r="CI32">
            <v>0</v>
          </cell>
          <cell r="CJ32">
            <v>94200</v>
          </cell>
        </row>
        <row r="33">
          <cell r="A33">
            <v>21526</v>
          </cell>
          <cell r="B33">
            <v>4</v>
          </cell>
          <cell r="C33">
            <v>21526</v>
          </cell>
          <cell r="E33" t="str">
            <v>ASC TREATMENT GROUP DBA THE ANNE SIPPI CLINIC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I33">
            <v>0</v>
          </cell>
          <cell r="BK33">
            <v>0</v>
          </cell>
          <cell r="BM33">
            <v>0</v>
          </cell>
          <cell r="BN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</row>
        <row r="34">
          <cell r="A34">
            <v>21527</v>
          </cell>
          <cell r="B34" t="str">
            <v>7 &amp; 8</v>
          </cell>
          <cell r="C34">
            <v>21527</v>
          </cell>
          <cell r="E34" t="str">
            <v>COLLEGE HOSPITAL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I34">
            <v>0</v>
          </cell>
          <cell r="BK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</row>
        <row r="35">
          <cell r="A35">
            <v>21528</v>
          </cell>
          <cell r="B35" t="str">
            <v>1, 2 &amp; 5</v>
          </cell>
          <cell r="C35">
            <v>21528</v>
          </cell>
          <cell r="E35" t="str">
            <v>TOPANGA-ROSCOE CORP (TOPANGA WEST GUEST HOME)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4426</v>
          </cell>
          <cell r="U35">
            <v>4400</v>
          </cell>
          <cell r="V35">
            <v>0</v>
          </cell>
          <cell r="W35">
            <v>0</v>
          </cell>
          <cell r="X35">
            <v>50901</v>
          </cell>
          <cell r="Y35">
            <v>50900</v>
          </cell>
          <cell r="Z35">
            <v>55300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I35">
            <v>0</v>
          </cell>
          <cell r="BK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C35">
            <v>0</v>
          </cell>
          <cell r="CD35">
            <v>4400</v>
          </cell>
          <cell r="CE35">
            <v>0</v>
          </cell>
          <cell r="CF35">
            <v>50900</v>
          </cell>
          <cell r="CG35">
            <v>0</v>
          </cell>
          <cell r="CH35">
            <v>0</v>
          </cell>
          <cell r="CI35">
            <v>0</v>
          </cell>
          <cell r="CJ35">
            <v>55300</v>
          </cell>
        </row>
        <row r="36">
          <cell r="A36">
            <v>21568</v>
          </cell>
          <cell r="B36">
            <v>6</v>
          </cell>
          <cell r="C36">
            <v>21568</v>
          </cell>
          <cell r="E36" t="str">
            <v>ST. FRANCIS MEDICAL CENTER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I36">
            <v>0</v>
          </cell>
          <cell r="BK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</row>
        <row r="37">
          <cell r="A37">
            <v>21569</v>
          </cell>
          <cell r="B37">
            <v>4</v>
          </cell>
          <cell r="C37">
            <v>21569</v>
          </cell>
          <cell r="E37" t="str">
            <v>OPTIMIST BOYS' HOME &amp; RANCH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I37">
            <v>0</v>
          </cell>
          <cell r="BK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</row>
        <row r="38">
          <cell r="A38">
            <v>21570</v>
          </cell>
          <cell r="B38" t="str">
            <v>7 &amp; 8</v>
          </cell>
          <cell r="C38">
            <v>21570</v>
          </cell>
          <cell r="E38" t="str">
            <v>COUNSELING &amp; RESEARCH ASSO. INC., (dba MASADA HOMES)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I38">
            <v>0</v>
          </cell>
          <cell r="BK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39">
          <cell r="A39">
            <v>21571</v>
          </cell>
          <cell r="B39">
            <v>3</v>
          </cell>
          <cell r="C39">
            <v>21571</v>
          </cell>
          <cell r="E39" t="str">
            <v>EASTFIELD MING QUONG, INC. (FORMELY LA ORPHANS)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I39">
            <v>0</v>
          </cell>
          <cell r="BK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</row>
        <row r="40">
          <cell r="A40">
            <v>21573</v>
          </cell>
          <cell r="B40">
            <v>3</v>
          </cell>
          <cell r="C40">
            <v>21573</v>
          </cell>
          <cell r="E40" t="str">
            <v>PHOENIX HOUSES OF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I40">
            <v>0</v>
          </cell>
          <cell r="BK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</row>
        <row r="41">
          <cell r="A41">
            <v>21574</v>
          </cell>
          <cell r="B41">
            <v>3</v>
          </cell>
          <cell r="C41">
            <v>21574</v>
          </cell>
          <cell r="E41" t="str">
            <v>D' VEAL CORP. (dva D'VEAL FAMILY AND YOUTH SVCS)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I41">
            <v>0</v>
          </cell>
          <cell r="BK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</row>
        <row r="42">
          <cell r="A42">
            <v>21575</v>
          </cell>
          <cell r="B42" t="str">
            <v>7 &amp; 8</v>
          </cell>
          <cell r="C42">
            <v>21575</v>
          </cell>
          <cell r="E42" t="str">
            <v>CHILDNET YOUTH &amp; FAMILY SERVICES, INC.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I42">
            <v>0</v>
          </cell>
          <cell r="BK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</row>
        <row r="43">
          <cell r="A43">
            <v>23100</v>
          </cell>
          <cell r="B43">
            <v>4</v>
          </cell>
          <cell r="C43">
            <v>23100</v>
          </cell>
          <cell r="E43" t="str">
            <v>AIDS PROJECT LOS ANGELES, INC.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I43">
            <v>0</v>
          </cell>
          <cell r="BK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</row>
        <row r="44">
          <cell r="A44">
            <v>23101</v>
          </cell>
          <cell r="B44" t="str">
            <v>1, 2 &amp; 5</v>
          </cell>
          <cell r="C44">
            <v>23101</v>
          </cell>
          <cell r="E44" t="str">
            <v>EXCEPTIONAL CHILDREN'S FOUNDATION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</row>
        <row r="45">
          <cell r="A45">
            <v>23103</v>
          </cell>
          <cell r="B45" t="str">
            <v>7 &amp; 8</v>
          </cell>
          <cell r="C45">
            <v>23103</v>
          </cell>
          <cell r="E45" t="str">
            <v>ASSOC. LEAGUE OF MEXICAN AMERICAN DBA ALMA FAMILY SVCS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I45">
            <v>0</v>
          </cell>
          <cell r="BJ45">
            <v>6498</v>
          </cell>
          <cell r="BK45">
            <v>6500</v>
          </cell>
          <cell r="BL45">
            <v>123461</v>
          </cell>
          <cell r="BM45">
            <v>123500</v>
          </cell>
          <cell r="BN45">
            <v>130000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C45">
            <v>0</v>
          </cell>
          <cell r="CD45">
            <v>0</v>
          </cell>
          <cell r="CE45">
            <v>6500</v>
          </cell>
          <cell r="CF45">
            <v>123500</v>
          </cell>
          <cell r="CG45">
            <v>0</v>
          </cell>
          <cell r="CH45">
            <v>0</v>
          </cell>
          <cell r="CI45">
            <v>0</v>
          </cell>
          <cell r="CJ45">
            <v>130000</v>
          </cell>
        </row>
        <row r="46">
          <cell r="A46">
            <v>23105</v>
          </cell>
          <cell r="B46">
            <v>3</v>
          </cell>
          <cell r="C46">
            <v>23105</v>
          </cell>
          <cell r="E46" t="str">
            <v xml:space="preserve">BRASWELL REHAB INST FOR DEV. OF GROWTH (dba BRIDGES)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100000</v>
          </cell>
          <cell r="U46">
            <v>100000</v>
          </cell>
          <cell r="V46">
            <v>0</v>
          </cell>
          <cell r="W46">
            <v>0</v>
          </cell>
          <cell r="X46">
            <v>130241</v>
          </cell>
          <cell r="Y46">
            <v>130200</v>
          </cell>
          <cell r="Z46">
            <v>230200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C46">
            <v>0</v>
          </cell>
          <cell r="CD46">
            <v>100000</v>
          </cell>
          <cell r="CE46">
            <v>0</v>
          </cell>
          <cell r="CF46">
            <v>130200</v>
          </cell>
          <cell r="CG46">
            <v>0</v>
          </cell>
          <cell r="CH46">
            <v>0</v>
          </cell>
          <cell r="CI46">
            <v>0</v>
          </cell>
          <cell r="CJ46">
            <v>230200</v>
          </cell>
        </row>
        <row r="47">
          <cell r="A47">
            <v>23106</v>
          </cell>
          <cell r="B47" t="str">
            <v>1,2 &amp; 5</v>
          </cell>
          <cell r="C47">
            <v>23106</v>
          </cell>
          <cell r="E47" t="str">
            <v>ALCOTT CENTER FOR MH  SERVICES(Beverlywood)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176464</v>
          </cell>
          <cell r="BI47">
            <v>176500</v>
          </cell>
          <cell r="BJ47">
            <v>2000</v>
          </cell>
          <cell r="BK47">
            <v>2000</v>
          </cell>
          <cell r="BM47">
            <v>0</v>
          </cell>
          <cell r="BN47">
            <v>178500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0</v>
          </cell>
          <cell r="CD47">
            <v>176500</v>
          </cell>
          <cell r="CE47">
            <v>2000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178500</v>
          </cell>
        </row>
        <row r="48">
          <cell r="A48">
            <v>23108</v>
          </cell>
          <cell r="B48" t="str">
            <v>7 &amp; 8</v>
          </cell>
          <cell r="C48">
            <v>23108</v>
          </cell>
          <cell r="E48" t="str">
            <v xml:space="preserve">FOR THE CHILD, INC. 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I48">
            <v>0</v>
          </cell>
          <cell r="BK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</row>
        <row r="49">
          <cell r="A49">
            <v>23109</v>
          </cell>
          <cell r="B49">
            <v>4</v>
          </cell>
          <cell r="C49">
            <v>23109</v>
          </cell>
          <cell r="E49" t="str">
            <v>CEDARS-SINAI MEDICAL CENTER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I49">
            <v>0</v>
          </cell>
          <cell r="BK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</row>
        <row r="50">
          <cell r="A50">
            <v>23112</v>
          </cell>
          <cell r="B50">
            <v>4</v>
          </cell>
          <cell r="C50">
            <v>23112</v>
          </cell>
          <cell r="E50" t="str">
            <v>CHILDREN'S HOSPITAL OF LOS ANGELES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I50">
            <v>0</v>
          </cell>
          <cell r="BK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</row>
        <row r="51">
          <cell r="A51">
            <v>23113</v>
          </cell>
          <cell r="B51" t="str">
            <v>7 &amp; 8</v>
          </cell>
          <cell r="C51">
            <v>23113</v>
          </cell>
          <cell r="E51" t="str">
            <v>CITY OF GARDENA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I51">
            <v>0</v>
          </cell>
          <cell r="BK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2">
          <cell r="A52">
            <v>23114</v>
          </cell>
          <cell r="B52">
            <v>4</v>
          </cell>
          <cell r="C52">
            <v>23114</v>
          </cell>
          <cell r="E52" t="str">
            <v>COMMUNITY FAMILY GUIDANCE CENTER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I52">
            <v>0</v>
          </cell>
          <cell r="BK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</row>
        <row r="53">
          <cell r="A53">
            <v>23116</v>
          </cell>
          <cell r="B53" t="str">
            <v>1, 2 &amp; 5</v>
          </cell>
          <cell r="C53">
            <v>23116</v>
          </cell>
          <cell r="E53" t="str">
            <v xml:space="preserve">DIDI HIRSCH PSYCHIATRIC SERVICE </v>
          </cell>
          <cell r="F53">
            <v>0</v>
          </cell>
          <cell r="G53">
            <v>0</v>
          </cell>
          <cell r="H53">
            <v>868600</v>
          </cell>
          <cell r="I53">
            <v>868600</v>
          </cell>
          <cell r="J53">
            <v>435694</v>
          </cell>
          <cell r="K53">
            <v>435700</v>
          </cell>
          <cell r="L53">
            <v>401191</v>
          </cell>
          <cell r="M53">
            <v>401200</v>
          </cell>
          <cell r="N53">
            <v>0</v>
          </cell>
          <cell r="O53">
            <v>0</v>
          </cell>
          <cell r="P53">
            <v>1705500</v>
          </cell>
          <cell r="R53">
            <v>0</v>
          </cell>
          <cell r="S53">
            <v>0</v>
          </cell>
          <cell r="T53">
            <v>234644</v>
          </cell>
          <cell r="U53">
            <v>234600</v>
          </cell>
          <cell r="V53">
            <v>0</v>
          </cell>
          <cell r="W53">
            <v>0</v>
          </cell>
          <cell r="X53">
            <v>175699</v>
          </cell>
          <cell r="Y53">
            <v>175700</v>
          </cell>
          <cell r="Z53">
            <v>410300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218894</v>
          </cell>
          <cell r="BI53">
            <v>218900</v>
          </cell>
          <cell r="BK53">
            <v>0</v>
          </cell>
          <cell r="BL53">
            <v>24322</v>
          </cell>
          <cell r="BM53">
            <v>24300</v>
          </cell>
          <cell r="BN53">
            <v>243200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1322100</v>
          </cell>
          <cell r="CE53">
            <v>435700</v>
          </cell>
          <cell r="CF53">
            <v>601200</v>
          </cell>
          <cell r="CG53">
            <v>0</v>
          </cell>
          <cell r="CH53">
            <v>0</v>
          </cell>
          <cell r="CI53">
            <v>0</v>
          </cell>
          <cell r="CJ53">
            <v>2359000</v>
          </cell>
        </row>
        <row r="54">
          <cell r="A54">
            <v>23118</v>
          </cell>
          <cell r="B54">
            <v>3</v>
          </cell>
          <cell r="C54">
            <v>23118</v>
          </cell>
          <cell r="E54" t="str">
            <v>DUBNOFF CENTER FOR CHILD DEV &amp; EDU THERAPY,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I54">
            <v>0</v>
          </cell>
          <cell r="BK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</row>
        <row r="55">
          <cell r="A55">
            <v>23119</v>
          </cell>
          <cell r="B55">
            <v>3</v>
          </cell>
          <cell r="C55">
            <v>23119</v>
          </cell>
          <cell r="E55" t="str">
            <v>EL CENTRO DE AMISTAD, INC.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I55">
            <v>0</v>
          </cell>
          <cell r="BK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</row>
        <row r="56">
          <cell r="A56">
            <v>27492</v>
          </cell>
          <cell r="B56" t="str">
            <v>6 &amp; 8</v>
          </cell>
          <cell r="C56">
            <v>27492</v>
          </cell>
          <cell r="E56" t="str">
            <v xml:space="preserve">FH &amp; HF TORRANCE I, LLC C/O HEALTH QUALITY MANAGEMENT 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I56">
            <v>0</v>
          </cell>
          <cell r="BK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</row>
        <row r="57">
          <cell r="A57">
            <v>23122</v>
          </cell>
          <cell r="B57">
            <v>4</v>
          </cell>
          <cell r="C57">
            <v>23122</v>
          </cell>
          <cell r="E57" t="str">
            <v xml:space="preserve">ENKI HEALTH AND RESEARCH SYSTEMS, INC. </v>
          </cell>
          <cell r="F57">
            <v>0</v>
          </cell>
          <cell r="G57">
            <v>0</v>
          </cell>
          <cell r="H57">
            <v>565078</v>
          </cell>
          <cell r="I57">
            <v>565100</v>
          </cell>
          <cell r="J57">
            <v>303447</v>
          </cell>
          <cell r="K57">
            <v>303400</v>
          </cell>
          <cell r="L57">
            <v>288618</v>
          </cell>
          <cell r="M57">
            <v>288600</v>
          </cell>
          <cell r="N57">
            <v>0</v>
          </cell>
          <cell r="O57">
            <v>0</v>
          </cell>
          <cell r="P57">
            <v>1157100</v>
          </cell>
          <cell r="R57">
            <v>0</v>
          </cell>
          <cell r="S57">
            <v>0</v>
          </cell>
          <cell r="T57">
            <v>369500</v>
          </cell>
          <cell r="U57">
            <v>369500</v>
          </cell>
          <cell r="V57">
            <v>0</v>
          </cell>
          <cell r="W57">
            <v>0</v>
          </cell>
          <cell r="X57">
            <v>807833</v>
          </cell>
          <cell r="Y57">
            <v>807800</v>
          </cell>
          <cell r="Z57">
            <v>1177300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400000</v>
          </cell>
          <cell r="BI57">
            <v>400000</v>
          </cell>
          <cell r="BJ57">
            <v>21700</v>
          </cell>
          <cell r="BK57">
            <v>21700</v>
          </cell>
          <cell r="BL57">
            <v>212300</v>
          </cell>
          <cell r="BM57">
            <v>212300</v>
          </cell>
          <cell r="BN57">
            <v>634000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1334600</v>
          </cell>
          <cell r="CE57">
            <v>325100</v>
          </cell>
          <cell r="CF57">
            <v>1308700</v>
          </cell>
          <cell r="CG57">
            <v>0</v>
          </cell>
          <cell r="CH57">
            <v>0</v>
          </cell>
          <cell r="CI57">
            <v>0</v>
          </cell>
          <cell r="CJ57">
            <v>2968400</v>
          </cell>
        </row>
        <row r="58">
          <cell r="A58">
            <v>23123</v>
          </cell>
          <cell r="B58">
            <v>4</v>
          </cell>
          <cell r="C58">
            <v>23123</v>
          </cell>
          <cell r="E58" t="str">
            <v>FILIPINO-AMERICAN SERVICE GROUP, INC.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I58">
            <v>0</v>
          </cell>
          <cell r="BK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</row>
        <row r="59">
          <cell r="A59">
            <v>23125</v>
          </cell>
          <cell r="B59">
            <v>6</v>
          </cell>
          <cell r="C59">
            <v>23125</v>
          </cell>
          <cell r="E59" t="str">
            <v>1736 FAMILY CRISIS CENTER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I59">
            <v>0</v>
          </cell>
          <cell r="BK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</row>
        <row r="60">
          <cell r="A60">
            <v>23128</v>
          </cell>
          <cell r="B60">
            <v>4</v>
          </cell>
          <cell r="C60">
            <v>23128</v>
          </cell>
          <cell r="E60" t="str">
            <v xml:space="preserve">GATEWAYS HOSPITAL &amp; MHC 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24133</v>
          </cell>
          <cell r="Y60">
            <v>24100</v>
          </cell>
          <cell r="Z60">
            <v>24100</v>
          </cell>
          <cell r="AB60">
            <v>0</v>
          </cell>
          <cell r="AC60">
            <v>0</v>
          </cell>
          <cell r="AD60">
            <v>2747500</v>
          </cell>
          <cell r="AE60">
            <v>2747500</v>
          </cell>
          <cell r="AF60">
            <v>0</v>
          </cell>
          <cell r="AG60">
            <v>0</v>
          </cell>
          <cell r="AH60">
            <v>761250</v>
          </cell>
          <cell r="AI60">
            <v>761300</v>
          </cell>
          <cell r="AJ60">
            <v>3508800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I60">
            <v>0</v>
          </cell>
          <cell r="BK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C60">
            <v>0</v>
          </cell>
          <cell r="CD60">
            <v>2747500</v>
          </cell>
          <cell r="CE60">
            <v>0</v>
          </cell>
          <cell r="CF60">
            <v>785400</v>
          </cell>
          <cell r="CG60">
            <v>0</v>
          </cell>
          <cell r="CH60">
            <v>0</v>
          </cell>
          <cell r="CI60">
            <v>0</v>
          </cell>
          <cell r="CJ60">
            <v>3532900</v>
          </cell>
        </row>
        <row r="61">
          <cell r="A61">
            <v>23132</v>
          </cell>
          <cell r="B61">
            <v>3</v>
          </cell>
          <cell r="C61">
            <v>23132</v>
          </cell>
          <cell r="E61" t="str">
            <v>HATHAWAY SYCAMORES CHILD &amp; FAMILY SERVICES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I61">
            <v>0</v>
          </cell>
          <cell r="BK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2">
          <cell r="A62">
            <v>23133</v>
          </cell>
          <cell r="B62" t="str">
            <v>1, 2 &amp; 5</v>
          </cell>
          <cell r="C62">
            <v>23133</v>
          </cell>
          <cell r="E62" t="str">
            <v>HILLVIEW MENTAL HEALTH CENTER,  INC.</v>
          </cell>
          <cell r="F62">
            <v>0</v>
          </cell>
          <cell r="G62">
            <v>0</v>
          </cell>
          <cell r="H62">
            <v>770100</v>
          </cell>
          <cell r="I62">
            <v>770100</v>
          </cell>
          <cell r="J62">
            <v>475396</v>
          </cell>
          <cell r="K62">
            <v>475400</v>
          </cell>
          <cell r="L62">
            <v>417205</v>
          </cell>
          <cell r="M62">
            <v>417200</v>
          </cell>
          <cell r="N62">
            <v>0</v>
          </cell>
          <cell r="O62">
            <v>0</v>
          </cell>
          <cell r="P62">
            <v>1662700</v>
          </cell>
          <cell r="R62">
            <v>0</v>
          </cell>
          <cell r="S62">
            <v>0</v>
          </cell>
          <cell r="T62">
            <v>419000</v>
          </cell>
          <cell r="U62">
            <v>419000</v>
          </cell>
          <cell r="V62">
            <v>0</v>
          </cell>
          <cell r="W62">
            <v>0</v>
          </cell>
          <cell r="X62">
            <v>359500</v>
          </cell>
          <cell r="Y62">
            <v>359500</v>
          </cell>
          <cell r="Z62">
            <v>778500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50844</v>
          </cell>
          <cell r="BI62">
            <v>50800</v>
          </cell>
          <cell r="BK62">
            <v>0</v>
          </cell>
          <cell r="BL62">
            <v>100000</v>
          </cell>
          <cell r="BM62">
            <v>100000</v>
          </cell>
          <cell r="BN62">
            <v>150800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C62">
            <v>0</v>
          </cell>
          <cell r="CD62">
            <v>1239900</v>
          </cell>
          <cell r="CE62">
            <v>475400</v>
          </cell>
          <cell r="CF62">
            <v>876700</v>
          </cell>
          <cell r="CG62">
            <v>0</v>
          </cell>
          <cell r="CH62">
            <v>0</v>
          </cell>
          <cell r="CI62">
            <v>0</v>
          </cell>
          <cell r="CJ62">
            <v>2592000</v>
          </cell>
        </row>
        <row r="63">
          <cell r="A63">
            <v>23134</v>
          </cell>
          <cell r="B63">
            <v>4</v>
          </cell>
          <cell r="C63">
            <v>23134</v>
          </cell>
          <cell r="E63" t="str">
            <v>CLONTARF MANOR INC.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0</v>
          </cell>
          <cell r="BH63">
            <v>98774</v>
          </cell>
          <cell r="BI63">
            <v>98800</v>
          </cell>
          <cell r="BJ63">
            <v>3049</v>
          </cell>
          <cell r="BK63">
            <v>3000</v>
          </cell>
          <cell r="BL63">
            <v>47251</v>
          </cell>
          <cell r="BM63">
            <v>47300</v>
          </cell>
          <cell r="BN63">
            <v>149100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C63">
            <v>0</v>
          </cell>
          <cell r="CD63">
            <v>98800</v>
          </cell>
          <cell r="CE63">
            <v>3000</v>
          </cell>
          <cell r="CF63">
            <v>47300</v>
          </cell>
          <cell r="CG63">
            <v>0</v>
          </cell>
          <cell r="CH63">
            <v>0</v>
          </cell>
          <cell r="CI63">
            <v>0</v>
          </cell>
          <cell r="CJ63">
            <v>149100</v>
          </cell>
        </row>
        <row r="64">
          <cell r="A64">
            <v>23135</v>
          </cell>
          <cell r="B64">
            <v>3</v>
          </cell>
          <cell r="C64">
            <v>23135</v>
          </cell>
          <cell r="E64" t="str">
            <v xml:space="preserve">HILLSIDES (FORMERLY CHURCH HOME FOR CHILDREN) 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0</v>
          </cell>
          <cell r="BI64">
            <v>0</v>
          </cell>
          <cell r="BK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</row>
        <row r="65">
          <cell r="A65">
            <v>23136</v>
          </cell>
          <cell r="B65">
            <v>6</v>
          </cell>
          <cell r="C65">
            <v>23136</v>
          </cell>
          <cell r="E65" t="str">
            <v xml:space="preserve">KEDREN COMMUNITY HEALTH CENTER, INC. DBA KEDREN </v>
          </cell>
          <cell r="F65">
            <v>0</v>
          </cell>
          <cell r="G65">
            <v>0</v>
          </cell>
          <cell r="H65">
            <v>580514</v>
          </cell>
          <cell r="I65">
            <v>580500</v>
          </cell>
          <cell r="J65">
            <v>376517</v>
          </cell>
          <cell r="K65">
            <v>376500</v>
          </cell>
          <cell r="L65">
            <v>322889</v>
          </cell>
          <cell r="M65">
            <v>322900</v>
          </cell>
          <cell r="N65">
            <v>0</v>
          </cell>
          <cell r="O65">
            <v>0</v>
          </cell>
          <cell r="P65">
            <v>1279900</v>
          </cell>
          <cell r="R65">
            <v>0</v>
          </cell>
          <cell r="S65">
            <v>0</v>
          </cell>
          <cell r="T65">
            <v>1017014</v>
          </cell>
          <cell r="U65">
            <v>1017000</v>
          </cell>
          <cell r="V65">
            <v>0</v>
          </cell>
          <cell r="W65">
            <v>0</v>
          </cell>
          <cell r="X65">
            <v>113723</v>
          </cell>
          <cell r="Y65">
            <v>113700</v>
          </cell>
          <cell r="Z65">
            <v>1130700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0</v>
          </cell>
          <cell r="BI65">
            <v>0</v>
          </cell>
          <cell r="BK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C65">
            <v>0</v>
          </cell>
          <cell r="CD65">
            <v>1597500</v>
          </cell>
          <cell r="CE65">
            <v>376500</v>
          </cell>
          <cell r="CF65">
            <v>436600</v>
          </cell>
          <cell r="CG65">
            <v>0</v>
          </cell>
          <cell r="CH65">
            <v>0</v>
          </cell>
          <cell r="CI65">
            <v>0</v>
          </cell>
          <cell r="CJ65">
            <v>2410600</v>
          </cell>
        </row>
        <row r="66">
          <cell r="A66">
            <v>23137</v>
          </cell>
          <cell r="B66">
            <v>4</v>
          </cell>
          <cell r="C66">
            <v>23137</v>
          </cell>
          <cell r="E66" t="str">
            <v>KOREATOWN YOUTH &amp; COMMUNITY CENTER, INC.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I66">
            <v>0</v>
          </cell>
          <cell r="BK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</row>
        <row r="67">
          <cell r="A67">
            <v>23138</v>
          </cell>
          <cell r="B67" t="str">
            <v>1,2 &amp; 5</v>
          </cell>
          <cell r="C67">
            <v>23138</v>
          </cell>
          <cell r="E67" t="str">
            <v xml:space="preserve">THE HELP GROUP C&amp;F CTR (FORMELY LA CTR FOR THERAPY &amp; ED) 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I67">
            <v>0</v>
          </cell>
          <cell r="BK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</row>
        <row r="68">
          <cell r="A68">
            <v>23141</v>
          </cell>
          <cell r="B68" t="str">
            <v>7 &amp; 8</v>
          </cell>
          <cell r="C68">
            <v>23141</v>
          </cell>
          <cell r="E68" t="str">
            <v>LOS ANGELES CHILD GUIDANCE CLINIC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I68">
            <v>0</v>
          </cell>
          <cell r="BK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69">
          <cell r="A69">
            <v>23142</v>
          </cell>
          <cell r="B69">
            <v>4</v>
          </cell>
          <cell r="C69">
            <v>23142</v>
          </cell>
          <cell r="E69" t="str">
            <v>LOS ANGELES GAY &amp; LESBIAN COMMUNITY SVCS CTR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0</v>
          </cell>
          <cell r="BI69">
            <v>0</v>
          </cell>
          <cell r="BK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A70">
            <v>23143</v>
          </cell>
          <cell r="B70">
            <v>4</v>
          </cell>
          <cell r="C70">
            <v>23143</v>
          </cell>
          <cell r="E70" t="str">
            <v xml:space="preserve">LAMP INC.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507600</v>
          </cell>
          <cell r="U70">
            <v>507600</v>
          </cell>
          <cell r="V70">
            <v>0</v>
          </cell>
          <cell r="W70">
            <v>0</v>
          </cell>
          <cell r="X70">
            <v>250000</v>
          </cell>
          <cell r="Y70">
            <v>250000</v>
          </cell>
          <cell r="Z70">
            <v>757600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0</v>
          </cell>
          <cell r="BI70">
            <v>0</v>
          </cell>
          <cell r="BK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C70">
            <v>0</v>
          </cell>
          <cell r="CD70">
            <v>507600</v>
          </cell>
          <cell r="CE70">
            <v>0</v>
          </cell>
          <cell r="CF70">
            <v>250000</v>
          </cell>
          <cell r="CG70">
            <v>0</v>
          </cell>
          <cell r="CH70">
            <v>0</v>
          </cell>
          <cell r="CI70">
            <v>0</v>
          </cell>
          <cell r="CJ70">
            <v>757600</v>
          </cell>
        </row>
        <row r="71">
          <cell r="A71">
            <v>23146</v>
          </cell>
          <cell r="B71" t="str">
            <v>7 &amp; 8</v>
          </cell>
          <cell r="C71">
            <v>23146</v>
          </cell>
          <cell r="E71" t="str">
            <v>MENTAL HEALTH AMERICA OF LOS ANGELES</v>
          </cell>
          <cell r="F71">
            <v>0</v>
          </cell>
          <cell r="G71">
            <v>0</v>
          </cell>
          <cell r="H71">
            <v>4443314</v>
          </cell>
          <cell r="I71">
            <v>4443300</v>
          </cell>
          <cell r="J71">
            <v>147257</v>
          </cell>
          <cell r="K71">
            <v>147300</v>
          </cell>
          <cell r="L71">
            <v>245823</v>
          </cell>
          <cell r="M71">
            <v>245800</v>
          </cell>
          <cell r="N71">
            <v>0</v>
          </cell>
          <cell r="O71">
            <v>0</v>
          </cell>
          <cell r="P71">
            <v>4836400</v>
          </cell>
          <cell r="R71">
            <v>0</v>
          </cell>
          <cell r="S71">
            <v>0</v>
          </cell>
          <cell r="T71">
            <v>1651000</v>
          </cell>
          <cell r="U71">
            <v>1651000</v>
          </cell>
          <cell r="V71">
            <v>0</v>
          </cell>
          <cell r="W71">
            <v>0</v>
          </cell>
          <cell r="X71">
            <v>3309450</v>
          </cell>
          <cell r="Y71">
            <v>3309500</v>
          </cell>
          <cell r="Z71">
            <v>4960500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0</v>
          </cell>
          <cell r="BI71">
            <v>0</v>
          </cell>
          <cell r="BK71">
            <v>0</v>
          </cell>
          <cell r="BL71">
            <v>110030</v>
          </cell>
          <cell r="BM71">
            <v>110000</v>
          </cell>
          <cell r="BN71">
            <v>110000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C71">
            <v>0</v>
          </cell>
          <cell r="CD71">
            <v>6094300</v>
          </cell>
          <cell r="CE71">
            <v>147300</v>
          </cell>
          <cell r="CF71">
            <v>3665300</v>
          </cell>
          <cell r="CG71">
            <v>0</v>
          </cell>
          <cell r="CH71">
            <v>0</v>
          </cell>
          <cell r="CI71">
            <v>0</v>
          </cell>
          <cell r="CJ71">
            <v>9906900</v>
          </cell>
        </row>
        <row r="72">
          <cell r="A72">
            <v>23149</v>
          </cell>
          <cell r="B72">
            <v>3</v>
          </cell>
          <cell r="C72">
            <v>23149</v>
          </cell>
          <cell r="E72" t="str">
            <v xml:space="preserve">PENNY LANE CENTERS (NATIONAL FOUNDATION TREATMENT) 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I72">
            <v>0</v>
          </cell>
          <cell r="BK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</row>
        <row r="73">
          <cell r="A73">
            <v>23151</v>
          </cell>
          <cell r="B73" t="str">
            <v>1, 2 &amp; 5</v>
          </cell>
          <cell r="C73">
            <v>23151</v>
          </cell>
          <cell r="E73" t="str">
            <v>OCEAN PARK COMMUNITY CENTER (McKinney)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I73">
            <v>0</v>
          </cell>
          <cell r="BK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A74">
            <v>23153</v>
          </cell>
          <cell r="B74">
            <v>3</v>
          </cell>
          <cell r="C74">
            <v>23153</v>
          </cell>
          <cell r="E74" t="str">
            <v xml:space="preserve">PACIFIC CLINICS </v>
          </cell>
          <cell r="F74">
            <v>0</v>
          </cell>
          <cell r="G74">
            <v>0</v>
          </cell>
          <cell r="H74">
            <v>3466868</v>
          </cell>
          <cell r="I74">
            <v>3466900</v>
          </cell>
          <cell r="J74">
            <v>2259600</v>
          </cell>
          <cell r="K74">
            <v>2259600</v>
          </cell>
          <cell r="L74">
            <v>1955968</v>
          </cell>
          <cell r="M74">
            <v>1956000</v>
          </cell>
          <cell r="N74">
            <v>0</v>
          </cell>
          <cell r="O74">
            <v>0</v>
          </cell>
          <cell r="P74">
            <v>7682500</v>
          </cell>
          <cell r="R74">
            <v>0</v>
          </cell>
          <cell r="S74">
            <v>0</v>
          </cell>
          <cell r="T74">
            <v>700000</v>
          </cell>
          <cell r="U74">
            <v>700000</v>
          </cell>
          <cell r="V74">
            <v>0</v>
          </cell>
          <cell r="W74">
            <v>0</v>
          </cell>
          <cell r="X74">
            <v>1688423</v>
          </cell>
          <cell r="Y74">
            <v>1688400</v>
          </cell>
          <cell r="Z74">
            <v>2388400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I74">
            <v>0</v>
          </cell>
          <cell r="BK74">
            <v>0</v>
          </cell>
          <cell r="BL74">
            <v>1722381</v>
          </cell>
          <cell r="BM74">
            <v>1722400</v>
          </cell>
          <cell r="BN74">
            <v>1722400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4166900</v>
          </cell>
          <cell r="CE74">
            <v>2259600</v>
          </cell>
          <cell r="CF74">
            <v>5366800</v>
          </cell>
          <cell r="CG74">
            <v>0</v>
          </cell>
          <cell r="CH74">
            <v>0</v>
          </cell>
          <cell r="CI74">
            <v>0</v>
          </cell>
          <cell r="CJ74">
            <v>11793300</v>
          </cell>
        </row>
        <row r="75">
          <cell r="A75">
            <v>23157</v>
          </cell>
          <cell r="B75" t="str">
            <v>7 &amp; 8</v>
          </cell>
          <cell r="C75">
            <v>23157</v>
          </cell>
          <cell r="E75" t="str">
            <v>THE GUIDANCE CENTER (GREATER LONG BEACH CHILD)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I75">
            <v>0</v>
          </cell>
          <cell r="BK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</row>
        <row r="76">
          <cell r="A76">
            <v>23162</v>
          </cell>
          <cell r="B76" t="str">
            <v>2 &amp; 5</v>
          </cell>
          <cell r="C76">
            <v>23162</v>
          </cell>
          <cell r="E76" t="str">
            <v>CHILD AND FAMILY GUIDANCE CENTER (SFV)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I76">
            <v>0</v>
          </cell>
          <cell r="BK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</row>
        <row r="77">
          <cell r="A77">
            <v>23163</v>
          </cell>
          <cell r="B77" t="str">
            <v>1, 2 &amp; 5</v>
          </cell>
          <cell r="C77">
            <v>23163</v>
          </cell>
          <cell r="E77" t="str">
            <v xml:space="preserve">SAN FERNANDO VALLEY COMMUNITY MHC, INC. </v>
          </cell>
          <cell r="F77">
            <v>0</v>
          </cell>
          <cell r="G77">
            <v>0</v>
          </cell>
          <cell r="H77">
            <v>1036174</v>
          </cell>
          <cell r="I77">
            <v>1036200</v>
          </cell>
          <cell r="J77">
            <v>632032</v>
          </cell>
          <cell r="K77">
            <v>632000</v>
          </cell>
          <cell r="L77">
            <v>579611</v>
          </cell>
          <cell r="M77">
            <v>579600</v>
          </cell>
          <cell r="N77">
            <v>0</v>
          </cell>
          <cell r="O77">
            <v>0</v>
          </cell>
          <cell r="P77">
            <v>2247800</v>
          </cell>
          <cell r="R77">
            <v>0</v>
          </cell>
          <cell r="S77">
            <v>0</v>
          </cell>
          <cell r="T77">
            <v>996168</v>
          </cell>
          <cell r="U77">
            <v>996200</v>
          </cell>
          <cell r="V77">
            <v>0</v>
          </cell>
          <cell r="W77">
            <v>0</v>
          </cell>
          <cell r="X77">
            <v>730857</v>
          </cell>
          <cell r="Y77">
            <v>730900</v>
          </cell>
          <cell r="Z77">
            <v>1727100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819178</v>
          </cell>
          <cell r="BI77">
            <v>819200</v>
          </cell>
          <cell r="BJ77">
            <v>6000</v>
          </cell>
          <cell r="BK77">
            <v>6000</v>
          </cell>
          <cell r="BL77">
            <v>4000</v>
          </cell>
          <cell r="BM77">
            <v>4000</v>
          </cell>
          <cell r="BN77">
            <v>829200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C77">
            <v>0</v>
          </cell>
          <cell r="CD77">
            <v>2851600</v>
          </cell>
          <cell r="CE77">
            <v>638000</v>
          </cell>
          <cell r="CF77">
            <v>1314500</v>
          </cell>
          <cell r="CG77">
            <v>0</v>
          </cell>
          <cell r="CH77">
            <v>0</v>
          </cell>
          <cell r="CI77">
            <v>0</v>
          </cell>
          <cell r="CJ77">
            <v>4804100</v>
          </cell>
        </row>
        <row r="78">
          <cell r="A78">
            <v>23164</v>
          </cell>
          <cell r="B78" t="str">
            <v>7 &amp; 8</v>
          </cell>
          <cell r="C78">
            <v>23164</v>
          </cell>
          <cell r="E78" t="str">
            <v>HEALTH VIEW INC.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177884</v>
          </cell>
          <cell r="U78">
            <v>177900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177900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I78">
            <v>0</v>
          </cell>
          <cell r="BK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C78">
            <v>0</v>
          </cell>
          <cell r="CD78">
            <v>177900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177900</v>
          </cell>
        </row>
        <row r="79">
          <cell r="A79">
            <v>23165</v>
          </cell>
          <cell r="B79" t="str">
            <v>2 &amp; 5</v>
          </cell>
          <cell r="C79">
            <v>23165</v>
          </cell>
          <cell r="E79" t="str">
            <v>CHILD &amp; FAMILY CENTER (SANTA CLARITA CHILD &amp; FAMILY)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I79">
            <v>0</v>
          </cell>
          <cell r="BJ79">
            <v>3300</v>
          </cell>
          <cell r="BK79">
            <v>3300</v>
          </cell>
          <cell r="BL79">
            <v>29734</v>
          </cell>
          <cell r="BM79">
            <v>29700</v>
          </cell>
          <cell r="BN79">
            <v>33000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C79">
            <v>0</v>
          </cell>
          <cell r="CD79">
            <v>0</v>
          </cell>
          <cell r="CE79">
            <v>3300</v>
          </cell>
          <cell r="CF79">
            <v>29700</v>
          </cell>
          <cell r="CG79">
            <v>0</v>
          </cell>
          <cell r="CH79">
            <v>0</v>
          </cell>
          <cell r="CI79">
            <v>0</v>
          </cell>
          <cell r="CJ79">
            <v>33000</v>
          </cell>
        </row>
        <row r="80">
          <cell r="A80">
            <v>27637</v>
          </cell>
          <cell r="B80" t="str">
            <v>1 &amp; 3</v>
          </cell>
          <cell r="C80">
            <v>27637</v>
          </cell>
          <cell r="E80" t="str">
            <v>KIDS FIRST FOUNDATION (MID VALLEY YOUTY CTR / HELICON)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I80">
            <v>0</v>
          </cell>
          <cell r="BK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</row>
        <row r="81">
          <cell r="A81">
            <v>23167</v>
          </cell>
          <cell r="B81" t="str">
            <v>1, 2 &amp; 5</v>
          </cell>
          <cell r="C81">
            <v>23167</v>
          </cell>
          <cell r="E81" t="str">
            <v>ST. JOSEPH CENTER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I81">
            <v>0</v>
          </cell>
          <cell r="BK81">
            <v>0</v>
          </cell>
          <cell r="BL81">
            <v>33448</v>
          </cell>
          <cell r="BM81">
            <v>33400</v>
          </cell>
          <cell r="BN81">
            <v>33400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33400</v>
          </cell>
          <cell r="CG81">
            <v>0</v>
          </cell>
          <cell r="CH81">
            <v>0</v>
          </cell>
          <cell r="CI81">
            <v>0</v>
          </cell>
          <cell r="CJ81">
            <v>33400</v>
          </cell>
        </row>
        <row r="82">
          <cell r="A82">
            <v>23168</v>
          </cell>
          <cell r="B82">
            <v>3</v>
          </cell>
          <cell r="C82">
            <v>23168</v>
          </cell>
          <cell r="E82" t="str">
            <v>SOCIAL MODEL RECOVERY SYSTEMS, INC.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700384</v>
          </cell>
          <cell r="U82">
            <v>700400</v>
          </cell>
          <cell r="V82">
            <v>0</v>
          </cell>
          <cell r="W82">
            <v>0</v>
          </cell>
          <cell r="X82">
            <v>200000</v>
          </cell>
          <cell r="Y82">
            <v>200000</v>
          </cell>
          <cell r="Z82">
            <v>900400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I82">
            <v>0</v>
          </cell>
          <cell r="BK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C82">
            <v>0</v>
          </cell>
          <cell r="CD82">
            <v>700400</v>
          </cell>
          <cell r="CE82">
            <v>0</v>
          </cell>
          <cell r="CF82">
            <v>200000</v>
          </cell>
          <cell r="CG82">
            <v>0</v>
          </cell>
          <cell r="CH82">
            <v>0</v>
          </cell>
          <cell r="CI82">
            <v>0</v>
          </cell>
          <cell r="CJ82">
            <v>900400</v>
          </cell>
        </row>
        <row r="83">
          <cell r="A83">
            <v>23169</v>
          </cell>
          <cell r="B83" t="str">
            <v xml:space="preserve">7 &amp; 8 </v>
          </cell>
          <cell r="C83">
            <v>23169</v>
          </cell>
          <cell r="E83" t="str">
            <v>SOUTH BAY CHILDREN'S HEALTH CENTER ASSOCIATION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</row>
        <row r="84">
          <cell r="A84">
            <v>23170</v>
          </cell>
          <cell r="B84">
            <v>4</v>
          </cell>
          <cell r="C84">
            <v>23170</v>
          </cell>
          <cell r="E84" t="str">
            <v xml:space="preserve">SPECIAL SERVICE FOR GROUPS </v>
          </cell>
          <cell r="F84">
            <v>0</v>
          </cell>
          <cell r="G84">
            <v>0</v>
          </cell>
          <cell r="H84">
            <v>1365600</v>
          </cell>
          <cell r="I84">
            <v>1365600</v>
          </cell>
          <cell r="J84">
            <v>853903</v>
          </cell>
          <cell r="K84">
            <v>853900</v>
          </cell>
          <cell r="L84">
            <v>712600</v>
          </cell>
          <cell r="M84">
            <v>712600</v>
          </cell>
          <cell r="N84">
            <v>0</v>
          </cell>
          <cell r="O84">
            <v>0</v>
          </cell>
          <cell r="P84">
            <v>2932100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491000</v>
          </cell>
          <cell r="Y84">
            <v>491000</v>
          </cell>
          <cell r="Z84">
            <v>491000</v>
          </cell>
          <cell r="AB84">
            <v>0</v>
          </cell>
          <cell r="AC84">
            <v>0</v>
          </cell>
          <cell r="AD84">
            <v>420000</v>
          </cell>
          <cell r="AE84">
            <v>420000</v>
          </cell>
          <cell r="AF84">
            <v>0</v>
          </cell>
          <cell r="AG84">
            <v>0</v>
          </cell>
          <cell r="AH84">
            <v>280000</v>
          </cell>
          <cell r="AI84">
            <v>280000</v>
          </cell>
          <cell r="AJ84">
            <v>700000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249359</v>
          </cell>
          <cell r="BA84">
            <v>249400</v>
          </cell>
          <cell r="BB84">
            <v>0</v>
          </cell>
          <cell r="BC84">
            <v>0</v>
          </cell>
          <cell r="BD84">
            <v>249400</v>
          </cell>
          <cell r="BG84">
            <v>0</v>
          </cell>
          <cell r="BH84">
            <v>1233722</v>
          </cell>
          <cell r="BI84">
            <v>1233700</v>
          </cell>
          <cell r="BJ84">
            <v>12421</v>
          </cell>
          <cell r="BK84">
            <v>12400</v>
          </cell>
          <cell r="BM84">
            <v>0</v>
          </cell>
          <cell r="BN84">
            <v>1246100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C84">
            <v>0</v>
          </cell>
          <cell r="CD84">
            <v>3019300</v>
          </cell>
          <cell r="CE84">
            <v>1115700</v>
          </cell>
          <cell r="CF84">
            <v>1483600</v>
          </cell>
          <cell r="CG84">
            <v>0</v>
          </cell>
          <cell r="CH84">
            <v>0</v>
          </cell>
          <cell r="CI84">
            <v>0</v>
          </cell>
          <cell r="CJ84">
            <v>5618600</v>
          </cell>
        </row>
        <row r="85">
          <cell r="A85">
            <v>23171</v>
          </cell>
          <cell r="B85" t="str">
            <v>1, 2 &amp; 5</v>
          </cell>
          <cell r="C85">
            <v>23171</v>
          </cell>
          <cell r="E85" t="str">
            <v>ST. JOHN'S HOSPITAL AND HEALTH CTR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I85">
            <v>0</v>
          </cell>
          <cell r="BK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</row>
        <row r="86">
          <cell r="A86">
            <v>23172</v>
          </cell>
          <cell r="B86" t="str">
            <v xml:space="preserve">7 &amp; 8 </v>
          </cell>
          <cell r="C86">
            <v>23172</v>
          </cell>
          <cell r="E86" t="str">
            <v>TELECARE CORP. (LA PAZ &amp; LA CASA MENTAL HEALTH CTR)</v>
          </cell>
          <cell r="F86">
            <v>0</v>
          </cell>
          <cell r="G86">
            <v>0</v>
          </cell>
          <cell r="H86">
            <v>3178200</v>
          </cell>
          <cell r="I86">
            <v>3178200</v>
          </cell>
          <cell r="J86">
            <v>1051984</v>
          </cell>
          <cell r="K86">
            <v>1052000</v>
          </cell>
          <cell r="L86">
            <v>1222987</v>
          </cell>
          <cell r="M86">
            <v>1223000</v>
          </cell>
          <cell r="N86">
            <v>0</v>
          </cell>
          <cell r="O86">
            <v>0</v>
          </cell>
          <cell r="P86">
            <v>5453200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237500</v>
          </cell>
          <cell r="AE86">
            <v>237500</v>
          </cell>
          <cell r="AF86">
            <v>0</v>
          </cell>
          <cell r="AG86">
            <v>0</v>
          </cell>
          <cell r="AH86">
            <v>356250</v>
          </cell>
          <cell r="AI86">
            <v>356300</v>
          </cell>
          <cell r="AJ86">
            <v>593800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I86">
            <v>0</v>
          </cell>
          <cell r="BK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C86">
            <v>0</v>
          </cell>
          <cell r="CD86">
            <v>3415700</v>
          </cell>
          <cell r="CE86">
            <v>1052000</v>
          </cell>
          <cell r="CF86">
            <v>1579300</v>
          </cell>
          <cell r="CG86">
            <v>0</v>
          </cell>
          <cell r="CH86">
            <v>0</v>
          </cell>
          <cell r="CI86">
            <v>0</v>
          </cell>
          <cell r="CJ86">
            <v>6047000</v>
          </cell>
        </row>
        <row r="87">
          <cell r="A87">
            <v>23173</v>
          </cell>
          <cell r="B87">
            <v>4</v>
          </cell>
          <cell r="C87">
            <v>23173</v>
          </cell>
          <cell r="E87" t="str">
            <v>AMANECER COMMUNITY COUNSELING SRVS., INC. (FORMELY COMMUNITY COUNSELING SERVICES)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14600</v>
          </cell>
          <cell r="BI87">
            <v>14600</v>
          </cell>
          <cell r="BK87">
            <v>0</v>
          </cell>
          <cell r="BL87">
            <v>135700</v>
          </cell>
          <cell r="BM87">
            <v>135700</v>
          </cell>
          <cell r="BN87">
            <v>150300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C87">
            <v>0</v>
          </cell>
          <cell r="CD87">
            <v>14600</v>
          </cell>
          <cell r="CE87">
            <v>0</v>
          </cell>
          <cell r="CF87">
            <v>135700</v>
          </cell>
          <cell r="CG87">
            <v>0</v>
          </cell>
          <cell r="CH87">
            <v>0</v>
          </cell>
          <cell r="CI87">
            <v>0</v>
          </cell>
          <cell r="CJ87">
            <v>150300</v>
          </cell>
        </row>
        <row r="88">
          <cell r="A88">
            <v>23174</v>
          </cell>
          <cell r="B88">
            <v>4</v>
          </cell>
          <cell r="C88">
            <v>23174</v>
          </cell>
          <cell r="E88" t="str">
            <v>HEALTH RESEARCH ASSOCIATION (dba USC ALTERNATIVE )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21142</v>
          </cell>
          <cell r="AI88">
            <v>21100</v>
          </cell>
          <cell r="AJ88">
            <v>21100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I88">
            <v>0</v>
          </cell>
          <cell r="BK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21100</v>
          </cell>
          <cell r="CG88">
            <v>0</v>
          </cell>
          <cell r="CH88">
            <v>0</v>
          </cell>
          <cell r="CI88">
            <v>0</v>
          </cell>
          <cell r="CJ88">
            <v>21100</v>
          </cell>
        </row>
        <row r="89">
          <cell r="A89">
            <v>23175</v>
          </cell>
          <cell r="B89" t="str">
            <v>7 &amp; 8</v>
          </cell>
          <cell r="C89">
            <v>23175</v>
          </cell>
          <cell r="E89" t="str">
            <v>TRANSITIONAL LIVING CENTERS FOR LA COUNTY, INC.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558310</v>
          </cell>
          <cell r="Y89">
            <v>558300</v>
          </cell>
          <cell r="Z89">
            <v>558300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0</v>
          </cell>
          <cell r="BI89">
            <v>0</v>
          </cell>
          <cell r="BK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558300</v>
          </cell>
          <cell r="CG89">
            <v>0</v>
          </cell>
          <cell r="CH89">
            <v>0</v>
          </cell>
          <cell r="CI89">
            <v>0</v>
          </cell>
          <cell r="CJ89">
            <v>558300</v>
          </cell>
        </row>
        <row r="90">
          <cell r="A90">
            <v>23176</v>
          </cell>
          <cell r="B90">
            <v>4</v>
          </cell>
          <cell r="C90">
            <v>23176</v>
          </cell>
          <cell r="E90" t="str">
            <v>TRAVELERS AID SOCIETY OF LOS ANGELES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0</v>
          </cell>
          <cell r="BI90">
            <v>0</v>
          </cell>
          <cell r="BK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</row>
        <row r="91">
          <cell r="A91">
            <v>23178</v>
          </cell>
          <cell r="B91" t="str">
            <v>1, 2 &amp; 5</v>
          </cell>
          <cell r="C91">
            <v>23178</v>
          </cell>
          <cell r="E91" t="str">
            <v xml:space="preserve">VERDUGO MENTAL HEALTH CENTER </v>
          </cell>
          <cell r="F91">
            <v>0</v>
          </cell>
          <cell r="G91">
            <v>0</v>
          </cell>
          <cell r="H91">
            <v>211948</v>
          </cell>
          <cell r="I91">
            <v>211900</v>
          </cell>
          <cell r="J91">
            <v>140012</v>
          </cell>
          <cell r="K91">
            <v>140000</v>
          </cell>
          <cell r="L91">
            <v>124098</v>
          </cell>
          <cell r="M91">
            <v>124100</v>
          </cell>
          <cell r="N91">
            <v>0</v>
          </cell>
          <cell r="O91">
            <v>0</v>
          </cell>
          <cell r="P91">
            <v>476000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0</v>
          </cell>
          <cell r="BI91">
            <v>0</v>
          </cell>
          <cell r="BK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211900</v>
          </cell>
          <cell r="CE91">
            <v>140000</v>
          </cell>
          <cell r="CF91">
            <v>124100</v>
          </cell>
          <cell r="CG91">
            <v>0</v>
          </cell>
          <cell r="CH91">
            <v>0</v>
          </cell>
          <cell r="CI91">
            <v>0</v>
          </cell>
          <cell r="CJ91">
            <v>476000</v>
          </cell>
        </row>
        <row r="92">
          <cell r="A92">
            <v>23179</v>
          </cell>
          <cell r="B92">
            <v>6</v>
          </cell>
          <cell r="C92">
            <v>23179</v>
          </cell>
          <cell r="E92" t="str">
            <v xml:space="preserve">WATTS LABOR COMMMUNITY ACTION COMMMITTEE (WLCAC) 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I92">
            <v>0</v>
          </cell>
          <cell r="BK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</row>
        <row r="93">
          <cell r="A93">
            <v>23180</v>
          </cell>
          <cell r="B93" t="str">
            <v>1, 2 &amp; 5</v>
          </cell>
          <cell r="C93">
            <v>23180</v>
          </cell>
          <cell r="E93" t="str">
            <v>WESTSIDE CENTER FOR INDEPENDENT LIVING, INC.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26763</v>
          </cell>
          <cell r="Y93">
            <v>26800</v>
          </cell>
          <cell r="Z93">
            <v>26800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I93">
            <v>0</v>
          </cell>
          <cell r="BK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26800</v>
          </cell>
          <cell r="CG93">
            <v>0</v>
          </cell>
          <cell r="CH93">
            <v>0</v>
          </cell>
          <cell r="CI93">
            <v>0</v>
          </cell>
          <cell r="CJ93">
            <v>26800</v>
          </cell>
        </row>
        <row r="94">
          <cell r="A94">
            <v>23182</v>
          </cell>
          <cell r="B94" t="str">
            <v>1,2 &amp; 5</v>
          </cell>
          <cell r="C94">
            <v>23182</v>
          </cell>
          <cell r="E94" t="str">
            <v>STEP-UP ON SECOND STREET, INC.</v>
          </cell>
          <cell r="F94">
            <v>0</v>
          </cell>
          <cell r="G94">
            <v>0</v>
          </cell>
          <cell r="H94">
            <v>273600</v>
          </cell>
          <cell r="I94">
            <v>273600</v>
          </cell>
          <cell r="J94">
            <v>170899</v>
          </cell>
          <cell r="K94">
            <v>170900</v>
          </cell>
          <cell r="L94">
            <v>154500</v>
          </cell>
          <cell r="M94">
            <v>154500</v>
          </cell>
          <cell r="N94">
            <v>0</v>
          </cell>
          <cell r="O94">
            <v>0</v>
          </cell>
          <cell r="P94">
            <v>599000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375000</v>
          </cell>
          <cell r="Y94">
            <v>375000</v>
          </cell>
          <cell r="Z94">
            <v>375000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113724</v>
          </cell>
          <cell r="BI94">
            <v>113700</v>
          </cell>
          <cell r="BJ94">
            <v>4000</v>
          </cell>
          <cell r="BK94">
            <v>4000</v>
          </cell>
          <cell r="BL94">
            <v>35670</v>
          </cell>
          <cell r="BM94">
            <v>35700</v>
          </cell>
          <cell r="BN94">
            <v>153400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C94">
            <v>0</v>
          </cell>
          <cell r="CD94">
            <v>387300</v>
          </cell>
          <cell r="CE94">
            <v>174900</v>
          </cell>
          <cell r="CF94">
            <v>565200</v>
          </cell>
          <cell r="CG94">
            <v>0</v>
          </cell>
          <cell r="CH94">
            <v>0</v>
          </cell>
          <cell r="CI94">
            <v>0</v>
          </cell>
          <cell r="CJ94">
            <v>1127400</v>
          </cell>
        </row>
        <row r="95">
          <cell r="A95">
            <v>23186</v>
          </cell>
          <cell r="B95">
            <v>4</v>
          </cell>
          <cell r="C95">
            <v>23186</v>
          </cell>
          <cell r="E95" t="str">
            <v>INSTITUTE FOR THE REDESIGN OF LEARNING (ALMANSOR)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I95">
            <v>0</v>
          </cell>
          <cell r="BK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A96">
            <v>23187</v>
          </cell>
          <cell r="B96" t="str">
            <v>1, 2 &amp; 5</v>
          </cell>
          <cell r="C96">
            <v>23187</v>
          </cell>
          <cell r="E96" t="str">
            <v>STIRLING ACADEMY, INC.(STIRLING BEHAVIORAL HEALTH INST.)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I96">
            <v>0</v>
          </cell>
          <cell r="BK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>
            <v>23188</v>
          </cell>
          <cell r="B97" t="str">
            <v>1, 2 &amp; 5</v>
          </cell>
          <cell r="C97">
            <v>23188</v>
          </cell>
          <cell r="E97" t="str">
            <v>VISTA DEL MAR CHILD &amp; FAMILY SVCS (JEWISH ORPHANS)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I97">
            <v>0</v>
          </cell>
          <cell r="BK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</row>
        <row r="98">
          <cell r="A98">
            <v>23190</v>
          </cell>
          <cell r="B98">
            <v>4</v>
          </cell>
          <cell r="C98">
            <v>23190</v>
          </cell>
          <cell r="E98" t="str">
            <v>THE LOS ANGELES FREE CLINIC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I98">
            <v>0</v>
          </cell>
          <cell r="BK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99">
          <cell r="A99">
            <v>27210</v>
          </cell>
          <cell r="B99">
            <v>3</v>
          </cell>
          <cell r="C99">
            <v>27210</v>
          </cell>
          <cell r="E99" t="str">
            <v>PROTOTYPES</v>
          </cell>
          <cell r="F99">
            <v>0</v>
          </cell>
          <cell r="G99">
            <v>0</v>
          </cell>
          <cell r="H99">
            <v>734500</v>
          </cell>
          <cell r="I99">
            <v>734500</v>
          </cell>
          <cell r="J99">
            <v>474599</v>
          </cell>
          <cell r="K99">
            <v>474600</v>
          </cell>
          <cell r="L99">
            <v>406800</v>
          </cell>
          <cell r="M99">
            <v>406800</v>
          </cell>
          <cell r="N99">
            <v>0</v>
          </cell>
          <cell r="O99">
            <v>0</v>
          </cell>
          <cell r="P99">
            <v>1615900</v>
          </cell>
          <cell r="R99">
            <v>0</v>
          </cell>
          <cell r="S99">
            <v>0</v>
          </cell>
          <cell r="T99">
            <v>297532</v>
          </cell>
          <cell r="U99">
            <v>297500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297500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I99">
            <v>0</v>
          </cell>
          <cell r="BK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1032000</v>
          </cell>
          <cell r="CE99">
            <v>474600</v>
          </cell>
          <cell r="CF99">
            <v>406800</v>
          </cell>
          <cell r="CG99">
            <v>0</v>
          </cell>
          <cell r="CH99">
            <v>0</v>
          </cell>
          <cell r="CI99">
            <v>0</v>
          </cell>
          <cell r="CJ99">
            <v>1913400</v>
          </cell>
        </row>
        <row r="100">
          <cell r="A100">
            <v>27231</v>
          </cell>
          <cell r="B100">
            <v>3</v>
          </cell>
          <cell r="C100">
            <v>27231</v>
          </cell>
          <cell r="E100" t="str">
            <v>GAY &amp; LESBIAN ADOLESCENT SOC. SVCS,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I100">
            <v>0</v>
          </cell>
          <cell r="BK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A101">
            <v>27233</v>
          </cell>
          <cell r="B101">
            <v>3</v>
          </cell>
          <cell r="C101">
            <v>27233</v>
          </cell>
          <cell r="E101" t="str">
            <v>BIENVENIDOS CHILDREN'S CTR,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I101">
            <v>0</v>
          </cell>
          <cell r="BK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A102">
            <v>27234</v>
          </cell>
          <cell r="B102">
            <v>3</v>
          </cell>
          <cell r="C102">
            <v>27234</v>
          </cell>
          <cell r="E102" t="str">
            <v>ETTIE LEE HOMES, INC.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I102">
            <v>0</v>
          </cell>
          <cell r="BK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3">
          <cell r="A103">
            <v>27235</v>
          </cell>
          <cell r="B103" t="str">
            <v>7 &amp; 8</v>
          </cell>
          <cell r="C103">
            <v>27235</v>
          </cell>
          <cell r="E103" t="str">
            <v>ONE IN LONG BEACH,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I103">
            <v>0</v>
          </cell>
          <cell r="BK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</row>
        <row r="104">
          <cell r="A104">
            <v>27236</v>
          </cell>
          <cell r="B104">
            <v>3</v>
          </cell>
          <cell r="C104">
            <v>27236</v>
          </cell>
          <cell r="E104" t="str">
            <v>ROSEMARY CHILDREN'S SERVICES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0</v>
          </cell>
          <cell r="BI104">
            <v>0</v>
          </cell>
          <cell r="BK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</row>
        <row r="105">
          <cell r="A105">
            <v>27248</v>
          </cell>
          <cell r="B105">
            <v>4</v>
          </cell>
          <cell r="C105">
            <v>27248</v>
          </cell>
          <cell r="E105" t="str">
            <v>UNITED AMERICAN INDIAN INVOLVEMENT, INC.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0</v>
          </cell>
          <cell r="BI105">
            <v>0</v>
          </cell>
          <cell r="BK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</row>
        <row r="106">
          <cell r="A106">
            <v>27476</v>
          </cell>
          <cell r="B106">
            <v>3</v>
          </cell>
          <cell r="C106">
            <v>27476</v>
          </cell>
          <cell r="E106" t="str">
            <v xml:space="preserve">WHITE MEMORIAL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0</v>
          </cell>
          <cell r="BI106">
            <v>0</v>
          </cell>
          <cell r="BK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</row>
        <row r="107">
          <cell r="A107">
            <v>27478</v>
          </cell>
          <cell r="B107">
            <v>3</v>
          </cell>
          <cell r="C107">
            <v>27478</v>
          </cell>
          <cell r="E107" t="str">
            <v>HERITAGE CLINIC &amp; THE COMMUNITY ASS. PRO. FOR SENIORS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I107">
            <v>0</v>
          </cell>
          <cell r="BK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</row>
        <row r="108">
          <cell r="A108">
            <v>27490</v>
          </cell>
          <cell r="B108">
            <v>3</v>
          </cell>
          <cell r="C108">
            <v>27490</v>
          </cell>
          <cell r="E108" t="str">
            <v>UCLA TIES FOR ADOPTION (THE REGENTS)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I108">
            <v>0</v>
          </cell>
          <cell r="BK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</row>
        <row r="109">
          <cell r="A109">
            <v>27495</v>
          </cell>
          <cell r="B109">
            <v>3</v>
          </cell>
          <cell r="C109">
            <v>27495</v>
          </cell>
          <cell r="E109" t="str">
            <v>MCKINLEY CHILDREN'S CENTER, INC.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I109">
            <v>0</v>
          </cell>
          <cell r="BK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A110">
            <v>27507</v>
          </cell>
          <cell r="B110">
            <v>3</v>
          </cell>
          <cell r="C110">
            <v>27507</v>
          </cell>
          <cell r="E110" t="str">
            <v>MARYVALE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I110">
            <v>0</v>
          </cell>
          <cell r="BK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</row>
        <row r="111">
          <cell r="A111">
            <v>27508</v>
          </cell>
          <cell r="B111" t="str">
            <v>1, 2 &amp; 5</v>
          </cell>
          <cell r="C111">
            <v>27508</v>
          </cell>
          <cell r="E111" t="str">
            <v>COUNSELLING4KIDS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I111">
            <v>0</v>
          </cell>
          <cell r="BK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</row>
        <row r="112">
          <cell r="A112">
            <v>27518</v>
          </cell>
          <cell r="B112" t="str">
            <v>1, 2 &amp; 5</v>
          </cell>
          <cell r="C112">
            <v>27518</v>
          </cell>
          <cell r="E112" t="str">
            <v>PACIFIC LODGE YOUTH SERVICE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I112">
            <v>0</v>
          </cell>
          <cell r="BK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</row>
        <row r="113">
          <cell r="A113">
            <v>27519</v>
          </cell>
          <cell r="B113">
            <v>4</v>
          </cell>
          <cell r="C113">
            <v>27519</v>
          </cell>
          <cell r="E113" t="str">
            <v>PARA LOS NINOS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I113">
            <v>0</v>
          </cell>
          <cell r="BK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A114">
            <v>27520</v>
          </cell>
          <cell r="B114">
            <v>6</v>
          </cell>
          <cell r="C114">
            <v>27520</v>
          </cell>
          <cell r="E114" t="str">
            <v>PERSONAL INVOLVEMENT CENTER, INC.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I114">
            <v>0</v>
          </cell>
          <cell r="BK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</row>
        <row r="115">
          <cell r="A115">
            <v>27522</v>
          </cell>
          <cell r="B115">
            <v>3</v>
          </cell>
          <cell r="C115">
            <v>27522</v>
          </cell>
          <cell r="E115" t="str">
            <v>SERENITY INFANT CARE HOMES, INC.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I115">
            <v>0</v>
          </cell>
          <cell r="BK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</row>
        <row r="116">
          <cell r="A116">
            <v>27523</v>
          </cell>
          <cell r="B116">
            <v>3</v>
          </cell>
          <cell r="C116">
            <v>27523</v>
          </cell>
          <cell r="E116" t="str">
            <v>ST. ANNE'S MATERNITY HOME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I116">
            <v>0</v>
          </cell>
          <cell r="BK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7">
          <cell r="A117">
            <v>27524</v>
          </cell>
          <cell r="B117">
            <v>3</v>
          </cell>
          <cell r="C117">
            <v>27524</v>
          </cell>
          <cell r="E117" t="str">
            <v>TOBINWORLD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I117">
            <v>0</v>
          </cell>
          <cell r="BK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</row>
        <row r="118">
          <cell r="A118">
            <v>27525</v>
          </cell>
          <cell r="B118">
            <v>3</v>
          </cell>
          <cell r="C118">
            <v>27525</v>
          </cell>
          <cell r="E118" t="str">
            <v>TRINITY YOUTH SERVICES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I118">
            <v>0</v>
          </cell>
          <cell r="BK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</row>
        <row r="119">
          <cell r="A119">
            <v>27529</v>
          </cell>
          <cell r="B119">
            <v>4</v>
          </cell>
          <cell r="C119">
            <v>27529</v>
          </cell>
          <cell r="E119" t="str">
            <v>INSTITUTE FOR MULTICULTURAL COUN. &amp; EDU. SVCS, INC. (IMCES)</v>
          </cell>
          <cell r="F119">
            <v>0</v>
          </cell>
          <cell r="G119">
            <v>0</v>
          </cell>
          <cell r="H119">
            <v>361600</v>
          </cell>
          <cell r="I119">
            <v>361600</v>
          </cell>
          <cell r="J119">
            <v>234950</v>
          </cell>
          <cell r="K119">
            <v>235000</v>
          </cell>
          <cell r="L119">
            <v>203400</v>
          </cell>
          <cell r="M119">
            <v>203400</v>
          </cell>
          <cell r="N119">
            <v>0</v>
          </cell>
          <cell r="O119">
            <v>0</v>
          </cell>
          <cell r="P119">
            <v>800000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361600</v>
          </cell>
          <cell r="CE119">
            <v>235000</v>
          </cell>
          <cell r="CF119">
            <v>203400</v>
          </cell>
          <cell r="CG119">
            <v>0</v>
          </cell>
          <cell r="CH119">
            <v>0</v>
          </cell>
          <cell r="CI119">
            <v>0</v>
          </cell>
          <cell r="CJ119">
            <v>800000</v>
          </cell>
        </row>
        <row r="120">
          <cell r="A120">
            <v>27537</v>
          </cell>
          <cell r="B120" t="str">
            <v>7 &amp; 8</v>
          </cell>
          <cell r="C120">
            <v>27537</v>
          </cell>
          <cell r="E120" t="str">
            <v>HELPLINE YOUTH COUNSELING,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I120">
            <v>0</v>
          </cell>
          <cell r="BK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A121">
            <v>27542</v>
          </cell>
          <cell r="B121">
            <v>3</v>
          </cell>
          <cell r="C121">
            <v>27542</v>
          </cell>
          <cell r="E121" t="str">
            <v>PASADENA UNIFIED SCHOOL DISTRICT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I121">
            <v>0</v>
          </cell>
          <cell r="BK121">
            <v>0</v>
          </cell>
          <cell r="BM121">
            <v>0</v>
          </cell>
          <cell r="BN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A122">
            <v>27543</v>
          </cell>
          <cell r="B122">
            <v>3</v>
          </cell>
          <cell r="C122">
            <v>27543</v>
          </cell>
          <cell r="E122" t="str">
            <v>LEROY HAYNES CTR FOR CHILDREN &amp; FAMILY SVCS,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I122">
            <v>0</v>
          </cell>
          <cell r="BK122">
            <v>0</v>
          </cell>
          <cell r="BM122">
            <v>0</v>
          </cell>
          <cell r="BN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</row>
        <row r="123">
          <cell r="A123">
            <v>27544</v>
          </cell>
          <cell r="B123" t="str">
            <v>1, 2 &amp; 5</v>
          </cell>
          <cell r="C123">
            <v>27544</v>
          </cell>
          <cell r="E123" t="str">
            <v>THE VILLAGE FAMILY SERVICES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I123">
            <v>0</v>
          </cell>
          <cell r="BK123">
            <v>0</v>
          </cell>
          <cell r="BM123">
            <v>0</v>
          </cell>
          <cell r="BN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A124">
            <v>27545</v>
          </cell>
          <cell r="B124">
            <v>3</v>
          </cell>
          <cell r="C124">
            <v>27545</v>
          </cell>
          <cell r="E124" t="str">
            <v>DAVID &amp; MARGARET HOME,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I124">
            <v>0</v>
          </cell>
          <cell r="BK124">
            <v>0</v>
          </cell>
          <cell r="BM124">
            <v>0</v>
          </cell>
          <cell r="BN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A125">
            <v>27548</v>
          </cell>
          <cell r="B125">
            <v>4</v>
          </cell>
          <cell r="C125">
            <v>27548</v>
          </cell>
          <cell r="E125" t="str">
            <v>PEDIATRIC &amp; FAMILY MEDICAL CENTER (dba EISNER)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I125">
            <v>0</v>
          </cell>
          <cell r="BK125">
            <v>0</v>
          </cell>
          <cell r="BM125">
            <v>0</v>
          </cell>
          <cell r="BN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6">
          <cell r="A126">
            <v>27549</v>
          </cell>
          <cell r="B126">
            <v>4</v>
          </cell>
          <cell r="C126">
            <v>27549</v>
          </cell>
          <cell r="E126" t="str">
            <v>EL CENTRO DEL PUEBLO, INC.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I126">
            <v>0</v>
          </cell>
          <cell r="BK126">
            <v>0</v>
          </cell>
          <cell r="BM126">
            <v>0</v>
          </cell>
          <cell r="BN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A127">
            <v>27550</v>
          </cell>
          <cell r="B127">
            <v>4</v>
          </cell>
          <cell r="C127">
            <v>27550</v>
          </cell>
          <cell r="E127" t="str">
            <v>CATHOLIC HEALTHCARE WEST (dba CALIFORNIA HOSPITAL)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I127">
            <v>0</v>
          </cell>
          <cell r="BK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</row>
        <row r="128">
          <cell r="A128">
            <v>27597</v>
          </cell>
          <cell r="B128" t="str">
            <v>1, 2 &amp; 5</v>
          </cell>
          <cell r="C128">
            <v>27597</v>
          </cell>
          <cell r="E128" t="str">
            <v>EMOTIONAL HEALTH ASSOCIATION (dba SHARE!)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322600</v>
          </cell>
          <cell r="Y128">
            <v>322600</v>
          </cell>
          <cell r="Z128">
            <v>322600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I128">
            <v>0</v>
          </cell>
          <cell r="BK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322600</v>
          </cell>
          <cell r="CG128">
            <v>0</v>
          </cell>
          <cell r="CH128">
            <v>0</v>
          </cell>
          <cell r="CI128">
            <v>0</v>
          </cell>
          <cell r="CJ128">
            <v>322600</v>
          </cell>
        </row>
        <row r="129">
          <cell r="A129">
            <v>27600</v>
          </cell>
          <cell r="B129">
            <v>4</v>
          </cell>
          <cell r="C129">
            <v>27600</v>
          </cell>
          <cell r="E129" t="str">
            <v>VIP COMMUNITY MENTAL HEALTH CENTER, INC. (VIP CMHC)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I129">
            <v>0</v>
          </cell>
          <cell r="BK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</row>
        <row r="130">
          <cell r="A130">
            <v>27601</v>
          </cell>
          <cell r="B130">
            <v>3</v>
          </cell>
          <cell r="C130">
            <v>27601</v>
          </cell>
          <cell r="E130" t="str">
            <v>THE CHILDREN'S CENTER OF ANTELOPE VALLEY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I130">
            <v>0</v>
          </cell>
          <cell r="BK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</row>
        <row r="131">
          <cell r="A131">
            <v>27620</v>
          </cell>
          <cell r="B131" t="str">
            <v>7 &amp; 8</v>
          </cell>
          <cell r="C131">
            <v>27620</v>
          </cell>
          <cell r="E131" t="str">
            <v>ASIAN AMERICAN DRUG ABUSE PROGRAM, INC. (AADAP)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I131">
            <v>0</v>
          </cell>
          <cell r="BK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</row>
        <row r="132">
          <cell r="A132">
            <v>27621</v>
          </cell>
          <cell r="B132">
            <v>4</v>
          </cell>
          <cell r="C132">
            <v>27621</v>
          </cell>
          <cell r="E132" t="str">
            <v>BEHAVIORAL HEALTH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26000</v>
          </cell>
          <cell r="BI132">
            <v>26000</v>
          </cell>
          <cell r="BJ132">
            <v>460</v>
          </cell>
          <cell r="BK132">
            <v>500</v>
          </cell>
          <cell r="BL132">
            <v>10000</v>
          </cell>
          <cell r="BM132">
            <v>10000</v>
          </cell>
          <cell r="BN132">
            <v>36500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26000</v>
          </cell>
          <cell r="CE132">
            <v>500</v>
          </cell>
          <cell r="CF132">
            <v>10000</v>
          </cell>
          <cell r="CG132">
            <v>0</v>
          </cell>
          <cell r="CH132">
            <v>0</v>
          </cell>
          <cell r="CI132">
            <v>0</v>
          </cell>
          <cell r="CJ132">
            <v>36500</v>
          </cell>
        </row>
        <row r="133">
          <cell r="A133">
            <v>27622</v>
          </cell>
          <cell r="B133">
            <v>4</v>
          </cell>
          <cell r="C133">
            <v>27622</v>
          </cell>
          <cell r="E133" t="str">
            <v>CALIFORNIA HISPANIC COMMISSION, INC.</v>
          </cell>
          <cell r="F133">
            <v>0</v>
          </cell>
          <cell r="G133">
            <v>0</v>
          </cell>
          <cell r="H133">
            <v>361600</v>
          </cell>
          <cell r="I133">
            <v>361600</v>
          </cell>
          <cell r="J133">
            <v>234950</v>
          </cell>
          <cell r="K133">
            <v>235000</v>
          </cell>
          <cell r="L133">
            <v>203400</v>
          </cell>
          <cell r="M133">
            <v>203400</v>
          </cell>
          <cell r="N133">
            <v>0</v>
          </cell>
          <cell r="O133">
            <v>0</v>
          </cell>
          <cell r="P133">
            <v>800000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400000</v>
          </cell>
          <cell r="Y133">
            <v>400000</v>
          </cell>
          <cell r="Z133">
            <v>400000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I133">
            <v>0</v>
          </cell>
          <cell r="BK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C133">
            <v>0</v>
          </cell>
          <cell r="CD133">
            <v>361600</v>
          </cell>
          <cell r="CE133">
            <v>235000</v>
          </cell>
          <cell r="CF133">
            <v>603400</v>
          </cell>
          <cell r="CG133">
            <v>0</v>
          </cell>
          <cell r="CH133">
            <v>0</v>
          </cell>
          <cell r="CI133">
            <v>0</v>
          </cell>
          <cell r="CJ133">
            <v>1200000</v>
          </cell>
        </row>
        <row r="134">
          <cell r="A134">
            <v>27624</v>
          </cell>
          <cell r="B134">
            <v>4</v>
          </cell>
          <cell r="C134">
            <v>27624</v>
          </cell>
          <cell r="E134" t="str">
            <v>SPIRITT  FAMILY SERVICES,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I134">
            <v>0</v>
          </cell>
          <cell r="BK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</row>
        <row r="135">
          <cell r="A135">
            <v>27625</v>
          </cell>
          <cell r="B135" t="str">
            <v>1, 2 &amp; 5</v>
          </cell>
          <cell r="C135">
            <v>27625</v>
          </cell>
          <cell r="E135" t="str">
            <v>TARZANA TREATMENT CENTER, INC.</v>
          </cell>
          <cell r="F135">
            <v>0</v>
          </cell>
          <cell r="G135">
            <v>0</v>
          </cell>
          <cell r="H135">
            <v>361600</v>
          </cell>
          <cell r="I135">
            <v>361600</v>
          </cell>
          <cell r="J135">
            <v>234950</v>
          </cell>
          <cell r="K135">
            <v>235000</v>
          </cell>
          <cell r="L135">
            <v>203400</v>
          </cell>
          <cell r="M135">
            <v>203400</v>
          </cell>
          <cell r="N135">
            <v>0</v>
          </cell>
          <cell r="O135">
            <v>0</v>
          </cell>
          <cell r="P135">
            <v>800000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I135">
            <v>0</v>
          </cell>
          <cell r="BK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361600</v>
          </cell>
          <cell r="CE135">
            <v>235000</v>
          </cell>
          <cell r="CF135">
            <v>203400</v>
          </cell>
          <cell r="CG135">
            <v>0</v>
          </cell>
          <cell r="CH135">
            <v>0</v>
          </cell>
          <cell r="CI135">
            <v>0</v>
          </cell>
          <cell r="CJ135">
            <v>800000</v>
          </cell>
        </row>
        <row r="136">
          <cell r="A136">
            <v>27626</v>
          </cell>
          <cell r="B136" t="str">
            <v>1, 2 &amp; 5</v>
          </cell>
          <cell r="C136">
            <v>27626</v>
          </cell>
          <cell r="E136" t="str">
            <v>NEW DIRECTIONS, INC.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</row>
        <row r="137">
          <cell r="A137">
            <v>27627</v>
          </cell>
          <cell r="B137">
            <v>3</v>
          </cell>
          <cell r="C137">
            <v>27627</v>
          </cell>
          <cell r="E137" t="str">
            <v>FLORENCE CRITTENTON SERVICES OF ORANGE COUNTY, INC.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</row>
        <row r="138">
          <cell r="A138">
            <v>27633</v>
          </cell>
          <cell r="B138">
            <v>4</v>
          </cell>
          <cell r="C138">
            <v>27633</v>
          </cell>
          <cell r="E138" t="str">
            <v>CALIFORNIA INSTITUTE OF HEALTH &amp; SOCIAL SVC, INC. (dba Alafia MH Institute)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</row>
        <row r="139">
          <cell r="A139">
            <v>27634</v>
          </cell>
          <cell r="B139">
            <v>3</v>
          </cell>
          <cell r="C139">
            <v>27634</v>
          </cell>
          <cell r="E139" t="str">
            <v>CENTER FOR INTEGRATED FAMILY &amp; HEALTH SERVICES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I139">
            <v>0</v>
          </cell>
          <cell r="BK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</row>
        <row r="140">
          <cell r="A140">
            <v>27635</v>
          </cell>
          <cell r="B140">
            <v>6</v>
          </cell>
          <cell r="C140">
            <v>27635</v>
          </cell>
          <cell r="E140" t="str">
            <v>DREW CHILD DEVELOPMENT CORPORATION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I140">
            <v>0</v>
          </cell>
          <cell r="BK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</row>
        <row r="141">
          <cell r="A141" t="str">
            <v>TBA</v>
          </cell>
          <cell r="B141">
            <v>4</v>
          </cell>
          <cell r="C141" t="str">
            <v>TBA</v>
          </cell>
          <cell r="E141" t="str">
            <v>UNITED STATES VETERANS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I141">
            <v>0</v>
          </cell>
          <cell r="BK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</row>
        <row r="142">
          <cell r="A142">
            <v>27638</v>
          </cell>
          <cell r="B142" t="str">
            <v>2 &amp; 5</v>
          </cell>
          <cell r="C142">
            <v>27638</v>
          </cell>
          <cell r="E142" t="str">
            <v>EDUCATIONAL RESOURCE &amp; SERVICES CTR. (dba KAYNE-ERAS)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I142">
            <v>0</v>
          </cell>
          <cell r="BK142">
            <v>0</v>
          </cell>
          <cell r="BM142">
            <v>0</v>
          </cell>
          <cell r="BN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</row>
        <row r="143">
          <cell r="A143">
            <v>27639</v>
          </cell>
          <cell r="B143" t="str">
            <v>1, 2 &amp; 5</v>
          </cell>
          <cell r="C143">
            <v>27639</v>
          </cell>
          <cell r="E143" t="str">
            <v>NEW HORIZONS FAMILY CENTER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</row>
        <row r="144">
          <cell r="A144">
            <v>27640</v>
          </cell>
          <cell r="B144">
            <v>6</v>
          </cell>
          <cell r="C144">
            <v>27640</v>
          </cell>
          <cell r="E144" t="str">
            <v>TESSIE CLEVELAND COMMUNITY SERVICES CORP.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</row>
        <row r="145">
          <cell r="A145">
            <v>27643</v>
          </cell>
          <cell r="B145" t="str">
            <v>1, 2 &amp; 5</v>
          </cell>
          <cell r="C145">
            <v>27643</v>
          </cell>
          <cell r="E145" t="str">
            <v>WISE AND HEALTHY AGING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</row>
        <row r="146">
          <cell r="A146">
            <v>27646</v>
          </cell>
          <cell r="B146">
            <v>4</v>
          </cell>
          <cell r="C146">
            <v>27646</v>
          </cell>
          <cell r="E146" t="str">
            <v>JWCH INSTITUTE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45074</v>
          </cell>
          <cell r="M146">
            <v>45100</v>
          </cell>
          <cell r="N146">
            <v>0</v>
          </cell>
          <cell r="O146">
            <v>0</v>
          </cell>
          <cell r="P146">
            <v>45100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G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45100</v>
          </cell>
          <cell r="CG146">
            <v>0</v>
          </cell>
          <cell r="CH146">
            <v>0</v>
          </cell>
          <cell r="CI146">
            <v>0</v>
          </cell>
          <cell r="CJ146">
            <v>45100</v>
          </cell>
        </row>
        <row r="147">
          <cell r="A147">
            <v>27654</v>
          </cell>
          <cell r="B147">
            <v>3</v>
          </cell>
          <cell r="C147">
            <v>27654</v>
          </cell>
          <cell r="E147" t="str">
            <v>FAMILIESFIRST,INC.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0</v>
          </cell>
          <cell r="CA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</row>
        <row r="148">
          <cell r="A148">
            <v>28027</v>
          </cell>
          <cell r="B148">
            <v>4</v>
          </cell>
          <cell r="C148">
            <v>28027</v>
          </cell>
          <cell r="E148" t="str">
            <v>JEWISH FAMILY SERVICES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I148">
            <v>0</v>
          </cell>
          <cell r="BK148">
            <v>0</v>
          </cell>
          <cell r="BM148">
            <v>0</v>
          </cell>
          <cell r="BN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</row>
        <row r="149">
          <cell r="A149">
            <v>12345</v>
          </cell>
          <cell r="E149" t="str">
            <v xml:space="preserve">ALLOCATED SUB TOTAL </v>
          </cell>
          <cell r="F149">
            <v>0</v>
          </cell>
          <cell r="G149">
            <v>0</v>
          </cell>
          <cell r="H149">
            <v>22045696</v>
          </cell>
          <cell r="I149">
            <v>22045700</v>
          </cell>
          <cell r="J149">
            <v>9468825</v>
          </cell>
          <cell r="K149">
            <v>9468900</v>
          </cell>
          <cell r="L149">
            <v>8670890</v>
          </cell>
          <cell r="M149">
            <v>8671000</v>
          </cell>
          <cell r="N149">
            <v>0</v>
          </cell>
          <cell r="O149">
            <v>0</v>
          </cell>
          <cell r="P149">
            <v>40185600</v>
          </cell>
          <cell r="R149">
            <v>0</v>
          </cell>
          <cell r="S149">
            <v>0</v>
          </cell>
          <cell r="T149">
            <v>7475152</v>
          </cell>
          <cell r="U149">
            <v>7475100</v>
          </cell>
          <cell r="V149">
            <v>0</v>
          </cell>
          <cell r="W149">
            <v>0</v>
          </cell>
          <cell r="X149">
            <v>10231398</v>
          </cell>
          <cell r="Y149">
            <v>10231400</v>
          </cell>
          <cell r="Z149">
            <v>17706500</v>
          </cell>
          <cell r="AB149">
            <v>0</v>
          </cell>
          <cell r="AC149">
            <v>0</v>
          </cell>
          <cell r="AD149">
            <v>3405000</v>
          </cell>
          <cell r="AE149">
            <v>3405000</v>
          </cell>
          <cell r="AF149">
            <v>0</v>
          </cell>
          <cell r="AG149">
            <v>0</v>
          </cell>
          <cell r="AH149">
            <v>1418642</v>
          </cell>
          <cell r="AI149">
            <v>1418700</v>
          </cell>
          <cell r="AJ149">
            <v>4823700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249359</v>
          </cell>
          <cell r="BA149">
            <v>249400</v>
          </cell>
          <cell r="BB149">
            <v>0</v>
          </cell>
          <cell r="BC149">
            <v>0</v>
          </cell>
          <cell r="BD149">
            <v>249400</v>
          </cell>
          <cell r="BF149">
            <v>0</v>
          </cell>
          <cell r="BG149">
            <v>0</v>
          </cell>
          <cell r="BH149">
            <v>3508870</v>
          </cell>
          <cell r="BI149">
            <v>3508900</v>
          </cell>
          <cell r="BJ149">
            <v>59428</v>
          </cell>
          <cell r="BK149">
            <v>59400</v>
          </cell>
          <cell r="BL149">
            <v>2674557</v>
          </cell>
          <cell r="BM149">
            <v>2674500</v>
          </cell>
          <cell r="BN149">
            <v>6242800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C149">
            <v>0</v>
          </cell>
          <cell r="CD149">
            <v>36434700</v>
          </cell>
          <cell r="CE149">
            <v>9777700</v>
          </cell>
          <cell r="CF149">
            <v>22995600</v>
          </cell>
          <cell r="CG149">
            <v>0</v>
          </cell>
          <cell r="CH149">
            <v>0</v>
          </cell>
          <cell r="CI149">
            <v>0</v>
          </cell>
          <cell r="CJ149">
            <v>69208000</v>
          </cell>
        </row>
        <row r="151">
          <cell r="A151" t="str">
            <v>00000</v>
          </cell>
          <cell r="C151" t="str">
            <v>00000</v>
          </cell>
          <cell r="E151" t="str">
            <v>UNALLOCATED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82459</v>
          </cell>
          <cell r="K151">
            <v>82500</v>
          </cell>
          <cell r="L151">
            <v>106774</v>
          </cell>
          <cell r="M151">
            <v>106800</v>
          </cell>
          <cell r="N151">
            <v>0</v>
          </cell>
          <cell r="O151">
            <v>0</v>
          </cell>
          <cell r="P151">
            <v>189300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575412</v>
          </cell>
          <cell r="W151">
            <v>575400</v>
          </cell>
          <cell r="X151">
            <v>921078</v>
          </cell>
          <cell r="Y151">
            <v>921100</v>
          </cell>
          <cell r="Z151">
            <v>1496500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293892</v>
          </cell>
          <cell r="AI151">
            <v>293900</v>
          </cell>
          <cell r="AJ151">
            <v>293900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783286</v>
          </cell>
          <cell r="AQ151">
            <v>783300</v>
          </cell>
          <cell r="AR151">
            <v>0</v>
          </cell>
          <cell r="AS151">
            <v>0</v>
          </cell>
          <cell r="AT151">
            <v>783300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272534</v>
          </cell>
          <cell r="BA151">
            <v>272500</v>
          </cell>
          <cell r="BB151">
            <v>30000</v>
          </cell>
          <cell r="BC151">
            <v>30000</v>
          </cell>
          <cell r="BD151">
            <v>302500</v>
          </cell>
          <cell r="BG151">
            <v>0</v>
          </cell>
          <cell r="BH151">
            <v>7734</v>
          </cell>
          <cell r="BI151">
            <v>7700</v>
          </cell>
          <cell r="BJ151">
            <v>0</v>
          </cell>
          <cell r="BK151">
            <v>0</v>
          </cell>
          <cell r="BL151">
            <v>102</v>
          </cell>
          <cell r="BM151">
            <v>100</v>
          </cell>
          <cell r="BN151">
            <v>7800</v>
          </cell>
          <cell r="BP151">
            <v>0</v>
          </cell>
          <cell r="BQ151">
            <v>0</v>
          </cell>
          <cell r="BR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C151">
            <v>0</v>
          </cell>
          <cell r="CD151">
            <v>7700</v>
          </cell>
          <cell r="CE151">
            <v>1713700</v>
          </cell>
          <cell r="CF151">
            <v>1351900</v>
          </cell>
          <cell r="CG151">
            <v>0</v>
          </cell>
          <cell r="CH151">
            <v>0</v>
          </cell>
          <cell r="CI151">
            <v>0</v>
          </cell>
          <cell r="CJ151">
            <v>3073300</v>
          </cell>
        </row>
        <row r="152">
          <cell r="A152" t="str">
            <v xml:space="preserve">Voc Reh </v>
          </cell>
          <cell r="C152" t="str">
            <v xml:space="preserve">Voc Reh </v>
          </cell>
          <cell r="E152" t="str">
            <v>UNALLOCATED - VOCATIONAL REHABILITATION</v>
          </cell>
          <cell r="F152">
            <v>0</v>
          </cell>
          <cell r="G152">
            <v>0</v>
          </cell>
          <cell r="I152">
            <v>0</v>
          </cell>
          <cell r="J152">
            <v>215172</v>
          </cell>
          <cell r="K152">
            <v>215200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215200</v>
          </cell>
          <cell r="R152">
            <v>0</v>
          </cell>
          <cell r="S152">
            <v>0</v>
          </cell>
          <cell r="U152">
            <v>0</v>
          </cell>
          <cell r="W152">
            <v>0</v>
          </cell>
          <cell r="Y152">
            <v>0</v>
          </cell>
          <cell r="Z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CC152">
            <v>0</v>
          </cell>
          <cell r="CD152">
            <v>0</v>
          </cell>
          <cell r="CE152">
            <v>215200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215200</v>
          </cell>
        </row>
        <row r="153">
          <cell r="E153" t="str">
            <v xml:space="preserve">UNALLOCATED SUB TOTAL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297631</v>
          </cell>
          <cell r="K153">
            <v>297700</v>
          </cell>
          <cell r="L153">
            <v>106774</v>
          </cell>
          <cell r="M153">
            <v>106800</v>
          </cell>
          <cell r="N153">
            <v>0</v>
          </cell>
          <cell r="O153">
            <v>0</v>
          </cell>
          <cell r="P153">
            <v>404500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575412</v>
          </cell>
          <cell r="W153">
            <v>575400</v>
          </cell>
          <cell r="X153">
            <v>921078</v>
          </cell>
          <cell r="Y153">
            <v>921100</v>
          </cell>
          <cell r="Z153">
            <v>1496500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293892</v>
          </cell>
          <cell r="AI153">
            <v>293900</v>
          </cell>
          <cell r="AJ153">
            <v>293900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783286</v>
          </cell>
          <cell r="AQ153">
            <v>783300</v>
          </cell>
          <cell r="AR153">
            <v>0</v>
          </cell>
          <cell r="AS153">
            <v>0</v>
          </cell>
          <cell r="AT153">
            <v>783300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272534</v>
          </cell>
          <cell r="BA153">
            <v>272500</v>
          </cell>
          <cell r="BB153">
            <v>30000</v>
          </cell>
          <cell r="BC153">
            <v>30000</v>
          </cell>
          <cell r="BD153">
            <v>302500</v>
          </cell>
          <cell r="BF153">
            <v>0</v>
          </cell>
          <cell r="BG153">
            <v>0</v>
          </cell>
          <cell r="BH153">
            <v>7734</v>
          </cell>
          <cell r="BI153">
            <v>7700</v>
          </cell>
          <cell r="BJ153">
            <v>0</v>
          </cell>
          <cell r="BK153">
            <v>0</v>
          </cell>
          <cell r="BL153">
            <v>102</v>
          </cell>
          <cell r="BM153">
            <v>100</v>
          </cell>
          <cell r="BN153">
            <v>7800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7700</v>
          </cell>
          <cell r="CE153">
            <v>1713700</v>
          </cell>
          <cell r="CF153">
            <v>1351900</v>
          </cell>
          <cell r="CG153">
            <v>0</v>
          </cell>
          <cell r="CH153">
            <v>0</v>
          </cell>
          <cell r="CI153">
            <v>0</v>
          </cell>
          <cell r="CJ153">
            <v>3288500</v>
          </cell>
        </row>
        <row r="155">
          <cell r="E155" t="str">
            <v xml:space="preserve">GRAND TOTAL </v>
          </cell>
          <cell r="F155">
            <v>0</v>
          </cell>
          <cell r="G155">
            <v>0</v>
          </cell>
          <cell r="H155">
            <v>22045696</v>
          </cell>
          <cell r="I155">
            <v>22045700</v>
          </cell>
          <cell r="J155">
            <v>9766456</v>
          </cell>
          <cell r="K155">
            <v>9766600</v>
          </cell>
          <cell r="L155">
            <v>8777664</v>
          </cell>
          <cell r="M155">
            <v>8777800</v>
          </cell>
          <cell r="N155">
            <v>0</v>
          </cell>
          <cell r="O155">
            <v>0</v>
          </cell>
          <cell r="P155">
            <v>40590100</v>
          </cell>
          <cell r="R155">
            <v>0</v>
          </cell>
          <cell r="S155">
            <v>0</v>
          </cell>
          <cell r="T155">
            <v>7475152</v>
          </cell>
          <cell r="U155">
            <v>7475100</v>
          </cell>
          <cell r="V155">
            <v>575412</v>
          </cell>
          <cell r="W155">
            <v>575400</v>
          </cell>
          <cell r="X155">
            <v>11152476</v>
          </cell>
          <cell r="Y155">
            <v>11152500</v>
          </cell>
          <cell r="Z155">
            <v>19203000</v>
          </cell>
          <cell r="AB155">
            <v>0</v>
          </cell>
          <cell r="AC155">
            <v>0</v>
          </cell>
          <cell r="AD155">
            <v>3405000</v>
          </cell>
          <cell r="AE155">
            <v>3405000</v>
          </cell>
          <cell r="AF155">
            <v>0</v>
          </cell>
          <cell r="AG155">
            <v>0</v>
          </cell>
          <cell r="AH155">
            <v>1712534</v>
          </cell>
          <cell r="AI155">
            <v>1712600</v>
          </cell>
          <cell r="AJ155">
            <v>5117600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783286</v>
          </cell>
          <cell r="AQ155">
            <v>783300</v>
          </cell>
          <cell r="AR155">
            <v>0</v>
          </cell>
          <cell r="AS155">
            <v>0</v>
          </cell>
          <cell r="AT155">
            <v>783300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521893</v>
          </cell>
          <cell r="BA155">
            <v>521900</v>
          </cell>
          <cell r="BB155">
            <v>30000</v>
          </cell>
          <cell r="BC155">
            <v>30000</v>
          </cell>
          <cell r="BD155">
            <v>551900</v>
          </cell>
          <cell r="BF155">
            <v>0</v>
          </cell>
          <cell r="BG155">
            <v>0</v>
          </cell>
          <cell r="BH155">
            <v>3516604</v>
          </cell>
          <cell r="BI155">
            <v>3516600</v>
          </cell>
          <cell r="BJ155">
            <v>59428</v>
          </cell>
          <cell r="BK155">
            <v>59400</v>
          </cell>
          <cell r="BL155">
            <v>2674659</v>
          </cell>
          <cell r="BM155">
            <v>2674600</v>
          </cell>
          <cell r="BN155">
            <v>6250600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C155">
            <v>0</v>
          </cell>
          <cell r="CD155">
            <v>36442400</v>
          </cell>
          <cell r="CE155">
            <v>11491400</v>
          </cell>
          <cell r="CF155">
            <v>24347500</v>
          </cell>
          <cell r="CG155">
            <v>0</v>
          </cell>
          <cell r="CH155">
            <v>0</v>
          </cell>
          <cell r="CI155">
            <v>0</v>
          </cell>
          <cell r="CJ155">
            <v>72496500</v>
          </cell>
        </row>
        <row r="156">
          <cell r="E156" t="str">
            <v xml:space="preserve">* AB2034 OTHER SERVICES &amp; MEDI-CAL ARE MOVED TO 32073 UNTIL FINAL </v>
          </cell>
          <cell r="I156" t="str">
            <v>H974-MATCH</v>
          </cell>
          <cell r="K156" t="str">
            <v>H957</v>
          </cell>
          <cell r="M156" t="str">
            <v>H914</v>
          </cell>
          <cell r="S156" t="str">
            <v>H976</v>
          </cell>
          <cell r="U156" t="str">
            <v>H977</v>
          </cell>
          <cell r="Y156" t="str">
            <v>H985</v>
          </cell>
          <cell r="AC156" t="str">
            <v>H978</v>
          </cell>
          <cell r="AE156" t="str">
            <v>H979</v>
          </cell>
          <cell r="AQ156" t="str">
            <v>H919</v>
          </cell>
          <cell r="AS156" t="str">
            <v>H920</v>
          </cell>
          <cell r="BA156" t="str">
            <v>H921</v>
          </cell>
          <cell r="BC156" t="str">
            <v>H922</v>
          </cell>
        </row>
        <row r="157">
          <cell r="E157" t="str">
            <v xml:space="preserve">   ALLOCATIONS ARE DETERMINED</v>
          </cell>
          <cell r="I157" t="str">
            <v>M949-FFP</v>
          </cell>
          <cell r="AC157" t="str">
            <v>M931-FFP</v>
          </cell>
          <cell r="AE157" t="str">
            <v>M949-FFP</v>
          </cell>
          <cell r="AI157" t="str">
            <v>H917/918</v>
          </cell>
          <cell r="BK157" t="str">
            <v>TBA</v>
          </cell>
        </row>
        <row r="158">
          <cell r="J158" t="str">
            <v>.</v>
          </cell>
          <cell r="P158">
            <v>40447770</v>
          </cell>
          <cell r="Z158">
            <v>18687065</v>
          </cell>
          <cell r="AC158" t="str">
            <v>M932-SGF</v>
          </cell>
          <cell r="BN158">
            <v>6749866</v>
          </cell>
        </row>
        <row r="159">
          <cell r="P159">
            <v>142330</v>
          </cell>
          <cell r="Z159">
            <v>515935</v>
          </cell>
          <cell r="AJ159">
            <v>5117600</v>
          </cell>
          <cell r="AT159">
            <v>783300</v>
          </cell>
          <cell r="BD159">
            <v>551900</v>
          </cell>
          <cell r="BN159">
            <v>-499266</v>
          </cell>
          <cell r="CJ159">
            <v>73414786</v>
          </cell>
        </row>
        <row r="160">
          <cell r="CJ160">
            <v>-918286</v>
          </cell>
        </row>
        <row r="177">
          <cell r="A177">
            <v>27644</v>
          </cell>
          <cell r="B177" t="str">
            <v>TBD</v>
          </cell>
          <cell r="C177">
            <v>27644</v>
          </cell>
          <cell r="E177" t="str">
            <v>USC CARE MEDICAL GROUP, INC. (USC UCC PROGRAM)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G177">
            <v>0</v>
          </cell>
          <cell r="BI177">
            <v>0</v>
          </cell>
          <cell r="BK177">
            <v>0</v>
          </cell>
          <cell r="BM177">
            <v>0</v>
          </cell>
          <cell r="BN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</row>
        <row r="203">
          <cell r="E203" t="str">
            <v>SOCIAL MODEL RECOVERY</v>
          </cell>
        </row>
        <row r="204">
          <cell r="E204" t="str">
            <v>CALWORKS</v>
          </cell>
        </row>
        <row r="205">
          <cell r="E205" t="str">
            <v>GROW PROGRAM</v>
          </cell>
        </row>
        <row r="206">
          <cell r="E206" t="str">
            <v xml:space="preserve">LAMP </v>
          </cell>
        </row>
        <row r="207">
          <cell r="E207" t="str">
            <v>AB-34</v>
          </cell>
        </row>
        <row r="208">
          <cell r="E208" t="str">
            <v>ENKI</v>
          </cell>
        </row>
        <row r="209">
          <cell r="E209" t="str">
            <v>SIDEKICK</v>
          </cell>
        </row>
        <row r="210">
          <cell r="E210" t="str">
            <v>KIDSTEP PROGRAM</v>
          </cell>
        </row>
        <row r="211">
          <cell r="E211" t="str">
            <v>FAMILY PRESERVATION</v>
          </cell>
        </row>
        <row r="212">
          <cell r="E212" t="str">
            <v>FAMILY PRESERVATION</v>
          </cell>
        </row>
        <row r="213">
          <cell r="E213" t="str">
            <v>AB-1733</v>
          </cell>
        </row>
        <row r="214">
          <cell r="E214" t="str">
            <v>STARVIEW PROGRAM</v>
          </cell>
        </row>
        <row r="221">
          <cell r="A221">
            <v>23163</v>
          </cell>
          <cell r="C221">
            <v>23163</v>
          </cell>
          <cell r="D221" t="str">
            <v>A</v>
          </cell>
          <cell r="E221" t="str">
            <v xml:space="preserve">SAN FERNANDO V CMHC, INC. </v>
          </cell>
          <cell r="Z221">
            <v>0</v>
          </cell>
        </row>
        <row r="222">
          <cell r="E222" t="str">
            <v>Per Contract</v>
          </cell>
          <cell r="Z222">
            <v>0</v>
          </cell>
        </row>
        <row r="223">
          <cell r="Z223">
            <v>0</v>
          </cell>
        </row>
        <row r="229">
          <cell r="E229" t="str">
            <v>Sidekick additional budget</v>
          </cell>
        </row>
        <row r="232">
          <cell r="A232" t="str">
            <v>03-27-01</v>
          </cell>
          <cell r="C232" t="str">
            <v>03-27-01</v>
          </cell>
        </row>
        <row r="233">
          <cell r="A233">
            <v>23157</v>
          </cell>
          <cell r="C233">
            <v>23157</v>
          </cell>
          <cell r="D233" t="str">
            <v>C</v>
          </cell>
          <cell r="E233" t="str">
            <v>GREATER L.B. CHILD GUIDANCE CTR.</v>
          </cell>
          <cell r="Z233">
            <v>0</v>
          </cell>
        </row>
        <row r="234">
          <cell r="A234">
            <v>23157</v>
          </cell>
          <cell r="C234">
            <v>23157</v>
          </cell>
          <cell r="D234" t="str">
            <v>C</v>
          </cell>
          <cell r="E234" t="str">
            <v>GREATER L.B. CHILD GUIDANCE CTR.</v>
          </cell>
          <cell r="Z234">
            <v>0</v>
          </cell>
        </row>
        <row r="235">
          <cell r="A235">
            <v>23157</v>
          </cell>
          <cell r="C235">
            <v>23157</v>
          </cell>
          <cell r="D235" t="str">
            <v>C</v>
          </cell>
          <cell r="E235" t="str">
            <v>GREATER L.B. CHILD GUIDANCE CTR.</v>
          </cell>
          <cell r="Z235">
            <v>0</v>
          </cell>
        </row>
        <row r="236">
          <cell r="A236">
            <v>23157</v>
          </cell>
          <cell r="C236">
            <v>23157</v>
          </cell>
          <cell r="D236" t="str">
            <v>C</v>
          </cell>
          <cell r="E236" t="str">
            <v>GREATER L.B. CHILD GUIDANCE CTR.</v>
          </cell>
          <cell r="Z236">
            <v>0</v>
          </cell>
        </row>
        <row r="237">
          <cell r="A237">
            <v>23157</v>
          </cell>
          <cell r="C237">
            <v>23157</v>
          </cell>
          <cell r="D237" t="str">
            <v>C</v>
          </cell>
          <cell r="E237" t="str">
            <v>GREATER L.B. CHILD GUIDANCE CTR.</v>
          </cell>
          <cell r="Z237">
            <v>0</v>
          </cell>
        </row>
        <row r="238">
          <cell r="A238">
            <v>23157</v>
          </cell>
          <cell r="C238">
            <v>23157</v>
          </cell>
          <cell r="D238" t="str">
            <v>C</v>
          </cell>
          <cell r="E238" t="str">
            <v>GREATER L.B. CHILD GUIDANCE CTR.</v>
          </cell>
          <cell r="Z238">
            <v>0</v>
          </cell>
        </row>
        <row r="239">
          <cell r="A239">
            <v>23157</v>
          </cell>
          <cell r="C239">
            <v>23157</v>
          </cell>
          <cell r="D239" t="str">
            <v>C</v>
          </cell>
          <cell r="E239" t="str">
            <v>GREATER L.B. CHILD GUIDANCE CTR.</v>
          </cell>
          <cell r="Z239">
            <v>0</v>
          </cell>
        </row>
        <row r="240">
          <cell r="A240">
            <v>23157</v>
          </cell>
          <cell r="C240">
            <v>23157</v>
          </cell>
          <cell r="D240" t="str">
            <v>C</v>
          </cell>
          <cell r="E240" t="str">
            <v>GREATER L.B. CHILD GUIDANCE CTR.</v>
          </cell>
          <cell r="Z240">
            <v>0</v>
          </cell>
        </row>
        <row r="241">
          <cell r="A241">
            <v>23157</v>
          </cell>
          <cell r="C241">
            <v>23157</v>
          </cell>
          <cell r="D241" t="str">
            <v>C</v>
          </cell>
          <cell r="E241" t="str">
            <v>GREATER L.B. CHILD GUIDANCE CTR.</v>
          </cell>
          <cell r="Z241">
            <v>0</v>
          </cell>
        </row>
        <row r="242">
          <cell r="A242">
            <v>23157</v>
          </cell>
          <cell r="C242">
            <v>23157</v>
          </cell>
          <cell r="D242" t="str">
            <v>C</v>
          </cell>
          <cell r="E242" t="str">
            <v>GREATER L.B. CHILD GUIDANCE CTR.</v>
          </cell>
          <cell r="Z242">
            <v>0</v>
          </cell>
        </row>
        <row r="243">
          <cell r="Z243">
            <v>0</v>
          </cell>
        </row>
        <row r="244">
          <cell r="A244" t="str">
            <v>02-26-01</v>
          </cell>
          <cell r="C244" t="str">
            <v>02-26-01</v>
          </cell>
          <cell r="E244" t="str">
            <v>CONTRACT - CFLF REQUEST</v>
          </cell>
        </row>
        <row r="245">
          <cell r="E245" t="str">
            <v>Variance</v>
          </cell>
          <cell r="Z245">
            <v>0</v>
          </cell>
        </row>
        <row r="248">
          <cell r="A248">
            <v>23181</v>
          </cell>
          <cell r="C248">
            <v>23181</v>
          </cell>
          <cell r="D248" t="str">
            <v>A</v>
          </cell>
          <cell r="E248" t="str">
            <v>WORK ORIENTATION AND REHAB (WORC)</v>
          </cell>
          <cell r="Z248">
            <v>0</v>
          </cell>
        </row>
        <row r="249">
          <cell r="Z249">
            <v>0</v>
          </cell>
        </row>
        <row r="250">
          <cell r="A250" t="str">
            <v>02-26-01</v>
          </cell>
          <cell r="C250" t="str">
            <v>02-26-01</v>
          </cell>
          <cell r="E250" t="str">
            <v>CONTRACT - CFLF REQUEST</v>
          </cell>
          <cell r="Z250">
            <v>0</v>
          </cell>
        </row>
        <row r="251">
          <cell r="E251" t="str">
            <v>Variance</v>
          </cell>
          <cell r="Z251">
            <v>0</v>
          </cell>
        </row>
        <row r="254">
          <cell r="A254">
            <v>23114</v>
          </cell>
          <cell r="C254">
            <v>23114</v>
          </cell>
          <cell r="D254" t="str">
            <v>C</v>
          </cell>
          <cell r="E254" t="str">
            <v>COMMUNITY FAMILY GUIDANCE</v>
          </cell>
          <cell r="Z254">
            <v>0</v>
          </cell>
        </row>
        <row r="255">
          <cell r="A255">
            <v>23114</v>
          </cell>
          <cell r="C255">
            <v>23114</v>
          </cell>
          <cell r="D255" t="str">
            <v>C</v>
          </cell>
          <cell r="E255" t="str">
            <v>COMMUNITY FAMILY GUIDANCE</v>
          </cell>
          <cell r="Z255">
            <v>0</v>
          </cell>
        </row>
        <row r="256">
          <cell r="A256">
            <v>23114</v>
          </cell>
          <cell r="C256">
            <v>23114</v>
          </cell>
          <cell r="D256" t="str">
            <v>C</v>
          </cell>
          <cell r="E256" t="str">
            <v>COMMUNITY FAMILY GUIDANCE</v>
          </cell>
          <cell r="Z256">
            <v>0</v>
          </cell>
        </row>
        <row r="257">
          <cell r="A257">
            <v>23114</v>
          </cell>
          <cell r="C257">
            <v>23114</v>
          </cell>
          <cell r="D257" t="str">
            <v>C</v>
          </cell>
          <cell r="E257" t="str">
            <v>COMMUNITY FAMILY GUIDANCE</v>
          </cell>
          <cell r="Z257">
            <v>0</v>
          </cell>
        </row>
        <row r="258">
          <cell r="A258">
            <v>23114</v>
          </cell>
          <cell r="C258">
            <v>23114</v>
          </cell>
          <cell r="D258" t="str">
            <v>C</v>
          </cell>
          <cell r="E258" t="str">
            <v>COMMUNITY FAMILY GUIDANCE</v>
          </cell>
          <cell r="Z258">
            <v>0</v>
          </cell>
        </row>
        <row r="259">
          <cell r="A259">
            <v>23114</v>
          </cell>
          <cell r="C259">
            <v>23114</v>
          </cell>
          <cell r="D259" t="str">
            <v>C</v>
          </cell>
          <cell r="E259" t="str">
            <v>COMMUNITY FAMILY GUIDANCE</v>
          </cell>
          <cell r="Z259">
            <v>0</v>
          </cell>
        </row>
        <row r="260">
          <cell r="A260">
            <v>23114</v>
          </cell>
          <cell r="C260">
            <v>23114</v>
          </cell>
          <cell r="D260" t="str">
            <v>C</v>
          </cell>
          <cell r="E260" t="str">
            <v>COMMUNITY FAMILY GUIDANCE</v>
          </cell>
          <cell r="Z260">
            <v>0</v>
          </cell>
        </row>
        <row r="261">
          <cell r="Z261">
            <v>0</v>
          </cell>
        </row>
        <row r="262">
          <cell r="A262" t="str">
            <v>02-26-01</v>
          </cell>
          <cell r="C262" t="str">
            <v>02-26-01</v>
          </cell>
          <cell r="E262" t="str">
            <v>CONTRACT - CFLF REQUEST</v>
          </cell>
        </row>
        <row r="263">
          <cell r="E263" t="str">
            <v>Variance</v>
          </cell>
        </row>
      </sheetData>
      <sheetData sheetId="18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</row>
        <row r="3">
          <cell r="B3" t="str">
            <v>BUDGET &amp; FINANCIAL REPORTING DIVISION</v>
          </cell>
        </row>
        <row r="4">
          <cell r="B4" t="str">
            <v>MHSA - OLDER ADULT ALLOCATION</v>
          </cell>
          <cell r="G4" t="str">
            <v>PLAN I</v>
          </cell>
          <cell r="Q4" t="str">
            <v>TBA</v>
          </cell>
          <cell r="AA4" t="str">
            <v>PLAN II</v>
          </cell>
          <cell r="AK4" t="str">
            <v>PLAN II</v>
          </cell>
          <cell r="AU4" t="str">
            <v>PLAN II</v>
          </cell>
        </row>
        <row r="5">
          <cell r="B5" t="str">
            <v>FISCAL YEAR 2009/2010 BUDGET REQUEST - SUPERCESSION &amp; RENEWAL</v>
          </cell>
          <cell r="G5" t="str">
            <v>OLDER ADULT FSP</v>
          </cell>
          <cell r="Q5" t="str">
            <v>TRANSFORMATION DESIGN TEAM</v>
          </cell>
          <cell r="AA5" t="str">
            <v>FIELD-CAPABLE CLINICAL SERVICES</v>
          </cell>
          <cell r="AK5" t="str">
            <v>SERVICE EXTENDERS</v>
          </cell>
          <cell r="AU5" t="str">
            <v>TRAINING</v>
          </cell>
          <cell r="BD5" t="str">
            <v>TOTAL BUDGET</v>
          </cell>
        </row>
        <row r="6">
          <cell r="G6" t="str">
            <v>32041</v>
          </cell>
          <cell r="Q6" t="str">
            <v>32042</v>
          </cell>
          <cell r="AA6" t="str">
            <v>32043</v>
          </cell>
          <cell r="AK6" t="str">
            <v>32045</v>
          </cell>
          <cell r="AU6" t="str">
            <v>32047</v>
          </cell>
        </row>
        <row r="7">
          <cell r="D7" t="str">
            <v>UNIT</v>
          </cell>
        </row>
        <row r="8">
          <cell r="B8" t="str">
            <v>SERVICE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FLEX</v>
          </cell>
          <cell r="K8" t="str">
            <v>FLEX</v>
          </cell>
          <cell r="P8" t="str">
            <v>GROSS</v>
          </cell>
          <cell r="Q8" t="str">
            <v>GROSS</v>
          </cell>
          <cell r="R8" t="str">
            <v>GROSS</v>
          </cell>
          <cell r="S8" t="str">
            <v>GROSS</v>
          </cell>
          <cell r="T8" t="str">
            <v>FLEX</v>
          </cell>
          <cell r="U8" t="str">
            <v>FLEX</v>
          </cell>
          <cell r="Z8" t="str">
            <v>GROSS</v>
          </cell>
          <cell r="AA8" t="str">
            <v>GROSS</v>
          </cell>
          <cell r="AB8" t="str">
            <v>GROSS</v>
          </cell>
          <cell r="AC8" t="str">
            <v>GROSS</v>
          </cell>
          <cell r="AD8" t="str">
            <v>FLEX</v>
          </cell>
          <cell r="AE8" t="str">
            <v>FLEX</v>
          </cell>
          <cell r="AJ8" t="str">
            <v>GROSS</v>
          </cell>
          <cell r="AK8" t="str">
            <v>GROSS</v>
          </cell>
          <cell r="AL8" t="str">
            <v>GROSS</v>
          </cell>
          <cell r="AM8" t="str">
            <v>GROSS</v>
          </cell>
          <cell r="AN8" t="str">
            <v>FLEX</v>
          </cell>
          <cell r="AO8" t="str">
            <v>FLEX</v>
          </cell>
          <cell r="AT8" t="str">
            <v>GROSS</v>
          </cell>
          <cell r="AU8" t="str">
            <v>GROSS</v>
          </cell>
          <cell r="AV8" t="str">
            <v>GROSS</v>
          </cell>
          <cell r="AW8" t="str">
            <v>GROSS</v>
          </cell>
          <cell r="AX8" t="str">
            <v>FLEX</v>
          </cell>
          <cell r="AY8" t="str">
            <v>FLEX</v>
          </cell>
          <cell r="BD8" t="str">
            <v>GROSS</v>
          </cell>
          <cell r="BE8" t="str">
            <v>GROSS</v>
          </cell>
          <cell r="BF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FUNDS</v>
          </cell>
          <cell r="K9" t="str">
            <v>FUNDS</v>
          </cell>
          <cell r="L9" t="str">
            <v>MHSA</v>
          </cell>
          <cell r="M9" t="str">
            <v>MHSA</v>
          </cell>
          <cell r="N9" t="str">
            <v>TOTAL</v>
          </cell>
          <cell r="P9" t="str">
            <v>EPSDT</v>
          </cell>
          <cell r="Q9" t="str">
            <v>EPSDT</v>
          </cell>
          <cell r="R9" t="str">
            <v>NON-EPSDT</v>
          </cell>
          <cell r="S9" t="str">
            <v>NON-EPSDT</v>
          </cell>
          <cell r="T9" t="str">
            <v>FUNDS</v>
          </cell>
          <cell r="U9" t="str">
            <v>FUNDS</v>
          </cell>
          <cell r="V9" t="str">
            <v>MHSA</v>
          </cell>
          <cell r="W9" t="str">
            <v>MHSA</v>
          </cell>
          <cell r="X9" t="str">
            <v>TOTAL</v>
          </cell>
          <cell r="Z9" t="str">
            <v>EPSDT</v>
          </cell>
          <cell r="AA9" t="str">
            <v>EPSDT</v>
          </cell>
          <cell r="AB9" t="str">
            <v>NON-EPSDT</v>
          </cell>
          <cell r="AC9" t="str">
            <v>NON-EPSDT</v>
          </cell>
          <cell r="AD9" t="str">
            <v>FUNDS</v>
          </cell>
          <cell r="AE9" t="str">
            <v>FUNDS</v>
          </cell>
          <cell r="AF9" t="str">
            <v>MHSA</v>
          </cell>
          <cell r="AG9" t="str">
            <v>MHSA</v>
          </cell>
          <cell r="AH9" t="str">
            <v>TOTAL</v>
          </cell>
          <cell r="AJ9" t="str">
            <v>EPSDT</v>
          </cell>
          <cell r="AK9" t="str">
            <v>EPSDT</v>
          </cell>
          <cell r="AL9" t="str">
            <v>NON-EPSDT</v>
          </cell>
          <cell r="AM9" t="str">
            <v>NON-EPSDT</v>
          </cell>
          <cell r="AN9" t="str">
            <v>FUNDS</v>
          </cell>
          <cell r="AO9" t="str">
            <v>FUNDS</v>
          </cell>
          <cell r="AP9" t="str">
            <v>MHSA</v>
          </cell>
          <cell r="AQ9" t="str">
            <v>MHSA</v>
          </cell>
          <cell r="AR9" t="str">
            <v>TOTAL</v>
          </cell>
          <cell r="AT9" t="str">
            <v>EPSDT</v>
          </cell>
          <cell r="AU9" t="str">
            <v>EPSDT</v>
          </cell>
          <cell r="AV9" t="str">
            <v>NON-EPSDT</v>
          </cell>
          <cell r="AW9" t="str">
            <v>NON-EPSDT</v>
          </cell>
          <cell r="AX9" t="str">
            <v>FUNDS</v>
          </cell>
          <cell r="AY9" t="str">
            <v>FUNDS</v>
          </cell>
          <cell r="AZ9" t="str">
            <v>MHSA</v>
          </cell>
          <cell r="BA9" t="str">
            <v>MHSA</v>
          </cell>
          <cell r="BB9" t="str">
            <v>TOTAL</v>
          </cell>
          <cell r="BD9" t="str">
            <v>EPSDT</v>
          </cell>
          <cell r="BE9" t="str">
            <v>NON-EPSDT</v>
          </cell>
          <cell r="BF9" t="str">
            <v>FUNDS</v>
          </cell>
          <cell r="BG9" t="str">
            <v>MHSA</v>
          </cell>
          <cell r="BH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200024</v>
          </cell>
          <cell r="AC24">
            <v>200000</v>
          </cell>
          <cell r="AD24">
            <v>0</v>
          </cell>
          <cell r="AE24">
            <v>0</v>
          </cell>
          <cell r="AF24">
            <v>25122</v>
          </cell>
          <cell r="AG24">
            <v>25100</v>
          </cell>
          <cell r="AH24">
            <v>225100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0</v>
          </cell>
          <cell r="BE24">
            <v>200000</v>
          </cell>
          <cell r="BF24">
            <v>0</v>
          </cell>
          <cell r="BG24">
            <v>25100</v>
          </cell>
          <cell r="BH24">
            <v>225100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1600</v>
          </cell>
          <cell r="AE42">
            <v>1600</v>
          </cell>
          <cell r="AF42">
            <v>30400</v>
          </cell>
          <cell r="AG42">
            <v>30400</v>
          </cell>
          <cell r="AH42">
            <v>32000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0</v>
          </cell>
          <cell r="BE42">
            <v>0</v>
          </cell>
          <cell r="BF42">
            <v>1600</v>
          </cell>
          <cell r="BG42">
            <v>30400</v>
          </cell>
          <cell r="BH42">
            <v>32000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B44">
            <v>58500</v>
          </cell>
          <cell r="AC44">
            <v>58500</v>
          </cell>
          <cell r="AD44">
            <v>1000</v>
          </cell>
          <cell r="AE44">
            <v>1000</v>
          </cell>
          <cell r="AF44">
            <v>0</v>
          </cell>
          <cell r="AG44">
            <v>0</v>
          </cell>
          <cell r="AH44">
            <v>59500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E44">
            <v>58500</v>
          </cell>
          <cell r="BF44">
            <v>1000</v>
          </cell>
          <cell r="BG44">
            <v>0</v>
          </cell>
          <cell r="BH44">
            <v>59500</v>
          </cell>
        </row>
        <row r="45">
          <cell r="A45">
            <v>27638</v>
          </cell>
          <cell r="B45" t="str">
            <v>2 &amp; 5</v>
          </cell>
          <cell r="C45">
            <v>27638</v>
          </cell>
          <cell r="E45" t="str">
            <v>EDUCATIONAL RESOURCE &amp; SERVICES CTR. (dba KAYNE-ERAS)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</row>
        <row r="46">
          <cell r="A46">
            <v>23108</v>
          </cell>
          <cell r="B46" t="str">
            <v>7 &amp; 8</v>
          </cell>
          <cell r="C46">
            <v>23108</v>
          </cell>
          <cell r="E46" t="str">
            <v xml:space="preserve">FOR THE CHILD, INC.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</row>
        <row r="47">
          <cell r="A47">
            <v>23109</v>
          </cell>
          <cell r="B47">
            <v>4</v>
          </cell>
          <cell r="C47">
            <v>23109</v>
          </cell>
          <cell r="E47" t="str">
            <v>CEDARS-SINAI MEDICAL CENTER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>
            <v>23112</v>
          </cell>
          <cell r="B48">
            <v>4</v>
          </cell>
          <cell r="C48">
            <v>23112</v>
          </cell>
          <cell r="E48" t="str">
            <v>CHILDREN'S HOSPITAL OF LOS ANGELES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</row>
        <row r="49">
          <cell r="A49">
            <v>23113</v>
          </cell>
          <cell r="B49" t="str">
            <v>7 &amp; 8</v>
          </cell>
          <cell r="C49">
            <v>23113</v>
          </cell>
          <cell r="E49" t="str">
            <v>CITY OF GARDENA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</row>
        <row r="50">
          <cell r="A50">
            <v>23114</v>
          </cell>
          <cell r="B50">
            <v>4</v>
          </cell>
          <cell r="C50">
            <v>23114</v>
          </cell>
          <cell r="E50" t="str">
            <v>COMMUNITY FAMILY GUIDANCE CENTER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A51">
            <v>23116</v>
          </cell>
          <cell r="B51" t="str">
            <v>1, 2 &amp; 5</v>
          </cell>
          <cell r="C51">
            <v>23116</v>
          </cell>
          <cell r="E51" t="str">
            <v xml:space="preserve">DIDI HIRSCH PSYCHIATRIC SERVICE </v>
          </cell>
          <cell r="F51">
            <v>0</v>
          </cell>
          <cell r="G51">
            <v>0</v>
          </cell>
          <cell r="H51">
            <v>216000</v>
          </cell>
          <cell r="I51">
            <v>216000</v>
          </cell>
          <cell r="J51">
            <v>65500</v>
          </cell>
          <cell r="K51">
            <v>65500</v>
          </cell>
          <cell r="L51">
            <v>48000</v>
          </cell>
          <cell r="M51">
            <v>48000</v>
          </cell>
          <cell r="N51">
            <v>329500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164170</v>
          </cell>
          <cell r="AC51">
            <v>164200</v>
          </cell>
          <cell r="AD51">
            <v>0</v>
          </cell>
          <cell r="AE51">
            <v>0</v>
          </cell>
          <cell r="AF51">
            <v>18242</v>
          </cell>
          <cell r="AG51">
            <v>18200</v>
          </cell>
          <cell r="AH51">
            <v>182400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0</v>
          </cell>
          <cell r="BE51">
            <v>380200</v>
          </cell>
          <cell r="BF51">
            <v>65500</v>
          </cell>
          <cell r="BG51">
            <v>66200</v>
          </cell>
          <cell r="BH51">
            <v>511900</v>
          </cell>
        </row>
        <row r="52">
          <cell r="A52">
            <v>23118</v>
          </cell>
          <cell r="B52">
            <v>3</v>
          </cell>
          <cell r="C52">
            <v>23118</v>
          </cell>
          <cell r="E52" t="str">
            <v>DUBNOFF CENTER FOR CHILD DEV &amp; EDU THERAPY,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</row>
        <row r="54">
          <cell r="A54">
            <v>23119</v>
          </cell>
          <cell r="B54">
            <v>3</v>
          </cell>
          <cell r="C54">
            <v>23119</v>
          </cell>
          <cell r="E54" t="str">
            <v>EL CENTRO DE AMISTAD,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</row>
        <row r="55">
          <cell r="A55">
            <v>23122</v>
          </cell>
          <cell r="B55">
            <v>4</v>
          </cell>
          <cell r="C55">
            <v>23122</v>
          </cell>
          <cell r="E55" t="str">
            <v xml:space="preserve">ENKI HEALTH AND RESEARCH SYSTEMS, INC. 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2400</v>
          </cell>
          <cell r="AE55">
            <v>2400</v>
          </cell>
          <cell r="AF55">
            <v>45600</v>
          </cell>
          <cell r="AG55">
            <v>45600</v>
          </cell>
          <cell r="AH55">
            <v>48000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E55">
            <v>0</v>
          </cell>
          <cell r="BF55">
            <v>2400</v>
          </cell>
          <cell r="BG55">
            <v>45600</v>
          </cell>
          <cell r="BH55">
            <v>48000</v>
          </cell>
        </row>
        <row r="56">
          <cell r="A56">
            <v>23123</v>
          </cell>
          <cell r="B56">
            <v>4</v>
          </cell>
          <cell r="C56">
            <v>23123</v>
          </cell>
          <cell r="E56" t="str">
            <v>FILIPINO-AMERICAN SERVICE GROUP, INC.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</row>
        <row r="57">
          <cell r="A57">
            <v>23125</v>
          </cell>
          <cell r="B57">
            <v>6</v>
          </cell>
          <cell r="C57">
            <v>23125</v>
          </cell>
          <cell r="E57" t="str">
            <v>1736 FAMILY CRISIS CENTER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</row>
        <row r="58">
          <cell r="A58">
            <v>23128</v>
          </cell>
          <cell r="B58">
            <v>4</v>
          </cell>
          <cell r="C58">
            <v>23128</v>
          </cell>
          <cell r="E58" t="str">
            <v xml:space="preserve">GATEWAYS HOSPITAL &amp; MHC 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</row>
        <row r="59">
          <cell r="A59">
            <v>23132</v>
          </cell>
          <cell r="B59">
            <v>3</v>
          </cell>
          <cell r="C59">
            <v>23132</v>
          </cell>
          <cell r="E59" t="str">
            <v>HATHAWAY SYCAMORES CHILD &amp; FAMILY SERVICES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</row>
        <row r="60">
          <cell r="A60">
            <v>23133</v>
          </cell>
          <cell r="B60" t="str">
            <v>1, 2 &amp; 5</v>
          </cell>
          <cell r="C60">
            <v>23133</v>
          </cell>
          <cell r="E60" t="str">
            <v>HILLVIEW MENTAL HEALTH CENTER,  INC.</v>
          </cell>
          <cell r="F60">
            <v>0</v>
          </cell>
          <cell r="G60">
            <v>0</v>
          </cell>
          <cell r="H60">
            <v>120700</v>
          </cell>
          <cell r="I60">
            <v>120700</v>
          </cell>
          <cell r="J60">
            <v>48350</v>
          </cell>
          <cell r="K60">
            <v>48400</v>
          </cell>
          <cell r="L60">
            <v>75124</v>
          </cell>
          <cell r="M60">
            <v>75100</v>
          </cell>
          <cell r="N60">
            <v>244200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  <cell r="AB60">
            <v>186222</v>
          </cell>
          <cell r="AC60">
            <v>186200</v>
          </cell>
          <cell r="AD60">
            <v>0</v>
          </cell>
          <cell r="AE60">
            <v>0</v>
          </cell>
          <cell r="AF60">
            <v>31889</v>
          </cell>
          <cell r="AG60">
            <v>31900</v>
          </cell>
          <cell r="AH60">
            <v>218100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7780</v>
          </cell>
          <cell r="AQ60">
            <v>7800</v>
          </cell>
          <cell r="AR60">
            <v>7800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0</v>
          </cell>
          <cell r="BE60">
            <v>306900</v>
          </cell>
          <cell r="BF60">
            <v>48400</v>
          </cell>
          <cell r="BG60">
            <v>114800</v>
          </cell>
          <cell r="BH60">
            <v>470100</v>
          </cell>
        </row>
        <row r="61">
          <cell r="A61">
            <v>23134</v>
          </cell>
          <cell r="B61">
            <v>4</v>
          </cell>
          <cell r="C61">
            <v>23134</v>
          </cell>
          <cell r="E61" t="str">
            <v>CLONTARF MANOR INC.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</row>
        <row r="62">
          <cell r="A62">
            <v>23135</v>
          </cell>
          <cell r="B62">
            <v>3</v>
          </cell>
          <cell r="C62">
            <v>23135</v>
          </cell>
          <cell r="E62" t="str">
            <v xml:space="preserve">HILLSIDES (FORMERLY CHURCH HOME FOR CHILDREN) 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</row>
        <row r="63">
          <cell r="A63">
            <v>23136</v>
          </cell>
          <cell r="B63">
            <v>6</v>
          </cell>
          <cell r="C63">
            <v>23136</v>
          </cell>
          <cell r="E63" t="str">
            <v xml:space="preserve">KEDREN COMMUNITY HEALTH CENTER, INC. DBA KEDREN 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</row>
        <row r="64">
          <cell r="A64">
            <v>23137</v>
          </cell>
          <cell r="B64">
            <v>4</v>
          </cell>
          <cell r="C64">
            <v>23137</v>
          </cell>
          <cell r="E64" t="str">
            <v>KOREATOWN YOUTH &amp; COMMUNITY CENTER, INC.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</row>
        <row r="65">
          <cell r="A65">
            <v>23138</v>
          </cell>
          <cell r="B65" t="str">
            <v>1,2 &amp; 5</v>
          </cell>
          <cell r="C65">
            <v>23138</v>
          </cell>
          <cell r="E65" t="str">
            <v xml:space="preserve">THE HELP GROUP C&amp;F CTR (FORMELY LA CTR FOR THERAPY &amp; ED) 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</row>
        <row r="66">
          <cell r="A66">
            <v>23141</v>
          </cell>
          <cell r="B66" t="str">
            <v>7 &amp; 8</v>
          </cell>
          <cell r="C66">
            <v>23141</v>
          </cell>
          <cell r="E66" t="str">
            <v>LOS ANGELES CHILD GUIDANCE CLINIC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</row>
        <row r="67">
          <cell r="A67">
            <v>23142</v>
          </cell>
          <cell r="B67">
            <v>4</v>
          </cell>
          <cell r="C67">
            <v>23142</v>
          </cell>
          <cell r="E67" t="str">
            <v>LOS ANGELES GAY &amp; LESBIAN COMMUNITY SVCS CTR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</row>
        <row r="68">
          <cell r="A68">
            <v>23143</v>
          </cell>
          <cell r="B68">
            <v>4</v>
          </cell>
          <cell r="C68">
            <v>23143</v>
          </cell>
          <cell r="E68" t="str">
            <v xml:space="preserve">LAMP INC. 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</row>
        <row r="69">
          <cell r="A69">
            <v>23146</v>
          </cell>
          <cell r="B69" t="str">
            <v>7 &amp; 8</v>
          </cell>
          <cell r="C69">
            <v>23146</v>
          </cell>
          <cell r="E69" t="str">
            <v>MENTAL HEALTH AMERICA OF LOS ANGELES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</row>
        <row r="70">
          <cell r="A70">
            <v>23149</v>
          </cell>
          <cell r="B70">
            <v>3</v>
          </cell>
          <cell r="C70">
            <v>23149</v>
          </cell>
          <cell r="E70" t="str">
            <v xml:space="preserve">PENNY LANE CENTERS (NATIONAL FOUNDATION TREATMENT)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</row>
        <row r="71">
          <cell r="A71">
            <v>23151</v>
          </cell>
          <cell r="B71" t="str">
            <v>1, 2 &amp; 5</v>
          </cell>
          <cell r="C71">
            <v>23151</v>
          </cell>
          <cell r="E71" t="str">
            <v>OCEAN PARK COMMUNITY CENTER (McKinney)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</row>
        <row r="72">
          <cell r="A72">
            <v>23153</v>
          </cell>
          <cell r="B72">
            <v>3</v>
          </cell>
          <cell r="C72">
            <v>23153</v>
          </cell>
          <cell r="E72" t="str">
            <v xml:space="preserve">PACIFIC CLINICS </v>
          </cell>
          <cell r="F72">
            <v>0</v>
          </cell>
          <cell r="G72">
            <v>0</v>
          </cell>
          <cell r="H72">
            <v>960000</v>
          </cell>
          <cell r="I72">
            <v>960000</v>
          </cell>
          <cell r="J72">
            <v>300000</v>
          </cell>
          <cell r="K72">
            <v>300000</v>
          </cell>
          <cell r="L72">
            <v>240000</v>
          </cell>
          <cell r="M72">
            <v>240000</v>
          </cell>
          <cell r="N72">
            <v>1500000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  <cell r="AB72">
            <v>636666</v>
          </cell>
          <cell r="AC72">
            <v>636700</v>
          </cell>
          <cell r="AD72">
            <v>20000</v>
          </cell>
          <cell r="AE72">
            <v>20000</v>
          </cell>
          <cell r="AF72">
            <v>261667</v>
          </cell>
          <cell r="AG72">
            <v>261700</v>
          </cell>
          <cell r="AH72">
            <v>918400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37342</v>
          </cell>
          <cell r="AQ72">
            <v>37300</v>
          </cell>
          <cell r="AR72">
            <v>37300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1596700</v>
          </cell>
          <cell r="BF72">
            <v>320000</v>
          </cell>
          <cell r="BG72">
            <v>539000</v>
          </cell>
          <cell r="BH72">
            <v>2455700</v>
          </cell>
        </row>
        <row r="73">
          <cell r="A73">
            <v>23157</v>
          </cell>
          <cell r="B73" t="str">
            <v>7 &amp; 8</v>
          </cell>
          <cell r="C73">
            <v>23157</v>
          </cell>
          <cell r="E73" t="str">
            <v>THE GUIDANCE CENTER (GREATER LONG BEACH CHILD)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</row>
        <row r="74">
          <cell r="A74">
            <v>23162</v>
          </cell>
          <cell r="B74" t="str">
            <v>2 &amp; 5</v>
          </cell>
          <cell r="C74">
            <v>23162</v>
          </cell>
          <cell r="E74" t="str">
            <v>CHILD AND FAMILY GUIDANCE CENTER (SFV)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</row>
        <row r="75">
          <cell r="A75">
            <v>23163</v>
          </cell>
          <cell r="B75" t="str">
            <v>1, 2 &amp; 5</v>
          </cell>
          <cell r="C75">
            <v>23163</v>
          </cell>
          <cell r="E75" t="str">
            <v xml:space="preserve">SAN FERNANDO VALLEY COMMUNITY MHC, INC. </v>
          </cell>
          <cell r="F75">
            <v>0</v>
          </cell>
          <cell r="G75">
            <v>0</v>
          </cell>
          <cell r="H75">
            <v>384000</v>
          </cell>
          <cell r="I75">
            <v>384000</v>
          </cell>
          <cell r="J75">
            <v>120000</v>
          </cell>
          <cell r="K75">
            <v>120000</v>
          </cell>
          <cell r="L75">
            <v>96000</v>
          </cell>
          <cell r="M75">
            <v>96000</v>
          </cell>
          <cell r="N75">
            <v>600000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  <cell r="AB75">
            <v>228888</v>
          </cell>
          <cell r="AC75">
            <v>228900</v>
          </cell>
          <cell r="AD75">
            <v>6667</v>
          </cell>
          <cell r="AE75">
            <v>6700</v>
          </cell>
          <cell r="AF75">
            <v>78889</v>
          </cell>
          <cell r="AG75">
            <v>78900</v>
          </cell>
          <cell r="AH75">
            <v>314500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12447</v>
          </cell>
          <cell r="AQ75">
            <v>12400</v>
          </cell>
          <cell r="AR75">
            <v>12400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612900</v>
          </cell>
          <cell r="BF75">
            <v>126700</v>
          </cell>
          <cell r="BG75">
            <v>187300</v>
          </cell>
          <cell r="BH75">
            <v>926900</v>
          </cell>
        </row>
        <row r="76">
          <cell r="A76">
            <v>23164</v>
          </cell>
          <cell r="B76" t="str">
            <v>7 &amp; 8</v>
          </cell>
          <cell r="C76">
            <v>23164</v>
          </cell>
          <cell r="E76" t="str">
            <v>HEALTH VIEW INC.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</row>
        <row r="78">
          <cell r="A78">
            <v>23165</v>
          </cell>
          <cell r="B78" t="str">
            <v>2 &amp; 5</v>
          </cell>
          <cell r="C78">
            <v>23165</v>
          </cell>
          <cell r="E78" t="str">
            <v>CHILD &amp; FAMILY CENTER (SANTA CLARITA CHILD &amp; FAMILY)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</row>
        <row r="79">
          <cell r="A79">
            <v>23167</v>
          </cell>
          <cell r="B79" t="str">
            <v>1, 2 &amp; 5</v>
          </cell>
          <cell r="C79">
            <v>23167</v>
          </cell>
          <cell r="E79" t="str">
            <v>ST. JOSEPH CENTER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  <cell r="AB79">
            <v>232000</v>
          </cell>
          <cell r="AC79">
            <v>232000</v>
          </cell>
          <cell r="AD79">
            <v>3000</v>
          </cell>
          <cell r="AE79">
            <v>3000</v>
          </cell>
          <cell r="AF79">
            <v>66579</v>
          </cell>
          <cell r="AG79">
            <v>66600</v>
          </cell>
          <cell r="AH79">
            <v>301600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11078</v>
          </cell>
          <cell r="AQ79">
            <v>11100</v>
          </cell>
          <cell r="AR79">
            <v>11100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D79">
            <v>0</v>
          </cell>
          <cell r="BE79">
            <v>232000</v>
          </cell>
          <cell r="BF79">
            <v>3000</v>
          </cell>
          <cell r="BG79">
            <v>77700</v>
          </cell>
          <cell r="BH79">
            <v>312700</v>
          </cell>
        </row>
        <row r="80">
          <cell r="A80">
            <v>23168</v>
          </cell>
          <cell r="B80">
            <v>3</v>
          </cell>
          <cell r="C80">
            <v>23168</v>
          </cell>
          <cell r="E80" t="str">
            <v>SOCIAL MODEL RECOVERY SYSTEMS, INC.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</row>
        <row r="81">
          <cell r="A81">
            <v>23169</v>
          </cell>
          <cell r="B81" t="str">
            <v xml:space="preserve">7 &amp; 8 </v>
          </cell>
          <cell r="C81">
            <v>23169</v>
          </cell>
          <cell r="E81" t="str">
            <v>SOUTH BAY CHILDREN'S HEALTH CENTER ASSOCIATION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</row>
        <row r="82">
          <cell r="A82">
            <v>23170</v>
          </cell>
          <cell r="B82">
            <v>4</v>
          </cell>
          <cell r="C82">
            <v>23170</v>
          </cell>
          <cell r="E82" t="str">
            <v xml:space="preserve">SPECIAL SERVICE FOR GROUPS </v>
          </cell>
          <cell r="F82">
            <v>0</v>
          </cell>
          <cell r="G82">
            <v>0</v>
          </cell>
          <cell r="H82">
            <v>288000</v>
          </cell>
          <cell r="I82">
            <v>288000</v>
          </cell>
          <cell r="J82">
            <v>90000</v>
          </cell>
          <cell r="K82">
            <v>90000</v>
          </cell>
          <cell r="L82">
            <v>72000</v>
          </cell>
          <cell r="M82">
            <v>72000</v>
          </cell>
          <cell r="N82">
            <v>450000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  <cell r="AB82">
            <v>921058</v>
          </cell>
          <cell r="AC82">
            <v>921100</v>
          </cell>
          <cell r="AD82">
            <v>25794</v>
          </cell>
          <cell r="AE82">
            <v>25800</v>
          </cell>
          <cell r="AF82">
            <v>289207</v>
          </cell>
          <cell r="AG82">
            <v>289200</v>
          </cell>
          <cell r="AH82">
            <v>1236100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46991</v>
          </cell>
          <cell r="AQ82">
            <v>47000</v>
          </cell>
          <cell r="AR82">
            <v>47000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0</v>
          </cell>
          <cell r="BE82">
            <v>1209100</v>
          </cell>
          <cell r="BF82">
            <v>115800</v>
          </cell>
          <cell r="BG82">
            <v>408200</v>
          </cell>
          <cell r="BH82">
            <v>1733100</v>
          </cell>
        </row>
        <row r="83">
          <cell r="A83">
            <v>23171</v>
          </cell>
          <cell r="B83" t="str">
            <v>1, 2 &amp; 5</v>
          </cell>
          <cell r="C83">
            <v>23171</v>
          </cell>
          <cell r="E83" t="str">
            <v>ST. JOHN'S HOSPITAL AND HEALTH CTR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</row>
        <row r="84">
          <cell r="A84">
            <v>23172</v>
          </cell>
          <cell r="B84" t="str">
            <v xml:space="preserve">7 &amp; 8 </v>
          </cell>
          <cell r="C84">
            <v>23172</v>
          </cell>
          <cell r="E84" t="str">
            <v>TELECARE CORP. (LA PAZ &amp; LA CASA MENTAL HEALTH CTR)</v>
          </cell>
          <cell r="F84">
            <v>0</v>
          </cell>
          <cell r="G84">
            <v>0</v>
          </cell>
          <cell r="H84">
            <v>216000</v>
          </cell>
          <cell r="I84">
            <v>216000</v>
          </cell>
          <cell r="J84">
            <v>66000</v>
          </cell>
          <cell r="K84">
            <v>66000</v>
          </cell>
          <cell r="L84">
            <v>101037</v>
          </cell>
          <cell r="M84">
            <v>101000</v>
          </cell>
          <cell r="N84">
            <v>383000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216000</v>
          </cell>
          <cell r="BF84">
            <v>66000</v>
          </cell>
          <cell r="BG84">
            <v>101000</v>
          </cell>
          <cell r="BH84">
            <v>383000</v>
          </cell>
        </row>
        <row r="85">
          <cell r="A85">
            <v>23173</v>
          </cell>
          <cell r="B85">
            <v>4</v>
          </cell>
          <cell r="C85">
            <v>23173</v>
          </cell>
          <cell r="E85" t="str">
            <v>AMANECER COMMUNITY COUNSELING SRVS., INC. (FORMELY COMMUNITY COUNSELING SERVICES)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  <cell r="AB85">
            <v>77700</v>
          </cell>
          <cell r="AC85">
            <v>77700</v>
          </cell>
          <cell r="AD85">
            <v>0</v>
          </cell>
          <cell r="AE85">
            <v>0</v>
          </cell>
          <cell r="AF85">
            <v>61273</v>
          </cell>
          <cell r="AG85">
            <v>61300</v>
          </cell>
          <cell r="AH85">
            <v>139000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77700</v>
          </cell>
          <cell r="BF85">
            <v>0</v>
          </cell>
          <cell r="BG85">
            <v>61300</v>
          </cell>
          <cell r="BH85">
            <v>139000</v>
          </cell>
        </row>
        <row r="86">
          <cell r="A86">
            <v>23174</v>
          </cell>
          <cell r="B86">
            <v>4</v>
          </cell>
          <cell r="C86">
            <v>23174</v>
          </cell>
          <cell r="E86" t="str">
            <v>HEALTH RESEARCH ASSOCIATION (dba USC ALTERNATIVE )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</row>
        <row r="87">
          <cell r="A87">
            <v>23175</v>
          </cell>
          <cell r="B87" t="str">
            <v>7 &amp; 8</v>
          </cell>
          <cell r="C87">
            <v>23175</v>
          </cell>
          <cell r="E87" t="str">
            <v>TRANSITIONAL LIVING CENTERS FOR LA COUNTY, INC.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</row>
        <row r="88">
          <cell r="A88">
            <v>23176</v>
          </cell>
          <cell r="B88">
            <v>4</v>
          </cell>
          <cell r="C88">
            <v>23176</v>
          </cell>
          <cell r="E88" t="str">
            <v>TRAVELERS AID SOCIETY OF LOS ANGELES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</row>
        <row r="89">
          <cell r="A89">
            <v>23178</v>
          </cell>
          <cell r="B89" t="str">
            <v>1, 2 &amp; 5</v>
          </cell>
          <cell r="C89">
            <v>23178</v>
          </cell>
          <cell r="E89" t="str">
            <v xml:space="preserve">VERDUGO MENTAL HEALTH CENTER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</row>
        <row r="90">
          <cell r="A90">
            <v>23179</v>
          </cell>
          <cell r="B90">
            <v>6</v>
          </cell>
          <cell r="C90">
            <v>23179</v>
          </cell>
          <cell r="E90" t="str">
            <v xml:space="preserve">WATTS LABOR COMMMUNITY ACTION COMMMITTEE (WLCAC) 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</row>
        <row r="91">
          <cell r="A91">
            <v>23180</v>
          </cell>
          <cell r="B91" t="str">
            <v>1, 2 &amp; 5</v>
          </cell>
          <cell r="C91">
            <v>23180</v>
          </cell>
          <cell r="E91" t="str">
            <v>WESTSIDE CENTER FOR INDEPENDENT LIVING, INC.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</row>
        <row r="92">
          <cell r="A92">
            <v>23182</v>
          </cell>
          <cell r="B92" t="str">
            <v>1,2 &amp; 5</v>
          </cell>
          <cell r="C92">
            <v>23182</v>
          </cell>
          <cell r="E92" t="str">
            <v>STEP-UP ON SECOND STREET, INC.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</row>
        <row r="93">
          <cell r="A93">
            <v>23186</v>
          </cell>
          <cell r="B93">
            <v>4</v>
          </cell>
          <cell r="C93">
            <v>23186</v>
          </cell>
          <cell r="E93" t="str">
            <v>INSTITUTE FOR THE REDESIGN OF LEARNING (ALMANSOR)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</row>
        <row r="94">
          <cell r="A94">
            <v>23187</v>
          </cell>
          <cell r="B94" t="str">
            <v>1, 2 &amp; 5</v>
          </cell>
          <cell r="C94">
            <v>23187</v>
          </cell>
          <cell r="E94" t="str">
            <v>STIRLING ACADEMY, INC.(STIRLING BEHAVIORAL HEALTH INST.)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</row>
        <row r="95">
          <cell r="A95">
            <v>23188</v>
          </cell>
          <cell r="B95" t="str">
            <v>1, 2 &amp; 5</v>
          </cell>
          <cell r="C95">
            <v>23188</v>
          </cell>
          <cell r="E95" t="str">
            <v>VISTA DEL MAR CHILD &amp; FAMILY SVCS (JEWISH ORPHANS)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</row>
        <row r="96">
          <cell r="A96">
            <v>23190</v>
          </cell>
          <cell r="B96">
            <v>4</v>
          </cell>
          <cell r="C96">
            <v>23190</v>
          </cell>
          <cell r="E96" t="str">
            <v>THE LOS ANGELES FREE CLINIC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</row>
        <row r="97">
          <cell r="A97">
            <v>27210</v>
          </cell>
          <cell r="B97">
            <v>3</v>
          </cell>
          <cell r="C97">
            <v>27210</v>
          </cell>
          <cell r="E97" t="str">
            <v>PROTOTYPES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</row>
        <row r="98">
          <cell r="A98">
            <v>27231</v>
          </cell>
          <cell r="B98">
            <v>3</v>
          </cell>
          <cell r="C98">
            <v>27231</v>
          </cell>
          <cell r="E98" t="str">
            <v>GAY &amp; LESBIAN ADOLESCENT SOC. SVCS,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</row>
        <row r="99">
          <cell r="A99">
            <v>27233</v>
          </cell>
          <cell r="B99">
            <v>3</v>
          </cell>
          <cell r="C99">
            <v>27233</v>
          </cell>
          <cell r="E99" t="str">
            <v>BIENVENIDOS CHILDREN'S CTR,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</row>
        <row r="100">
          <cell r="A100">
            <v>27234</v>
          </cell>
          <cell r="B100">
            <v>3</v>
          </cell>
          <cell r="C100">
            <v>27234</v>
          </cell>
          <cell r="E100" t="str">
            <v>ETTIE LEE HOMES,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</row>
        <row r="101">
          <cell r="A101">
            <v>27235</v>
          </cell>
          <cell r="B101" t="str">
            <v>7 &amp; 8</v>
          </cell>
          <cell r="C101">
            <v>27235</v>
          </cell>
          <cell r="E101" t="str">
            <v>ONE IN LONG BEACH,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</row>
        <row r="102">
          <cell r="A102">
            <v>27236</v>
          </cell>
          <cell r="B102">
            <v>3</v>
          </cell>
          <cell r="C102">
            <v>27236</v>
          </cell>
          <cell r="E102" t="str">
            <v>ROSEMARY CHILDREN'S SERVICES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</row>
        <row r="103">
          <cell r="A103">
            <v>27248</v>
          </cell>
          <cell r="B103">
            <v>4</v>
          </cell>
          <cell r="C103">
            <v>27248</v>
          </cell>
          <cell r="E103" t="str">
            <v>UNITED AMERICAN INDIAN INVOLVEMENT,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</row>
        <row r="104">
          <cell r="A104">
            <v>27476</v>
          </cell>
          <cell r="B104">
            <v>3</v>
          </cell>
          <cell r="C104">
            <v>27476</v>
          </cell>
          <cell r="E104" t="str">
            <v xml:space="preserve">WHITE MEMORIAL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</row>
        <row r="105">
          <cell r="A105">
            <v>27478</v>
          </cell>
          <cell r="B105">
            <v>3</v>
          </cell>
          <cell r="C105">
            <v>27478</v>
          </cell>
          <cell r="E105" t="str">
            <v>HERITAGE CLINIC &amp; THE COMMUNITY ASS. PRO. FOR SENIORS</v>
          </cell>
          <cell r="F105">
            <v>0</v>
          </cell>
          <cell r="G105">
            <v>0</v>
          </cell>
          <cell r="H105">
            <v>547110</v>
          </cell>
          <cell r="I105">
            <v>547100</v>
          </cell>
          <cell r="J105">
            <v>171000</v>
          </cell>
          <cell r="K105">
            <v>171000</v>
          </cell>
          <cell r="L105">
            <v>156000</v>
          </cell>
          <cell r="M105">
            <v>156000</v>
          </cell>
          <cell r="N105">
            <v>874100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  <cell r="AB105">
            <v>706844</v>
          </cell>
          <cell r="AC105">
            <v>706800</v>
          </cell>
          <cell r="AD105">
            <v>17500</v>
          </cell>
          <cell r="AE105">
            <v>17500</v>
          </cell>
          <cell r="AF105">
            <v>195000</v>
          </cell>
          <cell r="AG105">
            <v>195000</v>
          </cell>
          <cell r="AH105">
            <v>919300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32674</v>
          </cell>
          <cell r="AQ105">
            <v>32700</v>
          </cell>
          <cell r="AR105">
            <v>32700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D105">
            <v>0</v>
          </cell>
          <cell r="BE105">
            <v>1253900</v>
          </cell>
          <cell r="BF105">
            <v>188500</v>
          </cell>
          <cell r="BG105">
            <v>383700</v>
          </cell>
          <cell r="BH105">
            <v>1826100</v>
          </cell>
        </row>
        <row r="106">
          <cell r="A106">
            <v>27490</v>
          </cell>
          <cell r="B106">
            <v>3</v>
          </cell>
          <cell r="C106">
            <v>27490</v>
          </cell>
          <cell r="E106" t="str">
            <v>UCLA TIES FOR ADOPTION (THE REGENTS)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</row>
        <row r="107">
          <cell r="A107">
            <v>27495</v>
          </cell>
          <cell r="B107">
            <v>3</v>
          </cell>
          <cell r="C107">
            <v>27495</v>
          </cell>
          <cell r="E107" t="str">
            <v>MCKINLEY CHILDREN'S CENTER, INC.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</row>
        <row r="108">
          <cell r="A108">
            <v>27507</v>
          </cell>
          <cell r="B108">
            <v>3</v>
          </cell>
          <cell r="C108">
            <v>27507</v>
          </cell>
          <cell r="E108" t="str">
            <v>MARYVALE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</row>
        <row r="109">
          <cell r="A109">
            <v>27508</v>
          </cell>
          <cell r="B109" t="str">
            <v>1, 2 &amp; 5</v>
          </cell>
          <cell r="C109">
            <v>27508</v>
          </cell>
          <cell r="E109" t="str">
            <v>COUNSELLING4KIDS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</row>
        <row r="110">
          <cell r="A110">
            <v>27518</v>
          </cell>
          <cell r="B110" t="str">
            <v>1, 2 &amp; 5</v>
          </cell>
          <cell r="C110">
            <v>27518</v>
          </cell>
          <cell r="E110" t="str">
            <v>PACIFIC LODGE YOUTH SERVICE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</row>
        <row r="111">
          <cell r="A111">
            <v>27519</v>
          </cell>
          <cell r="B111">
            <v>4</v>
          </cell>
          <cell r="C111">
            <v>27519</v>
          </cell>
          <cell r="E111" t="str">
            <v>PARA LOS NINOS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</row>
        <row r="112">
          <cell r="A112">
            <v>27520</v>
          </cell>
          <cell r="B112">
            <v>6</v>
          </cell>
          <cell r="C112">
            <v>27520</v>
          </cell>
          <cell r="E112" t="str">
            <v>PERSONAL INVOLVEMENT CENTER,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</row>
        <row r="113">
          <cell r="A113">
            <v>27522</v>
          </cell>
          <cell r="B113">
            <v>3</v>
          </cell>
          <cell r="C113">
            <v>27522</v>
          </cell>
          <cell r="E113" t="str">
            <v>SERENITY INFANT CARE HOMES, INC.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</row>
        <row r="114">
          <cell r="A114">
            <v>27523</v>
          </cell>
          <cell r="B114">
            <v>3</v>
          </cell>
          <cell r="C114">
            <v>27523</v>
          </cell>
          <cell r="E114" t="str">
            <v>ST. ANNE'S MATERNITY HOME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</row>
        <row r="115">
          <cell r="A115">
            <v>27524</v>
          </cell>
          <cell r="B115">
            <v>3</v>
          </cell>
          <cell r="C115">
            <v>27524</v>
          </cell>
          <cell r="E115" t="str">
            <v>TOBINWORLD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</row>
        <row r="116">
          <cell r="A116">
            <v>27525</v>
          </cell>
          <cell r="B116">
            <v>3</v>
          </cell>
          <cell r="C116">
            <v>27525</v>
          </cell>
          <cell r="E116" t="str">
            <v>TRINITY YOUTH SERVICES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</row>
        <row r="117">
          <cell r="A117">
            <v>27529</v>
          </cell>
          <cell r="B117">
            <v>4</v>
          </cell>
          <cell r="C117">
            <v>27529</v>
          </cell>
          <cell r="E117" t="str">
            <v>INTSITUTE FOR MULTICULTURAL COUN. &amp; EDU. SVCS, INC. (IMCES)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</row>
        <row r="118">
          <cell r="A118">
            <v>27537</v>
          </cell>
          <cell r="B118" t="str">
            <v>7 &amp; 8</v>
          </cell>
          <cell r="C118">
            <v>27537</v>
          </cell>
          <cell r="E118" t="str">
            <v>HELPLINE YOUTH COUNSELING, INC.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</row>
        <row r="119">
          <cell r="A119">
            <v>27542</v>
          </cell>
          <cell r="B119">
            <v>3</v>
          </cell>
          <cell r="C119">
            <v>27542</v>
          </cell>
          <cell r="E119" t="str">
            <v>PASADENA UNIFIED SCHOOL DISTRICT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</row>
        <row r="120">
          <cell r="A120">
            <v>27543</v>
          </cell>
          <cell r="B120">
            <v>3</v>
          </cell>
          <cell r="C120">
            <v>27543</v>
          </cell>
          <cell r="E120" t="str">
            <v>LEROY HAYNES CTR FOR CHILDREN &amp; FAMILY SVCS,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</row>
        <row r="121">
          <cell r="A121">
            <v>27544</v>
          </cell>
          <cell r="B121" t="str">
            <v>1, 2 &amp; 5</v>
          </cell>
          <cell r="C121">
            <v>27544</v>
          </cell>
          <cell r="E121" t="str">
            <v>THE VILLAGE FAMILY SERVICES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</row>
        <row r="122">
          <cell r="A122">
            <v>27545</v>
          </cell>
          <cell r="B122">
            <v>3</v>
          </cell>
          <cell r="C122">
            <v>27545</v>
          </cell>
          <cell r="E122" t="str">
            <v>DAVID &amp; MARGARET HOME,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</row>
        <row r="123">
          <cell r="A123">
            <v>27548</v>
          </cell>
          <cell r="B123">
            <v>4</v>
          </cell>
          <cell r="C123">
            <v>27548</v>
          </cell>
          <cell r="E123" t="str">
            <v>PEDIATRIC &amp; FAMILY MEDICAL CENTER (dba EISNER)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</row>
        <row r="124">
          <cell r="A124">
            <v>27549</v>
          </cell>
          <cell r="B124">
            <v>4</v>
          </cell>
          <cell r="C124">
            <v>27549</v>
          </cell>
          <cell r="E124" t="str">
            <v>EL CENTRO DEL PUEBLO,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</row>
        <row r="125">
          <cell r="A125">
            <v>27550</v>
          </cell>
          <cell r="B125">
            <v>4</v>
          </cell>
          <cell r="C125">
            <v>27550</v>
          </cell>
          <cell r="E125" t="str">
            <v>CATHOLIC HEALTHCARE WEST (dba CALIFORNIA HOSPITAL)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</row>
        <row r="126">
          <cell r="A126">
            <v>27597</v>
          </cell>
          <cell r="B126" t="str">
            <v>1, 2 &amp; 5</v>
          </cell>
          <cell r="C126">
            <v>27597</v>
          </cell>
          <cell r="E126" t="str">
            <v>EMOTIONAL HEALTH ASSOCIATION (dba SHARE!)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</row>
        <row r="127">
          <cell r="A127">
            <v>27600</v>
          </cell>
          <cell r="B127">
            <v>4</v>
          </cell>
          <cell r="C127">
            <v>27600</v>
          </cell>
          <cell r="E127" t="str">
            <v>VIP COMMUNITY MENTAL HEALTH CENTER, INC. (VIP CMHC)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</row>
        <row r="128">
          <cell r="A128">
            <v>27601</v>
          </cell>
          <cell r="B128">
            <v>3</v>
          </cell>
          <cell r="C128">
            <v>27601</v>
          </cell>
          <cell r="E128" t="str">
            <v>THE CHILDREN'S CENTER OF ANTELOPE VALLEY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</row>
        <row r="129">
          <cell r="A129">
            <v>27620</v>
          </cell>
          <cell r="B129" t="str">
            <v>7 &amp; 8</v>
          </cell>
          <cell r="C129">
            <v>27620</v>
          </cell>
          <cell r="E129" t="str">
            <v>ASIAN AMERICAN DRUG ABUSE PROGRAM, INC. (AADAP)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</row>
        <row r="130">
          <cell r="A130">
            <v>27621</v>
          </cell>
          <cell r="B130">
            <v>4</v>
          </cell>
          <cell r="C130">
            <v>27621</v>
          </cell>
          <cell r="E130" t="str">
            <v>BEHAVIORAL HEALTH SERVICES,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</row>
        <row r="131">
          <cell r="A131">
            <v>27622</v>
          </cell>
          <cell r="B131">
            <v>4</v>
          </cell>
          <cell r="C131">
            <v>27622</v>
          </cell>
          <cell r="E131" t="str">
            <v>CALIFORNIA HISPANIC COMMISSION,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</row>
        <row r="132">
          <cell r="A132">
            <v>27624</v>
          </cell>
          <cell r="B132">
            <v>4</v>
          </cell>
          <cell r="C132">
            <v>27624</v>
          </cell>
          <cell r="E132" t="str">
            <v>SPIRITT  FAMILY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</row>
        <row r="133">
          <cell r="A133">
            <v>27625</v>
          </cell>
          <cell r="B133" t="str">
            <v>1, 2 &amp; 5</v>
          </cell>
          <cell r="C133">
            <v>27625</v>
          </cell>
          <cell r="E133" t="str">
            <v>TARZANA TREATMENT CENTER,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</row>
        <row r="134">
          <cell r="A134">
            <v>27626</v>
          </cell>
          <cell r="B134" t="str">
            <v>1, 2 &amp; 5</v>
          </cell>
          <cell r="C134">
            <v>27626</v>
          </cell>
          <cell r="E134" t="str">
            <v>NEW DIRECTIONS,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</row>
        <row r="135">
          <cell r="A135">
            <v>27627</v>
          </cell>
          <cell r="B135">
            <v>3</v>
          </cell>
          <cell r="C135">
            <v>27627</v>
          </cell>
          <cell r="E135" t="str">
            <v>FLORENCE CRITTENTON SERVICES OF ORANGE COUNTY, INC.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</row>
        <row r="136">
          <cell r="A136">
            <v>27633</v>
          </cell>
          <cell r="B136">
            <v>4</v>
          </cell>
          <cell r="C136">
            <v>27633</v>
          </cell>
          <cell r="E136" t="str">
            <v>CALIFORNIA INSTITUTE OF HEALTH &amp; SOCIAL SVC, INC. (dba Alafia MH Institute)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</row>
        <row r="137">
          <cell r="A137">
            <v>27634</v>
          </cell>
          <cell r="B137">
            <v>3</v>
          </cell>
          <cell r="C137">
            <v>27634</v>
          </cell>
          <cell r="E137" t="str">
            <v>CENTER FOR INTEGRATED FAMILY &amp; HEALTH SERVICES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</row>
        <row r="138">
          <cell r="A138">
            <v>27635</v>
          </cell>
          <cell r="B138">
            <v>6</v>
          </cell>
          <cell r="C138">
            <v>27635</v>
          </cell>
          <cell r="E138" t="str">
            <v>DREW CHILD DEVELOPMENT CORPORATION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48985</v>
          </cell>
          <cell r="AG141">
            <v>49000</v>
          </cell>
          <cell r="AH141">
            <v>49000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49000</v>
          </cell>
          <cell r="BH141">
            <v>49000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  <cell r="AB145">
            <v>785332</v>
          </cell>
          <cell r="AC145">
            <v>785300</v>
          </cell>
          <cell r="AD145">
            <v>20667</v>
          </cell>
          <cell r="AE145">
            <v>20700</v>
          </cell>
          <cell r="AF145">
            <v>206667</v>
          </cell>
          <cell r="AG145">
            <v>206700</v>
          </cell>
          <cell r="AH145">
            <v>1012700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38587</v>
          </cell>
          <cell r="AQ145">
            <v>38600</v>
          </cell>
          <cell r="AR145">
            <v>38600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785300</v>
          </cell>
          <cell r="BF145">
            <v>20700</v>
          </cell>
          <cell r="BG145">
            <v>245300</v>
          </cell>
          <cell r="BH145">
            <v>1051300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0</v>
          </cell>
          <cell r="G146">
            <v>0</v>
          </cell>
          <cell r="H146">
            <v>2731810</v>
          </cell>
          <cell r="I146">
            <v>2731800</v>
          </cell>
          <cell r="J146">
            <v>860850</v>
          </cell>
          <cell r="K146">
            <v>860900</v>
          </cell>
          <cell r="L146">
            <v>788161</v>
          </cell>
          <cell r="M146">
            <v>788100</v>
          </cell>
          <cell r="N146">
            <v>4380800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4197404</v>
          </cell>
          <cell r="AC146">
            <v>4197400</v>
          </cell>
          <cell r="AD146">
            <v>98628</v>
          </cell>
          <cell r="AE146">
            <v>98700</v>
          </cell>
          <cell r="AF146">
            <v>1359520</v>
          </cell>
          <cell r="AG146">
            <v>1359600</v>
          </cell>
          <cell r="AH146">
            <v>5655700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186899</v>
          </cell>
          <cell r="AQ146">
            <v>186900</v>
          </cell>
          <cell r="AR146">
            <v>186900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0</v>
          </cell>
          <cell r="BE146">
            <v>6929200</v>
          </cell>
          <cell r="BF146">
            <v>959600</v>
          </cell>
          <cell r="BG146">
            <v>2334600</v>
          </cell>
          <cell r="BH146">
            <v>10223400</v>
          </cell>
        </row>
        <row r="148">
          <cell r="A148" t="str">
            <v>00000</v>
          </cell>
          <cell r="C148" t="str">
            <v>00000</v>
          </cell>
          <cell r="E148" t="str">
            <v>UNALLOCATED (Overstated in Non-EPSDT and Understated in Flex Fixed in CAO Proposed)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100</v>
          </cell>
          <cell r="M148">
            <v>100</v>
          </cell>
          <cell r="N148">
            <v>100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100</v>
          </cell>
          <cell r="BH148">
            <v>100</v>
          </cell>
        </row>
        <row r="149">
          <cell r="E149" t="str">
            <v xml:space="preserve">UNALLOCATED SUB TOTAL 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100</v>
          </cell>
          <cell r="M149">
            <v>100</v>
          </cell>
          <cell r="N149">
            <v>100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100</v>
          </cell>
          <cell r="BH149">
            <v>100</v>
          </cell>
        </row>
        <row r="151">
          <cell r="E151" t="str">
            <v xml:space="preserve">GRAND TOTAL </v>
          </cell>
          <cell r="F151">
            <v>0</v>
          </cell>
          <cell r="G151">
            <v>0</v>
          </cell>
          <cell r="H151">
            <v>2731810</v>
          </cell>
          <cell r="I151">
            <v>2731800</v>
          </cell>
          <cell r="J151">
            <v>860850</v>
          </cell>
          <cell r="K151">
            <v>860900</v>
          </cell>
          <cell r="L151">
            <v>788261</v>
          </cell>
          <cell r="M151">
            <v>788200</v>
          </cell>
          <cell r="N151">
            <v>4380900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  <cell r="AB151">
            <v>4197404</v>
          </cell>
          <cell r="AC151">
            <v>4197400</v>
          </cell>
          <cell r="AD151">
            <v>98628</v>
          </cell>
          <cell r="AE151">
            <v>98700</v>
          </cell>
          <cell r="AF151">
            <v>1359520</v>
          </cell>
          <cell r="AG151">
            <v>1359600</v>
          </cell>
          <cell r="AH151">
            <v>5655700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1</v>
          </cell>
          <cell r="AO151">
            <v>0</v>
          </cell>
          <cell r="AP151">
            <v>186899</v>
          </cell>
          <cell r="AQ151">
            <v>186900</v>
          </cell>
          <cell r="AR151">
            <v>186900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6929200</v>
          </cell>
          <cell r="BF151">
            <v>959600</v>
          </cell>
          <cell r="BG151">
            <v>2334700</v>
          </cell>
          <cell r="BH151">
            <v>10223500</v>
          </cell>
        </row>
        <row r="152">
          <cell r="I152" t="str">
            <v>H975</v>
          </cell>
          <cell r="AC152" t="str">
            <v>H980</v>
          </cell>
          <cell r="AQ152" t="str">
            <v>H927</v>
          </cell>
        </row>
        <row r="153">
          <cell r="I153" t="str">
            <v>M949</v>
          </cell>
          <cell r="K153" t="str">
            <v>H958</v>
          </cell>
          <cell r="M153" t="str">
            <v>H923</v>
          </cell>
          <cell r="AC153" t="str">
            <v>M949-FFP</v>
          </cell>
          <cell r="AE153" t="str">
            <v>H925/H987</v>
          </cell>
          <cell r="AG153" t="str">
            <v>H925</v>
          </cell>
        </row>
        <row r="154">
          <cell r="H154">
            <v>2544000</v>
          </cell>
          <cell r="AH154">
            <v>5507725</v>
          </cell>
        </row>
        <row r="155">
          <cell r="N155">
            <v>4380921</v>
          </cell>
        </row>
        <row r="156">
          <cell r="N156">
            <v>-21</v>
          </cell>
          <cell r="AH156">
            <v>147975</v>
          </cell>
          <cell r="BH156">
            <v>10075546</v>
          </cell>
        </row>
        <row r="157">
          <cell r="BH157">
            <v>147954</v>
          </cell>
        </row>
      </sheetData>
      <sheetData sheetId="19">
        <row r="1">
          <cell r="B1" t="str">
            <v>COUNTY OF LOS ANGELES - DEPARTMENT OF MENTAL HEALTH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</row>
        <row r="3">
          <cell r="B3" t="str">
            <v>BUDGET &amp; FINANCIAL REPORTING DIVISION</v>
          </cell>
        </row>
        <row r="4">
          <cell r="B4" t="str">
            <v>MHSA - CROSS CUTTING ALLOCATION</v>
          </cell>
          <cell r="G4" t="str">
            <v>TBA</v>
          </cell>
          <cell r="Q4" t="str">
            <v>PLAN II</v>
          </cell>
          <cell r="AO4" t="str">
            <v>PLAN II</v>
          </cell>
          <cell r="AY4" t="str">
            <v>PLAN II</v>
          </cell>
          <cell r="BI4" t="str">
            <v>PLAN II</v>
          </cell>
          <cell r="BS4" t="str">
            <v>TBA</v>
          </cell>
          <cell r="CC4" t="str">
            <v>PLAN II</v>
          </cell>
          <cell r="CM4" t="str">
            <v>PLAN II</v>
          </cell>
          <cell r="CW4" t="str">
            <v>PLAN II</v>
          </cell>
        </row>
        <row r="5">
          <cell r="B5" t="str">
            <v>FISCAL YEAR 2009/2010 BUDGET REQUEST -  SUPERCESSION &amp; RENEWAL</v>
          </cell>
          <cell r="G5" t="str">
            <v>SERVICE AREA NAVIGATOR</v>
          </cell>
          <cell r="Q5" t="str">
            <v>POE</v>
          </cell>
          <cell r="AE5" t="str">
            <v>OTHER ADMINSTRATION</v>
          </cell>
          <cell r="AI5" t="str">
            <v>ADMINISTRATION</v>
          </cell>
          <cell r="AS5" t="str">
            <v>ALTERNATIVE CRISIS SERVICES -32052</v>
          </cell>
          <cell r="BC5" t="str">
            <v>ALTERNATIVE CRISIS SERVICES -32052</v>
          </cell>
          <cell r="BM5" t="str">
            <v>ALTERNATIVE CRISIS SERVICES -32052</v>
          </cell>
          <cell r="BW5" t="str">
            <v>ALTERNATIVE CRISIS SERVICES -32052</v>
          </cell>
          <cell r="CG5" t="str">
            <v>ALTERNATIVE CRISIS SERVICES -32052</v>
          </cell>
          <cell r="CQ5" t="str">
            <v>ALTERNATIVE CRISIS SERVICES -32052</v>
          </cell>
          <cell r="DA5" t="str">
            <v>ALTERNATIVE CRISIS SERVICES -32052</v>
          </cell>
          <cell r="DF5" t="str">
            <v>TOTAL BUDGET</v>
          </cell>
        </row>
        <row r="6">
          <cell r="G6" t="str">
            <v>32051</v>
          </cell>
          <cell r="Q6" t="str">
            <v>32054</v>
          </cell>
          <cell r="AI6">
            <v>32055</v>
          </cell>
          <cell r="AS6" t="str">
            <v>UCC - OLIVE VIEW - 32078</v>
          </cell>
          <cell r="BC6" t="str">
            <v>UCC - AUGUSTUS -32079</v>
          </cell>
          <cell r="BM6" t="str">
            <v>UCC - WESTSIDE - 32080</v>
          </cell>
          <cell r="BW6" t="str">
            <v>COUNTYWIDE RESOURCE MANAGEMENT - 32081</v>
          </cell>
          <cell r="CG6" t="str">
            <v>ENRICHED SERVICES-32083</v>
          </cell>
          <cell r="CQ6" t="str">
            <v>UCC - LAUSC-32087</v>
          </cell>
          <cell r="DA6" t="str">
            <v>DOWNTOWN-32086</v>
          </cell>
        </row>
        <row r="7">
          <cell r="D7" t="str">
            <v>UNIT</v>
          </cell>
          <cell r="T7" t="str">
            <v>Re-Direction of</v>
          </cell>
          <cell r="U7" t="str">
            <v>Re-Direction of</v>
          </cell>
          <cell r="V7" t="str">
            <v>Re-Direction of</v>
          </cell>
          <cell r="W7" t="str">
            <v>Re-Direction of</v>
          </cell>
        </row>
        <row r="8">
          <cell r="B8" t="str">
            <v>SERVICE</v>
          </cell>
          <cell r="F8" t="str">
            <v>GROSS</v>
          </cell>
          <cell r="G8" t="str">
            <v>GROSS</v>
          </cell>
          <cell r="H8" t="str">
            <v>GROSS</v>
          </cell>
          <cell r="I8" t="str">
            <v>GROSS</v>
          </cell>
          <cell r="J8" t="str">
            <v>FLEX</v>
          </cell>
          <cell r="K8" t="str">
            <v>FLEX</v>
          </cell>
          <cell r="P8" t="str">
            <v>GROSS</v>
          </cell>
          <cell r="Q8" t="str">
            <v>GROSS</v>
          </cell>
          <cell r="R8" t="str">
            <v>GROSS</v>
          </cell>
          <cell r="S8" t="str">
            <v>GROSS</v>
          </cell>
          <cell r="T8" t="str">
            <v>Comm. Outreach</v>
          </cell>
          <cell r="U8" t="str">
            <v>Comm. Outreach</v>
          </cell>
          <cell r="V8" t="str">
            <v>Day</v>
          </cell>
          <cell r="W8" t="str">
            <v>Day</v>
          </cell>
          <cell r="X8" t="str">
            <v>FLEX</v>
          </cell>
          <cell r="Y8" t="str">
            <v>FLEX</v>
          </cell>
          <cell r="AD8" t="str">
            <v>GROSS</v>
          </cell>
          <cell r="AE8" t="str">
            <v>GROSS</v>
          </cell>
          <cell r="AF8" t="str">
            <v>GROSS</v>
          </cell>
          <cell r="AG8" t="str">
            <v>GROSS</v>
          </cell>
          <cell r="AH8" t="str">
            <v>FLEX</v>
          </cell>
          <cell r="AI8" t="str">
            <v>FLEX</v>
          </cell>
          <cell r="AN8" t="str">
            <v>GROSS</v>
          </cell>
          <cell r="AO8" t="str">
            <v>GROSS</v>
          </cell>
          <cell r="AP8" t="str">
            <v>GROSS</v>
          </cell>
          <cell r="AQ8" t="str">
            <v>GROSS</v>
          </cell>
          <cell r="AR8" t="str">
            <v>FLEX</v>
          </cell>
          <cell r="AS8" t="str">
            <v>FLEX</v>
          </cell>
          <cell r="AX8" t="str">
            <v>GROSS</v>
          </cell>
          <cell r="AY8" t="str">
            <v>GROSS</v>
          </cell>
          <cell r="AZ8" t="str">
            <v>GROSS</v>
          </cell>
          <cell r="BA8" t="str">
            <v>GROSS</v>
          </cell>
          <cell r="BB8" t="str">
            <v>FLEX</v>
          </cell>
          <cell r="BC8" t="str">
            <v>FLEX</v>
          </cell>
          <cell r="BH8" t="str">
            <v>GROSS</v>
          </cell>
          <cell r="BI8" t="str">
            <v>GROSS</v>
          </cell>
          <cell r="BJ8" t="str">
            <v>GROSS</v>
          </cell>
          <cell r="BK8" t="str">
            <v>GROSS</v>
          </cell>
          <cell r="BL8" t="str">
            <v>FLEX</v>
          </cell>
          <cell r="BM8" t="str">
            <v>FLEX</v>
          </cell>
          <cell r="BR8" t="str">
            <v>GROSS</v>
          </cell>
          <cell r="BS8" t="str">
            <v>GROSS</v>
          </cell>
          <cell r="BT8" t="str">
            <v>GROSS</v>
          </cell>
          <cell r="BU8" t="str">
            <v>GROSS</v>
          </cell>
          <cell r="BV8" t="str">
            <v>FLEX</v>
          </cell>
          <cell r="BW8" t="str">
            <v>FLEX</v>
          </cell>
          <cell r="CB8" t="str">
            <v>GROSS</v>
          </cell>
          <cell r="CC8" t="str">
            <v>GROSS</v>
          </cell>
          <cell r="CD8" t="str">
            <v>GROSS</v>
          </cell>
          <cell r="CE8" t="str">
            <v>GROSS</v>
          </cell>
          <cell r="CF8" t="str">
            <v>FLEX</v>
          </cell>
          <cell r="CG8" t="str">
            <v>FLEX</v>
          </cell>
          <cell r="CL8" t="str">
            <v>GROSS</v>
          </cell>
          <cell r="CM8" t="str">
            <v>GROSS</v>
          </cell>
          <cell r="CN8" t="str">
            <v>GROSS</v>
          </cell>
          <cell r="CO8" t="str">
            <v>GROSS</v>
          </cell>
          <cell r="CP8" t="str">
            <v>FLEX</v>
          </cell>
          <cell r="CQ8" t="str">
            <v>FLEX</v>
          </cell>
          <cell r="CV8" t="str">
            <v>GROSS</v>
          </cell>
          <cell r="CW8" t="str">
            <v>GROSS</v>
          </cell>
          <cell r="CX8" t="str">
            <v>GROSS</v>
          </cell>
          <cell r="CY8" t="str">
            <v>GROSS</v>
          </cell>
          <cell r="CZ8" t="str">
            <v>FLEX</v>
          </cell>
          <cell r="DA8" t="str">
            <v>FLEX</v>
          </cell>
          <cell r="DF8" t="str">
            <v>GROSS</v>
          </cell>
          <cell r="DG8" t="str">
            <v>GROSS</v>
          </cell>
          <cell r="DH8" t="str">
            <v>FLEX</v>
          </cell>
        </row>
        <row r="9">
          <cell r="A9" t="str">
            <v>CODE</v>
          </cell>
          <cell r="B9" t="str">
            <v>AREA</v>
          </cell>
          <cell r="C9" t="str">
            <v>CODE</v>
          </cell>
          <cell r="D9" t="str">
            <v>UNIT</v>
          </cell>
          <cell r="E9" t="str">
            <v>ORGANIZATION NAME</v>
          </cell>
          <cell r="F9" t="str">
            <v>EPSDT</v>
          </cell>
          <cell r="G9" t="str">
            <v>EPSDT</v>
          </cell>
          <cell r="H9" t="str">
            <v>NON-EPSDT</v>
          </cell>
          <cell r="I9" t="str">
            <v>NON-EPSDT</v>
          </cell>
          <cell r="J9" t="str">
            <v>FUNDS</v>
          </cell>
          <cell r="K9" t="str">
            <v>FUNDS</v>
          </cell>
          <cell r="L9" t="str">
            <v>MHSA</v>
          </cell>
          <cell r="M9" t="str">
            <v>MHSA</v>
          </cell>
          <cell r="N9" t="str">
            <v>TOTAL</v>
          </cell>
          <cell r="P9" t="str">
            <v>EPSDT</v>
          </cell>
          <cell r="Q9" t="str">
            <v>EPSDT</v>
          </cell>
          <cell r="R9" t="str">
            <v>NON-EPSDT</v>
          </cell>
          <cell r="S9" t="str">
            <v>NON-EPSDT</v>
          </cell>
          <cell r="T9" t="str">
            <v>Services</v>
          </cell>
          <cell r="U9" t="str">
            <v>Services</v>
          </cell>
          <cell r="V9" t="str">
            <v>Treatment</v>
          </cell>
          <cell r="W9" t="str">
            <v>Treatment</v>
          </cell>
          <cell r="X9" t="str">
            <v>FUNDS</v>
          </cell>
          <cell r="Y9" t="str">
            <v>FUNDS</v>
          </cell>
          <cell r="Z9" t="str">
            <v>MHSA</v>
          </cell>
          <cell r="AA9" t="str">
            <v>MHSA</v>
          </cell>
          <cell r="AB9" t="str">
            <v>TOTAL</v>
          </cell>
          <cell r="AD9" t="str">
            <v>EPSDT</v>
          </cell>
          <cell r="AE9" t="str">
            <v>EPSDT</v>
          </cell>
          <cell r="AF9" t="str">
            <v>NON-EPSDT</v>
          </cell>
          <cell r="AG9" t="str">
            <v>NON-EPSDT</v>
          </cell>
          <cell r="AH9" t="str">
            <v>FUNDS</v>
          </cell>
          <cell r="AI9" t="str">
            <v>FUNDS</v>
          </cell>
          <cell r="AJ9" t="str">
            <v>MHSA</v>
          </cell>
          <cell r="AK9" t="str">
            <v>MHSA</v>
          </cell>
          <cell r="AL9" t="str">
            <v>TOTAL</v>
          </cell>
          <cell r="AN9" t="str">
            <v>EPSDT</v>
          </cell>
          <cell r="AO9" t="str">
            <v>EPSDT</v>
          </cell>
          <cell r="AP9" t="str">
            <v>NON-EPSDT</v>
          </cell>
          <cell r="AQ9" t="str">
            <v>NON-EPSDT</v>
          </cell>
          <cell r="AR9" t="str">
            <v>FUNDS</v>
          </cell>
          <cell r="AS9" t="str">
            <v>FUNDS</v>
          </cell>
          <cell r="AT9" t="str">
            <v>MHSA</v>
          </cell>
          <cell r="AU9" t="str">
            <v>MHSA</v>
          </cell>
          <cell r="AV9" t="str">
            <v>TOTAL</v>
          </cell>
          <cell r="AX9" t="str">
            <v>EPSDT</v>
          </cell>
          <cell r="AY9" t="str">
            <v>EPSDT</v>
          </cell>
          <cell r="AZ9" t="str">
            <v>NON-EPSDT</v>
          </cell>
          <cell r="BA9" t="str">
            <v>NON-EPSDT</v>
          </cell>
          <cell r="BB9" t="str">
            <v>FUNDS</v>
          </cell>
          <cell r="BC9" t="str">
            <v>FUNDS</v>
          </cell>
          <cell r="BD9" t="str">
            <v>MHSA</v>
          </cell>
          <cell r="BE9" t="str">
            <v>MHSA</v>
          </cell>
          <cell r="BF9" t="str">
            <v>TOTAL</v>
          </cell>
          <cell r="BH9" t="str">
            <v>EPSDT</v>
          </cell>
          <cell r="BI9" t="str">
            <v>EPSDT</v>
          </cell>
          <cell r="BJ9" t="str">
            <v>NON-EPSDT</v>
          </cell>
          <cell r="BK9" t="str">
            <v>NON-EPSDT</v>
          </cell>
          <cell r="BL9" t="str">
            <v>FUNDS</v>
          </cell>
          <cell r="BM9" t="str">
            <v>FUNDS</v>
          </cell>
          <cell r="BN9" t="str">
            <v>MHSA</v>
          </cell>
          <cell r="BO9" t="str">
            <v>MHSA</v>
          </cell>
          <cell r="BP9" t="str">
            <v>TOTAL</v>
          </cell>
          <cell r="BR9" t="str">
            <v>EPSDT</v>
          </cell>
          <cell r="BS9" t="str">
            <v>EPSDT</v>
          </cell>
          <cell r="BT9" t="str">
            <v>NON-EPSDT</v>
          </cell>
          <cell r="BU9" t="str">
            <v>NON-EPSDT</v>
          </cell>
          <cell r="BV9" t="str">
            <v>FUNDS</v>
          </cell>
          <cell r="BW9" t="str">
            <v>FUNDS</v>
          </cell>
          <cell r="BX9" t="str">
            <v>MHSA</v>
          </cell>
          <cell r="BY9" t="str">
            <v>MHSA</v>
          </cell>
          <cell r="BZ9" t="str">
            <v>TOTAL</v>
          </cell>
          <cell r="CB9" t="str">
            <v>EPSDT</v>
          </cell>
          <cell r="CC9" t="str">
            <v>EPSDT</v>
          </cell>
          <cell r="CD9" t="str">
            <v>NON-EPSDT</v>
          </cell>
          <cell r="CE9" t="str">
            <v>NON-EPSDT</v>
          </cell>
          <cell r="CF9" t="str">
            <v>FUNDS</v>
          </cell>
          <cell r="CG9" t="str">
            <v>FUNDS</v>
          </cell>
          <cell r="CH9" t="str">
            <v>MHSA</v>
          </cell>
          <cell r="CI9" t="str">
            <v>MHSA</v>
          </cell>
          <cell r="CJ9" t="str">
            <v>TOTAL</v>
          </cell>
          <cell r="CL9" t="str">
            <v>EPSDT</v>
          </cell>
          <cell r="CM9" t="str">
            <v>EPSDT</v>
          </cell>
          <cell r="CN9" t="str">
            <v>NON-EPSDT</v>
          </cell>
          <cell r="CO9" t="str">
            <v>NON-EPSDT</v>
          </cell>
          <cell r="CP9" t="str">
            <v>FUNDS</v>
          </cell>
          <cell r="CQ9" t="str">
            <v>FUNDS</v>
          </cell>
          <cell r="CR9" t="str">
            <v>MHSA</v>
          </cell>
          <cell r="CS9" t="str">
            <v>MHSA</v>
          </cell>
          <cell r="CT9" t="str">
            <v>TOTAL</v>
          </cell>
          <cell r="CV9" t="str">
            <v>EPSDT</v>
          </cell>
          <cell r="CW9" t="str">
            <v>EPSDT</v>
          </cell>
          <cell r="CX9" t="str">
            <v>NON-EPSDT</v>
          </cell>
          <cell r="CY9" t="str">
            <v>NON-EPSDT</v>
          </cell>
          <cell r="CZ9" t="str">
            <v>FUNDS</v>
          </cell>
          <cell r="DA9" t="str">
            <v>FUNDS</v>
          </cell>
          <cell r="DB9" t="str">
            <v>MHSA</v>
          </cell>
          <cell r="DC9" t="str">
            <v>MHSA</v>
          </cell>
          <cell r="DD9" t="str">
            <v>TOTAL</v>
          </cell>
          <cell r="DF9" t="str">
            <v>EPSDT</v>
          </cell>
          <cell r="DG9" t="str">
            <v>NON-EPSDT</v>
          </cell>
          <cell r="DH9" t="str">
            <v>FUNDS</v>
          </cell>
          <cell r="DI9" t="str">
            <v>MHSA</v>
          </cell>
          <cell r="DJ9" t="str">
            <v>TOTAL</v>
          </cell>
        </row>
        <row r="10">
          <cell r="A10">
            <v>18616</v>
          </cell>
          <cell r="B10" t="str">
            <v>7 &amp; 8</v>
          </cell>
          <cell r="C10">
            <v>18616</v>
          </cell>
          <cell r="E10" t="str">
            <v>AURORA CHARTER OAK, LLC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</row>
        <row r="11">
          <cell r="A11">
            <v>18617</v>
          </cell>
          <cell r="B11">
            <v>3</v>
          </cell>
          <cell r="C11">
            <v>18617</v>
          </cell>
          <cell r="E11" t="str">
            <v>TRI-CITY MENTAL HEALTH CENTER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</row>
        <row r="12">
          <cell r="A12">
            <v>18618</v>
          </cell>
          <cell r="B12" t="str">
            <v>1, 2 &amp; 5</v>
          </cell>
          <cell r="C12">
            <v>18618</v>
          </cell>
          <cell r="E12" t="str">
            <v>PACIFIC ASIAN COUNSELING SERVICES (FORMELY WRAP)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</row>
        <row r="13">
          <cell r="A13">
            <v>18626</v>
          </cell>
          <cell r="B13">
            <v>6</v>
          </cell>
          <cell r="C13">
            <v>18626</v>
          </cell>
          <cell r="E13" t="str">
            <v>SOUTH CENTRAL HEALTH &amp; REHAB PROGRAM (SCHARP)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</row>
        <row r="14">
          <cell r="A14">
            <v>18629</v>
          </cell>
          <cell r="B14" t="str">
            <v>1, 2 &amp; 5</v>
          </cell>
          <cell r="C14">
            <v>18629</v>
          </cell>
          <cell r="E14" t="str">
            <v xml:space="preserve">EXODUS RECOVERY, INC.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H14">
            <v>108400</v>
          </cell>
          <cell r="BI14">
            <v>108400</v>
          </cell>
          <cell r="BJ14">
            <v>1909092</v>
          </cell>
          <cell r="BK14">
            <v>1909100</v>
          </cell>
          <cell r="BL14">
            <v>0</v>
          </cell>
          <cell r="BM14">
            <v>0</v>
          </cell>
          <cell r="BN14">
            <v>1696354</v>
          </cell>
          <cell r="BO14">
            <v>1696400</v>
          </cell>
          <cell r="BP14">
            <v>3713900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F14">
            <v>108400</v>
          </cell>
          <cell r="DG14">
            <v>1909100</v>
          </cell>
          <cell r="DH14">
            <v>0</v>
          </cell>
          <cell r="DI14">
            <v>1696400</v>
          </cell>
          <cell r="DJ14">
            <v>3713900</v>
          </cell>
        </row>
        <row r="15">
          <cell r="A15">
            <v>18631</v>
          </cell>
          <cell r="B15">
            <v>3</v>
          </cell>
          <cell r="C15">
            <v>18631</v>
          </cell>
          <cell r="E15" t="str">
            <v>STAR VIEW ADOLESCENT CENTER, INC. (PHF)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</row>
        <row r="16">
          <cell r="A16">
            <v>18637</v>
          </cell>
          <cell r="B16" t="str">
            <v xml:space="preserve">7 &amp; 8 </v>
          </cell>
          <cell r="C16">
            <v>18637</v>
          </cell>
          <cell r="E16" t="str">
            <v>PROVIDENCE COMMUNITY SERVICES, LLC. (FORMELY ASPEN)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</row>
        <row r="17">
          <cell r="A17">
            <v>18638</v>
          </cell>
          <cell r="B17" t="str">
            <v xml:space="preserve">7 &amp; 8 </v>
          </cell>
          <cell r="C17">
            <v>18638</v>
          </cell>
          <cell r="E17" t="str">
            <v>SHIELDS FOR FAMILY PROJECT, INC.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</row>
        <row r="18">
          <cell r="A18">
            <v>18663</v>
          </cell>
          <cell r="B18">
            <v>4</v>
          </cell>
          <cell r="C18">
            <v>18663</v>
          </cell>
          <cell r="E18" t="str">
            <v>CHILDREN'S INSTITUTE INC.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</row>
        <row r="19">
          <cell r="A19">
            <v>18664</v>
          </cell>
          <cell r="B19">
            <v>3</v>
          </cell>
          <cell r="C19">
            <v>18664</v>
          </cell>
          <cell r="E19" t="str">
            <v>OLIVE CREST TREATMENT CENTERS, INC.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</row>
        <row r="20">
          <cell r="A20">
            <v>18665</v>
          </cell>
          <cell r="B20">
            <v>3</v>
          </cell>
          <cell r="C20">
            <v>18665</v>
          </cell>
          <cell r="E20" t="str">
            <v xml:space="preserve">SAN GABRIEL CHILDREN'S CTR, INC. (RESEARCH &amp; TREATMENT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</row>
        <row r="21">
          <cell r="A21">
            <v>18675</v>
          </cell>
          <cell r="B21">
            <v>3</v>
          </cell>
          <cell r="C21">
            <v>18675</v>
          </cell>
          <cell r="E21" t="str">
            <v>FIVE ACRES - THE BOYS &amp; GIRLS AID SOCIETY OF LA COUNTY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</row>
        <row r="22">
          <cell r="A22">
            <v>18681</v>
          </cell>
          <cell r="B22">
            <v>4</v>
          </cell>
          <cell r="C22">
            <v>18681</v>
          </cell>
          <cell r="E22" t="str">
            <v>CHILDREN'S BUREAU OF SOUTHERN CALIFORNIA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6864</v>
          </cell>
          <cell r="S22">
            <v>6900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6900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F22">
            <v>0</v>
          </cell>
          <cell r="DG22">
            <v>6900</v>
          </cell>
          <cell r="DH22">
            <v>0</v>
          </cell>
          <cell r="DI22">
            <v>0</v>
          </cell>
          <cell r="DJ22">
            <v>6900</v>
          </cell>
        </row>
        <row r="23">
          <cell r="A23">
            <v>18701</v>
          </cell>
          <cell r="B23">
            <v>3</v>
          </cell>
          <cell r="C23">
            <v>18701</v>
          </cell>
          <cell r="E23" t="str">
            <v>FOOTHILL FAMILY SERVICE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</row>
        <row r="24">
          <cell r="A24">
            <v>20466</v>
          </cell>
          <cell r="B24" t="str">
            <v>7 &amp; 8</v>
          </cell>
          <cell r="C24">
            <v>20466</v>
          </cell>
          <cell r="E24" t="str">
            <v xml:space="preserve">BARBOUR AND FLOYD MEDICAL ASSOCIATES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</row>
        <row r="25">
          <cell r="A25">
            <v>20470</v>
          </cell>
          <cell r="B25">
            <v>3</v>
          </cell>
          <cell r="C25">
            <v>20470</v>
          </cell>
          <cell r="E25" t="str">
            <v>LOS ANGELES UNIFIED SCHOOL DISTRICT (97TH SCHOOL)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</row>
        <row r="26">
          <cell r="A26">
            <v>20486</v>
          </cell>
          <cell r="B26">
            <v>4</v>
          </cell>
          <cell r="C26">
            <v>20486</v>
          </cell>
          <cell r="E26" t="str">
            <v>HAMBURGER HOME (dba AVIVA CENTER)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</row>
        <row r="27">
          <cell r="A27">
            <v>20906</v>
          </cell>
          <cell r="B27">
            <v>4</v>
          </cell>
          <cell r="C27">
            <v>20906</v>
          </cell>
          <cell r="E27" t="str">
            <v>INTERCOMMUNITY CHILD GUIDANCE CTR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</row>
        <row r="28">
          <cell r="A28">
            <v>20961</v>
          </cell>
          <cell r="B28">
            <v>3</v>
          </cell>
          <cell r="C28">
            <v>20961</v>
          </cell>
          <cell r="E28" t="str">
            <v>SUNBRIDGE HARBOR VIEW REHAB CTR, INC. (FORMELY HARBOR VIEW)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</row>
        <row r="29">
          <cell r="A29">
            <v>20966</v>
          </cell>
          <cell r="B29" t="str">
            <v>ADJH</v>
          </cell>
          <cell r="C29">
            <v>20966</v>
          </cell>
          <cell r="E29" t="str">
            <v>HOMES FOR LIFE FOUNDATION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</row>
        <row r="30">
          <cell r="A30">
            <v>21526</v>
          </cell>
          <cell r="B30">
            <v>4</v>
          </cell>
          <cell r="C30">
            <v>21526</v>
          </cell>
          <cell r="E30" t="str">
            <v>ASC TREATMENT GROUP DBA THE ANNE SIPPI CLINIC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</row>
        <row r="31">
          <cell r="A31">
            <v>21527</v>
          </cell>
          <cell r="B31" t="str">
            <v>7 &amp; 8</v>
          </cell>
          <cell r="C31">
            <v>21527</v>
          </cell>
          <cell r="E31" t="str">
            <v>COLLEGE HOSPITAL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</row>
        <row r="32">
          <cell r="A32">
            <v>21528</v>
          </cell>
          <cell r="B32" t="str">
            <v>1, 2 &amp; 5</v>
          </cell>
          <cell r="C32">
            <v>21528</v>
          </cell>
          <cell r="E32" t="str">
            <v>TOPANGA-ROSCOE CORP (TOPANGA WEST GUEST HOME)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</row>
        <row r="33">
          <cell r="A33">
            <v>21568</v>
          </cell>
          <cell r="B33">
            <v>6</v>
          </cell>
          <cell r="C33">
            <v>21568</v>
          </cell>
          <cell r="E33" t="str">
            <v>ST. FRANCIS MEDICAL CENTER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</row>
        <row r="34">
          <cell r="A34">
            <v>21569</v>
          </cell>
          <cell r="B34">
            <v>4</v>
          </cell>
          <cell r="C34">
            <v>21569</v>
          </cell>
          <cell r="E34" t="str">
            <v>OPTIMIST BOYS' HOME &amp; RANCH INC.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</row>
        <row r="35">
          <cell r="A35">
            <v>21570</v>
          </cell>
          <cell r="B35" t="str">
            <v>7 &amp; 8</v>
          </cell>
          <cell r="C35">
            <v>21570</v>
          </cell>
          <cell r="E35" t="str">
            <v>COUNSELING &amp; RESEARCH ASSO. INC., (dba MASADA HOMES)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</row>
        <row r="36">
          <cell r="A36">
            <v>21571</v>
          </cell>
          <cell r="B36">
            <v>3</v>
          </cell>
          <cell r="C36">
            <v>21571</v>
          </cell>
          <cell r="E36" t="str">
            <v>EASTFIELD MING QUONG, INC. (FORMELY LA ORPHANS)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</row>
        <row r="37">
          <cell r="A37">
            <v>21573</v>
          </cell>
          <cell r="B37">
            <v>3</v>
          </cell>
          <cell r="C37">
            <v>21573</v>
          </cell>
          <cell r="E37" t="str">
            <v>PHOENIX HOUSES OF LOS ANGELES, INC.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</row>
        <row r="38">
          <cell r="A38">
            <v>21574</v>
          </cell>
          <cell r="B38">
            <v>3</v>
          </cell>
          <cell r="C38">
            <v>21574</v>
          </cell>
          <cell r="E38" t="str">
            <v>D' VEAL CORP. (dva D'VEAL FAMILY AND YOUTH SVCS)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</row>
        <row r="39">
          <cell r="A39">
            <v>21575</v>
          </cell>
          <cell r="B39" t="str">
            <v>7 &amp; 8</v>
          </cell>
          <cell r="C39">
            <v>21575</v>
          </cell>
          <cell r="E39" t="str">
            <v>CHILDNET YOUTH &amp; FAMILY SERVICES, INC.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</row>
        <row r="40">
          <cell r="A40">
            <v>23100</v>
          </cell>
          <cell r="B40">
            <v>4</v>
          </cell>
          <cell r="C40">
            <v>23100</v>
          </cell>
          <cell r="E40" t="str">
            <v>AIDS PROJECT LOS ANGELES, INC.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</row>
        <row r="41">
          <cell r="A41">
            <v>23101</v>
          </cell>
          <cell r="B41" t="str">
            <v>1, 2 &amp; 5</v>
          </cell>
          <cell r="C41">
            <v>23101</v>
          </cell>
          <cell r="E41" t="str">
            <v>EXCEPTIONAL CHILDREN'S FOUNDATION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</row>
        <row r="42">
          <cell r="A42">
            <v>23103</v>
          </cell>
          <cell r="B42" t="str">
            <v>7 &amp; 8</v>
          </cell>
          <cell r="C42">
            <v>23103</v>
          </cell>
          <cell r="E42" t="str">
            <v>ASSOC. LEAGUE OF MEXICAN AMERICAN DBA ALMA FAMILY SVCS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</row>
        <row r="43">
          <cell r="A43">
            <v>23105</v>
          </cell>
          <cell r="B43">
            <v>3</v>
          </cell>
          <cell r="C43">
            <v>23105</v>
          </cell>
          <cell r="E43" t="str">
            <v xml:space="preserve">BRASWELL REHAB INST FOR DEV. OF GROWTH (dba BRIDGES)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</row>
        <row r="44">
          <cell r="A44">
            <v>23106</v>
          </cell>
          <cell r="B44" t="str">
            <v>1,2 &amp; 5</v>
          </cell>
          <cell r="C44">
            <v>23106</v>
          </cell>
          <cell r="E44" t="str">
            <v>ALCOTT CENTER FOR MH  SERVICES(Beverlywood)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29800</v>
          </cell>
          <cell r="BI44">
            <v>29800</v>
          </cell>
          <cell r="BJ44">
            <v>176600</v>
          </cell>
          <cell r="BK44">
            <v>176600</v>
          </cell>
          <cell r="BL44">
            <v>0</v>
          </cell>
          <cell r="BM44">
            <v>0</v>
          </cell>
          <cell r="BN44">
            <v>173300</v>
          </cell>
          <cell r="BO44">
            <v>173300</v>
          </cell>
          <cell r="BP44">
            <v>379700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F44">
            <v>29800</v>
          </cell>
          <cell r="DG44">
            <v>176600</v>
          </cell>
          <cell r="DH44">
            <v>0</v>
          </cell>
          <cell r="DI44">
            <v>173300</v>
          </cell>
          <cell r="DJ44">
            <v>379700</v>
          </cell>
        </row>
        <row r="45">
          <cell r="A45">
            <v>27638</v>
          </cell>
          <cell r="B45" t="str">
            <v>2 &amp; 5</v>
          </cell>
          <cell r="C45">
            <v>27638</v>
          </cell>
          <cell r="E45" t="str">
            <v>EDUCATIONAL RESOURCE &amp; SERVICES CTR. (dba KAYNE-ERAS)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</row>
        <row r="46">
          <cell r="A46">
            <v>23108</v>
          </cell>
          <cell r="B46" t="str">
            <v>7 &amp; 8</v>
          </cell>
          <cell r="C46">
            <v>23108</v>
          </cell>
          <cell r="E46" t="str">
            <v xml:space="preserve">FOR THE CHILD, INC.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</row>
        <row r="47">
          <cell r="A47">
            <v>23109</v>
          </cell>
          <cell r="B47">
            <v>4</v>
          </cell>
          <cell r="C47">
            <v>23109</v>
          </cell>
          <cell r="E47" t="str">
            <v>CEDARS-SINAI MEDICAL CENTER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</row>
        <row r="48">
          <cell r="A48">
            <v>23112</v>
          </cell>
          <cell r="B48">
            <v>4</v>
          </cell>
          <cell r="C48">
            <v>23112</v>
          </cell>
          <cell r="E48" t="str">
            <v>CHILDREN'S HOSPITAL OF LOS ANGELES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59300</v>
          </cell>
          <cell r="AA48">
            <v>59300</v>
          </cell>
          <cell r="AB48">
            <v>59300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59300</v>
          </cell>
          <cell r="DJ48">
            <v>59300</v>
          </cell>
        </row>
        <row r="49">
          <cell r="A49">
            <v>23113</v>
          </cell>
          <cell r="B49" t="str">
            <v>7 &amp; 8</v>
          </cell>
          <cell r="C49">
            <v>23113</v>
          </cell>
          <cell r="E49" t="str">
            <v>CITY OF GARDENA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</row>
        <row r="50">
          <cell r="A50">
            <v>23114</v>
          </cell>
          <cell r="B50">
            <v>4</v>
          </cell>
          <cell r="C50">
            <v>23114</v>
          </cell>
          <cell r="E50" t="str">
            <v>COMMUNITY FAMILY GUIDANCE CENTER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</row>
        <row r="51">
          <cell r="A51">
            <v>23116</v>
          </cell>
          <cell r="B51" t="str">
            <v>1, 2 &amp; 5</v>
          </cell>
          <cell r="C51">
            <v>23116</v>
          </cell>
          <cell r="E51" t="str">
            <v xml:space="preserve">DIDI HIRSCH PSYCHIATRIC SERVICE 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</row>
        <row r="52">
          <cell r="A52">
            <v>23118</v>
          </cell>
          <cell r="B52">
            <v>3</v>
          </cell>
          <cell r="C52">
            <v>23118</v>
          </cell>
          <cell r="E52" t="str">
            <v>DUBNOFF CENTER FOR CHILD DEV &amp; EDU THERAPY, INC.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</row>
        <row r="53">
          <cell r="A53">
            <v>27492</v>
          </cell>
          <cell r="B53" t="str">
            <v>6 &amp; 8</v>
          </cell>
          <cell r="C53">
            <v>27492</v>
          </cell>
          <cell r="E53" t="str">
            <v xml:space="preserve">FH &amp; HF TORRANCE I, LLC C/O HEALTH QUALITY MANAGEMENT 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1</v>
          </cell>
          <cell r="S53">
            <v>0</v>
          </cell>
          <cell r="T53">
            <v>1</v>
          </cell>
          <cell r="U53">
            <v>0</v>
          </cell>
          <cell r="V53">
            <v>1</v>
          </cell>
          <cell r="W53">
            <v>0</v>
          </cell>
          <cell r="X53">
            <v>1</v>
          </cell>
          <cell r="Y53">
            <v>0</v>
          </cell>
          <cell r="Z53">
            <v>1</v>
          </cell>
          <cell r="AA53">
            <v>0</v>
          </cell>
          <cell r="AB53">
            <v>0</v>
          </cell>
          <cell r="AD53">
            <v>0</v>
          </cell>
          <cell r="AE53">
            <v>0</v>
          </cell>
          <cell r="AF53">
            <v>1</v>
          </cell>
          <cell r="AG53">
            <v>0</v>
          </cell>
          <cell r="AH53">
            <v>1</v>
          </cell>
          <cell r="AI53">
            <v>0</v>
          </cell>
          <cell r="AJ53">
            <v>1</v>
          </cell>
          <cell r="AK53">
            <v>0</v>
          </cell>
          <cell r="AL53">
            <v>0</v>
          </cell>
          <cell r="AN53">
            <v>0</v>
          </cell>
          <cell r="AO53">
            <v>0</v>
          </cell>
          <cell r="AP53">
            <v>1</v>
          </cell>
          <cell r="AQ53">
            <v>0</v>
          </cell>
          <cell r="AR53">
            <v>1</v>
          </cell>
          <cell r="AS53">
            <v>0</v>
          </cell>
          <cell r="AT53">
            <v>1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1</v>
          </cell>
          <cell r="BY53">
            <v>0</v>
          </cell>
          <cell r="BZ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0</v>
          </cell>
          <cell r="CF53">
            <v>1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L53">
            <v>0</v>
          </cell>
          <cell r="CM53">
            <v>0</v>
          </cell>
          <cell r="CN53">
            <v>1</v>
          </cell>
          <cell r="CO53">
            <v>0</v>
          </cell>
          <cell r="CP53">
            <v>1</v>
          </cell>
          <cell r="CQ53">
            <v>0</v>
          </cell>
          <cell r="CR53">
            <v>1</v>
          </cell>
          <cell r="CS53">
            <v>0</v>
          </cell>
          <cell r="CT53">
            <v>0</v>
          </cell>
          <cell r="CV53">
            <v>0</v>
          </cell>
          <cell r="CW53">
            <v>0</v>
          </cell>
          <cell r="CX53">
            <v>1</v>
          </cell>
          <cell r="CY53">
            <v>0</v>
          </cell>
          <cell r="CZ53">
            <v>1</v>
          </cell>
          <cell r="DA53">
            <v>0</v>
          </cell>
          <cell r="DB53">
            <v>1</v>
          </cell>
          <cell r="DC53">
            <v>0</v>
          </cell>
          <cell r="DD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</row>
        <row r="54">
          <cell r="A54">
            <v>23119</v>
          </cell>
          <cell r="B54">
            <v>3</v>
          </cell>
          <cell r="C54">
            <v>23119</v>
          </cell>
          <cell r="E54" t="str">
            <v>EL CENTRO DE AMISTAD, INC.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</row>
        <row r="55">
          <cell r="A55">
            <v>23122</v>
          </cell>
          <cell r="B55">
            <v>4</v>
          </cell>
          <cell r="C55">
            <v>23122</v>
          </cell>
          <cell r="E55" t="str">
            <v xml:space="preserve">ENKI HEALTH AND RESEARCH SYSTEMS, INC. 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</row>
        <row r="56">
          <cell r="A56">
            <v>23123</v>
          </cell>
          <cell r="B56">
            <v>4</v>
          </cell>
          <cell r="C56">
            <v>23123</v>
          </cell>
          <cell r="E56" t="str">
            <v>FILIPINO-AMERICAN SERVICE GROUP, INC.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</row>
        <row r="57">
          <cell r="A57">
            <v>23125</v>
          </cell>
          <cell r="B57">
            <v>6</v>
          </cell>
          <cell r="C57">
            <v>23125</v>
          </cell>
          <cell r="E57" t="str">
            <v>1736 FAMILY CRISIS CENTER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</row>
        <row r="58">
          <cell r="A58">
            <v>23128</v>
          </cell>
          <cell r="B58">
            <v>4</v>
          </cell>
          <cell r="C58">
            <v>23128</v>
          </cell>
          <cell r="E58" t="str">
            <v xml:space="preserve">GATEWAYS HOSPITAL &amp; MHC 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1070000</v>
          </cell>
          <cell r="CI58">
            <v>1070000</v>
          </cell>
          <cell r="CJ58">
            <v>1070000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1070000</v>
          </cell>
          <cell r="DJ58">
            <v>1070000</v>
          </cell>
        </row>
        <row r="59">
          <cell r="A59">
            <v>23132</v>
          </cell>
          <cell r="B59">
            <v>3</v>
          </cell>
          <cell r="C59">
            <v>23132</v>
          </cell>
          <cell r="E59" t="str">
            <v>HATHAWAY SYCAMORES CHILD &amp; FAMILY SERVICES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</row>
        <row r="60">
          <cell r="A60">
            <v>23133</v>
          </cell>
          <cell r="B60" t="str">
            <v>1, 2 &amp; 5</v>
          </cell>
          <cell r="C60">
            <v>23133</v>
          </cell>
          <cell r="E60" t="str">
            <v>HILLVIEW MENTAL HEALTH CENTER,  INC.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996260</v>
          </cell>
          <cell r="AS60">
            <v>996300</v>
          </cell>
          <cell r="AT60">
            <v>0</v>
          </cell>
          <cell r="AU60">
            <v>0</v>
          </cell>
          <cell r="AV60">
            <v>996300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F60">
            <v>0</v>
          </cell>
          <cell r="DG60">
            <v>0</v>
          </cell>
          <cell r="DH60">
            <v>996300</v>
          </cell>
          <cell r="DI60">
            <v>0</v>
          </cell>
          <cell r="DJ60">
            <v>996300</v>
          </cell>
        </row>
        <row r="61">
          <cell r="A61">
            <v>23134</v>
          </cell>
          <cell r="B61">
            <v>4</v>
          </cell>
          <cell r="C61">
            <v>23134</v>
          </cell>
          <cell r="E61" t="str">
            <v>CLONTARF MANOR INC.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</row>
        <row r="62">
          <cell r="A62">
            <v>23135</v>
          </cell>
          <cell r="B62">
            <v>3</v>
          </cell>
          <cell r="C62">
            <v>23135</v>
          </cell>
          <cell r="E62" t="str">
            <v xml:space="preserve">HILLSIDES (FORMERLY CHURCH HOME FOR CHILDREN) 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</row>
        <row r="63">
          <cell r="A63">
            <v>23136</v>
          </cell>
          <cell r="B63">
            <v>6</v>
          </cell>
          <cell r="C63">
            <v>23136</v>
          </cell>
          <cell r="E63" t="str">
            <v xml:space="preserve">KEDREN COMMUNITY HEALTH CENTER, INC. DBA KEDREN 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</row>
        <row r="64">
          <cell r="A64">
            <v>23137</v>
          </cell>
          <cell r="B64">
            <v>4</v>
          </cell>
          <cell r="C64">
            <v>23137</v>
          </cell>
          <cell r="E64" t="str">
            <v>KOREATOWN YOUTH &amp; COMMUNITY CENTER, INC.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</row>
        <row r="65">
          <cell r="A65">
            <v>23138</v>
          </cell>
          <cell r="B65" t="str">
            <v>1,2 &amp; 5</v>
          </cell>
          <cell r="C65">
            <v>23138</v>
          </cell>
          <cell r="E65" t="str">
            <v xml:space="preserve">THE HELP GROUP C&amp;F CTR (FORMELY LA CTR FOR THERAPY &amp; ED) 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</row>
        <row r="66">
          <cell r="A66">
            <v>23141</v>
          </cell>
          <cell r="B66" t="str">
            <v>7 &amp; 8</v>
          </cell>
          <cell r="C66">
            <v>23141</v>
          </cell>
          <cell r="E66" t="str">
            <v>LOS ANGELES CHILD GUIDANCE CLINIC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</row>
        <row r="67">
          <cell r="A67">
            <v>23142</v>
          </cell>
          <cell r="B67">
            <v>4</v>
          </cell>
          <cell r="C67">
            <v>23142</v>
          </cell>
          <cell r="E67" t="str">
            <v>LOS ANGELES GAY &amp; LESBIAN COMMUNITY SVCS CTR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24905</v>
          </cell>
          <cell r="AA67">
            <v>24900</v>
          </cell>
          <cell r="AB67">
            <v>24900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24900</v>
          </cell>
          <cell r="DJ67">
            <v>24900</v>
          </cell>
        </row>
        <row r="68">
          <cell r="A68">
            <v>23143</v>
          </cell>
          <cell r="B68">
            <v>4</v>
          </cell>
          <cell r="C68">
            <v>23143</v>
          </cell>
          <cell r="E68" t="str">
            <v xml:space="preserve">LAMP INC. 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816500</v>
          </cell>
          <cell r="AA68">
            <v>816500</v>
          </cell>
          <cell r="AB68">
            <v>816500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816500</v>
          </cell>
          <cell r="DJ68">
            <v>816500</v>
          </cell>
        </row>
        <row r="69">
          <cell r="A69">
            <v>23146</v>
          </cell>
          <cell r="B69" t="str">
            <v>7 &amp; 8</v>
          </cell>
          <cell r="C69">
            <v>23146</v>
          </cell>
          <cell r="E69" t="str">
            <v>MENTAL HEALTH AMERICA OF LOS ANGELES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</row>
        <row r="70">
          <cell r="A70">
            <v>23149</v>
          </cell>
          <cell r="B70">
            <v>3</v>
          </cell>
          <cell r="C70">
            <v>23149</v>
          </cell>
          <cell r="E70" t="str">
            <v xml:space="preserve">PENNY LANE CENTERS (NATIONAL FOUNDATION TREATMENT) 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</row>
        <row r="71">
          <cell r="A71">
            <v>23151</v>
          </cell>
          <cell r="B71" t="str">
            <v>1, 2 &amp; 5</v>
          </cell>
          <cell r="C71">
            <v>23151</v>
          </cell>
          <cell r="E71" t="str">
            <v>OCEAN PARK COMMUNITY CENTER (McKinney)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</row>
        <row r="72">
          <cell r="A72">
            <v>23153</v>
          </cell>
          <cell r="B72">
            <v>3</v>
          </cell>
          <cell r="C72">
            <v>23153</v>
          </cell>
          <cell r="E72" t="str">
            <v xml:space="preserve">PACIFIC CLINICS 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</row>
        <row r="73">
          <cell r="A73">
            <v>23157</v>
          </cell>
          <cell r="B73" t="str">
            <v>7 &amp; 8</v>
          </cell>
          <cell r="C73">
            <v>23157</v>
          </cell>
          <cell r="E73" t="str">
            <v>THE GUIDANCE CENTER (GREATER LONG BEACH CHILD)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</row>
        <row r="74">
          <cell r="A74">
            <v>23162</v>
          </cell>
          <cell r="B74" t="str">
            <v>2 &amp; 5</v>
          </cell>
          <cell r="C74">
            <v>23162</v>
          </cell>
          <cell r="E74" t="str">
            <v>CHILD AND FAMILY GUIDANCE CENTER (SFV)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</row>
        <row r="75">
          <cell r="A75">
            <v>23163</v>
          </cell>
          <cell r="B75" t="str">
            <v>1, 2 &amp; 5</v>
          </cell>
          <cell r="C75">
            <v>23163</v>
          </cell>
          <cell r="E75" t="str">
            <v xml:space="preserve">SAN FERNANDO VALLEY COMMUNITY MHC, INC. 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</row>
        <row r="76">
          <cell r="A76">
            <v>23164</v>
          </cell>
          <cell r="B76" t="str">
            <v>7 &amp; 8</v>
          </cell>
          <cell r="C76">
            <v>23164</v>
          </cell>
          <cell r="E76" t="str">
            <v>HEALTH VIEW INC.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</row>
        <row r="77">
          <cell r="A77">
            <v>27637</v>
          </cell>
          <cell r="B77" t="str">
            <v>1 &amp; 3</v>
          </cell>
          <cell r="C77">
            <v>27637</v>
          </cell>
          <cell r="E77" t="str">
            <v>KIDS FIRST FOUNDATION (MID VALLEY YOUTY CTR / HELICON)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</row>
        <row r="78">
          <cell r="A78">
            <v>23165</v>
          </cell>
          <cell r="B78" t="str">
            <v>2 &amp; 5</v>
          </cell>
          <cell r="C78">
            <v>23165</v>
          </cell>
          <cell r="E78" t="str">
            <v>CHILD &amp; FAMILY CENTER (SANTA CLARITA CHILD &amp; FAMILY)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</row>
        <row r="79">
          <cell r="A79">
            <v>23167</v>
          </cell>
          <cell r="B79" t="str">
            <v>1, 2 &amp; 5</v>
          </cell>
          <cell r="C79">
            <v>23167</v>
          </cell>
          <cell r="E79" t="str">
            <v>ST. JOSEPH CENTER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</row>
        <row r="80">
          <cell r="A80">
            <v>23168</v>
          </cell>
          <cell r="B80">
            <v>3</v>
          </cell>
          <cell r="C80">
            <v>23168</v>
          </cell>
          <cell r="E80" t="str">
            <v>SOCIAL MODEL RECOVERY SYSTEMS, INC.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</row>
        <row r="81">
          <cell r="A81">
            <v>23169</v>
          </cell>
          <cell r="B81" t="str">
            <v xml:space="preserve">7 &amp; 8 </v>
          </cell>
          <cell r="C81">
            <v>23169</v>
          </cell>
          <cell r="E81" t="str">
            <v>SOUTH BAY CHILDREN'S HEALTH CENTER ASSOCIATION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</row>
        <row r="82">
          <cell r="A82">
            <v>23170</v>
          </cell>
          <cell r="B82">
            <v>4</v>
          </cell>
          <cell r="C82">
            <v>23170</v>
          </cell>
          <cell r="E82" t="str">
            <v xml:space="preserve">SPECIAL SERVICE FOR GROUPS 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150000</v>
          </cell>
          <cell r="BC82">
            <v>150000</v>
          </cell>
          <cell r="BD82">
            <v>0</v>
          </cell>
          <cell r="BE82">
            <v>0</v>
          </cell>
          <cell r="BF82">
            <v>150000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F82">
            <v>0</v>
          </cell>
          <cell r="DG82">
            <v>0</v>
          </cell>
          <cell r="DH82">
            <v>150000</v>
          </cell>
          <cell r="DI82">
            <v>0</v>
          </cell>
          <cell r="DJ82">
            <v>150000</v>
          </cell>
        </row>
        <row r="83">
          <cell r="A83">
            <v>23171</v>
          </cell>
          <cell r="B83" t="str">
            <v>1, 2 &amp; 5</v>
          </cell>
          <cell r="C83">
            <v>23171</v>
          </cell>
          <cell r="E83" t="str">
            <v>ST. JOHN'S HOSPITAL AND HEALTH CTR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</row>
        <row r="84">
          <cell r="A84">
            <v>23172</v>
          </cell>
          <cell r="B84" t="str">
            <v xml:space="preserve">7 &amp; 8 </v>
          </cell>
          <cell r="C84">
            <v>23172</v>
          </cell>
          <cell r="E84" t="str">
            <v>TELECARE CORP. (LA PAZ &amp; LA CASA MENTAL HEALTH CTR)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</row>
        <row r="85">
          <cell r="A85">
            <v>23173</v>
          </cell>
          <cell r="B85">
            <v>4</v>
          </cell>
          <cell r="C85">
            <v>23173</v>
          </cell>
          <cell r="E85" t="str">
            <v>AMANECER COMMUNITY COUNSELING SRVS., INC. (FORMELY COMMUNITY COUNSELING SERVICES)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</row>
        <row r="86">
          <cell r="A86">
            <v>23174</v>
          </cell>
          <cell r="B86">
            <v>4</v>
          </cell>
          <cell r="C86">
            <v>23174</v>
          </cell>
          <cell r="E86" t="str">
            <v>HEALTH RESEARCH ASSOCIATION (dba USC ALTERNATIVE )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</row>
        <row r="87">
          <cell r="A87">
            <v>23175</v>
          </cell>
          <cell r="B87" t="str">
            <v>7 &amp; 8</v>
          </cell>
          <cell r="C87">
            <v>23175</v>
          </cell>
          <cell r="E87" t="str">
            <v>TRANSITIONAL LIVING CENTERS FOR LA COUNTY, INC.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</row>
        <row r="88">
          <cell r="A88">
            <v>23176</v>
          </cell>
          <cell r="B88">
            <v>4</v>
          </cell>
          <cell r="C88">
            <v>23176</v>
          </cell>
          <cell r="E88" t="str">
            <v>TRAVELERS AID SOCIETY OF LOS ANGELES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22800</v>
          </cell>
          <cell r="AA88">
            <v>22800</v>
          </cell>
          <cell r="AB88">
            <v>22800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22800</v>
          </cell>
          <cell r="DJ88">
            <v>22800</v>
          </cell>
        </row>
        <row r="89">
          <cell r="A89">
            <v>23178</v>
          </cell>
          <cell r="B89" t="str">
            <v>1, 2 &amp; 5</v>
          </cell>
          <cell r="C89">
            <v>23178</v>
          </cell>
          <cell r="E89" t="str">
            <v xml:space="preserve">VERDUGO MENTAL HEALTH CENTER 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</row>
        <row r="90">
          <cell r="A90">
            <v>23179</v>
          </cell>
          <cell r="B90">
            <v>6</v>
          </cell>
          <cell r="C90">
            <v>23179</v>
          </cell>
          <cell r="E90" t="str">
            <v xml:space="preserve">WATTS LABOR COMMMUNITY ACTION COMMMITTEE (WLCAC) 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</row>
        <row r="91">
          <cell r="A91">
            <v>23180</v>
          </cell>
          <cell r="B91" t="str">
            <v>1, 2 &amp; 5</v>
          </cell>
          <cell r="C91">
            <v>23180</v>
          </cell>
          <cell r="E91" t="str">
            <v>WESTSIDE CENTER FOR INDEPENDENT LIVING, INC.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26000</v>
          </cell>
          <cell r="Y91">
            <v>26000</v>
          </cell>
          <cell r="Z91">
            <v>0</v>
          </cell>
          <cell r="AA91">
            <v>0</v>
          </cell>
          <cell r="AB91">
            <v>26000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F91">
            <v>0</v>
          </cell>
          <cell r="DG91">
            <v>0</v>
          </cell>
          <cell r="DH91">
            <v>26000</v>
          </cell>
          <cell r="DI91">
            <v>0</v>
          </cell>
          <cell r="DJ91">
            <v>26000</v>
          </cell>
        </row>
        <row r="92">
          <cell r="A92">
            <v>23182</v>
          </cell>
          <cell r="B92" t="str">
            <v>1,2 &amp; 5</v>
          </cell>
          <cell r="C92">
            <v>23182</v>
          </cell>
          <cell r="E92" t="str">
            <v>STEP-UP ON SECOND STREET, INC.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</row>
        <row r="93">
          <cell r="A93">
            <v>23186</v>
          </cell>
          <cell r="B93">
            <v>4</v>
          </cell>
          <cell r="C93">
            <v>23186</v>
          </cell>
          <cell r="E93" t="str">
            <v>INSTITUTE FOR THE REDESIGN OF LEARNING (ALMANSOR)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</row>
        <row r="94">
          <cell r="A94">
            <v>23187</v>
          </cell>
          <cell r="B94" t="str">
            <v>1, 2 &amp; 5</v>
          </cell>
          <cell r="C94">
            <v>23187</v>
          </cell>
          <cell r="E94" t="str">
            <v>STIRLING ACADEMY, INC.(STIRLING BEHAVIORAL HEALTH INST.)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</row>
        <row r="95">
          <cell r="A95">
            <v>23188</v>
          </cell>
          <cell r="B95" t="str">
            <v>1, 2 &amp; 5</v>
          </cell>
          <cell r="C95">
            <v>23188</v>
          </cell>
          <cell r="E95" t="str">
            <v>VISTA DEL MAR CHILD &amp; FAMILY SVCS (JEWISH ORPHANS)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</row>
        <row r="96">
          <cell r="A96">
            <v>23190</v>
          </cell>
          <cell r="B96">
            <v>4</v>
          </cell>
          <cell r="C96">
            <v>23190</v>
          </cell>
          <cell r="E96" t="str">
            <v>THE LOS ANGELES FREE CLINIC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</row>
        <row r="97">
          <cell r="A97">
            <v>27210</v>
          </cell>
          <cell r="B97">
            <v>3</v>
          </cell>
          <cell r="C97">
            <v>27210</v>
          </cell>
          <cell r="E97" t="str">
            <v>PROTOTYPES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</row>
        <row r="98">
          <cell r="A98">
            <v>27231</v>
          </cell>
          <cell r="B98">
            <v>3</v>
          </cell>
          <cell r="C98">
            <v>27231</v>
          </cell>
          <cell r="E98" t="str">
            <v>GAY &amp; LESBIAN ADOLESCENT SOC. SVCS, INC.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</row>
        <row r="99">
          <cell r="A99">
            <v>27233</v>
          </cell>
          <cell r="B99">
            <v>3</v>
          </cell>
          <cell r="C99">
            <v>27233</v>
          </cell>
          <cell r="E99" t="str">
            <v>BIENVENIDOS CHILDREN'S CTR, INC.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</row>
        <row r="100">
          <cell r="A100">
            <v>27234</v>
          </cell>
          <cell r="B100">
            <v>3</v>
          </cell>
          <cell r="C100">
            <v>27234</v>
          </cell>
          <cell r="E100" t="str">
            <v>ETTIE LEE HOMES, INC.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</row>
        <row r="101">
          <cell r="A101">
            <v>27235</v>
          </cell>
          <cell r="B101" t="str">
            <v>7 &amp; 8</v>
          </cell>
          <cell r="C101">
            <v>27235</v>
          </cell>
          <cell r="E101" t="str">
            <v>ONE IN LONG BEACH, INC.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24000</v>
          </cell>
          <cell r="AA101">
            <v>24000</v>
          </cell>
          <cell r="AB101">
            <v>24000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24000</v>
          </cell>
          <cell r="DJ101">
            <v>24000</v>
          </cell>
        </row>
        <row r="102">
          <cell r="A102">
            <v>27236</v>
          </cell>
          <cell r="B102">
            <v>3</v>
          </cell>
          <cell r="C102">
            <v>27236</v>
          </cell>
          <cell r="E102" t="str">
            <v>ROSEMARY CHILDREN'S SERVICES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</row>
        <row r="103">
          <cell r="A103">
            <v>27248</v>
          </cell>
          <cell r="B103">
            <v>4</v>
          </cell>
          <cell r="C103">
            <v>27248</v>
          </cell>
          <cell r="E103" t="str">
            <v>UNITED AMERICAN INDIAN INVOLVEMENT, INC.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</row>
        <row r="104">
          <cell r="A104">
            <v>27476</v>
          </cell>
          <cell r="B104">
            <v>3</v>
          </cell>
          <cell r="C104">
            <v>27476</v>
          </cell>
          <cell r="E104" t="str">
            <v xml:space="preserve">WHITE MEMORIAL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</row>
        <row r="105">
          <cell r="A105">
            <v>27478</v>
          </cell>
          <cell r="B105">
            <v>3</v>
          </cell>
          <cell r="C105">
            <v>27478</v>
          </cell>
          <cell r="E105" t="str">
            <v>HERITAGE CLINIC &amp; THE COMMUNITY ASS. PRO. FOR SENIORS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</row>
        <row r="106">
          <cell r="A106">
            <v>27490</v>
          </cell>
          <cell r="B106">
            <v>3</v>
          </cell>
          <cell r="C106">
            <v>27490</v>
          </cell>
          <cell r="E106" t="str">
            <v>UCLA TIES FOR ADOPTION (THE REGENTS)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</row>
        <row r="107">
          <cell r="A107">
            <v>27495</v>
          </cell>
          <cell r="B107">
            <v>3</v>
          </cell>
          <cell r="C107">
            <v>27495</v>
          </cell>
          <cell r="E107" t="str">
            <v>MCKINLEY CHILDREN'S CENTER, INC.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</row>
        <row r="108">
          <cell r="A108">
            <v>27507</v>
          </cell>
          <cell r="B108">
            <v>3</v>
          </cell>
          <cell r="C108">
            <v>27507</v>
          </cell>
          <cell r="E108" t="str">
            <v>MARYVALE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</row>
        <row r="109">
          <cell r="A109">
            <v>27508</v>
          </cell>
          <cell r="B109" t="str">
            <v>1, 2 &amp; 5</v>
          </cell>
          <cell r="C109">
            <v>27508</v>
          </cell>
          <cell r="E109" t="str">
            <v>COUNSELLING4KIDS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</row>
        <row r="110">
          <cell r="A110">
            <v>27518</v>
          </cell>
          <cell r="B110" t="str">
            <v>1, 2 &amp; 5</v>
          </cell>
          <cell r="C110">
            <v>27518</v>
          </cell>
          <cell r="E110" t="str">
            <v>PACIFIC LODGE YOUTH SERVICE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</row>
        <row r="111">
          <cell r="A111">
            <v>27519</v>
          </cell>
          <cell r="B111">
            <v>4</v>
          </cell>
          <cell r="C111">
            <v>27519</v>
          </cell>
          <cell r="E111" t="str">
            <v>PARA LOS NINOS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</row>
        <row r="112">
          <cell r="A112">
            <v>27520</v>
          </cell>
          <cell r="B112">
            <v>6</v>
          </cell>
          <cell r="C112">
            <v>27520</v>
          </cell>
          <cell r="E112" t="str">
            <v>PERSONAL INVOLVEMENT CENTER, INC.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</row>
        <row r="113">
          <cell r="A113">
            <v>27522</v>
          </cell>
          <cell r="B113">
            <v>3</v>
          </cell>
          <cell r="C113">
            <v>27522</v>
          </cell>
          <cell r="E113" t="str">
            <v>SERENITY INFANT CARE HOMES, INC.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</row>
        <row r="114">
          <cell r="A114">
            <v>27523</v>
          </cell>
          <cell r="B114">
            <v>3</v>
          </cell>
          <cell r="C114">
            <v>27523</v>
          </cell>
          <cell r="E114" t="str">
            <v>ST. ANNE'S MATERNITY HOME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</row>
        <row r="115">
          <cell r="A115">
            <v>27524</v>
          </cell>
          <cell r="B115">
            <v>3</v>
          </cell>
          <cell r="C115">
            <v>27524</v>
          </cell>
          <cell r="E115" t="str">
            <v>TOBINWORLD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</row>
        <row r="116">
          <cell r="A116">
            <v>27525</v>
          </cell>
          <cell r="B116">
            <v>3</v>
          </cell>
          <cell r="C116">
            <v>27525</v>
          </cell>
          <cell r="E116" t="str">
            <v>TRINITY YOUTH SERVICES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</row>
        <row r="117">
          <cell r="A117">
            <v>27529</v>
          </cell>
          <cell r="B117">
            <v>4</v>
          </cell>
          <cell r="C117">
            <v>27529</v>
          </cell>
          <cell r="E117" t="str">
            <v>INTSITUTE FOR MULTICULTURAL COUN. &amp; EDU. SVCS, INC. (IMCES)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</row>
        <row r="118">
          <cell r="A118">
            <v>27537</v>
          </cell>
          <cell r="B118" t="str">
            <v>7 &amp; 8</v>
          </cell>
          <cell r="C118">
            <v>27537</v>
          </cell>
          <cell r="E118" t="str">
            <v>HELPLINE YOUTH COUNSELING, INC.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</row>
        <row r="119">
          <cell r="A119">
            <v>27542</v>
          </cell>
          <cell r="B119">
            <v>3</v>
          </cell>
          <cell r="C119">
            <v>27542</v>
          </cell>
          <cell r="E119" t="str">
            <v>PASADENA UNIFIED SCHOOL DISTRICT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</row>
        <row r="120">
          <cell r="A120">
            <v>27543</v>
          </cell>
          <cell r="B120">
            <v>3</v>
          </cell>
          <cell r="C120">
            <v>27543</v>
          </cell>
          <cell r="E120" t="str">
            <v>LEROY HAYNES CTR FOR CHILDREN &amp; FAMILY SVCS, INC.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</row>
        <row r="121">
          <cell r="A121">
            <v>27544</v>
          </cell>
          <cell r="B121" t="str">
            <v>1, 2 &amp; 5</v>
          </cell>
          <cell r="C121">
            <v>27544</v>
          </cell>
          <cell r="E121" t="str">
            <v>THE VILLAGE FAMILY SERVICES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</row>
        <row r="122">
          <cell r="A122">
            <v>27545</v>
          </cell>
          <cell r="B122">
            <v>3</v>
          </cell>
          <cell r="C122">
            <v>27545</v>
          </cell>
          <cell r="E122" t="str">
            <v>DAVID &amp; MARGARET HOME, INC.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</row>
        <row r="123">
          <cell r="A123">
            <v>27548</v>
          </cell>
          <cell r="B123">
            <v>4</v>
          </cell>
          <cell r="C123">
            <v>27548</v>
          </cell>
          <cell r="E123" t="str">
            <v>PEDIATRIC &amp; FAMILY MEDICAL CENTER (dba EISNER)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</row>
        <row r="124">
          <cell r="A124">
            <v>27549</v>
          </cell>
          <cell r="B124">
            <v>4</v>
          </cell>
          <cell r="C124">
            <v>27549</v>
          </cell>
          <cell r="E124" t="str">
            <v>EL CENTRO DEL PUEBLO, INC.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</row>
        <row r="125">
          <cell r="A125">
            <v>27550</v>
          </cell>
          <cell r="B125">
            <v>4</v>
          </cell>
          <cell r="C125">
            <v>27550</v>
          </cell>
          <cell r="E125" t="str">
            <v>CATHOLIC HEALTHCARE WEST (dba CALIFORNIA HOSPITAL)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</row>
        <row r="126">
          <cell r="A126">
            <v>27597</v>
          </cell>
          <cell r="B126" t="str">
            <v>1, 2 &amp; 5</v>
          </cell>
          <cell r="C126">
            <v>27597</v>
          </cell>
          <cell r="E126" t="str">
            <v>EMOTIONAL HEALTH ASSOCIATION (dba SHARE!)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400000</v>
          </cell>
          <cell r="DA126">
            <v>400000</v>
          </cell>
          <cell r="DB126">
            <v>0</v>
          </cell>
          <cell r="DC126">
            <v>0</v>
          </cell>
          <cell r="DD126">
            <v>400000</v>
          </cell>
          <cell r="DF126">
            <v>0</v>
          </cell>
          <cell r="DG126">
            <v>0</v>
          </cell>
          <cell r="DH126">
            <v>400000</v>
          </cell>
          <cell r="DI126">
            <v>0</v>
          </cell>
          <cell r="DJ126">
            <v>400000</v>
          </cell>
        </row>
        <row r="127">
          <cell r="A127">
            <v>27600</v>
          </cell>
          <cell r="B127">
            <v>4</v>
          </cell>
          <cell r="C127">
            <v>27600</v>
          </cell>
          <cell r="E127" t="str">
            <v>VIP COMMUNITY MENTAL HEALTH CENTER, INC. (VIP CMHC)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</row>
        <row r="128">
          <cell r="A128">
            <v>27601</v>
          </cell>
          <cell r="B128">
            <v>3</v>
          </cell>
          <cell r="C128">
            <v>27601</v>
          </cell>
          <cell r="E128" t="str">
            <v>THE CHILDREN'S CENTER OF ANTELOPE VALLEY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</row>
        <row r="129">
          <cell r="A129">
            <v>27620</v>
          </cell>
          <cell r="B129" t="str">
            <v>7 &amp; 8</v>
          </cell>
          <cell r="C129">
            <v>27620</v>
          </cell>
          <cell r="E129" t="str">
            <v>ASIAN AMERICAN DRUG ABUSE PROGRAM, INC. (AADAP)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</row>
        <row r="130">
          <cell r="A130">
            <v>27621</v>
          </cell>
          <cell r="B130">
            <v>4</v>
          </cell>
          <cell r="C130">
            <v>27621</v>
          </cell>
          <cell r="E130" t="str">
            <v>BEHAVIORAL HEALTH SERVICES, INC.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</row>
        <row r="131">
          <cell r="A131">
            <v>27622</v>
          </cell>
          <cell r="B131">
            <v>4</v>
          </cell>
          <cell r="C131">
            <v>27622</v>
          </cell>
          <cell r="E131" t="str">
            <v>CALIFORNIA HISPANIC COMMISSION, INC.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</row>
        <row r="132">
          <cell r="A132">
            <v>27624</v>
          </cell>
          <cell r="B132">
            <v>4</v>
          </cell>
          <cell r="C132">
            <v>27624</v>
          </cell>
          <cell r="E132" t="str">
            <v>SPIRITT  FAMILY SERVICES, INC.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</row>
        <row r="133">
          <cell r="A133">
            <v>27625</v>
          </cell>
          <cell r="B133" t="str">
            <v>1, 2 &amp; 5</v>
          </cell>
          <cell r="C133">
            <v>27625</v>
          </cell>
          <cell r="E133" t="str">
            <v>TARZANA TREATMENT CENTER, INC.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</row>
        <row r="134">
          <cell r="A134">
            <v>27626</v>
          </cell>
          <cell r="B134" t="str">
            <v>1, 2 &amp; 5</v>
          </cell>
          <cell r="C134">
            <v>27626</v>
          </cell>
          <cell r="E134" t="str">
            <v>NEW DIRECTIONS, INC.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</row>
        <row r="135">
          <cell r="A135">
            <v>27627</v>
          </cell>
          <cell r="B135">
            <v>3</v>
          </cell>
          <cell r="C135">
            <v>27627</v>
          </cell>
          <cell r="E135" t="str">
            <v>FLORENCE CRITTENTON SERVICES OF ORANGE COUNTY, INC.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</row>
        <row r="136">
          <cell r="A136">
            <v>27633</v>
          </cell>
          <cell r="B136">
            <v>4</v>
          </cell>
          <cell r="C136">
            <v>27633</v>
          </cell>
          <cell r="E136" t="str">
            <v>CALIFORNIA INSTITUTE OF HEALTH &amp; SOCIAL SVC, INC. (dba Alafia MH Institute)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</row>
        <row r="137">
          <cell r="A137">
            <v>27634</v>
          </cell>
          <cell r="B137">
            <v>3</v>
          </cell>
          <cell r="C137">
            <v>27634</v>
          </cell>
          <cell r="E137" t="str">
            <v>CENTER FOR INTEGRATED FAMILY &amp; HEALTH SERVICES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</row>
        <row r="138">
          <cell r="A138">
            <v>27635</v>
          </cell>
          <cell r="B138">
            <v>6</v>
          </cell>
          <cell r="C138">
            <v>27635</v>
          </cell>
          <cell r="E138" t="str">
            <v>DREW CHILD DEVELOPMENT CORPORATION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</row>
        <row r="139">
          <cell r="A139">
            <v>27639</v>
          </cell>
          <cell r="B139" t="str">
            <v>1, 2 &amp; 5</v>
          </cell>
          <cell r="C139">
            <v>27639</v>
          </cell>
          <cell r="E139" t="str">
            <v>NEW HORIZONS FAMILY CENTER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</row>
        <row r="140">
          <cell r="A140">
            <v>27640</v>
          </cell>
          <cell r="B140">
            <v>6</v>
          </cell>
          <cell r="C140">
            <v>27640</v>
          </cell>
          <cell r="E140" t="str">
            <v>TESSIE CLEVELAND COMMUNITY SERVICES CORP.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</row>
        <row r="141">
          <cell r="A141">
            <v>27643</v>
          </cell>
          <cell r="B141" t="str">
            <v>1, 2 &amp; 5</v>
          </cell>
          <cell r="C141">
            <v>27643</v>
          </cell>
          <cell r="E141" t="str">
            <v>WISE AND HEALTHY AGING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</row>
        <row r="142">
          <cell r="A142">
            <v>27644</v>
          </cell>
          <cell r="B142">
            <v>4</v>
          </cell>
          <cell r="C142">
            <v>27644</v>
          </cell>
          <cell r="E142" t="str">
            <v>USC CARE MEDICAL GROUP, INC. (USC UCC PROGRAM)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</row>
        <row r="143">
          <cell r="A143">
            <v>27646</v>
          </cell>
          <cell r="B143">
            <v>4</v>
          </cell>
          <cell r="C143">
            <v>27646</v>
          </cell>
          <cell r="E143" t="str">
            <v>JWCH INSTITUTE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V143">
            <v>0</v>
          </cell>
          <cell r="CW143">
            <v>0</v>
          </cell>
          <cell r="CX143">
            <v>133342</v>
          </cell>
          <cell r="CY143">
            <v>133300</v>
          </cell>
          <cell r="CZ143">
            <v>88268</v>
          </cell>
          <cell r="DA143">
            <v>88300</v>
          </cell>
          <cell r="DB143">
            <v>0</v>
          </cell>
          <cell r="DC143">
            <v>0</v>
          </cell>
          <cell r="DD143">
            <v>221600</v>
          </cell>
          <cell r="DF143">
            <v>0</v>
          </cell>
          <cell r="DG143">
            <v>133300</v>
          </cell>
          <cell r="DH143">
            <v>88300</v>
          </cell>
          <cell r="DI143">
            <v>0</v>
          </cell>
          <cell r="DJ143">
            <v>221600</v>
          </cell>
        </row>
        <row r="144">
          <cell r="A144">
            <v>27654</v>
          </cell>
          <cell r="B144">
            <v>3</v>
          </cell>
          <cell r="C144">
            <v>27654</v>
          </cell>
          <cell r="E144" t="str">
            <v>FAMILIESFIRST,INC.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Q144">
            <v>0</v>
          </cell>
          <cell r="R144">
            <v>2</v>
          </cell>
          <cell r="S144">
            <v>0</v>
          </cell>
          <cell r="T144">
            <v>2</v>
          </cell>
          <cell r="U144">
            <v>0</v>
          </cell>
          <cell r="V144">
            <v>2</v>
          </cell>
          <cell r="W144">
            <v>0</v>
          </cell>
          <cell r="X144">
            <v>2</v>
          </cell>
          <cell r="Y144">
            <v>0</v>
          </cell>
          <cell r="Z144">
            <v>2</v>
          </cell>
          <cell r="AA144">
            <v>0</v>
          </cell>
          <cell r="AB144">
            <v>0</v>
          </cell>
          <cell r="AE144">
            <v>0</v>
          </cell>
          <cell r="AF144">
            <v>2</v>
          </cell>
          <cell r="AG144">
            <v>0</v>
          </cell>
          <cell r="AH144">
            <v>2</v>
          </cell>
          <cell r="AI144">
            <v>0</v>
          </cell>
          <cell r="AJ144">
            <v>2</v>
          </cell>
          <cell r="AK144">
            <v>0</v>
          </cell>
          <cell r="AL144">
            <v>0</v>
          </cell>
          <cell r="AO144">
            <v>0</v>
          </cell>
          <cell r="AP144">
            <v>2</v>
          </cell>
          <cell r="AQ144">
            <v>0</v>
          </cell>
          <cell r="AR144">
            <v>2</v>
          </cell>
          <cell r="AS144">
            <v>0</v>
          </cell>
          <cell r="AT144">
            <v>2</v>
          </cell>
          <cell r="AU144">
            <v>0</v>
          </cell>
          <cell r="AV144">
            <v>0</v>
          </cell>
          <cell r="AY144">
            <v>0</v>
          </cell>
          <cell r="BA144">
            <v>0</v>
          </cell>
          <cell r="BC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M144">
            <v>0</v>
          </cell>
          <cell r="BO144">
            <v>0</v>
          </cell>
          <cell r="BP144">
            <v>0</v>
          </cell>
          <cell r="BS144">
            <v>0</v>
          </cell>
          <cell r="BU144">
            <v>0</v>
          </cell>
          <cell r="BW144">
            <v>0</v>
          </cell>
          <cell r="BX144">
            <v>2</v>
          </cell>
          <cell r="BY144">
            <v>0</v>
          </cell>
          <cell r="BZ144">
            <v>0</v>
          </cell>
          <cell r="CC144">
            <v>0</v>
          </cell>
          <cell r="CD144">
            <v>2</v>
          </cell>
          <cell r="CE144">
            <v>0</v>
          </cell>
          <cell r="CF144">
            <v>2</v>
          </cell>
          <cell r="CG144">
            <v>0</v>
          </cell>
          <cell r="CH144">
            <v>2</v>
          </cell>
          <cell r="CI144">
            <v>0</v>
          </cell>
          <cell r="CJ144">
            <v>0</v>
          </cell>
          <cell r="CM144">
            <v>0</v>
          </cell>
          <cell r="CN144">
            <v>2</v>
          </cell>
          <cell r="CO144">
            <v>0</v>
          </cell>
          <cell r="CP144">
            <v>2</v>
          </cell>
          <cell r="CQ144">
            <v>0</v>
          </cell>
          <cell r="CR144">
            <v>2</v>
          </cell>
          <cell r="CS144">
            <v>0</v>
          </cell>
          <cell r="CT144">
            <v>0</v>
          </cell>
          <cell r="CW144">
            <v>0</v>
          </cell>
          <cell r="CX144">
            <v>2</v>
          </cell>
          <cell r="CY144">
            <v>0</v>
          </cell>
          <cell r="CZ144">
            <v>2</v>
          </cell>
          <cell r="DA144">
            <v>0</v>
          </cell>
          <cell r="DB144">
            <v>2</v>
          </cell>
          <cell r="DC144">
            <v>0</v>
          </cell>
          <cell r="DD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</row>
        <row r="145">
          <cell r="A145">
            <v>28027</v>
          </cell>
          <cell r="B145">
            <v>4</v>
          </cell>
          <cell r="C145">
            <v>28027</v>
          </cell>
          <cell r="E145" t="str">
            <v>JEWISH FAMILY SERVICES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</row>
        <row r="146">
          <cell r="A146">
            <v>12345</v>
          </cell>
          <cell r="E146" t="str">
            <v xml:space="preserve">ALLOCATED SUB TOTAL 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6867</v>
          </cell>
          <cell r="S146">
            <v>6900</v>
          </cell>
          <cell r="T146">
            <v>3</v>
          </cell>
          <cell r="U146">
            <v>0</v>
          </cell>
          <cell r="V146">
            <v>3</v>
          </cell>
          <cell r="W146">
            <v>0</v>
          </cell>
          <cell r="X146">
            <v>26003</v>
          </cell>
          <cell r="Y146">
            <v>26000</v>
          </cell>
          <cell r="Z146">
            <v>947508</v>
          </cell>
          <cell r="AA146">
            <v>947500</v>
          </cell>
          <cell r="AB146">
            <v>980400</v>
          </cell>
          <cell r="AD146">
            <v>0</v>
          </cell>
          <cell r="AE146">
            <v>0</v>
          </cell>
          <cell r="AF146">
            <v>3</v>
          </cell>
          <cell r="AG146">
            <v>0</v>
          </cell>
          <cell r="AH146">
            <v>3</v>
          </cell>
          <cell r="AI146">
            <v>0</v>
          </cell>
          <cell r="AJ146">
            <v>3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P146">
            <v>3</v>
          </cell>
          <cell r="AQ146">
            <v>0</v>
          </cell>
          <cell r="AR146">
            <v>996263</v>
          </cell>
          <cell r="AS146">
            <v>996300</v>
          </cell>
          <cell r="AT146">
            <v>3</v>
          </cell>
          <cell r="AU146">
            <v>0</v>
          </cell>
          <cell r="AV146">
            <v>996300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150000</v>
          </cell>
          <cell r="BC146">
            <v>150000</v>
          </cell>
          <cell r="BD146">
            <v>0</v>
          </cell>
          <cell r="BE146">
            <v>0</v>
          </cell>
          <cell r="BF146">
            <v>150000</v>
          </cell>
          <cell r="BH146">
            <v>138200</v>
          </cell>
          <cell r="BI146">
            <v>138200</v>
          </cell>
          <cell r="BJ146">
            <v>2085692</v>
          </cell>
          <cell r="BK146">
            <v>2085700</v>
          </cell>
          <cell r="BL146">
            <v>0</v>
          </cell>
          <cell r="BM146">
            <v>0</v>
          </cell>
          <cell r="BN146">
            <v>1869654</v>
          </cell>
          <cell r="BO146">
            <v>1869700</v>
          </cell>
          <cell r="BP146">
            <v>4093600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3</v>
          </cell>
          <cell r="BY146">
            <v>0</v>
          </cell>
          <cell r="BZ146">
            <v>0</v>
          </cell>
          <cell r="CB146">
            <v>0</v>
          </cell>
          <cell r="CC146">
            <v>0</v>
          </cell>
          <cell r="CD146">
            <v>3</v>
          </cell>
          <cell r="CE146">
            <v>0</v>
          </cell>
          <cell r="CF146">
            <v>3</v>
          </cell>
          <cell r="CG146">
            <v>0</v>
          </cell>
          <cell r="CH146">
            <v>1070003</v>
          </cell>
          <cell r="CI146">
            <v>1070000</v>
          </cell>
          <cell r="CJ146">
            <v>1070000</v>
          </cell>
          <cell r="CL146">
            <v>0</v>
          </cell>
          <cell r="CM146">
            <v>0</v>
          </cell>
          <cell r="CN146">
            <v>3</v>
          </cell>
          <cell r="CO146">
            <v>0</v>
          </cell>
          <cell r="CP146">
            <v>3</v>
          </cell>
          <cell r="CQ146">
            <v>0</v>
          </cell>
          <cell r="CR146">
            <v>3</v>
          </cell>
          <cell r="CS146">
            <v>0</v>
          </cell>
          <cell r="CT146">
            <v>0</v>
          </cell>
          <cell r="CV146">
            <v>0</v>
          </cell>
          <cell r="CW146">
            <v>0</v>
          </cell>
          <cell r="CX146">
            <v>133345</v>
          </cell>
          <cell r="CY146">
            <v>133300</v>
          </cell>
          <cell r="CZ146">
            <v>488271</v>
          </cell>
          <cell r="DA146">
            <v>488300</v>
          </cell>
          <cell r="DB146">
            <v>3</v>
          </cell>
          <cell r="DC146">
            <v>0</v>
          </cell>
          <cell r="DD146">
            <v>621600</v>
          </cell>
          <cell r="DF146">
            <v>138200</v>
          </cell>
          <cell r="DG146">
            <v>2225900</v>
          </cell>
          <cell r="DH146">
            <v>1660600</v>
          </cell>
          <cell r="DI146">
            <v>3887200</v>
          </cell>
          <cell r="DJ146">
            <v>7911900</v>
          </cell>
        </row>
        <row r="148">
          <cell r="A148" t="str">
            <v>00000</v>
          </cell>
          <cell r="C148" t="str">
            <v>00000</v>
          </cell>
          <cell r="E148" t="str">
            <v>UNALLOCATED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12488</v>
          </cell>
          <cell r="K148">
            <v>12500</v>
          </cell>
          <cell r="L148">
            <v>0</v>
          </cell>
          <cell r="M148">
            <v>0</v>
          </cell>
          <cell r="N148">
            <v>12500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416400</v>
          </cell>
          <cell r="Y148">
            <v>416400</v>
          </cell>
          <cell r="Z148">
            <v>45</v>
          </cell>
          <cell r="AA148">
            <v>0</v>
          </cell>
          <cell r="AB148">
            <v>416400</v>
          </cell>
          <cell r="AD148">
            <v>0</v>
          </cell>
          <cell r="AE148">
            <v>0</v>
          </cell>
          <cell r="AF148">
            <v>37998</v>
          </cell>
          <cell r="AG148">
            <v>38000</v>
          </cell>
          <cell r="AH148">
            <v>0</v>
          </cell>
          <cell r="AI148">
            <v>0</v>
          </cell>
          <cell r="AJ148">
            <v>4670462</v>
          </cell>
          <cell r="AK148">
            <v>4670500</v>
          </cell>
          <cell r="AL148">
            <v>4708500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42190</v>
          </cell>
          <cell r="AS148">
            <v>42200</v>
          </cell>
          <cell r="AT148">
            <v>0</v>
          </cell>
          <cell r="AU148">
            <v>0</v>
          </cell>
          <cell r="AV148">
            <v>42200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176764</v>
          </cell>
          <cell r="BC148">
            <v>176800</v>
          </cell>
          <cell r="BD148">
            <v>0</v>
          </cell>
          <cell r="BE148">
            <v>0</v>
          </cell>
          <cell r="BF148">
            <v>176800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24661</v>
          </cell>
          <cell r="BW148">
            <v>24700</v>
          </cell>
          <cell r="BX148">
            <v>0</v>
          </cell>
          <cell r="BY148">
            <v>0</v>
          </cell>
          <cell r="BZ148">
            <v>24700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L148">
            <v>0</v>
          </cell>
          <cell r="CM148">
            <v>0</v>
          </cell>
          <cell r="CN148">
            <v>1554148</v>
          </cell>
          <cell r="CO148">
            <v>1554100</v>
          </cell>
          <cell r="CP148">
            <v>280590</v>
          </cell>
          <cell r="CQ148">
            <v>280600</v>
          </cell>
          <cell r="CR148">
            <v>1858736</v>
          </cell>
          <cell r="CS148">
            <v>1858700</v>
          </cell>
          <cell r="CT148">
            <v>3693400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F148">
            <v>0</v>
          </cell>
          <cell r="DG148">
            <v>1592100</v>
          </cell>
          <cell r="DH148">
            <v>953200</v>
          </cell>
          <cell r="DI148">
            <v>6529200</v>
          </cell>
          <cell r="DJ148">
            <v>9074500</v>
          </cell>
        </row>
        <row r="149">
          <cell r="E149" t="str">
            <v xml:space="preserve">UNALLOCATED SUB TOTAL 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12488</v>
          </cell>
          <cell r="K149">
            <v>12500</v>
          </cell>
          <cell r="L149">
            <v>0</v>
          </cell>
          <cell r="M149">
            <v>0</v>
          </cell>
          <cell r="N149">
            <v>12500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416400</v>
          </cell>
          <cell r="Y149">
            <v>416400</v>
          </cell>
          <cell r="Z149">
            <v>45</v>
          </cell>
          <cell r="AA149">
            <v>0</v>
          </cell>
          <cell r="AB149">
            <v>416400</v>
          </cell>
          <cell r="AD149">
            <v>0</v>
          </cell>
          <cell r="AE149">
            <v>0</v>
          </cell>
          <cell r="AF149">
            <v>37998</v>
          </cell>
          <cell r="AG149">
            <v>38000</v>
          </cell>
          <cell r="AH149">
            <v>0</v>
          </cell>
          <cell r="AI149">
            <v>0</v>
          </cell>
          <cell r="AJ149">
            <v>4670462</v>
          </cell>
          <cell r="AK149">
            <v>4670500</v>
          </cell>
          <cell r="AL149">
            <v>4708500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42190</v>
          </cell>
          <cell r="AS149">
            <v>42200</v>
          </cell>
          <cell r="AT149">
            <v>0</v>
          </cell>
          <cell r="AU149">
            <v>0</v>
          </cell>
          <cell r="AV149">
            <v>42200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176764</v>
          </cell>
          <cell r="BC149">
            <v>176800</v>
          </cell>
          <cell r="BD149">
            <v>0</v>
          </cell>
          <cell r="BE149">
            <v>0</v>
          </cell>
          <cell r="BF149">
            <v>176800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24661</v>
          </cell>
          <cell r="BW149">
            <v>24700</v>
          </cell>
          <cell r="BX149">
            <v>0</v>
          </cell>
          <cell r="BY149">
            <v>0</v>
          </cell>
          <cell r="BZ149">
            <v>24700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L149">
            <v>0</v>
          </cell>
          <cell r="CM149">
            <v>0</v>
          </cell>
          <cell r="CN149">
            <v>1554148</v>
          </cell>
          <cell r="CO149">
            <v>1554100</v>
          </cell>
          <cell r="CP149">
            <v>280590</v>
          </cell>
          <cell r="CQ149">
            <v>280600</v>
          </cell>
          <cell r="CR149">
            <v>1858736</v>
          </cell>
          <cell r="CS149">
            <v>1858700</v>
          </cell>
          <cell r="CT149">
            <v>3693400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F149">
            <v>0</v>
          </cell>
          <cell r="DG149">
            <v>1592100</v>
          </cell>
          <cell r="DH149">
            <v>953200</v>
          </cell>
          <cell r="DI149">
            <v>6529200</v>
          </cell>
          <cell r="DJ149">
            <v>9074500</v>
          </cell>
        </row>
        <row r="151">
          <cell r="E151" t="str">
            <v xml:space="preserve">GRAND TOTAL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12488</v>
          </cell>
          <cell r="K151">
            <v>12500</v>
          </cell>
          <cell r="L151">
            <v>0</v>
          </cell>
          <cell r="M151">
            <v>0</v>
          </cell>
          <cell r="N151">
            <v>12500</v>
          </cell>
          <cell r="P151">
            <v>0</v>
          </cell>
          <cell r="Q151">
            <v>0</v>
          </cell>
          <cell r="R151">
            <v>6867</v>
          </cell>
          <cell r="S151">
            <v>6900</v>
          </cell>
          <cell r="T151">
            <v>3</v>
          </cell>
          <cell r="U151">
            <v>0</v>
          </cell>
          <cell r="V151">
            <v>3</v>
          </cell>
          <cell r="W151">
            <v>0</v>
          </cell>
          <cell r="X151">
            <v>442403</v>
          </cell>
          <cell r="Y151">
            <v>442400</v>
          </cell>
          <cell r="Z151">
            <v>947553</v>
          </cell>
          <cell r="AA151">
            <v>947500</v>
          </cell>
          <cell r="AB151">
            <v>1396800</v>
          </cell>
          <cell r="AD151">
            <v>0</v>
          </cell>
          <cell r="AE151">
            <v>0</v>
          </cell>
          <cell r="AF151">
            <v>38001</v>
          </cell>
          <cell r="AG151">
            <v>38000</v>
          </cell>
          <cell r="AH151">
            <v>3</v>
          </cell>
          <cell r="AI151">
            <v>0</v>
          </cell>
          <cell r="AJ151">
            <v>4670465</v>
          </cell>
          <cell r="AK151">
            <v>4670500</v>
          </cell>
          <cell r="AL151">
            <v>4708500</v>
          </cell>
          <cell r="AN151">
            <v>0</v>
          </cell>
          <cell r="AO151">
            <v>0</v>
          </cell>
          <cell r="AP151">
            <v>3</v>
          </cell>
          <cell r="AQ151">
            <v>0</v>
          </cell>
          <cell r="AR151">
            <v>1038453</v>
          </cell>
          <cell r="AS151">
            <v>1038500</v>
          </cell>
          <cell r="AT151">
            <v>3</v>
          </cell>
          <cell r="AU151">
            <v>0</v>
          </cell>
          <cell r="AV151">
            <v>1038500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326764</v>
          </cell>
          <cell r="BC151">
            <v>326800</v>
          </cell>
          <cell r="BD151">
            <v>0</v>
          </cell>
          <cell r="BE151">
            <v>0</v>
          </cell>
          <cell r="BF151">
            <v>326800</v>
          </cell>
          <cell r="BH151">
            <v>138200</v>
          </cell>
          <cell r="BI151">
            <v>138200</v>
          </cell>
          <cell r="BJ151">
            <v>2085692</v>
          </cell>
          <cell r="BK151">
            <v>2085700</v>
          </cell>
          <cell r="BL151">
            <v>0</v>
          </cell>
          <cell r="BM151">
            <v>0</v>
          </cell>
          <cell r="BN151">
            <v>1869654</v>
          </cell>
          <cell r="BO151">
            <v>1869700</v>
          </cell>
          <cell r="BP151">
            <v>4093600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24661</v>
          </cell>
          <cell r="BW151">
            <v>24700</v>
          </cell>
          <cell r="BX151">
            <v>3</v>
          </cell>
          <cell r="BY151">
            <v>0</v>
          </cell>
          <cell r="BZ151">
            <v>24700</v>
          </cell>
          <cell r="CB151">
            <v>0</v>
          </cell>
          <cell r="CC151">
            <v>0</v>
          </cell>
          <cell r="CD151">
            <v>3</v>
          </cell>
          <cell r="CE151">
            <v>0</v>
          </cell>
          <cell r="CF151">
            <v>3</v>
          </cell>
          <cell r="CG151">
            <v>0</v>
          </cell>
          <cell r="CH151">
            <v>1070003</v>
          </cell>
          <cell r="CI151">
            <v>1070000</v>
          </cell>
          <cell r="CJ151">
            <v>1070000</v>
          </cell>
          <cell r="CL151">
            <v>0</v>
          </cell>
          <cell r="CM151">
            <v>0</v>
          </cell>
          <cell r="CN151">
            <v>1554151</v>
          </cell>
          <cell r="CO151">
            <v>1554100</v>
          </cell>
          <cell r="CP151">
            <v>280593</v>
          </cell>
          <cell r="CQ151">
            <v>280600</v>
          </cell>
          <cell r="CR151">
            <v>1858739</v>
          </cell>
          <cell r="CS151">
            <v>1858700</v>
          </cell>
          <cell r="CT151">
            <v>3693400</v>
          </cell>
          <cell r="CV151">
            <v>0</v>
          </cell>
          <cell r="CW151">
            <v>0</v>
          </cell>
          <cell r="CX151">
            <v>133345</v>
          </cell>
          <cell r="CY151">
            <v>133300</v>
          </cell>
          <cell r="CZ151">
            <v>488271</v>
          </cell>
          <cell r="DA151">
            <v>488300</v>
          </cell>
          <cell r="DB151">
            <v>3</v>
          </cell>
          <cell r="DC151">
            <v>0</v>
          </cell>
          <cell r="DD151">
            <v>621600</v>
          </cell>
          <cell r="DF151">
            <v>138200</v>
          </cell>
          <cell r="DG151">
            <v>3818000</v>
          </cell>
          <cell r="DH151">
            <v>2613800</v>
          </cell>
          <cell r="DI151">
            <v>10416400</v>
          </cell>
          <cell r="DJ151">
            <v>16986400</v>
          </cell>
        </row>
        <row r="154">
          <cell r="AK154">
            <v>4669962</v>
          </cell>
        </row>
        <row r="155">
          <cell r="AK155">
            <v>538</v>
          </cell>
        </row>
        <row r="181">
          <cell r="E181" t="str">
            <v>SOCIAL MODEL RECOVERY</v>
          </cell>
        </row>
        <row r="182">
          <cell r="E182" t="str">
            <v>CALWORKS</v>
          </cell>
        </row>
        <row r="183">
          <cell r="E183" t="str">
            <v>GROW PROGRAM</v>
          </cell>
        </row>
        <row r="184">
          <cell r="E184" t="str">
            <v xml:space="preserve">LAMP </v>
          </cell>
        </row>
        <row r="185">
          <cell r="E185" t="str">
            <v>AB-34</v>
          </cell>
        </row>
        <row r="186">
          <cell r="E186" t="str">
            <v>ENKI</v>
          </cell>
        </row>
        <row r="187">
          <cell r="E187" t="str">
            <v>SIDEKICK</v>
          </cell>
        </row>
        <row r="188">
          <cell r="E188" t="str">
            <v>KIDSTEP PROGRAM</v>
          </cell>
        </row>
        <row r="189">
          <cell r="E189" t="str">
            <v>FAMILY PRESERVATION</v>
          </cell>
        </row>
        <row r="190">
          <cell r="E190" t="str">
            <v>FAMILY PRESERVATION</v>
          </cell>
        </row>
        <row r="191">
          <cell r="E191" t="str">
            <v>AB-1733</v>
          </cell>
        </row>
        <row r="192">
          <cell r="E192" t="str">
            <v>STARVIEW PROGRAM</v>
          </cell>
        </row>
        <row r="199">
          <cell r="A199">
            <v>23163</v>
          </cell>
          <cell r="C199">
            <v>23163</v>
          </cell>
          <cell r="D199" t="str">
            <v>A</v>
          </cell>
          <cell r="E199" t="str">
            <v xml:space="preserve">SAN FERNANDO V CMHC, INC. </v>
          </cell>
          <cell r="AB199">
            <v>0</v>
          </cell>
        </row>
        <row r="200">
          <cell r="E200" t="str">
            <v>Per Contract</v>
          </cell>
          <cell r="AB200">
            <v>0</v>
          </cell>
        </row>
        <row r="201">
          <cell r="AB201">
            <v>0</v>
          </cell>
        </row>
        <row r="207">
          <cell r="E207" t="str">
            <v>Sidekick additional budget</v>
          </cell>
        </row>
        <row r="210">
          <cell r="A210" t="str">
            <v>03-27-01</v>
          </cell>
          <cell r="C210" t="str">
            <v>03-27-01</v>
          </cell>
        </row>
        <row r="211">
          <cell r="A211">
            <v>23157</v>
          </cell>
          <cell r="C211">
            <v>23157</v>
          </cell>
          <cell r="D211" t="str">
            <v>C</v>
          </cell>
          <cell r="E211" t="str">
            <v>GREATER L.B. CHILD GUIDANCE CTR.</v>
          </cell>
          <cell r="AB211">
            <v>0</v>
          </cell>
        </row>
        <row r="212">
          <cell r="A212">
            <v>23157</v>
          </cell>
          <cell r="C212">
            <v>23157</v>
          </cell>
          <cell r="D212" t="str">
            <v>C</v>
          </cell>
          <cell r="E212" t="str">
            <v>GREATER L.B. CHILD GUIDANCE CTR.</v>
          </cell>
          <cell r="AB212">
            <v>0</v>
          </cell>
        </row>
        <row r="213">
          <cell r="A213">
            <v>23157</v>
          </cell>
          <cell r="C213">
            <v>23157</v>
          </cell>
          <cell r="D213" t="str">
            <v>C</v>
          </cell>
          <cell r="E213" t="str">
            <v>GREATER L.B. CHILD GUIDANCE CTR.</v>
          </cell>
          <cell r="AB213">
            <v>0</v>
          </cell>
        </row>
        <row r="214">
          <cell r="A214">
            <v>23157</v>
          </cell>
          <cell r="C214">
            <v>23157</v>
          </cell>
          <cell r="D214" t="str">
            <v>C</v>
          </cell>
          <cell r="E214" t="str">
            <v>GREATER L.B. CHILD GUIDANCE CTR.</v>
          </cell>
          <cell r="AB214">
            <v>0</v>
          </cell>
        </row>
        <row r="215">
          <cell r="A215">
            <v>23157</v>
          </cell>
          <cell r="C215">
            <v>23157</v>
          </cell>
          <cell r="D215" t="str">
            <v>C</v>
          </cell>
          <cell r="E215" t="str">
            <v>GREATER L.B. CHILD GUIDANCE CTR.</v>
          </cell>
          <cell r="AB215">
            <v>0</v>
          </cell>
        </row>
        <row r="216">
          <cell r="A216">
            <v>23157</v>
          </cell>
          <cell r="C216">
            <v>23157</v>
          </cell>
          <cell r="D216" t="str">
            <v>C</v>
          </cell>
          <cell r="E216" t="str">
            <v>GREATER L.B. CHILD GUIDANCE CTR.</v>
          </cell>
          <cell r="AB216">
            <v>0</v>
          </cell>
        </row>
        <row r="217">
          <cell r="A217">
            <v>23157</v>
          </cell>
          <cell r="C217">
            <v>23157</v>
          </cell>
          <cell r="D217" t="str">
            <v>C</v>
          </cell>
          <cell r="E217" t="str">
            <v>GREATER L.B. CHILD GUIDANCE CTR.</v>
          </cell>
          <cell r="AB217">
            <v>0</v>
          </cell>
        </row>
        <row r="218">
          <cell r="A218">
            <v>23157</v>
          </cell>
          <cell r="C218">
            <v>23157</v>
          </cell>
          <cell r="D218" t="str">
            <v>C</v>
          </cell>
          <cell r="E218" t="str">
            <v>GREATER L.B. CHILD GUIDANCE CTR.</v>
          </cell>
          <cell r="AB218">
            <v>0</v>
          </cell>
        </row>
        <row r="219">
          <cell r="A219">
            <v>23157</v>
          </cell>
          <cell r="C219">
            <v>23157</v>
          </cell>
          <cell r="D219" t="str">
            <v>C</v>
          </cell>
          <cell r="E219" t="str">
            <v>GREATER L.B. CHILD GUIDANCE CTR.</v>
          </cell>
          <cell r="AB219">
            <v>0</v>
          </cell>
        </row>
        <row r="220">
          <cell r="A220">
            <v>23157</v>
          </cell>
          <cell r="C220">
            <v>23157</v>
          </cell>
          <cell r="D220" t="str">
            <v>C</v>
          </cell>
          <cell r="E220" t="str">
            <v>GREATER L.B. CHILD GUIDANCE CTR.</v>
          </cell>
          <cell r="AB220">
            <v>0</v>
          </cell>
        </row>
        <row r="221">
          <cell r="AB221">
            <v>0</v>
          </cell>
        </row>
        <row r="222">
          <cell r="A222" t="str">
            <v>02-26-01</v>
          </cell>
          <cell r="C222" t="str">
            <v>02-26-01</v>
          </cell>
          <cell r="E222" t="str">
            <v>CONTRACT - CFLF REQUEST</v>
          </cell>
        </row>
        <row r="223">
          <cell r="E223" t="str">
            <v>Variance</v>
          </cell>
          <cell r="AB223">
            <v>0</v>
          </cell>
        </row>
        <row r="226">
          <cell r="A226">
            <v>23181</v>
          </cell>
          <cell r="C226">
            <v>23181</v>
          </cell>
          <cell r="D226" t="str">
            <v>A</v>
          </cell>
          <cell r="E226" t="str">
            <v>WORK ORIENTATION AND REHAB (WORC)</v>
          </cell>
          <cell r="AB226">
            <v>0</v>
          </cell>
        </row>
        <row r="227">
          <cell r="AB227">
            <v>0</v>
          </cell>
        </row>
        <row r="228">
          <cell r="A228" t="str">
            <v>02-26-01</v>
          </cell>
          <cell r="C228" t="str">
            <v>02-26-01</v>
          </cell>
          <cell r="E228" t="str">
            <v>CONTRACT - CFLF REQUEST</v>
          </cell>
          <cell r="AB228">
            <v>0</v>
          </cell>
        </row>
        <row r="229">
          <cell r="E229" t="str">
            <v>Variance</v>
          </cell>
          <cell r="AB229">
            <v>0</v>
          </cell>
        </row>
        <row r="232">
          <cell r="A232">
            <v>23114</v>
          </cell>
          <cell r="C232">
            <v>23114</v>
          </cell>
          <cell r="D232" t="str">
            <v>C</v>
          </cell>
          <cell r="E232" t="str">
            <v>COMMUNITY FAMILY GUIDANCE</v>
          </cell>
          <cell r="AB232">
            <v>0</v>
          </cell>
        </row>
        <row r="233">
          <cell r="A233">
            <v>23114</v>
          </cell>
          <cell r="C233">
            <v>23114</v>
          </cell>
          <cell r="D233" t="str">
            <v>C</v>
          </cell>
          <cell r="E233" t="str">
            <v>COMMUNITY FAMILY GUIDANCE</v>
          </cell>
          <cell r="AB233">
            <v>0</v>
          </cell>
        </row>
        <row r="234">
          <cell r="A234">
            <v>23114</v>
          </cell>
          <cell r="C234">
            <v>23114</v>
          </cell>
          <cell r="D234" t="str">
            <v>C</v>
          </cell>
          <cell r="E234" t="str">
            <v>COMMUNITY FAMILY GUIDANCE</v>
          </cell>
          <cell r="AB234">
            <v>0</v>
          </cell>
        </row>
        <row r="235">
          <cell r="A235">
            <v>23114</v>
          </cell>
          <cell r="C235">
            <v>23114</v>
          </cell>
          <cell r="D235" t="str">
            <v>C</v>
          </cell>
          <cell r="E235" t="str">
            <v>COMMUNITY FAMILY GUIDANCE</v>
          </cell>
          <cell r="AB235">
            <v>0</v>
          </cell>
        </row>
        <row r="236">
          <cell r="A236">
            <v>23114</v>
          </cell>
          <cell r="C236">
            <v>23114</v>
          </cell>
          <cell r="D236" t="str">
            <v>C</v>
          </cell>
          <cell r="E236" t="str">
            <v>COMMUNITY FAMILY GUIDANCE</v>
          </cell>
          <cell r="AB236">
            <v>0</v>
          </cell>
        </row>
        <row r="237">
          <cell r="A237">
            <v>23114</v>
          </cell>
          <cell r="C237">
            <v>23114</v>
          </cell>
          <cell r="D237" t="str">
            <v>C</v>
          </cell>
          <cell r="E237" t="str">
            <v>COMMUNITY FAMILY GUIDANCE</v>
          </cell>
          <cell r="AB237">
            <v>0</v>
          </cell>
        </row>
        <row r="238">
          <cell r="A238">
            <v>23114</v>
          </cell>
          <cell r="C238">
            <v>23114</v>
          </cell>
          <cell r="D238" t="str">
            <v>C</v>
          </cell>
          <cell r="E238" t="str">
            <v>COMMUNITY FAMILY GUIDANCE</v>
          </cell>
          <cell r="AB238">
            <v>0</v>
          </cell>
        </row>
        <row r="239">
          <cell r="AB239">
            <v>0</v>
          </cell>
        </row>
        <row r="240">
          <cell r="A240" t="str">
            <v>02-26-01</v>
          </cell>
          <cell r="C240" t="str">
            <v>02-26-01</v>
          </cell>
          <cell r="E240" t="str">
            <v>CONTRACT - CFLF REQUEST</v>
          </cell>
        </row>
        <row r="241">
          <cell r="E241" t="str">
            <v>Variance</v>
          </cell>
        </row>
      </sheetData>
      <sheetData sheetId="20"/>
      <sheetData sheetId="21"/>
      <sheetData sheetId="22">
        <row r="1">
          <cell r="A1" t="str">
            <v>"N" Need Supercession</v>
          </cell>
          <cell r="E1" t="str">
            <v>LOS ANGELES COUNTY - DEPARTMENT OF MENTAL HEALTH</v>
          </cell>
        </row>
        <row r="2">
          <cell r="A2" t="str">
            <v>"Y" Amendment</v>
          </cell>
          <cell r="E2" t="str">
            <v>PROVIDER REIMBURSEMENT - CONTRACT  LISTING</v>
          </cell>
        </row>
        <row r="3">
          <cell r="E3" t="str">
            <v>FISCAL YEAR 2008-2009</v>
          </cell>
        </row>
        <row r="4">
          <cell r="E4" t="str">
            <v>AS OF February 15, 2009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</row>
        <row r="6">
          <cell r="B6" t="str">
            <v>CDAD</v>
          </cell>
          <cell r="H6" t="str">
            <v>Legal</v>
          </cell>
          <cell r="I6" t="str">
            <v>Plan</v>
          </cell>
          <cell r="K6" t="str">
            <v xml:space="preserve"> </v>
          </cell>
          <cell r="L6" t="str">
            <v>FYE 2008</v>
          </cell>
          <cell r="O6" t="str">
            <v>PLAN I</v>
          </cell>
          <cell r="P6" t="str">
            <v>PLAN III</v>
          </cell>
          <cell r="Q6" t="str">
            <v>PLAN I</v>
          </cell>
          <cell r="R6" t="str">
            <v>PLAN II</v>
          </cell>
          <cell r="S6" t="str">
            <v>PLAN I</v>
          </cell>
          <cell r="T6" t="str">
            <v>PLAN II</v>
          </cell>
          <cell r="U6" t="str">
            <v>PLAN II</v>
          </cell>
          <cell r="V6" t="str">
            <v>PLAN I</v>
          </cell>
          <cell r="W6" t="str">
            <v>PLAN II</v>
          </cell>
          <cell r="X6" t="str">
            <v>PLAN III</v>
          </cell>
          <cell r="Y6" t="str">
            <v>PLAN III</v>
          </cell>
          <cell r="Z6" t="str">
            <v>PLAN III</v>
          </cell>
          <cell r="AA6" t="str">
            <v>PLAN III</v>
          </cell>
          <cell r="AB6" t="str">
            <v>PLAN II</v>
          </cell>
          <cell r="AC6" t="str">
            <v>PLAN II</v>
          </cell>
          <cell r="AD6" t="str">
            <v>PLAN II</v>
          </cell>
          <cell r="AE6" t="str">
            <v>PLAN II</v>
          </cell>
          <cell r="AF6" t="str">
            <v>PLAN II</v>
          </cell>
          <cell r="AG6" t="str">
            <v>PLAN II</v>
          </cell>
          <cell r="AH6" t="str">
            <v>PLAN II</v>
          </cell>
          <cell r="AI6" t="str">
            <v>PLAN II</v>
          </cell>
          <cell r="AJ6" t="str">
            <v>PLAN II</v>
          </cell>
          <cell r="AK6" t="str">
            <v>PLAN II</v>
          </cell>
          <cell r="AL6" t="str">
            <v>PLAN II</v>
          </cell>
          <cell r="AM6" t="str">
            <v>PLAN II</v>
          </cell>
          <cell r="AN6" t="str">
            <v>PLAN II</v>
          </cell>
          <cell r="AO6" t="str">
            <v>PLAN II</v>
          </cell>
          <cell r="AP6" t="str">
            <v>PLAN II</v>
          </cell>
          <cell r="AQ6" t="str">
            <v xml:space="preserve">PLAN II </v>
          </cell>
          <cell r="AR6" t="str">
            <v>MHSA</v>
          </cell>
          <cell r="AS6" t="str">
            <v>MHSA (AB2034)</v>
          </cell>
          <cell r="AT6" t="str">
            <v>PLAN II</v>
          </cell>
          <cell r="AU6" t="str">
            <v>PLAN I</v>
          </cell>
          <cell r="AV6" t="str">
            <v>PLAN I</v>
          </cell>
          <cell r="AW6" t="str">
            <v>PLAN I</v>
          </cell>
          <cell r="AX6" t="str">
            <v>PLAN I</v>
          </cell>
          <cell r="AY6" t="str">
            <v>PLAN I</v>
          </cell>
          <cell r="AZ6" t="str">
            <v>PLAN I</v>
          </cell>
          <cell r="BA6" t="str">
            <v>PLAN I</v>
          </cell>
          <cell r="BB6" t="str">
            <v>PLAN I</v>
          </cell>
          <cell r="BC6" t="str">
            <v>PLAN II</v>
          </cell>
          <cell r="BD6" t="str">
            <v>PLAN II</v>
          </cell>
          <cell r="BE6" t="str">
            <v>PLAN II</v>
          </cell>
          <cell r="BF6" t="str">
            <v>PLAN II</v>
          </cell>
          <cell r="BG6" t="str">
            <v xml:space="preserve">  PLAN I               MHSA CHILD FSP</v>
          </cell>
          <cell r="BH6" t="str">
            <v xml:space="preserve">  PLAN I             MHSA CHILD FSP</v>
          </cell>
          <cell r="BI6" t="str">
            <v xml:space="preserve">  PLAN I               MHSA CHILD FSP</v>
          </cell>
          <cell r="BJ6" t="str">
            <v xml:space="preserve">  PLAN I               MHSA TAY FSP</v>
          </cell>
          <cell r="BK6" t="str">
            <v xml:space="preserve">   PLAN I           MHSA TAY FSP</v>
          </cell>
          <cell r="BL6" t="str">
            <v xml:space="preserve">  PLAN I               MHSA TAY FSP</v>
          </cell>
          <cell r="BM6" t="str">
            <v xml:space="preserve">  PLAN I            MHSA ADULT FSP</v>
          </cell>
          <cell r="BN6" t="str">
            <v xml:space="preserve">      PLAN  I                  MHSA   OLDER ADULT FSP</v>
          </cell>
          <cell r="BO6" t="str">
            <v>PLAN II ADULT WELLNESS CENTERS-NON CLIENT RUN</v>
          </cell>
          <cell r="BP6" t="str">
            <v>PLAN II  ADULT IMD STEP DOWN</v>
          </cell>
          <cell r="BQ6" t="str">
            <v>PLAN II</v>
          </cell>
          <cell r="BR6" t="str">
            <v xml:space="preserve">PLAN II </v>
          </cell>
          <cell r="BS6" t="str">
            <v>PLAN II</v>
          </cell>
          <cell r="BT6" t="str">
            <v>PLAN II</v>
          </cell>
          <cell r="BU6" t="str">
            <v>PLAN II</v>
          </cell>
          <cell r="BV6" t="str">
            <v>COUNTY CARE</v>
          </cell>
          <cell r="BW6" t="str">
            <v>AB 34/AB2034</v>
          </cell>
          <cell r="BX6" t="str">
            <v>AB 2034</v>
          </cell>
          <cell r="BY6" t="str">
            <v>DPSS</v>
          </cell>
          <cell r="BZ6" t="str">
            <v>DPSS</v>
          </cell>
          <cell r="CA6" t="str">
            <v>DPSS</v>
          </cell>
          <cell r="CB6" t="str">
            <v>DPSS</v>
          </cell>
          <cell r="CC6" t="str">
            <v>DPSS</v>
          </cell>
          <cell r="CD6" t="str">
            <v>DCFS -</v>
          </cell>
          <cell r="CE6" t="str">
            <v>DCFS -</v>
          </cell>
          <cell r="CF6" t="str">
            <v>DCFS -</v>
          </cell>
          <cell r="CG6" t="str">
            <v>DCFS</v>
          </cell>
          <cell r="CH6" t="str">
            <v>DCFS</v>
          </cell>
          <cell r="CI6" t="str">
            <v>DCFS</v>
          </cell>
          <cell r="CJ6" t="str">
            <v>CGF</v>
          </cell>
          <cell r="CK6" t="str">
            <v xml:space="preserve">DCFS </v>
          </cell>
          <cell r="CL6" t="str">
            <v xml:space="preserve">DCFS </v>
          </cell>
          <cell r="CM6" t="str">
            <v xml:space="preserve">DCFS  </v>
          </cell>
          <cell r="CN6" t="str">
            <v>DCFS JOINT</v>
          </cell>
          <cell r="CO6" t="str">
            <v xml:space="preserve">DCFS  </v>
          </cell>
          <cell r="CP6" t="str">
            <v xml:space="preserve">DCFS  </v>
          </cell>
          <cell r="CQ6" t="str">
            <v xml:space="preserve">DCFS </v>
          </cell>
          <cell r="CS6" t="str">
            <v>DHS</v>
          </cell>
          <cell r="CT6" t="str">
            <v>DHS</v>
          </cell>
          <cell r="CU6" t="str">
            <v>DHS</v>
          </cell>
          <cell r="CV6" t="str">
            <v xml:space="preserve">FFP </v>
          </cell>
          <cell r="CW6" t="str">
            <v xml:space="preserve">CGF </v>
          </cell>
          <cell r="CX6" t="str">
            <v>STATE</v>
          </cell>
          <cell r="CY6" t="str">
            <v>FEDERAL GRANT</v>
          </cell>
          <cell r="CZ6" t="str">
            <v>PROBATION
DEPARTMENT</v>
          </cell>
          <cell r="DA6" t="str">
            <v>PROBATION
DEPARTMENT</v>
          </cell>
          <cell r="DB6" t="str">
            <v>PROBATION
DEPARTMENT</v>
          </cell>
          <cell r="DC6" t="str">
            <v>PROBATION
DEPARTMENT</v>
          </cell>
          <cell r="DE6" t="str">
            <v>PROBATION
DEPARTMENT</v>
          </cell>
          <cell r="DF6" t="str">
            <v>FEDERAL GRANT</v>
          </cell>
          <cell r="DG6" t="str">
            <v>FEDERAL GRANT</v>
          </cell>
          <cell r="DH6" t="str">
            <v>STATE</v>
          </cell>
          <cell r="DI6" t="str">
            <v>FEDERAL GRANT</v>
          </cell>
          <cell r="DJ6" t="str">
            <v>FEDERAL GRANT</v>
          </cell>
          <cell r="DK6" t="str">
            <v>STATE</v>
          </cell>
          <cell r="DL6" t="str">
            <v>SHERIFF DEPT.</v>
          </cell>
          <cell r="DM6" t="str">
            <v>SHERIFF DEPT. MIOCR</v>
          </cell>
          <cell r="DN6" t="str">
            <v>SHERIFF DEPT. MIOCR</v>
          </cell>
          <cell r="DO6" t="str">
            <v xml:space="preserve">DCFS </v>
          </cell>
          <cell r="DP6" t="str">
            <v xml:space="preserve"> FFP</v>
          </cell>
          <cell r="DQ6" t="str">
            <v>SGF</v>
          </cell>
          <cell r="DR6" t="str">
            <v>CGF</v>
          </cell>
          <cell r="DS6" t="str">
            <v>FFP</v>
          </cell>
          <cell r="DT6" t="str">
            <v>CGF</v>
          </cell>
          <cell r="DU6" t="str">
            <v>FFP</v>
          </cell>
          <cell r="DV6" t="str">
            <v>CGF</v>
          </cell>
          <cell r="DW6" t="str">
            <v>AB/2034</v>
          </cell>
          <cell r="DY6" t="str">
            <v>PES</v>
          </cell>
          <cell r="DZ6" t="str">
            <v xml:space="preserve">PES GENERAL </v>
          </cell>
          <cell r="EA6" t="str">
            <v>State Managed Care Allocation</v>
          </cell>
          <cell r="EB6" t="str">
            <v>Approved</v>
          </cell>
          <cell r="EC6" t="str">
            <v>OFFSET</v>
          </cell>
          <cell r="ED6" t="str">
            <v>OFFSET</v>
          </cell>
          <cell r="EE6" t="str">
            <v>Net Contract</v>
          </cell>
          <cell r="EF6" t="str">
            <v>Encumbrance Authorization Log</v>
          </cell>
          <cell r="EG6" t="str">
            <v>Increase/(Decrease)</v>
          </cell>
          <cell r="EH6" t="str">
            <v>YTD</v>
          </cell>
        </row>
        <row r="7">
          <cell r="A7" t="str">
            <v>Unit</v>
          </cell>
          <cell r="B7" t="str">
            <v>Organization Name</v>
          </cell>
          <cell r="D7" t="str">
            <v>Vender</v>
          </cell>
          <cell r="E7" t="str">
            <v>Unit</v>
          </cell>
          <cell r="F7" t="str">
            <v>ENCUMB</v>
          </cell>
          <cell r="G7" t="str">
            <v>Vendor</v>
          </cell>
          <cell r="H7" t="str">
            <v>Entity</v>
          </cell>
          <cell r="I7" t="str">
            <v>PayTO</v>
          </cell>
          <cell r="K7" t="str">
            <v>Organization Name</v>
          </cell>
          <cell r="L7" t="str">
            <v xml:space="preserve">Reporting </v>
          </cell>
          <cell r="M7" t="str">
            <v>Amend</v>
          </cell>
          <cell r="N7" t="str">
            <v>Amendment</v>
          </cell>
          <cell r="O7" t="str">
            <v>CHILD FSP</v>
          </cell>
          <cell r="P7" t="str">
            <v>FSS</v>
          </cell>
          <cell r="Q7" t="str">
            <v>TAY FSP</v>
          </cell>
          <cell r="R7" t="str">
            <v>TAY</v>
          </cell>
          <cell r="S7" t="str">
            <v>ADULT FSP</v>
          </cell>
          <cell r="T7" t="str">
            <v xml:space="preserve">ADULT </v>
          </cell>
          <cell r="U7" t="str">
            <v>ADULT</v>
          </cell>
          <cell r="V7" t="str">
            <v>OLD/ADLT FSP</v>
          </cell>
          <cell r="W7" t="str">
            <v>OLDER ADULT</v>
          </cell>
          <cell r="AB7" t="str">
            <v>CHILD</v>
          </cell>
          <cell r="AC7" t="str">
            <v>CHILD</v>
          </cell>
          <cell r="AD7" t="str">
            <v>CHILD</v>
          </cell>
          <cell r="AE7" t="str">
            <v>CHILD</v>
          </cell>
          <cell r="AF7" t="str">
            <v>CHILD</v>
          </cell>
          <cell r="AG7" t="str">
            <v>TAY</v>
          </cell>
          <cell r="AH7" t="str">
            <v>TAY</v>
          </cell>
          <cell r="AI7" t="str">
            <v>TAY</v>
          </cell>
          <cell r="AJ7" t="str">
            <v>TAY</v>
          </cell>
          <cell r="AK7" t="str">
            <v>TAY</v>
          </cell>
          <cell r="AL7" t="str">
            <v>ADULT</v>
          </cell>
          <cell r="AM7" t="str">
            <v>ADULT</v>
          </cell>
          <cell r="AN7" t="str">
            <v>ADULT</v>
          </cell>
          <cell r="AO7" t="str">
            <v>OLDER ADULT</v>
          </cell>
          <cell r="AP7" t="str">
            <v>OLDER ADULT</v>
          </cell>
          <cell r="AQ7" t="str">
            <v>OLDER ADULT</v>
          </cell>
          <cell r="AR7" t="str">
            <v>(AB2034)</v>
          </cell>
          <cell r="AS7" t="str">
            <v>NON-EPSDT MATCH</v>
          </cell>
          <cell r="AT7" t="str">
            <v>URGENT CARE</v>
          </cell>
          <cell r="AU7" t="str">
            <v>CHILD FSP</v>
          </cell>
          <cell r="AV7" t="str">
            <v>TAY FSP</v>
          </cell>
          <cell r="AW7" t="str">
            <v>ADULT FSP</v>
          </cell>
          <cell r="AX7" t="str">
            <v>OLDR/ADLT FSP</v>
          </cell>
          <cell r="AY7" t="str">
            <v>CHILD FSP</v>
          </cell>
          <cell r="AZ7" t="str">
            <v>TAY FSP</v>
          </cell>
          <cell r="BA7" t="str">
            <v>ADULT FSP</v>
          </cell>
          <cell r="BB7" t="str">
            <v>OLDR/ADLT FSP</v>
          </cell>
          <cell r="BC7" t="str">
            <v>ADULT</v>
          </cell>
          <cell r="BD7" t="str">
            <v>CHILD</v>
          </cell>
          <cell r="BE7" t="str">
            <v>TAY</v>
          </cell>
          <cell r="BF7" t="str">
            <v>ENRICHED RESIDENTIAL SERVICES</v>
          </cell>
          <cell r="BG7" t="str">
            <v>EPSDT  MATCH</v>
          </cell>
          <cell r="BH7" t="str">
            <v>NON-EPSDT MATCH</v>
          </cell>
          <cell r="BI7" t="str">
            <v>HEALTHY FAMILIES
MATCH</v>
          </cell>
          <cell r="BJ7" t="str">
            <v>EPSDT  MATCH</v>
          </cell>
          <cell r="BK7" t="str">
            <v>NON-EPSDT MATCH</v>
          </cell>
          <cell r="BL7" t="str">
            <v>HEALTHY FAMILIES
MATCH</v>
          </cell>
          <cell r="BM7" t="str">
            <v>NON-EPSDT MATCH</v>
          </cell>
          <cell r="BN7" t="str">
            <v>NON-EPSDT MATCH</v>
          </cell>
          <cell r="BO7" t="str">
            <v>NON-EPSDT MATCH</v>
          </cell>
          <cell r="BP7" t="str">
            <v>NON-EPSDT MATCH</v>
          </cell>
          <cell r="BQ7" t="str">
            <v>URGENT CARE</v>
          </cell>
          <cell r="BR7" t="str">
            <v>URGENT CARE</v>
          </cell>
          <cell r="BS7" t="str">
            <v>ADULT</v>
          </cell>
          <cell r="BU7" t="str">
            <v>OLDER ADULT</v>
          </cell>
          <cell r="BY7" t="str">
            <v>CalWORKs</v>
          </cell>
          <cell r="BZ7" t="str">
            <v>CalWORKs</v>
          </cell>
          <cell r="CA7" t="str">
            <v>CalWORKs</v>
          </cell>
          <cell r="CB7" t="str">
            <v>CalWORKs</v>
          </cell>
          <cell r="CC7" t="str">
            <v>GROW</v>
          </cell>
          <cell r="CD7" t="str">
            <v>AB 1733/AB2994</v>
          </cell>
          <cell r="CE7" t="str">
            <v>FAMILY 
PRESERVATION</v>
          </cell>
          <cell r="CF7" t="str">
            <v>STARVIEW</v>
          </cell>
          <cell r="CG7" t="str">
            <v>WRAPAROUND
EPSDT-MATCH</v>
          </cell>
          <cell r="CH7" t="str">
            <v xml:space="preserve">WRAPAROUND
</v>
          </cell>
          <cell r="CI7" t="str">
            <v>STATE-STOP</v>
          </cell>
          <cell r="CJ7" t="str">
            <v>STOP MATCH</v>
          </cell>
          <cell r="CK7" t="str">
            <v>MAT</v>
          </cell>
          <cell r="CL7" t="str">
            <v>MAT</v>
          </cell>
          <cell r="CM7" t="str">
            <v>MEDI-CAL HUBS
START UP COST</v>
          </cell>
          <cell r="CN7" t="str">
            <v>JOINT
ASSESSMENT 
PROGRAM</v>
          </cell>
          <cell r="CO7" t="str">
            <v>BASIC KATIE A.</v>
          </cell>
          <cell r="CP7" t="str">
            <v>INTENSIVE IN HOME KATIE A.</v>
          </cell>
          <cell r="CQ7" t="str">
            <v>FOSTER CARE</v>
          </cell>
          <cell r="CR7" t="str">
            <v>INTENSIVE IN HOME FOSTER CARE</v>
          </cell>
          <cell r="CS7" t="str">
            <v>DUAL DIAGNOSIS/LAMP/SOCIAL MODEL RECOVERY</v>
          </cell>
          <cell r="CT7" t="str">
            <v>SOCIAL MODEL
RECOVERY</v>
          </cell>
          <cell r="CU7" t="str">
            <v>LAMP</v>
          </cell>
          <cell r="CV7" t="str">
            <v xml:space="preserve"> MAA</v>
          </cell>
          <cell r="CW7" t="str">
            <v>MAA</v>
          </cell>
          <cell r="CX7" t="str">
            <v>HIV-AIDS</v>
          </cell>
          <cell r="CY7" t="str">
            <v>PATH MCKINNEY</v>
          </cell>
          <cell r="DB7" t="str">
            <v>MIOCR</v>
          </cell>
          <cell r="DC7" t="str">
            <v>Title IV Waiver</v>
          </cell>
          <cell r="DD7" t="str">
            <v>STATE 
SCHIFF CARDENAS</v>
          </cell>
          <cell r="DE7" t="str">
            <v>STATE 
SCHIFF CARDENAS</v>
          </cell>
          <cell r="DF7" t="str">
            <v>SAMHSA</v>
          </cell>
          <cell r="DG7" t="str">
            <v>SAMHSA</v>
          </cell>
          <cell r="DH7" t="str">
            <v>SB90</v>
          </cell>
          <cell r="DI7" t="str">
            <v>SAMHSA</v>
          </cell>
          <cell r="DJ7" t="str">
            <v xml:space="preserve">IDEA </v>
          </cell>
          <cell r="DK7" t="str">
            <v>SB1807</v>
          </cell>
          <cell r="DL7" t="str">
            <v>MIOCR</v>
          </cell>
          <cell r="DM7" t="str">
            <v>MIOCR</v>
          </cell>
          <cell r="DN7" t="str">
            <v>MIOCR</v>
          </cell>
          <cell r="DO7" t="str">
            <v>INDEPENDENT 
LIVING</v>
          </cell>
          <cell r="DP7" t="str">
            <v>EPSDT</v>
          </cell>
          <cell r="DQ7" t="str">
            <v>EPSDT</v>
          </cell>
          <cell r="DR7" t="str">
            <v>EPSDT</v>
          </cell>
          <cell r="DS7" t="str">
            <v>HEALTHY FAMILIES</v>
          </cell>
          <cell r="DT7" t="str">
            <v>HEALTHY FAMILIES</v>
          </cell>
          <cell r="DU7" t="str">
            <v xml:space="preserve">NON-EPSDT </v>
          </cell>
          <cell r="DV7" t="str">
            <v>NON-EPSDT</v>
          </cell>
          <cell r="DW7" t="str">
            <v xml:space="preserve">NON EPSDT </v>
          </cell>
          <cell r="DX7" t="str">
            <v>MHSA</v>
          </cell>
          <cell r="DY7" t="str">
            <v>DECOMPRESSION</v>
          </cell>
          <cell r="DZ7" t="str">
            <v>&amp; PDP</v>
          </cell>
          <cell r="EA7" t="str">
            <v>FFS STATE ALLOCATION</v>
          </cell>
          <cell r="EB7" t="str">
            <v>K Amount</v>
          </cell>
          <cell r="EC7" t="str">
            <v>A/O xx/xx/xx Report-YTD</v>
          </cell>
          <cell r="ED7" t="str">
            <v>A/O Report</v>
          </cell>
          <cell r="EE7" t="str">
            <v>Hard $ Amount</v>
          </cell>
          <cell r="EF7" t="str">
            <v xml:space="preserve">as of </v>
          </cell>
          <cell r="EG7" t="str">
            <v>Encumbrance</v>
          </cell>
          <cell r="EH7" t="str">
            <v>Offset</v>
          </cell>
        </row>
        <row r="8">
          <cell r="A8" t="str">
            <v>Code</v>
          </cell>
          <cell r="B8" t="str">
            <v>Legal Entity Name (dba)  - per Contract</v>
          </cell>
          <cell r="D8" t="str">
            <v>Code</v>
          </cell>
          <cell r="E8" t="str">
            <v>Code</v>
          </cell>
          <cell r="G8" t="str">
            <v>Number</v>
          </cell>
          <cell r="H8" t="str">
            <v>Code</v>
          </cell>
          <cell r="I8" t="str">
            <v>ID</v>
          </cell>
          <cell r="J8" t="str">
            <v>Various Plans</v>
          </cell>
          <cell r="K8" t="str">
            <v>Legal Entity Name (dba)  - per Contract</v>
          </cell>
          <cell r="L8" t="str">
            <v>Code</v>
          </cell>
          <cell r="M8" t="str">
            <v>#</v>
          </cell>
          <cell r="N8" t="str">
            <v>Amount</v>
          </cell>
          <cell r="O8" t="str">
            <v>MHS</v>
          </cell>
          <cell r="Q8" t="str">
            <v>MHS</v>
          </cell>
          <cell r="R8" t="str">
            <v>PROBATION CAMPS</v>
          </cell>
          <cell r="S8" t="str">
            <v>MHS</v>
          </cell>
          <cell r="T8" t="str">
            <v>WELLNESS CENTER -NON CLIENT RUN</v>
          </cell>
          <cell r="U8" t="str">
            <v>IMD STEP DOWN</v>
          </cell>
          <cell r="V8" t="str">
            <v>MHS</v>
          </cell>
          <cell r="W8" t="str">
            <v>FIELD CAPABLE
CLINICAL SRVCS.
(MHS)</v>
          </cell>
          <cell r="X8" t="str">
            <v>MHSA WORKFORCE TRAINING</v>
          </cell>
          <cell r="Y8" t="str">
            <v>OUTREACH AND ENGAGEMENT NON EPSDT</v>
          </cell>
          <cell r="Z8" t="str">
            <v>OUTREACH AND ENGAGEMENT</v>
          </cell>
          <cell r="AA8" t="str">
            <v>Mental Health Services Act (MHSA) - Jail Linkage Services</v>
          </cell>
          <cell r="AB8" t="str">
            <v>FIELD CAPABLE
CLINICAL SRVCS.
 (MHS)</v>
          </cell>
          <cell r="AC8" t="str">
            <v>FIELD CAPABLE
CLINICAL SRVCS. FLEX FUNDS (CSS)</v>
          </cell>
          <cell r="AD8" t="str">
            <v>FIELD CAPABLE
CLINICAL SRVCS.
ONE-TIME COST</v>
          </cell>
          <cell r="AE8" t="str">
            <v>FIELD CAPABLE
CLINICAL SRVCS.NON-EPSDT MATCH</v>
          </cell>
          <cell r="AF8" t="str">
            <v>FIELD CAPABLE
HEALTHY FAMILIES   
MATCH</v>
          </cell>
          <cell r="AG8" t="str">
            <v>FIELD CAPABLE
CLINICAL SRVCS.
 (MHS)</v>
          </cell>
          <cell r="AH8" t="str">
            <v>FIELD CAPABLE
CLINICAL SRVCS. FLEX FUNDS (CSS)</v>
          </cell>
          <cell r="AI8" t="str">
            <v>FIELD CAPABLE
CLINICAL SRVCS.
ONE-TIME COST</v>
          </cell>
          <cell r="AJ8" t="str">
            <v>FIELD CAPABLE
CLINICAL SRVCS.
FFP MATCH</v>
          </cell>
          <cell r="AK8" t="str">
            <v>FIELD CAPABLE
HEALTHY FAMILIES   
MATCH</v>
          </cell>
          <cell r="AL8" t="str">
            <v>FIELD CAPABLE
CLINICAL SRVCS.
 (MHS)</v>
          </cell>
          <cell r="AM8" t="str">
            <v>FIELD CAPABLE
CLINICAL SRVCS. FLEX FUNDS (CSS)</v>
          </cell>
          <cell r="AN8" t="str">
            <v>FIELD CAPABLE
CLINICAL SRVCS.
FFP MATCH</v>
          </cell>
          <cell r="AO8" t="str">
            <v>FIELD CAPABLE
CLINICAL SRVCS. FLEX FUNDS (CSS)</v>
          </cell>
          <cell r="AP8" t="str">
            <v>FIELD CAPABLE
CLINICAL SRVCS.
ONE-TIME COST</v>
          </cell>
          <cell r="AQ8" t="str">
            <v>FIELD CAPABLE
CLINICAL SRVCS.
FFP MATCH</v>
          </cell>
          <cell r="AT8" t="str">
            <v>CROSS CUTTING</v>
          </cell>
          <cell r="AU8" t="str">
            <v>CSS</v>
          </cell>
          <cell r="AV8" t="str">
            <v>CSS</v>
          </cell>
          <cell r="AW8" t="str">
            <v>CSS</v>
          </cell>
          <cell r="AX8" t="str">
            <v>CSS</v>
          </cell>
          <cell r="AY8" t="str">
            <v>ONETIME</v>
          </cell>
          <cell r="AZ8" t="str">
            <v>ONETIME</v>
          </cell>
          <cell r="BA8" t="str">
            <v>ONETIME</v>
          </cell>
          <cell r="BB8" t="str">
            <v>ONETIME</v>
          </cell>
          <cell r="BC8" t="str">
            <v>ONETIME</v>
          </cell>
          <cell r="BD8" t="str">
            <v>ONETIME</v>
          </cell>
          <cell r="BE8" t="str">
            <v>ONETIME</v>
          </cell>
          <cell r="BF8" t="str">
            <v>ONETIME</v>
          </cell>
          <cell r="BQ8" t="str">
            <v>EPSDT MATCH</v>
          </cell>
          <cell r="BR8" t="str">
            <v>NON-EPSDT MATCH</v>
          </cell>
          <cell r="BS8" t="str">
            <v>WELLNESS CLIENT RUN</v>
          </cell>
          <cell r="BT8" t="str">
            <v>CROSS CUTTING- ENRICHED RESIDENTIAL SERV.</v>
          </cell>
          <cell r="BU8" t="str">
            <v>OLDER ADULT SERVICE EXTENDERS</v>
          </cell>
          <cell r="BW8" t="str">
            <v>AB2034              MHS</v>
          </cell>
          <cell r="BX8" t="str">
            <v>CLIENT  
SUPPORTIVE</v>
          </cell>
          <cell r="BY8" t="str">
            <v>MHS</v>
          </cell>
          <cell r="BZ8" t="str">
            <v>FAMILY PROJECT
MHS</v>
          </cell>
          <cell r="CA8" t="str">
            <v>CSS</v>
          </cell>
          <cell r="CB8" t="str">
            <v>FLEX FUNDS</v>
          </cell>
          <cell r="CD8" t="str">
            <v>MHS</v>
          </cell>
          <cell r="CE8" t="str">
            <v>MHS</v>
          </cell>
          <cell r="CF8" t="str">
            <v>MHS</v>
          </cell>
          <cell r="CG8" t="str">
            <v>MHS</v>
          </cell>
          <cell r="CH8" t="str">
            <v>MHS</v>
          </cell>
          <cell r="CI8" t="str">
            <v>MHS</v>
          </cell>
          <cell r="CJ8" t="str">
            <v>MHS</v>
          </cell>
          <cell r="CK8" t="str">
            <v>MULTIDISCIPLINARY ASSESSMENT &amp; TREATMENT</v>
          </cell>
          <cell r="CL8" t="str">
            <v>MULTIDISCIPLINARY ASSESSMENT &amp; TREATMENT EPSDT-FFP MATCH</v>
          </cell>
          <cell r="CP8" t="str">
            <v>EPSDT-FFP MATCH</v>
          </cell>
          <cell r="CQ8" t="str">
            <v>EPSDT-FFP MATCH</v>
          </cell>
          <cell r="CR8" t="str">
            <v>EPSDT-FFP MATCH</v>
          </cell>
          <cell r="CX8" t="str">
            <v>MHS</v>
          </cell>
          <cell r="CY8" t="str">
            <v>MHS</v>
          </cell>
          <cell r="CZ8" t="str">
            <v>NEUROBEHAVIORAL DEMONSTRATION PILOT PROJECT</v>
          </cell>
          <cell r="DA8" t="str">
            <v>SUBSTANCE ABUSE/
CO-OCCURING DISORDER SVCS.</v>
          </cell>
          <cell r="DB8" t="str">
            <v>EPSDT-FFP MATCH</v>
          </cell>
          <cell r="DC8" t="str">
            <v>EPSDT MATCH</v>
          </cell>
          <cell r="DD8" t="str">
            <v>MHSAT</v>
          </cell>
          <cell r="DE8" t="str">
            <v>MST</v>
          </cell>
          <cell r="DG8" t="str">
            <v>CHILD
MENTAL HEALTH
INITIATIVE</v>
          </cell>
          <cell r="DH8" t="str">
            <v xml:space="preserve">AB 3632 </v>
          </cell>
          <cell r="DI8" t="str">
            <v>Targeted Capacity Expansion</v>
          </cell>
          <cell r="DJ8" t="str">
            <v>AB3632</v>
          </cell>
          <cell r="DK8" t="str">
            <v>AB 3632</v>
          </cell>
          <cell r="DL8" t="str">
            <v>Mentally Ill Offender Crime Reduction Program</v>
          </cell>
          <cell r="DM8" t="str">
            <v>NON EPSDT-FFP MATCH</v>
          </cell>
          <cell r="DN8" t="str">
            <v>EPSDT-FFP MATCH</v>
          </cell>
          <cell r="DR8" t="str">
            <v>MATCH</v>
          </cell>
          <cell r="DT8" t="str">
            <v>MATCH</v>
          </cell>
          <cell r="DV8" t="str">
            <v>MATCH</v>
          </cell>
          <cell r="DW8" t="str">
            <v>MATCH</v>
          </cell>
          <cell r="DX8" t="str">
            <v>PLAN TO PLAN</v>
          </cell>
          <cell r="EB8" t="str">
            <v>(3)=(1)+(2)</v>
          </cell>
          <cell r="EC8" t="str">
            <v>already reduced (4)</v>
          </cell>
          <cell r="ED8" t="str">
            <v>to be reduced (4a)</v>
          </cell>
          <cell r="EE8" t="str">
            <v>(5)   (3-4)</v>
          </cell>
          <cell r="EF8" t="str">
            <v>(4)</v>
          </cell>
          <cell r="EG8" t="str">
            <v>(3)-(4)</v>
          </cell>
          <cell r="EH8" t="str">
            <v>Per Provider</v>
          </cell>
        </row>
        <row r="9">
          <cell r="C9">
            <v>1</v>
          </cell>
          <cell r="O9" t="str">
            <v>H901</v>
          </cell>
          <cell r="P9" t="str">
            <v>H902</v>
          </cell>
          <cell r="Q9" t="str">
            <v>H907</v>
          </cell>
          <cell r="R9" t="str">
            <v>H913</v>
          </cell>
          <cell r="S9" t="str">
            <v>H914</v>
          </cell>
          <cell r="T9" t="str">
            <v>H916</v>
          </cell>
          <cell r="U9" t="str">
            <v>H918</v>
          </cell>
          <cell r="V9" t="str">
            <v>H923</v>
          </cell>
          <cell r="W9" t="str">
            <v>H926</v>
          </cell>
          <cell r="X9" t="str">
            <v>H939</v>
          </cell>
          <cell r="Y9" t="str">
            <v>TBA11</v>
          </cell>
          <cell r="Z9" t="str">
            <v>H995</v>
          </cell>
          <cell r="AA9" t="str">
            <v>H922</v>
          </cell>
          <cell r="AB9" t="str">
            <v>H998</v>
          </cell>
          <cell r="AC9" t="str">
            <v>H9A3</v>
          </cell>
          <cell r="AD9" t="str">
            <v>H9A1</v>
          </cell>
          <cell r="AE9" t="str">
            <v>H9A7</v>
          </cell>
          <cell r="AF9" t="str">
            <v>H9A8</v>
          </cell>
          <cell r="AG9" t="str">
            <v>H997</v>
          </cell>
          <cell r="AH9" t="str">
            <v>H9A4</v>
          </cell>
          <cell r="AI9" t="str">
            <v>H9A2</v>
          </cell>
          <cell r="AJ9" t="str">
            <v>H9A9</v>
          </cell>
          <cell r="AK9" t="str">
            <v>H9B0</v>
          </cell>
          <cell r="AL9" t="str">
            <v>H9A0</v>
          </cell>
          <cell r="AM9" t="str">
            <v>H9A5</v>
          </cell>
          <cell r="AN9" t="str">
            <v>H9A6</v>
          </cell>
          <cell r="AO9" t="str">
            <v>H987</v>
          </cell>
          <cell r="AP9" t="str">
            <v>H966</v>
          </cell>
          <cell r="AQ9" t="str">
            <v>H980</v>
          </cell>
          <cell r="AR9" t="str">
            <v>H950</v>
          </cell>
          <cell r="AS9" t="str">
            <v>H991</v>
          </cell>
          <cell r="AT9" t="str">
            <v>H933</v>
          </cell>
          <cell r="AU9" t="str">
            <v>H955</v>
          </cell>
          <cell r="AV9" t="str">
            <v>H956</v>
          </cell>
          <cell r="AW9" t="str">
            <v>H957</v>
          </cell>
          <cell r="AX9" t="str">
            <v>H958</v>
          </cell>
          <cell r="AY9" t="str">
            <v>H959</v>
          </cell>
          <cell r="AZ9" t="str">
            <v>H960</v>
          </cell>
          <cell r="BA9" t="str">
            <v>H961</v>
          </cell>
          <cell r="BB9" t="str">
            <v>H962</v>
          </cell>
          <cell r="BC9" t="str">
            <v>H965</v>
          </cell>
          <cell r="BD9" t="str">
            <v>H963</v>
          </cell>
          <cell r="BE9" t="str">
            <v>H964</v>
          </cell>
          <cell r="BF9" t="str">
            <v>H967</v>
          </cell>
          <cell r="BG9" t="str">
            <v>H968</v>
          </cell>
          <cell r="BH9" t="str">
            <v>H969</v>
          </cell>
          <cell r="BI9" t="str">
            <v>H970</v>
          </cell>
          <cell r="BJ9" t="str">
            <v>H971</v>
          </cell>
          <cell r="BK9" t="str">
            <v>H972</v>
          </cell>
          <cell r="BL9" t="str">
            <v>H973</v>
          </cell>
          <cell r="BM9" t="str">
            <v>H974</v>
          </cell>
          <cell r="BN9" t="str">
            <v>H975</v>
          </cell>
          <cell r="BO9" t="str">
            <v>H977</v>
          </cell>
          <cell r="BP9" t="str">
            <v>H979</v>
          </cell>
          <cell r="BQ9" t="str">
            <v>H981</v>
          </cell>
          <cell r="BR9" t="str">
            <v>H982</v>
          </cell>
          <cell r="BS9" t="str">
            <v>H985</v>
          </cell>
          <cell r="BT9" t="str">
            <v>H986</v>
          </cell>
          <cell r="BU9" t="str">
            <v>H928</v>
          </cell>
          <cell r="BV9" t="str">
            <v>M902</v>
          </cell>
          <cell r="BW9" t="str">
            <v>M903</v>
          </cell>
          <cell r="BX9" t="str">
            <v>M934</v>
          </cell>
          <cell r="BY9" t="str">
            <v>M906</v>
          </cell>
          <cell r="BZ9" t="str">
            <v>M957</v>
          </cell>
          <cell r="CA9" t="str">
            <v>M965</v>
          </cell>
          <cell r="CB9" t="str">
            <v>M966</v>
          </cell>
          <cell r="CC9" t="str">
            <v>M920</v>
          </cell>
          <cell r="CD9" t="str">
            <v>M911</v>
          </cell>
          <cell r="CE9" t="str">
            <v>M912</v>
          </cell>
          <cell r="CF9" t="str">
            <v>M914</v>
          </cell>
          <cell r="CG9" t="str">
            <v>TBA9</v>
          </cell>
          <cell r="CH9" t="str">
            <v>TBA10</v>
          </cell>
          <cell r="CI9" t="str">
            <v>M915</v>
          </cell>
          <cell r="CJ9" t="str">
            <v>M952</v>
          </cell>
          <cell r="CK9" t="str">
            <v>M979</v>
          </cell>
          <cell r="CL9" t="str">
            <v>TBA5</v>
          </cell>
          <cell r="CM9" t="str">
            <v>M969</v>
          </cell>
          <cell r="CN9" t="str">
            <v>M970</v>
          </cell>
          <cell r="CO9" t="str">
            <v>M992</v>
          </cell>
          <cell r="CP9" t="str">
            <v>TBA4</v>
          </cell>
          <cell r="CQ9" t="str">
            <v>M973</v>
          </cell>
          <cell r="CR9" t="str">
            <v>M974</v>
          </cell>
          <cell r="CS9" t="str">
            <v>M917</v>
          </cell>
          <cell r="CV9" t="str">
            <v>M919</v>
          </cell>
          <cell r="CW9" t="str">
            <v>M933</v>
          </cell>
          <cell r="CX9" t="str">
            <v>M922</v>
          </cell>
          <cell r="CY9" t="str">
            <v>M923</v>
          </cell>
          <cell r="CZ9" t="str">
            <v>TBA7</v>
          </cell>
          <cell r="DA9" t="str">
            <v>M987</v>
          </cell>
          <cell r="DB9" t="str">
            <v>M989</v>
          </cell>
          <cell r="DC9" t="str">
            <v>TBA6</v>
          </cell>
          <cell r="DD9" t="str">
            <v>M924</v>
          </cell>
          <cell r="DE9" t="str">
            <v>M968</v>
          </cell>
          <cell r="DF9" t="str">
            <v>M925</v>
          </cell>
          <cell r="DG9" t="str">
            <v>M964</v>
          </cell>
          <cell r="DH9" t="str">
            <v>M926</v>
          </cell>
          <cell r="DI9" t="str">
            <v>M971</v>
          </cell>
          <cell r="DJ9" t="str">
            <v>M972</v>
          </cell>
          <cell r="DK9" t="str">
            <v>M978</v>
          </cell>
          <cell r="DL9" t="str">
            <v>M976</v>
          </cell>
          <cell r="DM9" t="str">
            <v>M977</v>
          </cell>
          <cell r="DN9" t="str">
            <v>M990</v>
          </cell>
          <cell r="DO9" t="str">
            <v>M930</v>
          </cell>
          <cell r="DP9" t="str">
            <v>M931</v>
          </cell>
          <cell r="DQ9" t="str">
            <v>M932</v>
          </cell>
          <cell r="DR9" t="str">
            <v>M941</v>
          </cell>
          <cell r="DS9" t="str">
            <v>M950</v>
          </cell>
          <cell r="DT9" t="str">
            <v>M944</v>
          </cell>
          <cell r="DU9" t="str">
            <v>M949</v>
          </cell>
          <cell r="DV9" t="str">
            <v>M951</v>
          </cell>
          <cell r="DW9" t="str">
            <v>M967</v>
          </cell>
          <cell r="DX9" t="str">
            <v>M960</v>
          </cell>
          <cell r="DY9" t="str">
            <v>M961</v>
          </cell>
          <cell r="DZ9" t="str">
            <v>M962</v>
          </cell>
          <cell r="EA9" t="str">
            <v>M959</v>
          </cell>
          <cell r="EB9" t="str">
            <v>Maximum Board</v>
          </cell>
          <cell r="EF9" t="str">
            <v xml:space="preserve">Encumbrance </v>
          </cell>
        </row>
        <row r="10">
          <cell r="A10">
            <v>18616</v>
          </cell>
          <cell r="C10">
            <v>134</v>
          </cell>
          <cell r="D10" t="str">
            <v>102616</v>
          </cell>
          <cell r="E10">
            <v>18616</v>
          </cell>
          <cell r="F10" t="str">
            <v>09C00026</v>
          </cell>
          <cell r="G10" t="str">
            <v>102616</v>
          </cell>
          <cell r="H10" t="str">
            <v>00888</v>
          </cell>
          <cell r="J10" t="str">
            <v>UNIQUE CONTRACTS</v>
          </cell>
          <cell r="K10" t="str">
            <v>Aurora Charter Oak, LLC  (Charter Behav Hlth Sys)</v>
          </cell>
          <cell r="L10" t="str">
            <v>MH190012</v>
          </cell>
          <cell r="M10" t="str">
            <v>NEW</v>
          </cell>
          <cell r="N10">
            <v>0</v>
          </cell>
          <cell r="BV10">
            <v>1744766</v>
          </cell>
          <cell r="EB10">
            <v>1744766</v>
          </cell>
          <cell r="EE10">
            <v>1744766</v>
          </cell>
          <cell r="EG10">
            <v>1744766</v>
          </cell>
          <cell r="EI10">
            <v>-1744766</v>
          </cell>
        </row>
        <row r="11">
          <cell r="A11">
            <v>18617</v>
          </cell>
          <cell r="B11" t="str">
            <v>Tri-City Mental Health Center</v>
          </cell>
          <cell r="C11">
            <v>120</v>
          </cell>
          <cell r="D11">
            <v>506708</v>
          </cell>
          <cell r="E11">
            <v>18617</v>
          </cell>
          <cell r="F11" t="str">
            <v>NA</v>
          </cell>
          <cell r="G11">
            <v>506708</v>
          </cell>
          <cell r="H11" t="str">
            <v>00066</v>
          </cell>
          <cell r="K11" t="str">
            <v>Tri-City Mental Health Center</v>
          </cell>
          <cell r="L11" t="str">
            <v>MH120287</v>
          </cell>
          <cell r="M11" t="str">
            <v>New</v>
          </cell>
          <cell r="N11">
            <v>0</v>
          </cell>
          <cell r="DP11">
            <v>1152269</v>
          </cell>
          <cell r="DQ11">
            <v>879437</v>
          </cell>
          <cell r="DU11">
            <v>1926530</v>
          </cell>
          <cell r="EB11">
            <v>3958236</v>
          </cell>
          <cell r="EE11">
            <v>3958236</v>
          </cell>
          <cell r="EG11">
            <v>3958236</v>
          </cell>
          <cell r="EI11">
            <v>-3958236</v>
          </cell>
        </row>
        <row r="12">
          <cell r="A12">
            <v>18618</v>
          </cell>
          <cell r="B12" t="str">
            <v>Pacific Asian Counseling Services</v>
          </cell>
          <cell r="C12">
            <v>79</v>
          </cell>
          <cell r="D12" t="str">
            <v>503051</v>
          </cell>
          <cell r="E12">
            <v>18618</v>
          </cell>
          <cell r="F12" t="str">
            <v>09C00117</v>
          </cell>
          <cell r="G12" t="str">
            <v>503051</v>
          </cell>
          <cell r="H12" t="str">
            <v>00579</v>
          </cell>
          <cell r="I12" t="str">
            <v>92</v>
          </cell>
          <cell r="K12" t="str">
            <v>Pacific Asian Counseling Services (WRAP)</v>
          </cell>
          <cell r="L12" t="str">
            <v>MH120380</v>
          </cell>
          <cell r="M12" t="str">
            <v>New</v>
          </cell>
          <cell r="N12">
            <v>0</v>
          </cell>
          <cell r="AL12">
            <v>68900</v>
          </cell>
          <cell r="BV12">
            <v>31100</v>
          </cell>
          <cell r="BY12">
            <v>350000</v>
          </cell>
          <cell r="DP12">
            <v>548000</v>
          </cell>
          <cell r="DQ12">
            <v>473362</v>
          </cell>
          <cell r="DR12">
            <v>74638</v>
          </cell>
          <cell r="DS12">
            <v>20735</v>
          </cell>
          <cell r="DT12">
            <v>11165</v>
          </cell>
          <cell r="DU12">
            <v>256150</v>
          </cell>
          <cell r="DV12">
            <v>256150</v>
          </cell>
          <cell r="EB12">
            <v>2090200</v>
          </cell>
          <cell r="EE12">
            <v>2090200</v>
          </cell>
          <cell r="EG12">
            <v>2090200</v>
          </cell>
          <cell r="EH12">
            <v>24626</v>
          </cell>
          <cell r="EI12">
            <v>-2090200</v>
          </cell>
        </row>
        <row r="13">
          <cell r="A13">
            <v>18626</v>
          </cell>
          <cell r="B13" t="str">
            <v>South Central Health and Rehabilitation Prog. (SCHARP)</v>
          </cell>
          <cell r="C13">
            <v>97</v>
          </cell>
          <cell r="D13" t="str">
            <v>513739</v>
          </cell>
          <cell r="E13">
            <v>18626</v>
          </cell>
          <cell r="F13" t="str">
            <v>09C00100</v>
          </cell>
          <cell r="G13" t="str">
            <v>513739</v>
          </cell>
          <cell r="H13" t="str">
            <v>00506</v>
          </cell>
          <cell r="I13" t="str">
            <v>84</v>
          </cell>
          <cell r="K13" t="str">
            <v>South Central Health &amp; Rehab Program (SCHARP)</v>
          </cell>
          <cell r="L13" t="str">
            <v>MH120396</v>
          </cell>
          <cell r="M13" t="str">
            <v>New</v>
          </cell>
          <cell r="N13">
            <v>0</v>
          </cell>
          <cell r="S13">
            <v>425700</v>
          </cell>
          <cell r="T13">
            <v>67000</v>
          </cell>
          <cell r="AW13">
            <v>606200</v>
          </cell>
          <cell r="BM13">
            <v>1054350</v>
          </cell>
          <cell r="BV13">
            <v>539100</v>
          </cell>
          <cell r="BY13">
            <v>665000</v>
          </cell>
          <cell r="CG13">
            <v>9806</v>
          </cell>
          <cell r="CI13">
            <v>7000</v>
          </cell>
          <cell r="CJ13">
            <v>3000</v>
          </cell>
          <cell r="CK13">
            <v>54400</v>
          </cell>
          <cell r="CY13">
            <v>40000</v>
          </cell>
          <cell r="DP13">
            <v>866050</v>
          </cell>
          <cell r="DQ13">
            <v>748094</v>
          </cell>
          <cell r="DR13">
            <v>108150</v>
          </cell>
          <cell r="DS13">
            <v>28210</v>
          </cell>
          <cell r="DT13">
            <v>15190</v>
          </cell>
          <cell r="DU13">
            <v>1199000</v>
          </cell>
          <cell r="DV13">
            <v>144650</v>
          </cell>
          <cell r="EB13">
            <v>6580900</v>
          </cell>
          <cell r="EE13">
            <v>6580900</v>
          </cell>
          <cell r="EG13">
            <v>6580900</v>
          </cell>
          <cell r="EH13">
            <v>76359.839999999997</v>
          </cell>
          <cell r="EI13">
            <v>-6580900</v>
          </cell>
        </row>
        <row r="14">
          <cell r="A14">
            <v>18629</v>
          </cell>
          <cell r="B14" t="str">
            <v>Exodus Recovery, Inc.</v>
          </cell>
          <cell r="C14">
            <v>41</v>
          </cell>
          <cell r="D14" t="str">
            <v>514178</v>
          </cell>
          <cell r="E14">
            <v>18629</v>
          </cell>
          <cell r="F14" t="str">
            <v>09C00044</v>
          </cell>
          <cell r="G14" t="str">
            <v>514178</v>
          </cell>
          <cell r="H14" t="str">
            <v>00527</v>
          </cell>
          <cell r="I14" t="str">
            <v>88</v>
          </cell>
          <cell r="K14" t="str">
            <v>Exodus Recovery, Inc.</v>
          </cell>
          <cell r="L14" t="str">
            <v>MH120347</v>
          </cell>
          <cell r="M14" t="str">
            <v>New</v>
          </cell>
          <cell r="N14">
            <v>0</v>
          </cell>
          <cell r="S14">
            <v>757700</v>
          </cell>
          <cell r="T14">
            <v>150000</v>
          </cell>
          <cell r="AR14">
            <v>0</v>
          </cell>
          <cell r="AT14">
            <v>1471400</v>
          </cell>
          <cell r="AW14">
            <v>836400</v>
          </cell>
          <cell r="BM14">
            <v>678850</v>
          </cell>
          <cell r="BO14">
            <v>150000</v>
          </cell>
          <cell r="BQ14">
            <v>7382</v>
          </cell>
          <cell r="BR14">
            <v>879550</v>
          </cell>
          <cell r="BV14">
            <v>87400</v>
          </cell>
          <cell r="DP14">
            <v>59700</v>
          </cell>
          <cell r="DQ14">
            <v>51569</v>
          </cell>
          <cell r="DR14">
            <v>749</v>
          </cell>
          <cell r="DS14">
            <v>0</v>
          </cell>
          <cell r="DT14">
            <v>0</v>
          </cell>
          <cell r="DU14">
            <v>2249050</v>
          </cell>
          <cell r="DV14">
            <v>540650</v>
          </cell>
          <cell r="EB14">
            <v>7920400</v>
          </cell>
          <cell r="EE14">
            <v>7920400</v>
          </cell>
          <cell r="EG14">
            <v>7920400</v>
          </cell>
          <cell r="EH14">
            <v>16716</v>
          </cell>
          <cell r="EI14">
            <v>-7920400</v>
          </cell>
        </row>
        <row r="15">
          <cell r="A15">
            <v>18631</v>
          </cell>
          <cell r="B15" t="str">
            <v>Star View Adolescent Center, Inc.</v>
          </cell>
          <cell r="C15">
            <v>104</v>
          </cell>
          <cell r="D15" t="str">
            <v>514780</v>
          </cell>
          <cell r="E15">
            <v>18631</v>
          </cell>
          <cell r="F15" t="str">
            <v>09C00130</v>
          </cell>
          <cell r="G15" t="str">
            <v>514780</v>
          </cell>
          <cell r="H15" t="str">
            <v>00543</v>
          </cell>
          <cell r="I15" t="str">
            <v>89</v>
          </cell>
          <cell r="K15" t="str">
            <v>Star View Adolescent Center</v>
          </cell>
          <cell r="L15" t="str">
            <v>MH120261</v>
          </cell>
          <cell r="M15">
            <v>17</v>
          </cell>
          <cell r="N15">
            <v>710000</v>
          </cell>
          <cell r="O15">
            <v>266000</v>
          </cell>
          <cell r="P15">
            <v>312400</v>
          </cell>
          <cell r="Q15">
            <v>616000</v>
          </cell>
          <cell r="AU15">
            <v>92300</v>
          </cell>
          <cell r="AV15">
            <v>444800</v>
          </cell>
          <cell r="BG15">
            <v>165619</v>
          </cell>
          <cell r="BJ15">
            <v>55297</v>
          </cell>
          <cell r="BK15">
            <v>168000</v>
          </cell>
          <cell r="BV15">
            <v>115600</v>
          </cell>
          <cell r="CF15">
            <v>642000</v>
          </cell>
          <cell r="CI15">
            <v>30520</v>
          </cell>
          <cell r="CJ15">
            <v>13080</v>
          </cell>
          <cell r="CK15">
            <v>58300</v>
          </cell>
          <cell r="CQ15">
            <v>121559</v>
          </cell>
          <cell r="CR15">
            <v>6810</v>
          </cell>
          <cell r="DA15">
            <v>50000</v>
          </cell>
          <cell r="DC15">
            <v>29136</v>
          </cell>
          <cell r="DD15">
            <v>75000</v>
          </cell>
          <cell r="DF15">
            <v>40000</v>
          </cell>
          <cell r="DJ15">
            <v>0</v>
          </cell>
          <cell r="DK15">
            <v>400200</v>
          </cell>
          <cell r="DP15">
            <v>11995671</v>
          </cell>
          <cell r="DQ15">
            <v>10361861</v>
          </cell>
          <cell r="DR15">
            <v>1255389</v>
          </cell>
          <cell r="DS15">
            <v>0</v>
          </cell>
          <cell r="DT15">
            <v>0</v>
          </cell>
          <cell r="DU15">
            <v>188000</v>
          </cell>
          <cell r="DV15">
            <v>20000</v>
          </cell>
          <cell r="EB15">
            <v>27523542</v>
          </cell>
          <cell r="EE15">
            <v>27523542</v>
          </cell>
          <cell r="EG15">
            <v>27523542</v>
          </cell>
          <cell r="EH15">
            <v>6507.16</v>
          </cell>
          <cell r="EI15">
            <v>-26813542</v>
          </cell>
        </row>
        <row r="16">
          <cell r="A16">
            <v>18637</v>
          </cell>
          <cell r="B16" t="str">
            <v>Providence Community Services, LLC (formerly Aspen Community Services)</v>
          </cell>
          <cell r="C16">
            <v>89</v>
          </cell>
          <cell r="D16" t="str">
            <v>522666</v>
          </cell>
          <cell r="E16">
            <v>18637</v>
          </cell>
          <cell r="F16" t="str">
            <v>09C00024</v>
          </cell>
          <cell r="G16" t="str">
            <v>522666</v>
          </cell>
          <cell r="H16" t="str">
            <v>00801</v>
          </cell>
          <cell r="I16" t="str">
            <v>138401</v>
          </cell>
          <cell r="K16" t="str">
            <v>Providence Comm. Serv. (formerly Aspen)</v>
          </cell>
          <cell r="L16" t="str">
            <v>MH120389</v>
          </cell>
          <cell r="M16" t="str">
            <v>New</v>
          </cell>
          <cell r="N16">
            <v>0</v>
          </cell>
          <cell r="O16">
            <v>38000</v>
          </cell>
          <cell r="P16">
            <v>50600</v>
          </cell>
          <cell r="Q16">
            <v>126000</v>
          </cell>
          <cell r="AU16">
            <v>15000</v>
          </cell>
          <cell r="AV16">
            <v>88300</v>
          </cell>
          <cell r="BG16">
            <v>25878</v>
          </cell>
          <cell r="BI16">
            <v>12495</v>
          </cell>
          <cell r="BJ16">
            <v>10487</v>
          </cell>
          <cell r="BK16">
            <v>35000</v>
          </cell>
          <cell r="CE16">
            <v>21000</v>
          </cell>
          <cell r="CI16">
            <v>39970</v>
          </cell>
          <cell r="CJ16">
            <v>17130</v>
          </cell>
          <cell r="CK16">
            <v>50160</v>
          </cell>
          <cell r="CL16">
            <v>13664</v>
          </cell>
          <cell r="CQ16">
            <v>23699</v>
          </cell>
          <cell r="CR16">
            <v>68876</v>
          </cell>
          <cell r="DD16">
            <v>75000</v>
          </cell>
          <cell r="DE16">
            <v>85000</v>
          </cell>
          <cell r="DJ16">
            <v>65800</v>
          </cell>
          <cell r="DK16">
            <v>243400</v>
          </cell>
          <cell r="DP16">
            <v>2047020</v>
          </cell>
          <cell r="DQ16">
            <v>1768216</v>
          </cell>
          <cell r="DR16">
            <v>136200</v>
          </cell>
          <cell r="DS16">
            <v>38350</v>
          </cell>
          <cell r="DT16">
            <v>8155</v>
          </cell>
          <cell r="DU16">
            <v>35000</v>
          </cell>
          <cell r="DV16">
            <v>0</v>
          </cell>
          <cell r="EB16">
            <v>5138400</v>
          </cell>
          <cell r="EE16">
            <v>5138400</v>
          </cell>
          <cell r="EG16">
            <v>5138400</v>
          </cell>
          <cell r="EH16">
            <v>1569</v>
          </cell>
          <cell r="EI16">
            <v>-5138400</v>
          </cell>
        </row>
        <row r="17">
          <cell r="A17">
            <v>18638</v>
          </cell>
          <cell r="B17" t="str">
            <v>SHIELDS for Families</v>
          </cell>
          <cell r="C17">
            <v>94</v>
          </cell>
          <cell r="D17" t="str">
            <v>503094</v>
          </cell>
          <cell r="E17">
            <v>18638</v>
          </cell>
          <cell r="F17" t="str">
            <v>09C00097</v>
          </cell>
          <cell r="G17" t="str">
            <v>503094</v>
          </cell>
          <cell r="H17" t="str">
            <v>00558</v>
          </cell>
          <cell r="I17" t="str">
            <v>90</v>
          </cell>
          <cell r="K17" t="str">
            <v>SHIELDS for Families Project, Inc.</v>
          </cell>
          <cell r="L17" t="str">
            <v>MH120253</v>
          </cell>
          <cell r="M17">
            <v>11</v>
          </cell>
          <cell r="N17">
            <v>0</v>
          </cell>
          <cell r="AN17">
            <v>74335</v>
          </cell>
          <cell r="BV17">
            <v>150000</v>
          </cell>
          <cell r="BY17">
            <v>272300</v>
          </cell>
          <cell r="BZ17">
            <v>270000</v>
          </cell>
          <cell r="CA17">
            <v>30000</v>
          </cell>
          <cell r="CC17">
            <v>25000</v>
          </cell>
          <cell r="CE17">
            <v>143800</v>
          </cell>
          <cell r="CI17">
            <v>21000</v>
          </cell>
          <cell r="CJ17">
            <v>9000</v>
          </cell>
          <cell r="CK17">
            <v>17000</v>
          </cell>
          <cell r="DC17">
            <v>64685</v>
          </cell>
          <cell r="DD17">
            <v>150000</v>
          </cell>
          <cell r="DP17">
            <v>3029132</v>
          </cell>
          <cell r="DQ17">
            <v>2616564</v>
          </cell>
          <cell r="DR17">
            <v>347883</v>
          </cell>
          <cell r="DS17">
            <v>29380</v>
          </cell>
          <cell r="DT17">
            <v>15820</v>
          </cell>
          <cell r="DU17">
            <v>221300</v>
          </cell>
          <cell r="DV17">
            <v>146965</v>
          </cell>
          <cell r="EB17">
            <v>7634164</v>
          </cell>
          <cell r="EE17">
            <v>7634164</v>
          </cell>
          <cell r="EG17">
            <v>7634164</v>
          </cell>
          <cell r="EH17">
            <v>443645.31</v>
          </cell>
          <cell r="EI17">
            <v>-7634164</v>
          </cell>
        </row>
        <row r="18">
          <cell r="A18">
            <v>18663</v>
          </cell>
          <cell r="B18" t="str">
            <v>Children's Institute Inc.</v>
          </cell>
          <cell r="C18">
            <v>23</v>
          </cell>
          <cell r="D18" t="str">
            <v>503058</v>
          </cell>
          <cell r="E18">
            <v>18663</v>
          </cell>
          <cell r="F18" t="str">
            <v>09C00016</v>
          </cell>
          <cell r="G18" t="str">
            <v>503058</v>
          </cell>
          <cell r="H18" t="str">
            <v>00591</v>
          </cell>
          <cell r="I18" t="str">
            <v>94</v>
          </cell>
          <cell r="K18" t="str">
            <v>Children's Institute Inc.</v>
          </cell>
          <cell r="L18" t="str">
            <v>MH120332</v>
          </cell>
          <cell r="M18" t="str">
            <v>New</v>
          </cell>
          <cell r="N18">
            <v>0</v>
          </cell>
          <cell r="O18">
            <v>247000</v>
          </cell>
          <cell r="P18">
            <v>270600</v>
          </cell>
          <cell r="AU18">
            <v>80000</v>
          </cell>
          <cell r="BG18">
            <v>138447</v>
          </cell>
          <cell r="BI18">
            <v>41790</v>
          </cell>
          <cell r="BY18">
            <v>150000</v>
          </cell>
          <cell r="CE18">
            <v>122300</v>
          </cell>
          <cell r="CG18">
            <v>9806</v>
          </cell>
          <cell r="CK18">
            <v>82000</v>
          </cell>
          <cell r="CQ18">
            <v>148799</v>
          </cell>
          <cell r="CR18">
            <v>6810</v>
          </cell>
          <cell r="DG18">
            <v>1182100</v>
          </cell>
          <cell r="DP18">
            <v>6763900</v>
          </cell>
          <cell r="DQ18">
            <v>5842657</v>
          </cell>
          <cell r="DR18">
            <v>617381</v>
          </cell>
          <cell r="DS18">
            <v>190255</v>
          </cell>
          <cell r="DT18">
            <v>60655</v>
          </cell>
          <cell r="DU18">
            <v>33850</v>
          </cell>
          <cell r="DV18">
            <v>33850</v>
          </cell>
          <cell r="EB18">
            <v>16022200</v>
          </cell>
          <cell r="EE18">
            <v>16022200</v>
          </cell>
          <cell r="EG18">
            <v>16022200</v>
          </cell>
          <cell r="EH18">
            <v>2298</v>
          </cell>
          <cell r="EI18">
            <v>-16022200</v>
          </cell>
        </row>
        <row r="19">
          <cell r="A19">
            <v>18664</v>
          </cell>
          <cell r="B19" t="str">
            <v>Olive Crest Treatment Centers, Inc.</v>
          </cell>
          <cell r="C19">
            <v>76</v>
          </cell>
          <cell r="D19" t="str">
            <v>506868</v>
          </cell>
          <cell r="E19">
            <v>18664</v>
          </cell>
          <cell r="F19" t="str">
            <v>09C00082</v>
          </cell>
          <cell r="G19" t="str">
            <v>506868</v>
          </cell>
          <cell r="H19" t="str">
            <v>00518</v>
          </cell>
          <cell r="I19" t="str">
            <v>86</v>
          </cell>
          <cell r="K19" t="str">
            <v>Olive Crest Treatment Centers, Inc</v>
          </cell>
          <cell r="L19" t="str">
            <v>MH120379</v>
          </cell>
          <cell r="M19" t="str">
            <v>New</v>
          </cell>
          <cell r="N19">
            <v>0</v>
          </cell>
          <cell r="BV19">
            <v>58000</v>
          </cell>
          <cell r="CG19">
            <v>13892</v>
          </cell>
          <cell r="CR19">
            <v>16344</v>
          </cell>
          <cell r="DP19">
            <v>697501</v>
          </cell>
          <cell r="DQ19">
            <v>602501</v>
          </cell>
          <cell r="DR19">
            <v>64764</v>
          </cell>
          <cell r="DS19">
            <v>0</v>
          </cell>
          <cell r="DT19">
            <v>0</v>
          </cell>
          <cell r="DU19">
            <v>1250</v>
          </cell>
          <cell r="DV19">
            <v>1250</v>
          </cell>
          <cell r="EB19">
            <v>1455502</v>
          </cell>
          <cell r="EE19">
            <v>1455502</v>
          </cell>
          <cell r="EG19">
            <v>1455502</v>
          </cell>
          <cell r="EI19">
            <v>-1455502</v>
          </cell>
        </row>
        <row r="20">
          <cell r="A20">
            <v>18665</v>
          </cell>
          <cell r="B20" t="str">
            <v>San Gabriel Children's  Center,  Inc.</v>
          </cell>
          <cell r="C20">
            <v>92</v>
          </cell>
          <cell r="D20" t="str">
            <v>506879</v>
          </cell>
          <cell r="E20">
            <v>18665</v>
          </cell>
          <cell r="F20" t="str">
            <v>09C00095</v>
          </cell>
          <cell r="G20" t="str">
            <v>506879</v>
          </cell>
          <cell r="H20" t="str">
            <v>00320</v>
          </cell>
          <cell r="I20" t="str">
            <v>69</v>
          </cell>
          <cell r="K20" t="str">
            <v>San Gabriel Children's Center (RTI)</v>
          </cell>
          <cell r="L20" t="str">
            <v>MH120392</v>
          </cell>
          <cell r="M20" t="str">
            <v>New</v>
          </cell>
          <cell r="N20">
            <v>0</v>
          </cell>
          <cell r="BV20">
            <v>56212</v>
          </cell>
          <cell r="CG20">
            <v>9807</v>
          </cell>
          <cell r="DK20">
            <v>424000</v>
          </cell>
          <cell r="DP20">
            <v>999500</v>
          </cell>
          <cell r="DQ20">
            <v>863368</v>
          </cell>
          <cell r="DR20">
            <v>126325</v>
          </cell>
          <cell r="EB20">
            <v>2479212</v>
          </cell>
          <cell r="EE20">
            <v>2479212</v>
          </cell>
          <cell r="EG20">
            <v>2479212</v>
          </cell>
          <cell r="EH20">
            <v>2</v>
          </cell>
          <cell r="EI20">
            <v>-2479212</v>
          </cell>
        </row>
        <row r="21">
          <cell r="A21">
            <v>18675</v>
          </cell>
          <cell r="B21" t="str">
            <v>Five Acres - The Boys' &amp; Girls' Aid Society of Los Angeles County</v>
          </cell>
          <cell r="C21">
            <v>45</v>
          </cell>
          <cell r="D21" t="str">
            <v>503065</v>
          </cell>
          <cell r="E21">
            <v>18675</v>
          </cell>
          <cell r="F21" t="str">
            <v>09C00047</v>
          </cell>
          <cell r="G21" t="str">
            <v>503065</v>
          </cell>
          <cell r="H21" t="str">
            <v>00647</v>
          </cell>
          <cell r="I21" t="str">
            <v>96</v>
          </cell>
          <cell r="K21" t="str">
            <v xml:space="preserve">Five Acres - The Boys and Girls Aid Society </v>
          </cell>
          <cell r="L21" t="str">
            <v>MH120349</v>
          </cell>
          <cell r="M21" t="str">
            <v>New</v>
          </cell>
          <cell r="N21">
            <v>0</v>
          </cell>
          <cell r="CG21">
            <v>29420</v>
          </cell>
          <cell r="CK21">
            <v>21900</v>
          </cell>
          <cell r="CR21">
            <v>32688</v>
          </cell>
          <cell r="DK21">
            <v>150000</v>
          </cell>
          <cell r="DP21">
            <v>5496050</v>
          </cell>
          <cell r="DQ21">
            <v>4747488</v>
          </cell>
          <cell r="DR21">
            <v>686454</v>
          </cell>
          <cell r="DU21">
            <v>1000</v>
          </cell>
          <cell r="DV21">
            <v>1000</v>
          </cell>
          <cell r="EB21">
            <v>11166000</v>
          </cell>
          <cell r="EE21">
            <v>11166000</v>
          </cell>
          <cell r="EG21">
            <v>11166000</v>
          </cell>
          <cell r="EI21">
            <v>-11166000</v>
          </cell>
        </row>
        <row r="22">
          <cell r="A22">
            <v>18681</v>
          </cell>
          <cell r="B22" t="str">
            <v>Children's Bureau of Southern California</v>
          </cell>
          <cell r="C22">
            <v>21</v>
          </cell>
          <cell r="D22" t="str">
            <v>503773</v>
          </cell>
          <cell r="E22">
            <v>18681</v>
          </cell>
          <cell r="F22" t="str">
            <v>09C00013</v>
          </cell>
          <cell r="G22" t="str">
            <v>503773</v>
          </cell>
          <cell r="H22" t="str">
            <v>00668</v>
          </cell>
          <cell r="I22" t="str">
            <v>98</v>
          </cell>
          <cell r="K22" t="str">
            <v>Children's Bureau of Southern California</v>
          </cell>
          <cell r="L22" t="str">
            <v>MH120330</v>
          </cell>
          <cell r="M22" t="str">
            <v>New</v>
          </cell>
          <cell r="N22">
            <v>0</v>
          </cell>
          <cell r="Y22">
            <v>3450</v>
          </cell>
          <cell r="AE22">
            <v>28000</v>
          </cell>
          <cell r="CD22">
            <v>400000</v>
          </cell>
          <cell r="CK22">
            <v>60000</v>
          </cell>
          <cell r="CL22">
            <v>16344</v>
          </cell>
          <cell r="CQ22">
            <v>23699</v>
          </cell>
          <cell r="DP22">
            <v>3951750</v>
          </cell>
          <cell r="DQ22">
            <v>3413522</v>
          </cell>
          <cell r="DR22">
            <v>498186</v>
          </cell>
          <cell r="DS22">
            <v>65325</v>
          </cell>
          <cell r="DT22">
            <v>35175</v>
          </cell>
          <cell r="DU22">
            <v>132300</v>
          </cell>
          <cell r="DV22">
            <v>100850</v>
          </cell>
          <cell r="EB22">
            <v>8728601</v>
          </cell>
          <cell r="EE22">
            <v>8728601</v>
          </cell>
          <cell r="EG22">
            <v>8728601</v>
          </cell>
          <cell r="EI22">
            <v>-8728601</v>
          </cell>
        </row>
        <row r="23">
          <cell r="A23">
            <v>18701</v>
          </cell>
          <cell r="B23" t="str">
            <v>Foothill Family Service</v>
          </cell>
          <cell r="C23">
            <v>47</v>
          </cell>
          <cell r="D23" t="str">
            <v>006757</v>
          </cell>
          <cell r="E23">
            <v>18701</v>
          </cell>
          <cell r="F23" t="str">
            <v>09C00050</v>
          </cell>
          <cell r="G23" t="str">
            <v>006757</v>
          </cell>
          <cell r="H23" t="str">
            <v>00724</v>
          </cell>
          <cell r="I23" t="str">
            <v>110</v>
          </cell>
          <cell r="K23" t="str">
            <v>Foothill Family Service</v>
          </cell>
          <cell r="L23" t="str">
            <v>MH120351</v>
          </cell>
          <cell r="M23" t="str">
            <v>New</v>
          </cell>
          <cell r="N23">
            <v>0</v>
          </cell>
          <cell r="O23">
            <v>114000</v>
          </cell>
          <cell r="P23">
            <v>132000</v>
          </cell>
          <cell r="AF23">
            <v>28678</v>
          </cell>
          <cell r="AU23">
            <v>39000</v>
          </cell>
          <cell r="BG23">
            <v>64695</v>
          </cell>
          <cell r="BI23">
            <v>26600</v>
          </cell>
          <cell r="BV23">
            <v>3100</v>
          </cell>
          <cell r="CK23">
            <v>50400</v>
          </cell>
          <cell r="DK23">
            <v>230000</v>
          </cell>
          <cell r="DP23">
            <v>4112650</v>
          </cell>
          <cell r="DQ23">
            <v>3552507</v>
          </cell>
          <cell r="DR23">
            <v>495448</v>
          </cell>
          <cell r="DS23">
            <v>325650</v>
          </cell>
          <cell r="DT23">
            <v>120072</v>
          </cell>
          <cell r="DU23">
            <v>950</v>
          </cell>
          <cell r="DV23">
            <v>950</v>
          </cell>
          <cell r="EB23">
            <v>9296700</v>
          </cell>
          <cell r="EE23">
            <v>9296700</v>
          </cell>
          <cell r="EG23">
            <v>9296700</v>
          </cell>
          <cell r="EI23">
            <v>-9296700</v>
          </cell>
        </row>
        <row r="24">
          <cell r="A24">
            <v>20466</v>
          </cell>
          <cell r="B24" t="str">
            <v>Barbour and Floyd Medical Associates</v>
          </cell>
          <cell r="C24">
            <v>10</v>
          </cell>
          <cell r="D24" t="str">
            <v>504252</v>
          </cell>
          <cell r="E24">
            <v>20466</v>
          </cell>
          <cell r="F24" t="str">
            <v>09C00122</v>
          </cell>
          <cell r="G24" t="str">
            <v>504252</v>
          </cell>
          <cell r="H24" t="str">
            <v>00175</v>
          </cell>
          <cell r="I24" t="str">
            <v>7</v>
          </cell>
          <cell r="K24" t="str">
            <v>Barbour and Floyd Associates</v>
          </cell>
          <cell r="L24" t="str">
            <v>MH120194</v>
          </cell>
          <cell r="M24">
            <v>7</v>
          </cell>
          <cell r="N24">
            <v>0</v>
          </cell>
          <cell r="AL24">
            <v>36256</v>
          </cell>
          <cell r="AN24">
            <v>160012</v>
          </cell>
          <cell r="BV24">
            <v>57600</v>
          </cell>
          <cell r="DP24">
            <v>100</v>
          </cell>
          <cell r="DQ24">
            <v>86</v>
          </cell>
          <cell r="DR24">
            <v>14</v>
          </cell>
          <cell r="DS24">
            <v>0</v>
          </cell>
          <cell r="DT24">
            <v>0</v>
          </cell>
          <cell r="DU24">
            <v>951822</v>
          </cell>
          <cell r="DV24">
            <v>791810</v>
          </cell>
          <cell r="EB24">
            <v>1997700</v>
          </cell>
          <cell r="EE24">
            <v>1997700</v>
          </cell>
          <cell r="EG24">
            <v>1997700</v>
          </cell>
          <cell r="EH24">
            <v>162547.82999999999</v>
          </cell>
          <cell r="EI24">
            <v>-1997700</v>
          </cell>
        </row>
        <row r="25">
          <cell r="A25">
            <v>20470</v>
          </cell>
          <cell r="B25" t="str">
            <v>Los Angeles Unified School District</v>
          </cell>
          <cell r="C25">
            <v>69</v>
          </cell>
          <cell r="D25" t="str">
            <v>503173</v>
          </cell>
          <cell r="E25">
            <v>20470</v>
          </cell>
          <cell r="F25" t="str">
            <v>09C00076</v>
          </cell>
          <cell r="G25" t="str">
            <v>503173</v>
          </cell>
          <cell r="H25" t="str">
            <v>00315</v>
          </cell>
          <cell r="I25" t="str">
            <v>66</v>
          </cell>
          <cell r="K25" t="str">
            <v>Los Angeles Unified School District</v>
          </cell>
          <cell r="L25" t="str">
            <v>MH120372</v>
          </cell>
          <cell r="M25" t="str">
            <v>New</v>
          </cell>
          <cell r="N25">
            <v>0</v>
          </cell>
          <cell r="AG25">
            <v>31775</v>
          </cell>
          <cell r="CK25">
            <v>6800</v>
          </cell>
          <cell r="DK25">
            <v>200000</v>
          </cell>
          <cell r="DP25">
            <v>1082300</v>
          </cell>
          <cell r="DQ25">
            <v>934891</v>
          </cell>
          <cell r="DR25">
            <v>147409</v>
          </cell>
          <cell r="DS25">
            <v>197795</v>
          </cell>
          <cell r="DT25">
            <v>74730</v>
          </cell>
          <cell r="DU25">
            <v>62800</v>
          </cell>
          <cell r="DV25">
            <v>62800</v>
          </cell>
          <cell r="EB25">
            <v>2801300</v>
          </cell>
          <cell r="EE25">
            <v>2801300</v>
          </cell>
          <cell r="EG25">
            <v>2801300</v>
          </cell>
          <cell r="EH25">
            <v>169630</v>
          </cell>
          <cell r="EI25">
            <v>-2801300</v>
          </cell>
        </row>
        <row r="26">
          <cell r="A26">
            <v>20486</v>
          </cell>
          <cell r="B26" t="str">
            <v>Hamburger Home dba Aviva Family and Children's Services dba Aviva Center</v>
          </cell>
          <cell r="C26">
            <v>51</v>
          </cell>
          <cell r="D26" t="str">
            <v>504374</v>
          </cell>
          <cell r="E26">
            <v>20486</v>
          </cell>
          <cell r="F26" t="str">
            <v>09C00055</v>
          </cell>
          <cell r="G26" t="str">
            <v>504374</v>
          </cell>
          <cell r="H26" t="str">
            <v>00174</v>
          </cell>
          <cell r="I26" t="str">
            <v>6</v>
          </cell>
          <cell r="K26" t="str">
            <v>Hamburger Home (Aviva Center)</v>
          </cell>
          <cell r="L26" t="str">
            <v>MH120355</v>
          </cell>
          <cell r="M26" t="str">
            <v>New</v>
          </cell>
          <cell r="N26">
            <v>0</v>
          </cell>
          <cell r="BV26">
            <v>12100</v>
          </cell>
          <cell r="CI26">
            <v>32410</v>
          </cell>
          <cell r="CJ26">
            <v>13890</v>
          </cell>
          <cell r="DA26">
            <v>50000</v>
          </cell>
          <cell r="DD26">
            <v>75000</v>
          </cell>
          <cell r="DK26">
            <v>130800</v>
          </cell>
          <cell r="DP26">
            <v>2729600</v>
          </cell>
          <cell r="DQ26">
            <v>2357828</v>
          </cell>
          <cell r="DR26">
            <v>371772</v>
          </cell>
          <cell r="DS26">
            <v>83005</v>
          </cell>
          <cell r="DT26">
            <v>44695</v>
          </cell>
          <cell r="EB26">
            <v>5901100</v>
          </cell>
          <cell r="EE26">
            <v>5901100</v>
          </cell>
          <cell r="EG26">
            <v>5901100</v>
          </cell>
          <cell r="EH26">
            <v>200000</v>
          </cell>
          <cell r="EI26">
            <v>-5901100</v>
          </cell>
        </row>
        <row r="27">
          <cell r="A27">
            <v>20906</v>
          </cell>
          <cell r="B27" t="str">
            <v>Intercommunity Child Guidance Center</v>
          </cell>
          <cell r="C27">
            <v>62</v>
          </cell>
          <cell r="D27" t="str">
            <v>501190</v>
          </cell>
          <cell r="E27">
            <v>20906</v>
          </cell>
          <cell r="F27" t="str">
            <v>09C00066</v>
          </cell>
          <cell r="G27" t="str">
            <v>501190</v>
          </cell>
          <cell r="H27" t="str">
            <v>00195</v>
          </cell>
          <cell r="I27" t="str">
            <v>25</v>
          </cell>
          <cell r="K27" t="str">
            <v>Intercommunity Child Guidance Center</v>
          </cell>
          <cell r="L27" t="str">
            <v>MH120365</v>
          </cell>
          <cell r="M27" t="str">
            <v>New</v>
          </cell>
          <cell r="N27">
            <v>0</v>
          </cell>
          <cell r="O27">
            <v>51600</v>
          </cell>
          <cell r="P27">
            <v>40842</v>
          </cell>
          <cell r="AU27">
            <v>17900</v>
          </cell>
          <cell r="AY27">
            <v>7558</v>
          </cell>
          <cell r="BG27">
            <v>19068</v>
          </cell>
          <cell r="BY27">
            <v>200000</v>
          </cell>
          <cell r="CE27">
            <v>73500</v>
          </cell>
          <cell r="CK27">
            <v>50160</v>
          </cell>
          <cell r="CL27">
            <v>13664</v>
          </cell>
          <cell r="CQ27">
            <v>23699</v>
          </cell>
          <cell r="DJ27">
            <v>163300</v>
          </cell>
          <cell r="DK27">
            <v>348800</v>
          </cell>
          <cell r="DP27">
            <v>1839870</v>
          </cell>
          <cell r="DQ27">
            <v>1589279</v>
          </cell>
          <cell r="DR27">
            <v>194160</v>
          </cell>
          <cell r="DS27">
            <v>195390</v>
          </cell>
          <cell r="DT27">
            <v>105210</v>
          </cell>
          <cell r="DU27">
            <v>12300</v>
          </cell>
          <cell r="DV27">
            <v>12300</v>
          </cell>
          <cell r="EB27">
            <v>4958600</v>
          </cell>
          <cell r="EE27">
            <v>4958600</v>
          </cell>
          <cell r="EG27">
            <v>4958600</v>
          </cell>
          <cell r="EH27">
            <v>2251</v>
          </cell>
          <cell r="EI27">
            <v>-4958600</v>
          </cell>
        </row>
        <row r="28">
          <cell r="A28">
            <v>20961</v>
          </cell>
          <cell r="B28" t="str">
            <v>SunBridge Harbor View Rehabilitation Center, Inc. dba Harbor View Adolescent Center</v>
          </cell>
          <cell r="C28">
            <v>135</v>
          </cell>
          <cell r="D28" t="str">
            <v>503164</v>
          </cell>
          <cell r="E28">
            <v>20961</v>
          </cell>
          <cell r="F28" t="str">
            <v>09C00133</v>
          </cell>
          <cell r="G28" t="str">
            <v>503164</v>
          </cell>
          <cell r="H28" t="str">
            <v>00206</v>
          </cell>
          <cell r="I28" t="str">
            <v>35</v>
          </cell>
          <cell r="K28" t="str">
            <v>Harbor View Rehab. Center (Regency Health)</v>
          </cell>
          <cell r="L28" t="str">
            <v>MH120265</v>
          </cell>
          <cell r="M28">
            <v>8</v>
          </cell>
          <cell r="N28">
            <v>0</v>
          </cell>
          <cell r="O28">
            <v>95000</v>
          </cell>
          <cell r="P28">
            <v>110000</v>
          </cell>
          <cell r="AU28">
            <v>32500</v>
          </cell>
          <cell r="BG28">
            <v>14982</v>
          </cell>
          <cell r="BI28">
            <v>1750</v>
          </cell>
          <cell r="DJ28">
            <v>50200</v>
          </cell>
          <cell r="DK28">
            <v>100000</v>
          </cell>
          <cell r="DP28">
            <v>2483875</v>
          </cell>
          <cell r="DQ28">
            <v>2145571</v>
          </cell>
          <cell r="DR28">
            <v>323322</v>
          </cell>
          <cell r="DS28">
            <v>18753</v>
          </cell>
          <cell r="DT28">
            <v>8348</v>
          </cell>
          <cell r="EB28">
            <v>5384301</v>
          </cell>
          <cell r="EE28">
            <v>5384301</v>
          </cell>
          <cell r="EG28">
            <v>5384301</v>
          </cell>
          <cell r="EH28">
            <v>179617.25</v>
          </cell>
          <cell r="EI28">
            <v>-5384301</v>
          </cell>
        </row>
        <row r="29">
          <cell r="A29">
            <v>20966</v>
          </cell>
          <cell r="B29" t="str">
            <v>Homes for Life Foundation</v>
          </cell>
          <cell r="C29">
            <v>59</v>
          </cell>
          <cell r="D29" t="str">
            <v>502847</v>
          </cell>
          <cell r="E29">
            <v>20966</v>
          </cell>
          <cell r="F29" t="str">
            <v>09C00063</v>
          </cell>
          <cell r="G29" t="str">
            <v>502847</v>
          </cell>
          <cell r="H29" t="str">
            <v>00508</v>
          </cell>
          <cell r="I29" t="str">
            <v>85</v>
          </cell>
          <cell r="K29" t="str">
            <v>Homes for Life Foundation</v>
          </cell>
          <cell r="L29" t="str">
            <v>MH120363</v>
          </cell>
          <cell r="M29" t="str">
            <v>New</v>
          </cell>
          <cell r="N29">
            <v>0</v>
          </cell>
          <cell r="AL29">
            <v>6200</v>
          </cell>
          <cell r="AN29">
            <v>44000</v>
          </cell>
          <cell r="BV29">
            <v>694900</v>
          </cell>
          <cell r="DO29">
            <v>259500</v>
          </cell>
          <cell r="DP29">
            <v>137350</v>
          </cell>
          <cell r="DQ29">
            <v>118643</v>
          </cell>
          <cell r="DR29">
            <v>18707</v>
          </cell>
          <cell r="DS29">
            <v>0</v>
          </cell>
          <cell r="DT29">
            <v>0</v>
          </cell>
          <cell r="DU29">
            <v>169750</v>
          </cell>
          <cell r="DV29">
            <v>125750</v>
          </cell>
          <cell r="DZ29">
            <v>160000</v>
          </cell>
          <cell r="EB29">
            <v>1734800</v>
          </cell>
          <cell r="EE29">
            <v>1734800</v>
          </cell>
          <cell r="EG29">
            <v>1734800</v>
          </cell>
          <cell r="EH29">
            <v>46212</v>
          </cell>
          <cell r="EI29">
            <v>-1734800</v>
          </cell>
        </row>
        <row r="30">
          <cell r="A30">
            <v>21526</v>
          </cell>
          <cell r="B30" t="str">
            <v>ASC Treatment Group dba The Anne Sippi Clinic</v>
          </cell>
          <cell r="C30">
            <v>6</v>
          </cell>
          <cell r="D30" t="str">
            <v>520605</v>
          </cell>
          <cell r="E30">
            <v>21526</v>
          </cell>
          <cell r="F30" t="str">
            <v>09C00022</v>
          </cell>
          <cell r="G30" t="str">
            <v>520605</v>
          </cell>
          <cell r="H30" t="str">
            <v>00409</v>
          </cell>
          <cell r="I30" t="str">
            <v>78</v>
          </cell>
          <cell r="K30" t="str">
            <v>ASC Treatment Group (The Anne Sippi Clinic)</v>
          </cell>
          <cell r="L30" t="str">
            <v>MH120319</v>
          </cell>
          <cell r="M30" t="str">
            <v>New</v>
          </cell>
          <cell r="N30">
            <v>0</v>
          </cell>
          <cell r="BV30">
            <v>36300</v>
          </cell>
          <cell r="DP30">
            <v>13400</v>
          </cell>
          <cell r="DQ30">
            <v>11575</v>
          </cell>
          <cell r="DR30">
            <v>1825</v>
          </cell>
          <cell r="DU30">
            <v>839200</v>
          </cell>
          <cell r="DV30">
            <v>371200</v>
          </cell>
          <cell r="DY30">
            <v>96300</v>
          </cell>
          <cell r="DZ30">
            <v>0</v>
          </cell>
          <cell r="EB30">
            <v>1369800</v>
          </cell>
          <cell r="EE30">
            <v>1369800</v>
          </cell>
          <cell r="EG30">
            <v>1369800</v>
          </cell>
          <cell r="EI30">
            <v>-1369800</v>
          </cell>
        </row>
        <row r="31">
          <cell r="A31">
            <v>21527</v>
          </cell>
          <cell r="C31">
            <v>131</v>
          </cell>
          <cell r="D31" t="str">
            <v>521070</v>
          </cell>
          <cell r="E31">
            <v>21527</v>
          </cell>
          <cell r="F31" t="str">
            <v>09C00018</v>
          </cell>
          <cell r="G31" t="str">
            <v>521070</v>
          </cell>
          <cell r="H31" t="str">
            <v>00666</v>
          </cell>
          <cell r="J31" t="str">
            <v>FEE FOR SERVICE</v>
          </cell>
          <cell r="K31" t="str">
            <v>College Hospital - Cerritos</v>
          </cell>
          <cell r="L31" t="str">
            <v>MH190014</v>
          </cell>
          <cell r="M31">
            <v>2</v>
          </cell>
          <cell r="N31">
            <v>0</v>
          </cell>
          <cell r="BV31">
            <v>907400</v>
          </cell>
          <cell r="DY31">
            <v>409000</v>
          </cell>
          <cell r="DZ31">
            <v>0</v>
          </cell>
          <cell r="EB31">
            <v>1316400</v>
          </cell>
          <cell r="EE31">
            <v>1316400</v>
          </cell>
          <cell r="EG31">
            <v>1316400</v>
          </cell>
          <cell r="EI31">
            <v>-1316400</v>
          </cell>
        </row>
        <row r="32">
          <cell r="A32">
            <v>21528</v>
          </cell>
          <cell r="B32" t="str">
            <v>Topanga-Roscoe Corporation dba Topanga West Guest Home</v>
          </cell>
          <cell r="C32">
            <v>117</v>
          </cell>
          <cell r="D32" t="str">
            <v>502829</v>
          </cell>
          <cell r="E32">
            <v>21528</v>
          </cell>
          <cell r="F32" t="str">
            <v>09C00107</v>
          </cell>
          <cell r="G32" t="str">
            <v>502829</v>
          </cell>
          <cell r="H32" t="str">
            <v>00630</v>
          </cell>
          <cell r="I32" t="str">
            <v>95</v>
          </cell>
          <cell r="K32" t="str">
            <v>Topanga-Roscoe Corporation (Topanga West)</v>
          </cell>
          <cell r="L32" t="str">
            <v>MH120412</v>
          </cell>
          <cell r="M32">
            <v>1</v>
          </cell>
          <cell r="N32">
            <v>-24344</v>
          </cell>
          <cell r="T32">
            <v>782</v>
          </cell>
          <cell r="BO32">
            <v>2206</v>
          </cell>
          <cell r="BS32">
            <v>50162</v>
          </cell>
          <cell r="BV32">
            <v>6500</v>
          </cell>
          <cell r="DU32">
            <v>225656</v>
          </cell>
          <cell r="DV32">
            <v>223450</v>
          </cell>
          <cell r="EB32">
            <v>508756</v>
          </cell>
          <cell r="EE32">
            <v>508756</v>
          </cell>
          <cell r="EG32">
            <v>508756</v>
          </cell>
          <cell r="EI32">
            <v>-533100</v>
          </cell>
        </row>
        <row r="33">
          <cell r="A33">
            <v>21568</v>
          </cell>
          <cell r="B33" t="str">
            <v>St. Francis Medical Center</v>
          </cell>
          <cell r="C33">
            <v>101</v>
          </cell>
          <cell r="D33" t="str">
            <v>502702</v>
          </cell>
          <cell r="E33">
            <v>21568</v>
          </cell>
          <cell r="F33" t="str">
            <v>09C00129</v>
          </cell>
          <cell r="G33" t="str">
            <v>502702</v>
          </cell>
          <cell r="H33" t="str">
            <v>01366</v>
          </cell>
          <cell r="I33" t="str">
            <v>117</v>
          </cell>
          <cell r="K33" t="str">
            <v>St. Francis Medical Center - Children's Couns. Ctr.</v>
          </cell>
          <cell r="L33" t="str">
            <v>MH120258</v>
          </cell>
          <cell r="M33">
            <v>5</v>
          </cell>
          <cell r="N33">
            <v>0</v>
          </cell>
          <cell r="CE33">
            <v>28400</v>
          </cell>
          <cell r="DP33">
            <v>1000200</v>
          </cell>
          <cell r="DQ33">
            <v>863973</v>
          </cell>
          <cell r="DR33">
            <v>136227</v>
          </cell>
          <cell r="DS33">
            <v>6500</v>
          </cell>
          <cell r="DT33">
            <v>3500</v>
          </cell>
          <cell r="EB33">
            <v>2038800</v>
          </cell>
          <cell r="EE33">
            <v>2038800</v>
          </cell>
          <cell r="EG33">
            <v>2038800</v>
          </cell>
          <cell r="EH33">
            <v>2377</v>
          </cell>
          <cell r="EI33">
            <v>-2038800</v>
          </cell>
        </row>
        <row r="34">
          <cell r="A34">
            <v>21569</v>
          </cell>
          <cell r="B34" t="str">
            <v>Optimist Boys' Home and Ranch, Inc.</v>
          </cell>
          <cell r="C34">
            <v>78</v>
          </cell>
          <cell r="D34" t="str">
            <v>503235</v>
          </cell>
          <cell r="E34">
            <v>21569</v>
          </cell>
          <cell r="F34" t="str">
            <v>09C00126</v>
          </cell>
          <cell r="G34" t="str">
            <v>503235</v>
          </cell>
          <cell r="H34" t="str">
            <v>00781</v>
          </cell>
          <cell r="I34" t="str">
            <v>115</v>
          </cell>
          <cell r="K34" t="str">
            <v>Optimist Boy's Home &amp; Ranch, Inc (Optimist Youth Homes &amp; Family Svcs)</v>
          </cell>
          <cell r="L34" t="str">
            <v>MH120244</v>
          </cell>
          <cell r="M34">
            <v>9</v>
          </cell>
          <cell r="N34">
            <v>0</v>
          </cell>
          <cell r="O34">
            <v>57000</v>
          </cell>
          <cell r="P34">
            <v>55000</v>
          </cell>
          <cell r="AU34">
            <v>16300</v>
          </cell>
          <cell r="BG34">
            <v>28466</v>
          </cell>
          <cell r="CI34">
            <v>20020</v>
          </cell>
          <cell r="CJ34">
            <v>8580</v>
          </cell>
          <cell r="DA34">
            <v>50000</v>
          </cell>
          <cell r="DD34">
            <v>75000</v>
          </cell>
          <cell r="DP34">
            <v>2518200</v>
          </cell>
          <cell r="DQ34">
            <v>2175221</v>
          </cell>
          <cell r="DR34">
            <v>314513</v>
          </cell>
          <cell r="DS34">
            <v>0</v>
          </cell>
          <cell r="DT34">
            <v>0</v>
          </cell>
          <cell r="DU34">
            <v>6500</v>
          </cell>
          <cell r="DV34">
            <v>6500</v>
          </cell>
          <cell r="EB34">
            <v>5331300</v>
          </cell>
          <cell r="EE34">
            <v>5331300</v>
          </cell>
          <cell r="EG34">
            <v>5331300</v>
          </cell>
          <cell r="EH34">
            <v>38741.339999999997</v>
          </cell>
          <cell r="EI34">
            <v>-5331300</v>
          </cell>
        </row>
        <row r="35">
          <cell r="A35">
            <v>21570</v>
          </cell>
          <cell r="B35" t="str">
            <v>Counseling and Research Associates, Inc. dba Masada Homes</v>
          </cell>
          <cell r="C35">
            <v>27</v>
          </cell>
          <cell r="D35" t="str">
            <v>503234</v>
          </cell>
          <cell r="E35">
            <v>21570</v>
          </cell>
          <cell r="F35" t="str">
            <v>09C00030</v>
          </cell>
          <cell r="G35" t="str">
            <v>503234</v>
          </cell>
          <cell r="H35" t="str">
            <v>00779</v>
          </cell>
          <cell r="I35" t="str">
            <v>113</v>
          </cell>
          <cell r="K35" t="str">
            <v>Counseling  &amp; Research Assn, Inc (Masada Homes)</v>
          </cell>
          <cell r="L35" t="str">
            <v>MH120209</v>
          </cell>
          <cell r="M35">
            <v>9</v>
          </cell>
          <cell r="N35">
            <v>250000</v>
          </cell>
          <cell r="O35">
            <v>95000</v>
          </cell>
          <cell r="P35">
            <v>110000</v>
          </cell>
          <cell r="Q35">
            <v>70000</v>
          </cell>
          <cell r="AU35">
            <v>32500</v>
          </cell>
          <cell r="AV35">
            <v>53000</v>
          </cell>
          <cell r="BG35">
            <v>56932</v>
          </cell>
          <cell r="BI35">
            <v>6650</v>
          </cell>
          <cell r="BJ35">
            <v>6674</v>
          </cell>
          <cell r="BK35">
            <v>21000</v>
          </cell>
          <cell r="BV35">
            <v>24900</v>
          </cell>
          <cell r="CI35">
            <v>39970</v>
          </cell>
          <cell r="CJ35">
            <v>17130</v>
          </cell>
          <cell r="DD35">
            <v>75000</v>
          </cell>
          <cell r="DP35">
            <v>3910850</v>
          </cell>
          <cell r="DQ35">
            <v>3378192</v>
          </cell>
          <cell r="DR35">
            <v>469052</v>
          </cell>
          <cell r="DS35">
            <v>46670</v>
          </cell>
          <cell r="DT35">
            <v>18480</v>
          </cell>
          <cell r="DU35">
            <v>26000</v>
          </cell>
          <cell r="DV35">
            <v>5000</v>
          </cell>
          <cell r="EB35">
            <v>8463000</v>
          </cell>
          <cell r="EE35">
            <v>8463000</v>
          </cell>
          <cell r="EG35">
            <v>8463000</v>
          </cell>
          <cell r="EH35">
            <v>4181</v>
          </cell>
          <cell r="EI35">
            <v>-8213000</v>
          </cell>
        </row>
        <row r="36">
          <cell r="A36">
            <v>21571</v>
          </cell>
          <cell r="C36">
            <v>34</v>
          </cell>
          <cell r="D36" t="str">
            <v>526993</v>
          </cell>
          <cell r="E36">
            <v>21571</v>
          </cell>
          <cell r="F36" t="str">
            <v>09C00075</v>
          </cell>
          <cell r="G36" t="str">
            <v>526993</v>
          </cell>
          <cell r="H36" t="str">
            <v>00156</v>
          </cell>
          <cell r="K36" t="str">
            <v>Eastfield Ming Quong, Inc.</v>
          </cell>
          <cell r="L36" t="str">
            <v>MH120213</v>
          </cell>
          <cell r="M36">
            <v>10</v>
          </cell>
          <cell r="N36">
            <v>320000</v>
          </cell>
          <cell r="O36">
            <v>86000</v>
          </cell>
          <cell r="P36">
            <v>92400</v>
          </cell>
          <cell r="AU36">
            <v>27300</v>
          </cell>
          <cell r="BG36">
            <v>55978</v>
          </cell>
          <cell r="CG36">
            <v>9806</v>
          </cell>
          <cell r="CQ36">
            <v>54480</v>
          </cell>
          <cell r="DP36">
            <v>2452000</v>
          </cell>
          <cell r="DQ36">
            <v>2118038</v>
          </cell>
          <cell r="DR36">
            <v>213698</v>
          </cell>
          <cell r="DU36">
            <v>16250</v>
          </cell>
          <cell r="DV36">
            <v>16250</v>
          </cell>
          <cell r="EB36">
            <v>5142200</v>
          </cell>
          <cell r="EE36">
            <v>5142200</v>
          </cell>
          <cell r="EG36">
            <v>5142200</v>
          </cell>
          <cell r="EH36">
            <v>52385</v>
          </cell>
          <cell r="EI36">
            <v>-4822200</v>
          </cell>
        </row>
        <row r="37">
          <cell r="A37">
            <v>21573</v>
          </cell>
          <cell r="B37" t="str">
            <v>Phoenix Houses of Los Angeles, Inc.</v>
          </cell>
          <cell r="C37">
            <v>87</v>
          </cell>
          <cell r="D37" t="str">
            <v>500877</v>
          </cell>
          <cell r="E37">
            <v>21573</v>
          </cell>
          <cell r="F37" t="str">
            <v>09C00090</v>
          </cell>
          <cell r="G37" t="str">
            <v>500877</v>
          </cell>
          <cell r="H37" t="str">
            <v>00805</v>
          </cell>
          <cell r="I37" t="str">
            <v>119</v>
          </cell>
          <cell r="K37" t="str">
            <v>Phoenix Houses of Los Angeles, Inc.</v>
          </cell>
          <cell r="L37" t="str">
            <v>MH120250</v>
          </cell>
          <cell r="M37">
            <v>5</v>
          </cell>
          <cell r="N37">
            <v>0</v>
          </cell>
          <cell r="DP37">
            <v>924500</v>
          </cell>
          <cell r="DQ37">
            <v>798583</v>
          </cell>
          <cell r="DR37">
            <v>125917</v>
          </cell>
          <cell r="DS37">
            <v>5655</v>
          </cell>
          <cell r="DT37">
            <v>3045</v>
          </cell>
          <cell r="DU37">
            <v>5950</v>
          </cell>
          <cell r="DV37">
            <v>5950</v>
          </cell>
          <cell r="EB37">
            <v>1869600</v>
          </cell>
          <cell r="EE37">
            <v>1869600</v>
          </cell>
          <cell r="EG37">
            <v>1869600</v>
          </cell>
          <cell r="EH37">
            <v>101981</v>
          </cell>
          <cell r="EI37">
            <v>-1869600</v>
          </cell>
        </row>
        <row r="38">
          <cell r="A38">
            <v>21574</v>
          </cell>
          <cell r="B38" t="str">
            <v>D'Veal Corporation dba D'Veal Family and Youth Services</v>
          </cell>
          <cell r="C38">
            <v>33</v>
          </cell>
          <cell r="D38" t="str">
            <v>525301</v>
          </cell>
          <cell r="E38">
            <v>21574</v>
          </cell>
          <cell r="F38" t="str">
            <v>09C00037</v>
          </cell>
          <cell r="G38" t="str">
            <v>525301</v>
          </cell>
          <cell r="H38" t="str">
            <v>00778</v>
          </cell>
          <cell r="I38" t="str">
            <v>112</v>
          </cell>
          <cell r="K38" t="str">
            <v>D'Veal Corp (D'Veal Family and Youth Svcs)</v>
          </cell>
          <cell r="L38" t="str">
            <v>MH120212</v>
          </cell>
          <cell r="M38">
            <v>5</v>
          </cell>
          <cell r="N38">
            <v>0</v>
          </cell>
          <cell r="BY38">
            <v>140000</v>
          </cell>
          <cell r="CI38">
            <v>24990</v>
          </cell>
          <cell r="CJ38">
            <v>10710</v>
          </cell>
          <cell r="DD38">
            <v>75000</v>
          </cell>
          <cell r="DP38">
            <v>2544850</v>
          </cell>
          <cell r="DQ38">
            <v>2198241</v>
          </cell>
          <cell r="DR38">
            <v>346609</v>
          </cell>
          <cell r="DS38">
            <v>48750</v>
          </cell>
          <cell r="DT38">
            <v>26250</v>
          </cell>
          <cell r="DU38">
            <v>1000</v>
          </cell>
          <cell r="DV38">
            <v>1000</v>
          </cell>
          <cell r="EB38">
            <v>5417400</v>
          </cell>
          <cell r="EE38">
            <v>5417400</v>
          </cell>
          <cell r="EG38">
            <v>5417400</v>
          </cell>
          <cell r="EH38">
            <v>210805.83</v>
          </cell>
          <cell r="EI38">
            <v>-5417400</v>
          </cell>
        </row>
        <row r="39">
          <cell r="A39">
            <v>21575</v>
          </cell>
          <cell r="B39" t="str">
            <v>ChildNet Youth and Family Services, Inc.</v>
          </cell>
          <cell r="C39">
            <v>20</v>
          </cell>
          <cell r="D39" t="str">
            <v>503074</v>
          </cell>
          <cell r="E39">
            <v>21575</v>
          </cell>
          <cell r="F39" t="str">
            <v>09C00134</v>
          </cell>
          <cell r="G39" t="str">
            <v>503074</v>
          </cell>
          <cell r="H39" t="str">
            <v>00783</v>
          </cell>
          <cell r="I39" t="str">
            <v>116</v>
          </cell>
          <cell r="K39" t="str">
            <v>ChildNet Youth and Family Services, Inc.</v>
          </cell>
          <cell r="L39" t="str">
            <v>MH120203</v>
          </cell>
          <cell r="M39">
            <v>9</v>
          </cell>
          <cell r="N39">
            <v>0</v>
          </cell>
          <cell r="CG39">
            <v>9806</v>
          </cell>
          <cell r="CI39">
            <v>13720</v>
          </cell>
          <cell r="CJ39">
            <v>5880</v>
          </cell>
          <cell r="CQ39">
            <v>32688</v>
          </cell>
          <cell r="DP39">
            <v>4019000</v>
          </cell>
          <cell r="DQ39">
            <v>3471612</v>
          </cell>
          <cell r="DR39">
            <v>504893</v>
          </cell>
          <cell r="DU39">
            <v>7650</v>
          </cell>
          <cell r="DV39">
            <v>7650</v>
          </cell>
          <cell r="EB39">
            <v>8072899</v>
          </cell>
          <cell r="EE39">
            <v>8072899</v>
          </cell>
          <cell r="EG39">
            <v>8072899</v>
          </cell>
          <cell r="EI39">
            <v>-8072899</v>
          </cell>
        </row>
        <row r="40">
          <cell r="A40">
            <v>23100</v>
          </cell>
          <cell r="B40" t="str">
            <v>AIDS Project Los Angeles</v>
          </cell>
          <cell r="C40">
            <v>3</v>
          </cell>
          <cell r="D40">
            <v>501162</v>
          </cell>
          <cell r="E40">
            <v>23100</v>
          </cell>
          <cell r="F40" t="str">
            <v>09C00020</v>
          </cell>
          <cell r="G40" t="str">
            <v>501162</v>
          </cell>
          <cell r="H40" t="str">
            <v>00269</v>
          </cell>
          <cell r="I40" t="str">
            <v>52</v>
          </cell>
          <cell r="K40" t="str">
            <v>Aids Project Los Angeles, Incorporated</v>
          </cell>
          <cell r="L40" t="str">
            <v>MH120316</v>
          </cell>
          <cell r="M40" t="str">
            <v>New</v>
          </cell>
          <cell r="N40">
            <v>0</v>
          </cell>
          <cell r="BV40">
            <v>70800</v>
          </cell>
          <cell r="CX40">
            <v>37500</v>
          </cell>
          <cell r="EB40">
            <v>108300</v>
          </cell>
          <cell r="EE40">
            <v>108300</v>
          </cell>
          <cell r="EG40">
            <v>108300</v>
          </cell>
          <cell r="EI40">
            <v>-108300</v>
          </cell>
        </row>
        <row r="41">
          <cell r="A41">
            <v>23103</v>
          </cell>
          <cell r="B41" t="str">
            <v>Alma Family Services</v>
          </cell>
          <cell r="C41">
            <v>8</v>
          </cell>
          <cell r="D41" t="str">
            <v>501166</v>
          </cell>
          <cell r="E41">
            <v>23103</v>
          </cell>
          <cell r="F41" t="str">
            <v>09C00025</v>
          </cell>
          <cell r="G41" t="str">
            <v>501166</v>
          </cell>
          <cell r="H41" t="str">
            <v>00173</v>
          </cell>
          <cell r="I41" t="str">
            <v>5</v>
          </cell>
          <cell r="K41" t="str">
            <v>Alma Family Services</v>
          </cell>
          <cell r="L41" t="str">
            <v>MH120320</v>
          </cell>
          <cell r="M41" t="str">
            <v>New</v>
          </cell>
          <cell r="N41">
            <v>0</v>
          </cell>
          <cell r="O41">
            <v>38000</v>
          </cell>
          <cell r="P41">
            <v>50600</v>
          </cell>
          <cell r="Q41">
            <v>112000</v>
          </cell>
          <cell r="R41">
            <v>88600</v>
          </cell>
          <cell r="W41">
            <v>30400</v>
          </cell>
          <cell r="AL41">
            <v>123500</v>
          </cell>
          <cell r="AM41">
            <v>6500</v>
          </cell>
          <cell r="AO41">
            <v>1600</v>
          </cell>
          <cell r="AU41">
            <v>15000</v>
          </cell>
          <cell r="AV41">
            <v>77700</v>
          </cell>
          <cell r="BG41">
            <v>25878</v>
          </cell>
          <cell r="BI41">
            <v>6650</v>
          </cell>
          <cell r="BJ41">
            <v>9534</v>
          </cell>
          <cell r="BK41">
            <v>28000</v>
          </cell>
          <cell r="BV41">
            <v>163600</v>
          </cell>
          <cell r="BY41">
            <v>517200</v>
          </cell>
          <cell r="CC41">
            <v>25000</v>
          </cell>
          <cell r="CI41">
            <v>35000</v>
          </cell>
          <cell r="CJ41">
            <v>15000</v>
          </cell>
          <cell r="CK41">
            <v>50160</v>
          </cell>
          <cell r="CL41">
            <v>13664</v>
          </cell>
          <cell r="DA41">
            <v>50000</v>
          </cell>
          <cell r="DP41">
            <v>1997720</v>
          </cell>
          <cell r="DQ41">
            <v>1725630</v>
          </cell>
          <cell r="DR41">
            <v>223014</v>
          </cell>
          <cell r="DS41">
            <v>23855</v>
          </cell>
          <cell r="DT41">
            <v>6195</v>
          </cell>
          <cell r="DU41">
            <v>544250</v>
          </cell>
          <cell r="DV41">
            <v>516250</v>
          </cell>
          <cell r="EB41">
            <v>6520500</v>
          </cell>
          <cell r="EI41">
            <v>-6520500</v>
          </cell>
        </row>
        <row r="42">
          <cell r="A42">
            <v>23105</v>
          </cell>
          <cell r="B42" t="str">
            <v>Braswell Rehabilitation Institute for Development of Growth and Education Svs., Inc.</v>
          </cell>
          <cell r="C42">
            <v>9</v>
          </cell>
          <cell r="D42" t="str">
            <v>501169</v>
          </cell>
          <cell r="E42">
            <v>23105</v>
          </cell>
          <cell r="F42" t="str">
            <v>09C00006</v>
          </cell>
          <cell r="G42" t="str">
            <v>501169</v>
          </cell>
          <cell r="H42" t="str">
            <v>00274</v>
          </cell>
          <cell r="I42" t="str">
            <v>53</v>
          </cell>
          <cell r="K42" t="str">
            <v>B.R.I.D.G.E.S.</v>
          </cell>
          <cell r="L42" t="str">
            <v>MH120322</v>
          </cell>
          <cell r="M42" t="str">
            <v>New</v>
          </cell>
          <cell r="N42">
            <v>0</v>
          </cell>
          <cell r="BO42">
            <v>50000</v>
          </cell>
          <cell r="BS42">
            <v>130200</v>
          </cell>
          <cell r="BV42">
            <v>622700</v>
          </cell>
          <cell r="DP42">
            <v>269450</v>
          </cell>
          <cell r="DQ42">
            <v>232751</v>
          </cell>
          <cell r="DR42">
            <v>36699</v>
          </cell>
          <cell r="DU42">
            <v>559600</v>
          </cell>
          <cell r="DV42">
            <v>509600</v>
          </cell>
          <cell r="EB42">
            <v>2411000</v>
          </cell>
          <cell r="EE42">
            <v>2411000</v>
          </cell>
          <cell r="EG42">
            <v>2411000</v>
          </cell>
          <cell r="EH42">
            <v>102099.03</v>
          </cell>
          <cell r="EI42">
            <v>-2411000</v>
          </cell>
        </row>
        <row r="43">
          <cell r="A43">
            <v>23106</v>
          </cell>
          <cell r="B43" t="str">
            <v>Alcott Center for Mental Health Services</v>
          </cell>
          <cell r="C43">
            <v>4</v>
          </cell>
          <cell r="D43" t="str">
            <v>501168</v>
          </cell>
          <cell r="E43">
            <v>23106</v>
          </cell>
          <cell r="F43" t="str">
            <v>09C00021</v>
          </cell>
          <cell r="G43" t="str">
            <v>501168</v>
          </cell>
          <cell r="H43" t="str">
            <v>00177</v>
          </cell>
          <cell r="I43" t="str">
            <v>8</v>
          </cell>
          <cell r="K43" t="str">
            <v xml:space="preserve">Alcott Center for Mental Health Services </v>
          </cell>
          <cell r="L43" t="str">
            <v>MH120189</v>
          </cell>
          <cell r="M43">
            <v>7</v>
          </cell>
          <cell r="N43">
            <v>0</v>
          </cell>
          <cell r="AM43">
            <v>2000</v>
          </cell>
          <cell r="AN43">
            <v>88250</v>
          </cell>
          <cell r="AO43">
            <v>1000</v>
          </cell>
          <cell r="AQ43">
            <v>29250</v>
          </cell>
          <cell r="AT43">
            <v>173300</v>
          </cell>
          <cell r="BQ43">
            <v>2029</v>
          </cell>
          <cell r="BR43">
            <v>88300</v>
          </cell>
          <cell r="BV43">
            <v>40300</v>
          </cell>
          <cell r="DP43">
            <v>27500</v>
          </cell>
          <cell r="DQ43">
            <v>23755</v>
          </cell>
          <cell r="DR43">
            <v>1716</v>
          </cell>
          <cell r="DU43">
            <v>686950</v>
          </cell>
          <cell r="DV43">
            <v>481150</v>
          </cell>
          <cell r="EB43">
            <v>1645500</v>
          </cell>
          <cell r="EE43">
            <v>1645500</v>
          </cell>
          <cell r="EG43">
            <v>1645500</v>
          </cell>
          <cell r="EI43">
            <v>-1645500</v>
          </cell>
        </row>
        <row r="44">
          <cell r="A44">
            <v>23108</v>
          </cell>
          <cell r="B44" t="str">
            <v>For The Child,  Inc.</v>
          </cell>
          <cell r="C44">
            <v>48</v>
          </cell>
          <cell r="D44" t="str">
            <v>501170</v>
          </cell>
          <cell r="E44">
            <v>23108</v>
          </cell>
          <cell r="F44" t="str">
            <v>09C00051</v>
          </cell>
          <cell r="G44" t="str">
            <v>501170</v>
          </cell>
          <cell r="H44" t="str">
            <v>00300</v>
          </cell>
          <cell r="I44" t="str">
            <v>55</v>
          </cell>
          <cell r="K44" t="str">
            <v>For The Child (Cedar House, Inc.)</v>
          </cell>
          <cell r="L44" t="str">
            <v>MH120352</v>
          </cell>
          <cell r="M44" t="str">
            <v>New</v>
          </cell>
          <cell r="N44">
            <v>0</v>
          </cell>
          <cell r="DP44">
            <v>498500</v>
          </cell>
          <cell r="DQ44">
            <v>430604</v>
          </cell>
          <cell r="DR44">
            <v>67896</v>
          </cell>
          <cell r="DS44">
            <v>49530</v>
          </cell>
          <cell r="DT44">
            <v>26670</v>
          </cell>
          <cell r="DU44">
            <v>9450</v>
          </cell>
          <cell r="DV44">
            <v>9450</v>
          </cell>
          <cell r="EB44">
            <v>1092100</v>
          </cell>
          <cell r="EE44">
            <v>1092100</v>
          </cell>
          <cell r="EG44">
            <v>1092100</v>
          </cell>
          <cell r="EI44">
            <v>-1092100</v>
          </cell>
        </row>
        <row r="45">
          <cell r="A45">
            <v>23109</v>
          </cell>
          <cell r="B45" t="str">
            <v>Cedars-Sinai Medical Center</v>
          </cell>
          <cell r="C45">
            <v>16</v>
          </cell>
          <cell r="D45" t="str">
            <v>044994</v>
          </cell>
          <cell r="E45">
            <v>23109</v>
          </cell>
          <cell r="F45" t="str">
            <v>09C00009</v>
          </cell>
          <cell r="G45" t="str">
            <v>044994</v>
          </cell>
          <cell r="H45" t="str">
            <v>00178</v>
          </cell>
          <cell r="I45" t="str">
            <v>9</v>
          </cell>
          <cell r="K45" t="str">
            <v>Cedars-Sinai Medical Center (Thalians)</v>
          </cell>
          <cell r="L45" t="str">
            <v>MH120326</v>
          </cell>
          <cell r="M45" t="str">
            <v>New</v>
          </cell>
          <cell r="N45">
            <v>0</v>
          </cell>
          <cell r="BV45">
            <v>3100</v>
          </cell>
          <cell r="DJ45">
            <v>58500</v>
          </cell>
          <cell r="DK45">
            <v>265200</v>
          </cell>
          <cell r="DP45">
            <v>529400</v>
          </cell>
          <cell r="DQ45">
            <v>457296</v>
          </cell>
          <cell r="DR45">
            <v>72104</v>
          </cell>
          <cell r="DS45">
            <v>0</v>
          </cell>
          <cell r="DT45">
            <v>0</v>
          </cell>
          <cell r="DU45">
            <v>3550</v>
          </cell>
          <cell r="DV45">
            <v>3550</v>
          </cell>
          <cell r="EB45">
            <v>1392700</v>
          </cell>
          <cell r="EE45">
            <v>1392700</v>
          </cell>
          <cell r="EG45">
            <v>1392700</v>
          </cell>
          <cell r="EI45">
            <v>-1392700</v>
          </cell>
        </row>
        <row r="46">
          <cell r="A46">
            <v>23112</v>
          </cell>
          <cell r="B46" t="str">
            <v>Childrens Hospital Los Angeles</v>
          </cell>
          <cell r="C46">
            <v>22</v>
          </cell>
          <cell r="D46" t="str">
            <v>039993</v>
          </cell>
          <cell r="E46">
            <v>23112</v>
          </cell>
          <cell r="F46" t="str">
            <v>09C00015</v>
          </cell>
          <cell r="G46" t="str">
            <v>039993</v>
          </cell>
          <cell r="H46" t="str">
            <v>00179</v>
          </cell>
          <cell r="I46" t="str">
            <v>10</v>
          </cell>
          <cell r="K46" t="str">
            <v>Children's Hospital of Los Angeles</v>
          </cell>
          <cell r="L46" t="str">
            <v>MH120205</v>
          </cell>
          <cell r="M46">
            <v>12</v>
          </cell>
          <cell r="N46">
            <v>225000</v>
          </cell>
          <cell r="O46">
            <v>95000</v>
          </cell>
          <cell r="P46">
            <v>99000</v>
          </cell>
          <cell r="Z46">
            <v>59295</v>
          </cell>
          <cell r="AA46">
            <v>0</v>
          </cell>
          <cell r="AB46">
            <v>45054</v>
          </cell>
          <cell r="AF46">
            <v>22773</v>
          </cell>
          <cell r="AU46">
            <v>29300</v>
          </cell>
          <cell r="BG46">
            <v>47874</v>
          </cell>
          <cell r="BI46">
            <v>19950</v>
          </cell>
          <cell r="BV46">
            <v>392551</v>
          </cell>
          <cell r="BY46">
            <v>395000</v>
          </cell>
          <cell r="CQ46">
            <v>98745</v>
          </cell>
          <cell r="DG46">
            <v>731500</v>
          </cell>
          <cell r="DJ46">
            <v>18400</v>
          </cell>
          <cell r="DK46">
            <v>240600</v>
          </cell>
          <cell r="DP46">
            <v>4162650</v>
          </cell>
          <cell r="DQ46">
            <v>3595697</v>
          </cell>
          <cell r="DR46">
            <v>420334</v>
          </cell>
          <cell r="DS46">
            <v>372125</v>
          </cell>
          <cell r="DT46">
            <v>157652</v>
          </cell>
          <cell r="EB46">
            <v>11003500</v>
          </cell>
          <cell r="EE46">
            <v>11003500</v>
          </cell>
          <cell r="EG46">
            <v>11003500</v>
          </cell>
          <cell r="EI46">
            <v>-10778500</v>
          </cell>
        </row>
        <row r="47">
          <cell r="A47">
            <v>23113</v>
          </cell>
          <cell r="B47" t="str">
            <v>City of Gardena</v>
          </cell>
          <cell r="C47">
            <v>24</v>
          </cell>
          <cell r="D47" t="str">
            <v>501172</v>
          </cell>
          <cell r="E47">
            <v>23113</v>
          </cell>
          <cell r="F47" t="str">
            <v>NA</v>
          </cell>
          <cell r="G47" t="str">
            <v>501172</v>
          </cell>
          <cell r="H47" t="str">
            <v>00322</v>
          </cell>
          <cell r="I47" t="str">
            <v>71</v>
          </cell>
          <cell r="K47" t="str">
            <v>City of Gardena</v>
          </cell>
          <cell r="L47" t="str">
            <v>MH120207</v>
          </cell>
          <cell r="M47">
            <v>4</v>
          </cell>
          <cell r="N47">
            <v>0</v>
          </cell>
          <cell r="BV47">
            <v>74400</v>
          </cell>
          <cell r="EB47">
            <v>74400</v>
          </cell>
          <cell r="EE47">
            <v>74400</v>
          </cell>
          <cell r="EG47">
            <v>74400</v>
          </cell>
          <cell r="EH47">
            <v>10052</v>
          </cell>
          <cell r="EI47">
            <v>-74400</v>
          </cell>
        </row>
        <row r="48">
          <cell r="A48">
            <v>23114</v>
          </cell>
          <cell r="B48" t="str">
            <v>Broadwater Community Care Center, LLC</v>
          </cell>
          <cell r="C48">
            <v>26</v>
          </cell>
          <cell r="D48" t="str">
            <v>501174</v>
          </cell>
          <cell r="E48">
            <v>23114</v>
          </cell>
          <cell r="F48" t="str">
            <v>09C00029</v>
          </cell>
          <cell r="G48" t="str">
            <v>501174</v>
          </cell>
          <cell r="H48" t="str">
            <v>00181</v>
          </cell>
          <cell r="I48" t="str">
            <v>12</v>
          </cell>
          <cell r="K48" t="str">
            <v xml:space="preserve"> (Fam Youth &amp; Stars)</v>
          </cell>
          <cell r="L48" t="str">
            <v>MH120334</v>
          </cell>
          <cell r="M48" t="str">
            <v>New</v>
          </cell>
          <cell r="N48">
            <v>0</v>
          </cell>
          <cell r="O48">
            <v>38000</v>
          </cell>
          <cell r="P48">
            <v>48400</v>
          </cell>
          <cell r="AU48">
            <v>14300</v>
          </cell>
          <cell r="BG48">
            <v>23290</v>
          </cell>
          <cell r="BI48">
            <v>43645</v>
          </cell>
          <cell r="BV48">
            <v>26500</v>
          </cell>
          <cell r="BY48">
            <v>150000</v>
          </cell>
          <cell r="CD48">
            <v>96000</v>
          </cell>
          <cell r="CE48">
            <v>39700</v>
          </cell>
          <cell r="CQ48">
            <v>23699</v>
          </cell>
          <cell r="DH48">
            <v>0</v>
          </cell>
          <cell r="DJ48">
            <v>196200</v>
          </cell>
          <cell r="DK48">
            <v>250000</v>
          </cell>
          <cell r="DP48">
            <v>1788700</v>
          </cell>
          <cell r="DQ48">
            <v>1545079</v>
          </cell>
          <cell r="DR48">
            <v>196632</v>
          </cell>
          <cell r="DS48">
            <v>275860</v>
          </cell>
          <cell r="DT48">
            <v>104895</v>
          </cell>
          <cell r="EB48">
            <v>4860900</v>
          </cell>
          <cell r="EE48">
            <v>4860900</v>
          </cell>
          <cell r="EG48">
            <v>4860900</v>
          </cell>
          <cell r="EH48">
            <v>207336.66</v>
          </cell>
          <cell r="EI48">
            <v>-4860900</v>
          </cell>
        </row>
        <row r="49">
          <cell r="A49">
            <v>23116</v>
          </cell>
          <cell r="B49" t="str">
            <v>Didi Hirsch Psychiatric Service</v>
          </cell>
          <cell r="C49">
            <v>30</v>
          </cell>
          <cell r="D49" t="str">
            <v>501181</v>
          </cell>
          <cell r="E49">
            <v>23116</v>
          </cell>
          <cell r="F49" t="str">
            <v>09C00034</v>
          </cell>
          <cell r="G49" t="str">
            <v>501181</v>
          </cell>
          <cell r="H49" t="str">
            <v>00183</v>
          </cell>
          <cell r="I49" t="str">
            <v>13</v>
          </cell>
          <cell r="K49" t="str">
            <v xml:space="preserve">Didi Hirsch Psychiatric Service </v>
          </cell>
          <cell r="L49" t="str">
            <v>MH120337</v>
          </cell>
          <cell r="M49" t="str">
            <v>New</v>
          </cell>
          <cell r="N49">
            <v>0</v>
          </cell>
          <cell r="Q49">
            <v>420000</v>
          </cell>
          <cell r="S49">
            <v>401200</v>
          </cell>
          <cell r="T49">
            <v>175700</v>
          </cell>
          <cell r="V49">
            <v>48000</v>
          </cell>
          <cell r="W49">
            <v>18200</v>
          </cell>
          <cell r="AG49">
            <v>12200</v>
          </cell>
          <cell r="AJ49">
            <v>54700</v>
          </cell>
          <cell r="AL49">
            <v>24300</v>
          </cell>
          <cell r="AN49">
            <v>109450</v>
          </cell>
          <cell r="AQ49">
            <v>82100</v>
          </cell>
          <cell r="AV49">
            <v>317700</v>
          </cell>
          <cell r="AW49">
            <v>435700</v>
          </cell>
          <cell r="AX49">
            <v>65500</v>
          </cell>
          <cell r="BJ49">
            <v>40043</v>
          </cell>
          <cell r="BK49">
            <v>126000</v>
          </cell>
          <cell r="BM49">
            <v>434300</v>
          </cell>
          <cell r="BN49">
            <v>108000</v>
          </cell>
          <cell r="BO49">
            <v>117300</v>
          </cell>
          <cell r="BV49">
            <v>966500</v>
          </cell>
          <cell r="BY49">
            <v>964900</v>
          </cell>
          <cell r="CD49">
            <v>180000</v>
          </cell>
          <cell r="CE49">
            <v>48200</v>
          </cell>
          <cell r="CI49">
            <v>21000</v>
          </cell>
          <cell r="CJ49">
            <v>9000</v>
          </cell>
          <cell r="DJ49">
            <v>240300</v>
          </cell>
          <cell r="DK49">
            <v>310000</v>
          </cell>
          <cell r="DP49">
            <v>3623750</v>
          </cell>
          <cell r="DQ49">
            <v>3130195</v>
          </cell>
          <cell r="DR49">
            <v>453512</v>
          </cell>
          <cell r="DS49">
            <v>282035</v>
          </cell>
          <cell r="DT49">
            <v>151865</v>
          </cell>
          <cell r="DU49">
            <v>3614400</v>
          </cell>
          <cell r="DV49">
            <v>2582550</v>
          </cell>
          <cell r="EB49">
            <v>19568600</v>
          </cell>
          <cell r="EE49">
            <v>19568600</v>
          </cell>
          <cell r="EG49">
            <v>19568600</v>
          </cell>
          <cell r="EH49">
            <v>13076</v>
          </cell>
          <cell r="EI49">
            <v>-19568600</v>
          </cell>
        </row>
        <row r="50">
          <cell r="A50">
            <v>23118</v>
          </cell>
          <cell r="B50" t="str">
            <v>Dubnoff Center for Child Development and Educational Therapy</v>
          </cell>
          <cell r="C50">
            <v>32</v>
          </cell>
          <cell r="D50" t="str">
            <v>501176</v>
          </cell>
          <cell r="E50">
            <v>23118</v>
          </cell>
          <cell r="F50" t="str">
            <v>09C00036</v>
          </cell>
          <cell r="G50" t="str">
            <v>501176</v>
          </cell>
          <cell r="H50" t="str">
            <v>00184</v>
          </cell>
          <cell r="I50" t="str">
            <v>14</v>
          </cell>
          <cell r="K50" t="str">
            <v>Dubnoff Center for Child Development</v>
          </cell>
          <cell r="L50" t="str">
            <v>MH120339</v>
          </cell>
          <cell r="M50" t="str">
            <v>New</v>
          </cell>
          <cell r="N50">
            <v>0</v>
          </cell>
          <cell r="R50">
            <v>39800</v>
          </cell>
          <cell r="BV50">
            <v>190200</v>
          </cell>
          <cell r="CI50">
            <v>59990</v>
          </cell>
          <cell r="CJ50">
            <v>25710</v>
          </cell>
          <cell r="DA50">
            <v>50000</v>
          </cell>
          <cell r="DD50">
            <v>75000</v>
          </cell>
          <cell r="DH50">
            <v>0</v>
          </cell>
          <cell r="DJ50">
            <v>154900</v>
          </cell>
          <cell r="DK50">
            <v>291400</v>
          </cell>
          <cell r="DP50">
            <v>722300</v>
          </cell>
          <cell r="DQ50">
            <v>623923</v>
          </cell>
          <cell r="DR50">
            <v>98377</v>
          </cell>
          <cell r="DS50">
            <v>63440</v>
          </cell>
          <cell r="DT50">
            <v>34160</v>
          </cell>
          <cell r="DU50">
            <v>5650</v>
          </cell>
          <cell r="DV50">
            <v>5650</v>
          </cell>
          <cell r="EB50">
            <v>2440500</v>
          </cell>
          <cell r="EE50">
            <v>2440500</v>
          </cell>
          <cell r="EG50">
            <v>2440500</v>
          </cell>
          <cell r="EH50">
            <v>92825.32</v>
          </cell>
          <cell r="EI50">
            <v>-2440500</v>
          </cell>
        </row>
        <row r="51">
          <cell r="A51">
            <v>23119</v>
          </cell>
          <cell r="B51" t="str">
            <v>El Centro de Amistad, Inc.</v>
          </cell>
          <cell r="C51">
            <v>35</v>
          </cell>
          <cell r="D51" t="str">
            <v>501177</v>
          </cell>
          <cell r="E51">
            <v>23119</v>
          </cell>
          <cell r="F51" t="str">
            <v>09C0038</v>
          </cell>
          <cell r="G51" t="str">
            <v>501177</v>
          </cell>
          <cell r="H51" t="str">
            <v>00185</v>
          </cell>
          <cell r="I51" t="str">
            <v>15</v>
          </cell>
          <cell r="K51" t="str">
            <v>El Centro De Amistad, Incorporated</v>
          </cell>
          <cell r="L51" t="str">
            <v>MH120340</v>
          </cell>
          <cell r="M51" t="str">
            <v>New</v>
          </cell>
          <cell r="N51">
            <v>0</v>
          </cell>
          <cell r="AB51">
            <v>53500</v>
          </cell>
          <cell r="AC51">
            <v>5900</v>
          </cell>
          <cell r="BV51">
            <v>71100</v>
          </cell>
          <cell r="BY51">
            <v>220000</v>
          </cell>
          <cell r="CI51">
            <v>21000</v>
          </cell>
          <cell r="CJ51">
            <v>9000</v>
          </cell>
          <cell r="DP51">
            <v>681200</v>
          </cell>
          <cell r="DQ51">
            <v>588421</v>
          </cell>
          <cell r="DR51">
            <v>92779</v>
          </cell>
          <cell r="DS51">
            <v>100490</v>
          </cell>
          <cell r="DT51">
            <v>54110</v>
          </cell>
          <cell r="DU51">
            <v>122800</v>
          </cell>
          <cell r="DV51">
            <v>122800</v>
          </cell>
          <cell r="EB51">
            <v>2143100</v>
          </cell>
          <cell r="EE51">
            <v>2143100</v>
          </cell>
          <cell r="EG51">
            <v>2143100</v>
          </cell>
          <cell r="EI51">
            <v>-2143100</v>
          </cell>
        </row>
        <row r="52">
          <cell r="A52">
            <v>23122</v>
          </cell>
          <cell r="B52" t="str">
            <v>ENKI Health and Research Systems, Inc.</v>
          </cell>
          <cell r="C52">
            <v>38</v>
          </cell>
          <cell r="D52" t="str">
            <v>501180</v>
          </cell>
          <cell r="E52">
            <v>23122</v>
          </cell>
          <cell r="F52" t="str">
            <v>09C00041</v>
          </cell>
          <cell r="G52" t="str">
            <v>501180</v>
          </cell>
          <cell r="H52" t="str">
            <v>00188</v>
          </cell>
          <cell r="I52" t="str">
            <v>17</v>
          </cell>
          <cell r="K52" t="str">
            <v>ENKI Hlth and Research, Sys, Inc. (Children &amp; Youth)</v>
          </cell>
          <cell r="L52" t="str">
            <v>MH120344</v>
          </cell>
          <cell r="M52" t="str">
            <v>New</v>
          </cell>
          <cell r="N52">
            <v>0</v>
          </cell>
          <cell r="O52">
            <v>38000</v>
          </cell>
          <cell r="P52">
            <v>50600</v>
          </cell>
          <cell r="S52">
            <v>288600</v>
          </cell>
          <cell r="T52">
            <v>907800</v>
          </cell>
          <cell r="W52">
            <v>45600</v>
          </cell>
          <cell r="AG52">
            <v>64600</v>
          </cell>
          <cell r="AH52">
            <v>3400</v>
          </cell>
          <cell r="AL52">
            <v>412300</v>
          </cell>
          <cell r="AM52">
            <v>21700</v>
          </cell>
          <cell r="AO52">
            <v>2400</v>
          </cell>
          <cell r="AR52">
            <v>0</v>
          </cell>
          <cell r="AS52">
            <v>0</v>
          </cell>
          <cell r="AU52">
            <v>15000</v>
          </cell>
          <cell r="AW52">
            <v>303400</v>
          </cell>
          <cell r="BG52">
            <v>24584</v>
          </cell>
          <cell r="BI52">
            <v>13300</v>
          </cell>
          <cell r="BM52">
            <v>282550</v>
          </cell>
          <cell r="BO52">
            <v>84750</v>
          </cell>
          <cell r="BV52">
            <v>1775100</v>
          </cell>
          <cell r="BW52">
            <v>0</v>
          </cell>
          <cell r="BY52">
            <v>1024000</v>
          </cell>
          <cell r="BZ52">
            <v>270000</v>
          </cell>
          <cell r="CA52">
            <v>30000</v>
          </cell>
          <cell r="CE52">
            <v>113700</v>
          </cell>
          <cell r="CK52">
            <v>91760</v>
          </cell>
          <cell r="CL52">
            <v>13664</v>
          </cell>
          <cell r="CQ52">
            <v>23699</v>
          </cell>
          <cell r="DJ52">
            <v>163200</v>
          </cell>
          <cell r="DK52">
            <v>581000</v>
          </cell>
          <cell r="DP52">
            <v>6315270</v>
          </cell>
          <cell r="DQ52">
            <v>5455130</v>
          </cell>
          <cell r="DR52">
            <v>798193</v>
          </cell>
          <cell r="DS52">
            <v>683215</v>
          </cell>
          <cell r="DT52">
            <v>354585</v>
          </cell>
          <cell r="DU52">
            <v>3643700</v>
          </cell>
          <cell r="DV52">
            <v>3276400</v>
          </cell>
          <cell r="DW52">
            <v>0</v>
          </cell>
          <cell r="EB52">
            <v>27171200</v>
          </cell>
          <cell r="EE52">
            <v>27171200</v>
          </cell>
          <cell r="EG52">
            <v>27171200</v>
          </cell>
          <cell r="EI52">
            <v>-27171200</v>
          </cell>
        </row>
        <row r="53">
          <cell r="A53">
            <v>23123</v>
          </cell>
          <cell r="B53" t="str">
            <v>Filipino-American Service Group, Inc.</v>
          </cell>
          <cell r="C53">
            <v>44</v>
          </cell>
          <cell r="D53" t="str">
            <v>501182</v>
          </cell>
          <cell r="E53">
            <v>23123</v>
          </cell>
          <cell r="F53" t="str">
            <v>09C00046</v>
          </cell>
          <cell r="G53" t="str">
            <v>501182</v>
          </cell>
          <cell r="H53" t="str">
            <v>00302</v>
          </cell>
          <cell r="I53" t="str">
            <v>57</v>
          </cell>
          <cell r="K53" t="str">
            <v>Filipino-American Services Group, Incorporated</v>
          </cell>
          <cell r="L53" t="str">
            <v>MH120348</v>
          </cell>
          <cell r="M53" t="str">
            <v>New</v>
          </cell>
          <cell r="N53">
            <v>0</v>
          </cell>
          <cell r="BV53">
            <v>46600</v>
          </cell>
          <cell r="EB53">
            <v>46600</v>
          </cell>
          <cell r="EE53">
            <v>46600</v>
          </cell>
          <cell r="EG53">
            <v>46600</v>
          </cell>
          <cell r="EI53">
            <v>-46600</v>
          </cell>
        </row>
        <row r="54">
          <cell r="A54">
            <v>23125</v>
          </cell>
          <cell r="B54" t="str">
            <v>1736 Family Crisis Center</v>
          </cell>
          <cell r="C54">
            <v>2</v>
          </cell>
          <cell r="D54">
            <v>501134</v>
          </cell>
          <cell r="E54">
            <v>23125</v>
          </cell>
          <cell r="F54" t="str">
            <v>09C00019</v>
          </cell>
          <cell r="G54" t="str">
            <v>501134</v>
          </cell>
          <cell r="H54" t="str">
            <v>00256</v>
          </cell>
          <cell r="I54" t="str">
            <v>51</v>
          </cell>
          <cell r="K54" t="str">
            <v>1736 Family Crisis Center</v>
          </cell>
          <cell r="L54" t="str">
            <v>MH120315</v>
          </cell>
          <cell r="M54" t="str">
            <v>New</v>
          </cell>
          <cell r="N54">
            <v>0</v>
          </cell>
          <cell r="BY54">
            <v>225000</v>
          </cell>
          <cell r="DP54">
            <v>76000</v>
          </cell>
          <cell r="DQ54">
            <v>65649</v>
          </cell>
          <cell r="DR54">
            <v>10351</v>
          </cell>
          <cell r="DS54">
            <v>0</v>
          </cell>
          <cell r="DT54">
            <v>0</v>
          </cell>
          <cell r="DU54">
            <v>1000</v>
          </cell>
          <cell r="DV54">
            <v>1000</v>
          </cell>
          <cell r="EB54">
            <v>379000</v>
          </cell>
          <cell r="EE54">
            <v>379000</v>
          </cell>
          <cell r="EG54">
            <v>379000</v>
          </cell>
          <cell r="EH54">
            <v>283.75</v>
          </cell>
          <cell r="EI54">
            <v>-379000</v>
          </cell>
        </row>
        <row r="55">
          <cell r="A55">
            <v>23128</v>
          </cell>
          <cell r="B55" t="str">
            <v>Gateways Hospital and Mental Health Center</v>
          </cell>
          <cell r="C55">
            <v>49</v>
          </cell>
          <cell r="D55" t="str">
            <v>501184</v>
          </cell>
          <cell r="E55">
            <v>23128</v>
          </cell>
          <cell r="F55" t="str">
            <v>09C00052</v>
          </cell>
          <cell r="G55" t="str">
            <v>501184</v>
          </cell>
          <cell r="H55" t="str">
            <v>00190</v>
          </cell>
          <cell r="I55" t="str">
            <v>19</v>
          </cell>
          <cell r="K55" t="str">
            <v>Gateways Hospital and Mental Health Center</v>
          </cell>
          <cell r="L55" t="str">
            <v>MH120353</v>
          </cell>
          <cell r="M55" t="str">
            <v>New</v>
          </cell>
          <cell r="N55">
            <v>0</v>
          </cell>
          <cell r="R55">
            <v>186200</v>
          </cell>
          <cell r="U55">
            <v>761300</v>
          </cell>
          <cell r="BP55">
            <v>1373750</v>
          </cell>
          <cell r="BT55">
            <v>1070000</v>
          </cell>
          <cell r="BV55">
            <v>6979300</v>
          </cell>
          <cell r="CG55">
            <v>9806</v>
          </cell>
          <cell r="CI55">
            <v>39970</v>
          </cell>
          <cell r="CJ55">
            <v>17130</v>
          </cell>
          <cell r="CZ55">
            <v>0</v>
          </cell>
          <cell r="DA55">
            <v>50000</v>
          </cell>
          <cell r="DD55">
            <v>75000</v>
          </cell>
          <cell r="DF55">
            <v>700000</v>
          </cell>
          <cell r="DP55">
            <v>561500</v>
          </cell>
          <cell r="DQ55">
            <v>485024</v>
          </cell>
          <cell r="DR55">
            <v>66670</v>
          </cell>
          <cell r="DS55">
            <v>18980</v>
          </cell>
          <cell r="DT55">
            <v>10220</v>
          </cell>
          <cell r="DU55">
            <v>2418100</v>
          </cell>
          <cell r="DV55">
            <v>1044350</v>
          </cell>
          <cell r="EB55">
            <v>15867300</v>
          </cell>
          <cell r="EE55">
            <v>15867300</v>
          </cell>
          <cell r="EG55">
            <v>15867300</v>
          </cell>
          <cell r="EH55">
            <v>148072.34</v>
          </cell>
          <cell r="EI55">
            <v>-15867300</v>
          </cell>
        </row>
        <row r="56">
          <cell r="A56">
            <v>23132</v>
          </cell>
          <cell r="B56" t="str">
            <v>Hathaway-Sycamores Child and Family Services</v>
          </cell>
          <cell r="C56">
            <v>52</v>
          </cell>
          <cell r="D56" t="str">
            <v>503485</v>
          </cell>
          <cell r="E56">
            <v>23132</v>
          </cell>
          <cell r="F56" t="str">
            <v>09C00005</v>
          </cell>
          <cell r="G56" t="str">
            <v>503485</v>
          </cell>
          <cell r="H56" t="str">
            <v>00192</v>
          </cell>
          <cell r="I56" t="str">
            <v>22</v>
          </cell>
          <cell r="K56" t="str">
            <v>Hathaway - Sycamores Child and Family Services</v>
          </cell>
          <cell r="L56" t="str">
            <v>MH120356</v>
          </cell>
          <cell r="M56" t="str">
            <v>New</v>
          </cell>
          <cell r="N56">
            <v>0</v>
          </cell>
          <cell r="O56">
            <v>228000</v>
          </cell>
          <cell r="P56">
            <v>270600</v>
          </cell>
          <cell r="Q56">
            <v>210000</v>
          </cell>
          <cell r="AB56">
            <v>135700</v>
          </cell>
          <cell r="AU56">
            <v>80000</v>
          </cell>
          <cell r="AV56">
            <v>158900</v>
          </cell>
          <cell r="BG56">
            <v>137153</v>
          </cell>
          <cell r="BI56">
            <v>33250</v>
          </cell>
          <cell r="BJ56">
            <v>20021</v>
          </cell>
          <cell r="BK56">
            <v>63000</v>
          </cell>
          <cell r="BV56">
            <v>141700</v>
          </cell>
          <cell r="CE56">
            <v>37800</v>
          </cell>
          <cell r="CK56">
            <v>160560</v>
          </cell>
          <cell r="CL56">
            <v>30008</v>
          </cell>
          <cell r="DF56">
            <v>40000</v>
          </cell>
          <cell r="DJ56">
            <v>276600</v>
          </cell>
          <cell r="DK56">
            <v>1491600</v>
          </cell>
          <cell r="DP56">
            <v>12940970</v>
          </cell>
          <cell r="DQ56">
            <v>11178410</v>
          </cell>
          <cell r="DR56">
            <v>1575378</v>
          </cell>
          <cell r="DS56">
            <v>660920</v>
          </cell>
          <cell r="DT56">
            <v>322630</v>
          </cell>
          <cell r="DU56">
            <v>185950</v>
          </cell>
          <cell r="DV56">
            <v>122950</v>
          </cell>
          <cell r="EB56">
            <v>30502100</v>
          </cell>
          <cell r="EE56">
            <v>30502100</v>
          </cell>
          <cell r="EG56">
            <v>30502100</v>
          </cell>
          <cell r="EH56">
            <v>74008.399999999994</v>
          </cell>
          <cell r="EI56">
            <v>-30502100</v>
          </cell>
        </row>
        <row r="57">
          <cell r="A57">
            <v>23133</v>
          </cell>
          <cell r="B57" t="str">
            <v>Hillview Mental Health Center, Inc.</v>
          </cell>
          <cell r="C57">
            <v>58</v>
          </cell>
          <cell r="D57" t="str">
            <v>501188</v>
          </cell>
          <cell r="E57">
            <v>23133</v>
          </cell>
          <cell r="F57" t="str">
            <v>09C00062</v>
          </cell>
          <cell r="G57" t="str">
            <v>501188</v>
          </cell>
          <cell r="H57" t="str">
            <v>00194</v>
          </cell>
          <cell r="I57" t="str">
            <v>24</v>
          </cell>
          <cell r="K57" t="str">
            <v>Hillview Mental Health Center, Inc</v>
          </cell>
          <cell r="L57" t="str">
            <v>MH120362</v>
          </cell>
          <cell r="M57" t="str">
            <v>New</v>
          </cell>
          <cell r="N57">
            <v>0</v>
          </cell>
          <cell r="Q57">
            <v>196000</v>
          </cell>
          <cell r="S57">
            <v>417200</v>
          </cell>
          <cell r="T57">
            <v>359500</v>
          </cell>
          <cell r="V57">
            <v>75100</v>
          </cell>
          <cell r="W57">
            <v>131900</v>
          </cell>
          <cell r="AL57">
            <v>0</v>
          </cell>
          <cell r="AN57">
            <v>0</v>
          </cell>
          <cell r="AP57">
            <v>0</v>
          </cell>
          <cell r="AQ57">
            <v>93100</v>
          </cell>
          <cell r="AR57">
            <v>0</v>
          </cell>
          <cell r="AT57">
            <v>996300</v>
          </cell>
          <cell r="AV57">
            <v>141200</v>
          </cell>
          <cell r="AW57">
            <v>475400</v>
          </cell>
          <cell r="AX57">
            <v>48400</v>
          </cell>
          <cell r="BJ57">
            <v>17161</v>
          </cell>
          <cell r="BK57">
            <v>56000</v>
          </cell>
          <cell r="BM57">
            <v>385050</v>
          </cell>
          <cell r="BN57">
            <v>60350</v>
          </cell>
          <cell r="BO57">
            <v>234900</v>
          </cell>
          <cell r="BU57">
            <v>7800</v>
          </cell>
          <cell r="BV57">
            <v>252800</v>
          </cell>
          <cell r="BW57">
            <v>0</v>
          </cell>
          <cell r="BY57">
            <v>125000</v>
          </cell>
          <cell r="CI57">
            <v>21000</v>
          </cell>
          <cell r="CJ57">
            <v>9000</v>
          </cell>
          <cell r="DO57">
            <v>200600</v>
          </cell>
          <cell r="DP57">
            <v>372850</v>
          </cell>
          <cell r="DQ57">
            <v>322068</v>
          </cell>
          <cell r="DR57">
            <v>33621</v>
          </cell>
          <cell r="DU57">
            <v>2791350</v>
          </cell>
          <cell r="DV57">
            <v>1961950</v>
          </cell>
          <cell r="DW57">
            <v>0</v>
          </cell>
          <cell r="EB57">
            <v>9785600</v>
          </cell>
          <cell r="EE57">
            <v>9785600</v>
          </cell>
          <cell r="EG57">
            <v>9785600</v>
          </cell>
          <cell r="EH57">
            <v>269568.99</v>
          </cell>
          <cell r="EI57">
            <v>-9785600</v>
          </cell>
        </row>
        <row r="58">
          <cell r="A58">
            <v>23134</v>
          </cell>
          <cell r="B58" t="str">
            <v>Clontarf Manor, Inc.</v>
          </cell>
          <cell r="C58">
            <v>25</v>
          </cell>
          <cell r="D58" t="str">
            <v>502860</v>
          </cell>
          <cell r="E58">
            <v>23134</v>
          </cell>
          <cell r="F58" t="str">
            <v>09C00017</v>
          </cell>
          <cell r="G58" t="str">
            <v>502860</v>
          </cell>
          <cell r="H58" t="str">
            <v>00327</v>
          </cell>
          <cell r="I58" t="str">
            <v>76</v>
          </cell>
          <cell r="K58" t="str">
            <v>Clontarf Manor</v>
          </cell>
          <cell r="L58" t="str">
            <v>MH120333</v>
          </cell>
          <cell r="M58" t="str">
            <v>New</v>
          </cell>
          <cell r="N58">
            <v>0</v>
          </cell>
          <cell r="W58">
            <v>11800</v>
          </cell>
          <cell r="AG58">
            <v>4700</v>
          </cell>
          <cell r="AH58">
            <v>300</v>
          </cell>
          <cell r="AJ58">
            <v>4950</v>
          </cell>
          <cell r="AL58">
            <v>30700</v>
          </cell>
          <cell r="AM58">
            <v>2000</v>
          </cell>
          <cell r="AN58">
            <v>32300</v>
          </cell>
          <cell r="AO58">
            <v>800</v>
          </cell>
          <cell r="AQ58">
            <v>12100</v>
          </cell>
          <cell r="DU58">
            <v>480850</v>
          </cell>
          <cell r="DV58">
            <v>431500</v>
          </cell>
          <cell r="EB58">
            <v>1012000</v>
          </cell>
          <cell r="EE58">
            <v>1012000</v>
          </cell>
          <cell r="EG58">
            <v>1012000</v>
          </cell>
          <cell r="EI58">
            <v>-1012000</v>
          </cell>
        </row>
        <row r="59">
          <cell r="A59">
            <v>23135</v>
          </cell>
          <cell r="B59" t="str">
            <v>Hillsides</v>
          </cell>
          <cell r="C59">
            <v>57</v>
          </cell>
          <cell r="D59" t="str">
            <v>517515</v>
          </cell>
          <cell r="E59">
            <v>23135</v>
          </cell>
          <cell r="F59" t="str">
            <v>09C00061</v>
          </cell>
          <cell r="G59" t="str">
            <v>517515</v>
          </cell>
          <cell r="H59" t="str">
            <v>00321</v>
          </cell>
          <cell r="I59" t="str">
            <v>70</v>
          </cell>
          <cell r="K59" t="str">
            <v>Hillsides Home for Children (The Church Home for Children)</v>
          </cell>
          <cell r="L59" t="str">
            <v>MH120361</v>
          </cell>
          <cell r="M59" t="str">
            <v>New</v>
          </cell>
          <cell r="N59">
            <v>0</v>
          </cell>
          <cell r="O59">
            <v>152000</v>
          </cell>
          <cell r="P59">
            <v>176000</v>
          </cell>
          <cell r="Q59">
            <v>350000</v>
          </cell>
          <cell r="AG59">
            <v>0</v>
          </cell>
          <cell r="AU59">
            <v>52000</v>
          </cell>
          <cell r="AV59">
            <v>254200</v>
          </cell>
          <cell r="BG59">
            <v>89279</v>
          </cell>
          <cell r="BI59">
            <v>19950</v>
          </cell>
          <cell r="BJ59">
            <v>31462</v>
          </cell>
          <cell r="BK59">
            <v>98000</v>
          </cell>
          <cell r="BL59">
            <v>20125</v>
          </cell>
          <cell r="CK59">
            <v>21900</v>
          </cell>
          <cell r="DH59">
            <v>0</v>
          </cell>
          <cell r="DJ59">
            <v>120000</v>
          </cell>
          <cell r="DK59">
            <v>0</v>
          </cell>
          <cell r="DP59">
            <v>4596750</v>
          </cell>
          <cell r="DQ59">
            <v>3970673</v>
          </cell>
          <cell r="DR59">
            <v>505336</v>
          </cell>
          <cell r="DS59">
            <v>219115</v>
          </cell>
          <cell r="DT59">
            <v>77910</v>
          </cell>
          <cell r="DU59">
            <v>107200</v>
          </cell>
          <cell r="DV59">
            <v>9200</v>
          </cell>
          <cell r="EB59">
            <v>10871100</v>
          </cell>
          <cell r="EE59">
            <v>10871100</v>
          </cell>
          <cell r="EG59">
            <v>10871100</v>
          </cell>
          <cell r="EH59">
            <v>25979.33</v>
          </cell>
          <cell r="EI59">
            <v>-10871100</v>
          </cell>
        </row>
        <row r="60">
          <cell r="A60">
            <v>23136</v>
          </cell>
          <cell r="B60" t="str">
            <v>Kedren Community Health Center, Inc.</v>
          </cell>
          <cell r="C60">
            <v>65</v>
          </cell>
          <cell r="D60" t="str">
            <v>029464</v>
          </cell>
          <cell r="E60">
            <v>23136</v>
          </cell>
          <cell r="F60" t="str">
            <v>09C00001</v>
          </cell>
          <cell r="G60" t="str">
            <v>029464</v>
          </cell>
          <cell r="H60" t="str">
            <v>00197</v>
          </cell>
          <cell r="I60" t="str">
            <v>27</v>
          </cell>
          <cell r="K60" t="str">
            <v>Kedren Comm MH Center</v>
          </cell>
          <cell r="L60" t="str">
            <v>MH120367</v>
          </cell>
          <cell r="M60" t="str">
            <v>New</v>
          </cell>
          <cell r="N60">
            <v>0</v>
          </cell>
          <cell r="O60">
            <v>95000</v>
          </cell>
          <cell r="P60">
            <v>105600</v>
          </cell>
          <cell r="Q60">
            <v>126000</v>
          </cell>
          <cell r="S60">
            <v>322900</v>
          </cell>
          <cell r="T60">
            <v>69700</v>
          </cell>
          <cell r="V60">
            <v>0</v>
          </cell>
          <cell r="AR60">
            <v>0</v>
          </cell>
          <cell r="AU60">
            <v>31200</v>
          </cell>
          <cell r="AV60">
            <v>88300</v>
          </cell>
          <cell r="AW60">
            <v>376500</v>
          </cell>
          <cell r="AX60">
            <v>0</v>
          </cell>
          <cell r="BG60">
            <v>54344</v>
          </cell>
          <cell r="BI60">
            <v>6650</v>
          </cell>
          <cell r="BJ60">
            <v>10487</v>
          </cell>
          <cell r="BK60">
            <v>35000</v>
          </cell>
          <cell r="BM60">
            <v>290250</v>
          </cell>
          <cell r="BN60">
            <v>0</v>
          </cell>
          <cell r="BO60">
            <v>508500</v>
          </cell>
          <cell r="BS60">
            <v>44000</v>
          </cell>
          <cell r="BV60">
            <v>5068400</v>
          </cell>
          <cell r="BW60">
            <v>0</v>
          </cell>
          <cell r="BY60">
            <v>300000</v>
          </cell>
          <cell r="CE60">
            <v>215700</v>
          </cell>
          <cell r="CI60">
            <v>14980</v>
          </cell>
          <cell r="CJ60">
            <v>6420</v>
          </cell>
          <cell r="CK60">
            <v>24700</v>
          </cell>
          <cell r="DF60">
            <v>40000</v>
          </cell>
          <cell r="DP60">
            <v>3982850</v>
          </cell>
          <cell r="DQ60">
            <v>3440386</v>
          </cell>
          <cell r="DR60">
            <v>477633</v>
          </cell>
          <cell r="DS60">
            <v>66430</v>
          </cell>
          <cell r="DT60">
            <v>29120</v>
          </cell>
          <cell r="DU60">
            <v>3508500</v>
          </cell>
          <cell r="DV60">
            <v>2674750</v>
          </cell>
          <cell r="DW60">
            <v>0</v>
          </cell>
          <cell r="DZ60">
            <v>4997000</v>
          </cell>
          <cell r="EB60">
            <v>27011300</v>
          </cell>
          <cell r="EE60">
            <v>27011300</v>
          </cell>
          <cell r="EG60">
            <v>27011300</v>
          </cell>
          <cell r="EI60">
            <v>-27011300</v>
          </cell>
        </row>
        <row r="61">
          <cell r="A61">
            <v>23137</v>
          </cell>
          <cell r="B61" t="str">
            <v>Koreatown Youth and Community Center, Inc.</v>
          </cell>
          <cell r="C61">
            <v>66</v>
          </cell>
          <cell r="D61" t="str">
            <v>501192</v>
          </cell>
          <cell r="E61">
            <v>23137</v>
          </cell>
          <cell r="F61" t="str">
            <v>09C00069</v>
          </cell>
          <cell r="G61" t="str">
            <v>501192</v>
          </cell>
          <cell r="H61" t="str">
            <v>00326</v>
          </cell>
          <cell r="I61" t="str">
            <v>75</v>
          </cell>
          <cell r="K61" t="str">
            <v>Koreatown Youth &amp; Community Center, Inc</v>
          </cell>
          <cell r="L61" t="str">
            <v>MH120368</v>
          </cell>
          <cell r="M61" t="str">
            <v>New</v>
          </cell>
          <cell r="N61">
            <v>0</v>
          </cell>
          <cell r="AB61">
            <v>9234</v>
          </cell>
          <cell r="AC61">
            <v>1750</v>
          </cell>
          <cell r="AD61">
            <v>1016</v>
          </cell>
          <cell r="AG61">
            <v>16006</v>
          </cell>
          <cell r="AH61">
            <v>950</v>
          </cell>
          <cell r="AI61">
            <v>1524</v>
          </cell>
          <cell r="BV61">
            <v>106020</v>
          </cell>
          <cell r="DP61">
            <v>121500</v>
          </cell>
          <cell r="DQ61">
            <v>104952</v>
          </cell>
          <cell r="DR61">
            <v>16548</v>
          </cell>
          <cell r="DS61">
            <v>46800</v>
          </cell>
          <cell r="DT61">
            <v>25200</v>
          </cell>
          <cell r="DU61">
            <v>700</v>
          </cell>
          <cell r="DV61">
            <v>700</v>
          </cell>
          <cell r="EB61">
            <v>452900</v>
          </cell>
          <cell r="EE61">
            <v>452900</v>
          </cell>
          <cell r="EG61">
            <v>452900</v>
          </cell>
          <cell r="EH61">
            <v>1225</v>
          </cell>
          <cell r="EI61">
            <v>-452900</v>
          </cell>
        </row>
        <row r="62">
          <cell r="A62">
            <v>23138</v>
          </cell>
          <cell r="B62" t="str">
            <v>The Help Group Child and Family Center</v>
          </cell>
          <cell r="C62">
            <v>111</v>
          </cell>
          <cell r="D62" t="str">
            <v>501195</v>
          </cell>
          <cell r="E62">
            <v>23138</v>
          </cell>
          <cell r="F62" t="str">
            <v>09C00058</v>
          </cell>
          <cell r="G62" t="str">
            <v>501195</v>
          </cell>
          <cell r="H62" t="str">
            <v>00198</v>
          </cell>
          <cell r="I62" t="str">
            <v>28</v>
          </cell>
          <cell r="K62" t="str">
            <v>The Help Group Child &amp; Family Center (LA Center for Therapy &amp; Education)</v>
          </cell>
          <cell r="L62" t="str">
            <v>MH120405</v>
          </cell>
          <cell r="M62" t="str">
            <v>New</v>
          </cell>
          <cell r="N62">
            <v>0</v>
          </cell>
          <cell r="O62">
            <v>177700</v>
          </cell>
          <cell r="P62">
            <v>158400</v>
          </cell>
          <cell r="AU62">
            <v>48100</v>
          </cell>
          <cell r="BG62">
            <v>81516</v>
          </cell>
          <cell r="BI62">
            <v>13300</v>
          </cell>
          <cell r="BV62">
            <v>40200</v>
          </cell>
          <cell r="BY62">
            <v>204700</v>
          </cell>
          <cell r="CE62">
            <v>27100</v>
          </cell>
          <cell r="DJ62">
            <v>1194500</v>
          </cell>
          <cell r="DK62">
            <v>1204400</v>
          </cell>
          <cell r="DP62">
            <v>3812800</v>
          </cell>
          <cell r="DQ62">
            <v>3293497</v>
          </cell>
          <cell r="DR62">
            <v>437788</v>
          </cell>
          <cell r="DS62">
            <v>167960</v>
          </cell>
          <cell r="DT62">
            <v>77140</v>
          </cell>
          <cell r="DU62">
            <v>38300</v>
          </cell>
          <cell r="DV62">
            <v>38300</v>
          </cell>
          <cell r="EB62">
            <v>11015701</v>
          </cell>
          <cell r="EE62">
            <v>11015701</v>
          </cell>
          <cell r="EG62">
            <v>11015701</v>
          </cell>
          <cell r="EH62">
            <v>70406.94</v>
          </cell>
          <cell r="EI62">
            <v>-11015701</v>
          </cell>
        </row>
        <row r="63">
          <cell r="A63">
            <v>23141</v>
          </cell>
          <cell r="B63" t="str">
            <v>The Los Angeles Child Guidance Clinic</v>
          </cell>
          <cell r="C63">
            <v>112</v>
          </cell>
          <cell r="D63" t="str">
            <v>501194</v>
          </cell>
          <cell r="E63">
            <v>23141</v>
          </cell>
          <cell r="F63" t="str">
            <v>09C00072</v>
          </cell>
          <cell r="G63" t="str">
            <v>501194</v>
          </cell>
          <cell r="H63" t="str">
            <v>00199</v>
          </cell>
          <cell r="I63" t="str">
            <v>29</v>
          </cell>
          <cell r="K63" t="str">
            <v>The Los Angeles Child Guidance Clinic</v>
          </cell>
          <cell r="L63" t="str">
            <v>MH120407</v>
          </cell>
          <cell r="M63" t="str">
            <v>New</v>
          </cell>
          <cell r="N63">
            <v>0</v>
          </cell>
          <cell r="O63">
            <v>190000</v>
          </cell>
          <cell r="P63">
            <v>209000</v>
          </cell>
          <cell r="Q63">
            <v>126000</v>
          </cell>
          <cell r="AB63">
            <v>65000</v>
          </cell>
          <cell r="AG63">
            <v>33800</v>
          </cell>
          <cell r="AU63">
            <v>61800</v>
          </cell>
          <cell r="AV63">
            <v>88300</v>
          </cell>
          <cell r="BG63">
            <v>106100</v>
          </cell>
          <cell r="BI63">
            <v>19950</v>
          </cell>
          <cell r="BJ63">
            <v>10487</v>
          </cell>
          <cell r="BK63">
            <v>35000</v>
          </cell>
          <cell r="BV63">
            <v>227200</v>
          </cell>
          <cell r="BY63">
            <v>650000</v>
          </cell>
          <cell r="CE63">
            <v>55200</v>
          </cell>
          <cell r="CI63">
            <v>21000</v>
          </cell>
          <cell r="CJ63">
            <v>9000</v>
          </cell>
          <cell r="CK63">
            <v>91700</v>
          </cell>
          <cell r="CU63">
            <v>0</v>
          </cell>
          <cell r="DJ63">
            <v>200200</v>
          </cell>
          <cell r="DP63">
            <v>6373750</v>
          </cell>
          <cell r="DQ63">
            <v>5505645</v>
          </cell>
          <cell r="DR63">
            <v>751518</v>
          </cell>
          <cell r="DS63">
            <v>318045</v>
          </cell>
          <cell r="DT63">
            <v>151305</v>
          </cell>
          <cell r="DU63">
            <v>75000</v>
          </cell>
          <cell r="DV63">
            <v>40000</v>
          </cell>
          <cell r="EB63">
            <v>15415000</v>
          </cell>
          <cell r="EE63">
            <v>15415000</v>
          </cell>
          <cell r="EG63">
            <v>15415000</v>
          </cell>
          <cell r="EI63">
            <v>-15415000</v>
          </cell>
        </row>
        <row r="64">
          <cell r="A64">
            <v>23142</v>
          </cell>
          <cell r="B64" t="str">
            <v>The Los Angeles Gay and Lesbian Community Services Center dba L.A. Gay and Lesbian Center</v>
          </cell>
          <cell r="C64">
            <v>114</v>
          </cell>
          <cell r="D64" t="str">
            <v>505467</v>
          </cell>
          <cell r="E64">
            <v>23142</v>
          </cell>
          <cell r="F64" t="str">
            <v>09C00074</v>
          </cell>
          <cell r="G64" t="str">
            <v>505467</v>
          </cell>
          <cell r="H64" t="str">
            <v>00304</v>
          </cell>
          <cell r="I64" t="str">
            <v>58</v>
          </cell>
          <cell r="K64" t="str">
            <v>The Los Angeles Gay and Lesbian Comm Services Ctr</v>
          </cell>
          <cell r="L64" t="str">
            <v>MH120409</v>
          </cell>
          <cell r="M64" t="str">
            <v>New</v>
          </cell>
          <cell r="N64">
            <v>0</v>
          </cell>
          <cell r="Z64">
            <v>24905</v>
          </cell>
          <cell r="AA64">
            <v>0</v>
          </cell>
          <cell r="BV64">
            <v>107795</v>
          </cell>
          <cell r="CX64">
            <v>65100</v>
          </cell>
          <cell r="EB64">
            <v>197800</v>
          </cell>
          <cell r="EE64">
            <v>197800</v>
          </cell>
          <cell r="EG64">
            <v>197800</v>
          </cell>
          <cell r="EI64">
            <v>-197800</v>
          </cell>
        </row>
        <row r="65">
          <cell r="A65">
            <v>23143</v>
          </cell>
          <cell r="B65" t="str">
            <v>LAMP, Inc.</v>
          </cell>
          <cell r="C65">
            <v>67</v>
          </cell>
          <cell r="D65" t="str">
            <v>501200</v>
          </cell>
          <cell r="E65">
            <v>23143</v>
          </cell>
          <cell r="F65" t="str">
            <v>09C00070</v>
          </cell>
          <cell r="G65" t="str">
            <v>501200</v>
          </cell>
          <cell r="H65" t="str">
            <v>00317</v>
          </cell>
          <cell r="I65" t="str">
            <v>68</v>
          </cell>
          <cell r="K65" t="str">
            <v>LAMP, Inc.</v>
          </cell>
          <cell r="L65" t="str">
            <v>MH120237</v>
          </cell>
          <cell r="M65" t="str">
            <v>New</v>
          </cell>
          <cell r="N65">
            <v>0</v>
          </cell>
          <cell r="T65">
            <v>250000</v>
          </cell>
          <cell r="Z65">
            <v>816500</v>
          </cell>
          <cell r="AA65">
            <v>0</v>
          </cell>
          <cell r="AR65">
            <v>0</v>
          </cell>
          <cell r="BO65">
            <v>253800</v>
          </cell>
          <cell r="BV65">
            <v>0</v>
          </cell>
          <cell r="BW65">
            <v>0</v>
          </cell>
          <cell r="CS65">
            <v>50000</v>
          </cell>
          <cell r="CY65">
            <v>384445</v>
          </cell>
          <cell r="DU65">
            <v>253800</v>
          </cell>
          <cell r="EB65">
            <v>2008545</v>
          </cell>
          <cell r="EE65">
            <v>2008545</v>
          </cell>
          <cell r="EG65">
            <v>2008545</v>
          </cell>
          <cell r="EI65">
            <v>-2008545</v>
          </cell>
        </row>
        <row r="66">
          <cell r="A66">
            <v>23146</v>
          </cell>
          <cell r="B66" t="str">
            <v>Mental Health America of Los Angeles</v>
          </cell>
          <cell r="C66">
            <v>72</v>
          </cell>
          <cell r="D66" t="str">
            <v>528749</v>
          </cell>
          <cell r="E66">
            <v>23146</v>
          </cell>
          <cell r="F66" t="str">
            <v>09C00079</v>
          </cell>
          <cell r="G66" t="str">
            <v>528749</v>
          </cell>
          <cell r="H66" t="str">
            <v>00200</v>
          </cell>
          <cell r="I66" t="str">
            <v>30</v>
          </cell>
          <cell r="K66" t="str">
            <v>Mental Health Association of Greater LA (National )</v>
          </cell>
          <cell r="L66" t="str">
            <v>MH120375</v>
          </cell>
          <cell r="M66" t="str">
            <v>New</v>
          </cell>
          <cell r="N66">
            <v>0</v>
          </cell>
          <cell r="Q66">
            <v>395600</v>
          </cell>
          <cell r="S66">
            <v>456700</v>
          </cell>
          <cell r="T66">
            <v>620980</v>
          </cell>
          <cell r="AL66">
            <v>110000</v>
          </cell>
          <cell r="AR66">
            <v>0</v>
          </cell>
          <cell r="AS66">
            <v>0</v>
          </cell>
          <cell r="AV66">
            <v>338800</v>
          </cell>
          <cell r="AW66">
            <v>305400</v>
          </cell>
          <cell r="AZ66">
            <v>0</v>
          </cell>
          <cell r="BJ66">
            <v>42903</v>
          </cell>
          <cell r="BK66">
            <v>168000</v>
          </cell>
          <cell r="BM66">
            <v>2010800</v>
          </cell>
          <cell r="BO66">
            <v>825500</v>
          </cell>
          <cell r="BS66">
            <v>2688420</v>
          </cell>
          <cell r="BV66">
            <v>815000</v>
          </cell>
          <cell r="CY66">
            <v>348000</v>
          </cell>
          <cell r="DF66">
            <v>1000000</v>
          </cell>
          <cell r="DP66">
            <v>691750</v>
          </cell>
          <cell r="DQ66">
            <v>597534</v>
          </cell>
          <cell r="DR66">
            <v>51313</v>
          </cell>
          <cell r="DS66">
            <v>0</v>
          </cell>
          <cell r="DT66">
            <v>0</v>
          </cell>
          <cell r="DU66">
            <v>3287050</v>
          </cell>
          <cell r="DV66">
            <v>282750</v>
          </cell>
          <cell r="DW66">
            <v>0</v>
          </cell>
          <cell r="EB66">
            <v>15036500</v>
          </cell>
          <cell r="EE66">
            <v>15036500</v>
          </cell>
          <cell r="EG66">
            <v>15036500</v>
          </cell>
          <cell r="EH66">
            <v>122976</v>
          </cell>
          <cell r="EI66">
            <v>-15036500</v>
          </cell>
        </row>
        <row r="67">
          <cell r="A67">
            <v>23149</v>
          </cell>
          <cell r="B67" t="str">
            <v>Penny Lane Centers</v>
          </cell>
          <cell r="C67">
            <v>85</v>
          </cell>
          <cell r="D67" t="str">
            <v>501198</v>
          </cell>
          <cell r="E67">
            <v>23149</v>
          </cell>
          <cell r="F67" t="str">
            <v>09C00127</v>
          </cell>
          <cell r="G67" t="str">
            <v>501198</v>
          </cell>
          <cell r="H67" t="str">
            <v>00201</v>
          </cell>
          <cell r="I67" t="str">
            <v>31</v>
          </cell>
          <cell r="K67" t="str">
            <v>Penny Lane (National Foundation for the Treatment)</v>
          </cell>
          <cell r="L67" t="str">
            <v>MH120248</v>
          </cell>
          <cell r="M67">
            <v>11</v>
          </cell>
          <cell r="N67">
            <v>0</v>
          </cell>
          <cell r="R67">
            <v>51900</v>
          </cell>
          <cell r="BV67">
            <v>48100</v>
          </cell>
          <cell r="BY67">
            <v>425000</v>
          </cell>
          <cell r="CE67">
            <v>75500</v>
          </cell>
          <cell r="CG67">
            <v>19613</v>
          </cell>
          <cell r="CI67">
            <v>59990</v>
          </cell>
          <cell r="CJ67">
            <v>25710</v>
          </cell>
          <cell r="CK67">
            <v>110160</v>
          </cell>
          <cell r="CL67">
            <v>30008</v>
          </cell>
          <cell r="CQ67">
            <v>23699</v>
          </cell>
          <cell r="DD67">
            <v>75000</v>
          </cell>
          <cell r="DJ67">
            <v>6900</v>
          </cell>
          <cell r="DK67">
            <v>325000</v>
          </cell>
          <cell r="DP67">
            <v>6229220</v>
          </cell>
          <cell r="DQ67">
            <v>5380800</v>
          </cell>
          <cell r="DR67">
            <v>775101</v>
          </cell>
          <cell r="DS67">
            <v>212485</v>
          </cell>
          <cell r="DT67">
            <v>114415</v>
          </cell>
          <cell r="DU67">
            <v>36400</v>
          </cell>
          <cell r="DV67">
            <v>36400</v>
          </cell>
          <cell r="EB67">
            <v>14061401</v>
          </cell>
          <cell r="EE67">
            <v>14061401</v>
          </cell>
          <cell r="EG67">
            <v>14061401</v>
          </cell>
          <cell r="EI67">
            <v>-14061401</v>
          </cell>
        </row>
        <row r="68">
          <cell r="A68">
            <v>23151</v>
          </cell>
          <cell r="B68" t="str">
            <v>Ocean Park Community Center</v>
          </cell>
          <cell r="C68">
            <v>75</v>
          </cell>
          <cell r="D68" t="str">
            <v>501201</v>
          </cell>
          <cell r="E68">
            <v>23151</v>
          </cell>
          <cell r="F68" t="str">
            <v>09C00081</v>
          </cell>
          <cell r="G68" t="str">
            <v>501201</v>
          </cell>
          <cell r="H68" t="str">
            <v>00305</v>
          </cell>
          <cell r="I68" t="str">
            <v>59</v>
          </cell>
          <cell r="K68" t="str">
            <v>Ocean Park Community Center</v>
          </cell>
          <cell r="L68" t="str">
            <v>MH120378</v>
          </cell>
          <cell r="M68" t="str">
            <v>New</v>
          </cell>
          <cell r="N68">
            <v>0</v>
          </cell>
          <cell r="BV68">
            <v>12400</v>
          </cell>
          <cell r="CY68">
            <v>195548</v>
          </cell>
          <cell r="EB68">
            <v>207948</v>
          </cell>
          <cell r="EE68">
            <v>207948</v>
          </cell>
          <cell r="EG68">
            <v>207948</v>
          </cell>
          <cell r="EI68">
            <v>-207948</v>
          </cell>
        </row>
        <row r="69">
          <cell r="A69">
            <v>23153</v>
          </cell>
          <cell r="B69" t="str">
            <v>Pacific Clinics</v>
          </cell>
          <cell r="C69">
            <v>80</v>
          </cell>
          <cell r="D69" t="str">
            <v>501202</v>
          </cell>
          <cell r="E69">
            <v>23153</v>
          </cell>
          <cell r="F69" t="str">
            <v>09C00083</v>
          </cell>
          <cell r="G69" t="str">
            <v>501202</v>
          </cell>
          <cell r="H69" t="str">
            <v>00203</v>
          </cell>
          <cell r="I69" t="str">
            <v>32</v>
          </cell>
          <cell r="K69" t="str">
            <v>Pacific Clinics</v>
          </cell>
          <cell r="L69" t="str">
            <v>MH120144</v>
          </cell>
          <cell r="M69">
            <v>26</v>
          </cell>
          <cell r="N69">
            <v>935001</v>
          </cell>
          <cell r="O69">
            <v>342000</v>
          </cell>
          <cell r="P69">
            <v>402967</v>
          </cell>
          <cell r="Q69">
            <v>980000</v>
          </cell>
          <cell r="S69">
            <v>1955968</v>
          </cell>
          <cell r="T69">
            <v>388400</v>
          </cell>
          <cell r="V69">
            <v>240000</v>
          </cell>
          <cell r="W69">
            <v>261700</v>
          </cell>
          <cell r="AL69">
            <v>2422381</v>
          </cell>
          <cell r="AO69">
            <v>20000</v>
          </cell>
          <cell r="AQ69">
            <v>318350</v>
          </cell>
          <cell r="AU69">
            <v>119108</v>
          </cell>
          <cell r="AV69">
            <v>658324</v>
          </cell>
          <cell r="AW69">
            <v>2259648</v>
          </cell>
          <cell r="AX69">
            <v>300000</v>
          </cell>
          <cell r="AY69">
            <v>10925</v>
          </cell>
          <cell r="AZ69">
            <v>40626</v>
          </cell>
          <cell r="BG69">
            <v>205730</v>
          </cell>
          <cell r="BI69">
            <v>66500</v>
          </cell>
          <cell r="BJ69">
            <v>84852</v>
          </cell>
          <cell r="BK69">
            <v>273000</v>
          </cell>
          <cell r="BM69">
            <v>1733434</v>
          </cell>
          <cell r="BN69">
            <v>480000</v>
          </cell>
          <cell r="BO69">
            <v>350000</v>
          </cell>
          <cell r="BS69">
            <v>600000</v>
          </cell>
          <cell r="BU69">
            <v>37300</v>
          </cell>
          <cell r="BV69">
            <v>656761</v>
          </cell>
          <cell r="BY69">
            <v>2444400</v>
          </cell>
          <cell r="BZ69">
            <v>270000</v>
          </cell>
          <cell r="CA69">
            <v>30000</v>
          </cell>
          <cell r="CD69">
            <v>260000</v>
          </cell>
          <cell r="CE69">
            <v>167400</v>
          </cell>
          <cell r="CI69">
            <v>50470</v>
          </cell>
          <cell r="CJ69">
            <v>21630</v>
          </cell>
          <cell r="CK69">
            <v>89660</v>
          </cell>
          <cell r="CL69">
            <v>13664</v>
          </cell>
          <cell r="CR69">
            <v>62312</v>
          </cell>
          <cell r="CY69">
            <v>25000</v>
          </cell>
          <cell r="DA69">
            <v>50000</v>
          </cell>
          <cell r="DD69">
            <v>75000</v>
          </cell>
          <cell r="DF69">
            <v>80000</v>
          </cell>
          <cell r="DJ69">
            <v>700000</v>
          </cell>
          <cell r="DK69">
            <v>650000</v>
          </cell>
          <cell r="DP69">
            <v>17168520</v>
          </cell>
          <cell r="DQ69">
            <v>14830168</v>
          </cell>
          <cell r="DR69">
            <v>1971795</v>
          </cell>
          <cell r="DS69">
            <v>1407250</v>
          </cell>
          <cell r="DT69">
            <v>691250</v>
          </cell>
          <cell r="DU69">
            <v>13044184</v>
          </cell>
          <cell r="DV69">
            <v>9889400</v>
          </cell>
          <cell r="EB69">
            <v>79200077</v>
          </cell>
          <cell r="EE69">
            <v>79200077</v>
          </cell>
          <cell r="EG69">
            <v>79200077</v>
          </cell>
          <cell r="EH69">
            <v>478093.67</v>
          </cell>
          <cell r="EI69">
            <v>-78265076</v>
          </cell>
        </row>
        <row r="70">
          <cell r="A70">
            <v>23157</v>
          </cell>
          <cell r="B70" t="str">
            <v>The Guidance Center</v>
          </cell>
          <cell r="C70">
            <v>110</v>
          </cell>
          <cell r="D70" t="str">
            <v>501206</v>
          </cell>
          <cell r="E70">
            <v>23157</v>
          </cell>
          <cell r="F70" t="str">
            <v>09C00054</v>
          </cell>
          <cell r="G70" t="str">
            <v>501206</v>
          </cell>
          <cell r="H70" t="str">
            <v>00191</v>
          </cell>
          <cell r="I70" t="str">
            <v>20</v>
          </cell>
          <cell r="K70" t="str">
            <v>The Guidance Center (Greater Long Beach Child Guidance Ctr., Inc)</v>
          </cell>
          <cell r="L70" t="str">
            <v>MH120404</v>
          </cell>
          <cell r="M70" t="str">
            <v>New</v>
          </cell>
          <cell r="N70">
            <v>0</v>
          </cell>
          <cell r="O70">
            <v>114900</v>
          </cell>
          <cell r="P70">
            <v>68200</v>
          </cell>
          <cell r="AU70">
            <v>20200</v>
          </cell>
          <cell r="BG70">
            <v>27172</v>
          </cell>
          <cell r="BI70">
            <v>50120</v>
          </cell>
          <cell r="BV70">
            <v>280700</v>
          </cell>
          <cell r="BY70">
            <v>345000</v>
          </cell>
          <cell r="CE70">
            <v>168900</v>
          </cell>
          <cell r="CI70">
            <v>10500</v>
          </cell>
          <cell r="CJ70">
            <v>4500</v>
          </cell>
          <cell r="DJ70">
            <v>169800</v>
          </cell>
          <cell r="DK70">
            <v>488400</v>
          </cell>
          <cell r="DP70">
            <v>3979000</v>
          </cell>
          <cell r="DQ70">
            <v>3437060</v>
          </cell>
          <cell r="DR70">
            <v>514768</v>
          </cell>
          <cell r="DS70">
            <v>295295</v>
          </cell>
          <cell r="DT70">
            <v>108885</v>
          </cell>
          <cell r="DU70">
            <v>31000</v>
          </cell>
          <cell r="DV70">
            <v>31000</v>
          </cell>
          <cell r="EB70">
            <v>10145400</v>
          </cell>
          <cell r="EE70">
            <v>10145400</v>
          </cell>
          <cell r="EG70">
            <v>10145400</v>
          </cell>
          <cell r="EH70">
            <v>55026</v>
          </cell>
          <cell r="EI70">
            <v>-10145400</v>
          </cell>
        </row>
        <row r="71">
          <cell r="A71">
            <v>23162</v>
          </cell>
          <cell r="B71" t="str">
            <v>Child and Family Guidance Center</v>
          </cell>
          <cell r="C71">
            <v>19</v>
          </cell>
          <cell r="D71" t="str">
            <v>501210</v>
          </cell>
          <cell r="E71">
            <v>23162</v>
          </cell>
          <cell r="F71" t="str">
            <v>09C00012</v>
          </cell>
          <cell r="G71" t="str">
            <v>501210</v>
          </cell>
          <cell r="H71" t="str">
            <v>00207</v>
          </cell>
          <cell r="I71" t="str">
            <v>36</v>
          </cell>
          <cell r="K71" t="str">
            <v>Child and Family Guidance Center  (SFV)</v>
          </cell>
          <cell r="L71" t="str">
            <v>MH120329</v>
          </cell>
          <cell r="M71" t="str">
            <v>New</v>
          </cell>
          <cell r="N71">
            <v>0</v>
          </cell>
          <cell r="O71">
            <v>114000</v>
          </cell>
          <cell r="P71">
            <v>121000</v>
          </cell>
          <cell r="AB71">
            <v>120300</v>
          </cell>
          <cell r="AC71">
            <v>13400</v>
          </cell>
          <cell r="AG71">
            <v>112100</v>
          </cell>
          <cell r="AH71">
            <v>12500</v>
          </cell>
          <cell r="AU71">
            <v>35800</v>
          </cell>
          <cell r="BG71">
            <v>56932</v>
          </cell>
          <cell r="BI71">
            <v>33250</v>
          </cell>
          <cell r="BV71">
            <v>481800</v>
          </cell>
          <cell r="BY71">
            <v>290000</v>
          </cell>
          <cell r="CD71">
            <v>75000</v>
          </cell>
          <cell r="CE71">
            <v>51100</v>
          </cell>
          <cell r="CI71">
            <v>10010</v>
          </cell>
          <cell r="CJ71">
            <v>4290</v>
          </cell>
          <cell r="CQ71">
            <v>24107</v>
          </cell>
          <cell r="DE71">
            <v>57500</v>
          </cell>
          <cell r="DJ71">
            <v>520700</v>
          </cell>
          <cell r="DK71">
            <v>1277300</v>
          </cell>
          <cell r="DP71">
            <v>7686350</v>
          </cell>
          <cell r="DQ71">
            <v>6639469</v>
          </cell>
          <cell r="DR71">
            <v>965842</v>
          </cell>
          <cell r="DS71">
            <v>1199250</v>
          </cell>
          <cell r="DT71">
            <v>612500</v>
          </cell>
          <cell r="DU71">
            <v>18750</v>
          </cell>
          <cell r="DV71">
            <v>18750</v>
          </cell>
          <cell r="EB71">
            <v>20552000</v>
          </cell>
          <cell r="EE71">
            <v>20552000</v>
          </cell>
          <cell r="EG71">
            <v>20552000</v>
          </cell>
          <cell r="EI71">
            <v>-20552000</v>
          </cell>
        </row>
        <row r="72">
          <cell r="A72">
            <v>23163</v>
          </cell>
          <cell r="B72" t="str">
            <v>San Fernando Valley Community Mental Health Center, Inc.</v>
          </cell>
          <cell r="C72">
            <v>91</v>
          </cell>
          <cell r="D72" t="str">
            <v>501208</v>
          </cell>
          <cell r="E72">
            <v>23163</v>
          </cell>
          <cell r="F72" t="str">
            <v>09C00004</v>
          </cell>
          <cell r="G72" t="str">
            <v>501208</v>
          </cell>
          <cell r="H72" t="str">
            <v>00208</v>
          </cell>
          <cell r="I72" t="str">
            <v>36,37</v>
          </cell>
          <cell r="K72" t="str">
            <v>San Fernando Valley Community MHC</v>
          </cell>
          <cell r="L72" t="str">
            <v>MH120391</v>
          </cell>
          <cell r="M72" t="str">
            <v>New</v>
          </cell>
          <cell r="N72">
            <v>0</v>
          </cell>
          <cell r="O72">
            <v>152000</v>
          </cell>
          <cell r="P72">
            <v>171600</v>
          </cell>
          <cell r="Q72">
            <v>196000</v>
          </cell>
          <cell r="R72">
            <v>169300</v>
          </cell>
          <cell r="S72">
            <v>579600</v>
          </cell>
          <cell r="T72">
            <v>32612</v>
          </cell>
          <cell r="V72">
            <v>96000</v>
          </cell>
          <cell r="W72">
            <v>78900</v>
          </cell>
          <cell r="AL72">
            <v>4000</v>
          </cell>
          <cell r="AM72">
            <v>6000</v>
          </cell>
          <cell r="AN72">
            <v>409600</v>
          </cell>
          <cell r="AO72">
            <v>6700</v>
          </cell>
          <cell r="AQ72">
            <v>114450</v>
          </cell>
          <cell r="AU72">
            <v>50700</v>
          </cell>
          <cell r="AV72">
            <v>141200</v>
          </cell>
          <cell r="AW72">
            <v>673200</v>
          </cell>
          <cell r="AX72">
            <v>120000</v>
          </cell>
          <cell r="BG72">
            <v>85397</v>
          </cell>
          <cell r="BI72">
            <v>26600</v>
          </cell>
          <cell r="BJ72">
            <v>17161</v>
          </cell>
          <cell r="BK72">
            <v>56000</v>
          </cell>
          <cell r="BM72">
            <v>518100</v>
          </cell>
          <cell r="BN72">
            <v>192000</v>
          </cell>
          <cell r="BO72">
            <v>498100</v>
          </cell>
          <cell r="BS72">
            <v>698288</v>
          </cell>
          <cell r="BU72">
            <v>12400</v>
          </cell>
          <cell r="BV72">
            <v>858800</v>
          </cell>
          <cell r="BY72">
            <v>712000</v>
          </cell>
          <cell r="BZ72">
            <v>270000</v>
          </cell>
          <cell r="CA72">
            <v>30000</v>
          </cell>
          <cell r="CI72">
            <v>30030</v>
          </cell>
          <cell r="CJ72">
            <v>12870</v>
          </cell>
          <cell r="CY72">
            <v>40000</v>
          </cell>
          <cell r="DA72">
            <v>50000</v>
          </cell>
          <cell r="DD72">
            <v>132500</v>
          </cell>
          <cell r="DF72">
            <v>40000</v>
          </cell>
          <cell r="DK72">
            <v>464200</v>
          </cell>
          <cell r="DP72">
            <v>5352500</v>
          </cell>
          <cell r="DQ72">
            <v>4623490</v>
          </cell>
          <cell r="DR72">
            <v>626453</v>
          </cell>
          <cell r="DS72">
            <v>375375</v>
          </cell>
          <cell r="DT72">
            <v>175525</v>
          </cell>
          <cell r="DU72">
            <v>5372950</v>
          </cell>
          <cell r="DV72">
            <v>3584700</v>
          </cell>
          <cell r="EB72">
            <v>27857301</v>
          </cell>
          <cell r="EE72">
            <v>27857301</v>
          </cell>
          <cell r="EG72">
            <v>27857301</v>
          </cell>
          <cell r="EI72">
            <v>-27857301</v>
          </cell>
        </row>
        <row r="73">
          <cell r="A73">
            <v>23164</v>
          </cell>
          <cell r="B73" t="str">
            <v>HealthView, Inc. dba Harbor View House</v>
          </cell>
          <cell r="C73">
            <v>54</v>
          </cell>
          <cell r="D73" t="str">
            <v>501212</v>
          </cell>
          <cell r="E73">
            <v>23164</v>
          </cell>
          <cell r="F73" t="str">
            <v>09C00057</v>
          </cell>
          <cell r="G73" t="str">
            <v>501212</v>
          </cell>
          <cell r="H73" t="str">
            <v>00209</v>
          </cell>
          <cell r="I73" t="str">
            <v>38</v>
          </cell>
          <cell r="K73" t="str">
            <v>Health View Behavioral Services Ctr. (San Pedro Residential Ctr.)</v>
          </cell>
          <cell r="L73" t="str">
            <v>MH120358</v>
          </cell>
          <cell r="M73" t="str">
            <v>New</v>
          </cell>
          <cell r="N73">
            <v>0</v>
          </cell>
          <cell r="BO73">
            <v>88950</v>
          </cell>
          <cell r="DU73">
            <v>473900</v>
          </cell>
          <cell r="DV73">
            <v>384950</v>
          </cell>
          <cell r="EB73">
            <v>947800</v>
          </cell>
          <cell r="EE73">
            <v>947800</v>
          </cell>
          <cell r="EG73">
            <v>947800</v>
          </cell>
          <cell r="EI73">
            <v>-947800</v>
          </cell>
        </row>
        <row r="74">
          <cell r="A74">
            <v>23165</v>
          </cell>
          <cell r="B74" t="str">
            <v>Child and Family Center</v>
          </cell>
          <cell r="C74">
            <v>18</v>
          </cell>
          <cell r="D74" t="str">
            <v>501213</v>
          </cell>
          <cell r="E74">
            <v>23165</v>
          </cell>
          <cell r="F74" t="str">
            <v>09C00011</v>
          </cell>
          <cell r="G74" t="str">
            <v>501213</v>
          </cell>
          <cell r="H74" t="str">
            <v>00210</v>
          </cell>
          <cell r="I74" t="str">
            <v>39</v>
          </cell>
          <cell r="K74" t="str">
            <v>Child and Family Center (Santa Clarita Valley Child)</v>
          </cell>
          <cell r="L74" t="str">
            <v>MH120202</v>
          </cell>
          <cell r="M74" t="str">
            <v>New</v>
          </cell>
          <cell r="N74">
            <v>0</v>
          </cell>
          <cell r="O74">
            <v>57000</v>
          </cell>
          <cell r="P74">
            <v>57200</v>
          </cell>
          <cell r="Q74">
            <v>70000</v>
          </cell>
          <cell r="AB74">
            <v>29700</v>
          </cell>
          <cell r="AC74">
            <v>3300</v>
          </cell>
          <cell r="AG74">
            <v>29700</v>
          </cell>
          <cell r="AH74">
            <v>3300</v>
          </cell>
          <cell r="AL74">
            <v>29700</v>
          </cell>
          <cell r="AM74">
            <v>3300</v>
          </cell>
          <cell r="AU74">
            <v>16900</v>
          </cell>
          <cell r="AV74">
            <v>53000</v>
          </cell>
          <cell r="BG74">
            <v>27172</v>
          </cell>
          <cell r="BI74">
            <v>13300</v>
          </cell>
          <cell r="BJ74">
            <v>6674</v>
          </cell>
          <cell r="BK74">
            <v>21000</v>
          </cell>
          <cell r="BV74">
            <v>224100</v>
          </cell>
          <cell r="BY74">
            <v>538600</v>
          </cell>
          <cell r="CD74">
            <v>91700</v>
          </cell>
          <cell r="CE74">
            <v>18000</v>
          </cell>
          <cell r="CG74">
            <v>19613</v>
          </cell>
          <cell r="DH74">
            <v>0</v>
          </cell>
          <cell r="DJ74">
            <v>378600</v>
          </cell>
          <cell r="DK74">
            <v>1607600</v>
          </cell>
          <cell r="DP74">
            <v>2341000</v>
          </cell>
          <cell r="DQ74">
            <v>2022156</v>
          </cell>
          <cell r="DR74">
            <v>265386</v>
          </cell>
          <cell r="DS74">
            <v>210470</v>
          </cell>
          <cell r="DT74">
            <v>100030</v>
          </cell>
          <cell r="DU74">
            <v>125800</v>
          </cell>
          <cell r="DV74">
            <v>104800</v>
          </cell>
          <cell r="EB74">
            <v>8469101</v>
          </cell>
          <cell r="EE74">
            <v>8469101</v>
          </cell>
          <cell r="EG74">
            <v>8469101</v>
          </cell>
          <cell r="EH74">
            <v>27232</v>
          </cell>
          <cell r="EI74">
            <v>-8469101</v>
          </cell>
        </row>
        <row r="75">
          <cell r="A75">
            <v>23167</v>
          </cell>
          <cell r="B75" t="str">
            <v>St. Joseph Center</v>
          </cell>
          <cell r="C75">
            <v>103</v>
          </cell>
          <cell r="D75" t="str">
            <v>501218</v>
          </cell>
          <cell r="E75">
            <v>23167</v>
          </cell>
          <cell r="F75" t="str">
            <v>09C00104</v>
          </cell>
          <cell r="G75" t="str">
            <v>501218</v>
          </cell>
          <cell r="H75" t="str">
            <v>00218</v>
          </cell>
          <cell r="I75" t="str">
            <v>47</v>
          </cell>
          <cell r="K75" t="str">
            <v>St. Joseph Center</v>
          </cell>
          <cell r="L75" t="str">
            <v>MH120260</v>
          </cell>
          <cell r="M75">
            <v>9</v>
          </cell>
          <cell r="N75">
            <v>0</v>
          </cell>
          <cell r="W75">
            <v>66600</v>
          </cell>
          <cell r="AL75">
            <v>33400</v>
          </cell>
          <cell r="AO75">
            <v>3000</v>
          </cell>
          <cell r="AQ75">
            <v>116000</v>
          </cell>
          <cell r="BU75">
            <v>11100</v>
          </cell>
          <cell r="BV75">
            <v>7600</v>
          </cell>
          <cell r="CY75">
            <v>99564</v>
          </cell>
          <cell r="DU75">
            <v>286000</v>
          </cell>
          <cell r="DV75">
            <v>170000</v>
          </cell>
          <cell r="EB75">
            <v>793264</v>
          </cell>
          <cell r="EE75">
            <v>793264</v>
          </cell>
          <cell r="EG75">
            <v>793264</v>
          </cell>
          <cell r="EI75">
            <v>-793264</v>
          </cell>
        </row>
        <row r="76">
          <cell r="A76">
            <v>23168</v>
          </cell>
          <cell r="B76" t="str">
            <v>Social Model Recovery Systems, Inc.</v>
          </cell>
          <cell r="C76">
            <v>95</v>
          </cell>
          <cell r="D76" t="str">
            <v>501214</v>
          </cell>
          <cell r="E76">
            <v>23168</v>
          </cell>
          <cell r="F76" t="str">
            <v>09C00098</v>
          </cell>
          <cell r="G76" t="str">
            <v>501214</v>
          </cell>
          <cell r="H76" t="str">
            <v>00212</v>
          </cell>
          <cell r="I76" t="str">
            <v>41</v>
          </cell>
          <cell r="K76" t="str">
            <v>Social Model Recovery Systems, Inc (dba The River Community)</v>
          </cell>
          <cell r="L76" t="str">
            <v>MH120394</v>
          </cell>
          <cell r="M76" t="str">
            <v>New</v>
          </cell>
          <cell r="N76">
            <v>0</v>
          </cell>
          <cell r="T76">
            <v>200000</v>
          </cell>
          <cell r="BO76">
            <v>350200</v>
          </cell>
          <cell r="BS76">
            <v>0</v>
          </cell>
          <cell r="CS76">
            <v>418700</v>
          </cell>
          <cell r="DP76">
            <v>106050</v>
          </cell>
          <cell r="DQ76">
            <v>91606</v>
          </cell>
          <cell r="DR76">
            <v>14444</v>
          </cell>
          <cell r="DS76">
            <v>0</v>
          </cell>
          <cell r="DT76">
            <v>0</v>
          </cell>
          <cell r="DU76">
            <v>1000250</v>
          </cell>
          <cell r="DV76">
            <v>650050</v>
          </cell>
          <cell r="EB76">
            <v>2831300</v>
          </cell>
          <cell r="EE76">
            <v>2831300</v>
          </cell>
          <cell r="EG76">
            <v>2831300</v>
          </cell>
          <cell r="EI76">
            <v>-2831300</v>
          </cell>
        </row>
        <row r="77">
          <cell r="A77">
            <v>23169</v>
          </cell>
          <cell r="B77" t="str">
            <v>South Bay Children's Health Center Association, Inc.</v>
          </cell>
          <cell r="C77">
            <v>96</v>
          </cell>
          <cell r="D77" t="str">
            <v>501215</v>
          </cell>
          <cell r="E77">
            <v>23169</v>
          </cell>
          <cell r="F77" t="str">
            <v>09C00099</v>
          </cell>
          <cell r="G77" t="str">
            <v>501215</v>
          </cell>
          <cell r="H77" t="str">
            <v>00213</v>
          </cell>
          <cell r="I77" t="str">
            <v>42</v>
          </cell>
          <cell r="K77" t="str">
            <v>South Bay Children's Health Center</v>
          </cell>
          <cell r="L77" t="str">
            <v>MH120395</v>
          </cell>
          <cell r="M77" t="str">
            <v>New</v>
          </cell>
          <cell r="N77">
            <v>0</v>
          </cell>
          <cell r="BV77">
            <v>9900</v>
          </cell>
          <cell r="DJ77">
            <v>95100</v>
          </cell>
          <cell r="DK77">
            <v>29200</v>
          </cell>
          <cell r="DP77">
            <v>305350</v>
          </cell>
          <cell r="DQ77">
            <v>263761</v>
          </cell>
          <cell r="DR77">
            <v>41589</v>
          </cell>
          <cell r="DS77">
            <v>22165</v>
          </cell>
          <cell r="DT77">
            <v>11935</v>
          </cell>
          <cell r="EB77">
            <v>779000</v>
          </cell>
          <cell r="EE77">
            <v>779000</v>
          </cell>
          <cell r="EG77">
            <v>779000</v>
          </cell>
          <cell r="EI77">
            <v>-779000</v>
          </cell>
        </row>
        <row r="78">
          <cell r="A78">
            <v>23170</v>
          </cell>
          <cell r="B78" t="str">
            <v>Special Service for Groups</v>
          </cell>
          <cell r="C78">
            <v>98</v>
          </cell>
          <cell r="D78" t="str">
            <v>501216</v>
          </cell>
          <cell r="E78">
            <v>23170</v>
          </cell>
          <cell r="F78" t="str">
            <v>09C00101</v>
          </cell>
          <cell r="G78" t="str">
            <v>501216</v>
          </cell>
          <cell r="H78" t="str">
            <v>00214</v>
          </cell>
          <cell r="I78" t="str">
            <v>43</v>
          </cell>
          <cell r="K78" t="str">
            <v xml:space="preserve">Special Service For Groups </v>
          </cell>
          <cell r="L78" t="str">
            <v>MH120397</v>
          </cell>
          <cell r="M78" t="str">
            <v>New</v>
          </cell>
          <cell r="N78">
            <v>0</v>
          </cell>
          <cell r="O78">
            <v>228000</v>
          </cell>
          <cell r="P78">
            <v>270600</v>
          </cell>
          <cell r="Q78">
            <v>756000</v>
          </cell>
          <cell r="S78">
            <v>712600</v>
          </cell>
          <cell r="T78">
            <v>70000</v>
          </cell>
          <cell r="U78">
            <v>280000</v>
          </cell>
          <cell r="V78">
            <v>72000</v>
          </cell>
          <cell r="W78">
            <v>289200</v>
          </cell>
          <cell r="AA78">
            <v>249400</v>
          </cell>
          <cell r="AM78">
            <v>12400</v>
          </cell>
          <cell r="AN78">
            <v>616850</v>
          </cell>
          <cell r="AO78">
            <v>25800</v>
          </cell>
          <cell r="AQ78">
            <v>460550</v>
          </cell>
          <cell r="AS78">
            <v>0</v>
          </cell>
          <cell r="AT78">
            <v>150000</v>
          </cell>
          <cell r="AU78">
            <v>80000</v>
          </cell>
          <cell r="AV78">
            <v>550700</v>
          </cell>
          <cell r="AW78">
            <v>862300</v>
          </cell>
          <cell r="AX78">
            <v>90000</v>
          </cell>
          <cell r="BG78">
            <v>139741</v>
          </cell>
          <cell r="BI78">
            <v>19950</v>
          </cell>
          <cell r="BJ78">
            <v>67691</v>
          </cell>
          <cell r="BK78">
            <v>217000</v>
          </cell>
          <cell r="BM78">
            <v>682800</v>
          </cell>
          <cell r="BN78">
            <v>144000</v>
          </cell>
          <cell r="BP78">
            <v>210000</v>
          </cell>
          <cell r="BS78">
            <v>421000</v>
          </cell>
          <cell r="BU78">
            <v>47000</v>
          </cell>
          <cell r="BV78">
            <v>193500</v>
          </cell>
          <cell r="BY78">
            <v>250000</v>
          </cell>
          <cell r="CG78">
            <v>19613</v>
          </cell>
          <cell r="CH78">
            <v>0</v>
          </cell>
          <cell r="CI78">
            <v>21840</v>
          </cell>
          <cell r="CJ78">
            <v>9360</v>
          </cell>
          <cell r="DB78">
            <v>0</v>
          </cell>
          <cell r="DJ78">
            <v>1700</v>
          </cell>
          <cell r="DK78">
            <v>140600</v>
          </cell>
          <cell r="DL78">
            <v>295175</v>
          </cell>
          <cell r="DM78">
            <v>40000</v>
          </cell>
          <cell r="DP78">
            <v>4921150</v>
          </cell>
          <cell r="DQ78">
            <v>4250889</v>
          </cell>
          <cell r="DR78">
            <v>443215</v>
          </cell>
          <cell r="DS78">
            <v>206830</v>
          </cell>
          <cell r="DT78">
            <v>91420</v>
          </cell>
          <cell r="DU78">
            <v>5173200</v>
          </cell>
          <cell r="DV78">
            <v>2802000</v>
          </cell>
          <cell r="EB78">
            <v>26586074</v>
          </cell>
          <cell r="EE78">
            <v>26586074</v>
          </cell>
          <cell r="EG78">
            <v>26586074</v>
          </cell>
          <cell r="EH78">
            <v>11328.44</v>
          </cell>
          <cell r="EI78">
            <v>-26586074</v>
          </cell>
        </row>
        <row r="79">
          <cell r="A79">
            <v>23171</v>
          </cell>
          <cell r="B79" t="str">
            <v>St. John's Hospital and Health Center</v>
          </cell>
          <cell r="C79">
            <v>102</v>
          </cell>
          <cell r="D79" t="str">
            <v>501217</v>
          </cell>
          <cell r="E79">
            <v>23171</v>
          </cell>
          <cell r="F79" t="str">
            <v>09C00102</v>
          </cell>
          <cell r="G79" t="str">
            <v>501217</v>
          </cell>
          <cell r="H79" t="str">
            <v>00217</v>
          </cell>
          <cell r="I79" t="str">
            <v>46</v>
          </cell>
          <cell r="K79" t="str">
            <v>St. John's Hospital and Health Center</v>
          </cell>
          <cell r="L79" t="str">
            <v>MH120399</v>
          </cell>
          <cell r="M79" t="str">
            <v>New</v>
          </cell>
          <cell r="N79">
            <v>0</v>
          </cell>
          <cell r="AB79">
            <v>133500</v>
          </cell>
          <cell r="BV79">
            <v>334800</v>
          </cell>
          <cell r="CD79">
            <v>71700</v>
          </cell>
          <cell r="DK79">
            <v>30200</v>
          </cell>
          <cell r="DP79">
            <v>623700</v>
          </cell>
          <cell r="DQ79">
            <v>538752</v>
          </cell>
          <cell r="DR79">
            <v>84948</v>
          </cell>
          <cell r="DS79">
            <v>135525</v>
          </cell>
          <cell r="DT79">
            <v>72975</v>
          </cell>
          <cell r="DU79">
            <v>170200</v>
          </cell>
          <cell r="DV79">
            <v>170200</v>
          </cell>
          <cell r="EB79">
            <v>2366500</v>
          </cell>
          <cell r="EE79">
            <v>2366500</v>
          </cell>
          <cell r="EG79">
            <v>2366500</v>
          </cell>
          <cell r="EH79">
            <v>15069</v>
          </cell>
          <cell r="EI79">
            <v>-2366500</v>
          </cell>
        </row>
        <row r="80">
          <cell r="A80">
            <v>23172</v>
          </cell>
          <cell r="B80" t="str">
            <v>Telecare Corporation</v>
          </cell>
          <cell r="C80">
            <v>136</v>
          </cell>
          <cell r="D80" t="str">
            <v>501221</v>
          </cell>
          <cell r="E80">
            <v>23172</v>
          </cell>
          <cell r="F80" t="str">
            <v>09C00135</v>
          </cell>
          <cell r="G80" t="str">
            <v>501221</v>
          </cell>
          <cell r="H80" t="str">
            <v>00108</v>
          </cell>
          <cell r="I80" t="str">
            <v>3</v>
          </cell>
          <cell r="K80" t="str">
            <v>Telecare Corporation</v>
          </cell>
          <cell r="L80" t="str">
            <v>MH120267</v>
          </cell>
          <cell r="M80">
            <v>9</v>
          </cell>
          <cell r="N80">
            <v>245000</v>
          </cell>
          <cell r="S80">
            <v>1223000</v>
          </cell>
          <cell r="U80">
            <v>356300</v>
          </cell>
          <cell r="V80">
            <v>101000</v>
          </cell>
          <cell r="AW80">
            <v>1052000</v>
          </cell>
          <cell r="AX80">
            <v>66000</v>
          </cell>
          <cell r="BM80">
            <v>1589100</v>
          </cell>
          <cell r="BN80">
            <v>108000</v>
          </cell>
          <cell r="BP80">
            <v>118750</v>
          </cell>
          <cell r="BV80">
            <v>1213800</v>
          </cell>
          <cell r="DP80">
            <v>46300</v>
          </cell>
          <cell r="DQ80">
            <v>39994</v>
          </cell>
          <cell r="DR80">
            <v>6306</v>
          </cell>
          <cell r="DS80">
            <v>0</v>
          </cell>
          <cell r="DT80">
            <v>0</v>
          </cell>
          <cell r="DU80">
            <v>2993350</v>
          </cell>
          <cell r="DV80">
            <v>1177500</v>
          </cell>
          <cell r="DZ80">
            <v>245000</v>
          </cell>
          <cell r="EB80">
            <v>10336400</v>
          </cell>
          <cell r="EE80">
            <v>10336400</v>
          </cell>
          <cell r="EG80">
            <v>10336400</v>
          </cell>
          <cell r="EI80">
            <v>-10091400</v>
          </cell>
        </row>
        <row r="81">
          <cell r="A81">
            <v>23173</v>
          </cell>
          <cell r="B81" t="str">
            <v>Amanecer Community Counseling Services, Inc.</v>
          </cell>
          <cell r="C81">
            <v>5</v>
          </cell>
          <cell r="D81" t="str">
            <v>501173</v>
          </cell>
          <cell r="E81">
            <v>23173</v>
          </cell>
          <cell r="F81" t="str">
            <v>09C00003</v>
          </cell>
          <cell r="G81" t="str">
            <v>501173</v>
          </cell>
          <cell r="H81" t="str">
            <v>00180</v>
          </cell>
          <cell r="I81" t="str">
            <v>11</v>
          </cell>
          <cell r="K81" t="str">
            <v>Amanecer Community Counseling Service of Los Angeles, Inc.</v>
          </cell>
          <cell r="L81" t="str">
            <v>MH120318</v>
          </cell>
          <cell r="M81" t="str">
            <v>New</v>
          </cell>
          <cell r="N81">
            <v>0</v>
          </cell>
          <cell r="W81">
            <v>61273</v>
          </cell>
          <cell r="AG81">
            <v>31200</v>
          </cell>
          <cell r="AJ81">
            <v>31200</v>
          </cell>
          <cell r="AL81">
            <v>135700</v>
          </cell>
          <cell r="AN81">
            <v>7300</v>
          </cell>
          <cell r="AQ81">
            <v>38850</v>
          </cell>
          <cell r="BV81">
            <v>890427</v>
          </cell>
          <cell r="BY81">
            <v>384400</v>
          </cell>
          <cell r="CE81">
            <v>64700</v>
          </cell>
          <cell r="CG81">
            <v>9807</v>
          </cell>
          <cell r="CK81">
            <v>18000</v>
          </cell>
          <cell r="DG81">
            <v>40000</v>
          </cell>
          <cell r="DJ81">
            <v>4300</v>
          </cell>
          <cell r="DK81">
            <v>105600</v>
          </cell>
          <cell r="DP81">
            <v>1760100</v>
          </cell>
          <cell r="DQ81">
            <v>1520374</v>
          </cell>
          <cell r="DR81">
            <v>229919</v>
          </cell>
          <cell r="DS81">
            <v>53170</v>
          </cell>
          <cell r="DT81">
            <v>28630</v>
          </cell>
          <cell r="DU81">
            <v>480650</v>
          </cell>
          <cell r="DV81">
            <v>403300</v>
          </cell>
          <cell r="EB81">
            <v>6298900</v>
          </cell>
          <cell r="EE81">
            <v>6298900</v>
          </cell>
          <cell r="EG81">
            <v>6298900</v>
          </cell>
          <cell r="EI81">
            <v>-6298900</v>
          </cell>
        </row>
        <row r="82">
          <cell r="A82">
            <v>23174</v>
          </cell>
          <cell r="B82" t="str">
            <v>Health Research Association</v>
          </cell>
          <cell r="C82">
            <v>53</v>
          </cell>
          <cell r="D82" t="str">
            <v>041953</v>
          </cell>
          <cell r="E82">
            <v>23174</v>
          </cell>
          <cell r="F82" t="str">
            <v>09C00056</v>
          </cell>
          <cell r="G82" t="str">
            <v>041953</v>
          </cell>
          <cell r="H82" t="str">
            <v>00193</v>
          </cell>
          <cell r="I82" t="str">
            <v>23</v>
          </cell>
          <cell r="K82" t="str">
            <v>Health Research Assn. (dba USC Satellite Housing Program)</v>
          </cell>
          <cell r="L82" t="str">
            <v>MH120357</v>
          </cell>
          <cell r="M82" t="str">
            <v>New</v>
          </cell>
          <cell r="N82">
            <v>0</v>
          </cell>
          <cell r="U82">
            <v>21100</v>
          </cell>
          <cell r="BV82">
            <v>53600</v>
          </cell>
          <cell r="DU82">
            <v>101450</v>
          </cell>
          <cell r="DV82">
            <v>101450</v>
          </cell>
          <cell r="EB82">
            <v>277600</v>
          </cell>
          <cell r="EE82">
            <v>277600</v>
          </cell>
          <cell r="EG82">
            <v>277600</v>
          </cell>
          <cell r="EI82">
            <v>-277600</v>
          </cell>
        </row>
        <row r="83">
          <cell r="A83">
            <v>23175</v>
          </cell>
          <cell r="B83" t="str">
            <v>Transitional Living Centers for L.A. County, Inc.</v>
          </cell>
          <cell r="C83">
            <v>118</v>
          </cell>
          <cell r="D83" t="str">
            <v>501223</v>
          </cell>
          <cell r="E83">
            <v>23175</v>
          </cell>
          <cell r="F83" t="str">
            <v>09C00108</v>
          </cell>
          <cell r="G83" t="str">
            <v>501223</v>
          </cell>
          <cell r="H83" t="str">
            <v>00219</v>
          </cell>
          <cell r="I83" t="str">
            <v>48</v>
          </cell>
          <cell r="K83" t="str">
            <v>TLC Wellness Center (Transitional Living Centers)</v>
          </cell>
          <cell r="L83" t="str">
            <v>MH120413</v>
          </cell>
          <cell r="M83" t="str">
            <v>New</v>
          </cell>
          <cell r="N83">
            <v>0</v>
          </cell>
          <cell r="T83">
            <v>791300</v>
          </cell>
          <cell r="BV83">
            <v>306200</v>
          </cell>
          <cell r="DP83">
            <v>28400</v>
          </cell>
          <cell r="DQ83">
            <v>24532</v>
          </cell>
          <cell r="DR83">
            <v>3868</v>
          </cell>
          <cell r="DS83">
            <v>0</v>
          </cell>
          <cell r="DT83">
            <v>0</v>
          </cell>
          <cell r="DU83">
            <v>364300</v>
          </cell>
          <cell r="DV83">
            <v>364300</v>
          </cell>
          <cell r="EB83">
            <v>1882900</v>
          </cell>
          <cell r="EE83">
            <v>1882900</v>
          </cell>
          <cell r="EG83">
            <v>1882900</v>
          </cell>
          <cell r="EH83">
            <v>166937.5</v>
          </cell>
          <cell r="EI83">
            <v>-1882900</v>
          </cell>
        </row>
        <row r="84">
          <cell r="A84">
            <v>23176</v>
          </cell>
          <cell r="B84" t="str">
            <v>Travelers Aid Society of Los Angeles California</v>
          </cell>
          <cell r="C84">
            <v>119</v>
          </cell>
          <cell r="D84" t="str">
            <v>501224</v>
          </cell>
          <cell r="E84">
            <v>23176</v>
          </cell>
          <cell r="F84" t="str">
            <v>09C00109</v>
          </cell>
          <cell r="G84" t="str">
            <v>501224</v>
          </cell>
          <cell r="H84" t="str">
            <v>00309</v>
          </cell>
          <cell r="I84" t="str">
            <v>61</v>
          </cell>
          <cell r="K84" t="str">
            <v>Traveler's Aid Society of Los Angeles</v>
          </cell>
          <cell r="L84" t="str">
            <v>MH120414</v>
          </cell>
          <cell r="M84" t="str">
            <v>New</v>
          </cell>
          <cell r="N84">
            <v>0</v>
          </cell>
          <cell r="Z84">
            <v>22800</v>
          </cell>
          <cell r="AA84">
            <v>0</v>
          </cell>
          <cell r="BV84">
            <v>98700</v>
          </cell>
          <cell r="EB84">
            <v>121500</v>
          </cell>
          <cell r="EE84">
            <v>121500</v>
          </cell>
          <cell r="EG84">
            <v>121500</v>
          </cell>
          <cell r="EI84">
            <v>-121500</v>
          </cell>
        </row>
        <row r="85">
          <cell r="A85">
            <v>23178</v>
          </cell>
          <cell r="B85" t="str">
            <v>Verdugo Mental Health Center</v>
          </cell>
          <cell r="C85">
            <v>125</v>
          </cell>
          <cell r="D85" t="str">
            <v>501226</v>
          </cell>
          <cell r="E85">
            <v>23178</v>
          </cell>
          <cell r="F85" t="str">
            <v>09C00112</v>
          </cell>
          <cell r="G85" t="str">
            <v>501226</v>
          </cell>
          <cell r="H85" t="str">
            <v>00221</v>
          </cell>
          <cell r="I85" t="str">
            <v>50</v>
          </cell>
          <cell r="K85" t="str">
            <v>Verdugo Mental Health Center</v>
          </cell>
          <cell r="L85" t="str">
            <v>MH120418</v>
          </cell>
          <cell r="M85" t="str">
            <v>New</v>
          </cell>
          <cell r="N85">
            <v>0</v>
          </cell>
          <cell r="Q85">
            <v>116000</v>
          </cell>
          <cell r="S85">
            <v>124100</v>
          </cell>
          <cell r="AR85">
            <v>0</v>
          </cell>
          <cell r="AW85">
            <v>140000</v>
          </cell>
          <cell r="BK85">
            <v>116000</v>
          </cell>
          <cell r="BM85">
            <v>105950</v>
          </cell>
          <cell r="BV85">
            <v>244000</v>
          </cell>
          <cell r="BW85">
            <v>0</v>
          </cell>
          <cell r="BY85">
            <v>250000</v>
          </cell>
          <cell r="DJ85">
            <v>135600</v>
          </cell>
          <cell r="DK85">
            <v>0</v>
          </cell>
          <cell r="DP85">
            <v>966000</v>
          </cell>
          <cell r="DQ85">
            <v>834431</v>
          </cell>
          <cell r="DR85">
            <v>131569</v>
          </cell>
          <cell r="DS85">
            <v>139815</v>
          </cell>
          <cell r="DT85">
            <v>75285</v>
          </cell>
          <cell r="DU85">
            <v>945650</v>
          </cell>
          <cell r="DV85">
            <v>723700</v>
          </cell>
          <cell r="DW85">
            <v>0</v>
          </cell>
          <cell r="EB85">
            <v>5048100</v>
          </cell>
          <cell r="EE85">
            <v>5048100</v>
          </cell>
          <cell r="EG85">
            <v>5048100</v>
          </cell>
          <cell r="EH85">
            <v>112500</v>
          </cell>
          <cell r="EI85">
            <v>-5048100</v>
          </cell>
        </row>
        <row r="86">
          <cell r="A86">
            <v>23179</v>
          </cell>
          <cell r="B86" t="str">
            <v>Watts Labor Community Action Committee - WLCAC</v>
          </cell>
          <cell r="C86">
            <v>128</v>
          </cell>
          <cell r="D86" t="str">
            <v>007994</v>
          </cell>
          <cell r="E86">
            <v>23179</v>
          </cell>
          <cell r="F86" t="str">
            <v>09C00116</v>
          </cell>
          <cell r="G86" t="str">
            <v>007994</v>
          </cell>
          <cell r="H86" t="str">
            <v>00310</v>
          </cell>
          <cell r="I86" t="str">
            <v>62</v>
          </cell>
          <cell r="K86" t="str">
            <v>Watts Labor Community Action Committee - WLCAC</v>
          </cell>
          <cell r="L86" t="str">
            <v>MH120421</v>
          </cell>
          <cell r="M86" t="str">
            <v>New</v>
          </cell>
          <cell r="N86">
            <v>0</v>
          </cell>
          <cell r="BV86">
            <v>200700</v>
          </cell>
          <cell r="DU86">
            <v>25700</v>
          </cell>
          <cell r="DV86">
            <v>25700</v>
          </cell>
          <cell r="EB86">
            <v>252100</v>
          </cell>
          <cell r="EE86">
            <v>252100</v>
          </cell>
          <cell r="EG86">
            <v>252100</v>
          </cell>
          <cell r="EI86">
            <v>-252100</v>
          </cell>
        </row>
        <row r="87">
          <cell r="A87">
            <v>23180</v>
          </cell>
          <cell r="B87" t="str">
            <v>Westside Center for Independent Living, Inc.</v>
          </cell>
          <cell r="C87">
            <v>129</v>
          </cell>
          <cell r="D87" t="str">
            <v>501227</v>
          </cell>
          <cell r="E87">
            <v>23180</v>
          </cell>
          <cell r="F87" t="str">
            <v>09C00118</v>
          </cell>
          <cell r="G87" t="str">
            <v>501227</v>
          </cell>
          <cell r="H87" t="str">
            <v>00316</v>
          </cell>
          <cell r="I87" t="str">
            <v>67</v>
          </cell>
          <cell r="K87" t="str">
            <v>Westside Center For Independent Living, Incorporated</v>
          </cell>
          <cell r="L87" t="str">
            <v>MH120422</v>
          </cell>
          <cell r="M87" t="str">
            <v>New</v>
          </cell>
          <cell r="N87">
            <v>0</v>
          </cell>
          <cell r="Z87">
            <v>26000</v>
          </cell>
          <cell r="AA87">
            <v>0</v>
          </cell>
          <cell r="BS87">
            <v>26800</v>
          </cell>
          <cell r="BV87">
            <v>115800</v>
          </cell>
          <cell r="EB87">
            <v>168600</v>
          </cell>
          <cell r="EE87">
            <v>168600</v>
          </cell>
          <cell r="EG87">
            <v>168600</v>
          </cell>
          <cell r="EI87">
            <v>-168600</v>
          </cell>
        </row>
        <row r="88">
          <cell r="A88">
            <v>23182</v>
          </cell>
          <cell r="B88" t="str">
            <v>Step Up on Second Street, Inc.</v>
          </cell>
          <cell r="C88">
            <v>105</v>
          </cell>
          <cell r="D88" t="str">
            <v>501219</v>
          </cell>
          <cell r="E88">
            <v>23182</v>
          </cell>
          <cell r="F88" t="str">
            <v>09C00002</v>
          </cell>
          <cell r="G88" t="str">
            <v>501219</v>
          </cell>
          <cell r="H88" t="str">
            <v>00215</v>
          </cell>
          <cell r="I88" t="str">
            <v>44</v>
          </cell>
          <cell r="K88" t="str">
            <v>Step-Up On Second Street, Inc.</v>
          </cell>
          <cell r="L88" t="str">
            <v>MH120262</v>
          </cell>
          <cell r="M88">
            <v>12</v>
          </cell>
          <cell r="N88">
            <v>0</v>
          </cell>
          <cell r="Q88">
            <v>48000</v>
          </cell>
          <cell r="S88">
            <v>213700</v>
          </cell>
          <cell r="T88">
            <v>375000</v>
          </cell>
          <cell r="AL88">
            <v>67600</v>
          </cell>
          <cell r="AW88">
            <v>178300</v>
          </cell>
          <cell r="BM88">
            <v>141650</v>
          </cell>
          <cell r="BV88">
            <v>41600</v>
          </cell>
          <cell r="CY88">
            <v>80000</v>
          </cell>
          <cell r="DP88">
            <v>98000</v>
          </cell>
          <cell r="DQ88">
            <v>84652</v>
          </cell>
          <cell r="DR88">
            <v>13348</v>
          </cell>
          <cell r="DS88">
            <v>0</v>
          </cell>
          <cell r="DT88">
            <v>0</v>
          </cell>
          <cell r="DU88">
            <v>913900</v>
          </cell>
          <cell r="DV88">
            <v>772250</v>
          </cell>
          <cell r="EB88">
            <v>3028000</v>
          </cell>
          <cell r="EE88">
            <v>3028000</v>
          </cell>
          <cell r="EG88">
            <v>3028000</v>
          </cell>
          <cell r="EH88">
            <v>51748</v>
          </cell>
          <cell r="EI88">
            <v>-3028000</v>
          </cell>
        </row>
        <row r="89">
          <cell r="A89">
            <v>23186</v>
          </cell>
          <cell r="B89" t="str">
            <v>The Institute for the Redesign of Learning dba Almansor Center</v>
          </cell>
          <cell r="C89">
            <v>61</v>
          </cell>
          <cell r="D89" t="str">
            <v>501163</v>
          </cell>
          <cell r="E89">
            <v>23186</v>
          </cell>
          <cell r="F89" t="str">
            <v>09C00065</v>
          </cell>
          <cell r="G89" t="str">
            <v>501163</v>
          </cell>
          <cell r="H89" t="str">
            <v>00171</v>
          </cell>
          <cell r="I89" t="str">
            <v>4</v>
          </cell>
          <cell r="K89" t="str">
            <v>Institute for the Redesign of Learning (Almansor)</v>
          </cell>
          <cell r="L89" t="str">
            <v>MH120406</v>
          </cell>
          <cell r="M89" t="str">
            <v>New</v>
          </cell>
          <cell r="N89">
            <v>0</v>
          </cell>
          <cell r="O89">
            <v>114000</v>
          </cell>
          <cell r="P89">
            <v>114400</v>
          </cell>
          <cell r="AB89">
            <v>46700</v>
          </cell>
          <cell r="AU89">
            <v>33800</v>
          </cell>
          <cell r="BG89">
            <v>56932</v>
          </cell>
          <cell r="BI89">
            <v>13300</v>
          </cell>
          <cell r="BV89">
            <v>53300</v>
          </cell>
          <cell r="CI89">
            <v>50470</v>
          </cell>
          <cell r="CJ89">
            <v>21630</v>
          </cell>
          <cell r="CK89">
            <v>109360</v>
          </cell>
          <cell r="CL89">
            <v>13664</v>
          </cell>
          <cell r="CQ89">
            <v>18387</v>
          </cell>
          <cell r="DH89">
            <v>0</v>
          </cell>
          <cell r="DJ89">
            <v>135500</v>
          </cell>
          <cell r="DK89">
            <v>275000</v>
          </cell>
          <cell r="DP89">
            <v>3866320</v>
          </cell>
          <cell r="DQ89">
            <v>3339727</v>
          </cell>
          <cell r="DR89">
            <v>437611</v>
          </cell>
          <cell r="DS89">
            <v>261170</v>
          </cell>
          <cell r="DT89">
            <v>127330</v>
          </cell>
          <cell r="EB89">
            <v>9088601</v>
          </cell>
          <cell r="EE89">
            <v>9088601</v>
          </cell>
          <cell r="EG89">
            <v>9088601</v>
          </cell>
          <cell r="EI89">
            <v>-9088601</v>
          </cell>
        </row>
        <row r="90">
          <cell r="A90">
            <v>23187</v>
          </cell>
          <cell r="B90" t="str">
            <v>Stirling Academy, Inc.</v>
          </cell>
          <cell r="C90">
            <v>106</v>
          </cell>
          <cell r="D90" t="str">
            <v>501220</v>
          </cell>
          <cell r="E90">
            <v>23187</v>
          </cell>
          <cell r="F90" t="str">
            <v>09C00105</v>
          </cell>
          <cell r="G90" t="str">
            <v>501220</v>
          </cell>
          <cell r="H90" t="str">
            <v>00216</v>
          </cell>
          <cell r="I90" t="str">
            <v>45</v>
          </cell>
          <cell r="K90" t="str">
            <v>Stirling Academy, Incorporated</v>
          </cell>
          <cell r="L90" t="str">
            <v>MH120400</v>
          </cell>
          <cell r="M90" t="str">
            <v>New</v>
          </cell>
          <cell r="N90">
            <v>0</v>
          </cell>
          <cell r="BY90">
            <v>299900</v>
          </cell>
          <cell r="CI90">
            <v>21000</v>
          </cell>
          <cell r="CJ90">
            <v>9000</v>
          </cell>
          <cell r="DH90">
            <v>0</v>
          </cell>
          <cell r="DJ90">
            <v>36800</v>
          </cell>
          <cell r="DK90">
            <v>592000</v>
          </cell>
          <cell r="DP90">
            <v>952600</v>
          </cell>
          <cell r="DQ90">
            <v>822856</v>
          </cell>
          <cell r="DR90">
            <v>129744</v>
          </cell>
          <cell r="DS90">
            <v>95940</v>
          </cell>
          <cell r="DT90">
            <v>51660</v>
          </cell>
          <cell r="EB90">
            <v>3011500</v>
          </cell>
          <cell r="EE90">
            <v>3011500</v>
          </cell>
          <cell r="EG90">
            <v>3011500</v>
          </cell>
          <cell r="EI90">
            <v>-3011500</v>
          </cell>
        </row>
        <row r="91">
          <cell r="A91">
            <v>23188</v>
          </cell>
          <cell r="B91" t="str">
            <v>Vista Del Mar Child and Family Services</v>
          </cell>
          <cell r="C91">
            <v>127</v>
          </cell>
          <cell r="D91" t="str">
            <v>501191</v>
          </cell>
          <cell r="E91">
            <v>23188</v>
          </cell>
          <cell r="F91" t="str">
            <v>09C00115</v>
          </cell>
          <cell r="G91" t="str">
            <v>501191</v>
          </cell>
          <cell r="H91" t="str">
            <v>00196</v>
          </cell>
          <cell r="I91" t="str">
            <v>26</v>
          </cell>
          <cell r="K91" t="str">
            <v>Vista Del Mar Child and Family Services (Jewish Orphans of So. Cal.)</v>
          </cell>
          <cell r="L91" t="str">
            <v>MH120420</v>
          </cell>
          <cell r="M91" t="str">
            <v>New</v>
          </cell>
          <cell r="N91">
            <v>0</v>
          </cell>
          <cell r="AB91">
            <v>61327</v>
          </cell>
          <cell r="BV91">
            <v>236173</v>
          </cell>
          <cell r="CE91">
            <v>26700</v>
          </cell>
          <cell r="CG91">
            <v>9807</v>
          </cell>
          <cell r="CI91">
            <v>7000</v>
          </cell>
          <cell r="CJ91">
            <v>3000</v>
          </cell>
          <cell r="DF91">
            <v>40000</v>
          </cell>
          <cell r="DH91">
            <v>0</v>
          </cell>
          <cell r="DJ91">
            <v>289100</v>
          </cell>
          <cell r="DK91">
            <v>816200</v>
          </cell>
          <cell r="DP91">
            <v>3341300</v>
          </cell>
          <cell r="DQ91">
            <v>2886215</v>
          </cell>
          <cell r="DR91">
            <v>445278</v>
          </cell>
          <cell r="DS91">
            <v>34840</v>
          </cell>
          <cell r="DT91">
            <v>18760</v>
          </cell>
          <cell r="DU91">
            <v>7500</v>
          </cell>
          <cell r="DV91">
            <v>7500</v>
          </cell>
          <cell r="EB91">
            <v>8230700</v>
          </cell>
          <cell r="EE91">
            <v>8230700</v>
          </cell>
          <cell r="EG91">
            <v>8230700</v>
          </cell>
          <cell r="EI91">
            <v>-8230700</v>
          </cell>
        </row>
        <row r="92">
          <cell r="A92">
            <v>23190</v>
          </cell>
          <cell r="B92" t="str">
            <v>The Los Angeles Free Clinic dba The Saban Free Clinic</v>
          </cell>
          <cell r="C92">
            <v>113</v>
          </cell>
          <cell r="D92" t="str">
            <v>501222</v>
          </cell>
          <cell r="E92">
            <v>23190</v>
          </cell>
          <cell r="F92" t="str">
            <v>09C00073</v>
          </cell>
          <cell r="G92" t="str">
            <v>501222</v>
          </cell>
          <cell r="H92" t="str">
            <v>00323</v>
          </cell>
          <cell r="I92" t="str">
            <v>72</v>
          </cell>
          <cell r="K92" t="str">
            <v>The Los Angeles Free Clinic</v>
          </cell>
          <cell r="L92" t="str">
            <v>MH120408</v>
          </cell>
          <cell r="M92" t="str">
            <v>New</v>
          </cell>
          <cell r="N92">
            <v>0</v>
          </cell>
          <cell r="BV92">
            <v>3300</v>
          </cell>
          <cell r="CY92">
            <v>20000</v>
          </cell>
          <cell r="EB92">
            <v>23300</v>
          </cell>
          <cell r="EE92">
            <v>23300</v>
          </cell>
          <cell r="EG92">
            <v>23300</v>
          </cell>
          <cell r="EI92">
            <v>-23300</v>
          </cell>
        </row>
        <row r="93">
          <cell r="A93">
            <v>27210</v>
          </cell>
          <cell r="B93" t="str">
            <v>PROTOTYPES, Centers for Innovation in Health, Mental Health and Social Services</v>
          </cell>
          <cell r="C93">
            <v>88</v>
          </cell>
          <cell r="D93" t="str">
            <v>505534</v>
          </cell>
          <cell r="E93">
            <v>27210</v>
          </cell>
          <cell r="F93" t="str">
            <v>09C00092</v>
          </cell>
          <cell r="G93" t="str">
            <v>505534</v>
          </cell>
          <cell r="H93" t="str">
            <v>00838</v>
          </cell>
          <cell r="I93" t="str">
            <v>120</v>
          </cell>
          <cell r="K93" t="str">
            <v>Prototypes</v>
          </cell>
          <cell r="L93" t="str">
            <v>MH120388</v>
          </cell>
          <cell r="M93">
            <v>1</v>
          </cell>
          <cell r="N93">
            <v>-74999</v>
          </cell>
          <cell r="Q93">
            <v>224000</v>
          </cell>
          <cell r="S93">
            <v>406800</v>
          </cell>
          <cell r="AV93">
            <v>165900</v>
          </cell>
          <cell r="AW93">
            <v>474600</v>
          </cell>
          <cell r="BJ93">
            <v>20975</v>
          </cell>
          <cell r="BK93">
            <v>63000</v>
          </cell>
          <cell r="BM93">
            <v>367250</v>
          </cell>
          <cell r="BO93">
            <v>148750</v>
          </cell>
          <cell r="BV93">
            <v>8900</v>
          </cell>
          <cell r="BY93">
            <v>530000</v>
          </cell>
          <cell r="BZ93">
            <v>270000</v>
          </cell>
          <cell r="CA93">
            <v>30000</v>
          </cell>
          <cell r="CC93">
            <v>22600</v>
          </cell>
          <cell r="CK93">
            <v>21900</v>
          </cell>
          <cell r="DP93">
            <v>849151</v>
          </cell>
          <cell r="DQ93">
            <v>733496</v>
          </cell>
          <cell r="DR93">
            <v>94679</v>
          </cell>
          <cell r="DS93">
            <v>65000</v>
          </cell>
          <cell r="DT93">
            <v>35000</v>
          </cell>
          <cell r="DU93">
            <v>1179000</v>
          </cell>
          <cell r="DV93">
            <v>600000</v>
          </cell>
          <cell r="EB93">
            <v>6311001</v>
          </cell>
          <cell r="EE93">
            <v>6311001</v>
          </cell>
          <cell r="EG93">
            <v>6311001</v>
          </cell>
          <cell r="EI93">
            <v>-6386000</v>
          </cell>
        </row>
        <row r="94">
          <cell r="A94">
            <v>27231</v>
          </cell>
          <cell r="B94" t="str">
            <v>Gay and Lesbian Adolescent Social Services, Inc.</v>
          </cell>
          <cell r="C94">
            <v>50</v>
          </cell>
          <cell r="D94" t="str">
            <v>515707</v>
          </cell>
          <cell r="E94">
            <v>27231</v>
          </cell>
          <cell r="F94" t="str">
            <v>09C00053</v>
          </cell>
          <cell r="G94" t="str">
            <v>515707</v>
          </cell>
          <cell r="H94" t="str">
            <v>00846</v>
          </cell>
          <cell r="I94" t="str">
            <v>121</v>
          </cell>
          <cell r="K94" t="str">
            <v>Gay &amp; Lesbian Adol Soc Svcs (GLASS)</v>
          </cell>
          <cell r="L94" t="str">
            <v>MH120354</v>
          </cell>
          <cell r="M94" t="str">
            <v>New</v>
          </cell>
          <cell r="N94">
            <v>0</v>
          </cell>
          <cell r="O94">
            <v>38000</v>
          </cell>
          <cell r="P94">
            <v>35200</v>
          </cell>
          <cell r="Q94">
            <v>308000</v>
          </cell>
          <cell r="AU94">
            <v>10400</v>
          </cell>
          <cell r="AV94">
            <v>225900</v>
          </cell>
          <cell r="AY94">
            <v>0</v>
          </cell>
          <cell r="AZ94">
            <v>0</v>
          </cell>
          <cell r="BG94">
            <v>18115</v>
          </cell>
          <cell r="BJ94">
            <v>27649</v>
          </cell>
          <cell r="BK94">
            <v>91000</v>
          </cell>
          <cell r="DP94">
            <v>1415900</v>
          </cell>
          <cell r="DQ94">
            <v>1223054</v>
          </cell>
          <cell r="DR94">
            <v>147082</v>
          </cell>
          <cell r="DS94">
            <v>0</v>
          </cell>
          <cell r="DT94">
            <v>0</v>
          </cell>
          <cell r="DU94">
            <v>106450</v>
          </cell>
          <cell r="DV94">
            <v>15450</v>
          </cell>
          <cell r="EB94">
            <v>3662200</v>
          </cell>
          <cell r="EE94">
            <v>3662200</v>
          </cell>
          <cell r="EG94">
            <v>3662200</v>
          </cell>
          <cell r="EH94">
            <v>50216</v>
          </cell>
          <cell r="EI94">
            <v>-3662200</v>
          </cell>
        </row>
        <row r="95">
          <cell r="A95">
            <v>27233</v>
          </cell>
          <cell r="B95" t="str">
            <v>Bienvenidos Children's Center, Inc.</v>
          </cell>
          <cell r="C95">
            <v>12</v>
          </cell>
          <cell r="D95" t="str">
            <v>503054</v>
          </cell>
          <cell r="E95">
            <v>27233</v>
          </cell>
          <cell r="F95" t="str">
            <v>09C00027</v>
          </cell>
          <cell r="G95" t="str">
            <v>503054</v>
          </cell>
          <cell r="H95" t="str">
            <v>00860</v>
          </cell>
          <cell r="I95" t="str">
            <v>125</v>
          </cell>
          <cell r="K95" t="str">
            <v>Bienvenidos Children's Center, Inc.</v>
          </cell>
          <cell r="L95" t="str">
            <v>MH120321</v>
          </cell>
          <cell r="M95" t="str">
            <v>New</v>
          </cell>
          <cell r="N95">
            <v>0</v>
          </cell>
          <cell r="BV95">
            <v>300</v>
          </cell>
          <cell r="CK95">
            <v>91760</v>
          </cell>
          <cell r="CL95">
            <v>13664</v>
          </cell>
          <cell r="CQ95">
            <v>18387</v>
          </cell>
          <cell r="DP95">
            <v>1981520</v>
          </cell>
          <cell r="DQ95">
            <v>1711637</v>
          </cell>
          <cell r="DR95">
            <v>237832</v>
          </cell>
          <cell r="DS95">
            <v>780</v>
          </cell>
          <cell r="DT95">
            <v>420</v>
          </cell>
          <cell r="DU95">
            <v>1300</v>
          </cell>
          <cell r="DV95">
            <v>1300</v>
          </cell>
          <cell r="EB95">
            <v>4058900</v>
          </cell>
          <cell r="EE95">
            <v>4058900</v>
          </cell>
          <cell r="EG95">
            <v>4058900</v>
          </cell>
          <cell r="EH95">
            <v>543</v>
          </cell>
          <cell r="EI95">
            <v>-4058900</v>
          </cell>
        </row>
        <row r="96">
          <cell r="A96">
            <v>27234</v>
          </cell>
          <cell r="B96" t="str">
            <v>Ettie Lee Homes, Inc.</v>
          </cell>
          <cell r="C96">
            <v>39</v>
          </cell>
          <cell r="D96" t="str">
            <v>506853</v>
          </cell>
          <cell r="E96">
            <v>27234</v>
          </cell>
          <cell r="F96" t="str">
            <v>09C00043</v>
          </cell>
          <cell r="G96" t="str">
            <v>506853</v>
          </cell>
          <cell r="H96" t="str">
            <v>00995</v>
          </cell>
          <cell r="I96" t="str">
            <v>137</v>
          </cell>
          <cell r="K96" t="str">
            <v>Ettie Lee Homes, Inc.</v>
          </cell>
          <cell r="L96" t="str">
            <v>MH120345</v>
          </cell>
          <cell r="M96" t="str">
            <v>New</v>
          </cell>
          <cell r="N96">
            <v>0</v>
          </cell>
          <cell r="DP96">
            <v>1118000</v>
          </cell>
          <cell r="DQ96">
            <v>965728</v>
          </cell>
          <cell r="DR96">
            <v>152272</v>
          </cell>
          <cell r="DS96">
            <v>0</v>
          </cell>
          <cell r="DT96">
            <v>0</v>
          </cell>
          <cell r="DU96">
            <v>36550</v>
          </cell>
          <cell r="DV96">
            <v>36550</v>
          </cell>
          <cell r="EB96">
            <v>2309100</v>
          </cell>
          <cell r="EE96">
            <v>2309100</v>
          </cell>
          <cell r="EG96">
            <v>2309100</v>
          </cell>
          <cell r="EH96">
            <v>21637</v>
          </cell>
          <cell r="EI96">
            <v>-2309100</v>
          </cell>
        </row>
        <row r="97">
          <cell r="A97">
            <v>27235</v>
          </cell>
          <cell r="B97" t="str">
            <v>One In Long Beach, Inc.</v>
          </cell>
          <cell r="C97">
            <v>77</v>
          </cell>
          <cell r="D97" t="str">
            <v>529913</v>
          </cell>
          <cell r="E97">
            <v>27235</v>
          </cell>
          <cell r="F97" t="str">
            <v>09C00125</v>
          </cell>
          <cell r="G97" t="str">
            <v>529913</v>
          </cell>
          <cell r="H97" t="str">
            <v>00859</v>
          </cell>
          <cell r="I97" t="str">
            <v>124</v>
          </cell>
          <cell r="K97" t="str">
            <v>One in Long Beach, Inc.(dba The Gay &amp; Lesbian Ctr. of Greater Long Beach)</v>
          </cell>
          <cell r="L97" t="str">
            <v>MH120243</v>
          </cell>
          <cell r="M97">
            <v>6</v>
          </cell>
          <cell r="N97">
            <v>0</v>
          </cell>
          <cell r="Z97">
            <v>24000</v>
          </cell>
          <cell r="AA97">
            <v>0</v>
          </cell>
          <cell r="BV97">
            <v>104000</v>
          </cell>
          <cell r="EB97">
            <v>128000</v>
          </cell>
          <cell r="EE97">
            <v>128000</v>
          </cell>
          <cell r="EG97">
            <v>128000</v>
          </cell>
          <cell r="EI97">
            <v>-128000</v>
          </cell>
        </row>
        <row r="98">
          <cell r="A98">
            <v>27236</v>
          </cell>
          <cell r="B98" t="str">
            <v>Rosemary Children's Services</v>
          </cell>
          <cell r="C98">
            <v>90</v>
          </cell>
          <cell r="D98" t="str">
            <v>510374</v>
          </cell>
          <cell r="E98">
            <v>27236</v>
          </cell>
          <cell r="F98" t="str">
            <v>09C00094</v>
          </cell>
          <cell r="G98" t="str">
            <v>510374</v>
          </cell>
          <cell r="H98" t="str">
            <v>00848</v>
          </cell>
          <cell r="I98" t="str">
            <v>123</v>
          </cell>
          <cell r="K98" t="str">
            <v>Rosemary Children's Services</v>
          </cell>
          <cell r="L98" t="str">
            <v>MH120390</v>
          </cell>
          <cell r="M98" t="str">
            <v>New</v>
          </cell>
          <cell r="N98">
            <v>0</v>
          </cell>
          <cell r="DP98">
            <v>836500</v>
          </cell>
          <cell r="DQ98">
            <v>722569</v>
          </cell>
          <cell r="DR98">
            <v>113931</v>
          </cell>
          <cell r="DS98">
            <v>0</v>
          </cell>
          <cell r="DT98">
            <v>0</v>
          </cell>
          <cell r="DU98">
            <v>5000</v>
          </cell>
          <cell r="DV98">
            <v>5000</v>
          </cell>
          <cell r="EB98">
            <v>1683000</v>
          </cell>
          <cell r="EE98">
            <v>1683000</v>
          </cell>
          <cell r="EG98">
            <v>1683000</v>
          </cell>
          <cell r="EI98">
            <v>-1683000</v>
          </cell>
        </row>
        <row r="99">
          <cell r="A99">
            <v>27248</v>
          </cell>
          <cell r="B99" t="str">
            <v>United American Indian Involvement, Inc.</v>
          </cell>
          <cell r="C99">
            <v>122</v>
          </cell>
          <cell r="D99" t="str">
            <v>505503</v>
          </cell>
          <cell r="E99">
            <v>27248</v>
          </cell>
          <cell r="F99" t="str">
            <v>09C00111</v>
          </cell>
          <cell r="G99" t="str">
            <v>505503</v>
          </cell>
          <cell r="H99" t="str">
            <v>00938</v>
          </cell>
          <cell r="I99" t="str">
            <v>128</v>
          </cell>
          <cell r="K99" t="str">
            <v>United American Indian Involvement, Inc.</v>
          </cell>
          <cell r="L99" t="str">
            <v>MH120416</v>
          </cell>
          <cell r="M99" t="str">
            <v>New</v>
          </cell>
          <cell r="N99">
            <v>0</v>
          </cell>
          <cell r="BY99">
            <v>60000</v>
          </cell>
          <cell r="DP99">
            <v>511000</v>
          </cell>
          <cell r="DQ99">
            <v>441402</v>
          </cell>
          <cell r="DR99">
            <v>69598</v>
          </cell>
          <cell r="DS99">
            <v>0</v>
          </cell>
          <cell r="DT99">
            <v>0</v>
          </cell>
          <cell r="DU99">
            <v>5350</v>
          </cell>
          <cell r="DV99">
            <v>5350</v>
          </cell>
          <cell r="EB99">
            <v>1092700</v>
          </cell>
          <cell r="EE99">
            <v>1092700</v>
          </cell>
          <cell r="EG99">
            <v>1092700</v>
          </cell>
          <cell r="EH99">
            <v>1079</v>
          </cell>
          <cell r="EI99">
            <v>-1092700</v>
          </cell>
        </row>
        <row r="100">
          <cell r="A100">
            <v>27476</v>
          </cell>
          <cell r="C100">
            <v>133</v>
          </cell>
          <cell r="D100" t="str">
            <v>511946</v>
          </cell>
          <cell r="E100">
            <v>27476</v>
          </cell>
          <cell r="F100" t="str">
            <v>09C00150</v>
          </cell>
          <cell r="G100" t="str">
            <v>511946</v>
          </cell>
          <cell r="H100" t="str">
            <v>00583</v>
          </cell>
          <cell r="I100" t="str">
            <v>93</v>
          </cell>
          <cell r="K100" t="str">
            <v>White Memorial Medical Center</v>
          </cell>
          <cell r="L100" t="str">
            <v>MH190031</v>
          </cell>
          <cell r="M100" t="str">
            <v>NEW</v>
          </cell>
          <cell r="N100">
            <v>0</v>
          </cell>
          <cell r="DY100">
            <v>2098750</v>
          </cell>
          <cell r="EB100">
            <v>2098750</v>
          </cell>
          <cell r="EE100">
            <v>2098750</v>
          </cell>
          <cell r="EG100">
            <v>2098750</v>
          </cell>
          <cell r="EI100">
            <v>-2098750</v>
          </cell>
        </row>
        <row r="101">
          <cell r="A101">
            <v>27478</v>
          </cell>
          <cell r="B101" t="str">
            <v>Heritage Clinic and The Community Assistance Program for Seniors</v>
          </cell>
          <cell r="C101">
            <v>56</v>
          </cell>
          <cell r="D101" t="str">
            <v>105700</v>
          </cell>
          <cell r="E101">
            <v>27478</v>
          </cell>
          <cell r="F101" t="str">
            <v>09C00060</v>
          </cell>
          <cell r="G101" t="str">
            <v>105700</v>
          </cell>
          <cell r="H101" t="str">
            <v>00965</v>
          </cell>
          <cell r="I101" t="str">
            <v>129</v>
          </cell>
          <cell r="K101" t="str">
            <v>Heritage Cl &amp; the Comm Assis Prog for Srs dba Geronet</v>
          </cell>
          <cell r="L101" t="str">
            <v>MH120360</v>
          </cell>
          <cell r="M101" t="str">
            <v>New</v>
          </cell>
          <cell r="N101">
            <v>0</v>
          </cell>
          <cell r="V101">
            <v>156000</v>
          </cell>
          <cell r="W101">
            <v>195000</v>
          </cell>
          <cell r="AO101">
            <v>17500</v>
          </cell>
          <cell r="AP101">
            <v>0</v>
          </cell>
          <cell r="AQ101">
            <v>353400</v>
          </cell>
          <cell r="AX101">
            <v>171000</v>
          </cell>
          <cell r="BN101">
            <v>273550</v>
          </cell>
          <cell r="BU101">
            <v>32700</v>
          </cell>
          <cell r="DU101">
            <v>845450</v>
          </cell>
          <cell r="DV101">
            <v>218500</v>
          </cell>
          <cell r="EB101">
            <v>2263100</v>
          </cell>
          <cell r="EE101">
            <v>2263100</v>
          </cell>
          <cell r="EG101">
            <v>2263100</v>
          </cell>
          <cell r="EI101">
            <v>-2263100</v>
          </cell>
        </row>
        <row r="102">
          <cell r="A102">
            <v>27490</v>
          </cell>
          <cell r="C102">
            <v>132</v>
          </cell>
          <cell r="D102" t="str">
            <v>014273</v>
          </cell>
          <cell r="E102">
            <v>27490</v>
          </cell>
          <cell r="F102" t="str">
            <v>09C00222</v>
          </cell>
          <cell r="G102" t="str">
            <v>014273</v>
          </cell>
          <cell r="H102" t="str">
            <v>00984</v>
          </cell>
          <cell r="I102" t="str">
            <v>130</v>
          </cell>
          <cell r="K102" t="str">
            <v>The Regents / UCLA Ties for Adoption</v>
          </cell>
          <cell r="L102" t="str">
            <v>MH010054</v>
          </cell>
          <cell r="M102">
            <v>9</v>
          </cell>
          <cell r="N102">
            <v>0</v>
          </cell>
          <cell r="DP102">
            <v>859500</v>
          </cell>
          <cell r="DQ102">
            <v>742436</v>
          </cell>
          <cell r="DR102">
            <v>117064</v>
          </cell>
          <cell r="DU102">
            <v>6133</v>
          </cell>
          <cell r="DV102">
            <v>6133</v>
          </cell>
          <cell r="EB102">
            <v>1731266</v>
          </cell>
          <cell r="EE102">
            <v>1731266</v>
          </cell>
          <cell r="EG102">
            <v>1731266</v>
          </cell>
          <cell r="EI102">
            <v>-1731266</v>
          </cell>
        </row>
        <row r="103">
          <cell r="A103">
            <v>27492</v>
          </cell>
          <cell r="C103">
            <v>43</v>
          </cell>
          <cell r="D103" t="str">
            <v>109097</v>
          </cell>
          <cell r="E103">
            <v>27492</v>
          </cell>
          <cell r="F103" t="str">
            <v>NA</v>
          </cell>
          <cell r="G103" t="str">
            <v>109097</v>
          </cell>
          <cell r="H103" t="str">
            <v>00993</v>
          </cell>
          <cell r="I103" t="str">
            <v>131</v>
          </cell>
          <cell r="K103" t="str">
            <v>FH &amp; HF Torrance I, LLC dba Sunnyside Rehab (Health Quality Management Group)</v>
          </cell>
          <cell r="L103" t="str">
            <v>MH120158</v>
          </cell>
          <cell r="M103">
            <v>1</v>
          </cell>
          <cell r="N103">
            <v>0</v>
          </cell>
          <cell r="U103">
            <v>432600</v>
          </cell>
          <cell r="BV103">
            <v>262800</v>
          </cell>
          <cell r="DU103">
            <v>138600</v>
          </cell>
          <cell r="DV103">
            <v>138600</v>
          </cell>
          <cell r="EB103">
            <v>972600</v>
          </cell>
          <cell r="EE103">
            <v>972600</v>
          </cell>
          <cell r="EG103">
            <v>972600</v>
          </cell>
          <cell r="EI103">
            <v>-972600</v>
          </cell>
        </row>
        <row r="104">
          <cell r="A104">
            <v>27495</v>
          </cell>
          <cell r="B104" t="str">
            <v>McKinley Children's Center, Inc.</v>
          </cell>
          <cell r="C104">
            <v>71</v>
          </cell>
          <cell r="D104" t="str">
            <v>110602</v>
          </cell>
          <cell r="E104">
            <v>27495</v>
          </cell>
          <cell r="F104" t="str">
            <v>09C00078</v>
          </cell>
          <cell r="G104" t="str">
            <v>110602</v>
          </cell>
          <cell r="H104" t="str">
            <v>00971</v>
          </cell>
          <cell r="I104" t="str">
            <v>132</v>
          </cell>
          <cell r="K104" t="str">
            <v>McKinley Children's Center, Inc</v>
          </cell>
          <cell r="L104" t="str">
            <v>MH120374</v>
          </cell>
          <cell r="M104" t="str">
            <v>New</v>
          </cell>
          <cell r="N104">
            <v>0</v>
          </cell>
          <cell r="CK104">
            <v>11000</v>
          </cell>
          <cell r="DP104">
            <v>1470350</v>
          </cell>
          <cell r="DQ104">
            <v>1270088</v>
          </cell>
          <cell r="DR104">
            <v>200262</v>
          </cell>
          <cell r="DS104">
            <v>0</v>
          </cell>
          <cell r="DT104">
            <v>0</v>
          </cell>
          <cell r="DU104">
            <v>24200</v>
          </cell>
          <cell r="DV104">
            <v>24200</v>
          </cell>
          <cell r="EB104">
            <v>3000100</v>
          </cell>
          <cell r="EE104">
            <v>3000100</v>
          </cell>
          <cell r="EG104">
            <v>3000100</v>
          </cell>
          <cell r="EI104">
            <v>-3000100</v>
          </cell>
        </row>
        <row r="105">
          <cell r="A105">
            <v>27507</v>
          </cell>
          <cell r="B105" t="str">
            <v>Maryvale</v>
          </cell>
          <cell r="C105">
            <v>70</v>
          </cell>
          <cell r="D105" t="str">
            <v>102418</v>
          </cell>
          <cell r="E105">
            <v>27507</v>
          </cell>
          <cell r="F105" t="str">
            <v>09C00077</v>
          </cell>
          <cell r="G105" t="str">
            <v>102418</v>
          </cell>
          <cell r="H105" t="str">
            <v>01034</v>
          </cell>
          <cell r="I105" t="str">
            <v>133</v>
          </cell>
          <cell r="K105" t="str">
            <v>Maryvale</v>
          </cell>
          <cell r="L105" t="str">
            <v>MH120373</v>
          </cell>
          <cell r="M105" t="str">
            <v>New</v>
          </cell>
          <cell r="N105">
            <v>0</v>
          </cell>
          <cell r="DP105">
            <v>1183000</v>
          </cell>
          <cell r="DQ105">
            <v>1021875</v>
          </cell>
          <cell r="DR105">
            <v>161125</v>
          </cell>
          <cell r="EB105">
            <v>2366000</v>
          </cell>
          <cell r="EE105">
            <v>2366000</v>
          </cell>
          <cell r="EG105">
            <v>2366000</v>
          </cell>
          <cell r="EH105">
            <v>12922</v>
          </cell>
          <cell r="EI105">
            <v>-2366000</v>
          </cell>
        </row>
        <row r="106">
          <cell r="A106">
            <v>27508</v>
          </cell>
          <cell r="B106" t="str">
            <v>Counseling4Kids</v>
          </cell>
          <cell r="C106">
            <v>28</v>
          </cell>
          <cell r="D106" t="str">
            <v>521487</v>
          </cell>
          <cell r="E106">
            <v>27508</v>
          </cell>
          <cell r="F106" t="str">
            <v>09C00031</v>
          </cell>
          <cell r="G106" t="str">
            <v>521487</v>
          </cell>
          <cell r="H106" t="str">
            <v>00694</v>
          </cell>
          <cell r="I106" t="str">
            <v>102</v>
          </cell>
          <cell r="K106" t="str">
            <v>Counseling 4 Kids (Childreach)</v>
          </cell>
          <cell r="L106" t="str">
            <v>MH120335</v>
          </cell>
          <cell r="M106" t="str">
            <v>New</v>
          </cell>
          <cell r="N106">
            <v>0</v>
          </cell>
          <cell r="CK106">
            <v>13200</v>
          </cell>
          <cell r="DP106">
            <v>2185050</v>
          </cell>
          <cell r="DQ106">
            <v>1887446</v>
          </cell>
          <cell r="DR106">
            <v>297604</v>
          </cell>
          <cell r="DS106">
            <v>0</v>
          </cell>
          <cell r="DT106">
            <v>0</v>
          </cell>
          <cell r="DU106">
            <v>6500</v>
          </cell>
          <cell r="DV106">
            <v>6500</v>
          </cell>
          <cell r="EB106">
            <v>4396300</v>
          </cell>
          <cell r="EE106">
            <v>4396300</v>
          </cell>
          <cell r="EG106">
            <v>4396300</v>
          </cell>
          <cell r="EI106">
            <v>-4396300</v>
          </cell>
        </row>
        <row r="107">
          <cell r="A107">
            <v>27518</v>
          </cell>
          <cell r="B107" t="str">
            <v>Pacific Lodge Youth Services</v>
          </cell>
          <cell r="C107">
            <v>81</v>
          </cell>
          <cell r="D107" t="str">
            <v>506869</v>
          </cell>
          <cell r="E107">
            <v>27518</v>
          </cell>
          <cell r="F107" t="str">
            <v>09C00084</v>
          </cell>
          <cell r="G107" t="str">
            <v>506869</v>
          </cell>
          <cell r="H107" t="str">
            <v>01204</v>
          </cell>
          <cell r="I107" t="str">
            <v>134751</v>
          </cell>
          <cell r="K107" t="str">
            <v>Pacific Lodge Youth Services</v>
          </cell>
          <cell r="L107" t="str">
            <v>MH120382</v>
          </cell>
          <cell r="M107" t="str">
            <v>New</v>
          </cell>
          <cell r="N107">
            <v>0</v>
          </cell>
          <cell r="DP107">
            <v>750000</v>
          </cell>
          <cell r="DQ107">
            <v>647850</v>
          </cell>
          <cell r="DR107">
            <v>102150</v>
          </cell>
          <cell r="EB107">
            <v>1500000</v>
          </cell>
          <cell r="EE107">
            <v>1500000</v>
          </cell>
          <cell r="EG107">
            <v>1500000</v>
          </cell>
          <cell r="EI107">
            <v>-1500000</v>
          </cell>
        </row>
        <row r="108">
          <cell r="A108">
            <v>27519</v>
          </cell>
          <cell r="B108" t="str">
            <v>Para Los Ninos</v>
          </cell>
          <cell r="C108">
            <v>82</v>
          </cell>
          <cell r="D108" t="str">
            <v>503081</v>
          </cell>
          <cell r="E108">
            <v>27519</v>
          </cell>
          <cell r="F108" t="str">
            <v>09C00086</v>
          </cell>
          <cell r="G108" t="str">
            <v>503081</v>
          </cell>
          <cell r="H108" t="str">
            <v>01169</v>
          </cell>
          <cell r="I108" t="str">
            <v>134351</v>
          </cell>
          <cell r="K108" t="str">
            <v>Para Los Ninos</v>
          </cell>
          <cell r="L108" t="str">
            <v>MH120383</v>
          </cell>
          <cell r="M108" t="str">
            <v>New</v>
          </cell>
          <cell r="N108">
            <v>0</v>
          </cell>
          <cell r="DP108">
            <v>475000</v>
          </cell>
          <cell r="DQ108">
            <v>410305</v>
          </cell>
          <cell r="DR108">
            <v>64695</v>
          </cell>
          <cell r="DS108">
            <v>3315</v>
          </cell>
          <cell r="DT108">
            <v>1785</v>
          </cell>
          <cell r="EB108">
            <v>955100</v>
          </cell>
          <cell r="EE108">
            <v>955100</v>
          </cell>
          <cell r="EG108">
            <v>955100</v>
          </cell>
          <cell r="EH108">
            <v>154972</v>
          </cell>
          <cell r="EI108">
            <v>-955100</v>
          </cell>
        </row>
        <row r="109">
          <cell r="A109">
            <v>27520</v>
          </cell>
          <cell r="B109" t="str">
            <v>Personal Involvement Center, Inc.</v>
          </cell>
          <cell r="C109">
            <v>86</v>
          </cell>
          <cell r="D109" t="str">
            <v>507589</v>
          </cell>
          <cell r="E109">
            <v>27520</v>
          </cell>
          <cell r="F109" t="str">
            <v>09C00089</v>
          </cell>
          <cell r="G109" t="str">
            <v>507589</v>
          </cell>
          <cell r="H109" t="str">
            <v>01194</v>
          </cell>
          <cell r="I109" t="str">
            <v>134122</v>
          </cell>
          <cell r="K109" t="str">
            <v>Personal Involvement Center, Inc.</v>
          </cell>
          <cell r="L109" t="str">
            <v>MH120387</v>
          </cell>
          <cell r="M109" t="str">
            <v>New</v>
          </cell>
          <cell r="N109">
            <v>0</v>
          </cell>
          <cell r="CG109">
            <v>16480</v>
          </cell>
          <cell r="CK109">
            <v>10300</v>
          </cell>
          <cell r="DP109">
            <v>880150</v>
          </cell>
          <cell r="DQ109">
            <v>760274</v>
          </cell>
          <cell r="DR109">
            <v>103396</v>
          </cell>
          <cell r="EB109">
            <v>1770600</v>
          </cell>
          <cell r="EE109">
            <v>1770600</v>
          </cell>
          <cell r="EG109">
            <v>1770600</v>
          </cell>
          <cell r="EI109">
            <v>-1770600</v>
          </cell>
        </row>
        <row r="110">
          <cell r="A110">
            <v>27522</v>
          </cell>
          <cell r="B110" t="str">
            <v>"Serenity":  Infant Care Homes</v>
          </cell>
          <cell r="C110">
            <v>93</v>
          </cell>
          <cell r="D110" t="str">
            <v>521585</v>
          </cell>
          <cell r="E110">
            <v>27522</v>
          </cell>
          <cell r="F110" t="str">
            <v>09C00096</v>
          </cell>
          <cell r="G110" t="str">
            <v>521585</v>
          </cell>
          <cell r="H110" t="str">
            <v>01195</v>
          </cell>
          <cell r="I110" t="str">
            <v>134127</v>
          </cell>
          <cell r="K110" t="str">
            <v>Serenity Infant Care Homes, Inc</v>
          </cell>
          <cell r="L110" t="str">
            <v>MH120314</v>
          </cell>
          <cell r="M110" t="str">
            <v>New</v>
          </cell>
          <cell r="N110">
            <v>0</v>
          </cell>
          <cell r="DP110">
            <v>415000</v>
          </cell>
          <cell r="DQ110">
            <v>358477</v>
          </cell>
          <cell r="DR110">
            <v>56523</v>
          </cell>
          <cell r="EB110">
            <v>830000</v>
          </cell>
          <cell r="EE110">
            <v>830000</v>
          </cell>
          <cell r="EG110">
            <v>830000</v>
          </cell>
          <cell r="EI110">
            <v>-830000</v>
          </cell>
        </row>
        <row r="111">
          <cell r="A111">
            <v>27523</v>
          </cell>
          <cell r="B111" t="str">
            <v>St. Anne's Maternity Home</v>
          </cell>
          <cell r="C111">
            <v>100</v>
          </cell>
          <cell r="D111" t="str">
            <v>506510</v>
          </cell>
          <cell r="E111">
            <v>27523</v>
          </cell>
          <cell r="F111" t="str">
            <v>09C00103</v>
          </cell>
          <cell r="G111" t="str">
            <v>506510</v>
          </cell>
          <cell r="H111" t="str">
            <v>01186</v>
          </cell>
          <cell r="I111" t="str">
            <v>134075</v>
          </cell>
          <cell r="K111" t="str">
            <v>St. Anne's Maternity Home</v>
          </cell>
          <cell r="L111" t="str">
            <v>MH120398</v>
          </cell>
          <cell r="M111" t="str">
            <v>New</v>
          </cell>
          <cell r="N111">
            <v>0</v>
          </cell>
          <cell r="O111">
            <v>76000</v>
          </cell>
          <cell r="P111">
            <v>88000</v>
          </cell>
          <cell r="AU111">
            <v>26000</v>
          </cell>
          <cell r="BG111">
            <v>46580</v>
          </cell>
          <cell r="CG111">
            <v>9806</v>
          </cell>
          <cell r="DP111">
            <v>1132800</v>
          </cell>
          <cell r="DQ111">
            <v>978513</v>
          </cell>
          <cell r="DR111">
            <v>97901</v>
          </cell>
          <cell r="EB111">
            <v>2455600</v>
          </cell>
          <cell r="EE111">
            <v>2455600</v>
          </cell>
          <cell r="EG111">
            <v>2455600</v>
          </cell>
          <cell r="EI111">
            <v>-2455600</v>
          </cell>
        </row>
        <row r="112">
          <cell r="A112">
            <v>27524</v>
          </cell>
          <cell r="B112" t="str">
            <v>Tobinworld</v>
          </cell>
          <cell r="C112">
            <v>116</v>
          </cell>
          <cell r="D112" t="str">
            <v>119511</v>
          </cell>
          <cell r="E112">
            <v>27524</v>
          </cell>
          <cell r="F112" t="str">
            <v>09C00106</v>
          </cell>
          <cell r="G112" t="str">
            <v>119511</v>
          </cell>
          <cell r="H112" t="str">
            <v>01171</v>
          </cell>
          <cell r="I112" t="str">
            <v>21</v>
          </cell>
          <cell r="K112" t="str">
            <v>Tobinworld</v>
          </cell>
          <cell r="L112" t="str">
            <v>MH120411</v>
          </cell>
          <cell r="M112" t="str">
            <v>New</v>
          </cell>
          <cell r="N112">
            <v>0</v>
          </cell>
          <cell r="DP112">
            <v>499000</v>
          </cell>
          <cell r="DQ112">
            <v>431036</v>
          </cell>
          <cell r="DR112">
            <v>67964</v>
          </cell>
          <cell r="EB112">
            <v>998000</v>
          </cell>
          <cell r="EE112">
            <v>998000</v>
          </cell>
          <cell r="EG112">
            <v>998000</v>
          </cell>
          <cell r="EH112">
            <v>5750.34</v>
          </cell>
          <cell r="EI112">
            <v>-998000</v>
          </cell>
        </row>
        <row r="113">
          <cell r="A113">
            <v>27525</v>
          </cell>
          <cell r="B113" t="str">
            <v>Trinity Youth Services</v>
          </cell>
          <cell r="C113">
            <v>121</v>
          </cell>
          <cell r="D113" t="str">
            <v>503811</v>
          </cell>
          <cell r="E113">
            <v>27525</v>
          </cell>
          <cell r="F113" t="str">
            <v>09C00110</v>
          </cell>
          <cell r="G113" t="str">
            <v>503811</v>
          </cell>
          <cell r="H113" t="str">
            <v>01026</v>
          </cell>
          <cell r="I113" t="str">
            <v>134785</v>
          </cell>
          <cell r="K113" t="str">
            <v>Trinity Youth Services (Trinity El Monte - Trinity Children &amp; Family Svcs)</v>
          </cell>
          <cell r="L113" t="str">
            <v>MH120415</v>
          </cell>
          <cell r="M113" t="str">
            <v>New</v>
          </cell>
          <cell r="N113">
            <v>0</v>
          </cell>
          <cell r="DP113">
            <v>500000</v>
          </cell>
          <cell r="DQ113">
            <v>431900</v>
          </cell>
          <cell r="DR113">
            <v>68100</v>
          </cell>
          <cell r="EB113">
            <v>1000000</v>
          </cell>
          <cell r="EE113">
            <v>1000000</v>
          </cell>
          <cell r="EG113">
            <v>1000000</v>
          </cell>
          <cell r="EI113">
            <v>-1000000</v>
          </cell>
        </row>
        <row r="114">
          <cell r="A114">
            <v>27529</v>
          </cell>
          <cell r="B114" t="str">
            <v>Institute for Multicultural Counseling &amp; Education Services, Inc. (I.M.C.E.S.)</v>
          </cell>
          <cell r="C114">
            <v>60</v>
          </cell>
          <cell r="D114" t="str">
            <v>506494</v>
          </cell>
          <cell r="E114">
            <v>27529</v>
          </cell>
          <cell r="F114" t="str">
            <v>09C00064</v>
          </cell>
          <cell r="G114" t="str">
            <v>506494</v>
          </cell>
          <cell r="H114" t="str">
            <v>00699</v>
          </cell>
          <cell r="I114" t="str">
            <v>134500</v>
          </cell>
          <cell r="K114" t="str">
            <v>Institute for Multicultural Counseling &amp; Education Svcs, Inc</v>
          </cell>
          <cell r="L114" t="str">
            <v>MH120364</v>
          </cell>
          <cell r="M114" t="str">
            <v>New</v>
          </cell>
          <cell r="N114">
            <v>0</v>
          </cell>
          <cell r="S114">
            <v>203400</v>
          </cell>
          <cell r="AW114">
            <v>235000</v>
          </cell>
          <cell r="BM114">
            <v>180800</v>
          </cell>
          <cell r="BV114">
            <v>22900</v>
          </cell>
          <cell r="BY114">
            <v>240000</v>
          </cell>
          <cell r="DP114">
            <v>262500</v>
          </cell>
          <cell r="DQ114">
            <v>226748</v>
          </cell>
          <cell r="DR114">
            <v>35752</v>
          </cell>
          <cell r="DS114">
            <v>0</v>
          </cell>
          <cell r="DT114">
            <v>0</v>
          </cell>
          <cell r="DU114">
            <v>211950</v>
          </cell>
          <cell r="DV114">
            <v>31150</v>
          </cell>
          <cell r="EB114">
            <v>1650200</v>
          </cell>
          <cell r="EE114">
            <v>1650200</v>
          </cell>
          <cell r="EG114">
            <v>1650200</v>
          </cell>
          <cell r="EI114">
            <v>-1650200</v>
          </cell>
        </row>
        <row r="115">
          <cell r="A115">
            <v>27537</v>
          </cell>
          <cell r="B115" t="str">
            <v>Helpline Youth Counseling, Inc.</v>
          </cell>
          <cell r="C115">
            <v>55</v>
          </cell>
          <cell r="D115" t="str">
            <v>505633</v>
          </cell>
          <cell r="E115">
            <v>27537</v>
          </cell>
          <cell r="F115" t="str">
            <v>09C00059</v>
          </cell>
          <cell r="G115" t="str">
            <v>505633</v>
          </cell>
          <cell r="H115" t="str">
            <v>01232</v>
          </cell>
          <cell r="I115" t="str">
            <v>138556</v>
          </cell>
          <cell r="K115" t="str">
            <v>Helpline Youth Counseling, Inc</v>
          </cell>
          <cell r="L115" t="str">
            <v>MH120359</v>
          </cell>
          <cell r="M115" t="str">
            <v>New</v>
          </cell>
          <cell r="N115">
            <v>0</v>
          </cell>
          <cell r="DP115">
            <v>75000</v>
          </cell>
          <cell r="DQ115">
            <v>64785</v>
          </cell>
          <cell r="DR115">
            <v>10215</v>
          </cell>
          <cell r="DS115">
            <v>3120</v>
          </cell>
          <cell r="DT115">
            <v>1680</v>
          </cell>
          <cell r="EB115">
            <v>154800</v>
          </cell>
          <cell r="EE115">
            <v>154800</v>
          </cell>
          <cell r="EG115">
            <v>154800</v>
          </cell>
          <cell r="EH115">
            <v>6585.66</v>
          </cell>
          <cell r="EI115">
            <v>-154800</v>
          </cell>
        </row>
        <row r="116">
          <cell r="A116">
            <v>27542</v>
          </cell>
          <cell r="B116" t="str">
            <v>Pasadena Unified School District</v>
          </cell>
          <cell r="C116">
            <v>83</v>
          </cell>
          <cell r="D116" t="str">
            <v>105784</v>
          </cell>
          <cell r="E116">
            <v>27542</v>
          </cell>
          <cell r="F116" t="str">
            <v>09C00087</v>
          </cell>
          <cell r="G116" t="str">
            <v>105784</v>
          </cell>
          <cell r="H116" t="str">
            <v>01228</v>
          </cell>
          <cell r="I116" t="str">
            <v>137892</v>
          </cell>
          <cell r="K116" t="str">
            <v>Pasadena Unified School District</v>
          </cell>
          <cell r="L116" t="str">
            <v>MH120385</v>
          </cell>
          <cell r="M116" t="str">
            <v>New</v>
          </cell>
          <cell r="N116">
            <v>0</v>
          </cell>
          <cell r="DK116">
            <v>250000</v>
          </cell>
          <cell r="DP116">
            <v>1000000</v>
          </cell>
          <cell r="DQ116">
            <v>863800</v>
          </cell>
          <cell r="DR116">
            <v>136200</v>
          </cell>
          <cell r="DS116">
            <v>67990</v>
          </cell>
          <cell r="DT116">
            <v>36610</v>
          </cell>
          <cell r="EB116">
            <v>2354600</v>
          </cell>
          <cell r="EE116">
            <v>2354600</v>
          </cell>
          <cell r="EG116">
            <v>2354600</v>
          </cell>
          <cell r="EH116">
            <v>181072</v>
          </cell>
          <cell r="EI116">
            <v>-2354600</v>
          </cell>
        </row>
        <row r="117">
          <cell r="A117">
            <v>27543</v>
          </cell>
          <cell r="B117" t="str">
            <v>LeRoy Haynes Center for Children and Family Services, Inc.</v>
          </cell>
          <cell r="C117">
            <v>68</v>
          </cell>
          <cell r="D117" t="str">
            <v>506862</v>
          </cell>
          <cell r="E117">
            <v>27543</v>
          </cell>
          <cell r="F117" t="str">
            <v>09C00071</v>
          </cell>
          <cell r="G117" t="str">
            <v>506862</v>
          </cell>
          <cell r="H117" t="str">
            <v>00697</v>
          </cell>
          <cell r="I117" t="str">
            <v>137700</v>
          </cell>
          <cell r="K117" t="str">
            <v>LeRoy Haynes Ctr. For Children &amp; Family Svcs. Inc</v>
          </cell>
          <cell r="L117" t="str">
            <v>MH120371</v>
          </cell>
          <cell r="M117" t="str">
            <v>New</v>
          </cell>
          <cell r="N117">
            <v>0</v>
          </cell>
          <cell r="DP117">
            <v>1226900</v>
          </cell>
          <cell r="DQ117">
            <v>1059796</v>
          </cell>
          <cell r="DR117">
            <v>167104</v>
          </cell>
          <cell r="EB117">
            <v>2453800</v>
          </cell>
          <cell r="EE117">
            <v>2453800</v>
          </cell>
          <cell r="EG117">
            <v>2453800</v>
          </cell>
          <cell r="EI117">
            <v>-2453800</v>
          </cell>
        </row>
        <row r="118">
          <cell r="A118">
            <v>27544</v>
          </cell>
          <cell r="B118" t="str">
            <v>The Village Family Services</v>
          </cell>
          <cell r="C118">
            <v>115</v>
          </cell>
          <cell r="D118" t="str">
            <v>123904</v>
          </cell>
          <cell r="E118">
            <v>27544</v>
          </cell>
          <cell r="F118" t="str">
            <v>09C00113</v>
          </cell>
          <cell r="G118" t="str">
            <v>123904</v>
          </cell>
          <cell r="H118" t="str">
            <v>01224</v>
          </cell>
          <cell r="I118" t="str">
            <v>137476</v>
          </cell>
          <cell r="K118" t="str">
            <v>The Village Family Services</v>
          </cell>
          <cell r="L118" t="str">
            <v>MH120410</v>
          </cell>
          <cell r="M118">
            <v>1</v>
          </cell>
          <cell r="N118">
            <v>19000</v>
          </cell>
          <cell r="CG118">
            <v>13961</v>
          </cell>
          <cell r="DP118">
            <v>627750</v>
          </cell>
          <cell r="DQ118">
            <v>542250</v>
          </cell>
          <cell r="DR118">
            <v>71539</v>
          </cell>
          <cell r="DS118">
            <v>52800</v>
          </cell>
          <cell r="DT118">
            <v>28431</v>
          </cell>
          <cell r="EB118">
            <v>1336731</v>
          </cell>
          <cell r="EE118">
            <v>1336731</v>
          </cell>
          <cell r="EG118">
            <v>1336731</v>
          </cell>
          <cell r="EI118">
            <v>-1317731</v>
          </cell>
        </row>
        <row r="119">
          <cell r="A119">
            <v>27545</v>
          </cell>
          <cell r="B119" t="str">
            <v>David &amp; Margaret Home, Inc.</v>
          </cell>
          <cell r="C119">
            <v>29</v>
          </cell>
          <cell r="D119" t="str">
            <v>503804</v>
          </cell>
          <cell r="E119">
            <v>27545</v>
          </cell>
          <cell r="F119" t="str">
            <v>09C00032</v>
          </cell>
          <cell r="G119" t="str">
            <v>503804</v>
          </cell>
          <cell r="H119" t="str">
            <v>01227</v>
          </cell>
          <cell r="I119" t="str">
            <v>137771</v>
          </cell>
          <cell r="K119" t="str">
            <v>The David &amp; Margaret Home, Inc</v>
          </cell>
          <cell r="L119" t="str">
            <v>MH120336</v>
          </cell>
          <cell r="M119" t="str">
            <v>New</v>
          </cell>
          <cell r="N119">
            <v>0</v>
          </cell>
          <cell r="O119">
            <v>57000</v>
          </cell>
          <cell r="P119">
            <v>66000</v>
          </cell>
          <cell r="AU119">
            <v>19500</v>
          </cell>
          <cell r="BG119">
            <v>34935</v>
          </cell>
          <cell r="DP119">
            <v>756500</v>
          </cell>
          <cell r="DQ119">
            <v>653465</v>
          </cell>
          <cell r="DR119">
            <v>68100</v>
          </cell>
          <cell r="EB119">
            <v>1655500</v>
          </cell>
          <cell r="EE119">
            <v>1655500</v>
          </cell>
          <cell r="EG119">
            <v>1655500</v>
          </cell>
          <cell r="EI119">
            <v>-1655500</v>
          </cell>
        </row>
        <row r="120">
          <cell r="A120">
            <v>27548</v>
          </cell>
          <cell r="B120" t="str">
            <v>Pediatric &amp; Family Medical Center dba Eisner Pediatric &amp; Family Medical Center</v>
          </cell>
          <cell r="C120">
            <v>84</v>
          </cell>
          <cell r="D120" t="str">
            <v>511923</v>
          </cell>
          <cell r="E120">
            <v>27548</v>
          </cell>
          <cell r="F120" t="str">
            <v>09C00088</v>
          </cell>
          <cell r="G120" t="str">
            <v>511923</v>
          </cell>
          <cell r="H120" t="str">
            <v>00711</v>
          </cell>
          <cell r="I120" t="str">
            <v>139155</v>
          </cell>
          <cell r="K120" t="str">
            <v>Pediatric &amp; Family Medical Ctr. Dba Eisner Pediatric &amp; Family Medical Ctr.</v>
          </cell>
          <cell r="L120" t="str">
            <v>MH120386</v>
          </cell>
          <cell r="M120" t="str">
            <v>New</v>
          </cell>
          <cell r="N120">
            <v>0</v>
          </cell>
          <cell r="DP120">
            <v>300000</v>
          </cell>
          <cell r="DQ120">
            <v>259140</v>
          </cell>
          <cell r="DR120">
            <v>40860</v>
          </cell>
          <cell r="DS120">
            <v>26390</v>
          </cell>
          <cell r="DT120">
            <v>14210</v>
          </cell>
          <cell r="EB120">
            <v>640600</v>
          </cell>
          <cell r="EE120">
            <v>640600</v>
          </cell>
          <cell r="EG120">
            <v>640600</v>
          </cell>
          <cell r="EH120">
            <v>23960.66</v>
          </cell>
          <cell r="EI120">
            <v>-640600</v>
          </cell>
        </row>
        <row r="121">
          <cell r="A121">
            <v>27549</v>
          </cell>
          <cell r="B121" t="str">
            <v>El Centro del Pueblo, Inc.</v>
          </cell>
          <cell r="C121">
            <v>36</v>
          </cell>
          <cell r="D121" t="str">
            <v>504870</v>
          </cell>
          <cell r="E121">
            <v>27549</v>
          </cell>
          <cell r="F121" t="str">
            <v>09C00039</v>
          </cell>
          <cell r="G121" t="str">
            <v>504870</v>
          </cell>
          <cell r="H121" t="str">
            <v>01250</v>
          </cell>
          <cell r="I121" t="str">
            <v>139135</v>
          </cell>
          <cell r="K121" t="str">
            <v>El Centro Del Pueblo, Inc.</v>
          </cell>
          <cell r="L121" t="str">
            <v>MH120341</v>
          </cell>
          <cell r="M121" t="str">
            <v>New</v>
          </cell>
          <cell r="N121">
            <v>0</v>
          </cell>
          <cell r="DP121">
            <v>300000</v>
          </cell>
          <cell r="DQ121">
            <v>259140</v>
          </cell>
          <cell r="DR121">
            <v>40860</v>
          </cell>
          <cell r="EB121">
            <v>600000</v>
          </cell>
          <cell r="EE121">
            <v>600000</v>
          </cell>
          <cell r="EG121">
            <v>600000</v>
          </cell>
          <cell r="EI121">
            <v>-600000</v>
          </cell>
        </row>
        <row r="122">
          <cell r="A122">
            <v>27550</v>
          </cell>
          <cell r="B122" t="str">
            <v>Catholic Healthcare West dba California Hospital Medical Center</v>
          </cell>
          <cell r="C122">
            <v>15</v>
          </cell>
          <cell r="D122" t="str">
            <v>102594</v>
          </cell>
          <cell r="E122">
            <v>27550</v>
          </cell>
          <cell r="F122" t="str">
            <v>09C00008</v>
          </cell>
          <cell r="G122" t="str">
            <v>102594</v>
          </cell>
          <cell r="H122" t="str">
            <v>01285</v>
          </cell>
          <cell r="I122" t="str">
            <v>139146</v>
          </cell>
          <cell r="K122" t="str">
            <v>Catholic Healthcare West dba California Hospital Medical Center</v>
          </cell>
          <cell r="L122" t="str">
            <v>MH120325</v>
          </cell>
          <cell r="M122" t="str">
            <v>New</v>
          </cell>
          <cell r="N122">
            <v>0</v>
          </cell>
          <cell r="DP122">
            <v>466300</v>
          </cell>
          <cell r="DQ122">
            <v>402790</v>
          </cell>
          <cell r="DR122">
            <v>63510</v>
          </cell>
          <cell r="EB122">
            <v>932600</v>
          </cell>
          <cell r="EE122">
            <v>932600</v>
          </cell>
          <cell r="EG122">
            <v>932600</v>
          </cell>
          <cell r="EI122">
            <v>-932600</v>
          </cell>
        </row>
        <row r="123">
          <cell r="A123">
            <v>27597</v>
          </cell>
          <cell r="B123" t="str">
            <v>Emotional Health Association dba SHARE! The Self-Help and Recovery Exchange</v>
          </cell>
          <cell r="C123">
            <v>37</v>
          </cell>
          <cell r="D123" t="str">
            <v>119327</v>
          </cell>
          <cell r="E123">
            <v>27597</v>
          </cell>
          <cell r="F123" t="str">
            <v>09C00040</v>
          </cell>
          <cell r="G123" t="str">
            <v>119327</v>
          </cell>
          <cell r="H123" t="str">
            <v>01311</v>
          </cell>
          <cell r="I123" t="str">
            <v>27597</v>
          </cell>
          <cell r="K123" t="str">
            <v>Emotional Health Association(dba SHARE the Self-Help &amp; Recovery Exchange)</v>
          </cell>
          <cell r="L123" t="str">
            <v>MH120343</v>
          </cell>
          <cell r="M123" t="str">
            <v>New</v>
          </cell>
          <cell r="N123">
            <v>0</v>
          </cell>
          <cell r="T123">
            <v>400000</v>
          </cell>
          <cell r="BS123">
            <v>322600</v>
          </cell>
          <cell r="BY123">
            <v>89000</v>
          </cell>
          <cell r="EB123">
            <v>811600</v>
          </cell>
          <cell r="EE123">
            <v>811600</v>
          </cell>
          <cell r="EG123">
            <v>811600</v>
          </cell>
          <cell r="EI123">
            <v>-811600</v>
          </cell>
        </row>
        <row r="124">
          <cell r="A124">
            <v>27600</v>
          </cell>
          <cell r="B124" t="str">
            <v>VIP Community Mental Health Center, Inc. (VIP CMHC)</v>
          </cell>
          <cell r="C124">
            <v>126</v>
          </cell>
          <cell r="D124" t="str">
            <v>111138</v>
          </cell>
          <cell r="E124">
            <v>27600</v>
          </cell>
          <cell r="F124" t="str">
            <v>09C00114</v>
          </cell>
          <cell r="G124" t="str">
            <v>111138</v>
          </cell>
          <cell r="H124" t="str">
            <v>01044</v>
          </cell>
          <cell r="I124" t="str">
            <v>135</v>
          </cell>
          <cell r="K124" t="str">
            <v>VIP Community Mental Health Center</v>
          </cell>
          <cell r="L124" t="str">
            <v>MH120419</v>
          </cell>
          <cell r="M124" t="str">
            <v>New</v>
          </cell>
          <cell r="N124">
            <v>0</v>
          </cell>
          <cell r="BV124">
            <v>700</v>
          </cell>
          <cell r="CM124">
            <v>364000</v>
          </cell>
          <cell r="DP124">
            <v>2740000</v>
          </cell>
          <cell r="DQ124">
            <v>2366812</v>
          </cell>
          <cell r="DR124">
            <v>373188</v>
          </cell>
          <cell r="DS124">
            <v>7410</v>
          </cell>
          <cell r="DT124">
            <v>3990</v>
          </cell>
          <cell r="EB124">
            <v>5856100</v>
          </cell>
          <cell r="EE124">
            <v>5856100</v>
          </cell>
          <cell r="EG124">
            <v>5856100</v>
          </cell>
          <cell r="EH124">
            <v>46350.66</v>
          </cell>
          <cell r="EI124">
            <v>-5856100</v>
          </cell>
        </row>
        <row r="125">
          <cell r="A125">
            <v>27601</v>
          </cell>
          <cell r="B125" t="str">
            <v>The Children's Center of the Antelope Valley</v>
          </cell>
          <cell r="C125">
            <v>109</v>
          </cell>
          <cell r="D125" t="str">
            <v>104734</v>
          </cell>
          <cell r="E125">
            <v>27601</v>
          </cell>
          <cell r="F125" t="str">
            <v>09C00014</v>
          </cell>
          <cell r="G125" t="str">
            <v>104734</v>
          </cell>
          <cell r="H125" t="str">
            <v>01066</v>
          </cell>
          <cell r="I125" t="str">
            <v>136</v>
          </cell>
          <cell r="K125" t="str">
            <v>The Children's Center of the Antelope Valley</v>
          </cell>
          <cell r="L125" t="str">
            <v>MH120403</v>
          </cell>
          <cell r="M125" t="str">
            <v>New</v>
          </cell>
          <cell r="N125">
            <v>0</v>
          </cell>
          <cell r="CE125">
            <v>19900</v>
          </cell>
          <cell r="CQ125">
            <v>13484</v>
          </cell>
          <cell r="DP125">
            <v>599000</v>
          </cell>
          <cell r="DQ125">
            <v>517416</v>
          </cell>
          <cell r="DR125">
            <v>68100</v>
          </cell>
          <cell r="DS125">
            <v>13195</v>
          </cell>
          <cell r="DT125">
            <v>7105</v>
          </cell>
          <cell r="EB125">
            <v>1238200</v>
          </cell>
          <cell r="EE125">
            <v>1238200</v>
          </cell>
          <cell r="EG125">
            <v>1238200</v>
          </cell>
          <cell r="EI125">
            <v>-1238200</v>
          </cell>
        </row>
        <row r="126">
          <cell r="A126">
            <v>27620</v>
          </cell>
          <cell r="B126" t="str">
            <v>Asian American Drug Abuse Program, Inc.</v>
          </cell>
          <cell r="C126">
            <v>7</v>
          </cell>
          <cell r="D126" t="str">
            <v>505428</v>
          </cell>
          <cell r="E126">
            <v>27620</v>
          </cell>
          <cell r="F126" t="str">
            <v>09C00121</v>
          </cell>
          <cell r="G126" t="str">
            <v>505428</v>
          </cell>
          <cell r="H126" t="str">
            <v>01167</v>
          </cell>
          <cell r="I126" t="str">
            <v>144</v>
          </cell>
          <cell r="K126" t="str">
            <v>Asian American Drug Abuse Program, Inc</v>
          </cell>
          <cell r="L126" t="str">
            <v>MH120192</v>
          </cell>
          <cell r="M126">
            <v>6</v>
          </cell>
          <cell r="N126">
            <v>0</v>
          </cell>
          <cell r="DI126">
            <v>139300</v>
          </cell>
          <cell r="DP126">
            <v>166500</v>
          </cell>
          <cell r="DQ126">
            <v>143823</v>
          </cell>
          <cell r="DR126">
            <v>22677</v>
          </cell>
          <cell r="EB126">
            <v>472300</v>
          </cell>
          <cell r="EE126">
            <v>472300</v>
          </cell>
          <cell r="EG126">
            <v>472300</v>
          </cell>
          <cell r="EH126">
            <v>5046</v>
          </cell>
          <cell r="EI126">
            <v>-472300</v>
          </cell>
        </row>
        <row r="127">
          <cell r="A127">
            <v>27621</v>
          </cell>
          <cell r="B127" t="str">
            <v>Behavioral Health Services, Inc.</v>
          </cell>
          <cell r="C127">
            <v>11</v>
          </cell>
          <cell r="D127" t="str">
            <v>505432</v>
          </cell>
          <cell r="E127">
            <v>27621</v>
          </cell>
          <cell r="F127" t="str">
            <v>09C00142</v>
          </cell>
          <cell r="G127" t="str">
            <v>505432</v>
          </cell>
          <cell r="H127" t="str">
            <v>01150</v>
          </cell>
          <cell r="I127" t="str">
            <v>142</v>
          </cell>
          <cell r="K127" t="str">
            <v>Behavioral Health Services</v>
          </cell>
          <cell r="L127" t="str">
            <v>MH120195</v>
          </cell>
          <cell r="M127">
            <v>8</v>
          </cell>
          <cell r="N127">
            <v>0</v>
          </cell>
          <cell r="AL127">
            <v>10000</v>
          </cell>
          <cell r="AM127">
            <v>500</v>
          </cell>
          <cell r="AN127">
            <v>13000</v>
          </cell>
          <cell r="BV127">
            <v>9500</v>
          </cell>
          <cell r="CS127">
            <v>125000</v>
          </cell>
          <cell r="DP127">
            <v>230500</v>
          </cell>
          <cell r="DQ127">
            <v>199106</v>
          </cell>
          <cell r="DR127">
            <v>31394</v>
          </cell>
          <cell r="DS127">
            <v>0</v>
          </cell>
          <cell r="DT127">
            <v>0</v>
          </cell>
          <cell r="DU127">
            <v>105000</v>
          </cell>
          <cell r="DV127">
            <v>92000</v>
          </cell>
          <cell r="EB127">
            <v>816000</v>
          </cell>
          <cell r="EE127">
            <v>816000</v>
          </cell>
          <cell r="EG127">
            <v>816000</v>
          </cell>
          <cell r="EI127">
            <v>-816000</v>
          </cell>
        </row>
        <row r="128">
          <cell r="A128">
            <v>27622</v>
          </cell>
          <cell r="B128" t="str">
            <v>California Hispanic Commission, Inc.</v>
          </cell>
          <cell r="C128">
            <v>13</v>
          </cell>
          <cell r="D128" t="str">
            <v>103780</v>
          </cell>
          <cell r="E128">
            <v>27622</v>
          </cell>
          <cell r="F128" t="str">
            <v>09C00132</v>
          </cell>
          <cell r="G128" t="str">
            <v>103780</v>
          </cell>
          <cell r="H128" t="str">
            <v>01149</v>
          </cell>
          <cell r="I128" t="str">
            <v>141</v>
          </cell>
          <cell r="K128" t="str">
            <v>California Hispanic Commission (James Z Hernandez Executive Director)</v>
          </cell>
          <cell r="L128" t="str">
            <v>MH120198</v>
          </cell>
          <cell r="M128">
            <v>7</v>
          </cell>
          <cell r="N128">
            <v>250800</v>
          </cell>
          <cell r="S128">
            <v>203400</v>
          </cell>
          <cell r="T128">
            <v>400000</v>
          </cell>
          <cell r="AW128">
            <v>235000</v>
          </cell>
          <cell r="BM128">
            <v>180800</v>
          </cell>
          <cell r="BS128">
            <v>0</v>
          </cell>
          <cell r="CK128">
            <v>50160</v>
          </cell>
          <cell r="CL128">
            <v>13664</v>
          </cell>
          <cell r="CQ128">
            <v>8172</v>
          </cell>
          <cell r="DP128">
            <v>722320</v>
          </cell>
          <cell r="DQ128">
            <v>623940</v>
          </cell>
          <cell r="DR128">
            <v>76544</v>
          </cell>
          <cell r="DS128">
            <v>7995</v>
          </cell>
          <cell r="DT128">
            <v>4305</v>
          </cell>
          <cell r="DU128">
            <v>180800</v>
          </cell>
          <cell r="EB128">
            <v>2707100</v>
          </cell>
          <cell r="EE128">
            <v>2707100</v>
          </cell>
          <cell r="EG128">
            <v>2707100</v>
          </cell>
          <cell r="EI128">
            <v>-2456300</v>
          </cell>
        </row>
        <row r="129">
          <cell r="A129">
            <v>27624</v>
          </cell>
          <cell r="B129" t="str">
            <v>SPIRITT Family Services, Inc.</v>
          </cell>
          <cell r="C129">
            <v>99</v>
          </cell>
          <cell r="D129" t="str">
            <v>046037</v>
          </cell>
          <cell r="E129">
            <v>27624</v>
          </cell>
          <cell r="F129" t="str">
            <v>09C00140</v>
          </cell>
          <cell r="G129" t="str">
            <v>046037</v>
          </cell>
          <cell r="H129" t="str">
            <v>01160</v>
          </cell>
          <cell r="I129" t="str">
            <v>1030</v>
          </cell>
          <cell r="K129" t="str">
            <v>SPIRITT Family Services, Inc</v>
          </cell>
          <cell r="L129" t="str">
            <v>MH120256</v>
          </cell>
          <cell r="M129">
            <v>5</v>
          </cell>
          <cell r="N129">
            <v>0</v>
          </cell>
          <cell r="DP129">
            <v>225000</v>
          </cell>
          <cell r="DQ129">
            <v>194355</v>
          </cell>
          <cell r="DR129">
            <v>30645</v>
          </cell>
          <cell r="DS129">
            <v>52780</v>
          </cell>
          <cell r="DT129">
            <v>28420</v>
          </cell>
          <cell r="EB129">
            <v>531200</v>
          </cell>
          <cell r="EE129">
            <v>531200</v>
          </cell>
          <cell r="EG129">
            <v>531200</v>
          </cell>
          <cell r="EI129">
            <v>-531200</v>
          </cell>
        </row>
        <row r="130">
          <cell r="A130">
            <v>27625</v>
          </cell>
          <cell r="B130" t="str">
            <v>Tarzana Treatment Center, Inc.</v>
          </cell>
          <cell r="C130">
            <v>107</v>
          </cell>
          <cell r="D130" t="str">
            <v>505501</v>
          </cell>
          <cell r="E130">
            <v>27625</v>
          </cell>
          <cell r="F130" t="str">
            <v>09C00131</v>
          </cell>
          <cell r="G130" t="str">
            <v>505501</v>
          </cell>
          <cell r="H130" t="str">
            <v>01156</v>
          </cell>
          <cell r="I130" t="str">
            <v>143</v>
          </cell>
          <cell r="K130" t="str">
            <v>Tarzana Treatment Center, Inc</v>
          </cell>
          <cell r="L130" t="str">
            <v>MH120266</v>
          </cell>
          <cell r="M130">
            <v>5</v>
          </cell>
          <cell r="N130">
            <v>0</v>
          </cell>
          <cell r="S130">
            <v>203400</v>
          </cell>
          <cell r="AW130">
            <v>235000</v>
          </cell>
          <cell r="BM130">
            <v>180800</v>
          </cell>
          <cell r="CK130">
            <v>60000</v>
          </cell>
          <cell r="CL130">
            <v>16344</v>
          </cell>
          <cell r="DP130">
            <v>370000</v>
          </cell>
          <cell r="DQ130">
            <v>319606</v>
          </cell>
          <cell r="DR130">
            <v>34050</v>
          </cell>
          <cell r="DS130">
            <v>4095</v>
          </cell>
          <cell r="DT130">
            <v>2205</v>
          </cell>
          <cell r="DU130">
            <v>180800</v>
          </cell>
          <cell r="EB130">
            <v>1606300</v>
          </cell>
          <cell r="EE130">
            <v>1606300</v>
          </cell>
          <cell r="EG130">
            <v>1606300</v>
          </cell>
          <cell r="EI130">
            <v>-1606300</v>
          </cell>
        </row>
        <row r="131">
          <cell r="A131">
            <v>27626</v>
          </cell>
          <cell r="B131" t="str">
            <v>New Directions, Inc.</v>
          </cell>
          <cell r="C131">
            <v>73</v>
          </cell>
          <cell r="D131" t="str">
            <v>516917</v>
          </cell>
          <cell r="E131">
            <v>27626</v>
          </cell>
          <cell r="F131" t="str">
            <v>09C00124</v>
          </cell>
          <cell r="G131" t="str">
            <v>516917</v>
          </cell>
          <cell r="H131" t="str">
            <v>01142</v>
          </cell>
          <cell r="I131" t="str">
            <v>139</v>
          </cell>
          <cell r="K131" t="str">
            <v>New Directions, Inc.</v>
          </cell>
          <cell r="L131" t="str">
            <v>MH120239</v>
          </cell>
          <cell r="M131">
            <v>5</v>
          </cell>
          <cell r="N131">
            <v>0</v>
          </cell>
          <cell r="BV131">
            <v>141600</v>
          </cell>
          <cell r="EB131">
            <v>141600</v>
          </cell>
          <cell r="EE131">
            <v>141600</v>
          </cell>
          <cell r="EG131">
            <v>141600</v>
          </cell>
          <cell r="EH131">
            <v>9632.67</v>
          </cell>
          <cell r="EI131">
            <v>-141600</v>
          </cell>
        </row>
        <row r="132">
          <cell r="A132">
            <v>27627</v>
          </cell>
          <cell r="B132" t="str">
            <v>Florence Crittenton Services of Orange County, Inc. dba Crittenton Services for Children and Families</v>
          </cell>
          <cell r="C132">
            <v>46</v>
          </cell>
          <cell r="D132" t="str">
            <v>506854</v>
          </cell>
          <cell r="E132">
            <v>27627</v>
          </cell>
          <cell r="F132" t="str">
            <v>09C00049</v>
          </cell>
          <cell r="G132" t="str">
            <v>506854</v>
          </cell>
          <cell r="H132" t="str">
            <v>00870</v>
          </cell>
          <cell r="I132" t="str">
            <v>140</v>
          </cell>
          <cell r="K132" t="str">
            <v>Florence Crittenton Svcs of Orange County, Inc</v>
          </cell>
          <cell r="L132" t="str">
            <v>MH120350</v>
          </cell>
          <cell r="M132" t="str">
            <v>New</v>
          </cell>
          <cell r="N132">
            <v>0</v>
          </cell>
          <cell r="CG132">
            <v>9806</v>
          </cell>
          <cell r="DP132">
            <v>1197000</v>
          </cell>
          <cell r="DQ132">
            <v>1033969</v>
          </cell>
          <cell r="DR132">
            <v>153225</v>
          </cell>
          <cell r="EB132">
            <v>2394000</v>
          </cell>
          <cell r="EE132">
            <v>2394000</v>
          </cell>
          <cell r="EG132">
            <v>2394000</v>
          </cell>
          <cell r="EI132">
            <v>-2394000</v>
          </cell>
        </row>
        <row r="133">
          <cell r="A133">
            <v>27633</v>
          </cell>
          <cell r="B133" t="str">
            <v>California Institute of Health and Social Services, Inc. dba Alafia Mental Health Institute</v>
          </cell>
          <cell r="C133">
            <v>14</v>
          </cell>
          <cell r="D133" t="str">
            <v>119468</v>
          </cell>
          <cell r="E133">
            <v>27633</v>
          </cell>
          <cell r="F133" t="str">
            <v>09C00028</v>
          </cell>
          <cell r="G133" t="str">
            <v>119468</v>
          </cell>
          <cell r="H133" t="str">
            <v>01192</v>
          </cell>
          <cell r="I133" t="str">
            <v>134097</v>
          </cell>
          <cell r="K133" t="str">
            <v>California Institute of Health &amp; Social Services, Inc.(Alafia MH)</v>
          </cell>
          <cell r="L133" t="str">
            <v>MH120324</v>
          </cell>
          <cell r="M133" t="str">
            <v>New</v>
          </cell>
          <cell r="N133">
            <v>0</v>
          </cell>
          <cell r="CK133">
            <v>12700</v>
          </cell>
          <cell r="CQ133">
            <v>8172</v>
          </cell>
          <cell r="DP133">
            <v>903700</v>
          </cell>
          <cell r="DQ133">
            <v>780616</v>
          </cell>
          <cell r="DR133">
            <v>114912</v>
          </cell>
          <cell r="EB133">
            <v>1820100</v>
          </cell>
          <cell r="EE133">
            <v>1820100</v>
          </cell>
          <cell r="EG133">
            <v>1820100</v>
          </cell>
          <cell r="EI133">
            <v>-1820100</v>
          </cell>
        </row>
        <row r="134">
          <cell r="A134">
            <v>27634</v>
          </cell>
          <cell r="B134" t="str">
            <v>Center for Integrated Family and Health Services</v>
          </cell>
          <cell r="C134">
            <v>17</v>
          </cell>
          <cell r="D134" t="str">
            <v>102590</v>
          </cell>
          <cell r="E134">
            <v>27634</v>
          </cell>
          <cell r="F134" t="str">
            <v>09C00010</v>
          </cell>
          <cell r="G134" t="str">
            <v>102590</v>
          </cell>
          <cell r="H134" t="str">
            <v>01209</v>
          </cell>
          <cell r="I134" t="str">
            <v>134918</v>
          </cell>
          <cell r="K134" t="str">
            <v>Center for Integrated Family &amp; Health Services</v>
          </cell>
          <cell r="L134" t="str">
            <v>MH120327</v>
          </cell>
          <cell r="M134" t="str">
            <v>New</v>
          </cell>
          <cell r="N134">
            <v>0</v>
          </cell>
          <cell r="DP134">
            <v>498000</v>
          </cell>
          <cell r="DQ134">
            <v>430172</v>
          </cell>
          <cell r="DR134">
            <v>67828</v>
          </cell>
          <cell r="DS134">
            <v>52780</v>
          </cell>
          <cell r="DT134">
            <v>28420</v>
          </cell>
          <cell r="EB134">
            <v>1077200</v>
          </cell>
          <cell r="EE134">
            <v>1077200</v>
          </cell>
          <cell r="EG134">
            <v>1077200</v>
          </cell>
          <cell r="EH134">
            <v>2900</v>
          </cell>
          <cell r="EI134">
            <v>-1077200</v>
          </cell>
        </row>
        <row r="135">
          <cell r="A135">
            <v>27635</v>
          </cell>
          <cell r="B135" t="str">
            <v>Drew Child Development Corporation, Inc.</v>
          </cell>
          <cell r="C135">
            <v>31</v>
          </cell>
          <cell r="D135" t="str">
            <v>503060</v>
          </cell>
          <cell r="E135">
            <v>27635</v>
          </cell>
          <cell r="F135" t="str">
            <v>09C00035</v>
          </cell>
          <cell r="G135" t="str">
            <v>503060</v>
          </cell>
          <cell r="H135" t="str">
            <v>01181</v>
          </cell>
          <cell r="I135" t="str">
            <v>133985</v>
          </cell>
          <cell r="K135" t="str">
            <v>Drew Child Development Corporation</v>
          </cell>
          <cell r="L135" t="str">
            <v>MH120338</v>
          </cell>
          <cell r="M135" t="str">
            <v>New</v>
          </cell>
          <cell r="N135">
            <v>0</v>
          </cell>
          <cell r="AR135">
            <v>0</v>
          </cell>
          <cell r="CK135">
            <v>67700</v>
          </cell>
          <cell r="DP135">
            <v>882350</v>
          </cell>
          <cell r="DQ135">
            <v>762174</v>
          </cell>
          <cell r="DR135">
            <v>120176</v>
          </cell>
          <cell r="EB135">
            <v>1832400</v>
          </cell>
          <cell r="EE135">
            <v>1832400</v>
          </cell>
          <cell r="EG135">
            <v>1832400</v>
          </cell>
          <cell r="EH135">
            <v>28741</v>
          </cell>
          <cell r="EI135">
            <v>-1832400</v>
          </cell>
        </row>
        <row r="136">
          <cell r="A136">
            <v>27639</v>
          </cell>
          <cell r="B136" t="str">
            <v>New Horizons Family Center, Inc.</v>
          </cell>
          <cell r="C136">
            <v>74</v>
          </cell>
          <cell r="D136" t="str">
            <v>104578</v>
          </cell>
          <cell r="E136">
            <v>27639</v>
          </cell>
          <cell r="F136" t="str">
            <v>09C00080</v>
          </cell>
          <cell r="G136" t="str">
            <v>104578</v>
          </cell>
          <cell r="H136" t="str">
            <v>01170</v>
          </cell>
          <cell r="I136" t="str">
            <v>18</v>
          </cell>
          <cell r="K136" t="str">
            <v>New Horizons Family Center</v>
          </cell>
          <cell r="L136" t="str">
            <v>MH120377</v>
          </cell>
          <cell r="M136" t="str">
            <v>New</v>
          </cell>
          <cell r="N136">
            <v>0</v>
          </cell>
          <cell r="CE136">
            <v>37400</v>
          </cell>
          <cell r="DP136">
            <v>299750</v>
          </cell>
          <cell r="DQ136">
            <v>258924</v>
          </cell>
          <cell r="DR136">
            <v>40826</v>
          </cell>
          <cell r="DS136">
            <v>63375</v>
          </cell>
          <cell r="DT136">
            <v>34125</v>
          </cell>
          <cell r="EB136">
            <v>734400</v>
          </cell>
          <cell r="EE136">
            <v>734400</v>
          </cell>
          <cell r="EG136">
            <v>734400</v>
          </cell>
          <cell r="EH136">
            <v>200</v>
          </cell>
          <cell r="EI136">
            <v>-734400</v>
          </cell>
        </row>
        <row r="137">
          <cell r="A137">
            <v>27640</v>
          </cell>
          <cell r="B137" t="str">
            <v>Tessie Cleveland Community Services Corporation</v>
          </cell>
          <cell r="C137">
            <v>108</v>
          </cell>
          <cell r="E137">
            <v>27640</v>
          </cell>
          <cell r="F137" t="str">
            <v>09C00169</v>
          </cell>
          <cell r="G137">
            <v>129238</v>
          </cell>
          <cell r="H137" t="str">
            <v>01379</v>
          </cell>
          <cell r="K137" t="str">
            <v>Tessie Cleveland Community Services Corporation</v>
          </cell>
          <cell r="L137" t="str">
            <v>MH120402</v>
          </cell>
          <cell r="M137" t="str">
            <v>New</v>
          </cell>
          <cell r="N137">
            <v>0</v>
          </cell>
          <cell r="BV137">
            <v>25000</v>
          </cell>
          <cell r="CK137">
            <v>20700</v>
          </cell>
          <cell r="CY137">
            <v>60000</v>
          </cell>
          <cell r="DP137">
            <v>3052500</v>
          </cell>
          <cell r="DQ137">
            <v>2636750</v>
          </cell>
          <cell r="DR137">
            <v>415751</v>
          </cell>
          <cell r="DS137">
            <v>0</v>
          </cell>
          <cell r="DT137">
            <v>0</v>
          </cell>
          <cell r="DU137">
            <v>13850</v>
          </cell>
          <cell r="DV137">
            <v>13850</v>
          </cell>
          <cell r="EB137">
            <v>6238401</v>
          </cell>
          <cell r="EE137">
            <v>6238401</v>
          </cell>
          <cell r="EG137">
            <v>6238401</v>
          </cell>
          <cell r="EI137">
            <v>-6238401</v>
          </cell>
        </row>
        <row r="138">
          <cell r="A138">
            <v>27643</v>
          </cell>
          <cell r="B138" t="str">
            <v>WISE &amp; Healthy Aging</v>
          </cell>
          <cell r="C138">
            <v>130</v>
          </cell>
          <cell r="D138">
            <v>510462</v>
          </cell>
          <cell r="E138">
            <v>27643</v>
          </cell>
          <cell r="F138" t="str">
            <v>09C00192</v>
          </cell>
          <cell r="G138">
            <v>510462</v>
          </cell>
          <cell r="H138" t="str">
            <v>01559</v>
          </cell>
          <cell r="K138" t="str">
            <v>Wise &amp; Healthy Aging</v>
          </cell>
          <cell r="L138" t="str">
            <v>MH120423</v>
          </cell>
          <cell r="M138" t="str">
            <v>New</v>
          </cell>
          <cell r="N138">
            <v>0</v>
          </cell>
          <cell r="W138">
            <v>49000</v>
          </cell>
          <cell r="BV138">
            <v>71400</v>
          </cell>
          <cell r="DU138">
            <v>140600</v>
          </cell>
          <cell r="DV138">
            <v>140600</v>
          </cell>
          <cell r="EB138">
            <v>401600</v>
          </cell>
          <cell r="EE138">
            <v>401600</v>
          </cell>
          <cell r="EG138">
            <v>401600</v>
          </cell>
          <cell r="EH138">
            <v>4375</v>
          </cell>
          <cell r="EI138">
            <v>-401600</v>
          </cell>
        </row>
        <row r="139">
          <cell r="A139">
            <v>27644</v>
          </cell>
          <cell r="C139">
            <v>124</v>
          </cell>
          <cell r="D139">
            <v>114907</v>
          </cell>
          <cell r="E139">
            <v>27644</v>
          </cell>
          <cell r="F139" t="str">
            <v>09C00221</v>
          </cell>
          <cell r="G139" t="str">
            <v>114907</v>
          </cell>
          <cell r="H139" t="str">
            <v>01554</v>
          </cell>
          <cell r="K139" t="str">
            <v>USC Care Medical Group, Inc.</v>
          </cell>
          <cell r="L139" t="str">
            <v>MH120284</v>
          </cell>
          <cell r="M139">
            <v>1</v>
          </cell>
          <cell r="N139">
            <v>0</v>
          </cell>
          <cell r="AT139">
            <v>2918443</v>
          </cell>
          <cell r="BQ139">
            <v>12002</v>
          </cell>
          <cell r="BR139">
            <v>280550</v>
          </cell>
          <cell r="DP139">
            <v>81979</v>
          </cell>
          <cell r="DQ139">
            <v>69977</v>
          </cell>
          <cell r="DU139">
            <v>288050</v>
          </cell>
          <cell r="EA139">
            <v>7500</v>
          </cell>
          <cell r="EB139">
            <v>3658501</v>
          </cell>
          <cell r="EE139">
            <v>3658501</v>
          </cell>
          <cell r="EG139">
            <v>3658501</v>
          </cell>
          <cell r="EI139">
            <v>-3658501</v>
          </cell>
        </row>
        <row r="140">
          <cell r="A140">
            <v>27645</v>
          </cell>
          <cell r="B140" t="str">
            <v>Exceptional Children's Foundation</v>
          </cell>
          <cell r="C140">
            <v>40</v>
          </cell>
          <cell r="D140" t="str">
            <v>046549</v>
          </cell>
          <cell r="E140">
            <v>27645</v>
          </cell>
          <cell r="F140" t="str">
            <v>09C00213</v>
          </cell>
          <cell r="G140" t="str">
            <v>046549</v>
          </cell>
          <cell r="H140" t="str">
            <v>01567</v>
          </cell>
          <cell r="K140" t="str">
            <v>Exceptional Children's Foundation</v>
          </cell>
          <cell r="L140" t="str">
            <v>MH120346</v>
          </cell>
          <cell r="M140" t="str">
            <v>New</v>
          </cell>
          <cell r="N140">
            <v>0</v>
          </cell>
          <cell r="DP140">
            <v>403000</v>
          </cell>
          <cell r="DQ140">
            <v>348111</v>
          </cell>
          <cell r="DR140">
            <v>54889</v>
          </cell>
          <cell r="DS140">
            <v>3250</v>
          </cell>
          <cell r="DT140">
            <v>1750</v>
          </cell>
          <cell r="EB140">
            <v>811000</v>
          </cell>
          <cell r="EE140">
            <v>811000</v>
          </cell>
          <cell r="EG140">
            <v>811000</v>
          </cell>
          <cell r="EI140">
            <v>-811000</v>
          </cell>
        </row>
        <row r="141">
          <cell r="A141">
            <v>27646</v>
          </cell>
          <cell r="B141" t="str">
            <v>JWCH Institute, Inc</v>
          </cell>
          <cell r="C141">
            <v>64</v>
          </cell>
          <cell r="D141">
            <v>505461</v>
          </cell>
          <cell r="E141">
            <v>27646</v>
          </cell>
          <cell r="F141" t="str">
            <v>09C00214</v>
          </cell>
          <cell r="G141" t="str">
            <v>505461</v>
          </cell>
          <cell r="H141" t="str">
            <v>01563</v>
          </cell>
          <cell r="K141" t="str">
            <v>JWCH Institute Inc.</v>
          </cell>
          <cell r="L141" t="str">
            <v>MH120366</v>
          </cell>
          <cell r="M141" t="str">
            <v>New</v>
          </cell>
          <cell r="N141">
            <v>0</v>
          </cell>
          <cell r="S141">
            <v>45100</v>
          </cell>
          <cell r="T141">
            <v>88300</v>
          </cell>
          <cell r="BO141">
            <v>66650</v>
          </cell>
          <cell r="DU141">
            <v>66650</v>
          </cell>
          <cell r="DX141">
            <v>0</v>
          </cell>
          <cell r="EB141">
            <v>266700</v>
          </cell>
          <cell r="EE141">
            <v>266700</v>
          </cell>
          <cell r="EI141">
            <v>-266700</v>
          </cell>
        </row>
        <row r="142">
          <cell r="A142">
            <v>27654</v>
          </cell>
          <cell r="B142" t="str">
            <v>FamiliesFirst, Inc.</v>
          </cell>
          <cell r="C142">
            <v>42</v>
          </cell>
          <cell r="D142">
            <v>146254</v>
          </cell>
          <cell r="E142">
            <v>27654</v>
          </cell>
          <cell r="F142" t="str">
            <v>09C00223</v>
          </cell>
          <cell r="G142">
            <v>146254</v>
          </cell>
          <cell r="H142" t="str">
            <v>00120</v>
          </cell>
          <cell r="K142" t="str">
            <v>Families First, Inc. dba EMQ</v>
          </cell>
          <cell r="L142" t="str">
            <v>MH120297</v>
          </cell>
          <cell r="M142" t="str">
            <v>New</v>
          </cell>
          <cell r="N142">
            <v>0</v>
          </cell>
          <cell r="O142">
            <v>43000</v>
          </cell>
          <cell r="P142">
            <v>46200</v>
          </cell>
          <cell r="AU142">
            <v>13650</v>
          </cell>
          <cell r="BG142">
            <v>55978</v>
          </cell>
          <cell r="CG142">
            <v>9806</v>
          </cell>
          <cell r="CQ142">
            <v>54480</v>
          </cell>
          <cell r="DP142">
            <v>1226000</v>
          </cell>
          <cell r="DQ142">
            <v>1059019</v>
          </cell>
          <cell r="DR142">
            <v>46717</v>
          </cell>
          <cell r="DU142">
            <v>8125</v>
          </cell>
          <cell r="DV142">
            <v>8125</v>
          </cell>
          <cell r="EB142">
            <v>2571100</v>
          </cell>
          <cell r="EE142">
            <v>2571100</v>
          </cell>
          <cell r="EG142">
            <v>2571100</v>
          </cell>
          <cell r="EI142">
            <v>-2571100</v>
          </cell>
        </row>
        <row r="143">
          <cell r="A143">
            <v>28027</v>
          </cell>
          <cell r="B143" t="str">
            <v>Jewish Family Service of Los Angeles</v>
          </cell>
          <cell r="C143">
            <v>63</v>
          </cell>
          <cell r="D143">
            <v>503072</v>
          </cell>
          <cell r="E143">
            <v>28027</v>
          </cell>
          <cell r="F143" t="str">
            <v>09C00179</v>
          </cell>
          <cell r="G143">
            <v>503072</v>
          </cell>
          <cell r="H143" t="str">
            <v>01521</v>
          </cell>
          <cell r="K143" t="str">
            <v>Jewish Family Service of Los Angeles</v>
          </cell>
          <cell r="L143" t="str">
            <v>MH120282</v>
          </cell>
          <cell r="M143">
            <v>8</v>
          </cell>
          <cell r="N143">
            <v>0</v>
          </cell>
          <cell r="W143">
            <v>206700</v>
          </cell>
          <cell r="AO143">
            <v>20700</v>
          </cell>
          <cell r="AQ143">
            <v>392650</v>
          </cell>
          <cell r="BU143">
            <v>38600</v>
          </cell>
          <cell r="DU143">
            <v>392650</v>
          </cell>
          <cell r="EB143">
            <v>1051300</v>
          </cell>
          <cell r="EE143">
            <v>1051300</v>
          </cell>
          <cell r="EG143">
            <v>1051300</v>
          </cell>
          <cell r="EI143">
            <v>-1051300</v>
          </cell>
        </row>
        <row r="144">
          <cell r="A144">
            <v>12345</v>
          </cell>
          <cell r="B144" t="str">
            <v>all</v>
          </cell>
          <cell r="C144">
            <v>137</v>
          </cell>
          <cell r="H144" t="str">
            <v>123</v>
          </cell>
          <cell r="K144" t="str">
            <v>TOTAL</v>
          </cell>
          <cell r="N144">
            <v>2855458</v>
          </cell>
          <cell r="O144">
            <v>3437200</v>
          </cell>
          <cell r="P144">
            <v>3783409</v>
          </cell>
          <cell r="Q144">
            <v>5445600</v>
          </cell>
          <cell r="R144">
            <v>535800</v>
          </cell>
          <cell r="S144">
            <v>8941068</v>
          </cell>
          <cell r="T144">
            <v>5347074</v>
          </cell>
          <cell r="U144">
            <v>1851300</v>
          </cell>
          <cell r="V144">
            <v>788100</v>
          </cell>
          <cell r="W144">
            <v>1446273</v>
          </cell>
          <cell r="X144">
            <v>0</v>
          </cell>
          <cell r="Y144">
            <v>3450</v>
          </cell>
          <cell r="Z144">
            <v>973500</v>
          </cell>
          <cell r="AA144">
            <v>249400</v>
          </cell>
          <cell r="AB144">
            <v>700015</v>
          </cell>
          <cell r="AC144">
            <v>24350</v>
          </cell>
          <cell r="AD144">
            <v>1016</v>
          </cell>
          <cell r="AE144">
            <v>28000</v>
          </cell>
          <cell r="AF144">
            <v>51451</v>
          </cell>
          <cell r="AG144">
            <v>336081</v>
          </cell>
          <cell r="AH144">
            <v>20450</v>
          </cell>
          <cell r="AI144">
            <v>1524</v>
          </cell>
          <cell r="AJ144">
            <v>90850</v>
          </cell>
          <cell r="AK144">
            <v>0</v>
          </cell>
          <cell r="AL144">
            <v>3514937</v>
          </cell>
          <cell r="AM144">
            <v>54400</v>
          </cell>
          <cell r="AN144">
            <v>1555097</v>
          </cell>
          <cell r="AO144">
            <v>99500</v>
          </cell>
          <cell r="AP144">
            <v>0</v>
          </cell>
          <cell r="AQ144">
            <v>2010800</v>
          </cell>
          <cell r="AR144">
            <v>0</v>
          </cell>
          <cell r="AS144">
            <v>0</v>
          </cell>
          <cell r="AT144">
            <v>5709443</v>
          </cell>
          <cell r="AU144">
            <v>1125558</v>
          </cell>
          <cell r="AV144">
            <v>3846224</v>
          </cell>
          <cell r="AW144">
            <v>9684048</v>
          </cell>
          <cell r="AX144">
            <v>860900</v>
          </cell>
          <cell r="AY144">
            <v>18483</v>
          </cell>
          <cell r="AZ144">
            <v>40626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1914767</v>
          </cell>
          <cell r="BH144">
            <v>0</v>
          </cell>
          <cell r="BI144">
            <v>488950</v>
          </cell>
          <cell r="BJ144">
            <v>479558</v>
          </cell>
          <cell r="BK144">
            <v>1670000</v>
          </cell>
          <cell r="BL144">
            <v>20125</v>
          </cell>
          <cell r="BM144">
            <v>10816834</v>
          </cell>
          <cell r="BN144">
            <v>1365900</v>
          </cell>
          <cell r="BO144">
            <v>3729606</v>
          </cell>
          <cell r="BP144">
            <v>1702500</v>
          </cell>
          <cell r="BQ144">
            <v>21413</v>
          </cell>
          <cell r="BR144">
            <v>1248400</v>
          </cell>
          <cell r="BS144">
            <v>4981470</v>
          </cell>
          <cell r="BT144">
            <v>1070000</v>
          </cell>
          <cell r="BU144">
            <v>186900</v>
          </cell>
          <cell r="BV144">
            <v>29920005</v>
          </cell>
          <cell r="BW144">
            <v>0</v>
          </cell>
          <cell r="BX144">
            <v>0</v>
          </cell>
          <cell r="BY144">
            <v>13411400</v>
          </cell>
          <cell r="BZ144">
            <v>1350000</v>
          </cell>
          <cell r="CA144">
            <v>150000</v>
          </cell>
          <cell r="CB144">
            <v>0</v>
          </cell>
          <cell r="CC144">
            <v>72600</v>
          </cell>
          <cell r="CD144">
            <v>1174400</v>
          </cell>
          <cell r="CE144">
            <v>1556000</v>
          </cell>
          <cell r="CF144">
            <v>642000</v>
          </cell>
          <cell r="CG144">
            <v>240461</v>
          </cell>
          <cell r="CH144">
            <v>0</v>
          </cell>
          <cell r="CI144">
            <v>724850</v>
          </cell>
          <cell r="CJ144">
            <v>310650</v>
          </cell>
          <cell r="CK144">
            <v>1578500</v>
          </cell>
          <cell r="CL144">
            <v>202016</v>
          </cell>
          <cell r="CM144">
            <v>364000</v>
          </cell>
          <cell r="CN144">
            <v>0</v>
          </cell>
          <cell r="CO144">
            <v>0</v>
          </cell>
          <cell r="CP144">
            <v>0</v>
          </cell>
          <cell r="CQ144">
            <v>743654</v>
          </cell>
          <cell r="CR144">
            <v>193840</v>
          </cell>
          <cell r="CS144">
            <v>593700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102600</v>
          </cell>
          <cell r="CY144">
            <v>1292557</v>
          </cell>
          <cell r="CZ144">
            <v>0</v>
          </cell>
          <cell r="DA144">
            <v>400000</v>
          </cell>
          <cell r="DB144">
            <v>0</v>
          </cell>
          <cell r="DC144">
            <v>93821</v>
          </cell>
          <cell r="DD144">
            <v>1032500</v>
          </cell>
          <cell r="DE144">
            <v>142500</v>
          </cell>
          <cell r="DF144">
            <v>1980000</v>
          </cell>
          <cell r="DG144">
            <v>1953600</v>
          </cell>
          <cell r="DH144">
            <v>0</v>
          </cell>
          <cell r="DI144">
            <v>139300</v>
          </cell>
          <cell r="DJ144">
            <v>5376200</v>
          </cell>
          <cell r="DK144">
            <v>13912700</v>
          </cell>
          <cell r="DL144">
            <v>295175</v>
          </cell>
          <cell r="DM144">
            <v>40000</v>
          </cell>
          <cell r="DN144">
            <v>0</v>
          </cell>
          <cell r="DO144">
            <v>460100</v>
          </cell>
          <cell r="DP144">
            <v>216968778</v>
          </cell>
          <cell r="DQ144">
            <v>187300900</v>
          </cell>
          <cell r="DR144">
            <v>25505521</v>
          </cell>
          <cell r="DS144">
            <v>9723078</v>
          </cell>
          <cell r="DT144">
            <v>4643203</v>
          </cell>
          <cell r="DU144">
            <v>66415550</v>
          </cell>
          <cell r="DV144">
            <v>39752083</v>
          </cell>
          <cell r="DW144">
            <v>0</v>
          </cell>
          <cell r="DX144">
            <v>0</v>
          </cell>
          <cell r="DY144">
            <v>2604050</v>
          </cell>
          <cell r="DZ144">
            <v>5402000</v>
          </cell>
          <cell r="EA144">
            <v>7500</v>
          </cell>
          <cell r="EB144">
            <v>731044142</v>
          </cell>
          <cell r="EC144">
            <v>0</v>
          </cell>
          <cell r="ED144">
            <v>0</v>
          </cell>
          <cell r="EE144">
            <v>724523642</v>
          </cell>
          <cell r="EF144">
            <v>0</v>
          </cell>
          <cell r="EG144">
            <v>724256942</v>
          </cell>
          <cell r="EH144">
            <v>4354279.92</v>
          </cell>
        </row>
        <row r="145">
          <cell r="C145" t="str">
            <v>STATE HOSPITAL</v>
          </cell>
        </row>
        <row r="146">
          <cell r="C146">
            <v>138</v>
          </cell>
          <cell r="D146" t="str">
            <v>511008</v>
          </cell>
          <cell r="E146">
            <v>20902</v>
          </cell>
          <cell r="F146" t="str">
            <v>09C00157</v>
          </cell>
          <cell r="G146" t="str">
            <v>511008</v>
          </cell>
          <cell r="H146" t="str">
            <v>00000</v>
          </cell>
          <cell r="I146" t="str">
            <v>205</v>
          </cell>
          <cell r="J146" t="str">
            <v>STATE HOSPITALS</v>
          </cell>
          <cell r="K146" t="str">
            <v>Metropolitan State Hospital</v>
          </cell>
          <cell r="L146" t="str">
            <v>MH190032</v>
          </cell>
          <cell r="M146" t="str">
            <v>New</v>
          </cell>
          <cell r="N146">
            <v>0</v>
          </cell>
          <cell r="BV146">
            <v>220000</v>
          </cell>
          <cell r="EB146">
            <v>220000</v>
          </cell>
          <cell r="EE146">
            <v>220000</v>
          </cell>
          <cell r="EG146">
            <v>220000</v>
          </cell>
          <cell r="EH146">
            <v>0</v>
          </cell>
          <cell r="EI146">
            <v>-220000</v>
          </cell>
        </row>
        <row r="147">
          <cell r="B147" t="str">
            <v>Sergeh</v>
          </cell>
          <cell r="C147">
            <v>139</v>
          </cell>
          <cell r="D147" t="str">
            <v>047442</v>
          </cell>
          <cell r="E147">
            <v>23155</v>
          </cell>
          <cell r="F147" t="str">
            <v>09C00185</v>
          </cell>
          <cell r="G147" t="str">
            <v>047442</v>
          </cell>
          <cell r="H147" t="str">
            <v>00000</v>
          </cell>
          <cell r="I147" t="str">
            <v>207</v>
          </cell>
          <cell r="K147" t="str">
            <v>Patton State Hospital</v>
          </cell>
          <cell r="L147" t="str">
            <v>MH190033</v>
          </cell>
          <cell r="M147" t="str">
            <v>New</v>
          </cell>
          <cell r="N147">
            <v>0</v>
          </cell>
          <cell r="BV147">
            <v>89800</v>
          </cell>
          <cell r="EB147">
            <v>89800</v>
          </cell>
          <cell r="EE147">
            <v>89800</v>
          </cell>
          <cell r="EG147">
            <v>89800</v>
          </cell>
          <cell r="EH147">
            <v>0</v>
          </cell>
          <cell r="EI147">
            <v>-89800</v>
          </cell>
        </row>
        <row r="148">
          <cell r="A148" t="str">
            <v>TOTAL</v>
          </cell>
          <cell r="C148">
            <v>140</v>
          </cell>
          <cell r="K148" t="str">
            <v>GRAND TOTAL</v>
          </cell>
          <cell r="N148">
            <v>2855458</v>
          </cell>
          <cell r="O148">
            <v>3437200</v>
          </cell>
          <cell r="P148">
            <v>3783409</v>
          </cell>
          <cell r="Q148">
            <v>5445600</v>
          </cell>
          <cell r="R148">
            <v>535800</v>
          </cell>
          <cell r="S148">
            <v>8941068</v>
          </cell>
          <cell r="T148">
            <v>5347074</v>
          </cell>
          <cell r="U148">
            <v>1851300</v>
          </cell>
          <cell r="V148">
            <v>788100</v>
          </cell>
          <cell r="W148">
            <v>1446273</v>
          </cell>
          <cell r="X148">
            <v>0</v>
          </cell>
          <cell r="Y148">
            <v>3450</v>
          </cell>
          <cell r="Z148">
            <v>973500</v>
          </cell>
          <cell r="AA148">
            <v>249400</v>
          </cell>
          <cell r="AB148">
            <v>700015</v>
          </cell>
          <cell r="AC148">
            <v>24350</v>
          </cell>
          <cell r="AD148">
            <v>1016</v>
          </cell>
          <cell r="AE148">
            <v>28000</v>
          </cell>
          <cell r="AF148">
            <v>51451</v>
          </cell>
          <cell r="AG148">
            <v>336081</v>
          </cell>
          <cell r="AH148">
            <v>20450</v>
          </cell>
          <cell r="AI148">
            <v>1524</v>
          </cell>
          <cell r="AJ148">
            <v>90850</v>
          </cell>
          <cell r="AK148">
            <v>0</v>
          </cell>
          <cell r="AL148">
            <v>3514937</v>
          </cell>
          <cell r="AM148">
            <v>54400</v>
          </cell>
          <cell r="AN148">
            <v>1555097</v>
          </cell>
          <cell r="AO148">
            <v>99500</v>
          </cell>
          <cell r="AP148">
            <v>0</v>
          </cell>
          <cell r="AQ148">
            <v>2010800</v>
          </cell>
          <cell r="AR148">
            <v>0</v>
          </cell>
          <cell r="AS148">
            <v>0</v>
          </cell>
          <cell r="AT148">
            <v>5709443</v>
          </cell>
          <cell r="AU148">
            <v>1125558</v>
          </cell>
          <cell r="AV148">
            <v>3846224</v>
          </cell>
          <cell r="AW148">
            <v>9684048</v>
          </cell>
          <cell r="AX148">
            <v>860900</v>
          </cell>
          <cell r="AY148">
            <v>18483</v>
          </cell>
          <cell r="AZ148">
            <v>40626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1914767</v>
          </cell>
          <cell r="BH148">
            <v>0</v>
          </cell>
          <cell r="BI148">
            <v>488950</v>
          </cell>
          <cell r="BJ148">
            <v>479558</v>
          </cell>
          <cell r="BK148">
            <v>1670000</v>
          </cell>
          <cell r="BL148">
            <v>20125</v>
          </cell>
          <cell r="BM148">
            <v>10816834</v>
          </cell>
          <cell r="BN148">
            <v>1365900</v>
          </cell>
          <cell r="BO148">
            <v>3729606</v>
          </cell>
          <cell r="BP148">
            <v>1702500</v>
          </cell>
          <cell r="BQ148">
            <v>21413</v>
          </cell>
          <cell r="BR148">
            <v>1248400</v>
          </cell>
          <cell r="BS148">
            <v>4981470</v>
          </cell>
          <cell r="BT148">
            <v>1070000</v>
          </cell>
          <cell r="BU148">
            <v>186900</v>
          </cell>
          <cell r="BV148">
            <v>30229805</v>
          </cell>
          <cell r="BW148">
            <v>0</v>
          </cell>
          <cell r="BX148">
            <v>0</v>
          </cell>
          <cell r="BY148">
            <v>13411400</v>
          </cell>
          <cell r="BZ148">
            <v>1350000</v>
          </cell>
          <cell r="CA148">
            <v>150000</v>
          </cell>
          <cell r="CB148">
            <v>0</v>
          </cell>
          <cell r="CC148">
            <v>72600</v>
          </cell>
          <cell r="CD148">
            <v>1174400</v>
          </cell>
          <cell r="CE148">
            <v>1556000</v>
          </cell>
          <cell r="CF148">
            <v>642000</v>
          </cell>
          <cell r="CG148">
            <v>240461</v>
          </cell>
          <cell r="CH148">
            <v>0</v>
          </cell>
          <cell r="CI148">
            <v>724850</v>
          </cell>
          <cell r="CJ148">
            <v>310650</v>
          </cell>
          <cell r="CK148">
            <v>1578500</v>
          </cell>
          <cell r="CL148">
            <v>202016</v>
          </cell>
          <cell r="CM148">
            <v>364000</v>
          </cell>
          <cell r="CN148">
            <v>0</v>
          </cell>
          <cell r="CO148">
            <v>0</v>
          </cell>
          <cell r="CP148">
            <v>0</v>
          </cell>
          <cell r="CQ148">
            <v>743654</v>
          </cell>
          <cell r="CR148">
            <v>193840</v>
          </cell>
          <cell r="CS148">
            <v>593700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102600</v>
          </cell>
          <cell r="CY148">
            <v>1292557</v>
          </cell>
          <cell r="CZ148">
            <v>0</v>
          </cell>
          <cell r="DA148">
            <v>400000</v>
          </cell>
          <cell r="DB148">
            <v>0</v>
          </cell>
          <cell r="DC148">
            <v>93821</v>
          </cell>
          <cell r="DD148">
            <v>1032500</v>
          </cell>
          <cell r="DE148">
            <v>142500</v>
          </cell>
          <cell r="DF148">
            <v>1980000</v>
          </cell>
          <cell r="DG148">
            <v>1953600</v>
          </cell>
          <cell r="DH148">
            <v>0</v>
          </cell>
          <cell r="DI148">
            <v>139300</v>
          </cell>
          <cell r="DJ148">
            <v>5376200</v>
          </cell>
          <cell r="DK148">
            <v>13912700</v>
          </cell>
          <cell r="DL148">
            <v>295175</v>
          </cell>
          <cell r="DM148">
            <v>40000</v>
          </cell>
          <cell r="DN148">
            <v>0</v>
          </cell>
          <cell r="DO148">
            <v>460100</v>
          </cell>
          <cell r="DP148">
            <v>216968778</v>
          </cell>
          <cell r="DQ148">
            <v>187300900</v>
          </cell>
          <cell r="DR148">
            <v>25505521</v>
          </cell>
          <cell r="DS148">
            <v>9723078</v>
          </cell>
          <cell r="DT148">
            <v>4643203</v>
          </cell>
          <cell r="DU148">
            <v>66415550</v>
          </cell>
          <cell r="DV148">
            <v>39752083</v>
          </cell>
          <cell r="DW148">
            <v>0</v>
          </cell>
          <cell r="DX148">
            <v>0</v>
          </cell>
          <cell r="DY148">
            <v>2604050</v>
          </cell>
          <cell r="DZ148">
            <v>5402000</v>
          </cell>
          <cell r="EA148">
            <v>7500</v>
          </cell>
          <cell r="EB148">
            <v>731353942</v>
          </cell>
          <cell r="EC148">
            <v>0</v>
          </cell>
          <cell r="ED148">
            <v>0</v>
          </cell>
          <cell r="EE148">
            <v>724833442</v>
          </cell>
          <cell r="EF148">
            <v>0</v>
          </cell>
          <cell r="EG148">
            <v>724566742</v>
          </cell>
          <cell r="EH148">
            <v>0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>
        <row r="3">
          <cell r="A3" t="str">
            <v>Sum of PSTNG_AM</v>
          </cell>
        </row>
      </sheetData>
      <sheetData sheetId="31"/>
      <sheetData sheetId="32"/>
      <sheetData sheetId="33"/>
      <sheetData sheetId="34"/>
      <sheetData sheetId="35"/>
      <sheetData sheetId="36">
        <row r="1">
          <cell r="A1" t="str">
            <v>DOC_CD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">
          <cell r="A1" t="str">
            <v>DOC_CD</v>
          </cell>
        </row>
      </sheetData>
      <sheetData sheetId="49">
        <row r="1">
          <cell r="A1" t="str">
            <v>DOC_CD</v>
          </cell>
        </row>
      </sheetData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file:///\\dmhhqfile3\shares$\CDAD_Contracts\Executed%20Contracts\UCC" TargetMode="External"/><Relationship Id="rId2" Type="http://schemas.openxmlformats.org/officeDocument/2006/relationships/hyperlink" Target="file:///\\dmhhqfile3\shares$\CDAD_Contracts\Executed%20Contracts\24%20HOUR%20CRISIS%20RESIDENTIAL%20TREATMENT" TargetMode="External"/><Relationship Id="rId1" Type="http://schemas.openxmlformats.org/officeDocument/2006/relationships/hyperlink" Target="file:///\\dmhhqfile3\shares$\CDAD_Contracts\Executed%20Contracts\24%20HOUR%20CRISIS%20RESIDENTIAL%20TREATMENT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file:///\\dmhhqfile3\shares$\CDAD_Contracts\Executed%20Contracts\IMD" TargetMode="External"/><Relationship Id="rId4" Type="http://schemas.openxmlformats.org/officeDocument/2006/relationships/hyperlink" Target="file:///\\dmhhqfile3\shares$\CDAD_Contracts\Executed%20Contracts\RESTORATIVE%20CARE%20VILLAGE\RESTORATIVE%20CARE%20VILLAGE%20CRISIS%20RESIDANTIAL%20TREATMENT%20PROGRAMS%20(CRTP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8DB7-F74B-4184-B983-412531ABF167}">
  <dimension ref="A1:D13"/>
  <sheetViews>
    <sheetView tabSelected="1" workbookViewId="0">
      <selection activeCell="D8" sqref="D8"/>
    </sheetView>
  </sheetViews>
  <sheetFormatPr defaultColWidth="8" defaultRowHeight="15" x14ac:dyDescent="0.2"/>
  <cols>
    <col min="1" max="1" width="49.5546875" style="752" bestFit="1" customWidth="1"/>
    <col min="2" max="2" width="31.6640625" style="751" customWidth="1"/>
    <col min="3" max="3" width="50.109375" style="752" customWidth="1"/>
    <col min="4" max="4" width="10.5546875" style="752" customWidth="1"/>
    <col min="5" max="16384" width="8" style="752"/>
  </cols>
  <sheetData>
    <row r="1" spans="1:4" s="749" customFormat="1" ht="15.75" thickBot="1" x14ac:dyDescent="0.25">
      <c r="A1" s="753" t="s">
        <v>13</v>
      </c>
      <c r="B1" s="581"/>
      <c r="C1" s="582"/>
      <c r="D1" s="754" t="s">
        <v>12</v>
      </c>
    </row>
    <row r="2" spans="1:4" s="750" customFormat="1" ht="43.5" thickTop="1" x14ac:dyDescent="0.2">
      <c r="A2" s="755" t="s">
        <v>11</v>
      </c>
      <c r="B2" s="1644" t="s">
        <v>2067</v>
      </c>
      <c r="C2" s="756"/>
      <c r="D2" s="757" t="s">
        <v>14</v>
      </c>
    </row>
    <row r="3" spans="1:4" ht="20.25" x14ac:dyDescent="0.3">
      <c r="A3" s="758" t="s">
        <v>10</v>
      </c>
      <c r="B3" s="1643" t="s">
        <v>2068</v>
      </c>
      <c r="C3" s="760"/>
      <c r="D3" s="760"/>
    </row>
    <row r="4" spans="1:4" ht="15.75" thickBot="1" x14ac:dyDescent="0.25">
      <c r="A4" s="761" t="s">
        <v>9</v>
      </c>
      <c r="B4" s="759"/>
      <c r="C4" s="762"/>
      <c r="D4" s="763"/>
    </row>
    <row r="5" spans="1:4" ht="15.75" x14ac:dyDescent="0.25">
      <c r="A5" s="764" t="s">
        <v>8</v>
      </c>
      <c r="B5" s="1215" t="s">
        <v>2061</v>
      </c>
      <c r="C5" s="765" t="s">
        <v>1667</v>
      </c>
      <c r="D5" s="766"/>
    </row>
    <row r="6" spans="1:4" ht="15.75" x14ac:dyDescent="0.25">
      <c r="A6" s="767" t="s">
        <v>7</v>
      </c>
      <c r="B6" s="1216">
        <v>45205</v>
      </c>
      <c r="C6" s="768" t="s">
        <v>1668</v>
      </c>
      <c r="D6" s="769" t="s">
        <v>1688</v>
      </c>
    </row>
    <row r="7" spans="1:4" ht="15.75" x14ac:dyDescent="0.25">
      <c r="A7" s="767" t="s">
        <v>6</v>
      </c>
      <c r="B7" s="1217" t="s">
        <v>2066</v>
      </c>
      <c r="C7" s="1209" t="s">
        <v>1669</v>
      </c>
      <c r="D7" s="1208" t="s">
        <v>969</v>
      </c>
    </row>
    <row r="8" spans="1:4" ht="15.75" x14ac:dyDescent="0.25">
      <c r="A8" s="767" t="s">
        <v>5</v>
      </c>
      <c r="B8" s="1218" t="s">
        <v>2063</v>
      </c>
      <c r="C8" s="1210" t="s">
        <v>1689</v>
      </c>
      <c r="D8" s="1208" t="s">
        <v>969</v>
      </c>
    </row>
    <row r="9" spans="1:4" ht="15.75" x14ac:dyDescent="0.25">
      <c r="A9" s="767" t="s">
        <v>4</v>
      </c>
      <c r="B9" s="1213" t="s">
        <v>298</v>
      </c>
      <c r="C9" s="1211" t="s">
        <v>1690</v>
      </c>
      <c r="D9" s="1208"/>
    </row>
    <row r="10" spans="1:4" ht="15.75" x14ac:dyDescent="0.25">
      <c r="A10" s="767" t="s">
        <v>3</v>
      </c>
      <c r="B10" s="1214" t="s">
        <v>48</v>
      </c>
      <c r="C10" s="1211"/>
      <c r="D10" s="1212" t="s">
        <v>1994</v>
      </c>
    </row>
    <row r="11" spans="1:4" ht="31.5" x14ac:dyDescent="0.25">
      <c r="A11" s="770" t="s">
        <v>2</v>
      </c>
      <c r="B11" s="771" t="s">
        <v>966</v>
      </c>
      <c r="C11" s="760"/>
      <c r="D11" s="772"/>
    </row>
    <row r="12" spans="1:4" ht="32.25" thickBot="1" x14ac:dyDescent="0.3">
      <c r="A12" s="773" t="s">
        <v>1</v>
      </c>
      <c r="B12" s="1219" t="s">
        <v>969</v>
      </c>
      <c r="C12" s="760"/>
      <c r="D12" s="760"/>
    </row>
    <row r="13" spans="1:4" x14ac:dyDescent="0.2">
      <c r="A13" s="760"/>
      <c r="B13" s="759"/>
      <c r="C13" s="760"/>
      <c r="D13" s="760"/>
    </row>
  </sheetData>
  <sheetProtection algorithmName="SHA-512" hashValue="bpQyJ3/u7keXGwCnxaETbAU9LhoOnZnPqI8FxoPCsghEhHu54eDgGNiKHFRuIjDYl2EYAgZMj5a2XhGvxqGxEA==" saltValue="sN59h6zudU9GXo5cWnHsrg==" spinCount="100000" sheet="1" objects="1" scenarios="1" autoFilter="0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AE3034-1410-4F61-9249-0CAF77B3788A}">
          <x14:formula1>
            <xm:f>'Drop List'!$A$31:$A$33</xm:f>
          </x14:formula1>
          <xm:sqref>D7:D9 B12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E66A2-49B6-4C10-9562-D8E258C885A9}">
  <dimension ref="A1:M327"/>
  <sheetViews>
    <sheetView zoomScale="70" zoomScaleNormal="70" workbookViewId="0">
      <selection activeCell="C5" sqref="C5"/>
    </sheetView>
  </sheetViews>
  <sheetFormatPr defaultColWidth="8.77734375" defaultRowHeight="15.75" x14ac:dyDescent="0.25"/>
  <cols>
    <col min="1" max="1" width="4.109375" style="243" customWidth="1"/>
    <col min="2" max="2" width="26.77734375" style="243" customWidth="1"/>
    <col min="3" max="3" width="12.77734375" style="243" customWidth="1"/>
    <col min="4" max="4" width="9.77734375" style="243" customWidth="1"/>
    <col min="5" max="5" width="11.109375" style="243" customWidth="1"/>
    <col min="6" max="6" width="12.21875" style="822" customWidth="1"/>
    <col min="7" max="7" width="13" style="822" customWidth="1"/>
    <col min="8" max="8" width="13.77734375" style="245" customWidth="1"/>
    <col min="9" max="9" width="10.77734375" style="243" customWidth="1"/>
    <col min="10" max="10" width="18.109375" style="823" customWidth="1"/>
    <col min="11" max="12" width="17.44140625" style="243" customWidth="1"/>
    <col min="13" max="13" width="14.77734375" style="243" customWidth="1"/>
    <col min="14" max="16384" width="8.77734375" style="641"/>
  </cols>
  <sheetData>
    <row r="1" spans="1:13" ht="18.75" thickBot="1" x14ac:dyDescent="0.3">
      <c r="A1" s="826" t="s">
        <v>313</v>
      </c>
      <c r="B1" s="827"/>
      <c r="C1" s="827"/>
      <c r="D1" s="827"/>
      <c r="E1" s="827"/>
      <c r="F1" s="827"/>
      <c r="G1" s="827"/>
      <c r="H1" s="827"/>
      <c r="I1" s="827"/>
      <c r="J1" s="828"/>
      <c r="K1" s="829"/>
      <c r="L1" s="829"/>
      <c r="M1" s="830" t="s">
        <v>314</v>
      </c>
    </row>
    <row r="2" spans="1:13" ht="18.75" thickTop="1" x14ac:dyDescent="0.25">
      <c r="A2" s="247" t="s">
        <v>15</v>
      </c>
      <c r="B2" s="248"/>
      <c r="C2" s="249"/>
      <c r="D2" s="249"/>
      <c r="E2" s="249"/>
      <c r="F2" s="249"/>
      <c r="G2" s="249"/>
      <c r="H2" s="249"/>
      <c r="I2" s="249"/>
      <c r="J2" s="831"/>
      <c r="K2" s="249"/>
      <c r="L2" s="249"/>
      <c r="M2" s="249"/>
    </row>
    <row r="3" spans="1:13" ht="21.75" x14ac:dyDescent="0.3">
      <c r="A3" s="250" t="s">
        <v>315</v>
      </c>
      <c r="B3" s="248"/>
      <c r="C3" s="249"/>
      <c r="D3" s="249"/>
      <c r="E3" s="249"/>
      <c r="F3" s="249"/>
      <c r="G3" s="249"/>
      <c r="H3" s="249"/>
      <c r="I3" s="249"/>
      <c r="J3" s="831"/>
      <c r="K3" s="249"/>
      <c r="L3" s="249"/>
      <c r="M3" s="251"/>
    </row>
    <row r="4" spans="1:13" ht="18" x14ac:dyDescent="0.25">
      <c r="A4" s="252" t="s">
        <v>316</v>
      </c>
      <c r="B4" s="253"/>
      <c r="C4" s="253"/>
      <c r="D4" s="253"/>
      <c r="E4" s="253"/>
      <c r="F4" s="832"/>
      <c r="G4" s="832"/>
      <c r="H4" s="254"/>
      <c r="I4" s="253"/>
      <c r="J4" s="833"/>
      <c r="K4" s="253"/>
      <c r="L4" s="253"/>
      <c r="M4" s="256" t="s">
        <v>310</v>
      </c>
    </row>
    <row r="5" spans="1:13" x14ac:dyDescent="0.25">
      <c r="A5" s="251"/>
      <c r="B5" s="257" t="s">
        <v>317</v>
      </c>
      <c r="C5" s="834" t="str">
        <f>Info!B7</f>
        <v>ABC Mental Health Center</v>
      </c>
      <c r="D5" s="835"/>
      <c r="E5" s="836"/>
      <c r="F5" s="837"/>
      <c r="G5" s="837"/>
      <c r="H5" s="838"/>
      <c r="I5" s="836"/>
      <c r="J5" s="831"/>
      <c r="K5" s="260"/>
      <c r="L5" s="260"/>
      <c r="M5" s="261"/>
    </row>
    <row r="6" spans="1:13" x14ac:dyDescent="0.25">
      <c r="A6" s="251"/>
      <c r="B6" s="839" t="s">
        <v>18</v>
      </c>
      <c r="C6" s="840" t="str">
        <f>Info!B8</f>
        <v>00100</v>
      </c>
      <c r="D6" s="251"/>
      <c r="E6" s="251"/>
      <c r="F6" s="248"/>
      <c r="G6" s="248"/>
      <c r="H6" s="259"/>
      <c r="I6" s="251"/>
      <c r="J6" s="831"/>
      <c r="K6" s="251"/>
      <c r="L6" s="251"/>
      <c r="M6" s="251"/>
    </row>
    <row r="7" spans="1:13" x14ac:dyDescent="0.25">
      <c r="A7" s="251"/>
      <c r="B7" s="260"/>
      <c r="C7" s="263"/>
      <c r="D7" s="251"/>
      <c r="E7" s="251"/>
      <c r="F7" s="248"/>
      <c r="G7" s="248"/>
      <c r="H7" s="259"/>
      <c r="I7" s="251"/>
      <c r="J7" s="831"/>
      <c r="K7" s="251"/>
      <c r="L7" s="251"/>
      <c r="M7" s="251"/>
    </row>
    <row r="8" spans="1:13" x14ac:dyDescent="0.25">
      <c r="A8" s="251"/>
      <c r="B8" s="251"/>
      <c r="C8" s="251"/>
      <c r="D8" s="251"/>
      <c r="E8" s="251"/>
      <c r="F8" s="248"/>
      <c r="G8" s="248"/>
      <c r="H8" s="259"/>
      <c r="I8" s="251"/>
      <c r="J8" s="831"/>
      <c r="K8" s="251"/>
      <c r="L8" s="251"/>
      <c r="M8" s="251"/>
    </row>
    <row r="9" spans="1:13" ht="16.5" thickBot="1" x14ac:dyDescent="0.3">
      <c r="A9" s="251"/>
      <c r="B9" s="251"/>
      <c r="C9" s="251"/>
      <c r="D9" s="264" t="s">
        <v>19</v>
      </c>
      <c r="E9" s="264" t="s">
        <v>20</v>
      </c>
      <c r="F9" s="841" t="s">
        <v>20</v>
      </c>
      <c r="G9" s="841" t="s">
        <v>20</v>
      </c>
      <c r="H9" s="265" t="s">
        <v>21</v>
      </c>
      <c r="I9" s="264" t="s">
        <v>22</v>
      </c>
      <c r="J9" s="842" t="s">
        <v>22</v>
      </c>
      <c r="K9" s="264" t="s">
        <v>23</v>
      </c>
      <c r="L9" s="264" t="s">
        <v>24</v>
      </c>
      <c r="M9" s="264" t="s">
        <v>25</v>
      </c>
    </row>
    <row r="10" spans="1:13" x14ac:dyDescent="0.25">
      <c r="A10" s="251"/>
      <c r="B10" s="266"/>
      <c r="C10" s="267"/>
      <c r="D10" s="267"/>
      <c r="E10" s="268" t="s">
        <v>26</v>
      </c>
      <c r="F10" s="843" t="s">
        <v>26</v>
      </c>
      <c r="G10" s="844"/>
      <c r="H10" s="269"/>
      <c r="I10" s="270" t="s">
        <v>27</v>
      </c>
      <c r="J10" s="845"/>
      <c r="K10" s="272"/>
      <c r="L10" s="268"/>
      <c r="M10" s="846" t="s">
        <v>29</v>
      </c>
    </row>
    <row r="11" spans="1:13" x14ac:dyDescent="0.25">
      <c r="A11" s="251"/>
      <c r="B11" s="274"/>
      <c r="C11" s="275"/>
      <c r="D11" s="275"/>
      <c r="E11" s="276" t="s">
        <v>30</v>
      </c>
      <c r="F11" s="847" t="s">
        <v>30</v>
      </c>
      <c r="G11" s="848" t="s">
        <v>256</v>
      </c>
      <c r="H11" s="277"/>
      <c r="I11" s="278" t="s">
        <v>31</v>
      </c>
      <c r="J11" s="849" t="s">
        <v>32</v>
      </c>
      <c r="K11" s="279" t="s">
        <v>28</v>
      </c>
      <c r="L11" s="276"/>
      <c r="M11" s="850" t="s">
        <v>34</v>
      </c>
    </row>
    <row r="12" spans="1:13" ht="16.5" thickBot="1" x14ac:dyDescent="0.3">
      <c r="A12" s="251"/>
      <c r="B12" s="281" t="s">
        <v>35</v>
      </c>
      <c r="C12" s="282"/>
      <c r="D12" s="283" t="s">
        <v>36</v>
      </c>
      <c r="E12" s="284" t="s">
        <v>37</v>
      </c>
      <c r="F12" s="851" t="s">
        <v>37</v>
      </c>
      <c r="G12" s="852" t="s">
        <v>318</v>
      </c>
      <c r="H12" s="853" t="s">
        <v>319</v>
      </c>
      <c r="I12" s="283" t="s">
        <v>320</v>
      </c>
      <c r="J12" s="854" t="s">
        <v>40</v>
      </c>
      <c r="K12" s="286" t="s">
        <v>321</v>
      </c>
      <c r="L12" s="284" t="s">
        <v>38</v>
      </c>
      <c r="M12" s="855" t="s">
        <v>42</v>
      </c>
    </row>
    <row r="13" spans="1:13" ht="25.15" customHeight="1" x14ac:dyDescent="0.25">
      <c r="A13" s="251"/>
      <c r="B13" s="288" t="s">
        <v>322</v>
      </c>
      <c r="C13" s="275"/>
      <c r="D13" s="289"/>
      <c r="E13" s="856"/>
      <c r="F13" s="857"/>
      <c r="G13" s="858"/>
      <c r="H13" s="859"/>
      <c r="I13" s="860"/>
      <c r="J13" s="861"/>
      <c r="K13" s="862"/>
      <c r="L13" s="860"/>
      <c r="M13" s="863"/>
    </row>
    <row r="14" spans="1:13" s="824" customFormat="1" ht="21.75" customHeight="1" x14ac:dyDescent="0.25">
      <c r="A14" s="864">
        <v>1</v>
      </c>
      <c r="B14" s="865" t="s">
        <v>44</v>
      </c>
      <c r="C14" s="866"/>
      <c r="D14" s="867" t="s">
        <v>45</v>
      </c>
      <c r="E14" s="868" t="s">
        <v>323</v>
      </c>
      <c r="F14" s="869"/>
      <c r="G14" s="870"/>
      <c r="H14" s="871">
        <v>1713.55</v>
      </c>
      <c r="I14" s="872"/>
      <c r="J14" s="31">
        <f>Schedule_A!H14</f>
        <v>0</v>
      </c>
      <c r="K14" s="31">
        <f>Schedule_A!I14</f>
        <v>0</v>
      </c>
      <c r="L14" s="873"/>
      <c r="M14" s="874">
        <f>IF(K14&gt;0,K14,L14)</f>
        <v>0</v>
      </c>
    </row>
    <row r="15" spans="1:13" s="824" customFormat="1" ht="22.15" hidden="1" customHeight="1" x14ac:dyDescent="0.25">
      <c r="A15" s="875">
        <v>1</v>
      </c>
      <c r="B15" s="876" t="s">
        <v>44</v>
      </c>
      <c r="C15" s="877"/>
      <c r="D15" s="878" t="s">
        <v>45</v>
      </c>
      <c r="E15" s="879" t="s">
        <v>77</v>
      </c>
      <c r="F15" s="880" t="s">
        <v>324</v>
      </c>
      <c r="G15" s="881" t="s">
        <v>325</v>
      </c>
      <c r="H15" s="882">
        <f>H$14</f>
        <v>1713.55</v>
      </c>
      <c r="I15" s="883"/>
      <c r="J15" s="23">
        <f>J$14</f>
        <v>0</v>
      </c>
      <c r="K15" s="24">
        <f>K$14</f>
        <v>0</v>
      </c>
      <c r="L15" s="884"/>
      <c r="M15" s="885">
        <f t="shared" ref="M15:M78" si="0">IF(K15&gt;0,K15,L15)</f>
        <v>0</v>
      </c>
    </row>
    <row r="16" spans="1:13" s="824" customFormat="1" ht="22.15" hidden="1" customHeight="1" x14ac:dyDescent="0.25">
      <c r="A16" s="875">
        <v>1</v>
      </c>
      <c r="B16" s="876" t="s">
        <v>44</v>
      </c>
      <c r="C16" s="877"/>
      <c r="D16" s="878" t="s">
        <v>45</v>
      </c>
      <c r="E16" s="879" t="s">
        <v>326</v>
      </c>
      <c r="F16" s="880" t="s">
        <v>327</v>
      </c>
      <c r="G16" s="881" t="s">
        <v>325</v>
      </c>
      <c r="H16" s="882">
        <f t="shared" ref="H16:H23" si="1">H$14</f>
        <v>1713.55</v>
      </c>
      <c r="I16" s="883"/>
      <c r="J16" s="23">
        <f t="shared" ref="J16:K23" si="2">J$14</f>
        <v>0</v>
      </c>
      <c r="K16" s="24">
        <f t="shared" si="2"/>
        <v>0</v>
      </c>
      <c r="L16" s="884"/>
      <c r="M16" s="886">
        <f t="shared" si="0"/>
        <v>0</v>
      </c>
    </row>
    <row r="17" spans="1:13" s="824" customFormat="1" ht="22.15" hidden="1" customHeight="1" x14ac:dyDescent="0.25">
      <c r="A17" s="875">
        <v>1</v>
      </c>
      <c r="B17" s="876" t="s">
        <v>44</v>
      </c>
      <c r="C17" s="877"/>
      <c r="D17" s="878" t="s">
        <v>45</v>
      </c>
      <c r="E17" s="879" t="s">
        <v>328</v>
      </c>
      <c r="F17" s="880" t="s">
        <v>329</v>
      </c>
      <c r="G17" s="881" t="s">
        <v>325</v>
      </c>
      <c r="H17" s="882">
        <f t="shared" si="1"/>
        <v>1713.55</v>
      </c>
      <c r="I17" s="883"/>
      <c r="J17" s="23">
        <f t="shared" si="2"/>
        <v>0</v>
      </c>
      <c r="K17" s="24">
        <f t="shared" si="2"/>
        <v>0</v>
      </c>
      <c r="L17" s="884"/>
      <c r="M17" s="886">
        <f t="shared" si="0"/>
        <v>0</v>
      </c>
    </row>
    <row r="18" spans="1:13" s="824" customFormat="1" ht="22.15" hidden="1" customHeight="1" x14ac:dyDescent="0.25">
      <c r="A18" s="875">
        <v>1</v>
      </c>
      <c r="B18" s="876" t="s">
        <v>44</v>
      </c>
      <c r="C18" s="877"/>
      <c r="D18" s="878" t="s">
        <v>45</v>
      </c>
      <c r="E18" s="879" t="s">
        <v>330</v>
      </c>
      <c r="F18" s="880" t="s">
        <v>331</v>
      </c>
      <c r="G18" s="881" t="s">
        <v>325</v>
      </c>
      <c r="H18" s="882">
        <f t="shared" si="1"/>
        <v>1713.55</v>
      </c>
      <c r="I18" s="883"/>
      <c r="J18" s="23">
        <f t="shared" si="2"/>
        <v>0</v>
      </c>
      <c r="K18" s="24">
        <f t="shared" si="2"/>
        <v>0</v>
      </c>
      <c r="L18" s="884"/>
      <c r="M18" s="886">
        <f t="shared" si="0"/>
        <v>0</v>
      </c>
    </row>
    <row r="19" spans="1:13" s="824" customFormat="1" ht="22.15" hidden="1" customHeight="1" x14ac:dyDescent="0.25">
      <c r="A19" s="875">
        <v>1</v>
      </c>
      <c r="B19" s="876" t="s">
        <v>44</v>
      </c>
      <c r="C19" s="877"/>
      <c r="D19" s="878" t="s">
        <v>45</v>
      </c>
      <c r="E19" s="879" t="s">
        <v>332</v>
      </c>
      <c r="F19" s="880" t="s">
        <v>333</v>
      </c>
      <c r="G19" s="881" t="s">
        <v>325</v>
      </c>
      <c r="H19" s="882">
        <f t="shared" si="1"/>
        <v>1713.55</v>
      </c>
      <c r="I19" s="883"/>
      <c r="J19" s="23">
        <f t="shared" si="2"/>
        <v>0</v>
      </c>
      <c r="K19" s="24">
        <f t="shared" si="2"/>
        <v>0</v>
      </c>
      <c r="L19" s="884"/>
      <c r="M19" s="886">
        <f t="shared" si="0"/>
        <v>0</v>
      </c>
    </row>
    <row r="20" spans="1:13" s="824" customFormat="1" ht="22.15" hidden="1" customHeight="1" x14ac:dyDescent="0.25">
      <c r="A20" s="875">
        <v>1</v>
      </c>
      <c r="B20" s="876" t="s">
        <v>44</v>
      </c>
      <c r="C20" s="877"/>
      <c r="D20" s="878" t="s">
        <v>45</v>
      </c>
      <c r="E20" s="879" t="s">
        <v>95</v>
      </c>
      <c r="F20" s="880" t="s">
        <v>334</v>
      </c>
      <c r="G20" s="881" t="s">
        <v>325</v>
      </c>
      <c r="H20" s="882">
        <f t="shared" si="1"/>
        <v>1713.55</v>
      </c>
      <c r="I20" s="883"/>
      <c r="J20" s="23">
        <f t="shared" si="2"/>
        <v>0</v>
      </c>
      <c r="K20" s="24">
        <f t="shared" si="2"/>
        <v>0</v>
      </c>
      <c r="L20" s="884"/>
      <c r="M20" s="886">
        <f t="shared" si="0"/>
        <v>0</v>
      </c>
    </row>
    <row r="21" spans="1:13" s="824" customFormat="1" ht="22.15" hidden="1" customHeight="1" x14ac:dyDescent="0.25">
      <c r="A21" s="875">
        <v>1</v>
      </c>
      <c r="B21" s="876" t="s">
        <v>44</v>
      </c>
      <c r="C21" s="877"/>
      <c r="D21" s="878" t="s">
        <v>45</v>
      </c>
      <c r="E21" s="879" t="s">
        <v>335</v>
      </c>
      <c r="F21" s="880" t="s">
        <v>336</v>
      </c>
      <c r="G21" s="881" t="s">
        <v>325</v>
      </c>
      <c r="H21" s="882">
        <f t="shared" si="1"/>
        <v>1713.55</v>
      </c>
      <c r="I21" s="883"/>
      <c r="J21" s="23">
        <f t="shared" si="2"/>
        <v>0</v>
      </c>
      <c r="K21" s="24">
        <f t="shared" si="2"/>
        <v>0</v>
      </c>
      <c r="L21" s="884"/>
      <c r="M21" s="886">
        <f t="shared" si="0"/>
        <v>0</v>
      </c>
    </row>
    <row r="22" spans="1:13" s="824" customFormat="1" ht="22.15" hidden="1" customHeight="1" x14ac:dyDescent="0.25">
      <c r="A22" s="875">
        <v>1</v>
      </c>
      <c r="B22" s="876" t="s">
        <v>44</v>
      </c>
      <c r="C22" s="877"/>
      <c r="D22" s="878" t="s">
        <v>45</v>
      </c>
      <c r="E22" s="879" t="s">
        <v>337</v>
      </c>
      <c r="F22" s="880" t="s">
        <v>338</v>
      </c>
      <c r="G22" s="881" t="s">
        <v>325</v>
      </c>
      <c r="H22" s="882">
        <f t="shared" si="1"/>
        <v>1713.55</v>
      </c>
      <c r="I22" s="883"/>
      <c r="J22" s="23">
        <f t="shared" si="2"/>
        <v>0</v>
      </c>
      <c r="K22" s="24">
        <f t="shared" si="2"/>
        <v>0</v>
      </c>
      <c r="L22" s="884"/>
      <c r="M22" s="886">
        <f t="shared" si="0"/>
        <v>0</v>
      </c>
    </row>
    <row r="23" spans="1:13" s="824" customFormat="1" ht="29.25" hidden="1" customHeight="1" x14ac:dyDescent="0.25">
      <c r="A23" s="875">
        <v>1</v>
      </c>
      <c r="B23" s="876" t="s">
        <v>44</v>
      </c>
      <c r="C23" s="877"/>
      <c r="D23" s="878" t="s">
        <v>45</v>
      </c>
      <c r="E23" s="879" t="s">
        <v>339</v>
      </c>
      <c r="F23" s="880" t="s">
        <v>340</v>
      </c>
      <c r="G23" s="881" t="s">
        <v>325</v>
      </c>
      <c r="H23" s="882">
        <f t="shared" si="1"/>
        <v>1713.55</v>
      </c>
      <c r="I23" s="883"/>
      <c r="J23" s="23">
        <f t="shared" si="2"/>
        <v>0</v>
      </c>
      <c r="K23" s="24">
        <f t="shared" si="2"/>
        <v>0</v>
      </c>
      <c r="L23" s="884"/>
      <c r="M23" s="886">
        <f t="shared" si="0"/>
        <v>0</v>
      </c>
    </row>
    <row r="24" spans="1:13" s="824" customFormat="1" ht="22.15" customHeight="1" x14ac:dyDescent="0.25">
      <c r="A24" s="864">
        <v>2</v>
      </c>
      <c r="B24" s="865" t="s">
        <v>47</v>
      </c>
      <c r="C24" s="887"/>
      <c r="D24" s="867" t="s">
        <v>45</v>
      </c>
      <c r="E24" s="868" t="s">
        <v>48</v>
      </c>
      <c r="F24" s="888" t="s">
        <v>341</v>
      </c>
      <c r="G24" s="889" t="s">
        <v>342</v>
      </c>
      <c r="H24" s="871">
        <v>455.34</v>
      </c>
      <c r="I24" s="890"/>
      <c r="J24" s="32">
        <f>Schedule_A!H15</f>
        <v>0</v>
      </c>
      <c r="K24" s="891">
        <f>Schedule_A!I15</f>
        <v>0</v>
      </c>
      <c r="L24" s="892">
        <v>704.86</v>
      </c>
      <c r="M24" s="893">
        <f t="shared" si="0"/>
        <v>704.86</v>
      </c>
    </row>
    <row r="25" spans="1:13" s="824" customFormat="1" ht="22.15" customHeight="1" x14ac:dyDescent="0.25">
      <c r="A25" s="864">
        <v>3</v>
      </c>
      <c r="B25" s="865" t="s">
        <v>49</v>
      </c>
      <c r="C25" s="866"/>
      <c r="D25" s="867" t="s">
        <v>45</v>
      </c>
      <c r="E25" s="868" t="s">
        <v>343</v>
      </c>
      <c r="F25" s="869"/>
      <c r="G25" s="870"/>
      <c r="H25" s="871">
        <v>864.67</v>
      </c>
      <c r="I25" s="892"/>
      <c r="J25" s="33">
        <f>Schedule_A!H16</f>
        <v>0</v>
      </c>
      <c r="K25" s="891">
        <f>Schedule_A!I16</f>
        <v>0</v>
      </c>
      <c r="L25" s="892"/>
      <c r="M25" s="893">
        <f t="shared" si="0"/>
        <v>0</v>
      </c>
    </row>
    <row r="26" spans="1:13" s="824" customFormat="1" ht="22.15" hidden="1" customHeight="1" x14ac:dyDescent="0.25">
      <c r="A26" s="875">
        <v>3</v>
      </c>
      <c r="B26" s="876" t="s">
        <v>49</v>
      </c>
      <c r="C26" s="877"/>
      <c r="D26" s="878" t="s">
        <v>45</v>
      </c>
      <c r="E26" s="879" t="s">
        <v>344</v>
      </c>
      <c r="F26" s="880" t="s">
        <v>345</v>
      </c>
      <c r="G26" s="881" t="s">
        <v>346</v>
      </c>
      <c r="H26" s="882">
        <f>H$25</f>
        <v>864.67</v>
      </c>
      <c r="I26" s="894"/>
      <c r="J26" s="25">
        <f>J$25</f>
        <v>0</v>
      </c>
      <c r="K26" s="895">
        <f>K$25</f>
        <v>0</v>
      </c>
      <c r="L26" s="894"/>
      <c r="M26" s="896">
        <f t="shared" si="0"/>
        <v>0</v>
      </c>
    </row>
    <row r="27" spans="1:13" s="824" customFormat="1" ht="22.15" hidden="1" customHeight="1" x14ac:dyDescent="0.25">
      <c r="A27" s="875">
        <v>3</v>
      </c>
      <c r="B27" s="876" t="s">
        <v>49</v>
      </c>
      <c r="C27" s="877"/>
      <c r="D27" s="878" t="s">
        <v>45</v>
      </c>
      <c r="E27" s="879" t="s">
        <v>347</v>
      </c>
      <c r="F27" s="880" t="s">
        <v>348</v>
      </c>
      <c r="G27" s="881" t="s">
        <v>346</v>
      </c>
      <c r="H27" s="882">
        <f t="shared" ref="H27:H35" si="3">H$25</f>
        <v>864.67</v>
      </c>
      <c r="I27" s="894"/>
      <c r="J27" s="25">
        <f t="shared" ref="J27:K35" si="4">J$25</f>
        <v>0</v>
      </c>
      <c r="K27" s="895">
        <f t="shared" si="4"/>
        <v>0</v>
      </c>
      <c r="L27" s="894"/>
      <c r="M27" s="896">
        <f t="shared" si="0"/>
        <v>0</v>
      </c>
    </row>
    <row r="28" spans="1:13" s="824" customFormat="1" ht="22.15" hidden="1" customHeight="1" x14ac:dyDescent="0.25">
      <c r="A28" s="875">
        <v>3</v>
      </c>
      <c r="B28" s="876" t="s">
        <v>49</v>
      </c>
      <c r="C28" s="877"/>
      <c r="D28" s="878" t="s">
        <v>45</v>
      </c>
      <c r="E28" s="879" t="s">
        <v>349</v>
      </c>
      <c r="F28" s="880" t="s">
        <v>350</v>
      </c>
      <c r="G28" s="881" t="s">
        <v>346</v>
      </c>
      <c r="H28" s="882">
        <f t="shared" si="3"/>
        <v>864.67</v>
      </c>
      <c r="I28" s="894"/>
      <c r="J28" s="25">
        <f t="shared" si="4"/>
        <v>0</v>
      </c>
      <c r="K28" s="895">
        <f t="shared" si="4"/>
        <v>0</v>
      </c>
      <c r="L28" s="894"/>
      <c r="M28" s="896">
        <f t="shared" si="0"/>
        <v>0</v>
      </c>
    </row>
    <row r="29" spans="1:13" s="824" customFormat="1" ht="22.15" hidden="1" customHeight="1" x14ac:dyDescent="0.25">
      <c r="A29" s="875">
        <v>3</v>
      </c>
      <c r="B29" s="876" t="s">
        <v>49</v>
      </c>
      <c r="C29" s="877"/>
      <c r="D29" s="878" t="s">
        <v>45</v>
      </c>
      <c r="E29" s="879" t="s">
        <v>351</v>
      </c>
      <c r="F29" s="880" t="s">
        <v>352</v>
      </c>
      <c r="G29" s="881" t="s">
        <v>346</v>
      </c>
      <c r="H29" s="882">
        <f t="shared" si="3"/>
        <v>864.67</v>
      </c>
      <c r="I29" s="894"/>
      <c r="J29" s="25">
        <f t="shared" si="4"/>
        <v>0</v>
      </c>
      <c r="K29" s="895">
        <f t="shared" si="4"/>
        <v>0</v>
      </c>
      <c r="L29" s="894"/>
      <c r="M29" s="896">
        <f t="shared" si="0"/>
        <v>0</v>
      </c>
    </row>
    <row r="30" spans="1:13" s="824" customFormat="1" ht="22.15" hidden="1" customHeight="1" x14ac:dyDescent="0.25">
      <c r="A30" s="875">
        <v>3</v>
      </c>
      <c r="B30" s="876" t="s">
        <v>49</v>
      </c>
      <c r="C30" s="877"/>
      <c r="D30" s="878" t="s">
        <v>45</v>
      </c>
      <c r="E30" s="879" t="s">
        <v>353</v>
      </c>
      <c r="F30" s="880" t="s">
        <v>354</v>
      </c>
      <c r="G30" s="881" t="s">
        <v>346</v>
      </c>
      <c r="H30" s="882">
        <f t="shared" si="3"/>
        <v>864.67</v>
      </c>
      <c r="I30" s="894"/>
      <c r="J30" s="25">
        <f t="shared" si="4"/>
        <v>0</v>
      </c>
      <c r="K30" s="895">
        <f t="shared" si="4"/>
        <v>0</v>
      </c>
      <c r="L30" s="894"/>
      <c r="M30" s="896">
        <f t="shared" si="0"/>
        <v>0</v>
      </c>
    </row>
    <row r="31" spans="1:13" s="824" customFormat="1" ht="22.15" hidden="1" customHeight="1" x14ac:dyDescent="0.25">
      <c r="A31" s="875">
        <v>3</v>
      </c>
      <c r="B31" s="876" t="s">
        <v>49</v>
      </c>
      <c r="C31" s="877"/>
      <c r="D31" s="878" t="s">
        <v>45</v>
      </c>
      <c r="E31" s="879" t="s">
        <v>355</v>
      </c>
      <c r="F31" s="880" t="s">
        <v>356</v>
      </c>
      <c r="G31" s="881" t="s">
        <v>346</v>
      </c>
      <c r="H31" s="882">
        <f t="shared" si="3"/>
        <v>864.67</v>
      </c>
      <c r="I31" s="894"/>
      <c r="J31" s="25">
        <f t="shared" si="4"/>
        <v>0</v>
      </c>
      <c r="K31" s="895">
        <f t="shared" si="4"/>
        <v>0</v>
      </c>
      <c r="L31" s="894"/>
      <c r="M31" s="896">
        <f t="shared" si="0"/>
        <v>0</v>
      </c>
    </row>
    <row r="32" spans="1:13" s="824" customFormat="1" ht="22.15" hidden="1" customHeight="1" x14ac:dyDescent="0.25">
      <c r="A32" s="875">
        <v>3</v>
      </c>
      <c r="B32" s="876" t="s">
        <v>49</v>
      </c>
      <c r="C32" s="877"/>
      <c r="D32" s="878" t="s">
        <v>45</v>
      </c>
      <c r="E32" s="879" t="s">
        <v>357</v>
      </c>
      <c r="F32" s="880" t="s">
        <v>358</v>
      </c>
      <c r="G32" s="881" t="s">
        <v>346</v>
      </c>
      <c r="H32" s="882">
        <f t="shared" si="3"/>
        <v>864.67</v>
      </c>
      <c r="I32" s="894"/>
      <c r="J32" s="25">
        <f t="shared" si="4"/>
        <v>0</v>
      </c>
      <c r="K32" s="895">
        <f t="shared" si="4"/>
        <v>0</v>
      </c>
      <c r="L32" s="894"/>
      <c r="M32" s="896">
        <f t="shared" si="0"/>
        <v>0</v>
      </c>
    </row>
    <row r="33" spans="1:13" s="824" customFormat="1" ht="22.15" hidden="1" customHeight="1" x14ac:dyDescent="0.25">
      <c r="A33" s="875">
        <v>3</v>
      </c>
      <c r="B33" s="876" t="s">
        <v>49</v>
      </c>
      <c r="C33" s="877"/>
      <c r="D33" s="878" t="s">
        <v>45</v>
      </c>
      <c r="E33" s="879" t="s">
        <v>359</v>
      </c>
      <c r="F33" s="880" t="s">
        <v>360</v>
      </c>
      <c r="G33" s="881" t="s">
        <v>346</v>
      </c>
      <c r="H33" s="882">
        <f t="shared" si="3"/>
        <v>864.67</v>
      </c>
      <c r="I33" s="894"/>
      <c r="J33" s="25">
        <f t="shared" si="4"/>
        <v>0</v>
      </c>
      <c r="K33" s="895">
        <f t="shared" si="4"/>
        <v>0</v>
      </c>
      <c r="L33" s="894"/>
      <c r="M33" s="896">
        <f t="shared" si="0"/>
        <v>0</v>
      </c>
    </row>
    <row r="34" spans="1:13" s="824" customFormat="1" ht="22.15" hidden="1" customHeight="1" x14ac:dyDescent="0.25">
      <c r="A34" s="875">
        <v>3</v>
      </c>
      <c r="B34" s="876" t="s">
        <v>49</v>
      </c>
      <c r="C34" s="877"/>
      <c r="D34" s="878" t="s">
        <v>45</v>
      </c>
      <c r="E34" s="879" t="s">
        <v>361</v>
      </c>
      <c r="F34" s="880" t="s">
        <v>362</v>
      </c>
      <c r="G34" s="881" t="s">
        <v>346</v>
      </c>
      <c r="H34" s="882">
        <f t="shared" si="3"/>
        <v>864.67</v>
      </c>
      <c r="I34" s="894"/>
      <c r="J34" s="25">
        <f t="shared" si="4"/>
        <v>0</v>
      </c>
      <c r="K34" s="895">
        <f t="shared" si="4"/>
        <v>0</v>
      </c>
      <c r="L34" s="894"/>
      <c r="M34" s="896">
        <f t="shared" si="0"/>
        <v>0</v>
      </c>
    </row>
    <row r="35" spans="1:13" s="824" customFormat="1" ht="22.15" hidden="1" customHeight="1" x14ac:dyDescent="0.25">
      <c r="A35" s="875">
        <v>3</v>
      </c>
      <c r="B35" s="876" t="s">
        <v>49</v>
      </c>
      <c r="C35" s="877"/>
      <c r="D35" s="878" t="s">
        <v>45</v>
      </c>
      <c r="E35" s="879" t="s">
        <v>363</v>
      </c>
      <c r="F35" s="880" t="s">
        <v>364</v>
      </c>
      <c r="G35" s="881" t="s">
        <v>346</v>
      </c>
      <c r="H35" s="882">
        <f t="shared" si="3"/>
        <v>864.67</v>
      </c>
      <c r="I35" s="894"/>
      <c r="J35" s="25">
        <f t="shared" si="4"/>
        <v>0</v>
      </c>
      <c r="K35" s="895">
        <f t="shared" si="4"/>
        <v>0</v>
      </c>
      <c r="L35" s="894"/>
      <c r="M35" s="896">
        <f t="shared" si="0"/>
        <v>0</v>
      </c>
    </row>
    <row r="36" spans="1:13" s="824" customFormat="1" ht="22.15" customHeight="1" x14ac:dyDescent="0.25">
      <c r="A36" s="864">
        <v>4</v>
      </c>
      <c r="B36" s="865" t="s">
        <v>51</v>
      </c>
      <c r="C36" s="897"/>
      <c r="D36" s="867" t="s">
        <v>45</v>
      </c>
      <c r="E36" s="868" t="s">
        <v>365</v>
      </c>
      <c r="F36" s="869"/>
      <c r="G36" s="870"/>
      <c r="H36" s="898"/>
      <c r="I36" s="899"/>
      <c r="J36" s="33">
        <f>Schedule_A!H17</f>
        <v>0</v>
      </c>
      <c r="K36" s="891">
        <f>Schedule_A!I17</f>
        <v>0</v>
      </c>
      <c r="L36" s="892"/>
      <c r="M36" s="893">
        <f t="shared" si="0"/>
        <v>0</v>
      </c>
    </row>
    <row r="37" spans="1:13" s="824" customFormat="1" ht="22.15" hidden="1" customHeight="1" x14ac:dyDescent="0.25">
      <c r="A37" s="875">
        <v>4</v>
      </c>
      <c r="B37" s="876" t="s">
        <v>51</v>
      </c>
      <c r="C37" s="877"/>
      <c r="D37" s="878" t="s">
        <v>45</v>
      </c>
      <c r="E37" s="879" t="s">
        <v>366</v>
      </c>
      <c r="F37" s="900" t="s">
        <v>367</v>
      </c>
      <c r="G37" s="901" t="s">
        <v>368</v>
      </c>
      <c r="H37" s="898"/>
      <c r="I37" s="902"/>
      <c r="J37" s="25">
        <f>J$36</f>
        <v>0</v>
      </c>
      <c r="K37" s="895">
        <f>K$36</f>
        <v>0</v>
      </c>
      <c r="L37" s="894"/>
      <c r="M37" s="896">
        <f t="shared" si="0"/>
        <v>0</v>
      </c>
    </row>
    <row r="38" spans="1:13" s="824" customFormat="1" ht="22.15" hidden="1" customHeight="1" x14ac:dyDescent="0.25">
      <c r="A38" s="875">
        <v>4</v>
      </c>
      <c r="B38" s="876" t="s">
        <v>51</v>
      </c>
      <c r="C38" s="877"/>
      <c r="D38" s="878" t="s">
        <v>45</v>
      </c>
      <c r="E38" s="879" t="s">
        <v>369</v>
      </c>
      <c r="F38" s="900" t="s">
        <v>370</v>
      </c>
      <c r="G38" s="901" t="s">
        <v>368</v>
      </c>
      <c r="H38" s="898"/>
      <c r="I38" s="902"/>
      <c r="J38" s="25">
        <f t="shared" ref="J38:K41" si="5">J$36</f>
        <v>0</v>
      </c>
      <c r="K38" s="895">
        <f t="shared" si="5"/>
        <v>0</v>
      </c>
      <c r="L38" s="894"/>
      <c r="M38" s="896">
        <f t="shared" si="0"/>
        <v>0</v>
      </c>
    </row>
    <row r="39" spans="1:13" s="824" customFormat="1" ht="22.15" hidden="1" customHeight="1" x14ac:dyDescent="0.25">
      <c r="A39" s="875">
        <v>4</v>
      </c>
      <c r="B39" s="876" t="s">
        <v>51</v>
      </c>
      <c r="C39" s="877"/>
      <c r="D39" s="878" t="s">
        <v>45</v>
      </c>
      <c r="E39" s="879" t="s">
        <v>371</v>
      </c>
      <c r="F39" s="900" t="s">
        <v>372</v>
      </c>
      <c r="G39" s="901" t="s">
        <v>368</v>
      </c>
      <c r="H39" s="898"/>
      <c r="I39" s="902"/>
      <c r="J39" s="25">
        <f t="shared" si="5"/>
        <v>0</v>
      </c>
      <c r="K39" s="895">
        <f t="shared" si="5"/>
        <v>0</v>
      </c>
      <c r="L39" s="894"/>
      <c r="M39" s="896">
        <f t="shared" si="0"/>
        <v>0</v>
      </c>
    </row>
    <row r="40" spans="1:13" s="824" customFormat="1" ht="22.15" hidden="1" customHeight="1" x14ac:dyDescent="0.25">
      <c r="A40" s="875">
        <v>4</v>
      </c>
      <c r="B40" s="876" t="s">
        <v>51</v>
      </c>
      <c r="C40" s="877"/>
      <c r="D40" s="878" t="s">
        <v>45</v>
      </c>
      <c r="E40" s="879" t="s">
        <v>373</v>
      </c>
      <c r="F40" s="900" t="s">
        <v>374</v>
      </c>
      <c r="G40" s="901" t="s">
        <v>368</v>
      </c>
      <c r="H40" s="898"/>
      <c r="I40" s="902"/>
      <c r="J40" s="25">
        <f t="shared" si="5"/>
        <v>0</v>
      </c>
      <c r="K40" s="895">
        <f t="shared" si="5"/>
        <v>0</v>
      </c>
      <c r="L40" s="894"/>
      <c r="M40" s="896">
        <f t="shared" si="0"/>
        <v>0</v>
      </c>
    </row>
    <row r="41" spans="1:13" s="824" customFormat="1" ht="22.15" hidden="1" customHeight="1" x14ac:dyDescent="0.25">
      <c r="A41" s="875">
        <v>4</v>
      </c>
      <c r="B41" s="876" t="s">
        <v>51</v>
      </c>
      <c r="C41" s="877"/>
      <c r="D41" s="878" t="s">
        <v>45</v>
      </c>
      <c r="E41" s="879" t="s">
        <v>375</v>
      </c>
      <c r="F41" s="900" t="s">
        <v>376</v>
      </c>
      <c r="G41" s="901" t="s">
        <v>368</v>
      </c>
      <c r="H41" s="898"/>
      <c r="I41" s="902"/>
      <c r="J41" s="25">
        <f t="shared" si="5"/>
        <v>0</v>
      </c>
      <c r="K41" s="895">
        <f t="shared" si="5"/>
        <v>0</v>
      </c>
      <c r="L41" s="894"/>
      <c r="M41" s="896">
        <f t="shared" si="0"/>
        <v>0</v>
      </c>
    </row>
    <row r="42" spans="1:13" s="824" customFormat="1" ht="22.15" customHeight="1" x14ac:dyDescent="0.25">
      <c r="A42" s="864">
        <v>5</v>
      </c>
      <c r="B42" s="903" t="s">
        <v>53</v>
      </c>
      <c r="C42" s="904"/>
      <c r="D42" s="905" t="s">
        <v>45</v>
      </c>
      <c r="E42" s="906" t="s">
        <v>54</v>
      </c>
      <c r="F42" s="907" t="s">
        <v>377</v>
      </c>
      <c r="G42" s="908" t="s">
        <v>368</v>
      </c>
      <c r="H42" s="898"/>
      <c r="I42" s="899"/>
      <c r="J42" s="33">
        <f>Schedule_A!H18</f>
        <v>0</v>
      </c>
      <c r="K42" s="33">
        <f>Schedule_A!I18</f>
        <v>0</v>
      </c>
      <c r="L42" s="892"/>
      <c r="M42" s="893">
        <f t="shared" si="0"/>
        <v>0</v>
      </c>
    </row>
    <row r="43" spans="1:13" s="824" customFormat="1" ht="22.15" customHeight="1" x14ac:dyDescent="0.25">
      <c r="A43" s="864">
        <v>6</v>
      </c>
      <c r="B43" s="909" t="s">
        <v>55</v>
      </c>
      <c r="C43" s="910"/>
      <c r="D43" s="911" t="s">
        <v>45</v>
      </c>
      <c r="E43" s="912" t="s">
        <v>378</v>
      </c>
      <c r="F43" s="907"/>
      <c r="G43" s="913"/>
      <c r="H43" s="898"/>
      <c r="I43" s="914"/>
      <c r="J43" s="33">
        <f>Schedule_A!H19</f>
        <v>0</v>
      </c>
      <c r="K43" s="33">
        <f>Schedule_A!I19</f>
        <v>0</v>
      </c>
      <c r="L43" s="892"/>
      <c r="M43" s="893">
        <f t="shared" si="0"/>
        <v>0</v>
      </c>
    </row>
    <row r="44" spans="1:13" s="824" customFormat="1" ht="22.15" hidden="1" customHeight="1" x14ac:dyDescent="0.25">
      <c r="A44" s="875">
        <v>6</v>
      </c>
      <c r="B44" s="876" t="s">
        <v>55</v>
      </c>
      <c r="C44" s="877"/>
      <c r="D44" s="878" t="s">
        <v>45</v>
      </c>
      <c r="E44" s="879" t="s">
        <v>379</v>
      </c>
      <c r="F44" s="900" t="s">
        <v>380</v>
      </c>
      <c r="G44" s="901" t="s">
        <v>368</v>
      </c>
      <c r="H44" s="898"/>
      <c r="I44" s="902"/>
      <c r="J44" s="25">
        <f>J$43</f>
        <v>0</v>
      </c>
      <c r="K44" s="895">
        <f>K$43</f>
        <v>0</v>
      </c>
      <c r="L44" s="894"/>
      <c r="M44" s="896">
        <f t="shared" si="0"/>
        <v>0</v>
      </c>
    </row>
    <row r="45" spans="1:13" s="824" customFormat="1" ht="22.15" hidden="1" customHeight="1" x14ac:dyDescent="0.25">
      <c r="A45" s="875">
        <v>6</v>
      </c>
      <c r="B45" s="876" t="s">
        <v>55</v>
      </c>
      <c r="C45" s="877"/>
      <c r="D45" s="878" t="s">
        <v>45</v>
      </c>
      <c r="E45" s="879" t="s">
        <v>381</v>
      </c>
      <c r="F45" s="900" t="s">
        <v>382</v>
      </c>
      <c r="G45" s="901" t="s">
        <v>368</v>
      </c>
      <c r="H45" s="898"/>
      <c r="I45" s="902"/>
      <c r="J45" s="25">
        <f t="shared" ref="J45:K47" si="6">J$43</f>
        <v>0</v>
      </c>
      <c r="K45" s="895">
        <f t="shared" si="6"/>
        <v>0</v>
      </c>
      <c r="L45" s="894"/>
      <c r="M45" s="896">
        <f t="shared" si="0"/>
        <v>0</v>
      </c>
    </row>
    <row r="46" spans="1:13" s="824" customFormat="1" ht="22.15" hidden="1" customHeight="1" x14ac:dyDescent="0.25">
      <c r="A46" s="875">
        <v>6</v>
      </c>
      <c r="B46" s="876" t="s">
        <v>55</v>
      </c>
      <c r="C46" s="877"/>
      <c r="D46" s="878" t="s">
        <v>45</v>
      </c>
      <c r="E46" s="879" t="s">
        <v>383</v>
      </c>
      <c r="F46" s="900" t="s">
        <v>384</v>
      </c>
      <c r="G46" s="901" t="s">
        <v>368</v>
      </c>
      <c r="H46" s="898"/>
      <c r="I46" s="902"/>
      <c r="J46" s="25">
        <f t="shared" si="6"/>
        <v>0</v>
      </c>
      <c r="K46" s="895">
        <f t="shared" si="6"/>
        <v>0</v>
      </c>
      <c r="L46" s="894"/>
      <c r="M46" s="896">
        <f t="shared" si="0"/>
        <v>0</v>
      </c>
    </row>
    <row r="47" spans="1:13" s="824" customFormat="1" ht="22.15" hidden="1" customHeight="1" x14ac:dyDescent="0.25">
      <c r="A47" s="875">
        <v>6</v>
      </c>
      <c r="B47" s="876" t="s">
        <v>55</v>
      </c>
      <c r="C47" s="877"/>
      <c r="D47" s="878" t="s">
        <v>45</v>
      </c>
      <c r="E47" s="879" t="s">
        <v>385</v>
      </c>
      <c r="F47" s="900" t="s">
        <v>386</v>
      </c>
      <c r="G47" s="901" t="s">
        <v>368</v>
      </c>
      <c r="H47" s="898"/>
      <c r="I47" s="902"/>
      <c r="J47" s="25">
        <f t="shared" si="6"/>
        <v>0</v>
      </c>
      <c r="K47" s="895">
        <f t="shared" si="6"/>
        <v>0</v>
      </c>
      <c r="L47" s="894"/>
      <c r="M47" s="896">
        <f t="shared" si="0"/>
        <v>0</v>
      </c>
    </row>
    <row r="48" spans="1:13" s="824" customFormat="1" ht="22.15" customHeight="1" x14ac:dyDescent="0.25">
      <c r="A48" s="864">
        <v>7</v>
      </c>
      <c r="B48" s="865" t="s">
        <v>57</v>
      </c>
      <c r="C48" s="866"/>
      <c r="D48" s="867" t="s">
        <v>45</v>
      </c>
      <c r="E48" s="868" t="s">
        <v>387</v>
      </c>
      <c r="F48" s="869"/>
      <c r="G48" s="870"/>
      <c r="H48" s="871">
        <v>487.59</v>
      </c>
      <c r="I48" s="892"/>
      <c r="J48" s="33">
        <f>Schedule_A!H20</f>
        <v>404.71</v>
      </c>
      <c r="K48" s="33">
        <f>Schedule_A!I20</f>
        <v>0</v>
      </c>
      <c r="L48" s="892"/>
      <c r="M48" s="893">
        <f t="shared" si="0"/>
        <v>0</v>
      </c>
    </row>
    <row r="49" spans="1:13" s="824" customFormat="1" ht="22.15" hidden="1" customHeight="1" x14ac:dyDescent="0.25">
      <c r="A49" s="875">
        <v>7</v>
      </c>
      <c r="B49" s="876" t="s">
        <v>57</v>
      </c>
      <c r="C49" s="877"/>
      <c r="D49" s="878" t="s">
        <v>45</v>
      </c>
      <c r="E49" s="879" t="s">
        <v>388</v>
      </c>
      <c r="F49" s="880" t="s">
        <v>389</v>
      </c>
      <c r="G49" s="881" t="s">
        <v>346</v>
      </c>
      <c r="H49" s="882">
        <f>H$48</f>
        <v>487.59</v>
      </c>
      <c r="I49" s="894"/>
      <c r="J49" s="25">
        <f>J$48</f>
        <v>404.71</v>
      </c>
      <c r="K49" s="895">
        <f>K$48</f>
        <v>0</v>
      </c>
      <c r="L49" s="894"/>
      <c r="M49" s="896">
        <f t="shared" si="0"/>
        <v>0</v>
      </c>
    </row>
    <row r="50" spans="1:13" s="824" customFormat="1" ht="22.15" hidden="1" customHeight="1" x14ac:dyDescent="0.25">
      <c r="A50" s="875">
        <v>7</v>
      </c>
      <c r="B50" s="876" t="s">
        <v>57</v>
      </c>
      <c r="C50" s="877"/>
      <c r="D50" s="878" t="s">
        <v>45</v>
      </c>
      <c r="E50" s="879" t="s">
        <v>390</v>
      </c>
      <c r="F50" s="880" t="s">
        <v>391</v>
      </c>
      <c r="G50" s="881" t="s">
        <v>346</v>
      </c>
      <c r="H50" s="882">
        <f t="shared" ref="H50:H58" si="7">H$48</f>
        <v>487.59</v>
      </c>
      <c r="I50" s="894"/>
      <c r="J50" s="25">
        <f t="shared" ref="J50:K58" si="8">J$48</f>
        <v>404.71</v>
      </c>
      <c r="K50" s="895">
        <f t="shared" si="8"/>
        <v>0</v>
      </c>
      <c r="L50" s="894"/>
      <c r="M50" s="896">
        <f t="shared" si="0"/>
        <v>0</v>
      </c>
    </row>
    <row r="51" spans="1:13" s="824" customFormat="1" ht="22.15" hidden="1" customHeight="1" x14ac:dyDescent="0.25">
      <c r="A51" s="875">
        <v>7</v>
      </c>
      <c r="B51" s="876" t="s">
        <v>57</v>
      </c>
      <c r="C51" s="877"/>
      <c r="D51" s="878" t="s">
        <v>45</v>
      </c>
      <c r="E51" s="879" t="s">
        <v>392</v>
      </c>
      <c r="F51" s="880" t="s">
        <v>393</v>
      </c>
      <c r="G51" s="881" t="s">
        <v>346</v>
      </c>
      <c r="H51" s="882">
        <f t="shared" si="7"/>
        <v>487.59</v>
      </c>
      <c r="I51" s="894"/>
      <c r="J51" s="25">
        <f t="shared" si="8"/>
        <v>404.71</v>
      </c>
      <c r="K51" s="895">
        <f t="shared" si="8"/>
        <v>0</v>
      </c>
      <c r="L51" s="894"/>
      <c r="M51" s="896">
        <f t="shared" si="0"/>
        <v>0</v>
      </c>
    </row>
    <row r="52" spans="1:13" s="824" customFormat="1" ht="22.15" hidden="1" customHeight="1" x14ac:dyDescent="0.25">
      <c r="A52" s="875">
        <v>7</v>
      </c>
      <c r="B52" s="876" t="s">
        <v>57</v>
      </c>
      <c r="C52" s="877"/>
      <c r="D52" s="878" t="s">
        <v>45</v>
      </c>
      <c r="E52" s="879" t="s">
        <v>394</v>
      </c>
      <c r="F52" s="880" t="s">
        <v>395</v>
      </c>
      <c r="G52" s="881" t="s">
        <v>346</v>
      </c>
      <c r="H52" s="882">
        <f t="shared" si="7"/>
        <v>487.59</v>
      </c>
      <c r="I52" s="894"/>
      <c r="J52" s="25">
        <f t="shared" si="8"/>
        <v>404.71</v>
      </c>
      <c r="K52" s="895">
        <f t="shared" si="8"/>
        <v>0</v>
      </c>
      <c r="L52" s="894"/>
      <c r="M52" s="896">
        <f t="shared" si="0"/>
        <v>0</v>
      </c>
    </row>
    <row r="53" spans="1:13" s="824" customFormat="1" ht="22.15" hidden="1" customHeight="1" x14ac:dyDescent="0.25">
      <c r="A53" s="875">
        <v>7</v>
      </c>
      <c r="B53" s="876" t="s">
        <v>57</v>
      </c>
      <c r="C53" s="877"/>
      <c r="D53" s="878" t="s">
        <v>45</v>
      </c>
      <c r="E53" s="879" t="s">
        <v>396</v>
      </c>
      <c r="F53" s="880" t="s">
        <v>397</v>
      </c>
      <c r="G53" s="881" t="s">
        <v>346</v>
      </c>
      <c r="H53" s="882">
        <f t="shared" si="7"/>
        <v>487.59</v>
      </c>
      <c r="I53" s="894"/>
      <c r="J53" s="25">
        <f t="shared" si="8"/>
        <v>404.71</v>
      </c>
      <c r="K53" s="895">
        <f t="shared" si="8"/>
        <v>0</v>
      </c>
      <c r="L53" s="894"/>
      <c r="M53" s="896">
        <f t="shared" si="0"/>
        <v>0</v>
      </c>
    </row>
    <row r="54" spans="1:13" s="824" customFormat="1" ht="22.15" hidden="1" customHeight="1" x14ac:dyDescent="0.25">
      <c r="A54" s="875">
        <v>7</v>
      </c>
      <c r="B54" s="876" t="s">
        <v>57</v>
      </c>
      <c r="C54" s="877"/>
      <c r="D54" s="878" t="s">
        <v>45</v>
      </c>
      <c r="E54" s="879" t="s">
        <v>104</v>
      </c>
      <c r="F54" s="880" t="s">
        <v>398</v>
      </c>
      <c r="G54" s="881" t="s">
        <v>346</v>
      </c>
      <c r="H54" s="882">
        <f t="shared" si="7"/>
        <v>487.59</v>
      </c>
      <c r="I54" s="894"/>
      <c r="J54" s="25">
        <f t="shared" si="8"/>
        <v>404.71</v>
      </c>
      <c r="K54" s="895">
        <f t="shared" si="8"/>
        <v>0</v>
      </c>
      <c r="L54" s="894"/>
      <c r="M54" s="896">
        <f t="shared" si="0"/>
        <v>0</v>
      </c>
    </row>
    <row r="55" spans="1:13" s="824" customFormat="1" ht="22.15" hidden="1" customHeight="1" x14ac:dyDescent="0.25">
      <c r="A55" s="875">
        <v>7</v>
      </c>
      <c r="B55" s="876" t="s">
        <v>57</v>
      </c>
      <c r="C55" s="877"/>
      <c r="D55" s="878" t="s">
        <v>45</v>
      </c>
      <c r="E55" s="879" t="s">
        <v>399</v>
      </c>
      <c r="F55" s="880" t="s">
        <v>400</v>
      </c>
      <c r="G55" s="881" t="s">
        <v>346</v>
      </c>
      <c r="H55" s="882">
        <f t="shared" si="7"/>
        <v>487.59</v>
      </c>
      <c r="I55" s="894"/>
      <c r="J55" s="25">
        <f t="shared" si="8"/>
        <v>404.71</v>
      </c>
      <c r="K55" s="895">
        <f t="shared" si="8"/>
        <v>0</v>
      </c>
      <c r="L55" s="894"/>
      <c r="M55" s="896">
        <f t="shared" si="0"/>
        <v>0</v>
      </c>
    </row>
    <row r="56" spans="1:13" s="824" customFormat="1" ht="22.15" hidden="1" customHeight="1" x14ac:dyDescent="0.25">
      <c r="A56" s="875">
        <v>7</v>
      </c>
      <c r="B56" s="876" t="s">
        <v>57</v>
      </c>
      <c r="C56" s="877"/>
      <c r="D56" s="878" t="s">
        <v>45</v>
      </c>
      <c r="E56" s="879" t="s">
        <v>401</v>
      </c>
      <c r="F56" s="880" t="s">
        <v>402</v>
      </c>
      <c r="G56" s="881" t="s">
        <v>346</v>
      </c>
      <c r="H56" s="882">
        <f t="shared" si="7"/>
        <v>487.59</v>
      </c>
      <c r="I56" s="894"/>
      <c r="J56" s="25">
        <f t="shared" si="8"/>
        <v>404.71</v>
      </c>
      <c r="K56" s="895">
        <f t="shared" si="8"/>
        <v>0</v>
      </c>
      <c r="L56" s="894"/>
      <c r="M56" s="896">
        <f t="shared" si="0"/>
        <v>0</v>
      </c>
    </row>
    <row r="57" spans="1:13" s="824" customFormat="1" ht="22.15" hidden="1" customHeight="1" x14ac:dyDescent="0.25">
      <c r="A57" s="875">
        <v>7</v>
      </c>
      <c r="B57" s="876" t="s">
        <v>57</v>
      </c>
      <c r="C57" s="877"/>
      <c r="D57" s="878" t="s">
        <v>45</v>
      </c>
      <c r="E57" s="879" t="s">
        <v>403</v>
      </c>
      <c r="F57" s="880" t="s">
        <v>404</v>
      </c>
      <c r="G57" s="881" t="s">
        <v>346</v>
      </c>
      <c r="H57" s="882">
        <f t="shared" si="7"/>
        <v>487.59</v>
      </c>
      <c r="I57" s="894"/>
      <c r="J57" s="25">
        <f t="shared" si="8"/>
        <v>404.71</v>
      </c>
      <c r="K57" s="895">
        <f t="shared" si="8"/>
        <v>0</v>
      </c>
      <c r="L57" s="894"/>
      <c r="M57" s="896">
        <f t="shared" si="0"/>
        <v>0</v>
      </c>
    </row>
    <row r="58" spans="1:13" s="824" customFormat="1" ht="22.15" hidden="1" customHeight="1" x14ac:dyDescent="0.25">
      <c r="A58" s="875">
        <v>7</v>
      </c>
      <c r="B58" s="876" t="s">
        <v>57</v>
      </c>
      <c r="C58" s="877"/>
      <c r="D58" s="878" t="s">
        <v>45</v>
      </c>
      <c r="E58" s="879" t="s">
        <v>405</v>
      </c>
      <c r="F58" s="880" t="s">
        <v>406</v>
      </c>
      <c r="G58" s="881" t="s">
        <v>346</v>
      </c>
      <c r="H58" s="882">
        <f t="shared" si="7"/>
        <v>487.59</v>
      </c>
      <c r="I58" s="894"/>
      <c r="J58" s="25">
        <f t="shared" si="8"/>
        <v>404.71</v>
      </c>
      <c r="K58" s="895">
        <f t="shared" si="8"/>
        <v>0</v>
      </c>
      <c r="L58" s="894"/>
      <c r="M58" s="896">
        <f t="shared" si="0"/>
        <v>0</v>
      </c>
    </row>
    <row r="59" spans="1:13" s="824" customFormat="1" ht="22.15" customHeight="1" x14ac:dyDescent="0.25">
      <c r="A59" s="864">
        <v>8</v>
      </c>
      <c r="B59" s="865" t="s">
        <v>59</v>
      </c>
      <c r="C59" s="897"/>
      <c r="D59" s="867" t="s">
        <v>45</v>
      </c>
      <c r="E59" s="868" t="s">
        <v>407</v>
      </c>
      <c r="F59" s="888"/>
      <c r="G59" s="889"/>
      <c r="H59" s="898"/>
      <c r="I59" s="899"/>
      <c r="J59" s="33">
        <f>Schedule_A!H21</f>
        <v>0</v>
      </c>
      <c r="K59" s="33">
        <f>Schedule_A!I21</f>
        <v>0</v>
      </c>
      <c r="L59" s="892"/>
      <c r="M59" s="893">
        <f t="shared" si="0"/>
        <v>0</v>
      </c>
    </row>
    <row r="60" spans="1:13" s="824" customFormat="1" ht="22.15" hidden="1" customHeight="1" x14ac:dyDescent="0.25">
      <c r="A60" s="875">
        <v>8</v>
      </c>
      <c r="B60" s="876" t="s">
        <v>59</v>
      </c>
      <c r="C60" s="877"/>
      <c r="D60" s="878" t="s">
        <v>45</v>
      </c>
      <c r="E60" s="879" t="s">
        <v>408</v>
      </c>
      <c r="F60" s="880" t="s">
        <v>409</v>
      </c>
      <c r="G60" s="881" t="s">
        <v>346</v>
      </c>
      <c r="H60" s="898"/>
      <c r="I60" s="899"/>
      <c r="J60" s="25">
        <f>J$59</f>
        <v>0</v>
      </c>
      <c r="K60" s="895">
        <f>K$59</f>
        <v>0</v>
      </c>
      <c r="L60" s="894"/>
      <c r="M60" s="896">
        <f t="shared" si="0"/>
        <v>0</v>
      </c>
    </row>
    <row r="61" spans="1:13" s="824" customFormat="1" ht="22.15" hidden="1" customHeight="1" x14ac:dyDescent="0.25">
      <c r="A61" s="875">
        <v>8</v>
      </c>
      <c r="B61" s="876" t="s">
        <v>59</v>
      </c>
      <c r="C61" s="877"/>
      <c r="D61" s="878" t="s">
        <v>45</v>
      </c>
      <c r="E61" s="879" t="s">
        <v>410</v>
      </c>
      <c r="F61" s="880" t="s">
        <v>411</v>
      </c>
      <c r="G61" s="881" t="s">
        <v>346</v>
      </c>
      <c r="H61" s="898"/>
      <c r="I61" s="899"/>
      <c r="J61" s="25">
        <f t="shared" ref="J61:K69" si="9">J$59</f>
        <v>0</v>
      </c>
      <c r="K61" s="895">
        <f t="shared" si="9"/>
        <v>0</v>
      </c>
      <c r="L61" s="894"/>
      <c r="M61" s="896">
        <f t="shared" si="0"/>
        <v>0</v>
      </c>
    </row>
    <row r="62" spans="1:13" s="824" customFormat="1" ht="22.15" hidden="1" customHeight="1" x14ac:dyDescent="0.25">
      <c r="A62" s="875">
        <v>8</v>
      </c>
      <c r="B62" s="876" t="s">
        <v>59</v>
      </c>
      <c r="C62" s="877"/>
      <c r="D62" s="878" t="s">
        <v>45</v>
      </c>
      <c r="E62" s="879" t="s">
        <v>412</v>
      </c>
      <c r="F62" s="880" t="s">
        <v>413</v>
      </c>
      <c r="G62" s="881" t="s">
        <v>346</v>
      </c>
      <c r="H62" s="898"/>
      <c r="I62" s="899"/>
      <c r="J62" s="25">
        <f t="shared" si="9"/>
        <v>0</v>
      </c>
      <c r="K62" s="895">
        <f t="shared" si="9"/>
        <v>0</v>
      </c>
      <c r="L62" s="894"/>
      <c r="M62" s="896">
        <f t="shared" si="0"/>
        <v>0</v>
      </c>
    </row>
    <row r="63" spans="1:13" s="824" customFormat="1" ht="22.15" hidden="1" customHeight="1" x14ac:dyDescent="0.25">
      <c r="A63" s="875">
        <v>8</v>
      </c>
      <c r="B63" s="876" t="s">
        <v>59</v>
      </c>
      <c r="C63" s="877"/>
      <c r="D63" s="878" t="s">
        <v>45</v>
      </c>
      <c r="E63" s="879" t="s">
        <v>414</v>
      </c>
      <c r="F63" s="880" t="s">
        <v>415</v>
      </c>
      <c r="G63" s="881" t="s">
        <v>346</v>
      </c>
      <c r="H63" s="898"/>
      <c r="I63" s="899"/>
      <c r="J63" s="25">
        <f t="shared" si="9"/>
        <v>0</v>
      </c>
      <c r="K63" s="895">
        <f t="shared" si="9"/>
        <v>0</v>
      </c>
      <c r="L63" s="894"/>
      <c r="M63" s="896">
        <f t="shared" si="0"/>
        <v>0</v>
      </c>
    </row>
    <row r="64" spans="1:13" s="824" customFormat="1" ht="22.15" hidden="1" customHeight="1" x14ac:dyDescent="0.25">
      <c r="A64" s="875">
        <v>8</v>
      </c>
      <c r="B64" s="876" t="s">
        <v>59</v>
      </c>
      <c r="C64" s="877"/>
      <c r="D64" s="878" t="s">
        <v>45</v>
      </c>
      <c r="E64" s="879" t="s">
        <v>416</v>
      </c>
      <c r="F64" s="880" t="s">
        <v>417</v>
      </c>
      <c r="G64" s="881" t="s">
        <v>346</v>
      </c>
      <c r="H64" s="898"/>
      <c r="I64" s="899"/>
      <c r="J64" s="25">
        <f t="shared" si="9"/>
        <v>0</v>
      </c>
      <c r="K64" s="895">
        <f t="shared" si="9"/>
        <v>0</v>
      </c>
      <c r="L64" s="894"/>
      <c r="M64" s="896">
        <f t="shared" si="0"/>
        <v>0</v>
      </c>
    </row>
    <row r="65" spans="1:13" s="824" customFormat="1" ht="22.15" hidden="1" customHeight="1" x14ac:dyDescent="0.25">
      <c r="A65" s="875">
        <v>8</v>
      </c>
      <c r="B65" s="876" t="s">
        <v>59</v>
      </c>
      <c r="C65" s="877"/>
      <c r="D65" s="878" t="s">
        <v>45</v>
      </c>
      <c r="E65" s="879" t="s">
        <v>418</v>
      </c>
      <c r="F65" s="880" t="s">
        <v>419</v>
      </c>
      <c r="G65" s="881" t="s">
        <v>346</v>
      </c>
      <c r="H65" s="898"/>
      <c r="I65" s="899"/>
      <c r="J65" s="25">
        <f t="shared" si="9"/>
        <v>0</v>
      </c>
      <c r="K65" s="895">
        <f t="shared" si="9"/>
        <v>0</v>
      </c>
      <c r="L65" s="894"/>
      <c r="M65" s="896">
        <f t="shared" si="0"/>
        <v>0</v>
      </c>
    </row>
    <row r="66" spans="1:13" s="824" customFormat="1" ht="22.15" hidden="1" customHeight="1" x14ac:dyDescent="0.25">
      <c r="A66" s="875">
        <v>8</v>
      </c>
      <c r="B66" s="876" t="s">
        <v>59</v>
      </c>
      <c r="C66" s="877"/>
      <c r="D66" s="878" t="s">
        <v>45</v>
      </c>
      <c r="E66" s="879" t="s">
        <v>420</v>
      </c>
      <c r="F66" s="880" t="s">
        <v>421</v>
      </c>
      <c r="G66" s="881" t="s">
        <v>346</v>
      </c>
      <c r="H66" s="898"/>
      <c r="I66" s="899"/>
      <c r="J66" s="25">
        <f t="shared" si="9"/>
        <v>0</v>
      </c>
      <c r="K66" s="895">
        <f t="shared" si="9"/>
        <v>0</v>
      </c>
      <c r="L66" s="894"/>
      <c r="M66" s="896">
        <f t="shared" si="0"/>
        <v>0</v>
      </c>
    </row>
    <row r="67" spans="1:13" s="824" customFormat="1" ht="22.15" hidden="1" customHeight="1" x14ac:dyDescent="0.25">
      <c r="A67" s="875">
        <v>8</v>
      </c>
      <c r="B67" s="876" t="s">
        <v>59</v>
      </c>
      <c r="C67" s="877"/>
      <c r="D67" s="878" t="s">
        <v>45</v>
      </c>
      <c r="E67" s="879" t="s">
        <v>422</v>
      </c>
      <c r="F67" s="880" t="s">
        <v>423</v>
      </c>
      <c r="G67" s="881" t="s">
        <v>346</v>
      </c>
      <c r="H67" s="898"/>
      <c r="I67" s="899"/>
      <c r="J67" s="25">
        <f t="shared" si="9"/>
        <v>0</v>
      </c>
      <c r="K67" s="895">
        <f t="shared" si="9"/>
        <v>0</v>
      </c>
      <c r="L67" s="894"/>
      <c r="M67" s="896">
        <f t="shared" si="0"/>
        <v>0</v>
      </c>
    </row>
    <row r="68" spans="1:13" s="824" customFormat="1" ht="22.15" hidden="1" customHeight="1" x14ac:dyDescent="0.25">
      <c r="A68" s="875">
        <v>8</v>
      </c>
      <c r="B68" s="876" t="s">
        <v>59</v>
      </c>
      <c r="C68" s="877"/>
      <c r="D68" s="878" t="s">
        <v>45</v>
      </c>
      <c r="E68" s="879" t="s">
        <v>424</v>
      </c>
      <c r="F68" s="880" t="s">
        <v>425</v>
      </c>
      <c r="G68" s="881" t="s">
        <v>346</v>
      </c>
      <c r="H68" s="898"/>
      <c r="I68" s="899"/>
      <c r="J68" s="25">
        <f t="shared" si="9"/>
        <v>0</v>
      </c>
      <c r="K68" s="895">
        <f t="shared" si="9"/>
        <v>0</v>
      </c>
      <c r="L68" s="894"/>
      <c r="M68" s="896">
        <f t="shared" si="0"/>
        <v>0</v>
      </c>
    </row>
    <row r="69" spans="1:13" s="824" customFormat="1" ht="22.15" hidden="1" customHeight="1" x14ac:dyDescent="0.25">
      <c r="A69" s="875">
        <v>8</v>
      </c>
      <c r="B69" s="876" t="s">
        <v>59</v>
      </c>
      <c r="C69" s="877"/>
      <c r="D69" s="878" t="s">
        <v>45</v>
      </c>
      <c r="E69" s="879" t="s">
        <v>426</v>
      </c>
      <c r="F69" s="880" t="s">
        <v>427</v>
      </c>
      <c r="G69" s="881" t="s">
        <v>346</v>
      </c>
      <c r="H69" s="898"/>
      <c r="I69" s="914"/>
      <c r="J69" s="25">
        <f t="shared" si="9"/>
        <v>0</v>
      </c>
      <c r="K69" s="895">
        <f t="shared" si="9"/>
        <v>0</v>
      </c>
      <c r="L69" s="894"/>
      <c r="M69" s="896">
        <f t="shared" si="0"/>
        <v>0</v>
      </c>
    </row>
    <row r="70" spans="1:13" s="824" customFormat="1" ht="22.15" customHeight="1" x14ac:dyDescent="0.25">
      <c r="A70" s="864">
        <v>9</v>
      </c>
      <c r="B70" s="865" t="s">
        <v>61</v>
      </c>
      <c r="C70" s="897"/>
      <c r="D70" s="867" t="s">
        <v>45</v>
      </c>
      <c r="E70" s="868" t="s">
        <v>428</v>
      </c>
      <c r="F70" s="888"/>
      <c r="G70" s="889"/>
      <c r="H70" s="915"/>
      <c r="I70" s="916"/>
      <c r="J70" s="34">
        <f>Schedule_A!H22</f>
        <v>0</v>
      </c>
      <c r="K70" s="34">
        <f>Schedule_A!I22</f>
        <v>0</v>
      </c>
      <c r="L70" s="892"/>
      <c r="M70" s="893">
        <f t="shared" si="0"/>
        <v>0</v>
      </c>
    </row>
    <row r="71" spans="1:13" s="824" customFormat="1" ht="22.15" hidden="1" customHeight="1" x14ac:dyDescent="0.25">
      <c r="A71" s="875">
        <v>9</v>
      </c>
      <c r="B71" s="876" t="s">
        <v>61</v>
      </c>
      <c r="C71" s="877"/>
      <c r="D71" s="878" t="s">
        <v>45</v>
      </c>
      <c r="E71" s="879" t="s">
        <v>136</v>
      </c>
      <c r="F71" s="880" t="s">
        <v>429</v>
      </c>
      <c r="G71" s="881" t="s">
        <v>346</v>
      </c>
      <c r="H71" s="898"/>
      <c r="I71" s="899"/>
      <c r="J71" s="25">
        <f>J$70</f>
        <v>0</v>
      </c>
      <c r="K71" s="895">
        <f>K$70</f>
        <v>0</v>
      </c>
      <c r="L71" s="894"/>
      <c r="M71" s="896">
        <f t="shared" si="0"/>
        <v>0</v>
      </c>
    </row>
    <row r="72" spans="1:13" s="824" customFormat="1" ht="22.15" hidden="1" customHeight="1" x14ac:dyDescent="0.25">
      <c r="A72" s="875">
        <v>9</v>
      </c>
      <c r="B72" s="876" t="s">
        <v>61</v>
      </c>
      <c r="C72" s="877"/>
      <c r="D72" s="878" t="s">
        <v>45</v>
      </c>
      <c r="E72" s="879" t="s">
        <v>430</v>
      </c>
      <c r="F72" s="880" t="s">
        <v>431</v>
      </c>
      <c r="G72" s="881" t="s">
        <v>346</v>
      </c>
      <c r="H72" s="898"/>
      <c r="I72" s="899"/>
      <c r="J72" s="25">
        <f t="shared" ref="J72:K75" si="10">J$70</f>
        <v>0</v>
      </c>
      <c r="K72" s="895">
        <f t="shared" si="10"/>
        <v>0</v>
      </c>
      <c r="L72" s="894"/>
      <c r="M72" s="896">
        <f t="shared" si="0"/>
        <v>0</v>
      </c>
    </row>
    <row r="73" spans="1:13" s="824" customFormat="1" ht="22.15" hidden="1" customHeight="1" x14ac:dyDescent="0.25">
      <c r="A73" s="875">
        <v>9</v>
      </c>
      <c r="B73" s="876" t="s">
        <v>61</v>
      </c>
      <c r="C73" s="877"/>
      <c r="D73" s="878" t="s">
        <v>45</v>
      </c>
      <c r="E73" s="879" t="s">
        <v>432</v>
      </c>
      <c r="F73" s="880" t="s">
        <v>433</v>
      </c>
      <c r="G73" s="881" t="s">
        <v>346</v>
      </c>
      <c r="H73" s="898"/>
      <c r="I73" s="899"/>
      <c r="J73" s="25">
        <f t="shared" si="10"/>
        <v>0</v>
      </c>
      <c r="K73" s="895">
        <f t="shared" si="10"/>
        <v>0</v>
      </c>
      <c r="L73" s="894"/>
      <c r="M73" s="896">
        <f t="shared" si="0"/>
        <v>0</v>
      </c>
    </row>
    <row r="74" spans="1:13" s="824" customFormat="1" ht="22.15" hidden="1" customHeight="1" x14ac:dyDescent="0.25">
      <c r="A74" s="875">
        <v>9</v>
      </c>
      <c r="B74" s="876" t="s">
        <v>61</v>
      </c>
      <c r="C74" s="877"/>
      <c r="D74" s="878" t="s">
        <v>45</v>
      </c>
      <c r="E74" s="879" t="s">
        <v>434</v>
      </c>
      <c r="F74" s="880" t="s">
        <v>435</v>
      </c>
      <c r="G74" s="881" t="s">
        <v>346</v>
      </c>
      <c r="H74" s="898"/>
      <c r="I74" s="899"/>
      <c r="J74" s="25">
        <f t="shared" si="10"/>
        <v>0</v>
      </c>
      <c r="K74" s="895">
        <f t="shared" si="10"/>
        <v>0</v>
      </c>
      <c r="L74" s="894"/>
      <c r="M74" s="896">
        <f t="shared" si="0"/>
        <v>0</v>
      </c>
    </row>
    <row r="75" spans="1:13" s="824" customFormat="1" ht="22.15" hidden="1" customHeight="1" x14ac:dyDescent="0.25">
      <c r="A75" s="875">
        <v>9</v>
      </c>
      <c r="B75" s="876" t="s">
        <v>61</v>
      </c>
      <c r="C75" s="877"/>
      <c r="D75" s="878" t="s">
        <v>45</v>
      </c>
      <c r="E75" s="879" t="s">
        <v>436</v>
      </c>
      <c r="F75" s="880" t="s">
        <v>437</v>
      </c>
      <c r="G75" s="881" t="s">
        <v>346</v>
      </c>
      <c r="H75" s="898"/>
      <c r="I75" s="899"/>
      <c r="J75" s="25">
        <f t="shared" si="10"/>
        <v>0</v>
      </c>
      <c r="K75" s="895">
        <f t="shared" si="10"/>
        <v>0</v>
      </c>
      <c r="L75" s="894"/>
      <c r="M75" s="896">
        <f t="shared" si="0"/>
        <v>0</v>
      </c>
    </row>
    <row r="76" spans="1:13" s="824" customFormat="1" ht="22.15" customHeight="1" x14ac:dyDescent="0.25">
      <c r="A76" s="864">
        <v>10</v>
      </c>
      <c r="B76" s="865" t="s">
        <v>63</v>
      </c>
      <c r="C76" s="866"/>
      <c r="D76" s="867" t="s">
        <v>45</v>
      </c>
      <c r="E76" s="868" t="s">
        <v>438</v>
      </c>
      <c r="F76" s="869"/>
      <c r="G76" s="870"/>
      <c r="H76" s="871">
        <v>237.82</v>
      </c>
      <c r="I76" s="892"/>
      <c r="J76" s="33">
        <f>Schedule_A!H23</f>
        <v>0</v>
      </c>
      <c r="K76" s="33">
        <f>Schedule_A!I23</f>
        <v>0</v>
      </c>
      <c r="L76" s="892"/>
      <c r="M76" s="893">
        <f t="shared" si="0"/>
        <v>0</v>
      </c>
    </row>
    <row r="77" spans="1:13" s="824" customFormat="1" ht="22.15" hidden="1" customHeight="1" x14ac:dyDescent="0.25">
      <c r="A77" s="875">
        <v>10</v>
      </c>
      <c r="B77" s="876" t="s">
        <v>63</v>
      </c>
      <c r="C77" s="877"/>
      <c r="D77" s="878" t="s">
        <v>45</v>
      </c>
      <c r="E77" s="879" t="s">
        <v>439</v>
      </c>
      <c r="F77" s="880" t="s">
        <v>440</v>
      </c>
      <c r="G77" s="881" t="s">
        <v>346</v>
      </c>
      <c r="H77" s="882">
        <f>H$76</f>
        <v>237.82</v>
      </c>
      <c r="I77" s="894"/>
      <c r="J77" s="25">
        <f>J$76</f>
        <v>0</v>
      </c>
      <c r="K77" s="895">
        <f>K$76</f>
        <v>0</v>
      </c>
      <c r="L77" s="894"/>
      <c r="M77" s="896">
        <f t="shared" si="0"/>
        <v>0</v>
      </c>
    </row>
    <row r="78" spans="1:13" s="824" customFormat="1" ht="22.15" hidden="1" customHeight="1" x14ac:dyDescent="0.25">
      <c r="A78" s="875">
        <v>10</v>
      </c>
      <c r="B78" s="876" t="s">
        <v>63</v>
      </c>
      <c r="C78" s="877"/>
      <c r="D78" s="878" t="s">
        <v>45</v>
      </c>
      <c r="E78" s="879" t="s">
        <v>441</v>
      </c>
      <c r="F78" s="880" t="s">
        <v>442</v>
      </c>
      <c r="G78" s="881" t="s">
        <v>346</v>
      </c>
      <c r="H78" s="882">
        <f t="shared" ref="H78:H91" si="11">H$76</f>
        <v>237.82</v>
      </c>
      <c r="I78" s="894"/>
      <c r="J78" s="25">
        <f t="shared" ref="J78:K91" si="12">J$76</f>
        <v>0</v>
      </c>
      <c r="K78" s="895">
        <f t="shared" si="12"/>
        <v>0</v>
      </c>
      <c r="L78" s="894"/>
      <c r="M78" s="896">
        <f t="shared" si="0"/>
        <v>0</v>
      </c>
    </row>
    <row r="79" spans="1:13" s="824" customFormat="1" ht="22.15" hidden="1" customHeight="1" x14ac:dyDescent="0.25">
      <c r="A79" s="875">
        <v>10</v>
      </c>
      <c r="B79" s="876" t="s">
        <v>63</v>
      </c>
      <c r="C79" s="877"/>
      <c r="D79" s="878" t="s">
        <v>45</v>
      </c>
      <c r="E79" s="879" t="s">
        <v>443</v>
      </c>
      <c r="F79" s="880" t="s">
        <v>444</v>
      </c>
      <c r="G79" s="881" t="s">
        <v>346</v>
      </c>
      <c r="H79" s="882">
        <f t="shared" si="11"/>
        <v>237.82</v>
      </c>
      <c r="I79" s="894"/>
      <c r="J79" s="25">
        <f t="shared" si="12"/>
        <v>0</v>
      </c>
      <c r="K79" s="895">
        <f t="shared" si="12"/>
        <v>0</v>
      </c>
      <c r="L79" s="894"/>
      <c r="M79" s="896">
        <f t="shared" ref="M79:M142" si="13">IF(K79&gt;0,K79,L79)</f>
        <v>0</v>
      </c>
    </row>
    <row r="80" spans="1:13" s="824" customFormat="1" ht="22.15" hidden="1" customHeight="1" x14ac:dyDescent="0.25">
      <c r="A80" s="875">
        <v>10</v>
      </c>
      <c r="B80" s="876" t="s">
        <v>63</v>
      </c>
      <c r="C80" s="877"/>
      <c r="D80" s="878" t="s">
        <v>45</v>
      </c>
      <c r="E80" s="879" t="s">
        <v>445</v>
      </c>
      <c r="F80" s="880" t="s">
        <v>446</v>
      </c>
      <c r="G80" s="881" t="s">
        <v>346</v>
      </c>
      <c r="H80" s="882">
        <f t="shared" si="11"/>
        <v>237.82</v>
      </c>
      <c r="I80" s="894"/>
      <c r="J80" s="25">
        <f t="shared" si="12"/>
        <v>0</v>
      </c>
      <c r="K80" s="895">
        <f t="shared" si="12"/>
        <v>0</v>
      </c>
      <c r="L80" s="894"/>
      <c r="M80" s="896">
        <f t="shared" si="13"/>
        <v>0</v>
      </c>
    </row>
    <row r="81" spans="1:13" s="824" customFormat="1" ht="22.15" hidden="1" customHeight="1" x14ac:dyDescent="0.25">
      <c r="A81" s="875">
        <v>10</v>
      </c>
      <c r="B81" s="876" t="s">
        <v>63</v>
      </c>
      <c r="C81" s="877"/>
      <c r="D81" s="878" t="s">
        <v>45</v>
      </c>
      <c r="E81" s="879" t="s">
        <v>447</v>
      </c>
      <c r="F81" s="880" t="s">
        <v>448</v>
      </c>
      <c r="G81" s="881" t="s">
        <v>346</v>
      </c>
      <c r="H81" s="882">
        <f t="shared" si="11"/>
        <v>237.82</v>
      </c>
      <c r="I81" s="894"/>
      <c r="J81" s="25">
        <f t="shared" si="12"/>
        <v>0</v>
      </c>
      <c r="K81" s="895">
        <f t="shared" si="12"/>
        <v>0</v>
      </c>
      <c r="L81" s="894"/>
      <c r="M81" s="896">
        <f t="shared" si="13"/>
        <v>0</v>
      </c>
    </row>
    <row r="82" spans="1:13" s="824" customFormat="1" ht="22.15" hidden="1" customHeight="1" x14ac:dyDescent="0.25">
      <c r="A82" s="875">
        <v>10</v>
      </c>
      <c r="B82" s="876" t="s">
        <v>63</v>
      </c>
      <c r="C82" s="877"/>
      <c r="D82" s="878" t="s">
        <v>45</v>
      </c>
      <c r="E82" s="879" t="s">
        <v>141</v>
      </c>
      <c r="F82" s="880" t="s">
        <v>449</v>
      </c>
      <c r="G82" s="881" t="s">
        <v>346</v>
      </c>
      <c r="H82" s="882">
        <f t="shared" si="11"/>
        <v>237.82</v>
      </c>
      <c r="I82" s="894"/>
      <c r="J82" s="25">
        <f t="shared" si="12"/>
        <v>0</v>
      </c>
      <c r="K82" s="895">
        <f t="shared" si="12"/>
        <v>0</v>
      </c>
      <c r="L82" s="894"/>
      <c r="M82" s="896">
        <f t="shared" si="13"/>
        <v>0</v>
      </c>
    </row>
    <row r="83" spans="1:13" s="824" customFormat="1" ht="22.15" hidden="1" customHeight="1" x14ac:dyDescent="0.25">
      <c r="A83" s="875">
        <v>10</v>
      </c>
      <c r="B83" s="876" t="s">
        <v>63</v>
      </c>
      <c r="C83" s="877"/>
      <c r="D83" s="878" t="s">
        <v>45</v>
      </c>
      <c r="E83" s="879" t="s">
        <v>143</v>
      </c>
      <c r="F83" s="880" t="s">
        <v>450</v>
      </c>
      <c r="G83" s="881" t="s">
        <v>346</v>
      </c>
      <c r="H83" s="882">
        <f t="shared" si="11"/>
        <v>237.82</v>
      </c>
      <c r="I83" s="894"/>
      <c r="J83" s="25">
        <f t="shared" si="12"/>
        <v>0</v>
      </c>
      <c r="K83" s="895">
        <f t="shared" si="12"/>
        <v>0</v>
      </c>
      <c r="L83" s="894"/>
      <c r="M83" s="896">
        <f t="shared" si="13"/>
        <v>0</v>
      </c>
    </row>
    <row r="84" spans="1:13" s="824" customFormat="1" ht="22.15" hidden="1" customHeight="1" x14ac:dyDescent="0.25">
      <c r="A84" s="875">
        <v>10</v>
      </c>
      <c r="B84" s="876" t="s">
        <v>63</v>
      </c>
      <c r="C84" s="877"/>
      <c r="D84" s="878" t="s">
        <v>45</v>
      </c>
      <c r="E84" s="879" t="s">
        <v>145</v>
      </c>
      <c r="F84" s="880" t="s">
        <v>451</v>
      </c>
      <c r="G84" s="881" t="s">
        <v>346</v>
      </c>
      <c r="H84" s="882">
        <f t="shared" si="11"/>
        <v>237.82</v>
      </c>
      <c r="I84" s="894"/>
      <c r="J84" s="25">
        <f t="shared" si="12"/>
        <v>0</v>
      </c>
      <c r="K84" s="895">
        <f t="shared" si="12"/>
        <v>0</v>
      </c>
      <c r="L84" s="894"/>
      <c r="M84" s="896">
        <f t="shared" si="13"/>
        <v>0</v>
      </c>
    </row>
    <row r="85" spans="1:13" s="824" customFormat="1" ht="22.15" hidden="1" customHeight="1" x14ac:dyDescent="0.25">
      <c r="A85" s="875">
        <v>10</v>
      </c>
      <c r="B85" s="876" t="s">
        <v>63</v>
      </c>
      <c r="C85" s="877"/>
      <c r="D85" s="878" t="s">
        <v>45</v>
      </c>
      <c r="E85" s="879" t="s">
        <v>452</v>
      </c>
      <c r="F85" s="880" t="s">
        <v>453</v>
      </c>
      <c r="G85" s="881" t="s">
        <v>346</v>
      </c>
      <c r="H85" s="882">
        <f t="shared" si="11"/>
        <v>237.82</v>
      </c>
      <c r="I85" s="894"/>
      <c r="J85" s="25">
        <f t="shared" si="12"/>
        <v>0</v>
      </c>
      <c r="K85" s="895">
        <f t="shared" si="12"/>
        <v>0</v>
      </c>
      <c r="L85" s="894"/>
      <c r="M85" s="896">
        <f t="shared" si="13"/>
        <v>0</v>
      </c>
    </row>
    <row r="86" spans="1:13" s="824" customFormat="1" ht="22.15" hidden="1" customHeight="1" x14ac:dyDescent="0.25">
      <c r="A86" s="875">
        <v>10</v>
      </c>
      <c r="B86" s="876" t="s">
        <v>63</v>
      </c>
      <c r="C86" s="877"/>
      <c r="D86" s="878" t="s">
        <v>45</v>
      </c>
      <c r="E86" s="879" t="s">
        <v>454</v>
      </c>
      <c r="F86" s="880" t="s">
        <v>455</v>
      </c>
      <c r="G86" s="881" t="s">
        <v>346</v>
      </c>
      <c r="H86" s="882">
        <f t="shared" si="11"/>
        <v>237.82</v>
      </c>
      <c r="I86" s="894"/>
      <c r="J86" s="25">
        <f t="shared" si="12"/>
        <v>0</v>
      </c>
      <c r="K86" s="895">
        <f t="shared" si="12"/>
        <v>0</v>
      </c>
      <c r="L86" s="894"/>
      <c r="M86" s="896">
        <f t="shared" si="13"/>
        <v>0</v>
      </c>
    </row>
    <row r="87" spans="1:13" s="824" customFormat="1" ht="22.15" hidden="1" customHeight="1" x14ac:dyDescent="0.25">
      <c r="A87" s="875">
        <v>10</v>
      </c>
      <c r="B87" s="876" t="s">
        <v>63</v>
      </c>
      <c r="C87" s="877"/>
      <c r="D87" s="878" t="s">
        <v>45</v>
      </c>
      <c r="E87" s="879" t="s">
        <v>147</v>
      </c>
      <c r="F87" s="880" t="s">
        <v>456</v>
      </c>
      <c r="G87" s="881" t="s">
        <v>346</v>
      </c>
      <c r="H87" s="882">
        <f t="shared" si="11"/>
        <v>237.82</v>
      </c>
      <c r="I87" s="894"/>
      <c r="J87" s="25">
        <f t="shared" si="12"/>
        <v>0</v>
      </c>
      <c r="K87" s="895">
        <f t="shared" si="12"/>
        <v>0</v>
      </c>
      <c r="L87" s="894"/>
      <c r="M87" s="896">
        <f t="shared" si="13"/>
        <v>0</v>
      </c>
    </row>
    <row r="88" spans="1:13" s="824" customFormat="1" ht="22.15" hidden="1" customHeight="1" x14ac:dyDescent="0.25">
      <c r="A88" s="875">
        <v>10</v>
      </c>
      <c r="B88" s="876" t="s">
        <v>63</v>
      </c>
      <c r="C88" s="877"/>
      <c r="D88" s="878" t="s">
        <v>45</v>
      </c>
      <c r="E88" s="879" t="s">
        <v>457</v>
      </c>
      <c r="F88" s="880" t="s">
        <v>458</v>
      </c>
      <c r="G88" s="881" t="s">
        <v>346</v>
      </c>
      <c r="H88" s="882">
        <f t="shared" si="11"/>
        <v>237.82</v>
      </c>
      <c r="I88" s="894"/>
      <c r="J88" s="25">
        <f t="shared" si="12"/>
        <v>0</v>
      </c>
      <c r="K88" s="895">
        <f t="shared" si="12"/>
        <v>0</v>
      </c>
      <c r="L88" s="894"/>
      <c r="M88" s="896">
        <f t="shared" si="13"/>
        <v>0</v>
      </c>
    </row>
    <row r="89" spans="1:13" s="824" customFormat="1" ht="22.15" hidden="1" customHeight="1" x14ac:dyDescent="0.25">
      <c r="A89" s="875">
        <v>10</v>
      </c>
      <c r="B89" s="876" t="s">
        <v>63</v>
      </c>
      <c r="C89" s="877"/>
      <c r="D89" s="878" t="s">
        <v>45</v>
      </c>
      <c r="E89" s="879" t="s">
        <v>459</v>
      </c>
      <c r="F89" s="880" t="s">
        <v>460</v>
      </c>
      <c r="G89" s="881" t="s">
        <v>346</v>
      </c>
      <c r="H89" s="882">
        <f t="shared" si="11"/>
        <v>237.82</v>
      </c>
      <c r="I89" s="894"/>
      <c r="J89" s="25">
        <f t="shared" si="12"/>
        <v>0</v>
      </c>
      <c r="K89" s="895">
        <f t="shared" si="12"/>
        <v>0</v>
      </c>
      <c r="L89" s="894"/>
      <c r="M89" s="896">
        <f t="shared" si="13"/>
        <v>0</v>
      </c>
    </row>
    <row r="90" spans="1:13" s="824" customFormat="1" ht="22.15" hidden="1" customHeight="1" x14ac:dyDescent="0.25">
      <c r="A90" s="875">
        <v>10</v>
      </c>
      <c r="B90" s="876" t="s">
        <v>63</v>
      </c>
      <c r="C90" s="877"/>
      <c r="D90" s="878" t="s">
        <v>45</v>
      </c>
      <c r="E90" s="879" t="s">
        <v>149</v>
      </c>
      <c r="F90" s="880" t="s">
        <v>461</v>
      </c>
      <c r="G90" s="881" t="s">
        <v>346</v>
      </c>
      <c r="H90" s="882">
        <f t="shared" si="11"/>
        <v>237.82</v>
      </c>
      <c r="I90" s="894"/>
      <c r="J90" s="25">
        <f t="shared" si="12"/>
        <v>0</v>
      </c>
      <c r="K90" s="895">
        <f t="shared" si="12"/>
        <v>0</v>
      </c>
      <c r="L90" s="894"/>
      <c r="M90" s="896">
        <f t="shared" si="13"/>
        <v>0</v>
      </c>
    </row>
    <row r="91" spans="1:13" s="824" customFormat="1" ht="22.15" hidden="1" customHeight="1" x14ac:dyDescent="0.25">
      <c r="A91" s="875">
        <v>10</v>
      </c>
      <c r="B91" s="876" t="s">
        <v>63</v>
      </c>
      <c r="C91" s="877"/>
      <c r="D91" s="878" t="s">
        <v>45</v>
      </c>
      <c r="E91" s="879" t="s">
        <v>462</v>
      </c>
      <c r="F91" s="880" t="s">
        <v>463</v>
      </c>
      <c r="G91" s="881" t="s">
        <v>346</v>
      </c>
      <c r="H91" s="882">
        <f t="shared" si="11"/>
        <v>237.82</v>
      </c>
      <c r="I91" s="894"/>
      <c r="J91" s="25">
        <f t="shared" si="12"/>
        <v>0</v>
      </c>
      <c r="K91" s="895">
        <f t="shared" si="12"/>
        <v>0</v>
      </c>
      <c r="L91" s="894"/>
      <c r="M91" s="896">
        <f t="shared" si="13"/>
        <v>0</v>
      </c>
    </row>
    <row r="92" spans="1:13" s="824" customFormat="1" ht="22.15" customHeight="1" x14ac:dyDescent="0.25">
      <c r="A92" s="864">
        <v>11</v>
      </c>
      <c r="B92" s="865" t="s">
        <v>464</v>
      </c>
      <c r="C92" s="897"/>
      <c r="D92" s="867" t="s">
        <v>45</v>
      </c>
      <c r="E92" s="868" t="s">
        <v>465</v>
      </c>
      <c r="F92" s="888"/>
      <c r="G92" s="889"/>
      <c r="H92" s="898"/>
      <c r="I92" s="899"/>
      <c r="J92" s="33">
        <f>Schedule_A!H24</f>
        <v>0</v>
      </c>
      <c r="K92" s="33">
        <f>Schedule_A!I24</f>
        <v>0</v>
      </c>
      <c r="L92" s="892"/>
      <c r="M92" s="893">
        <f t="shared" si="13"/>
        <v>0</v>
      </c>
    </row>
    <row r="93" spans="1:13" s="824" customFormat="1" ht="22.15" hidden="1" customHeight="1" x14ac:dyDescent="0.25">
      <c r="A93" s="875">
        <v>11</v>
      </c>
      <c r="B93" s="876" t="s">
        <v>464</v>
      </c>
      <c r="C93" s="877"/>
      <c r="D93" s="878" t="s">
        <v>45</v>
      </c>
      <c r="E93" s="879" t="s">
        <v>466</v>
      </c>
      <c r="F93" s="880" t="s">
        <v>467</v>
      </c>
      <c r="G93" s="881" t="s">
        <v>346</v>
      </c>
      <c r="H93" s="898"/>
      <c r="I93" s="899"/>
      <c r="J93" s="25">
        <f>J$92</f>
        <v>0</v>
      </c>
      <c r="K93" s="895">
        <f>K$92</f>
        <v>0</v>
      </c>
      <c r="L93" s="894"/>
      <c r="M93" s="896">
        <f t="shared" si="13"/>
        <v>0</v>
      </c>
    </row>
    <row r="94" spans="1:13" s="824" customFormat="1" ht="22.15" hidden="1" customHeight="1" x14ac:dyDescent="0.25">
      <c r="A94" s="875">
        <v>11</v>
      </c>
      <c r="B94" s="876" t="s">
        <v>464</v>
      </c>
      <c r="C94" s="877"/>
      <c r="D94" s="878" t="s">
        <v>45</v>
      </c>
      <c r="E94" s="879" t="s">
        <v>468</v>
      </c>
      <c r="F94" s="880" t="s">
        <v>469</v>
      </c>
      <c r="G94" s="881" t="s">
        <v>346</v>
      </c>
      <c r="H94" s="898"/>
      <c r="I94" s="899"/>
      <c r="J94" s="25">
        <f t="shared" ref="J94:K97" si="14">J$92</f>
        <v>0</v>
      </c>
      <c r="K94" s="895">
        <f t="shared" si="14"/>
        <v>0</v>
      </c>
      <c r="L94" s="894"/>
      <c r="M94" s="896">
        <f t="shared" si="13"/>
        <v>0</v>
      </c>
    </row>
    <row r="95" spans="1:13" s="824" customFormat="1" ht="22.15" hidden="1" customHeight="1" x14ac:dyDescent="0.25">
      <c r="A95" s="875">
        <v>11</v>
      </c>
      <c r="B95" s="876" t="s">
        <v>464</v>
      </c>
      <c r="C95" s="877"/>
      <c r="D95" s="878" t="s">
        <v>45</v>
      </c>
      <c r="E95" s="879" t="s">
        <v>470</v>
      </c>
      <c r="F95" s="880" t="s">
        <v>471</v>
      </c>
      <c r="G95" s="881" t="s">
        <v>346</v>
      </c>
      <c r="H95" s="898"/>
      <c r="I95" s="899"/>
      <c r="J95" s="25">
        <f t="shared" si="14"/>
        <v>0</v>
      </c>
      <c r="K95" s="895">
        <f t="shared" si="14"/>
        <v>0</v>
      </c>
      <c r="L95" s="894"/>
      <c r="M95" s="896">
        <f t="shared" si="13"/>
        <v>0</v>
      </c>
    </row>
    <row r="96" spans="1:13" s="824" customFormat="1" ht="22.15" hidden="1" customHeight="1" x14ac:dyDescent="0.25">
      <c r="A96" s="875">
        <v>11</v>
      </c>
      <c r="B96" s="876" t="s">
        <v>464</v>
      </c>
      <c r="C96" s="877"/>
      <c r="D96" s="878" t="s">
        <v>45</v>
      </c>
      <c r="E96" s="879" t="s">
        <v>472</v>
      </c>
      <c r="F96" s="880" t="s">
        <v>473</v>
      </c>
      <c r="G96" s="881" t="s">
        <v>346</v>
      </c>
      <c r="H96" s="898"/>
      <c r="I96" s="899"/>
      <c r="J96" s="25">
        <f t="shared" si="14"/>
        <v>0</v>
      </c>
      <c r="K96" s="895">
        <f t="shared" si="14"/>
        <v>0</v>
      </c>
      <c r="L96" s="894"/>
      <c r="M96" s="896">
        <f t="shared" si="13"/>
        <v>0</v>
      </c>
    </row>
    <row r="97" spans="1:13" s="824" customFormat="1" ht="22.15" hidden="1" customHeight="1" x14ac:dyDescent="0.25">
      <c r="A97" s="875">
        <v>11</v>
      </c>
      <c r="B97" s="876" t="s">
        <v>464</v>
      </c>
      <c r="C97" s="877"/>
      <c r="D97" s="878" t="s">
        <v>45</v>
      </c>
      <c r="E97" s="879" t="s">
        <v>474</v>
      </c>
      <c r="F97" s="880" t="s">
        <v>475</v>
      </c>
      <c r="G97" s="881" t="s">
        <v>346</v>
      </c>
      <c r="H97" s="898"/>
      <c r="I97" s="899"/>
      <c r="J97" s="25">
        <f t="shared" si="14"/>
        <v>0</v>
      </c>
      <c r="K97" s="895">
        <f t="shared" si="14"/>
        <v>0</v>
      </c>
      <c r="L97" s="894"/>
      <c r="M97" s="896">
        <f t="shared" si="13"/>
        <v>0</v>
      </c>
    </row>
    <row r="98" spans="1:13" s="824" customFormat="1" ht="22.15" customHeight="1" x14ac:dyDescent="0.25">
      <c r="A98" s="864">
        <v>12</v>
      </c>
      <c r="B98" s="865" t="s">
        <v>67</v>
      </c>
      <c r="C98" s="897"/>
      <c r="D98" s="867" t="s">
        <v>45</v>
      </c>
      <c r="E98" s="868" t="s">
        <v>476</v>
      </c>
      <c r="F98" s="888"/>
      <c r="G98" s="889"/>
      <c r="H98" s="898"/>
      <c r="I98" s="899"/>
      <c r="J98" s="33">
        <f>Schedule_A!H25</f>
        <v>0</v>
      </c>
      <c r="K98" s="891">
        <f>Schedule_A!I25</f>
        <v>0</v>
      </c>
      <c r="L98" s="892"/>
      <c r="M98" s="893">
        <f t="shared" si="13"/>
        <v>0</v>
      </c>
    </row>
    <row r="99" spans="1:13" s="824" customFormat="1" ht="22.15" hidden="1" customHeight="1" x14ac:dyDescent="0.25">
      <c r="A99" s="875">
        <v>12</v>
      </c>
      <c r="B99" s="876" t="s">
        <v>67</v>
      </c>
      <c r="C99" s="877"/>
      <c r="D99" s="878" t="s">
        <v>45</v>
      </c>
      <c r="E99" s="879" t="s">
        <v>477</v>
      </c>
      <c r="F99" s="880" t="s">
        <v>478</v>
      </c>
      <c r="G99" s="881" t="s">
        <v>346</v>
      </c>
      <c r="H99" s="898"/>
      <c r="I99" s="899"/>
      <c r="J99" s="25">
        <f>J$98</f>
        <v>0</v>
      </c>
      <c r="K99" s="895">
        <f>K$98</f>
        <v>0</v>
      </c>
      <c r="L99" s="894"/>
      <c r="M99" s="896">
        <f t="shared" si="13"/>
        <v>0</v>
      </c>
    </row>
    <row r="100" spans="1:13" s="824" customFormat="1" ht="22.15" hidden="1" customHeight="1" x14ac:dyDescent="0.25">
      <c r="A100" s="875">
        <v>12</v>
      </c>
      <c r="B100" s="876" t="s">
        <v>67</v>
      </c>
      <c r="C100" s="877"/>
      <c r="D100" s="878" t="s">
        <v>45</v>
      </c>
      <c r="E100" s="879" t="s">
        <v>479</v>
      </c>
      <c r="F100" s="880" t="s">
        <v>480</v>
      </c>
      <c r="G100" s="881" t="s">
        <v>346</v>
      </c>
      <c r="H100" s="898"/>
      <c r="I100" s="899"/>
      <c r="J100" s="25">
        <f t="shared" ref="J100:K103" si="15">J$98</f>
        <v>0</v>
      </c>
      <c r="K100" s="895">
        <f t="shared" si="15"/>
        <v>0</v>
      </c>
      <c r="L100" s="894"/>
      <c r="M100" s="896">
        <f t="shared" si="13"/>
        <v>0</v>
      </c>
    </row>
    <row r="101" spans="1:13" s="824" customFormat="1" ht="22.15" hidden="1" customHeight="1" x14ac:dyDescent="0.25">
      <c r="A101" s="875">
        <v>12</v>
      </c>
      <c r="B101" s="876" t="s">
        <v>67</v>
      </c>
      <c r="C101" s="877"/>
      <c r="D101" s="878" t="s">
        <v>45</v>
      </c>
      <c r="E101" s="879" t="s">
        <v>481</v>
      </c>
      <c r="F101" s="880" t="s">
        <v>482</v>
      </c>
      <c r="G101" s="881" t="s">
        <v>346</v>
      </c>
      <c r="H101" s="898"/>
      <c r="I101" s="899"/>
      <c r="J101" s="25">
        <f t="shared" si="15"/>
        <v>0</v>
      </c>
      <c r="K101" s="895">
        <f t="shared" si="15"/>
        <v>0</v>
      </c>
      <c r="L101" s="894"/>
      <c r="M101" s="896">
        <f t="shared" si="13"/>
        <v>0</v>
      </c>
    </row>
    <row r="102" spans="1:13" s="824" customFormat="1" ht="22.15" hidden="1" customHeight="1" x14ac:dyDescent="0.25">
      <c r="A102" s="875">
        <v>12</v>
      </c>
      <c r="B102" s="876" t="s">
        <v>67</v>
      </c>
      <c r="C102" s="877"/>
      <c r="D102" s="878" t="s">
        <v>45</v>
      </c>
      <c r="E102" s="879" t="s">
        <v>483</v>
      </c>
      <c r="F102" s="880" t="s">
        <v>484</v>
      </c>
      <c r="G102" s="881" t="s">
        <v>346</v>
      </c>
      <c r="H102" s="898"/>
      <c r="I102" s="899"/>
      <c r="J102" s="25">
        <f t="shared" si="15"/>
        <v>0</v>
      </c>
      <c r="K102" s="895">
        <f t="shared" si="15"/>
        <v>0</v>
      </c>
      <c r="L102" s="894"/>
      <c r="M102" s="896">
        <f t="shared" si="13"/>
        <v>0</v>
      </c>
    </row>
    <row r="103" spans="1:13" s="824" customFormat="1" ht="22.15" hidden="1" customHeight="1" x14ac:dyDescent="0.25">
      <c r="A103" s="875">
        <v>12</v>
      </c>
      <c r="B103" s="876" t="s">
        <v>67</v>
      </c>
      <c r="C103" s="877"/>
      <c r="D103" s="878" t="s">
        <v>45</v>
      </c>
      <c r="E103" s="879" t="s">
        <v>485</v>
      </c>
      <c r="F103" s="880" t="s">
        <v>486</v>
      </c>
      <c r="G103" s="881" t="s">
        <v>346</v>
      </c>
      <c r="H103" s="898"/>
      <c r="I103" s="899"/>
      <c r="J103" s="25">
        <f t="shared" si="15"/>
        <v>0</v>
      </c>
      <c r="K103" s="895">
        <f t="shared" si="15"/>
        <v>0</v>
      </c>
      <c r="L103" s="894"/>
      <c r="M103" s="896">
        <f t="shared" si="13"/>
        <v>0</v>
      </c>
    </row>
    <row r="104" spans="1:13" s="824" customFormat="1" ht="22.15" customHeight="1" x14ac:dyDescent="0.25">
      <c r="A104" s="864">
        <v>13</v>
      </c>
      <c r="B104" s="865" t="s">
        <v>69</v>
      </c>
      <c r="C104" s="897"/>
      <c r="D104" s="867" t="s">
        <v>45</v>
      </c>
      <c r="E104" s="868" t="s">
        <v>487</v>
      </c>
      <c r="F104" s="888"/>
      <c r="G104" s="889"/>
      <c r="H104" s="898"/>
      <c r="I104" s="917"/>
      <c r="J104" s="33">
        <f>Schedule_A!H26</f>
        <v>0</v>
      </c>
      <c r="K104" s="33">
        <f>Schedule_A!I26</f>
        <v>0</v>
      </c>
      <c r="L104" s="892"/>
      <c r="M104" s="918">
        <f t="shared" si="13"/>
        <v>0</v>
      </c>
    </row>
    <row r="105" spans="1:13" s="824" customFormat="1" ht="22.15" hidden="1" customHeight="1" x14ac:dyDescent="0.25">
      <c r="A105" s="875">
        <v>13</v>
      </c>
      <c r="B105" s="876" t="s">
        <v>69</v>
      </c>
      <c r="C105" s="877"/>
      <c r="D105" s="878" t="s">
        <v>45</v>
      </c>
      <c r="E105" s="879" t="s">
        <v>488</v>
      </c>
      <c r="F105" s="880" t="s">
        <v>489</v>
      </c>
      <c r="G105" s="881" t="s">
        <v>368</v>
      </c>
      <c r="H105" s="898"/>
      <c r="I105" s="899"/>
      <c r="J105" s="25">
        <f>J$104</f>
        <v>0</v>
      </c>
      <c r="K105" s="895">
        <f>K$104</f>
        <v>0</v>
      </c>
      <c r="L105" s="894"/>
      <c r="M105" s="896">
        <f t="shared" si="13"/>
        <v>0</v>
      </c>
    </row>
    <row r="106" spans="1:13" s="824" customFormat="1" ht="22.15" hidden="1" customHeight="1" x14ac:dyDescent="0.25">
      <c r="A106" s="875">
        <v>13</v>
      </c>
      <c r="B106" s="876" t="s">
        <v>69</v>
      </c>
      <c r="C106" s="877"/>
      <c r="D106" s="878" t="s">
        <v>45</v>
      </c>
      <c r="E106" s="879" t="s">
        <v>490</v>
      </c>
      <c r="F106" s="880" t="s">
        <v>491</v>
      </c>
      <c r="G106" s="881" t="s">
        <v>368</v>
      </c>
      <c r="H106" s="898"/>
      <c r="I106" s="899"/>
      <c r="J106" s="25">
        <f t="shared" ref="J106:K109" si="16">J$104</f>
        <v>0</v>
      </c>
      <c r="K106" s="895">
        <f t="shared" si="16"/>
        <v>0</v>
      </c>
      <c r="L106" s="894"/>
      <c r="M106" s="896">
        <f t="shared" si="13"/>
        <v>0</v>
      </c>
    </row>
    <row r="107" spans="1:13" s="824" customFormat="1" ht="22.15" hidden="1" customHeight="1" x14ac:dyDescent="0.25">
      <c r="A107" s="875">
        <v>13</v>
      </c>
      <c r="B107" s="876" t="s">
        <v>69</v>
      </c>
      <c r="C107" s="877"/>
      <c r="D107" s="878" t="s">
        <v>45</v>
      </c>
      <c r="E107" s="879" t="s">
        <v>492</v>
      </c>
      <c r="F107" s="880" t="s">
        <v>493</v>
      </c>
      <c r="G107" s="881" t="s">
        <v>368</v>
      </c>
      <c r="H107" s="898"/>
      <c r="I107" s="899"/>
      <c r="J107" s="25">
        <f t="shared" si="16"/>
        <v>0</v>
      </c>
      <c r="K107" s="895">
        <f t="shared" si="16"/>
        <v>0</v>
      </c>
      <c r="L107" s="894"/>
      <c r="M107" s="896">
        <f t="shared" si="13"/>
        <v>0</v>
      </c>
    </row>
    <row r="108" spans="1:13" s="824" customFormat="1" ht="22.15" hidden="1" customHeight="1" x14ac:dyDescent="0.25">
      <c r="A108" s="875">
        <v>13</v>
      </c>
      <c r="B108" s="876" t="s">
        <v>69</v>
      </c>
      <c r="C108" s="877"/>
      <c r="D108" s="878" t="s">
        <v>45</v>
      </c>
      <c r="E108" s="879" t="s">
        <v>494</v>
      </c>
      <c r="F108" s="880" t="s">
        <v>495</v>
      </c>
      <c r="G108" s="881" t="s">
        <v>368</v>
      </c>
      <c r="H108" s="898"/>
      <c r="I108" s="899"/>
      <c r="J108" s="25">
        <f t="shared" si="16"/>
        <v>0</v>
      </c>
      <c r="K108" s="895">
        <f t="shared" si="16"/>
        <v>0</v>
      </c>
      <c r="L108" s="894"/>
      <c r="M108" s="896">
        <f t="shared" si="13"/>
        <v>0</v>
      </c>
    </row>
    <row r="109" spans="1:13" s="824" customFormat="1" ht="22.15" hidden="1" customHeight="1" x14ac:dyDescent="0.25">
      <c r="A109" s="875">
        <v>13</v>
      </c>
      <c r="B109" s="876" t="s">
        <v>69</v>
      </c>
      <c r="C109" s="877"/>
      <c r="D109" s="878" t="s">
        <v>45</v>
      </c>
      <c r="E109" s="879" t="s">
        <v>496</v>
      </c>
      <c r="F109" s="880" t="s">
        <v>497</v>
      </c>
      <c r="G109" s="881" t="s">
        <v>368</v>
      </c>
      <c r="H109" s="898"/>
      <c r="I109" s="899"/>
      <c r="J109" s="25">
        <f t="shared" si="16"/>
        <v>0</v>
      </c>
      <c r="K109" s="895">
        <f t="shared" si="16"/>
        <v>0</v>
      </c>
      <c r="L109" s="894"/>
      <c r="M109" s="896">
        <f t="shared" si="13"/>
        <v>0</v>
      </c>
    </row>
    <row r="110" spans="1:13" s="824" customFormat="1" ht="22.15" customHeight="1" x14ac:dyDescent="0.25">
      <c r="A110" s="864">
        <v>14</v>
      </c>
      <c r="B110" s="919" t="s">
        <v>71</v>
      </c>
      <c r="C110" s="920"/>
      <c r="D110" s="921" t="s">
        <v>45</v>
      </c>
      <c r="E110" s="868" t="s">
        <v>498</v>
      </c>
      <c r="F110" s="888"/>
      <c r="G110" s="889"/>
      <c r="H110" s="922">
        <v>236.22</v>
      </c>
      <c r="I110" s="917"/>
      <c r="J110" s="35">
        <f>Schedule_A!H27</f>
        <v>0</v>
      </c>
      <c r="K110" s="35">
        <f>Schedule_A!I27</f>
        <v>0</v>
      </c>
      <c r="L110" s="923"/>
      <c r="M110" s="924">
        <f t="shared" si="13"/>
        <v>0</v>
      </c>
    </row>
    <row r="111" spans="1:13" s="824" customFormat="1" ht="22.15" hidden="1" customHeight="1" x14ac:dyDescent="0.25">
      <c r="A111" s="875">
        <v>14</v>
      </c>
      <c r="B111" s="876" t="s">
        <v>71</v>
      </c>
      <c r="C111" s="877"/>
      <c r="D111" s="878" t="s">
        <v>45</v>
      </c>
      <c r="E111" s="879" t="s">
        <v>499</v>
      </c>
      <c r="F111" s="880" t="s">
        <v>500</v>
      </c>
      <c r="G111" s="881" t="s">
        <v>346</v>
      </c>
      <c r="H111" s="922">
        <f>H$110</f>
        <v>236.22</v>
      </c>
      <c r="I111" s="899"/>
      <c r="J111" s="25">
        <f>J$110</f>
        <v>0</v>
      </c>
      <c r="K111" s="895">
        <f>K$110</f>
        <v>0</v>
      </c>
      <c r="L111" s="894"/>
      <c r="M111" s="896">
        <f t="shared" si="13"/>
        <v>0</v>
      </c>
    </row>
    <row r="112" spans="1:13" s="824" customFormat="1" ht="22.15" hidden="1" customHeight="1" x14ac:dyDescent="0.25">
      <c r="A112" s="875">
        <v>14</v>
      </c>
      <c r="B112" s="876" t="s">
        <v>71</v>
      </c>
      <c r="C112" s="877"/>
      <c r="D112" s="878" t="s">
        <v>45</v>
      </c>
      <c r="E112" s="879" t="s">
        <v>501</v>
      </c>
      <c r="F112" s="880" t="s">
        <v>502</v>
      </c>
      <c r="G112" s="881" t="s">
        <v>346</v>
      </c>
      <c r="H112" s="922">
        <f>H$110</f>
        <v>236.22</v>
      </c>
      <c r="I112" s="899"/>
      <c r="J112" s="25">
        <f t="shared" ref="J112:K114" si="17">J$110</f>
        <v>0</v>
      </c>
      <c r="K112" s="895">
        <f t="shared" si="17"/>
        <v>0</v>
      </c>
      <c r="L112" s="894"/>
      <c r="M112" s="896">
        <f t="shared" si="13"/>
        <v>0</v>
      </c>
    </row>
    <row r="113" spans="1:13" s="824" customFormat="1" ht="22.15" hidden="1" customHeight="1" x14ac:dyDescent="0.25">
      <c r="A113" s="875">
        <v>14</v>
      </c>
      <c r="B113" s="876" t="s">
        <v>71</v>
      </c>
      <c r="C113" s="877"/>
      <c r="D113" s="878" t="s">
        <v>45</v>
      </c>
      <c r="E113" s="879" t="s">
        <v>503</v>
      </c>
      <c r="F113" s="880" t="s">
        <v>504</v>
      </c>
      <c r="G113" s="881" t="s">
        <v>346</v>
      </c>
      <c r="H113" s="922">
        <f>H$110</f>
        <v>236.22</v>
      </c>
      <c r="I113" s="899"/>
      <c r="J113" s="25">
        <f t="shared" si="17"/>
        <v>0</v>
      </c>
      <c r="K113" s="895">
        <f t="shared" si="17"/>
        <v>0</v>
      </c>
      <c r="L113" s="894"/>
      <c r="M113" s="896">
        <f t="shared" si="13"/>
        <v>0</v>
      </c>
    </row>
    <row r="114" spans="1:13" s="824" customFormat="1" ht="22.15" hidden="1" customHeight="1" x14ac:dyDescent="0.25">
      <c r="A114" s="875">
        <v>14</v>
      </c>
      <c r="B114" s="876" t="s">
        <v>71</v>
      </c>
      <c r="C114" s="877"/>
      <c r="D114" s="878" t="s">
        <v>45</v>
      </c>
      <c r="E114" s="879" t="s">
        <v>505</v>
      </c>
      <c r="F114" s="880" t="s">
        <v>506</v>
      </c>
      <c r="G114" s="881" t="s">
        <v>346</v>
      </c>
      <c r="H114" s="922">
        <f>H$110</f>
        <v>236.22</v>
      </c>
      <c r="I114" s="899"/>
      <c r="J114" s="25">
        <f t="shared" si="17"/>
        <v>0</v>
      </c>
      <c r="K114" s="895">
        <f t="shared" si="17"/>
        <v>0</v>
      </c>
      <c r="L114" s="894"/>
      <c r="M114" s="896">
        <f t="shared" si="13"/>
        <v>0</v>
      </c>
    </row>
    <row r="115" spans="1:13" s="824" customFormat="1" ht="22.15" customHeight="1" x14ac:dyDescent="0.25">
      <c r="A115" s="864"/>
      <c r="B115" s="925" t="s">
        <v>507</v>
      </c>
      <c r="C115" s="926"/>
      <c r="D115" s="927"/>
      <c r="E115" s="928"/>
      <c r="F115" s="929"/>
      <c r="G115" s="930"/>
      <c r="H115" s="931"/>
      <c r="I115" s="932"/>
      <c r="J115" s="29"/>
      <c r="K115" s="933"/>
      <c r="L115" s="932"/>
      <c r="M115" s="934">
        <f t="shared" si="13"/>
        <v>0</v>
      </c>
    </row>
    <row r="116" spans="1:13" s="824" customFormat="1" ht="22.15" customHeight="1" x14ac:dyDescent="0.25">
      <c r="A116" s="1809">
        <v>15</v>
      </c>
      <c r="B116" s="935" t="s">
        <v>75</v>
      </c>
      <c r="C116" s="926"/>
      <c r="D116" s="936"/>
      <c r="E116" s="928"/>
      <c r="F116" s="929"/>
      <c r="G116" s="930"/>
      <c r="H116" s="931"/>
      <c r="I116" s="937"/>
      <c r="J116" s="938"/>
      <c r="K116" s="939"/>
      <c r="L116" s="940"/>
      <c r="M116" s="941">
        <f t="shared" si="13"/>
        <v>0</v>
      </c>
    </row>
    <row r="117" spans="1:13" s="824" customFormat="1" ht="22.15" customHeight="1" x14ac:dyDescent="0.25">
      <c r="A117" s="1809"/>
      <c r="B117" s="865" t="s">
        <v>508</v>
      </c>
      <c r="C117" s="866"/>
      <c r="D117" s="867" t="s">
        <v>77</v>
      </c>
      <c r="E117" s="868" t="s">
        <v>509</v>
      </c>
      <c r="F117" s="869"/>
      <c r="G117" s="870"/>
      <c r="H117" s="871">
        <v>144.04</v>
      </c>
      <c r="I117" s="873"/>
      <c r="J117" s="31">
        <f>Schedule_A!H30</f>
        <v>0</v>
      </c>
      <c r="K117" s="31">
        <f>Schedule_A!I30</f>
        <v>0</v>
      </c>
      <c r="L117" s="873"/>
      <c r="M117" s="924">
        <f t="shared" si="13"/>
        <v>0</v>
      </c>
    </row>
    <row r="118" spans="1:13" s="824" customFormat="1" ht="22.15" hidden="1" customHeight="1" x14ac:dyDescent="0.25">
      <c r="A118" s="875">
        <v>15</v>
      </c>
      <c r="B118" s="876" t="s">
        <v>508</v>
      </c>
      <c r="C118" s="877"/>
      <c r="D118" s="878" t="s">
        <v>77</v>
      </c>
      <c r="E118" s="879" t="s">
        <v>344</v>
      </c>
      <c r="F118" s="880" t="s">
        <v>510</v>
      </c>
      <c r="G118" s="881" t="s">
        <v>346</v>
      </c>
      <c r="H118" s="882">
        <f>H$117</f>
        <v>144.04</v>
      </c>
      <c r="I118" s="884"/>
      <c r="J118" s="24">
        <f>J$117</f>
        <v>0</v>
      </c>
      <c r="K118" s="942">
        <f>K$117</f>
        <v>0</v>
      </c>
      <c r="L118" s="884"/>
      <c r="M118" s="943">
        <f t="shared" si="13"/>
        <v>0</v>
      </c>
    </row>
    <row r="119" spans="1:13" s="824" customFormat="1" ht="22.15" hidden="1" customHeight="1" x14ac:dyDescent="0.25">
      <c r="A119" s="875">
        <v>15</v>
      </c>
      <c r="B119" s="876" t="s">
        <v>508</v>
      </c>
      <c r="C119" s="877"/>
      <c r="D119" s="878" t="s">
        <v>77</v>
      </c>
      <c r="E119" s="879" t="s">
        <v>347</v>
      </c>
      <c r="F119" s="880" t="s">
        <v>511</v>
      </c>
      <c r="G119" s="881" t="s">
        <v>346</v>
      </c>
      <c r="H119" s="882">
        <f t="shared" ref="H119:K122" si="18">H$117</f>
        <v>144.04</v>
      </c>
      <c r="I119" s="884"/>
      <c r="J119" s="24">
        <f t="shared" si="18"/>
        <v>0</v>
      </c>
      <c r="K119" s="942">
        <f t="shared" si="18"/>
        <v>0</v>
      </c>
      <c r="L119" s="884"/>
      <c r="M119" s="943">
        <f t="shared" si="13"/>
        <v>0</v>
      </c>
    </row>
    <row r="120" spans="1:13" s="824" customFormat="1" ht="22.15" hidden="1" customHeight="1" x14ac:dyDescent="0.25">
      <c r="A120" s="875">
        <v>15</v>
      </c>
      <c r="B120" s="876" t="s">
        <v>508</v>
      </c>
      <c r="C120" s="877"/>
      <c r="D120" s="878" t="s">
        <v>77</v>
      </c>
      <c r="E120" s="879" t="s">
        <v>349</v>
      </c>
      <c r="F120" s="880" t="s">
        <v>512</v>
      </c>
      <c r="G120" s="881" t="s">
        <v>346</v>
      </c>
      <c r="H120" s="882">
        <f t="shared" si="18"/>
        <v>144.04</v>
      </c>
      <c r="I120" s="884"/>
      <c r="J120" s="24">
        <f t="shared" si="18"/>
        <v>0</v>
      </c>
      <c r="K120" s="942">
        <f t="shared" si="18"/>
        <v>0</v>
      </c>
      <c r="L120" s="884"/>
      <c r="M120" s="943">
        <f t="shared" si="13"/>
        <v>0</v>
      </c>
    </row>
    <row r="121" spans="1:13" s="824" customFormat="1" ht="22.15" hidden="1" customHeight="1" x14ac:dyDescent="0.25">
      <c r="A121" s="875">
        <v>15</v>
      </c>
      <c r="B121" s="876" t="s">
        <v>508</v>
      </c>
      <c r="C121" s="877"/>
      <c r="D121" s="878" t="s">
        <v>77</v>
      </c>
      <c r="E121" s="879" t="s">
        <v>351</v>
      </c>
      <c r="F121" s="880" t="s">
        <v>513</v>
      </c>
      <c r="G121" s="881" t="s">
        <v>346</v>
      </c>
      <c r="H121" s="882">
        <f t="shared" si="18"/>
        <v>144.04</v>
      </c>
      <c r="I121" s="884"/>
      <c r="J121" s="24">
        <f t="shared" si="18"/>
        <v>0</v>
      </c>
      <c r="K121" s="942">
        <f t="shared" si="18"/>
        <v>0</v>
      </c>
      <c r="L121" s="884"/>
      <c r="M121" s="943">
        <f t="shared" si="13"/>
        <v>0</v>
      </c>
    </row>
    <row r="122" spans="1:13" s="824" customFormat="1" ht="22.15" hidden="1" customHeight="1" x14ac:dyDescent="0.25">
      <c r="A122" s="875">
        <v>15</v>
      </c>
      <c r="B122" s="876" t="s">
        <v>508</v>
      </c>
      <c r="C122" s="877"/>
      <c r="D122" s="878" t="s">
        <v>77</v>
      </c>
      <c r="E122" s="879" t="s">
        <v>353</v>
      </c>
      <c r="F122" s="880" t="s">
        <v>514</v>
      </c>
      <c r="G122" s="881" t="s">
        <v>346</v>
      </c>
      <c r="H122" s="882">
        <f t="shared" si="18"/>
        <v>144.04</v>
      </c>
      <c r="I122" s="884"/>
      <c r="J122" s="24">
        <f t="shared" si="18"/>
        <v>0</v>
      </c>
      <c r="K122" s="942">
        <f t="shared" si="18"/>
        <v>0</v>
      </c>
      <c r="L122" s="884"/>
      <c r="M122" s="943">
        <f t="shared" si="13"/>
        <v>0</v>
      </c>
    </row>
    <row r="123" spans="1:13" s="824" customFormat="1" ht="22.15" customHeight="1" x14ac:dyDescent="0.25">
      <c r="A123" s="864">
        <v>16</v>
      </c>
      <c r="B123" s="865" t="s">
        <v>515</v>
      </c>
      <c r="C123" s="866"/>
      <c r="D123" s="867" t="s">
        <v>77</v>
      </c>
      <c r="E123" s="868" t="s">
        <v>516</v>
      </c>
      <c r="F123" s="869"/>
      <c r="G123" s="870"/>
      <c r="H123" s="871"/>
      <c r="I123" s="892"/>
      <c r="J123" s="33">
        <f>Schedule_A!H31</f>
        <v>0</v>
      </c>
      <c r="K123" s="33">
        <f>Schedule_A!I31</f>
        <v>0</v>
      </c>
      <c r="L123" s="892"/>
      <c r="M123" s="893">
        <f t="shared" si="13"/>
        <v>0</v>
      </c>
    </row>
    <row r="124" spans="1:13" s="824" customFormat="1" ht="22.15" hidden="1" customHeight="1" x14ac:dyDescent="0.25">
      <c r="A124" s="875">
        <v>16</v>
      </c>
      <c r="B124" s="876" t="s">
        <v>515</v>
      </c>
      <c r="C124" s="877"/>
      <c r="D124" s="878" t="s">
        <v>77</v>
      </c>
      <c r="E124" s="879" t="s">
        <v>355</v>
      </c>
      <c r="F124" s="880" t="s">
        <v>517</v>
      </c>
      <c r="G124" s="881" t="s">
        <v>518</v>
      </c>
      <c r="H124" s="882">
        <f>H$123</f>
        <v>0</v>
      </c>
      <c r="I124" s="894"/>
      <c r="J124" s="25">
        <f>J$123</f>
        <v>0</v>
      </c>
      <c r="K124" s="895">
        <f>K$123</f>
        <v>0</v>
      </c>
      <c r="L124" s="894"/>
      <c r="M124" s="896">
        <f t="shared" si="13"/>
        <v>0</v>
      </c>
    </row>
    <row r="125" spans="1:13" s="824" customFormat="1" ht="22.15" hidden="1" customHeight="1" x14ac:dyDescent="0.25">
      <c r="A125" s="875">
        <v>16</v>
      </c>
      <c r="B125" s="876" t="s">
        <v>515</v>
      </c>
      <c r="C125" s="877"/>
      <c r="D125" s="878" t="s">
        <v>77</v>
      </c>
      <c r="E125" s="879" t="s">
        <v>357</v>
      </c>
      <c r="F125" s="880" t="s">
        <v>519</v>
      </c>
      <c r="G125" s="881" t="s">
        <v>518</v>
      </c>
      <c r="H125" s="882">
        <f t="shared" ref="H125:K128" si="19">H$123</f>
        <v>0</v>
      </c>
      <c r="I125" s="894"/>
      <c r="J125" s="25">
        <f t="shared" si="19"/>
        <v>0</v>
      </c>
      <c r="K125" s="895">
        <f t="shared" si="19"/>
        <v>0</v>
      </c>
      <c r="L125" s="894"/>
      <c r="M125" s="896">
        <f t="shared" si="13"/>
        <v>0</v>
      </c>
    </row>
    <row r="126" spans="1:13" s="824" customFormat="1" ht="22.15" hidden="1" customHeight="1" x14ac:dyDescent="0.25">
      <c r="A126" s="875">
        <v>16</v>
      </c>
      <c r="B126" s="876" t="s">
        <v>515</v>
      </c>
      <c r="C126" s="877"/>
      <c r="D126" s="878" t="s">
        <v>77</v>
      </c>
      <c r="E126" s="879" t="s">
        <v>359</v>
      </c>
      <c r="F126" s="880" t="s">
        <v>520</v>
      </c>
      <c r="G126" s="881" t="s">
        <v>518</v>
      </c>
      <c r="H126" s="882">
        <f t="shared" si="19"/>
        <v>0</v>
      </c>
      <c r="I126" s="894"/>
      <c r="J126" s="25">
        <f t="shared" si="19"/>
        <v>0</v>
      </c>
      <c r="K126" s="895">
        <f t="shared" si="19"/>
        <v>0</v>
      </c>
      <c r="L126" s="894"/>
      <c r="M126" s="896">
        <f t="shared" si="13"/>
        <v>0</v>
      </c>
    </row>
    <row r="127" spans="1:13" s="824" customFormat="1" ht="22.15" hidden="1" customHeight="1" x14ac:dyDescent="0.25">
      <c r="A127" s="875">
        <v>16</v>
      </c>
      <c r="B127" s="876" t="s">
        <v>515</v>
      </c>
      <c r="C127" s="877"/>
      <c r="D127" s="878" t="s">
        <v>77</v>
      </c>
      <c r="E127" s="879" t="s">
        <v>361</v>
      </c>
      <c r="F127" s="880" t="s">
        <v>521</v>
      </c>
      <c r="G127" s="881" t="s">
        <v>518</v>
      </c>
      <c r="H127" s="882">
        <f t="shared" si="19"/>
        <v>0</v>
      </c>
      <c r="I127" s="894"/>
      <c r="J127" s="25">
        <f t="shared" si="19"/>
        <v>0</v>
      </c>
      <c r="K127" s="895">
        <f t="shared" si="19"/>
        <v>0</v>
      </c>
      <c r="L127" s="894"/>
      <c r="M127" s="896">
        <f t="shared" si="13"/>
        <v>0</v>
      </c>
    </row>
    <row r="128" spans="1:13" s="824" customFormat="1" ht="22.15" hidden="1" customHeight="1" x14ac:dyDescent="0.25">
      <c r="A128" s="875">
        <v>16</v>
      </c>
      <c r="B128" s="876" t="s">
        <v>515</v>
      </c>
      <c r="C128" s="877"/>
      <c r="D128" s="878" t="s">
        <v>77</v>
      </c>
      <c r="E128" s="879" t="s">
        <v>363</v>
      </c>
      <c r="F128" s="880" t="s">
        <v>522</v>
      </c>
      <c r="G128" s="881" t="s">
        <v>518</v>
      </c>
      <c r="H128" s="882">
        <f t="shared" si="19"/>
        <v>0</v>
      </c>
      <c r="I128" s="894"/>
      <c r="J128" s="25">
        <f t="shared" si="19"/>
        <v>0</v>
      </c>
      <c r="K128" s="895">
        <f t="shared" si="19"/>
        <v>0</v>
      </c>
      <c r="L128" s="894"/>
      <c r="M128" s="896">
        <f t="shared" si="13"/>
        <v>0</v>
      </c>
    </row>
    <row r="129" spans="1:13" s="824" customFormat="1" ht="22.15" customHeight="1" x14ac:dyDescent="0.25">
      <c r="A129" s="864">
        <v>17</v>
      </c>
      <c r="B129" s="865" t="s">
        <v>81</v>
      </c>
      <c r="C129" s="897"/>
      <c r="D129" s="867" t="s">
        <v>77</v>
      </c>
      <c r="E129" s="868" t="s">
        <v>523</v>
      </c>
      <c r="F129" s="888"/>
      <c r="G129" s="889"/>
      <c r="H129" s="902"/>
      <c r="I129" s="899"/>
      <c r="J129" s="33">
        <f>Schedule_A!H32</f>
        <v>0</v>
      </c>
      <c r="K129" s="33">
        <f>Schedule_A!I32</f>
        <v>0</v>
      </c>
      <c r="L129" s="892"/>
      <c r="M129" s="893">
        <f t="shared" si="13"/>
        <v>0</v>
      </c>
    </row>
    <row r="130" spans="1:13" s="824" customFormat="1" ht="22.15" hidden="1" customHeight="1" x14ac:dyDescent="0.25">
      <c r="A130" s="875">
        <v>17</v>
      </c>
      <c r="B130" s="876" t="s">
        <v>81</v>
      </c>
      <c r="C130" s="877"/>
      <c r="D130" s="878" t="s">
        <v>77</v>
      </c>
      <c r="E130" s="879" t="s">
        <v>366</v>
      </c>
      <c r="F130" s="880" t="s">
        <v>524</v>
      </c>
      <c r="G130" s="881" t="s">
        <v>346</v>
      </c>
      <c r="H130" s="902"/>
      <c r="I130" s="899"/>
      <c r="J130" s="26">
        <f>J$129</f>
        <v>0</v>
      </c>
      <c r="K130" s="26">
        <f>K$129</f>
        <v>0</v>
      </c>
      <c r="L130" s="944"/>
      <c r="M130" s="945">
        <f t="shared" si="13"/>
        <v>0</v>
      </c>
    </row>
    <row r="131" spans="1:13" s="824" customFormat="1" ht="22.15" hidden="1" customHeight="1" x14ac:dyDescent="0.25">
      <c r="A131" s="875">
        <v>17</v>
      </c>
      <c r="B131" s="876" t="s">
        <v>81</v>
      </c>
      <c r="C131" s="877"/>
      <c r="D131" s="878" t="s">
        <v>77</v>
      </c>
      <c r="E131" s="879" t="s">
        <v>369</v>
      </c>
      <c r="F131" s="880" t="s">
        <v>525</v>
      </c>
      <c r="G131" s="881" t="s">
        <v>346</v>
      </c>
      <c r="H131" s="902"/>
      <c r="I131" s="899"/>
      <c r="J131" s="26">
        <f t="shared" ref="J131:K139" si="20">J$129</f>
        <v>0</v>
      </c>
      <c r="K131" s="26">
        <f t="shared" si="20"/>
        <v>0</v>
      </c>
      <c r="L131" s="944"/>
      <c r="M131" s="945">
        <f t="shared" si="13"/>
        <v>0</v>
      </c>
    </row>
    <row r="132" spans="1:13" s="824" customFormat="1" ht="22.15" hidden="1" customHeight="1" x14ac:dyDescent="0.25">
      <c r="A132" s="875">
        <v>17</v>
      </c>
      <c r="B132" s="876" t="s">
        <v>81</v>
      </c>
      <c r="C132" s="877"/>
      <c r="D132" s="878" t="s">
        <v>77</v>
      </c>
      <c r="E132" s="879" t="s">
        <v>371</v>
      </c>
      <c r="F132" s="880" t="s">
        <v>526</v>
      </c>
      <c r="G132" s="881" t="s">
        <v>346</v>
      </c>
      <c r="H132" s="902"/>
      <c r="I132" s="899"/>
      <c r="J132" s="26">
        <f t="shared" si="20"/>
        <v>0</v>
      </c>
      <c r="K132" s="26">
        <f t="shared" si="20"/>
        <v>0</v>
      </c>
      <c r="L132" s="944"/>
      <c r="M132" s="945">
        <f t="shared" si="13"/>
        <v>0</v>
      </c>
    </row>
    <row r="133" spans="1:13" s="824" customFormat="1" ht="22.15" hidden="1" customHeight="1" x14ac:dyDescent="0.25">
      <c r="A133" s="875">
        <v>17</v>
      </c>
      <c r="B133" s="876" t="s">
        <v>81</v>
      </c>
      <c r="C133" s="877"/>
      <c r="D133" s="878" t="s">
        <v>77</v>
      </c>
      <c r="E133" s="879" t="s">
        <v>373</v>
      </c>
      <c r="F133" s="880" t="s">
        <v>527</v>
      </c>
      <c r="G133" s="881" t="s">
        <v>346</v>
      </c>
      <c r="H133" s="902"/>
      <c r="I133" s="899"/>
      <c r="J133" s="26">
        <f t="shared" si="20"/>
        <v>0</v>
      </c>
      <c r="K133" s="26">
        <f t="shared" si="20"/>
        <v>0</v>
      </c>
      <c r="L133" s="944"/>
      <c r="M133" s="945">
        <f t="shared" si="13"/>
        <v>0</v>
      </c>
    </row>
    <row r="134" spans="1:13" s="824" customFormat="1" ht="22.15" hidden="1" customHeight="1" x14ac:dyDescent="0.25">
      <c r="A134" s="875">
        <v>17</v>
      </c>
      <c r="B134" s="876" t="s">
        <v>81</v>
      </c>
      <c r="C134" s="877"/>
      <c r="D134" s="878" t="s">
        <v>77</v>
      </c>
      <c r="E134" s="879" t="s">
        <v>375</v>
      </c>
      <c r="F134" s="880" t="s">
        <v>528</v>
      </c>
      <c r="G134" s="881" t="s">
        <v>346</v>
      </c>
      <c r="H134" s="902"/>
      <c r="I134" s="899"/>
      <c r="J134" s="26">
        <f t="shared" si="20"/>
        <v>0</v>
      </c>
      <c r="K134" s="26">
        <f t="shared" si="20"/>
        <v>0</v>
      </c>
      <c r="L134" s="944"/>
      <c r="M134" s="945">
        <f t="shared" si="13"/>
        <v>0</v>
      </c>
    </row>
    <row r="135" spans="1:13" s="824" customFormat="1" ht="22.15" hidden="1" customHeight="1" x14ac:dyDescent="0.25">
      <c r="A135" s="875">
        <v>17</v>
      </c>
      <c r="B135" s="876" t="s">
        <v>81</v>
      </c>
      <c r="C135" s="877"/>
      <c r="D135" s="878" t="s">
        <v>77</v>
      </c>
      <c r="E135" s="879" t="s">
        <v>54</v>
      </c>
      <c r="F135" s="880" t="s">
        <v>529</v>
      </c>
      <c r="G135" s="881" t="s">
        <v>346</v>
      </c>
      <c r="H135" s="902"/>
      <c r="I135" s="899"/>
      <c r="J135" s="26">
        <f t="shared" si="20"/>
        <v>0</v>
      </c>
      <c r="K135" s="26">
        <f t="shared" si="20"/>
        <v>0</v>
      </c>
      <c r="L135" s="944"/>
      <c r="M135" s="945">
        <f t="shared" si="13"/>
        <v>0</v>
      </c>
    </row>
    <row r="136" spans="1:13" s="824" customFormat="1" ht="22.15" hidden="1" customHeight="1" x14ac:dyDescent="0.25">
      <c r="A136" s="875">
        <v>17</v>
      </c>
      <c r="B136" s="876" t="s">
        <v>81</v>
      </c>
      <c r="C136" s="877"/>
      <c r="D136" s="878" t="s">
        <v>77</v>
      </c>
      <c r="E136" s="879" t="s">
        <v>379</v>
      </c>
      <c r="F136" s="880" t="s">
        <v>530</v>
      </c>
      <c r="G136" s="881" t="s">
        <v>346</v>
      </c>
      <c r="H136" s="902"/>
      <c r="I136" s="899"/>
      <c r="J136" s="26">
        <f t="shared" si="20"/>
        <v>0</v>
      </c>
      <c r="K136" s="26">
        <f t="shared" si="20"/>
        <v>0</v>
      </c>
      <c r="L136" s="944"/>
      <c r="M136" s="945">
        <f t="shared" si="13"/>
        <v>0</v>
      </c>
    </row>
    <row r="137" spans="1:13" s="824" customFormat="1" ht="22.15" hidden="1" customHeight="1" x14ac:dyDescent="0.25">
      <c r="A137" s="875">
        <v>17</v>
      </c>
      <c r="B137" s="876" t="s">
        <v>81</v>
      </c>
      <c r="C137" s="877"/>
      <c r="D137" s="878" t="s">
        <v>77</v>
      </c>
      <c r="E137" s="879" t="s">
        <v>381</v>
      </c>
      <c r="F137" s="880" t="s">
        <v>531</v>
      </c>
      <c r="G137" s="881" t="s">
        <v>346</v>
      </c>
      <c r="H137" s="902"/>
      <c r="I137" s="899"/>
      <c r="J137" s="26">
        <f t="shared" si="20"/>
        <v>0</v>
      </c>
      <c r="K137" s="26">
        <f t="shared" si="20"/>
        <v>0</v>
      </c>
      <c r="L137" s="944"/>
      <c r="M137" s="945">
        <f t="shared" si="13"/>
        <v>0</v>
      </c>
    </row>
    <row r="138" spans="1:13" s="824" customFormat="1" ht="22.15" hidden="1" customHeight="1" x14ac:dyDescent="0.25">
      <c r="A138" s="875">
        <v>17</v>
      </c>
      <c r="B138" s="876" t="s">
        <v>81</v>
      </c>
      <c r="C138" s="877"/>
      <c r="D138" s="878" t="s">
        <v>77</v>
      </c>
      <c r="E138" s="879" t="s">
        <v>383</v>
      </c>
      <c r="F138" s="880" t="s">
        <v>532</v>
      </c>
      <c r="G138" s="881" t="s">
        <v>346</v>
      </c>
      <c r="H138" s="902"/>
      <c r="I138" s="899"/>
      <c r="J138" s="26">
        <f t="shared" si="20"/>
        <v>0</v>
      </c>
      <c r="K138" s="26">
        <f t="shared" si="20"/>
        <v>0</v>
      </c>
      <c r="L138" s="944"/>
      <c r="M138" s="945">
        <f t="shared" si="13"/>
        <v>0</v>
      </c>
    </row>
    <row r="139" spans="1:13" s="824" customFormat="1" ht="22.15" hidden="1" customHeight="1" x14ac:dyDescent="0.25">
      <c r="A139" s="875">
        <v>17</v>
      </c>
      <c r="B139" s="876" t="s">
        <v>81</v>
      </c>
      <c r="C139" s="877"/>
      <c r="D139" s="878" t="s">
        <v>77</v>
      </c>
      <c r="E139" s="879" t="s">
        <v>385</v>
      </c>
      <c r="F139" s="880" t="s">
        <v>533</v>
      </c>
      <c r="G139" s="881" t="s">
        <v>346</v>
      </c>
      <c r="H139" s="902"/>
      <c r="I139" s="899"/>
      <c r="J139" s="26">
        <f t="shared" si="20"/>
        <v>0</v>
      </c>
      <c r="K139" s="26">
        <f t="shared" si="20"/>
        <v>0</v>
      </c>
      <c r="L139" s="944"/>
      <c r="M139" s="945">
        <f t="shared" si="13"/>
        <v>0</v>
      </c>
    </row>
    <row r="140" spans="1:13" s="824" customFormat="1" ht="22.15" customHeight="1" x14ac:dyDescent="0.25">
      <c r="A140" s="864">
        <v>18</v>
      </c>
      <c r="B140" s="865" t="s">
        <v>83</v>
      </c>
      <c r="C140" s="897"/>
      <c r="D140" s="867" t="s">
        <v>77</v>
      </c>
      <c r="E140" s="868" t="s">
        <v>387</v>
      </c>
      <c r="F140" s="888"/>
      <c r="G140" s="889"/>
      <c r="H140" s="902"/>
      <c r="I140" s="899"/>
      <c r="J140" s="33">
        <f>Schedule_A!H33</f>
        <v>0</v>
      </c>
      <c r="K140" s="33">
        <f>Schedule_A!I33</f>
        <v>0</v>
      </c>
      <c r="L140" s="892"/>
      <c r="M140" s="893">
        <f t="shared" si="13"/>
        <v>0</v>
      </c>
    </row>
    <row r="141" spans="1:13" s="824" customFormat="1" ht="22.15" hidden="1" customHeight="1" x14ac:dyDescent="0.25">
      <c r="A141" s="875">
        <v>18</v>
      </c>
      <c r="B141" s="876" t="s">
        <v>83</v>
      </c>
      <c r="C141" s="877"/>
      <c r="D141" s="878" t="s">
        <v>77</v>
      </c>
      <c r="E141" s="879" t="s">
        <v>388</v>
      </c>
      <c r="F141" s="880" t="s">
        <v>534</v>
      </c>
      <c r="G141" s="881" t="s">
        <v>346</v>
      </c>
      <c r="H141" s="902"/>
      <c r="I141" s="899"/>
      <c r="J141" s="26">
        <f>J$140</f>
        <v>0</v>
      </c>
      <c r="K141" s="26">
        <f>K$140</f>
        <v>0</v>
      </c>
      <c r="L141" s="944"/>
      <c r="M141" s="945">
        <f t="shared" si="13"/>
        <v>0</v>
      </c>
    </row>
    <row r="142" spans="1:13" s="824" customFormat="1" ht="22.15" hidden="1" customHeight="1" x14ac:dyDescent="0.25">
      <c r="A142" s="875">
        <v>18</v>
      </c>
      <c r="B142" s="876" t="s">
        <v>83</v>
      </c>
      <c r="C142" s="877"/>
      <c r="D142" s="878" t="s">
        <v>77</v>
      </c>
      <c r="E142" s="879" t="s">
        <v>390</v>
      </c>
      <c r="F142" s="880" t="s">
        <v>535</v>
      </c>
      <c r="G142" s="881" t="s">
        <v>346</v>
      </c>
      <c r="H142" s="902"/>
      <c r="I142" s="899"/>
      <c r="J142" s="26">
        <f t="shared" ref="J142:K150" si="21">J$140</f>
        <v>0</v>
      </c>
      <c r="K142" s="26">
        <f t="shared" si="21"/>
        <v>0</v>
      </c>
      <c r="L142" s="944"/>
      <c r="M142" s="945">
        <f t="shared" si="13"/>
        <v>0</v>
      </c>
    </row>
    <row r="143" spans="1:13" s="824" customFormat="1" ht="22.15" hidden="1" customHeight="1" x14ac:dyDescent="0.25">
      <c r="A143" s="875">
        <v>18</v>
      </c>
      <c r="B143" s="876" t="s">
        <v>83</v>
      </c>
      <c r="C143" s="877"/>
      <c r="D143" s="878" t="s">
        <v>77</v>
      </c>
      <c r="E143" s="879" t="s">
        <v>392</v>
      </c>
      <c r="F143" s="880" t="s">
        <v>536</v>
      </c>
      <c r="G143" s="881" t="s">
        <v>346</v>
      </c>
      <c r="H143" s="902"/>
      <c r="I143" s="899"/>
      <c r="J143" s="26">
        <f t="shared" si="21"/>
        <v>0</v>
      </c>
      <c r="K143" s="26">
        <f t="shared" si="21"/>
        <v>0</v>
      </c>
      <c r="L143" s="944"/>
      <c r="M143" s="945">
        <f t="shared" ref="M143:M206" si="22">IF(K143&gt;0,K143,L143)</f>
        <v>0</v>
      </c>
    </row>
    <row r="144" spans="1:13" s="824" customFormat="1" ht="22.15" hidden="1" customHeight="1" x14ac:dyDescent="0.25">
      <c r="A144" s="875">
        <v>18</v>
      </c>
      <c r="B144" s="876" t="s">
        <v>83</v>
      </c>
      <c r="C144" s="877"/>
      <c r="D144" s="878" t="s">
        <v>77</v>
      </c>
      <c r="E144" s="879" t="s">
        <v>394</v>
      </c>
      <c r="F144" s="880" t="s">
        <v>537</v>
      </c>
      <c r="G144" s="881" t="s">
        <v>346</v>
      </c>
      <c r="H144" s="902"/>
      <c r="I144" s="899"/>
      <c r="J144" s="26">
        <f t="shared" si="21"/>
        <v>0</v>
      </c>
      <c r="K144" s="26">
        <f t="shared" si="21"/>
        <v>0</v>
      </c>
      <c r="L144" s="944"/>
      <c r="M144" s="945">
        <f t="shared" si="22"/>
        <v>0</v>
      </c>
    </row>
    <row r="145" spans="1:13" s="824" customFormat="1" ht="22.15" hidden="1" customHeight="1" x14ac:dyDescent="0.25">
      <c r="A145" s="875">
        <v>18</v>
      </c>
      <c r="B145" s="876" t="s">
        <v>83</v>
      </c>
      <c r="C145" s="877"/>
      <c r="D145" s="878" t="s">
        <v>77</v>
      </c>
      <c r="E145" s="879" t="s">
        <v>396</v>
      </c>
      <c r="F145" s="880" t="s">
        <v>538</v>
      </c>
      <c r="G145" s="881" t="s">
        <v>346</v>
      </c>
      <c r="H145" s="902"/>
      <c r="I145" s="899"/>
      <c r="J145" s="26">
        <f t="shared" si="21"/>
        <v>0</v>
      </c>
      <c r="K145" s="26">
        <f t="shared" si="21"/>
        <v>0</v>
      </c>
      <c r="L145" s="944"/>
      <c r="M145" s="945">
        <f t="shared" si="22"/>
        <v>0</v>
      </c>
    </row>
    <row r="146" spans="1:13" s="824" customFormat="1" ht="22.15" hidden="1" customHeight="1" x14ac:dyDescent="0.25">
      <c r="A146" s="875">
        <v>18</v>
      </c>
      <c r="B146" s="876" t="s">
        <v>83</v>
      </c>
      <c r="C146" s="877"/>
      <c r="D146" s="878" t="s">
        <v>77</v>
      </c>
      <c r="E146" s="879" t="s">
        <v>104</v>
      </c>
      <c r="F146" s="880" t="s">
        <v>539</v>
      </c>
      <c r="G146" s="881" t="s">
        <v>346</v>
      </c>
      <c r="H146" s="902"/>
      <c r="I146" s="899"/>
      <c r="J146" s="26">
        <f t="shared" si="21"/>
        <v>0</v>
      </c>
      <c r="K146" s="26">
        <f t="shared" si="21"/>
        <v>0</v>
      </c>
      <c r="L146" s="944"/>
      <c r="M146" s="945">
        <f t="shared" si="22"/>
        <v>0</v>
      </c>
    </row>
    <row r="147" spans="1:13" s="824" customFormat="1" ht="22.15" hidden="1" customHeight="1" x14ac:dyDescent="0.25">
      <c r="A147" s="875">
        <v>18</v>
      </c>
      <c r="B147" s="876" t="s">
        <v>83</v>
      </c>
      <c r="C147" s="877"/>
      <c r="D147" s="878" t="s">
        <v>77</v>
      </c>
      <c r="E147" s="879" t="s">
        <v>399</v>
      </c>
      <c r="F147" s="880" t="s">
        <v>540</v>
      </c>
      <c r="G147" s="881" t="s">
        <v>346</v>
      </c>
      <c r="H147" s="902"/>
      <c r="I147" s="899"/>
      <c r="J147" s="26">
        <f t="shared" si="21"/>
        <v>0</v>
      </c>
      <c r="K147" s="26">
        <f t="shared" si="21"/>
        <v>0</v>
      </c>
      <c r="L147" s="944"/>
      <c r="M147" s="945">
        <f t="shared" si="22"/>
        <v>0</v>
      </c>
    </row>
    <row r="148" spans="1:13" s="824" customFormat="1" ht="22.15" hidden="1" customHeight="1" x14ac:dyDescent="0.25">
      <c r="A148" s="875">
        <v>18</v>
      </c>
      <c r="B148" s="876" t="s">
        <v>83</v>
      </c>
      <c r="C148" s="877"/>
      <c r="D148" s="878" t="s">
        <v>77</v>
      </c>
      <c r="E148" s="879" t="s">
        <v>401</v>
      </c>
      <c r="F148" s="880" t="s">
        <v>541</v>
      </c>
      <c r="G148" s="881" t="s">
        <v>346</v>
      </c>
      <c r="H148" s="902"/>
      <c r="I148" s="899"/>
      <c r="J148" s="26">
        <f t="shared" si="21"/>
        <v>0</v>
      </c>
      <c r="K148" s="26">
        <f t="shared" si="21"/>
        <v>0</v>
      </c>
      <c r="L148" s="944"/>
      <c r="M148" s="945">
        <f t="shared" si="22"/>
        <v>0</v>
      </c>
    </row>
    <row r="149" spans="1:13" s="824" customFormat="1" ht="22.15" hidden="1" customHeight="1" x14ac:dyDescent="0.25">
      <c r="A149" s="875">
        <v>18</v>
      </c>
      <c r="B149" s="876" t="s">
        <v>83</v>
      </c>
      <c r="C149" s="877"/>
      <c r="D149" s="878" t="s">
        <v>77</v>
      </c>
      <c r="E149" s="879" t="s">
        <v>403</v>
      </c>
      <c r="F149" s="880" t="s">
        <v>542</v>
      </c>
      <c r="G149" s="881" t="s">
        <v>346</v>
      </c>
      <c r="H149" s="902"/>
      <c r="I149" s="899"/>
      <c r="J149" s="26">
        <f t="shared" si="21"/>
        <v>0</v>
      </c>
      <c r="K149" s="26">
        <f t="shared" si="21"/>
        <v>0</v>
      </c>
      <c r="L149" s="944"/>
      <c r="M149" s="945">
        <f t="shared" si="22"/>
        <v>0</v>
      </c>
    </row>
    <row r="150" spans="1:13" s="824" customFormat="1" ht="22.15" hidden="1" customHeight="1" x14ac:dyDescent="0.25">
      <c r="A150" s="875">
        <v>18</v>
      </c>
      <c r="B150" s="876" t="s">
        <v>83</v>
      </c>
      <c r="C150" s="877"/>
      <c r="D150" s="878" t="s">
        <v>77</v>
      </c>
      <c r="E150" s="879" t="s">
        <v>405</v>
      </c>
      <c r="F150" s="880" t="s">
        <v>543</v>
      </c>
      <c r="G150" s="881" t="s">
        <v>346</v>
      </c>
      <c r="H150" s="902"/>
      <c r="I150" s="899"/>
      <c r="J150" s="26">
        <f t="shared" si="21"/>
        <v>0</v>
      </c>
      <c r="K150" s="26">
        <f t="shared" si="21"/>
        <v>0</v>
      </c>
      <c r="L150" s="944"/>
      <c r="M150" s="945">
        <f t="shared" si="22"/>
        <v>0</v>
      </c>
    </row>
    <row r="151" spans="1:13" s="824" customFormat="1" ht="22.15" customHeight="1" x14ac:dyDescent="0.25">
      <c r="A151" s="864">
        <v>19</v>
      </c>
      <c r="B151" s="865" t="s">
        <v>84</v>
      </c>
      <c r="C151" s="897"/>
      <c r="D151" s="867" t="s">
        <v>77</v>
      </c>
      <c r="E151" s="868" t="s">
        <v>544</v>
      </c>
      <c r="F151" s="888"/>
      <c r="G151" s="889"/>
      <c r="H151" s="902"/>
      <c r="I151" s="899"/>
      <c r="J151" s="33">
        <f>Schedule_A!H34</f>
        <v>0</v>
      </c>
      <c r="K151" s="33">
        <f>Schedule_A!I34</f>
        <v>0</v>
      </c>
      <c r="L151" s="892"/>
      <c r="M151" s="893">
        <f t="shared" si="22"/>
        <v>0</v>
      </c>
    </row>
    <row r="152" spans="1:13" s="824" customFormat="1" ht="22.15" hidden="1" customHeight="1" x14ac:dyDescent="0.25">
      <c r="A152" s="875">
        <v>19</v>
      </c>
      <c r="B152" s="876" t="s">
        <v>84</v>
      </c>
      <c r="C152" s="877"/>
      <c r="D152" s="878" t="s">
        <v>77</v>
      </c>
      <c r="E152" s="879" t="s">
        <v>136</v>
      </c>
      <c r="F152" s="880" t="s">
        <v>545</v>
      </c>
      <c r="G152" s="881" t="s">
        <v>346</v>
      </c>
      <c r="H152" s="902"/>
      <c r="I152" s="899"/>
      <c r="J152" s="26">
        <f>J$151</f>
        <v>0</v>
      </c>
      <c r="K152" s="26">
        <f>K$151</f>
        <v>0</v>
      </c>
      <c r="L152" s="944"/>
      <c r="M152" s="945">
        <f t="shared" si="22"/>
        <v>0</v>
      </c>
    </row>
    <row r="153" spans="1:13" s="824" customFormat="1" ht="22.15" hidden="1" customHeight="1" x14ac:dyDescent="0.25">
      <c r="A153" s="875">
        <v>19</v>
      </c>
      <c r="B153" s="876" t="s">
        <v>84</v>
      </c>
      <c r="C153" s="877"/>
      <c r="D153" s="878" t="s">
        <v>77</v>
      </c>
      <c r="E153" s="879" t="s">
        <v>430</v>
      </c>
      <c r="F153" s="880" t="s">
        <v>546</v>
      </c>
      <c r="G153" s="881" t="s">
        <v>346</v>
      </c>
      <c r="H153" s="902"/>
      <c r="I153" s="899"/>
      <c r="J153" s="26">
        <f t="shared" ref="J153:K161" si="23">J$151</f>
        <v>0</v>
      </c>
      <c r="K153" s="26">
        <f t="shared" si="23"/>
        <v>0</v>
      </c>
      <c r="L153" s="944"/>
      <c r="M153" s="945">
        <f t="shared" si="22"/>
        <v>0</v>
      </c>
    </row>
    <row r="154" spans="1:13" s="824" customFormat="1" ht="22.15" hidden="1" customHeight="1" x14ac:dyDescent="0.25">
      <c r="A154" s="875">
        <v>19</v>
      </c>
      <c r="B154" s="876" t="s">
        <v>84</v>
      </c>
      <c r="C154" s="877"/>
      <c r="D154" s="878" t="s">
        <v>77</v>
      </c>
      <c r="E154" s="879" t="s">
        <v>432</v>
      </c>
      <c r="F154" s="880" t="s">
        <v>547</v>
      </c>
      <c r="G154" s="881" t="s">
        <v>346</v>
      </c>
      <c r="H154" s="902"/>
      <c r="I154" s="899"/>
      <c r="J154" s="26">
        <f t="shared" si="23"/>
        <v>0</v>
      </c>
      <c r="K154" s="26">
        <f t="shared" si="23"/>
        <v>0</v>
      </c>
      <c r="L154" s="944"/>
      <c r="M154" s="945">
        <f t="shared" si="22"/>
        <v>0</v>
      </c>
    </row>
    <row r="155" spans="1:13" s="824" customFormat="1" ht="22.15" hidden="1" customHeight="1" x14ac:dyDescent="0.25">
      <c r="A155" s="875">
        <v>19</v>
      </c>
      <c r="B155" s="876" t="s">
        <v>84</v>
      </c>
      <c r="C155" s="877"/>
      <c r="D155" s="878" t="s">
        <v>77</v>
      </c>
      <c r="E155" s="879" t="s">
        <v>434</v>
      </c>
      <c r="F155" s="880" t="s">
        <v>548</v>
      </c>
      <c r="G155" s="881" t="s">
        <v>346</v>
      </c>
      <c r="H155" s="902"/>
      <c r="I155" s="899"/>
      <c r="J155" s="26">
        <f t="shared" si="23"/>
        <v>0</v>
      </c>
      <c r="K155" s="26">
        <f t="shared" si="23"/>
        <v>0</v>
      </c>
      <c r="L155" s="944"/>
      <c r="M155" s="945">
        <f t="shared" si="22"/>
        <v>0</v>
      </c>
    </row>
    <row r="156" spans="1:13" s="824" customFormat="1" ht="22.15" hidden="1" customHeight="1" x14ac:dyDescent="0.25">
      <c r="A156" s="875">
        <v>19</v>
      </c>
      <c r="B156" s="876" t="s">
        <v>84</v>
      </c>
      <c r="C156" s="877"/>
      <c r="D156" s="878" t="s">
        <v>77</v>
      </c>
      <c r="E156" s="879" t="s">
        <v>436</v>
      </c>
      <c r="F156" s="880" t="s">
        <v>549</v>
      </c>
      <c r="G156" s="881" t="s">
        <v>346</v>
      </c>
      <c r="H156" s="902"/>
      <c r="I156" s="899"/>
      <c r="J156" s="26">
        <f t="shared" si="23"/>
        <v>0</v>
      </c>
      <c r="K156" s="26">
        <f t="shared" si="23"/>
        <v>0</v>
      </c>
      <c r="L156" s="944"/>
      <c r="M156" s="945">
        <f t="shared" si="22"/>
        <v>0</v>
      </c>
    </row>
    <row r="157" spans="1:13" s="824" customFormat="1" ht="22.15" hidden="1" customHeight="1" x14ac:dyDescent="0.25">
      <c r="A157" s="875">
        <v>19</v>
      </c>
      <c r="B157" s="876" t="s">
        <v>84</v>
      </c>
      <c r="C157" s="877"/>
      <c r="D157" s="878" t="s">
        <v>77</v>
      </c>
      <c r="E157" s="879" t="s">
        <v>439</v>
      </c>
      <c r="F157" s="880" t="s">
        <v>550</v>
      </c>
      <c r="G157" s="881" t="s">
        <v>346</v>
      </c>
      <c r="H157" s="902"/>
      <c r="I157" s="899"/>
      <c r="J157" s="26">
        <f t="shared" si="23"/>
        <v>0</v>
      </c>
      <c r="K157" s="26">
        <f t="shared" si="23"/>
        <v>0</v>
      </c>
      <c r="L157" s="944"/>
      <c r="M157" s="945">
        <f t="shared" si="22"/>
        <v>0</v>
      </c>
    </row>
    <row r="158" spans="1:13" s="824" customFormat="1" ht="22.15" hidden="1" customHeight="1" x14ac:dyDescent="0.25">
      <c r="A158" s="875">
        <v>19</v>
      </c>
      <c r="B158" s="876" t="s">
        <v>84</v>
      </c>
      <c r="C158" s="877"/>
      <c r="D158" s="878" t="s">
        <v>77</v>
      </c>
      <c r="E158" s="879" t="s">
        <v>441</v>
      </c>
      <c r="F158" s="880" t="s">
        <v>551</v>
      </c>
      <c r="G158" s="881" t="s">
        <v>346</v>
      </c>
      <c r="H158" s="902"/>
      <c r="I158" s="899"/>
      <c r="J158" s="26">
        <f t="shared" si="23"/>
        <v>0</v>
      </c>
      <c r="K158" s="26">
        <f t="shared" si="23"/>
        <v>0</v>
      </c>
      <c r="L158" s="944"/>
      <c r="M158" s="945">
        <f t="shared" si="22"/>
        <v>0</v>
      </c>
    </row>
    <row r="159" spans="1:13" s="824" customFormat="1" ht="22.15" hidden="1" customHeight="1" x14ac:dyDescent="0.25">
      <c r="A159" s="875">
        <v>19</v>
      </c>
      <c r="B159" s="876" t="s">
        <v>84</v>
      </c>
      <c r="C159" s="877"/>
      <c r="D159" s="878" t="s">
        <v>77</v>
      </c>
      <c r="E159" s="879" t="s">
        <v>443</v>
      </c>
      <c r="F159" s="880" t="s">
        <v>552</v>
      </c>
      <c r="G159" s="881" t="s">
        <v>346</v>
      </c>
      <c r="H159" s="902"/>
      <c r="I159" s="899"/>
      <c r="J159" s="26">
        <f t="shared" si="23"/>
        <v>0</v>
      </c>
      <c r="K159" s="26">
        <f t="shared" si="23"/>
        <v>0</v>
      </c>
      <c r="L159" s="944"/>
      <c r="M159" s="945">
        <f t="shared" si="22"/>
        <v>0</v>
      </c>
    </row>
    <row r="160" spans="1:13" s="824" customFormat="1" ht="22.15" hidden="1" customHeight="1" x14ac:dyDescent="0.25">
      <c r="A160" s="875">
        <v>19</v>
      </c>
      <c r="B160" s="876" t="s">
        <v>84</v>
      </c>
      <c r="C160" s="877"/>
      <c r="D160" s="878" t="s">
        <v>77</v>
      </c>
      <c r="E160" s="879" t="s">
        <v>445</v>
      </c>
      <c r="F160" s="880" t="s">
        <v>553</v>
      </c>
      <c r="G160" s="881" t="s">
        <v>346</v>
      </c>
      <c r="H160" s="902"/>
      <c r="I160" s="899"/>
      <c r="J160" s="26">
        <f t="shared" si="23"/>
        <v>0</v>
      </c>
      <c r="K160" s="26">
        <f t="shared" si="23"/>
        <v>0</v>
      </c>
      <c r="L160" s="944"/>
      <c r="M160" s="945">
        <f t="shared" si="22"/>
        <v>0</v>
      </c>
    </row>
    <row r="161" spans="1:13" s="824" customFormat="1" ht="22.15" hidden="1" customHeight="1" x14ac:dyDescent="0.25">
      <c r="A161" s="875">
        <v>19</v>
      </c>
      <c r="B161" s="876" t="s">
        <v>84</v>
      </c>
      <c r="C161" s="877"/>
      <c r="D161" s="878" t="s">
        <v>77</v>
      </c>
      <c r="E161" s="879" t="s">
        <v>447</v>
      </c>
      <c r="F161" s="880" t="s">
        <v>554</v>
      </c>
      <c r="G161" s="881" t="s">
        <v>346</v>
      </c>
      <c r="H161" s="902"/>
      <c r="I161" s="899"/>
      <c r="J161" s="26">
        <f t="shared" si="23"/>
        <v>0</v>
      </c>
      <c r="K161" s="26">
        <f t="shared" si="23"/>
        <v>0</v>
      </c>
      <c r="L161" s="944"/>
      <c r="M161" s="945">
        <f t="shared" si="22"/>
        <v>0</v>
      </c>
    </row>
    <row r="162" spans="1:13" s="824" customFormat="1" ht="22.15" customHeight="1" x14ac:dyDescent="0.25">
      <c r="A162" s="1809">
        <v>20</v>
      </c>
      <c r="B162" s="935" t="s">
        <v>86</v>
      </c>
      <c r="C162" s="926"/>
      <c r="D162" s="946"/>
      <c r="E162" s="947"/>
      <c r="F162" s="948"/>
      <c r="G162" s="949"/>
      <c r="H162" s="950"/>
      <c r="I162" s="1810"/>
      <c r="J162" s="27"/>
      <c r="K162" s="951"/>
      <c r="L162" s="952"/>
      <c r="M162" s="953">
        <f t="shared" si="22"/>
        <v>0</v>
      </c>
    </row>
    <row r="163" spans="1:13" s="824" customFormat="1" ht="22.15" customHeight="1" x14ac:dyDescent="0.25">
      <c r="A163" s="1809"/>
      <c r="B163" s="865" t="s">
        <v>555</v>
      </c>
      <c r="C163" s="866"/>
      <c r="D163" s="954" t="s">
        <v>77</v>
      </c>
      <c r="E163" s="955" t="s">
        <v>556</v>
      </c>
      <c r="F163" s="869"/>
      <c r="G163" s="870"/>
      <c r="H163" s="956">
        <v>214.89</v>
      </c>
      <c r="I163" s="1811"/>
      <c r="J163" s="28">
        <f>Schedule_A!H36</f>
        <v>0</v>
      </c>
      <c r="K163" s="28">
        <f>Schedule_A!I36</f>
        <v>0</v>
      </c>
      <c r="L163" s="957"/>
      <c r="M163" s="958">
        <f t="shared" si="22"/>
        <v>0</v>
      </c>
    </row>
    <row r="164" spans="1:13" s="824" customFormat="1" ht="22.15" hidden="1" customHeight="1" x14ac:dyDescent="0.25">
      <c r="A164" s="875">
        <v>20</v>
      </c>
      <c r="B164" s="876" t="s">
        <v>555</v>
      </c>
      <c r="C164" s="877"/>
      <c r="D164" s="878" t="s">
        <v>77</v>
      </c>
      <c r="E164" s="879" t="s">
        <v>468</v>
      </c>
      <c r="F164" s="880" t="s">
        <v>557</v>
      </c>
      <c r="G164" s="881" t="s">
        <v>346</v>
      </c>
      <c r="H164" s="959">
        <f>H$163</f>
        <v>214.89</v>
      </c>
      <c r="I164" s="944"/>
      <c r="J164" s="26">
        <f>J$163</f>
        <v>0</v>
      </c>
      <c r="K164" s="26">
        <f>K$163</f>
        <v>0</v>
      </c>
      <c r="L164" s="944"/>
      <c r="M164" s="945">
        <f t="shared" si="22"/>
        <v>0</v>
      </c>
    </row>
    <row r="165" spans="1:13" s="824" customFormat="1" ht="22.15" hidden="1" customHeight="1" x14ac:dyDescent="0.25">
      <c r="A165" s="875">
        <v>20</v>
      </c>
      <c r="B165" s="876" t="s">
        <v>555</v>
      </c>
      <c r="C165" s="877"/>
      <c r="D165" s="878" t="s">
        <v>77</v>
      </c>
      <c r="E165" s="879" t="s">
        <v>470</v>
      </c>
      <c r="F165" s="880" t="s">
        <v>558</v>
      </c>
      <c r="G165" s="881" t="s">
        <v>346</v>
      </c>
      <c r="H165" s="959">
        <f>H$163</f>
        <v>214.89</v>
      </c>
      <c r="I165" s="944"/>
      <c r="J165" s="26">
        <f t="shared" ref="J165:K167" si="24">J$163</f>
        <v>0</v>
      </c>
      <c r="K165" s="26">
        <f t="shared" si="24"/>
        <v>0</v>
      </c>
      <c r="L165" s="944"/>
      <c r="M165" s="945">
        <f t="shared" si="22"/>
        <v>0</v>
      </c>
    </row>
    <row r="166" spans="1:13" s="824" customFormat="1" ht="22.15" hidden="1" customHeight="1" x14ac:dyDescent="0.25">
      <c r="A166" s="875">
        <v>20</v>
      </c>
      <c r="B166" s="876" t="s">
        <v>555</v>
      </c>
      <c r="C166" s="877"/>
      <c r="D166" s="878" t="s">
        <v>77</v>
      </c>
      <c r="E166" s="879" t="s">
        <v>472</v>
      </c>
      <c r="F166" s="880" t="s">
        <v>559</v>
      </c>
      <c r="G166" s="881" t="s">
        <v>346</v>
      </c>
      <c r="H166" s="959">
        <f>H$163</f>
        <v>214.89</v>
      </c>
      <c r="I166" s="944"/>
      <c r="J166" s="26">
        <f t="shared" si="24"/>
        <v>0</v>
      </c>
      <c r="K166" s="26">
        <f t="shared" si="24"/>
        <v>0</v>
      </c>
      <c r="L166" s="944"/>
      <c r="M166" s="945">
        <f t="shared" si="22"/>
        <v>0</v>
      </c>
    </row>
    <row r="167" spans="1:13" s="824" customFormat="1" ht="22.15" hidden="1" customHeight="1" x14ac:dyDescent="0.25">
      <c r="A167" s="875">
        <v>20</v>
      </c>
      <c r="B167" s="876" t="s">
        <v>555</v>
      </c>
      <c r="C167" s="877"/>
      <c r="D167" s="878" t="s">
        <v>77</v>
      </c>
      <c r="E167" s="879" t="s">
        <v>474</v>
      </c>
      <c r="F167" s="880" t="s">
        <v>560</v>
      </c>
      <c r="G167" s="881" t="s">
        <v>346</v>
      </c>
      <c r="H167" s="959">
        <f>H$163</f>
        <v>214.89</v>
      </c>
      <c r="I167" s="944"/>
      <c r="J167" s="26">
        <f t="shared" si="24"/>
        <v>0</v>
      </c>
      <c r="K167" s="26">
        <f t="shared" si="24"/>
        <v>0</v>
      </c>
      <c r="L167" s="944"/>
      <c r="M167" s="945">
        <f t="shared" si="22"/>
        <v>0</v>
      </c>
    </row>
    <row r="168" spans="1:13" s="824" customFormat="1" ht="22.15" customHeight="1" x14ac:dyDescent="0.25">
      <c r="A168" s="864">
        <v>21</v>
      </c>
      <c r="B168" s="865" t="s">
        <v>561</v>
      </c>
      <c r="C168" s="866"/>
      <c r="D168" s="867" t="s">
        <v>77</v>
      </c>
      <c r="E168" s="868" t="s">
        <v>476</v>
      </c>
      <c r="F168" s="869"/>
      <c r="G168" s="870"/>
      <c r="H168" s="871">
        <v>301.81</v>
      </c>
      <c r="I168" s="892"/>
      <c r="J168" s="33">
        <f>Schedule_A!H37</f>
        <v>0</v>
      </c>
      <c r="K168" s="33">
        <f>Schedule_A!I37</f>
        <v>0</v>
      </c>
      <c r="L168" s="892"/>
      <c r="M168" s="893">
        <f t="shared" si="22"/>
        <v>0</v>
      </c>
    </row>
    <row r="169" spans="1:13" s="824" customFormat="1" ht="22.15" hidden="1" customHeight="1" x14ac:dyDescent="0.25">
      <c r="A169" s="875">
        <v>21</v>
      </c>
      <c r="B169" s="876" t="s">
        <v>561</v>
      </c>
      <c r="C169" s="877"/>
      <c r="D169" s="878" t="s">
        <v>77</v>
      </c>
      <c r="E169" s="879" t="s">
        <v>477</v>
      </c>
      <c r="F169" s="880" t="s">
        <v>562</v>
      </c>
      <c r="G169" s="881" t="s">
        <v>346</v>
      </c>
      <c r="H169" s="882">
        <f>H$168</f>
        <v>301.81</v>
      </c>
      <c r="I169" s="894"/>
      <c r="J169" s="25">
        <f>J$168</f>
        <v>0</v>
      </c>
      <c r="K169" s="895">
        <f>K$168</f>
        <v>0</v>
      </c>
      <c r="L169" s="894"/>
      <c r="M169" s="896">
        <f t="shared" si="22"/>
        <v>0</v>
      </c>
    </row>
    <row r="170" spans="1:13" s="824" customFormat="1" ht="22.15" hidden="1" customHeight="1" x14ac:dyDescent="0.25">
      <c r="A170" s="875">
        <v>21</v>
      </c>
      <c r="B170" s="876" t="s">
        <v>561</v>
      </c>
      <c r="C170" s="877"/>
      <c r="D170" s="878" t="s">
        <v>77</v>
      </c>
      <c r="E170" s="879" t="s">
        <v>479</v>
      </c>
      <c r="F170" s="880" t="s">
        <v>563</v>
      </c>
      <c r="G170" s="881" t="s">
        <v>346</v>
      </c>
      <c r="H170" s="882">
        <f>H$168</f>
        <v>301.81</v>
      </c>
      <c r="I170" s="894"/>
      <c r="J170" s="25">
        <f t="shared" ref="J170:K173" si="25">J$168</f>
        <v>0</v>
      </c>
      <c r="K170" s="895">
        <f t="shared" si="25"/>
        <v>0</v>
      </c>
      <c r="L170" s="894"/>
      <c r="M170" s="896">
        <f t="shared" si="22"/>
        <v>0</v>
      </c>
    </row>
    <row r="171" spans="1:13" s="824" customFormat="1" ht="22.15" hidden="1" customHeight="1" x14ac:dyDescent="0.25">
      <c r="A171" s="875">
        <v>21</v>
      </c>
      <c r="B171" s="876" t="s">
        <v>561</v>
      </c>
      <c r="C171" s="877"/>
      <c r="D171" s="878" t="s">
        <v>77</v>
      </c>
      <c r="E171" s="879" t="s">
        <v>481</v>
      </c>
      <c r="F171" s="880" t="s">
        <v>564</v>
      </c>
      <c r="G171" s="881" t="s">
        <v>346</v>
      </c>
      <c r="H171" s="882">
        <f>H$168</f>
        <v>301.81</v>
      </c>
      <c r="I171" s="894"/>
      <c r="J171" s="25">
        <f t="shared" si="25"/>
        <v>0</v>
      </c>
      <c r="K171" s="895">
        <f t="shared" si="25"/>
        <v>0</v>
      </c>
      <c r="L171" s="894"/>
      <c r="M171" s="896">
        <f t="shared" si="22"/>
        <v>0</v>
      </c>
    </row>
    <row r="172" spans="1:13" s="824" customFormat="1" ht="22.15" hidden="1" customHeight="1" x14ac:dyDescent="0.25">
      <c r="A172" s="875">
        <v>21</v>
      </c>
      <c r="B172" s="876" t="s">
        <v>561</v>
      </c>
      <c r="C172" s="877"/>
      <c r="D172" s="878" t="s">
        <v>77</v>
      </c>
      <c r="E172" s="879" t="s">
        <v>483</v>
      </c>
      <c r="F172" s="880" t="s">
        <v>565</v>
      </c>
      <c r="G172" s="881" t="s">
        <v>346</v>
      </c>
      <c r="H172" s="882">
        <f>H$168</f>
        <v>301.81</v>
      </c>
      <c r="I172" s="894"/>
      <c r="J172" s="25">
        <f t="shared" si="25"/>
        <v>0</v>
      </c>
      <c r="K172" s="895">
        <f t="shared" si="25"/>
        <v>0</v>
      </c>
      <c r="L172" s="894"/>
      <c r="M172" s="896">
        <f t="shared" si="22"/>
        <v>0</v>
      </c>
    </row>
    <row r="173" spans="1:13" s="824" customFormat="1" ht="22.15" hidden="1" customHeight="1" x14ac:dyDescent="0.25">
      <c r="A173" s="875">
        <v>21</v>
      </c>
      <c r="B173" s="876" t="s">
        <v>561</v>
      </c>
      <c r="C173" s="877"/>
      <c r="D173" s="878" t="s">
        <v>77</v>
      </c>
      <c r="E173" s="879" t="s">
        <v>485</v>
      </c>
      <c r="F173" s="880" t="s">
        <v>566</v>
      </c>
      <c r="G173" s="881" t="s">
        <v>346</v>
      </c>
      <c r="H173" s="882">
        <f>H$168</f>
        <v>301.81</v>
      </c>
      <c r="I173" s="894"/>
      <c r="J173" s="25">
        <f t="shared" si="25"/>
        <v>0</v>
      </c>
      <c r="K173" s="895">
        <f t="shared" si="25"/>
        <v>0</v>
      </c>
      <c r="L173" s="894"/>
      <c r="M173" s="896">
        <f t="shared" si="22"/>
        <v>0</v>
      </c>
    </row>
    <row r="174" spans="1:13" s="824" customFormat="1" ht="22.15" customHeight="1" x14ac:dyDescent="0.25">
      <c r="A174" s="1809">
        <v>22</v>
      </c>
      <c r="B174" s="935" t="s">
        <v>90</v>
      </c>
      <c r="C174" s="926"/>
      <c r="D174" s="946"/>
      <c r="E174" s="947"/>
      <c r="F174" s="948"/>
      <c r="G174" s="949"/>
      <c r="H174" s="960"/>
      <c r="I174" s="952"/>
      <c r="J174" s="27"/>
      <c r="K174" s="951"/>
      <c r="L174" s="952"/>
      <c r="M174" s="953">
        <f t="shared" si="22"/>
        <v>0</v>
      </c>
    </row>
    <row r="175" spans="1:13" s="824" customFormat="1" ht="22.15" customHeight="1" x14ac:dyDescent="0.25">
      <c r="A175" s="1809"/>
      <c r="B175" s="865" t="s">
        <v>555</v>
      </c>
      <c r="C175" s="866"/>
      <c r="D175" s="954" t="s">
        <v>77</v>
      </c>
      <c r="E175" s="955" t="s">
        <v>567</v>
      </c>
      <c r="F175" s="869"/>
      <c r="G175" s="870"/>
      <c r="H175" s="961">
        <v>128.11000000000001</v>
      </c>
      <c r="I175" s="957"/>
      <c r="J175" s="28">
        <f>Schedule_A!H39</f>
        <v>0</v>
      </c>
      <c r="K175" s="28">
        <f>Schedule_A!I39</f>
        <v>0</v>
      </c>
      <c r="L175" s="957"/>
      <c r="M175" s="958">
        <f t="shared" si="22"/>
        <v>0</v>
      </c>
    </row>
    <row r="176" spans="1:13" s="824" customFormat="1" ht="22.15" hidden="1" customHeight="1" x14ac:dyDescent="0.25">
      <c r="A176" s="875">
        <v>22</v>
      </c>
      <c r="B176" s="876" t="s">
        <v>555</v>
      </c>
      <c r="C176" s="877"/>
      <c r="D176" s="878" t="s">
        <v>77</v>
      </c>
      <c r="E176" s="879" t="s">
        <v>490</v>
      </c>
      <c r="F176" s="880" t="s">
        <v>568</v>
      </c>
      <c r="G176" s="881" t="s">
        <v>346</v>
      </c>
      <c r="H176" s="959">
        <f>H$175</f>
        <v>128.11000000000001</v>
      </c>
      <c r="I176" s="944"/>
      <c r="J176" s="26">
        <f>J$175</f>
        <v>0</v>
      </c>
      <c r="K176" s="26">
        <f>K$175</f>
        <v>0</v>
      </c>
      <c r="L176" s="944"/>
      <c r="M176" s="945">
        <f t="shared" si="22"/>
        <v>0</v>
      </c>
    </row>
    <row r="177" spans="1:13" s="824" customFormat="1" ht="22.15" hidden="1" customHeight="1" x14ac:dyDescent="0.25">
      <c r="A177" s="875">
        <v>22</v>
      </c>
      <c r="B177" s="876" t="s">
        <v>555</v>
      </c>
      <c r="C177" s="877"/>
      <c r="D177" s="878" t="s">
        <v>77</v>
      </c>
      <c r="E177" s="879" t="s">
        <v>492</v>
      </c>
      <c r="F177" s="880" t="s">
        <v>569</v>
      </c>
      <c r="G177" s="881" t="s">
        <v>346</v>
      </c>
      <c r="H177" s="959">
        <f t="shared" ref="H177:K179" si="26">H$175</f>
        <v>128.11000000000001</v>
      </c>
      <c r="I177" s="944"/>
      <c r="J177" s="26">
        <f t="shared" si="26"/>
        <v>0</v>
      </c>
      <c r="K177" s="26">
        <f t="shared" si="26"/>
        <v>0</v>
      </c>
      <c r="L177" s="944"/>
      <c r="M177" s="945">
        <f t="shared" si="22"/>
        <v>0</v>
      </c>
    </row>
    <row r="178" spans="1:13" s="824" customFormat="1" ht="22.15" hidden="1" customHeight="1" x14ac:dyDescent="0.25">
      <c r="A178" s="875">
        <v>22</v>
      </c>
      <c r="B178" s="876" t="s">
        <v>555</v>
      </c>
      <c r="C178" s="877"/>
      <c r="D178" s="878" t="s">
        <v>77</v>
      </c>
      <c r="E178" s="879" t="s">
        <v>494</v>
      </c>
      <c r="F178" s="880" t="s">
        <v>570</v>
      </c>
      <c r="G178" s="881" t="s">
        <v>346</v>
      </c>
      <c r="H178" s="959">
        <f t="shared" si="26"/>
        <v>128.11000000000001</v>
      </c>
      <c r="I178" s="944"/>
      <c r="J178" s="26">
        <f t="shared" si="26"/>
        <v>0</v>
      </c>
      <c r="K178" s="26">
        <f t="shared" si="26"/>
        <v>0</v>
      </c>
      <c r="L178" s="944"/>
      <c r="M178" s="945">
        <f t="shared" si="22"/>
        <v>0</v>
      </c>
    </row>
    <row r="179" spans="1:13" s="824" customFormat="1" ht="22.15" hidden="1" customHeight="1" x14ac:dyDescent="0.25">
      <c r="A179" s="875">
        <v>22</v>
      </c>
      <c r="B179" s="876" t="s">
        <v>555</v>
      </c>
      <c r="C179" s="877"/>
      <c r="D179" s="878" t="s">
        <v>77</v>
      </c>
      <c r="E179" s="879" t="s">
        <v>496</v>
      </c>
      <c r="F179" s="880" t="s">
        <v>571</v>
      </c>
      <c r="G179" s="881" t="s">
        <v>346</v>
      </c>
      <c r="H179" s="959">
        <f t="shared" si="26"/>
        <v>128.11000000000001</v>
      </c>
      <c r="I179" s="944"/>
      <c r="J179" s="26">
        <f t="shared" si="26"/>
        <v>0</v>
      </c>
      <c r="K179" s="26">
        <f t="shared" si="26"/>
        <v>0</v>
      </c>
      <c r="L179" s="944"/>
      <c r="M179" s="945">
        <f t="shared" si="22"/>
        <v>0</v>
      </c>
    </row>
    <row r="180" spans="1:13" s="824" customFormat="1" ht="22.15" customHeight="1" x14ac:dyDescent="0.25">
      <c r="A180" s="864">
        <v>23</v>
      </c>
      <c r="B180" s="865" t="s">
        <v>561</v>
      </c>
      <c r="C180" s="897"/>
      <c r="D180" s="867" t="s">
        <v>77</v>
      </c>
      <c r="E180" s="868" t="s">
        <v>572</v>
      </c>
      <c r="F180" s="869"/>
      <c r="G180" s="870"/>
      <c r="H180" s="871">
        <v>199.95</v>
      </c>
      <c r="I180" s="892"/>
      <c r="J180" s="33">
        <f>Schedule_A!H40</f>
        <v>0</v>
      </c>
      <c r="K180" s="33">
        <f>Schedule_A!I40</f>
        <v>0</v>
      </c>
      <c r="L180" s="892"/>
      <c r="M180" s="893">
        <f t="shared" si="22"/>
        <v>0</v>
      </c>
    </row>
    <row r="181" spans="1:13" s="824" customFormat="1" ht="22.15" hidden="1" customHeight="1" x14ac:dyDescent="0.25">
      <c r="A181" s="875">
        <v>23</v>
      </c>
      <c r="B181" s="876" t="s">
        <v>561</v>
      </c>
      <c r="C181" s="962"/>
      <c r="D181" s="878" t="s">
        <v>77</v>
      </c>
      <c r="E181" s="879" t="s">
        <v>499</v>
      </c>
      <c r="F181" s="880" t="s">
        <v>573</v>
      </c>
      <c r="G181" s="881" t="s">
        <v>346</v>
      </c>
      <c r="H181" s="882">
        <f>H$180</f>
        <v>199.95</v>
      </c>
      <c r="I181" s="894"/>
      <c r="J181" s="25">
        <f>J$180</f>
        <v>0</v>
      </c>
      <c r="K181" s="895">
        <f>K$180</f>
        <v>0</v>
      </c>
      <c r="L181" s="894"/>
      <c r="M181" s="896">
        <f t="shared" si="22"/>
        <v>0</v>
      </c>
    </row>
    <row r="182" spans="1:13" s="824" customFormat="1" ht="22.15" hidden="1" customHeight="1" x14ac:dyDescent="0.25">
      <c r="A182" s="875">
        <v>23</v>
      </c>
      <c r="B182" s="876" t="s">
        <v>561</v>
      </c>
      <c r="C182" s="962"/>
      <c r="D182" s="878" t="s">
        <v>77</v>
      </c>
      <c r="E182" s="879" t="s">
        <v>501</v>
      </c>
      <c r="F182" s="880" t="s">
        <v>574</v>
      </c>
      <c r="G182" s="881" t="s">
        <v>346</v>
      </c>
      <c r="H182" s="882">
        <f>H$180</f>
        <v>199.95</v>
      </c>
      <c r="I182" s="894"/>
      <c r="J182" s="25">
        <f t="shared" ref="J182:K185" si="27">J$180</f>
        <v>0</v>
      </c>
      <c r="K182" s="895">
        <f t="shared" si="27"/>
        <v>0</v>
      </c>
      <c r="L182" s="894"/>
      <c r="M182" s="896">
        <f t="shared" si="22"/>
        <v>0</v>
      </c>
    </row>
    <row r="183" spans="1:13" s="824" customFormat="1" ht="22.15" hidden="1" customHeight="1" x14ac:dyDescent="0.25">
      <c r="A183" s="875">
        <v>23</v>
      </c>
      <c r="B183" s="876" t="s">
        <v>561</v>
      </c>
      <c r="C183" s="962"/>
      <c r="D183" s="878" t="s">
        <v>77</v>
      </c>
      <c r="E183" s="879" t="s">
        <v>503</v>
      </c>
      <c r="F183" s="880" t="s">
        <v>575</v>
      </c>
      <c r="G183" s="881" t="s">
        <v>346</v>
      </c>
      <c r="H183" s="882">
        <f>H$180</f>
        <v>199.95</v>
      </c>
      <c r="I183" s="894"/>
      <c r="J183" s="25">
        <f t="shared" si="27"/>
        <v>0</v>
      </c>
      <c r="K183" s="895">
        <f t="shared" si="27"/>
        <v>0</v>
      </c>
      <c r="L183" s="894"/>
      <c r="M183" s="896">
        <f t="shared" si="22"/>
        <v>0</v>
      </c>
    </row>
    <row r="184" spans="1:13" s="824" customFormat="1" ht="22.15" hidden="1" customHeight="1" x14ac:dyDescent="0.25">
      <c r="A184" s="875">
        <v>23</v>
      </c>
      <c r="B184" s="876" t="s">
        <v>561</v>
      </c>
      <c r="C184" s="962"/>
      <c r="D184" s="878" t="s">
        <v>77</v>
      </c>
      <c r="E184" s="879" t="s">
        <v>505</v>
      </c>
      <c r="F184" s="880" t="s">
        <v>576</v>
      </c>
      <c r="G184" s="881" t="s">
        <v>346</v>
      </c>
      <c r="H184" s="882">
        <f>H$180</f>
        <v>199.95</v>
      </c>
      <c r="I184" s="894"/>
      <c r="J184" s="25">
        <f t="shared" si="27"/>
        <v>0</v>
      </c>
      <c r="K184" s="895">
        <f t="shared" si="27"/>
        <v>0</v>
      </c>
      <c r="L184" s="894"/>
      <c r="M184" s="896">
        <f t="shared" si="22"/>
        <v>0</v>
      </c>
    </row>
    <row r="185" spans="1:13" s="824" customFormat="1" ht="22.15" hidden="1" customHeight="1" x14ac:dyDescent="0.25">
      <c r="A185" s="875">
        <v>23</v>
      </c>
      <c r="B185" s="876" t="s">
        <v>561</v>
      </c>
      <c r="C185" s="962"/>
      <c r="D185" s="878" t="s">
        <v>77</v>
      </c>
      <c r="E185" s="879" t="s">
        <v>577</v>
      </c>
      <c r="F185" s="880" t="s">
        <v>578</v>
      </c>
      <c r="G185" s="881" t="s">
        <v>346</v>
      </c>
      <c r="H185" s="882">
        <f>H$180</f>
        <v>199.95</v>
      </c>
      <c r="I185" s="894"/>
      <c r="J185" s="25">
        <f t="shared" si="27"/>
        <v>0</v>
      </c>
      <c r="K185" s="895">
        <f t="shared" si="27"/>
        <v>0</v>
      </c>
      <c r="L185" s="894"/>
      <c r="M185" s="896">
        <f t="shared" si="22"/>
        <v>0</v>
      </c>
    </row>
    <row r="186" spans="1:13" s="824" customFormat="1" ht="22.15" customHeight="1" x14ac:dyDescent="0.25">
      <c r="A186" s="864"/>
      <c r="B186" s="925" t="s">
        <v>579</v>
      </c>
      <c r="C186" s="963"/>
      <c r="D186" s="927"/>
      <c r="E186" s="928"/>
      <c r="F186" s="929"/>
      <c r="G186" s="930"/>
      <c r="H186" s="931"/>
      <c r="I186" s="932"/>
      <c r="J186" s="29"/>
      <c r="K186" s="933"/>
      <c r="L186" s="932"/>
      <c r="M186" s="934">
        <f t="shared" si="22"/>
        <v>0</v>
      </c>
    </row>
    <row r="187" spans="1:13" s="824" customFormat="1" ht="22.15" customHeight="1" x14ac:dyDescent="0.25">
      <c r="A187" s="864">
        <v>24</v>
      </c>
      <c r="B187" s="865" t="s">
        <v>580</v>
      </c>
      <c r="C187" s="897"/>
      <c r="D187" s="867" t="s">
        <v>95</v>
      </c>
      <c r="E187" s="868" t="s">
        <v>581</v>
      </c>
      <c r="F187" s="869"/>
      <c r="G187" s="870"/>
      <c r="H187" s="871">
        <v>3.07</v>
      </c>
      <c r="I187" s="873"/>
      <c r="J187" s="31">
        <f>Schedule_A!H42</f>
        <v>1.92</v>
      </c>
      <c r="K187" s="31">
        <f>Schedule_A!I42</f>
        <v>0</v>
      </c>
      <c r="L187" s="873"/>
      <c r="M187" s="964">
        <f t="shared" si="22"/>
        <v>0</v>
      </c>
    </row>
    <row r="188" spans="1:13" s="824" customFormat="1" ht="22.15" hidden="1" customHeight="1" x14ac:dyDescent="0.25">
      <c r="A188" s="875">
        <v>24</v>
      </c>
      <c r="B188" s="876" t="s">
        <v>580</v>
      </c>
      <c r="C188" s="962"/>
      <c r="D188" s="878" t="s">
        <v>95</v>
      </c>
      <c r="E188" s="965" t="s">
        <v>582</v>
      </c>
      <c r="F188" s="880" t="s">
        <v>583</v>
      </c>
      <c r="G188" s="881" t="s">
        <v>346</v>
      </c>
      <c r="H188" s="882">
        <f>H$187</f>
        <v>3.07</v>
      </c>
      <c r="I188" s="884"/>
      <c r="J188" s="24">
        <f>J$187</f>
        <v>1.92</v>
      </c>
      <c r="K188" s="942">
        <f>K$187</f>
        <v>0</v>
      </c>
      <c r="L188" s="884"/>
      <c r="M188" s="966">
        <f t="shared" si="22"/>
        <v>0</v>
      </c>
    </row>
    <row r="189" spans="1:13" s="824" customFormat="1" ht="22.15" hidden="1" customHeight="1" x14ac:dyDescent="0.25">
      <c r="A189" s="875">
        <v>24</v>
      </c>
      <c r="B189" s="876" t="s">
        <v>580</v>
      </c>
      <c r="C189" s="962"/>
      <c r="D189" s="878" t="s">
        <v>95</v>
      </c>
      <c r="E189" s="965" t="s">
        <v>584</v>
      </c>
      <c r="F189" s="880" t="s">
        <v>585</v>
      </c>
      <c r="G189" s="881" t="s">
        <v>346</v>
      </c>
      <c r="H189" s="882">
        <f t="shared" ref="H189:K196" si="28">H$187</f>
        <v>3.07</v>
      </c>
      <c r="I189" s="884"/>
      <c r="J189" s="24">
        <f t="shared" si="28"/>
        <v>1.92</v>
      </c>
      <c r="K189" s="942">
        <f t="shared" si="28"/>
        <v>0</v>
      </c>
      <c r="L189" s="884"/>
      <c r="M189" s="966">
        <f t="shared" si="22"/>
        <v>0</v>
      </c>
    </row>
    <row r="190" spans="1:13" s="824" customFormat="1" ht="22.15" hidden="1" customHeight="1" x14ac:dyDescent="0.25">
      <c r="A190" s="875">
        <v>24</v>
      </c>
      <c r="B190" s="876" t="s">
        <v>580</v>
      </c>
      <c r="C190" s="962"/>
      <c r="D190" s="878" t="s">
        <v>95</v>
      </c>
      <c r="E190" s="965" t="s">
        <v>586</v>
      </c>
      <c r="F190" s="880" t="s">
        <v>587</v>
      </c>
      <c r="G190" s="881" t="s">
        <v>346</v>
      </c>
      <c r="H190" s="882">
        <f t="shared" si="28"/>
        <v>3.07</v>
      </c>
      <c r="I190" s="884"/>
      <c r="J190" s="24">
        <f t="shared" si="28"/>
        <v>1.92</v>
      </c>
      <c r="K190" s="942">
        <f t="shared" si="28"/>
        <v>0</v>
      </c>
      <c r="L190" s="884"/>
      <c r="M190" s="966">
        <f t="shared" si="22"/>
        <v>0</v>
      </c>
    </row>
    <row r="191" spans="1:13" s="824" customFormat="1" ht="22.15" hidden="1" customHeight="1" x14ac:dyDescent="0.25">
      <c r="A191" s="875">
        <v>24</v>
      </c>
      <c r="B191" s="876" t="s">
        <v>580</v>
      </c>
      <c r="C191" s="962"/>
      <c r="D191" s="878" t="s">
        <v>95</v>
      </c>
      <c r="E191" s="965" t="s">
        <v>588</v>
      </c>
      <c r="F191" s="880" t="s">
        <v>589</v>
      </c>
      <c r="G191" s="881" t="s">
        <v>346</v>
      </c>
      <c r="H191" s="882">
        <f t="shared" si="28"/>
        <v>3.07</v>
      </c>
      <c r="I191" s="884"/>
      <c r="J191" s="24">
        <f t="shared" si="28"/>
        <v>1.92</v>
      </c>
      <c r="K191" s="942">
        <f t="shared" si="28"/>
        <v>0</v>
      </c>
      <c r="L191" s="884"/>
      <c r="M191" s="966">
        <f t="shared" si="22"/>
        <v>0</v>
      </c>
    </row>
    <row r="192" spans="1:13" s="824" customFormat="1" ht="22.15" hidden="1" customHeight="1" x14ac:dyDescent="0.25">
      <c r="A192" s="875">
        <v>24</v>
      </c>
      <c r="B192" s="876" t="s">
        <v>580</v>
      </c>
      <c r="C192" s="962"/>
      <c r="D192" s="878" t="s">
        <v>95</v>
      </c>
      <c r="E192" s="965" t="s">
        <v>45</v>
      </c>
      <c r="F192" s="880" t="s">
        <v>590</v>
      </c>
      <c r="G192" s="881" t="s">
        <v>346</v>
      </c>
      <c r="H192" s="882">
        <f t="shared" si="28"/>
        <v>3.07</v>
      </c>
      <c r="I192" s="884"/>
      <c r="J192" s="24">
        <f t="shared" si="28"/>
        <v>1.92</v>
      </c>
      <c r="K192" s="942">
        <f t="shared" si="28"/>
        <v>0</v>
      </c>
      <c r="L192" s="884"/>
      <c r="M192" s="966">
        <f t="shared" si="22"/>
        <v>0</v>
      </c>
    </row>
    <row r="193" spans="1:13" s="824" customFormat="1" ht="22.15" hidden="1" customHeight="1" x14ac:dyDescent="0.25">
      <c r="A193" s="875">
        <v>24</v>
      </c>
      <c r="B193" s="876" t="s">
        <v>580</v>
      </c>
      <c r="C193" s="962"/>
      <c r="D193" s="878" t="s">
        <v>95</v>
      </c>
      <c r="E193" s="965" t="s">
        <v>591</v>
      </c>
      <c r="F193" s="880" t="s">
        <v>592</v>
      </c>
      <c r="G193" s="881" t="s">
        <v>346</v>
      </c>
      <c r="H193" s="882">
        <f t="shared" si="28"/>
        <v>3.07</v>
      </c>
      <c r="I193" s="884"/>
      <c r="J193" s="24">
        <f t="shared" si="28"/>
        <v>1.92</v>
      </c>
      <c r="K193" s="942">
        <f t="shared" si="28"/>
        <v>0</v>
      </c>
      <c r="L193" s="884"/>
      <c r="M193" s="966">
        <f t="shared" si="22"/>
        <v>0</v>
      </c>
    </row>
    <row r="194" spans="1:13" s="824" customFormat="1" ht="22.15" hidden="1" customHeight="1" x14ac:dyDescent="0.25">
      <c r="A194" s="875">
        <v>24</v>
      </c>
      <c r="B194" s="876" t="s">
        <v>580</v>
      </c>
      <c r="C194" s="962"/>
      <c r="D194" s="878" t="s">
        <v>95</v>
      </c>
      <c r="E194" s="965" t="s">
        <v>593</v>
      </c>
      <c r="F194" s="880" t="s">
        <v>594</v>
      </c>
      <c r="G194" s="881" t="s">
        <v>346</v>
      </c>
      <c r="H194" s="882">
        <f t="shared" si="28"/>
        <v>3.07</v>
      </c>
      <c r="I194" s="884"/>
      <c r="J194" s="24">
        <f t="shared" si="28"/>
        <v>1.92</v>
      </c>
      <c r="K194" s="942">
        <f t="shared" si="28"/>
        <v>0</v>
      </c>
      <c r="L194" s="884"/>
      <c r="M194" s="966">
        <f t="shared" si="22"/>
        <v>0</v>
      </c>
    </row>
    <row r="195" spans="1:13" s="824" customFormat="1" ht="22.15" hidden="1" customHeight="1" x14ac:dyDescent="0.25">
      <c r="A195" s="875">
        <v>24</v>
      </c>
      <c r="B195" s="876" t="s">
        <v>580</v>
      </c>
      <c r="C195" s="962"/>
      <c r="D195" s="878" t="s">
        <v>95</v>
      </c>
      <c r="E195" s="965" t="s">
        <v>595</v>
      </c>
      <c r="F195" s="880" t="s">
        <v>596</v>
      </c>
      <c r="G195" s="881" t="s">
        <v>346</v>
      </c>
      <c r="H195" s="882">
        <f t="shared" si="28"/>
        <v>3.07</v>
      </c>
      <c r="I195" s="884"/>
      <c r="J195" s="24">
        <f t="shared" si="28"/>
        <v>1.92</v>
      </c>
      <c r="K195" s="942">
        <f t="shared" si="28"/>
        <v>0</v>
      </c>
      <c r="L195" s="884"/>
      <c r="M195" s="966">
        <f t="shared" si="22"/>
        <v>0</v>
      </c>
    </row>
    <row r="196" spans="1:13" s="824" customFormat="1" ht="22.15" hidden="1" customHeight="1" x14ac:dyDescent="0.25">
      <c r="A196" s="875">
        <v>24</v>
      </c>
      <c r="B196" s="876" t="s">
        <v>580</v>
      </c>
      <c r="C196" s="962"/>
      <c r="D196" s="878" t="s">
        <v>95</v>
      </c>
      <c r="E196" s="965" t="s">
        <v>116</v>
      </c>
      <c r="F196" s="880" t="s">
        <v>597</v>
      </c>
      <c r="G196" s="881" t="s">
        <v>346</v>
      </c>
      <c r="H196" s="882">
        <f t="shared" si="28"/>
        <v>3.07</v>
      </c>
      <c r="I196" s="884"/>
      <c r="J196" s="24">
        <f t="shared" si="28"/>
        <v>1.92</v>
      </c>
      <c r="K196" s="942">
        <f t="shared" si="28"/>
        <v>0</v>
      </c>
      <c r="L196" s="884"/>
      <c r="M196" s="966">
        <f t="shared" si="22"/>
        <v>0</v>
      </c>
    </row>
    <row r="197" spans="1:13" s="824" customFormat="1" ht="22.15" customHeight="1" x14ac:dyDescent="0.25">
      <c r="A197" s="864">
        <v>25</v>
      </c>
      <c r="B197" s="865" t="s">
        <v>97</v>
      </c>
      <c r="C197" s="897"/>
      <c r="D197" s="867" t="s">
        <v>95</v>
      </c>
      <c r="E197" s="868" t="s">
        <v>598</v>
      </c>
      <c r="F197" s="869"/>
      <c r="G197" s="870"/>
      <c r="H197" s="871">
        <v>3.99</v>
      </c>
      <c r="I197" s="892"/>
      <c r="J197" s="33">
        <f>Schedule_A!H43</f>
        <v>2.48</v>
      </c>
      <c r="K197" s="33">
        <f>Schedule_A!I43</f>
        <v>0</v>
      </c>
      <c r="L197" s="892"/>
      <c r="M197" s="967">
        <f t="shared" si="22"/>
        <v>0</v>
      </c>
    </row>
    <row r="198" spans="1:13" s="824" customFormat="1" ht="22.15" hidden="1" customHeight="1" x14ac:dyDescent="0.25">
      <c r="A198" s="875">
        <v>25</v>
      </c>
      <c r="B198" s="876" t="s">
        <v>97</v>
      </c>
      <c r="C198" s="962"/>
      <c r="D198" s="878" t="s">
        <v>95</v>
      </c>
      <c r="E198" s="879" t="s">
        <v>77</v>
      </c>
      <c r="F198" s="880" t="s">
        <v>599</v>
      </c>
      <c r="G198" s="881" t="s">
        <v>346</v>
      </c>
      <c r="H198" s="882">
        <f>H$197</f>
        <v>3.99</v>
      </c>
      <c r="I198" s="894"/>
      <c r="J198" s="25">
        <f>J$197</f>
        <v>2.48</v>
      </c>
      <c r="K198" s="895">
        <f>K$197</f>
        <v>0</v>
      </c>
      <c r="L198" s="894"/>
      <c r="M198" s="968">
        <f t="shared" si="22"/>
        <v>0</v>
      </c>
    </row>
    <row r="199" spans="1:13" s="824" customFormat="1" ht="22.15" hidden="1" customHeight="1" x14ac:dyDescent="0.25">
      <c r="A199" s="875">
        <v>25</v>
      </c>
      <c r="B199" s="876" t="s">
        <v>97</v>
      </c>
      <c r="C199" s="962"/>
      <c r="D199" s="878" t="s">
        <v>95</v>
      </c>
      <c r="E199" s="879" t="s">
        <v>326</v>
      </c>
      <c r="F199" s="880" t="s">
        <v>600</v>
      </c>
      <c r="G199" s="881" t="s">
        <v>346</v>
      </c>
      <c r="H199" s="882">
        <f t="shared" ref="H199:K207" si="29">H$197</f>
        <v>3.99</v>
      </c>
      <c r="I199" s="894"/>
      <c r="J199" s="25">
        <f t="shared" si="29"/>
        <v>2.48</v>
      </c>
      <c r="K199" s="895">
        <f t="shared" si="29"/>
        <v>0</v>
      </c>
      <c r="L199" s="894"/>
      <c r="M199" s="968">
        <f t="shared" si="22"/>
        <v>0</v>
      </c>
    </row>
    <row r="200" spans="1:13" s="824" customFormat="1" ht="22.15" hidden="1" customHeight="1" x14ac:dyDescent="0.25">
      <c r="A200" s="875">
        <v>25</v>
      </c>
      <c r="B200" s="876" t="s">
        <v>97</v>
      </c>
      <c r="C200" s="962"/>
      <c r="D200" s="878" t="s">
        <v>95</v>
      </c>
      <c r="E200" s="879" t="s">
        <v>328</v>
      </c>
      <c r="F200" s="880" t="s">
        <v>601</v>
      </c>
      <c r="G200" s="881" t="s">
        <v>346</v>
      </c>
      <c r="H200" s="882">
        <f t="shared" si="29"/>
        <v>3.99</v>
      </c>
      <c r="I200" s="894"/>
      <c r="J200" s="25">
        <f t="shared" si="29"/>
        <v>2.48</v>
      </c>
      <c r="K200" s="895">
        <f t="shared" si="29"/>
        <v>0</v>
      </c>
      <c r="L200" s="894"/>
      <c r="M200" s="968">
        <f t="shared" si="22"/>
        <v>0</v>
      </c>
    </row>
    <row r="201" spans="1:13" s="824" customFormat="1" ht="22.15" hidden="1" customHeight="1" x14ac:dyDescent="0.25">
      <c r="A201" s="875">
        <v>25</v>
      </c>
      <c r="B201" s="876" t="s">
        <v>97</v>
      </c>
      <c r="C201" s="962"/>
      <c r="D201" s="878" t="s">
        <v>95</v>
      </c>
      <c r="E201" s="879" t="s">
        <v>330</v>
      </c>
      <c r="F201" s="880" t="s">
        <v>602</v>
      </c>
      <c r="G201" s="881" t="s">
        <v>346</v>
      </c>
      <c r="H201" s="882">
        <f t="shared" si="29"/>
        <v>3.99</v>
      </c>
      <c r="I201" s="894"/>
      <c r="J201" s="25">
        <f t="shared" si="29"/>
        <v>2.48</v>
      </c>
      <c r="K201" s="895">
        <f t="shared" si="29"/>
        <v>0</v>
      </c>
      <c r="L201" s="894"/>
      <c r="M201" s="968">
        <f t="shared" si="22"/>
        <v>0</v>
      </c>
    </row>
    <row r="202" spans="1:13" s="824" customFormat="1" ht="22.15" hidden="1" customHeight="1" x14ac:dyDescent="0.25">
      <c r="A202" s="875">
        <v>25</v>
      </c>
      <c r="B202" s="876" t="s">
        <v>97</v>
      </c>
      <c r="C202" s="962"/>
      <c r="D202" s="878" t="s">
        <v>95</v>
      </c>
      <c r="E202" s="879" t="s">
        <v>332</v>
      </c>
      <c r="F202" s="880" t="s">
        <v>603</v>
      </c>
      <c r="G202" s="881" t="s">
        <v>346</v>
      </c>
      <c r="H202" s="882">
        <f t="shared" si="29"/>
        <v>3.99</v>
      </c>
      <c r="I202" s="894"/>
      <c r="J202" s="25">
        <f t="shared" si="29"/>
        <v>2.48</v>
      </c>
      <c r="K202" s="895">
        <f t="shared" si="29"/>
        <v>0</v>
      </c>
      <c r="L202" s="894"/>
      <c r="M202" s="968">
        <f t="shared" si="22"/>
        <v>0</v>
      </c>
    </row>
    <row r="203" spans="1:13" s="824" customFormat="1" ht="22.15" hidden="1" customHeight="1" x14ac:dyDescent="0.25">
      <c r="A203" s="875">
        <v>25</v>
      </c>
      <c r="B203" s="876" t="s">
        <v>97</v>
      </c>
      <c r="C203" s="962"/>
      <c r="D203" s="878" t="s">
        <v>95</v>
      </c>
      <c r="E203" s="879" t="s">
        <v>95</v>
      </c>
      <c r="F203" s="880" t="s">
        <v>604</v>
      </c>
      <c r="G203" s="881" t="s">
        <v>346</v>
      </c>
      <c r="H203" s="882">
        <f t="shared" si="29"/>
        <v>3.99</v>
      </c>
      <c r="I203" s="894"/>
      <c r="J203" s="25">
        <f t="shared" si="29"/>
        <v>2.48</v>
      </c>
      <c r="K203" s="895">
        <f t="shared" si="29"/>
        <v>0</v>
      </c>
      <c r="L203" s="894"/>
      <c r="M203" s="968">
        <f t="shared" si="22"/>
        <v>0</v>
      </c>
    </row>
    <row r="204" spans="1:13" s="824" customFormat="1" ht="22.15" hidden="1" customHeight="1" x14ac:dyDescent="0.25">
      <c r="A204" s="875">
        <v>25</v>
      </c>
      <c r="B204" s="876" t="s">
        <v>97</v>
      </c>
      <c r="C204" s="962"/>
      <c r="D204" s="878" t="s">
        <v>95</v>
      </c>
      <c r="E204" s="879" t="s">
        <v>335</v>
      </c>
      <c r="F204" s="880" t="s">
        <v>605</v>
      </c>
      <c r="G204" s="881" t="s">
        <v>346</v>
      </c>
      <c r="H204" s="882">
        <f t="shared" si="29"/>
        <v>3.99</v>
      </c>
      <c r="I204" s="894"/>
      <c r="J204" s="25">
        <f t="shared" si="29"/>
        <v>2.48</v>
      </c>
      <c r="K204" s="895">
        <f t="shared" si="29"/>
        <v>0</v>
      </c>
      <c r="L204" s="894"/>
      <c r="M204" s="968">
        <f t="shared" si="22"/>
        <v>0</v>
      </c>
    </row>
    <row r="205" spans="1:13" s="824" customFormat="1" ht="22.15" hidden="1" customHeight="1" x14ac:dyDescent="0.25">
      <c r="A205" s="875">
        <v>25</v>
      </c>
      <c r="B205" s="876" t="s">
        <v>97</v>
      </c>
      <c r="C205" s="962"/>
      <c r="D205" s="878" t="s">
        <v>95</v>
      </c>
      <c r="E205" s="879" t="s">
        <v>337</v>
      </c>
      <c r="F205" s="880" t="s">
        <v>606</v>
      </c>
      <c r="G205" s="881" t="s">
        <v>346</v>
      </c>
      <c r="H205" s="882">
        <f t="shared" si="29"/>
        <v>3.99</v>
      </c>
      <c r="I205" s="894"/>
      <c r="J205" s="25">
        <f t="shared" si="29"/>
        <v>2.48</v>
      </c>
      <c r="K205" s="895">
        <f t="shared" si="29"/>
        <v>0</v>
      </c>
      <c r="L205" s="894"/>
      <c r="M205" s="968">
        <f t="shared" si="22"/>
        <v>0</v>
      </c>
    </row>
    <row r="206" spans="1:13" s="824" customFormat="1" ht="22.15" hidden="1" customHeight="1" x14ac:dyDescent="0.25">
      <c r="A206" s="875">
        <v>25</v>
      </c>
      <c r="B206" s="876" t="s">
        <v>97</v>
      </c>
      <c r="C206" s="962"/>
      <c r="D206" s="878" t="s">
        <v>95</v>
      </c>
      <c r="E206" s="879" t="s">
        <v>339</v>
      </c>
      <c r="F206" s="880" t="s">
        <v>607</v>
      </c>
      <c r="G206" s="881" t="s">
        <v>346</v>
      </c>
      <c r="H206" s="882">
        <f t="shared" si="29"/>
        <v>3.99</v>
      </c>
      <c r="I206" s="894"/>
      <c r="J206" s="25">
        <f t="shared" si="29"/>
        <v>2.48</v>
      </c>
      <c r="K206" s="895">
        <f t="shared" si="29"/>
        <v>0</v>
      </c>
      <c r="L206" s="894"/>
      <c r="M206" s="968">
        <f t="shared" si="22"/>
        <v>0</v>
      </c>
    </row>
    <row r="207" spans="1:13" s="824" customFormat="1" ht="22.15" hidden="1" customHeight="1" x14ac:dyDescent="0.25">
      <c r="A207" s="875">
        <v>25</v>
      </c>
      <c r="B207" s="876" t="s">
        <v>97</v>
      </c>
      <c r="C207" s="962"/>
      <c r="D207" s="878" t="s">
        <v>95</v>
      </c>
      <c r="E207" s="879" t="s">
        <v>48</v>
      </c>
      <c r="F207" s="880" t="s">
        <v>608</v>
      </c>
      <c r="G207" s="881" t="s">
        <v>346</v>
      </c>
      <c r="H207" s="882">
        <f t="shared" si="29"/>
        <v>3.99</v>
      </c>
      <c r="I207" s="894"/>
      <c r="J207" s="25">
        <f t="shared" si="29"/>
        <v>2.48</v>
      </c>
      <c r="K207" s="895">
        <f t="shared" si="29"/>
        <v>0</v>
      </c>
      <c r="L207" s="894"/>
      <c r="M207" s="968">
        <f t="shared" ref="M207:M270" si="30">IF(K207&gt;0,K207,L207)</f>
        <v>0</v>
      </c>
    </row>
    <row r="208" spans="1:13" s="824" customFormat="1" ht="22.15" customHeight="1" x14ac:dyDescent="0.25">
      <c r="A208" s="864">
        <v>26</v>
      </c>
      <c r="B208" s="865" t="s">
        <v>97</v>
      </c>
      <c r="C208" s="897"/>
      <c r="D208" s="867" t="s">
        <v>95</v>
      </c>
      <c r="E208" s="868" t="s">
        <v>609</v>
      </c>
      <c r="F208" s="869"/>
      <c r="G208" s="870"/>
      <c r="H208" s="871">
        <v>3.99</v>
      </c>
      <c r="I208" s="892"/>
      <c r="J208" s="33">
        <f>Schedule_A!H44</f>
        <v>2.48</v>
      </c>
      <c r="K208" s="33">
        <f>Schedule_A!I44</f>
        <v>0</v>
      </c>
      <c r="L208" s="892"/>
      <c r="M208" s="893">
        <f t="shared" si="30"/>
        <v>0</v>
      </c>
    </row>
    <row r="209" spans="1:13" s="824" customFormat="1" ht="22.15" hidden="1" customHeight="1" x14ac:dyDescent="0.25">
      <c r="A209" s="875">
        <v>26</v>
      </c>
      <c r="B209" s="876" t="s">
        <v>97</v>
      </c>
      <c r="C209" s="962"/>
      <c r="D209" s="878" t="s">
        <v>95</v>
      </c>
      <c r="E209" s="879" t="s">
        <v>366</v>
      </c>
      <c r="F209" s="880" t="s">
        <v>610</v>
      </c>
      <c r="G209" s="881" t="s">
        <v>346</v>
      </c>
      <c r="H209" s="882">
        <f>H$208</f>
        <v>3.99</v>
      </c>
      <c r="I209" s="894"/>
      <c r="J209" s="25">
        <f>J$208</f>
        <v>2.48</v>
      </c>
      <c r="K209" s="895">
        <f>K$208</f>
        <v>0</v>
      </c>
      <c r="L209" s="894"/>
      <c r="M209" s="896">
        <f t="shared" si="30"/>
        <v>0</v>
      </c>
    </row>
    <row r="210" spans="1:13" s="824" customFormat="1" ht="22.15" hidden="1" customHeight="1" x14ac:dyDescent="0.25">
      <c r="A210" s="875">
        <v>26</v>
      </c>
      <c r="B210" s="876" t="s">
        <v>97</v>
      </c>
      <c r="C210" s="962"/>
      <c r="D210" s="878" t="s">
        <v>95</v>
      </c>
      <c r="E210" s="879" t="s">
        <v>369</v>
      </c>
      <c r="F210" s="880" t="s">
        <v>611</v>
      </c>
      <c r="G210" s="881" t="s">
        <v>346</v>
      </c>
      <c r="H210" s="882">
        <f t="shared" ref="H210:K238" si="31">H$208</f>
        <v>3.99</v>
      </c>
      <c r="I210" s="894"/>
      <c r="J210" s="25">
        <f t="shared" si="31"/>
        <v>2.48</v>
      </c>
      <c r="K210" s="895">
        <f t="shared" si="31"/>
        <v>0</v>
      </c>
      <c r="L210" s="894"/>
      <c r="M210" s="896">
        <f t="shared" si="30"/>
        <v>0</v>
      </c>
    </row>
    <row r="211" spans="1:13" s="824" customFormat="1" ht="22.15" hidden="1" customHeight="1" x14ac:dyDescent="0.25">
      <c r="A211" s="875">
        <v>26</v>
      </c>
      <c r="B211" s="876" t="s">
        <v>97</v>
      </c>
      <c r="C211" s="962"/>
      <c r="D211" s="878" t="s">
        <v>95</v>
      </c>
      <c r="E211" s="879" t="s">
        <v>371</v>
      </c>
      <c r="F211" s="880" t="s">
        <v>612</v>
      </c>
      <c r="G211" s="881" t="s">
        <v>346</v>
      </c>
      <c r="H211" s="882">
        <f t="shared" si="31"/>
        <v>3.99</v>
      </c>
      <c r="I211" s="894"/>
      <c r="J211" s="25">
        <f t="shared" si="31"/>
        <v>2.48</v>
      </c>
      <c r="K211" s="895">
        <f t="shared" si="31"/>
        <v>0</v>
      </c>
      <c r="L211" s="894"/>
      <c r="M211" s="896">
        <f t="shared" si="30"/>
        <v>0</v>
      </c>
    </row>
    <row r="212" spans="1:13" s="824" customFormat="1" ht="22.15" hidden="1" customHeight="1" x14ac:dyDescent="0.25">
      <c r="A212" s="875">
        <v>26</v>
      </c>
      <c r="B212" s="876" t="s">
        <v>97</v>
      </c>
      <c r="C212" s="962"/>
      <c r="D212" s="878" t="s">
        <v>95</v>
      </c>
      <c r="E212" s="879" t="s">
        <v>373</v>
      </c>
      <c r="F212" s="880" t="s">
        <v>613</v>
      </c>
      <c r="G212" s="881" t="s">
        <v>346</v>
      </c>
      <c r="H212" s="882">
        <f t="shared" si="31"/>
        <v>3.99</v>
      </c>
      <c r="I212" s="894"/>
      <c r="J212" s="25">
        <f t="shared" si="31"/>
        <v>2.48</v>
      </c>
      <c r="K212" s="895">
        <f t="shared" si="31"/>
        <v>0</v>
      </c>
      <c r="L212" s="894"/>
      <c r="M212" s="896">
        <f t="shared" si="30"/>
        <v>0</v>
      </c>
    </row>
    <row r="213" spans="1:13" s="824" customFormat="1" ht="22.15" hidden="1" customHeight="1" x14ac:dyDescent="0.25">
      <c r="A213" s="875">
        <v>26</v>
      </c>
      <c r="B213" s="876" t="s">
        <v>97</v>
      </c>
      <c r="C213" s="962"/>
      <c r="D213" s="878" t="s">
        <v>95</v>
      </c>
      <c r="E213" s="879" t="s">
        <v>375</v>
      </c>
      <c r="F213" s="880" t="s">
        <v>614</v>
      </c>
      <c r="G213" s="881" t="s">
        <v>346</v>
      </c>
      <c r="H213" s="882">
        <f t="shared" si="31"/>
        <v>3.99</v>
      </c>
      <c r="I213" s="894"/>
      <c r="J213" s="25">
        <f t="shared" si="31"/>
        <v>2.48</v>
      </c>
      <c r="K213" s="895">
        <f t="shared" si="31"/>
        <v>0</v>
      </c>
      <c r="L213" s="894"/>
      <c r="M213" s="896">
        <f t="shared" si="30"/>
        <v>0</v>
      </c>
    </row>
    <row r="214" spans="1:13" s="824" customFormat="1" ht="22.15" hidden="1" customHeight="1" x14ac:dyDescent="0.25">
      <c r="A214" s="875">
        <v>26</v>
      </c>
      <c r="B214" s="876" t="s">
        <v>97</v>
      </c>
      <c r="C214" s="962"/>
      <c r="D214" s="878" t="s">
        <v>95</v>
      </c>
      <c r="E214" s="879" t="s">
        <v>54</v>
      </c>
      <c r="F214" s="880" t="s">
        <v>615</v>
      </c>
      <c r="G214" s="881" t="s">
        <v>346</v>
      </c>
      <c r="H214" s="882">
        <f t="shared" si="31"/>
        <v>3.99</v>
      </c>
      <c r="I214" s="894"/>
      <c r="J214" s="25">
        <f t="shared" si="31"/>
        <v>2.48</v>
      </c>
      <c r="K214" s="895">
        <f t="shared" si="31"/>
        <v>0</v>
      </c>
      <c r="L214" s="894"/>
      <c r="M214" s="896">
        <f t="shared" si="30"/>
        <v>0</v>
      </c>
    </row>
    <row r="215" spans="1:13" s="824" customFormat="1" ht="22.15" hidden="1" customHeight="1" x14ac:dyDescent="0.25">
      <c r="A215" s="875">
        <v>26</v>
      </c>
      <c r="B215" s="876" t="s">
        <v>97</v>
      </c>
      <c r="C215" s="962"/>
      <c r="D215" s="878" t="s">
        <v>95</v>
      </c>
      <c r="E215" s="879" t="s">
        <v>379</v>
      </c>
      <c r="F215" s="880" t="s">
        <v>616</v>
      </c>
      <c r="G215" s="881" t="s">
        <v>346</v>
      </c>
      <c r="H215" s="882">
        <f t="shared" si="31"/>
        <v>3.99</v>
      </c>
      <c r="I215" s="894"/>
      <c r="J215" s="25">
        <f t="shared" si="31"/>
        <v>2.48</v>
      </c>
      <c r="K215" s="895">
        <f t="shared" si="31"/>
        <v>0</v>
      </c>
      <c r="L215" s="894"/>
      <c r="M215" s="896">
        <f t="shared" si="30"/>
        <v>0</v>
      </c>
    </row>
    <row r="216" spans="1:13" s="824" customFormat="1" ht="22.15" hidden="1" customHeight="1" x14ac:dyDescent="0.25">
      <c r="A216" s="875">
        <v>26</v>
      </c>
      <c r="B216" s="876" t="s">
        <v>97</v>
      </c>
      <c r="C216" s="962"/>
      <c r="D216" s="878" t="s">
        <v>95</v>
      </c>
      <c r="E216" s="879" t="s">
        <v>381</v>
      </c>
      <c r="F216" s="880" t="s">
        <v>617</v>
      </c>
      <c r="G216" s="881" t="s">
        <v>346</v>
      </c>
      <c r="H216" s="882">
        <f t="shared" si="31"/>
        <v>3.99</v>
      </c>
      <c r="I216" s="894"/>
      <c r="J216" s="25">
        <f t="shared" si="31"/>
        <v>2.48</v>
      </c>
      <c r="K216" s="895">
        <f t="shared" si="31"/>
        <v>0</v>
      </c>
      <c r="L216" s="894"/>
      <c r="M216" s="896">
        <f t="shared" si="30"/>
        <v>0</v>
      </c>
    </row>
    <row r="217" spans="1:13" s="824" customFormat="1" ht="22.15" hidden="1" customHeight="1" x14ac:dyDescent="0.25">
      <c r="A217" s="875">
        <v>26</v>
      </c>
      <c r="B217" s="876" t="s">
        <v>97</v>
      </c>
      <c r="C217" s="962"/>
      <c r="D217" s="878" t="s">
        <v>95</v>
      </c>
      <c r="E217" s="879" t="s">
        <v>383</v>
      </c>
      <c r="F217" s="880" t="s">
        <v>618</v>
      </c>
      <c r="G217" s="881" t="s">
        <v>346</v>
      </c>
      <c r="H217" s="882">
        <f t="shared" si="31"/>
        <v>3.99</v>
      </c>
      <c r="I217" s="894"/>
      <c r="J217" s="25">
        <f t="shared" si="31"/>
        <v>2.48</v>
      </c>
      <c r="K217" s="895">
        <f t="shared" si="31"/>
        <v>0</v>
      </c>
      <c r="L217" s="894"/>
      <c r="M217" s="896">
        <f t="shared" si="30"/>
        <v>0</v>
      </c>
    </row>
    <row r="218" spans="1:13" s="824" customFormat="1" ht="22.15" hidden="1" customHeight="1" x14ac:dyDescent="0.25">
      <c r="A218" s="875">
        <v>26</v>
      </c>
      <c r="B218" s="876" t="s">
        <v>97</v>
      </c>
      <c r="C218" s="962"/>
      <c r="D218" s="878" t="s">
        <v>95</v>
      </c>
      <c r="E218" s="879" t="s">
        <v>385</v>
      </c>
      <c r="F218" s="880" t="s">
        <v>619</v>
      </c>
      <c r="G218" s="881" t="s">
        <v>346</v>
      </c>
      <c r="H218" s="882">
        <f t="shared" si="31"/>
        <v>3.99</v>
      </c>
      <c r="I218" s="894"/>
      <c r="J218" s="25">
        <f t="shared" si="31"/>
        <v>2.48</v>
      </c>
      <c r="K218" s="895">
        <f t="shared" si="31"/>
        <v>0</v>
      </c>
      <c r="L218" s="894"/>
      <c r="M218" s="896">
        <f t="shared" si="30"/>
        <v>0</v>
      </c>
    </row>
    <row r="219" spans="1:13" s="824" customFormat="1" ht="22.15" hidden="1" customHeight="1" x14ac:dyDescent="0.25">
      <c r="A219" s="875">
        <v>26</v>
      </c>
      <c r="B219" s="876" t="s">
        <v>97</v>
      </c>
      <c r="C219" s="962"/>
      <c r="D219" s="878" t="s">
        <v>95</v>
      </c>
      <c r="E219" s="879" t="s">
        <v>388</v>
      </c>
      <c r="F219" s="880" t="s">
        <v>620</v>
      </c>
      <c r="G219" s="881" t="s">
        <v>346</v>
      </c>
      <c r="H219" s="882">
        <f t="shared" si="31"/>
        <v>3.99</v>
      </c>
      <c r="I219" s="894"/>
      <c r="J219" s="25">
        <f t="shared" si="31"/>
        <v>2.48</v>
      </c>
      <c r="K219" s="895">
        <f t="shared" si="31"/>
        <v>0</v>
      </c>
      <c r="L219" s="894"/>
      <c r="M219" s="896">
        <f t="shared" si="30"/>
        <v>0</v>
      </c>
    </row>
    <row r="220" spans="1:13" s="824" customFormat="1" ht="22.15" hidden="1" customHeight="1" x14ac:dyDescent="0.25">
      <c r="A220" s="875">
        <v>26</v>
      </c>
      <c r="B220" s="876" t="s">
        <v>97</v>
      </c>
      <c r="C220" s="962"/>
      <c r="D220" s="878" t="s">
        <v>95</v>
      </c>
      <c r="E220" s="879" t="s">
        <v>390</v>
      </c>
      <c r="F220" s="880" t="s">
        <v>621</v>
      </c>
      <c r="G220" s="881" t="s">
        <v>346</v>
      </c>
      <c r="H220" s="882">
        <f t="shared" si="31"/>
        <v>3.99</v>
      </c>
      <c r="I220" s="894"/>
      <c r="J220" s="25">
        <f t="shared" si="31"/>
        <v>2.48</v>
      </c>
      <c r="K220" s="895">
        <f t="shared" si="31"/>
        <v>0</v>
      </c>
      <c r="L220" s="894"/>
      <c r="M220" s="896">
        <f t="shared" si="30"/>
        <v>0</v>
      </c>
    </row>
    <row r="221" spans="1:13" s="824" customFormat="1" ht="22.15" hidden="1" customHeight="1" x14ac:dyDescent="0.25">
      <c r="A221" s="875">
        <v>26</v>
      </c>
      <c r="B221" s="876" t="s">
        <v>97</v>
      </c>
      <c r="C221" s="962"/>
      <c r="D221" s="878" t="s">
        <v>95</v>
      </c>
      <c r="E221" s="879" t="s">
        <v>392</v>
      </c>
      <c r="F221" s="880" t="s">
        <v>622</v>
      </c>
      <c r="G221" s="881" t="s">
        <v>346</v>
      </c>
      <c r="H221" s="882">
        <f t="shared" si="31"/>
        <v>3.99</v>
      </c>
      <c r="I221" s="894"/>
      <c r="J221" s="25">
        <f t="shared" si="31"/>
        <v>2.48</v>
      </c>
      <c r="K221" s="895">
        <f t="shared" si="31"/>
        <v>0</v>
      </c>
      <c r="L221" s="894"/>
      <c r="M221" s="896">
        <f t="shared" si="30"/>
        <v>0</v>
      </c>
    </row>
    <row r="222" spans="1:13" s="824" customFormat="1" ht="22.15" hidden="1" customHeight="1" x14ac:dyDescent="0.25">
      <c r="A222" s="875">
        <v>26</v>
      </c>
      <c r="B222" s="876" t="s">
        <v>97</v>
      </c>
      <c r="C222" s="962"/>
      <c r="D222" s="878" t="s">
        <v>95</v>
      </c>
      <c r="E222" s="879" t="s">
        <v>394</v>
      </c>
      <c r="F222" s="880" t="s">
        <v>623</v>
      </c>
      <c r="G222" s="881" t="s">
        <v>346</v>
      </c>
      <c r="H222" s="882">
        <f t="shared" si="31"/>
        <v>3.99</v>
      </c>
      <c r="I222" s="894"/>
      <c r="J222" s="25">
        <f t="shared" si="31"/>
        <v>2.48</v>
      </c>
      <c r="K222" s="895">
        <f t="shared" si="31"/>
        <v>0</v>
      </c>
      <c r="L222" s="894"/>
      <c r="M222" s="896">
        <f t="shared" si="30"/>
        <v>0</v>
      </c>
    </row>
    <row r="223" spans="1:13" s="824" customFormat="1" ht="22.15" hidden="1" customHeight="1" x14ac:dyDescent="0.25">
      <c r="A223" s="875">
        <v>26</v>
      </c>
      <c r="B223" s="876" t="s">
        <v>97</v>
      </c>
      <c r="C223" s="962"/>
      <c r="D223" s="878" t="s">
        <v>95</v>
      </c>
      <c r="E223" s="879" t="s">
        <v>396</v>
      </c>
      <c r="F223" s="880" t="s">
        <v>624</v>
      </c>
      <c r="G223" s="881" t="s">
        <v>346</v>
      </c>
      <c r="H223" s="882">
        <f t="shared" si="31"/>
        <v>3.99</v>
      </c>
      <c r="I223" s="894"/>
      <c r="J223" s="25">
        <f t="shared" si="31"/>
        <v>2.48</v>
      </c>
      <c r="K223" s="895">
        <f t="shared" si="31"/>
        <v>0</v>
      </c>
      <c r="L223" s="894"/>
      <c r="M223" s="896">
        <f t="shared" si="30"/>
        <v>0</v>
      </c>
    </row>
    <row r="224" spans="1:13" s="824" customFormat="1" ht="22.15" hidden="1" customHeight="1" x14ac:dyDescent="0.25">
      <c r="A224" s="875">
        <v>26</v>
      </c>
      <c r="B224" s="876" t="s">
        <v>97</v>
      </c>
      <c r="C224" s="962"/>
      <c r="D224" s="878" t="s">
        <v>95</v>
      </c>
      <c r="E224" s="879" t="s">
        <v>104</v>
      </c>
      <c r="F224" s="880" t="s">
        <v>625</v>
      </c>
      <c r="G224" s="881" t="s">
        <v>346</v>
      </c>
      <c r="H224" s="882">
        <f t="shared" si="31"/>
        <v>3.99</v>
      </c>
      <c r="I224" s="894"/>
      <c r="J224" s="25">
        <f t="shared" si="31"/>
        <v>2.48</v>
      </c>
      <c r="K224" s="895">
        <f t="shared" si="31"/>
        <v>0</v>
      </c>
      <c r="L224" s="894"/>
      <c r="M224" s="896">
        <f t="shared" si="30"/>
        <v>0</v>
      </c>
    </row>
    <row r="225" spans="1:13" s="824" customFormat="1" ht="22.15" hidden="1" customHeight="1" x14ac:dyDescent="0.25">
      <c r="A225" s="875">
        <v>26</v>
      </c>
      <c r="B225" s="876" t="s">
        <v>97</v>
      </c>
      <c r="C225" s="962"/>
      <c r="D225" s="878" t="s">
        <v>95</v>
      </c>
      <c r="E225" s="879" t="s">
        <v>399</v>
      </c>
      <c r="F225" s="880" t="s">
        <v>626</v>
      </c>
      <c r="G225" s="881" t="s">
        <v>346</v>
      </c>
      <c r="H225" s="882">
        <f t="shared" si="31"/>
        <v>3.99</v>
      </c>
      <c r="I225" s="894"/>
      <c r="J225" s="25">
        <f t="shared" si="31"/>
        <v>2.48</v>
      </c>
      <c r="K225" s="895">
        <f t="shared" si="31"/>
        <v>0</v>
      </c>
      <c r="L225" s="894"/>
      <c r="M225" s="896">
        <f t="shared" si="30"/>
        <v>0</v>
      </c>
    </row>
    <row r="226" spans="1:13" s="824" customFormat="1" ht="22.15" hidden="1" customHeight="1" x14ac:dyDescent="0.25">
      <c r="A226" s="875">
        <v>26</v>
      </c>
      <c r="B226" s="876" t="s">
        <v>97</v>
      </c>
      <c r="C226" s="962"/>
      <c r="D226" s="878" t="s">
        <v>95</v>
      </c>
      <c r="E226" s="879" t="s">
        <v>401</v>
      </c>
      <c r="F226" s="880" t="s">
        <v>627</v>
      </c>
      <c r="G226" s="881" t="s">
        <v>346</v>
      </c>
      <c r="H226" s="882">
        <f t="shared" si="31"/>
        <v>3.99</v>
      </c>
      <c r="I226" s="894"/>
      <c r="J226" s="25">
        <f t="shared" si="31"/>
        <v>2.48</v>
      </c>
      <c r="K226" s="895">
        <f t="shared" si="31"/>
        <v>0</v>
      </c>
      <c r="L226" s="894"/>
      <c r="M226" s="896">
        <f t="shared" si="30"/>
        <v>0</v>
      </c>
    </row>
    <row r="227" spans="1:13" s="824" customFormat="1" ht="22.15" hidden="1" customHeight="1" x14ac:dyDescent="0.25">
      <c r="A227" s="875">
        <v>26</v>
      </c>
      <c r="B227" s="876" t="s">
        <v>97</v>
      </c>
      <c r="C227" s="962"/>
      <c r="D227" s="878" t="s">
        <v>95</v>
      </c>
      <c r="E227" s="879" t="s">
        <v>403</v>
      </c>
      <c r="F227" s="880" t="s">
        <v>628</v>
      </c>
      <c r="G227" s="881" t="s">
        <v>346</v>
      </c>
      <c r="H227" s="882">
        <f t="shared" si="31"/>
        <v>3.99</v>
      </c>
      <c r="I227" s="894"/>
      <c r="J227" s="25">
        <f t="shared" si="31"/>
        <v>2.48</v>
      </c>
      <c r="K227" s="895">
        <f t="shared" si="31"/>
        <v>0</v>
      </c>
      <c r="L227" s="894"/>
      <c r="M227" s="896">
        <f t="shared" si="30"/>
        <v>0</v>
      </c>
    </row>
    <row r="228" spans="1:13" s="824" customFormat="1" ht="22.15" hidden="1" customHeight="1" x14ac:dyDescent="0.25">
      <c r="A228" s="875">
        <v>26</v>
      </c>
      <c r="B228" s="876" t="s">
        <v>97</v>
      </c>
      <c r="C228" s="962"/>
      <c r="D228" s="878" t="s">
        <v>95</v>
      </c>
      <c r="E228" s="879" t="s">
        <v>405</v>
      </c>
      <c r="F228" s="880" t="s">
        <v>629</v>
      </c>
      <c r="G228" s="881" t="s">
        <v>346</v>
      </c>
      <c r="H228" s="882">
        <f t="shared" si="31"/>
        <v>3.99</v>
      </c>
      <c r="I228" s="894"/>
      <c r="J228" s="25">
        <f t="shared" si="31"/>
        <v>2.48</v>
      </c>
      <c r="K228" s="895">
        <f t="shared" si="31"/>
        <v>0</v>
      </c>
      <c r="L228" s="894"/>
      <c r="M228" s="896">
        <f t="shared" si="30"/>
        <v>0</v>
      </c>
    </row>
    <row r="229" spans="1:13" s="824" customFormat="1" ht="22.15" hidden="1" customHeight="1" x14ac:dyDescent="0.25">
      <c r="A229" s="875">
        <v>26</v>
      </c>
      <c r="B229" s="876" t="s">
        <v>97</v>
      </c>
      <c r="C229" s="962"/>
      <c r="D229" s="878" t="s">
        <v>95</v>
      </c>
      <c r="E229" s="879" t="s">
        <v>408</v>
      </c>
      <c r="F229" s="880" t="s">
        <v>630</v>
      </c>
      <c r="G229" s="881" t="s">
        <v>346</v>
      </c>
      <c r="H229" s="882">
        <f t="shared" si="31"/>
        <v>3.99</v>
      </c>
      <c r="I229" s="894"/>
      <c r="J229" s="25">
        <f t="shared" si="31"/>
        <v>2.48</v>
      </c>
      <c r="K229" s="895">
        <f t="shared" si="31"/>
        <v>0</v>
      </c>
      <c r="L229" s="894"/>
      <c r="M229" s="896">
        <f t="shared" si="30"/>
        <v>0</v>
      </c>
    </row>
    <row r="230" spans="1:13" s="824" customFormat="1" ht="22.15" hidden="1" customHeight="1" x14ac:dyDescent="0.25">
      <c r="A230" s="875">
        <v>26</v>
      </c>
      <c r="B230" s="876" t="s">
        <v>97</v>
      </c>
      <c r="C230" s="962"/>
      <c r="D230" s="878" t="s">
        <v>95</v>
      </c>
      <c r="E230" s="879" t="s">
        <v>410</v>
      </c>
      <c r="F230" s="880" t="s">
        <v>631</v>
      </c>
      <c r="G230" s="881" t="s">
        <v>346</v>
      </c>
      <c r="H230" s="882">
        <f t="shared" si="31"/>
        <v>3.99</v>
      </c>
      <c r="I230" s="894"/>
      <c r="J230" s="25">
        <f t="shared" si="31"/>
        <v>2.48</v>
      </c>
      <c r="K230" s="895">
        <f t="shared" si="31"/>
        <v>0</v>
      </c>
      <c r="L230" s="894"/>
      <c r="M230" s="896">
        <f t="shared" si="30"/>
        <v>0</v>
      </c>
    </row>
    <row r="231" spans="1:13" s="824" customFormat="1" ht="22.15" hidden="1" customHeight="1" x14ac:dyDescent="0.25">
      <c r="A231" s="875">
        <v>26</v>
      </c>
      <c r="B231" s="876" t="s">
        <v>97</v>
      </c>
      <c r="C231" s="962"/>
      <c r="D231" s="878" t="s">
        <v>95</v>
      </c>
      <c r="E231" s="879" t="s">
        <v>412</v>
      </c>
      <c r="F231" s="880" t="s">
        <v>632</v>
      </c>
      <c r="G231" s="881" t="s">
        <v>346</v>
      </c>
      <c r="H231" s="882">
        <f t="shared" si="31"/>
        <v>3.99</v>
      </c>
      <c r="I231" s="894"/>
      <c r="J231" s="25">
        <f t="shared" si="31"/>
        <v>2.48</v>
      </c>
      <c r="K231" s="895">
        <f t="shared" si="31"/>
        <v>0</v>
      </c>
      <c r="L231" s="894"/>
      <c r="M231" s="896">
        <f t="shared" si="30"/>
        <v>0</v>
      </c>
    </row>
    <row r="232" spans="1:13" s="824" customFormat="1" ht="22.15" hidden="1" customHeight="1" x14ac:dyDescent="0.25">
      <c r="A232" s="875">
        <v>26</v>
      </c>
      <c r="B232" s="876" t="s">
        <v>97</v>
      </c>
      <c r="C232" s="962"/>
      <c r="D232" s="878" t="s">
        <v>95</v>
      </c>
      <c r="E232" s="879" t="s">
        <v>414</v>
      </c>
      <c r="F232" s="880" t="s">
        <v>633</v>
      </c>
      <c r="G232" s="881" t="s">
        <v>346</v>
      </c>
      <c r="H232" s="882">
        <f t="shared" si="31"/>
        <v>3.99</v>
      </c>
      <c r="I232" s="894"/>
      <c r="J232" s="25">
        <f t="shared" si="31"/>
        <v>2.48</v>
      </c>
      <c r="K232" s="895">
        <f t="shared" si="31"/>
        <v>0</v>
      </c>
      <c r="L232" s="894"/>
      <c r="M232" s="896">
        <f t="shared" si="30"/>
        <v>0</v>
      </c>
    </row>
    <row r="233" spans="1:13" s="824" customFormat="1" ht="22.15" hidden="1" customHeight="1" x14ac:dyDescent="0.25">
      <c r="A233" s="875">
        <v>26</v>
      </c>
      <c r="B233" s="876" t="s">
        <v>97</v>
      </c>
      <c r="C233" s="962"/>
      <c r="D233" s="878" t="s">
        <v>95</v>
      </c>
      <c r="E233" s="879" t="s">
        <v>416</v>
      </c>
      <c r="F233" s="880" t="s">
        <v>634</v>
      </c>
      <c r="G233" s="881" t="s">
        <v>346</v>
      </c>
      <c r="H233" s="882">
        <f t="shared" si="31"/>
        <v>3.99</v>
      </c>
      <c r="I233" s="894"/>
      <c r="J233" s="25">
        <f t="shared" si="31"/>
        <v>2.48</v>
      </c>
      <c r="K233" s="895">
        <f t="shared" si="31"/>
        <v>0</v>
      </c>
      <c r="L233" s="894"/>
      <c r="M233" s="896">
        <f t="shared" si="30"/>
        <v>0</v>
      </c>
    </row>
    <row r="234" spans="1:13" s="824" customFormat="1" ht="22.15" hidden="1" customHeight="1" x14ac:dyDescent="0.25">
      <c r="A234" s="875">
        <v>26</v>
      </c>
      <c r="B234" s="876" t="s">
        <v>97</v>
      </c>
      <c r="C234" s="962"/>
      <c r="D234" s="878" t="s">
        <v>95</v>
      </c>
      <c r="E234" s="879" t="s">
        <v>418</v>
      </c>
      <c r="F234" s="880" t="s">
        <v>635</v>
      </c>
      <c r="G234" s="881" t="s">
        <v>346</v>
      </c>
      <c r="H234" s="882">
        <f t="shared" si="31"/>
        <v>3.99</v>
      </c>
      <c r="I234" s="894"/>
      <c r="J234" s="25">
        <f t="shared" si="31"/>
        <v>2.48</v>
      </c>
      <c r="K234" s="895">
        <f t="shared" si="31"/>
        <v>0</v>
      </c>
      <c r="L234" s="894"/>
      <c r="M234" s="896">
        <f t="shared" si="30"/>
        <v>0</v>
      </c>
    </row>
    <row r="235" spans="1:13" s="824" customFormat="1" ht="22.15" hidden="1" customHeight="1" x14ac:dyDescent="0.25">
      <c r="A235" s="875">
        <v>26</v>
      </c>
      <c r="B235" s="876" t="s">
        <v>97</v>
      </c>
      <c r="C235" s="962"/>
      <c r="D235" s="878" t="s">
        <v>95</v>
      </c>
      <c r="E235" s="879" t="s">
        <v>420</v>
      </c>
      <c r="F235" s="880" t="s">
        <v>636</v>
      </c>
      <c r="G235" s="881" t="s">
        <v>346</v>
      </c>
      <c r="H235" s="882">
        <f t="shared" si="31"/>
        <v>3.99</v>
      </c>
      <c r="I235" s="894"/>
      <c r="J235" s="25">
        <f t="shared" si="31"/>
        <v>2.48</v>
      </c>
      <c r="K235" s="895">
        <f t="shared" si="31"/>
        <v>0</v>
      </c>
      <c r="L235" s="894"/>
      <c r="M235" s="896">
        <f t="shared" si="30"/>
        <v>0</v>
      </c>
    </row>
    <row r="236" spans="1:13" s="824" customFormat="1" ht="22.15" hidden="1" customHeight="1" x14ac:dyDescent="0.25">
      <c r="A236" s="875">
        <v>26</v>
      </c>
      <c r="B236" s="876" t="s">
        <v>97</v>
      </c>
      <c r="C236" s="962"/>
      <c r="D236" s="878" t="s">
        <v>95</v>
      </c>
      <c r="E236" s="879" t="s">
        <v>422</v>
      </c>
      <c r="F236" s="880" t="s">
        <v>637</v>
      </c>
      <c r="G236" s="881" t="s">
        <v>346</v>
      </c>
      <c r="H236" s="882">
        <f t="shared" si="31"/>
        <v>3.99</v>
      </c>
      <c r="I236" s="894"/>
      <c r="J236" s="25">
        <f t="shared" si="31"/>
        <v>2.48</v>
      </c>
      <c r="K236" s="895">
        <f t="shared" si="31"/>
        <v>0</v>
      </c>
      <c r="L236" s="894"/>
      <c r="M236" s="896">
        <f t="shared" si="30"/>
        <v>0</v>
      </c>
    </row>
    <row r="237" spans="1:13" s="824" customFormat="1" ht="22.15" hidden="1" customHeight="1" x14ac:dyDescent="0.25">
      <c r="A237" s="875">
        <v>26</v>
      </c>
      <c r="B237" s="876" t="s">
        <v>97</v>
      </c>
      <c r="C237" s="962"/>
      <c r="D237" s="878" t="s">
        <v>95</v>
      </c>
      <c r="E237" s="879" t="s">
        <v>424</v>
      </c>
      <c r="F237" s="880" t="s">
        <v>638</v>
      </c>
      <c r="G237" s="881" t="s">
        <v>346</v>
      </c>
      <c r="H237" s="882">
        <f t="shared" si="31"/>
        <v>3.99</v>
      </c>
      <c r="I237" s="894"/>
      <c r="J237" s="25">
        <f t="shared" si="31"/>
        <v>2.48</v>
      </c>
      <c r="K237" s="895">
        <f t="shared" si="31"/>
        <v>0</v>
      </c>
      <c r="L237" s="894"/>
      <c r="M237" s="896">
        <f t="shared" si="30"/>
        <v>0</v>
      </c>
    </row>
    <row r="238" spans="1:13" s="824" customFormat="1" ht="22.15" hidden="1" customHeight="1" x14ac:dyDescent="0.25">
      <c r="A238" s="875">
        <v>26</v>
      </c>
      <c r="B238" s="876" t="s">
        <v>97</v>
      </c>
      <c r="C238" s="962"/>
      <c r="D238" s="878" t="s">
        <v>95</v>
      </c>
      <c r="E238" s="879" t="s">
        <v>426</v>
      </c>
      <c r="F238" s="880" t="s">
        <v>639</v>
      </c>
      <c r="G238" s="881" t="s">
        <v>346</v>
      </c>
      <c r="H238" s="882">
        <f t="shared" si="31"/>
        <v>3.99</v>
      </c>
      <c r="I238" s="894"/>
      <c r="J238" s="25">
        <f t="shared" si="31"/>
        <v>2.48</v>
      </c>
      <c r="K238" s="895">
        <f t="shared" si="31"/>
        <v>0</v>
      </c>
      <c r="L238" s="894"/>
      <c r="M238" s="896">
        <f t="shared" si="30"/>
        <v>0</v>
      </c>
    </row>
    <row r="239" spans="1:13" s="824" customFormat="1" ht="22.15" customHeight="1" x14ac:dyDescent="0.25">
      <c r="A239" s="864">
        <v>27</v>
      </c>
      <c r="B239" s="865" t="s">
        <v>100</v>
      </c>
      <c r="C239" s="897"/>
      <c r="D239" s="867" t="s">
        <v>95</v>
      </c>
      <c r="E239" s="868" t="s">
        <v>544</v>
      </c>
      <c r="F239" s="869"/>
      <c r="G239" s="870"/>
      <c r="H239" s="871">
        <v>7.34</v>
      </c>
      <c r="I239" s="892"/>
      <c r="J239" s="33">
        <f>Schedule_A!H45</f>
        <v>4.59</v>
      </c>
      <c r="K239" s="33">
        <f>Schedule_A!I45</f>
        <v>0</v>
      </c>
      <c r="L239" s="892"/>
      <c r="M239" s="893">
        <f t="shared" si="30"/>
        <v>0</v>
      </c>
    </row>
    <row r="240" spans="1:13" s="824" customFormat="1" ht="22.15" hidden="1" customHeight="1" x14ac:dyDescent="0.25">
      <c r="A240" s="875">
        <v>27</v>
      </c>
      <c r="B240" s="876" t="s">
        <v>100</v>
      </c>
      <c r="C240" s="962"/>
      <c r="D240" s="878" t="s">
        <v>95</v>
      </c>
      <c r="E240" s="879" t="s">
        <v>136</v>
      </c>
      <c r="F240" s="880" t="s">
        <v>640</v>
      </c>
      <c r="G240" s="881" t="s">
        <v>346</v>
      </c>
      <c r="H240" s="882">
        <f>H$239</f>
        <v>7.34</v>
      </c>
      <c r="I240" s="894"/>
      <c r="J240" s="25">
        <f>J$239</f>
        <v>4.59</v>
      </c>
      <c r="K240" s="895">
        <f>K$239</f>
        <v>0</v>
      </c>
      <c r="L240" s="894"/>
      <c r="M240" s="896">
        <f t="shared" si="30"/>
        <v>0</v>
      </c>
    </row>
    <row r="241" spans="1:13" s="824" customFormat="1" ht="22.15" hidden="1" customHeight="1" x14ac:dyDescent="0.25">
      <c r="A241" s="875">
        <v>27</v>
      </c>
      <c r="B241" s="876" t="s">
        <v>100</v>
      </c>
      <c r="C241" s="962"/>
      <c r="D241" s="878" t="s">
        <v>95</v>
      </c>
      <c r="E241" s="879" t="s">
        <v>430</v>
      </c>
      <c r="F241" s="880" t="s">
        <v>641</v>
      </c>
      <c r="G241" s="881" t="s">
        <v>346</v>
      </c>
      <c r="H241" s="882">
        <f t="shared" ref="H241:K249" si="32">H$239</f>
        <v>7.34</v>
      </c>
      <c r="I241" s="894"/>
      <c r="J241" s="25">
        <f t="shared" si="32"/>
        <v>4.59</v>
      </c>
      <c r="K241" s="895">
        <f t="shared" si="32"/>
        <v>0</v>
      </c>
      <c r="L241" s="894"/>
      <c r="M241" s="896">
        <f t="shared" si="30"/>
        <v>0</v>
      </c>
    </row>
    <row r="242" spans="1:13" s="824" customFormat="1" ht="22.15" hidden="1" customHeight="1" x14ac:dyDescent="0.25">
      <c r="A242" s="875">
        <v>27</v>
      </c>
      <c r="B242" s="876" t="s">
        <v>100</v>
      </c>
      <c r="C242" s="962"/>
      <c r="D242" s="878" t="s">
        <v>95</v>
      </c>
      <c r="E242" s="879" t="s">
        <v>432</v>
      </c>
      <c r="F242" s="880" t="s">
        <v>642</v>
      </c>
      <c r="G242" s="881" t="s">
        <v>346</v>
      </c>
      <c r="H242" s="882">
        <f t="shared" si="32"/>
        <v>7.34</v>
      </c>
      <c r="I242" s="894"/>
      <c r="J242" s="25">
        <f t="shared" si="32"/>
        <v>4.59</v>
      </c>
      <c r="K242" s="895">
        <f t="shared" si="32"/>
        <v>0</v>
      </c>
      <c r="L242" s="894"/>
      <c r="M242" s="896">
        <f t="shared" si="30"/>
        <v>0</v>
      </c>
    </row>
    <row r="243" spans="1:13" s="824" customFormat="1" ht="22.15" hidden="1" customHeight="1" x14ac:dyDescent="0.25">
      <c r="A243" s="875">
        <v>27</v>
      </c>
      <c r="B243" s="876" t="s">
        <v>100</v>
      </c>
      <c r="C243" s="962"/>
      <c r="D243" s="878" t="s">
        <v>95</v>
      </c>
      <c r="E243" s="879" t="s">
        <v>434</v>
      </c>
      <c r="F243" s="880" t="s">
        <v>643</v>
      </c>
      <c r="G243" s="881" t="s">
        <v>346</v>
      </c>
      <c r="H243" s="882">
        <f t="shared" si="32"/>
        <v>7.34</v>
      </c>
      <c r="I243" s="894"/>
      <c r="J243" s="25">
        <f t="shared" si="32"/>
        <v>4.59</v>
      </c>
      <c r="K243" s="895">
        <f t="shared" si="32"/>
        <v>0</v>
      </c>
      <c r="L243" s="894"/>
      <c r="M243" s="896">
        <f t="shared" si="30"/>
        <v>0</v>
      </c>
    </row>
    <row r="244" spans="1:13" s="824" customFormat="1" ht="22.15" hidden="1" customHeight="1" x14ac:dyDescent="0.25">
      <c r="A244" s="875">
        <v>27</v>
      </c>
      <c r="B244" s="876" t="s">
        <v>100</v>
      </c>
      <c r="C244" s="962"/>
      <c r="D244" s="878" t="s">
        <v>95</v>
      </c>
      <c r="E244" s="879" t="s">
        <v>436</v>
      </c>
      <c r="F244" s="880" t="s">
        <v>644</v>
      </c>
      <c r="G244" s="881" t="s">
        <v>346</v>
      </c>
      <c r="H244" s="882">
        <f t="shared" si="32"/>
        <v>7.34</v>
      </c>
      <c r="I244" s="894"/>
      <c r="J244" s="25">
        <f t="shared" si="32"/>
        <v>4.59</v>
      </c>
      <c r="K244" s="895">
        <f t="shared" si="32"/>
        <v>0</v>
      </c>
      <c r="L244" s="894"/>
      <c r="M244" s="896">
        <f t="shared" si="30"/>
        <v>0</v>
      </c>
    </row>
    <row r="245" spans="1:13" s="824" customFormat="1" ht="22.15" hidden="1" customHeight="1" x14ac:dyDescent="0.25">
      <c r="A245" s="875">
        <v>27</v>
      </c>
      <c r="B245" s="876" t="s">
        <v>100</v>
      </c>
      <c r="C245" s="962"/>
      <c r="D245" s="878" t="s">
        <v>95</v>
      </c>
      <c r="E245" s="879" t="s">
        <v>439</v>
      </c>
      <c r="F245" s="880" t="s">
        <v>645</v>
      </c>
      <c r="G245" s="881" t="s">
        <v>346</v>
      </c>
      <c r="H245" s="882">
        <f t="shared" si="32"/>
        <v>7.34</v>
      </c>
      <c r="I245" s="894"/>
      <c r="J245" s="25">
        <f t="shared" si="32"/>
        <v>4.59</v>
      </c>
      <c r="K245" s="895">
        <f t="shared" si="32"/>
        <v>0</v>
      </c>
      <c r="L245" s="894"/>
      <c r="M245" s="896">
        <f t="shared" si="30"/>
        <v>0</v>
      </c>
    </row>
    <row r="246" spans="1:13" s="824" customFormat="1" ht="22.15" hidden="1" customHeight="1" x14ac:dyDescent="0.25">
      <c r="A246" s="875">
        <v>27</v>
      </c>
      <c r="B246" s="876" t="s">
        <v>100</v>
      </c>
      <c r="C246" s="962"/>
      <c r="D246" s="878" t="s">
        <v>95</v>
      </c>
      <c r="E246" s="879" t="s">
        <v>441</v>
      </c>
      <c r="F246" s="880" t="s">
        <v>646</v>
      </c>
      <c r="G246" s="881" t="s">
        <v>346</v>
      </c>
      <c r="H246" s="882">
        <f t="shared" si="32"/>
        <v>7.34</v>
      </c>
      <c r="I246" s="894"/>
      <c r="J246" s="25">
        <f t="shared" si="32"/>
        <v>4.59</v>
      </c>
      <c r="K246" s="895">
        <f t="shared" si="32"/>
        <v>0</v>
      </c>
      <c r="L246" s="894"/>
      <c r="M246" s="896">
        <f t="shared" si="30"/>
        <v>0</v>
      </c>
    </row>
    <row r="247" spans="1:13" s="824" customFormat="1" ht="22.15" hidden="1" customHeight="1" x14ac:dyDescent="0.25">
      <c r="A247" s="875">
        <v>27</v>
      </c>
      <c r="B247" s="876" t="s">
        <v>100</v>
      </c>
      <c r="C247" s="962"/>
      <c r="D247" s="878" t="s">
        <v>95</v>
      </c>
      <c r="E247" s="879" t="s">
        <v>443</v>
      </c>
      <c r="F247" s="880" t="s">
        <v>647</v>
      </c>
      <c r="G247" s="881" t="s">
        <v>346</v>
      </c>
      <c r="H247" s="882">
        <f t="shared" si="32"/>
        <v>7.34</v>
      </c>
      <c r="I247" s="894"/>
      <c r="J247" s="25">
        <f t="shared" si="32"/>
        <v>4.59</v>
      </c>
      <c r="K247" s="895">
        <f t="shared" si="32"/>
        <v>0</v>
      </c>
      <c r="L247" s="894"/>
      <c r="M247" s="896">
        <f t="shared" si="30"/>
        <v>0</v>
      </c>
    </row>
    <row r="248" spans="1:13" s="824" customFormat="1" ht="22.15" hidden="1" customHeight="1" x14ac:dyDescent="0.25">
      <c r="A248" s="875">
        <v>27</v>
      </c>
      <c r="B248" s="876" t="s">
        <v>100</v>
      </c>
      <c r="C248" s="962"/>
      <c r="D248" s="878" t="s">
        <v>95</v>
      </c>
      <c r="E248" s="879" t="s">
        <v>445</v>
      </c>
      <c r="F248" s="880" t="s">
        <v>648</v>
      </c>
      <c r="G248" s="881" t="s">
        <v>346</v>
      </c>
      <c r="H248" s="882">
        <f t="shared" si="32"/>
        <v>7.34</v>
      </c>
      <c r="I248" s="894"/>
      <c r="J248" s="25">
        <f t="shared" si="32"/>
        <v>4.59</v>
      </c>
      <c r="K248" s="895">
        <f t="shared" si="32"/>
        <v>0</v>
      </c>
      <c r="L248" s="894"/>
      <c r="M248" s="896">
        <f t="shared" si="30"/>
        <v>0</v>
      </c>
    </row>
    <row r="249" spans="1:13" s="824" customFormat="1" ht="22.15" hidden="1" customHeight="1" x14ac:dyDescent="0.25">
      <c r="A249" s="875">
        <v>27</v>
      </c>
      <c r="B249" s="876" t="s">
        <v>100</v>
      </c>
      <c r="C249" s="962"/>
      <c r="D249" s="878" t="s">
        <v>95</v>
      </c>
      <c r="E249" s="879" t="s">
        <v>447</v>
      </c>
      <c r="F249" s="880" t="s">
        <v>649</v>
      </c>
      <c r="G249" s="881" t="s">
        <v>346</v>
      </c>
      <c r="H249" s="882">
        <f t="shared" si="32"/>
        <v>7.34</v>
      </c>
      <c r="I249" s="894"/>
      <c r="J249" s="25">
        <f t="shared" si="32"/>
        <v>4.59</v>
      </c>
      <c r="K249" s="895">
        <f t="shared" si="32"/>
        <v>0</v>
      </c>
      <c r="L249" s="894"/>
      <c r="M249" s="896">
        <f t="shared" si="30"/>
        <v>0</v>
      </c>
    </row>
    <row r="250" spans="1:13" s="824" customFormat="1" ht="22.15" customHeight="1" x14ac:dyDescent="0.25">
      <c r="A250" s="864">
        <v>28</v>
      </c>
      <c r="B250" s="865" t="s">
        <v>101</v>
      </c>
      <c r="C250" s="897"/>
      <c r="D250" s="867" t="s">
        <v>95</v>
      </c>
      <c r="E250" s="868" t="s">
        <v>650</v>
      </c>
      <c r="F250" s="869"/>
      <c r="G250" s="870"/>
      <c r="H250" s="871">
        <v>5.91</v>
      </c>
      <c r="I250" s="892"/>
      <c r="J250" s="33">
        <f>Schedule_A!H46</f>
        <v>3.69</v>
      </c>
      <c r="K250" s="33">
        <f>Schedule_A!I46</f>
        <v>0</v>
      </c>
      <c r="L250" s="892"/>
      <c r="M250" s="893">
        <f t="shared" si="30"/>
        <v>0</v>
      </c>
    </row>
    <row r="251" spans="1:13" s="824" customFormat="1" ht="22.15" hidden="1" customHeight="1" x14ac:dyDescent="0.25">
      <c r="A251" s="875">
        <v>28</v>
      </c>
      <c r="B251" s="876" t="s">
        <v>101</v>
      </c>
      <c r="C251" s="962"/>
      <c r="D251" s="878" t="s">
        <v>95</v>
      </c>
      <c r="E251" s="879" t="s">
        <v>141</v>
      </c>
      <c r="F251" s="880" t="s">
        <v>651</v>
      </c>
      <c r="G251" s="881" t="s">
        <v>346</v>
      </c>
      <c r="H251" s="882">
        <f>H$250</f>
        <v>5.91</v>
      </c>
      <c r="I251" s="894"/>
      <c r="J251" s="25">
        <f>J$250</f>
        <v>3.69</v>
      </c>
      <c r="K251" s="895">
        <f>K$250</f>
        <v>0</v>
      </c>
      <c r="L251" s="894"/>
      <c r="M251" s="896">
        <f t="shared" si="30"/>
        <v>0</v>
      </c>
    </row>
    <row r="252" spans="1:13" s="824" customFormat="1" ht="22.15" hidden="1" customHeight="1" x14ac:dyDescent="0.25">
      <c r="A252" s="875">
        <v>28</v>
      </c>
      <c r="B252" s="876" t="s">
        <v>101</v>
      </c>
      <c r="C252" s="962"/>
      <c r="D252" s="878" t="s">
        <v>95</v>
      </c>
      <c r="E252" s="879" t="s">
        <v>143</v>
      </c>
      <c r="F252" s="880" t="s">
        <v>652</v>
      </c>
      <c r="G252" s="881" t="s">
        <v>346</v>
      </c>
      <c r="H252" s="882">
        <f t="shared" ref="H252:K260" si="33">H$250</f>
        <v>5.91</v>
      </c>
      <c r="I252" s="894"/>
      <c r="J252" s="25">
        <f t="shared" si="33"/>
        <v>3.69</v>
      </c>
      <c r="K252" s="895">
        <f t="shared" si="33"/>
        <v>0</v>
      </c>
      <c r="L252" s="894"/>
      <c r="M252" s="896">
        <f t="shared" si="30"/>
        <v>0</v>
      </c>
    </row>
    <row r="253" spans="1:13" s="824" customFormat="1" ht="22.15" hidden="1" customHeight="1" x14ac:dyDescent="0.25">
      <c r="A253" s="875">
        <v>28</v>
      </c>
      <c r="B253" s="876" t="s">
        <v>101</v>
      </c>
      <c r="C253" s="962"/>
      <c r="D253" s="878" t="s">
        <v>95</v>
      </c>
      <c r="E253" s="879" t="s">
        <v>145</v>
      </c>
      <c r="F253" s="880" t="s">
        <v>653</v>
      </c>
      <c r="G253" s="881" t="s">
        <v>346</v>
      </c>
      <c r="H253" s="882">
        <f t="shared" si="33"/>
        <v>5.91</v>
      </c>
      <c r="I253" s="894"/>
      <c r="J253" s="25">
        <f t="shared" si="33"/>
        <v>3.69</v>
      </c>
      <c r="K253" s="895">
        <f t="shared" si="33"/>
        <v>0</v>
      </c>
      <c r="L253" s="894"/>
      <c r="M253" s="896">
        <f t="shared" si="30"/>
        <v>0</v>
      </c>
    </row>
    <row r="254" spans="1:13" s="824" customFormat="1" ht="22.15" hidden="1" customHeight="1" x14ac:dyDescent="0.25">
      <c r="A254" s="875">
        <v>28</v>
      </c>
      <c r="B254" s="876" t="s">
        <v>101</v>
      </c>
      <c r="C254" s="962"/>
      <c r="D254" s="878" t="s">
        <v>95</v>
      </c>
      <c r="E254" s="879" t="s">
        <v>452</v>
      </c>
      <c r="F254" s="880" t="s">
        <v>654</v>
      </c>
      <c r="G254" s="881" t="s">
        <v>346</v>
      </c>
      <c r="H254" s="882">
        <f t="shared" si="33"/>
        <v>5.91</v>
      </c>
      <c r="I254" s="894"/>
      <c r="J254" s="25">
        <f t="shared" si="33"/>
        <v>3.69</v>
      </c>
      <c r="K254" s="895">
        <f t="shared" si="33"/>
        <v>0</v>
      </c>
      <c r="L254" s="894"/>
      <c r="M254" s="896">
        <f t="shared" si="30"/>
        <v>0</v>
      </c>
    </row>
    <row r="255" spans="1:13" s="824" customFormat="1" ht="22.15" hidden="1" customHeight="1" x14ac:dyDescent="0.25">
      <c r="A255" s="875">
        <v>28</v>
      </c>
      <c r="B255" s="876" t="s">
        <v>101</v>
      </c>
      <c r="C255" s="962"/>
      <c r="D255" s="878" t="s">
        <v>95</v>
      </c>
      <c r="E255" s="879" t="s">
        <v>454</v>
      </c>
      <c r="F255" s="880" t="s">
        <v>655</v>
      </c>
      <c r="G255" s="881" t="s">
        <v>346</v>
      </c>
      <c r="H255" s="882">
        <f t="shared" si="33"/>
        <v>5.91</v>
      </c>
      <c r="I255" s="894"/>
      <c r="J255" s="25">
        <f t="shared" si="33"/>
        <v>3.69</v>
      </c>
      <c r="K255" s="895">
        <f t="shared" si="33"/>
        <v>0</v>
      </c>
      <c r="L255" s="894"/>
      <c r="M255" s="896">
        <f t="shared" si="30"/>
        <v>0</v>
      </c>
    </row>
    <row r="256" spans="1:13" s="824" customFormat="1" ht="22.15" hidden="1" customHeight="1" x14ac:dyDescent="0.25">
      <c r="A256" s="875">
        <v>28</v>
      </c>
      <c r="B256" s="876" t="s">
        <v>101</v>
      </c>
      <c r="C256" s="962"/>
      <c r="D256" s="878" t="s">
        <v>95</v>
      </c>
      <c r="E256" s="879" t="s">
        <v>147</v>
      </c>
      <c r="F256" s="880" t="s">
        <v>656</v>
      </c>
      <c r="G256" s="881" t="s">
        <v>346</v>
      </c>
      <c r="H256" s="882">
        <f t="shared" si="33"/>
        <v>5.91</v>
      </c>
      <c r="I256" s="894"/>
      <c r="J256" s="25">
        <f t="shared" si="33"/>
        <v>3.69</v>
      </c>
      <c r="K256" s="895">
        <f t="shared" si="33"/>
        <v>0</v>
      </c>
      <c r="L256" s="894"/>
      <c r="M256" s="896">
        <f t="shared" si="30"/>
        <v>0</v>
      </c>
    </row>
    <row r="257" spans="1:13" s="824" customFormat="1" ht="22.15" hidden="1" customHeight="1" x14ac:dyDescent="0.25">
      <c r="A257" s="875">
        <v>28</v>
      </c>
      <c r="B257" s="876" t="s">
        <v>101</v>
      </c>
      <c r="C257" s="962"/>
      <c r="D257" s="878" t="s">
        <v>95</v>
      </c>
      <c r="E257" s="879" t="s">
        <v>457</v>
      </c>
      <c r="F257" s="880" t="s">
        <v>657</v>
      </c>
      <c r="G257" s="881" t="s">
        <v>346</v>
      </c>
      <c r="H257" s="882">
        <f t="shared" si="33"/>
        <v>5.91</v>
      </c>
      <c r="I257" s="894"/>
      <c r="J257" s="25">
        <f t="shared" si="33"/>
        <v>3.69</v>
      </c>
      <c r="K257" s="895">
        <f t="shared" si="33"/>
        <v>0</v>
      </c>
      <c r="L257" s="894"/>
      <c r="M257" s="896">
        <f t="shared" si="30"/>
        <v>0</v>
      </c>
    </row>
    <row r="258" spans="1:13" s="824" customFormat="1" ht="22.15" hidden="1" customHeight="1" x14ac:dyDescent="0.25">
      <c r="A258" s="875">
        <v>28</v>
      </c>
      <c r="B258" s="876" t="s">
        <v>101</v>
      </c>
      <c r="C258" s="962"/>
      <c r="D258" s="878" t="s">
        <v>95</v>
      </c>
      <c r="E258" s="879" t="s">
        <v>459</v>
      </c>
      <c r="F258" s="880" t="s">
        <v>658</v>
      </c>
      <c r="G258" s="881" t="s">
        <v>346</v>
      </c>
      <c r="H258" s="882">
        <f t="shared" si="33"/>
        <v>5.91</v>
      </c>
      <c r="I258" s="894"/>
      <c r="J258" s="25">
        <f t="shared" si="33"/>
        <v>3.69</v>
      </c>
      <c r="K258" s="895">
        <f t="shared" si="33"/>
        <v>0</v>
      </c>
      <c r="L258" s="894"/>
      <c r="M258" s="896">
        <f t="shared" si="30"/>
        <v>0</v>
      </c>
    </row>
    <row r="259" spans="1:13" s="824" customFormat="1" ht="22.15" hidden="1" customHeight="1" x14ac:dyDescent="0.25">
      <c r="A259" s="875">
        <v>28</v>
      </c>
      <c r="B259" s="876" t="s">
        <v>101</v>
      </c>
      <c r="C259" s="962"/>
      <c r="D259" s="878" t="s">
        <v>95</v>
      </c>
      <c r="E259" s="879" t="s">
        <v>149</v>
      </c>
      <c r="F259" s="880" t="s">
        <v>659</v>
      </c>
      <c r="G259" s="881" t="s">
        <v>346</v>
      </c>
      <c r="H259" s="882">
        <f t="shared" si="33"/>
        <v>5.91</v>
      </c>
      <c r="I259" s="894"/>
      <c r="J259" s="25">
        <f t="shared" si="33"/>
        <v>3.69</v>
      </c>
      <c r="K259" s="895">
        <f t="shared" si="33"/>
        <v>0</v>
      </c>
      <c r="L259" s="894"/>
      <c r="M259" s="896">
        <f t="shared" si="30"/>
        <v>0</v>
      </c>
    </row>
    <row r="260" spans="1:13" s="824" customFormat="1" ht="22.15" hidden="1" customHeight="1" x14ac:dyDescent="0.25">
      <c r="A260" s="875">
        <v>28</v>
      </c>
      <c r="B260" s="876" t="s">
        <v>101</v>
      </c>
      <c r="C260" s="962"/>
      <c r="D260" s="878" t="s">
        <v>95</v>
      </c>
      <c r="E260" s="879" t="s">
        <v>462</v>
      </c>
      <c r="F260" s="880" t="s">
        <v>660</v>
      </c>
      <c r="G260" s="881" t="s">
        <v>346</v>
      </c>
      <c r="H260" s="882">
        <f t="shared" si="33"/>
        <v>5.91</v>
      </c>
      <c r="I260" s="894"/>
      <c r="J260" s="25">
        <f t="shared" si="33"/>
        <v>3.69</v>
      </c>
      <c r="K260" s="895">
        <f t="shared" si="33"/>
        <v>0</v>
      </c>
      <c r="L260" s="894"/>
      <c r="M260" s="896">
        <f t="shared" si="30"/>
        <v>0</v>
      </c>
    </row>
    <row r="261" spans="1:13" s="824" customFormat="1" ht="22.15" customHeight="1" x14ac:dyDescent="0.25">
      <c r="A261" s="864"/>
      <c r="B261" s="925" t="s">
        <v>661</v>
      </c>
      <c r="C261" s="963"/>
      <c r="D261" s="927"/>
      <c r="E261" s="928"/>
      <c r="F261" s="948"/>
      <c r="G261" s="930"/>
      <c r="H261" s="969"/>
      <c r="I261" s="970"/>
      <c r="J261" s="30"/>
      <c r="K261" s="933"/>
      <c r="L261" s="932"/>
      <c r="M261" s="971">
        <f t="shared" si="30"/>
        <v>0</v>
      </c>
    </row>
    <row r="262" spans="1:13" s="824" customFormat="1" ht="22.15" customHeight="1" x14ac:dyDescent="0.25">
      <c r="A262" s="864">
        <v>29</v>
      </c>
      <c r="B262" s="865" t="s">
        <v>103</v>
      </c>
      <c r="C262" s="972"/>
      <c r="D262" s="867" t="s">
        <v>104</v>
      </c>
      <c r="E262" s="868" t="s">
        <v>598</v>
      </c>
      <c r="F262" s="869" t="s">
        <v>662</v>
      </c>
      <c r="G262" s="870" t="s">
        <v>663</v>
      </c>
      <c r="H262" s="973"/>
      <c r="I262" s="974"/>
      <c r="J262" s="33">
        <f>Schedule_A!H48</f>
        <v>0</v>
      </c>
      <c r="K262" s="33">
        <f>Schedule_A!I48</f>
        <v>0</v>
      </c>
      <c r="L262" s="892"/>
      <c r="M262" s="893">
        <f t="shared" si="30"/>
        <v>0</v>
      </c>
    </row>
    <row r="263" spans="1:13" s="824" customFormat="1" ht="22.15" hidden="1" customHeight="1" x14ac:dyDescent="0.25">
      <c r="A263" s="875">
        <v>29</v>
      </c>
      <c r="B263" s="876" t="s">
        <v>103</v>
      </c>
      <c r="C263" s="975"/>
      <c r="D263" s="878" t="s">
        <v>104</v>
      </c>
      <c r="E263" s="965" t="s">
        <v>326</v>
      </c>
      <c r="F263" s="880" t="s">
        <v>664</v>
      </c>
      <c r="G263" s="881" t="s">
        <v>663</v>
      </c>
      <c r="H263" s="973"/>
      <c r="I263" s="899"/>
      <c r="J263" s="25">
        <f>J$262</f>
        <v>0</v>
      </c>
      <c r="K263" s="976">
        <f>K$262</f>
        <v>0</v>
      </c>
      <c r="L263" s="977"/>
      <c r="M263" s="896">
        <f t="shared" si="30"/>
        <v>0</v>
      </c>
    </row>
    <row r="264" spans="1:13" s="824" customFormat="1" ht="22.15" hidden="1" customHeight="1" x14ac:dyDescent="0.25">
      <c r="A264" s="875">
        <v>29</v>
      </c>
      <c r="B264" s="876" t="s">
        <v>103</v>
      </c>
      <c r="C264" s="975"/>
      <c r="D264" s="878" t="s">
        <v>104</v>
      </c>
      <c r="E264" s="965" t="s">
        <v>328</v>
      </c>
      <c r="F264" s="880" t="s">
        <v>665</v>
      </c>
      <c r="G264" s="881" t="s">
        <v>663</v>
      </c>
      <c r="H264" s="973"/>
      <c r="I264" s="899"/>
      <c r="J264" s="25">
        <f t="shared" ref="J264:K271" si="34">J$262</f>
        <v>0</v>
      </c>
      <c r="K264" s="976">
        <f t="shared" si="34"/>
        <v>0</v>
      </c>
      <c r="L264" s="977"/>
      <c r="M264" s="896">
        <f t="shared" si="30"/>
        <v>0</v>
      </c>
    </row>
    <row r="265" spans="1:13" s="824" customFormat="1" ht="22.15" hidden="1" customHeight="1" x14ac:dyDescent="0.25">
      <c r="A265" s="875">
        <v>29</v>
      </c>
      <c r="B265" s="876" t="s">
        <v>103</v>
      </c>
      <c r="C265" s="975"/>
      <c r="D265" s="878" t="s">
        <v>104</v>
      </c>
      <c r="E265" s="965" t="s">
        <v>330</v>
      </c>
      <c r="F265" s="880" t="s">
        <v>666</v>
      </c>
      <c r="G265" s="881" t="s">
        <v>663</v>
      </c>
      <c r="H265" s="973"/>
      <c r="I265" s="899"/>
      <c r="J265" s="25">
        <f t="shared" si="34"/>
        <v>0</v>
      </c>
      <c r="K265" s="976">
        <f t="shared" si="34"/>
        <v>0</v>
      </c>
      <c r="L265" s="977"/>
      <c r="M265" s="896">
        <f t="shared" si="30"/>
        <v>0</v>
      </c>
    </row>
    <row r="266" spans="1:13" s="824" customFormat="1" ht="22.15" hidden="1" customHeight="1" x14ac:dyDescent="0.25">
      <c r="A266" s="875">
        <v>29</v>
      </c>
      <c r="B266" s="876" t="s">
        <v>103</v>
      </c>
      <c r="C266" s="975"/>
      <c r="D266" s="878" t="s">
        <v>104</v>
      </c>
      <c r="E266" s="965" t="s">
        <v>332</v>
      </c>
      <c r="F266" s="880" t="s">
        <v>667</v>
      </c>
      <c r="G266" s="881" t="s">
        <v>663</v>
      </c>
      <c r="H266" s="973"/>
      <c r="I266" s="899"/>
      <c r="J266" s="25">
        <f t="shared" si="34"/>
        <v>0</v>
      </c>
      <c r="K266" s="976">
        <f t="shared" si="34"/>
        <v>0</v>
      </c>
      <c r="L266" s="977"/>
      <c r="M266" s="896">
        <f t="shared" si="30"/>
        <v>0</v>
      </c>
    </row>
    <row r="267" spans="1:13" s="824" customFormat="1" ht="22.15" hidden="1" customHeight="1" x14ac:dyDescent="0.25">
      <c r="A267" s="875">
        <v>29</v>
      </c>
      <c r="B267" s="876" t="s">
        <v>103</v>
      </c>
      <c r="C267" s="975"/>
      <c r="D267" s="878" t="s">
        <v>104</v>
      </c>
      <c r="E267" s="965" t="s">
        <v>95</v>
      </c>
      <c r="F267" s="880" t="s">
        <v>668</v>
      </c>
      <c r="G267" s="881" t="s">
        <v>663</v>
      </c>
      <c r="H267" s="973"/>
      <c r="I267" s="899"/>
      <c r="J267" s="25">
        <f t="shared" si="34"/>
        <v>0</v>
      </c>
      <c r="K267" s="976">
        <f t="shared" si="34"/>
        <v>0</v>
      </c>
      <c r="L267" s="977"/>
      <c r="M267" s="896">
        <f t="shared" si="30"/>
        <v>0</v>
      </c>
    </row>
    <row r="268" spans="1:13" s="824" customFormat="1" ht="22.15" hidden="1" customHeight="1" x14ac:dyDescent="0.25">
      <c r="A268" s="875">
        <v>29</v>
      </c>
      <c r="B268" s="876" t="s">
        <v>103</v>
      </c>
      <c r="C268" s="975"/>
      <c r="D268" s="878" t="s">
        <v>104</v>
      </c>
      <c r="E268" s="965" t="s">
        <v>335</v>
      </c>
      <c r="F268" s="880" t="s">
        <v>669</v>
      </c>
      <c r="G268" s="881" t="s">
        <v>663</v>
      </c>
      <c r="H268" s="973"/>
      <c r="I268" s="899"/>
      <c r="J268" s="25">
        <f t="shared" si="34"/>
        <v>0</v>
      </c>
      <c r="K268" s="976">
        <f t="shared" si="34"/>
        <v>0</v>
      </c>
      <c r="L268" s="977"/>
      <c r="M268" s="896">
        <f t="shared" si="30"/>
        <v>0</v>
      </c>
    </row>
    <row r="269" spans="1:13" s="824" customFormat="1" ht="22.15" hidden="1" customHeight="1" x14ac:dyDescent="0.25">
      <c r="A269" s="875">
        <v>29</v>
      </c>
      <c r="B269" s="876" t="s">
        <v>103</v>
      </c>
      <c r="C269" s="975"/>
      <c r="D269" s="878" t="s">
        <v>104</v>
      </c>
      <c r="E269" s="965" t="s">
        <v>337</v>
      </c>
      <c r="F269" s="880" t="s">
        <v>670</v>
      </c>
      <c r="G269" s="881" t="s">
        <v>663</v>
      </c>
      <c r="H269" s="973"/>
      <c r="I269" s="899"/>
      <c r="J269" s="25">
        <f t="shared" si="34"/>
        <v>0</v>
      </c>
      <c r="K269" s="976">
        <f t="shared" si="34"/>
        <v>0</v>
      </c>
      <c r="L269" s="977"/>
      <c r="M269" s="896">
        <f t="shared" si="30"/>
        <v>0</v>
      </c>
    </row>
    <row r="270" spans="1:13" s="824" customFormat="1" ht="22.15" hidden="1" customHeight="1" x14ac:dyDescent="0.25">
      <c r="A270" s="875">
        <v>29</v>
      </c>
      <c r="B270" s="876" t="s">
        <v>103</v>
      </c>
      <c r="C270" s="975"/>
      <c r="D270" s="878" t="s">
        <v>104</v>
      </c>
      <c r="E270" s="965" t="s">
        <v>339</v>
      </c>
      <c r="F270" s="880" t="s">
        <v>671</v>
      </c>
      <c r="G270" s="881" t="s">
        <v>663</v>
      </c>
      <c r="H270" s="973"/>
      <c r="I270" s="899"/>
      <c r="J270" s="25">
        <f t="shared" si="34"/>
        <v>0</v>
      </c>
      <c r="K270" s="976">
        <f t="shared" si="34"/>
        <v>0</v>
      </c>
      <c r="L270" s="977"/>
      <c r="M270" s="896">
        <f t="shared" si="30"/>
        <v>0</v>
      </c>
    </row>
    <row r="271" spans="1:13" s="824" customFormat="1" ht="22.15" hidden="1" customHeight="1" x14ac:dyDescent="0.25">
      <c r="A271" s="875">
        <v>29</v>
      </c>
      <c r="B271" s="876" t="s">
        <v>103</v>
      </c>
      <c r="C271" s="975"/>
      <c r="D271" s="878" t="s">
        <v>104</v>
      </c>
      <c r="E271" s="965" t="s">
        <v>48</v>
      </c>
      <c r="F271" s="880" t="s">
        <v>672</v>
      </c>
      <c r="G271" s="881" t="s">
        <v>663</v>
      </c>
      <c r="H271" s="973"/>
      <c r="I271" s="899"/>
      <c r="J271" s="25">
        <f t="shared" si="34"/>
        <v>0</v>
      </c>
      <c r="K271" s="976">
        <f t="shared" si="34"/>
        <v>0</v>
      </c>
      <c r="L271" s="977"/>
      <c r="M271" s="896">
        <f t="shared" ref="M271:M281" si="35">IF(K271&gt;0,K271,L271)</f>
        <v>0</v>
      </c>
    </row>
    <row r="272" spans="1:13" s="824" customFormat="1" ht="22.15" customHeight="1" x14ac:dyDescent="0.25">
      <c r="A272" s="864">
        <v>30</v>
      </c>
      <c r="B272" s="865" t="s">
        <v>105</v>
      </c>
      <c r="C272" s="972"/>
      <c r="D272" s="867" t="s">
        <v>104</v>
      </c>
      <c r="E272" s="868" t="s">
        <v>343</v>
      </c>
      <c r="F272" s="869" t="s">
        <v>673</v>
      </c>
      <c r="G272" s="870" t="s">
        <v>663</v>
      </c>
      <c r="H272" s="898"/>
      <c r="I272" s="899"/>
      <c r="J272" s="33">
        <f>Schedule_A!H49</f>
        <v>0</v>
      </c>
      <c r="K272" s="33">
        <f>Schedule_A!I49</f>
        <v>0</v>
      </c>
      <c r="L272" s="978"/>
      <c r="M272" s="893">
        <f t="shared" si="35"/>
        <v>0</v>
      </c>
    </row>
    <row r="273" spans="1:13" s="824" customFormat="1" ht="22.15" hidden="1" customHeight="1" x14ac:dyDescent="0.25">
      <c r="A273" s="875">
        <v>30</v>
      </c>
      <c r="B273" s="876" t="s">
        <v>105</v>
      </c>
      <c r="C273" s="975"/>
      <c r="D273" s="878" t="s">
        <v>104</v>
      </c>
      <c r="E273" s="965" t="s">
        <v>347</v>
      </c>
      <c r="F273" s="880" t="s">
        <v>674</v>
      </c>
      <c r="G273" s="881" t="s">
        <v>663</v>
      </c>
      <c r="H273" s="898"/>
      <c r="I273" s="899"/>
      <c r="J273" s="25">
        <f>J$272</f>
        <v>0</v>
      </c>
      <c r="K273" s="979">
        <f>K$272</f>
        <v>0</v>
      </c>
      <c r="L273" s="980"/>
      <c r="M273" s="896">
        <f t="shared" si="35"/>
        <v>0</v>
      </c>
    </row>
    <row r="274" spans="1:13" s="824" customFormat="1" ht="22.15" hidden="1" customHeight="1" x14ac:dyDescent="0.25">
      <c r="A274" s="875">
        <v>30</v>
      </c>
      <c r="B274" s="876" t="s">
        <v>105</v>
      </c>
      <c r="C274" s="975"/>
      <c r="D274" s="878" t="s">
        <v>104</v>
      </c>
      <c r="E274" s="965" t="s">
        <v>349</v>
      </c>
      <c r="F274" s="880" t="s">
        <v>675</v>
      </c>
      <c r="G274" s="881" t="s">
        <v>663</v>
      </c>
      <c r="H274" s="898"/>
      <c r="I274" s="899"/>
      <c r="J274" s="25">
        <f t="shared" ref="J274:K281" si="36">J$272</f>
        <v>0</v>
      </c>
      <c r="K274" s="979">
        <f t="shared" si="36"/>
        <v>0</v>
      </c>
      <c r="L274" s="980"/>
      <c r="M274" s="896">
        <f t="shared" si="35"/>
        <v>0</v>
      </c>
    </row>
    <row r="275" spans="1:13" s="824" customFormat="1" ht="22.15" hidden="1" customHeight="1" x14ac:dyDescent="0.25">
      <c r="A275" s="875">
        <v>30</v>
      </c>
      <c r="B275" s="876" t="s">
        <v>105</v>
      </c>
      <c r="C275" s="975"/>
      <c r="D275" s="878" t="s">
        <v>104</v>
      </c>
      <c r="E275" s="965" t="s">
        <v>351</v>
      </c>
      <c r="F275" s="880" t="s">
        <v>676</v>
      </c>
      <c r="G275" s="881" t="s">
        <v>663</v>
      </c>
      <c r="H275" s="898"/>
      <c r="I275" s="899"/>
      <c r="J275" s="25">
        <f t="shared" si="36"/>
        <v>0</v>
      </c>
      <c r="K275" s="979">
        <f t="shared" si="36"/>
        <v>0</v>
      </c>
      <c r="L275" s="980"/>
      <c r="M275" s="896">
        <f t="shared" si="35"/>
        <v>0</v>
      </c>
    </row>
    <row r="276" spans="1:13" s="824" customFormat="1" ht="22.15" hidden="1" customHeight="1" x14ac:dyDescent="0.25">
      <c r="A276" s="875">
        <v>30</v>
      </c>
      <c r="B276" s="876" t="s">
        <v>105</v>
      </c>
      <c r="C276" s="975"/>
      <c r="D276" s="878" t="s">
        <v>104</v>
      </c>
      <c r="E276" s="965" t="s">
        <v>353</v>
      </c>
      <c r="F276" s="880" t="s">
        <v>677</v>
      </c>
      <c r="G276" s="881" t="s">
        <v>663</v>
      </c>
      <c r="H276" s="898"/>
      <c r="I276" s="899"/>
      <c r="J276" s="25">
        <f t="shared" si="36"/>
        <v>0</v>
      </c>
      <c r="K276" s="979">
        <f t="shared" si="36"/>
        <v>0</v>
      </c>
      <c r="L276" s="980"/>
      <c r="M276" s="896">
        <f t="shared" si="35"/>
        <v>0</v>
      </c>
    </row>
    <row r="277" spans="1:13" s="824" customFormat="1" ht="22.15" hidden="1" customHeight="1" x14ac:dyDescent="0.25">
      <c r="A277" s="875">
        <v>30</v>
      </c>
      <c r="B277" s="876" t="s">
        <v>105</v>
      </c>
      <c r="C277" s="975"/>
      <c r="D277" s="878" t="s">
        <v>104</v>
      </c>
      <c r="E277" s="965" t="s">
        <v>355</v>
      </c>
      <c r="F277" s="880" t="s">
        <v>678</v>
      </c>
      <c r="G277" s="881" t="s">
        <v>663</v>
      </c>
      <c r="H277" s="898"/>
      <c r="I277" s="899"/>
      <c r="J277" s="25">
        <f t="shared" si="36"/>
        <v>0</v>
      </c>
      <c r="K277" s="979">
        <f t="shared" si="36"/>
        <v>0</v>
      </c>
      <c r="L277" s="980"/>
      <c r="M277" s="896">
        <f t="shared" si="35"/>
        <v>0</v>
      </c>
    </row>
    <row r="278" spans="1:13" s="824" customFormat="1" ht="22.15" hidden="1" customHeight="1" x14ac:dyDescent="0.25">
      <c r="A278" s="875">
        <v>30</v>
      </c>
      <c r="B278" s="876" t="s">
        <v>105</v>
      </c>
      <c r="C278" s="975"/>
      <c r="D278" s="878" t="s">
        <v>104</v>
      </c>
      <c r="E278" s="965" t="s">
        <v>357</v>
      </c>
      <c r="F278" s="880" t="s">
        <v>679</v>
      </c>
      <c r="G278" s="881" t="s">
        <v>663</v>
      </c>
      <c r="H278" s="898"/>
      <c r="I278" s="899"/>
      <c r="J278" s="25">
        <f t="shared" si="36"/>
        <v>0</v>
      </c>
      <c r="K278" s="979">
        <f t="shared" si="36"/>
        <v>0</v>
      </c>
      <c r="L278" s="980"/>
      <c r="M278" s="896">
        <f t="shared" si="35"/>
        <v>0</v>
      </c>
    </row>
    <row r="279" spans="1:13" s="824" customFormat="1" ht="22.15" hidden="1" customHeight="1" x14ac:dyDescent="0.25">
      <c r="A279" s="875">
        <v>30</v>
      </c>
      <c r="B279" s="876" t="s">
        <v>105</v>
      </c>
      <c r="C279" s="975"/>
      <c r="D279" s="878" t="s">
        <v>104</v>
      </c>
      <c r="E279" s="965" t="s">
        <v>359</v>
      </c>
      <c r="F279" s="880" t="s">
        <v>680</v>
      </c>
      <c r="G279" s="881" t="s">
        <v>663</v>
      </c>
      <c r="H279" s="898"/>
      <c r="I279" s="899"/>
      <c r="J279" s="25">
        <f t="shared" si="36"/>
        <v>0</v>
      </c>
      <c r="K279" s="979">
        <f t="shared" si="36"/>
        <v>0</v>
      </c>
      <c r="L279" s="980"/>
      <c r="M279" s="896">
        <f t="shared" si="35"/>
        <v>0</v>
      </c>
    </row>
    <row r="280" spans="1:13" s="824" customFormat="1" ht="22.15" hidden="1" customHeight="1" x14ac:dyDescent="0.25">
      <c r="A280" s="875">
        <v>30</v>
      </c>
      <c r="B280" s="876" t="s">
        <v>105</v>
      </c>
      <c r="C280" s="975"/>
      <c r="D280" s="878" t="s">
        <v>104</v>
      </c>
      <c r="E280" s="965" t="s">
        <v>361</v>
      </c>
      <c r="F280" s="880" t="s">
        <v>681</v>
      </c>
      <c r="G280" s="881" t="s">
        <v>663</v>
      </c>
      <c r="H280" s="898"/>
      <c r="I280" s="899"/>
      <c r="J280" s="25">
        <f t="shared" si="36"/>
        <v>0</v>
      </c>
      <c r="K280" s="979">
        <f t="shared" si="36"/>
        <v>0</v>
      </c>
      <c r="L280" s="980"/>
      <c r="M280" s="896">
        <f t="shared" si="35"/>
        <v>0</v>
      </c>
    </row>
    <row r="281" spans="1:13" s="824" customFormat="1" ht="22.15" hidden="1" customHeight="1" x14ac:dyDescent="0.25">
      <c r="A281" s="875">
        <v>30</v>
      </c>
      <c r="B281" s="876" t="s">
        <v>105</v>
      </c>
      <c r="C281" s="975"/>
      <c r="D281" s="878" t="s">
        <v>104</v>
      </c>
      <c r="E281" s="965" t="s">
        <v>363</v>
      </c>
      <c r="F281" s="880" t="s">
        <v>682</v>
      </c>
      <c r="G281" s="881" t="s">
        <v>663</v>
      </c>
      <c r="H281" s="898"/>
      <c r="I281" s="899"/>
      <c r="J281" s="25">
        <f t="shared" si="36"/>
        <v>0</v>
      </c>
      <c r="K281" s="979">
        <f t="shared" si="36"/>
        <v>0</v>
      </c>
      <c r="L281" s="980"/>
      <c r="M281" s="896">
        <f t="shared" si="35"/>
        <v>0</v>
      </c>
    </row>
    <row r="282" spans="1:13" s="824" customFormat="1" ht="22.15" customHeight="1" x14ac:dyDescent="0.25">
      <c r="A282" s="864"/>
      <c r="B282" s="925" t="s">
        <v>683</v>
      </c>
      <c r="C282" s="981"/>
      <c r="D282" s="927"/>
      <c r="E282" s="928"/>
      <c r="F282" s="929"/>
      <c r="G282" s="930"/>
      <c r="H282" s="931"/>
      <c r="I282" s="1734" t="s">
        <v>684</v>
      </c>
      <c r="J282" s="1735"/>
      <c r="K282" s="982"/>
      <c r="L282" s="983"/>
      <c r="M282" s="984"/>
    </row>
    <row r="283" spans="1:13" s="824" customFormat="1" ht="22.15" customHeight="1" x14ac:dyDescent="0.25">
      <c r="A283" s="864">
        <v>31</v>
      </c>
      <c r="B283" s="865" t="s">
        <v>107</v>
      </c>
      <c r="C283" s="897"/>
      <c r="D283" s="867">
        <v>55</v>
      </c>
      <c r="E283" s="868" t="s">
        <v>685</v>
      </c>
      <c r="F283" s="869" t="s">
        <v>685</v>
      </c>
      <c r="G283" s="870" t="s">
        <v>0</v>
      </c>
      <c r="H283" s="898"/>
      <c r="I283" s="1734"/>
      <c r="J283" s="1735"/>
      <c r="K283" s="985"/>
      <c r="L283" s="986"/>
      <c r="M283" s="987"/>
    </row>
    <row r="284" spans="1:13" s="824" customFormat="1" ht="22.15" customHeight="1" x14ac:dyDescent="0.25">
      <c r="A284" s="864">
        <v>32</v>
      </c>
      <c r="B284" s="865" t="s">
        <v>109</v>
      </c>
      <c r="C284" s="897"/>
      <c r="D284" s="867">
        <v>55</v>
      </c>
      <c r="E284" s="868" t="s">
        <v>686</v>
      </c>
      <c r="F284" s="869" t="s">
        <v>686</v>
      </c>
      <c r="G284" s="870" t="s">
        <v>0</v>
      </c>
      <c r="H284" s="898"/>
      <c r="I284" s="988" t="s">
        <v>687</v>
      </c>
      <c r="J284" s="989">
        <v>0</v>
      </c>
      <c r="K284" s="990" t="s">
        <v>687</v>
      </c>
      <c r="L284" s="990"/>
      <c r="M284" s="991"/>
    </row>
    <row r="285" spans="1:13" s="824" customFormat="1" ht="22.15" customHeight="1" x14ac:dyDescent="0.25">
      <c r="A285" s="864">
        <v>33</v>
      </c>
      <c r="B285" s="865" t="s">
        <v>112</v>
      </c>
      <c r="C285" s="897"/>
      <c r="D285" s="867">
        <v>55</v>
      </c>
      <c r="E285" s="868" t="s">
        <v>688</v>
      </c>
      <c r="F285" s="869" t="s">
        <v>688</v>
      </c>
      <c r="G285" s="870" t="s">
        <v>0</v>
      </c>
      <c r="H285" s="898"/>
      <c r="I285" s="988" t="s">
        <v>689</v>
      </c>
      <c r="J285" s="989">
        <v>0</v>
      </c>
      <c r="K285" s="990" t="s">
        <v>689</v>
      </c>
      <c r="L285" s="990"/>
      <c r="M285" s="991"/>
    </row>
    <row r="286" spans="1:13" s="824" customFormat="1" ht="22.15" customHeight="1" x14ac:dyDescent="0.25">
      <c r="A286" s="864">
        <v>34</v>
      </c>
      <c r="B286" s="865" t="s">
        <v>115</v>
      </c>
      <c r="C286" s="897"/>
      <c r="D286" s="867">
        <v>55</v>
      </c>
      <c r="E286" s="868" t="s">
        <v>116</v>
      </c>
      <c r="F286" s="869" t="s">
        <v>116</v>
      </c>
      <c r="G286" s="870" t="s">
        <v>0</v>
      </c>
      <c r="H286" s="898"/>
      <c r="I286" s="988" t="s">
        <v>690</v>
      </c>
      <c r="J286" s="989">
        <v>0</v>
      </c>
      <c r="K286" s="990" t="s">
        <v>690</v>
      </c>
      <c r="L286" s="990"/>
      <c r="M286" s="991"/>
    </row>
    <row r="287" spans="1:13" s="824" customFormat="1" ht="22.15" customHeight="1" x14ac:dyDescent="0.25">
      <c r="A287" s="864">
        <v>35</v>
      </c>
      <c r="B287" s="865" t="s">
        <v>691</v>
      </c>
      <c r="C287" s="897"/>
      <c r="D287" s="867">
        <v>55</v>
      </c>
      <c r="E287" s="868" t="s">
        <v>692</v>
      </c>
      <c r="F287" s="869" t="s">
        <v>692</v>
      </c>
      <c r="G287" s="870" t="s">
        <v>0</v>
      </c>
      <c r="H287" s="898"/>
      <c r="I287" s="988" t="s">
        <v>693</v>
      </c>
      <c r="J287" s="989">
        <v>0</v>
      </c>
      <c r="K287" s="990" t="s">
        <v>693</v>
      </c>
      <c r="L287" s="990"/>
      <c r="M287" s="991"/>
    </row>
    <row r="288" spans="1:13" s="824" customFormat="1" ht="22.15" customHeight="1" x14ac:dyDescent="0.25">
      <c r="A288" s="864">
        <v>36</v>
      </c>
      <c r="B288" s="865" t="s">
        <v>121</v>
      </c>
      <c r="C288" s="897"/>
      <c r="D288" s="867">
        <v>55</v>
      </c>
      <c r="E288" s="868" t="s">
        <v>694</v>
      </c>
      <c r="F288" s="869" t="s">
        <v>694</v>
      </c>
      <c r="G288" s="870" t="s">
        <v>0</v>
      </c>
      <c r="H288" s="898"/>
      <c r="I288" s="992" t="s">
        <v>124</v>
      </c>
      <c r="J288" s="993" t="s">
        <v>123</v>
      </c>
      <c r="K288" s="994" t="s">
        <v>124</v>
      </c>
      <c r="L288" s="990"/>
      <c r="M288" s="991"/>
    </row>
    <row r="289" spans="1:13" s="824" customFormat="1" ht="22.15" customHeight="1" x14ac:dyDescent="0.25">
      <c r="A289" s="864">
        <v>37</v>
      </c>
      <c r="B289" s="865" t="s">
        <v>695</v>
      </c>
      <c r="C289" s="897"/>
      <c r="D289" s="867">
        <v>55</v>
      </c>
      <c r="E289" s="868" t="s">
        <v>696</v>
      </c>
      <c r="F289" s="869" t="s">
        <v>696</v>
      </c>
      <c r="G289" s="870" t="s">
        <v>0</v>
      </c>
      <c r="H289" s="898"/>
      <c r="I289" s="1812"/>
      <c r="J289" s="1813"/>
      <c r="K289" s="1814"/>
      <c r="L289" s="1814"/>
      <c r="M289" s="1815"/>
    </row>
    <row r="290" spans="1:13" s="824" customFormat="1" ht="22.15" customHeight="1" x14ac:dyDescent="0.25">
      <c r="A290" s="864">
        <v>38</v>
      </c>
      <c r="B290" s="865" t="s">
        <v>697</v>
      </c>
      <c r="C290" s="897"/>
      <c r="D290" s="867">
        <v>55</v>
      </c>
      <c r="E290" s="868" t="s">
        <v>698</v>
      </c>
      <c r="F290" s="869" t="s">
        <v>698</v>
      </c>
      <c r="G290" s="870" t="s">
        <v>0</v>
      </c>
      <c r="H290" s="898"/>
      <c r="I290" s="1816"/>
      <c r="J290" s="1817"/>
      <c r="K290" s="1818"/>
      <c r="L290" s="1818"/>
      <c r="M290" s="1819"/>
    </row>
    <row r="291" spans="1:13" s="824" customFormat="1" ht="22.15" customHeight="1" x14ac:dyDescent="0.25">
      <c r="A291" s="864">
        <v>39</v>
      </c>
      <c r="B291" s="865" t="s">
        <v>127</v>
      </c>
      <c r="C291" s="897"/>
      <c r="D291" s="867">
        <v>55</v>
      </c>
      <c r="E291" s="868" t="s">
        <v>699</v>
      </c>
      <c r="F291" s="869" t="s">
        <v>699</v>
      </c>
      <c r="G291" s="870" t="s">
        <v>0</v>
      </c>
      <c r="H291" s="898"/>
      <c r="I291" s="1816"/>
      <c r="J291" s="1817"/>
      <c r="K291" s="1818"/>
      <c r="L291" s="1818"/>
      <c r="M291" s="1819"/>
    </row>
    <row r="292" spans="1:13" s="824" customFormat="1" ht="22.15" customHeight="1" x14ac:dyDescent="0.25">
      <c r="A292" s="864">
        <v>40</v>
      </c>
      <c r="B292" s="865" t="s">
        <v>700</v>
      </c>
      <c r="C292" s="897"/>
      <c r="D292" s="867">
        <v>55</v>
      </c>
      <c r="E292" s="868" t="s">
        <v>701</v>
      </c>
      <c r="F292" s="869" t="s">
        <v>701</v>
      </c>
      <c r="G292" s="870" t="s">
        <v>0</v>
      </c>
      <c r="H292" s="898"/>
      <c r="I292" s="1816"/>
      <c r="J292" s="1817"/>
      <c r="K292" s="1818"/>
      <c r="L292" s="1818"/>
      <c r="M292" s="1819"/>
    </row>
    <row r="293" spans="1:13" s="824" customFormat="1" ht="22.15" customHeight="1" x14ac:dyDescent="0.25">
      <c r="A293" s="864">
        <v>41</v>
      </c>
      <c r="B293" s="865" t="s">
        <v>702</v>
      </c>
      <c r="C293" s="897"/>
      <c r="D293" s="867">
        <v>55</v>
      </c>
      <c r="E293" s="868" t="s">
        <v>703</v>
      </c>
      <c r="F293" s="869" t="s">
        <v>703</v>
      </c>
      <c r="G293" s="870" t="s">
        <v>0</v>
      </c>
      <c r="H293" s="898"/>
      <c r="I293" s="1816"/>
      <c r="J293" s="1817"/>
      <c r="K293" s="1818"/>
      <c r="L293" s="1818"/>
      <c r="M293" s="1819"/>
    </row>
    <row r="294" spans="1:13" s="824" customFormat="1" ht="22.15" customHeight="1" x14ac:dyDescent="0.25">
      <c r="A294" s="864">
        <v>42</v>
      </c>
      <c r="B294" s="865" t="s">
        <v>131</v>
      </c>
      <c r="C294" s="897"/>
      <c r="D294" s="867">
        <v>55</v>
      </c>
      <c r="E294" s="868" t="s">
        <v>704</v>
      </c>
      <c r="F294" s="869" t="s">
        <v>704</v>
      </c>
      <c r="G294" s="870" t="s">
        <v>0</v>
      </c>
      <c r="H294" s="898"/>
      <c r="I294" s="1820"/>
      <c r="J294" s="1821"/>
      <c r="K294" s="1822"/>
      <c r="L294" s="1822"/>
      <c r="M294" s="1823"/>
    </row>
    <row r="295" spans="1:13" s="824" customFormat="1" ht="22.15" customHeight="1" x14ac:dyDescent="0.25">
      <c r="A295" s="864"/>
      <c r="B295" s="925" t="s">
        <v>705</v>
      </c>
      <c r="C295" s="995"/>
      <c r="D295" s="927"/>
      <c r="E295" s="928"/>
      <c r="F295" s="929"/>
      <c r="G295" s="930"/>
      <c r="H295" s="969"/>
      <c r="I295" s="996"/>
      <c r="J295" s="997"/>
      <c r="K295" s="996"/>
      <c r="L295" s="996"/>
      <c r="M295" s="998"/>
    </row>
    <row r="296" spans="1:13" s="824" customFormat="1" ht="22.15" customHeight="1" x14ac:dyDescent="0.25">
      <c r="A296" s="1809">
        <v>43</v>
      </c>
      <c r="B296" s="935" t="s">
        <v>134</v>
      </c>
      <c r="C296" s="963"/>
      <c r="D296" s="936"/>
      <c r="E296" s="928"/>
      <c r="F296" s="929"/>
      <c r="G296" s="930"/>
      <c r="H296" s="969"/>
      <c r="I296" s="999"/>
      <c r="J296" s="1000"/>
      <c r="K296" s="1001"/>
      <c r="L296" s="1001"/>
      <c r="M296" s="1002"/>
    </row>
    <row r="297" spans="1:13" s="824" customFormat="1" ht="22.15" customHeight="1" x14ac:dyDescent="0.25">
      <c r="A297" s="1809"/>
      <c r="B297" s="865" t="s">
        <v>706</v>
      </c>
      <c r="C297" s="897"/>
      <c r="D297" s="867" t="s">
        <v>136</v>
      </c>
      <c r="E297" s="868" t="s">
        <v>343</v>
      </c>
      <c r="F297" s="869" t="s">
        <v>343</v>
      </c>
      <c r="G297" s="870" t="s">
        <v>707</v>
      </c>
      <c r="H297" s="973"/>
      <c r="I297" s="974"/>
      <c r="J297" s="31">
        <f>Schedule_A!H65</f>
        <v>0</v>
      </c>
      <c r="K297" s="31">
        <f>Schedule_A!I65</f>
        <v>0</v>
      </c>
      <c r="L297" s="873"/>
      <c r="M297" s="918">
        <f t="shared" ref="M297:M325" si="37">IF(K297&gt;0,K297,L297)</f>
        <v>0</v>
      </c>
    </row>
    <row r="298" spans="1:13" s="824" customFormat="1" ht="22.15" customHeight="1" x14ac:dyDescent="0.25">
      <c r="A298" s="864">
        <v>44</v>
      </c>
      <c r="B298" s="865" t="s">
        <v>708</v>
      </c>
      <c r="C298" s="897"/>
      <c r="D298" s="867" t="s">
        <v>136</v>
      </c>
      <c r="E298" s="868" t="s">
        <v>523</v>
      </c>
      <c r="F298" s="869" t="s">
        <v>523</v>
      </c>
      <c r="G298" s="870" t="s">
        <v>707</v>
      </c>
      <c r="H298" s="898"/>
      <c r="I298" s="899"/>
      <c r="J298" s="31">
        <f>Schedule_A!H66</f>
        <v>0</v>
      </c>
      <c r="K298" s="31">
        <f>Schedule_A!I66</f>
        <v>0</v>
      </c>
      <c r="L298" s="892"/>
      <c r="M298" s="893">
        <f t="shared" si="37"/>
        <v>0</v>
      </c>
    </row>
    <row r="299" spans="1:13" s="824" customFormat="1" ht="22.15" customHeight="1" x14ac:dyDescent="0.25">
      <c r="A299" s="864">
        <v>45</v>
      </c>
      <c r="B299" s="865" t="s">
        <v>709</v>
      </c>
      <c r="C299" s="897"/>
      <c r="D299" s="867" t="s">
        <v>136</v>
      </c>
      <c r="E299" s="868" t="s">
        <v>387</v>
      </c>
      <c r="F299" s="869"/>
      <c r="G299" s="870"/>
      <c r="H299" s="898"/>
      <c r="I299" s="899"/>
      <c r="J299" s="31">
        <f>Schedule_A!H67</f>
        <v>0</v>
      </c>
      <c r="K299" s="31">
        <f>Schedule_A!I67</f>
        <v>0</v>
      </c>
      <c r="L299" s="892"/>
      <c r="M299" s="893">
        <f t="shared" si="37"/>
        <v>0</v>
      </c>
    </row>
    <row r="300" spans="1:13" s="824" customFormat="1" ht="22.15" hidden="1" customHeight="1" x14ac:dyDescent="0.25">
      <c r="A300" s="875">
        <v>45</v>
      </c>
      <c r="B300" s="876" t="s">
        <v>709</v>
      </c>
      <c r="C300" s="962"/>
      <c r="D300" s="878" t="s">
        <v>136</v>
      </c>
      <c r="E300" s="879" t="s">
        <v>388</v>
      </c>
      <c r="F300" s="880" t="s">
        <v>710</v>
      </c>
      <c r="G300" s="881" t="s">
        <v>711</v>
      </c>
      <c r="H300" s="1003"/>
      <c r="I300" s="1004"/>
      <c r="J300" s="24">
        <f>J$299</f>
        <v>0</v>
      </c>
      <c r="K300" s="895">
        <f>K$299</f>
        <v>0</v>
      </c>
      <c r="L300" s="894"/>
      <c r="M300" s="1005">
        <f t="shared" si="37"/>
        <v>0</v>
      </c>
    </row>
    <row r="301" spans="1:13" s="824" customFormat="1" ht="22.15" hidden="1" customHeight="1" x14ac:dyDescent="0.25">
      <c r="A301" s="875">
        <v>45</v>
      </c>
      <c r="B301" s="876" t="s">
        <v>709</v>
      </c>
      <c r="C301" s="962"/>
      <c r="D301" s="878" t="s">
        <v>136</v>
      </c>
      <c r="E301" s="879" t="s">
        <v>390</v>
      </c>
      <c r="F301" s="880" t="s">
        <v>712</v>
      </c>
      <c r="G301" s="881" t="s">
        <v>711</v>
      </c>
      <c r="H301" s="1003"/>
      <c r="I301" s="1004"/>
      <c r="J301" s="24">
        <f t="shared" ref="J301:K309" si="38">J$299</f>
        <v>0</v>
      </c>
      <c r="K301" s="895">
        <f t="shared" si="38"/>
        <v>0</v>
      </c>
      <c r="L301" s="894"/>
      <c r="M301" s="1005">
        <f t="shared" si="37"/>
        <v>0</v>
      </c>
    </row>
    <row r="302" spans="1:13" s="824" customFormat="1" ht="22.15" hidden="1" customHeight="1" x14ac:dyDescent="0.25">
      <c r="A302" s="875">
        <v>45</v>
      </c>
      <c r="B302" s="876" t="s">
        <v>709</v>
      </c>
      <c r="C302" s="962"/>
      <c r="D302" s="878" t="s">
        <v>136</v>
      </c>
      <c r="E302" s="879" t="s">
        <v>392</v>
      </c>
      <c r="F302" s="880" t="s">
        <v>713</v>
      </c>
      <c r="G302" s="881" t="s">
        <v>711</v>
      </c>
      <c r="H302" s="1003"/>
      <c r="I302" s="1004"/>
      <c r="J302" s="24">
        <f t="shared" si="38"/>
        <v>0</v>
      </c>
      <c r="K302" s="895">
        <f t="shared" si="38"/>
        <v>0</v>
      </c>
      <c r="L302" s="894"/>
      <c r="M302" s="1005">
        <f t="shared" si="37"/>
        <v>0</v>
      </c>
    </row>
    <row r="303" spans="1:13" s="824" customFormat="1" ht="22.15" hidden="1" customHeight="1" x14ac:dyDescent="0.25">
      <c r="A303" s="875">
        <v>45</v>
      </c>
      <c r="B303" s="876" t="s">
        <v>709</v>
      </c>
      <c r="C303" s="962"/>
      <c r="D303" s="878" t="s">
        <v>136</v>
      </c>
      <c r="E303" s="879" t="s">
        <v>394</v>
      </c>
      <c r="F303" s="880" t="s">
        <v>714</v>
      </c>
      <c r="G303" s="881" t="s">
        <v>711</v>
      </c>
      <c r="H303" s="1003"/>
      <c r="I303" s="1004"/>
      <c r="J303" s="24">
        <f t="shared" si="38"/>
        <v>0</v>
      </c>
      <c r="K303" s="895">
        <f t="shared" si="38"/>
        <v>0</v>
      </c>
      <c r="L303" s="894"/>
      <c r="M303" s="1005">
        <f t="shared" si="37"/>
        <v>0</v>
      </c>
    </row>
    <row r="304" spans="1:13" s="824" customFormat="1" ht="22.15" hidden="1" customHeight="1" x14ac:dyDescent="0.25">
      <c r="A304" s="875">
        <v>45</v>
      </c>
      <c r="B304" s="876" t="s">
        <v>709</v>
      </c>
      <c r="C304" s="962"/>
      <c r="D304" s="878" t="s">
        <v>136</v>
      </c>
      <c r="E304" s="879" t="s">
        <v>396</v>
      </c>
      <c r="F304" s="880" t="s">
        <v>715</v>
      </c>
      <c r="G304" s="881" t="s">
        <v>711</v>
      </c>
      <c r="H304" s="1003"/>
      <c r="I304" s="1004"/>
      <c r="J304" s="24">
        <f t="shared" si="38"/>
        <v>0</v>
      </c>
      <c r="K304" s="895">
        <f t="shared" si="38"/>
        <v>0</v>
      </c>
      <c r="L304" s="894"/>
      <c r="M304" s="1005">
        <f t="shared" si="37"/>
        <v>0</v>
      </c>
    </row>
    <row r="305" spans="1:13" s="824" customFormat="1" ht="22.15" hidden="1" customHeight="1" x14ac:dyDescent="0.25">
      <c r="A305" s="875">
        <v>45</v>
      </c>
      <c r="B305" s="876" t="s">
        <v>709</v>
      </c>
      <c r="C305" s="962"/>
      <c r="D305" s="878" t="s">
        <v>136</v>
      </c>
      <c r="E305" s="879" t="s">
        <v>104</v>
      </c>
      <c r="F305" s="880" t="s">
        <v>716</v>
      </c>
      <c r="G305" s="881" t="s">
        <v>711</v>
      </c>
      <c r="H305" s="1003"/>
      <c r="I305" s="1004"/>
      <c r="J305" s="24">
        <f t="shared" si="38"/>
        <v>0</v>
      </c>
      <c r="K305" s="895">
        <f t="shared" si="38"/>
        <v>0</v>
      </c>
      <c r="L305" s="894"/>
      <c r="M305" s="1005">
        <f t="shared" si="37"/>
        <v>0</v>
      </c>
    </row>
    <row r="306" spans="1:13" s="824" customFormat="1" ht="22.15" hidden="1" customHeight="1" x14ac:dyDescent="0.25">
      <c r="A306" s="875">
        <v>45</v>
      </c>
      <c r="B306" s="876" t="s">
        <v>709</v>
      </c>
      <c r="C306" s="962"/>
      <c r="D306" s="878" t="s">
        <v>136</v>
      </c>
      <c r="E306" s="879" t="s">
        <v>399</v>
      </c>
      <c r="F306" s="880" t="s">
        <v>717</v>
      </c>
      <c r="G306" s="881" t="s">
        <v>711</v>
      </c>
      <c r="H306" s="1003"/>
      <c r="I306" s="1004"/>
      <c r="J306" s="24">
        <f t="shared" si="38"/>
        <v>0</v>
      </c>
      <c r="K306" s="895">
        <f t="shared" si="38"/>
        <v>0</v>
      </c>
      <c r="L306" s="894"/>
      <c r="M306" s="1005">
        <f t="shared" si="37"/>
        <v>0</v>
      </c>
    </row>
    <row r="307" spans="1:13" s="824" customFormat="1" ht="22.15" hidden="1" customHeight="1" x14ac:dyDescent="0.25">
      <c r="A307" s="875">
        <v>45</v>
      </c>
      <c r="B307" s="876" t="s">
        <v>709</v>
      </c>
      <c r="C307" s="962"/>
      <c r="D307" s="878" t="s">
        <v>136</v>
      </c>
      <c r="E307" s="879" t="s">
        <v>401</v>
      </c>
      <c r="F307" s="880" t="s">
        <v>718</v>
      </c>
      <c r="G307" s="881" t="s">
        <v>711</v>
      </c>
      <c r="H307" s="1003"/>
      <c r="I307" s="1004"/>
      <c r="J307" s="24">
        <f t="shared" si="38"/>
        <v>0</v>
      </c>
      <c r="K307" s="895">
        <f t="shared" si="38"/>
        <v>0</v>
      </c>
      <c r="L307" s="894"/>
      <c r="M307" s="1005">
        <f t="shared" si="37"/>
        <v>0</v>
      </c>
    </row>
    <row r="308" spans="1:13" s="824" customFormat="1" ht="22.15" hidden="1" customHeight="1" x14ac:dyDescent="0.25">
      <c r="A308" s="875">
        <v>45</v>
      </c>
      <c r="B308" s="876" t="s">
        <v>709</v>
      </c>
      <c r="C308" s="962"/>
      <c r="D308" s="878" t="s">
        <v>136</v>
      </c>
      <c r="E308" s="879" t="s">
        <v>403</v>
      </c>
      <c r="F308" s="880" t="s">
        <v>719</v>
      </c>
      <c r="G308" s="881" t="s">
        <v>711</v>
      </c>
      <c r="H308" s="1003"/>
      <c r="I308" s="1004"/>
      <c r="J308" s="24">
        <f t="shared" si="38"/>
        <v>0</v>
      </c>
      <c r="K308" s="895">
        <f t="shared" si="38"/>
        <v>0</v>
      </c>
      <c r="L308" s="894"/>
      <c r="M308" s="1005">
        <f t="shared" si="37"/>
        <v>0</v>
      </c>
    </row>
    <row r="309" spans="1:13" s="824" customFormat="1" ht="22.15" hidden="1" customHeight="1" x14ac:dyDescent="0.25">
      <c r="A309" s="875">
        <v>45</v>
      </c>
      <c r="B309" s="876" t="s">
        <v>709</v>
      </c>
      <c r="C309" s="962"/>
      <c r="D309" s="878" t="s">
        <v>136</v>
      </c>
      <c r="E309" s="879" t="s">
        <v>405</v>
      </c>
      <c r="F309" s="880" t="s">
        <v>720</v>
      </c>
      <c r="G309" s="881" t="s">
        <v>711</v>
      </c>
      <c r="H309" s="1003"/>
      <c r="I309" s="1004"/>
      <c r="J309" s="24">
        <f t="shared" si="38"/>
        <v>0</v>
      </c>
      <c r="K309" s="895">
        <f t="shared" si="38"/>
        <v>0</v>
      </c>
      <c r="L309" s="894"/>
      <c r="M309" s="1005">
        <f t="shared" si="37"/>
        <v>0</v>
      </c>
    </row>
    <row r="310" spans="1:13" s="824" customFormat="1" ht="22.15" customHeight="1" x14ac:dyDescent="0.25">
      <c r="A310" s="1006">
        <v>46</v>
      </c>
      <c r="B310" s="1007" t="s">
        <v>139</v>
      </c>
      <c r="C310" s="1008"/>
      <c r="D310" s="1009" t="s">
        <v>136</v>
      </c>
      <c r="E310" s="1010" t="s">
        <v>544</v>
      </c>
      <c r="F310" s="1011" t="s">
        <v>544</v>
      </c>
      <c r="G310" s="1012"/>
      <c r="H310" s="898"/>
      <c r="I310" s="1013"/>
      <c r="J310" s="31">
        <f>Schedule_A!H68</f>
        <v>0</v>
      </c>
      <c r="K310" s="31">
        <f>Schedule_A!I68</f>
        <v>0</v>
      </c>
      <c r="L310" s="892"/>
      <c r="M310" s="1014">
        <f t="shared" si="37"/>
        <v>0</v>
      </c>
    </row>
    <row r="311" spans="1:13" s="824" customFormat="1" ht="22.15" hidden="1" customHeight="1" x14ac:dyDescent="0.25">
      <c r="A311" s="875">
        <v>46</v>
      </c>
      <c r="B311" s="1015" t="s">
        <v>139</v>
      </c>
      <c r="C311" s="1016"/>
      <c r="D311" s="878" t="s">
        <v>136</v>
      </c>
      <c r="E311" s="879" t="s">
        <v>136</v>
      </c>
      <c r="F311" s="880" t="s">
        <v>721</v>
      </c>
      <c r="G311" s="881" t="s">
        <v>722</v>
      </c>
      <c r="H311" s="1017"/>
      <c r="I311" s="1004"/>
      <c r="J311" s="24">
        <f>J$310</f>
        <v>0</v>
      </c>
      <c r="K311" s="942">
        <f>K$310</f>
        <v>0</v>
      </c>
      <c r="L311" s="884"/>
      <c r="M311" s="943">
        <f t="shared" si="37"/>
        <v>0</v>
      </c>
    </row>
    <row r="312" spans="1:13" s="824" customFormat="1" ht="22.15" hidden="1" customHeight="1" x14ac:dyDescent="0.25">
      <c r="A312" s="875">
        <v>46</v>
      </c>
      <c r="B312" s="1015" t="s">
        <v>139</v>
      </c>
      <c r="C312" s="1016"/>
      <c r="D312" s="878" t="s">
        <v>136</v>
      </c>
      <c r="E312" s="879" t="s">
        <v>430</v>
      </c>
      <c r="F312" s="880" t="s">
        <v>723</v>
      </c>
      <c r="G312" s="881" t="s">
        <v>722</v>
      </c>
      <c r="H312" s="1017"/>
      <c r="I312" s="1004"/>
      <c r="J312" s="24">
        <f t="shared" ref="J312:K320" si="39">J$310</f>
        <v>0</v>
      </c>
      <c r="K312" s="942">
        <f t="shared" si="39"/>
        <v>0</v>
      </c>
      <c r="L312" s="884"/>
      <c r="M312" s="1018">
        <f t="shared" si="37"/>
        <v>0</v>
      </c>
    </row>
    <row r="313" spans="1:13" s="824" customFormat="1" ht="22.15" hidden="1" customHeight="1" x14ac:dyDescent="0.25">
      <c r="A313" s="875">
        <v>46</v>
      </c>
      <c r="B313" s="1015" t="s">
        <v>139</v>
      </c>
      <c r="C313" s="1016"/>
      <c r="D313" s="878" t="s">
        <v>136</v>
      </c>
      <c r="E313" s="879" t="s">
        <v>432</v>
      </c>
      <c r="F313" s="880" t="s">
        <v>724</v>
      </c>
      <c r="G313" s="881" t="s">
        <v>722</v>
      </c>
      <c r="H313" s="1017"/>
      <c r="I313" s="1004"/>
      <c r="J313" s="24">
        <f t="shared" si="39"/>
        <v>0</v>
      </c>
      <c r="K313" s="942">
        <f t="shared" si="39"/>
        <v>0</v>
      </c>
      <c r="L313" s="884"/>
      <c r="M313" s="1018">
        <f t="shared" si="37"/>
        <v>0</v>
      </c>
    </row>
    <row r="314" spans="1:13" s="824" customFormat="1" ht="22.15" hidden="1" customHeight="1" x14ac:dyDescent="0.25">
      <c r="A314" s="875">
        <v>46</v>
      </c>
      <c r="B314" s="1015" t="s">
        <v>139</v>
      </c>
      <c r="C314" s="1016"/>
      <c r="D314" s="878" t="s">
        <v>136</v>
      </c>
      <c r="E314" s="879" t="s">
        <v>434</v>
      </c>
      <c r="F314" s="880" t="s">
        <v>725</v>
      </c>
      <c r="G314" s="881" t="s">
        <v>722</v>
      </c>
      <c r="H314" s="1017"/>
      <c r="I314" s="1004"/>
      <c r="J314" s="24">
        <f t="shared" si="39"/>
        <v>0</v>
      </c>
      <c r="K314" s="942">
        <f t="shared" si="39"/>
        <v>0</v>
      </c>
      <c r="L314" s="884"/>
      <c r="M314" s="1018">
        <f t="shared" si="37"/>
        <v>0</v>
      </c>
    </row>
    <row r="315" spans="1:13" s="824" customFormat="1" ht="22.15" hidden="1" customHeight="1" x14ac:dyDescent="0.25">
      <c r="A315" s="875">
        <v>46</v>
      </c>
      <c r="B315" s="1015" t="s">
        <v>139</v>
      </c>
      <c r="C315" s="1016"/>
      <c r="D315" s="878" t="s">
        <v>136</v>
      </c>
      <c r="E315" s="879" t="s">
        <v>436</v>
      </c>
      <c r="F315" s="880" t="s">
        <v>726</v>
      </c>
      <c r="G315" s="881" t="s">
        <v>722</v>
      </c>
      <c r="H315" s="1017"/>
      <c r="I315" s="1004"/>
      <c r="J315" s="24">
        <f t="shared" si="39"/>
        <v>0</v>
      </c>
      <c r="K315" s="942">
        <f t="shared" si="39"/>
        <v>0</v>
      </c>
      <c r="L315" s="884"/>
      <c r="M315" s="1018">
        <f t="shared" si="37"/>
        <v>0</v>
      </c>
    </row>
    <row r="316" spans="1:13" s="824" customFormat="1" ht="22.15" hidden="1" customHeight="1" x14ac:dyDescent="0.25">
      <c r="A316" s="875">
        <v>46</v>
      </c>
      <c r="B316" s="1015" t="s">
        <v>139</v>
      </c>
      <c r="C316" s="1016"/>
      <c r="D316" s="878" t="s">
        <v>136</v>
      </c>
      <c r="E316" s="879" t="s">
        <v>439</v>
      </c>
      <c r="F316" s="880" t="s">
        <v>727</v>
      </c>
      <c r="G316" s="881" t="s">
        <v>722</v>
      </c>
      <c r="H316" s="1017"/>
      <c r="I316" s="1004"/>
      <c r="J316" s="24">
        <f t="shared" si="39"/>
        <v>0</v>
      </c>
      <c r="K316" s="942">
        <f t="shared" si="39"/>
        <v>0</v>
      </c>
      <c r="L316" s="884"/>
      <c r="M316" s="1018">
        <f t="shared" si="37"/>
        <v>0</v>
      </c>
    </row>
    <row r="317" spans="1:13" s="824" customFormat="1" ht="22.15" hidden="1" customHeight="1" x14ac:dyDescent="0.25">
      <c r="A317" s="875">
        <v>46</v>
      </c>
      <c r="B317" s="1015" t="s">
        <v>139</v>
      </c>
      <c r="C317" s="1016"/>
      <c r="D317" s="878" t="s">
        <v>136</v>
      </c>
      <c r="E317" s="879" t="s">
        <v>441</v>
      </c>
      <c r="F317" s="880" t="s">
        <v>728</v>
      </c>
      <c r="G317" s="881" t="s">
        <v>722</v>
      </c>
      <c r="H317" s="1017"/>
      <c r="I317" s="1004"/>
      <c r="J317" s="24">
        <f t="shared" si="39"/>
        <v>0</v>
      </c>
      <c r="K317" s="942">
        <f t="shared" si="39"/>
        <v>0</v>
      </c>
      <c r="L317" s="884"/>
      <c r="M317" s="1018">
        <f t="shared" si="37"/>
        <v>0</v>
      </c>
    </row>
    <row r="318" spans="1:13" s="824" customFormat="1" ht="22.15" hidden="1" customHeight="1" x14ac:dyDescent="0.25">
      <c r="A318" s="875">
        <v>46</v>
      </c>
      <c r="B318" s="1015" t="s">
        <v>139</v>
      </c>
      <c r="C318" s="1016"/>
      <c r="D318" s="878" t="s">
        <v>136</v>
      </c>
      <c r="E318" s="879" t="s">
        <v>443</v>
      </c>
      <c r="F318" s="880" t="s">
        <v>729</v>
      </c>
      <c r="G318" s="881" t="s">
        <v>722</v>
      </c>
      <c r="H318" s="1017"/>
      <c r="I318" s="1004"/>
      <c r="J318" s="24">
        <f t="shared" si="39"/>
        <v>0</v>
      </c>
      <c r="K318" s="942">
        <f t="shared" si="39"/>
        <v>0</v>
      </c>
      <c r="L318" s="884"/>
      <c r="M318" s="1018">
        <f t="shared" si="37"/>
        <v>0</v>
      </c>
    </row>
    <row r="319" spans="1:13" s="824" customFormat="1" ht="22.15" hidden="1" customHeight="1" x14ac:dyDescent="0.25">
      <c r="A319" s="875">
        <v>46</v>
      </c>
      <c r="B319" s="1015" t="s">
        <v>139</v>
      </c>
      <c r="C319" s="1016"/>
      <c r="D319" s="878" t="s">
        <v>136</v>
      </c>
      <c r="E319" s="879" t="s">
        <v>445</v>
      </c>
      <c r="F319" s="880" t="s">
        <v>730</v>
      </c>
      <c r="G319" s="881" t="s">
        <v>722</v>
      </c>
      <c r="H319" s="1017"/>
      <c r="I319" s="1004"/>
      <c r="J319" s="24">
        <f t="shared" si="39"/>
        <v>0</v>
      </c>
      <c r="K319" s="942">
        <f t="shared" si="39"/>
        <v>0</v>
      </c>
      <c r="L319" s="884"/>
      <c r="M319" s="1018">
        <f t="shared" si="37"/>
        <v>0</v>
      </c>
    </row>
    <row r="320" spans="1:13" s="824" customFormat="1" ht="22.15" hidden="1" customHeight="1" x14ac:dyDescent="0.25">
      <c r="A320" s="875">
        <v>46</v>
      </c>
      <c r="B320" s="1015" t="s">
        <v>139</v>
      </c>
      <c r="C320" s="1016"/>
      <c r="D320" s="878" t="s">
        <v>136</v>
      </c>
      <c r="E320" s="879" t="s">
        <v>447</v>
      </c>
      <c r="F320" s="880" t="s">
        <v>731</v>
      </c>
      <c r="G320" s="881" t="s">
        <v>722</v>
      </c>
      <c r="H320" s="1017"/>
      <c r="I320" s="1004"/>
      <c r="J320" s="24">
        <f t="shared" si="39"/>
        <v>0</v>
      </c>
      <c r="K320" s="942">
        <f t="shared" si="39"/>
        <v>0</v>
      </c>
      <c r="L320" s="884"/>
      <c r="M320" s="1018">
        <f t="shared" si="37"/>
        <v>0</v>
      </c>
    </row>
    <row r="321" spans="1:13" s="824" customFormat="1" ht="22.15" customHeight="1" x14ac:dyDescent="0.25">
      <c r="A321" s="1019">
        <v>47</v>
      </c>
      <c r="B321" s="865" t="s">
        <v>140</v>
      </c>
      <c r="C321" s="897"/>
      <c r="D321" s="867" t="s">
        <v>136</v>
      </c>
      <c r="E321" s="868" t="s">
        <v>141</v>
      </c>
      <c r="F321" s="869" t="s">
        <v>732</v>
      </c>
      <c r="G321" s="870" t="s">
        <v>733</v>
      </c>
      <c r="H321" s="973"/>
      <c r="I321" s="899"/>
      <c r="J321" s="31">
        <f>Schedule_A!H69</f>
        <v>0</v>
      </c>
      <c r="K321" s="31">
        <f>Schedule_A!I69</f>
        <v>0</v>
      </c>
      <c r="L321" s="873"/>
      <c r="M321" s="918">
        <f t="shared" si="37"/>
        <v>0</v>
      </c>
    </row>
    <row r="322" spans="1:13" s="824" customFormat="1" ht="22.15" customHeight="1" x14ac:dyDescent="0.25">
      <c r="A322" s="864">
        <v>48</v>
      </c>
      <c r="B322" s="865" t="s">
        <v>142</v>
      </c>
      <c r="C322" s="897"/>
      <c r="D322" s="867" t="s">
        <v>136</v>
      </c>
      <c r="E322" s="868" t="s">
        <v>143</v>
      </c>
      <c r="F322" s="869" t="s">
        <v>734</v>
      </c>
      <c r="G322" s="870" t="s">
        <v>733</v>
      </c>
      <c r="H322" s="898"/>
      <c r="I322" s="899"/>
      <c r="J322" s="31">
        <f>Schedule_A!H70</f>
        <v>0</v>
      </c>
      <c r="K322" s="891">
        <f>Schedule_A!I70</f>
        <v>0</v>
      </c>
      <c r="L322" s="892"/>
      <c r="M322" s="893">
        <f t="shared" si="37"/>
        <v>0</v>
      </c>
    </row>
    <row r="323" spans="1:13" s="824" customFormat="1" ht="22.15" customHeight="1" x14ac:dyDescent="0.25">
      <c r="A323" s="864">
        <v>49</v>
      </c>
      <c r="B323" s="935" t="s">
        <v>144</v>
      </c>
      <c r="C323" s="963"/>
      <c r="D323" s="1020" t="s">
        <v>136</v>
      </c>
      <c r="E323" s="1021" t="s">
        <v>145</v>
      </c>
      <c r="F323" s="1022" t="s">
        <v>735</v>
      </c>
      <c r="G323" s="1023" t="s">
        <v>733</v>
      </c>
      <c r="H323" s="1024"/>
      <c r="I323" s="914"/>
      <c r="J323" s="31">
        <f>Schedule_A!H71</f>
        <v>0</v>
      </c>
      <c r="K323" s="1025">
        <f>Schedule_A!I71</f>
        <v>0</v>
      </c>
      <c r="L323" s="923"/>
      <c r="M323" s="953">
        <f t="shared" si="37"/>
        <v>0</v>
      </c>
    </row>
    <row r="324" spans="1:13" s="824" customFormat="1" ht="22.15" customHeight="1" x14ac:dyDescent="0.25">
      <c r="A324" s="864">
        <v>50</v>
      </c>
      <c r="B324" s="919" t="s">
        <v>146</v>
      </c>
      <c r="C324" s="1026"/>
      <c r="D324" s="1027" t="s">
        <v>136</v>
      </c>
      <c r="E324" s="1028" t="s">
        <v>147</v>
      </c>
      <c r="F324" s="1029" t="s">
        <v>736</v>
      </c>
      <c r="G324" s="1030" t="s">
        <v>733</v>
      </c>
      <c r="H324" s="1031"/>
      <c r="I324" s="1032"/>
      <c r="J324" s="31">
        <f>Schedule_A!H72</f>
        <v>0</v>
      </c>
      <c r="K324" s="891">
        <f>Schedule_A!I72</f>
        <v>0</v>
      </c>
      <c r="L324" s="892"/>
      <c r="M324" s="1033">
        <f t="shared" si="37"/>
        <v>0</v>
      </c>
    </row>
    <row r="325" spans="1:13" s="824" customFormat="1" ht="22.15" customHeight="1" thickBot="1" x14ac:dyDescent="0.3">
      <c r="A325" s="1034">
        <v>51</v>
      </c>
      <c r="B325" s="1035" t="s">
        <v>148</v>
      </c>
      <c r="C325" s="1036"/>
      <c r="D325" s="1037" t="s">
        <v>136</v>
      </c>
      <c r="E325" s="1038" t="s">
        <v>149</v>
      </c>
      <c r="F325" s="1039" t="s">
        <v>737</v>
      </c>
      <c r="G325" s="1040" t="s">
        <v>733</v>
      </c>
      <c r="H325" s="1041"/>
      <c r="I325" s="1042"/>
      <c r="J325" s="36">
        <f>Schedule_A!H73</f>
        <v>0</v>
      </c>
      <c r="K325" s="1043">
        <f>Schedule_A!I73</f>
        <v>0</v>
      </c>
      <c r="L325" s="1044"/>
      <c r="M325" s="1045">
        <f t="shared" si="37"/>
        <v>0</v>
      </c>
    </row>
    <row r="326" spans="1:13" x14ac:dyDescent="0.25">
      <c r="I326" s="245"/>
      <c r="K326" s="245"/>
      <c r="L326" s="245"/>
      <c r="M326" s="245"/>
    </row>
    <row r="327" spans="1:13" x14ac:dyDescent="0.25">
      <c r="B327" s="246"/>
      <c r="I327" s="245"/>
      <c r="J327" s="825"/>
      <c r="K327" s="245"/>
      <c r="L327" s="245"/>
      <c r="M327" s="245"/>
    </row>
  </sheetData>
  <sheetProtection algorithmName="SHA-512" hashValue="2EG1uctW9WSGQtYwotW+ywhFpHNdq3aswillOGLU8YDa0nXQoOUGD/kzkjnS+dJwzjPEEV4OisbMFp9wZqxX2g==" saltValue="kGQm66QGFB3sh8UBaa/+hw==" spinCount="100000" sheet="1" objects="1" scenarios="1"/>
  <mergeCells count="7">
    <mergeCell ref="A296:A297"/>
    <mergeCell ref="A116:A117"/>
    <mergeCell ref="A162:A163"/>
    <mergeCell ref="I162:I163"/>
    <mergeCell ref="A174:A175"/>
    <mergeCell ref="I282:J283"/>
    <mergeCell ref="I289:M29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22E7-15C0-42E3-AB5A-EAE1D164A21A}">
  <dimension ref="A1:G31"/>
  <sheetViews>
    <sheetView zoomScale="110" zoomScaleNormal="110" workbookViewId="0"/>
  </sheetViews>
  <sheetFormatPr defaultColWidth="8.77734375" defaultRowHeight="15" x14ac:dyDescent="0.2"/>
  <cols>
    <col min="1" max="1" width="3" style="718" customWidth="1"/>
    <col min="2" max="2" width="14.109375" style="718" customWidth="1"/>
    <col min="3" max="3" width="12.21875" style="718" customWidth="1"/>
    <col min="4" max="4" width="30.77734375" style="718" customWidth="1"/>
    <col min="5" max="5" width="12.77734375" style="718" customWidth="1"/>
    <col min="6" max="6" width="8.77734375" style="718"/>
    <col min="7" max="7" width="38.21875" style="719" customWidth="1"/>
    <col min="8" max="16384" width="8.77734375" style="720"/>
  </cols>
  <sheetData>
    <row r="1" spans="1:7" s="717" customFormat="1" ht="15.75" thickBot="1" x14ac:dyDescent="0.25">
      <c r="A1" s="581" t="s">
        <v>13</v>
      </c>
      <c r="B1" s="581"/>
      <c r="C1" s="581"/>
      <c r="D1" s="581"/>
      <c r="E1" s="581"/>
      <c r="F1" s="660"/>
      <c r="G1" s="746" t="s">
        <v>12</v>
      </c>
    </row>
    <row r="2" spans="1:7" ht="15.75" thickTop="1" x14ac:dyDescent="0.2">
      <c r="A2" s="662" t="s">
        <v>15</v>
      </c>
      <c r="B2" s="722"/>
      <c r="C2" s="722"/>
      <c r="D2" s="722"/>
      <c r="E2" s="722"/>
      <c r="F2" s="722"/>
      <c r="G2" s="723"/>
    </row>
    <row r="3" spans="1:7" x14ac:dyDescent="0.2">
      <c r="A3" s="664" t="s">
        <v>295</v>
      </c>
      <c r="B3" s="724"/>
      <c r="C3" s="724"/>
      <c r="D3" s="724"/>
      <c r="E3" s="724"/>
      <c r="F3" s="724"/>
      <c r="G3" s="723"/>
    </row>
    <row r="4" spans="1:7" x14ac:dyDescent="0.2">
      <c r="A4" s="725" t="s">
        <v>296</v>
      </c>
      <c r="B4" s="724"/>
      <c r="C4" s="724"/>
      <c r="D4" s="724"/>
      <c r="E4" s="724"/>
      <c r="F4" s="724"/>
      <c r="G4" s="726" t="s">
        <v>310</v>
      </c>
    </row>
    <row r="5" spans="1:7" x14ac:dyDescent="0.2">
      <c r="A5" s="727"/>
      <c r="B5" s="728"/>
      <c r="C5" s="729" t="s">
        <v>297</v>
      </c>
      <c r="D5" s="730" t="s">
        <v>298</v>
      </c>
      <c r="E5" s="728"/>
      <c r="F5" s="728"/>
      <c r="G5" s="731"/>
    </row>
    <row r="6" spans="1:7" x14ac:dyDescent="0.2">
      <c r="A6" s="727"/>
      <c r="B6" s="728"/>
      <c r="C6" s="729" t="s">
        <v>299</v>
      </c>
      <c r="D6" s="730" t="s">
        <v>48</v>
      </c>
      <c r="E6" s="728"/>
      <c r="F6" s="728"/>
      <c r="G6" s="732"/>
    </row>
    <row r="7" spans="1:7" x14ac:dyDescent="0.2">
      <c r="A7" s="728"/>
      <c r="B7" s="728"/>
      <c r="C7" s="728"/>
      <c r="D7" s="727"/>
      <c r="E7" s="728"/>
      <c r="F7" s="728"/>
      <c r="G7" s="731"/>
    </row>
    <row r="8" spans="1:7" x14ac:dyDescent="0.2">
      <c r="A8" s="733"/>
      <c r="B8" s="734"/>
      <c r="C8" s="735" t="s">
        <v>300</v>
      </c>
      <c r="D8" s="747" t="str">
        <f>Info!B7</f>
        <v>ABC Mental Health Center</v>
      </c>
      <c r="E8" s="737" t="s">
        <v>19</v>
      </c>
      <c r="F8" s="737" t="s">
        <v>20</v>
      </c>
      <c r="G8" s="737" t="s">
        <v>21</v>
      </c>
    </row>
    <row r="9" spans="1:7" x14ac:dyDescent="0.2">
      <c r="A9" s="733"/>
      <c r="B9" s="734"/>
      <c r="C9" s="735" t="s">
        <v>5</v>
      </c>
      <c r="D9" s="738" t="str">
        <f>Info!B8</f>
        <v>00100</v>
      </c>
      <c r="E9" s="1827" t="s">
        <v>301</v>
      </c>
      <c r="F9" s="1829" t="s">
        <v>302</v>
      </c>
      <c r="G9" s="1829" t="s">
        <v>303</v>
      </c>
    </row>
    <row r="10" spans="1:7" ht="30.75" customHeight="1" x14ac:dyDescent="0.2">
      <c r="A10" s="1831" t="s">
        <v>304</v>
      </c>
      <c r="B10" s="1832"/>
      <c r="C10" s="1832"/>
      <c r="D10" s="1833"/>
      <c r="E10" s="1828"/>
      <c r="F10" s="1830"/>
      <c r="G10" s="1830"/>
    </row>
    <row r="11" spans="1:7" x14ac:dyDescent="0.2">
      <c r="A11" s="739">
        <v>1</v>
      </c>
      <c r="B11" s="1824"/>
      <c r="C11" s="1825"/>
      <c r="D11" s="1826"/>
      <c r="E11" s="1625"/>
      <c r="F11" s="1626"/>
      <c r="G11" s="1627" t="s">
        <v>123</v>
      </c>
    </row>
    <row r="12" spans="1:7" x14ac:dyDescent="0.2">
      <c r="A12" s="739">
        <v>2</v>
      </c>
      <c r="B12" s="1824"/>
      <c r="C12" s="1825"/>
      <c r="D12" s="1826"/>
      <c r="E12" s="1625"/>
      <c r="F12" s="1626"/>
      <c r="G12" s="1627" t="s">
        <v>123</v>
      </c>
    </row>
    <row r="13" spans="1:7" x14ac:dyDescent="0.2">
      <c r="A13" s="739">
        <v>3</v>
      </c>
      <c r="B13" s="1824"/>
      <c r="C13" s="1825"/>
      <c r="D13" s="1826"/>
      <c r="E13" s="1625"/>
      <c r="F13" s="1626"/>
      <c r="G13" s="1627" t="s">
        <v>123</v>
      </c>
    </row>
    <row r="14" spans="1:7" x14ac:dyDescent="0.2">
      <c r="A14" s="739">
        <v>4</v>
      </c>
      <c r="B14" s="1824"/>
      <c r="C14" s="1825"/>
      <c r="D14" s="1826"/>
      <c r="E14" s="1625"/>
      <c r="F14" s="1626"/>
      <c r="G14" s="1627" t="s">
        <v>123</v>
      </c>
    </row>
    <row r="15" spans="1:7" x14ac:dyDescent="0.2">
      <c r="A15" s="739">
        <v>5</v>
      </c>
      <c r="B15" s="1824"/>
      <c r="C15" s="1825"/>
      <c r="D15" s="1826"/>
      <c r="E15" s="1625"/>
      <c r="F15" s="1626"/>
      <c r="G15" s="1627" t="s">
        <v>123</v>
      </c>
    </row>
    <row r="16" spans="1:7" x14ac:dyDescent="0.2">
      <c r="A16" s="739">
        <v>6</v>
      </c>
      <c r="B16" s="1824"/>
      <c r="C16" s="1825"/>
      <c r="D16" s="1826"/>
      <c r="E16" s="1625"/>
      <c r="F16" s="1626"/>
      <c r="G16" s="1627" t="s">
        <v>123</v>
      </c>
    </row>
    <row r="17" spans="1:7" x14ac:dyDescent="0.2">
      <c r="A17" s="739">
        <v>7</v>
      </c>
      <c r="B17" s="1824"/>
      <c r="C17" s="1825"/>
      <c r="D17" s="1826"/>
      <c r="E17" s="1625"/>
      <c r="F17" s="1626"/>
      <c r="G17" s="1627" t="s">
        <v>123</v>
      </c>
    </row>
    <row r="18" spans="1:7" x14ac:dyDescent="0.2">
      <c r="A18" s="739">
        <v>8</v>
      </c>
      <c r="B18" s="1824"/>
      <c r="C18" s="1825"/>
      <c r="D18" s="1826"/>
      <c r="E18" s="1625"/>
      <c r="F18" s="1626"/>
      <c r="G18" s="1627" t="s">
        <v>123</v>
      </c>
    </row>
    <row r="19" spans="1:7" x14ac:dyDescent="0.2">
      <c r="A19" s="739">
        <v>9</v>
      </c>
      <c r="B19" s="1824"/>
      <c r="C19" s="1825"/>
      <c r="D19" s="1826"/>
      <c r="E19" s="1625"/>
      <c r="F19" s="1626"/>
      <c r="G19" s="1627" t="s">
        <v>123</v>
      </c>
    </row>
    <row r="20" spans="1:7" x14ac:dyDescent="0.2">
      <c r="A20" s="739">
        <v>10</v>
      </c>
      <c r="B20" s="1824"/>
      <c r="C20" s="1825"/>
      <c r="D20" s="1826"/>
      <c r="E20" s="1625"/>
      <c r="F20" s="1626"/>
      <c r="G20" s="1627" t="s">
        <v>123</v>
      </c>
    </row>
    <row r="21" spans="1:7" x14ac:dyDescent="0.2">
      <c r="A21" s="739">
        <v>11</v>
      </c>
      <c r="B21" s="1824"/>
      <c r="C21" s="1825"/>
      <c r="D21" s="1826"/>
      <c r="E21" s="1625"/>
      <c r="F21" s="1626"/>
      <c r="G21" s="1627" t="s">
        <v>123</v>
      </c>
    </row>
    <row r="22" spans="1:7" x14ac:dyDescent="0.2">
      <c r="A22" s="739">
        <v>12</v>
      </c>
      <c r="B22" s="1824"/>
      <c r="C22" s="1825"/>
      <c r="D22" s="1826"/>
      <c r="E22" s="1625"/>
      <c r="F22" s="1626"/>
      <c r="G22" s="1627" t="s">
        <v>123</v>
      </c>
    </row>
    <row r="23" spans="1:7" x14ac:dyDescent="0.2">
      <c r="A23" s="739">
        <v>13</v>
      </c>
      <c r="B23" s="1824"/>
      <c r="C23" s="1825"/>
      <c r="D23" s="1826"/>
      <c r="E23" s="1625"/>
      <c r="F23" s="1626"/>
      <c r="G23" s="1627" t="s">
        <v>123</v>
      </c>
    </row>
    <row r="24" spans="1:7" x14ac:dyDescent="0.2">
      <c r="A24" s="739">
        <v>14</v>
      </c>
      <c r="B24" s="1824"/>
      <c r="C24" s="1825"/>
      <c r="D24" s="1826"/>
      <c r="E24" s="1625"/>
      <c r="F24" s="1626"/>
      <c r="G24" s="1627" t="s">
        <v>123</v>
      </c>
    </row>
    <row r="25" spans="1:7" x14ac:dyDescent="0.2">
      <c r="A25" s="739">
        <v>15</v>
      </c>
      <c r="B25" s="1824"/>
      <c r="C25" s="1825"/>
      <c r="D25" s="1826"/>
      <c r="E25" s="1625"/>
      <c r="F25" s="1626"/>
      <c r="G25" s="1627" t="s">
        <v>123</v>
      </c>
    </row>
    <row r="26" spans="1:7" x14ac:dyDescent="0.2">
      <c r="A26" s="739">
        <v>16</v>
      </c>
      <c r="B26" s="1824"/>
      <c r="C26" s="1825"/>
      <c r="D26" s="1826"/>
      <c r="E26" s="1625"/>
      <c r="F26" s="1626"/>
      <c r="G26" s="1627" t="s">
        <v>123</v>
      </c>
    </row>
    <row r="27" spans="1:7" x14ac:dyDescent="0.2">
      <c r="A27" s="739">
        <v>17</v>
      </c>
      <c r="B27" s="1824"/>
      <c r="C27" s="1825"/>
      <c r="D27" s="1826"/>
      <c r="E27" s="1625"/>
      <c r="F27" s="1626"/>
      <c r="G27" s="1627" t="s">
        <v>123</v>
      </c>
    </row>
    <row r="28" spans="1:7" x14ac:dyDescent="0.2">
      <c r="A28" s="739">
        <v>18</v>
      </c>
      <c r="B28" s="1824"/>
      <c r="C28" s="1825"/>
      <c r="D28" s="1826"/>
      <c r="E28" s="1625"/>
      <c r="F28" s="1626"/>
      <c r="G28" s="1627" t="s">
        <v>123</v>
      </c>
    </row>
    <row r="29" spans="1:7" x14ac:dyDescent="0.2">
      <c r="A29" s="739">
        <v>19</v>
      </c>
      <c r="B29" s="1824"/>
      <c r="C29" s="1825"/>
      <c r="D29" s="1826"/>
      <c r="E29" s="1625"/>
      <c r="F29" s="1628"/>
      <c r="G29" s="1629" t="s">
        <v>123</v>
      </c>
    </row>
    <row r="30" spans="1:7" x14ac:dyDescent="0.2">
      <c r="A30" s="740">
        <v>20</v>
      </c>
      <c r="B30" s="1834" t="s">
        <v>305</v>
      </c>
      <c r="C30" s="1835"/>
      <c r="D30" s="1836"/>
      <c r="E30" s="744">
        <f>SUM(E11:E29)</f>
        <v>0</v>
      </c>
      <c r="F30" s="748"/>
      <c r="G30" s="21"/>
    </row>
    <row r="31" spans="1:7" x14ac:dyDescent="0.2">
      <c r="G31" s="721"/>
    </row>
  </sheetData>
  <sheetProtection algorithmName="SHA-512" hashValue="OG9v84fxwuzobCAf7QOPsG6077M6exonojypna0jxeBhxX2KsNiK1kN3JZRQY9V0K6+03F6Qu5fVQtz1avqGsw==" saltValue="tOwk/wq9Vh39GiGLPgbyPw==" spinCount="100000" sheet="1" objects="1" scenarios="1"/>
  <mergeCells count="24"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18:D18"/>
    <mergeCell ref="E9:E10"/>
    <mergeCell ref="F9:F10"/>
    <mergeCell ref="G9:G10"/>
    <mergeCell ref="A10:D10"/>
    <mergeCell ref="B11:D11"/>
    <mergeCell ref="B12:D12"/>
    <mergeCell ref="B13:D13"/>
    <mergeCell ref="B14:D14"/>
    <mergeCell ref="B15:D15"/>
    <mergeCell ref="B16:D16"/>
    <mergeCell ref="B17:D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AFE0-1755-4DB7-BB25-44A07C910096}">
  <dimension ref="A1:G31"/>
  <sheetViews>
    <sheetView zoomScale="110" zoomScaleNormal="110" workbookViewId="0"/>
  </sheetViews>
  <sheetFormatPr defaultColWidth="8.77734375" defaultRowHeight="15" x14ac:dyDescent="0.2"/>
  <cols>
    <col min="1" max="1" width="3" style="718" customWidth="1"/>
    <col min="2" max="2" width="2.21875" style="718" customWidth="1"/>
    <col min="3" max="3" width="12.21875" style="718" customWidth="1"/>
    <col min="4" max="4" width="30.77734375" style="718" customWidth="1"/>
    <col min="5" max="5" width="12.77734375" style="718" customWidth="1"/>
    <col min="6" max="6" width="8.77734375" style="718"/>
    <col min="7" max="7" width="39.21875" style="719" customWidth="1"/>
    <col min="8" max="16384" width="8.77734375" style="720"/>
  </cols>
  <sheetData>
    <row r="1" spans="1:7" s="717" customFormat="1" ht="15.75" thickBot="1" x14ac:dyDescent="0.25">
      <c r="A1" s="581" t="s">
        <v>13</v>
      </c>
      <c r="B1" s="581"/>
      <c r="C1" s="581"/>
      <c r="D1" s="581"/>
      <c r="E1" s="581"/>
      <c r="F1" s="660"/>
      <c r="G1" s="660" t="s">
        <v>12</v>
      </c>
    </row>
    <row r="2" spans="1:7" ht="15.75" thickTop="1" x14ac:dyDescent="0.2">
      <c r="A2" s="662" t="s">
        <v>15</v>
      </c>
      <c r="B2" s="722"/>
      <c r="C2" s="722"/>
      <c r="D2" s="722"/>
      <c r="E2" s="722"/>
      <c r="F2" s="722"/>
      <c r="G2" s="723"/>
    </row>
    <row r="3" spans="1:7" x14ac:dyDescent="0.2">
      <c r="A3" s="664" t="s">
        <v>306</v>
      </c>
      <c r="B3" s="724"/>
      <c r="C3" s="724"/>
      <c r="D3" s="724"/>
      <c r="E3" s="724"/>
      <c r="F3" s="724"/>
      <c r="G3" s="723"/>
    </row>
    <row r="4" spans="1:7" x14ac:dyDescent="0.2">
      <c r="A4" s="725" t="s">
        <v>307</v>
      </c>
      <c r="B4" s="724"/>
      <c r="C4" s="724"/>
      <c r="D4" s="724"/>
      <c r="E4" s="724"/>
      <c r="F4" s="724"/>
      <c r="G4" s="726" t="s">
        <v>310</v>
      </c>
    </row>
    <row r="5" spans="1:7" x14ac:dyDescent="0.2">
      <c r="A5" s="727"/>
      <c r="B5" s="728"/>
      <c r="C5" s="729" t="s">
        <v>297</v>
      </c>
      <c r="D5" s="730" t="s">
        <v>298</v>
      </c>
      <c r="E5" s="728"/>
      <c r="F5" s="728"/>
      <c r="G5" s="731"/>
    </row>
    <row r="6" spans="1:7" x14ac:dyDescent="0.2">
      <c r="A6" s="727"/>
      <c r="B6" s="728"/>
      <c r="C6" s="729" t="s">
        <v>299</v>
      </c>
      <c r="D6" s="730" t="s">
        <v>48</v>
      </c>
      <c r="E6" s="728"/>
      <c r="F6" s="728"/>
      <c r="G6" s="732"/>
    </row>
    <row r="7" spans="1:7" x14ac:dyDescent="0.2">
      <c r="A7" s="728"/>
      <c r="B7" s="728"/>
      <c r="C7" s="728"/>
      <c r="D7" s="727"/>
      <c r="E7" s="728"/>
      <c r="F7" s="728"/>
      <c r="G7" s="731"/>
    </row>
    <row r="8" spans="1:7" x14ac:dyDescent="0.2">
      <c r="A8" s="733"/>
      <c r="B8" s="734"/>
      <c r="C8" s="735" t="s">
        <v>300</v>
      </c>
      <c r="D8" s="736" t="str">
        <f>Info!B7</f>
        <v>ABC Mental Health Center</v>
      </c>
      <c r="E8" s="737" t="s">
        <v>19</v>
      </c>
      <c r="F8" s="737" t="s">
        <v>20</v>
      </c>
      <c r="G8" s="737" t="s">
        <v>21</v>
      </c>
    </row>
    <row r="9" spans="1:7" x14ac:dyDescent="0.2">
      <c r="A9" s="733"/>
      <c r="B9" s="734"/>
      <c r="C9" s="735" t="s">
        <v>5</v>
      </c>
      <c r="D9" s="738" t="str">
        <f>Info!B8</f>
        <v>00100</v>
      </c>
      <c r="E9" s="1827" t="s">
        <v>301</v>
      </c>
      <c r="F9" s="1829" t="s">
        <v>308</v>
      </c>
      <c r="G9" s="1829" t="s">
        <v>303</v>
      </c>
    </row>
    <row r="10" spans="1:7" ht="30" customHeight="1" x14ac:dyDescent="0.2">
      <c r="A10" s="1831" t="s">
        <v>304</v>
      </c>
      <c r="B10" s="1832"/>
      <c r="C10" s="1832"/>
      <c r="D10" s="1833"/>
      <c r="E10" s="1828"/>
      <c r="F10" s="1830"/>
      <c r="G10" s="1830"/>
    </row>
    <row r="11" spans="1:7" x14ac:dyDescent="0.2">
      <c r="A11" s="739">
        <v>1</v>
      </c>
      <c r="B11" s="1837"/>
      <c r="C11" s="1838"/>
      <c r="D11" s="1839"/>
      <c r="E11" s="1625"/>
      <c r="F11" s="1626"/>
      <c r="G11" s="1630"/>
    </row>
    <row r="12" spans="1:7" x14ac:dyDescent="0.2">
      <c r="A12" s="739">
        <v>2</v>
      </c>
      <c r="B12" s="1837"/>
      <c r="C12" s="1838"/>
      <c r="D12" s="1839"/>
      <c r="E12" s="1625"/>
      <c r="F12" s="1626"/>
      <c r="G12" s="1630"/>
    </row>
    <row r="13" spans="1:7" x14ac:dyDescent="0.2">
      <c r="A13" s="739">
        <v>3</v>
      </c>
      <c r="B13" s="1824"/>
      <c r="C13" s="1825"/>
      <c r="D13" s="1826"/>
      <c r="E13" s="1625"/>
      <c r="F13" s="1626"/>
      <c r="G13" s="1630" t="s">
        <v>123</v>
      </c>
    </row>
    <row r="14" spans="1:7" x14ac:dyDescent="0.2">
      <c r="A14" s="739">
        <v>4</v>
      </c>
      <c r="B14" s="1837"/>
      <c r="C14" s="1838"/>
      <c r="D14" s="1839"/>
      <c r="E14" s="1625"/>
      <c r="F14" s="1626"/>
      <c r="G14" s="1630" t="s">
        <v>123</v>
      </c>
    </row>
    <row r="15" spans="1:7" x14ac:dyDescent="0.2">
      <c r="A15" s="739">
        <v>5</v>
      </c>
      <c r="B15" s="1837"/>
      <c r="C15" s="1838"/>
      <c r="D15" s="1839"/>
      <c r="E15" s="1625"/>
      <c r="F15" s="1626"/>
      <c r="G15" s="1630" t="s">
        <v>123</v>
      </c>
    </row>
    <row r="16" spans="1:7" x14ac:dyDescent="0.2">
      <c r="A16" s="739">
        <v>6</v>
      </c>
      <c r="B16" s="1837"/>
      <c r="C16" s="1838"/>
      <c r="D16" s="1839"/>
      <c r="E16" s="1625"/>
      <c r="F16" s="1626"/>
      <c r="G16" s="1630" t="s">
        <v>123</v>
      </c>
    </row>
    <row r="17" spans="1:7" x14ac:dyDescent="0.2">
      <c r="A17" s="739">
        <v>7</v>
      </c>
      <c r="B17" s="1837"/>
      <c r="C17" s="1838"/>
      <c r="D17" s="1839"/>
      <c r="E17" s="1625"/>
      <c r="F17" s="1626"/>
      <c r="G17" s="1630" t="s">
        <v>123</v>
      </c>
    </row>
    <row r="18" spans="1:7" x14ac:dyDescent="0.2">
      <c r="A18" s="739">
        <v>8</v>
      </c>
      <c r="B18" s="1837"/>
      <c r="C18" s="1838"/>
      <c r="D18" s="1839"/>
      <c r="E18" s="1625"/>
      <c r="F18" s="1626"/>
      <c r="G18" s="1630" t="s">
        <v>123</v>
      </c>
    </row>
    <row r="19" spans="1:7" x14ac:dyDescent="0.2">
      <c r="A19" s="739">
        <v>9</v>
      </c>
      <c r="B19" s="1837"/>
      <c r="C19" s="1838"/>
      <c r="D19" s="1839"/>
      <c r="E19" s="1625"/>
      <c r="F19" s="1626"/>
      <c r="G19" s="1630" t="s">
        <v>123</v>
      </c>
    </row>
    <row r="20" spans="1:7" x14ac:dyDescent="0.2">
      <c r="A20" s="739">
        <v>10</v>
      </c>
      <c r="B20" s="1837"/>
      <c r="C20" s="1838"/>
      <c r="D20" s="1839"/>
      <c r="E20" s="1625"/>
      <c r="F20" s="1626"/>
      <c r="G20" s="1630" t="s">
        <v>123</v>
      </c>
    </row>
    <row r="21" spans="1:7" x14ac:dyDescent="0.2">
      <c r="A21" s="739">
        <v>11</v>
      </c>
      <c r="B21" s="1837"/>
      <c r="C21" s="1838"/>
      <c r="D21" s="1839"/>
      <c r="E21" s="1625"/>
      <c r="F21" s="1626"/>
      <c r="G21" s="1630" t="s">
        <v>123</v>
      </c>
    </row>
    <row r="22" spans="1:7" x14ac:dyDescent="0.2">
      <c r="A22" s="739">
        <v>12</v>
      </c>
      <c r="B22" s="1837"/>
      <c r="C22" s="1838"/>
      <c r="D22" s="1839"/>
      <c r="E22" s="1625"/>
      <c r="F22" s="1626"/>
      <c r="G22" s="1630" t="s">
        <v>123</v>
      </c>
    </row>
    <row r="23" spans="1:7" x14ac:dyDescent="0.2">
      <c r="A23" s="739">
        <v>13</v>
      </c>
      <c r="B23" s="1837"/>
      <c r="C23" s="1838"/>
      <c r="D23" s="1839"/>
      <c r="E23" s="1625"/>
      <c r="F23" s="1626"/>
      <c r="G23" s="1630" t="s">
        <v>123</v>
      </c>
    </row>
    <row r="24" spans="1:7" x14ac:dyDescent="0.2">
      <c r="A24" s="739">
        <v>14</v>
      </c>
      <c r="B24" s="1837"/>
      <c r="C24" s="1838"/>
      <c r="D24" s="1839"/>
      <c r="E24" s="1625"/>
      <c r="F24" s="1626"/>
      <c r="G24" s="1630" t="s">
        <v>123</v>
      </c>
    </row>
    <row r="25" spans="1:7" x14ac:dyDescent="0.2">
      <c r="A25" s="739">
        <v>15</v>
      </c>
      <c r="B25" s="1837"/>
      <c r="C25" s="1838"/>
      <c r="D25" s="1839"/>
      <c r="E25" s="1625"/>
      <c r="F25" s="1626"/>
      <c r="G25" s="1630" t="s">
        <v>123</v>
      </c>
    </row>
    <row r="26" spans="1:7" x14ac:dyDescent="0.2">
      <c r="A26" s="739">
        <v>16</v>
      </c>
      <c r="B26" s="1837"/>
      <c r="C26" s="1838"/>
      <c r="D26" s="1839"/>
      <c r="E26" s="1625"/>
      <c r="F26" s="1626"/>
      <c r="G26" s="1630" t="s">
        <v>123</v>
      </c>
    </row>
    <row r="27" spans="1:7" x14ac:dyDescent="0.2">
      <c r="A27" s="739">
        <v>17</v>
      </c>
      <c r="B27" s="1837"/>
      <c r="C27" s="1838"/>
      <c r="D27" s="1839"/>
      <c r="E27" s="1625"/>
      <c r="F27" s="1626"/>
      <c r="G27" s="1630" t="s">
        <v>123</v>
      </c>
    </row>
    <row r="28" spans="1:7" x14ac:dyDescent="0.2">
      <c r="A28" s="739">
        <v>18</v>
      </c>
      <c r="B28" s="1837"/>
      <c r="C28" s="1838"/>
      <c r="D28" s="1839"/>
      <c r="E28" s="1625"/>
      <c r="F28" s="1626"/>
      <c r="G28" s="1630" t="s">
        <v>123</v>
      </c>
    </row>
    <row r="29" spans="1:7" x14ac:dyDescent="0.2">
      <c r="A29" s="739">
        <v>19</v>
      </c>
      <c r="B29" s="1837"/>
      <c r="C29" s="1838"/>
      <c r="D29" s="1839"/>
      <c r="E29" s="1625"/>
      <c r="F29" s="1628"/>
      <c r="G29" s="1631" t="s">
        <v>123</v>
      </c>
    </row>
    <row r="30" spans="1:7" x14ac:dyDescent="0.2">
      <c r="A30" s="740">
        <v>20</v>
      </c>
      <c r="B30" s="741" t="s">
        <v>305</v>
      </c>
      <c r="C30" s="742"/>
      <c r="D30" s="743"/>
      <c r="E30" s="744">
        <f>SUM(E11:E29)</f>
        <v>0</v>
      </c>
      <c r="F30" s="745">
        <v>0</v>
      </c>
      <c r="G30" s="22">
        <v>0</v>
      </c>
    </row>
    <row r="31" spans="1:7" x14ac:dyDescent="0.2">
      <c r="G31" s="721"/>
    </row>
  </sheetData>
  <sheetProtection algorithmName="SHA-512" hashValue="+3zsjrZ6QY19UJolopmBrnRSr9pdKLLLiPPo4LtBbsptXkKDcSDSL0b+viNHgn0yApnNYiDbGkRkeajQLvVjPQ==" saltValue="tbMDkZ7RA2KuzBHE0r2cWw==" spinCount="100000" sheet="1" objects="1" scenarios="1"/>
  <mergeCells count="23">
    <mergeCell ref="B25:D25"/>
    <mergeCell ref="B26:D26"/>
    <mergeCell ref="B27:D27"/>
    <mergeCell ref="B28:D28"/>
    <mergeCell ref="B29:D29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E9:E10"/>
    <mergeCell ref="F9:F10"/>
    <mergeCell ref="G9:G10"/>
    <mergeCell ref="A10:D10"/>
    <mergeCell ref="B11:D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20CC-881A-4944-972B-6437F1618325}">
  <dimension ref="A1:K9"/>
  <sheetViews>
    <sheetView zoomScaleNormal="100" workbookViewId="0">
      <selection activeCell="A3" sqref="A3"/>
    </sheetView>
  </sheetViews>
  <sheetFormatPr defaultRowHeight="15.75" x14ac:dyDescent="0.25"/>
  <cols>
    <col min="1" max="16384" width="8.88671875" style="641"/>
  </cols>
  <sheetData>
    <row r="1" spans="1:11" s="374" customFormat="1" ht="38.25" customHeight="1" x14ac:dyDescent="0.2">
      <c r="A1" s="1842" t="s">
        <v>1804</v>
      </c>
      <c r="B1" s="1843"/>
      <c r="C1" s="1843"/>
      <c r="D1" s="1843"/>
      <c r="E1" s="1843"/>
      <c r="F1" s="1843"/>
      <c r="G1" s="1843"/>
      <c r="H1" s="1843"/>
      <c r="I1" s="1843"/>
      <c r="J1" s="1843"/>
      <c r="K1" s="1843"/>
    </row>
    <row r="2" spans="1:11" s="374" customFormat="1" x14ac:dyDescent="0.2">
      <c r="A2" s="711" t="s">
        <v>969</v>
      </c>
      <c r="B2" s="712" t="s">
        <v>966</v>
      </c>
      <c r="C2" s="1844"/>
      <c r="D2" s="1845"/>
      <c r="E2" s="1845"/>
      <c r="F2" s="1845"/>
      <c r="G2" s="1845"/>
      <c r="H2" s="1845"/>
      <c r="I2" s="1845"/>
      <c r="J2" s="1845"/>
      <c r="K2" s="1846"/>
    </row>
    <row r="3" spans="1:11" s="374" customFormat="1" ht="42" customHeight="1" x14ac:dyDescent="0.2">
      <c r="A3" s="1632"/>
      <c r="B3" s="1633"/>
      <c r="C3" s="713" t="s">
        <v>1805</v>
      </c>
      <c r="D3" s="1840" t="s">
        <v>1806</v>
      </c>
      <c r="E3" s="1840"/>
      <c r="F3" s="1840"/>
      <c r="G3" s="1840"/>
      <c r="H3" s="1840"/>
      <c r="I3" s="1840"/>
      <c r="J3" s="1840"/>
      <c r="K3" s="1841"/>
    </row>
    <row r="4" spans="1:11" s="374" customFormat="1" ht="42" customHeight="1" x14ac:dyDescent="0.2">
      <c r="A4" s="1632"/>
      <c r="B4" s="1633"/>
      <c r="C4" s="713" t="s">
        <v>1807</v>
      </c>
      <c r="D4" s="1847" t="s">
        <v>1808</v>
      </c>
      <c r="E4" s="1840"/>
      <c r="F4" s="1840"/>
      <c r="G4" s="1840"/>
      <c r="H4" s="1840"/>
      <c r="I4" s="1840"/>
      <c r="J4" s="1840"/>
      <c r="K4" s="1841"/>
    </row>
    <row r="5" spans="1:11" s="374" customFormat="1" ht="42" customHeight="1" x14ac:dyDescent="0.2">
      <c r="A5" s="1632"/>
      <c r="B5" s="1633"/>
      <c r="C5" s="713" t="s">
        <v>1809</v>
      </c>
      <c r="D5" s="1840" t="s">
        <v>1810</v>
      </c>
      <c r="E5" s="1840"/>
      <c r="F5" s="1840"/>
      <c r="G5" s="1840"/>
      <c r="H5" s="1840"/>
      <c r="I5" s="1840"/>
      <c r="J5" s="1840"/>
      <c r="K5" s="1841"/>
    </row>
    <row r="6" spans="1:11" s="374" customFormat="1" ht="42" customHeight="1" x14ac:dyDescent="0.2">
      <c r="A6" s="1634"/>
      <c r="B6" s="1635"/>
      <c r="C6" s="714" t="s">
        <v>1811</v>
      </c>
      <c r="D6" s="1840" t="s">
        <v>1812</v>
      </c>
      <c r="E6" s="1840"/>
      <c r="F6" s="1840"/>
      <c r="G6" s="1840"/>
      <c r="H6" s="1840"/>
      <c r="I6" s="1840"/>
      <c r="J6" s="1840"/>
      <c r="K6" s="1841"/>
    </row>
    <row r="7" spans="1:11" x14ac:dyDescent="0.25">
      <c r="A7" s="715">
        <f>COUNTA(A3:A6)</f>
        <v>0</v>
      </c>
      <c r="B7" s="663"/>
      <c r="C7" s="663"/>
      <c r="D7" s="663"/>
      <c r="E7" s="663"/>
      <c r="F7" s="663"/>
      <c r="G7" s="663"/>
      <c r="H7" s="663"/>
      <c r="I7" s="663"/>
      <c r="J7" s="663"/>
      <c r="K7" s="663"/>
    </row>
    <row r="8" spans="1:11" s="710" customFormat="1" ht="15" x14ac:dyDescent="0.2">
      <c r="A8" s="1636" t="s">
        <v>1835</v>
      </c>
      <c r="B8" s="716"/>
      <c r="C8" s="716"/>
      <c r="D8" s="716"/>
      <c r="E8" s="716"/>
      <c r="F8" s="716"/>
      <c r="G8" s="716"/>
      <c r="H8" s="716"/>
      <c r="I8" s="716"/>
      <c r="J8" s="716"/>
      <c r="K8" s="716"/>
    </row>
    <row r="9" spans="1:11" s="710" customFormat="1" ht="15" x14ac:dyDescent="0.2">
      <c r="A9" s="1636" t="s">
        <v>1836</v>
      </c>
      <c r="B9" s="716"/>
      <c r="C9" s="716"/>
      <c r="D9" s="716"/>
      <c r="E9" s="716"/>
      <c r="F9" s="716"/>
      <c r="G9" s="716"/>
      <c r="H9" s="716"/>
      <c r="I9" s="716"/>
      <c r="J9" s="716"/>
      <c r="K9" s="716"/>
    </row>
  </sheetData>
  <sheetProtection algorithmName="SHA-512" hashValue="ORGIXEYyjK52xP7iZ3dihi0R1Hp6vSI6d4awxnrhm9obItTu3GtPaFTeDsbsMhhUPDwLDGXgPimPPrsgAMdrEA==" saltValue="lm4r0RRlDYY3FTR00jXqog==" spinCount="100000" sheet="1" objects="1" scenarios="1"/>
  <mergeCells count="6">
    <mergeCell ref="D6:K6"/>
    <mergeCell ref="A1:K1"/>
    <mergeCell ref="C2:K2"/>
    <mergeCell ref="D3:K3"/>
    <mergeCell ref="D4:K4"/>
    <mergeCell ref="D5:K5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D3B4E-6FAD-4B31-937A-43819AE05968}">
  <sheetPr>
    <pageSetUpPr fitToPage="1"/>
  </sheetPr>
  <dimension ref="A1:J75"/>
  <sheetViews>
    <sheetView topLeftCell="A20" workbookViewId="0"/>
  </sheetViews>
  <sheetFormatPr defaultRowHeight="15.75" x14ac:dyDescent="0.25"/>
  <cols>
    <col min="1" max="1" width="2.21875" style="659" customWidth="1"/>
    <col min="2" max="2" width="15.77734375" style="659" customWidth="1"/>
    <col min="3" max="3" width="2" style="659" bestFit="1" customWidth="1"/>
    <col min="4" max="4" width="23.21875" style="659" bestFit="1" customWidth="1"/>
    <col min="5" max="9" width="15.77734375" style="659" customWidth="1"/>
    <col min="10" max="16384" width="8.88671875" style="641"/>
  </cols>
  <sheetData>
    <row r="1" spans="1:10" s="658" customFormat="1" ht="16.5" thickBot="1" x14ac:dyDescent="0.3">
      <c r="A1" s="581" t="s">
        <v>13</v>
      </c>
      <c r="B1" s="581"/>
      <c r="C1" s="581"/>
      <c r="D1" s="581"/>
      <c r="E1" s="581"/>
      <c r="F1" s="581"/>
      <c r="G1" s="581"/>
      <c r="H1" s="660"/>
      <c r="I1" s="660" t="s">
        <v>12</v>
      </c>
      <c r="J1" s="661"/>
    </row>
    <row r="2" spans="1:10" ht="16.5" thickTop="1" x14ac:dyDescent="0.25">
      <c r="A2" s="662" t="s">
        <v>15</v>
      </c>
      <c r="B2" s="1182"/>
      <c r="C2" s="1182"/>
      <c r="D2" s="1182"/>
      <c r="E2" s="1182"/>
      <c r="F2" s="1182"/>
      <c r="G2" s="1182"/>
      <c r="H2" s="1182"/>
      <c r="I2" s="1182"/>
      <c r="J2" s="1182"/>
    </row>
    <row r="3" spans="1:10" x14ac:dyDescent="0.25">
      <c r="A3" s="664" t="s">
        <v>1813</v>
      </c>
      <c r="B3" s="1182"/>
      <c r="C3" s="1182"/>
      <c r="D3" s="1182"/>
      <c r="E3" s="1182"/>
      <c r="F3" s="1182"/>
      <c r="G3" s="1182"/>
      <c r="H3" s="1182"/>
      <c r="I3" s="1182"/>
      <c r="J3" s="1182"/>
    </row>
    <row r="4" spans="1:10" x14ac:dyDescent="0.25">
      <c r="A4" s="665" t="s">
        <v>1814</v>
      </c>
      <c r="B4" s="1182"/>
      <c r="C4" s="1182"/>
      <c r="D4" s="1182"/>
      <c r="E4" s="1182"/>
      <c r="F4" s="1182"/>
      <c r="G4" s="1182"/>
      <c r="H4" s="1182"/>
      <c r="I4" s="666" t="s">
        <v>310</v>
      </c>
      <c r="J4" s="1182"/>
    </row>
    <row r="5" spans="1:10" x14ac:dyDescent="0.25">
      <c r="A5" s="667"/>
      <c r="B5" s="667"/>
      <c r="C5" s="667"/>
      <c r="D5" s="667"/>
      <c r="E5" s="667"/>
      <c r="F5" s="667"/>
      <c r="G5" s="667"/>
      <c r="H5" s="667"/>
      <c r="I5" s="667"/>
      <c r="J5" s="1182"/>
    </row>
    <row r="6" spans="1:10" x14ac:dyDescent="0.25">
      <c r="A6" s="1851" t="s">
        <v>4</v>
      </c>
      <c r="B6" s="1851"/>
      <c r="C6" s="257" t="s">
        <v>298</v>
      </c>
      <c r="D6" s="667"/>
      <c r="E6" s="667"/>
      <c r="F6" s="667"/>
      <c r="G6" s="667"/>
      <c r="H6" s="667"/>
      <c r="I6" s="667"/>
      <c r="J6" s="1182"/>
    </row>
    <row r="7" spans="1:10" x14ac:dyDescent="0.25">
      <c r="A7" s="1851" t="s">
        <v>3</v>
      </c>
      <c r="B7" s="1851"/>
      <c r="C7" s="257" t="s">
        <v>48</v>
      </c>
      <c r="D7" s="667"/>
      <c r="E7" s="667"/>
      <c r="F7" s="667"/>
      <c r="G7" s="667"/>
      <c r="H7" s="667"/>
      <c r="I7" s="668"/>
      <c r="J7" s="1182"/>
    </row>
    <row r="8" spans="1:10" x14ac:dyDescent="0.25">
      <c r="A8" s="1185"/>
      <c r="B8" s="1185"/>
      <c r="C8" s="669"/>
      <c r="D8" s="670"/>
      <c r="E8" s="671"/>
      <c r="F8" s="671"/>
      <c r="G8" s="671"/>
      <c r="H8" s="671"/>
      <c r="I8" s="671"/>
      <c r="J8" s="1182"/>
    </row>
    <row r="9" spans="1:10" x14ac:dyDescent="0.25">
      <c r="A9" s="1852" t="s">
        <v>300</v>
      </c>
      <c r="B9" s="1853"/>
      <c r="C9" s="672"/>
      <c r="D9" s="673" t="str">
        <f>Info!B7</f>
        <v>ABC Mental Health Center</v>
      </c>
      <c r="E9" s="674" t="s">
        <v>19</v>
      </c>
      <c r="F9" s="674" t="s">
        <v>20</v>
      </c>
      <c r="G9" s="674" t="s">
        <v>21</v>
      </c>
      <c r="H9" s="674" t="s">
        <v>22</v>
      </c>
      <c r="I9" s="674" t="s">
        <v>23</v>
      </c>
      <c r="J9" s="1182"/>
    </row>
    <row r="10" spans="1:10" x14ac:dyDescent="0.25">
      <c r="A10" s="1852" t="s">
        <v>5</v>
      </c>
      <c r="B10" s="1853"/>
      <c r="C10" s="672"/>
      <c r="D10" s="673" t="str">
        <f>Info!B8</f>
        <v>00100</v>
      </c>
      <c r="E10" s="675" t="s">
        <v>258</v>
      </c>
      <c r="F10" s="676"/>
      <c r="G10" s="676"/>
      <c r="H10" s="676"/>
      <c r="I10" s="677"/>
      <c r="J10" s="1182"/>
    </row>
    <row r="11" spans="1:10" x14ac:dyDescent="0.25">
      <c r="A11" s="1854"/>
      <c r="B11" s="1855"/>
      <c r="C11" s="1855"/>
      <c r="D11" s="1856"/>
      <c r="E11" s="678" t="s">
        <v>1705</v>
      </c>
      <c r="F11" s="676"/>
      <c r="G11" s="676"/>
      <c r="H11" s="676"/>
      <c r="I11" s="677" t="s">
        <v>258</v>
      </c>
      <c r="J11" s="1182"/>
    </row>
    <row r="12" spans="1:10" ht="47.25" x14ac:dyDescent="0.25">
      <c r="A12" s="1857"/>
      <c r="B12" s="1858"/>
      <c r="C12" s="1858"/>
      <c r="D12" s="1859"/>
      <c r="E12" s="679" t="s">
        <v>1815</v>
      </c>
      <c r="F12" s="679" t="s">
        <v>1816</v>
      </c>
      <c r="G12" s="679" t="s">
        <v>1817</v>
      </c>
      <c r="H12" s="680" t="s">
        <v>1818</v>
      </c>
      <c r="I12" s="681" t="s">
        <v>1819</v>
      </c>
      <c r="J12" s="1182"/>
    </row>
    <row r="13" spans="1:10" x14ac:dyDescent="0.25">
      <c r="A13" s="682">
        <v>1</v>
      </c>
      <c r="B13" s="1860" t="s">
        <v>1820</v>
      </c>
      <c r="C13" s="1861"/>
      <c r="D13" s="1861"/>
      <c r="E13" s="1497"/>
      <c r="F13" s="1497"/>
      <c r="G13" s="1497"/>
      <c r="H13" s="1497"/>
      <c r="I13" s="683">
        <f>SUM(F13:H13)</f>
        <v>0</v>
      </c>
      <c r="J13" s="1182"/>
    </row>
    <row r="14" spans="1:10" x14ac:dyDescent="0.25">
      <c r="A14" s="682"/>
      <c r="B14" s="1848"/>
      <c r="C14" s="1849"/>
      <c r="D14" s="1850"/>
      <c r="E14" s="684"/>
      <c r="F14" s="684"/>
      <c r="G14" s="684"/>
      <c r="H14" s="684"/>
      <c r="I14" s="685"/>
      <c r="J14" s="1182"/>
    </row>
    <row r="15" spans="1:10" x14ac:dyDescent="0.25">
      <c r="A15" s="682"/>
      <c r="B15" s="1860" t="s">
        <v>1821</v>
      </c>
      <c r="C15" s="1861"/>
      <c r="D15" s="1862"/>
      <c r="E15" s="686"/>
      <c r="F15" s="685"/>
      <c r="G15" s="685"/>
      <c r="H15" s="685"/>
      <c r="I15" s="686"/>
      <c r="J15" s="1182"/>
    </row>
    <row r="16" spans="1:10" x14ac:dyDescent="0.25">
      <c r="A16" s="682">
        <v>2</v>
      </c>
      <c r="B16" s="1863" t="s">
        <v>1822</v>
      </c>
      <c r="C16" s="1861"/>
      <c r="D16" s="1861"/>
      <c r="E16" s="1498"/>
      <c r="F16" s="687"/>
      <c r="G16" s="685"/>
      <c r="H16" s="688"/>
      <c r="I16" s="1499"/>
      <c r="J16" s="1182"/>
    </row>
    <row r="17" spans="1:10" x14ac:dyDescent="0.25">
      <c r="A17" s="682">
        <v>3</v>
      </c>
      <c r="B17" s="1860" t="s">
        <v>1823</v>
      </c>
      <c r="C17" s="1861"/>
      <c r="D17" s="1861"/>
      <c r="E17" s="1498"/>
      <c r="F17" s="687"/>
      <c r="G17" s="685"/>
      <c r="H17" s="688"/>
      <c r="I17" s="1499"/>
      <c r="J17" s="1182"/>
    </row>
    <row r="18" spans="1:10" x14ac:dyDescent="0.25">
      <c r="A18" s="682">
        <v>4</v>
      </c>
      <c r="B18" s="1852" t="s">
        <v>1824</v>
      </c>
      <c r="C18" s="1853"/>
      <c r="D18" s="1864"/>
      <c r="E18" s="689">
        <f>SUM(E16:E17)</f>
        <v>0</v>
      </c>
      <c r="F18" s="685"/>
      <c r="G18" s="685"/>
      <c r="H18" s="685"/>
      <c r="I18" s="689">
        <f>SUM(I16:I17)</f>
        <v>0</v>
      </c>
      <c r="J18" s="1182"/>
    </row>
    <row r="19" spans="1:10" x14ac:dyDescent="0.25">
      <c r="A19" s="682"/>
      <c r="B19" s="1848"/>
      <c r="C19" s="1849"/>
      <c r="D19" s="1850"/>
      <c r="E19" s="686"/>
      <c r="F19" s="686"/>
      <c r="G19" s="686"/>
      <c r="H19" s="686"/>
      <c r="I19" s="685"/>
      <c r="J19" s="1182"/>
    </row>
    <row r="20" spans="1:10" x14ac:dyDescent="0.25">
      <c r="A20" s="682">
        <v>5</v>
      </c>
      <c r="B20" s="1860" t="s">
        <v>1825</v>
      </c>
      <c r="C20" s="1861"/>
      <c r="D20" s="1861"/>
      <c r="E20" s="1489"/>
      <c r="F20" s="1489"/>
      <c r="G20" s="1489"/>
      <c r="H20" s="1489"/>
      <c r="I20" s="683">
        <f>SUM(F20:H20)</f>
        <v>0</v>
      </c>
      <c r="J20" s="1182"/>
    </row>
    <row r="21" spans="1:10" x14ac:dyDescent="0.25">
      <c r="A21" s="682"/>
      <c r="B21" s="1860"/>
      <c r="C21" s="1861"/>
      <c r="D21" s="1862"/>
      <c r="E21" s="684"/>
      <c r="F21" s="684"/>
      <c r="G21" s="684"/>
      <c r="H21" s="684"/>
      <c r="I21" s="685"/>
      <c r="J21" s="1182"/>
    </row>
    <row r="22" spans="1:10" x14ac:dyDescent="0.25">
      <c r="A22" s="682">
        <v>6</v>
      </c>
      <c r="B22" s="1860" t="s">
        <v>1826</v>
      </c>
      <c r="C22" s="1861"/>
      <c r="D22" s="1862"/>
      <c r="E22" s="690">
        <f>IF(AND(E18&gt;0,E20&gt;0),E18/E20,0)</f>
        <v>0</v>
      </c>
      <c r="F22" s="685"/>
      <c r="G22" s="685"/>
      <c r="H22" s="685"/>
      <c r="I22" s="691">
        <f>IF(AND(I18&gt;0,I20&gt;0),I18/I20,0)</f>
        <v>0</v>
      </c>
      <c r="J22" s="1182"/>
    </row>
    <row r="23" spans="1:10" x14ac:dyDescent="0.25">
      <c r="A23" s="682"/>
      <c r="B23" s="1860"/>
      <c r="C23" s="1861"/>
      <c r="D23" s="1862"/>
      <c r="E23" s="685"/>
      <c r="F23" s="685"/>
      <c r="G23" s="685"/>
      <c r="H23" s="685"/>
      <c r="I23" s="685"/>
      <c r="J23" s="1182"/>
    </row>
    <row r="24" spans="1:10" x14ac:dyDescent="0.25">
      <c r="A24" s="682">
        <v>7</v>
      </c>
      <c r="B24" s="1860" t="s">
        <v>1827</v>
      </c>
      <c r="C24" s="1861"/>
      <c r="D24" s="1862"/>
      <c r="E24" s="692">
        <f>E13*E22</f>
        <v>0</v>
      </c>
      <c r="F24" s="685"/>
      <c r="G24" s="685"/>
      <c r="H24" s="685"/>
      <c r="I24" s="692">
        <f>I13*I22</f>
        <v>0</v>
      </c>
      <c r="J24" s="1182"/>
    </row>
    <row r="25" spans="1:10" x14ac:dyDescent="0.25">
      <c r="A25" s="682"/>
      <c r="B25" s="1860"/>
      <c r="C25" s="1861"/>
      <c r="D25" s="1862"/>
      <c r="E25" s="685"/>
      <c r="F25" s="685"/>
      <c r="G25" s="685"/>
      <c r="H25" s="685"/>
      <c r="I25" s="685"/>
      <c r="J25" s="1182"/>
    </row>
    <row r="26" spans="1:10" x14ac:dyDescent="0.25">
      <c r="A26" s="682">
        <v>8</v>
      </c>
      <c r="B26" s="1860" t="s">
        <v>1828</v>
      </c>
      <c r="C26" s="1861"/>
      <c r="D26" s="1862"/>
      <c r="E26" s="692">
        <f>IF(E13=0,0,'LAC 102_Wkst'!Y2018)</f>
        <v>0</v>
      </c>
      <c r="F26" s="685"/>
      <c r="G26" s="685"/>
      <c r="H26" s="685"/>
      <c r="I26" s="693">
        <f>IF(E13=0,0,'LAC 102_Wkst'!Y2024)</f>
        <v>0</v>
      </c>
      <c r="J26" s="1182"/>
    </row>
    <row r="27" spans="1:10" x14ac:dyDescent="0.25">
      <c r="A27" s="682">
        <v>9</v>
      </c>
      <c r="B27" s="1860" t="s">
        <v>1829</v>
      </c>
      <c r="C27" s="1861"/>
      <c r="D27" s="1862"/>
      <c r="E27" s="692">
        <f>E26*0.6</f>
        <v>0</v>
      </c>
      <c r="F27" s="685"/>
      <c r="G27" s="685"/>
      <c r="H27" s="685"/>
      <c r="I27" s="693">
        <f>I26*0.6</f>
        <v>0</v>
      </c>
      <c r="J27" s="1182"/>
    </row>
    <row r="28" spans="1:10" x14ac:dyDescent="0.25">
      <c r="A28" s="694"/>
      <c r="B28" s="695"/>
      <c r="C28" s="695"/>
      <c r="D28" s="695"/>
      <c r="E28" s="695"/>
      <c r="F28" s="695"/>
      <c r="G28" s="695"/>
      <c r="H28" s="695"/>
      <c r="I28" s="696"/>
      <c r="J28" s="1182"/>
    </row>
    <row r="29" spans="1:10" x14ac:dyDescent="0.25">
      <c r="A29" s="697" t="s">
        <v>1830</v>
      </c>
      <c r="B29" s="698"/>
      <c r="C29" s="698"/>
      <c r="D29" s="699"/>
      <c r="E29" s="700" t="s">
        <v>1705</v>
      </c>
      <c r="F29" s="700"/>
      <c r="G29" s="698"/>
      <c r="H29" s="698"/>
      <c r="I29" s="701" t="s">
        <v>1819</v>
      </c>
      <c r="J29" s="1182"/>
    </row>
    <row r="30" spans="1:10" x14ac:dyDescent="0.25">
      <c r="A30" s="702"/>
      <c r="B30" s="671"/>
      <c r="C30" s="671"/>
      <c r="D30" s="703" t="s">
        <v>1831</v>
      </c>
      <c r="E30" s="704" t="str">
        <f>IF(AND(E27&gt;E24,E24&gt;0),"X"," ")</f>
        <v xml:space="preserve"> </v>
      </c>
      <c r="F30" s="705" t="s">
        <v>1832</v>
      </c>
      <c r="G30" s="705"/>
      <c r="H30" s="705"/>
      <c r="I30" s="704" t="str">
        <f>IF(AND(I27&gt;I24,I24&gt;0),"X"," ")</f>
        <v xml:space="preserve"> </v>
      </c>
      <c r="J30" s="709">
        <f>'1969_Inst'!A7</f>
        <v>0</v>
      </c>
    </row>
    <row r="31" spans="1:10" x14ac:dyDescent="0.25">
      <c r="A31" s="702"/>
      <c r="B31" s="671"/>
      <c r="C31" s="671"/>
      <c r="D31" s="703"/>
      <c r="E31" s="1186"/>
      <c r="F31" s="705"/>
      <c r="G31" s="705"/>
      <c r="H31" s="705"/>
      <c r="I31" s="1187"/>
      <c r="J31" s="1182"/>
    </row>
    <row r="32" spans="1:10" x14ac:dyDescent="0.25">
      <c r="A32" s="702"/>
      <c r="B32" s="671"/>
      <c r="C32" s="671"/>
      <c r="D32" s="703" t="s">
        <v>1833</v>
      </c>
      <c r="E32" s="704" t="str">
        <f>IF(OR(E24&gt;E27,E24=0),"X"," ")</f>
        <v>X</v>
      </c>
      <c r="F32" s="705" t="s">
        <v>1834</v>
      </c>
      <c r="G32" s="705"/>
      <c r="H32" s="705"/>
      <c r="I32" s="704" t="str">
        <f>IF(OR(I24&gt;I27,I24=0),"X"," ")</f>
        <v>X</v>
      </c>
      <c r="J32" s="1182"/>
    </row>
    <row r="33" spans="1:10" x14ac:dyDescent="0.25">
      <c r="A33" s="706"/>
      <c r="B33" s="707"/>
      <c r="C33" s="707"/>
      <c r="D33" s="707"/>
      <c r="E33" s="707"/>
      <c r="F33" s="707"/>
      <c r="G33" s="707"/>
      <c r="H33" s="707"/>
      <c r="I33" s="708"/>
      <c r="J33" s="1182"/>
    </row>
    <row r="34" spans="1:10" x14ac:dyDescent="0.25">
      <c r="A34" s="671"/>
      <c r="B34" s="671"/>
      <c r="C34" s="671"/>
      <c r="D34" s="671"/>
      <c r="E34" s="671"/>
      <c r="F34" s="671"/>
      <c r="G34" s="671"/>
      <c r="H34" s="671"/>
      <c r="I34" s="671"/>
      <c r="J34" s="1182"/>
    </row>
    <row r="35" spans="1:10" x14ac:dyDescent="0.25">
      <c r="A35" s="671"/>
      <c r="B35" s="1490" t="s">
        <v>2021</v>
      </c>
      <c r="C35" s="671"/>
      <c r="D35" s="671"/>
      <c r="E35" s="671"/>
      <c r="F35" s="671"/>
      <c r="G35" s="671"/>
      <c r="H35" s="671"/>
      <c r="I35" s="671"/>
      <c r="J35" s="1182"/>
    </row>
    <row r="36" spans="1:10" x14ac:dyDescent="0.25">
      <c r="A36" s="1491"/>
      <c r="B36" s="1492" t="s">
        <v>2019</v>
      </c>
      <c r="C36" s="671"/>
      <c r="D36" s="671"/>
      <c r="E36" s="1493"/>
      <c r="F36" s="1493"/>
      <c r="G36" s="1493"/>
      <c r="H36" s="1493"/>
      <c r="I36" s="1493"/>
      <c r="J36" s="1182"/>
    </row>
    <row r="37" spans="1:10" x14ac:dyDescent="0.25">
      <c r="A37" s="671"/>
      <c r="B37" s="1494" t="s">
        <v>2020</v>
      </c>
      <c r="C37" s="671"/>
      <c r="D37" s="671"/>
      <c r="E37" s="671"/>
      <c r="F37" s="671"/>
      <c r="G37" s="671"/>
      <c r="H37" s="671"/>
      <c r="I37" s="671"/>
      <c r="J37" s="1182"/>
    </row>
    <row r="38" spans="1:10" x14ac:dyDescent="0.25">
      <c r="A38" s="671"/>
      <c r="B38" s="1495" t="s">
        <v>2028</v>
      </c>
      <c r="C38" s="671"/>
      <c r="D38" s="671"/>
      <c r="E38" s="671"/>
      <c r="F38" s="671"/>
      <c r="G38" s="671"/>
      <c r="H38" s="671"/>
      <c r="I38" s="671"/>
      <c r="J38" s="1182"/>
    </row>
    <row r="39" spans="1:10" x14ac:dyDescent="0.25">
      <c r="A39" s="671"/>
      <c r="B39" s="1494" t="s">
        <v>2022</v>
      </c>
      <c r="C39" s="671"/>
      <c r="D39" s="671"/>
      <c r="E39" s="671"/>
      <c r="F39" s="671"/>
      <c r="G39" s="671"/>
      <c r="H39" s="671"/>
      <c r="I39" s="671"/>
      <c r="J39" s="1182"/>
    </row>
    <row r="40" spans="1:10" x14ac:dyDescent="0.25">
      <c r="A40" s="671"/>
      <c r="B40" s="1494" t="s">
        <v>2023</v>
      </c>
      <c r="C40" s="671"/>
      <c r="D40" s="671"/>
      <c r="E40" s="671"/>
      <c r="F40" s="671"/>
      <c r="G40" s="671"/>
      <c r="H40" s="671"/>
      <c r="I40" s="671"/>
      <c r="J40" s="1182"/>
    </row>
    <row r="41" spans="1:10" x14ac:dyDescent="0.25">
      <c r="A41" s="671"/>
      <c r="B41" s="1494" t="s">
        <v>2024</v>
      </c>
      <c r="C41" s="671"/>
      <c r="D41" s="671"/>
      <c r="E41" s="671"/>
      <c r="F41" s="671"/>
      <c r="G41" s="671"/>
      <c r="H41" s="671"/>
      <c r="I41" s="671"/>
      <c r="J41" s="1182"/>
    </row>
    <row r="42" spans="1:10" x14ac:dyDescent="0.25">
      <c r="A42" s="671"/>
      <c r="B42" s="1496"/>
      <c r="C42" s="671"/>
      <c r="D42" s="671"/>
      <c r="E42" s="671"/>
      <c r="F42" s="671"/>
      <c r="G42" s="671"/>
      <c r="H42" s="671"/>
      <c r="I42" s="671"/>
      <c r="J42" s="1182"/>
    </row>
    <row r="43" spans="1:10" x14ac:dyDescent="0.25">
      <c r="A43" s="671"/>
      <c r="B43" s="1494" t="s">
        <v>2025</v>
      </c>
      <c r="C43" s="671"/>
      <c r="D43" s="671"/>
      <c r="E43" s="671"/>
      <c r="F43" s="671"/>
      <c r="G43" s="671"/>
      <c r="H43" s="671"/>
      <c r="I43" s="671"/>
      <c r="J43" s="1182"/>
    </row>
    <row r="44" spans="1:10" x14ac:dyDescent="0.25">
      <c r="A44" s="671"/>
      <c r="B44" s="1494" t="s">
        <v>2026</v>
      </c>
      <c r="C44" s="671"/>
      <c r="D44" s="671"/>
      <c r="E44" s="671"/>
      <c r="F44" s="671"/>
      <c r="G44" s="671"/>
      <c r="H44" s="671"/>
      <c r="I44" s="671"/>
      <c r="J44" s="1182"/>
    </row>
    <row r="45" spans="1:10" x14ac:dyDescent="0.25">
      <c r="A45" s="671"/>
      <c r="B45" s="1494" t="s">
        <v>2058</v>
      </c>
      <c r="C45" s="671"/>
      <c r="D45" s="671"/>
      <c r="E45" s="671"/>
      <c r="F45" s="671"/>
      <c r="G45" s="671"/>
      <c r="H45" s="671"/>
      <c r="I45" s="671"/>
      <c r="J45" s="1182"/>
    </row>
    <row r="46" spans="1:10" x14ac:dyDescent="0.25">
      <c r="A46" s="671"/>
      <c r="B46" s="1494" t="s">
        <v>2027</v>
      </c>
      <c r="C46" s="671"/>
      <c r="D46" s="671"/>
      <c r="E46" s="671"/>
      <c r="F46" s="671"/>
      <c r="G46" s="671"/>
      <c r="H46" s="671"/>
      <c r="I46" s="671"/>
      <c r="J46" s="1182"/>
    </row>
    <row r="47" spans="1:10" x14ac:dyDescent="0.25">
      <c r="A47" s="671"/>
      <c r="B47" s="1490" t="s">
        <v>2051</v>
      </c>
      <c r="C47" s="671"/>
      <c r="D47" s="671"/>
      <c r="E47" s="671"/>
      <c r="F47" s="671"/>
      <c r="G47" s="671"/>
      <c r="H47" s="671"/>
      <c r="I47" s="671"/>
      <c r="J47" s="1182"/>
    </row>
    <row r="48" spans="1:10" x14ac:dyDescent="0.25">
      <c r="A48" s="671"/>
      <c r="B48" s="1494" t="s">
        <v>2033</v>
      </c>
      <c r="C48" s="671"/>
      <c r="D48" s="671"/>
      <c r="E48" s="671"/>
      <c r="F48" s="671"/>
      <c r="G48" s="671"/>
      <c r="H48" s="671"/>
      <c r="I48" s="671"/>
      <c r="J48" s="1182"/>
    </row>
    <row r="49" spans="1:10" x14ac:dyDescent="0.25">
      <c r="A49" s="671"/>
      <c r="B49" s="1494" t="s">
        <v>2034</v>
      </c>
      <c r="C49" s="671"/>
      <c r="D49" s="671"/>
      <c r="E49" s="671"/>
      <c r="F49" s="671"/>
      <c r="G49" s="671"/>
      <c r="H49" s="671"/>
      <c r="I49" s="671"/>
      <c r="J49" s="1182"/>
    </row>
    <row r="50" spans="1:10" x14ac:dyDescent="0.25">
      <c r="A50" s="671"/>
      <c r="B50" s="1494" t="s">
        <v>2035</v>
      </c>
      <c r="C50" s="671"/>
      <c r="D50" s="671"/>
      <c r="E50" s="671"/>
      <c r="F50" s="671"/>
      <c r="G50" s="671"/>
      <c r="H50" s="671"/>
      <c r="I50" s="671"/>
      <c r="J50" s="1182"/>
    </row>
    <row r="51" spans="1:10" x14ac:dyDescent="0.25">
      <c r="A51" s="671"/>
      <c r="B51" s="1490" t="s">
        <v>2057</v>
      </c>
      <c r="C51" s="671"/>
      <c r="D51" s="671"/>
      <c r="E51" s="671"/>
      <c r="F51" s="671"/>
      <c r="G51" s="671"/>
      <c r="H51" s="671"/>
      <c r="I51" s="671"/>
      <c r="J51" s="1182"/>
    </row>
    <row r="52" spans="1:10" x14ac:dyDescent="0.25">
      <c r="A52" s="671"/>
      <c r="B52" s="1494" t="s">
        <v>2029</v>
      </c>
      <c r="C52" s="671"/>
      <c r="D52" s="671"/>
      <c r="E52" s="671"/>
      <c r="F52" s="671"/>
      <c r="G52" s="671"/>
      <c r="H52" s="671"/>
      <c r="I52" s="671"/>
      <c r="J52" s="1182"/>
    </row>
    <row r="53" spans="1:10" x14ac:dyDescent="0.25">
      <c r="A53" s="671"/>
      <c r="B53" s="1490" t="s">
        <v>2052</v>
      </c>
      <c r="C53" s="671"/>
      <c r="D53" s="671"/>
      <c r="E53" s="671"/>
      <c r="F53" s="671"/>
      <c r="G53" s="671"/>
      <c r="H53" s="671"/>
      <c r="I53" s="671"/>
      <c r="J53" s="1182"/>
    </row>
    <row r="54" spans="1:10" x14ac:dyDescent="0.25">
      <c r="A54" s="671"/>
      <c r="B54" s="1494" t="s">
        <v>2036</v>
      </c>
      <c r="C54" s="671"/>
      <c r="D54" s="671"/>
      <c r="E54" s="671"/>
      <c r="F54" s="671"/>
      <c r="G54" s="671"/>
      <c r="H54" s="671"/>
      <c r="I54" s="671"/>
      <c r="J54" s="1182"/>
    </row>
    <row r="55" spans="1:10" x14ac:dyDescent="0.25">
      <c r="A55" s="671"/>
      <c r="B55" s="1494" t="s">
        <v>2037</v>
      </c>
      <c r="C55" s="671"/>
      <c r="D55" s="671"/>
      <c r="E55" s="671"/>
      <c r="F55" s="671"/>
      <c r="G55" s="671"/>
      <c r="H55" s="671"/>
      <c r="I55" s="671"/>
      <c r="J55" s="1182"/>
    </row>
    <row r="56" spans="1:10" x14ac:dyDescent="0.25">
      <c r="A56" s="671"/>
      <c r="B56" s="1494" t="s">
        <v>2038</v>
      </c>
      <c r="C56" s="671"/>
      <c r="D56" s="671"/>
      <c r="E56" s="671"/>
      <c r="F56" s="671"/>
      <c r="G56" s="671"/>
      <c r="H56" s="671"/>
      <c r="I56" s="671"/>
      <c r="J56" s="1182"/>
    </row>
    <row r="57" spans="1:10" x14ac:dyDescent="0.25">
      <c r="A57" s="671"/>
      <c r="B57" s="1494" t="s">
        <v>2039</v>
      </c>
      <c r="C57" s="671"/>
      <c r="D57" s="671"/>
      <c r="E57" s="671"/>
      <c r="F57" s="671"/>
      <c r="G57" s="671"/>
      <c r="H57" s="671"/>
      <c r="I57" s="671"/>
      <c r="J57" s="1182"/>
    </row>
    <row r="58" spans="1:10" x14ac:dyDescent="0.25">
      <c r="A58" s="671"/>
      <c r="B58" s="1494" t="s">
        <v>2040</v>
      </c>
      <c r="C58" s="671"/>
      <c r="D58" s="671"/>
      <c r="E58" s="671"/>
      <c r="F58" s="671"/>
      <c r="G58" s="671"/>
      <c r="H58" s="671"/>
      <c r="I58" s="671"/>
      <c r="J58" s="1182"/>
    </row>
    <row r="59" spans="1:10" x14ac:dyDescent="0.25">
      <c r="A59" s="671"/>
      <c r="B59" s="1490" t="s">
        <v>2053</v>
      </c>
      <c r="C59" s="671"/>
      <c r="D59" s="671"/>
      <c r="E59" s="671"/>
      <c r="F59" s="671"/>
      <c r="G59" s="671"/>
      <c r="H59" s="671"/>
      <c r="I59" s="671"/>
      <c r="J59" s="1182"/>
    </row>
    <row r="60" spans="1:10" x14ac:dyDescent="0.25">
      <c r="A60" s="671"/>
      <c r="B60" s="1494" t="s">
        <v>2030</v>
      </c>
      <c r="C60" s="671"/>
      <c r="D60" s="671"/>
      <c r="E60" s="671"/>
      <c r="F60" s="671"/>
      <c r="G60" s="671"/>
      <c r="H60" s="671"/>
      <c r="I60" s="671"/>
      <c r="J60" s="1182"/>
    </row>
    <row r="61" spans="1:10" x14ac:dyDescent="0.25">
      <c r="A61" s="671"/>
      <c r="B61" s="1490" t="s">
        <v>2054</v>
      </c>
      <c r="C61" s="671"/>
      <c r="D61" s="671"/>
      <c r="E61" s="671"/>
      <c r="F61" s="671"/>
      <c r="G61" s="671"/>
      <c r="H61" s="671"/>
      <c r="I61" s="671"/>
      <c r="J61" s="1182"/>
    </row>
    <row r="62" spans="1:10" x14ac:dyDescent="0.25">
      <c r="A62" s="671"/>
      <c r="B62" s="1494" t="s">
        <v>2031</v>
      </c>
      <c r="C62" s="671"/>
      <c r="D62" s="671"/>
      <c r="E62" s="671"/>
      <c r="F62" s="671"/>
      <c r="G62" s="671"/>
      <c r="H62" s="671"/>
      <c r="I62" s="671"/>
      <c r="J62" s="1182"/>
    </row>
    <row r="63" spans="1:10" x14ac:dyDescent="0.25">
      <c r="A63" s="671"/>
      <c r="B63" s="1490" t="s">
        <v>2055</v>
      </c>
      <c r="C63" s="671"/>
      <c r="D63" s="671"/>
      <c r="E63" s="671"/>
      <c r="F63" s="671"/>
      <c r="G63" s="671"/>
      <c r="H63" s="671"/>
      <c r="I63" s="671"/>
      <c r="J63" s="1182"/>
    </row>
    <row r="64" spans="1:10" x14ac:dyDescent="0.25">
      <c r="A64" s="671"/>
      <c r="B64" s="1494" t="s">
        <v>2041</v>
      </c>
      <c r="C64" s="671"/>
      <c r="D64" s="671"/>
      <c r="E64" s="671"/>
      <c r="F64" s="671"/>
      <c r="G64" s="671"/>
      <c r="H64" s="671"/>
      <c r="I64" s="671"/>
      <c r="J64" s="1182"/>
    </row>
    <row r="65" spans="1:10" x14ac:dyDescent="0.25">
      <c r="A65" s="671"/>
      <c r="B65" s="1494" t="s">
        <v>2042</v>
      </c>
      <c r="C65" s="671"/>
      <c r="D65" s="671"/>
      <c r="E65" s="671"/>
      <c r="F65" s="671"/>
      <c r="G65" s="671"/>
      <c r="H65" s="671"/>
      <c r="I65" s="671"/>
      <c r="J65" s="1182"/>
    </row>
    <row r="66" spans="1:10" x14ac:dyDescent="0.25">
      <c r="A66" s="671"/>
      <c r="B66" s="1490" t="s">
        <v>2056</v>
      </c>
      <c r="C66" s="671"/>
      <c r="D66" s="671"/>
      <c r="E66" s="671"/>
      <c r="F66" s="671"/>
      <c r="G66" s="671"/>
      <c r="H66" s="671"/>
      <c r="I66" s="671"/>
      <c r="J66" s="1182"/>
    </row>
    <row r="67" spans="1:10" x14ac:dyDescent="0.25">
      <c r="A67" s="671"/>
      <c r="B67" s="1494" t="s">
        <v>2032</v>
      </c>
      <c r="C67" s="671"/>
      <c r="D67" s="671"/>
      <c r="E67" s="671"/>
      <c r="F67" s="671"/>
      <c r="G67" s="671"/>
      <c r="H67" s="671"/>
      <c r="I67" s="671"/>
      <c r="J67" s="1182"/>
    </row>
    <row r="68" spans="1:10" x14ac:dyDescent="0.25">
      <c r="A68" s="671"/>
      <c r="B68" s="1494" t="s">
        <v>2043</v>
      </c>
      <c r="C68" s="671"/>
      <c r="D68" s="671"/>
      <c r="E68" s="671"/>
      <c r="F68" s="671"/>
      <c r="G68" s="671"/>
      <c r="H68" s="671"/>
      <c r="I68" s="671"/>
      <c r="J68" s="1182"/>
    </row>
    <row r="69" spans="1:10" x14ac:dyDescent="0.25">
      <c r="A69" s="671"/>
      <c r="B69" s="1494" t="s">
        <v>2044</v>
      </c>
      <c r="C69" s="671"/>
      <c r="D69" s="671"/>
      <c r="E69" s="671"/>
      <c r="F69" s="671"/>
      <c r="G69" s="671"/>
      <c r="H69" s="671"/>
      <c r="I69" s="671"/>
      <c r="J69" s="1182"/>
    </row>
    <row r="70" spans="1:10" x14ac:dyDescent="0.25">
      <c r="A70" s="671"/>
      <c r="B70" s="1494" t="s">
        <v>2045</v>
      </c>
      <c r="C70" s="671"/>
      <c r="D70" s="671"/>
      <c r="E70" s="671"/>
      <c r="F70" s="671"/>
      <c r="G70" s="671"/>
      <c r="H70" s="671"/>
      <c r="I70" s="671"/>
      <c r="J70" s="1182"/>
    </row>
    <row r="71" spans="1:10" x14ac:dyDescent="0.25">
      <c r="A71" s="671"/>
      <c r="B71" s="1494" t="s">
        <v>2046</v>
      </c>
      <c r="C71" s="671"/>
      <c r="D71" s="671"/>
      <c r="E71" s="671"/>
      <c r="F71" s="671"/>
      <c r="G71" s="671"/>
      <c r="H71" s="671"/>
      <c r="I71" s="671"/>
      <c r="J71" s="1182"/>
    </row>
    <row r="72" spans="1:10" x14ac:dyDescent="0.25">
      <c r="A72" s="671"/>
      <c r="B72" s="1494" t="s">
        <v>2047</v>
      </c>
      <c r="C72" s="671"/>
      <c r="D72" s="671"/>
      <c r="E72" s="671"/>
      <c r="F72" s="671"/>
      <c r="G72" s="671"/>
      <c r="H72" s="671"/>
      <c r="I72" s="671"/>
      <c r="J72" s="1182"/>
    </row>
    <row r="73" spans="1:10" x14ac:dyDescent="0.25">
      <c r="A73" s="671"/>
      <c r="B73" s="1494" t="s">
        <v>2048</v>
      </c>
      <c r="C73" s="671"/>
      <c r="D73" s="671"/>
      <c r="E73" s="671"/>
      <c r="F73" s="671"/>
      <c r="G73" s="671"/>
      <c r="H73" s="671"/>
      <c r="I73" s="671"/>
      <c r="J73" s="1182"/>
    </row>
    <row r="74" spans="1:10" x14ac:dyDescent="0.25">
      <c r="A74" s="671"/>
      <c r="B74" s="1494" t="s">
        <v>2049</v>
      </c>
      <c r="C74" s="671"/>
      <c r="D74" s="671"/>
      <c r="E74" s="671"/>
      <c r="F74" s="671"/>
      <c r="G74" s="671"/>
      <c r="H74" s="671"/>
      <c r="I74" s="671"/>
      <c r="J74" s="1182"/>
    </row>
    <row r="75" spans="1:10" x14ac:dyDescent="0.25">
      <c r="A75" s="671"/>
      <c r="B75" s="1494" t="s">
        <v>2050</v>
      </c>
      <c r="C75" s="671"/>
      <c r="D75" s="671"/>
      <c r="E75" s="671"/>
      <c r="F75" s="671"/>
      <c r="G75" s="671"/>
      <c r="H75" s="671"/>
      <c r="I75" s="671"/>
      <c r="J75" s="1182"/>
    </row>
  </sheetData>
  <sheetProtection algorithmName="SHA-512" hashValue="ZWvTDfRWlUxm+13cVQV8UUZ6R59oOOuYH7ewtOSg0Hzfkc1J5b5jOW0pFG2j2Pro3a0HiZ49WkXY1/c3fJB/6Q==" saltValue="sAFpiWOv7fUsqNX9PC0F/w==" spinCount="100000" sheet="1" objects="1" scenarios="1"/>
  <mergeCells count="20">
    <mergeCell ref="B26:D26"/>
    <mergeCell ref="B27:D27"/>
    <mergeCell ref="B20:D20"/>
    <mergeCell ref="B21:D21"/>
    <mergeCell ref="B22:D22"/>
    <mergeCell ref="B23:D23"/>
    <mergeCell ref="B24:D24"/>
    <mergeCell ref="B25:D25"/>
    <mergeCell ref="B19:D19"/>
    <mergeCell ref="A6:B6"/>
    <mergeCell ref="A7:B7"/>
    <mergeCell ref="A9:B9"/>
    <mergeCell ref="A10:B10"/>
    <mergeCell ref="A11:D12"/>
    <mergeCell ref="B13:D13"/>
    <mergeCell ref="B14:D14"/>
    <mergeCell ref="B15:D15"/>
    <mergeCell ref="B16:D16"/>
    <mergeCell ref="B17:D17"/>
    <mergeCell ref="B18:D18"/>
  </mergeCells>
  <pageMargins left="0.7" right="0.7" top="0.75" bottom="0.5" header="0.3" footer="0.3"/>
  <pageSetup scale="58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5BE9A-A82A-4BCF-9D26-C2F29755043D}">
  <dimension ref="A1:Q174"/>
  <sheetViews>
    <sheetView zoomScale="75" zoomScaleNormal="75" workbookViewId="0">
      <selection activeCell="K23" sqref="K23"/>
    </sheetView>
  </sheetViews>
  <sheetFormatPr defaultRowHeight="15.75" x14ac:dyDescent="0.25"/>
  <cols>
    <col min="1" max="1" width="4.88671875" customWidth="1"/>
    <col min="2" max="2" width="15.5546875" customWidth="1"/>
    <col min="3" max="3" width="35" customWidth="1"/>
    <col min="4" max="4" width="14.77734375" customWidth="1"/>
    <col min="5" max="8" width="15.77734375" hidden="1" customWidth="1"/>
    <col min="9" max="17" width="15.77734375" customWidth="1"/>
  </cols>
  <sheetData>
    <row r="1" spans="1:17" ht="24" thickBot="1" x14ac:dyDescent="0.35">
      <c r="A1" s="538" t="s">
        <v>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0"/>
      <c r="Q1" s="539" t="s">
        <v>12</v>
      </c>
    </row>
    <row r="2" spans="1:17" ht="24" thickTop="1" x14ac:dyDescent="0.3">
      <c r="A2" s="540" t="s">
        <v>15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ht="29.25" x14ac:dyDescent="0.4">
      <c r="A3" s="541" t="s">
        <v>1837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 ht="23.25" x14ac:dyDescent="0.3">
      <c r="A4" s="542" t="s">
        <v>1838</v>
      </c>
      <c r="B4" s="531"/>
      <c r="C4" s="531"/>
      <c r="D4" s="543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44" t="s">
        <v>1119</v>
      </c>
    </row>
    <row r="5" spans="1:17" x14ac:dyDescent="0.25">
      <c r="A5" s="532"/>
      <c r="B5" s="543"/>
      <c r="C5" s="543"/>
      <c r="D5" s="543"/>
      <c r="E5" s="543"/>
      <c r="F5" s="543"/>
      <c r="G5" s="543"/>
      <c r="H5" s="543"/>
      <c r="I5" s="545"/>
      <c r="J5" s="545"/>
      <c r="K5" s="545"/>
      <c r="L5" s="543"/>
      <c r="M5" s="545"/>
      <c r="N5" s="543"/>
      <c r="O5" s="543"/>
      <c r="P5" s="543"/>
      <c r="Q5" s="543"/>
    </row>
    <row r="6" spans="1:17" x14ac:dyDescent="0.25">
      <c r="A6" s="1865" t="s">
        <v>4</v>
      </c>
      <c r="B6" s="1865"/>
      <c r="C6" s="2" t="s">
        <v>298</v>
      </c>
      <c r="D6" s="534"/>
      <c r="E6" s="543"/>
      <c r="F6" s="543"/>
      <c r="G6" s="543"/>
      <c r="H6" s="543"/>
      <c r="I6" s="543"/>
      <c r="J6" s="543"/>
      <c r="K6" s="543"/>
      <c r="L6" s="543"/>
      <c r="M6" s="543"/>
      <c r="N6" s="532"/>
      <c r="O6" s="543"/>
      <c r="P6" s="534"/>
      <c r="Q6" s="534"/>
    </row>
    <row r="7" spans="1:17" x14ac:dyDescent="0.25">
      <c r="A7" s="1865" t="s">
        <v>3</v>
      </c>
      <c r="B7" s="1865"/>
      <c r="C7" s="2" t="s">
        <v>48</v>
      </c>
      <c r="D7" s="534"/>
      <c r="E7" s="1866" t="s">
        <v>1839</v>
      </c>
      <c r="F7" s="1867"/>
      <c r="G7" s="1867"/>
      <c r="H7" s="1868"/>
      <c r="I7" s="1872" t="s">
        <v>1840</v>
      </c>
      <c r="J7" s="1872" t="s">
        <v>1840</v>
      </c>
      <c r="K7" s="546"/>
      <c r="L7" s="1875" t="s">
        <v>1840</v>
      </c>
      <c r="M7" s="1876"/>
      <c r="N7" s="1876"/>
      <c r="O7" s="534"/>
      <c r="P7" s="1891" t="s">
        <v>1840</v>
      </c>
      <c r="Q7" s="534"/>
    </row>
    <row r="8" spans="1:17" x14ac:dyDescent="0.25">
      <c r="A8" s="537"/>
      <c r="B8" s="537"/>
      <c r="C8" s="533"/>
      <c r="D8" s="547"/>
      <c r="E8" s="1869"/>
      <c r="F8" s="1870"/>
      <c r="G8" s="1870"/>
      <c r="H8" s="1871"/>
      <c r="I8" s="1873"/>
      <c r="J8" s="1874"/>
      <c r="K8" s="548"/>
      <c r="L8" s="1874"/>
      <c r="M8" s="1874"/>
      <c r="N8" s="1874"/>
      <c r="O8" s="534"/>
      <c r="P8" s="1874"/>
      <c r="Q8" s="534"/>
    </row>
    <row r="9" spans="1:17" x14ac:dyDescent="0.25">
      <c r="A9" s="1892" t="s">
        <v>300</v>
      </c>
      <c r="B9" s="1892"/>
      <c r="C9" s="549" t="s">
        <v>1802</v>
      </c>
      <c r="D9" s="550"/>
      <c r="E9" s="551" t="s">
        <v>19</v>
      </c>
      <c r="F9" s="551" t="s">
        <v>20</v>
      </c>
      <c r="G9" s="551" t="s">
        <v>21</v>
      </c>
      <c r="H9" s="551" t="s">
        <v>22</v>
      </c>
      <c r="I9" s="552" t="s">
        <v>23</v>
      </c>
      <c r="J9" s="552" t="s">
        <v>24</v>
      </c>
      <c r="K9" s="551" t="s">
        <v>25</v>
      </c>
      <c r="L9" s="551" t="s">
        <v>160</v>
      </c>
      <c r="M9" s="551" t="s">
        <v>161</v>
      </c>
      <c r="N9" s="551" t="s">
        <v>162</v>
      </c>
      <c r="O9" s="551" t="s">
        <v>163</v>
      </c>
      <c r="P9" s="553" t="s">
        <v>164</v>
      </c>
      <c r="Q9" s="553" t="s">
        <v>165</v>
      </c>
    </row>
    <row r="10" spans="1:17" ht="15.75" customHeight="1" x14ac:dyDescent="0.25">
      <c r="A10" s="1892" t="s">
        <v>5</v>
      </c>
      <c r="B10" s="1892"/>
      <c r="C10" s="549" t="s">
        <v>1333</v>
      </c>
      <c r="D10" s="550"/>
      <c r="E10" s="554"/>
      <c r="F10" s="555"/>
      <c r="G10" s="555"/>
      <c r="H10" s="555"/>
      <c r="I10" s="1893"/>
      <c r="J10" s="1894"/>
      <c r="K10" s="1897" t="s">
        <v>1841</v>
      </c>
      <c r="L10" s="556"/>
      <c r="M10" s="556"/>
      <c r="N10" s="557"/>
      <c r="O10" s="1877" t="s">
        <v>1842</v>
      </c>
      <c r="P10" s="1900" t="s">
        <v>1843</v>
      </c>
      <c r="Q10" s="1877" t="s">
        <v>1844</v>
      </c>
    </row>
    <row r="11" spans="1:17" x14ac:dyDescent="0.25">
      <c r="A11" s="1880"/>
      <c r="B11" s="1881"/>
      <c r="C11" s="1881"/>
      <c r="D11" s="1882"/>
      <c r="E11" s="558" t="s">
        <v>1845</v>
      </c>
      <c r="F11" s="559"/>
      <c r="G11" s="559"/>
      <c r="H11" s="555" t="s">
        <v>258</v>
      </c>
      <c r="I11" s="1895"/>
      <c r="J11" s="1896"/>
      <c r="K11" s="1898"/>
      <c r="L11" s="556"/>
      <c r="M11" s="556"/>
      <c r="N11" s="556"/>
      <c r="O11" s="1878"/>
      <c r="P11" s="1878"/>
      <c r="Q11" s="1878"/>
    </row>
    <row r="12" spans="1:17" ht="60" x14ac:dyDescent="0.25">
      <c r="A12" s="1883"/>
      <c r="B12" s="1884"/>
      <c r="C12" s="1884"/>
      <c r="D12" s="1885"/>
      <c r="E12" s="553" t="s">
        <v>1846</v>
      </c>
      <c r="F12" s="553" t="s">
        <v>1847</v>
      </c>
      <c r="G12" s="553" t="s">
        <v>1848</v>
      </c>
      <c r="H12" s="560" t="s">
        <v>0</v>
      </c>
      <c r="I12" s="561" t="s">
        <v>1849</v>
      </c>
      <c r="J12" s="561" t="s">
        <v>1850</v>
      </c>
      <c r="K12" s="1899"/>
      <c r="L12" s="562" t="s">
        <v>1816</v>
      </c>
      <c r="M12" s="562" t="s">
        <v>1817</v>
      </c>
      <c r="N12" s="563" t="s">
        <v>1851</v>
      </c>
      <c r="O12" s="1879"/>
      <c r="P12" s="1879"/>
      <c r="Q12" s="1879"/>
    </row>
    <row r="13" spans="1:17" ht="15" customHeight="1" x14ac:dyDescent="0.25">
      <c r="A13" s="564">
        <v>1</v>
      </c>
      <c r="B13" s="1886" t="s">
        <v>1828</v>
      </c>
      <c r="C13" s="1887"/>
      <c r="D13" s="565" t="s">
        <v>1901</v>
      </c>
      <c r="E13" s="566"/>
      <c r="F13" s="566"/>
      <c r="G13" s="566"/>
      <c r="H13" s="566"/>
      <c r="I13" s="567"/>
      <c r="J13" s="567"/>
      <c r="K13" s="567"/>
      <c r="L13" s="567"/>
      <c r="M13" s="567"/>
      <c r="N13" s="567"/>
      <c r="O13" s="567"/>
      <c r="P13" s="567"/>
      <c r="Q13" s="567"/>
    </row>
    <row r="14" spans="1:17" ht="15" customHeight="1" x14ac:dyDescent="0.25">
      <c r="A14" s="564">
        <v>2</v>
      </c>
      <c r="B14" s="1886" t="s">
        <v>1852</v>
      </c>
      <c r="C14" s="1887"/>
      <c r="D14" s="565" t="s">
        <v>1901</v>
      </c>
      <c r="E14" s="566"/>
      <c r="F14" s="566"/>
      <c r="G14" s="566"/>
      <c r="H14" s="566"/>
      <c r="I14" s="566"/>
      <c r="J14" s="568"/>
      <c r="K14" s="567"/>
      <c r="L14" s="566"/>
      <c r="M14" s="566"/>
      <c r="N14" s="566"/>
      <c r="O14" s="566"/>
      <c r="P14" s="566"/>
      <c r="Q14" s="566"/>
    </row>
    <row r="15" spans="1:17" ht="15" customHeight="1" x14ac:dyDescent="0.25">
      <c r="A15" s="564">
        <v>3</v>
      </c>
      <c r="B15" s="1888" t="s">
        <v>1853</v>
      </c>
      <c r="C15" s="1889"/>
      <c r="D15" s="565" t="s">
        <v>1901</v>
      </c>
      <c r="E15" s="566"/>
      <c r="F15" s="566"/>
      <c r="G15" s="566"/>
      <c r="H15" s="566"/>
      <c r="I15" s="567"/>
      <c r="J15" s="567"/>
      <c r="K15" s="567"/>
      <c r="L15" s="567"/>
      <c r="M15" s="567"/>
      <c r="N15" s="567"/>
      <c r="O15" s="567"/>
      <c r="P15" s="566"/>
      <c r="Q15" s="567"/>
    </row>
    <row r="16" spans="1:17" ht="15" customHeight="1" x14ac:dyDescent="0.25">
      <c r="A16" s="564">
        <v>4</v>
      </c>
      <c r="B16" s="1890" t="s">
        <v>1854</v>
      </c>
      <c r="C16" s="1887"/>
      <c r="D16" s="565" t="s">
        <v>1901</v>
      </c>
      <c r="E16" s="566"/>
      <c r="F16" s="566"/>
      <c r="G16" s="566"/>
      <c r="H16" s="566"/>
      <c r="I16" s="567"/>
      <c r="J16" s="567"/>
      <c r="K16" s="567"/>
      <c r="L16" s="567"/>
      <c r="M16" s="567"/>
      <c r="N16" s="567"/>
      <c r="O16" s="567"/>
      <c r="P16" s="567"/>
      <c r="Q16" s="567"/>
    </row>
    <row r="17" spans="1:17" ht="15" customHeight="1" x14ac:dyDescent="0.25">
      <c r="A17" s="569"/>
      <c r="B17" s="536"/>
      <c r="C17" s="570"/>
      <c r="D17" s="535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</row>
    <row r="18" spans="1:17" s="531" customFormat="1" ht="15" customHeight="1" x14ac:dyDescent="0.25">
      <c r="A18" s="564">
        <v>5</v>
      </c>
      <c r="B18" s="1886" t="s">
        <v>1828</v>
      </c>
      <c r="C18" s="1887"/>
      <c r="D18" s="565" t="s">
        <v>1902</v>
      </c>
      <c r="E18" s="566"/>
      <c r="F18" s="566"/>
      <c r="G18" s="566"/>
      <c r="H18" s="566"/>
      <c r="I18" s="567"/>
      <c r="J18" s="567"/>
      <c r="K18" s="567"/>
      <c r="L18" s="567"/>
      <c r="M18" s="567"/>
      <c r="N18" s="567"/>
      <c r="O18" s="567"/>
      <c r="P18" s="567"/>
      <c r="Q18" s="567"/>
    </row>
    <row r="19" spans="1:17" s="531" customFormat="1" ht="15" customHeight="1" x14ac:dyDescent="0.25">
      <c r="A19" s="564">
        <v>6</v>
      </c>
      <c r="B19" s="1886" t="s">
        <v>1852</v>
      </c>
      <c r="C19" s="1887"/>
      <c r="D19" s="565" t="s">
        <v>1902</v>
      </c>
      <c r="E19" s="566"/>
      <c r="F19" s="566"/>
      <c r="G19" s="566"/>
      <c r="H19" s="566"/>
      <c r="I19" s="566"/>
      <c r="J19" s="568"/>
      <c r="K19" s="567"/>
      <c r="L19" s="566"/>
      <c r="M19" s="566"/>
      <c r="N19" s="566"/>
      <c r="O19" s="566"/>
      <c r="P19" s="566"/>
      <c r="Q19" s="566"/>
    </row>
    <row r="20" spans="1:17" s="531" customFormat="1" ht="15" customHeight="1" x14ac:dyDescent="0.25">
      <c r="A20" s="564">
        <v>7</v>
      </c>
      <c r="B20" s="1888" t="s">
        <v>1853</v>
      </c>
      <c r="C20" s="1889"/>
      <c r="D20" s="565" t="s">
        <v>1902</v>
      </c>
      <c r="E20" s="566"/>
      <c r="F20" s="566"/>
      <c r="G20" s="566"/>
      <c r="H20" s="566"/>
      <c r="I20" s="567"/>
      <c r="J20" s="567"/>
      <c r="K20" s="567"/>
      <c r="L20" s="567"/>
      <c r="M20" s="567"/>
      <c r="N20" s="567"/>
      <c r="O20" s="567"/>
      <c r="P20" s="566"/>
      <c r="Q20" s="567"/>
    </row>
    <row r="21" spans="1:17" s="531" customFormat="1" ht="15" customHeight="1" x14ac:dyDescent="0.25">
      <c r="A21" s="564">
        <v>8</v>
      </c>
      <c r="B21" s="1890" t="s">
        <v>1854</v>
      </c>
      <c r="C21" s="1887"/>
      <c r="D21" s="565" t="s">
        <v>1902</v>
      </c>
      <c r="E21" s="566"/>
      <c r="F21" s="566"/>
      <c r="G21" s="566"/>
      <c r="H21" s="566"/>
      <c r="I21" s="567"/>
      <c r="J21" s="567"/>
      <c r="K21" s="567"/>
      <c r="L21" s="567"/>
      <c r="M21" s="567"/>
      <c r="N21" s="567"/>
      <c r="O21" s="567"/>
      <c r="P21" s="567"/>
      <c r="Q21" s="567"/>
    </row>
    <row r="22" spans="1:17" s="531" customFormat="1" ht="15" customHeight="1" x14ac:dyDescent="0.25">
      <c r="A22" s="569"/>
      <c r="B22" s="536"/>
      <c r="C22" s="570"/>
      <c r="D22" s="535"/>
      <c r="E22" s="566"/>
      <c r="F22" s="566"/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</row>
    <row r="23" spans="1:17" s="531" customFormat="1" ht="15" customHeight="1" x14ac:dyDescent="0.25">
      <c r="A23" s="564">
        <v>9</v>
      </c>
      <c r="B23" s="1886" t="s">
        <v>1828</v>
      </c>
      <c r="C23" s="1887"/>
      <c r="D23" s="565" t="s">
        <v>1908</v>
      </c>
      <c r="E23" s="566"/>
      <c r="F23" s="566"/>
      <c r="G23" s="566"/>
      <c r="H23" s="566"/>
      <c r="I23" s="567"/>
      <c r="J23" s="567"/>
      <c r="K23" s="567"/>
      <c r="L23" s="567"/>
      <c r="M23" s="567"/>
      <c r="N23" s="567"/>
      <c r="O23" s="567"/>
      <c r="P23" s="567"/>
      <c r="Q23" s="567"/>
    </row>
    <row r="24" spans="1:17" s="531" customFormat="1" ht="15" customHeight="1" x14ac:dyDescent="0.25">
      <c r="A24" s="564">
        <v>10</v>
      </c>
      <c r="B24" s="1886" t="s">
        <v>1852</v>
      </c>
      <c r="C24" s="1887"/>
      <c r="D24" s="565" t="s">
        <v>1908</v>
      </c>
      <c r="E24" s="566"/>
      <c r="F24" s="566"/>
      <c r="G24" s="566"/>
      <c r="H24" s="566"/>
      <c r="I24" s="566"/>
      <c r="J24" s="568"/>
      <c r="K24" s="567"/>
      <c r="L24" s="566"/>
      <c r="M24" s="566"/>
      <c r="N24" s="566"/>
      <c r="O24" s="566"/>
      <c r="P24" s="566"/>
      <c r="Q24" s="566"/>
    </row>
    <row r="25" spans="1:17" s="531" customFormat="1" ht="15" customHeight="1" x14ac:dyDescent="0.25">
      <c r="A25" s="564">
        <v>11</v>
      </c>
      <c r="B25" s="1888" t="s">
        <v>1853</v>
      </c>
      <c r="C25" s="1889"/>
      <c r="D25" s="565" t="s">
        <v>1908</v>
      </c>
      <c r="E25" s="566"/>
      <c r="F25" s="566"/>
      <c r="G25" s="566"/>
      <c r="H25" s="566"/>
      <c r="I25" s="567"/>
      <c r="J25" s="567"/>
      <c r="K25" s="567"/>
      <c r="L25" s="567"/>
      <c r="M25" s="567"/>
      <c r="N25" s="567"/>
      <c r="O25" s="567"/>
      <c r="P25" s="566"/>
      <c r="Q25" s="567"/>
    </row>
    <row r="26" spans="1:17" s="531" customFormat="1" ht="15" customHeight="1" x14ac:dyDescent="0.25">
      <c r="A26" s="564">
        <v>12</v>
      </c>
      <c r="B26" s="1890" t="s">
        <v>1854</v>
      </c>
      <c r="C26" s="1887"/>
      <c r="D26" s="565" t="s">
        <v>1908</v>
      </c>
      <c r="E26" s="566"/>
      <c r="F26" s="566"/>
      <c r="G26" s="566"/>
      <c r="H26" s="566"/>
      <c r="I26" s="567"/>
      <c r="J26" s="567"/>
      <c r="K26" s="567"/>
      <c r="L26" s="567"/>
      <c r="M26" s="567"/>
      <c r="N26" s="567"/>
      <c r="O26" s="567"/>
      <c r="P26" s="567"/>
      <c r="Q26" s="567"/>
    </row>
    <row r="27" spans="1:17" s="531" customFormat="1" ht="15" customHeight="1" x14ac:dyDescent="0.25">
      <c r="A27" s="569"/>
      <c r="B27" s="536"/>
      <c r="C27" s="570"/>
      <c r="D27" s="535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</row>
    <row r="28" spans="1:17" ht="15" customHeight="1" x14ac:dyDescent="0.25">
      <c r="A28" s="564">
        <v>13</v>
      </c>
      <c r="B28" s="1909" t="s">
        <v>1855</v>
      </c>
      <c r="C28" s="1909"/>
      <c r="D28" s="565" t="s">
        <v>1901</v>
      </c>
      <c r="E28" s="566"/>
      <c r="F28" s="566"/>
      <c r="G28" s="566"/>
      <c r="H28" s="566"/>
      <c r="I28" s="567"/>
      <c r="J28" s="567"/>
      <c r="K28" s="567"/>
      <c r="L28" s="567"/>
      <c r="M28" s="567"/>
      <c r="N28" s="567"/>
      <c r="O28" s="567"/>
      <c r="P28" s="567"/>
      <c r="Q28" s="567"/>
    </row>
    <row r="29" spans="1:17" ht="15" customHeight="1" x14ac:dyDescent="0.25">
      <c r="A29" s="564">
        <v>14</v>
      </c>
      <c r="B29" s="1901" t="s">
        <v>1856</v>
      </c>
      <c r="C29" s="1902"/>
      <c r="D29" s="565" t="s">
        <v>1901</v>
      </c>
      <c r="E29" s="566"/>
      <c r="F29" s="566"/>
      <c r="G29" s="566"/>
      <c r="H29" s="566"/>
      <c r="I29" s="566"/>
      <c r="J29" s="567"/>
      <c r="K29" s="567"/>
      <c r="L29" s="566"/>
      <c r="M29" s="566"/>
      <c r="N29" s="566"/>
      <c r="O29" s="566"/>
      <c r="P29" s="566"/>
      <c r="Q29" s="566"/>
    </row>
    <row r="30" spans="1:17" ht="15" customHeight="1" x14ac:dyDescent="0.25">
      <c r="A30" s="564">
        <v>15</v>
      </c>
      <c r="B30" s="1901" t="s">
        <v>1857</v>
      </c>
      <c r="C30" s="1902"/>
      <c r="D30" s="565" t="s">
        <v>1901</v>
      </c>
      <c r="E30" s="566"/>
      <c r="F30" s="566"/>
      <c r="G30" s="566"/>
      <c r="H30" s="566"/>
      <c r="I30" s="567"/>
      <c r="J30" s="567"/>
      <c r="K30" s="567"/>
      <c r="L30" s="567"/>
      <c r="M30" s="567"/>
      <c r="N30" s="567"/>
      <c r="O30" s="567"/>
      <c r="P30" s="566"/>
      <c r="Q30" s="567"/>
    </row>
    <row r="31" spans="1:17" ht="15" customHeight="1" x14ac:dyDescent="0.25">
      <c r="A31" s="564">
        <v>16</v>
      </c>
      <c r="B31" s="1890" t="s">
        <v>1858</v>
      </c>
      <c r="C31" s="1903"/>
      <c r="D31" s="565" t="s">
        <v>1901</v>
      </c>
      <c r="E31" s="566"/>
      <c r="F31" s="566"/>
      <c r="G31" s="566"/>
      <c r="H31" s="566"/>
      <c r="I31" s="567"/>
      <c r="J31" s="567"/>
      <c r="K31" s="567"/>
      <c r="L31" s="567"/>
      <c r="M31" s="567"/>
      <c r="N31" s="567"/>
      <c r="O31" s="567"/>
      <c r="P31" s="567"/>
      <c r="Q31" s="567"/>
    </row>
    <row r="32" spans="1:17" ht="15" customHeight="1" x14ac:dyDescent="0.25">
      <c r="A32" s="569"/>
      <c r="B32" s="1904"/>
      <c r="C32" s="1905"/>
      <c r="D32" s="1906"/>
      <c r="E32" s="566"/>
      <c r="F32" s="566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</row>
    <row r="33" spans="1:17" s="531" customFormat="1" ht="15" customHeight="1" x14ac:dyDescent="0.25">
      <c r="A33" s="564">
        <v>17</v>
      </c>
      <c r="B33" s="1909" t="s">
        <v>1855</v>
      </c>
      <c r="C33" s="1909"/>
      <c r="D33" s="565" t="s">
        <v>1902</v>
      </c>
      <c r="E33" s="566"/>
      <c r="F33" s="566"/>
      <c r="G33" s="566"/>
      <c r="H33" s="566"/>
      <c r="I33" s="567"/>
      <c r="J33" s="567"/>
      <c r="K33" s="567"/>
      <c r="L33" s="567"/>
      <c r="M33" s="567"/>
      <c r="N33" s="567"/>
      <c r="O33" s="567"/>
      <c r="P33" s="567"/>
      <c r="Q33" s="567"/>
    </row>
    <row r="34" spans="1:17" s="531" customFormat="1" ht="15" customHeight="1" x14ac:dyDescent="0.25">
      <c r="A34" s="564">
        <v>18</v>
      </c>
      <c r="B34" s="1901" t="s">
        <v>1856</v>
      </c>
      <c r="C34" s="1902"/>
      <c r="D34" s="565" t="s">
        <v>1902</v>
      </c>
      <c r="E34" s="566"/>
      <c r="F34" s="566"/>
      <c r="G34" s="566"/>
      <c r="H34" s="566"/>
      <c r="I34" s="566"/>
      <c r="J34" s="567"/>
      <c r="K34" s="567"/>
      <c r="L34" s="566"/>
      <c r="M34" s="566"/>
      <c r="N34" s="566"/>
      <c r="O34" s="566"/>
      <c r="P34" s="566"/>
      <c r="Q34" s="566"/>
    </row>
    <row r="35" spans="1:17" s="531" customFormat="1" ht="15" customHeight="1" x14ac:dyDescent="0.25">
      <c r="A35" s="564">
        <v>19</v>
      </c>
      <c r="B35" s="1901" t="s">
        <v>1857</v>
      </c>
      <c r="C35" s="1902"/>
      <c r="D35" s="565" t="s">
        <v>1902</v>
      </c>
      <c r="E35" s="566"/>
      <c r="F35" s="566"/>
      <c r="G35" s="566"/>
      <c r="H35" s="566"/>
      <c r="I35" s="567"/>
      <c r="J35" s="567"/>
      <c r="K35" s="567"/>
      <c r="L35" s="567"/>
      <c r="M35" s="567"/>
      <c r="N35" s="567"/>
      <c r="O35" s="567"/>
      <c r="P35" s="566"/>
      <c r="Q35" s="567"/>
    </row>
    <row r="36" spans="1:17" s="531" customFormat="1" ht="15" customHeight="1" x14ac:dyDescent="0.25">
      <c r="A36" s="564">
        <v>20</v>
      </c>
      <c r="B36" s="1890" t="s">
        <v>1858</v>
      </c>
      <c r="C36" s="1903"/>
      <c r="D36" s="565" t="s">
        <v>1902</v>
      </c>
      <c r="E36" s="566"/>
      <c r="F36" s="566"/>
      <c r="G36" s="566"/>
      <c r="H36" s="566"/>
      <c r="I36" s="567"/>
      <c r="J36" s="567"/>
      <c r="K36" s="567"/>
      <c r="L36" s="567"/>
      <c r="M36" s="567"/>
      <c r="N36" s="567"/>
      <c r="O36" s="567"/>
      <c r="P36" s="567"/>
      <c r="Q36" s="567"/>
    </row>
    <row r="37" spans="1:17" s="531" customFormat="1" ht="15" customHeight="1" x14ac:dyDescent="0.25">
      <c r="A37" s="569"/>
      <c r="B37" s="1904"/>
      <c r="C37" s="1905"/>
      <c r="D37" s="190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</row>
    <row r="38" spans="1:17" s="531" customFormat="1" ht="15" customHeight="1" x14ac:dyDescent="0.25">
      <c r="A38" s="564">
        <v>21</v>
      </c>
      <c r="B38" s="1909" t="s">
        <v>1855</v>
      </c>
      <c r="C38" s="1909"/>
      <c r="D38" s="565" t="s">
        <v>1908</v>
      </c>
      <c r="E38" s="566"/>
      <c r="F38" s="566"/>
      <c r="G38" s="566"/>
      <c r="H38" s="566"/>
      <c r="I38" s="567"/>
      <c r="J38" s="567"/>
      <c r="K38" s="567"/>
      <c r="L38" s="567"/>
      <c r="M38" s="567"/>
      <c r="N38" s="567"/>
      <c r="O38" s="567"/>
      <c r="P38" s="567"/>
      <c r="Q38" s="567"/>
    </row>
    <row r="39" spans="1:17" s="531" customFormat="1" ht="15" customHeight="1" x14ac:dyDescent="0.25">
      <c r="A39" s="564">
        <v>22</v>
      </c>
      <c r="B39" s="1901" t="s">
        <v>1856</v>
      </c>
      <c r="C39" s="1902"/>
      <c r="D39" s="565" t="s">
        <v>1908</v>
      </c>
      <c r="E39" s="566"/>
      <c r="F39" s="566"/>
      <c r="G39" s="566"/>
      <c r="H39" s="566"/>
      <c r="I39" s="566"/>
      <c r="J39" s="567"/>
      <c r="K39" s="567"/>
      <c r="L39" s="566"/>
      <c r="M39" s="566"/>
      <c r="N39" s="566"/>
      <c r="O39" s="566"/>
      <c r="P39" s="566"/>
      <c r="Q39" s="566"/>
    </row>
    <row r="40" spans="1:17" s="531" customFormat="1" ht="15" customHeight="1" x14ac:dyDescent="0.25">
      <c r="A40" s="564">
        <v>23</v>
      </c>
      <c r="B40" s="1901" t="s">
        <v>1857</v>
      </c>
      <c r="C40" s="1902"/>
      <c r="D40" s="565" t="s">
        <v>1908</v>
      </c>
      <c r="E40" s="566"/>
      <c r="F40" s="566"/>
      <c r="G40" s="566"/>
      <c r="H40" s="566"/>
      <c r="I40" s="567"/>
      <c r="J40" s="567"/>
      <c r="K40" s="567"/>
      <c r="L40" s="567"/>
      <c r="M40" s="567"/>
      <c r="N40" s="567"/>
      <c r="O40" s="567"/>
      <c r="P40" s="566"/>
      <c r="Q40" s="567"/>
    </row>
    <row r="41" spans="1:17" s="531" customFormat="1" ht="15" customHeight="1" x14ac:dyDescent="0.25">
      <c r="A41" s="564">
        <v>24</v>
      </c>
      <c r="B41" s="1890" t="s">
        <v>1858</v>
      </c>
      <c r="C41" s="1903"/>
      <c r="D41" s="565" t="s">
        <v>1908</v>
      </c>
      <c r="E41" s="566"/>
      <c r="F41" s="566"/>
      <c r="G41" s="566"/>
      <c r="H41" s="566"/>
      <c r="I41" s="567"/>
      <c r="J41" s="567"/>
      <c r="K41" s="567"/>
      <c r="L41" s="567"/>
      <c r="M41" s="567"/>
      <c r="N41" s="567"/>
      <c r="O41" s="567"/>
      <c r="P41" s="567"/>
      <c r="Q41" s="567"/>
    </row>
    <row r="42" spans="1:17" s="531" customFormat="1" ht="15" customHeight="1" x14ac:dyDescent="0.25">
      <c r="A42" s="569"/>
      <c r="B42" s="1904"/>
      <c r="C42" s="1905"/>
      <c r="D42" s="1906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</row>
    <row r="43" spans="1:17" ht="15" customHeight="1" x14ac:dyDescent="0.25">
      <c r="A43" s="564">
        <v>25</v>
      </c>
      <c r="B43" s="1907" t="s">
        <v>1859</v>
      </c>
      <c r="C43" s="1908"/>
      <c r="D43" s="571" t="s">
        <v>1903</v>
      </c>
      <c r="E43" s="566"/>
      <c r="F43" s="566"/>
      <c r="G43" s="566"/>
      <c r="H43" s="566"/>
      <c r="I43" s="567"/>
      <c r="J43" s="567"/>
      <c r="K43" s="567"/>
      <c r="L43" s="567"/>
      <c r="M43" s="567"/>
      <c r="N43" s="567"/>
      <c r="O43" s="567"/>
      <c r="P43" s="567"/>
      <c r="Q43" s="567"/>
    </row>
    <row r="44" spans="1:17" ht="15" customHeight="1" x14ac:dyDescent="0.25">
      <c r="A44" s="564">
        <v>26</v>
      </c>
      <c r="B44" s="1901" t="s">
        <v>1860</v>
      </c>
      <c r="C44" s="1902"/>
      <c r="D44" s="571" t="s">
        <v>1903</v>
      </c>
      <c r="E44" s="566"/>
      <c r="F44" s="566"/>
      <c r="G44" s="566"/>
      <c r="H44" s="566"/>
      <c r="I44" s="566"/>
      <c r="J44" s="567"/>
      <c r="K44" s="567"/>
      <c r="L44" s="566"/>
      <c r="M44" s="566"/>
      <c r="N44" s="566"/>
      <c r="O44" s="566"/>
      <c r="P44" s="566"/>
      <c r="Q44" s="572"/>
    </row>
    <row r="45" spans="1:17" ht="15" customHeight="1" x14ac:dyDescent="0.25">
      <c r="A45" s="564">
        <v>27</v>
      </c>
      <c r="B45" s="1901" t="s">
        <v>1861</v>
      </c>
      <c r="C45" s="1902"/>
      <c r="D45" s="571" t="s">
        <v>1903</v>
      </c>
      <c r="E45" s="566"/>
      <c r="F45" s="566"/>
      <c r="G45" s="566"/>
      <c r="H45" s="566"/>
      <c r="I45" s="567"/>
      <c r="J45" s="567"/>
      <c r="K45" s="567"/>
      <c r="L45" s="567"/>
      <c r="M45" s="567"/>
      <c r="N45" s="567"/>
      <c r="O45" s="567"/>
      <c r="P45" s="566"/>
      <c r="Q45" s="573"/>
    </row>
    <row r="46" spans="1:17" ht="15" customHeight="1" x14ac:dyDescent="0.25">
      <c r="A46" s="564">
        <v>28</v>
      </c>
      <c r="B46" s="1890" t="s">
        <v>1862</v>
      </c>
      <c r="C46" s="1903"/>
      <c r="D46" s="571" t="s">
        <v>1903</v>
      </c>
      <c r="E46" s="566"/>
      <c r="F46" s="566"/>
      <c r="G46" s="566"/>
      <c r="H46" s="566"/>
      <c r="I46" s="567"/>
      <c r="J46" s="567"/>
      <c r="K46" s="567"/>
      <c r="L46" s="567"/>
      <c r="M46" s="567"/>
      <c r="N46" s="567"/>
      <c r="O46" s="567"/>
      <c r="P46" s="567"/>
      <c r="Q46" s="573"/>
    </row>
    <row r="47" spans="1:17" ht="15" customHeight="1" x14ac:dyDescent="0.25">
      <c r="A47" s="569"/>
      <c r="B47" s="1904"/>
      <c r="C47" s="1905"/>
      <c r="D47" s="1906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72"/>
    </row>
    <row r="48" spans="1:17" ht="15" customHeight="1" x14ac:dyDescent="0.25">
      <c r="A48" s="564">
        <v>29</v>
      </c>
      <c r="B48" s="1907" t="s">
        <v>1859</v>
      </c>
      <c r="C48" s="1908"/>
      <c r="D48" s="571" t="s">
        <v>1904</v>
      </c>
      <c r="E48" s="566"/>
      <c r="F48" s="566"/>
      <c r="G48" s="566"/>
      <c r="H48" s="566"/>
      <c r="I48" s="567"/>
      <c r="J48" s="567"/>
      <c r="K48" s="567"/>
      <c r="L48" s="567"/>
      <c r="M48" s="567"/>
      <c r="N48" s="567"/>
      <c r="O48" s="567"/>
      <c r="P48" s="567"/>
      <c r="Q48" s="567"/>
    </row>
    <row r="49" spans="1:17" ht="15" customHeight="1" x14ac:dyDescent="0.25">
      <c r="A49" s="564">
        <v>30</v>
      </c>
      <c r="B49" s="1901" t="s">
        <v>1860</v>
      </c>
      <c r="C49" s="1902"/>
      <c r="D49" s="571" t="s">
        <v>1904</v>
      </c>
      <c r="E49" s="566"/>
      <c r="F49" s="566"/>
      <c r="G49" s="566"/>
      <c r="H49" s="566"/>
      <c r="I49" s="566"/>
      <c r="J49" s="567"/>
      <c r="K49" s="567"/>
      <c r="L49" s="566"/>
      <c r="M49" s="566"/>
      <c r="N49" s="566"/>
      <c r="O49" s="566"/>
      <c r="P49" s="566"/>
      <c r="Q49" s="566"/>
    </row>
    <row r="50" spans="1:17" ht="15" customHeight="1" x14ac:dyDescent="0.25">
      <c r="A50" s="564">
        <v>31</v>
      </c>
      <c r="B50" s="1901" t="s">
        <v>1861</v>
      </c>
      <c r="C50" s="1902"/>
      <c r="D50" s="571" t="s">
        <v>1904</v>
      </c>
      <c r="E50" s="566"/>
      <c r="F50" s="566"/>
      <c r="G50" s="566"/>
      <c r="H50" s="566"/>
      <c r="I50" s="567"/>
      <c r="J50" s="567"/>
      <c r="K50" s="567"/>
      <c r="L50" s="567"/>
      <c r="M50" s="567"/>
      <c r="N50" s="567"/>
      <c r="O50" s="567"/>
      <c r="P50" s="566"/>
      <c r="Q50" s="567"/>
    </row>
    <row r="51" spans="1:17" ht="15" customHeight="1" x14ac:dyDescent="0.25">
      <c r="A51" s="564">
        <v>32</v>
      </c>
      <c r="B51" s="1890" t="s">
        <v>1862</v>
      </c>
      <c r="C51" s="1903"/>
      <c r="D51" s="571" t="s">
        <v>1904</v>
      </c>
      <c r="E51" s="566"/>
      <c r="F51" s="566"/>
      <c r="G51" s="566"/>
      <c r="H51" s="566"/>
      <c r="I51" s="567"/>
      <c r="J51" s="567"/>
      <c r="K51" s="567"/>
      <c r="L51" s="567"/>
      <c r="M51" s="567"/>
      <c r="N51" s="567"/>
      <c r="O51" s="567"/>
      <c r="P51" s="567"/>
      <c r="Q51" s="567"/>
    </row>
    <row r="52" spans="1:17" ht="15" customHeight="1" x14ac:dyDescent="0.25">
      <c r="A52" s="569"/>
      <c r="B52" s="1904"/>
      <c r="C52" s="1911"/>
      <c r="D52" s="1912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</row>
    <row r="53" spans="1:17" s="531" customFormat="1" ht="15" customHeight="1" x14ac:dyDescent="0.25">
      <c r="A53" s="564">
        <v>33</v>
      </c>
      <c r="B53" s="1907" t="s">
        <v>1859</v>
      </c>
      <c r="C53" s="1908"/>
      <c r="D53" s="571" t="s">
        <v>1902</v>
      </c>
      <c r="E53" s="566"/>
      <c r="F53" s="566"/>
      <c r="G53" s="566"/>
      <c r="H53" s="566"/>
      <c r="I53" s="567"/>
      <c r="J53" s="567"/>
      <c r="K53" s="567"/>
      <c r="L53" s="567"/>
      <c r="M53" s="567"/>
      <c r="N53" s="567"/>
      <c r="O53" s="567"/>
      <c r="P53" s="567"/>
      <c r="Q53" s="567"/>
    </row>
    <row r="54" spans="1:17" s="531" customFormat="1" ht="15" customHeight="1" x14ac:dyDescent="0.25">
      <c r="A54" s="564">
        <v>34</v>
      </c>
      <c r="B54" s="1901" t="s">
        <v>1860</v>
      </c>
      <c r="C54" s="1902"/>
      <c r="D54" s="571" t="s">
        <v>1902</v>
      </c>
      <c r="E54" s="566"/>
      <c r="F54" s="566"/>
      <c r="G54" s="566"/>
      <c r="H54" s="566"/>
      <c r="I54" s="566"/>
      <c r="J54" s="567"/>
      <c r="K54" s="567"/>
      <c r="L54" s="566"/>
      <c r="M54" s="566"/>
      <c r="N54" s="566"/>
      <c r="O54" s="566"/>
      <c r="P54" s="566"/>
      <c r="Q54" s="566"/>
    </row>
    <row r="55" spans="1:17" s="531" customFormat="1" ht="15" customHeight="1" x14ac:dyDescent="0.25">
      <c r="A55" s="564">
        <v>35</v>
      </c>
      <c r="B55" s="1901" t="s">
        <v>1861</v>
      </c>
      <c r="C55" s="1902"/>
      <c r="D55" s="571" t="s">
        <v>1902</v>
      </c>
      <c r="E55" s="566"/>
      <c r="F55" s="566"/>
      <c r="G55" s="566"/>
      <c r="H55" s="566"/>
      <c r="I55" s="567"/>
      <c r="J55" s="567"/>
      <c r="K55" s="567"/>
      <c r="L55" s="567"/>
      <c r="M55" s="567"/>
      <c r="N55" s="567"/>
      <c r="O55" s="567"/>
      <c r="P55" s="566"/>
      <c r="Q55" s="567"/>
    </row>
    <row r="56" spans="1:17" s="531" customFormat="1" ht="15" customHeight="1" x14ac:dyDescent="0.25">
      <c r="A56" s="564">
        <v>36</v>
      </c>
      <c r="B56" s="1890" t="s">
        <v>1862</v>
      </c>
      <c r="C56" s="1903"/>
      <c r="D56" s="571" t="s">
        <v>1902</v>
      </c>
      <c r="E56" s="566"/>
      <c r="F56" s="566"/>
      <c r="G56" s="566"/>
      <c r="H56" s="566"/>
      <c r="I56" s="567"/>
      <c r="J56" s="567"/>
      <c r="K56" s="567"/>
      <c r="L56" s="567"/>
      <c r="M56" s="567"/>
      <c r="N56" s="567"/>
      <c r="O56" s="567"/>
      <c r="P56" s="567"/>
      <c r="Q56" s="567"/>
    </row>
    <row r="57" spans="1:17" s="531" customFormat="1" ht="15" customHeight="1" x14ac:dyDescent="0.25">
      <c r="A57" s="569"/>
      <c r="B57" s="1904"/>
      <c r="C57" s="1911"/>
      <c r="D57" s="1912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</row>
    <row r="58" spans="1:17" s="531" customFormat="1" ht="15" customHeight="1" x14ac:dyDescent="0.25">
      <c r="A58" s="564">
        <v>37</v>
      </c>
      <c r="B58" s="1907" t="s">
        <v>1859</v>
      </c>
      <c r="C58" s="1908"/>
      <c r="D58" s="571" t="s">
        <v>1908</v>
      </c>
      <c r="E58" s="566"/>
      <c r="F58" s="566"/>
      <c r="G58" s="566"/>
      <c r="H58" s="566"/>
      <c r="I58" s="567"/>
      <c r="J58" s="567"/>
      <c r="K58" s="567"/>
      <c r="L58" s="567"/>
      <c r="M58" s="567"/>
      <c r="N58" s="567"/>
      <c r="O58" s="567"/>
      <c r="P58" s="567"/>
      <c r="Q58" s="567"/>
    </row>
    <row r="59" spans="1:17" s="531" customFormat="1" ht="15" customHeight="1" x14ac:dyDescent="0.25">
      <c r="A59" s="564">
        <v>38</v>
      </c>
      <c r="B59" s="1901" t="s">
        <v>1860</v>
      </c>
      <c r="C59" s="1902"/>
      <c r="D59" s="571" t="s">
        <v>1908</v>
      </c>
      <c r="E59" s="566"/>
      <c r="F59" s="566"/>
      <c r="G59" s="566"/>
      <c r="H59" s="566"/>
      <c r="I59" s="566"/>
      <c r="J59" s="567"/>
      <c r="K59" s="567"/>
      <c r="L59" s="566"/>
      <c r="M59" s="566"/>
      <c r="N59" s="566"/>
      <c r="O59" s="566"/>
      <c r="P59" s="566"/>
      <c r="Q59" s="566"/>
    </row>
    <row r="60" spans="1:17" s="531" customFormat="1" ht="15" customHeight="1" x14ac:dyDescent="0.25">
      <c r="A60" s="564">
        <v>39</v>
      </c>
      <c r="B60" s="1901" t="s">
        <v>1861</v>
      </c>
      <c r="C60" s="1902"/>
      <c r="D60" s="571" t="s">
        <v>1908</v>
      </c>
      <c r="E60" s="566"/>
      <c r="F60" s="566"/>
      <c r="G60" s="566"/>
      <c r="H60" s="566"/>
      <c r="I60" s="567"/>
      <c r="J60" s="567"/>
      <c r="K60" s="567"/>
      <c r="L60" s="567"/>
      <c r="M60" s="567"/>
      <c r="N60" s="567"/>
      <c r="O60" s="567"/>
      <c r="P60" s="566"/>
      <c r="Q60" s="567"/>
    </row>
    <row r="61" spans="1:17" s="531" customFormat="1" ht="15" customHeight="1" x14ac:dyDescent="0.25">
      <c r="A61" s="564">
        <v>40</v>
      </c>
      <c r="B61" s="1890" t="s">
        <v>1862</v>
      </c>
      <c r="C61" s="1903"/>
      <c r="D61" s="571" t="s">
        <v>1908</v>
      </c>
      <c r="E61" s="566"/>
      <c r="F61" s="566"/>
      <c r="G61" s="566"/>
      <c r="H61" s="566"/>
      <c r="I61" s="567"/>
      <c r="J61" s="567"/>
      <c r="K61" s="567"/>
      <c r="L61" s="567"/>
      <c r="M61" s="567"/>
      <c r="N61" s="567"/>
      <c r="O61" s="567"/>
      <c r="P61" s="567"/>
      <c r="Q61" s="567"/>
    </row>
    <row r="62" spans="1:17" s="531" customFormat="1" ht="15" customHeight="1" x14ac:dyDescent="0.25">
      <c r="A62" s="569"/>
      <c r="B62" s="1904"/>
      <c r="C62" s="1911"/>
      <c r="D62" s="1912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</row>
    <row r="63" spans="1:17" ht="15" customHeight="1" x14ac:dyDescent="0.25">
      <c r="A63" s="564">
        <v>41</v>
      </c>
      <c r="B63" s="1901" t="s">
        <v>1863</v>
      </c>
      <c r="C63" s="1902"/>
      <c r="D63" s="565" t="s">
        <v>1901</v>
      </c>
      <c r="E63" s="566"/>
      <c r="F63" s="566"/>
      <c r="G63" s="566"/>
      <c r="H63" s="566"/>
      <c r="I63" s="567"/>
      <c r="J63" s="567"/>
      <c r="K63" s="567"/>
      <c r="L63" s="567"/>
      <c r="M63" s="567"/>
      <c r="N63" s="567"/>
      <c r="O63" s="567"/>
      <c r="P63" s="567"/>
      <c r="Q63" s="567"/>
    </row>
    <row r="64" spans="1:17" ht="15" customHeight="1" x14ac:dyDescent="0.25">
      <c r="A64" s="564">
        <v>42</v>
      </c>
      <c r="B64" s="1901" t="s">
        <v>1864</v>
      </c>
      <c r="C64" s="1902"/>
      <c r="D64" s="565" t="s">
        <v>1901</v>
      </c>
      <c r="E64" s="566"/>
      <c r="F64" s="566"/>
      <c r="G64" s="566"/>
      <c r="H64" s="566"/>
      <c r="I64" s="566"/>
      <c r="J64" s="567"/>
      <c r="K64" s="567"/>
      <c r="L64" s="566"/>
      <c r="M64" s="566"/>
      <c r="N64" s="566"/>
      <c r="O64" s="566"/>
      <c r="P64" s="566"/>
      <c r="Q64" s="566"/>
    </row>
    <row r="65" spans="1:17" ht="15" customHeight="1" x14ac:dyDescent="0.25">
      <c r="A65" s="564">
        <v>43</v>
      </c>
      <c r="B65" s="1901" t="s">
        <v>1865</v>
      </c>
      <c r="C65" s="1902"/>
      <c r="D65" s="565" t="s">
        <v>1901</v>
      </c>
      <c r="E65" s="566"/>
      <c r="F65" s="566"/>
      <c r="G65" s="566"/>
      <c r="H65" s="566"/>
      <c r="I65" s="567"/>
      <c r="J65" s="567"/>
      <c r="K65" s="567"/>
      <c r="L65" s="567"/>
      <c r="M65" s="567"/>
      <c r="N65" s="567"/>
      <c r="O65" s="567"/>
      <c r="P65" s="566"/>
      <c r="Q65" s="567"/>
    </row>
    <row r="66" spans="1:17" ht="15" customHeight="1" x14ac:dyDescent="0.25">
      <c r="A66" s="564">
        <v>44</v>
      </c>
      <c r="B66" s="1886" t="s">
        <v>1866</v>
      </c>
      <c r="C66" s="1910"/>
      <c r="D66" s="565" t="s">
        <v>1901</v>
      </c>
      <c r="E66" s="566"/>
      <c r="F66" s="566"/>
      <c r="G66" s="566"/>
      <c r="H66" s="566"/>
      <c r="I66" s="567"/>
      <c r="J66" s="567"/>
      <c r="K66" s="567"/>
      <c r="L66" s="567"/>
      <c r="M66" s="567"/>
      <c r="N66" s="567"/>
      <c r="O66" s="567"/>
      <c r="P66" s="567"/>
      <c r="Q66" s="567"/>
    </row>
    <row r="67" spans="1:17" ht="15" customHeight="1" x14ac:dyDescent="0.25">
      <c r="A67" s="569"/>
      <c r="B67" s="1904"/>
      <c r="C67" s="1905"/>
      <c r="D67" s="1906"/>
      <c r="E67" s="566"/>
      <c r="F67" s="566"/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</row>
    <row r="68" spans="1:17" s="531" customFormat="1" ht="15" customHeight="1" x14ac:dyDescent="0.25">
      <c r="A68" s="564">
        <v>45</v>
      </c>
      <c r="B68" s="1901" t="s">
        <v>1863</v>
      </c>
      <c r="C68" s="1902"/>
      <c r="D68" s="565" t="s">
        <v>1902</v>
      </c>
      <c r="E68" s="566"/>
      <c r="F68" s="566"/>
      <c r="G68" s="566"/>
      <c r="H68" s="566"/>
      <c r="I68" s="567"/>
      <c r="J68" s="567"/>
      <c r="K68" s="567"/>
      <c r="L68" s="567"/>
      <c r="M68" s="567"/>
      <c r="N68" s="567"/>
      <c r="O68" s="567"/>
      <c r="P68" s="567"/>
      <c r="Q68" s="567"/>
    </row>
    <row r="69" spans="1:17" s="531" customFormat="1" ht="15" customHeight="1" x14ac:dyDescent="0.25">
      <c r="A69" s="564">
        <v>46</v>
      </c>
      <c r="B69" s="1901" t="s">
        <v>1864</v>
      </c>
      <c r="C69" s="1902"/>
      <c r="D69" s="565" t="s">
        <v>1902</v>
      </c>
      <c r="E69" s="566"/>
      <c r="F69" s="566"/>
      <c r="G69" s="566"/>
      <c r="H69" s="566"/>
      <c r="I69" s="566"/>
      <c r="J69" s="567"/>
      <c r="K69" s="567"/>
      <c r="L69" s="566"/>
      <c r="M69" s="566"/>
      <c r="N69" s="566"/>
      <c r="O69" s="566"/>
      <c r="P69" s="566"/>
      <c r="Q69" s="566"/>
    </row>
    <row r="70" spans="1:17" s="531" customFormat="1" ht="15" customHeight="1" x14ac:dyDescent="0.25">
      <c r="A70" s="564">
        <v>47</v>
      </c>
      <c r="B70" s="1901" t="s">
        <v>1865</v>
      </c>
      <c r="C70" s="1902"/>
      <c r="D70" s="565" t="s">
        <v>1902</v>
      </c>
      <c r="E70" s="566"/>
      <c r="F70" s="566"/>
      <c r="G70" s="566"/>
      <c r="H70" s="566"/>
      <c r="I70" s="567"/>
      <c r="J70" s="567"/>
      <c r="K70" s="567"/>
      <c r="L70" s="567"/>
      <c r="M70" s="567"/>
      <c r="N70" s="567"/>
      <c r="O70" s="567"/>
      <c r="P70" s="566"/>
      <c r="Q70" s="567"/>
    </row>
    <row r="71" spans="1:17" s="531" customFormat="1" ht="15" customHeight="1" x14ac:dyDescent="0.25">
      <c r="A71" s="564">
        <v>48</v>
      </c>
      <c r="B71" s="1886" t="s">
        <v>1866</v>
      </c>
      <c r="C71" s="1910"/>
      <c r="D71" s="565" t="s">
        <v>1902</v>
      </c>
      <c r="E71" s="566"/>
      <c r="F71" s="566"/>
      <c r="G71" s="566"/>
      <c r="H71" s="566"/>
      <c r="I71" s="567"/>
      <c r="J71" s="567"/>
      <c r="K71" s="567"/>
      <c r="L71" s="567"/>
      <c r="M71" s="567"/>
      <c r="N71" s="567"/>
      <c r="O71" s="567"/>
      <c r="P71" s="567"/>
      <c r="Q71" s="567"/>
    </row>
    <row r="72" spans="1:17" s="531" customFormat="1" ht="15" customHeight="1" x14ac:dyDescent="0.25">
      <c r="A72" s="569"/>
      <c r="B72" s="1904"/>
      <c r="C72" s="1905"/>
      <c r="D72" s="190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</row>
    <row r="73" spans="1:17" s="531" customFormat="1" ht="15" customHeight="1" x14ac:dyDescent="0.25">
      <c r="A73" s="564">
        <v>49</v>
      </c>
      <c r="B73" s="1901" t="s">
        <v>1863</v>
      </c>
      <c r="C73" s="1902"/>
      <c r="D73" s="565" t="s">
        <v>1908</v>
      </c>
      <c r="E73" s="566"/>
      <c r="F73" s="566"/>
      <c r="G73" s="566"/>
      <c r="H73" s="566"/>
      <c r="I73" s="567"/>
      <c r="J73" s="567"/>
      <c r="K73" s="567"/>
      <c r="L73" s="567"/>
      <c r="M73" s="567"/>
      <c r="N73" s="567"/>
      <c r="O73" s="567"/>
      <c r="P73" s="567"/>
      <c r="Q73" s="567"/>
    </row>
    <row r="74" spans="1:17" s="531" customFormat="1" ht="15" customHeight="1" x14ac:dyDescent="0.25">
      <c r="A74" s="564">
        <v>50</v>
      </c>
      <c r="B74" s="1901" t="s">
        <v>1864</v>
      </c>
      <c r="C74" s="1902"/>
      <c r="D74" s="565" t="s">
        <v>1908</v>
      </c>
      <c r="E74" s="566"/>
      <c r="F74" s="566"/>
      <c r="G74" s="566"/>
      <c r="H74" s="566"/>
      <c r="I74" s="566"/>
      <c r="J74" s="567"/>
      <c r="K74" s="567"/>
      <c r="L74" s="566"/>
      <c r="M74" s="566"/>
      <c r="N74" s="566"/>
      <c r="O74" s="566"/>
      <c r="P74" s="566"/>
      <c r="Q74" s="566"/>
    </row>
    <row r="75" spans="1:17" s="531" customFormat="1" ht="15" customHeight="1" x14ac:dyDescent="0.25">
      <c r="A75" s="564">
        <v>51</v>
      </c>
      <c r="B75" s="1901" t="s">
        <v>1865</v>
      </c>
      <c r="C75" s="1902"/>
      <c r="D75" s="565" t="s">
        <v>1908</v>
      </c>
      <c r="E75" s="566"/>
      <c r="F75" s="566"/>
      <c r="G75" s="566"/>
      <c r="H75" s="566"/>
      <c r="I75" s="567"/>
      <c r="J75" s="567"/>
      <c r="K75" s="567"/>
      <c r="L75" s="567"/>
      <c r="M75" s="567"/>
      <c r="N75" s="567"/>
      <c r="O75" s="567"/>
      <c r="P75" s="566"/>
      <c r="Q75" s="567"/>
    </row>
    <row r="76" spans="1:17" s="531" customFormat="1" ht="15" customHeight="1" x14ac:dyDescent="0.25">
      <c r="A76" s="564">
        <v>52</v>
      </c>
      <c r="B76" s="1886" t="s">
        <v>1866</v>
      </c>
      <c r="C76" s="1910"/>
      <c r="D76" s="565" t="s">
        <v>1908</v>
      </c>
      <c r="E76" s="566"/>
      <c r="F76" s="566"/>
      <c r="G76" s="566"/>
      <c r="H76" s="566"/>
      <c r="I76" s="567"/>
      <c r="J76" s="567"/>
      <c r="K76" s="567"/>
      <c r="L76" s="567"/>
      <c r="M76" s="567"/>
      <c r="N76" s="567"/>
      <c r="O76" s="567"/>
      <c r="P76" s="567"/>
      <c r="Q76" s="567"/>
    </row>
    <row r="77" spans="1:17" s="531" customFormat="1" ht="15" customHeight="1" x14ac:dyDescent="0.25">
      <c r="A77" s="569"/>
      <c r="B77" s="1904"/>
      <c r="C77" s="1905"/>
      <c r="D77" s="190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</row>
    <row r="78" spans="1:17" s="531" customFormat="1" ht="15" customHeight="1" x14ac:dyDescent="0.25">
      <c r="A78" s="564">
        <v>53</v>
      </c>
      <c r="B78" s="1913" t="s">
        <v>1867</v>
      </c>
      <c r="C78" s="1914"/>
      <c r="D78" s="565" t="s">
        <v>1901</v>
      </c>
      <c r="E78" s="566"/>
      <c r="F78" s="566"/>
      <c r="G78" s="566"/>
      <c r="H78" s="566"/>
      <c r="I78" s="567"/>
      <c r="J78" s="567"/>
      <c r="K78" s="567"/>
      <c r="L78" s="567"/>
      <c r="M78" s="567"/>
      <c r="N78" s="567"/>
      <c r="O78" s="567"/>
      <c r="P78" s="567"/>
      <c r="Q78" s="567"/>
    </row>
    <row r="79" spans="1:17" s="531" customFormat="1" ht="15" customHeight="1" x14ac:dyDescent="0.25">
      <c r="A79" s="564">
        <v>54</v>
      </c>
      <c r="B79" s="1913" t="s">
        <v>1868</v>
      </c>
      <c r="C79" s="1914"/>
      <c r="D79" s="565" t="s">
        <v>1901</v>
      </c>
      <c r="E79" s="566"/>
      <c r="F79" s="566"/>
      <c r="G79" s="566"/>
      <c r="H79" s="566"/>
      <c r="I79" s="566"/>
      <c r="J79" s="567"/>
      <c r="K79" s="567"/>
      <c r="L79" s="566"/>
      <c r="M79" s="566"/>
      <c r="N79" s="566"/>
      <c r="O79" s="566"/>
      <c r="P79" s="566"/>
      <c r="Q79" s="566"/>
    </row>
    <row r="80" spans="1:17" s="531" customFormat="1" ht="15" customHeight="1" x14ac:dyDescent="0.25">
      <c r="A80" s="564">
        <v>55</v>
      </c>
      <c r="B80" s="1913" t="s">
        <v>1869</v>
      </c>
      <c r="C80" s="1914"/>
      <c r="D80" s="565" t="s">
        <v>1901</v>
      </c>
      <c r="E80" s="566"/>
      <c r="F80" s="566"/>
      <c r="G80" s="566"/>
      <c r="H80" s="566"/>
      <c r="I80" s="567"/>
      <c r="J80" s="567"/>
      <c r="K80" s="567"/>
      <c r="L80" s="567"/>
      <c r="M80" s="567"/>
      <c r="N80" s="567"/>
      <c r="O80" s="567"/>
      <c r="P80" s="566"/>
      <c r="Q80" s="567"/>
    </row>
    <row r="81" spans="1:17" s="531" customFormat="1" ht="15" customHeight="1" x14ac:dyDescent="0.25">
      <c r="A81" s="564">
        <v>56</v>
      </c>
      <c r="B81" s="1913" t="s">
        <v>1870</v>
      </c>
      <c r="C81" s="1914"/>
      <c r="D81" s="565" t="s">
        <v>1901</v>
      </c>
      <c r="E81" s="566"/>
      <c r="F81" s="566"/>
      <c r="G81" s="566"/>
      <c r="H81" s="566"/>
      <c r="I81" s="567"/>
      <c r="J81" s="567"/>
      <c r="K81" s="567"/>
      <c r="L81" s="567"/>
      <c r="M81" s="567"/>
      <c r="N81" s="567"/>
      <c r="O81" s="567"/>
      <c r="P81" s="567"/>
      <c r="Q81" s="567"/>
    </row>
    <row r="82" spans="1:17" s="531" customFormat="1" ht="15" customHeight="1" x14ac:dyDescent="0.25">
      <c r="A82" s="569"/>
      <c r="B82" s="1904"/>
      <c r="C82" s="1911"/>
      <c r="D82" s="1912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</row>
    <row r="83" spans="1:17" s="531" customFormat="1" ht="15" customHeight="1" x14ac:dyDescent="0.25">
      <c r="A83" s="564">
        <v>57</v>
      </c>
      <c r="B83" s="1913" t="s">
        <v>1867</v>
      </c>
      <c r="C83" s="1914"/>
      <c r="D83" s="565" t="s">
        <v>1902</v>
      </c>
      <c r="E83" s="566"/>
      <c r="F83" s="566"/>
      <c r="G83" s="566"/>
      <c r="H83" s="566"/>
      <c r="I83" s="567"/>
      <c r="J83" s="567"/>
      <c r="K83" s="567"/>
      <c r="L83" s="567"/>
      <c r="M83" s="567"/>
      <c r="N83" s="567"/>
      <c r="O83" s="567"/>
      <c r="P83" s="567"/>
      <c r="Q83" s="567"/>
    </row>
    <row r="84" spans="1:17" s="531" customFormat="1" ht="15" customHeight="1" x14ac:dyDescent="0.25">
      <c r="A84" s="564">
        <v>58</v>
      </c>
      <c r="B84" s="1913" t="s">
        <v>1868</v>
      </c>
      <c r="C84" s="1914"/>
      <c r="D84" s="565" t="s">
        <v>1902</v>
      </c>
      <c r="E84" s="566"/>
      <c r="F84" s="566"/>
      <c r="G84" s="566"/>
      <c r="H84" s="566"/>
      <c r="I84" s="566"/>
      <c r="J84" s="567"/>
      <c r="K84" s="567"/>
      <c r="L84" s="566"/>
      <c r="M84" s="566"/>
      <c r="N84" s="566"/>
      <c r="O84" s="566"/>
      <c r="P84" s="566"/>
      <c r="Q84" s="566"/>
    </row>
    <row r="85" spans="1:17" s="531" customFormat="1" ht="15" customHeight="1" x14ac:dyDescent="0.25">
      <c r="A85" s="564">
        <v>59</v>
      </c>
      <c r="B85" s="1913" t="s">
        <v>1869</v>
      </c>
      <c r="C85" s="1914"/>
      <c r="D85" s="565" t="s">
        <v>1902</v>
      </c>
      <c r="E85" s="566"/>
      <c r="F85" s="566"/>
      <c r="G85" s="566"/>
      <c r="H85" s="566"/>
      <c r="I85" s="567"/>
      <c r="J85" s="567"/>
      <c r="K85" s="567"/>
      <c r="L85" s="567"/>
      <c r="M85" s="567"/>
      <c r="N85" s="567"/>
      <c r="O85" s="567"/>
      <c r="P85" s="566"/>
      <c r="Q85" s="567"/>
    </row>
    <row r="86" spans="1:17" s="531" customFormat="1" ht="15" customHeight="1" x14ac:dyDescent="0.25">
      <c r="A86" s="564">
        <v>60</v>
      </c>
      <c r="B86" s="1913" t="s">
        <v>1870</v>
      </c>
      <c r="C86" s="1914"/>
      <c r="D86" s="565" t="s">
        <v>1902</v>
      </c>
      <c r="E86" s="566"/>
      <c r="F86" s="566"/>
      <c r="G86" s="566"/>
      <c r="H86" s="566"/>
      <c r="I86" s="567"/>
      <c r="J86" s="567"/>
      <c r="K86" s="567"/>
      <c r="L86" s="567"/>
      <c r="M86" s="567"/>
      <c r="N86" s="567"/>
      <c r="O86" s="567"/>
      <c r="P86" s="567"/>
      <c r="Q86" s="567"/>
    </row>
    <row r="87" spans="1:17" s="531" customFormat="1" ht="15" customHeight="1" x14ac:dyDescent="0.25">
      <c r="A87" s="569"/>
      <c r="B87" s="1904"/>
      <c r="C87" s="1911"/>
      <c r="D87" s="1912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6"/>
      <c r="Q87" s="566"/>
    </row>
    <row r="88" spans="1:17" s="531" customFormat="1" ht="15" customHeight="1" x14ac:dyDescent="0.25">
      <c r="A88" s="564">
        <v>61</v>
      </c>
      <c r="B88" s="1913" t="s">
        <v>1867</v>
      </c>
      <c r="C88" s="1914"/>
      <c r="D88" s="565" t="s">
        <v>1908</v>
      </c>
      <c r="E88" s="566"/>
      <c r="F88" s="566"/>
      <c r="G88" s="566"/>
      <c r="H88" s="566"/>
      <c r="I88" s="567"/>
      <c r="J88" s="567"/>
      <c r="K88" s="567"/>
      <c r="L88" s="567"/>
      <c r="M88" s="567"/>
      <c r="N88" s="567"/>
      <c r="O88" s="567"/>
      <c r="P88" s="567"/>
      <c r="Q88" s="567"/>
    </row>
    <row r="89" spans="1:17" s="531" customFormat="1" ht="15" customHeight="1" x14ac:dyDescent="0.25">
      <c r="A89" s="564">
        <v>62</v>
      </c>
      <c r="B89" s="1913" t="s">
        <v>1868</v>
      </c>
      <c r="C89" s="1914"/>
      <c r="D89" s="565" t="s">
        <v>1908</v>
      </c>
      <c r="E89" s="566"/>
      <c r="F89" s="566"/>
      <c r="G89" s="566"/>
      <c r="H89" s="566"/>
      <c r="I89" s="566"/>
      <c r="J89" s="567"/>
      <c r="K89" s="567"/>
      <c r="L89" s="566"/>
      <c r="M89" s="566"/>
      <c r="N89" s="566"/>
      <c r="O89" s="566"/>
      <c r="P89" s="566"/>
      <c r="Q89" s="566"/>
    </row>
    <row r="90" spans="1:17" s="531" customFormat="1" ht="15" customHeight="1" x14ac:dyDescent="0.25">
      <c r="A90" s="564">
        <v>63</v>
      </c>
      <c r="B90" s="1913" t="s">
        <v>1869</v>
      </c>
      <c r="C90" s="1914"/>
      <c r="D90" s="565" t="s">
        <v>1908</v>
      </c>
      <c r="E90" s="566"/>
      <c r="F90" s="566"/>
      <c r="G90" s="566"/>
      <c r="H90" s="566"/>
      <c r="I90" s="567"/>
      <c r="J90" s="567"/>
      <c r="K90" s="567"/>
      <c r="L90" s="567"/>
      <c r="M90" s="567"/>
      <c r="N90" s="567"/>
      <c r="O90" s="567"/>
      <c r="P90" s="566"/>
      <c r="Q90" s="567"/>
    </row>
    <row r="91" spans="1:17" s="531" customFormat="1" ht="15" customHeight="1" x14ac:dyDescent="0.25">
      <c r="A91" s="564">
        <v>64</v>
      </c>
      <c r="B91" s="1913" t="s">
        <v>1870</v>
      </c>
      <c r="C91" s="1914"/>
      <c r="D91" s="565" t="s">
        <v>1908</v>
      </c>
      <c r="E91" s="566"/>
      <c r="F91" s="566"/>
      <c r="G91" s="566"/>
      <c r="H91" s="566"/>
      <c r="I91" s="567"/>
      <c r="J91" s="567"/>
      <c r="K91" s="567"/>
      <c r="L91" s="567"/>
      <c r="M91" s="567"/>
      <c r="N91" s="567"/>
      <c r="O91" s="567"/>
      <c r="P91" s="567"/>
      <c r="Q91" s="567"/>
    </row>
    <row r="92" spans="1:17" s="531" customFormat="1" ht="15" customHeight="1" x14ac:dyDescent="0.25">
      <c r="A92" s="569"/>
      <c r="B92" s="1904"/>
      <c r="C92" s="1911"/>
      <c r="D92" s="1912"/>
      <c r="E92" s="566"/>
      <c r="F92" s="566"/>
      <c r="G92" s="566"/>
      <c r="H92" s="566"/>
      <c r="I92" s="566"/>
      <c r="J92" s="566"/>
      <c r="K92" s="566"/>
      <c r="L92" s="566"/>
      <c r="M92" s="566"/>
      <c r="N92" s="566"/>
      <c r="O92" s="566"/>
      <c r="P92" s="566"/>
      <c r="Q92" s="566"/>
    </row>
    <row r="93" spans="1:17" ht="15" customHeight="1" x14ac:dyDescent="0.25">
      <c r="A93" s="564">
        <v>65</v>
      </c>
      <c r="B93" s="1915" t="s">
        <v>1871</v>
      </c>
      <c r="C93" s="1916"/>
      <c r="D93" s="565" t="s">
        <v>1906</v>
      </c>
      <c r="E93" s="566"/>
      <c r="F93" s="566"/>
      <c r="G93" s="566"/>
      <c r="H93" s="566"/>
      <c r="I93" s="567"/>
      <c r="J93" s="567"/>
      <c r="K93" s="567"/>
      <c r="L93" s="567"/>
      <c r="M93" s="567"/>
      <c r="N93" s="567"/>
      <c r="O93" s="567"/>
      <c r="P93" s="567"/>
      <c r="Q93" s="567"/>
    </row>
    <row r="94" spans="1:17" ht="15" customHeight="1" x14ac:dyDescent="0.25">
      <c r="A94" s="564">
        <v>66</v>
      </c>
      <c r="B94" s="1915" t="s">
        <v>1872</v>
      </c>
      <c r="C94" s="1916"/>
      <c r="D94" s="565" t="s">
        <v>1906</v>
      </c>
      <c r="E94" s="566"/>
      <c r="F94" s="566"/>
      <c r="G94" s="566"/>
      <c r="H94" s="566"/>
      <c r="I94" s="566"/>
      <c r="J94" s="568"/>
      <c r="K94" s="567"/>
      <c r="L94" s="566"/>
      <c r="M94" s="566"/>
      <c r="N94" s="566"/>
      <c r="O94" s="566"/>
      <c r="P94" s="566"/>
      <c r="Q94" s="566"/>
    </row>
    <row r="95" spans="1:17" ht="15" customHeight="1" x14ac:dyDescent="0.25">
      <c r="A95" s="564">
        <v>67</v>
      </c>
      <c r="B95" s="1915" t="s">
        <v>1873</v>
      </c>
      <c r="C95" s="1916"/>
      <c r="D95" s="565" t="s">
        <v>1906</v>
      </c>
      <c r="E95" s="566"/>
      <c r="F95" s="566"/>
      <c r="G95" s="566"/>
      <c r="H95" s="566"/>
      <c r="I95" s="567"/>
      <c r="J95" s="567"/>
      <c r="K95" s="567"/>
      <c r="L95" s="567"/>
      <c r="M95" s="567"/>
      <c r="N95" s="567"/>
      <c r="O95" s="567"/>
      <c r="P95" s="566"/>
      <c r="Q95" s="567"/>
    </row>
    <row r="96" spans="1:17" ht="15" customHeight="1" x14ac:dyDescent="0.25">
      <c r="A96" s="564">
        <v>68</v>
      </c>
      <c r="B96" s="1915" t="s">
        <v>1874</v>
      </c>
      <c r="C96" s="1916"/>
      <c r="D96" s="565" t="s">
        <v>1906</v>
      </c>
      <c r="E96" s="566"/>
      <c r="F96" s="566"/>
      <c r="G96" s="566"/>
      <c r="H96" s="566"/>
      <c r="I96" s="567"/>
      <c r="J96" s="567"/>
      <c r="K96" s="567"/>
      <c r="L96" s="567"/>
      <c r="M96" s="567"/>
      <c r="N96" s="567"/>
      <c r="O96" s="567"/>
      <c r="P96" s="567"/>
      <c r="Q96" s="567"/>
    </row>
    <row r="97" spans="1:17" ht="15" customHeight="1" x14ac:dyDescent="0.25">
      <c r="A97" s="569"/>
      <c r="B97" s="1904"/>
      <c r="C97" s="1911"/>
      <c r="D97" s="1912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</row>
    <row r="98" spans="1:17" s="531" customFormat="1" ht="15" customHeight="1" x14ac:dyDescent="0.25">
      <c r="A98" s="564">
        <v>69</v>
      </c>
      <c r="B98" s="1915" t="s">
        <v>1871</v>
      </c>
      <c r="C98" s="1916"/>
      <c r="D98" s="565" t="s">
        <v>1908</v>
      </c>
      <c r="E98" s="566"/>
      <c r="F98" s="566"/>
      <c r="G98" s="566"/>
      <c r="H98" s="566"/>
      <c r="I98" s="567"/>
      <c r="J98" s="567"/>
      <c r="K98" s="567"/>
      <c r="L98" s="567"/>
      <c r="M98" s="567"/>
      <c r="N98" s="567"/>
      <c r="O98" s="567"/>
      <c r="P98" s="567"/>
      <c r="Q98" s="567"/>
    </row>
    <row r="99" spans="1:17" s="531" customFormat="1" ht="15" customHeight="1" x14ac:dyDescent="0.25">
      <c r="A99" s="564">
        <v>70</v>
      </c>
      <c r="B99" s="1915" t="s">
        <v>1872</v>
      </c>
      <c r="C99" s="1916"/>
      <c r="D99" s="565" t="s">
        <v>1908</v>
      </c>
      <c r="E99" s="566"/>
      <c r="F99" s="566"/>
      <c r="G99" s="566"/>
      <c r="H99" s="566"/>
      <c r="I99" s="566"/>
      <c r="J99" s="568"/>
      <c r="K99" s="567"/>
      <c r="L99" s="566"/>
      <c r="M99" s="566"/>
      <c r="N99" s="566"/>
      <c r="O99" s="566"/>
      <c r="P99" s="566"/>
      <c r="Q99" s="566"/>
    </row>
    <row r="100" spans="1:17" s="531" customFormat="1" ht="15" customHeight="1" x14ac:dyDescent="0.25">
      <c r="A100" s="564">
        <v>71</v>
      </c>
      <c r="B100" s="1915" t="s">
        <v>1873</v>
      </c>
      <c r="C100" s="1916"/>
      <c r="D100" s="565" t="s">
        <v>1908</v>
      </c>
      <c r="E100" s="566"/>
      <c r="F100" s="566"/>
      <c r="G100" s="566"/>
      <c r="H100" s="566"/>
      <c r="I100" s="567"/>
      <c r="J100" s="567"/>
      <c r="K100" s="567"/>
      <c r="L100" s="567"/>
      <c r="M100" s="567"/>
      <c r="N100" s="567"/>
      <c r="O100" s="567"/>
      <c r="P100" s="566"/>
      <c r="Q100" s="567"/>
    </row>
    <row r="101" spans="1:17" s="531" customFormat="1" ht="15" customHeight="1" x14ac:dyDescent="0.25">
      <c r="A101" s="564">
        <v>72</v>
      </c>
      <c r="B101" s="1915" t="s">
        <v>1874</v>
      </c>
      <c r="C101" s="1916"/>
      <c r="D101" s="565" t="s">
        <v>1908</v>
      </c>
      <c r="E101" s="566"/>
      <c r="F101" s="566"/>
      <c r="G101" s="566"/>
      <c r="H101" s="566"/>
      <c r="I101" s="567"/>
      <c r="J101" s="567"/>
      <c r="K101" s="567"/>
      <c r="L101" s="567"/>
      <c r="M101" s="567"/>
      <c r="N101" s="567"/>
      <c r="O101" s="567"/>
      <c r="P101" s="567"/>
      <c r="Q101" s="567"/>
    </row>
    <row r="102" spans="1:17" s="531" customFormat="1" ht="15" customHeight="1" x14ac:dyDescent="0.25">
      <c r="A102" s="569"/>
      <c r="B102" s="1904"/>
      <c r="C102" s="1911"/>
      <c r="D102" s="1912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</row>
    <row r="103" spans="1:17" ht="15" customHeight="1" x14ac:dyDescent="0.25">
      <c r="A103" s="564">
        <v>73</v>
      </c>
      <c r="B103" s="1915" t="s">
        <v>1875</v>
      </c>
      <c r="C103" s="1916"/>
      <c r="D103" s="565" t="s">
        <v>1906</v>
      </c>
      <c r="E103" s="566"/>
      <c r="F103" s="566"/>
      <c r="G103" s="566"/>
      <c r="H103" s="566"/>
      <c r="I103" s="567"/>
      <c r="J103" s="567"/>
      <c r="K103" s="567"/>
      <c r="L103" s="567"/>
      <c r="M103" s="567"/>
      <c r="N103" s="567"/>
      <c r="O103" s="567"/>
      <c r="P103" s="567"/>
      <c r="Q103" s="567"/>
    </row>
    <row r="104" spans="1:17" ht="15" customHeight="1" x14ac:dyDescent="0.25">
      <c r="A104" s="564">
        <v>74</v>
      </c>
      <c r="B104" s="1915" t="s">
        <v>1876</v>
      </c>
      <c r="C104" s="1916"/>
      <c r="D104" s="565" t="s">
        <v>1906</v>
      </c>
      <c r="E104" s="566"/>
      <c r="F104" s="566"/>
      <c r="G104" s="566"/>
      <c r="H104" s="566"/>
      <c r="I104" s="566"/>
      <c r="J104" s="568"/>
      <c r="K104" s="567"/>
      <c r="L104" s="566"/>
      <c r="M104" s="566"/>
      <c r="N104" s="566"/>
      <c r="O104" s="566"/>
      <c r="P104" s="566"/>
      <c r="Q104" s="566"/>
    </row>
    <row r="105" spans="1:17" ht="15" customHeight="1" x14ac:dyDescent="0.25">
      <c r="A105" s="564">
        <v>75</v>
      </c>
      <c r="B105" s="1915" t="s">
        <v>1877</v>
      </c>
      <c r="C105" s="1916"/>
      <c r="D105" s="565" t="s">
        <v>1906</v>
      </c>
      <c r="E105" s="566"/>
      <c r="F105" s="566"/>
      <c r="G105" s="566"/>
      <c r="H105" s="566"/>
      <c r="I105" s="567"/>
      <c r="J105" s="567"/>
      <c r="K105" s="567"/>
      <c r="L105" s="567"/>
      <c r="M105" s="567"/>
      <c r="N105" s="567"/>
      <c r="O105" s="567"/>
      <c r="P105" s="566"/>
      <c r="Q105" s="567"/>
    </row>
    <row r="106" spans="1:17" ht="15" customHeight="1" x14ac:dyDescent="0.25">
      <c r="A106" s="564">
        <v>76</v>
      </c>
      <c r="B106" s="1915" t="s">
        <v>1878</v>
      </c>
      <c r="C106" s="1916"/>
      <c r="D106" s="565" t="s">
        <v>1906</v>
      </c>
      <c r="E106" s="566"/>
      <c r="F106" s="566"/>
      <c r="G106" s="566"/>
      <c r="H106" s="566"/>
      <c r="I106" s="567"/>
      <c r="J106" s="567"/>
      <c r="K106" s="567"/>
      <c r="L106" s="567"/>
      <c r="M106" s="567"/>
      <c r="N106" s="567"/>
      <c r="O106" s="567"/>
      <c r="P106" s="567"/>
      <c r="Q106" s="567"/>
    </row>
    <row r="107" spans="1:17" ht="15" customHeight="1" x14ac:dyDescent="0.25">
      <c r="A107" s="569"/>
      <c r="B107" s="1904"/>
      <c r="C107" s="1905"/>
      <c r="D107" s="190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</row>
    <row r="108" spans="1:17" s="531" customFormat="1" ht="15" customHeight="1" x14ac:dyDescent="0.25">
      <c r="A108" s="564">
        <v>77</v>
      </c>
      <c r="B108" s="1915" t="s">
        <v>1875</v>
      </c>
      <c r="C108" s="1916"/>
      <c r="D108" s="565" t="s">
        <v>1908</v>
      </c>
      <c r="E108" s="566"/>
      <c r="F108" s="566"/>
      <c r="G108" s="566"/>
      <c r="H108" s="566"/>
      <c r="I108" s="567"/>
      <c r="J108" s="567"/>
      <c r="K108" s="567"/>
      <c r="L108" s="567"/>
      <c r="M108" s="567"/>
      <c r="N108" s="567"/>
      <c r="O108" s="567"/>
      <c r="P108" s="567"/>
      <c r="Q108" s="567"/>
    </row>
    <row r="109" spans="1:17" s="531" customFormat="1" ht="15" customHeight="1" x14ac:dyDescent="0.25">
      <c r="A109" s="564">
        <v>78</v>
      </c>
      <c r="B109" s="1915" t="s">
        <v>1876</v>
      </c>
      <c r="C109" s="1916"/>
      <c r="D109" s="565" t="s">
        <v>1908</v>
      </c>
      <c r="E109" s="566"/>
      <c r="F109" s="566"/>
      <c r="G109" s="566"/>
      <c r="H109" s="566"/>
      <c r="I109" s="566"/>
      <c r="J109" s="568"/>
      <c r="K109" s="567"/>
      <c r="L109" s="566"/>
      <c r="M109" s="566"/>
      <c r="N109" s="566"/>
      <c r="O109" s="566"/>
      <c r="P109" s="566"/>
      <c r="Q109" s="566"/>
    </row>
    <row r="110" spans="1:17" s="531" customFormat="1" ht="15" customHeight="1" x14ac:dyDescent="0.25">
      <c r="A110" s="564">
        <v>79</v>
      </c>
      <c r="B110" s="1915" t="s">
        <v>1877</v>
      </c>
      <c r="C110" s="1916"/>
      <c r="D110" s="565" t="s">
        <v>1908</v>
      </c>
      <c r="E110" s="566"/>
      <c r="F110" s="566"/>
      <c r="G110" s="566"/>
      <c r="H110" s="566"/>
      <c r="I110" s="567"/>
      <c r="J110" s="567"/>
      <c r="K110" s="567"/>
      <c r="L110" s="567"/>
      <c r="M110" s="567"/>
      <c r="N110" s="567"/>
      <c r="O110" s="567"/>
      <c r="P110" s="566"/>
      <c r="Q110" s="567"/>
    </row>
    <row r="111" spans="1:17" s="531" customFormat="1" ht="15" customHeight="1" x14ac:dyDescent="0.25">
      <c r="A111" s="564">
        <v>80</v>
      </c>
      <c r="B111" s="1915" t="s">
        <v>1878</v>
      </c>
      <c r="C111" s="1916"/>
      <c r="D111" s="565" t="s">
        <v>1908</v>
      </c>
      <c r="E111" s="566"/>
      <c r="F111" s="566"/>
      <c r="G111" s="566"/>
      <c r="H111" s="566"/>
      <c r="I111" s="567"/>
      <c r="J111" s="567"/>
      <c r="K111" s="567"/>
      <c r="L111" s="567"/>
      <c r="M111" s="567"/>
      <c r="N111" s="567"/>
      <c r="O111" s="567"/>
      <c r="P111" s="567"/>
      <c r="Q111" s="567"/>
    </row>
    <row r="112" spans="1:17" s="531" customFormat="1" ht="15" customHeight="1" x14ac:dyDescent="0.25">
      <c r="A112" s="569"/>
      <c r="B112" s="1904"/>
      <c r="C112" s="1905"/>
      <c r="D112" s="190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</row>
    <row r="113" spans="1:17" ht="15" customHeight="1" x14ac:dyDescent="0.25">
      <c r="A113" s="564">
        <v>81</v>
      </c>
      <c r="B113" s="1913" t="s">
        <v>1879</v>
      </c>
      <c r="C113" s="1914"/>
      <c r="D113" s="565" t="s">
        <v>1906</v>
      </c>
      <c r="E113" s="566"/>
      <c r="F113" s="566"/>
      <c r="G113" s="566"/>
      <c r="H113" s="566"/>
      <c r="I113" s="567"/>
      <c r="J113" s="567"/>
      <c r="K113" s="567"/>
      <c r="L113" s="567"/>
      <c r="M113" s="567"/>
      <c r="N113" s="567"/>
      <c r="O113" s="567"/>
      <c r="P113" s="567"/>
      <c r="Q113" s="567"/>
    </row>
    <row r="114" spans="1:17" ht="15" customHeight="1" x14ac:dyDescent="0.25">
      <c r="A114" s="564">
        <v>82</v>
      </c>
      <c r="B114" s="1913" t="s">
        <v>1880</v>
      </c>
      <c r="C114" s="1914"/>
      <c r="D114" s="565" t="s">
        <v>1906</v>
      </c>
      <c r="E114" s="566"/>
      <c r="F114" s="566"/>
      <c r="G114" s="566"/>
      <c r="H114" s="566"/>
      <c r="I114" s="566"/>
      <c r="J114" s="568"/>
      <c r="K114" s="567"/>
      <c r="L114" s="566"/>
      <c r="M114" s="566"/>
      <c r="N114" s="566"/>
      <c r="O114" s="566"/>
      <c r="P114" s="566"/>
      <c r="Q114" s="566"/>
    </row>
    <row r="115" spans="1:17" ht="15" customHeight="1" x14ac:dyDescent="0.25">
      <c r="A115" s="564">
        <v>83</v>
      </c>
      <c r="B115" s="1913" t="s">
        <v>1881</v>
      </c>
      <c r="C115" s="1914"/>
      <c r="D115" s="565" t="s">
        <v>1906</v>
      </c>
      <c r="E115" s="566"/>
      <c r="F115" s="566"/>
      <c r="G115" s="566"/>
      <c r="H115" s="566"/>
      <c r="I115" s="567"/>
      <c r="J115" s="567"/>
      <c r="K115" s="567"/>
      <c r="L115" s="567"/>
      <c r="M115" s="567"/>
      <c r="N115" s="567"/>
      <c r="O115" s="567"/>
      <c r="P115" s="566"/>
      <c r="Q115" s="567"/>
    </row>
    <row r="116" spans="1:17" ht="15" customHeight="1" x14ac:dyDescent="0.25">
      <c r="A116" s="564">
        <v>84</v>
      </c>
      <c r="B116" s="1913" t="s">
        <v>1882</v>
      </c>
      <c r="C116" s="1914"/>
      <c r="D116" s="565" t="s">
        <v>1906</v>
      </c>
      <c r="E116" s="566"/>
      <c r="F116" s="566"/>
      <c r="G116" s="566"/>
      <c r="H116" s="566"/>
      <c r="I116" s="567"/>
      <c r="J116" s="567"/>
      <c r="K116" s="567"/>
      <c r="L116" s="567"/>
      <c r="M116" s="567"/>
      <c r="N116" s="567"/>
      <c r="O116" s="567"/>
      <c r="P116" s="567"/>
      <c r="Q116" s="567"/>
    </row>
    <row r="117" spans="1:17" ht="15" customHeight="1" x14ac:dyDescent="0.25">
      <c r="A117" s="569"/>
      <c r="B117" s="1904"/>
      <c r="C117" s="1905"/>
      <c r="D117" s="190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</row>
    <row r="118" spans="1:17" s="531" customFormat="1" ht="15" customHeight="1" x14ac:dyDescent="0.25">
      <c r="A118" s="564">
        <v>85</v>
      </c>
      <c r="B118" s="1913" t="s">
        <v>1879</v>
      </c>
      <c r="C118" s="1914"/>
      <c r="D118" s="565" t="s">
        <v>1908</v>
      </c>
      <c r="E118" s="566"/>
      <c r="F118" s="566"/>
      <c r="G118" s="566"/>
      <c r="H118" s="566"/>
      <c r="I118" s="567"/>
      <c r="J118" s="567"/>
      <c r="K118" s="567"/>
      <c r="L118" s="567"/>
      <c r="M118" s="567"/>
      <c r="N118" s="567"/>
      <c r="O118" s="567"/>
      <c r="P118" s="567"/>
      <c r="Q118" s="567"/>
    </row>
    <row r="119" spans="1:17" s="531" customFormat="1" ht="15" customHeight="1" x14ac:dyDescent="0.25">
      <c r="A119" s="564">
        <v>86</v>
      </c>
      <c r="B119" s="1913" t="s">
        <v>1880</v>
      </c>
      <c r="C119" s="1914"/>
      <c r="D119" s="565" t="s">
        <v>1908</v>
      </c>
      <c r="E119" s="566"/>
      <c r="F119" s="566"/>
      <c r="G119" s="566"/>
      <c r="H119" s="566"/>
      <c r="I119" s="566"/>
      <c r="J119" s="568"/>
      <c r="K119" s="567"/>
      <c r="L119" s="566"/>
      <c r="M119" s="566"/>
      <c r="N119" s="566"/>
      <c r="O119" s="566"/>
      <c r="P119" s="566"/>
      <c r="Q119" s="566"/>
    </row>
    <row r="120" spans="1:17" s="531" customFormat="1" ht="15" customHeight="1" x14ac:dyDescent="0.25">
      <c r="A120" s="564">
        <v>87</v>
      </c>
      <c r="B120" s="1913" t="s">
        <v>1881</v>
      </c>
      <c r="C120" s="1914"/>
      <c r="D120" s="565" t="s">
        <v>1908</v>
      </c>
      <c r="E120" s="566"/>
      <c r="F120" s="566"/>
      <c r="G120" s="566"/>
      <c r="H120" s="566"/>
      <c r="I120" s="567"/>
      <c r="J120" s="567"/>
      <c r="K120" s="567"/>
      <c r="L120" s="567"/>
      <c r="M120" s="567"/>
      <c r="N120" s="567"/>
      <c r="O120" s="567"/>
      <c r="P120" s="566"/>
      <c r="Q120" s="567"/>
    </row>
    <row r="121" spans="1:17" s="531" customFormat="1" ht="15" customHeight="1" x14ac:dyDescent="0.25">
      <c r="A121" s="564">
        <v>88</v>
      </c>
      <c r="B121" s="1913" t="s">
        <v>1882</v>
      </c>
      <c r="C121" s="1914"/>
      <c r="D121" s="565" t="s">
        <v>1908</v>
      </c>
      <c r="E121" s="566"/>
      <c r="F121" s="566"/>
      <c r="G121" s="566"/>
      <c r="H121" s="566"/>
      <c r="I121" s="567"/>
      <c r="J121" s="567"/>
      <c r="K121" s="567"/>
      <c r="L121" s="567"/>
      <c r="M121" s="567"/>
      <c r="N121" s="567"/>
      <c r="O121" s="567"/>
      <c r="P121" s="567"/>
      <c r="Q121" s="567"/>
    </row>
    <row r="122" spans="1:17" s="531" customFormat="1" ht="15" customHeight="1" x14ac:dyDescent="0.25">
      <c r="A122" s="569"/>
      <c r="B122" s="1904"/>
      <c r="C122" s="1905"/>
      <c r="D122" s="190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</row>
    <row r="123" spans="1:17" ht="15" customHeight="1" x14ac:dyDescent="0.25">
      <c r="A123" s="564">
        <v>89</v>
      </c>
      <c r="B123" s="1913" t="s">
        <v>1883</v>
      </c>
      <c r="C123" s="1914"/>
      <c r="D123" s="571" t="s">
        <v>1903</v>
      </c>
      <c r="E123" s="566"/>
      <c r="F123" s="566"/>
      <c r="G123" s="566"/>
      <c r="H123" s="566"/>
      <c r="I123" s="567"/>
      <c r="J123" s="567"/>
      <c r="K123" s="567"/>
      <c r="L123" s="567"/>
      <c r="M123" s="567"/>
      <c r="N123" s="567"/>
      <c r="O123" s="567"/>
      <c r="P123" s="567"/>
      <c r="Q123" s="567"/>
    </row>
    <row r="124" spans="1:17" ht="15" customHeight="1" x14ac:dyDescent="0.25">
      <c r="A124" s="564">
        <v>90</v>
      </c>
      <c r="B124" s="1913" t="s">
        <v>1884</v>
      </c>
      <c r="C124" s="1914"/>
      <c r="D124" s="571" t="s">
        <v>1903</v>
      </c>
      <c r="E124" s="566"/>
      <c r="F124" s="566"/>
      <c r="G124" s="566"/>
      <c r="H124" s="566"/>
      <c r="I124" s="566"/>
      <c r="J124" s="568"/>
      <c r="K124" s="567"/>
      <c r="L124" s="566"/>
      <c r="M124" s="566"/>
      <c r="N124" s="566"/>
      <c r="O124" s="566"/>
      <c r="P124" s="566"/>
      <c r="Q124" s="566"/>
    </row>
    <row r="125" spans="1:17" ht="15" customHeight="1" x14ac:dyDescent="0.25">
      <c r="A125" s="564">
        <v>91</v>
      </c>
      <c r="B125" s="1913" t="s">
        <v>1885</v>
      </c>
      <c r="C125" s="1914"/>
      <c r="D125" s="571" t="s">
        <v>1903</v>
      </c>
      <c r="E125" s="566"/>
      <c r="F125" s="566"/>
      <c r="G125" s="566"/>
      <c r="H125" s="566"/>
      <c r="I125" s="567"/>
      <c r="J125" s="567"/>
      <c r="K125" s="567"/>
      <c r="L125" s="567"/>
      <c r="M125" s="567"/>
      <c r="N125" s="567"/>
      <c r="O125" s="567"/>
      <c r="P125" s="566"/>
      <c r="Q125" s="567"/>
    </row>
    <row r="126" spans="1:17" ht="15" customHeight="1" x14ac:dyDescent="0.25">
      <c r="A126" s="564">
        <v>92</v>
      </c>
      <c r="B126" s="1913" t="s">
        <v>1886</v>
      </c>
      <c r="C126" s="1914"/>
      <c r="D126" s="571" t="s">
        <v>1903</v>
      </c>
      <c r="E126" s="566"/>
      <c r="F126" s="566"/>
      <c r="G126" s="566"/>
      <c r="H126" s="566"/>
      <c r="I126" s="567"/>
      <c r="J126" s="567"/>
      <c r="K126" s="567"/>
      <c r="L126" s="567"/>
      <c r="M126" s="567"/>
      <c r="N126" s="567"/>
      <c r="O126" s="567"/>
      <c r="P126" s="567"/>
      <c r="Q126" s="567"/>
    </row>
    <row r="127" spans="1:17" ht="15" customHeight="1" x14ac:dyDescent="0.25">
      <c r="A127" s="569"/>
      <c r="B127" s="1904"/>
      <c r="C127" s="1905"/>
      <c r="D127" s="190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</row>
    <row r="128" spans="1:17" s="531" customFormat="1" ht="15" customHeight="1" x14ac:dyDescent="0.25">
      <c r="A128" s="564">
        <v>93</v>
      </c>
      <c r="B128" s="1913" t="s">
        <v>1883</v>
      </c>
      <c r="C128" s="1914"/>
      <c r="D128" s="571" t="s">
        <v>1904</v>
      </c>
      <c r="E128" s="566"/>
      <c r="F128" s="566"/>
      <c r="G128" s="566"/>
      <c r="H128" s="566"/>
      <c r="I128" s="567"/>
      <c r="J128" s="567"/>
      <c r="K128" s="567"/>
      <c r="L128" s="567"/>
      <c r="M128" s="567"/>
      <c r="N128" s="567"/>
      <c r="O128" s="567"/>
      <c r="P128" s="567"/>
      <c r="Q128" s="567"/>
    </row>
    <row r="129" spans="1:17" s="531" customFormat="1" ht="15" customHeight="1" x14ac:dyDescent="0.25">
      <c r="A129" s="564">
        <v>94</v>
      </c>
      <c r="B129" s="1913" t="s">
        <v>1884</v>
      </c>
      <c r="C129" s="1914"/>
      <c r="D129" s="571" t="s">
        <v>1904</v>
      </c>
      <c r="E129" s="566"/>
      <c r="F129" s="566"/>
      <c r="G129" s="566"/>
      <c r="H129" s="566"/>
      <c r="I129" s="566"/>
      <c r="J129" s="568"/>
      <c r="K129" s="567"/>
      <c r="L129" s="566"/>
      <c r="M129" s="566"/>
      <c r="N129" s="566"/>
      <c r="O129" s="566"/>
      <c r="P129" s="566"/>
      <c r="Q129" s="566"/>
    </row>
    <row r="130" spans="1:17" s="531" customFormat="1" ht="15" customHeight="1" x14ac:dyDescent="0.25">
      <c r="A130" s="564">
        <v>95</v>
      </c>
      <c r="B130" s="1913" t="s">
        <v>1885</v>
      </c>
      <c r="C130" s="1914"/>
      <c r="D130" s="571" t="s">
        <v>1904</v>
      </c>
      <c r="E130" s="566"/>
      <c r="F130" s="566"/>
      <c r="G130" s="566"/>
      <c r="H130" s="566"/>
      <c r="I130" s="567"/>
      <c r="J130" s="567"/>
      <c r="K130" s="567"/>
      <c r="L130" s="567"/>
      <c r="M130" s="567"/>
      <c r="N130" s="567"/>
      <c r="O130" s="567"/>
      <c r="P130" s="566"/>
      <c r="Q130" s="567"/>
    </row>
    <row r="131" spans="1:17" s="531" customFormat="1" ht="15" customHeight="1" x14ac:dyDescent="0.25">
      <c r="A131" s="564">
        <v>96</v>
      </c>
      <c r="B131" s="1913" t="s">
        <v>1886</v>
      </c>
      <c r="C131" s="1914"/>
      <c r="D131" s="571" t="s">
        <v>1904</v>
      </c>
      <c r="E131" s="566"/>
      <c r="F131" s="566"/>
      <c r="G131" s="566"/>
      <c r="H131" s="566"/>
      <c r="I131" s="567"/>
      <c r="J131" s="567"/>
      <c r="K131" s="567"/>
      <c r="L131" s="567"/>
      <c r="M131" s="567"/>
      <c r="N131" s="567"/>
      <c r="O131" s="567"/>
      <c r="P131" s="567"/>
      <c r="Q131" s="567"/>
    </row>
    <row r="132" spans="1:17" s="531" customFormat="1" ht="15" customHeight="1" x14ac:dyDescent="0.25">
      <c r="A132" s="569"/>
      <c r="B132" s="1904"/>
      <c r="C132" s="1905"/>
      <c r="D132" s="190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</row>
    <row r="133" spans="1:17" s="531" customFormat="1" ht="15" customHeight="1" x14ac:dyDescent="0.25">
      <c r="A133" s="564">
        <v>97</v>
      </c>
      <c r="B133" s="1913" t="s">
        <v>1883</v>
      </c>
      <c r="C133" s="1914"/>
      <c r="D133" s="571" t="s">
        <v>1902</v>
      </c>
      <c r="E133" s="566"/>
      <c r="F133" s="566"/>
      <c r="G133" s="566"/>
      <c r="H133" s="566"/>
      <c r="I133" s="567"/>
      <c r="J133" s="567"/>
      <c r="K133" s="567"/>
      <c r="L133" s="567"/>
      <c r="M133" s="567"/>
      <c r="N133" s="567"/>
      <c r="O133" s="567"/>
      <c r="P133" s="567"/>
      <c r="Q133" s="567"/>
    </row>
    <row r="134" spans="1:17" s="531" customFormat="1" ht="15" customHeight="1" x14ac:dyDescent="0.25">
      <c r="A134" s="564">
        <v>98</v>
      </c>
      <c r="B134" s="1913" t="s">
        <v>1884</v>
      </c>
      <c r="C134" s="1914"/>
      <c r="D134" s="571" t="s">
        <v>1902</v>
      </c>
      <c r="E134" s="566"/>
      <c r="F134" s="566"/>
      <c r="G134" s="566"/>
      <c r="H134" s="566"/>
      <c r="I134" s="566"/>
      <c r="J134" s="568"/>
      <c r="K134" s="567"/>
      <c r="L134" s="566"/>
      <c r="M134" s="566"/>
      <c r="N134" s="566"/>
      <c r="O134" s="566"/>
      <c r="P134" s="566"/>
      <c r="Q134" s="566"/>
    </row>
    <row r="135" spans="1:17" s="531" customFormat="1" ht="15" customHeight="1" x14ac:dyDescent="0.25">
      <c r="A135" s="564">
        <v>99</v>
      </c>
      <c r="B135" s="1913" t="s">
        <v>1885</v>
      </c>
      <c r="C135" s="1914"/>
      <c r="D135" s="571" t="s">
        <v>1902</v>
      </c>
      <c r="E135" s="566"/>
      <c r="F135" s="566"/>
      <c r="G135" s="566"/>
      <c r="H135" s="566"/>
      <c r="I135" s="567"/>
      <c r="J135" s="567"/>
      <c r="K135" s="567"/>
      <c r="L135" s="567"/>
      <c r="M135" s="567"/>
      <c r="N135" s="567"/>
      <c r="O135" s="567"/>
      <c r="P135" s="566"/>
      <c r="Q135" s="567"/>
    </row>
    <row r="136" spans="1:17" s="531" customFormat="1" ht="15" customHeight="1" x14ac:dyDescent="0.25">
      <c r="A136" s="564">
        <v>100</v>
      </c>
      <c r="B136" s="1913" t="s">
        <v>1886</v>
      </c>
      <c r="C136" s="1914"/>
      <c r="D136" s="571" t="s">
        <v>1902</v>
      </c>
      <c r="E136" s="566"/>
      <c r="F136" s="566"/>
      <c r="G136" s="566"/>
      <c r="H136" s="566"/>
      <c r="I136" s="567"/>
      <c r="J136" s="567"/>
      <c r="K136" s="567"/>
      <c r="L136" s="567"/>
      <c r="M136" s="567"/>
      <c r="N136" s="567"/>
      <c r="O136" s="567"/>
      <c r="P136" s="567"/>
      <c r="Q136" s="567"/>
    </row>
    <row r="137" spans="1:17" s="531" customFormat="1" ht="15" customHeight="1" x14ac:dyDescent="0.25">
      <c r="A137" s="569"/>
      <c r="B137" s="1904"/>
      <c r="C137" s="1905"/>
      <c r="D137" s="190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</row>
    <row r="138" spans="1:17" ht="15" customHeight="1" x14ac:dyDescent="0.25">
      <c r="A138" s="564">
        <v>101</v>
      </c>
      <c r="B138" s="1913" t="s">
        <v>1883</v>
      </c>
      <c r="C138" s="1914"/>
      <c r="D138" s="571" t="s">
        <v>1908</v>
      </c>
      <c r="E138" s="566"/>
      <c r="F138" s="566"/>
      <c r="G138" s="566"/>
      <c r="H138" s="566"/>
      <c r="I138" s="567"/>
      <c r="J138" s="567"/>
      <c r="K138" s="567"/>
      <c r="L138" s="567"/>
      <c r="M138" s="567"/>
      <c r="N138" s="567"/>
      <c r="O138" s="567"/>
      <c r="P138" s="567"/>
      <c r="Q138" s="567"/>
    </row>
    <row r="139" spans="1:17" ht="15" customHeight="1" x14ac:dyDescent="0.25">
      <c r="A139" s="564">
        <v>102</v>
      </c>
      <c r="B139" s="1913" t="s">
        <v>1884</v>
      </c>
      <c r="C139" s="1914"/>
      <c r="D139" s="571" t="s">
        <v>1908</v>
      </c>
      <c r="E139" s="566"/>
      <c r="F139" s="566"/>
      <c r="G139" s="566"/>
      <c r="H139" s="566"/>
      <c r="I139" s="566"/>
      <c r="J139" s="568"/>
      <c r="K139" s="567"/>
      <c r="L139" s="566"/>
      <c r="M139" s="566"/>
      <c r="N139" s="566"/>
      <c r="O139" s="566"/>
      <c r="P139" s="566"/>
      <c r="Q139" s="566"/>
    </row>
    <row r="140" spans="1:17" ht="15" customHeight="1" x14ac:dyDescent="0.25">
      <c r="A140" s="564">
        <v>103</v>
      </c>
      <c r="B140" s="1913" t="s">
        <v>1885</v>
      </c>
      <c r="C140" s="1914"/>
      <c r="D140" s="571" t="s">
        <v>1908</v>
      </c>
      <c r="E140" s="566"/>
      <c r="F140" s="566"/>
      <c r="G140" s="566"/>
      <c r="H140" s="566"/>
      <c r="I140" s="567"/>
      <c r="J140" s="567"/>
      <c r="K140" s="567"/>
      <c r="L140" s="567"/>
      <c r="M140" s="567"/>
      <c r="N140" s="567"/>
      <c r="O140" s="567"/>
      <c r="P140" s="566"/>
      <c r="Q140" s="567"/>
    </row>
    <row r="141" spans="1:17" ht="15" customHeight="1" x14ac:dyDescent="0.25">
      <c r="A141" s="564">
        <v>104</v>
      </c>
      <c r="B141" s="1913" t="s">
        <v>1886</v>
      </c>
      <c r="C141" s="1914"/>
      <c r="D141" s="571" t="s">
        <v>1908</v>
      </c>
      <c r="E141" s="566"/>
      <c r="F141" s="566"/>
      <c r="G141" s="566"/>
      <c r="H141" s="566"/>
      <c r="I141" s="567"/>
      <c r="J141" s="567"/>
      <c r="K141" s="567"/>
      <c r="L141" s="567"/>
      <c r="M141" s="567"/>
      <c r="N141" s="567"/>
      <c r="O141" s="567"/>
      <c r="P141" s="567"/>
      <c r="Q141" s="567"/>
    </row>
    <row r="142" spans="1:17" ht="15" customHeight="1" x14ac:dyDescent="0.25">
      <c r="A142" s="569"/>
      <c r="B142" s="1904"/>
      <c r="C142" s="1905"/>
      <c r="D142" s="190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</row>
    <row r="143" spans="1:17" ht="15" customHeight="1" x14ac:dyDescent="0.25">
      <c r="A143" s="564"/>
      <c r="B143" s="1920" t="s">
        <v>1887</v>
      </c>
      <c r="C143" s="1919"/>
      <c r="D143" s="1914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</row>
    <row r="144" spans="1:17" ht="15" customHeight="1" x14ac:dyDescent="0.25">
      <c r="A144" s="564">
        <v>105</v>
      </c>
      <c r="B144" s="1921" t="s">
        <v>1888</v>
      </c>
      <c r="C144" s="1922"/>
      <c r="D144" s="565" t="s">
        <v>1901</v>
      </c>
      <c r="E144" s="566"/>
      <c r="F144" s="566"/>
      <c r="G144" s="566"/>
      <c r="H144" s="566"/>
      <c r="I144" s="567"/>
      <c r="J144" s="567"/>
      <c r="K144" s="567"/>
      <c r="L144" s="567"/>
      <c r="M144" s="567"/>
      <c r="N144" s="567"/>
      <c r="O144" s="567"/>
      <c r="P144" s="567"/>
      <c r="Q144" s="567"/>
    </row>
    <row r="145" spans="1:17" s="531" customFormat="1" ht="15" customHeight="1" x14ac:dyDescent="0.25">
      <c r="A145" s="564">
        <v>106</v>
      </c>
      <c r="B145" s="1921" t="s">
        <v>1888</v>
      </c>
      <c r="C145" s="1922"/>
      <c r="D145" s="565" t="s">
        <v>1902</v>
      </c>
      <c r="E145" s="566"/>
      <c r="F145" s="566"/>
      <c r="G145" s="566"/>
      <c r="H145" s="566"/>
      <c r="I145" s="567"/>
      <c r="J145" s="567"/>
      <c r="K145" s="567"/>
      <c r="L145" s="567"/>
      <c r="M145" s="567"/>
      <c r="N145" s="567"/>
      <c r="O145" s="567"/>
      <c r="P145" s="567"/>
      <c r="Q145" s="567"/>
    </row>
    <row r="146" spans="1:17" s="531" customFormat="1" ht="15" customHeight="1" x14ac:dyDescent="0.25">
      <c r="A146" s="564">
        <v>107</v>
      </c>
      <c r="B146" s="1921" t="s">
        <v>1888</v>
      </c>
      <c r="C146" s="1922"/>
      <c r="D146" s="565" t="s">
        <v>1908</v>
      </c>
      <c r="E146" s="566"/>
      <c r="F146" s="566"/>
      <c r="G146" s="566"/>
      <c r="H146" s="566"/>
      <c r="I146" s="567"/>
      <c r="J146" s="567"/>
      <c r="K146" s="567"/>
      <c r="L146" s="567"/>
      <c r="M146" s="567"/>
      <c r="N146" s="567"/>
      <c r="O146" s="567"/>
      <c r="P146" s="567"/>
      <c r="Q146" s="567"/>
    </row>
    <row r="147" spans="1:17" ht="15" customHeight="1" x14ac:dyDescent="0.25">
      <c r="A147" s="564">
        <v>108</v>
      </c>
      <c r="B147" s="574" t="s">
        <v>1889</v>
      </c>
      <c r="C147" s="575"/>
      <c r="D147" s="565" t="s">
        <v>1901</v>
      </c>
      <c r="E147" s="566"/>
      <c r="F147" s="566"/>
      <c r="G147" s="566"/>
      <c r="H147" s="566"/>
      <c r="I147" s="567"/>
      <c r="J147" s="567"/>
      <c r="K147" s="567"/>
      <c r="L147" s="567"/>
      <c r="M147" s="567"/>
      <c r="N147" s="567"/>
      <c r="O147" s="567"/>
      <c r="P147" s="567"/>
      <c r="Q147" s="567"/>
    </row>
    <row r="148" spans="1:17" s="531" customFormat="1" ht="15" customHeight="1" x14ac:dyDescent="0.25">
      <c r="A148" s="564">
        <v>109</v>
      </c>
      <c r="B148" s="574" t="s">
        <v>1889</v>
      </c>
      <c r="C148" s="575"/>
      <c r="D148" s="565" t="s">
        <v>1902</v>
      </c>
      <c r="E148" s="566"/>
      <c r="F148" s="566"/>
      <c r="G148" s="566"/>
      <c r="H148" s="566"/>
      <c r="I148" s="567"/>
      <c r="J148" s="567"/>
      <c r="K148" s="567"/>
      <c r="L148" s="567"/>
      <c r="M148" s="567"/>
      <c r="N148" s="567"/>
      <c r="O148" s="567"/>
      <c r="P148" s="567"/>
      <c r="Q148" s="567"/>
    </row>
    <row r="149" spans="1:17" s="531" customFormat="1" ht="15" customHeight="1" x14ac:dyDescent="0.25">
      <c r="A149" s="564">
        <v>110</v>
      </c>
      <c r="B149" s="574" t="s">
        <v>1889</v>
      </c>
      <c r="C149" s="575"/>
      <c r="D149" s="565" t="s">
        <v>1908</v>
      </c>
      <c r="E149" s="566"/>
      <c r="F149" s="566"/>
      <c r="G149" s="566"/>
      <c r="H149" s="566"/>
      <c r="I149" s="567"/>
      <c r="J149" s="567"/>
      <c r="K149" s="567"/>
      <c r="L149" s="567"/>
      <c r="M149" s="567"/>
      <c r="N149" s="567"/>
      <c r="O149" s="567"/>
      <c r="P149" s="567"/>
      <c r="Q149" s="567"/>
    </row>
    <row r="150" spans="1:17" ht="15" customHeight="1" x14ac:dyDescent="0.25">
      <c r="A150" s="564">
        <v>111</v>
      </c>
      <c r="B150" s="574" t="s">
        <v>1890</v>
      </c>
      <c r="C150" s="575"/>
      <c r="D150" s="571" t="s">
        <v>1903</v>
      </c>
      <c r="E150" s="566"/>
      <c r="F150" s="566"/>
      <c r="G150" s="566"/>
      <c r="H150" s="566"/>
      <c r="I150" s="567"/>
      <c r="J150" s="567"/>
      <c r="K150" s="567"/>
      <c r="L150" s="567"/>
      <c r="M150" s="567"/>
      <c r="N150" s="567"/>
      <c r="O150" s="567"/>
      <c r="P150" s="567"/>
      <c r="Q150" s="567"/>
    </row>
    <row r="151" spans="1:17" ht="15" customHeight="1" x14ac:dyDescent="0.25">
      <c r="A151" s="564">
        <v>112</v>
      </c>
      <c r="B151" s="574" t="s">
        <v>1890</v>
      </c>
      <c r="C151" s="575"/>
      <c r="D151" s="571" t="s">
        <v>1904</v>
      </c>
      <c r="E151" s="566"/>
      <c r="F151" s="566"/>
      <c r="G151" s="566"/>
      <c r="H151" s="566"/>
      <c r="I151" s="567"/>
      <c r="J151" s="567"/>
      <c r="K151" s="567"/>
      <c r="L151" s="567"/>
      <c r="M151" s="567"/>
      <c r="N151" s="567"/>
      <c r="O151" s="567"/>
      <c r="P151" s="567"/>
      <c r="Q151" s="567"/>
    </row>
    <row r="152" spans="1:17" s="531" customFormat="1" ht="15" customHeight="1" x14ac:dyDescent="0.25">
      <c r="A152" s="564">
        <v>113</v>
      </c>
      <c r="B152" s="574" t="s">
        <v>1890</v>
      </c>
      <c r="C152" s="575"/>
      <c r="D152" s="571" t="s">
        <v>1902</v>
      </c>
      <c r="E152" s="566"/>
      <c r="F152" s="566"/>
      <c r="G152" s="566"/>
      <c r="H152" s="566"/>
      <c r="I152" s="567"/>
      <c r="J152" s="567"/>
      <c r="K152" s="567"/>
      <c r="L152" s="567"/>
      <c r="M152" s="567"/>
      <c r="N152" s="567"/>
      <c r="O152" s="567"/>
      <c r="P152" s="567"/>
      <c r="Q152" s="567"/>
    </row>
    <row r="153" spans="1:17" s="531" customFormat="1" ht="15" customHeight="1" x14ac:dyDescent="0.25">
      <c r="A153" s="564">
        <v>114</v>
      </c>
      <c r="B153" s="574" t="s">
        <v>1890</v>
      </c>
      <c r="C153" s="575"/>
      <c r="D153" s="571" t="s">
        <v>1908</v>
      </c>
      <c r="E153" s="566"/>
      <c r="F153" s="566"/>
      <c r="G153" s="566"/>
      <c r="H153" s="566"/>
      <c r="I153" s="567"/>
      <c r="J153" s="567"/>
      <c r="K153" s="567"/>
      <c r="L153" s="567"/>
      <c r="M153" s="567"/>
      <c r="N153" s="567"/>
      <c r="O153" s="567"/>
      <c r="P153" s="567"/>
      <c r="Q153" s="567"/>
    </row>
    <row r="154" spans="1:17" ht="15" customHeight="1" x14ac:dyDescent="0.25">
      <c r="A154" s="564">
        <v>115</v>
      </c>
      <c r="B154" s="574" t="s">
        <v>1891</v>
      </c>
      <c r="C154" s="575"/>
      <c r="D154" s="565" t="s">
        <v>1901</v>
      </c>
      <c r="E154" s="576"/>
      <c r="F154" s="576"/>
      <c r="G154" s="576"/>
      <c r="H154" s="576"/>
      <c r="I154" s="567"/>
      <c r="J154" s="567"/>
      <c r="K154" s="567"/>
      <c r="L154" s="567"/>
      <c r="M154" s="567"/>
      <c r="N154" s="567"/>
      <c r="O154" s="567"/>
      <c r="P154" s="567"/>
      <c r="Q154" s="567"/>
    </row>
    <row r="155" spans="1:17" s="531" customFormat="1" ht="15" customHeight="1" x14ac:dyDescent="0.25">
      <c r="A155" s="564">
        <v>116</v>
      </c>
      <c r="B155" s="574" t="s">
        <v>1891</v>
      </c>
      <c r="C155" s="575"/>
      <c r="D155" s="565" t="s">
        <v>1902</v>
      </c>
      <c r="E155" s="576"/>
      <c r="F155" s="576"/>
      <c r="G155" s="576"/>
      <c r="H155" s="576"/>
      <c r="I155" s="567"/>
      <c r="J155" s="567"/>
      <c r="K155" s="567"/>
      <c r="L155" s="567"/>
      <c r="M155" s="567"/>
      <c r="N155" s="567"/>
      <c r="O155" s="567"/>
      <c r="P155" s="567"/>
      <c r="Q155" s="567"/>
    </row>
    <row r="156" spans="1:17" s="531" customFormat="1" ht="15" customHeight="1" x14ac:dyDescent="0.25">
      <c r="A156" s="564">
        <v>117</v>
      </c>
      <c r="B156" s="574" t="s">
        <v>1891</v>
      </c>
      <c r="C156" s="575"/>
      <c r="D156" s="565" t="s">
        <v>1908</v>
      </c>
      <c r="E156" s="576"/>
      <c r="F156" s="576"/>
      <c r="G156" s="576"/>
      <c r="H156" s="576"/>
      <c r="I156" s="567"/>
      <c r="J156" s="567"/>
      <c r="K156" s="567"/>
      <c r="L156" s="567"/>
      <c r="M156" s="567"/>
      <c r="N156" s="567"/>
      <c r="O156" s="567"/>
      <c r="P156" s="567"/>
      <c r="Q156" s="567"/>
    </row>
    <row r="157" spans="1:17" ht="15" customHeight="1" x14ac:dyDescent="0.25">
      <c r="A157" s="564">
        <v>118</v>
      </c>
      <c r="B157" s="574" t="s">
        <v>1892</v>
      </c>
      <c r="C157" s="575"/>
      <c r="D157" s="565" t="s">
        <v>1901</v>
      </c>
      <c r="E157" s="576"/>
      <c r="F157" s="576"/>
      <c r="G157" s="576"/>
      <c r="H157" s="576"/>
      <c r="I157" s="567"/>
      <c r="J157" s="567"/>
      <c r="K157" s="567"/>
      <c r="L157" s="567"/>
      <c r="M157" s="567"/>
      <c r="N157" s="567"/>
      <c r="O157" s="567"/>
      <c r="P157" s="567"/>
      <c r="Q157" s="567"/>
    </row>
    <row r="158" spans="1:17" s="531" customFormat="1" ht="15" customHeight="1" x14ac:dyDescent="0.25">
      <c r="A158" s="564">
        <v>119</v>
      </c>
      <c r="B158" s="574" t="s">
        <v>1892</v>
      </c>
      <c r="C158" s="575"/>
      <c r="D158" s="565" t="s">
        <v>1902</v>
      </c>
      <c r="E158" s="576"/>
      <c r="F158" s="576"/>
      <c r="G158" s="576"/>
      <c r="H158" s="576"/>
      <c r="I158" s="567"/>
      <c r="J158" s="567"/>
      <c r="K158" s="567"/>
      <c r="L158" s="567"/>
      <c r="M158" s="567"/>
      <c r="N158" s="567"/>
      <c r="O158" s="567"/>
      <c r="P158" s="567"/>
      <c r="Q158" s="567"/>
    </row>
    <row r="159" spans="1:17" s="531" customFormat="1" ht="15" customHeight="1" x14ac:dyDescent="0.25">
      <c r="A159" s="564">
        <v>120</v>
      </c>
      <c r="B159" s="574" t="s">
        <v>1892</v>
      </c>
      <c r="C159" s="575"/>
      <c r="D159" s="565" t="s">
        <v>1908</v>
      </c>
      <c r="E159" s="576"/>
      <c r="F159" s="576"/>
      <c r="G159" s="576"/>
      <c r="H159" s="576"/>
      <c r="I159" s="567"/>
      <c r="J159" s="567"/>
      <c r="K159" s="567"/>
      <c r="L159" s="567"/>
      <c r="M159" s="567"/>
      <c r="N159" s="567"/>
      <c r="O159" s="567"/>
      <c r="P159" s="567"/>
      <c r="Q159" s="567"/>
    </row>
    <row r="160" spans="1:17" ht="15" customHeight="1" x14ac:dyDescent="0.25">
      <c r="A160" s="564">
        <v>121</v>
      </c>
      <c r="B160" s="574" t="s">
        <v>1893</v>
      </c>
      <c r="C160" s="575"/>
      <c r="D160" s="565" t="s">
        <v>1906</v>
      </c>
      <c r="E160" s="566"/>
      <c r="F160" s="566"/>
      <c r="G160" s="566"/>
      <c r="H160" s="566"/>
      <c r="I160" s="567"/>
      <c r="J160" s="567"/>
      <c r="K160" s="567"/>
      <c r="L160" s="567"/>
      <c r="M160" s="567"/>
      <c r="N160" s="567"/>
      <c r="O160" s="567"/>
      <c r="P160" s="567"/>
      <c r="Q160" s="567"/>
    </row>
    <row r="161" spans="1:17" s="531" customFormat="1" ht="15" customHeight="1" x14ac:dyDescent="0.25">
      <c r="A161" s="564">
        <v>122</v>
      </c>
      <c r="B161" s="574" t="s">
        <v>1893</v>
      </c>
      <c r="C161" s="575"/>
      <c r="D161" s="565" t="s">
        <v>1908</v>
      </c>
      <c r="E161" s="566"/>
      <c r="F161" s="566"/>
      <c r="G161" s="566"/>
      <c r="H161" s="566"/>
      <c r="I161" s="567"/>
      <c r="J161" s="567"/>
      <c r="K161" s="567"/>
      <c r="L161" s="567"/>
      <c r="M161" s="567"/>
      <c r="N161" s="567"/>
      <c r="O161" s="567"/>
      <c r="P161" s="567"/>
      <c r="Q161" s="567"/>
    </row>
    <row r="162" spans="1:17" ht="15" customHeight="1" x14ac:dyDescent="0.25">
      <c r="A162" s="564">
        <v>123</v>
      </c>
      <c r="B162" s="574" t="s">
        <v>1894</v>
      </c>
      <c r="C162" s="575"/>
      <c r="D162" s="565" t="s">
        <v>1906</v>
      </c>
      <c r="E162" s="566"/>
      <c r="F162" s="566"/>
      <c r="G162" s="566"/>
      <c r="H162" s="566"/>
      <c r="I162" s="567"/>
      <c r="J162" s="567"/>
      <c r="K162" s="567"/>
      <c r="L162" s="567"/>
      <c r="M162" s="567"/>
      <c r="N162" s="567"/>
      <c r="O162" s="567"/>
      <c r="P162" s="567"/>
      <c r="Q162" s="567"/>
    </row>
    <row r="163" spans="1:17" s="531" customFormat="1" ht="15" customHeight="1" x14ac:dyDescent="0.25">
      <c r="A163" s="564">
        <v>124</v>
      </c>
      <c r="B163" s="574" t="s">
        <v>1894</v>
      </c>
      <c r="C163" s="575"/>
      <c r="D163" s="565" t="s">
        <v>1908</v>
      </c>
      <c r="E163" s="566"/>
      <c r="F163" s="566"/>
      <c r="G163" s="566"/>
      <c r="H163" s="566"/>
      <c r="I163" s="567"/>
      <c r="J163" s="567"/>
      <c r="K163" s="567"/>
      <c r="L163" s="567"/>
      <c r="M163" s="567"/>
      <c r="N163" s="567"/>
      <c r="O163" s="567"/>
      <c r="P163" s="567"/>
      <c r="Q163" s="567"/>
    </row>
    <row r="164" spans="1:17" ht="15" customHeight="1" x14ac:dyDescent="0.25">
      <c r="A164" s="564">
        <v>125</v>
      </c>
      <c r="B164" s="574" t="s">
        <v>1895</v>
      </c>
      <c r="C164" s="575"/>
      <c r="D164" s="565" t="s">
        <v>1906</v>
      </c>
      <c r="E164" s="566"/>
      <c r="F164" s="566"/>
      <c r="G164" s="566"/>
      <c r="H164" s="566"/>
      <c r="I164" s="567"/>
      <c r="J164" s="567"/>
      <c r="K164" s="567"/>
      <c r="L164" s="567"/>
      <c r="M164" s="567"/>
      <c r="N164" s="567"/>
      <c r="O164" s="567"/>
      <c r="P164" s="567"/>
      <c r="Q164" s="567"/>
    </row>
    <row r="165" spans="1:17" s="531" customFormat="1" ht="15" customHeight="1" x14ac:dyDescent="0.25">
      <c r="A165" s="564">
        <v>126</v>
      </c>
      <c r="B165" s="574" t="s">
        <v>1895</v>
      </c>
      <c r="C165" s="575"/>
      <c r="D165" s="565" t="s">
        <v>1908</v>
      </c>
      <c r="E165" s="566"/>
      <c r="F165" s="566"/>
      <c r="G165" s="566"/>
      <c r="H165" s="566"/>
      <c r="I165" s="567"/>
      <c r="J165" s="567"/>
      <c r="K165" s="567"/>
      <c r="L165" s="567"/>
      <c r="M165" s="567"/>
      <c r="N165" s="567"/>
      <c r="O165" s="567"/>
      <c r="P165" s="567"/>
      <c r="Q165" s="567"/>
    </row>
    <row r="166" spans="1:17" ht="15" customHeight="1" x14ac:dyDescent="0.25">
      <c r="A166" s="564">
        <v>127</v>
      </c>
      <c r="B166" s="574" t="s">
        <v>1896</v>
      </c>
      <c r="C166" s="575"/>
      <c r="D166" s="571" t="s">
        <v>1903</v>
      </c>
      <c r="E166" s="566"/>
      <c r="F166" s="566"/>
      <c r="G166" s="566"/>
      <c r="H166" s="566"/>
      <c r="I166" s="567"/>
      <c r="J166" s="567"/>
      <c r="K166" s="567"/>
      <c r="L166" s="567"/>
      <c r="M166" s="567"/>
      <c r="N166" s="567"/>
      <c r="O166" s="567"/>
      <c r="P166" s="567"/>
      <c r="Q166" s="567"/>
    </row>
    <row r="167" spans="1:17" s="531" customFormat="1" ht="15" customHeight="1" x14ac:dyDescent="0.25">
      <c r="A167" s="564">
        <v>128</v>
      </c>
      <c r="B167" s="574" t="s">
        <v>1896</v>
      </c>
      <c r="C167" s="575"/>
      <c r="D167" s="571" t="s">
        <v>1904</v>
      </c>
      <c r="E167" s="566"/>
      <c r="F167" s="566"/>
      <c r="G167" s="566"/>
      <c r="H167" s="566"/>
      <c r="I167" s="567"/>
      <c r="J167" s="567"/>
      <c r="K167" s="567"/>
      <c r="L167" s="567"/>
      <c r="M167" s="567"/>
      <c r="N167" s="567"/>
      <c r="O167" s="567"/>
      <c r="P167" s="567"/>
      <c r="Q167" s="567"/>
    </row>
    <row r="168" spans="1:17" s="531" customFormat="1" ht="15" customHeight="1" x14ac:dyDescent="0.25">
      <c r="A168" s="564">
        <v>129</v>
      </c>
      <c r="B168" s="574" t="s">
        <v>1896</v>
      </c>
      <c r="C168" s="575"/>
      <c r="D168" s="571" t="s">
        <v>1902</v>
      </c>
      <c r="E168" s="566"/>
      <c r="F168" s="566"/>
      <c r="G168" s="566"/>
      <c r="H168" s="566"/>
      <c r="I168" s="567"/>
      <c r="J168" s="567"/>
      <c r="K168" s="567"/>
      <c r="L168" s="567"/>
      <c r="M168" s="567"/>
      <c r="N168" s="567"/>
      <c r="O168" s="567"/>
      <c r="P168" s="567"/>
      <c r="Q168" s="567"/>
    </row>
    <row r="169" spans="1:17" ht="15" customHeight="1" x14ac:dyDescent="0.25">
      <c r="A169" s="564">
        <v>130</v>
      </c>
      <c r="B169" s="574" t="s">
        <v>1897</v>
      </c>
      <c r="C169" s="575"/>
      <c r="D169" s="571" t="s">
        <v>1908</v>
      </c>
      <c r="E169" s="566"/>
      <c r="F169" s="566"/>
      <c r="G169" s="566"/>
      <c r="H169" s="566"/>
      <c r="I169" s="567"/>
      <c r="J169" s="567"/>
      <c r="K169" s="567"/>
      <c r="L169" s="567"/>
      <c r="M169" s="567"/>
      <c r="N169" s="567"/>
      <c r="O169" s="567"/>
      <c r="P169" s="567"/>
      <c r="Q169" s="567"/>
    </row>
    <row r="170" spans="1:17" ht="15" customHeight="1" x14ac:dyDescent="0.25">
      <c r="A170" s="569"/>
      <c r="B170" s="1923"/>
      <c r="C170" s="1924"/>
      <c r="D170" s="535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</row>
    <row r="171" spans="1:17" ht="15" customHeight="1" x14ac:dyDescent="0.25">
      <c r="A171" s="564">
        <v>131</v>
      </c>
      <c r="B171" s="577" t="s">
        <v>1898</v>
      </c>
      <c r="C171" s="575"/>
      <c r="D171" s="565" t="s">
        <v>1907</v>
      </c>
      <c r="E171" s="567">
        <v>0</v>
      </c>
      <c r="F171" s="567">
        <v>0</v>
      </c>
      <c r="G171" s="567">
        <v>0</v>
      </c>
      <c r="H171" s="567">
        <v>0</v>
      </c>
      <c r="I171" s="566"/>
      <c r="J171" s="566"/>
      <c r="K171" s="566"/>
      <c r="L171" s="566"/>
      <c r="M171" s="566"/>
      <c r="N171" s="566"/>
      <c r="O171" s="566"/>
      <c r="P171" s="566"/>
      <c r="Q171" s="566"/>
    </row>
    <row r="172" spans="1:17" ht="15" customHeight="1" x14ac:dyDescent="0.25">
      <c r="A172" s="564">
        <v>132</v>
      </c>
      <c r="B172" s="1913" t="s">
        <v>1899</v>
      </c>
      <c r="C172" s="1919"/>
      <c r="D172" s="1914"/>
      <c r="E172" s="566"/>
      <c r="F172" s="1917" t="s">
        <v>123</v>
      </c>
      <c r="G172" s="1918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</row>
    <row r="173" spans="1:17" ht="15" customHeight="1" x14ac:dyDescent="0.25">
      <c r="A173" s="564">
        <v>133</v>
      </c>
      <c r="B173" s="1913" t="s">
        <v>1900</v>
      </c>
      <c r="C173" s="1919"/>
      <c r="D173" s="1914"/>
      <c r="E173" s="567">
        <v>0</v>
      </c>
      <c r="F173" s="567">
        <v>0</v>
      </c>
      <c r="G173" s="567">
        <v>0</v>
      </c>
      <c r="H173" s="567">
        <v>0</v>
      </c>
      <c r="I173" s="566"/>
      <c r="J173" s="566"/>
      <c r="K173" s="566"/>
      <c r="L173" s="566"/>
      <c r="M173" s="566"/>
      <c r="N173" s="566"/>
      <c r="O173" s="566"/>
      <c r="P173" s="566"/>
      <c r="Q173" s="566"/>
    </row>
    <row r="174" spans="1:17" ht="15" customHeight="1" x14ac:dyDescent="0.25">
      <c r="A174" s="564"/>
      <c r="B174" s="578"/>
      <c r="C174" s="579"/>
      <c r="D174" s="575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</row>
  </sheetData>
  <mergeCells count="150">
    <mergeCell ref="B136:C136"/>
    <mergeCell ref="B137:D137"/>
    <mergeCell ref="B145:C145"/>
    <mergeCell ref="B146:C146"/>
    <mergeCell ref="B122:D122"/>
    <mergeCell ref="B128:C128"/>
    <mergeCell ref="B129:C129"/>
    <mergeCell ref="B130:C130"/>
    <mergeCell ref="B131:C131"/>
    <mergeCell ref="B127:D127"/>
    <mergeCell ref="B138:C138"/>
    <mergeCell ref="B139:C139"/>
    <mergeCell ref="B140:C140"/>
    <mergeCell ref="B132:D132"/>
    <mergeCell ref="B133:C133"/>
    <mergeCell ref="B134:C134"/>
    <mergeCell ref="B135:C135"/>
    <mergeCell ref="B90:C90"/>
    <mergeCell ref="B91:C91"/>
    <mergeCell ref="B92:D92"/>
    <mergeCell ref="B103:C103"/>
    <mergeCell ref="B104:C104"/>
    <mergeCell ref="B105:C105"/>
    <mergeCell ref="B106:C106"/>
    <mergeCell ref="B107:D107"/>
    <mergeCell ref="B78:C78"/>
    <mergeCell ref="B79:C79"/>
    <mergeCell ref="B80:C80"/>
    <mergeCell ref="B81:C81"/>
    <mergeCell ref="F172:G172"/>
    <mergeCell ref="B173:D173"/>
    <mergeCell ref="B18:C18"/>
    <mergeCell ref="B19:C19"/>
    <mergeCell ref="B20:C20"/>
    <mergeCell ref="B21:C21"/>
    <mergeCell ref="B23:C23"/>
    <mergeCell ref="B24:C24"/>
    <mergeCell ref="B25:C25"/>
    <mergeCell ref="B26:C26"/>
    <mergeCell ref="B141:C141"/>
    <mergeCell ref="B142:D142"/>
    <mergeCell ref="B143:D143"/>
    <mergeCell ref="B144:C144"/>
    <mergeCell ref="B170:C170"/>
    <mergeCell ref="B172:D172"/>
    <mergeCell ref="B125:C125"/>
    <mergeCell ref="B126:C126"/>
    <mergeCell ref="B72:D72"/>
    <mergeCell ref="B73:C73"/>
    <mergeCell ref="B74:C74"/>
    <mergeCell ref="B75:C75"/>
    <mergeCell ref="B76:C76"/>
    <mergeCell ref="B77:D77"/>
    <mergeCell ref="B114:C114"/>
    <mergeCell ref="B115:C115"/>
    <mergeCell ref="B116:C116"/>
    <mergeCell ref="B117:D117"/>
    <mergeCell ref="B123:C123"/>
    <mergeCell ref="B124:C124"/>
    <mergeCell ref="B118:C118"/>
    <mergeCell ref="B119:C119"/>
    <mergeCell ref="B120:C120"/>
    <mergeCell ref="B121:C121"/>
    <mergeCell ref="B113:C113"/>
    <mergeCell ref="B109:C109"/>
    <mergeCell ref="B110:C110"/>
    <mergeCell ref="B111:C111"/>
    <mergeCell ref="B112:D112"/>
    <mergeCell ref="B82:D82"/>
    <mergeCell ref="B93:C93"/>
    <mergeCell ref="B94:C94"/>
    <mergeCell ref="B95:C95"/>
    <mergeCell ref="B96:C96"/>
    <mergeCell ref="B97:D97"/>
    <mergeCell ref="B83:C83"/>
    <mergeCell ref="B84:C84"/>
    <mergeCell ref="B85:C85"/>
    <mergeCell ref="B86:C86"/>
    <mergeCell ref="B98:C98"/>
    <mergeCell ref="B99:C99"/>
    <mergeCell ref="B100:C100"/>
    <mergeCell ref="B101:C101"/>
    <mergeCell ref="B102:D102"/>
    <mergeCell ref="B108:C108"/>
    <mergeCell ref="B87:D87"/>
    <mergeCell ref="B88:C88"/>
    <mergeCell ref="B89:C89"/>
    <mergeCell ref="B69:C69"/>
    <mergeCell ref="B70:C70"/>
    <mergeCell ref="B71:C71"/>
    <mergeCell ref="B50:C50"/>
    <mergeCell ref="B51:C51"/>
    <mergeCell ref="B52:D52"/>
    <mergeCell ref="B63:C63"/>
    <mergeCell ref="B64:C64"/>
    <mergeCell ref="B65:C65"/>
    <mergeCell ref="B53:C53"/>
    <mergeCell ref="B54:C54"/>
    <mergeCell ref="B55:C55"/>
    <mergeCell ref="B56:C56"/>
    <mergeCell ref="B57:D57"/>
    <mergeCell ref="B58:C58"/>
    <mergeCell ref="B59:C59"/>
    <mergeCell ref="B60:C60"/>
    <mergeCell ref="B61:C61"/>
    <mergeCell ref="B62:D62"/>
    <mergeCell ref="B66:C66"/>
    <mergeCell ref="B67:D67"/>
    <mergeCell ref="B68:C68"/>
    <mergeCell ref="B44:C44"/>
    <mergeCell ref="B45:C45"/>
    <mergeCell ref="B46:C46"/>
    <mergeCell ref="B47:D47"/>
    <mergeCell ref="B48:C48"/>
    <mergeCell ref="B49:C49"/>
    <mergeCell ref="B28:C28"/>
    <mergeCell ref="B29:C29"/>
    <mergeCell ref="B30:C30"/>
    <mergeCell ref="B31:C31"/>
    <mergeCell ref="B32:D32"/>
    <mergeCell ref="B43:C43"/>
    <mergeCell ref="B33:C33"/>
    <mergeCell ref="B34:C34"/>
    <mergeCell ref="B35:C35"/>
    <mergeCell ref="B36:C36"/>
    <mergeCell ref="B37:D37"/>
    <mergeCell ref="B38:C38"/>
    <mergeCell ref="B39:C39"/>
    <mergeCell ref="B40:C40"/>
    <mergeCell ref="B41:C41"/>
    <mergeCell ref="B42:D42"/>
    <mergeCell ref="B14:C14"/>
    <mergeCell ref="B15:C15"/>
    <mergeCell ref="B16:C16"/>
    <mergeCell ref="P7:P8"/>
    <mergeCell ref="A9:B9"/>
    <mergeCell ref="A10:B10"/>
    <mergeCell ref="I10:J11"/>
    <mergeCell ref="K10:K12"/>
    <mergeCell ref="O10:O12"/>
    <mergeCell ref="P10:P12"/>
    <mergeCell ref="A6:B6"/>
    <mergeCell ref="A7:B7"/>
    <mergeCell ref="E7:H8"/>
    <mergeCell ref="I7:I8"/>
    <mergeCell ref="J7:J8"/>
    <mergeCell ref="L7:N8"/>
    <mergeCell ref="Q10:Q12"/>
    <mergeCell ref="A11:D12"/>
    <mergeCell ref="B13:C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90D99-ED3E-4AFA-8826-4BDE2CA657BF}">
  <sheetPr>
    <pageSetUpPr fitToPage="1"/>
  </sheetPr>
  <dimension ref="A1:W116"/>
  <sheetViews>
    <sheetView showGridLines="0" topLeftCell="C1" zoomScaleNormal="100" workbookViewId="0">
      <pane xSplit="4" ySplit="8" topLeftCell="G9" activePane="bottomRight" state="frozen"/>
      <selection activeCell="C1" sqref="C1"/>
      <selection pane="topRight" activeCell="G1" sqref="G1"/>
      <selection pane="bottomLeft" activeCell="C9" sqref="C9"/>
      <selection pane="bottomRight" activeCell="G9" sqref="G9"/>
    </sheetView>
  </sheetViews>
  <sheetFormatPr defaultRowHeight="15" x14ac:dyDescent="0.25"/>
  <cols>
    <col min="1" max="1" width="9.88671875" style="585" hidden="1" customWidth="1"/>
    <col min="2" max="2" width="10.44140625" style="585" hidden="1" customWidth="1"/>
    <col min="3" max="3" width="16.77734375" style="37" customWidth="1"/>
    <col min="4" max="4" width="38.77734375" style="37" customWidth="1"/>
    <col min="5" max="6" width="7.77734375" style="37" customWidth="1"/>
    <col min="7" max="7" width="15.6640625" style="37" customWidth="1"/>
    <col min="8" max="8" width="13" style="37" customWidth="1"/>
    <col min="9" max="9" width="15.33203125" style="37" customWidth="1"/>
    <col min="10" max="10" width="13" style="37" customWidth="1"/>
    <col min="11" max="11" width="15.109375" style="37" customWidth="1"/>
    <col min="12" max="12" width="15.77734375" style="597" customWidth="1"/>
    <col min="13" max="13" width="1.33203125" style="37" customWidth="1"/>
    <col min="14" max="16" width="14.5546875" style="37" hidden="1" customWidth="1"/>
    <col min="17" max="17" width="1.33203125" style="37" hidden="1" customWidth="1"/>
    <col min="18" max="23" width="12.77734375" style="37" hidden="1" customWidth="1"/>
    <col min="24" max="249" width="8.88671875" style="37"/>
    <col min="250" max="251" width="0" style="37" hidden="1" customWidth="1"/>
    <col min="252" max="252" width="16.77734375" style="37" customWidth="1"/>
    <col min="253" max="253" width="38.77734375" style="37" customWidth="1"/>
    <col min="254" max="258" width="13" style="37" customWidth="1"/>
    <col min="259" max="259" width="14.5546875" style="37" customWidth="1"/>
    <col min="260" max="505" width="8.88671875" style="37"/>
    <col min="506" max="507" width="0" style="37" hidden="1" customWidth="1"/>
    <col min="508" max="508" width="16.77734375" style="37" customWidth="1"/>
    <col min="509" max="509" width="38.77734375" style="37" customWidth="1"/>
    <col min="510" max="514" width="13" style="37" customWidth="1"/>
    <col min="515" max="515" width="14.5546875" style="37" customWidth="1"/>
    <col min="516" max="761" width="8.88671875" style="37"/>
    <col min="762" max="763" width="0" style="37" hidden="1" customWidth="1"/>
    <col min="764" max="764" width="16.77734375" style="37" customWidth="1"/>
    <col min="765" max="765" width="38.77734375" style="37" customWidth="1"/>
    <col min="766" max="770" width="13" style="37" customWidth="1"/>
    <col min="771" max="771" width="14.5546875" style="37" customWidth="1"/>
    <col min="772" max="1017" width="8.88671875" style="37"/>
    <col min="1018" max="1019" width="0" style="37" hidden="1" customWidth="1"/>
    <col min="1020" max="1020" width="16.77734375" style="37" customWidth="1"/>
    <col min="1021" max="1021" width="38.77734375" style="37" customWidth="1"/>
    <col min="1022" max="1026" width="13" style="37" customWidth="1"/>
    <col min="1027" max="1027" width="14.5546875" style="37" customWidth="1"/>
    <col min="1028" max="1273" width="8.88671875" style="37"/>
    <col min="1274" max="1275" width="0" style="37" hidden="1" customWidth="1"/>
    <col min="1276" max="1276" width="16.77734375" style="37" customWidth="1"/>
    <col min="1277" max="1277" width="38.77734375" style="37" customWidth="1"/>
    <col min="1278" max="1282" width="13" style="37" customWidth="1"/>
    <col min="1283" max="1283" width="14.5546875" style="37" customWidth="1"/>
    <col min="1284" max="1529" width="8.88671875" style="37"/>
    <col min="1530" max="1531" width="0" style="37" hidden="1" customWidth="1"/>
    <col min="1532" max="1532" width="16.77734375" style="37" customWidth="1"/>
    <col min="1533" max="1533" width="38.77734375" style="37" customWidth="1"/>
    <col min="1534" max="1538" width="13" style="37" customWidth="1"/>
    <col min="1539" max="1539" width="14.5546875" style="37" customWidth="1"/>
    <col min="1540" max="1785" width="8.88671875" style="37"/>
    <col min="1786" max="1787" width="0" style="37" hidden="1" customWidth="1"/>
    <col min="1788" max="1788" width="16.77734375" style="37" customWidth="1"/>
    <col min="1789" max="1789" width="38.77734375" style="37" customWidth="1"/>
    <col min="1790" max="1794" width="13" style="37" customWidth="1"/>
    <col min="1795" max="1795" width="14.5546875" style="37" customWidth="1"/>
    <col min="1796" max="2041" width="8.88671875" style="37"/>
    <col min="2042" max="2043" width="0" style="37" hidden="1" customWidth="1"/>
    <col min="2044" max="2044" width="16.77734375" style="37" customWidth="1"/>
    <col min="2045" max="2045" width="38.77734375" style="37" customWidth="1"/>
    <col min="2046" max="2050" width="13" style="37" customWidth="1"/>
    <col min="2051" max="2051" width="14.5546875" style="37" customWidth="1"/>
    <col min="2052" max="2297" width="8.88671875" style="37"/>
    <col min="2298" max="2299" width="0" style="37" hidden="1" customWidth="1"/>
    <col min="2300" max="2300" width="16.77734375" style="37" customWidth="1"/>
    <col min="2301" max="2301" width="38.77734375" style="37" customWidth="1"/>
    <col min="2302" max="2306" width="13" style="37" customWidth="1"/>
    <col min="2307" max="2307" width="14.5546875" style="37" customWidth="1"/>
    <col min="2308" max="2553" width="8.88671875" style="37"/>
    <col min="2554" max="2555" width="0" style="37" hidden="1" customWidth="1"/>
    <col min="2556" max="2556" width="16.77734375" style="37" customWidth="1"/>
    <col min="2557" max="2557" width="38.77734375" style="37" customWidth="1"/>
    <col min="2558" max="2562" width="13" style="37" customWidth="1"/>
    <col min="2563" max="2563" width="14.5546875" style="37" customWidth="1"/>
    <col min="2564" max="2809" width="8.88671875" style="37"/>
    <col min="2810" max="2811" width="0" style="37" hidden="1" customWidth="1"/>
    <col min="2812" max="2812" width="16.77734375" style="37" customWidth="1"/>
    <col min="2813" max="2813" width="38.77734375" style="37" customWidth="1"/>
    <col min="2814" max="2818" width="13" style="37" customWidth="1"/>
    <col min="2819" max="2819" width="14.5546875" style="37" customWidth="1"/>
    <col min="2820" max="3065" width="8.88671875" style="37"/>
    <col min="3066" max="3067" width="0" style="37" hidden="1" customWidth="1"/>
    <col min="3068" max="3068" width="16.77734375" style="37" customWidth="1"/>
    <col min="3069" max="3069" width="38.77734375" style="37" customWidth="1"/>
    <col min="3070" max="3074" width="13" style="37" customWidth="1"/>
    <col min="3075" max="3075" width="14.5546875" style="37" customWidth="1"/>
    <col min="3076" max="3321" width="8.88671875" style="37"/>
    <col min="3322" max="3323" width="0" style="37" hidden="1" customWidth="1"/>
    <col min="3324" max="3324" width="16.77734375" style="37" customWidth="1"/>
    <col min="3325" max="3325" width="38.77734375" style="37" customWidth="1"/>
    <col min="3326" max="3330" width="13" style="37" customWidth="1"/>
    <col min="3331" max="3331" width="14.5546875" style="37" customWidth="1"/>
    <col min="3332" max="3577" width="8.88671875" style="37"/>
    <col min="3578" max="3579" width="0" style="37" hidden="1" customWidth="1"/>
    <col min="3580" max="3580" width="16.77734375" style="37" customWidth="1"/>
    <col min="3581" max="3581" width="38.77734375" style="37" customWidth="1"/>
    <col min="3582" max="3586" width="13" style="37" customWidth="1"/>
    <col min="3587" max="3587" width="14.5546875" style="37" customWidth="1"/>
    <col min="3588" max="3833" width="8.88671875" style="37"/>
    <col min="3834" max="3835" width="0" style="37" hidden="1" customWidth="1"/>
    <col min="3836" max="3836" width="16.77734375" style="37" customWidth="1"/>
    <col min="3837" max="3837" width="38.77734375" style="37" customWidth="1"/>
    <col min="3838" max="3842" width="13" style="37" customWidth="1"/>
    <col min="3843" max="3843" width="14.5546875" style="37" customWidth="1"/>
    <col min="3844" max="4089" width="8.88671875" style="37"/>
    <col min="4090" max="4091" width="0" style="37" hidden="1" customWidth="1"/>
    <col min="4092" max="4092" width="16.77734375" style="37" customWidth="1"/>
    <col min="4093" max="4093" width="38.77734375" style="37" customWidth="1"/>
    <col min="4094" max="4098" width="13" style="37" customWidth="1"/>
    <col min="4099" max="4099" width="14.5546875" style="37" customWidth="1"/>
    <col min="4100" max="4345" width="8.88671875" style="37"/>
    <col min="4346" max="4347" width="0" style="37" hidden="1" customWidth="1"/>
    <col min="4348" max="4348" width="16.77734375" style="37" customWidth="1"/>
    <col min="4349" max="4349" width="38.77734375" style="37" customWidth="1"/>
    <col min="4350" max="4354" width="13" style="37" customWidth="1"/>
    <col min="4355" max="4355" width="14.5546875" style="37" customWidth="1"/>
    <col min="4356" max="4601" width="8.88671875" style="37"/>
    <col min="4602" max="4603" width="0" style="37" hidden="1" customWidth="1"/>
    <col min="4604" max="4604" width="16.77734375" style="37" customWidth="1"/>
    <col min="4605" max="4605" width="38.77734375" style="37" customWidth="1"/>
    <col min="4606" max="4610" width="13" style="37" customWidth="1"/>
    <col min="4611" max="4611" width="14.5546875" style="37" customWidth="1"/>
    <col min="4612" max="4857" width="8.88671875" style="37"/>
    <col min="4858" max="4859" width="0" style="37" hidden="1" customWidth="1"/>
    <col min="4860" max="4860" width="16.77734375" style="37" customWidth="1"/>
    <col min="4861" max="4861" width="38.77734375" style="37" customWidth="1"/>
    <col min="4862" max="4866" width="13" style="37" customWidth="1"/>
    <col min="4867" max="4867" width="14.5546875" style="37" customWidth="1"/>
    <col min="4868" max="5113" width="8.88671875" style="37"/>
    <col min="5114" max="5115" width="0" style="37" hidden="1" customWidth="1"/>
    <col min="5116" max="5116" width="16.77734375" style="37" customWidth="1"/>
    <col min="5117" max="5117" width="38.77734375" style="37" customWidth="1"/>
    <col min="5118" max="5122" width="13" style="37" customWidth="1"/>
    <col min="5123" max="5123" width="14.5546875" style="37" customWidth="1"/>
    <col min="5124" max="5369" width="8.88671875" style="37"/>
    <col min="5370" max="5371" width="0" style="37" hidden="1" customWidth="1"/>
    <col min="5372" max="5372" width="16.77734375" style="37" customWidth="1"/>
    <col min="5373" max="5373" width="38.77734375" style="37" customWidth="1"/>
    <col min="5374" max="5378" width="13" style="37" customWidth="1"/>
    <col min="5379" max="5379" width="14.5546875" style="37" customWidth="1"/>
    <col min="5380" max="5625" width="8.88671875" style="37"/>
    <col min="5626" max="5627" width="0" style="37" hidden="1" customWidth="1"/>
    <col min="5628" max="5628" width="16.77734375" style="37" customWidth="1"/>
    <col min="5629" max="5629" width="38.77734375" style="37" customWidth="1"/>
    <col min="5630" max="5634" width="13" style="37" customWidth="1"/>
    <col min="5635" max="5635" width="14.5546875" style="37" customWidth="1"/>
    <col min="5636" max="5881" width="8.88671875" style="37"/>
    <col min="5882" max="5883" width="0" style="37" hidden="1" customWidth="1"/>
    <col min="5884" max="5884" width="16.77734375" style="37" customWidth="1"/>
    <col min="5885" max="5885" width="38.77734375" style="37" customWidth="1"/>
    <col min="5886" max="5890" width="13" style="37" customWidth="1"/>
    <col min="5891" max="5891" width="14.5546875" style="37" customWidth="1"/>
    <col min="5892" max="6137" width="8.88671875" style="37"/>
    <col min="6138" max="6139" width="0" style="37" hidden="1" customWidth="1"/>
    <col min="6140" max="6140" width="16.77734375" style="37" customWidth="1"/>
    <col min="6141" max="6141" width="38.77734375" style="37" customWidth="1"/>
    <col min="6142" max="6146" width="13" style="37" customWidth="1"/>
    <col min="6147" max="6147" width="14.5546875" style="37" customWidth="1"/>
    <col min="6148" max="6393" width="8.88671875" style="37"/>
    <col min="6394" max="6395" width="0" style="37" hidden="1" customWidth="1"/>
    <col min="6396" max="6396" width="16.77734375" style="37" customWidth="1"/>
    <col min="6397" max="6397" width="38.77734375" style="37" customWidth="1"/>
    <col min="6398" max="6402" width="13" style="37" customWidth="1"/>
    <col min="6403" max="6403" width="14.5546875" style="37" customWidth="1"/>
    <col min="6404" max="6649" width="8.88671875" style="37"/>
    <col min="6650" max="6651" width="0" style="37" hidden="1" customWidth="1"/>
    <col min="6652" max="6652" width="16.77734375" style="37" customWidth="1"/>
    <col min="6653" max="6653" width="38.77734375" style="37" customWidth="1"/>
    <col min="6654" max="6658" width="13" style="37" customWidth="1"/>
    <col min="6659" max="6659" width="14.5546875" style="37" customWidth="1"/>
    <col min="6660" max="6905" width="8.88671875" style="37"/>
    <col min="6906" max="6907" width="0" style="37" hidden="1" customWidth="1"/>
    <col min="6908" max="6908" width="16.77734375" style="37" customWidth="1"/>
    <col min="6909" max="6909" width="38.77734375" style="37" customWidth="1"/>
    <col min="6910" max="6914" width="13" style="37" customWidth="1"/>
    <col min="6915" max="6915" width="14.5546875" style="37" customWidth="1"/>
    <col min="6916" max="7161" width="8.88671875" style="37"/>
    <col min="7162" max="7163" width="0" style="37" hidden="1" customWidth="1"/>
    <col min="7164" max="7164" width="16.77734375" style="37" customWidth="1"/>
    <col min="7165" max="7165" width="38.77734375" style="37" customWidth="1"/>
    <col min="7166" max="7170" width="13" style="37" customWidth="1"/>
    <col min="7171" max="7171" width="14.5546875" style="37" customWidth="1"/>
    <col min="7172" max="7417" width="8.88671875" style="37"/>
    <col min="7418" max="7419" width="0" style="37" hidden="1" customWidth="1"/>
    <col min="7420" max="7420" width="16.77734375" style="37" customWidth="1"/>
    <col min="7421" max="7421" width="38.77734375" style="37" customWidth="1"/>
    <col min="7422" max="7426" width="13" style="37" customWidth="1"/>
    <col min="7427" max="7427" width="14.5546875" style="37" customWidth="1"/>
    <col min="7428" max="7673" width="8.88671875" style="37"/>
    <col min="7674" max="7675" width="0" style="37" hidden="1" customWidth="1"/>
    <col min="7676" max="7676" width="16.77734375" style="37" customWidth="1"/>
    <col min="7677" max="7677" width="38.77734375" style="37" customWidth="1"/>
    <col min="7678" max="7682" width="13" style="37" customWidth="1"/>
    <col min="7683" max="7683" width="14.5546875" style="37" customWidth="1"/>
    <col min="7684" max="7929" width="8.88671875" style="37"/>
    <col min="7930" max="7931" width="0" style="37" hidden="1" customWidth="1"/>
    <col min="7932" max="7932" width="16.77734375" style="37" customWidth="1"/>
    <col min="7933" max="7933" width="38.77734375" style="37" customWidth="1"/>
    <col min="7934" max="7938" width="13" style="37" customWidth="1"/>
    <col min="7939" max="7939" width="14.5546875" style="37" customWidth="1"/>
    <col min="7940" max="8185" width="8.88671875" style="37"/>
    <col min="8186" max="8187" width="0" style="37" hidden="1" customWidth="1"/>
    <col min="8188" max="8188" width="16.77734375" style="37" customWidth="1"/>
    <col min="8189" max="8189" width="38.77734375" style="37" customWidth="1"/>
    <col min="8190" max="8194" width="13" style="37" customWidth="1"/>
    <col min="8195" max="8195" width="14.5546875" style="37" customWidth="1"/>
    <col min="8196" max="8441" width="8.88671875" style="37"/>
    <col min="8442" max="8443" width="0" style="37" hidden="1" customWidth="1"/>
    <col min="8444" max="8444" width="16.77734375" style="37" customWidth="1"/>
    <col min="8445" max="8445" width="38.77734375" style="37" customWidth="1"/>
    <col min="8446" max="8450" width="13" style="37" customWidth="1"/>
    <col min="8451" max="8451" width="14.5546875" style="37" customWidth="1"/>
    <col min="8452" max="8697" width="8.88671875" style="37"/>
    <col min="8698" max="8699" width="0" style="37" hidden="1" customWidth="1"/>
    <col min="8700" max="8700" width="16.77734375" style="37" customWidth="1"/>
    <col min="8701" max="8701" width="38.77734375" style="37" customWidth="1"/>
    <col min="8702" max="8706" width="13" style="37" customWidth="1"/>
    <col min="8707" max="8707" width="14.5546875" style="37" customWidth="1"/>
    <col min="8708" max="8953" width="8.88671875" style="37"/>
    <col min="8954" max="8955" width="0" style="37" hidden="1" customWidth="1"/>
    <col min="8956" max="8956" width="16.77734375" style="37" customWidth="1"/>
    <col min="8957" max="8957" width="38.77734375" style="37" customWidth="1"/>
    <col min="8958" max="8962" width="13" style="37" customWidth="1"/>
    <col min="8963" max="8963" width="14.5546875" style="37" customWidth="1"/>
    <col min="8964" max="9209" width="8.88671875" style="37"/>
    <col min="9210" max="9211" width="0" style="37" hidden="1" customWidth="1"/>
    <col min="9212" max="9212" width="16.77734375" style="37" customWidth="1"/>
    <col min="9213" max="9213" width="38.77734375" style="37" customWidth="1"/>
    <col min="9214" max="9218" width="13" style="37" customWidth="1"/>
    <col min="9219" max="9219" width="14.5546875" style="37" customWidth="1"/>
    <col min="9220" max="9465" width="8.88671875" style="37"/>
    <col min="9466" max="9467" width="0" style="37" hidden="1" customWidth="1"/>
    <col min="9468" max="9468" width="16.77734375" style="37" customWidth="1"/>
    <col min="9469" max="9469" width="38.77734375" style="37" customWidth="1"/>
    <col min="9470" max="9474" width="13" style="37" customWidth="1"/>
    <col min="9475" max="9475" width="14.5546875" style="37" customWidth="1"/>
    <col min="9476" max="9721" width="8.88671875" style="37"/>
    <col min="9722" max="9723" width="0" style="37" hidden="1" customWidth="1"/>
    <col min="9724" max="9724" width="16.77734375" style="37" customWidth="1"/>
    <col min="9725" max="9725" width="38.77734375" style="37" customWidth="1"/>
    <col min="9726" max="9730" width="13" style="37" customWidth="1"/>
    <col min="9731" max="9731" width="14.5546875" style="37" customWidth="1"/>
    <col min="9732" max="9977" width="8.88671875" style="37"/>
    <col min="9978" max="9979" width="0" style="37" hidden="1" customWidth="1"/>
    <col min="9980" max="9980" width="16.77734375" style="37" customWidth="1"/>
    <col min="9981" max="9981" width="38.77734375" style="37" customWidth="1"/>
    <col min="9982" max="9986" width="13" style="37" customWidth="1"/>
    <col min="9987" max="9987" width="14.5546875" style="37" customWidth="1"/>
    <col min="9988" max="10233" width="8.88671875" style="37"/>
    <col min="10234" max="10235" width="0" style="37" hidden="1" customWidth="1"/>
    <col min="10236" max="10236" width="16.77734375" style="37" customWidth="1"/>
    <col min="10237" max="10237" width="38.77734375" style="37" customWidth="1"/>
    <col min="10238" max="10242" width="13" style="37" customWidth="1"/>
    <col min="10243" max="10243" width="14.5546875" style="37" customWidth="1"/>
    <col min="10244" max="10489" width="8.88671875" style="37"/>
    <col min="10490" max="10491" width="0" style="37" hidden="1" customWidth="1"/>
    <col min="10492" max="10492" width="16.77734375" style="37" customWidth="1"/>
    <col min="10493" max="10493" width="38.77734375" style="37" customWidth="1"/>
    <col min="10494" max="10498" width="13" style="37" customWidth="1"/>
    <col min="10499" max="10499" width="14.5546875" style="37" customWidth="1"/>
    <col min="10500" max="10745" width="8.88671875" style="37"/>
    <col min="10746" max="10747" width="0" style="37" hidden="1" customWidth="1"/>
    <col min="10748" max="10748" width="16.77734375" style="37" customWidth="1"/>
    <col min="10749" max="10749" width="38.77734375" style="37" customWidth="1"/>
    <col min="10750" max="10754" width="13" style="37" customWidth="1"/>
    <col min="10755" max="10755" width="14.5546875" style="37" customWidth="1"/>
    <col min="10756" max="11001" width="8.88671875" style="37"/>
    <col min="11002" max="11003" width="0" style="37" hidden="1" customWidth="1"/>
    <col min="11004" max="11004" width="16.77734375" style="37" customWidth="1"/>
    <col min="11005" max="11005" width="38.77734375" style="37" customWidth="1"/>
    <col min="11006" max="11010" width="13" style="37" customWidth="1"/>
    <col min="11011" max="11011" width="14.5546875" style="37" customWidth="1"/>
    <col min="11012" max="11257" width="8.88671875" style="37"/>
    <col min="11258" max="11259" width="0" style="37" hidden="1" customWidth="1"/>
    <col min="11260" max="11260" width="16.77734375" style="37" customWidth="1"/>
    <col min="11261" max="11261" width="38.77734375" style="37" customWidth="1"/>
    <col min="11262" max="11266" width="13" style="37" customWidth="1"/>
    <col min="11267" max="11267" width="14.5546875" style="37" customWidth="1"/>
    <col min="11268" max="11513" width="8.88671875" style="37"/>
    <col min="11514" max="11515" width="0" style="37" hidden="1" customWidth="1"/>
    <col min="11516" max="11516" width="16.77734375" style="37" customWidth="1"/>
    <col min="11517" max="11517" width="38.77734375" style="37" customWidth="1"/>
    <col min="11518" max="11522" width="13" style="37" customWidth="1"/>
    <col min="11523" max="11523" width="14.5546875" style="37" customWidth="1"/>
    <col min="11524" max="11769" width="8.88671875" style="37"/>
    <col min="11770" max="11771" width="0" style="37" hidden="1" customWidth="1"/>
    <col min="11772" max="11772" width="16.77734375" style="37" customWidth="1"/>
    <col min="11773" max="11773" width="38.77734375" style="37" customWidth="1"/>
    <col min="11774" max="11778" width="13" style="37" customWidth="1"/>
    <col min="11779" max="11779" width="14.5546875" style="37" customWidth="1"/>
    <col min="11780" max="12025" width="8.88671875" style="37"/>
    <col min="12026" max="12027" width="0" style="37" hidden="1" customWidth="1"/>
    <col min="12028" max="12028" width="16.77734375" style="37" customWidth="1"/>
    <col min="12029" max="12029" width="38.77734375" style="37" customWidth="1"/>
    <col min="12030" max="12034" width="13" style="37" customWidth="1"/>
    <col min="12035" max="12035" width="14.5546875" style="37" customWidth="1"/>
    <col min="12036" max="12281" width="8.88671875" style="37"/>
    <col min="12282" max="12283" width="0" style="37" hidden="1" customWidth="1"/>
    <col min="12284" max="12284" width="16.77734375" style="37" customWidth="1"/>
    <col min="12285" max="12285" width="38.77734375" style="37" customWidth="1"/>
    <col min="12286" max="12290" width="13" style="37" customWidth="1"/>
    <col min="12291" max="12291" width="14.5546875" style="37" customWidth="1"/>
    <col min="12292" max="12537" width="8.88671875" style="37"/>
    <col min="12538" max="12539" width="0" style="37" hidden="1" customWidth="1"/>
    <col min="12540" max="12540" width="16.77734375" style="37" customWidth="1"/>
    <col min="12541" max="12541" width="38.77734375" style="37" customWidth="1"/>
    <col min="12542" max="12546" width="13" style="37" customWidth="1"/>
    <col min="12547" max="12547" width="14.5546875" style="37" customWidth="1"/>
    <col min="12548" max="12793" width="8.88671875" style="37"/>
    <col min="12794" max="12795" width="0" style="37" hidden="1" customWidth="1"/>
    <col min="12796" max="12796" width="16.77734375" style="37" customWidth="1"/>
    <col min="12797" max="12797" width="38.77734375" style="37" customWidth="1"/>
    <col min="12798" max="12802" width="13" style="37" customWidth="1"/>
    <col min="12803" max="12803" width="14.5546875" style="37" customWidth="1"/>
    <col min="12804" max="13049" width="8.88671875" style="37"/>
    <col min="13050" max="13051" width="0" style="37" hidden="1" customWidth="1"/>
    <col min="13052" max="13052" width="16.77734375" style="37" customWidth="1"/>
    <col min="13053" max="13053" width="38.77734375" style="37" customWidth="1"/>
    <col min="13054" max="13058" width="13" style="37" customWidth="1"/>
    <col min="13059" max="13059" width="14.5546875" style="37" customWidth="1"/>
    <col min="13060" max="13305" width="8.88671875" style="37"/>
    <col min="13306" max="13307" width="0" style="37" hidden="1" customWidth="1"/>
    <col min="13308" max="13308" width="16.77734375" style="37" customWidth="1"/>
    <col min="13309" max="13309" width="38.77734375" style="37" customWidth="1"/>
    <col min="13310" max="13314" width="13" style="37" customWidth="1"/>
    <col min="13315" max="13315" width="14.5546875" style="37" customWidth="1"/>
    <col min="13316" max="13561" width="8.88671875" style="37"/>
    <col min="13562" max="13563" width="0" style="37" hidden="1" customWidth="1"/>
    <col min="13564" max="13564" width="16.77734375" style="37" customWidth="1"/>
    <col min="13565" max="13565" width="38.77734375" style="37" customWidth="1"/>
    <col min="13566" max="13570" width="13" style="37" customWidth="1"/>
    <col min="13571" max="13571" width="14.5546875" style="37" customWidth="1"/>
    <col min="13572" max="13817" width="8.88671875" style="37"/>
    <col min="13818" max="13819" width="0" style="37" hidden="1" customWidth="1"/>
    <col min="13820" max="13820" width="16.77734375" style="37" customWidth="1"/>
    <col min="13821" max="13821" width="38.77734375" style="37" customWidth="1"/>
    <col min="13822" max="13826" width="13" style="37" customWidth="1"/>
    <col min="13827" max="13827" width="14.5546875" style="37" customWidth="1"/>
    <col min="13828" max="14073" width="8.88671875" style="37"/>
    <col min="14074" max="14075" width="0" style="37" hidden="1" customWidth="1"/>
    <col min="14076" max="14076" width="16.77734375" style="37" customWidth="1"/>
    <col min="14077" max="14077" width="38.77734375" style="37" customWidth="1"/>
    <col min="14078" max="14082" width="13" style="37" customWidth="1"/>
    <col min="14083" max="14083" width="14.5546875" style="37" customWidth="1"/>
    <col min="14084" max="14329" width="8.88671875" style="37"/>
    <col min="14330" max="14331" width="0" style="37" hidden="1" customWidth="1"/>
    <col min="14332" max="14332" width="16.77734375" style="37" customWidth="1"/>
    <col min="14333" max="14333" width="38.77734375" style="37" customWidth="1"/>
    <col min="14334" max="14338" width="13" style="37" customWidth="1"/>
    <col min="14339" max="14339" width="14.5546875" style="37" customWidth="1"/>
    <col min="14340" max="14585" width="8.88671875" style="37"/>
    <col min="14586" max="14587" width="0" style="37" hidden="1" customWidth="1"/>
    <col min="14588" max="14588" width="16.77734375" style="37" customWidth="1"/>
    <col min="14589" max="14589" width="38.77734375" style="37" customWidth="1"/>
    <col min="14590" max="14594" width="13" style="37" customWidth="1"/>
    <col min="14595" max="14595" width="14.5546875" style="37" customWidth="1"/>
    <col min="14596" max="14841" width="8.88671875" style="37"/>
    <col min="14842" max="14843" width="0" style="37" hidden="1" customWidth="1"/>
    <col min="14844" max="14844" width="16.77734375" style="37" customWidth="1"/>
    <col min="14845" max="14845" width="38.77734375" style="37" customWidth="1"/>
    <col min="14846" max="14850" width="13" style="37" customWidth="1"/>
    <col min="14851" max="14851" width="14.5546875" style="37" customWidth="1"/>
    <col min="14852" max="15097" width="8.88671875" style="37"/>
    <col min="15098" max="15099" width="0" style="37" hidden="1" customWidth="1"/>
    <col min="15100" max="15100" width="16.77734375" style="37" customWidth="1"/>
    <col min="15101" max="15101" width="38.77734375" style="37" customWidth="1"/>
    <col min="15102" max="15106" width="13" style="37" customWidth="1"/>
    <col min="15107" max="15107" width="14.5546875" style="37" customWidth="1"/>
    <col min="15108" max="15353" width="8.88671875" style="37"/>
    <col min="15354" max="15355" width="0" style="37" hidden="1" customWidth="1"/>
    <col min="15356" max="15356" width="16.77734375" style="37" customWidth="1"/>
    <col min="15357" max="15357" width="38.77734375" style="37" customWidth="1"/>
    <col min="15358" max="15362" width="13" style="37" customWidth="1"/>
    <col min="15363" max="15363" width="14.5546875" style="37" customWidth="1"/>
    <col min="15364" max="15609" width="8.88671875" style="37"/>
    <col min="15610" max="15611" width="0" style="37" hidden="1" customWidth="1"/>
    <col min="15612" max="15612" width="16.77734375" style="37" customWidth="1"/>
    <col min="15613" max="15613" width="38.77734375" style="37" customWidth="1"/>
    <col min="15614" max="15618" width="13" style="37" customWidth="1"/>
    <col min="15619" max="15619" width="14.5546875" style="37" customWidth="1"/>
    <col min="15620" max="15865" width="8.88671875" style="37"/>
    <col min="15866" max="15867" width="0" style="37" hidden="1" customWidth="1"/>
    <col min="15868" max="15868" width="16.77734375" style="37" customWidth="1"/>
    <col min="15869" max="15869" width="38.77734375" style="37" customWidth="1"/>
    <col min="15870" max="15874" width="13" style="37" customWidth="1"/>
    <col min="15875" max="15875" width="14.5546875" style="37" customWidth="1"/>
    <col min="15876" max="16121" width="8.88671875" style="37"/>
    <col min="16122" max="16123" width="0" style="37" hidden="1" customWidth="1"/>
    <col min="16124" max="16124" width="16.77734375" style="37" customWidth="1"/>
    <col min="16125" max="16125" width="38.77734375" style="37" customWidth="1"/>
    <col min="16126" max="16130" width="13" style="37" customWidth="1"/>
    <col min="16131" max="16131" width="14.5546875" style="37" customWidth="1"/>
    <col min="16132" max="16384" width="8.88671875" style="37"/>
  </cols>
  <sheetData>
    <row r="1" spans="1:23" ht="24.95" customHeight="1" x14ac:dyDescent="0.25">
      <c r="A1" s="600"/>
      <c r="B1" s="600"/>
      <c r="C1" s="601" t="s">
        <v>6</v>
      </c>
      <c r="D1" s="602" t="str">
        <f>IF(Info!$B$7=""," ",Info!$B$7)</f>
        <v>ABC Mental Health Center</v>
      </c>
      <c r="E1" s="603"/>
      <c r="F1" s="603"/>
      <c r="G1" s="604"/>
      <c r="H1" s="604"/>
      <c r="I1" s="604"/>
      <c r="J1" s="604"/>
      <c r="K1" s="604"/>
      <c r="L1" s="604"/>
    </row>
    <row r="2" spans="1:23" ht="24.95" customHeight="1" x14ac:dyDescent="0.25">
      <c r="A2" s="600"/>
      <c r="B2" s="600"/>
      <c r="C2" s="601" t="s">
        <v>783</v>
      </c>
      <c r="D2" s="1501" t="str">
        <f>IF(Info!$B$8=""," ",Info!$B$8)</f>
        <v>00100</v>
      </c>
      <c r="E2" s="605"/>
      <c r="F2" s="605"/>
      <c r="G2" s="604"/>
      <c r="H2" s="604"/>
      <c r="I2" s="604"/>
      <c r="J2" s="604"/>
      <c r="K2" s="604"/>
      <c r="L2" s="604"/>
    </row>
    <row r="3" spans="1:23" ht="24.95" customHeight="1" x14ac:dyDescent="0.25">
      <c r="A3" s="600"/>
      <c r="B3" s="1500"/>
      <c r="C3" s="1549" t="s">
        <v>2059</v>
      </c>
      <c r="D3" s="605"/>
      <c r="E3" s="603"/>
      <c r="F3" s="603"/>
      <c r="G3" s="603"/>
      <c r="H3" s="603"/>
      <c r="I3" s="604"/>
      <c r="J3" s="604"/>
      <c r="K3" s="604"/>
      <c r="L3" s="604"/>
    </row>
    <row r="4" spans="1:23" ht="24.95" customHeight="1" x14ac:dyDescent="0.2">
      <c r="A4" s="600"/>
      <c r="B4" s="600"/>
      <c r="C4" s="1550" t="s">
        <v>784</v>
      </c>
      <c r="D4" s="604"/>
      <c r="E4" s="604"/>
      <c r="F4" s="604"/>
      <c r="G4" s="604"/>
      <c r="H4" s="604"/>
      <c r="I4" s="604"/>
      <c r="J4" s="604"/>
      <c r="K4" s="604"/>
      <c r="L4" s="604"/>
    </row>
    <row r="5" spans="1:23" ht="24.95" customHeight="1" thickBot="1" x14ac:dyDescent="0.25">
      <c r="A5" s="600"/>
      <c r="B5" s="600"/>
      <c r="C5" s="604"/>
      <c r="D5" s="604"/>
      <c r="E5" s="604"/>
      <c r="F5" s="604"/>
      <c r="G5" s="604"/>
      <c r="H5" s="604"/>
      <c r="I5" s="604"/>
      <c r="J5" s="604"/>
      <c r="K5" s="604"/>
      <c r="L5" s="604"/>
      <c r="O5" s="585"/>
    </row>
    <row r="6" spans="1:23" ht="24.95" customHeight="1" x14ac:dyDescent="0.25">
      <c r="A6" s="600"/>
      <c r="B6" s="600"/>
      <c r="C6" s="606"/>
      <c r="D6" s="607"/>
      <c r="E6" s="607"/>
      <c r="F6" s="608"/>
      <c r="G6" s="1931" t="s">
        <v>785</v>
      </c>
      <c r="H6" s="1932"/>
      <c r="I6" s="1932"/>
      <c r="J6" s="1932"/>
      <c r="K6" s="1932"/>
      <c r="L6" s="1933"/>
      <c r="N6" s="1502" t="s">
        <v>786</v>
      </c>
      <c r="O6" s="1503"/>
      <c r="P6" s="1504"/>
      <c r="R6" s="1925" t="s">
        <v>964</v>
      </c>
      <c r="S6" s="1926"/>
      <c r="T6" s="1926"/>
      <c r="U6" s="1926"/>
      <c r="V6" s="1926"/>
      <c r="W6" s="1927"/>
    </row>
    <row r="7" spans="1:23" ht="24.95" customHeight="1" thickBot="1" x14ac:dyDescent="0.3">
      <c r="A7" s="600"/>
      <c r="B7" s="600"/>
      <c r="C7" s="1934" t="s">
        <v>787</v>
      </c>
      <c r="D7" s="1935"/>
      <c r="E7" s="1188"/>
      <c r="F7" s="609"/>
      <c r="G7" s="610" t="s">
        <v>788</v>
      </c>
      <c r="H7" s="611" t="s">
        <v>789</v>
      </c>
      <c r="I7" s="611" t="s">
        <v>790</v>
      </c>
      <c r="J7" s="611" t="s">
        <v>791</v>
      </c>
      <c r="K7" s="609" t="s">
        <v>792</v>
      </c>
      <c r="L7" s="612" t="s">
        <v>258</v>
      </c>
      <c r="N7" s="1508" t="s">
        <v>793</v>
      </c>
      <c r="O7" s="1509" t="s">
        <v>794</v>
      </c>
      <c r="P7" s="1510" t="s">
        <v>795</v>
      </c>
      <c r="R7" s="1511" t="s">
        <v>788</v>
      </c>
      <c r="S7" s="1506" t="s">
        <v>789</v>
      </c>
      <c r="T7" s="1506" t="s">
        <v>790</v>
      </c>
      <c r="U7" s="1506" t="s">
        <v>791</v>
      </c>
      <c r="V7" s="1505" t="s">
        <v>792</v>
      </c>
      <c r="W7" s="1507" t="s">
        <v>258</v>
      </c>
    </row>
    <row r="8" spans="1:23" ht="24.95" customHeight="1" x14ac:dyDescent="0.2">
      <c r="A8" s="600"/>
      <c r="B8" s="600"/>
      <c r="C8" s="1936" t="s">
        <v>797</v>
      </c>
      <c r="D8" s="1937"/>
      <c r="E8" s="1937"/>
      <c r="F8" s="1937"/>
      <c r="G8" s="1937"/>
      <c r="H8" s="1937"/>
      <c r="I8" s="1937"/>
      <c r="J8" s="1937"/>
      <c r="K8" s="1937"/>
      <c r="L8" s="1938"/>
      <c r="N8" s="1512"/>
      <c r="O8" s="1513"/>
      <c r="P8" s="1514"/>
      <c r="R8" s="1515"/>
      <c r="S8" s="1516"/>
      <c r="T8" s="1516"/>
      <c r="U8" s="1516"/>
      <c r="V8" s="1516"/>
      <c r="W8" s="1504"/>
    </row>
    <row r="9" spans="1:23" s="587" customFormat="1" ht="24.95" customHeight="1" x14ac:dyDescent="0.25">
      <c r="A9" s="613" t="s">
        <v>798</v>
      </c>
      <c r="B9" s="614" t="s">
        <v>934</v>
      </c>
      <c r="C9" s="615" t="s">
        <v>799</v>
      </c>
      <c r="D9" s="616"/>
      <c r="E9" s="616"/>
      <c r="F9" s="616"/>
      <c r="G9" s="1551"/>
      <c r="H9" s="1552"/>
      <c r="I9" s="1552"/>
      <c r="J9" s="1552"/>
      <c r="K9" s="1553">
        <f>586480-287000</f>
        <v>299480</v>
      </c>
      <c r="L9" s="617">
        <f t="shared" ref="L9:L35" si="0">SUM(G9:K9)</f>
        <v>299480</v>
      </c>
      <c r="N9" s="588"/>
      <c r="O9" s="589"/>
      <c r="P9" s="1519">
        <f>IF(L9+N9&gt;O9,O9-L9-N9,0)</f>
        <v>-299480</v>
      </c>
      <c r="R9" s="1520">
        <f>IFERROR(G9-$P9*(G9/$L9),0)</f>
        <v>0</v>
      </c>
      <c r="S9" s="41">
        <f>IFERROR(H9-$P9*(H9/$L9),0)</f>
        <v>0</v>
      </c>
      <c r="T9" s="41">
        <f>IFERROR(I9-$P9*(I9/$L9),0)</f>
        <v>0</v>
      </c>
      <c r="U9" s="41">
        <f>IFERROR(J9-$P9*(J9/$L9),0)</f>
        <v>0</v>
      </c>
      <c r="V9" s="38">
        <f>IFERROR(K9-$P9*(K9/$L9),0)</f>
        <v>598960</v>
      </c>
      <c r="W9" s="1518">
        <f t="shared" ref="W9:W35" si="1">SUM(R9:V9)</f>
        <v>598960</v>
      </c>
    </row>
    <row r="10" spans="1:23" s="587" customFormat="1" ht="24.95" customHeight="1" x14ac:dyDescent="0.25">
      <c r="A10" s="613" t="s">
        <v>800</v>
      </c>
      <c r="B10" s="614" t="s">
        <v>935</v>
      </c>
      <c r="C10" s="619" t="s">
        <v>801</v>
      </c>
      <c r="D10" s="620"/>
      <c r="E10" s="621"/>
      <c r="F10" s="621"/>
      <c r="G10" s="1554"/>
      <c r="H10" s="1555"/>
      <c r="I10" s="1555"/>
      <c r="J10" s="1555"/>
      <c r="K10" s="1556"/>
      <c r="L10" s="622">
        <f t="shared" si="0"/>
        <v>0</v>
      </c>
      <c r="N10" s="52"/>
      <c r="O10" s="50"/>
      <c r="P10" s="1522">
        <f>IF(L10+N10&gt;O10,O10-L10-N10,0)</f>
        <v>0</v>
      </c>
      <c r="R10" s="1523">
        <f t="shared" ref="R10:R35" si="2">IFERROR(G10-$P10*(G10/$L10),0)</f>
        <v>0</v>
      </c>
      <c r="S10" s="42">
        <f t="shared" ref="S10:S35" si="3">IFERROR(H10-$P10*(H10/$L10),0)</f>
        <v>0</v>
      </c>
      <c r="T10" s="42">
        <f t="shared" ref="T10:T35" si="4">IFERROR(I10-$P10*(I10/$L10),0)</f>
        <v>0</v>
      </c>
      <c r="U10" s="42">
        <f t="shared" ref="U10:U35" si="5">IFERROR(J10-$P10*(J10/$L10),0)</f>
        <v>0</v>
      </c>
      <c r="V10" s="39">
        <f t="shared" ref="V10:V35" si="6">IFERROR(K10-$P10*(K10/$L10),0)</f>
        <v>0</v>
      </c>
      <c r="W10" s="1521">
        <f t="shared" si="1"/>
        <v>0</v>
      </c>
    </row>
    <row r="11" spans="1:23" s="587" customFormat="1" ht="24.95" customHeight="1" x14ac:dyDescent="0.25">
      <c r="A11" s="613" t="s">
        <v>802</v>
      </c>
      <c r="B11" s="614" t="s">
        <v>936</v>
      </c>
      <c r="C11" s="623" t="s">
        <v>862</v>
      </c>
      <c r="D11" s="620"/>
      <c r="E11" s="621"/>
      <c r="F11" s="621"/>
      <c r="G11" s="1554"/>
      <c r="H11" s="1555"/>
      <c r="I11" s="1555"/>
      <c r="J11" s="1555"/>
      <c r="K11" s="1556"/>
      <c r="L11" s="622">
        <f t="shared" si="0"/>
        <v>0</v>
      </c>
      <c r="N11" s="52"/>
      <c r="O11" s="50"/>
      <c r="P11" s="1522">
        <f t="shared" ref="P11:P35" si="7">IF(L11+N11&gt;O11,O11-L11-N11,0)</f>
        <v>0</v>
      </c>
      <c r="R11" s="1523">
        <f t="shared" si="2"/>
        <v>0</v>
      </c>
      <c r="S11" s="42">
        <f t="shared" si="3"/>
        <v>0</v>
      </c>
      <c r="T11" s="42">
        <f t="shared" si="4"/>
        <v>0</v>
      </c>
      <c r="U11" s="42">
        <f t="shared" si="5"/>
        <v>0</v>
      </c>
      <c r="V11" s="39">
        <f t="shared" si="6"/>
        <v>0</v>
      </c>
      <c r="W11" s="1521">
        <f t="shared" si="1"/>
        <v>0</v>
      </c>
    </row>
    <row r="12" spans="1:23" s="587" customFormat="1" ht="24.95" customHeight="1" x14ac:dyDescent="0.25">
      <c r="A12" s="613" t="s">
        <v>803</v>
      </c>
      <c r="B12" s="614" t="s">
        <v>937</v>
      </c>
      <c r="C12" s="623" t="s">
        <v>804</v>
      </c>
      <c r="D12" s="621"/>
      <c r="E12" s="621"/>
      <c r="F12" s="621"/>
      <c r="G12" s="1554">
        <v>66758</v>
      </c>
      <c r="H12" s="1555"/>
      <c r="I12" s="1555"/>
      <c r="J12" s="1555"/>
      <c r="K12" s="1556"/>
      <c r="L12" s="622">
        <f t="shared" si="0"/>
        <v>66758</v>
      </c>
      <c r="N12" s="52"/>
      <c r="O12" s="50"/>
      <c r="P12" s="1522">
        <f t="shared" si="7"/>
        <v>-66758</v>
      </c>
      <c r="R12" s="1523">
        <f t="shared" si="2"/>
        <v>133516</v>
      </c>
      <c r="S12" s="42">
        <f t="shared" si="3"/>
        <v>0</v>
      </c>
      <c r="T12" s="42">
        <f t="shared" si="4"/>
        <v>0</v>
      </c>
      <c r="U12" s="42">
        <f t="shared" si="5"/>
        <v>0</v>
      </c>
      <c r="V12" s="39">
        <f t="shared" si="6"/>
        <v>0</v>
      </c>
      <c r="W12" s="1521">
        <f t="shared" si="1"/>
        <v>133516</v>
      </c>
    </row>
    <row r="13" spans="1:23" s="587" customFormat="1" ht="24.95" customHeight="1" x14ac:dyDescent="0.25">
      <c r="A13" s="613" t="s">
        <v>805</v>
      </c>
      <c r="B13" s="614" t="s">
        <v>938</v>
      </c>
      <c r="C13" s="619" t="s">
        <v>806</v>
      </c>
      <c r="D13" s="621"/>
      <c r="E13" s="621"/>
      <c r="F13" s="621"/>
      <c r="G13" s="1554"/>
      <c r="H13" s="1555"/>
      <c r="I13" s="1555"/>
      <c r="J13" s="1555"/>
      <c r="K13" s="1556"/>
      <c r="L13" s="622">
        <f t="shared" si="0"/>
        <v>0</v>
      </c>
      <c r="N13" s="52"/>
      <c r="O13" s="50"/>
      <c r="P13" s="1522">
        <f t="shared" si="7"/>
        <v>0</v>
      </c>
      <c r="R13" s="1523">
        <f t="shared" si="2"/>
        <v>0</v>
      </c>
      <c r="S13" s="42">
        <f t="shared" si="3"/>
        <v>0</v>
      </c>
      <c r="T13" s="42">
        <f t="shared" si="4"/>
        <v>0</v>
      </c>
      <c r="U13" s="42">
        <f t="shared" si="5"/>
        <v>0</v>
      </c>
      <c r="V13" s="39">
        <f t="shared" si="6"/>
        <v>0</v>
      </c>
      <c r="W13" s="1521">
        <f t="shared" si="1"/>
        <v>0</v>
      </c>
    </row>
    <row r="14" spans="1:23" s="587" customFormat="1" ht="24.95" customHeight="1" x14ac:dyDescent="0.25">
      <c r="A14" s="613" t="s">
        <v>807</v>
      </c>
      <c r="B14" s="614" t="s">
        <v>939</v>
      </c>
      <c r="C14" s="619" t="s">
        <v>808</v>
      </c>
      <c r="D14" s="621"/>
      <c r="E14" s="621"/>
      <c r="F14" s="621"/>
      <c r="G14" s="1554"/>
      <c r="H14" s="1555"/>
      <c r="I14" s="1555"/>
      <c r="J14" s="1555"/>
      <c r="K14" s="1556"/>
      <c r="L14" s="622">
        <f t="shared" si="0"/>
        <v>0</v>
      </c>
      <c r="N14" s="52"/>
      <c r="O14" s="50"/>
      <c r="P14" s="1522">
        <f t="shared" si="7"/>
        <v>0</v>
      </c>
      <c r="R14" s="1524">
        <f t="shared" si="2"/>
        <v>0</v>
      </c>
      <c r="S14" s="43">
        <f t="shared" si="3"/>
        <v>0</v>
      </c>
      <c r="T14" s="43">
        <f t="shared" si="4"/>
        <v>0</v>
      </c>
      <c r="U14" s="43">
        <f t="shared" si="5"/>
        <v>0</v>
      </c>
      <c r="V14" s="40">
        <f t="shared" si="6"/>
        <v>0</v>
      </c>
      <c r="W14" s="1521">
        <f t="shared" si="1"/>
        <v>0</v>
      </c>
    </row>
    <row r="15" spans="1:23" s="587" customFormat="1" ht="24.95" customHeight="1" x14ac:dyDescent="0.25">
      <c r="A15" s="613" t="s">
        <v>913</v>
      </c>
      <c r="B15" s="614" t="s">
        <v>940</v>
      </c>
      <c r="C15" s="619" t="s">
        <v>863</v>
      </c>
      <c r="D15" s="621"/>
      <c r="E15" s="621"/>
      <c r="F15" s="621"/>
      <c r="G15" s="1554"/>
      <c r="H15" s="1555"/>
      <c r="I15" s="1555"/>
      <c r="J15" s="1555"/>
      <c r="K15" s="1556"/>
      <c r="L15" s="622">
        <f t="shared" si="0"/>
        <v>0</v>
      </c>
      <c r="N15" s="52"/>
      <c r="O15" s="50"/>
      <c r="P15" s="1522">
        <f t="shared" si="7"/>
        <v>0</v>
      </c>
      <c r="R15" s="1524">
        <f t="shared" si="2"/>
        <v>0</v>
      </c>
      <c r="S15" s="43">
        <f t="shared" si="3"/>
        <v>0</v>
      </c>
      <c r="T15" s="43">
        <f t="shared" si="4"/>
        <v>0</v>
      </c>
      <c r="U15" s="43">
        <f t="shared" si="5"/>
        <v>0</v>
      </c>
      <c r="V15" s="40">
        <f t="shared" si="6"/>
        <v>0</v>
      </c>
      <c r="W15" s="1521">
        <f t="shared" si="1"/>
        <v>0</v>
      </c>
    </row>
    <row r="16" spans="1:23" s="587" customFormat="1" ht="24.95" customHeight="1" x14ac:dyDescent="0.25">
      <c r="A16" s="613" t="s">
        <v>927</v>
      </c>
      <c r="B16" s="614" t="s">
        <v>941</v>
      </c>
      <c r="C16" s="619" t="s">
        <v>864</v>
      </c>
      <c r="D16" s="621"/>
      <c r="E16" s="621"/>
      <c r="F16" s="621"/>
      <c r="G16" s="1554"/>
      <c r="H16" s="1555"/>
      <c r="I16" s="1555"/>
      <c r="J16" s="1555"/>
      <c r="K16" s="1556"/>
      <c r="L16" s="622">
        <f t="shared" si="0"/>
        <v>0</v>
      </c>
      <c r="N16" s="52"/>
      <c r="O16" s="50"/>
      <c r="P16" s="1522">
        <f t="shared" si="7"/>
        <v>0</v>
      </c>
      <c r="R16" s="1524">
        <f t="shared" si="2"/>
        <v>0</v>
      </c>
      <c r="S16" s="43">
        <f t="shared" si="3"/>
        <v>0</v>
      </c>
      <c r="T16" s="43">
        <f t="shared" si="4"/>
        <v>0</v>
      </c>
      <c r="U16" s="43">
        <f t="shared" si="5"/>
        <v>0</v>
      </c>
      <c r="V16" s="40">
        <f t="shared" si="6"/>
        <v>0</v>
      </c>
      <c r="W16" s="1521">
        <f t="shared" si="1"/>
        <v>0</v>
      </c>
    </row>
    <row r="17" spans="1:23" s="587" customFormat="1" ht="24.95" customHeight="1" x14ac:dyDescent="0.25">
      <c r="A17" s="613" t="s">
        <v>926</v>
      </c>
      <c r="B17" s="614" t="s">
        <v>942</v>
      </c>
      <c r="C17" s="619" t="s">
        <v>865</v>
      </c>
      <c r="D17" s="621"/>
      <c r="E17" s="621"/>
      <c r="F17" s="621"/>
      <c r="G17" s="1554"/>
      <c r="H17" s="1555"/>
      <c r="I17" s="1555"/>
      <c r="J17" s="1555"/>
      <c r="K17" s="1556"/>
      <c r="L17" s="622">
        <f t="shared" si="0"/>
        <v>0</v>
      </c>
      <c r="N17" s="52"/>
      <c r="O17" s="50"/>
      <c r="P17" s="1522">
        <f t="shared" si="7"/>
        <v>0</v>
      </c>
      <c r="R17" s="1524">
        <f t="shared" si="2"/>
        <v>0</v>
      </c>
      <c r="S17" s="43">
        <f t="shared" si="3"/>
        <v>0</v>
      </c>
      <c r="T17" s="43">
        <f t="shared" si="4"/>
        <v>0</v>
      </c>
      <c r="U17" s="43">
        <f t="shared" si="5"/>
        <v>0</v>
      </c>
      <c r="V17" s="40">
        <f t="shared" si="6"/>
        <v>0</v>
      </c>
      <c r="W17" s="1521">
        <f t="shared" si="1"/>
        <v>0</v>
      </c>
    </row>
    <row r="18" spans="1:23" s="587" customFormat="1" ht="24.95" customHeight="1" x14ac:dyDescent="0.25">
      <c r="A18" s="613" t="s">
        <v>926</v>
      </c>
      <c r="B18" s="614" t="s">
        <v>943</v>
      </c>
      <c r="C18" s="619" t="s">
        <v>866</v>
      </c>
      <c r="D18" s="621"/>
      <c r="E18" s="621"/>
      <c r="F18" s="621"/>
      <c r="G18" s="1554"/>
      <c r="H18" s="1555"/>
      <c r="I18" s="1555"/>
      <c r="J18" s="1555"/>
      <c r="K18" s="1556"/>
      <c r="L18" s="622">
        <f t="shared" si="0"/>
        <v>0</v>
      </c>
      <c r="N18" s="52"/>
      <c r="O18" s="50"/>
      <c r="P18" s="1522">
        <f t="shared" si="7"/>
        <v>0</v>
      </c>
      <c r="R18" s="1524">
        <f t="shared" si="2"/>
        <v>0</v>
      </c>
      <c r="S18" s="43">
        <f t="shared" si="3"/>
        <v>0</v>
      </c>
      <c r="T18" s="43">
        <f t="shared" si="4"/>
        <v>0</v>
      </c>
      <c r="U18" s="43">
        <f t="shared" si="5"/>
        <v>0</v>
      </c>
      <c r="V18" s="40">
        <f t="shared" si="6"/>
        <v>0</v>
      </c>
      <c r="W18" s="1521">
        <f t="shared" si="1"/>
        <v>0</v>
      </c>
    </row>
    <row r="19" spans="1:23" s="587" customFormat="1" ht="24.95" customHeight="1" x14ac:dyDescent="0.25">
      <c r="A19" s="613" t="s">
        <v>919</v>
      </c>
      <c r="B19" s="614" t="s">
        <v>944</v>
      </c>
      <c r="C19" s="619" t="s">
        <v>867</v>
      </c>
      <c r="D19" s="621"/>
      <c r="E19" s="621"/>
      <c r="F19" s="621"/>
      <c r="G19" s="1554"/>
      <c r="H19" s="1555"/>
      <c r="I19" s="1555"/>
      <c r="J19" s="1555"/>
      <c r="K19" s="1556"/>
      <c r="L19" s="622">
        <f t="shared" si="0"/>
        <v>0</v>
      </c>
      <c r="N19" s="52"/>
      <c r="O19" s="50"/>
      <c r="P19" s="1522">
        <f t="shared" si="7"/>
        <v>0</v>
      </c>
      <c r="R19" s="1524">
        <f t="shared" si="2"/>
        <v>0</v>
      </c>
      <c r="S19" s="43">
        <f t="shared" si="3"/>
        <v>0</v>
      </c>
      <c r="T19" s="43">
        <f t="shared" si="4"/>
        <v>0</v>
      </c>
      <c r="U19" s="43">
        <f t="shared" si="5"/>
        <v>0</v>
      </c>
      <c r="V19" s="40">
        <f t="shared" si="6"/>
        <v>0</v>
      </c>
      <c r="W19" s="1521">
        <f t="shared" si="1"/>
        <v>0</v>
      </c>
    </row>
    <row r="20" spans="1:23" s="587" customFormat="1" ht="24.95" customHeight="1" x14ac:dyDescent="0.25">
      <c r="A20" s="613" t="s">
        <v>809</v>
      </c>
      <c r="B20" s="614" t="s">
        <v>945</v>
      </c>
      <c r="C20" s="619" t="s">
        <v>810</v>
      </c>
      <c r="D20" s="621"/>
      <c r="E20" s="621"/>
      <c r="F20" s="621"/>
      <c r="G20" s="1554"/>
      <c r="H20" s="1555"/>
      <c r="I20" s="1555"/>
      <c r="J20" s="1555"/>
      <c r="K20" s="1556"/>
      <c r="L20" s="622">
        <f t="shared" si="0"/>
        <v>0</v>
      </c>
      <c r="N20" s="52"/>
      <c r="O20" s="50"/>
      <c r="P20" s="1522">
        <f t="shared" si="7"/>
        <v>0</v>
      </c>
      <c r="R20" s="1523">
        <f t="shared" si="2"/>
        <v>0</v>
      </c>
      <c r="S20" s="42">
        <f t="shared" si="3"/>
        <v>0</v>
      </c>
      <c r="T20" s="42">
        <f t="shared" si="4"/>
        <v>0</v>
      </c>
      <c r="U20" s="42">
        <f t="shared" si="5"/>
        <v>0</v>
      </c>
      <c r="V20" s="39">
        <f t="shared" si="6"/>
        <v>0</v>
      </c>
      <c r="W20" s="1521">
        <f t="shared" si="1"/>
        <v>0</v>
      </c>
    </row>
    <row r="21" spans="1:23" s="587" customFormat="1" ht="24.95" customHeight="1" x14ac:dyDescent="0.25">
      <c r="A21" s="613" t="s">
        <v>809</v>
      </c>
      <c r="B21" s="614" t="s">
        <v>946</v>
      </c>
      <c r="C21" s="619" t="s">
        <v>868</v>
      </c>
      <c r="D21" s="621"/>
      <c r="E21" s="621"/>
      <c r="F21" s="621"/>
      <c r="G21" s="1554"/>
      <c r="H21" s="1555"/>
      <c r="I21" s="1555"/>
      <c r="J21" s="1555"/>
      <c r="K21" s="1556"/>
      <c r="L21" s="622">
        <f t="shared" si="0"/>
        <v>0</v>
      </c>
      <c r="N21" s="52"/>
      <c r="O21" s="50"/>
      <c r="P21" s="1522">
        <f t="shared" si="7"/>
        <v>0</v>
      </c>
      <c r="R21" s="1523">
        <f t="shared" si="2"/>
        <v>0</v>
      </c>
      <c r="S21" s="42">
        <f t="shared" si="3"/>
        <v>0</v>
      </c>
      <c r="T21" s="42">
        <f t="shared" si="4"/>
        <v>0</v>
      </c>
      <c r="U21" s="42">
        <f t="shared" si="5"/>
        <v>0</v>
      </c>
      <c r="V21" s="39">
        <f t="shared" si="6"/>
        <v>0</v>
      </c>
      <c r="W21" s="1521">
        <f t="shared" si="1"/>
        <v>0</v>
      </c>
    </row>
    <row r="22" spans="1:23" s="587" customFormat="1" ht="24.95" customHeight="1" x14ac:dyDescent="0.25">
      <c r="A22" s="613" t="s">
        <v>811</v>
      </c>
      <c r="B22" s="624" t="s">
        <v>813</v>
      </c>
      <c r="C22" s="619" t="s">
        <v>2060</v>
      </c>
      <c r="D22" s="621"/>
      <c r="E22" s="621"/>
      <c r="F22" s="621"/>
      <c r="G22" s="1554"/>
      <c r="H22" s="1555"/>
      <c r="I22" s="1555"/>
      <c r="J22" s="1555"/>
      <c r="K22" s="1556"/>
      <c r="L22" s="622">
        <f t="shared" si="0"/>
        <v>0</v>
      </c>
      <c r="N22" s="52"/>
      <c r="O22" s="50"/>
      <c r="P22" s="1522">
        <f t="shared" si="7"/>
        <v>0</v>
      </c>
      <c r="R22" s="1523">
        <f t="shared" si="2"/>
        <v>0</v>
      </c>
      <c r="S22" s="42">
        <f t="shared" si="3"/>
        <v>0</v>
      </c>
      <c r="T22" s="42">
        <f t="shared" si="4"/>
        <v>0</v>
      </c>
      <c r="U22" s="42">
        <f t="shared" si="5"/>
        <v>0</v>
      </c>
      <c r="V22" s="39">
        <f t="shared" si="6"/>
        <v>0</v>
      </c>
      <c r="W22" s="1521">
        <f t="shared" si="1"/>
        <v>0</v>
      </c>
    </row>
    <row r="23" spans="1:23" s="587" customFormat="1" ht="24.95" customHeight="1" x14ac:dyDescent="0.25">
      <c r="A23" s="613" t="s">
        <v>811</v>
      </c>
      <c r="B23" s="614" t="s">
        <v>948</v>
      </c>
      <c r="C23" s="619" t="s">
        <v>812</v>
      </c>
      <c r="D23" s="621"/>
      <c r="E23" s="621"/>
      <c r="F23" s="621"/>
      <c r="G23" s="1554">
        <v>677000</v>
      </c>
      <c r="H23" s="1555">
        <v>1050</v>
      </c>
      <c r="I23" s="1555">
        <v>45294</v>
      </c>
      <c r="J23" s="1555"/>
      <c r="K23" s="1556">
        <v>3334</v>
      </c>
      <c r="L23" s="622">
        <f t="shared" si="0"/>
        <v>726678</v>
      </c>
      <c r="N23" s="52"/>
      <c r="O23" s="50"/>
      <c r="P23" s="1522">
        <f t="shared" si="7"/>
        <v>-726678</v>
      </c>
      <c r="R23" s="1523">
        <f t="shared" si="2"/>
        <v>1354000</v>
      </c>
      <c r="S23" s="42">
        <f t="shared" si="3"/>
        <v>2100</v>
      </c>
      <c r="T23" s="42">
        <f t="shared" si="4"/>
        <v>90588</v>
      </c>
      <c r="U23" s="42">
        <f t="shared" si="5"/>
        <v>0</v>
      </c>
      <c r="V23" s="39">
        <f t="shared" si="6"/>
        <v>6668</v>
      </c>
      <c r="W23" s="1521">
        <f t="shared" si="1"/>
        <v>1453356</v>
      </c>
    </row>
    <row r="24" spans="1:23" s="587" customFormat="1" ht="24.95" customHeight="1" x14ac:dyDescent="0.25">
      <c r="A24" s="613" t="s">
        <v>811</v>
      </c>
      <c r="B24" s="614" t="s">
        <v>949</v>
      </c>
      <c r="C24" s="619" t="s">
        <v>869</v>
      </c>
      <c r="D24" s="621"/>
      <c r="E24" s="621"/>
      <c r="F24" s="621"/>
      <c r="G24" s="1554"/>
      <c r="H24" s="1555"/>
      <c r="I24" s="1555"/>
      <c r="J24" s="1555"/>
      <c r="K24" s="1556">
        <v>23400</v>
      </c>
      <c r="L24" s="622">
        <f t="shared" si="0"/>
        <v>23400</v>
      </c>
      <c r="N24" s="52"/>
      <c r="O24" s="50"/>
      <c r="P24" s="1522">
        <f t="shared" si="7"/>
        <v>-23400</v>
      </c>
      <c r="R24" s="1523">
        <f t="shared" si="2"/>
        <v>0</v>
      </c>
      <c r="S24" s="42">
        <f t="shared" si="3"/>
        <v>0</v>
      </c>
      <c r="T24" s="42">
        <f t="shared" si="4"/>
        <v>0</v>
      </c>
      <c r="U24" s="42">
        <f t="shared" si="5"/>
        <v>0</v>
      </c>
      <c r="V24" s="39">
        <f t="shared" si="6"/>
        <v>46800</v>
      </c>
      <c r="W24" s="1521">
        <f t="shared" si="1"/>
        <v>46800</v>
      </c>
    </row>
    <row r="25" spans="1:23" s="587" customFormat="1" ht="24.95" customHeight="1" x14ac:dyDescent="0.25">
      <c r="A25" s="613" t="s">
        <v>811</v>
      </c>
      <c r="B25" s="614" t="s">
        <v>950</v>
      </c>
      <c r="C25" s="619" t="s">
        <v>870</v>
      </c>
      <c r="D25" s="621"/>
      <c r="E25" s="621"/>
      <c r="F25" s="621"/>
      <c r="G25" s="1554"/>
      <c r="H25" s="1555"/>
      <c r="I25" s="1555"/>
      <c r="J25" s="1555"/>
      <c r="K25" s="1556"/>
      <c r="L25" s="622">
        <f t="shared" si="0"/>
        <v>0</v>
      </c>
      <c r="N25" s="52"/>
      <c r="O25" s="50"/>
      <c r="P25" s="1522">
        <f t="shared" si="7"/>
        <v>0</v>
      </c>
      <c r="R25" s="1523">
        <f t="shared" si="2"/>
        <v>0</v>
      </c>
      <c r="S25" s="42">
        <f t="shared" si="3"/>
        <v>0</v>
      </c>
      <c r="T25" s="42">
        <f t="shared" si="4"/>
        <v>0</v>
      </c>
      <c r="U25" s="42">
        <f t="shared" si="5"/>
        <v>0</v>
      </c>
      <c r="V25" s="39">
        <f t="shared" si="6"/>
        <v>0</v>
      </c>
      <c r="W25" s="1521">
        <f t="shared" si="1"/>
        <v>0</v>
      </c>
    </row>
    <row r="26" spans="1:23" s="587" customFormat="1" ht="22.5" customHeight="1" x14ac:dyDescent="0.25">
      <c r="A26" s="613" t="s">
        <v>815</v>
      </c>
      <c r="B26" s="614" t="s">
        <v>951</v>
      </c>
      <c r="C26" s="619" t="s">
        <v>816</v>
      </c>
      <c r="D26" s="621"/>
      <c r="E26" s="621"/>
      <c r="F26" s="621"/>
      <c r="G26" s="1554">
        <v>7192</v>
      </c>
      <c r="H26" s="1555"/>
      <c r="I26" s="1555">
        <v>10101</v>
      </c>
      <c r="J26" s="1555"/>
      <c r="K26" s="1556">
        <v>9395</v>
      </c>
      <c r="L26" s="622">
        <f t="shared" si="0"/>
        <v>26688</v>
      </c>
      <c r="N26" s="52"/>
      <c r="O26" s="50"/>
      <c r="P26" s="1522">
        <f t="shared" si="7"/>
        <v>-26688</v>
      </c>
      <c r="R26" s="1523">
        <f t="shared" si="2"/>
        <v>14384</v>
      </c>
      <c r="S26" s="42">
        <f t="shared" si="3"/>
        <v>0</v>
      </c>
      <c r="T26" s="42">
        <f t="shared" si="4"/>
        <v>20202</v>
      </c>
      <c r="U26" s="42">
        <f t="shared" si="5"/>
        <v>0</v>
      </c>
      <c r="V26" s="39">
        <f t="shared" si="6"/>
        <v>18790</v>
      </c>
      <c r="W26" s="1521">
        <f t="shared" si="1"/>
        <v>53376</v>
      </c>
    </row>
    <row r="27" spans="1:23" s="587" customFormat="1" ht="22.5" customHeight="1" x14ac:dyDescent="0.25">
      <c r="A27" s="613" t="s">
        <v>815</v>
      </c>
      <c r="B27" s="614" t="s">
        <v>952</v>
      </c>
      <c r="C27" s="619" t="s">
        <v>871</v>
      </c>
      <c r="D27" s="621"/>
      <c r="E27" s="621"/>
      <c r="F27" s="621"/>
      <c r="G27" s="1554"/>
      <c r="H27" s="1555"/>
      <c r="I27" s="1555"/>
      <c r="J27" s="1555"/>
      <c r="K27" s="1556"/>
      <c r="L27" s="622">
        <f t="shared" si="0"/>
        <v>0</v>
      </c>
      <c r="N27" s="52"/>
      <c r="O27" s="50"/>
      <c r="P27" s="1522">
        <f t="shared" si="7"/>
        <v>0</v>
      </c>
      <c r="R27" s="1523">
        <f t="shared" si="2"/>
        <v>0</v>
      </c>
      <c r="S27" s="42">
        <f t="shared" si="3"/>
        <v>0</v>
      </c>
      <c r="T27" s="42">
        <f t="shared" si="4"/>
        <v>0</v>
      </c>
      <c r="U27" s="42">
        <f t="shared" si="5"/>
        <v>0</v>
      </c>
      <c r="V27" s="39">
        <f t="shared" si="6"/>
        <v>0</v>
      </c>
      <c r="W27" s="1521">
        <f t="shared" si="1"/>
        <v>0</v>
      </c>
    </row>
    <row r="28" spans="1:23" s="587" customFormat="1" ht="22.5" customHeight="1" x14ac:dyDescent="0.25">
      <c r="A28" s="613" t="s">
        <v>817</v>
      </c>
      <c r="B28" s="614" t="s">
        <v>953</v>
      </c>
      <c r="C28" s="619" t="s">
        <v>818</v>
      </c>
      <c r="D28" s="621"/>
      <c r="E28" s="621"/>
      <c r="F28" s="621"/>
      <c r="G28" s="1554">
        <f>616725-410000</f>
        <v>206725</v>
      </c>
      <c r="H28" s="1555"/>
      <c r="I28" s="1555">
        <v>54321</v>
      </c>
      <c r="J28" s="1555"/>
      <c r="K28" s="1556"/>
      <c r="L28" s="622">
        <f t="shared" si="0"/>
        <v>261046</v>
      </c>
      <c r="N28" s="52"/>
      <c r="O28" s="50"/>
      <c r="P28" s="1522">
        <f t="shared" si="7"/>
        <v>-261046</v>
      </c>
      <c r="R28" s="1523">
        <f t="shared" si="2"/>
        <v>413450</v>
      </c>
      <c r="S28" s="42">
        <f t="shared" si="3"/>
        <v>0</v>
      </c>
      <c r="T28" s="42">
        <f t="shared" si="4"/>
        <v>108642</v>
      </c>
      <c r="U28" s="42">
        <f t="shared" si="5"/>
        <v>0</v>
      </c>
      <c r="V28" s="39">
        <f t="shared" si="6"/>
        <v>0</v>
      </c>
      <c r="W28" s="1521">
        <f t="shared" si="1"/>
        <v>522092</v>
      </c>
    </row>
    <row r="29" spans="1:23" s="587" customFormat="1" ht="24.95" customHeight="1" x14ac:dyDescent="0.25">
      <c r="A29" s="613" t="s">
        <v>817</v>
      </c>
      <c r="B29" s="614" t="s">
        <v>954</v>
      </c>
      <c r="C29" s="619" t="s">
        <v>872</v>
      </c>
      <c r="D29" s="620"/>
      <c r="E29" s="621"/>
      <c r="F29" s="621"/>
      <c r="G29" s="1554"/>
      <c r="H29" s="1555"/>
      <c r="I29" s="1555"/>
      <c r="J29" s="1555"/>
      <c r="K29" s="1556"/>
      <c r="L29" s="622">
        <f t="shared" si="0"/>
        <v>0</v>
      </c>
      <c r="N29" s="52"/>
      <c r="O29" s="50"/>
      <c r="P29" s="1522">
        <f t="shared" si="7"/>
        <v>0</v>
      </c>
      <c r="R29" s="1523">
        <f t="shared" si="2"/>
        <v>0</v>
      </c>
      <c r="S29" s="42">
        <f t="shared" si="3"/>
        <v>0</v>
      </c>
      <c r="T29" s="42">
        <f t="shared" si="4"/>
        <v>0</v>
      </c>
      <c r="U29" s="42">
        <f t="shared" si="5"/>
        <v>0</v>
      </c>
      <c r="V29" s="39">
        <f t="shared" si="6"/>
        <v>0</v>
      </c>
      <c r="W29" s="1521">
        <f t="shared" si="1"/>
        <v>0</v>
      </c>
    </row>
    <row r="30" spans="1:23" s="587" customFormat="1" ht="24.95" customHeight="1" x14ac:dyDescent="0.25">
      <c r="A30" s="613" t="s">
        <v>817</v>
      </c>
      <c r="B30" s="614" t="s">
        <v>955</v>
      </c>
      <c r="C30" s="619" t="s">
        <v>829</v>
      </c>
      <c r="D30" s="620"/>
      <c r="E30" s="621"/>
      <c r="F30" s="621"/>
      <c r="G30" s="1554"/>
      <c r="H30" s="1555"/>
      <c r="I30" s="1555"/>
      <c r="J30" s="1555"/>
      <c r="K30" s="1556"/>
      <c r="L30" s="622">
        <f t="shared" si="0"/>
        <v>0</v>
      </c>
      <c r="N30" s="52"/>
      <c r="O30" s="50"/>
      <c r="P30" s="1522">
        <f t="shared" si="7"/>
        <v>0</v>
      </c>
      <c r="R30" s="1523">
        <f t="shared" si="2"/>
        <v>0</v>
      </c>
      <c r="S30" s="42">
        <f t="shared" si="3"/>
        <v>0</v>
      </c>
      <c r="T30" s="42">
        <f t="shared" si="4"/>
        <v>0</v>
      </c>
      <c r="U30" s="42">
        <f t="shared" si="5"/>
        <v>0</v>
      </c>
      <c r="V30" s="39">
        <f t="shared" si="6"/>
        <v>0</v>
      </c>
      <c r="W30" s="1521">
        <f t="shared" si="1"/>
        <v>0</v>
      </c>
    </row>
    <row r="31" spans="1:23" s="587" customFormat="1" ht="24.95" customHeight="1" x14ac:dyDescent="0.25">
      <c r="A31" s="613" t="s">
        <v>819</v>
      </c>
      <c r="B31" s="614" t="s">
        <v>956</v>
      </c>
      <c r="C31" s="619" t="s">
        <v>820</v>
      </c>
      <c r="D31" s="620"/>
      <c r="E31" s="621"/>
      <c r="F31" s="621"/>
      <c r="G31" s="1554"/>
      <c r="H31" s="1555"/>
      <c r="I31" s="1555"/>
      <c r="J31" s="1555"/>
      <c r="K31" s="1556"/>
      <c r="L31" s="622">
        <f t="shared" si="0"/>
        <v>0</v>
      </c>
      <c r="N31" s="52"/>
      <c r="O31" s="50"/>
      <c r="P31" s="1522">
        <f t="shared" si="7"/>
        <v>0</v>
      </c>
      <c r="R31" s="1524">
        <f t="shared" si="2"/>
        <v>0</v>
      </c>
      <c r="S31" s="43">
        <f t="shared" si="3"/>
        <v>0</v>
      </c>
      <c r="T31" s="43">
        <f t="shared" si="4"/>
        <v>0</v>
      </c>
      <c r="U31" s="43">
        <f t="shared" si="5"/>
        <v>0</v>
      </c>
      <c r="V31" s="40">
        <f t="shared" si="6"/>
        <v>0</v>
      </c>
      <c r="W31" s="1521">
        <f t="shared" si="1"/>
        <v>0</v>
      </c>
    </row>
    <row r="32" spans="1:23" s="587" customFormat="1" ht="24.95" customHeight="1" x14ac:dyDescent="0.25">
      <c r="A32" s="613" t="s">
        <v>821</v>
      </c>
      <c r="B32" s="614" t="s">
        <v>957</v>
      </c>
      <c r="C32" s="623" t="s">
        <v>822</v>
      </c>
      <c r="D32" s="620"/>
      <c r="E32" s="621"/>
      <c r="F32" s="621"/>
      <c r="G32" s="1554">
        <f>721220-1500</f>
        <v>719720</v>
      </c>
      <c r="H32" s="1555"/>
      <c r="I32" s="1555"/>
      <c r="J32" s="1555"/>
      <c r="K32" s="1556">
        <v>261870</v>
      </c>
      <c r="L32" s="622">
        <f t="shared" si="0"/>
        <v>981590</v>
      </c>
      <c r="N32" s="52"/>
      <c r="O32" s="50"/>
      <c r="P32" s="1522">
        <f t="shared" si="7"/>
        <v>-981590</v>
      </c>
      <c r="R32" s="1523">
        <f t="shared" si="2"/>
        <v>1439440</v>
      </c>
      <c r="S32" s="42">
        <f t="shared" si="3"/>
        <v>0</v>
      </c>
      <c r="T32" s="42">
        <f t="shared" si="4"/>
        <v>0</v>
      </c>
      <c r="U32" s="42">
        <f t="shared" si="5"/>
        <v>0</v>
      </c>
      <c r="V32" s="39">
        <f t="shared" si="6"/>
        <v>523740</v>
      </c>
      <c r="W32" s="1521">
        <f t="shared" si="1"/>
        <v>1963180</v>
      </c>
    </row>
    <row r="33" spans="1:23" s="587" customFormat="1" ht="24.95" customHeight="1" x14ac:dyDescent="0.25">
      <c r="A33" s="613" t="s">
        <v>823</v>
      </c>
      <c r="B33" s="614" t="s">
        <v>958</v>
      </c>
      <c r="C33" s="623" t="s">
        <v>824</v>
      </c>
      <c r="D33" s="620"/>
      <c r="E33" s="621"/>
      <c r="F33" s="621"/>
      <c r="G33" s="1554"/>
      <c r="H33" s="1555"/>
      <c r="I33" s="1555">
        <v>56</v>
      </c>
      <c r="J33" s="1555"/>
      <c r="K33" s="1556">
        <v>104755</v>
      </c>
      <c r="L33" s="622">
        <f t="shared" si="0"/>
        <v>104811</v>
      </c>
      <c r="N33" s="52"/>
      <c r="O33" s="50"/>
      <c r="P33" s="1522">
        <f t="shared" si="7"/>
        <v>-104811</v>
      </c>
      <c r="R33" s="1523">
        <f t="shared" si="2"/>
        <v>0</v>
      </c>
      <c r="S33" s="42">
        <f t="shared" si="3"/>
        <v>0</v>
      </c>
      <c r="T33" s="42">
        <f t="shared" si="4"/>
        <v>112</v>
      </c>
      <c r="U33" s="42">
        <f t="shared" si="5"/>
        <v>0</v>
      </c>
      <c r="V33" s="39">
        <f t="shared" si="6"/>
        <v>209510</v>
      </c>
      <c r="W33" s="1521">
        <f t="shared" si="1"/>
        <v>209622</v>
      </c>
    </row>
    <row r="34" spans="1:23" s="587" customFormat="1" ht="24.95" customHeight="1" x14ac:dyDescent="0.25">
      <c r="A34" s="614" t="s">
        <v>823</v>
      </c>
      <c r="B34" s="614" t="s">
        <v>959</v>
      </c>
      <c r="C34" s="623" t="s">
        <v>873</v>
      </c>
      <c r="D34" s="620"/>
      <c r="E34" s="621"/>
      <c r="F34" s="621"/>
      <c r="G34" s="1554"/>
      <c r="H34" s="1555"/>
      <c r="I34" s="1555"/>
      <c r="J34" s="1555"/>
      <c r="K34" s="1556"/>
      <c r="L34" s="622">
        <f t="shared" si="0"/>
        <v>0</v>
      </c>
      <c r="N34" s="52"/>
      <c r="O34" s="50"/>
      <c r="P34" s="1522">
        <f t="shared" si="7"/>
        <v>0</v>
      </c>
      <c r="R34" s="1523">
        <f t="shared" si="2"/>
        <v>0</v>
      </c>
      <c r="S34" s="42">
        <f t="shared" si="3"/>
        <v>0</v>
      </c>
      <c r="T34" s="42">
        <f t="shared" si="4"/>
        <v>0</v>
      </c>
      <c r="U34" s="42">
        <f t="shared" si="5"/>
        <v>0</v>
      </c>
      <c r="V34" s="39">
        <f t="shared" si="6"/>
        <v>0</v>
      </c>
      <c r="W34" s="1521">
        <f t="shared" si="1"/>
        <v>0</v>
      </c>
    </row>
    <row r="35" spans="1:23" s="587" customFormat="1" ht="24.95" customHeight="1" x14ac:dyDescent="0.25">
      <c r="A35" s="614"/>
      <c r="B35" s="614"/>
      <c r="C35" s="623"/>
      <c r="D35" s="620"/>
      <c r="E35" s="621"/>
      <c r="F35" s="621"/>
      <c r="G35" s="1554"/>
      <c r="H35" s="1557"/>
      <c r="I35" s="1557"/>
      <c r="J35" s="1557"/>
      <c r="K35" s="1556"/>
      <c r="L35" s="622">
        <f t="shared" si="0"/>
        <v>0</v>
      </c>
      <c r="N35" s="590"/>
      <c r="O35" s="591"/>
      <c r="P35" s="1525">
        <f t="shared" si="7"/>
        <v>0</v>
      </c>
      <c r="R35" s="51">
        <f t="shared" si="2"/>
        <v>0</v>
      </c>
      <c r="S35" s="47">
        <f t="shared" si="3"/>
        <v>0</v>
      </c>
      <c r="T35" s="47">
        <f t="shared" si="4"/>
        <v>0</v>
      </c>
      <c r="U35" s="47">
        <f t="shared" si="5"/>
        <v>0</v>
      </c>
      <c r="V35" s="1526">
        <f t="shared" si="6"/>
        <v>0</v>
      </c>
      <c r="W35" s="1527">
        <f t="shared" si="1"/>
        <v>0</v>
      </c>
    </row>
    <row r="36" spans="1:23" s="587" customFormat="1" ht="24.95" customHeight="1" x14ac:dyDescent="0.25">
      <c r="A36" s="614"/>
      <c r="B36" s="614"/>
      <c r="C36" s="1928" t="s">
        <v>825</v>
      </c>
      <c r="D36" s="1929"/>
      <c r="E36" s="1929"/>
      <c r="F36" s="1929"/>
      <c r="G36" s="1929"/>
      <c r="H36" s="1929"/>
      <c r="I36" s="1929"/>
      <c r="J36" s="1929"/>
      <c r="K36" s="1929"/>
      <c r="L36" s="1930"/>
      <c r="N36" s="1528"/>
      <c r="O36" s="1529"/>
      <c r="P36" s="1530"/>
      <c r="R36" s="1528"/>
      <c r="S36" s="1531"/>
      <c r="T36" s="1531"/>
      <c r="U36" s="1531"/>
      <c r="V36" s="1531"/>
      <c r="W36" s="1532"/>
    </row>
    <row r="37" spans="1:23" s="587" customFormat="1" ht="24.95" customHeight="1" x14ac:dyDescent="0.25">
      <c r="A37" s="613" t="s">
        <v>817</v>
      </c>
      <c r="B37" s="614" t="s">
        <v>953</v>
      </c>
      <c r="C37" s="615" t="s">
        <v>818</v>
      </c>
      <c r="D37" s="616"/>
      <c r="E37" s="616"/>
      <c r="F37" s="616"/>
      <c r="G37" s="1551"/>
      <c r="H37" s="1552"/>
      <c r="I37" s="1552"/>
      <c r="J37" s="1552"/>
      <c r="K37" s="1553"/>
      <c r="L37" s="617">
        <f>SUM(G37:K37)</f>
        <v>0</v>
      </c>
      <c r="N37" s="588"/>
      <c r="O37" s="592"/>
      <c r="P37" s="1533">
        <f>IF(L37+N37&gt;O37,O37-L37-N37,0)</f>
        <v>0</v>
      </c>
      <c r="R37" s="1523">
        <f t="shared" ref="R37:V38" si="8">IFERROR(G37-$P37*(G37/$L37),0)</f>
        <v>0</v>
      </c>
      <c r="S37" s="42">
        <f t="shared" si="8"/>
        <v>0</v>
      </c>
      <c r="T37" s="43">
        <f t="shared" si="8"/>
        <v>0</v>
      </c>
      <c r="U37" s="43">
        <f t="shared" si="8"/>
        <v>0</v>
      </c>
      <c r="V37" s="40">
        <f t="shared" si="8"/>
        <v>0</v>
      </c>
      <c r="W37" s="1534">
        <f>SUM(R37:V37)</f>
        <v>0</v>
      </c>
    </row>
    <row r="38" spans="1:23" s="587" customFormat="1" ht="24.95" customHeight="1" x14ac:dyDescent="0.25">
      <c r="A38" s="614"/>
      <c r="B38" s="614"/>
      <c r="C38" s="623"/>
      <c r="D38" s="625"/>
      <c r="E38" s="625"/>
      <c r="F38" s="625"/>
      <c r="G38" s="1558"/>
      <c r="H38" s="1559"/>
      <c r="I38" s="1559"/>
      <c r="J38" s="1559"/>
      <c r="K38" s="1560"/>
      <c r="L38" s="622">
        <f>SUM(G38:K38)</f>
        <v>0</v>
      </c>
      <c r="N38" s="51"/>
      <c r="O38" s="47"/>
      <c r="P38" s="1535">
        <f>IF(L38+N38&gt;O38,O38-L38-N38,0)</f>
        <v>0</v>
      </c>
      <c r="R38" s="51">
        <f t="shared" si="8"/>
        <v>0</v>
      </c>
      <c r="S38" s="47">
        <f t="shared" si="8"/>
        <v>0</v>
      </c>
      <c r="T38" s="48">
        <f t="shared" si="8"/>
        <v>0</v>
      </c>
      <c r="U38" s="48">
        <f t="shared" si="8"/>
        <v>0</v>
      </c>
      <c r="V38" s="1536">
        <f t="shared" si="8"/>
        <v>0</v>
      </c>
      <c r="W38" s="1527">
        <f>SUM(R38:V38)</f>
        <v>0</v>
      </c>
    </row>
    <row r="39" spans="1:23" s="587" customFormat="1" ht="24.95" customHeight="1" x14ac:dyDescent="0.25">
      <c r="A39" s="614"/>
      <c r="B39" s="614"/>
      <c r="C39" s="1928" t="s">
        <v>960</v>
      </c>
      <c r="D39" s="1929"/>
      <c r="E39" s="1929"/>
      <c r="F39" s="1929"/>
      <c r="G39" s="1929"/>
      <c r="H39" s="1929"/>
      <c r="I39" s="1929"/>
      <c r="J39" s="1929"/>
      <c r="K39" s="1929"/>
      <c r="L39" s="1930"/>
      <c r="N39" s="1528"/>
      <c r="O39" s="1529"/>
      <c r="P39" s="1530"/>
      <c r="R39" s="1528"/>
      <c r="S39" s="1531"/>
      <c r="T39" s="1531"/>
      <c r="U39" s="1531"/>
      <c r="V39" s="1531"/>
      <c r="W39" s="1532"/>
    </row>
    <row r="40" spans="1:23" s="587" customFormat="1" ht="24.95" customHeight="1" x14ac:dyDescent="0.25">
      <c r="A40" s="613" t="s">
        <v>826</v>
      </c>
      <c r="B40" s="614" t="s">
        <v>947</v>
      </c>
      <c r="C40" s="615" t="s">
        <v>827</v>
      </c>
      <c r="D40" s="616"/>
      <c r="E40" s="616"/>
      <c r="F40" s="616"/>
      <c r="G40" s="1551">
        <v>182566</v>
      </c>
      <c r="H40" s="1552"/>
      <c r="I40" s="1552">
        <v>32474</v>
      </c>
      <c r="J40" s="1552"/>
      <c r="K40" s="1553"/>
      <c r="L40" s="617">
        <f>SUM(G40:K40)</f>
        <v>215040</v>
      </c>
      <c r="N40" s="588"/>
      <c r="O40" s="592"/>
      <c r="P40" s="1533">
        <f>IF(L40+N40&gt;O40,O40-L40-N40,0)</f>
        <v>-215040</v>
      </c>
      <c r="R40" s="1523">
        <f t="shared" ref="R40:V42" si="9">IFERROR(G40-$P40*(G40/$L40),0)</f>
        <v>365132</v>
      </c>
      <c r="S40" s="42">
        <f t="shared" si="9"/>
        <v>0</v>
      </c>
      <c r="T40" s="43">
        <f t="shared" si="9"/>
        <v>64948</v>
      </c>
      <c r="U40" s="43">
        <f t="shared" si="9"/>
        <v>0</v>
      </c>
      <c r="V40" s="40">
        <f t="shared" si="9"/>
        <v>0</v>
      </c>
      <c r="W40" s="1534">
        <f>SUM(R40:V40)</f>
        <v>430080</v>
      </c>
    </row>
    <row r="41" spans="1:23" s="587" customFormat="1" ht="24.95" customHeight="1" x14ac:dyDescent="0.25">
      <c r="A41" s="613" t="s">
        <v>817</v>
      </c>
      <c r="B41" s="614" t="s">
        <v>953</v>
      </c>
      <c r="C41" s="623" t="s">
        <v>818</v>
      </c>
      <c r="D41" s="625"/>
      <c r="E41" s="625"/>
      <c r="F41" s="625"/>
      <c r="G41" s="1558"/>
      <c r="H41" s="1561"/>
      <c r="I41" s="1561"/>
      <c r="J41" s="1561"/>
      <c r="K41" s="1560">
        <v>61204</v>
      </c>
      <c r="L41" s="622">
        <f t="shared" ref="L41:L48" si="10">SUM(G41:K41)</f>
        <v>61204</v>
      </c>
      <c r="N41" s="52"/>
      <c r="O41" s="49"/>
      <c r="P41" s="1522">
        <f>IF(L41+N41&gt;O41,O41-L41-N41,0)</f>
        <v>-61204</v>
      </c>
      <c r="R41" s="52">
        <f t="shared" si="9"/>
        <v>0</v>
      </c>
      <c r="S41" s="49">
        <f t="shared" si="9"/>
        <v>0</v>
      </c>
      <c r="T41" s="50">
        <f t="shared" si="9"/>
        <v>0</v>
      </c>
      <c r="U41" s="50">
        <f t="shared" si="9"/>
        <v>0</v>
      </c>
      <c r="V41" s="45">
        <f t="shared" si="9"/>
        <v>122408</v>
      </c>
      <c r="W41" s="1521">
        <f>SUM(R41:V41)</f>
        <v>122408</v>
      </c>
    </row>
    <row r="42" spans="1:23" s="587" customFormat="1" ht="24.95" customHeight="1" x14ac:dyDescent="0.25">
      <c r="A42" s="614" t="s">
        <v>817</v>
      </c>
      <c r="B42" s="614" t="s">
        <v>954</v>
      </c>
      <c r="C42" s="623" t="s">
        <v>872</v>
      </c>
      <c r="D42" s="625"/>
      <c r="E42" s="625"/>
      <c r="F42" s="625"/>
      <c r="G42" s="1558"/>
      <c r="H42" s="1559"/>
      <c r="I42" s="1559"/>
      <c r="J42" s="1559"/>
      <c r="K42" s="1560"/>
      <c r="L42" s="622">
        <f>SUM(G42:K42)</f>
        <v>0</v>
      </c>
      <c r="N42" s="590"/>
      <c r="O42" s="44"/>
      <c r="P42" s="1525">
        <f>IF(L42+N42&gt;O42,O42-L42-N42,0)</f>
        <v>0</v>
      </c>
      <c r="R42" s="51">
        <f t="shared" si="9"/>
        <v>0</v>
      </c>
      <c r="S42" s="47">
        <f t="shared" si="9"/>
        <v>0</v>
      </c>
      <c r="T42" s="48">
        <f t="shared" si="9"/>
        <v>0</v>
      </c>
      <c r="U42" s="48">
        <f t="shared" si="9"/>
        <v>0</v>
      </c>
      <c r="V42" s="1536">
        <f t="shared" si="9"/>
        <v>0</v>
      </c>
      <c r="W42" s="1527">
        <f>SUM(R42:V42)</f>
        <v>0</v>
      </c>
    </row>
    <row r="43" spans="1:23" s="587" customFormat="1" ht="24.95" customHeight="1" x14ac:dyDescent="0.25">
      <c r="A43" s="614"/>
      <c r="B43" s="614"/>
      <c r="C43" s="1928" t="s">
        <v>961</v>
      </c>
      <c r="D43" s="1929"/>
      <c r="E43" s="1929"/>
      <c r="F43" s="1929"/>
      <c r="G43" s="1929"/>
      <c r="H43" s="1929"/>
      <c r="I43" s="1929"/>
      <c r="J43" s="1929"/>
      <c r="K43" s="1929"/>
      <c r="L43" s="1930"/>
      <c r="N43" s="1528"/>
      <c r="O43" s="1529"/>
      <c r="P43" s="1530"/>
      <c r="R43" s="1528"/>
      <c r="S43" s="1531"/>
      <c r="T43" s="1531"/>
      <c r="U43" s="1531"/>
      <c r="V43" s="1531"/>
      <c r="W43" s="1532"/>
    </row>
    <row r="44" spans="1:23" s="587" customFormat="1" ht="24.95" customHeight="1" x14ac:dyDescent="0.25">
      <c r="A44" s="613" t="s">
        <v>828</v>
      </c>
      <c r="B44" s="614" t="s">
        <v>955</v>
      </c>
      <c r="C44" s="615" t="s">
        <v>830</v>
      </c>
      <c r="D44" s="616"/>
      <c r="E44" s="616"/>
      <c r="F44" s="616"/>
      <c r="G44" s="1551"/>
      <c r="H44" s="1552"/>
      <c r="I44" s="1552"/>
      <c r="J44" s="1552"/>
      <c r="K44" s="1553"/>
      <c r="L44" s="617">
        <f t="shared" si="10"/>
        <v>0</v>
      </c>
      <c r="N44" s="588"/>
      <c r="O44" s="592"/>
      <c r="P44" s="1533">
        <f>IF(L44+N44&gt;O44,O44-L44-N44,0)</f>
        <v>0</v>
      </c>
      <c r="R44" s="1523">
        <f t="shared" ref="R44:V45" si="11">IFERROR(G44-$P44*(G44/$L44),0)</f>
        <v>0</v>
      </c>
      <c r="S44" s="41">
        <f t="shared" si="11"/>
        <v>0</v>
      </c>
      <c r="T44" s="46">
        <f t="shared" si="11"/>
        <v>0</v>
      </c>
      <c r="U44" s="46">
        <f t="shared" si="11"/>
        <v>0</v>
      </c>
      <c r="V44" s="40">
        <f t="shared" si="11"/>
        <v>0</v>
      </c>
      <c r="W44" s="1534">
        <f>SUM(R44:V44)</f>
        <v>0</v>
      </c>
    </row>
    <row r="45" spans="1:23" s="587" customFormat="1" ht="24.95" customHeight="1" x14ac:dyDescent="0.25">
      <c r="A45" s="614"/>
      <c r="B45" s="614"/>
      <c r="C45" s="623"/>
      <c r="D45" s="620"/>
      <c r="E45" s="620"/>
      <c r="F45" s="620"/>
      <c r="G45" s="1558"/>
      <c r="H45" s="1559"/>
      <c r="I45" s="1559"/>
      <c r="J45" s="1559"/>
      <c r="K45" s="1560"/>
      <c r="L45" s="622">
        <f t="shared" si="10"/>
        <v>0</v>
      </c>
      <c r="N45" s="51"/>
      <c r="O45" s="47"/>
      <c r="P45" s="1535">
        <f>IF(L45+N45&gt;O45,O45-L45-N45,0)</f>
        <v>0</v>
      </c>
      <c r="R45" s="51">
        <f t="shared" si="11"/>
        <v>0</v>
      </c>
      <c r="S45" s="47">
        <f t="shared" si="11"/>
        <v>0</v>
      </c>
      <c r="T45" s="48">
        <f t="shared" si="11"/>
        <v>0</v>
      </c>
      <c r="U45" s="48">
        <f t="shared" si="11"/>
        <v>0</v>
      </c>
      <c r="V45" s="1536">
        <f t="shared" si="11"/>
        <v>0</v>
      </c>
      <c r="W45" s="1527">
        <f>SUM(R45:V45)</f>
        <v>0</v>
      </c>
    </row>
    <row r="46" spans="1:23" s="587" customFormat="1" ht="24.95" customHeight="1" x14ac:dyDescent="0.25">
      <c r="A46" s="614"/>
      <c r="B46" s="614"/>
      <c r="C46" s="1928" t="s">
        <v>962</v>
      </c>
      <c r="D46" s="1929"/>
      <c r="E46" s="1929"/>
      <c r="F46" s="1929"/>
      <c r="G46" s="1929"/>
      <c r="H46" s="1929"/>
      <c r="I46" s="1929"/>
      <c r="J46" s="1929"/>
      <c r="K46" s="1929"/>
      <c r="L46" s="1930"/>
      <c r="N46" s="1528"/>
      <c r="O46" s="1529"/>
      <c r="P46" s="1530"/>
      <c r="R46" s="1528"/>
      <c r="S46" s="1531"/>
      <c r="T46" s="1531"/>
      <c r="U46" s="1531"/>
      <c r="V46" s="1531"/>
      <c r="W46" s="1532"/>
    </row>
    <row r="47" spans="1:23" s="587" customFormat="1" ht="24.95" customHeight="1" x14ac:dyDescent="0.25">
      <c r="A47" s="614" t="s">
        <v>831</v>
      </c>
      <c r="B47" s="613" t="s">
        <v>1796</v>
      </c>
      <c r="C47" s="615" t="s">
        <v>832</v>
      </c>
      <c r="D47" s="616"/>
      <c r="E47" s="616"/>
      <c r="F47" s="616"/>
      <c r="G47" s="1551"/>
      <c r="H47" s="1552"/>
      <c r="I47" s="1552"/>
      <c r="J47" s="1552"/>
      <c r="K47" s="1553"/>
      <c r="L47" s="617">
        <f t="shared" si="10"/>
        <v>0</v>
      </c>
      <c r="N47" s="588"/>
      <c r="O47" s="592"/>
      <c r="P47" s="1533">
        <f>IF(L47+N47&gt;O47,O47-L47-N47,0)</f>
        <v>0</v>
      </c>
      <c r="R47" s="1523">
        <f t="shared" ref="R47:V48" si="12">IFERROR(G47-$P47*(G47/$L47),0)</f>
        <v>0</v>
      </c>
      <c r="S47" s="41">
        <f t="shared" si="12"/>
        <v>0</v>
      </c>
      <c r="T47" s="46">
        <f t="shared" si="12"/>
        <v>0</v>
      </c>
      <c r="U47" s="46">
        <f t="shared" si="12"/>
        <v>0</v>
      </c>
      <c r="V47" s="40">
        <f t="shared" si="12"/>
        <v>0</v>
      </c>
      <c r="W47" s="1534">
        <f>SUM(R47:V47)</f>
        <v>0</v>
      </c>
    </row>
    <row r="48" spans="1:23" s="587" customFormat="1" ht="24.95" customHeight="1" thickBot="1" x14ac:dyDescent="0.3">
      <c r="A48" s="614"/>
      <c r="B48" s="613" t="s">
        <v>1795</v>
      </c>
      <c r="C48" s="626" t="s">
        <v>963</v>
      </c>
      <c r="D48" s="627"/>
      <c r="E48" s="627"/>
      <c r="F48" s="627"/>
      <c r="G48" s="1562"/>
      <c r="H48" s="1563"/>
      <c r="I48" s="1563"/>
      <c r="J48" s="1563"/>
      <c r="K48" s="1564"/>
      <c r="L48" s="628">
        <f t="shared" si="10"/>
        <v>0</v>
      </c>
      <c r="N48" s="593"/>
      <c r="O48" s="594"/>
      <c r="P48" s="1538">
        <f>IF(L48+N48&gt;O48,O48-L48-N48,0)</f>
        <v>0</v>
      </c>
      <c r="R48" s="1539">
        <f t="shared" si="12"/>
        <v>0</v>
      </c>
      <c r="S48" s="54">
        <f t="shared" si="12"/>
        <v>0</v>
      </c>
      <c r="T48" s="54">
        <f t="shared" si="12"/>
        <v>0</v>
      </c>
      <c r="U48" s="54">
        <f t="shared" si="12"/>
        <v>0</v>
      </c>
      <c r="V48" s="53">
        <f t="shared" si="12"/>
        <v>0</v>
      </c>
      <c r="W48" s="1537">
        <f>SUM(R48:V48)</f>
        <v>0</v>
      </c>
    </row>
    <row r="49" spans="1:23" s="595" customFormat="1" ht="24.95" customHeight="1" thickBot="1" x14ac:dyDescent="0.3">
      <c r="A49" s="629"/>
      <c r="B49" s="629"/>
      <c r="C49" s="630" t="s">
        <v>833</v>
      </c>
      <c r="D49" s="631"/>
      <c r="E49" s="631"/>
      <c r="F49" s="631"/>
      <c r="G49" s="632">
        <f t="shared" ref="G49:L49" si="13">SUM(G9:G48)</f>
        <v>1859961</v>
      </c>
      <c r="H49" s="633">
        <f t="shared" si="13"/>
        <v>1050</v>
      </c>
      <c r="I49" s="634">
        <f t="shared" si="13"/>
        <v>142246</v>
      </c>
      <c r="J49" s="634">
        <f t="shared" si="13"/>
        <v>0</v>
      </c>
      <c r="K49" s="635">
        <f t="shared" si="13"/>
        <v>763438</v>
      </c>
      <c r="L49" s="636">
        <f t="shared" si="13"/>
        <v>2766695</v>
      </c>
      <c r="N49" s="1544">
        <f>SUM(N9:N48)</f>
        <v>0</v>
      </c>
      <c r="O49" s="1545">
        <f>SUM(O9:O48)</f>
        <v>0</v>
      </c>
      <c r="P49" s="1546">
        <f>SUM(P9:P48)</f>
        <v>-2766695</v>
      </c>
      <c r="R49" s="1547">
        <f t="shared" ref="R49:W49" si="14">SUM(R9:R48)</f>
        <v>3719922</v>
      </c>
      <c r="S49" s="1540">
        <f t="shared" si="14"/>
        <v>2100</v>
      </c>
      <c r="T49" s="1541">
        <f t="shared" si="14"/>
        <v>284492</v>
      </c>
      <c r="U49" s="1541">
        <f t="shared" si="14"/>
        <v>0</v>
      </c>
      <c r="V49" s="1542">
        <f t="shared" si="14"/>
        <v>1526876</v>
      </c>
      <c r="W49" s="1543">
        <f t="shared" si="14"/>
        <v>5533390</v>
      </c>
    </row>
    <row r="50" spans="1:23" s="587" customFormat="1" ht="24.95" customHeight="1" x14ac:dyDescent="0.25">
      <c r="A50" s="614"/>
      <c r="B50" s="614"/>
      <c r="C50" s="618"/>
      <c r="D50" s="618"/>
      <c r="E50" s="618"/>
      <c r="F50" s="618"/>
      <c r="G50" s="637">
        <f>SUMIFS(Schedule_C!$H$20:$H$103,Schedule_C!$E$20:$E$103,"60",Schedule_C!$F$20:$F$103,"70")</f>
        <v>1859961</v>
      </c>
      <c r="H50" s="637">
        <f>SUMIFS(Schedule_C!$H$20:$H$103,Schedule_C!$E$20:$E$103,"60",Schedule_C!$F$20:$F$103,"71")</f>
        <v>1050</v>
      </c>
      <c r="I50" s="637">
        <f>SUMIFS(Schedule_C!$H$20:$H$103,Schedule_C!$E$20:$E$103,"60",Schedule_C!$F$20:$F$103,"72")</f>
        <v>142246</v>
      </c>
      <c r="J50" s="637">
        <f>SUMIFS(Schedule_C!$H$20:$H$103,Schedule_C!$E$20:$E$103,"60",Schedule_C!$F$20:$F$103,"75")</f>
        <v>0</v>
      </c>
      <c r="K50" s="637">
        <f>SUMIFS(Schedule_C!$H$20:$H$103,Schedule_C!$E$20:$E$103,"60",Schedule_C!$F$20:$F$103,"78")</f>
        <v>763438</v>
      </c>
      <c r="L50" s="637">
        <f>SUMIFS(Schedule_C!$H$20:$H$103,Schedule_C!$E$20:$E$103,"60",Schedule_C!$F$20:$F$103,"70")+SUMIFS(Schedule_C!$H$20:$H$103,Schedule_C!$E$20:$E$103,"60",Schedule_C!$F$20:$F$103,"71")+SUMIFS(Schedule_C!$H$20:$H$103,Schedule_C!$E$20:$E$103,"60",Schedule_C!$F$20:$F$103,"72")+SUMIFS(Schedule_C!$H$20:$H$103,Schedule_C!$E$20:$E$103,"60",Schedule_C!$F$20:$F$103,"75")+SUMIFS(Schedule_C!$H$20:$H$103,Schedule_C!$E$20:$E$103,"60",Schedule_C!$F$20:$F$103,"78")</f>
        <v>2766695</v>
      </c>
      <c r="W50" s="1548">
        <f>L49+P49</f>
        <v>0</v>
      </c>
    </row>
    <row r="51" spans="1:23" s="587" customFormat="1" ht="24.95" customHeight="1" x14ac:dyDescent="0.25">
      <c r="A51" s="614"/>
      <c r="B51" s="614"/>
      <c r="C51" s="618"/>
      <c r="D51" s="618"/>
      <c r="E51" s="618"/>
      <c r="F51" s="618"/>
      <c r="G51" s="638" t="str">
        <f t="shared" ref="G51:L51" si="15">IF(ABS(G49-G50)&lt;3,"OK","Error")</f>
        <v>OK</v>
      </c>
      <c r="H51" s="638" t="str">
        <f t="shared" si="15"/>
        <v>OK</v>
      </c>
      <c r="I51" s="638" t="str">
        <f t="shared" si="15"/>
        <v>OK</v>
      </c>
      <c r="J51" s="638" t="str">
        <f t="shared" si="15"/>
        <v>OK</v>
      </c>
      <c r="K51" s="638" t="str">
        <f t="shared" si="15"/>
        <v>OK</v>
      </c>
      <c r="L51" s="638" t="str">
        <f t="shared" si="15"/>
        <v>OK</v>
      </c>
      <c r="W51" s="1517" t="str">
        <f>IF(W49=W50,"OK","Error")</f>
        <v>Error</v>
      </c>
    </row>
    <row r="52" spans="1:23" ht="24.95" customHeight="1" x14ac:dyDescent="0.25">
      <c r="G52" s="596"/>
      <c r="H52" s="596"/>
      <c r="I52" s="596"/>
      <c r="J52" s="596"/>
      <c r="K52" s="596"/>
    </row>
    <row r="53" spans="1:23" ht="24.95" customHeight="1" x14ac:dyDescent="0.25">
      <c r="G53" s="596"/>
      <c r="H53" s="596"/>
      <c r="I53" s="596"/>
      <c r="J53" s="596"/>
      <c r="K53" s="596"/>
    </row>
    <row r="54" spans="1:23" ht="24.95" customHeight="1" x14ac:dyDescent="0.25">
      <c r="G54" s="596"/>
      <c r="H54" s="596"/>
      <c r="I54" s="596"/>
      <c r="J54" s="596"/>
      <c r="K54" s="596"/>
    </row>
    <row r="55" spans="1:23" ht="24.95" customHeight="1" x14ac:dyDescent="0.25">
      <c r="G55" s="596"/>
      <c r="H55" s="596"/>
      <c r="I55" s="596"/>
      <c r="J55" s="596"/>
      <c r="K55" s="596"/>
    </row>
    <row r="56" spans="1:23" ht="24.95" customHeight="1" x14ac:dyDescent="0.25">
      <c r="G56" s="596"/>
      <c r="H56" s="596"/>
      <c r="I56" s="596"/>
      <c r="J56" s="596"/>
      <c r="K56" s="596"/>
    </row>
    <row r="57" spans="1:23" ht="24.95" customHeight="1" x14ac:dyDescent="0.25">
      <c r="G57" s="596"/>
      <c r="H57" s="596"/>
      <c r="I57" s="596"/>
      <c r="J57" s="596"/>
      <c r="K57" s="596"/>
    </row>
    <row r="58" spans="1:23" ht="24.95" customHeight="1" x14ac:dyDescent="0.25">
      <c r="G58" s="596"/>
      <c r="H58" s="596"/>
      <c r="I58" s="596"/>
      <c r="J58" s="596"/>
      <c r="K58" s="596"/>
    </row>
    <row r="59" spans="1:23" ht="24.95" customHeight="1" x14ac:dyDescent="0.25">
      <c r="G59" s="596"/>
      <c r="H59" s="596"/>
      <c r="I59" s="596"/>
      <c r="J59" s="596"/>
      <c r="K59" s="596"/>
    </row>
    <row r="60" spans="1:23" ht="24.95" customHeight="1" x14ac:dyDescent="0.25">
      <c r="G60" s="596"/>
      <c r="H60" s="596"/>
      <c r="I60" s="596"/>
      <c r="J60" s="596"/>
      <c r="K60" s="596"/>
      <c r="L60" s="586"/>
    </row>
    <row r="61" spans="1:23" ht="24.95" customHeight="1" x14ac:dyDescent="0.25"/>
    <row r="62" spans="1:23" ht="24.95" customHeight="1" x14ac:dyDescent="0.25"/>
    <row r="63" spans="1:23" ht="24.95" customHeight="1" x14ac:dyDescent="0.25"/>
    <row r="64" spans="1:23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spans="15:16" ht="24.95" customHeight="1" x14ac:dyDescent="0.25"/>
    <row r="82" spans="15:16" ht="24.95" customHeight="1" x14ac:dyDescent="0.25"/>
    <row r="83" spans="15:16" ht="24.95" customHeight="1" x14ac:dyDescent="0.25"/>
    <row r="84" spans="15:16" ht="24.95" customHeight="1" x14ac:dyDescent="0.25"/>
    <row r="85" spans="15:16" ht="24.95" customHeight="1" x14ac:dyDescent="0.25"/>
    <row r="86" spans="15:16" ht="24.95" customHeight="1" x14ac:dyDescent="0.25">
      <c r="O86" s="598" t="s">
        <v>834</v>
      </c>
      <c r="P86" s="599" t="e">
        <v>#VALUE!</v>
      </c>
    </row>
    <row r="87" spans="15:16" ht="24.95" customHeight="1" x14ac:dyDescent="0.25">
      <c r="O87" s="598" t="s">
        <v>835</v>
      </c>
      <c r="P87" s="599" t="e">
        <v>#VALUE!</v>
      </c>
    </row>
    <row r="88" spans="15:16" ht="24.95" customHeight="1" x14ac:dyDescent="0.25"/>
    <row r="89" spans="15:16" ht="24.95" customHeight="1" x14ac:dyDescent="0.25"/>
    <row r="90" spans="15:16" ht="24.95" customHeight="1" x14ac:dyDescent="0.25"/>
    <row r="91" spans="15:16" ht="24.95" customHeight="1" x14ac:dyDescent="0.25"/>
    <row r="92" spans="15:16" ht="24.95" customHeight="1" x14ac:dyDescent="0.25"/>
    <row r="93" spans="15:16" ht="24.95" customHeight="1" x14ac:dyDescent="0.25"/>
    <row r="94" spans="15:16" ht="24.95" customHeight="1" x14ac:dyDescent="0.25"/>
    <row r="95" spans="15:16" ht="24.95" customHeight="1" x14ac:dyDescent="0.25"/>
    <row r="96" spans="15:16" ht="24.95" customHeight="1" x14ac:dyDescent="0.25"/>
    <row r="97" ht="24.95" customHeight="1" x14ac:dyDescent="0.25"/>
    <row r="98" ht="24.95" customHeight="1" x14ac:dyDescent="0.25"/>
    <row r="99" ht="24.95" customHeight="1" x14ac:dyDescent="0.25"/>
    <row r="100" ht="24.95" customHeight="1" x14ac:dyDescent="0.25"/>
    <row r="101" ht="24.95" customHeight="1" x14ac:dyDescent="0.25"/>
    <row r="102" ht="24.95" customHeight="1" x14ac:dyDescent="0.25"/>
    <row r="103" ht="24.95" customHeight="1" x14ac:dyDescent="0.25"/>
    <row r="104" ht="24.95" customHeight="1" x14ac:dyDescent="0.25"/>
    <row r="105" ht="24.95" customHeight="1" x14ac:dyDescent="0.25"/>
    <row r="106" ht="24.95" customHeight="1" x14ac:dyDescent="0.25"/>
    <row r="107" ht="24.95" customHeight="1" x14ac:dyDescent="0.25"/>
    <row r="108" ht="24.95" customHeight="1" x14ac:dyDescent="0.25"/>
    <row r="109" ht="24.95" customHeight="1" x14ac:dyDescent="0.25"/>
    <row r="110" ht="24.95" customHeight="1" x14ac:dyDescent="0.25"/>
    <row r="111" ht="24.95" customHeight="1" x14ac:dyDescent="0.25"/>
    <row r="112" ht="24.95" customHeight="1" x14ac:dyDescent="0.25"/>
    <row r="113" ht="24.95" customHeight="1" x14ac:dyDescent="0.25"/>
    <row r="114" ht="24.95" customHeight="1" x14ac:dyDescent="0.25"/>
    <row r="115" ht="24.95" customHeight="1" x14ac:dyDescent="0.25"/>
    <row r="116" ht="24.95" customHeight="1" x14ac:dyDescent="0.25"/>
  </sheetData>
  <sheetProtection algorithmName="SHA-512" hashValue="ok238OpwAC1zGH+JT0jSyISuWGE+WpJHS0VMD2JUeP4YdbhCTAR67lReubHAoIrKEGLLZc9z02x2kGr5ezGO1A==" saltValue="IF1hVhBXN1pCVQTS2InsrQ==" spinCount="100000" sheet="1" objects="1" scenarios="1" formatCells="0" selectLockedCells="1" autoFilter="0"/>
  <mergeCells count="8">
    <mergeCell ref="R6:W6"/>
    <mergeCell ref="C46:L46"/>
    <mergeCell ref="G6:L6"/>
    <mergeCell ref="C7:D7"/>
    <mergeCell ref="C8:L8"/>
    <mergeCell ref="C36:L36"/>
    <mergeCell ref="C39:L39"/>
    <mergeCell ref="C43:L43"/>
  </mergeCells>
  <printOptions horizontalCentered="1"/>
  <pageMargins left="0.5" right="0.5" top="0.75" bottom="0.5" header="0.38" footer="0.15"/>
  <pageSetup paperSize="5" scale="56" fitToHeight="0" orientation="portrait" r:id="rId1"/>
  <headerFooter alignWithMargins="0">
    <oddHeader>&amp;R&amp;"Arial,Bold"&amp;14ATTACHMENT 9A</oddHeader>
    <oddFooter xml:space="preserve">&amp;LV. 20/21&amp;C&amp;"Arial,Bold Italic"&amp;12    "Warning: Total Amount must reconcile to 
LAC-DMH Provider Reimbursement Section record"                       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D9E8-BF4E-46F5-B9BF-2F10A5A39E57}">
  <dimension ref="A1:S158"/>
  <sheetViews>
    <sheetView topLeftCell="M60" workbookViewId="0">
      <selection activeCell="O78" sqref="O78"/>
    </sheetView>
  </sheetViews>
  <sheetFormatPr defaultRowHeight="15" x14ac:dyDescent="0.2"/>
  <cols>
    <col min="1" max="1" width="13.5546875" style="644" bestFit="1" customWidth="1"/>
    <col min="2" max="2" width="14.21875" style="644" customWidth="1"/>
    <col min="3" max="3" width="6" style="653" customWidth="1"/>
    <col min="4" max="4" width="3.77734375" style="644" customWidth="1"/>
    <col min="5" max="5" width="11.6640625" style="644" customWidth="1"/>
    <col min="6" max="6" width="3.77734375" style="644" customWidth="1"/>
    <col min="7" max="7" width="8.88671875" style="644"/>
    <col min="8" max="8" width="29.6640625" style="644" customWidth="1"/>
    <col min="9" max="10" width="14.77734375" style="644" customWidth="1"/>
    <col min="11" max="11" width="14.77734375" style="648" customWidth="1"/>
    <col min="12" max="12" width="1.77734375" style="644" customWidth="1"/>
    <col min="13" max="13" width="32.5546875" style="644" customWidth="1"/>
    <col min="14" max="14" width="37.44140625" style="644" customWidth="1"/>
    <col min="15" max="15" width="57.44140625" style="644" bestFit="1" customWidth="1"/>
    <col min="16" max="16" width="8.88671875" style="653"/>
    <col min="17" max="17" width="3.77734375" style="644" customWidth="1"/>
    <col min="18" max="18" width="13" style="1181" customWidth="1"/>
    <col min="19" max="19" width="57.109375" style="378" customWidth="1"/>
    <col min="20" max="16384" width="8.88671875" style="644"/>
  </cols>
  <sheetData>
    <row r="1" spans="1:19" ht="39" customHeight="1" x14ac:dyDescent="0.25">
      <c r="A1" s="643" t="s">
        <v>211</v>
      </c>
      <c r="C1" s="645" t="s">
        <v>212</v>
      </c>
      <c r="E1" s="646" t="s">
        <v>844</v>
      </c>
      <c r="G1" s="647" t="s">
        <v>845</v>
      </c>
      <c r="H1" s="645" t="s">
        <v>839</v>
      </c>
      <c r="I1" s="645" t="s">
        <v>907</v>
      </c>
      <c r="J1" s="647" t="s">
        <v>845</v>
      </c>
      <c r="M1" s="649" t="s">
        <v>1015</v>
      </c>
      <c r="N1" s="649" t="s">
        <v>1670</v>
      </c>
      <c r="O1" s="649" t="s">
        <v>837</v>
      </c>
      <c r="P1" s="649" t="s">
        <v>932</v>
      </c>
      <c r="R1" s="650" t="s">
        <v>1243</v>
      </c>
      <c r="S1" s="651" t="s">
        <v>1244</v>
      </c>
    </row>
    <row r="2" spans="1:19" x14ac:dyDescent="0.2">
      <c r="A2" s="644" t="s">
        <v>738</v>
      </c>
      <c r="C2" s="652" t="s">
        <v>45</v>
      </c>
      <c r="E2" s="644" t="s">
        <v>256</v>
      </c>
      <c r="G2" s="653" t="s">
        <v>582</v>
      </c>
      <c r="H2" s="644" t="s">
        <v>847</v>
      </c>
      <c r="I2" s="644" t="s">
        <v>1017</v>
      </c>
      <c r="J2" s="653" t="s">
        <v>582</v>
      </c>
      <c r="M2" s="644" t="s">
        <v>996</v>
      </c>
      <c r="N2" s="644" t="s">
        <v>996</v>
      </c>
      <c r="O2" s="644" t="s">
        <v>898</v>
      </c>
      <c r="P2" s="652" t="s">
        <v>912</v>
      </c>
      <c r="R2" s="1181" t="s">
        <v>1333</v>
      </c>
      <c r="S2" s="378" t="s">
        <v>1334</v>
      </c>
    </row>
    <row r="3" spans="1:19" x14ac:dyDescent="0.2">
      <c r="A3" s="644" t="s">
        <v>739</v>
      </c>
      <c r="C3" s="652" t="s">
        <v>77</v>
      </c>
      <c r="E3" s="644" t="s">
        <v>1100</v>
      </c>
      <c r="G3" s="653" t="s">
        <v>584</v>
      </c>
      <c r="H3" s="644" t="s">
        <v>851</v>
      </c>
      <c r="I3" s="644" t="s">
        <v>1018</v>
      </c>
      <c r="J3" s="653" t="s">
        <v>584</v>
      </c>
      <c r="M3" s="644" t="s">
        <v>1009</v>
      </c>
      <c r="N3" s="644" t="s">
        <v>1009</v>
      </c>
      <c r="O3" s="644" t="s">
        <v>900</v>
      </c>
      <c r="P3" s="652" t="s">
        <v>826</v>
      </c>
      <c r="R3" s="1181" t="s">
        <v>1335</v>
      </c>
      <c r="S3" s="378" t="s">
        <v>1336</v>
      </c>
    </row>
    <row r="4" spans="1:19" x14ac:dyDescent="0.2">
      <c r="A4" s="644" t="s">
        <v>740</v>
      </c>
      <c r="C4" s="652" t="s">
        <v>95</v>
      </c>
      <c r="E4" s="644" t="s">
        <v>368</v>
      </c>
      <c r="G4" s="653" t="s">
        <v>586</v>
      </c>
      <c r="H4" s="644" t="s">
        <v>856</v>
      </c>
      <c r="I4" s="644" t="s">
        <v>1682</v>
      </c>
      <c r="J4" s="653" t="s">
        <v>586</v>
      </c>
      <c r="M4" s="644" t="s">
        <v>1008</v>
      </c>
      <c r="N4" s="644" t="s">
        <v>1008</v>
      </c>
      <c r="P4" s="653" t="s">
        <v>826</v>
      </c>
      <c r="R4" s="1181" t="s">
        <v>1337</v>
      </c>
      <c r="S4" s="378" t="s">
        <v>1338</v>
      </c>
    </row>
    <row r="5" spans="1:19" x14ac:dyDescent="0.2">
      <c r="A5" s="644" t="s">
        <v>741</v>
      </c>
      <c r="C5" s="652" t="s">
        <v>104</v>
      </c>
      <c r="E5" s="644" t="s">
        <v>518</v>
      </c>
      <c r="G5" s="653" t="s">
        <v>588</v>
      </c>
      <c r="H5" s="644" t="s">
        <v>855</v>
      </c>
      <c r="I5" s="644" t="s">
        <v>1683</v>
      </c>
      <c r="J5" s="653" t="s">
        <v>588</v>
      </c>
      <c r="M5" s="644" t="s">
        <v>1002</v>
      </c>
      <c r="N5" s="644" t="s">
        <v>1653</v>
      </c>
      <c r="O5" s="644" t="s">
        <v>883</v>
      </c>
      <c r="P5" s="652" t="s">
        <v>913</v>
      </c>
      <c r="R5" s="1181" t="s">
        <v>1339</v>
      </c>
      <c r="S5" s="378" t="s">
        <v>1340</v>
      </c>
    </row>
    <row r="6" spans="1:19" x14ac:dyDescent="0.2">
      <c r="A6" s="644" t="s">
        <v>742</v>
      </c>
      <c r="C6" s="652" t="s">
        <v>418</v>
      </c>
      <c r="E6" s="644" t="s">
        <v>836</v>
      </c>
      <c r="G6" s="653" t="s">
        <v>45</v>
      </c>
      <c r="H6" s="644" t="s">
        <v>848</v>
      </c>
      <c r="I6" s="644" t="s">
        <v>1021</v>
      </c>
      <c r="J6" s="653" t="s">
        <v>45</v>
      </c>
      <c r="M6" s="644" t="s">
        <v>1012</v>
      </c>
      <c r="N6" s="644" t="s">
        <v>1675</v>
      </c>
      <c r="O6" s="644" t="s">
        <v>894</v>
      </c>
      <c r="P6" s="652" t="s">
        <v>800</v>
      </c>
      <c r="R6" s="1181" t="s">
        <v>1342</v>
      </c>
      <c r="S6" s="378" t="s">
        <v>1343</v>
      </c>
    </row>
    <row r="7" spans="1:19" x14ac:dyDescent="0.2">
      <c r="A7" s="644" t="s">
        <v>0</v>
      </c>
      <c r="C7" s="652" t="s">
        <v>136</v>
      </c>
      <c r="G7" s="653" t="s">
        <v>591</v>
      </c>
      <c r="H7" s="644" t="s">
        <v>852</v>
      </c>
      <c r="I7" s="644" t="s">
        <v>1022</v>
      </c>
      <c r="J7" s="653" t="s">
        <v>591</v>
      </c>
      <c r="M7" s="644" t="s">
        <v>1013</v>
      </c>
      <c r="N7" s="644" t="s">
        <v>1013</v>
      </c>
      <c r="O7" s="644" t="s">
        <v>893</v>
      </c>
      <c r="P7" s="652" t="s">
        <v>914</v>
      </c>
      <c r="R7" s="1181" t="s">
        <v>1344</v>
      </c>
      <c r="S7" s="378" t="s">
        <v>1345</v>
      </c>
    </row>
    <row r="8" spans="1:19" x14ac:dyDescent="0.2">
      <c r="A8" s="644" t="s">
        <v>256</v>
      </c>
      <c r="G8" s="653" t="s">
        <v>593</v>
      </c>
      <c r="H8" s="644" t="s">
        <v>854</v>
      </c>
      <c r="I8" s="644" t="s">
        <v>1023</v>
      </c>
      <c r="J8" s="653" t="s">
        <v>593</v>
      </c>
      <c r="M8" s="644" t="s">
        <v>1005</v>
      </c>
      <c r="N8" s="644" t="s">
        <v>1005</v>
      </c>
      <c r="O8" s="644" t="s">
        <v>879</v>
      </c>
      <c r="P8" s="652" t="s">
        <v>915</v>
      </c>
      <c r="R8" s="1181" t="s">
        <v>1346</v>
      </c>
      <c r="S8" s="378" t="s">
        <v>1347</v>
      </c>
    </row>
    <row r="9" spans="1:19" x14ac:dyDescent="0.2">
      <c r="A9" s="644" t="s">
        <v>253</v>
      </c>
      <c r="G9" s="653" t="s">
        <v>595</v>
      </c>
      <c r="H9" s="644" t="s">
        <v>853</v>
      </c>
      <c r="I9" s="644" t="s">
        <v>1024</v>
      </c>
      <c r="J9" s="653" t="s">
        <v>595</v>
      </c>
      <c r="M9" s="644" t="s">
        <v>973</v>
      </c>
      <c r="N9" s="644" t="s">
        <v>1656</v>
      </c>
      <c r="O9" s="644" t="s">
        <v>887</v>
      </c>
      <c r="P9" s="652" t="s">
        <v>809</v>
      </c>
      <c r="R9" s="1181" t="s">
        <v>1348</v>
      </c>
      <c r="S9" s="378" t="s">
        <v>1349</v>
      </c>
    </row>
    <row r="10" spans="1:19" x14ac:dyDescent="0.2">
      <c r="G10" s="653" t="s">
        <v>116</v>
      </c>
      <c r="H10" s="644" t="s">
        <v>859</v>
      </c>
      <c r="I10" s="644" t="s">
        <v>1684</v>
      </c>
      <c r="J10" s="653" t="s">
        <v>116</v>
      </c>
      <c r="M10" s="644" t="s">
        <v>1007</v>
      </c>
      <c r="N10" s="644" t="s">
        <v>1007</v>
      </c>
      <c r="O10" s="644" t="s">
        <v>899</v>
      </c>
      <c r="P10" s="652" t="s">
        <v>916</v>
      </c>
      <c r="R10" s="1181" t="s">
        <v>1350</v>
      </c>
      <c r="S10" s="378" t="s">
        <v>1351</v>
      </c>
    </row>
    <row r="11" spans="1:19" x14ac:dyDescent="0.2">
      <c r="G11" s="653" t="s">
        <v>77</v>
      </c>
      <c r="H11" s="644" t="s">
        <v>849</v>
      </c>
      <c r="I11" s="644" t="s">
        <v>1019</v>
      </c>
      <c r="J11" s="653" t="s">
        <v>77</v>
      </c>
      <c r="M11" s="644" t="s">
        <v>995</v>
      </c>
      <c r="N11" s="644" t="s">
        <v>995</v>
      </c>
      <c r="O11" s="644" t="s">
        <v>874</v>
      </c>
      <c r="P11" s="652" t="s">
        <v>917</v>
      </c>
      <c r="R11" s="1181" t="s">
        <v>1352</v>
      </c>
      <c r="S11" s="378" t="s">
        <v>1353</v>
      </c>
    </row>
    <row r="12" spans="1:19" x14ac:dyDescent="0.2">
      <c r="G12" s="653" t="s">
        <v>326</v>
      </c>
      <c r="H12" s="644" t="s">
        <v>858</v>
      </c>
      <c r="I12" s="644" t="s">
        <v>1685</v>
      </c>
      <c r="J12" s="653" t="s">
        <v>326</v>
      </c>
      <c r="M12" s="644" t="s">
        <v>994</v>
      </c>
      <c r="N12" s="644" t="s">
        <v>1676</v>
      </c>
      <c r="P12" s="653" t="s">
        <v>917</v>
      </c>
      <c r="R12" s="1181" t="s">
        <v>1354</v>
      </c>
      <c r="S12" s="378" t="s">
        <v>1355</v>
      </c>
    </row>
    <row r="13" spans="1:19" x14ac:dyDescent="0.2">
      <c r="G13" s="653" t="s">
        <v>328</v>
      </c>
      <c r="H13" s="644" t="s">
        <v>860</v>
      </c>
      <c r="I13" s="644" t="s">
        <v>1686</v>
      </c>
      <c r="J13" s="653" t="s">
        <v>328</v>
      </c>
      <c r="M13" s="644" t="s">
        <v>999</v>
      </c>
      <c r="N13" s="644" t="s">
        <v>886</v>
      </c>
      <c r="O13" s="644" t="s">
        <v>886</v>
      </c>
      <c r="P13" s="652" t="s">
        <v>918</v>
      </c>
      <c r="R13" s="1181" t="s">
        <v>1356</v>
      </c>
      <c r="S13" s="378" t="s">
        <v>1357</v>
      </c>
    </row>
    <row r="14" spans="1:19" x14ac:dyDescent="0.2">
      <c r="G14" s="653" t="s">
        <v>330</v>
      </c>
      <c r="H14" s="644" t="s">
        <v>850</v>
      </c>
      <c r="I14" s="644" t="s">
        <v>1020</v>
      </c>
      <c r="J14" s="653" t="s">
        <v>330</v>
      </c>
      <c r="M14" s="644" t="s">
        <v>993</v>
      </c>
      <c r="N14" s="644" t="s">
        <v>1671</v>
      </c>
      <c r="O14" s="644" t="s">
        <v>881</v>
      </c>
      <c r="P14" s="652" t="s">
        <v>922</v>
      </c>
      <c r="R14" s="1181" t="s">
        <v>1034</v>
      </c>
      <c r="S14" s="378" t="s">
        <v>1358</v>
      </c>
    </row>
    <row r="15" spans="1:19" x14ac:dyDescent="0.2">
      <c r="G15" s="653" t="s">
        <v>332</v>
      </c>
      <c r="H15" s="644" t="s">
        <v>846</v>
      </c>
      <c r="I15" s="644" t="s">
        <v>1016</v>
      </c>
      <c r="J15" s="653" t="s">
        <v>332</v>
      </c>
      <c r="M15" s="644" t="s">
        <v>1004</v>
      </c>
      <c r="N15" s="644" t="s">
        <v>1679</v>
      </c>
      <c r="O15" s="644" t="s">
        <v>880</v>
      </c>
      <c r="P15" s="652" t="s">
        <v>921</v>
      </c>
      <c r="R15" s="1181" t="s">
        <v>1359</v>
      </c>
      <c r="S15" s="378" t="s">
        <v>1360</v>
      </c>
    </row>
    <row r="16" spans="1:19" x14ac:dyDescent="0.2">
      <c r="G16" s="653" t="s">
        <v>332</v>
      </c>
      <c r="H16" s="644" t="s">
        <v>971</v>
      </c>
      <c r="I16" s="644" t="s">
        <v>1016</v>
      </c>
      <c r="J16" s="653" t="s">
        <v>332</v>
      </c>
      <c r="M16" s="644" t="s">
        <v>998</v>
      </c>
      <c r="N16" s="644" t="s">
        <v>1673</v>
      </c>
      <c r="O16" s="644" t="s">
        <v>896</v>
      </c>
      <c r="P16" s="652" t="s">
        <v>923</v>
      </c>
      <c r="R16" s="1181" t="s">
        <v>1361</v>
      </c>
      <c r="S16" s="378" t="s">
        <v>1362</v>
      </c>
    </row>
    <row r="17" spans="1:19" x14ac:dyDescent="0.2">
      <c r="G17" s="653" t="s">
        <v>95</v>
      </c>
      <c r="H17" s="644" t="s">
        <v>857</v>
      </c>
      <c r="I17" s="644" t="s">
        <v>1687</v>
      </c>
      <c r="J17" s="653" t="s">
        <v>95</v>
      </c>
      <c r="M17" s="644" t="s">
        <v>997</v>
      </c>
      <c r="N17" s="644" t="s">
        <v>1067</v>
      </c>
      <c r="O17" s="644" t="s">
        <v>897</v>
      </c>
      <c r="P17" s="652" t="s">
        <v>920</v>
      </c>
      <c r="R17" s="1181" t="s">
        <v>1363</v>
      </c>
      <c r="S17" s="378" t="s">
        <v>1364</v>
      </c>
    </row>
    <row r="18" spans="1:19" x14ac:dyDescent="0.2">
      <c r="G18" s="653"/>
      <c r="H18" s="644" t="s">
        <v>1654</v>
      </c>
      <c r="I18" s="644" t="s">
        <v>1016</v>
      </c>
      <c r="J18" s="653" t="s">
        <v>332</v>
      </c>
      <c r="M18" s="644" t="s">
        <v>1003</v>
      </c>
      <c r="N18" s="644" t="s">
        <v>1061</v>
      </c>
      <c r="O18" s="644" t="s">
        <v>895</v>
      </c>
      <c r="P18" s="652" t="s">
        <v>924</v>
      </c>
      <c r="R18" s="1181" t="s">
        <v>1365</v>
      </c>
      <c r="S18" s="378" t="s">
        <v>1366</v>
      </c>
    </row>
    <row r="19" spans="1:19" x14ac:dyDescent="0.2">
      <c r="G19" s="653"/>
      <c r="H19" s="644" t="s">
        <v>1680</v>
      </c>
      <c r="J19" s="653"/>
      <c r="M19" s="644" t="s">
        <v>991</v>
      </c>
      <c r="N19" s="644" t="s">
        <v>1658</v>
      </c>
      <c r="O19" s="644" t="s">
        <v>882</v>
      </c>
      <c r="P19" s="652" t="s">
        <v>807</v>
      </c>
      <c r="R19" s="1181" t="s">
        <v>1367</v>
      </c>
      <c r="S19" s="378" t="s">
        <v>1368</v>
      </c>
    </row>
    <row r="20" spans="1:19" x14ac:dyDescent="0.2">
      <c r="G20" s="653"/>
      <c r="H20" s="644" t="s">
        <v>1681</v>
      </c>
      <c r="J20" s="653"/>
      <c r="M20" s="644" t="s">
        <v>970</v>
      </c>
      <c r="N20" s="644" t="s">
        <v>970</v>
      </c>
      <c r="O20" s="644" t="s">
        <v>890</v>
      </c>
      <c r="P20" s="652" t="s">
        <v>817</v>
      </c>
      <c r="R20" s="1181" t="s">
        <v>1369</v>
      </c>
      <c r="S20" s="378" t="s">
        <v>1370</v>
      </c>
    </row>
    <row r="21" spans="1:19" x14ac:dyDescent="0.2">
      <c r="M21" s="644" t="s">
        <v>972</v>
      </c>
      <c r="N21" s="644" t="s">
        <v>1660</v>
      </c>
      <c r="P21" s="653" t="s">
        <v>817</v>
      </c>
      <c r="R21" s="1181" t="s">
        <v>1371</v>
      </c>
      <c r="S21" s="378" t="s">
        <v>1372</v>
      </c>
    </row>
    <row r="22" spans="1:19" x14ac:dyDescent="0.2">
      <c r="A22" s="645" t="s">
        <v>1697</v>
      </c>
      <c r="B22" s="645" t="s">
        <v>838</v>
      </c>
      <c r="C22" s="645" t="s">
        <v>1697</v>
      </c>
      <c r="G22" s="645" t="s">
        <v>37</v>
      </c>
      <c r="H22" s="645" t="s">
        <v>1778</v>
      </c>
      <c r="I22" s="645" t="s">
        <v>1711</v>
      </c>
      <c r="J22" s="645" t="s">
        <v>1712</v>
      </c>
      <c r="K22" s="645" t="s">
        <v>1779</v>
      </c>
      <c r="M22" s="644" t="s">
        <v>988</v>
      </c>
      <c r="N22" s="644" t="s">
        <v>988</v>
      </c>
      <c r="O22" s="644" t="s">
        <v>888</v>
      </c>
      <c r="P22" s="652" t="s">
        <v>811</v>
      </c>
      <c r="R22" s="1181" t="s">
        <v>1373</v>
      </c>
      <c r="S22" s="378" t="s">
        <v>1374</v>
      </c>
    </row>
    <row r="23" spans="1:19" x14ac:dyDescent="0.2">
      <c r="A23" s="653" t="s">
        <v>1692</v>
      </c>
      <c r="B23" s="653" t="s">
        <v>842</v>
      </c>
      <c r="C23" s="653" t="s">
        <v>1692</v>
      </c>
      <c r="G23" s="654" t="s">
        <v>1713</v>
      </c>
      <c r="H23" s="648">
        <v>0.56200000000000006</v>
      </c>
      <c r="I23" s="648">
        <f>1-H28</f>
        <v>0.43799999999999994</v>
      </c>
      <c r="M23" s="644" t="s">
        <v>987</v>
      </c>
      <c r="N23" s="644" t="s">
        <v>987</v>
      </c>
      <c r="P23" s="653" t="s">
        <v>811</v>
      </c>
      <c r="R23" s="1181" t="s">
        <v>965</v>
      </c>
      <c r="S23" s="378" t="s">
        <v>1375</v>
      </c>
    </row>
    <row r="24" spans="1:19" x14ac:dyDescent="0.2">
      <c r="A24" s="653" t="s">
        <v>1693</v>
      </c>
      <c r="B24" s="653" t="s">
        <v>1698</v>
      </c>
      <c r="C24" s="653" t="s">
        <v>1693</v>
      </c>
      <c r="G24" s="654" t="s">
        <v>1714</v>
      </c>
      <c r="H24" s="648">
        <v>0.56200000000000006</v>
      </c>
      <c r="I24" s="648">
        <f>1-H29</f>
        <v>0.43799999999999994</v>
      </c>
      <c r="M24" s="644" t="s">
        <v>990</v>
      </c>
      <c r="N24" s="644" t="s">
        <v>1661</v>
      </c>
      <c r="O24" s="655" t="s">
        <v>891</v>
      </c>
      <c r="P24" s="652" t="s">
        <v>819</v>
      </c>
      <c r="R24" s="1181" t="s">
        <v>1376</v>
      </c>
      <c r="S24" s="378" t="s">
        <v>1377</v>
      </c>
    </row>
    <row r="25" spans="1:19" x14ac:dyDescent="0.2">
      <c r="A25" s="653" t="s">
        <v>1694</v>
      </c>
      <c r="B25" s="653" t="s">
        <v>1699</v>
      </c>
      <c r="C25" s="653" t="s">
        <v>1694</v>
      </c>
      <c r="G25" s="654" t="s">
        <v>1715</v>
      </c>
      <c r="H25" s="648">
        <v>0.56200000000000006</v>
      </c>
      <c r="I25" s="648">
        <f>1-H30</f>
        <v>0.43799999999999994</v>
      </c>
      <c r="M25" s="644" t="s">
        <v>889</v>
      </c>
      <c r="N25" s="644" t="s">
        <v>1091</v>
      </c>
      <c r="O25" s="644" t="s">
        <v>889</v>
      </c>
      <c r="P25" s="652" t="s">
        <v>815</v>
      </c>
      <c r="R25" s="1181" t="s">
        <v>1378</v>
      </c>
      <c r="S25" s="378" t="s">
        <v>1379</v>
      </c>
    </row>
    <row r="26" spans="1:19" x14ac:dyDescent="0.2">
      <c r="A26" s="653" t="s">
        <v>1695</v>
      </c>
      <c r="B26" s="653" t="s">
        <v>841</v>
      </c>
      <c r="C26" s="653" t="s">
        <v>1695</v>
      </c>
      <c r="G26" s="654" t="s">
        <v>1716</v>
      </c>
      <c r="H26" s="648">
        <v>0.55000000000000004</v>
      </c>
      <c r="I26" s="648">
        <f>1-H31</f>
        <v>0.44999999999999996</v>
      </c>
      <c r="M26" s="644" t="s">
        <v>983</v>
      </c>
      <c r="N26" s="644" t="s">
        <v>983</v>
      </c>
      <c r="O26" s="644" t="s">
        <v>1014</v>
      </c>
      <c r="P26" s="652" t="s">
        <v>823</v>
      </c>
      <c r="R26" s="1181" t="s">
        <v>1380</v>
      </c>
      <c r="S26" s="378" t="s">
        <v>1381</v>
      </c>
    </row>
    <row r="27" spans="1:19" x14ac:dyDescent="0.2">
      <c r="A27" s="653" t="s">
        <v>1700</v>
      </c>
      <c r="B27" s="653" t="s">
        <v>840</v>
      </c>
      <c r="C27" s="653" t="s">
        <v>1700</v>
      </c>
      <c r="G27" s="654" t="s">
        <v>1717</v>
      </c>
      <c r="H27" s="648">
        <v>0.55000000000000004</v>
      </c>
      <c r="I27" s="648">
        <f>1-H32</f>
        <v>0.44999999999999996</v>
      </c>
      <c r="M27" s="644" t="s">
        <v>989</v>
      </c>
      <c r="N27" s="644" t="s">
        <v>989</v>
      </c>
      <c r="P27" s="652" t="s">
        <v>823</v>
      </c>
      <c r="R27" s="1181" t="s">
        <v>1382</v>
      </c>
      <c r="S27" s="378" t="s">
        <v>1383</v>
      </c>
    </row>
    <row r="28" spans="1:19" x14ac:dyDescent="0.2">
      <c r="G28" s="644" t="s">
        <v>1718</v>
      </c>
      <c r="H28" s="648">
        <v>0.56200000000000006</v>
      </c>
      <c r="K28" s="648">
        <f t="shared" ref="K28:K82" si="0">1-H28-I28-J28</f>
        <v>0.43799999999999994</v>
      </c>
      <c r="M28" s="644" t="s">
        <v>992</v>
      </c>
      <c r="N28" s="644" t="s">
        <v>992</v>
      </c>
      <c r="O28" s="644" t="s">
        <v>901</v>
      </c>
      <c r="P28" s="652" t="s">
        <v>925</v>
      </c>
      <c r="R28" s="1181" t="s">
        <v>1384</v>
      </c>
      <c r="S28" s="378" t="s">
        <v>1385</v>
      </c>
    </row>
    <row r="29" spans="1:19" x14ac:dyDescent="0.2">
      <c r="G29" s="644" t="s">
        <v>1719</v>
      </c>
      <c r="H29" s="648">
        <v>0.56200000000000006</v>
      </c>
      <c r="K29" s="648">
        <f t="shared" si="0"/>
        <v>0.43799999999999994</v>
      </c>
      <c r="M29" s="644" t="s">
        <v>1011</v>
      </c>
      <c r="N29" s="644" t="s">
        <v>1081</v>
      </c>
      <c r="O29" s="644" t="s">
        <v>885</v>
      </c>
      <c r="P29" s="652" t="s">
        <v>926</v>
      </c>
      <c r="R29" s="1181" t="s">
        <v>1386</v>
      </c>
      <c r="S29" s="378" t="s">
        <v>1387</v>
      </c>
    </row>
    <row r="30" spans="1:19" x14ac:dyDescent="0.2">
      <c r="A30" s="643" t="s">
        <v>2002</v>
      </c>
      <c r="B30" s="643"/>
      <c r="G30" s="644" t="s">
        <v>1720</v>
      </c>
      <c r="H30" s="648">
        <v>0.56200000000000006</v>
      </c>
      <c r="K30" s="648">
        <f t="shared" si="0"/>
        <v>0.43799999999999994</v>
      </c>
      <c r="M30" s="644" t="s">
        <v>1010</v>
      </c>
      <c r="N30" s="644" t="s">
        <v>1678</v>
      </c>
      <c r="P30" s="652" t="s">
        <v>926</v>
      </c>
      <c r="R30" s="1181" t="s">
        <v>1388</v>
      </c>
      <c r="S30" s="378" t="s">
        <v>1389</v>
      </c>
    </row>
    <row r="31" spans="1:19" x14ac:dyDescent="0.2">
      <c r="A31" s="653" t="s">
        <v>969</v>
      </c>
      <c r="G31" s="644" t="s">
        <v>1721</v>
      </c>
      <c r="H31" s="648">
        <v>0.55000000000000004</v>
      </c>
      <c r="K31" s="648">
        <f t="shared" si="0"/>
        <v>0.44999999999999996</v>
      </c>
      <c r="M31" s="644" t="s">
        <v>1001</v>
      </c>
      <c r="N31" s="644" t="s">
        <v>1663</v>
      </c>
      <c r="O31" s="644" t="s">
        <v>884</v>
      </c>
      <c r="P31" s="652" t="s">
        <v>927</v>
      </c>
      <c r="R31" s="1181" t="s">
        <v>1390</v>
      </c>
      <c r="S31" s="378" t="s">
        <v>1391</v>
      </c>
    </row>
    <row r="32" spans="1:19" x14ac:dyDescent="0.2">
      <c r="A32" s="653" t="s">
        <v>966</v>
      </c>
      <c r="G32" s="644" t="s">
        <v>1722</v>
      </c>
      <c r="H32" s="648">
        <v>0.55000000000000004</v>
      </c>
      <c r="K32" s="648">
        <f t="shared" si="0"/>
        <v>0.44999999999999996</v>
      </c>
      <c r="M32" s="644" t="s">
        <v>1000</v>
      </c>
      <c r="N32" s="644" t="s">
        <v>1664</v>
      </c>
      <c r="P32" s="652" t="s">
        <v>927</v>
      </c>
      <c r="R32" s="1181" t="s">
        <v>1392</v>
      </c>
      <c r="S32" s="378" t="s">
        <v>1393</v>
      </c>
    </row>
    <row r="33" spans="7:19" x14ac:dyDescent="0.2">
      <c r="G33" s="654" t="s">
        <v>1723</v>
      </c>
      <c r="H33" s="648">
        <v>0.69340000000000002</v>
      </c>
      <c r="I33" s="648">
        <f>1-H38</f>
        <v>0.30659999999999998</v>
      </c>
      <c r="M33" s="644" t="s">
        <v>1006</v>
      </c>
      <c r="N33" s="644" t="s">
        <v>1665</v>
      </c>
      <c r="O33" s="644" t="s">
        <v>902</v>
      </c>
      <c r="P33" s="652" t="s">
        <v>803</v>
      </c>
      <c r="R33" s="1181" t="s">
        <v>1394</v>
      </c>
      <c r="S33" s="378" t="s">
        <v>1395</v>
      </c>
    </row>
    <row r="34" spans="7:19" x14ac:dyDescent="0.2">
      <c r="G34" s="654" t="s">
        <v>1724</v>
      </c>
      <c r="H34" s="648">
        <v>0.69340000000000002</v>
      </c>
      <c r="I34" s="648">
        <f>1-H39</f>
        <v>0.30659999999999998</v>
      </c>
      <c r="M34" s="644" t="s">
        <v>981</v>
      </c>
      <c r="N34" s="644" t="s">
        <v>981</v>
      </c>
      <c r="O34" s="644" t="s">
        <v>878</v>
      </c>
      <c r="P34" s="652" t="s">
        <v>798</v>
      </c>
      <c r="R34" s="1181" t="s">
        <v>1396</v>
      </c>
      <c r="S34" s="378" t="s">
        <v>1397</v>
      </c>
    </row>
    <row r="35" spans="7:19" x14ac:dyDescent="0.2">
      <c r="G35" s="654" t="s">
        <v>1725</v>
      </c>
      <c r="H35" s="648">
        <v>0.69340000000000002</v>
      </c>
      <c r="I35" s="648">
        <f>1-H40</f>
        <v>0.30659999999999998</v>
      </c>
      <c r="M35" s="644" t="s">
        <v>986</v>
      </c>
      <c r="N35" s="644" t="s">
        <v>1674</v>
      </c>
      <c r="O35" s="644" t="s">
        <v>892</v>
      </c>
      <c r="P35" s="652" t="s">
        <v>928</v>
      </c>
      <c r="R35" s="1181" t="s">
        <v>1398</v>
      </c>
      <c r="S35" s="378" t="s">
        <v>1399</v>
      </c>
    </row>
    <row r="36" spans="7:19" x14ac:dyDescent="0.2">
      <c r="G36" s="654" t="s">
        <v>1726</v>
      </c>
      <c r="H36" s="648">
        <v>0.68500000000000005</v>
      </c>
      <c r="I36" s="648">
        <f>1-H41</f>
        <v>0.31499999999999995</v>
      </c>
      <c r="M36" s="644" t="s">
        <v>985</v>
      </c>
      <c r="N36" s="644" t="s">
        <v>985</v>
      </c>
      <c r="O36" s="644" t="s">
        <v>876</v>
      </c>
      <c r="P36" s="652" t="s">
        <v>930</v>
      </c>
      <c r="R36" s="1181" t="s">
        <v>1400</v>
      </c>
      <c r="S36" s="378" t="s">
        <v>1401</v>
      </c>
    </row>
    <row r="37" spans="7:19" x14ac:dyDescent="0.2">
      <c r="G37" s="654" t="s">
        <v>1727</v>
      </c>
      <c r="H37" s="648">
        <v>0.68500000000000005</v>
      </c>
      <c r="I37" s="648">
        <f>1-H42</f>
        <v>0.31499999999999995</v>
      </c>
      <c r="M37" s="644" t="s">
        <v>984</v>
      </c>
      <c r="N37" s="644" t="s">
        <v>984</v>
      </c>
      <c r="O37" s="644" t="s">
        <v>877</v>
      </c>
      <c r="P37" s="652" t="s">
        <v>931</v>
      </c>
      <c r="R37" s="1181" t="s">
        <v>1402</v>
      </c>
      <c r="S37" s="378" t="s">
        <v>1403</v>
      </c>
    </row>
    <row r="38" spans="7:19" x14ac:dyDescent="0.2">
      <c r="G38" s="656" t="s">
        <v>1728</v>
      </c>
      <c r="H38" s="648">
        <v>0.69340000000000002</v>
      </c>
      <c r="K38" s="648">
        <f t="shared" si="0"/>
        <v>0.30659999999999998</v>
      </c>
      <c r="M38" s="644" t="s">
        <v>980</v>
      </c>
      <c r="N38" s="644" t="s">
        <v>1057</v>
      </c>
      <c r="O38" s="644" t="s">
        <v>878</v>
      </c>
      <c r="P38" s="652" t="s">
        <v>798</v>
      </c>
      <c r="R38" s="1181" t="s">
        <v>1404</v>
      </c>
      <c r="S38" s="378" t="s">
        <v>1405</v>
      </c>
    </row>
    <row r="39" spans="7:19" x14ac:dyDescent="0.2">
      <c r="G39" s="656" t="s">
        <v>1729</v>
      </c>
      <c r="H39" s="648">
        <v>0.69340000000000002</v>
      </c>
      <c r="K39" s="648">
        <f t="shared" si="0"/>
        <v>0.30659999999999998</v>
      </c>
      <c r="M39" s="644" t="s">
        <v>982</v>
      </c>
      <c r="N39" s="644" t="s">
        <v>1677</v>
      </c>
      <c r="O39" s="644" t="s">
        <v>875</v>
      </c>
      <c r="P39" s="652" t="s">
        <v>929</v>
      </c>
      <c r="R39" s="1181" t="s">
        <v>1406</v>
      </c>
      <c r="S39" s="378" t="s">
        <v>1407</v>
      </c>
    </row>
    <row r="40" spans="7:19" x14ac:dyDescent="0.2">
      <c r="G40" s="656" t="s">
        <v>1730</v>
      </c>
      <c r="H40" s="648">
        <v>0.69340000000000002</v>
      </c>
      <c r="K40" s="648">
        <f t="shared" si="0"/>
        <v>0.30659999999999998</v>
      </c>
      <c r="M40" s="644" t="s">
        <v>974</v>
      </c>
      <c r="N40" s="644" t="s">
        <v>974</v>
      </c>
      <c r="O40" s="644" t="s">
        <v>904</v>
      </c>
      <c r="P40" s="653" t="s">
        <v>910</v>
      </c>
      <c r="R40" s="1181" t="s">
        <v>1408</v>
      </c>
      <c r="S40" s="378" t="s">
        <v>1409</v>
      </c>
    </row>
    <row r="41" spans="7:19" x14ac:dyDescent="0.2">
      <c r="G41" s="656" t="s">
        <v>1731</v>
      </c>
      <c r="H41" s="648">
        <v>0.68500000000000005</v>
      </c>
      <c r="K41" s="648">
        <f t="shared" si="0"/>
        <v>0.31499999999999995</v>
      </c>
      <c r="M41" s="644" t="s">
        <v>975</v>
      </c>
      <c r="N41" s="644" t="s">
        <v>975</v>
      </c>
      <c r="P41" s="653" t="s">
        <v>910</v>
      </c>
      <c r="R41" s="1181" t="s">
        <v>1617</v>
      </c>
      <c r="S41" s="378" t="s">
        <v>1618</v>
      </c>
    </row>
    <row r="42" spans="7:19" x14ac:dyDescent="0.2">
      <c r="G42" s="656" t="s">
        <v>1732</v>
      </c>
      <c r="H42" s="648">
        <v>0.68500000000000005</v>
      </c>
      <c r="K42" s="648">
        <f t="shared" si="0"/>
        <v>0.31499999999999995</v>
      </c>
      <c r="M42" s="644" t="s">
        <v>976</v>
      </c>
      <c r="N42" s="644" t="s">
        <v>976</v>
      </c>
      <c r="O42" s="644" t="s">
        <v>905</v>
      </c>
      <c r="P42" s="653" t="s">
        <v>908</v>
      </c>
      <c r="R42" s="1181" t="s">
        <v>1410</v>
      </c>
      <c r="S42" s="378" t="s">
        <v>1411</v>
      </c>
    </row>
    <row r="43" spans="7:19" x14ac:dyDescent="0.2">
      <c r="G43" s="654" t="s">
        <v>1733</v>
      </c>
      <c r="H43" s="648">
        <v>0.69340000000000002</v>
      </c>
      <c r="I43" s="648">
        <f>1-H48</f>
        <v>0.30659999999999998</v>
      </c>
      <c r="M43" s="644" t="s">
        <v>977</v>
      </c>
      <c r="N43" s="644" t="s">
        <v>977</v>
      </c>
      <c r="O43" s="644" t="s">
        <v>906</v>
      </c>
      <c r="P43" s="653" t="s">
        <v>909</v>
      </c>
      <c r="R43" s="1181" t="s">
        <v>1412</v>
      </c>
      <c r="S43" s="378" t="s">
        <v>1413</v>
      </c>
    </row>
    <row r="44" spans="7:19" x14ac:dyDescent="0.2">
      <c r="G44" s="654" t="s">
        <v>1734</v>
      </c>
      <c r="H44" s="648">
        <v>0.69340000000000002</v>
      </c>
      <c r="I44" s="648">
        <f>1-H49</f>
        <v>0.30659999999999998</v>
      </c>
      <c r="M44" s="644" t="s">
        <v>978</v>
      </c>
      <c r="N44" s="644" t="s">
        <v>978</v>
      </c>
      <c r="P44" s="653" t="s">
        <v>909</v>
      </c>
      <c r="R44" s="1181" t="s">
        <v>1414</v>
      </c>
      <c r="S44" s="378" t="s">
        <v>1415</v>
      </c>
    </row>
    <row r="45" spans="7:19" x14ac:dyDescent="0.2">
      <c r="G45" s="654" t="s">
        <v>1735</v>
      </c>
      <c r="H45" s="648">
        <v>0.69340000000000002</v>
      </c>
      <c r="I45" s="648">
        <f>1-H50</f>
        <v>0.30659999999999998</v>
      </c>
      <c r="M45" s="644" t="s">
        <v>979</v>
      </c>
      <c r="N45" s="644" t="s">
        <v>979</v>
      </c>
      <c r="O45" s="644" t="s">
        <v>903</v>
      </c>
      <c r="P45" s="653" t="s">
        <v>911</v>
      </c>
      <c r="R45" s="1181" t="s">
        <v>1416</v>
      </c>
      <c r="S45" s="378" t="s">
        <v>1417</v>
      </c>
    </row>
    <row r="46" spans="7:19" x14ac:dyDescent="0.2">
      <c r="G46" s="654" t="s">
        <v>1736</v>
      </c>
      <c r="H46" s="648">
        <v>0.68500000000000005</v>
      </c>
      <c r="I46" s="648">
        <f>1-H51</f>
        <v>0.31499999999999995</v>
      </c>
      <c r="N46" s="644" t="s">
        <v>1655</v>
      </c>
      <c r="P46" s="653" t="s">
        <v>913</v>
      </c>
      <c r="R46" s="1181" t="s">
        <v>1619</v>
      </c>
      <c r="S46" s="378" t="s">
        <v>1620</v>
      </c>
    </row>
    <row r="47" spans="7:19" x14ac:dyDescent="0.2">
      <c r="G47" s="654" t="s">
        <v>1737</v>
      </c>
      <c r="H47" s="648">
        <v>0.68500000000000005</v>
      </c>
      <c r="I47" s="648">
        <f>1-H52</f>
        <v>0.31499999999999995</v>
      </c>
      <c r="N47" s="644" t="s">
        <v>1657</v>
      </c>
      <c r="P47" s="653" t="s">
        <v>809</v>
      </c>
      <c r="R47" s="1181" t="s">
        <v>1418</v>
      </c>
      <c r="S47" s="378" t="s">
        <v>1419</v>
      </c>
    </row>
    <row r="48" spans="7:19" x14ac:dyDescent="0.2">
      <c r="G48" s="656" t="s">
        <v>1738</v>
      </c>
      <c r="H48" s="648">
        <v>0.69340000000000002</v>
      </c>
      <c r="K48" s="648">
        <f t="shared" si="0"/>
        <v>0.30659999999999998</v>
      </c>
      <c r="N48" s="644" t="s">
        <v>1090</v>
      </c>
      <c r="P48" s="652" t="s">
        <v>815</v>
      </c>
      <c r="R48" s="1181" t="s">
        <v>1621</v>
      </c>
      <c r="S48" s="378" t="s">
        <v>1622</v>
      </c>
    </row>
    <row r="49" spans="7:19" x14ac:dyDescent="0.2">
      <c r="G49" s="656" t="s">
        <v>1739</v>
      </c>
      <c r="H49" s="648">
        <v>0.69340000000000002</v>
      </c>
      <c r="K49" s="648">
        <f t="shared" si="0"/>
        <v>0.30659999999999998</v>
      </c>
      <c r="N49" s="644" t="s">
        <v>1666</v>
      </c>
      <c r="P49" s="652" t="s">
        <v>803</v>
      </c>
      <c r="R49" s="1181" t="s">
        <v>1623</v>
      </c>
      <c r="S49" s="378" t="s">
        <v>1624</v>
      </c>
    </row>
    <row r="50" spans="7:19" x14ac:dyDescent="0.2">
      <c r="G50" s="656" t="s">
        <v>1740</v>
      </c>
      <c r="H50" s="648">
        <v>0.69340000000000002</v>
      </c>
      <c r="K50" s="648">
        <f t="shared" si="0"/>
        <v>0.30659999999999998</v>
      </c>
      <c r="N50" s="644" t="s">
        <v>1672</v>
      </c>
      <c r="P50" s="652" t="s">
        <v>922</v>
      </c>
      <c r="R50" s="1181" t="s">
        <v>1420</v>
      </c>
      <c r="S50" s="378" t="s">
        <v>1421</v>
      </c>
    </row>
    <row r="51" spans="7:19" x14ac:dyDescent="0.2">
      <c r="G51" s="656" t="s">
        <v>1741</v>
      </c>
      <c r="H51" s="648">
        <v>0.68500000000000005</v>
      </c>
      <c r="K51" s="648">
        <f t="shared" si="0"/>
        <v>0.31499999999999995</v>
      </c>
      <c r="N51" s="644" t="s">
        <v>1662</v>
      </c>
      <c r="P51" s="652" t="s">
        <v>819</v>
      </c>
      <c r="R51" s="1181" t="s">
        <v>1422</v>
      </c>
      <c r="S51" s="378" t="s">
        <v>1423</v>
      </c>
    </row>
    <row r="52" spans="7:19" x14ac:dyDescent="0.2">
      <c r="G52" s="656" t="s">
        <v>1742</v>
      </c>
      <c r="H52" s="648">
        <v>0.68500000000000005</v>
      </c>
      <c r="K52" s="648">
        <f t="shared" si="0"/>
        <v>0.31499999999999995</v>
      </c>
      <c r="N52" s="644" t="s">
        <v>1659</v>
      </c>
      <c r="P52" s="653" t="s">
        <v>807</v>
      </c>
      <c r="R52" s="1181" t="s">
        <v>1424</v>
      </c>
      <c r="S52" s="378" t="s">
        <v>1425</v>
      </c>
    </row>
    <row r="53" spans="7:19" x14ac:dyDescent="0.2">
      <c r="G53" s="654" t="s">
        <v>1743</v>
      </c>
      <c r="H53" s="648">
        <v>0.69340000000000002</v>
      </c>
      <c r="I53" s="648"/>
      <c r="K53" s="648">
        <f t="shared" si="0"/>
        <v>0.30659999999999998</v>
      </c>
      <c r="P53" s="652"/>
      <c r="R53" s="1181" t="s">
        <v>1426</v>
      </c>
      <c r="S53" s="378" t="s">
        <v>1427</v>
      </c>
    </row>
    <row r="54" spans="7:19" x14ac:dyDescent="0.2">
      <c r="G54" s="654" t="s">
        <v>1744</v>
      </c>
      <c r="H54" s="648">
        <v>0.69340000000000002</v>
      </c>
      <c r="I54" s="648"/>
      <c r="K54" s="648">
        <f t="shared" si="0"/>
        <v>0.30659999999999998</v>
      </c>
      <c r="R54" s="1181" t="s">
        <v>1625</v>
      </c>
      <c r="S54" s="378" t="s">
        <v>1626</v>
      </c>
    </row>
    <row r="55" spans="7:19" x14ac:dyDescent="0.2">
      <c r="G55" s="654" t="s">
        <v>1745</v>
      </c>
      <c r="H55" s="648">
        <v>0.69340000000000002</v>
      </c>
      <c r="I55" s="648"/>
      <c r="K55" s="648">
        <f t="shared" si="0"/>
        <v>0.30659999999999998</v>
      </c>
      <c r="R55" s="1181" t="s">
        <v>1428</v>
      </c>
      <c r="S55" s="378" t="s">
        <v>1429</v>
      </c>
    </row>
    <row r="56" spans="7:19" x14ac:dyDescent="0.2">
      <c r="G56" s="654" t="s">
        <v>1746</v>
      </c>
      <c r="H56" s="648">
        <v>0.68500000000000005</v>
      </c>
      <c r="I56" s="648"/>
      <c r="K56" s="648">
        <f t="shared" si="0"/>
        <v>0.31499999999999995</v>
      </c>
      <c r="O56" s="644" t="s">
        <v>898</v>
      </c>
      <c r="P56" s="653" t="s">
        <v>912</v>
      </c>
      <c r="R56" s="1181" t="s">
        <v>1430</v>
      </c>
      <c r="S56" s="378" t="s">
        <v>1431</v>
      </c>
    </row>
    <row r="57" spans="7:19" x14ac:dyDescent="0.2">
      <c r="G57" s="654" t="s">
        <v>1747</v>
      </c>
      <c r="H57" s="648">
        <v>0.68500000000000005</v>
      </c>
      <c r="I57" s="648"/>
      <c r="K57" s="648">
        <f t="shared" si="0"/>
        <v>0.31499999999999995</v>
      </c>
      <c r="O57" s="644" t="s">
        <v>883</v>
      </c>
      <c r="P57" s="653" t="s">
        <v>913</v>
      </c>
      <c r="R57" s="1181" t="s">
        <v>1432</v>
      </c>
      <c r="S57" s="378" t="s">
        <v>1433</v>
      </c>
    </row>
    <row r="58" spans="7:19" x14ac:dyDescent="0.2">
      <c r="G58" s="656" t="s">
        <v>1748</v>
      </c>
      <c r="H58" s="648">
        <v>0.69340000000000002</v>
      </c>
      <c r="I58" s="648"/>
      <c r="K58" s="648">
        <f t="shared" si="0"/>
        <v>0.30659999999999998</v>
      </c>
      <c r="O58" s="644" t="s">
        <v>894</v>
      </c>
      <c r="P58" s="653" t="s">
        <v>800</v>
      </c>
      <c r="R58" s="1181" t="s">
        <v>1434</v>
      </c>
      <c r="S58" s="378" t="s">
        <v>1435</v>
      </c>
    </row>
    <row r="59" spans="7:19" x14ac:dyDescent="0.2">
      <c r="G59" s="656" t="s">
        <v>1749</v>
      </c>
      <c r="H59" s="648">
        <v>0.69340000000000002</v>
      </c>
      <c r="I59" s="648"/>
      <c r="K59" s="648">
        <f t="shared" si="0"/>
        <v>0.30659999999999998</v>
      </c>
      <c r="O59" s="644" t="s">
        <v>905</v>
      </c>
      <c r="P59" s="653" t="s">
        <v>908</v>
      </c>
      <c r="R59" s="1181" t="s">
        <v>1436</v>
      </c>
      <c r="S59" s="378" t="s">
        <v>1437</v>
      </c>
    </row>
    <row r="60" spans="7:19" x14ac:dyDescent="0.2">
      <c r="G60" s="656" t="s">
        <v>1750</v>
      </c>
      <c r="H60" s="648">
        <v>0.69340000000000002</v>
      </c>
      <c r="I60" s="648"/>
      <c r="K60" s="648">
        <f t="shared" si="0"/>
        <v>0.30659999999999998</v>
      </c>
      <c r="O60" s="644" t="s">
        <v>893</v>
      </c>
      <c r="P60" s="653" t="s">
        <v>914</v>
      </c>
      <c r="R60" s="1181" t="s">
        <v>1438</v>
      </c>
      <c r="S60" s="378" t="s">
        <v>1439</v>
      </c>
    </row>
    <row r="61" spans="7:19" x14ac:dyDescent="0.2">
      <c r="G61" s="656" t="s">
        <v>1751</v>
      </c>
      <c r="H61" s="648">
        <v>0.68500000000000005</v>
      </c>
      <c r="I61" s="648"/>
      <c r="K61" s="648">
        <f t="shared" si="0"/>
        <v>0.31499999999999995</v>
      </c>
      <c r="O61" s="644" t="s">
        <v>879</v>
      </c>
      <c r="P61" s="653" t="s">
        <v>915</v>
      </c>
      <c r="R61" s="1181" t="s">
        <v>1440</v>
      </c>
      <c r="S61" s="378" t="s">
        <v>1441</v>
      </c>
    </row>
    <row r="62" spans="7:19" x14ac:dyDescent="0.2">
      <c r="G62" s="656" t="s">
        <v>1752</v>
      </c>
      <c r="H62" s="648">
        <v>0.68500000000000005</v>
      </c>
      <c r="I62" s="648"/>
      <c r="K62" s="648">
        <f t="shared" si="0"/>
        <v>0.31499999999999995</v>
      </c>
      <c r="O62" s="644" t="s">
        <v>900</v>
      </c>
      <c r="P62" s="653" t="s">
        <v>826</v>
      </c>
      <c r="R62" s="1181" t="s">
        <v>1442</v>
      </c>
      <c r="S62" s="378" t="s">
        <v>1443</v>
      </c>
    </row>
    <row r="63" spans="7:19" x14ac:dyDescent="0.2">
      <c r="G63" s="654" t="s">
        <v>1753</v>
      </c>
      <c r="H63" s="648">
        <v>1</v>
      </c>
      <c r="I63" s="657"/>
      <c r="O63" s="644" t="s">
        <v>887</v>
      </c>
      <c r="P63" s="653" t="s">
        <v>809</v>
      </c>
      <c r="R63" s="1181" t="s">
        <v>1444</v>
      </c>
      <c r="S63" s="378" t="s">
        <v>1644</v>
      </c>
    </row>
    <row r="64" spans="7:19" x14ac:dyDescent="0.2">
      <c r="G64" s="654" t="s">
        <v>1754</v>
      </c>
      <c r="H64" s="648">
        <v>1</v>
      </c>
      <c r="I64" s="657"/>
      <c r="O64" s="644" t="s">
        <v>899</v>
      </c>
      <c r="P64" s="653" t="s">
        <v>916</v>
      </c>
      <c r="R64" s="1181" t="s">
        <v>1445</v>
      </c>
      <c r="S64" s="378" t="s">
        <v>1446</v>
      </c>
    </row>
    <row r="65" spans="7:19" x14ac:dyDescent="0.2">
      <c r="G65" s="654" t="s">
        <v>1755</v>
      </c>
      <c r="H65" s="648">
        <v>1</v>
      </c>
      <c r="I65" s="657"/>
      <c r="O65" s="644" t="s">
        <v>874</v>
      </c>
      <c r="P65" s="653" t="s">
        <v>917</v>
      </c>
      <c r="R65" s="1181" t="s">
        <v>1447</v>
      </c>
      <c r="S65" s="378" t="s">
        <v>1448</v>
      </c>
    </row>
    <row r="66" spans="7:19" x14ac:dyDescent="0.2">
      <c r="G66" s="654" t="s">
        <v>1756</v>
      </c>
      <c r="H66" s="648">
        <v>1</v>
      </c>
      <c r="I66" s="657"/>
      <c r="O66" s="644" t="s">
        <v>886</v>
      </c>
      <c r="P66" s="653" t="s">
        <v>918</v>
      </c>
      <c r="R66" s="1181" t="s">
        <v>1449</v>
      </c>
      <c r="S66" s="378" t="s">
        <v>1450</v>
      </c>
    </row>
    <row r="67" spans="7:19" x14ac:dyDescent="0.2">
      <c r="G67" s="654" t="s">
        <v>1757</v>
      </c>
      <c r="H67" s="648">
        <v>1</v>
      </c>
      <c r="I67" s="657"/>
      <c r="O67" s="644" t="s">
        <v>897</v>
      </c>
      <c r="P67" s="653" t="s">
        <v>920</v>
      </c>
      <c r="R67" s="1181" t="s">
        <v>1451</v>
      </c>
      <c r="S67" s="378" t="s">
        <v>1452</v>
      </c>
    </row>
    <row r="68" spans="7:19" x14ac:dyDescent="0.2">
      <c r="G68" s="656" t="s">
        <v>1758</v>
      </c>
      <c r="H68" s="648">
        <v>0.9</v>
      </c>
      <c r="I68" s="657"/>
      <c r="J68" s="657">
        <v>0.1</v>
      </c>
      <c r="O68" s="644" t="s">
        <v>880</v>
      </c>
      <c r="P68" s="653" t="s">
        <v>921</v>
      </c>
      <c r="R68" s="1181" t="s">
        <v>1453</v>
      </c>
      <c r="S68" s="378" t="s">
        <v>1454</v>
      </c>
    </row>
    <row r="69" spans="7:19" x14ac:dyDescent="0.2">
      <c r="G69" s="656" t="s">
        <v>1759</v>
      </c>
      <c r="H69" s="648">
        <v>0.9</v>
      </c>
      <c r="I69" s="657"/>
      <c r="J69" s="657">
        <v>0.1</v>
      </c>
      <c r="O69" s="644" t="s">
        <v>881</v>
      </c>
      <c r="P69" s="653" t="s">
        <v>922</v>
      </c>
      <c r="R69" s="1181" t="s">
        <v>1455</v>
      </c>
      <c r="S69" s="378" t="s">
        <v>1456</v>
      </c>
    </row>
    <row r="70" spans="7:19" x14ac:dyDescent="0.2">
      <c r="G70" s="656" t="s">
        <v>1760</v>
      </c>
      <c r="H70" s="648">
        <v>0.9</v>
      </c>
      <c r="I70" s="657"/>
      <c r="J70" s="657">
        <v>0.1</v>
      </c>
      <c r="O70" s="644" t="s">
        <v>896</v>
      </c>
      <c r="P70" s="653" t="s">
        <v>923</v>
      </c>
      <c r="R70" s="1181" t="s">
        <v>1457</v>
      </c>
      <c r="S70" s="378" t="s">
        <v>1458</v>
      </c>
    </row>
    <row r="71" spans="7:19" x14ac:dyDescent="0.2">
      <c r="G71" s="656" t="s">
        <v>1761</v>
      </c>
      <c r="H71" s="648">
        <v>0.9</v>
      </c>
      <c r="I71" s="657"/>
      <c r="J71" s="657">
        <v>0.1</v>
      </c>
      <c r="O71" s="644" t="s">
        <v>895</v>
      </c>
      <c r="P71" s="653" t="s">
        <v>924</v>
      </c>
      <c r="R71" s="1181" t="s">
        <v>1459</v>
      </c>
      <c r="S71" s="378" t="s">
        <v>1460</v>
      </c>
    </row>
    <row r="72" spans="7:19" x14ac:dyDescent="0.2">
      <c r="G72" s="656" t="s">
        <v>1762</v>
      </c>
      <c r="H72" s="648">
        <v>0.9</v>
      </c>
      <c r="I72" s="657"/>
      <c r="J72" s="657">
        <v>0.1</v>
      </c>
      <c r="O72" s="644" t="s">
        <v>882</v>
      </c>
      <c r="P72" s="653" t="s">
        <v>807</v>
      </c>
      <c r="R72" s="1181" t="s">
        <v>1461</v>
      </c>
      <c r="S72" s="378" t="s">
        <v>1462</v>
      </c>
    </row>
    <row r="73" spans="7:19" x14ac:dyDescent="0.2">
      <c r="G73" s="654" t="s">
        <v>1763</v>
      </c>
      <c r="H73" s="648">
        <v>0.69340000000000002</v>
      </c>
      <c r="I73" s="648">
        <f>1-H78</f>
        <v>0.30659999999999998</v>
      </c>
      <c r="O73" s="644" t="s">
        <v>890</v>
      </c>
      <c r="P73" s="653" t="s">
        <v>817</v>
      </c>
      <c r="R73" s="1181" t="s">
        <v>1463</v>
      </c>
      <c r="S73" s="378" t="s">
        <v>1464</v>
      </c>
    </row>
    <row r="74" spans="7:19" x14ac:dyDescent="0.2">
      <c r="G74" s="654" t="s">
        <v>1764</v>
      </c>
      <c r="H74" s="648">
        <v>0.69340000000000002</v>
      </c>
      <c r="I74" s="648">
        <f>1-H79</f>
        <v>0.30659999999999998</v>
      </c>
      <c r="O74" s="644" t="s">
        <v>906</v>
      </c>
      <c r="P74" s="653" t="s">
        <v>909</v>
      </c>
      <c r="R74" s="1181" t="s">
        <v>1465</v>
      </c>
      <c r="S74" s="378" t="s">
        <v>1466</v>
      </c>
    </row>
    <row r="75" spans="7:19" x14ac:dyDescent="0.2">
      <c r="G75" s="654" t="s">
        <v>1765</v>
      </c>
      <c r="H75" s="648">
        <v>0.69340000000000002</v>
      </c>
      <c r="I75" s="648">
        <f>1-H80</f>
        <v>0.30659999999999998</v>
      </c>
      <c r="O75" s="644" t="s">
        <v>888</v>
      </c>
      <c r="P75" s="653" t="s">
        <v>811</v>
      </c>
      <c r="R75" s="1181" t="s">
        <v>1467</v>
      </c>
      <c r="S75" s="378" t="s">
        <v>1468</v>
      </c>
    </row>
    <row r="76" spans="7:19" x14ac:dyDescent="0.2">
      <c r="G76" s="654" t="s">
        <v>1766</v>
      </c>
      <c r="H76" s="648">
        <v>0.68500000000000005</v>
      </c>
      <c r="I76" s="648">
        <f>1-H81</f>
        <v>0.31499999999999995</v>
      </c>
      <c r="O76" s="644" t="s">
        <v>891</v>
      </c>
      <c r="P76" s="653" t="s">
        <v>819</v>
      </c>
      <c r="R76" s="1181" t="s">
        <v>1469</v>
      </c>
      <c r="S76" s="378" t="s">
        <v>1470</v>
      </c>
    </row>
    <row r="77" spans="7:19" x14ac:dyDescent="0.2">
      <c r="G77" s="654" t="s">
        <v>1767</v>
      </c>
      <c r="H77" s="648">
        <v>0.68500000000000005</v>
      </c>
      <c r="I77" s="648">
        <f>1-H82</f>
        <v>0.31499999999999995</v>
      </c>
      <c r="O77" s="644" t="s">
        <v>889</v>
      </c>
      <c r="P77" s="653" t="s">
        <v>815</v>
      </c>
      <c r="R77" s="1181" t="s">
        <v>1471</v>
      </c>
      <c r="S77" s="378" t="s">
        <v>1472</v>
      </c>
    </row>
    <row r="78" spans="7:19" x14ac:dyDescent="0.2">
      <c r="G78" s="656" t="s">
        <v>1768</v>
      </c>
      <c r="H78" s="648">
        <v>0.69340000000000002</v>
      </c>
      <c r="K78" s="648">
        <f t="shared" si="0"/>
        <v>0.30659999999999998</v>
      </c>
      <c r="O78" s="644" t="s">
        <v>901</v>
      </c>
      <c r="P78" s="653" t="s">
        <v>925</v>
      </c>
      <c r="R78" s="1181" t="s">
        <v>1473</v>
      </c>
      <c r="S78" s="378" t="s">
        <v>1474</v>
      </c>
    </row>
    <row r="79" spans="7:19" x14ac:dyDescent="0.2">
      <c r="G79" s="656" t="s">
        <v>1769</v>
      </c>
      <c r="H79" s="648">
        <v>0.69340000000000002</v>
      </c>
      <c r="K79" s="648">
        <f t="shared" si="0"/>
        <v>0.30659999999999998</v>
      </c>
      <c r="O79" s="644" t="s">
        <v>1014</v>
      </c>
      <c r="P79" s="653" t="s">
        <v>823</v>
      </c>
      <c r="R79" s="1181" t="s">
        <v>1475</v>
      </c>
      <c r="S79" s="378" t="s">
        <v>1476</v>
      </c>
    </row>
    <row r="80" spans="7:19" x14ac:dyDescent="0.2">
      <c r="G80" s="656" t="s">
        <v>1770</v>
      </c>
      <c r="H80" s="648">
        <v>0.69340000000000002</v>
      </c>
      <c r="K80" s="648">
        <f t="shared" si="0"/>
        <v>0.30659999999999998</v>
      </c>
      <c r="O80" s="644" t="s">
        <v>885</v>
      </c>
      <c r="P80" s="653" t="s">
        <v>926</v>
      </c>
      <c r="R80" s="1181" t="s">
        <v>1477</v>
      </c>
      <c r="S80" s="378" t="s">
        <v>1478</v>
      </c>
    </row>
    <row r="81" spans="7:19" x14ac:dyDescent="0.2">
      <c r="G81" s="656" t="s">
        <v>1771</v>
      </c>
      <c r="H81" s="648">
        <v>0.68500000000000005</v>
      </c>
      <c r="K81" s="648">
        <f t="shared" si="0"/>
        <v>0.31499999999999995</v>
      </c>
      <c r="O81" s="644" t="s">
        <v>884</v>
      </c>
      <c r="P81" s="653" t="s">
        <v>927</v>
      </c>
      <c r="R81" s="1181" t="s">
        <v>1479</v>
      </c>
      <c r="S81" s="378" t="s">
        <v>1480</v>
      </c>
    </row>
    <row r="82" spans="7:19" x14ac:dyDescent="0.2">
      <c r="G82" s="656" t="s">
        <v>1772</v>
      </c>
      <c r="H82" s="648">
        <v>0.68500000000000005</v>
      </c>
      <c r="K82" s="648">
        <f t="shared" si="0"/>
        <v>0.31499999999999995</v>
      </c>
      <c r="O82" s="644" t="s">
        <v>902</v>
      </c>
      <c r="P82" s="653" t="s">
        <v>803</v>
      </c>
      <c r="R82" s="1181" t="s">
        <v>1481</v>
      </c>
      <c r="S82" s="378" t="s">
        <v>1482</v>
      </c>
    </row>
    <row r="83" spans="7:19" x14ac:dyDescent="0.2">
      <c r="G83" s="654" t="s">
        <v>1773</v>
      </c>
      <c r="J83" s="657">
        <v>1</v>
      </c>
      <c r="O83" s="644" t="s">
        <v>904</v>
      </c>
      <c r="P83" s="653" t="s">
        <v>910</v>
      </c>
      <c r="R83" s="1181" t="s">
        <v>1483</v>
      </c>
      <c r="S83" s="378" t="s">
        <v>1484</v>
      </c>
    </row>
    <row r="84" spans="7:19" x14ac:dyDescent="0.2">
      <c r="G84" s="654" t="s">
        <v>1774</v>
      </c>
      <c r="J84" s="657">
        <v>1</v>
      </c>
      <c r="O84" s="644" t="s">
        <v>892</v>
      </c>
      <c r="P84" s="653" t="s">
        <v>928</v>
      </c>
      <c r="R84" s="1181" t="s">
        <v>1627</v>
      </c>
      <c r="S84" s="378" t="s">
        <v>1628</v>
      </c>
    </row>
    <row r="85" spans="7:19" x14ac:dyDescent="0.2">
      <c r="G85" s="654" t="s">
        <v>1775</v>
      </c>
      <c r="J85" s="657">
        <v>1</v>
      </c>
      <c r="O85" s="644" t="s">
        <v>875</v>
      </c>
      <c r="P85" s="653" t="s">
        <v>929</v>
      </c>
      <c r="R85" s="1181" t="s">
        <v>1485</v>
      </c>
      <c r="S85" s="378" t="s">
        <v>1486</v>
      </c>
    </row>
    <row r="86" spans="7:19" x14ac:dyDescent="0.2">
      <c r="G86" s="654" t="s">
        <v>1776</v>
      </c>
      <c r="J86" s="657">
        <v>1</v>
      </c>
      <c r="O86" s="644" t="s">
        <v>903</v>
      </c>
      <c r="P86" s="653" t="s">
        <v>911</v>
      </c>
      <c r="R86" s="1181" t="s">
        <v>1487</v>
      </c>
      <c r="S86" s="378" t="s">
        <v>1488</v>
      </c>
    </row>
    <row r="87" spans="7:19" x14ac:dyDescent="0.2">
      <c r="G87" s="654" t="s">
        <v>1777</v>
      </c>
      <c r="J87" s="657">
        <v>1</v>
      </c>
      <c r="O87" s="644" t="s">
        <v>876</v>
      </c>
      <c r="P87" s="653" t="s">
        <v>930</v>
      </c>
      <c r="R87" s="1181" t="s">
        <v>1489</v>
      </c>
      <c r="S87" s="378" t="s">
        <v>1490</v>
      </c>
    </row>
    <row r="88" spans="7:19" x14ac:dyDescent="0.2">
      <c r="O88" s="644" t="s">
        <v>877</v>
      </c>
      <c r="P88" s="653" t="s">
        <v>931</v>
      </c>
      <c r="R88" s="1181" t="s">
        <v>1491</v>
      </c>
      <c r="S88" s="378" t="s">
        <v>1492</v>
      </c>
    </row>
    <row r="89" spans="7:19" x14ac:dyDescent="0.2">
      <c r="O89" s="644" t="s">
        <v>878</v>
      </c>
      <c r="P89" s="653" t="s">
        <v>798</v>
      </c>
      <c r="R89" s="1181" t="s">
        <v>1493</v>
      </c>
      <c r="S89" s="378" t="s">
        <v>1494</v>
      </c>
    </row>
    <row r="90" spans="7:19" x14ac:dyDescent="0.2">
      <c r="R90" s="1181" t="s">
        <v>1495</v>
      </c>
      <c r="S90" s="378" t="s">
        <v>1496</v>
      </c>
    </row>
    <row r="91" spans="7:19" x14ac:dyDescent="0.2">
      <c r="R91" s="1181" t="s">
        <v>1497</v>
      </c>
      <c r="S91" s="378" t="s">
        <v>1498</v>
      </c>
    </row>
    <row r="92" spans="7:19" x14ac:dyDescent="0.2">
      <c r="R92" s="1181" t="s">
        <v>1647</v>
      </c>
      <c r="S92" s="378" t="s">
        <v>1648</v>
      </c>
    </row>
    <row r="93" spans="7:19" x14ac:dyDescent="0.2">
      <c r="R93" s="1181" t="s">
        <v>1499</v>
      </c>
      <c r="S93" s="378" t="s">
        <v>1500</v>
      </c>
    </row>
    <row r="94" spans="7:19" x14ac:dyDescent="0.2">
      <c r="R94" s="1181" t="s">
        <v>1641</v>
      </c>
      <c r="S94" s="378" t="s">
        <v>1642</v>
      </c>
    </row>
    <row r="95" spans="7:19" x14ac:dyDescent="0.2">
      <c r="R95" s="1181" t="s">
        <v>1501</v>
      </c>
      <c r="S95" s="378" t="s">
        <v>1502</v>
      </c>
    </row>
    <row r="96" spans="7:19" x14ac:dyDescent="0.2">
      <c r="R96" s="1181" t="s">
        <v>1503</v>
      </c>
      <c r="S96" s="378" t="s">
        <v>1504</v>
      </c>
    </row>
    <row r="97" spans="18:19" x14ac:dyDescent="0.2">
      <c r="R97" s="1181" t="s">
        <v>1505</v>
      </c>
      <c r="S97" s="378" t="s">
        <v>1506</v>
      </c>
    </row>
    <row r="98" spans="18:19" x14ac:dyDescent="0.2">
      <c r="R98" s="1181" t="s">
        <v>1507</v>
      </c>
      <c r="S98" s="378" t="s">
        <v>1508</v>
      </c>
    </row>
    <row r="99" spans="18:19" x14ac:dyDescent="0.2">
      <c r="R99" s="1181" t="s">
        <v>1509</v>
      </c>
      <c r="S99" s="378" t="s">
        <v>1510</v>
      </c>
    </row>
    <row r="100" spans="18:19" x14ac:dyDescent="0.2">
      <c r="R100" s="1181" t="s">
        <v>1511</v>
      </c>
      <c r="S100" s="378" t="s">
        <v>1512</v>
      </c>
    </row>
    <row r="101" spans="18:19" x14ac:dyDescent="0.2">
      <c r="R101" s="1181" t="s">
        <v>1513</v>
      </c>
      <c r="S101" s="378" t="s">
        <v>1514</v>
      </c>
    </row>
    <row r="102" spans="18:19" x14ac:dyDescent="0.2">
      <c r="R102" s="1181" t="s">
        <v>1515</v>
      </c>
      <c r="S102" s="378" t="s">
        <v>1516</v>
      </c>
    </row>
    <row r="103" spans="18:19" x14ac:dyDescent="0.2">
      <c r="R103" s="1181" t="s">
        <v>1517</v>
      </c>
      <c r="S103" s="378" t="s">
        <v>1518</v>
      </c>
    </row>
    <row r="104" spans="18:19" x14ac:dyDescent="0.2">
      <c r="R104" s="1181" t="s">
        <v>1519</v>
      </c>
      <c r="S104" s="378" t="s">
        <v>1520</v>
      </c>
    </row>
    <row r="105" spans="18:19" x14ac:dyDescent="0.2">
      <c r="R105" s="1181" t="s">
        <v>1521</v>
      </c>
      <c r="S105" s="378" t="s">
        <v>1522</v>
      </c>
    </row>
    <row r="106" spans="18:19" x14ac:dyDescent="0.2">
      <c r="R106" s="1181" t="s">
        <v>1629</v>
      </c>
      <c r="S106" s="378" t="s">
        <v>1630</v>
      </c>
    </row>
    <row r="107" spans="18:19" x14ac:dyDescent="0.2">
      <c r="R107" s="1181" t="s">
        <v>1523</v>
      </c>
      <c r="S107" s="378" t="s">
        <v>1524</v>
      </c>
    </row>
    <row r="108" spans="18:19" x14ac:dyDescent="0.2">
      <c r="R108" s="1181" t="s">
        <v>1525</v>
      </c>
      <c r="S108" s="378" t="s">
        <v>1526</v>
      </c>
    </row>
    <row r="109" spans="18:19" x14ac:dyDescent="0.2">
      <c r="R109" s="1181" t="s">
        <v>1527</v>
      </c>
      <c r="S109" s="378" t="s">
        <v>1528</v>
      </c>
    </row>
    <row r="110" spans="18:19" x14ac:dyDescent="0.2">
      <c r="R110" s="1181" t="s">
        <v>1529</v>
      </c>
      <c r="S110" s="378" t="s">
        <v>1530</v>
      </c>
    </row>
    <row r="111" spans="18:19" x14ac:dyDescent="0.2">
      <c r="R111" s="1181" t="s">
        <v>1531</v>
      </c>
      <c r="S111" s="378" t="s">
        <v>1532</v>
      </c>
    </row>
    <row r="112" spans="18:19" x14ac:dyDescent="0.2">
      <c r="R112" s="1181" t="s">
        <v>1533</v>
      </c>
      <c r="S112" s="378" t="s">
        <v>1534</v>
      </c>
    </row>
    <row r="113" spans="18:19" x14ac:dyDescent="0.2">
      <c r="R113" s="1181" t="s">
        <v>1535</v>
      </c>
      <c r="S113" s="378" t="s">
        <v>1536</v>
      </c>
    </row>
    <row r="114" spans="18:19" x14ac:dyDescent="0.2">
      <c r="R114" s="1181" t="s">
        <v>1537</v>
      </c>
      <c r="S114" s="378" t="s">
        <v>1538</v>
      </c>
    </row>
    <row r="115" spans="18:19" x14ac:dyDescent="0.2">
      <c r="R115" s="1181" t="s">
        <v>1539</v>
      </c>
      <c r="S115" s="378" t="s">
        <v>1540</v>
      </c>
    </row>
    <row r="116" spans="18:19" x14ac:dyDescent="0.2">
      <c r="R116" s="1181" t="s">
        <v>1633</v>
      </c>
      <c r="S116" s="378" t="s">
        <v>1634</v>
      </c>
    </row>
    <row r="117" spans="18:19" x14ac:dyDescent="0.2">
      <c r="R117" s="1181" t="s">
        <v>1541</v>
      </c>
      <c r="S117" s="378" t="s">
        <v>1542</v>
      </c>
    </row>
    <row r="118" spans="18:19" x14ac:dyDescent="0.2">
      <c r="R118" s="1181" t="s">
        <v>1543</v>
      </c>
      <c r="S118" s="378" t="s">
        <v>1544</v>
      </c>
    </row>
    <row r="119" spans="18:19" x14ac:dyDescent="0.2">
      <c r="R119" s="1181" t="s">
        <v>1545</v>
      </c>
      <c r="S119" s="378" t="s">
        <v>1546</v>
      </c>
    </row>
    <row r="120" spans="18:19" x14ac:dyDescent="0.2">
      <c r="R120" s="1181" t="s">
        <v>1547</v>
      </c>
      <c r="S120" s="378" t="s">
        <v>1548</v>
      </c>
    </row>
    <row r="121" spans="18:19" x14ac:dyDescent="0.2">
      <c r="R121" s="1181" t="s">
        <v>1645</v>
      </c>
      <c r="S121" s="378" t="s">
        <v>1646</v>
      </c>
    </row>
    <row r="122" spans="18:19" x14ac:dyDescent="0.2">
      <c r="R122" s="1181" t="s">
        <v>1631</v>
      </c>
      <c r="S122" s="378" t="s">
        <v>1632</v>
      </c>
    </row>
    <row r="123" spans="18:19" x14ac:dyDescent="0.2">
      <c r="R123" s="1181" t="s">
        <v>1549</v>
      </c>
      <c r="S123" s="378" t="s">
        <v>1550</v>
      </c>
    </row>
    <row r="124" spans="18:19" x14ac:dyDescent="0.2">
      <c r="R124" s="1181" t="s">
        <v>1551</v>
      </c>
      <c r="S124" s="378" t="s">
        <v>1552</v>
      </c>
    </row>
    <row r="125" spans="18:19" x14ac:dyDescent="0.2">
      <c r="R125" s="1181" t="s">
        <v>1553</v>
      </c>
      <c r="S125" s="378" t="s">
        <v>1554</v>
      </c>
    </row>
    <row r="126" spans="18:19" x14ac:dyDescent="0.2">
      <c r="R126" s="1181" t="s">
        <v>1555</v>
      </c>
      <c r="S126" s="378" t="s">
        <v>1556</v>
      </c>
    </row>
    <row r="127" spans="18:19" x14ac:dyDescent="0.2">
      <c r="R127" s="1181" t="s">
        <v>1557</v>
      </c>
      <c r="S127" s="378" t="s">
        <v>1558</v>
      </c>
    </row>
    <row r="128" spans="18:19" x14ac:dyDescent="0.2">
      <c r="R128" s="1181" t="s">
        <v>1559</v>
      </c>
      <c r="S128" s="378" t="s">
        <v>1560</v>
      </c>
    </row>
    <row r="129" spans="18:19" x14ac:dyDescent="0.2">
      <c r="R129" s="1181" t="s">
        <v>1639</v>
      </c>
      <c r="S129" s="378" t="s">
        <v>1640</v>
      </c>
    </row>
    <row r="130" spans="18:19" x14ac:dyDescent="0.2">
      <c r="R130" s="1181" t="s">
        <v>1561</v>
      </c>
      <c r="S130" s="378" t="s">
        <v>1562</v>
      </c>
    </row>
    <row r="131" spans="18:19" x14ac:dyDescent="0.2">
      <c r="R131" s="1181" t="s">
        <v>1563</v>
      </c>
      <c r="S131" s="378" t="s">
        <v>1564</v>
      </c>
    </row>
    <row r="132" spans="18:19" x14ac:dyDescent="0.2">
      <c r="R132" s="1181" t="s">
        <v>1565</v>
      </c>
      <c r="S132" s="378" t="s">
        <v>1566</v>
      </c>
    </row>
    <row r="133" spans="18:19" x14ac:dyDescent="0.2">
      <c r="R133" s="1181" t="s">
        <v>1567</v>
      </c>
      <c r="S133" s="378" t="s">
        <v>1568</v>
      </c>
    </row>
    <row r="134" spans="18:19" x14ac:dyDescent="0.2">
      <c r="R134" s="1181" t="s">
        <v>1569</v>
      </c>
      <c r="S134" s="378" t="s">
        <v>1570</v>
      </c>
    </row>
    <row r="135" spans="18:19" x14ac:dyDescent="0.2">
      <c r="R135" s="1181" t="s">
        <v>1571</v>
      </c>
      <c r="S135" s="378" t="s">
        <v>1572</v>
      </c>
    </row>
    <row r="136" spans="18:19" x14ac:dyDescent="0.2">
      <c r="R136" s="1181" t="s">
        <v>1573</v>
      </c>
      <c r="S136" s="378" t="s">
        <v>1574</v>
      </c>
    </row>
    <row r="137" spans="18:19" x14ac:dyDescent="0.2">
      <c r="R137" s="1181" t="s">
        <v>1611</v>
      </c>
      <c r="S137" s="378" t="s">
        <v>1612</v>
      </c>
    </row>
    <row r="138" spans="18:19" x14ac:dyDescent="0.2">
      <c r="R138" s="1181" t="s">
        <v>1613</v>
      </c>
      <c r="S138" s="378" t="s">
        <v>1614</v>
      </c>
    </row>
    <row r="139" spans="18:19" x14ac:dyDescent="0.2">
      <c r="R139" s="1181" t="s">
        <v>1575</v>
      </c>
      <c r="S139" s="378" t="s">
        <v>1576</v>
      </c>
    </row>
    <row r="140" spans="18:19" x14ac:dyDescent="0.2">
      <c r="R140" s="1181" t="s">
        <v>1577</v>
      </c>
      <c r="S140" s="378" t="s">
        <v>1578</v>
      </c>
    </row>
    <row r="141" spans="18:19" x14ac:dyDescent="0.2">
      <c r="R141" s="1181" t="s">
        <v>1579</v>
      </c>
      <c r="S141" s="378" t="s">
        <v>1580</v>
      </c>
    </row>
    <row r="142" spans="18:19" x14ac:dyDescent="0.2">
      <c r="R142" s="1181" t="s">
        <v>1581</v>
      </c>
      <c r="S142" s="378" t="s">
        <v>1582</v>
      </c>
    </row>
    <row r="143" spans="18:19" x14ac:dyDescent="0.2">
      <c r="R143" s="1181" t="s">
        <v>1583</v>
      </c>
      <c r="S143" s="378" t="s">
        <v>1584</v>
      </c>
    </row>
    <row r="144" spans="18:19" x14ac:dyDescent="0.2">
      <c r="R144" s="1181" t="s">
        <v>1585</v>
      </c>
      <c r="S144" s="378" t="s">
        <v>1586</v>
      </c>
    </row>
    <row r="145" spans="18:19" x14ac:dyDescent="0.2">
      <c r="R145" s="1181" t="s">
        <v>1587</v>
      </c>
      <c r="S145" s="378" t="s">
        <v>1588</v>
      </c>
    </row>
    <row r="146" spans="18:19" x14ac:dyDescent="0.2">
      <c r="R146" s="1181" t="s">
        <v>1589</v>
      </c>
      <c r="S146" s="378" t="s">
        <v>1590</v>
      </c>
    </row>
    <row r="147" spans="18:19" x14ac:dyDescent="0.2">
      <c r="R147" s="1181" t="s">
        <v>1591</v>
      </c>
      <c r="S147" s="378" t="s">
        <v>1592</v>
      </c>
    </row>
    <row r="148" spans="18:19" x14ac:dyDescent="0.2">
      <c r="R148" s="1181" t="s">
        <v>1593</v>
      </c>
      <c r="S148" s="378" t="s">
        <v>1594</v>
      </c>
    </row>
    <row r="149" spans="18:19" x14ac:dyDescent="0.2">
      <c r="R149" s="1181" t="s">
        <v>1595</v>
      </c>
      <c r="S149" s="378" t="s">
        <v>1596</v>
      </c>
    </row>
    <row r="150" spans="18:19" x14ac:dyDescent="0.2">
      <c r="R150" s="1181" t="s">
        <v>1597</v>
      </c>
      <c r="S150" s="378" t="s">
        <v>1598</v>
      </c>
    </row>
    <row r="151" spans="18:19" x14ac:dyDescent="0.2">
      <c r="R151" s="1181" t="s">
        <v>1599</v>
      </c>
      <c r="S151" s="378" t="s">
        <v>1600</v>
      </c>
    </row>
    <row r="152" spans="18:19" x14ac:dyDescent="0.2">
      <c r="R152" s="1181" t="s">
        <v>1601</v>
      </c>
      <c r="S152" s="378" t="s">
        <v>1602</v>
      </c>
    </row>
    <row r="153" spans="18:19" x14ac:dyDescent="0.2">
      <c r="R153" s="1181" t="s">
        <v>1603</v>
      </c>
      <c r="S153" s="378" t="s">
        <v>1604</v>
      </c>
    </row>
    <row r="154" spans="18:19" x14ac:dyDescent="0.2">
      <c r="R154" s="1181" t="s">
        <v>1615</v>
      </c>
      <c r="S154" s="378" t="s">
        <v>1616</v>
      </c>
    </row>
    <row r="155" spans="18:19" x14ac:dyDescent="0.2">
      <c r="R155" s="1181" t="s">
        <v>1605</v>
      </c>
      <c r="S155" s="378" t="s">
        <v>1606</v>
      </c>
    </row>
    <row r="156" spans="18:19" x14ac:dyDescent="0.2">
      <c r="R156" s="1181" t="s">
        <v>1635</v>
      </c>
      <c r="S156" s="378" t="s">
        <v>1636</v>
      </c>
    </row>
    <row r="157" spans="18:19" x14ac:dyDescent="0.2">
      <c r="R157" s="1181" t="s">
        <v>1637</v>
      </c>
      <c r="S157" s="378" t="s">
        <v>1638</v>
      </c>
    </row>
    <row r="158" spans="18:19" x14ac:dyDescent="0.2">
      <c r="R158" s="1181" t="s">
        <v>1607</v>
      </c>
      <c r="S158" s="378" t="s">
        <v>1608</v>
      </c>
    </row>
  </sheetData>
  <sheetProtection autoFilter="0"/>
  <sortState xmlns:xlrd2="http://schemas.microsoft.com/office/spreadsheetml/2017/richdata2" ref="O56:P106">
    <sortCondition ref="O56:O106"/>
  </sortState>
  <phoneticPr fontId="48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FA7B-9131-44CD-AAC1-8AC81F548DC9}">
  <sheetPr filterMode="1">
    <tabColor rgb="FF92D050"/>
  </sheetPr>
  <dimension ref="A1:T134"/>
  <sheetViews>
    <sheetView zoomScaleNormal="100" workbookViewId="0">
      <pane ySplit="10" topLeftCell="A20" activePane="bottomLeft" state="frozen"/>
      <selection pane="bottomLeft" activeCell="F63" sqref="F63"/>
    </sheetView>
  </sheetViews>
  <sheetFormatPr defaultRowHeight="15" x14ac:dyDescent="0.25"/>
  <cols>
    <col min="1" max="1" width="8.77734375" style="1047" customWidth="1"/>
    <col min="2" max="2" width="4.33203125" style="1046" hidden="1" customWidth="1"/>
    <col min="3" max="3" width="5.88671875" style="1046" hidden="1" customWidth="1"/>
    <col min="4" max="4" width="6" style="1046" customWidth="1"/>
    <col min="5" max="5" width="6.77734375" style="1046" customWidth="1"/>
    <col min="6" max="6" width="50.77734375" style="1047" customWidth="1"/>
    <col min="7" max="7" width="4.77734375" style="1047" hidden="1" customWidth="1"/>
    <col min="8" max="8" width="18.44140625" style="1047" hidden="1" customWidth="1"/>
    <col min="9" max="10" width="13.77734375" style="1047" customWidth="1"/>
    <col min="11" max="18" width="13.77734375" style="1048" customWidth="1"/>
    <col min="19" max="19" width="1.33203125" style="1049" customWidth="1"/>
    <col min="20" max="20" width="7.109375" style="1048" customWidth="1"/>
    <col min="21" max="16384" width="8.88671875" style="1048"/>
  </cols>
  <sheetData>
    <row r="1" spans="1:20" ht="15.75" x14ac:dyDescent="0.25">
      <c r="A1" s="1060" t="s">
        <v>1025</v>
      </c>
      <c r="B1" s="1060"/>
      <c r="C1" s="1061"/>
      <c r="D1" s="1062"/>
      <c r="E1" s="1062"/>
      <c r="F1" s="1063"/>
      <c r="G1" s="1064"/>
      <c r="H1" s="1064"/>
      <c r="I1" s="1065" t="s">
        <v>844</v>
      </c>
      <c r="J1" s="1066" t="s">
        <v>1026</v>
      </c>
      <c r="K1" s="1067" t="s">
        <v>1027</v>
      </c>
      <c r="L1" s="1068" t="s">
        <v>1028</v>
      </c>
      <c r="M1" s="1068" t="s">
        <v>1029</v>
      </c>
      <c r="N1" s="1069" t="s">
        <v>1794</v>
      </c>
      <c r="O1" s="1601" t="s">
        <v>1803</v>
      </c>
      <c r="P1" s="1070"/>
      <c r="Q1" s="1070"/>
      <c r="R1" s="1070"/>
      <c r="S1" s="1171"/>
      <c r="T1" s="1070"/>
    </row>
    <row r="2" spans="1:20" ht="15.75" x14ac:dyDescent="0.25">
      <c r="A2" s="1060" t="s">
        <v>1030</v>
      </c>
      <c r="B2" s="1060"/>
      <c r="C2" s="1061"/>
      <c r="D2" s="1062"/>
      <c r="E2" s="1062"/>
      <c r="F2" s="1063"/>
      <c r="G2" s="1064"/>
      <c r="H2" s="1064"/>
      <c r="I2" s="1071" t="s">
        <v>256</v>
      </c>
      <c r="J2" s="1607" t="str">
        <f>IFERROR(VLOOKUP($D$6,'Contract Listing'!$C$10:$G$148,3,FALSE),"N/A")</f>
        <v>MH000100</v>
      </c>
      <c r="K2" s="1608">
        <f>IFERROR(VLOOKUP($D$6,'Contract Listing'!$C$10:$G$148,4,FALSE),"N/A")</f>
        <v>2</v>
      </c>
      <c r="L2" s="1609">
        <f>IFERROR(VLOOKUP($D$6,'Contract Listing'!$C$10:$G$148,5,FALSE),"N/A")</f>
        <v>2</v>
      </c>
      <c r="M2" s="1610">
        <f>IFERROR(VLOOKUP($D$6,'Contract Listing'!$C$10:$DG$149,109,FALSE),"N/A")</f>
        <v>56674789</v>
      </c>
      <c r="N2" s="1566">
        <f>R86</f>
        <v>56674789</v>
      </c>
      <c r="O2" s="1567">
        <f t="shared" ref="O2:O7" si="0">IFERROR(N2-M2,0)</f>
        <v>0</v>
      </c>
      <c r="P2" s="1073"/>
      <c r="Q2" s="1073"/>
      <c r="R2" s="1073"/>
      <c r="S2" s="1073"/>
      <c r="T2" s="1073"/>
    </row>
    <row r="3" spans="1:20" ht="15.75" x14ac:dyDescent="0.25">
      <c r="A3" s="1060" t="s">
        <v>1031</v>
      </c>
      <c r="B3" s="1060"/>
      <c r="C3" s="1061"/>
      <c r="D3" s="1062"/>
      <c r="E3" s="1062"/>
      <c r="F3" s="1063"/>
      <c r="G3" s="1064"/>
      <c r="H3" s="1064"/>
      <c r="I3" s="1071" t="s">
        <v>1789</v>
      </c>
      <c r="J3" s="1607" t="str">
        <f>IFERROR(VLOOKUP($D$6,'Contract Listing'!$C$150:$G$162,3,FALSE),"N/A")</f>
        <v>MH001000</v>
      </c>
      <c r="K3" s="1608">
        <f>IFERROR(VLOOKUP($D$6,'Contract Listing'!$C$150:$G$162,4,FALSE),"N/A")</f>
        <v>1</v>
      </c>
      <c r="L3" s="1609">
        <f>IFERROR(VLOOKUP($D$6,'Contract Listing'!$C$150:$G$162,5,FALSE),"N/A")</f>
        <v>1</v>
      </c>
      <c r="M3" s="1610">
        <f>IFERROR(VLOOKUP($D$6,'Contract Listing'!$C$150:$DG$162,109,FALSE),"N/A")</f>
        <v>12325636</v>
      </c>
      <c r="N3" s="1566">
        <f>R100</f>
        <v>12325636</v>
      </c>
      <c r="O3" s="1567">
        <f t="shared" si="0"/>
        <v>0</v>
      </c>
      <c r="P3" s="1073"/>
      <c r="Q3" s="1073"/>
      <c r="R3" s="1073"/>
      <c r="S3" s="1073"/>
      <c r="T3" s="1073"/>
    </row>
    <row r="4" spans="1:20" ht="15.75" x14ac:dyDescent="0.25">
      <c r="A4" s="1060" t="s">
        <v>1032</v>
      </c>
      <c r="B4" s="1060"/>
      <c r="C4" s="1061"/>
      <c r="D4" s="1062"/>
      <c r="E4" s="1062"/>
      <c r="F4" s="1063"/>
      <c r="G4" s="1064"/>
      <c r="H4" s="1064"/>
      <c r="I4" s="1071" t="s">
        <v>368</v>
      </c>
      <c r="J4" s="1607" t="str">
        <f>IFERROR(VLOOKUP($D$6,'Contract Listing'!$C$164:$G$175,3,FALSE),"N/A")</f>
        <v>N/A</v>
      </c>
      <c r="K4" s="1608" t="str">
        <f>IFERROR(VLOOKUP($D$6,'Contract Listing'!$C$164:$G$175,4,FALSE),"N/A")</f>
        <v>N/A</v>
      </c>
      <c r="L4" s="1609" t="str">
        <f>IFERROR(VLOOKUP($D$6,'Contract Listing'!$C$164:$G$175,5,FALSE),"N/A")</f>
        <v>N/A</v>
      </c>
      <c r="M4" s="1610" t="str">
        <f>IFERROR(VLOOKUP($D$6,'Contract Listing'!$C$164:$DG$175,109,FALSE),"N/A")</f>
        <v>N/A</v>
      </c>
      <c r="N4" s="1566">
        <f>R102</f>
        <v>0</v>
      </c>
      <c r="O4" s="1567">
        <f t="shared" si="0"/>
        <v>0</v>
      </c>
      <c r="P4" s="1073"/>
      <c r="Q4" s="1073"/>
      <c r="R4" s="1073"/>
      <c r="S4" s="1073"/>
      <c r="T4" s="1073"/>
    </row>
    <row r="5" spans="1:20" ht="14.25" x14ac:dyDescent="0.2">
      <c r="A5" s="1062"/>
      <c r="B5" s="1062"/>
      <c r="C5" s="1062"/>
      <c r="D5" s="1062"/>
      <c r="E5" s="1062"/>
      <c r="F5" s="1064"/>
      <c r="G5" s="1064"/>
      <c r="H5" s="1064"/>
      <c r="I5" s="1071" t="s">
        <v>1033</v>
      </c>
      <c r="J5" s="1607" t="str">
        <f>IFERROR(VLOOKUP($D$6,'Contract Listing'!$C$177:$G$180,3,FALSE),"N/A")</f>
        <v>N/A</v>
      </c>
      <c r="K5" s="1608" t="str">
        <f>IFERROR(VLOOKUP($D$6,'Contract Listing'!$C$177:$G$180,4,FALSE),"N/A")</f>
        <v>N/A</v>
      </c>
      <c r="L5" s="1609" t="str">
        <f>IFERROR(VLOOKUP($D$6,'Contract Listing'!$C$177:$G$180,5,FALSE),"N/A")</f>
        <v>N/A</v>
      </c>
      <c r="M5" s="1610" t="str">
        <f>IFERROR(VLOOKUP($D$6,'Contract Listing'!$C$177:$DG$180,109,FALSE),"N/A")</f>
        <v>N/A</v>
      </c>
      <c r="N5" s="1566">
        <f>R108</f>
        <v>0</v>
      </c>
      <c r="O5" s="1567">
        <f t="shared" si="0"/>
        <v>0</v>
      </c>
      <c r="P5" s="1073"/>
      <c r="Q5" s="1073"/>
      <c r="R5" s="1073"/>
      <c r="S5" s="1073"/>
      <c r="T5" s="1073"/>
    </row>
    <row r="6" spans="1:20" ht="15.75" x14ac:dyDescent="0.25">
      <c r="A6" s="1060" t="s">
        <v>2113</v>
      </c>
      <c r="B6" s="1060"/>
      <c r="C6" s="1061"/>
      <c r="D6" s="1565" t="str">
        <f>IF(Info!$B$8=""," ",Info!$B$8)</f>
        <v>00100</v>
      </c>
      <c r="E6" s="1177"/>
      <c r="F6" s="1064"/>
      <c r="G6" s="1074"/>
      <c r="H6" s="1074"/>
      <c r="I6" s="1071" t="s">
        <v>518</v>
      </c>
      <c r="J6" s="1607" t="str">
        <f>IFERROR(VLOOKUP($D$6,'Contract Listing'!$C$182:$G$185,3,FALSE),"N/A")</f>
        <v>N/A</v>
      </c>
      <c r="K6" s="1608" t="str">
        <f>IFERROR(VLOOKUP($D$6,'Contract Listing'!$C$182:$G$185,4,FALSE),"N/A")</f>
        <v>N/A</v>
      </c>
      <c r="L6" s="1609" t="str">
        <f>IFERROR(VLOOKUP($D$6,'Contract Listing'!$C$182:$G$185,5,FALSE),"N/A")</f>
        <v>N/A</v>
      </c>
      <c r="M6" s="1610" t="str">
        <f>IFERROR(VLOOKUP($D$6,'Contract Listing'!$C$182:$DG$185,109,FALSE),"N/A")</f>
        <v>N/A</v>
      </c>
      <c r="N6" s="1566">
        <f>R118</f>
        <v>0</v>
      </c>
      <c r="O6" s="1567">
        <f t="shared" si="0"/>
        <v>0</v>
      </c>
      <c r="P6" s="1073"/>
      <c r="Q6" s="1073"/>
      <c r="R6" s="1073"/>
      <c r="S6" s="1073"/>
      <c r="T6" s="1073"/>
    </row>
    <row r="7" spans="1:20" ht="16.5" thickBot="1" x14ac:dyDescent="0.3">
      <c r="A7" s="1060" t="s">
        <v>2114</v>
      </c>
      <c r="B7" s="1060"/>
      <c r="C7" s="1061"/>
      <c r="D7" s="1565" t="str">
        <f>IF(Info!$B$7=""," ",Info!$B$7)</f>
        <v>ABC Mental Health Center</v>
      </c>
      <c r="E7" s="1075"/>
      <c r="F7" s="1076"/>
      <c r="G7" s="1064"/>
      <c r="H7" s="1064"/>
      <c r="I7" s="1077" t="s">
        <v>1035</v>
      </c>
      <c r="J7" s="1611" t="str">
        <f>IFERROR(VLOOKUP($D$6,'Contract Listing'!$C$190:$G$195,3,FALSE),"N/A")</f>
        <v>N/A</v>
      </c>
      <c r="K7" s="1612" t="str">
        <f>IFERROR(VLOOKUP($D$6,'Contract Listing'!$C$190:$G$195,4,FALSE),"N/A")</f>
        <v>N/A</v>
      </c>
      <c r="L7" s="1613" t="str">
        <f>IFERROR(VLOOKUP($D$6,'Contract Listing'!$C$190:$G$195,5,FALSE),"N/A")</f>
        <v>N/A</v>
      </c>
      <c r="M7" s="1614" t="str">
        <f>IFERROR(VLOOKUP($D$6,'Contract Listing'!$C$190:$DG$195,109,FALSE),"N/A")</f>
        <v>N/A</v>
      </c>
      <c r="N7" s="1568">
        <f>R121</f>
        <v>0</v>
      </c>
      <c r="O7" s="1569">
        <f t="shared" si="0"/>
        <v>0</v>
      </c>
      <c r="P7" s="1073"/>
      <c r="Q7" s="1073"/>
      <c r="R7" s="1073"/>
      <c r="S7" s="1073"/>
      <c r="T7" s="1073"/>
    </row>
    <row r="8" spans="1:20" ht="15.75" thickBot="1" x14ac:dyDescent="0.3">
      <c r="A8" s="1064"/>
      <c r="B8" s="1078"/>
      <c r="C8" s="1078"/>
      <c r="D8" s="1062"/>
      <c r="E8" s="1062"/>
      <c r="F8" s="1064"/>
      <c r="G8" s="1064"/>
      <c r="H8" s="1064"/>
      <c r="I8" s="1064"/>
      <c r="J8" s="1062"/>
      <c r="K8" s="1073"/>
      <c r="L8" s="1073"/>
      <c r="M8" s="1070"/>
      <c r="N8" s="1070"/>
      <c r="O8" s="1070"/>
      <c r="P8" s="1070"/>
      <c r="Q8" s="1070"/>
      <c r="R8" s="1070"/>
      <c r="S8" s="1171"/>
      <c r="T8" s="1070"/>
    </row>
    <row r="9" spans="1:20" s="1050" customFormat="1" ht="42.75" customHeight="1" x14ac:dyDescent="0.25">
      <c r="A9" s="1079"/>
      <c r="B9" s="1080"/>
      <c r="C9" s="1080"/>
      <c r="D9" s="1081"/>
      <c r="E9" s="1081"/>
      <c r="F9" s="1079"/>
      <c r="G9" s="1082"/>
      <c r="H9" s="1082"/>
      <c r="I9" s="1939" t="s">
        <v>1036</v>
      </c>
      <c r="J9" s="1940"/>
      <c r="K9" s="1941" t="s">
        <v>1037</v>
      </c>
      <c r="L9" s="1942"/>
      <c r="M9" s="1943" t="s">
        <v>1790</v>
      </c>
      <c r="N9" s="1944"/>
      <c r="O9" s="1945" t="s">
        <v>1792</v>
      </c>
      <c r="P9" s="1946"/>
      <c r="Q9" s="1947" t="s">
        <v>1794</v>
      </c>
      <c r="R9" s="1948"/>
      <c r="S9" s="1171"/>
      <c r="T9" s="1172" t="s">
        <v>1038</v>
      </c>
    </row>
    <row r="10" spans="1:20" s="1050" customFormat="1" ht="17.100000000000001" customHeight="1" thickBot="1" x14ac:dyDescent="0.3">
      <c r="A10" s="1083" t="s">
        <v>1039</v>
      </c>
      <c r="B10" s="1083" t="s">
        <v>843</v>
      </c>
      <c r="C10" s="1083" t="s">
        <v>1791</v>
      </c>
      <c r="D10" s="1083" t="s">
        <v>796</v>
      </c>
      <c r="E10" s="1083"/>
      <c r="F10" s="1083" t="s">
        <v>837</v>
      </c>
      <c r="G10" s="1084"/>
      <c r="H10" s="1084" t="s">
        <v>839</v>
      </c>
      <c r="I10" s="1085" t="s">
        <v>1040</v>
      </c>
      <c r="J10" s="1086" t="s">
        <v>1041</v>
      </c>
      <c r="K10" s="1087" t="s">
        <v>1040</v>
      </c>
      <c r="L10" s="1088" t="s">
        <v>1041</v>
      </c>
      <c r="M10" s="1089" t="s">
        <v>1040</v>
      </c>
      <c r="N10" s="1090" t="s">
        <v>1041</v>
      </c>
      <c r="O10" s="1091" t="s">
        <v>1040</v>
      </c>
      <c r="P10" s="1092" t="s">
        <v>1041</v>
      </c>
      <c r="Q10" s="1093" t="s">
        <v>1040</v>
      </c>
      <c r="R10" s="1094" t="s">
        <v>1041</v>
      </c>
      <c r="S10" s="1171"/>
      <c r="T10" s="1172" t="s">
        <v>1042</v>
      </c>
    </row>
    <row r="11" spans="1:20" s="1047" customFormat="1" ht="17.100000000000001" hidden="1" customHeight="1" thickTop="1" x14ac:dyDescent="0.25">
      <c r="A11" s="1095" t="s">
        <v>256</v>
      </c>
      <c r="B11" s="1095">
        <v>1</v>
      </c>
      <c r="C11" s="1095" t="s">
        <v>1280</v>
      </c>
      <c r="D11" s="1095">
        <v>100</v>
      </c>
      <c r="E11" s="1095"/>
      <c r="F11" s="1096" t="s">
        <v>1043</v>
      </c>
      <c r="G11" s="1097" t="s">
        <v>332</v>
      </c>
      <c r="H11" s="1098" t="s">
        <v>1044</v>
      </c>
      <c r="I11" s="1585"/>
      <c r="J11" s="1602">
        <f>IFERROR(VLOOKUP($D$6,'Contract Listing'!$C$10:$DG$148,6,FALSE),0)</f>
        <v>0</v>
      </c>
      <c r="K11" s="1051"/>
      <c r="L11" s="1615">
        <f>SUMIFS('LAC 102_Wkst'!$AP$7:$AP$2010,'LAC 102_Wkst'!$I$7:$I$2010,'Final Shift Worksheet'!$D11,'LAC 102_Wkst'!$D$7:$D$2010,'Final Shift Worksheet'!$A11,'LAC 102_Wkst'!$L$7:$L$2010,'Final Shift Worksheet'!$G11)</f>
        <v>0</v>
      </c>
      <c r="M11" s="1099"/>
      <c r="N11" s="1100">
        <f t="shared" ref="N11:N22" si="1">J11-L11</f>
        <v>0</v>
      </c>
      <c r="O11" s="1099"/>
      <c r="P11" s="1053"/>
      <c r="Q11" s="1099"/>
      <c r="R11" s="1100">
        <f t="shared" ref="R11:R22" si="2">J11+P11</f>
        <v>0</v>
      </c>
      <c r="S11" s="1171"/>
      <c r="T11" s="1062" t="str">
        <f>IF(SUM(J11,L11,P11)&gt;0,"Y","N")</f>
        <v>N</v>
      </c>
    </row>
    <row r="12" spans="1:20" s="1047" customFormat="1" ht="16.5" hidden="1" customHeight="1" x14ac:dyDescent="0.25">
      <c r="A12" s="1072" t="s">
        <v>256</v>
      </c>
      <c r="B12" s="1072">
        <v>2</v>
      </c>
      <c r="C12" s="1072" t="s">
        <v>1281</v>
      </c>
      <c r="D12" s="1072">
        <v>100</v>
      </c>
      <c r="E12" s="1072"/>
      <c r="F12" s="1101" t="s">
        <v>1045</v>
      </c>
      <c r="G12" s="1102"/>
      <c r="H12" s="1102" t="s">
        <v>1046</v>
      </c>
      <c r="I12" s="1606">
        <f>IFERROR(VLOOKUP($D$6,'Contract Listing'!$C$10:$DG$148,7,FALSE),0)</f>
        <v>0</v>
      </c>
      <c r="J12" s="1604">
        <f>IFERROR(VLOOKUP($D$6,'Contract Listing'!$C$10:$DG$148,8,FALSE),0)</f>
        <v>0</v>
      </c>
      <c r="K12" s="1103">
        <f>SUMIFS('LAC 102_Wkst'!$AN$7:$AN$2010,'LAC 102_Wkst'!$I$7:$I$2010,'Final Shift Worksheet'!$D12,'LAC 102_Wkst'!$D$7:$D$2010,'Final Shift Worksheet'!$A12)</f>
        <v>0</v>
      </c>
      <c r="L12" s="1571">
        <f>SUMIFS('LAC 102_Wkst'!$AO$7:$AO$2010,'LAC 102_Wkst'!$I$7:$I$2010,'Final Shift Worksheet'!$D12,'LAC 102_Wkst'!$D$7:$D$2010,'Final Shift Worksheet'!$A12)</f>
        <v>0</v>
      </c>
      <c r="M12" s="1103">
        <f>I12-K12</f>
        <v>0</v>
      </c>
      <c r="N12" s="1104">
        <f t="shared" si="1"/>
        <v>0</v>
      </c>
      <c r="O12" s="1054"/>
      <c r="P12" s="1104"/>
      <c r="Q12" s="1103">
        <f>I12+O12</f>
        <v>0</v>
      </c>
      <c r="R12" s="1104">
        <f t="shared" si="2"/>
        <v>0</v>
      </c>
      <c r="S12" s="1171"/>
      <c r="T12" s="1062" t="str">
        <f t="shared" ref="T12:T22" si="3">IF(SUM(J12,L12,P12)&gt;0,"Y","N")</f>
        <v>N</v>
      </c>
    </row>
    <row r="13" spans="1:20" s="1047" customFormat="1" ht="16.5" hidden="1" customHeight="1" x14ac:dyDescent="0.25">
      <c r="A13" s="1072" t="s">
        <v>256</v>
      </c>
      <c r="B13" s="1072">
        <v>3</v>
      </c>
      <c r="C13" s="1072" t="s">
        <v>1282</v>
      </c>
      <c r="D13" s="1072">
        <v>130</v>
      </c>
      <c r="E13" s="1072"/>
      <c r="F13" s="1101" t="s">
        <v>1047</v>
      </c>
      <c r="G13" s="1105" t="s">
        <v>332</v>
      </c>
      <c r="H13" s="1102" t="s">
        <v>1044</v>
      </c>
      <c r="I13" s="1574"/>
      <c r="J13" s="1603">
        <f>IFERROR(VLOOKUP($D$6,'Contract Listing'!$C$10:$DG$148,9,FALSE),0)</f>
        <v>0</v>
      </c>
      <c r="K13" s="1056"/>
      <c r="L13" s="1603">
        <f>SUMIFS('LAC 102_Wkst'!$AP$7:$AP$2010,'LAC 102_Wkst'!$I$7:$I$2010,'Final Shift Worksheet'!$D13,'LAC 102_Wkst'!$D$7:$D$2010,'Final Shift Worksheet'!$A13,'LAC 102_Wkst'!$L$7:$L$2010,'Final Shift Worksheet'!$G13)</f>
        <v>0</v>
      </c>
      <c r="M13" s="1106"/>
      <c r="N13" s="1104">
        <f t="shared" si="1"/>
        <v>0</v>
      </c>
      <c r="O13" s="1106"/>
      <c r="P13" s="1055"/>
      <c r="Q13" s="1106"/>
      <c r="R13" s="1104">
        <f t="shared" si="2"/>
        <v>0</v>
      </c>
      <c r="S13" s="1171"/>
      <c r="T13" s="1062" t="str">
        <f t="shared" si="3"/>
        <v>N</v>
      </c>
    </row>
    <row r="14" spans="1:20" s="1047" customFormat="1" ht="17.100000000000001" hidden="1" customHeight="1" x14ac:dyDescent="0.25">
      <c r="A14" s="1095" t="s">
        <v>256</v>
      </c>
      <c r="B14" s="1095" t="s">
        <v>1048</v>
      </c>
      <c r="C14" s="1095"/>
      <c r="D14" s="1095">
        <v>130.1</v>
      </c>
      <c r="E14" s="1095" t="s">
        <v>1652</v>
      </c>
      <c r="F14" s="1096" t="s">
        <v>1049</v>
      </c>
      <c r="G14" s="1107" t="s">
        <v>332</v>
      </c>
      <c r="H14" s="1098" t="s">
        <v>1044</v>
      </c>
      <c r="I14" s="1588"/>
      <c r="J14" s="1587"/>
      <c r="K14" s="1052"/>
      <c r="L14" s="1615">
        <f>SUMIFS('LAC 102_Wkst'!$AP$7:$AP$2010,'LAC 102_Wkst'!$I$7:$I$2010,'Final Shift Worksheet'!$D14,'LAC 102_Wkst'!$D$7:$D$2010,'Final Shift Worksheet'!$A14,'LAC 102_Wkst'!$L$7:$L$2010,'Final Shift Worksheet'!$G14)</f>
        <v>0</v>
      </c>
      <c r="M14" s="1099"/>
      <c r="N14" s="1100">
        <f t="shared" si="1"/>
        <v>0</v>
      </c>
      <c r="O14" s="1099"/>
      <c r="P14" s="1053"/>
      <c r="Q14" s="1099"/>
      <c r="R14" s="1100">
        <f t="shared" si="2"/>
        <v>0</v>
      </c>
      <c r="S14" s="1171"/>
      <c r="T14" s="1062" t="str">
        <f t="shared" si="3"/>
        <v>N</v>
      </c>
    </row>
    <row r="15" spans="1:20" s="1047" customFormat="1" ht="17.100000000000001" hidden="1" customHeight="1" x14ac:dyDescent="0.25">
      <c r="A15" s="1095" t="s">
        <v>256</v>
      </c>
      <c r="B15" s="1095">
        <v>4</v>
      </c>
      <c r="C15" s="1095" t="s">
        <v>1283</v>
      </c>
      <c r="D15" s="1095">
        <v>130.1</v>
      </c>
      <c r="E15" s="1095" t="s">
        <v>1652</v>
      </c>
      <c r="F15" s="1096" t="s">
        <v>1050</v>
      </c>
      <c r="G15" s="1098"/>
      <c r="H15" s="1098" t="s">
        <v>1046</v>
      </c>
      <c r="I15" s="1606">
        <f>IFERROR(VLOOKUP($D$6,'Contract Listing'!$C$10:$DG$148,10,FALSE),0)</f>
        <v>0</v>
      </c>
      <c r="J15" s="1603">
        <f>IFERROR(VLOOKUP($D$6,'Contract Listing'!$C$10:$DG$148,11,FALSE),0)</f>
        <v>0</v>
      </c>
      <c r="K15" s="1108">
        <f>SUMIFS('LAC 102_Wkst'!$AN$7:$AN$2010,'LAC 102_Wkst'!$I$7:$I$2010,'Final Shift Worksheet'!$D15,'LAC 102_Wkst'!$D$7:$D$2010,'Final Shift Worksheet'!$A15)</f>
        <v>0</v>
      </c>
      <c r="L15" s="1586">
        <f>SUMIFS('LAC 102_Wkst'!$AO$7:$AO$2010,'LAC 102_Wkst'!$I$7:$I$2010,'Final Shift Worksheet'!$D15,'LAC 102_Wkst'!$D$7:$D$2010,'Final Shift Worksheet'!$A15)</f>
        <v>0</v>
      </c>
      <c r="M15" s="1108">
        <f>I15-K15</f>
        <v>0</v>
      </c>
      <c r="N15" s="1104">
        <f t="shared" si="1"/>
        <v>0</v>
      </c>
      <c r="O15" s="1057"/>
      <c r="P15" s="1104"/>
      <c r="Q15" s="1108">
        <f>I15+O15</f>
        <v>0</v>
      </c>
      <c r="R15" s="1100">
        <f t="shared" si="2"/>
        <v>0</v>
      </c>
      <c r="S15" s="1171"/>
      <c r="T15" s="1062" t="str">
        <f t="shared" si="3"/>
        <v>N</v>
      </c>
    </row>
    <row r="16" spans="1:20" s="1047" customFormat="1" ht="17.100000000000001" hidden="1" customHeight="1" x14ac:dyDescent="0.25">
      <c r="A16" s="1072" t="s">
        <v>256</v>
      </c>
      <c r="B16" s="1072" t="s">
        <v>1051</v>
      </c>
      <c r="C16" s="1072"/>
      <c r="D16" s="1072">
        <v>130.19999999999999</v>
      </c>
      <c r="E16" s="1072" t="s">
        <v>1652</v>
      </c>
      <c r="F16" s="1101" t="s">
        <v>1052</v>
      </c>
      <c r="G16" s="1105" t="s">
        <v>332</v>
      </c>
      <c r="H16" s="1102" t="s">
        <v>1044</v>
      </c>
      <c r="I16" s="1589"/>
      <c r="J16" s="1590"/>
      <c r="K16" s="1056"/>
      <c r="L16" s="1603">
        <f>SUMIFS('LAC 102_Wkst'!$AP$7:$AP$2010,'LAC 102_Wkst'!$I$7:$I$2010,'Final Shift Worksheet'!$D16,'LAC 102_Wkst'!$D$7:$D$2010,'Final Shift Worksheet'!$A16,'LAC 102_Wkst'!$L$7:$L$2010,'Final Shift Worksheet'!$G16)</f>
        <v>0</v>
      </c>
      <c r="M16" s="1106"/>
      <c r="N16" s="1104">
        <f t="shared" si="1"/>
        <v>0</v>
      </c>
      <c r="O16" s="1106"/>
      <c r="P16" s="1055"/>
      <c r="Q16" s="1106"/>
      <c r="R16" s="1104">
        <f t="shared" si="2"/>
        <v>0</v>
      </c>
      <c r="S16" s="1171"/>
      <c r="T16" s="1062" t="str">
        <f t="shared" si="3"/>
        <v>N</v>
      </c>
    </row>
    <row r="17" spans="1:20" s="1047" customFormat="1" ht="17.100000000000001" hidden="1" customHeight="1" x14ac:dyDescent="0.25">
      <c r="A17" s="1072" t="s">
        <v>256</v>
      </c>
      <c r="B17" s="1072">
        <v>5</v>
      </c>
      <c r="C17" s="1072" t="s">
        <v>1284</v>
      </c>
      <c r="D17" s="1072">
        <v>130.19999999999999</v>
      </c>
      <c r="E17" s="1072" t="s">
        <v>1652</v>
      </c>
      <c r="F17" s="1101" t="s">
        <v>985</v>
      </c>
      <c r="G17" s="1102"/>
      <c r="H17" s="1102" t="s">
        <v>1046</v>
      </c>
      <c r="I17" s="1606">
        <f>IFERROR(VLOOKUP($D$6,'Contract Listing'!$C$10:$DG$148,12,FALSE),0)</f>
        <v>0</v>
      </c>
      <c r="J17" s="1603">
        <f>IFERROR(VLOOKUP($D$6,'Contract Listing'!$C$10:$DG$148,13,FALSE),0)</f>
        <v>0</v>
      </c>
      <c r="K17" s="1103">
        <f>SUMIFS('LAC 102_Wkst'!$AN$7:$AN$2010,'LAC 102_Wkst'!$I$7:$I$2010,'Final Shift Worksheet'!$D17,'LAC 102_Wkst'!$D$7:$D$2010,'Final Shift Worksheet'!$A17)</f>
        <v>0</v>
      </c>
      <c r="L17" s="1571">
        <f>SUMIFS('LAC 102_Wkst'!$AO$7:$AO$2010,'LAC 102_Wkst'!$I$7:$I$2010,'Final Shift Worksheet'!$D17,'LAC 102_Wkst'!$D$7:$D$2010,'Final Shift Worksheet'!$A17)</f>
        <v>0</v>
      </c>
      <c r="M17" s="1103">
        <f>I17-K17</f>
        <v>0</v>
      </c>
      <c r="N17" s="1104">
        <f t="shared" si="1"/>
        <v>0</v>
      </c>
      <c r="O17" s="1054"/>
      <c r="P17" s="1104"/>
      <c r="Q17" s="1103">
        <f>I17+O17</f>
        <v>0</v>
      </c>
      <c r="R17" s="1104">
        <f t="shared" si="2"/>
        <v>0</v>
      </c>
      <c r="S17" s="1171"/>
      <c r="T17" s="1062" t="str">
        <f t="shared" si="3"/>
        <v>N</v>
      </c>
    </row>
    <row r="18" spans="1:20" s="1047" customFormat="1" ht="17.100000000000001" hidden="1" customHeight="1" x14ac:dyDescent="0.25">
      <c r="A18" s="1072" t="s">
        <v>256</v>
      </c>
      <c r="B18" s="1072" t="s">
        <v>1053</v>
      </c>
      <c r="C18" s="1072"/>
      <c r="D18" s="1072">
        <v>130.4</v>
      </c>
      <c r="E18" s="1072" t="s">
        <v>1652</v>
      </c>
      <c r="F18" s="1101" t="s">
        <v>1054</v>
      </c>
      <c r="G18" s="1105" t="s">
        <v>332</v>
      </c>
      <c r="H18" s="1102" t="s">
        <v>1044</v>
      </c>
      <c r="I18" s="1589"/>
      <c r="J18" s="1590"/>
      <c r="K18" s="1056"/>
      <c r="L18" s="1603">
        <f>SUMIFS('LAC 102_Wkst'!$AP$7:$AP$2010,'LAC 102_Wkst'!$I$7:$I$2010,'Final Shift Worksheet'!$D18,'LAC 102_Wkst'!$D$7:$D$2010,'Final Shift Worksheet'!$A18,'LAC 102_Wkst'!$L$7:$L$2010,'Final Shift Worksheet'!$G18)</f>
        <v>0</v>
      </c>
      <c r="M18" s="1106"/>
      <c r="N18" s="1104">
        <f t="shared" si="1"/>
        <v>0</v>
      </c>
      <c r="O18" s="1106"/>
      <c r="P18" s="1055"/>
      <c r="Q18" s="1106"/>
      <c r="R18" s="1104">
        <f t="shared" si="2"/>
        <v>0</v>
      </c>
      <c r="S18" s="1171"/>
      <c r="T18" s="1062" t="str">
        <f t="shared" si="3"/>
        <v>N</v>
      </c>
    </row>
    <row r="19" spans="1:20" s="1047" customFormat="1" ht="17.100000000000001" hidden="1" customHeight="1" x14ac:dyDescent="0.25">
      <c r="A19" s="1072" t="s">
        <v>256</v>
      </c>
      <c r="B19" s="1072">
        <v>6</v>
      </c>
      <c r="C19" s="1072" t="s">
        <v>1285</v>
      </c>
      <c r="D19" s="1072">
        <v>130.4</v>
      </c>
      <c r="E19" s="1072" t="s">
        <v>1652</v>
      </c>
      <c r="F19" s="1101" t="s">
        <v>984</v>
      </c>
      <c r="G19" s="1102"/>
      <c r="H19" s="1102" t="s">
        <v>1046</v>
      </c>
      <c r="I19" s="1606">
        <f>IFERROR(VLOOKUP($D$6,'Contract Listing'!$C$10:$DG$148,14,FALSE),0)</f>
        <v>0</v>
      </c>
      <c r="J19" s="1603">
        <f>IFERROR(VLOOKUP($D$6,'Contract Listing'!$C$10:$DG$148,15,FALSE),0)</f>
        <v>0</v>
      </c>
      <c r="K19" s="1103">
        <f>SUMIFS('LAC 102_Wkst'!$AN$7:$AN$2010,'LAC 102_Wkst'!$I$7:$I$2010,'Final Shift Worksheet'!$D19,'LAC 102_Wkst'!$D$7:$D$2010,'Final Shift Worksheet'!$A19)</f>
        <v>0</v>
      </c>
      <c r="L19" s="1571">
        <f>SUMIFS('LAC 102_Wkst'!$AO$7:$AO$2010,'LAC 102_Wkst'!$I$7:$I$2010,'Final Shift Worksheet'!$D19,'LAC 102_Wkst'!$D$7:$D$2010,'Final Shift Worksheet'!$A19)</f>
        <v>0</v>
      </c>
      <c r="M19" s="1103">
        <f>I19-K19</f>
        <v>0</v>
      </c>
      <c r="N19" s="1104">
        <f t="shared" si="1"/>
        <v>0</v>
      </c>
      <c r="O19" s="1054"/>
      <c r="P19" s="1104"/>
      <c r="Q19" s="1103">
        <f>I19+O19</f>
        <v>0</v>
      </c>
      <c r="R19" s="1104">
        <f t="shared" si="2"/>
        <v>0</v>
      </c>
      <c r="S19" s="1171"/>
      <c r="T19" s="1062" t="str">
        <f t="shared" si="3"/>
        <v>N</v>
      </c>
    </row>
    <row r="20" spans="1:20" s="1047" customFormat="1" ht="17.100000000000001" customHeight="1" thickTop="1" x14ac:dyDescent="0.25">
      <c r="A20" s="1072" t="s">
        <v>256</v>
      </c>
      <c r="B20" s="1072">
        <v>7</v>
      </c>
      <c r="C20" s="1072" t="s">
        <v>1286</v>
      </c>
      <c r="D20" s="1072">
        <v>130.30000000000001</v>
      </c>
      <c r="E20" s="1072" t="s">
        <v>1652</v>
      </c>
      <c r="F20" s="1101" t="s">
        <v>1055</v>
      </c>
      <c r="G20" s="1105" t="s">
        <v>332</v>
      </c>
      <c r="H20" s="1102" t="s">
        <v>1044</v>
      </c>
      <c r="I20" s="1681"/>
      <c r="J20" s="1682">
        <f>IFERROR(VLOOKUP($D$6,'Contract Listing'!$C$10:$DG$148,16,FALSE),0)</f>
        <v>390833</v>
      </c>
      <c r="K20" s="1056"/>
      <c r="L20" s="1603">
        <f>SUMIFS('LAC 102_Wkst'!$AP$7:$AP$2010,'LAC 102_Wkst'!$I$7:$I$2010,'Final Shift Worksheet'!$D20,'LAC 102_Wkst'!$D$7:$D$2010,'Final Shift Worksheet'!$A20,'LAC 102_Wkst'!$L$7:$L$2010,'Final Shift Worksheet'!$G20)</f>
        <v>34794.144027508839</v>
      </c>
      <c r="M20" s="1106"/>
      <c r="N20" s="1104">
        <f t="shared" si="1"/>
        <v>356038.85597249115</v>
      </c>
      <c r="O20" s="1106"/>
      <c r="P20" s="1055"/>
      <c r="Q20" s="1106"/>
      <c r="R20" s="1104">
        <f t="shared" si="2"/>
        <v>390833</v>
      </c>
      <c r="S20" s="1171"/>
      <c r="T20" s="1062" t="str">
        <f t="shared" si="3"/>
        <v>Y</v>
      </c>
    </row>
    <row r="21" spans="1:20" s="1047" customFormat="1" ht="17.100000000000001" customHeight="1" x14ac:dyDescent="0.25">
      <c r="A21" s="1072" t="s">
        <v>256</v>
      </c>
      <c r="B21" s="1072">
        <v>8</v>
      </c>
      <c r="C21" s="1072" t="s">
        <v>934</v>
      </c>
      <c r="D21" s="1072">
        <v>130.30000000000001</v>
      </c>
      <c r="E21" s="1072" t="s">
        <v>1652</v>
      </c>
      <c r="F21" s="1101" t="s">
        <v>1056</v>
      </c>
      <c r="G21" s="1109" t="s">
        <v>95</v>
      </c>
      <c r="H21" s="1102" t="s">
        <v>857</v>
      </c>
      <c r="I21" s="1681"/>
      <c r="J21" s="1682">
        <f>IFERROR(VLOOKUP($D$6,'Contract Listing'!$C$10:$DG$148,17,FALSE),0)</f>
        <v>300000</v>
      </c>
      <c r="K21" s="1056"/>
      <c r="L21" s="1603">
        <f>SUMIF('9A'!$B$9:$B$34,'Final Shift Worksheet'!$C21,'9A'!$L$9:$L$34)</f>
        <v>299480</v>
      </c>
      <c r="M21" s="1572"/>
      <c r="N21" s="1104">
        <f t="shared" si="1"/>
        <v>520</v>
      </c>
      <c r="O21" s="1106"/>
      <c r="P21" s="1055"/>
      <c r="Q21" s="1106"/>
      <c r="R21" s="1104">
        <f t="shared" si="2"/>
        <v>300000</v>
      </c>
      <c r="S21" s="1171"/>
      <c r="T21" s="1062" t="str">
        <f t="shared" si="3"/>
        <v>Y</v>
      </c>
    </row>
    <row r="22" spans="1:20" s="1047" customFormat="1" ht="17.100000000000001" customHeight="1" x14ac:dyDescent="0.25">
      <c r="A22" s="1072" t="s">
        <v>256</v>
      </c>
      <c r="B22" s="1072">
        <v>9</v>
      </c>
      <c r="C22" s="1072" t="s">
        <v>1287</v>
      </c>
      <c r="D22" s="1072">
        <v>130.30000000000001</v>
      </c>
      <c r="E22" s="1072" t="s">
        <v>1652</v>
      </c>
      <c r="F22" s="1101" t="s">
        <v>1057</v>
      </c>
      <c r="G22" s="1102"/>
      <c r="H22" s="1102" t="s">
        <v>1046</v>
      </c>
      <c r="I22" s="1683">
        <f>IFERROR(VLOOKUP($D$6,'Contract Listing'!$C$10:$DG$148,18,FALSE),0)</f>
        <v>14141</v>
      </c>
      <c r="J22" s="1682">
        <f>IFERROR(VLOOKUP($D$6,'Contract Listing'!$C$10:$DG$148,19,FALSE),0)</f>
        <v>2463574</v>
      </c>
      <c r="K22" s="1103">
        <f>SUMIFS('LAC 102_Wkst'!$AN$7:$AN$2010,'LAC 102_Wkst'!$I$7:$I$2010,'Final Shift Worksheet'!$D22,'LAC 102_Wkst'!$D$7:$D$2010,'Final Shift Worksheet'!$A22)</f>
        <v>105.36342189631009</v>
      </c>
      <c r="L22" s="1571">
        <f>SUMIFS('LAC 102_Wkst'!$AO$7:$AO$2010,'LAC 102_Wkst'!$I$7:$I$2010,'Final Shift Worksheet'!$D22,'LAC 102_Wkst'!$D$7:$D$2010,'Final Shift Worksheet'!$A22)</f>
        <v>2402726.9761385</v>
      </c>
      <c r="M22" s="1103">
        <f>I22-K22</f>
        <v>14035.636578103689</v>
      </c>
      <c r="N22" s="1104">
        <f t="shared" si="1"/>
        <v>60847.023861499969</v>
      </c>
      <c r="O22" s="1054"/>
      <c r="P22" s="1104"/>
      <c r="Q22" s="1103">
        <f>I22+O22</f>
        <v>14141</v>
      </c>
      <c r="R22" s="1104">
        <f t="shared" si="2"/>
        <v>2463574</v>
      </c>
      <c r="S22" s="1171"/>
      <c r="T22" s="1062" t="str">
        <f t="shared" si="3"/>
        <v>Y</v>
      </c>
    </row>
    <row r="23" spans="1:20" s="1047" customFormat="1" ht="17.100000000000001" hidden="1" customHeight="1" x14ac:dyDescent="0.25">
      <c r="A23" s="1072" t="s">
        <v>256</v>
      </c>
      <c r="B23" s="1072">
        <v>10</v>
      </c>
      <c r="C23" s="1072" t="s">
        <v>1288</v>
      </c>
      <c r="D23" s="1072">
        <v>300</v>
      </c>
      <c r="E23" s="1072"/>
      <c r="F23" s="1101" t="s">
        <v>1058</v>
      </c>
      <c r="G23" s="1105" t="s">
        <v>332</v>
      </c>
      <c r="H23" s="1102" t="s">
        <v>1044</v>
      </c>
      <c r="I23" s="1570"/>
      <c r="J23" s="1604">
        <f>IFERROR(VLOOKUP($D$6,'Contract Listing'!$C$10:$DG$148,20,FALSE),0)</f>
        <v>0</v>
      </c>
      <c r="K23" s="1056"/>
      <c r="L23" s="1603">
        <f>SUMIFS('LAC 102_Wkst'!$AP$7:$AP$2010,'LAC 102_Wkst'!$I$7:$I$2010,'Final Shift Worksheet'!$D23,'LAC 102_Wkst'!$D$7:$D$2010,'Final Shift Worksheet'!$A23,'LAC 102_Wkst'!$L$7:$L$2010,'Final Shift Worksheet'!$G23)</f>
        <v>0</v>
      </c>
      <c r="M23" s="1106"/>
      <c r="N23" s="1104">
        <f t="shared" ref="N23:N29" si="4">J23-L23</f>
        <v>0</v>
      </c>
      <c r="O23" s="1106"/>
      <c r="P23" s="1055"/>
      <c r="Q23" s="1106"/>
      <c r="R23" s="1104">
        <f t="shared" ref="R23:R29" si="5">J23+P23</f>
        <v>0</v>
      </c>
      <c r="S23" s="1171"/>
      <c r="T23" s="1062" t="str">
        <f t="shared" ref="T23:T43" si="6">IF(SUM(J23,L23,P23)&gt;0,"Y","N")</f>
        <v>N</v>
      </c>
    </row>
    <row r="24" spans="1:20" s="1047" customFormat="1" ht="17.100000000000001" hidden="1" customHeight="1" x14ac:dyDescent="0.25">
      <c r="A24" s="1072" t="s">
        <v>256</v>
      </c>
      <c r="B24" s="1072">
        <v>12</v>
      </c>
      <c r="C24" s="1072" t="s">
        <v>1290</v>
      </c>
      <c r="D24" s="1072">
        <v>140</v>
      </c>
      <c r="E24" s="1072"/>
      <c r="F24" s="1101" t="s">
        <v>1059</v>
      </c>
      <c r="G24" s="1105" t="s">
        <v>332</v>
      </c>
      <c r="H24" s="1102" t="s">
        <v>1044</v>
      </c>
      <c r="I24" s="1570"/>
      <c r="J24" s="1604">
        <f>IFERROR(VLOOKUP($D$6,'Contract Listing'!$C$10:$DG$148,23,FALSE),0)</f>
        <v>0</v>
      </c>
      <c r="K24" s="1052"/>
      <c r="L24" s="1603">
        <f>SUMIFS('LAC 102_Wkst'!$AP$7:$AP$2010,'LAC 102_Wkst'!$I$7:$I$2010,'Final Shift Worksheet'!$D24,'LAC 102_Wkst'!$D$7:$D$2010,'Final Shift Worksheet'!$A24,'LAC 102_Wkst'!$L$7:$L$2010,'Final Shift Worksheet'!$G24)</f>
        <v>0</v>
      </c>
      <c r="M24" s="1106"/>
      <c r="N24" s="1104">
        <f t="shared" si="4"/>
        <v>0</v>
      </c>
      <c r="O24" s="1106"/>
      <c r="P24" s="1055"/>
      <c r="Q24" s="1106"/>
      <c r="R24" s="1104">
        <f t="shared" si="5"/>
        <v>0</v>
      </c>
      <c r="S24" s="1171"/>
      <c r="T24" s="1062" t="str">
        <f t="shared" si="6"/>
        <v>N</v>
      </c>
    </row>
    <row r="25" spans="1:20" s="1047" customFormat="1" ht="17.100000000000001" hidden="1" customHeight="1" x14ac:dyDescent="0.25">
      <c r="A25" s="1072" t="s">
        <v>256</v>
      </c>
      <c r="B25" s="1072">
        <v>13</v>
      </c>
      <c r="C25" s="1072" t="s">
        <v>935</v>
      </c>
      <c r="D25" s="1072">
        <v>140</v>
      </c>
      <c r="E25" s="1072"/>
      <c r="F25" s="1101" t="s">
        <v>1060</v>
      </c>
      <c r="G25" s="1105" t="s">
        <v>95</v>
      </c>
      <c r="H25" s="1102" t="s">
        <v>857</v>
      </c>
      <c r="I25" s="1570"/>
      <c r="J25" s="1604">
        <f>IFERROR(VLOOKUP($D$6,'Contract Listing'!$C$10:$DG$148,24,FALSE),0)</f>
        <v>0</v>
      </c>
      <c r="K25" s="1056"/>
      <c r="L25" s="1603">
        <f>SUMIF('9A'!$B$9:$B$34,'Final Shift Worksheet'!$C25,'9A'!$L$9:$L$34)</f>
        <v>0</v>
      </c>
      <c r="M25" s="1572"/>
      <c r="N25" s="1104">
        <f t="shared" si="4"/>
        <v>0</v>
      </c>
      <c r="O25" s="1106"/>
      <c r="P25" s="1055"/>
      <c r="Q25" s="1106"/>
      <c r="R25" s="1104">
        <f t="shared" si="5"/>
        <v>0</v>
      </c>
      <c r="S25" s="1171"/>
      <c r="T25" s="1062" t="str">
        <f t="shared" si="6"/>
        <v>N</v>
      </c>
    </row>
    <row r="26" spans="1:20" s="1047" customFormat="1" ht="17.100000000000001" hidden="1" customHeight="1" x14ac:dyDescent="0.25">
      <c r="A26" s="1072" t="s">
        <v>256</v>
      </c>
      <c r="B26" s="1072">
        <v>14</v>
      </c>
      <c r="C26" s="1072" t="s">
        <v>1291</v>
      </c>
      <c r="D26" s="1072">
        <v>150</v>
      </c>
      <c r="E26" s="1072"/>
      <c r="F26" s="1101" t="s">
        <v>1061</v>
      </c>
      <c r="G26" s="1105" t="s">
        <v>332</v>
      </c>
      <c r="H26" s="1102" t="s">
        <v>1044</v>
      </c>
      <c r="I26" s="1570"/>
      <c r="J26" s="1604">
        <f>IFERROR(VLOOKUP($D$6,'Contract Listing'!$C$10:$DG$148,25,FALSE),0)</f>
        <v>0</v>
      </c>
      <c r="K26" s="1052"/>
      <c r="L26" s="1603">
        <f>SUMIFS('LAC 102_Wkst'!$AP$7:$AP$2010,'LAC 102_Wkst'!$I$7:$I$2010,'Final Shift Worksheet'!$D26,'LAC 102_Wkst'!$D$7:$D$2010,'Final Shift Worksheet'!$A26,'LAC 102_Wkst'!$L$7:$L$2010,'Final Shift Worksheet'!$G26)</f>
        <v>0</v>
      </c>
      <c r="M26" s="1106"/>
      <c r="N26" s="1104">
        <f t="shared" si="4"/>
        <v>0</v>
      </c>
      <c r="O26" s="1106"/>
      <c r="P26" s="1055"/>
      <c r="Q26" s="1106"/>
      <c r="R26" s="1104">
        <f t="shared" si="5"/>
        <v>0</v>
      </c>
      <c r="S26" s="1171"/>
      <c r="T26" s="1062" t="str">
        <f t="shared" si="6"/>
        <v>N</v>
      </c>
    </row>
    <row r="27" spans="1:20" s="1047" customFormat="1" ht="17.100000000000001" hidden="1" customHeight="1" x14ac:dyDescent="0.25">
      <c r="A27" s="1072" t="s">
        <v>256</v>
      </c>
      <c r="B27" s="1072">
        <v>15</v>
      </c>
      <c r="C27" s="1072" t="s">
        <v>1292</v>
      </c>
      <c r="D27" s="1072">
        <v>151</v>
      </c>
      <c r="E27" s="1072"/>
      <c r="F27" s="1101" t="s">
        <v>1062</v>
      </c>
      <c r="G27" s="1105" t="s">
        <v>332</v>
      </c>
      <c r="H27" s="1102" t="s">
        <v>1044</v>
      </c>
      <c r="I27" s="1570"/>
      <c r="J27" s="1604">
        <f>IFERROR(VLOOKUP($D$6,'Contract Listing'!$C$10:$DG$148,26,FALSE),0)</f>
        <v>0</v>
      </c>
      <c r="K27" s="1052"/>
      <c r="L27" s="1603">
        <f>SUMIFS('LAC 102_Wkst'!$AP$7:$AP$2010,'LAC 102_Wkst'!$I$7:$I$2010,'Final Shift Worksheet'!$D27,'LAC 102_Wkst'!$D$7:$D$2010,'Final Shift Worksheet'!$A27,'LAC 102_Wkst'!$L$7:$L$2010,'Final Shift Worksheet'!$G27)</f>
        <v>0</v>
      </c>
      <c r="M27" s="1106"/>
      <c r="N27" s="1104">
        <f t="shared" si="4"/>
        <v>0</v>
      </c>
      <c r="O27" s="1106"/>
      <c r="P27" s="1055"/>
      <c r="Q27" s="1106"/>
      <c r="R27" s="1104">
        <f t="shared" si="5"/>
        <v>0</v>
      </c>
      <c r="S27" s="1171"/>
      <c r="T27" s="1062" t="str">
        <f t="shared" si="6"/>
        <v>N</v>
      </c>
    </row>
    <row r="28" spans="1:20" s="1047" customFormat="1" ht="17.100000000000001" hidden="1" customHeight="1" x14ac:dyDescent="0.25">
      <c r="A28" s="1072" t="s">
        <v>256</v>
      </c>
      <c r="B28" s="1072">
        <v>16</v>
      </c>
      <c r="C28" s="1072" t="s">
        <v>1293</v>
      </c>
      <c r="D28" s="1072">
        <v>152</v>
      </c>
      <c r="E28" s="1072"/>
      <c r="F28" s="1101" t="s">
        <v>1063</v>
      </c>
      <c r="G28" s="1105" t="s">
        <v>332</v>
      </c>
      <c r="H28" s="1102" t="s">
        <v>1044</v>
      </c>
      <c r="I28" s="1570"/>
      <c r="J28" s="1604">
        <f>IFERROR(VLOOKUP($D$6,'Contract Listing'!$C$10:$DG$148,27,FALSE),0)</f>
        <v>0</v>
      </c>
      <c r="K28" s="1052"/>
      <c r="L28" s="1603">
        <f>SUMIFS('LAC 102_Wkst'!$AP$7:$AP$2010,'LAC 102_Wkst'!$I$7:$I$2010,'Final Shift Worksheet'!$D28,'LAC 102_Wkst'!$D$7:$D$2010,'Final Shift Worksheet'!$A28,'LAC 102_Wkst'!$L$7:$L$2010,'Final Shift Worksheet'!$G28)</f>
        <v>0</v>
      </c>
      <c r="M28" s="1106"/>
      <c r="N28" s="1104">
        <f t="shared" si="4"/>
        <v>0</v>
      </c>
      <c r="O28" s="1106"/>
      <c r="P28" s="1055"/>
      <c r="Q28" s="1106"/>
      <c r="R28" s="1104">
        <f t="shared" si="5"/>
        <v>0</v>
      </c>
      <c r="S28" s="1171"/>
      <c r="T28" s="1062" t="str">
        <f t="shared" si="6"/>
        <v>N</v>
      </c>
    </row>
    <row r="29" spans="1:20" s="1047" customFormat="1" ht="17.100000000000001" hidden="1" customHeight="1" x14ac:dyDescent="0.25">
      <c r="A29" s="1072" t="s">
        <v>256</v>
      </c>
      <c r="B29" s="1072">
        <v>17</v>
      </c>
      <c r="C29" s="1072" t="s">
        <v>1294</v>
      </c>
      <c r="D29" s="1072">
        <v>152</v>
      </c>
      <c r="E29" s="1072"/>
      <c r="F29" s="1101" t="s">
        <v>1064</v>
      </c>
      <c r="G29" s="1102"/>
      <c r="H29" s="1102" t="s">
        <v>1046</v>
      </c>
      <c r="I29" s="1606">
        <f>IFERROR(VLOOKUP($D$6,'Contract Listing'!$C$10:$DG$148,28,FALSE),0)</f>
        <v>0</v>
      </c>
      <c r="J29" s="1604">
        <f>IFERROR(VLOOKUP($D$6,'Contract Listing'!$C$10:$DG$148,29,FALSE),0)</f>
        <v>0</v>
      </c>
      <c r="K29" s="1103">
        <f>SUMIFS('LAC 102_Wkst'!$AN$7:$AN$2010,'LAC 102_Wkst'!$I$7:$I$2010,'Final Shift Worksheet'!$D29,'LAC 102_Wkst'!$D$7:$D$2010,'Final Shift Worksheet'!$A29)</f>
        <v>0</v>
      </c>
      <c r="L29" s="1571">
        <f>SUMIFS('LAC 102_Wkst'!$AO$7:$AO$2010,'LAC 102_Wkst'!$I$7:$I$2010,'Final Shift Worksheet'!$D29,'LAC 102_Wkst'!$D$7:$D$2010,'Final Shift Worksheet'!$A29)</f>
        <v>0</v>
      </c>
      <c r="M29" s="1103">
        <f>I29-K29</f>
        <v>0</v>
      </c>
      <c r="N29" s="1104">
        <f t="shared" si="4"/>
        <v>0</v>
      </c>
      <c r="O29" s="1054"/>
      <c r="P29" s="1104"/>
      <c r="Q29" s="1103">
        <f>I29+O29</f>
        <v>0</v>
      </c>
      <c r="R29" s="1104">
        <f t="shared" si="5"/>
        <v>0</v>
      </c>
      <c r="S29" s="1171"/>
      <c r="T29" s="1062" t="str">
        <f t="shared" si="6"/>
        <v>N</v>
      </c>
    </row>
    <row r="30" spans="1:20" s="1047" customFormat="1" ht="17.100000000000001" hidden="1" customHeight="1" x14ac:dyDescent="0.25">
      <c r="A30" s="1072" t="s">
        <v>256</v>
      </c>
      <c r="B30" s="1072">
        <v>18</v>
      </c>
      <c r="C30" s="1072" t="s">
        <v>1295</v>
      </c>
      <c r="D30" s="1072">
        <v>152.19999999999999</v>
      </c>
      <c r="E30" s="1072"/>
      <c r="F30" s="1101" t="s">
        <v>1065</v>
      </c>
      <c r="G30" s="1105" t="s">
        <v>332</v>
      </c>
      <c r="H30" s="1102" t="s">
        <v>1044</v>
      </c>
      <c r="I30" s="1570"/>
      <c r="J30" s="1604">
        <f>IFERROR(VLOOKUP($D$6,'Contract Listing'!$C$10:$DG$148,30,FALSE),0)</f>
        <v>0</v>
      </c>
      <c r="K30" s="1056"/>
      <c r="L30" s="1603">
        <f>SUMIFS('LAC 102_Wkst'!$AP$7:$AP$2010,'LAC 102_Wkst'!$I$7:$I$2010,'Final Shift Worksheet'!$D30,'LAC 102_Wkst'!$D$7:$D$2010,'Final Shift Worksheet'!$A30,'LAC 102_Wkst'!$L$7:$L$2010,'Final Shift Worksheet'!$G30)</f>
        <v>0</v>
      </c>
      <c r="M30" s="1106"/>
      <c r="N30" s="1104">
        <f>J30-L30</f>
        <v>0</v>
      </c>
      <c r="O30" s="1106"/>
      <c r="P30" s="1055"/>
      <c r="Q30" s="1106"/>
      <c r="R30" s="1104">
        <f>J30+P30</f>
        <v>0</v>
      </c>
      <c r="S30" s="1171"/>
      <c r="T30" s="1062" t="str">
        <f t="shared" si="6"/>
        <v>N</v>
      </c>
    </row>
    <row r="31" spans="1:20" s="1047" customFormat="1" ht="17.100000000000001" hidden="1" customHeight="1" x14ac:dyDescent="0.25">
      <c r="A31" s="1072" t="s">
        <v>256</v>
      </c>
      <c r="B31" s="1072">
        <v>19</v>
      </c>
      <c r="C31" s="1072" t="s">
        <v>1296</v>
      </c>
      <c r="D31" s="1072">
        <v>152.19999999999999</v>
      </c>
      <c r="E31" s="1072"/>
      <c r="F31" s="1101" t="s">
        <v>1066</v>
      </c>
      <c r="G31" s="1102"/>
      <c r="H31" s="1102" t="s">
        <v>1046</v>
      </c>
      <c r="I31" s="1606">
        <f>IFERROR(VLOOKUP($D$6,'Contract Listing'!$C$10:$DG$148,31,FALSE),0)</f>
        <v>0</v>
      </c>
      <c r="J31" s="1604">
        <f>IFERROR(VLOOKUP($D$6,'Contract Listing'!$C$10:$DG$148,32,FALSE),0)</f>
        <v>0</v>
      </c>
      <c r="K31" s="1103">
        <f>SUMIFS('LAC 102_Wkst'!$AN$7:$AN$2010,'LAC 102_Wkst'!$I$7:$I$2010,'Final Shift Worksheet'!$D31,'LAC 102_Wkst'!$D$7:$D$2010,'Final Shift Worksheet'!$A31)</f>
        <v>0</v>
      </c>
      <c r="L31" s="1571">
        <f>SUMIFS('LAC 102_Wkst'!$AO$7:$AO$2010,'LAC 102_Wkst'!$I$7:$I$2010,'Final Shift Worksheet'!$D31,'LAC 102_Wkst'!$D$7:$D$2010,'Final Shift Worksheet'!$A31)</f>
        <v>0</v>
      </c>
      <c r="M31" s="1103">
        <f>I31-K31</f>
        <v>0</v>
      </c>
      <c r="N31" s="1104">
        <f>J31-L31</f>
        <v>0</v>
      </c>
      <c r="O31" s="1054"/>
      <c r="P31" s="1104"/>
      <c r="Q31" s="1103">
        <f>I31+O31</f>
        <v>0</v>
      </c>
      <c r="R31" s="1104">
        <f>J31+P31</f>
        <v>0</v>
      </c>
      <c r="S31" s="1171"/>
      <c r="T31" s="1062" t="str">
        <f t="shared" si="6"/>
        <v>N</v>
      </c>
    </row>
    <row r="32" spans="1:20" s="1047" customFormat="1" ht="17.100000000000001" hidden="1" customHeight="1" x14ac:dyDescent="0.25">
      <c r="A32" s="1072" t="s">
        <v>256</v>
      </c>
      <c r="B32" s="1072">
        <v>20</v>
      </c>
      <c r="C32" s="1072" t="s">
        <v>1297</v>
      </c>
      <c r="D32" s="1072">
        <v>153</v>
      </c>
      <c r="E32" s="1072"/>
      <c r="F32" s="1101" t="s">
        <v>1067</v>
      </c>
      <c r="G32" s="1105" t="s">
        <v>332</v>
      </c>
      <c r="H32" s="1102" t="s">
        <v>1044</v>
      </c>
      <c r="I32" s="1570"/>
      <c r="J32" s="1604">
        <f>IFERROR(VLOOKUP($D$6,'Contract Listing'!$C$10:$DG$148,33,FALSE),0)</f>
        <v>0</v>
      </c>
      <c r="K32" s="1056"/>
      <c r="L32" s="1603">
        <f>SUMIFS('LAC 102_Wkst'!$AP$7:$AP$2010,'LAC 102_Wkst'!$I$7:$I$2010,'Final Shift Worksheet'!$D32,'LAC 102_Wkst'!$D$7:$D$2010,'Final Shift Worksheet'!$A32,'LAC 102_Wkst'!$L$7:$L$2010,'Final Shift Worksheet'!$G32)</f>
        <v>0</v>
      </c>
      <c r="M32" s="1106"/>
      <c r="N32" s="1104">
        <f t="shared" ref="N32:N38" si="7">J32-L32</f>
        <v>0</v>
      </c>
      <c r="O32" s="1106"/>
      <c r="P32" s="1055"/>
      <c r="Q32" s="1106"/>
      <c r="R32" s="1104">
        <f t="shared" ref="R32:R38" si="8">J32+P32</f>
        <v>0</v>
      </c>
      <c r="S32" s="1171"/>
      <c r="T32" s="1062" t="str">
        <f t="shared" si="6"/>
        <v>N</v>
      </c>
    </row>
    <row r="33" spans="1:20" s="1047" customFormat="1" ht="17.100000000000001" customHeight="1" x14ac:dyDescent="0.25">
      <c r="A33" s="1072" t="s">
        <v>256</v>
      </c>
      <c r="B33" s="1072">
        <v>22</v>
      </c>
      <c r="C33" s="1072" t="s">
        <v>1299</v>
      </c>
      <c r="D33" s="1072">
        <v>180</v>
      </c>
      <c r="E33" s="1072"/>
      <c r="F33" s="1101" t="s">
        <v>996</v>
      </c>
      <c r="G33" s="1105" t="s">
        <v>332</v>
      </c>
      <c r="H33" s="1102" t="s">
        <v>1044</v>
      </c>
      <c r="I33" s="1681"/>
      <c r="J33" s="1682">
        <f>IFERROR(VLOOKUP($D$6,'Contract Listing'!$C$10:$DG$148,35,FALSE),0)</f>
        <v>336737</v>
      </c>
      <c r="K33" s="1052"/>
      <c r="L33" s="1603">
        <f>SUMIFS('LAC 102_Wkst'!$AP$7:$AP$2010,'LAC 102_Wkst'!$I$7:$I$2010,'Final Shift Worksheet'!$D33,'LAC 102_Wkst'!$D$7:$D$2010,'Final Shift Worksheet'!$A33,'LAC 102_Wkst'!$L$7:$L$2010,'Final Shift Worksheet'!$G33)</f>
        <v>282021.60735022492</v>
      </c>
      <c r="M33" s="1106"/>
      <c r="N33" s="1104">
        <f t="shared" si="7"/>
        <v>54715.39264977508</v>
      </c>
      <c r="O33" s="1106"/>
      <c r="P33" s="1055"/>
      <c r="Q33" s="1106"/>
      <c r="R33" s="1104">
        <f t="shared" si="8"/>
        <v>336737</v>
      </c>
      <c r="S33" s="1171"/>
      <c r="T33" s="1062" t="str">
        <f t="shared" si="6"/>
        <v>Y</v>
      </c>
    </row>
    <row r="34" spans="1:20" s="1047" customFormat="1" ht="17.100000000000001" hidden="1" customHeight="1" x14ac:dyDescent="0.25">
      <c r="A34" s="1072" t="s">
        <v>256</v>
      </c>
      <c r="B34" s="1072">
        <v>23</v>
      </c>
      <c r="C34" s="1072" t="s">
        <v>936</v>
      </c>
      <c r="D34" s="1072">
        <v>183</v>
      </c>
      <c r="E34" s="1072"/>
      <c r="F34" s="1101" t="s">
        <v>862</v>
      </c>
      <c r="G34" s="1105" t="s">
        <v>95</v>
      </c>
      <c r="H34" s="1102" t="s">
        <v>857</v>
      </c>
      <c r="I34" s="1570"/>
      <c r="J34" s="1604">
        <f>IFERROR(VLOOKUP($D$6,'Contract Listing'!$C$10:$DG$148,36,FALSE),0)</f>
        <v>0</v>
      </c>
      <c r="K34" s="1056"/>
      <c r="L34" s="1603">
        <f>SUMIF('9A'!$B$9:$B$34,'Final Shift Worksheet'!$C34,'9A'!$L$9:$L$34)</f>
        <v>0</v>
      </c>
      <c r="M34" s="1572"/>
      <c r="N34" s="1104">
        <f t="shared" si="7"/>
        <v>0</v>
      </c>
      <c r="O34" s="1106"/>
      <c r="P34" s="1055"/>
      <c r="Q34" s="1106"/>
      <c r="R34" s="1104">
        <f t="shared" si="8"/>
        <v>0</v>
      </c>
      <c r="S34" s="1171"/>
      <c r="T34" s="1062" t="str">
        <f t="shared" si="6"/>
        <v>N</v>
      </c>
    </row>
    <row r="35" spans="1:20" s="1047" customFormat="1" ht="17.100000000000001" hidden="1" customHeight="1" x14ac:dyDescent="0.25">
      <c r="A35" s="1072" t="s">
        <v>256</v>
      </c>
      <c r="B35" s="1072">
        <v>24</v>
      </c>
      <c r="C35" s="1072" t="s">
        <v>1300</v>
      </c>
      <c r="D35" s="1072">
        <v>182</v>
      </c>
      <c r="E35" s="1072"/>
      <c r="F35" s="1101" t="s">
        <v>1068</v>
      </c>
      <c r="G35" s="1105" t="s">
        <v>332</v>
      </c>
      <c r="H35" s="1102" t="s">
        <v>1044</v>
      </c>
      <c r="I35" s="1570"/>
      <c r="J35" s="1604">
        <f>IFERROR(VLOOKUP($D$6,'Contract Listing'!$C$10:$DG$148,37,FALSE),0)</f>
        <v>0</v>
      </c>
      <c r="K35" s="1052"/>
      <c r="L35" s="1603">
        <f>SUMIFS('LAC 102_Wkst'!$AP$7:$AP$2010,'LAC 102_Wkst'!$I$7:$I$2010,'Final Shift Worksheet'!$D35,'LAC 102_Wkst'!$D$7:$D$2010,'Final Shift Worksheet'!$A35,'LAC 102_Wkst'!$L$7:$L$2010,'Final Shift Worksheet'!$G35)</f>
        <v>0</v>
      </c>
      <c r="M35" s="1106"/>
      <c r="N35" s="1104">
        <f t="shared" si="7"/>
        <v>0</v>
      </c>
      <c r="O35" s="1106"/>
      <c r="P35" s="1055"/>
      <c r="Q35" s="1106"/>
      <c r="R35" s="1104">
        <f t="shared" si="8"/>
        <v>0</v>
      </c>
      <c r="S35" s="1171"/>
      <c r="T35" s="1062" t="str">
        <f t="shared" si="6"/>
        <v>N</v>
      </c>
    </row>
    <row r="36" spans="1:20" s="1047" customFormat="1" ht="17.100000000000001" customHeight="1" x14ac:dyDescent="0.25">
      <c r="A36" s="1072" t="s">
        <v>256</v>
      </c>
      <c r="B36" s="1072">
        <v>25</v>
      </c>
      <c r="C36" s="1072" t="s">
        <v>1301</v>
      </c>
      <c r="D36" s="1072">
        <v>171</v>
      </c>
      <c r="E36" s="1072"/>
      <c r="F36" s="1101" t="s">
        <v>1069</v>
      </c>
      <c r="G36" s="1105" t="s">
        <v>332</v>
      </c>
      <c r="H36" s="1102" t="s">
        <v>1044</v>
      </c>
      <c r="I36" s="1681"/>
      <c r="J36" s="1682">
        <f>IFERROR(VLOOKUP($D$6,'Contract Listing'!$C$10:$DG$148,38,FALSE),0)</f>
        <v>827917</v>
      </c>
      <c r="K36" s="1052"/>
      <c r="L36" s="1603">
        <f>SUMIFS('LAC 102_Wkst'!$AP$7:$AP$2010,'LAC 102_Wkst'!$I$7:$I$2010,'Final Shift Worksheet'!$D36,'LAC 102_Wkst'!$D$7:$D$2010,'Final Shift Worksheet'!$A36,'LAC 102_Wkst'!$L$7:$L$2010,'Final Shift Worksheet'!$G36)</f>
        <v>677735.30542972754</v>
      </c>
      <c r="M36" s="1106"/>
      <c r="N36" s="1104">
        <f t="shared" si="7"/>
        <v>150181.69457027246</v>
      </c>
      <c r="O36" s="1106"/>
      <c r="P36" s="1055"/>
      <c r="Q36" s="1106"/>
      <c r="R36" s="1104">
        <f t="shared" si="8"/>
        <v>827917</v>
      </c>
      <c r="S36" s="1171"/>
      <c r="T36" s="1062" t="str">
        <f t="shared" si="6"/>
        <v>Y</v>
      </c>
    </row>
    <row r="37" spans="1:20" s="1047" customFormat="1" ht="17.100000000000001" customHeight="1" x14ac:dyDescent="0.25">
      <c r="A37" s="1072" t="s">
        <v>256</v>
      </c>
      <c r="B37" s="1072">
        <v>26</v>
      </c>
      <c r="C37" s="1072" t="s">
        <v>937</v>
      </c>
      <c r="D37" s="1072">
        <v>171</v>
      </c>
      <c r="E37" s="1072"/>
      <c r="F37" s="1101" t="s">
        <v>1070</v>
      </c>
      <c r="G37" s="1105" t="s">
        <v>95</v>
      </c>
      <c r="H37" s="1102" t="s">
        <v>857</v>
      </c>
      <c r="I37" s="1681"/>
      <c r="J37" s="1682">
        <f>IFERROR(VLOOKUP($D$6,'Contract Listing'!$C$10:$DG$148,39,FALSE),0)</f>
        <v>105110</v>
      </c>
      <c r="K37" s="1056"/>
      <c r="L37" s="1603">
        <f>SUMIF('9A'!$B$9:$B$34,'Final Shift Worksheet'!$C37,'9A'!$L$9:$L$34)</f>
        <v>66758</v>
      </c>
      <c r="M37" s="1572"/>
      <c r="N37" s="1104">
        <f t="shared" si="7"/>
        <v>38352</v>
      </c>
      <c r="O37" s="1106"/>
      <c r="P37" s="1055"/>
      <c r="Q37" s="1106"/>
      <c r="R37" s="1104">
        <f t="shared" si="8"/>
        <v>105110</v>
      </c>
      <c r="S37" s="1171"/>
      <c r="T37" s="1062" t="str">
        <f t="shared" si="6"/>
        <v>Y</v>
      </c>
    </row>
    <row r="38" spans="1:20" s="1047" customFormat="1" ht="17.100000000000001" customHeight="1" x14ac:dyDescent="0.25">
      <c r="A38" s="1072" t="s">
        <v>256</v>
      </c>
      <c r="B38" s="1072">
        <v>27</v>
      </c>
      <c r="C38" s="1072" t="s">
        <v>1302</v>
      </c>
      <c r="D38" s="1072">
        <v>171</v>
      </c>
      <c r="E38" s="1072"/>
      <c r="F38" s="1101" t="s">
        <v>1071</v>
      </c>
      <c r="G38" s="1680" t="s">
        <v>123</v>
      </c>
      <c r="H38" s="1102" t="s">
        <v>1046</v>
      </c>
      <c r="I38" s="1683">
        <f>IFERROR(VLOOKUP($D$6,'Contract Listing'!$C$10:$DG$148,40,FALSE),0)</f>
        <v>431707</v>
      </c>
      <c r="J38" s="1682">
        <f>IFERROR(VLOOKUP($D$6,'Contract Listing'!$C$10:$DG$148,41,FALSE),0)</f>
        <v>3096611</v>
      </c>
      <c r="K38" s="1103">
        <f>SUMIFS('LAC 102_Wkst'!$AN$7:$AN$2010,'LAC 102_Wkst'!$I$7:$I$2010,'Final Shift Worksheet'!$D38,'LAC 102_Wkst'!$D$7:$D$2010,'Final Shift Worksheet'!$A38)</f>
        <v>258278.39620008573</v>
      </c>
      <c r="L38" s="1571">
        <f>SUMIFS('LAC 102_Wkst'!$AO$7:$AO$2010,'LAC 102_Wkst'!$I$7:$I$2010,'Final Shift Worksheet'!$D38,'LAC 102_Wkst'!$D$7:$D$2010,'Final Shift Worksheet'!$A38)</f>
        <v>2844927.5765054286</v>
      </c>
      <c r="M38" s="1103">
        <f>I38-K38</f>
        <v>173428.60379991427</v>
      </c>
      <c r="N38" s="1104">
        <f t="shared" si="7"/>
        <v>251683.42349457135</v>
      </c>
      <c r="O38" s="1054"/>
      <c r="P38" s="1104"/>
      <c r="Q38" s="1103">
        <f>I38+O38</f>
        <v>431707</v>
      </c>
      <c r="R38" s="1104">
        <f t="shared" si="8"/>
        <v>3096611</v>
      </c>
      <c r="S38" s="1171"/>
      <c r="T38" s="1062" t="str">
        <f t="shared" si="6"/>
        <v>Y</v>
      </c>
    </row>
    <row r="39" spans="1:20" s="1047" customFormat="1" ht="17.100000000000001" hidden="1" customHeight="1" x14ac:dyDescent="0.25">
      <c r="A39" s="1072" t="s">
        <v>256</v>
      </c>
      <c r="B39" s="1072">
        <v>28</v>
      </c>
      <c r="C39" s="1072" t="s">
        <v>1303</v>
      </c>
      <c r="D39" s="1072">
        <v>310</v>
      </c>
      <c r="E39" s="1072"/>
      <c r="F39" s="1101" t="s">
        <v>1007</v>
      </c>
      <c r="G39" s="1105" t="s">
        <v>332</v>
      </c>
      <c r="H39" s="1102" t="s">
        <v>1044</v>
      </c>
      <c r="I39" s="1570"/>
      <c r="J39" s="1604">
        <f>IFERROR(VLOOKUP($D$6,'Contract Listing'!$C$10:$DG$148,42,FALSE),0)</f>
        <v>0</v>
      </c>
      <c r="K39" s="1056"/>
      <c r="L39" s="1603">
        <f>SUMIFS('LAC 102_Wkst'!$AP$7:$AP$2010,'LAC 102_Wkst'!$I$7:$I$2010,'Final Shift Worksheet'!$D39,'LAC 102_Wkst'!$D$7:$D$2010,'Final Shift Worksheet'!$A39,'LAC 102_Wkst'!$L$7:$L$2010,'Final Shift Worksheet'!$G39)</f>
        <v>0</v>
      </c>
      <c r="M39" s="1106"/>
      <c r="N39" s="1104">
        <f t="shared" ref="N39:N63" si="9">J39-L39</f>
        <v>0</v>
      </c>
      <c r="O39" s="1106"/>
      <c r="P39" s="1055"/>
      <c r="Q39" s="1106"/>
      <c r="R39" s="1104">
        <f t="shared" ref="R39:R61" si="10">J39+P39</f>
        <v>0</v>
      </c>
      <c r="S39" s="1171"/>
      <c r="T39" s="1062" t="str">
        <f t="shared" si="6"/>
        <v>N</v>
      </c>
    </row>
    <row r="40" spans="1:20" s="1047" customFormat="1" ht="17.100000000000001" hidden="1" customHeight="1" x14ac:dyDescent="0.25">
      <c r="A40" s="1072" t="s">
        <v>256</v>
      </c>
      <c r="B40" s="1072">
        <v>29</v>
      </c>
      <c r="C40" s="1072" t="s">
        <v>938</v>
      </c>
      <c r="D40" s="1072">
        <v>350</v>
      </c>
      <c r="E40" s="1072"/>
      <c r="F40" s="1101" t="s">
        <v>1072</v>
      </c>
      <c r="G40" s="1105" t="s">
        <v>95</v>
      </c>
      <c r="H40" s="1102" t="s">
        <v>857</v>
      </c>
      <c r="I40" s="1570"/>
      <c r="J40" s="1604">
        <f>IFERROR(VLOOKUP($D$6,'Contract Listing'!$C$10:$DG$148,43,FALSE),0)</f>
        <v>0</v>
      </c>
      <c r="K40" s="1056"/>
      <c r="L40" s="1603">
        <f>SUMIF('9A'!$B$9:$B$34,'Final Shift Worksheet'!$C40,'9A'!$L$9:$L$34)</f>
        <v>0</v>
      </c>
      <c r="M40" s="1572"/>
      <c r="N40" s="1104">
        <f t="shared" si="9"/>
        <v>0</v>
      </c>
      <c r="O40" s="1106"/>
      <c r="P40" s="1055"/>
      <c r="Q40" s="1106"/>
      <c r="R40" s="1104">
        <f t="shared" si="10"/>
        <v>0</v>
      </c>
      <c r="S40" s="1171"/>
      <c r="T40" s="1062" t="str">
        <f t="shared" si="6"/>
        <v>N</v>
      </c>
    </row>
    <row r="41" spans="1:20" s="1047" customFormat="1" ht="17.100000000000001" customHeight="1" x14ac:dyDescent="0.25">
      <c r="A41" s="1072" t="s">
        <v>256</v>
      </c>
      <c r="B41" s="1072">
        <v>35</v>
      </c>
      <c r="C41" s="1072" t="s">
        <v>1306</v>
      </c>
      <c r="D41" s="1072">
        <v>221</v>
      </c>
      <c r="E41" s="1072"/>
      <c r="F41" s="1101" t="s">
        <v>1073</v>
      </c>
      <c r="G41" s="1105" t="s">
        <v>332</v>
      </c>
      <c r="H41" s="1102" t="s">
        <v>1044</v>
      </c>
      <c r="I41" s="1681"/>
      <c r="J41" s="1682">
        <f>IFERROR(VLOOKUP($D$6,'Contract Listing'!$C$10:$DG$148,47,FALSE),0)</f>
        <v>278500</v>
      </c>
      <c r="K41" s="1052"/>
      <c r="L41" s="1603">
        <f>SUMIFS('LAC 102_Wkst'!$AP$7:$AP$2010,'LAC 102_Wkst'!$I$7:$I$2010,'Final Shift Worksheet'!$D41,'LAC 102_Wkst'!$D$7:$D$2010,'Final Shift Worksheet'!$A41,'LAC 102_Wkst'!$L$7:$L$2010,'Final Shift Worksheet'!$G41)</f>
        <v>147065.46198617609</v>
      </c>
      <c r="M41" s="1106"/>
      <c r="N41" s="1104">
        <f t="shared" si="9"/>
        <v>131434.53801382391</v>
      </c>
      <c r="O41" s="1106"/>
      <c r="P41" s="1055"/>
      <c r="Q41" s="1106"/>
      <c r="R41" s="1104">
        <f t="shared" si="10"/>
        <v>278500</v>
      </c>
      <c r="S41" s="1171"/>
      <c r="T41" s="1062" t="str">
        <f t="shared" si="6"/>
        <v>Y</v>
      </c>
    </row>
    <row r="42" spans="1:20" s="1047" customFormat="1" ht="17.100000000000001" customHeight="1" x14ac:dyDescent="0.25">
      <c r="A42" s="1072" t="s">
        <v>256</v>
      </c>
      <c r="B42" s="1072">
        <v>36</v>
      </c>
      <c r="C42" s="1072" t="s">
        <v>939</v>
      </c>
      <c r="D42" s="1072">
        <v>221</v>
      </c>
      <c r="E42" s="1072"/>
      <c r="F42" s="1101" t="s">
        <v>1074</v>
      </c>
      <c r="G42" s="1105" t="s">
        <v>95</v>
      </c>
      <c r="H42" s="1102" t="s">
        <v>857</v>
      </c>
      <c r="I42" s="1681"/>
      <c r="J42" s="1682">
        <f>IFERROR(VLOOKUP($D$6,'Contract Listing'!$C$10:$DG$148,48,FALSE),0)</f>
        <v>57500</v>
      </c>
      <c r="K42" s="1056"/>
      <c r="L42" s="1603">
        <f>SUMIF('9A'!$B$9:$B$34,'Final Shift Worksheet'!$C42,'9A'!$L$9:$L$34)</f>
        <v>0</v>
      </c>
      <c r="M42" s="1572"/>
      <c r="N42" s="1104">
        <f t="shared" si="9"/>
        <v>57500</v>
      </c>
      <c r="O42" s="1106"/>
      <c r="P42" s="1055"/>
      <c r="Q42" s="1106"/>
      <c r="R42" s="1104">
        <f t="shared" si="10"/>
        <v>57500</v>
      </c>
      <c r="S42" s="1171"/>
      <c r="T42" s="1062" t="str">
        <f t="shared" si="6"/>
        <v>Y</v>
      </c>
    </row>
    <row r="43" spans="1:20" s="1047" customFormat="1" ht="17.100000000000001" customHeight="1" x14ac:dyDescent="0.25">
      <c r="A43" s="1072" t="s">
        <v>256</v>
      </c>
      <c r="B43" s="1072">
        <v>37</v>
      </c>
      <c r="C43" s="1072" t="s">
        <v>1307</v>
      </c>
      <c r="D43" s="1072">
        <v>221</v>
      </c>
      <c r="E43" s="1072"/>
      <c r="F43" s="1101" t="s">
        <v>1075</v>
      </c>
      <c r="G43" s="1680" t="s">
        <v>123</v>
      </c>
      <c r="H43" s="1102" t="s">
        <v>1046</v>
      </c>
      <c r="I43" s="1683">
        <f>IFERROR(VLOOKUP($D$6,'Contract Listing'!$C$10:$DG$148,49,FALSE),0)</f>
        <v>831492</v>
      </c>
      <c r="J43" s="1682">
        <f>IFERROR(VLOOKUP($D$6,'Contract Listing'!$C$10:$DG$148,50,FALSE),0)</f>
        <v>2043279</v>
      </c>
      <c r="K43" s="1103">
        <f>SUMIFS('LAC 102_Wkst'!$AN$7:$AN$2010,'LAC 102_Wkst'!$I$7:$I$2010,'Final Shift Worksheet'!$D43,'LAC 102_Wkst'!$D$7:$D$2010,'Final Shift Worksheet'!$A43)</f>
        <v>533966.37123898754</v>
      </c>
      <c r="L43" s="1571">
        <f>SUMIFS('LAC 102_Wkst'!$AO$7:$AO$2010,'LAC 102_Wkst'!$I$7:$I$2010,'Final Shift Worksheet'!$D43,'LAC 102_Wkst'!$D$7:$D$2010,'Final Shift Worksheet'!$A43)</f>
        <v>2022859.3797398945</v>
      </c>
      <c r="M43" s="1103">
        <f>I43-K43</f>
        <v>297525.62876101246</v>
      </c>
      <c r="N43" s="1104">
        <f t="shared" si="9"/>
        <v>20419.620260105468</v>
      </c>
      <c r="O43" s="1054"/>
      <c r="P43" s="1104"/>
      <c r="Q43" s="1103">
        <f>I43+O43</f>
        <v>831492</v>
      </c>
      <c r="R43" s="1104">
        <f t="shared" si="10"/>
        <v>2043279</v>
      </c>
      <c r="S43" s="1171"/>
      <c r="T43" s="1062" t="str">
        <f t="shared" si="6"/>
        <v>Y</v>
      </c>
    </row>
    <row r="44" spans="1:20" s="1047" customFormat="1" ht="17.100000000000001" customHeight="1" x14ac:dyDescent="0.25">
      <c r="A44" s="1072" t="s">
        <v>256</v>
      </c>
      <c r="B44" s="1072">
        <v>38</v>
      </c>
      <c r="C44" s="1072" t="s">
        <v>1308</v>
      </c>
      <c r="D44" s="1072">
        <v>230</v>
      </c>
      <c r="E44" s="1072"/>
      <c r="F44" s="1101" t="s">
        <v>1076</v>
      </c>
      <c r="G44" s="1105" t="s">
        <v>332</v>
      </c>
      <c r="H44" s="1102" t="s">
        <v>1044</v>
      </c>
      <c r="I44" s="1681"/>
      <c r="J44" s="1682">
        <f>IFERROR(VLOOKUP($D$6,'Contract Listing'!$C$10:$DG$148,51,FALSE),0)</f>
        <v>918831</v>
      </c>
      <c r="K44" s="1056"/>
      <c r="L44" s="1603">
        <f>SUMIFS('LAC 102_Wkst'!$AP$7:$AP$2010,'LAC 102_Wkst'!$I$7:$I$2010,'Final Shift Worksheet'!$D44,'LAC 102_Wkst'!$D$7:$D$2010,'Final Shift Worksheet'!$A44,'LAC 102_Wkst'!$L$7:$L$2010,'Final Shift Worksheet'!$G44)</f>
        <v>157199.98551089701</v>
      </c>
      <c r="M44" s="1106"/>
      <c r="N44" s="1104">
        <f t="shared" si="9"/>
        <v>761631.01448910299</v>
      </c>
      <c r="O44" s="1106"/>
      <c r="P44" s="1055"/>
      <c r="Q44" s="1106"/>
      <c r="R44" s="1104">
        <f t="shared" si="10"/>
        <v>918831</v>
      </c>
      <c r="S44" s="1171"/>
      <c r="T44" s="1062" t="str">
        <f t="shared" ref="T44:T57" si="11">IF(SUM(J44,L44,P44)&gt;0,"Y","N")</f>
        <v>Y</v>
      </c>
    </row>
    <row r="45" spans="1:20" s="1047" customFormat="1" ht="17.100000000000001" hidden="1" customHeight="1" x14ac:dyDescent="0.25">
      <c r="A45" s="1072" t="s">
        <v>256</v>
      </c>
      <c r="B45" s="1072">
        <v>39</v>
      </c>
      <c r="C45" s="1072" t="s">
        <v>940</v>
      </c>
      <c r="D45" s="1072">
        <v>230</v>
      </c>
      <c r="E45" s="1072"/>
      <c r="F45" s="1101" t="s">
        <v>863</v>
      </c>
      <c r="G45" s="1105" t="s">
        <v>95</v>
      </c>
      <c r="H45" s="1102" t="s">
        <v>857</v>
      </c>
      <c r="I45" s="1570"/>
      <c r="J45" s="1604">
        <f>IFERROR(VLOOKUP($D$6,'Contract Listing'!$C$10:$DG$148,52,FALSE),0)</f>
        <v>0</v>
      </c>
      <c r="K45" s="1056"/>
      <c r="L45" s="1603">
        <f>SUMIF('9A'!$B$9:$B$34,'Final Shift Worksheet'!$C45,'9A'!$L$9:$L$34)</f>
        <v>0</v>
      </c>
      <c r="M45" s="1572"/>
      <c r="N45" s="1104">
        <f t="shared" si="9"/>
        <v>0</v>
      </c>
      <c r="O45" s="1106"/>
      <c r="P45" s="1055"/>
      <c r="Q45" s="1106"/>
      <c r="R45" s="1104">
        <f t="shared" si="10"/>
        <v>0</v>
      </c>
      <c r="S45" s="1171"/>
      <c r="T45" s="1062" t="str">
        <f t="shared" si="11"/>
        <v>N</v>
      </c>
    </row>
    <row r="46" spans="1:20" s="1047" customFormat="1" ht="17.100000000000001" customHeight="1" x14ac:dyDescent="0.25">
      <c r="A46" s="1072" t="s">
        <v>256</v>
      </c>
      <c r="B46" s="1072">
        <v>40</v>
      </c>
      <c r="C46" s="1072" t="s">
        <v>1309</v>
      </c>
      <c r="D46" s="1072">
        <v>230</v>
      </c>
      <c r="E46" s="1072"/>
      <c r="F46" s="1101" t="s">
        <v>1077</v>
      </c>
      <c r="G46" s="1680" t="s">
        <v>123</v>
      </c>
      <c r="H46" s="1102" t="s">
        <v>1046</v>
      </c>
      <c r="I46" s="1683">
        <f>IFERROR(VLOOKUP($D$6,'Contract Listing'!$C$10:$DG$148,53,FALSE),0)</f>
        <v>0</v>
      </c>
      <c r="J46" s="1682">
        <f>IFERROR(VLOOKUP($D$6,'Contract Listing'!$C$10:$DG$148,54,FALSE),0)</f>
        <v>468909</v>
      </c>
      <c r="K46" s="1103">
        <f>SUMIFS('LAC 102_Wkst'!$AN$7:$AN$2010,'LAC 102_Wkst'!$I$7:$I$2010,'Final Shift Worksheet'!$D46,'LAC 102_Wkst'!$D$7:$D$2010,'Final Shift Worksheet'!$A46)</f>
        <v>0</v>
      </c>
      <c r="L46" s="1571">
        <f>SUMIFS('LAC 102_Wkst'!$AO$7:$AO$2010,'LAC 102_Wkst'!$I$7:$I$2010,'Final Shift Worksheet'!$D46,'LAC 102_Wkst'!$D$7:$D$2010,'Final Shift Worksheet'!$A46)</f>
        <v>370902.91068009404</v>
      </c>
      <c r="M46" s="1103">
        <f>I46-K46</f>
        <v>0</v>
      </c>
      <c r="N46" s="1104">
        <f t="shared" si="9"/>
        <v>98006.089319905965</v>
      </c>
      <c r="O46" s="1054"/>
      <c r="P46" s="1104"/>
      <c r="Q46" s="1103">
        <f>I46+O46</f>
        <v>0</v>
      </c>
      <c r="R46" s="1104">
        <f t="shared" si="10"/>
        <v>468909</v>
      </c>
      <c r="S46" s="1171"/>
      <c r="T46" s="1062" t="str">
        <f t="shared" si="11"/>
        <v>Y</v>
      </c>
    </row>
    <row r="47" spans="1:20" s="1047" customFormat="1" ht="17.100000000000001" customHeight="1" x14ac:dyDescent="0.25">
      <c r="A47" s="1072" t="s">
        <v>256</v>
      </c>
      <c r="B47" s="1072">
        <v>41</v>
      </c>
      <c r="C47" s="1072" t="s">
        <v>1310</v>
      </c>
      <c r="D47" s="1072">
        <v>231</v>
      </c>
      <c r="E47" s="1072"/>
      <c r="F47" s="1101" t="s">
        <v>1078</v>
      </c>
      <c r="G47" s="1105" t="s">
        <v>332</v>
      </c>
      <c r="H47" s="1102" t="s">
        <v>1044</v>
      </c>
      <c r="I47" s="1681"/>
      <c r="J47" s="1682">
        <f>IFERROR(VLOOKUP($D$6,'Contract Listing'!$C$10:$DG$148,55,FALSE),0)</f>
        <v>711484</v>
      </c>
      <c r="K47" s="1056"/>
      <c r="L47" s="1603">
        <f>SUMIFS('LAC 102_Wkst'!$AP$7:$AP$2010,'LAC 102_Wkst'!$I$7:$I$2010,'Final Shift Worksheet'!$D47,'LAC 102_Wkst'!$D$7:$D$2010,'Final Shift Worksheet'!$A47,'LAC 102_Wkst'!$L$7:$L$2010,'Final Shift Worksheet'!$G47)</f>
        <v>199913.34731507482</v>
      </c>
      <c r="M47" s="1106"/>
      <c r="N47" s="1104">
        <f t="shared" si="9"/>
        <v>511570.65268492518</v>
      </c>
      <c r="O47" s="1106"/>
      <c r="P47" s="1055"/>
      <c r="Q47" s="1106"/>
      <c r="R47" s="1104">
        <f t="shared" si="10"/>
        <v>711484</v>
      </c>
      <c r="S47" s="1171"/>
      <c r="T47" s="1062" t="str">
        <f t="shared" si="11"/>
        <v>Y</v>
      </c>
    </row>
    <row r="48" spans="1:20" s="1047" customFormat="1" ht="17.100000000000001" hidden="1" customHeight="1" x14ac:dyDescent="0.25">
      <c r="A48" s="1072" t="s">
        <v>256</v>
      </c>
      <c r="B48" s="1072">
        <v>42</v>
      </c>
      <c r="C48" s="1072" t="s">
        <v>941</v>
      </c>
      <c r="D48" s="1072">
        <v>231</v>
      </c>
      <c r="E48" s="1072"/>
      <c r="F48" s="1101" t="s">
        <v>864</v>
      </c>
      <c r="G48" s="1105" t="s">
        <v>95</v>
      </c>
      <c r="H48" s="1102" t="s">
        <v>857</v>
      </c>
      <c r="I48" s="1570"/>
      <c r="J48" s="1604">
        <f>IFERROR(VLOOKUP($D$6,'Contract Listing'!$C$10:$DG$148,56,FALSE),0)</f>
        <v>0</v>
      </c>
      <c r="K48" s="1056"/>
      <c r="L48" s="1603">
        <f>SUMIF('9A'!$B$9:$B$34,'Final Shift Worksheet'!$C48,'9A'!$L$9:$L$34)</f>
        <v>0</v>
      </c>
      <c r="M48" s="1572"/>
      <c r="N48" s="1104">
        <f t="shared" si="9"/>
        <v>0</v>
      </c>
      <c r="O48" s="1106"/>
      <c r="P48" s="1055"/>
      <c r="Q48" s="1106"/>
      <c r="R48" s="1104">
        <f t="shared" si="10"/>
        <v>0</v>
      </c>
      <c r="S48" s="1171"/>
      <c r="T48" s="1062" t="str">
        <f t="shared" si="11"/>
        <v>N</v>
      </c>
    </row>
    <row r="49" spans="1:20" s="1047" customFormat="1" ht="17.100000000000001" customHeight="1" x14ac:dyDescent="0.25">
      <c r="A49" s="1072" t="s">
        <v>256</v>
      </c>
      <c r="B49" s="1072">
        <v>43</v>
      </c>
      <c r="C49" s="1072" t="s">
        <v>1311</v>
      </c>
      <c r="D49" s="1072">
        <v>231</v>
      </c>
      <c r="E49" s="1072"/>
      <c r="F49" s="1101" t="s">
        <v>1079</v>
      </c>
      <c r="G49" s="1102"/>
      <c r="H49" s="1102" t="s">
        <v>1046</v>
      </c>
      <c r="I49" s="1683">
        <f>IFERROR(VLOOKUP($D$6,'Contract Listing'!$C$10:$DG$148,57,FALSE),0)</f>
        <v>96460</v>
      </c>
      <c r="J49" s="1682">
        <f>IFERROR(VLOOKUP($D$6,'Contract Listing'!$C$10:$DG$148,58,FALSE),0)</f>
        <v>357260</v>
      </c>
      <c r="K49" s="1103">
        <f>SUMIFS('LAC 102_Wkst'!$AN$7:$AN$2010,'LAC 102_Wkst'!$I$7:$I$2010,'Final Shift Worksheet'!$D49,'LAC 102_Wkst'!$D$7:$D$2010,'Final Shift Worksheet'!$A49)</f>
        <v>18797.256799650808</v>
      </c>
      <c r="L49" s="1571">
        <f>SUMIFS('LAC 102_Wkst'!$AO$7:$AO$2010,'LAC 102_Wkst'!$I$7:$I$2010,'Final Shift Worksheet'!$D49,'LAC 102_Wkst'!$D$7:$D$2010,'Final Shift Worksheet'!$A49)</f>
        <v>201193.51487821108</v>
      </c>
      <c r="M49" s="1103">
        <f>I49-K49</f>
        <v>77662.743200349185</v>
      </c>
      <c r="N49" s="1104">
        <f t="shared" si="9"/>
        <v>156066.48512178892</v>
      </c>
      <c r="O49" s="1054"/>
      <c r="P49" s="1104"/>
      <c r="Q49" s="1103">
        <f>I49+O49</f>
        <v>96460</v>
      </c>
      <c r="R49" s="1104">
        <f t="shared" si="10"/>
        <v>357260</v>
      </c>
      <c r="S49" s="1171"/>
      <c r="T49" s="1062" t="str">
        <f t="shared" si="11"/>
        <v>Y</v>
      </c>
    </row>
    <row r="50" spans="1:20" s="1047" customFormat="1" ht="17.100000000000001" hidden="1" customHeight="1" x14ac:dyDescent="0.25">
      <c r="A50" s="1072" t="s">
        <v>256</v>
      </c>
      <c r="B50" s="1072">
        <v>44</v>
      </c>
      <c r="C50" s="1072" t="s">
        <v>1312</v>
      </c>
      <c r="D50" s="1072">
        <v>241</v>
      </c>
      <c r="E50" s="1072"/>
      <c r="F50" s="1101" t="s">
        <v>1080</v>
      </c>
      <c r="G50" s="1105" t="s">
        <v>332</v>
      </c>
      <c r="H50" s="1102" t="s">
        <v>1044</v>
      </c>
      <c r="I50" s="1570"/>
      <c r="J50" s="1604">
        <f>IFERROR(VLOOKUP($D$6,'Contract Listing'!$C$10:$DG$148,59,FALSE),0)</f>
        <v>0</v>
      </c>
      <c r="K50" s="1056"/>
      <c r="L50" s="1603">
        <f>SUMIFS('LAC 102_Wkst'!$AP$7:$AP$2010,'LAC 102_Wkst'!$I$7:$I$2010,'Final Shift Worksheet'!$D50,'LAC 102_Wkst'!$D$7:$D$2010,'Final Shift Worksheet'!$A50,'LAC 102_Wkst'!$L$7:$L$2010,'Final Shift Worksheet'!$G50)</f>
        <v>0</v>
      </c>
      <c r="M50" s="1106"/>
      <c r="N50" s="1104">
        <f t="shared" si="9"/>
        <v>0</v>
      </c>
      <c r="O50" s="1106"/>
      <c r="P50" s="1055"/>
      <c r="Q50" s="1106"/>
      <c r="R50" s="1104">
        <f t="shared" si="10"/>
        <v>0</v>
      </c>
      <c r="S50" s="1171"/>
      <c r="T50" s="1062" t="str">
        <f t="shared" si="11"/>
        <v>N</v>
      </c>
    </row>
    <row r="51" spans="1:20" s="1047" customFormat="1" ht="17.100000000000001" hidden="1" customHeight="1" x14ac:dyDescent="0.25">
      <c r="A51" s="1072" t="s">
        <v>256</v>
      </c>
      <c r="B51" s="1072">
        <v>45</v>
      </c>
      <c r="C51" s="1072" t="s">
        <v>942</v>
      </c>
      <c r="D51" s="1072">
        <v>241</v>
      </c>
      <c r="E51" s="1072"/>
      <c r="F51" s="1101" t="s">
        <v>865</v>
      </c>
      <c r="G51" s="1105" t="s">
        <v>95</v>
      </c>
      <c r="H51" s="1102" t="s">
        <v>857</v>
      </c>
      <c r="I51" s="1570"/>
      <c r="J51" s="1604">
        <f>IFERROR(VLOOKUP($D$6,'Contract Listing'!$C$10:$DG$148,60,FALSE),0)</f>
        <v>0</v>
      </c>
      <c r="K51" s="1056"/>
      <c r="L51" s="1603">
        <f>SUMIF('9A'!$B$9:$B$34,'Final Shift Worksheet'!$C51,'9A'!$L$9:$L$34)</f>
        <v>0</v>
      </c>
      <c r="M51" s="1572"/>
      <c r="N51" s="1104">
        <f t="shared" si="9"/>
        <v>0</v>
      </c>
      <c r="O51" s="1106"/>
      <c r="P51" s="1055"/>
      <c r="Q51" s="1106"/>
      <c r="R51" s="1104">
        <f t="shared" si="10"/>
        <v>0</v>
      </c>
      <c r="S51" s="1171"/>
      <c r="T51" s="1062" t="str">
        <f t="shared" si="11"/>
        <v>N</v>
      </c>
    </row>
    <row r="52" spans="1:20" s="1047" customFormat="1" ht="17.100000000000001" hidden="1" customHeight="1" x14ac:dyDescent="0.25">
      <c r="A52" s="1072" t="s">
        <v>256</v>
      </c>
      <c r="B52" s="1072">
        <v>46</v>
      </c>
      <c r="C52" s="1072" t="s">
        <v>943</v>
      </c>
      <c r="D52" s="1072">
        <v>241</v>
      </c>
      <c r="E52" s="1072"/>
      <c r="F52" s="1101" t="s">
        <v>866</v>
      </c>
      <c r="G52" s="1105" t="s">
        <v>95</v>
      </c>
      <c r="H52" s="1102" t="s">
        <v>857</v>
      </c>
      <c r="I52" s="1570"/>
      <c r="J52" s="1604">
        <f>IFERROR(VLOOKUP($D$6,'Contract Listing'!$C$10:$DG$148,61,FALSE),0)</f>
        <v>0</v>
      </c>
      <c r="K52" s="1056"/>
      <c r="L52" s="1603">
        <f>SUMIF('9A'!$B$9:$B$34,'Final Shift Worksheet'!$C52,'9A'!$L$9:$L$34)</f>
        <v>0</v>
      </c>
      <c r="M52" s="1572"/>
      <c r="N52" s="1104">
        <f t="shared" si="9"/>
        <v>0</v>
      </c>
      <c r="O52" s="1106"/>
      <c r="P52" s="1055"/>
      <c r="Q52" s="1106"/>
      <c r="R52" s="1104">
        <f t="shared" si="10"/>
        <v>0</v>
      </c>
      <c r="S52" s="1171"/>
      <c r="T52" s="1062" t="str">
        <f t="shared" si="11"/>
        <v>N</v>
      </c>
    </row>
    <row r="53" spans="1:20" s="1047" customFormat="1" ht="17.100000000000001" hidden="1" customHeight="1" x14ac:dyDescent="0.25">
      <c r="A53" s="1072" t="s">
        <v>256</v>
      </c>
      <c r="B53" s="1072">
        <v>47</v>
      </c>
      <c r="C53" s="1072" t="s">
        <v>1313</v>
      </c>
      <c r="D53" s="1072">
        <v>241</v>
      </c>
      <c r="E53" s="1072"/>
      <c r="F53" s="1101" t="s">
        <v>1081</v>
      </c>
      <c r="G53" s="1102"/>
      <c r="H53" s="1102" t="s">
        <v>1046</v>
      </c>
      <c r="I53" s="1606">
        <f>IFERROR(VLOOKUP($D$6,'Contract Listing'!$C$10:$DG$148,62,FALSE),0)</f>
        <v>0</v>
      </c>
      <c r="J53" s="1604">
        <f>IFERROR(VLOOKUP($D$6,'Contract Listing'!$C$10:$DG$148,63,FALSE),0)</f>
        <v>0</v>
      </c>
      <c r="K53" s="1103">
        <f>SUMIFS('LAC 102_Wkst'!$AN$7:$AN$2010,'LAC 102_Wkst'!$I$7:$I$2010,'Final Shift Worksheet'!$D53,'LAC 102_Wkst'!$D$7:$D$2010,'Final Shift Worksheet'!$A53)</f>
        <v>0</v>
      </c>
      <c r="L53" s="1571">
        <f>SUMIFS('LAC 102_Wkst'!$AO$7:$AO$2010,'LAC 102_Wkst'!$I$7:$I$2010,'Final Shift Worksheet'!$D53,'LAC 102_Wkst'!$D$7:$D$2010,'Final Shift Worksheet'!$A53)</f>
        <v>0</v>
      </c>
      <c r="M53" s="1103">
        <f>I53-K53</f>
        <v>0</v>
      </c>
      <c r="N53" s="1104">
        <f t="shared" si="9"/>
        <v>0</v>
      </c>
      <c r="O53" s="1054"/>
      <c r="P53" s="1104"/>
      <c r="Q53" s="1103">
        <f>I53+O53</f>
        <v>0</v>
      </c>
      <c r="R53" s="1104">
        <f t="shared" si="10"/>
        <v>0</v>
      </c>
      <c r="S53" s="1171"/>
      <c r="T53" s="1062" t="str">
        <f t="shared" si="11"/>
        <v>N</v>
      </c>
    </row>
    <row r="54" spans="1:20" s="1047" customFormat="1" ht="17.100000000000001" hidden="1" customHeight="1" x14ac:dyDescent="0.25">
      <c r="A54" s="1072" t="s">
        <v>256</v>
      </c>
      <c r="B54" s="1072">
        <v>48</v>
      </c>
      <c r="C54" s="1072" t="s">
        <v>1314</v>
      </c>
      <c r="D54" s="1072">
        <v>250</v>
      </c>
      <c r="E54" s="1072"/>
      <c r="F54" s="1101" t="s">
        <v>1082</v>
      </c>
      <c r="G54" s="1105" t="s">
        <v>332</v>
      </c>
      <c r="H54" s="1102" t="s">
        <v>1044</v>
      </c>
      <c r="I54" s="1574"/>
      <c r="J54" s="1604">
        <f>IFERROR(VLOOKUP($D$6,'Contract Listing'!$C$10:$DG$148,64,FALSE),0)</f>
        <v>0</v>
      </c>
      <c r="K54" s="1056"/>
      <c r="L54" s="1603">
        <f>SUMIFS('LAC 102_Wkst'!$AP$7:$AP$2010,'LAC 102_Wkst'!$I$7:$I$2010,'Final Shift Worksheet'!$D54,'LAC 102_Wkst'!$D$7:$D$2010,'Final Shift Worksheet'!$A54,'LAC 102_Wkst'!$L$7:$L$2010,'Final Shift Worksheet'!$G54)</f>
        <v>0</v>
      </c>
      <c r="M54" s="1106"/>
      <c r="N54" s="1104">
        <f t="shared" si="9"/>
        <v>0</v>
      </c>
      <c r="O54" s="1106"/>
      <c r="P54" s="1055"/>
      <c r="Q54" s="1106"/>
      <c r="R54" s="1104">
        <f t="shared" si="10"/>
        <v>0</v>
      </c>
      <c r="S54" s="1171"/>
      <c r="T54" s="1062" t="str">
        <f t="shared" si="11"/>
        <v>N</v>
      </c>
    </row>
    <row r="55" spans="1:20" s="1047" customFormat="1" ht="17.100000000000001" hidden="1" customHeight="1" x14ac:dyDescent="0.25">
      <c r="A55" s="1072" t="s">
        <v>256</v>
      </c>
      <c r="B55" s="1072">
        <v>49</v>
      </c>
      <c r="C55" s="1072" t="s">
        <v>944</v>
      </c>
      <c r="D55" s="1072">
        <v>250</v>
      </c>
      <c r="E55" s="1072"/>
      <c r="F55" s="1101" t="s">
        <v>867</v>
      </c>
      <c r="G55" s="1105" t="s">
        <v>95</v>
      </c>
      <c r="H55" s="1102" t="s">
        <v>857</v>
      </c>
      <c r="I55" s="1574"/>
      <c r="J55" s="1604">
        <f>IFERROR(VLOOKUP($D$6,'Contract Listing'!$C$10:$DG$148,65,FALSE),0)</f>
        <v>0</v>
      </c>
      <c r="K55" s="1056"/>
      <c r="L55" s="1603">
        <f>SUMIF('9A'!$B$9:$B$34,'Final Shift Worksheet'!$C55,'9A'!$L$9:$L$34)</f>
        <v>0</v>
      </c>
      <c r="M55" s="1572"/>
      <c r="N55" s="1104">
        <f t="shared" si="9"/>
        <v>0</v>
      </c>
      <c r="O55" s="1106"/>
      <c r="P55" s="1055"/>
      <c r="Q55" s="1106"/>
      <c r="R55" s="1104">
        <f t="shared" si="10"/>
        <v>0</v>
      </c>
      <c r="S55" s="1171"/>
      <c r="T55" s="1062" t="str">
        <f t="shared" si="11"/>
        <v>N</v>
      </c>
    </row>
    <row r="56" spans="1:20" s="1047" customFormat="1" ht="17.100000000000001" hidden="1" customHeight="1" x14ac:dyDescent="0.25">
      <c r="A56" s="1072" t="s">
        <v>256</v>
      </c>
      <c r="B56" s="1072">
        <v>50</v>
      </c>
      <c r="C56" s="1072" t="s">
        <v>1315</v>
      </c>
      <c r="D56" s="1072">
        <v>250</v>
      </c>
      <c r="E56" s="1072"/>
      <c r="F56" s="1101" t="s">
        <v>1083</v>
      </c>
      <c r="G56" s="1102"/>
      <c r="H56" s="1102" t="s">
        <v>1046</v>
      </c>
      <c r="I56" s="1606">
        <f>IFERROR(VLOOKUP($D$6,'Contract Listing'!$C$10:$DG$148,66,FALSE),0)</f>
        <v>0</v>
      </c>
      <c r="J56" s="1604">
        <f>IFERROR(VLOOKUP($D$6,'Contract Listing'!$C$10:$DG$148,67,FALSE),0)</f>
        <v>0</v>
      </c>
      <c r="K56" s="1103">
        <f>SUMIFS('LAC 102_Wkst'!$AN$7:$AN$2010,'LAC 102_Wkst'!$I$7:$I$2010,'Final Shift Worksheet'!$D56,'LAC 102_Wkst'!$D$7:$D$2010,'Final Shift Worksheet'!$A56)</f>
        <v>0</v>
      </c>
      <c r="L56" s="1571">
        <f>SUMIFS('LAC 102_Wkst'!$AO$7:$AO$2010,'LAC 102_Wkst'!$I$7:$I$2010,'Final Shift Worksheet'!$D56,'LAC 102_Wkst'!$D$7:$D$2010,'Final Shift Worksheet'!$A56)</f>
        <v>0</v>
      </c>
      <c r="M56" s="1103">
        <f>I56-K56</f>
        <v>0</v>
      </c>
      <c r="N56" s="1104">
        <f t="shared" si="9"/>
        <v>0</v>
      </c>
      <c r="O56" s="1054"/>
      <c r="P56" s="1104"/>
      <c r="Q56" s="1103">
        <f>I56+O56</f>
        <v>0</v>
      </c>
      <c r="R56" s="1104">
        <f t="shared" si="10"/>
        <v>0</v>
      </c>
      <c r="S56" s="1171"/>
      <c r="T56" s="1062" t="str">
        <f t="shared" si="11"/>
        <v>N</v>
      </c>
    </row>
    <row r="57" spans="1:20" s="1047" customFormat="1" ht="17.100000000000001" hidden="1" customHeight="1" x14ac:dyDescent="0.25">
      <c r="A57" s="1072" t="s">
        <v>256</v>
      </c>
      <c r="B57" s="1072">
        <v>51</v>
      </c>
      <c r="C57" s="1072" t="s">
        <v>1316</v>
      </c>
      <c r="D57" s="1072">
        <v>360</v>
      </c>
      <c r="E57" s="1072"/>
      <c r="F57" s="1101" t="s">
        <v>1084</v>
      </c>
      <c r="G57" s="1102"/>
      <c r="H57" s="1102" t="s">
        <v>1046</v>
      </c>
      <c r="I57" s="1606">
        <f>IFERROR(VLOOKUP($D$6,'Contract Listing'!$C$10:$DG$148,68,FALSE),0)</f>
        <v>0</v>
      </c>
      <c r="J57" s="1604">
        <f>IFERROR(VLOOKUP($D$6,'Contract Listing'!$C$10:$DG$148,69,FALSE),0)</f>
        <v>0</v>
      </c>
      <c r="K57" s="1103">
        <f>SUMIFS('LAC 102_Wkst'!$AN$7:$AN$2010,'LAC 102_Wkst'!$I$7:$I$2010,'Final Shift Worksheet'!$D57,'LAC 102_Wkst'!$D$7:$D$2010,'Final Shift Worksheet'!$A57)</f>
        <v>0</v>
      </c>
      <c r="L57" s="1571">
        <f>SUMIFS('LAC 102_Wkst'!$AO$7:$AO$2010,'LAC 102_Wkst'!$I$7:$I$2010,'Final Shift Worksheet'!$D57,'LAC 102_Wkst'!$D$7:$D$2010,'Final Shift Worksheet'!$A57)</f>
        <v>0</v>
      </c>
      <c r="M57" s="1103">
        <f>I57-K57</f>
        <v>0</v>
      </c>
      <c r="N57" s="1104">
        <f t="shared" si="9"/>
        <v>0</v>
      </c>
      <c r="O57" s="1054"/>
      <c r="P57" s="1104"/>
      <c r="Q57" s="1103">
        <f>I57+O57</f>
        <v>0</v>
      </c>
      <c r="R57" s="1104">
        <f t="shared" si="10"/>
        <v>0</v>
      </c>
      <c r="S57" s="1171"/>
      <c r="T57" s="1062" t="str">
        <f t="shared" si="11"/>
        <v>N</v>
      </c>
    </row>
    <row r="58" spans="1:20" s="1047" customFormat="1" ht="17.100000000000001" customHeight="1" x14ac:dyDescent="0.25">
      <c r="A58" s="1072" t="s">
        <v>256</v>
      </c>
      <c r="B58" s="1072">
        <v>52</v>
      </c>
      <c r="C58" s="1072" t="s">
        <v>1317</v>
      </c>
      <c r="D58" s="1072">
        <v>400</v>
      </c>
      <c r="E58" s="1072" t="s">
        <v>1996</v>
      </c>
      <c r="F58" s="1101" t="s">
        <v>1085</v>
      </c>
      <c r="G58" s="1105" t="s">
        <v>332</v>
      </c>
      <c r="H58" s="1102" t="s">
        <v>1044</v>
      </c>
      <c r="I58" s="1684"/>
      <c r="J58" s="1682">
        <f>IFERROR(VLOOKUP($D$6,'Contract Listing'!$C$10:$DG$148,70,FALSE),0)</f>
        <v>166792</v>
      </c>
      <c r="K58" s="1056"/>
      <c r="L58" s="1603">
        <f>SUMIFS('LAC 102_Wkst'!$AP$7:$AP$2010,'LAC 102_Wkst'!$I$7:$I$2010,'Final Shift Worksheet'!$D58,'LAC 102_Wkst'!$D$7:$D$2010,'Final Shift Worksheet'!$A58,'LAC 102_Wkst'!$L$7:$L$2010,'Final Shift Worksheet'!$G58)</f>
        <v>206475.51533765841</v>
      </c>
      <c r="M58" s="1106"/>
      <c r="N58" s="1104">
        <f t="shared" si="9"/>
        <v>-39683.515337658406</v>
      </c>
      <c r="O58" s="1106"/>
      <c r="P58" s="1055"/>
      <c r="Q58" s="1106"/>
      <c r="R58" s="1104">
        <f t="shared" si="10"/>
        <v>166792</v>
      </c>
      <c r="S58" s="1171"/>
      <c r="T58" s="1062" t="str">
        <f t="shared" ref="T58:T76" si="12">IF(SUM(J58,L58,P58)&gt;0,"Y","N")</f>
        <v>Y</v>
      </c>
    </row>
    <row r="59" spans="1:20" s="1047" customFormat="1" ht="17.100000000000001" hidden="1" customHeight="1" x14ac:dyDescent="0.25">
      <c r="A59" s="1072" t="s">
        <v>256</v>
      </c>
      <c r="B59" s="1072">
        <v>53</v>
      </c>
      <c r="C59" s="1072" t="s">
        <v>945</v>
      </c>
      <c r="D59" s="1072">
        <v>400</v>
      </c>
      <c r="E59" s="1072" t="s">
        <v>1996</v>
      </c>
      <c r="F59" s="1101" t="s">
        <v>1086</v>
      </c>
      <c r="G59" s="1105" t="s">
        <v>95</v>
      </c>
      <c r="H59" s="1102" t="s">
        <v>857</v>
      </c>
      <c r="I59" s="1573"/>
      <c r="J59" s="1604">
        <f>IFERROR(VLOOKUP($D$6,'Contract Listing'!$C$10:$DG$148,71,FALSE),0)</f>
        <v>0</v>
      </c>
      <c r="K59" s="1056"/>
      <c r="L59" s="1603">
        <f>SUMIF('9A'!$B$9:$B$34,'Final Shift Worksheet'!$C59,'9A'!$L$9:$L$34)</f>
        <v>0</v>
      </c>
      <c r="M59" s="1572"/>
      <c r="N59" s="1104">
        <f t="shared" si="9"/>
        <v>0</v>
      </c>
      <c r="O59" s="1106"/>
      <c r="P59" s="1055"/>
      <c r="Q59" s="1106"/>
      <c r="R59" s="1104">
        <f t="shared" si="10"/>
        <v>0</v>
      </c>
      <c r="S59" s="1171"/>
      <c r="T59" s="1062" t="str">
        <f t="shared" si="12"/>
        <v>N</v>
      </c>
    </row>
    <row r="60" spans="1:20" s="1047" customFormat="1" ht="17.100000000000001" hidden="1" customHeight="1" x14ac:dyDescent="0.25">
      <c r="A60" s="1072" t="s">
        <v>256</v>
      </c>
      <c r="B60" s="1072">
        <v>54</v>
      </c>
      <c r="C60" s="1072" t="s">
        <v>946</v>
      </c>
      <c r="D60" s="1072">
        <v>400</v>
      </c>
      <c r="E60" s="1072" t="s">
        <v>1996</v>
      </c>
      <c r="F60" s="1101" t="s">
        <v>868</v>
      </c>
      <c r="G60" s="1105" t="s">
        <v>95</v>
      </c>
      <c r="H60" s="1102" t="s">
        <v>857</v>
      </c>
      <c r="I60" s="1573"/>
      <c r="J60" s="1604">
        <f>IFERROR(VLOOKUP($D$6,'Contract Listing'!$C$10:$DG$148,72,FALSE),0)</f>
        <v>0</v>
      </c>
      <c r="K60" s="1056"/>
      <c r="L60" s="1603">
        <f>SUMIF('9A'!$B$9:$B$34,'Final Shift Worksheet'!$C60,'9A'!$L$9:$L$34)</f>
        <v>0</v>
      </c>
      <c r="M60" s="1572"/>
      <c r="N60" s="1104">
        <f t="shared" si="9"/>
        <v>0</v>
      </c>
      <c r="O60" s="1106"/>
      <c r="P60" s="1055"/>
      <c r="Q60" s="1106"/>
      <c r="R60" s="1104">
        <f t="shared" si="10"/>
        <v>0</v>
      </c>
      <c r="S60" s="1171"/>
      <c r="T60" s="1062" t="str">
        <f t="shared" si="12"/>
        <v>N</v>
      </c>
    </row>
    <row r="61" spans="1:20" s="1047" customFormat="1" ht="17.100000000000001" customHeight="1" x14ac:dyDescent="0.25">
      <c r="A61" s="1072" t="s">
        <v>256</v>
      </c>
      <c r="B61" s="1072">
        <v>55</v>
      </c>
      <c r="C61" s="1072" t="s">
        <v>1318</v>
      </c>
      <c r="D61" s="1072">
        <v>400</v>
      </c>
      <c r="E61" s="1072" t="s">
        <v>1996</v>
      </c>
      <c r="F61" s="1101" t="s">
        <v>1087</v>
      </c>
      <c r="G61" s="1102"/>
      <c r="H61" s="1102" t="s">
        <v>1046</v>
      </c>
      <c r="I61" s="1683">
        <f>IFERROR(VLOOKUP($D$6,'Contract Listing'!$C$10:$DG$148,73,FALSE),0)</f>
        <v>883314</v>
      </c>
      <c r="J61" s="1682">
        <f>IFERROR(VLOOKUP($D$6,'Contract Listing'!$C$10:$DG$148,74,FALSE),0)</f>
        <v>4956310</v>
      </c>
      <c r="K61" s="1103">
        <f>SUMIFS('LAC 102_Wkst'!$AN$7:$AN$2010,'LAC 102_Wkst'!$I$7:$I$2010,'Final Shift Worksheet'!$D61,'LAC 102_Wkst'!$D$7:$D$2010,'Final Shift Worksheet'!$A61)</f>
        <v>714102.38834362512</v>
      </c>
      <c r="L61" s="1571">
        <f>SUMIFS('LAC 102_Wkst'!$AO$7:$AO$2010,'LAC 102_Wkst'!$I$7:$I$2010,'Final Shift Worksheet'!$D61,'LAC 102_Wkst'!$D$7:$D$2010,'Final Shift Worksheet'!$A61)</f>
        <v>4539041.0744100073</v>
      </c>
      <c r="M61" s="1103">
        <f>I61-K61</f>
        <v>169211.61165637488</v>
      </c>
      <c r="N61" s="1104">
        <f t="shared" si="9"/>
        <v>417268.92558999266</v>
      </c>
      <c r="O61" s="1054"/>
      <c r="P61" s="1104"/>
      <c r="Q61" s="1103">
        <f>I61+O61</f>
        <v>883314</v>
      </c>
      <c r="R61" s="1104">
        <f t="shared" si="10"/>
        <v>4956310</v>
      </c>
      <c r="S61" s="1171"/>
      <c r="T61" s="1062" t="str">
        <f t="shared" si="12"/>
        <v>Y</v>
      </c>
    </row>
    <row r="62" spans="1:20" s="1047" customFormat="1" ht="17.100000000000001" customHeight="1" x14ac:dyDescent="0.25">
      <c r="A62" s="1072" t="s">
        <v>256</v>
      </c>
      <c r="B62" s="1072">
        <v>59</v>
      </c>
      <c r="C62" s="1072" t="s">
        <v>1321</v>
      </c>
      <c r="D62" s="1072">
        <v>500</v>
      </c>
      <c r="E62" s="1072" t="s">
        <v>1997</v>
      </c>
      <c r="F62" s="1101" t="s">
        <v>1088</v>
      </c>
      <c r="G62" s="1105" t="s">
        <v>332</v>
      </c>
      <c r="H62" s="1102" t="s">
        <v>1044</v>
      </c>
      <c r="I62" s="1684"/>
      <c r="J62" s="1682">
        <f>IFERROR(VLOOKUP($D$6,'Contract Listing'!$C$10:$DG$148,79,FALSE),0)</f>
        <v>2223432</v>
      </c>
      <c r="K62" s="1056"/>
      <c r="L62" s="1603">
        <f>SUMIFS('LAC 102_Wkst'!$AP$7:$AP$2010,'LAC 102_Wkst'!$I$7:$I$2010,'Final Shift Worksheet'!$D62,'LAC 102_Wkst'!$D$7:$D$2010,'Final Shift Worksheet'!$A62,'LAC 102_Wkst'!$L$7:$L$2010,'Final Shift Worksheet'!$G62)</f>
        <v>1487670.6121303497</v>
      </c>
      <c r="M62" s="1106"/>
      <c r="N62" s="1104">
        <f t="shared" si="9"/>
        <v>735761.38786965027</v>
      </c>
      <c r="O62" s="1106"/>
      <c r="P62" s="1055"/>
      <c r="Q62" s="1106"/>
      <c r="R62" s="1104">
        <f t="shared" ref="R62:R67" si="13">J62+P62</f>
        <v>2223432</v>
      </c>
      <c r="S62" s="1171"/>
      <c r="T62" s="1062" t="str">
        <f t="shared" si="12"/>
        <v>Y</v>
      </c>
    </row>
    <row r="63" spans="1:20" s="1047" customFormat="1" ht="17.100000000000001" customHeight="1" x14ac:dyDescent="0.25">
      <c r="A63" s="1072" t="s">
        <v>256</v>
      </c>
      <c r="B63" s="1072">
        <v>60</v>
      </c>
      <c r="C63" s="1072" t="s">
        <v>948</v>
      </c>
      <c r="D63" s="1072">
        <v>500</v>
      </c>
      <c r="E63" s="1072" t="s">
        <v>1997</v>
      </c>
      <c r="F63" s="1101" t="s">
        <v>812</v>
      </c>
      <c r="G63" s="1105" t="s">
        <v>95</v>
      </c>
      <c r="H63" s="1102" t="s">
        <v>857</v>
      </c>
      <c r="I63" s="1684"/>
      <c r="J63" s="1682">
        <f>IFERROR(VLOOKUP($D$6,'Contract Listing'!$C$10:$DG$148,80,FALSE),0)</f>
        <v>1127058</v>
      </c>
      <c r="K63" s="1056"/>
      <c r="L63" s="1603">
        <f>SUMIF('9A'!$B$9:$B$34,'Final Shift Worksheet'!$C63,'9A'!$L$9:$L$34)</f>
        <v>726678</v>
      </c>
      <c r="M63" s="1106"/>
      <c r="N63" s="1104">
        <f t="shared" si="9"/>
        <v>400380</v>
      </c>
      <c r="O63" s="1106"/>
      <c r="P63" s="1055"/>
      <c r="Q63" s="1106"/>
      <c r="R63" s="1104">
        <f t="shared" si="13"/>
        <v>1127058</v>
      </c>
      <c r="S63" s="1171"/>
      <c r="T63" s="1062" t="str">
        <f t="shared" si="12"/>
        <v>Y</v>
      </c>
    </row>
    <row r="64" spans="1:20" s="1047" customFormat="1" ht="17.100000000000001" hidden="1" customHeight="1" x14ac:dyDescent="0.25">
      <c r="A64" s="1072" t="s">
        <v>256</v>
      </c>
      <c r="B64" s="1072"/>
      <c r="C64" s="1110" t="s">
        <v>813</v>
      </c>
      <c r="D64" s="1072">
        <v>500</v>
      </c>
      <c r="E64" s="1072" t="s">
        <v>1997</v>
      </c>
      <c r="F64" s="1101" t="s">
        <v>814</v>
      </c>
      <c r="G64" s="1105" t="s">
        <v>95</v>
      </c>
      <c r="H64" s="1102" t="s">
        <v>857</v>
      </c>
      <c r="I64" s="1573"/>
      <c r="J64" s="1591"/>
      <c r="K64" s="1056"/>
      <c r="L64" s="1603">
        <f>SUMIF('9A'!$B$9:$B$34,'Final Shift Worksheet'!$C64,'9A'!$L$9:$L$34)</f>
        <v>0</v>
      </c>
      <c r="M64" s="1106"/>
      <c r="N64" s="1104">
        <v>0</v>
      </c>
      <c r="O64" s="1106"/>
      <c r="P64" s="1104"/>
      <c r="Q64" s="1106"/>
      <c r="R64" s="1104">
        <f t="shared" si="13"/>
        <v>0</v>
      </c>
      <c r="S64" s="1171"/>
      <c r="T64" s="1062" t="str">
        <f t="shared" si="12"/>
        <v>N</v>
      </c>
    </row>
    <row r="65" spans="1:20" s="1047" customFormat="1" ht="17.100000000000001" customHeight="1" x14ac:dyDescent="0.25">
      <c r="A65" s="1072" t="s">
        <v>256</v>
      </c>
      <c r="B65" s="1072">
        <v>61</v>
      </c>
      <c r="C65" s="1072" t="s">
        <v>949</v>
      </c>
      <c r="D65" s="1072">
        <v>500</v>
      </c>
      <c r="E65" s="1072" t="s">
        <v>1997</v>
      </c>
      <c r="F65" s="1101" t="s">
        <v>869</v>
      </c>
      <c r="G65" s="1105" t="s">
        <v>95</v>
      </c>
      <c r="H65" s="1102" t="s">
        <v>857</v>
      </c>
      <c r="I65" s="1684"/>
      <c r="J65" s="1682">
        <f>IFERROR(VLOOKUP($D$6,'Contract Listing'!$C$10:$DG$148,81,FALSE),0)</f>
        <v>648698</v>
      </c>
      <c r="K65" s="1056"/>
      <c r="L65" s="1603">
        <f>SUMIF('9A'!$B$9:$B$34,'Final Shift Worksheet'!$C65,'9A'!$L$9:$L$34)</f>
        <v>23400</v>
      </c>
      <c r="M65" s="1106"/>
      <c r="N65" s="1104">
        <f t="shared" ref="N65:N79" si="14">J65-L65</f>
        <v>625298</v>
      </c>
      <c r="O65" s="1106"/>
      <c r="P65" s="1055"/>
      <c r="Q65" s="1106"/>
      <c r="R65" s="1104">
        <f t="shared" si="13"/>
        <v>648698</v>
      </c>
      <c r="S65" s="1171"/>
      <c r="T65" s="1062" t="str">
        <f t="shared" si="12"/>
        <v>Y</v>
      </c>
    </row>
    <row r="66" spans="1:20" s="1047" customFormat="1" ht="17.100000000000001" customHeight="1" x14ac:dyDescent="0.25">
      <c r="A66" s="1072" t="s">
        <v>256</v>
      </c>
      <c r="B66" s="1072">
        <v>62</v>
      </c>
      <c r="C66" s="1072" t="s">
        <v>950</v>
      </c>
      <c r="D66" s="1072">
        <v>500</v>
      </c>
      <c r="E66" s="1072" t="s">
        <v>1997</v>
      </c>
      <c r="F66" s="1101" t="s">
        <v>870</v>
      </c>
      <c r="G66" s="1105" t="s">
        <v>95</v>
      </c>
      <c r="H66" s="1102" t="s">
        <v>857</v>
      </c>
      <c r="I66" s="1685"/>
      <c r="J66" s="1682">
        <f>IFERROR(VLOOKUP($D$6,'Contract Listing'!$C$10:$DG$148,82,FALSE),0)</f>
        <v>67448</v>
      </c>
      <c r="K66" s="1056"/>
      <c r="L66" s="1603">
        <f>SUMIF('9A'!$B$9:$B$34,'Final Shift Worksheet'!$C66,'9A'!$L$9:$L$34)</f>
        <v>0</v>
      </c>
      <c r="M66" s="1106"/>
      <c r="N66" s="1104">
        <f t="shared" si="14"/>
        <v>67448</v>
      </c>
      <c r="O66" s="1106"/>
      <c r="P66" s="1055"/>
      <c r="Q66" s="1106"/>
      <c r="R66" s="1104">
        <f t="shared" si="13"/>
        <v>67448</v>
      </c>
      <c r="S66" s="1171"/>
      <c r="T66" s="1062" t="str">
        <f t="shared" si="12"/>
        <v>Y</v>
      </c>
    </row>
    <row r="67" spans="1:20" s="1047" customFormat="1" ht="17.100000000000001" customHeight="1" x14ac:dyDescent="0.25">
      <c r="A67" s="1072" t="s">
        <v>256</v>
      </c>
      <c r="B67" s="1072">
        <v>63</v>
      </c>
      <c r="C67" s="1072" t="s">
        <v>1322</v>
      </c>
      <c r="D67" s="1072">
        <v>500</v>
      </c>
      <c r="E67" s="1072" t="s">
        <v>1997</v>
      </c>
      <c r="F67" s="1101" t="s">
        <v>1089</v>
      </c>
      <c r="G67" s="1102"/>
      <c r="H67" s="1102" t="s">
        <v>1046</v>
      </c>
      <c r="I67" s="1683">
        <f>IFERROR(VLOOKUP($D$6,'Contract Listing'!$C$10:$DG$148,83,FALSE),0)</f>
        <v>2137292</v>
      </c>
      <c r="J67" s="1682">
        <f>IFERROR(VLOOKUP($D$6,'Contract Listing'!$C$10:$DG$148,84,FALSE),0)</f>
        <v>13455595</v>
      </c>
      <c r="K67" s="1103">
        <f>SUMIFS('LAC 102_Wkst'!$AN$7:$AN$2010,'LAC 102_Wkst'!$I$7:$I$2010,'Final Shift Worksheet'!$D67,'LAC 102_Wkst'!$D$7:$D$2010,'Final Shift Worksheet'!$A67)</f>
        <v>1478651.1003388513</v>
      </c>
      <c r="L67" s="1571">
        <f>SUMIFS('LAC 102_Wkst'!$AO$7:$AO$2010,'LAC 102_Wkst'!$I$7:$I$2010,'Final Shift Worksheet'!$D67,'LAC 102_Wkst'!$D$7:$D$2010,'Final Shift Worksheet'!$A67)</f>
        <v>10486676.435030341</v>
      </c>
      <c r="M67" s="1103">
        <f>I67-K67</f>
        <v>658640.89966114867</v>
      </c>
      <c r="N67" s="1104">
        <f t="shared" si="14"/>
        <v>2968918.5649696589</v>
      </c>
      <c r="O67" s="1054"/>
      <c r="P67" s="1104"/>
      <c r="Q67" s="1103">
        <f>I67+O67</f>
        <v>2137292</v>
      </c>
      <c r="R67" s="1104">
        <f t="shared" si="13"/>
        <v>13455595</v>
      </c>
      <c r="S67" s="1171"/>
      <c r="T67" s="1062" t="str">
        <f t="shared" si="12"/>
        <v>Y</v>
      </c>
    </row>
    <row r="68" spans="1:20" s="1047" customFormat="1" ht="17.100000000000001" customHeight="1" x14ac:dyDescent="0.25">
      <c r="A68" s="1072" t="s">
        <v>256</v>
      </c>
      <c r="B68" s="1072">
        <v>64</v>
      </c>
      <c r="C68" s="1072" t="s">
        <v>1323</v>
      </c>
      <c r="D68" s="1072">
        <v>511</v>
      </c>
      <c r="E68" s="1072" t="s">
        <v>1997</v>
      </c>
      <c r="F68" s="1101" t="s">
        <v>1090</v>
      </c>
      <c r="G68" s="1105" t="s">
        <v>332</v>
      </c>
      <c r="H68" s="1102" t="s">
        <v>1044</v>
      </c>
      <c r="I68" s="1685"/>
      <c r="J68" s="1682">
        <f>IFERROR(VLOOKUP($D$6,'Contract Listing'!$C$10:$DG$148,85,FALSE),0)</f>
        <v>1545831</v>
      </c>
      <c r="K68" s="1056"/>
      <c r="L68" s="1603">
        <f>SUMIFS('LAC 102_Wkst'!$AP$7:$AP$2010,'LAC 102_Wkst'!$I$7:$I$2010,'Final Shift Worksheet'!$D68,'LAC 102_Wkst'!$D$7:$D$2010,'Final Shift Worksheet'!$A68,'LAC 102_Wkst'!$L$7:$L$2010,'Final Shift Worksheet'!$G68)</f>
        <v>1776606.8259356508</v>
      </c>
      <c r="M68" s="1106"/>
      <c r="N68" s="1104">
        <f t="shared" si="14"/>
        <v>-230775.82593565085</v>
      </c>
      <c r="O68" s="1106"/>
      <c r="P68" s="1055"/>
      <c r="Q68" s="1106"/>
      <c r="R68" s="1104">
        <f t="shared" ref="R68:R79" si="15">J68+P68</f>
        <v>1545831</v>
      </c>
      <c r="S68" s="1171"/>
      <c r="T68" s="1062" t="str">
        <f t="shared" si="12"/>
        <v>Y</v>
      </c>
    </row>
    <row r="69" spans="1:20" s="1047" customFormat="1" ht="17.100000000000001" customHeight="1" x14ac:dyDescent="0.25">
      <c r="A69" s="1072" t="s">
        <v>256</v>
      </c>
      <c r="B69" s="1072">
        <v>65</v>
      </c>
      <c r="C69" s="1072" t="s">
        <v>951</v>
      </c>
      <c r="D69" s="1072">
        <v>511</v>
      </c>
      <c r="E69" s="1072" t="s">
        <v>1997</v>
      </c>
      <c r="F69" s="1101" t="s">
        <v>816</v>
      </c>
      <c r="G69" s="1105" t="s">
        <v>95</v>
      </c>
      <c r="H69" s="1102" t="s">
        <v>857</v>
      </c>
      <c r="I69" s="1685"/>
      <c r="J69" s="1682">
        <f>IFERROR(VLOOKUP($D$6,'Contract Listing'!$C$10:$DG$148,86,FALSE),0)</f>
        <v>29043</v>
      </c>
      <c r="K69" s="1056"/>
      <c r="L69" s="1603">
        <f>SUMIF('9A'!$B$9:$B$34,'Final Shift Worksheet'!$C69,'9A'!$L$9:$L$34)</f>
        <v>26688</v>
      </c>
      <c r="M69" s="1572"/>
      <c r="N69" s="1104">
        <f t="shared" si="14"/>
        <v>2355</v>
      </c>
      <c r="O69" s="1106"/>
      <c r="P69" s="1055"/>
      <c r="Q69" s="1106"/>
      <c r="R69" s="1104">
        <f t="shared" si="15"/>
        <v>29043</v>
      </c>
      <c r="S69" s="1171"/>
      <c r="T69" s="1062" t="str">
        <f t="shared" si="12"/>
        <v>Y</v>
      </c>
    </row>
    <row r="70" spans="1:20" s="1047" customFormat="1" ht="17.100000000000001" hidden="1" customHeight="1" x14ac:dyDescent="0.25">
      <c r="A70" s="1072" t="s">
        <v>256</v>
      </c>
      <c r="B70" s="1072">
        <v>66</v>
      </c>
      <c r="C70" s="1072" t="s">
        <v>952</v>
      </c>
      <c r="D70" s="1072">
        <v>511</v>
      </c>
      <c r="E70" s="1072" t="s">
        <v>1997</v>
      </c>
      <c r="F70" s="1101" t="s">
        <v>871</v>
      </c>
      <c r="G70" s="1105" t="s">
        <v>95</v>
      </c>
      <c r="H70" s="1102" t="s">
        <v>857</v>
      </c>
      <c r="I70" s="1574"/>
      <c r="J70" s="1604">
        <f>IFERROR(VLOOKUP($D$6,'Contract Listing'!$C$10:$DG$148,87,FALSE),0)</f>
        <v>0</v>
      </c>
      <c r="K70" s="1056"/>
      <c r="L70" s="1603">
        <f>SUMIF('9A'!$B$9:$B$34,'Final Shift Worksheet'!$C70,'9A'!$L$9:$L$34)</f>
        <v>0</v>
      </c>
      <c r="M70" s="1572"/>
      <c r="N70" s="1104">
        <f t="shared" si="14"/>
        <v>0</v>
      </c>
      <c r="O70" s="1106"/>
      <c r="P70" s="1055"/>
      <c r="Q70" s="1106"/>
      <c r="R70" s="1104">
        <f t="shared" si="15"/>
        <v>0</v>
      </c>
      <c r="S70" s="1171"/>
      <c r="T70" s="1062" t="str">
        <f t="shared" si="12"/>
        <v>N</v>
      </c>
    </row>
    <row r="71" spans="1:20" s="1047" customFormat="1" ht="17.100000000000001" customHeight="1" x14ac:dyDescent="0.25">
      <c r="A71" s="1072" t="s">
        <v>256</v>
      </c>
      <c r="B71" s="1072">
        <v>67</v>
      </c>
      <c r="C71" s="1072" t="s">
        <v>1324</v>
      </c>
      <c r="D71" s="1072">
        <v>511</v>
      </c>
      <c r="E71" s="1072" t="s">
        <v>1997</v>
      </c>
      <c r="F71" s="1101" t="s">
        <v>1091</v>
      </c>
      <c r="G71" s="1102"/>
      <c r="H71" s="1102" t="s">
        <v>1046</v>
      </c>
      <c r="I71" s="1683">
        <f>IFERROR(VLOOKUP($D$6,'Contract Listing'!$C$10:$DG$148,88,FALSE),0)</f>
        <v>2549042</v>
      </c>
      <c r="J71" s="1682">
        <f>IFERROR(VLOOKUP($D$6,'Contract Listing'!$C$10:$DG$148,89,FALSE),0)</f>
        <v>14439667</v>
      </c>
      <c r="K71" s="1103">
        <f>SUMIFS('LAC 102_Wkst'!$AN$7:$AN$2010,'LAC 102_Wkst'!$I$7:$I$2010,'Final Shift Worksheet'!$D71,'LAC 102_Wkst'!$D$7:$D$2010,'Final Shift Worksheet'!$A71)</f>
        <v>2867396.5863539856</v>
      </c>
      <c r="L71" s="1571">
        <f>SUMIFS('LAC 102_Wkst'!$AO$7:$AO$2010,'LAC 102_Wkst'!$I$7:$I$2010,'Final Shift Worksheet'!$D71,'LAC 102_Wkst'!$D$7:$D$2010,'Final Shift Worksheet'!$A71)</f>
        <v>14871190.394602392</v>
      </c>
      <c r="M71" s="1103">
        <f>I71-K71</f>
        <v>-318354.58635398559</v>
      </c>
      <c r="N71" s="1104">
        <f t="shared" si="14"/>
        <v>-431523.39460239187</v>
      </c>
      <c r="O71" s="1054"/>
      <c r="P71" s="1104"/>
      <c r="Q71" s="1103">
        <f>I71+O71</f>
        <v>2549042</v>
      </c>
      <c r="R71" s="1104">
        <f t="shared" si="15"/>
        <v>14439667</v>
      </c>
      <c r="S71" s="1171"/>
      <c r="T71" s="1062" t="str">
        <f t="shared" si="12"/>
        <v>Y</v>
      </c>
    </row>
    <row r="72" spans="1:20" s="1047" customFormat="1" ht="17.100000000000001" customHeight="1" x14ac:dyDescent="0.25">
      <c r="A72" s="1072" t="s">
        <v>256</v>
      </c>
      <c r="B72" s="1072">
        <v>68</v>
      </c>
      <c r="C72" s="1072" t="s">
        <v>1325</v>
      </c>
      <c r="D72" s="1072">
        <v>531</v>
      </c>
      <c r="E72" s="1072" t="s">
        <v>1997</v>
      </c>
      <c r="F72" s="1101" t="s">
        <v>1092</v>
      </c>
      <c r="G72" s="1105" t="s">
        <v>332</v>
      </c>
      <c r="H72" s="1102" t="s">
        <v>1044</v>
      </c>
      <c r="I72" s="1686"/>
      <c r="J72" s="1682">
        <f>IFERROR(VLOOKUP($D$6,'Contract Listing'!$C$10:$DG$148,90,FALSE),0)</f>
        <v>0</v>
      </c>
      <c r="K72" s="1056"/>
      <c r="L72" s="1603">
        <f>SUMIFS('LAC 102_Wkst'!$AP$7:$AP$2010,'LAC 102_Wkst'!$I$7:$I$2010,'Final Shift Worksheet'!$D72,'LAC 102_Wkst'!$D$7:$D$2010,'Final Shift Worksheet'!$A72,'LAC 102_Wkst'!$L$7:$L$2010,'Final Shift Worksheet'!$G72)</f>
        <v>1276.5492211485973</v>
      </c>
      <c r="M72" s="1106"/>
      <c r="N72" s="1104">
        <f t="shared" si="14"/>
        <v>-1276.5492211485973</v>
      </c>
      <c r="O72" s="1106"/>
      <c r="P72" s="1055"/>
      <c r="Q72" s="1106"/>
      <c r="R72" s="1104">
        <f t="shared" si="15"/>
        <v>0</v>
      </c>
      <c r="S72" s="1171"/>
      <c r="T72" s="1062" t="str">
        <f t="shared" si="12"/>
        <v>Y</v>
      </c>
    </row>
    <row r="73" spans="1:20" s="1047" customFormat="1" ht="17.100000000000001" customHeight="1" x14ac:dyDescent="0.25">
      <c r="A73" s="1072" t="s">
        <v>256</v>
      </c>
      <c r="B73" s="1072">
        <v>69</v>
      </c>
      <c r="C73" s="1072" t="s">
        <v>953</v>
      </c>
      <c r="D73" s="1072">
        <v>531</v>
      </c>
      <c r="E73" s="1072" t="s">
        <v>1997</v>
      </c>
      <c r="F73" s="1101" t="s">
        <v>818</v>
      </c>
      <c r="G73" s="1105" t="s">
        <v>95</v>
      </c>
      <c r="H73" s="1102" t="s">
        <v>857</v>
      </c>
      <c r="I73" s="1686"/>
      <c r="J73" s="1682">
        <f>IFERROR(VLOOKUP($D$6,'Contract Listing'!$C$10:$DG$148,91,FALSE),0)</f>
        <v>270068</v>
      </c>
      <c r="K73" s="1056"/>
      <c r="L73" s="1603">
        <f>SUMIF('9A'!$B$9:$B$34,'Final Shift Worksheet'!$C73,'9A'!$L$9:$L$34)</f>
        <v>261046</v>
      </c>
      <c r="M73" s="1572"/>
      <c r="N73" s="1104">
        <f t="shared" si="14"/>
        <v>9022</v>
      </c>
      <c r="O73" s="1106"/>
      <c r="P73" s="1055"/>
      <c r="Q73" s="1106"/>
      <c r="R73" s="1104">
        <f t="shared" si="15"/>
        <v>270068</v>
      </c>
      <c r="S73" s="1171"/>
      <c r="T73" s="1062" t="str">
        <f t="shared" si="12"/>
        <v>Y</v>
      </c>
    </row>
    <row r="74" spans="1:20" s="1047" customFormat="1" ht="17.100000000000001" hidden="1" customHeight="1" x14ac:dyDescent="0.25">
      <c r="A74" s="1072" t="s">
        <v>256</v>
      </c>
      <c r="B74" s="1072">
        <v>70</v>
      </c>
      <c r="C74" s="1072" t="s">
        <v>954</v>
      </c>
      <c r="D74" s="1072">
        <v>531</v>
      </c>
      <c r="E74" s="1072" t="s">
        <v>1997</v>
      </c>
      <c r="F74" s="1101" t="s">
        <v>872</v>
      </c>
      <c r="G74" s="1105" t="s">
        <v>95</v>
      </c>
      <c r="H74" s="1102" t="s">
        <v>857</v>
      </c>
      <c r="I74" s="1575"/>
      <c r="J74" s="1604">
        <f>IFERROR(VLOOKUP($D$6,'Contract Listing'!$C$10:$DG$148,92,FALSE),0)</f>
        <v>0</v>
      </c>
      <c r="K74" s="1056"/>
      <c r="L74" s="1603">
        <f>SUMIF('9A'!$B$9:$B$34,'Final Shift Worksheet'!$C74,'9A'!$L$9:$L$34)</f>
        <v>0</v>
      </c>
      <c r="M74" s="1572"/>
      <c r="N74" s="1104">
        <f t="shared" si="14"/>
        <v>0</v>
      </c>
      <c r="O74" s="1106"/>
      <c r="P74" s="1055"/>
      <c r="Q74" s="1106"/>
      <c r="R74" s="1104">
        <f t="shared" si="15"/>
        <v>0</v>
      </c>
      <c r="S74" s="1171"/>
      <c r="T74" s="1062" t="str">
        <f t="shared" si="12"/>
        <v>N</v>
      </c>
    </row>
    <row r="75" spans="1:20" s="1047" customFormat="1" ht="17.100000000000001" hidden="1" customHeight="1" x14ac:dyDescent="0.25">
      <c r="A75" s="1072" t="s">
        <v>256</v>
      </c>
      <c r="B75" s="1072">
        <v>71</v>
      </c>
      <c r="C75" s="1072" t="s">
        <v>955</v>
      </c>
      <c r="D75" s="1072">
        <v>531</v>
      </c>
      <c r="E75" s="1072" t="s">
        <v>1997</v>
      </c>
      <c r="F75" s="1101" t="s">
        <v>829</v>
      </c>
      <c r="G75" s="1105" t="s">
        <v>95</v>
      </c>
      <c r="H75" s="1102" t="s">
        <v>857</v>
      </c>
      <c r="I75" s="1575"/>
      <c r="J75" s="1604">
        <f>IFERROR(VLOOKUP($D$6,'Contract Listing'!$C$10:$DG$148,93,FALSE),0)</f>
        <v>0</v>
      </c>
      <c r="K75" s="1056"/>
      <c r="L75" s="1603">
        <f>SUMIF('9A'!$B$9:$B$34,'Final Shift Worksheet'!$C75,'9A'!$L$9:$L$34)</f>
        <v>0</v>
      </c>
      <c r="M75" s="1572"/>
      <c r="N75" s="1104">
        <f t="shared" si="14"/>
        <v>0</v>
      </c>
      <c r="O75" s="1106"/>
      <c r="P75" s="1055"/>
      <c r="Q75" s="1106"/>
      <c r="R75" s="1104">
        <f t="shared" si="15"/>
        <v>0</v>
      </c>
      <c r="S75" s="1171"/>
      <c r="T75" s="1062" t="str">
        <f t="shared" si="12"/>
        <v>N</v>
      </c>
    </row>
    <row r="76" spans="1:20" s="1047" customFormat="1" ht="17.100000000000001" customHeight="1" x14ac:dyDescent="0.25">
      <c r="A76" s="1072" t="s">
        <v>256</v>
      </c>
      <c r="B76" s="1072">
        <v>72</v>
      </c>
      <c r="C76" s="1072" t="s">
        <v>1326</v>
      </c>
      <c r="D76" s="1072">
        <v>531</v>
      </c>
      <c r="E76" s="1072" t="s">
        <v>1997</v>
      </c>
      <c r="F76" s="1101" t="s">
        <v>1093</v>
      </c>
      <c r="G76" s="1102"/>
      <c r="H76" s="1102" t="s">
        <v>1046</v>
      </c>
      <c r="I76" s="1683">
        <f>IFERROR(VLOOKUP($D$6,'Contract Listing'!$C$10:$DG$148,94,FALSE),0)</f>
        <v>0</v>
      </c>
      <c r="J76" s="1682">
        <f>IFERROR(VLOOKUP($D$6,'Contract Listing'!$C$10:$DG$148,95,FALSE),0)</f>
        <v>0</v>
      </c>
      <c r="K76" s="1103">
        <f>SUMIFS('LAC 102_Wkst'!$AN$7:$AN$2010,'LAC 102_Wkst'!$I$7:$I$2010,'Final Shift Worksheet'!$D76,'LAC 102_Wkst'!$D$7:$D$2010,'Final Shift Worksheet'!$A76)</f>
        <v>272.54005130512212</v>
      </c>
      <c r="L76" s="1571">
        <f>SUMIFS('LAC 102_Wkst'!$AO$7:$AO$2010,'LAC 102_Wkst'!$I$7:$I$2010,'Final Shift Worksheet'!$D76,'LAC 102_Wkst'!$D$7:$D$2010,'Final Shift Worksheet'!$A76)</f>
        <v>622.23756005735652</v>
      </c>
      <c r="M76" s="1103">
        <f>I76-K76</f>
        <v>-272.54005130512212</v>
      </c>
      <c r="N76" s="1104">
        <f t="shared" si="14"/>
        <v>-622.23756005735652</v>
      </c>
      <c r="O76" s="1054"/>
      <c r="P76" s="1104"/>
      <c r="Q76" s="1103">
        <f>I76+O76</f>
        <v>0</v>
      </c>
      <c r="R76" s="1104">
        <f t="shared" si="15"/>
        <v>0</v>
      </c>
      <c r="S76" s="1171"/>
      <c r="T76" s="1062" t="str">
        <f t="shared" si="12"/>
        <v>Y</v>
      </c>
    </row>
    <row r="77" spans="1:20" s="1047" customFormat="1" ht="17.100000000000001" customHeight="1" x14ac:dyDescent="0.25">
      <c r="A77" s="1072" t="s">
        <v>256</v>
      </c>
      <c r="B77" s="1072">
        <v>73</v>
      </c>
      <c r="C77" s="1072" t="s">
        <v>1327</v>
      </c>
      <c r="D77" s="1072">
        <v>540</v>
      </c>
      <c r="E77" s="1072"/>
      <c r="F77" s="1101" t="s">
        <v>1094</v>
      </c>
      <c r="G77" s="1105" t="s">
        <v>332</v>
      </c>
      <c r="H77" s="1102" t="s">
        <v>1044</v>
      </c>
      <c r="I77" s="1685"/>
      <c r="J77" s="1682">
        <f>IFERROR(VLOOKUP($D$6,'Contract Listing'!$C$10:$DG$148,96,FALSE),0)</f>
        <v>88162</v>
      </c>
      <c r="K77" s="1056"/>
      <c r="L77" s="1603">
        <f>SUMIFS('LAC 102_Wkst'!$AP$7:$AP$2010,'LAC 102_Wkst'!$I$7:$I$2010,'Final Shift Worksheet'!$D77,'LAC 102_Wkst'!$D$7:$D$2010,'Final Shift Worksheet'!$A77,'LAC 102_Wkst'!$L$7:$L$2010,'Final Shift Worksheet'!$G77)</f>
        <v>4526.2339455470883</v>
      </c>
      <c r="M77" s="1106"/>
      <c r="N77" s="1104">
        <f t="shared" si="14"/>
        <v>83635.766054452906</v>
      </c>
      <c r="O77" s="1106"/>
      <c r="P77" s="1055"/>
      <c r="Q77" s="1106"/>
      <c r="R77" s="1104">
        <f t="shared" si="15"/>
        <v>88162</v>
      </c>
      <c r="S77" s="1171"/>
      <c r="T77" s="1062" t="str">
        <f t="shared" ref="T77:T92" si="16">IF(SUM(J77,L77,P77)&gt;0,"Y","N")</f>
        <v>Y</v>
      </c>
    </row>
    <row r="78" spans="1:20" s="1047" customFormat="1" ht="17.100000000000001" customHeight="1" x14ac:dyDescent="0.25">
      <c r="A78" s="1072" t="s">
        <v>256</v>
      </c>
      <c r="B78" s="1072">
        <v>74</v>
      </c>
      <c r="C78" s="1072" t="s">
        <v>956</v>
      </c>
      <c r="D78" s="1072">
        <v>540</v>
      </c>
      <c r="E78" s="1072"/>
      <c r="F78" s="1101" t="s">
        <v>820</v>
      </c>
      <c r="G78" s="1105" t="s">
        <v>95</v>
      </c>
      <c r="H78" s="1102" t="s">
        <v>857</v>
      </c>
      <c r="I78" s="1685"/>
      <c r="J78" s="1682">
        <f>IFERROR(VLOOKUP($D$6,'Contract Listing'!$C$10:$DG$148,97,FALSE),0)</f>
        <v>62973</v>
      </c>
      <c r="K78" s="1056"/>
      <c r="L78" s="1603">
        <f>SUMIF('9A'!$B$9:$B$34,'Final Shift Worksheet'!$C78,'9A'!$L$9:$L$34)</f>
        <v>0</v>
      </c>
      <c r="M78" s="1572"/>
      <c r="N78" s="1104">
        <f t="shared" si="14"/>
        <v>62973</v>
      </c>
      <c r="O78" s="1106"/>
      <c r="P78" s="1055"/>
      <c r="Q78" s="1106"/>
      <c r="R78" s="1104">
        <f t="shared" si="15"/>
        <v>62973</v>
      </c>
      <c r="S78" s="1171"/>
      <c r="T78" s="1062" t="str">
        <f t="shared" si="16"/>
        <v>Y</v>
      </c>
    </row>
    <row r="79" spans="1:20" s="1047" customFormat="1" ht="17.100000000000001" customHeight="1" x14ac:dyDescent="0.25">
      <c r="A79" s="1072" t="s">
        <v>256</v>
      </c>
      <c r="B79" s="1072">
        <v>75</v>
      </c>
      <c r="C79" s="1072" t="s">
        <v>1328</v>
      </c>
      <c r="D79" s="1072">
        <v>540</v>
      </c>
      <c r="E79" s="1072"/>
      <c r="F79" s="1101" t="s">
        <v>1095</v>
      </c>
      <c r="G79" s="1680" t="s">
        <v>123</v>
      </c>
      <c r="H79" s="1102" t="s">
        <v>1046</v>
      </c>
      <c r="I79" s="1683">
        <f>IFERROR(VLOOKUP($D$6,'Contract Listing'!$C$10:$DG$148,98,FALSE),0)</f>
        <v>134424</v>
      </c>
      <c r="J79" s="1682">
        <f>IFERROR(VLOOKUP($D$6,'Contract Listing'!$C$10:$DG$148,99,FALSE),0)</f>
        <v>352762</v>
      </c>
      <c r="K79" s="1103">
        <f>SUMIFS('LAC 102_Wkst'!$AN$7:$AN$2010,'LAC 102_Wkst'!$I$7:$I$2010,'Final Shift Worksheet'!$D79,'LAC 102_Wkst'!$D$7:$D$2010,'Final Shift Worksheet'!$A79)</f>
        <v>60581.220405598389</v>
      </c>
      <c r="L79" s="1571">
        <f>SUMIFS('LAC 102_Wkst'!$AO$7:$AO$2010,'LAC 102_Wkst'!$I$7:$I$2010,'Final Shift Worksheet'!$D79,'LAC 102_Wkst'!$D$7:$D$2010,'Final Shift Worksheet'!$A79)</f>
        <v>237816.34698388478</v>
      </c>
      <c r="M79" s="1103">
        <f>I79-K79</f>
        <v>73842.779594401611</v>
      </c>
      <c r="N79" s="1104">
        <f t="shared" si="14"/>
        <v>114945.65301611522</v>
      </c>
      <c r="O79" s="1054"/>
      <c r="P79" s="1104"/>
      <c r="Q79" s="1103">
        <f>I79+O79</f>
        <v>134424</v>
      </c>
      <c r="R79" s="1104">
        <f t="shared" si="15"/>
        <v>352762</v>
      </c>
      <c r="S79" s="1171"/>
      <c r="T79" s="1062" t="str">
        <f t="shared" si="16"/>
        <v>Y</v>
      </c>
    </row>
    <row r="80" spans="1:20" s="1047" customFormat="1" ht="17.100000000000001" customHeight="1" x14ac:dyDescent="0.25">
      <c r="A80" s="1072" t="s">
        <v>256</v>
      </c>
      <c r="B80" s="1072">
        <v>76</v>
      </c>
      <c r="C80" s="1072" t="s">
        <v>957</v>
      </c>
      <c r="D80" s="1072">
        <v>810</v>
      </c>
      <c r="E80" s="1072"/>
      <c r="F80" s="1101" t="s">
        <v>1096</v>
      </c>
      <c r="G80" s="1105" t="s">
        <v>95</v>
      </c>
      <c r="H80" s="1102" t="s">
        <v>857</v>
      </c>
      <c r="I80" s="1686"/>
      <c r="J80" s="1682">
        <f>IFERROR(VLOOKUP($D$6,'Contract Listing'!$C$10:$DG$148,100,FALSE),0)</f>
        <v>981592</v>
      </c>
      <c r="K80" s="1056"/>
      <c r="L80" s="1603">
        <f>SUMIF('9A'!$B$9:$B$34,'Final Shift Worksheet'!$C80,'9A'!$L$9:$L$34)</f>
        <v>981590</v>
      </c>
      <c r="M80" s="1572"/>
      <c r="N80" s="1104">
        <f t="shared" ref="N80:N85" si="17">J80-L80</f>
        <v>2</v>
      </c>
      <c r="O80" s="1106"/>
      <c r="P80" s="1055"/>
      <c r="Q80" s="1106"/>
      <c r="R80" s="1104">
        <f t="shared" ref="R80:R85" si="18">J80+P80</f>
        <v>981592</v>
      </c>
      <c r="S80" s="1171"/>
      <c r="T80" s="1062" t="str">
        <f t="shared" si="16"/>
        <v>Y</v>
      </c>
    </row>
    <row r="81" spans="1:20" s="1047" customFormat="1" ht="17.100000000000001" customHeight="1" x14ac:dyDescent="0.25">
      <c r="A81" s="1072" t="s">
        <v>256</v>
      </c>
      <c r="B81" s="1072">
        <v>77</v>
      </c>
      <c r="C81" s="1072" t="s">
        <v>1329</v>
      </c>
      <c r="D81" s="1072">
        <v>820</v>
      </c>
      <c r="E81" s="1072"/>
      <c r="F81" s="1101" t="s">
        <v>1097</v>
      </c>
      <c r="G81" s="1105" t="s">
        <v>332</v>
      </c>
      <c r="H81" s="1102" t="s">
        <v>1044</v>
      </c>
      <c r="I81" s="1686"/>
      <c r="J81" s="1682">
        <f>IFERROR(VLOOKUP($D$6,'Contract Listing'!$C$10:$DG$148,101,FALSE),0)</f>
        <v>141530</v>
      </c>
      <c r="K81" s="1052"/>
      <c r="L81" s="1603">
        <f>SUMIFS('LAC 102_Wkst'!$AP$7:$AP$2010,'LAC 102_Wkst'!$I$7:$I$2010,'Final Shift Worksheet'!$D81,'LAC 102_Wkst'!$D$7:$D$2010,'Final Shift Worksheet'!$A81,'LAC 102_Wkst'!$L$7:$L$2010,'Final Shift Worksheet'!$G81)</f>
        <v>0</v>
      </c>
      <c r="M81" s="1106"/>
      <c r="N81" s="1104">
        <f t="shared" si="17"/>
        <v>141530</v>
      </c>
      <c r="O81" s="1106"/>
      <c r="P81" s="1055"/>
      <c r="Q81" s="1106"/>
      <c r="R81" s="1104">
        <f t="shared" si="18"/>
        <v>141530</v>
      </c>
      <c r="S81" s="1171"/>
      <c r="T81" s="1062" t="str">
        <f t="shared" si="16"/>
        <v>Y</v>
      </c>
    </row>
    <row r="82" spans="1:20" s="1047" customFormat="1" ht="17.100000000000001" customHeight="1" x14ac:dyDescent="0.25">
      <c r="A82" s="1072" t="s">
        <v>256</v>
      </c>
      <c r="B82" s="1072">
        <v>78</v>
      </c>
      <c r="C82" s="1072" t="s">
        <v>1330</v>
      </c>
      <c r="D82" s="1072">
        <v>600</v>
      </c>
      <c r="E82" s="1072"/>
      <c r="F82" s="1101" t="s">
        <v>1098</v>
      </c>
      <c r="G82" s="1105" t="s">
        <v>332</v>
      </c>
      <c r="H82" s="1102" t="s">
        <v>1044</v>
      </c>
      <c r="I82" s="1686"/>
      <c r="J82" s="1682">
        <f>IFERROR(VLOOKUP($D$6,'Contract Listing'!$C$10:$DG$148,102,FALSE),0)</f>
        <v>2085588</v>
      </c>
      <c r="K82" s="1052"/>
      <c r="L82" s="1603">
        <f>SUMIFS('LAC 102_Wkst'!$AP$7:$AP$2010,'LAC 102_Wkst'!$I$7:$I$2010,'Final Shift Worksheet'!$D82,'LAC 102_Wkst'!$D$7:$D$2010,'Final Shift Worksheet'!$A82,'LAC 102_Wkst'!$L$7:$L$2010,'Final Shift Worksheet'!$G82)</f>
        <v>1546824.0662410243</v>
      </c>
      <c r="M82" s="1106"/>
      <c r="N82" s="1104">
        <f t="shared" si="17"/>
        <v>538763.93375897571</v>
      </c>
      <c r="O82" s="1106"/>
      <c r="P82" s="1055"/>
      <c r="Q82" s="1106"/>
      <c r="R82" s="1104">
        <f t="shared" si="18"/>
        <v>2085588</v>
      </c>
      <c r="S82" s="1171"/>
      <c r="T82" s="1062" t="str">
        <f t="shared" si="16"/>
        <v>Y</v>
      </c>
    </row>
    <row r="83" spans="1:20" s="1047" customFormat="1" ht="17.100000000000001" customHeight="1" x14ac:dyDescent="0.25">
      <c r="A83" s="1072" t="s">
        <v>256</v>
      </c>
      <c r="B83" s="1072">
        <v>79</v>
      </c>
      <c r="C83" s="1072" t="s">
        <v>958</v>
      </c>
      <c r="D83" s="1072">
        <v>600</v>
      </c>
      <c r="E83" s="1072"/>
      <c r="F83" s="1101" t="s">
        <v>824</v>
      </c>
      <c r="G83" s="1105" t="s">
        <v>95</v>
      </c>
      <c r="H83" s="1102" t="s">
        <v>857</v>
      </c>
      <c r="I83" s="1686"/>
      <c r="J83" s="1682">
        <f>IFERROR(VLOOKUP($D$6,'Contract Listing'!$C$10:$DG$148,103,FALSE),0)</f>
        <v>211090</v>
      </c>
      <c r="K83" s="1056"/>
      <c r="L83" s="1603">
        <f>SUMIF('9A'!$B$9:$B$34,'Final Shift Worksheet'!$C83,'9A'!$L$9:$L$34)</f>
        <v>104811</v>
      </c>
      <c r="M83" s="1572"/>
      <c r="N83" s="1104">
        <f t="shared" si="17"/>
        <v>106279</v>
      </c>
      <c r="O83" s="1106"/>
      <c r="P83" s="1055"/>
      <c r="Q83" s="1106"/>
      <c r="R83" s="1104">
        <f t="shared" si="18"/>
        <v>211090</v>
      </c>
      <c r="S83" s="1171"/>
      <c r="T83" s="1062" t="str">
        <f t="shared" si="16"/>
        <v>Y</v>
      </c>
    </row>
    <row r="84" spans="1:20" s="1047" customFormat="1" ht="17.100000000000001" hidden="1" customHeight="1" x14ac:dyDescent="0.25">
      <c r="A84" s="1072" t="s">
        <v>256</v>
      </c>
      <c r="B84" s="1072">
        <v>80</v>
      </c>
      <c r="C84" s="1072" t="s">
        <v>959</v>
      </c>
      <c r="D84" s="1072">
        <v>600</v>
      </c>
      <c r="E84" s="1072"/>
      <c r="F84" s="1101" t="s">
        <v>873</v>
      </c>
      <c r="G84" s="1105" t="s">
        <v>95</v>
      </c>
      <c r="H84" s="1102" t="s">
        <v>857</v>
      </c>
      <c r="I84" s="1575"/>
      <c r="J84" s="1604">
        <f>IFERROR(VLOOKUP($D$6,'Contract Listing'!$C$10:$DG$148,104,FALSE),0)</f>
        <v>0</v>
      </c>
      <c r="K84" s="1056"/>
      <c r="L84" s="1603">
        <f>SUMIF('9A'!$B$9:$B$34,'Final Shift Worksheet'!$C84,'9A'!$L$9:$L$34)</f>
        <v>0</v>
      </c>
      <c r="M84" s="1572"/>
      <c r="N84" s="1104">
        <f t="shared" si="17"/>
        <v>0</v>
      </c>
      <c r="O84" s="1106"/>
      <c r="P84" s="1055"/>
      <c r="Q84" s="1106"/>
      <c r="R84" s="1104">
        <f t="shared" si="18"/>
        <v>0</v>
      </c>
      <c r="S84" s="1171"/>
      <c r="T84" s="1062" t="str">
        <f t="shared" si="16"/>
        <v>N</v>
      </c>
    </row>
    <row r="85" spans="1:20" s="1047" customFormat="1" ht="17.100000000000001" customHeight="1" x14ac:dyDescent="0.25">
      <c r="A85" s="1072" t="s">
        <v>256</v>
      </c>
      <c r="B85" s="1072">
        <v>81</v>
      </c>
      <c r="C85" s="1072" t="s">
        <v>1331</v>
      </c>
      <c r="D85" s="1072">
        <v>600</v>
      </c>
      <c r="E85" s="1072"/>
      <c r="F85" s="1101" t="s">
        <v>983</v>
      </c>
      <c r="G85" s="1102"/>
      <c r="H85" s="1102" t="s">
        <v>1046</v>
      </c>
      <c r="I85" s="1683">
        <f>IFERROR(VLOOKUP($D$6,'Contract Listing'!$C$10:$DG$148,105,FALSE),0)</f>
        <v>105604</v>
      </c>
      <c r="J85" s="1682">
        <f>IFERROR(VLOOKUP($D$6,'Contract Listing'!$C$10:$DG$148,106,FALSE),0)</f>
        <v>1464605</v>
      </c>
      <c r="K85" s="1103">
        <f>SUMIFS('LAC 102_Wkst'!$AN$7:$AN$2010,'LAC 102_Wkst'!$I$7:$I$2010,'Final Shift Worksheet'!$D85,'LAC 102_Wkst'!$D$7:$D$2010,'Final Shift Worksheet'!$A85)</f>
        <v>63360.920808346331</v>
      </c>
      <c r="L85" s="1571">
        <f>SUMIFS('LAC 102_Wkst'!$AO$7:$AO$2010,'LAC 102_Wkst'!$I$7:$I$2010,'Final Shift Worksheet'!$D85,'LAC 102_Wkst'!$D$7:$D$2010,'Final Shift Worksheet'!$A85)</f>
        <v>1523830.9944776637</v>
      </c>
      <c r="M85" s="1103">
        <f>I85-K85</f>
        <v>42243.079191653669</v>
      </c>
      <c r="N85" s="1104">
        <f t="shared" si="17"/>
        <v>-59225.994477663655</v>
      </c>
      <c r="O85" s="1054"/>
      <c r="P85" s="1104"/>
      <c r="Q85" s="1103">
        <f>I85+O85</f>
        <v>105604</v>
      </c>
      <c r="R85" s="1104">
        <f t="shared" si="18"/>
        <v>1464605</v>
      </c>
      <c r="S85" s="1171"/>
      <c r="T85" s="1062" t="str">
        <f t="shared" si="16"/>
        <v>Y</v>
      </c>
    </row>
    <row r="86" spans="1:20" s="1059" customFormat="1" ht="17.100000000000001" customHeight="1" thickBot="1" x14ac:dyDescent="0.3">
      <c r="A86" s="1111"/>
      <c r="B86" s="1111" t="s">
        <v>861</v>
      </c>
      <c r="C86" s="1111"/>
      <c r="D86" s="1111"/>
      <c r="E86" s="1111"/>
      <c r="F86" s="1111" t="s">
        <v>1099</v>
      </c>
      <c r="G86" s="1112"/>
      <c r="H86" s="1113"/>
      <c r="I86" s="1687">
        <f>SUM(I11:I85)</f>
        <v>7183476</v>
      </c>
      <c r="J86" s="1688">
        <f t="shared" ref="J86:R86" si="19">SUM(J11:J85)</f>
        <v>56674789</v>
      </c>
      <c r="K86" s="1114">
        <f t="shared" si="19"/>
        <v>5995512.1439623311</v>
      </c>
      <c r="L86" s="1578">
        <f t="shared" si="19"/>
        <v>48514348.495437473</v>
      </c>
      <c r="M86" s="1114">
        <f t="shared" si="19"/>
        <v>1187963.8560376677</v>
      </c>
      <c r="N86" s="1115">
        <f t="shared" si="19"/>
        <v>8160440.5045625381</v>
      </c>
      <c r="O86" s="1114">
        <f t="shared" si="19"/>
        <v>0</v>
      </c>
      <c r="P86" s="1115">
        <f t="shared" si="19"/>
        <v>0</v>
      </c>
      <c r="Q86" s="1114">
        <f t="shared" si="19"/>
        <v>7183476</v>
      </c>
      <c r="R86" s="1115">
        <f t="shared" si="19"/>
        <v>56674789</v>
      </c>
      <c r="S86" s="1174"/>
      <c r="T86" s="1175" t="str">
        <f t="shared" si="16"/>
        <v>Y</v>
      </c>
    </row>
    <row r="87" spans="1:20" s="1047" customFormat="1" ht="17.100000000000001" hidden="1" customHeight="1" thickTop="1" x14ac:dyDescent="0.25">
      <c r="A87" s="1072" t="s">
        <v>1100</v>
      </c>
      <c r="B87" s="1072" t="s">
        <v>1101</v>
      </c>
      <c r="C87" s="1072"/>
      <c r="D87" s="1072" t="s">
        <v>1102</v>
      </c>
      <c r="E87" s="1072"/>
      <c r="F87" s="1101" t="s">
        <v>1103</v>
      </c>
      <c r="G87" s="1105" t="s">
        <v>332</v>
      </c>
      <c r="H87" s="1102" t="s">
        <v>1044</v>
      </c>
      <c r="I87" s="1575"/>
      <c r="J87" s="1591"/>
      <c r="K87" s="1052"/>
      <c r="L87" s="1603">
        <f>SUMIFS('LAC 102_Wkst'!$AP$7:$AP$2010,'LAC 102_Wkst'!$I$7:$I$2010,'Final Shift Worksheet'!$D87,'LAC 102_Wkst'!$D$7:$D$2010,'Final Shift Worksheet'!$A87,'LAC 102_Wkst'!$L$7:$L$2010,'Final Shift Worksheet'!$G87)</f>
        <v>0</v>
      </c>
      <c r="M87" s="1106"/>
      <c r="N87" s="1104">
        <f t="shared" ref="N87:N99" si="20">J87-L87</f>
        <v>0</v>
      </c>
      <c r="O87" s="1106"/>
      <c r="P87" s="1055"/>
      <c r="Q87" s="1106"/>
      <c r="R87" s="1104">
        <f t="shared" ref="R87:R99" si="21">J87+P87</f>
        <v>0</v>
      </c>
      <c r="S87" s="1171"/>
      <c r="T87" s="1062" t="str">
        <f t="shared" si="16"/>
        <v>N</v>
      </c>
    </row>
    <row r="88" spans="1:20" s="1047" customFormat="1" ht="17.100000000000001" hidden="1" customHeight="1" x14ac:dyDescent="0.25">
      <c r="A88" s="1072" t="s">
        <v>1100</v>
      </c>
      <c r="B88" s="1072">
        <v>11</v>
      </c>
      <c r="C88" s="1072" t="s">
        <v>1289</v>
      </c>
      <c r="D88" s="1072" t="s">
        <v>1104</v>
      </c>
      <c r="E88" s="1072"/>
      <c r="F88" s="1101" t="s">
        <v>1005</v>
      </c>
      <c r="G88" s="1102"/>
      <c r="H88" s="1102" t="s">
        <v>1046</v>
      </c>
      <c r="I88" s="1606">
        <f>IFERROR(VLOOKUP($D$6,'Contract Listing'!$C$150:$DG$162,21,FALSE),0)</f>
        <v>0</v>
      </c>
      <c r="J88" s="1604">
        <f>IFERROR(VLOOKUP($D$6,'Contract Listing'!$C$150:$DG$162,22,FALSE),0)</f>
        <v>0</v>
      </c>
      <c r="K88" s="1103">
        <f>SUMIFS('LAC 102_Wkst'!$AN$7:$AN$2010,'LAC 102_Wkst'!$I$7:$I$2010,'Final Shift Worksheet'!$D88,'LAC 102_Wkst'!$D$7:$D$2010,'Final Shift Worksheet'!$A88)</f>
        <v>0</v>
      </c>
      <c r="L88" s="1571">
        <f>SUMIFS('LAC 102_Wkst'!$AO$7:$AO$2010,'LAC 102_Wkst'!$I$7:$I$2010,'Final Shift Worksheet'!$D88,'LAC 102_Wkst'!$D$7:$D$2010,'Final Shift Worksheet'!$A88)</f>
        <v>0</v>
      </c>
      <c r="M88" s="1103">
        <f>I88-K88</f>
        <v>0</v>
      </c>
      <c r="N88" s="1104">
        <f t="shared" si="20"/>
        <v>0</v>
      </c>
      <c r="O88" s="1054"/>
      <c r="P88" s="1104"/>
      <c r="Q88" s="1103">
        <f>I88+O88</f>
        <v>0</v>
      </c>
      <c r="R88" s="1104">
        <f t="shared" si="21"/>
        <v>0</v>
      </c>
      <c r="S88" s="1171"/>
      <c r="T88" s="1062" t="str">
        <f t="shared" si="16"/>
        <v>N</v>
      </c>
    </row>
    <row r="89" spans="1:20" s="1047" customFormat="1" ht="17.100000000000001" hidden="1" customHeight="1" x14ac:dyDescent="0.25">
      <c r="A89" s="1072" t="s">
        <v>1100</v>
      </c>
      <c r="B89" s="1072">
        <v>52</v>
      </c>
      <c r="C89" s="1072" t="s">
        <v>1317</v>
      </c>
      <c r="D89" s="1072">
        <v>400</v>
      </c>
      <c r="E89" s="1072" t="s">
        <v>1996</v>
      </c>
      <c r="F89" s="1101" t="s">
        <v>1085</v>
      </c>
      <c r="G89" s="1105" t="s">
        <v>332</v>
      </c>
      <c r="H89" s="1102" t="s">
        <v>1044</v>
      </c>
      <c r="I89" s="1573"/>
      <c r="J89" s="1604">
        <f>IFERROR(VLOOKUP($D$6,'Contract Listing'!$C$150:$DG$162,70,FALSE),0)</f>
        <v>0</v>
      </c>
      <c r="K89" s="1056"/>
      <c r="L89" s="1603">
        <f>SUMIFS('LAC 102_Wkst'!$AP$7:$AP$2010,'LAC 102_Wkst'!$I$7:$I$2010,'Final Shift Worksheet'!$D89,'LAC 102_Wkst'!$D$7:$D$2010,'Final Shift Worksheet'!$A89,'LAC 102_Wkst'!$L$7:$L$2010,'Final Shift Worksheet'!$G89)</f>
        <v>0</v>
      </c>
      <c r="M89" s="1106"/>
      <c r="N89" s="1104">
        <f t="shared" si="20"/>
        <v>0</v>
      </c>
      <c r="O89" s="1106"/>
      <c r="P89" s="1055"/>
      <c r="Q89" s="1106"/>
      <c r="R89" s="1104">
        <f t="shared" si="21"/>
        <v>0</v>
      </c>
      <c r="S89" s="1171"/>
      <c r="T89" s="1062" t="str">
        <f t="shared" si="16"/>
        <v>N</v>
      </c>
    </row>
    <row r="90" spans="1:20" s="1047" customFormat="1" ht="17.100000000000001" hidden="1" customHeight="1" x14ac:dyDescent="0.25">
      <c r="A90" s="1072" t="s">
        <v>1100</v>
      </c>
      <c r="B90" s="1072">
        <v>53</v>
      </c>
      <c r="C90" s="1072" t="s">
        <v>945</v>
      </c>
      <c r="D90" s="1072">
        <v>400</v>
      </c>
      <c r="E90" s="1072" t="s">
        <v>1996</v>
      </c>
      <c r="F90" s="1101" t="s">
        <v>1086</v>
      </c>
      <c r="G90" s="1105" t="s">
        <v>95</v>
      </c>
      <c r="H90" s="1102" t="s">
        <v>857</v>
      </c>
      <c r="I90" s="1573"/>
      <c r="J90" s="1604">
        <f>IFERROR(VLOOKUP($D$6,'Contract Listing'!$C$150:$DG$162,71,FALSE),0)</f>
        <v>0</v>
      </c>
      <c r="K90" s="1056"/>
      <c r="L90" s="1603">
        <f>SUMIF('9A'!$B$40:$B$42,'Final Shift Worksheet'!$C90,'9A'!$L$40:$L$42)</f>
        <v>0</v>
      </c>
      <c r="M90" s="1572"/>
      <c r="N90" s="1104">
        <f t="shared" si="20"/>
        <v>0</v>
      </c>
      <c r="O90" s="1106"/>
      <c r="P90" s="1055"/>
      <c r="Q90" s="1106"/>
      <c r="R90" s="1104">
        <f t="shared" si="21"/>
        <v>0</v>
      </c>
      <c r="S90" s="1171"/>
      <c r="T90" s="1062" t="str">
        <f t="shared" si="16"/>
        <v>N</v>
      </c>
    </row>
    <row r="91" spans="1:20" s="1047" customFormat="1" ht="17.100000000000001" hidden="1" customHeight="1" x14ac:dyDescent="0.25">
      <c r="A91" s="1072" t="s">
        <v>1100</v>
      </c>
      <c r="B91" s="1072">
        <v>54</v>
      </c>
      <c r="C91" s="1072" t="s">
        <v>946</v>
      </c>
      <c r="D91" s="1072">
        <v>400</v>
      </c>
      <c r="E91" s="1072" t="s">
        <v>1996</v>
      </c>
      <c r="F91" s="1101" t="s">
        <v>868</v>
      </c>
      <c r="G91" s="1105" t="s">
        <v>95</v>
      </c>
      <c r="H91" s="1102" t="s">
        <v>857</v>
      </c>
      <c r="I91" s="1573"/>
      <c r="J91" s="1604">
        <f>IFERROR(VLOOKUP($D$6,'Contract Listing'!$C$150:$DG$162,72,FALSE),0)</f>
        <v>0</v>
      </c>
      <c r="K91" s="1056"/>
      <c r="L91" s="1603">
        <f>SUMIF('9A'!$B$40:$B$42,'Final Shift Worksheet'!$C91,'9A'!$L$40:$L$42)</f>
        <v>0</v>
      </c>
      <c r="M91" s="1572"/>
      <c r="N91" s="1104">
        <f t="shared" si="20"/>
        <v>0</v>
      </c>
      <c r="O91" s="1106"/>
      <c r="P91" s="1055"/>
      <c r="Q91" s="1106"/>
      <c r="R91" s="1104">
        <f t="shared" si="21"/>
        <v>0</v>
      </c>
      <c r="S91" s="1171"/>
      <c r="T91" s="1062" t="str">
        <f t="shared" si="16"/>
        <v>N</v>
      </c>
    </row>
    <row r="92" spans="1:20" s="1047" customFormat="1" ht="17.100000000000001" hidden="1" customHeight="1" x14ac:dyDescent="0.25">
      <c r="A92" s="1072" t="s">
        <v>1100</v>
      </c>
      <c r="B92" s="1072">
        <v>55</v>
      </c>
      <c r="C92" s="1072" t="s">
        <v>1318</v>
      </c>
      <c r="D92" s="1072">
        <v>400</v>
      </c>
      <c r="E92" s="1072" t="s">
        <v>1996</v>
      </c>
      <c r="F92" s="1101" t="s">
        <v>1087</v>
      </c>
      <c r="G92" s="1102"/>
      <c r="H92" s="1102" t="s">
        <v>1046</v>
      </c>
      <c r="I92" s="1606">
        <f>IFERROR(VLOOKUP($D$6,'Contract Listing'!$C$150:$DG$162,73,FALSE),0)</f>
        <v>0</v>
      </c>
      <c r="J92" s="1604">
        <f>IFERROR(VLOOKUP($D$6,'Contract Listing'!$C$150:$DG$162,74,FALSE),0)</f>
        <v>0</v>
      </c>
      <c r="K92" s="1103">
        <f>SUMIFS('LAC 102_Wkst'!$AN$7:$AN$2010,'LAC 102_Wkst'!$I$7:$I$2010,'Final Shift Worksheet'!$D92,'LAC 102_Wkst'!$D$7:$D$2010,'Final Shift Worksheet'!$A92)</f>
        <v>0</v>
      </c>
      <c r="L92" s="1571">
        <f>SUMIFS('LAC 102_Wkst'!$AO$7:$AO$2010,'LAC 102_Wkst'!$I$7:$I$2010,'Final Shift Worksheet'!$D92,'LAC 102_Wkst'!$D$7:$D$2010,'Final Shift Worksheet'!$A92)</f>
        <v>0</v>
      </c>
      <c r="M92" s="1103">
        <f>I92-K92</f>
        <v>0</v>
      </c>
      <c r="N92" s="1104">
        <f t="shared" si="20"/>
        <v>0</v>
      </c>
      <c r="O92" s="1054"/>
      <c r="P92" s="1104"/>
      <c r="Q92" s="1103">
        <f>I92+O92</f>
        <v>0</v>
      </c>
      <c r="R92" s="1104">
        <f t="shared" si="21"/>
        <v>0</v>
      </c>
      <c r="S92" s="1171"/>
      <c r="T92" s="1062" t="str">
        <f t="shared" si="16"/>
        <v>N</v>
      </c>
    </row>
    <row r="93" spans="1:20" s="1047" customFormat="1" ht="17.100000000000001" customHeight="1" thickTop="1" x14ac:dyDescent="0.25">
      <c r="A93" s="1072" t="s">
        <v>1100</v>
      </c>
      <c r="B93" s="1072">
        <v>56</v>
      </c>
      <c r="C93" s="1072" t="s">
        <v>1319</v>
      </c>
      <c r="D93" s="1072">
        <v>340</v>
      </c>
      <c r="E93" s="1072" t="s">
        <v>1996</v>
      </c>
      <c r="F93" s="1101" t="s">
        <v>1105</v>
      </c>
      <c r="G93" s="1105" t="s">
        <v>332</v>
      </c>
      <c r="H93" s="1102" t="s">
        <v>1044</v>
      </c>
      <c r="I93" s="1684"/>
      <c r="J93" s="1682">
        <f>IFERROR(VLOOKUP($D$6,'Contract Listing'!$C$150:$DG$162,75,FALSE),0)</f>
        <v>110135</v>
      </c>
      <c r="K93" s="1056"/>
      <c r="L93" s="1603">
        <f>SUMIFS('LAC 102_Wkst'!$AP$7:$AP$2010,'LAC 102_Wkst'!$I$7:$I$2010,'Final Shift Worksheet'!$D93,'LAC 102_Wkst'!$D$7:$D$2010,'Final Shift Worksheet'!$A93,'LAC 102_Wkst'!$L$7:$L$2010,'Final Shift Worksheet'!$G93)</f>
        <v>123243.27178180673</v>
      </c>
      <c r="M93" s="1106"/>
      <c r="N93" s="1104">
        <f t="shared" si="20"/>
        <v>-13108.271781806732</v>
      </c>
      <c r="O93" s="1106"/>
      <c r="P93" s="1055"/>
      <c r="Q93" s="1106"/>
      <c r="R93" s="1104">
        <f t="shared" si="21"/>
        <v>110135</v>
      </c>
      <c r="S93" s="1171"/>
      <c r="T93" s="1062" t="str">
        <f t="shared" ref="T93:T110" si="22">IF(SUM(J93,L93,P93)&gt;0,"Y","N")</f>
        <v>Y</v>
      </c>
    </row>
    <row r="94" spans="1:20" s="1047" customFormat="1" ht="17.100000000000001" customHeight="1" x14ac:dyDescent="0.25">
      <c r="A94" s="1072" t="s">
        <v>1100</v>
      </c>
      <c r="B94" s="1072">
        <v>57</v>
      </c>
      <c r="C94" s="1072" t="s">
        <v>947</v>
      </c>
      <c r="D94" s="1072">
        <v>340</v>
      </c>
      <c r="E94" s="1072" t="s">
        <v>1996</v>
      </c>
      <c r="F94" s="1101" t="s">
        <v>827</v>
      </c>
      <c r="G94" s="1105" t="s">
        <v>95</v>
      </c>
      <c r="H94" s="1102" t="s">
        <v>857</v>
      </c>
      <c r="I94" s="1684"/>
      <c r="J94" s="1682">
        <f>IFERROR(VLOOKUP($D$6,'Contract Listing'!$C$150:$DG$162,76,FALSE),0)</f>
        <v>256245</v>
      </c>
      <c r="K94" s="1056"/>
      <c r="L94" s="1603">
        <f>SUMIF('9A'!$B$40:$B$42,'Final Shift Worksheet'!$C94,'9A'!$L$40:$L$42)</f>
        <v>215040</v>
      </c>
      <c r="M94" s="1572"/>
      <c r="N94" s="1104">
        <f t="shared" si="20"/>
        <v>41205</v>
      </c>
      <c r="O94" s="1106"/>
      <c r="P94" s="1055"/>
      <c r="Q94" s="1106"/>
      <c r="R94" s="1104">
        <f t="shared" si="21"/>
        <v>256245</v>
      </c>
      <c r="S94" s="1171"/>
      <c r="T94" s="1062" t="str">
        <f t="shared" si="22"/>
        <v>Y</v>
      </c>
    </row>
    <row r="95" spans="1:20" s="1047" customFormat="1" ht="17.100000000000001" customHeight="1" x14ac:dyDescent="0.25">
      <c r="A95" s="1072" t="s">
        <v>1100</v>
      </c>
      <c r="B95" s="1072">
        <v>58</v>
      </c>
      <c r="C95" s="1072" t="s">
        <v>1320</v>
      </c>
      <c r="D95" s="1072">
        <v>340</v>
      </c>
      <c r="E95" s="1072" t="s">
        <v>1996</v>
      </c>
      <c r="F95" s="1101" t="s">
        <v>1106</v>
      </c>
      <c r="G95" s="1102"/>
      <c r="H95" s="1102" t="s">
        <v>1046</v>
      </c>
      <c r="I95" s="1683">
        <f>IFERROR(VLOOKUP($D$6,'Contract Listing'!$C$150:$DG$162,77,FALSE),0)</f>
        <v>611834</v>
      </c>
      <c r="J95" s="1682">
        <f>IFERROR(VLOOKUP($D$6,'Contract Listing'!$C$150:$DG$162,78,FALSE),0)</f>
        <v>1482444</v>
      </c>
      <c r="K95" s="1103">
        <f>SUMIFS('LAC 102_Wkst'!$AN$7:$AN$2010,'LAC 102_Wkst'!$I$7:$I$2010,'Final Shift Worksheet'!$D95,'LAC 102_Wkst'!$D$7:$D$2010,'Final Shift Worksheet'!$A95)</f>
        <v>621630.70267022704</v>
      </c>
      <c r="L95" s="1571">
        <f>SUMIFS('LAC 102_Wkst'!$AO$7:$AO$2010,'LAC 102_Wkst'!$I$7:$I$2010,'Final Shift Worksheet'!$D95,'LAC 102_Wkst'!$D$7:$D$2010,'Final Shift Worksheet'!$A95)</f>
        <v>1615539.7224542478</v>
      </c>
      <c r="M95" s="1103">
        <f>I95-K95</f>
        <v>-9796.7026702270377</v>
      </c>
      <c r="N95" s="1104">
        <f t="shared" si="20"/>
        <v>-133095.72245424776</v>
      </c>
      <c r="O95" s="1054"/>
      <c r="P95" s="1104"/>
      <c r="Q95" s="1103">
        <f>I95+O95</f>
        <v>611834</v>
      </c>
      <c r="R95" s="1104">
        <f t="shared" si="21"/>
        <v>1482444</v>
      </c>
      <c r="S95" s="1171"/>
      <c r="T95" s="1062" t="str">
        <f t="shared" si="22"/>
        <v>Y</v>
      </c>
    </row>
    <row r="96" spans="1:20" s="1047" customFormat="1" ht="17.100000000000001" customHeight="1" x14ac:dyDescent="0.25">
      <c r="A96" s="1072" t="s">
        <v>1100</v>
      </c>
      <c r="B96" s="1072">
        <v>68</v>
      </c>
      <c r="C96" s="1072" t="s">
        <v>1325</v>
      </c>
      <c r="D96" s="1072">
        <v>531</v>
      </c>
      <c r="E96" s="1072"/>
      <c r="F96" s="1101" t="s">
        <v>1092</v>
      </c>
      <c r="G96" s="1105" t="s">
        <v>332</v>
      </c>
      <c r="H96" s="1102" t="s">
        <v>1044</v>
      </c>
      <c r="I96" s="1684"/>
      <c r="J96" s="1682">
        <f>IFERROR(VLOOKUP($D$6,'Contract Listing'!$C$150:$DG$162,90,FALSE),0)</f>
        <v>2075390</v>
      </c>
      <c r="K96" s="1056"/>
      <c r="L96" s="1603">
        <f>SUMIFS('LAC 102_Wkst'!$AP$7:$AP$2010,'LAC 102_Wkst'!$I$7:$I$2010,'Final Shift Worksheet'!$D96,'LAC 102_Wkst'!$D$7:$D$2010,'Final Shift Worksheet'!$A96,'LAC 102_Wkst'!$L$7:$L$2010,'Final Shift Worksheet'!$G96)</f>
        <v>518436.37442227337</v>
      </c>
      <c r="M96" s="1106"/>
      <c r="N96" s="1104">
        <f t="shared" si="20"/>
        <v>1556953.6255777266</v>
      </c>
      <c r="O96" s="1106"/>
      <c r="P96" s="1055"/>
      <c r="Q96" s="1106"/>
      <c r="R96" s="1104">
        <f t="shared" si="21"/>
        <v>2075390</v>
      </c>
      <c r="S96" s="1171"/>
      <c r="T96" s="1062" t="str">
        <f t="shared" si="22"/>
        <v>Y</v>
      </c>
    </row>
    <row r="97" spans="1:20" s="1047" customFormat="1" ht="17.100000000000001" customHeight="1" x14ac:dyDescent="0.25">
      <c r="A97" s="1072" t="s">
        <v>1100</v>
      </c>
      <c r="B97" s="1072">
        <v>69</v>
      </c>
      <c r="C97" s="1072" t="s">
        <v>953</v>
      </c>
      <c r="D97" s="1072">
        <v>531</v>
      </c>
      <c r="E97" s="1072"/>
      <c r="F97" s="1101" t="s">
        <v>818</v>
      </c>
      <c r="G97" s="1105" t="s">
        <v>95</v>
      </c>
      <c r="H97" s="1102" t="s">
        <v>857</v>
      </c>
      <c r="I97" s="1684"/>
      <c r="J97" s="1682">
        <f>IFERROR(VLOOKUP($D$6,'Contract Listing'!$C$150:$DG$162,91,FALSE),0)</f>
        <v>1331348</v>
      </c>
      <c r="K97" s="1056"/>
      <c r="L97" s="1603">
        <f>SUMIF('9A'!$B$40:$B$42,'Final Shift Worksheet'!$C97,'9A'!$L$40:$L$42)</f>
        <v>61204</v>
      </c>
      <c r="M97" s="1572"/>
      <c r="N97" s="1104">
        <f t="shared" si="20"/>
        <v>1270144</v>
      </c>
      <c r="O97" s="1106"/>
      <c r="P97" s="1055"/>
      <c r="Q97" s="1106"/>
      <c r="R97" s="1104">
        <f t="shared" si="21"/>
        <v>1331348</v>
      </c>
      <c r="S97" s="1171"/>
      <c r="T97" s="1062" t="str">
        <f t="shared" si="22"/>
        <v>Y</v>
      </c>
    </row>
    <row r="98" spans="1:20" s="1047" customFormat="1" ht="17.100000000000001" customHeight="1" x14ac:dyDescent="0.25">
      <c r="A98" s="1072" t="s">
        <v>1100</v>
      </c>
      <c r="B98" s="1072">
        <v>70</v>
      </c>
      <c r="C98" s="1072" t="s">
        <v>954</v>
      </c>
      <c r="D98" s="1072">
        <v>531</v>
      </c>
      <c r="E98" s="1072"/>
      <c r="F98" s="1101" t="s">
        <v>872</v>
      </c>
      <c r="G98" s="1105" t="s">
        <v>95</v>
      </c>
      <c r="H98" s="1102" t="s">
        <v>857</v>
      </c>
      <c r="I98" s="1684"/>
      <c r="J98" s="1682">
        <f>IFERROR(VLOOKUP($D$6,'Contract Listing'!$C$150:$DG$162,92,FALSE),0)</f>
        <v>121667</v>
      </c>
      <c r="K98" s="1056"/>
      <c r="L98" s="1603">
        <f>SUMIF('9A'!$B$40:$B$42,'Final Shift Worksheet'!$C98,'9A'!$L$40:$L$42)</f>
        <v>0</v>
      </c>
      <c r="M98" s="1572"/>
      <c r="N98" s="1104">
        <f t="shared" si="20"/>
        <v>121667</v>
      </c>
      <c r="O98" s="1106"/>
      <c r="P98" s="1055"/>
      <c r="Q98" s="1106"/>
      <c r="R98" s="1104">
        <f t="shared" si="21"/>
        <v>121667</v>
      </c>
      <c r="S98" s="1171"/>
      <c r="T98" s="1062" t="str">
        <f t="shared" si="22"/>
        <v>Y</v>
      </c>
    </row>
    <row r="99" spans="1:20" s="1047" customFormat="1" ht="17.100000000000001" customHeight="1" x14ac:dyDescent="0.25">
      <c r="A99" s="1072" t="s">
        <v>1100</v>
      </c>
      <c r="B99" s="1072">
        <v>72</v>
      </c>
      <c r="C99" s="1072" t="s">
        <v>1326</v>
      </c>
      <c r="D99" s="1072">
        <v>531</v>
      </c>
      <c r="E99" s="1072"/>
      <c r="F99" s="1101" t="s">
        <v>1093</v>
      </c>
      <c r="G99" s="1102"/>
      <c r="H99" s="1102" t="s">
        <v>1046</v>
      </c>
      <c r="I99" s="1683">
        <f>IFERROR(VLOOKUP($D$6,'Contract Listing'!$C$150:$DG$162,94,FALSE),0)</f>
        <v>2598207</v>
      </c>
      <c r="J99" s="1682">
        <f>IFERROR(VLOOKUP($D$6,'Contract Listing'!$C$150:$DG$162,95,FALSE),0)</f>
        <v>6948407</v>
      </c>
      <c r="K99" s="1103">
        <f>SUMIFS('LAC 102_Wkst'!$AN$7:$AN$2010,'LAC 102_Wkst'!$I$7:$I$2010,'Final Shift Worksheet'!$D99,'LAC 102_Wkst'!$D$7:$D$2010,'Final Shift Worksheet'!$A99)</f>
        <v>1177434.0090543316</v>
      </c>
      <c r="L99" s="1571">
        <f>SUMIFS('LAC 102_Wkst'!$AO$7:$AO$2010,'LAC 102_Wkst'!$I$7:$I$2010,'Final Shift Worksheet'!$D99,'LAC 102_Wkst'!$D$7:$D$2010,'Final Shift Worksheet'!$A99)</f>
        <v>5081534.0773321604</v>
      </c>
      <c r="M99" s="1103">
        <f>I99-K99</f>
        <v>1420772.9909456684</v>
      </c>
      <c r="N99" s="1104">
        <f t="shared" si="20"/>
        <v>1866872.9226678396</v>
      </c>
      <c r="O99" s="1054"/>
      <c r="P99" s="1104"/>
      <c r="Q99" s="1103">
        <f>I99+O99</f>
        <v>2598207</v>
      </c>
      <c r="R99" s="1104">
        <f t="shared" si="21"/>
        <v>6948407</v>
      </c>
      <c r="S99" s="1171"/>
      <c r="T99" s="1062" t="str">
        <f t="shared" si="22"/>
        <v>Y</v>
      </c>
    </row>
    <row r="100" spans="1:20" s="1059" customFormat="1" ht="17.100000000000001" customHeight="1" thickBot="1" x14ac:dyDescent="0.3">
      <c r="A100" s="1111"/>
      <c r="B100" s="1111" t="s">
        <v>861</v>
      </c>
      <c r="C100" s="1111"/>
      <c r="D100" s="1111"/>
      <c r="E100" s="1111"/>
      <c r="F100" s="1111" t="s">
        <v>1107</v>
      </c>
      <c r="G100" s="1112"/>
      <c r="H100" s="1113"/>
      <c r="I100" s="1687">
        <f>SUM(I87:I99)</f>
        <v>3210041</v>
      </c>
      <c r="J100" s="1688">
        <f t="shared" ref="J100:R100" si="23">SUM(J87:J99)</f>
        <v>12325636</v>
      </c>
      <c r="K100" s="1114">
        <f t="shared" si="23"/>
        <v>1799064.7117245586</v>
      </c>
      <c r="L100" s="1578">
        <f t="shared" si="23"/>
        <v>7614997.4459904879</v>
      </c>
      <c r="M100" s="1114">
        <f t="shared" si="23"/>
        <v>1410976.2882754414</v>
      </c>
      <c r="N100" s="1115">
        <f t="shared" si="23"/>
        <v>4710638.5540095121</v>
      </c>
      <c r="O100" s="1114">
        <f t="shared" si="23"/>
        <v>0</v>
      </c>
      <c r="P100" s="1115">
        <f t="shared" si="23"/>
        <v>0</v>
      </c>
      <c r="Q100" s="1114">
        <f t="shared" si="23"/>
        <v>3210041</v>
      </c>
      <c r="R100" s="1115">
        <f t="shared" si="23"/>
        <v>12325636</v>
      </c>
      <c r="S100" s="1174"/>
      <c r="T100" s="1175" t="str">
        <f t="shared" si="22"/>
        <v>Y</v>
      </c>
    </row>
    <row r="101" spans="1:20" s="1047" customFormat="1" ht="17.100000000000001" hidden="1" customHeight="1" thickTop="1" x14ac:dyDescent="0.25">
      <c r="A101" s="1072" t="s">
        <v>368</v>
      </c>
      <c r="B101" s="1072"/>
      <c r="C101" s="1072"/>
      <c r="D101" s="1072">
        <v>400</v>
      </c>
      <c r="E101" s="1072"/>
      <c r="F101" s="1101" t="s">
        <v>1085</v>
      </c>
      <c r="G101" s="1105" t="s">
        <v>332</v>
      </c>
      <c r="H101" s="1102" t="s">
        <v>1044</v>
      </c>
      <c r="I101" s="1573"/>
      <c r="J101" s="1176"/>
      <c r="K101" s="1052"/>
      <c r="L101" s="1603">
        <f>SUMIFS('LAC 102_Wkst'!$AP$7:$AP$2010,'LAC 102_Wkst'!$I$7:$I$2010,'Final Shift Worksheet'!$D101,'LAC 102_Wkst'!$D$7:$D$2010,'Final Shift Worksheet'!$A101,'LAC 102_Wkst'!$L$7:$L$2010,'Final Shift Worksheet'!$G101)</f>
        <v>0</v>
      </c>
      <c r="M101" s="1106"/>
      <c r="N101" s="1104">
        <f>IF(A101="imd",0,J101-L101)</f>
        <v>0</v>
      </c>
      <c r="O101" s="1106"/>
      <c r="P101" s="1618"/>
      <c r="Q101" s="1106"/>
      <c r="R101" s="1618">
        <f>J101+P101</f>
        <v>0</v>
      </c>
      <c r="S101" s="1171"/>
      <c r="T101" s="1062" t="str">
        <f t="shared" si="22"/>
        <v>N</v>
      </c>
    </row>
    <row r="102" spans="1:20" s="1059" customFormat="1" ht="17.100000000000001" hidden="1" customHeight="1" thickBot="1" x14ac:dyDescent="0.3">
      <c r="A102" s="1111"/>
      <c r="B102" s="1111" t="s">
        <v>861</v>
      </c>
      <c r="C102" s="1111"/>
      <c r="D102" s="1111"/>
      <c r="E102" s="1111"/>
      <c r="F102" s="1111" t="s">
        <v>1108</v>
      </c>
      <c r="G102" s="1112"/>
      <c r="H102" s="1113"/>
      <c r="I102" s="1576">
        <f>I101</f>
        <v>0</v>
      </c>
      <c r="J102" s="1577">
        <f t="shared" ref="J102:R102" si="24">J101</f>
        <v>0</v>
      </c>
      <c r="K102" s="1114">
        <f t="shared" si="24"/>
        <v>0</v>
      </c>
      <c r="L102" s="1578">
        <f t="shared" si="24"/>
        <v>0</v>
      </c>
      <c r="M102" s="1114">
        <f t="shared" si="24"/>
        <v>0</v>
      </c>
      <c r="N102" s="1115">
        <f t="shared" si="24"/>
        <v>0</v>
      </c>
      <c r="O102" s="1114">
        <f t="shared" si="24"/>
        <v>0</v>
      </c>
      <c r="P102" s="1115">
        <f t="shared" si="24"/>
        <v>0</v>
      </c>
      <c r="Q102" s="1114">
        <f t="shared" si="24"/>
        <v>0</v>
      </c>
      <c r="R102" s="1115">
        <f t="shared" si="24"/>
        <v>0</v>
      </c>
      <c r="S102" s="1174"/>
      <c r="T102" s="1175" t="str">
        <f t="shared" si="22"/>
        <v>N</v>
      </c>
    </row>
    <row r="103" spans="1:20" s="1047" customFormat="1" ht="17.100000000000001" hidden="1" customHeight="1" thickTop="1" x14ac:dyDescent="0.25">
      <c r="A103" s="1072" t="s">
        <v>1109</v>
      </c>
      <c r="B103" s="1072">
        <v>68</v>
      </c>
      <c r="C103" s="1072" t="s">
        <v>1325</v>
      </c>
      <c r="D103" s="1072">
        <v>531</v>
      </c>
      <c r="E103" s="1072"/>
      <c r="F103" s="1101" t="s">
        <v>1092</v>
      </c>
      <c r="G103" s="1105" t="s">
        <v>332</v>
      </c>
      <c r="H103" s="1102" t="s">
        <v>1044</v>
      </c>
      <c r="I103" s="1575"/>
      <c r="J103" s="1604">
        <f>IFERROR(VLOOKUP($D$6,'Contract Listing'!$C$177:$DG$180,90,FALSE),0)</f>
        <v>0</v>
      </c>
      <c r="K103" s="1052"/>
      <c r="L103" s="1603">
        <f>SUMIFS('LAC 102_Wkst'!$AP$7:$AP$2010,'LAC 102_Wkst'!$I$7:$I$2010,'Final Shift Worksheet'!$D103,'LAC 102_Wkst'!$D$7:$D$2010,'Final Shift Worksheet'!$A103,'LAC 102_Wkst'!$L$7:$L$2010,'Final Shift Worksheet'!$G103)</f>
        <v>0</v>
      </c>
      <c r="M103" s="1106"/>
      <c r="N103" s="1104">
        <f>J103-L103</f>
        <v>0</v>
      </c>
      <c r="O103" s="1106"/>
      <c r="P103" s="1055"/>
      <c r="Q103" s="1106"/>
      <c r="R103" s="1104">
        <f>J103+P103</f>
        <v>0</v>
      </c>
      <c r="S103" s="1171"/>
      <c r="T103" s="1062" t="str">
        <f t="shared" si="22"/>
        <v>N</v>
      </c>
    </row>
    <row r="104" spans="1:20" s="1047" customFormat="1" ht="17.100000000000001" hidden="1" customHeight="1" x14ac:dyDescent="0.25">
      <c r="A104" s="1072" t="s">
        <v>1109</v>
      </c>
      <c r="B104" s="1072">
        <v>69</v>
      </c>
      <c r="C104" s="1072" t="s">
        <v>953</v>
      </c>
      <c r="D104" s="1072">
        <v>531</v>
      </c>
      <c r="E104" s="1072"/>
      <c r="F104" s="1101" t="s">
        <v>818</v>
      </c>
      <c r="G104" s="1105" t="s">
        <v>95</v>
      </c>
      <c r="H104" s="1102" t="s">
        <v>857</v>
      </c>
      <c r="I104" s="1575"/>
      <c r="J104" s="1604">
        <f>IFERROR(VLOOKUP($D$6,'Contract Listing'!$C$177:$DG$180,91,FALSE),0)</f>
        <v>0</v>
      </c>
      <c r="K104" s="1056"/>
      <c r="L104" s="1603">
        <f>SUMIF('9A'!$B$44:$B$44,'Final Shift Worksheet'!$C104,'9A'!$L$44:$L$44)</f>
        <v>0</v>
      </c>
      <c r="M104" s="1572"/>
      <c r="N104" s="1104">
        <f>J104-L104</f>
        <v>0</v>
      </c>
      <c r="O104" s="1106"/>
      <c r="P104" s="1055"/>
      <c r="Q104" s="1106"/>
      <c r="R104" s="1104">
        <f>J104+P104</f>
        <v>0</v>
      </c>
      <c r="S104" s="1171"/>
      <c r="T104" s="1062" t="str">
        <f t="shared" si="22"/>
        <v>N</v>
      </c>
    </row>
    <row r="105" spans="1:20" s="1047" customFormat="1" ht="17.100000000000001" hidden="1" customHeight="1" x14ac:dyDescent="0.25">
      <c r="A105" s="1072" t="s">
        <v>1109</v>
      </c>
      <c r="B105" s="1072">
        <v>70</v>
      </c>
      <c r="C105" s="1072" t="s">
        <v>954</v>
      </c>
      <c r="D105" s="1072">
        <v>531</v>
      </c>
      <c r="E105" s="1072"/>
      <c r="F105" s="1101" t="s">
        <v>872</v>
      </c>
      <c r="G105" s="1105" t="s">
        <v>95</v>
      </c>
      <c r="H105" s="1102" t="s">
        <v>857</v>
      </c>
      <c r="I105" s="1575"/>
      <c r="J105" s="1604">
        <f>IFERROR(VLOOKUP($D$6,'Contract Listing'!$C$177:$DG$180,92,FALSE),0)</f>
        <v>0</v>
      </c>
      <c r="K105" s="1056"/>
      <c r="L105" s="1603">
        <f>SUMIF('9A'!$B$44:$B$44,'Final Shift Worksheet'!$C105,'9A'!$L$44:$L$44)</f>
        <v>0</v>
      </c>
      <c r="M105" s="1572"/>
      <c r="N105" s="1104">
        <f>J105-L105</f>
        <v>0</v>
      </c>
      <c r="O105" s="1106"/>
      <c r="P105" s="1055"/>
      <c r="Q105" s="1106"/>
      <c r="R105" s="1104">
        <f>J105+P105</f>
        <v>0</v>
      </c>
      <c r="S105" s="1171"/>
      <c r="T105" s="1062" t="str">
        <f t="shared" si="22"/>
        <v>N</v>
      </c>
    </row>
    <row r="106" spans="1:20" s="1047" customFormat="1" ht="17.100000000000001" hidden="1" customHeight="1" x14ac:dyDescent="0.25">
      <c r="A106" s="1072" t="s">
        <v>1109</v>
      </c>
      <c r="B106" s="1072">
        <v>71</v>
      </c>
      <c r="C106" s="1072" t="s">
        <v>955</v>
      </c>
      <c r="D106" s="1072">
        <v>531</v>
      </c>
      <c r="E106" s="1072"/>
      <c r="F106" s="1101" t="s">
        <v>829</v>
      </c>
      <c r="G106" s="1105" t="s">
        <v>95</v>
      </c>
      <c r="H106" s="1102" t="s">
        <v>857</v>
      </c>
      <c r="I106" s="1575"/>
      <c r="J106" s="1604">
        <f>IFERROR(VLOOKUP($D$6,'Contract Listing'!$C$177:$DG$180,93,FALSE),0)</f>
        <v>0</v>
      </c>
      <c r="K106" s="1056"/>
      <c r="L106" s="1603">
        <f>SUMIF('9A'!$B$44:$B$44,'Final Shift Worksheet'!$C106,'9A'!$L$44:$L$44)</f>
        <v>0</v>
      </c>
      <c r="M106" s="1572"/>
      <c r="N106" s="1104">
        <f>J106-L106</f>
        <v>0</v>
      </c>
      <c r="O106" s="1106"/>
      <c r="P106" s="1055"/>
      <c r="Q106" s="1106"/>
      <c r="R106" s="1104">
        <f>J106+P106</f>
        <v>0</v>
      </c>
      <c r="S106" s="1171"/>
      <c r="T106" s="1062" t="str">
        <f t="shared" si="22"/>
        <v>N</v>
      </c>
    </row>
    <row r="107" spans="1:20" s="1047" customFormat="1" ht="17.100000000000001" hidden="1" customHeight="1" x14ac:dyDescent="0.25">
      <c r="A107" s="1072" t="s">
        <v>1109</v>
      </c>
      <c r="B107" s="1072">
        <v>72</v>
      </c>
      <c r="C107" s="1072" t="s">
        <v>1326</v>
      </c>
      <c r="D107" s="1072">
        <v>531</v>
      </c>
      <c r="E107" s="1072"/>
      <c r="F107" s="1101" t="s">
        <v>1093</v>
      </c>
      <c r="G107" s="1102"/>
      <c r="H107" s="1102" t="s">
        <v>1046</v>
      </c>
      <c r="I107" s="1606">
        <f>IFERROR(VLOOKUP($D$6,'Contract Listing'!$C$177:$DG$180,94,FALSE),0)</f>
        <v>0</v>
      </c>
      <c r="J107" s="1604">
        <f>IFERROR(VLOOKUP($D$6,'Contract Listing'!$C$177:$DG$180,95,FALSE),0)</f>
        <v>0</v>
      </c>
      <c r="K107" s="1103">
        <f>SUMIFS('LAC 102_Wkst'!$AN$7:$AN$2010,'LAC 102_Wkst'!$I$7:$I$2010,'Final Shift Worksheet'!$D107,'LAC 102_Wkst'!$D$7:$D$2010,'Final Shift Worksheet'!$A107)</f>
        <v>0</v>
      </c>
      <c r="L107" s="1571">
        <f>SUMIFS('LAC 102_Wkst'!$AO$7:$AO$2010,'LAC 102_Wkst'!$I$7:$I$2010,'Final Shift Worksheet'!$D107,'LAC 102_Wkst'!$D$7:$D$2010,'Final Shift Worksheet'!$A107)</f>
        <v>0</v>
      </c>
      <c r="M107" s="1103">
        <f>I107-K107</f>
        <v>0</v>
      </c>
      <c r="N107" s="1104">
        <f>J107-L107</f>
        <v>0</v>
      </c>
      <c r="O107" s="1054"/>
      <c r="P107" s="1104"/>
      <c r="Q107" s="1103">
        <f>I107+O107</f>
        <v>0</v>
      </c>
      <c r="R107" s="1104">
        <f>J107+P107</f>
        <v>0</v>
      </c>
      <c r="S107" s="1171"/>
      <c r="T107" s="1062" t="str">
        <f t="shared" si="22"/>
        <v>N</v>
      </c>
    </row>
    <row r="108" spans="1:20" s="1059" customFormat="1" ht="17.100000000000001" hidden="1" customHeight="1" thickBot="1" x14ac:dyDescent="0.3">
      <c r="A108" s="1111"/>
      <c r="B108" s="1111" t="s">
        <v>861</v>
      </c>
      <c r="C108" s="1111"/>
      <c r="D108" s="1111"/>
      <c r="E108" s="1111"/>
      <c r="F108" s="1111" t="s">
        <v>1110</v>
      </c>
      <c r="G108" s="1112"/>
      <c r="H108" s="1113"/>
      <c r="I108" s="1576">
        <f>SUM(I103:I107)</f>
        <v>0</v>
      </c>
      <c r="J108" s="1577">
        <f t="shared" ref="J108:R108" si="25">SUM(J103:J107)</f>
        <v>0</v>
      </c>
      <c r="K108" s="1114">
        <f t="shared" si="25"/>
        <v>0</v>
      </c>
      <c r="L108" s="1578">
        <f t="shared" si="25"/>
        <v>0</v>
      </c>
      <c r="M108" s="1114">
        <f t="shared" si="25"/>
        <v>0</v>
      </c>
      <c r="N108" s="1115">
        <f t="shared" si="25"/>
        <v>0</v>
      </c>
      <c r="O108" s="1114">
        <f t="shared" si="25"/>
        <v>0</v>
      </c>
      <c r="P108" s="1115">
        <f t="shared" si="25"/>
        <v>0</v>
      </c>
      <c r="Q108" s="1114">
        <f t="shared" si="25"/>
        <v>0</v>
      </c>
      <c r="R108" s="1115">
        <f t="shared" si="25"/>
        <v>0</v>
      </c>
      <c r="S108" s="1174"/>
      <c r="T108" s="1175" t="str">
        <f t="shared" si="22"/>
        <v>N</v>
      </c>
    </row>
    <row r="109" spans="1:20" s="1047" customFormat="1" ht="17.100000000000001" hidden="1" customHeight="1" thickTop="1" x14ac:dyDescent="0.25">
      <c r="A109" s="1095" t="s">
        <v>518</v>
      </c>
      <c r="B109" s="1095"/>
      <c r="C109" s="1095"/>
      <c r="D109" s="1095">
        <v>130.1</v>
      </c>
      <c r="E109" s="1095"/>
      <c r="F109" s="1096" t="s">
        <v>1049</v>
      </c>
      <c r="G109" s="1107" t="s">
        <v>332</v>
      </c>
      <c r="H109" s="1098" t="s">
        <v>1044</v>
      </c>
      <c r="I109" s="1588"/>
      <c r="J109" s="1587"/>
      <c r="K109" s="1052"/>
      <c r="L109" s="1615">
        <f>SUMIFS('LAC 102_Wkst'!$AP$7:$AP$2010,'LAC 102_Wkst'!$I$7:$I$2010,'Final Shift Worksheet'!$D109,'LAC 102_Wkst'!$D$7:$D$2010,'Final Shift Worksheet'!$A109,'LAC 102_Wkst'!$L$7:$L$2010,'Final Shift Worksheet'!$G109)</f>
        <v>0</v>
      </c>
      <c r="M109" s="1099"/>
      <c r="N109" s="1616"/>
      <c r="O109" s="1099"/>
      <c r="P109" s="1616"/>
      <c r="Q109" s="1099"/>
      <c r="R109" s="1616"/>
      <c r="S109" s="1171"/>
      <c r="T109" s="1062" t="str">
        <f t="shared" si="22"/>
        <v>N</v>
      </c>
    </row>
    <row r="110" spans="1:20" s="1047" customFormat="1" ht="17.100000000000001" hidden="1" customHeight="1" x14ac:dyDescent="0.25">
      <c r="A110" s="1095" t="s">
        <v>518</v>
      </c>
      <c r="B110" s="1095"/>
      <c r="C110" s="1095" t="s">
        <v>1283</v>
      </c>
      <c r="D110" s="1095">
        <v>130.1</v>
      </c>
      <c r="E110" s="1095"/>
      <c r="F110" s="1096" t="s">
        <v>1050</v>
      </c>
      <c r="G110" s="1098"/>
      <c r="H110" s="1098" t="s">
        <v>1046</v>
      </c>
      <c r="I110" s="1592"/>
      <c r="J110" s="1593"/>
      <c r="K110" s="1108">
        <f>SUMIFS('LAC 102_Wkst'!$AN$7:$AN$2010,'LAC 102_Wkst'!$I$7:$I$2010,'Final Shift Worksheet'!$D110,'LAC 102_Wkst'!$D$7:$D$2010,'Final Shift Worksheet'!$A110)</f>
        <v>0</v>
      </c>
      <c r="L110" s="1586">
        <f>SUMIFS('LAC 102_Wkst'!$AO$7:$AO$2010,'LAC 102_Wkst'!$I$7:$I$2010,'Final Shift Worksheet'!$D110,'LAC 102_Wkst'!$D$7:$D$2010,'Final Shift Worksheet'!$A110)</f>
        <v>0</v>
      </c>
      <c r="M110" s="1617"/>
      <c r="N110" s="1618"/>
      <c r="O110" s="1617"/>
      <c r="P110" s="1618"/>
      <c r="Q110" s="1617"/>
      <c r="R110" s="1616"/>
      <c r="S110" s="1171"/>
      <c r="T110" s="1062" t="str">
        <f t="shared" si="22"/>
        <v>N</v>
      </c>
    </row>
    <row r="111" spans="1:20" s="1058" customFormat="1" ht="17.100000000000001" hidden="1" customHeight="1" x14ac:dyDescent="0.25">
      <c r="A111" s="1095" t="s">
        <v>518</v>
      </c>
      <c r="B111" s="1095"/>
      <c r="C111" s="1095"/>
      <c r="D111" s="1095">
        <v>304</v>
      </c>
      <c r="E111" s="1095"/>
      <c r="F111" s="1096" t="s">
        <v>905</v>
      </c>
      <c r="G111" s="1107" t="s">
        <v>332</v>
      </c>
      <c r="H111" s="1098" t="s">
        <v>1044</v>
      </c>
      <c r="I111" s="1594"/>
      <c r="J111" s="1595"/>
      <c r="K111" s="1056"/>
      <c r="L111" s="1603">
        <f>SUMIFS('LAC 102_Wkst'!$AP$7:$AP$2010,'LAC 102_Wkst'!$I$7:$I$2010,'Final Shift Worksheet'!$D111,'LAC 102_Wkst'!$D$7:$D$2010,'Final Shift Worksheet'!$A111,'LAC 102_Wkst'!$L$7:$L$2010,'Final Shift Worksheet'!$G111)</f>
        <v>0</v>
      </c>
      <c r="M111" s="1099"/>
      <c r="N111" s="1616"/>
      <c r="O111" s="1596"/>
      <c r="P111" s="1619"/>
      <c r="Q111" s="1099"/>
      <c r="R111" s="1616"/>
      <c r="S111" s="1173"/>
      <c r="T111" s="1062" t="str">
        <f t="shared" ref="T111:T123" si="26">IF(SUM(J111,L111,P111)&gt;0,"Y","N")</f>
        <v>N</v>
      </c>
    </row>
    <row r="112" spans="1:20" s="1058" customFormat="1" ht="17.100000000000001" hidden="1" customHeight="1" x14ac:dyDescent="0.25">
      <c r="A112" s="1095" t="s">
        <v>518</v>
      </c>
      <c r="B112" s="1095"/>
      <c r="C112" s="1095" t="s">
        <v>1793</v>
      </c>
      <c r="D112" s="1095">
        <v>304</v>
      </c>
      <c r="E112" s="1095"/>
      <c r="F112" s="1096" t="s">
        <v>905</v>
      </c>
      <c r="G112" s="1098"/>
      <c r="H112" s="1098" t="s">
        <v>1046</v>
      </c>
      <c r="I112" s="1597"/>
      <c r="J112" s="1598"/>
      <c r="K112" s="1108">
        <f>SUMIFS('LAC 102_Wkst'!$AN$7:$AN$2010,'LAC 102_Wkst'!$I$7:$I$2010,'Final Shift Worksheet'!$D112,'LAC 102_Wkst'!$D$7:$D$2010,'Final Shift Worksheet'!$A112)</f>
        <v>0</v>
      </c>
      <c r="L112" s="1586">
        <f>SUMIFS('LAC 102_Wkst'!$AO$7:$AO$2010,'LAC 102_Wkst'!$I$7:$I$2010,'Final Shift Worksheet'!$D112,'LAC 102_Wkst'!$D$7:$D$2010,'Final Shift Worksheet'!$A112)</f>
        <v>0</v>
      </c>
      <c r="M112" s="1617"/>
      <c r="N112" s="1618"/>
      <c r="O112" s="1621"/>
      <c r="P112" s="1618"/>
      <c r="Q112" s="1617"/>
      <c r="R112" s="1616"/>
      <c r="S112" s="1173"/>
      <c r="T112" s="1062" t="str">
        <f t="shared" si="26"/>
        <v>N</v>
      </c>
    </row>
    <row r="113" spans="1:20" s="1047" customFormat="1" ht="17.100000000000001" hidden="1" customHeight="1" x14ac:dyDescent="0.25">
      <c r="A113" s="1095" t="s">
        <v>518</v>
      </c>
      <c r="B113" s="1095"/>
      <c r="C113" s="1095" t="s">
        <v>1301</v>
      </c>
      <c r="D113" s="1095">
        <v>171</v>
      </c>
      <c r="E113" s="1095"/>
      <c r="F113" s="1096" t="s">
        <v>1069</v>
      </c>
      <c r="G113" s="1107" t="s">
        <v>332</v>
      </c>
      <c r="H113" s="1098" t="s">
        <v>1044</v>
      </c>
      <c r="I113" s="1599"/>
      <c r="J113" s="1600"/>
      <c r="K113" s="1056"/>
      <c r="L113" s="1603">
        <f>SUMIFS('LAC 102_Wkst'!$AP$7:$AP$2010,'LAC 102_Wkst'!$I$7:$I$2010,'Final Shift Worksheet'!$D113,'LAC 102_Wkst'!$D$7:$D$2010,'Final Shift Worksheet'!$A113,'LAC 102_Wkst'!$L$7:$L$2010,'Final Shift Worksheet'!$G113)</f>
        <v>0</v>
      </c>
      <c r="M113" s="1099"/>
      <c r="N113" s="1616"/>
      <c r="O113" s="1099"/>
      <c r="P113" s="1616"/>
      <c r="Q113" s="1099"/>
      <c r="R113" s="1616"/>
      <c r="S113" s="1171"/>
      <c r="T113" s="1062" t="str">
        <f t="shared" si="26"/>
        <v>N</v>
      </c>
    </row>
    <row r="114" spans="1:20" s="1047" customFormat="1" ht="17.100000000000001" hidden="1" customHeight="1" x14ac:dyDescent="0.25">
      <c r="A114" s="1095" t="s">
        <v>518</v>
      </c>
      <c r="B114" s="1095"/>
      <c r="C114" s="1095" t="s">
        <v>1302</v>
      </c>
      <c r="D114" s="1095">
        <v>171</v>
      </c>
      <c r="E114" s="1095"/>
      <c r="F114" s="1096" t="s">
        <v>1111</v>
      </c>
      <c r="G114" s="1098"/>
      <c r="H114" s="1098" t="s">
        <v>1046</v>
      </c>
      <c r="I114" s="1592"/>
      <c r="J114" s="1593"/>
      <c r="K114" s="1108">
        <f>SUMIFS('LAC 102_Wkst'!$AN$7:$AN$2010,'LAC 102_Wkst'!$I$7:$I$2010,'Final Shift Worksheet'!$D114,'LAC 102_Wkst'!$D$7:$D$2010,'Final Shift Worksheet'!$A114)</f>
        <v>0</v>
      </c>
      <c r="L114" s="1586">
        <f>SUMIFS('LAC 102_Wkst'!$AO$7:$AO$2010,'LAC 102_Wkst'!$I$7:$I$2010,'Final Shift Worksheet'!$D114,'LAC 102_Wkst'!$D$7:$D$2010,'Final Shift Worksheet'!$A114)</f>
        <v>0</v>
      </c>
      <c r="M114" s="1617"/>
      <c r="N114" s="1618"/>
      <c r="O114" s="1617"/>
      <c r="P114" s="1616"/>
      <c r="Q114" s="1617"/>
      <c r="R114" s="1616"/>
      <c r="S114" s="1171"/>
      <c r="T114" s="1062" t="str">
        <f t="shared" si="26"/>
        <v>N</v>
      </c>
    </row>
    <row r="115" spans="1:20" ht="15.75" hidden="1" thickTop="1" x14ac:dyDescent="0.25">
      <c r="A115" s="1072" t="s">
        <v>518</v>
      </c>
      <c r="B115" s="1072"/>
      <c r="C115" s="1072" t="s">
        <v>1325</v>
      </c>
      <c r="D115" s="1072">
        <v>531</v>
      </c>
      <c r="E115" s="1072"/>
      <c r="F115" s="1101" t="s">
        <v>1092</v>
      </c>
      <c r="G115" s="1105" t="s">
        <v>332</v>
      </c>
      <c r="H115" s="1102" t="s">
        <v>1044</v>
      </c>
      <c r="I115" s="1575"/>
      <c r="J115" s="1591"/>
      <c r="K115" s="1056"/>
      <c r="L115" s="1603">
        <f>SUMIFS('LAC 102_Wkst'!$AP$7:$AP$2010,'LAC 102_Wkst'!$I$7:$I$2010,'Final Shift Worksheet'!$D115,'LAC 102_Wkst'!$D$7:$D$2010,'Final Shift Worksheet'!$A115,'LAC 102_Wkst'!$L$7:$L$2010,'Final Shift Worksheet'!$G115)</f>
        <v>0</v>
      </c>
      <c r="M115" s="1106"/>
      <c r="N115" s="1618"/>
      <c r="O115" s="1106"/>
      <c r="P115" s="1618"/>
      <c r="Q115" s="1106"/>
      <c r="R115" s="1618"/>
      <c r="S115" s="1171"/>
      <c r="T115" s="1062" t="str">
        <f t="shared" si="26"/>
        <v>N</v>
      </c>
    </row>
    <row r="116" spans="1:20" ht="15.75" hidden="1" thickTop="1" x14ac:dyDescent="0.25">
      <c r="A116" s="1072" t="s">
        <v>518</v>
      </c>
      <c r="B116" s="1072"/>
      <c r="C116" s="1072" t="s">
        <v>953</v>
      </c>
      <c r="D116" s="1072">
        <v>531</v>
      </c>
      <c r="E116" s="1072"/>
      <c r="F116" s="1101" t="s">
        <v>818</v>
      </c>
      <c r="G116" s="1105" t="s">
        <v>95</v>
      </c>
      <c r="H116" s="1102" t="s">
        <v>857</v>
      </c>
      <c r="I116" s="1575"/>
      <c r="J116" s="1591"/>
      <c r="K116" s="1056"/>
      <c r="L116" s="1603">
        <f>SUMIF('9A'!$B$37:$B$37,'Final Shift Worksheet'!$C116,'9A'!$L$37:$L$37)</f>
        <v>0</v>
      </c>
      <c r="M116" s="1099"/>
      <c r="N116" s="1616"/>
      <c r="O116" s="1106"/>
      <c r="P116" s="1618"/>
      <c r="Q116" s="1106"/>
      <c r="R116" s="1618"/>
      <c r="S116" s="1171"/>
      <c r="T116" s="1062" t="str">
        <f t="shared" si="26"/>
        <v>N</v>
      </c>
    </row>
    <row r="117" spans="1:20" ht="15.75" hidden="1" thickTop="1" x14ac:dyDescent="0.25">
      <c r="A117" s="1072" t="s">
        <v>518</v>
      </c>
      <c r="B117" s="1072"/>
      <c r="C117" s="1072" t="s">
        <v>1326</v>
      </c>
      <c r="D117" s="1072">
        <v>531</v>
      </c>
      <c r="E117" s="1072"/>
      <c r="F117" s="1101" t="s">
        <v>1093</v>
      </c>
      <c r="G117" s="1102"/>
      <c r="H117" s="1102" t="s">
        <v>1046</v>
      </c>
      <c r="I117" s="1592"/>
      <c r="J117" s="1591"/>
      <c r="K117" s="1103">
        <f>SUMIFS('LAC 102_Wkst'!$AN$7:$AN$2010,'LAC 102_Wkst'!$I$7:$I$2010,'Final Shift Worksheet'!$D117,'LAC 102_Wkst'!$D$7:$D$2010,'Final Shift Worksheet'!$A117)</f>
        <v>0</v>
      </c>
      <c r="L117" s="1571">
        <f>SUMIFS('LAC 102_Wkst'!$AO$7:$AO$2010,'LAC 102_Wkst'!$I$7:$I$2010,'Final Shift Worksheet'!$D117,'LAC 102_Wkst'!$D$7:$D$2010,'Final Shift Worksheet'!$A117)</f>
        <v>0</v>
      </c>
      <c r="M117" s="1617"/>
      <c r="N117" s="1618"/>
      <c r="O117" s="1620"/>
      <c r="P117" s="1618"/>
      <c r="Q117" s="1620"/>
      <c r="R117" s="1618"/>
      <c r="S117" s="1171"/>
      <c r="T117" s="1062" t="str">
        <f t="shared" si="26"/>
        <v>N</v>
      </c>
    </row>
    <row r="118" spans="1:20" s="1059" customFormat="1" ht="17.100000000000001" hidden="1" customHeight="1" thickBot="1" x14ac:dyDescent="0.3">
      <c r="A118" s="1111"/>
      <c r="B118" s="1111" t="s">
        <v>861</v>
      </c>
      <c r="C118" s="1111"/>
      <c r="D118" s="1111"/>
      <c r="E118" s="1111"/>
      <c r="F118" s="1111" t="s">
        <v>1112</v>
      </c>
      <c r="G118" s="1112"/>
      <c r="H118" s="1113"/>
      <c r="I118" s="1576">
        <f>SUM(I109:I117)</f>
        <v>0</v>
      </c>
      <c r="J118" s="1577">
        <f t="shared" ref="J118:R118" si="27">SUM(J109:J117)</f>
        <v>0</v>
      </c>
      <c r="K118" s="1114">
        <f t="shared" si="27"/>
        <v>0</v>
      </c>
      <c r="L118" s="1578">
        <f t="shared" si="27"/>
        <v>0</v>
      </c>
      <c r="M118" s="1114">
        <f t="shared" si="27"/>
        <v>0</v>
      </c>
      <c r="N118" s="1115">
        <f t="shared" si="27"/>
        <v>0</v>
      </c>
      <c r="O118" s="1114">
        <f t="shared" si="27"/>
        <v>0</v>
      </c>
      <c r="P118" s="1115">
        <f t="shared" si="27"/>
        <v>0</v>
      </c>
      <c r="Q118" s="1114">
        <f t="shared" si="27"/>
        <v>0</v>
      </c>
      <c r="R118" s="1115">
        <f t="shared" si="27"/>
        <v>0</v>
      </c>
      <c r="S118" s="1174"/>
      <c r="T118" s="1175" t="str">
        <f t="shared" si="26"/>
        <v>N</v>
      </c>
    </row>
    <row r="119" spans="1:20" s="1047" customFormat="1" ht="17.100000000000001" hidden="1" customHeight="1" thickTop="1" x14ac:dyDescent="0.25">
      <c r="A119" s="1095" t="s">
        <v>1113</v>
      </c>
      <c r="B119" s="1095" t="s">
        <v>861</v>
      </c>
      <c r="C119" s="1116" t="s">
        <v>1795</v>
      </c>
      <c r="D119" s="1095"/>
      <c r="E119" s="1095"/>
      <c r="F119" s="1096" t="s">
        <v>1114</v>
      </c>
      <c r="G119" s="1107" t="s">
        <v>332</v>
      </c>
      <c r="H119" s="1098" t="s">
        <v>1044</v>
      </c>
      <c r="I119" s="1599"/>
      <c r="J119" s="1605">
        <f>IFERROR(VLOOKUP($D$6,'Contract Listing'!$C$190:$DG$195,107,FALSE),0)</f>
        <v>0</v>
      </c>
      <c r="K119" s="1052"/>
      <c r="L119" s="1615">
        <f>SUMIF('9A'!$B$48:$B$48,'Final Shift Worksheet'!$C119,'9A'!$L$48:$L$48)</f>
        <v>0</v>
      </c>
      <c r="M119" s="1099"/>
      <c r="N119" s="1100">
        <f>J119-L119</f>
        <v>0</v>
      </c>
      <c r="O119" s="1099"/>
      <c r="P119" s="1616"/>
      <c r="Q119" s="1099"/>
      <c r="R119" s="1616">
        <f>J119+P119</f>
        <v>0</v>
      </c>
      <c r="S119" s="1171"/>
      <c r="T119" s="1062" t="str">
        <f t="shared" si="26"/>
        <v>N</v>
      </c>
    </row>
    <row r="120" spans="1:20" s="1047" customFormat="1" ht="17.100000000000001" hidden="1" customHeight="1" x14ac:dyDescent="0.25">
      <c r="A120" s="1095" t="s">
        <v>1113</v>
      </c>
      <c r="B120" s="1095" t="s">
        <v>861</v>
      </c>
      <c r="C120" s="1116" t="s">
        <v>1796</v>
      </c>
      <c r="D120" s="1095"/>
      <c r="E120" s="1095"/>
      <c r="F120" s="1096" t="s">
        <v>1115</v>
      </c>
      <c r="G120" s="1107" t="s">
        <v>332</v>
      </c>
      <c r="H120" s="1098" t="s">
        <v>1044</v>
      </c>
      <c r="I120" s="1589"/>
      <c r="J120" s="1603">
        <f>IFERROR(VLOOKUP($D$6,'Contract Listing'!$C$190:$DG$195,108,FALSE),0)</f>
        <v>0</v>
      </c>
      <c r="K120" s="1052"/>
      <c r="L120" s="1615">
        <f>SUMIF('9A'!$B$37:$B$37,'Final Shift Worksheet'!$C120,'9A'!$L$37:$L$37)</f>
        <v>0</v>
      </c>
      <c r="M120" s="1099"/>
      <c r="N120" s="1100">
        <f>J120-L120</f>
        <v>0</v>
      </c>
      <c r="O120" s="1099"/>
      <c r="P120" s="1616"/>
      <c r="Q120" s="1099"/>
      <c r="R120" s="1616">
        <f>J120+P120</f>
        <v>0</v>
      </c>
      <c r="S120" s="1171"/>
      <c r="T120" s="1062" t="str">
        <f t="shared" si="26"/>
        <v>N</v>
      </c>
    </row>
    <row r="121" spans="1:20" s="1059" customFormat="1" ht="17.100000000000001" hidden="1" customHeight="1" thickBot="1" x14ac:dyDescent="0.3">
      <c r="A121" s="1111"/>
      <c r="B121" s="1111" t="s">
        <v>861</v>
      </c>
      <c r="C121" s="1111"/>
      <c r="D121" s="1111"/>
      <c r="E121" s="1111"/>
      <c r="F121" s="1111" t="s">
        <v>1116</v>
      </c>
      <c r="G121" s="1112"/>
      <c r="H121" s="1113"/>
      <c r="I121" s="1576">
        <f>SUM(I119,I120)</f>
        <v>0</v>
      </c>
      <c r="J121" s="1577">
        <f t="shared" ref="J121:R121" si="28">SUM(J119,J120)</f>
        <v>0</v>
      </c>
      <c r="K121" s="1114">
        <f t="shared" si="28"/>
        <v>0</v>
      </c>
      <c r="L121" s="1578">
        <f t="shared" si="28"/>
        <v>0</v>
      </c>
      <c r="M121" s="1114">
        <f t="shared" si="28"/>
        <v>0</v>
      </c>
      <c r="N121" s="1115">
        <f t="shared" si="28"/>
        <v>0</v>
      </c>
      <c r="O121" s="1114">
        <f t="shared" si="28"/>
        <v>0</v>
      </c>
      <c r="P121" s="1115">
        <f t="shared" si="28"/>
        <v>0</v>
      </c>
      <c r="Q121" s="1114">
        <f t="shared" si="28"/>
        <v>0</v>
      </c>
      <c r="R121" s="1115">
        <f t="shared" si="28"/>
        <v>0</v>
      </c>
      <c r="S121" s="1174"/>
      <c r="T121" s="1175" t="str">
        <f t="shared" si="26"/>
        <v>N</v>
      </c>
    </row>
    <row r="122" spans="1:20" ht="16.5" thickTop="1" thickBot="1" x14ac:dyDescent="0.3">
      <c r="A122" s="1064"/>
      <c r="B122" s="1062"/>
      <c r="C122" s="1062"/>
      <c r="D122" s="1062"/>
      <c r="E122" s="1062"/>
      <c r="F122" s="1064"/>
      <c r="G122" s="1064"/>
      <c r="H122" s="1064"/>
      <c r="I122" s="1064"/>
      <c r="J122" s="1064"/>
      <c r="M122" s="1070"/>
      <c r="N122" s="1070"/>
      <c r="O122" s="1070"/>
      <c r="P122" s="1070"/>
      <c r="Q122" s="1117"/>
      <c r="R122" s="1117"/>
      <c r="S122" s="1171"/>
      <c r="T122" s="1062" t="s">
        <v>177</v>
      </c>
    </row>
    <row r="123" spans="1:20" s="1059" customFormat="1" ht="17.100000000000001" customHeight="1" thickBot="1" x14ac:dyDescent="0.3">
      <c r="A123" s="1118"/>
      <c r="B123" s="1119" t="s">
        <v>861</v>
      </c>
      <c r="C123" s="1119"/>
      <c r="D123" s="1119"/>
      <c r="E123" s="1119"/>
      <c r="F123" s="1119" t="s">
        <v>1117</v>
      </c>
      <c r="G123" s="1120"/>
      <c r="H123" s="1121"/>
      <c r="I123" s="1579">
        <f t="shared" ref="I123:R123" si="29">I86+I100+I102+I108+I118+I121</f>
        <v>10393517</v>
      </c>
      <c r="J123" s="1580">
        <f t="shared" si="29"/>
        <v>69000425</v>
      </c>
      <c r="K123" s="1122">
        <f t="shared" si="29"/>
        <v>7794576.85568689</v>
      </c>
      <c r="L123" s="1581">
        <f t="shared" si="29"/>
        <v>56129345.941427961</v>
      </c>
      <c r="M123" s="1122">
        <f t="shared" si="29"/>
        <v>2598940.1443131091</v>
      </c>
      <c r="N123" s="1123">
        <f t="shared" si="29"/>
        <v>12871079.05857205</v>
      </c>
      <c r="O123" s="1122">
        <f t="shared" si="29"/>
        <v>0</v>
      </c>
      <c r="P123" s="1123">
        <f t="shared" si="29"/>
        <v>0</v>
      </c>
      <c r="Q123" s="1122">
        <f t="shared" si="29"/>
        <v>10393517</v>
      </c>
      <c r="R123" s="1123">
        <f t="shared" si="29"/>
        <v>69000425</v>
      </c>
      <c r="S123" s="1174"/>
      <c r="T123" s="1175" t="str">
        <f t="shared" si="26"/>
        <v>Y</v>
      </c>
    </row>
    <row r="124" spans="1:20" x14ac:dyDescent="0.25">
      <c r="A124" s="1064"/>
      <c r="B124" s="1062"/>
      <c r="C124" s="1062"/>
      <c r="D124" s="1062"/>
      <c r="E124" s="1062"/>
      <c r="F124" s="1064"/>
      <c r="G124" s="1064"/>
      <c r="H124" s="1064"/>
      <c r="I124" s="1064"/>
      <c r="J124" s="1064"/>
      <c r="K124" s="1070"/>
      <c r="L124" s="1070"/>
      <c r="M124" s="1070"/>
      <c r="N124" s="1070"/>
      <c r="O124" s="1070"/>
      <c r="P124" s="1070"/>
      <c r="Q124" s="1070"/>
      <c r="R124" s="1070"/>
      <c r="S124" s="1171"/>
      <c r="T124" s="1070"/>
    </row>
    <row r="125" spans="1:20" x14ac:dyDescent="0.25">
      <c r="A125" s="1064"/>
      <c r="B125" s="1062"/>
      <c r="C125" s="1062"/>
      <c r="D125" s="1062"/>
      <c r="E125" s="1062"/>
      <c r="F125" s="1064"/>
      <c r="G125" s="1064"/>
      <c r="H125" s="1064"/>
      <c r="I125" s="1064"/>
      <c r="J125" s="1064"/>
      <c r="K125" s="1582" t="s">
        <v>1909</v>
      </c>
      <c r="L125" s="1583">
        <f>'LAC 102_Wkst'!AO2011</f>
        <v>46198861.64079278</v>
      </c>
      <c r="M125" s="1070"/>
      <c r="N125" s="1070"/>
      <c r="O125" s="1070"/>
      <c r="P125" s="1070"/>
      <c r="Q125" s="1070"/>
      <c r="R125" s="1070"/>
      <c r="S125" s="1171"/>
      <c r="T125" s="1070"/>
    </row>
    <row r="126" spans="1:20" x14ac:dyDescent="0.25">
      <c r="A126" s="1064"/>
      <c r="B126" s="1062"/>
      <c r="C126" s="1062"/>
      <c r="D126" s="1062"/>
      <c r="E126" s="1062"/>
      <c r="F126" s="1064"/>
      <c r="G126" s="1064"/>
      <c r="H126" s="1064"/>
      <c r="I126" s="1064"/>
      <c r="J126" s="1064"/>
      <c r="K126" s="1582" t="s">
        <v>1780</v>
      </c>
      <c r="L126" s="1583">
        <f>'LAC 102_Wkst'!AP2011</f>
        <v>7163789.3006350612</v>
      </c>
      <c r="M126" s="1070"/>
      <c r="N126" s="1070"/>
      <c r="O126" s="1070"/>
      <c r="P126" s="1070"/>
      <c r="Q126" s="1070"/>
      <c r="R126" s="1070"/>
      <c r="S126" s="1171"/>
      <c r="T126" s="1070"/>
    </row>
    <row r="127" spans="1:20" ht="15.75" thickBot="1" x14ac:dyDescent="0.3">
      <c r="A127" s="1064"/>
      <c r="B127" s="1062"/>
      <c r="C127" s="1062"/>
      <c r="D127" s="1062"/>
      <c r="E127" s="1062"/>
      <c r="F127" s="1064"/>
      <c r="G127" s="1064"/>
      <c r="H127" s="1064"/>
      <c r="I127" s="1064"/>
      <c r="J127" s="1064"/>
      <c r="K127" s="1582" t="s">
        <v>1706</v>
      </c>
      <c r="L127" s="1583">
        <f>'9A'!L49</f>
        <v>2766695</v>
      </c>
      <c r="M127" s="1070"/>
      <c r="N127" s="1070"/>
      <c r="O127" s="1070"/>
      <c r="P127" s="1070"/>
      <c r="Q127" s="1070"/>
      <c r="R127" s="1070"/>
      <c r="S127" s="1171"/>
      <c r="T127" s="1070"/>
    </row>
    <row r="128" spans="1:20" ht="15.75" thickBot="1" x14ac:dyDescent="0.3">
      <c r="A128" s="1064"/>
      <c r="B128" s="1062"/>
      <c r="C128" s="1062"/>
      <c r="D128" s="1062"/>
      <c r="E128" s="1062"/>
      <c r="F128" s="1064"/>
      <c r="G128" s="1064"/>
      <c r="H128" s="1064"/>
      <c r="I128" s="1064"/>
      <c r="J128" s="1064"/>
      <c r="K128" s="1582" t="s">
        <v>258</v>
      </c>
      <c r="L128" s="1584">
        <f>SUM(L125:L127)</f>
        <v>56129345.941427842</v>
      </c>
      <c r="M128" s="1070"/>
      <c r="N128" s="1070"/>
      <c r="O128" s="1070"/>
      <c r="P128" s="1070"/>
      <c r="Q128" s="1070"/>
      <c r="R128" s="1070"/>
      <c r="S128" s="1171"/>
      <c r="T128" s="1070"/>
    </row>
    <row r="129" spans="1:20" x14ac:dyDescent="0.25">
      <c r="A129" s="1064"/>
      <c r="B129" s="1062"/>
      <c r="C129" s="1062"/>
      <c r="D129" s="1062"/>
      <c r="E129" s="1062"/>
      <c r="F129" s="1064"/>
      <c r="G129" s="1064"/>
      <c r="H129" s="1064"/>
      <c r="I129" s="1064"/>
      <c r="J129" s="1064"/>
      <c r="K129" s="1070"/>
      <c r="L129" s="1583"/>
      <c r="M129" s="1070"/>
      <c r="N129" s="1070"/>
      <c r="O129" s="1070"/>
      <c r="P129" s="1070"/>
      <c r="Q129" s="1070"/>
      <c r="R129" s="1070"/>
      <c r="S129" s="1171"/>
      <c r="T129" s="1070"/>
    </row>
    <row r="130" spans="1:20" x14ac:dyDescent="0.25">
      <c r="A130" s="1064"/>
      <c r="B130" s="1062"/>
      <c r="C130" s="1062"/>
      <c r="D130" s="1062"/>
      <c r="E130" s="1062"/>
      <c r="F130" s="1064"/>
      <c r="G130" s="1064"/>
      <c r="H130" s="1064"/>
      <c r="I130" s="1064"/>
      <c r="J130" s="1064"/>
      <c r="K130" s="1070"/>
      <c r="L130" s="1650" t="str">
        <f>IF(ABS(L123-L128)&lt;2,"OK","Error")</f>
        <v>OK</v>
      </c>
      <c r="M130" s="1070"/>
      <c r="N130" s="1070"/>
      <c r="O130" s="1070"/>
      <c r="P130" s="1070"/>
      <c r="Q130" s="1070"/>
      <c r="R130" s="1070"/>
      <c r="S130" s="1171"/>
      <c r="T130" s="1070"/>
    </row>
    <row r="131" spans="1:20" x14ac:dyDescent="0.25">
      <c r="M131" s="1642"/>
    </row>
    <row r="132" spans="1:20" x14ac:dyDescent="0.25">
      <c r="L132" s="1649"/>
      <c r="M132" s="1642"/>
    </row>
    <row r="133" spans="1:20" x14ac:dyDescent="0.25">
      <c r="M133" s="1642"/>
    </row>
    <row r="134" spans="1:20" x14ac:dyDescent="0.25">
      <c r="M134" s="1642"/>
    </row>
  </sheetData>
  <sheetProtection algorithmName="SHA-512" hashValue="TMUxNThtcJjanRWL9d60QlE7Kl6MGgsGpJQdjUOFlPi19/Su81X1qLovXGfEx/qmm9zfIpy8sAF50Z/SorhMhA==" saltValue="7mA/scdFU1j8drFnEj5JUw==" spinCount="100000" sheet="1" objects="1" scenarios="1" autoFilter="0"/>
  <autoFilter ref="A10:T121" xr:uid="{3247FA7B-9131-44CD-AAC1-8AC81F548DC9}">
    <filterColumn colId="19">
      <filters>
        <filter val="Y"/>
      </filters>
    </filterColumn>
  </autoFilter>
  <mergeCells count="5">
    <mergeCell ref="I9:J9"/>
    <mergeCell ref="K9:L9"/>
    <mergeCell ref="M9:N9"/>
    <mergeCell ref="O9:P9"/>
    <mergeCell ref="Q9:R9"/>
  </mergeCells>
  <conditionalFormatting sqref="M11:N12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0015F76-B508-4909-A259-1DDD967139C0}">
          <x14:formula1>
            <xm:f>'Contract Listing'!$C$214:$C$372</xm:f>
          </x14:formula1>
          <xm:sqref>G6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B5B5-3E34-4FA6-9E44-8BFF0E308E32}">
  <sheetPr>
    <tabColor rgb="FF00B0F0"/>
  </sheetPr>
  <dimension ref="A1:DI474"/>
  <sheetViews>
    <sheetView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D13" sqref="D13"/>
    </sheetView>
  </sheetViews>
  <sheetFormatPr defaultColWidth="7.109375" defaultRowHeight="12.75" x14ac:dyDescent="0.2"/>
  <cols>
    <col min="1" max="1" width="9" style="69" customWidth="1"/>
    <col min="2" max="2" width="7.109375" style="69"/>
    <col min="3" max="3" width="6.88671875" style="69" customWidth="1"/>
    <col min="4" max="4" width="52.77734375" style="69" customWidth="1"/>
    <col min="5" max="5" width="10.33203125" style="69" customWidth="1"/>
    <col min="6" max="7" width="9.5546875" style="69" customWidth="1"/>
    <col min="8" max="110" width="13.77734375" style="69" customWidth="1"/>
    <col min="111" max="111" width="14.77734375" style="69" customWidth="1"/>
    <col min="112" max="112" width="2.5546875" style="69" customWidth="1"/>
    <col min="113" max="16384" width="7.109375" style="69"/>
  </cols>
  <sheetData>
    <row r="1" spans="1:113" x14ac:dyDescent="0.2">
      <c r="A1" s="66" t="s">
        <v>1118</v>
      </c>
      <c r="B1" s="67"/>
      <c r="C1" s="68"/>
      <c r="E1" s="66"/>
      <c r="F1" s="66"/>
      <c r="G1" s="70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2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</row>
    <row r="2" spans="1:113" x14ac:dyDescent="0.2">
      <c r="A2" s="66" t="s">
        <v>2128</v>
      </c>
      <c r="B2" s="67"/>
      <c r="C2" s="73"/>
      <c r="E2" s="66"/>
      <c r="F2" s="66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2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</row>
    <row r="3" spans="1:113" x14ac:dyDescent="0.2">
      <c r="A3" s="74" t="s">
        <v>1119</v>
      </c>
      <c r="B3" s="67"/>
      <c r="C3" s="73"/>
      <c r="E3" s="70"/>
      <c r="F3" s="70"/>
      <c r="G3" s="70"/>
      <c r="H3" s="71"/>
      <c r="I3" s="71"/>
      <c r="J3" s="75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2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</row>
    <row r="4" spans="1:113" x14ac:dyDescent="0.2">
      <c r="A4" s="66" t="s">
        <v>2127</v>
      </c>
      <c r="B4" s="67"/>
      <c r="C4" s="73"/>
      <c r="E4" s="70"/>
      <c r="F4" s="70"/>
      <c r="G4" s="70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</row>
    <row r="5" spans="1:113" ht="13.5" thickBot="1" x14ac:dyDescent="0.25">
      <c r="A5" s="67"/>
      <c r="B5" s="67"/>
      <c r="C5" s="76">
        <v>1</v>
      </c>
      <c r="D5" s="73">
        <v>2</v>
      </c>
      <c r="E5" s="76">
        <f>D5+1</f>
        <v>3</v>
      </c>
      <c r="F5" s="76">
        <f t="shared" ref="F5:BQ5" si="0">E5+1</f>
        <v>4</v>
      </c>
      <c r="G5" s="76">
        <f t="shared" si="0"/>
        <v>5</v>
      </c>
      <c r="H5" s="76">
        <f t="shared" si="0"/>
        <v>6</v>
      </c>
      <c r="I5" s="76">
        <f t="shared" si="0"/>
        <v>7</v>
      </c>
      <c r="J5" s="76">
        <f t="shared" si="0"/>
        <v>8</v>
      </c>
      <c r="K5" s="76">
        <f t="shared" si="0"/>
        <v>9</v>
      </c>
      <c r="L5" s="76">
        <f t="shared" si="0"/>
        <v>10</v>
      </c>
      <c r="M5" s="76">
        <f t="shared" si="0"/>
        <v>11</v>
      </c>
      <c r="N5" s="76">
        <f t="shared" si="0"/>
        <v>12</v>
      </c>
      <c r="O5" s="76">
        <f t="shared" si="0"/>
        <v>13</v>
      </c>
      <c r="P5" s="76">
        <f t="shared" si="0"/>
        <v>14</v>
      </c>
      <c r="Q5" s="76">
        <f t="shared" si="0"/>
        <v>15</v>
      </c>
      <c r="R5" s="76">
        <f t="shared" si="0"/>
        <v>16</v>
      </c>
      <c r="S5" s="76">
        <f t="shared" si="0"/>
        <v>17</v>
      </c>
      <c r="T5" s="76">
        <f t="shared" si="0"/>
        <v>18</v>
      </c>
      <c r="U5" s="76">
        <f t="shared" si="0"/>
        <v>19</v>
      </c>
      <c r="V5" s="76">
        <f t="shared" si="0"/>
        <v>20</v>
      </c>
      <c r="W5" s="76">
        <f t="shared" si="0"/>
        <v>21</v>
      </c>
      <c r="X5" s="76">
        <f t="shared" si="0"/>
        <v>22</v>
      </c>
      <c r="Y5" s="76">
        <f t="shared" si="0"/>
        <v>23</v>
      </c>
      <c r="Z5" s="76">
        <f t="shared" si="0"/>
        <v>24</v>
      </c>
      <c r="AA5" s="76">
        <f t="shared" si="0"/>
        <v>25</v>
      </c>
      <c r="AB5" s="76">
        <f t="shared" si="0"/>
        <v>26</v>
      </c>
      <c r="AC5" s="76">
        <f t="shared" si="0"/>
        <v>27</v>
      </c>
      <c r="AD5" s="76">
        <f t="shared" si="0"/>
        <v>28</v>
      </c>
      <c r="AE5" s="76">
        <f t="shared" si="0"/>
        <v>29</v>
      </c>
      <c r="AF5" s="76">
        <f t="shared" si="0"/>
        <v>30</v>
      </c>
      <c r="AG5" s="76">
        <f t="shared" si="0"/>
        <v>31</v>
      </c>
      <c r="AH5" s="76">
        <f t="shared" si="0"/>
        <v>32</v>
      </c>
      <c r="AI5" s="76">
        <f t="shared" si="0"/>
        <v>33</v>
      </c>
      <c r="AJ5" s="76">
        <f t="shared" si="0"/>
        <v>34</v>
      </c>
      <c r="AK5" s="76">
        <f t="shared" si="0"/>
        <v>35</v>
      </c>
      <c r="AL5" s="76">
        <f t="shared" si="0"/>
        <v>36</v>
      </c>
      <c r="AM5" s="76">
        <f t="shared" si="0"/>
        <v>37</v>
      </c>
      <c r="AN5" s="76">
        <f t="shared" si="0"/>
        <v>38</v>
      </c>
      <c r="AO5" s="76">
        <f t="shared" si="0"/>
        <v>39</v>
      </c>
      <c r="AP5" s="76">
        <f t="shared" si="0"/>
        <v>40</v>
      </c>
      <c r="AQ5" s="76">
        <f t="shared" si="0"/>
        <v>41</v>
      </c>
      <c r="AR5" s="76">
        <f t="shared" si="0"/>
        <v>42</v>
      </c>
      <c r="AS5" s="76">
        <f t="shared" si="0"/>
        <v>43</v>
      </c>
      <c r="AT5" s="76">
        <f t="shared" si="0"/>
        <v>44</v>
      </c>
      <c r="AU5" s="76">
        <f t="shared" si="0"/>
        <v>45</v>
      </c>
      <c r="AV5" s="76">
        <f t="shared" si="0"/>
        <v>46</v>
      </c>
      <c r="AW5" s="76">
        <f t="shared" si="0"/>
        <v>47</v>
      </c>
      <c r="AX5" s="76">
        <f t="shared" si="0"/>
        <v>48</v>
      </c>
      <c r="AY5" s="76">
        <f t="shared" si="0"/>
        <v>49</v>
      </c>
      <c r="AZ5" s="76">
        <f t="shared" si="0"/>
        <v>50</v>
      </c>
      <c r="BA5" s="76">
        <f t="shared" si="0"/>
        <v>51</v>
      </c>
      <c r="BB5" s="76">
        <f t="shared" si="0"/>
        <v>52</v>
      </c>
      <c r="BC5" s="76">
        <f t="shared" si="0"/>
        <v>53</v>
      </c>
      <c r="BD5" s="76">
        <f t="shared" si="0"/>
        <v>54</v>
      </c>
      <c r="BE5" s="76">
        <f t="shared" si="0"/>
        <v>55</v>
      </c>
      <c r="BF5" s="76">
        <f t="shared" si="0"/>
        <v>56</v>
      </c>
      <c r="BG5" s="76">
        <f t="shared" si="0"/>
        <v>57</v>
      </c>
      <c r="BH5" s="76">
        <f t="shared" si="0"/>
        <v>58</v>
      </c>
      <c r="BI5" s="76">
        <f t="shared" si="0"/>
        <v>59</v>
      </c>
      <c r="BJ5" s="76">
        <f t="shared" si="0"/>
        <v>60</v>
      </c>
      <c r="BK5" s="76">
        <f t="shared" si="0"/>
        <v>61</v>
      </c>
      <c r="BL5" s="76">
        <f t="shared" si="0"/>
        <v>62</v>
      </c>
      <c r="BM5" s="76">
        <f t="shared" si="0"/>
        <v>63</v>
      </c>
      <c r="BN5" s="76">
        <f t="shared" si="0"/>
        <v>64</v>
      </c>
      <c r="BO5" s="76">
        <f t="shared" si="0"/>
        <v>65</v>
      </c>
      <c r="BP5" s="76">
        <f t="shared" si="0"/>
        <v>66</v>
      </c>
      <c r="BQ5" s="76">
        <f t="shared" si="0"/>
        <v>67</v>
      </c>
      <c r="BR5" s="76">
        <f t="shared" ref="BR5:DG5" si="1">BQ5+1</f>
        <v>68</v>
      </c>
      <c r="BS5" s="76">
        <f t="shared" si="1"/>
        <v>69</v>
      </c>
      <c r="BT5" s="76">
        <f t="shared" si="1"/>
        <v>70</v>
      </c>
      <c r="BU5" s="76">
        <f t="shared" si="1"/>
        <v>71</v>
      </c>
      <c r="BV5" s="76">
        <f t="shared" si="1"/>
        <v>72</v>
      </c>
      <c r="BW5" s="76">
        <f t="shared" si="1"/>
        <v>73</v>
      </c>
      <c r="BX5" s="76">
        <f t="shared" si="1"/>
        <v>74</v>
      </c>
      <c r="BY5" s="76">
        <f t="shared" si="1"/>
        <v>75</v>
      </c>
      <c r="BZ5" s="76">
        <f t="shared" si="1"/>
        <v>76</v>
      </c>
      <c r="CA5" s="76">
        <f t="shared" si="1"/>
        <v>77</v>
      </c>
      <c r="CB5" s="76">
        <f t="shared" si="1"/>
        <v>78</v>
      </c>
      <c r="CC5" s="76">
        <f t="shared" si="1"/>
        <v>79</v>
      </c>
      <c r="CD5" s="76">
        <f t="shared" si="1"/>
        <v>80</v>
      </c>
      <c r="CE5" s="76">
        <f t="shared" si="1"/>
        <v>81</v>
      </c>
      <c r="CF5" s="76">
        <f t="shared" si="1"/>
        <v>82</v>
      </c>
      <c r="CG5" s="76">
        <f t="shared" si="1"/>
        <v>83</v>
      </c>
      <c r="CH5" s="76">
        <f t="shared" si="1"/>
        <v>84</v>
      </c>
      <c r="CI5" s="76">
        <f t="shared" si="1"/>
        <v>85</v>
      </c>
      <c r="CJ5" s="76">
        <f t="shared" si="1"/>
        <v>86</v>
      </c>
      <c r="CK5" s="76">
        <f t="shared" si="1"/>
        <v>87</v>
      </c>
      <c r="CL5" s="76">
        <f t="shared" si="1"/>
        <v>88</v>
      </c>
      <c r="CM5" s="76">
        <f t="shared" si="1"/>
        <v>89</v>
      </c>
      <c r="CN5" s="76">
        <f t="shared" si="1"/>
        <v>90</v>
      </c>
      <c r="CO5" s="76">
        <f t="shared" si="1"/>
        <v>91</v>
      </c>
      <c r="CP5" s="76">
        <f t="shared" si="1"/>
        <v>92</v>
      </c>
      <c r="CQ5" s="76">
        <f t="shared" si="1"/>
        <v>93</v>
      </c>
      <c r="CR5" s="76">
        <f t="shared" si="1"/>
        <v>94</v>
      </c>
      <c r="CS5" s="76">
        <f t="shared" si="1"/>
        <v>95</v>
      </c>
      <c r="CT5" s="76">
        <f t="shared" si="1"/>
        <v>96</v>
      </c>
      <c r="CU5" s="76">
        <f t="shared" si="1"/>
        <v>97</v>
      </c>
      <c r="CV5" s="76">
        <f t="shared" si="1"/>
        <v>98</v>
      </c>
      <c r="CW5" s="76">
        <f t="shared" si="1"/>
        <v>99</v>
      </c>
      <c r="CX5" s="76">
        <f t="shared" si="1"/>
        <v>100</v>
      </c>
      <c r="CY5" s="76">
        <f t="shared" si="1"/>
        <v>101</v>
      </c>
      <c r="CZ5" s="76">
        <f t="shared" si="1"/>
        <v>102</v>
      </c>
      <c r="DA5" s="76">
        <f t="shared" si="1"/>
        <v>103</v>
      </c>
      <c r="DB5" s="76">
        <f t="shared" si="1"/>
        <v>104</v>
      </c>
      <c r="DC5" s="76">
        <f t="shared" si="1"/>
        <v>105</v>
      </c>
      <c r="DD5" s="76">
        <f t="shared" si="1"/>
        <v>106</v>
      </c>
      <c r="DE5" s="76">
        <f t="shared" si="1"/>
        <v>107</v>
      </c>
      <c r="DF5" s="76">
        <f t="shared" si="1"/>
        <v>108</v>
      </c>
      <c r="DG5" s="76">
        <f t="shared" si="1"/>
        <v>109</v>
      </c>
    </row>
    <row r="6" spans="1:113" ht="13.5" thickBot="1" x14ac:dyDescent="0.25">
      <c r="A6" s="77"/>
      <c r="B6" s="78"/>
      <c r="C6" s="78"/>
      <c r="D6" s="78"/>
      <c r="E6" s="79"/>
      <c r="F6" s="78"/>
      <c r="G6" s="80"/>
      <c r="H6" s="81">
        <v>1</v>
      </c>
      <c r="I6" s="82" t="s">
        <v>1120</v>
      </c>
      <c r="J6" s="83">
        <v>2</v>
      </c>
      <c r="K6" s="81">
        <v>3</v>
      </c>
      <c r="L6" s="82" t="s">
        <v>1121</v>
      </c>
      <c r="M6" s="83">
        <v>4</v>
      </c>
      <c r="N6" s="82" t="s">
        <v>1122</v>
      </c>
      <c r="O6" s="83">
        <v>5</v>
      </c>
      <c r="P6" s="82" t="s">
        <v>1123</v>
      </c>
      <c r="Q6" s="83">
        <v>6</v>
      </c>
      <c r="R6" s="81">
        <v>7</v>
      </c>
      <c r="S6" s="81">
        <v>8</v>
      </c>
      <c r="T6" s="82" t="s">
        <v>1124</v>
      </c>
      <c r="U6" s="83">
        <v>9</v>
      </c>
      <c r="V6" s="81">
        <v>10</v>
      </c>
      <c r="W6" s="84" t="s">
        <v>1125</v>
      </c>
      <c r="X6" s="85">
        <v>11</v>
      </c>
      <c r="Y6" s="81">
        <v>12</v>
      </c>
      <c r="Z6" s="81">
        <v>13</v>
      </c>
      <c r="AA6" s="81">
        <v>14</v>
      </c>
      <c r="AB6" s="81">
        <v>15</v>
      </c>
      <c r="AC6" s="81">
        <v>16</v>
      </c>
      <c r="AD6" s="84" t="s">
        <v>1126</v>
      </c>
      <c r="AE6" s="85">
        <v>17</v>
      </c>
      <c r="AF6" s="81">
        <v>18</v>
      </c>
      <c r="AG6" s="86" t="s">
        <v>1127</v>
      </c>
      <c r="AH6" s="81">
        <v>19</v>
      </c>
      <c r="AI6" s="81">
        <v>20</v>
      </c>
      <c r="AJ6" s="81">
        <v>21</v>
      </c>
      <c r="AK6" s="81">
        <v>22</v>
      </c>
      <c r="AL6" s="81">
        <v>23</v>
      </c>
      <c r="AM6" s="81">
        <v>24</v>
      </c>
      <c r="AN6" s="81">
        <v>25</v>
      </c>
      <c r="AO6" s="81">
        <v>26</v>
      </c>
      <c r="AP6" s="84" t="s">
        <v>1128</v>
      </c>
      <c r="AQ6" s="85">
        <v>27</v>
      </c>
      <c r="AR6" s="81">
        <v>28</v>
      </c>
      <c r="AS6" s="81">
        <v>29</v>
      </c>
      <c r="AT6" s="81">
        <v>30</v>
      </c>
      <c r="AU6" s="84" t="s">
        <v>1129</v>
      </c>
      <c r="AV6" s="85">
        <v>31</v>
      </c>
      <c r="AW6" s="81">
        <v>35</v>
      </c>
      <c r="AX6" s="81">
        <v>36</v>
      </c>
      <c r="AY6" s="84" t="s">
        <v>1130</v>
      </c>
      <c r="AZ6" s="85">
        <v>37</v>
      </c>
      <c r="BA6" s="81">
        <v>38</v>
      </c>
      <c r="BB6" s="81">
        <v>39</v>
      </c>
      <c r="BC6" s="84" t="s">
        <v>1131</v>
      </c>
      <c r="BD6" s="85">
        <v>40</v>
      </c>
      <c r="BE6" s="81">
        <v>41</v>
      </c>
      <c r="BF6" s="81">
        <v>42</v>
      </c>
      <c r="BG6" s="84" t="s">
        <v>1132</v>
      </c>
      <c r="BH6" s="85">
        <v>43</v>
      </c>
      <c r="BI6" s="81">
        <v>44</v>
      </c>
      <c r="BJ6" s="81">
        <v>45</v>
      </c>
      <c r="BK6" s="81">
        <v>46</v>
      </c>
      <c r="BL6" s="84" t="s">
        <v>1133</v>
      </c>
      <c r="BM6" s="85">
        <v>47</v>
      </c>
      <c r="BN6" s="81">
        <v>48</v>
      </c>
      <c r="BO6" s="81">
        <v>49</v>
      </c>
      <c r="BP6" s="84" t="s">
        <v>1134</v>
      </c>
      <c r="BQ6" s="85">
        <v>50</v>
      </c>
      <c r="BR6" s="86" t="s">
        <v>1135</v>
      </c>
      <c r="BS6" s="81">
        <v>51</v>
      </c>
      <c r="BT6" s="81">
        <v>52</v>
      </c>
      <c r="BU6" s="81">
        <v>53</v>
      </c>
      <c r="BV6" s="81">
        <v>54</v>
      </c>
      <c r="BW6" s="84" t="s">
        <v>1136</v>
      </c>
      <c r="BX6" s="85">
        <v>55</v>
      </c>
      <c r="BY6" s="81">
        <v>56</v>
      </c>
      <c r="BZ6" s="81">
        <v>57</v>
      </c>
      <c r="CA6" s="84" t="s">
        <v>1137</v>
      </c>
      <c r="CB6" s="85">
        <v>58</v>
      </c>
      <c r="CC6" s="81">
        <v>59</v>
      </c>
      <c r="CD6" s="81">
        <v>60</v>
      </c>
      <c r="CE6" s="81">
        <v>61</v>
      </c>
      <c r="CF6" s="81">
        <v>62</v>
      </c>
      <c r="CG6" s="84" t="s">
        <v>1138</v>
      </c>
      <c r="CH6" s="85">
        <v>63</v>
      </c>
      <c r="CI6" s="85">
        <v>64</v>
      </c>
      <c r="CJ6" s="81">
        <v>65</v>
      </c>
      <c r="CK6" s="81">
        <v>66</v>
      </c>
      <c r="CL6" s="84" t="s">
        <v>1139</v>
      </c>
      <c r="CM6" s="85">
        <v>67</v>
      </c>
      <c r="CN6" s="81">
        <v>68</v>
      </c>
      <c r="CO6" s="81">
        <v>69</v>
      </c>
      <c r="CP6" s="81">
        <v>70</v>
      </c>
      <c r="CQ6" s="81">
        <v>71</v>
      </c>
      <c r="CR6" s="86" t="s">
        <v>1140</v>
      </c>
      <c r="CS6" s="81">
        <v>72</v>
      </c>
      <c r="CT6" s="81">
        <v>73</v>
      </c>
      <c r="CU6" s="81">
        <v>74</v>
      </c>
      <c r="CV6" s="86" t="s">
        <v>1141</v>
      </c>
      <c r="CW6" s="81">
        <v>75</v>
      </c>
      <c r="CX6" s="81">
        <v>76</v>
      </c>
      <c r="CY6" s="81">
        <v>77</v>
      </c>
      <c r="CZ6" s="81">
        <v>78</v>
      </c>
      <c r="DA6" s="81">
        <v>79</v>
      </c>
      <c r="DB6" s="81">
        <v>80</v>
      </c>
      <c r="DC6" s="86" t="s">
        <v>1142</v>
      </c>
      <c r="DD6" s="81">
        <v>81</v>
      </c>
      <c r="DE6" s="81"/>
      <c r="DF6" s="81"/>
      <c r="DG6" s="81">
        <v>82</v>
      </c>
    </row>
    <row r="7" spans="1:113" ht="13.5" thickBot="1" x14ac:dyDescent="0.25">
      <c r="A7" s="87"/>
      <c r="B7" s="88"/>
      <c r="C7" s="88"/>
      <c r="D7" s="88"/>
      <c r="E7" s="89"/>
      <c r="F7" s="88"/>
      <c r="G7" s="90"/>
      <c r="H7" s="91" t="s">
        <v>1143</v>
      </c>
      <c r="I7" s="92" t="s">
        <v>1144</v>
      </c>
      <c r="J7" s="93" t="s">
        <v>1145</v>
      </c>
      <c r="K7" s="91" t="s">
        <v>1146</v>
      </c>
      <c r="L7" s="92" t="s">
        <v>1147</v>
      </c>
      <c r="M7" s="93" t="s">
        <v>1148</v>
      </c>
      <c r="N7" s="92" t="s">
        <v>1149</v>
      </c>
      <c r="O7" s="93" t="s">
        <v>1150</v>
      </c>
      <c r="P7" s="92" t="s">
        <v>1151</v>
      </c>
      <c r="Q7" s="93" t="s">
        <v>1152</v>
      </c>
      <c r="R7" s="91" t="s">
        <v>1153</v>
      </c>
      <c r="S7" s="91" t="s">
        <v>1154</v>
      </c>
      <c r="T7" s="92" t="s">
        <v>1155</v>
      </c>
      <c r="U7" s="93" t="s">
        <v>1156</v>
      </c>
      <c r="V7" s="91" t="s">
        <v>1157</v>
      </c>
      <c r="W7" s="94" t="s">
        <v>1158</v>
      </c>
      <c r="X7" s="95" t="s">
        <v>1104</v>
      </c>
      <c r="Y7" s="91" t="s">
        <v>1159</v>
      </c>
      <c r="Z7" s="91" t="s">
        <v>1160</v>
      </c>
      <c r="AA7" s="91" t="s">
        <v>1161</v>
      </c>
      <c r="AB7" s="91" t="s">
        <v>1162</v>
      </c>
      <c r="AC7" s="91" t="s">
        <v>1163</v>
      </c>
      <c r="AD7" s="94" t="s">
        <v>1164</v>
      </c>
      <c r="AE7" s="95" t="s">
        <v>1165</v>
      </c>
      <c r="AF7" s="91" t="s">
        <v>1166</v>
      </c>
      <c r="AG7" s="96" t="s">
        <v>1167</v>
      </c>
      <c r="AH7" s="91" t="s">
        <v>1168</v>
      </c>
      <c r="AI7" s="91" t="s">
        <v>1169</v>
      </c>
      <c r="AJ7" s="91" t="s">
        <v>1170</v>
      </c>
      <c r="AK7" s="91" t="s">
        <v>1171</v>
      </c>
      <c r="AL7" s="91" t="s">
        <v>1172</v>
      </c>
      <c r="AM7" s="91" t="s">
        <v>1173</v>
      </c>
      <c r="AN7" s="91" t="s">
        <v>1174</v>
      </c>
      <c r="AO7" s="91" t="s">
        <v>1175</v>
      </c>
      <c r="AP7" s="94" t="s">
        <v>1176</v>
      </c>
      <c r="AQ7" s="95" t="s">
        <v>1177</v>
      </c>
      <c r="AR7" s="91" t="s">
        <v>1178</v>
      </c>
      <c r="AS7" s="91" t="s">
        <v>1179</v>
      </c>
      <c r="AT7" s="91" t="s">
        <v>1180</v>
      </c>
      <c r="AU7" s="94" t="s">
        <v>1181</v>
      </c>
      <c r="AV7" s="95" t="s">
        <v>1182</v>
      </c>
      <c r="AW7" s="91" t="s">
        <v>1183</v>
      </c>
      <c r="AX7" s="91" t="s">
        <v>1184</v>
      </c>
      <c r="AY7" s="94" t="s">
        <v>1185</v>
      </c>
      <c r="AZ7" s="95" t="s">
        <v>1186</v>
      </c>
      <c r="BA7" s="91" t="s">
        <v>1187</v>
      </c>
      <c r="BB7" s="91" t="s">
        <v>1188</v>
      </c>
      <c r="BC7" s="94" t="s">
        <v>1189</v>
      </c>
      <c r="BD7" s="95" t="s">
        <v>1190</v>
      </c>
      <c r="BE7" s="91" t="s">
        <v>1191</v>
      </c>
      <c r="BF7" s="91" t="s">
        <v>1192</v>
      </c>
      <c r="BG7" s="94" t="s">
        <v>1193</v>
      </c>
      <c r="BH7" s="95" t="s">
        <v>1194</v>
      </c>
      <c r="BI7" s="91" t="s">
        <v>1195</v>
      </c>
      <c r="BJ7" s="91" t="s">
        <v>1196</v>
      </c>
      <c r="BK7" s="91" t="s">
        <v>1197</v>
      </c>
      <c r="BL7" s="94" t="s">
        <v>1198</v>
      </c>
      <c r="BM7" s="95" t="s">
        <v>1199</v>
      </c>
      <c r="BN7" s="91" t="s">
        <v>1200</v>
      </c>
      <c r="BO7" s="91" t="s">
        <v>1201</v>
      </c>
      <c r="BP7" s="94" t="s">
        <v>1202</v>
      </c>
      <c r="BQ7" s="95" t="s">
        <v>1203</v>
      </c>
      <c r="BR7" s="96" t="s">
        <v>1204</v>
      </c>
      <c r="BS7" s="91" t="s">
        <v>1205</v>
      </c>
      <c r="BT7" s="91" t="s">
        <v>1206</v>
      </c>
      <c r="BU7" s="91" t="s">
        <v>1207</v>
      </c>
      <c r="BV7" s="91" t="s">
        <v>1208</v>
      </c>
      <c r="BW7" s="94" t="s">
        <v>1209</v>
      </c>
      <c r="BX7" s="95" t="s">
        <v>1210</v>
      </c>
      <c r="BY7" s="91" t="s">
        <v>1211</v>
      </c>
      <c r="BZ7" s="91" t="s">
        <v>1212</v>
      </c>
      <c r="CA7" s="94" t="s">
        <v>1213</v>
      </c>
      <c r="CB7" s="95" t="s">
        <v>1214</v>
      </c>
      <c r="CC7" s="91" t="s">
        <v>1215</v>
      </c>
      <c r="CD7" s="91" t="s">
        <v>1216</v>
      </c>
      <c r="CE7" s="91" t="s">
        <v>1217</v>
      </c>
      <c r="CF7" s="91" t="s">
        <v>1218</v>
      </c>
      <c r="CG7" s="94" t="s">
        <v>1219</v>
      </c>
      <c r="CH7" s="95" t="s">
        <v>1220</v>
      </c>
      <c r="CI7" s="95" t="s">
        <v>1221</v>
      </c>
      <c r="CJ7" s="91" t="s">
        <v>1222</v>
      </c>
      <c r="CK7" s="91" t="s">
        <v>1223</v>
      </c>
      <c r="CL7" s="94" t="s">
        <v>1224</v>
      </c>
      <c r="CM7" s="95" t="s">
        <v>1225</v>
      </c>
      <c r="CN7" s="91" t="s">
        <v>1226</v>
      </c>
      <c r="CO7" s="91" t="s">
        <v>1227</v>
      </c>
      <c r="CP7" s="91" t="s">
        <v>1228</v>
      </c>
      <c r="CQ7" s="91" t="s">
        <v>1229</v>
      </c>
      <c r="CR7" s="96" t="s">
        <v>1230</v>
      </c>
      <c r="CS7" s="91" t="s">
        <v>1231</v>
      </c>
      <c r="CT7" s="91" t="s">
        <v>1232</v>
      </c>
      <c r="CU7" s="91" t="s">
        <v>1233</v>
      </c>
      <c r="CV7" s="96" t="s">
        <v>1234</v>
      </c>
      <c r="CW7" s="91" t="s">
        <v>1235</v>
      </c>
      <c r="CX7" s="91" t="s">
        <v>1236</v>
      </c>
      <c r="CY7" s="91" t="s">
        <v>1237</v>
      </c>
      <c r="CZ7" s="91" t="s">
        <v>1238</v>
      </c>
      <c r="DA7" s="91" t="s">
        <v>1239</v>
      </c>
      <c r="DB7" s="91" t="s">
        <v>1240</v>
      </c>
      <c r="DC7" s="96" t="s">
        <v>1241</v>
      </c>
      <c r="DD7" s="91" t="s">
        <v>1242</v>
      </c>
      <c r="DE7" s="91"/>
      <c r="DF7" s="91"/>
      <c r="DG7" s="91"/>
    </row>
    <row r="8" spans="1:113" ht="90" customHeight="1" thickBot="1" x14ac:dyDescent="0.25">
      <c r="A8" s="97" t="s">
        <v>844</v>
      </c>
      <c r="B8" s="98" t="s">
        <v>843</v>
      </c>
      <c r="C8" s="98" t="s">
        <v>1243</v>
      </c>
      <c r="D8" s="98" t="s">
        <v>1244</v>
      </c>
      <c r="E8" s="99" t="s">
        <v>1245</v>
      </c>
      <c r="F8" s="98" t="s">
        <v>1246</v>
      </c>
      <c r="G8" s="100" t="s">
        <v>1247</v>
      </c>
      <c r="H8" s="101" t="s">
        <v>1043</v>
      </c>
      <c r="I8" s="92" t="s">
        <v>1248</v>
      </c>
      <c r="J8" s="102" t="s">
        <v>1045</v>
      </c>
      <c r="K8" s="101" t="s">
        <v>1047</v>
      </c>
      <c r="L8" s="92" t="s">
        <v>1249</v>
      </c>
      <c r="M8" s="102" t="s">
        <v>1050</v>
      </c>
      <c r="N8" s="92" t="s">
        <v>1250</v>
      </c>
      <c r="O8" s="102" t="s">
        <v>985</v>
      </c>
      <c r="P8" s="92" t="s">
        <v>1251</v>
      </c>
      <c r="Q8" s="102" t="s">
        <v>984</v>
      </c>
      <c r="R8" s="101" t="s">
        <v>1055</v>
      </c>
      <c r="S8" s="101" t="s">
        <v>1056</v>
      </c>
      <c r="T8" s="92" t="s">
        <v>1252</v>
      </c>
      <c r="U8" s="102" t="s">
        <v>1057</v>
      </c>
      <c r="V8" s="101" t="s">
        <v>1058</v>
      </c>
      <c r="W8" s="94" t="s">
        <v>1253</v>
      </c>
      <c r="X8" s="103" t="s">
        <v>1005</v>
      </c>
      <c r="Y8" s="101" t="s">
        <v>1059</v>
      </c>
      <c r="Z8" s="101" t="s">
        <v>1060</v>
      </c>
      <c r="AA8" s="101" t="s">
        <v>1061</v>
      </c>
      <c r="AB8" s="101" t="s">
        <v>1062</v>
      </c>
      <c r="AC8" s="101" t="s">
        <v>1063</v>
      </c>
      <c r="AD8" s="94" t="s">
        <v>1254</v>
      </c>
      <c r="AE8" s="103" t="s">
        <v>1064</v>
      </c>
      <c r="AF8" s="101" t="s">
        <v>1065</v>
      </c>
      <c r="AG8" s="96" t="s">
        <v>1255</v>
      </c>
      <c r="AH8" s="101" t="s">
        <v>1066</v>
      </c>
      <c r="AI8" s="101" t="s">
        <v>1067</v>
      </c>
      <c r="AJ8" s="101" t="s">
        <v>1256</v>
      </c>
      <c r="AK8" s="101" t="s">
        <v>996</v>
      </c>
      <c r="AL8" s="101" t="s">
        <v>862</v>
      </c>
      <c r="AM8" s="101" t="s">
        <v>1068</v>
      </c>
      <c r="AN8" s="101" t="s">
        <v>1257</v>
      </c>
      <c r="AO8" s="101" t="s">
        <v>1258</v>
      </c>
      <c r="AP8" s="94" t="s">
        <v>1259</v>
      </c>
      <c r="AQ8" s="103" t="s">
        <v>1260</v>
      </c>
      <c r="AR8" s="101" t="s">
        <v>1007</v>
      </c>
      <c r="AS8" s="101" t="s">
        <v>1072</v>
      </c>
      <c r="AT8" s="101" t="s">
        <v>1261</v>
      </c>
      <c r="AU8" s="94" t="s">
        <v>1262</v>
      </c>
      <c r="AV8" s="103" t="s">
        <v>1263</v>
      </c>
      <c r="AW8" s="101" t="s">
        <v>1073</v>
      </c>
      <c r="AX8" s="101" t="s">
        <v>1074</v>
      </c>
      <c r="AY8" s="94" t="s">
        <v>1264</v>
      </c>
      <c r="AZ8" s="103" t="s">
        <v>1075</v>
      </c>
      <c r="BA8" s="101" t="s">
        <v>1076</v>
      </c>
      <c r="BB8" s="101" t="s">
        <v>863</v>
      </c>
      <c r="BC8" s="94" t="s">
        <v>1265</v>
      </c>
      <c r="BD8" s="103" t="s">
        <v>1077</v>
      </c>
      <c r="BE8" s="101" t="s">
        <v>1078</v>
      </c>
      <c r="BF8" s="101" t="s">
        <v>864</v>
      </c>
      <c r="BG8" s="94" t="s">
        <v>1266</v>
      </c>
      <c r="BH8" s="103" t="s">
        <v>1079</v>
      </c>
      <c r="BI8" s="101" t="s">
        <v>1080</v>
      </c>
      <c r="BJ8" s="101" t="s">
        <v>865</v>
      </c>
      <c r="BK8" s="101" t="s">
        <v>866</v>
      </c>
      <c r="BL8" s="94" t="s">
        <v>1267</v>
      </c>
      <c r="BM8" s="103" t="s">
        <v>1081</v>
      </c>
      <c r="BN8" s="101" t="s">
        <v>1082</v>
      </c>
      <c r="BO8" s="101" t="s">
        <v>867</v>
      </c>
      <c r="BP8" s="94" t="s">
        <v>1268</v>
      </c>
      <c r="BQ8" s="103" t="s">
        <v>1083</v>
      </c>
      <c r="BR8" s="96" t="s">
        <v>1269</v>
      </c>
      <c r="BS8" s="101" t="s">
        <v>1084</v>
      </c>
      <c r="BT8" s="101" t="s">
        <v>1085</v>
      </c>
      <c r="BU8" s="101" t="s">
        <v>1086</v>
      </c>
      <c r="BV8" s="101" t="s">
        <v>868</v>
      </c>
      <c r="BW8" s="94" t="s">
        <v>1270</v>
      </c>
      <c r="BX8" s="103" t="s">
        <v>1087</v>
      </c>
      <c r="BY8" s="101" t="s">
        <v>1105</v>
      </c>
      <c r="BZ8" s="101" t="s">
        <v>827</v>
      </c>
      <c r="CA8" s="94" t="s">
        <v>1271</v>
      </c>
      <c r="CB8" s="103" t="s">
        <v>1106</v>
      </c>
      <c r="CC8" s="101" t="s">
        <v>1088</v>
      </c>
      <c r="CD8" s="101" t="s">
        <v>812</v>
      </c>
      <c r="CE8" s="101" t="s">
        <v>869</v>
      </c>
      <c r="CF8" s="101" t="s">
        <v>870</v>
      </c>
      <c r="CG8" s="94" t="s">
        <v>1272</v>
      </c>
      <c r="CH8" s="103" t="s">
        <v>1089</v>
      </c>
      <c r="CI8" s="103" t="s">
        <v>1090</v>
      </c>
      <c r="CJ8" s="101" t="s">
        <v>816</v>
      </c>
      <c r="CK8" s="101" t="s">
        <v>871</v>
      </c>
      <c r="CL8" s="94" t="s">
        <v>1273</v>
      </c>
      <c r="CM8" s="103" t="s">
        <v>1091</v>
      </c>
      <c r="CN8" s="101" t="s">
        <v>1092</v>
      </c>
      <c r="CO8" s="101" t="s">
        <v>818</v>
      </c>
      <c r="CP8" s="101" t="s">
        <v>872</v>
      </c>
      <c r="CQ8" s="101" t="s">
        <v>829</v>
      </c>
      <c r="CR8" s="96" t="s">
        <v>1274</v>
      </c>
      <c r="CS8" s="101" t="s">
        <v>1093</v>
      </c>
      <c r="CT8" s="101" t="s">
        <v>1094</v>
      </c>
      <c r="CU8" s="101" t="s">
        <v>820</v>
      </c>
      <c r="CV8" s="96" t="s">
        <v>1275</v>
      </c>
      <c r="CW8" s="101" t="s">
        <v>1095</v>
      </c>
      <c r="CX8" s="101" t="s">
        <v>1096</v>
      </c>
      <c r="CY8" s="101" t="s">
        <v>1097</v>
      </c>
      <c r="CZ8" s="101" t="s">
        <v>1098</v>
      </c>
      <c r="DA8" s="101" t="s">
        <v>824</v>
      </c>
      <c r="DB8" s="101" t="s">
        <v>873</v>
      </c>
      <c r="DC8" s="96" t="s">
        <v>1276</v>
      </c>
      <c r="DD8" s="101" t="s">
        <v>983</v>
      </c>
      <c r="DE8" s="101"/>
      <c r="DF8" s="101" t="s">
        <v>1277</v>
      </c>
      <c r="DG8" s="101" t="s">
        <v>1278</v>
      </c>
      <c r="DI8" s="104"/>
    </row>
    <row r="9" spans="1:113" ht="15" customHeight="1" thickBot="1" x14ac:dyDescent="0.25">
      <c r="A9" s="105"/>
      <c r="B9" s="106"/>
      <c r="C9" s="106"/>
      <c r="D9" s="106" t="s">
        <v>1279</v>
      </c>
      <c r="E9" s="106"/>
      <c r="F9" s="106"/>
      <c r="G9" s="107"/>
      <c r="H9" s="108" t="s">
        <v>1280</v>
      </c>
      <c r="I9" s="109"/>
      <c r="J9" s="110" t="s">
        <v>1281</v>
      </c>
      <c r="K9" s="108" t="s">
        <v>1282</v>
      </c>
      <c r="L9" s="109"/>
      <c r="M9" s="110" t="s">
        <v>1283</v>
      </c>
      <c r="N9" s="109"/>
      <c r="O9" s="110" t="s">
        <v>1284</v>
      </c>
      <c r="P9" s="109"/>
      <c r="Q9" s="110" t="s">
        <v>1285</v>
      </c>
      <c r="R9" s="108" t="s">
        <v>1286</v>
      </c>
      <c r="S9" s="108" t="s">
        <v>934</v>
      </c>
      <c r="T9" s="109"/>
      <c r="U9" s="110" t="s">
        <v>1287</v>
      </c>
      <c r="V9" s="108" t="s">
        <v>1288</v>
      </c>
      <c r="W9" s="111"/>
      <c r="X9" s="112" t="s">
        <v>1289</v>
      </c>
      <c r="Y9" s="108" t="s">
        <v>1290</v>
      </c>
      <c r="Z9" s="108" t="s">
        <v>935</v>
      </c>
      <c r="AA9" s="108" t="s">
        <v>1291</v>
      </c>
      <c r="AB9" s="108" t="s">
        <v>1292</v>
      </c>
      <c r="AC9" s="108" t="s">
        <v>1293</v>
      </c>
      <c r="AD9" s="111"/>
      <c r="AE9" s="112" t="s">
        <v>1294</v>
      </c>
      <c r="AF9" s="108" t="s">
        <v>1295</v>
      </c>
      <c r="AG9" s="108"/>
      <c r="AH9" s="108" t="s">
        <v>1296</v>
      </c>
      <c r="AI9" s="108" t="s">
        <v>1297</v>
      </c>
      <c r="AJ9" s="108" t="s">
        <v>1298</v>
      </c>
      <c r="AK9" s="108" t="s">
        <v>1299</v>
      </c>
      <c r="AL9" s="108" t="s">
        <v>936</v>
      </c>
      <c r="AM9" s="108" t="s">
        <v>1300</v>
      </c>
      <c r="AN9" s="108" t="s">
        <v>1301</v>
      </c>
      <c r="AO9" s="108" t="s">
        <v>937</v>
      </c>
      <c r="AP9" s="111"/>
      <c r="AQ9" s="112" t="s">
        <v>1302</v>
      </c>
      <c r="AR9" s="108" t="s">
        <v>1303</v>
      </c>
      <c r="AS9" s="108" t="s">
        <v>938</v>
      </c>
      <c r="AT9" s="108" t="s">
        <v>1304</v>
      </c>
      <c r="AU9" s="111"/>
      <c r="AV9" s="112" t="s">
        <v>1305</v>
      </c>
      <c r="AW9" s="108" t="s">
        <v>1306</v>
      </c>
      <c r="AX9" s="108" t="s">
        <v>939</v>
      </c>
      <c r="AY9" s="111"/>
      <c r="AZ9" s="112" t="s">
        <v>1307</v>
      </c>
      <c r="BA9" s="108" t="s">
        <v>1308</v>
      </c>
      <c r="BB9" s="108" t="s">
        <v>940</v>
      </c>
      <c r="BC9" s="111"/>
      <c r="BD9" s="112" t="s">
        <v>1309</v>
      </c>
      <c r="BE9" s="108" t="s">
        <v>1310</v>
      </c>
      <c r="BF9" s="108" t="s">
        <v>941</v>
      </c>
      <c r="BG9" s="111"/>
      <c r="BH9" s="112" t="s">
        <v>1311</v>
      </c>
      <c r="BI9" s="108" t="s">
        <v>1312</v>
      </c>
      <c r="BJ9" s="108" t="s">
        <v>942</v>
      </c>
      <c r="BK9" s="108" t="s">
        <v>943</v>
      </c>
      <c r="BL9" s="111"/>
      <c r="BM9" s="112" t="s">
        <v>1313</v>
      </c>
      <c r="BN9" s="108" t="s">
        <v>1314</v>
      </c>
      <c r="BO9" s="108" t="s">
        <v>944</v>
      </c>
      <c r="BP9" s="111"/>
      <c r="BQ9" s="112" t="s">
        <v>1315</v>
      </c>
      <c r="BR9" s="108"/>
      <c r="BS9" s="108" t="s">
        <v>1316</v>
      </c>
      <c r="BT9" s="108" t="s">
        <v>1317</v>
      </c>
      <c r="BU9" s="108" t="s">
        <v>945</v>
      </c>
      <c r="BV9" s="108" t="s">
        <v>946</v>
      </c>
      <c r="BW9" s="111"/>
      <c r="BX9" s="112" t="s">
        <v>1318</v>
      </c>
      <c r="BY9" s="108" t="s">
        <v>1319</v>
      </c>
      <c r="BZ9" s="108" t="s">
        <v>947</v>
      </c>
      <c r="CA9" s="111"/>
      <c r="CB9" s="112" t="s">
        <v>1320</v>
      </c>
      <c r="CC9" s="108" t="s">
        <v>1321</v>
      </c>
      <c r="CD9" s="108" t="s">
        <v>948</v>
      </c>
      <c r="CE9" s="108" t="s">
        <v>949</v>
      </c>
      <c r="CF9" s="108" t="s">
        <v>950</v>
      </c>
      <c r="CG9" s="111"/>
      <c r="CH9" s="112" t="s">
        <v>1322</v>
      </c>
      <c r="CI9" s="112" t="s">
        <v>1323</v>
      </c>
      <c r="CJ9" s="108" t="s">
        <v>951</v>
      </c>
      <c r="CK9" s="108" t="s">
        <v>952</v>
      </c>
      <c r="CL9" s="111"/>
      <c r="CM9" s="112" t="s">
        <v>1324</v>
      </c>
      <c r="CN9" s="108" t="s">
        <v>1325</v>
      </c>
      <c r="CO9" s="108" t="s">
        <v>953</v>
      </c>
      <c r="CP9" s="108" t="s">
        <v>954</v>
      </c>
      <c r="CQ9" s="108" t="s">
        <v>955</v>
      </c>
      <c r="CR9" s="108"/>
      <c r="CS9" s="108" t="s">
        <v>1326</v>
      </c>
      <c r="CT9" s="108" t="s">
        <v>1327</v>
      </c>
      <c r="CU9" s="108" t="s">
        <v>956</v>
      </c>
      <c r="CV9" s="108"/>
      <c r="CW9" s="108" t="s">
        <v>1328</v>
      </c>
      <c r="CX9" s="108" t="s">
        <v>957</v>
      </c>
      <c r="CY9" s="108" t="s">
        <v>1329</v>
      </c>
      <c r="CZ9" s="108" t="s">
        <v>1330</v>
      </c>
      <c r="DA9" s="108" t="s">
        <v>958</v>
      </c>
      <c r="DB9" s="108" t="s">
        <v>959</v>
      </c>
      <c r="DC9" s="108"/>
      <c r="DD9" s="108" t="s">
        <v>1331</v>
      </c>
      <c r="DE9" s="108"/>
      <c r="DF9" s="108"/>
      <c r="DG9" s="108"/>
    </row>
    <row r="10" spans="1:113" s="125" customFormat="1" ht="17.100000000000001" customHeight="1" x14ac:dyDescent="0.25">
      <c r="A10" s="113"/>
      <c r="B10" s="114"/>
      <c r="C10" s="115"/>
      <c r="D10" s="116"/>
      <c r="E10" s="117"/>
      <c r="F10" s="115"/>
      <c r="G10" s="118"/>
      <c r="H10" s="119"/>
      <c r="I10" s="120"/>
      <c r="J10" s="121"/>
      <c r="K10" s="119"/>
      <c r="L10" s="120"/>
      <c r="M10" s="121"/>
      <c r="N10" s="120"/>
      <c r="O10" s="121"/>
      <c r="P10" s="120"/>
      <c r="Q10" s="121"/>
      <c r="R10" s="119"/>
      <c r="S10" s="119"/>
      <c r="T10" s="120"/>
      <c r="U10" s="121"/>
      <c r="V10" s="119"/>
      <c r="W10" s="122"/>
      <c r="X10" s="123"/>
      <c r="Y10" s="119"/>
      <c r="Z10" s="119"/>
      <c r="AA10" s="119"/>
      <c r="AB10" s="119"/>
      <c r="AC10" s="119"/>
      <c r="AD10" s="122"/>
      <c r="AE10" s="123"/>
      <c r="AF10" s="119"/>
      <c r="AG10" s="124"/>
      <c r="AH10" s="119"/>
      <c r="AI10" s="119"/>
      <c r="AJ10" s="119"/>
      <c r="AK10" s="119"/>
      <c r="AL10" s="119"/>
      <c r="AM10" s="119"/>
      <c r="AN10" s="119"/>
      <c r="AO10" s="119"/>
      <c r="AP10" s="122"/>
      <c r="AQ10" s="123"/>
      <c r="AR10" s="119"/>
      <c r="AS10" s="119"/>
      <c r="AT10" s="119"/>
      <c r="AU10" s="122"/>
      <c r="AV10" s="123"/>
      <c r="AW10" s="119"/>
      <c r="AX10" s="119"/>
      <c r="AY10" s="122"/>
      <c r="AZ10" s="123"/>
      <c r="BA10" s="119"/>
      <c r="BB10" s="119"/>
      <c r="BC10" s="122"/>
      <c r="BD10" s="123"/>
      <c r="BE10" s="119"/>
      <c r="BF10" s="119"/>
      <c r="BG10" s="122"/>
      <c r="BH10" s="123"/>
      <c r="BI10" s="119"/>
      <c r="BJ10" s="119"/>
      <c r="BK10" s="119"/>
      <c r="BL10" s="122"/>
      <c r="BM10" s="123"/>
      <c r="BN10" s="119"/>
      <c r="BO10" s="119"/>
      <c r="BP10" s="122"/>
      <c r="BQ10" s="123"/>
      <c r="BR10" s="124"/>
      <c r="BS10" s="119"/>
      <c r="BT10" s="119"/>
      <c r="BU10" s="119"/>
      <c r="BV10" s="119"/>
      <c r="BW10" s="122"/>
      <c r="BX10" s="123"/>
      <c r="BY10" s="119"/>
      <c r="BZ10" s="119"/>
      <c r="CA10" s="122"/>
      <c r="CB10" s="123"/>
      <c r="CC10" s="119"/>
      <c r="CD10" s="119"/>
      <c r="CE10" s="119"/>
      <c r="CF10" s="119"/>
      <c r="CG10" s="122"/>
      <c r="CH10" s="123"/>
      <c r="CI10" s="123"/>
      <c r="CJ10" s="119"/>
      <c r="CK10" s="119"/>
      <c r="CL10" s="122"/>
      <c r="CM10" s="123"/>
      <c r="CN10" s="119"/>
      <c r="CO10" s="119"/>
      <c r="CP10" s="119"/>
      <c r="CQ10" s="119"/>
      <c r="CR10" s="124"/>
      <c r="CS10" s="119"/>
      <c r="CT10" s="119"/>
      <c r="CU10" s="119"/>
      <c r="CV10" s="124"/>
      <c r="CW10" s="119"/>
      <c r="CX10" s="119"/>
      <c r="CY10" s="119"/>
      <c r="CZ10" s="119"/>
      <c r="DA10" s="119"/>
      <c r="DB10" s="119"/>
      <c r="DC10" s="124"/>
      <c r="DD10" s="119"/>
      <c r="DE10" s="119"/>
      <c r="DF10" s="119"/>
      <c r="DG10" s="119">
        <f>SUM(H10,J10,K10,M10,O10,Q10,R10,S10,U10,V10,X10,Y10,Z10,AA10,AB10,AC10,AE10,AF10,AH10,AI10,AJ10,AK10,AL10,AM10,AN10,AO10,AQ10,AR10,AS10,AT10,AV10,AW10,AX10,AZ10,BA10,BB10,BD10,BE10,BF10,BH10,BI10,BJ10,BK10,BM10,BN10,BO10,BQ10,BS10,BT10,BU10,BV10,BX10,BY10,BZ10,CB10,CC10,CD10,CE10,CF10,CH10,CI10,CJ10,CK10,CM10,CN10,CO10,CP10,CQ10,CS10,CT10,CU10,CW10,CX10,CY10,CZ10,DA10,DB10,DD10)</f>
        <v>0</v>
      </c>
    </row>
    <row r="11" spans="1:113" s="125" customFormat="1" ht="17.100000000000001" customHeight="1" x14ac:dyDescent="0.25">
      <c r="A11" s="126"/>
      <c r="B11" s="127"/>
      <c r="C11" s="128"/>
      <c r="D11" s="129"/>
      <c r="E11" s="130"/>
      <c r="F11" s="128"/>
      <c r="G11" s="131"/>
      <c r="H11" s="132"/>
      <c r="I11" s="133"/>
      <c r="J11" s="134"/>
      <c r="K11" s="132"/>
      <c r="L11" s="133"/>
      <c r="M11" s="134"/>
      <c r="N11" s="133"/>
      <c r="O11" s="134"/>
      <c r="P11" s="133"/>
      <c r="Q11" s="134"/>
      <c r="R11" s="132"/>
      <c r="S11" s="132"/>
      <c r="T11" s="133"/>
      <c r="U11" s="134"/>
      <c r="V11" s="132"/>
      <c r="W11" s="135"/>
      <c r="X11" s="136"/>
      <c r="Y11" s="132"/>
      <c r="Z11" s="132"/>
      <c r="AA11" s="132"/>
      <c r="AB11" s="132"/>
      <c r="AC11" s="132"/>
      <c r="AD11" s="135"/>
      <c r="AE11" s="136"/>
      <c r="AF11" s="132"/>
      <c r="AG11" s="137"/>
      <c r="AH11" s="132"/>
      <c r="AI11" s="132"/>
      <c r="AJ11" s="132"/>
      <c r="AK11" s="132"/>
      <c r="AL11" s="132"/>
      <c r="AM11" s="132"/>
      <c r="AN11" s="132"/>
      <c r="AO11" s="132"/>
      <c r="AP11" s="135"/>
      <c r="AQ11" s="136"/>
      <c r="AR11" s="132"/>
      <c r="AS11" s="132"/>
      <c r="AT11" s="132"/>
      <c r="AU11" s="135"/>
      <c r="AV11" s="136"/>
      <c r="AW11" s="132"/>
      <c r="AX11" s="132"/>
      <c r="AY11" s="135"/>
      <c r="AZ11" s="136"/>
      <c r="BA11" s="132"/>
      <c r="BB11" s="132"/>
      <c r="BC11" s="135"/>
      <c r="BD11" s="136"/>
      <c r="BE11" s="132"/>
      <c r="BF11" s="132"/>
      <c r="BG11" s="135"/>
      <c r="BH11" s="136"/>
      <c r="BI11" s="132"/>
      <c r="BJ11" s="132"/>
      <c r="BK11" s="132"/>
      <c r="BL11" s="135"/>
      <c r="BM11" s="136"/>
      <c r="BN11" s="132"/>
      <c r="BO11" s="132"/>
      <c r="BP11" s="135"/>
      <c r="BQ11" s="136"/>
      <c r="BR11" s="137"/>
      <c r="BS11" s="132"/>
      <c r="BT11" s="132"/>
      <c r="BU11" s="132"/>
      <c r="BV11" s="132"/>
      <c r="BW11" s="135"/>
      <c r="BX11" s="136"/>
      <c r="BY11" s="132"/>
      <c r="BZ11" s="132"/>
      <c r="CA11" s="135"/>
      <c r="CB11" s="136"/>
      <c r="CC11" s="132"/>
      <c r="CD11" s="132"/>
      <c r="CE11" s="132"/>
      <c r="CF11" s="132"/>
      <c r="CG11" s="135"/>
      <c r="CH11" s="136"/>
      <c r="CI11" s="136"/>
      <c r="CJ11" s="132"/>
      <c r="CK11" s="132"/>
      <c r="CL11" s="135"/>
      <c r="CM11" s="136"/>
      <c r="CN11" s="132"/>
      <c r="CO11" s="132"/>
      <c r="CP11" s="132"/>
      <c r="CQ11" s="132"/>
      <c r="CR11" s="137"/>
      <c r="CS11" s="132"/>
      <c r="CT11" s="132"/>
      <c r="CU11" s="132"/>
      <c r="CV11" s="137"/>
      <c r="CW11" s="132"/>
      <c r="CX11" s="132"/>
      <c r="CY11" s="132"/>
      <c r="CZ11" s="132"/>
      <c r="DA11" s="132"/>
      <c r="DB11" s="132"/>
      <c r="DC11" s="137"/>
      <c r="DD11" s="132"/>
      <c r="DE11" s="132"/>
      <c r="DF11" s="132"/>
      <c r="DG11" s="132">
        <f t="shared" ref="DG11:DG74" si="2">SUM(H11,J11,K11,M11,O11,Q11,R11,S11,U11,V11,X11,Y11,Z11,AA11,AB11,AC11,AE11,AF11,AH11,AI11,AJ11,AK11,AL11,AM11,AN11,AO11,AQ11,AR11,AS11,AT11,AV11,AW11,AX11,AZ11,BA11,BB11,BD11,BE11,BF11,BH11,BI11,BJ11,BK11,BM11,BN11,BO11,BQ11,BS11,BT11,BU11,BV11,BX11,BY11,BZ11,CB11,CC11,CD11,CE11,CF11,CH11,CI11,CJ11,CK11,CM11,CN11,CO11,CP11,CQ11,CS11,CT11,CU11,CW11,CX11,CY11,CZ11,DA11,DB11,DD11)</f>
        <v>0</v>
      </c>
    </row>
    <row r="12" spans="1:113" s="125" customFormat="1" ht="17.100000000000001" customHeight="1" x14ac:dyDescent="0.25">
      <c r="A12" s="126"/>
      <c r="B12" s="127"/>
      <c r="C12" s="128"/>
      <c r="D12" s="129"/>
      <c r="E12" s="130"/>
      <c r="F12" s="138"/>
      <c r="G12" s="138"/>
      <c r="H12" s="132"/>
      <c r="I12" s="133"/>
      <c r="J12" s="134"/>
      <c r="K12" s="132"/>
      <c r="L12" s="133"/>
      <c r="M12" s="134"/>
      <c r="N12" s="133"/>
      <c r="O12" s="134"/>
      <c r="P12" s="133"/>
      <c r="Q12" s="134"/>
      <c r="R12" s="132"/>
      <c r="S12" s="132"/>
      <c r="T12" s="133"/>
      <c r="U12" s="139"/>
      <c r="V12" s="132"/>
      <c r="W12" s="135"/>
      <c r="X12" s="136"/>
      <c r="Y12" s="132"/>
      <c r="Z12" s="132"/>
      <c r="AA12" s="132"/>
      <c r="AB12" s="132"/>
      <c r="AC12" s="132"/>
      <c r="AD12" s="135"/>
      <c r="AE12" s="136"/>
      <c r="AF12" s="132"/>
      <c r="AG12" s="137"/>
      <c r="AH12" s="132"/>
      <c r="AI12" s="132"/>
      <c r="AJ12" s="132"/>
      <c r="AK12" s="132"/>
      <c r="AL12" s="132"/>
      <c r="AM12" s="132"/>
      <c r="AN12" s="132"/>
      <c r="AO12" s="132"/>
      <c r="AP12" s="135"/>
      <c r="AQ12" s="136"/>
      <c r="AR12" s="132"/>
      <c r="AS12" s="132"/>
      <c r="AT12" s="132"/>
      <c r="AU12" s="135"/>
      <c r="AV12" s="136"/>
      <c r="AW12" s="132"/>
      <c r="AX12" s="132"/>
      <c r="AY12" s="135"/>
      <c r="AZ12" s="136"/>
      <c r="BA12" s="132"/>
      <c r="BB12" s="132"/>
      <c r="BC12" s="135"/>
      <c r="BD12" s="136"/>
      <c r="BE12" s="132"/>
      <c r="BF12" s="132"/>
      <c r="BG12" s="135"/>
      <c r="BH12" s="136"/>
      <c r="BI12" s="132"/>
      <c r="BJ12" s="132"/>
      <c r="BK12" s="132"/>
      <c r="BL12" s="135"/>
      <c r="BM12" s="136"/>
      <c r="BN12" s="132"/>
      <c r="BO12" s="132"/>
      <c r="BP12" s="135"/>
      <c r="BQ12" s="136"/>
      <c r="BR12" s="137"/>
      <c r="BS12" s="132"/>
      <c r="BT12" s="140"/>
      <c r="BU12" s="132"/>
      <c r="BV12" s="132"/>
      <c r="BW12" s="135"/>
      <c r="BX12" s="136"/>
      <c r="BY12" s="132"/>
      <c r="BZ12" s="132"/>
      <c r="CA12" s="135"/>
      <c r="CB12" s="136"/>
      <c r="CC12" s="132"/>
      <c r="CD12" s="132"/>
      <c r="CE12" s="132"/>
      <c r="CF12" s="132"/>
      <c r="CG12" s="135"/>
      <c r="CH12" s="136"/>
      <c r="CI12" s="136"/>
      <c r="CJ12" s="140"/>
      <c r="CK12" s="140"/>
      <c r="CL12" s="135"/>
      <c r="CM12" s="136"/>
      <c r="CN12" s="132"/>
      <c r="CO12" s="132"/>
      <c r="CP12" s="132"/>
      <c r="CQ12" s="132"/>
      <c r="CR12" s="137"/>
      <c r="CS12" s="132"/>
      <c r="CT12" s="132"/>
      <c r="CU12" s="132"/>
      <c r="CV12" s="137"/>
      <c r="CW12" s="132"/>
      <c r="CX12" s="132"/>
      <c r="CY12" s="132"/>
      <c r="CZ12" s="140"/>
      <c r="DA12" s="140"/>
      <c r="DB12" s="140"/>
      <c r="DC12" s="141"/>
      <c r="DD12" s="132"/>
      <c r="DE12" s="132"/>
      <c r="DF12" s="132"/>
      <c r="DG12" s="132">
        <f t="shared" si="2"/>
        <v>0</v>
      </c>
    </row>
    <row r="13" spans="1:113" s="125" customFormat="1" ht="17.100000000000001" customHeight="1" x14ac:dyDescent="0.25">
      <c r="A13" s="126"/>
      <c r="B13" s="127"/>
      <c r="C13" s="142"/>
      <c r="D13" s="129"/>
      <c r="E13" s="130"/>
      <c r="F13" s="131"/>
      <c r="G13" s="131"/>
      <c r="H13" s="132"/>
      <c r="I13" s="133"/>
      <c r="J13" s="134"/>
      <c r="K13" s="132"/>
      <c r="L13" s="133"/>
      <c r="M13" s="134"/>
      <c r="N13" s="133"/>
      <c r="O13" s="134"/>
      <c r="P13" s="133"/>
      <c r="Q13" s="134"/>
      <c r="R13" s="132"/>
      <c r="S13" s="132"/>
      <c r="T13" s="133"/>
      <c r="U13" s="134"/>
      <c r="V13" s="132"/>
      <c r="W13" s="135"/>
      <c r="X13" s="136"/>
      <c r="Y13" s="132"/>
      <c r="Z13" s="132"/>
      <c r="AA13" s="132"/>
      <c r="AB13" s="132"/>
      <c r="AC13" s="132"/>
      <c r="AD13" s="135"/>
      <c r="AE13" s="136"/>
      <c r="AF13" s="132"/>
      <c r="AG13" s="137"/>
      <c r="AH13" s="132"/>
      <c r="AI13" s="132"/>
      <c r="AJ13" s="132"/>
      <c r="AK13" s="132"/>
      <c r="AL13" s="132"/>
      <c r="AM13" s="132"/>
      <c r="AN13" s="132"/>
      <c r="AO13" s="132"/>
      <c r="AP13" s="135"/>
      <c r="AQ13" s="136"/>
      <c r="AR13" s="132"/>
      <c r="AS13" s="132"/>
      <c r="AT13" s="132"/>
      <c r="AU13" s="135"/>
      <c r="AV13" s="136"/>
      <c r="AW13" s="132"/>
      <c r="AX13" s="132"/>
      <c r="AY13" s="135"/>
      <c r="AZ13" s="136"/>
      <c r="BA13" s="132"/>
      <c r="BB13" s="132"/>
      <c r="BC13" s="135"/>
      <c r="BD13" s="136"/>
      <c r="BE13" s="132"/>
      <c r="BF13" s="132"/>
      <c r="BG13" s="135"/>
      <c r="BH13" s="136"/>
      <c r="BI13" s="132"/>
      <c r="BJ13" s="132"/>
      <c r="BK13" s="132"/>
      <c r="BL13" s="135"/>
      <c r="BM13" s="136"/>
      <c r="BN13" s="132"/>
      <c r="BO13" s="132"/>
      <c r="BP13" s="135"/>
      <c r="BQ13" s="136"/>
      <c r="BR13" s="137"/>
      <c r="BS13" s="132"/>
      <c r="BT13" s="132"/>
      <c r="BU13" s="132"/>
      <c r="BV13" s="132"/>
      <c r="BW13" s="135"/>
      <c r="BX13" s="136"/>
      <c r="BY13" s="132"/>
      <c r="BZ13" s="132"/>
      <c r="CA13" s="135"/>
      <c r="CB13" s="136"/>
      <c r="CC13" s="132"/>
      <c r="CD13" s="132"/>
      <c r="CE13" s="132"/>
      <c r="CF13" s="132"/>
      <c r="CG13" s="135"/>
      <c r="CH13" s="136"/>
      <c r="CI13" s="136"/>
      <c r="CJ13" s="132"/>
      <c r="CK13" s="132"/>
      <c r="CL13" s="135"/>
      <c r="CM13" s="136"/>
      <c r="CN13" s="132"/>
      <c r="CO13" s="132"/>
      <c r="CP13" s="132"/>
      <c r="CQ13" s="132"/>
      <c r="CR13" s="137"/>
      <c r="CS13" s="132"/>
      <c r="CT13" s="132"/>
      <c r="CU13" s="132"/>
      <c r="CV13" s="137"/>
      <c r="CW13" s="132"/>
      <c r="CX13" s="132"/>
      <c r="CY13" s="132"/>
      <c r="CZ13" s="132"/>
      <c r="DA13" s="132"/>
      <c r="DB13" s="132"/>
      <c r="DC13" s="137"/>
      <c r="DD13" s="132"/>
      <c r="DE13" s="132"/>
      <c r="DF13" s="132"/>
      <c r="DG13" s="132">
        <f t="shared" si="2"/>
        <v>0</v>
      </c>
    </row>
    <row r="14" spans="1:113" s="125" customFormat="1" ht="17.100000000000001" customHeight="1" x14ac:dyDescent="0.25">
      <c r="A14" s="126"/>
      <c r="B14" s="127"/>
      <c r="C14" s="128"/>
      <c r="D14" s="129"/>
      <c r="E14" s="130"/>
      <c r="F14" s="128"/>
      <c r="G14" s="131"/>
      <c r="H14" s="132"/>
      <c r="I14" s="133"/>
      <c r="J14" s="134"/>
      <c r="K14" s="132"/>
      <c r="L14" s="133"/>
      <c r="M14" s="134"/>
      <c r="N14" s="133"/>
      <c r="O14" s="134"/>
      <c r="P14" s="133"/>
      <c r="Q14" s="134"/>
      <c r="R14" s="132"/>
      <c r="S14" s="132"/>
      <c r="T14" s="133"/>
      <c r="U14" s="134"/>
      <c r="V14" s="132"/>
      <c r="W14" s="135"/>
      <c r="X14" s="136"/>
      <c r="Y14" s="132"/>
      <c r="Z14" s="132"/>
      <c r="AA14" s="132"/>
      <c r="AB14" s="132"/>
      <c r="AC14" s="132"/>
      <c r="AD14" s="135"/>
      <c r="AE14" s="136"/>
      <c r="AF14" s="132"/>
      <c r="AG14" s="137"/>
      <c r="AH14" s="132"/>
      <c r="AI14" s="132"/>
      <c r="AJ14" s="132"/>
      <c r="AK14" s="132"/>
      <c r="AL14" s="132"/>
      <c r="AM14" s="132"/>
      <c r="AN14" s="132"/>
      <c r="AO14" s="132"/>
      <c r="AP14" s="135"/>
      <c r="AQ14" s="136"/>
      <c r="AR14" s="132"/>
      <c r="AS14" s="132"/>
      <c r="AT14" s="132"/>
      <c r="AU14" s="135"/>
      <c r="AV14" s="136"/>
      <c r="AW14" s="132"/>
      <c r="AX14" s="132"/>
      <c r="AY14" s="135"/>
      <c r="AZ14" s="136"/>
      <c r="BA14" s="132"/>
      <c r="BB14" s="132"/>
      <c r="BC14" s="135"/>
      <c r="BD14" s="136"/>
      <c r="BE14" s="132"/>
      <c r="BF14" s="132"/>
      <c r="BG14" s="135"/>
      <c r="BH14" s="136"/>
      <c r="BI14" s="132"/>
      <c r="BJ14" s="132"/>
      <c r="BK14" s="132"/>
      <c r="BL14" s="135"/>
      <c r="BM14" s="136"/>
      <c r="BN14" s="132"/>
      <c r="BO14" s="132"/>
      <c r="BP14" s="135"/>
      <c r="BQ14" s="136"/>
      <c r="BR14" s="137"/>
      <c r="BS14" s="132"/>
      <c r="BT14" s="132"/>
      <c r="BU14" s="132"/>
      <c r="BV14" s="132"/>
      <c r="BW14" s="135"/>
      <c r="BX14" s="136"/>
      <c r="BY14" s="132"/>
      <c r="BZ14" s="132"/>
      <c r="CA14" s="135"/>
      <c r="CB14" s="136"/>
      <c r="CC14" s="132"/>
      <c r="CD14" s="132"/>
      <c r="CE14" s="132"/>
      <c r="CF14" s="132"/>
      <c r="CG14" s="135"/>
      <c r="CH14" s="136"/>
      <c r="CI14" s="136"/>
      <c r="CJ14" s="132"/>
      <c r="CK14" s="132"/>
      <c r="CL14" s="135"/>
      <c r="CM14" s="136"/>
      <c r="CN14" s="132"/>
      <c r="CO14" s="132"/>
      <c r="CP14" s="132"/>
      <c r="CQ14" s="132"/>
      <c r="CR14" s="137"/>
      <c r="CS14" s="132"/>
      <c r="CT14" s="132"/>
      <c r="CU14" s="132"/>
      <c r="CV14" s="137"/>
      <c r="CW14" s="132"/>
      <c r="CX14" s="132"/>
      <c r="CY14" s="132"/>
      <c r="CZ14" s="132"/>
      <c r="DA14" s="132"/>
      <c r="DB14" s="132"/>
      <c r="DC14" s="137"/>
      <c r="DD14" s="132"/>
      <c r="DE14" s="132"/>
      <c r="DF14" s="132"/>
      <c r="DG14" s="132">
        <f t="shared" si="2"/>
        <v>0</v>
      </c>
    </row>
    <row r="15" spans="1:113" s="125" customFormat="1" ht="17.100000000000001" customHeight="1" x14ac:dyDescent="0.25">
      <c r="A15" s="126"/>
      <c r="B15" s="127"/>
      <c r="C15" s="128"/>
      <c r="D15" s="143"/>
      <c r="E15" s="130"/>
      <c r="F15" s="144"/>
      <c r="G15" s="138"/>
      <c r="H15" s="132"/>
      <c r="I15" s="133"/>
      <c r="J15" s="134"/>
      <c r="K15" s="132"/>
      <c r="L15" s="133"/>
      <c r="M15" s="134"/>
      <c r="N15" s="133"/>
      <c r="O15" s="134"/>
      <c r="P15" s="133"/>
      <c r="Q15" s="134"/>
      <c r="R15" s="132"/>
      <c r="S15" s="132"/>
      <c r="T15" s="133"/>
      <c r="U15" s="134"/>
      <c r="V15" s="132"/>
      <c r="W15" s="135"/>
      <c r="X15" s="136"/>
      <c r="Y15" s="132"/>
      <c r="Z15" s="132"/>
      <c r="AA15" s="132"/>
      <c r="AB15" s="132"/>
      <c r="AC15" s="132"/>
      <c r="AD15" s="135"/>
      <c r="AE15" s="136"/>
      <c r="AF15" s="132"/>
      <c r="AG15" s="137"/>
      <c r="AH15" s="132"/>
      <c r="AI15" s="132"/>
      <c r="AJ15" s="132"/>
      <c r="AK15" s="132"/>
      <c r="AL15" s="132"/>
      <c r="AM15" s="132"/>
      <c r="AN15" s="132"/>
      <c r="AO15" s="132"/>
      <c r="AP15" s="135"/>
      <c r="AQ15" s="136"/>
      <c r="AR15" s="132"/>
      <c r="AS15" s="132"/>
      <c r="AT15" s="132"/>
      <c r="AU15" s="135"/>
      <c r="AV15" s="136"/>
      <c r="AW15" s="132"/>
      <c r="AX15" s="132"/>
      <c r="AY15" s="135"/>
      <c r="AZ15" s="136"/>
      <c r="BA15" s="132"/>
      <c r="BB15" s="132"/>
      <c r="BC15" s="135"/>
      <c r="BD15" s="136"/>
      <c r="BE15" s="132"/>
      <c r="BF15" s="132"/>
      <c r="BG15" s="135"/>
      <c r="BH15" s="136"/>
      <c r="BI15" s="132"/>
      <c r="BJ15" s="132"/>
      <c r="BK15" s="132"/>
      <c r="BL15" s="135"/>
      <c r="BM15" s="136"/>
      <c r="BN15" s="132"/>
      <c r="BO15" s="132"/>
      <c r="BP15" s="135"/>
      <c r="BQ15" s="136"/>
      <c r="BR15" s="137"/>
      <c r="BS15" s="132"/>
      <c r="BT15" s="132"/>
      <c r="BU15" s="132"/>
      <c r="BV15" s="132"/>
      <c r="BW15" s="145"/>
      <c r="BX15" s="136"/>
      <c r="BY15" s="132"/>
      <c r="BZ15" s="132"/>
      <c r="CA15" s="135"/>
      <c r="CB15" s="136"/>
      <c r="CC15" s="132"/>
      <c r="CD15" s="140"/>
      <c r="CE15" s="132"/>
      <c r="CF15" s="132"/>
      <c r="CG15" s="145"/>
      <c r="CH15" s="136"/>
      <c r="CI15" s="136"/>
      <c r="CJ15" s="132"/>
      <c r="CK15" s="132"/>
      <c r="CL15" s="145"/>
      <c r="CM15" s="146"/>
      <c r="CN15" s="132"/>
      <c r="CO15" s="132"/>
      <c r="CP15" s="132"/>
      <c r="CQ15" s="132"/>
      <c r="CR15" s="137"/>
      <c r="CS15" s="132"/>
      <c r="CT15" s="132"/>
      <c r="CU15" s="132"/>
      <c r="CV15" s="137"/>
      <c r="CW15" s="132"/>
      <c r="CX15" s="132"/>
      <c r="CY15" s="132"/>
      <c r="CZ15" s="132"/>
      <c r="DA15" s="132"/>
      <c r="DB15" s="132"/>
      <c r="DC15" s="141"/>
      <c r="DD15" s="132"/>
      <c r="DE15" s="132"/>
      <c r="DF15" s="132"/>
      <c r="DG15" s="132">
        <f t="shared" si="2"/>
        <v>0</v>
      </c>
    </row>
    <row r="16" spans="1:113" s="125" customFormat="1" ht="17.100000000000001" customHeight="1" x14ac:dyDescent="0.25">
      <c r="A16" s="126"/>
      <c r="B16" s="127"/>
      <c r="C16" s="128"/>
      <c r="D16" s="143"/>
      <c r="E16" s="130"/>
      <c r="F16" s="128"/>
      <c r="G16" s="131"/>
      <c r="H16" s="132"/>
      <c r="I16" s="133"/>
      <c r="J16" s="134"/>
      <c r="K16" s="132"/>
      <c r="L16" s="133"/>
      <c r="M16" s="134"/>
      <c r="N16" s="133"/>
      <c r="O16" s="134"/>
      <c r="P16" s="133"/>
      <c r="Q16" s="134"/>
      <c r="R16" s="132"/>
      <c r="S16" s="132"/>
      <c r="T16" s="133"/>
      <c r="U16" s="134"/>
      <c r="V16" s="132"/>
      <c r="W16" s="135"/>
      <c r="X16" s="136"/>
      <c r="Y16" s="132"/>
      <c r="Z16" s="132"/>
      <c r="AA16" s="132"/>
      <c r="AB16" s="132"/>
      <c r="AC16" s="132"/>
      <c r="AD16" s="135"/>
      <c r="AE16" s="136"/>
      <c r="AF16" s="132"/>
      <c r="AG16" s="137"/>
      <c r="AH16" s="132"/>
      <c r="AI16" s="132"/>
      <c r="AJ16" s="132"/>
      <c r="AK16" s="132"/>
      <c r="AL16" s="132"/>
      <c r="AM16" s="132"/>
      <c r="AN16" s="132"/>
      <c r="AO16" s="132"/>
      <c r="AP16" s="135"/>
      <c r="AQ16" s="136"/>
      <c r="AR16" s="132"/>
      <c r="AS16" s="132"/>
      <c r="AT16" s="132"/>
      <c r="AU16" s="135"/>
      <c r="AV16" s="136"/>
      <c r="AW16" s="132"/>
      <c r="AX16" s="132"/>
      <c r="AY16" s="135"/>
      <c r="AZ16" s="136"/>
      <c r="BA16" s="132"/>
      <c r="BB16" s="132"/>
      <c r="BC16" s="135"/>
      <c r="BD16" s="136"/>
      <c r="BE16" s="132"/>
      <c r="BF16" s="132"/>
      <c r="BG16" s="135"/>
      <c r="BH16" s="136"/>
      <c r="BI16" s="132"/>
      <c r="BJ16" s="132"/>
      <c r="BK16" s="132"/>
      <c r="BL16" s="135"/>
      <c r="BM16" s="136"/>
      <c r="BN16" s="132"/>
      <c r="BO16" s="132"/>
      <c r="BP16" s="135"/>
      <c r="BQ16" s="136"/>
      <c r="BR16" s="137"/>
      <c r="BS16" s="132"/>
      <c r="BT16" s="132"/>
      <c r="BU16" s="132"/>
      <c r="BV16" s="132"/>
      <c r="BW16" s="135"/>
      <c r="BX16" s="136"/>
      <c r="BY16" s="132"/>
      <c r="BZ16" s="132"/>
      <c r="CA16" s="135"/>
      <c r="CB16" s="136"/>
      <c r="CC16" s="132"/>
      <c r="CD16" s="132"/>
      <c r="CE16" s="132"/>
      <c r="CF16" s="132"/>
      <c r="CG16" s="135"/>
      <c r="CH16" s="136"/>
      <c r="CI16" s="136"/>
      <c r="CJ16" s="132"/>
      <c r="CK16" s="132"/>
      <c r="CL16" s="135"/>
      <c r="CM16" s="136"/>
      <c r="CN16" s="132"/>
      <c r="CO16" s="132"/>
      <c r="CP16" s="132"/>
      <c r="CQ16" s="132"/>
      <c r="CR16" s="137"/>
      <c r="CS16" s="132"/>
      <c r="CT16" s="132"/>
      <c r="CU16" s="132"/>
      <c r="CV16" s="137"/>
      <c r="CW16" s="132"/>
      <c r="CX16" s="132"/>
      <c r="CY16" s="132"/>
      <c r="CZ16" s="132"/>
      <c r="DA16" s="132"/>
      <c r="DB16" s="132"/>
      <c r="DC16" s="137"/>
      <c r="DD16" s="132"/>
      <c r="DE16" s="132"/>
      <c r="DF16" s="132"/>
      <c r="DG16" s="132">
        <f t="shared" si="2"/>
        <v>0</v>
      </c>
    </row>
    <row r="17" spans="1:111" s="125" customFormat="1" ht="17.100000000000001" customHeight="1" x14ac:dyDescent="0.25">
      <c r="A17" s="126"/>
      <c r="B17" s="127"/>
      <c r="C17" s="128"/>
      <c r="D17" s="147"/>
      <c r="E17" s="130"/>
      <c r="F17" s="128"/>
      <c r="G17" s="131"/>
      <c r="H17" s="132"/>
      <c r="I17" s="133"/>
      <c r="J17" s="134"/>
      <c r="K17" s="132"/>
      <c r="L17" s="133"/>
      <c r="M17" s="134"/>
      <c r="N17" s="133"/>
      <c r="O17" s="134"/>
      <c r="P17" s="133"/>
      <c r="Q17" s="134"/>
      <c r="R17" s="132"/>
      <c r="S17" s="132"/>
      <c r="T17" s="133"/>
      <c r="U17" s="134"/>
      <c r="V17" s="132"/>
      <c r="W17" s="135"/>
      <c r="X17" s="136"/>
      <c r="Y17" s="132"/>
      <c r="Z17" s="132"/>
      <c r="AA17" s="132"/>
      <c r="AB17" s="132"/>
      <c r="AC17" s="132"/>
      <c r="AD17" s="135"/>
      <c r="AE17" s="136"/>
      <c r="AF17" s="132"/>
      <c r="AG17" s="137"/>
      <c r="AH17" s="132"/>
      <c r="AI17" s="132"/>
      <c r="AJ17" s="132"/>
      <c r="AK17" s="132"/>
      <c r="AL17" s="132"/>
      <c r="AM17" s="132"/>
      <c r="AN17" s="132"/>
      <c r="AO17" s="132"/>
      <c r="AP17" s="135"/>
      <c r="AQ17" s="136"/>
      <c r="AR17" s="132"/>
      <c r="AS17" s="132"/>
      <c r="AT17" s="132"/>
      <c r="AU17" s="135"/>
      <c r="AV17" s="136"/>
      <c r="AW17" s="132"/>
      <c r="AX17" s="132"/>
      <c r="AY17" s="135"/>
      <c r="AZ17" s="136"/>
      <c r="BA17" s="132"/>
      <c r="BB17" s="132"/>
      <c r="BC17" s="135"/>
      <c r="BD17" s="136"/>
      <c r="BE17" s="132"/>
      <c r="BF17" s="132"/>
      <c r="BG17" s="135"/>
      <c r="BH17" s="136"/>
      <c r="BI17" s="132"/>
      <c r="BJ17" s="132"/>
      <c r="BK17" s="132"/>
      <c r="BL17" s="135"/>
      <c r="BM17" s="136"/>
      <c r="BN17" s="132"/>
      <c r="BO17" s="132"/>
      <c r="BP17" s="135"/>
      <c r="BQ17" s="136"/>
      <c r="BR17" s="137"/>
      <c r="BS17" s="132"/>
      <c r="BT17" s="132"/>
      <c r="BU17" s="132"/>
      <c r="BV17" s="132"/>
      <c r="BW17" s="135"/>
      <c r="BX17" s="136"/>
      <c r="BY17" s="132"/>
      <c r="BZ17" s="132"/>
      <c r="CA17" s="135"/>
      <c r="CB17" s="136"/>
      <c r="CC17" s="132"/>
      <c r="CD17" s="132"/>
      <c r="CE17" s="132"/>
      <c r="CF17" s="132"/>
      <c r="CG17" s="135"/>
      <c r="CH17" s="136"/>
      <c r="CI17" s="136"/>
      <c r="CJ17" s="132"/>
      <c r="CK17" s="132"/>
      <c r="CL17" s="135"/>
      <c r="CM17" s="136"/>
      <c r="CN17" s="132"/>
      <c r="CO17" s="132"/>
      <c r="CP17" s="132"/>
      <c r="CQ17" s="132"/>
      <c r="CR17" s="137"/>
      <c r="CS17" s="132"/>
      <c r="CT17" s="132"/>
      <c r="CU17" s="132"/>
      <c r="CV17" s="137"/>
      <c r="CW17" s="132"/>
      <c r="CX17" s="132"/>
      <c r="CY17" s="132"/>
      <c r="CZ17" s="132"/>
      <c r="DA17" s="132"/>
      <c r="DB17" s="132"/>
      <c r="DC17" s="137"/>
      <c r="DD17" s="132"/>
      <c r="DE17" s="132"/>
      <c r="DF17" s="132"/>
      <c r="DG17" s="132">
        <f t="shared" si="2"/>
        <v>0</v>
      </c>
    </row>
    <row r="18" spans="1:111" s="125" customFormat="1" ht="17.100000000000001" customHeight="1" x14ac:dyDescent="0.25">
      <c r="A18" s="126"/>
      <c r="B18" s="127"/>
      <c r="C18" s="128"/>
      <c r="D18" s="129"/>
      <c r="E18" s="130"/>
      <c r="F18" s="144"/>
      <c r="G18" s="138"/>
      <c r="H18" s="132"/>
      <c r="I18" s="133"/>
      <c r="J18" s="134"/>
      <c r="K18" s="132"/>
      <c r="L18" s="133"/>
      <c r="M18" s="134"/>
      <c r="N18" s="133"/>
      <c r="O18" s="134"/>
      <c r="P18" s="133"/>
      <c r="Q18" s="134"/>
      <c r="R18" s="132"/>
      <c r="S18" s="132"/>
      <c r="T18" s="133"/>
      <c r="U18" s="134"/>
      <c r="V18" s="132"/>
      <c r="W18" s="135"/>
      <c r="X18" s="136"/>
      <c r="Y18" s="132"/>
      <c r="Z18" s="132"/>
      <c r="AA18" s="132"/>
      <c r="AB18" s="132"/>
      <c r="AC18" s="132"/>
      <c r="AD18" s="135"/>
      <c r="AE18" s="136"/>
      <c r="AF18" s="132"/>
      <c r="AG18" s="137"/>
      <c r="AH18" s="132"/>
      <c r="AI18" s="132"/>
      <c r="AJ18" s="132"/>
      <c r="AK18" s="132"/>
      <c r="AL18" s="132"/>
      <c r="AM18" s="132"/>
      <c r="AN18" s="132"/>
      <c r="AO18" s="132"/>
      <c r="AP18" s="135"/>
      <c r="AQ18" s="136"/>
      <c r="AR18" s="132"/>
      <c r="AS18" s="132"/>
      <c r="AT18" s="132"/>
      <c r="AU18" s="135"/>
      <c r="AV18" s="136"/>
      <c r="AW18" s="132"/>
      <c r="AX18" s="132"/>
      <c r="AY18" s="135"/>
      <c r="AZ18" s="136"/>
      <c r="BA18" s="132"/>
      <c r="BB18" s="132"/>
      <c r="BC18" s="135"/>
      <c r="BD18" s="136"/>
      <c r="BE18" s="132"/>
      <c r="BF18" s="132"/>
      <c r="BG18" s="135"/>
      <c r="BH18" s="136"/>
      <c r="BI18" s="132"/>
      <c r="BJ18" s="132"/>
      <c r="BK18" s="132"/>
      <c r="BL18" s="135"/>
      <c r="BM18" s="136"/>
      <c r="BN18" s="132"/>
      <c r="BO18" s="132"/>
      <c r="BP18" s="135"/>
      <c r="BQ18" s="136"/>
      <c r="BR18" s="137"/>
      <c r="BS18" s="132"/>
      <c r="BT18" s="132"/>
      <c r="BU18" s="132"/>
      <c r="BV18" s="132"/>
      <c r="BW18" s="135"/>
      <c r="BX18" s="136"/>
      <c r="BY18" s="132"/>
      <c r="BZ18" s="132"/>
      <c r="CA18" s="135"/>
      <c r="CB18" s="136"/>
      <c r="CC18" s="132"/>
      <c r="CD18" s="132"/>
      <c r="CE18" s="132"/>
      <c r="CF18" s="132"/>
      <c r="CG18" s="135"/>
      <c r="CH18" s="136"/>
      <c r="CI18" s="136"/>
      <c r="CJ18" s="132"/>
      <c r="CK18" s="132"/>
      <c r="CL18" s="135"/>
      <c r="CM18" s="136"/>
      <c r="CN18" s="132"/>
      <c r="CO18" s="132"/>
      <c r="CP18" s="132"/>
      <c r="CQ18" s="132"/>
      <c r="CR18" s="137"/>
      <c r="CS18" s="132"/>
      <c r="CT18" s="132"/>
      <c r="CU18" s="132"/>
      <c r="CV18" s="141"/>
      <c r="CW18" s="132"/>
      <c r="CX18" s="132"/>
      <c r="CY18" s="132"/>
      <c r="CZ18" s="132"/>
      <c r="DA18" s="132"/>
      <c r="DB18" s="132"/>
      <c r="DC18" s="137"/>
      <c r="DD18" s="132"/>
      <c r="DE18" s="132"/>
      <c r="DF18" s="132"/>
      <c r="DG18" s="132">
        <f t="shared" si="2"/>
        <v>0</v>
      </c>
    </row>
    <row r="19" spans="1:111" s="125" customFormat="1" ht="17.100000000000001" customHeight="1" x14ac:dyDescent="0.25">
      <c r="A19" s="126"/>
      <c r="B19" s="127"/>
      <c r="C19" s="128"/>
      <c r="D19" s="148"/>
      <c r="E19" s="130"/>
      <c r="F19" s="128"/>
      <c r="G19" s="131"/>
      <c r="H19" s="132"/>
      <c r="I19" s="133"/>
      <c r="J19" s="134"/>
      <c r="K19" s="132"/>
      <c r="L19" s="133"/>
      <c r="M19" s="134"/>
      <c r="N19" s="133"/>
      <c r="O19" s="134"/>
      <c r="P19" s="133"/>
      <c r="Q19" s="134"/>
      <c r="R19" s="132"/>
      <c r="S19" s="132"/>
      <c r="T19" s="133"/>
      <c r="U19" s="134"/>
      <c r="V19" s="132"/>
      <c r="W19" s="135"/>
      <c r="X19" s="136"/>
      <c r="Y19" s="132"/>
      <c r="Z19" s="132"/>
      <c r="AA19" s="132"/>
      <c r="AB19" s="132"/>
      <c r="AC19" s="132"/>
      <c r="AD19" s="135"/>
      <c r="AE19" s="136"/>
      <c r="AF19" s="132"/>
      <c r="AG19" s="137"/>
      <c r="AH19" s="132"/>
      <c r="AI19" s="132"/>
      <c r="AJ19" s="132"/>
      <c r="AK19" s="132"/>
      <c r="AL19" s="132"/>
      <c r="AM19" s="132"/>
      <c r="AN19" s="132"/>
      <c r="AO19" s="132"/>
      <c r="AP19" s="135"/>
      <c r="AQ19" s="136"/>
      <c r="AR19" s="132"/>
      <c r="AS19" s="132"/>
      <c r="AT19" s="132"/>
      <c r="AU19" s="135"/>
      <c r="AV19" s="136"/>
      <c r="AW19" s="132"/>
      <c r="AX19" s="132"/>
      <c r="AY19" s="135"/>
      <c r="AZ19" s="136"/>
      <c r="BA19" s="132"/>
      <c r="BB19" s="132"/>
      <c r="BC19" s="135"/>
      <c r="BD19" s="136"/>
      <c r="BE19" s="132"/>
      <c r="BF19" s="132"/>
      <c r="BG19" s="135"/>
      <c r="BH19" s="136"/>
      <c r="BI19" s="132"/>
      <c r="BJ19" s="132"/>
      <c r="BK19" s="132"/>
      <c r="BL19" s="135"/>
      <c r="BM19" s="136"/>
      <c r="BN19" s="132"/>
      <c r="BO19" s="132"/>
      <c r="BP19" s="135"/>
      <c r="BQ19" s="136"/>
      <c r="BR19" s="137"/>
      <c r="BS19" s="132"/>
      <c r="BT19" s="132"/>
      <c r="BU19" s="132"/>
      <c r="BV19" s="132"/>
      <c r="BW19" s="135"/>
      <c r="BX19" s="136"/>
      <c r="BY19" s="132"/>
      <c r="BZ19" s="132"/>
      <c r="CA19" s="135"/>
      <c r="CB19" s="136"/>
      <c r="CC19" s="132"/>
      <c r="CD19" s="132"/>
      <c r="CE19" s="132"/>
      <c r="CF19" s="132"/>
      <c r="CG19" s="135"/>
      <c r="CH19" s="136"/>
      <c r="CI19" s="136"/>
      <c r="CJ19" s="132"/>
      <c r="CK19" s="132"/>
      <c r="CL19" s="135"/>
      <c r="CM19" s="136"/>
      <c r="CN19" s="132"/>
      <c r="CO19" s="132"/>
      <c r="CP19" s="132"/>
      <c r="CQ19" s="132"/>
      <c r="CR19" s="137"/>
      <c r="CS19" s="132"/>
      <c r="CT19" s="132"/>
      <c r="CU19" s="132"/>
      <c r="CV19" s="137"/>
      <c r="CW19" s="132"/>
      <c r="CX19" s="132"/>
      <c r="CY19" s="132"/>
      <c r="CZ19" s="132"/>
      <c r="DA19" s="132"/>
      <c r="DB19" s="132"/>
      <c r="DC19" s="137"/>
      <c r="DD19" s="132"/>
      <c r="DE19" s="132"/>
      <c r="DF19" s="132"/>
      <c r="DG19" s="132">
        <f t="shared" si="2"/>
        <v>0</v>
      </c>
    </row>
    <row r="20" spans="1:111" s="125" customFormat="1" ht="17.100000000000001" customHeight="1" x14ac:dyDescent="0.25">
      <c r="A20" s="126"/>
      <c r="B20" s="127"/>
      <c r="C20" s="128"/>
      <c r="D20" s="149"/>
      <c r="E20" s="130"/>
      <c r="F20" s="144"/>
      <c r="G20" s="131"/>
      <c r="H20" s="132"/>
      <c r="I20" s="133"/>
      <c r="J20" s="134"/>
      <c r="K20" s="132"/>
      <c r="L20" s="133"/>
      <c r="M20" s="134"/>
      <c r="N20" s="133"/>
      <c r="O20" s="134"/>
      <c r="P20" s="133"/>
      <c r="Q20" s="134"/>
      <c r="R20" s="132"/>
      <c r="S20" s="132"/>
      <c r="T20" s="133"/>
      <c r="U20" s="134"/>
      <c r="V20" s="132"/>
      <c r="W20" s="135"/>
      <c r="X20" s="136"/>
      <c r="Y20" s="132"/>
      <c r="Z20" s="132"/>
      <c r="AA20" s="132"/>
      <c r="AB20" s="132"/>
      <c r="AC20" s="132"/>
      <c r="AD20" s="135"/>
      <c r="AE20" s="136"/>
      <c r="AF20" s="132"/>
      <c r="AG20" s="137"/>
      <c r="AH20" s="132"/>
      <c r="AI20" s="132"/>
      <c r="AJ20" s="132"/>
      <c r="AK20" s="132"/>
      <c r="AL20" s="132"/>
      <c r="AM20" s="132"/>
      <c r="AN20" s="132"/>
      <c r="AO20" s="132"/>
      <c r="AP20" s="135"/>
      <c r="AQ20" s="136"/>
      <c r="AR20" s="132"/>
      <c r="AS20" s="132"/>
      <c r="AT20" s="132"/>
      <c r="AU20" s="135"/>
      <c r="AV20" s="136"/>
      <c r="AW20" s="132"/>
      <c r="AX20" s="132"/>
      <c r="AY20" s="135"/>
      <c r="AZ20" s="136"/>
      <c r="BA20" s="132"/>
      <c r="BB20" s="132"/>
      <c r="BC20" s="135"/>
      <c r="BD20" s="136"/>
      <c r="BE20" s="132"/>
      <c r="BF20" s="132"/>
      <c r="BG20" s="135"/>
      <c r="BH20" s="136"/>
      <c r="BI20" s="132"/>
      <c r="BJ20" s="132"/>
      <c r="BK20" s="132"/>
      <c r="BL20" s="135"/>
      <c r="BM20" s="136"/>
      <c r="BN20" s="132"/>
      <c r="BO20" s="132"/>
      <c r="BP20" s="135"/>
      <c r="BQ20" s="136"/>
      <c r="BR20" s="137"/>
      <c r="BS20" s="132"/>
      <c r="BT20" s="132"/>
      <c r="BU20" s="132"/>
      <c r="BV20" s="132"/>
      <c r="BW20" s="135"/>
      <c r="BX20" s="136"/>
      <c r="BY20" s="132"/>
      <c r="BZ20" s="132"/>
      <c r="CA20" s="135"/>
      <c r="CB20" s="136"/>
      <c r="CC20" s="132"/>
      <c r="CD20" s="132"/>
      <c r="CE20" s="132"/>
      <c r="CF20" s="132"/>
      <c r="CG20" s="135"/>
      <c r="CH20" s="136"/>
      <c r="CI20" s="136"/>
      <c r="CJ20" s="132"/>
      <c r="CK20" s="132"/>
      <c r="CL20" s="135"/>
      <c r="CM20" s="136"/>
      <c r="CN20" s="132"/>
      <c r="CO20" s="132"/>
      <c r="CP20" s="132"/>
      <c r="CQ20" s="132"/>
      <c r="CR20" s="137"/>
      <c r="CS20" s="132"/>
      <c r="CT20" s="132"/>
      <c r="CU20" s="132"/>
      <c r="CV20" s="137"/>
      <c r="CW20" s="132"/>
      <c r="CX20" s="132"/>
      <c r="CY20" s="132"/>
      <c r="CZ20" s="132"/>
      <c r="DA20" s="132"/>
      <c r="DB20" s="132"/>
      <c r="DC20" s="137"/>
      <c r="DD20" s="132"/>
      <c r="DE20" s="132"/>
      <c r="DF20" s="132"/>
      <c r="DG20" s="132">
        <f t="shared" si="2"/>
        <v>0</v>
      </c>
    </row>
    <row r="21" spans="1:111" s="125" customFormat="1" ht="17.100000000000001" customHeight="1" x14ac:dyDescent="0.25">
      <c r="A21" s="126"/>
      <c r="B21" s="127"/>
      <c r="C21" s="128"/>
      <c r="D21" s="148"/>
      <c r="E21" s="130"/>
      <c r="F21" s="128"/>
      <c r="G21" s="131"/>
      <c r="H21" s="132"/>
      <c r="I21" s="133"/>
      <c r="J21" s="134"/>
      <c r="K21" s="132"/>
      <c r="L21" s="133"/>
      <c r="M21" s="134"/>
      <c r="N21" s="133"/>
      <c r="O21" s="134"/>
      <c r="P21" s="133"/>
      <c r="Q21" s="134"/>
      <c r="R21" s="132"/>
      <c r="S21" s="132"/>
      <c r="T21" s="133"/>
      <c r="U21" s="134"/>
      <c r="V21" s="132"/>
      <c r="W21" s="135"/>
      <c r="X21" s="136"/>
      <c r="Y21" s="132"/>
      <c r="Z21" s="132"/>
      <c r="AA21" s="132"/>
      <c r="AB21" s="132"/>
      <c r="AC21" s="132"/>
      <c r="AD21" s="135"/>
      <c r="AE21" s="136"/>
      <c r="AF21" s="132"/>
      <c r="AG21" s="137"/>
      <c r="AH21" s="132"/>
      <c r="AI21" s="132"/>
      <c r="AJ21" s="132"/>
      <c r="AK21" s="132"/>
      <c r="AL21" s="132"/>
      <c r="AM21" s="132"/>
      <c r="AN21" s="132"/>
      <c r="AO21" s="132"/>
      <c r="AP21" s="135"/>
      <c r="AQ21" s="136"/>
      <c r="AR21" s="132"/>
      <c r="AS21" s="132"/>
      <c r="AT21" s="132"/>
      <c r="AU21" s="135"/>
      <c r="AV21" s="136"/>
      <c r="AW21" s="132"/>
      <c r="AX21" s="132"/>
      <c r="AY21" s="135"/>
      <c r="AZ21" s="136"/>
      <c r="BA21" s="132"/>
      <c r="BB21" s="132"/>
      <c r="BC21" s="135"/>
      <c r="BD21" s="136"/>
      <c r="BE21" s="132"/>
      <c r="BF21" s="132"/>
      <c r="BG21" s="135"/>
      <c r="BH21" s="136"/>
      <c r="BI21" s="132"/>
      <c r="BJ21" s="132"/>
      <c r="BK21" s="132"/>
      <c r="BL21" s="135"/>
      <c r="BM21" s="136"/>
      <c r="BN21" s="132"/>
      <c r="BO21" s="132"/>
      <c r="BP21" s="135"/>
      <c r="BQ21" s="136"/>
      <c r="BR21" s="137"/>
      <c r="BS21" s="132"/>
      <c r="BT21" s="132"/>
      <c r="BU21" s="132"/>
      <c r="BV21" s="132"/>
      <c r="BW21" s="135"/>
      <c r="BX21" s="136"/>
      <c r="BY21" s="132"/>
      <c r="BZ21" s="132"/>
      <c r="CA21" s="135"/>
      <c r="CB21" s="136"/>
      <c r="CC21" s="132"/>
      <c r="CD21" s="132"/>
      <c r="CE21" s="132"/>
      <c r="CF21" s="132"/>
      <c r="CG21" s="135"/>
      <c r="CH21" s="136"/>
      <c r="CI21" s="136"/>
      <c r="CJ21" s="132"/>
      <c r="CK21" s="132"/>
      <c r="CL21" s="135"/>
      <c r="CM21" s="136"/>
      <c r="CN21" s="132"/>
      <c r="CO21" s="132"/>
      <c r="CP21" s="132"/>
      <c r="CQ21" s="132"/>
      <c r="CR21" s="137"/>
      <c r="CS21" s="132"/>
      <c r="CT21" s="132"/>
      <c r="CU21" s="132"/>
      <c r="CV21" s="137"/>
      <c r="CW21" s="132"/>
      <c r="CX21" s="132"/>
      <c r="CY21" s="132"/>
      <c r="CZ21" s="132"/>
      <c r="DA21" s="132"/>
      <c r="DB21" s="132"/>
      <c r="DC21" s="137"/>
      <c r="DD21" s="132"/>
      <c r="DE21" s="132"/>
      <c r="DF21" s="132"/>
      <c r="DG21" s="132">
        <f t="shared" si="2"/>
        <v>0</v>
      </c>
    </row>
    <row r="22" spans="1:111" s="125" customFormat="1" ht="17.100000000000001" customHeight="1" x14ac:dyDescent="0.25">
      <c r="A22" s="126"/>
      <c r="B22" s="127"/>
      <c r="C22" s="128"/>
      <c r="D22" s="148"/>
      <c r="E22" s="130"/>
      <c r="F22" s="128"/>
      <c r="G22" s="131"/>
      <c r="H22" s="132"/>
      <c r="I22" s="133"/>
      <c r="J22" s="134"/>
      <c r="K22" s="132"/>
      <c r="L22" s="133"/>
      <c r="M22" s="134"/>
      <c r="N22" s="133"/>
      <c r="O22" s="134"/>
      <c r="P22" s="133"/>
      <c r="Q22" s="134"/>
      <c r="R22" s="132"/>
      <c r="S22" s="132"/>
      <c r="T22" s="133"/>
      <c r="U22" s="134"/>
      <c r="V22" s="132"/>
      <c r="W22" s="135"/>
      <c r="X22" s="136"/>
      <c r="Y22" s="132"/>
      <c r="Z22" s="132"/>
      <c r="AA22" s="132"/>
      <c r="AB22" s="132"/>
      <c r="AC22" s="132"/>
      <c r="AD22" s="135"/>
      <c r="AE22" s="136"/>
      <c r="AF22" s="132"/>
      <c r="AG22" s="137"/>
      <c r="AH22" s="132"/>
      <c r="AI22" s="132"/>
      <c r="AJ22" s="132"/>
      <c r="AK22" s="132"/>
      <c r="AL22" s="132"/>
      <c r="AM22" s="132"/>
      <c r="AN22" s="132"/>
      <c r="AO22" s="132"/>
      <c r="AP22" s="135"/>
      <c r="AQ22" s="136"/>
      <c r="AR22" s="132"/>
      <c r="AS22" s="132"/>
      <c r="AT22" s="132"/>
      <c r="AU22" s="135"/>
      <c r="AV22" s="136"/>
      <c r="AW22" s="132"/>
      <c r="AX22" s="132"/>
      <c r="AY22" s="135"/>
      <c r="AZ22" s="136"/>
      <c r="BA22" s="132"/>
      <c r="BB22" s="132"/>
      <c r="BC22" s="135"/>
      <c r="BD22" s="136"/>
      <c r="BE22" s="132"/>
      <c r="BF22" s="132"/>
      <c r="BG22" s="135"/>
      <c r="BH22" s="136"/>
      <c r="BI22" s="132"/>
      <c r="BJ22" s="132"/>
      <c r="BK22" s="132"/>
      <c r="BL22" s="135"/>
      <c r="BM22" s="136"/>
      <c r="BN22" s="132"/>
      <c r="BO22" s="132"/>
      <c r="BP22" s="135"/>
      <c r="BQ22" s="136"/>
      <c r="BR22" s="137"/>
      <c r="BS22" s="132"/>
      <c r="BT22" s="132"/>
      <c r="BU22" s="132"/>
      <c r="BV22" s="132"/>
      <c r="BW22" s="135"/>
      <c r="BX22" s="136"/>
      <c r="BY22" s="132"/>
      <c r="BZ22" s="132"/>
      <c r="CA22" s="135"/>
      <c r="CB22" s="136"/>
      <c r="CC22" s="132"/>
      <c r="CD22" s="132"/>
      <c r="CE22" s="132"/>
      <c r="CF22" s="132"/>
      <c r="CG22" s="135"/>
      <c r="CH22" s="136"/>
      <c r="CI22" s="136"/>
      <c r="CJ22" s="132"/>
      <c r="CK22" s="132"/>
      <c r="CL22" s="135"/>
      <c r="CM22" s="136"/>
      <c r="CN22" s="132"/>
      <c r="CO22" s="132"/>
      <c r="CP22" s="132"/>
      <c r="CQ22" s="132"/>
      <c r="CR22" s="137"/>
      <c r="CS22" s="132"/>
      <c r="CT22" s="132"/>
      <c r="CU22" s="132"/>
      <c r="CV22" s="137"/>
      <c r="CW22" s="132"/>
      <c r="CX22" s="132"/>
      <c r="CY22" s="132"/>
      <c r="CZ22" s="132"/>
      <c r="DA22" s="132"/>
      <c r="DB22" s="132"/>
      <c r="DC22" s="137"/>
      <c r="DD22" s="132"/>
      <c r="DE22" s="132"/>
      <c r="DF22" s="132"/>
      <c r="DG22" s="132">
        <f t="shared" si="2"/>
        <v>0</v>
      </c>
    </row>
    <row r="23" spans="1:111" s="125" customFormat="1" ht="17.100000000000001" customHeight="1" x14ac:dyDescent="0.25">
      <c r="A23" s="126"/>
      <c r="B23" s="127"/>
      <c r="C23" s="128"/>
      <c r="D23" s="148"/>
      <c r="E23" s="130"/>
      <c r="F23" s="128"/>
      <c r="G23" s="131"/>
      <c r="H23" s="132"/>
      <c r="I23" s="133"/>
      <c r="J23" s="134"/>
      <c r="K23" s="132"/>
      <c r="L23" s="133"/>
      <c r="M23" s="134"/>
      <c r="N23" s="133"/>
      <c r="O23" s="134"/>
      <c r="P23" s="133"/>
      <c r="Q23" s="134"/>
      <c r="R23" s="132"/>
      <c r="S23" s="132"/>
      <c r="T23" s="133"/>
      <c r="U23" s="134"/>
      <c r="V23" s="132"/>
      <c r="W23" s="135"/>
      <c r="X23" s="136"/>
      <c r="Y23" s="132"/>
      <c r="Z23" s="132"/>
      <c r="AA23" s="132"/>
      <c r="AB23" s="132"/>
      <c r="AC23" s="132"/>
      <c r="AD23" s="135"/>
      <c r="AE23" s="136"/>
      <c r="AF23" s="132"/>
      <c r="AG23" s="137"/>
      <c r="AH23" s="132"/>
      <c r="AI23" s="132"/>
      <c r="AJ23" s="132"/>
      <c r="AK23" s="132"/>
      <c r="AL23" s="132"/>
      <c r="AM23" s="132"/>
      <c r="AN23" s="132"/>
      <c r="AO23" s="132"/>
      <c r="AP23" s="135"/>
      <c r="AQ23" s="136"/>
      <c r="AR23" s="132"/>
      <c r="AS23" s="132"/>
      <c r="AT23" s="132"/>
      <c r="AU23" s="135"/>
      <c r="AV23" s="136"/>
      <c r="AW23" s="132"/>
      <c r="AX23" s="132"/>
      <c r="AY23" s="135"/>
      <c r="AZ23" s="136"/>
      <c r="BA23" s="132"/>
      <c r="BB23" s="132"/>
      <c r="BC23" s="135"/>
      <c r="BD23" s="136"/>
      <c r="BE23" s="132"/>
      <c r="BF23" s="132"/>
      <c r="BG23" s="135"/>
      <c r="BH23" s="136"/>
      <c r="BI23" s="132"/>
      <c r="BJ23" s="132"/>
      <c r="BK23" s="132"/>
      <c r="BL23" s="135"/>
      <c r="BM23" s="136"/>
      <c r="BN23" s="132"/>
      <c r="BO23" s="132"/>
      <c r="BP23" s="135"/>
      <c r="BQ23" s="136"/>
      <c r="BR23" s="137"/>
      <c r="BS23" s="132"/>
      <c r="BT23" s="132"/>
      <c r="BU23" s="132"/>
      <c r="BV23" s="132"/>
      <c r="BW23" s="135"/>
      <c r="BX23" s="136"/>
      <c r="BY23" s="132"/>
      <c r="BZ23" s="132"/>
      <c r="CA23" s="135"/>
      <c r="CB23" s="136"/>
      <c r="CC23" s="132"/>
      <c r="CD23" s="132"/>
      <c r="CE23" s="132"/>
      <c r="CF23" s="132"/>
      <c r="CG23" s="135"/>
      <c r="CH23" s="136"/>
      <c r="CI23" s="136"/>
      <c r="CJ23" s="132"/>
      <c r="CK23" s="132"/>
      <c r="CL23" s="135"/>
      <c r="CM23" s="136"/>
      <c r="CN23" s="132"/>
      <c r="CO23" s="132"/>
      <c r="CP23" s="132"/>
      <c r="CQ23" s="132"/>
      <c r="CR23" s="137"/>
      <c r="CS23" s="132"/>
      <c r="CT23" s="132"/>
      <c r="CU23" s="132"/>
      <c r="CV23" s="137"/>
      <c r="CW23" s="132"/>
      <c r="CX23" s="132"/>
      <c r="CY23" s="132"/>
      <c r="CZ23" s="132"/>
      <c r="DA23" s="132"/>
      <c r="DB23" s="132"/>
      <c r="DC23" s="137"/>
      <c r="DD23" s="132"/>
      <c r="DE23" s="132"/>
      <c r="DF23" s="132"/>
      <c r="DG23" s="132">
        <f t="shared" si="2"/>
        <v>0</v>
      </c>
    </row>
    <row r="24" spans="1:111" s="125" customFormat="1" ht="17.100000000000001" customHeight="1" x14ac:dyDescent="0.25">
      <c r="A24" s="126"/>
      <c r="B24" s="127"/>
      <c r="C24" s="128"/>
      <c r="D24" s="148"/>
      <c r="E24" s="130"/>
      <c r="F24" s="128"/>
      <c r="G24" s="131"/>
      <c r="H24" s="132"/>
      <c r="I24" s="133"/>
      <c r="J24" s="134"/>
      <c r="K24" s="132"/>
      <c r="L24" s="133"/>
      <c r="M24" s="134"/>
      <c r="N24" s="133"/>
      <c r="O24" s="134"/>
      <c r="P24" s="133"/>
      <c r="Q24" s="134"/>
      <c r="R24" s="132"/>
      <c r="S24" s="132"/>
      <c r="T24" s="133"/>
      <c r="U24" s="134"/>
      <c r="V24" s="132"/>
      <c r="W24" s="135"/>
      <c r="X24" s="136"/>
      <c r="Y24" s="132"/>
      <c r="Z24" s="132"/>
      <c r="AA24" s="132"/>
      <c r="AB24" s="132"/>
      <c r="AC24" s="132"/>
      <c r="AD24" s="135"/>
      <c r="AE24" s="136"/>
      <c r="AF24" s="132"/>
      <c r="AG24" s="137"/>
      <c r="AH24" s="132"/>
      <c r="AI24" s="132"/>
      <c r="AJ24" s="132"/>
      <c r="AK24" s="132"/>
      <c r="AL24" s="132"/>
      <c r="AM24" s="132"/>
      <c r="AN24" s="132"/>
      <c r="AO24" s="132"/>
      <c r="AP24" s="135"/>
      <c r="AQ24" s="136"/>
      <c r="AR24" s="132"/>
      <c r="AS24" s="132"/>
      <c r="AT24" s="132"/>
      <c r="AU24" s="135"/>
      <c r="AV24" s="136"/>
      <c r="AW24" s="132"/>
      <c r="AX24" s="132"/>
      <c r="AY24" s="135"/>
      <c r="AZ24" s="136"/>
      <c r="BA24" s="132"/>
      <c r="BB24" s="132"/>
      <c r="BC24" s="135"/>
      <c r="BD24" s="136"/>
      <c r="BE24" s="132"/>
      <c r="BF24" s="132"/>
      <c r="BG24" s="135"/>
      <c r="BH24" s="136"/>
      <c r="BI24" s="132"/>
      <c r="BJ24" s="132"/>
      <c r="BK24" s="132"/>
      <c r="BL24" s="135"/>
      <c r="BM24" s="136"/>
      <c r="BN24" s="132"/>
      <c r="BO24" s="132"/>
      <c r="BP24" s="135"/>
      <c r="BQ24" s="136"/>
      <c r="BR24" s="137"/>
      <c r="BS24" s="132"/>
      <c r="BT24" s="132"/>
      <c r="BU24" s="132"/>
      <c r="BV24" s="132"/>
      <c r="BW24" s="135"/>
      <c r="BX24" s="136"/>
      <c r="BY24" s="132"/>
      <c r="BZ24" s="132"/>
      <c r="CA24" s="135"/>
      <c r="CB24" s="136"/>
      <c r="CC24" s="132"/>
      <c r="CD24" s="132"/>
      <c r="CE24" s="132"/>
      <c r="CF24" s="132"/>
      <c r="CG24" s="135"/>
      <c r="CH24" s="136"/>
      <c r="CI24" s="136"/>
      <c r="CJ24" s="132"/>
      <c r="CK24" s="132"/>
      <c r="CL24" s="135"/>
      <c r="CM24" s="136"/>
      <c r="CN24" s="132"/>
      <c r="CO24" s="132"/>
      <c r="CP24" s="132"/>
      <c r="CQ24" s="132"/>
      <c r="CR24" s="137"/>
      <c r="CS24" s="132"/>
      <c r="CT24" s="132"/>
      <c r="CU24" s="132"/>
      <c r="CV24" s="137"/>
      <c r="CW24" s="132"/>
      <c r="CX24" s="132"/>
      <c r="CY24" s="132"/>
      <c r="CZ24" s="132"/>
      <c r="DA24" s="132"/>
      <c r="DB24" s="132"/>
      <c r="DC24" s="137"/>
      <c r="DD24" s="132"/>
      <c r="DE24" s="132"/>
      <c r="DF24" s="132"/>
      <c r="DG24" s="132">
        <f t="shared" si="2"/>
        <v>0</v>
      </c>
    </row>
    <row r="25" spans="1:111" s="125" customFormat="1" ht="17.100000000000001" customHeight="1" x14ac:dyDescent="0.25">
      <c r="A25" s="126"/>
      <c r="B25" s="127"/>
      <c r="C25" s="128"/>
      <c r="D25" s="129"/>
      <c r="E25" s="130"/>
      <c r="F25" s="128"/>
      <c r="G25" s="131"/>
      <c r="H25" s="132"/>
      <c r="I25" s="133"/>
      <c r="J25" s="134"/>
      <c r="K25" s="132"/>
      <c r="L25" s="133"/>
      <c r="M25" s="134"/>
      <c r="N25" s="133"/>
      <c r="O25" s="134"/>
      <c r="P25" s="133"/>
      <c r="Q25" s="134"/>
      <c r="R25" s="132"/>
      <c r="S25" s="132"/>
      <c r="T25" s="133"/>
      <c r="U25" s="134"/>
      <c r="V25" s="132"/>
      <c r="W25" s="135"/>
      <c r="X25" s="136"/>
      <c r="Y25" s="132"/>
      <c r="Z25" s="132"/>
      <c r="AA25" s="132"/>
      <c r="AB25" s="132"/>
      <c r="AC25" s="132"/>
      <c r="AD25" s="135"/>
      <c r="AE25" s="136"/>
      <c r="AF25" s="132"/>
      <c r="AG25" s="137"/>
      <c r="AH25" s="132"/>
      <c r="AI25" s="132"/>
      <c r="AJ25" s="132"/>
      <c r="AK25" s="132"/>
      <c r="AL25" s="132"/>
      <c r="AM25" s="132"/>
      <c r="AN25" s="132"/>
      <c r="AO25" s="132"/>
      <c r="AP25" s="135"/>
      <c r="AQ25" s="136"/>
      <c r="AR25" s="132"/>
      <c r="AS25" s="132"/>
      <c r="AT25" s="132"/>
      <c r="AU25" s="135"/>
      <c r="AV25" s="136"/>
      <c r="AW25" s="132"/>
      <c r="AX25" s="132"/>
      <c r="AY25" s="135"/>
      <c r="AZ25" s="136"/>
      <c r="BA25" s="132"/>
      <c r="BB25" s="132"/>
      <c r="BC25" s="135"/>
      <c r="BD25" s="136"/>
      <c r="BE25" s="132"/>
      <c r="BF25" s="132"/>
      <c r="BG25" s="135"/>
      <c r="BH25" s="136"/>
      <c r="BI25" s="132"/>
      <c r="BJ25" s="132"/>
      <c r="BK25" s="132"/>
      <c r="BL25" s="135"/>
      <c r="BM25" s="136"/>
      <c r="BN25" s="132"/>
      <c r="BO25" s="132"/>
      <c r="BP25" s="135"/>
      <c r="BQ25" s="136"/>
      <c r="BR25" s="137"/>
      <c r="BS25" s="132"/>
      <c r="BT25" s="132"/>
      <c r="BU25" s="132"/>
      <c r="BV25" s="132"/>
      <c r="BW25" s="135"/>
      <c r="BX25" s="136"/>
      <c r="BY25" s="132"/>
      <c r="BZ25" s="132"/>
      <c r="CA25" s="135"/>
      <c r="CB25" s="136"/>
      <c r="CC25" s="132"/>
      <c r="CD25" s="132"/>
      <c r="CE25" s="132"/>
      <c r="CF25" s="132"/>
      <c r="CG25" s="135"/>
      <c r="CH25" s="136"/>
      <c r="CI25" s="136"/>
      <c r="CJ25" s="132"/>
      <c r="CK25" s="132"/>
      <c r="CL25" s="135"/>
      <c r="CM25" s="136"/>
      <c r="CN25" s="132"/>
      <c r="CO25" s="132"/>
      <c r="CP25" s="132"/>
      <c r="CQ25" s="132"/>
      <c r="CR25" s="137"/>
      <c r="CS25" s="132"/>
      <c r="CT25" s="132"/>
      <c r="CU25" s="132"/>
      <c r="CV25" s="137"/>
      <c r="CW25" s="132"/>
      <c r="CX25" s="132"/>
      <c r="CY25" s="132"/>
      <c r="CZ25" s="132"/>
      <c r="DA25" s="132"/>
      <c r="DB25" s="132"/>
      <c r="DC25" s="137"/>
      <c r="DD25" s="132"/>
      <c r="DE25" s="132"/>
      <c r="DF25" s="132"/>
      <c r="DG25" s="132">
        <f t="shared" si="2"/>
        <v>0</v>
      </c>
    </row>
    <row r="26" spans="1:111" s="125" customFormat="1" ht="17.100000000000001" customHeight="1" x14ac:dyDescent="0.25">
      <c r="A26" s="126"/>
      <c r="B26" s="127"/>
      <c r="C26" s="128"/>
      <c r="D26" s="129"/>
      <c r="E26" s="130"/>
      <c r="F26" s="128"/>
      <c r="G26" s="131"/>
      <c r="H26" s="132"/>
      <c r="I26" s="133"/>
      <c r="J26" s="134"/>
      <c r="K26" s="132"/>
      <c r="L26" s="133"/>
      <c r="M26" s="134"/>
      <c r="N26" s="133"/>
      <c r="O26" s="134"/>
      <c r="P26" s="133"/>
      <c r="Q26" s="134"/>
      <c r="R26" s="132"/>
      <c r="S26" s="132"/>
      <c r="T26" s="133"/>
      <c r="U26" s="134"/>
      <c r="V26" s="132"/>
      <c r="W26" s="135"/>
      <c r="X26" s="136"/>
      <c r="Y26" s="132"/>
      <c r="Z26" s="132"/>
      <c r="AA26" s="132"/>
      <c r="AB26" s="132"/>
      <c r="AC26" s="132"/>
      <c r="AD26" s="135"/>
      <c r="AE26" s="136"/>
      <c r="AF26" s="132"/>
      <c r="AG26" s="137"/>
      <c r="AH26" s="132"/>
      <c r="AI26" s="132"/>
      <c r="AJ26" s="132"/>
      <c r="AK26" s="132"/>
      <c r="AL26" s="132"/>
      <c r="AM26" s="132"/>
      <c r="AN26" s="132"/>
      <c r="AO26" s="132"/>
      <c r="AP26" s="135"/>
      <c r="AQ26" s="136"/>
      <c r="AR26" s="132"/>
      <c r="AS26" s="132"/>
      <c r="AT26" s="132"/>
      <c r="AU26" s="135"/>
      <c r="AV26" s="136"/>
      <c r="AW26" s="132"/>
      <c r="AX26" s="132"/>
      <c r="AY26" s="135"/>
      <c r="AZ26" s="136"/>
      <c r="BA26" s="132"/>
      <c r="BB26" s="132"/>
      <c r="BC26" s="135"/>
      <c r="BD26" s="136"/>
      <c r="BE26" s="132"/>
      <c r="BF26" s="132"/>
      <c r="BG26" s="135"/>
      <c r="BH26" s="136"/>
      <c r="BI26" s="132"/>
      <c r="BJ26" s="132"/>
      <c r="BK26" s="132"/>
      <c r="BL26" s="135"/>
      <c r="BM26" s="136"/>
      <c r="BN26" s="132"/>
      <c r="BO26" s="132"/>
      <c r="BP26" s="135"/>
      <c r="BQ26" s="136"/>
      <c r="BR26" s="137"/>
      <c r="BS26" s="132"/>
      <c r="BT26" s="132"/>
      <c r="BU26" s="132"/>
      <c r="BV26" s="132"/>
      <c r="BW26" s="135"/>
      <c r="BX26" s="136"/>
      <c r="BY26" s="132"/>
      <c r="BZ26" s="132"/>
      <c r="CA26" s="135"/>
      <c r="CB26" s="136"/>
      <c r="CC26" s="132"/>
      <c r="CD26" s="132"/>
      <c r="CE26" s="132"/>
      <c r="CF26" s="132"/>
      <c r="CG26" s="135"/>
      <c r="CH26" s="136"/>
      <c r="CI26" s="136"/>
      <c r="CJ26" s="132"/>
      <c r="CK26" s="132"/>
      <c r="CL26" s="135"/>
      <c r="CM26" s="136"/>
      <c r="CN26" s="132"/>
      <c r="CO26" s="132"/>
      <c r="CP26" s="132"/>
      <c r="CQ26" s="132"/>
      <c r="CR26" s="137"/>
      <c r="CS26" s="132"/>
      <c r="CT26" s="132"/>
      <c r="CU26" s="132"/>
      <c r="CV26" s="137"/>
      <c r="CW26" s="132"/>
      <c r="CX26" s="132"/>
      <c r="CY26" s="132"/>
      <c r="CZ26" s="132"/>
      <c r="DA26" s="132"/>
      <c r="DB26" s="132"/>
      <c r="DC26" s="137"/>
      <c r="DD26" s="132"/>
      <c r="DE26" s="132"/>
      <c r="DF26" s="132"/>
      <c r="DG26" s="132">
        <f t="shared" si="2"/>
        <v>0</v>
      </c>
    </row>
    <row r="27" spans="1:111" s="125" customFormat="1" ht="17.100000000000001" customHeight="1" x14ac:dyDescent="0.25">
      <c r="A27" s="126"/>
      <c r="B27" s="127"/>
      <c r="C27" s="128"/>
      <c r="D27" s="129"/>
      <c r="E27" s="130"/>
      <c r="F27" s="144"/>
      <c r="G27" s="138"/>
      <c r="H27" s="132"/>
      <c r="I27" s="133"/>
      <c r="J27" s="134"/>
      <c r="K27" s="132"/>
      <c r="L27" s="133"/>
      <c r="M27" s="134"/>
      <c r="N27" s="133"/>
      <c r="O27" s="134"/>
      <c r="P27" s="133"/>
      <c r="Q27" s="134"/>
      <c r="R27" s="132"/>
      <c r="S27" s="132"/>
      <c r="T27" s="133"/>
      <c r="U27" s="134"/>
      <c r="V27" s="132"/>
      <c r="W27" s="135"/>
      <c r="X27" s="136"/>
      <c r="Y27" s="132"/>
      <c r="Z27" s="132"/>
      <c r="AA27" s="132"/>
      <c r="AB27" s="132"/>
      <c r="AC27" s="132"/>
      <c r="AD27" s="135"/>
      <c r="AE27" s="136"/>
      <c r="AF27" s="132"/>
      <c r="AG27" s="137"/>
      <c r="AH27" s="132"/>
      <c r="AI27" s="132"/>
      <c r="AJ27" s="132"/>
      <c r="AK27" s="132"/>
      <c r="AL27" s="132"/>
      <c r="AM27" s="132"/>
      <c r="AN27" s="132"/>
      <c r="AO27" s="132"/>
      <c r="AP27" s="135"/>
      <c r="AQ27" s="136"/>
      <c r="AR27" s="132"/>
      <c r="AS27" s="132"/>
      <c r="AT27" s="132"/>
      <c r="AU27" s="135"/>
      <c r="AV27" s="136"/>
      <c r="AW27" s="132"/>
      <c r="AX27" s="132"/>
      <c r="AY27" s="135"/>
      <c r="AZ27" s="136"/>
      <c r="BA27" s="132"/>
      <c r="BB27" s="132"/>
      <c r="BC27" s="135"/>
      <c r="BD27" s="136"/>
      <c r="BE27" s="132"/>
      <c r="BF27" s="132"/>
      <c r="BG27" s="135"/>
      <c r="BH27" s="136"/>
      <c r="BI27" s="132"/>
      <c r="BJ27" s="132"/>
      <c r="BK27" s="132"/>
      <c r="BL27" s="135"/>
      <c r="BM27" s="136"/>
      <c r="BN27" s="132"/>
      <c r="BO27" s="132"/>
      <c r="BP27" s="135"/>
      <c r="BQ27" s="136"/>
      <c r="BR27" s="137"/>
      <c r="BS27" s="132"/>
      <c r="BT27" s="132"/>
      <c r="BU27" s="132"/>
      <c r="BV27" s="132"/>
      <c r="BW27" s="135"/>
      <c r="BX27" s="136"/>
      <c r="BY27" s="132"/>
      <c r="BZ27" s="132"/>
      <c r="CA27" s="135"/>
      <c r="CB27" s="136"/>
      <c r="CC27" s="132"/>
      <c r="CD27" s="132"/>
      <c r="CE27" s="132"/>
      <c r="CF27" s="132"/>
      <c r="CG27" s="135"/>
      <c r="CH27" s="136"/>
      <c r="CI27" s="136"/>
      <c r="CJ27" s="132"/>
      <c r="CK27" s="132"/>
      <c r="CL27" s="135"/>
      <c r="CM27" s="136"/>
      <c r="CN27" s="132"/>
      <c r="CO27" s="132"/>
      <c r="CP27" s="132"/>
      <c r="CQ27" s="132"/>
      <c r="CR27" s="137"/>
      <c r="CS27" s="132"/>
      <c r="CT27" s="132"/>
      <c r="CU27" s="132"/>
      <c r="CV27" s="137"/>
      <c r="CW27" s="132"/>
      <c r="CX27" s="132"/>
      <c r="CY27" s="132"/>
      <c r="CZ27" s="132"/>
      <c r="DA27" s="132"/>
      <c r="DB27" s="132"/>
      <c r="DC27" s="137"/>
      <c r="DD27" s="132"/>
      <c r="DE27" s="132"/>
      <c r="DF27" s="132"/>
      <c r="DG27" s="132">
        <f t="shared" si="2"/>
        <v>0</v>
      </c>
    </row>
    <row r="28" spans="1:111" s="125" customFormat="1" ht="17.100000000000001" customHeight="1" x14ac:dyDescent="0.25">
      <c r="A28" s="126"/>
      <c r="B28" s="127"/>
      <c r="C28" s="128"/>
      <c r="D28" s="129"/>
      <c r="E28" s="130"/>
      <c r="F28" s="128"/>
      <c r="G28" s="131"/>
      <c r="H28" s="132"/>
      <c r="I28" s="133"/>
      <c r="J28" s="134"/>
      <c r="K28" s="132"/>
      <c r="L28" s="133"/>
      <c r="M28" s="134"/>
      <c r="N28" s="133"/>
      <c r="O28" s="134"/>
      <c r="P28" s="133"/>
      <c r="Q28" s="134"/>
      <c r="R28" s="132"/>
      <c r="S28" s="132"/>
      <c r="T28" s="133"/>
      <c r="U28" s="134"/>
      <c r="V28" s="132"/>
      <c r="W28" s="135"/>
      <c r="X28" s="136"/>
      <c r="Y28" s="132"/>
      <c r="Z28" s="132"/>
      <c r="AA28" s="132"/>
      <c r="AB28" s="132"/>
      <c r="AC28" s="132"/>
      <c r="AD28" s="135"/>
      <c r="AE28" s="136"/>
      <c r="AF28" s="132"/>
      <c r="AG28" s="137"/>
      <c r="AH28" s="132"/>
      <c r="AI28" s="132"/>
      <c r="AJ28" s="132"/>
      <c r="AK28" s="132"/>
      <c r="AL28" s="132"/>
      <c r="AM28" s="132"/>
      <c r="AN28" s="132"/>
      <c r="AO28" s="132"/>
      <c r="AP28" s="135"/>
      <c r="AQ28" s="136"/>
      <c r="AR28" s="132"/>
      <c r="AS28" s="132"/>
      <c r="AT28" s="132"/>
      <c r="AU28" s="135"/>
      <c r="AV28" s="136"/>
      <c r="AW28" s="132"/>
      <c r="AX28" s="132"/>
      <c r="AY28" s="135"/>
      <c r="AZ28" s="136"/>
      <c r="BA28" s="132"/>
      <c r="BB28" s="132"/>
      <c r="BC28" s="135"/>
      <c r="BD28" s="136"/>
      <c r="BE28" s="132"/>
      <c r="BF28" s="132"/>
      <c r="BG28" s="135"/>
      <c r="BH28" s="136"/>
      <c r="BI28" s="132"/>
      <c r="BJ28" s="132"/>
      <c r="BK28" s="132"/>
      <c r="BL28" s="135"/>
      <c r="BM28" s="136"/>
      <c r="BN28" s="132"/>
      <c r="BO28" s="132"/>
      <c r="BP28" s="135"/>
      <c r="BQ28" s="136"/>
      <c r="BR28" s="137"/>
      <c r="BS28" s="132"/>
      <c r="BT28" s="132"/>
      <c r="BU28" s="132"/>
      <c r="BV28" s="132"/>
      <c r="BW28" s="135"/>
      <c r="BX28" s="136"/>
      <c r="BY28" s="132"/>
      <c r="BZ28" s="132"/>
      <c r="CA28" s="135"/>
      <c r="CB28" s="136"/>
      <c r="CC28" s="132"/>
      <c r="CD28" s="132"/>
      <c r="CE28" s="132"/>
      <c r="CF28" s="132"/>
      <c r="CG28" s="135"/>
      <c r="CH28" s="136"/>
      <c r="CI28" s="136"/>
      <c r="CJ28" s="132"/>
      <c r="CK28" s="132"/>
      <c r="CL28" s="135"/>
      <c r="CM28" s="136"/>
      <c r="CN28" s="132"/>
      <c r="CO28" s="132"/>
      <c r="CP28" s="132"/>
      <c r="CQ28" s="132"/>
      <c r="CR28" s="137"/>
      <c r="CS28" s="132"/>
      <c r="CT28" s="132"/>
      <c r="CU28" s="132"/>
      <c r="CV28" s="137"/>
      <c r="CW28" s="132"/>
      <c r="CX28" s="132"/>
      <c r="CY28" s="132"/>
      <c r="CZ28" s="132"/>
      <c r="DA28" s="132"/>
      <c r="DB28" s="132"/>
      <c r="DC28" s="137"/>
      <c r="DD28" s="132"/>
      <c r="DE28" s="132"/>
      <c r="DF28" s="132"/>
      <c r="DG28" s="132">
        <f t="shared" si="2"/>
        <v>0</v>
      </c>
    </row>
    <row r="29" spans="1:111" s="125" customFormat="1" ht="17.100000000000001" customHeight="1" x14ac:dyDescent="0.25">
      <c r="A29" s="126"/>
      <c r="B29" s="127"/>
      <c r="C29" s="128"/>
      <c r="D29" s="129"/>
      <c r="E29" s="130"/>
      <c r="F29" s="128"/>
      <c r="G29" s="131"/>
      <c r="H29" s="132"/>
      <c r="I29" s="133"/>
      <c r="J29" s="134"/>
      <c r="K29" s="132"/>
      <c r="L29" s="133"/>
      <c r="M29" s="134"/>
      <c r="N29" s="133"/>
      <c r="O29" s="134"/>
      <c r="P29" s="133"/>
      <c r="Q29" s="134"/>
      <c r="R29" s="132"/>
      <c r="S29" s="132"/>
      <c r="T29" s="133"/>
      <c r="U29" s="134"/>
      <c r="V29" s="132"/>
      <c r="W29" s="135"/>
      <c r="X29" s="136"/>
      <c r="Y29" s="132"/>
      <c r="Z29" s="132"/>
      <c r="AA29" s="132"/>
      <c r="AB29" s="132"/>
      <c r="AC29" s="132"/>
      <c r="AD29" s="135"/>
      <c r="AE29" s="136"/>
      <c r="AF29" s="132"/>
      <c r="AG29" s="137"/>
      <c r="AH29" s="132"/>
      <c r="AI29" s="132"/>
      <c r="AJ29" s="132"/>
      <c r="AK29" s="132"/>
      <c r="AL29" s="132"/>
      <c r="AM29" s="132"/>
      <c r="AN29" s="132"/>
      <c r="AO29" s="132"/>
      <c r="AP29" s="135"/>
      <c r="AQ29" s="136"/>
      <c r="AR29" s="132"/>
      <c r="AS29" s="132"/>
      <c r="AT29" s="132"/>
      <c r="AU29" s="135"/>
      <c r="AV29" s="136"/>
      <c r="AW29" s="132"/>
      <c r="AX29" s="132"/>
      <c r="AY29" s="135"/>
      <c r="AZ29" s="136"/>
      <c r="BA29" s="132"/>
      <c r="BB29" s="132"/>
      <c r="BC29" s="135"/>
      <c r="BD29" s="136"/>
      <c r="BE29" s="132"/>
      <c r="BF29" s="132"/>
      <c r="BG29" s="135"/>
      <c r="BH29" s="136"/>
      <c r="BI29" s="132"/>
      <c r="BJ29" s="132"/>
      <c r="BK29" s="132"/>
      <c r="BL29" s="135"/>
      <c r="BM29" s="136"/>
      <c r="BN29" s="132"/>
      <c r="BO29" s="132"/>
      <c r="BP29" s="135"/>
      <c r="BQ29" s="136"/>
      <c r="BR29" s="137"/>
      <c r="BS29" s="132"/>
      <c r="BT29" s="132"/>
      <c r="BU29" s="132"/>
      <c r="BV29" s="132"/>
      <c r="BW29" s="135"/>
      <c r="BX29" s="136"/>
      <c r="BY29" s="132"/>
      <c r="BZ29" s="132"/>
      <c r="CA29" s="135"/>
      <c r="CB29" s="136"/>
      <c r="CC29" s="132"/>
      <c r="CD29" s="132"/>
      <c r="CE29" s="132"/>
      <c r="CF29" s="132"/>
      <c r="CG29" s="135"/>
      <c r="CH29" s="136"/>
      <c r="CI29" s="136"/>
      <c r="CJ29" s="132"/>
      <c r="CK29" s="132"/>
      <c r="CL29" s="135"/>
      <c r="CM29" s="136"/>
      <c r="CN29" s="132"/>
      <c r="CO29" s="132"/>
      <c r="CP29" s="132"/>
      <c r="CQ29" s="132"/>
      <c r="CR29" s="137"/>
      <c r="CS29" s="132"/>
      <c r="CT29" s="132"/>
      <c r="CU29" s="132"/>
      <c r="CV29" s="137"/>
      <c r="CW29" s="132"/>
      <c r="CX29" s="132"/>
      <c r="CY29" s="132"/>
      <c r="CZ29" s="132"/>
      <c r="DA29" s="132"/>
      <c r="DB29" s="132"/>
      <c r="DC29" s="137"/>
      <c r="DD29" s="132"/>
      <c r="DE29" s="132"/>
      <c r="DF29" s="132"/>
      <c r="DG29" s="132">
        <f t="shared" si="2"/>
        <v>0</v>
      </c>
    </row>
    <row r="30" spans="1:111" s="125" customFormat="1" ht="17.100000000000001" customHeight="1" x14ac:dyDescent="0.25">
      <c r="A30" s="126"/>
      <c r="B30" s="127"/>
      <c r="C30" s="128"/>
      <c r="D30" s="129"/>
      <c r="E30" s="130"/>
      <c r="F30" s="144"/>
      <c r="G30" s="138"/>
      <c r="H30" s="132"/>
      <c r="I30" s="133"/>
      <c r="J30" s="134"/>
      <c r="K30" s="132"/>
      <c r="L30" s="133"/>
      <c r="M30" s="134"/>
      <c r="N30" s="133"/>
      <c r="O30" s="134"/>
      <c r="P30" s="133"/>
      <c r="Q30" s="134"/>
      <c r="R30" s="132"/>
      <c r="S30" s="132"/>
      <c r="T30" s="133"/>
      <c r="U30" s="134"/>
      <c r="V30" s="132"/>
      <c r="W30" s="135"/>
      <c r="X30" s="136"/>
      <c r="Y30" s="132"/>
      <c r="Z30" s="132"/>
      <c r="AA30" s="132"/>
      <c r="AB30" s="132"/>
      <c r="AC30" s="132"/>
      <c r="AD30" s="135"/>
      <c r="AE30" s="136"/>
      <c r="AF30" s="132"/>
      <c r="AG30" s="137"/>
      <c r="AH30" s="132"/>
      <c r="AI30" s="132"/>
      <c r="AJ30" s="132"/>
      <c r="AK30" s="132"/>
      <c r="AL30" s="132"/>
      <c r="AM30" s="132"/>
      <c r="AN30" s="132"/>
      <c r="AO30" s="132"/>
      <c r="AP30" s="135"/>
      <c r="AQ30" s="136"/>
      <c r="AR30" s="132"/>
      <c r="AS30" s="132"/>
      <c r="AT30" s="132"/>
      <c r="AU30" s="135"/>
      <c r="AV30" s="136"/>
      <c r="AW30" s="132"/>
      <c r="AX30" s="132"/>
      <c r="AY30" s="135"/>
      <c r="AZ30" s="136"/>
      <c r="BA30" s="132"/>
      <c r="BB30" s="132"/>
      <c r="BC30" s="135"/>
      <c r="BD30" s="136"/>
      <c r="BE30" s="132"/>
      <c r="BF30" s="132"/>
      <c r="BG30" s="135"/>
      <c r="BH30" s="136"/>
      <c r="BI30" s="132"/>
      <c r="BJ30" s="132"/>
      <c r="BK30" s="140"/>
      <c r="BL30" s="145"/>
      <c r="BM30" s="136"/>
      <c r="BN30" s="132"/>
      <c r="BO30" s="132"/>
      <c r="BP30" s="135"/>
      <c r="BQ30" s="136"/>
      <c r="BR30" s="137"/>
      <c r="BS30" s="132"/>
      <c r="BT30" s="132"/>
      <c r="BU30" s="132"/>
      <c r="BV30" s="132"/>
      <c r="BW30" s="135"/>
      <c r="BX30" s="136"/>
      <c r="BY30" s="132"/>
      <c r="BZ30" s="132"/>
      <c r="CA30" s="135"/>
      <c r="CB30" s="136"/>
      <c r="CC30" s="132"/>
      <c r="CD30" s="132"/>
      <c r="CE30" s="132"/>
      <c r="CF30" s="132"/>
      <c r="CG30" s="135"/>
      <c r="CH30" s="136"/>
      <c r="CI30" s="136"/>
      <c r="CJ30" s="132"/>
      <c r="CK30" s="132"/>
      <c r="CL30" s="135"/>
      <c r="CM30" s="136"/>
      <c r="CN30" s="132"/>
      <c r="CO30" s="132"/>
      <c r="CP30" s="132"/>
      <c r="CQ30" s="132"/>
      <c r="CR30" s="137"/>
      <c r="CS30" s="132"/>
      <c r="CT30" s="132"/>
      <c r="CU30" s="132"/>
      <c r="CV30" s="137"/>
      <c r="CW30" s="132"/>
      <c r="CX30" s="132"/>
      <c r="CY30" s="132"/>
      <c r="CZ30" s="132"/>
      <c r="DA30" s="132"/>
      <c r="DB30" s="132"/>
      <c r="DC30" s="137"/>
      <c r="DD30" s="132"/>
      <c r="DE30" s="132"/>
      <c r="DF30" s="132"/>
      <c r="DG30" s="132">
        <f t="shared" si="2"/>
        <v>0</v>
      </c>
    </row>
    <row r="31" spans="1:111" s="125" customFormat="1" ht="17.100000000000001" customHeight="1" x14ac:dyDescent="0.25">
      <c r="A31" s="126"/>
      <c r="B31" s="127"/>
      <c r="C31" s="128"/>
      <c r="D31" s="129"/>
      <c r="E31" s="130"/>
      <c r="F31" s="144"/>
      <c r="G31" s="138"/>
      <c r="H31" s="132"/>
      <c r="I31" s="133"/>
      <c r="J31" s="134"/>
      <c r="K31" s="140"/>
      <c r="L31" s="133"/>
      <c r="M31" s="134"/>
      <c r="N31" s="133"/>
      <c r="O31" s="134"/>
      <c r="P31" s="133"/>
      <c r="Q31" s="134"/>
      <c r="R31" s="132"/>
      <c r="S31" s="132"/>
      <c r="T31" s="133"/>
      <c r="U31" s="134"/>
      <c r="V31" s="132"/>
      <c r="W31" s="135"/>
      <c r="X31" s="136"/>
      <c r="Y31" s="132"/>
      <c r="Z31" s="132"/>
      <c r="AA31" s="132"/>
      <c r="AB31" s="132"/>
      <c r="AC31" s="132"/>
      <c r="AD31" s="135"/>
      <c r="AE31" s="136"/>
      <c r="AF31" s="132"/>
      <c r="AG31" s="137"/>
      <c r="AH31" s="132"/>
      <c r="AI31" s="132"/>
      <c r="AJ31" s="132"/>
      <c r="AK31" s="132"/>
      <c r="AL31" s="132"/>
      <c r="AM31" s="132"/>
      <c r="AN31" s="132"/>
      <c r="AO31" s="132"/>
      <c r="AP31" s="135"/>
      <c r="AQ31" s="136"/>
      <c r="AR31" s="132"/>
      <c r="AS31" s="132"/>
      <c r="AT31" s="132"/>
      <c r="AU31" s="135"/>
      <c r="AV31" s="136"/>
      <c r="AW31" s="132"/>
      <c r="AX31" s="132"/>
      <c r="AY31" s="135"/>
      <c r="AZ31" s="136"/>
      <c r="BA31" s="132"/>
      <c r="BB31" s="132"/>
      <c r="BC31" s="135"/>
      <c r="BD31" s="136"/>
      <c r="BE31" s="132"/>
      <c r="BF31" s="132"/>
      <c r="BG31" s="135"/>
      <c r="BH31" s="136"/>
      <c r="BI31" s="132"/>
      <c r="BJ31" s="132"/>
      <c r="BK31" s="132"/>
      <c r="BL31" s="135"/>
      <c r="BM31" s="136"/>
      <c r="BN31" s="132"/>
      <c r="BO31" s="132"/>
      <c r="BP31" s="135"/>
      <c r="BQ31" s="136"/>
      <c r="BR31" s="137"/>
      <c r="BS31" s="132"/>
      <c r="BT31" s="132"/>
      <c r="BU31" s="132"/>
      <c r="BV31" s="132"/>
      <c r="BW31" s="135"/>
      <c r="BX31" s="136"/>
      <c r="BY31" s="132"/>
      <c r="BZ31" s="132"/>
      <c r="CA31" s="135"/>
      <c r="CB31" s="136"/>
      <c r="CC31" s="132"/>
      <c r="CD31" s="132"/>
      <c r="CE31" s="132"/>
      <c r="CF31" s="132"/>
      <c r="CG31" s="135"/>
      <c r="CH31" s="136"/>
      <c r="CI31" s="136"/>
      <c r="CJ31" s="132"/>
      <c r="CK31" s="132"/>
      <c r="CL31" s="135"/>
      <c r="CM31" s="136"/>
      <c r="CN31" s="132"/>
      <c r="CO31" s="132"/>
      <c r="CP31" s="132"/>
      <c r="CQ31" s="132"/>
      <c r="CR31" s="137"/>
      <c r="CS31" s="132"/>
      <c r="CT31" s="132"/>
      <c r="CU31" s="132"/>
      <c r="CV31" s="137"/>
      <c r="CW31" s="132"/>
      <c r="CX31" s="132"/>
      <c r="CY31" s="132"/>
      <c r="CZ31" s="132"/>
      <c r="DA31" s="132"/>
      <c r="DB31" s="132"/>
      <c r="DC31" s="137"/>
      <c r="DD31" s="132"/>
      <c r="DE31" s="132"/>
      <c r="DF31" s="132"/>
      <c r="DG31" s="132">
        <f t="shared" si="2"/>
        <v>0</v>
      </c>
    </row>
    <row r="32" spans="1:111" s="125" customFormat="1" ht="17.100000000000001" customHeight="1" x14ac:dyDescent="0.25">
      <c r="A32" s="126"/>
      <c r="B32" s="127"/>
      <c r="C32" s="128"/>
      <c r="D32" s="129"/>
      <c r="E32" s="130"/>
      <c r="F32" s="128"/>
      <c r="G32" s="131"/>
      <c r="H32" s="132"/>
      <c r="I32" s="133"/>
      <c r="J32" s="134"/>
      <c r="K32" s="132"/>
      <c r="L32" s="133"/>
      <c r="M32" s="134"/>
      <c r="N32" s="133"/>
      <c r="O32" s="134"/>
      <c r="P32" s="133"/>
      <c r="Q32" s="134"/>
      <c r="R32" s="132"/>
      <c r="S32" s="132"/>
      <c r="T32" s="133"/>
      <c r="U32" s="134"/>
      <c r="V32" s="132"/>
      <c r="W32" s="135"/>
      <c r="X32" s="136"/>
      <c r="Y32" s="132"/>
      <c r="Z32" s="132"/>
      <c r="AA32" s="132"/>
      <c r="AB32" s="132"/>
      <c r="AC32" s="132"/>
      <c r="AD32" s="135"/>
      <c r="AE32" s="136"/>
      <c r="AF32" s="132"/>
      <c r="AG32" s="137"/>
      <c r="AH32" s="132"/>
      <c r="AI32" s="132"/>
      <c r="AJ32" s="132"/>
      <c r="AK32" s="132"/>
      <c r="AL32" s="132"/>
      <c r="AM32" s="132"/>
      <c r="AN32" s="132"/>
      <c r="AO32" s="132"/>
      <c r="AP32" s="135"/>
      <c r="AQ32" s="136"/>
      <c r="AR32" s="132"/>
      <c r="AS32" s="132"/>
      <c r="AT32" s="132"/>
      <c r="AU32" s="135"/>
      <c r="AV32" s="136"/>
      <c r="AW32" s="132"/>
      <c r="AX32" s="132"/>
      <c r="AY32" s="135"/>
      <c r="AZ32" s="136"/>
      <c r="BA32" s="132"/>
      <c r="BB32" s="132"/>
      <c r="BC32" s="135"/>
      <c r="BD32" s="136"/>
      <c r="BE32" s="132"/>
      <c r="BF32" s="132"/>
      <c r="BG32" s="135"/>
      <c r="BH32" s="136"/>
      <c r="BI32" s="132"/>
      <c r="BJ32" s="132"/>
      <c r="BK32" s="132"/>
      <c r="BL32" s="135"/>
      <c r="BM32" s="136"/>
      <c r="BN32" s="132"/>
      <c r="BO32" s="132"/>
      <c r="BP32" s="135"/>
      <c r="BQ32" s="136"/>
      <c r="BR32" s="137"/>
      <c r="BS32" s="132"/>
      <c r="BT32" s="132"/>
      <c r="BU32" s="132"/>
      <c r="BV32" s="132"/>
      <c r="BW32" s="135"/>
      <c r="BX32" s="136"/>
      <c r="BY32" s="132"/>
      <c r="BZ32" s="132"/>
      <c r="CA32" s="135"/>
      <c r="CB32" s="136"/>
      <c r="CC32" s="132"/>
      <c r="CD32" s="132"/>
      <c r="CE32" s="132"/>
      <c r="CF32" s="132"/>
      <c r="CG32" s="135"/>
      <c r="CH32" s="136"/>
      <c r="CI32" s="136"/>
      <c r="CJ32" s="132"/>
      <c r="CK32" s="132"/>
      <c r="CL32" s="135"/>
      <c r="CM32" s="136"/>
      <c r="CN32" s="132"/>
      <c r="CO32" s="132"/>
      <c r="CP32" s="132"/>
      <c r="CQ32" s="132"/>
      <c r="CR32" s="137"/>
      <c r="CS32" s="132"/>
      <c r="CT32" s="132"/>
      <c r="CU32" s="132"/>
      <c r="CV32" s="137"/>
      <c r="CW32" s="132"/>
      <c r="CX32" s="132"/>
      <c r="CY32" s="132"/>
      <c r="CZ32" s="132"/>
      <c r="DA32" s="132"/>
      <c r="DB32" s="132"/>
      <c r="DC32" s="137"/>
      <c r="DD32" s="132"/>
      <c r="DE32" s="132"/>
      <c r="DF32" s="132"/>
      <c r="DG32" s="132">
        <f t="shared" si="2"/>
        <v>0</v>
      </c>
    </row>
    <row r="33" spans="1:111" s="125" customFormat="1" ht="17.100000000000001" customHeight="1" x14ac:dyDescent="0.25">
      <c r="A33" s="126"/>
      <c r="B33" s="127"/>
      <c r="C33" s="128"/>
      <c r="D33" s="129"/>
      <c r="E33" s="130"/>
      <c r="F33" s="128"/>
      <c r="G33" s="131"/>
      <c r="H33" s="132"/>
      <c r="I33" s="133"/>
      <c r="J33" s="134"/>
      <c r="K33" s="132"/>
      <c r="L33" s="133"/>
      <c r="M33" s="134"/>
      <c r="N33" s="133"/>
      <c r="O33" s="134"/>
      <c r="P33" s="133"/>
      <c r="Q33" s="134"/>
      <c r="R33" s="132"/>
      <c r="S33" s="132"/>
      <c r="T33" s="133"/>
      <c r="U33" s="134"/>
      <c r="V33" s="132"/>
      <c r="W33" s="135"/>
      <c r="X33" s="136"/>
      <c r="Y33" s="132"/>
      <c r="Z33" s="132"/>
      <c r="AA33" s="132"/>
      <c r="AB33" s="132"/>
      <c r="AC33" s="132"/>
      <c r="AD33" s="135"/>
      <c r="AE33" s="136"/>
      <c r="AF33" s="132"/>
      <c r="AG33" s="137"/>
      <c r="AH33" s="132"/>
      <c r="AI33" s="132"/>
      <c r="AJ33" s="132"/>
      <c r="AK33" s="132"/>
      <c r="AL33" s="132"/>
      <c r="AM33" s="132"/>
      <c r="AN33" s="132"/>
      <c r="AO33" s="132"/>
      <c r="AP33" s="135"/>
      <c r="AQ33" s="136"/>
      <c r="AR33" s="132"/>
      <c r="AS33" s="132"/>
      <c r="AT33" s="132"/>
      <c r="AU33" s="135"/>
      <c r="AV33" s="136"/>
      <c r="AW33" s="132"/>
      <c r="AX33" s="132"/>
      <c r="AY33" s="135"/>
      <c r="AZ33" s="136"/>
      <c r="BA33" s="132"/>
      <c r="BB33" s="132"/>
      <c r="BC33" s="135"/>
      <c r="BD33" s="136"/>
      <c r="BE33" s="132"/>
      <c r="BF33" s="132"/>
      <c r="BG33" s="135"/>
      <c r="BH33" s="136"/>
      <c r="BI33" s="132"/>
      <c r="BJ33" s="132"/>
      <c r="BK33" s="132"/>
      <c r="BL33" s="135"/>
      <c r="BM33" s="136"/>
      <c r="BN33" s="132"/>
      <c r="BO33" s="132"/>
      <c r="BP33" s="135"/>
      <c r="BQ33" s="136"/>
      <c r="BR33" s="137"/>
      <c r="BS33" s="132"/>
      <c r="BT33" s="132"/>
      <c r="BU33" s="132"/>
      <c r="BV33" s="132"/>
      <c r="BW33" s="135"/>
      <c r="BX33" s="136"/>
      <c r="BY33" s="132"/>
      <c r="BZ33" s="132"/>
      <c r="CA33" s="135"/>
      <c r="CB33" s="136"/>
      <c r="CC33" s="132"/>
      <c r="CD33" s="132"/>
      <c r="CE33" s="132"/>
      <c r="CF33" s="132"/>
      <c r="CG33" s="135"/>
      <c r="CH33" s="136"/>
      <c r="CI33" s="136"/>
      <c r="CJ33" s="132"/>
      <c r="CK33" s="132"/>
      <c r="CL33" s="135"/>
      <c r="CM33" s="136"/>
      <c r="CN33" s="132"/>
      <c r="CO33" s="132"/>
      <c r="CP33" s="132"/>
      <c r="CQ33" s="132"/>
      <c r="CR33" s="137"/>
      <c r="CS33" s="132"/>
      <c r="CT33" s="132"/>
      <c r="CU33" s="132"/>
      <c r="CV33" s="137"/>
      <c r="CW33" s="132"/>
      <c r="CX33" s="132"/>
      <c r="CY33" s="132"/>
      <c r="CZ33" s="132"/>
      <c r="DA33" s="132"/>
      <c r="DB33" s="132"/>
      <c r="DC33" s="137"/>
      <c r="DD33" s="132"/>
      <c r="DE33" s="132"/>
      <c r="DF33" s="132"/>
      <c r="DG33" s="132">
        <f t="shared" si="2"/>
        <v>0</v>
      </c>
    </row>
    <row r="34" spans="1:111" s="125" customFormat="1" ht="17.100000000000001" customHeight="1" x14ac:dyDescent="0.25">
      <c r="A34" s="126"/>
      <c r="B34" s="127"/>
      <c r="C34" s="128"/>
      <c r="D34" s="129"/>
      <c r="E34" s="130"/>
      <c r="F34" s="128"/>
      <c r="G34" s="131"/>
      <c r="H34" s="132"/>
      <c r="I34" s="133"/>
      <c r="J34" s="134"/>
      <c r="K34" s="132"/>
      <c r="L34" s="133"/>
      <c r="M34" s="134"/>
      <c r="N34" s="133"/>
      <c r="O34" s="134"/>
      <c r="P34" s="133"/>
      <c r="Q34" s="134"/>
      <c r="R34" s="132"/>
      <c r="S34" s="132"/>
      <c r="T34" s="133"/>
      <c r="U34" s="134"/>
      <c r="V34" s="132"/>
      <c r="W34" s="135"/>
      <c r="X34" s="136"/>
      <c r="Y34" s="132"/>
      <c r="Z34" s="132"/>
      <c r="AA34" s="132"/>
      <c r="AB34" s="132"/>
      <c r="AC34" s="132"/>
      <c r="AD34" s="135"/>
      <c r="AE34" s="136"/>
      <c r="AF34" s="132"/>
      <c r="AG34" s="137"/>
      <c r="AH34" s="132"/>
      <c r="AI34" s="132"/>
      <c r="AJ34" s="132"/>
      <c r="AK34" s="132"/>
      <c r="AL34" s="132"/>
      <c r="AM34" s="132"/>
      <c r="AN34" s="132"/>
      <c r="AO34" s="132"/>
      <c r="AP34" s="135"/>
      <c r="AQ34" s="136"/>
      <c r="AR34" s="132"/>
      <c r="AS34" s="132"/>
      <c r="AT34" s="132"/>
      <c r="AU34" s="135"/>
      <c r="AV34" s="136"/>
      <c r="AW34" s="132"/>
      <c r="AX34" s="132"/>
      <c r="AY34" s="135"/>
      <c r="AZ34" s="136"/>
      <c r="BA34" s="132"/>
      <c r="BB34" s="132"/>
      <c r="BC34" s="135"/>
      <c r="BD34" s="136"/>
      <c r="BE34" s="132"/>
      <c r="BF34" s="132"/>
      <c r="BG34" s="135"/>
      <c r="BH34" s="136"/>
      <c r="BI34" s="132"/>
      <c r="BJ34" s="132"/>
      <c r="BK34" s="132"/>
      <c r="BL34" s="135"/>
      <c r="BM34" s="136"/>
      <c r="BN34" s="132"/>
      <c r="BO34" s="132"/>
      <c r="BP34" s="135"/>
      <c r="BQ34" s="136"/>
      <c r="BR34" s="137"/>
      <c r="BS34" s="132"/>
      <c r="BT34" s="132"/>
      <c r="BU34" s="132"/>
      <c r="BV34" s="132"/>
      <c r="BW34" s="135"/>
      <c r="BX34" s="136"/>
      <c r="BY34" s="132"/>
      <c r="BZ34" s="132"/>
      <c r="CA34" s="135"/>
      <c r="CB34" s="136"/>
      <c r="CC34" s="132"/>
      <c r="CD34" s="132"/>
      <c r="CE34" s="132"/>
      <c r="CF34" s="132"/>
      <c r="CG34" s="135"/>
      <c r="CH34" s="136"/>
      <c r="CI34" s="136"/>
      <c r="CJ34" s="132"/>
      <c r="CK34" s="132"/>
      <c r="CL34" s="135"/>
      <c r="CM34" s="136"/>
      <c r="CN34" s="132"/>
      <c r="CO34" s="132"/>
      <c r="CP34" s="132"/>
      <c r="CQ34" s="132"/>
      <c r="CR34" s="137"/>
      <c r="CS34" s="132"/>
      <c r="CT34" s="132"/>
      <c r="CU34" s="132"/>
      <c r="CV34" s="137"/>
      <c r="CW34" s="132"/>
      <c r="CX34" s="132"/>
      <c r="CY34" s="132"/>
      <c r="CZ34" s="132"/>
      <c r="DA34" s="132"/>
      <c r="DB34" s="132"/>
      <c r="DC34" s="137"/>
      <c r="DD34" s="132"/>
      <c r="DE34" s="132"/>
      <c r="DF34" s="132"/>
      <c r="DG34" s="132">
        <f t="shared" si="2"/>
        <v>0</v>
      </c>
    </row>
    <row r="35" spans="1:111" s="125" customFormat="1" ht="17.100000000000001" customHeight="1" x14ac:dyDescent="0.25">
      <c r="A35" s="126"/>
      <c r="B35" s="127"/>
      <c r="C35" s="128"/>
      <c r="D35" s="129"/>
      <c r="E35" s="130"/>
      <c r="F35" s="128"/>
      <c r="G35" s="131"/>
      <c r="H35" s="132"/>
      <c r="I35" s="133"/>
      <c r="J35" s="134"/>
      <c r="K35" s="132"/>
      <c r="L35" s="133"/>
      <c r="M35" s="134"/>
      <c r="N35" s="133"/>
      <c r="O35" s="134"/>
      <c r="P35" s="133"/>
      <c r="Q35" s="134"/>
      <c r="R35" s="132"/>
      <c r="S35" s="132"/>
      <c r="T35" s="133"/>
      <c r="U35" s="134"/>
      <c r="V35" s="132"/>
      <c r="W35" s="135"/>
      <c r="X35" s="136"/>
      <c r="Y35" s="132"/>
      <c r="Z35" s="132"/>
      <c r="AA35" s="132"/>
      <c r="AB35" s="132"/>
      <c r="AC35" s="132"/>
      <c r="AD35" s="135"/>
      <c r="AE35" s="136"/>
      <c r="AF35" s="132"/>
      <c r="AG35" s="137"/>
      <c r="AH35" s="132"/>
      <c r="AI35" s="132"/>
      <c r="AJ35" s="132"/>
      <c r="AK35" s="132"/>
      <c r="AL35" s="132"/>
      <c r="AM35" s="132"/>
      <c r="AN35" s="132"/>
      <c r="AO35" s="132"/>
      <c r="AP35" s="135"/>
      <c r="AQ35" s="136"/>
      <c r="AR35" s="132"/>
      <c r="AS35" s="132"/>
      <c r="AT35" s="132"/>
      <c r="AU35" s="135"/>
      <c r="AV35" s="136"/>
      <c r="AW35" s="132"/>
      <c r="AX35" s="132"/>
      <c r="AY35" s="135"/>
      <c r="AZ35" s="136"/>
      <c r="BA35" s="132"/>
      <c r="BB35" s="132"/>
      <c r="BC35" s="135"/>
      <c r="BD35" s="136"/>
      <c r="BE35" s="132"/>
      <c r="BF35" s="132"/>
      <c r="BG35" s="135"/>
      <c r="BH35" s="136"/>
      <c r="BI35" s="132"/>
      <c r="BJ35" s="132"/>
      <c r="BK35" s="132"/>
      <c r="BL35" s="135"/>
      <c r="BM35" s="136"/>
      <c r="BN35" s="132"/>
      <c r="BO35" s="132"/>
      <c r="BP35" s="135"/>
      <c r="BQ35" s="136"/>
      <c r="BR35" s="137"/>
      <c r="BS35" s="132"/>
      <c r="BT35" s="132"/>
      <c r="BU35" s="132"/>
      <c r="BV35" s="132"/>
      <c r="BW35" s="135"/>
      <c r="BX35" s="136"/>
      <c r="BY35" s="132"/>
      <c r="BZ35" s="132"/>
      <c r="CA35" s="135"/>
      <c r="CB35" s="136"/>
      <c r="CC35" s="132"/>
      <c r="CD35" s="132"/>
      <c r="CE35" s="132"/>
      <c r="CF35" s="132"/>
      <c r="CG35" s="135"/>
      <c r="CH35" s="136"/>
      <c r="CI35" s="136"/>
      <c r="CJ35" s="132"/>
      <c r="CK35" s="132"/>
      <c r="CL35" s="135"/>
      <c r="CM35" s="136"/>
      <c r="CN35" s="132"/>
      <c r="CO35" s="132"/>
      <c r="CP35" s="132"/>
      <c r="CQ35" s="132"/>
      <c r="CR35" s="137"/>
      <c r="CS35" s="132"/>
      <c r="CT35" s="132"/>
      <c r="CU35" s="132"/>
      <c r="CV35" s="137"/>
      <c r="CW35" s="132"/>
      <c r="CX35" s="132"/>
      <c r="CY35" s="132"/>
      <c r="CZ35" s="132"/>
      <c r="DA35" s="132"/>
      <c r="DB35" s="132"/>
      <c r="DC35" s="137"/>
      <c r="DD35" s="132"/>
      <c r="DE35" s="132"/>
      <c r="DF35" s="132"/>
      <c r="DG35" s="132">
        <f t="shared" si="2"/>
        <v>0</v>
      </c>
    </row>
    <row r="36" spans="1:111" s="125" customFormat="1" ht="17.100000000000001" customHeight="1" x14ac:dyDescent="0.25">
      <c r="A36" s="126"/>
      <c r="B36" s="127"/>
      <c r="C36" s="128"/>
      <c r="D36" s="143"/>
      <c r="E36" s="130"/>
      <c r="F36" s="128"/>
      <c r="G36" s="131"/>
      <c r="H36" s="132"/>
      <c r="I36" s="133"/>
      <c r="J36" s="134"/>
      <c r="K36" s="132"/>
      <c r="L36" s="133"/>
      <c r="M36" s="134"/>
      <c r="N36" s="133"/>
      <c r="O36" s="134"/>
      <c r="P36" s="133"/>
      <c r="Q36" s="134"/>
      <c r="R36" s="132"/>
      <c r="S36" s="132"/>
      <c r="T36" s="133"/>
      <c r="U36" s="134"/>
      <c r="V36" s="132"/>
      <c r="W36" s="135"/>
      <c r="X36" s="136"/>
      <c r="Y36" s="132"/>
      <c r="Z36" s="132"/>
      <c r="AA36" s="132"/>
      <c r="AB36" s="132"/>
      <c r="AC36" s="132"/>
      <c r="AD36" s="135"/>
      <c r="AE36" s="136"/>
      <c r="AF36" s="132"/>
      <c r="AG36" s="137"/>
      <c r="AH36" s="132"/>
      <c r="AI36" s="132"/>
      <c r="AJ36" s="132"/>
      <c r="AK36" s="132"/>
      <c r="AL36" s="132"/>
      <c r="AM36" s="132"/>
      <c r="AN36" s="132"/>
      <c r="AO36" s="132"/>
      <c r="AP36" s="135"/>
      <c r="AQ36" s="136"/>
      <c r="AR36" s="132"/>
      <c r="AS36" s="132"/>
      <c r="AT36" s="132"/>
      <c r="AU36" s="135"/>
      <c r="AV36" s="136"/>
      <c r="AW36" s="132"/>
      <c r="AX36" s="132"/>
      <c r="AY36" s="135"/>
      <c r="AZ36" s="136"/>
      <c r="BA36" s="132"/>
      <c r="BB36" s="132"/>
      <c r="BC36" s="135"/>
      <c r="BD36" s="136"/>
      <c r="BE36" s="132"/>
      <c r="BF36" s="132"/>
      <c r="BG36" s="135"/>
      <c r="BH36" s="136"/>
      <c r="BI36" s="132"/>
      <c r="BJ36" s="132"/>
      <c r="BK36" s="132"/>
      <c r="BL36" s="135"/>
      <c r="BM36" s="136"/>
      <c r="BN36" s="132"/>
      <c r="BO36" s="132"/>
      <c r="BP36" s="135"/>
      <c r="BQ36" s="136"/>
      <c r="BR36" s="137"/>
      <c r="BS36" s="132"/>
      <c r="BT36" s="132"/>
      <c r="BU36" s="132"/>
      <c r="BV36" s="132"/>
      <c r="BW36" s="135"/>
      <c r="BX36" s="136"/>
      <c r="BY36" s="132"/>
      <c r="BZ36" s="132"/>
      <c r="CA36" s="135"/>
      <c r="CB36" s="136"/>
      <c r="CC36" s="132"/>
      <c r="CD36" s="132"/>
      <c r="CE36" s="132"/>
      <c r="CF36" s="132"/>
      <c r="CG36" s="135"/>
      <c r="CH36" s="136"/>
      <c r="CI36" s="136"/>
      <c r="CJ36" s="132"/>
      <c r="CK36" s="132"/>
      <c r="CL36" s="135"/>
      <c r="CM36" s="136"/>
      <c r="CN36" s="132"/>
      <c r="CO36" s="132"/>
      <c r="CP36" s="132"/>
      <c r="CQ36" s="132"/>
      <c r="CR36" s="137"/>
      <c r="CS36" s="132"/>
      <c r="CT36" s="132"/>
      <c r="CU36" s="132"/>
      <c r="CV36" s="137"/>
      <c r="CW36" s="132"/>
      <c r="CX36" s="132"/>
      <c r="CY36" s="132"/>
      <c r="CZ36" s="132"/>
      <c r="DA36" s="132"/>
      <c r="DB36" s="132"/>
      <c r="DC36" s="137"/>
      <c r="DD36" s="132"/>
      <c r="DE36" s="132"/>
      <c r="DF36" s="132"/>
      <c r="DG36" s="132">
        <f t="shared" si="2"/>
        <v>0</v>
      </c>
    </row>
    <row r="37" spans="1:111" s="125" customFormat="1" ht="17.100000000000001" customHeight="1" x14ac:dyDescent="0.25">
      <c r="A37" s="126"/>
      <c r="B37" s="127"/>
      <c r="C37" s="128"/>
      <c r="D37" s="129"/>
      <c r="E37" s="130"/>
      <c r="F37" s="128"/>
      <c r="G37" s="131"/>
      <c r="H37" s="132"/>
      <c r="I37" s="133"/>
      <c r="J37" s="134"/>
      <c r="K37" s="132"/>
      <c r="L37" s="133"/>
      <c r="M37" s="134"/>
      <c r="N37" s="133"/>
      <c r="O37" s="134"/>
      <c r="P37" s="133"/>
      <c r="Q37" s="134"/>
      <c r="R37" s="132"/>
      <c r="S37" s="132"/>
      <c r="T37" s="133"/>
      <c r="U37" s="134"/>
      <c r="V37" s="132"/>
      <c r="W37" s="135"/>
      <c r="X37" s="136"/>
      <c r="Y37" s="132"/>
      <c r="Z37" s="132"/>
      <c r="AA37" s="132"/>
      <c r="AB37" s="132"/>
      <c r="AC37" s="132"/>
      <c r="AD37" s="135"/>
      <c r="AE37" s="136"/>
      <c r="AF37" s="132"/>
      <c r="AG37" s="137"/>
      <c r="AH37" s="132"/>
      <c r="AI37" s="132"/>
      <c r="AJ37" s="132"/>
      <c r="AK37" s="132"/>
      <c r="AL37" s="132"/>
      <c r="AM37" s="132"/>
      <c r="AN37" s="132"/>
      <c r="AO37" s="132"/>
      <c r="AP37" s="135"/>
      <c r="AQ37" s="136"/>
      <c r="AR37" s="132"/>
      <c r="AS37" s="132"/>
      <c r="AT37" s="132"/>
      <c r="AU37" s="135"/>
      <c r="AV37" s="136"/>
      <c r="AW37" s="132"/>
      <c r="AX37" s="132"/>
      <c r="AY37" s="135"/>
      <c r="AZ37" s="136"/>
      <c r="BA37" s="132"/>
      <c r="BB37" s="132"/>
      <c r="BC37" s="135"/>
      <c r="BD37" s="136"/>
      <c r="BE37" s="132"/>
      <c r="BF37" s="132"/>
      <c r="BG37" s="135"/>
      <c r="BH37" s="136"/>
      <c r="BI37" s="132"/>
      <c r="BJ37" s="132"/>
      <c r="BK37" s="132"/>
      <c r="BL37" s="135"/>
      <c r="BM37" s="136"/>
      <c r="BN37" s="132"/>
      <c r="BO37" s="132"/>
      <c r="BP37" s="135"/>
      <c r="BQ37" s="136"/>
      <c r="BR37" s="137"/>
      <c r="BS37" s="132"/>
      <c r="BT37" s="132"/>
      <c r="BU37" s="132"/>
      <c r="BV37" s="132"/>
      <c r="BW37" s="135"/>
      <c r="BX37" s="136"/>
      <c r="BY37" s="132"/>
      <c r="BZ37" s="132"/>
      <c r="CA37" s="135"/>
      <c r="CB37" s="136"/>
      <c r="CC37" s="132"/>
      <c r="CD37" s="132"/>
      <c r="CE37" s="132"/>
      <c r="CF37" s="132"/>
      <c r="CG37" s="135"/>
      <c r="CH37" s="136"/>
      <c r="CI37" s="136"/>
      <c r="CJ37" s="132"/>
      <c r="CK37" s="132"/>
      <c r="CL37" s="135"/>
      <c r="CM37" s="136"/>
      <c r="CN37" s="132"/>
      <c r="CO37" s="132"/>
      <c r="CP37" s="132"/>
      <c r="CQ37" s="132"/>
      <c r="CR37" s="137"/>
      <c r="CS37" s="132"/>
      <c r="CT37" s="132"/>
      <c r="CU37" s="132"/>
      <c r="CV37" s="137"/>
      <c r="CW37" s="132"/>
      <c r="CX37" s="132"/>
      <c r="CY37" s="132"/>
      <c r="CZ37" s="132"/>
      <c r="DA37" s="132"/>
      <c r="DB37" s="132"/>
      <c r="DC37" s="137"/>
      <c r="DD37" s="132"/>
      <c r="DE37" s="132"/>
      <c r="DF37" s="132"/>
      <c r="DG37" s="132">
        <f t="shared" si="2"/>
        <v>0</v>
      </c>
    </row>
    <row r="38" spans="1:111" s="125" customFormat="1" ht="17.100000000000001" customHeight="1" x14ac:dyDescent="0.25">
      <c r="A38" s="126"/>
      <c r="B38" s="127"/>
      <c r="C38" s="128"/>
      <c r="D38" s="129"/>
      <c r="E38" s="130"/>
      <c r="F38" s="128"/>
      <c r="G38" s="131"/>
      <c r="H38" s="132"/>
      <c r="I38" s="133"/>
      <c r="J38" s="134"/>
      <c r="K38" s="132"/>
      <c r="L38" s="133"/>
      <c r="M38" s="134"/>
      <c r="N38" s="133"/>
      <c r="O38" s="134"/>
      <c r="P38" s="133"/>
      <c r="Q38" s="134"/>
      <c r="R38" s="132"/>
      <c r="S38" s="132"/>
      <c r="T38" s="133"/>
      <c r="U38" s="134"/>
      <c r="V38" s="132"/>
      <c r="W38" s="135"/>
      <c r="X38" s="136"/>
      <c r="Y38" s="132"/>
      <c r="Z38" s="132"/>
      <c r="AA38" s="132"/>
      <c r="AB38" s="132"/>
      <c r="AC38" s="132"/>
      <c r="AD38" s="135"/>
      <c r="AE38" s="136"/>
      <c r="AF38" s="132"/>
      <c r="AG38" s="137"/>
      <c r="AH38" s="132"/>
      <c r="AI38" s="132"/>
      <c r="AJ38" s="132"/>
      <c r="AK38" s="132"/>
      <c r="AL38" s="132"/>
      <c r="AM38" s="132"/>
      <c r="AN38" s="132"/>
      <c r="AO38" s="132"/>
      <c r="AP38" s="135"/>
      <c r="AQ38" s="136"/>
      <c r="AR38" s="132"/>
      <c r="AS38" s="132"/>
      <c r="AT38" s="132"/>
      <c r="AU38" s="135"/>
      <c r="AV38" s="136"/>
      <c r="AW38" s="132"/>
      <c r="AX38" s="132"/>
      <c r="AY38" s="135"/>
      <c r="AZ38" s="136"/>
      <c r="BA38" s="132"/>
      <c r="BB38" s="132"/>
      <c r="BC38" s="135"/>
      <c r="BD38" s="136"/>
      <c r="BE38" s="132"/>
      <c r="BF38" s="132"/>
      <c r="BG38" s="135"/>
      <c r="BH38" s="136"/>
      <c r="BI38" s="132"/>
      <c r="BJ38" s="132"/>
      <c r="BK38" s="132"/>
      <c r="BL38" s="135"/>
      <c r="BM38" s="136"/>
      <c r="BN38" s="132"/>
      <c r="BO38" s="132"/>
      <c r="BP38" s="135"/>
      <c r="BQ38" s="136"/>
      <c r="BR38" s="137"/>
      <c r="BS38" s="132"/>
      <c r="BT38" s="132"/>
      <c r="BU38" s="132"/>
      <c r="BV38" s="132"/>
      <c r="BW38" s="135"/>
      <c r="BX38" s="136"/>
      <c r="BY38" s="132"/>
      <c r="BZ38" s="132"/>
      <c r="CA38" s="135"/>
      <c r="CB38" s="136"/>
      <c r="CC38" s="132"/>
      <c r="CD38" s="132"/>
      <c r="CE38" s="132"/>
      <c r="CF38" s="132"/>
      <c r="CG38" s="135"/>
      <c r="CH38" s="136"/>
      <c r="CI38" s="136"/>
      <c r="CJ38" s="132"/>
      <c r="CK38" s="132"/>
      <c r="CL38" s="135"/>
      <c r="CM38" s="136"/>
      <c r="CN38" s="132"/>
      <c r="CO38" s="132"/>
      <c r="CP38" s="132"/>
      <c r="CQ38" s="132"/>
      <c r="CR38" s="137"/>
      <c r="CS38" s="132"/>
      <c r="CT38" s="132"/>
      <c r="CU38" s="132"/>
      <c r="CV38" s="137"/>
      <c r="CW38" s="132"/>
      <c r="CX38" s="132"/>
      <c r="CY38" s="132"/>
      <c r="CZ38" s="132"/>
      <c r="DA38" s="132"/>
      <c r="DB38" s="132"/>
      <c r="DC38" s="137"/>
      <c r="DD38" s="132"/>
      <c r="DE38" s="132"/>
      <c r="DF38" s="132"/>
      <c r="DG38" s="132">
        <f t="shared" si="2"/>
        <v>0</v>
      </c>
    </row>
    <row r="39" spans="1:111" s="125" customFormat="1" ht="17.100000000000001" customHeight="1" x14ac:dyDescent="0.25">
      <c r="A39" s="126"/>
      <c r="B39" s="127"/>
      <c r="C39" s="128"/>
      <c r="D39" s="129"/>
      <c r="E39" s="130"/>
      <c r="F39" s="128"/>
      <c r="G39" s="131"/>
      <c r="H39" s="132"/>
      <c r="I39" s="133"/>
      <c r="J39" s="134"/>
      <c r="K39" s="132"/>
      <c r="L39" s="133"/>
      <c r="M39" s="134"/>
      <c r="N39" s="133"/>
      <c r="O39" s="134"/>
      <c r="P39" s="133"/>
      <c r="Q39" s="134"/>
      <c r="R39" s="132"/>
      <c r="S39" s="132"/>
      <c r="T39" s="133"/>
      <c r="U39" s="134"/>
      <c r="V39" s="132"/>
      <c r="W39" s="135"/>
      <c r="X39" s="136"/>
      <c r="Y39" s="132"/>
      <c r="Z39" s="132"/>
      <c r="AA39" s="132"/>
      <c r="AB39" s="132"/>
      <c r="AC39" s="132"/>
      <c r="AD39" s="135"/>
      <c r="AE39" s="136"/>
      <c r="AF39" s="132"/>
      <c r="AG39" s="137"/>
      <c r="AH39" s="132"/>
      <c r="AI39" s="132"/>
      <c r="AJ39" s="132"/>
      <c r="AK39" s="132"/>
      <c r="AL39" s="132"/>
      <c r="AM39" s="132"/>
      <c r="AN39" s="132"/>
      <c r="AO39" s="132"/>
      <c r="AP39" s="135"/>
      <c r="AQ39" s="136"/>
      <c r="AR39" s="132"/>
      <c r="AS39" s="132"/>
      <c r="AT39" s="132"/>
      <c r="AU39" s="135"/>
      <c r="AV39" s="136"/>
      <c r="AW39" s="132"/>
      <c r="AX39" s="132"/>
      <c r="AY39" s="135"/>
      <c r="AZ39" s="136"/>
      <c r="BA39" s="132"/>
      <c r="BB39" s="132"/>
      <c r="BC39" s="135"/>
      <c r="BD39" s="136"/>
      <c r="BE39" s="132"/>
      <c r="BF39" s="132"/>
      <c r="BG39" s="135"/>
      <c r="BH39" s="136"/>
      <c r="BI39" s="132"/>
      <c r="BJ39" s="132"/>
      <c r="BK39" s="132"/>
      <c r="BL39" s="135"/>
      <c r="BM39" s="136"/>
      <c r="BN39" s="132"/>
      <c r="BO39" s="132"/>
      <c r="BP39" s="135"/>
      <c r="BQ39" s="136"/>
      <c r="BR39" s="137"/>
      <c r="BS39" s="132"/>
      <c r="BT39" s="132"/>
      <c r="BU39" s="132"/>
      <c r="BV39" s="132"/>
      <c r="BW39" s="135"/>
      <c r="BX39" s="136"/>
      <c r="BY39" s="132"/>
      <c r="BZ39" s="132"/>
      <c r="CA39" s="135"/>
      <c r="CB39" s="136"/>
      <c r="CC39" s="132"/>
      <c r="CD39" s="132"/>
      <c r="CE39" s="132"/>
      <c r="CF39" s="132"/>
      <c r="CG39" s="135"/>
      <c r="CH39" s="136"/>
      <c r="CI39" s="136"/>
      <c r="CJ39" s="132"/>
      <c r="CK39" s="132"/>
      <c r="CL39" s="135"/>
      <c r="CM39" s="136"/>
      <c r="CN39" s="132"/>
      <c r="CO39" s="132"/>
      <c r="CP39" s="132"/>
      <c r="CQ39" s="132"/>
      <c r="CR39" s="137"/>
      <c r="CS39" s="132"/>
      <c r="CT39" s="132"/>
      <c r="CU39" s="132"/>
      <c r="CV39" s="137"/>
      <c r="CW39" s="132"/>
      <c r="CX39" s="132"/>
      <c r="CY39" s="132"/>
      <c r="CZ39" s="132"/>
      <c r="DA39" s="132"/>
      <c r="DB39" s="132"/>
      <c r="DC39" s="137"/>
      <c r="DD39" s="132"/>
      <c r="DE39" s="132"/>
      <c r="DF39" s="132"/>
      <c r="DG39" s="132">
        <f t="shared" si="2"/>
        <v>0</v>
      </c>
    </row>
    <row r="40" spans="1:111" s="125" customFormat="1" ht="17.100000000000001" customHeight="1" x14ac:dyDescent="0.25">
      <c r="A40" s="126"/>
      <c r="B40" s="127"/>
      <c r="C40" s="128"/>
      <c r="D40" s="143"/>
      <c r="E40" s="130"/>
      <c r="F40" s="128"/>
      <c r="G40" s="131"/>
      <c r="H40" s="132"/>
      <c r="I40" s="133"/>
      <c r="J40" s="134"/>
      <c r="K40" s="132"/>
      <c r="L40" s="133"/>
      <c r="M40" s="134"/>
      <c r="N40" s="133"/>
      <c r="O40" s="134"/>
      <c r="P40" s="133"/>
      <c r="Q40" s="134"/>
      <c r="R40" s="132"/>
      <c r="S40" s="132"/>
      <c r="T40" s="133"/>
      <c r="U40" s="134"/>
      <c r="V40" s="132"/>
      <c r="W40" s="135"/>
      <c r="X40" s="136"/>
      <c r="Y40" s="132"/>
      <c r="Z40" s="132"/>
      <c r="AA40" s="132"/>
      <c r="AB40" s="132"/>
      <c r="AC40" s="132"/>
      <c r="AD40" s="135"/>
      <c r="AE40" s="136"/>
      <c r="AF40" s="132"/>
      <c r="AG40" s="137"/>
      <c r="AH40" s="132"/>
      <c r="AI40" s="132"/>
      <c r="AJ40" s="132"/>
      <c r="AK40" s="132"/>
      <c r="AL40" s="132"/>
      <c r="AM40" s="132"/>
      <c r="AN40" s="132"/>
      <c r="AO40" s="132"/>
      <c r="AP40" s="135"/>
      <c r="AQ40" s="136"/>
      <c r="AR40" s="132"/>
      <c r="AS40" s="132"/>
      <c r="AT40" s="132"/>
      <c r="AU40" s="135"/>
      <c r="AV40" s="136"/>
      <c r="AW40" s="132"/>
      <c r="AX40" s="132"/>
      <c r="AY40" s="135"/>
      <c r="AZ40" s="136"/>
      <c r="BA40" s="132"/>
      <c r="BB40" s="132"/>
      <c r="BC40" s="135"/>
      <c r="BD40" s="136"/>
      <c r="BE40" s="132"/>
      <c r="BF40" s="132"/>
      <c r="BG40" s="135"/>
      <c r="BH40" s="136"/>
      <c r="BI40" s="132"/>
      <c r="BJ40" s="132"/>
      <c r="BK40" s="132"/>
      <c r="BL40" s="135"/>
      <c r="BM40" s="136"/>
      <c r="BN40" s="132"/>
      <c r="BO40" s="132"/>
      <c r="BP40" s="135"/>
      <c r="BQ40" s="136"/>
      <c r="BR40" s="137"/>
      <c r="BS40" s="132"/>
      <c r="BT40" s="132"/>
      <c r="BU40" s="132"/>
      <c r="BV40" s="132"/>
      <c r="BW40" s="135"/>
      <c r="BX40" s="136"/>
      <c r="BY40" s="132"/>
      <c r="BZ40" s="132"/>
      <c r="CA40" s="135"/>
      <c r="CB40" s="136"/>
      <c r="CC40" s="132"/>
      <c r="CD40" s="132"/>
      <c r="CE40" s="132"/>
      <c r="CF40" s="132"/>
      <c r="CG40" s="135"/>
      <c r="CH40" s="136"/>
      <c r="CI40" s="136"/>
      <c r="CJ40" s="132"/>
      <c r="CK40" s="132"/>
      <c r="CL40" s="135"/>
      <c r="CM40" s="136"/>
      <c r="CN40" s="132"/>
      <c r="CO40" s="132"/>
      <c r="CP40" s="132"/>
      <c r="CQ40" s="132"/>
      <c r="CR40" s="137"/>
      <c r="CS40" s="132"/>
      <c r="CT40" s="132"/>
      <c r="CU40" s="132"/>
      <c r="CV40" s="137"/>
      <c r="CW40" s="132"/>
      <c r="CX40" s="132"/>
      <c r="CY40" s="132"/>
      <c r="CZ40" s="132"/>
      <c r="DA40" s="132"/>
      <c r="DB40" s="132"/>
      <c r="DC40" s="137"/>
      <c r="DD40" s="132"/>
      <c r="DE40" s="132"/>
      <c r="DF40" s="132"/>
      <c r="DG40" s="132">
        <f t="shared" si="2"/>
        <v>0</v>
      </c>
    </row>
    <row r="41" spans="1:111" s="125" customFormat="1" ht="17.100000000000001" customHeight="1" x14ac:dyDescent="0.25">
      <c r="A41" s="126" t="s">
        <v>1332</v>
      </c>
      <c r="B41" s="127" t="s">
        <v>371</v>
      </c>
      <c r="C41" s="142" t="s">
        <v>2063</v>
      </c>
      <c r="D41" s="129" t="s">
        <v>2064</v>
      </c>
      <c r="E41" s="130" t="s">
        <v>2065</v>
      </c>
      <c r="F41" s="128">
        <v>2</v>
      </c>
      <c r="G41" s="131">
        <v>2</v>
      </c>
      <c r="H41" s="132">
        <v>0</v>
      </c>
      <c r="I41" s="133">
        <v>0</v>
      </c>
      <c r="J41" s="134">
        <v>0</v>
      </c>
      <c r="K41" s="132">
        <v>0</v>
      </c>
      <c r="L41" s="133">
        <v>0</v>
      </c>
      <c r="M41" s="134">
        <v>0</v>
      </c>
      <c r="N41" s="133">
        <v>0</v>
      </c>
      <c r="O41" s="134">
        <v>0</v>
      </c>
      <c r="P41" s="133">
        <v>0</v>
      </c>
      <c r="Q41" s="134">
        <v>0</v>
      </c>
      <c r="R41" s="132">
        <v>390833</v>
      </c>
      <c r="S41" s="132">
        <v>300000</v>
      </c>
      <c r="T41" s="133">
        <v>14141</v>
      </c>
      <c r="U41" s="134">
        <v>2463574</v>
      </c>
      <c r="V41" s="132">
        <v>0</v>
      </c>
      <c r="W41" s="135">
        <v>0</v>
      </c>
      <c r="X41" s="136">
        <v>0</v>
      </c>
      <c r="Y41" s="132">
        <v>0</v>
      </c>
      <c r="Z41" s="132">
        <v>0</v>
      </c>
      <c r="AA41" s="132">
        <v>0</v>
      </c>
      <c r="AB41" s="132">
        <v>0</v>
      </c>
      <c r="AC41" s="132">
        <v>0</v>
      </c>
      <c r="AD41" s="135">
        <v>0</v>
      </c>
      <c r="AE41" s="136">
        <v>0</v>
      </c>
      <c r="AF41" s="132">
        <v>0</v>
      </c>
      <c r="AG41" s="137">
        <v>0</v>
      </c>
      <c r="AH41" s="132">
        <v>0</v>
      </c>
      <c r="AI41" s="132">
        <v>0</v>
      </c>
      <c r="AJ41" s="132">
        <v>0</v>
      </c>
      <c r="AK41" s="132">
        <v>336737</v>
      </c>
      <c r="AL41" s="132">
        <v>0</v>
      </c>
      <c r="AM41" s="132">
        <v>0</v>
      </c>
      <c r="AN41" s="132">
        <v>827917</v>
      </c>
      <c r="AO41" s="132">
        <v>105110</v>
      </c>
      <c r="AP41" s="135">
        <v>431707</v>
      </c>
      <c r="AQ41" s="136">
        <v>3096611</v>
      </c>
      <c r="AR41" s="132">
        <v>0</v>
      </c>
      <c r="AS41" s="132">
        <v>0</v>
      </c>
      <c r="AT41" s="132">
        <v>0</v>
      </c>
      <c r="AU41" s="135">
        <v>0</v>
      </c>
      <c r="AV41" s="136">
        <v>0</v>
      </c>
      <c r="AW41" s="132">
        <v>278500</v>
      </c>
      <c r="AX41" s="132">
        <v>57500</v>
      </c>
      <c r="AY41" s="135">
        <v>831492</v>
      </c>
      <c r="AZ41" s="136">
        <v>2043279</v>
      </c>
      <c r="BA41" s="132">
        <v>918831</v>
      </c>
      <c r="BB41" s="132">
        <v>0</v>
      </c>
      <c r="BC41" s="135">
        <v>0</v>
      </c>
      <c r="BD41" s="136">
        <v>468909</v>
      </c>
      <c r="BE41" s="132">
        <v>711484</v>
      </c>
      <c r="BF41" s="132">
        <v>0</v>
      </c>
      <c r="BG41" s="135">
        <v>96460</v>
      </c>
      <c r="BH41" s="136">
        <v>357260</v>
      </c>
      <c r="BI41" s="132">
        <v>0</v>
      </c>
      <c r="BJ41" s="132">
        <v>0</v>
      </c>
      <c r="BK41" s="132">
        <v>0</v>
      </c>
      <c r="BL41" s="135">
        <v>0</v>
      </c>
      <c r="BM41" s="136">
        <v>0</v>
      </c>
      <c r="BN41" s="132">
        <v>0</v>
      </c>
      <c r="BO41" s="132">
        <v>0</v>
      </c>
      <c r="BP41" s="135">
        <v>0</v>
      </c>
      <c r="BQ41" s="136">
        <v>0</v>
      </c>
      <c r="BR41" s="137">
        <v>0</v>
      </c>
      <c r="BS41" s="132">
        <v>0</v>
      </c>
      <c r="BT41" s="132">
        <v>166792</v>
      </c>
      <c r="BU41" s="132">
        <v>0</v>
      </c>
      <c r="BV41" s="132">
        <v>0</v>
      </c>
      <c r="BW41" s="135">
        <v>883314</v>
      </c>
      <c r="BX41" s="136">
        <v>4956310</v>
      </c>
      <c r="BY41" s="132">
        <v>0</v>
      </c>
      <c r="BZ41" s="132">
        <v>0</v>
      </c>
      <c r="CA41" s="135">
        <v>0</v>
      </c>
      <c r="CB41" s="136">
        <v>0</v>
      </c>
      <c r="CC41" s="132">
        <v>2223432</v>
      </c>
      <c r="CD41" s="132">
        <v>1127058</v>
      </c>
      <c r="CE41" s="132">
        <v>648698</v>
      </c>
      <c r="CF41" s="132">
        <v>67448</v>
      </c>
      <c r="CG41" s="135">
        <v>2137292</v>
      </c>
      <c r="CH41" s="136">
        <v>13455595</v>
      </c>
      <c r="CI41" s="136">
        <v>1545831</v>
      </c>
      <c r="CJ41" s="132">
        <v>29043</v>
      </c>
      <c r="CK41" s="132">
        <v>0</v>
      </c>
      <c r="CL41" s="135">
        <v>2549042</v>
      </c>
      <c r="CM41" s="136">
        <v>14439667</v>
      </c>
      <c r="CN41" s="132">
        <v>0</v>
      </c>
      <c r="CO41" s="132">
        <v>270068</v>
      </c>
      <c r="CP41" s="132">
        <v>0</v>
      </c>
      <c r="CQ41" s="132">
        <v>0</v>
      </c>
      <c r="CR41" s="137">
        <v>0</v>
      </c>
      <c r="CS41" s="132">
        <v>0</v>
      </c>
      <c r="CT41" s="132">
        <v>88162</v>
      </c>
      <c r="CU41" s="132">
        <v>62973</v>
      </c>
      <c r="CV41" s="137">
        <v>134424</v>
      </c>
      <c r="CW41" s="132">
        <v>352762</v>
      </c>
      <c r="CX41" s="132">
        <v>981592</v>
      </c>
      <c r="CY41" s="132">
        <v>141530</v>
      </c>
      <c r="CZ41" s="132">
        <v>2085588</v>
      </c>
      <c r="DA41" s="132">
        <v>211090</v>
      </c>
      <c r="DB41" s="132">
        <v>0</v>
      </c>
      <c r="DC41" s="137">
        <v>105604</v>
      </c>
      <c r="DD41" s="132">
        <v>1464605</v>
      </c>
      <c r="DE41" s="132"/>
      <c r="DF41" s="132"/>
      <c r="DG41" s="132">
        <f t="shared" si="2"/>
        <v>56674789</v>
      </c>
    </row>
    <row r="42" spans="1:111" s="125" customFormat="1" ht="17.100000000000001" customHeight="1" x14ac:dyDescent="0.25">
      <c r="A42" s="126"/>
      <c r="B42" s="127"/>
      <c r="C42" s="128"/>
      <c r="D42" s="143"/>
      <c r="E42" s="130"/>
      <c r="F42" s="128"/>
      <c r="G42" s="131"/>
      <c r="H42" s="132"/>
      <c r="I42" s="133"/>
      <c r="J42" s="134"/>
      <c r="K42" s="132"/>
      <c r="L42" s="133"/>
      <c r="M42" s="134"/>
      <c r="N42" s="133"/>
      <c r="O42" s="134"/>
      <c r="P42" s="133"/>
      <c r="Q42" s="134"/>
      <c r="R42" s="132"/>
      <c r="S42" s="132"/>
      <c r="T42" s="133"/>
      <c r="U42" s="134"/>
      <c r="V42" s="132"/>
      <c r="W42" s="135"/>
      <c r="X42" s="136"/>
      <c r="Y42" s="132"/>
      <c r="Z42" s="132"/>
      <c r="AA42" s="132"/>
      <c r="AB42" s="132"/>
      <c r="AC42" s="132"/>
      <c r="AD42" s="135"/>
      <c r="AE42" s="136"/>
      <c r="AF42" s="132"/>
      <c r="AG42" s="137"/>
      <c r="AH42" s="132"/>
      <c r="AI42" s="132"/>
      <c r="AJ42" s="132"/>
      <c r="AK42" s="132"/>
      <c r="AL42" s="132"/>
      <c r="AM42" s="132"/>
      <c r="AN42" s="132"/>
      <c r="AO42" s="132"/>
      <c r="AP42" s="135"/>
      <c r="AQ42" s="136"/>
      <c r="AR42" s="132"/>
      <c r="AS42" s="132"/>
      <c r="AT42" s="132"/>
      <c r="AU42" s="135"/>
      <c r="AV42" s="136"/>
      <c r="AW42" s="132"/>
      <c r="AX42" s="132"/>
      <c r="AY42" s="135"/>
      <c r="AZ42" s="136"/>
      <c r="BA42" s="132"/>
      <c r="BB42" s="132"/>
      <c r="BC42" s="135"/>
      <c r="BD42" s="136"/>
      <c r="BE42" s="132"/>
      <c r="BF42" s="132"/>
      <c r="BG42" s="135"/>
      <c r="BH42" s="136"/>
      <c r="BI42" s="132"/>
      <c r="BJ42" s="132"/>
      <c r="BK42" s="132"/>
      <c r="BL42" s="135"/>
      <c r="BM42" s="136"/>
      <c r="BN42" s="132"/>
      <c r="BO42" s="132"/>
      <c r="BP42" s="135"/>
      <c r="BQ42" s="136"/>
      <c r="BR42" s="137"/>
      <c r="BS42" s="132"/>
      <c r="BT42" s="132"/>
      <c r="BU42" s="132"/>
      <c r="BV42" s="132"/>
      <c r="BW42" s="135"/>
      <c r="BX42" s="136"/>
      <c r="BY42" s="132"/>
      <c r="BZ42" s="132"/>
      <c r="CA42" s="135"/>
      <c r="CB42" s="136"/>
      <c r="CC42" s="132"/>
      <c r="CD42" s="132"/>
      <c r="CE42" s="132"/>
      <c r="CF42" s="132"/>
      <c r="CG42" s="135"/>
      <c r="CH42" s="136"/>
      <c r="CI42" s="136"/>
      <c r="CJ42" s="132"/>
      <c r="CK42" s="132"/>
      <c r="CL42" s="135"/>
      <c r="CM42" s="136"/>
      <c r="CN42" s="132"/>
      <c r="CO42" s="132"/>
      <c r="CP42" s="132"/>
      <c r="CQ42" s="132"/>
      <c r="CR42" s="137"/>
      <c r="CS42" s="132"/>
      <c r="CT42" s="132"/>
      <c r="CU42" s="132"/>
      <c r="CV42" s="137"/>
      <c r="CW42" s="132"/>
      <c r="CX42" s="132"/>
      <c r="CY42" s="132"/>
      <c r="CZ42" s="132"/>
      <c r="DA42" s="132"/>
      <c r="DB42" s="132"/>
      <c r="DC42" s="137"/>
      <c r="DD42" s="132"/>
      <c r="DE42" s="132"/>
      <c r="DF42" s="132"/>
      <c r="DG42" s="132">
        <f t="shared" si="2"/>
        <v>0</v>
      </c>
    </row>
    <row r="43" spans="1:111" s="125" customFormat="1" ht="17.100000000000001" customHeight="1" x14ac:dyDescent="0.25">
      <c r="A43" s="126"/>
      <c r="B43" s="127"/>
      <c r="C43" s="128"/>
      <c r="D43" s="143"/>
      <c r="E43" s="130"/>
      <c r="F43" s="128"/>
      <c r="G43" s="131"/>
      <c r="H43" s="132"/>
      <c r="I43" s="133"/>
      <c r="J43" s="134"/>
      <c r="K43" s="132"/>
      <c r="L43" s="133"/>
      <c r="M43" s="134"/>
      <c r="N43" s="133"/>
      <c r="O43" s="134"/>
      <c r="P43" s="133"/>
      <c r="Q43" s="134"/>
      <c r="R43" s="132"/>
      <c r="S43" s="132"/>
      <c r="T43" s="133"/>
      <c r="U43" s="134"/>
      <c r="V43" s="132"/>
      <c r="W43" s="135"/>
      <c r="X43" s="136"/>
      <c r="Y43" s="132"/>
      <c r="Z43" s="132"/>
      <c r="AA43" s="132"/>
      <c r="AB43" s="132"/>
      <c r="AC43" s="132"/>
      <c r="AD43" s="135"/>
      <c r="AE43" s="136"/>
      <c r="AF43" s="132"/>
      <c r="AG43" s="137"/>
      <c r="AH43" s="132"/>
      <c r="AI43" s="132"/>
      <c r="AJ43" s="132"/>
      <c r="AK43" s="132"/>
      <c r="AL43" s="132"/>
      <c r="AM43" s="132"/>
      <c r="AN43" s="132"/>
      <c r="AO43" s="132"/>
      <c r="AP43" s="135"/>
      <c r="AQ43" s="136"/>
      <c r="AR43" s="132"/>
      <c r="AS43" s="132"/>
      <c r="AT43" s="132"/>
      <c r="AU43" s="135"/>
      <c r="AV43" s="136"/>
      <c r="AW43" s="132"/>
      <c r="AX43" s="132"/>
      <c r="AY43" s="135"/>
      <c r="AZ43" s="136"/>
      <c r="BA43" s="132"/>
      <c r="BB43" s="132"/>
      <c r="BC43" s="135"/>
      <c r="BD43" s="136"/>
      <c r="BE43" s="132"/>
      <c r="BF43" s="132"/>
      <c r="BG43" s="135"/>
      <c r="BH43" s="136"/>
      <c r="BI43" s="132"/>
      <c r="BJ43" s="132"/>
      <c r="BK43" s="132"/>
      <c r="BL43" s="135"/>
      <c r="BM43" s="136"/>
      <c r="BN43" s="132"/>
      <c r="BO43" s="132"/>
      <c r="BP43" s="135"/>
      <c r="BQ43" s="136"/>
      <c r="BR43" s="137"/>
      <c r="BS43" s="132"/>
      <c r="BT43" s="132"/>
      <c r="BU43" s="132"/>
      <c r="BV43" s="132"/>
      <c r="BW43" s="135"/>
      <c r="BX43" s="136"/>
      <c r="BY43" s="132"/>
      <c r="BZ43" s="132"/>
      <c r="CA43" s="135"/>
      <c r="CB43" s="136"/>
      <c r="CC43" s="132"/>
      <c r="CD43" s="132"/>
      <c r="CE43" s="132"/>
      <c r="CF43" s="132"/>
      <c r="CG43" s="135"/>
      <c r="CH43" s="136"/>
      <c r="CI43" s="136"/>
      <c r="CJ43" s="132"/>
      <c r="CK43" s="132"/>
      <c r="CL43" s="135"/>
      <c r="CM43" s="136"/>
      <c r="CN43" s="132"/>
      <c r="CO43" s="132"/>
      <c r="CP43" s="132"/>
      <c r="CQ43" s="132"/>
      <c r="CR43" s="137"/>
      <c r="CS43" s="132"/>
      <c r="CT43" s="132"/>
      <c r="CU43" s="132"/>
      <c r="CV43" s="137"/>
      <c r="CW43" s="132"/>
      <c r="CX43" s="132"/>
      <c r="CY43" s="132"/>
      <c r="CZ43" s="132"/>
      <c r="DA43" s="132"/>
      <c r="DB43" s="132"/>
      <c r="DC43" s="137"/>
      <c r="DD43" s="132"/>
      <c r="DE43" s="132"/>
      <c r="DF43" s="132"/>
      <c r="DG43" s="132">
        <f t="shared" si="2"/>
        <v>0</v>
      </c>
    </row>
    <row r="44" spans="1:111" s="125" customFormat="1" ht="17.100000000000001" customHeight="1" x14ac:dyDescent="0.25">
      <c r="A44" s="126"/>
      <c r="B44" s="127"/>
      <c r="C44" s="128"/>
      <c r="D44" s="129"/>
      <c r="E44" s="130"/>
      <c r="F44" s="128"/>
      <c r="G44" s="131"/>
      <c r="H44" s="132"/>
      <c r="I44" s="133"/>
      <c r="J44" s="134"/>
      <c r="K44" s="132"/>
      <c r="L44" s="133"/>
      <c r="M44" s="134"/>
      <c r="N44" s="133"/>
      <c r="O44" s="134"/>
      <c r="P44" s="133"/>
      <c r="Q44" s="134"/>
      <c r="R44" s="132"/>
      <c r="S44" s="132"/>
      <c r="T44" s="133"/>
      <c r="U44" s="134"/>
      <c r="V44" s="132"/>
      <c r="W44" s="135"/>
      <c r="X44" s="136"/>
      <c r="Y44" s="132"/>
      <c r="Z44" s="132"/>
      <c r="AA44" s="132"/>
      <c r="AB44" s="132"/>
      <c r="AC44" s="132"/>
      <c r="AD44" s="135"/>
      <c r="AE44" s="136"/>
      <c r="AF44" s="132"/>
      <c r="AG44" s="137"/>
      <c r="AH44" s="132"/>
      <c r="AI44" s="132"/>
      <c r="AJ44" s="132"/>
      <c r="AK44" s="132"/>
      <c r="AL44" s="132"/>
      <c r="AM44" s="132"/>
      <c r="AN44" s="132"/>
      <c r="AO44" s="132"/>
      <c r="AP44" s="135"/>
      <c r="AQ44" s="136"/>
      <c r="AR44" s="132"/>
      <c r="AS44" s="132"/>
      <c r="AT44" s="132"/>
      <c r="AU44" s="135"/>
      <c r="AV44" s="136"/>
      <c r="AW44" s="132"/>
      <c r="AX44" s="132"/>
      <c r="AY44" s="135"/>
      <c r="AZ44" s="136"/>
      <c r="BA44" s="132"/>
      <c r="BB44" s="132"/>
      <c r="BC44" s="135"/>
      <c r="BD44" s="136"/>
      <c r="BE44" s="132"/>
      <c r="BF44" s="132"/>
      <c r="BG44" s="135"/>
      <c r="BH44" s="136"/>
      <c r="BI44" s="132"/>
      <c r="BJ44" s="132"/>
      <c r="BK44" s="132"/>
      <c r="BL44" s="135"/>
      <c r="BM44" s="136"/>
      <c r="BN44" s="132"/>
      <c r="BO44" s="132"/>
      <c r="BP44" s="135"/>
      <c r="BQ44" s="136"/>
      <c r="BR44" s="137"/>
      <c r="BS44" s="132"/>
      <c r="BT44" s="132"/>
      <c r="BU44" s="132"/>
      <c r="BV44" s="132"/>
      <c r="BW44" s="135"/>
      <c r="BX44" s="136"/>
      <c r="BY44" s="132"/>
      <c r="BZ44" s="132"/>
      <c r="CA44" s="135"/>
      <c r="CB44" s="136"/>
      <c r="CC44" s="132"/>
      <c r="CD44" s="132"/>
      <c r="CE44" s="132"/>
      <c r="CF44" s="132"/>
      <c r="CG44" s="135"/>
      <c r="CH44" s="136"/>
      <c r="CI44" s="136"/>
      <c r="CJ44" s="132"/>
      <c r="CK44" s="132"/>
      <c r="CL44" s="135"/>
      <c r="CM44" s="136"/>
      <c r="CN44" s="132"/>
      <c r="CO44" s="132"/>
      <c r="CP44" s="132"/>
      <c r="CQ44" s="132"/>
      <c r="CR44" s="137"/>
      <c r="CS44" s="132"/>
      <c r="CT44" s="132"/>
      <c r="CU44" s="132"/>
      <c r="CV44" s="137"/>
      <c r="CW44" s="132"/>
      <c r="CX44" s="132"/>
      <c r="CY44" s="132"/>
      <c r="CZ44" s="132"/>
      <c r="DA44" s="132"/>
      <c r="DB44" s="132"/>
      <c r="DC44" s="137"/>
      <c r="DD44" s="132"/>
      <c r="DE44" s="132"/>
      <c r="DF44" s="132"/>
      <c r="DG44" s="132">
        <f t="shared" si="2"/>
        <v>0</v>
      </c>
    </row>
    <row r="45" spans="1:111" s="125" customFormat="1" ht="17.100000000000001" customHeight="1" x14ac:dyDescent="0.25">
      <c r="A45" s="126"/>
      <c r="B45" s="127"/>
      <c r="C45" s="128"/>
      <c r="D45" s="143"/>
      <c r="E45" s="130"/>
      <c r="F45" s="144"/>
      <c r="G45" s="131"/>
      <c r="H45" s="132"/>
      <c r="I45" s="133"/>
      <c r="J45" s="134"/>
      <c r="K45" s="132"/>
      <c r="L45" s="133"/>
      <c r="M45" s="134"/>
      <c r="N45" s="133"/>
      <c r="O45" s="134"/>
      <c r="P45" s="133"/>
      <c r="Q45" s="134"/>
      <c r="R45" s="132"/>
      <c r="S45" s="132"/>
      <c r="T45" s="133"/>
      <c r="U45" s="134"/>
      <c r="V45" s="132"/>
      <c r="W45" s="135"/>
      <c r="X45" s="136"/>
      <c r="Y45" s="132"/>
      <c r="Z45" s="132"/>
      <c r="AA45" s="132"/>
      <c r="AB45" s="132"/>
      <c r="AC45" s="132"/>
      <c r="AD45" s="135"/>
      <c r="AE45" s="136"/>
      <c r="AF45" s="132"/>
      <c r="AG45" s="137"/>
      <c r="AH45" s="132"/>
      <c r="AI45" s="132"/>
      <c r="AJ45" s="132"/>
      <c r="AK45" s="132"/>
      <c r="AL45" s="132"/>
      <c r="AM45" s="132"/>
      <c r="AN45" s="132"/>
      <c r="AO45" s="132"/>
      <c r="AP45" s="135"/>
      <c r="AQ45" s="136"/>
      <c r="AR45" s="132"/>
      <c r="AS45" s="132"/>
      <c r="AT45" s="132"/>
      <c r="AU45" s="135"/>
      <c r="AV45" s="136"/>
      <c r="AW45" s="132"/>
      <c r="AX45" s="132"/>
      <c r="AY45" s="145"/>
      <c r="AZ45" s="136"/>
      <c r="BA45" s="132"/>
      <c r="BB45" s="132"/>
      <c r="BC45" s="135"/>
      <c r="BD45" s="136"/>
      <c r="BE45" s="132"/>
      <c r="BF45" s="132"/>
      <c r="BG45" s="135"/>
      <c r="BH45" s="136"/>
      <c r="BI45" s="132"/>
      <c r="BJ45" s="132"/>
      <c r="BK45" s="132"/>
      <c r="BL45" s="135"/>
      <c r="BM45" s="136"/>
      <c r="BN45" s="132"/>
      <c r="BO45" s="132"/>
      <c r="BP45" s="135"/>
      <c r="BQ45" s="136"/>
      <c r="BR45" s="137"/>
      <c r="BS45" s="132"/>
      <c r="BT45" s="132"/>
      <c r="BU45" s="132"/>
      <c r="BV45" s="132"/>
      <c r="BW45" s="145"/>
      <c r="BX45" s="136"/>
      <c r="BY45" s="132"/>
      <c r="BZ45" s="132"/>
      <c r="CA45" s="135"/>
      <c r="CB45" s="136"/>
      <c r="CC45" s="132"/>
      <c r="CD45" s="132"/>
      <c r="CE45" s="132"/>
      <c r="CF45" s="132"/>
      <c r="CG45" s="145"/>
      <c r="CH45" s="136"/>
      <c r="CI45" s="136"/>
      <c r="CJ45" s="132"/>
      <c r="CK45" s="132"/>
      <c r="CL45" s="145"/>
      <c r="CM45" s="136"/>
      <c r="CN45" s="132"/>
      <c r="CO45" s="132"/>
      <c r="CP45" s="132"/>
      <c r="CQ45" s="132"/>
      <c r="CR45" s="137"/>
      <c r="CS45" s="132"/>
      <c r="CT45" s="132"/>
      <c r="CU45" s="132"/>
      <c r="CV45" s="137"/>
      <c r="CW45" s="132"/>
      <c r="CX45" s="132"/>
      <c r="CY45" s="132"/>
      <c r="CZ45" s="132"/>
      <c r="DA45" s="132"/>
      <c r="DB45" s="132"/>
      <c r="DC45" s="141"/>
      <c r="DD45" s="132"/>
      <c r="DE45" s="132"/>
      <c r="DF45" s="132"/>
      <c r="DG45" s="132">
        <f t="shared" si="2"/>
        <v>0</v>
      </c>
    </row>
    <row r="46" spans="1:111" s="125" customFormat="1" ht="17.100000000000001" customHeight="1" x14ac:dyDescent="0.25">
      <c r="A46" s="126"/>
      <c r="B46" s="127"/>
      <c r="C46" s="128"/>
      <c r="D46" s="129"/>
      <c r="E46" s="130"/>
      <c r="F46" s="144"/>
      <c r="G46" s="138"/>
      <c r="H46" s="132"/>
      <c r="I46" s="133"/>
      <c r="J46" s="134"/>
      <c r="K46" s="132"/>
      <c r="L46" s="133"/>
      <c r="M46" s="134"/>
      <c r="N46" s="133"/>
      <c r="O46" s="134"/>
      <c r="P46" s="133"/>
      <c r="Q46" s="134"/>
      <c r="R46" s="132"/>
      <c r="S46" s="132"/>
      <c r="T46" s="133"/>
      <c r="U46" s="134"/>
      <c r="V46" s="132"/>
      <c r="W46" s="135"/>
      <c r="X46" s="136"/>
      <c r="Y46" s="132"/>
      <c r="Z46" s="132"/>
      <c r="AA46" s="132"/>
      <c r="AB46" s="132"/>
      <c r="AC46" s="132"/>
      <c r="AD46" s="135"/>
      <c r="AE46" s="136"/>
      <c r="AF46" s="132"/>
      <c r="AG46" s="137"/>
      <c r="AH46" s="132"/>
      <c r="AI46" s="132"/>
      <c r="AJ46" s="132"/>
      <c r="AK46" s="132"/>
      <c r="AL46" s="132"/>
      <c r="AM46" s="132"/>
      <c r="AN46" s="132"/>
      <c r="AO46" s="132"/>
      <c r="AP46" s="135"/>
      <c r="AQ46" s="136"/>
      <c r="AR46" s="132"/>
      <c r="AS46" s="132"/>
      <c r="AT46" s="132"/>
      <c r="AU46" s="135"/>
      <c r="AV46" s="136"/>
      <c r="AW46" s="132"/>
      <c r="AX46" s="132"/>
      <c r="AY46" s="135"/>
      <c r="AZ46" s="136"/>
      <c r="BA46" s="132"/>
      <c r="BB46" s="132"/>
      <c r="BC46" s="135"/>
      <c r="BD46" s="136"/>
      <c r="BE46" s="132"/>
      <c r="BF46" s="132"/>
      <c r="BG46" s="135"/>
      <c r="BH46" s="136"/>
      <c r="BI46" s="132"/>
      <c r="BJ46" s="132"/>
      <c r="BK46" s="132"/>
      <c r="BL46" s="135"/>
      <c r="BM46" s="136"/>
      <c r="BN46" s="132"/>
      <c r="BO46" s="132"/>
      <c r="BP46" s="135"/>
      <c r="BQ46" s="136"/>
      <c r="BR46" s="137"/>
      <c r="BS46" s="132"/>
      <c r="BT46" s="132"/>
      <c r="BU46" s="132"/>
      <c r="BV46" s="132"/>
      <c r="BW46" s="145"/>
      <c r="BX46" s="136"/>
      <c r="BY46" s="132"/>
      <c r="BZ46" s="132"/>
      <c r="CA46" s="135"/>
      <c r="CB46" s="136"/>
      <c r="CC46" s="132"/>
      <c r="CD46" s="132"/>
      <c r="CE46" s="132"/>
      <c r="CF46" s="132"/>
      <c r="CG46" s="135"/>
      <c r="CH46" s="136"/>
      <c r="CI46" s="136"/>
      <c r="CJ46" s="132"/>
      <c r="CK46" s="132"/>
      <c r="CL46" s="135"/>
      <c r="CM46" s="136"/>
      <c r="CN46" s="132"/>
      <c r="CO46" s="132"/>
      <c r="CP46" s="132"/>
      <c r="CQ46" s="132"/>
      <c r="CR46" s="137"/>
      <c r="CS46" s="132"/>
      <c r="CT46" s="132"/>
      <c r="CU46" s="132"/>
      <c r="CV46" s="137"/>
      <c r="CW46" s="132"/>
      <c r="CX46" s="132"/>
      <c r="CY46" s="132"/>
      <c r="CZ46" s="132"/>
      <c r="DA46" s="132"/>
      <c r="DB46" s="132"/>
      <c r="DC46" s="141"/>
      <c r="DD46" s="132"/>
      <c r="DE46" s="132"/>
      <c r="DF46" s="132"/>
      <c r="DG46" s="132">
        <f t="shared" si="2"/>
        <v>0</v>
      </c>
    </row>
    <row r="47" spans="1:111" s="125" customFormat="1" ht="17.100000000000001" customHeight="1" x14ac:dyDescent="0.25">
      <c r="A47" s="126"/>
      <c r="B47" s="127"/>
      <c r="C47" s="128"/>
      <c r="D47" s="143"/>
      <c r="E47" s="130"/>
      <c r="F47" s="128"/>
      <c r="G47" s="131"/>
      <c r="H47" s="132"/>
      <c r="I47" s="133"/>
      <c r="J47" s="134"/>
      <c r="K47" s="132"/>
      <c r="L47" s="133"/>
      <c r="M47" s="134"/>
      <c r="N47" s="133"/>
      <c r="O47" s="134"/>
      <c r="P47" s="133"/>
      <c r="Q47" s="134"/>
      <c r="R47" s="132"/>
      <c r="S47" s="132"/>
      <c r="T47" s="133"/>
      <c r="U47" s="134"/>
      <c r="V47" s="132"/>
      <c r="W47" s="135"/>
      <c r="X47" s="136"/>
      <c r="Y47" s="132"/>
      <c r="Z47" s="132"/>
      <c r="AA47" s="132"/>
      <c r="AB47" s="132"/>
      <c r="AC47" s="132"/>
      <c r="AD47" s="135"/>
      <c r="AE47" s="136"/>
      <c r="AF47" s="132"/>
      <c r="AG47" s="137"/>
      <c r="AH47" s="132"/>
      <c r="AI47" s="132"/>
      <c r="AJ47" s="132"/>
      <c r="AK47" s="132"/>
      <c r="AL47" s="132"/>
      <c r="AM47" s="132"/>
      <c r="AN47" s="132"/>
      <c r="AO47" s="132"/>
      <c r="AP47" s="135"/>
      <c r="AQ47" s="136"/>
      <c r="AR47" s="132"/>
      <c r="AS47" s="132"/>
      <c r="AT47" s="132"/>
      <c r="AU47" s="135"/>
      <c r="AV47" s="136"/>
      <c r="AW47" s="132"/>
      <c r="AX47" s="132"/>
      <c r="AY47" s="135"/>
      <c r="AZ47" s="136"/>
      <c r="BA47" s="132"/>
      <c r="BB47" s="132"/>
      <c r="BC47" s="135"/>
      <c r="BD47" s="136"/>
      <c r="BE47" s="132"/>
      <c r="BF47" s="132"/>
      <c r="BG47" s="135"/>
      <c r="BH47" s="136"/>
      <c r="BI47" s="132"/>
      <c r="BJ47" s="132"/>
      <c r="BK47" s="132"/>
      <c r="BL47" s="135"/>
      <c r="BM47" s="136"/>
      <c r="BN47" s="132"/>
      <c r="BO47" s="132"/>
      <c r="BP47" s="135"/>
      <c r="BQ47" s="136"/>
      <c r="BR47" s="137"/>
      <c r="BS47" s="132"/>
      <c r="BT47" s="132"/>
      <c r="BU47" s="132"/>
      <c r="BV47" s="132"/>
      <c r="BW47" s="135"/>
      <c r="BX47" s="136"/>
      <c r="BY47" s="132"/>
      <c r="BZ47" s="132"/>
      <c r="CA47" s="135"/>
      <c r="CB47" s="136"/>
      <c r="CC47" s="132"/>
      <c r="CD47" s="132"/>
      <c r="CE47" s="132"/>
      <c r="CF47" s="132"/>
      <c r="CG47" s="135"/>
      <c r="CH47" s="136"/>
      <c r="CI47" s="136"/>
      <c r="CJ47" s="132"/>
      <c r="CK47" s="132"/>
      <c r="CL47" s="135"/>
      <c r="CM47" s="136"/>
      <c r="CN47" s="132"/>
      <c r="CO47" s="132"/>
      <c r="CP47" s="132"/>
      <c r="CQ47" s="132"/>
      <c r="CR47" s="137"/>
      <c r="CS47" s="132"/>
      <c r="CT47" s="132"/>
      <c r="CU47" s="132"/>
      <c r="CV47" s="137"/>
      <c r="CW47" s="132"/>
      <c r="CX47" s="132"/>
      <c r="CY47" s="132"/>
      <c r="CZ47" s="132"/>
      <c r="DA47" s="132"/>
      <c r="DB47" s="132"/>
      <c r="DC47" s="137"/>
      <c r="DD47" s="132"/>
      <c r="DE47" s="132"/>
      <c r="DF47" s="132"/>
      <c r="DG47" s="132">
        <f t="shared" si="2"/>
        <v>0</v>
      </c>
    </row>
    <row r="48" spans="1:111" s="125" customFormat="1" ht="17.100000000000001" customHeight="1" x14ac:dyDescent="0.25">
      <c r="A48" s="126"/>
      <c r="B48" s="127"/>
      <c r="C48" s="128"/>
      <c r="D48" s="147"/>
      <c r="E48" s="130"/>
      <c r="F48" s="128"/>
      <c r="G48" s="131"/>
      <c r="H48" s="132"/>
      <c r="I48" s="133"/>
      <c r="J48" s="134"/>
      <c r="K48" s="132"/>
      <c r="L48" s="133"/>
      <c r="M48" s="134"/>
      <c r="N48" s="133"/>
      <c r="O48" s="134"/>
      <c r="P48" s="133"/>
      <c r="Q48" s="134"/>
      <c r="R48" s="132"/>
      <c r="S48" s="132"/>
      <c r="T48" s="133"/>
      <c r="U48" s="134"/>
      <c r="V48" s="132"/>
      <c r="W48" s="135"/>
      <c r="X48" s="136"/>
      <c r="Y48" s="132"/>
      <c r="Z48" s="132"/>
      <c r="AA48" s="132"/>
      <c r="AB48" s="132"/>
      <c r="AC48" s="132"/>
      <c r="AD48" s="135"/>
      <c r="AE48" s="136"/>
      <c r="AF48" s="132"/>
      <c r="AG48" s="137"/>
      <c r="AH48" s="132"/>
      <c r="AI48" s="132"/>
      <c r="AJ48" s="132"/>
      <c r="AK48" s="132"/>
      <c r="AL48" s="132"/>
      <c r="AM48" s="132"/>
      <c r="AN48" s="132"/>
      <c r="AO48" s="132"/>
      <c r="AP48" s="135"/>
      <c r="AQ48" s="136"/>
      <c r="AR48" s="132"/>
      <c r="AS48" s="132"/>
      <c r="AT48" s="132"/>
      <c r="AU48" s="135"/>
      <c r="AV48" s="136"/>
      <c r="AW48" s="132"/>
      <c r="AX48" s="132"/>
      <c r="AY48" s="135"/>
      <c r="AZ48" s="136"/>
      <c r="BA48" s="132"/>
      <c r="BB48" s="132"/>
      <c r="BC48" s="135"/>
      <c r="BD48" s="136"/>
      <c r="BE48" s="132"/>
      <c r="BF48" s="132"/>
      <c r="BG48" s="135"/>
      <c r="BH48" s="136"/>
      <c r="BI48" s="132"/>
      <c r="BJ48" s="132"/>
      <c r="BK48" s="132"/>
      <c r="BL48" s="135"/>
      <c r="BM48" s="136"/>
      <c r="BN48" s="132"/>
      <c r="BO48" s="132"/>
      <c r="BP48" s="135"/>
      <c r="BQ48" s="136"/>
      <c r="BR48" s="137"/>
      <c r="BS48" s="132"/>
      <c r="BT48" s="132"/>
      <c r="BU48" s="132"/>
      <c r="BV48" s="132"/>
      <c r="BW48" s="135"/>
      <c r="BX48" s="136"/>
      <c r="BY48" s="132"/>
      <c r="BZ48" s="132"/>
      <c r="CA48" s="135"/>
      <c r="CB48" s="136"/>
      <c r="CC48" s="132"/>
      <c r="CD48" s="132"/>
      <c r="CE48" s="132"/>
      <c r="CF48" s="132"/>
      <c r="CG48" s="135"/>
      <c r="CH48" s="136"/>
      <c r="CI48" s="136"/>
      <c r="CJ48" s="132"/>
      <c r="CK48" s="132"/>
      <c r="CL48" s="135"/>
      <c r="CM48" s="136"/>
      <c r="CN48" s="132"/>
      <c r="CO48" s="132"/>
      <c r="CP48" s="132"/>
      <c r="CQ48" s="132"/>
      <c r="CR48" s="137"/>
      <c r="CS48" s="132"/>
      <c r="CT48" s="132"/>
      <c r="CU48" s="132"/>
      <c r="CV48" s="137"/>
      <c r="CW48" s="132"/>
      <c r="CX48" s="132"/>
      <c r="CY48" s="132"/>
      <c r="CZ48" s="132"/>
      <c r="DA48" s="132"/>
      <c r="DB48" s="132"/>
      <c r="DC48" s="137"/>
      <c r="DD48" s="132"/>
      <c r="DE48" s="132"/>
      <c r="DF48" s="132"/>
      <c r="DG48" s="132">
        <f t="shared" si="2"/>
        <v>0</v>
      </c>
    </row>
    <row r="49" spans="1:111" s="125" customFormat="1" ht="17.100000000000001" customHeight="1" x14ac:dyDescent="0.25">
      <c r="A49" s="126"/>
      <c r="B49" s="127"/>
      <c r="C49" s="128"/>
      <c r="D49" s="129"/>
      <c r="E49" s="130"/>
      <c r="F49" s="128"/>
      <c r="G49" s="131"/>
      <c r="H49" s="132"/>
      <c r="I49" s="133"/>
      <c r="J49" s="134"/>
      <c r="K49" s="132"/>
      <c r="L49" s="133"/>
      <c r="M49" s="134"/>
      <c r="N49" s="133"/>
      <c r="O49" s="134"/>
      <c r="P49" s="133"/>
      <c r="Q49" s="134"/>
      <c r="R49" s="132"/>
      <c r="S49" s="132"/>
      <c r="T49" s="133"/>
      <c r="U49" s="134"/>
      <c r="V49" s="132"/>
      <c r="W49" s="135"/>
      <c r="X49" s="136"/>
      <c r="Y49" s="132"/>
      <c r="Z49" s="132"/>
      <c r="AA49" s="132"/>
      <c r="AB49" s="132"/>
      <c r="AC49" s="132"/>
      <c r="AD49" s="135"/>
      <c r="AE49" s="136"/>
      <c r="AF49" s="132"/>
      <c r="AG49" s="137"/>
      <c r="AH49" s="132"/>
      <c r="AI49" s="132"/>
      <c r="AJ49" s="132"/>
      <c r="AK49" s="132"/>
      <c r="AL49" s="132"/>
      <c r="AM49" s="132"/>
      <c r="AN49" s="132"/>
      <c r="AO49" s="132"/>
      <c r="AP49" s="135"/>
      <c r="AQ49" s="136"/>
      <c r="AR49" s="132"/>
      <c r="AS49" s="132"/>
      <c r="AT49" s="132"/>
      <c r="AU49" s="135"/>
      <c r="AV49" s="136"/>
      <c r="AW49" s="132"/>
      <c r="AX49" s="132"/>
      <c r="AY49" s="135"/>
      <c r="AZ49" s="136"/>
      <c r="BA49" s="132"/>
      <c r="BB49" s="132"/>
      <c r="BC49" s="135"/>
      <c r="BD49" s="136"/>
      <c r="BE49" s="132"/>
      <c r="BF49" s="132"/>
      <c r="BG49" s="135"/>
      <c r="BH49" s="136"/>
      <c r="BI49" s="132"/>
      <c r="BJ49" s="132"/>
      <c r="BK49" s="132"/>
      <c r="BL49" s="135"/>
      <c r="BM49" s="136"/>
      <c r="BN49" s="132"/>
      <c r="BO49" s="132"/>
      <c r="BP49" s="135"/>
      <c r="BQ49" s="136"/>
      <c r="BR49" s="137"/>
      <c r="BS49" s="132"/>
      <c r="BT49" s="132"/>
      <c r="BU49" s="132"/>
      <c r="BV49" s="132"/>
      <c r="BW49" s="135"/>
      <c r="BX49" s="136"/>
      <c r="BY49" s="132"/>
      <c r="BZ49" s="132"/>
      <c r="CA49" s="135"/>
      <c r="CB49" s="136"/>
      <c r="CC49" s="132"/>
      <c r="CD49" s="132"/>
      <c r="CE49" s="132"/>
      <c r="CF49" s="132"/>
      <c r="CG49" s="135"/>
      <c r="CH49" s="136"/>
      <c r="CI49" s="136"/>
      <c r="CJ49" s="132"/>
      <c r="CK49" s="132"/>
      <c r="CL49" s="135"/>
      <c r="CM49" s="136"/>
      <c r="CN49" s="132"/>
      <c r="CO49" s="132"/>
      <c r="CP49" s="132"/>
      <c r="CQ49" s="132"/>
      <c r="CR49" s="137"/>
      <c r="CS49" s="132"/>
      <c r="CT49" s="132"/>
      <c r="CU49" s="132"/>
      <c r="CV49" s="137"/>
      <c r="CW49" s="132"/>
      <c r="CX49" s="132"/>
      <c r="CY49" s="132"/>
      <c r="CZ49" s="132"/>
      <c r="DA49" s="132"/>
      <c r="DB49" s="132"/>
      <c r="DC49" s="137"/>
      <c r="DD49" s="132"/>
      <c r="DE49" s="132"/>
      <c r="DF49" s="132"/>
      <c r="DG49" s="132">
        <f t="shared" si="2"/>
        <v>0</v>
      </c>
    </row>
    <row r="50" spans="1:111" s="125" customFormat="1" ht="17.100000000000001" customHeight="1" x14ac:dyDescent="0.25">
      <c r="A50" s="126"/>
      <c r="B50" s="127"/>
      <c r="C50" s="128"/>
      <c r="D50" s="150"/>
      <c r="E50" s="151"/>
      <c r="F50" s="128"/>
      <c r="G50" s="131"/>
      <c r="H50" s="132"/>
      <c r="I50" s="133"/>
      <c r="J50" s="134"/>
      <c r="K50" s="132"/>
      <c r="L50" s="133"/>
      <c r="M50" s="134"/>
      <c r="N50" s="133"/>
      <c r="O50" s="134"/>
      <c r="P50" s="133"/>
      <c r="Q50" s="134"/>
      <c r="R50" s="132"/>
      <c r="S50" s="132"/>
      <c r="T50" s="133"/>
      <c r="U50" s="134"/>
      <c r="V50" s="132"/>
      <c r="W50" s="135"/>
      <c r="X50" s="136"/>
      <c r="Y50" s="132"/>
      <c r="Z50" s="132"/>
      <c r="AA50" s="132"/>
      <c r="AB50" s="132"/>
      <c r="AC50" s="132"/>
      <c r="AD50" s="135"/>
      <c r="AE50" s="136"/>
      <c r="AF50" s="132"/>
      <c r="AG50" s="137"/>
      <c r="AH50" s="132"/>
      <c r="AI50" s="132"/>
      <c r="AJ50" s="132"/>
      <c r="AK50" s="132"/>
      <c r="AL50" s="132"/>
      <c r="AM50" s="132"/>
      <c r="AN50" s="132"/>
      <c r="AO50" s="132"/>
      <c r="AP50" s="135"/>
      <c r="AQ50" s="136"/>
      <c r="AR50" s="132"/>
      <c r="AS50" s="132"/>
      <c r="AT50" s="132"/>
      <c r="AU50" s="135"/>
      <c r="AV50" s="136"/>
      <c r="AW50" s="132"/>
      <c r="AX50" s="132"/>
      <c r="AY50" s="135"/>
      <c r="AZ50" s="136"/>
      <c r="BA50" s="132"/>
      <c r="BB50" s="132"/>
      <c r="BC50" s="135"/>
      <c r="BD50" s="136"/>
      <c r="BE50" s="132"/>
      <c r="BF50" s="132"/>
      <c r="BG50" s="135"/>
      <c r="BH50" s="136"/>
      <c r="BI50" s="132"/>
      <c r="BJ50" s="132"/>
      <c r="BK50" s="132"/>
      <c r="BL50" s="135"/>
      <c r="BM50" s="136"/>
      <c r="BN50" s="132"/>
      <c r="BO50" s="132"/>
      <c r="BP50" s="135"/>
      <c r="BQ50" s="136"/>
      <c r="BR50" s="137"/>
      <c r="BS50" s="132"/>
      <c r="BT50" s="132"/>
      <c r="BU50" s="132"/>
      <c r="BV50" s="132"/>
      <c r="BW50" s="135"/>
      <c r="BX50" s="136"/>
      <c r="BY50" s="132"/>
      <c r="BZ50" s="132"/>
      <c r="CA50" s="135"/>
      <c r="CB50" s="136"/>
      <c r="CC50" s="132"/>
      <c r="CD50" s="132"/>
      <c r="CE50" s="132"/>
      <c r="CF50" s="132"/>
      <c r="CG50" s="135"/>
      <c r="CH50" s="136"/>
      <c r="CI50" s="136"/>
      <c r="CJ50" s="132"/>
      <c r="CK50" s="132"/>
      <c r="CL50" s="135"/>
      <c r="CM50" s="136"/>
      <c r="CN50" s="132"/>
      <c r="CO50" s="132"/>
      <c r="CP50" s="132"/>
      <c r="CQ50" s="132"/>
      <c r="CR50" s="137"/>
      <c r="CS50" s="132"/>
      <c r="CT50" s="132"/>
      <c r="CU50" s="132"/>
      <c r="CV50" s="137"/>
      <c r="CW50" s="132"/>
      <c r="CX50" s="132"/>
      <c r="CY50" s="132"/>
      <c r="CZ50" s="132"/>
      <c r="DA50" s="132"/>
      <c r="DB50" s="132"/>
      <c r="DC50" s="137"/>
      <c r="DD50" s="132"/>
      <c r="DE50" s="132"/>
      <c r="DF50" s="132"/>
      <c r="DG50" s="132">
        <f t="shared" si="2"/>
        <v>0</v>
      </c>
    </row>
    <row r="51" spans="1:111" s="125" customFormat="1" ht="17.100000000000001" customHeight="1" x14ac:dyDescent="0.25">
      <c r="A51" s="126"/>
      <c r="B51" s="127"/>
      <c r="C51" s="128"/>
      <c r="D51" s="129"/>
      <c r="E51" s="130"/>
      <c r="F51" s="128"/>
      <c r="G51" s="131"/>
      <c r="H51" s="132"/>
      <c r="I51" s="133"/>
      <c r="J51" s="134"/>
      <c r="K51" s="132"/>
      <c r="L51" s="133"/>
      <c r="M51" s="134"/>
      <c r="N51" s="133"/>
      <c r="O51" s="134"/>
      <c r="P51" s="133"/>
      <c r="Q51" s="134"/>
      <c r="R51" s="132"/>
      <c r="S51" s="132"/>
      <c r="T51" s="133"/>
      <c r="U51" s="134"/>
      <c r="V51" s="132"/>
      <c r="W51" s="135"/>
      <c r="X51" s="136"/>
      <c r="Y51" s="132"/>
      <c r="Z51" s="132"/>
      <c r="AA51" s="132"/>
      <c r="AB51" s="132"/>
      <c r="AC51" s="132"/>
      <c r="AD51" s="135"/>
      <c r="AE51" s="136"/>
      <c r="AF51" s="132"/>
      <c r="AG51" s="137"/>
      <c r="AH51" s="132"/>
      <c r="AI51" s="132"/>
      <c r="AJ51" s="132"/>
      <c r="AK51" s="132"/>
      <c r="AL51" s="132"/>
      <c r="AM51" s="132"/>
      <c r="AN51" s="132"/>
      <c r="AO51" s="132"/>
      <c r="AP51" s="135"/>
      <c r="AQ51" s="136"/>
      <c r="AR51" s="132"/>
      <c r="AS51" s="132"/>
      <c r="AT51" s="132"/>
      <c r="AU51" s="135"/>
      <c r="AV51" s="136"/>
      <c r="AW51" s="132"/>
      <c r="AX51" s="132"/>
      <c r="AY51" s="135"/>
      <c r="AZ51" s="136"/>
      <c r="BA51" s="132"/>
      <c r="BB51" s="132"/>
      <c r="BC51" s="135"/>
      <c r="BD51" s="136"/>
      <c r="BE51" s="132"/>
      <c r="BF51" s="132"/>
      <c r="BG51" s="135"/>
      <c r="BH51" s="136"/>
      <c r="BI51" s="132"/>
      <c r="BJ51" s="132"/>
      <c r="BK51" s="132"/>
      <c r="BL51" s="135"/>
      <c r="BM51" s="136"/>
      <c r="BN51" s="132"/>
      <c r="BO51" s="132"/>
      <c r="BP51" s="135"/>
      <c r="BQ51" s="136"/>
      <c r="BR51" s="137"/>
      <c r="BS51" s="132"/>
      <c r="BT51" s="132"/>
      <c r="BU51" s="132"/>
      <c r="BV51" s="132"/>
      <c r="BW51" s="135"/>
      <c r="BX51" s="136"/>
      <c r="BY51" s="132"/>
      <c r="BZ51" s="132"/>
      <c r="CA51" s="135"/>
      <c r="CB51" s="136"/>
      <c r="CC51" s="132"/>
      <c r="CD51" s="132"/>
      <c r="CE51" s="132"/>
      <c r="CF51" s="132"/>
      <c r="CG51" s="135"/>
      <c r="CH51" s="136"/>
      <c r="CI51" s="136"/>
      <c r="CJ51" s="132"/>
      <c r="CK51" s="132"/>
      <c r="CL51" s="135"/>
      <c r="CM51" s="136"/>
      <c r="CN51" s="132"/>
      <c r="CO51" s="132"/>
      <c r="CP51" s="132"/>
      <c r="CQ51" s="132"/>
      <c r="CR51" s="137"/>
      <c r="CS51" s="132"/>
      <c r="CT51" s="132"/>
      <c r="CU51" s="132"/>
      <c r="CV51" s="137"/>
      <c r="CW51" s="132"/>
      <c r="CX51" s="132"/>
      <c r="CY51" s="132"/>
      <c r="CZ51" s="132"/>
      <c r="DA51" s="132"/>
      <c r="DB51" s="132"/>
      <c r="DC51" s="137"/>
      <c r="DD51" s="132"/>
      <c r="DE51" s="132"/>
      <c r="DF51" s="132"/>
      <c r="DG51" s="132">
        <f t="shared" si="2"/>
        <v>0</v>
      </c>
    </row>
    <row r="52" spans="1:111" s="125" customFormat="1" ht="17.100000000000001" customHeight="1" x14ac:dyDescent="0.25">
      <c r="A52" s="126"/>
      <c r="B52" s="127"/>
      <c r="C52" s="128"/>
      <c r="D52" s="129"/>
      <c r="E52" s="130"/>
      <c r="F52" s="128"/>
      <c r="G52" s="131"/>
      <c r="H52" s="132"/>
      <c r="I52" s="133"/>
      <c r="J52" s="134"/>
      <c r="K52" s="132"/>
      <c r="L52" s="133"/>
      <c r="M52" s="134"/>
      <c r="N52" s="133"/>
      <c r="O52" s="134"/>
      <c r="P52" s="133"/>
      <c r="Q52" s="134"/>
      <c r="R52" s="132"/>
      <c r="S52" s="132"/>
      <c r="T52" s="133"/>
      <c r="U52" s="134"/>
      <c r="V52" s="132"/>
      <c r="W52" s="135"/>
      <c r="X52" s="136"/>
      <c r="Y52" s="132"/>
      <c r="Z52" s="132"/>
      <c r="AA52" s="132"/>
      <c r="AB52" s="132"/>
      <c r="AC52" s="132"/>
      <c r="AD52" s="135"/>
      <c r="AE52" s="136"/>
      <c r="AF52" s="132"/>
      <c r="AG52" s="137"/>
      <c r="AH52" s="132"/>
      <c r="AI52" s="132"/>
      <c r="AJ52" s="132"/>
      <c r="AK52" s="132"/>
      <c r="AL52" s="132"/>
      <c r="AM52" s="132"/>
      <c r="AN52" s="132"/>
      <c r="AO52" s="132"/>
      <c r="AP52" s="135"/>
      <c r="AQ52" s="136"/>
      <c r="AR52" s="132"/>
      <c r="AS52" s="132"/>
      <c r="AT52" s="132"/>
      <c r="AU52" s="135"/>
      <c r="AV52" s="136"/>
      <c r="AW52" s="132"/>
      <c r="AX52" s="132"/>
      <c r="AY52" s="135"/>
      <c r="AZ52" s="136"/>
      <c r="BA52" s="132"/>
      <c r="BB52" s="132"/>
      <c r="BC52" s="135"/>
      <c r="BD52" s="136"/>
      <c r="BE52" s="132"/>
      <c r="BF52" s="132"/>
      <c r="BG52" s="135"/>
      <c r="BH52" s="136"/>
      <c r="BI52" s="132"/>
      <c r="BJ52" s="132"/>
      <c r="BK52" s="132"/>
      <c r="BL52" s="135"/>
      <c r="BM52" s="136"/>
      <c r="BN52" s="132"/>
      <c r="BO52" s="132"/>
      <c r="BP52" s="135"/>
      <c r="BQ52" s="136"/>
      <c r="BR52" s="137"/>
      <c r="BS52" s="132"/>
      <c r="BT52" s="132"/>
      <c r="BU52" s="132"/>
      <c r="BV52" s="132"/>
      <c r="BW52" s="135"/>
      <c r="BX52" s="136"/>
      <c r="BY52" s="132"/>
      <c r="BZ52" s="132"/>
      <c r="CA52" s="135"/>
      <c r="CB52" s="136"/>
      <c r="CC52" s="132"/>
      <c r="CD52" s="132"/>
      <c r="CE52" s="132"/>
      <c r="CF52" s="132"/>
      <c r="CG52" s="135"/>
      <c r="CH52" s="136"/>
      <c r="CI52" s="136"/>
      <c r="CJ52" s="132"/>
      <c r="CK52" s="132"/>
      <c r="CL52" s="135"/>
      <c r="CM52" s="136"/>
      <c r="CN52" s="132"/>
      <c r="CO52" s="132"/>
      <c r="CP52" s="132"/>
      <c r="CQ52" s="132"/>
      <c r="CR52" s="137"/>
      <c r="CS52" s="132"/>
      <c r="CT52" s="132"/>
      <c r="CU52" s="132"/>
      <c r="CV52" s="137"/>
      <c r="CW52" s="132"/>
      <c r="CX52" s="132"/>
      <c r="CY52" s="132"/>
      <c r="CZ52" s="132"/>
      <c r="DA52" s="132"/>
      <c r="DB52" s="132"/>
      <c r="DC52" s="137"/>
      <c r="DD52" s="132"/>
      <c r="DE52" s="132"/>
      <c r="DF52" s="132"/>
      <c r="DG52" s="132">
        <f t="shared" si="2"/>
        <v>0</v>
      </c>
    </row>
    <row r="53" spans="1:111" s="125" customFormat="1" ht="17.100000000000001" customHeight="1" x14ac:dyDescent="0.25">
      <c r="A53" s="126"/>
      <c r="B53" s="127"/>
      <c r="C53" s="128"/>
      <c r="D53" s="150"/>
      <c r="E53" s="151"/>
      <c r="F53" s="128"/>
      <c r="G53" s="131"/>
      <c r="H53" s="132"/>
      <c r="I53" s="133"/>
      <c r="J53" s="134"/>
      <c r="K53" s="132"/>
      <c r="L53" s="133"/>
      <c r="M53" s="134"/>
      <c r="N53" s="133"/>
      <c r="O53" s="134"/>
      <c r="P53" s="133"/>
      <c r="Q53" s="134"/>
      <c r="R53" s="132"/>
      <c r="S53" s="132"/>
      <c r="T53" s="133"/>
      <c r="U53" s="134"/>
      <c r="V53" s="132"/>
      <c r="W53" s="135"/>
      <c r="X53" s="136"/>
      <c r="Y53" s="132"/>
      <c r="Z53" s="132"/>
      <c r="AA53" s="132"/>
      <c r="AB53" s="132"/>
      <c r="AC53" s="132"/>
      <c r="AD53" s="135"/>
      <c r="AE53" s="136"/>
      <c r="AF53" s="132"/>
      <c r="AG53" s="137"/>
      <c r="AH53" s="132"/>
      <c r="AI53" s="132"/>
      <c r="AJ53" s="132"/>
      <c r="AK53" s="132"/>
      <c r="AL53" s="132"/>
      <c r="AM53" s="132"/>
      <c r="AN53" s="132"/>
      <c r="AO53" s="132"/>
      <c r="AP53" s="135"/>
      <c r="AQ53" s="136"/>
      <c r="AR53" s="132"/>
      <c r="AS53" s="132"/>
      <c r="AT53" s="132"/>
      <c r="AU53" s="135"/>
      <c r="AV53" s="136"/>
      <c r="AW53" s="132"/>
      <c r="AX53" s="132"/>
      <c r="AY53" s="135"/>
      <c r="AZ53" s="136"/>
      <c r="BA53" s="132"/>
      <c r="BB53" s="132"/>
      <c r="BC53" s="135"/>
      <c r="BD53" s="136"/>
      <c r="BE53" s="132"/>
      <c r="BF53" s="132"/>
      <c r="BG53" s="135"/>
      <c r="BH53" s="136"/>
      <c r="BI53" s="132"/>
      <c r="BJ53" s="132"/>
      <c r="BK53" s="132"/>
      <c r="BL53" s="135"/>
      <c r="BM53" s="136"/>
      <c r="BN53" s="132"/>
      <c r="BO53" s="132"/>
      <c r="BP53" s="135"/>
      <c r="BQ53" s="136"/>
      <c r="BR53" s="137"/>
      <c r="BS53" s="132"/>
      <c r="BT53" s="132"/>
      <c r="BU53" s="132"/>
      <c r="BV53" s="132"/>
      <c r="BW53" s="145"/>
      <c r="BX53" s="136"/>
      <c r="BY53" s="132"/>
      <c r="BZ53" s="132"/>
      <c r="CA53" s="135"/>
      <c r="CB53" s="136"/>
      <c r="CC53" s="132"/>
      <c r="CD53" s="132"/>
      <c r="CE53" s="132"/>
      <c r="CF53" s="132"/>
      <c r="CG53" s="135"/>
      <c r="CH53" s="136"/>
      <c r="CI53" s="136"/>
      <c r="CJ53" s="132"/>
      <c r="CK53" s="132"/>
      <c r="CL53" s="135"/>
      <c r="CM53" s="136"/>
      <c r="CN53" s="132"/>
      <c r="CO53" s="132"/>
      <c r="CP53" s="132"/>
      <c r="CQ53" s="132"/>
      <c r="CR53" s="137"/>
      <c r="CS53" s="132"/>
      <c r="CT53" s="132"/>
      <c r="CU53" s="132"/>
      <c r="CV53" s="137"/>
      <c r="CW53" s="132"/>
      <c r="CX53" s="132"/>
      <c r="CY53" s="132"/>
      <c r="CZ53" s="132"/>
      <c r="DA53" s="132"/>
      <c r="DB53" s="132"/>
      <c r="DC53" s="137"/>
      <c r="DD53" s="132"/>
      <c r="DE53" s="132"/>
      <c r="DF53" s="132"/>
      <c r="DG53" s="132">
        <f t="shared" si="2"/>
        <v>0</v>
      </c>
    </row>
    <row r="54" spans="1:111" s="125" customFormat="1" ht="17.100000000000001" customHeight="1" x14ac:dyDescent="0.25">
      <c r="A54" s="126"/>
      <c r="B54" s="127"/>
      <c r="C54" s="128"/>
      <c r="D54" s="129"/>
      <c r="E54" s="130"/>
      <c r="F54" s="128"/>
      <c r="G54" s="131"/>
      <c r="H54" s="132"/>
      <c r="I54" s="133"/>
      <c r="J54" s="134"/>
      <c r="K54" s="132"/>
      <c r="L54" s="133"/>
      <c r="M54" s="134"/>
      <c r="N54" s="133"/>
      <c r="O54" s="134"/>
      <c r="P54" s="133"/>
      <c r="Q54" s="134"/>
      <c r="R54" s="132"/>
      <c r="S54" s="132"/>
      <c r="T54" s="133"/>
      <c r="U54" s="134"/>
      <c r="V54" s="132"/>
      <c r="W54" s="135"/>
      <c r="X54" s="136"/>
      <c r="Y54" s="132"/>
      <c r="Z54" s="132"/>
      <c r="AA54" s="132"/>
      <c r="AB54" s="132"/>
      <c r="AC54" s="132"/>
      <c r="AD54" s="135"/>
      <c r="AE54" s="136"/>
      <c r="AF54" s="132"/>
      <c r="AG54" s="137"/>
      <c r="AH54" s="132"/>
      <c r="AI54" s="132"/>
      <c r="AJ54" s="132"/>
      <c r="AK54" s="132"/>
      <c r="AL54" s="132"/>
      <c r="AM54" s="132"/>
      <c r="AN54" s="132"/>
      <c r="AO54" s="132"/>
      <c r="AP54" s="135"/>
      <c r="AQ54" s="136"/>
      <c r="AR54" s="132"/>
      <c r="AS54" s="132"/>
      <c r="AT54" s="132"/>
      <c r="AU54" s="135"/>
      <c r="AV54" s="136"/>
      <c r="AW54" s="132"/>
      <c r="AX54" s="132"/>
      <c r="AY54" s="135"/>
      <c r="AZ54" s="136"/>
      <c r="BA54" s="132"/>
      <c r="BB54" s="132"/>
      <c r="BC54" s="135"/>
      <c r="BD54" s="136"/>
      <c r="BE54" s="132"/>
      <c r="BF54" s="132"/>
      <c r="BG54" s="135"/>
      <c r="BH54" s="136"/>
      <c r="BI54" s="132"/>
      <c r="BJ54" s="132"/>
      <c r="BK54" s="132"/>
      <c r="BL54" s="135"/>
      <c r="BM54" s="136"/>
      <c r="BN54" s="132"/>
      <c r="BO54" s="132"/>
      <c r="BP54" s="135"/>
      <c r="BQ54" s="136"/>
      <c r="BR54" s="137"/>
      <c r="BS54" s="132"/>
      <c r="BT54" s="132"/>
      <c r="BU54" s="132"/>
      <c r="BV54" s="132"/>
      <c r="BW54" s="135"/>
      <c r="BX54" s="136"/>
      <c r="BY54" s="132"/>
      <c r="BZ54" s="132"/>
      <c r="CA54" s="135"/>
      <c r="CB54" s="136"/>
      <c r="CC54" s="132"/>
      <c r="CD54" s="132"/>
      <c r="CE54" s="132"/>
      <c r="CF54" s="132"/>
      <c r="CG54" s="135"/>
      <c r="CH54" s="136"/>
      <c r="CI54" s="136"/>
      <c r="CJ54" s="132"/>
      <c r="CK54" s="132"/>
      <c r="CL54" s="135"/>
      <c r="CM54" s="136"/>
      <c r="CN54" s="132"/>
      <c r="CO54" s="132"/>
      <c r="CP54" s="132"/>
      <c r="CQ54" s="132"/>
      <c r="CR54" s="137"/>
      <c r="CS54" s="132"/>
      <c r="CT54" s="132"/>
      <c r="CU54" s="132"/>
      <c r="CV54" s="137"/>
      <c r="CW54" s="132"/>
      <c r="CX54" s="132"/>
      <c r="CY54" s="132"/>
      <c r="CZ54" s="132"/>
      <c r="DA54" s="132"/>
      <c r="DB54" s="132"/>
      <c r="DC54" s="137"/>
      <c r="DD54" s="132"/>
      <c r="DE54" s="132"/>
      <c r="DF54" s="132"/>
      <c r="DG54" s="132">
        <f t="shared" si="2"/>
        <v>0</v>
      </c>
    </row>
    <row r="55" spans="1:111" s="125" customFormat="1" ht="17.100000000000001" customHeight="1" x14ac:dyDescent="0.25">
      <c r="A55" s="126"/>
      <c r="B55" s="127"/>
      <c r="C55" s="128"/>
      <c r="D55" s="129"/>
      <c r="E55" s="130"/>
      <c r="F55" s="128"/>
      <c r="G55" s="138"/>
      <c r="H55" s="132"/>
      <c r="I55" s="133"/>
      <c r="J55" s="134"/>
      <c r="K55" s="132"/>
      <c r="L55" s="133"/>
      <c r="M55" s="134"/>
      <c r="N55" s="133"/>
      <c r="O55" s="134"/>
      <c r="P55" s="133"/>
      <c r="Q55" s="134"/>
      <c r="R55" s="132"/>
      <c r="S55" s="132"/>
      <c r="T55" s="133"/>
      <c r="U55" s="134"/>
      <c r="V55" s="132"/>
      <c r="W55" s="135"/>
      <c r="X55" s="136"/>
      <c r="Y55" s="132"/>
      <c r="Z55" s="132"/>
      <c r="AA55" s="132"/>
      <c r="AB55" s="132"/>
      <c r="AC55" s="132"/>
      <c r="AD55" s="135"/>
      <c r="AE55" s="136"/>
      <c r="AF55" s="132"/>
      <c r="AG55" s="137"/>
      <c r="AH55" s="132"/>
      <c r="AI55" s="132"/>
      <c r="AJ55" s="132"/>
      <c r="AK55" s="132"/>
      <c r="AL55" s="132"/>
      <c r="AM55" s="132"/>
      <c r="AN55" s="132"/>
      <c r="AO55" s="132"/>
      <c r="AP55" s="135"/>
      <c r="AQ55" s="136"/>
      <c r="AR55" s="132"/>
      <c r="AS55" s="132"/>
      <c r="AT55" s="132"/>
      <c r="AU55" s="135"/>
      <c r="AV55" s="136"/>
      <c r="AW55" s="132"/>
      <c r="AX55" s="132"/>
      <c r="AY55" s="135"/>
      <c r="AZ55" s="136"/>
      <c r="BA55" s="132"/>
      <c r="BB55" s="132"/>
      <c r="BC55" s="135"/>
      <c r="BD55" s="136"/>
      <c r="BE55" s="132"/>
      <c r="BF55" s="132"/>
      <c r="BG55" s="135"/>
      <c r="BH55" s="136"/>
      <c r="BI55" s="132"/>
      <c r="BJ55" s="132"/>
      <c r="BK55" s="132"/>
      <c r="BL55" s="135"/>
      <c r="BM55" s="136"/>
      <c r="BN55" s="132"/>
      <c r="BO55" s="132"/>
      <c r="BP55" s="135"/>
      <c r="BQ55" s="136"/>
      <c r="BR55" s="137"/>
      <c r="BS55" s="132"/>
      <c r="BT55" s="132"/>
      <c r="BU55" s="132"/>
      <c r="BV55" s="132"/>
      <c r="BW55" s="135"/>
      <c r="BX55" s="136"/>
      <c r="BY55" s="132"/>
      <c r="BZ55" s="132"/>
      <c r="CA55" s="135"/>
      <c r="CB55" s="136"/>
      <c r="CC55" s="132"/>
      <c r="CD55" s="132"/>
      <c r="CE55" s="132"/>
      <c r="CF55" s="132"/>
      <c r="CG55" s="135"/>
      <c r="CH55" s="136"/>
      <c r="CI55" s="136"/>
      <c r="CJ55" s="132"/>
      <c r="CK55" s="132"/>
      <c r="CL55" s="135"/>
      <c r="CM55" s="136"/>
      <c r="CN55" s="132"/>
      <c r="CO55" s="132"/>
      <c r="CP55" s="132"/>
      <c r="CQ55" s="132"/>
      <c r="CR55" s="137"/>
      <c r="CS55" s="132"/>
      <c r="CT55" s="132"/>
      <c r="CU55" s="132"/>
      <c r="CV55" s="137"/>
      <c r="CW55" s="132"/>
      <c r="CX55" s="132"/>
      <c r="CY55" s="132"/>
      <c r="CZ55" s="132"/>
      <c r="DA55" s="132"/>
      <c r="DB55" s="132"/>
      <c r="DC55" s="137"/>
      <c r="DD55" s="132"/>
      <c r="DE55" s="132"/>
      <c r="DF55" s="132"/>
      <c r="DG55" s="132">
        <f t="shared" si="2"/>
        <v>0</v>
      </c>
    </row>
    <row r="56" spans="1:111" s="125" customFormat="1" ht="17.100000000000001" customHeight="1" x14ac:dyDescent="0.25">
      <c r="A56" s="126"/>
      <c r="B56" s="127"/>
      <c r="C56" s="128"/>
      <c r="D56" s="129"/>
      <c r="E56" s="130"/>
      <c r="F56" s="128"/>
      <c r="G56" s="131"/>
      <c r="H56" s="132"/>
      <c r="I56" s="133"/>
      <c r="J56" s="134"/>
      <c r="K56" s="132"/>
      <c r="L56" s="133"/>
      <c r="M56" s="134"/>
      <c r="N56" s="133"/>
      <c r="O56" s="134"/>
      <c r="P56" s="133"/>
      <c r="Q56" s="134"/>
      <c r="R56" s="132"/>
      <c r="S56" s="132"/>
      <c r="T56" s="133"/>
      <c r="U56" s="134"/>
      <c r="V56" s="132"/>
      <c r="W56" s="135"/>
      <c r="X56" s="136"/>
      <c r="Y56" s="132"/>
      <c r="Z56" s="132"/>
      <c r="AA56" s="132"/>
      <c r="AB56" s="132"/>
      <c r="AC56" s="132"/>
      <c r="AD56" s="135"/>
      <c r="AE56" s="136"/>
      <c r="AF56" s="132"/>
      <c r="AG56" s="137"/>
      <c r="AH56" s="132"/>
      <c r="AI56" s="132"/>
      <c r="AJ56" s="132"/>
      <c r="AK56" s="132"/>
      <c r="AL56" s="132"/>
      <c r="AM56" s="132"/>
      <c r="AN56" s="132"/>
      <c r="AO56" s="132"/>
      <c r="AP56" s="135"/>
      <c r="AQ56" s="136"/>
      <c r="AR56" s="132"/>
      <c r="AS56" s="132"/>
      <c r="AT56" s="132"/>
      <c r="AU56" s="135"/>
      <c r="AV56" s="136"/>
      <c r="AW56" s="132"/>
      <c r="AX56" s="132"/>
      <c r="AY56" s="135"/>
      <c r="AZ56" s="136"/>
      <c r="BA56" s="132"/>
      <c r="BB56" s="132"/>
      <c r="BC56" s="135"/>
      <c r="BD56" s="136"/>
      <c r="BE56" s="132"/>
      <c r="BF56" s="132"/>
      <c r="BG56" s="135"/>
      <c r="BH56" s="136"/>
      <c r="BI56" s="132"/>
      <c r="BJ56" s="132"/>
      <c r="BK56" s="132"/>
      <c r="BL56" s="135"/>
      <c r="BM56" s="136"/>
      <c r="BN56" s="132"/>
      <c r="BO56" s="132"/>
      <c r="BP56" s="135"/>
      <c r="BQ56" s="136"/>
      <c r="BR56" s="137"/>
      <c r="BS56" s="132"/>
      <c r="BT56" s="132"/>
      <c r="BU56" s="132"/>
      <c r="BV56" s="132"/>
      <c r="BW56" s="135"/>
      <c r="BX56" s="136"/>
      <c r="BY56" s="132"/>
      <c r="BZ56" s="132"/>
      <c r="CA56" s="135"/>
      <c r="CB56" s="136"/>
      <c r="CC56" s="132"/>
      <c r="CD56" s="132"/>
      <c r="CE56" s="132"/>
      <c r="CF56" s="132"/>
      <c r="CG56" s="135"/>
      <c r="CH56" s="136"/>
      <c r="CI56" s="136"/>
      <c r="CJ56" s="132"/>
      <c r="CK56" s="132"/>
      <c r="CL56" s="135"/>
      <c r="CM56" s="136"/>
      <c r="CN56" s="132"/>
      <c r="CO56" s="132"/>
      <c r="CP56" s="132"/>
      <c r="CQ56" s="132"/>
      <c r="CR56" s="137"/>
      <c r="CS56" s="132"/>
      <c r="CT56" s="132"/>
      <c r="CU56" s="132"/>
      <c r="CV56" s="137"/>
      <c r="CW56" s="132"/>
      <c r="CX56" s="132"/>
      <c r="CY56" s="132"/>
      <c r="CZ56" s="132"/>
      <c r="DA56" s="132"/>
      <c r="DB56" s="132"/>
      <c r="DC56" s="137"/>
      <c r="DD56" s="132"/>
      <c r="DE56" s="132"/>
      <c r="DF56" s="132"/>
      <c r="DG56" s="132">
        <f t="shared" si="2"/>
        <v>0</v>
      </c>
    </row>
    <row r="57" spans="1:111" s="125" customFormat="1" ht="17.100000000000001" customHeight="1" x14ac:dyDescent="0.25">
      <c r="A57" s="152"/>
      <c r="B57" s="127"/>
      <c r="C57" s="128"/>
      <c r="D57" s="153"/>
      <c r="E57" s="154"/>
      <c r="F57" s="128"/>
      <c r="G57" s="131"/>
      <c r="H57" s="132"/>
      <c r="I57" s="133"/>
      <c r="J57" s="134"/>
      <c r="K57" s="132"/>
      <c r="L57" s="133"/>
      <c r="M57" s="134"/>
      <c r="N57" s="133"/>
      <c r="O57" s="134"/>
      <c r="P57" s="133"/>
      <c r="Q57" s="134"/>
      <c r="R57" s="132"/>
      <c r="S57" s="132"/>
      <c r="T57" s="133"/>
      <c r="U57" s="134"/>
      <c r="V57" s="132"/>
      <c r="W57" s="135"/>
      <c r="X57" s="136"/>
      <c r="Y57" s="132"/>
      <c r="Z57" s="132"/>
      <c r="AA57" s="132"/>
      <c r="AB57" s="132"/>
      <c r="AC57" s="132"/>
      <c r="AD57" s="135"/>
      <c r="AE57" s="136"/>
      <c r="AF57" s="132"/>
      <c r="AG57" s="137"/>
      <c r="AH57" s="132"/>
      <c r="AI57" s="132"/>
      <c r="AJ57" s="132"/>
      <c r="AK57" s="132"/>
      <c r="AL57" s="132"/>
      <c r="AM57" s="132"/>
      <c r="AN57" s="132"/>
      <c r="AO57" s="132"/>
      <c r="AP57" s="135"/>
      <c r="AQ57" s="136"/>
      <c r="AR57" s="132"/>
      <c r="AS57" s="132"/>
      <c r="AT57" s="132"/>
      <c r="AU57" s="135"/>
      <c r="AV57" s="136"/>
      <c r="AW57" s="132"/>
      <c r="AX57" s="132"/>
      <c r="AY57" s="135"/>
      <c r="AZ57" s="136"/>
      <c r="BA57" s="132"/>
      <c r="BB57" s="132"/>
      <c r="BC57" s="135"/>
      <c r="BD57" s="136"/>
      <c r="BE57" s="132"/>
      <c r="BF57" s="132"/>
      <c r="BG57" s="135"/>
      <c r="BH57" s="136"/>
      <c r="BI57" s="132"/>
      <c r="BJ57" s="132"/>
      <c r="BK57" s="132"/>
      <c r="BL57" s="135"/>
      <c r="BM57" s="136"/>
      <c r="BN57" s="132"/>
      <c r="BO57" s="132"/>
      <c r="BP57" s="135"/>
      <c r="BQ57" s="136"/>
      <c r="BR57" s="137"/>
      <c r="BS57" s="132"/>
      <c r="BT57" s="132"/>
      <c r="BU57" s="132"/>
      <c r="BV57" s="132"/>
      <c r="BW57" s="135"/>
      <c r="BX57" s="136"/>
      <c r="BY57" s="132"/>
      <c r="BZ57" s="132"/>
      <c r="CA57" s="135"/>
      <c r="CB57" s="136"/>
      <c r="CC57" s="132"/>
      <c r="CD57" s="132"/>
      <c r="CE57" s="132"/>
      <c r="CF57" s="132"/>
      <c r="CG57" s="135"/>
      <c r="CH57" s="136"/>
      <c r="CI57" s="136"/>
      <c r="CJ57" s="132"/>
      <c r="CK57" s="132"/>
      <c r="CL57" s="135"/>
      <c r="CM57" s="136"/>
      <c r="CN57" s="132"/>
      <c r="CO57" s="132"/>
      <c r="CP57" s="132"/>
      <c r="CQ57" s="132"/>
      <c r="CR57" s="137"/>
      <c r="CS57" s="132"/>
      <c r="CT57" s="132"/>
      <c r="CU57" s="132"/>
      <c r="CV57" s="137"/>
      <c r="CW57" s="132"/>
      <c r="CX57" s="132"/>
      <c r="CY57" s="132"/>
      <c r="CZ57" s="132"/>
      <c r="DA57" s="132"/>
      <c r="DB57" s="132"/>
      <c r="DC57" s="137"/>
      <c r="DD57" s="132"/>
      <c r="DE57" s="132"/>
      <c r="DF57" s="132"/>
      <c r="DG57" s="132">
        <f t="shared" si="2"/>
        <v>0</v>
      </c>
    </row>
    <row r="58" spans="1:111" s="125" customFormat="1" ht="17.100000000000001" customHeight="1" x14ac:dyDescent="0.25">
      <c r="A58" s="126"/>
      <c r="B58" s="127"/>
      <c r="C58" s="128"/>
      <c r="D58" s="129"/>
      <c r="E58" s="130"/>
      <c r="F58" s="128"/>
      <c r="G58" s="131"/>
      <c r="H58" s="132"/>
      <c r="I58" s="133"/>
      <c r="J58" s="134"/>
      <c r="K58" s="132"/>
      <c r="L58" s="133"/>
      <c r="M58" s="134"/>
      <c r="N58" s="133"/>
      <c r="O58" s="134"/>
      <c r="P58" s="133"/>
      <c r="Q58" s="134"/>
      <c r="R58" s="132"/>
      <c r="S58" s="132"/>
      <c r="T58" s="133"/>
      <c r="U58" s="134"/>
      <c r="V58" s="132"/>
      <c r="W58" s="135"/>
      <c r="X58" s="136"/>
      <c r="Y58" s="132"/>
      <c r="Z58" s="132"/>
      <c r="AA58" s="132"/>
      <c r="AB58" s="132"/>
      <c r="AC58" s="132"/>
      <c r="AD58" s="135"/>
      <c r="AE58" s="136"/>
      <c r="AF58" s="132"/>
      <c r="AG58" s="137"/>
      <c r="AH58" s="132"/>
      <c r="AI58" s="132"/>
      <c r="AJ58" s="132"/>
      <c r="AK58" s="132"/>
      <c r="AL58" s="132"/>
      <c r="AM58" s="132"/>
      <c r="AN58" s="132"/>
      <c r="AO58" s="132"/>
      <c r="AP58" s="135"/>
      <c r="AQ58" s="136"/>
      <c r="AR58" s="132"/>
      <c r="AS58" s="132"/>
      <c r="AT58" s="132"/>
      <c r="AU58" s="135"/>
      <c r="AV58" s="136"/>
      <c r="AW58" s="132"/>
      <c r="AX58" s="132"/>
      <c r="AY58" s="135"/>
      <c r="AZ58" s="136"/>
      <c r="BA58" s="132"/>
      <c r="BB58" s="132"/>
      <c r="BC58" s="135"/>
      <c r="BD58" s="136"/>
      <c r="BE58" s="132"/>
      <c r="BF58" s="132"/>
      <c r="BG58" s="135"/>
      <c r="BH58" s="136"/>
      <c r="BI58" s="132"/>
      <c r="BJ58" s="132"/>
      <c r="BK58" s="132"/>
      <c r="BL58" s="135"/>
      <c r="BM58" s="136"/>
      <c r="BN58" s="132"/>
      <c r="BO58" s="132"/>
      <c r="BP58" s="135"/>
      <c r="BQ58" s="136"/>
      <c r="BR58" s="137"/>
      <c r="BS58" s="132"/>
      <c r="BT58" s="132"/>
      <c r="BU58" s="132"/>
      <c r="BV58" s="132"/>
      <c r="BW58" s="135"/>
      <c r="BX58" s="136"/>
      <c r="BY58" s="132"/>
      <c r="BZ58" s="132"/>
      <c r="CA58" s="135"/>
      <c r="CB58" s="136"/>
      <c r="CC58" s="132"/>
      <c r="CD58" s="132"/>
      <c r="CE58" s="132"/>
      <c r="CF58" s="132"/>
      <c r="CG58" s="135"/>
      <c r="CH58" s="136"/>
      <c r="CI58" s="136"/>
      <c r="CJ58" s="132"/>
      <c r="CK58" s="132"/>
      <c r="CL58" s="135"/>
      <c r="CM58" s="136"/>
      <c r="CN58" s="132"/>
      <c r="CO58" s="132"/>
      <c r="CP58" s="132"/>
      <c r="CQ58" s="132"/>
      <c r="CR58" s="137"/>
      <c r="CS58" s="132"/>
      <c r="CT58" s="132"/>
      <c r="CU58" s="132"/>
      <c r="CV58" s="137"/>
      <c r="CW58" s="132"/>
      <c r="CX58" s="132"/>
      <c r="CY58" s="132"/>
      <c r="CZ58" s="132"/>
      <c r="DA58" s="132"/>
      <c r="DB58" s="132"/>
      <c r="DC58" s="137"/>
      <c r="DD58" s="132"/>
      <c r="DE58" s="132"/>
      <c r="DF58" s="132"/>
      <c r="DG58" s="132">
        <f t="shared" si="2"/>
        <v>0</v>
      </c>
    </row>
    <row r="59" spans="1:111" s="125" customFormat="1" ht="17.100000000000001" customHeight="1" x14ac:dyDescent="0.25">
      <c r="A59" s="126"/>
      <c r="B59" s="127"/>
      <c r="C59" s="128"/>
      <c r="D59" s="129"/>
      <c r="E59" s="130"/>
      <c r="F59" s="128"/>
      <c r="G59" s="131"/>
      <c r="H59" s="132"/>
      <c r="I59" s="133"/>
      <c r="J59" s="134"/>
      <c r="K59" s="132"/>
      <c r="L59" s="133"/>
      <c r="M59" s="134"/>
      <c r="N59" s="133"/>
      <c r="O59" s="134"/>
      <c r="P59" s="133"/>
      <c r="Q59" s="134"/>
      <c r="R59" s="132"/>
      <c r="S59" s="132"/>
      <c r="T59" s="133"/>
      <c r="U59" s="134"/>
      <c r="V59" s="132"/>
      <c r="W59" s="135"/>
      <c r="X59" s="136"/>
      <c r="Y59" s="132"/>
      <c r="Z59" s="132"/>
      <c r="AA59" s="132"/>
      <c r="AB59" s="132"/>
      <c r="AC59" s="132"/>
      <c r="AD59" s="135"/>
      <c r="AE59" s="136"/>
      <c r="AF59" s="132"/>
      <c r="AG59" s="137"/>
      <c r="AH59" s="132"/>
      <c r="AI59" s="132"/>
      <c r="AJ59" s="132"/>
      <c r="AK59" s="132"/>
      <c r="AL59" s="132"/>
      <c r="AM59" s="132"/>
      <c r="AN59" s="132"/>
      <c r="AO59" s="132"/>
      <c r="AP59" s="135"/>
      <c r="AQ59" s="136"/>
      <c r="AR59" s="132"/>
      <c r="AS59" s="132"/>
      <c r="AT59" s="132"/>
      <c r="AU59" s="135"/>
      <c r="AV59" s="136"/>
      <c r="AW59" s="132"/>
      <c r="AX59" s="132"/>
      <c r="AY59" s="135"/>
      <c r="AZ59" s="136"/>
      <c r="BA59" s="132"/>
      <c r="BB59" s="132"/>
      <c r="BC59" s="135"/>
      <c r="BD59" s="136"/>
      <c r="BE59" s="132"/>
      <c r="BF59" s="132"/>
      <c r="BG59" s="135"/>
      <c r="BH59" s="136"/>
      <c r="BI59" s="132"/>
      <c r="BJ59" s="132"/>
      <c r="BK59" s="132"/>
      <c r="BL59" s="135"/>
      <c r="BM59" s="136"/>
      <c r="BN59" s="132"/>
      <c r="BO59" s="132"/>
      <c r="BP59" s="135"/>
      <c r="BQ59" s="136"/>
      <c r="BR59" s="137"/>
      <c r="BS59" s="132"/>
      <c r="BT59" s="132"/>
      <c r="BU59" s="132"/>
      <c r="BV59" s="132"/>
      <c r="BW59" s="135"/>
      <c r="BX59" s="136"/>
      <c r="BY59" s="132"/>
      <c r="BZ59" s="132"/>
      <c r="CA59" s="135"/>
      <c r="CB59" s="136"/>
      <c r="CC59" s="132"/>
      <c r="CD59" s="132"/>
      <c r="CE59" s="132"/>
      <c r="CF59" s="132"/>
      <c r="CG59" s="135"/>
      <c r="CH59" s="136"/>
      <c r="CI59" s="136"/>
      <c r="CJ59" s="132"/>
      <c r="CK59" s="132"/>
      <c r="CL59" s="135"/>
      <c r="CM59" s="136"/>
      <c r="CN59" s="132"/>
      <c r="CO59" s="132"/>
      <c r="CP59" s="132"/>
      <c r="CQ59" s="132"/>
      <c r="CR59" s="137"/>
      <c r="CS59" s="132"/>
      <c r="CT59" s="132"/>
      <c r="CU59" s="132"/>
      <c r="CV59" s="137"/>
      <c r="CW59" s="132"/>
      <c r="CX59" s="132"/>
      <c r="CY59" s="132"/>
      <c r="CZ59" s="132"/>
      <c r="DA59" s="132"/>
      <c r="DB59" s="132"/>
      <c r="DC59" s="137"/>
      <c r="DD59" s="132"/>
      <c r="DE59" s="132"/>
      <c r="DF59" s="132"/>
      <c r="DG59" s="132">
        <f t="shared" si="2"/>
        <v>0</v>
      </c>
    </row>
    <row r="60" spans="1:111" s="125" customFormat="1" ht="17.100000000000001" customHeight="1" x14ac:dyDescent="0.25">
      <c r="A60" s="126"/>
      <c r="B60" s="127"/>
      <c r="C60" s="128"/>
      <c r="D60" s="129"/>
      <c r="E60" s="130"/>
      <c r="F60" s="128"/>
      <c r="G60" s="131"/>
      <c r="H60" s="132"/>
      <c r="I60" s="133"/>
      <c r="J60" s="134"/>
      <c r="K60" s="132"/>
      <c r="L60" s="133"/>
      <c r="M60" s="134"/>
      <c r="N60" s="133"/>
      <c r="O60" s="134"/>
      <c r="P60" s="133"/>
      <c r="Q60" s="134"/>
      <c r="R60" s="132"/>
      <c r="S60" s="132"/>
      <c r="T60" s="133"/>
      <c r="U60" s="134"/>
      <c r="V60" s="132"/>
      <c r="W60" s="135"/>
      <c r="X60" s="136"/>
      <c r="Y60" s="132"/>
      <c r="Z60" s="132"/>
      <c r="AA60" s="132"/>
      <c r="AB60" s="132"/>
      <c r="AC60" s="132"/>
      <c r="AD60" s="135"/>
      <c r="AE60" s="136"/>
      <c r="AF60" s="132"/>
      <c r="AG60" s="137"/>
      <c r="AH60" s="132"/>
      <c r="AI60" s="132"/>
      <c r="AJ60" s="132"/>
      <c r="AK60" s="132"/>
      <c r="AL60" s="132"/>
      <c r="AM60" s="132"/>
      <c r="AN60" s="132"/>
      <c r="AO60" s="132"/>
      <c r="AP60" s="135"/>
      <c r="AQ60" s="136"/>
      <c r="AR60" s="132"/>
      <c r="AS60" s="132"/>
      <c r="AT60" s="132"/>
      <c r="AU60" s="135"/>
      <c r="AV60" s="136"/>
      <c r="AW60" s="132"/>
      <c r="AX60" s="132"/>
      <c r="AY60" s="135"/>
      <c r="AZ60" s="136"/>
      <c r="BA60" s="132"/>
      <c r="BB60" s="132"/>
      <c r="BC60" s="135"/>
      <c r="BD60" s="136"/>
      <c r="BE60" s="132"/>
      <c r="BF60" s="132"/>
      <c r="BG60" s="135"/>
      <c r="BH60" s="136"/>
      <c r="BI60" s="132"/>
      <c r="BJ60" s="132"/>
      <c r="BK60" s="132"/>
      <c r="BL60" s="135"/>
      <c r="BM60" s="136"/>
      <c r="BN60" s="132"/>
      <c r="BO60" s="132"/>
      <c r="BP60" s="135"/>
      <c r="BQ60" s="136"/>
      <c r="BR60" s="137"/>
      <c r="BS60" s="132"/>
      <c r="BT60" s="132"/>
      <c r="BU60" s="132"/>
      <c r="BV60" s="132"/>
      <c r="BW60" s="135"/>
      <c r="BX60" s="136"/>
      <c r="BY60" s="132"/>
      <c r="BZ60" s="132"/>
      <c r="CA60" s="135"/>
      <c r="CB60" s="136"/>
      <c r="CC60" s="132"/>
      <c r="CD60" s="132"/>
      <c r="CE60" s="132"/>
      <c r="CF60" s="132"/>
      <c r="CG60" s="135"/>
      <c r="CH60" s="136"/>
      <c r="CI60" s="136"/>
      <c r="CJ60" s="132"/>
      <c r="CK60" s="132"/>
      <c r="CL60" s="135"/>
      <c r="CM60" s="136"/>
      <c r="CN60" s="132"/>
      <c r="CO60" s="132"/>
      <c r="CP60" s="132"/>
      <c r="CQ60" s="132"/>
      <c r="CR60" s="137"/>
      <c r="CS60" s="132"/>
      <c r="CT60" s="132"/>
      <c r="CU60" s="132"/>
      <c r="CV60" s="137"/>
      <c r="CW60" s="132"/>
      <c r="CX60" s="132"/>
      <c r="CY60" s="132"/>
      <c r="CZ60" s="132"/>
      <c r="DA60" s="132"/>
      <c r="DB60" s="132"/>
      <c r="DC60" s="137"/>
      <c r="DD60" s="132"/>
      <c r="DE60" s="132"/>
      <c r="DF60" s="132"/>
      <c r="DG60" s="132">
        <f t="shared" si="2"/>
        <v>0</v>
      </c>
    </row>
    <row r="61" spans="1:111" s="125" customFormat="1" ht="17.100000000000001" customHeight="1" x14ac:dyDescent="0.25">
      <c r="A61" s="126"/>
      <c r="B61" s="127"/>
      <c r="C61" s="128"/>
      <c r="D61" s="129"/>
      <c r="E61" s="130"/>
      <c r="F61" s="128"/>
      <c r="G61" s="131"/>
      <c r="H61" s="132"/>
      <c r="I61" s="133"/>
      <c r="J61" s="134"/>
      <c r="K61" s="132"/>
      <c r="L61" s="133"/>
      <c r="M61" s="134"/>
      <c r="N61" s="133"/>
      <c r="O61" s="134"/>
      <c r="P61" s="133"/>
      <c r="Q61" s="134"/>
      <c r="R61" s="132"/>
      <c r="S61" s="132"/>
      <c r="T61" s="133"/>
      <c r="U61" s="134"/>
      <c r="V61" s="132"/>
      <c r="W61" s="135"/>
      <c r="X61" s="136"/>
      <c r="Y61" s="132"/>
      <c r="Z61" s="132"/>
      <c r="AA61" s="132"/>
      <c r="AB61" s="132"/>
      <c r="AC61" s="132"/>
      <c r="AD61" s="135"/>
      <c r="AE61" s="136"/>
      <c r="AF61" s="132"/>
      <c r="AG61" s="137"/>
      <c r="AH61" s="132"/>
      <c r="AI61" s="132"/>
      <c r="AJ61" s="132"/>
      <c r="AK61" s="132"/>
      <c r="AL61" s="132"/>
      <c r="AM61" s="132"/>
      <c r="AN61" s="132"/>
      <c r="AO61" s="132"/>
      <c r="AP61" s="135"/>
      <c r="AQ61" s="136"/>
      <c r="AR61" s="132"/>
      <c r="AS61" s="132"/>
      <c r="AT61" s="132"/>
      <c r="AU61" s="135"/>
      <c r="AV61" s="136"/>
      <c r="AW61" s="132"/>
      <c r="AX61" s="132"/>
      <c r="AY61" s="135"/>
      <c r="AZ61" s="136"/>
      <c r="BA61" s="132"/>
      <c r="BB61" s="132"/>
      <c r="BC61" s="135"/>
      <c r="BD61" s="136"/>
      <c r="BE61" s="132"/>
      <c r="BF61" s="132"/>
      <c r="BG61" s="135"/>
      <c r="BH61" s="136"/>
      <c r="BI61" s="132"/>
      <c r="BJ61" s="132"/>
      <c r="BK61" s="132"/>
      <c r="BL61" s="135"/>
      <c r="BM61" s="136"/>
      <c r="BN61" s="132"/>
      <c r="BO61" s="132"/>
      <c r="BP61" s="135"/>
      <c r="BQ61" s="136"/>
      <c r="BR61" s="137"/>
      <c r="BS61" s="132"/>
      <c r="BT61" s="132"/>
      <c r="BU61" s="132"/>
      <c r="BV61" s="132"/>
      <c r="BW61" s="135"/>
      <c r="BX61" s="136"/>
      <c r="BY61" s="132"/>
      <c r="BZ61" s="132"/>
      <c r="CA61" s="135"/>
      <c r="CB61" s="136"/>
      <c r="CC61" s="132"/>
      <c r="CD61" s="132"/>
      <c r="CE61" s="132"/>
      <c r="CF61" s="132"/>
      <c r="CG61" s="135"/>
      <c r="CH61" s="136"/>
      <c r="CI61" s="136"/>
      <c r="CJ61" s="132"/>
      <c r="CK61" s="132"/>
      <c r="CL61" s="135"/>
      <c r="CM61" s="136"/>
      <c r="CN61" s="132"/>
      <c r="CO61" s="132"/>
      <c r="CP61" s="132"/>
      <c r="CQ61" s="132"/>
      <c r="CR61" s="137"/>
      <c r="CS61" s="132"/>
      <c r="CT61" s="132"/>
      <c r="CU61" s="132"/>
      <c r="CV61" s="137"/>
      <c r="CW61" s="132"/>
      <c r="CX61" s="132"/>
      <c r="CY61" s="132"/>
      <c r="CZ61" s="132"/>
      <c r="DA61" s="132"/>
      <c r="DB61" s="132"/>
      <c r="DC61" s="137"/>
      <c r="DD61" s="132"/>
      <c r="DE61" s="132"/>
      <c r="DF61" s="132"/>
      <c r="DG61" s="132">
        <f t="shared" si="2"/>
        <v>0</v>
      </c>
    </row>
    <row r="62" spans="1:111" s="125" customFormat="1" ht="17.100000000000001" customHeight="1" x14ac:dyDescent="0.25">
      <c r="A62" s="126"/>
      <c r="B62" s="127"/>
      <c r="C62" s="128"/>
      <c r="D62" s="129"/>
      <c r="E62" s="130"/>
      <c r="F62" s="128"/>
      <c r="G62" s="131"/>
      <c r="H62" s="132"/>
      <c r="I62" s="133"/>
      <c r="J62" s="134"/>
      <c r="K62" s="132"/>
      <c r="L62" s="133"/>
      <c r="M62" s="134"/>
      <c r="N62" s="133"/>
      <c r="O62" s="134"/>
      <c r="P62" s="133"/>
      <c r="Q62" s="134"/>
      <c r="R62" s="132"/>
      <c r="S62" s="132"/>
      <c r="T62" s="133"/>
      <c r="U62" s="134"/>
      <c r="V62" s="132"/>
      <c r="W62" s="135"/>
      <c r="X62" s="136"/>
      <c r="Y62" s="132"/>
      <c r="Z62" s="132"/>
      <c r="AA62" s="132"/>
      <c r="AB62" s="132"/>
      <c r="AC62" s="132"/>
      <c r="AD62" s="135"/>
      <c r="AE62" s="136"/>
      <c r="AF62" s="132"/>
      <c r="AG62" s="137"/>
      <c r="AH62" s="132"/>
      <c r="AI62" s="132"/>
      <c r="AJ62" s="132"/>
      <c r="AK62" s="132"/>
      <c r="AL62" s="132"/>
      <c r="AM62" s="132"/>
      <c r="AN62" s="132"/>
      <c r="AO62" s="132"/>
      <c r="AP62" s="135"/>
      <c r="AQ62" s="136"/>
      <c r="AR62" s="132"/>
      <c r="AS62" s="132"/>
      <c r="AT62" s="132"/>
      <c r="AU62" s="135"/>
      <c r="AV62" s="136"/>
      <c r="AW62" s="132"/>
      <c r="AX62" s="132"/>
      <c r="AY62" s="135"/>
      <c r="AZ62" s="136"/>
      <c r="BA62" s="132"/>
      <c r="BB62" s="132"/>
      <c r="BC62" s="135"/>
      <c r="BD62" s="136"/>
      <c r="BE62" s="132"/>
      <c r="BF62" s="132"/>
      <c r="BG62" s="135"/>
      <c r="BH62" s="136"/>
      <c r="BI62" s="132"/>
      <c r="BJ62" s="132"/>
      <c r="BK62" s="132"/>
      <c r="BL62" s="135"/>
      <c r="BM62" s="136"/>
      <c r="BN62" s="132"/>
      <c r="BO62" s="132"/>
      <c r="BP62" s="135"/>
      <c r="BQ62" s="136"/>
      <c r="BR62" s="137"/>
      <c r="BS62" s="132"/>
      <c r="BT62" s="132"/>
      <c r="BU62" s="132"/>
      <c r="BV62" s="132"/>
      <c r="BW62" s="135"/>
      <c r="BX62" s="136"/>
      <c r="BY62" s="132"/>
      <c r="BZ62" s="132"/>
      <c r="CA62" s="135"/>
      <c r="CB62" s="136"/>
      <c r="CC62" s="132"/>
      <c r="CD62" s="132"/>
      <c r="CE62" s="132"/>
      <c r="CF62" s="132"/>
      <c r="CG62" s="135"/>
      <c r="CH62" s="136"/>
      <c r="CI62" s="136"/>
      <c r="CJ62" s="132"/>
      <c r="CK62" s="132"/>
      <c r="CL62" s="135"/>
      <c r="CM62" s="136"/>
      <c r="CN62" s="132"/>
      <c r="CO62" s="132"/>
      <c r="CP62" s="132"/>
      <c r="CQ62" s="132"/>
      <c r="CR62" s="137"/>
      <c r="CS62" s="132"/>
      <c r="CT62" s="132"/>
      <c r="CU62" s="132"/>
      <c r="CV62" s="137"/>
      <c r="CW62" s="132"/>
      <c r="CX62" s="132"/>
      <c r="CY62" s="132"/>
      <c r="CZ62" s="132"/>
      <c r="DA62" s="132"/>
      <c r="DB62" s="132"/>
      <c r="DC62" s="137"/>
      <c r="DD62" s="132"/>
      <c r="DE62" s="132"/>
      <c r="DF62" s="132"/>
      <c r="DG62" s="132">
        <f t="shared" si="2"/>
        <v>0</v>
      </c>
    </row>
    <row r="63" spans="1:111" s="125" customFormat="1" ht="17.100000000000001" customHeight="1" x14ac:dyDescent="0.25">
      <c r="A63" s="126"/>
      <c r="B63" s="127"/>
      <c r="C63" s="128"/>
      <c r="D63" s="143"/>
      <c r="E63" s="130"/>
      <c r="F63" s="128"/>
      <c r="G63" s="131"/>
      <c r="H63" s="132"/>
      <c r="I63" s="133"/>
      <c r="J63" s="134"/>
      <c r="K63" s="132"/>
      <c r="L63" s="133"/>
      <c r="M63" s="134"/>
      <c r="N63" s="133"/>
      <c r="O63" s="134"/>
      <c r="P63" s="133"/>
      <c r="Q63" s="134"/>
      <c r="R63" s="132"/>
      <c r="S63" s="132"/>
      <c r="T63" s="133"/>
      <c r="U63" s="134"/>
      <c r="V63" s="132"/>
      <c r="W63" s="135"/>
      <c r="X63" s="136"/>
      <c r="Y63" s="132"/>
      <c r="Z63" s="132"/>
      <c r="AA63" s="132"/>
      <c r="AB63" s="132"/>
      <c r="AC63" s="132"/>
      <c r="AD63" s="135"/>
      <c r="AE63" s="136"/>
      <c r="AF63" s="132"/>
      <c r="AG63" s="137"/>
      <c r="AH63" s="132"/>
      <c r="AI63" s="132"/>
      <c r="AJ63" s="132"/>
      <c r="AK63" s="132"/>
      <c r="AL63" s="132"/>
      <c r="AM63" s="132"/>
      <c r="AN63" s="132"/>
      <c r="AO63" s="132"/>
      <c r="AP63" s="135"/>
      <c r="AQ63" s="136"/>
      <c r="AR63" s="132"/>
      <c r="AS63" s="132"/>
      <c r="AT63" s="132"/>
      <c r="AU63" s="135"/>
      <c r="AV63" s="136"/>
      <c r="AW63" s="132"/>
      <c r="AX63" s="132"/>
      <c r="AY63" s="135"/>
      <c r="AZ63" s="136"/>
      <c r="BA63" s="132"/>
      <c r="BB63" s="132"/>
      <c r="BC63" s="135"/>
      <c r="BD63" s="136"/>
      <c r="BE63" s="132"/>
      <c r="BF63" s="132"/>
      <c r="BG63" s="135"/>
      <c r="BH63" s="136"/>
      <c r="BI63" s="132"/>
      <c r="BJ63" s="132"/>
      <c r="BK63" s="132"/>
      <c r="BL63" s="135"/>
      <c r="BM63" s="136"/>
      <c r="BN63" s="132"/>
      <c r="BO63" s="132"/>
      <c r="BP63" s="135"/>
      <c r="BQ63" s="136"/>
      <c r="BR63" s="137"/>
      <c r="BS63" s="132"/>
      <c r="BT63" s="132"/>
      <c r="BU63" s="132"/>
      <c r="BV63" s="132"/>
      <c r="BW63" s="135"/>
      <c r="BX63" s="136"/>
      <c r="BY63" s="132"/>
      <c r="BZ63" s="132"/>
      <c r="CA63" s="135"/>
      <c r="CB63" s="136"/>
      <c r="CC63" s="132"/>
      <c r="CD63" s="132"/>
      <c r="CE63" s="132"/>
      <c r="CF63" s="132"/>
      <c r="CG63" s="135"/>
      <c r="CH63" s="136"/>
      <c r="CI63" s="136"/>
      <c r="CJ63" s="132"/>
      <c r="CK63" s="132"/>
      <c r="CL63" s="135"/>
      <c r="CM63" s="136"/>
      <c r="CN63" s="132"/>
      <c r="CO63" s="132"/>
      <c r="CP63" s="132"/>
      <c r="CQ63" s="132"/>
      <c r="CR63" s="137"/>
      <c r="CS63" s="132"/>
      <c r="CT63" s="132"/>
      <c r="CU63" s="132"/>
      <c r="CV63" s="137"/>
      <c r="CW63" s="132"/>
      <c r="CX63" s="132"/>
      <c r="CY63" s="132"/>
      <c r="CZ63" s="132"/>
      <c r="DA63" s="132"/>
      <c r="DB63" s="132"/>
      <c r="DC63" s="137"/>
      <c r="DD63" s="132"/>
      <c r="DE63" s="132"/>
      <c r="DF63" s="132"/>
      <c r="DG63" s="132">
        <f t="shared" si="2"/>
        <v>0</v>
      </c>
    </row>
    <row r="64" spans="1:111" s="125" customFormat="1" ht="17.100000000000001" customHeight="1" x14ac:dyDescent="0.25">
      <c r="A64" s="126"/>
      <c r="B64" s="127"/>
      <c r="C64" s="128"/>
      <c r="D64" s="129"/>
      <c r="E64" s="130"/>
      <c r="F64" s="144"/>
      <c r="G64" s="138"/>
      <c r="H64" s="132"/>
      <c r="I64" s="133"/>
      <c r="J64" s="134"/>
      <c r="K64" s="132"/>
      <c r="L64" s="133"/>
      <c r="M64" s="134"/>
      <c r="N64" s="133"/>
      <c r="O64" s="134"/>
      <c r="P64" s="133"/>
      <c r="Q64" s="134"/>
      <c r="R64" s="132"/>
      <c r="S64" s="132"/>
      <c r="T64" s="155"/>
      <c r="U64" s="134"/>
      <c r="V64" s="132"/>
      <c r="W64" s="135"/>
      <c r="X64" s="136"/>
      <c r="Y64" s="132"/>
      <c r="Z64" s="132"/>
      <c r="AA64" s="132"/>
      <c r="AB64" s="132"/>
      <c r="AC64" s="132"/>
      <c r="AD64" s="135"/>
      <c r="AE64" s="136"/>
      <c r="AF64" s="132"/>
      <c r="AG64" s="137"/>
      <c r="AH64" s="132"/>
      <c r="AI64" s="132"/>
      <c r="AJ64" s="132"/>
      <c r="AK64" s="132"/>
      <c r="AL64" s="132"/>
      <c r="AM64" s="132"/>
      <c r="AN64" s="132"/>
      <c r="AO64" s="132"/>
      <c r="AP64" s="135"/>
      <c r="AQ64" s="136"/>
      <c r="AR64" s="132"/>
      <c r="AS64" s="132"/>
      <c r="AT64" s="132"/>
      <c r="AU64" s="135"/>
      <c r="AV64" s="136"/>
      <c r="AW64" s="132"/>
      <c r="AX64" s="132"/>
      <c r="AY64" s="135"/>
      <c r="AZ64" s="136"/>
      <c r="BA64" s="132"/>
      <c r="BB64" s="132"/>
      <c r="BC64" s="135"/>
      <c r="BD64" s="136"/>
      <c r="BE64" s="132"/>
      <c r="BF64" s="132"/>
      <c r="BG64" s="135"/>
      <c r="BH64" s="136"/>
      <c r="BI64" s="132"/>
      <c r="BJ64" s="132"/>
      <c r="BK64" s="132"/>
      <c r="BL64" s="135"/>
      <c r="BM64" s="136"/>
      <c r="BN64" s="132"/>
      <c r="BO64" s="132"/>
      <c r="BP64" s="135"/>
      <c r="BQ64" s="136"/>
      <c r="BR64" s="137"/>
      <c r="BS64" s="132"/>
      <c r="BT64" s="132"/>
      <c r="BU64" s="132"/>
      <c r="BV64" s="132"/>
      <c r="BW64" s="145"/>
      <c r="BX64" s="136"/>
      <c r="BY64" s="132"/>
      <c r="BZ64" s="132"/>
      <c r="CA64" s="135"/>
      <c r="CB64" s="136"/>
      <c r="CC64" s="132"/>
      <c r="CD64" s="132"/>
      <c r="CE64" s="132"/>
      <c r="CF64" s="132"/>
      <c r="CG64" s="135"/>
      <c r="CH64" s="136"/>
      <c r="CI64" s="136"/>
      <c r="CJ64" s="132"/>
      <c r="CK64" s="132"/>
      <c r="CL64" s="145"/>
      <c r="CM64" s="136"/>
      <c r="CN64" s="132"/>
      <c r="CO64" s="132"/>
      <c r="CP64" s="132"/>
      <c r="CQ64" s="132"/>
      <c r="CR64" s="137"/>
      <c r="CS64" s="132"/>
      <c r="CT64" s="132"/>
      <c r="CU64" s="132"/>
      <c r="CV64" s="137"/>
      <c r="CW64" s="132"/>
      <c r="CX64" s="132"/>
      <c r="CY64" s="132"/>
      <c r="CZ64" s="132"/>
      <c r="DA64" s="132"/>
      <c r="DB64" s="132"/>
      <c r="DC64" s="141"/>
      <c r="DD64" s="132"/>
      <c r="DE64" s="132"/>
      <c r="DF64" s="132"/>
      <c r="DG64" s="132">
        <f t="shared" si="2"/>
        <v>0</v>
      </c>
    </row>
    <row r="65" spans="1:111" s="125" customFormat="1" ht="17.100000000000001" customHeight="1" x14ac:dyDescent="0.25">
      <c r="A65" s="126"/>
      <c r="B65" s="127"/>
      <c r="C65" s="128"/>
      <c r="D65" s="129"/>
      <c r="E65" s="156"/>
      <c r="F65" s="128"/>
      <c r="G65" s="131"/>
      <c r="H65" s="132"/>
      <c r="I65" s="133"/>
      <c r="J65" s="134"/>
      <c r="K65" s="132"/>
      <c r="L65" s="133"/>
      <c r="M65" s="134"/>
      <c r="N65" s="133"/>
      <c r="O65" s="134"/>
      <c r="P65" s="133"/>
      <c r="Q65" s="134"/>
      <c r="R65" s="132"/>
      <c r="S65" s="132"/>
      <c r="T65" s="133"/>
      <c r="U65" s="134"/>
      <c r="V65" s="132"/>
      <c r="W65" s="135"/>
      <c r="X65" s="136"/>
      <c r="Y65" s="132"/>
      <c r="Z65" s="132"/>
      <c r="AA65" s="132"/>
      <c r="AB65" s="132"/>
      <c r="AC65" s="132"/>
      <c r="AD65" s="135"/>
      <c r="AE65" s="136"/>
      <c r="AF65" s="132"/>
      <c r="AG65" s="137"/>
      <c r="AH65" s="132"/>
      <c r="AI65" s="132"/>
      <c r="AJ65" s="132"/>
      <c r="AK65" s="132"/>
      <c r="AL65" s="132"/>
      <c r="AM65" s="132"/>
      <c r="AN65" s="132"/>
      <c r="AO65" s="132"/>
      <c r="AP65" s="135"/>
      <c r="AQ65" s="136"/>
      <c r="AR65" s="132"/>
      <c r="AS65" s="132"/>
      <c r="AT65" s="132"/>
      <c r="AU65" s="135"/>
      <c r="AV65" s="136"/>
      <c r="AW65" s="132"/>
      <c r="AX65" s="132"/>
      <c r="AY65" s="135"/>
      <c r="AZ65" s="136"/>
      <c r="BA65" s="132"/>
      <c r="BB65" s="132"/>
      <c r="BC65" s="135"/>
      <c r="BD65" s="136"/>
      <c r="BE65" s="132"/>
      <c r="BF65" s="132"/>
      <c r="BG65" s="135"/>
      <c r="BH65" s="136"/>
      <c r="BI65" s="132"/>
      <c r="BJ65" s="132"/>
      <c r="BK65" s="132"/>
      <c r="BL65" s="135"/>
      <c r="BM65" s="136"/>
      <c r="BN65" s="132"/>
      <c r="BO65" s="132"/>
      <c r="BP65" s="135"/>
      <c r="BQ65" s="136"/>
      <c r="BR65" s="137"/>
      <c r="BS65" s="132"/>
      <c r="BT65" s="132"/>
      <c r="BU65" s="132"/>
      <c r="BV65" s="132"/>
      <c r="BW65" s="135"/>
      <c r="BX65" s="136"/>
      <c r="BY65" s="132"/>
      <c r="BZ65" s="132"/>
      <c r="CA65" s="135"/>
      <c r="CB65" s="136"/>
      <c r="CC65" s="132"/>
      <c r="CD65" s="132"/>
      <c r="CE65" s="132"/>
      <c r="CF65" s="132"/>
      <c r="CG65" s="135"/>
      <c r="CH65" s="136"/>
      <c r="CI65" s="136"/>
      <c r="CJ65" s="132"/>
      <c r="CK65" s="132"/>
      <c r="CL65" s="135"/>
      <c r="CM65" s="136"/>
      <c r="CN65" s="132"/>
      <c r="CO65" s="132"/>
      <c r="CP65" s="132"/>
      <c r="CQ65" s="132"/>
      <c r="CR65" s="137"/>
      <c r="CS65" s="132"/>
      <c r="CT65" s="132"/>
      <c r="CU65" s="132"/>
      <c r="CV65" s="137"/>
      <c r="CW65" s="132"/>
      <c r="CX65" s="132"/>
      <c r="CY65" s="132"/>
      <c r="CZ65" s="132"/>
      <c r="DA65" s="132"/>
      <c r="DB65" s="132"/>
      <c r="DC65" s="137"/>
      <c r="DD65" s="132"/>
      <c r="DE65" s="132"/>
      <c r="DF65" s="132"/>
      <c r="DG65" s="132">
        <f t="shared" si="2"/>
        <v>0</v>
      </c>
    </row>
    <row r="66" spans="1:111" s="125" customFormat="1" ht="17.100000000000001" customHeight="1" x14ac:dyDescent="0.25">
      <c r="A66" s="152"/>
      <c r="B66" s="127"/>
      <c r="C66" s="154"/>
      <c r="D66" s="157"/>
      <c r="E66" s="154"/>
      <c r="F66" s="128"/>
      <c r="G66" s="131"/>
      <c r="H66" s="132"/>
      <c r="I66" s="133"/>
      <c r="J66" s="134"/>
      <c r="K66" s="132"/>
      <c r="L66" s="133"/>
      <c r="M66" s="134"/>
      <c r="N66" s="133"/>
      <c r="O66" s="134"/>
      <c r="P66" s="133"/>
      <c r="Q66" s="134"/>
      <c r="R66" s="132"/>
      <c r="S66" s="132"/>
      <c r="T66" s="133"/>
      <c r="U66" s="134"/>
      <c r="V66" s="132"/>
      <c r="W66" s="135"/>
      <c r="X66" s="136"/>
      <c r="Y66" s="132"/>
      <c r="Z66" s="132"/>
      <c r="AA66" s="132"/>
      <c r="AB66" s="132"/>
      <c r="AC66" s="132"/>
      <c r="AD66" s="135"/>
      <c r="AE66" s="136"/>
      <c r="AF66" s="132"/>
      <c r="AG66" s="137"/>
      <c r="AH66" s="132"/>
      <c r="AI66" s="132"/>
      <c r="AJ66" s="132"/>
      <c r="AK66" s="132"/>
      <c r="AL66" s="132"/>
      <c r="AM66" s="132"/>
      <c r="AN66" s="132"/>
      <c r="AO66" s="132"/>
      <c r="AP66" s="135"/>
      <c r="AQ66" s="136"/>
      <c r="AR66" s="132"/>
      <c r="AS66" s="132"/>
      <c r="AT66" s="132"/>
      <c r="AU66" s="135"/>
      <c r="AV66" s="136"/>
      <c r="AW66" s="132"/>
      <c r="AX66" s="132"/>
      <c r="AY66" s="135"/>
      <c r="AZ66" s="136"/>
      <c r="BA66" s="132"/>
      <c r="BB66" s="132"/>
      <c r="BC66" s="135"/>
      <c r="BD66" s="136"/>
      <c r="BE66" s="132"/>
      <c r="BF66" s="132"/>
      <c r="BG66" s="135"/>
      <c r="BH66" s="136"/>
      <c r="BI66" s="132"/>
      <c r="BJ66" s="132"/>
      <c r="BK66" s="132"/>
      <c r="BL66" s="135"/>
      <c r="BM66" s="136"/>
      <c r="BN66" s="132"/>
      <c r="BO66" s="132"/>
      <c r="BP66" s="135"/>
      <c r="BQ66" s="136"/>
      <c r="BR66" s="137"/>
      <c r="BS66" s="132"/>
      <c r="BT66" s="132"/>
      <c r="BU66" s="132"/>
      <c r="BV66" s="132"/>
      <c r="BW66" s="135"/>
      <c r="BX66" s="136"/>
      <c r="BY66" s="132"/>
      <c r="BZ66" s="132"/>
      <c r="CA66" s="135"/>
      <c r="CB66" s="136"/>
      <c r="CC66" s="132"/>
      <c r="CD66" s="132"/>
      <c r="CE66" s="132"/>
      <c r="CF66" s="132"/>
      <c r="CG66" s="135"/>
      <c r="CH66" s="136"/>
      <c r="CI66" s="136"/>
      <c r="CJ66" s="132"/>
      <c r="CK66" s="132"/>
      <c r="CL66" s="135"/>
      <c r="CM66" s="136"/>
      <c r="CN66" s="132"/>
      <c r="CO66" s="132"/>
      <c r="CP66" s="132"/>
      <c r="CQ66" s="132"/>
      <c r="CR66" s="137"/>
      <c r="CS66" s="132"/>
      <c r="CT66" s="132"/>
      <c r="CU66" s="132"/>
      <c r="CV66" s="137"/>
      <c r="CW66" s="132"/>
      <c r="CX66" s="132"/>
      <c r="CY66" s="132"/>
      <c r="CZ66" s="132"/>
      <c r="DA66" s="132"/>
      <c r="DB66" s="132"/>
      <c r="DC66" s="137"/>
      <c r="DD66" s="132"/>
      <c r="DE66" s="132"/>
      <c r="DF66" s="132"/>
      <c r="DG66" s="132">
        <f t="shared" si="2"/>
        <v>0</v>
      </c>
    </row>
    <row r="67" spans="1:111" s="125" customFormat="1" ht="17.100000000000001" customHeight="1" x14ac:dyDescent="0.25">
      <c r="A67" s="126"/>
      <c r="B67" s="127"/>
      <c r="C67" s="128"/>
      <c r="D67" s="129"/>
      <c r="E67" s="130"/>
      <c r="F67" s="128"/>
      <c r="G67" s="131"/>
      <c r="H67" s="132"/>
      <c r="I67" s="133"/>
      <c r="J67" s="134"/>
      <c r="K67" s="132"/>
      <c r="L67" s="133"/>
      <c r="M67" s="134"/>
      <c r="N67" s="133"/>
      <c r="O67" s="134"/>
      <c r="P67" s="133"/>
      <c r="Q67" s="134"/>
      <c r="R67" s="132"/>
      <c r="S67" s="132"/>
      <c r="T67" s="133"/>
      <c r="U67" s="134"/>
      <c r="V67" s="132"/>
      <c r="W67" s="135"/>
      <c r="X67" s="136"/>
      <c r="Y67" s="132"/>
      <c r="Z67" s="132"/>
      <c r="AA67" s="132"/>
      <c r="AB67" s="132"/>
      <c r="AC67" s="132"/>
      <c r="AD67" s="135"/>
      <c r="AE67" s="136"/>
      <c r="AF67" s="132"/>
      <c r="AG67" s="137"/>
      <c r="AH67" s="132"/>
      <c r="AI67" s="132"/>
      <c r="AJ67" s="132"/>
      <c r="AK67" s="132"/>
      <c r="AL67" s="132"/>
      <c r="AM67" s="132"/>
      <c r="AN67" s="132"/>
      <c r="AO67" s="132"/>
      <c r="AP67" s="135"/>
      <c r="AQ67" s="136"/>
      <c r="AR67" s="132"/>
      <c r="AS67" s="132"/>
      <c r="AT67" s="132"/>
      <c r="AU67" s="135"/>
      <c r="AV67" s="136"/>
      <c r="AW67" s="132"/>
      <c r="AX67" s="132"/>
      <c r="AY67" s="135"/>
      <c r="AZ67" s="136"/>
      <c r="BA67" s="132"/>
      <c r="BB67" s="132"/>
      <c r="BC67" s="135"/>
      <c r="BD67" s="136"/>
      <c r="BE67" s="132"/>
      <c r="BF67" s="132"/>
      <c r="BG67" s="135"/>
      <c r="BH67" s="136"/>
      <c r="BI67" s="132"/>
      <c r="BJ67" s="132"/>
      <c r="BK67" s="132"/>
      <c r="BL67" s="135"/>
      <c r="BM67" s="136"/>
      <c r="BN67" s="132"/>
      <c r="BO67" s="132"/>
      <c r="BP67" s="135"/>
      <c r="BQ67" s="136"/>
      <c r="BR67" s="137"/>
      <c r="BS67" s="132"/>
      <c r="BT67" s="132"/>
      <c r="BU67" s="132"/>
      <c r="BV67" s="132"/>
      <c r="BW67" s="135"/>
      <c r="BX67" s="136"/>
      <c r="BY67" s="132"/>
      <c r="BZ67" s="132"/>
      <c r="CA67" s="135"/>
      <c r="CB67" s="136"/>
      <c r="CC67" s="132"/>
      <c r="CD67" s="132"/>
      <c r="CE67" s="132"/>
      <c r="CF67" s="132"/>
      <c r="CG67" s="135"/>
      <c r="CH67" s="136"/>
      <c r="CI67" s="136"/>
      <c r="CJ67" s="132"/>
      <c r="CK67" s="132"/>
      <c r="CL67" s="135"/>
      <c r="CM67" s="136"/>
      <c r="CN67" s="132"/>
      <c r="CO67" s="132"/>
      <c r="CP67" s="132"/>
      <c r="CQ67" s="132"/>
      <c r="CR67" s="137"/>
      <c r="CS67" s="132"/>
      <c r="CT67" s="132"/>
      <c r="CU67" s="132"/>
      <c r="CV67" s="137"/>
      <c r="CW67" s="132"/>
      <c r="CX67" s="132"/>
      <c r="CY67" s="132"/>
      <c r="CZ67" s="132"/>
      <c r="DA67" s="132"/>
      <c r="DB67" s="132"/>
      <c r="DC67" s="137"/>
      <c r="DD67" s="132"/>
      <c r="DE67" s="132"/>
      <c r="DF67" s="132"/>
      <c r="DG67" s="132">
        <f t="shared" si="2"/>
        <v>0</v>
      </c>
    </row>
    <row r="68" spans="1:111" s="125" customFormat="1" ht="17.100000000000001" customHeight="1" x14ac:dyDescent="0.25">
      <c r="A68" s="126"/>
      <c r="B68" s="127"/>
      <c r="C68" s="128"/>
      <c r="D68" s="143"/>
      <c r="E68" s="130"/>
      <c r="F68" s="128"/>
      <c r="G68" s="131"/>
      <c r="H68" s="132"/>
      <c r="I68" s="133"/>
      <c r="J68" s="134"/>
      <c r="K68" s="132"/>
      <c r="L68" s="133"/>
      <c r="M68" s="134"/>
      <c r="N68" s="133"/>
      <c r="O68" s="134"/>
      <c r="P68" s="133"/>
      <c r="Q68" s="134"/>
      <c r="R68" s="132"/>
      <c r="S68" s="132"/>
      <c r="T68" s="133"/>
      <c r="U68" s="134"/>
      <c r="V68" s="132"/>
      <c r="W68" s="135"/>
      <c r="X68" s="136"/>
      <c r="Y68" s="132"/>
      <c r="Z68" s="132"/>
      <c r="AA68" s="132"/>
      <c r="AB68" s="132"/>
      <c r="AC68" s="132"/>
      <c r="AD68" s="135"/>
      <c r="AE68" s="136"/>
      <c r="AF68" s="132"/>
      <c r="AG68" s="137"/>
      <c r="AH68" s="132"/>
      <c r="AI68" s="132"/>
      <c r="AJ68" s="132"/>
      <c r="AK68" s="132"/>
      <c r="AL68" s="132"/>
      <c r="AM68" s="132"/>
      <c r="AN68" s="132"/>
      <c r="AO68" s="132"/>
      <c r="AP68" s="135"/>
      <c r="AQ68" s="136"/>
      <c r="AR68" s="132"/>
      <c r="AS68" s="132"/>
      <c r="AT68" s="132"/>
      <c r="AU68" s="135"/>
      <c r="AV68" s="136"/>
      <c r="AW68" s="132"/>
      <c r="AX68" s="132"/>
      <c r="AY68" s="135"/>
      <c r="AZ68" s="136"/>
      <c r="BA68" s="132"/>
      <c r="BB68" s="132"/>
      <c r="BC68" s="135"/>
      <c r="BD68" s="136"/>
      <c r="BE68" s="132"/>
      <c r="BF68" s="132"/>
      <c r="BG68" s="135"/>
      <c r="BH68" s="136"/>
      <c r="BI68" s="132"/>
      <c r="BJ68" s="132"/>
      <c r="BK68" s="132"/>
      <c r="BL68" s="135"/>
      <c r="BM68" s="136"/>
      <c r="BN68" s="132"/>
      <c r="BO68" s="132"/>
      <c r="BP68" s="135"/>
      <c r="BQ68" s="136"/>
      <c r="BR68" s="137"/>
      <c r="BS68" s="132"/>
      <c r="BT68" s="132"/>
      <c r="BU68" s="132"/>
      <c r="BV68" s="132"/>
      <c r="BW68" s="135"/>
      <c r="BX68" s="136"/>
      <c r="BY68" s="132"/>
      <c r="BZ68" s="132"/>
      <c r="CA68" s="135"/>
      <c r="CB68" s="136"/>
      <c r="CC68" s="132"/>
      <c r="CD68" s="132"/>
      <c r="CE68" s="132"/>
      <c r="CF68" s="132"/>
      <c r="CG68" s="135"/>
      <c r="CH68" s="136"/>
      <c r="CI68" s="136"/>
      <c r="CJ68" s="132"/>
      <c r="CK68" s="132"/>
      <c r="CL68" s="135"/>
      <c r="CM68" s="136"/>
      <c r="CN68" s="132"/>
      <c r="CO68" s="132"/>
      <c r="CP68" s="132"/>
      <c r="CQ68" s="132"/>
      <c r="CR68" s="137"/>
      <c r="CS68" s="132"/>
      <c r="CT68" s="132"/>
      <c r="CU68" s="132"/>
      <c r="CV68" s="137"/>
      <c r="CW68" s="132"/>
      <c r="CX68" s="132"/>
      <c r="CY68" s="132"/>
      <c r="CZ68" s="132"/>
      <c r="DA68" s="132"/>
      <c r="DB68" s="132"/>
      <c r="DC68" s="137"/>
      <c r="DD68" s="132"/>
      <c r="DE68" s="132"/>
      <c r="DF68" s="132"/>
      <c r="DG68" s="132">
        <f t="shared" si="2"/>
        <v>0</v>
      </c>
    </row>
    <row r="69" spans="1:111" s="125" customFormat="1" ht="17.100000000000001" customHeight="1" x14ac:dyDescent="0.25">
      <c r="A69" s="126"/>
      <c r="B69" s="127"/>
      <c r="C69" s="128"/>
      <c r="D69" s="143"/>
      <c r="E69" s="130"/>
      <c r="F69" s="128"/>
      <c r="G69" s="131"/>
      <c r="H69" s="132"/>
      <c r="I69" s="133"/>
      <c r="J69" s="134"/>
      <c r="K69" s="132"/>
      <c r="L69" s="133"/>
      <c r="M69" s="134"/>
      <c r="N69" s="133"/>
      <c r="O69" s="134"/>
      <c r="P69" s="133"/>
      <c r="Q69" s="134"/>
      <c r="R69" s="132"/>
      <c r="S69" s="132"/>
      <c r="T69" s="133"/>
      <c r="U69" s="134"/>
      <c r="V69" s="132"/>
      <c r="W69" s="135"/>
      <c r="X69" s="136"/>
      <c r="Y69" s="132"/>
      <c r="Z69" s="132"/>
      <c r="AA69" s="132"/>
      <c r="AB69" s="132"/>
      <c r="AC69" s="132"/>
      <c r="AD69" s="135"/>
      <c r="AE69" s="136"/>
      <c r="AF69" s="132"/>
      <c r="AG69" s="137"/>
      <c r="AH69" s="132"/>
      <c r="AI69" s="132"/>
      <c r="AJ69" s="132"/>
      <c r="AK69" s="132"/>
      <c r="AL69" s="132"/>
      <c r="AM69" s="132"/>
      <c r="AN69" s="132"/>
      <c r="AO69" s="132"/>
      <c r="AP69" s="135"/>
      <c r="AQ69" s="136"/>
      <c r="AR69" s="132"/>
      <c r="AS69" s="132"/>
      <c r="AT69" s="132"/>
      <c r="AU69" s="135"/>
      <c r="AV69" s="136"/>
      <c r="AW69" s="132"/>
      <c r="AX69" s="132"/>
      <c r="AY69" s="135"/>
      <c r="AZ69" s="136"/>
      <c r="BA69" s="132"/>
      <c r="BB69" s="132"/>
      <c r="BC69" s="135"/>
      <c r="BD69" s="136"/>
      <c r="BE69" s="132"/>
      <c r="BF69" s="132"/>
      <c r="BG69" s="135"/>
      <c r="BH69" s="136"/>
      <c r="BI69" s="132"/>
      <c r="BJ69" s="132"/>
      <c r="BK69" s="132"/>
      <c r="BL69" s="135"/>
      <c r="BM69" s="136"/>
      <c r="BN69" s="132"/>
      <c r="BO69" s="132"/>
      <c r="BP69" s="135"/>
      <c r="BQ69" s="136"/>
      <c r="BR69" s="137"/>
      <c r="BS69" s="132"/>
      <c r="BT69" s="132"/>
      <c r="BU69" s="132"/>
      <c r="BV69" s="132"/>
      <c r="BW69" s="135"/>
      <c r="BX69" s="136"/>
      <c r="BY69" s="132"/>
      <c r="BZ69" s="132"/>
      <c r="CA69" s="135"/>
      <c r="CB69" s="136"/>
      <c r="CC69" s="132"/>
      <c r="CD69" s="132"/>
      <c r="CE69" s="132"/>
      <c r="CF69" s="132"/>
      <c r="CG69" s="135"/>
      <c r="CH69" s="136"/>
      <c r="CI69" s="136"/>
      <c r="CJ69" s="132"/>
      <c r="CK69" s="132"/>
      <c r="CL69" s="135"/>
      <c r="CM69" s="136"/>
      <c r="CN69" s="132"/>
      <c r="CO69" s="132"/>
      <c r="CP69" s="132"/>
      <c r="CQ69" s="132"/>
      <c r="CR69" s="137"/>
      <c r="CS69" s="132"/>
      <c r="CT69" s="132"/>
      <c r="CU69" s="132"/>
      <c r="CV69" s="137"/>
      <c r="CW69" s="132"/>
      <c r="CX69" s="132"/>
      <c r="CY69" s="132"/>
      <c r="CZ69" s="132"/>
      <c r="DA69" s="132"/>
      <c r="DB69" s="132"/>
      <c r="DC69" s="137"/>
      <c r="DD69" s="132"/>
      <c r="DE69" s="132"/>
      <c r="DF69" s="132"/>
      <c r="DG69" s="132">
        <f t="shared" si="2"/>
        <v>0</v>
      </c>
    </row>
    <row r="70" spans="1:111" s="125" customFormat="1" ht="17.100000000000001" customHeight="1" x14ac:dyDescent="0.25">
      <c r="A70" s="126"/>
      <c r="B70" s="127"/>
      <c r="C70" s="128"/>
      <c r="D70" s="129"/>
      <c r="E70" s="130"/>
      <c r="F70" s="128"/>
      <c r="G70" s="131"/>
      <c r="H70" s="132"/>
      <c r="I70" s="133"/>
      <c r="J70" s="134"/>
      <c r="K70" s="132"/>
      <c r="L70" s="133"/>
      <c r="M70" s="134"/>
      <c r="N70" s="133"/>
      <c r="O70" s="134"/>
      <c r="P70" s="133"/>
      <c r="Q70" s="134"/>
      <c r="R70" s="132"/>
      <c r="S70" s="132"/>
      <c r="T70" s="133"/>
      <c r="U70" s="134"/>
      <c r="V70" s="132"/>
      <c r="W70" s="135"/>
      <c r="X70" s="136"/>
      <c r="Y70" s="132"/>
      <c r="Z70" s="132"/>
      <c r="AA70" s="132"/>
      <c r="AB70" s="132"/>
      <c r="AC70" s="132"/>
      <c r="AD70" s="135"/>
      <c r="AE70" s="136"/>
      <c r="AF70" s="132"/>
      <c r="AG70" s="137"/>
      <c r="AH70" s="132"/>
      <c r="AI70" s="132"/>
      <c r="AJ70" s="132"/>
      <c r="AK70" s="132"/>
      <c r="AL70" s="132"/>
      <c r="AM70" s="132"/>
      <c r="AN70" s="132"/>
      <c r="AO70" s="132"/>
      <c r="AP70" s="135"/>
      <c r="AQ70" s="136"/>
      <c r="AR70" s="132"/>
      <c r="AS70" s="132"/>
      <c r="AT70" s="132"/>
      <c r="AU70" s="135"/>
      <c r="AV70" s="136"/>
      <c r="AW70" s="132"/>
      <c r="AX70" s="132"/>
      <c r="AY70" s="135"/>
      <c r="AZ70" s="136"/>
      <c r="BA70" s="132"/>
      <c r="BB70" s="132"/>
      <c r="BC70" s="135"/>
      <c r="BD70" s="136"/>
      <c r="BE70" s="132"/>
      <c r="BF70" s="132"/>
      <c r="BG70" s="135"/>
      <c r="BH70" s="136"/>
      <c r="BI70" s="132"/>
      <c r="BJ70" s="132"/>
      <c r="BK70" s="132"/>
      <c r="BL70" s="135"/>
      <c r="BM70" s="136"/>
      <c r="BN70" s="132"/>
      <c r="BO70" s="132"/>
      <c r="BP70" s="135"/>
      <c r="BQ70" s="136"/>
      <c r="BR70" s="137"/>
      <c r="BS70" s="132"/>
      <c r="BT70" s="132"/>
      <c r="BU70" s="132"/>
      <c r="BV70" s="132"/>
      <c r="BW70" s="135"/>
      <c r="BX70" s="136"/>
      <c r="BY70" s="132"/>
      <c r="BZ70" s="132"/>
      <c r="CA70" s="135"/>
      <c r="CB70" s="136"/>
      <c r="CC70" s="132"/>
      <c r="CD70" s="132"/>
      <c r="CE70" s="132"/>
      <c r="CF70" s="132"/>
      <c r="CG70" s="135"/>
      <c r="CH70" s="136"/>
      <c r="CI70" s="136"/>
      <c r="CJ70" s="132"/>
      <c r="CK70" s="132"/>
      <c r="CL70" s="135"/>
      <c r="CM70" s="136"/>
      <c r="CN70" s="132"/>
      <c r="CO70" s="132"/>
      <c r="CP70" s="132"/>
      <c r="CQ70" s="132"/>
      <c r="CR70" s="137"/>
      <c r="CS70" s="132"/>
      <c r="CT70" s="132"/>
      <c r="CU70" s="132"/>
      <c r="CV70" s="137"/>
      <c r="CW70" s="132"/>
      <c r="CX70" s="132"/>
      <c r="CY70" s="132"/>
      <c r="CZ70" s="132"/>
      <c r="DA70" s="132"/>
      <c r="DB70" s="132"/>
      <c r="DC70" s="137"/>
      <c r="DD70" s="132"/>
      <c r="DE70" s="132"/>
      <c r="DF70" s="132"/>
      <c r="DG70" s="132">
        <f t="shared" si="2"/>
        <v>0</v>
      </c>
    </row>
    <row r="71" spans="1:111" s="125" customFormat="1" ht="17.100000000000001" customHeight="1" x14ac:dyDescent="0.25">
      <c r="A71" s="126"/>
      <c r="B71" s="127"/>
      <c r="C71" s="128"/>
      <c r="D71" s="143"/>
      <c r="E71" s="130"/>
      <c r="F71" s="128"/>
      <c r="G71" s="131"/>
      <c r="H71" s="132"/>
      <c r="I71" s="133"/>
      <c r="J71" s="134"/>
      <c r="K71" s="132"/>
      <c r="L71" s="133"/>
      <c r="M71" s="134"/>
      <c r="N71" s="133"/>
      <c r="O71" s="134"/>
      <c r="P71" s="133"/>
      <c r="Q71" s="134"/>
      <c r="R71" s="132"/>
      <c r="S71" s="132"/>
      <c r="T71" s="133"/>
      <c r="U71" s="134"/>
      <c r="V71" s="132"/>
      <c r="W71" s="135"/>
      <c r="X71" s="136"/>
      <c r="Y71" s="132"/>
      <c r="Z71" s="132"/>
      <c r="AA71" s="132"/>
      <c r="AB71" s="132"/>
      <c r="AC71" s="132"/>
      <c r="AD71" s="135"/>
      <c r="AE71" s="136"/>
      <c r="AF71" s="132"/>
      <c r="AG71" s="137"/>
      <c r="AH71" s="132"/>
      <c r="AI71" s="132"/>
      <c r="AJ71" s="132"/>
      <c r="AK71" s="132"/>
      <c r="AL71" s="132"/>
      <c r="AM71" s="132"/>
      <c r="AN71" s="132"/>
      <c r="AO71" s="132"/>
      <c r="AP71" s="135"/>
      <c r="AQ71" s="136"/>
      <c r="AR71" s="132"/>
      <c r="AS71" s="132"/>
      <c r="AT71" s="132"/>
      <c r="AU71" s="135"/>
      <c r="AV71" s="136"/>
      <c r="AW71" s="132"/>
      <c r="AX71" s="132"/>
      <c r="AY71" s="135"/>
      <c r="AZ71" s="136"/>
      <c r="BA71" s="132"/>
      <c r="BB71" s="132"/>
      <c r="BC71" s="135"/>
      <c r="BD71" s="136"/>
      <c r="BE71" s="132"/>
      <c r="BF71" s="132"/>
      <c r="BG71" s="135"/>
      <c r="BH71" s="136"/>
      <c r="BI71" s="132"/>
      <c r="BJ71" s="132"/>
      <c r="BK71" s="132"/>
      <c r="BL71" s="135"/>
      <c r="BM71" s="136"/>
      <c r="BN71" s="132"/>
      <c r="BO71" s="132"/>
      <c r="BP71" s="135"/>
      <c r="BQ71" s="136"/>
      <c r="BR71" s="137"/>
      <c r="BS71" s="132"/>
      <c r="BT71" s="132"/>
      <c r="BU71" s="132"/>
      <c r="BV71" s="132"/>
      <c r="BW71" s="135"/>
      <c r="BX71" s="136"/>
      <c r="BY71" s="132"/>
      <c r="BZ71" s="132"/>
      <c r="CA71" s="135"/>
      <c r="CB71" s="136"/>
      <c r="CC71" s="132"/>
      <c r="CD71" s="132"/>
      <c r="CE71" s="132"/>
      <c r="CF71" s="132"/>
      <c r="CG71" s="135"/>
      <c r="CH71" s="136"/>
      <c r="CI71" s="136"/>
      <c r="CJ71" s="132"/>
      <c r="CK71" s="132"/>
      <c r="CL71" s="135"/>
      <c r="CM71" s="136"/>
      <c r="CN71" s="132"/>
      <c r="CO71" s="132"/>
      <c r="CP71" s="132"/>
      <c r="CQ71" s="132"/>
      <c r="CR71" s="137"/>
      <c r="CS71" s="132"/>
      <c r="CT71" s="132"/>
      <c r="CU71" s="132"/>
      <c r="CV71" s="137"/>
      <c r="CW71" s="132"/>
      <c r="CX71" s="132"/>
      <c r="CY71" s="132"/>
      <c r="CZ71" s="132"/>
      <c r="DA71" s="132"/>
      <c r="DB71" s="132"/>
      <c r="DC71" s="137"/>
      <c r="DD71" s="132"/>
      <c r="DE71" s="132"/>
      <c r="DF71" s="132"/>
      <c r="DG71" s="132">
        <f t="shared" si="2"/>
        <v>0</v>
      </c>
    </row>
    <row r="72" spans="1:111" s="125" customFormat="1" ht="17.100000000000001" customHeight="1" x14ac:dyDescent="0.25">
      <c r="A72" s="126"/>
      <c r="B72" s="127"/>
      <c r="C72" s="128"/>
      <c r="D72" s="143"/>
      <c r="E72" s="130"/>
      <c r="F72" s="144"/>
      <c r="G72" s="138"/>
      <c r="H72" s="132"/>
      <c r="I72" s="133"/>
      <c r="J72" s="134"/>
      <c r="K72" s="132"/>
      <c r="L72" s="133"/>
      <c r="M72" s="139"/>
      <c r="N72" s="133"/>
      <c r="O72" s="134"/>
      <c r="P72" s="133"/>
      <c r="Q72" s="134"/>
      <c r="R72" s="132"/>
      <c r="S72" s="132"/>
      <c r="T72" s="133"/>
      <c r="U72" s="134"/>
      <c r="V72" s="132"/>
      <c r="W72" s="135"/>
      <c r="X72" s="136"/>
      <c r="Y72" s="132"/>
      <c r="Z72" s="132"/>
      <c r="AA72" s="132"/>
      <c r="AB72" s="132"/>
      <c r="AC72" s="132"/>
      <c r="AD72" s="135"/>
      <c r="AE72" s="136"/>
      <c r="AF72" s="132"/>
      <c r="AG72" s="137"/>
      <c r="AH72" s="132"/>
      <c r="AI72" s="132"/>
      <c r="AJ72" s="132"/>
      <c r="AK72" s="132"/>
      <c r="AL72" s="132"/>
      <c r="AM72" s="132"/>
      <c r="AN72" s="132"/>
      <c r="AO72" s="132"/>
      <c r="AP72" s="135"/>
      <c r="AQ72" s="136"/>
      <c r="AR72" s="132"/>
      <c r="AS72" s="132"/>
      <c r="AT72" s="132"/>
      <c r="AU72" s="135"/>
      <c r="AV72" s="136"/>
      <c r="AW72" s="132"/>
      <c r="AX72" s="132"/>
      <c r="AY72" s="135"/>
      <c r="AZ72" s="136"/>
      <c r="BA72" s="132"/>
      <c r="BB72" s="132"/>
      <c r="BC72" s="135"/>
      <c r="BD72" s="136"/>
      <c r="BE72" s="132"/>
      <c r="BF72" s="132"/>
      <c r="BG72" s="135"/>
      <c r="BH72" s="136"/>
      <c r="BI72" s="132"/>
      <c r="BJ72" s="132"/>
      <c r="BK72" s="132"/>
      <c r="BL72" s="135"/>
      <c r="BM72" s="136"/>
      <c r="BN72" s="132"/>
      <c r="BO72" s="132"/>
      <c r="BP72" s="135"/>
      <c r="BQ72" s="136"/>
      <c r="BR72" s="137"/>
      <c r="BS72" s="132"/>
      <c r="BT72" s="132"/>
      <c r="BU72" s="132"/>
      <c r="BV72" s="132"/>
      <c r="BW72" s="135"/>
      <c r="BX72" s="136"/>
      <c r="BY72" s="132"/>
      <c r="BZ72" s="132"/>
      <c r="CA72" s="135"/>
      <c r="CB72" s="136"/>
      <c r="CC72" s="132"/>
      <c r="CD72" s="132"/>
      <c r="CE72" s="132"/>
      <c r="CF72" s="132"/>
      <c r="CG72" s="135"/>
      <c r="CH72" s="136"/>
      <c r="CI72" s="136"/>
      <c r="CJ72" s="132"/>
      <c r="CK72" s="132"/>
      <c r="CL72" s="135"/>
      <c r="CM72" s="136"/>
      <c r="CN72" s="132"/>
      <c r="CO72" s="132"/>
      <c r="CP72" s="132"/>
      <c r="CQ72" s="132"/>
      <c r="CR72" s="137"/>
      <c r="CS72" s="132"/>
      <c r="CT72" s="132"/>
      <c r="CU72" s="132"/>
      <c r="CV72" s="137"/>
      <c r="CW72" s="132"/>
      <c r="CX72" s="132"/>
      <c r="CY72" s="132"/>
      <c r="CZ72" s="132"/>
      <c r="DA72" s="132"/>
      <c r="DB72" s="132"/>
      <c r="DC72" s="141"/>
      <c r="DD72" s="140"/>
      <c r="DE72" s="140"/>
      <c r="DF72" s="140"/>
      <c r="DG72" s="132">
        <f t="shared" si="2"/>
        <v>0</v>
      </c>
    </row>
    <row r="73" spans="1:111" s="125" customFormat="1" ht="17.100000000000001" customHeight="1" x14ac:dyDescent="0.25">
      <c r="A73" s="126"/>
      <c r="B73" s="127"/>
      <c r="C73" s="128"/>
      <c r="D73" s="143"/>
      <c r="E73" s="130"/>
      <c r="F73" s="144"/>
      <c r="G73" s="138"/>
      <c r="H73" s="132"/>
      <c r="I73" s="133"/>
      <c r="J73" s="134"/>
      <c r="K73" s="140"/>
      <c r="L73" s="133"/>
      <c r="M73" s="134"/>
      <c r="N73" s="133"/>
      <c r="O73" s="139"/>
      <c r="P73" s="133"/>
      <c r="Q73" s="134"/>
      <c r="R73" s="132"/>
      <c r="S73" s="132"/>
      <c r="T73" s="133"/>
      <c r="U73" s="134"/>
      <c r="V73" s="132"/>
      <c r="W73" s="135"/>
      <c r="X73" s="136"/>
      <c r="Y73" s="132"/>
      <c r="Z73" s="132"/>
      <c r="AA73" s="132"/>
      <c r="AB73" s="132"/>
      <c r="AC73" s="132"/>
      <c r="AD73" s="135"/>
      <c r="AE73" s="136"/>
      <c r="AF73" s="132"/>
      <c r="AG73" s="137"/>
      <c r="AH73" s="132"/>
      <c r="AI73" s="132"/>
      <c r="AJ73" s="132"/>
      <c r="AK73" s="132"/>
      <c r="AL73" s="132"/>
      <c r="AM73" s="132"/>
      <c r="AN73" s="132"/>
      <c r="AO73" s="132"/>
      <c r="AP73" s="135"/>
      <c r="AQ73" s="136"/>
      <c r="AR73" s="132"/>
      <c r="AS73" s="132"/>
      <c r="AT73" s="132"/>
      <c r="AU73" s="135"/>
      <c r="AV73" s="136"/>
      <c r="AW73" s="132"/>
      <c r="AX73" s="132"/>
      <c r="AY73" s="135"/>
      <c r="AZ73" s="136"/>
      <c r="BA73" s="132"/>
      <c r="BB73" s="132"/>
      <c r="BC73" s="135"/>
      <c r="BD73" s="136"/>
      <c r="BE73" s="132"/>
      <c r="BF73" s="132"/>
      <c r="BG73" s="135"/>
      <c r="BH73" s="136"/>
      <c r="BI73" s="132"/>
      <c r="BJ73" s="132"/>
      <c r="BK73" s="132"/>
      <c r="BL73" s="135"/>
      <c r="BM73" s="136"/>
      <c r="BN73" s="132"/>
      <c r="BO73" s="132"/>
      <c r="BP73" s="135"/>
      <c r="BQ73" s="136"/>
      <c r="BR73" s="137"/>
      <c r="BS73" s="132"/>
      <c r="BT73" s="132"/>
      <c r="BU73" s="132"/>
      <c r="BV73" s="132"/>
      <c r="BW73" s="135"/>
      <c r="BX73" s="136"/>
      <c r="BY73" s="132"/>
      <c r="BZ73" s="132"/>
      <c r="CA73" s="135"/>
      <c r="CB73" s="136"/>
      <c r="CC73" s="132"/>
      <c r="CD73" s="132"/>
      <c r="CE73" s="132"/>
      <c r="CF73" s="132"/>
      <c r="CG73" s="135"/>
      <c r="CH73" s="136"/>
      <c r="CI73" s="136"/>
      <c r="CJ73" s="132"/>
      <c r="CK73" s="132"/>
      <c r="CL73" s="145"/>
      <c r="CM73" s="136"/>
      <c r="CN73" s="132"/>
      <c r="CO73" s="132"/>
      <c r="CP73" s="132"/>
      <c r="CQ73" s="132"/>
      <c r="CR73" s="137"/>
      <c r="CS73" s="132"/>
      <c r="CT73" s="132"/>
      <c r="CU73" s="132"/>
      <c r="CV73" s="137"/>
      <c r="CW73" s="132"/>
      <c r="CX73" s="132"/>
      <c r="CY73" s="132"/>
      <c r="CZ73" s="132"/>
      <c r="DA73" s="132"/>
      <c r="DB73" s="132"/>
      <c r="DC73" s="141"/>
      <c r="DD73" s="132"/>
      <c r="DE73" s="132"/>
      <c r="DF73" s="132"/>
      <c r="DG73" s="132">
        <f t="shared" si="2"/>
        <v>0</v>
      </c>
    </row>
    <row r="74" spans="1:111" s="125" customFormat="1" ht="17.100000000000001" customHeight="1" x14ac:dyDescent="0.25">
      <c r="A74" s="126"/>
      <c r="B74" s="127"/>
      <c r="C74" s="128"/>
      <c r="D74" s="129"/>
      <c r="E74" s="130"/>
      <c r="F74" s="144"/>
      <c r="G74" s="131"/>
      <c r="H74" s="132"/>
      <c r="I74" s="133"/>
      <c r="J74" s="134"/>
      <c r="K74" s="132"/>
      <c r="L74" s="133"/>
      <c r="M74" s="134"/>
      <c r="N74" s="133"/>
      <c r="O74" s="134"/>
      <c r="P74" s="133"/>
      <c r="Q74" s="134"/>
      <c r="R74" s="132"/>
      <c r="S74" s="132"/>
      <c r="T74" s="155"/>
      <c r="U74" s="134"/>
      <c r="V74" s="132"/>
      <c r="W74" s="135"/>
      <c r="X74" s="136"/>
      <c r="Y74" s="132"/>
      <c r="Z74" s="132"/>
      <c r="AA74" s="132"/>
      <c r="AB74" s="132"/>
      <c r="AC74" s="132"/>
      <c r="AD74" s="135"/>
      <c r="AE74" s="136"/>
      <c r="AF74" s="132"/>
      <c r="AG74" s="137"/>
      <c r="AH74" s="132"/>
      <c r="AI74" s="132"/>
      <c r="AJ74" s="132"/>
      <c r="AK74" s="132"/>
      <c r="AL74" s="132"/>
      <c r="AM74" s="132"/>
      <c r="AN74" s="132"/>
      <c r="AO74" s="132"/>
      <c r="AP74" s="135"/>
      <c r="AQ74" s="136"/>
      <c r="AR74" s="132"/>
      <c r="AS74" s="132"/>
      <c r="AT74" s="132"/>
      <c r="AU74" s="135"/>
      <c r="AV74" s="136"/>
      <c r="AW74" s="132"/>
      <c r="AX74" s="132"/>
      <c r="AY74" s="135"/>
      <c r="AZ74" s="136"/>
      <c r="BA74" s="132"/>
      <c r="BB74" s="132"/>
      <c r="BC74" s="135"/>
      <c r="BD74" s="136"/>
      <c r="BE74" s="132"/>
      <c r="BF74" s="132"/>
      <c r="BG74" s="135"/>
      <c r="BH74" s="136"/>
      <c r="BI74" s="132"/>
      <c r="BJ74" s="132"/>
      <c r="BK74" s="132"/>
      <c r="BL74" s="135"/>
      <c r="BM74" s="136"/>
      <c r="BN74" s="132"/>
      <c r="BO74" s="132"/>
      <c r="BP74" s="135"/>
      <c r="BQ74" s="136"/>
      <c r="BR74" s="137"/>
      <c r="BS74" s="132"/>
      <c r="BT74" s="132"/>
      <c r="BU74" s="132"/>
      <c r="BV74" s="132"/>
      <c r="BW74" s="145"/>
      <c r="BX74" s="136"/>
      <c r="BY74" s="132"/>
      <c r="BZ74" s="132"/>
      <c r="CA74" s="135"/>
      <c r="CB74" s="136"/>
      <c r="CC74" s="132"/>
      <c r="CD74" s="132"/>
      <c r="CE74" s="132"/>
      <c r="CF74" s="132"/>
      <c r="CG74" s="135"/>
      <c r="CH74" s="136"/>
      <c r="CI74" s="136"/>
      <c r="CJ74" s="132"/>
      <c r="CK74" s="132"/>
      <c r="CL74" s="145"/>
      <c r="CM74" s="136"/>
      <c r="CN74" s="132"/>
      <c r="CO74" s="132"/>
      <c r="CP74" s="132"/>
      <c r="CQ74" s="132"/>
      <c r="CR74" s="137"/>
      <c r="CS74" s="132"/>
      <c r="CT74" s="132"/>
      <c r="CU74" s="132"/>
      <c r="CV74" s="137"/>
      <c r="CW74" s="132"/>
      <c r="CX74" s="132"/>
      <c r="CY74" s="132"/>
      <c r="CZ74" s="132"/>
      <c r="DA74" s="132"/>
      <c r="DB74" s="132"/>
      <c r="DC74" s="141"/>
      <c r="DD74" s="132"/>
      <c r="DE74" s="132"/>
      <c r="DF74" s="132"/>
      <c r="DG74" s="132">
        <f t="shared" si="2"/>
        <v>0</v>
      </c>
    </row>
    <row r="75" spans="1:111" s="125" customFormat="1" ht="17.100000000000001" customHeight="1" x14ac:dyDescent="0.25">
      <c r="A75" s="126"/>
      <c r="B75" s="127"/>
      <c r="C75" s="128"/>
      <c r="D75" s="143"/>
      <c r="E75" s="130"/>
      <c r="F75" s="128"/>
      <c r="G75" s="131"/>
      <c r="H75" s="132"/>
      <c r="I75" s="133"/>
      <c r="J75" s="134"/>
      <c r="K75" s="132"/>
      <c r="L75" s="133"/>
      <c r="M75" s="134"/>
      <c r="N75" s="133"/>
      <c r="O75" s="134"/>
      <c r="P75" s="133"/>
      <c r="Q75" s="134"/>
      <c r="R75" s="132"/>
      <c r="S75" s="132"/>
      <c r="T75" s="133"/>
      <c r="U75" s="134"/>
      <c r="V75" s="132"/>
      <c r="W75" s="135"/>
      <c r="X75" s="136"/>
      <c r="Y75" s="132"/>
      <c r="Z75" s="132"/>
      <c r="AA75" s="132"/>
      <c r="AB75" s="132"/>
      <c r="AC75" s="132"/>
      <c r="AD75" s="135"/>
      <c r="AE75" s="136"/>
      <c r="AF75" s="132"/>
      <c r="AG75" s="137"/>
      <c r="AH75" s="132"/>
      <c r="AI75" s="132"/>
      <c r="AJ75" s="132"/>
      <c r="AK75" s="132"/>
      <c r="AL75" s="132"/>
      <c r="AM75" s="132"/>
      <c r="AN75" s="132"/>
      <c r="AO75" s="132"/>
      <c r="AP75" s="135"/>
      <c r="AQ75" s="136"/>
      <c r="AR75" s="132"/>
      <c r="AS75" s="132"/>
      <c r="AT75" s="132"/>
      <c r="AU75" s="135"/>
      <c r="AV75" s="136"/>
      <c r="AW75" s="132"/>
      <c r="AX75" s="132"/>
      <c r="AY75" s="135"/>
      <c r="AZ75" s="136"/>
      <c r="BA75" s="132"/>
      <c r="BB75" s="132"/>
      <c r="BC75" s="135"/>
      <c r="BD75" s="136"/>
      <c r="BE75" s="132"/>
      <c r="BF75" s="132"/>
      <c r="BG75" s="135"/>
      <c r="BH75" s="136"/>
      <c r="BI75" s="132"/>
      <c r="BJ75" s="132"/>
      <c r="BK75" s="132"/>
      <c r="BL75" s="135"/>
      <c r="BM75" s="136"/>
      <c r="BN75" s="132"/>
      <c r="BO75" s="132"/>
      <c r="BP75" s="135"/>
      <c r="BQ75" s="136"/>
      <c r="BR75" s="137"/>
      <c r="BS75" s="132"/>
      <c r="BT75" s="132"/>
      <c r="BU75" s="132"/>
      <c r="BV75" s="132"/>
      <c r="BW75" s="135"/>
      <c r="BX75" s="136"/>
      <c r="BY75" s="132"/>
      <c r="BZ75" s="132"/>
      <c r="CA75" s="135"/>
      <c r="CB75" s="136"/>
      <c r="CC75" s="132"/>
      <c r="CD75" s="132"/>
      <c r="CE75" s="132"/>
      <c r="CF75" s="132"/>
      <c r="CG75" s="135"/>
      <c r="CH75" s="136"/>
      <c r="CI75" s="136"/>
      <c r="CJ75" s="132"/>
      <c r="CK75" s="132"/>
      <c r="CL75" s="135"/>
      <c r="CM75" s="136"/>
      <c r="CN75" s="132"/>
      <c r="CO75" s="132"/>
      <c r="CP75" s="132"/>
      <c r="CQ75" s="132"/>
      <c r="CR75" s="137"/>
      <c r="CS75" s="132"/>
      <c r="CT75" s="132"/>
      <c r="CU75" s="132"/>
      <c r="CV75" s="137"/>
      <c r="CW75" s="132"/>
      <c r="CX75" s="132"/>
      <c r="CY75" s="132"/>
      <c r="CZ75" s="132"/>
      <c r="DA75" s="132"/>
      <c r="DB75" s="132"/>
      <c r="DC75" s="137"/>
      <c r="DD75" s="132"/>
      <c r="DE75" s="132"/>
      <c r="DF75" s="132"/>
      <c r="DG75" s="132">
        <f t="shared" ref="DG75:DG138" si="3">SUM(H75,J75,K75,M75,O75,Q75,R75,S75,U75,V75,X75,Y75,Z75,AA75,AB75,AC75,AE75,AF75,AH75,AI75,AJ75,AK75,AL75,AM75,AN75,AO75,AQ75,AR75,AS75,AT75,AV75,AW75,AX75,AZ75,BA75,BB75,BD75,BE75,BF75,BH75,BI75,BJ75,BK75,BM75,BN75,BO75,BQ75,BS75,BT75,BU75,BV75,BX75,BY75,BZ75,CB75,CC75,CD75,CE75,CF75,CH75,CI75,CJ75,CK75,CM75,CN75,CO75,CP75,CQ75,CS75,CT75,CU75,CW75,CX75,CY75,CZ75,DA75,DB75,DD75)</f>
        <v>0</v>
      </c>
    </row>
    <row r="76" spans="1:111" s="125" customFormat="1" ht="17.100000000000001" customHeight="1" x14ac:dyDescent="0.25">
      <c r="A76" s="126"/>
      <c r="B76" s="127"/>
      <c r="C76" s="128"/>
      <c r="D76" s="129"/>
      <c r="E76" s="130"/>
      <c r="F76" s="128"/>
      <c r="G76" s="131"/>
      <c r="H76" s="132"/>
      <c r="I76" s="133"/>
      <c r="J76" s="134"/>
      <c r="K76" s="132"/>
      <c r="L76" s="133"/>
      <c r="M76" s="134"/>
      <c r="N76" s="133"/>
      <c r="O76" s="134"/>
      <c r="P76" s="133"/>
      <c r="Q76" s="134"/>
      <c r="R76" s="132"/>
      <c r="S76" s="132"/>
      <c r="T76" s="133"/>
      <c r="U76" s="134"/>
      <c r="V76" s="132"/>
      <c r="W76" s="135"/>
      <c r="X76" s="136"/>
      <c r="Y76" s="132"/>
      <c r="Z76" s="132"/>
      <c r="AA76" s="132"/>
      <c r="AB76" s="132"/>
      <c r="AC76" s="132"/>
      <c r="AD76" s="135"/>
      <c r="AE76" s="136"/>
      <c r="AF76" s="132"/>
      <c r="AG76" s="137"/>
      <c r="AH76" s="132"/>
      <c r="AI76" s="132"/>
      <c r="AJ76" s="132"/>
      <c r="AK76" s="132"/>
      <c r="AL76" s="132"/>
      <c r="AM76" s="132"/>
      <c r="AN76" s="132"/>
      <c r="AO76" s="132"/>
      <c r="AP76" s="135"/>
      <c r="AQ76" s="136"/>
      <c r="AR76" s="132"/>
      <c r="AS76" s="132"/>
      <c r="AT76" s="132"/>
      <c r="AU76" s="135"/>
      <c r="AV76" s="136"/>
      <c r="AW76" s="132"/>
      <c r="AX76" s="132"/>
      <c r="AY76" s="135"/>
      <c r="AZ76" s="136"/>
      <c r="BA76" s="132"/>
      <c r="BB76" s="132"/>
      <c r="BC76" s="135"/>
      <c r="BD76" s="136"/>
      <c r="BE76" s="132"/>
      <c r="BF76" s="132"/>
      <c r="BG76" s="135"/>
      <c r="BH76" s="136"/>
      <c r="BI76" s="132"/>
      <c r="BJ76" s="132"/>
      <c r="BK76" s="132"/>
      <c r="BL76" s="135"/>
      <c r="BM76" s="136"/>
      <c r="BN76" s="132"/>
      <c r="BO76" s="132"/>
      <c r="BP76" s="135"/>
      <c r="BQ76" s="136"/>
      <c r="BR76" s="137"/>
      <c r="BS76" s="132"/>
      <c r="BT76" s="132"/>
      <c r="BU76" s="132"/>
      <c r="BV76" s="132"/>
      <c r="BW76" s="135"/>
      <c r="BX76" s="136"/>
      <c r="BY76" s="132"/>
      <c r="BZ76" s="132"/>
      <c r="CA76" s="135"/>
      <c r="CB76" s="136"/>
      <c r="CC76" s="132"/>
      <c r="CD76" s="132"/>
      <c r="CE76" s="132"/>
      <c r="CF76" s="132"/>
      <c r="CG76" s="135"/>
      <c r="CH76" s="136"/>
      <c r="CI76" s="136"/>
      <c r="CJ76" s="132"/>
      <c r="CK76" s="132"/>
      <c r="CL76" s="135"/>
      <c r="CM76" s="136"/>
      <c r="CN76" s="132"/>
      <c r="CO76" s="132"/>
      <c r="CP76" s="132"/>
      <c r="CQ76" s="132"/>
      <c r="CR76" s="137"/>
      <c r="CS76" s="132"/>
      <c r="CT76" s="132"/>
      <c r="CU76" s="132"/>
      <c r="CV76" s="137"/>
      <c r="CW76" s="132"/>
      <c r="CX76" s="132"/>
      <c r="CY76" s="132"/>
      <c r="CZ76" s="132"/>
      <c r="DA76" s="132"/>
      <c r="DB76" s="132"/>
      <c r="DC76" s="137"/>
      <c r="DD76" s="132"/>
      <c r="DE76" s="132"/>
      <c r="DF76" s="132"/>
      <c r="DG76" s="132">
        <f t="shared" si="3"/>
        <v>0</v>
      </c>
    </row>
    <row r="77" spans="1:111" s="125" customFormat="1" ht="17.100000000000001" customHeight="1" x14ac:dyDescent="0.25">
      <c r="A77" s="126"/>
      <c r="B77" s="127"/>
      <c r="C77" s="128"/>
      <c r="D77" s="143"/>
      <c r="E77" s="130"/>
      <c r="F77" s="144"/>
      <c r="G77" s="138"/>
      <c r="H77" s="132"/>
      <c r="I77" s="133"/>
      <c r="J77" s="134"/>
      <c r="K77" s="132"/>
      <c r="L77" s="155"/>
      <c r="M77" s="134"/>
      <c r="N77" s="133"/>
      <c r="O77" s="134"/>
      <c r="P77" s="133"/>
      <c r="Q77" s="134"/>
      <c r="R77" s="132"/>
      <c r="S77" s="132"/>
      <c r="T77" s="133"/>
      <c r="U77" s="134"/>
      <c r="V77" s="132"/>
      <c r="W77" s="135"/>
      <c r="X77" s="136"/>
      <c r="Y77" s="132"/>
      <c r="Z77" s="132"/>
      <c r="AA77" s="132"/>
      <c r="AB77" s="132"/>
      <c r="AC77" s="132"/>
      <c r="AD77" s="135"/>
      <c r="AE77" s="136"/>
      <c r="AF77" s="132"/>
      <c r="AG77" s="137"/>
      <c r="AH77" s="132"/>
      <c r="AI77" s="132"/>
      <c r="AJ77" s="132"/>
      <c r="AK77" s="132"/>
      <c r="AL77" s="132"/>
      <c r="AM77" s="132"/>
      <c r="AN77" s="132"/>
      <c r="AO77" s="132"/>
      <c r="AP77" s="135"/>
      <c r="AQ77" s="136"/>
      <c r="AR77" s="132"/>
      <c r="AS77" s="132"/>
      <c r="AT77" s="132"/>
      <c r="AU77" s="135"/>
      <c r="AV77" s="136"/>
      <c r="AW77" s="132"/>
      <c r="AX77" s="132"/>
      <c r="AY77" s="135"/>
      <c r="AZ77" s="136"/>
      <c r="BA77" s="132"/>
      <c r="BB77" s="132"/>
      <c r="BC77" s="135"/>
      <c r="BD77" s="136"/>
      <c r="BE77" s="132"/>
      <c r="BF77" s="132"/>
      <c r="BG77" s="135"/>
      <c r="BH77" s="136"/>
      <c r="BI77" s="132"/>
      <c r="BJ77" s="132"/>
      <c r="BK77" s="132"/>
      <c r="BL77" s="135"/>
      <c r="BM77" s="136"/>
      <c r="BN77" s="132"/>
      <c r="BO77" s="132"/>
      <c r="BP77" s="135"/>
      <c r="BQ77" s="136"/>
      <c r="BR77" s="137"/>
      <c r="BS77" s="132"/>
      <c r="BT77" s="132"/>
      <c r="BU77" s="132"/>
      <c r="BV77" s="132"/>
      <c r="BW77" s="135"/>
      <c r="BX77" s="136"/>
      <c r="BY77" s="132"/>
      <c r="BZ77" s="132"/>
      <c r="CA77" s="135"/>
      <c r="CB77" s="136"/>
      <c r="CC77" s="132"/>
      <c r="CD77" s="132"/>
      <c r="CE77" s="132"/>
      <c r="CF77" s="132"/>
      <c r="CG77" s="145"/>
      <c r="CH77" s="146"/>
      <c r="CI77" s="136"/>
      <c r="CJ77" s="140"/>
      <c r="CK77" s="132"/>
      <c r="CL77" s="145"/>
      <c r="CM77" s="146"/>
      <c r="CN77" s="132"/>
      <c r="CO77" s="132"/>
      <c r="CP77" s="132"/>
      <c r="CQ77" s="132"/>
      <c r="CR77" s="137"/>
      <c r="CS77" s="132"/>
      <c r="CT77" s="132"/>
      <c r="CU77" s="132"/>
      <c r="CV77" s="137"/>
      <c r="CW77" s="132"/>
      <c r="CX77" s="132"/>
      <c r="CY77" s="132"/>
      <c r="CZ77" s="132"/>
      <c r="DA77" s="132"/>
      <c r="DB77" s="132"/>
      <c r="DC77" s="141"/>
      <c r="DD77" s="132"/>
      <c r="DE77" s="132"/>
      <c r="DF77" s="132"/>
      <c r="DG77" s="132">
        <f t="shared" si="3"/>
        <v>0</v>
      </c>
    </row>
    <row r="78" spans="1:111" s="125" customFormat="1" ht="17.100000000000001" customHeight="1" x14ac:dyDescent="0.25">
      <c r="A78" s="126"/>
      <c r="B78" s="127"/>
      <c r="C78" s="128"/>
      <c r="D78" s="129"/>
      <c r="E78" s="130"/>
      <c r="F78" s="128"/>
      <c r="G78" s="131"/>
      <c r="H78" s="132"/>
      <c r="I78" s="133"/>
      <c r="J78" s="134"/>
      <c r="K78" s="132"/>
      <c r="L78" s="133"/>
      <c r="M78" s="134"/>
      <c r="N78" s="133"/>
      <c r="O78" s="134"/>
      <c r="P78" s="133"/>
      <c r="Q78" s="134"/>
      <c r="R78" s="132"/>
      <c r="S78" s="132"/>
      <c r="T78" s="133"/>
      <c r="U78" s="134"/>
      <c r="V78" s="132"/>
      <c r="W78" s="135"/>
      <c r="X78" s="136"/>
      <c r="Y78" s="132"/>
      <c r="Z78" s="132"/>
      <c r="AA78" s="132"/>
      <c r="AB78" s="132"/>
      <c r="AC78" s="132"/>
      <c r="AD78" s="135"/>
      <c r="AE78" s="136"/>
      <c r="AF78" s="132"/>
      <c r="AG78" s="137"/>
      <c r="AH78" s="132"/>
      <c r="AI78" s="132"/>
      <c r="AJ78" s="132"/>
      <c r="AK78" s="132"/>
      <c r="AL78" s="132"/>
      <c r="AM78" s="132"/>
      <c r="AN78" s="132"/>
      <c r="AO78" s="132"/>
      <c r="AP78" s="135"/>
      <c r="AQ78" s="136"/>
      <c r="AR78" s="132"/>
      <c r="AS78" s="132"/>
      <c r="AT78" s="132"/>
      <c r="AU78" s="135"/>
      <c r="AV78" s="136"/>
      <c r="AW78" s="132"/>
      <c r="AX78" s="132"/>
      <c r="AY78" s="135"/>
      <c r="AZ78" s="136"/>
      <c r="BA78" s="132"/>
      <c r="BB78" s="132"/>
      <c r="BC78" s="135"/>
      <c r="BD78" s="136"/>
      <c r="BE78" s="132"/>
      <c r="BF78" s="132"/>
      <c r="BG78" s="135"/>
      <c r="BH78" s="136"/>
      <c r="BI78" s="132"/>
      <c r="BJ78" s="132"/>
      <c r="BK78" s="132"/>
      <c r="BL78" s="135"/>
      <c r="BM78" s="136"/>
      <c r="BN78" s="132"/>
      <c r="BO78" s="132"/>
      <c r="BP78" s="135"/>
      <c r="BQ78" s="136"/>
      <c r="BR78" s="137"/>
      <c r="BS78" s="132"/>
      <c r="BT78" s="132"/>
      <c r="BU78" s="132"/>
      <c r="BV78" s="132"/>
      <c r="BW78" s="135"/>
      <c r="BX78" s="136"/>
      <c r="BY78" s="132"/>
      <c r="BZ78" s="132"/>
      <c r="CA78" s="135"/>
      <c r="CB78" s="136"/>
      <c r="CC78" s="132"/>
      <c r="CD78" s="132"/>
      <c r="CE78" s="132"/>
      <c r="CF78" s="132"/>
      <c r="CG78" s="135"/>
      <c r="CH78" s="136"/>
      <c r="CI78" s="136"/>
      <c r="CJ78" s="132"/>
      <c r="CK78" s="132"/>
      <c r="CL78" s="135"/>
      <c r="CM78" s="136"/>
      <c r="CN78" s="132"/>
      <c r="CO78" s="132"/>
      <c r="CP78" s="132"/>
      <c r="CQ78" s="132"/>
      <c r="CR78" s="137"/>
      <c r="CS78" s="132"/>
      <c r="CT78" s="132"/>
      <c r="CU78" s="132"/>
      <c r="CV78" s="137"/>
      <c r="CW78" s="132"/>
      <c r="CX78" s="132"/>
      <c r="CY78" s="132"/>
      <c r="CZ78" s="132"/>
      <c r="DA78" s="132"/>
      <c r="DB78" s="132"/>
      <c r="DC78" s="137"/>
      <c r="DD78" s="132"/>
      <c r="DE78" s="132"/>
      <c r="DF78" s="132"/>
      <c r="DG78" s="132">
        <f t="shared" si="3"/>
        <v>0</v>
      </c>
    </row>
    <row r="79" spans="1:111" s="125" customFormat="1" ht="17.100000000000001" customHeight="1" x14ac:dyDescent="0.25">
      <c r="A79" s="126"/>
      <c r="B79" s="127"/>
      <c r="C79" s="128"/>
      <c r="D79" s="143"/>
      <c r="E79" s="130"/>
      <c r="F79" s="128"/>
      <c r="G79" s="131"/>
      <c r="H79" s="132"/>
      <c r="I79" s="133"/>
      <c r="J79" s="134"/>
      <c r="K79" s="132"/>
      <c r="L79" s="133"/>
      <c r="M79" s="134"/>
      <c r="N79" s="133"/>
      <c r="O79" s="134"/>
      <c r="P79" s="133"/>
      <c r="Q79" s="134"/>
      <c r="R79" s="132"/>
      <c r="S79" s="132"/>
      <c r="T79" s="133"/>
      <c r="U79" s="134"/>
      <c r="V79" s="132"/>
      <c r="W79" s="135"/>
      <c r="X79" s="136"/>
      <c r="Y79" s="132"/>
      <c r="Z79" s="132"/>
      <c r="AA79" s="132"/>
      <c r="AB79" s="132"/>
      <c r="AC79" s="132"/>
      <c r="AD79" s="135"/>
      <c r="AE79" s="136"/>
      <c r="AF79" s="132"/>
      <c r="AG79" s="137"/>
      <c r="AH79" s="132"/>
      <c r="AI79" s="132"/>
      <c r="AJ79" s="132"/>
      <c r="AK79" s="132"/>
      <c r="AL79" s="132"/>
      <c r="AM79" s="132"/>
      <c r="AN79" s="132"/>
      <c r="AO79" s="132"/>
      <c r="AP79" s="135"/>
      <c r="AQ79" s="136"/>
      <c r="AR79" s="132"/>
      <c r="AS79" s="132"/>
      <c r="AT79" s="132"/>
      <c r="AU79" s="135"/>
      <c r="AV79" s="136"/>
      <c r="AW79" s="132"/>
      <c r="AX79" s="132"/>
      <c r="AY79" s="135"/>
      <c r="AZ79" s="136"/>
      <c r="BA79" s="132"/>
      <c r="BB79" s="132"/>
      <c r="BC79" s="135"/>
      <c r="BD79" s="136"/>
      <c r="BE79" s="132"/>
      <c r="BF79" s="132"/>
      <c r="BG79" s="135"/>
      <c r="BH79" s="136"/>
      <c r="BI79" s="132"/>
      <c r="BJ79" s="132"/>
      <c r="BK79" s="132"/>
      <c r="BL79" s="135"/>
      <c r="BM79" s="136"/>
      <c r="BN79" s="132"/>
      <c r="BO79" s="132"/>
      <c r="BP79" s="135"/>
      <c r="BQ79" s="136"/>
      <c r="BR79" s="137"/>
      <c r="BS79" s="132"/>
      <c r="BT79" s="132"/>
      <c r="BU79" s="132"/>
      <c r="BV79" s="132"/>
      <c r="BW79" s="135"/>
      <c r="BX79" s="136"/>
      <c r="BY79" s="132"/>
      <c r="BZ79" s="132"/>
      <c r="CA79" s="135"/>
      <c r="CB79" s="136"/>
      <c r="CC79" s="132"/>
      <c r="CD79" s="132"/>
      <c r="CE79" s="132"/>
      <c r="CF79" s="132"/>
      <c r="CG79" s="135"/>
      <c r="CH79" s="136"/>
      <c r="CI79" s="136"/>
      <c r="CJ79" s="132"/>
      <c r="CK79" s="132"/>
      <c r="CL79" s="135"/>
      <c r="CM79" s="136"/>
      <c r="CN79" s="132"/>
      <c r="CO79" s="132"/>
      <c r="CP79" s="132"/>
      <c r="CQ79" s="132"/>
      <c r="CR79" s="137"/>
      <c r="CS79" s="132"/>
      <c r="CT79" s="132"/>
      <c r="CU79" s="132"/>
      <c r="CV79" s="137"/>
      <c r="CW79" s="132"/>
      <c r="CX79" s="132"/>
      <c r="CY79" s="132"/>
      <c r="CZ79" s="132"/>
      <c r="DA79" s="132"/>
      <c r="DB79" s="132"/>
      <c r="DC79" s="137"/>
      <c r="DD79" s="132"/>
      <c r="DE79" s="132"/>
      <c r="DF79" s="132"/>
      <c r="DG79" s="132">
        <f t="shared" si="3"/>
        <v>0</v>
      </c>
    </row>
    <row r="80" spans="1:111" s="125" customFormat="1" ht="17.100000000000001" customHeight="1" x14ac:dyDescent="0.25">
      <c r="A80" s="126"/>
      <c r="B80" s="127"/>
      <c r="C80" s="128"/>
      <c r="D80" s="129"/>
      <c r="E80" s="130"/>
      <c r="F80" s="144"/>
      <c r="G80" s="138"/>
      <c r="H80" s="132"/>
      <c r="I80" s="133"/>
      <c r="J80" s="134"/>
      <c r="K80" s="132"/>
      <c r="L80" s="133"/>
      <c r="M80" s="134"/>
      <c r="N80" s="133"/>
      <c r="O80" s="134"/>
      <c r="P80" s="133"/>
      <c r="Q80" s="134"/>
      <c r="R80" s="132"/>
      <c r="S80" s="132"/>
      <c r="T80" s="155"/>
      <c r="U80" s="139"/>
      <c r="V80" s="132"/>
      <c r="W80" s="135"/>
      <c r="X80" s="136"/>
      <c r="Y80" s="132"/>
      <c r="Z80" s="132"/>
      <c r="AA80" s="132"/>
      <c r="AB80" s="132"/>
      <c r="AC80" s="132"/>
      <c r="AD80" s="135"/>
      <c r="AE80" s="136"/>
      <c r="AF80" s="132"/>
      <c r="AG80" s="137"/>
      <c r="AH80" s="132"/>
      <c r="AI80" s="132"/>
      <c r="AJ80" s="132"/>
      <c r="AK80" s="132"/>
      <c r="AL80" s="132"/>
      <c r="AM80" s="132"/>
      <c r="AN80" s="132"/>
      <c r="AO80" s="132"/>
      <c r="AP80" s="135"/>
      <c r="AQ80" s="136"/>
      <c r="AR80" s="132"/>
      <c r="AS80" s="132"/>
      <c r="AT80" s="132"/>
      <c r="AU80" s="135"/>
      <c r="AV80" s="136"/>
      <c r="AW80" s="132"/>
      <c r="AX80" s="132"/>
      <c r="AY80" s="135"/>
      <c r="AZ80" s="136"/>
      <c r="BA80" s="132"/>
      <c r="BB80" s="132"/>
      <c r="BC80" s="135"/>
      <c r="BD80" s="136"/>
      <c r="BE80" s="132"/>
      <c r="BF80" s="132"/>
      <c r="BG80" s="135"/>
      <c r="BH80" s="136"/>
      <c r="BI80" s="132"/>
      <c r="BJ80" s="132"/>
      <c r="BK80" s="132"/>
      <c r="BL80" s="135"/>
      <c r="BM80" s="136"/>
      <c r="BN80" s="132"/>
      <c r="BO80" s="132"/>
      <c r="BP80" s="135"/>
      <c r="BQ80" s="136"/>
      <c r="BR80" s="137"/>
      <c r="BS80" s="132"/>
      <c r="BT80" s="132"/>
      <c r="BU80" s="132"/>
      <c r="BV80" s="132"/>
      <c r="BW80" s="145"/>
      <c r="BX80" s="136"/>
      <c r="BY80" s="132"/>
      <c r="BZ80" s="132"/>
      <c r="CA80" s="135"/>
      <c r="CB80" s="136"/>
      <c r="CC80" s="132"/>
      <c r="CD80" s="132"/>
      <c r="CE80" s="132"/>
      <c r="CF80" s="132"/>
      <c r="CG80" s="145"/>
      <c r="CH80" s="136"/>
      <c r="CI80" s="136"/>
      <c r="CJ80" s="132"/>
      <c r="CK80" s="132"/>
      <c r="CL80" s="145"/>
      <c r="CM80" s="136"/>
      <c r="CN80" s="132"/>
      <c r="CO80" s="132"/>
      <c r="CP80" s="132"/>
      <c r="CQ80" s="132"/>
      <c r="CR80" s="137"/>
      <c r="CS80" s="132"/>
      <c r="CT80" s="132"/>
      <c r="CU80" s="132"/>
      <c r="CV80" s="137"/>
      <c r="CW80" s="132"/>
      <c r="CX80" s="132"/>
      <c r="CY80" s="132"/>
      <c r="CZ80" s="132"/>
      <c r="DA80" s="132"/>
      <c r="DB80" s="132"/>
      <c r="DC80" s="141"/>
      <c r="DD80" s="132"/>
      <c r="DE80" s="132"/>
      <c r="DF80" s="132"/>
      <c r="DG80" s="132">
        <f t="shared" si="3"/>
        <v>0</v>
      </c>
    </row>
    <row r="81" spans="1:111" s="125" customFormat="1" ht="17.100000000000001" customHeight="1" x14ac:dyDescent="0.25">
      <c r="A81" s="126"/>
      <c r="B81" s="127"/>
      <c r="C81" s="128"/>
      <c r="D81" s="143"/>
      <c r="E81" s="130"/>
      <c r="F81" s="128"/>
      <c r="G81" s="131"/>
      <c r="H81" s="132"/>
      <c r="I81" s="133"/>
      <c r="J81" s="134"/>
      <c r="K81" s="132"/>
      <c r="L81" s="133"/>
      <c r="M81" s="134"/>
      <c r="N81" s="133"/>
      <c r="O81" s="134"/>
      <c r="P81" s="133"/>
      <c r="Q81" s="134"/>
      <c r="R81" s="132"/>
      <c r="S81" s="132"/>
      <c r="T81" s="133"/>
      <c r="U81" s="134"/>
      <c r="V81" s="132"/>
      <c r="W81" s="135"/>
      <c r="X81" s="136"/>
      <c r="Y81" s="132"/>
      <c r="Z81" s="132"/>
      <c r="AA81" s="132"/>
      <c r="AB81" s="132"/>
      <c r="AC81" s="132"/>
      <c r="AD81" s="135"/>
      <c r="AE81" s="136"/>
      <c r="AF81" s="132"/>
      <c r="AG81" s="137"/>
      <c r="AH81" s="132"/>
      <c r="AI81" s="132"/>
      <c r="AJ81" s="132"/>
      <c r="AK81" s="132"/>
      <c r="AL81" s="132"/>
      <c r="AM81" s="132"/>
      <c r="AN81" s="132"/>
      <c r="AO81" s="132"/>
      <c r="AP81" s="135"/>
      <c r="AQ81" s="136"/>
      <c r="AR81" s="132"/>
      <c r="AS81" s="132"/>
      <c r="AT81" s="132"/>
      <c r="AU81" s="135"/>
      <c r="AV81" s="136"/>
      <c r="AW81" s="132"/>
      <c r="AX81" s="132"/>
      <c r="AY81" s="135"/>
      <c r="AZ81" s="136"/>
      <c r="BA81" s="132"/>
      <c r="BB81" s="132"/>
      <c r="BC81" s="135"/>
      <c r="BD81" s="136"/>
      <c r="BE81" s="132"/>
      <c r="BF81" s="132"/>
      <c r="BG81" s="135"/>
      <c r="BH81" s="136"/>
      <c r="BI81" s="132"/>
      <c r="BJ81" s="132"/>
      <c r="BK81" s="132"/>
      <c r="BL81" s="135"/>
      <c r="BM81" s="136"/>
      <c r="BN81" s="132"/>
      <c r="BO81" s="132"/>
      <c r="BP81" s="135"/>
      <c r="BQ81" s="136"/>
      <c r="BR81" s="137"/>
      <c r="BS81" s="132"/>
      <c r="BT81" s="132"/>
      <c r="BU81" s="132"/>
      <c r="BV81" s="132"/>
      <c r="BW81" s="135"/>
      <c r="BX81" s="136"/>
      <c r="BY81" s="132"/>
      <c r="BZ81" s="132"/>
      <c r="CA81" s="135"/>
      <c r="CB81" s="136"/>
      <c r="CC81" s="132"/>
      <c r="CD81" s="132"/>
      <c r="CE81" s="132"/>
      <c r="CF81" s="132"/>
      <c r="CG81" s="135"/>
      <c r="CH81" s="136"/>
      <c r="CI81" s="136"/>
      <c r="CJ81" s="132"/>
      <c r="CK81" s="132"/>
      <c r="CL81" s="135"/>
      <c r="CM81" s="136"/>
      <c r="CN81" s="132"/>
      <c r="CO81" s="132"/>
      <c r="CP81" s="132"/>
      <c r="CQ81" s="132"/>
      <c r="CR81" s="137"/>
      <c r="CS81" s="132"/>
      <c r="CT81" s="132"/>
      <c r="CU81" s="132"/>
      <c r="CV81" s="137"/>
      <c r="CW81" s="132"/>
      <c r="CX81" s="132"/>
      <c r="CY81" s="132"/>
      <c r="CZ81" s="132"/>
      <c r="DA81" s="132"/>
      <c r="DB81" s="132"/>
      <c r="DC81" s="137"/>
      <c r="DD81" s="132"/>
      <c r="DE81" s="132"/>
      <c r="DF81" s="132"/>
      <c r="DG81" s="132">
        <f t="shared" si="3"/>
        <v>0</v>
      </c>
    </row>
    <row r="82" spans="1:111" s="125" customFormat="1" ht="17.100000000000001" customHeight="1" x14ac:dyDescent="0.25">
      <c r="A82" s="126"/>
      <c r="B82" s="127"/>
      <c r="C82" s="128"/>
      <c r="D82" s="129"/>
      <c r="E82" s="130"/>
      <c r="F82" s="144"/>
      <c r="G82" s="138"/>
      <c r="H82" s="132"/>
      <c r="I82" s="133"/>
      <c r="J82" s="139"/>
      <c r="K82" s="132"/>
      <c r="L82" s="155"/>
      <c r="M82" s="134"/>
      <c r="N82" s="155"/>
      <c r="O82" s="134"/>
      <c r="P82" s="133"/>
      <c r="Q82" s="134"/>
      <c r="R82" s="132"/>
      <c r="S82" s="132"/>
      <c r="T82" s="133"/>
      <c r="U82" s="134"/>
      <c r="V82" s="132"/>
      <c r="W82" s="135"/>
      <c r="X82" s="136"/>
      <c r="Y82" s="132"/>
      <c r="Z82" s="132"/>
      <c r="AA82" s="132"/>
      <c r="AB82" s="132"/>
      <c r="AC82" s="132"/>
      <c r="AD82" s="135"/>
      <c r="AE82" s="136"/>
      <c r="AF82" s="140"/>
      <c r="AG82" s="137"/>
      <c r="AH82" s="132"/>
      <c r="AI82" s="132"/>
      <c r="AJ82" s="132"/>
      <c r="AK82" s="132"/>
      <c r="AL82" s="132"/>
      <c r="AM82" s="132"/>
      <c r="AN82" s="132"/>
      <c r="AO82" s="132"/>
      <c r="AP82" s="135"/>
      <c r="AQ82" s="136"/>
      <c r="AR82" s="132"/>
      <c r="AS82" s="132"/>
      <c r="AT82" s="132"/>
      <c r="AU82" s="135"/>
      <c r="AV82" s="136"/>
      <c r="AW82" s="132"/>
      <c r="AX82" s="132"/>
      <c r="AY82" s="135"/>
      <c r="AZ82" s="136"/>
      <c r="BA82" s="132"/>
      <c r="BB82" s="132"/>
      <c r="BC82" s="135"/>
      <c r="BD82" s="136"/>
      <c r="BE82" s="132"/>
      <c r="BF82" s="132"/>
      <c r="BG82" s="135"/>
      <c r="BH82" s="136"/>
      <c r="BI82" s="132"/>
      <c r="BJ82" s="132"/>
      <c r="BK82" s="132"/>
      <c r="BL82" s="135"/>
      <c r="BM82" s="136"/>
      <c r="BN82" s="132"/>
      <c r="BO82" s="132"/>
      <c r="BP82" s="135"/>
      <c r="BQ82" s="136"/>
      <c r="BR82" s="137"/>
      <c r="BS82" s="132"/>
      <c r="BT82" s="132"/>
      <c r="BU82" s="132"/>
      <c r="BV82" s="132"/>
      <c r="BW82" s="135"/>
      <c r="BX82" s="136"/>
      <c r="BY82" s="132"/>
      <c r="BZ82" s="132"/>
      <c r="CA82" s="135"/>
      <c r="CB82" s="136"/>
      <c r="CC82" s="132"/>
      <c r="CD82" s="132"/>
      <c r="CE82" s="132"/>
      <c r="CF82" s="132"/>
      <c r="CG82" s="145"/>
      <c r="CH82" s="136"/>
      <c r="CI82" s="136"/>
      <c r="CJ82" s="132"/>
      <c r="CK82" s="132"/>
      <c r="CL82" s="145"/>
      <c r="CM82" s="146"/>
      <c r="CN82" s="132"/>
      <c r="CO82" s="132"/>
      <c r="CP82" s="132"/>
      <c r="CQ82" s="132"/>
      <c r="CR82" s="137"/>
      <c r="CS82" s="132"/>
      <c r="CT82" s="132"/>
      <c r="CU82" s="132"/>
      <c r="CV82" s="137"/>
      <c r="CW82" s="132"/>
      <c r="CX82" s="132"/>
      <c r="CY82" s="132"/>
      <c r="CZ82" s="132"/>
      <c r="DA82" s="132"/>
      <c r="DB82" s="132"/>
      <c r="DC82" s="137"/>
      <c r="DD82" s="132"/>
      <c r="DE82" s="132"/>
      <c r="DF82" s="132"/>
      <c r="DG82" s="132">
        <f t="shared" si="3"/>
        <v>0</v>
      </c>
    </row>
    <row r="83" spans="1:111" s="125" customFormat="1" ht="17.100000000000001" customHeight="1" x14ac:dyDescent="0.25">
      <c r="A83" s="126"/>
      <c r="B83" s="127"/>
      <c r="C83" s="128"/>
      <c r="D83" s="129"/>
      <c r="E83" s="130"/>
      <c r="F83" s="128"/>
      <c r="G83" s="131"/>
      <c r="H83" s="132"/>
      <c r="I83" s="133"/>
      <c r="J83" s="134"/>
      <c r="K83" s="132"/>
      <c r="L83" s="133"/>
      <c r="M83" s="134"/>
      <c r="N83" s="133"/>
      <c r="O83" s="134"/>
      <c r="P83" s="133"/>
      <c r="Q83" s="134"/>
      <c r="R83" s="132"/>
      <c r="S83" s="132"/>
      <c r="T83" s="133"/>
      <c r="U83" s="134"/>
      <c r="V83" s="132"/>
      <c r="W83" s="135"/>
      <c r="X83" s="136"/>
      <c r="Y83" s="132"/>
      <c r="Z83" s="132"/>
      <c r="AA83" s="132"/>
      <c r="AB83" s="132"/>
      <c r="AC83" s="132"/>
      <c r="AD83" s="135"/>
      <c r="AE83" s="136"/>
      <c r="AF83" s="132"/>
      <c r="AG83" s="137"/>
      <c r="AH83" s="132"/>
      <c r="AI83" s="132"/>
      <c r="AJ83" s="132"/>
      <c r="AK83" s="132"/>
      <c r="AL83" s="132"/>
      <c r="AM83" s="132"/>
      <c r="AN83" s="132"/>
      <c r="AO83" s="132"/>
      <c r="AP83" s="135"/>
      <c r="AQ83" s="136"/>
      <c r="AR83" s="132"/>
      <c r="AS83" s="132"/>
      <c r="AT83" s="132"/>
      <c r="AU83" s="135"/>
      <c r="AV83" s="136"/>
      <c r="AW83" s="132"/>
      <c r="AX83" s="132"/>
      <c r="AY83" s="135"/>
      <c r="AZ83" s="136"/>
      <c r="BA83" s="132"/>
      <c r="BB83" s="132"/>
      <c r="BC83" s="135"/>
      <c r="BD83" s="136"/>
      <c r="BE83" s="132"/>
      <c r="BF83" s="132"/>
      <c r="BG83" s="135"/>
      <c r="BH83" s="136"/>
      <c r="BI83" s="132"/>
      <c r="BJ83" s="132"/>
      <c r="BK83" s="132"/>
      <c r="BL83" s="135"/>
      <c r="BM83" s="136"/>
      <c r="BN83" s="132"/>
      <c r="BO83" s="132"/>
      <c r="BP83" s="135"/>
      <c r="BQ83" s="136"/>
      <c r="BR83" s="137"/>
      <c r="BS83" s="132"/>
      <c r="BT83" s="132"/>
      <c r="BU83" s="132"/>
      <c r="BV83" s="132"/>
      <c r="BW83" s="135"/>
      <c r="BX83" s="136"/>
      <c r="BY83" s="132"/>
      <c r="BZ83" s="132"/>
      <c r="CA83" s="135"/>
      <c r="CB83" s="136"/>
      <c r="CC83" s="132"/>
      <c r="CD83" s="132"/>
      <c r="CE83" s="132"/>
      <c r="CF83" s="132"/>
      <c r="CG83" s="135"/>
      <c r="CH83" s="136"/>
      <c r="CI83" s="136"/>
      <c r="CJ83" s="132"/>
      <c r="CK83" s="132"/>
      <c r="CL83" s="135"/>
      <c r="CM83" s="136"/>
      <c r="CN83" s="132"/>
      <c r="CO83" s="132"/>
      <c r="CP83" s="132"/>
      <c r="CQ83" s="132"/>
      <c r="CR83" s="137"/>
      <c r="CS83" s="132"/>
      <c r="CT83" s="132"/>
      <c r="CU83" s="132"/>
      <c r="CV83" s="137"/>
      <c r="CW83" s="132"/>
      <c r="CX83" s="132"/>
      <c r="CY83" s="132"/>
      <c r="CZ83" s="132"/>
      <c r="DA83" s="132"/>
      <c r="DB83" s="132"/>
      <c r="DC83" s="137"/>
      <c r="DD83" s="132"/>
      <c r="DE83" s="132"/>
      <c r="DF83" s="132"/>
      <c r="DG83" s="132">
        <f t="shared" si="3"/>
        <v>0</v>
      </c>
    </row>
    <row r="84" spans="1:111" s="125" customFormat="1" ht="17.100000000000001" customHeight="1" x14ac:dyDescent="0.25">
      <c r="A84" s="126"/>
      <c r="B84" s="127"/>
      <c r="C84" s="128"/>
      <c r="D84" s="129"/>
      <c r="E84" s="130"/>
      <c r="F84" s="128"/>
      <c r="G84" s="138"/>
      <c r="H84" s="132"/>
      <c r="I84" s="133"/>
      <c r="J84" s="134"/>
      <c r="K84" s="132"/>
      <c r="L84" s="133"/>
      <c r="M84" s="134"/>
      <c r="N84" s="133"/>
      <c r="O84" s="134"/>
      <c r="P84" s="133"/>
      <c r="Q84" s="134"/>
      <c r="R84" s="132"/>
      <c r="S84" s="132"/>
      <c r="T84" s="133"/>
      <c r="U84" s="134"/>
      <c r="V84" s="132"/>
      <c r="W84" s="135"/>
      <c r="X84" s="136"/>
      <c r="Y84" s="132"/>
      <c r="Z84" s="132"/>
      <c r="AA84" s="132"/>
      <c r="AB84" s="132"/>
      <c r="AC84" s="132"/>
      <c r="AD84" s="135"/>
      <c r="AE84" s="136"/>
      <c r="AF84" s="132"/>
      <c r="AG84" s="137"/>
      <c r="AH84" s="132"/>
      <c r="AI84" s="132"/>
      <c r="AJ84" s="132"/>
      <c r="AK84" s="132"/>
      <c r="AL84" s="132"/>
      <c r="AM84" s="132"/>
      <c r="AN84" s="132"/>
      <c r="AO84" s="132"/>
      <c r="AP84" s="135"/>
      <c r="AQ84" s="136"/>
      <c r="AR84" s="132"/>
      <c r="AS84" s="132"/>
      <c r="AT84" s="132"/>
      <c r="AU84" s="135"/>
      <c r="AV84" s="136"/>
      <c r="AW84" s="132"/>
      <c r="AX84" s="132"/>
      <c r="AY84" s="135"/>
      <c r="AZ84" s="136"/>
      <c r="BA84" s="132"/>
      <c r="BB84" s="132"/>
      <c r="BC84" s="135"/>
      <c r="BD84" s="136"/>
      <c r="BE84" s="132"/>
      <c r="BF84" s="132"/>
      <c r="BG84" s="135"/>
      <c r="BH84" s="136"/>
      <c r="BI84" s="132"/>
      <c r="BJ84" s="132"/>
      <c r="BK84" s="132"/>
      <c r="BL84" s="135"/>
      <c r="BM84" s="136"/>
      <c r="BN84" s="132"/>
      <c r="BO84" s="132"/>
      <c r="BP84" s="135"/>
      <c r="BQ84" s="136"/>
      <c r="BR84" s="137"/>
      <c r="BS84" s="132"/>
      <c r="BT84" s="132"/>
      <c r="BU84" s="132"/>
      <c r="BV84" s="132"/>
      <c r="BW84" s="135"/>
      <c r="BX84" s="136"/>
      <c r="BY84" s="132"/>
      <c r="BZ84" s="132"/>
      <c r="CA84" s="135"/>
      <c r="CB84" s="136"/>
      <c r="CC84" s="132"/>
      <c r="CD84" s="132"/>
      <c r="CE84" s="132"/>
      <c r="CF84" s="132"/>
      <c r="CG84" s="135"/>
      <c r="CH84" s="136"/>
      <c r="CI84" s="136"/>
      <c r="CJ84" s="132"/>
      <c r="CK84" s="132"/>
      <c r="CL84" s="135"/>
      <c r="CM84" s="136"/>
      <c r="CN84" s="132"/>
      <c r="CO84" s="132"/>
      <c r="CP84" s="132"/>
      <c r="CQ84" s="132"/>
      <c r="CR84" s="137"/>
      <c r="CS84" s="132"/>
      <c r="CT84" s="132"/>
      <c r="CU84" s="132"/>
      <c r="CV84" s="137"/>
      <c r="CW84" s="132"/>
      <c r="CX84" s="132"/>
      <c r="CY84" s="132"/>
      <c r="CZ84" s="132"/>
      <c r="DA84" s="132"/>
      <c r="DB84" s="132"/>
      <c r="DC84" s="137"/>
      <c r="DD84" s="132"/>
      <c r="DE84" s="132"/>
      <c r="DF84" s="132"/>
      <c r="DG84" s="132">
        <f t="shared" si="3"/>
        <v>0</v>
      </c>
    </row>
    <row r="85" spans="1:111" s="125" customFormat="1" ht="17.100000000000001" customHeight="1" x14ac:dyDescent="0.25">
      <c r="A85" s="126"/>
      <c r="B85" s="127"/>
      <c r="C85" s="128"/>
      <c r="D85" s="143"/>
      <c r="E85" s="130"/>
      <c r="F85" s="144"/>
      <c r="G85" s="138"/>
      <c r="H85" s="132"/>
      <c r="I85" s="133"/>
      <c r="J85" s="134"/>
      <c r="K85" s="132"/>
      <c r="L85" s="133"/>
      <c r="M85" s="134"/>
      <c r="N85" s="133"/>
      <c r="O85" s="134"/>
      <c r="P85" s="133"/>
      <c r="Q85" s="134"/>
      <c r="R85" s="132"/>
      <c r="S85" s="132"/>
      <c r="T85" s="133"/>
      <c r="U85" s="134"/>
      <c r="V85" s="132"/>
      <c r="W85" s="135"/>
      <c r="X85" s="136"/>
      <c r="Y85" s="132"/>
      <c r="Z85" s="132"/>
      <c r="AA85" s="132"/>
      <c r="AB85" s="132"/>
      <c r="AC85" s="132"/>
      <c r="AD85" s="135"/>
      <c r="AE85" s="136"/>
      <c r="AF85" s="132"/>
      <c r="AG85" s="137"/>
      <c r="AH85" s="132"/>
      <c r="AI85" s="132"/>
      <c r="AJ85" s="132"/>
      <c r="AK85" s="132"/>
      <c r="AL85" s="132"/>
      <c r="AM85" s="132"/>
      <c r="AN85" s="132"/>
      <c r="AO85" s="132"/>
      <c r="AP85" s="135"/>
      <c r="AQ85" s="136"/>
      <c r="AR85" s="132"/>
      <c r="AS85" s="132"/>
      <c r="AT85" s="132"/>
      <c r="AU85" s="135"/>
      <c r="AV85" s="136"/>
      <c r="AW85" s="132"/>
      <c r="AX85" s="132"/>
      <c r="AY85" s="135"/>
      <c r="AZ85" s="136"/>
      <c r="BA85" s="132"/>
      <c r="BB85" s="132"/>
      <c r="BC85" s="135"/>
      <c r="BD85" s="136"/>
      <c r="BE85" s="132"/>
      <c r="BF85" s="132"/>
      <c r="BG85" s="135"/>
      <c r="BH85" s="136"/>
      <c r="BI85" s="132"/>
      <c r="BJ85" s="132"/>
      <c r="BK85" s="132"/>
      <c r="BL85" s="135"/>
      <c r="BM85" s="136"/>
      <c r="BN85" s="132"/>
      <c r="BO85" s="132"/>
      <c r="BP85" s="135"/>
      <c r="BQ85" s="136"/>
      <c r="BR85" s="137"/>
      <c r="BS85" s="132"/>
      <c r="BT85" s="132"/>
      <c r="BU85" s="132"/>
      <c r="BV85" s="132"/>
      <c r="BW85" s="135"/>
      <c r="BX85" s="136"/>
      <c r="BY85" s="132"/>
      <c r="BZ85" s="132"/>
      <c r="CA85" s="135"/>
      <c r="CB85" s="136"/>
      <c r="CC85" s="132"/>
      <c r="CD85" s="132"/>
      <c r="CE85" s="132"/>
      <c r="CF85" s="132"/>
      <c r="CG85" s="145"/>
      <c r="CH85" s="136"/>
      <c r="CI85" s="136"/>
      <c r="CJ85" s="132"/>
      <c r="CK85" s="132"/>
      <c r="CL85" s="145"/>
      <c r="CM85" s="136"/>
      <c r="CN85" s="132"/>
      <c r="CO85" s="132"/>
      <c r="CP85" s="132"/>
      <c r="CQ85" s="132"/>
      <c r="CR85" s="137"/>
      <c r="CS85" s="132"/>
      <c r="CT85" s="132"/>
      <c r="CU85" s="132"/>
      <c r="CV85" s="137"/>
      <c r="CW85" s="132"/>
      <c r="CX85" s="132"/>
      <c r="CY85" s="132"/>
      <c r="CZ85" s="132"/>
      <c r="DA85" s="132"/>
      <c r="DB85" s="132"/>
      <c r="DC85" s="137"/>
      <c r="DD85" s="132"/>
      <c r="DE85" s="132"/>
      <c r="DF85" s="132"/>
      <c r="DG85" s="132">
        <f t="shared" si="3"/>
        <v>0</v>
      </c>
    </row>
    <row r="86" spans="1:111" s="125" customFormat="1" ht="17.100000000000001" customHeight="1" x14ac:dyDescent="0.25">
      <c r="A86" s="126"/>
      <c r="B86" s="127"/>
      <c r="C86" s="128"/>
      <c r="D86" s="129"/>
      <c r="E86" s="130"/>
      <c r="F86" s="144"/>
      <c r="G86" s="138"/>
      <c r="H86" s="132"/>
      <c r="I86" s="133"/>
      <c r="J86" s="134"/>
      <c r="K86" s="132"/>
      <c r="L86" s="133"/>
      <c r="M86" s="134"/>
      <c r="N86" s="133"/>
      <c r="O86" s="134"/>
      <c r="P86" s="133"/>
      <c r="Q86" s="134"/>
      <c r="R86" s="132"/>
      <c r="S86" s="132"/>
      <c r="T86" s="133"/>
      <c r="U86" s="134"/>
      <c r="V86" s="132"/>
      <c r="W86" s="135"/>
      <c r="X86" s="136"/>
      <c r="Y86" s="132"/>
      <c r="Z86" s="132"/>
      <c r="AA86" s="132"/>
      <c r="AB86" s="132"/>
      <c r="AC86" s="132"/>
      <c r="AD86" s="135"/>
      <c r="AE86" s="136"/>
      <c r="AF86" s="132"/>
      <c r="AG86" s="137"/>
      <c r="AH86" s="132"/>
      <c r="AI86" s="132"/>
      <c r="AJ86" s="132"/>
      <c r="AK86" s="132"/>
      <c r="AL86" s="132"/>
      <c r="AM86" s="132"/>
      <c r="AN86" s="132"/>
      <c r="AO86" s="132"/>
      <c r="AP86" s="135"/>
      <c r="AQ86" s="136"/>
      <c r="AR86" s="132"/>
      <c r="AS86" s="132"/>
      <c r="AT86" s="132"/>
      <c r="AU86" s="135"/>
      <c r="AV86" s="136"/>
      <c r="AW86" s="132"/>
      <c r="AX86" s="132"/>
      <c r="AY86" s="135"/>
      <c r="AZ86" s="136"/>
      <c r="BA86" s="132"/>
      <c r="BB86" s="132"/>
      <c r="BC86" s="135"/>
      <c r="BD86" s="136"/>
      <c r="BE86" s="132"/>
      <c r="BF86" s="132"/>
      <c r="BG86" s="135"/>
      <c r="BH86" s="136"/>
      <c r="BI86" s="132"/>
      <c r="BJ86" s="132"/>
      <c r="BK86" s="132"/>
      <c r="BL86" s="135"/>
      <c r="BM86" s="136"/>
      <c r="BN86" s="132"/>
      <c r="BO86" s="132"/>
      <c r="BP86" s="135"/>
      <c r="BQ86" s="136"/>
      <c r="BR86" s="137"/>
      <c r="BS86" s="132"/>
      <c r="BT86" s="132"/>
      <c r="BU86" s="132"/>
      <c r="BV86" s="132"/>
      <c r="BW86" s="135"/>
      <c r="BX86" s="136"/>
      <c r="BY86" s="132"/>
      <c r="BZ86" s="132"/>
      <c r="CA86" s="135"/>
      <c r="CB86" s="136"/>
      <c r="CC86" s="132"/>
      <c r="CD86" s="132"/>
      <c r="CE86" s="132"/>
      <c r="CF86" s="132"/>
      <c r="CG86" s="135"/>
      <c r="CH86" s="136"/>
      <c r="CI86" s="136"/>
      <c r="CJ86" s="132"/>
      <c r="CK86" s="132"/>
      <c r="CL86" s="145"/>
      <c r="CM86" s="136"/>
      <c r="CN86" s="132"/>
      <c r="CO86" s="132"/>
      <c r="CP86" s="132"/>
      <c r="CQ86" s="132"/>
      <c r="CR86" s="137"/>
      <c r="CS86" s="132"/>
      <c r="CT86" s="132"/>
      <c r="CU86" s="132"/>
      <c r="CV86" s="137"/>
      <c r="CW86" s="132"/>
      <c r="CX86" s="132"/>
      <c r="CY86" s="132"/>
      <c r="CZ86" s="132"/>
      <c r="DA86" s="132"/>
      <c r="DB86" s="132"/>
      <c r="DC86" s="141"/>
      <c r="DD86" s="132"/>
      <c r="DE86" s="132"/>
      <c r="DF86" s="132"/>
      <c r="DG86" s="132">
        <f t="shared" si="3"/>
        <v>0</v>
      </c>
    </row>
    <row r="87" spans="1:111" s="125" customFormat="1" ht="17.100000000000001" customHeight="1" x14ac:dyDescent="0.25">
      <c r="A87" s="126"/>
      <c r="B87" s="127"/>
      <c r="C87" s="128"/>
      <c r="D87" s="129"/>
      <c r="E87" s="130"/>
      <c r="F87" s="128"/>
      <c r="G87" s="131"/>
      <c r="H87" s="132"/>
      <c r="I87" s="133"/>
      <c r="J87" s="134"/>
      <c r="K87" s="132"/>
      <c r="L87" s="133"/>
      <c r="M87" s="134"/>
      <c r="N87" s="133"/>
      <c r="O87" s="134"/>
      <c r="P87" s="133"/>
      <c r="Q87" s="134"/>
      <c r="R87" s="132"/>
      <c r="S87" s="132"/>
      <c r="T87" s="133"/>
      <c r="U87" s="134"/>
      <c r="V87" s="132"/>
      <c r="W87" s="135"/>
      <c r="X87" s="136"/>
      <c r="Y87" s="132"/>
      <c r="Z87" s="132"/>
      <c r="AA87" s="132"/>
      <c r="AB87" s="132"/>
      <c r="AC87" s="132"/>
      <c r="AD87" s="135"/>
      <c r="AE87" s="136"/>
      <c r="AF87" s="132"/>
      <c r="AG87" s="137"/>
      <c r="AH87" s="132"/>
      <c r="AI87" s="132"/>
      <c r="AJ87" s="132"/>
      <c r="AK87" s="132"/>
      <c r="AL87" s="132"/>
      <c r="AM87" s="132"/>
      <c r="AN87" s="132"/>
      <c r="AO87" s="132"/>
      <c r="AP87" s="135"/>
      <c r="AQ87" s="136"/>
      <c r="AR87" s="132"/>
      <c r="AS87" s="132"/>
      <c r="AT87" s="132"/>
      <c r="AU87" s="135"/>
      <c r="AV87" s="136"/>
      <c r="AW87" s="132"/>
      <c r="AX87" s="132"/>
      <c r="AY87" s="135"/>
      <c r="AZ87" s="136"/>
      <c r="BA87" s="132"/>
      <c r="BB87" s="132"/>
      <c r="BC87" s="135"/>
      <c r="BD87" s="136"/>
      <c r="BE87" s="132"/>
      <c r="BF87" s="132"/>
      <c r="BG87" s="135"/>
      <c r="BH87" s="136"/>
      <c r="BI87" s="132"/>
      <c r="BJ87" s="132"/>
      <c r="BK87" s="132"/>
      <c r="BL87" s="135"/>
      <c r="BM87" s="136"/>
      <c r="BN87" s="132"/>
      <c r="BO87" s="132"/>
      <c r="BP87" s="135"/>
      <c r="BQ87" s="136"/>
      <c r="BR87" s="137"/>
      <c r="BS87" s="132"/>
      <c r="BT87" s="132"/>
      <c r="BU87" s="132"/>
      <c r="BV87" s="132"/>
      <c r="BW87" s="135"/>
      <c r="BX87" s="136"/>
      <c r="BY87" s="132"/>
      <c r="BZ87" s="132"/>
      <c r="CA87" s="135"/>
      <c r="CB87" s="136"/>
      <c r="CC87" s="132"/>
      <c r="CD87" s="132"/>
      <c r="CE87" s="132"/>
      <c r="CF87" s="132"/>
      <c r="CG87" s="135"/>
      <c r="CH87" s="136"/>
      <c r="CI87" s="136"/>
      <c r="CJ87" s="132"/>
      <c r="CK87" s="132"/>
      <c r="CL87" s="135"/>
      <c r="CM87" s="136"/>
      <c r="CN87" s="132"/>
      <c r="CO87" s="132"/>
      <c r="CP87" s="132"/>
      <c r="CQ87" s="132"/>
      <c r="CR87" s="137"/>
      <c r="CS87" s="132"/>
      <c r="CT87" s="132"/>
      <c r="CU87" s="132"/>
      <c r="CV87" s="137"/>
      <c r="CW87" s="132"/>
      <c r="CX87" s="132"/>
      <c r="CY87" s="132"/>
      <c r="CZ87" s="132"/>
      <c r="DA87" s="132"/>
      <c r="DB87" s="132"/>
      <c r="DC87" s="137"/>
      <c r="DD87" s="132"/>
      <c r="DE87" s="132"/>
      <c r="DF87" s="132"/>
      <c r="DG87" s="132">
        <f t="shared" si="3"/>
        <v>0</v>
      </c>
    </row>
    <row r="88" spans="1:111" s="125" customFormat="1" ht="17.100000000000001" customHeight="1" x14ac:dyDescent="0.25">
      <c r="A88" s="126"/>
      <c r="B88" s="127"/>
      <c r="C88" s="128"/>
      <c r="D88" s="129"/>
      <c r="E88" s="130"/>
      <c r="F88" s="128"/>
      <c r="G88" s="131"/>
      <c r="H88" s="132"/>
      <c r="I88" s="133"/>
      <c r="J88" s="134"/>
      <c r="K88" s="132"/>
      <c r="L88" s="133"/>
      <c r="M88" s="134"/>
      <c r="N88" s="133"/>
      <c r="O88" s="134"/>
      <c r="P88" s="133"/>
      <c r="Q88" s="134"/>
      <c r="R88" s="132"/>
      <c r="S88" s="132"/>
      <c r="T88" s="133"/>
      <c r="U88" s="134"/>
      <c r="V88" s="132"/>
      <c r="W88" s="135"/>
      <c r="X88" s="136"/>
      <c r="Y88" s="132"/>
      <c r="Z88" s="132"/>
      <c r="AA88" s="132"/>
      <c r="AB88" s="132"/>
      <c r="AC88" s="132"/>
      <c r="AD88" s="135"/>
      <c r="AE88" s="136"/>
      <c r="AF88" s="132"/>
      <c r="AG88" s="137"/>
      <c r="AH88" s="132"/>
      <c r="AI88" s="132"/>
      <c r="AJ88" s="132"/>
      <c r="AK88" s="132"/>
      <c r="AL88" s="132"/>
      <c r="AM88" s="132"/>
      <c r="AN88" s="132"/>
      <c r="AO88" s="132"/>
      <c r="AP88" s="135"/>
      <c r="AQ88" s="136"/>
      <c r="AR88" s="132"/>
      <c r="AS88" s="132"/>
      <c r="AT88" s="132"/>
      <c r="AU88" s="135"/>
      <c r="AV88" s="136"/>
      <c r="AW88" s="132"/>
      <c r="AX88" s="132"/>
      <c r="AY88" s="135"/>
      <c r="AZ88" s="136"/>
      <c r="BA88" s="132"/>
      <c r="BB88" s="132"/>
      <c r="BC88" s="135"/>
      <c r="BD88" s="136"/>
      <c r="BE88" s="132"/>
      <c r="BF88" s="132"/>
      <c r="BG88" s="135"/>
      <c r="BH88" s="136"/>
      <c r="BI88" s="132"/>
      <c r="BJ88" s="132"/>
      <c r="BK88" s="132"/>
      <c r="BL88" s="135"/>
      <c r="BM88" s="136"/>
      <c r="BN88" s="132"/>
      <c r="BO88" s="132"/>
      <c r="BP88" s="135"/>
      <c r="BQ88" s="136"/>
      <c r="BR88" s="137"/>
      <c r="BS88" s="132"/>
      <c r="BT88" s="132"/>
      <c r="BU88" s="132"/>
      <c r="BV88" s="132"/>
      <c r="BW88" s="135"/>
      <c r="BX88" s="136"/>
      <c r="BY88" s="132"/>
      <c r="BZ88" s="132"/>
      <c r="CA88" s="135"/>
      <c r="CB88" s="136"/>
      <c r="CC88" s="132"/>
      <c r="CD88" s="132"/>
      <c r="CE88" s="132"/>
      <c r="CF88" s="132"/>
      <c r="CG88" s="135"/>
      <c r="CH88" s="136"/>
      <c r="CI88" s="136"/>
      <c r="CJ88" s="132"/>
      <c r="CK88" s="132"/>
      <c r="CL88" s="135"/>
      <c r="CM88" s="136"/>
      <c r="CN88" s="132"/>
      <c r="CO88" s="132"/>
      <c r="CP88" s="132"/>
      <c r="CQ88" s="132"/>
      <c r="CR88" s="137"/>
      <c r="CS88" s="132"/>
      <c r="CT88" s="132"/>
      <c r="CU88" s="132"/>
      <c r="CV88" s="137"/>
      <c r="CW88" s="132"/>
      <c r="CX88" s="132"/>
      <c r="CY88" s="132"/>
      <c r="CZ88" s="132"/>
      <c r="DA88" s="132"/>
      <c r="DB88" s="132"/>
      <c r="DC88" s="137"/>
      <c r="DD88" s="132"/>
      <c r="DE88" s="132"/>
      <c r="DF88" s="132"/>
      <c r="DG88" s="132">
        <f t="shared" si="3"/>
        <v>0</v>
      </c>
    </row>
    <row r="89" spans="1:111" s="125" customFormat="1" ht="17.100000000000001" customHeight="1" x14ac:dyDescent="0.25">
      <c r="A89" s="126"/>
      <c r="B89" s="127"/>
      <c r="C89" s="128"/>
      <c r="D89" s="129"/>
      <c r="E89" s="130"/>
      <c r="F89" s="144"/>
      <c r="G89" s="131"/>
      <c r="H89" s="132"/>
      <c r="I89" s="133"/>
      <c r="J89" s="134"/>
      <c r="K89" s="132"/>
      <c r="L89" s="133"/>
      <c r="M89" s="134"/>
      <c r="N89" s="133"/>
      <c r="O89" s="134"/>
      <c r="P89" s="133"/>
      <c r="Q89" s="134"/>
      <c r="R89" s="132"/>
      <c r="S89" s="132"/>
      <c r="T89" s="133"/>
      <c r="U89" s="134"/>
      <c r="V89" s="132"/>
      <c r="W89" s="135"/>
      <c r="X89" s="136"/>
      <c r="Y89" s="132"/>
      <c r="Z89" s="132"/>
      <c r="AA89" s="132"/>
      <c r="AB89" s="132"/>
      <c r="AC89" s="132"/>
      <c r="AD89" s="135"/>
      <c r="AE89" s="136"/>
      <c r="AF89" s="132"/>
      <c r="AG89" s="137"/>
      <c r="AH89" s="132"/>
      <c r="AI89" s="132"/>
      <c r="AJ89" s="132"/>
      <c r="AK89" s="132"/>
      <c r="AL89" s="132"/>
      <c r="AM89" s="132"/>
      <c r="AN89" s="132"/>
      <c r="AO89" s="132"/>
      <c r="AP89" s="135"/>
      <c r="AQ89" s="136"/>
      <c r="AR89" s="132"/>
      <c r="AS89" s="132"/>
      <c r="AT89" s="132"/>
      <c r="AU89" s="135"/>
      <c r="AV89" s="136"/>
      <c r="AW89" s="132"/>
      <c r="AX89" s="132"/>
      <c r="AY89" s="135"/>
      <c r="AZ89" s="136"/>
      <c r="BA89" s="132"/>
      <c r="BB89" s="132"/>
      <c r="BC89" s="135"/>
      <c r="BD89" s="136"/>
      <c r="BE89" s="132"/>
      <c r="BF89" s="132"/>
      <c r="BG89" s="135"/>
      <c r="BH89" s="136"/>
      <c r="BI89" s="132"/>
      <c r="BJ89" s="132"/>
      <c r="BK89" s="132"/>
      <c r="BL89" s="135"/>
      <c r="BM89" s="136"/>
      <c r="BN89" s="132"/>
      <c r="BO89" s="132"/>
      <c r="BP89" s="135"/>
      <c r="BQ89" s="136"/>
      <c r="BR89" s="137"/>
      <c r="BS89" s="132"/>
      <c r="BT89" s="132"/>
      <c r="BU89" s="132"/>
      <c r="BV89" s="132"/>
      <c r="BW89" s="135"/>
      <c r="BX89" s="136"/>
      <c r="BY89" s="132"/>
      <c r="BZ89" s="132"/>
      <c r="CA89" s="135"/>
      <c r="CB89" s="136"/>
      <c r="CC89" s="132"/>
      <c r="CD89" s="132"/>
      <c r="CE89" s="132"/>
      <c r="CF89" s="132"/>
      <c r="CG89" s="135"/>
      <c r="CH89" s="136"/>
      <c r="CI89" s="136"/>
      <c r="CJ89" s="132"/>
      <c r="CK89" s="132"/>
      <c r="CL89" s="135"/>
      <c r="CM89" s="136"/>
      <c r="CN89" s="132"/>
      <c r="CO89" s="132"/>
      <c r="CP89" s="132"/>
      <c r="CQ89" s="132"/>
      <c r="CR89" s="137"/>
      <c r="CS89" s="132"/>
      <c r="CT89" s="132"/>
      <c r="CU89" s="132"/>
      <c r="CV89" s="137"/>
      <c r="CW89" s="132"/>
      <c r="CX89" s="132"/>
      <c r="CY89" s="132"/>
      <c r="CZ89" s="132"/>
      <c r="DA89" s="132"/>
      <c r="DB89" s="132"/>
      <c r="DC89" s="137"/>
      <c r="DD89" s="132"/>
      <c r="DE89" s="132"/>
      <c r="DF89" s="132"/>
      <c r="DG89" s="132">
        <f t="shared" si="3"/>
        <v>0</v>
      </c>
    </row>
    <row r="90" spans="1:111" s="125" customFormat="1" ht="17.100000000000001" customHeight="1" x14ac:dyDescent="0.25">
      <c r="A90" s="126"/>
      <c r="B90" s="127"/>
      <c r="C90" s="128"/>
      <c r="D90" s="143"/>
      <c r="E90" s="130"/>
      <c r="F90" s="128"/>
      <c r="G90" s="131"/>
      <c r="H90" s="132"/>
      <c r="I90" s="133"/>
      <c r="J90" s="134"/>
      <c r="K90" s="132"/>
      <c r="L90" s="133"/>
      <c r="M90" s="134"/>
      <c r="N90" s="133"/>
      <c r="O90" s="134"/>
      <c r="P90" s="133"/>
      <c r="Q90" s="134"/>
      <c r="R90" s="132"/>
      <c r="S90" s="132"/>
      <c r="T90" s="133"/>
      <c r="U90" s="134"/>
      <c r="V90" s="132"/>
      <c r="W90" s="135"/>
      <c r="X90" s="136"/>
      <c r="Y90" s="132"/>
      <c r="Z90" s="132"/>
      <c r="AA90" s="132"/>
      <c r="AB90" s="132"/>
      <c r="AC90" s="132"/>
      <c r="AD90" s="135"/>
      <c r="AE90" s="136"/>
      <c r="AF90" s="132"/>
      <c r="AG90" s="137"/>
      <c r="AH90" s="132"/>
      <c r="AI90" s="132"/>
      <c r="AJ90" s="132"/>
      <c r="AK90" s="132"/>
      <c r="AL90" s="132"/>
      <c r="AM90" s="132"/>
      <c r="AN90" s="132"/>
      <c r="AO90" s="132"/>
      <c r="AP90" s="135"/>
      <c r="AQ90" s="136"/>
      <c r="AR90" s="132"/>
      <c r="AS90" s="132"/>
      <c r="AT90" s="132"/>
      <c r="AU90" s="135"/>
      <c r="AV90" s="136"/>
      <c r="AW90" s="132"/>
      <c r="AX90" s="132"/>
      <c r="AY90" s="135"/>
      <c r="AZ90" s="136"/>
      <c r="BA90" s="132"/>
      <c r="BB90" s="132"/>
      <c r="BC90" s="135"/>
      <c r="BD90" s="136"/>
      <c r="BE90" s="132"/>
      <c r="BF90" s="132"/>
      <c r="BG90" s="135"/>
      <c r="BH90" s="136"/>
      <c r="BI90" s="132"/>
      <c r="BJ90" s="132"/>
      <c r="BK90" s="132"/>
      <c r="BL90" s="135"/>
      <c r="BM90" s="136"/>
      <c r="BN90" s="132"/>
      <c r="BO90" s="132"/>
      <c r="BP90" s="135"/>
      <c r="BQ90" s="136"/>
      <c r="BR90" s="137"/>
      <c r="BS90" s="132"/>
      <c r="BT90" s="132"/>
      <c r="BU90" s="132"/>
      <c r="BV90" s="132"/>
      <c r="BW90" s="135"/>
      <c r="BX90" s="136"/>
      <c r="BY90" s="132"/>
      <c r="BZ90" s="132"/>
      <c r="CA90" s="135"/>
      <c r="CB90" s="136"/>
      <c r="CC90" s="132"/>
      <c r="CD90" s="132"/>
      <c r="CE90" s="132"/>
      <c r="CF90" s="132"/>
      <c r="CG90" s="135"/>
      <c r="CH90" s="136"/>
      <c r="CI90" s="136"/>
      <c r="CJ90" s="132"/>
      <c r="CK90" s="132"/>
      <c r="CL90" s="135"/>
      <c r="CM90" s="136"/>
      <c r="CN90" s="132"/>
      <c r="CO90" s="132"/>
      <c r="CP90" s="132"/>
      <c r="CQ90" s="132"/>
      <c r="CR90" s="137"/>
      <c r="CS90" s="132"/>
      <c r="CT90" s="132"/>
      <c r="CU90" s="132"/>
      <c r="CV90" s="137"/>
      <c r="CW90" s="132"/>
      <c r="CX90" s="132"/>
      <c r="CY90" s="132"/>
      <c r="CZ90" s="132"/>
      <c r="DA90" s="132"/>
      <c r="DB90" s="132"/>
      <c r="DC90" s="137"/>
      <c r="DD90" s="132"/>
      <c r="DE90" s="132"/>
      <c r="DF90" s="132"/>
      <c r="DG90" s="132">
        <f t="shared" si="3"/>
        <v>0</v>
      </c>
    </row>
    <row r="91" spans="1:111" s="125" customFormat="1" ht="17.100000000000001" customHeight="1" x14ac:dyDescent="0.25">
      <c r="A91" s="126"/>
      <c r="B91" s="127"/>
      <c r="C91" s="128"/>
      <c r="D91" s="129"/>
      <c r="E91" s="130"/>
      <c r="F91" s="128"/>
      <c r="G91" s="131"/>
      <c r="H91" s="132"/>
      <c r="I91" s="133"/>
      <c r="J91" s="134"/>
      <c r="K91" s="132"/>
      <c r="L91" s="133"/>
      <c r="M91" s="134"/>
      <c r="N91" s="133"/>
      <c r="O91" s="134"/>
      <c r="P91" s="133"/>
      <c r="Q91" s="134"/>
      <c r="R91" s="132"/>
      <c r="S91" s="132"/>
      <c r="T91" s="133"/>
      <c r="U91" s="134"/>
      <c r="V91" s="132"/>
      <c r="W91" s="135"/>
      <c r="X91" s="136"/>
      <c r="Y91" s="132"/>
      <c r="Z91" s="132"/>
      <c r="AA91" s="132"/>
      <c r="AB91" s="132"/>
      <c r="AC91" s="132"/>
      <c r="AD91" s="135"/>
      <c r="AE91" s="136"/>
      <c r="AF91" s="132"/>
      <c r="AG91" s="137"/>
      <c r="AH91" s="132"/>
      <c r="AI91" s="132"/>
      <c r="AJ91" s="132"/>
      <c r="AK91" s="132"/>
      <c r="AL91" s="132"/>
      <c r="AM91" s="132"/>
      <c r="AN91" s="132"/>
      <c r="AO91" s="132"/>
      <c r="AP91" s="135"/>
      <c r="AQ91" s="136"/>
      <c r="AR91" s="132"/>
      <c r="AS91" s="132"/>
      <c r="AT91" s="132"/>
      <c r="AU91" s="135"/>
      <c r="AV91" s="136"/>
      <c r="AW91" s="132"/>
      <c r="AX91" s="132"/>
      <c r="AY91" s="135"/>
      <c r="AZ91" s="136"/>
      <c r="BA91" s="132"/>
      <c r="BB91" s="132"/>
      <c r="BC91" s="135"/>
      <c r="BD91" s="136"/>
      <c r="BE91" s="132"/>
      <c r="BF91" s="132"/>
      <c r="BG91" s="135"/>
      <c r="BH91" s="136"/>
      <c r="BI91" s="132"/>
      <c r="BJ91" s="132"/>
      <c r="BK91" s="132"/>
      <c r="BL91" s="135"/>
      <c r="BM91" s="136"/>
      <c r="BN91" s="132"/>
      <c r="BO91" s="132"/>
      <c r="BP91" s="135"/>
      <c r="BQ91" s="136"/>
      <c r="BR91" s="137"/>
      <c r="BS91" s="132"/>
      <c r="BT91" s="132"/>
      <c r="BU91" s="132"/>
      <c r="BV91" s="132"/>
      <c r="BW91" s="135"/>
      <c r="BX91" s="136"/>
      <c r="BY91" s="132"/>
      <c r="BZ91" s="132"/>
      <c r="CA91" s="135"/>
      <c r="CB91" s="136"/>
      <c r="CC91" s="132"/>
      <c r="CD91" s="132"/>
      <c r="CE91" s="132"/>
      <c r="CF91" s="132"/>
      <c r="CG91" s="135"/>
      <c r="CH91" s="136"/>
      <c r="CI91" s="136"/>
      <c r="CJ91" s="132"/>
      <c r="CK91" s="132"/>
      <c r="CL91" s="135"/>
      <c r="CM91" s="136"/>
      <c r="CN91" s="132"/>
      <c r="CO91" s="132"/>
      <c r="CP91" s="132"/>
      <c r="CQ91" s="132"/>
      <c r="CR91" s="137"/>
      <c r="CS91" s="132"/>
      <c r="CT91" s="132"/>
      <c r="CU91" s="132"/>
      <c r="CV91" s="137"/>
      <c r="CW91" s="132"/>
      <c r="CX91" s="132"/>
      <c r="CY91" s="132"/>
      <c r="CZ91" s="132"/>
      <c r="DA91" s="132"/>
      <c r="DB91" s="132"/>
      <c r="DC91" s="137"/>
      <c r="DD91" s="132"/>
      <c r="DE91" s="132"/>
      <c r="DF91" s="132"/>
      <c r="DG91" s="132">
        <f t="shared" si="3"/>
        <v>0</v>
      </c>
    </row>
    <row r="92" spans="1:111" s="125" customFormat="1" ht="17.100000000000001" customHeight="1" x14ac:dyDescent="0.25">
      <c r="A92" s="126"/>
      <c r="B92" s="127"/>
      <c r="C92" s="128"/>
      <c r="D92" s="129"/>
      <c r="E92" s="130"/>
      <c r="F92" s="128"/>
      <c r="G92" s="131"/>
      <c r="H92" s="132"/>
      <c r="I92" s="133"/>
      <c r="J92" s="134"/>
      <c r="K92" s="132"/>
      <c r="L92" s="133"/>
      <c r="M92" s="134"/>
      <c r="N92" s="133"/>
      <c r="O92" s="134"/>
      <c r="P92" s="133"/>
      <c r="Q92" s="134"/>
      <c r="R92" s="132"/>
      <c r="S92" s="132"/>
      <c r="T92" s="133"/>
      <c r="U92" s="134"/>
      <c r="V92" s="132"/>
      <c r="W92" s="135"/>
      <c r="X92" s="136"/>
      <c r="Y92" s="132"/>
      <c r="Z92" s="132"/>
      <c r="AA92" s="132"/>
      <c r="AB92" s="132"/>
      <c r="AC92" s="132"/>
      <c r="AD92" s="135"/>
      <c r="AE92" s="136"/>
      <c r="AF92" s="132"/>
      <c r="AG92" s="137"/>
      <c r="AH92" s="132"/>
      <c r="AI92" s="132"/>
      <c r="AJ92" s="132"/>
      <c r="AK92" s="132"/>
      <c r="AL92" s="132"/>
      <c r="AM92" s="132"/>
      <c r="AN92" s="132"/>
      <c r="AO92" s="132"/>
      <c r="AP92" s="135"/>
      <c r="AQ92" s="136"/>
      <c r="AR92" s="132"/>
      <c r="AS92" s="132"/>
      <c r="AT92" s="132"/>
      <c r="AU92" s="135"/>
      <c r="AV92" s="136"/>
      <c r="AW92" s="132"/>
      <c r="AX92" s="132"/>
      <c r="AY92" s="135"/>
      <c r="AZ92" s="136"/>
      <c r="BA92" s="132"/>
      <c r="BB92" s="132"/>
      <c r="BC92" s="135"/>
      <c r="BD92" s="136"/>
      <c r="BE92" s="132"/>
      <c r="BF92" s="132"/>
      <c r="BG92" s="135"/>
      <c r="BH92" s="136"/>
      <c r="BI92" s="132"/>
      <c r="BJ92" s="132"/>
      <c r="BK92" s="132"/>
      <c r="BL92" s="135"/>
      <c r="BM92" s="136"/>
      <c r="BN92" s="132"/>
      <c r="BO92" s="132"/>
      <c r="BP92" s="135"/>
      <c r="BQ92" s="136"/>
      <c r="BR92" s="137"/>
      <c r="BS92" s="132"/>
      <c r="BT92" s="132"/>
      <c r="BU92" s="132"/>
      <c r="BV92" s="132"/>
      <c r="BW92" s="135"/>
      <c r="BX92" s="136"/>
      <c r="BY92" s="132"/>
      <c r="BZ92" s="132"/>
      <c r="CA92" s="135"/>
      <c r="CB92" s="136"/>
      <c r="CC92" s="132"/>
      <c r="CD92" s="132"/>
      <c r="CE92" s="132"/>
      <c r="CF92" s="132"/>
      <c r="CG92" s="135"/>
      <c r="CH92" s="136"/>
      <c r="CI92" s="136"/>
      <c r="CJ92" s="132"/>
      <c r="CK92" s="132"/>
      <c r="CL92" s="135"/>
      <c r="CM92" s="136"/>
      <c r="CN92" s="132"/>
      <c r="CO92" s="132"/>
      <c r="CP92" s="132"/>
      <c r="CQ92" s="132"/>
      <c r="CR92" s="137"/>
      <c r="CS92" s="132"/>
      <c r="CT92" s="132"/>
      <c r="CU92" s="132"/>
      <c r="CV92" s="137"/>
      <c r="CW92" s="132"/>
      <c r="CX92" s="132"/>
      <c r="CY92" s="132"/>
      <c r="CZ92" s="132"/>
      <c r="DA92" s="132"/>
      <c r="DB92" s="132"/>
      <c r="DC92" s="137"/>
      <c r="DD92" s="132"/>
      <c r="DE92" s="132"/>
      <c r="DF92" s="132"/>
      <c r="DG92" s="132">
        <f t="shared" si="3"/>
        <v>0</v>
      </c>
    </row>
    <row r="93" spans="1:111" s="125" customFormat="1" ht="17.100000000000001" customHeight="1" x14ac:dyDescent="0.25">
      <c r="A93" s="126"/>
      <c r="B93" s="127"/>
      <c r="C93" s="128"/>
      <c r="D93" s="129"/>
      <c r="E93" s="130"/>
      <c r="F93" s="128"/>
      <c r="G93" s="131"/>
      <c r="H93" s="132"/>
      <c r="I93" s="133"/>
      <c r="J93" s="134"/>
      <c r="K93" s="132"/>
      <c r="L93" s="133"/>
      <c r="M93" s="134"/>
      <c r="N93" s="133"/>
      <c r="O93" s="134"/>
      <c r="P93" s="133"/>
      <c r="Q93" s="134"/>
      <c r="R93" s="132"/>
      <c r="S93" s="132"/>
      <c r="T93" s="133"/>
      <c r="U93" s="134"/>
      <c r="V93" s="132"/>
      <c r="W93" s="135"/>
      <c r="X93" s="136"/>
      <c r="Y93" s="132"/>
      <c r="Z93" s="132"/>
      <c r="AA93" s="132"/>
      <c r="AB93" s="132"/>
      <c r="AC93" s="132"/>
      <c r="AD93" s="135"/>
      <c r="AE93" s="136"/>
      <c r="AF93" s="132"/>
      <c r="AG93" s="137"/>
      <c r="AH93" s="132"/>
      <c r="AI93" s="132"/>
      <c r="AJ93" s="132"/>
      <c r="AK93" s="132"/>
      <c r="AL93" s="132"/>
      <c r="AM93" s="132"/>
      <c r="AN93" s="132"/>
      <c r="AO93" s="132"/>
      <c r="AP93" s="135"/>
      <c r="AQ93" s="136"/>
      <c r="AR93" s="132"/>
      <c r="AS93" s="132"/>
      <c r="AT93" s="132"/>
      <c r="AU93" s="135"/>
      <c r="AV93" s="136"/>
      <c r="AW93" s="132"/>
      <c r="AX93" s="132"/>
      <c r="AY93" s="135"/>
      <c r="AZ93" s="136"/>
      <c r="BA93" s="132"/>
      <c r="BB93" s="132"/>
      <c r="BC93" s="135"/>
      <c r="BD93" s="136"/>
      <c r="BE93" s="132"/>
      <c r="BF93" s="132"/>
      <c r="BG93" s="135"/>
      <c r="BH93" s="136"/>
      <c r="BI93" s="132"/>
      <c r="BJ93" s="132"/>
      <c r="BK93" s="132"/>
      <c r="BL93" s="135"/>
      <c r="BM93" s="136"/>
      <c r="BN93" s="132"/>
      <c r="BO93" s="132"/>
      <c r="BP93" s="135"/>
      <c r="BQ93" s="136"/>
      <c r="BR93" s="137"/>
      <c r="BS93" s="132"/>
      <c r="BT93" s="132"/>
      <c r="BU93" s="132"/>
      <c r="BV93" s="132"/>
      <c r="BW93" s="135"/>
      <c r="BX93" s="136"/>
      <c r="BY93" s="132"/>
      <c r="BZ93" s="132"/>
      <c r="CA93" s="135"/>
      <c r="CB93" s="136"/>
      <c r="CC93" s="132"/>
      <c r="CD93" s="132"/>
      <c r="CE93" s="132"/>
      <c r="CF93" s="132"/>
      <c r="CG93" s="135"/>
      <c r="CH93" s="136"/>
      <c r="CI93" s="136"/>
      <c r="CJ93" s="132"/>
      <c r="CK93" s="132"/>
      <c r="CL93" s="135"/>
      <c r="CM93" s="136"/>
      <c r="CN93" s="132"/>
      <c r="CO93" s="132"/>
      <c r="CP93" s="132"/>
      <c r="CQ93" s="132"/>
      <c r="CR93" s="137"/>
      <c r="CS93" s="132"/>
      <c r="CT93" s="132"/>
      <c r="CU93" s="132"/>
      <c r="CV93" s="137"/>
      <c r="CW93" s="132"/>
      <c r="CX93" s="132"/>
      <c r="CY93" s="132"/>
      <c r="CZ93" s="132"/>
      <c r="DA93" s="132"/>
      <c r="DB93" s="132"/>
      <c r="DC93" s="137"/>
      <c r="DD93" s="132"/>
      <c r="DE93" s="132"/>
      <c r="DF93" s="132"/>
      <c r="DG93" s="132">
        <f t="shared" si="3"/>
        <v>0</v>
      </c>
    </row>
    <row r="94" spans="1:111" s="125" customFormat="1" ht="17.100000000000001" customHeight="1" x14ac:dyDescent="0.25">
      <c r="A94" s="126"/>
      <c r="B94" s="127"/>
      <c r="C94" s="128"/>
      <c r="D94" s="143"/>
      <c r="E94" s="130"/>
      <c r="F94" s="128"/>
      <c r="G94" s="131"/>
      <c r="H94" s="132"/>
      <c r="I94" s="133"/>
      <c r="J94" s="134"/>
      <c r="K94" s="132"/>
      <c r="L94" s="133"/>
      <c r="M94" s="134"/>
      <c r="N94" s="133"/>
      <c r="O94" s="134"/>
      <c r="P94" s="133"/>
      <c r="Q94" s="134"/>
      <c r="R94" s="132"/>
      <c r="S94" s="132"/>
      <c r="T94" s="133"/>
      <c r="U94" s="134"/>
      <c r="V94" s="132"/>
      <c r="W94" s="135"/>
      <c r="X94" s="136"/>
      <c r="Y94" s="132"/>
      <c r="Z94" s="132"/>
      <c r="AA94" s="132"/>
      <c r="AB94" s="132"/>
      <c r="AC94" s="132"/>
      <c r="AD94" s="135"/>
      <c r="AE94" s="136"/>
      <c r="AF94" s="132"/>
      <c r="AG94" s="137"/>
      <c r="AH94" s="132"/>
      <c r="AI94" s="132"/>
      <c r="AJ94" s="132"/>
      <c r="AK94" s="132"/>
      <c r="AL94" s="132"/>
      <c r="AM94" s="132"/>
      <c r="AN94" s="132"/>
      <c r="AO94" s="132"/>
      <c r="AP94" s="135"/>
      <c r="AQ94" s="136"/>
      <c r="AR94" s="132"/>
      <c r="AS94" s="132"/>
      <c r="AT94" s="132"/>
      <c r="AU94" s="135"/>
      <c r="AV94" s="136"/>
      <c r="AW94" s="132"/>
      <c r="AX94" s="132"/>
      <c r="AY94" s="135"/>
      <c r="AZ94" s="136"/>
      <c r="BA94" s="132"/>
      <c r="BB94" s="132"/>
      <c r="BC94" s="135"/>
      <c r="BD94" s="136"/>
      <c r="BE94" s="132"/>
      <c r="BF94" s="132"/>
      <c r="BG94" s="135"/>
      <c r="BH94" s="136"/>
      <c r="BI94" s="132"/>
      <c r="BJ94" s="132"/>
      <c r="BK94" s="132"/>
      <c r="BL94" s="135"/>
      <c r="BM94" s="136"/>
      <c r="BN94" s="132"/>
      <c r="BO94" s="132"/>
      <c r="BP94" s="135"/>
      <c r="BQ94" s="136"/>
      <c r="BR94" s="137"/>
      <c r="BS94" s="132"/>
      <c r="BT94" s="132"/>
      <c r="BU94" s="132"/>
      <c r="BV94" s="132"/>
      <c r="BW94" s="135"/>
      <c r="BX94" s="136"/>
      <c r="BY94" s="132"/>
      <c r="BZ94" s="132"/>
      <c r="CA94" s="135"/>
      <c r="CB94" s="136"/>
      <c r="CC94" s="132"/>
      <c r="CD94" s="132"/>
      <c r="CE94" s="132"/>
      <c r="CF94" s="132"/>
      <c r="CG94" s="135"/>
      <c r="CH94" s="136"/>
      <c r="CI94" s="136"/>
      <c r="CJ94" s="132"/>
      <c r="CK94" s="132"/>
      <c r="CL94" s="135"/>
      <c r="CM94" s="136"/>
      <c r="CN94" s="132"/>
      <c r="CO94" s="132"/>
      <c r="CP94" s="132"/>
      <c r="CQ94" s="132"/>
      <c r="CR94" s="137"/>
      <c r="CS94" s="132"/>
      <c r="CT94" s="132"/>
      <c r="CU94" s="132"/>
      <c r="CV94" s="137"/>
      <c r="CW94" s="132"/>
      <c r="CX94" s="132"/>
      <c r="CY94" s="132"/>
      <c r="CZ94" s="132"/>
      <c r="DA94" s="132"/>
      <c r="DB94" s="132"/>
      <c r="DC94" s="137"/>
      <c r="DD94" s="132"/>
      <c r="DE94" s="132"/>
      <c r="DF94" s="132"/>
      <c r="DG94" s="132">
        <f t="shared" si="3"/>
        <v>0</v>
      </c>
    </row>
    <row r="95" spans="1:111" s="125" customFormat="1" ht="17.100000000000001" customHeight="1" x14ac:dyDescent="0.25">
      <c r="A95" s="126"/>
      <c r="B95" s="127"/>
      <c r="C95" s="128"/>
      <c r="D95" s="129"/>
      <c r="E95" s="130"/>
      <c r="F95" s="144"/>
      <c r="G95" s="138"/>
      <c r="H95" s="132"/>
      <c r="I95" s="133"/>
      <c r="J95" s="134"/>
      <c r="K95" s="132"/>
      <c r="L95" s="133"/>
      <c r="M95" s="134"/>
      <c r="N95" s="133"/>
      <c r="O95" s="134"/>
      <c r="P95" s="133"/>
      <c r="Q95" s="134"/>
      <c r="R95" s="132"/>
      <c r="S95" s="132"/>
      <c r="T95" s="133"/>
      <c r="U95" s="134"/>
      <c r="V95" s="132"/>
      <c r="W95" s="135"/>
      <c r="X95" s="136"/>
      <c r="Y95" s="132"/>
      <c r="Z95" s="132"/>
      <c r="AA95" s="132"/>
      <c r="AB95" s="132"/>
      <c r="AC95" s="132"/>
      <c r="AD95" s="135"/>
      <c r="AE95" s="136"/>
      <c r="AF95" s="132"/>
      <c r="AG95" s="137"/>
      <c r="AH95" s="132"/>
      <c r="AI95" s="132"/>
      <c r="AJ95" s="132"/>
      <c r="AK95" s="132"/>
      <c r="AL95" s="132"/>
      <c r="AM95" s="132"/>
      <c r="AN95" s="132"/>
      <c r="AO95" s="132"/>
      <c r="AP95" s="135"/>
      <c r="AQ95" s="136"/>
      <c r="AR95" s="132"/>
      <c r="AS95" s="132"/>
      <c r="AT95" s="132"/>
      <c r="AU95" s="135"/>
      <c r="AV95" s="136"/>
      <c r="AW95" s="132"/>
      <c r="AX95" s="132"/>
      <c r="AY95" s="135"/>
      <c r="AZ95" s="136"/>
      <c r="BA95" s="132"/>
      <c r="BB95" s="132"/>
      <c r="BC95" s="135"/>
      <c r="BD95" s="136"/>
      <c r="BE95" s="132"/>
      <c r="BF95" s="132"/>
      <c r="BG95" s="135"/>
      <c r="BH95" s="136"/>
      <c r="BI95" s="132"/>
      <c r="BJ95" s="132"/>
      <c r="BK95" s="132"/>
      <c r="BL95" s="135"/>
      <c r="BM95" s="136"/>
      <c r="BN95" s="132"/>
      <c r="BO95" s="132"/>
      <c r="BP95" s="135"/>
      <c r="BQ95" s="136"/>
      <c r="BR95" s="137"/>
      <c r="BS95" s="132"/>
      <c r="BT95" s="132"/>
      <c r="BU95" s="132"/>
      <c r="BV95" s="132"/>
      <c r="BW95" s="135"/>
      <c r="BX95" s="136"/>
      <c r="BY95" s="132"/>
      <c r="BZ95" s="132"/>
      <c r="CA95" s="135"/>
      <c r="CB95" s="136"/>
      <c r="CC95" s="132"/>
      <c r="CD95" s="132"/>
      <c r="CE95" s="132"/>
      <c r="CF95" s="132"/>
      <c r="CG95" s="145"/>
      <c r="CH95" s="136"/>
      <c r="CI95" s="136"/>
      <c r="CJ95" s="132"/>
      <c r="CK95" s="132"/>
      <c r="CL95" s="135"/>
      <c r="CM95" s="136"/>
      <c r="CN95" s="132"/>
      <c r="CO95" s="132"/>
      <c r="CP95" s="132"/>
      <c r="CQ95" s="132"/>
      <c r="CR95" s="137"/>
      <c r="CS95" s="132"/>
      <c r="CT95" s="132"/>
      <c r="CU95" s="132"/>
      <c r="CV95" s="137"/>
      <c r="CW95" s="132"/>
      <c r="CX95" s="132"/>
      <c r="CY95" s="132"/>
      <c r="CZ95" s="132"/>
      <c r="DA95" s="132"/>
      <c r="DB95" s="132"/>
      <c r="DC95" s="141"/>
      <c r="DD95" s="132"/>
      <c r="DE95" s="132"/>
      <c r="DF95" s="132"/>
      <c r="DG95" s="132">
        <f t="shared" si="3"/>
        <v>0</v>
      </c>
    </row>
    <row r="96" spans="1:111" s="125" customFormat="1" ht="17.100000000000001" customHeight="1" x14ac:dyDescent="0.25">
      <c r="A96" s="126"/>
      <c r="B96" s="127"/>
      <c r="C96" s="128"/>
      <c r="D96" s="147"/>
      <c r="E96" s="130"/>
      <c r="F96" s="144"/>
      <c r="G96" s="138"/>
      <c r="H96" s="132"/>
      <c r="I96" s="133"/>
      <c r="J96" s="134"/>
      <c r="K96" s="132"/>
      <c r="L96" s="133"/>
      <c r="M96" s="134"/>
      <c r="N96" s="133"/>
      <c r="O96" s="134"/>
      <c r="P96" s="133"/>
      <c r="Q96" s="134"/>
      <c r="R96" s="132"/>
      <c r="S96" s="132"/>
      <c r="T96" s="133"/>
      <c r="U96" s="134"/>
      <c r="V96" s="132"/>
      <c r="W96" s="135"/>
      <c r="X96" s="136"/>
      <c r="Y96" s="132"/>
      <c r="Z96" s="132"/>
      <c r="AA96" s="132"/>
      <c r="AB96" s="132"/>
      <c r="AC96" s="132"/>
      <c r="AD96" s="135"/>
      <c r="AE96" s="136"/>
      <c r="AF96" s="132"/>
      <c r="AG96" s="137"/>
      <c r="AH96" s="132"/>
      <c r="AI96" s="132"/>
      <c r="AJ96" s="132"/>
      <c r="AK96" s="132"/>
      <c r="AL96" s="132"/>
      <c r="AM96" s="132"/>
      <c r="AN96" s="132"/>
      <c r="AO96" s="132"/>
      <c r="AP96" s="135"/>
      <c r="AQ96" s="136"/>
      <c r="AR96" s="132"/>
      <c r="AS96" s="132"/>
      <c r="AT96" s="132"/>
      <c r="AU96" s="135"/>
      <c r="AV96" s="136"/>
      <c r="AW96" s="132"/>
      <c r="AX96" s="132"/>
      <c r="AY96" s="135"/>
      <c r="AZ96" s="136"/>
      <c r="BA96" s="132"/>
      <c r="BB96" s="132"/>
      <c r="BC96" s="135"/>
      <c r="BD96" s="136"/>
      <c r="BE96" s="132"/>
      <c r="BF96" s="132"/>
      <c r="BG96" s="135"/>
      <c r="BH96" s="136"/>
      <c r="BI96" s="132"/>
      <c r="BJ96" s="132"/>
      <c r="BK96" s="132"/>
      <c r="BL96" s="135"/>
      <c r="BM96" s="136"/>
      <c r="BN96" s="132"/>
      <c r="BO96" s="132"/>
      <c r="BP96" s="135"/>
      <c r="BQ96" s="136"/>
      <c r="BR96" s="137"/>
      <c r="BS96" s="132"/>
      <c r="BT96" s="132"/>
      <c r="BU96" s="132"/>
      <c r="BV96" s="132"/>
      <c r="BW96" s="145"/>
      <c r="BX96" s="136"/>
      <c r="BY96" s="132"/>
      <c r="BZ96" s="132"/>
      <c r="CA96" s="135"/>
      <c r="CB96" s="136"/>
      <c r="CC96" s="132"/>
      <c r="CD96" s="132"/>
      <c r="CE96" s="132"/>
      <c r="CF96" s="132"/>
      <c r="CG96" s="145"/>
      <c r="CH96" s="136"/>
      <c r="CI96" s="136"/>
      <c r="CJ96" s="132"/>
      <c r="CK96" s="132"/>
      <c r="CL96" s="145"/>
      <c r="CM96" s="136"/>
      <c r="CN96" s="132"/>
      <c r="CO96" s="132"/>
      <c r="CP96" s="132"/>
      <c r="CQ96" s="132"/>
      <c r="CR96" s="137"/>
      <c r="CS96" s="132"/>
      <c r="CT96" s="132"/>
      <c r="CU96" s="132"/>
      <c r="CV96" s="137"/>
      <c r="CW96" s="132"/>
      <c r="CX96" s="132"/>
      <c r="CY96" s="132"/>
      <c r="CZ96" s="132"/>
      <c r="DA96" s="132"/>
      <c r="DB96" s="132"/>
      <c r="DC96" s="137"/>
      <c r="DD96" s="132"/>
      <c r="DE96" s="132"/>
      <c r="DF96" s="132"/>
      <c r="DG96" s="132">
        <f t="shared" si="3"/>
        <v>0</v>
      </c>
    </row>
    <row r="97" spans="1:111" s="125" customFormat="1" ht="17.100000000000001" customHeight="1" x14ac:dyDescent="0.25">
      <c r="A97" s="126"/>
      <c r="B97" s="127"/>
      <c r="C97" s="128"/>
      <c r="D97" s="158"/>
      <c r="E97" s="130"/>
      <c r="F97" s="128"/>
      <c r="G97" s="131"/>
      <c r="H97" s="132"/>
      <c r="I97" s="133"/>
      <c r="J97" s="134"/>
      <c r="K97" s="132"/>
      <c r="L97" s="133"/>
      <c r="M97" s="134"/>
      <c r="N97" s="133"/>
      <c r="O97" s="134"/>
      <c r="P97" s="133"/>
      <c r="Q97" s="134"/>
      <c r="R97" s="132"/>
      <c r="S97" s="132"/>
      <c r="T97" s="133"/>
      <c r="U97" s="134"/>
      <c r="V97" s="132"/>
      <c r="W97" s="135"/>
      <c r="X97" s="136"/>
      <c r="Y97" s="132"/>
      <c r="Z97" s="132"/>
      <c r="AA97" s="132"/>
      <c r="AB97" s="132"/>
      <c r="AC97" s="132"/>
      <c r="AD97" s="135"/>
      <c r="AE97" s="136"/>
      <c r="AF97" s="132"/>
      <c r="AG97" s="137"/>
      <c r="AH97" s="132"/>
      <c r="AI97" s="132"/>
      <c r="AJ97" s="132"/>
      <c r="AK97" s="132"/>
      <c r="AL97" s="132"/>
      <c r="AM97" s="132"/>
      <c r="AN97" s="132"/>
      <c r="AO97" s="132"/>
      <c r="AP97" s="135"/>
      <c r="AQ97" s="136"/>
      <c r="AR97" s="132"/>
      <c r="AS97" s="132"/>
      <c r="AT97" s="132"/>
      <c r="AU97" s="135"/>
      <c r="AV97" s="136"/>
      <c r="AW97" s="132"/>
      <c r="AX97" s="132"/>
      <c r="AY97" s="135"/>
      <c r="AZ97" s="136"/>
      <c r="BA97" s="132"/>
      <c r="BB97" s="132"/>
      <c r="BC97" s="135"/>
      <c r="BD97" s="136"/>
      <c r="BE97" s="132"/>
      <c r="BF97" s="132"/>
      <c r="BG97" s="135"/>
      <c r="BH97" s="136"/>
      <c r="BI97" s="132"/>
      <c r="BJ97" s="132"/>
      <c r="BK97" s="132"/>
      <c r="BL97" s="135"/>
      <c r="BM97" s="136"/>
      <c r="BN97" s="132"/>
      <c r="BO97" s="132"/>
      <c r="BP97" s="135"/>
      <c r="BQ97" s="136"/>
      <c r="BR97" s="137"/>
      <c r="BS97" s="132"/>
      <c r="BT97" s="132"/>
      <c r="BU97" s="132"/>
      <c r="BV97" s="132"/>
      <c r="BW97" s="135"/>
      <c r="BX97" s="136"/>
      <c r="BY97" s="132"/>
      <c r="BZ97" s="132"/>
      <c r="CA97" s="135"/>
      <c r="CB97" s="136"/>
      <c r="CC97" s="132"/>
      <c r="CD97" s="132"/>
      <c r="CE97" s="132"/>
      <c r="CF97" s="132"/>
      <c r="CG97" s="135"/>
      <c r="CH97" s="136"/>
      <c r="CI97" s="136"/>
      <c r="CJ97" s="132"/>
      <c r="CK97" s="132"/>
      <c r="CL97" s="135"/>
      <c r="CM97" s="136"/>
      <c r="CN97" s="132"/>
      <c r="CO97" s="132"/>
      <c r="CP97" s="132"/>
      <c r="CQ97" s="132"/>
      <c r="CR97" s="137"/>
      <c r="CS97" s="132"/>
      <c r="CT97" s="132"/>
      <c r="CU97" s="132"/>
      <c r="CV97" s="137"/>
      <c r="CW97" s="132"/>
      <c r="CX97" s="132"/>
      <c r="CY97" s="132"/>
      <c r="CZ97" s="132"/>
      <c r="DA97" s="132"/>
      <c r="DB97" s="132"/>
      <c r="DC97" s="137"/>
      <c r="DD97" s="132"/>
      <c r="DE97" s="132"/>
      <c r="DF97" s="132"/>
      <c r="DG97" s="132">
        <f t="shared" si="3"/>
        <v>0</v>
      </c>
    </row>
    <row r="98" spans="1:111" s="125" customFormat="1" ht="17.100000000000001" customHeight="1" x14ac:dyDescent="0.25">
      <c r="A98" s="126"/>
      <c r="B98" s="127"/>
      <c r="C98" s="128"/>
      <c r="D98" s="143"/>
      <c r="E98" s="130"/>
      <c r="F98" s="128"/>
      <c r="G98" s="131"/>
      <c r="H98" s="132"/>
      <c r="I98" s="133"/>
      <c r="J98" s="134"/>
      <c r="K98" s="132"/>
      <c r="L98" s="133"/>
      <c r="M98" s="134"/>
      <c r="N98" s="133"/>
      <c r="O98" s="134"/>
      <c r="P98" s="133"/>
      <c r="Q98" s="134"/>
      <c r="R98" s="132"/>
      <c r="S98" s="132"/>
      <c r="T98" s="133"/>
      <c r="U98" s="134"/>
      <c r="V98" s="132"/>
      <c r="W98" s="135"/>
      <c r="X98" s="136"/>
      <c r="Y98" s="132"/>
      <c r="Z98" s="132"/>
      <c r="AA98" s="132"/>
      <c r="AB98" s="132"/>
      <c r="AC98" s="132"/>
      <c r="AD98" s="135"/>
      <c r="AE98" s="136"/>
      <c r="AF98" s="132"/>
      <c r="AG98" s="137"/>
      <c r="AH98" s="132"/>
      <c r="AI98" s="132"/>
      <c r="AJ98" s="132"/>
      <c r="AK98" s="132"/>
      <c r="AL98" s="132"/>
      <c r="AM98" s="132"/>
      <c r="AN98" s="132"/>
      <c r="AO98" s="132"/>
      <c r="AP98" s="135"/>
      <c r="AQ98" s="136"/>
      <c r="AR98" s="132"/>
      <c r="AS98" s="132"/>
      <c r="AT98" s="132"/>
      <c r="AU98" s="135"/>
      <c r="AV98" s="136"/>
      <c r="AW98" s="132"/>
      <c r="AX98" s="132"/>
      <c r="AY98" s="135"/>
      <c r="AZ98" s="136"/>
      <c r="BA98" s="132"/>
      <c r="BB98" s="132"/>
      <c r="BC98" s="135"/>
      <c r="BD98" s="136"/>
      <c r="BE98" s="132"/>
      <c r="BF98" s="132"/>
      <c r="BG98" s="135"/>
      <c r="BH98" s="136"/>
      <c r="BI98" s="132"/>
      <c r="BJ98" s="132"/>
      <c r="BK98" s="132"/>
      <c r="BL98" s="135"/>
      <c r="BM98" s="136"/>
      <c r="BN98" s="132"/>
      <c r="BO98" s="132"/>
      <c r="BP98" s="135"/>
      <c r="BQ98" s="136"/>
      <c r="BR98" s="137"/>
      <c r="BS98" s="132"/>
      <c r="BT98" s="132"/>
      <c r="BU98" s="132"/>
      <c r="BV98" s="132"/>
      <c r="BW98" s="135"/>
      <c r="BX98" s="136"/>
      <c r="BY98" s="132"/>
      <c r="BZ98" s="132"/>
      <c r="CA98" s="135"/>
      <c r="CB98" s="136"/>
      <c r="CC98" s="132"/>
      <c r="CD98" s="132"/>
      <c r="CE98" s="132"/>
      <c r="CF98" s="132"/>
      <c r="CG98" s="135"/>
      <c r="CH98" s="136"/>
      <c r="CI98" s="136"/>
      <c r="CJ98" s="132"/>
      <c r="CK98" s="132"/>
      <c r="CL98" s="135"/>
      <c r="CM98" s="136"/>
      <c r="CN98" s="132"/>
      <c r="CO98" s="132"/>
      <c r="CP98" s="132"/>
      <c r="CQ98" s="132"/>
      <c r="CR98" s="137"/>
      <c r="CS98" s="132"/>
      <c r="CT98" s="132"/>
      <c r="CU98" s="132"/>
      <c r="CV98" s="137"/>
      <c r="CW98" s="132"/>
      <c r="CX98" s="132"/>
      <c r="CY98" s="132"/>
      <c r="CZ98" s="132"/>
      <c r="DA98" s="132"/>
      <c r="DB98" s="132"/>
      <c r="DC98" s="137"/>
      <c r="DD98" s="132"/>
      <c r="DE98" s="132"/>
      <c r="DF98" s="132"/>
      <c r="DG98" s="132">
        <f t="shared" si="3"/>
        <v>0</v>
      </c>
    </row>
    <row r="99" spans="1:111" s="125" customFormat="1" ht="17.100000000000001" customHeight="1" x14ac:dyDescent="0.25">
      <c r="A99" s="126"/>
      <c r="B99" s="127"/>
      <c r="C99" s="128"/>
      <c r="D99" s="129"/>
      <c r="E99" s="130"/>
      <c r="F99" s="128"/>
      <c r="G99" s="131"/>
      <c r="H99" s="132"/>
      <c r="I99" s="133"/>
      <c r="J99" s="134"/>
      <c r="K99" s="132"/>
      <c r="L99" s="133"/>
      <c r="M99" s="134"/>
      <c r="N99" s="133"/>
      <c r="O99" s="134"/>
      <c r="P99" s="133"/>
      <c r="Q99" s="134"/>
      <c r="R99" s="132"/>
      <c r="S99" s="132"/>
      <c r="T99" s="133"/>
      <c r="U99" s="134"/>
      <c r="V99" s="132"/>
      <c r="W99" s="135"/>
      <c r="X99" s="136"/>
      <c r="Y99" s="132"/>
      <c r="Z99" s="132"/>
      <c r="AA99" s="132"/>
      <c r="AB99" s="132"/>
      <c r="AC99" s="132"/>
      <c r="AD99" s="135"/>
      <c r="AE99" s="136"/>
      <c r="AF99" s="132"/>
      <c r="AG99" s="137"/>
      <c r="AH99" s="132"/>
      <c r="AI99" s="132"/>
      <c r="AJ99" s="132"/>
      <c r="AK99" s="132"/>
      <c r="AL99" s="132"/>
      <c r="AM99" s="132"/>
      <c r="AN99" s="132"/>
      <c r="AO99" s="132"/>
      <c r="AP99" s="135"/>
      <c r="AQ99" s="136"/>
      <c r="AR99" s="132"/>
      <c r="AS99" s="132"/>
      <c r="AT99" s="132"/>
      <c r="AU99" s="135"/>
      <c r="AV99" s="136"/>
      <c r="AW99" s="132"/>
      <c r="AX99" s="132"/>
      <c r="AY99" s="135"/>
      <c r="AZ99" s="136"/>
      <c r="BA99" s="132"/>
      <c r="BB99" s="132"/>
      <c r="BC99" s="135"/>
      <c r="BD99" s="136"/>
      <c r="BE99" s="132"/>
      <c r="BF99" s="132"/>
      <c r="BG99" s="135"/>
      <c r="BH99" s="136"/>
      <c r="BI99" s="132"/>
      <c r="BJ99" s="132"/>
      <c r="BK99" s="132"/>
      <c r="BL99" s="135"/>
      <c r="BM99" s="136"/>
      <c r="BN99" s="132"/>
      <c r="BO99" s="132"/>
      <c r="BP99" s="135"/>
      <c r="BQ99" s="136"/>
      <c r="BR99" s="137"/>
      <c r="BS99" s="132"/>
      <c r="BT99" s="132"/>
      <c r="BU99" s="132"/>
      <c r="BV99" s="132"/>
      <c r="BW99" s="135"/>
      <c r="BX99" s="136"/>
      <c r="BY99" s="132"/>
      <c r="BZ99" s="132"/>
      <c r="CA99" s="135"/>
      <c r="CB99" s="136"/>
      <c r="CC99" s="132"/>
      <c r="CD99" s="132"/>
      <c r="CE99" s="132"/>
      <c r="CF99" s="132"/>
      <c r="CG99" s="135"/>
      <c r="CH99" s="136"/>
      <c r="CI99" s="136"/>
      <c r="CJ99" s="132"/>
      <c r="CK99" s="132"/>
      <c r="CL99" s="135"/>
      <c r="CM99" s="136"/>
      <c r="CN99" s="132"/>
      <c r="CO99" s="132"/>
      <c r="CP99" s="132"/>
      <c r="CQ99" s="132"/>
      <c r="CR99" s="137"/>
      <c r="CS99" s="132"/>
      <c r="CT99" s="132"/>
      <c r="CU99" s="132"/>
      <c r="CV99" s="137"/>
      <c r="CW99" s="132"/>
      <c r="CX99" s="132"/>
      <c r="CY99" s="132"/>
      <c r="CZ99" s="132"/>
      <c r="DA99" s="132"/>
      <c r="DB99" s="132"/>
      <c r="DC99" s="137"/>
      <c r="DD99" s="132"/>
      <c r="DE99" s="132"/>
      <c r="DF99" s="132"/>
      <c r="DG99" s="132">
        <f t="shared" si="3"/>
        <v>0</v>
      </c>
    </row>
    <row r="100" spans="1:111" s="125" customFormat="1" ht="17.100000000000001" customHeight="1" x14ac:dyDescent="0.25">
      <c r="A100" s="126"/>
      <c r="B100" s="127"/>
      <c r="C100" s="128"/>
      <c r="D100" s="129"/>
      <c r="E100" s="130"/>
      <c r="F100" s="128"/>
      <c r="G100" s="131"/>
      <c r="H100" s="132"/>
      <c r="I100" s="133"/>
      <c r="J100" s="134"/>
      <c r="K100" s="132"/>
      <c r="L100" s="133"/>
      <c r="M100" s="134"/>
      <c r="N100" s="133"/>
      <c r="O100" s="134"/>
      <c r="P100" s="133"/>
      <c r="Q100" s="134"/>
      <c r="R100" s="132"/>
      <c r="S100" s="132"/>
      <c r="T100" s="133"/>
      <c r="U100" s="134"/>
      <c r="V100" s="132"/>
      <c r="W100" s="135"/>
      <c r="X100" s="136"/>
      <c r="Y100" s="132"/>
      <c r="Z100" s="132"/>
      <c r="AA100" s="132"/>
      <c r="AB100" s="132"/>
      <c r="AC100" s="132"/>
      <c r="AD100" s="135"/>
      <c r="AE100" s="136"/>
      <c r="AF100" s="132"/>
      <c r="AG100" s="137"/>
      <c r="AH100" s="132"/>
      <c r="AI100" s="132"/>
      <c r="AJ100" s="132"/>
      <c r="AK100" s="132"/>
      <c r="AL100" s="132"/>
      <c r="AM100" s="132"/>
      <c r="AN100" s="132"/>
      <c r="AO100" s="132"/>
      <c r="AP100" s="135"/>
      <c r="AQ100" s="136"/>
      <c r="AR100" s="132"/>
      <c r="AS100" s="132"/>
      <c r="AT100" s="132"/>
      <c r="AU100" s="135"/>
      <c r="AV100" s="136"/>
      <c r="AW100" s="132"/>
      <c r="AX100" s="132"/>
      <c r="AY100" s="135"/>
      <c r="AZ100" s="136"/>
      <c r="BA100" s="132"/>
      <c r="BB100" s="132"/>
      <c r="BC100" s="135"/>
      <c r="BD100" s="136"/>
      <c r="BE100" s="132"/>
      <c r="BF100" s="132"/>
      <c r="BG100" s="135"/>
      <c r="BH100" s="136"/>
      <c r="BI100" s="132"/>
      <c r="BJ100" s="132"/>
      <c r="BK100" s="132"/>
      <c r="BL100" s="135"/>
      <c r="BM100" s="136"/>
      <c r="BN100" s="132"/>
      <c r="BO100" s="132"/>
      <c r="BP100" s="135"/>
      <c r="BQ100" s="136"/>
      <c r="BR100" s="137"/>
      <c r="BS100" s="132"/>
      <c r="BT100" s="132"/>
      <c r="BU100" s="132"/>
      <c r="BV100" s="132"/>
      <c r="BW100" s="135"/>
      <c r="BX100" s="136"/>
      <c r="BY100" s="132"/>
      <c r="BZ100" s="132"/>
      <c r="CA100" s="135"/>
      <c r="CB100" s="136"/>
      <c r="CC100" s="132"/>
      <c r="CD100" s="132"/>
      <c r="CE100" s="132"/>
      <c r="CF100" s="132"/>
      <c r="CG100" s="135"/>
      <c r="CH100" s="136"/>
      <c r="CI100" s="136"/>
      <c r="CJ100" s="132"/>
      <c r="CK100" s="132"/>
      <c r="CL100" s="135"/>
      <c r="CM100" s="136"/>
      <c r="CN100" s="132"/>
      <c r="CO100" s="132"/>
      <c r="CP100" s="132"/>
      <c r="CQ100" s="132"/>
      <c r="CR100" s="137"/>
      <c r="CS100" s="132"/>
      <c r="CT100" s="132"/>
      <c r="CU100" s="132"/>
      <c r="CV100" s="137"/>
      <c r="CW100" s="132"/>
      <c r="CX100" s="132"/>
      <c r="CY100" s="132"/>
      <c r="CZ100" s="132"/>
      <c r="DA100" s="132"/>
      <c r="DB100" s="132"/>
      <c r="DC100" s="137"/>
      <c r="DD100" s="132"/>
      <c r="DE100" s="132"/>
      <c r="DF100" s="132"/>
      <c r="DG100" s="132">
        <f t="shared" si="3"/>
        <v>0</v>
      </c>
    </row>
    <row r="101" spans="1:111" s="125" customFormat="1" ht="17.100000000000001" customHeight="1" x14ac:dyDescent="0.25">
      <c r="A101" s="126"/>
      <c r="B101" s="127"/>
      <c r="C101" s="128"/>
      <c r="D101" s="129"/>
      <c r="E101" s="130"/>
      <c r="F101" s="128"/>
      <c r="G101" s="131"/>
      <c r="H101" s="132"/>
      <c r="I101" s="133"/>
      <c r="J101" s="134"/>
      <c r="K101" s="132"/>
      <c r="L101" s="133"/>
      <c r="M101" s="134"/>
      <c r="N101" s="133"/>
      <c r="O101" s="134"/>
      <c r="P101" s="133"/>
      <c r="Q101" s="134"/>
      <c r="R101" s="132"/>
      <c r="S101" s="132"/>
      <c r="T101" s="133"/>
      <c r="U101" s="134"/>
      <c r="V101" s="132"/>
      <c r="W101" s="135"/>
      <c r="X101" s="136"/>
      <c r="Y101" s="132"/>
      <c r="Z101" s="132"/>
      <c r="AA101" s="132"/>
      <c r="AB101" s="132"/>
      <c r="AC101" s="132"/>
      <c r="AD101" s="135"/>
      <c r="AE101" s="136"/>
      <c r="AF101" s="132"/>
      <c r="AG101" s="137"/>
      <c r="AH101" s="132"/>
      <c r="AI101" s="132"/>
      <c r="AJ101" s="132"/>
      <c r="AK101" s="132"/>
      <c r="AL101" s="132"/>
      <c r="AM101" s="132"/>
      <c r="AN101" s="132"/>
      <c r="AO101" s="132"/>
      <c r="AP101" s="135"/>
      <c r="AQ101" s="136"/>
      <c r="AR101" s="132"/>
      <c r="AS101" s="132"/>
      <c r="AT101" s="132"/>
      <c r="AU101" s="135"/>
      <c r="AV101" s="136"/>
      <c r="AW101" s="132"/>
      <c r="AX101" s="132"/>
      <c r="AY101" s="135"/>
      <c r="AZ101" s="136"/>
      <c r="BA101" s="132"/>
      <c r="BB101" s="132"/>
      <c r="BC101" s="135"/>
      <c r="BD101" s="136"/>
      <c r="BE101" s="132"/>
      <c r="BF101" s="132"/>
      <c r="BG101" s="135"/>
      <c r="BH101" s="136"/>
      <c r="BI101" s="132"/>
      <c r="BJ101" s="132"/>
      <c r="BK101" s="132"/>
      <c r="BL101" s="135"/>
      <c r="BM101" s="136"/>
      <c r="BN101" s="132"/>
      <c r="BO101" s="132"/>
      <c r="BP101" s="135"/>
      <c r="BQ101" s="136"/>
      <c r="BR101" s="137"/>
      <c r="BS101" s="132"/>
      <c r="BT101" s="132"/>
      <c r="BU101" s="132"/>
      <c r="BV101" s="132"/>
      <c r="BW101" s="135"/>
      <c r="BX101" s="136"/>
      <c r="BY101" s="132"/>
      <c r="BZ101" s="132"/>
      <c r="CA101" s="135"/>
      <c r="CB101" s="136"/>
      <c r="CC101" s="132"/>
      <c r="CD101" s="132"/>
      <c r="CE101" s="132"/>
      <c r="CF101" s="132"/>
      <c r="CG101" s="135"/>
      <c r="CH101" s="136"/>
      <c r="CI101" s="136"/>
      <c r="CJ101" s="132"/>
      <c r="CK101" s="132"/>
      <c r="CL101" s="135"/>
      <c r="CM101" s="136"/>
      <c r="CN101" s="132"/>
      <c r="CO101" s="132"/>
      <c r="CP101" s="132"/>
      <c r="CQ101" s="132"/>
      <c r="CR101" s="137"/>
      <c r="CS101" s="132"/>
      <c r="CT101" s="132"/>
      <c r="CU101" s="132"/>
      <c r="CV101" s="137"/>
      <c r="CW101" s="132"/>
      <c r="CX101" s="132"/>
      <c r="CY101" s="132"/>
      <c r="CZ101" s="132"/>
      <c r="DA101" s="132"/>
      <c r="DB101" s="132"/>
      <c r="DC101" s="137"/>
      <c r="DD101" s="132"/>
      <c r="DE101" s="132"/>
      <c r="DF101" s="132"/>
      <c r="DG101" s="132">
        <f t="shared" si="3"/>
        <v>0</v>
      </c>
    </row>
    <row r="102" spans="1:111" s="125" customFormat="1" ht="17.100000000000001" customHeight="1" x14ac:dyDescent="0.25">
      <c r="A102" s="126"/>
      <c r="B102" s="127"/>
      <c r="C102" s="128"/>
      <c r="D102" s="129"/>
      <c r="E102" s="130"/>
      <c r="F102" s="128"/>
      <c r="G102" s="131"/>
      <c r="H102" s="132"/>
      <c r="I102" s="133"/>
      <c r="J102" s="134"/>
      <c r="K102" s="132"/>
      <c r="L102" s="133"/>
      <c r="M102" s="134"/>
      <c r="N102" s="133"/>
      <c r="O102" s="134"/>
      <c r="P102" s="133"/>
      <c r="Q102" s="134"/>
      <c r="R102" s="132"/>
      <c r="S102" s="132"/>
      <c r="T102" s="133"/>
      <c r="U102" s="134"/>
      <c r="V102" s="132"/>
      <c r="W102" s="135"/>
      <c r="X102" s="136"/>
      <c r="Y102" s="132"/>
      <c r="Z102" s="132"/>
      <c r="AA102" s="132"/>
      <c r="AB102" s="132"/>
      <c r="AC102" s="132"/>
      <c r="AD102" s="135"/>
      <c r="AE102" s="136"/>
      <c r="AF102" s="132"/>
      <c r="AG102" s="137"/>
      <c r="AH102" s="132"/>
      <c r="AI102" s="132"/>
      <c r="AJ102" s="132"/>
      <c r="AK102" s="132"/>
      <c r="AL102" s="132"/>
      <c r="AM102" s="132"/>
      <c r="AN102" s="132"/>
      <c r="AO102" s="132"/>
      <c r="AP102" s="135"/>
      <c r="AQ102" s="136"/>
      <c r="AR102" s="132"/>
      <c r="AS102" s="132"/>
      <c r="AT102" s="132"/>
      <c r="AU102" s="135"/>
      <c r="AV102" s="136"/>
      <c r="AW102" s="132"/>
      <c r="AX102" s="132"/>
      <c r="AY102" s="135"/>
      <c r="AZ102" s="136"/>
      <c r="BA102" s="132"/>
      <c r="BB102" s="132"/>
      <c r="BC102" s="135"/>
      <c r="BD102" s="136"/>
      <c r="BE102" s="132"/>
      <c r="BF102" s="132"/>
      <c r="BG102" s="135"/>
      <c r="BH102" s="136"/>
      <c r="BI102" s="132"/>
      <c r="BJ102" s="132"/>
      <c r="BK102" s="132"/>
      <c r="BL102" s="135"/>
      <c r="BM102" s="136"/>
      <c r="BN102" s="132"/>
      <c r="BO102" s="132"/>
      <c r="BP102" s="135"/>
      <c r="BQ102" s="136"/>
      <c r="BR102" s="137"/>
      <c r="BS102" s="132"/>
      <c r="BT102" s="132"/>
      <c r="BU102" s="132"/>
      <c r="BV102" s="132"/>
      <c r="BW102" s="135"/>
      <c r="BX102" s="136"/>
      <c r="BY102" s="132"/>
      <c r="BZ102" s="132"/>
      <c r="CA102" s="135"/>
      <c r="CB102" s="136"/>
      <c r="CC102" s="132"/>
      <c r="CD102" s="132"/>
      <c r="CE102" s="132"/>
      <c r="CF102" s="132"/>
      <c r="CG102" s="135"/>
      <c r="CH102" s="136"/>
      <c r="CI102" s="136"/>
      <c r="CJ102" s="132"/>
      <c r="CK102" s="132"/>
      <c r="CL102" s="135"/>
      <c r="CM102" s="136"/>
      <c r="CN102" s="132"/>
      <c r="CO102" s="132"/>
      <c r="CP102" s="132"/>
      <c r="CQ102" s="132"/>
      <c r="CR102" s="137"/>
      <c r="CS102" s="132"/>
      <c r="CT102" s="132"/>
      <c r="CU102" s="132"/>
      <c r="CV102" s="137"/>
      <c r="CW102" s="132"/>
      <c r="CX102" s="132"/>
      <c r="CY102" s="132"/>
      <c r="CZ102" s="132"/>
      <c r="DA102" s="132"/>
      <c r="DB102" s="132"/>
      <c r="DC102" s="137"/>
      <c r="DD102" s="132"/>
      <c r="DE102" s="132"/>
      <c r="DF102" s="132"/>
      <c r="DG102" s="132">
        <f t="shared" si="3"/>
        <v>0</v>
      </c>
    </row>
    <row r="103" spans="1:111" s="125" customFormat="1" ht="17.100000000000001" customHeight="1" x14ac:dyDescent="0.25">
      <c r="A103" s="126"/>
      <c r="B103" s="127"/>
      <c r="C103" s="128"/>
      <c r="D103" s="129"/>
      <c r="E103" s="130"/>
      <c r="F103" s="128"/>
      <c r="G103" s="131"/>
      <c r="H103" s="132"/>
      <c r="I103" s="133"/>
      <c r="J103" s="134"/>
      <c r="K103" s="132"/>
      <c r="L103" s="133"/>
      <c r="M103" s="134"/>
      <c r="N103" s="133"/>
      <c r="O103" s="134"/>
      <c r="P103" s="133"/>
      <c r="Q103" s="134"/>
      <c r="R103" s="132"/>
      <c r="S103" s="132"/>
      <c r="T103" s="133"/>
      <c r="U103" s="134"/>
      <c r="V103" s="132"/>
      <c r="W103" s="135"/>
      <c r="X103" s="136"/>
      <c r="Y103" s="132"/>
      <c r="Z103" s="132"/>
      <c r="AA103" s="132"/>
      <c r="AB103" s="132"/>
      <c r="AC103" s="132"/>
      <c r="AD103" s="135"/>
      <c r="AE103" s="136"/>
      <c r="AF103" s="132"/>
      <c r="AG103" s="137"/>
      <c r="AH103" s="132"/>
      <c r="AI103" s="132"/>
      <c r="AJ103" s="132"/>
      <c r="AK103" s="132"/>
      <c r="AL103" s="132"/>
      <c r="AM103" s="132"/>
      <c r="AN103" s="132"/>
      <c r="AO103" s="132"/>
      <c r="AP103" s="135"/>
      <c r="AQ103" s="136"/>
      <c r="AR103" s="132"/>
      <c r="AS103" s="132"/>
      <c r="AT103" s="132"/>
      <c r="AU103" s="135"/>
      <c r="AV103" s="136"/>
      <c r="AW103" s="132"/>
      <c r="AX103" s="132"/>
      <c r="AY103" s="135"/>
      <c r="AZ103" s="136"/>
      <c r="BA103" s="132"/>
      <c r="BB103" s="132"/>
      <c r="BC103" s="135"/>
      <c r="BD103" s="136"/>
      <c r="BE103" s="132"/>
      <c r="BF103" s="132"/>
      <c r="BG103" s="135"/>
      <c r="BH103" s="136"/>
      <c r="BI103" s="132"/>
      <c r="BJ103" s="132"/>
      <c r="BK103" s="132"/>
      <c r="BL103" s="135"/>
      <c r="BM103" s="136"/>
      <c r="BN103" s="132"/>
      <c r="BO103" s="132"/>
      <c r="BP103" s="135"/>
      <c r="BQ103" s="136"/>
      <c r="BR103" s="137"/>
      <c r="BS103" s="132"/>
      <c r="BT103" s="132"/>
      <c r="BU103" s="132"/>
      <c r="BV103" s="132"/>
      <c r="BW103" s="135"/>
      <c r="BX103" s="136"/>
      <c r="BY103" s="132"/>
      <c r="BZ103" s="132"/>
      <c r="CA103" s="135"/>
      <c r="CB103" s="136"/>
      <c r="CC103" s="132"/>
      <c r="CD103" s="132"/>
      <c r="CE103" s="132"/>
      <c r="CF103" s="132"/>
      <c r="CG103" s="135"/>
      <c r="CH103" s="136"/>
      <c r="CI103" s="136"/>
      <c r="CJ103" s="132"/>
      <c r="CK103" s="132"/>
      <c r="CL103" s="135"/>
      <c r="CM103" s="136"/>
      <c r="CN103" s="132"/>
      <c r="CO103" s="132"/>
      <c r="CP103" s="132"/>
      <c r="CQ103" s="132"/>
      <c r="CR103" s="137"/>
      <c r="CS103" s="132"/>
      <c r="CT103" s="132"/>
      <c r="CU103" s="132"/>
      <c r="CV103" s="137"/>
      <c r="CW103" s="132"/>
      <c r="CX103" s="132"/>
      <c r="CY103" s="132"/>
      <c r="CZ103" s="132"/>
      <c r="DA103" s="132"/>
      <c r="DB103" s="132"/>
      <c r="DC103" s="137"/>
      <c r="DD103" s="132"/>
      <c r="DE103" s="132"/>
      <c r="DF103" s="132"/>
      <c r="DG103" s="132">
        <f t="shared" si="3"/>
        <v>0</v>
      </c>
    </row>
    <row r="104" spans="1:111" s="125" customFormat="1" ht="17.100000000000001" customHeight="1" x14ac:dyDescent="0.25">
      <c r="A104" s="126"/>
      <c r="B104" s="127"/>
      <c r="C104" s="128"/>
      <c r="D104" s="129"/>
      <c r="E104" s="130"/>
      <c r="F104" s="128"/>
      <c r="G104" s="131"/>
      <c r="H104" s="132"/>
      <c r="I104" s="133"/>
      <c r="J104" s="134"/>
      <c r="K104" s="132"/>
      <c r="L104" s="133"/>
      <c r="M104" s="134"/>
      <c r="N104" s="133"/>
      <c r="O104" s="134"/>
      <c r="P104" s="133"/>
      <c r="Q104" s="134"/>
      <c r="R104" s="132"/>
      <c r="S104" s="132"/>
      <c r="T104" s="133"/>
      <c r="U104" s="134"/>
      <c r="V104" s="132"/>
      <c r="W104" s="135"/>
      <c r="X104" s="136"/>
      <c r="Y104" s="132"/>
      <c r="Z104" s="132"/>
      <c r="AA104" s="132"/>
      <c r="AB104" s="132"/>
      <c r="AC104" s="132"/>
      <c r="AD104" s="135"/>
      <c r="AE104" s="136"/>
      <c r="AF104" s="132"/>
      <c r="AG104" s="137"/>
      <c r="AH104" s="132"/>
      <c r="AI104" s="132"/>
      <c r="AJ104" s="132"/>
      <c r="AK104" s="132"/>
      <c r="AL104" s="132"/>
      <c r="AM104" s="132"/>
      <c r="AN104" s="132"/>
      <c r="AO104" s="132"/>
      <c r="AP104" s="135"/>
      <c r="AQ104" s="136"/>
      <c r="AR104" s="132"/>
      <c r="AS104" s="132"/>
      <c r="AT104" s="132"/>
      <c r="AU104" s="135"/>
      <c r="AV104" s="136"/>
      <c r="AW104" s="132"/>
      <c r="AX104" s="132"/>
      <c r="AY104" s="135"/>
      <c r="AZ104" s="136"/>
      <c r="BA104" s="132"/>
      <c r="BB104" s="132"/>
      <c r="BC104" s="135"/>
      <c r="BD104" s="136"/>
      <c r="BE104" s="132"/>
      <c r="BF104" s="132"/>
      <c r="BG104" s="135"/>
      <c r="BH104" s="136"/>
      <c r="BI104" s="132"/>
      <c r="BJ104" s="132"/>
      <c r="BK104" s="132"/>
      <c r="BL104" s="135"/>
      <c r="BM104" s="136"/>
      <c r="BN104" s="132"/>
      <c r="BO104" s="132"/>
      <c r="BP104" s="135"/>
      <c r="BQ104" s="136"/>
      <c r="BR104" s="137"/>
      <c r="BS104" s="132"/>
      <c r="BT104" s="132"/>
      <c r="BU104" s="132"/>
      <c r="BV104" s="132"/>
      <c r="BW104" s="135"/>
      <c r="BX104" s="136"/>
      <c r="BY104" s="132"/>
      <c r="BZ104" s="132"/>
      <c r="CA104" s="135"/>
      <c r="CB104" s="136"/>
      <c r="CC104" s="132"/>
      <c r="CD104" s="132"/>
      <c r="CE104" s="132"/>
      <c r="CF104" s="132"/>
      <c r="CG104" s="135"/>
      <c r="CH104" s="136"/>
      <c r="CI104" s="136"/>
      <c r="CJ104" s="132"/>
      <c r="CK104" s="132"/>
      <c r="CL104" s="135"/>
      <c r="CM104" s="136"/>
      <c r="CN104" s="132"/>
      <c r="CO104" s="132"/>
      <c r="CP104" s="132"/>
      <c r="CQ104" s="132"/>
      <c r="CR104" s="137"/>
      <c r="CS104" s="132"/>
      <c r="CT104" s="132"/>
      <c r="CU104" s="132"/>
      <c r="CV104" s="137"/>
      <c r="CW104" s="132"/>
      <c r="CX104" s="132"/>
      <c r="CY104" s="132"/>
      <c r="CZ104" s="132"/>
      <c r="DA104" s="132"/>
      <c r="DB104" s="132"/>
      <c r="DC104" s="137"/>
      <c r="DD104" s="132"/>
      <c r="DE104" s="132"/>
      <c r="DF104" s="132"/>
      <c r="DG104" s="132">
        <f t="shared" si="3"/>
        <v>0</v>
      </c>
    </row>
    <row r="105" spans="1:111" s="125" customFormat="1" ht="17.100000000000001" customHeight="1" x14ac:dyDescent="0.25">
      <c r="A105" s="126"/>
      <c r="B105" s="127"/>
      <c r="C105" s="128"/>
      <c r="D105" s="129"/>
      <c r="E105" s="130"/>
      <c r="F105" s="128"/>
      <c r="G105" s="131"/>
      <c r="H105" s="132"/>
      <c r="I105" s="133"/>
      <c r="J105" s="134"/>
      <c r="K105" s="132"/>
      <c r="L105" s="133"/>
      <c r="M105" s="134"/>
      <c r="N105" s="133"/>
      <c r="O105" s="134"/>
      <c r="P105" s="133"/>
      <c r="Q105" s="134"/>
      <c r="R105" s="132"/>
      <c r="S105" s="132"/>
      <c r="T105" s="133"/>
      <c r="U105" s="134"/>
      <c r="V105" s="132"/>
      <c r="W105" s="135"/>
      <c r="X105" s="136"/>
      <c r="Y105" s="132"/>
      <c r="Z105" s="132"/>
      <c r="AA105" s="132"/>
      <c r="AB105" s="132"/>
      <c r="AC105" s="132"/>
      <c r="AD105" s="135"/>
      <c r="AE105" s="136"/>
      <c r="AF105" s="132"/>
      <c r="AG105" s="137"/>
      <c r="AH105" s="132"/>
      <c r="AI105" s="132"/>
      <c r="AJ105" s="132"/>
      <c r="AK105" s="132"/>
      <c r="AL105" s="132"/>
      <c r="AM105" s="132"/>
      <c r="AN105" s="132"/>
      <c r="AO105" s="132"/>
      <c r="AP105" s="135"/>
      <c r="AQ105" s="136"/>
      <c r="AR105" s="132"/>
      <c r="AS105" s="132"/>
      <c r="AT105" s="132"/>
      <c r="AU105" s="135"/>
      <c r="AV105" s="136"/>
      <c r="AW105" s="132"/>
      <c r="AX105" s="132"/>
      <c r="AY105" s="135"/>
      <c r="AZ105" s="136"/>
      <c r="BA105" s="132"/>
      <c r="BB105" s="132"/>
      <c r="BC105" s="135"/>
      <c r="BD105" s="136"/>
      <c r="BE105" s="132"/>
      <c r="BF105" s="132"/>
      <c r="BG105" s="135"/>
      <c r="BH105" s="136"/>
      <c r="BI105" s="132"/>
      <c r="BJ105" s="132"/>
      <c r="BK105" s="132"/>
      <c r="BL105" s="135"/>
      <c r="BM105" s="136"/>
      <c r="BN105" s="132"/>
      <c r="BO105" s="132"/>
      <c r="BP105" s="135"/>
      <c r="BQ105" s="136"/>
      <c r="BR105" s="137"/>
      <c r="BS105" s="132"/>
      <c r="BT105" s="132"/>
      <c r="BU105" s="132"/>
      <c r="BV105" s="132"/>
      <c r="BW105" s="135"/>
      <c r="BX105" s="136"/>
      <c r="BY105" s="132"/>
      <c r="BZ105" s="132"/>
      <c r="CA105" s="135"/>
      <c r="CB105" s="136"/>
      <c r="CC105" s="132"/>
      <c r="CD105" s="132"/>
      <c r="CE105" s="132"/>
      <c r="CF105" s="132"/>
      <c r="CG105" s="135"/>
      <c r="CH105" s="136"/>
      <c r="CI105" s="136"/>
      <c r="CJ105" s="132"/>
      <c r="CK105" s="132"/>
      <c r="CL105" s="135"/>
      <c r="CM105" s="136"/>
      <c r="CN105" s="132"/>
      <c r="CO105" s="132"/>
      <c r="CP105" s="132"/>
      <c r="CQ105" s="132"/>
      <c r="CR105" s="137"/>
      <c r="CS105" s="132"/>
      <c r="CT105" s="132"/>
      <c r="CU105" s="132"/>
      <c r="CV105" s="137"/>
      <c r="CW105" s="132"/>
      <c r="CX105" s="132"/>
      <c r="CY105" s="132"/>
      <c r="CZ105" s="132"/>
      <c r="DA105" s="132"/>
      <c r="DB105" s="132"/>
      <c r="DC105" s="137"/>
      <c r="DD105" s="132"/>
      <c r="DE105" s="132"/>
      <c r="DF105" s="132"/>
      <c r="DG105" s="132">
        <f t="shared" si="3"/>
        <v>0</v>
      </c>
    </row>
    <row r="106" spans="1:111" s="125" customFormat="1" ht="17.100000000000001" customHeight="1" x14ac:dyDescent="0.25">
      <c r="A106" s="126"/>
      <c r="B106" s="127"/>
      <c r="C106" s="128"/>
      <c r="D106" s="129"/>
      <c r="E106" s="130"/>
      <c r="F106" s="128"/>
      <c r="G106" s="131"/>
      <c r="H106" s="132"/>
      <c r="I106" s="133"/>
      <c r="J106" s="134"/>
      <c r="K106" s="132"/>
      <c r="L106" s="133"/>
      <c r="M106" s="134"/>
      <c r="N106" s="133"/>
      <c r="O106" s="134"/>
      <c r="P106" s="133"/>
      <c r="Q106" s="134"/>
      <c r="R106" s="132"/>
      <c r="S106" s="132"/>
      <c r="T106" s="133"/>
      <c r="U106" s="134"/>
      <c r="V106" s="132"/>
      <c r="W106" s="135"/>
      <c r="X106" s="136"/>
      <c r="Y106" s="132"/>
      <c r="Z106" s="132"/>
      <c r="AA106" s="132"/>
      <c r="AB106" s="132"/>
      <c r="AC106" s="132"/>
      <c r="AD106" s="135"/>
      <c r="AE106" s="136"/>
      <c r="AF106" s="132"/>
      <c r="AG106" s="137"/>
      <c r="AH106" s="132"/>
      <c r="AI106" s="132"/>
      <c r="AJ106" s="132"/>
      <c r="AK106" s="132"/>
      <c r="AL106" s="132"/>
      <c r="AM106" s="132"/>
      <c r="AN106" s="132"/>
      <c r="AO106" s="132"/>
      <c r="AP106" s="135"/>
      <c r="AQ106" s="136"/>
      <c r="AR106" s="132"/>
      <c r="AS106" s="132"/>
      <c r="AT106" s="132"/>
      <c r="AU106" s="135"/>
      <c r="AV106" s="136"/>
      <c r="AW106" s="132"/>
      <c r="AX106" s="132"/>
      <c r="AY106" s="135"/>
      <c r="AZ106" s="136"/>
      <c r="BA106" s="132"/>
      <c r="BB106" s="132"/>
      <c r="BC106" s="135"/>
      <c r="BD106" s="136"/>
      <c r="BE106" s="132"/>
      <c r="BF106" s="132"/>
      <c r="BG106" s="135"/>
      <c r="BH106" s="136"/>
      <c r="BI106" s="132"/>
      <c r="BJ106" s="132"/>
      <c r="BK106" s="132"/>
      <c r="BL106" s="135"/>
      <c r="BM106" s="136"/>
      <c r="BN106" s="132"/>
      <c r="BO106" s="132"/>
      <c r="BP106" s="135"/>
      <c r="BQ106" s="136"/>
      <c r="BR106" s="137"/>
      <c r="BS106" s="132"/>
      <c r="BT106" s="132"/>
      <c r="BU106" s="132"/>
      <c r="BV106" s="132"/>
      <c r="BW106" s="135"/>
      <c r="BX106" s="136"/>
      <c r="BY106" s="132"/>
      <c r="BZ106" s="132"/>
      <c r="CA106" s="135"/>
      <c r="CB106" s="136"/>
      <c r="CC106" s="132"/>
      <c r="CD106" s="132"/>
      <c r="CE106" s="132"/>
      <c r="CF106" s="132"/>
      <c r="CG106" s="135"/>
      <c r="CH106" s="136"/>
      <c r="CI106" s="136"/>
      <c r="CJ106" s="132"/>
      <c r="CK106" s="132"/>
      <c r="CL106" s="135"/>
      <c r="CM106" s="136"/>
      <c r="CN106" s="132"/>
      <c r="CO106" s="132"/>
      <c r="CP106" s="132"/>
      <c r="CQ106" s="132"/>
      <c r="CR106" s="137"/>
      <c r="CS106" s="132"/>
      <c r="CT106" s="132"/>
      <c r="CU106" s="132"/>
      <c r="CV106" s="137"/>
      <c r="CW106" s="132"/>
      <c r="CX106" s="132"/>
      <c r="CY106" s="132"/>
      <c r="CZ106" s="132"/>
      <c r="DA106" s="132"/>
      <c r="DB106" s="132"/>
      <c r="DC106" s="137"/>
      <c r="DD106" s="132"/>
      <c r="DE106" s="132"/>
      <c r="DF106" s="132"/>
      <c r="DG106" s="132">
        <f t="shared" si="3"/>
        <v>0</v>
      </c>
    </row>
    <row r="107" spans="1:111" s="125" customFormat="1" ht="17.100000000000001" customHeight="1" x14ac:dyDescent="0.25">
      <c r="A107" s="126"/>
      <c r="B107" s="127"/>
      <c r="C107" s="128"/>
      <c r="D107" s="129"/>
      <c r="E107" s="130"/>
      <c r="F107" s="128"/>
      <c r="G107" s="131"/>
      <c r="H107" s="132"/>
      <c r="I107" s="133"/>
      <c r="J107" s="134"/>
      <c r="K107" s="132"/>
      <c r="L107" s="133"/>
      <c r="M107" s="134"/>
      <c r="N107" s="133"/>
      <c r="O107" s="134"/>
      <c r="P107" s="133"/>
      <c r="Q107" s="134"/>
      <c r="R107" s="132"/>
      <c r="S107" s="132"/>
      <c r="T107" s="133"/>
      <c r="U107" s="134"/>
      <c r="V107" s="132"/>
      <c r="W107" s="135"/>
      <c r="X107" s="136"/>
      <c r="Y107" s="132"/>
      <c r="Z107" s="132"/>
      <c r="AA107" s="132"/>
      <c r="AB107" s="132"/>
      <c r="AC107" s="132"/>
      <c r="AD107" s="135"/>
      <c r="AE107" s="136"/>
      <c r="AF107" s="132"/>
      <c r="AG107" s="137"/>
      <c r="AH107" s="132"/>
      <c r="AI107" s="132"/>
      <c r="AJ107" s="132"/>
      <c r="AK107" s="132"/>
      <c r="AL107" s="132"/>
      <c r="AM107" s="132"/>
      <c r="AN107" s="132"/>
      <c r="AO107" s="132"/>
      <c r="AP107" s="135"/>
      <c r="AQ107" s="136"/>
      <c r="AR107" s="132"/>
      <c r="AS107" s="132"/>
      <c r="AT107" s="132"/>
      <c r="AU107" s="135"/>
      <c r="AV107" s="136"/>
      <c r="AW107" s="132"/>
      <c r="AX107" s="132"/>
      <c r="AY107" s="135"/>
      <c r="AZ107" s="136"/>
      <c r="BA107" s="132"/>
      <c r="BB107" s="132"/>
      <c r="BC107" s="135"/>
      <c r="BD107" s="136"/>
      <c r="BE107" s="132"/>
      <c r="BF107" s="132"/>
      <c r="BG107" s="135"/>
      <c r="BH107" s="136"/>
      <c r="BI107" s="132"/>
      <c r="BJ107" s="132"/>
      <c r="BK107" s="132"/>
      <c r="BL107" s="135"/>
      <c r="BM107" s="136"/>
      <c r="BN107" s="132"/>
      <c r="BO107" s="132"/>
      <c r="BP107" s="135"/>
      <c r="BQ107" s="136"/>
      <c r="BR107" s="137"/>
      <c r="BS107" s="132"/>
      <c r="BT107" s="132"/>
      <c r="BU107" s="132"/>
      <c r="BV107" s="132"/>
      <c r="BW107" s="135"/>
      <c r="BX107" s="136"/>
      <c r="BY107" s="132"/>
      <c r="BZ107" s="132"/>
      <c r="CA107" s="135"/>
      <c r="CB107" s="136"/>
      <c r="CC107" s="132"/>
      <c r="CD107" s="132"/>
      <c r="CE107" s="132"/>
      <c r="CF107" s="132"/>
      <c r="CG107" s="135"/>
      <c r="CH107" s="136"/>
      <c r="CI107" s="136"/>
      <c r="CJ107" s="132"/>
      <c r="CK107" s="132"/>
      <c r="CL107" s="135"/>
      <c r="CM107" s="136"/>
      <c r="CN107" s="132"/>
      <c r="CO107" s="132"/>
      <c r="CP107" s="132"/>
      <c r="CQ107" s="132"/>
      <c r="CR107" s="137"/>
      <c r="CS107" s="132"/>
      <c r="CT107" s="132"/>
      <c r="CU107" s="132"/>
      <c r="CV107" s="137"/>
      <c r="CW107" s="132"/>
      <c r="CX107" s="132"/>
      <c r="CY107" s="132"/>
      <c r="CZ107" s="132"/>
      <c r="DA107" s="132"/>
      <c r="DB107" s="132"/>
      <c r="DC107" s="137"/>
      <c r="DD107" s="132"/>
      <c r="DE107" s="132"/>
      <c r="DF107" s="132"/>
      <c r="DG107" s="132">
        <f t="shared" si="3"/>
        <v>0</v>
      </c>
    </row>
    <row r="108" spans="1:111" s="125" customFormat="1" ht="17.100000000000001" customHeight="1" x14ac:dyDescent="0.25">
      <c r="A108" s="126"/>
      <c r="B108" s="127"/>
      <c r="C108" s="128"/>
      <c r="D108" s="150"/>
      <c r="E108" s="151"/>
      <c r="F108" s="128"/>
      <c r="G108" s="131"/>
      <c r="H108" s="132"/>
      <c r="I108" s="133"/>
      <c r="J108" s="134"/>
      <c r="K108" s="132"/>
      <c r="L108" s="133"/>
      <c r="M108" s="134"/>
      <c r="N108" s="133"/>
      <c r="O108" s="134"/>
      <c r="P108" s="133"/>
      <c r="Q108" s="134"/>
      <c r="R108" s="132"/>
      <c r="S108" s="132"/>
      <c r="T108" s="133"/>
      <c r="U108" s="134"/>
      <c r="V108" s="132"/>
      <c r="W108" s="135"/>
      <c r="X108" s="136"/>
      <c r="Y108" s="132"/>
      <c r="Z108" s="132"/>
      <c r="AA108" s="132"/>
      <c r="AB108" s="132"/>
      <c r="AC108" s="132"/>
      <c r="AD108" s="135"/>
      <c r="AE108" s="136"/>
      <c r="AF108" s="132"/>
      <c r="AG108" s="137"/>
      <c r="AH108" s="132"/>
      <c r="AI108" s="132"/>
      <c r="AJ108" s="132"/>
      <c r="AK108" s="132"/>
      <c r="AL108" s="132"/>
      <c r="AM108" s="132"/>
      <c r="AN108" s="132"/>
      <c r="AO108" s="132"/>
      <c r="AP108" s="135"/>
      <c r="AQ108" s="136"/>
      <c r="AR108" s="132"/>
      <c r="AS108" s="132"/>
      <c r="AT108" s="132"/>
      <c r="AU108" s="135"/>
      <c r="AV108" s="136"/>
      <c r="AW108" s="132"/>
      <c r="AX108" s="132"/>
      <c r="AY108" s="135"/>
      <c r="AZ108" s="136"/>
      <c r="BA108" s="132"/>
      <c r="BB108" s="132"/>
      <c r="BC108" s="135"/>
      <c r="BD108" s="136"/>
      <c r="BE108" s="132"/>
      <c r="BF108" s="132"/>
      <c r="BG108" s="135"/>
      <c r="BH108" s="136"/>
      <c r="BI108" s="132"/>
      <c r="BJ108" s="132"/>
      <c r="BK108" s="132"/>
      <c r="BL108" s="135"/>
      <c r="BM108" s="136"/>
      <c r="BN108" s="132"/>
      <c r="BO108" s="132"/>
      <c r="BP108" s="135"/>
      <c r="BQ108" s="136"/>
      <c r="BR108" s="137"/>
      <c r="BS108" s="132"/>
      <c r="BT108" s="132"/>
      <c r="BU108" s="132"/>
      <c r="BV108" s="132"/>
      <c r="BW108" s="135"/>
      <c r="BX108" s="136"/>
      <c r="BY108" s="132"/>
      <c r="BZ108" s="132"/>
      <c r="CA108" s="135"/>
      <c r="CB108" s="136"/>
      <c r="CC108" s="132"/>
      <c r="CD108" s="132"/>
      <c r="CE108" s="132"/>
      <c r="CF108" s="132"/>
      <c r="CG108" s="135"/>
      <c r="CH108" s="136"/>
      <c r="CI108" s="136"/>
      <c r="CJ108" s="132"/>
      <c r="CK108" s="132"/>
      <c r="CL108" s="135"/>
      <c r="CM108" s="136"/>
      <c r="CN108" s="132"/>
      <c r="CO108" s="132"/>
      <c r="CP108" s="132"/>
      <c r="CQ108" s="132"/>
      <c r="CR108" s="137"/>
      <c r="CS108" s="132"/>
      <c r="CT108" s="132"/>
      <c r="CU108" s="132"/>
      <c r="CV108" s="137"/>
      <c r="CW108" s="132"/>
      <c r="CX108" s="132"/>
      <c r="CY108" s="132"/>
      <c r="CZ108" s="132"/>
      <c r="DA108" s="132"/>
      <c r="DB108" s="132"/>
      <c r="DC108" s="137"/>
      <c r="DD108" s="132"/>
      <c r="DE108" s="132"/>
      <c r="DF108" s="132"/>
      <c r="DG108" s="132">
        <f t="shared" si="3"/>
        <v>0</v>
      </c>
    </row>
    <row r="109" spans="1:111" s="125" customFormat="1" ht="17.100000000000001" customHeight="1" x14ac:dyDescent="0.25">
      <c r="A109" s="126"/>
      <c r="B109" s="127"/>
      <c r="C109" s="128"/>
      <c r="D109" s="129"/>
      <c r="E109" s="130"/>
      <c r="F109" s="128"/>
      <c r="G109" s="131"/>
      <c r="H109" s="132"/>
      <c r="I109" s="133"/>
      <c r="J109" s="134"/>
      <c r="K109" s="132"/>
      <c r="L109" s="133"/>
      <c r="M109" s="134"/>
      <c r="N109" s="133"/>
      <c r="O109" s="134"/>
      <c r="P109" s="133"/>
      <c r="Q109" s="134"/>
      <c r="R109" s="132"/>
      <c r="S109" s="132"/>
      <c r="T109" s="133"/>
      <c r="U109" s="134"/>
      <c r="V109" s="132"/>
      <c r="W109" s="135"/>
      <c r="X109" s="136"/>
      <c r="Y109" s="132"/>
      <c r="Z109" s="132"/>
      <c r="AA109" s="132"/>
      <c r="AB109" s="132"/>
      <c r="AC109" s="132"/>
      <c r="AD109" s="135"/>
      <c r="AE109" s="136"/>
      <c r="AF109" s="132"/>
      <c r="AG109" s="137"/>
      <c r="AH109" s="132"/>
      <c r="AI109" s="132"/>
      <c r="AJ109" s="132"/>
      <c r="AK109" s="132"/>
      <c r="AL109" s="132"/>
      <c r="AM109" s="132"/>
      <c r="AN109" s="132"/>
      <c r="AO109" s="132"/>
      <c r="AP109" s="135"/>
      <c r="AQ109" s="136"/>
      <c r="AR109" s="132"/>
      <c r="AS109" s="132"/>
      <c r="AT109" s="132"/>
      <c r="AU109" s="135"/>
      <c r="AV109" s="136"/>
      <c r="AW109" s="132"/>
      <c r="AX109" s="132"/>
      <c r="AY109" s="135"/>
      <c r="AZ109" s="136"/>
      <c r="BA109" s="132"/>
      <c r="BB109" s="132"/>
      <c r="BC109" s="135"/>
      <c r="BD109" s="136"/>
      <c r="BE109" s="132"/>
      <c r="BF109" s="132"/>
      <c r="BG109" s="135"/>
      <c r="BH109" s="136"/>
      <c r="BI109" s="132"/>
      <c r="BJ109" s="132"/>
      <c r="BK109" s="132"/>
      <c r="BL109" s="135"/>
      <c r="BM109" s="136"/>
      <c r="BN109" s="132"/>
      <c r="BO109" s="132"/>
      <c r="BP109" s="135"/>
      <c r="BQ109" s="136"/>
      <c r="BR109" s="137"/>
      <c r="BS109" s="132"/>
      <c r="BT109" s="132"/>
      <c r="BU109" s="132"/>
      <c r="BV109" s="132"/>
      <c r="BW109" s="135"/>
      <c r="BX109" s="136"/>
      <c r="BY109" s="132"/>
      <c r="BZ109" s="132"/>
      <c r="CA109" s="135"/>
      <c r="CB109" s="136"/>
      <c r="CC109" s="132"/>
      <c r="CD109" s="132"/>
      <c r="CE109" s="132"/>
      <c r="CF109" s="132"/>
      <c r="CG109" s="135"/>
      <c r="CH109" s="136"/>
      <c r="CI109" s="136"/>
      <c r="CJ109" s="132"/>
      <c r="CK109" s="132"/>
      <c r="CL109" s="135"/>
      <c r="CM109" s="136"/>
      <c r="CN109" s="132"/>
      <c r="CO109" s="132"/>
      <c r="CP109" s="132"/>
      <c r="CQ109" s="132"/>
      <c r="CR109" s="137"/>
      <c r="CS109" s="132"/>
      <c r="CT109" s="132"/>
      <c r="CU109" s="132"/>
      <c r="CV109" s="137"/>
      <c r="CW109" s="132"/>
      <c r="CX109" s="132"/>
      <c r="CY109" s="132"/>
      <c r="CZ109" s="132"/>
      <c r="DA109" s="132"/>
      <c r="DB109" s="132"/>
      <c r="DC109" s="137"/>
      <c r="DD109" s="132"/>
      <c r="DE109" s="132"/>
      <c r="DF109" s="132"/>
      <c r="DG109" s="132">
        <f t="shared" si="3"/>
        <v>0</v>
      </c>
    </row>
    <row r="110" spans="1:111" s="125" customFormat="1" ht="17.100000000000001" customHeight="1" x14ac:dyDescent="0.25">
      <c r="A110" s="126"/>
      <c r="B110" s="127"/>
      <c r="C110" s="128"/>
      <c r="D110" s="129"/>
      <c r="E110" s="130"/>
      <c r="F110" s="128"/>
      <c r="G110" s="131"/>
      <c r="H110" s="132"/>
      <c r="I110" s="133"/>
      <c r="J110" s="134"/>
      <c r="K110" s="132"/>
      <c r="L110" s="133"/>
      <c r="M110" s="134"/>
      <c r="N110" s="133"/>
      <c r="O110" s="134"/>
      <c r="P110" s="133"/>
      <c r="Q110" s="134"/>
      <c r="R110" s="132"/>
      <c r="S110" s="132"/>
      <c r="T110" s="133"/>
      <c r="U110" s="134"/>
      <c r="V110" s="132"/>
      <c r="W110" s="135"/>
      <c r="X110" s="136"/>
      <c r="Y110" s="132"/>
      <c r="Z110" s="132"/>
      <c r="AA110" s="132"/>
      <c r="AB110" s="132"/>
      <c r="AC110" s="132"/>
      <c r="AD110" s="135"/>
      <c r="AE110" s="136"/>
      <c r="AF110" s="132"/>
      <c r="AG110" s="137"/>
      <c r="AH110" s="132"/>
      <c r="AI110" s="132"/>
      <c r="AJ110" s="132"/>
      <c r="AK110" s="132"/>
      <c r="AL110" s="132"/>
      <c r="AM110" s="132"/>
      <c r="AN110" s="132"/>
      <c r="AO110" s="132"/>
      <c r="AP110" s="135"/>
      <c r="AQ110" s="136"/>
      <c r="AR110" s="132"/>
      <c r="AS110" s="132"/>
      <c r="AT110" s="132"/>
      <c r="AU110" s="135"/>
      <c r="AV110" s="136"/>
      <c r="AW110" s="132"/>
      <c r="AX110" s="132"/>
      <c r="AY110" s="135"/>
      <c r="AZ110" s="136"/>
      <c r="BA110" s="132"/>
      <c r="BB110" s="132"/>
      <c r="BC110" s="135"/>
      <c r="BD110" s="136"/>
      <c r="BE110" s="132"/>
      <c r="BF110" s="132"/>
      <c r="BG110" s="135"/>
      <c r="BH110" s="136"/>
      <c r="BI110" s="132"/>
      <c r="BJ110" s="132"/>
      <c r="BK110" s="132"/>
      <c r="BL110" s="135"/>
      <c r="BM110" s="136"/>
      <c r="BN110" s="132"/>
      <c r="BO110" s="132"/>
      <c r="BP110" s="135"/>
      <c r="BQ110" s="136"/>
      <c r="BR110" s="137"/>
      <c r="BS110" s="132"/>
      <c r="BT110" s="132"/>
      <c r="BU110" s="132"/>
      <c r="BV110" s="132"/>
      <c r="BW110" s="135"/>
      <c r="BX110" s="136"/>
      <c r="BY110" s="132"/>
      <c r="BZ110" s="132"/>
      <c r="CA110" s="135"/>
      <c r="CB110" s="136"/>
      <c r="CC110" s="132"/>
      <c r="CD110" s="132"/>
      <c r="CE110" s="132"/>
      <c r="CF110" s="132"/>
      <c r="CG110" s="135"/>
      <c r="CH110" s="136"/>
      <c r="CI110" s="136"/>
      <c r="CJ110" s="132"/>
      <c r="CK110" s="132"/>
      <c r="CL110" s="135"/>
      <c r="CM110" s="136"/>
      <c r="CN110" s="132"/>
      <c r="CO110" s="132"/>
      <c r="CP110" s="132"/>
      <c r="CQ110" s="132"/>
      <c r="CR110" s="137"/>
      <c r="CS110" s="132"/>
      <c r="CT110" s="132"/>
      <c r="CU110" s="132"/>
      <c r="CV110" s="137"/>
      <c r="CW110" s="132"/>
      <c r="CX110" s="132"/>
      <c r="CY110" s="132"/>
      <c r="CZ110" s="132"/>
      <c r="DA110" s="132"/>
      <c r="DB110" s="132"/>
      <c r="DC110" s="137"/>
      <c r="DD110" s="132"/>
      <c r="DE110" s="132"/>
      <c r="DF110" s="132"/>
      <c r="DG110" s="132">
        <f t="shared" si="3"/>
        <v>0</v>
      </c>
    </row>
    <row r="111" spans="1:111" s="125" customFormat="1" ht="17.100000000000001" customHeight="1" x14ac:dyDescent="0.25">
      <c r="A111" s="126"/>
      <c r="B111" s="127"/>
      <c r="C111" s="128"/>
      <c r="D111" s="129"/>
      <c r="E111" s="130"/>
      <c r="F111" s="128"/>
      <c r="G111" s="131"/>
      <c r="H111" s="132"/>
      <c r="I111" s="133"/>
      <c r="J111" s="134"/>
      <c r="K111" s="132"/>
      <c r="L111" s="133"/>
      <c r="M111" s="134"/>
      <c r="N111" s="133"/>
      <c r="O111" s="134"/>
      <c r="P111" s="133"/>
      <c r="Q111" s="134"/>
      <c r="R111" s="132"/>
      <c r="S111" s="132"/>
      <c r="T111" s="133"/>
      <c r="U111" s="134"/>
      <c r="V111" s="132"/>
      <c r="W111" s="135"/>
      <c r="X111" s="136"/>
      <c r="Y111" s="132"/>
      <c r="Z111" s="132"/>
      <c r="AA111" s="132"/>
      <c r="AB111" s="132"/>
      <c r="AC111" s="132"/>
      <c r="AD111" s="135"/>
      <c r="AE111" s="136"/>
      <c r="AF111" s="132"/>
      <c r="AG111" s="137"/>
      <c r="AH111" s="132"/>
      <c r="AI111" s="132"/>
      <c r="AJ111" s="132"/>
      <c r="AK111" s="132"/>
      <c r="AL111" s="132"/>
      <c r="AM111" s="132"/>
      <c r="AN111" s="132"/>
      <c r="AO111" s="132"/>
      <c r="AP111" s="135"/>
      <c r="AQ111" s="136"/>
      <c r="AR111" s="132"/>
      <c r="AS111" s="132"/>
      <c r="AT111" s="132"/>
      <c r="AU111" s="135"/>
      <c r="AV111" s="136"/>
      <c r="AW111" s="132"/>
      <c r="AX111" s="132"/>
      <c r="AY111" s="135"/>
      <c r="AZ111" s="136"/>
      <c r="BA111" s="132"/>
      <c r="BB111" s="132"/>
      <c r="BC111" s="135"/>
      <c r="BD111" s="136"/>
      <c r="BE111" s="132"/>
      <c r="BF111" s="132"/>
      <c r="BG111" s="135"/>
      <c r="BH111" s="136"/>
      <c r="BI111" s="132"/>
      <c r="BJ111" s="132"/>
      <c r="BK111" s="132"/>
      <c r="BL111" s="135"/>
      <c r="BM111" s="136"/>
      <c r="BN111" s="132"/>
      <c r="BO111" s="132"/>
      <c r="BP111" s="135"/>
      <c r="BQ111" s="136"/>
      <c r="BR111" s="137"/>
      <c r="BS111" s="132"/>
      <c r="BT111" s="132"/>
      <c r="BU111" s="132"/>
      <c r="BV111" s="132"/>
      <c r="BW111" s="135"/>
      <c r="BX111" s="136"/>
      <c r="BY111" s="132"/>
      <c r="BZ111" s="132"/>
      <c r="CA111" s="135"/>
      <c r="CB111" s="136"/>
      <c r="CC111" s="132"/>
      <c r="CD111" s="132"/>
      <c r="CE111" s="132"/>
      <c r="CF111" s="132"/>
      <c r="CG111" s="135"/>
      <c r="CH111" s="136"/>
      <c r="CI111" s="136"/>
      <c r="CJ111" s="132"/>
      <c r="CK111" s="132"/>
      <c r="CL111" s="135"/>
      <c r="CM111" s="136"/>
      <c r="CN111" s="132"/>
      <c r="CO111" s="132"/>
      <c r="CP111" s="132"/>
      <c r="CQ111" s="132"/>
      <c r="CR111" s="137"/>
      <c r="CS111" s="132"/>
      <c r="CT111" s="132"/>
      <c r="CU111" s="132"/>
      <c r="CV111" s="137"/>
      <c r="CW111" s="132"/>
      <c r="CX111" s="132"/>
      <c r="CY111" s="132"/>
      <c r="CZ111" s="132"/>
      <c r="DA111" s="132"/>
      <c r="DB111" s="132"/>
      <c r="DC111" s="137"/>
      <c r="DD111" s="132"/>
      <c r="DE111" s="132"/>
      <c r="DF111" s="132"/>
      <c r="DG111" s="132">
        <f t="shared" si="3"/>
        <v>0</v>
      </c>
    </row>
    <row r="112" spans="1:111" s="125" customFormat="1" ht="17.100000000000001" customHeight="1" x14ac:dyDescent="0.25">
      <c r="A112" s="126"/>
      <c r="B112" s="127"/>
      <c r="C112" s="128"/>
      <c r="D112" s="147"/>
      <c r="E112" s="130"/>
      <c r="F112" s="128"/>
      <c r="G112" s="131"/>
      <c r="H112" s="132"/>
      <c r="I112" s="133"/>
      <c r="J112" s="134"/>
      <c r="K112" s="132"/>
      <c r="L112" s="133"/>
      <c r="M112" s="134"/>
      <c r="N112" s="133"/>
      <c r="O112" s="134"/>
      <c r="P112" s="133"/>
      <c r="Q112" s="134"/>
      <c r="R112" s="132"/>
      <c r="S112" s="132"/>
      <c r="T112" s="133"/>
      <c r="U112" s="134"/>
      <c r="V112" s="132"/>
      <c r="W112" s="135"/>
      <c r="X112" s="136"/>
      <c r="Y112" s="132"/>
      <c r="Z112" s="132"/>
      <c r="AA112" s="132"/>
      <c r="AB112" s="132"/>
      <c r="AC112" s="132"/>
      <c r="AD112" s="135"/>
      <c r="AE112" s="136"/>
      <c r="AF112" s="132"/>
      <c r="AG112" s="137"/>
      <c r="AH112" s="132"/>
      <c r="AI112" s="132"/>
      <c r="AJ112" s="132"/>
      <c r="AK112" s="132"/>
      <c r="AL112" s="132"/>
      <c r="AM112" s="132"/>
      <c r="AN112" s="132"/>
      <c r="AO112" s="132"/>
      <c r="AP112" s="135"/>
      <c r="AQ112" s="136"/>
      <c r="AR112" s="132"/>
      <c r="AS112" s="132"/>
      <c r="AT112" s="132"/>
      <c r="AU112" s="135"/>
      <c r="AV112" s="136"/>
      <c r="AW112" s="132"/>
      <c r="AX112" s="132"/>
      <c r="AY112" s="135"/>
      <c r="AZ112" s="136"/>
      <c r="BA112" s="132"/>
      <c r="BB112" s="132"/>
      <c r="BC112" s="135"/>
      <c r="BD112" s="136"/>
      <c r="BE112" s="132"/>
      <c r="BF112" s="132"/>
      <c r="BG112" s="135"/>
      <c r="BH112" s="136"/>
      <c r="BI112" s="132"/>
      <c r="BJ112" s="132"/>
      <c r="BK112" s="132"/>
      <c r="BL112" s="135"/>
      <c r="BM112" s="136"/>
      <c r="BN112" s="132"/>
      <c r="BO112" s="132"/>
      <c r="BP112" s="135"/>
      <c r="BQ112" s="136"/>
      <c r="BR112" s="137"/>
      <c r="BS112" s="132"/>
      <c r="BT112" s="132"/>
      <c r="BU112" s="132"/>
      <c r="BV112" s="132"/>
      <c r="BW112" s="135"/>
      <c r="BX112" s="136"/>
      <c r="BY112" s="132"/>
      <c r="BZ112" s="132"/>
      <c r="CA112" s="135"/>
      <c r="CB112" s="136"/>
      <c r="CC112" s="132"/>
      <c r="CD112" s="132"/>
      <c r="CE112" s="132"/>
      <c r="CF112" s="132"/>
      <c r="CG112" s="135"/>
      <c r="CH112" s="136"/>
      <c r="CI112" s="136"/>
      <c r="CJ112" s="132"/>
      <c r="CK112" s="132"/>
      <c r="CL112" s="135"/>
      <c r="CM112" s="136"/>
      <c r="CN112" s="132"/>
      <c r="CO112" s="132"/>
      <c r="CP112" s="132"/>
      <c r="CQ112" s="132"/>
      <c r="CR112" s="137"/>
      <c r="CS112" s="132"/>
      <c r="CT112" s="132"/>
      <c r="CU112" s="132"/>
      <c r="CV112" s="137"/>
      <c r="CW112" s="132"/>
      <c r="CX112" s="132"/>
      <c r="CY112" s="132"/>
      <c r="CZ112" s="132"/>
      <c r="DA112" s="132"/>
      <c r="DB112" s="132"/>
      <c r="DC112" s="137"/>
      <c r="DD112" s="132"/>
      <c r="DE112" s="132"/>
      <c r="DF112" s="132"/>
      <c r="DG112" s="132">
        <f t="shared" si="3"/>
        <v>0</v>
      </c>
    </row>
    <row r="113" spans="1:111" s="125" customFormat="1" ht="17.100000000000001" customHeight="1" x14ac:dyDescent="0.25">
      <c r="A113" s="126"/>
      <c r="B113" s="127"/>
      <c r="C113" s="128"/>
      <c r="D113" s="159"/>
      <c r="E113" s="130"/>
      <c r="F113" s="128"/>
      <c r="G113" s="131"/>
      <c r="H113" s="132"/>
      <c r="I113" s="133"/>
      <c r="J113" s="134"/>
      <c r="K113" s="132"/>
      <c r="L113" s="133"/>
      <c r="M113" s="134"/>
      <c r="N113" s="133"/>
      <c r="O113" s="134"/>
      <c r="P113" s="133"/>
      <c r="Q113" s="134"/>
      <c r="R113" s="132"/>
      <c r="S113" s="132"/>
      <c r="T113" s="133"/>
      <c r="U113" s="134"/>
      <c r="V113" s="132"/>
      <c r="W113" s="135"/>
      <c r="X113" s="136"/>
      <c r="Y113" s="132"/>
      <c r="Z113" s="132"/>
      <c r="AA113" s="132"/>
      <c r="AB113" s="132"/>
      <c r="AC113" s="132"/>
      <c r="AD113" s="135"/>
      <c r="AE113" s="136"/>
      <c r="AF113" s="132"/>
      <c r="AG113" s="137"/>
      <c r="AH113" s="132"/>
      <c r="AI113" s="132"/>
      <c r="AJ113" s="132"/>
      <c r="AK113" s="132"/>
      <c r="AL113" s="132"/>
      <c r="AM113" s="132"/>
      <c r="AN113" s="132"/>
      <c r="AO113" s="132"/>
      <c r="AP113" s="135"/>
      <c r="AQ113" s="136"/>
      <c r="AR113" s="132"/>
      <c r="AS113" s="132"/>
      <c r="AT113" s="132"/>
      <c r="AU113" s="135"/>
      <c r="AV113" s="136"/>
      <c r="AW113" s="132"/>
      <c r="AX113" s="132"/>
      <c r="AY113" s="135"/>
      <c r="AZ113" s="136"/>
      <c r="BA113" s="132"/>
      <c r="BB113" s="132"/>
      <c r="BC113" s="135"/>
      <c r="BD113" s="136"/>
      <c r="BE113" s="132"/>
      <c r="BF113" s="132"/>
      <c r="BG113" s="135"/>
      <c r="BH113" s="136"/>
      <c r="BI113" s="132"/>
      <c r="BJ113" s="132"/>
      <c r="BK113" s="132"/>
      <c r="BL113" s="135"/>
      <c r="BM113" s="136"/>
      <c r="BN113" s="132"/>
      <c r="BO113" s="132"/>
      <c r="BP113" s="135"/>
      <c r="BQ113" s="136"/>
      <c r="BR113" s="137"/>
      <c r="BS113" s="132"/>
      <c r="BT113" s="132"/>
      <c r="BU113" s="132"/>
      <c r="BV113" s="132"/>
      <c r="BW113" s="135"/>
      <c r="BX113" s="136"/>
      <c r="BY113" s="132"/>
      <c r="BZ113" s="132"/>
      <c r="CA113" s="135"/>
      <c r="CB113" s="136"/>
      <c r="CC113" s="132"/>
      <c r="CD113" s="132"/>
      <c r="CE113" s="132"/>
      <c r="CF113" s="132"/>
      <c r="CG113" s="135"/>
      <c r="CH113" s="136"/>
      <c r="CI113" s="136"/>
      <c r="CJ113" s="132"/>
      <c r="CK113" s="132"/>
      <c r="CL113" s="135"/>
      <c r="CM113" s="136"/>
      <c r="CN113" s="132"/>
      <c r="CO113" s="132"/>
      <c r="CP113" s="132"/>
      <c r="CQ113" s="132"/>
      <c r="CR113" s="137"/>
      <c r="CS113" s="132"/>
      <c r="CT113" s="132"/>
      <c r="CU113" s="132"/>
      <c r="CV113" s="137"/>
      <c r="CW113" s="132"/>
      <c r="CX113" s="132"/>
      <c r="CY113" s="132"/>
      <c r="CZ113" s="132"/>
      <c r="DA113" s="132"/>
      <c r="DB113" s="132"/>
      <c r="DC113" s="137"/>
      <c r="DD113" s="132"/>
      <c r="DE113" s="132"/>
      <c r="DF113" s="132"/>
      <c r="DG113" s="132">
        <f t="shared" si="3"/>
        <v>0</v>
      </c>
    </row>
    <row r="114" spans="1:111" s="125" customFormat="1" ht="17.100000000000001" customHeight="1" x14ac:dyDescent="0.25">
      <c r="A114" s="126"/>
      <c r="B114" s="127"/>
      <c r="C114" s="128"/>
      <c r="D114" s="129"/>
      <c r="E114" s="130"/>
      <c r="F114" s="128"/>
      <c r="G114" s="131"/>
      <c r="H114" s="132"/>
      <c r="I114" s="133"/>
      <c r="J114" s="134"/>
      <c r="K114" s="132"/>
      <c r="L114" s="133"/>
      <c r="M114" s="134"/>
      <c r="N114" s="133"/>
      <c r="O114" s="134"/>
      <c r="P114" s="133"/>
      <c r="Q114" s="134"/>
      <c r="R114" s="132"/>
      <c r="S114" s="132"/>
      <c r="T114" s="133"/>
      <c r="U114" s="134"/>
      <c r="V114" s="132"/>
      <c r="W114" s="135"/>
      <c r="X114" s="136"/>
      <c r="Y114" s="132"/>
      <c r="Z114" s="132"/>
      <c r="AA114" s="132"/>
      <c r="AB114" s="132"/>
      <c r="AC114" s="132"/>
      <c r="AD114" s="135"/>
      <c r="AE114" s="136"/>
      <c r="AF114" s="132"/>
      <c r="AG114" s="137"/>
      <c r="AH114" s="132"/>
      <c r="AI114" s="132"/>
      <c r="AJ114" s="132"/>
      <c r="AK114" s="132"/>
      <c r="AL114" s="132"/>
      <c r="AM114" s="132"/>
      <c r="AN114" s="132"/>
      <c r="AO114" s="132"/>
      <c r="AP114" s="135"/>
      <c r="AQ114" s="136"/>
      <c r="AR114" s="132"/>
      <c r="AS114" s="132"/>
      <c r="AT114" s="132"/>
      <c r="AU114" s="135"/>
      <c r="AV114" s="136"/>
      <c r="AW114" s="132"/>
      <c r="AX114" s="132"/>
      <c r="AY114" s="135"/>
      <c r="AZ114" s="136"/>
      <c r="BA114" s="132"/>
      <c r="BB114" s="132"/>
      <c r="BC114" s="135"/>
      <c r="BD114" s="136"/>
      <c r="BE114" s="132"/>
      <c r="BF114" s="132"/>
      <c r="BG114" s="135"/>
      <c r="BH114" s="136"/>
      <c r="BI114" s="132"/>
      <c r="BJ114" s="132"/>
      <c r="BK114" s="132"/>
      <c r="BL114" s="135"/>
      <c r="BM114" s="136"/>
      <c r="BN114" s="132"/>
      <c r="BO114" s="132"/>
      <c r="BP114" s="135"/>
      <c r="BQ114" s="136"/>
      <c r="BR114" s="137"/>
      <c r="BS114" s="132"/>
      <c r="BT114" s="132"/>
      <c r="BU114" s="132"/>
      <c r="BV114" s="132"/>
      <c r="BW114" s="135"/>
      <c r="BX114" s="136"/>
      <c r="BY114" s="132"/>
      <c r="BZ114" s="132"/>
      <c r="CA114" s="135"/>
      <c r="CB114" s="136"/>
      <c r="CC114" s="132"/>
      <c r="CD114" s="132"/>
      <c r="CE114" s="132"/>
      <c r="CF114" s="132"/>
      <c r="CG114" s="135"/>
      <c r="CH114" s="136"/>
      <c r="CI114" s="136"/>
      <c r="CJ114" s="132"/>
      <c r="CK114" s="132"/>
      <c r="CL114" s="135"/>
      <c r="CM114" s="136"/>
      <c r="CN114" s="132"/>
      <c r="CO114" s="132"/>
      <c r="CP114" s="132"/>
      <c r="CQ114" s="132"/>
      <c r="CR114" s="137"/>
      <c r="CS114" s="132"/>
      <c r="CT114" s="132"/>
      <c r="CU114" s="132"/>
      <c r="CV114" s="137"/>
      <c r="CW114" s="132"/>
      <c r="CX114" s="132"/>
      <c r="CY114" s="132"/>
      <c r="CZ114" s="132"/>
      <c r="DA114" s="132"/>
      <c r="DB114" s="132"/>
      <c r="DC114" s="137"/>
      <c r="DD114" s="132"/>
      <c r="DE114" s="132"/>
      <c r="DF114" s="132"/>
      <c r="DG114" s="132">
        <f t="shared" si="3"/>
        <v>0</v>
      </c>
    </row>
    <row r="115" spans="1:111" s="125" customFormat="1" ht="17.100000000000001" customHeight="1" x14ac:dyDescent="0.25">
      <c r="A115" s="126"/>
      <c r="B115" s="127"/>
      <c r="C115" s="128"/>
      <c r="D115" s="129"/>
      <c r="E115" s="130"/>
      <c r="F115" s="144"/>
      <c r="G115" s="138"/>
      <c r="H115" s="132"/>
      <c r="I115" s="133"/>
      <c r="J115" s="134"/>
      <c r="K115" s="132"/>
      <c r="L115" s="155"/>
      <c r="M115" s="134"/>
      <c r="N115" s="133"/>
      <c r="O115" s="134"/>
      <c r="P115" s="133"/>
      <c r="Q115" s="134"/>
      <c r="R115" s="132"/>
      <c r="S115" s="132"/>
      <c r="T115" s="155"/>
      <c r="U115" s="134"/>
      <c r="V115" s="132"/>
      <c r="W115" s="135"/>
      <c r="X115" s="136"/>
      <c r="Y115" s="132"/>
      <c r="Z115" s="132"/>
      <c r="AA115" s="132"/>
      <c r="AB115" s="132"/>
      <c r="AC115" s="132"/>
      <c r="AD115" s="135"/>
      <c r="AE115" s="136"/>
      <c r="AF115" s="132"/>
      <c r="AG115" s="137"/>
      <c r="AH115" s="132"/>
      <c r="AI115" s="132"/>
      <c r="AJ115" s="132"/>
      <c r="AK115" s="132"/>
      <c r="AL115" s="132"/>
      <c r="AM115" s="132"/>
      <c r="AN115" s="132"/>
      <c r="AO115" s="132"/>
      <c r="AP115" s="135"/>
      <c r="AQ115" s="136"/>
      <c r="AR115" s="132"/>
      <c r="AS115" s="132"/>
      <c r="AT115" s="132"/>
      <c r="AU115" s="135"/>
      <c r="AV115" s="136"/>
      <c r="AW115" s="132"/>
      <c r="AX115" s="132"/>
      <c r="AY115" s="135"/>
      <c r="AZ115" s="136"/>
      <c r="BA115" s="132"/>
      <c r="BB115" s="132"/>
      <c r="BC115" s="135"/>
      <c r="BD115" s="136"/>
      <c r="BE115" s="132"/>
      <c r="BF115" s="132"/>
      <c r="BG115" s="135"/>
      <c r="BH115" s="136"/>
      <c r="BI115" s="132"/>
      <c r="BJ115" s="132"/>
      <c r="BK115" s="132"/>
      <c r="BL115" s="135"/>
      <c r="BM115" s="136"/>
      <c r="BN115" s="132"/>
      <c r="BO115" s="132"/>
      <c r="BP115" s="135"/>
      <c r="BQ115" s="136"/>
      <c r="BR115" s="137"/>
      <c r="BS115" s="132"/>
      <c r="BT115" s="132"/>
      <c r="BU115" s="132"/>
      <c r="BV115" s="132"/>
      <c r="BW115" s="145"/>
      <c r="BX115" s="136"/>
      <c r="BY115" s="132"/>
      <c r="BZ115" s="132"/>
      <c r="CA115" s="135"/>
      <c r="CB115" s="136"/>
      <c r="CC115" s="132"/>
      <c r="CD115" s="132"/>
      <c r="CE115" s="132"/>
      <c r="CF115" s="132"/>
      <c r="CG115" s="145"/>
      <c r="CH115" s="136"/>
      <c r="CI115" s="146"/>
      <c r="CJ115" s="140"/>
      <c r="CK115" s="132"/>
      <c r="CL115" s="145"/>
      <c r="CM115" s="136"/>
      <c r="CN115" s="132"/>
      <c r="CO115" s="132"/>
      <c r="CP115" s="132"/>
      <c r="CQ115" s="132"/>
      <c r="CR115" s="137"/>
      <c r="CS115" s="132"/>
      <c r="CT115" s="132"/>
      <c r="CU115" s="132"/>
      <c r="CV115" s="137"/>
      <c r="CW115" s="132"/>
      <c r="CX115" s="132"/>
      <c r="CY115" s="132"/>
      <c r="CZ115" s="132"/>
      <c r="DA115" s="140"/>
      <c r="DB115" s="132"/>
      <c r="DC115" s="141"/>
      <c r="DD115" s="140"/>
      <c r="DE115" s="140"/>
      <c r="DF115" s="140"/>
      <c r="DG115" s="132">
        <f t="shared" si="3"/>
        <v>0</v>
      </c>
    </row>
    <row r="116" spans="1:111" s="125" customFormat="1" ht="17.100000000000001" customHeight="1" x14ac:dyDescent="0.25">
      <c r="A116" s="126"/>
      <c r="B116" s="127"/>
      <c r="C116" s="128"/>
      <c r="D116" s="129"/>
      <c r="E116" s="130"/>
      <c r="F116" s="128"/>
      <c r="G116" s="131"/>
      <c r="H116" s="132"/>
      <c r="I116" s="133"/>
      <c r="J116" s="134"/>
      <c r="K116" s="132"/>
      <c r="L116" s="133"/>
      <c r="M116" s="134"/>
      <c r="N116" s="133"/>
      <c r="O116" s="134"/>
      <c r="P116" s="133"/>
      <c r="Q116" s="134"/>
      <c r="R116" s="132"/>
      <c r="S116" s="132"/>
      <c r="T116" s="133"/>
      <c r="U116" s="134"/>
      <c r="V116" s="132"/>
      <c r="W116" s="135"/>
      <c r="X116" s="136"/>
      <c r="Y116" s="132"/>
      <c r="Z116" s="132"/>
      <c r="AA116" s="132"/>
      <c r="AB116" s="132"/>
      <c r="AC116" s="132"/>
      <c r="AD116" s="135"/>
      <c r="AE116" s="136"/>
      <c r="AF116" s="132"/>
      <c r="AG116" s="137"/>
      <c r="AH116" s="132"/>
      <c r="AI116" s="132"/>
      <c r="AJ116" s="132"/>
      <c r="AK116" s="132"/>
      <c r="AL116" s="132"/>
      <c r="AM116" s="132"/>
      <c r="AN116" s="132"/>
      <c r="AO116" s="132"/>
      <c r="AP116" s="135"/>
      <c r="AQ116" s="136"/>
      <c r="AR116" s="132"/>
      <c r="AS116" s="132"/>
      <c r="AT116" s="132"/>
      <c r="AU116" s="135"/>
      <c r="AV116" s="136"/>
      <c r="AW116" s="132"/>
      <c r="AX116" s="132"/>
      <c r="AY116" s="135"/>
      <c r="AZ116" s="136"/>
      <c r="BA116" s="132"/>
      <c r="BB116" s="132"/>
      <c r="BC116" s="135"/>
      <c r="BD116" s="136"/>
      <c r="BE116" s="132"/>
      <c r="BF116" s="132"/>
      <c r="BG116" s="135"/>
      <c r="BH116" s="136"/>
      <c r="BI116" s="132"/>
      <c r="BJ116" s="132"/>
      <c r="BK116" s="132"/>
      <c r="BL116" s="135"/>
      <c r="BM116" s="136"/>
      <c r="BN116" s="132"/>
      <c r="BO116" s="132"/>
      <c r="BP116" s="135"/>
      <c r="BQ116" s="136"/>
      <c r="BR116" s="137"/>
      <c r="BS116" s="132"/>
      <c r="BT116" s="132"/>
      <c r="BU116" s="132"/>
      <c r="BV116" s="132"/>
      <c r="BW116" s="135"/>
      <c r="BX116" s="136"/>
      <c r="BY116" s="132"/>
      <c r="BZ116" s="132"/>
      <c r="CA116" s="135"/>
      <c r="CB116" s="136"/>
      <c r="CC116" s="132"/>
      <c r="CD116" s="132"/>
      <c r="CE116" s="132"/>
      <c r="CF116" s="132"/>
      <c r="CG116" s="135"/>
      <c r="CH116" s="136"/>
      <c r="CI116" s="136"/>
      <c r="CJ116" s="132"/>
      <c r="CK116" s="132"/>
      <c r="CL116" s="135"/>
      <c r="CM116" s="136"/>
      <c r="CN116" s="132"/>
      <c r="CO116" s="132"/>
      <c r="CP116" s="132"/>
      <c r="CQ116" s="132"/>
      <c r="CR116" s="137"/>
      <c r="CS116" s="132"/>
      <c r="CT116" s="132"/>
      <c r="CU116" s="132"/>
      <c r="CV116" s="137"/>
      <c r="CW116" s="132"/>
      <c r="CX116" s="132"/>
      <c r="CY116" s="132"/>
      <c r="CZ116" s="132"/>
      <c r="DA116" s="132"/>
      <c r="DB116" s="132"/>
      <c r="DC116" s="137"/>
      <c r="DD116" s="132"/>
      <c r="DE116" s="132"/>
      <c r="DF116" s="132"/>
      <c r="DG116" s="132">
        <f t="shared" si="3"/>
        <v>0</v>
      </c>
    </row>
    <row r="117" spans="1:111" s="125" customFormat="1" ht="17.100000000000001" customHeight="1" x14ac:dyDescent="0.25">
      <c r="A117" s="126"/>
      <c r="B117" s="127"/>
      <c r="C117" s="128"/>
      <c r="D117" s="129"/>
      <c r="E117" s="130"/>
      <c r="F117" s="128"/>
      <c r="G117" s="131"/>
      <c r="H117" s="132"/>
      <c r="I117" s="133"/>
      <c r="J117" s="134"/>
      <c r="K117" s="132"/>
      <c r="L117" s="133"/>
      <c r="M117" s="134"/>
      <c r="N117" s="133"/>
      <c r="O117" s="134"/>
      <c r="P117" s="133"/>
      <c r="Q117" s="134"/>
      <c r="R117" s="132"/>
      <c r="S117" s="132"/>
      <c r="T117" s="133"/>
      <c r="U117" s="134"/>
      <c r="V117" s="132"/>
      <c r="W117" s="135"/>
      <c r="X117" s="136"/>
      <c r="Y117" s="132"/>
      <c r="Z117" s="132"/>
      <c r="AA117" s="132"/>
      <c r="AB117" s="132"/>
      <c r="AC117" s="132"/>
      <c r="AD117" s="135"/>
      <c r="AE117" s="136"/>
      <c r="AF117" s="132"/>
      <c r="AG117" s="137"/>
      <c r="AH117" s="132"/>
      <c r="AI117" s="132"/>
      <c r="AJ117" s="132"/>
      <c r="AK117" s="132"/>
      <c r="AL117" s="132"/>
      <c r="AM117" s="132"/>
      <c r="AN117" s="132"/>
      <c r="AO117" s="132"/>
      <c r="AP117" s="135"/>
      <c r="AQ117" s="136"/>
      <c r="AR117" s="132"/>
      <c r="AS117" s="132"/>
      <c r="AT117" s="132"/>
      <c r="AU117" s="135"/>
      <c r="AV117" s="136"/>
      <c r="AW117" s="132"/>
      <c r="AX117" s="132"/>
      <c r="AY117" s="135"/>
      <c r="AZ117" s="136"/>
      <c r="BA117" s="132"/>
      <c r="BB117" s="132"/>
      <c r="BC117" s="135"/>
      <c r="BD117" s="136"/>
      <c r="BE117" s="132"/>
      <c r="BF117" s="132"/>
      <c r="BG117" s="135"/>
      <c r="BH117" s="136"/>
      <c r="BI117" s="132"/>
      <c r="BJ117" s="132"/>
      <c r="BK117" s="132"/>
      <c r="BL117" s="135"/>
      <c r="BM117" s="136"/>
      <c r="BN117" s="132"/>
      <c r="BO117" s="132"/>
      <c r="BP117" s="135"/>
      <c r="BQ117" s="136"/>
      <c r="BR117" s="137"/>
      <c r="BS117" s="132"/>
      <c r="BT117" s="132"/>
      <c r="BU117" s="132"/>
      <c r="BV117" s="132"/>
      <c r="BW117" s="135"/>
      <c r="BX117" s="136"/>
      <c r="BY117" s="132"/>
      <c r="BZ117" s="132"/>
      <c r="CA117" s="135"/>
      <c r="CB117" s="136"/>
      <c r="CC117" s="132"/>
      <c r="CD117" s="132"/>
      <c r="CE117" s="132"/>
      <c r="CF117" s="132"/>
      <c r="CG117" s="135"/>
      <c r="CH117" s="136"/>
      <c r="CI117" s="136"/>
      <c r="CJ117" s="132"/>
      <c r="CK117" s="132"/>
      <c r="CL117" s="135"/>
      <c r="CM117" s="136"/>
      <c r="CN117" s="132"/>
      <c r="CO117" s="132"/>
      <c r="CP117" s="132"/>
      <c r="CQ117" s="132"/>
      <c r="CR117" s="137"/>
      <c r="CS117" s="132"/>
      <c r="CT117" s="132"/>
      <c r="CU117" s="132"/>
      <c r="CV117" s="137"/>
      <c r="CW117" s="132"/>
      <c r="CX117" s="132"/>
      <c r="CY117" s="132"/>
      <c r="CZ117" s="132"/>
      <c r="DA117" s="132"/>
      <c r="DB117" s="132"/>
      <c r="DC117" s="137"/>
      <c r="DD117" s="132"/>
      <c r="DE117" s="132"/>
      <c r="DF117" s="132"/>
      <c r="DG117" s="132">
        <f t="shared" si="3"/>
        <v>0</v>
      </c>
    </row>
    <row r="118" spans="1:111" s="125" customFormat="1" ht="17.100000000000001" customHeight="1" x14ac:dyDescent="0.25">
      <c r="A118" s="126"/>
      <c r="B118" s="127"/>
      <c r="C118" s="128"/>
      <c r="D118" s="129"/>
      <c r="E118" s="130"/>
      <c r="F118" s="128"/>
      <c r="G118" s="131"/>
      <c r="H118" s="132"/>
      <c r="I118" s="133"/>
      <c r="J118" s="134"/>
      <c r="K118" s="132"/>
      <c r="L118" s="133"/>
      <c r="M118" s="134"/>
      <c r="N118" s="133"/>
      <c r="O118" s="134"/>
      <c r="P118" s="133"/>
      <c r="Q118" s="134"/>
      <c r="R118" s="132"/>
      <c r="S118" s="132"/>
      <c r="T118" s="133"/>
      <c r="U118" s="134"/>
      <c r="V118" s="132"/>
      <c r="W118" s="135"/>
      <c r="X118" s="136"/>
      <c r="Y118" s="132"/>
      <c r="Z118" s="132"/>
      <c r="AA118" s="132"/>
      <c r="AB118" s="132"/>
      <c r="AC118" s="132"/>
      <c r="AD118" s="135"/>
      <c r="AE118" s="136"/>
      <c r="AF118" s="132"/>
      <c r="AG118" s="137"/>
      <c r="AH118" s="132"/>
      <c r="AI118" s="132"/>
      <c r="AJ118" s="132"/>
      <c r="AK118" s="132"/>
      <c r="AL118" s="132"/>
      <c r="AM118" s="132"/>
      <c r="AN118" s="132"/>
      <c r="AO118" s="132"/>
      <c r="AP118" s="135"/>
      <c r="AQ118" s="136"/>
      <c r="AR118" s="132"/>
      <c r="AS118" s="132"/>
      <c r="AT118" s="132"/>
      <c r="AU118" s="135"/>
      <c r="AV118" s="136"/>
      <c r="AW118" s="132"/>
      <c r="AX118" s="132"/>
      <c r="AY118" s="135"/>
      <c r="AZ118" s="136"/>
      <c r="BA118" s="132"/>
      <c r="BB118" s="132"/>
      <c r="BC118" s="135"/>
      <c r="BD118" s="136"/>
      <c r="BE118" s="132"/>
      <c r="BF118" s="132"/>
      <c r="BG118" s="135"/>
      <c r="BH118" s="136"/>
      <c r="BI118" s="132"/>
      <c r="BJ118" s="132"/>
      <c r="BK118" s="132"/>
      <c r="BL118" s="135"/>
      <c r="BM118" s="136"/>
      <c r="BN118" s="132"/>
      <c r="BO118" s="132"/>
      <c r="BP118" s="135"/>
      <c r="BQ118" s="136"/>
      <c r="BR118" s="137"/>
      <c r="BS118" s="132"/>
      <c r="BT118" s="132"/>
      <c r="BU118" s="132"/>
      <c r="BV118" s="132"/>
      <c r="BW118" s="135"/>
      <c r="BX118" s="136"/>
      <c r="BY118" s="132"/>
      <c r="BZ118" s="132"/>
      <c r="CA118" s="135"/>
      <c r="CB118" s="136"/>
      <c r="CC118" s="132"/>
      <c r="CD118" s="132"/>
      <c r="CE118" s="132"/>
      <c r="CF118" s="132"/>
      <c r="CG118" s="135"/>
      <c r="CH118" s="136"/>
      <c r="CI118" s="136"/>
      <c r="CJ118" s="132"/>
      <c r="CK118" s="132"/>
      <c r="CL118" s="135"/>
      <c r="CM118" s="136"/>
      <c r="CN118" s="132"/>
      <c r="CO118" s="132"/>
      <c r="CP118" s="132"/>
      <c r="CQ118" s="132"/>
      <c r="CR118" s="137"/>
      <c r="CS118" s="132"/>
      <c r="CT118" s="132"/>
      <c r="CU118" s="132"/>
      <c r="CV118" s="137"/>
      <c r="CW118" s="132"/>
      <c r="CX118" s="132"/>
      <c r="CY118" s="132"/>
      <c r="CZ118" s="132"/>
      <c r="DA118" s="132"/>
      <c r="DB118" s="132"/>
      <c r="DC118" s="137"/>
      <c r="DD118" s="132"/>
      <c r="DE118" s="132"/>
      <c r="DF118" s="132"/>
      <c r="DG118" s="132">
        <f t="shared" si="3"/>
        <v>0</v>
      </c>
    </row>
    <row r="119" spans="1:111" s="125" customFormat="1" ht="17.100000000000001" customHeight="1" x14ac:dyDescent="0.25">
      <c r="A119" s="126"/>
      <c r="B119" s="127"/>
      <c r="C119" s="128"/>
      <c r="D119" s="129"/>
      <c r="E119" s="130"/>
      <c r="F119" s="128"/>
      <c r="G119" s="131"/>
      <c r="H119" s="132"/>
      <c r="I119" s="133"/>
      <c r="J119" s="134"/>
      <c r="K119" s="132"/>
      <c r="L119" s="133"/>
      <c r="M119" s="134"/>
      <c r="N119" s="133"/>
      <c r="O119" s="134"/>
      <c r="P119" s="133"/>
      <c r="Q119" s="134"/>
      <c r="R119" s="132"/>
      <c r="S119" s="132"/>
      <c r="T119" s="133"/>
      <c r="U119" s="134"/>
      <c r="V119" s="132"/>
      <c r="W119" s="135"/>
      <c r="X119" s="136"/>
      <c r="Y119" s="132"/>
      <c r="Z119" s="132"/>
      <c r="AA119" s="132"/>
      <c r="AB119" s="132"/>
      <c r="AC119" s="132"/>
      <c r="AD119" s="135"/>
      <c r="AE119" s="136"/>
      <c r="AF119" s="132"/>
      <c r="AG119" s="137"/>
      <c r="AH119" s="132"/>
      <c r="AI119" s="132"/>
      <c r="AJ119" s="132"/>
      <c r="AK119" s="132"/>
      <c r="AL119" s="132"/>
      <c r="AM119" s="132"/>
      <c r="AN119" s="132"/>
      <c r="AO119" s="132"/>
      <c r="AP119" s="135"/>
      <c r="AQ119" s="136"/>
      <c r="AR119" s="132"/>
      <c r="AS119" s="132"/>
      <c r="AT119" s="132"/>
      <c r="AU119" s="135"/>
      <c r="AV119" s="136"/>
      <c r="AW119" s="132"/>
      <c r="AX119" s="132"/>
      <c r="AY119" s="135"/>
      <c r="AZ119" s="136"/>
      <c r="BA119" s="132"/>
      <c r="BB119" s="132"/>
      <c r="BC119" s="135"/>
      <c r="BD119" s="136"/>
      <c r="BE119" s="132"/>
      <c r="BF119" s="132"/>
      <c r="BG119" s="135"/>
      <c r="BH119" s="136"/>
      <c r="BI119" s="132"/>
      <c r="BJ119" s="132"/>
      <c r="BK119" s="132"/>
      <c r="BL119" s="135"/>
      <c r="BM119" s="136"/>
      <c r="BN119" s="132"/>
      <c r="BO119" s="132"/>
      <c r="BP119" s="135"/>
      <c r="BQ119" s="136"/>
      <c r="BR119" s="137"/>
      <c r="BS119" s="132"/>
      <c r="BT119" s="132"/>
      <c r="BU119" s="132"/>
      <c r="BV119" s="132"/>
      <c r="BW119" s="135"/>
      <c r="BX119" s="136"/>
      <c r="BY119" s="132"/>
      <c r="BZ119" s="132"/>
      <c r="CA119" s="135"/>
      <c r="CB119" s="136"/>
      <c r="CC119" s="132"/>
      <c r="CD119" s="132"/>
      <c r="CE119" s="132"/>
      <c r="CF119" s="132"/>
      <c r="CG119" s="135"/>
      <c r="CH119" s="136"/>
      <c r="CI119" s="136"/>
      <c r="CJ119" s="132"/>
      <c r="CK119" s="132"/>
      <c r="CL119" s="135"/>
      <c r="CM119" s="136"/>
      <c r="CN119" s="132"/>
      <c r="CO119" s="132"/>
      <c r="CP119" s="132"/>
      <c r="CQ119" s="132"/>
      <c r="CR119" s="137"/>
      <c r="CS119" s="132"/>
      <c r="CT119" s="132"/>
      <c r="CU119" s="132"/>
      <c r="CV119" s="137"/>
      <c r="CW119" s="132"/>
      <c r="CX119" s="132"/>
      <c r="CY119" s="132"/>
      <c r="CZ119" s="132"/>
      <c r="DA119" s="132"/>
      <c r="DB119" s="132"/>
      <c r="DC119" s="137"/>
      <c r="DD119" s="132"/>
      <c r="DE119" s="132"/>
      <c r="DF119" s="132"/>
      <c r="DG119" s="132">
        <f t="shared" si="3"/>
        <v>0</v>
      </c>
    </row>
    <row r="120" spans="1:111" s="125" customFormat="1" ht="17.100000000000001" customHeight="1" x14ac:dyDescent="0.25">
      <c r="A120" s="126"/>
      <c r="B120" s="127"/>
      <c r="C120" s="128"/>
      <c r="D120" s="129"/>
      <c r="E120" s="130"/>
      <c r="F120" s="128"/>
      <c r="G120" s="131"/>
      <c r="H120" s="132"/>
      <c r="I120" s="133"/>
      <c r="J120" s="134"/>
      <c r="K120" s="132"/>
      <c r="L120" s="133"/>
      <c r="M120" s="134"/>
      <c r="N120" s="133"/>
      <c r="O120" s="134"/>
      <c r="P120" s="133"/>
      <c r="Q120" s="134"/>
      <c r="R120" s="132"/>
      <c r="S120" s="132"/>
      <c r="T120" s="133"/>
      <c r="U120" s="134"/>
      <c r="V120" s="132"/>
      <c r="W120" s="135"/>
      <c r="X120" s="136"/>
      <c r="Y120" s="132"/>
      <c r="Z120" s="132"/>
      <c r="AA120" s="132"/>
      <c r="AB120" s="132"/>
      <c r="AC120" s="132"/>
      <c r="AD120" s="135"/>
      <c r="AE120" s="136"/>
      <c r="AF120" s="132"/>
      <c r="AG120" s="137"/>
      <c r="AH120" s="132"/>
      <c r="AI120" s="132"/>
      <c r="AJ120" s="132"/>
      <c r="AK120" s="132"/>
      <c r="AL120" s="132"/>
      <c r="AM120" s="132"/>
      <c r="AN120" s="132"/>
      <c r="AO120" s="132"/>
      <c r="AP120" s="135"/>
      <c r="AQ120" s="136"/>
      <c r="AR120" s="132"/>
      <c r="AS120" s="132"/>
      <c r="AT120" s="132"/>
      <c r="AU120" s="135"/>
      <c r="AV120" s="136"/>
      <c r="AW120" s="132"/>
      <c r="AX120" s="132"/>
      <c r="AY120" s="135"/>
      <c r="AZ120" s="136"/>
      <c r="BA120" s="132"/>
      <c r="BB120" s="132"/>
      <c r="BC120" s="135"/>
      <c r="BD120" s="136"/>
      <c r="BE120" s="132"/>
      <c r="BF120" s="132"/>
      <c r="BG120" s="135"/>
      <c r="BH120" s="136"/>
      <c r="BI120" s="132"/>
      <c r="BJ120" s="132"/>
      <c r="BK120" s="132"/>
      <c r="BL120" s="135"/>
      <c r="BM120" s="136"/>
      <c r="BN120" s="132"/>
      <c r="BO120" s="132"/>
      <c r="BP120" s="135"/>
      <c r="BQ120" s="136"/>
      <c r="BR120" s="137"/>
      <c r="BS120" s="132"/>
      <c r="BT120" s="132"/>
      <c r="BU120" s="132"/>
      <c r="BV120" s="132"/>
      <c r="BW120" s="135"/>
      <c r="BX120" s="136"/>
      <c r="BY120" s="132"/>
      <c r="BZ120" s="132"/>
      <c r="CA120" s="135"/>
      <c r="CB120" s="136"/>
      <c r="CC120" s="132"/>
      <c r="CD120" s="132"/>
      <c r="CE120" s="132"/>
      <c r="CF120" s="132"/>
      <c r="CG120" s="135"/>
      <c r="CH120" s="136"/>
      <c r="CI120" s="136"/>
      <c r="CJ120" s="132"/>
      <c r="CK120" s="132"/>
      <c r="CL120" s="135"/>
      <c r="CM120" s="136"/>
      <c r="CN120" s="132"/>
      <c r="CO120" s="132"/>
      <c r="CP120" s="132"/>
      <c r="CQ120" s="132"/>
      <c r="CR120" s="137"/>
      <c r="CS120" s="132"/>
      <c r="CT120" s="132"/>
      <c r="CU120" s="132"/>
      <c r="CV120" s="137"/>
      <c r="CW120" s="132"/>
      <c r="CX120" s="132"/>
      <c r="CY120" s="132"/>
      <c r="CZ120" s="132"/>
      <c r="DA120" s="132"/>
      <c r="DB120" s="132"/>
      <c r="DC120" s="137"/>
      <c r="DD120" s="132"/>
      <c r="DE120" s="132"/>
      <c r="DF120" s="132"/>
      <c r="DG120" s="132">
        <f t="shared" si="3"/>
        <v>0</v>
      </c>
    </row>
    <row r="121" spans="1:111" s="125" customFormat="1" ht="17.100000000000001" customHeight="1" x14ac:dyDescent="0.25">
      <c r="A121" s="126"/>
      <c r="B121" s="127"/>
      <c r="C121" s="128"/>
      <c r="D121" s="129"/>
      <c r="E121" s="130"/>
      <c r="F121" s="128"/>
      <c r="G121" s="138"/>
      <c r="H121" s="132"/>
      <c r="I121" s="133"/>
      <c r="J121" s="134"/>
      <c r="K121" s="132"/>
      <c r="L121" s="133"/>
      <c r="M121" s="134"/>
      <c r="N121" s="133"/>
      <c r="O121" s="134"/>
      <c r="P121" s="133"/>
      <c r="Q121" s="134"/>
      <c r="R121" s="132"/>
      <c r="S121" s="132"/>
      <c r="T121" s="133"/>
      <c r="U121" s="134"/>
      <c r="V121" s="132"/>
      <c r="W121" s="135"/>
      <c r="X121" s="136"/>
      <c r="Y121" s="132"/>
      <c r="Z121" s="132"/>
      <c r="AA121" s="132"/>
      <c r="AB121" s="132"/>
      <c r="AC121" s="132"/>
      <c r="AD121" s="135"/>
      <c r="AE121" s="136"/>
      <c r="AF121" s="132"/>
      <c r="AG121" s="137"/>
      <c r="AH121" s="132"/>
      <c r="AI121" s="132"/>
      <c r="AJ121" s="132"/>
      <c r="AK121" s="132"/>
      <c r="AL121" s="132"/>
      <c r="AM121" s="132"/>
      <c r="AN121" s="132"/>
      <c r="AO121" s="132"/>
      <c r="AP121" s="135"/>
      <c r="AQ121" s="136"/>
      <c r="AR121" s="132"/>
      <c r="AS121" s="132"/>
      <c r="AT121" s="132"/>
      <c r="AU121" s="135"/>
      <c r="AV121" s="136"/>
      <c r="AW121" s="132"/>
      <c r="AX121" s="132"/>
      <c r="AY121" s="135"/>
      <c r="AZ121" s="136"/>
      <c r="BA121" s="132"/>
      <c r="BB121" s="132"/>
      <c r="BC121" s="135"/>
      <c r="BD121" s="136"/>
      <c r="BE121" s="132"/>
      <c r="BF121" s="132"/>
      <c r="BG121" s="135"/>
      <c r="BH121" s="136"/>
      <c r="BI121" s="132"/>
      <c r="BJ121" s="132"/>
      <c r="BK121" s="132"/>
      <c r="BL121" s="135"/>
      <c r="BM121" s="136"/>
      <c r="BN121" s="132"/>
      <c r="BO121" s="132"/>
      <c r="BP121" s="135"/>
      <c r="BQ121" s="136"/>
      <c r="BR121" s="137"/>
      <c r="BS121" s="132"/>
      <c r="BT121" s="132"/>
      <c r="BU121" s="132"/>
      <c r="BV121" s="132"/>
      <c r="BW121" s="135"/>
      <c r="BX121" s="136"/>
      <c r="BY121" s="132"/>
      <c r="BZ121" s="132"/>
      <c r="CA121" s="135"/>
      <c r="CB121" s="136"/>
      <c r="CC121" s="132"/>
      <c r="CD121" s="132"/>
      <c r="CE121" s="132"/>
      <c r="CF121" s="132"/>
      <c r="CG121" s="135"/>
      <c r="CH121" s="136"/>
      <c r="CI121" s="136"/>
      <c r="CJ121" s="132"/>
      <c r="CK121" s="132"/>
      <c r="CL121" s="135"/>
      <c r="CM121" s="136"/>
      <c r="CN121" s="132"/>
      <c r="CO121" s="132"/>
      <c r="CP121" s="132"/>
      <c r="CQ121" s="132"/>
      <c r="CR121" s="137"/>
      <c r="CS121" s="132"/>
      <c r="CT121" s="132"/>
      <c r="CU121" s="132"/>
      <c r="CV121" s="137"/>
      <c r="CW121" s="132"/>
      <c r="CX121" s="132"/>
      <c r="CY121" s="132"/>
      <c r="CZ121" s="132"/>
      <c r="DA121" s="132"/>
      <c r="DB121" s="132"/>
      <c r="DC121" s="137"/>
      <c r="DD121" s="132"/>
      <c r="DE121" s="132"/>
      <c r="DF121" s="132"/>
      <c r="DG121" s="132">
        <f t="shared" si="3"/>
        <v>0</v>
      </c>
    </row>
    <row r="122" spans="1:111" s="125" customFormat="1" ht="17.100000000000001" customHeight="1" x14ac:dyDescent="0.25">
      <c r="A122" s="126"/>
      <c r="B122" s="127"/>
      <c r="C122" s="128"/>
      <c r="D122" s="143"/>
      <c r="E122" s="130"/>
      <c r="F122" s="128"/>
      <c r="G122" s="131"/>
      <c r="H122" s="132"/>
      <c r="I122" s="133"/>
      <c r="J122" s="134"/>
      <c r="K122" s="132"/>
      <c r="L122" s="133"/>
      <c r="M122" s="134"/>
      <c r="N122" s="133"/>
      <c r="O122" s="134"/>
      <c r="P122" s="133"/>
      <c r="Q122" s="134"/>
      <c r="R122" s="132"/>
      <c r="S122" s="132"/>
      <c r="T122" s="133"/>
      <c r="U122" s="134"/>
      <c r="V122" s="132"/>
      <c r="W122" s="135"/>
      <c r="X122" s="136"/>
      <c r="Y122" s="132"/>
      <c r="Z122" s="132"/>
      <c r="AA122" s="132"/>
      <c r="AB122" s="132"/>
      <c r="AC122" s="132"/>
      <c r="AD122" s="135"/>
      <c r="AE122" s="136"/>
      <c r="AF122" s="132"/>
      <c r="AG122" s="137"/>
      <c r="AH122" s="132"/>
      <c r="AI122" s="132"/>
      <c r="AJ122" s="132"/>
      <c r="AK122" s="132"/>
      <c r="AL122" s="132"/>
      <c r="AM122" s="132"/>
      <c r="AN122" s="132"/>
      <c r="AO122" s="132"/>
      <c r="AP122" s="135"/>
      <c r="AQ122" s="136"/>
      <c r="AR122" s="132"/>
      <c r="AS122" s="132"/>
      <c r="AT122" s="132"/>
      <c r="AU122" s="135"/>
      <c r="AV122" s="136"/>
      <c r="AW122" s="132"/>
      <c r="AX122" s="132"/>
      <c r="AY122" s="135"/>
      <c r="AZ122" s="136"/>
      <c r="BA122" s="132"/>
      <c r="BB122" s="132"/>
      <c r="BC122" s="135"/>
      <c r="BD122" s="136"/>
      <c r="BE122" s="132"/>
      <c r="BF122" s="132"/>
      <c r="BG122" s="135"/>
      <c r="BH122" s="136"/>
      <c r="BI122" s="132"/>
      <c r="BJ122" s="132"/>
      <c r="BK122" s="132"/>
      <c r="BL122" s="135"/>
      <c r="BM122" s="136"/>
      <c r="BN122" s="132"/>
      <c r="BO122" s="132"/>
      <c r="BP122" s="135"/>
      <c r="BQ122" s="136"/>
      <c r="BR122" s="137"/>
      <c r="BS122" s="132"/>
      <c r="BT122" s="132"/>
      <c r="BU122" s="132"/>
      <c r="BV122" s="132"/>
      <c r="BW122" s="135"/>
      <c r="BX122" s="136"/>
      <c r="BY122" s="132"/>
      <c r="BZ122" s="132"/>
      <c r="CA122" s="135"/>
      <c r="CB122" s="136"/>
      <c r="CC122" s="132"/>
      <c r="CD122" s="132"/>
      <c r="CE122" s="132"/>
      <c r="CF122" s="132"/>
      <c r="CG122" s="135"/>
      <c r="CH122" s="136"/>
      <c r="CI122" s="136"/>
      <c r="CJ122" s="132"/>
      <c r="CK122" s="132"/>
      <c r="CL122" s="135"/>
      <c r="CM122" s="136"/>
      <c r="CN122" s="132"/>
      <c r="CO122" s="132"/>
      <c r="CP122" s="132"/>
      <c r="CQ122" s="132"/>
      <c r="CR122" s="137"/>
      <c r="CS122" s="132"/>
      <c r="CT122" s="132"/>
      <c r="CU122" s="132"/>
      <c r="CV122" s="137"/>
      <c r="CW122" s="132"/>
      <c r="CX122" s="132"/>
      <c r="CY122" s="132"/>
      <c r="CZ122" s="132"/>
      <c r="DA122" s="132"/>
      <c r="DB122" s="132"/>
      <c r="DC122" s="137"/>
      <c r="DD122" s="132"/>
      <c r="DE122" s="132"/>
      <c r="DF122" s="132"/>
      <c r="DG122" s="132">
        <f t="shared" si="3"/>
        <v>0</v>
      </c>
    </row>
    <row r="123" spans="1:111" s="125" customFormat="1" ht="17.100000000000001" customHeight="1" x14ac:dyDescent="0.25">
      <c r="A123" s="126"/>
      <c r="B123" s="127"/>
      <c r="C123" s="128"/>
      <c r="D123" s="150"/>
      <c r="E123" s="151"/>
      <c r="F123" s="144"/>
      <c r="G123" s="131"/>
      <c r="H123" s="132"/>
      <c r="I123" s="133"/>
      <c r="J123" s="134"/>
      <c r="K123" s="132"/>
      <c r="L123" s="133"/>
      <c r="M123" s="134"/>
      <c r="N123" s="133"/>
      <c r="O123" s="134"/>
      <c r="P123" s="133"/>
      <c r="Q123" s="134"/>
      <c r="R123" s="132"/>
      <c r="S123" s="132"/>
      <c r="T123" s="133"/>
      <c r="U123" s="134"/>
      <c r="V123" s="132"/>
      <c r="W123" s="135"/>
      <c r="X123" s="136"/>
      <c r="Y123" s="132"/>
      <c r="Z123" s="132"/>
      <c r="AA123" s="132"/>
      <c r="AB123" s="132"/>
      <c r="AC123" s="132"/>
      <c r="AD123" s="135"/>
      <c r="AE123" s="136"/>
      <c r="AF123" s="132"/>
      <c r="AG123" s="137"/>
      <c r="AH123" s="132"/>
      <c r="AI123" s="132"/>
      <c r="AJ123" s="132"/>
      <c r="AK123" s="132"/>
      <c r="AL123" s="132"/>
      <c r="AM123" s="132"/>
      <c r="AN123" s="132"/>
      <c r="AO123" s="132"/>
      <c r="AP123" s="135"/>
      <c r="AQ123" s="136"/>
      <c r="AR123" s="132"/>
      <c r="AS123" s="132"/>
      <c r="AT123" s="132"/>
      <c r="AU123" s="135"/>
      <c r="AV123" s="136"/>
      <c r="AW123" s="132"/>
      <c r="AX123" s="132"/>
      <c r="AY123" s="135"/>
      <c r="AZ123" s="136"/>
      <c r="BA123" s="132"/>
      <c r="BB123" s="132"/>
      <c r="BC123" s="135"/>
      <c r="BD123" s="136"/>
      <c r="BE123" s="132"/>
      <c r="BF123" s="132"/>
      <c r="BG123" s="135"/>
      <c r="BH123" s="136"/>
      <c r="BI123" s="132"/>
      <c r="BJ123" s="132"/>
      <c r="BK123" s="132"/>
      <c r="BL123" s="135"/>
      <c r="BM123" s="136"/>
      <c r="BN123" s="132"/>
      <c r="BO123" s="132"/>
      <c r="BP123" s="135"/>
      <c r="BQ123" s="136"/>
      <c r="BR123" s="137"/>
      <c r="BS123" s="132"/>
      <c r="BT123" s="132"/>
      <c r="BU123" s="132"/>
      <c r="BV123" s="132"/>
      <c r="BW123" s="135"/>
      <c r="BX123" s="136"/>
      <c r="BY123" s="132"/>
      <c r="BZ123" s="132"/>
      <c r="CA123" s="135"/>
      <c r="CB123" s="136"/>
      <c r="CC123" s="132"/>
      <c r="CD123" s="132"/>
      <c r="CE123" s="132"/>
      <c r="CF123" s="132"/>
      <c r="CG123" s="135"/>
      <c r="CH123" s="136"/>
      <c r="CI123" s="136"/>
      <c r="CJ123" s="132"/>
      <c r="CK123" s="132"/>
      <c r="CL123" s="135"/>
      <c r="CM123" s="136"/>
      <c r="CN123" s="132"/>
      <c r="CO123" s="132"/>
      <c r="CP123" s="132"/>
      <c r="CQ123" s="132"/>
      <c r="CR123" s="137"/>
      <c r="CS123" s="132"/>
      <c r="CT123" s="132"/>
      <c r="CU123" s="132"/>
      <c r="CV123" s="137"/>
      <c r="CW123" s="132"/>
      <c r="CX123" s="132"/>
      <c r="CY123" s="132"/>
      <c r="CZ123" s="132"/>
      <c r="DA123" s="132"/>
      <c r="DB123" s="132"/>
      <c r="DC123" s="137"/>
      <c r="DD123" s="132"/>
      <c r="DE123" s="132"/>
      <c r="DF123" s="132"/>
      <c r="DG123" s="132">
        <f t="shared" si="3"/>
        <v>0</v>
      </c>
    </row>
    <row r="124" spans="1:111" s="125" customFormat="1" ht="17.100000000000001" customHeight="1" x14ac:dyDescent="0.25">
      <c r="A124" s="126"/>
      <c r="B124" s="127"/>
      <c r="C124" s="128"/>
      <c r="D124" s="129"/>
      <c r="E124" s="130"/>
      <c r="F124" s="144"/>
      <c r="G124" s="138"/>
      <c r="H124" s="132"/>
      <c r="I124" s="133"/>
      <c r="J124" s="134"/>
      <c r="K124" s="132"/>
      <c r="L124" s="133"/>
      <c r="M124" s="134"/>
      <c r="N124" s="133"/>
      <c r="O124" s="134"/>
      <c r="P124" s="133"/>
      <c r="Q124" s="134"/>
      <c r="R124" s="132"/>
      <c r="S124" s="132"/>
      <c r="T124" s="133"/>
      <c r="U124" s="134"/>
      <c r="V124" s="132"/>
      <c r="W124" s="135"/>
      <c r="X124" s="136"/>
      <c r="Y124" s="132"/>
      <c r="Z124" s="132"/>
      <c r="AA124" s="132"/>
      <c r="AB124" s="132"/>
      <c r="AC124" s="132"/>
      <c r="AD124" s="135"/>
      <c r="AE124" s="136"/>
      <c r="AF124" s="132"/>
      <c r="AG124" s="137"/>
      <c r="AH124" s="132"/>
      <c r="AI124" s="132"/>
      <c r="AJ124" s="132"/>
      <c r="AK124" s="132"/>
      <c r="AL124" s="132"/>
      <c r="AM124" s="132"/>
      <c r="AN124" s="132"/>
      <c r="AO124" s="132"/>
      <c r="AP124" s="135"/>
      <c r="AQ124" s="136"/>
      <c r="AR124" s="132"/>
      <c r="AS124" s="132"/>
      <c r="AT124" s="132"/>
      <c r="AU124" s="135"/>
      <c r="AV124" s="136"/>
      <c r="AW124" s="132"/>
      <c r="AX124" s="132"/>
      <c r="AY124" s="135"/>
      <c r="AZ124" s="136"/>
      <c r="BA124" s="132"/>
      <c r="BB124" s="132"/>
      <c r="BC124" s="135"/>
      <c r="BD124" s="136"/>
      <c r="BE124" s="132"/>
      <c r="BF124" s="132"/>
      <c r="BG124" s="135"/>
      <c r="BH124" s="136"/>
      <c r="BI124" s="132"/>
      <c r="BJ124" s="132"/>
      <c r="BK124" s="132"/>
      <c r="BL124" s="135"/>
      <c r="BM124" s="136"/>
      <c r="BN124" s="132"/>
      <c r="BO124" s="132"/>
      <c r="BP124" s="135"/>
      <c r="BQ124" s="136"/>
      <c r="BR124" s="137"/>
      <c r="BS124" s="132"/>
      <c r="BT124" s="132"/>
      <c r="BU124" s="132"/>
      <c r="BV124" s="132"/>
      <c r="BW124" s="135"/>
      <c r="BX124" s="136"/>
      <c r="BY124" s="132"/>
      <c r="BZ124" s="132"/>
      <c r="CA124" s="135"/>
      <c r="CB124" s="136"/>
      <c r="CC124" s="132"/>
      <c r="CD124" s="132"/>
      <c r="CE124" s="132"/>
      <c r="CF124" s="132"/>
      <c r="CG124" s="135"/>
      <c r="CH124" s="136"/>
      <c r="CI124" s="136"/>
      <c r="CJ124" s="132"/>
      <c r="CK124" s="132"/>
      <c r="CL124" s="135"/>
      <c r="CM124" s="136"/>
      <c r="CN124" s="132"/>
      <c r="CO124" s="132"/>
      <c r="CP124" s="132"/>
      <c r="CQ124" s="132"/>
      <c r="CR124" s="137"/>
      <c r="CS124" s="132"/>
      <c r="CT124" s="132"/>
      <c r="CU124" s="132"/>
      <c r="CV124" s="137"/>
      <c r="CW124" s="132"/>
      <c r="CX124" s="132"/>
      <c r="CY124" s="132"/>
      <c r="CZ124" s="140"/>
      <c r="DA124" s="140"/>
      <c r="DB124" s="140"/>
      <c r="DC124" s="137"/>
      <c r="DD124" s="132"/>
      <c r="DE124" s="132"/>
      <c r="DF124" s="132"/>
      <c r="DG124" s="132">
        <f t="shared" si="3"/>
        <v>0</v>
      </c>
    </row>
    <row r="125" spans="1:111" s="125" customFormat="1" ht="17.100000000000001" customHeight="1" x14ac:dyDescent="0.25">
      <c r="A125" s="126"/>
      <c r="B125" s="127"/>
      <c r="C125" s="128"/>
      <c r="D125" s="129"/>
      <c r="E125" s="130"/>
      <c r="F125" s="128"/>
      <c r="G125" s="131"/>
      <c r="H125" s="132"/>
      <c r="I125" s="133"/>
      <c r="J125" s="134"/>
      <c r="K125" s="132"/>
      <c r="L125" s="133"/>
      <c r="M125" s="134"/>
      <c r="N125" s="133"/>
      <c r="O125" s="134"/>
      <c r="P125" s="133"/>
      <c r="Q125" s="134"/>
      <c r="R125" s="132"/>
      <c r="S125" s="132"/>
      <c r="T125" s="133"/>
      <c r="U125" s="134"/>
      <c r="V125" s="132"/>
      <c r="W125" s="135"/>
      <c r="X125" s="136"/>
      <c r="Y125" s="132"/>
      <c r="Z125" s="132"/>
      <c r="AA125" s="132"/>
      <c r="AB125" s="132"/>
      <c r="AC125" s="132"/>
      <c r="AD125" s="135"/>
      <c r="AE125" s="136"/>
      <c r="AF125" s="132"/>
      <c r="AG125" s="137"/>
      <c r="AH125" s="132"/>
      <c r="AI125" s="132"/>
      <c r="AJ125" s="132"/>
      <c r="AK125" s="132"/>
      <c r="AL125" s="132"/>
      <c r="AM125" s="132"/>
      <c r="AN125" s="132"/>
      <c r="AO125" s="132"/>
      <c r="AP125" s="135"/>
      <c r="AQ125" s="136"/>
      <c r="AR125" s="132"/>
      <c r="AS125" s="132"/>
      <c r="AT125" s="132"/>
      <c r="AU125" s="135"/>
      <c r="AV125" s="136"/>
      <c r="AW125" s="132"/>
      <c r="AX125" s="132"/>
      <c r="AY125" s="135"/>
      <c r="AZ125" s="136"/>
      <c r="BA125" s="132"/>
      <c r="BB125" s="132"/>
      <c r="BC125" s="135"/>
      <c r="BD125" s="136"/>
      <c r="BE125" s="132"/>
      <c r="BF125" s="132"/>
      <c r="BG125" s="135"/>
      <c r="BH125" s="136"/>
      <c r="BI125" s="132"/>
      <c r="BJ125" s="132"/>
      <c r="BK125" s="132"/>
      <c r="BL125" s="135"/>
      <c r="BM125" s="136"/>
      <c r="BN125" s="132"/>
      <c r="BO125" s="132"/>
      <c r="BP125" s="135"/>
      <c r="BQ125" s="136"/>
      <c r="BR125" s="137"/>
      <c r="BS125" s="132"/>
      <c r="BT125" s="132"/>
      <c r="BU125" s="132"/>
      <c r="BV125" s="132"/>
      <c r="BW125" s="135"/>
      <c r="BX125" s="136"/>
      <c r="BY125" s="132"/>
      <c r="BZ125" s="132"/>
      <c r="CA125" s="135"/>
      <c r="CB125" s="136"/>
      <c r="CC125" s="132"/>
      <c r="CD125" s="132"/>
      <c r="CE125" s="132"/>
      <c r="CF125" s="132"/>
      <c r="CG125" s="135"/>
      <c r="CH125" s="136"/>
      <c r="CI125" s="136"/>
      <c r="CJ125" s="132"/>
      <c r="CK125" s="132"/>
      <c r="CL125" s="135"/>
      <c r="CM125" s="136"/>
      <c r="CN125" s="132"/>
      <c r="CO125" s="132"/>
      <c r="CP125" s="132"/>
      <c r="CQ125" s="132"/>
      <c r="CR125" s="137"/>
      <c r="CS125" s="132"/>
      <c r="CT125" s="132"/>
      <c r="CU125" s="132"/>
      <c r="CV125" s="137"/>
      <c r="CW125" s="132"/>
      <c r="CX125" s="132"/>
      <c r="CY125" s="132"/>
      <c r="CZ125" s="132"/>
      <c r="DA125" s="132"/>
      <c r="DB125" s="132"/>
      <c r="DC125" s="137"/>
      <c r="DD125" s="132"/>
      <c r="DE125" s="132"/>
      <c r="DF125" s="132"/>
      <c r="DG125" s="132">
        <f t="shared" si="3"/>
        <v>0</v>
      </c>
    </row>
    <row r="126" spans="1:111" s="125" customFormat="1" ht="17.100000000000001" customHeight="1" x14ac:dyDescent="0.25">
      <c r="A126" s="126"/>
      <c r="B126" s="127"/>
      <c r="C126" s="128"/>
      <c r="D126" s="129"/>
      <c r="E126" s="130"/>
      <c r="F126" s="128"/>
      <c r="G126" s="131"/>
      <c r="H126" s="132"/>
      <c r="I126" s="133"/>
      <c r="J126" s="134"/>
      <c r="K126" s="132"/>
      <c r="L126" s="133"/>
      <c r="M126" s="134"/>
      <c r="N126" s="133"/>
      <c r="O126" s="134"/>
      <c r="P126" s="133"/>
      <c r="Q126" s="134"/>
      <c r="R126" s="132"/>
      <c r="S126" s="132"/>
      <c r="T126" s="133"/>
      <c r="U126" s="134"/>
      <c r="V126" s="132"/>
      <c r="W126" s="135"/>
      <c r="X126" s="136"/>
      <c r="Y126" s="132"/>
      <c r="Z126" s="132"/>
      <c r="AA126" s="132"/>
      <c r="AB126" s="132"/>
      <c r="AC126" s="132"/>
      <c r="AD126" s="135"/>
      <c r="AE126" s="136"/>
      <c r="AF126" s="132"/>
      <c r="AG126" s="137"/>
      <c r="AH126" s="132"/>
      <c r="AI126" s="132"/>
      <c r="AJ126" s="132"/>
      <c r="AK126" s="132"/>
      <c r="AL126" s="132"/>
      <c r="AM126" s="132"/>
      <c r="AN126" s="132"/>
      <c r="AO126" s="132"/>
      <c r="AP126" s="135"/>
      <c r="AQ126" s="136"/>
      <c r="AR126" s="132"/>
      <c r="AS126" s="132"/>
      <c r="AT126" s="132"/>
      <c r="AU126" s="135"/>
      <c r="AV126" s="136"/>
      <c r="AW126" s="132"/>
      <c r="AX126" s="132"/>
      <c r="AY126" s="135"/>
      <c r="AZ126" s="136"/>
      <c r="BA126" s="132"/>
      <c r="BB126" s="132"/>
      <c r="BC126" s="135"/>
      <c r="BD126" s="136"/>
      <c r="BE126" s="132"/>
      <c r="BF126" s="132"/>
      <c r="BG126" s="135"/>
      <c r="BH126" s="136"/>
      <c r="BI126" s="132"/>
      <c r="BJ126" s="132"/>
      <c r="BK126" s="132"/>
      <c r="BL126" s="135"/>
      <c r="BM126" s="136"/>
      <c r="BN126" s="132"/>
      <c r="BO126" s="132"/>
      <c r="BP126" s="135"/>
      <c r="BQ126" s="136"/>
      <c r="BR126" s="137"/>
      <c r="BS126" s="132"/>
      <c r="BT126" s="132"/>
      <c r="BU126" s="132"/>
      <c r="BV126" s="132"/>
      <c r="BW126" s="135"/>
      <c r="BX126" s="136"/>
      <c r="BY126" s="132"/>
      <c r="BZ126" s="132"/>
      <c r="CA126" s="135"/>
      <c r="CB126" s="136"/>
      <c r="CC126" s="132"/>
      <c r="CD126" s="132"/>
      <c r="CE126" s="132"/>
      <c r="CF126" s="132"/>
      <c r="CG126" s="135"/>
      <c r="CH126" s="136"/>
      <c r="CI126" s="136"/>
      <c r="CJ126" s="132"/>
      <c r="CK126" s="132"/>
      <c r="CL126" s="135"/>
      <c r="CM126" s="136"/>
      <c r="CN126" s="132"/>
      <c r="CO126" s="132"/>
      <c r="CP126" s="132"/>
      <c r="CQ126" s="132"/>
      <c r="CR126" s="137"/>
      <c r="CS126" s="132"/>
      <c r="CT126" s="132"/>
      <c r="CU126" s="132"/>
      <c r="CV126" s="137"/>
      <c r="CW126" s="132"/>
      <c r="CX126" s="132"/>
      <c r="CY126" s="132"/>
      <c r="CZ126" s="132"/>
      <c r="DA126" s="132"/>
      <c r="DB126" s="132"/>
      <c r="DC126" s="137"/>
      <c r="DD126" s="132"/>
      <c r="DE126" s="132"/>
      <c r="DF126" s="132"/>
      <c r="DG126" s="132">
        <f t="shared" si="3"/>
        <v>0</v>
      </c>
    </row>
    <row r="127" spans="1:111" s="125" customFormat="1" ht="17.100000000000001" customHeight="1" x14ac:dyDescent="0.25">
      <c r="A127" s="126"/>
      <c r="B127" s="127"/>
      <c r="C127" s="128"/>
      <c r="D127" s="129"/>
      <c r="E127" s="130"/>
      <c r="F127" s="128"/>
      <c r="G127" s="138"/>
      <c r="H127" s="132"/>
      <c r="I127" s="133"/>
      <c r="J127" s="134"/>
      <c r="K127" s="132"/>
      <c r="L127" s="133"/>
      <c r="M127" s="134"/>
      <c r="N127" s="133"/>
      <c r="O127" s="134"/>
      <c r="P127" s="133"/>
      <c r="Q127" s="134"/>
      <c r="R127" s="132"/>
      <c r="S127" s="132"/>
      <c r="T127" s="133"/>
      <c r="U127" s="134"/>
      <c r="V127" s="132"/>
      <c r="W127" s="135"/>
      <c r="X127" s="136"/>
      <c r="Y127" s="132"/>
      <c r="Z127" s="132"/>
      <c r="AA127" s="132"/>
      <c r="AB127" s="132"/>
      <c r="AC127" s="132"/>
      <c r="AD127" s="135"/>
      <c r="AE127" s="136"/>
      <c r="AF127" s="132"/>
      <c r="AG127" s="137"/>
      <c r="AH127" s="132"/>
      <c r="AI127" s="132"/>
      <c r="AJ127" s="132"/>
      <c r="AK127" s="132"/>
      <c r="AL127" s="132"/>
      <c r="AM127" s="132"/>
      <c r="AN127" s="132"/>
      <c r="AO127" s="132"/>
      <c r="AP127" s="135"/>
      <c r="AQ127" s="136"/>
      <c r="AR127" s="132"/>
      <c r="AS127" s="132"/>
      <c r="AT127" s="132"/>
      <c r="AU127" s="135"/>
      <c r="AV127" s="136"/>
      <c r="AW127" s="132"/>
      <c r="AX127" s="132"/>
      <c r="AY127" s="135"/>
      <c r="AZ127" s="136"/>
      <c r="BA127" s="132"/>
      <c r="BB127" s="132"/>
      <c r="BC127" s="135"/>
      <c r="BD127" s="136"/>
      <c r="BE127" s="132"/>
      <c r="BF127" s="132"/>
      <c r="BG127" s="135"/>
      <c r="BH127" s="136"/>
      <c r="BI127" s="132"/>
      <c r="BJ127" s="132"/>
      <c r="BK127" s="132"/>
      <c r="BL127" s="135"/>
      <c r="BM127" s="136"/>
      <c r="BN127" s="132"/>
      <c r="BO127" s="132"/>
      <c r="BP127" s="135"/>
      <c r="BQ127" s="136"/>
      <c r="BR127" s="137"/>
      <c r="BS127" s="132"/>
      <c r="BT127" s="132"/>
      <c r="BU127" s="132"/>
      <c r="BV127" s="132"/>
      <c r="BW127" s="135"/>
      <c r="BX127" s="136"/>
      <c r="BY127" s="132"/>
      <c r="BZ127" s="132"/>
      <c r="CA127" s="135"/>
      <c r="CB127" s="136"/>
      <c r="CC127" s="132"/>
      <c r="CD127" s="132"/>
      <c r="CE127" s="132"/>
      <c r="CF127" s="132"/>
      <c r="CG127" s="135"/>
      <c r="CH127" s="136"/>
      <c r="CI127" s="136"/>
      <c r="CJ127" s="132"/>
      <c r="CK127" s="132"/>
      <c r="CL127" s="135"/>
      <c r="CM127" s="136"/>
      <c r="CN127" s="132"/>
      <c r="CO127" s="132"/>
      <c r="CP127" s="132"/>
      <c r="CQ127" s="132"/>
      <c r="CR127" s="137"/>
      <c r="CS127" s="132"/>
      <c r="CT127" s="132"/>
      <c r="CU127" s="132"/>
      <c r="CV127" s="137"/>
      <c r="CW127" s="132"/>
      <c r="CX127" s="132"/>
      <c r="CY127" s="132"/>
      <c r="CZ127" s="132"/>
      <c r="DA127" s="132"/>
      <c r="DB127" s="132"/>
      <c r="DC127" s="137"/>
      <c r="DD127" s="132"/>
      <c r="DE127" s="132"/>
      <c r="DF127" s="132"/>
      <c r="DG127" s="132">
        <f t="shared" si="3"/>
        <v>0</v>
      </c>
    </row>
    <row r="128" spans="1:111" s="125" customFormat="1" ht="17.100000000000001" customHeight="1" x14ac:dyDescent="0.25">
      <c r="A128" s="126"/>
      <c r="B128" s="127"/>
      <c r="C128" s="128"/>
      <c r="D128" s="129"/>
      <c r="E128" s="130"/>
      <c r="F128" s="128"/>
      <c r="G128" s="131"/>
      <c r="H128" s="132"/>
      <c r="I128" s="133"/>
      <c r="J128" s="134"/>
      <c r="K128" s="132"/>
      <c r="L128" s="133"/>
      <c r="M128" s="134"/>
      <c r="N128" s="133"/>
      <c r="O128" s="134"/>
      <c r="P128" s="133"/>
      <c r="Q128" s="134"/>
      <c r="R128" s="132"/>
      <c r="S128" s="132"/>
      <c r="T128" s="133"/>
      <c r="U128" s="134"/>
      <c r="V128" s="132"/>
      <c r="W128" s="135"/>
      <c r="X128" s="136"/>
      <c r="Y128" s="132"/>
      <c r="Z128" s="132"/>
      <c r="AA128" s="132"/>
      <c r="AB128" s="132"/>
      <c r="AC128" s="132"/>
      <c r="AD128" s="135"/>
      <c r="AE128" s="136"/>
      <c r="AF128" s="132"/>
      <c r="AG128" s="137"/>
      <c r="AH128" s="132"/>
      <c r="AI128" s="132"/>
      <c r="AJ128" s="132"/>
      <c r="AK128" s="132"/>
      <c r="AL128" s="132"/>
      <c r="AM128" s="132"/>
      <c r="AN128" s="132"/>
      <c r="AO128" s="132"/>
      <c r="AP128" s="135"/>
      <c r="AQ128" s="136"/>
      <c r="AR128" s="132"/>
      <c r="AS128" s="132"/>
      <c r="AT128" s="132"/>
      <c r="AU128" s="135"/>
      <c r="AV128" s="136"/>
      <c r="AW128" s="132"/>
      <c r="AX128" s="132"/>
      <c r="AY128" s="135"/>
      <c r="AZ128" s="136"/>
      <c r="BA128" s="132"/>
      <c r="BB128" s="132"/>
      <c r="BC128" s="135"/>
      <c r="BD128" s="136"/>
      <c r="BE128" s="132"/>
      <c r="BF128" s="132"/>
      <c r="BG128" s="135"/>
      <c r="BH128" s="136"/>
      <c r="BI128" s="132"/>
      <c r="BJ128" s="132"/>
      <c r="BK128" s="132"/>
      <c r="BL128" s="135"/>
      <c r="BM128" s="136"/>
      <c r="BN128" s="132"/>
      <c r="BO128" s="132"/>
      <c r="BP128" s="135"/>
      <c r="BQ128" s="136"/>
      <c r="BR128" s="137"/>
      <c r="BS128" s="132"/>
      <c r="BT128" s="132"/>
      <c r="BU128" s="132"/>
      <c r="BV128" s="132"/>
      <c r="BW128" s="135"/>
      <c r="BX128" s="136"/>
      <c r="BY128" s="132"/>
      <c r="BZ128" s="132"/>
      <c r="CA128" s="135"/>
      <c r="CB128" s="136"/>
      <c r="CC128" s="132"/>
      <c r="CD128" s="132"/>
      <c r="CE128" s="132"/>
      <c r="CF128" s="132"/>
      <c r="CG128" s="135"/>
      <c r="CH128" s="136"/>
      <c r="CI128" s="136"/>
      <c r="CJ128" s="132"/>
      <c r="CK128" s="132"/>
      <c r="CL128" s="135"/>
      <c r="CM128" s="136"/>
      <c r="CN128" s="132"/>
      <c r="CO128" s="132"/>
      <c r="CP128" s="132"/>
      <c r="CQ128" s="132"/>
      <c r="CR128" s="137"/>
      <c r="CS128" s="132"/>
      <c r="CT128" s="132"/>
      <c r="CU128" s="132"/>
      <c r="CV128" s="137"/>
      <c r="CW128" s="132"/>
      <c r="CX128" s="132"/>
      <c r="CY128" s="132"/>
      <c r="CZ128" s="132"/>
      <c r="DA128" s="132"/>
      <c r="DB128" s="132"/>
      <c r="DC128" s="137"/>
      <c r="DD128" s="132"/>
      <c r="DE128" s="132"/>
      <c r="DF128" s="132"/>
      <c r="DG128" s="132">
        <f t="shared" si="3"/>
        <v>0</v>
      </c>
    </row>
    <row r="129" spans="1:111" s="125" customFormat="1" ht="17.100000000000001" customHeight="1" x14ac:dyDescent="0.25">
      <c r="A129" s="126"/>
      <c r="B129" s="127"/>
      <c r="C129" s="128"/>
      <c r="D129" s="129"/>
      <c r="E129" s="130"/>
      <c r="F129" s="128"/>
      <c r="G129" s="138"/>
      <c r="H129" s="132"/>
      <c r="I129" s="133"/>
      <c r="J129" s="134"/>
      <c r="K129" s="132"/>
      <c r="L129" s="133"/>
      <c r="M129" s="134"/>
      <c r="N129" s="133"/>
      <c r="O129" s="134"/>
      <c r="P129" s="133"/>
      <c r="Q129" s="134"/>
      <c r="R129" s="132"/>
      <c r="S129" s="132"/>
      <c r="T129" s="133"/>
      <c r="U129" s="134"/>
      <c r="V129" s="132"/>
      <c r="W129" s="135"/>
      <c r="X129" s="136"/>
      <c r="Y129" s="132"/>
      <c r="Z129" s="132"/>
      <c r="AA129" s="132"/>
      <c r="AB129" s="132"/>
      <c r="AC129" s="132"/>
      <c r="AD129" s="135"/>
      <c r="AE129" s="136"/>
      <c r="AF129" s="132"/>
      <c r="AG129" s="137"/>
      <c r="AH129" s="132"/>
      <c r="AI129" s="132"/>
      <c r="AJ129" s="132"/>
      <c r="AK129" s="132"/>
      <c r="AL129" s="132"/>
      <c r="AM129" s="132"/>
      <c r="AN129" s="132"/>
      <c r="AO129" s="132"/>
      <c r="AP129" s="135"/>
      <c r="AQ129" s="136"/>
      <c r="AR129" s="132"/>
      <c r="AS129" s="132"/>
      <c r="AT129" s="132"/>
      <c r="AU129" s="135"/>
      <c r="AV129" s="136"/>
      <c r="AW129" s="132"/>
      <c r="AX129" s="132"/>
      <c r="AY129" s="135"/>
      <c r="AZ129" s="136"/>
      <c r="BA129" s="132"/>
      <c r="BB129" s="132"/>
      <c r="BC129" s="135"/>
      <c r="BD129" s="136"/>
      <c r="BE129" s="132"/>
      <c r="BF129" s="132"/>
      <c r="BG129" s="135"/>
      <c r="BH129" s="136"/>
      <c r="BI129" s="132"/>
      <c r="BJ129" s="132"/>
      <c r="BK129" s="132"/>
      <c r="BL129" s="135"/>
      <c r="BM129" s="136"/>
      <c r="BN129" s="132"/>
      <c r="BO129" s="132"/>
      <c r="BP129" s="135"/>
      <c r="BQ129" s="136"/>
      <c r="BR129" s="137"/>
      <c r="BS129" s="132"/>
      <c r="BT129" s="132"/>
      <c r="BU129" s="132"/>
      <c r="BV129" s="132"/>
      <c r="BW129" s="135"/>
      <c r="BX129" s="136"/>
      <c r="BY129" s="132"/>
      <c r="BZ129" s="132"/>
      <c r="CA129" s="135"/>
      <c r="CB129" s="136"/>
      <c r="CC129" s="132"/>
      <c r="CD129" s="132"/>
      <c r="CE129" s="132"/>
      <c r="CF129" s="132"/>
      <c r="CG129" s="135"/>
      <c r="CH129" s="136"/>
      <c r="CI129" s="136"/>
      <c r="CJ129" s="132"/>
      <c r="CK129" s="132"/>
      <c r="CL129" s="135"/>
      <c r="CM129" s="136"/>
      <c r="CN129" s="132"/>
      <c r="CO129" s="132"/>
      <c r="CP129" s="132"/>
      <c r="CQ129" s="132"/>
      <c r="CR129" s="137"/>
      <c r="CS129" s="132"/>
      <c r="CT129" s="132"/>
      <c r="CU129" s="132"/>
      <c r="CV129" s="137"/>
      <c r="CW129" s="132"/>
      <c r="CX129" s="132"/>
      <c r="CY129" s="132"/>
      <c r="CZ129" s="132"/>
      <c r="DA129" s="132"/>
      <c r="DB129" s="132"/>
      <c r="DC129" s="137"/>
      <c r="DD129" s="132"/>
      <c r="DE129" s="132"/>
      <c r="DF129" s="132"/>
      <c r="DG129" s="132">
        <f t="shared" si="3"/>
        <v>0</v>
      </c>
    </row>
    <row r="130" spans="1:111" s="125" customFormat="1" ht="17.100000000000001" customHeight="1" x14ac:dyDescent="0.25">
      <c r="A130" s="126"/>
      <c r="B130" s="127"/>
      <c r="C130" s="128"/>
      <c r="D130" s="129"/>
      <c r="E130" s="130"/>
      <c r="F130" s="144"/>
      <c r="G130" s="131"/>
      <c r="H130" s="132"/>
      <c r="I130" s="133"/>
      <c r="J130" s="134"/>
      <c r="K130" s="132"/>
      <c r="L130" s="133"/>
      <c r="M130" s="134"/>
      <c r="N130" s="133"/>
      <c r="O130" s="134"/>
      <c r="P130" s="133"/>
      <c r="Q130" s="134"/>
      <c r="R130" s="132"/>
      <c r="S130" s="132"/>
      <c r="T130" s="133"/>
      <c r="U130" s="134"/>
      <c r="V130" s="132"/>
      <c r="W130" s="135"/>
      <c r="X130" s="136"/>
      <c r="Y130" s="132"/>
      <c r="Z130" s="132"/>
      <c r="AA130" s="132"/>
      <c r="AB130" s="132"/>
      <c r="AC130" s="132"/>
      <c r="AD130" s="135"/>
      <c r="AE130" s="136"/>
      <c r="AF130" s="132"/>
      <c r="AG130" s="137"/>
      <c r="AH130" s="132"/>
      <c r="AI130" s="132"/>
      <c r="AJ130" s="132"/>
      <c r="AK130" s="132"/>
      <c r="AL130" s="132"/>
      <c r="AM130" s="132"/>
      <c r="AN130" s="132"/>
      <c r="AO130" s="132"/>
      <c r="AP130" s="135"/>
      <c r="AQ130" s="136"/>
      <c r="AR130" s="132"/>
      <c r="AS130" s="132"/>
      <c r="AT130" s="132"/>
      <c r="AU130" s="135"/>
      <c r="AV130" s="136"/>
      <c r="AW130" s="132"/>
      <c r="AX130" s="132"/>
      <c r="AY130" s="135"/>
      <c r="AZ130" s="136"/>
      <c r="BA130" s="132"/>
      <c r="BB130" s="132"/>
      <c r="BC130" s="135"/>
      <c r="BD130" s="136"/>
      <c r="BE130" s="132"/>
      <c r="BF130" s="132"/>
      <c r="BG130" s="135"/>
      <c r="BH130" s="136"/>
      <c r="BI130" s="132"/>
      <c r="BJ130" s="132"/>
      <c r="BK130" s="132"/>
      <c r="BL130" s="135"/>
      <c r="BM130" s="136"/>
      <c r="BN130" s="132"/>
      <c r="BO130" s="132"/>
      <c r="BP130" s="135"/>
      <c r="BQ130" s="136"/>
      <c r="BR130" s="137"/>
      <c r="BS130" s="132"/>
      <c r="BT130" s="132"/>
      <c r="BU130" s="132"/>
      <c r="BV130" s="132"/>
      <c r="BW130" s="135"/>
      <c r="BX130" s="136"/>
      <c r="BY130" s="132"/>
      <c r="BZ130" s="132"/>
      <c r="CA130" s="135"/>
      <c r="CB130" s="136"/>
      <c r="CC130" s="132"/>
      <c r="CD130" s="132"/>
      <c r="CE130" s="132"/>
      <c r="CF130" s="132"/>
      <c r="CG130" s="135"/>
      <c r="CH130" s="136"/>
      <c r="CI130" s="136"/>
      <c r="CJ130" s="132"/>
      <c r="CK130" s="132"/>
      <c r="CL130" s="135"/>
      <c r="CM130" s="136"/>
      <c r="CN130" s="132"/>
      <c r="CO130" s="132"/>
      <c r="CP130" s="132"/>
      <c r="CQ130" s="132"/>
      <c r="CR130" s="137"/>
      <c r="CS130" s="132"/>
      <c r="CT130" s="132"/>
      <c r="CU130" s="132"/>
      <c r="CV130" s="137"/>
      <c r="CW130" s="132"/>
      <c r="CX130" s="132"/>
      <c r="CY130" s="132"/>
      <c r="CZ130" s="132"/>
      <c r="DA130" s="132"/>
      <c r="DB130" s="132"/>
      <c r="DC130" s="137"/>
      <c r="DD130" s="132"/>
      <c r="DE130" s="132"/>
      <c r="DF130" s="132"/>
      <c r="DG130" s="132">
        <f t="shared" si="3"/>
        <v>0</v>
      </c>
    </row>
    <row r="131" spans="1:111" s="125" customFormat="1" ht="17.100000000000001" customHeight="1" x14ac:dyDescent="0.25">
      <c r="A131" s="126"/>
      <c r="B131" s="127"/>
      <c r="C131" s="128"/>
      <c r="D131" s="160"/>
      <c r="E131" s="130"/>
      <c r="F131" s="128"/>
      <c r="G131" s="138"/>
      <c r="H131" s="132"/>
      <c r="I131" s="133"/>
      <c r="J131" s="134"/>
      <c r="K131" s="132"/>
      <c r="L131" s="133"/>
      <c r="M131" s="134"/>
      <c r="N131" s="133"/>
      <c r="O131" s="134"/>
      <c r="P131" s="133"/>
      <c r="Q131" s="134"/>
      <c r="R131" s="132"/>
      <c r="S131" s="132"/>
      <c r="T131" s="133"/>
      <c r="U131" s="134"/>
      <c r="V131" s="132"/>
      <c r="W131" s="135"/>
      <c r="X131" s="136"/>
      <c r="Y131" s="132"/>
      <c r="Z131" s="132"/>
      <c r="AA131" s="132"/>
      <c r="AB131" s="132"/>
      <c r="AC131" s="132"/>
      <c r="AD131" s="135"/>
      <c r="AE131" s="136"/>
      <c r="AF131" s="132"/>
      <c r="AG131" s="137"/>
      <c r="AH131" s="132"/>
      <c r="AI131" s="132"/>
      <c r="AJ131" s="132"/>
      <c r="AK131" s="132"/>
      <c r="AL131" s="132"/>
      <c r="AM131" s="132"/>
      <c r="AN131" s="132"/>
      <c r="AO131" s="132"/>
      <c r="AP131" s="135"/>
      <c r="AQ131" s="136"/>
      <c r="AR131" s="132"/>
      <c r="AS131" s="132"/>
      <c r="AT131" s="132"/>
      <c r="AU131" s="135"/>
      <c r="AV131" s="136"/>
      <c r="AW131" s="132"/>
      <c r="AX131" s="132"/>
      <c r="AY131" s="135"/>
      <c r="AZ131" s="136"/>
      <c r="BA131" s="132"/>
      <c r="BB131" s="132"/>
      <c r="BC131" s="135"/>
      <c r="BD131" s="136"/>
      <c r="BE131" s="132"/>
      <c r="BF131" s="132"/>
      <c r="BG131" s="135"/>
      <c r="BH131" s="136"/>
      <c r="BI131" s="132"/>
      <c r="BJ131" s="132"/>
      <c r="BK131" s="132"/>
      <c r="BL131" s="135"/>
      <c r="BM131" s="136"/>
      <c r="BN131" s="132"/>
      <c r="BO131" s="132"/>
      <c r="BP131" s="135"/>
      <c r="BQ131" s="136"/>
      <c r="BR131" s="137"/>
      <c r="BS131" s="132"/>
      <c r="BT131" s="132"/>
      <c r="BU131" s="132"/>
      <c r="BV131" s="132"/>
      <c r="BW131" s="135"/>
      <c r="BX131" s="136"/>
      <c r="BY131" s="132"/>
      <c r="BZ131" s="132"/>
      <c r="CA131" s="135"/>
      <c r="CB131" s="136"/>
      <c r="CC131" s="132"/>
      <c r="CD131" s="132"/>
      <c r="CE131" s="132"/>
      <c r="CF131" s="132"/>
      <c r="CG131" s="135"/>
      <c r="CH131" s="136"/>
      <c r="CI131" s="136"/>
      <c r="CJ131" s="132"/>
      <c r="CK131" s="132"/>
      <c r="CL131" s="135"/>
      <c r="CM131" s="136"/>
      <c r="CN131" s="132"/>
      <c r="CO131" s="132"/>
      <c r="CP131" s="132"/>
      <c r="CQ131" s="132"/>
      <c r="CR131" s="137"/>
      <c r="CS131" s="132"/>
      <c r="CT131" s="132"/>
      <c r="CU131" s="132"/>
      <c r="CV131" s="137"/>
      <c r="CW131" s="132"/>
      <c r="CX131" s="132"/>
      <c r="CY131" s="132"/>
      <c r="CZ131" s="132"/>
      <c r="DA131" s="132"/>
      <c r="DB131" s="132"/>
      <c r="DC131" s="137"/>
      <c r="DD131" s="132"/>
      <c r="DE131" s="132"/>
      <c r="DF131" s="132"/>
      <c r="DG131" s="132">
        <f t="shared" si="3"/>
        <v>0</v>
      </c>
    </row>
    <row r="132" spans="1:111" s="125" customFormat="1" ht="17.100000000000001" customHeight="1" x14ac:dyDescent="0.25">
      <c r="A132" s="126"/>
      <c r="B132" s="127"/>
      <c r="C132" s="128"/>
      <c r="D132" s="160"/>
      <c r="E132" s="130"/>
      <c r="F132" s="128"/>
      <c r="G132" s="131"/>
      <c r="H132" s="132"/>
      <c r="I132" s="133"/>
      <c r="J132" s="134"/>
      <c r="K132" s="132"/>
      <c r="L132" s="133"/>
      <c r="M132" s="134"/>
      <c r="N132" s="133"/>
      <c r="O132" s="134"/>
      <c r="P132" s="133"/>
      <c r="Q132" s="134"/>
      <c r="R132" s="132"/>
      <c r="S132" s="132"/>
      <c r="T132" s="133"/>
      <c r="U132" s="134"/>
      <c r="V132" s="132"/>
      <c r="W132" s="135"/>
      <c r="X132" s="136"/>
      <c r="Y132" s="132"/>
      <c r="Z132" s="132"/>
      <c r="AA132" s="132"/>
      <c r="AB132" s="132"/>
      <c r="AC132" s="132"/>
      <c r="AD132" s="135"/>
      <c r="AE132" s="136"/>
      <c r="AF132" s="132"/>
      <c r="AG132" s="137"/>
      <c r="AH132" s="132"/>
      <c r="AI132" s="132"/>
      <c r="AJ132" s="132"/>
      <c r="AK132" s="132"/>
      <c r="AL132" s="132"/>
      <c r="AM132" s="132"/>
      <c r="AN132" s="132"/>
      <c r="AO132" s="132"/>
      <c r="AP132" s="135"/>
      <c r="AQ132" s="136"/>
      <c r="AR132" s="132"/>
      <c r="AS132" s="132"/>
      <c r="AT132" s="132"/>
      <c r="AU132" s="135"/>
      <c r="AV132" s="136"/>
      <c r="AW132" s="132"/>
      <c r="AX132" s="132"/>
      <c r="AY132" s="135"/>
      <c r="AZ132" s="136"/>
      <c r="BA132" s="132"/>
      <c r="BB132" s="132"/>
      <c r="BC132" s="135"/>
      <c r="BD132" s="136"/>
      <c r="BE132" s="132"/>
      <c r="BF132" s="132"/>
      <c r="BG132" s="135"/>
      <c r="BH132" s="136"/>
      <c r="BI132" s="132"/>
      <c r="BJ132" s="132"/>
      <c r="BK132" s="132"/>
      <c r="BL132" s="135"/>
      <c r="BM132" s="136"/>
      <c r="BN132" s="132"/>
      <c r="BO132" s="132"/>
      <c r="BP132" s="135"/>
      <c r="BQ132" s="136"/>
      <c r="BR132" s="137"/>
      <c r="BS132" s="132"/>
      <c r="BT132" s="132"/>
      <c r="BU132" s="132"/>
      <c r="BV132" s="132"/>
      <c r="BW132" s="135"/>
      <c r="BX132" s="136"/>
      <c r="BY132" s="132"/>
      <c r="BZ132" s="132"/>
      <c r="CA132" s="135"/>
      <c r="CB132" s="136"/>
      <c r="CC132" s="132"/>
      <c r="CD132" s="132"/>
      <c r="CE132" s="132"/>
      <c r="CF132" s="132"/>
      <c r="CG132" s="135"/>
      <c r="CH132" s="136"/>
      <c r="CI132" s="136"/>
      <c r="CJ132" s="132"/>
      <c r="CK132" s="132"/>
      <c r="CL132" s="135"/>
      <c r="CM132" s="136"/>
      <c r="CN132" s="132"/>
      <c r="CO132" s="132"/>
      <c r="CP132" s="132"/>
      <c r="CQ132" s="132"/>
      <c r="CR132" s="137"/>
      <c r="CS132" s="132"/>
      <c r="CT132" s="132"/>
      <c r="CU132" s="132"/>
      <c r="CV132" s="137"/>
      <c r="CW132" s="132"/>
      <c r="CX132" s="132"/>
      <c r="CY132" s="132"/>
      <c r="CZ132" s="132"/>
      <c r="DA132" s="132"/>
      <c r="DB132" s="132"/>
      <c r="DC132" s="137"/>
      <c r="DD132" s="132"/>
      <c r="DE132" s="132"/>
      <c r="DF132" s="132"/>
      <c r="DG132" s="132">
        <f t="shared" si="3"/>
        <v>0</v>
      </c>
    </row>
    <row r="133" spans="1:111" s="125" customFormat="1" ht="17.100000000000001" customHeight="1" x14ac:dyDescent="0.25">
      <c r="A133" s="126"/>
      <c r="B133" s="127"/>
      <c r="C133" s="128"/>
      <c r="D133" s="143"/>
      <c r="E133" s="130"/>
      <c r="F133" s="128"/>
      <c r="G133" s="131"/>
      <c r="H133" s="132"/>
      <c r="I133" s="133"/>
      <c r="J133" s="134"/>
      <c r="K133" s="132"/>
      <c r="L133" s="133"/>
      <c r="M133" s="134"/>
      <c r="N133" s="133"/>
      <c r="O133" s="134"/>
      <c r="P133" s="133"/>
      <c r="Q133" s="134"/>
      <c r="R133" s="132"/>
      <c r="S133" s="132"/>
      <c r="T133" s="133"/>
      <c r="U133" s="134"/>
      <c r="V133" s="132"/>
      <c r="W133" s="135"/>
      <c r="X133" s="136"/>
      <c r="Y133" s="132"/>
      <c r="Z133" s="132"/>
      <c r="AA133" s="132"/>
      <c r="AB133" s="132"/>
      <c r="AC133" s="132"/>
      <c r="AD133" s="135"/>
      <c r="AE133" s="136"/>
      <c r="AF133" s="132"/>
      <c r="AG133" s="137"/>
      <c r="AH133" s="132"/>
      <c r="AI133" s="132"/>
      <c r="AJ133" s="132"/>
      <c r="AK133" s="132"/>
      <c r="AL133" s="132"/>
      <c r="AM133" s="132"/>
      <c r="AN133" s="132"/>
      <c r="AO133" s="132"/>
      <c r="AP133" s="135"/>
      <c r="AQ133" s="136"/>
      <c r="AR133" s="132"/>
      <c r="AS133" s="132"/>
      <c r="AT133" s="132"/>
      <c r="AU133" s="135"/>
      <c r="AV133" s="136"/>
      <c r="AW133" s="132"/>
      <c r="AX133" s="132"/>
      <c r="AY133" s="135"/>
      <c r="AZ133" s="136"/>
      <c r="BA133" s="132"/>
      <c r="BB133" s="132"/>
      <c r="BC133" s="135"/>
      <c r="BD133" s="136"/>
      <c r="BE133" s="132"/>
      <c r="BF133" s="132"/>
      <c r="BG133" s="135"/>
      <c r="BH133" s="136"/>
      <c r="BI133" s="132"/>
      <c r="BJ133" s="132"/>
      <c r="BK133" s="132"/>
      <c r="BL133" s="135"/>
      <c r="BM133" s="136"/>
      <c r="BN133" s="132"/>
      <c r="BO133" s="132"/>
      <c r="BP133" s="135"/>
      <c r="BQ133" s="136"/>
      <c r="BR133" s="137"/>
      <c r="BS133" s="132"/>
      <c r="BT133" s="132"/>
      <c r="BU133" s="132"/>
      <c r="BV133" s="132"/>
      <c r="BW133" s="135"/>
      <c r="BX133" s="136"/>
      <c r="BY133" s="132"/>
      <c r="BZ133" s="132"/>
      <c r="CA133" s="135"/>
      <c r="CB133" s="136"/>
      <c r="CC133" s="132"/>
      <c r="CD133" s="132"/>
      <c r="CE133" s="132"/>
      <c r="CF133" s="132"/>
      <c r="CG133" s="135"/>
      <c r="CH133" s="136"/>
      <c r="CI133" s="136"/>
      <c r="CJ133" s="132"/>
      <c r="CK133" s="132"/>
      <c r="CL133" s="135"/>
      <c r="CM133" s="136"/>
      <c r="CN133" s="132"/>
      <c r="CO133" s="132"/>
      <c r="CP133" s="132"/>
      <c r="CQ133" s="132"/>
      <c r="CR133" s="137"/>
      <c r="CS133" s="132"/>
      <c r="CT133" s="132"/>
      <c r="CU133" s="132"/>
      <c r="CV133" s="137"/>
      <c r="CW133" s="132"/>
      <c r="CX133" s="132"/>
      <c r="CY133" s="132"/>
      <c r="CZ133" s="132"/>
      <c r="DA133" s="132"/>
      <c r="DB133" s="132"/>
      <c r="DC133" s="137"/>
      <c r="DD133" s="132"/>
      <c r="DE133" s="132"/>
      <c r="DF133" s="132"/>
      <c r="DG133" s="132">
        <f t="shared" si="3"/>
        <v>0</v>
      </c>
    </row>
    <row r="134" spans="1:111" s="125" customFormat="1" ht="17.100000000000001" customHeight="1" x14ac:dyDescent="0.25">
      <c r="A134" s="126"/>
      <c r="B134" s="127"/>
      <c r="C134" s="128"/>
      <c r="D134" s="129"/>
      <c r="E134" s="130"/>
      <c r="F134" s="128"/>
      <c r="G134" s="131"/>
      <c r="H134" s="132"/>
      <c r="I134" s="133"/>
      <c r="J134" s="134"/>
      <c r="K134" s="132"/>
      <c r="L134" s="133"/>
      <c r="M134" s="134"/>
      <c r="N134" s="133"/>
      <c r="O134" s="134"/>
      <c r="P134" s="133"/>
      <c r="Q134" s="134"/>
      <c r="R134" s="132"/>
      <c r="S134" s="132"/>
      <c r="T134" s="133"/>
      <c r="U134" s="134"/>
      <c r="V134" s="132"/>
      <c r="W134" s="135"/>
      <c r="X134" s="136"/>
      <c r="Y134" s="132"/>
      <c r="Z134" s="132"/>
      <c r="AA134" s="132"/>
      <c r="AB134" s="132"/>
      <c r="AC134" s="132"/>
      <c r="AD134" s="135"/>
      <c r="AE134" s="136"/>
      <c r="AF134" s="132"/>
      <c r="AG134" s="137"/>
      <c r="AH134" s="132"/>
      <c r="AI134" s="132"/>
      <c r="AJ134" s="132"/>
      <c r="AK134" s="132"/>
      <c r="AL134" s="132"/>
      <c r="AM134" s="132"/>
      <c r="AN134" s="132"/>
      <c r="AO134" s="132"/>
      <c r="AP134" s="135"/>
      <c r="AQ134" s="136"/>
      <c r="AR134" s="132"/>
      <c r="AS134" s="132"/>
      <c r="AT134" s="132"/>
      <c r="AU134" s="135"/>
      <c r="AV134" s="136"/>
      <c r="AW134" s="132"/>
      <c r="AX134" s="132"/>
      <c r="AY134" s="135"/>
      <c r="AZ134" s="136"/>
      <c r="BA134" s="132"/>
      <c r="BB134" s="132"/>
      <c r="BC134" s="135"/>
      <c r="BD134" s="136"/>
      <c r="BE134" s="132"/>
      <c r="BF134" s="132"/>
      <c r="BG134" s="135"/>
      <c r="BH134" s="136"/>
      <c r="BI134" s="132"/>
      <c r="BJ134" s="132"/>
      <c r="BK134" s="132"/>
      <c r="BL134" s="135"/>
      <c r="BM134" s="136"/>
      <c r="BN134" s="132"/>
      <c r="BO134" s="132"/>
      <c r="BP134" s="135"/>
      <c r="BQ134" s="136"/>
      <c r="BR134" s="137"/>
      <c r="BS134" s="132"/>
      <c r="BT134" s="132"/>
      <c r="BU134" s="132"/>
      <c r="BV134" s="132"/>
      <c r="BW134" s="135"/>
      <c r="BX134" s="136"/>
      <c r="BY134" s="132"/>
      <c r="BZ134" s="132"/>
      <c r="CA134" s="135"/>
      <c r="CB134" s="136"/>
      <c r="CC134" s="132"/>
      <c r="CD134" s="132"/>
      <c r="CE134" s="132"/>
      <c r="CF134" s="132"/>
      <c r="CG134" s="135"/>
      <c r="CH134" s="136"/>
      <c r="CI134" s="136"/>
      <c r="CJ134" s="132"/>
      <c r="CK134" s="132"/>
      <c r="CL134" s="135"/>
      <c r="CM134" s="136"/>
      <c r="CN134" s="132"/>
      <c r="CO134" s="132"/>
      <c r="CP134" s="132"/>
      <c r="CQ134" s="132"/>
      <c r="CR134" s="137"/>
      <c r="CS134" s="132"/>
      <c r="CT134" s="132"/>
      <c r="CU134" s="132"/>
      <c r="CV134" s="137"/>
      <c r="CW134" s="132"/>
      <c r="CX134" s="132"/>
      <c r="CY134" s="132"/>
      <c r="CZ134" s="132"/>
      <c r="DA134" s="132"/>
      <c r="DB134" s="132"/>
      <c r="DC134" s="137"/>
      <c r="DD134" s="132"/>
      <c r="DE134" s="132"/>
      <c r="DF134" s="132"/>
      <c r="DG134" s="132">
        <f t="shared" si="3"/>
        <v>0</v>
      </c>
    </row>
    <row r="135" spans="1:111" s="125" customFormat="1" ht="17.100000000000001" customHeight="1" x14ac:dyDescent="0.25">
      <c r="A135" s="126"/>
      <c r="B135" s="127"/>
      <c r="C135" s="128"/>
      <c r="D135" s="143"/>
      <c r="E135" s="130"/>
      <c r="F135" s="128"/>
      <c r="G135" s="131"/>
      <c r="H135" s="132"/>
      <c r="I135" s="133"/>
      <c r="J135" s="134"/>
      <c r="K135" s="132"/>
      <c r="L135" s="133"/>
      <c r="M135" s="134"/>
      <c r="N135" s="133"/>
      <c r="O135" s="134"/>
      <c r="P135" s="133"/>
      <c r="Q135" s="134"/>
      <c r="R135" s="132"/>
      <c r="S135" s="132"/>
      <c r="T135" s="133"/>
      <c r="U135" s="134"/>
      <c r="V135" s="132"/>
      <c r="W135" s="135"/>
      <c r="X135" s="136"/>
      <c r="Y135" s="132"/>
      <c r="Z135" s="132"/>
      <c r="AA135" s="132"/>
      <c r="AB135" s="132"/>
      <c r="AC135" s="132"/>
      <c r="AD135" s="135"/>
      <c r="AE135" s="136"/>
      <c r="AF135" s="132"/>
      <c r="AG135" s="137"/>
      <c r="AH135" s="132"/>
      <c r="AI135" s="132"/>
      <c r="AJ135" s="132"/>
      <c r="AK135" s="132"/>
      <c r="AL135" s="132"/>
      <c r="AM135" s="132"/>
      <c r="AN135" s="132"/>
      <c r="AO135" s="132"/>
      <c r="AP135" s="135"/>
      <c r="AQ135" s="136"/>
      <c r="AR135" s="132"/>
      <c r="AS135" s="132"/>
      <c r="AT135" s="132"/>
      <c r="AU135" s="135"/>
      <c r="AV135" s="136"/>
      <c r="AW135" s="132"/>
      <c r="AX135" s="132"/>
      <c r="AY135" s="135"/>
      <c r="AZ135" s="136"/>
      <c r="BA135" s="132"/>
      <c r="BB135" s="132"/>
      <c r="BC135" s="135"/>
      <c r="BD135" s="136"/>
      <c r="BE135" s="132"/>
      <c r="BF135" s="132"/>
      <c r="BG135" s="135"/>
      <c r="BH135" s="136"/>
      <c r="BI135" s="132"/>
      <c r="BJ135" s="132"/>
      <c r="BK135" s="132"/>
      <c r="BL135" s="135"/>
      <c r="BM135" s="136"/>
      <c r="BN135" s="132"/>
      <c r="BO135" s="132"/>
      <c r="BP135" s="135"/>
      <c r="BQ135" s="136"/>
      <c r="BR135" s="137"/>
      <c r="BS135" s="132"/>
      <c r="BT135" s="132"/>
      <c r="BU135" s="132"/>
      <c r="BV135" s="132"/>
      <c r="BW135" s="135"/>
      <c r="BX135" s="136"/>
      <c r="BY135" s="132"/>
      <c r="BZ135" s="132"/>
      <c r="CA135" s="135"/>
      <c r="CB135" s="136"/>
      <c r="CC135" s="132"/>
      <c r="CD135" s="132"/>
      <c r="CE135" s="132"/>
      <c r="CF135" s="132"/>
      <c r="CG135" s="135"/>
      <c r="CH135" s="136"/>
      <c r="CI135" s="136"/>
      <c r="CJ135" s="132"/>
      <c r="CK135" s="132"/>
      <c r="CL135" s="135"/>
      <c r="CM135" s="136"/>
      <c r="CN135" s="132"/>
      <c r="CO135" s="132"/>
      <c r="CP135" s="132"/>
      <c r="CQ135" s="132"/>
      <c r="CR135" s="137"/>
      <c r="CS135" s="132"/>
      <c r="CT135" s="132"/>
      <c r="CU135" s="132"/>
      <c r="CV135" s="137"/>
      <c r="CW135" s="132"/>
      <c r="CX135" s="132"/>
      <c r="CY135" s="132"/>
      <c r="CZ135" s="132"/>
      <c r="DA135" s="132"/>
      <c r="DB135" s="132"/>
      <c r="DC135" s="137"/>
      <c r="DD135" s="132"/>
      <c r="DE135" s="132"/>
      <c r="DF135" s="132"/>
      <c r="DG135" s="132">
        <f t="shared" si="3"/>
        <v>0</v>
      </c>
    </row>
    <row r="136" spans="1:111" s="125" customFormat="1" ht="17.100000000000001" customHeight="1" x14ac:dyDescent="0.25">
      <c r="A136" s="126"/>
      <c r="B136" s="127"/>
      <c r="C136" s="128"/>
      <c r="D136" s="129"/>
      <c r="E136" s="130"/>
      <c r="F136" s="128"/>
      <c r="G136" s="131"/>
      <c r="H136" s="132"/>
      <c r="I136" s="133"/>
      <c r="J136" s="134"/>
      <c r="K136" s="132"/>
      <c r="L136" s="133"/>
      <c r="M136" s="134"/>
      <c r="N136" s="133"/>
      <c r="O136" s="134"/>
      <c r="P136" s="133"/>
      <c r="Q136" s="134"/>
      <c r="R136" s="132"/>
      <c r="S136" s="132"/>
      <c r="T136" s="133"/>
      <c r="U136" s="134"/>
      <c r="V136" s="132"/>
      <c r="W136" s="135"/>
      <c r="X136" s="136"/>
      <c r="Y136" s="132"/>
      <c r="Z136" s="132"/>
      <c r="AA136" s="132"/>
      <c r="AB136" s="132"/>
      <c r="AC136" s="132"/>
      <c r="AD136" s="135"/>
      <c r="AE136" s="136"/>
      <c r="AF136" s="132"/>
      <c r="AG136" s="137"/>
      <c r="AH136" s="132"/>
      <c r="AI136" s="132"/>
      <c r="AJ136" s="132"/>
      <c r="AK136" s="132"/>
      <c r="AL136" s="132"/>
      <c r="AM136" s="132"/>
      <c r="AN136" s="132"/>
      <c r="AO136" s="132"/>
      <c r="AP136" s="135"/>
      <c r="AQ136" s="136"/>
      <c r="AR136" s="132"/>
      <c r="AS136" s="132"/>
      <c r="AT136" s="132"/>
      <c r="AU136" s="135"/>
      <c r="AV136" s="136"/>
      <c r="AW136" s="132"/>
      <c r="AX136" s="132"/>
      <c r="AY136" s="135"/>
      <c r="AZ136" s="136"/>
      <c r="BA136" s="132"/>
      <c r="BB136" s="132"/>
      <c r="BC136" s="135"/>
      <c r="BD136" s="136"/>
      <c r="BE136" s="132"/>
      <c r="BF136" s="132"/>
      <c r="BG136" s="135"/>
      <c r="BH136" s="136"/>
      <c r="BI136" s="132"/>
      <c r="BJ136" s="132"/>
      <c r="BK136" s="132"/>
      <c r="BL136" s="135"/>
      <c r="BM136" s="136"/>
      <c r="BN136" s="132"/>
      <c r="BO136" s="132"/>
      <c r="BP136" s="135"/>
      <c r="BQ136" s="136"/>
      <c r="BR136" s="137"/>
      <c r="BS136" s="132"/>
      <c r="BT136" s="132"/>
      <c r="BU136" s="132"/>
      <c r="BV136" s="132"/>
      <c r="BW136" s="135"/>
      <c r="BX136" s="136"/>
      <c r="BY136" s="132"/>
      <c r="BZ136" s="132"/>
      <c r="CA136" s="135"/>
      <c r="CB136" s="136"/>
      <c r="CC136" s="132"/>
      <c r="CD136" s="132"/>
      <c r="CE136" s="132"/>
      <c r="CF136" s="132"/>
      <c r="CG136" s="135"/>
      <c r="CH136" s="136"/>
      <c r="CI136" s="136"/>
      <c r="CJ136" s="132"/>
      <c r="CK136" s="132"/>
      <c r="CL136" s="135"/>
      <c r="CM136" s="136"/>
      <c r="CN136" s="132"/>
      <c r="CO136" s="132"/>
      <c r="CP136" s="132"/>
      <c r="CQ136" s="132"/>
      <c r="CR136" s="137"/>
      <c r="CS136" s="132"/>
      <c r="CT136" s="132"/>
      <c r="CU136" s="132"/>
      <c r="CV136" s="137"/>
      <c r="CW136" s="132"/>
      <c r="CX136" s="132"/>
      <c r="CY136" s="132"/>
      <c r="CZ136" s="132"/>
      <c r="DA136" s="132"/>
      <c r="DB136" s="132"/>
      <c r="DC136" s="137"/>
      <c r="DD136" s="132"/>
      <c r="DE136" s="132"/>
      <c r="DF136" s="132"/>
      <c r="DG136" s="132">
        <f t="shared" si="3"/>
        <v>0</v>
      </c>
    </row>
    <row r="137" spans="1:111" s="125" customFormat="1" ht="17.100000000000001" customHeight="1" x14ac:dyDescent="0.25">
      <c r="A137" s="126"/>
      <c r="B137" s="127"/>
      <c r="C137" s="128"/>
      <c r="D137" s="129"/>
      <c r="E137" s="130"/>
      <c r="F137" s="128"/>
      <c r="G137" s="131"/>
      <c r="H137" s="132"/>
      <c r="I137" s="133"/>
      <c r="J137" s="134"/>
      <c r="K137" s="132"/>
      <c r="L137" s="133"/>
      <c r="M137" s="134"/>
      <c r="N137" s="133"/>
      <c r="O137" s="134"/>
      <c r="P137" s="133"/>
      <c r="Q137" s="134"/>
      <c r="R137" s="132"/>
      <c r="S137" s="132"/>
      <c r="T137" s="133"/>
      <c r="U137" s="134"/>
      <c r="V137" s="132"/>
      <c r="W137" s="135"/>
      <c r="X137" s="136"/>
      <c r="Y137" s="132"/>
      <c r="Z137" s="132"/>
      <c r="AA137" s="132"/>
      <c r="AB137" s="132"/>
      <c r="AC137" s="132"/>
      <c r="AD137" s="135"/>
      <c r="AE137" s="136"/>
      <c r="AF137" s="132"/>
      <c r="AG137" s="137"/>
      <c r="AH137" s="132"/>
      <c r="AI137" s="132"/>
      <c r="AJ137" s="132"/>
      <c r="AK137" s="132"/>
      <c r="AL137" s="132"/>
      <c r="AM137" s="132"/>
      <c r="AN137" s="132"/>
      <c r="AO137" s="132"/>
      <c r="AP137" s="135"/>
      <c r="AQ137" s="136"/>
      <c r="AR137" s="132"/>
      <c r="AS137" s="132"/>
      <c r="AT137" s="132"/>
      <c r="AU137" s="135"/>
      <c r="AV137" s="136"/>
      <c r="AW137" s="132"/>
      <c r="AX137" s="132"/>
      <c r="AY137" s="135"/>
      <c r="AZ137" s="136"/>
      <c r="BA137" s="132"/>
      <c r="BB137" s="132"/>
      <c r="BC137" s="135"/>
      <c r="BD137" s="136"/>
      <c r="BE137" s="132"/>
      <c r="BF137" s="132"/>
      <c r="BG137" s="135"/>
      <c r="BH137" s="136"/>
      <c r="BI137" s="132"/>
      <c r="BJ137" s="132"/>
      <c r="BK137" s="132"/>
      <c r="BL137" s="135"/>
      <c r="BM137" s="136"/>
      <c r="BN137" s="132"/>
      <c r="BO137" s="132"/>
      <c r="BP137" s="135"/>
      <c r="BQ137" s="136"/>
      <c r="BR137" s="137"/>
      <c r="BS137" s="132"/>
      <c r="BT137" s="132"/>
      <c r="BU137" s="132"/>
      <c r="BV137" s="132"/>
      <c r="BW137" s="135"/>
      <c r="BX137" s="136"/>
      <c r="BY137" s="132"/>
      <c r="BZ137" s="132"/>
      <c r="CA137" s="135"/>
      <c r="CB137" s="136"/>
      <c r="CC137" s="132"/>
      <c r="CD137" s="132"/>
      <c r="CE137" s="132"/>
      <c r="CF137" s="132"/>
      <c r="CG137" s="135"/>
      <c r="CH137" s="136"/>
      <c r="CI137" s="136"/>
      <c r="CJ137" s="132"/>
      <c r="CK137" s="132"/>
      <c r="CL137" s="135"/>
      <c r="CM137" s="136"/>
      <c r="CN137" s="132"/>
      <c r="CO137" s="132"/>
      <c r="CP137" s="132"/>
      <c r="CQ137" s="132"/>
      <c r="CR137" s="137"/>
      <c r="CS137" s="132"/>
      <c r="CT137" s="132"/>
      <c r="CU137" s="132"/>
      <c r="CV137" s="137"/>
      <c r="CW137" s="132"/>
      <c r="CX137" s="132"/>
      <c r="CY137" s="132"/>
      <c r="CZ137" s="132"/>
      <c r="DA137" s="132"/>
      <c r="DB137" s="132"/>
      <c r="DC137" s="137"/>
      <c r="DD137" s="132"/>
      <c r="DE137" s="132"/>
      <c r="DF137" s="132"/>
      <c r="DG137" s="132">
        <f t="shared" si="3"/>
        <v>0</v>
      </c>
    </row>
    <row r="138" spans="1:111" s="125" customFormat="1" ht="17.100000000000001" customHeight="1" x14ac:dyDescent="0.25">
      <c r="A138" s="126"/>
      <c r="B138" s="127"/>
      <c r="C138" s="128"/>
      <c r="D138" s="129"/>
      <c r="E138" s="130"/>
      <c r="F138" s="128"/>
      <c r="G138" s="131"/>
      <c r="H138" s="132"/>
      <c r="I138" s="133"/>
      <c r="J138" s="134"/>
      <c r="K138" s="132"/>
      <c r="L138" s="133"/>
      <c r="M138" s="134"/>
      <c r="N138" s="133"/>
      <c r="O138" s="134"/>
      <c r="P138" s="133"/>
      <c r="Q138" s="134"/>
      <c r="R138" s="132"/>
      <c r="S138" s="132"/>
      <c r="T138" s="133"/>
      <c r="U138" s="134"/>
      <c r="V138" s="132"/>
      <c r="W138" s="135"/>
      <c r="X138" s="136"/>
      <c r="Y138" s="132"/>
      <c r="Z138" s="132"/>
      <c r="AA138" s="132"/>
      <c r="AB138" s="132"/>
      <c r="AC138" s="132"/>
      <c r="AD138" s="135"/>
      <c r="AE138" s="136"/>
      <c r="AF138" s="132"/>
      <c r="AG138" s="137"/>
      <c r="AH138" s="132"/>
      <c r="AI138" s="132"/>
      <c r="AJ138" s="132"/>
      <c r="AK138" s="132"/>
      <c r="AL138" s="132"/>
      <c r="AM138" s="132"/>
      <c r="AN138" s="132"/>
      <c r="AO138" s="132"/>
      <c r="AP138" s="135"/>
      <c r="AQ138" s="136"/>
      <c r="AR138" s="132"/>
      <c r="AS138" s="132"/>
      <c r="AT138" s="132"/>
      <c r="AU138" s="135"/>
      <c r="AV138" s="136"/>
      <c r="AW138" s="132"/>
      <c r="AX138" s="132"/>
      <c r="AY138" s="135"/>
      <c r="AZ138" s="136"/>
      <c r="BA138" s="132"/>
      <c r="BB138" s="132"/>
      <c r="BC138" s="135"/>
      <c r="BD138" s="136"/>
      <c r="BE138" s="132"/>
      <c r="BF138" s="132"/>
      <c r="BG138" s="135"/>
      <c r="BH138" s="136"/>
      <c r="BI138" s="132"/>
      <c r="BJ138" s="132"/>
      <c r="BK138" s="132"/>
      <c r="BL138" s="135"/>
      <c r="BM138" s="136"/>
      <c r="BN138" s="132"/>
      <c r="BO138" s="132"/>
      <c r="BP138" s="135"/>
      <c r="BQ138" s="136"/>
      <c r="BR138" s="137"/>
      <c r="BS138" s="132"/>
      <c r="BT138" s="132"/>
      <c r="BU138" s="132"/>
      <c r="BV138" s="132"/>
      <c r="BW138" s="135"/>
      <c r="BX138" s="136"/>
      <c r="BY138" s="132"/>
      <c r="BZ138" s="132"/>
      <c r="CA138" s="135"/>
      <c r="CB138" s="136"/>
      <c r="CC138" s="132"/>
      <c r="CD138" s="132"/>
      <c r="CE138" s="132"/>
      <c r="CF138" s="132"/>
      <c r="CG138" s="135"/>
      <c r="CH138" s="136"/>
      <c r="CI138" s="136"/>
      <c r="CJ138" s="132"/>
      <c r="CK138" s="132"/>
      <c r="CL138" s="135"/>
      <c r="CM138" s="136"/>
      <c r="CN138" s="132"/>
      <c r="CO138" s="132"/>
      <c r="CP138" s="132"/>
      <c r="CQ138" s="132"/>
      <c r="CR138" s="137"/>
      <c r="CS138" s="132"/>
      <c r="CT138" s="132"/>
      <c r="CU138" s="132"/>
      <c r="CV138" s="137"/>
      <c r="CW138" s="132"/>
      <c r="CX138" s="132"/>
      <c r="CY138" s="132"/>
      <c r="CZ138" s="132"/>
      <c r="DA138" s="132"/>
      <c r="DB138" s="132"/>
      <c r="DC138" s="137"/>
      <c r="DD138" s="132"/>
      <c r="DE138" s="132"/>
      <c r="DF138" s="132"/>
      <c r="DG138" s="132">
        <f t="shared" si="3"/>
        <v>0</v>
      </c>
    </row>
    <row r="139" spans="1:111" s="125" customFormat="1" ht="17.100000000000001" customHeight="1" x14ac:dyDescent="0.25">
      <c r="A139" s="126"/>
      <c r="B139" s="127"/>
      <c r="C139" s="128"/>
      <c r="D139" s="161"/>
      <c r="E139" s="151"/>
      <c r="F139" s="128"/>
      <c r="G139" s="131"/>
      <c r="H139" s="132"/>
      <c r="I139" s="133"/>
      <c r="J139" s="134"/>
      <c r="K139" s="132"/>
      <c r="L139" s="133"/>
      <c r="M139" s="134"/>
      <c r="N139" s="133"/>
      <c r="O139" s="134"/>
      <c r="P139" s="133"/>
      <c r="Q139" s="134"/>
      <c r="R139" s="132"/>
      <c r="S139" s="132"/>
      <c r="T139" s="133"/>
      <c r="U139" s="134"/>
      <c r="V139" s="132"/>
      <c r="W139" s="135"/>
      <c r="X139" s="136"/>
      <c r="Y139" s="132"/>
      <c r="Z139" s="132"/>
      <c r="AA139" s="132"/>
      <c r="AB139" s="132"/>
      <c r="AC139" s="132"/>
      <c r="AD139" s="135"/>
      <c r="AE139" s="136"/>
      <c r="AF139" s="132"/>
      <c r="AG139" s="137"/>
      <c r="AH139" s="132"/>
      <c r="AI139" s="132"/>
      <c r="AJ139" s="132"/>
      <c r="AK139" s="132"/>
      <c r="AL139" s="132"/>
      <c r="AM139" s="132"/>
      <c r="AN139" s="132"/>
      <c r="AO139" s="132"/>
      <c r="AP139" s="135"/>
      <c r="AQ139" s="136"/>
      <c r="AR139" s="132"/>
      <c r="AS139" s="132"/>
      <c r="AT139" s="132"/>
      <c r="AU139" s="135"/>
      <c r="AV139" s="136"/>
      <c r="AW139" s="132"/>
      <c r="AX139" s="132"/>
      <c r="AY139" s="135"/>
      <c r="AZ139" s="136"/>
      <c r="BA139" s="132"/>
      <c r="BB139" s="132"/>
      <c r="BC139" s="135"/>
      <c r="BD139" s="136"/>
      <c r="BE139" s="132"/>
      <c r="BF139" s="132"/>
      <c r="BG139" s="135"/>
      <c r="BH139" s="136"/>
      <c r="BI139" s="132"/>
      <c r="BJ139" s="132"/>
      <c r="BK139" s="132"/>
      <c r="BL139" s="135"/>
      <c r="BM139" s="136"/>
      <c r="BN139" s="132"/>
      <c r="BO139" s="132"/>
      <c r="BP139" s="135"/>
      <c r="BQ139" s="136"/>
      <c r="BR139" s="137"/>
      <c r="BS139" s="132"/>
      <c r="BT139" s="132"/>
      <c r="BU139" s="132"/>
      <c r="BV139" s="132"/>
      <c r="BW139" s="135"/>
      <c r="BX139" s="136"/>
      <c r="BY139" s="132"/>
      <c r="BZ139" s="132"/>
      <c r="CA139" s="135"/>
      <c r="CB139" s="136"/>
      <c r="CC139" s="132"/>
      <c r="CD139" s="132"/>
      <c r="CE139" s="132"/>
      <c r="CF139" s="132"/>
      <c r="CG139" s="135"/>
      <c r="CH139" s="136"/>
      <c r="CI139" s="136"/>
      <c r="CJ139" s="132"/>
      <c r="CK139" s="132"/>
      <c r="CL139" s="135"/>
      <c r="CM139" s="136"/>
      <c r="CN139" s="132"/>
      <c r="CO139" s="132"/>
      <c r="CP139" s="132"/>
      <c r="CQ139" s="132"/>
      <c r="CR139" s="137"/>
      <c r="CS139" s="132"/>
      <c r="CT139" s="132"/>
      <c r="CU139" s="132"/>
      <c r="CV139" s="137"/>
      <c r="CW139" s="132"/>
      <c r="CX139" s="132"/>
      <c r="CY139" s="132"/>
      <c r="CZ139" s="132"/>
      <c r="DA139" s="132"/>
      <c r="DB139" s="132"/>
      <c r="DC139" s="137"/>
      <c r="DD139" s="132"/>
      <c r="DE139" s="132"/>
      <c r="DF139" s="132"/>
      <c r="DG139" s="132">
        <f t="shared" ref="DG139:DG148" si="4">SUM(H139,J139,K139,M139,O139,Q139,R139,S139,U139,V139,X139,Y139,Z139,AA139,AB139,AC139,AE139,AF139,AH139,AI139,AJ139,AK139,AL139,AM139,AN139,AO139,AQ139,AR139,AS139,AT139,AV139,AW139,AX139,AZ139,BA139,BB139,BD139,BE139,BF139,BH139,BI139,BJ139,BK139,BM139,BN139,BO139,BQ139,BS139,BT139,BU139,BV139,BX139,BY139,BZ139,CB139,CC139,CD139,CE139,CF139,CH139,CI139,CJ139,CK139,CM139,CN139,CO139,CP139,CQ139,CS139,CT139,CU139,CW139,CX139,CY139,CZ139,DA139,DB139,DD139)</f>
        <v>0</v>
      </c>
    </row>
    <row r="140" spans="1:111" s="125" customFormat="1" ht="17.100000000000001" customHeight="1" x14ac:dyDescent="0.25">
      <c r="A140" s="126"/>
      <c r="B140" s="127"/>
      <c r="C140" s="128"/>
      <c r="D140" s="129"/>
      <c r="E140" s="130"/>
      <c r="F140" s="128"/>
      <c r="G140" s="131"/>
      <c r="H140" s="132"/>
      <c r="I140" s="133"/>
      <c r="J140" s="134"/>
      <c r="K140" s="132"/>
      <c r="L140" s="133"/>
      <c r="M140" s="134"/>
      <c r="N140" s="133"/>
      <c r="O140" s="134"/>
      <c r="P140" s="133"/>
      <c r="Q140" s="134"/>
      <c r="R140" s="132"/>
      <c r="S140" s="132"/>
      <c r="T140" s="133"/>
      <c r="U140" s="134"/>
      <c r="V140" s="132"/>
      <c r="W140" s="135"/>
      <c r="X140" s="136"/>
      <c r="Y140" s="132"/>
      <c r="Z140" s="132"/>
      <c r="AA140" s="132"/>
      <c r="AB140" s="132"/>
      <c r="AC140" s="132"/>
      <c r="AD140" s="135"/>
      <c r="AE140" s="136"/>
      <c r="AF140" s="132"/>
      <c r="AG140" s="137"/>
      <c r="AH140" s="132"/>
      <c r="AI140" s="132"/>
      <c r="AJ140" s="132"/>
      <c r="AK140" s="132"/>
      <c r="AL140" s="132"/>
      <c r="AM140" s="132"/>
      <c r="AN140" s="132"/>
      <c r="AO140" s="132"/>
      <c r="AP140" s="135"/>
      <c r="AQ140" s="136"/>
      <c r="AR140" s="132"/>
      <c r="AS140" s="132"/>
      <c r="AT140" s="132"/>
      <c r="AU140" s="135"/>
      <c r="AV140" s="136"/>
      <c r="AW140" s="132"/>
      <c r="AX140" s="132"/>
      <c r="AY140" s="135"/>
      <c r="AZ140" s="136"/>
      <c r="BA140" s="132"/>
      <c r="BB140" s="132"/>
      <c r="BC140" s="135"/>
      <c r="BD140" s="136"/>
      <c r="BE140" s="132"/>
      <c r="BF140" s="132"/>
      <c r="BG140" s="135"/>
      <c r="BH140" s="136"/>
      <c r="BI140" s="132"/>
      <c r="BJ140" s="132"/>
      <c r="BK140" s="132"/>
      <c r="BL140" s="135"/>
      <c r="BM140" s="136"/>
      <c r="BN140" s="132"/>
      <c r="BO140" s="132"/>
      <c r="BP140" s="135"/>
      <c r="BQ140" s="136"/>
      <c r="BR140" s="137"/>
      <c r="BS140" s="132"/>
      <c r="BT140" s="132"/>
      <c r="BU140" s="132"/>
      <c r="BV140" s="132"/>
      <c r="BW140" s="135"/>
      <c r="BX140" s="136"/>
      <c r="BY140" s="132"/>
      <c r="BZ140" s="132"/>
      <c r="CA140" s="135"/>
      <c r="CB140" s="136"/>
      <c r="CC140" s="132"/>
      <c r="CD140" s="132"/>
      <c r="CE140" s="132"/>
      <c r="CF140" s="132"/>
      <c r="CG140" s="135"/>
      <c r="CH140" s="136"/>
      <c r="CI140" s="136"/>
      <c r="CJ140" s="132"/>
      <c r="CK140" s="132"/>
      <c r="CL140" s="135"/>
      <c r="CM140" s="136"/>
      <c r="CN140" s="132"/>
      <c r="CO140" s="132"/>
      <c r="CP140" s="132"/>
      <c r="CQ140" s="132"/>
      <c r="CR140" s="137"/>
      <c r="CS140" s="132"/>
      <c r="CT140" s="132"/>
      <c r="CU140" s="132"/>
      <c r="CV140" s="137"/>
      <c r="CW140" s="132"/>
      <c r="CX140" s="132"/>
      <c r="CY140" s="132"/>
      <c r="CZ140" s="132"/>
      <c r="DA140" s="132"/>
      <c r="DB140" s="132"/>
      <c r="DC140" s="137"/>
      <c r="DD140" s="132"/>
      <c r="DE140" s="132"/>
      <c r="DF140" s="132"/>
      <c r="DG140" s="132">
        <f t="shared" si="4"/>
        <v>0</v>
      </c>
    </row>
    <row r="141" spans="1:111" s="125" customFormat="1" ht="17.100000000000001" customHeight="1" x14ac:dyDescent="0.25">
      <c r="A141" s="126"/>
      <c r="B141" s="127"/>
      <c r="C141" s="128"/>
      <c r="D141" s="129"/>
      <c r="E141" s="130"/>
      <c r="F141" s="128"/>
      <c r="G141" s="131"/>
      <c r="H141" s="132"/>
      <c r="I141" s="133"/>
      <c r="J141" s="134"/>
      <c r="K141" s="132"/>
      <c r="L141" s="133"/>
      <c r="M141" s="134"/>
      <c r="N141" s="133"/>
      <c r="O141" s="134"/>
      <c r="P141" s="133"/>
      <c r="Q141" s="134"/>
      <c r="R141" s="132"/>
      <c r="S141" s="132"/>
      <c r="T141" s="133"/>
      <c r="U141" s="134"/>
      <c r="V141" s="132"/>
      <c r="W141" s="135"/>
      <c r="X141" s="136"/>
      <c r="Y141" s="132"/>
      <c r="Z141" s="132"/>
      <c r="AA141" s="132"/>
      <c r="AB141" s="132"/>
      <c r="AC141" s="132"/>
      <c r="AD141" s="135"/>
      <c r="AE141" s="136"/>
      <c r="AF141" s="132"/>
      <c r="AG141" s="137"/>
      <c r="AH141" s="132"/>
      <c r="AI141" s="132"/>
      <c r="AJ141" s="132"/>
      <c r="AK141" s="132"/>
      <c r="AL141" s="132"/>
      <c r="AM141" s="132"/>
      <c r="AN141" s="132"/>
      <c r="AO141" s="132"/>
      <c r="AP141" s="135"/>
      <c r="AQ141" s="136"/>
      <c r="AR141" s="132"/>
      <c r="AS141" s="132"/>
      <c r="AT141" s="132"/>
      <c r="AU141" s="135"/>
      <c r="AV141" s="136"/>
      <c r="AW141" s="132"/>
      <c r="AX141" s="132"/>
      <c r="AY141" s="135"/>
      <c r="AZ141" s="136"/>
      <c r="BA141" s="132"/>
      <c r="BB141" s="132"/>
      <c r="BC141" s="135"/>
      <c r="BD141" s="136"/>
      <c r="BE141" s="132"/>
      <c r="BF141" s="132"/>
      <c r="BG141" s="135"/>
      <c r="BH141" s="136"/>
      <c r="BI141" s="132"/>
      <c r="BJ141" s="132"/>
      <c r="BK141" s="132"/>
      <c r="BL141" s="135"/>
      <c r="BM141" s="136"/>
      <c r="BN141" s="132"/>
      <c r="BO141" s="132"/>
      <c r="BP141" s="135"/>
      <c r="BQ141" s="136"/>
      <c r="BR141" s="137"/>
      <c r="BS141" s="132"/>
      <c r="BT141" s="132"/>
      <c r="BU141" s="132"/>
      <c r="BV141" s="132"/>
      <c r="BW141" s="135"/>
      <c r="BX141" s="136"/>
      <c r="BY141" s="132"/>
      <c r="BZ141" s="132"/>
      <c r="CA141" s="135"/>
      <c r="CB141" s="136"/>
      <c r="CC141" s="132"/>
      <c r="CD141" s="132"/>
      <c r="CE141" s="132"/>
      <c r="CF141" s="132"/>
      <c r="CG141" s="135"/>
      <c r="CH141" s="136"/>
      <c r="CI141" s="136"/>
      <c r="CJ141" s="132"/>
      <c r="CK141" s="132"/>
      <c r="CL141" s="135"/>
      <c r="CM141" s="136"/>
      <c r="CN141" s="132"/>
      <c r="CO141" s="132"/>
      <c r="CP141" s="132"/>
      <c r="CQ141" s="132"/>
      <c r="CR141" s="137"/>
      <c r="CS141" s="132"/>
      <c r="CT141" s="132"/>
      <c r="CU141" s="132"/>
      <c r="CV141" s="137"/>
      <c r="CW141" s="132"/>
      <c r="CX141" s="132"/>
      <c r="CY141" s="132"/>
      <c r="CZ141" s="132"/>
      <c r="DA141" s="132"/>
      <c r="DB141" s="132"/>
      <c r="DC141" s="137"/>
      <c r="DD141" s="132"/>
      <c r="DE141" s="132"/>
      <c r="DF141" s="132"/>
      <c r="DG141" s="132">
        <f t="shared" si="4"/>
        <v>0</v>
      </c>
    </row>
    <row r="142" spans="1:111" s="125" customFormat="1" ht="17.100000000000001" customHeight="1" x14ac:dyDescent="0.25">
      <c r="A142" s="126"/>
      <c r="B142" s="127"/>
      <c r="C142" s="128"/>
      <c r="D142" s="143"/>
      <c r="E142" s="130"/>
      <c r="F142" s="128"/>
      <c r="G142" s="131"/>
      <c r="H142" s="132"/>
      <c r="I142" s="133"/>
      <c r="J142" s="134"/>
      <c r="K142" s="132"/>
      <c r="L142" s="133"/>
      <c r="M142" s="134"/>
      <c r="N142" s="133"/>
      <c r="O142" s="134"/>
      <c r="P142" s="133"/>
      <c r="Q142" s="134"/>
      <c r="R142" s="132"/>
      <c r="S142" s="132"/>
      <c r="T142" s="133"/>
      <c r="U142" s="134"/>
      <c r="V142" s="132"/>
      <c r="W142" s="135"/>
      <c r="X142" s="136"/>
      <c r="Y142" s="132"/>
      <c r="Z142" s="132"/>
      <c r="AA142" s="132"/>
      <c r="AB142" s="132"/>
      <c r="AC142" s="132"/>
      <c r="AD142" s="135"/>
      <c r="AE142" s="136"/>
      <c r="AF142" s="132"/>
      <c r="AG142" s="137"/>
      <c r="AH142" s="132"/>
      <c r="AI142" s="132"/>
      <c r="AJ142" s="132"/>
      <c r="AK142" s="132"/>
      <c r="AL142" s="132"/>
      <c r="AM142" s="132"/>
      <c r="AN142" s="132"/>
      <c r="AO142" s="132"/>
      <c r="AP142" s="135"/>
      <c r="AQ142" s="136"/>
      <c r="AR142" s="132"/>
      <c r="AS142" s="132"/>
      <c r="AT142" s="132"/>
      <c r="AU142" s="135"/>
      <c r="AV142" s="136"/>
      <c r="AW142" s="132"/>
      <c r="AX142" s="132"/>
      <c r="AY142" s="135"/>
      <c r="AZ142" s="136"/>
      <c r="BA142" s="132"/>
      <c r="BB142" s="132"/>
      <c r="BC142" s="135"/>
      <c r="BD142" s="136"/>
      <c r="BE142" s="132"/>
      <c r="BF142" s="132"/>
      <c r="BG142" s="135"/>
      <c r="BH142" s="136"/>
      <c r="BI142" s="132"/>
      <c r="BJ142" s="132"/>
      <c r="BK142" s="132"/>
      <c r="BL142" s="135"/>
      <c r="BM142" s="136"/>
      <c r="BN142" s="132"/>
      <c r="BO142" s="132"/>
      <c r="BP142" s="135"/>
      <c r="BQ142" s="136"/>
      <c r="BR142" s="137"/>
      <c r="BS142" s="132"/>
      <c r="BT142" s="132"/>
      <c r="BU142" s="132"/>
      <c r="BV142" s="132"/>
      <c r="BW142" s="135"/>
      <c r="BX142" s="136"/>
      <c r="BY142" s="132"/>
      <c r="BZ142" s="132"/>
      <c r="CA142" s="135"/>
      <c r="CB142" s="136"/>
      <c r="CC142" s="132"/>
      <c r="CD142" s="132"/>
      <c r="CE142" s="132"/>
      <c r="CF142" s="132"/>
      <c r="CG142" s="135"/>
      <c r="CH142" s="136"/>
      <c r="CI142" s="136"/>
      <c r="CJ142" s="132"/>
      <c r="CK142" s="132"/>
      <c r="CL142" s="135"/>
      <c r="CM142" s="136"/>
      <c r="CN142" s="132"/>
      <c r="CO142" s="132"/>
      <c r="CP142" s="132"/>
      <c r="CQ142" s="132"/>
      <c r="CR142" s="137"/>
      <c r="CS142" s="132"/>
      <c r="CT142" s="132"/>
      <c r="CU142" s="132"/>
      <c r="CV142" s="137"/>
      <c r="CW142" s="132"/>
      <c r="CX142" s="132"/>
      <c r="CY142" s="132"/>
      <c r="CZ142" s="132"/>
      <c r="DA142" s="132"/>
      <c r="DB142" s="132"/>
      <c r="DC142" s="137"/>
      <c r="DD142" s="132"/>
      <c r="DE142" s="132"/>
      <c r="DF142" s="132"/>
      <c r="DG142" s="132">
        <f t="shared" si="4"/>
        <v>0</v>
      </c>
    </row>
    <row r="143" spans="1:111" s="125" customFormat="1" ht="17.100000000000001" customHeight="1" x14ac:dyDescent="0.25">
      <c r="A143" s="126"/>
      <c r="B143" s="127"/>
      <c r="C143" s="128"/>
      <c r="D143" s="129"/>
      <c r="E143" s="130"/>
      <c r="F143" s="128"/>
      <c r="G143" s="131"/>
      <c r="H143" s="132"/>
      <c r="I143" s="133"/>
      <c r="J143" s="134"/>
      <c r="K143" s="132"/>
      <c r="L143" s="133"/>
      <c r="M143" s="134"/>
      <c r="N143" s="133"/>
      <c r="O143" s="134"/>
      <c r="P143" s="133"/>
      <c r="Q143" s="134"/>
      <c r="R143" s="132"/>
      <c r="S143" s="132"/>
      <c r="T143" s="133"/>
      <c r="U143" s="134"/>
      <c r="V143" s="132"/>
      <c r="W143" s="135"/>
      <c r="X143" s="136"/>
      <c r="Y143" s="132"/>
      <c r="Z143" s="132"/>
      <c r="AA143" s="132"/>
      <c r="AB143" s="132"/>
      <c r="AC143" s="132"/>
      <c r="AD143" s="135"/>
      <c r="AE143" s="136"/>
      <c r="AF143" s="132"/>
      <c r="AG143" s="137"/>
      <c r="AH143" s="132"/>
      <c r="AI143" s="132"/>
      <c r="AJ143" s="132"/>
      <c r="AK143" s="132"/>
      <c r="AL143" s="132"/>
      <c r="AM143" s="132"/>
      <c r="AN143" s="132"/>
      <c r="AO143" s="132"/>
      <c r="AP143" s="135"/>
      <c r="AQ143" s="136"/>
      <c r="AR143" s="132"/>
      <c r="AS143" s="132"/>
      <c r="AT143" s="132"/>
      <c r="AU143" s="135"/>
      <c r="AV143" s="136"/>
      <c r="AW143" s="132"/>
      <c r="AX143" s="132"/>
      <c r="AY143" s="135"/>
      <c r="AZ143" s="136"/>
      <c r="BA143" s="132"/>
      <c r="BB143" s="132"/>
      <c r="BC143" s="135"/>
      <c r="BD143" s="136"/>
      <c r="BE143" s="132"/>
      <c r="BF143" s="132"/>
      <c r="BG143" s="135"/>
      <c r="BH143" s="136"/>
      <c r="BI143" s="132"/>
      <c r="BJ143" s="132"/>
      <c r="BK143" s="132"/>
      <c r="BL143" s="135"/>
      <c r="BM143" s="136"/>
      <c r="BN143" s="132"/>
      <c r="BO143" s="132"/>
      <c r="BP143" s="135"/>
      <c r="BQ143" s="136"/>
      <c r="BR143" s="137"/>
      <c r="BS143" s="132"/>
      <c r="BT143" s="132"/>
      <c r="BU143" s="132"/>
      <c r="BV143" s="132"/>
      <c r="BW143" s="135"/>
      <c r="BX143" s="136"/>
      <c r="BY143" s="132"/>
      <c r="BZ143" s="132"/>
      <c r="CA143" s="135"/>
      <c r="CB143" s="136"/>
      <c r="CC143" s="132"/>
      <c r="CD143" s="132"/>
      <c r="CE143" s="132"/>
      <c r="CF143" s="132"/>
      <c r="CG143" s="135"/>
      <c r="CH143" s="136"/>
      <c r="CI143" s="136"/>
      <c r="CJ143" s="132"/>
      <c r="CK143" s="132"/>
      <c r="CL143" s="135"/>
      <c r="CM143" s="136"/>
      <c r="CN143" s="132"/>
      <c r="CO143" s="132"/>
      <c r="CP143" s="132"/>
      <c r="CQ143" s="132"/>
      <c r="CR143" s="137"/>
      <c r="CS143" s="132"/>
      <c r="CT143" s="132"/>
      <c r="CU143" s="132"/>
      <c r="CV143" s="137"/>
      <c r="CW143" s="132"/>
      <c r="CX143" s="132"/>
      <c r="CY143" s="132"/>
      <c r="CZ143" s="132"/>
      <c r="DA143" s="132"/>
      <c r="DB143" s="132"/>
      <c r="DC143" s="137"/>
      <c r="DD143" s="132"/>
      <c r="DE143" s="132"/>
      <c r="DF143" s="132"/>
      <c r="DG143" s="132">
        <f t="shared" si="4"/>
        <v>0</v>
      </c>
    </row>
    <row r="144" spans="1:111" s="125" customFormat="1" ht="17.100000000000001" customHeight="1" x14ac:dyDescent="0.25">
      <c r="A144" s="126"/>
      <c r="B144" s="127"/>
      <c r="C144" s="128"/>
      <c r="D144" s="129"/>
      <c r="E144" s="130"/>
      <c r="F144" s="128"/>
      <c r="G144" s="131"/>
      <c r="H144" s="132"/>
      <c r="I144" s="133"/>
      <c r="J144" s="134"/>
      <c r="K144" s="132"/>
      <c r="L144" s="133"/>
      <c r="M144" s="134"/>
      <c r="N144" s="133"/>
      <c r="O144" s="134"/>
      <c r="P144" s="133"/>
      <c r="Q144" s="134"/>
      <c r="R144" s="132"/>
      <c r="S144" s="132"/>
      <c r="T144" s="133"/>
      <c r="U144" s="134"/>
      <c r="V144" s="132"/>
      <c r="W144" s="135"/>
      <c r="X144" s="136"/>
      <c r="Y144" s="132"/>
      <c r="Z144" s="132"/>
      <c r="AA144" s="132"/>
      <c r="AB144" s="132"/>
      <c r="AC144" s="132"/>
      <c r="AD144" s="135"/>
      <c r="AE144" s="136"/>
      <c r="AF144" s="132"/>
      <c r="AG144" s="137"/>
      <c r="AH144" s="132"/>
      <c r="AI144" s="132"/>
      <c r="AJ144" s="132"/>
      <c r="AK144" s="132"/>
      <c r="AL144" s="132"/>
      <c r="AM144" s="132"/>
      <c r="AN144" s="132"/>
      <c r="AO144" s="132"/>
      <c r="AP144" s="135"/>
      <c r="AQ144" s="136"/>
      <c r="AR144" s="132"/>
      <c r="AS144" s="132"/>
      <c r="AT144" s="132"/>
      <c r="AU144" s="135"/>
      <c r="AV144" s="136"/>
      <c r="AW144" s="132"/>
      <c r="AX144" s="132"/>
      <c r="AY144" s="135"/>
      <c r="AZ144" s="136"/>
      <c r="BA144" s="132"/>
      <c r="BB144" s="132"/>
      <c r="BC144" s="135"/>
      <c r="BD144" s="136"/>
      <c r="BE144" s="132"/>
      <c r="BF144" s="132"/>
      <c r="BG144" s="135"/>
      <c r="BH144" s="136"/>
      <c r="BI144" s="132"/>
      <c r="BJ144" s="132"/>
      <c r="BK144" s="132"/>
      <c r="BL144" s="135"/>
      <c r="BM144" s="136"/>
      <c r="BN144" s="132"/>
      <c r="BO144" s="132"/>
      <c r="BP144" s="135"/>
      <c r="BQ144" s="136"/>
      <c r="BR144" s="137"/>
      <c r="BS144" s="132"/>
      <c r="BT144" s="132"/>
      <c r="BU144" s="132"/>
      <c r="BV144" s="132"/>
      <c r="BW144" s="135"/>
      <c r="BX144" s="136"/>
      <c r="BY144" s="132"/>
      <c r="BZ144" s="132"/>
      <c r="CA144" s="135"/>
      <c r="CB144" s="136"/>
      <c r="CC144" s="132"/>
      <c r="CD144" s="132"/>
      <c r="CE144" s="132"/>
      <c r="CF144" s="132"/>
      <c r="CG144" s="135"/>
      <c r="CH144" s="136"/>
      <c r="CI144" s="136"/>
      <c r="CJ144" s="132"/>
      <c r="CK144" s="132"/>
      <c r="CL144" s="135"/>
      <c r="CM144" s="136"/>
      <c r="CN144" s="132"/>
      <c r="CO144" s="132"/>
      <c r="CP144" s="132"/>
      <c r="CQ144" s="132"/>
      <c r="CR144" s="137"/>
      <c r="CS144" s="132"/>
      <c r="CT144" s="132"/>
      <c r="CU144" s="132"/>
      <c r="CV144" s="137"/>
      <c r="CW144" s="132"/>
      <c r="CX144" s="132"/>
      <c r="CY144" s="132"/>
      <c r="CZ144" s="132"/>
      <c r="DA144" s="132"/>
      <c r="DB144" s="132"/>
      <c r="DC144" s="137"/>
      <c r="DD144" s="132"/>
      <c r="DE144" s="132"/>
      <c r="DF144" s="132"/>
      <c r="DG144" s="132">
        <f t="shared" si="4"/>
        <v>0</v>
      </c>
    </row>
    <row r="145" spans="1:113" s="125" customFormat="1" ht="17.100000000000001" customHeight="1" x14ac:dyDescent="0.25">
      <c r="A145" s="126"/>
      <c r="B145" s="127"/>
      <c r="C145" s="128"/>
      <c r="D145" s="129"/>
      <c r="E145" s="130"/>
      <c r="F145" s="128"/>
      <c r="G145" s="131"/>
      <c r="H145" s="132"/>
      <c r="I145" s="133"/>
      <c r="J145" s="134"/>
      <c r="K145" s="132"/>
      <c r="L145" s="133"/>
      <c r="M145" s="134"/>
      <c r="N145" s="133"/>
      <c r="O145" s="134"/>
      <c r="P145" s="133"/>
      <c r="Q145" s="134"/>
      <c r="R145" s="132"/>
      <c r="S145" s="132"/>
      <c r="T145" s="133"/>
      <c r="U145" s="134"/>
      <c r="V145" s="132"/>
      <c r="W145" s="135"/>
      <c r="X145" s="136"/>
      <c r="Y145" s="132"/>
      <c r="Z145" s="132"/>
      <c r="AA145" s="132"/>
      <c r="AB145" s="132"/>
      <c r="AC145" s="132"/>
      <c r="AD145" s="135"/>
      <c r="AE145" s="136"/>
      <c r="AF145" s="132"/>
      <c r="AG145" s="137"/>
      <c r="AH145" s="132"/>
      <c r="AI145" s="132"/>
      <c r="AJ145" s="132"/>
      <c r="AK145" s="132"/>
      <c r="AL145" s="132"/>
      <c r="AM145" s="132"/>
      <c r="AN145" s="132"/>
      <c r="AO145" s="132"/>
      <c r="AP145" s="135"/>
      <c r="AQ145" s="136"/>
      <c r="AR145" s="132"/>
      <c r="AS145" s="132"/>
      <c r="AT145" s="132"/>
      <c r="AU145" s="135"/>
      <c r="AV145" s="136"/>
      <c r="AW145" s="132"/>
      <c r="AX145" s="132"/>
      <c r="AY145" s="135"/>
      <c r="AZ145" s="136"/>
      <c r="BA145" s="132"/>
      <c r="BB145" s="132"/>
      <c r="BC145" s="135"/>
      <c r="BD145" s="136"/>
      <c r="BE145" s="132"/>
      <c r="BF145" s="132"/>
      <c r="BG145" s="135"/>
      <c r="BH145" s="136"/>
      <c r="BI145" s="132"/>
      <c r="BJ145" s="132"/>
      <c r="BK145" s="132"/>
      <c r="BL145" s="135"/>
      <c r="BM145" s="136"/>
      <c r="BN145" s="132"/>
      <c r="BO145" s="132"/>
      <c r="BP145" s="135"/>
      <c r="BQ145" s="136"/>
      <c r="BR145" s="137"/>
      <c r="BS145" s="132"/>
      <c r="BT145" s="132"/>
      <c r="BU145" s="132"/>
      <c r="BV145" s="132"/>
      <c r="BW145" s="135"/>
      <c r="BX145" s="136"/>
      <c r="BY145" s="132"/>
      <c r="BZ145" s="132"/>
      <c r="CA145" s="135"/>
      <c r="CB145" s="136"/>
      <c r="CC145" s="132"/>
      <c r="CD145" s="132"/>
      <c r="CE145" s="132"/>
      <c r="CF145" s="132"/>
      <c r="CG145" s="135"/>
      <c r="CH145" s="136"/>
      <c r="CI145" s="136"/>
      <c r="CJ145" s="132"/>
      <c r="CK145" s="132"/>
      <c r="CL145" s="135"/>
      <c r="CM145" s="136"/>
      <c r="CN145" s="132"/>
      <c r="CO145" s="132"/>
      <c r="CP145" s="132"/>
      <c r="CQ145" s="132"/>
      <c r="CR145" s="137"/>
      <c r="CS145" s="132"/>
      <c r="CT145" s="132"/>
      <c r="CU145" s="132"/>
      <c r="CV145" s="137"/>
      <c r="CW145" s="132"/>
      <c r="CX145" s="132"/>
      <c r="CY145" s="132"/>
      <c r="CZ145" s="132"/>
      <c r="DA145" s="132"/>
      <c r="DB145" s="132"/>
      <c r="DC145" s="137"/>
      <c r="DD145" s="132"/>
      <c r="DE145" s="132"/>
      <c r="DF145" s="132"/>
      <c r="DG145" s="132">
        <f t="shared" si="4"/>
        <v>0</v>
      </c>
    </row>
    <row r="146" spans="1:113" s="125" customFormat="1" ht="17.100000000000001" customHeight="1" x14ac:dyDescent="0.25">
      <c r="A146" s="162"/>
      <c r="B146" s="163"/>
      <c r="C146" s="164"/>
      <c r="D146" s="165"/>
      <c r="E146" s="166"/>
      <c r="F146" s="164"/>
      <c r="G146" s="167"/>
      <c r="H146" s="168"/>
      <c r="I146" s="169"/>
      <c r="J146" s="170"/>
      <c r="K146" s="168"/>
      <c r="L146" s="169"/>
      <c r="M146" s="170"/>
      <c r="N146" s="169"/>
      <c r="O146" s="170"/>
      <c r="P146" s="169"/>
      <c r="Q146" s="170"/>
      <c r="R146" s="168"/>
      <c r="S146" s="168"/>
      <c r="T146" s="169"/>
      <c r="U146" s="170"/>
      <c r="V146" s="168"/>
      <c r="W146" s="171"/>
      <c r="X146" s="172"/>
      <c r="Y146" s="168"/>
      <c r="Z146" s="168"/>
      <c r="AA146" s="168"/>
      <c r="AB146" s="168"/>
      <c r="AC146" s="168"/>
      <c r="AD146" s="171"/>
      <c r="AE146" s="172"/>
      <c r="AF146" s="168"/>
      <c r="AG146" s="173"/>
      <c r="AH146" s="168"/>
      <c r="AI146" s="168"/>
      <c r="AJ146" s="168"/>
      <c r="AK146" s="168"/>
      <c r="AL146" s="168"/>
      <c r="AM146" s="168"/>
      <c r="AN146" s="168"/>
      <c r="AO146" s="168"/>
      <c r="AP146" s="171"/>
      <c r="AQ146" s="172"/>
      <c r="AR146" s="168"/>
      <c r="AS146" s="168"/>
      <c r="AT146" s="168"/>
      <c r="AU146" s="171"/>
      <c r="AV146" s="172"/>
      <c r="AW146" s="168"/>
      <c r="AX146" s="168"/>
      <c r="AY146" s="171"/>
      <c r="AZ146" s="172"/>
      <c r="BA146" s="168"/>
      <c r="BB146" s="168"/>
      <c r="BC146" s="171"/>
      <c r="BD146" s="172"/>
      <c r="BE146" s="168"/>
      <c r="BF146" s="168"/>
      <c r="BG146" s="171"/>
      <c r="BH146" s="172"/>
      <c r="BI146" s="168"/>
      <c r="BJ146" s="168"/>
      <c r="BK146" s="168"/>
      <c r="BL146" s="171"/>
      <c r="BM146" s="172"/>
      <c r="BN146" s="168"/>
      <c r="BO146" s="168"/>
      <c r="BP146" s="171"/>
      <c r="BQ146" s="172"/>
      <c r="BR146" s="173"/>
      <c r="BS146" s="168"/>
      <c r="BT146" s="168"/>
      <c r="BU146" s="168"/>
      <c r="BV146" s="168"/>
      <c r="BW146" s="171"/>
      <c r="BX146" s="172"/>
      <c r="BY146" s="168"/>
      <c r="BZ146" s="168"/>
      <c r="CA146" s="171"/>
      <c r="CB146" s="172"/>
      <c r="CC146" s="168"/>
      <c r="CD146" s="168"/>
      <c r="CE146" s="168"/>
      <c r="CF146" s="168"/>
      <c r="CG146" s="171"/>
      <c r="CH146" s="172"/>
      <c r="CI146" s="172"/>
      <c r="CJ146" s="168"/>
      <c r="CK146" s="168"/>
      <c r="CL146" s="171"/>
      <c r="CM146" s="172"/>
      <c r="CN146" s="168"/>
      <c r="CO146" s="168"/>
      <c r="CP146" s="168"/>
      <c r="CQ146" s="168"/>
      <c r="CR146" s="173"/>
      <c r="CS146" s="168"/>
      <c r="CT146" s="168"/>
      <c r="CU146" s="168"/>
      <c r="CV146" s="173"/>
      <c r="CW146" s="168"/>
      <c r="CX146" s="168"/>
      <c r="CY146" s="168"/>
      <c r="CZ146" s="168"/>
      <c r="DA146" s="168"/>
      <c r="DB146" s="168"/>
      <c r="DC146" s="173"/>
      <c r="DD146" s="168"/>
      <c r="DE146" s="168"/>
      <c r="DF146" s="168"/>
      <c r="DG146" s="168">
        <f t="shared" si="4"/>
        <v>0</v>
      </c>
    </row>
    <row r="147" spans="1:113" s="125" customFormat="1" ht="17.100000000000001" customHeight="1" x14ac:dyDescent="0.25">
      <c r="A147" s="162"/>
      <c r="B147" s="163"/>
      <c r="C147" s="1651"/>
      <c r="D147" s="165"/>
      <c r="E147" s="166"/>
      <c r="F147" s="164"/>
      <c r="G147" s="167"/>
      <c r="H147" s="168"/>
      <c r="I147" s="169"/>
      <c r="J147" s="170"/>
      <c r="K147" s="168"/>
      <c r="L147" s="169"/>
      <c r="M147" s="170"/>
      <c r="N147" s="169"/>
      <c r="O147" s="170"/>
      <c r="P147" s="169"/>
      <c r="Q147" s="170"/>
      <c r="R147" s="168"/>
      <c r="S147" s="168"/>
      <c r="T147" s="169"/>
      <c r="U147" s="170"/>
      <c r="V147" s="168"/>
      <c r="W147" s="171"/>
      <c r="X147" s="172"/>
      <c r="Y147" s="168"/>
      <c r="Z147" s="168"/>
      <c r="AA147" s="168"/>
      <c r="AB147" s="168"/>
      <c r="AC147" s="168"/>
      <c r="AD147" s="171"/>
      <c r="AE147" s="172"/>
      <c r="AF147" s="168"/>
      <c r="AG147" s="173"/>
      <c r="AH147" s="168"/>
      <c r="AI147" s="168"/>
      <c r="AJ147" s="168"/>
      <c r="AK147" s="168"/>
      <c r="AL147" s="168"/>
      <c r="AM147" s="168"/>
      <c r="AN147" s="168"/>
      <c r="AO147" s="168"/>
      <c r="AP147" s="171"/>
      <c r="AQ147" s="172"/>
      <c r="AR147" s="168"/>
      <c r="AS147" s="168"/>
      <c r="AT147" s="168"/>
      <c r="AU147" s="171"/>
      <c r="AV147" s="172"/>
      <c r="AW147" s="168"/>
      <c r="AX147" s="168"/>
      <c r="AY147" s="171"/>
      <c r="AZ147" s="172"/>
      <c r="BA147" s="168"/>
      <c r="BB147" s="168"/>
      <c r="BC147" s="171"/>
      <c r="BD147" s="172"/>
      <c r="BE147" s="168"/>
      <c r="BF147" s="168"/>
      <c r="BG147" s="171"/>
      <c r="BH147" s="172"/>
      <c r="BI147" s="168"/>
      <c r="BJ147" s="168"/>
      <c r="BK147" s="168"/>
      <c r="BL147" s="171"/>
      <c r="BM147" s="172"/>
      <c r="BN147" s="168"/>
      <c r="BO147" s="168"/>
      <c r="BP147" s="171"/>
      <c r="BQ147" s="172"/>
      <c r="BR147" s="173"/>
      <c r="BS147" s="168"/>
      <c r="BT147" s="168"/>
      <c r="BU147" s="168"/>
      <c r="BV147" s="168"/>
      <c r="BW147" s="171"/>
      <c r="BX147" s="172"/>
      <c r="BY147" s="168"/>
      <c r="BZ147" s="168"/>
      <c r="CA147" s="171"/>
      <c r="CB147" s="172"/>
      <c r="CC147" s="168"/>
      <c r="CD147" s="168"/>
      <c r="CE147" s="168"/>
      <c r="CF147" s="168"/>
      <c r="CG147" s="171"/>
      <c r="CH147" s="172"/>
      <c r="CI147" s="172"/>
      <c r="CJ147" s="168"/>
      <c r="CK147" s="168"/>
      <c r="CL147" s="171"/>
      <c r="CM147" s="172"/>
      <c r="CN147" s="168"/>
      <c r="CO147" s="168"/>
      <c r="CP147" s="168"/>
      <c r="CQ147" s="168"/>
      <c r="CR147" s="173"/>
      <c r="CS147" s="168"/>
      <c r="CT147" s="168"/>
      <c r="CU147" s="168"/>
      <c r="CV147" s="173"/>
      <c r="CW147" s="168"/>
      <c r="CX147" s="168"/>
      <c r="CY147" s="168"/>
      <c r="CZ147" s="168"/>
      <c r="DA147" s="168"/>
      <c r="DB147" s="168"/>
      <c r="DC147" s="173"/>
      <c r="DD147" s="168"/>
      <c r="DE147" s="168"/>
      <c r="DF147" s="168"/>
      <c r="DG147" s="168">
        <f t="shared" si="4"/>
        <v>0</v>
      </c>
    </row>
    <row r="148" spans="1:113" s="125" customFormat="1" ht="17.100000000000001" customHeight="1" x14ac:dyDescent="0.25">
      <c r="A148" s="162"/>
      <c r="B148" s="163"/>
      <c r="C148" s="1652"/>
      <c r="D148" s="165"/>
      <c r="E148" s="166"/>
      <c r="F148" s="164"/>
      <c r="G148" s="167"/>
      <c r="H148" s="168"/>
      <c r="I148" s="169"/>
      <c r="J148" s="170"/>
      <c r="K148" s="168"/>
      <c r="L148" s="169"/>
      <c r="M148" s="170"/>
      <c r="N148" s="169"/>
      <c r="O148" s="170"/>
      <c r="P148" s="169"/>
      <c r="Q148" s="170"/>
      <c r="R148" s="168"/>
      <c r="S148" s="168"/>
      <c r="T148" s="169"/>
      <c r="U148" s="170"/>
      <c r="V148" s="168"/>
      <c r="W148" s="171"/>
      <c r="X148" s="172"/>
      <c r="Y148" s="168"/>
      <c r="Z148" s="168"/>
      <c r="AA148" s="168"/>
      <c r="AB148" s="168"/>
      <c r="AC148" s="168"/>
      <c r="AD148" s="171"/>
      <c r="AE148" s="172"/>
      <c r="AF148" s="168"/>
      <c r="AG148" s="173"/>
      <c r="AH148" s="168"/>
      <c r="AI148" s="168"/>
      <c r="AJ148" s="168"/>
      <c r="AK148" s="168"/>
      <c r="AL148" s="168"/>
      <c r="AM148" s="168"/>
      <c r="AN148" s="168"/>
      <c r="AO148" s="168"/>
      <c r="AP148" s="171"/>
      <c r="AQ148" s="172"/>
      <c r="AR148" s="168"/>
      <c r="AS148" s="168"/>
      <c r="AT148" s="168"/>
      <c r="AU148" s="171"/>
      <c r="AV148" s="172"/>
      <c r="AW148" s="168"/>
      <c r="AX148" s="168"/>
      <c r="AY148" s="171"/>
      <c r="AZ148" s="172"/>
      <c r="BA148" s="168"/>
      <c r="BB148" s="168"/>
      <c r="BC148" s="171"/>
      <c r="BD148" s="172"/>
      <c r="BE148" s="168"/>
      <c r="BF148" s="168"/>
      <c r="BG148" s="171"/>
      <c r="BH148" s="172"/>
      <c r="BI148" s="168"/>
      <c r="BJ148" s="168"/>
      <c r="BK148" s="168"/>
      <c r="BL148" s="171"/>
      <c r="BM148" s="172"/>
      <c r="BN148" s="168"/>
      <c r="BO148" s="168"/>
      <c r="BP148" s="171"/>
      <c r="BQ148" s="172"/>
      <c r="BR148" s="173"/>
      <c r="BS148" s="168"/>
      <c r="BT148" s="168"/>
      <c r="BU148" s="168"/>
      <c r="BV148" s="168"/>
      <c r="BW148" s="171"/>
      <c r="BX148" s="172"/>
      <c r="BY148" s="168"/>
      <c r="BZ148" s="168"/>
      <c r="CA148" s="171"/>
      <c r="CB148" s="172"/>
      <c r="CC148" s="168"/>
      <c r="CD148" s="168"/>
      <c r="CE148" s="168"/>
      <c r="CF148" s="168"/>
      <c r="CG148" s="171"/>
      <c r="CH148" s="172"/>
      <c r="CI148" s="172"/>
      <c r="CJ148" s="168"/>
      <c r="CK148" s="168"/>
      <c r="CL148" s="171"/>
      <c r="CM148" s="172"/>
      <c r="CN148" s="168"/>
      <c r="CO148" s="168"/>
      <c r="CP148" s="168"/>
      <c r="CQ148" s="168"/>
      <c r="CR148" s="173"/>
      <c r="CS148" s="168"/>
      <c r="CT148" s="168"/>
      <c r="CU148" s="168"/>
      <c r="CV148" s="173"/>
      <c r="CW148" s="168"/>
      <c r="CX148" s="168"/>
      <c r="CY148" s="168"/>
      <c r="CZ148" s="168"/>
      <c r="DA148" s="168"/>
      <c r="DB148" s="168"/>
      <c r="DC148" s="173"/>
      <c r="DD148" s="168"/>
      <c r="DE148" s="168"/>
      <c r="DF148" s="168"/>
      <c r="DG148" s="168">
        <f t="shared" si="4"/>
        <v>0</v>
      </c>
    </row>
    <row r="149" spans="1:113" s="187" customFormat="1" ht="17.100000000000001" customHeight="1" thickBot="1" x14ac:dyDescent="0.3">
      <c r="A149" s="175"/>
      <c r="B149" s="176"/>
      <c r="C149" s="176" t="s">
        <v>1609</v>
      </c>
      <c r="D149" s="177" t="s">
        <v>1099</v>
      </c>
      <c r="E149" s="178"/>
      <c r="F149" s="179"/>
      <c r="G149" s="180"/>
      <c r="H149" s="181"/>
      <c r="I149" s="182"/>
      <c r="J149" s="183"/>
      <c r="K149" s="181"/>
      <c r="L149" s="182"/>
      <c r="M149" s="183"/>
      <c r="N149" s="182"/>
      <c r="O149" s="183"/>
      <c r="P149" s="182"/>
      <c r="Q149" s="183"/>
      <c r="R149" s="181"/>
      <c r="S149" s="181"/>
      <c r="T149" s="182"/>
      <c r="U149" s="183"/>
      <c r="V149" s="181"/>
      <c r="W149" s="184"/>
      <c r="X149" s="185"/>
      <c r="Y149" s="181"/>
      <c r="Z149" s="181"/>
      <c r="AA149" s="181"/>
      <c r="AB149" s="181"/>
      <c r="AC149" s="181"/>
      <c r="AD149" s="184"/>
      <c r="AE149" s="185"/>
      <c r="AF149" s="181"/>
      <c r="AG149" s="186"/>
      <c r="AH149" s="181"/>
      <c r="AI149" s="181"/>
      <c r="AJ149" s="181"/>
      <c r="AK149" s="181"/>
      <c r="AL149" s="181"/>
      <c r="AM149" s="181"/>
      <c r="AN149" s="181"/>
      <c r="AO149" s="181"/>
      <c r="AP149" s="184"/>
      <c r="AQ149" s="185"/>
      <c r="AR149" s="181"/>
      <c r="AS149" s="181"/>
      <c r="AT149" s="181"/>
      <c r="AU149" s="184"/>
      <c r="AV149" s="185"/>
      <c r="AW149" s="181"/>
      <c r="AX149" s="181"/>
      <c r="AY149" s="184"/>
      <c r="AZ149" s="185"/>
      <c r="BA149" s="181"/>
      <c r="BB149" s="181"/>
      <c r="BC149" s="184"/>
      <c r="BD149" s="185"/>
      <c r="BE149" s="181"/>
      <c r="BF149" s="181"/>
      <c r="BG149" s="184"/>
      <c r="BH149" s="185"/>
      <c r="BI149" s="181"/>
      <c r="BJ149" s="181"/>
      <c r="BK149" s="181"/>
      <c r="BL149" s="184"/>
      <c r="BM149" s="185"/>
      <c r="BN149" s="181"/>
      <c r="BO149" s="181"/>
      <c r="BP149" s="184"/>
      <c r="BQ149" s="185"/>
      <c r="BR149" s="186"/>
      <c r="BS149" s="181"/>
      <c r="BT149" s="181"/>
      <c r="BU149" s="181"/>
      <c r="BV149" s="181"/>
      <c r="BW149" s="184"/>
      <c r="BX149" s="185"/>
      <c r="BY149" s="181"/>
      <c r="BZ149" s="181"/>
      <c r="CA149" s="184"/>
      <c r="CB149" s="185"/>
      <c r="CC149" s="181"/>
      <c r="CD149" s="181"/>
      <c r="CE149" s="181"/>
      <c r="CF149" s="181"/>
      <c r="CG149" s="184"/>
      <c r="CH149" s="185"/>
      <c r="CI149" s="185"/>
      <c r="CJ149" s="181"/>
      <c r="CK149" s="181"/>
      <c r="CL149" s="184"/>
      <c r="CM149" s="185"/>
      <c r="CN149" s="181"/>
      <c r="CO149" s="181"/>
      <c r="CP149" s="181"/>
      <c r="CQ149" s="181"/>
      <c r="CR149" s="186"/>
      <c r="CS149" s="181"/>
      <c r="CT149" s="181"/>
      <c r="CU149" s="181"/>
      <c r="CV149" s="186"/>
      <c r="CW149" s="181"/>
      <c r="CX149" s="181"/>
      <c r="CY149" s="181"/>
      <c r="CZ149" s="181"/>
      <c r="DA149" s="181"/>
      <c r="DB149" s="181"/>
      <c r="DC149" s="186"/>
      <c r="DD149" s="181"/>
      <c r="DE149" s="181"/>
      <c r="DF149" s="181"/>
      <c r="DG149" s="181">
        <f t="shared" ref="DG149" si="5">SUM(DG10:DG148)</f>
        <v>56674789</v>
      </c>
      <c r="DI149" s="125"/>
    </row>
    <row r="150" spans="1:113" s="125" customFormat="1" ht="17.100000000000001" customHeight="1" thickTop="1" x14ac:dyDescent="0.25">
      <c r="A150" s="188"/>
      <c r="B150" s="189"/>
      <c r="C150" s="190"/>
      <c r="D150" s="191"/>
      <c r="E150" s="192"/>
      <c r="F150" s="193"/>
      <c r="G150" s="194"/>
      <c r="H150" s="195"/>
      <c r="I150" s="196"/>
      <c r="J150" s="197"/>
      <c r="K150" s="195"/>
      <c r="L150" s="196"/>
      <c r="M150" s="197"/>
      <c r="N150" s="196"/>
      <c r="O150" s="197"/>
      <c r="P150" s="196"/>
      <c r="Q150" s="197"/>
      <c r="R150" s="195"/>
      <c r="S150" s="195"/>
      <c r="T150" s="196"/>
      <c r="U150" s="197"/>
      <c r="V150" s="195"/>
      <c r="W150" s="198"/>
      <c r="X150" s="199"/>
      <c r="Y150" s="195"/>
      <c r="Z150" s="195"/>
      <c r="AA150" s="195"/>
      <c r="AB150" s="195"/>
      <c r="AC150" s="195"/>
      <c r="AD150" s="198"/>
      <c r="AE150" s="199"/>
      <c r="AF150" s="195"/>
      <c r="AG150" s="200"/>
      <c r="AH150" s="195"/>
      <c r="AI150" s="195"/>
      <c r="AJ150" s="195"/>
      <c r="AK150" s="195"/>
      <c r="AL150" s="195"/>
      <c r="AM150" s="195"/>
      <c r="AN150" s="195"/>
      <c r="AO150" s="195"/>
      <c r="AP150" s="198"/>
      <c r="AQ150" s="199"/>
      <c r="AR150" s="195"/>
      <c r="AS150" s="195"/>
      <c r="AT150" s="195"/>
      <c r="AU150" s="198"/>
      <c r="AV150" s="199"/>
      <c r="AW150" s="195"/>
      <c r="AX150" s="195"/>
      <c r="AY150" s="198"/>
      <c r="AZ150" s="199"/>
      <c r="BA150" s="195"/>
      <c r="BB150" s="195"/>
      <c r="BC150" s="198"/>
      <c r="BD150" s="199"/>
      <c r="BE150" s="195"/>
      <c r="BF150" s="195"/>
      <c r="BG150" s="198"/>
      <c r="BH150" s="199"/>
      <c r="BI150" s="195"/>
      <c r="BJ150" s="195"/>
      <c r="BK150" s="195"/>
      <c r="BL150" s="198"/>
      <c r="BM150" s="199"/>
      <c r="BN150" s="195"/>
      <c r="BO150" s="195"/>
      <c r="BP150" s="198"/>
      <c r="BQ150" s="199"/>
      <c r="BR150" s="200"/>
      <c r="BS150" s="195"/>
      <c r="BT150" s="201"/>
      <c r="BU150" s="195"/>
      <c r="BV150" s="195"/>
      <c r="BW150" s="202"/>
      <c r="BX150" s="203"/>
      <c r="BY150" s="195"/>
      <c r="BZ150" s="195"/>
      <c r="CA150" s="198"/>
      <c r="CB150" s="199"/>
      <c r="CC150" s="195"/>
      <c r="CD150" s="195"/>
      <c r="CE150" s="195"/>
      <c r="CF150" s="195"/>
      <c r="CG150" s="198"/>
      <c r="CH150" s="199"/>
      <c r="CI150" s="199"/>
      <c r="CJ150" s="195"/>
      <c r="CK150" s="195"/>
      <c r="CL150" s="198"/>
      <c r="CM150" s="199"/>
      <c r="CN150" s="195"/>
      <c r="CO150" s="195"/>
      <c r="CP150" s="195"/>
      <c r="CQ150" s="195"/>
      <c r="CR150" s="200"/>
      <c r="CS150" s="195"/>
      <c r="CT150" s="195"/>
      <c r="CU150" s="195"/>
      <c r="CV150" s="200"/>
      <c r="CW150" s="195"/>
      <c r="CX150" s="195"/>
      <c r="CY150" s="195"/>
      <c r="CZ150" s="195"/>
      <c r="DA150" s="195"/>
      <c r="DB150" s="195"/>
      <c r="DC150" s="200"/>
      <c r="DD150" s="195"/>
      <c r="DE150" s="195"/>
      <c r="DF150" s="195"/>
      <c r="DG150" s="195">
        <f t="shared" ref="DG150:DG162" si="6">SUM(H150,J150,K150,M150,O150,Q150,R150,S150,U150,V150,X150,Y150,Z150,AA150,AB150,AC150,AE150,AF150,AH150,AI150,AJ150,AK150,AL150,AM150,AN150,AO150,AQ150,AR150,AS150,AT150,AV150,AW150,AX150,AZ150,BA150,BB150,BD150,BE150,BF150,BH150,BI150,BJ150,BK150,BM150,BN150,BO150,BQ150,BS150,BT150,BU150,BV150,BX150,BY150,BZ150,CB150,CC150,CD150,CE150,CF150,CH150,CI150,CJ150,CK150,CM150,CN150,CO150,CP150,CQ150,CS150,CT150,CU150,CW150,CX150,CY150,CZ150,DA150,DB150,DD150)</f>
        <v>0</v>
      </c>
    </row>
    <row r="151" spans="1:113" s="125" customFormat="1" ht="17.100000000000001" customHeight="1" x14ac:dyDescent="0.25">
      <c r="A151" s="126"/>
      <c r="B151" s="127"/>
      <c r="C151" s="131"/>
      <c r="D151" s="148"/>
      <c r="E151" s="130"/>
      <c r="F151" s="128"/>
      <c r="G151" s="131"/>
      <c r="H151" s="132"/>
      <c r="I151" s="133"/>
      <c r="J151" s="134"/>
      <c r="K151" s="132"/>
      <c r="L151" s="133"/>
      <c r="M151" s="134"/>
      <c r="N151" s="133"/>
      <c r="O151" s="134"/>
      <c r="P151" s="133"/>
      <c r="Q151" s="134"/>
      <c r="R151" s="132"/>
      <c r="S151" s="132"/>
      <c r="T151" s="133"/>
      <c r="U151" s="134"/>
      <c r="V151" s="132"/>
      <c r="W151" s="135"/>
      <c r="X151" s="136"/>
      <c r="Y151" s="132"/>
      <c r="Z151" s="132"/>
      <c r="AA151" s="132"/>
      <c r="AB151" s="132"/>
      <c r="AC151" s="132"/>
      <c r="AD151" s="135"/>
      <c r="AE151" s="136"/>
      <c r="AF151" s="132"/>
      <c r="AG151" s="137"/>
      <c r="AH151" s="132"/>
      <c r="AI151" s="132"/>
      <c r="AJ151" s="132"/>
      <c r="AK151" s="132"/>
      <c r="AL151" s="132"/>
      <c r="AM151" s="132"/>
      <c r="AN151" s="132"/>
      <c r="AO151" s="132"/>
      <c r="AP151" s="135"/>
      <c r="AQ151" s="136"/>
      <c r="AR151" s="132"/>
      <c r="AS151" s="132"/>
      <c r="AT151" s="132"/>
      <c r="AU151" s="135"/>
      <c r="AV151" s="136"/>
      <c r="AW151" s="132"/>
      <c r="AX151" s="132"/>
      <c r="AY151" s="135"/>
      <c r="AZ151" s="136"/>
      <c r="BA151" s="132"/>
      <c r="BB151" s="132"/>
      <c r="BC151" s="135"/>
      <c r="BD151" s="136"/>
      <c r="BE151" s="132"/>
      <c r="BF151" s="132"/>
      <c r="BG151" s="135"/>
      <c r="BH151" s="136"/>
      <c r="BI151" s="132"/>
      <c r="BJ151" s="132"/>
      <c r="BK151" s="132"/>
      <c r="BL151" s="135"/>
      <c r="BM151" s="136"/>
      <c r="BN151" s="132"/>
      <c r="BO151" s="132"/>
      <c r="BP151" s="135"/>
      <c r="BQ151" s="136"/>
      <c r="BR151" s="137"/>
      <c r="BS151" s="132"/>
      <c r="BT151" s="132"/>
      <c r="BU151" s="132"/>
      <c r="BV151" s="132"/>
      <c r="BW151" s="135"/>
      <c r="BX151" s="136"/>
      <c r="BY151" s="132"/>
      <c r="BZ151" s="132"/>
      <c r="CA151" s="135"/>
      <c r="CB151" s="136"/>
      <c r="CC151" s="132"/>
      <c r="CD151" s="132"/>
      <c r="CE151" s="132"/>
      <c r="CF151" s="132"/>
      <c r="CG151" s="135"/>
      <c r="CH151" s="136"/>
      <c r="CI151" s="136"/>
      <c r="CJ151" s="132"/>
      <c r="CK151" s="132"/>
      <c r="CL151" s="135"/>
      <c r="CM151" s="136"/>
      <c r="CN151" s="132"/>
      <c r="CO151" s="132"/>
      <c r="CP151" s="132"/>
      <c r="CQ151" s="132"/>
      <c r="CR151" s="137"/>
      <c r="CS151" s="132"/>
      <c r="CT151" s="132"/>
      <c r="CU151" s="132"/>
      <c r="CV151" s="137"/>
      <c r="CW151" s="132"/>
      <c r="CX151" s="132"/>
      <c r="CY151" s="132"/>
      <c r="CZ151" s="132"/>
      <c r="DA151" s="132"/>
      <c r="DB151" s="132"/>
      <c r="DC151" s="137"/>
      <c r="DD151" s="132"/>
      <c r="DE151" s="132"/>
      <c r="DF151" s="132"/>
      <c r="DG151" s="132">
        <f t="shared" si="6"/>
        <v>0</v>
      </c>
    </row>
    <row r="152" spans="1:113" s="125" customFormat="1" ht="17.100000000000001" customHeight="1" x14ac:dyDescent="0.25">
      <c r="A152" s="126"/>
      <c r="B152" s="127"/>
      <c r="C152" s="128"/>
      <c r="D152" s="129"/>
      <c r="E152" s="130"/>
      <c r="F152" s="128"/>
      <c r="G152" s="131"/>
      <c r="H152" s="132"/>
      <c r="I152" s="133"/>
      <c r="J152" s="134"/>
      <c r="K152" s="132"/>
      <c r="L152" s="133"/>
      <c r="M152" s="134"/>
      <c r="N152" s="133"/>
      <c r="O152" s="134"/>
      <c r="P152" s="133"/>
      <c r="Q152" s="134"/>
      <c r="R152" s="132"/>
      <c r="S152" s="132"/>
      <c r="T152" s="133"/>
      <c r="U152" s="134"/>
      <c r="V152" s="132"/>
      <c r="W152" s="135"/>
      <c r="X152" s="136"/>
      <c r="Y152" s="132"/>
      <c r="Z152" s="132"/>
      <c r="AA152" s="132"/>
      <c r="AB152" s="132"/>
      <c r="AC152" s="132"/>
      <c r="AD152" s="135"/>
      <c r="AE152" s="136"/>
      <c r="AF152" s="132"/>
      <c r="AG152" s="137"/>
      <c r="AH152" s="132"/>
      <c r="AI152" s="132"/>
      <c r="AJ152" s="132"/>
      <c r="AK152" s="132"/>
      <c r="AL152" s="132"/>
      <c r="AM152" s="132"/>
      <c r="AN152" s="132"/>
      <c r="AO152" s="132"/>
      <c r="AP152" s="135"/>
      <c r="AQ152" s="136"/>
      <c r="AR152" s="132"/>
      <c r="AS152" s="132"/>
      <c r="AT152" s="132"/>
      <c r="AU152" s="135"/>
      <c r="AV152" s="136"/>
      <c r="AW152" s="132"/>
      <c r="AX152" s="132"/>
      <c r="AY152" s="135"/>
      <c r="AZ152" s="136"/>
      <c r="BA152" s="132"/>
      <c r="BB152" s="132"/>
      <c r="BC152" s="135"/>
      <c r="BD152" s="136"/>
      <c r="BE152" s="132"/>
      <c r="BF152" s="132"/>
      <c r="BG152" s="135"/>
      <c r="BH152" s="136"/>
      <c r="BI152" s="132"/>
      <c r="BJ152" s="132"/>
      <c r="BK152" s="132"/>
      <c r="BL152" s="135"/>
      <c r="BM152" s="136"/>
      <c r="BN152" s="132"/>
      <c r="BO152" s="132"/>
      <c r="BP152" s="135"/>
      <c r="BQ152" s="136"/>
      <c r="BR152" s="137"/>
      <c r="BS152" s="132"/>
      <c r="BT152" s="132"/>
      <c r="BU152" s="132"/>
      <c r="BV152" s="132"/>
      <c r="BW152" s="135"/>
      <c r="BX152" s="136"/>
      <c r="BY152" s="132"/>
      <c r="BZ152" s="132"/>
      <c r="CA152" s="135"/>
      <c r="CB152" s="136"/>
      <c r="CC152" s="132"/>
      <c r="CD152" s="132"/>
      <c r="CE152" s="132"/>
      <c r="CF152" s="132"/>
      <c r="CG152" s="135"/>
      <c r="CH152" s="136"/>
      <c r="CI152" s="136"/>
      <c r="CJ152" s="132"/>
      <c r="CK152" s="132"/>
      <c r="CL152" s="135"/>
      <c r="CM152" s="136"/>
      <c r="CN152" s="132"/>
      <c r="CO152" s="132"/>
      <c r="CP152" s="132"/>
      <c r="CQ152" s="132"/>
      <c r="CR152" s="137"/>
      <c r="CS152" s="132"/>
      <c r="CT152" s="132"/>
      <c r="CU152" s="132"/>
      <c r="CV152" s="137"/>
      <c r="CW152" s="132"/>
      <c r="CX152" s="132"/>
      <c r="CY152" s="132"/>
      <c r="CZ152" s="132"/>
      <c r="DA152" s="132"/>
      <c r="DB152" s="132"/>
      <c r="DC152" s="137"/>
      <c r="DD152" s="132"/>
      <c r="DE152" s="132"/>
      <c r="DF152" s="132"/>
      <c r="DG152" s="132">
        <f t="shared" si="6"/>
        <v>0</v>
      </c>
    </row>
    <row r="153" spans="1:113" s="125" customFormat="1" ht="17.100000000000001" customHeight="1" x14ac:dyDescent="0.25">
      <c r="A153" s="126"/>
      <c r="B153" s="127"/>
      <c r="C153" s="128"/>
      <c r="D153" s="129"/>
      <c r="E153" s="130"/>
      <c r="F153" s="128"/>
      <c r="G153" s="131"/>
      <c r="H153" s="132"/>
      <c r="I153" s="133"/>
      <c r="J153" s="134"/>
      <c r="K153" s="132"/>
      <c r="L153" s="133"/>
      <c r="M153" s="134"/>
      <c r="N153" s="133"/>
      <c r="O153" s="134"/>
      <c r="P153" s="133"/>
      <c r="Q153" s="134"/>
      <c r="R153" s="132"/>
      <c r="S153" s="132"/>
      <c r="T153" s="133"/>
      <c r="U153" s="134"/>
      <c r="V153" s="132"/>
      <c r="W153" s="135"/>
      <c r="X153" s="136"/>
      <c r="Y153" s="132"/>
      <c r="Z153" s="132"/>
      <c r="AA153" s="132"/>
      <c r="AB153" s="132"/>
      <c r="AC153" s="132"/>
      <c r="AD153" s="135"/>
      <c r="AE153" s="136"/>
      <c r="AF153" s="132"/>
      <c r="AG153" s="137"/>
      <c r="AH153" s="132"/>
      <c r="AI153" s="132"/>
      <c r="AJ153" s="132"/>
      <c r="AK153" s="132"/>
      <c r="AL153" s="132"/>
      <c r="AM153" s="132"/>
      <c r="AN153" s="132"/>
      <c r="AO153" s="132"/>
      <c r="AP153" s="135"/>
      <c r="AQ153" s="136"/>
      <c r="AR153" s="132"/>
      <c r="AS153" s="132"/>
      <c r="AT153" s="132"/>
      <c r="AU153" s="135"/>
      <c r="AV153" s="136"/>
      <c r="AW153" s="132"/>
      <c r="AX153" s="132"/>
      <c r="AY153" s="135"/>
      <c r="AZ153" s="136"/>
      <c r="BA153" s="132"/>
      <c r="BB153" s="132"/>
      <c r="BC153" s="135"/>
      <c r="BD153" s="136"/>
      <c r="BE153" s="132"/>
      <c r="BF153" s="132"/>
      <c r="BG153" s="135"/>
      <c r="BH153" s="136"/>
      <c r="BI153" s="132"/>
      <c r="BJ153" s="132"/>
      <c r="BK153" s="132"/>
      <c r="BL153" s="135"/>
      <c r="BM153" s="136"/>
      <c r="BN153" s="132"/>
      <c r="BO153" s="132"/>
      <c r="BP153" s="135"/>
      <c r="BQ153" s="136"/>
      <c r="BR153" s="137"/>
      <c r="BS153" s="132"/>
      <c r="BT153" s="132"/>
      <c r="BU153" s="132"/>
      <c r="BV153" s="132"/>
      <c r="BW153" s="135"/>
      <c r="BX153" s="136"/>
      <c r="BY153" s="132"/>
      <c r="BZ153" s="132"/>
      <c r="CA153" s="135"/>
      <c r="CB153" s="136"/>
      <c r="CC153" s="132"/>
      <c r="CD153" s="132"/>
      <c r="CE153" s="132"/>
      <c r="CF153" s="132"/>
      <c r="CG153" s="135"/>
      <c r="CH153" s="136"/>
      <c r="CI153" s="136"/>
      <c r="CJ153" s="132"/>
      <c r="CK153" s="132"/>
      <c r="CL153" s="135"/>
      <c r="CM153" s="136"/>
      <c r="CN153" s="132"/>
      <c r="CO153" s="132"/>
      <c r="CP153" s="132"/>
      <c r="CQ153" s="132"/>
      <c r="CR153" s="137"/>
      <c r="CS153" s="132"/>
      <c r="CT153" s="132"/>
      <c r="CU153" s="132"/>
      <c r="CV153" s="137"/>
      <c r="CW153" s="132"/>
      <c r="CX153" s="132"/>
      <c r="CY153" s="132"/>
      <c r="CZ153" s="132"/>
      <c r="DA153" s="132"/>
      <c r="DB153" s="132"/>
      <c r="DC153" s="137"/>
      <c r="DD153" s="132"/>
      <c r="DE153" s="132"/>
      <c r="DF153" s="132"/>
      <c r="DG153" s="132">
        <f t="shared" si="6"/>
        <v>0</v>
      </c>
    </row>
    <row r="154" spans="1:113" s="125" customFormat="1" ht="17.100000000000001" customHeight="1" x14ac:dyDescent="0.25">
      <c r="A154" s="126" t="s">
        <v>1610</v>
      </c>
      <c r="B154" s="127" t="s">
        <v>1341</v>
      </c>
      <c r="C154" s="142" t="s">
        <v>2063</v>
      </c>
      <c r="D154" s="129" t="s">
        <v>2064</v>
      </c>
      <c r="E154" s="130" t="s">
        <v>2112</v>
      </c>
      <c r="F154" s="128">
        <v>1</v>
      </c>
      <c r="G154" s="131">
        <v>1</v>
      </c>
      <c r="H154" s="132">
        <v>0</v>
      </c>
      <c r="I154" s="133">
        <v>0</v>
      </c>
      <c r="J154" s="134">
        <v>0</v>
      </c>
      <c r="K154" s="132">
        <v>0</v>
      </c>
      <c r="L154" s="133">
        <v>0</v>
      </c>
      <c r="M154" s="134">
        <v>0</v>
      </c>
      <c r="N154" s="133">
        <v>0</v>
      </c>
      <c r="O154" s="134">
        <v>0</v>
      </c>
      <c r="P154" s="133">
        <v>0</v>
      </c>
      <c r="Q154" s="134">
        <v>0</v>
      </c>
      <c r="R154" s="132">
        <v>0</v>
      </c>
      <c r="S154" s="132">
        <v>0</v>
      </c>
      <c r="T154" s="133">
        <v>0</v>
      </c>
      <c r="U154" s="134">
        <v>0</v>
      </c>
      <c r="V154" s="132">
        <v>0</v>
      </c>
      <c r="W154" s="135">
        <v>0</v>
      </c>
      <c r="X154" s="136">
        <v>0</v>
      </c>
      <c r="Y154" s="132">
        <v>0</v>
      </c>
      <c r="Z154" s="132">
        <v>0</v>
      </c>
      <c r="AA154" s="132">
        <v>0</v>
      </c>
      <c r="AB154" s="132">
        <v>0</v>
      </c>
      <c r="AC154" s="132">
        <v>0</v>
      </c>
      <c r="AD154" s="135">
        <v>0</v>
      </c>
      <c r="AE154" s="136">
        <v>0</v>
      </c>
      <c r="AF154" s="132">
        <v>0</v>
      </c>
      <c r="AG154" s="137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5">
        <v>0</v>
      </c>
      <c r="AQ154" s="136">
        <v>0</v>
      </c>
      <c r="AR154" s="132">
        <v>0</v>
      </c>
      <c r="AS154" s="132">
        <v>0</v>
      </c>
      <c r="AT154" s="132">
        <v>0</v>
      </c>
      <c r="AU154" s="135">
        <v>0</v>
      </c>
      <c r="AV154" s="136">
        <v>0</v>
      </c>
      <c r="AW154" s="132">
        <v>0</v>
      </c>
      <c r="AX154" s="132">
        <v>0</v>
      </c>
      <c r="AY154" s="135">
        <v>0</v>
      </c>
      <c r="AZ154" s="136">
        <v>0</v>
      </c>
      <c r="BA154" s="132">
        <v>0</v>
      </c>
      <c r="BB154" s="132">
        <v>0</v>
      </c>
      <c r="BC154" s="135">
        <v>0</v>
      </c>
      <c r="BD154" s="136">
        <v>0</v>
      </c>
      <c r="BE154" s="132">
        <v>0</v>
      </c>
      <c r="BF154" s="132">
        <v>0</v>
      </c>
      <c r="BG154" s="135">
        <v>0</v>
      </c>
      <c r="BH154" s="136">
        <v>0</v>
      </c>
      <c r="BI154" s="132">
        <v>0</v>
      </c>
      <c r="BJ154" s="132">
        <v>0</v>
      </c>
      <c r="BK154" s="132">
        <v>0</v>
      </c>
      <c r="BL154" s="135">
        <v>0</v>
      </c>
      <c r="BM154" s="136">
        <v>0</v>
      </c>
      <c r="BN154" s="132">
        <v>0</v>
      </c>
      <c r="BO154" s="132">
        <v>0</v>
      </c>
      <c r="BP154" s="135">
        <v>0</v>
      </c>
      <c r="BQ154" s="136">
        <v>0</v>
      </c>
      <c r="BR154" s="137">
        <v>0</v>
      </c>
      <c r="BS154" s="132">
        <v>0</v>
      </c>
      <c r="BT154" s="132">
        <v>0</v>
      </c>
      <c r="BU154" s="132">
        <v>0</v>
      </c>
      <c r="BV154" s="132">
        <v>0</v>
      </c>
      <c r="BW154" s="135">
        <v>0</v>
      </c>
      <c r="BX154" s="136">
        <v>0</v>
      </c>
      <c r="BY154" s="132">
        <v>110135</v>
      </c>
      <c r="BZ154" s="132">
        <v>256245</v>
      </c>
      <c r="CA154" s="135">
        <v>611834</v>
      </c>
      <c r="CB154" s="136">
        <v>1482444</v>
      </c>
      <c r="CC154" s="132">
        <v>0</v>
      </c>
      <c r="CD154" s="132">
        <v>0</v>
      </c>
      <c r="CE154" s="132">
        <v>0</v>
      </c>
      <c r="CF154" s="132">
        <v>0</v>
      </c>
      <c r="CG154" s="135">
        <v>0</v>
      </c>
      <c r="CH154" s="136">
        <v>0</v>
      </c>
      <c r="CI154" s="136">
        <v>0</v>
      </c>
      <c r="CJ154" s="132">
        <v>0</v>
      </c>
      <c r="CK154" s="132">
        <v>0</v>
      </c>
      <c r="CL154" s="135">
        <v>0</v>
      </c>
      <c r="CM154" s="136">
        <v>0</v>
      </c>
      <c r="CN154" s="132">
        <v>2075390</v>
      </c>
      <c r="CO154" s="132">
        <v>1331348</v>
      </c>
      <c r="CP154" s="132">
        <v>121667</v>
      </c>
      <c r="CQ154" s="132">
        <v>0</v>
      </c>
      <c r="CR154" s="137">
        <v>2598207</v>
      </c>
      <c r="CS154" s="132">
        <v>6948407</v>
      </c>
      <c r="CT154" s="132">
        <v>0</v>
      </c>
      <c r="CU154" s="132">
        <v>0</v>
      </c>
      <c r="CV154" s="137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>
        <v>0</v>
      </c>
      <c r="DC154" s="137">
        <v>0</v>
      </c>
      <c r="DD154" s="132">
        <v>0</v>
      </c>
      <c r="DE154" s="132"/>
      <c r="DF154" s="132"/>
      <c r="DG154" s="132">
        <f t="shared" si="6"/>
        <v>12325636</v>
      </c>
    </row>
    <row r="155" spans="1:113" s="125" customFormat="1" ht="17.100000000000001" customHeight="1" x14ac:dyDescent="0.25">
      <c r="A155" s="126"/>
      <c r="B155" s="127"/>
      <c r="C155" s="128"/>
      <c r="D155" s="147"/>
      <c r="E155" s="130"/>
      <c r="F155" s="128"/>
      <c r="G155" s="131"/>
      <c r="H155" s="132"/>
      <c r="I155" s="133"/>
      <c r="J155" s="134"/>
      <c r="K155" s="132"/>
      <c r="L155" s="133"/>
      <c r="M155" s="134"/>
      <c r="N155" s="133"/>
      <c r="O155" s="134"/>
      <c r="P155" s="133"/>
      <c r="Q155" s="134"/>
      <c r="R155" s="132"/>
      <c r="S155" s="132"/>
      <c r="T155" s="133"/>
      <c r="U155" s="134"/>
      <c r="V155" s="132"/>
      <c r="W155" s="135"/>
      <c r="X155" s="136"/>
      <c r="Y155" s="132"/>
      <c r="Z155" s="132"/>
      <c r="AA155" s="132"/>
      <c r="AB155" s="132"/>
      <c r="AC155" s="132"/>
      <c r="AD155" s="135"/>
      <c r="AE155" s="136"/>
      <c r="AF155" s="132"/>
      <c r="AG155" s="137"/>
      <c r="AH155" s="132"/>
      <c r="AI155" s="132"/>
      <c r="AJ155" s="132"/>
      <c r="AK155" s="132"/>
      <c r="AL155" s="132"/>
      <c r="AM155" s="132"/>
      <c r="AN155" s="132"/>
      <c r="AO155" s="132"/>
      <c r="AP155" s="135"/>
      <c r="AQ155" s="136"/>
      <c r="AR155" s="132"/>
      <c r="AS155" s="132"/>
      <c r="AT155" s="132"/>
      <c r="AU155" s="135"/>
      <c r="AV155" s="136"/>
      <c r="AW155" s="132"/>
      <c r="AX155" s="132"/>
      <c r="AY155" s="135"/>
      <c r="AZ155" s="136"/>
      <c r="BA155" s="132"/>
      <c r="BB155" s="132"/>
      <c r="BC155" s="135"/>
      <c r="BD155" s="136"/>
      <c r="BE155" s="132"/>
      <c r="BF155" s="132"/>
      <c r="BG155" s="135"/>
      <c r="BH155" s="136"/>
      <c r="BI155" s="132"/>
      <c r="BJ155" s="132"/>
      <c r="BK155" s="132"/>
      <c r="BL155" s="135"/>
      <c r="BM155" s="136"/>
      <c r="BN155" s="132"/>
      <c r="BO155" s="132"/>
      <c r="BP155" s="135"/>
      <c r="BQ155" s="136"/>
      <c r="BR155" s="137"/>
      <c r="BS155" s="132"/>
      <c r="BT155" s="132"/>
      <c r="BU155" s="132"/>
      <c r="BV155" s="132"/>
      <c r="BW155" s="135"/>
      <c r="BX155" s="136"/>
      <c r="BY155" s="132"/>
      <c r="BZ155" s="132"/>
      <c r="CA155" s="135"/>
      <c r="CB155" s="136"/>
      <c r="CC155" s="132"/>
      <c r="CD155" s="132"/>
      <c r="CE155" s="132"/>
      <c r="CF155" s="132"/>
      <c r="CG155" s="135"/>
      <c r="CH155" s="136"/>
      <c r="CI155" s="136"/>
      <c r="CJ155" s="132"/>
      <c r="CK155" s="132"/>
      <c r="CL155" s="135"/>
      <c r="CM155" s="136"/>
      <c r="CN155" s="132"/>
      <c r="CO155" s="132"/>
      <c r="CP155" s="132"/>
      <c r="CQ155" s="132"/>
      <c r="CR155" s="137"/>
      <c r="CS155" s="132"/>
      <c r="CT155" s="132"/>
      <c r="CU155" s="132"/>
      <c r="CV155" s="137"/>
      <c r="CW155" s="132"/>
      <c r="CX155" s="132"/>
      <c r="CY155" s="132"/>
      <c r="CZ155" s="132"/>
      <c r="DA155" s="132"/>
      <c r="DB155" s="132"/>
      <c r="DC155" s="137"/>
      <c r="DD155" s="132"/>
      <c r="DE155" s="132"/>
      <c r="DF155" s="132"/>
      <c r="DG155" s="132">
        <f t="shared" si="6"/>
        <v>0</v>
      </c>
    </row>
    <row r="156" spans="1:113" s="125" customFormat="1" ht="17.100000000000001" customHeight="1" x14ac:dyDescent="0.25">
      <c r="A156" s="126"/>
      <c r="B156" s="127"/>
      <c r="C156" s="128"/>
      <c r="D156" s="129"/>
      <c r="E156" s="130"/>
      <c r="F156" s="128"/>
      <c r="G156" s="131"/>
      <c r="H156" s="132"/>
      <c r="I156" s="133"/>
      <c r="J156" s="134"/>
      <c r="K156" s="132"/>
      <c r="L156" s="133"/>
      <c r="M156" s="134"/>
      <c r="N156" s="133"/>
      <c r="O156" s="134"/>
      <c r="P156" s="133"/>
      <c r="Q156" s="134"/>
      <c r="R156" s="132"/>
      <c r="S156" s="132"/>
      <c r="T156" s="133"/>
      <c r="U156" s="134"/>
      <c r="V156" s="132"/>
      <c r="W156" s="135"/>
      <c r="X156" s="136"/>
      <c r="Y156" s="132"/>
      <c r="Z156" s="132"/>
      <c r="AA156" s="132"/>
      <c r="AB156" s="132"/>
      <c r="AC156" s="132"/>
      <c r="AD156" s="135"/>
      <c r="AE156" s="136"/>
      <c r="AF156" s="132"/>
      <c r="AG156" s="137"/>
      <c r="AH156" s="132"/>
      <c r="AI156" s="132"/>
      <c r="AJ156" s="132"/>
      <c r="AK156" s="132"/>
      <c r="AL156" s="132"/>
      <c r="AM156" s="132"/>
      <c r="AN156" s="132"/>
      <c r="AO156" s="132"/>
      <c r="AP156" s="135"/>
      <c r="AQ156" s="136"/>
      <c r="AR156" s="132"/>
      <c r="AS156" s="132"/>
      <c r="AT156" s="132"/>
      <c r="AU156" s="135"/>
      <c r="AV156" s="136"/>
      <c r="AW156" s="132"/>
      <c r="AX156" s="132"/>
      <c r="AY156" s="135"/>
      <c r="AZ156" s="136"/>
      <c r="BA156" s="132"/>
      <c r="BB156" s="132"/>
      <c r="BC156" s="135"/>
      <c r="BD156" s="136"/>
      <c r="BE156" s="132"/>
      <c r="BF156" s="132"/>
      <c r="BG156" s="135"/>
      <c r="BH156" s="136"/>
      <c r="BI156" s="132"/>
      <c r="BJ156" s="132"/>
      <c r="BK156" s="132"/>
      <c r="BL156" s="135"/>
      <c r="BM156" s="136"/>
      <c r="BN156" s="132"/>
      <c r="BO156" s="132"/>
      <c r="BP156" s="135"/>
      <c r="BQ156" s="136"/>
      <c r="BR156" s="137"/>
      <c r="BS156" s="132"/>
      <c r="BT156" s="132"/>
      <c r="BU156" s="132"/>
      <c r="BV156" s="132"/>
      <c r="BW156" s="135"/>
      <c r="BX156" s="136"/>
      <c r="BY156" s="132"/>
      <c r="BZ156" s="132"/>
      <c r="CA156" s="135"/>
      <c r="CB156" s="136"/>
      <c r="CC156" s="132"/>
      <c r="CD156" s="132"/>
      <c r="CE156" s="132"/>
      <c r="CF156" s="132"/>
      <c r="CG156" s="135"/>
      <c r="CH156" s="136"/>
      <c r="CI156" s="136"/>
      <c r="CJ156" s="132"/>
      <c r="CK156" s="132"/>
      <c r="CL156" s="135"/>
      <c r="CM156" s="136"/>
      <c r="CN156" s="132"/>
      <c r="CO156" s="132"/>
      <c r="CP156" s="132"/>
      <c r="CQ156" s="132"/>
      <c r="CR156" s="137"/>
      <c r="CS156" s="132"/>
      <c r="CT156" s="132"/>
      <c r="CU156" s="132"/>
      <c r="CV156" s="137"/>
      <c r="CW156" s="132"/>
      <c r="CX156" s="132"/>
      <c r="CY156" s="132"/>
      <c r="CZ156" s="132"/>
      <c r="DA156" s="132"/>
      <c r="DB156" s="132"/>
      <c r="DC156" s="137"/>
      <c r="DD156" s="132"/>
      <c r="DE156" s="132"/>
      <c r="DF156" s="132"/>
      <c r="DG156" s="132">
        <f t="shared" si="6"/>
        <v>0</v>
      </c>
    </row>
    <row r="157" spans="1:113" s="125" customFormat="1" ht="17.100000000000001" customHeight="1" x14ac:dyDescent="0.25">
      <c r="A157" s="126"/>
      <c r="B157" s="127"/>
      <c r="C157" s="128"/>
      <c r="D157" s="143"/>
      <c r="E157" s="130"/>
      <c r="F157" s="128"/>
      <c r="G157" s="131"/>
      <c r="H157" s="132"/>
      <c r="I157" s="133"/>
      <c r="J157" s="134"/>
      <c r="K157" s="132"/>
      <c r="L157" s="133"/>
      <c r="M157" s="134"/>
      <c r="N157" s="133"/>
      <c r="O157" s="134"/>
      <c r="P157" s="133"/>
      <c r="Q157" s="134"/>
      <c r="R157" s="132"/>
      <c r="S157" s="132"/>
      <c r="T157" s="133"/>
      <c r="U157" s="134"/>
      <c r="V157" s="132"/>
      <c r="W157" s="135"/>
      <c r="X157" s="136"/>
      <c r="Y157" s="132"/>
      <c r="Z157" s="132"/>
      <c r="AA157" s="132"/>
      <c r="AB157" s="132"/>
      <c r="AC157" s="132"/>
      <c r="AD157" s="135"/>
      <c r="AE157" s="136"/>
      <c r="AF157" s="132"/>
      <c r="AG157" s="137"/>
      <c r="AH157" s="132"/>
      <c r="AI157" s="132"/>
      <c r="AJ157" s="132"/>
      <c r="AK157" s="132"/>
      <c r="AL157" s="132"/>
      <c r="AM157" s="132"/>
      <c r="AN157" s="132"/>
      <c r="AO157" s="132"/>
      <c r="AP157" s="135"/>
      <c r="AQ157" s="136"/>
      <c r="AR157" s="132"/>
      <c r="AS157" s="132"/>
      <c r="AT157" s="132"/>
      <c r="AU157" s="135"/>
      <c r="AV157" s="136"/>
      <c r="AW157" s="132"/>
      <c r="AX157" s="132"/>
      <c r="AY157" s="135"/>
      <c r="AZ157" s="136"/>
      <c r="BA157" s="132"/>
      <c r="BB157" s="132"/>
      <c r="BC157" s="135"/>
      <c r="BD157" s="136"/>
      <c r="BE157" s="132"/>
      <c r="BF157" s="132"/>
      <c r="BG157" s="135"/>
      <c r="BH157" s="136"/>
      <c r="BI157" s="132"/>
      <c r="BJ157" s="132"/>
      <c r="BK157" s="132"/>
      <c r="BL157" s="135"/>
      <c r="BM157" s="136"/>
      <c r="BN157" s="132"/>
      <c r="BO157" s="132"/>
      <c r="BP157" s="135"/>
      <c r="BQ157" s="136"/>
      <c r="BR157" s="137"/>
      <c r="BS157" s="132"/>
      <c r="BT157" s="132"/>
      <c r="BU157" s="132"/>
      <c r="BV157" s="132"/>
      <c r="BW157" s="135"/>
      <c r="BX157" s="136"/>
      <c r="BY157" s="132"/>
      <c r="BZ157" s="132"/>
      <c r="CA157" s="135"/>
      <c r="CB157" s="136"/>
      <c r="CC157" s="132"/>
      <c r="CD157" s="132"/>
      <c r="CE157" s="132"/>
      <c r="CF157" s="132"/>
      <c r="CG157" s="135"/>
      <c r="CH157" s="136"/>
      <c r="CI157" s="136"/>
      <c r="CJ157" s="132"/>
      <c r="CK157" s="132"/>
      <c r="CL157" s="135"/>
      <c r="CM157" s="136"/>
      <c r="CN157" s="132"/>
      <c r="CO157" s="132"/>
      <c r="CP157" s="132"/>
      <c r="CQ157" s="132"/>
      <c r="CR157" s="137"/>
      <c r="CS157" s="132"/>
      <c r="CT157" s="132"/>
      <c r="CU157" s="132"/>
      <c r="CV157" s="137"/>
      <c r="CW157" s="132"/>
      <c r="CX157" s="132"/>
      <c r="CY157" s="132"/>
      <c r="CZ157" s="132"/>
      <c r="DA157" s="132"/>
      <c r="DB157" s="132"/>
      <c r="DC157" s="137"/>
      <c r="DD157" s="132"/>
      <c r="DE157" s="132"/>
      <c r="DF157" s="132"/>
      <c r="DG157" s="132">
        <f t="shared" si="6"/>
        <v>0</v>
      </c>
    </row>
    <row r="158" spans="1:113" s="125" customFormat="1" ht="17.100000000000001" customHeight="1" x14ac:dyDescent="0.25">
      <c r="A158" s="126"/>
      <c r="B158" s="127"/>
      <c r="C158" s="128"/>
      <c r="D158" s="129"/>
      <c r="E158" s="130"/>
      <c r="F158" s="128"/>
      <c r="G158" s="131"/>
      <c r="H158" s="132"/>
      <c r="I158" s="133"/>
      <c r="J158" s="134"/>
      <c r="K158" s="132"/>
      <c r="L158" s="133"/>
      <c r="M158" s="134"/>
      <c r="N158" s="133"/>
      <c r="O158" s="134"/>
      <c r="P158" s="133"/>
      <c r="Q158" s="134"/>
      <c r="R158" s="132"/>
      <c r="S158" s="132"/>
      <c r="T158" s="133"/>
      <c r="U158" s="134"/>
      <c r="V158" s="132"/>
      <c r="W158" s="135"/>
      <c r="X158" s="136"/>
      <c r="Y158" s="132"/>
      <c r="Z158" s="132"/>
      <c r="AA158" s="132"/>
      <c r="AB158" s="132"/>
      <c r="AC158" s="132"/>
      <c r="AD158" s="135"/>
      <c r="AE158" s="136"/>
      <c r="AF158" s="132"/>
      <c r="AG158" s="137"/>
      <c r="AH158" s="132"/>
      <c r="AI158" s="132"/>
      <c r="AJ158" s="132"/>
      <c r="AK158" s="132"/>
      <c r="AL158" s="132"/>
      <c r="AM158" s="132"/>
      <c r="AN158" s="132"/>
      <c r="AO158" s="132"/>
      <c r="AP158" s="135"/>
      <c r="AQ158" s="136"/>
      <c r="AR158" s="132"/>
      <c r="AS158" s="132"/>
      <c r="AT158" s="132"/>
      <c r="AU158" s="135"/>
      <c r="AV158" s="136"/>
      <c r="AW158" s="132"/>
      <c r="AX158" s="132"/>
      <c r="AY158" s="135"/>
      <c r="AZ158" s="136"/>
      <c r="BA158" s="132"/>
      <c r="BB158" s="132"/>
      <c r="BC158" s="135"/>
      <c r="BD158" s="136"/>
      <c r="BE158" s="132"/>
      <c r="BF158" s="132"/>
      <c r="BG158" s="135"/>
      <c r="BH158" s="136"/>
      <c r="BI158" s="132"/>
      <c r="BJ158" s="132"/>
      <c r="BK158" s="132"/>
      <c r="BL158" s="135"/>
      <c r="BM158" s="136"/>
      <c r="BN158" s="132"/>
      <c r="BO158" s="132"/>
      <c r="BP158" s="135"/>
      <c r="BQ158" s="136"/>
      <c r="BR158" s="137"/>
      <c r="BS158" s="132"/>
      <c r="BT158" s="132"/>
      <c r="BU158" s="132"/>
      <c r="BV158" s="132"/>
      <c r="BW158" s="135"/>
      <c r="BX158" s="136"/>
      <c r="BY158" s="132"/>
      <c r="BZ158" s="132"/>
      <c r="CA158" s="135"/>
      <c r="CB158" s="136"/>
      <c r="CC158" s="132"/>
      <c r="CD158" s="132"/>
      <c r="CE158" s="132"/>
      <c r="CF158" s="132"/>
      <c r="CG158" s="135"/>
      <c r="CH158" s="136"/>
      <c r="CI158" s="136"/>
      <c r="CJ158" s="132"/>
      <c r="CK158" s="132"/>
      <c r="CL158" s="135"/>
      <c r="CM158" s="136"/>
      <c r="CN158" s="132"/>
      <c r="CO158" s="132"/>
      <c r="CP158" s="132"/>
      <c r="CQ158" s="132"/>
      <c r="CR158" s="137"/>
      <c r="CS158" s="132"/>
      <c r="CT158" s="132"/>
      <c r="CU158" s="132"/>
      <c r="CV158" s="137"/>
      <c r="CW158" s="132"/>
      <c r="CX158" s="132"/>
      <c r="CY158" s="132"/>
      <c r="CZ158" s="132"/>
      <c r="DA158" s="132"/>
      <c r="DB158" s="132"/>
      <c r="DC158" s="137"/>
      <c r="DD158" s="132"/>
      <c r="DE158" s="132"/>
      <c r="DF158" s="132"/>
      <c r="DG158" s="132">
        <f t="shared" si="6"/>
        <v>0</v>
      </c>
    </row>
    <row r="159" spans="1:113" s="125" customFormat="1" ht="17.100000000000001" customHeight="1" x14ac:dyDescent="0.25">
      <c r="A159" s="126"/>
      <c r="B159" s="127"/>
      <c r="C159" s="128"/>
      <c r="D159" s="157"/>
      <c r="E159" s="130"/>
      <c r="F159" s="128"/>
      <c r="G159" s="131"/>
      <c r="H159" s="132"/>
      <c r="I159" s="133"/>
      <c r="J159" s="134"/>
      <c r="K159" s="132"/>
      <c r="L159" s="133"/>
      <c r="M159" s="134"/>
      <c r="N159" s="133"/>
      <c r="O159" s="134"/>
      <c r="P159" s="133"/>
      <c r="Q159" s="134"/>
      <c r="R159" s="132"/>
      <c r="S159" s="132"/>
      <c r="T159" s="133"/>
      <c r="U159" s="134"/>
      <c r="V159" s="132"/>
      <c r="W159" s="135"/>
      <c r="X159" s="136"/>
      <c r="Y159" s="132"/>
      <c r="Z159" s="132"/>
      <c r="AA159" s="132"/>
      <c r="AB159" s="132"/>
      <c r="AC159" s="132"/>
      <c r="AD159" s="135"/>
      <c r="AE159" s="136"/>
      <c r="AF159" s="132"/>
      <c r="AG159" s="137"/>
      <c r="AH159" s="132"/>
      <c r="AI159" s="132"/>
      <c r="AJ159" s="132"/>
      <c r="AK159" s="132"/>
      <c r="AL159" s="132"/>
      <c r="AM159" s="132"/>
      <c r="AN159" s="132"/>
      <c r="AO159" s="132"/>
      <c r="AP159" s="135"/>
      <c r="AQ159" s="136"/>
      <c r="AR159" s="132"/>
      <c r="AS159" s="132"/>
      <c r="AT159" s="132"/>
      <c r="AU159" s="135"/>
      <c r="AV159" s="136"/>
      <c r="AW159" s="132"/>
      <c r="AX159" s="132"/>
      <c r="AY159" s="135"/>
      <c r="AZ159" s="136"/>
      <c r="BA159" s="132"/>
      <c r="BB159" s="132"/>
      <c r="BC159" s="135"/>
      <c r="BD159" s="136"/>
      <c r="BE159" s="132"/>
      <c r="BF159" s="132"/>
      <c r="BG159" s="135"/>
      <c r="BH159" s="136"/>
      <c r="BI159" s="132"/>
      <c r="BJ159" s="132"/>
      <c r="BK159" s="132"/>
      <c r="BL159" s="135"/>
      <c r="BM159" s="136"/>
      <c r="BN159" s="132"/>
      <c r="BO159" s="132"/>
      <c r="BP159" s="135"/>
      <c r="BQ159" s="136"/>
      <c r="BR159" s="137"/>
      <c r="BS159" s="132"/>
      <c r="BT159" s="132"/>
      <c r="BU159" s="132"/>
      <c r="BV159" s="132"/>
      <c r="BW159" s="135"/>
      <c r="BX159" s="136"/>
      <c r="BY159" s="132"/>
      <c r="BZ159" s="132"/>
      <c r="CA159" s="135"/>
      <c r="CB159" s="136"/>
      <c r="CC159" s="132"/>
      <c r="CD159" s="132"/>
      <c r="CE159" s="132"/>
      <c r="CF159" s="132"/>
      <c r="CG159" s="135"/>
      <c r="CH159" s="136"/>
      <c r="CI159" s="136"/>
      <c r="CJ159" s="132"/>
      <c r="CK159" s="132"/>
      <c r="CL159" s="135"/>
      <c r="CM159" s="136"/>
      <c r="CN159" s="132"/>
      <c r="CO159" s="132"/>
      <c r="CP159" s="132"/>
      <c r="CQ159" s="132"/>
      <c r="CR159" s="137"/>
      <c r="CS159" s="132"/>
      <c r="CT159" s="132"/>
      <c r="CU159" s="132"/>
      <c r="CV159" s="137"/>
      <c r="CW159" s="132"/>
      <c r="CX159" s="132"/>
      <c r="CY159" s="132"/>
      <c r="CZ159" s="132"/>
      <c r="DA159" s="132"/>
      <c r="DB159" s="132"/>
      <c r="DC159" s="137"/>
      <c r="DD159" s="132"/>
      <c r="DE159" s="132"/>
      <c r="DF159" s="132"/>
      <c r="DG159" s="132">
        <f t="shared" si="6"/>
        <v>0</v>
      </c>
    </row>
    <row r="160" spans="1:113" s="125" customFormat="1" ht="17.100000000000001" customHeight="1" x14ac:dyDescent="0.25">
      <c r="A160" s="126"/>
      <c r="B160" s="127"/>
      <c r="C160" s="128"/>
      <c r="D160" s="143"/>
      <c r="E160" s="130"/>
      <c r="F160" s="128"/>
      <c r="G160" s="131"/>
      <c r="H160" s="132"/>
      <c r="I160" s="133"/>
      <c r="J160" s="134"/>
      <c r="K160" s="132"/>
      <c r="L160" s="133"/>
      <c r="M160" s="134"/>
      <c r="N160" s="133"/>
      <c r="O160" s="134"/>
      <c r="P160" s="133"/>
      <c r="Q160" s="134"/>
      <c r="R160" s="132"/>
      <c r="S160" s="132"/>
      <c r="T160" s="133"/>
      <c r="U160" s="134"/>
      <c r="V160" s="132"/>
      <c r="W160" s="135"/>
      <c r="X160" s="136"/>
      <c r="Y160" s="132"/>
      <c r="Z160" s="132"/>
      <c r="AA160" s="132"/>
      <c r="AB160" s="132"/>
      <c r="AC160" s="132"/>
      <c r="AD160" s="135"/>
      <c r="AE160" s="136"/>
      <c r="AF160" s="132"/>
      <c r="AG160" s="137"/>
      <c r="AH160" s="132"/>
      <c r="AI160" s="132"/>
      <c r="AJ160" s="132"/>
      <c r="AK160" s="132"/>
      <c r="AL160" s="132"/>
      <c r="AM160" s="132"/>
      <c r="AN160" s="132"/>
      <c r="AO160" s="132"/>
      <c r="AP160" s="135"/>
      <c r="AQ160" s="136"/>
      <c r="AR160" s="132"/>
      <c r="AS160" s="132"/>
      <c r="AT160" s="132"/>
      <c r="AU160" s="135"/>
      <c r="AV160" s="136"/>
      <c r="AW160" s="132"/>
      <c r="AX160" s="132"/>
      <c r="AY160" s="135"/>
      <c r="AZ160" s="136"/>
      <c r="BA160" s="132"/>
      <c r="BB160" s="132"/>
      <c r="BC160" s="135"/>
      <c r="BD160" s="136"/>
      <c r="BE160" s="132"/>
      <c r="BF160" s="132"/>
      <c r="BG160" s="135"/>
      <c r="BH160" s="136"/>
      <c r="BI160" s="132"/>
      <c r="BJ160" s="132"/>
      <c r="BK160" s="132"/>
      <c r="BL160" s="135"/>
      <c r="BM160" s="136"/>
      <c r="BN160" s="132"/>
      <c r="BO160" s="132"/>
      <c r="BP160" s="135"/>
      <c r="BQ160" s="136"/>
      <c r="BR160" s="137"/>
      <c r="BS160" s="132"/>
      <c r="BT160" s="132"/>
      <c r="BU160" s="132"/>
      <c r="BV160" s="132"/>
      <c r="BW160" s="135"/>
      <c r="BX160" s="136"/>
      <c r="BY160" s="132"/>
      <c r="BZ160" s="132"/>
      <c r="CA160" s="135"/>
      <c r="CB160" s="136"/>
      <c r="CC160" s="132"/>
      <c r="CD160" s="132"/>
      <c r="CE160" s="132"/>
      <c r="CF160" s="132"/>
      <c r="CG160" s="135"/>
      <c r="CH160" s="136"/>
      <c r="CI160" s="136"/>
      <c r="CJ160" s="132"/>
      <c r="CK160" s="132"/>
      <c r="CL160" s="135"/>
      <c r="CM160" s="136"/>
      <c r="CN160" s="132"/>
      <c r="CO160" s="132"/>
      <c r="CP160" s="132"/>
      <c r="CQ160" s="132"/>
      <c r="CR160" s="137"/>
      <c r="CS160" s="132"/>
      <c r="CT160" s="132"/>
      <c r="CU160" s="132"/>
      <c r="CV160" s="137"/>
      <c r="CW160" s="132"/>
      <c r="CX160" s="132"/>
      <c r="CY160" s="132"/>
      <c r="CZ160" s="132"/>
      <c r="DA160" s="132"/>
      <c r="DB160" s="132"/>
      <c r="DC160" s="137"/>
      <c r="DD160" s="132"/>
      <c r="DE160" s="132"/>
      <c r="DF160" s="132"/>
      <c r="DG160" s="132">
        <f t="shared" si="6"/>
        <v>0</v>
      </c>
    </row>
    <row r="161" spans="1:113" s="125" customFormat="1" ht="17.100000000000001" customHeight="1" x14ac:dyDescent="0.25">
      <c r="A161" s="126"/>
      <c r="B161" s="127"/>
      <c r="C161" s="128"/>
      <c r="D161" s="129"/>
      <c r="E161" s="130"/>
      <c r="F161" s="128"/>
      <c r="G161" s="131"/>
      <c r="H161" s="132"/>
      <c r="I161" s="133"/>
      <c r="J161" s="134"/>
      <c r="K161" s="132"/>
      <c r="L161" s="133"/>
      <c r="M161" s="134"/>
      <c r="N161" s="133"/>
      <c r="O161" s="134"/>
      <c r="P161" s="133"/>
      <c r="Q161" s="134"/>
      <c r="R161" s="132"/>
      <c r="S161" s="132"/>
      <c r="T161" s="133"/>
      <c r="U161" s="134"/>
      <c r="V161" s="132"/>
      <c r="W161" s="135"/>
      <c r="X161" s="136"/>
      <c r="Y161" s="132"/>
      <c r="Z161" s="132"/>
      <c r="AA161" s="132"/>
      <c r="AB161" s="132"/>
      <c r="AC161" s="132"/>
      <c r="AD161" s="135"/>
      <c r="AE161" s="136"/>
      <c r="AF161" s="132"/>
      <c r="AG161" s="137"/>
      <c r="AH161" s="132"/>
      <c r="AI161" s="132"/>
      <c r="AJ161" s="132"/>
      <c r="AK161" s="132"/>
      <c r="AL161" s="132"/>
      <c r="AM161" s="132"/>
      <c r="AN161" s="132"/>
      <c r="AO161" s="132"/>
      <c r="AP161" s="135"/>
      <c r="AQ161" s="136"/>
      <c r="AR161" s="132"/>
      <c r="AS161" s="132"/>
      <c r="AT161" s="132"/>
      <c r="AU161" s="135"/>
      <c r="AV161" s="136"/>
      <c r="AW161" s="132"/>
      <c r="AX161" s="132"/>
      <c r="AY161" s="135"/>
      <c r="AZ161" s="136"/>
      <c r="BA161" s="132"/>
      <c r="BB161" s="132"/>
      <c r="BC161" s="135"/>
      <c r="BD161" s="136"/>
      <c r="BE161" s="132"/>
      <c r="BF161" s="132"/>
      <c r="BG161" s="135"/>
      <c r="BH161" s="136"/>
      <c r="BI161" s="132"/>
      <c r="BJ161" s="132"/>
      <c r="BK161" s="132"/>
      <c r="BL161" s="135"/>
      <c r="BM161" s="136"/>
      <c r="BN161" s="132"/>
      <c r="BO161" s="132"/>
      <c r="BP161" s="135"/>
      <c r="BQ161" s="136"/>
      <c r="BR161" s="137"/>
      <c r="BS161" s="132"/>
      <c r="BT161" s="132"/>
      <c r="BU161" s="132"/>
      <c r="BV161" s="132"/>
      <c r="BW161" s="135"/>
      <c r="BX161" s="136"/>
      <c r="BY161" s="132"/>
      <c r="BZ161" s="132"/>
      <c r="CA161" s="135"/>
      <c r="CB161" s="136"/>
      <c r="CC161" s="132"/>
      <c r="CD161" s="132"/>
      <c r="CE161" s="132"/>
      <c r="CF161" s="132"/>
      <c r="CG161" s="135"/>
      <c r="CH161" s="136"/>
      <c r="CI161" s="136"/>
      <c r="CJ161" s="132"/>
      <c r="CK161" s="132"/>
      <c r="CL161" s="135"/>
      <c r="CM161" s="136"/>
      <c r="CN161" s="132"/>
      <c r="CO161" s="132"/>
      <c r="CP161" s="132"/>
      <c r="CQ161" s="132"/>
      <c r="CR161" s="137"/>
      <c r="CS161" s="132"/>
      <c r="CT161" s="132"/>
      <c r="CU161" s="132"/>
      <c r="CV161" s="137"/>
      <c r="CW161" s="132"/>
      <c r="CX161" s="132"/>
      <c r="CY161" s="132"/>
      <c r="CZ161" s="132"/>
      <c r="DA161" s="132"/>
      <c r="DB161" s="132"/>
      <c r="DC161" s="137"/>
      <c r="DD161" s="132"/>
      <c r="DE161" s="132"/>
      <c r="DF161" s="132"/>
      <c r="DG161" s="132">
        <f t="shared" si="6"/>
        <v>0</v>
      </c>
    </row>
    <row r="162" spans="1:113" s="125" customFormat="1" ht="17.100000000000001" customHeight="1" x14ac:dyDescent="0.25">
      <c r="A162" s="126"/>
      <c r="B162" s="127"/>
      <c r="C162" s="128"/>
      <c r="D162" s="204"/>
      <c r="E162" s="130"/>
      <c r="F162" s="128"/>
      <c r="G162" s="131"/>
      <c r="H162" s="132"/>
      <c r="I162" s="133"/>
      <c r="J162" s="134"/>
      <c r="K162" s="132"/>
      <c r="L162" s="133"/>
      <c r="M162" s="134"/>
      <c r="N162" s="133"/>
      <c r="O162" s="134"/>
      <c r="P162" s="133"/>
      <c r="Q162" s="134"/>
      <c r="R162" s="132"/>
      <c r="S162" s="132"/>
      <c r="T162" s="133"/>
      <c r="U162" s="134"/>
      <c r="V162" s="132"/>
      <c r="W162" s="135"/>
      <c r="X162" s="136"/>
      <c r="Y162" s="132"/>
      <c r="Z162" s="132"/>
      <c r="AA162" s="132"/>
      <c r="AB162" s="132"/>
      <c r="AC162" s="132"/>
      <c r="AD162" s="135"/>
      <c r="AE162" s="136"/>
      <c r="AF162" s="132"/>
      <c r="AG162" s="137"/>
      <c r="AH162" s="132"/>
      <c r="AI162" s="132"/>
      <c r="AJ162" s="132"/>
      <c r="AK162" s="132"/>
      <c r="AL162" s="132"/>
      <c r="AM162" s="132"/>
      <c r="AN162" s="132"/>
      <c r="AO162" s="132"/>
      <c r="AP162" s="135"/>
      <c r="AQ162" s="136"/>
      <c r="AR162" s="132"/>
      <c r="AS162" s="132"/>
      <c r="AT162" s="132"/>
      <c r="AU162" s="135"/>
      <c r="AV162" s="136"/>
      <c r="AW162" s="132"/>
      <c r="AX162" s="132"/>
      <c r="AY162" s="135"/>
      <c r="AZ162" s="136"/>
      <c r="BA162" s="132"/>
      <c r="BB162" s="132"/>
      <c r="BC162" s="135"/>
      <c r="BD162" s="136"/>
      <c r="BE162" s="132"/>
      <c r="BF162" s="132"/>
      <c r="BG162" s="135"/>
      <c r="BH162" s="136"/>
      <c r="BI162" s="132"/>
      <c r="BJ162" s="132"/>
      <c r="BK162" s="132"/>
      <c r="BL162" s="135"/>
      <c r="BM162" s="136"/>
      <c r="BN162" s="132"/>
      <c r="BO162" s="132"/>
      <c r="BP162" s="135"/>
      <c r="BQ162" s="136"/>
      <c r="BR162" s="137"/>
      <c r="BS162" s="132"/>
      <c r="BT162" s="132"/>
      <c r="BU162" s="132"/>
      <c r="BV162" s="132"/>
      <c r="BW162" s="135"/>
      <c r="BX162" s="136"/>
      <c r="BY162" s="132"/>
      <c r="BZ162" s="132"/>
      <c r="CA162" s="135"/>
      <c r="CB162" s="136"/>
      <c r="CC162" s="132"/>
      <c r="CD162" s="132"/>
      <c r="CE162" s="132"/>
      <c r="CF162" s="132"/>
      <c r="CG162" s="135"/>
      <c r="CH162" s="136"/>
      <c r="CI162" s="136"/>
      <c r="CJ162" s="132"/>
      <c r="CK162" s="132"/>
      <c r="CL162" s="135"/>
      <c r="CM162" s="136"/>
      <c r="CN162" s="132"/>
      <c r="CO162" s="132"/>
      <c r="CP162" s="132"/>
      <c r="CQ162" s="132"/>
      <c r="CR162" s="137"/>
      <c r="CS162" s="132"/>
      <c r="CT162" s="132"/>
      <c r="CU162" s="132"/>
      <c r="CV162" s="137"/>
      <c r="CW162" s="132"/>
      <c r="CX162" s="132"/>
      <c r="CY162" s="132"/>
      <c r="CZ162" s="132"/>
      <c r="DA162" s="132"/>
      <c r="DB162" s="132"/>
      <c r="DC162" s="137"/>
      <c r="DD162" s="132"/>
      <c r="DE162" s="132"/>
      <c r="DF162" s="132"/>
      <c r="DG162" s="132">
        <f t="shared" si="6"/>
        <v>0</v>
      </c>
    </row>
    <row r="163" spans="1:113" s="187" customFormat="1" ht="17.100000000000001" customHeight="1" thickBot="1" x14ac:dyDescent="0.3">
      <c r="A163" s="175"/>
      <c r="B163" s="176"/>
      <c r="C163" s="179"/>
      <c r="D163" s="205" t="s">
        <v>1107</v>
      </c>
      <c r="E163" s="178"/>
      <c r="F163" s="179"/>
      <c r="G163" s="180"/>
      <c r="H163" s="181"/>
      <c r="I163" s="182"/>
      <c r="J163" s="183"/>
      <c r="K163" s="181"/>
      <c r="L163" s="182"/>
      <c r="M163" s="183"/>
      <c r="N163" s="182"/>
      <c r="O163" s="183"/>
      <c r="P163" s="182"/>
      <c r="Q163" s="183"/>
      <c r="R163" s="181"/>
      <c r="S163" s="181"/>
      <c r="T163" s="182"/>
      <c r="U163" s="183"/>
      <c r="V163" s="181"/>
      <c r="W163" s="184"/>
      <c r="X163" s="185"/>
      <c r="Y163" s="181"/>
      <c r="Z163" s="181"/>
      <c r="AA163" s="181"/>
      <c r="AB163" s="181"/>
      <c r="AC163" s="181"/>
      <c r="AD163" s="184"/>
      <c r="AE163" s="185"/>
      <c r="AF163" s="181"/>
      <c r="AG163" s="186"/>
      <c r="AH163" s="181"/>
      <c r="AI163" s="181"/>
      <c r="AJ163" s="181"/>
      <c r="AK163" s="181"/>
      <c r="AL163" s="181"/>
      <c r="AM163" s="181"/>
      <c r="AN163" s="181"/>
      <c r="AO163" s="181"/>
      <c r="AP163" s="184"/>
      <c r="AQ163" s="185"/>
      <c r="AR163" s="181"/>
      <c r="AS163" s="181"/>
      <c r="AT163" s="181"/>
      <c r="AU163" s="184"/>
      <c r="AV163" s="185"/>
      <c r="AW163" s="181"/>
      <c r="AX163" s="181"/>
      <c r="AY163" s="184"/>
      <c r="AZ163" s="185"/>
      <c r="BA163" s="181"/>
      <c r="BB163" s="181"/>
      <c r="BC163" s="184"/>
      <c r="BD163" s="185"/>
      <c r="BE163" s="181"/>
      <c r="BF163" s="181"/>
      <c r="BG163" s="184"/>
      <c r="BH163" s="185"/>
      <c r="BI163" s="181"/>
      <c r="BJ163" s="181"/>
      <c r="BK163" s="181"/>
      <c r="BL163" s="184"/>
      <c r="BM163" s="185"/>
      <c r="BN163" s="181"/>
      <c r="BO163" s="181"/>
      <c r="BP163" s="184"/>
      <c r="BQ163" s="185"/>
      <c r="BR163" s="186"/>
      <c r="BS163" s="181"/>
      <c r="BT163" s="181"/>
      <c r="BU163" s="181"/>
      <c r="BV163" s="181"/>
      <c r="BW163" s="184"/>
      <c r="BX163" s="185"/>
      <c r="BY163" s="181"/>
      <c r="BZ163" s="181"/>
      <c r="CA163" s="184"/>
      <c r="CB163" s="185"/>
      <c r="CC163" s="181"/>
      <c r="CD163" s="181"/>
      <c r="CE163" s="181"/>
      <c r="CF163" s="181"/>
      <c r="CG163" s="184"/>
      <c r="CH163" s="185"/>
      <c r="CI163" s="185"/>
      <c r="CJ163" s="181"/>
      <c r="CK163" s="181"/>
      <c r="CL163" s="184"/>
      <c r="CM163" s="185"/>
      <c r="CN163" s="181"/>
      <c r="CO163" s="181"/>
      <c r="CP163" s="181"/>
      <c r="CQ163" s="181"/>
      <c r="CR163" s="186"/>
      <c r="CS163" s="181"/>
      <c r="CT163" s="181"/>
      <c r="CU163" s="181"/>
      <c r="CV163" s="186"/>
      <c r="CW163" s="181"/>
      <c r="CX163" s="181"/>
      <c r="CY163" s="181"/>
      <c r="CZ163" s="181"/>
      <c r="DA163" s="181"/>
      <c r="DB163" s="181"/>
      <c r="DC163" s="186"/>
      <c r="DD163" s="181"/>
      <c r="DE163" s="181"/>
      <c r="DF163" s="181"/>
      <c r="DG163" s="181">
        <f t="shared" ref="DG163" si="7">SUM(DG150:DG162)</f>
        <v>12325636</v>
      </c>
      <c r="DI163" s="125"/>
    </row>
    <row r="164" spans="1:113" s="125" customFormat="1" ht="17.100000000000001" customHeight="1" thickTop="1" x14ac:dyDescent="0.25">
      <c r="A164" s="126"/>
      <c r="B164" s="127"/>
      <c r="C164" s="128"/>
      <c r="D164" s="204"/>
      <c r="E164" s="130"/>
      <c r="F164" s="128"/>
      <c r="G164" s="131"/>
      <c r="H164" s="132"/>
      <c r="I164" s="133"/>
      <c r="J164" s="134"/>
      <c r="K164" s="132"/>
      <c r="L164" s="133"/>
      <c r="M164" s="134"/>
      <c r="N164" s="133"/>
      <c r="O164" s="134"/>
      <c r="P164" s="133"/>
      <c r="Q164" s="134"/>
      <c r="R164" s="132"/>
      <c r="S164" s="132"/>
      <c r="T164" s="133"/>
      <c r="U164" s="134"/>
      <c r="V164" s="132"/>
      <c r="W164" s="135"/>
      <c r="X164" s="136"/>
      <c r="Y164" s="132"/>
      <c r="Z164" s="132"/>
      <c r="AA164" s="132"/>
      <c r="AB164" s="132"/>
      <c r="AC164" s="132"/>
      <c r="AD164" s="135"/>
      <c r="AE164" s="136"/>
      <c r="AF164" s="132"/>
      <c r="AG164" s="137"/>
      <c r="AH164" s="132"/>
      <c r="AI164" s="132"/>
      <c r="AJ164" s="132"/>
      <c r="AK164" s="132"/>
      <c r="AL164" s="132"/>
      <c r="AM164" s="132"/>
      <c r="AN164" s="132"/>
      <c r="AO164" s="132"/>
      <c r="AP164" s="135"/>
      <c r="AQ164" s="136"/>
      <c r="AR164" s="132"/>
      <c r="AS164" s="132"/>
      <c r="AT164" s="132"/>
      <c r="AU164" s="135"/>
      <c r="AV164" s="136"/>
      <c r="AW164" s="132"/>
      <c r="AX164" s="132"/>
      <c r="AY164" s="135"/>
      <c r="AZ164" s="136"/>
      <c r="BA164" s="132"/>
      <c r="BB164" s="132"/>
      <c r="BC164" s="135"/>
      <c r="BD164" s="136"/>
      <c r="BE164" s="132"/>
      <c r="BF164" s="132"/>
      <c r="BG164" s="135"/>
      <c r="BH164" s="136"/>
      <c r="BI164" s="132"/>
      <c r="BJ164" s="132"/>
      <c r="BK164" s="132"/>
      <c r="BL164" s="135"/>
      <c r="BM164" s="136"/>
      <c r="BN164" s="132"/>
      <c r="BO164" s="132"/>
      <c r="BP164" s="135"/>
      <c r="BQ164" s="136"/>
      <c r="BR164" s="137"/>
      <c r="BS164" s="132"/>
      <c r="BT164" s="132"/>
      <c r="BU164" s="132"/>
      <c r="BV164" s="132"/>
      <c r="BW164" s="135"/>
      <c r="BX164" s="136"/>
      <c r="BY164" s="132"/>
      <c r="BZ164" s="132"/>
      <c r="CA164" s="135"/>
      <c r="CB164" s="136"/>
      <c r="CC164" s="132"/>
      <c r="CD164" s="132"/>
      <c r="CE164" s="132"/>
      <c r="CF164" s="132"/>
      <c r="CG164" s="135"/>
      <c r="CH164" s="136"/>
      <c r="CI164" s="136"/>
      <c r="CJ164" s="132"/>
      <c r="CK164" s="132"/>
      <c r="CL164" s="135"/>
      <c r="CM164" s="136"/>
      <c r="CN164" s="132"/>
      <c r="CO164" s="132"/>
      <c r="CP164" s="132"/>
      <c r="CQ164" s="132"/>
      <c r="CR164" s="137"/>
      <c r="CS164" s="132"/>
      <c r="CT164" s="132"/>
      <c r="CU164" s="132"/>
      <c r="CV164" s="137"/>
      <c r="CW164" s="132"/>
      <c r="CX164" s="132"/>
      <c r="CY164" s="132"/>
      <c r="CZ164" s="132"/>
      <c r="DA164" s="132"/>
      <c r="DB164" s="132"/>
      <c r="DC164" s="137"/>
      <c r="DD164" s="132"/>
      <c r="DE164" s="132"/>
      <c r="DF164" s="132"/>
      <c r="DG164" s="132">
        <f t="shared" ref="DG164:DG175" si="8">SUM(H164,J164,K164,M164,O164,Q164,R164,S164,U164,V164,X164,Y164,Z164,AA164,AB164,AC164,AE164,AF164,AH164,AI164,AJ164,AK164,AL164,AM164,AN164,AO164,AQ164,AR164,AS164,AT164,AV164,AW164,AX164,AZ164,BA164,BB164,BD164,BE164,BF164,BH164,BI164,BJ164,BK164,BM164,BN164,BO164,BQ164,BS164,BT164,BU164,BV164,BX164,BY164,BZ164,CB164,CC164,CD164,CE164,CF164,CH164,CI164,CJ164,CK164,CM164,CN164,CO164,CP164,CQ164,CS164,CT164,CU164,CW164,CX164,CY164,CZ164,DA164,DB164,DD164)</f>
        <v>0</v>
      </c>
    </row>
    <row r="165" spans="1:113" s="125" customFormat="1" ht="17.100000000000001" customHeight="1" x14ac:dyDescent="0.25">
      <c r="A165" s="126"/>
      <c r="B165" s="127"/>
      <c r="C165" s="128"/>
      <c r="D165" s="204"/>
      <c r="E165" s="130"/>
      <c r="F165" s="128"/>
      <c r="G165" s="131"/>
      <c r="H165" s="132"/>
      <c r="I165" s="133"/>
      <c r="J165" s="134"/>
      <c r="K165" s="132"/>
      <c r="L165" s="133"/>
      <c r="M165" s="134"/>
      <c r="N165" s="133"/>
      <c r="O165" s="134"/>
      <c r="P165" s="133"/>
      <c r="Q165" s="134"/>
      <c r="R165" s="132"/>
      <c r="S165" s="132"/>
      <c r="T165" s="133"/>
      <c r="U165" s="134"/>
      <c r="V165" s="132"/>
      <c r="W165" s="135"/>
      <c r="X165" s="136"/>
      <c r="Y165" s="132"/>
      <c r="Z165" s="132"/>
      <c r="AA165" s="132"/>
      <c r="AB165" s="132"/>
      <c r="AC165" s="132"/>
      <c r="AD165" s="135"/>
      <c r="AE165" s="136"/>
      <c r="AF165" s="132"/>
      <c r="AG165" s="137"/>
      <c r="AH165" s="132"/>
      <c r="AI165" s="132"/>
      <c r="AJ165" s="132"/>
      <c r="AK165" s="132"/>
      <c r="AL165" s="132"/>
      <c r="AM165" s="132"/>
      <c r="AN165" s="132"/>
      <c r="AO165" s="132"/>
      <c r="AP165" s="135"/>
      <c r="AQ165" s="136"/>
      <c r="AR165" s="132"/>
      <c r="AS165" s="132"/>
      <c r="AT165" s="132"/>
      <c r="AU165" s="135"/>
      <c r="AV165" s="136"/>
      <c r="AW165" s="132"/>
      <c r="AX165" s="132"/>
      <c r="AY165" s="135"/>
      <c r="AZ165" s="136"/>
      <c r="BA165" s="132"/>
      <c r="BB165" s="132"/>
      <c r="BC165" s="135"/>
      <c r="BD165" s="136"/>
      <c r="BE165" s="132"/>
      <c r="BF165" s="132"/>
      <c r="BG165" s="135"/>
      <c r="BH165" s="136"/>
      <c r="BI165" s="132"/>
      <c r="BJ165" s="132"/>
      <c r="BK165" s="132"/>
      <c r="BL165" s="135"/>
      <c r="BM165" s="136"/>
      <c r="BN165" s="132"/>
      <c r="BO165" s="132"/>
      <c r="BP165" s="135"/>
      <c r="BQ165" s="136"/>
      <c r="BR165" s="137"/>
      <c r="BS165" s="132"/>
      <c r="BT165" s="132"/>
      <c r="BU165" s="132"/>
      <c r="BV165" s="132"/>
      <c r="BW165" s="135"/>
      <c r="BX165" s="136"/>
      <c r="BY165" s="132"/>
      <c r="BZ165" s="132"/>
      <c r="CA165" s="135"/>
      <c r="CB165" s="136"/>
      <c r="CC165" s="132"/>
      <c r="CD165" s="132"/>
      <c r="CE165" s="132"/>
      <c r="CF165" s="132"/>
      <c r="CG165" s="135"/>
      <c r="CH165" s="136"/>
      <c r="CI165" s="136"/>
      <c r="CJ165" s="132"/>
      <c r="CK165" s="132"/>
      <c r="CL165" s="135"/>
      <c r="CM165" s="136"/>
      <c r="CN165" s="132"/>
      <c r="CO165" s="132"/>
      <c r="CP165" s="132"/>
      <c r="CQ165" s="132"/>
      <c r="CR165" s="137"/>
      <c r="CS165" s="132"/>
      <c r="CT165" s="132"/>
      <c r="CU165" s="132"/>
      <c r="CV165" s="137"/>
      <c r="CW165" s="132"/>
      <c r="CX165" s="132"/>
      <c r="CY165" s="132"/>
      <c r="CZ165" s="132"/>
      <c r="DA165" s="132"/>
      <c r="DB165" s="132"/>
      <c r="DC165" s="137"/>
      <c r="DD165" s="132"/>
      <c r="DE165" s="132"/>
      <c r="DF165" s="132"/>
      <c r="DG165" s="132">
        <f t="shared" si="8"/>
        <v>0</v>
      </c>
    </row>
    <row r="166" spans="1:113" s="125" customFormat="1" ht="17.100000000000001" customHeight="1" x14ac:dyDescent="0.25">
      <c r="A166" s="126"/>
      <c r="B166" s="127"/>
      <c r="C166" s="128"/>
      <c r="D166" s="204"/>
      <c r="E166" s="130"/>
      <c r="F166" s="128"/>
      <c r="G166" s="131"/>
      <c r="H166" s="132"/>
      <c r="I166" s="133"/>
      <c r="J166" s="134"/>
      <c r="K166" s="132"/>
      <c r="L166" s="133"/>
      <c r="M166" s="134"/>
      <c r="N166" s="133"/>
      <c r="O166" s="134"/>
      <c r="P166" s="133"/>
      <c r="Q166" s="134"/>
      <c r="R166" s="132"/>
      <c r="S166" s="132"/>
      <c r="T166" s="133"/>
      <c r="U166" s="134"/>
      <c r="V166" s="132"/>
      <c r="W166" s="135"/>
      <c r="X166" s="136"/>
      <c r="Y166" s="132"/>
      <c r="Z166" s="132"/>
      <c r="AA166" s="132"/>
      <c r="AB166" s="132"/>
      <c r="AC166" s="132"/>
      <c r="AD166" s="135"/>
      <c r="AE166" s="136"/>
      <c r="AF166" s="132"/>
      <c r="AG166" s="137"/>
      <c r="AH166" s="132"/>
      <c r="AI166" s="132"/>
      <c r="AJ166" s="132"/>
      <c r="AK166" s="132"/>
      <c r="AL166" s="132"/>
      <c r="AM166" s="132"/>
      <c r="AN166" s="132"/>
      <c r="AO166" s="132"/>
      <c r="AP166" s="135"/>
      <c r="AQ166" s="136"/>
      <c r="AR166" s="132"/>
      <c r="AS166" s="132"/>
      <c r="AT166" s="132"/>
      <c r="AU166" s="135"/>
      <c r="AV166" s="136"/>
      <c r="AW166" s="132"/>
      <c r="AX166" s="132"/>
      <c r="AY166" s="135"/>
      <c r="AZ166" s="136"/>
      <c r="BA166" s="132"/>
      <c r="BB166" s="132"/>
      <c r="BC166" s="135"/>
      <c r="BD166" s="136"/>
      <c r="BE166" s="132"/>
      <c r="BF166" s="132"/>
      <c r="BG166" s="135"/>
      <c r="BH166" s="136"/>
      <c r="BI166" s="132"/>
      <c r="BJ166" s="132"/>
      <c r="BK166" s="132"/>
      <c r="BL166" s="135"/>
      <c r="BM166" s="136"/>
      <c r="BN166" s="132"/>
      <c r="BO166" s="132"/>
      <c r="BP166" s="135"/>
      <c r="BQ166" s="136"/>
      <c r="BR166" s="137"/>
      <c r="BS166" s="132"/>
      <c r="BT166" s="132"/>
      <c r="BU166" s="132"/>
      <c r="BV166" s="132"/>
      <c r="BW166" s="135"/>
      <c r="BX166" s="136"/>
      <c r="BY166" s="132"/>
      <c r="BZ166" s="132"/>
      <c r="CA166" s="135"/>
      <c r="CB166" s="136"/>
      <c r="CC166" s="132"/>
      <c r="CD166" s="132"/>
      <c r="CE166" s="132"/>
      <c r="CF166" s="132"/>
      <c r="CG166" s="135"/>
      <c r="CH166" s="136"/>
      <c r="CI166" s="136"/>
      <c r="CJ166" s="132"/>
      <c r="CK166" s="132"/>
      <c r="CL166" s="135"/>
      <c r="CM166" s="136"/>
      <c r="CN166" s="132"/>
      <c r="CO166" s="132"/>
      <c r="CP166" s="132"/>
      <c r="CQ166" s="132"/>
      <c r="CR166" s="137"/>
      <c r="CS166" s="132"/>
      <c r="CT166" s="132"/>
      <c r="CU166" s="132"/>
      <c r="CV166" s="137"/>
      <c r="CW166" s="132"/>
      <c r="CX166" s="132"/>
      <c r="CY166" s="132"/>
      <c r="CZ166" s="132"/>
      <c r="DA166" s="132"/>
      <c r="DB166" s="132"/>
      <c r="DC166" s="137"/>
      <c r="DD166" s="132"/>
      <c r="DE166" s="132"/>
      <c r="DF166" s="132"/>
      <c r="DG166" s="132">
        <f t="shared" si="8"/>
        <v>0</v>
      </c>
    </row>
    <row r="167" spans="1:113" s="125" customFormat="1" ht="17.100000000000001" customHeight="1" x14ac:dyDescent="0.25">
      <c r="A167" s="126"/>
      <c r="B167" s="127"/>
      <c r="C167" s="128"/>
      <c r="D167" s="204"/>
      <c r="E167" s="130"/>
      <c r="F167" s="128"/>
      <c r="G167" s="131"/>
      <c r="H167" s="132"/>
      <c r="I167" s="133"/>
      <c r="J167" s="134"/>
      <c r="K167" s="132"/>
      <c r="L167" s="133"/>
      <c r="M167" s="134"/>
      <c r="N167" s="133"/>
      <c r="O167" s="134"/>
      <c r="P167" s="133"/>
      <c r="Q167" s="134"/>
      <c r="R167" s="132"/>
      <c r="S167" s="132"/>
      <c r="T167" s="133"/>
      <c r="U167" s="134"/>
      <c r="V167" s="132"/>
      <c r="W167" s="135"/>
      <c r="X167" s="136"/>
      <c r="Y167" s="132"/>
      <c r="Z167" s="132"/>
      <c r="AA167" s="132"/>
      <c r="AB167" s="132"/>
      <c r="AC167" s="132"/>
      <c r="AD167" s="135"/>
      <c r="AE167" s="136"/>
      <c r="AF167" s="132"/>
      <c r="AG167" s="137"/>
      <c r="AH167" s="132"/>
      <c r="AI167" s="132"/>
      <c r="AJ167" s="132"/>
      <c r="AK167" s="132"/>
      <c r="AL167" s="132"/>
      <c r="AM167" s="132"/>
      <c r="AN167" s="132"/>
      <c r="AO167" s="132"/>
      <c r="AP167" s="135"/>
      <c r="AQ167" s="136"/>
      <c r="AR167" s="132"/>
      <c r="AS167" s="132"/>
      <c r="AT167" s="132"/>
      <c r="AU167" s="135"/>
      <c r="AV167" s="136"/>
      <c r="AW167" s="132"/>
      <c r="AX167" s="132"/>
      <c r="AY167" s="135"/>
      <c r="AZ167" s="136"/>
      <c r="BA167" s="132"/>
      <c r="BB167" s="132"/>
      <c r="BC167" s="135"/>
      <c r="BD167" s="136"/>
      <c r="BE167" s="132"/>
      <c r="BF167" s="132"/>
      <c r="BG167" s="135"/>
      <c r="BH167" s="136"/>
      <c r="BI167" s="132"/>
      <c r="BJ167" s="132"/>
      <c r="BK167" s="132"/>
      <c r="BL167" s="135"/>
      <c r="BM167" s="136"/>
      <c r="BN167" s="132"/>
      <c r="BO167" s="132"/>
      <c r="BP167" s="135"/>
      <c r="BQ167" s="136"/>
      <c r="BR167" s="137"/>
      <c r="BS167" s="132"/>
      <c r="BT167" s="132"/>
      <c r="BU167" s="132"/>
      <c r="BV167" s="132"/>
      <c r="BW167" s="135"/>
      <c r="BX167" s="136"/>
      <c r="BY167" s="132"/>
      <c r="BZ167" s="132"/>
      <c r="CA167" s="135"/>
      <c r="CB167" s="136"/>
      <c r="CC167" s="132"/>
      <c r="CD167" s="132"/>
      <c r="CE167" s="132"/>
      <c r="CF167" s="132"/>
      <c r="CG167" s="135"/>
      <c r="CH167" s="136"/>
      <c r="CI167" s="136"/>
      <c r="CJ167" s="132"/>
      <c r="CK167" s="132"/>
      <c r="CL167" s="135"/>
      <c r="CM167" s="136"/>
      <c r="CN167" s="132"/>
      <c r="CO167" s="132"/>
      <c r="CP167" s="132"/>
      <c r="CQ167" s="132"/>
      <c r="CR167" s="137"/>
      <c r="CS167" s="132"/>
      <c r="CT167" s="132"/>
      <c r="CU167" s="132"/>
      <c r="CV167" s="137"/>
      <c r="CW167" s="132"/>
      <c r="CX167" s="132"/>
      <c r="CY167" s="132"/>
      <c r="CZ167" s="132"/>
      <c r="DA167" s="132"/>
      <c r="DB167" s="132"/>
      <c r="DC167" s="137"/>
      <c r="DD167" s="132"/>
      <c r="DE167" s="132"/>
      <c r="DF167" s="132"/>
      <c r="DG167" s="132">
        <f t="shared" si="8"/>
        <v>0</v>
      </c>
    </row>
    <row r="168" spans="1:113" s="125" customFormat="1" ht="17.100000000000001" customHeight="1" x14ac:dyDescent="0.25">
      <c r="A168" s="126"/>
      <c r="B168" s="127"/>
      <c r="C168" s="128"/>
      <c r="D168" s="204"/>
      <c r="E168" s="130"/>
      <c r="F168" s="128"/>
      <c r="G168" s="131"/>
      <c r="H168" s="132"/>
      <c r="I168" s="133"/>
      <c r="J168" s="134"/>
      <c r="K168" s="132"/>
      <c r="L168" s="133"/>
      <c r="M168" s="134"/>
      <c r="N168" s="133"/>
      <c r="O168" s="134"/>
      <c r="P168" s="133"/>
      <c r="Q168" s="134"/>
      <c r="R168" s="132"/>
      <c r="S168" s="132"/>
      <c r="T168" s="133"/>
      <c r="U168" s="134"/>
      <c r="V168" s="132"/>
      <c r="W168" s="135"/>
      <c r="X168" s="136"/>
      <c r="Y168" s="132"/>
      <c r="Z168" s="132"/>
      <c r="AA168" s="132"/>
      <c r="AB168" s="132"/>
      <c r="AC168" s="132"/>
      <c r="AD168" s="135"/>
      <c r="AE168" s="136"/>
      <c r="AF168" s="132"/>
      <c r="AG168" s="137"/>
      <c r="AH168" s="132"/>
      <c r="AI168" s="132"/>
      <c r="AJ168" s="132"/>
      <c r="AK168" s="132"/>
      <c r="AL168" s="132"/>
      <c r="AM168" s="132"/>
      <c r="AN168" s="132"/>
      <c r="AO168" s="132"/>
      <c r="AP168" s="135"/>
      <c r="AQ168" s="136"/>
      <c r="AR168" s="132"/>
      <c r="AS168" s="132"/>
      <c r="AT168" s="132"/>
      <c r="AU168" s="135"/>
      <c r="AV168" s="136"/>
      <c r="AW168" s="132"/>
      <c r="AX168" s="132"/>
      <c r="AY168" s="135"/>
      <c r="AZ168" s="136"/>
      <c r="BA168" s="132"/>
      <c r="BB168" s="132"/>
      <c r="BC168" s="135"/>
      <c r="BD168" s="136"/>
      <c r="BE168" s="132"/>
      <c r="BF168" s="132"/>
      <c r="BG168" s="135"/>
      <c r="BH168" s="136"/>
      <c r="BI168" s="132"/>
      <c r="BJ168" s="132"/>
      <c r="BK168" s="132"/>
      <c r="BL168" s="135"/>
      <c r="BM168" s="136"/>
      <c r="BN168" s="132"/>
      <c r="BO168" s="132"/>
      <c r="BP168" s="135"/>
      <c r="BQ168" s="136"/>
      <c r="BR168" s="137"/>
      <c r="BS168" s="132"/>
      <c r="BT168" s="132"/>
      <c r="BU168" s="132"/>
      <c r="BV168" s="132"/>
      <c r="BW168" s="135"/>
      <c r="BX168" s="136"/>
      <c r="BY168" s="132"/>
      <c r="BZ168" s="132"/>
      <c r="CA168" s="135"/>
      <c r="CB168" s="136"/>
      <c r="CC168" s="132"/>
      <c r="CD168" s="132"/>
      <c r="CE168" s="132"/>
      <c r="CF168" s="132"/>
      <c r="CG168" s="135"/>
      <c r="CH168" s="136"/>
      <c r="CI168" s="136"/>
      <c r="CJ168" s="132"/>
      <c r="CK168" s="132"/>
      <c r="CL168" s="135"/>
      <c r="CM168" s="136"/>
      <c r="CN168" s="132"/>
      <c r="CO168" s="132"/>
      <c r="CP168" s="132"/>
      <c r="CQ168" s="132"/>
      <c r="CR168" s="137"/>
      <c r="CS168" s="132"/>
      <c r="CT168" s="132"/>
      <c r="CU168" s="132"/>
      <c r="CV168" s="137"/>
      <c r="CW168" s="132"/>
      <c r="CX168" s="132"/>
      <c r="CY168" s="132"/>
      <c r="CZ168" s="132"/>
      <c r="DA168" s="132"/>
      <c r="DB168" s="132"/>
      <c r="DC168" s="137"/>
      <c r="DD168" s="132"/>
      <c r="DE168" s="132"/>
      <c r="DF168" s="132"/>
      <c r="DG168" s="132">
        <f t="shared" si="8"/>
        <v>0</v>
      </c>
    </row>
    <row r="169" spans="1:113" s="125" customFormat="1" ht="17.100000000000001" customHeight="1" x14ac:dyDescent="0.25">
      <c r="A169" s="126"/>
      <c r="B169" s="127"/>
      <c r="C169" s="128"/>
      <c r="D169" s="204"/>
      <c r="E169" s="130"/>
      <c r="F169" s="128"/>
      <c r="G169" s="131"/>
      <c r="H169" s="132"/>
      <c r="I169" s="133"/>
      <c r="J169" s="134"/>
      <c r="K169" s="132"/>
      <c r="L169" s="133"/>
      <c r="M169" s="134"/>
      <c r="N169" s="133"/>
      <c r="O169" s="134"/>
      <c r="P169" s="133"/>
      <c r="Q169" s="134"/>
      <c r="R169" s="132"/>
      <c r="S169" s="132"/>
      <c r="T169" s="133"/>
      <c r="U169" s="134"/>
      <c r="V169" s="132"/>
      <c r="W169" s="135"/>
      <c r="X169" s="136"/>
      <c r="Y169" s="132"/>
      <c r="Z169" s="132"/>
      <c r="AA169" s="132"/>
      <c r="AB169" s="132"/>
      <c r="AC169" s="132"/>
      <c r="AD169" s="135"/>
      <c r="AE169" s="136"/>
      <c r="AF169" s="132"/>
      <c r="AG169" s="137"/>
      <c r="AH169" s="132"/>
      <c r="AI169" s="132"/>
      <c r="AJ169" s="132"/>
      <c r="AK169" s="132"/>
      <c r="AL169" s="132"/>
      <c r="AM169" s="132"/>
      <c r="AN169" s="132"/>
      <c r="AO169" s="132"/>
      <c r="AP169" s="135"/>
      <c r="AQ169" s="136"/>
      <c r="AR169" s="132"/>
      <c r="AS169" s="132"/>
      <c r="AT169" s="132"/>
      <c r="AU169" s="135"/>
      <c r="AV169" s="136"/>
      <c r="AW169" s="132"/>
      <c r="AX169" s="132"/>
      <c r="AY169" s="135"/>
      <c r="AZ169" s="136"/>
      <c r="BA169" s="132"/>
      <c r="BB169" s="132"/>
      <c r="BC169" s="135"/>
      <c r="BD169" s="136"/>
      <c r="BE169" s="132"/>
      <c r="BF169" s="132"/>
      <c r="BG169" s="135"/>
      <c r="BH169" s="136"/>
      <c r="BI169" s="132"/>
      <c r="BJ169" s="132"/>
      <c r="BK169" s="132"/>
      <c r="BL169" s="135"/>
      <c r="BM169" s="136"/>
      <c r="BN169" s="132"/>
      <c r="BO169" s="132"/>
      <c r="BP169" s="135"/>
      <c r="BQ169" s="136"/>
      <c r="BR169" s="137"/>
      <c r="BS169" s="132"/>
      <c r="BT169" s="132"/>
      <c r="BU169" s="132"/>
      <c r="BV169" s="132"/>
      <c r="BW169" s="135"/>
      <c r="BX169" s="136"/>
      <c r="BY169" s="132"/>
      <c r="BZ169" s="132"/>
      <c r="CA169" s="135"/>
      <c r="CB169" s="136"/>
      <c r="CC169" s="132"/>
      <c r="CD169" s="132"/>
      <c r="CE169" s="132"/>
      <c r="CF169" s="132"/>
      <c r="CG169" s="135"/>
      <c r="CH169" s="136"/>
      <c r="CI169" s="136"/>
      <c r="CJ169" s="132"/>
      <c r="CK169" s="132"/>
      <c r="CL169" s="135"/>
      <c r="CM169" s="136"/>
      <c r="CN169" s="132"/>
      <c r="CO169" s="132"/>
      <c r="CP169" s="132"/>
      <c r="CQ169" s="132"/>
      <c r="CR169" s="137"/>
      <c r="CS169" s="132"/>
      <c r="CT169" s="132"/>
      <c r="CU169" s="132"/>
      <c r="CV169" s="137"/>
      <c r="CW169" s="132"/>
      <c r="CX169" s="132"/>
      <c r="CY169" s="132"/>
      <c r="CZ169" s="132"/>
      <c r="DA169" s="132"/>
      <c r="DB169" s="132"/>
      <c r="DC169" s="137"/>
      <c r="DD169" s="132"/>
      <c r="DE169" s="132"/>
      <c r="DF169" s="132"/>
      <c r="DG169" s="132">
        <f t="shared" si="8"/>
        <v>0</v>
      </c>
    </row>
    <row r="170" spans="1:113" s="125" customFormat="1" ht="17.100000000000001" customHeight="1" x14ac:dyDescent="0.25">
      <c r="A170" s="126"/>
      <c r="B170" s="127"/>
      <c r="C170" s="128"/>
      <c r="D170" s="204"/>
      <c r="E170" s="130"/>
      <c r="F170" s="128"/>
      <c r="G170" s="131"/>
      <c r="H170" s="132"/>
      <c r="I170" s="133"/>
      <c r="J170" s="134"/>
      <c r="K170" s="132"/>
      <c r="L170" s="133"/>
      <c r="M170" s="134"/>
      <c r="N170" s="133"/>
      <c r="O170" s="134"/>
      <c r="P170" s="133"/>
      <c r="Q170" s="134"/>
      <c r="R170" s="132"/>
      <c r="S170" s="132"/>
      <c r="T170" s="133"/>
      <c r="U170" s="134"/>
      <c r="V170" s="132"/>
      <c r="W170" s="135"/>
      <c r="X170" s="136"/>
      <c r="Y170" s="132"/>
      <c r="Z170" s="132"/>
      <c r="AA170" s="132"/>
      <c r="AB170" s="132"/>
      <c r="AC170" s="132"/>
      <c r="AD170" s="135"/>
      <c r="AE170" s="136"/>
      <c r="AF170" s="132"/>
      <c r="AG170" s="137"/>
      <c r="AH170" s="132"/>
      <c r="AI170" s="132"/>
      <c r="AJ170" s="132"/>
      <c r="AK170" s="132"/>
      <c r="AL170" s="132"/>
      <c r="AM170" s="132"/>
      <c r="AN170" s="132"/>
      <c r="AO170" s="132"/>
      <c r="AP170" s="135"/>
      <c r="AQ170" s="136"/>
      <c r="AR170" s="132"/>
      <c r="AS170" s="132"/>
      <c r="AT170" s="132"/>
      <c r="AU170" s="135"/>
      <c r="AV170" s="136"/>
      <c r="AW170" s="132"/>
      <c r="AX170" s="132"/>
      <c r="AY170" s="135"/>
      <c r="AZ170" s="136"/>
      <c r="BA170" s="132"/>
      <c r="BB170" s="132"/>
      <c r="BC170" s="135"/>
      <c r="BD170" s="136"/>
      <c r="BE170" s="132"/>
      <c r="BF170" s="132"/>
      <c r="BG170" s="135"/>
      <c r="BH170" s="136"/>
      <c r="BI170" s="132"/>
      <c r="BJ170" s="132"/>
      <c r="BK170" s="132"/>
      <c r="BL170" s="135"/>
      <c r="BM170" s="136"/>
      <c r="BN170" s="132"/>
      <c r="BO170" s="132"/>
      <c r="BP170" s="135"/>
      <c r="BQ170" s="136"/>
      <c r="BR170" s="137"/>
      <c r="BS170" s="132"/>
      <c r="BT170" s="132"/>
      <c r="BU170" s="132"/>
      <c r="BV170" s="132"/>
      <c r="BW170" s="135"/>
      <c r="BX170" s="136"/>
      <c r="BY170" s="132"/>
      <c r="BZ170" s="132"/>
      <c r="CA170" s="135"/>
      <c r="CB170" s="136"/>
      <c r="CC170" s="132"/>
      <c r="CD170" s="132"/>
      <c r="CE170" s="132"/>
      <c r="CF170" s="132"/>
      <c r="CG170" s="135"/>
      <c r="CH170" s="136"/>
      <c r="CI170" s="136"/>
      <c r="CJ170" s="132"/>
      <c r="CK170" s="132"/>
      <c r="CL170" s="135"/>
      <c r="CM170" s="136"/>
      <c r="CN170" s="132"/>
      <c r="CO170" s="132"/>
      <c r="CP170" s="132"/>
      <c r="CQ170" s="132"/>
      <c r="CR170" s="137"/>
      <c r="CS170" s="132"/>
      <c r="CT170" s="132"/>
      <c r="CU170" s="132"/>
      <c r="CV170" s="137"/>
      <c r="CW170" s="132"/>
      <c r="CX170" s="132"/>
      <c r="CY170" s="132"/>
      <c r="CZ170" s="132"/>
      <c r="DA170" s="132"/>
      <c r="DB170" s="132"/>
      <c r="DC170" s="137"/>
      <c r="DD170" s="132"/>
      <c r="DE170" s="132"/>
      <c r="DF170" s="132"/>
      <c r="DG170" s="132">
        <f t="shared" si="8"/>
        <v>0</v>
      </c>
    </row>
    <row r="171" spans="1:113" s="125" customFormat="1" ht="17.100000000000001" customHeight="1" x14ac:dyDescent="0.25">
      <c r="A171" s="126"/>
      <c r="B171" s="127"/>
      <c r="C171" s="128"/>
      <c r="D171" s="204"/>
      <c r="E171" s="130"/>
      <c r="F171" s="128"/>
      <c r="G171" s="131"/>
      <c r="H171" s="132"/>
      <c r="I171" s="133"/>
      <c r="J171" s="134"/>
      <c r="K171" s="132"/>
      <c r="L171" s="133"/>
      <c r="M171" s="134"/>
      <c r="N171" s="133"/>
      <c r="O171" s="134"/>
      <c r="P171" s="133"/>
      <c r="Q171" s="134"/>
      <c r="R171" s="132"/>
      <c r="S171" s="132"/>
      <c r="T171" s="133"/>
      <c r="U171" s="134"/>
      <c r="V171" s="132"/>
      <c r="W171" s="135"/>
      <c r="X171" s="136"/>
      <c r="Y171" s="132"/>
      <c r="Z171" s="132"/>
      <c r="AA171" s="132"/>
      <c r="AB171" s="132"/>
      <c r="AC171" s="132"/>
      <c r="AD171" s="135"/>
      <c r="AE171" s="136"/>
      <c r="AF171" s="132"/>
      <c r="AG171" s="137"/>
      <c r="AH171" s="132"/>
      <c r="AI171" s="132"/>
      <c r="AJ171" s="132"/>
      <c r="AK171" s="132"/>
      <c r="AL171" s="132"/>
      <c r="AM171" s="132"/>
      <c r="AN171" s="132"/>
      <c r="AO171" s="132"/>
      <c r="AP171" s="135"/>
      <c r="AQ171" s="136"/>
      <c r="AR171" s="132"/>
      <c r="AS171" s="132"/>
      <c r="AT171" s="132"/>
      <c r="AU171" s="135"/>
      <c r="AV171" s="136"/>
      <c r="AW171" s="132"/>
      <c r="AX171" s="132"/>
      <c r="AY171" s="135"/>
      <c r="AZ171" s="136"/>
      <c r="BA171" s="132"/>
      <c r="BB171" s="132"/>
      <c r="BC171" s="135"/>
      <c r="BD171" s="136"/>
      <c r="BE171" s="132"/>
      <c r="BF171" s="132"/>
      <c r="BG171" s="135"/>
      <c r="BH171" s="136"/>
      <c r="BI171" s="132"/>
      <c r="BJ171" s="132"/>
      <c r="BK171" s="132"/>
      <c r="BL171" s="135"/>
      <c r="BM171" s="136"/>
      <c r="BN171" s="132"/>
      <c r="BO171" s="132"/>
      <c r="BP171" s="135"/>
      <c r="BQ171" s="136"/>
      <c r="BR171" s="137"/>
      <c r="BS171" s="132"/>
      <c r="BT171" s="132"/>
      <c r="BU171" s="132"/>
      <c r="BV171" s="132"/>
      <c r="BW171" s="135"/>
      <c r="BX171" s="136"/>
      <c r="BY171" s="132"/>
      <c r="BZ171" s="132"/>
      <c r="CA171" s="135"/>
      <c r="CB171" s="136"/>
      <c r="CC171" s="132"/>
      <c r="CD171" s="132"/>
      <c r="CE171" s="132"/>
      <c r="CF171" s="132"/>
      <c r="CG171" s="135"/>
      <c r="CH171" s="136"/>
      <c r="CI171" s="136"/>
      <c r="CJ171" s="132"/>
      <c r="CK171" s="132"/>
      <c r="CL171" s="135"/>
      <c r="CM171" s="136"/>
      <c r="CN171" s="132"/>
      <c r="CO171" s="132"/>
      <c r="CP171" s="132"/>
      <c r="CQ171" s="132"/>
      <c r="CR171" s="137"/>
      <c r="CS171" s="132"/>
      <c r="CT171" s="132"/>
      <c r="CU171" s="132"/>
      <c r="CV171" s="137"/>
      <c r="CW171" s="132"/>
      <c r="CX171" s="132"/>
      <c r="CY171" s="132"/>
      <c r="CZ171" s="132"/>
      <c r="DA171" s="132"/>
      <c r="DB171" s="132"/>
      <c r="DC171" s="137"/>
      <c r="DD171" s="132"/>
      <c r="DE171" s="132"/>
      <c r="DF171" s="132"/>
      <c r="DG171" s="132">
        <f t="shared" si="8"/>
        <v>0</v>
      </c>
    </row>
    <row r="172" spans="1:113" s="125" customFormat="1" ht="17.100000000000001" customHeight="1" x14ac:dyDescent="0.25">
      <c r="A172" s="126"/>
      <c r="B172" s="127"/>
      <c r="C172" s="128"/>
      <c r="D172" s="204"/>
      <c r="E172" s="130"/>
      <c r="F172" s="128"/>
      <c r="G172" s="131"/>
      <c r="H172" s="132"/>
      <c r="I172" s="133"/>
      <c r="J172" s="134"/>
      <c r="K172" s="132"/>
      <c r="L172" s="133"/>
      <c r="M172" s="134"/>
      <c r="N172" s="133"/>
      <c r="O172" s="134"/>
      <c r="P172" s="133"/>
      <c r="Q172" s="134"/>
      <c r="R172" s="132"/>
      <c r="S172" s="132"/>
      <c r="T172" s="133"/>
      <c r="U172" s="134"/>
      <c r="V172" s="132"/>
      <c r="W172" s="135"/>
      <c r="X172" s="136"/>
      <c r="Y172" s="132"/>
      <c r="Z172" s="132"/>
      <c r="AA172" s="132"/>
      <c r="AB172" s="132"/>
      <c r="AC172" s="132"/>
      <c r="AD172" s="135"/>
      <c r="AE172" s="136"/>
      <c r="AF172" s="132"/>
      <c r="AG172" s="137"/>
      <c r="AH172" s="132"/>
      <c r="AI172" s="132"/>
      <c r="AJ172" s="132"/>
      <c r="AK172" s="132"/>
      <c r="AL172" s="132"/>
      <c r="AM172" s="132"/>
      <c r="AN172" s="132"/>
      <c r="AO172" s="132"/>
      <c r="AP172" s="135"/>
      <c r="AQ172" s="136"/>
      <c r="AR172" s="132"/>
      <c r="AS172" s="132"/>
      <c r="AT172" s="132"/>
      <c r="AU172" s="135"/>
      <c r="AV172" s="136"/>
      <c r="AW172" s="132"/>
      <c r="AX172" s="132"/>
      <c r="AY172" s="135"/>
      <c r="AZ172" s="136"/>
      <c r="BA172" s="132"/>
      <c r="BB172" s="132"/>
      <c r="BC172" s="135"/>
      <c r="BD172" s="136"/>
      <c r="BE172" s="132"/>
      <c r="BF172" s="132"/>
      <c r="BG172" s="135"/>
      <c r="BH172" s="136"/>
      <c r="BI172" s="132"/>
      <c r="BJ172" s="132"/>
      <c r="BK172" s="132"/>
      <c r="BL172" s="135"/>
      <c r="BM172" s="136"/>
      <c r="BN172" s="132"/>
      <c r="BO172" s="132"/>
      <c r="BP172" s="135"/>
      <c r="BQ172" s="136"/>
      <c r="BR172" s="137"/>
      <c r="BS172" s="132"/>
      <c r="BT172" s="132"/>
      <c r="BU172" s="132"/>
      <c r="BV172" s="132"/>
      <c r="BW172" s="135"/>
      <c r="BX172" s="136"/>
      <c r="BY172" s="132"/>
      <c r="BZ172" s="132"/>
      <c r="CA172" s="135"/>
      <c r="CB172" s="136"/>
      <c r="CC172" s="132"/>
      <c r="CD172" s="132"/>
      <c r="CE172" s="132"/>
      <c r="CF172" s="132"/>
      <c r="CG172" s="135"/>
      <c r="CH172" s="136"/>
      <c r="CI172" s="136"/>
      <c r="CJ172" s="132"/>
      <c r="CK172" s="132"/>
      <c r="CL172" s="135"/>
      <c r="CM172" s="136"/>
      <c r="CN172" s="132"/>
      <c r="CO172" s="132"/>
      <c r="CP172" s="132"/>
      <c r="CQ172" s="132"/>
      <c r="CR172" s="137"/>
      <c r="CS172" s="132"/>
      <c r="CT172" s="132"/>
      <c r="CU172" s="132"/>
      <c r="CV172" s="137"/>
      <c r="CW172" s="132"/>
      <c r="CX172" s="132"/>
      <c r="CY172" s="132"/>
      <c r="CZ172" s="132"/>
      <c r="DA172" s="132"/>
      <c r="DB172" s="132"/>
      <c r="DC172" s="137"/>
      <c r="DD172" s="132"/>
      <c r="DE172" s="132"/>
      <c r="DF172" s="132"/>
      <c r="DG172" s="132">
        <f t="shared" si="8"/>
        <v>0</v>
      </c>
    </row>
    <row r="173" spans="1:113" s="125" customFormat="1" ht="17.100000000000001" customHeight="1" x14ac:dyDescent="0.25">
      <c r="A173" s="126"/>
      <c r="B173" s="127"/>
      <c r="C173" s="142"/>
      <c r="D173" s="204"/>
      <c r="E173" s="130"/>
      <c r="F173" s="128"/>
      <c r="G173" s="131"/>
      <c r="H173" s="132"/>
      <c r="I173" s="133"/>
      <c r="J173" s="134"/>
      <c r="K173" s="132"/>
      <c r="L173" s="133"/>
      <c r="M173" s="134"/>
      <c r="N173" s="133"/>
      <c r="O173" s="134"/>
      <c r="P173" s="133"/>
      <c r="Q173" s="134"/>
      <c r="R173" s="132"/>
      <c r="S173" s="132"/>
      <c r="T173" s="133"/>
      <c r="U173" s="134"/>
      <c r="V173" s="132"/>
      <c r="W173" s="135"/>
      <c r="X173" s="136"/>
      <c r="Y173" s="132"/>
      <c r="Z173" s="132"/>
      <c r="AA173" s="132"/>
      <c r="AB173" s="132"/>
      <c r="AC173" s="132"/>
      <c r="AD173" s="135"/>
      <c r="AE173" s="136"/>
      <c r="AF173" s="132"/>
      <c r="AG173" s="137"/>
      <c r="AH173" s="132"/>
      <c r="AI173" s="132"/>
      <c r="AJ173" s="132"/>
      <c r="AK173" s="132"/>
      <c r="AL173" s="132"/>
      <c r="AM173" s="132"/>
      <c r="AN173" s="132"/>
      <c r="AO173" s="132"/>
      <c r="AP173" s="135"/>
      <c r="AQ173" s="136"/>
      <c r="AR173" s="132"/>
      <c r="AS173" s="132"/>
      <c r="AT173" s="132"/>
      <c r="AU173" s="135"/>
      <c r="AV173" s="136"/>
      <c r="AW173" s="132"/>
      <c r="AX173" s="132"/>
      <c r="AY173" s="135"/>
      <c r="AZ173" s="136"/>
      <c r="BA173" s="132"/>
      <c r="BB173" s="132"/>
      <c r="BC173" s="135"/>
      <c r="BD173" s="136"/>
      <c r="BE173" s="132"/>
      <c r="BF173" s="132"/>
      <c r="BG173" s="135"/>
      <c r="BH173" s="136"/>
      <c r="BI173" s="132"/>
      <c r="BJ173" s="132"/>
      <c r="BK173" s="132"/>
      <c r="BL173" s="135"/>
      <c r="BM173" s="136"/>
      <c r="BN173" s="132"/>
      <c r="BO173" s="132"/>
      <c r="BP173" s="135"/>
      <c r="BQ173" s="136"/>
      <c r="BR173" s="137"/>
      <c r="BS173" s="132"/>
      <c r="BT173" s="132"/>
      <c r="BU173" s="132"/>
      <c r="BV173" s="132"/>
      <c r="BW173" s="135"/>
      <c r="BX173" s="136"/>
      <c r="BY173" s="132"/>
      <c r="BZ173" s="132"/>
      <c r="CA173" s="135"/>
      <c r="CB173" s="136"/>
      <c r="CC173" s="132"/>
      <c r="CD173" s="132"/>
      <c r="CE173" s="132"/>
      <c r="CF173" s="132"/>
      <c r="CG173" s="135"/>
      <c r="CH173" s="136"/>
      <c r="CI173" s="136"/>
      <c r="CJ173" s="132"/>
      <c r="CK173" s="132"/>
      <c r="CL173" s="135"/>
      <c r="CM173" s="136"/>
      <c r="CN173" s="132"/>
      <c r="CO173" s="132"/>
      <c r="CP173" s="132"/>
      <c r="CQ173" s="132"/>
      <c r="CR173" s="137"/>
      <c r="CS173" s="132"/>
      <c r="CT173" s="132"/>
      <c r="CU173" s="132"/>
      <c r="CV173" s="137"/>
      <c r="CW173" s="132"/>
      <c r="CX173" s="132"/>
      <c r="CY173" s="132"/>
      <c r="CZ173" s="132"/>
      <c r="DA173" s="132"/>
      <c r="DB173" s="132"/>
      <c r="DC173" s="137"/>
      <c r="DD173" s="132"/>
      <c r="DE173" s="132"/>
      <c r="DF173" s="132"/>
      <c r="DG173" s="132">
        <f t="shared" si="8"/>
        <v>0</v>
      </c>
    </row>
    <row r="174" spans="1:113" s="125" customFormat="1" ht="17.100000000000001" customHeight="1" x14ac:dyDescent="0.25">
      <c r="A174" s="126"/>
      <c r="B174" s="127"/>
      <c r="C174" s="142"/>
      <c r="D174" s="204"/>
      <c r="E174" s="130"/>
      <c r="F174" s="128"/>
      <c r="G174" s="131"/>
      <c r="H174" s="132"/>
      <c r="I174" s="133"/>
      <c r="J174" s="134"/>
      <c r="K174" s="132"/>
      <c r="L174" s="133"/>
      <c r="M174" s="134"/>
      <c r="N174" s="133"/>
      <c r="O174" s="134"/>
      <c r="P174" s="133"/>
      <c r="Q174" s="134"/>
      <c r="R174" s="132"/>
      <c r="S174" s="132"/>
      <c r="T174" s="133"/>
      <c r="U174" s="134"/>
      <c r="V174" s="132"/>
      <c r="W174" s="135"/>
      <c r="X174" s="136"/>
      <c r="Y174" s="132"/>
      <c r="Z174" s="132"/>
      <c r="AA174" s="132"/>
      <c r="AB174" s="132"/>
      <c r="AC174" s="132"/>
      <c r="AD174" s="135"/>
      <c r="AE174" s="136"/>
      <c r="AF174" s="132"/>
      <c r="AG174" s="137"/>
      <c r="AH174" s="132"/>
      <c r="AI174" s="132"/>
      <c r="AJ174" s="132"/>
      <c r="AK174" s="132"/>
      <c r="AL174" s="132"/>
      <c r="AM174" s="132"/>
      <c r="AN174" s="132"/>
      <c r="AO174" s="132"/>
      <c r="AP174" s="135"/>
      <c r="AQ174" s="136"/>
      <c r="AR174" s="132"/>
      <c r="AS174" s="132"/>
      <c r="AT174" s="132"/>
      <c r="AU174" s="135"/>
      <c r="AV174" s="136"/>
      <c r="AW174" s="132"/>
      <c r="AX174" s="132"/>
      <c r="AY174" s="135"/>
      <c r="AZ174" s="136"/>
      <c r="BA174" s="132"/>
      <c r="BB174" s="132"/>
      <c r="BC174" s="135"/>
      <c r="BD174" s="136"/>
      <c r="BE174" s="132"/>
      <c r="BF174" s="132"/>
      <c r="BG174" s="135"/>
      <c r="BH174" s="136"/>
      <c r="BI174" s="132"/>
      <c r="BJ174" s="132"/>
      <c r="BK174" s="132"/>
      <c r="BL174" s="135"/>
      <c r="BM174" s="136"/>
      <c r="BN174" s="132"/>
      <c r="BO174" s="132"/>
      <c r="BP174" s="135"/>
      <c r="BQ174" s="136"/>
      <c r="BR174" s="137"/>
      <c r="BS174" s="132"/>
      <c r="BT174" s="132"/>
      <c r="BU174" s="132"/>
      <c r="BV174" s="132"/>
      <c r="BW174" s="135"/>
      <c r="BX174" s="136"/>
      <c r="BY174" s="132"/>
      <c r="BZ174" s="132"/>
      <c r="CA174" s="135"/>
      <c r="CB174" s="136"/>
      <c r="CC174" s="132"/>
      <c r="CD174" s="132"/>
      <c r="CE174" s="132"/>
      <c r="CF174" s="132"/>
      <c r="CG174" s="135"/>
      <c r="CH174" s="136"/>
      <c r="CI174" s="136"/>
      <c r="CJ174" s="132"/>
      <c r="CK174" s="132"/>
      <c r="CL174" s="135"/>
      <c r="CM174" s="136"/>
      <c r="CN174" s="132"/>
      <c r="CO174" s="132"/>
      <c r="CP174" s="132"/>
      <c r="CQ174" s="132"/>
      <c r="CR174" s="137"/>
      <c r="CS174" s="132"/>
      <c r="CT174" s="132"/>
      <c r="CU174" s="132"/>
      <c r="CV174" s="137"/>
      <c r="CW174" s="132"/>
      <c r="CX174" s="132"/>
      <c r="CY174" s="132"/>
      <c r="CZ174" s="132"/>
      <c r="DA174" s="132"/>
      <c r="DB174" s="132"/>
      <c r="DC174" s="137"/>
      <c r="DD174" s="132"/>
      <c r="DE174" s="132"/>
      <c r="DF174" s="132"/>
      <c r="DG174" s="132">
        <f t="shared" si="8"/>
        <v>0</v>
      </c>
    </row>
    <row r="175" spans="1:113" s="125" customFormat="1" ht="17.100000000000001" customHeight="1" x14ac:dyDescent="0.25">
      <c r="A175" s="206"/>
      <c r="B175" s="207"/>
      <c r="C175" s="208"/>
      <c r="D175" s="209"/>
      <c r="E175" s="210"/>
      <c r="F175" s="208"/>
      <c r="G175" s="211"/>
      <c r="H175" s="212"/>
      <c r="I175" s="213"/>
      <c r="J175" s="214"/>
      <c r="K175" s="212"/>
      <c r="L175" s="213"/>
      <c r="M175" s="214"/>
      <c r="N175" s="213"/>
      <c r="O175" s="214"/>
      <c r="P175" s="213"/>
      <c r="Q175" s="214"/>
      <c r="R175" s="212"/>
      <c r="S175" s="212"/>
      <c r="T175" s="213"/>
      <c r="U175" s="214"/>
      <c r="V175" s="212"/>
      <c r="W175" s="215"/>
      <c r="X175" s="216"/>
      <c r="Y175" s="212"/>
      <c r="Z175" s="212"/>
      <c r="AA175" s="212"/>
      <c r="AB175" s="212"/>
      <c r="AC175" s="212"/>
      <c r="AD175" s="215"/>
      <c r="AE175" s="216"/>
      <c r="AF175" s="212"/>
      <c r="AG175" s="217"/>
      <c r="AH175" s="212"/>
      <c r="AI175" s="212"/>
      <c r="AJ175" s="212"/>
      <c r="AK175" s="212"/>
      <c r="AL175" s="212"/>
      <c r="AM175" s="212"/>
      <c r="AN175" s="212"/>
      <c r="AO175" s="212"/>
      <c r="AP175" s="215"/>
      <c r="AQ175" s="216"/>
      <c r="AR175" s="212"/>
      <c r="AS175" s="212"/>
      <c r="AT175" s="212"/>
      <c r="AU175" s="215"/>
      <c r="AV175" s="216"/>
      <c r="AW175" s="212"/>
      <c r="AX175" s="212"/>
      <c r="AY175" s="215"/>
      <c r="AZ175" s="216"/>
      <c r="BA175" s="212"/>
      <c r="BB175" s="212"/>
      <c r="BC175" s="215"/>
      <c r="BD175" s="216"/>
      <c r="BE175" s="212"/>
      <c r="BF175" s="212"/>
      <c r="BG175" s="215"/>
      <c r="BH175" s="216"/>
      <c r="BI175" s="212"/>
      <c r="BJ175" s="212"/>
      <c r="BK175" s="212"/>
      <c r="BL175" s="215"/>
      <c r="BM175" s="216"/>
      <c r="BN175" s="212"/>
      <c r="BO175" s="212"/>
      <c r="BP175" s="215"/>
      <c r="BQ175" s="216"/>
      <c r="BR175" s="217"/>
      <c r="BS175" s="212"/>
      <c r="BT175" s="212"/>
      <c r="BU175" s="212"/>
      <c r="BV175" s="212"/>
      <c r="BW175" s="215"/>
      <c r="BX175" s="216"/>
      <c r="BY175" s="212"/>
      <c r="BZ175" s="212"/>
      <c r="CA175" s="215"/>
      <c r="CB175" s="216"/>
      <c r="CC175" s="212"/>
      <c r="CD175" s="212"/>
      <c r="CE175" s="212"/>
      <c r="CF175" s="212"/>
      <c r="CG175" s="215"/>
      <c r="CH175" s="216"/>
      <c r="CI175" s="216"/>
      <c r="CJ175" s="212"/>
      <c r="CK175" s="212"/>
      <c r="CL175" s="215"/>
      <c r="CM175" s="216"/>
      <c r="CN175" s="212"/>
      <c r="CO175" s="212"/>
      <c r="CP175" s="212"/>
      <c r="CQ175" s="212"/>
      <c r="CR175" s="217"/>
      <c r="CS175" s="212"/>
      <c r="CT175" s="212"/>
      <c r="CU175" s="212"/>
      <c r="CV175" s="217"/>
      <c r="CW175" s="212"/>
      <c r="CX175" s="212"/>
      <c r="CY175" s="212"/>
      <c r="CZ175" s="212"/>
      <c r="DA175" s="212"/>
      <c r="DB175" s="212"/>
      <c r="DC175" s="217"/>
      <c r="DD175" s="212"/>
      <c r="DE175" s="212"/>
      <c r="DF175" s="212"/>
      <c r="DG175" s="212">
        <f t="shared" si="8"/>
        <v>0</v>
      </c>
    </row>
    <row r="176" spans="1:113" s="187" customFormat="1" ht="17.100000000000001" customHeight="1" thickBot="1" x14ac:dyDescent="0.3">
      <c r="A176" s="175"/>
      <c r="B176" s="176"/>
      <c r="C176" s="179"/>
      <c r="D176" s="205" t="s">
        <v>1108</v>
      </c>
      <c r="E176" s="178"/>
      <c r="F176" s="179"/>
      <c r="G176" s="180"/>
      <c r="H176" s="181"/>
      <c r="I176" s="182"/>
      <c r="J176" s="183"/>
      <c r="K176" s="181"/>
      <c r="L176" s="182"/>
      <c r="M176" s="183"/>
      <c r="N176" s="182"/>
      <c r="O176" s="183"/>
      <c r="P176" s="182"/>
      <c r="Q176" s="183"/>
      <c r="R176" s="181"/>
      <c r="S176" s="181"/>
      <c r="T176" s="182"/>
      <c r="U176" s="183"/>
      <c r="V176" s="181"/>
      <c r="W176" s="184"/>
      <c r="X176" s="185"/>
      <c r="Y176" s="181"/>
      <c r="Z176" s="181"/>
      <c r="AA176" s="181"/>
      <c r="AB176" s="181"/>
      <c r="AC176" s="181"/>
      <c r="AD176" s="184"/>
      <c r="AE176" s="185"/>
      <c r="AF176" s="181"/>
      <c r="AG176" s="186"/>
      <c r="AH176" s="181"/>
      <c r="AI176" s="181"/>
      <c r="AJ176" s="181"/>
      <c r="AK176" s="181"/>
      <c r="AL176" s="181"/>
      <c r="AM176" s="181"/>
      <c r="AN176" s="181"/>
      <c r="AO176" s="181"/>
      <c r="AP176" s="184"/>
      <c r="AQ176" s="185"/>
      <c r="AR176" s="181"/>
      <c r="AS176" s="181"/>
      <c r="AT176" s="181"/>
      <c r="AU176" s="184"/>
      <c r="AV176" s="185"/>
      <c r="AW176" s="181"/>
      <c r="AX176" s="181"/>
      <c r="AY176" s="184"/>
      <c r="AZ176" s="185"/>
      <c r="BA176" s="181"/>
      <c r="BB176" s="181"/>
      <c r="BC176" s="184"/>
      <c r="BD176" s="185"/>
      <c r="BE176" s="181"/>
      <c r="BF176" s="181"/>
      <c r="BG176" s="184"/>
      <c r="BH176" s="185"/>
      <c r="BI176" s="181"/>
      <c r="BJ176" s="181"/>
      <c r="BK176" s="181"/>
      <c r="BL176" s="184"/>
      <c r="BM176" s="185"/>
      <c r="BN176" s="181"/>
      <c r="BO176" s="181"/>
      <c r="BP176" s="184"/>
      <c r="BQ176" s="185"/>
      <c r="BR176" s="186"/>
      <c r="BS176" s="181"/>
      <c r="BT176" s="181"/>
      <c r="BU176" s="181"/>
      <c r="BV176" s="181"/>
      <c r="BW176" s="184"/>
      <c r="BX176" s="185"/>
      <c r="BY176" s="181"/>
      <c r="BZ176" s="181"/>
      <c r="CA176" s="184"/>
      <c r="CB176" s="185"/>
      <c r="CC176" s="181"/>
      <c r="CD176" s="181"/>
      <c r="CE176" s="181"/>
      <c r="CF176" s="181"/>
      <c r="CG176" s="184"/>
      <c r="CH176" s="185"/>
      <c r="CI176" s="185"/>
      <c r="CJ176" s="181"/>
      <c r="CK176" s="181"/>
      <c r="CL176" s="184"/>
      <c r="CM176" s="185"/>
      <c r="CN176" s="181"/>
      <c r="CO176" s="181"/>
      <c r="CP176" s="181"/>
      <c r="CQ176" s="181"/>
      <c r="CR176" s="186"/>
      <c r="CS176" s="181"/>
      <c r="CT176" s="181"/>
      <c r="CU176" s="181"/>
      <c r="CV176" s="186"/>
      <c r="CW176" s="181"/>
      <c r="CX176" s="181"/>
      <c r="CY176" s="181"/>
      <c r="CZ176" s="181"/>
      <c r="DA176" s="181"/>
      <c r="DB176" s="181"/>
      <c r="DC176" s="186"/>
      <c r="DD176" s="181"/>
      <c r="DE176" s="181"/>
      <c r="DF176" s="181"/>
      <c r="DG176" s="181">
        <f t="shared" ref="DG176" si="9">SUM(DG164:DG175)</f>
        <v>0</v>
      </c>
      <c r="DI176" s="125"/>
    </row>
    <row r="177" spans="1:113" s="125" customFormat="1" ht="17.100000000000001" customHeight="1" thickTop="1" x14ac:dyDescent="0.25">
      <c r="A177" s="126"/>
      <c r="B177" s="127"/>
      <c r="C177" s="142"/>
      <c r="D177" s="204"/>
      <c r="E177" s="130"/>
      <c r="F177" s="128"/>
      <c r="G177" s="131"/>
      <c r="H177" s="132"/>
      <c r="I177" s="133"/>
      <c r="J177" s="134"/>
      <c r="K177" s="132"/>
      <c r="L177" s="133"/>
      <c r="M177" s="134"/>
      <c r="N177" s="133"/>
      <c r="O177" s="134"/>
      <c r="P177" s="133"/>
      <c r="Q177" s="134"/>
      <c r="R177" s="132"/>
      <c r="S177" s="132"/>
      <c r="T177" s="133"/>
      <c r="U177" s="134"/>
      <c r="V177" s="132"/>
      <c r="W177" s="135"/>
      <c r="X177" s="136"/>
      <c r="Y177" s="132"/>
      <c r="Z177" s="132"/>
      <c r="AA177" s="132"/>
      <c r="AB177" s="132"/>
      <c r="AC177" s="132"/>
      <c r="AD177" s="135"/>
      <c r="AE177" s="136"/>
      <c r="AF177" s="132"/>
      <c r="AG177" s="137"/>
      <c r="AH177" s="132"/>
      <c r="AI177" s="132"/>
      <c r="AJ177" s="132"/>
      <c r="AK177" s="132"/>
      <c r="AL177" s="132"/>
      <c r="AM177" s="132"/>
      <c r="AN177" s="132"/>
      <c r="AO177" s="132"/>
      <c r="AP177" s="135"/>
      <c r="AQ177" s="136"/>
      <c r="AR177" s="132"/>
      <c r="AS177" s="132"/>
      <c r="AT177" s="132"/>
      <c r="AU177" s="135"/>
      <c r="AV177" s="136"/>
      <c r="AW177" s="132"/>
      <c r="AX177" s="132"/>
      <c r="AY177" s="135"/>
      <c r="AZ177" s="136"/>
      <c r="BA177" s="132"/>
      <c r="BB177" s="132"/>
      <c r="BC177" s="135"/>
      <c r="BD177" s="136"/>
      <c r="BE177" s="132"/>
      <c r="BF177" s="132"/>
      <c r="BG177" s="135"/>
      <c r="BH177" s="136"/>
      <c r="BI177" s="132"/>
      <c r="BJ177" s="132"/>
      <c r="BK177" s="132"/>
      <c r="BL177" s="135"/>
      <c r="BM177" s="136"/>
      <c r="BN177" s="132"/>
      <c r="BO177" s="132"/>
      <c r="BP177" s="135"/>
      <c r="BQ177" s="136"/>
      <c r="BR177" s="137"/>
      <c r="BS177" s="132"/>
      <c r="BT177" s="132"/>
      <c r="BU177" s="132"/>
      <c r="BV177" s="132"/>
      <c r="BW177" s="135"/>
      <c r="BX177" s="136"/>
      <c r="BY177" s="132"/>
      <c r="BZ177" s="132"/>
      <c r="CA177" s="135"/>
      <c r="CB177" s="136"/>
      <c r="CC177" s="132"/>
      <c r="CD177" s="132"/>
      <c r="CE177" s="132"/>
      <c r="CF177" s="132"/>
      <c r="CG177" s="135"/>
      <c r="CH177" s="136"/>
      <c r="CI177" s="136"/>
      <c r="CJ177" s="132"/>
      <c r="CK177" s="132"/>
      <c r="CL177" s="135"/>
      <c r="CM177" s="136"/>
      <c r="CN177" s="132"/>
      <c r="CO177" s="132"/>
      <c r="CP177" s="132"/>
      <c r="CQ177" s="132"/>
      <c r="CR177" s="137"/>
      <c r="CS177" s="132"/>
      <c r="CT177" s="132"/>
      <c r="CU177" s="132"/>
      <c r="CV177" s="137"/>
      <c r="CW177" s="132"/>
      <c r="CX177" s="132"/>
      <c r="CY177" s="132"/>
      <c r="CZ177" s="132"/>
      <c r="DA177" s="132"/>
      <c r="DB177" s="132"/>
      <c r="DC177" s="137"/>
      <c r="DD177" s="132"/>
      <c r="DE177" s="132"/>
      <c r="DF177" s="132"/>
      <c r="DG177" s="132">
        <f>SUM(H177,J177,K177,M177,O177,Q177,R177,S177,U177,V177,X177,Y177,Z177,AA177,AB177,AC177,AE177,AF177,AH177,AI177,AJ177,AK177,AL177,AM177,AN177,AO177,AQ177,AR177,AS177,AT177,AV177,AW177,AX177,AZ177,BA177,BB177,BD177,BE177,BF177,BH177,BI177,BJ177,BK177,BM177,BN177,BO177,BQ177,BS177,BT177,BU177,BV177,BX177,BY177,BZ177,CB177,CC177,CD177,CE177,CF177,CH177,CI177,CJ177,CK177,CM177,CN177,CO177,CP177,CQ177,CS177,CT177,CU177,CW177,CX177,CY177,CZ177,DA177,DB177,DD177)</f>
        <v>0</v>
      </c>
    </row>
    <row r="178" spans="1:113" s="125" customFormat="1" ht="17.100000000000001" customHeight="1" x14ac:dyDescent="0.25">
      <c r="A178" s="126"/>
      <c r="B178" s="127"/>
      <c r="C178" s="142"/>
      <c r="D178" s="218"/>
      <c r="E178" s="130"/>
      <c r="F178" s="128"/>
      <c r="G178" s="131"/>
      <c r="H178" s="132"/>
      <c r="I178" s="133"/>
      <c r="J178" s="134"/>
      <c r="K178" s="132"/>
      <c r="L178" s="133"/>
      <c r="M178" s="134"/>
      <c r="N178" s="133"/>
      <c r="O178" s="134"/>
      <c r="P178" s="133"/>
      <c r="Q178" s="134"/>
      <c r="R178" s="132"/>
      <c r="S178" s="132"/>
      <c r="T178" s="133"/>
      <c r="U178" s="134"/>
      <c r="V178" s="132"/>
      <c r="W178" s="135"/>
      <c r="X178" s="136"/>
      <c r="Y178" s="132"/>
      <c r="Z178" s="132"/>
      <c r="AA178" s="132"/>
      <c r="AB178" s="132"/>
      <c r="AC178" s="132"/>
      <c r="AD178" s="135"/>
      <c r="AE178" s="136"/>
      <c r="AF178" s="132"/>
      <c r="AG178" s="137"/>
      <c r="AH178" s="132"/>
      <c r="AI178" s="132"/>
      <c r="AJ178" s="132"/>
      <c r="AK178" s="132"/>
      <c r="AL178" s="132"/>
      <c r="AM178" s="132"/>
      <c r="AN178" s="132"/>
      <c r="AO178" s="132"/>
      <c r="AP178" s="135"/>
      <c r="AQ178" s="136"/>
      <c r="AR178" s="132"/>
      <c r="AS178" s="132"/>
      <c r="AT178" s="132"/>
      <c r="AU178" s="135"/>
      <c r="AV178" s="136"/>
      <c r="AW178" s="132"/>
      <c r="AX178" s="132"/>
      <c r="AY178" s="135"/>
      <c r="AZ178" s="136"/>
      <c r="BA178" s="132"/>
      <c r="BB178" s="132"/>
      <c r="BC178" s="135"/>
      <c r="BD178" s="136"/>
      <c r="BE178" s="132"/>
      <c r="BF178" s="132"/>
      <c r="BG178" s="135"/>
      <c r="BH178" s="136"/>
      <c r="BI178" s="132"/>
      <c r="BJ178" s="132"/>
      <c r="BK178" s="132"/>
      <c r="BL178" s="135"/>
      <c r="BM178" s="136"/>
      <c r="BN178" s="132"/>
      <c r="BO178" s="132"/>
      <c r="BP178" s="135"/>
      <c r="BQ178" s="136"/>
      <c r="BR178" s="137"/>
      <c r="BS178" s="132"/>
      <c r="BT178" s="132"/>
      <c r="BU178" s="132"/>
      <c r="BV178" s="132"/>
      <c r="BW178" s="135"/>
      <c r="BX178" s="136"/>
      <c r="BY178" s="132"/>
      <c r="BZ178" s="132"/>
      <c r="CA178" s="135"/>
      <c r="CB178" s="136"/>
      <c r="CC178" s="132"/>
      <c r="CD178" s="132"/>
      <c r="CE178" s="132"/>
      <c r="CF178" s="132"/>
      <c r="CG178" s="135"/>
      <c r="CH178" s="136"/>
      <c r="CI178" s="136"/>
      <c r="CJ178" s="132"/>
      <c r="CK178" s="132"/>
      <c r="CL178" s="135"/>
      <c r="CM178" s="136"/>
      <c r="CN178" s="132"/>
      <c r="CO178" s="132"/>
      <c r="CP178" s="132"/>
      <c r="CQ178" s="132"/>
      <c r="CR178" s="137"/>
      <c r="CS178" s="132"/>
      <c r="CT178" s="132"/>
      <c r="CU178" s="132"/>
      <c r="CV178" s="137"/>
      <c r="CW178" s="132"/>
      <c r="CX178" s="132"/>
      <c r="CY178" s="132"/>
      <c r="CZ178" s="132"/>
      <c r="DA178" s="132"/>
      <c r="DB178" s="132"/>
      <c r="DC178" s="137"/>
      <c r="DD178" s="132"/>
      <c r="DE178" s="132"/>
      <c r="DF178" s="132"/>
      <c r="DG178" s="132">
        <f>SUM(H178,J178,K178,M178,O178,Q178,R178,S178,U178,V178,X178,Y178,Z178,AA178,AB178,AC178,AE178,AF178,AH178,AI178,AJ178,AK178,AL178,AM178,AN178,AO178,AQ178,AR178,AS178,AT178,AV178,AW178,AX178,AZ178,BA178,BB178,BD178,BE178,BF178,BH178,BI178,BJ178,BK178,BM178,BN178,BO178,BQ178,BS178,BT178,BU178,BV178,BX178,BY178,BZ178,CB178,CC178,CD178,CE178,CF178,CH178,CI178,CJ178,CK178,CM178,CN178,CO178,CP178,CQ178,CS178,CT178,CU178,CW178,CX178,CY178,CZ178,DA178,DB178,DD178)</f>
        <v>0</v>
      </c>
    </row>
    <row r="179" spans="1:113" s="125" customFormat="1" ht="17.100000000000001" customHeight="1" x14ac:dyDescent="0.25">
      <c r="A179" s="126"/>
      <c r="B179" s="127"/>
      <c r="C179" s="142"/>
      <c r="D179" s="204"/>
      <c r="E179" s="130"/>
      <c r="F179" s="128"/>
      <c r="G179" s="131"/>
      <c r="H179" s="132"/>
      <c r="I179" s="133"/>
      <c r="J179" s="134"/>
      <c r="K179" s="132"/>
      <c r="L179" s="133"/>
      <c r="M179" s="134"/>
      <c r="N179" s="133"/>
      <c r="O179" s="134"/>
      <c r="P179" s="133"/>
      <c r="Q179" s="134"/>
      <c r="R179" s="132"/>
      <c r="S179" s="132"/>
      <c r="T179" s="133"/>
      <c r="U179" s="134"/>
      <c r="V179" s="132"/>
      <c r="W179" s="135"/>
      <c r="X179" s="136"/>
      <c r="Y179" s="132"/>
      <c r="Z179" s="132"/>
      <c r="AA179" s="132"/>
      <c r="AB179" s="132"/>
      <c r="AC179" s="132"/>
      <c r="AD179" s="135"/>
      <c r="AE179" s="136"/>
      <c r="AF179" s="132"/>
      <c r="AG179" s="137"/>
      <c r="AH179" s="132"/>
      <c r="AI179" s="132"/>
      <c r="AJ179" s="132"/>
      <c r="AK179" s="132"/>
      <c r="AL179" s="132"/>
      <c r="AM179" s="132"/>
      <c r="AN179" s="132"/>
      <c r="AO179" s="132"/>
      <c r="AP179" s="135"/>
      <c r="AQ179" s="136"/>
      <c r="AR179" s="132"/>
      <c r="AS179" s="132"/>
      <c r="AT179" s="132"/>
      <c r="AU179" s="135"/>
      <c r="AV179" s="136"/>
      <c r="AW179" s="132"/>
      <c r="AX179" s="132"/>
      <c r="AY179" s="135"/>
      <c r="AZ179" s="136"/>
      <c r="BA179" s="132"/>
      <c r="BB179" s="132"/>
      <c r="BC179" s="135"/>
      <c r="BD179" s="136"/>
      <c r="BE179" s="132"/>
      <c r="BF179" s="132"/>
      <c r="BG179" s="135"/>
      <c r="BH179" s="136"/>
      <c r="BI179" s="132"/>
      <c r="BJ179" s="132"/>
      <c r="BK179" s="132"/>
      <c r="BL179" s="135"/>
      <c r="BM179" s="136"/>
      <c r="BN179" s="132"/>
      <c r="BO179" s="132"/>
      <c r="BP179" s="135"/>
      <c r="BQ179" s="136"/>
      <c r="BR179" s="137"/>
      <c r="BS179" s="132"/>
      <c r="BT179" s="132"/>
      <c r="BU179" s="132"/>
      <c r="BV179" s="132"/>
      <c r="BW179" s="135"/>
      <c r="BX179" s="136"/>
      <c r="BY179" s="132"/>
      <c r="BZ179" s="132"/>
      <c r="CA179" s="135"/>
      <c r="CB179" s="136"/>
      <c r="CC179" s="132"/>
      <c r="CD179" s="132"/>
      <c r="CE179" s="132"/>
      <c r="CF179" s="132"/>
      <c r="CG179" s="135"/>
      <c r="CH179" s="136"/>
      <c r="CI179" s="136"/>
      <c r="CJ179" s="132"/>
      <c r="CK179" s="132"/>
      <c r="CL179" s="135"/>
      <c r="CM179" s="136"/>
      <c r="CN179" s="132"/>
      <c r="CO179" s="132"/>
      <c r="CP179" s="132"/>
      <c r="CQ179" s="132"/>
      <c r="CR179" s="137"/>
      <c r="CS179" s="132"/>
      <c r="CT179" s="132"/>
      <c r="CU179" s="132"/>
      <c r="CV179" s="137"/>
      <c r="CW179" s="132"/>
      <c r="CX179" s="132"/>
      <c r="CY179" s="132"/>
      <c r="CZ179" s="132"/>
      <c r="DA179" s="132"/>
      <c r="DB179" s="132"/>
      <c r="DC179" s="137"/>
      <c r="DD179" s="132"/>
      <c r="DE179" s="132"/>
      <c r="DF179" s="132"/>
      <c r="DG179" s="132">
        <f>SUM(H179,J179,K179,M179,O179,Q179,R179,S179,U179,V179,X179,Y179,Z179,AA179,AB179,AC179,AE179,AF179,AH179,AI179,AJ179,AK179,AL179,AM179,AN179,AO179,AQ179,AR179,AS179,AT179,AV179,AW179,AX179,AZ179,BA179,BB179,BD179,BE179,BF179,BH179,BI179,BJ179,BK179,BM179,BN179,BO179,BQ179,BS179,BT179,BU179,BV179,BX179,BY179,BZ179,CB179,CC179,CD179,CE179,CF179,CH179,CI179,CJ179,CK179,CM179,CN179,CO179,CP179,CQ179,CS179,CT179,CU179,CW179,CX179,CY179,CZ179,DA179,DB179,DD179)</f>
        <v>0</v>
      </c>
    </row>
    <row r="180" spans="1:113" s="125" customFormat="1" ht="17.100000000000001" customHeight="1" x14ac:dyDescent="0.25">
      <c r="A180" s="126"/>
      <c r="B180" s="127"/>
      <c r="C180" s="142"/>
      <c r="D180" s="219"/>
      <c r="E180" s="130"/>
      <c r="F180" s="144"/>
      <c r="G180" s="138"/>
      <c r="H180" s="132"/>
      <c r="I180" s="133"/>
      <c r="J180" s="134"/>
      <c r="K180" s="132"/>
      <c r="L180" s="133"/>
      <c r="M180" s="134"/>
      <c r="N180" s="133"/>
      <c r="O180" s="134"/>
      <c r="P180" s="133"/>
      <c r="Q180" s="134"/>
      <c r="R180" s="132"/>
      <c r="S180" s="132"/>
      <c r="T180" s="133"/>
      <c r="U180" s="134"/>
      <c r="V180" s="132"/>
      <c r="W180" s="135"/>
      <c r="X180" s="136"/>
      <c r="Y180" s="132"/>
      <c r="Z180" s="132"/>
      <c r="AA180" s="132"/>
      <c r="AB180" s="132"/>
      <c r="AC180" s="132"/>
      <c r="AD180" s="135"/>
      <c r="AE180" s="136"/>
      <c r="AF180" s="132"/>
      <c r="AG180" s="137"/>
      <c r="AH180" s="132"/>
      <c r="AI180" s="132"/>
      <c r="AJ180" s="132"/>
      <c r="AK180" s="132"/>
      <c r="AL180" s="132"/>
      <c r="AM180" s="132"/>
      <c r="AN180" s="132"/>
      <c r="AO180" s="132"/>
      <c r="AP180" s="135"/>
      <c r="AQ180" s="136"/>
      <c r="AR180" s="132"/>
      <c r="AS180" s="132"/>
      <c r="AT180" s="132"/>
      <c r="AU180" s="135"/>
      <c r="AV180" s="136"/>
      <c r="AW180" s="132"/>
      <c r="AX180" s="132"/>
      <c r="AY180" s="135"/>
      <c r="AZ180" s="136"/>
      <c r="BA180" s="132"/>
      <c r="BB180" s="132"/>
      <c r="BC180" s="135"/>
      <c r="BD180" s="136"/>
      <c r="BE180" s="132"/>
      <c r="BF180" s="132"/>
      <c r="BG180" s="135"/>
      <c r="BH180" s="136"/>
      <c r="BI180" s="132"/>
      <c r="BJ180" s="132"/>
      <c r="BK180" s="132"/>
      <c r="BL180" s="135"/>
      <c r="BM180" s="136"/>
      <c r="BN180" s="132"/>
      <c r="BO180" s="132"/>
      <c r="BP180" s="135"/>
      <c r="BQ180" s="136"/>
      <c r="BR180" s="137"/>
      <c r="BS180" s="132"/>
      <c r="BT180" s="132"/>
      <c r="BU180" s="132"/>
      <c r="BV180" s="132"/>
      <c r="BW180" s="135"/>
      <c r="BX180" s="136"/>
      <c r="BY180" s="132"/>
      <c r="BZ180" s="132"/>
      <c r="CA180" s="135"/>
      <c r="CB180" s="136"/>
      <c r="CC180" s="132"/>
      <c r="CD180" s="132"/>
      <c r="CE180" s="132"/>
      <c r="CF180" s="132"/>
      <c r="CG180" s="135"/>
      <c r="CH180" s="136"/>
      <c r="CI180" s="136"/>
      <c r="CJ180" s="132"/>
      <c r="CK180" s="132"/>
      <c r="CL180" s="135"/>
      <c r="CM180" s="136"/>
      <c r="CN180" s="140"/>
      <c r="CO180" s="132"/>
      <c r="CP180" s="132"/>
      <c r="CQ180" s="140"/>
      <c r="CR180" s="141"/>
      <c r="CS180" s="140"/>
      <c r="CT180" s="132"/>
      <c r="CU180" s="132"/>
      <c r="CV180" s="137"/>
      <c r="CW180" s="132"/>
      <c r="CX180" s="132"/>
      <c r="CY180" s="132"/>
      <c r="CZ180" s="132"/>
      <c r="DA180" s="132"/>
      <c r="DB180" s="132"/>
      <c r="DC180" s="137"/>
      <c r="DD180" s="132"/>
      <c r="DE180" s="132"/>
      <c r="DF180" s="132"/>
      <c r="DG180" s="132">
        <f>SUM(H180,J180,K180,M180,O180,Q180,R180,S180,U180,V180,X180,Y180,Z180,AA180,AB180,AC180,AE180,AF180,AH180,AI180,AJ180,AK180,AL180,AM180,AN180,AO180,AQ180,AR180,AS180,AT180,AV180,AW180,AX180,AZ180,BA180,BB180,BD180,BE180,BF180,BH180,BI180,BJ180,BK180,BM180,BN180,BO180,BQ180,BS180,BT180,BU180,BV180,BX180,BY180,BZ180,CB180,CC180,CD180,CE180,CF180,CH180,CI180,CJ180,CK180,CM180,CN180,CO180,CP180,CQ180,CS180,CT180,CU180,CW180,CX180,CY180,CZ180,DA180,DB180,DD180)</f>
        <v>0</v>
      </c>
    </row>
    <row r="181" spans="1:113" s="187" customFormat="1" ht="17.100000000000001" customHeight="1" thickBot="1" x14ac:dyDescent="0.3">
      <c r="A181" s="175"/>
      <c r="B181" s="176"/>
      <c r="C181" s="179"/>
      <c r="D181" s="205" t="s">
        <v>1643</v>
      </c>
      <c r="E181" s="178"/>
      <c r="F181" s="179"/>
      <c r="G181" s="180"/>
      <c r="H181" s="181"/>
      <c r="I181" s="182"/>
      <c r="J181" s="183"/>
      <c r="K181" s="181"/>
      <c r="L181" s="182"/>
      <c r="M181" s="183"/>
      <c r="N181" s="182"/>
      <c r="O181" s="183"/>
      <c r="P181" s="182"/>
      <c r="Q181" s="183"/>
      <c r="R181" s="181"/>
      <c r="S181" s="181"/>
      <c r="T181" s="182"/>
      <c r="U181" s="183"/>
      <c r="V181" s="181"/>
      <c r="W181" s="184"/>
      <c r="X181" s="185"/>
      <c r="Y181" s="181"/>
      <c r="Z181" s="181"/>
      <c r="AA181" s="181"/>
      <c r="AB181" s="181"/>
      <c r="AC181" s="181"/>
      <c r="AD181" s="184"/>
      <c r="AE181" s="185"/>
      <c r="AF181" s="181"/>
      <c r="AG181" s="186"/>
      <c r="AH181" s="181"/>
      <c r="AI181" s="181"/>
      <c r="AJ181" s="181"/>
      <c r="AK181" s="181"/>
      <c r="AL181" s="181"/>
      <c r="AM181" s="181"/>
      <c r="AN181" s="181"/>
      <c r="AO181" s="181"/>
      <c r="AP181" s="184"/>
      <c r="AQ181" s="185"/>
      <c r="AR181" s="181"/>
      <c r="AS181" s="181"/>
      <c r="AT181" s="181"/>
      <c r="AU181" s="184"/>
      <c r="AV181" s="185"/>
      <c r="AW181" s="181"/>
      <c r="AX181" s="181"/>
      <c r="AY181" s="184"/>
      <c r="AZ181" s="185"/>
      <c r="BA181" s="181"/>
      <c r="BB181" s="181"/>
      <c r="BC181" s="184"/>
      <c r="BD181" s="185"/>
      <c r="BE181" s="181"/>
      <c r="BF181" s="181"/>
      <c r="BG181" s="184"/>
      <c r="BH181" s="185"/>
      <c r="BI181" s="181"/>
      <c r="BJ181" s="181"/>
      <c r="BK181" s="181"/>
      <c r="BL181" s="184"/>
      <c r="BM181" s="185"/>
      <c r="BN181" s="181"/>
      <c r="BO181" s="181"/>
      <c r="BP181" s="184"/>
      <c r="BQ181" s="185"/>
      <c r="BR181" s="186"/>
      <c r="BS181" s="181"/>
      <c r="BT181" s="181"/>
      <c r="BU181" s="181"/>
      <c r="BV181" s="181"/>
      <c r="BW181" s="184"/>
      <c r="BX181" s="185"/>
      <c r="BY181" s="181"/>
      <c r="BZ181" s="181"/>
      <c r="CA181" s="184"/>
      <c r="CB181" s="185"/>
      <c r="CC181" s="181"/>
      <c r="CD181" s="181"/>
      <c r="CE181" s="181"/>
      <c r="CF181" s="181"/>
      <c r="CG181" s="184"/>
      <c r="CH181" s="185"/>
      <c r="CI181" s="185"/>
      <c r="CJ181" s="181"/>
      <c r="CK181" s="181"/>
      <c r="CL181" s="184"/>
      <c r="CM181" s="185"/>
      <c r="CN181" s="181"/>
      <c r="CO181" s="181"/>
      <c r="CP181" s="181"/>
      <c r="CQ181" s="181"/>
      <c r="CR181" s="186"/>
      <c r="CS181" s="181"/>
      <c r="CT181" s="181"/>
      <c r="CU181" s="181"/>
      <c r="CV181" s="186"/>
      <c r="CW181" s="181"/>
      <c r="CX181" s="181"/>
      <c r="CY181" s="181"/>
      <c r="CZ181" s="181"/>
      <c r="DA181" s="181"/>
      <c r="DB181" s="181"/>
      <c r="DC181" s="186"/>
      <c r="DD181" s="181"/>
      <c r="DE181" s="181"/>
      <c r="DF181" s="181"/>
      <c r="DG181" s="181">
        <f t="shared" ref="DG181" si="10">SUM(DG177:DG180)</f>
        <v>0</v>
      </c>
      <c r="DI181" s="125"/>
    </row>
    <row r="182" spans="1:113" s="125" customFormat="1" ht="17.100000000000001" customHeight="1" thickTop="1" x14ac:dyDescent="0.25">
      <c r="A182" s="126"/>
      <c r="B182" s="220"/>
      <c r="C182" s="221"/>
      <c r="D182" s="222"/>
      <c r="E182" s="223"/>
      <c r="F182" s="128"/>
      <c r="G182" s="131"/>
      <c r="H182" s="132"/>
      <c r="I182" s="133"/>
      <c r="J182" s="134"/>
      <c r="K182" s="132"/>
      <c r="L182" s="133"/>
      <c r="M182" s="134"/>
      <c r="N182" s="133"/>
      <c r="O182" s="134"/>
      <c r="P182" s="133"/>
      <c r="Q182" s="134"/>
      <c r="R182" s="132"/>
      <c r="S182" s="132"/>
      <c r="T182" s="133"/>
      <c r="U182" s="134"/>
      <c r="V182" s="132"/>
      <c r="W182" s="135"/>
      <c r="X182" s="136"/>
      <c r="Y182" s="132"/>
      <c r="Z182" s="132"/>
      <c r="AA182" s="132"/>
      <c r="AB182" s="132"/>
      <c r="AC182" s="132"/>
      <c r="AD182" s="135"/>
      <c r="AE182" s="136"/>
      <c r="AF182" s="132"/>
      <c r="AG182" s="137"/>
      <c r="AH182" s="132"/>
      <c r="AI182" s="132"/>
      <c r="AJ182" s="132"/>
      <c r="AK182" s="132"/>
      <c r="AL182" s="132"/>
      <c r="AM182" s="132"/>
      <c r="AN182" s="132"/>
      <c r="AO182" s="132"/>
      <c r="AP182" s="135"/>
      <c r="AQ182" s="136"/>
      <c r="AR182" s="132"/>
      <c r="AS182" s="132"/>
      <c r="AT182" s="132"/>
      <c r="AU182" s="135"/>
      <c r="AV182" s="136"/>
      <c r="AW182" s="132"/>
      <c r="AX182" s="132"/>
      <c r="AY182" s="135"/>
      <c r="AZ182" s="136"/>
      <c r="BA182" s="132"/>
      <c r="BB182" s="132"/>
      <c r="BC182" s="135"/>
      <c r="BD182" s="136"/>
      <c r="BE182" s="132"/>
      <c r="BF182" s="132"/>
      <c r="BG182" s="135"/>
      <c r="BH182" s="136"/>
      <c r="BI182" s="132"/>
      <c r="BJ182" s="132"/>
      <c r="BK182" s="132"/>
      <c r="BL182" s="135"/>
      <c r="BM182" s="136"/>
      <c r="BN182" s="132"/>
      <c r="BO182" s="132"/>
      <c r="BP182" s="135"/>
      <c r="BQ182" s="136"/>
      <c r="BR182" s="137"/>
      <c r="BS182" s="132"/>
      <c r="BT182" s="132"/>
      <c r="BU182" s="132"/>
      <c r="BV182" s="132"/>
      <c r="BW182" s="135"/>
      <c r="BX182" s="136"/>
      <c r="BY182" s="132"/>
      <c r="BZ182" s="132"/>
      <c r="CA182" s="135"/>
      <c r="CB182" s="136"/>
      <c r="CC182" s="132"/>
      <c r="CD182" s="132"/>
      <c r="CE182" s="132"/>
      <c r="CF182" s="132"/>
      <c r="CG182" s="135"/>
      <c r="CH182" s="136"/>
      <c r="CI182" s="136"/>
      <c r="CJ182" s="132"/>
      <c r="CK182" s="132"/>
      <c r="CL182" s="135"/>
      <c r="CM182" s="136"/>
      <c r="CN182" s="132"/>
      <c r="CO182" s="132"/>
      <c r="CP182" s="132"/>
      <c r="CQ182" s="132"/>
      <c r="CR182" s="137"/>
      <c r="CS182" s="132"/>
      <c r="CT182" s="132"/>
      <c r="CU182" s="132"/>
      <c r="CV182" s="137"/>
      <c r="CW182" s="132"/>
      <c r="CX182" s="132"/>
      <c r="CY182" s="132"/>
      <c r="CZ182" s="132"/>
      <c r="DA182" s="132"/>
      <c r="DB182" s="132"/>
      <c r="DC182" s="137"/>
      <c r="DD182" s="132"/>
      <c r="DE182" s="132"/>
      <c r="DF182" s="132"/>
      <c r="DG182" s="132">
        <f>SUM(H182,J182,K182,M182,O182,Q182,R182,S182,U182,V182,X182,Y182,Z182,AA182,AB182,AC182,AE182,AF182,AH182,AI182,AJ182,AK182,AL182,AM182,AN182,AO182,AQ182,AR182,AS182,AT182,AV182,AW182,AX182,AZ182,BA182,BB182,BD182,BE182,BF182,BH182,BI182,BJ182,BK182,BM182,BN182,BO182,BQ182,BS182,BT182,BU182,BV182,BX182,BY182,BZ182,CB182,CC182,CD182,CE182,CF182,CH182,CI182,CJ182,CK182,CM182,CN182,CO182,CP182,CQ182,CS182,CT182,CU182,CW182,CX182,CY182,CZ182,DA182,DB182,DD182)</f>
        <v>0</v>
      </c>
    </row>
    <row r="183" spans="1:113" s="125" customFormat="1" ht="17.100000000000001" customHeight="1" x14ac:dyDescent="0.25">
      <c r="A183" s="126"/>
      <c r="B183" s="224"/>
      <c r="C183" s="128"/>
      <c r="D183" s="204"/>
      <c r="E183" s="130"/>
      <c r="F183" s="128"/>
      <c r="G183" s="131"/>
      <c r="H183" s="132"/>
      <c r="I183" s="133"/>
      <c r="J183" s="134"/>
      <c r="K183" s="132"/>
      <c r="L183" s="133"/>
      <c r="M183" s="134"/>
      <c r="N183" s="133"/>
      <c r="O183" s="134"/>
      <c r="P183" s="133"/>
      <c r="Q183" s="134"/>
      <c r="R183" s="132"/>
      <c r="S183" s="132"/>
      <c r="T183" s="133"/>
      <c r="U183" s="134"/>
      <c r="V183" s="132"/>
      <c r="W183" s="135"/>
      <c r="X183" s="136"/>
      <c r="Y183" s="132"/>
      <c r="Z183" s="132"/>
      <c r="AA183" s="132"/>
      <c r="AB183" s="132"/>
      <c r="AC183" s="132"/>
      <c r="AD183" s="135"/>
      <c r="AE183" s="136"/>
      <c r="AF183" s="132"/>
      <c r="AG183" s="137"/>
      <c r="AH183" s="132"/>
      <c r="AI183" s="132"/>
      <c r="AJ183" s="132"/>
      <c r="AK183" s="132"/>
      <c r="AL183" s="132"/>
      <c r="AM183" s="132"/>
      <c r="AN183" s="132"/>
      <c r="AO183" s="132"/>
      <c r="AP183" s="135"/>
      <c r="AQ183" s="136"/>
      <c r="AR183" s="132"/>
      <c r="AS183" s="132"/>
      <c r="AT183" s="132"/>
      <c r="AU183" s="135"/>
      <c r="AV183" s="136"/>
      <c r="AW183" s="132"/>
      <c r="AX183" s="132"/>
      <c r="AY183" s="135"/>
      <c r="AZ183" s="136"/>
      <c r="BA183" s="132"/>
      <c r="BB183" s="132"/>
      <c r="BC183" s="135"/>
      <c r="BD183" s="136"/>
      <c r="BE183" s="132"/>
      <c r="BF183" s="132"/>
      <c r="BG183" s="135"/>
      <c r="BH183" s="136"/>
      <c r="BI183" s="132"/>
      <c r="BJ183" s="132"/>
      <c r="BK183" s="132"/>
      <c r="BL183" s="135"/>
      <c r="BM183" s="136"/>
      <c r="BN183" s="132"/>
      <c r="BO183" s="132"/>
      <c r="BP183" s="135"/>
      <c r="BQ183" s="136"/>
      <c r="BR183" s="137"/>
      <c r="BS183" s="132"/>
      <c r="BT183" s="132"/>
      <c r="BU183" s="132"/>
      <c r="BV183" s="132"/>
      <c r="BW183" s="135"/>
      <c r="BX183" s="136"/>
      <c r="BY183" s="132"/>
      <c r="BZ183" s="132"/>
      <c r="CA183" s="135"/>
      <c r="CB183" s="136"/>
      <c r="CC183" s="132"/>
      <c r="CD183" s="132"/>
      <c r="CE183" s="132"/>
      <c r="CF183" s="132"/>
      <c r="CG183" s="135"/>
      <c r="CH183" s="136"/>
      <c r="CI183" s="136"/>
      <c r="CJ183" s="132"/>
      <c r="CK183" s="132"/>
      <c r="CL183" s="135"/>
      <c r="CM183" s="136"/>
      <c r="CN183" s="132"/>
      <c r="CO183" s="132"/>
      <c r="CP183" s="132"/>
      <c r="CQ183" s="132"/>
      <c r="CR183" s="137"/>
      <c r="CS183" s="132"/>
      <c r="CT183" s="132"/>
      <c r="CU183" s="132"/>
      <c r="CV183" s="137"/>
      <c r="CW183" s="132"/>
      <c r="CX183" s="132"/>
      <c r="CY183" s="132"/>
      <c r="CZ183" s="132"/>
      <c r="DA183" s="132"/>
      <c r="DB183" s="132"/>
      <c r="DC183" s="137"/>
      <c r="DD183" s="132"/>
      <c r="DE183" s="132"/>
      <c r="DF183" s="132"/>
      <c r="DG183" s="132">
        <f>SUM(H183,J183,K183,M183,O183,Q183,R183,S183,U183,V183,X183,Y183,Z183,AA183,AB183,AC183,AE183,AF183,AH183,AI183,AJ183,AK183,AL183,AM183,AN183,AO183,AQ183,AR183,AS183,AT183,AV183,AW183,AX183,AZ183,BA183,BB183,BD183,BE183,BF183,BH183,BI183,BJ183,BK183,BM183,BN183,BO183,BQ183,BS183,BT183,BU183,BV183,BX183,BY183,BZ183,CB183,CC183,CD183,CE183,CF183,CH183,CI183,CJ183,CK183,CM183,CN183,CO183,CP183,CQ183,CS183,CT183,CU183,CW183,CX183,CY183,CZ183,DA183,DB183,DD183)</f>
        <v>0</v>
      </c>
    </row>
    <row r="184" spans="1:113" s="125" customFormat="1" ht="17.100000000000001" customHeight="1" x14ac:dyDescent="0.25">
      <c r="A184" s="126"/>
      <c r="B184" s="127"/>
      <c r="C184" s="128"/>
      <c r="D184" s="204"/>
      <c r="E184" s="130"/>
      <c r="F184" s="128"/>
      <c r="G184" s="131"/>
      <c r="H184" s="132"/>
      <c r="I184" s="133"/>
      <c r="J184" s="134"/>
      <c r="K184" s="132"/>
      <c r="L184" s="133"/>
      <c r="M184" s="134"/>
      <c r="N184" s="133"/>
      <c r="O184" s="134"/>
      <c r="P184" s="133"/>
      <c r="Q184" s="134"/>
      <c r="R184" s="132"/>
      <c r="S184" s="132"/>
      <c r="T184" s="133"/>
      <c r="U184" s="134"/>
      <c r="V184" s="132"/>
      <c r="W184" s="135"/>
      <c r="X184" s="136"/>
      <c r="Y184" s="132"/>
      <c r="Z184" s="132"/>
      <c r="AA184" s="132"/>
      <c r="AB184" s="132"/>
      <c r="AC184" s="132"/>
      <c r="AD184" s="135"/>
      <c r="AE184" s="136"/>
      <c r="AF184" s="132"/>
      <c r="AG184" s="137"/>
      <c r="AH184" s="132"/>
      <c r="AI184" s="132"/>
      <c r="AJ184" s="132"/>
      <c r="AK184" s="132"/>
      <c r="AL184" s="132"/>
      <c r="AM184" s="132"/>
      <c r="AN184" s="132"/>
      <c r="AO184" s="132"/>
      <c r="AP184" s="135"/>
      <c r="AQ184" s="136"/>
      <c r="AR184" s="132"/>
      <c r="AS184" s="132"/>
      <c r="AT184" s="132"/>
      <c r="AU184" s="135"/>
      <c r="AV184" s="136"/>
      <c r="AW184" s="132"/>
      <c r="AX184" s="132"/>
      <c r="AY184" s="135"/>
      <c r="AZ184" s="136"/>
      <c r="BA184" s="132"/>
      <c r="BB184" s="132"/>
      <c r="BC184" s="135"/>
      <c r="BD184" s="136"/>
      <c r="BE184" s="132"/>
      <c r="BF184" s="132"/>
      <c r="BG184" s="135"/>
      <c r="BH184" s="136"/>
      <c r="BI184" s="132"/>
      <c r="BJ184" s="132"/>
      <c r="BK184" s="132"/>
      <c r="BL184" s="135"/>
      <c r="BM184" s="136"/>
      <c r="BN184" s="132"/>
      <c r="BO184" s="132"/>
      <c r="BP184" s="135"/>
      <c r="BQ184" s="136"/>
      <c r="BR184" s="137"/>
      <c r="BS184" s="132"/>
      <c r="BT184" s="132"/>
      <c r="BU184" s="132"/>
      <c r="BV184" s="132"/>
      <c r="BW184" s="135"/>
      <c r="BX184" s="136"/>
      <c r="BY184" s="132"/>
      <c r="BZ184" s="132"/>
      <c r="CA184" s="135"/>
      <c r="CB184" s="136"/>
      <c r="CC184" s="132"/>
      <c r="CD184" s="132"/>
      <c r="CE184" s="132"/>
      <c r="CF184" s="132"/>
      <c r="CG184" s="135"/>
      <c r="CH184" s="136"/>
      <c r="CI184" s="136"/>
      <c r="CJ184" s="132"/>
      <c r="CK184" s="132"/>
      <c r="CL184" s="135"/>
      <c r="CM184" s="136"/>
      <c r="CN184" s="132"/>
      <c r="CO184" s="132"/>
      <c r="CP184" s="132"/>
      <c r="CQ184" s="132"/>
      <c r="CR184" s="137"/>
      <c r="CS184" s="132"/>
      <c r="CT184" s="132"/>
      <c r="CU184" s="132"/>
      <c r="CV184" s="137"/>
      <c r="CW184" s="132"/>
      <c r="CX184" s="132"/>
      <c r="CY184" s="132"/>
      <c r="CZ184" s="132"/>
      <c r="DA184" s="132"/>
      <c r="DB184" s="132"/>
      <c r="DC184" s="137"/>
      <c r="DD184" s="132"/>
      <c r="DE184" s="132"/>
      <c r="DF184" s="132"/>
      <c r="DG184" s="132">
        <f>SUM(H184,J184,K184,M184,O184,Q184,R184,S184,U184,V184,X184,Y184,Z184,AA184,AB184,AC184,AE184,AF184,AH184,AI184,AJ184,AK184,AL184,AM184,AN184,AO184,AQ184,AR184,AS184,AT184,AV184,AW184,AX184,AZ184,BA184,BB184,BD184,BE184,BF184,BH184,BI184,BJ184,BK184,BM184,BN184,BO184,BQ184,BS184,BT184,BU184,BV184,BX184,BY184,BZ184,CB184,CC184,CD184,CE184,CF184,CH184,CI184,CJ184,CK184,CM184,CN184,CO184,CP184,CQ184,CS184,CT184,CU184,CW184,CX184,CY184,CZ184,DA184,DB184,DD184)</f>
        <v>0</v>
      </c>
    </row>
    <row r="185" spans="1:113" s="125" customFormat="1" ht="17.100000000000001" customHeight="1" x14ac:dyDescent="0.25">
      <c r="A185" s="126"/>
      <c r="B185" s="127"/>
      <c r="C185" s="142"/>
      <c r="D185" s="204"/>
      <c r="E185" s="130"/>
      <c r="F185" s="128"/>
      <c r="G185" s="131"/>
      <c r="H185" s="132"/>
      <c r="I185" s="133"/>
      <c r="J185" s="134"/>
      <c r="K185" s="132"/>
      <c r="L185" s="133"/>
      <c r="M185" s="134"/>
      <c r="N185" s="133"/>
      <c r="O185" s="134"/>
      <c r="P185" s="133"/>
      <c r="Q185" s="134"/>
      <c r="R185" s="132"/>
      <c r="S185" s="132"/>
      <c r="T185" s="133"/>
      <c r="U185" s="134"/>
      <c r="V185" s="132"/>
      <c r="W185" s="135"/>
      <c r="X185" s="136"/>
      <c r="Y185" s="132"/>
      <c r="Z185" s="132"/>
      <c r="AA185" s="132"/>
      <c r="AB185" s="132"/>
      <c r="AC185" s="132"/>
      <c r="AD185" s="135"/>
      <c r="AE185" s="136"/>
      <c r="AF185" s="132"/>
      <c r="AG185" s="137"/>
      <c r="AH185" s="132"/>
      <c r="AI185" s="132"/>
      <c r="AJ185" s="132"/>
      <c r="AK185" s="132"/>
      <c r="AL185" s="132"/>
      <c r="AM185" s="132"/>
      <c r="AN185" s="132"/>
      <c r="AO185" s="132"/>
      <c r="AP185" s="135"/>
      <c r="AQ185" s="136"/>
      <c r="AR185" s="132"/>
      <c r="AS185" s="132"/>
      <c r="AT185" s="132"/>
      <c r="AU185" s="135"/>
      <c r="AV185" s="136"/>
      <c r="AW185" s="132"/>
      <c r="AX185" s="132"/>
      <c r="AY185" s="135"/>
      <c r="AZ185" s="136"/>
      <c r="BA185" s="132"/>
      <c r="BB185" s="132"/>
      <c r="BC185" s="135"/>
      <c r="BD185" s="136"/>
      <c r="BE185" s="132"/>
      <c r="BF185" s="132"/>
      <c r="BG185" s="135"/>
      <c r="BH185" s="136"/>
      <c r="BI185" s="132"/>
      <c r="BJ185" s="132"/>
      <c r="BK185" s="132"/>
      <c r="BL185" s="135"/>
      <c r="BM185" s="136"/>
      <c r="BN185" s="132"/>
      <c r="BO185" s="132"/>
      <c r="BP185" s="135"/>
      <c r="BQ185" s="136"/>
      <c r="BR185" s="137"/>
      <c r="BS185" s="132"/>
      <c r="BT185" s="132"/>
      <c r="BU185" s="132"/>
      <c r="BV185" s="132"/>
      <c r="BW185" s="135"/>
      <c r="BX185" s="136"/>
      <c r="BY185" s="132"/>
      <c r="BZ185" s="132"/>
      <c r="CA185" s="135"/>
      <c r="CB185" s="136"/>
      <c r="CC185" s="132"/>
      <c r="CD185" s="132"/>
      <c r="CE185" s="132"/>
      <c r="CF185" s="132"/>
      <c r="CG185" s="135"/>
      <c r="CH185" s="136"/>
      <c r="CI185" s="136"/>
      <c r="CJ185" s="132"/>
      <c r="CK185" s="132"/>
      <c r="CL185" s="135"/>
      <c r="CM185" s="136"/>
      <c r="CN185" s="132"/>
      <c r="CO185" s="132"/>
      <c r="CP185" s="132"/>
      <c r="CQ185" s="132"/>
      <c r="CR185" s="137"/>
      <c r="CS185" s="132"/>
      <c r="CT185" s="132"/>
      <c r="CU185" s="132"/>
      <c r="CV185" s="137"/>
      <c r="CW185" s="132"/>
      <c r="CX185" s="132"/>
      <c r="CY185" s="132"/>
      <c r="CZ185" s="132"/>
      <c r="DA185" s="132"/>
      <c r="DB185" s="132"/>
      <c r="DC185" s="137"/>
      <c r="DD185" s="132"/>
      <c r="DE185" s="132"/>
      <c r="DF185" s="132"/>
      <c r="DG185" s="132">
        <f>SUM(H185,J185,K185,M185,O185,Q185,R185,S185,U185,V185,X185,Y185,Z185,AA185,AB185,AC185,AE185,AF185,AH185,AI185,AJ185,AK185,AL185,AM185,AN185,AO185,AQ185,AR185,AS185,AT185,AV185,AW185,AX185,AZ185,BA185,BB185,BD185,BE185,BF185,BH185,BI185,BJ185,BK185,BM185,BN185,BO185,BQ185,BS185,BT185,BU185,BV185,BX185,BY185,BZ185,CB185,CC185,CD185,CE185,CF185,CH185,CI185,CJ185,CK185,CM185,CN185,CO185,CP185,CQ185,CS185,CT185,CU185,CW185,CX185,CY185,CZ185,DA185,DB185,DD185)</f>
        <v>0</v>
      </c>
    </row>
    <row r="186" spans="1:113" s="187" customFormat="1" ht="17.100000000000001" customHeight="1" thickBot="1" x14ac:dyDescent="0.3">
      <c r="A186" s="175"/>
      <c r="B186" s="176"/>
      <c r="C186" s="179"/>
      <c r="D186" s="205" t="s">
        <v>1112</v>
      </c>
      <c r="E186" s="178"/>
      <c r="F186" s="179"/>
      <c r="G186" s="180"/>
      <c r="H186" s="181"/>
      <c r="I186" s="182"/>
      <c r="J186" s="183"/>
      <c r="K186" s="181"/>
      <c r="L186" s="182"/>
      <c r="M186" s="183"/>
      <c r="N186" s="182"/>
      <c r="O186" s="183"/>
      <c r="P186" s="182"/>
      <c r="Q186" s="183"/>
      <c r="R186" s="181"/>
      <c r="S186" s="181"/>
      <c r="T186" s="182"/>
      <c r="U186" s="183"/>
      <c r="V186" s="181"/>
      <c r="W186" s="184"/>
      <c r="X186" s="185"/>
      <c r="Y186" s="181"/>
      <c r="Z186" s="181"/>
      <c r="AA186" s="181"/>
      <c r="AB186" s="181"/>
      <c r="AC186" s="181"/>
      <c r="AD186" s="184"/>
      <c r="AE186" s="185"/>
      <c r="AF186" s="181"/>
      <c r="AG186" s="186"/>
      <c r="AH186" s="181"/>
      <c r="AI186" s="181"/>
      <c r="AJ186" s="181"/>
      <c r="AK186" s="181"/>
      <c r="AL186" s="181"/>
      <c r="AM186" s="181"/>
      <c r="AN186" s="181"/>
      <c r="AO186" s="181"/>
      <c r="AP186" s="184"/>
      <c r="AQ186" s="185"/>
      <c r="AR186" s="181"/>
      <c r="AS186" s="181"/>
      <c r="AT186" s="181"/>
      <c r="AU186" s="184"/>
      <c r="AV186" s="185"/>
      <c r="AW186" s="181"/>
      <c r="AX186" s="181"/>
      <c r="AY186" s="184"/>
      <c r="AZ186" s="185"/>
      <c r="BA186" s="181"/>
      <c r="BB186" s="181"/>
      <c r="BC186" s="184"/>
      <c r="BD186" s="185"/>
      <c r="BE186" s="181"/>
      <c r="BF186" s="181"/>
      <c r="BG186" s="184"/>
      <c r="BH186" s="185"/>
      <c r="BI186" s="181"/>
      <c r="BJ186" s="181"/>
      <c r="BK186" s="181"/>
      <c r="BL186" s="184"/>
      <c r="BM186" s="185"/>
      <c r="BN186" s="181"/>
      <c r="BO186" s="181"/>
      <c r="BP186" s="184"/>
      <c r="BQ186" s="185"/>
      <c r="BR186" s="186"/>
      <c r="BS186" s="181"/>
      <c r="BT186" s="181"/>
      <c r="BU186" s="181"/>
      <c r="BV186" s="181"/>
      <c r="BW186" s="184"/>
      <c r="BX186" s="185"/>
      <c r="BY186" s="181"/>
      <c r="BZ186" s="181"/>
      <c r="CA186" s="184"/>
      <c r="CB186" s="185"/>
      <c r="CC186" s="181"/>
      <c r="CD186" s="181"/>
      <c r="CE186" s="181"/>
      <c r="CF186" s="181"/>
      <c r="CG186" s="184"/>
      <c r="CH186" s="185"/>
      <c r="CI186" s="185"/>
      <c r="CJ186" s="181"/>
      <c r="CK186" s="181"/>
      <c r="CL186" s="184"/>
      <c r="CM186" s="185"/>
      <c r="CN186" s="181"/>
      <c r="CO186" s="181"/>
      <c r="CP186" s="181"/>
      <c r="CQ186" s="181"/>
      <c r="CR186" s="186"/>
      <c r="CS186" s="181"/>
      <c r="CT186" s="181"/>
      <c r="CU186" s="181"/>
      <c r="CV186" s="186"/>
      <c r="CW186" s="181"/>
      <c r="CX186" s="181"/>
      <c r="CY186" s="181"/>
      <c r="CZ186" s="181"/>
      <c r="DA186" s="181"/>
      <c r="DB186" s="181"/>
      <c r="DC186" s="186"/>
      <c r="DD186" s="181"/>
      <c r="DE186" s="181"/>
      <c r="DF186" s="181"/>
      <c r="DG186" s="181">
        <f t="shared" ref="DG186" si="11">SUM(DG182:DG185)</f>
        <v>0</v>
      </c>
      <c r="DI186" s="125"/>
    </row>
    <row r="187" spans="1:113" s="125" customFormat="1" ht="17.100000000000001" customHeight="1" thickTop="1" x14ac:dyDescent="0.25">
      <c r="A187" s="126"/>
      <c r="B187" s="127"/>
      <c r="C187" s="128"/>
      <c r="D187" s="204"/>
      <c r="E187" s="130"/>
      <c r="F187" s="128"/>
      <c r="G187" s="131"/>
      <c r="H187" s="132"/>
      <c r="I187" s="133"/>
      <c r="J187" s="134"/>
      <c r="K187" s="132"/>
      <c r="L187" s="133"/>
      <c r="M187" s="134"/>
      <c r="N187" s="133"/>
      <c r="O187" s="134"/>
      <c r="P187" s="133"/>
      <c r="Q187" s="134"/>
      <c r="R187" s="132"/>
      <c r="S187" s="132"/>
      <c r="T187" s="133"/>
      <c r="U187" s="134"/>
      <c r="V187" s="132"/>
      <c r="W187" s="135"/>
      <c r="X187" s="136"/>
      <c r="Y187" s="132"/>
      <c r="Z187" s="132"/>
      <c r="AA187" s="132"/>
      <c r="AB187" s="132"/>
      <c r="AC187" s="132"/>
      <c r="AD187" s="135"/>
      <c r="AE187" s="136"/>
      <c r="AF187" s="132"/>
      <c r="AG187" s="137"/>
      <c r="AH187" s="132"/>
      <c r="AI187" s="132"/>
      <c r="AJ187" s="132"/>
      <c r="AK187" s="132"/>
      <c r="AL187" s="132"/>
      <c r="AM187" s="132"/>
      <c r="AN187" s="132"/>
      <c r="AO187" s="132"/>
      <c r="AP187" s="135"/>
      <c r="AQ187" s="136"/>
      <c r="AR187" s="132"/>
      <c r="AS187" s="132"/>
      <c r="AT187" s="132"/>
      <c r="AU187" s="135"/>
      <c r="AV187" s="136"/>
      <c r="AW187" s="132"/>
      <c r="AX187" s="132"/>
      <c r="AY187" s="135"/>
      <c r="AZ187" s="136"/>
      <c r="BA187" s="132"/>
      <c r="BB187" s="132"/>
      <c r="BC187" s="135"/>
      <c r="BD187" s="136"/>
      <c r="BE187" s="132"/>
      <c r="BF187" s="132"/>
      <c r="BG187" s="135"/>
      <c r="BH187" s="136"/>
      <c r="BI187" s="132"/>
      <c r="BJ187" s="132"/>
      <c r="BK187" s="132"/>
      <c r="BL187" s="135"/>
      <c r="BM187" s="136"/>
      <c r="BN187" s="132"/>
      <c r="BO187" s="132"/>
      <c r="BP187" s="135"/>
      <c r="BQ187" s="136"/>
      <c r="BR187" s="137"/>
      <c r="BS187" s="132"/>
      <c r="BT187" s="132"/>
      <c r="BU187" s="132"/>
      <c r="BV187" s="132"/>
      <c r="BW187" s="135"/>
      <c r="BX187" s="136"/>
      <c r="BY187" s="132"/>
      <c r="BZ187" s="132"/>
      <c r="CA187" s="135"/>
      <c r="CB187" s="136"/>
      <c r="CC187" s="132"/>
      <c r="CD187" s="132"/>
      <c r="CE187" s="132"/>
      <c r="CF187" s="132"/>
      <c r="CG187" s="135"/>
      <c r="CH187" s="136"/>
      <c r="CI187" s="136"/>
      <c r="CJ187" s="132"/>
      <c r="CK187" s="132"/>
      <c r="CL187" s="135"/>
      <c r="CM187" s="136"/>
      <c r="CN187" s="132"/>
      <c r="CO187" s="132"/>
      <c r="CP187" s="132"/>
      <c r="CQ187" s="132"/>
      <c r="CR187" s="137"/>
      <c r="CS187" s="132"/>
      <c r="CT187" s="132"/>
      <c r="CU187" s="132"/>
      <c r="CV187" s="137"/>
      <c r="CW187" s="132"/>
      <c r="CX187" s="132"/>
      <c r="CY187" s="132"/>
      <c r="CZ187" s="132"/>
      <c r="DA187" s="132"/>
      <c r="DB187" s="132"/>
      <c r="DC187" s="137"/>
      <c r="DD187" s="132"/>
      <c r="DE187" s="132"/>
      <c r="DF187" s="132"/>
      <c r="DG187" s="132">
        <f>SUM(H187,J187,K187,M187,O187,Q187,R187,S187,U187,V187,X187,Y187,Z187,AA187,AB187,AC187,AE187,AF187,AH187,AI187,AJ187,AK187,AL187,AM187,AN187,AO187,AQ187,AR187,AS187,AT187,AV187,AW187,AX187,AZ187,BA187,BB187,BD187,BE187,BF187,BH187,BI187,BJ187,BK187,BM187,BN187,BO187,BQ187,BS187,BT187,BU187,BV187,BX187,BY187,BZ187,CB187,CC187,CD187,CE187,CF187,CH187,CI187,CJ187,CK187,CM187,CN187,CO187,CP187,CQ187,CS187,CT187,CU187,CW187,CX187,CY187,CZ187,DA187,DB187,DD187)</f>
        <v>0</v>
      </c>
    </row>
    <row r="188" spans="1:113" s="125" customFormat="1" ht="17.100000000000001" customHeight="1" x14ac:dyDescent="0.25">
      <c r="A188" s="225"/>
      <c r="B188" s="226"/>
      <c r="C188" s="174"/>
      <c r="D188" s="227"/>
      <c r="E188" s="228"/>
      <c r="F188" s="174"/>
      <c r="G188" s="229"/>
      <c r="H188" s="230"/>
      <c r="I188" s="231"/>
      <c r="J188" s="232"/>
      <c r="K188" s="230"/>
      <c r="L188" s="231"/>
      <c r="M188" s="232"/>
      <c r="N188" s="231"/>
      <c r="O188" s="232"/>
      <c r="P188" s="231"/>
      <c r="Q188" s="232"/>
      <c r="R188" s="230"/>
      <c r="S188" s="230"/>
      <c r="T188" s="231"/>
      <c r="U188" s="232"/>
      <c r="V188" s="230"/>
      <c r="W188" s="233"/>
      <c r="X188" s="234"/>
      <c r="Y188" s="230"/>
      <c r="Z188" s="230"/>
      <c r="AA188" s="230"/>
      <c r="AB188" s="230"/>
      <c r="AC188" s="230"/>
      <c r="AD188" s="233"/>
      <c r="AE188" s="234"/>
      <c r="AF188" s="230"/>
      <c r="AG188" s="235"/>
      <c r="AH188" s="230"/>
      <c r="AI188" s="230"/>
      <c r="AJ188" s="230"/>
      <c r="AK188" s="230"/>
      <c r="AL188" s="230"/>
      <c r="AM188" s="230"/>
      <c r="AN188" s="230"/>
      <c r="AO188" s="230"/>
      <c r="AP188" s="233"/>
      <c r="AQ188" s="234"/>
      <c r="AR188" s="230"/>
      <c r="AS188" s="230"/>
      <c r="AT188" s="230"/>
      <c r="AU188" s="233"/>
      <c r="AV188" s="234"/>
      <c r="AW188" s="230"/>
      <c r="AX188" s="230"/>
      <c r="AY188" s="233"/>
      <c r="AZ188" s="234"/>
      <c r="BA188" s="230"/>
      <c r="BB188" s="230"/>
      <c r="BC188" s="233"/>
      <c r="BD188" s="234"/>
      <c r="BE188" s="230"/>
      <c r="BF188" s="230"/>
      <c r="BG188" s="233"/>
      <c r="BH188" s="234"/>
      <c r="BI188" s="230"/>
      <c r="BJ188" s="230"/>
      <c r="BK188" s="230"/>
      <c r="BL188" s="233"/>
      <c r="BM188" s="234"/>
      <c r="BN188" s="230"/>
      <c r="BO188" s="230"/>
      <c r="BP188" s="233"/>
      <c r="BQ188" s="234"/>
      <c r="BR188" s="235"/>
      <c r="BS188" s="230"/>
      <c r="BT188" s="230"/>
      <c r="BU188" s="230"/>
      <c r="BV188" s="230"/>
      <c r="BW188" s="233"/>
      <c r="BX188" s="234"/>
      <c r="BY188" s="230"/>
      <c r="BZ188" s="230"/>
      <c r="CA188" s="233"/>
      <c r="CB188" s="234"/>
      <c r="CC188" s="230"/>
      <c r="CD188" s="230"/>
      <c r="CE188" s="230"/>
      <c r="CF188" s="230"/>
      <c r="CG188" s="233"/>
      <c r="CH188" s="234"/>
      <c r="CI188" s="234"/>
      <c r="CJ188" s="230"/>
      <c r="CK188" s="230"/>
      <c r="CL188" s="233"/>
      <c r="CM188" s="234"/>
      <c r="CN188" s="230"/>
      <c r="CO188" s="230"/>
      <c r="CP188" s="230"/>
      <c r="CQ188" s="230"/>
      <c r="CR188" s="235"/>
      <c r="CS188" s="230"/>
      <c r="CT188" s="230"/>
      <c r="CU188" s="230"/>
      <c r="CV188" s="235"/>
      <c r="CW188" s="230"/>
      <c r="CX188" s="230"/>
      <c r="CY188" s="230"/>
      <c r="CZ188" s="230"/>
      <c r="DA188" s="230"/>
      <c r="DB188" s="230"/>
      <c r="DC188" s="235"/>
      <c r="DD188" s="230"/>
      <c r="DE188" s="230"/>
      <c r="DF188" s="230"/>
      <c r="DG188" s="230">
        <f>SUM(H188,J188,K188,M188,O188,Q188,R188,S188,U188,V188,X188,Y188,Z188,AA188,AB188,AC188,AE188,AF188,AH188,AI188,AJ188,AK188,AL188,AM188,AN188,AO188,AQ188,AR188,AS188,AT188,AV188,AW188,AX188,AZ188,BA188,BB188,BD188,BE188,BF188,BH188,BI188,BJ188,BK188,BM188,BN188,BO188,BQ188,BS188,BT188,BU188,BV188,BX188,BY188,BZ188,CB188,CC188,CD188,CE188,CF188,CH188,CI188,CJ188,CK188,CM188,CN188,CO188,CP188,CQ188,CS188,CT188,CU188,CW188,CX188,CY188,CZ188,DA188,DB188,DD188)</f>
        <v>0</v>
      </c>
    </row>
    <row r="189" spans="1:113" s="187" customFormat="1" ht="17.100000000000001" customHeight="1" thickBot="1" x14ac:dyDescent="0.3">
      <c r="A189" s="175"/>
      <c r="B189" s="176"/>
      <c r="C189" s="179"/>
      <c r="D189" s="205" t="s">
        <v>1649</v>
      </c>
      <c r="E189" s="178"/>
      <c r="F189" s="179"/>
      <c r="G189" s="180"/>
      <c r="H189" s="181"/>
      <c r="I189" s="182"/>
      <c r="J189" s="183"/>
      <c r="K189" s="181"/>
      <c r="L189" s="182"/>
      <c r="M189" s="183"/>
      <c r="N189" s="182"/>
      <c r="O189" s="183"/>
      <c r="P189" s="182"/>
      <c r="Q189" s="183"/>
      <c r="R189" s="181"/>
      <c r="S189" s="181"/>
      <c r="T189" s="182"/>
      <c r="U189" s="183"/>
      <c r="V189" s="181"/>
      <c r="W189" s="184"/>
      <c r="X189" s="185"/>
      <c r="Y189" s="181"/>
      <c r="Z189" s="181"/>
      <c r="AA189" s="181"/>
      <c r="AB189" s="181"/>
      <c r="AC189" s="181"/>
      <c r="AD189" s="184"/>
      <c r="AE189" s="185"/>
      <c r="AF189" s="181"/>
      <c r="AG189" s="186"/>
      <c r="AH189" s="181"/>
      <c r="AI189" s="181"/>
      <c r="AJ189" s="181"/>
      <c r="AK189" s="181"/>
      <c r="AL189" s="181"/>
      <c r="AM189" s="181"/>
      <c r="AN189" s="181"/>
      <c r="AO189" s="181"/>
      <c r="AP189" s="184"/>
      <c r="AQ189" s="185"/>
      <c r="AR189" s="181"/>
      <c r="AS189" s="181"/>
      <c r="AT189" s="181"/>
      <c r="AU189" s="184"/>
      <c r="AV189" s="185"/>
      <c r="AW189" s="181"/>
      <c r="AX189" s="181"/>
      <c r="AY189" s="184"/>
      <c r="AZ189" s="185"/>
      <c r="BA189" s="181"/>
      <c r="BB189" s="181"/>
      <c r="BC189" s="184"/>
      <c r="BD189" s="185"/>
      <c r="BE189" s="181"/>
      <c r="BF189" s="181"/>
      <c r="BG189" s="184"/>
      <c r="BH189" s="185"/>
      <c r="BI189" s="181"/>
      <c r="BJ189" s="181"/>
      <c r="BK189" s="181"/>
      <c r="BL189" s="184"/>
      <c r="BM189" s="185"/>
      <c r="BN189" s="181"/>
      <c r="BO189" s="181"/>
      <c r="BP189" s="184"/>
      <c r="BQ189" s="185"/>
      <c r="BR189" s="186"/>
      <c r="BS189" s="181"/>
      <c r="BT189" s="181"/>
      <c r="BU189" s="181"/>
      <c r="BV189" s="181"/>
      <c r="BW189" s="184"/>
      <c r="BX189" s="185"/>
      <c r="BY189" s="181"/>
      <c r="BZ189" s="181"/>
      <c r="CA189" s="184"/>
      <c r="CB189" s="185"/>
      <c r="CC189" s="181"/>
      <c r="CD189" s="181"/>
      <c r="CE189" s="181"/>
      <c r="CF189" s="181"/>
      <c r="CG189" s="184"/>
      <c r="CH189" s="185"/>
      <c r="CI189" s="185"/>
      <c r="CJ189" s="181"/>
      <c r="CK189" s="181"/>
      <c r="CL189" s="184"/>
      <c r="CM189" s="185"/>
      <c r="CN189" s="181"/>
      <c r="CO189" s="181"/>
      <c r="CP189" s="181"/>
      <c r="CQ189" s="181"/>
      <c r="CR189" s="186"/>
      <c r="CS189" s="181"/>
      <c r="CT189" s="181"/>
      <c r="CU189" s="181"/>
      <c r="CV189" s="186"/>
      <c r="CW189" s="181"/>
      <c r="CX189" s="181"/>
      <c r="CY189" s="181"/>
      <c r="CZ189" s="181"/>
      <c r="DA189" s="181"/>
      <c r="DB189" s="181"/>
      <c r="DC189" s="186"/>
      <c r="DD189" s="181"/>
      <c r="DE189" s="181"/>
      <c r="DF189" s="181"/>
      <c r="DG189" s="181">
        <f t="shared" ref="DG189" si="12">SUM(DG187:DG188)</f>
        <v>0</v>
      </c>
      <c r="DI189" s="125"/>
    </row>
    <row r="190" spans="1:113" s="125" customFormat="1" ht="17.100000000000001" customHeight="1" thickTop="1" x14ac:dyDescent="0.25">
      <c r="A190" s="126"/>
      <c r="B190" s="220"/>
      <c r="C190" s="221"/>
      <c r="D190" s="222"/>
      <c r="E190" s="223"/>
      <c r="F190" s="128"/>
      <c r="G190" s="131"/>
      <c r="H190" s="132"/>
      <c r="I190" s="133"/>
      <c r="J190" s="134"/>
      <c r="K190" s="132"/>
      <c r="L190" s="133"/>
      <c r="M190" s="134"/>
      <c r="N190" s="133"/>
      <c r="O190" s="134"/>
      <c r="P190" s="133"/>
      <c r="Q190" s="134"/>
      <c r="R190" s="132"/>
      <c r="S190" s="132"/>
      <c r="T190" s="133"/>
      <c r="U190" s="134"/>
      <c r="V190" s="132"/>
      <c r="W190" s="135"/>
      <c r="X190" s="136"/>
      <c r="Y190" s="132"/>
      <c r="Z190" s="132"/>
      <c r="AA190" s="132"/>
      <c r="AB190" s="132"/>
      <c r="AC190" s="132"/>
      <c r="AD190" s="135"/>
      <c r="AE190" s="136"/>
      <c r="AF190" s="132"/>
      <c r="AG190" s="137"/>
      <c r="AH190" s="132"/>
      <c r="AI190" s="132"/>
      <c r="AJ190" s="132"/>
      <c r="AK190" s="132"/>
      <c r="AL190" s="132"/>
      <c r="AM190" s="132"/>
      <c r="AN190" s="132"/>
      <c r="AO190" s="132"/>
      <c r="AP190" s="135"/>
      <c r="AQ190" s="136"/>
      <c r="AR190" s="132"/>
      <c r="AS190" s="132"/>
      <c r="AT190" s="132"/>
      <c r="AU190" s="135"/>
      <c r="AV190" s="136"/>
      <c r="AW190" s="132"/>
      <c r="AX190" s="132"/>
      <c r="AY190" s="135"/>
      <c r="AZ190" s="136"/>
      <c r="BA190" s="132"/>
      <c r="BB190" s="132"/>
      <c r="BC190" s="135"/>
      <c r="BD190" s="136"/>
      <c r="BE190" s="132"/>
      <c r="BF190" s="132"/>
      <c r="BG190" s="135"/>
      <c r="BH190" s="136"/>
      <c r="BI190" s="132"/>
      <c r="BJ190" s="132"/>
      <c r="BK190" s="132"/>
      <c r="BL190" s="135"/>
      <c r="BM190" s="136"/>
      <c r="BN190" s="132"/>
      <c r="BO190" s="132"/>
      <c r="BP190" s="135"/>
      <c r="BQ190" s="136"/>
      <c r="BR190" s="137"/>
      <c r="BS190" s="132"/>
      <c r="BT190" s="132"/>
      <c r="BU190" s="132"/>
      <c r="BV190" s="132"/>
      <c r="BW190" s="135"/>
      <c r="BX190" s="136"/>
      <c r="BY190" s="132"/>
      <c r="BZ190" s="132"/>
      <c r="CA190" s="135"/>
      <c r="CB190" s="136"/>
      <c r="CC190" s="132"/>
      <c r="CD190" s="132"/>
      <c r="CE190" s="132"/>
      <c r="CF190" s="132"/>
      <c r="CG190" s="135"/>
      <c r="CH190" s="136"/>
      <c r="CI190" s="136"/>
      <c r="CJ190" s="132"/>
      <c r="CK190" s="132"/>
      <c r="CL190" s="135"/>
      <c r="CM190" s="136"/>
      <c r="CN190" s="132"/>
      <c r="CO190" s="132"/>
      <c r="CP190" s="132"/>
      <c r="CQ190" s="132"/>
      <c r="CR190" s="137"/>
      <c r="CS190" s="132"/>
      <c r="CT190" s="132"/>
      <c r="CU190" s="132"/>
      <c r="CV190" s="137"/>
      <c r="CW190" s="132"/>
      <c r="CX190" s="132"/>
      <c r="CY190" s="132"/>
      <c r="CZ190" s="132"/>
      <c r="DA190" s="132"/>
      <c r="DB190" s="132"/>
      <c r="DC190" s="137"/>
      <c r="DD190" s="132"/>
      <c r="DE190" s="132"/>
      <c r="DF190" s="132"/>
      <c r="DG190" s="132">
        <f t="shared" ref="DG190:DG195" si="13">SUM(H190,J190,K190,M190,O190,Q190,R190,S190,U190,V190,X190,Y190,Z190,AA190,AB190,AC190,AE190,AF190,AH190,AI190,AJ190,AK190,AL190,AM190,AN190,AO190,AQ190,AR190,AS190,AT190,AV190,AW190,AX190,AZ190,BA190,BB190,BD190,BE190,BF190,BH190,BI190,BJ190,BK190,BM190,BN190,BO190,BQ190,BS190,BT190,BU190,BV190,BX190,BY190,BZ190,CB190,CC190,CD190,CE190,CF190,CH190,CI190,CJ190,CK190,CM190,CN190,CO190,CP190,CQ190,CS190,CT190,CU190,CW190,CX190,CY190,CZ190,DA190,DB190,DD190)+DE190+DF190</f>
        <v>0</v>
      </c>
    </row>
    <row r="191" spans="1:113" s="125" customFormat="1" ht="17.100000000000001" customHeight="1" x14ac:dyDescent="0.25">
      <c r="A191" s="126"/>
      <c r="B191" s="224"/>
      <c r="C191" s="142"/>
      <c r="D191" s="204"/>
      <c r="E191" s="130"/>
      <c r="F191" s="128"/>
      <c r="G191" s="131"/>
      <c r="H191" s="132"/>
      <c r="I191" s="133"/>
      <c r="J191" s="134"/>
      <c r="K191" s="132"/>
      <c r="L191" s="133"/>
      <c r="M191" s="134"/>
      <c r="N191" s="133"/>
      <c r="O191" s="134"/>
      <c r="P191" s="133"/>
      <c r="Q191" s="134"/>
      <c r="R191" s="132"/>
      <c r="S191" s="132"/>
      <c r="T191" s="133"/>
      <c r="U191" s="134"/>
      <c r="V191" s="132"/>
      <c r="W191" s="135"/>
      <c r="X191" s="136"/>
      <c r="Y191" s="132"/>
      <c r="Z191" s="132"/>
      <c r="AA191" s="132"/>
      <c r="AB191" s="132"/>
      <c r="AC191" s="132"/>
      <c r="AD191" s="135"/>
      <c r="AE191" s="136"/>
      <c r="AF191" s="132"/>
      <c r="AG191" s="137"/>
      <c r="AH191" s="132"/>
      <c r="AI191" s="132"/>
      <c r="AJ191" s="132"/>
      <c r="AK191" s="132"/>
      <c r="AL191" s="132"/>
      <c r="AM191" s="132"/>
      <c r="AN191" s="132"/>
      <c r="AO191" s="132"/>
      <c r="AP191" s="135"/>
      <c r="AQ191" s="136"/>
      <c r="AR191" s="132"/>
      <c r="AS191" s="132"/>
      <c r="AT191" s="132"/>
      <c r="AU191" s="135"/>
      <c r="AV191" s="136"/>
      <c r="AW191" s="132"/>
      <c r="AX191" s="132"/>
      <c r="AY191" s="135"/>
      <c r="AZ191" s="136"/>
      <c r="BA191" s="132"/>
      <c r="BB191" s="132"/>
      <c r="BC191" s="135"/>
      <c r="BD191" s="136"/>
      <c r="BE191" s="132"/>
      <c r="BF191" s="132"/>
      <c r="BG191" s="135"/>
      <c r="BH191" s="136"/>
      <c r="BI191" s="132"/>
      <c r="BJ191" s="132"/>
      <c r="BK191" s="132"/>
      <c r="BL191" s="135"/>
      <c r="BM191" s="136"/>
      <c r="BN191" s="132"/>
      <c r="BO191" s="132"/>
      <c r="BP191" s="135"/>
      <c r="BQ191" s="136"/>
      <c r="BR191" s="137"/>
      <c r="BS191" s="132"/>
      <c r="BT191" s="132"/>
      <c r="BU191" s="132"/>
      <c r="BV191" s="132"/>
      <c r="BW191" s="135"/>
      <c r="BX191" s="136"/>
      <c r="BY191" s="132"/>
      <c r="BZ191" s="132"/>
      <c r="CA191" s="135"/>
      <c r="CB191" s="136"/>
      <c r="CC191" s="132"/>
      <c r="CD191" s="132"/>
      <c r="CE191" s="132"/>
      <c r="CF191" s="132"/>
      <c r="CG191" s="135"/>
      <c r="CH191" s="136"/>
      <c r="CI191" s="136"/>
      <c r="CJ191" s="132"/>
      <c r="CK191" s="132"/>
      <c r="CL191" s="135"/>
      <c r="CM191" s="136"/>
      <c r="CN191" s="132"/>
      <c r="CO191" s="132"/>
      <c r="CP191" s="132"/>
      <c r="CQ191" s="132"/>
      <c r="CR191" s="137"/>
      <c r="CS191" s="132"/>
      <c r="CT191" s="132"/>
      <c r="CU191" s="132"/>
      <c r="CV191" s="137"/>
      <c r="CW191" s="132"/>
      <c r="CX191" s="132"/>
      <c r="CY191" s="132"/>
      <c r="CZ191" s="132"/>
      <c r="DA191" s="132"/>
      <c r="DB191" s="132"/>
      <c r="DC191" s="137"/>
      <c r="DD191" s="132"/>
      <c r="DE191" s="132"/>
      <c r="DF191" s="132"/>
      <c r="DG191" s="132">
        <f t="shared" si="13"/>
        <v>0</v>
      </c>
    </row>
    <row r="192" spans="1:113" s="125" customFormat="1" ht="17.100000000000001" customHeight="1" x14ac:dyDescent="0.25">
      <c r="A192" s="126"/>
      <c r="B192" s="224"/>
      <c r="C192" s="142"/>
      <c r="D192" s="204"/>
      <c r="E192" s="206"/>
      <c r="F192" s="128"/>
      <c r="G192" s="131"/>
      <c r="H192" s="132"/>
      <c r="I192" s="133"/>
      <c r="J192" s="134"/>
      <c r="K192" s="132"/>
      <c r="L192" s="133"/>
      <c r="M192" s="134"/>
      <c r="N192" s="133"/>
      <c r="O192" s="134"/>
      <c r="P192" s="133"/>
      <c r="Q192" s="134"/>
      <c r="R192" s="132"/>
      <c r="S192" s="132"/>
      <c r="T192" s="133"/>
      <c r="U192" s="134"/>
      <c r="V192" s="132"/>
      <c r="W192" s="135"/>
      <c r="X192" s="136"/>
      <c r="Y192" s="132"/>
      <c r="Z192" s="132"/>
      <c r="AA192" s="132"/>
      <c r="AB192" s="132"/>
      <c r="AC192" s="132"/>
      <c r="AD192" s="135"/>
      <c r="AE192" s="136"/>
      <c r="AF192" s="132"/>
      <c r="AG192" s="137"/>
      <c r="AH192" s="132"/>
      <c r="AI192" s="132"/>
      <c r="AJ192" s="132"/>
      <c r="AK192" s="132"/>
      <c r="AL192" s="132"/>
      <c r="AM192" s="132"/>
      <c r="AN192" s="132"/>
      <c r="AO192" s="132"/>
      <c r="AP192" s="135"/>
      <c r="AQ192" s="136"/>
      <c r="AR192" s="132"/>
      <c r="AS192" s="132"/>
      <c r="AT192" s="132"/>
      <c r="AU192" s="135"/>
      <c r="AV192" s="136"/>
      <c r="AW192" s="132"/>
      <c r="AX192" s="132"/>
      <c r="AY192" s="135"/>
      <c r="AZ192" s="136"/>
      <c r="BA192" s="132"/>
      <c r="BB192" s="132"/>
      <c r="BC192" s="135"/>
      <c r="BD192" s="136"/>
      <c r="BE192" s="132"/>
      <c r="BF192" s="132"/>
      <c r="BG192" s="135"/>
      <c r="BH192" s="136"/>
      <c r="BI192" s="132"/>
      <c r="BJ192" s="132"/>
      <c r="BK192" s="132"/>
      <c r="BL192" s="135"/>
      <c r="BM192" s="136"/>
      <c r="BN192" s="132"/>
      <c r="BO192" s="132"/>
      <c r="BP192" s="135"/>
      <c r="BQ192" s="136"/>
      <c r="BR192" s="137"/>
      <c r="BS192" s="132"/>
      <c r="BT192" s="132"/>
      <c r="BU192" s="132"/>
      <c r="BV192" s="132"/>
      <c r="BW192" s="135"/>
      <c r="BX192" s="136"/>
      <c r="BY192" s="132"/>
      <c r="BZ192" s="132"/>
      <c r="CA192" s="135"/>
      <c r="CB192" s="136"/>
      <c r="CC192" s="132"/>
      <c r="CD192" s="132"/>
      <c r="CE192" s="132"/>
      <c r="CF192" s="132"/>
      <c r="CG192" s="135"/>
      <c r="CH192" s="136"/>
      <c r="CI192" s="136"/>
      <c r="CJ192" s="132"/>
      <c r="CK192" s="132"/>
      <c r="CL192" s="135"/>
      <c r="CM192" s="136"/>
      <c r="CN192" s="132"/>
      <c r="CO192" s="132"/>
      <c r="CP192" s="132"/>
      <c r="CQ192" s="132"/>
      <c r="CR192" s="137"/>
      <c r="CS192" s="132"/>
      <c r="CT192" s="132"/>
      <c r="CU192" s="132"/>
      <c r="CV192" s="137"/>
      <c r="CW192" s="132"/>
      <c r="CX192" s="132"/>
      <c r="CY192" s="132"/>
      <c r="CZ192" s="132"/>
      <c r="DA192" s="132"/>
      <c r="DB192" s="132"/>
      <c r="DC192" s="137"/>
      <c r="DD192" s="132"/>
      <c r="DE192" s="132"/>
      <c r="DF192" s="132"/>
      <c r="DG192" s="132">
        <f t="shared" si="13"/>
        <v>0</v>
      </c>
    </row>
    <row r="193" spans="1:113" s="125" customFormat="1" ht="17.100000000000001" customHeight="1" x14ac:dyDescent="0.25">
      <c r="A193" s="126"/>
      <c r="B193" s="224"/>
      <c r="C193" s="142"/>
      <c r="D193" s="204"/>
      <c r="E193" s="130"/>
      <c r="F193" s="128"/>
      <c r="G193" s="131"/>
      <c r="H193" s="132"/>
      <c r="I193" s="133"/>
      <c r="J193" s="134"/>
      <c r="K193" s="132"/>
      <c r="L193" s="133"/>
      <c r="M193" s="134"/>
      <c r="N193" s="133"/>
      <c r="O193" s="134"/>
      <c r="P193" s="133"/>
      <c r="Q193" s="134"/>
      <c r="R193" s="132"/>
      <c r="S193" s="132"/>
      <c r="T193" s="133"/>
      <c r="U193" s="134"/>
      <c r="V193" s="132"/>
      <c r="W193" s="135"/>
      <c r="X193" s="136"/>
      <c r="Y193" s="132"/>
      <c r="Z193" s="132"/>
      <c r="AA193" s="132"/>
      <c r="AB193" s="132"/>
      <c r="AC193" s="132"/>
      <c r="AD193" s="135"/>
      <c r="AE193" s="136"/>
      <c r="AF193" s="132"/>
      <c r="AG193" s="137"/>
      <c r="AH193" s="132"/>
      <c r="AI193" s="132"/>
      <c r="AJ193" s="132"/>
      <c r="AK193" s="132"/>
      <c r="AL193" s="132"/>
      <c r="AM193" s="132"/>
      <c r="AN193" s="132"/>
      <c r="AO193" s="132"/>
      <c r="AP193" s="135"/>
      <c r="AQ193" s="136"/>
      <c r="AR193" s="132"/>
      <c r="AS193" s="132"/>
      <c r="AT193" s="132"/>
      <c r="AU193" s="135"/>
      <c r="AV193" s="136"/>
      <c r="AW193" s="132"/>
      <c r="AX193" s="132"/>
      <c r="AY193" s="135"/>
      <c r="AZ193" s="136"/>
      <c r="BA193" s="132"/>
      <c r="BB193" s="132"/>
      <c r="BC193" s="135"/>
      <c r="BD193" s="136"/>
      <c r="BE193" s="132"/>
      <c r="BF193" s="132"/>
      <c r="BG193" s="135"/>
      <c r="BH193" s="136"/>
      <c r="BI193" s="132"/>
      <c r="BJ193" s="132"/>
      <c r="BK193" s="132"/>
      <c r="BL193" s="135"/>
      <c r="BM193" s="136"/>
      <c r="BN193" s="132"/>
      <c r="BO193" s="132"/>
      <c r="BP193" s="135"/>
      <c r="BQ193" s="136"/>
      <c r="BR193" s="137"/>
      <c r="BS193" s="132"/>
      <c r="BT193" s="132"/>
      <c r="BU193" s="132"/>
      <c r="BV193" s="132"/>
      <c r="BW193" s="135"/>
      <c r="BX193" s="136"/>
      <c r="BY193" s="132"/>
      <c r="BZ193" s="132"/>
      <c r="CA193" s="135"/>
      <c r="CB193" s="136"/>
      <c r="CC193" s="132"/>
      <c r="CD193" s="132"/>
      <c r="CE193" s="132"/>
      <c r="CF193" s="132"/>
      <c r="CG193" s="135"/>
      <c r="CH193" s="136"/>
      <c r="CI193" s="136"/>
      <c r="CJ193" s="132"/>
      <c r="CK193" s="132"/>
      <c r="CL193" s="135"/>
      <c r="CM193" s="136"/>
      <c r="CN193" s="132"/>
      <c r="CO193" s="132"/>
      <c r="CP193" s="132"/>
      <c r="CQ193" s="132"/>
      <c r="CR193" s="137"/>
      <c r="CS193" s="132"/>
      <c r="CT193" s="132"/>
      <c r="CU193" s="132"/>
      <c r="CV193" s="137"/>
      <c r="CW193" s="132"/>
      <c r="CX193" s="132"/>
      <c r="CY193" s="132"/>
      <c r="CZ193" s="132"/>
      <c r="DA193" s="132"/>
      <c r="DB193" s="132"/>
      <c r="DC193" s="137"/>
      <c r="DD193" s="132"/>
      <c r="DE193" s="132"/>
      <c r="DF193" s="132"/>
      <c r="DG193" s="132">
        <f t="shared" si="13"/>
        <v>0</v>
      </c>
    </row>
    <row r="194" spans="1:113" s="125" customFormat="1" ht="17.100000000000001" customHeight="1" x14ac:dyDescent="0.25">
      <c r="A194" s="126"/>
      <c r="B194" s="224"/>
      <c r="C194" s="142"/>
      <c r="D194" s="204"/>
      <c r="E194" s="130"/>
      <c r="F194" s="128"/>
      <c r="G194" s="131"/>
      <c r="H194" s="132"/>
      <c r="I194" s="133"/>
      <c r="J194" s="134"/>
      <c r="K194" s="132"/>
      <c r="L194" s="133"/>
      <c r="M194" s="134"/>
      <c r="N194" s="133"/>
      <c r="O194" s="134"/>
      <c r="P194" s="133"/>
      <c r="Q194" s="134"/>
      <c r="R194" s="132"/>
      <c r="S194" s="132"/>
      <c r="T194" s="133"/>
      <c r="U194" s="134"/>
      <c r="V194" s="132"/>
      <c r="W194" s="135"/>
      <c r="X194" s="136"/>
      <c r="Y194" s="132"/>
      <c r="Z194" s="132"/>
      <c r="AA194" s="132"/>
      <c r="AB194" s="132"/>
      <c r="AC194" s="132"/>
      <c r="AD194" s="135"/>
      <c r="AE194" s="136"/>
      <c r="AF194" s="132"/>
      <c r="AG194" s="137"/>
      <c r="AH194" s="132"/>
      <c r="AI194" s="132"/>
      <c r="AJ194" s="132"/>
      <c r="AK194" s="132"/>
      <c r="AL194" s="132"/>
      <c r="AM194" s="132"/>
      <c r="AN194" s="132"/>
      <c r="AO194" s="132"/>
      <c r="AP194" s="135"/>
      <c r="AQ194" s="136"/>
      <c r="AR194" s="132"/>
      <c r="AS194" s="132"/>
      <c r="AT194" s="132"/>
      <c r="AU194" s="135"/>
      <c r="AV194" s="136"/>
      <c r="AW194" s="132"/>
      <c r="AX194" s="132"/>
      <c r="AY194" s="135"/>
      <c r="AZ194" s="136"/>
      <c r="BA194" s="132"/>
      <c r="BB194" s="132"/>
      <c r="BC194" s="135"/>
      <c r="BD194" s="136"/>
      <c r="BE194" s="132"/>
      <c r="BF194" s="132"/>
      <c r="BG194" s="135"/>
      <c r="BH194" s="136"/>
      <c r="BI194" s="132"/>
      <c r="BJ194" s="132"/>
      <c r="BK194" s="132"/>
      <c r="BL194" s="135"/>
      <c r="BM194" s="136"/>
      <c r="BN194" s="132"/>
      <c r="BO194" s="132"/>
      <c r="BP194" s="135"/>
      <c r="BQ194" s="136"/>
      <c r="BR194" s="137"/>
      <c r="BS194" s="132"/>
      <c r="BT194" s="132"/>
      <c r="BU194" s="132"/>
      <c r="BV194" s="132"/>
      <c r="BW194" s="135"/>
      <c r="BX194" s="136"/>
      <c r="BY194" s="132"/>
      <c r="BZ194" s="132"/>
      <c r="CA194" s="135"/>
      <c r="CB194" s="136"/>
      <c r="CC194" s="132"/>
      <c r="CD194" s="132"/>
      <c r="CE194" s="132"/>
      <c r="CF194" s="132"/>
      <c r="CG194" s="135"/>
      <c r="CH194" s="136"/>
      <c r="CI194" s="136"/>
      <c r="CJ194" s="132"/>
      <c r="CK194" s="132"/>
      <c r="CL194" s="135"/>
      <c r="CM194" s="136"/>
      <c r="CN194" s="132"/>
      <c r="CO194" s="132"/>
      <c r="CP194" s="132"/>
      <c r="CQ194" s="132"/>
      <c r="CR194" s="137"/>
      <c r="CS194" s="132"/>
      <c r="CT194" s="132"/>
      <c r="CU194" s="132"/>
      <c r="CV194" s="137"/>
      <c r="CW194" s="132"/>
      <c r="CX194" s="132"/>
      <c r="CY194" s="132"/>
      <c r="CZ194" s="132"/>
      <c r="DA194" s="132"/>
      <c r="DB194" s="132"/>
      <c r="DC194" s="137"/>
      <c r="DD194" s="132"/>
      <c r="DE194" s="132"/>
      <c r="DF194" s="132"/>
      <c r="DG194" s="132">
        <f t="shared" si="13"/>
        <v>0</v>
      </c>
    </row>
    <row r="195" spans="1:113" s="125" customFormat="1" ht="17.100000000000001" customHeight="1" x14ac:dyDescent="0.25">
      <c r="A195" s="126"/>
      <c r="B195" s="127"/>
      <c r="C195" s="142"/>
      <c r="D195" s="204"/>
      <c r="E195" s="130"/>
      <c r="F195" s="128"/>
      <c r="G195" s="131"/>
      <c r="H195" s="132"/>
      <c r="I195" s="133"/>
      <c r="J195" s="134"/>
      <c r="K195" s="132"/>
      <c r="L195" s="133"/>
      <c r="M195" s="134"/>
      <c r="N195" s="133"/>
      <c r="O195" s="134"/>
      <c r="P195" s="133"/>
      <c r="Q195" s="134"/>
      <c r="R195" s="132"/>
      <c r="S195" s="132"/>
      <c r="T195" s="133"/>
      <c r="U195" s="134"/>
      <c r="V195" s="132"/>
      <c r="W195" s="135"/>
      <c r="X195" s="136"/>
      <c r="Y195" s="132"/>
      <c r="Z195" s="132"/>
      <c r="AA195" s="132"/>
      <c r="AB195" s="132"/>
      <c r="AC195" s="132"/>
      <c r="AD195" s="135"/>
      <c r="AE195" s="136"/>
      <c r="AF195" s="132"/>
      <c r="AG195" s="137"/>
      <c r="AH195" s="132"/>
      <c r="AI195" s="132"/>
      <c r="AJ195" s="132"/>
      <c r="AK195" s="132"/>
      <c r="AL195" s="132"/>
      <c r="AM195" s="132"/>
      <c r="AN195" s="132"/>
      <c r="AO195" s="132"/>
      <c r="AP195" s="135"/>
      <c r="AQ195" s="136"/>
      <c r="AR195" s="132"/>
      <c r="AS195" s="132"/>
      <c r="AT195" s="132"/>
      <c r="AU195" s="135"/>
      <c r="AV195" s="136"/>
      <c r="AW195" s="132"/>
      <c r="AX195" s="132"/>
      <c r="AY195" s="135"/>
      <c r="AZ195" s="136"/>
      <c r="BA195" s="132"/>
      <c r="BB195" s="132"/>
      <c r="BC195" s="135"/>
      <c r="BD195" s="136"/>
      <c r="BE195" s="132"/>
      <c r="BF195" s="132"/>
      <c r="BG195" s="135"/>
      <c r="BH195" s="136"/>
      <c r="BI195" s="132"/>
      <c r="BJ195" s="132"/>
      <c r="BK195" s="132"/>
      <c r="BL195" s="135"/>
      <c r="BM195" s="136"/>
      <c r="BN195" s="132"/>
      <c r="BO195" s="132"/>
      <c r="BP195" s="135"/>
      <c r="BQ195" s="136"/>
      <c r="BR195" s="137"/>
      <c r="BS195" s="132"/>
      <c r="BT195" s="132"/>
      <c r="BU195" s="132"/>
      <c r="BV195" s="132"/>
      <c r="BW195" s="135"/>
      <c r="BX195" s="136"/>
      <c r="BY195" s="132"/>
      <c r="BZ195" s="132"/>
      <c r="CA195" s="135"/>
      <c r="CB195" s="136"/>
      <c r="CC195" s="132"/>
      <c r="CD195" s="132"/>
      <c r="CE195" s="132"/>
      <c r="CF195" s="132"/>
      <c r="CG195" s="135"/>
      <c r="CH195" s="136"/>
      <c r="CI195" s="136"/>
      <c r="CJ195" s="132"/>
      <c r="CK195" s="132"/>
      <c r="CL195" s="135"/>
      <c r="CM195" s="136"/>
      <c r="CN195" s="132"/>
      <c r="CO195" s="132"/>
      <c r="CP195" s="132"/>
      <c r="CQ195" s="132"/>
      <c r="CR195" s="137"/>
      <c r="CS195" s="132"/>
      <c r="CT195" s="132"/>
      <c r="CU195" s="132"/>
      <c r="CV195" s="137"/>
      <c r="CW195" s="132"/>
      <c r="CX195" s="132"/>
      <c r="CY195" s="132"/>
      <c r="CZ195" s="132"/>
      <c r="DA195" s="132"/>
      <c r="DB195" s="132"/>
      <c r="DC195" s="137"/>
      <c r="DD195" s="132"/>
      <c r="DE195" s="132"/>
      <c r="DF195" s="132"/>
      <c r="DG195" s="132">
        <f t="shared" si="13"/>
        <v>0</v>
      </c>
    </row>
    <row r="196" spans="1:113" s="187" customFormat="1" ht="17.100000000000001" customHeight="1" thickBot="1" x14ac:dyDescent="0.3">
      <c r="A196" s="175"/>
      <c r="B196" s="176"/>
      <c r="C196" s="179"/>
      <c r="D196" s="205" t="s">
        <v>1650</v>
      </c>
      <c r="E196" s="178"/>
      <c r="F196" s="179"/>
      <c r="G196" s="180"/>
      <c r="H196" s="181">
        <f t="shared" ref="H196:BS196" si="14">SUM(H190:H195)</f>
        <v>0</v>
      </c>
      <c r="I196" s="182">
        <f t="shared" si="14"/>
        <v>0</v>
      </c>
      <c r="J196" s="183">
        <f t="shared" si="14"/>
        <v>0</v>
      </c>
      <c r="K196" s="181">
        <f t="shared" si="14"/>
        <v>0</v>
      </c>
      <c r="L196" s="182">
        <f t="shared" si="14"/>
        <v>0</v>
      </c>
      <c r="M196" s="183">
        <f t="shared" si="14"/>
        <v>0</v>
      </c>
      <c r="N196" s="182">
        <f t="shared" si="14"/>
        <v>0</v>
      </c>
      <c r="O196" s="183">
        <f t="shared" si="14"/>
        <v>0</v>
      </c>
      <c r="P196" s="182">
        <f t="shared" si="14"/>
        <v>0</v>
      </c>
      <c r="Q196" s="183">
        <f t="shared" si="14"/>
        <v>0</v>
      </c>
      <c r="R196" s="181">
        <f t="shared" si="14"/>
        <v>0</v>
      </c>
      <c r="S196" s="181">
        <f t="shared" si="14"/>
        <v>0</v>
      </c>
      <c r="T196" s="182">
        <f t="shared" si="14"/>
        <v>0</v>
      </c>
      <c r="U196" s="183">
        <f t="shared" si="14"/>
        <v>0</v>
      </c>
      <c r="V196" s="181">
        <f t="shared" si="14"/>
        <v>0</v>
      </c>
      <c r="W196" s="184">
        <f t="shared" si="14"/>
        <v>0</v>
      </c>
      <c r="X196" s="185">
        <f t="shared" si="14"/>
        <v>0</v>
      </c>
      <c r="Y196" s="181">
        <f t="shared" si="14"/>
        <v>0</v>
      </c>
      <c r="Z196" s="181">
        <f t="shared" si="14"/>
        <v>0</v>
      </c>
      <c r="AA196" s="181">
        <f t="shared" si="14"/>
        <v>0</v>
      </c>
      <c r="AB196" s="181">
        <f t="shared" si="14"/>
        <v>0</v>
      </c>
      <c r="AC196" s="181">
        <f t="shared" si="14"/>
        <v>0</v>
      </c>
      <c r="AD196" s="184">
        <f t="shared" si="14"/>
        <v>0</v>
      </c>
      <c r="AE196" s="185">
        <f t="shared" si="14"/>
        <v>0</v>
      </c>
      <c r="AF196" s="181">
        <f t="shared" si="14"/>
        <v>0</v>
      </c>
      <c r="AG196" s="186">
        <f t="shared" si="14"/>
        <v>0</v>
      </c>
      <c r="AH196" s="181">
        <f t="shared" si="14"/>
        <v>0</v>
      </c>
      <c r="AI196" s="181">
        <f t="shared" si="14"/>
        <v>0</v>
      </c>
      <c r="AJ196" s="181">
        <f t="shared" si="14"/>
        <v>0</v>
      </c>
      <c r="AK196" s="181">
        <f t="shared" si="14"/>
        <v>0</v>
      </c>
      <c r="AL196" s="181">
        <f t="shared" si="14"/>
        <v>0</v>
      </c>
      <c r="AM196" s="181">
        <f t="shared" si="14"/>
        <v>0</v>
      </c>
      <c r="AN196" s="181">
        <f t="shared" si="14"/>
        <v>0</v>
      </c>
      <c r="AO196" s="181">
        <f t="shared" si="14"/>
        <v>0</v>
      </c>
      <c r="AP196" s="184">
        <f t="shared" si="14"/>
        <v>0</v>
      </c>
      <c r="AQ196" s="185">
        <f t="shared" si="14"/>
        <v>0</v>
      </c>
      <c r="AR196" s="181">
        <f t="shared" si="14"/>
        <v>0</v>
      </c>
      <c r="AS196" s="181">
        <f t="shared" si="14"/>
        <v>0</v>
      </c>
      <c r="AT196" s="181">
        <f t="shared" si="14"/>
        <v>0</v>
      </c>
      <c r="AU196" s="184">
        <f t="shared" si="14"/>
        <v>0</v>
      </c>
      <c r="AV196" s="185">
        <f t="shared" si="14"/>
        <v>0</v>
      </c>
      <c r="AW196" s="181">
        <f t="shared" si="14"/>
        <v>0</v>
      </c>
      <c r="AX196" s="181">
        <f t="shared" si="14"/>
        <v>0</v>
      </c>
      <c r="AY196" s="184">
        <f t="shared" si="14"/>
        <v>0</v>
      </c>
      <c r="AZ196" s="185">
        <f t="shared" si="14"/>
        <v>0</v>
      </c>
      <c r="BA196" s="181">
        <f t="shared" si="14"/>
        <v>0</v>
      </c>
      <c r="BB196" s="181">
        <f t="shared" si="14"/>
        <v>0</v>
      </c>
      <c r="BC196" s="184">
        <f t="shared" si="14"/>
        <v>0</v>
      </c>
      <c r="BD196" s="185">
        <f t="shared" si="14"/>
        <v>0</v>
      </c>
      <c r="BE196" s="181">
        <f t="shared" si="14"/>
        <v>0</v>
      </c>
      <c r="BF196" s="181">
        <f t="shared" si="14"/>
        <v>0</v>
      </c>
      <c r="BG196" s="184">
        <f t="shared" si="14"/>
        <v>0</v>
      </c>
      <c r="BH196" s="185">
        <f t="shared" si="14"/>
        <v>0</v>
      </c>
      <c r="BI196" s="181">
        <f t="shared" si="14"/>
        <v>0</v>
      </c>
      <c r="BJ196" s="181">
        <f t="shared" si="14"/>
        <v>0</v>
      </c>
      <c r="BK196" s="181">
        <f t="shared" si="14"/>
        <v>0</v>
      </c>
      <c r="BL196" s="184">
        <f t="shared" si="14"/>
        <v>0</v>
      </c>
      <c r="BM196" s="185">
        <f t="shared" si="14"/>
        <v>0</v>
      </c>
      <c r="BN196" s="181">
        <f t="shared" si="14"/>
        <v>0</v>
      </c>
      <c r="BO196" s="181">
        <f t="shared" si="14"/>
        <v>0</v>
      </c>
      <c r="BP196" s="184">
        <f t="shared" si="14"/>
        <v>0</v>
      </c>
      <c r="BQ196" s="185">
        <f t="shared" si="14"/>
        <v>0</v>
      </c>
      <c r="BR196" s="186">
        <f t="shared" si="14"/>
        <v>0</v>
      </c>
      <c r="BS196" s="181">
        <f t="shared" si="14"/>
        <v>0</v>
      </c>
      <c r="BT196" s="181">
        <f t="shared" ref="BT196:DC196" si="15">SUM(BT190:BT195)</f>
        <v>0</v>
      </c>
      <c r="BU196" s="181">
        <f t="shared" si="15"/>
        <v>0</v>
      </c>
      <c r="BV196" s="181">
        <f t="shared" si="15"/>
        <v>0</v>
      </c>
      <c r="BW196" s="184">
        <f t="shared" si="15"/>
        <v>0</v>
      </c>
      <c r="BX196" s="185">
        <f t="shared" si="15"/>
        <v>0</v>
      </c>
      <c r="BY196" s="181">
        <f t="shared" si="15"/>
        <v>0</v>
      </c>
      <c r="BZ196" s="181">
        <f t="shared" si="15"/>
        <v>0</v>
      </c>
      <c r="CA196" s="184">
        <f t="shared" si="15"/>
        <v>0</v>
      </c>
      <c r="CB196" s="185">
        <f t="shared" si="15"/>
        <v>0</v>
      </c>
      <c r="CC196" s="181">
        <f t="shared" si="15"/>
        <v>0</v>
      </c>
      <c r="CD196" s="181">
        <f t="shared" si="15"/>
        <v>0</v>
      </c>
      <c r="CE196" s="181">
        <f t="shared" si="15"/>
        <v>0</v>
      </c>
      <c r="CF196" s="181">
        <f t="shared" si="15"/>
        <v>0</v>
      </c>
      <c r="CG196" s="184">
        <f t="shared" si="15"/>
        <v>0</v>
      </c>
      <c r="CH196" s="185">
        <f t="shared" si="15"/>
        <v>0</v>
      </c>
      <c r="CI196" s="185">
        <f t="shared" si="15"/>
        <v>0</v>
      </c>
      <c r="CJ196" s="181">
        <f t="shared" si="15"/>
        <v>0</v>
      </c>
      <c r="CK196" s="181">
        <f t="shared" si="15"/>
        <v>0</v>
      </c>
      <c r="CL196" s="184">
        <f t="shared" si="15"/>
        <v>0</v>
      </c>
      <c r="CM196" s="185">
        <f t="shared" si="15"/>
        <v>0</v>
      </c>
      <c r="CN196" s="181">
        <f t="shared" si="15"/>
        <v>0</v>
      </c>
      <c r="CO196" s="181">
        <f t="shared" si="15"/>
        <v>0</v>
      </c>
      <c r="CP196" s="181">
        <f t="shared" si="15"/>
        <v>0</v>
      </c>
      <c r="CQ196" s="181">
        <f t="shared" si="15"/>
        <v>0</v>
      </c>
      <c r="CR196" s="186">
        <f t="shared" si="15"/>
        <v>0</v>
      </c>
      <c r="CS196" s="181">
        <f t="shared" si="15"/>
        <v>0</v>
      </c>
      <c r="CT196" s="181">
        <f t="shared" si="15"/>
        <v>0</v>
      </c>
      <c r="CU196" s="181">
        <f t="shared" si="15"/>
        <v>0</v>
      </c>
      <c r="CV196" s="186">
        <f t="shared" si="15"/>
        <v>0</v>
      </c>
      <c r="CW196" s="181">
        <f t="shared" si="15"/>
        <v>0</v>
      </c>
      <c r="CX196" s="181">
        <f t="shared" si="15"/>
        <v>0</v>
      </c>
      <c r="CY196" s="181">
        <f t="shared" si="15"/>
        <v>0</v>
      </c>
      <c r="CZ196" s="181">
        <f t="shared" si="15"/>
        <v>0</v>
      </c>
      <c r="DA196" s="181">
        <f t="shared" si="15"/>
        <v>0</v>
      </c>
      <c r="DB196" s="181">
        <f t="shared" si="15"/>
        <v>0</v>
      </c>
      <c r="DC196" s="186">
        <f t="shared" si="15"/>
        <v>0</v>
      </c>
      <c r="DD196" s="181">
        <f>SUM(DD190:DD195)</f>
        <v>0</v>
      </c>
      <c r="DE196" s="181">
        <f>SUM(DE190:DE195)</f>
        <v>0</v>
      </c>
      <c r="DF196" s="181">
        <f>SUM(DF190:DF195)</f>
        <v>0</v>
      </c>
      <c r="DG196" s="181">
        <f>SUM(DG190:DG195)</f>
        <v>0</v>
      </c>
      <c r="DI196" s="125"/>
    </row>
    <row r="197" spans="1:113" ht="13.5" thickTop="1" x14ac:dyDescent="0.2"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  <c r="AS197" s="236"/>
      <c r="AT197" s="236"/>
      <c r="AU197" s="236"/>
      <c r="AV197" s="236"/>
      <c r="AW197" s="236"/>
      <c r="AX197" s="236"/>
      <c r="AY197" s="236"/>
      <c r="AZ197" s="236"/>
      <c r="BA197" s="236"/>
      <c r="BB197" s="236"/>
      <c r="BC197" s="236"/>
      <c r="BD197" s="236"/>
      <c r="BE197" s="236"/>
      <c r="BF197" s="236"/>
      <c r="BG197" s="236"/>
      <c r="BH197" s="236"/>
      <c r="BI197" s="236"/>
      <c r="BJ197" s="236"/>
      <c r="BK197" s="236"/>
      <c r="BL197" s="236"/>
      <c r="BM197" s="236"/>
      <c r="BN197" s="236"/>
      <c r="BO197" s="236"/>
      <c r="BP197" s="236"/>
      <c r="BQ197" s="236"/>
      <c r="BR197" s="236"/>
      <c r="BS197" s="236"/>
      <c r="BT197" s="236"/>
      <c r="BU197" s="236"/>
      <c r="BV197" s="236"/>
      <c r="BW197" s="236"/>
      <c r="BX197" s="236"/>
      <c r="BY197" s="236"/>
      <c r="BZ197" s="236"/>
      <c r="CA197" s="236"/>
      <c r="CB197" s="236"/>
      <c r="CC197" s="236"/>
      <c r="CD197" s="236"/>
      <c r="CE197" s="236"/>
      <c r="CF197" s="236"/>
      <c r="CG197" s="236"/>
      <c r="CH197" s="236"/>
      <c r="CI197" s="236"/>
      <c r="CJ197" s="236"/>
      <c r="CK197" s="236"/>
      <c r="CL197" s="236"/>
      <c r="CM197" s="236"/>
      <c r="CN197" s="236"/>
      <c r="CO197" s="236"/>
      <c r="CP197" s="236"/>
      <c r="CQ197" s="236"/>
      <c r="CR197" s="236"/>
      <c r="CS197" s="236"/>
      <c r="CT197" s="236"/>
      <c r="CU197" s="236"/>
      <c r="CV197" s="236"/>
      <c r="CW197" s="236"/>
      <c r="CX197" s="236"/>
      <c r="CY197" s="236"/>
      <c r="CZ197" s="236"/>
      <c r="DA197" s="236"/>
      <c r="DB197" s="236"/>
      <c r="DC197" s="236"/>
      <c r="DD197" s="236"/>
      <c r="DE197" s="236"/>
      <c r="DF197" s="236"/>
      <c r="DG197" s="236"/>
      <c r="DI197" s="125"/>
    </row>
    <row r="198" spans="1:113" s="187" customFormat="1" ht="17.100000000000001" customHeight="1" thickBot="1" x14ac:dyDescent="0.3">
      <c r="A198" s="175"/>
      <c r="B198" s="176"/>
      <c r="C198" s="179"/>
      <c r="D198" s="177" t="s">
        <v>1117</v>
      </c>
      <c r="E198" s="178"/>
      <c r="F198" s="179"/>
      <c r="G198" s="180"/>
      <c r="H198" s="181">
        <f>SUM(H189,H186,H181,H176,H163,H149,H196)</f>
        <v>0</v>
      </c>
      <c r="I198" s="182">
        <f t="shared" ref="I198:BT198" si="16">SUM(I189,I186,I181,I176,I163,I149,I196)</f>
        <v>0</v>
      </c>
      <c r="J198" s="183">
        <f t="shared" si="16"/>
        <v>0</v>
      </c>
      <c r="K198" s="181">
        <f t="shared" si="16"/>
        <v>0</v>
      </c>
      <c r="L198" s="182">
        <f t="shared" si="16"/>
        <v>0</v>
      </c>
      <c r="M198" s="183">
        <f t="shared" si="16"/>
        <v>0</v>
      </c>
      <c r="N198" s="182">
        <f t="shared" si="16"/>
        <v>0</v>
      </c>
      <c r="O198" s="183">
        <f t="shared" si="16"/>
        <v>0</v>
      </c>
      <c r="P198" s="182">
        <f t="shared" si="16"/>
        <v>0</v>
      </c>
      <c r="Q198" s="183">
        <f t="shared" si="16"/>
        <v>0</v>
      </c>
      <c r="R198" s="181">
        <f t="shared" si="16"/>
        <v>0</v>
      </c>
      <c r="S198" s="181">
        <f t="shared" si="16"/>
        <v>0</v>
      </c>
      <c r="T198" s="182">
        <f t="shared" si="16"/>
        <v>0</v>
      </c>
      <c r="U198" s="183">
        <f t="shared" si="16"/>
        <v>0</v>
      </c>
      <c r="V198" s="181">
        <f t="shared" si="16"/>
        <v>0</v>
      </c>
      <c r="W198" s="184">
        <f t="shared" si="16"/>
        <v>0</v>
      </c>
      <c r="X198" s="185">
        <f t="shared" si="16"/>
        <v>0</v>
      </c>
      <c r="Y198" s="181">
        <f t="shared" si="16"/>
        <v>0</v>
      </c>
      <c r="Z198" s="181">
        <f t="shared" si="16"/>
        <v>0</v>
      </c>
      <c r="AA198" s="181">
        <f t="shared" si="16"/>
        <v>0</v>
      </c>
      <c r="AB198" s="181">
        <f t="shared" si="16"/>
        <v>0</v>
      </c>
      <c r="AC198" s="181">
        <f t="shared" si="16"/>
        <v>0</v>
      </c>
      <c r="AD198" s="184">
        <f t="shared" si="16"/>
        <v>0</v>
      </c>
      <c r="AE198" s="185">
        <f t="shared" si="16"/>
        <v>0</v>
      </c>
      <c r="AF198" s="181">
        <f t="shared" si="16"/>
        <v>0</v>
      </c>
      <c r="AG198" s="186">
        <f t="shared" si="16"/>
        <v>0</v>
      </c>
      <c r="AH198" s="181">
        <f t="shared" si="16"/>
        <v>0</v>
      </c>
      <c r="AI198" s="181">
        <f t="shared" si="16"/>
        <v>0</v>
      </c>
      <c r="AJ198" s="181">
        <f t="shared" si="16"/>
        <v>0</v>
      </c>
      <c r="AK198" s="181">
        <f t="shared" si="16"/>
        <v>0</v>
      </c>
      <c r="AL198" s="181">
        <f t="shared" si="16"/>
        <v>0</v>
      </c>
      <c r="AM198" s="181">
        <f t="shared" si="16"/>
        <v>0</v>
      </c>
      <c r="AN198" s="181">
        <f t="shared" si="16"/>
        <v>0</v>
      </c>
      <c r="AO198" s="181">
        <f t="shared" si="16"/>
        <v>0</v>
      </c>
      <c r="AP198" s="184">
        <f t="shared" si="16"/>
        <v>0</v>
      </c>
      <c r="AQ198" s="185">
        <f t="shared" si="16"/>
        <v>0</v>
      </c>
      <c r="AR198" s="181">
        <f t="shared" si="16"/>
        <v>0</v>
      </c>
      <c r="AS198" s="181">
        <f t="shared" si="16"/>
        <v>0</v>
      </c>
      <c r="AT198" s="181">
        <f t="shared" si="16"/>
        <v>0</v>
      </c>
      <c r="AU198" s="184">
        <f t="shared" si="16"/>
        <v>0</v>
      </c>
      <c r="AV198" s="185">
        <f t="shared" si="16"/>
        <v>0</v>
      </c>
      <c r="AW198" s="181">
        <f t="shared" si="16"/>
        <v>0</v>
      </c>
      <c r="AX198" s="181">
        <f t="shared" si="16"/>
        <v>0</v>
      </c>
      <c r="AY198" s="184">
        <f t="shared" si="16"/>
        <v>0</v>
      </c>
      <c r="AZ198" s="185">
        <f t="shared" si="16"/>
        <v>0</v>
      </c>
      <c r="BA198" s="181">
        <f t="shared" si="16"/>
        <v>0</v>
      </c>
      <c r="BB198" s="181">
        <f t="shared" si="16"/>
        <v>0</v>
      </c>
      <c r="BC198" s="184">
        <f t="shared" si="16"/>
        <v>0</v>
      </c>
      <c r="BD198" s="185">
        <f t="shared" si="16"/>
        <v>0</v>
      </c>
      <c r="BE198" s="181">
        <f t="shared" si="16"/>
        <v>0</v>
      </c>
      <c r="BF198" s="181">
        <f t="shared" si="16"/>
        <v>0</v>
      </c>
      <c r="BG198" s="184">
        <f t="shared" si="16"/>
        <v>0</v>
      </c>
      <c r="BH198" s="185">
        <f t="shared" si="16"/>
        <v>0</v>
      </c>
      <c r="BI198" s="181">
        <f t="shared" si="16"/>
        <v>0</v>
      </c>
      <c r="BJ198" s="181">
        <f t="shared" si="16"/>
        <v>0</v>
      </c>
      <c r="BK198" s="181">
        <f t="shared" si="16"/>
        <v>0</v>
      </c>
      <c r="BL198" s="184">
        <f t="shared" si="16"/>
        <v>0</v>
      </c>
      <c r="BM198" s="185">
        <f t="shared" si="16"/>
        <v>0</v>
      </c>
      <c r="BN198" s="181">
        <f t="shared" si="16"/>
        <v>0</v>
      </c>
      <c r="BO198" s="181">
        <f t="shared" si="16"/>
        <v>0</v>
      </c>
      <c r="BP198" s="184">
        <f t="shared" si="16"/>
        <v>0</v>
      </c>
      <c r="BQ198" s="185">
        <f t="shared" si="16"/>
        <v>0</v>
      </c>
      <c r="BR198" s="186">
        <f t="shared" si="16"/>
        <v>0</v>
      </c>
      <c r="BS198" s="181">
        <f t="shared" si="16"/>
        <v>0</v>
      </c>
      <c r="BT198" s="181">
        <f t="shared" si="16"/>
        <v>0</v>
      </c>
      <c r="BU198" s="181">
        <f t="shared" ref="BU198:DG198" si="17">SUM(BU189,BU186,BU181,BU176,BU163,BU149,BU196)</f>
        <v>0</v>
      </c>
      <c r="BV198" s="181">
        <f t="shared" si="17"/>
        <v>0</v>
      </c>
      <c r="BW198" s="184">
        <f t="shared" si="17"/>
        <v>0</v>
      </c>
      <c r="BX198" s="185">
        <f t="shared" si="17"/>
        <v>0</v>
      </c>
      <c r="BY198" s="181">
        <f t="shared" si="17"/>
        <v>0</v>
      </c>
      <c r="BZ198" s="181">
        <f t="shared" si="17"/>
        <v>0</v>
      </c>
      <c r="CA198" s="184">
        <f t="shared" si="17"/>
        <v>0</v>
      </c>
      <c r="CB198" s="185">
        <f t="shared" si="17"/>
        <v>0</v>
      </c>
      <c r="CC198" s="181">
        <f t="shared" si="17"/>
        <v>0</v>
      </c>
      <c r="CD198" s="181">
        <f t="shared" si="17"/>
        <v>0</v>
      </c>
      <c r="CE198" s="181">
        <f t="shared" si="17"/>
        <v>0</v>
      </c>
      <c r="CF198" s="181">
        <f t="shared" si="17"/>
        <v>0</v>
      </c>
      <c r="CG198" s="184">
        <f t="shared" si="17"/>
        <v>0</v>
      </c>
      <c r="CH198" s="185">
        <f t="shared" si="17"/>
        <v>0</v>
      </c>
      <c r="CI198" s="185">
        <f t="shared" si="17"/>
        <v>0</v>
      </c>
      <c r="CJ198" s="181">
        <f t="shared" si="17"/>
        <v>0</v>
      </c>
      <c r="CK198" s="181">
        <f t="shared" si="17"/>
        <v>0</v>
      </c>
      <c r="CL198" s="184">
        <f t="shared" si="17"/>
        <v>0</v>
      </c>
      <c r="CM198" s="185">
        <f t="shared" si="17"/>
        <v>0</v>
      </c>
      <c r="CN198" s="181">
        <f t="shared" si="17"/>
        <v>0</v>
      </c>
      <c r="CO198" s="181">
        <f t="shared" si="17"/>
        <v>0</v>
      </c>
      <c r="CP198" s="181">
        <f t="shared" si="17"/>
        <v>0</v>
      </c>
      <c r="CQ198" s="181">
        <f t="shared" si="17"/>
        <v>0</v>
      </c>
      <c r="CR198" s="186">
        <f t="shared" si="17"/>
        <v>0</v>
      </c>
      <c r="CS198" s="181">
        <f t="shared" si="17"/>
        <v>0</v>
      </c>
      <c r="CT198" s="181">
        <f t="shared" si="17"/>
        <v>0</v>
      </c>
      <c r="CU198" s="181">
        <f t="shared" si="17"/>
        <v>0</v>
      </c>
      <c r="CV198" s="186">
        <f t="shared" si="17"/>
        <v>0</v>
      </c>
      <c r="CW198" s="181">
        <f t="shared" si="17"/>
        <v>0</v>
      </c>
      <c r="CX198" s="181">
        <f t="shared" si="17"/>
        <v>0</v>
      </c>
      <c r="CY198" s="181">
        <f t="shared" si="17"/>
        <v>0</v>
      </c>
      <c r="CZ198" s="181">
        <f t="shared" si="17"/>
        <v>0</v>
      </c>
      <c r="DA198" s="181">
        <f t="shared" si="17"/>
        <v>0</v>
      </c>
      <c r="DB198" s="181">
        <f t="shared" si="17"/>
        <v>0</v>
      </c>
      <c r="DC198" s="186">
        <f t="shared" si="17"/>
        <v>0</v>
      </c>
      <c r="DD198" s="181">
        <f t="shared" si="17"/>
        <v>0</v>
      </c>
      <c r="DE198" s="181">
        <f t="shared" si="17"/>
        <v>0</v>
      </c>
      <c r="DF198" s="181">
        <f t="shared" si="17"/>
        <v>0</v>
      </c>
      <c r="DG198" s="181">
        <f t="shared" si="17"/>
        <v>69000425</v>
      </c>
      <c r="DI198" s="125"/>
    </row>
    <row r="199" spans="1:113" ht="13.5" thickTop="1" x14ac:dyDescent="0.2"/>
    <row r="200" spans="1:113" x14ac:dyDescent="0.2">
      <c r="B200" s="237"/>
    </row>
    <row r="201" spans="1:113" x14ac:dyDescent="0.2">
      <c r="B201" s="237"/>
    </row>
    <row r="203" spans="1:113" x14ac:dyDescent="0.2">
      <c r="B203" s="237"/>
    </row>
    <row r="204" spans="1:113" x14ac:dyDescent="0.2">
      <c r="B204" s="237"/>
    </row>
    <row r="205" spans="1:113" x14ac:dyDescent="0.2">
      <c r="B205" s="1648"/>
    </row>
    <row r="206" spans="1:113" x14ac:dyDescent="0.2">
      <c r="B206" s="239"/>
      <c r="E206" s="238"/>
    </row>
    <row r="207" spans="1:113" x14ac:dyDescent="0.2">
      <c r="B207" s="239"/>
      <c r="E207" s="238"/>
    </row>
    <row r="208" spans="1:113" x14ac:dyDescent="0.2">
      <c r="B208" s="239"/>
      <c r="E208" s="238"/>
    </row>
    <row r="209" spans="2:5" x14ac:dyDescent="0.2">
      <c r="B209" s="239"/>
      <c r="E209" s="238"/>
    </row>
    <row r="210" spans="2:5" x14ac:dyDescent="0.2">
      <c r="B210" s="239"/>
      <c r="E210" s="238"/>
    </row>
    <row r="211" spans="2:5" x14ac:dyDescent="0.2">
      <c r="B211" s="239"/>
      <c r="E211" s="238"/>
    </row>
    <row r="212" spans="2:5" x14ac:dyDescent="0.2">
      <c r="E212" s="238"/>
    </row>
    <row r="213" spans="2:5" x14ac:dyDescent="0.2">
      <c r="E213" s="238"/>
    </row>
    <row r="214" spans="2:5" x14ac:dyDescent="0.2">
      <c r="E214" s="238"/>
    </row>
    <row r="215" spans="2:5" x14ac:dyDescent="0.2">
      <c r="E215" s="238"/>
    </row>
    <row r="216" spans="2:5" x14ac:dyDescent="0.2">
      <c r="E216" s="238"/>
    </row>
    <row r="217" spans="2:5" x14ac:dyDescent="0.2">
      <c r="E217" s="238"/>
    </row>
    <row r="218" spans="2:5" x14ac:dyDescent="0.2">
      <c r="E218" s="238"/>
    </row>
    <row r="219" spans="2:5" x14ac:dyDescent="0.2">
      <c r="E219" s="238"/>
    </row>
    <row r="220" spans="2:5" x14ac:dyDescent="0.2">
      <c r="E220" s="238"/>
    </row>
    <row r="221" spans="2:5" x14ac:dyDescent="0.2">
      <c r="E221" s="238"/>
    </row>
    <row r="222" spans="2:5" x14ac:dyDescent="0.2">
      <c r="E222" s="238"/>
    </row>
    <row r="223" spans="2:5" x14ac:dyDescent="0.2">
      <c r="E223" s="238"/>
    </row>
    <row r="224" spans="2:5" x14ac:dyDescent="0.2">
      <c r="E224" s="238"/>
    </row>
    <row r="225" spans="5:5" x14ac:dyDescent="0.2">
      <c r="E225" s="238"/>
    </row>
    <row r="226" spans="5:5" x14ac:dyDescent="0.2">
      <c r="E226" s="238"/>
    </row>
    <row r="227" spans="5:5" x14ac:dyDescent="0.2">
      <c r="E227" s="238"/>
    </row>
    <row r="228" spans="5:5" x14ac:dyDescent="0.2">
      <c r="E228" s="238"/>
    </row>
    <row r="229" spans="5:5" x14ac:dyDescent="0.2">
      <c r="E229" s="238"/>
    </row>
    <row r="230" spans="5:5" x14ac:dyDescent="0.2">
      <c r="E230" s="238"/>
    </row>
    <row r="231" spans="5:5" x14ac:dyDescent="0.2">
      <c r="E231" s="238"/>
    </row>
    <row r="232" spans="5:5" x14ac:dyDescent="0.2">
      <c r="E232" s="238"/>
    </row>
    <row r="233" spans="5:5" x14ac:dyDescent="0.2">
      <c r="E233" s="238"/>
    </row>
    <row r="234" spans="5:5" x14ac:dyDescent="0.2">
      <c r="E234" s="238"/>
    </row>
    <row r="235" spans="5:5" x14ac:dyDescent="0.2">
      <c r="E235" s="238"/>
    </row>
    <row r="236" spans="5:5" x14ac:dyDescent="0.2">
      <c r="E236" s="238"/>
    </row>
    <row r="237" spans="5:5" x14ac:dyDescent="0.2">
      <c r="E237" s="238"/>
    </row>
    <row r="238" spans="5:5" x14ac:dyDescent="0.2">
      <c r="E238" s="238"/>
    </row>
    <row r="239" spans="5:5" x14ac:dyDescent="0.2">
      <c r="E239" s="238"/>
    </row>
    <row r="240" spans="5:5" x14ac:dyDescent="0.2">
      <c r="E240" s="238"/>
    </row>
    <row r="241" spans="5:5" x14ac:dyDescent="0.2">
      <c r="E241" s="238"/>
    </row>
    <row r="242" spans="5:5" x14ac:dyDescent="0.2">
      <c r="E242" s="238"/>
    </row>
    <row r="243" spans="5:5" x14ac:dyDescent="0.2">
      <c r="E243" s="238"/>
    </row>
    <row r="244" spans="5:5" x14ac:dyDescent="0.2">
      <c r="E244" s="238"/>
    </row>
    <row r="245" spans="5:5" x14ac:dyDescent="0.2">
      <c r="E245" s="238"/>
    </row>
    <row r="246" spans="5:5" x14ac:dyDescent="0.2">
      <c r="E246" s="238"/>
    </row>
    <row r="247" spans="5:5" x14ac:dyDescent="0.2">
      <c r="E247" s="238"/>
    </row>
    <row r="248" spans="5:5" x14ac:dyDescent="0.2">
      <c r="E248" s="238"/>
    </row>
    <row r="249" spans="5:5" x14ac:dyDescent="0.2">
      <c r="E249" s="238"/>
    </row>
    <row r="250" spans="5:5" x14ac:dyDescent="0.2">
      <c r="E250" s="238"/>
    </row>
    <row r="251" spans="5:5" x14ac:dyDescent="0.2">
      <c r="E251" s="238"/>
    </row>
    <row r="252" spans="5:5" x14ac:dyDescent="0.2">
      <c r="E252" s="238"/>
    </row>
    <row r="253" spans="5:5" x14ac:dyDescent="0.2">
      <c r="E253" s="238"/>
    </row>
    <row r="254" spans="5:5" x14ac:dyDescent="0.2">
      <c r="E254" s="238"/>
    </row>
    <row r="255" spans="5:5" x14ac:dyDescent="0.2">
      <c r="E255" s="238"/>
    </row>
    <row r="256" spans="5:5" x14ac:dyDescent="0.2">
      <c r="E256" s="238"/>
    </row>
    <row r="257" spans="5:5" x14ac:dyDescent="0.2">
      <c r="E257" s="238"/>
    </row>
    <row r="258" spans="5:5" x14ac:dyDescent="0.2">
      <c r="E258" s="238"/>
    </row>
    <row r="259" spans="5:5" x14ac:dyDescent="0.2">
      <c r="E259" s="238"/>
    </row>
    <row r="260" spans="5:5" x14ac:dyDescent="0.2">
      <c r="E260" s="238"/>
    </row>
    <row r="261" spans="5:5" x14ac:dyDescent="0.2">
      <c r="E261" s="238"/>
    </row>
    <row r="262" spans="5:5" x14ac:dyDescent="0.2">
      <c r="E262" s="238"/>
    </row>
    <row r="263" spans="5:5" x14ac:dyDescent="0.2">
      <c r="E263" s="238"/>
    </row>
    <row r="264" spans="5:5" x14ac:dyDescent="0.2">
      <c r="E264" s="238"/>
    </row>
    <row r="265" spans="5:5" x14ac:dyDescent="0.2">
      <c r="E265" s="238"/>
    </row>
    <row r="266" spans="5:5" x14ac:dyDescent="0.2">
      <c r="E266" s="238"/>
    </row>
    <row r="267" spans="5:5" x14ac:dyDescent="0.2">
      <c r="E267" s="238"/>
    </row>
    <row r="268" spans="5:5" x14ac:dyDescent="0.2">
      <c r="E268" s="238"/>
    </row>
    <row r="269" spans="5:5" x14ac:dyDescent="0.2">
      <c r="E269" s="238"/>
    </row>
    <row r="270" spans="5:5" x14ac:dyDescent="0.2">
      <c r="E270" s="238"/>
    </row>
    <row r="271" spans="5:5" x14ac:dyDescent="0.2">
      <c r="E271" s="238"/>
    </row>
    <row r="272" spans="5:5" x14ac:dyDescent="0.2">
      <c r="E272" s="238"/>
    </row>
    <row r="273" spans="5:5" x14ac:dyDescent="0.2">
      <c r="E273" s="238"/>
    </row>
    <row r="274" spans="5:5" x14ac:dyDescent="0.2">
      <c r="E274" s="238"/>
    </row>
    <row r="275" spans="5:5" x14ac:dyDescent="0.2">
      <c r="E275" s="238"/>
    </row>
    <row r="276" spans="5:5" x14ac:dyDescent="0.2">
      <c r="E276" s="238"/>
    </row>
    <row r="277" spans="5:5" x14ac:dyDescent="0.2">
      <c r="E277" s="238"/>
    </row>
    <row r="278" spans="5:5" x14ac:dyDescent="0.2">
      <c r="E278" s="238"/>
    </row>
    <row r="279" spans="5:5" x14ac:dyDescent="0.2">
      <c r="E279" s="238"/>
    </row>
    <row r="280" spans="5:5" x14ac:dyDescent="0.2">
      <c r="E280" s="238"/>
    </row>
    <row r="281" spans="5:5" x14ac:dyDescent="0.2">
      <c r="E281" s="238"/>
    </row>
    <row r="282" spans="5:5" x14ac:dyDescent="0.2">
      <c r="E282" s="238"/>
    </row>
    <row r="283" spans="5:5" x14ac:dyDescent="0.2">
      <c r="E283" s="238"/>
    </row>
    <row r="284" spans="5:5" x14ac:dyDescent="0.2">
      <c r="E284" s="238"/>
    </row>
    <row r="285" spans="5:5" x14ac:dyDescent="0.2">
      <c r="E285" s="238"/>
    </row>
    <row r="286" spans="5:5" x14ac:dyDescent="0.2">
      <c r="E286" s="238"/>
    </row>
    <row r="287" spans="5:5" x14ac:dyDescent="0.2">
      <c r="E287" s="238"/>
    </row>
    <row r="288" spans="5:5" x14ac:dyDescent="0.2">
      <c r="E288" s="238"/>
    </row>
    <row r="289" spans="5:5" x14ac:dyDescent="0.2">
      <c r="E289" s="238"/>
    </row>
    <row r="290" spans="5:5" x14ac:dyDescent="0.2">
      <c r="E290" s="238"/>
    </row>
    <row r="291" spans="5:5" x14ac:dyDescent="0.2">
      <c r="E291" s="238"/>
    </row>
    <row r="292" spans="5:5" x14ac:dyDescent="0.2">
      <c r="E292" s="238"/>
    </row>
    <row r="293" spans="5:5" x14ac:dyDescent="0.2">
      <c r="E293" s="238"/>
    </row>
    <row r="294" spans="5:5" x14ac:dyDescent="0.2">
      <c r="E294" s="238"/>
    </row>
    <row r="295" spans="5:5" x14ac:dyDescent="0.2">
      <c r="E295" s="238"/>
    </row>
    <row r="296" spans="5:5" x14ac:dyDescent="0.2">
      <c r="E296" s="238"/>
    </row>
    <row r="297" spans="5:5" x14ac:dyDescent="0.2">
      <c r="E297" s="238"/>
    </row>
    <row r="298" spans="5:5" x14ac:dyDescent="0.2">
      <c r="E298" s="238"/>
    </row>
    <row r="299" spans="5:5" x14ac:dyDescent="0.2">
      <c r="E299" s="238"/>
    </row>
    <row r="300" spans="5:5" x14ac:dyDescent="0.2">
      <c r="E300" s="238"/>
    </row>
    <row r="301" spans="5:5" x14ac:dyDescent="0.2">
      <c r="E301" s="238"/>
    </row>
    <row r="302" spans="5:5" x14ac:dyDescent="0.2">
      <c r="E302" s="238"/>
    </row>
    <row r="303" spans="5:5" x14ac:dyDescent="0.2">
      <c r="E303" s="238"/>
    </row>
    <row r="304" spans="5:5" x14ac:dyDescent="0.2">
      <c r="E304" s="238"/>
    </row>
    <row r="305" spans="5:5" x14ac:dyDescent="0.2">
      <c r="E305" s="238"/>
    </row>
    <row r="306" spans="5:5" x14ac:dyDescent="0.2">
      <c r="E306" s="238"/>
    </row>
    <row r="307" spans="5:5" x14ac:dyDescent="0.2">
      <c r="E307" s="238"/>
    </row>
    <row r="308" spans="5:5" x14ac:dyDescent="0.2">
      <c r="E308" s="238"/>
    </row>
    <row r="309" spans="5:5" x14ac:dyDescent="0.2">
      <c r="E309" s="238"/>
    </row>
    <row r="310" spans="5:5" x14ac:dyDescent="0.2">
      <c r="E310" s="238"/>
    </row>
    <row r="311" spans="5:5" x14ac:dyDescent="0.2">
      <c r="E311" s="238"/>
    </row>
    <row r="312" spans="5:5" x14ac:dyDescent="0.2">
      <c r="E312" s="238"/>
    </row>
    <row r="313" spans="5:5" x14ac:dyDescent="0.2">
      <c r="E313" s="238"/>
    </row>
    <row r="314" spans="5:5" x14ac:dyDescent="0.2">
      <c r="E314" s="238"/>
    </row>
    <row r="315" spans="5:5" x14ac:dyDescent="0.2">
      <c r="E315" s="238"/>
    </row>
    <row r="316" spans="5:5" x14ac:dyDescent="0.2">
      <c r="E316" s="238"/>
    </row>
    <row r="317" spans="5:5" x14ac:dyDescent="0.2">
      <c r="E317" s="238"/>
    </row>
    <row r="318" spans="5:5" x14ac:dyDescent="0.2">
      <c r="E318" s="238"/>
    </row>
    <row r="319" spans="5:5" x14ac:dyDescent="0.2">
      <c r="E319" s="238"/>
    </row>
    <row r="320" spans="5:5" x14ac:dyDescent="0.2">
      <c r="E320" s="238"/>
    </row>
    <row r="321" spans="5:5" x14ac:dyDescent="0.2">
      <c r="E321" s="238"/>
    </row>
    <row r="322" spans="5:5" x14ac:dyDescent="0.2">
      <c r="E322" s="238"/>
    </row>
    <row r="323" spans="5:5" x14ac:dyDescent="0.2">
      <c r="E323" s="238"/>
    </row>
    <row r="324" spans="5:5" x14ac:dyDescent="0.2">
      <c r="E324" s="238"/>
    </row>
    <row r="325" spans="5:5" x14ac:dyDescent="0.2">
      <c r="E325" s="238"/>
    </row>
    <row r="326" spans="5:5" x14ac:dyDescent="0.2">
      <c r="E326" s="238"/>
    </row>
    <row r="327" spans="5:5" x14ac:dyDescent="0.2">
      <c r="E327" s="238"/>
    </row>
    <row r="328" spans="5:5" x14ac:dyDescent="0.2">
      <c r="E328" s="238"/>
    </row>
    <row r="329" spans="5:5" x14ac:dyDescent="0.2">
      <c r="E329" s="238"/>
    </row>
    <row r="330" spans="5:5" x14ac:dyDescent="0.2">
      <c r="E330" s="238"/>
    </row>
    <row r="331" spans="5:5" x14ac:dyDescent="0.2">
      <c r="E331" s="238"/>
    </row>
    <row r="332" spans="5:5" x14ac:dyDescent="0.2">
      <c r="E332" s="238"/>
    </row>
    <row r="333" spans="5:5" x14ac:dyDescent="0.2">
      <c r="E333" s="238"/>
    </row>
    <row r="334" spans="5:5" x14ac:dyDescent="0.2">
      <c r="E334" s="238"/>
    </row>
    <row r="335" spans="5:5" x14ac:dyDescent="0.2">
      <c r="E335" s="238"/>
    </row>
    <row r="336" spans="5:5" x14ac:dyDescent="0.2">
      <c r="E336" s="238"/>
    </row>
    <row r="337" spans="5:5" x14ac:dyDescent="0.2">
      <c r="E337" s="238"/>
    </row>
    <row r="338" spans="5:5" x14ac:dyDescent="0.2">
      <c r="E338" s="238"/>
    </row>
    <row r="339" spans="5:5" x14ac:dyDescent="0.2">
      <c r="E339" s="238"/>
    </row>
    <row r="340" spans="5:5" x14ac:dyDescent="0.2">
      <c r="E340" s="238"/>
    </row>
    <row r="341" spans="5:5" x14ac:dyDescent="0.2">
      <c r="E341" s="238"/>
    </row>
    <row r="342" spans="5:5" x14ac:dyDescent="0.2">
      <c r="E342" s="238"/>
    </row>
    <row r="343" spans="5:5" x14ac:dyDescent="0.2">
      <c r="E343" s="238"/>
    </row>
    <row r="344" spans="5:5" x14ac:dyDescent="0.2">
      <c r="E344" s="238"/>
    </row>
    <row r="345" spans="5:5" x14ac:dyDescent="0.2">
      <c r="E345" s="238"/>
    </row>
    <row r="346" spans="5:5" x14ac:dyDescent="0.2">
      <c r="E346" s="238"/>
    </row>
    <row r="347" spans="5:5" x14ac:dyDescent="0.2">
      <c r="E347" s="238"/>
    </row>
    <row r="348" spans="5:5" x14ac:dyDescent="0.2">
      <c r="E348" s="238"/>
    </row>
    <row r="349" spans="5:5" x14ac:dyDescent="0.2">
      <c r="E349" s="238"/>
    </row>
    <row r="350" spans="5:5" x14ac:dyDescent="0.2">
      <c r="E350" s="238"/>
    </row>
    <row r="351" spans="5:5" x14ac:dyDescent="0.2">
      <c r="E351" s="238"/>
    </row>
    <row r="352" spans="5:5" x14ac:dyDescent="0.2">
      <c r="E352" s="238"/>
    </row>
    <row r="353" spans="5:5" x14ac:dyDescent="0.2">
      <c r="E353" s="238"/>
    </row>
    <row r="354" spans="5:5" x14ac:dyDescent="0.2">
      <c r="E354" s="238"/>
    </row>
    <row r="355" spans="5:5" x14ac:dyDescent="0.2">
      <c r="E355" s="238"/>
    </row>
    <row r="356" spans="5:5" x14ac:dyDescent="0.2">
      <c r="E356" s="238"/>
    </row>
    <row r="357" spans="5:5" x14ac:dyDescent="0.2">
      <c r="E357" s="238"/>
    </row>
    <row r="358" spans="5:5" x14ac:dyDescent="0.2">
      <c r="E358" s="238"/>
    </row>
    <row r="359" spans="5:5" x14ac:dyDescent="0.2">
      <c r="E359" s="238"/>
    </row>
    <row r="360" spans="5:5" x14ac:dyDescent="0.2">
      <c r="E360" s="238"/>
    </row>
    <row r="361" spans="5:5" x14ac:dyDescent="0.2">
      <c r="E361" s="238"/>
    </row>
    <row r="362" spans="5:5" x14ac:dyDescent="0.2">
      <c r="E362" s="238"/>
    </row>
    <row r="363" spans="5:5" x14ac:dyDescent="0.2">
      <c r="E363" s="238"/>
    </row>
    <row r="364" spans="5:5" x14ac:dyDescent="0.2">
      <c r="E364" s="238"/>
    </row>
    <row r="365" spans="5:5" x14ac:dyDescent="0.2">
      <c r="E365" s="238"/>
    </row>
    <row r="366" spans="5:5" x14ac:dyDescent="0.2">
      <c r="E366" s="238"/>
    </row>
    <row r="367" spans="5:5" x14ac:dyDescent="0.2">
      <c r="E367" s="238"/>
    </row>
    <row r="368" spans="5:5" x14ac:dyDescent="0.2">
      <c r="E368" s="238"/>
    </row>
    <row r="369" spans="3:5" x14ac:dyDescent="0.2">
      <c r="E369" s="238"/>
    </row>
    <row r="370" spans="3:5" x14ac:dyDescent="0.2">
      <c r="E370" s="238"/>
    </row>
    <row r="371" spans="3:5" x14ac:dyDescent="0.2">
      <c r="E371" s="238"/>
    </row>
    <row r="372" spans="3:5" x14ac:dyDescent="0.2">
      <c r="E372" s="238"/>
    </row>
    <row r="373" spans="3:5" ht="15" x14ac:dyDescent="0.25">
      <c r="C373" s="65"/>
      <c r="E373" s="238"/>
    </row>
    <row r="374" spans="3:5" ht="15" x14ac:dyDescent="0.25">
      <c r="C374" s="65"/>
      <c r="E374" s="238"/>
    </row>
    <row r="375" spans="3:5" ht="15" x14ac:dyDescent="0.25">
      <c r="C375" s="65"/>
      <c r="E375" s="238"/>
    </row>
    <row r="376" spans="3:5" ht="15" x14ac:dyDescent="0.25">
      <c r="C376" s="65"/>
      <c r="E376" s="238"/>
    </row>
    <row r="377" spans="3:5" ht="15" x14ac:dyDescent="0.25">
      <c r="C377" s="65"/>
      <c r="E377" s="238"/>
    </row>
    <row r="378" spans="3:5" ht="15" x14ac:dyDescent="0.25">
      <c r="C378" s="65"/>
      <c r="E378" s="238"/>
    </row>
    <row r="379" spans="3:5" ht="15" x14ac:dyDescent="0.25">
      <c r="C379" s="65"/>
      <c r="E379" s="238"/>
    </row>
    <row r="380" spans="3:5" ht="15" x14ac:dyDescent="0.25">
      <c r="C380" s="65"/>
      <c r="E380" s="238"/>
    </row>
    <row r="381" spans="3:5" ht="15" x14ac:dyDescent="0.25">
      <c r="C381" s="65"/>
      <c r="E381" s="238"/>
    </row>
    <row r="382" spans="3:5" ht="15" x14ac:dyDescent="0.25">
      <c r="C382" s="65"/>
      <c r="E382" s="238"/>
    </row>
    <row r="383" spans="3:5" ht="15" x14ac:dyDescent="0.25">
      <c r="C383" s="65"/>
      <c r="E383" s="238"/>
    </row>
    <row r="384" spans="3:5" ht="15" x14ac:dyDescent="0.25">
      <c r="C384" s="65"/>
      <c r="E384" s="238"/>
    </row>
    <row r="385" spans="3:5" ht="15" x14ac:dyDescent="0.25">
      <c r="C385" s="65"/>
      <c r="E385" s="238"/>
    </row>
    <row r="386" spans="3:5" ht="15" x14ac:dyDescent="0.25">
      <c r="C386" s="65"/>
      <c r="E386" s="238"/>
    </row>
    <row r="387" spans="3:5" ht="15" x14ac:dyDescent="0.25">
      <c r="C387" s="65"/>
      <c r="E387" s="238"/>
    </row>
    <row r="388" spans="3:5" ht="15" x14ac:dyDescent="0.25">
      <c r="C388" s="65"/>
      <c r="E388" s="238"/>
    </row>
    <row r="389" spans="3:5" ht="15" x14ac:dyDescent="0.25">
      <c r="C389" s="65"/>
      <c r="E389" s="238"/>
    </row>
    <row r="390" spans="3:5" ht="15" x14ac:dyDescent="0.25">
      <c r="C390" s="65"/>
      <c r="E390" s="238"/>
    </row>
    <row r="391" spans="3:5" x14ac:dyDescent="0.2">
      <c r="E391" s="238"/>
    </row>
    <row r="392" spans="3:5" x14ac:dyDescent="0.2">
      <c r="E392" s="238"/>
    </row>
    <row r="393" spans="3:5" x14ac:dyDescent="0.2">
      <c r="E393" s="238"/>
    </row>
    <row r="394" spans="3:5" x14ac:dyDescent="0.2">
      <c r="E394" s="238"/>
    </row>
    <row r="395" spans="3:5" x14ac:dyDescent="0.2">
      <c r="E395" s="238"/>
    </row>
    <row r="396" spans="3:5" x14ac:dyDescent="0.2">
      <c r="E396" s="238"/>
    </row>
    <row r="397" spans="3:5" x14ac:dyDescent="0.2">
      <c r="E397" s="238"/>
    </row>
    <row r="398" spans="3:5" x14ac:dyDescent="0.2">
      <c r="E398" s="238"/>
    </row>
    <row r="399" spans="3:5" x14ac:dyDescent="0.2">
      <c r="E399" s="238"/>
    </row>
    <row r="400" spans="3:5" x14ac:dyDescent="0.2">
      <c r="E400" s="238"/>
    </row>
    <row r="401" spans="5:5" x14ac:dyDescent="0.2">
      <c r="E401" s="238"/>
    </row>
    <row r="402" spans="5:5" x14ac:dyDescent="0.2">
      <c r="E402" s="238"/>
    </row>
    <row r="403" spans="5:5" x14ac:dyDescent="0.2">
      <c r="E403" s="238"/>
    </row>
    <row r="404" spans="5:5" x14ac:dyDescent="0.2">
      <c r="E404" s="238"/>
    </row>
    <row r="405" spans="5:5" x14ac:dyDescent="0.2">
      <c r="E405" s="238"/>
    </row>
    <row r="406" spans="5:5" x14ac:dyDescent="0.2">
      <c r="E406" s="238"/>
    </row>
    <row r="407" spans="5:5" x14ac:dyDescent="0.2">
      <c r="E407" s="238"/>
    </row>
    <row r="408" spans="5:5" x14ac:dyDescent="0.2">
      <c r="E408" s="238"/>
    </row>
    <row r="409" spans="5:5" x14ac:dyDescent="0.2">
      <c r="E409" s="238"/>
    </row>
    <row r="410" spans="5:5" x14ac:dyDescent="0.2">
      <c r="E410" s="238"/>
    </row>
    <row r="411" spans="5:5" x14ac:dyDescent="0.2">
      <c r="E411" s="238"/>
    </row>
    <row r="412" spans="5:5" x14ac:dyDescent="0.2">
      <c r="E412" s="238"/>
    </row>
    <row r="413" spans="5:5" x14ac:dyDescent="0.2">
      <c r="E413" s="238"/>
    </row>
    <row r="414" spans="5:5" x14ac:dyDescent="0.2">
      <c r="E414" s="238"/>
    </row>
    <row r="415" spans="5:5" x14ac:dyDescent="0.2">
      <c r="E415" s="238"/>
    </row>
    <row r="416" spans="5:5" x14ac:dyDescent="0.2">
      <c r="E416" s="238"/>
    </row>
    <row r="417" spans="5:5" x14ac:dyDescent="0.2">
      <c r="E417" s="238"/>
    </row>
    <row r="418" spans="5:5" x14ac:dyDescent="0.2">
      <c r="E418" s="238"/>
    </row>
    <row r="419" spans="5:5" x14ac:dyDescent="0.2">
      <c r="E419" s="238"/>
    </row>
    <row r="420" spans="5:5" x14ac:dyDescent="0.2">
      <c r="E420" s="238"/>
    </row>
    <row r="421" spans="5:5" x14ac:dyDescent="0.2">
      <c r="E421" s="238"/>
    </row>
    <row r="422" spans="5:5" x14ac:dyDescent="0.2">
      <c r="E422" s="238"/>
    </row>
    <row r="423" spans="5:5" x14ac:dyDescent="0.2">
      <c r="E423" s="238"/>
    </row>
    <row r="424" spans="5:5" x14ac:dyDescent="0.2">
      <c r="E424" s="238"/>
    </row>
    <row r="425" spans="5:5" x14ac:dyDescent="0.2">
      <c r="E425" s="238"/>
    </row>
    <row r="426" spans="5:5" x14ac:dyDescent="0.2">
      <c r="E426" s="238"/>
    </row>
    <row r="427" spans="5:5" x14ac:dyDescent="0.2">
      <c r="E427" s="238"/>
    </row>
    <row r="428" spans="5:5" x14ac:dyDescent="0.2">
      <c r="E428" s="238"/>
    </row>
    <row r="429" spans="5:5" x14ac:dyDescent="0.2">
      <c r="E429" s="238"/>
    </row>
    <row r="430" spans="5:5" x14ac:dyDescent="0.2">
      <c r="E430" s="238"/>
    </row>
    <row r="431" spans="5:5" x14ac:dyDescent="0.2">
      <c r="E431" s="238"/>
    </row>
    <row r="432" spans="5:5" x14ac:dyDescent="0.2">
      <c r="E432" s="238"/>
    </row>
    <row r="433" spans="5:5" x14ac:dyDescent="0.2">
      <c r="E433" s="238"/>
    </row>
    <row r="434" spans="5:5" x14ac:dyDescent="0.2">
      <c r="E434" s="238"/>
    </row>
    <row r="435" spans="5:5" x14ac:dyDescent="0.2">
      <c r="E435" s="238"/>
    </row>
    <row r="436" spans="5:5" x14ac:dyDescent="0.2">
      <c r="E436" s="238"/>
    </row>
    <row r="437" spans="5:5" x14ac:dyDescent="0.2">
      <c r="E437" s="238"/>
    </row>
    <row r="438" spans="5:5" x14ac:dyDescent="0.2">
      <c r="E438" s="238"/>
    </row>
    <row r="439" spans="5:5" x14ac:dyDescent="0.2">
      <c r="E439" s="238"/>
    </row>
    <row r="440" spans="5:5" x14ac:dyDescent="0.2">
      <c r="E440" s="238"/>
    </row>
    <row r="441" spans="5:5" x14ac:dyDescent="0.2">
      <c r="E441" s="238"/>
    </row>
    <row r="442" spans="5:5" x14ac:dyDescent="0.2">
      <c r="E442" s="238"/>
    </row>
    <row r="443" spans="5:5" x14ac:dyDescent="0.2">
      <c r="E443" s="238"/>
    </row>
    <row r="444" spans="5:5" x14ac:dyDescent="0.2">
      <c r="E444" s="238"/>
    </row>
    <row r="445" spans="5:5" x14ac:dyDescent="0.2">
      <c r="E445" s="238"/>
    </row>
    <row r="446" spans="5:5" x14ac:dyDescent="0.2">
      <c r="E446" s="238"/>
    </row>
    <row r="447" spans="5:5" x14ac:dyDescent="0.2">
      <c r="E447" s="238"/>
    </row>
    <row r="448" spans="5:5" x14ac:dyDescent="0.2">
      <c r="E448" s="238"/>
    </row>
    <row r="449" spans="5:5" x14ac:dyDescent="0.2">
      <c r="E449" s="238"/>
    </row>
    <row r="450" spans="5:5" x14ac:dyDescent="0.2">
      <c r="E450" s="238"/>
    </row>
    <row r="451" spans="5:5" x14ac:dyDescent="0.2">
      <c r="E451" s="238"/>
    </row>
    <row r="452" spans="5:5" x14ac:dyDescent="0.2">
      <c r="E452" s="238"/>
    </row>
    <row r="453" spans="5:5" x14ac:dyDescent="0.2">
      <c r="E453" s="238"/>
    </row>
    <row r="454" spans="5:5" x14ac:dyDescent="0.2">
      <c r="E454" s="238"/>
    </row>
    <row r="455" spans="5:5" x14ac:dyDescent="0.2">
      <c r="E455" s="238"/>
    </row>
    <row r="456" spans="5:5" x14ac:dyDescent="0.2">
      <c r="E456" s="238"/>
    </row>
    <row r="457" spans="5:5" x14ac:dyDescent="0.2">
      <c r="E457" s="238"/>
    </row>
    <row r="458" spans="5:5" x14ac:dyDescent="0.2">
      <c r="E458" s="238"/>
    </row>
    <row r="459" spans="5:5" x14ac:dyDescent="0.2">
      <c r="E459" s="238"/>
    </row>
    <row r="460" spans="5:5" x14ac:dyDescent="0.2">
      <c r="E460" s="238"/>
    </row>
    <row r="461" spans="5:5" x14ac:dyDescent="0.2">
      <c r="E461" s="238"/>
    </row>
    <row r="462" spans="5:5" x14ac:dyDescent="0.2">
      <c r="E462" s="238"/>
    </row>
    <row r="463" spans="5:5" x14ac:dyDescent="0.2">
      <c r="E463" s="238"/>
    </row>
    <row r="464" spans="5:5" x14ac:dyDescent="0.2">
      <c r="E464" s="238"/>
    </row>
    <row r="465" spans="5:5" x14ac:dyDescent="0.2">
      <c r="E465" s="238"/>
    </row>
    <row r="466" spans="5:5" x14ac:dyDescent="0.2">
      <c r="E466" s="238"/>
    </row>
    <row r="467" spans="5:5" x14ac:dyDescent="0.2">
      <c r="E467" s="238"/>
    </row>
    <row r="468" spans="5:5" x14ac:dyDescent="0.2">
      <c r="E468" s="238"/>
    </row>
    <row r="469" spans="5:5" x14ac:dyDescent="0.2">
      <c r="E469" s="238"/>
    </row>
    <row r="470" spans="5:5" x14ac:dyDescent="0.2">
      <c r="E470" s="238"/>
    </row>
    <row r="471" spans="5:5" x14ac:dyDescent="0.2">
      <c r="E471" s="238"/>
    </row>
    <row r="472" spans="5:5" x14ac:dyDescent="0.2">
      <c r="E472" s="238"/>
    </row>
    <row r="473" spans="5:5" x14ac:dyDescent="0.2">
      <c r="E473" s="238"/>
    </row>
    <row r="474" spans="5:5" x14ac:dyDescent="0.2">
      <c r="E474" s="238"/>
    </row>
  </sheetData>
  <autoFilter ref="A9:DI196" xr:uid="{9BEBB5B5-3E34-4FA6-9E44-8BFF0E308E32}"/>
  <hyperlinks>
    <hyperlink ref="D163" r:id="rId1" xr:uid="{6F5F7E8F-17BD-41EE-B829-E184893E2541}"/>
    <hyperlink ref="D176" r:id="rId2" display="24-Hour Residential Treatment Program Total" xr:uid="{0B7DF3CD-A18E-4225-88A0-AD00E662AD4D}"/>
    <hyperlink ref="D186" r:id="rId3" xr:uid="{9A501D02-9513-4F07-A140-F444A19D9138}"/>
    <hyperlink ref="D181" r:id="rId4" display="Restorative Care Village Crisis Residantial Treatment Programs (CRTP) Total" xr:uid="{F64D824B-12E4-4150-A3BF-41250B3A8F26}"/>
    <hyperlink ref="D189" r:id="rId5" display="Urgent Care Center (UCC) Total - No FS" xr:uid="{3B5F4AA3-3139-4441-AA85-43D2531992D2}"/>
  </hyperlinks>
  <pageMargins left="0.7" right="0.7" top="0.75" bottom="0.75" header="0.3" footer="0.3"/>
  <pageSetup paperSize="5" fitToHeight="0" orientation="landscape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3F241-4F41-40E6-BED6-FAB3959A9A2A}">
  <dimension ref="A1:J75"/>
  <sheetViews>
    <sheetView workbookViewId="0">
      <selection activeCell="B14" sqref="B14"/>
    </sheetView>
  </sheetViews>
  <sheetFormatPr defaultColWidth="8.88671875" defaultRowHeight="15" x14ac:dyDescent="0.2"/>
  <cols>
    <col min="1" max="1" width="3.6640625" style="243" customWidth="1"/>
    <col min="2" max="2" width="41.109375" style="243" customWidth="1"/>
    <col min="3" max="3" width="2" style="243" customWidth="1"/>
    <col min="4" max="4" width="6.33203125" style="243" bestFit="1" customWidth="1"/>
    <col min="5" max="5" width="10.21875" style="243" bestFit="1" customWidth="1"/>
    <col min="6" max="6" width="8.21875" style="245" bestFit="1" customWidth="1"/>
    <col min="7" max="7" width="11" style="243" bestFit="1" customWidth="1"/>
    <col min="8" max="8" width="11.21875" style="243" bestFit="1" customWidth="1"/>
    <col min="9" max="9" width="15.6640625" style="243" bestFit="1" customWidth="1"/>
    <col min="10" max="10" width="12.21875" style="243" customWidth="1"/>
    <col min="11" max="16384" width="8.88671875" style="243"/>
  </cols>
  <sheetData>
    <row r="1" spans="1:10" s="776" customFormat="1" ht="18.75" thickBot="1" x14ac:dyDescent="0.3">
      <c r="A1" s="774" t="s">
        <v>13</v>
      </c>
      <c r="B1" s="581"/>
      <c r="C1" s="581"/>
      <c r="D1" s="581"/>
      <c r="E1" s="581"/>
      <c r="F1" s="581"/>
      <c r="G1" s="581"/>
      <c r="H1" s="581"/>
      <c r="I1" s="582"/>
      <c r="J1" s="775" t="s">
        <v>12</v>
      </c>
    </row>
    <row r="2" spans="1:10" ht="18.75" thickTop="1" x14ac:dyDescent="0.25">
      <c r="A2" s="247" t="s">
        <v>15</v>
      </c>
      <c r="B2" s="248"/>
      <c r="C2" s="249"/>
      <c r="D2" s="249"/>
      <c r="E2" s="249"/>
      <c r="F2" s="249"/>
      <c r="G2" s="249"/>
      <c r="H2" s="249"/>
      <c r="I2" s="249"/>
      <c r="J2" s="249"/>
    </row>
    <row r="3" spans="1:10" ht="21.75" x14ac:dyDescent="0.3">
      <c r="A3" s="250" t="s">
        <v>16</v>
      </c>
      <c r="B3" s="248"/>
      <c r="C3" s="249"/>
      <c r="D3" s="249"/>
      <c r="E3" s="249"/>
      <c r="F3" s="249"/>
      <c r="G3" s="249"/>
      <c r="H3" s="249"/>
      <c r="I3" s="249"/>
      <c r="J3" s="251"/>
    </row>
    <row r="4" spans="1:10" s="244" customFormat="1" ht="18" x14ac:dyDescent="0.25">
      <c r="A4" s="252" t="s">
        <v>17</v>
      </c>
      <c r="B4" s="253"/>
      <c r="C4" s="253"/>
      <c r="D4" s="253"/>
      <c r="E4" s="253"/>
      <c r="F4" s="254"/>
      <c r="G4" s="253"/>
      <c r="H4" s="253"/>
      <c r="I4" s="255"/>
      <c r="J4" s="256" t="s">
        <v>310</v>
      </c>
    </row>
    <row r="5" spans="1:10" x14ac:dyDescent="0.2">
      <c r="A5" s="251"/>
      <c r="B5" s="257" t="str">
        <f>CONCATENATE("Entity Name: ",Info!B7)</f>
        <v>Entity Name: ABC Mental Health Center</v>
      </c>
      <c r="C5" s="251"/>
      <c r="D5" s="258"/>
      <c r="E5" s="251"/>
      <c r="F5" s="259"/>
      <c r="G5" s="251"/>
      <c r="H5" s="251"/>
      <c r="I5" s="1183"/>
      <c r="J5" s="261" t="str">
        <f>CONCATENATE("Entity Number: ",Info!B8)</f>
        <v>Entity Number: 00100</v>
      </c>
    </row>
    <row r="6" spans="1:10" x14ac:dyDescent="0.2">
      <c r="A6" s="251"/>
      <c r="B6" s="1183"/>
      <c r="C6" s="262"/>
      <c r="D6" s="251"/>
      <c r="E6" s="251"/>
      <c r="F6" s="259"/>
      <c r="G6" s="251"/>
      <c r="H6" s="251"/>
      <c r="I6" s="251"/>
      <c r="J6" s="251"/>
    </row>
    <row r="7" spans="1:10" x14ac:dyDescent="0.2">
      <c r="A7" s="251"/>
      <c r="B7" s="1183"/>
      <c r="C7" s="263"/>
      <c r="D7" s="251"/>
      <c r="E7" s="251"/>
      <c r="F7" s="259"/>
      <c r="G7" s="251"/>
      <c r="H7" s="251"/>
      <c r="I7" s="251"/>
      <c r="J7" s="251"/>
    </row>
    <row r="8" spans="1:10" x14ac:dyDescent="0.2">
      <c r="A8" s="251"/>
      <c r="B8" s="251"/>
      <c r="C8" s="251"/>
      <c r="D8" s="251"/>
      <c r="E8" s="251"/>
      <c r="F8" s="259"/>
      <c r="G8" s="251"/>
      <c r="H8" s="251"/>
      <c r="I8" s="251"/>
      <c r="J8" s="251"/>
    </row>
    <row r="9" spans="1:10" ht="16.5" thickBot="1" x14ac:dyDescent="0.3">
      <c r="A9" s="251"/>
      <c r="B9" s="251"/>
      <c r="C9" s="251"/>
      <c r="D9" s="264" t="s">
        <v>19</v>
      </c>
      <c r="E9" s="264" t="s">
        <v>20</v>
      </c>
      <c r="F9" s="265" t="s">
        <v>21</v>
      </c>
      <c r="G9" s="264" t="s">
        <v>22</v>
      </c>
      <c r="H9" s="264" t="s">
        <v>23</v>
      </c>
      <c r="I9" s="264" t="s">
        <v>24</v>
      </c>
      <c r="J9" s="264" t="s">
        <v>25</v>
      </c>
    </row>
    <row r="10" spans="1:10" x14ac:dyDescent="0.2">
      <c r="A10" s="251"/>
      <c r="B10" s="266"/>
      <c r="C10" s="267"/>
      <c r="D10" s="267"/>
      <c r="E10" s="268" t="s">
        <v>26</v>
      </c>
      <c r="F10" s="269"/>
      <c r="G10" s="270" t="s">
        <v>27</v>
      </c>
      <c r="H10" s="271"/>
      <c r="I10" s="272" t="s">
        <v>28</v>
      </c>
      <c r="J10" s="273" t="s">
        <v>29</v>
      </c>
    </row>
    <row r="11" spans="1:10" x14ac:dyDescent="0.2">
      <c r="A11" s="251"/>
      <c r="B11" s="274"/>
      <c r="C11" s="275"/>
      <c r="D11" s="275"/>
      <c r="E11" s="276" t="s">
        <v>30</v>
      </c>
      <c r="F11" s="277"/>
      <c r="G11" s="278" t="s">
        <v>31</v>
      </c>
      <c r="H11" s="279" t="s">
        <v>32</v>
      </c>
      <c r="I11" s="279" t="s">
        <v>33</v>
      </c>
      <c r="J11" s="280" t="s">
        <v>34</v>
      </c>
    </row>
    <row r="12" spans="1:10" ht="15.75" thickBot="1" x14ac:dyDescent="0.25">
      <c r="A12" s="251"/>
      <c r="B12" s="281" t="s">
        <v>35</v>
      </c>
      <c r="C12" s="282"/>
      <c r="D12" s="283" t="s">
        <v>36</v>
      </c>
      <c r="E12" s="284" t="s">
        <v>37</v>
      </c>
      <c r="F12" s="285" t="s">
        <v>38</v>
      </c>
      <c r="G12" s="283" t="s">
        <v>39</v>
      </c>
      <c r="H12" s="286" t="s">
        <v>40</v>
      </c>
      <c r="I12" s="286" t="s">
        <v>41</v>
      </c>
      <c r="J12" s="287" t="s">
        <v>42</v>
      </c>
    </row>
    <row r="13" spans="1:10" ht="15.75" x14ac:dyDescent="0.25">
      <c r="A13" s="251"/>
      <c r="B13" s="288" t="s">
        <v>43</v>
      </c>
      <c r="C13" s="275"/>
      <c r="D13" s="289"/>
      <c r="E13" s="290"/>
      <c r="F13" s="1721"/>
      <c r="G13" s="1723"/>
      <c r="H13" s="1724"/>
      <c r="I13" s="1725"/>
      <c r="J13" s="1726"/>
    </row>
    <row r="14" spans="1:10" x14ac:dyDescent="0.2">
      <c r="A14" s="291">
        <v>1</v>
      </c>
      <c r="B14" s="292" t="s">
        <v>44</v>
      </c>
      <c r="C14" s="293"/>
      <c r="D14" s="294" t="s">
        <v>45</v>
      </c>
      <c r="E14" s="290" t="s">
        <v>46</v>
      </c>
      <c r="F14" s="1722"/>
      <c r="G14" s="1722"/>
      <c r="H14" s="55"/>
      <c r="I14" s="295"/>
      <c r="J14" s="296">
        <v>0</v>
      </c>
    </row>
    <row r="15" spans="1:10" x14ac:dyDescent="0.2">
      <c r="A15" s="291">
        <v>2</v>
      </c>
      <c r="B15" s="292" t="s">
        <v>47</v>
      </c>
      <c r="C15" s="297"/>
      <c r="D15" s="298" t="s">
        <v>45</v>
      </c>
      <c r="E15" s="290" t="s">
        <v>48</v>
      </c>
      <c r="F15" s="299">
        <v>704.86</v>
      </c>
      <c r="G15" s="300"/>
      <c r="H15" s="55"/>
      <c r="I15" s="301"/>
      <c r="J15" s="296">
        <v>0</v>
      </c>
    </row>
    <row r="16" spans="1:10" x14ac:dyDescent="0.2">
      <c r="A16" s="291">
        <v>3</v>
      </c>
      <c r="B16" s="292" t="s">
        <v>49</v>
      </c>
      <c r="C16" s="293"/>
      <c r="D16" s="298" t="s">
        <v>45</v>
      </c>
      <c r="E16" s="290" t="s">
        <v>50</v>
      </c>
      <c r="F16" s="300"/>
      <c r="G16" s="300"/>
      <c r="H16" s="55"/>
      <c r="I16" s="59"/>
      <c r="J16" s="296">
        <v>0</v>
      </c>
    </row>
    <row r="17" spans="1:10" x14ac:dyDescent="0.2">
      <c r="A17" s="291">
        <v>4</v>
      </c>
      <c r="B17" s="292" t="s">
        <v>51</v>
      </c>
      <c r="C17" s="297"/>
      <c r="D17" s="298" t="s">
        <v>45</v>
      </c>
      <c r="E17" s="290" t="s">
        <v>52</v>
      </c>
      <c r="F17" s="300"/>
      <c r="G17" s="300"/>
      <c r="H17" s="302"/>
      <c r="I17" s="59"/>
      <c r="J17" s="296">
        <v>0</v>
      </c>
    </row>
    <row r="18" spans="1:10" x14ac:dyDescent="0.2">
      <c r="A18" s="291">
        <v>5</v>
      </c>
      <c r="B18" s="303" t="s">
        <v>53</v>
      </c>
      <c r="C18" s="304"/>
      <c r="D18" s="305" t="s">
        <v>45</v>
      </c>
      <c r="E18" s="290" t="s">
        <v>54</v>
      </c>
      <c r="F18" s="300"/>
      <c r="G18" s="300"/>
      <c r="H18" s="302"/>
      <c r="I18" s="301"/>
      <c r="J18" s="296">
        <v>0</v>
      </c>
    </row>
    <row r="19" spans="1:10" x14ac:dyDescent="0.2">
      <c r="A19" s="291">
        <v>6</v>
      </c>
      <c r="B19" s="306" t="s">
        <v>55</v>
      </c>
      <c r="C19" s="307"/>
      <c r="D19" s="308" t="s">
        <v>45</v>
      </c>
      <c r="E19" s="290" t="s">
        <v>56</v>
      </c>
      <c r="F19" s="300"/>
      <c r="G19" s="300"/>
      <c r="H19" s="302"/>
      <c r="I19" s="301"/>
      <c r="J19" s="296">
        <v>0</v>
      </c>
    </row>
    <row r="20" spans="1:10" x14ac:dyDescent="0.2">
      <c r="A20" s="291">
        <v>7</v>
      </c>
      <c r="B20" s="292" t="s">
        <v>57</v>
      </c>
      <c r="C20" s="293"/>
      <c r="D20" s="298" t="s">
        <v>45</v>
      </c>
      <c r="E20" s="290" t="s">
        <v>58</v>
      </c>
      <c r="F20" s="300"/>
      <c r="G20" s="300"/>
      <c r="H20" s="55">
        <v>404.71</v>
      </c>
      <c r="I20" s="301"/>
      <c r="J20" s="296">
        <v>0</v>
      </c>
    </row>
    <row r="21" spans="1:10" x14ac:dyDescent="0.2">
      <c r="A21" s="291">
        <v>8</v>
      </c>
      <c r="B21" s="292" t="s">
        <v>59</v>
      </c>
      <c r="C21" s="297"/>
      <c r="D21" s="298" t="s">
        <v>45</v>
      </c>
      <c r="E21" s="290" t="s">
        <v>60</v>
      </c>
      <c r="F21" s="300"/>
      <c r="G21" s="300"/>
      <c r="H21" s="302"/>
      <c r="I21" s="301"/>
      <c r="J21" s="296">
        <v>0</v>
      </c>
    </row>
    <row r="22" spans="1:10" x14ac:dyDescent="0.2">
      <c r="A22" s="291">
        <v>9</v>
      </c>
      <c r="B22" s="292" t="s">
        <v>61</v>
      </c>
      <c r="C22" s="297"/>
      <c r="D22" s="298" t="s">
        <v>45</v>
      </c>
      <c r="E22" s="290" t="s">
        <v>62</v>
      </c>
      <c r="F22" s="300"/>
      <c r="G22" s="300"/>
      <c r="H22" s="302"/>
      <c r="I22" s="301"/>
      <c r="J22" s="296">
        <v>0</v>
      </c>
    </row>
    <row r="23" spans="1:10" x14ac:dyDescent="0.2">
      <c r="A23" s="291">
        <v>10</v>
      </c>
      <c r="B23" s="292" t="s">
        <v>63</v>
      </c>
      <c r="C23" s="293"/>
      <c r="D23" s="298" t="s">
        <v>45</v>
      </c>
      <c r="E23" s="290" t="s">
        <v>64</v>
      </c>
      <c r="F23" s="300"/>
      <c r="G23" s="300"/>
      <c r="H23" s="55"/>
      <c r="I23" s="301"/>
      <c r="J23" s="296">
        <v>0</v>
      </c>
    </row>
    <row r="24" spans="1:10" x14ac:dyDescent="0.2">
      <c r="A24" s="291">
        <v>11</v>
      </c>
      <c r="B24" s="292" t="s">
        <v>65</v>
      </c>
      <c r="C24" s="297"/>
      <c r="D24" s="298" t="s">
        <v>45</v>
      </c>
      <c r="E24" s="290" t="s">
        <v>66</v>
      </c>
      <c r="F24" s="300"/>
      <c r="G24" s="300"/>
      <c r="H24" s="302"/>
      <c r="I24" s="301"/>
      <c r="J24" s="296">
        <v>0</v>
      </c>
    </row>
    <row r="25" spans="1:10" x14ac:dyDescent="0.2">
      <c r="A25" s="291">
        <v>12</v>
      </c>
      <c r="B25" s="292" t="s">
        <v>67</v>
      </c>
      <c r="C25" s="297"/>
      <c r="D25" s="298" t="s">
        <v>45</v>
      </c>
      <c r="E25" s="290" t="s">
        <v>68</v>
      </c>
      <c r="F25" s="300"/>
      <c r="G25" s="300"/>
      <c r="H25" s="302"/>
      <c r="I25" s="301"/>
      <c r="J25" s="296">
        <v>0</v>
      </c>
    </row>
    <row r="26" spans="1:10" x14ac:dyDescent="0.2">
      <c r="A26" s="291">
        <v>13</v>
      </c>
      <c r="B26" s="309" t="s">
        <v>69</v>
      </c>
      <c r="C26" s="275"/>
      <c r="D26" s="310" t="s">
        <v>45</v>
      </c>
      <c r="E26" s="311" t="s">
        <v>70</v>
      </c>
      <c r="F26" s="300"/>
      <c r="G26" s="300"/>
      <c r="H26" s="302"/>
      <c r="I26" s="59"/>
      <c r="J26" s="296">
        <v>0</v>
      </c>
    </row>
    <row r="27" spans="1:10" x14ac:dyDescent="0.2">
      <c r="A27" s="312">
        <v>14</v>
      </c>
      <c r="B27" s="312" t="s">
        <v>71</v>
      </c>
      <c r="C27" s="313"/>
      <c r="D27" s="314" t="s">
        <v>45</v>
      </c>
      <c r="E27" s="314" t="s">
        <v>72</v>
      </c>
      <c r="F27" s="315"/>
      <c r="G27" s="1180"/>
      <c r="H27" s="56"/>
      <c r="I27" s="316"/>
      <c r="J27" s="296">
        <v>0</v>
      </c>
    </row>
    <row r="28" spans="1:10" ht="15.75" x14ac:dyDescent="0.25">
      <c r="A28" s="291"/>
      <c r="B28" s="317" t="s">
        <v>73</v>
      </c>
      <c r="C28" s="318"/>
      <c r="D28" s="288" t="s">
        <v>74</v>
      </c>
      <c r="E28" s="288" t="s">
        <v>74</v>
      </c>
      <c r="F28" s="1180"/>
      <c r="G28" s="1180"/>
      <c r="H28" s="319"/>
      <c r="I28" s="1180"/>
      <c r="J28" s="1180"/>
    </row>
    <row r="29" spans="1:10" ht="15.75" x14ac:dyDescent="0.25">
      <c r="A29" s="1727">
        <v>15</v>
      </c>
      <c r="B29" s="309" t="s">
        <v>75</v>
      </c>
      <c r="C29" s="318"/>
      <c r="D29" s="288" t="s">
        <v>74</v>
      </c>
      <c r="E29" s="288" t="s">
        <v>74</v>
      </c>
      <c r="F29" s="1180"/>
      <c r="G29" s="1180"/>
      <c r="H29" s="319"/>
      <c r="I29" s="1180"/>
      <c r="J29" s="1180"/>
    </row>
    <row r="30" spans="1:10" x14ac:dyDescent="0.2">
      <c r="A30" s="1727"/>
      <c r="B30" s="292" t="s">
        <v>76</v>
      </c>
      <c r="C30" s="293"/>
      <c r="D30" s="294" t="s">
        <v>77</v>
      </c>
      <c r="E30" s="294" t="s">
        <v>78</v>
      </c>
      <c r="F30" s="1180"/>
      <c r="G30" s="1180"/>
      <c r="H30" s="55"/>
      <c r="I30" s="295"/>
      <c r="J30" s="320">
        <v>0</v>
      </c>
    </row>
    <row r="31" spans="1:10" x14ac:dyDescent="0.2">
      <c r="A31" s="291">
        <v>16</v>
      </c>
      <c r="B31" s="292" t="s">
        <v>79</v>
      </c>
      <c r="C31" s="293"/>
      <c r="D31" s="298" t="s">
        <v>77</v>
      </c>
      <c r="E31" s="290" t="s">
        <v>80</v>
      </c>
      <c r="F31" s="300"/>
      <c r="G31" s="300"/>
      <c r="H31" s="55"/>
      <c r="I31" s="301"/>
      <c r="J31" s="320">
        <v>0</v>
      </c>
    </row>
    <row r="32" spans="1:10" x14ac:dyDescent="0.2">
      <c r="A32" s="291">
        <v>17</v>
      </c>
      <c r="B32" s="292" t="s">
        <v>81</v>
      </c>
      <c r="C32" s="297"/>
      <c r="D32" s="298" t="s">
        <v>77</v>
      </c>
      <c r="E32" s="290" t="s">
        <v>82</v>
      </c>
      <c r="F32" s="300"/>
      <c r="G32" s="300"/>
      <c r="H32" s="302"/>
      <c r="I32" s="301"/>
      <c r="J32" s="320">
        <v>0</v>
      </c>
    </row>
    <row r="33" spans="1:10" x14ac:dyDescent="0.2">
      <c r="A33" s="291">
        <v>18</v>
      </c>
      <c r="B33" s="292" t="s">
        <v>83</v>
      </c>
      <c r="C33" s="297"/>
      <c r="D33" s="298" t="s">
        <v>77</v>
      </c>
      <c r="E33" s="290" t="s">
        <v>58</v>
      </c>
      <c r="F33" s="300"/>
      <c r="G33" s="300"/>
      <c r="H33" s="302"/>
      <c r="I33" s="301"/>
      <c r="J33" s="320">
        <v>0</v>
      </c>
    </row>
    <row r="34" spans="1:10" x14ac:dyDescent="0.2">
      <c r="A34" s="291">
        <v>19</v>
      </c>
      <c r="B34" s="292" t="s">
        <v>84</v>
      </c>
      <c r="C34" s="297"/>
      <c r="D34" s="298" t="s">
        <v>77</v>
      </c>
      <c r="E34" s="290" t="s">
        <v>85</v>
      </c>
      <c r="F34" s="300"/>
      <c r="G34" s="300"/>
      <c r="H34" s="302"/>
      <c r="I34" s="316"/>
      <c r="J34" s="320">
        <v>0</v>
      </c>
    </row>
    <row r="35" spans="1:10" x14ac:dyDescent="0.2">
      <c r="A35" s="1727">
        <v>20</v>
      </c>
      <c r="B35" s="309" t="s">
        <v>86</v>
      </c>
      <c r="C35" s="318"/>
      <c r="D35" s="1728" t="s">
        <v>77</v>
      </c>
      <c r="E35" s="1178"/>
      <c r="F35" s="1730"/>
      <c r="G35" s="1730"/>
      <c r="H35" s="321"/>
      <c r="I35" s="322"/>
      <c r="J35" s="323"/>
    </row>
    <row r="36" spans="1:10" ht="15.75" x14ac:dyDescent="0.25">
      <c r="A36" s="1727"/>
      <c r="B36" s="292" t="s">
        <v>88</v>
      </c>
      <c r="C36" s="293"/>
      <c r="D36" s="1729"/>
      <c r="E36" s="1179" t="s">
        <v>87</v>
      </c>
      <c r="F36" s="300"/>
      <c r="G36" s="300"/>
      <c r="H36" s="57"/>
      <c r="I36" s="301"/>
      <c r="J36" s="324">
        <v>0</v>
      </c>
    </row>
    <row r="37" spans="1:10" x14ac:dyDescent="0.2">
      <c r="A37" s="291">
        <v>21</v>
      </c>
      <c r="B37" s="292" t="s">
        <v>89</v>
      </c>
      <c r="C37" s="293"/>
      <c r="D37" s="298" t="s">
        <v>77</v>
      </c>
      <c r="E37" s="290" t="s">
        <v>68</v>
      </c>
      <c r="F37" s="300"/>
      <c r="G37" s="300"/>
      <c r="H37" s="55"/>
      <c r="I37" s="301"/>
      <c r="J37" s="324">
        <v>0</v>
      </c>
    </row>
    <row r="38" spans="1:10" x14ac:dyDescent="0.2">
      <c r="A38" s="1727">
        <v>22</v>
      </c>
      <c r="B38" s="309" t="s">
        <v>90</v>
      </c>
      <c r="C38" s="318"/>
      <c r="D38" s="1728" t="s">
        <v>77</v>
      </c>
      <c r="E38" s="325"/>
      <c r="F38" s="300"/>
      <c r="G38" s="300"/>
      <c r="H38" s="326"/>
      <c r="I38" s="322"/>
      <c r="J38" s="323"/>
    </row>
    <row r="39" spans="1:10" ht="15.75" x14ac:dyDescent="0.25">
      <c r="A39" s="1727"/>
      <c r="B39" s="292" t="s">
        <v>88</v>
      </c>
      <c r="C39" s="293"/>
      <c r="D39" s="1729"/>
      <c r="E39" s="327" t="s">
        <v>91</v>
      </c>
      <c r="F39" s="300"/>
      <c r="G39" s="300"/>
      <c r="H39" s="58"/>
      <c r="I39" s="328"/>
      <c r="J39" s="329">
        <v>0</v>
      </c>
    </row>
    <row r="40" spans="1:10" x14ac:dyDescent="0.2">
      <c r="A40" s="291">
        <v>23</v>
      </c>
      <c r="B40" s="292" t="s">
        <v>89</v>
      </c>
      <c r="C40" s="297"/>
      <c r="D40" s="298" t="s">
        <v>77</v>
      </c>
      <c r="E40" s="290" t="s">
        <v>92</v>
      </c>
      <c r="F40" s="300"/>
      <c r="G40" s="300"/>
      <c r="H40" s="55"/>
      <c r="I40" s="295"/>
      <c r="J40" s="296">
        <v>0</v>
      </c>
    </row>
    <row r="41" spans="1:10" ht="15.75" x14ac:dyDescent="0.25">
      <c r="A41" s="291"/>
      <c r="B41" s="288" t="s">
        <v>93</v>
      </c>
      <c r="C41" s="275"/>
      <c r="D41" s="288" t="s">
        <v>74</v>
      </c>
      <c r="E41" s="288" t="s">
        <v>74</v>
      </c>
      <c r="F41" s="1180"/>
      <c r="G41" s="1180"/>
      <c r="H41" s="319"/>
      <c r="I41" s="1180"/>
      <c r="J41" s="1180"/>
    </row>
    <row r="42" spans="1:10" x14ac:dyDescent="0.2">
      <c r="A42" s="291">
        <v>24</v>
      </c>
      <c r="B42" s="292" t="s">
        <v>94</v>
      </c>
      <c r="C42" s="297"/>
      <c r="D42" s="298" t="s">
        <v>95</v>
      </c>
      <c r="E42" s="290" t="s">
        <v>96</v>
      </c>
      <c r="F42" s="1180"/>
      <c r="G42" s="1180"/>
      <c r="H42" s="55">
        <v>1.92</v>
      </c>
      <c r="I42" s="295"/>
      <c r="J42" s="330">
        <v>0</v>
      </c>
    </row>
    <row r="43" spans="1:10" x14ac:dyDescent="0.2">
      <c r="A43" s="291">
        <v>25</v>
      </c>
      <c r="B43" s="292" t="s">
        <v>97</v>
      </c>
      <c r="C43" s="297"/>
      <c r="D43" s="298" t="s">
        <v>95</v>
      </c>
      <c r="E43" s="290" t="s">
        <v>98</v>
      </c>
      <c r="F43" s="300"/>
      <c r="G43" s="300"/>
      <c r="H43" s="55">
        <v>2.48</v>
      </c>
      <c r="I43" s="301"/>
      <c r="J43" s="330">
        <v>0</v>
      </c>
    </row>
    <row r="44" spans="1:10" x14ac:dyDescent="0.2">
      <c r="A44" s="291">
        <v>26</v>
      </c>
      <c r="B44" s="292" t="s">
        <v>97</v>
      </c>
      <c r="C44" s="297"/>
      <c r="D44" s="298" t="s">
        <v>95</v>
      </c>
      <c r="E44" s="290" t="s">
        <v>99</v>
      </c>
      <c r="F44" s="300"/>
      <c r="G44" s="300"/>
      <c r="H44" s="55">
        <v>2.48</v>
      </c>
      <c r="I44" s="301"/>
      <c r="J44" s="330">
        <v>0</v>
      </c>
    </row>
    <row r="45" spans="1:10" x14ac:dyDescent="0.2">
      <c r="A45" s="291">
        <v>27</v>
      </c>
      <c r="B45" s="292" t="s">
        <v>100</v>
      </c>
      <c r="C45" s="297"/>
      <c r="D45" s="298" t="s">
        <v>95</v>
      </c>
      <c r="E45" s="290" t="s">
        <v>85</v>
      </c>
      <c r="F45" s="300"/>
      <c r="G45" s="300"/>
      <c r="H45" s="55">
        <v>4.59</v>
      </c>
      <c r="I45" s="301"/>
      <c r="J45" s="330">
        <v>0</v>
      </c>
    </row>
    <row r="46" spans="1:10" x14ac:dyDescent="0.2">
      <c r="A46" s="291">
        <v>28</v>
      </c>
      <c r="B46" s="292" t="s">
        <v>101</v>
      </c>
      <c r="C46" s="297"/>
      <c r="D46" s="298" t="s">
        <v>95</v>
      </c>
      <c r="E46" s="290" t="s">
        <v>102</v>
      </c>
      <c r="F46" s="300"/>
      <c r="G46" s="300"/>
      <c r="H46" s="55">
        <v>3.69</v>
      </c>
      <c r="I46" s="301"/>
      <c r="J46" s="330">
        <v>0</v>
      </c>
    </row>
    <row r="47" spans="1:10" ht="15.75" x14ac:dyDescent="0.25">
      <c r="A47" s="291"/>
      <c r="B47" s="288" t="s">
        <v>74</v>
      </c>
      <c r="C47" s="275"/>
      <c r="D47" s="288" t="s">
        <v>74</v>
      </c>
      <c r="E47" s="288" t="s">
        <v>74</v>
      </c>
      <c r="F47" s="1180"/>
      <c r="G47" s="300"/>
      <c r="H47" s="331"/>
      <c r="I47" s="300"/>
      <c r="J47" s="300"/>
    </row>
    <row r="48" spans="1:10" x14ac:dyDescent="0.2">
      <c r="A48" s="291">
        <v>29</v>
      </c>
      <c r="B48" s="292" t="s">
        <v>103</v>
      </c>
      <c r="C48" s="297"/>
      <c r="D48" s="298" t="s">
        <v>104</v>
      </c>
      <c r="E48" s="290" t="s">
        <v>98</v>
      </c>
      <c r="F48" s="1180"/>
      <c r="G48" s="300"/>
      <c r="H48" s="1203"/>
      <c r="I48" s="301"/>
      <c r="J48" s="330">
        <v>0</v>
      </c>
    </row>
    <row r="49" spans="1:10" x14ac:dyDescent="0.2">
      <c r="A49" s="291">
        <v>30</v>
      </c>
      <c r="B49" s="292" t="s">
        <v>105</v>
      </c>
      <c r="C49" s="297"/>
      <c r="D49" s="298" t="s">
        <v>104</v>
      </c>
      <c r="E49" s="290" t="s">
        <v>50</v>
      </c>
      <c r="F49" s="300"/>
      <c r="G49" s="300"/>
      <c r="H49" s="1203"/>
      <c r="I49" s="332"/>
      <c r="J49" s="330">
        <v>0</v>
      </c>
    </row>
    <row r="50" spans="1:10" ht="15.75" x14ac:dyDescent="0.25">
      <c r="A50" s="291"/>
      <c r="B50" s="333" t="s">
        <v>106</v>
      </c>
      <c r="C50" s="334"/>
      <c r="D50" s="288" t="s">
        <v>74</v>
      </c>
      <c r="E50" s="288" t="s">
        <v>74</v>
      </c>
      <c r="F50" s="1731"/>
      <c r="G50" s="1734"/>
      <c r="H50" s="1735"/>
      <c r="I50" s="335"/>
      <c r="J50" s="336"/>
    </row>
    <row r="51" spans="1:10" x14ac:dyDescent="0.2">
      <c r="A51" s="291">
        <v>31</v>
      </c>
      <c r="B51" s="292" t="s">
        <v>107</v>
      </c>
      <c r="C51" s="297"/>
      <c r="D51" s="294">
        <v>55</v>
      </c>
      <c r="E51" s="290" t="s">
        <v>108</v>
      </c>
      <c r="F51" s="1733"/>
      <c r="G51" s="1734"/>
      <c r="H51" s="1735"/>
      <c r="I51" s="335"/>
      <c r="J51" s="336"/>
    </row>
    <row r="52" spans="1:10" x14ac:dyDescent="0.2">
      <c r="A52" s="291">
        <v>32</v>
      </c>
      <c r="B52" s="292" t="s">
        <v>109</v>
      </c>
      <c r="C52" s="297"/>
      <c r="D52" s="298">
        <v>55</v>
      </c>
      <c r="E52" s="290" t="s">
        <v>110</v>
      </c>
      <c r="F52" s="300"/>
      <c r="G52" s="300"/>
      <c r="H52" s="337"/>
      <c r="I52" s="338" t="s">
        <v>111</v>
      </c>
      <c r="J52" s="339"/>
    </row>
    <row r="53" spans="1:10" x14ac:dyDescent="0.2">
      <c r="A53" s="291">
        <v>33</v>
      </c>
      <c r="B53" s="292" t="s">
        <v>112</v>
      </c>
      <c r="C53" s="297"/>
      <c r="D53" s="298">
        <v>55</v>
      </c>
      <c r="E53" s="290" t="s">
        <v>113</v>
      </c>
      <c r="F53" s="300"/>
      <c r="G53" s="300"/>
      <c r="H53" s="337"/>
      <c r="I53" s="340" t="s">
        <v>114</v>
      </c>
      <c r="J53" s="339"/>
    </row>
    <row r="54" spans="1:10" x14ac:dyDescent="0.2">
      <c r="A54" s="291">
        <v>34</v>
      </c>
      <c r="B54" s="292" t="s">
        <v>115</v>
      </c>
      <c r="C54" s="297"/>
      <c r="D54" s="298">
        <v>55</v>
      </c>
      <c r="E54" s="290" t="s">
        <v>116</v>
      </c>
      <c r="F54" s="300"/>
      <c r="G54" s="300"/>
      <c r="H54" s="337"/>
      <c r="I54" s="340" t="s">
        <v>117</v>
      </c>
      <c r="J54" s="339"/>
    </row>
    <row r="55" spans="1:10" x14ac:dyDescent="0.2">
      <c r="A55" s="291">
        <v>35</v>
      </c>
      <c r="B55" s="292" t="s">
        <v>118</v>
      </c>
      <c r="C55" s="297"/>
      <c r="D55" s="298">
        <v>55</v>
      </c>
      <c r="E55" s="290" t="s">
        <v>119</v>
      </c>
      <c r="F55" s="300"/>
      <c r="G55" s="300"/>
      <c r="H55" s="337"/>
      <c r="I55" s="340" t="s">
        <v>120</v>
      </c>
      <c r="J55" s="339"/>
    </row>
    <row r="56" spans="1:10" x14ac:dyDescent="0.2">
      <c r="A56" s="291">
        <v>36</v>
      </c>
      <c r="B56" s="292" t="s">
        <v>121</v>
      </c>
      <c r="C56" s="297"/>
      <c r="D56" s="298">
        <v>55</v>
      </c>
      <c r="E56" s="290" t="s">
        <v>122</v>
      </c>
      <c r="F56" s="300"/>
      <c r="G56" s="300"/>
      <c r="H56" s="341" t="s">
        <v>123</v>
      </c>
      <c r="I56" s="342" t="s">
        <v>124</v>
      </c>
      <c r="J56" s="339"/>
    </row>
    <row r="57" spans="1:10" x14ac:dyDescent="0.2">
      <c r="A57" s="343"/>
      <c r="B57" s="344"/>
      <c r="C57" s="345"/>
      <c r="D57" s="346"/>
      <c r="E57" s="347"/>
      <c r="F57" s="1731"/>
      <c r="G57" s="1736"/>
      <c r="H57" s="1737"/>
      <c r="I57" s="1738"/>
      <c r="J57" s="1739"/>
    </row>
    <row r="58" spans="1:10" x14ac:dyDescent="0.2">
      <c r="A58" s="291">
        <v>38</v>
      </c>
      <c r="B58" s="292" t="s">
        <v>125</v>
      </c>
      <c r="C58" s="297"/>
      <c r="D58" s="298">
        <v>55</v>
      </c>
      <c r="E58" s="290" t="s">
        <v>126</v>
      </c>
      <c r="F58" s="1732"/>
      <c r="G58" s="1740"/>
      <c r="H58" s="1741"/>
      <c r="I58" s="1742"/>
      <c r="J58" s="1743"/>
    </row>
    <row r="59" spans="1:10" x14ac:dyDescent="0.2">
      <c r="A59" s="291">
        <v>39</v>
      </c>
      <c r="B59" s="292" t="s">
        <v>127</v>
      </c>
      <c r="C59" s="297"/>
      <c r="D59" s="298">
        <v>55</v>
      </c>
      <c r="E59" s="290" t="s">
        <v>128</v>
      </c>
      <c r="F59" s="1732"/>
      <c r="G59" s="1740"/>
      <c r="H59" s="1741"/>
      <c r="I59" s="1742"/>
      <c r="J59" s="1743"/>
    </row>
    <row r="60" spans="1:10" x14ac:dyDescent="0.2">
      <c r="A60" s="343"/>
      <c r="B60" s="344"/>
      <c r="C60" s="345"/>
      <c r="D60" s="346"/>
      <c r="E60" s="347"/>
      <c r="F60" s="1732"/>
      <c r="G60" s="1740"/>
      <c r="H60" s="1741"/>
      <c r="I60" s="1742"/>
      <c r="J60" s="1743"/>
    </row>
    <row r="61" spans="1:10" x14ac:dyDescent="0.2">
      <c r="A61" s="291">
        <v>41</v>
      </c>
      <c r="B61" s="292" t="s">
        <v>129</v>
      </c>
      <c r="C61" s="297"/>
      <c r="D61" s="298">
        <v>55</v>
      </c>
      <c r="E61" s="290" t="s">
        <v>130</v>
      </c>
      <c r="F61" s="1732"/>
      <c r="G61" s="1740"/>
      <c r="H61" s="1741"/>
      <c r="I61" s="1742"/>
      <c r="J61" s="1743"/>
    </row>
    <row r="62" spans="1:10" x14ac:dyDescent="0.2">
      <c r="A62" s="291">
        <v>42</v>
      </c>
      <c r="B62" s="292" t="s">
        <v>131</v>
      </c>
      <c r="C62" s="297"/>
      <c r="D62" s="298">
        <v>55</v>
      </c>
      <c r="E62" s="290" t="s">
        <v>132</v>
      </c>
      <c r="F62" s="1733"/>
      <c r="G62" s="1744"/>
      <c r="H62" s="1745"/>
      <c r="I62" s="1746"/>
      <c r="J62" s="1747"/>
    </row>
    <row r="63" spans="1:10" ht="15.75" x14ac:dyDescent="0.25">
      <c r="A63" s="291"/>
      <c r="B63" s="288" t="s">
        <v>133</v>
      </c>
      <c r="C63" s="348"/>
      <c r="D63" s="288" t="s">
        <v>74</v>
      </c>
      <c r="E63" s="288" t="s">
        <v>74</v>
      </c>
      <c r="F63" s="1731"/>
      <c r="G63" s="1731"/>
      <c r="H63" s="349"/>
      <c r="I63" s="349"/>
      <c r="J63" s="350"/>
    </row>
    <row r="64" spans="1:10" ht="15.75" x14ac:dyDescent="0.25">
      <c r="A64" s="1727">
        <v>43</v>
      </c>
      <c r="B64" s="309" t="s">
        <v>134</v>
      </c>
      <c r="C64" s="275"/>
      <c r="D64" s="288" t="s">
        <v>74</v>
      </c>
      <c r="E64" s="288" t="s">
        <v>74</v>
      </c>
      <c r="F64" s="1732"/>
      <c r="G64" s="1732"/>
      <c r="H64" s="351"/>
      <c r="I64" s="351"/>
      <c r="J64" s="352"/>
    </row>
    <row r="65" spans="1:10" x14ac:dyDescent="0.2">
      <c r="A65" s="1727"/>
      <c r="B65" s="292" t="s">
        <v>135</v>
      </c>
      <c r="C65" s="297"/>
      <c r="D65" s="294" t="s">
        <v>136</v>
      </c>
      <c r="E65" s="294" t="s">
        <v>50</v>
      </c>
      <c r="F65" s="1733"/>
      <c r="G65" s="1733"/>
      <c r="H65" s="302"/>
      <c r="I65" s="295"/>
      <c r="J65" s="330">
        <v>0</v>
      </c>
    </row>
    <row r="66" spans="1:10" x14ac:dyDescent="0.2">
      <c r="A66" s="291">
        <v>44</v>
      </c>
      <c r="B66" s="292" t="s">
        <v>137</v>
      </c>
      <c r="C66" s="297"/>
      <c r="D66" s="298" t="s">
        <v>136</v>
      </c>
      <c r="E66" s="290" t="s">
        <v>82</v>
      </c>
      <c r="F66" s="300"/>
      <c r="G66" s="353"/>
      <c r="H66" s="337"/>
      <c r="I66" s="301"/>
      <c r="J66" s="330">
        <v>0</v>
      </c>
    </row>
    <row r="67" spans="1:10" x14ac:dyDescent="0.2">
      <c r="A67" s="291">
        <v>45</v>
      </c>
      <c r="B67" s="292" t="s">
        <v>138</v>
      </c>
      <c r="C67" s="297"/>
      <c r="D67" s="298" t="s">
        <v>136</v>
      </c>
      <c r="E67" s="290" t="s">
        <v>58</v>
      </c>
      <c r="F67" s="300"/>
      <c r="G67" s="353"/>
      <c r="H67" s="337"/>
      <c r="I67" s="301"/>
      <c r="J67" s="330">
        <v>0</v>
      </c>
    </row>
    <row r="68" spans="1:10" x14ac:dyDescent="0.2">
      <c r="A68" s="291">
        <v>46</v>
      </c>
      <c r="B68" s="303" t="s">
        <v>139</v>
      </c>
      <c r="C68" s="354"/>
      <c r="D68" s="355" t="s">
        <v>136</v>
      </c>
      <c r="E68" s="290" t="s">
        <v>85</v>
      </c>
      <c r="F68" s="300"/>
      <c r="G68" s="356"/>
      <c r="H68" s="337"/>
      <c r="I68" s="301"/>
      <c r="J68" s="330">
        <v>0</v>
      </c>
    </row>
    <row r="69" spans="1:10" x14ac:dyDescent="0.2">
      <c r="A69" s="291">
        <v>47</v>
      </c>
      <c r="B69" s="292" t="s">
        <v>140</v>
      </c>
      <c r="C69" s="297"/>
      <c r="D69" s="298" t="s">
        <v>136</v>
      </c>
      <c r="E69" s="290" t="s">
        <v>141</v>
      </c>
      <c r="F69" s="357"/>
      <c r="G69" s="353"/>
      <c r="H69" s="302"/>
      <c r="I69" s="295"/>
      <c r="J69" s="330">
        <v>0</v>
      </c>
    </row>
    <row r="70" spans="1:10" x14ac:dyDescent="0.2">
      <c r="A70" s="291">
        <v>48</v>
      </c>
      <c r="B70" s="292" t="s">
        <v>142</v>
      </c>
      <c r="C70" s="297"/>
      <c r="D70" s="298" t="s">
        <v>136</v>
      </c>
      <c r="E70" s="290" t="s">
        <v>143</v>
      </c>
      <c r="F70" s="300"/>
      <c r="G70" s="353"/>
      <c r="H70" s="337"/>
      <c r="I70" s="301"/>
      <c r="J70" s="330">
        <v>0</v>
      </c>
    </row>
    <row r="71" spans="1:10" x14ac:dyDescent="0.2">
      <c r="A71" s="291">
        <v>49</v>
      </c>
      <c r="B71" s="309" t="s">
        <v>144</v>
      </c>
      <c r="C71" s="275"/>
      <c r="D71" s="310" t="s">
        <v>136</v>
      </c>
      <c r="E71" s="290" t="s">
        <v>145</v>
      </c>
      <c r="F71" s="1180"/>
      <c r="G71" s="358"/>
      <c r="H71" s="359"/>
      <c r="I71" s="316"/>
      <c r="J71" s="330">
        <v>0</v>
      </c>
    </row>
    <row r="72" spans="1:10" x14ac:dyDescent="0.2">
      <c r="A72" s="291">
        <v>50</v>
      </c>
      <c r="B72" s="360" t="s">
        <v>146</v>
      </c>
      <c r="C72" s="361"/>
      <c r="D72" s="362" t="s">
        <v>136</v>
      </c>
      <c r="E72" s="290" t="s">
        <v>147</v>
      </c>
      <c r="F72" s="363"/>
      <c r="G72" s="364"/>
      <c r="H72" s="337"/>
      <c r="I72" s="301"/>
      <c r="J72" s="330">
        <v>0</v>
      </c>
    </row>
    <row r="73" spans="1:10" ht="15.75" thickBot="1" x14ac:dyDescent="0.25">
      <c r="A73" s="291">
        <v>51</v>
      </c>
      <c r="B73" s="365" t="s">
        <v>148</v>
      </c>
      <c r="C73" s="366"/>
      <c r="D73" s="367" t="s">
        <v>136</v>
      </c>
      <c r="E73" s="368" t="s">
        <v>149</v>
      </c>
      <c r="F73" s="369"/>
      <c r="G73" s="370"/>
      <c r="H73" s="371"/>
      <c r="I73" s="372"/>
      <c r="J73" s="373">
        <v>0</v>
      </c>
    </row>
    <row r="74" spans="1:10" x14ac:dyDescent="0.2">
      <c r="G74" s="245"/>
      <c r="H74" s="245"/>
      <c r="I74" s="245"/>
      <c r="J74" s="245"/>
    </row>
    <row r="75" spans="1:10" x14ac:dyDescent="0.2">
      <c r="B75" s="246"/>
      <c r="G75" s="245"/>
      <c r="H75" s="245"/>
      <c r="I75" s="245"/>
      <c r="J75" s="245"/>
    </row>
  </sheetData>
  <sheetProtection algorithmName="SHA-512" hashValue="LuJf0lWsGfIsDUknLfk9jnn3YrDdlUKs38BeqXLEWQmbNaEkv3bzJzMKHshk/5SWY5k/3YhhBjQ+hOa4PtRdhA==" saltValue="xj/NISBqbgLAThZS47vJzA==" spinCount="100000" sheet="1" objects="1" scenarios="1" autoFilter="0"/>
  <mergeCells count="16">
    <mergeCell ref="F63:F65"/>
    <mergeCell ref="G63:G65"/>
    <mergeCell ref="A64:A65"/>
    <mergeCell ref="A38:A39"/>
    <mergeCell ref="D38:D39"/>
    <mergeCell ref="F50:F51"/>
    <mergeCell ref="G50:H51"/>
    <mergeCell ref="F57:F62"/>
    <mergeCell ref="G57:J62"/>
    <mergeCell ref="F13:F14"/>
    <mergeCell ref="G13:G14"/>
    <mergeCell ref="H13:J13"/>
    <mergeCell ref="A29:A30"/>
    <mergeCell ref="A35:A36"/>
    <mergeCell ref="D35:D36"/>
    <mergeCell ref="F35:G35"/>
  </mergeCells>
  <conditionalFormatting sqref="N14:N15">
    <cfRule type="expression" dxfId="2" priority="1" stopIfTrue="1">
      <formula>M14&gt;0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74A47-D0D7-4CA7-A52D-10CDACE0DBDF}">
  <dimension ref="A1:BF111"/>
  <sheetViews>
    <sheetView workbookViewId="0"/>
  </sheetViews>
  <sheetFormatPr defaultColWidth="9.88671875" defaultRowHeight="15" x14ac:dyDescent="0.2"/>
  <cols>
    <col min="1" max="1" width="6.33203125" style="374" customWidth="1"/>
    <col min="2" max="2" width="9.6640625" style="374" customWidth="1"/>
    <col min="3" max="3" width="7.5546875" style="374" customWidth="1"/>
    <col min="4" max="4" width="6.77734375" style="374" customWidth="1"/>
    <col min="5" max="5" width="13.6640625" style="374" customWidth="1"/>
    <col min="6" max="58" width="15.77734375" style="374" customWidth="1"/>
    <col min="59" max="16384" width="9.88671875" style="374"/>
  </cols>
  <sheetData>
    <row r="1" spans="1:58" s="584" customFormat="1" ht="22.5" thickBot="1" x14ac:dyDescent="0.35">
      <c r="A1" s="580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2"/>
      <c r="AN1" s="581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3" t="s">
        <v>12</v>
      </c>
    </row>
    <row r="2" spans="1:58" ht="22.5" thickTop="1" x14ac:dyDescent="0.3">
      <c r="A2" s="377" t="s">
        <v>15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</row>
    <row r="3" spans="1:58" ht="27.75" x14ac:dyDescent="0.4">
      <c r="A3" s="379" t="s">
        <v>150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378"/>
      <c r="BA3" s="378"/>
      <c r="BB3" s="378"/>
      <c r="BC3" s="378"/>
      <c r="BD3" s="378"/>
      <c r="BE3" s="378"/>
      <c r="BF3" s="378"/>
    </row>
    <row r="4" spans="1:58" ht="21.75" x14ac:dyDescent="0.3">
      <c r="A4" s="380" t="s">
        <v>233</v>
      </c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8"/>
      <c r="BC4" s="378"/>
      <c r="BD4" s="378"/>
      <c r="BE4" s="378"/>
      <c r="BF4" s="381" t="s">
        <v>312</v>
      </c>
    </row>
    <row r="5" spans="1:58" x14ac:dyDescent="0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</row>
    <row r="6" spans="1:58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78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378"/>
      <c r="BA6" s="378"/>
      <c r="BB6" s="378"/>
      <c r="BC6" s="378"/>
      <c r="BD6" s="378"/>
      <c r="BE6" s="378"/>
      <c r="BF6" s="378"/>
    </row>
    <row r="7" spans="1:58" x14ac:dyDescent="0.2">
      <c r="A7" s="378"/>
      <c r="B7" s="382" t="s">
        <v>311</v>
      </c>
      <c r="C7" s="378" t="str">
        <f>IF(Info!B7=""," ",Info!B7)</f>
        <v>ABC Mental Health Center</v>
      </c>
      <c r="D7" s="251"/>
      <c r="E7" s="251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</row>
    <row r="8" spans="1:58" x14ac:dyDescent="0.2">
      <c r="A8" s="378"/>
      <c r="B8" s="1183"/>
      <c r="C8" s="384"/>
      <c r="D8" s="251"/>
      <c r="E8" s="251"/>
      <c r="F8" s="251"/>
      <c r="G8" s="251"/>
      <c r="H8" s="251"/>
      <c r="I8" s="251"/>
      <c r="J8" s="251"/>
      <c r="K8" s="251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</row>
    <row r="9" spans="1:58" x14ac:dyDescent="0.2">
      <c r="A9" s="378"/>
      <c r="B9" s="1183"/>
      <c r="C9" s="257"/>
      <c r="D9" s="251"/>
      <c r="E9" s="378"/>
      <c r="F9" s="378"/>
      <c r="G9" s="251"/>
      <c r="H9" s="251"/>
      <c r="I9" s="251"/>
      <c r="J9" s="251"/>
      <c r="K9" s="251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378"/>
      <c r="AE9" s="378"/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</row>
    <row r="10" spans="1:58" ht="15.75" x14ac:dyDescent="0.25">
      <c r="A10" s="378"/>
      <c r="B10" s="385"/>
      <c r="C10" s="378"/>
      <c r="D10" s="378"/>
      <c r="E10" s="378"/>
      <c r="F10" s="378"/>
      <c r="G10" s="378"/>
      <c r="H10" s="378"/>
      <c r="I10" s="378"/>
      <c r="J10" s="251"/>
      <c r="K10" s="251"/>
      <c r="L10" s="378"/>
      <c r="M10" s="378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6"/>
      <c r="BE10" s="386"/>
      <c r="BF10" s="378"/>
    </row>
    <row r="11" spans="1:58" x14ac:dyDescent="0.2">
      <c r="A11" s="378"/>
      <c r="B11" s="1748" t="s">
        <v>151</v>
      </c>
      <c r="C11" s="1751" t="s">
        <v>152</v>
      </c>
      <c r="D11" s="1752"/>
      <c r="E11" s="1752"/>
      <c r="F11" s="1753"/>
      <c r="G11" s="388" t="s">
        <v>153</v>
      </c>
      <c r="H11" s="389"/>
      <c r="I11" s="390"/>
      <c r="J11" s="1419" t="s">
        <v>2010</v>
      </c>
      <c r="K11" s="1420"/>
      <c r="L11" s="1420"/>
      <c r="M11" s="1421"/>
      <c r="N11" s="391"/>
      <c r="O11" s="391"/>
      <c r="P11" s="391"/>
      <c r="Q11" s="391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3"/>
      <c r="AM11" s="393"/>
      <c r="AN11" s="393"/>
      <c r="AO11" s="393"/>
      <c r="AP11" s="393"/>
      <c r="AQ11" s="393"/>
      <c r="AR11" s="393"/>
      <c r="AS11" s="393"/>
      <c r="AT11" s="393"/>
      <c r="AU11" s="393"/>
      <c r="AV11" s="393"/>
      <c r="AW11" s="393"/>
      <c r="AX11" s="393"/>
      <c r="AY11" s="393"/>
      <c r="AZ11" s="393"/>
      <c r="BA11" s="393"/>
      <c r="BB11" s="393"/>
      <c r="BC11" s="393"/>
      <c r="BD11" s="393"/>
      <c r="BE11" s="393"/>
      <c r="BF11" s="378"/>
    </row>
    <row r="12" spans="1:58" x14ac:dyDescent="0.2">
      <c r="A12" s="378"/>
      <c r="B12" s="1749"/>
      <c r="C12" s="1751" t="s">
        <v>154</v>
      </c>
      <c r="D12" s="1752"/>
      <c r="E12" s="1752"/>
      <c r="F12" s="1753"/>
      <c r="G12" s="388" t="s">
        <v>155</v>
      </c>
      <c r="H12" s="389"/>
      <c r="I12" s="390"/>
      <c r="J12" s="1419" t="s">
        <v>2011</v>
      </c>
      <c r="K12" s="1420"/>
      <c r="L12" s="1420"/>
      <c r="M12" s="1421"/>
      <c r="N12" s="391"/>
      <c r="O12" s="391"/>
      <c r="P12" s="391"/>
      <c r="Q12" s="391"/>
      <c r="R12" s="378"/>
      <c r="S12" s="378"/>
      <c r="T12" s="378"/>
      <c r="U12" s="378"/>
      <c r="V12" s="378"/>
      <c r="W12" s="378"/>
      <c r="X12" s="378"/>
      <c r="Y12" s="378"/>
      <c r="Z12" s="378"/>
      <c r="AA12" s="378"/>
      <c r="AB12" s="378"/>
      <c r="AC12" s="378"/>
      <c r="AD12" s="378"/>
      <c r="AE12" s="378"/>
      <c r="AF12" s="378"/>
      <c r="AG12" s="378"/>
      <c r="AH12" s="378"/>
      <c r="AI12" s="378"/>
      <c r="AJ12" s="378"/>
      <c r="AK12" s="378"/>
      <c r="AL12" s="378"/>
      <c r="AM12" s="378"/>
      <c r="AN12" s="378"/>
      <c r="AO12" s="378"/>
      <c r="AP12" s="378"/>
      <c r="AQ12" s="378"/>
      <c r="AR12" s="378"/>
      <c r="AS12" s="378"/>
      <c r="AT12" s="378"/>
      <c r="AU12" s="378"/>
      <c r="AV12" s="378"/>
      <c r="AW12" s="378"/>
      <c r="AX12" s="378"/>
      <c r="AY12" s="378"/>
      <c r="AZ12" s="378"/>
      <c r="BA12" s="378"/>
      <c r="BB12" s="378"/>
      <c r="BC12" s="378"/>
      <c r="BD12" s="378"/>
      <c r="BE12" s="378"/>
      <c r="BF12" s="378"/>
    </row>
    <row r="13" spans="1:58" ht="15.75" x14ac:dyDescent="0.25">
      <c r="A13" s="378"/>
      <c r="B13" s="1749"/>
      <c r="C13" s="1751" t="s">
        <v>156</v>
      </c>
      <c r="D13" s="1752"/>
      <c r="E13" s="1752"/>
      <c r="F13" s="1753"/>
      <c r="G13" s="388" t="s">
        <v>157</v>
      </c>
      <c r="H13" s="389"/>
      <c r="I13" s="390"/>
      <c r="J13" s="1419" t="s">
        <v>2012</v>
      </c>
      <c r="K13" s="1420"/>
      <c r="L13" s="1420"/>
      <c r="M13" s="1421"/>
      <c r="N13" s="391"/>
      <c r="O13" s="391"/>
      <c r="P13" s="391"/>
      <c r="Q13" s="391"/>
      <c r="R13" s="394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5"/>
      <c r="AM13" s="393"/>
      <c r="AN13" s="395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78"/>
    </row>
    <row r="14" spans="1:58" ht="15.75" customHeight="1" x14ac:dyDescent="0.2">
      <c r="A14" s="378"/>
      <c r="B14" s="1750"/>
      <c r="C14" s="1751" t="s">
        <v>158</v>
      </c>
      <c r="D14" s="1752"/>
      <c r="E14" s="1752"/>
      <c r="F14" s="1753"/>
      <c r="G14" s="388" t="s">
        <v>159</v>
      </c>
      <c r="H14" s="389"/>
      <c r="I14" s="390"/>
      <c r="J14" s="1419"/>
      <c r="K14" s="1420"/>
      <c r="L14" s="1420"/>
      <c r="M14" s="1421"/>
      <c r="N14" s="391"/>
      <c r="O14" s="391"/>
      <c r="P14" s="391"/>
      <c r="Q14" s="391"/>
      <c r="R14" s="378"/>
      <c r="S14" s="378"/>
      <c r="T14" s="391"/>
      <c r="U14" s="391"/>
      <c r="V14" s="378"/>
      <c r="W14" s="378"/>
      <c r="X14" s="391"/>
      <c r="Y14" s="391"/>
      <c r="Z14" s="391"/>
      <c r="AA14" s="391"/>
      <c r="AB14" s="391"/>
      <c r="AC14" s="391"/>
      <c r="AD14" s="391"/>
      <c r="AE14" s="391"/>
      <c r="AF14" s="378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78"/>
      <c r="AU14" s="378"/>
      <c r="AV14" s="378"/>
      <c r="AW14" s="378"/>
      <c r="AX14" s="378"/>
      <c r="AY14" s="378"/>
      <c r="AZ14" s="378"/>
      <c r="BA14" s="378"/>
      <c r="BB14" s="391"/>
      <c r="BC14" s="391"/>
      <c r="BD14" s="378"/>
      <c r="BE14" s="378"/>
      <c r="BF14" s="378"/>
    </row>
    <row r="15" spans="1:58" x14ac:dyDescent="0.2">
      <c r="A15" s="378"/>
      <c r="B15" s="378"/>
      <c r="C15" s="378"/>
      <c r="D15" s="378"/>
      <c r="E15" s="378"/>
      <c r="F15" s="378"/>
      <c r="G15" s="378"/>
      <c r="H15" s="378"/>
      <c r="I15" s="378"/>
      <c r="J15" s="251"/>
      <c r="K15" s="251"/>
      <c r="L15" s="378"/>
      <c r="M15" s="378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</row>
    <row r="16" spans="1:58" x14ac:dyDescent="0.2">
      <c r="A16" s="378"/>
      <c r="B16" s="1645"/>
      <c r="C16" s="1645"/>
      <c r="D16" s="1645"/>
      <c r="E16" s="1645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  <c r="AS16" s="378"/>
      <c r="AT16" s="378"/>
      <c r="AU16" s="378"/>
      <c r="AV16" s="378"/>
      <c r="AW16" s="378"/>
      <c r="AX16" s="378"/>
      <c r="AY16" s="378"/>
      <c r="AZ16" s="378"/>
      <c r="BA16" s="378"/>
      <c r="BB16" s="378"/>
      <c r="BC16" s="378"/>
      <c r="BD16" s="378"/>
      <c r="BE16" s="378"/>
      <c r="BF16" s="378"/>
    </row>
    <row r="17" spans="1:58" ht="16.5" thickBot="1" x14ac:dyDescent="0.3">
      <c r="A17" s="378"/>
      <c r="B17" s="396" t="s">
        <v>19</v>
      </c>
      <c r="C17" s="396" t="s">
        <v>20</v>
      </c>
      <c r="D17" s="396" t="s">
        <v>21</v>
      </c>
      <c r="E17" s="397" t="s">
        <v>22</v>
      </c>
      <c r="F17" s="396" t="s">
        <v>23</v>
      </c>
      <c r="G17" s="396" t="s">
        <v>24</v>
      </c>
      <c r="H17" s="396" t="s">
        <v>25</v>
      </c>
      <c r="I17" s="396" t="s">
        <v>160</v>
      </c>
      <c r="J17" s="396" t="s">
        <v>161</v>
      </c>
      <c r="K17" s="396" t="s">
        <v>162</v>
      </c>
      <c r="L17" s="396" t="s">
        <v>163</v>
      </c>
      <c r="M17" s="396" t="s">
        <v>164</v>
      </c>
      <c r="N17" s="396" t="s">
        <v>165</v>
      </c>
      <c r="O17" s="396" t="s">
        <v>166</v>
      </c>
      <c r="P17" s="396" t="s">
        <v>167</v>
      </c>
      <c r="Q17" s="396" t="s">
        <v>168</v>
      </c>
      <c r="R17" s="396" t="s">
        <v>169</v>
      </c>
      <c r="S17" s="396" t="s">
        <v>170</v>
      </c>
      <c r="T17" s="396" t="s">
        <v>171</v>
      </c>
      <c r="U17" s="396" t="s">
        <v>172</v>
      </c>
      <c r="V17" s="396" t="s">
        <v>173</v>
      </c>
      <c r="W17" s="396" t="s">
        <v>174</v>
      </c>
      <c r="X17" s="396" t="s">
        <v>175</v>
      </c>
      <c r="Y17" s="396" t="s">
        <v>176</v>
      </c>
      <c r="Z17" s="396" t="s">
        <v>177</v>
      </c>
      <c r="AA17" s="396" t="s">
        <v>178</v>
      </c>
      <c r="AB17" s="396" t="s">
        <v>179</v>
      </c>
      <c r="AC17" s="396" t="s">
        <v>180</v>
      </c>
      <c r="AD17" s="396" t="s">
        <v>181</v>
      </c>
      <c r="AE17" s="396" t="s">
        <v>182</v>
      </c>
      <c r="AF17" s="396" t="s">
        <v>183</v>
      </c>
      <c r="AG17" s="396" t="s">
        <v>184</v>
      </c>
      <c r="AH17" s="396" t="s">
        <v>185</v>
      </c>
      <c r="AI17" s="396" t="s">
        <v>186</v>
      </c>
      <c r="AJ17" s="396" t="s">
        <v>187</v>
      </c>
      <c r="AK17" s="396" t="s">
        <v>188</v>
      </c>
      <c r="AL17" s="396" t="s">
        <v>189</v>
      </c>
      <c r="AM17" s="396" t="s">
        <v>190</v>
      </c>
      <c r="AN17" s="396" t="s">
        <v>191</v>
      </c>
      <c r="AO17" s="396" t="s">
        <v>192</v>
      </c>
      <c r="AP17" s="396" t="s">
        <v>193</v>
      </c>
      <c r="AQ17" s="396" t="s">
        <v>194</v>
      </c>
      <c r="AR17" s="396" t="s">
        <v>195</v>
      </c>
      <c r="AS17" s="396" t="s">
        <v>196</v>
      </c>
      <c r="AT17" s="396" t="s">
        <v>197</v>
      </c>
      <c r="AU17" s="396" t="s">
        <v>198</v>
      </c>
      <c r="AV17" s="396" t="s">
        <v>199</v>
      </c>
      <c r="AW17" s="396" t="s">
        <v>200</v>
      </c>
      <c r="AX17" s="396" t="s">
        <v>201</v>
      </c>
      <c r="AY17" s="396" t="s">
        <v>202</v>
      </c>
      <c r="AZ17" s="396" t="s">
        <v>203</v>
      </c>
      <c r="BA17" s="396" t="s">
        <v>204</v>
      </c>
      <c r="BB17" s="396" t="s">
        <v>205</v>
      </c>
      <c r="BC17" s="396" t="s">
        <v>206</v>
      </c>
      <c r="BD17" s="396" t="s">
        <v>207</v>
      </c>
      <c r="BE17" s="396" t="s">
        <v>208</v>
      </c>
      <c r="BF17" s="396" t="s">
        <v>209</v>
      </c>
    </row>
    <row r="18" spans="1:58" ht="60" customHeight="1" thickTop="1" x14ac:dyDescent="0.2">
      <c r="A18" s="378"/>
      <c r="B18" s="1756" t="s">
        <v>234</v>
      </c>
      <c r="C18" s="1757"/>
      <c r="D18" s="1757"/>
      <c r="E18" s="1758"/>
      <c r="F18" s="1759" t="s">
        <v>743</v>
      </c>
      <c r="G18" s="1760"/>
      <c r="H18" s="1759" t="s">
        <v>744</v>
      </c>
      <c r="I18" s="1760"/>
      <c r="J18" s="1759" t="s">
        <v>745</v>
      </c>
      <c r="K18" s="1760"/>
      <c r="L18" s="1761" t="s">
        <v>746</v>
      </c>
      <c r="M18" s="1762"/>
      <c r="N18" s="1761" t="s">
        <v>747</v>
      </c>
      <c r="O18" s="1762"/>
      <c r="P18" s="1761" t="s">
        <v>748</v>
      </c>
      <c r="Q18" s="1762"/>
      <c r="R18" s="1763" t="s">
        <v>749</v>
      </c>
      <c r="S18" s="1764"/>
      <c r="T18" s="1763" t="s">
        <v>750</v>
      </c>
      <c r="U18" s="1764"/>
      <c r="V18" s="1763" t="s">
        <v>751</v>
      </c>
      <c r="W18" s="1764"/>
      <c r="X18" s="1763" t="s">
        <v>752</v>
      </c>
      <c r="Y18" s="1764"/>
      <c r="Z18" s="1754" t="s">
        <v>753</v>
      </c>
      <c r="AA18" s="1755"/>
      <c r="AB18" s="1754" t="s">
        <v>754</v>
      </c>
      <c r="AC18" s="1755"/>
      <c r="AD18" s="1754" t="s">
        <v>755</v>
      </c>
      <c r="AE18" s="1755"/>
      <c r="AF18" s="1767" t="s">
        <v>756</v>
      </c>
      <c r="AG18" s="1768"/>
      <c r="AH18" s="1767" t="s">
        <v>757</v>
      </c>
      <c r="AI18" s="1768"/>
      <c r="AJ18" s="1767" t="s">
        <v>758</v>
      </c>
      <c r="AK18" s="1768"/>
      <c r="AL18" s="1765" t="s">
        <v>759</v>
      </c>
      <c r="AM18" s="1766"/>
      <c r="AN18" s="1765" t="s">
        <v>760</v>
      </c>
      <c r="AO18" s="1766"/>
      <c r="AP18" s="1756" t="s">
        <v>1905</v>
      </c>
      <c r="AQ18" s="1758"/>
      <c r="AR18" s="1756" t="s">
        <v>761</v>
      </c>
      <c r="AS18" s="1758"/>
      <c r="AT18" s="1763" t="s">
        <v>762</v>
      </c>
      <c r="AU18" s="1764"/>
      <c r="AV18" s="1763" t="s">
        <v>763</v>
      </c>
      <c r="AW18" s="1764"/>
      <c r="AX18" s="1763" t="s">
        <v>764</v>
      </c>
      <c r="AY18" s="1764"/>
      <c r="AZ18" s="1763" t="s">
        <v>765</v>
      </c>
      <c r="BA18" s="1764"/>
      <c r="BB18" s="1769" t="s">
        <v>766</v>
      </c>
      <c r="BC18" s="1770"/>
      <c r="BD18" s="1769" t="s">
        <v>767</v>
      </c>
      <c r="BE18" s="1770"/>
      <c r="BF18" s="1169"/>
    </row>
    <row r="19" spans="1:58" ht="30.75" thickBot="1" x14ac:dyDescent="0.25">
      <c r="A19" s="378"/>
      <c r="B19" s="398" t="s">
        <v>211</v>
      </c>
      <c r="C19" s="399" t="s">
        <v>212</v>
      </c>
      <c r="D19" s="399" t="s">
        <v>213</v>
      </c>
      <c r="E19" s="400" t="s">
        <v>214</v>
      </c>
      <c r="F19" s="398" t="s">
        <v>215</v>
      </c>
      <c r="G19" s="400" t="s">
        <v>216</v>
      </c>
      <c r="H19" s="398" t="s">
        <v>215</v>
      </c>
      <c r="I19" s="400" t="s">
        <v>216</v>
      </c>
      <c r="J19" s="398" t="s">
        <v>215</v>
      </c>
      <c r="K19" s="400" t="s">
        <v>216</v>
      </c>
      <c r="L19" s="398" t="s">
        <v>217</v>
      </c>
      <c r="M19" s="400" t="s">
        <v>218</v>
      </c>
      <c r="N19" s="398" t="s">
        <v>217</v>
      </c>
      <c r="O19" s="400" t="s">
        <v>218</v>
      </c>
      <c r="P19" s="398" t="s">
        <v>217</v>
      </c>
      <c r="Q19" s="400" t="s">
        <v>218</v>
      </c>
      <c r="R19" s="398" t="s">
        <v>219</v>
      </c>
      <c r="S19" s="400" t="s">
        <v>220</v>
      </c>
      <c r="T19" s="398" t="s">
        <v>219</v>
      </c>
      <c r="U19" s="400" t="s">
        <v>220</v>
      </c>
      <c r="V19" s="398" t="s">
        <v>219</v>
      </c>
      <c r="W19" s="400" t="s">
        <v>220</v>
      </c>
      <c r="X19" s="398" t="s">
        <v>219</v>
      </c>
      <c r="Y19" s="400" t="s">
        <v>220</v>
      </c>
      <c r="Z19" s="398" t="s">
        <v>221</v>
      </c>
      <c r="AA19" s="400" t="s">
        <v>222</v>
      </c>
      <c r="AB19" s="398" t="s">
        <v>221</v>
      </c>
      <c r="AC19" s="400" t="s">
        <v>222</v>
      </c>
      <c r="AD19" s="398" t="s">
        <v>221</v>
      </c>
      <c r="AE19" s="400" t="s">
        <v>222</v>
      </c>
      <c r="AF19" s="398" t="s">
        <v>223</v>
      </c>
      <c r="AG19" s="400" t="s">
        <v>224</v>
      </c>
      <c r="AH19" s="398" t="s">
        <v>223</v>
      </c>
      <c r="AI19" s="400" t="s">
        <v>224</v>
      </c>
      <c r="AJ19" s="398" t="s">
        <v>223</v>
      </c>
      <c r="AK19" s="400" t="s">
        <v>224</v>
      </c>
      <c r="AL19" s="398" t="s">
        <v>225</v>
      </c>
      <c r="AM19" s="400" t="s">
        <v>226</v>
      </c>
      <c r="AN19" s="398" t="s">
        <v>225</v>
      </c>
      <c r="AO19" s="400" t="s">
        <v>226</v>
      </c>
      <c r="AP19" s="398" t="s">
        <v>227</v>
      </c>
      <c r="AQ19" s="400" t="s">
        <v>228</v>
      </c>
      <c r="AR19" s="398" t="s">
        <v>227</v>
      </c>
      <c r="AS19" s="400" t="s">
        <v>228</v>
      </c>
      <c r="AT19" s="398" t="s">
        <v>229</v>
      </c>
      <c r="AU19" s="400" t="s">
        <v>228</v>
      </c>
      <c r="AV19" s="398" t="s">
        <v>229</v>
      </c>
      <c r="AW19" s="400" t="s">
        <v>228</v>
      </c>
      <c r="AX19" s="398" t="s">
        <v>229</v>
      </c>
      <c r="AY19" s="400" t="s">
        <v>228</v>
      </c>
      <c r="AZ19" s="398" t="s">
        <v>229</v>
      </c>
      <c r="BA19" s="400" t="s">
        <v>228</v>
      </c>
      <c r="BB19" s="398" t="s">
        <v>230</v>
      </c>
      <c r="BC19" s="400" t="s">
        <v>228</v>
      </c>
      <c r="BD19" s="398" t="s">
        <v>230</v>
      </c>
      <c r="BE19" s="400" t="s">
        <v>228</v>
      </c>
      <c r="BF19" s="1170" t="s">
        <v>210</v>
      </c>
    </row>
    <row r="20" spans="1:58" ht="15.75" thickTop="1" x14ac:dyDescent="0.2">
      <c r="A20" s="401">
        <v>1</v>
      </c>
      <c r="B20" s="1234" t="s">
        <v>738</v>
      </c>
      <c r="C20" s="1235" t="s">
        <v>45</v>
      </c>
      <c r="D20" s="1235" t="s">
        <v>394</v>
      </c>
      <c r="E20" s="1646">
        <f>IF(CONCATENATE(C20,D20)&gt;"6069",1,SUMIFS('LAC 102_Wkst'!$Q$7:$Q$2010,'LAC 102_Wkst'!$E$7:$E$2010,Schedule_B!$C20,'LAC 102_Wkst'!$G$7:$G$2010,Schedule_B!$D20))</f>
        <v>1981</v>
      </c>
      <c r="F20" s="402">
        <f>SUMIFS('LAC 102_Wkst'!$Q$7:$Q$2010,'LAC 102_Wkst'!$E$7:$E$2010,$C20,'LAC 102_Wkst'!$G$7:$G$2010,$D20,'LAC 102_Wkst'!$L$7:$L$2010,"01",'LAC 102_Wkst'!$N$7:$N$2010,"P1")+SUMIFS('LAC 102_Wkst'!$Q$7:$Q$2010,'LAC 102_Wkst'!$E$7:$E$2010,$C20,'LAC 102_Wkst'!$G$7:$G$2010,$D20,'LAC 102_Wkst'!$L$7:$L$2010,"01",'LAC 102_Wkst'!$N$7:$N$2010,"P2")+SUMIFS('LAC 102_Wkst'!$Q$7:$Q$2010,'LAC 102_Wkst'!$E$7:$E$2010,$C20,'LAC 102_Wkst'!$G$7:$G$2010,$D20,'LAC 102_Wkst'!$L$7:$L$2010,"01",'LAC 102_Wkst'!$N$7:$N$2010,"P3")+SUMIFS('LAC 102_Wkst'!$Q$7:$Q$2010,'LAC 102_Wkst'!$E$7:$E$2010,$C20,'LAC 102_Wkst'!$G$7:$G$2010,$D20,'LAC 102_Wkst'!$L$7:$L$2010,"02",'LAC 102_Wkst'!$N$7:$N$2010,"P1")+SUMIFS('LAC 102_Wkst'!$Q$7:$Q$2010,'LAC 102_Wkst'!$E$7:$E$2010,$C20,'LAC 102_Wkst'!$G$7:$G$2010,$D20,'LAC 102_Wkst'!$L$7:$L$2010,"02",'LAC 102_Wkst'!$N$7:$N$2010,"P2")+SUMIFS('LAC 102_Wkst'!$Q$7:$Q$2010,'LAC 102_Wkst'!$E$7:$E$2010,$C20,'LAC 102_Wkst'!$G$7:$G$2010,$D20,'LAC 102_Wkst'!$L$7:$L$2010,"02",'LAC 102_Wkst'!$N$7:$N$2010,"P3")</f>
        <v>366</v>
      </c>
      <c r="G20" s="403">
        <f>SUMIFS('LAC 102_Wkst'!$AE$7:$AE$2010,'LAC 102_Wkst'!$E$7:$E$2010,$C20,'LAC 102_Wkst'!$G$7:$G$2010,$D20,'LAC 102_Wkst'!$L$7:$L$2010,"01",'LAC 102_Wkst'!$N$7:$N$2010,"P1")+SUMIFS('LAC 102_Wkst'!$AE$7:$AE$2010,'LAC 102_Wkst'!$E$7:$E$2010,$C20,'LAC 102_Wkst'!$G$7:$G$2010,$D20,'LAC 102_Wkst'!$L$7:$L$2010,"01",'LAC 102_Wkst'!$N$7:$N$2010,"P2")+SUMIFS('LAC 102_Wkst'!$AE$7:$AE$2010,'LAC 102_Wkst'!$E$7:$E$2010,$C20,'LAC 102_Wkst'!$G$7:$G$2010,$D20,'LAC 102_Wkst'!$L$7:$L$2010,"01",'LAC 102_Wkst'!$N$7:$N$2010,"P3")+SUMIFS('LAC 102_Wkst'!$AE$7:$AE$2010,'LAC 102_Wkst'!$E$7:$E$2010,$C20,'LAC 102_Wkst'!$G$7:$G$2010,$D20,'LAC 102_Wkst'!$L$7:$L$2010,"02",'LAC 102_Wkst'!$N$7:$N$2010,"P1")+SUMIFS('LAC 102_Wkst'!$AE$7:$AE$2010,'LAC 102_Wkst'!$E$7:$E$2010,$C20,'LAC 102_Wkst'!$G$7:$G$2010,$D20,'LAC 102_Wkst'!$L$7:$L$2010,"02",'LAC 102_Wkst'!$N$7:$N$2010,"P2")+SUMIFS('LAC 102_Wkst'!$AE$7:$AE$2010,'LAC 102_Wkst'!$E$7:$E$2010,$C20,'LAC 102_Wkst'!$G$7:$G$2010,$D20,'LAC 102_Wkst'!$L$7:$L$2010,"02",'LAC 102_Wkst'!$N$7:$N$2010,"P3")</f>
        <v>0</v>
      </c>
      <c r="H20" s="404">
        <f>SUMIFS('LAC 102_Wkst'!$Q$7:$Q$2010,'LAC 102_Wkst'!$E$7:$E$2010,$C20,'LAC 102_Wkst'!$G$7:$G$2010,$D20,'LAC 102_Wkst'!$L$7:$L$2010,"01",'LAC 102_Wkst'!$N$7:$N$2010,"P4")+SUMIFS('LAC 102_Wkst'!$Q$7:$Q$2010,'LAC 102_Wkst'!$E$7:$E$2010,$C20,'LAC 102_Wkst'!$G$7:$G$2010,$D20,'LAC 102_Wkst'!$L$7:$L$2010,"02",'LAC 102_Wkst'!$N$7:$N$2010,"P4")</f>
        <v>14</v>
      </c>
      <c r="I20" s="405">
        <f>SUMIFS('LAC 102_Wkst'!$AE$7:$AE$2010,'LAC 102_Wkst'!$E$7:$E$2010,$C20,'LAC 102_Wkst'!$G$7:$G$2010,$D20,'LAC 102_Wkst'!$L$7:$L$2010,"01",'LAC 102_Wkst'!$N$7:$N$2010,"P4")+SUMIFS('LAC 102_Wkst'!$AE$7:$AE$2010,'LAC 102_Wkst'!$E$7:$E$2010,$C20,'LAC 102_Wkst'!$G$7:$G$2010,$D20,'LAC 102_Wkst'!$L$7:$L$2010,"02",'LAC 102_Wkst'!$N$7:$N$2010,"P4")</f>
        <v>0</v>
      </c>
      <c r="J20" s="404">
        <f>SUMIFS('LAC 102_Wkst'!$Q$7:$Q$2010,'LAC 102_Wkst'!$E$7:$E$2010,$C20,'LAC 102_Wkst'!$G$7:$G$2010,$D20,'LAC 102_Wkst'!$L$7:$L$2010,"01",'LAC 102_Wkst'!$N$7:$N$2010,"P5")+SUMIFS('LAC 102_Wkst'!$Q$7:$Q$2010,'LAC 102_Wkst'!$E$7:$E$2010,$C20,'LAC 102_Wkst'!$G$7:$G$2010,$D20,'LAC 102_Wkst'!$L$7:$L$2010,"02",'LAC 102_Wkst'!$N$7:$N$2010,"P5")</f>
        <v>48</v>
      </c>
      <c r="K20" s="405">
        <f>SUMIFS('LAC 102_Wkst'!$AE$7:$AE$2010,'LAC 102_Wkst'!$E$7:$E$2010,$C20,'LAC 102_Wkst'!$G$7:$G$2010,$D20,'LAC 102_Wkst'!$L$7:$L$2010,"01",'LAC 102_Wkst'!$N$7:$N$2010,"P5")+SUMIFS('LAC 102_Wkst'!$AE$7:$AE$2010,'LAC 102_Wkst'!$E$7:$E$2010,$C20,'LAC 102_Wkst'!$G$7:$G$2010,$D20,'LAC 102_Wkst'!$L$7:$L$2010,"02",'LAC 102_Wkst'!$N$7:$N$2010,"P5")</f>
        <v>0</v>
      </c>
      <c r="L20" s="404">
        <f>SUMIFS('LAC 102_Wkst'!$Q$7:$Q$2010,'LAC 102_Wkst'!$E$7:$E$2010,$C20,'LAC 102_Wkst'!$G$7:$G$2010,$D20,'LAC 102_Wkst'!$L$7:$L$2010,"03",'LAC 102_Wkst'!$N$7:$N$2010,"P1")+SUMIFS('LAC 102_Wkst'!$Q$7:$Q$2010,'LAC 102_Wkst'!$E$7:$E$2010,$C20,'LAC 102_Wkst'!$G$7:$G$2010,$D20,'LAC 102_Wkst'!$L$7:$L$2010,"03",'LAC 102_Wkst'!$N$7:$N$2010,"P2")+SUMIFS('LAC 102_Wkst'!$Q$7:$Q$2010,'LAC 102_Wkst'!$E$7:$E$2010,$C20,'LAC 102_Wkst'!$G$7:$G$2010,$D20,'LAC 102_Wkst'!$L$7:$L$2010,"03",'LAC 102_Wkst'!$N$7:$N$2010,"P3")+SUMIFS('LAC 102_Wkst'!$Q$7:$Q$2010,'LAC 102_Wkst'!$E$7:$E$2010,$C20,'LAC 102_Wkst'!$G$7:$G$2010,$D20,'LAC 102_Wkst'!$L$7:$L$2010,"04",'LAC 102_Wkst'!$N$7:$N$2010,"P1")+SUMIFS('LAC 102_Wkst'!$Q$7:$Q$2010,'LAC 102_Wkst'!$E$7:$E$2010,$C20,'LAC 102_Wkst'!$G$7:$G$2010,$D20,'LAC 102_Wkst'!$L$7:$L$2010,"04",'LAC 102_Wkst'!$N$7:$N$2010,"P2")+SUMIFS('LAC 102_Wkst'!$Q$7:$Q$2010,'LAC 102_Wkst'!$E$7:$E$2010,$C20,'LAC 102_Wkst'!$G$7:$G$2010,$D20,'LAC 102_Wkst'!$L$7:$L$2010,"04",'LAC 102_Wkst'!$N$7:$N$2010,"P3")</f>
        <v>0</v>
      </c>
      <c r="M20" s="405">
        <f>SUMIFS('LAC 102_Wkst'!$AE$7:$AE$2010,'LAC 102_Wkst'!$E$7:$E$2010,$C20,'LAC 102_Wkst'!$G$7:$G$2010,$D20,'LAC 102_Wkst'!$L$7:$L$2010,"03",'LAC 102_Wkst'!$N$7:$N$2010,"P1")+SUMIFS('LAC 102_Wkst'!$AE$7:$AE$2010,'LAC 102_Wkst'!$E$7:$E$2010,$C20,'LAC 102_Wkst'!$G$7:$G$2010,$D20,'LAC 102_Wkst'!$L$7:$L$2010,"03",'LAC 102_Wkst'!$N$7:$N$2010,"P2")+SUMIFS('LAC 102_Wkst'!$AE$7:$AE$2010,'LAC 102_Wkst'!$E$7:$E$2010,$C20,'LAC 102_Wkst'!$G$7:$G$2010,$D20,'LAC 102_Wkst'!$L$7:$L$2010,"03",'LAC 102_Wkst'!$N$7:$N$2010,"P3")+SUMIFS('LAC 102_Wkst'!$AE$7:$AE$2010,'LAC 102_Wkst'!$E$7:$E$2010,$C20,'LAC 102_Wkst'!$G$7:$G$2010,$D20,'LAC 102_Wkst'!$L$7:$L$2010,"04",'LAC 102_Wkst'!$N$7:$N$2010,"P1")+SUMIFS('LAC 102_Wkst'!$AE$7:$AE$2010,'LAC 102_Wkst'!$E$7:$E$2010,$C20,'LAC 102_Wkst'!$G$7:$G$2010,$D20,'LAC 102_Wkst'!$L$7:$L$2010,"04",'LAC 102_Wkst'!$N$7:$N$2010,"P2")+SUMIFS('LAC 102_Wkst'!$AE$7:$AE$2010,'LAC 102_Wkst'!$E$7:$E$2010,$C20,'LAC 102_Wkst'!$G$7:$G$2010,$D20,'LAC 102_Wkst'!$L$7:$L$2010,"04",'LAC 102_Wkst'!$N$7:$N$2010,"P3")</f>
        <v>0</v>
      </c>
      <c r="N20" s="404">
        <f>SUMIFS('LAC 102_Wkst'!$Q$7:$Q$2010,'LAC 102_Wkst'!$E$7:$E$2010,$C20,'LAC 102_Wkst'!$G$7:$G$2010,$D20,'LAC 102_Wkst'!$L$7:$L$2010,"03",'LAC 102_Wkst'!$N$7:$N$2010,"P4")+SUMIFS('LAC 102_Wkst'!$Q$7:$Q$2010,'LAC 102_Wkst'!$E$7:$E$2010,$C20,'LAC 102_Wkst'!$G$7:$G$2010,$D20,'LAC 102_Wkst'!$L$7:$L$2010,"04",'LAC 102_Wkst'!$N$7:$N$2010,"P4")</f>
        <v>0</v>
      </c>
      <c r="O20" s="405">
        <f>SUMIFS('LAC 102_Wkst'!$AE$7:$AE$2010,'LAC 102_Wkst'!$E$7:$E$2010,$C20,'LAC 102_Wkst'!$G$7:$G$2010,$D20,'LAC 102_Wkst'!$L$7:$L$2010,"03",'LAC 102_Wkst'!$N$7:$N$2010,"P4")+SUMIFS('LAC 102_Wkst'!$AE$7:$AE$2010,'LAC 102_Wkst'!$E$7:$E$2010,$C20,'LAC 102_Wkst'!$G$7:$G$2010,$D20,'LAC 102_Wkst'!$L$7:$L$2010,"04",'LAC 102_Wkst'!$N$7:$N$2010,"P4")</f>
        <v>0</v>
      </c>
      <c r="P20" s="404">
        <f>SUMIFS('LAC 102_Wkst'!$Q$7:$Q$2010,'LAC 102_Wkst'!$E$7:$E$2010,$C20,'LAC 102_Wkst'!$G$7:$G$2010,$D20,'LAC 102_Wkst'!$L$7:$L$2010,"03",'LAC 102_Wkst'!$N$7:$N$2010,"P5")+SUMIFS('LAC 102_Wkst'!$Q$7:$Q$2010,'LAC 102_Wkst'!$E$7:$E$2010,$C20,'LAC 102_Wkst'!$G$7:$G$2010,$D20,'LAC 102_Wkst'!$L$7:$L$2010,"04",'LAC 102_Wkst'!$N$7:$N$2010,"P5")</f>
        <v>0</v>
      </c>
      <c r="Q20" s="405">
        <f>SUMIFS('LAC 102_Wkst'!$AE$7:$AE$2010,'LAC 102_Wkst'!$E$7:$E$2010,$C20,'LAC 102_Wkst'!$G$7:$G$2010,$D20,'LAC 102_Wkst'!$L$7:$L$2010,"03",'LAC 102_Wkst'!$N$7:$N$2010,"P5")+SUMIFS('LAC 102_Wkst'!$AE$7:$AE$2010,'LAC 102_Wkst'!$E$7:$E$2010,$C20,'LAC 102_Wkst'!$G$7:$G$2010,$D20,'LAC 102_Wkst'!$L$7:$L$2010,"04",'LAC 102_Wkst'!$N$7:$N$2010,"P5")</f>
        <v>0</v>
      </c>
      <c r="R20" s="406">
        <f>SUMIFS('LAC 102_Wkst'!$Q$7:$Q$2010,'LAC 102_Wkst'!$E$7:$E$2010,$C20,'LAC 102_Wkst'!$G$7:$G$2010,$D20,'LAC 102_Wkst'!$L$7:$L$2010,"05",'LAC 102_Wkst'!$N$7:$N$2010,"P1")+SUMIFS('LAC 102_Wkst'!$Q$7:$Q$2010,'LAC 102_Wkst'!$E$7:$E$2010,$C20,'LAC 102_Wkst'!$G$7:$G$2010,$D20,'LAC 102_Wkst'!$L$7:$L$2010,"06",'LAC 102_Wkst'!$N$7:$N$2010,"P1")</f>
        <v>0</v>
      </c>
      <c r="S20" s="405">
        <f>SUMIFS('LAC 102_Wkst'!$AE$7:$AE$2010,'LAC 102_Wkst'!$E$7:$E$2010,$C20,'LAC 102_Wkst'!$G$7:$G$2010,$D20,'LAC 102_Wkst'!$L$7:$L$2010,"05",'LAC 102_Wkst'!$N$7:$N$2010,"P1")+SUMIFS('LAC 102_Wkst'!$AE$7:$AE$2010,'LAC 102_Wkst'!$E$7:$E$2010,$C20,'LAC 102_Wkst'!$G$7:$G$2010,$D20,'LAC 102_Wkst'!$L$7:$L$2010,"06",'LAC 102_Wkst'!$N$7:$N$2010,"P1")</f>
        <v>0</v>
      </c>
      <c r="T20" s="404">
        <f>SUMIFS('LAC 102_Wkst'!$Q$7:$Q$2010,'LAC 102_Wkst'!$E$7:$E$2010,$C20,'LAC 102_Wkst'!$G$7:$G$2010,$D20,'LAC 102_Wkst'!$L$7:$L$2010,"05",'LAC 102_Wkst'!$N$7:$N$2010,"P2")+SUMIFS('LAC 102_Wkst'!$Q$7:$Q$2010,'LAC 102_Wkst'!$E$7:$E$2010,$C20,'LAC 102_Wkst'!$G$7:$G$2010,$D20,'LAC 102_Wkst'!$L$7:$L$2010,"05",'LAC 102_Wkst'!$N$7:$N$2010,"P3")+SUMIFS('LAC 102_Wkst'!$Q$7:$Q$2010,'LAC 102_Wkst'!$E$7:$E$2010,$C20,'LAC 102_Wkst'!$G$7:$G$2010,$D20,'LAC 102_Wkst'!$L$7:$L$2010,"06",'LAC 102_Wkst'!$N$7:$N$2010,"P2")+SUMIFS('LAC 102_Wkst'!$Q$7:$Q$2010,'LAC 102_Wkst'!$E$7:$E$2010,$C20,'LAC 102_Wkst'!$G$7:$G$2010,$D20,'LAC 102_Wkst'!$L$7:$L$2010,"06",'LAC 102_Wkst'!$N$7:$N$2010,"P3")</f>
        <v>0</v>
      </c>
      <c r="U20" s="405">
        <f>SUMIFS('LAC 102_Wkst'!$AE$7:$AE$2010,'LAC 102_Wkst'!$E$7:$E$2010,$C20,'LAC 102_Wkst'!$G$7:$G$2010,$D20,'LAC 102_Wkst'!$L$7:$L$2010,"05",'LAC 102_Wkst'!$N$7:$N$2010,"P2")+SUMIFS('LAC 102_Wkst'!$AE$7:$AE$2010,'LAC 102_Wkst'!$E$7:$E$2010,$C20,'LAC 102_Wkst'!$G$7:$G$2010,$D20,'LAC 102_Wkst'!$L$7:$L$2010,"06",'LAC 102_Wkst'!$N$7:$N$2010,"P3")+SUMIFS('LAC 102_Wkst'!$AE$7:$AE$2010,'LAC 102_Wkst'!$E$7:$E$2010,$C20,'LAC 102_Wkst'!$G$7:$G$2010,$D20,'LAC 102_Wkst'!$L$7:$L$2010,"05",'LAC 102_Wkst'!$N$7:$N$2010,"P2")+SUMIFS('LAC 102_Wkst'!$AE$7:$AE$2010,'LAC 102_Wkst'!$E$7:$E$2010,$C20,'LAC 102_Wkst'!$G$7:$G$2010,$D20,'LAC 102_Wkst'!$L$7:$L$2010,"06",'LAC 102_Wkst'!$N$7:$N$2010,"P3")</f>
        <v>0</v>
      </c>
      <c r="V20" s="404">
        <f>SUMIFS('LAC 102_Wkst'!$Q$7:$Q$2010,'LAC 102_Wkst'!$E$7:$E$2010,$C20,'LAC 102_Wkst'!$G$7:$G$2010,$D20,'LAC 102_Wkst'!$L$7:$L$2010,"05",'LAC 102_Wkst'!$N$7:$N$2010,"P4")+SUMIFS('LAC 102_Wkst'!$Q$7:$Q$2010,'LAC 102_Wkst'!$E$7:$E$2010,$C20,'LAC 102_Wkst'!$G$7:$G$2010,$D20,'LAC 102_Wkst'!$L$7:$L$2010,"06",'LAC 102_Wkst'!$N$7:$N$2010,"P4")</f>
        <v>0</v>
      </c>
      <c r="W20" s="405">
        <f>SUMIFS('LAC 102_Wkst'!$AE$7:$AE$2010,'LAC 102_Wkst'!$E$7:$E$2010,$C20,'LAC 102_Wkst'!$G$7:$G$2010,$D20,'LAC 102_Wkst'!$L$7:$L$2010,"05",'LAC 102_Wkst'!$N$7:$N$2010,"P4")+SUMIFS('LAC 102_Wkst'!$AE$7:$AE$2010,'LAC 102_Wkst'!$E$7:$E$2010,$C20,'LAC 102_Wkst'!$G$7:$G$2010,$D20,'LAC 102_Wkst'!$L$7:$L$2010,"06",'LAC 102_Wkst'!$N$7:$N$2010,"P4")</f>
        <v>0</v>
      </c>
      <c r="X20" s="404">
        <f>SUMIFS('LAC 102_Wkst'!$Q$7:$Q$2010,'LAC 102_Wkst'!$E$7:$E$2010,$C20,'LAC 102_Wkst'!$G$7:$G$2010,$D20,'LAC 102_Wkst'!$L$7:$L$2010,"05",'LAC 102_Wkst'!$N$7:$N$2010,"P5")+SUMIFS('LAC 102_Wkst'!$Q$7:$Q$2010,'LAC 102_Wkst'!$E$7:$E$2010,$C20,'LAC 102_Wkst'!$G$7:$G$2010,$D20,'LAC 102_Wkst'!$L$7:$L$2010,"06",'LAC 102_Wkst'!$N$7:$N$2010,"P5")</f>
        <v>0</v>
      </c>
      <c r="Y20" s="405">
        <f>SUMIFS('LAC 102_Wkst'!$AE$7:$AE$2010,'LAC 102_Wkst'!$E$7:$E$2010,$C20,'LAC 102_Wkst'!$G$7:$G$2010,$D20,'LAC 102_Wkst'!$L$7:$L$2010,"05",'LAC 102_Wkst'!$N$7:$N$2010,"P5")+SUMIFS('LAC 102_Wkst'!$AE$7:$AE$2010,'LAC 102_Wkst'!$E$7:$E$2010,$C20,'LAC 102_Wkst'!$G$7:$G$2010,$D20,'LAC 102_Wkst'!$L$7:$L$2010,"06",'LAC 102_Wkst'!$N$7:$N$2010,"P5")</f>
        <v>0</v>
      </c>
      <c r="Z20" s="404">
        <f>SUMIFS('LAC 102_Wkst'!$Q$7:$Q$2010,'LAC 102_Wkst'!$E$7:$E$2010,$C20,'LAC 102_Wkst'!$G$7:$G$2010,$D20,'LAC 102_Wkst'!$L$7:$L$2010,"07",'LAC 102_Wkst'!$N$7:$N$2010,"P1")+SUMIFS('LAC 102_Wkst'!$Q$7:$Q$2010,'LAC 102_Wkst'!$E$7:$E$2010,$C20,'LAC 102_Wkst'!$G$7:$G$2010,$D20,'LAC 102_Wkst'!$L$7:$L$2010,"07",'LAC 102_Wkst'!$N$7:$N$2010,"P2")+SUMIFS('LAC 102_Wkst'!$Q$7:$Q$2010,'LAC 102_Wkst'!$E$7:$E$2010,$C20,'LAC 102_Wkst'!$G$7:$G$2010,$D20,'LAC 102_Wkst'!$L$7:$L$2010,"07",'LAC 102_Wkst'!$N$7:$N$2010,"P3")</f>
        <v>0</v>
      </c>
      <c r="AA20" s="405">
        <f>SUMIFS('LAC 102_Wkst'!$AE$7:$AE$2010,'LAC 102_Wkst'!$E$7:$E$2010,$C20,'LAC 102_Wkst'!$G$7:$G$2010,$D20,'LAC 102_Wkst'!$L$7:$L$2010,"07",'LAC 102_Wkst'!$N$7:$N$2010,"P1")+SUMIFS('LAC 102_Wkst'!$AE$7:$AE$2010,'LAC 102_Wkst'!$E$7:$E$2010,$C20,'LAC 102_Wkst'!$G$7:$G$2010,$D20,'LAC 102_Wkst'!$L$7:$L$2010,"07",'LAC 102_Wkst'!$N$7:$N$2010,"P2")+SUMIFS('LAC 102_Wkst'!$AE$7:$AE$2010,'LAC 102_Wkst'!$E$7:$E$2010,$C20,'LAC 102_Wkst'!$G$7:$G$2010,$D20,'LAC 102_Wkst'!$L$7:$L$2010,"07",'LAC 102_Wkst'!$N$7:$N$2010,"P3")</f>
        <v>0</v>
      </c>
      <c r="AB20" s="404">
        <f>SUMIFS('LAC 102_Wkst'!$Q$7:$Q$2010,'LAC 102_Wkst'!$E$7:$E$2010,$C20,'LAC 102_Wkst'!$G$7:$G$2010,$D20,'LAC 102_Wkst'!$L$7:$L$2010,"07",'LAC 102_Wkst'!$N$7:$N$2010,"P4")</f>
        <v>0</v>
      </c>
      <c r="AC20" s="405">
        <f>SUMIFS('LAC 102_Wkst'!$AE$7:$AE$2010,'LAC 102_Wkst'!$E$7:$E$2010,$C20,'LAC 102_Wkst'!$G$7:$G$2010,$D20,'LAC 102_Wkst'!$L$7:$L$2010,"07",'LAC 102_Wkst'!$N$7:$N$2010,"P4")</f>
        <v>0</v>
      </c>
      <c r="AD20" s="404">
        <f>SUMIFS('LAC 102_Wkst'!$Q$7:$Q$2010,'LAC 102_Wkst'!$E$7:$E$2010,$C20,'LAC 102_Wkst'!$G$7:$G$2010,$D20,'LAC 102_Wkst'!$L$7:$L$2010,"07",'LAC 102_Wkst'!$N$7:$N$2010,"P5")</f>
        <v>0</v>
      </c>
      <c r="AE20" s="405">
        <f>SUMIFS('LAC 102_Wkst'!$AE$7:$AE$2010,'LAC 102_Wkst'!$E$7:$E$2010,$C20,'LAC 102_Wkst'!$G$7:$G$2010,$D20,'LAC 102_Wkst'!$L$7:$L$2010,"07",'LAC 102_Wkst'!$N$7:$N$2010,"P5")</f>
        <v>0</v>
      </c>
      <c r="AF20" s="404">
        <f>SUMIFS('LAC 102_Wkst'!$Q$7:$Q$2010,'LAC 102_Wkst'!$E$7:$E$2010,$C20,'LAC 102_Wkst'!$G$7:$G$2010,$D20,'LAC 102_Wkst'!$L$7:$L$2010,"08",'LAC 102_Wkst'!$N$7:$N$2010,"P1")+SUMIFS('LAC 102_Wkst'!$Q$7:$Q$2010,'LAC 102_Wkst'!$E$7:$E$2010,$C20,'LAC 102_Wkst'!$G$7:$G$2010,$D20,'LAC 102_Wkst'!$L$7:$L$2010,"08",'LAC 102_Wkst'!$N$7:$N$2010,"P2")+SUMIFS('LAC 102_Wkst'!$Q$7:$Q$2010,'LAC 102_Wkst'!$E$7:$E$2010,$C20,'LAC 102_Wkst'!$G$7:$G$2010,$D20,'LAC 102_Wkst'!$L$7:$L$2010,"08",'LAC 102_Wkst'!$N$7:$N$2010,"P3")</f>
        <v>0</v>
      </c>
      <c r="AG20" s="405">
        <f>SUMIFS('LAC 102_Wkst'!$AE$7:$AE$2010,'LAC 102_Wkst'!$E$7:$E$2010,$C20,'LAC 102_Wkst'!$G$7:$G$2010,$D20,'LAC 102_Wkst'!$L$7:$L$2010,"08",'LAC 102_Wkst'!$N$7:$N$2010,"P1")+SUMIFS('LAC 102_Wkst'!$AE$7:$AE$2010,'LAC 102_Wkst'!$E$7:$E$2010,$C20,'LAC 102_Wkst'!$G$7:$G$2010,$D20,'LAC 102_Wkst'!$L$7:$L$2010,"08",'LAC 102_Wkst'!$N$7:$N$2010,"P2")+SUMIFS('LAC 102_Wkst'!$AE$7:$AE$2010,'LAC 102_Wkst'!$E$7:$E$2010,$C20,'LAC 102_Wkst'!$G$7:$G$2010,$D20,'LAC 102_Wkst'!$L$7:$L$2010,"08",'LAC 102_Wkst'!$N$7:$N$2010,"P3")</f>
        <v>0</v>
      </c>
      <c r="AH20" s="404">
        <f>SUMIFS('LAC 102_Wkst'!$Q$7:$Q$2010,'LAC 102_Wkst'!$E$7:$E$2010,$C20,'LAC 102_Wkst'!$G$7:$G$2010,$D20,'LAC 102_Wkst'!$L$7:$L$2010,"08",'LAC 102_Wkst'!$N$7:$N$2010,"P4")</f>
        <v>0</v>
      </c>
      <c r="AI20" s="405">
        <f>SUMIFS('LAC 102_Wkst'!$AE$7:$AE$2010,'LAC 102_Wkst'!$E$7:$E$2010,$C20,'LAC 102_Wkst'!$G$7:$G$2010,$D20,'LAC 102_Wkst'!$L$7:$L$2010,"08",'LAC 102_Wkst'!$N$7:$N$2010,"P4")</f>
        <v>0</v>
      </c>
      <c r="AJ20" s="404">
        <f>SUMIFS('LAC 102_Wkst'!$Q$7:$Q$2010,'LAC 102_Wkst'!$E$7:$E$2010,$C20,'LAC 102_Wkst'!$G$7:$G$2010,$D20,'LAC 102_Wkst'!$L$7:$L$2010,"08",'LAC 102_Wkst'!$N$7:$N$2010,"P5")</f>
        <v>0</v>
      </c>
      <c r="AK20" s="405">
        <f>SUMIFS('LAC 102_Wkst'!$AE$7:$AE$2010,'LAC 102_Wkst'!$E$7:$E$2010,$C20,'LAC 102_Wkst'!$G$7:$G$2010,$D20,'LAC 102_Wkst'!$L$7:$L$2010,"08",'LAC 102_Wkst'!$N$7:$N$2010,"P5")</f>
        <v>0</v>
      </c>
      <c r="AL20" s="404">
        <f>SUMIFS('LAC 102_Wkst'!$Q$7:$Q$2010,'LAC 102_Wkst'!$E$7:$E$2010,$C20,'LAC 102_Wkst'!$G$7:$G$2010,$D20,'LAC 102_Wkst'!$L$7:$L$2010,"09",'LAC 102_Wkst'!$N$7:$N$2010,"P1")+SUMIFS('LAC 102_Wkst'!$Q$7:$Q$2010,'LAC 102_Wkst'!$E$7:$E$2010,$C20,'LAC 102_Wkst'!$G$7:$G$2010,$D20,'LAC 102_Wkst'!$L$7:$L$2010,"09",'LAC 102_Wkst'!$N$7:$N$2010,"P2")+SUMIFS('LAC 102_Wkst'!$Q$7:$Q$2010,'LAC 102_Wkst'!$E$7:$E$2010,$C20,'LAC 102_Wkst'!$G$7:$G$2010,$D20,'LAC 102_Wkst'!$L$7:$L$2010,"09",'LAC 102_Wkst'!$N$7:$N$2010,"P3")+SUMIFS('LAC 102_Wkst'!$Q$7:$Q$2010,'LAC 102_Wkst'!$E$7:$E$2010,$C20,'LAC 102_Wkst'!$G$7:$G$2010,$D20,'LAC 102_Wkst'!$L$7:$L$2010,"09",'LAC 102_Wkst'!$N$7:$N$2010,"P4")</f>
        <v>0</v>
      </c>
      <c r="AM20" s="405">
        <f>SUMIFS('LAC 102_Wkst'!$AE$7:$AE$2010,'LAC 102_Wkst'!$E$7:$E$2010,$C20,'LAC 102_Wkst'!$G$7:$G$2010,$D20,'LAC 102_Wkst'!$L$7:$L$2010,"09",'LAC 102_Wkst'!$N$7:$N$2010,"P1")+SUMIFS('LAC 102_Wkst'!$AE$7:$AE$2010,'LAC 102_Wkst'!$E$7:$E$2010,$C20,'LAC 102_Wkst'!$G$7:$G$2010,$D20,'LAC 102_Wkst'!$L$7:$L$2010,"09",'LAC 102_Wkst'!$N$7:$N$2010,"P2")+SUMIFS('LAC 102_Wkst'!$AE$7:$AE$2010,'LAC 102_Wkst'!$E$7:$E$2010,$C20,'LAC 102_Wkst'!$G$7:$G$2010,$D20,'LAC 102_Wkst'!$L$7:$L$2010,"09",'LAC 102_Wkst'!$N$7:$N$2010,"P3")+SUMIFS('LAC 102_Wkst'!$AE$7:$AE$2010,'LAC 102_Wkst'!$E$7:$E$2010,$C20,'LAC 102_Wkst'!$G$7:$G$2010,$D20,'LAC 102_Wkst'!$L$7:$L$2010,"09",'LAC 102_Wkst'!$N$7:$N$2010,"P4")</f>
        <v>0</v>
      </c>
      <c r="AN20" s="404">
        <f>SUMIFS('LAC 102_Wkst'!$Q$7:$Q$2010,'LAC 102_Wkst'!$E$7:$E$2010,$C20,'LAC 102_Wkst'!$G$7:$G$2010,$D20,'LAC 102_Wkst'!$L$7:$L$2010,"09",'LAC 102_Wkst'!$N$7:$N$2010,"P5")</f>
        <v>0</v>
      </c>
      <c r="AO20" s="405">
        <f>SUMIFS('LAC 102_Wkst'!$AE$7:$AE$2010,'LAC 102_Wkst'!$E$7:$E$2010,$C20,'LAC 102_Wkst'!$G$7:$G$2010,$D20,'LAC 102_Wkst'!$L$7:$L$2010,"09",'LAC 102_Wkst'!$N$7:$N$2010,"P5")</f>
        <v>0</v>
      </c>
      <c r="AP20" s="404">
        <f>SUMIFS('LAC 102_Wkst'!$Q$7:$Q$2010,'LAC 102_Wkst'!$E$7:$E$2010,$C20,'LAC 102_Wkst'!$G$7:$G$2010,$D20,'LAC 102_Wkst'!$L$7:$L$2010,"10",'LAC 102_Wkst'!$N$7:$N$2010,"P1")+SUMIFS('LAC 102_Wkst'!$Q$7:$Q$2010,'LAC 102_Wkst'!$E$7:$E$2010,$C20,'LAC 102_Wkst'!$G$7:$G$2010,$D20,'LAC 102_Wkst'!$L$7:$L$2010,"10",'LAC 102_Wkst'!$N$7:$N$2010,"P2")+SUMIFS('LAC 102_Wkst'!$Q$7:$Q$2010,'LAC 102_Wkst'!$E$7:$E$2010,$C20,'LAC 102_Wkst'!$G$7:$G$2010,$D20,'LAC 102_Wkst'!$L$7:$L$2010,"10",'LAC 102_Wkst'!$N$7:$N$2010,"P3")+SUMIFS('LAC 102_Wkst'!$Q$7:$Q$2010,'LAC 102_Wkst'!$E$7:$E$2010,$C20,'LAC 102_Wkst'!$G$7:$G$2010,$D20,'LAC 102_Wkst'!$L$7:$L$2010,"10",'LAC 102_Wkst'!$N$7:$N$2010,"P4")</f>
        <v>989</v>
      </c>
      <c r="AQ20" s="405">
        <f>SUMIFS('LAC 102_Wkst'!$AE$7:$AE$2010,'LAC 102_Wkst'!$E$7:$E$2010,$C20,'LAC 102_Wkst'!$G$7:$G$2010,$D20,'LAC 102_Wkst'!$L$7:$L$2010,"10",'LAC 102_Wkst'!$N$7:$N$2010,"P1")+SUMIFS('LAC 102_Wkst'!$AE$7:$AE$2010,'LAC 102_Wkst'!$E$7:$E$2010,$C20,'LAC 102_Wkst'!$G$7:$G$2010,$D20,'LAC 102_Wkst'!$L$7:$L$2010,"10",'LAC 102_Wkst'!$N$7:$N$2010,"P2")+SUMIFS('LAC 102_Wkst'!$AE$7:$AE$2010,'LAC 102_Wkst'!$E$7:$E$2010,$C20,'LAC 102_Wkst'!$G$7:$G$2010,$D20,'LAC 102_Wkst'!$L$7:$L$2010,"10",'LAC 102_Wkst'!$N$7:$N$2010,"P3")+SUMIFS('LAC 102_Wkst'!$AE$7:$AE$2010,'LAC 102_Wkst'!$E$7:$E$2010,$C20,'LAC 102_Wkst'!$G$7:$G$2010,$D20,'LAC 102_Wkst'!$L$7:$L$2010,"10",'LAC 102_Wkst'!$N$7:$N$2010,"P4")</f>
        <v>0</v>
      </c>
      <c r="AR20" s="404">
        <f>SUMIFS('LAC 102_Wkst'!$Q$7:$Q$2010,'LAC 102_Wkst'!$E$7:$E$2010,$C20,'LAC 102_Wkst'!$G$7:$G$2010,$D20,'LAC 102_Wkst'!$L$7:$L$2010,"10",'LAC 102_Wkst'!$N$7:$N$2010,"P5")</f>
        <v>202</v>
      </c>
      <c r="AS20" s="405">
        <f>SUMIFS('LAC 102_Wkst'!$AE$7:$AE$2010,'LAC 102_Wkst'!$E$7:$E$2010,$C20,'LAC 102_Wkst'!$G$7:$G$2010,$D20,'LAC 102_Wkst'!$L$7:$L$2010,"10",'LAC 102_Wkst'!$N$7:$N$2010,"P5")</f>
        <v>0</v>
      </c>
      <c r="AT20" s="404">
        <f>SUMIFS('LAC 102_Wkst'!$Q$7:$Q$2010,'LAC 102_Wkst'!$E$7:$E$2010,$C20,'LAC 102_Wkst'!$G$7:$G$2010,$D20,'LAC 102_Wkst'!$L$7:$L$2010,"11",'LAC 102_Wkst'!$N$7:$N$2010,"P1")+SUMIFS('LAC 102_Wkst'!$Q$7:$Q$2010,'LAC 102_Wkst'!$E$7:$E$2010,$C20,'LAC 102_Wkst'!$G$7:$G$2010,$D20,'LAC 102_Wkst'!$L$7:$L$2010,"12",'LAC 102_Wkst'!$N$7:$N$2010,"P1")</f>
        <v>0</v>
      </c>
      <c r="AU20" s="405">
        <f>SUMIFS('LAC 102_Wkst'!$AE$7:$AE$2010,'LAC 102_Wkst'!$E$7:$E$2010,$C20,'LAC 102_Wkst'!$G$7:$G$2010,$D20,'LAC 102_Wkst'!$L$7:$L$2010,"11",'LAC 102_Wkst'!$N$7:$N$2010,"P1")+SUMIFS('LAC 102_Wkst'!$AE$7:$AE$2010,'LAC 102_Wkst'!$E$7:$E$2010,$C20,'LAC 102_Wkst'!$G$7:$G$2010,$D20,'LAC 102_Wkst'!$L$7:$L$2010,"12",'LAC 102_Wkst'!$N$7:$N$2010,"P1")</f>
        <v>0</v>
      </c>
      <c r="AV20" s="404">
        <f>SUMIFS('LAC 102_Wkst'!$Q$7:$Q$2010,'LAC 102_Wkst'!$E$7:$E$2010,$C20,'LAC 102_Wkst'!$G$7:$G$2010,$D20,'LAC 102_Wkst'!$L$7:$L$2010,"11",'LAC 102_Wkst'!$N$7:$N$2010,"P2")+SUMIFS('LAC 102_Wkst'!$Q$7:$Q$2010,'LAC 102_Wkst'!$E$7:$E$2010,$C20,'LAC 102_Wkst'!$G$7:$G$2010,$D20,'LAC 102_Wkst'!$L$7:$L$2010,"12",'LAC 102_Wkst'!$N$7:$N$2010,"P3")+SUMIFS('LAC 102_Wkst'!$Q$7:$Q$2010,'LAC 102_Wkst'!$E$7:$E$2010,$C20,'LAC 102_Wkst'!$G$7:$G$2010,$D20,'LAC 102_Wkst'!$L$7:$L$2010,"11",'LAC 102_Wkst'!$N$7:$N$2010,"P2")+SUMIFS('LAC 102_Wkst'!$Q$7:$Q$2010,'LAC 102_Wkst'!$E$7:$E$2010,$C20,'LAC 102_Wkst'!$G$7:$G$2010,$D20,'LAC 102_Wkst'!$L$7:$L$2010,"12",'LAC 102_Wkst'!$N$7:$N$2010,"P3")</f>
        <v>0</v>
      </c>
      <c r="AW20" s="405">
        <f>SUMIFS('LAC 102_Wkst'!$AE$7:$AE$2010,'LAC 102_Wkst'!$E$7:$E$2010,$C20,'LAC 102_Wkst'!$G$7:$G$2010,$D20,'LAC 102_Wkst'!$L$7:$L$2010,"11",'LAC 102_Wkst'!$N$7:$N$2010,"P2")+SUMIFS('LAC 102_Wkst'!$AE$7:$AE$2010,'LAC 102_Wkst'!$E$7:$E$2010,$C20,'LAC 102_Wkst'!$G$7:$G$2010,$D20,'LAC 102_Wkst'!$L$7:$L$2010,"12",'LAC 102_Wkst'!$N$7:$N$2010,"P3")+SUMIFS('LAC 102_Wkst'!$AE$7:$AE$2010,'LAC 102_Wkst'!$E$7:$E$2010,$C20,'LAC 102_Wkst'!$G$7:$G$2010,$D20,'LAC 102_Wkst'!$L$7:$L$2010,"11",'LAC 102_Wkst'!$N$7:$N$2010,"P2")+SUMIFS('LAC 102_Wkst'!$AE$7:$AE$2010,'LAC 102_Wkst'!$E$7:$E$2010,$C20,'LAC 102_Wkst'!$G$7:$G$2010,$D20,'LAC 102_Wkst'!$L$7:$L$2010,"12",'LAC 102_Wkst'!$N$7:$N$2010,"P3")</f>
        <v>0</v>
      </c>
      <c r="AX20" s="404">
        <f>SUMIFS('LAC 102_Wkst'!$Q$7:$Q$2010,'LAC 102_Wkst'!$E$7:$E$2010,$C20,'LAC 102_Wkst'!$G$7:$G$2010,$D20,'LAC 102_Wkst'!$L$7:$L$2010,"11",'LAC 102_Wkst'!$N$7:$N$2010,"P4")+SUMIFS('LAC 102_Wkst'!$Q$7:$Q$2010,'LAC 102_Wkst'!$E$7:$E$2010,$C20,'LAC 102_Wkst'!$G$7:$G$2010,$D20,'LAC 102_Wkst'!$L$7:$L$2010,"12",'LAC 102_Wkst'!$N$7:$N$2010,"P4")</f>
        <v>0</v>
      </c>
      <c r="AY20" s="405">
        <f>SUMIFS('LAC 102_Wkst'!$AE$7:$AE$2010,'LAC 102_Wkst'!$E$7:$E$2010,$C20,'LAC 102_Wkst'!$G$7:$G$2010,$D20,'LAC 102_Wkst'!$L$7:$L$2010,"11",'LAC 102_Wkst'!$N$7:$N$2010,"P4")+SUMIFS('LAC 102_Wkst'!$AE$7:$AE$2010,'LAC 102_Wkst'!$E$7:$E$2010,$C20,'LAC 102_Wkst'!$G$7:$G$2010,$D20,'LAC 102_Wkst'!$L$7:$L$2010,"12",'LAC 102_Wkst'!$N$7:$N$2010,"P4")</f>
        <v>0</v>
      </c>
      <c r="AZ20" s="404">
        <f>SUMIFS('LAC 102_Wkst'!$Q$7:$Q$2010,'LAC 102_Wkst'!$E$7:$E$2010,$C20,'LAC 102_Wkst'!$G$7:$G$2010,$D20,'LAC 102_Wkst'!$L$7:$L$2010,"11",'LAC 102_Wkst'!$N$7:$N$2010,"P5")+SUMIFS('LAC 102_Wkst'!$Q$7:$Q$2010,'LAC 102_Wkst'!$E$7:$E$2010,$C20,'LAC 102_Wkst'!$G$7:$G$2010,$D20,'LAC 102_Wkst'!$L$7:$L$2010,"12",'LAC 102_Wkst'!$N$7:$N$2010,"P5")</f>
        <v>0</v>
      </c>
      <c r="BA20" s="405">
        <f>SUMIFS('LAC 102_Wkst'!$AE$7:$AE$2010,'LAC 102_Wkst'!$E$7:$E$2010,$C20,'LAC 102_Wkst'!$G$7:$G$2010,$D20,'LAC 102_Wkst'!$L$7:$L$2010,"11",'LAC 102_Wkst'!$N$7:$N$2010,"P5")+SUMIFS('LAC 102_Wkst'!$AE$7:$AE$2010,'LAC 102_Wkst'!$E$7:$E$2010,$C20,'LAC 102_Wkst'!$G$7:$G$2010,$D20,'LAC 102_Wkst'!$L$7:$L$2010,"12",'LAC 102_Wkst'!$N$7:$N$2010,"P5")</f>
        <v>0</v>
      </c>
      <c r="BB20" s="404">
        <f>SUMIFS('LAC 102_Wkst'!$Q$7:$Q$2010,'LAC 102_Wkst'!$E$7:$E$2010,$C20,'LAC 102_Wkst'!$G$7:$G$2010,$D20,'LAC 102_Wkst'!$L$7:$L$2010,"13",'LAC 102_Wkst'!$N$7:$N$2010,"P1")+SUMIFS('LAC 102_Wkst'!$Q$7:$Q$2010,'LAC 102_Wkst'!$E$7:$E$2010,$C20,'LAC 102_Wkst'!$G$7:$G$2010,$D20,'LAC 102_Wkst'!$L$7:$L$2010,"13",'LAC 102_Wkst'!$N$7:$N$2010,"P2")+SUMIFS('LAC 102_Wkst'!$Q$7:$Q$2010,'LAC 102_Wkst'!$E$7:$E$2010,$C20,'LAC 102_Wkst'!$G$7:$G$2010,$D20,'LAC 102_Wkst'!$L$7:$L$2010,"13",'LAC 102_Wkst'!$N$7:$N$2010,"P3")+SUMIFS('LAC 102_Wkst'!$Q$7:$Q$2010,'LAC 102_Wkst'!$E$7:$E$2010,$C20,'LAC 102_Wkst'!$G$7:$G$2010,$D20,'LAC 102_Wkst'!$L$7:$L$2010,"13",'LAC 102_Wkst'!$N$7:$N$2010,"P4")</f>
        <v>0</v>
      </c>
      <c r="BC20" s="405">
        <f>SUMIFS('LAC 102_Wkst'!$AE$7:$AE$2010,'LAC 102_Wkst'!$E$7:$E$2010,$C20,'LAC 102_Wkst'!$G$7:$G$2010,$D20,'LAC 102_Wkst'!$L$7:$L$2010,"13",'LAC 102_Wkst'!$N$7:$N$2010,"P1")+SUMIFS('LAC 102_Wkst'!$AE$7:$AE$2010,'LAC 102_Wkst'!$E$7:$E$2010,$C20,'LAC 102_Wkst'!$G$7:$G$2010,$D20,'LAC 102_Wkst'!$L$7:$L$2010,"13",'LAC 102_Wkst'!$N$7:$N$2010,"P2")+SUMIFS('LAC 102_Wkst'!$AE$7:$AE$2010,'LAC 102_Wkst'!$E$7:$E$2010,$C20,'LAC 102_Wkst'!$G$7:$G$2010,$D20,'LAC 102_Wkst'!$L$7:$L$2010,"13",'LAC 102_Wkst'!$N$7:$N$2010,"P3")+SUMIFS('LAC 102_Wkst'!$AE$7:$AE$2010,'LAC 102_Wkst'!$E$7:$E$2010,$C20,'LAC 102_Wkst'!$G$7:$G$2010,$D20,'LAC 102_Wkst'!$L$7:$L$2010,"13",'LAC 102_Wkst'!$N$7:$N$2010,"P4")</f>
        <v>0</v>
      </c>
      <c r="BD20" s="404">
        <f>SUMIFS('LAC 102_Wkst'!$Q$7:$Q$2010,'LAC 102_Wkst'!$E$7:$E$2010,$C20,'LAC 102_Wkst'!$G$7:$G$2010,$D20,'LAC 102_Wkst'!$L$7:$L$2010,"13",'LAC 102_Wkst'!$N$7:$N$2010,"P5")</f>
        <v>0</v>
      </c>
      <c r="BE20" s="405">
        <f>SUMIFS('LAC 102_Wkst'!$AE$7:$AE$2010,'LAC 102_Wkst'!$E$7:$E$2010,$C20,'LAC 102_Wkst'!$G$7:$G$2010,$D20,'LAC 102_Wkst'!$L$7:$L$2010,"13",'LAC 102_Wkst'!$N$7:$N$2010,"P5")</f>
        <v>0</v>
      </c>
      <c r="BF20" s="407">
        <f>E20-F20-H20-J20-L20-N20-P20-R20-T20-V20-X20-Z20-AB20-AD20-AF20-AH20-AJ20-AL20-AN20-AP20-AR20-AV20-AX20-AZ20-BB20-BD20</f>
        <v>362</v>
      </c>
    </row>
    <row r="21" spans="1:58" x14ac:dyDescent="0.2">
      <c r="A21" s="401">
        <v>2</v>
      </c>
      <c r="B21" s="1236" t="s">
        <v>738</v>
      </c>
      <c r="C21" s="1235" t="s">
        <v>95</v>
      </c>
      <c r="D21" s="1237" t="s">
        <v>588</v>
      </c>
      <c r="E21" s="1222">
        <f>IF(CONCATENATE(C21,D21)&gt;"6069",1,SUMIFS('LAC 102_Wkst'!$Q$7:$Q$2010,'LAC 102_Wkst'!$E$7:$E$2010,Schedule_B!$C21,'LAC 102_Wkst'!$G$7:$G$2010,Schedule_B!$D21))</f>
        <v>2027969</v>
      </c>
      <c r="F21" s="408">
        <f>SUMIFS('LAC 102_Wkst'!$Q$7:$Q$2010,'LAC 102_Wkst'!$E$7:$E$2010,$C21,'LAC 102_Wkst'!$G$7:$G$2010,$D21,'LAC 102_Wkst'!$L$7:$L$2010,"01",'LAC 102_Wkst'!$N$7:$N$2010,"P1")+SUMIFS('LAC 102_Wkst'!$Q$7:$Q$2010,'LAC 102_Wkst'!$E$7:$E$2010,$C21,'LAC 102_Wkst'!$G$7:$G$2010,$D21,'LAC 102_Wkst'!$L$7:$L$2010,"01",'LAC 102_Wkst'!$N$7:$N$2010,"P2")+SUMIFS('LAC 102_Wkst'!$Q$7:$Q$2010,'LAC 102_Wkst'!$E$7:$E$2010,$C21,'LAC 102_Wkst'!$G$7:$G$2010,$D21,'LAC 102_Wkst'!$L$7:$L$2010,"01",'LAC 102_Wkst'!$N$7:$N$2010,"P3")+SUMIFS('LAC 102_Wkst'!$Q$7:$Q$2010,'LAC 102_Wkst'!$E$7:$E$2010,$C21,'LAC 102_Wkst'!$G$7:$G$2010,$D21,'LAC 102_Wkst'!$L$7:$L$2010,"02",'LAC 102_Wkst'!$N$7:$N$2010,"P1")+SUMIFS('LAC 102_Wkst'!$Q$7:$Q$2010,'LAC 102_Wkst'!$E$7:$E$2010,$C21,'LAC 102_Wkst'!$G$7:$G$2010,$D21,'LAC 102_Wkst'!$L$7:$L$2010,"02",'LAC 102_Wkst'!$N$7:$N$2010,"P2")+SUMIFS('LAC 102_Wkst'!$Q$7:$Q$2010,'LAC 102_Wkst'!$E$7:$E$2010,$C21,'LAC 102_Wkst'!$G$7:$G$2010,$D21,'LAC 102_Wkst'!$L$7:$L$2010,"02",'LAC 102_Wkst'!$N$7:$N$2010,"P3")</f>
        <v>894093</v>
      </c>
      <c r="G21" s="409">
        <f>SUMIFS('LAC 102_Wkst'!$AE$7:$AE$2010,'LAC 102_Wkst'!$E$7:$E$2010,$C21,'LAC 102_Wkst'!$G$7:$G$2010,$D21,'LAC 102_Wkst'!$L$7:$L$2010,"01",'LAC 102_Wkst'!$N$7:$N$2010,"P1")+SUMIFS('LAC 102_Wkst'!$AE$7:$AE$2010,'LAC 102_Wkst'!$E$7:$E$2010,$C21,'LAC 102_Wkst'!$G$7:$G$2010,$D21,'LAC 102_Wkst'!$L$7:$L$2010,"01",'LAC 102_Wkst'!$N$7:$N$2010,"P2")+SUMIFS('LAC 102_Wkst'!$AE$7:$AE$2010,'LAC 102_Wkst'!$E$7:$E$2010,$C21,'LAC 102_Wkst'!$G$7:$G$2010,$D21,'LAC 102_Wkst'!$L$7:$L$2010,"01",'LAC 102_Wkst'!$N$7:$N$2010,"P3")+SUMIFS('LAC 102_Wkst'!$AE$7:$AE$2010,'LAC 102_Wkst'!$E$7:$E$2010,$C21,'LAC 102_Wkst'!$G$7:$G$2010,$D21,'LAC 102_Wkst'!$L$7:$L$2010,"02",'LAC 102_Wkst'!$N$7:$N$2010,"P1")+SUMIFS('LAC 102_Wkst'!$AE$7:$AE$2010,'LAC 102_Wkst'!$E$7:$E$2010,$C21,'LAC 102_Wkst'!$G$7:$G$2010,$D21,'LAC 102_Wkst'!$L$7:$L$2010,"02",'LAC 102_Wkst'!$N$7:$N$2010,"P2")+SUMIFS('LAC 102_Wkst'!$AE$7:$AE$2010,'LAC 102_Wkst'!$E$7:$E$2010,$C21,'LAC 102_Wkst'!$G$7:$G$2010,$D21,'LAC 102_Wkst'!$L$7:$L$2010,"02",'LAC 102_Wkst'!$N$7:$N$2010,"P3")</f>
        <v>0</v>
      </c>
      <c r="H21" s="410">
        <f>SUMIFS('LAC 102_Wkst'!$Q$7:$Q$2010,'LAC 102_Wkst'!$E$7:$E$2010,$C21,'LAC 102_Wkst'!$G$7:$G$2010,$D21,'LAC 102_Wkst'!$L$7:$L$2010,"01",'LAC 102_Wkst'!$N$7:$N$2010,"P4")+SUMIFS('LAC 102_Wkst'!$Q$7:$Q$2010,'LAC 102_Wkst'!$E$7:$E$2010,$C21,'LAC 102_Wkst'!$G$7:$G$2010,$D21,'LAC 102_Wkst'!$L$7:$L$2010,"02",'LAC 102_Wkst'!$N$7:$N$2010,"P4")</f>
        <v>135716</v>
      </c>
      <c r="I21" s="411">
        <f>SUMIFS('LAC 102_Wkst'!$AE$7:$AE$2010,'LAC 102_Wkst'!$E$7:$E$2010,$C21,'LAC 102_Wkst'!$G$7:$G$2010,$D21,'LAC 102_Wkst'!$L$7:$L$2010,"01",'LAC 102_Wkst'!$N$7:$N$2010,"P4")+SUMIFS('LAC 102_Wkst'!$AE$7:$AE$2010,'LAC 102_Wkst'!$E$7:$E$2010,$C21,'LAC 102_Wkst'!$G$7:$G$2010,$D21,'LAC 102_Wkst'!$L$7:$L$2010,"02",'LAC 102_Wkst'!$N$7:$N$2010,"P4")</f>
        <v>0</v>
      </c>
      <c r="J21" s="410">
        <f>SUMIFS('LAC 102_Wkst'!$Q$7:$Q$2010,'LAC 102_Wkst'!$E$7:$E$2010,$C21,'LAC 102_Wkst'!$G$7:$G$2010,$D21,'LAC 102_Wkst'!$L$7:$L$2010,"01",'LAC 102_Wkst'!$N$7:$N$2010,"P5")+SUMIFS('LAC 102_Wkst'!$Q$7:$Q$2010,'LAC 102_Wkst'!$E$7:$E$2010,$C21,'LAC 102_Wkst'!$G$7:$G$2010,$D21,'LAC 102_Wkst'!$L$7:$L$2010,"02",'LAC 102_Wkst'!$N$7:$N$2010,"P5")</f>
        <v>147029</v>
      </c>
      <c r="K21" s="411">
        <f>SUMIFS('LAC 102_Wkst'!$AE$7:$AE$2010,'LAC 102_Wkst'!$E$7:$E$2010,$C21,'LAC 102_Wkst'!$G$7:$G$2010,$D21,'LAC 102_Wkst'!$L$7:$L$2010,"01",'LAC 102_Wkst'!$N$7:$N$2010,"P5")+SUMIFS('LAC 102_Wkst'!$AE$7:$AE$2010,'LAC 102_Wkst'!$E$7:$E$2010,$C21,'LAC 102_Wkst'!$G$7:$G$2010,$D21,'LAC 102_Wkst'!$L$7:$L$2010,"02",'LAC 102_Wkst'!$N$7:$N$2010,"P5")</f>
        <v>0</v>
      </c>
      <c r="L21" s="410">
        <f>SUMIFS('LAC 102_Wkst'!$Q$7:$Q$2010,'LAC 102_Wkst'!$E$7:$E$2010,$C21,'LAC 102_Wkst'!$G$7:$G$2010,$D21,'LAC 102_Wkst'!$L$7:$L$2010,"03",'LAC 102_Wkst'!$N$7:$N$2010,"P1")+SUMIFS('LAC 102_Wkst'!$Q$7:$Q$2010,'LAC 102_Wkst'!$E$7:$E$2010,$C21,'LAC 102_Wkst'!$G$7:$G$2010,$D21,'LAC 102_Wkst'!$L$7:$L$2010,"03",'LAC 102_Wkst'!$N$7:$N$2010,"P2")+SUMIFS('LAC 102_Wkst'!$Q$7:$Q$2010,'LAC 102_Wkst'!$E$7:$E$2010,$C21,'LAC 102_Wkst'!$G$7:$G$2010,$D21,'LAC 102_Wkst'!$L$7:$L$2010,"03",'LAC 102_Wkst'!$N$7:$N$2010,"P3")+SUMIFS('LAC 102_Wkst'!$Q$7:$Q$2010,'LAC 102_Wkst'!$E$7:$E$2010,$C21,'LAC 102_Wkst'!$G$7:$G$2010,$D21,'LAC 102_Wkst'!$L$7:$L$2010,"04",'LAC 102_Wkst'!$N$7:$N$2010,"P1")+SUMIFS('LAC 102_Wkst'!$Q$7:$Q$2010,'LAC 102_Wkst'!$E$7:$E$2010,$C21,'LAC 102_Wkst'!$G$7:$G$2010,$D21,'LAC 102_Wkst'!$L$7:$L$2010,"04",'LAC 102_Wkst'!$N$7:$N$2010,"P2")+SUMIFS('LAC 102_Wkst'!$Q$7:$Q$2010,'LAC 102_Wkst'!$E$7:$E$2010,$C21,'LAC 102_Wkst'!$G$7:$G$2010,$D21,'LAC 102_Wkst'!$L$7:$L$2010,"04",'LAC 102_Wkst'!$N$7:$N$2010,"P3")</f>
        <v>0</v>
      </c>
      <c r="M21" s="411">
        <f>SUMIFS('LAC 102_Wkst'!$AE$7:$AE$2010,'LAC 102_Wkst'!$E$7:$E$2010,$C21,'LAC 102_Wkst'!$G$7:$G$2010,$D21,'LAC 102_Wkst'!$L$7:$L$2010,"03",'LAC 102_Wkst'!$N$7:$N$2010,"P1")+SUMIFS('LAC 102_Wkst'!$AE$7:$AE$2010,'LAC 102_Wkst'!$E$7:$E$2010,$C21,'LAC 102_Wkst'!$G$7:$G$2010,$D21,'LAC 102_Wkst'!$L$7:$L$2010,"03",'LAC 102_Wkst'!$N$7:$N$2010,"P2")+SUMIFS('LAC 102_Wkst'!$AE$7:$AE$2010,'LAC 102_Wkst'!$E$7:$E$2010,$C21,'LAC 102_Wkst'!$G$7:$G$2010,$D21,'LAC 102_Wkst'!$L$7:$L$2010,"03",'LAC 102_Wkst'!$N$7:$N$2010,"P3")+SUMIFS('LAC 102_Wkst'!$AE$7:$AE$2010,'LAC 102_Wkst'!$E$7:$E$2010,$C21,'LAC 102_Wkst'!$G$7:$G$2010,$D21,'LAC 102_Wkst'!$L$7:$L$2010,"04",'LAC 102_Wkst'!$N$7:$N$2010,"P1")+SUMIFS('LAC 102_Wkst'!$AE$7:$AE$2010,'LAC 102_Wkst'!$E$7:$E$2010,$C21,'LAC 102_Wkst'!$G$7:$G$2010,$D21,'LAC 102_Wkst'!$L$7:$L$2010,"04",'LAC 102_Wkst'!$N$7:$N$2010,"P2")+SUMIFS('LAC 102_Wkst'!$AE$7:$AE$2010,'LAC 102_Wkst'!$E$7:$E$2010,$C21,'LAC 102_Wkst'!$G$7:$G$2010,$D21,'LAC 102_Wkst'!$L$7:$L$2010,"04",'LAC 102_Wkst'!$N$7:$N$2010,"P3")</f>
        <v>0</v>
      </c>
      <c r="N21" s="410">
        <f>SUMIFS('LAC 102_Wkst'!$Q$7:$Q$2010,'LAC 102_Wkst'!$E$7:$E$2010,$C21,'LAC 102_Wkst'!$G$7:$G$2010,$D21,'LAC 102_Wkst'!$L$7:$L$2010,"03",'LAC 102_Wkst'!$N$7:$N$2010,"P4")+SUMIFS('LAC 102_Wkst'!$Q$7:$Q$2010,'LAC 102_Wkst'!$E$7:$E$2010,$C21,'LAC 102_Wkst'!$G$7:$G$2010,$D21,'LAC 102_Wkst'!$L$7:$L$2010,"04",'LAC 102_Wkst'!$N$7:$N$2010,"P4")</f>
        <v>0</v>
      </c>
      <c r="O21" s="411">
        <f>SUMIFS('LAC 102_Wkst'!$AE$7:$AE$2010,'LAC 102_Wkst'!$E$7:$E$2010,$C21,'LAC 102_Wkst'!$G$7:$G$2010,$D21,'LAC 102_Wkst'!$L$7:$L$2010,"03",'LAC 102_Wkst'!$N$7:$N$2010,"P4")+SUMIFS('LAC 102_Wkst'!$AE$7:$AE$2010,'LAC 102_Wkst'!$E$7:$E$2010,$C21,'LAC 102_Wkst'!$G$7:$G$2010,$D21,'LAC 102_Wkst'!$L$7:$L$2010,"04",'LAC 102_Wkst'!$N$7:$N$2010,"P4")</f>
        <v>0</v>
      </c>
      <c r="P21" s="404">
        <f>SUMIFS('LAC 102_Wkst'!$Q$7:$Q$2010,'LAC 102_Wkst'!$E$7:$E$2010,$C21,'LAC 102_Wkst'!$G$7:$G$2010,$D21,'LAC 102_Wkst'!$L$7:$L$2010,"03",'LAC 102_Wkst'!$N$7:$N$2010,"P5")+SUMIFS('LAC 102_Wkst'!$Q$7:$Q$2010,'LAC 102_Wkst'!$E$7:$E$2010,$C21,'LAC 102_Wkst'!$G$7:$G$2010,$D21,'LAC 102_Wkst'!$L$7:$L$2010,"04",'LAC 102_Wkst'!$N$7:$N$2010,"P5")</f>
        <v>0</v>
      </c>
      <c r="Q21" s="411">
        <f>SUMIFS('LAC 102_Wkst'!$AE$7:$AE$2010,'LAC 102_Wkst'!$E$7:$E$2010,$C21,'LAC 102_Wkst'!$G$7:$G$2010,$D21,'LAC 102_Wkst'!$L$7:$L$2010,"03",'LAC 102_Wkst'!$N$7:$N$2010,"P5")+SUMIFS('LAC 102_Wkst'!$AE$7:$AE$2010,'LAC 102_Wkst'!$E$7:$E$2010,$C21,'LAC 102_Wkst'!$G$7:$G$2010,$D21,'LAC 102_Wkst'!$L$7:$L$2010,"04",'LAC 102_Wkst'!$N$7:$N$2010,"P5")</f>
        <v>0</v>
      </c>
      <c r="R21" s="412">
        <f>SUMIFS('LAC 102_Wkst'!$Q$7:$Q$2010,'LAC 102_Wkst'!$E$7:$E$2010,$C21,'LAC 102_Wkst'!$G$7:$G$2010,$D21,'LAC 102_Wkst'!$L$7:$L$2010,"05",'LAC 102_Wkst'!$N$7:$N$2010,"P1")+SUMIFS('LAC 102_Wkst'!$Q$7:$Q$2010,'LAC 102_Wkst'!$E$7:$E$2010,$C21,'LAC 102_Wkst'!$G$7:$G$2010,$D21,'LAC 102_Wkst'!$L$7:$L$2010,"06",'LAC 102_Wkst'!$N$7:$N$2010,"P1")</f>
        <v>6624</v>
      </c>
      <c r="S21" s="411">
        <f>SUMIFS('LAC 102_Wkst'!$AE$7:$AE$2010,'LAC 102_Wkst'!$E$7:$E$2010,$C21,'LAC 102_Wkst'!$G$7:$G$2010,$D21,'LAC 102_Wkst'!$L$7:$L$2010,"05",'LAC 102_Wkst'!$N$7:$N$2010,"P1")+SUMIFS('LAC 102_Wkst'!$AE$7:$AE$2010,'LAC 102_Wkst'!$E$7:$E$2010,$C21,'LAC 102_Wkst'!$G$7:$G$2010,$D21,'LAC 102_Wkst'!$L$7:$L$2010,"06",'LAC 102_Wkst'!$N$7:$N$2010,"P1")</f>
        <v>0</v>
      </c>
      <c r="T21" s="404">
        <f>SUMIFS('LAC 102_Wkst'!$Q$7:$Q$2010,'LAC 102_Wkst'!$E$7:$E$2010,$C21,'LAC 102_Wkst'!$G$7:$G$2010,$D21,'LAC 102_Wkst'!$L$7:$L$2010,"05",'LAC 102_Wkst'!$N$7:$N$2010,"P2")+SUMIFS('LAC 102_Wkst'!$Q$7:$Q$2010,'LAC 102_Wkst'!$E$7:$E$2010,$C21,'LAC 102_Wkst'!$G$7:$G$2010,$D21,'LAC 102_Wkst'!$L$7:$L$2010,"05",'LAC 102_Wkst'!$N$7:$N$2010,"P3")+SUMIFS('LAC 102_Wkst'!$Q$7:$Q$2010,'LAC 102_Wkst'!$E$7:$E$2010,$C21,'LAC 102_Wkst'!$G$7:$G$2010,$D21,'LAC 102_Wkst'!$L$7:$L$2010,"06",'LAC 102_Wkst'!$N$7:$N$2010,"P2")+SUMIFS('LAC 102_Wkst'!$Q$7:$Q$2010,'LAC 102_Wkst'!$E$7:$E$2010,$C21,'LAC 102_Wkst'!$G$7:$G$2010,$D21,'LAC 102_Wkst'!$L$7:$L$2010,"06",'LAC 102_Wkst'!$N$7:$N$2010,"P3")</f>
        <v>17512</v>
      </c>
      <c r="U21" s="411">
        <f>SUMIFS('LAC 102_Wkst'!$AE$7:$AE$2010,'LAC 102_Wkst'!$E$7:$E$2010,$C21,'LAC 102_Wkst'!$G$7:$G$2010,$D21,'LAC 102_Wkst'!$L$7:$L$2010,"05",'LAC 102_Wkst'!$N$7:$N$2010,"P2")+SUMIFS('LAC 102_Wkst'!$AE$7:$AE$2010,'LAC 102_Wkst'!$E$7:$E$2010,$C21,'LAC 102_Wkst'!$G$7:$G$2010,$D21,'LAC 102_Wkst'!$L$7:$L$2010,"06",'LAC 102_Wkst'!$N$7:$N$2010,"P3")+SUMIFS('LAC 102_Wkst'!$AE$7:$AE$2010,'LAC 102_Wkst'!$E$7:$E$2010,$C21,'LAC 102_Wkst'!$G$7:$G$2010,$D21,'LAC 102_Wkst'!$L$7:$L$2010,"05",'LAC 102_Wkst'!$N$7:$N$2010,"P2")+SUMIFS('LAC 102_Wkst'!$AE$7:$AE$2010,'LAC 102_Wkst'!$E$7:$E$2010,$C21,'LAC 102_Wkst'!$G$7:$G$2010,$D21,'LAC 102_Wkst'!$L$7:$L$2010,"06",'LAC 102_Wkst'!$N$7:$N$2010,"P3")</f>
        <v>0</v>
      </c>
      <c r="V21" s="410">
        <f>SUMIFS('LAC 102_Wkst'!$Q$7:$Q$2010,'LAC 102_Wkst'!$E$7:$E$2010,$C21,'LAC 102_Wkst'!$G$7:$G$2010,$D21,'LAC 102_Wkst'!$L$7:$L$2010,"05",'LAC 102_Wkst'!$N$7:$N$2010,"P4")+SUMIFS('LAC 102_Wkst'!$Q$7:$Q$2010,'LAC 102_Wkst'!$E$7:$E$2010,$C21,'LAC 102_Wkst'!$G$7:$G$2010,$D21,'LAC 102_Wkst'!$L$7:$L$2010,"06",'LAC 102_Wkst'!$N$7:$N$2010,"P4")</f>
        <v>5446</v>
      </c>
      <c r="W21" s="411">
        <f>SUMIFS('LAC 102_Wkst'!$AE$7:$AE$2010,'LAC 102_Wkst'!$E$7:$E$2010,$C21,'LAC 102_Wkst'!$G$7:$G$2010,$D21,'LAC 102_Wkst'!$L$7:$L$2010,"05",'LAC 102_Wkst'!$N$7:$N$2010,"P4")+SUMIFS('LAC 102_Wkst'!$AE$7:$AE$2010,'LAC 102_Wkst'!$E$7:$E$2010,$C21,'LAC 102_Wkst'!$G$7:$G$2010,$D21,'LAC 102_Wkst'!$L$7:$L$2010,"06",'LAC 102_Wkst'!$N$7:$N$2010,"P4")</f>
        <v>0</v>
      </c>
      <c r="X21" s="404">
        <f>SUMIFS('LAC 102_Wkst'!$Q$7:$Q$2010,'LAC 102_Wkst'!$E$7:$E$2010,$C21,'LAC 102_Wkst'!$G$7:$G$2010,$D21,'LAC 102_Wkst'!$L$7:$L$2010,"05",'LAC 102_Wkst'!$N$7:$N$2010,"P5")+SUMIFS('LAC 102_Wkst'!$Q$7:$Q$2010,'LAC 102_Wkst'!$E$7:$E$2010,$C21,'LAC 102_Wkst'!$G$7:$G$2010,$D21,'LAC 102_Wkst'!$L$7:$L$2010,"06",'LAC 102_Wkst'!$N$7:$N$2010,"P5")</f>
        <v>6568</v>
      </c>
      <c r="Y21" s="411">
        <f>SUMIFS('LAC 102_Wkst'!$AE$7:$AE$2010,'LAC 102_Wkst'!$E$7:$E$2010,$C21,'LAC 102_Wkst'!$G$7:$G$2010,$D21,'LAC 102_Wkst'!$L$7:$L$2010,"05",'LAC 102_Wkst'!$N$7:$N$2010,"P5")+SUMIFS('LAC 102_Wkst'!$AE$7:$AE$2010,'LAC 102_Wkst'!$E$7:$E$2010,$C21,'LAC 102_Wkst'!$G$7:$G$2010,$D21,'LAC 102_Wkst'!$L$7:$L$2010,"06",'LAC 102_Wkst'!$N$7:$N$2010,"P5")</f>
        <v>0</v>
      </c>
      <c r="Z21" s="410">
        <f>SUMIFS('LAC 102_Wkst'!$Q$7:$Q$2010,'LAC 102_Wkst'!$E$7:$E$2010,$C21,'LAC 102_Wkst'!$G$7:$G$2010,$D21,'LAC 102_Wkst'!$L$7:$L$2010,"07",'LAC 102_Wkst'!$N$7:$N$2010,"P1")+SUMIFS('LAC 102_Wkst'!$Q$7:$Q$2010,'LAC 102_Wkst'!$E$7:$E$2010,$C21,'LAC 102_Wkst'!$G$7:$G$2010,$D21,'LAC 102_Wkst'!$L$7:$L$2010,"07",'LAC 102_Wkst'!$N$7:$N$2010,"P2")+SUMIFS('LAC 102_Wkst'!$Q$7:$Q$2010,'LAC 102_Wkst'!$E$7:$E$2010,$C21,'LAC 102_Wkst'!$G$7:$G$2010,$D21,'LAC 102_Wkst'!$L$7:$L$2010,"07",'LAC 102_Wkst'!$N$7:$N$2010,"P3")</f>
        <v>294</v>
      </c>
      <c r="AA21" s="411">
        <f>SUMIFS('LAC 102_Wkst'!$AE$7:$AE$2010,'LAC 102_Wkst'!$E$7:$E$2010,$C21,'LAC 102_Wkst'!$G$7:$G$2010,$D21,'LAC 102_Wkst'!$L$7:$L$2010,"07",'LAC 102_Wkst'!$N$7:$N$2010,"P1")+SUMIFS('LAC 102_Wkst'!$AE$7:$AE$2010,'LAC 102_Wkst'!$E$7:$E$2010,$C21,'LAC 102_Wkst'!$G$7:$G$2010,$D21,'LAC 102_Wkst'!$L$7:$L$2010,"07",'LAC 102_Wkst'!$N$7:$N$2010,"P2")+SUMIFS('LAC 102_Wkst'!$AE$7:$AE$2010,'LAC 102_Wkst'!$E$7:$E$2010,$C21,'LAC 102_Wkst'!$G$7:$G$2010,$D21,'LAC 102_Wkst'!$L$7:$L$2010,"07",'LAC 102_Wkst'!$N$7:$N$2010,"P3")</f>
        <v>0</v>
      </c>
      <c r="AB21" s="410">
        <f>SUMIFS('LAC 102_Wkst'!$Q$7:$Q$2010,'LAC 102_Wkst'!$E$7:$E$2010,$C21,'LAC 102_Wkst'!$G$7:$G$2010,$D21,'LAC 102_Wkst'!$L$7:$L$2010,"07",'LAC 102_Wkst'!$N$7:$N$2010,"P4")</f>
        <v>48</v>
      </c>
      <c r="AC21" s="411">
        <f>SUMIFS('LAC 102_Wkst'!$AE$7:$AE$2010,'LAC 102_Wkst'!$E$7:$E$2010,$C21,'LAC 102_Wkst'!$G$7:$G$2010,$D21,'LAC 102_Wkst'!$L$7:$L$2010,"07",'LAC 102_Wkst'!$N$7:$N$2010,"P4")</f>
        <v>0</v>
      </c>
      <c r="AD21" s="404">
        <f>SUMIFS('LAC 102_Wkst'!$Q$7:$Q$2010,'LAC 102_Wkst'!$E$7:$E$2010,$C21,'LAC 102_Wkst'!$G$7:$G$2010,$D21,'LAC 102_Wkst'!$L$7:$L$2010,"07",'LAC 102_Wkst'!$N$7:$N$2010,"P5")</f>
        <v>71</v>
      </c>
      <c r="AE21" s="411">
        <f>SUMIFS('LAC 102_Wkst'!$AE$7:$AE$2010,'LAC 102_Wkst'!$E$7:$E$2010,$C21,'LAC 102_Wkst'!$G$7:$G$2010,$D21,'LAC 102_Wkst'!$L$7:$L$2010,"07",'LAC 102_Wkst'!$N$7:$N$2010,"P5")</f>
        <v>0</v>
      </c>
      <c r="AF21" s="410">
        <f>SUMIFS('LAC 102_Wkst'!$Q$7:$Q$2010,'LAC 102_Wkst'!$E$7:$E$2010,$C21,'LAC 102_Wkst'!$G$7:$G$2010,$D21,'LAC 102_Wkst'!$L$7:$L$2010,"08",'LAC 102_Wkst'!$N$7:$N$2010,"P1")+SUMIFS('LAC 102_Wkst'!$Q$7:$Q$2010,'LAC 102_Wkst'!$E$7:$E$2010,$C21,'LAC 102_Wkst'!$G$7:$G$2010,$D21,'LAC 102_Wkst'!$L$7:$L$2010,"08",'LAC 102_Wkst'!$N$7:$N$2010,"P2")+SUMIFS('LAC 102_Wkst'!$Q$7:$Q$2010,'LAC 102_Wkst'!$E$7:$E$2010,$C21,'LAC 102_Wkst'!$G$7:$G$2010,$D21,'LAC 102_Wkst'!$L$7:$L$2010,"08",'LAC 102_Wkst'!$N$7:$N$2010,"P3")</f>
        <v>0</v>
      </c>
      <c r="AG21" s="411">
        <f>SUMIFS('LAC 102_Wkst'!$AE$7:$AE$2010,'LAC 102_Wkst'!$E$7:$E$2010,$C21,'LAC 102_Wkst'!$G$7:$G$2010,$D21,'LAC 102_Wkst'!$L$7:$L$2010,"08",'LAC 102_Wkst'!$N$7:$N$2010,"P1")+SUMIFS('LAC 102_Wkst'!$AE$7:$AE$2010,'LAC 102_Wkst'!$E$7:$E$2010,$C21,'LAC 102_Wkst'!$G$7:$G$2010,$D21,'LAC 102_Wkst'!$L$7:$L$2010,"08",'LAC 102_Wkst'!$N$7:$N$2010,"P2")+SUMIFS('LAC 102_Wkst'!$AE$7:$AE$2010,'LAC 102_Wkst'!$E$7:$E$2010,$C21,'LAC 102_Wkst'!$G$7:$G$2010,$D21,'LAC 102_Wkst'!$L$7:$L$2010,"08",'LAC 102_Wkst'!$N$7:$N$2010,"P3")</f>
        <v>0</v>
      </c>
      <c r="AH21" s="410">
        <f>SUMIFS('LAC 102_Wkst'!$Q$7:$Q$2010,'LAC 102_Wkst'!$E$7:$E$2010,$C21,'LAC 102_Wkst'!$G$7:$G$2010,$D21,'LAC 102_Wkst'!$L$7:$L$2010,"08",'LAC 102_Wkst'!$N$7:$N$2010,"P4")</f>
        <v>0</v>
      </c>
      <c r="AI21" s="411">
        <f>SUMIFS('LAC 102_Wkst'!$AE$7:$AE$2010,'LAC 102_Wkst'!$E$7:$E$2010,$C21,'LAC 102_Wkst'!$G$7:$G$2010,$D21,'LAC 102_Wkst'!$L$7:$L$2010,"08",'LAC 102_Wkst'!$N$7:$N$2010,"P4")</f>
        <v>0</v>
      </c>
      <c r="AJ21" s="404">
        <f>SUMIFS('LAC 102_Wkst'!$Q$7:$Q$2010,'LAC 102_Wkst'!$E$7:$E$2010,$C21,'LAC 102_Wkst'!$G$7:$G$2010,$D21,'LAC 102_Wkst'!$L$7:$L$2010,"08",'LAC 102_Wkst'!$N$7:$N$2010,"P5")</f>
        <v>0</v>
      </c>
      <c r="AK21" s="411">
        <f>SUMIFS('LAC 102_Wkst'!$AE$7:$AE$2010,'LAC 102_Wkst'!$E$7:$E$2010,$C21,'LAC 102_Wkst'!$G$7:$G$2010,$D21,'LAC 102_Wkst'!$L$7:$L$2010,"08",'LAC 102_Wkst'!$N$7:$N$2010,"P5")</f>
        <v>0</v>
      </c>
      <c r="AL21" s="410">
        <f>SUMIFS('LAC 102_Wkst'!$Q$7:$Q$2010,'LAC 102_Wkst'!$E$7:$E$2010,$C21,'LAC 102_Wkst'!$G$7:$G$2010,$D21,'LAC 102_Wkst'!$L$7:$L$2010,"09",'LAC 102_Wkst'!$N$7:$N$2010,"P1")+SUMIFS('LAC 102_Wkst'!$Q$7:$Q$2010,'LAC 102_Wkst'!$E$7:$E$2010,$C21,'LAC 102_Wkst'!$G$7:$G$2010,$D21,'LAC 102_Wkst'!$L$7:$L$2010,"09",'LAC 102_Wkst'!$N$7:$N$2010,"P2")+SUMIFS('LAC 102_Wkst'!$Q$7:$Q$2010,'LAC 102_Wkst'!$E$7:$E$2010,$C21,'LAC 102_Wkst'!$G$7:$G$2010,$D21,'LAC 102_Wkst'!$L$7:$L$2010,"09",'LAC 102_Wkst'!$N$7:$N$2010,"P3")+SUMIFS('LAC 102_Wkst'!$Q$7:$Q$2010,'LAC 102_Wkst'!$E$7:$E$2010,$C21,'LAC 102_Wkst'!$G$7:$G$2010,$D21,'LAC 102_Wkst'!$L$7:$L$2010,"09",'LAC 102_Wkst'!$N$7:$N$2010,"P4")</f>
        <v>0</v>
      </c>
      <c r="AM21" s="411">
        <f>SUMIFS('LAC 102_Wkst'!$AE$7:$AE$2010,'LAC 102_Wkst'!$E$7:$E$2010,$C21,'LAC 102_Wkst'!$G$7:$G$2010,$D21,'LAC 102_Wkst'!$L$7:$L$2010,"09",'LAC 102_Wkst'!$N$7:$N$2010,"P1")+SUMIFS('LAC 102_Wkst'!$AE$7:$AE$2010,'LAC 102_Wkst'!$E$7:$E$2010,$C21,'LAC 102_Wkst'!$G$7:$G$2010,$D21,'LAC 102_Wkst'!$L$7:$L$2010,"09",'LAC 102_Wkst'!$N$7:$N$2010,"P2")+SUMIFS('LAC 102_Wkst'!$AE$7:$AE$2010,'LAC 102_Wkst'!$E$7:$E$2010,$C21,'LAC 102_Wkst'!$G$7:$G$2010,$D21,'LAC 102_Wkst'!$L$7:$L$2010,"09",'LAC 102_Wkst'!$N$7:$N$2010,"P3")+SUMIFS('LAC 102_Wkst'!$AE$7:$AE$2010,'LAC 102_Wkst'!$E$7:$E$2010,$C21,'LAC 102_Wkst'!$G$7:$G$2010,$D21,'LAC 102_Wkst'!$L$7:$L$2010,"09",'LAC 102_Wkst'!$N$7:$N$2010,"P4")</f>
        <v>0</v>
      </c>
      <c r="AN21" s="410">
        <f>SUMIFS('LAC 102_Wkst'!$Q$7:$Q$2010,'LAC 102_Wkst'!$E$7:$E$2010,$C21,'LAC 102_Wkst'!$G$7:$G$2010,$D21,'LAC 102_Wkst'!$L$7:$L$2010,"09",'LAC 102_Wkst'!$N$7:$N$2010,"P5")</f>
        <v>0</v>
      </c>
      <c r="AO21" s="411">
        <f>SUMIFS('LAC 102_Wkst'!$AE$7:$AE$2010,'LAC 102_Wkst'!$E$7:$E$2010,$C21,'LAC 102_Wkst'!$G$7:$G$2010,$D21,'LAC 102_Wkst'!$L$7:$L$2010,"09",'LAC 102_Wkst'!$N$7:$N$2010,"P5")</f>
        <v>0</v>
      </c>
      <c r="AP21" s="404">
        <f>SUMIFS('LAC 102_Wkst'!$Q$7:$Q$2010,'LAC 102_Wkst'!$E$7:$E$2010,$C21,'LAC 102_Wkst'!$G$7:$G$2010,$D21,'LAC 102_Wkst'!$L$7:$L$2010,"10",'LAC 102_Wkst'!$N$7:$N$2010,"P1")+SUMIFS('LAC 102_Wkst'!$Q$7:$Q$2010,'LAC 102_Wkst'!$E$7:$E$2010,$C21,'LAC 102_Wkst'!$G$7:$G$2010,$D21,'LAC 102_Wkst'!$L$7:$L$2010,"10",'LAC 102_Wkst'!$N$7:$N$2010,"P2")+SUMIFS('LAC 102_Wkst'!$Q$7:$Q$2010,'LAC 102_Wkst'!$E$7:$E$2010,$C21,'LAC 102_Wkst'!$G$7:$G$2010,$D21,'LAC 102_Wkst'!$L$7:$L$2010,"10",'LAC 102_Wkst'!$N$7:$N$2010,"P3")+SUMIFS('LAC 102_Wkst'!$Q$7:$Q$2010,'LAC 102_Wkst'!$E$7:$E$2010,$C21,'LAC 102_Wkst'!$G$7:$G$2010,$D21,'LAC 102_Wkst'!$L$7:$L$2010,"10",'LAC 102_Wkst'!$N$7:$N$2010,"P4")</f>
        <v>666728</v>
      </c>
      <c r="AQ21" s="411">
        <f>SUMIFS('LAC 102_Wkst'!$AE$7:$AE$2010,'LAC 102_Wkst'!$E$7:$E$2010,$C21,'LAC 102_Wkst'!$G$7:$G$2010,$D21,'LAC 102_Wkst'!$L$7:$L$2010,"10",'LAC 102_Wkst'!$N$7:$N$2010,"P1")+SUMIFS('LAC 102_Wkst'!$AE$7:$AE$2010,'LAC 102_Wkst'!$E$7:$E$2010,$C21,'LAC 102_Wkst'!$G$7:$G$2010,$D21,'LAC 102_Wkst'!$L$7:$L$2010,"10",'LAC 102_Wkst'!$N$7:$N$2010,"P2")+SUMIFS('LAC 102_Wkst'!$AE$7:$AE$2010,'LAC 102_Wkst'!$E$7:$E$2010,$C21,'LAC 102_Wkst'!$G$7:$G$2010,$D21,'LAC 102_Wkst'!$L$7:$L$2010,"10",'LAC 102_Wkst'!$N$7:$N$2010,"P3")+SUMIFS('LAC 102_Wkst'!$AE$7:$AE$2010,'LAC 102_Wkst'!$E$7:$E$2010,$C21,'LAC 102_Wkst'!$G$7:$G$2010,$D21,'LAC 102_Wkst'!$L$7:$L$2010,"10",'LAC 102_Wkst'!$N$7:$N$2010,"P4")</f>
        <v>0</v>
      </c>
      <c r="AR21" s="410">
        <f>SUMIFS('LAC 102_Wkst'!$Q$7:$Q$2010,'LAC 102_Wkst'!$E$7:$E$2010,$C21,'LAC 102_Wkst'!$G$7:$G$2010,$D21,'LAC 102_Wkst'!$L$7:$L$2010,"10",'LAC 102_Wkst'!$N$7:$N$2010,"P5")</f>
        <v>103073</v>
      </c>
      <c r="AS21" s="411">
        <f>SUMIFS('LAC 102_Wkst'!$AE$7:$AE$2010,'LAC 102_Wkst'!$E$7:$E$2010,$C21,'LAC 102_Wkst'!$G$7:$G$2010,$D21,'LAC 102_Wkst'!$L$7:$L$2010,"10",'LAC 102_Wkst'!$N$7:$N$2010,"P5")</f>
        <v>0</v>
      </c>
      <c r="AT21" s="410">
        <f>SUMIFS('LAC 102_Wkst'!$Q$7:$Q$2010,'LAC 102_Wkst'!$E$7:$E$2010,$C21,'LAC 102_Wkst'!$G$7:$G$2010,$D21,'LAC 102_Wkst'!$L$7:$L$2010,"11",'LAC 102_Wkst'!$N$7:$N$2010,"P1")+SUMIFS('LAC 102_Wkst'!$Q$7:$Q$2010,'LAC 102_Wkst'!$E$7:$E$2010,$C21,'LAC 102_Wkst'!$G$7:$G$2010,$D21,'LAC 102_Wkst'!$L$7:$L$2010,"12",'LAC 102_Wkst'!$N$7:$N$2010,"P1")</f>
        <v>0</v>
      </c>
      <c r="AU21" s="411">
        <f>SUMIFS('LAC 102_Wkst'!$AE$7:$AE$2010,'LAC 102_Wkst'!$E$7:$E$2010,$C21,'LAC 102_Wkst'!$G$7:$G$2010,$D21,'LAC 102_Wkst'!$L$7:$L$2010,"11",'LAC 102_Wkst'!$N$7:$N$2010,"P1")+SUMIFS('LAC 102_Wkst'!$AE$7:$AE$2010,'LAC 102_Wkst'!$E$7:$E$2010,$C21,'LAC 102_Wkst'!$G$7:$G$2010,$D21,'LAC 102_Wkst'!$L$7:$L$2010,"12",'LAC 102_Wkst'!$N$7:$N$2010,"P1")</f>
        <v>0</v>
      </c>
      <c r="AV21" s="404">
        <f>SUMIFS('LAC 102_Wkst'!$Q$7:$Q$2010,'LAC 102_Wkst'!$E$7:$E$2010,$C21,'LAC 102_Wkst'!$G$7:$G$2010,$D21,'LAC 102_Wkst'!$L$7:$L$2010,"11",'LAC 102_Wkst'!$N$7:$N$2010,"P2")+SUMIFS('LAC 102_Wkst'!$Q$7:$Q$2010,'LAC 102_Wkst'!$E$7:$E$2010,$C21,'LAC 102_Wkst'!$G$7:$G$2010,$D21,'LAC 102_Wkst'!$L$7:$L$2010,"12",'LAC 102_Wkst'!$N$7:$N$2010,"P3")+SUMIFS('LAC 102_Wkst'!$Q$7:$Q$2010,'LAC 102_Wkst'!$E$7:$E$2010,$C21,'LAC 102_Wkst'!$G$7:$G$2010,$D21,'LAC 102_Wkst'!$L$7:$L$2010,"11",'LAC 102_Wkst'!$N$7:$N$2010,"P2")+SUMIFS('LAC 102_Wkst'!$Q$7:$Q$2010,'LAC 102_Wkst'!$E$7:$E$2010,$C21,'LAC 102_Wkst'!$G$7:$G$2010,$D21,'LAC 102_Wkst'!$L$7:$L$2010,"12",'LAC 102_Wkst'!$N$7:$N$2010,"P3")</f>
        <v>0</v>
      </c>
      <c r="AW21" s="411">
        <f>SUMIFS('LAC 102_Wkst'!$AE$7:$AE$2010,'LAC 102_Wkst'!$E$7:$E$2010,$C21,'LAC 102_Wkst'!$G$7:$G$2010,$D21,'LAC 102_Wkst'!$L$7:$L$2010,"11",'LAC 102_Wkst'!$N$7:$N$2010,"P2")+SUMIFS('LAC 102_Wkst'!$AE$7:$AE$2010,'LAC 102_Wkst'!$E$7:$E$2010,$C21,'LAC 102_Wkst'!$G$7:$G$2010,$D21,'LAC 102_Wkst'!$L$7:$L$2010,"12",'LAC 102_Wkst'!$N$7:$N$2010,"P3")+SUMIFS('LAC 102_Wkst'!$AE$7:$AE$2010,'LAC 102_Wkst'!$E$7:$E$2010,$C21,'LAC 102_Wkst'!$G$7:$G$2010,$D21,'LAC 102_Wkst'!$L$7:$L$2010,"11",'LAC 102_Wkst'!$N$7:$N$2010,"P2")+SUMIFS('LAC 102_Wkst'!$AE$7:$AE$2010,'LAC 102_Wkst'!$E$7:$E$2010,$C21,'LAC 102_Wkst'!$G$7:$G$2010,$D21,'LAC 102_Wkst'!$L$7:$L$2010,"12",'LAC 102_Wkst'!$N$7:$N$2010,"P3")</f>
        <v>0</v>
      </c>
      <c r="AX21" s="410">
        <f>SUMIFS('LAC 102_Wkst'!$Q$7:$Q$2010,'LAC 102_Wkst'!$E$7:$E$2010,$C21,'LAC 102_Wkst'!$G$7:$G$2010,$D21,'LAC 102_Wkst'!$L$7:$L$2010,"11",'LAC 102_Wkst'!$N$7:$N$2010,"P4")+SUMIFS('LAC 102_Wkst'!$Q$7:$Q$2010,'LAC 102_Wkst'!$E$7:$E$2010,$C21,'LAC 102_Wkst'!$G$7:$G$2010,$D21,'LAC 102_Wkst'!$L$7:$L$2010,"12",'LAC 102_Wkst'!$N$7:$N$2010,"P4")</f>
        <v>0</v>
      </c>
      <c r="AY21" s="411">
        <f>SUMIFS('LAC 102_Wkst'!$AE$7:$AE$2010,'LAC 102_Wkst'!$E$7:$E$2010,$C21,'LAC 102_Wkst'!$G$7:$G$2010,$D21,'LAC 102_Wkst'!$L$7:$L$2010,"11",'LAC 102_Wkst'!$N$7:$N$2010,"P4")+SUMIFS('LAC 102_Wkst'!$AE$7:$AE$2010,'LAC 102_Wkst'!$E$7:$E$2010,$C21,'LAC 102_Wkst'!$G$7:$G$2010,$D21,'LAC 102_Wkst'!$L$7:$L$2010,"12",'LAC 102_Wkst'!$N$7:$N$2010,"P4")</f>
        <v>0</v>
      </c>
      <c r="AZ21" s="404">
        <f>SUMIFS('LAC 102_Wkst'!$Q$7:$Q$2010,'LAC 102_Wkst'!$E$7:$E$2010,$C21,'LAC 102_Wkst'!$G$7:$G$2010,$D21,'LAC 102_Wkst'!$L$7:$L$2010,"11",'LAC 102_Wkst'!$N$7:$N$2010,"P5")+SUMIFS('LAC 102_Wkst'!$Q$7:$Q$2010,'LAC 102_Wkst'!$E$7:$E$2010,$C21,'LAC 102_Wkst'!$G$7:$G$2010,$D21,'LAC 102_Wkst'!$L$7:$L$2010,"12",'LAC 102_Wkst'!$N$7:$N$2010,"P5")</f>
        <v>0</v>
      </c>
      <c r="BA21" s="411">
        <f>SUMIFS('LAC 102_Wkst'!$AE$7:$AE$2010,'LAC 102_Wkst'!$E$7:$E$2010,$C21,'LAC 102_Wkst'!$G$7:$G$2010,$D21,'LAC 102_Wkst'!$L$7:$L$2010,"11",'LAC 102_Wkst'!$N$7:$N$2010,"P5")+SUMIFS('LAC 102_Wkst'!$AE$7:$AE$2010,'LAC 102_Wkst'!$E$7:$E$2010,$C21,'LAC 102_Wkst'!$G$7:$G$2010,$D21,'LAC 102_Wkst'!$L$7:$L$2010,"12",'LAC 102_Wkst'!$N$7:$N$2010,"P5")</f>
        <v>0</v>
      </c>
      <c r="BB21" s="410">
        <f>SUMIFS('LAC 102_Wkst'!$Q$7:$Q$2010,'LAC 102_Wkst'!$E$7:$E$2010,$C21,'LAC 102_Wkst'!$G$7:$G$2010,$D21,'LAC 102_Wkst'!$L$7:$L$2010,"13",'LAC 102_Wkst'!$N$7:$N$2010,"P1")+SUMIFS('LAC 102_Wkst'!$Q$7:$Q$2010,'LAC 102_Wkst'!$E$7:$E$2010,$C21,'LAC 102_Wkst'!$G$7:$G$2010,$D21,'LAC 102_Wkst'!$L$7:$L$2010,"13",'LAC 102_Wkst'!$N$7:$N$2010,"P2")+SUMIFS('LAC 102_Wkst'!$Q$7:$Q$2010,'LAC 102_Wkst'!$E$7:$E$2010,$C21,'LAC 102_Wkst'!$G$7:$G$2010,$D21,'LAC 102_Wkst'!$L$7:$L$2010,"13",'LAC 102_Wkst'!$N$7:$N$2010,"P3")+SUMIFS('LAC 102_Wkst'!$Q$7:$Q$2010,'LAC 102_Wkst'!$E$7:$E$2010,$C21,'LAC 102_Wkst'!$G$7:$G$2010,$D21,'LAC 102_Wkst'!$L$7:$L$2010,"13",'LAC 102_Wkst'!$N$7:$N$2010,"P4")</f>
        <v>19960</v>
      </c>
      <c r="BC21" s="411">
        <f>SUMIFS('LAC 102_Wkst'!$AE$7:$AE$2010,'LAC 102_Wkst'!$E$7:$E$2010,$C21,'LAC 102_Wkst'!$G$7:$G$2010,$D21,'LAC 102_Wkst'!$L$7:$L$2010,"13",'LAC 102_Wkst'!$N$7:$N$2010,"P1")+SUMIFS('LAC 102_Wkst'!$AE$7:$AE$2010,'LAC 102_Wkst'!$E$7:$E$2010,$C21,'LAC 102_Wkst'!$G$7:$G$2010,$D21,'LAC 102_Wkst'!$L$7:$L$2010,"13",'LAC 102_Wkst'!$N$7:$N$2010,"P2")+SUMIFS('LAC 102_Wkst'!$AE$7:$AE$2010,'LAC 102_Wkst'!$E$7:$E$2010,$C21,'LAC 102_Wkst'!$G$7:$G$2010,$D21,'LAC 102_Wkst'!$L$7:$L$2010,"13",'LAC 102_Wkst'!$N$7:$N$2010,"P3")+SUMIFS('LAC 102_Wkst'!$AE$7:$AE$2010,'LAC 102_Wkst'!$E$7:$E$2010,$C21,'LAC 102_Wkst'!$G$7:$G$2010,$D21,'LAC 102_Wkst'!$L$7:$L$2010,"13",'LAC 102_Wkst'!$N$7:$N$2010,"P4")</f>
        <v>0</v>
      </c>
      <c r="BD21" s="404">
        <f>SUMIFS('LAC 102_Wkst'!$Q$7:$Q$2010,'LAC 102_Wkst'!$E$7:$E$2010,$C21,'LAC 102_Wkst'!$G$7:$G$2010,$D21,'LAC 102_Wkst'!$L$7:$L$2010,"13",'LAC 102_Wkst'!$N$7:$N$2010,"P5")</f>
        <v>0</v>
      </c>
      <c r="BE21" s="411">
        <f>SUMIFS('LAC 102_Wkst'!$AE$7:$AE$2010,'LAC 102_Wkst'!$E$7:$E$2010,$C21,'LAC 102_Wkst'!$G$7:$G$2010,$D21,'LAC 102_Wkst'!$L$7:$L$2010,"13",'LAC 102_Wkst'!$N$7:$N$2010,"P5")</f>
        <v>0</v>
      </c>
      <c r="BF21" s="407">
        <f t="shared" ref="BF21:BF84" si="0">E21-F21-H21-J21-L21-N21-P21-R21-T21-V21-X21-Z21-AB21-AD21-AF21-AH21-AJ21-AL21-AN21-AP21-AR21-AV21-AX21-AZ21-BB21-BD21</f>
        <v>24807</v>
      </c>
    </row>
    <row r="22" spans="1:58" x14ac:dyDescent="0.2">
      <c r="A22" s="401">
        <v>3</v>
      </c>
      <c r="B22" s="1236" t="s">
        <v>738</v>
      </c>
      <c r="C22" s="1235" t="s">
        <v>95</v>
      </c>
      <c r="D22" s="1237" t="s">
        <v>45</v>
      </c>
      <c r="E22" s="1222">
        <f>IF(CONCATENATE(C22,D22)&gt;"6069",1,SUMIFS('LAC 102_Wkst'!$Q$7:$Q$2010,'LAC 102_Wkst'!$E$7:$E$2010,Schedule_B!$C22,'LAC 102_Wkst'!$G$7:$G$2010,Schedule_B!$D22))</f>
        <v>276055</v>
      </c>
      <c r="F22" s="408">
        <f>SUMIFS('LAC 102_Wkst'!$Q$7:$Q$2010,'LAC 102_Wkst'!$E$7:$E$2010,$C22,'LAC 102_Wkst'!$G$7:$G$2010,$D22,'LAC 102_Wkst'!$L$7:$L$2010,"01",'LAC 102_Wkst'!$N$7:$N$2010,"P1")+SUMIFS('LAC 102_Wkst'!$Q$7:$Q$2010,'LAC 102_Wkst'!$E$7:$E$2010,$C22,'LAC 102_Wkst'!$G$7:$G$2010,$D22,'LAC 102_Wkst'!$L$7:$L$2010,"01",'LAC 102_Wkst'!$N$7:$N$2010,"P2")+SUMIFS('LAC 102_Wkst'!$Q$7:$Q$2010,'LAC 102_Wkst'!$E$7:$E$2010,$C22,'LAC 102_Wkst'!$G$7:$G$2010,$D22,'LAC 102_Wkst'!$L$7:$L$2010,"01",'LAC 102_Wkst'!$N$7:$N$2010,"P3")+SUMIFS('LAC 102_Wkst'!$Q$7:$Q$2010,'LAC 102_Wkst'!$E$7:$E$2010,$C22,'LAC 102_Wkst'!$G$7:$G$2010,$D22,'LAC 102_Wkst'!$L$7:$L$2010,"02",'LAC 102_Wkst'!$N$7:$N$2010,"P1")+SUMIFS('LAC 102_Wkst'!$Q$7:$Q$2010,'LAC 102_Wkst'!$E$7:$E$2010,$C22,'LAC 102_Wkst'!$G$7:$G$2010,$D22,'LAC 102_Wkst'!$L$7:$L$2010,"02",'LAC 102_Wkst'!$N$7:$N$2010,"P2")+SUMIFS('LAC 102_Wkst'!$Q$7:$Q$2010,'LAC 102_Wkst'!$E$7:$E$2010,$C22,'LAC 102_Wkst'!$G$7:$G$2010,$D22,'LAC 102_Wkst'!$L$7:$L$2010,"02",'LAC 102_Wkst'!$N$7:$N$2010,"P3")</f>
        <v>0</v>
      </c>
      <c r="G22" s="409">
        <f>SUMIFS('LAC 102_Wkst'!$AE$7:$AE$2010,'LAC 102_Wkst'!$E$7:$E$2010,$C22,'LAC 102_Wkst'!$G$7:$G$2010,$D22,'LAC 102_Wkst'!$L$7:$L$2010,"01",'LAC 102_Wkst'!$N$7:$N$2010,"P1")+SUMIFS('LAC 102_Wkst'!$AE$7:$AE$2010,'LAC 102_Wkst'!$E$7:$E$2010,$C22,'LAC 102_Wkst'!$G$7:$G$2010,$D22,'LAC 102_Wkst'!$L$7:$L$2010,"01",'LAC 102_Wkst'!$N$7:$N$2010,"P2")+SUMIFS('LAC 102_Wkst'!$AE$7:$AE$2010,'LAC 102_Wkst'!$E$7:$E$2010,$C22,'LAC 102_Wkst'!$G$7:$G$2010,$D22,'LAC 102_Wkst'!$L$7:$L$2010,"01",'LAC 102_Wkst'!$N$7:$N$2010,"P3")+SUMIFS('LAC 102_Wkst'!$AE$7:$AE$2010,'LAC 102_Wkst'!$E$7:$E$2010,$C22,'LAC 102_Wkst'!$G$7:$G$2010,$D22,'LAC 102_Wkst'!$L$7:$L$2010,"02",'LAC 102_Wkst'!$N$7:$N$2010,"P1")+SUMIFS('LAC 102_Wkst'!$AE$7:$AE$2010,'LAC 102_Wkst'!$E$7:$E$2010,$C22,'LAC 102_Wkst'!$G$7:$G$2010,$D22,'LAC 102_Wkst'!$L$7:$L$2010,"02",'LAC 102_Wkst'!$N$7:$N$2010,"P2")+SUMIFS('LAC 102_Wkst'!$AE$7:$AE$2010,'LAC 102_Wkst'!$E$7:$E$2010,$C22,'LAC 102_Wkst'!$G$7:$G$2010,$D22,'LAC 102_Wkst'!$L$7:$L$2010,"02",'LAC 102_Wkst'!$N$7:$N$2010,"P3")</f>
        <v>0</v>
      </c>
      <c r="H22" s="410">
        <f>SUMIFS('LAC 102_Wkst'!$Q$7:$Q$2010,'LAC 102_Wkst'!$E$7:$E$2010,$C22,'LAC 102_Wkst'!$G$7:$G$2010,$D22,'LAC 102_Wkst'!$L$7:$L$2010,"01",'LAC 102_Wkst'!$N$7:$N$2010,"P4")+SUMIFS('LAC 102_Wkst'!$Q$7:$Q$2010,'LAC 102_Wkst'!$E$7:$E$2010,$C22,'LAC 102_Wkst'!$G$7:$G$2010,$D22,'LAC 102_Wkst'!$L$7:$L$2010,"02",'LAC 102_Wkst'!$N$7:$N$2010,"P4")</f>
        <v>0</v>
      </c>
      <c r="I22" s="411">
        <f>SUMIFS('LAC 102_Wkst'!$AE$7:$AE$2010,'LAC 102_Wkst'!$E$7:$E$2010,$C22,'LAC 102_Wkst'!$G$7:$G$2010,$D22,'LAC 102_Wkst'!$L$7:$L$2010,"01",'LAC 102_Wkst'!$N$7:$N$2010,"P4")+SUMIFS('LAC 102_Wkst'!$AE$7:$AE$2010,'LAC 102_Wkst'!$E$7:$E$2010,$C22,'LAC 102_Wkst'!$G$7:$G$2010,$D22,'LAC 102_Wkst'!$L$7:$L$2010,"02",'LAC 102_Wkst'!$N$7:$N$2010,"P4")</f>
        <v>0</v>
      </c>
      <c r="J22" s="410">
        <f>SUMIFS('LAC 102_Wkst'!$Q$7:$Q$2010,'LAC 102_Wkst'!$E$7:$E$2010,$C22,'LAC 102_Wkst'!$G$7:$G$2010,$D22,'LAC 102_Wkst'!$L$7:$L$2010,"01",'LAC 102_Wkst'!$N$7:$N$2010,"P5")+SUMIFS('LAC 102_Wkst'!$Q$7:$Q$2010,'LAC 102_Wkst'!$E$7:$E$2010,$C22,'LAC 102_Wkst'!$G$7:$G$2010,$D22,'LAC 102_Wkst'!$L$7:$L$2010,"02",'LAC 102_Wkst'!$N$7:$N$2010,"P5")</f>
        <v>0</v>
      </c>
      <c r="K22" s="411">
        <f>SUMIFS('LAC 102_Wkst'!$AE$7:$AE$2010,'LAC 102_Wkst'!$E$7:$E$2010,$C22,'LAC 102_Wkst'!$G$7:$G$2010,$D22,'LAC 102_Wkst'!$L$7:$L$2010,"01",'LAC 102_Wkst'!$N$7:$N$2010,"P5")+SUMIFS('LAC 102_Wkst'!$AE$7:$AE$2010,'LAC 102_Wkst'!$E$7:$E$2010,$C22,'LAC 102_Wkst'!$G$7:$G$2010,$D22,'LAC 102_Wkst'!$L$7:$L$2010,"02",'LAC 102_Wkst'!$N$7:$N$2010,"P5")</f>
        <v>0</v>
      </c>
      <c r="L22" s="410">
        <f>SUMIFS('LAC 102_Wkst'!$Q$7:$Q$2010,'LAC 102_Wkst'!$E$7:$E$2010,$C22,'LAC 102_Wkst'!$G$7:$G$2010,$D22,'LAC 102_Wkst'!$L$7:$L$2010,"03",'LAC 102_Wkst'!$N$7:$N$2010,"P1")+SUMIFS('LAC 102_Wkst'!$Q$7:$Q$2010,'LAC 102_Wkst'!$E$7:$E$2010,$C22,'LAC 102_Wkst'!$G$7:$G$2010,$D22,'LAC 102_Wkst'!$L$7:$L$2010,"03",'LAC 102_Wkst'!$N$7:$N$2010,"P2")+SUMIFS('LAC 102_Wkst'!$Q$7:$Q$2010,'LAC 102_Wkst'!$E$7:$E$2010,$C22,'LAC 102_Wkst'!$G$7:$G$2010,$D22,'LAC 102_Wkst'!$L$7:$L$2010,"03",'LAC 102_Wkst'!$N$7:$N$2010,"P3")+SUMIFS('LAC 102_Wkst'!$Q$7:$Q$2010,'LAC 102_Wkst'!$E$7:$E$2010,$C22,'LAC 102_Wkst'!$G$7:$G$2010,$D22,'LAC 102_Wkst'!$L$7:$L$2010,"04",'LAC 102_Wkst'!$N$7:$N$2010,"P1")+SUMIFS('LAC 102_Wkst'!$Q$7:$Q$2010,'LAC 102_Wkst'!$E$7:$E$2010,$C22,'LAC 102_Wkst'!$G$7:$G$2010,$D22,'LAC 102_Wkst'!$L$7:$L$2010,"04",'LAC 102_Wkst'!$N$7:$N$2010,"P2")+SUMIFS('LAC 102_Wkst'!$Q$7:$Q$2010,'LAC 102_Wkst'!$E$7:$E$2010,$C22,'LAC 102_Wkst'!$G$7:$G$2010,$D22,'LAC 102_Wkst'!$L$7:$L$2010,"04",'LAC 102_Wkst'!$N$7:$N$2010,"P3")</f>
        <v>0</v>
      </c>
      <c r="M22" s="411">
        <f>SUMIFS('LAC 102_Wkst'!$AE$7:$AE$2010,'LAC 102_Wkst'!$E$7:$E$2010,$C22,'LAC 102_Wkst'!$G$7:$G$2010,$D22,'LAC 102_Wkst'!$L$7:$L$2010,"03",'LAC 102_Wkst'!$N$7:$N$2010,"P1")+SUMIFS('LAC 102_Wkst'!$AE$7:$AE$2010,'LAC 102_Wkst'!$E$7:$E$2010,$C22,'LAC 102_Wkst'!$G$7:$G$2010,$D22,'LAC 102_Wkst'!$L$7:$L$2010,"03",'LAC 102_Wkst'!$N$7:$N$2010,"P2")+SUMIFS('LAC 102_Wkst'!$AE$7:$AE$2010,'LAC 102_Wkst'!$E$7:$E$2010,$C22,'LAC 102_Wkst'!$G$7:$G$2010,$D22,'LAC 102_Wkst'!$L$7:$L$2010,"03",'LAC 102_Wkst'!$N$7:$N$2010,"P3")+SUMIFS('LAC 102_Wkst'!$AE$7:$AE$2010,'LAC 102_Wkst'!$E$7:$E$2010,$C22,'LAC 102_Wkst'!$G$7:$G$2010,$D22,'LAC 102_Wkst'!$L$7:$L$2010,"04",'LAC 102_Wkst'!$N$7:$N$2010,"P1")+SUMIFS('LAC 102_Wkst'!$AE$7:$AE$2010,'LAC 102_Wkst'!$E$7:$E$2010,$C22,'LAC 102_Wkst'!$G$7:$G$2010,$D22,'LAC 102_Wkst'!$L$7:$L$2010,"04",'LAC 102_Wkst'!$N$7:$N$2010,"P2")+SUMIFS('LAC 102_Wkst'!$AE$7:$AE$2010,'LAC 102_Wkst'!$E$7:$E$2010,$C22,'LAC 102_Wkst'!$G$7:$G$2010,$D22,'LAC 102_Wkst'!$L$7:$L$2010,"04",'LAC 102_Wkst'!$N$7:$N$2010,"P3")</f>
        <v>0</v>
      </c>
      <c r="N22" s="410">
        <f>SUMIFS('LAC 102_Wkst'!$Q$7:$Q$2010,'LAC 102_Wkst'!$E$7:$E$2010,$C22,'LAC 102_Wkst'!$G$7:$G$2010,$D22,'LAC 102_Wkst'!$L$7:$L$2010,"03",'LAC 102_Wkst'!$N$7:$N$2010,"P4")+SUMIFS('LAC 102_Wkst'!$Q$7:$Q$2010,'LAC 102_Wkst'!$E$7:$E$2010,$C22,'LAC 102_Wkst'!$G$7:$G$2010,$D22,'LAC 102_Wkst'!$L$7:$L$2010,"04",'LAC 102_Wkst'!$N$7:$N$2010,"P4")</f>
        <v>0</v>
      </c>
      <c r="O22" s="411">
        <f>SUMIFS('LAC 102_Wkst'!$AE$7:$AE$2010,'LAC 102_Wkst'!$E$7:$E$2010,$C22,'LAC 102_Wkst'!$G$7:$G$2010,$D22,'LAC 102_Wkst'!$L$7:$L$2010,"03",'LAC 102_Wkst'!$N$7:$N$2010,"P4")+SUMIFS('LAC 102_Wkst'!$AE$7:$AE$2010,'LAC 102_Wkst'!$E$7:$E$2010,$C22,'LAC 102_Wkst'!$G$7:$G$2010,$D22,'LAC 102_Wkst'!$L$7:$L$2010,"04",'LAC 102_Wkst'!$N$7:$N$2010,"P4")</f>
        <v>0</v>
      </c>
      <c r="P22" s="404">
        <f>SUMIFS('LAC 102_Wkst'!$Q$7:$Q$2010,'LAC 102_Wkst'!$E$7:$E$2010,$C22,'LAC 102_Wkst'!$G$7:$G$2010,$D22,'LAC 102_Wkst'!$L$7:$L$2010,"03",'LAC 102_Wkst'!$N$7:$N$2010,"P5")+SUMIFS('LAC 102_Wkst'!$Q$7:$Q$2010,'LAC 102_Wkst'!$E$7:$E$2010,$C22,'LAC 102_Wkst'!$G$7:$G$2010,$D22,'LAC 102_Wkst'!$L$7:$L$2010,"04",'LAC 102_Wkst'!$N$7:$N$2010,"P5")</f>
        <v>0</v>
      </c>
      <c r="Q22" s="411">
        <f>SUMIFS('LAC 102_Wkst'!$AE$7:$AE$2010,'LAC 102_Wkst'!$E$7:$E$2010,$C22,'LAC 102_Wkst'!$G$7:$G$2010,$D22,'LAC 102_Wkst'!$L$7:$L$2010,"03",'LAC 102_Wkst'!$N$7:$N$2010,"P5")+SUMIFS('LAC 102_Wkst'!$AE$7:$AE$2010,'LAC 102_Wkst'!$E$7:$E$2010,$C22,'LAC 102_Wkst'!$G$7:$G$2010,$D22,'LAC 102_Wkst'!$L$7:$L$2010,"04",'LAC 102_Wkst'!$N$7:$N$2010,"P5")</f>
        <v>0</v>
      </c>
      <c r="R22" s="412">
        <f>SUMIFS('LAC 102_Wkst'!$Q$7:$Q$2010,'LAC 102_Wkst'!$E$7:$E$2010,$C22,'LAC 102_Wkst'!$G$7:$G$2010,$D22,'LAC 102_Wkst'!$L$7:$L$2010,"05",'LAC 102_Wkst'!$N$7:$N$2010,"P1")+SUMIFS('LAC 102_Wkst'!$Q$7:$Q$2010,'LAC 102_Wkst'!$E$7:$E$2010,$C22,'LAC 102_Wkst'!$G$7:$G$2010,$D22,'LAC 102_Wkst'!$L$7:$L$2010,"06",'LAC 102_Wkst'!$N$7:$N$2010,"P1")</f>
        <v>0</v>
      </c>
      <c r="S22" s="411">
        <f>SUMIFS('LAC 102_Wkst'!$AE$7:$AE$2010,'LAC 102_Wkst'!$E$7:$E$2010,$C22,'LAC 102_Wkst'!$G$7:$G$2010,$D22,'LAC 102_Wkst'!$L$7:$L$2010,"05",'LAC 102_Wkst'!$N$7:$N$2010,"P1")+SUMIFS('LAC 102_Wkst'!$AE$7:$AE$2010,'LAC 102_Wkst'!$E$7:$E$2010,$C22,'LAC 102_Wkst'!$G$7:$G$2010,$D22,'LAC 102_Wkst'!$L$7:$L$2010,"06",'LAC 102_Wkst'!$N$7:$N$2010,"P1")</f>
        <v>0</v>
      </c>
      <c r="T22" s="410">
        <f>SUMIFS('LAC 102_Wkst'!$Q$7:$Q$2010,'LAC 102_Wkst'!$E$7:$E$2010,$C22,'LAC 102_Wkst'!$G$7:$G$2010,$D22,'LAC 102_Wkst'!$L$7:$L$2010,"05",'LAC 102_Wkst'!$N$7:$N$2010,"P2")+SUMIFS('LAC 102_Wkst'!$Q$7:$Q$2010,'LAC 102_Wkst'!$E$7:$E$2010,$C22,'LAC 102_Wkst'!$G$7:$G$2010,$D22,'LAC 102_Wkst'!$L$7:$L$2010,"05",'LAC 102_Wkst'!$N$7:$N$2010,"P3")+SUMIFS('LAC 102_Wkst'!$Q$7:$Q$2010,'LAC 102_Wkst'!$E$7:$E$2010,$C22,'LAC 102_Wkst'!$G$7:$G$2010,$D22,'LAC 102_Wkst'!$L$7:$L$2010,"06",'LAC 102_Wkst'!$N$7:$N$2010,"P2")+SUMIFS('LAC 102_Wkst'!$Q$7:$Q$2010,'LAC 102_Wkst'!$E$7:$E$2010,$C22,'LAC 102_Wkst'!$G$7:$G$2010,$D22,'LAC 102_Wkst'!$L$7:$L$2010,"06",'LAC 102_Wkst'!$N$7:$N$2010,"P3")</f>
        <v>0</v>
      </c>
      <c r="U22" s="411">
        <f>SUMIFS('LAC 102_Wkst'!$AE$7:$AE$2010,'LAC 102_Wkst'!$E$7:$E$2010,$C22,'LAC 102_Wkst'!$G$7:$G$2010,$D22,'LAC 102_Wkst'!$L$7:$L$2010,"05",'LAC 102_Wkst'!$N$7:$N$2010,"P2")+SUMIFS('LAC 102_Wkst'!$AE$7:$AE$2010,'LAC 102_Wkst'!$E$7:$E$2010,$C22,'LAC 102_Wkst'!$G$7:$G$2010,$D22,'LAC 102_Wkst'!$L$7:$L$2010,"06",'LAC 102_Wkst'!$N$7:$N$2010,"P3")+SUMIFS('LAC 102_Wkst'!$AE$7:$AE$2010,'LAC 102_Wkst'!$E$7:$E$2010,$C22,'LAC 102_Wkst'!$G$7:$G$2010,$D22,'LAC 102_Wkst'!$L$7:$L$2010,"05",'LAC 102_Wkst'!$N$7:$N$2010,"P2")+SUMIFS('LAC 102_Wkst'!$AE$7:$AE$2010,'LAC 102_Wkst'!$E$7:$E$2010,$C22,'LAC 102_Wkst'!$G$7:$G$2010,$D22,'LAC 102_Wkst'!$L$7:$L$2010,"06",'LAC 102_Wkst'!$N$7:$N$2010,"P3")</f>
        <v>0</v>
      </c>
      <c r="V22" s="410">
        <f>SUMIFS('LAC 102_Wkst'!$Q$7:$Q$2010,'LAC 102_Wkst'!$E$7:$E$2010,$C22,'LAC 102_Wkst'!$G$7:$G$2010,$D22,'LAC 102_Wkst'!$L$7:$L$2010,"05",'LAC 102_Wkst'!$N$7:$N$2010,"P4")+SUMIFS('LAC 102_Wkst'!$Q$7:$Q$2010,'LAC 102_Wkst'!$E$7:$E$2010,$C22,'LAC 102_Wkst'!$G$7:$G$2010,$D22,'LAC 102_Wkst'!$L$7:$L$2010,"06",'LAC 102_Wkst'!$N$7:$N$2010,"P4")</f>
        <v>0</v>
      </c>
      <c r="W22" s="411">
        <f>SUMIFS('LAC 102_Wkst'!$AE$7:$AE$2010,'LAC 102_Wkst'!$E$7:$E$2010,$C22,'LAC 102_Wkst'!$G$7:$G$2010,$D22,'LAC 102_Wkst'!$L$7:$L$2010,"05",'LAC 102_Wkst'!$N$7:$N$2010,"P4")+SUMIFS('LAC 102_Wkst'!$AE$7:$AE$2010,'LAC 102_Wkst'!$E$7:$E$2010,$C22,'LAC 102_Wkst'!$G$7:$G$2010,$D22,'LAC 102_Wkst'!$L$7:$L$2010,"06",'LAC 102_Wkst'!$N$7:$N$2010,"P4")</f>
        <v>0</v>
      </c>
      <c r="X22" s="404">
        <f>SUMIFS('LAC 102_Wkst'!$Q$7:$Q$2010,'LAC 102_Wkst'!$E$7:$E$2010,$C22,'LAC 102_Wkst'!$G$7:$G$2010,$D22,'LAC 102_Wkst'!$L$7:$L$2010,"05",'LAC 102_Wkst'!$N$7:$N$2010,"P5")+SUMIFS('LAC 102_Wkst'!$Q$7:$Q$2010,'LAC 102_Wkst'!$E$7:$E$2010,$C22,'LAC 102_Wkst'!$G$7:$G$2010,$D22,'LAC 102_Wkst'!$L$7:$L$2010,"06",'LAC 102_Wkst'!$N$7:$N$2010,"P5")</f>
        <v>0</v>
      </c>
      <c r="Y22" s="411">
        <f>SUMIFS('LAC 102_Wkst'!$AE$7:$AE$2010,'LAC 102_Wkst'!$E$7:$E$2010,$C22,'LAC 102_Wkst'!$G$7:$G$2010,$D22,'LAC 102_Wkst'!$L$7:$L$2010,"05",'LAC 102_Wkst'!$N$7:$N$2010,"P5")+SUMIFS('LAC 102_Wkst'!$AE$7:$AE$2010,'LAC 102_Wkst'!$E$7:$E$2010,$C22,'LAC 102_Wkst'!$G$7:$G$2010,$D22,'LAC 102_Wkst'!$L$7:$L$2010,"06",'LAC 102_Wkst'!$N$7:$N$2010,"P5")</f>
        <v>0</v>
      </c>
      <c r="Z22" s="410">
        <f>SUMIFS('LAC 102_Wkst'!$Q$7:$Q$2010,'LAC 102_Wkst'!$E$7:$E$2010,$C22,'LAC 102_Wkst'!$G$7:$G$2010,$D22,'LAC 102_Wkst'!$L$7:$L$2010,"07",'LAC 102_Wkst'!$N$7:$N$2010,"P1")+SUMIFS('LAC 102_Wkst'!$Q$7:$Q$2010,'LAC 102_Wkst'!$E$7:$E$2010,$C22,'LAC 102_Wkst'!$G$7:$G$2010,$D22,'LAC 102_Wkst'!$L$7:$L$2010,"07",'LAC 102_Wkst'!$N$7:$N$2010,"P2")+SUMIFS('LAC 102_Wkst'!$Q$7:$Q$2010,'LAC 102_Wkst'!$E$7:$E$2010,$C22,'LAC 102_Wkst'!$G$7:$G$2010,$D22,'LAC 102_Wkst'!$L$7:$L$2010,"07",'LAC 102_Wkst'!$N$7:$N$2010,"P3")</f>
        <v>0</v>
      </c>
      <c r="AA22" s="411">
        <f>SUMIFS('LAC 102_Wkst'!$AE$7:$AE$2010,'LAC 102_Wkst'!$E$7:$E$2010,$C22,'LAC 102_Wkst'!$G$7:$G$2010,$D22,'LAC 102_Wkst'!$L$7:$L$2010,"07",'LAC 102_Wkst'!$N$7:$N$2010,"P1")+SUMIFS('LAC 102_Wkst'!$AE$7:$AE$2010,'LAC 102_Wkst'!$E$7:$E$2010,$C22,'LAC 102_Wkst'!$G$7:$G$2010,$D22,'LAC 102_Wkst'!$L$7:$L$2010,"07",'LAC 102_Wkst'!$N$7:$N$2010,"P2")+SUMIFS('LAC 102_Wkst'!$AE$7:$AE$2010,'LAC 102_Wkst'!$E$7:$E$2010,$C22,'LAC 102_Wkst'!$G$7:$G$2010,$D22,'LAC 102_Wkst'!$L$7:$L$2010,"07",'LAC 102_Wkst'!$N$7:$N$2010,"P3")</f>
        <v>0</v>
      </c>
      <c r="AB22" s="410">
        <f>SUMIFS('LAC 102_Wkst'!$Q$7:$Q$2010,'LAC 102_Wkst'!$E$7:$E$2010,$C22,'LAC 102_Wkst'!$G$7:$G$2010,$D22,'LAC 102_Wkst'!$L$7:$L$2010,"07",'LAC 102_Wkst'!$N$7:$N$2010,"P4")</f>
        <v>0</v>
      </c>
      <c r="AC22" s="411">
        <f>SUMIFS('LAC 102_Wkst'!$AE$7:$AE$2010,'LAC 102_Wkst'!$E$7:$E$2010,$C22,'LAC 102_Wkst'!$G$7:$G$2010,$D22,'LAC 102_Wkst'!$L$7:$L$2010,"07",'LAC 102_Wkst'!$N$7:$N$2010,"P4")</f>
        <v>0</v>
      </c>
      <c r="AD22" s="404">
        <f>SUMIFS('LAC 102_Wkst'!$Q$7:$Q$2010,'LAC 102_Wkst'!$E$7:$E$2010,$C22,'LAC 102_Wkst'!$G$7:$G$2010,$D22,'LAC 102_Wkst'!$L$7:$L$2010,"07",'LAC 102_Wkst'!$N$7:$N$2010,"P5")</f>
        <v>0</v>
      </c>
      <c r="AE22" s="411">
        <f>SUMIFS('LAC 102_Wkst'!$AE$7:$AE$2010,'LAC 102_Wkst'!$E$7:$E$2010,$C22,'LAC 102_Wkst'!$G$7:$G$2010,$D22,'LAC 102_Wkst'!$L$7:$L$2010,"07",'LAC 102_Wkst'!$N$7:$N$2010,"P5")</f>
        <v>0</v>
      </c>
      <c r="AF22" s="410">
        <f>SUMIFS('LAC 102_Wkst'!$Q$7:$Q$2010,'LAC 102_Wkst'!$E$7:$E$2010,$C22,'LAC 102_Wkst'!$G$7:$G$2010,$D22,'LAC 102_Wkst'!$L$7:$L$2010,"08",'LAC 102_Wkst'!$N$7:$N$2010,"P1")+SUMIFS('LAC 102_Wkst'!$Q$7:$Q$2010,'LAC 102_Wkst'!$E$7:$E$2010,$C22,'LAC 102_Wkst'!$G$7:$G$2010,$D22,'LAC 102_Wkst'!$L$7:$L$2010,"08",'LAC 102_Wkst'!$N$7:$N$2010,"P2")+SUMIFS('LAC 102_Wkst'!$Q$7:$Q$2010,'LAC 102_Wkst'!$E$7:$E$2010,$C22,'LAC 102_Wkst'!$G$7:$G$2010,$D22,'LAC 102_Wkst'!$L$7:$L$2010,"08",'LAC 102_Wkst'!$N$7:$N$2010,"P3")</f>
        <v>0</v>
      </c>
      <c r="AG22" s="411">
        <f>SUMIFS('LAC 102_Wkst'!$AE$7:$AE$2010,'LAC 102_Wkst'!$E$7:$E$2010,$C22,'LAC 102_Wkst'!$G$7:$G$2010,$D22,'LAC 102_Wkst'!$L$7:$L$2010,"08",'LAC 102_Wkst'!$N$7:$N$2010,"P1")+SUMIFS('LAC 102_Wkst'!$AE$7:$AE$2010,'LAC 102_Wkst'!$E$7:$E$2010,$C22,'LAC 102_Wkst'!$G$7:$G$2010,$D22,'LAC 102_Wkst'!$L$7:$L$2010,"08",'LAC 102_Wkst'!$N$7:$N$2010,"P2")+SUMIFS('LAC 102_Wkst'!$AE$7:$AE$2010,'LAC 102_Wkst'!$E$7:$E$2010,$C22,'LAC 102_Wkst'!$G$7:$G$2010,$D22,'LAC 102_Wkst'!$L$7:$L$2010,"08",'LAC 102_Wkst'!$N$7:$N$2010,"P3")</f>
        <v>0</v>
      </c>
      <c r="AH22" s="410">
        <f>SUMIFS('LAC 102_Wkst'!$Q$7:$Q$2010,'LAC 102_Wkst'!$E$7:$E$2010,$C22,'LAC 102_Wkst'!$G$7:$G$2010,$D22,'LAC 102_Wkst'!$L$7:$L$2010,"08",'LAC 102_Wkst'!$N$7:$N$2010,"P4")</f>
        <v>0</v>
      </c>
      <c r="AI22" s="411">
        <f>SUMIFS('LAC 102_Wkst'!$AE$7:$AE$2010,'LAC 102_Wkst'!$E$7:$E$2010,$C22,'LAC 102_Wkst'!$G$7:$G$2010,$D22,'LAC 102_Wkst'!$L$7:$L$2010,"08",'LAC 102_Wkst'!$N$7:$N$2010,"P4")</f>
        <v>0</v>
      </c>
      <c r="AJ22" s="404">
        <f>SUMIFS('LAC 102_Wkst'!$Q$7:$Q$2010,'LAC 102_Wkst'!$E$7:$E$2010,$C22,'LAC 102_Wkst'!$G$7:$G$2010,$D22,'LAC 102_Wkst'!$L$7:$L$2010,"08",'LAC 102_Wkst'!$N$7:$N$2010,"P5")</f>
        <v>0</v>
      </c>
      <c r="AK22" s="411">
        <f>SUMIFS('LAC 102_Wkst'!$AE$7:$AE$2010,'LAC 102_Wkst'!$E$7:$E$2010,$C22,'LAC 102_Wkst'!$G$7:$G$2010,$D22,'LAC 102_Wkst'!$L$7:$L$2010,"08",'LAC 102_Wkst'!$N$7:$N$2010,"P5")</f>
        <v>0</v>
      </c>
      <c r="AL22" s="410">
        <f>SUMIFS('LAC 102_Wkst'!$Q$7:$Q$2010,'LAC 102_Wkst'!$E$7:$E$2010,$C22,'LAC 102_Wkst'!$G$7:$G$2010,$D22,'LAC 102_Wkst'!$L$7:$L$2010,"09",'LAC 102_Wkst'!$N$7:$N$2010,"P1")+SUMIFS('LAC 102_Wkst'!$Q$7:$Q$2010,'LAC 102_Wkst'!$E$7:$E$2010,$C22,'LAC 102_Wkst'!$G$7:$G$2010,$D22,'LAC 102_Wkst'!$L$7:$L$2010,"09",'LAC 102_Wkst'!$N$7:$N$2010,"P2")+SUMIFS('LAC 102_Wkst'!$Q$7:$Q$2010,'LAC 102_Wkst'!$E$7:$E$2010,$C22,'LAC 102_Wkst'!$G$7:$G$2010,$D22,'LAC 102_Wkst'!$L$7:$L$2010,"09",'LAC 102_Wkst'!$N$7:$N$2010,"P3")+SUMIFS('LAC 102_Wkst'!$Q$7:$Q$2010,'LAC 102_Wkst'!$E$7:$E$2010,$C22,'LAC 102_Wkst'!$G$7:$G$2010,$D22,'LAC 102_Wkst'!$L$7:$L$2010,"09",'LAC 102_Wkst'!$N$7:$N$2010,"P4")</f>
        <v>0</v>
      </c>
      <c r="AM22" s="411">
        <f>SUMIFS('LAC 102_Wkst'!$AE$7:$AE$2010,'LAC 102_Wkst'!$E$7:$E$2010,$C22,'LAC 102_Wkst'!$G$7:$G$2010,$D22,'LAC 102_Wkst'!$L$7:$L$2010,"09",'LAC 102_Wkst'!$N$7:$N$2010,"P1")+SUMIFS('LAC 102_Wkst'!$AE$7:$AE$2010,'LAC 102_Wkst'!$E$7:$E$2010,$C22,'LAC 102_Wkst'!$G$7:$G$2010,$D22,'LAC 102_Wkst'!$L$7:$L$2010,"09",'LAC 102_Wkst'!$N$7:$N$2010,"P2")+SUMIFS('LAC 102_Wkst'!$AE$7:$AE$2010,'LAC 102_Wkst'!$E$7:$E$2010,$C22,'LAC 102_Wkst'!$G$7:$G$2010,$D22,'LAC 102_Wkst'!$L$7:$L$2010,"09",'LAC 102_Wkst'!$N$7:$N$2010,"P3")+SUMIFS('LAC 102_Wkst'!$AE$7:$AE$2010,'LAC 102_Wkst'!$E$7:$E$2010,$C22,'LAC 102_Wkst'!$G$7:$G$2010,$D22,'LAC 102_Wkst'!$L$7:$L$2010,"09",'LAC 102_Wkst'!$N$7:$N$2010,"P4")</f>
        <v>0</v>
      </c>
      <c r="AN22" s="410">
        <f>SUMIFS('LAC 102_Wkst'!$Q$7:$Q$2010,'LAC 102_Wkst'!$E$7:$E$2010,$C22,'LAC 102_Wkst'!$G$7:$G$2010,$D22,'LAC 102_Wkst'!$L$7:$L$2010,"09",'LAC 102_Wkst'!$N$7:$N$2010,"P5")</f>
        <v>0</v>
      </c>
      <c r="AO22" s="411">
        <f>SUMIFS('LAC 102_Wkst'!$AE$7:$AE$2010,'LAC 102_Wkst'!$E$7:$E$2010,$C22,'LAC 102_Wkst'!$G$7:$G$2010,$D22,'LAC 102_Wkst'!$L$7:$L$2010,"09",'LAC 102_Wkst'!$N$7:$N$2010,"P5")</f>
        <v>0</v>
      </c>
      <c r="AP22" s="404">
        <f>SUMIFS('LAC 102_Wkst'!$Q$7:$Q$2010,'LAC 102_Wkst'!$E$7:$E$2010,$C22,'LAC 102_Wkst'!$G$7:$G$2010,$D22,'LAC 102_Wkst'!$L$7:$L$2010,"10",'LAC 102_Wkst'!$N$7:$N$2010,"P1")+SUMIFS('LAC 102_Wkst'!$Q$7:$Q$2010,'LAC 102_Wkst'!$E$7:$E$2010,$C22,'LAC 102_Wkst'!$G$7:$G$2010,$D22,'LAC 102_Wkst'!$L$7:$L$2010,"10",'LAC 102_Wkst'!$N$7:$N$2010,"P2")+SUMIFS('LAC 102_Wkst'!$Q$7:$Q$2010,'LAC 102_Wkst'!$E$7:$E$2010,$C22,'LAC 102_Wkst'!$G$7:$G$2010,$D22,'LAC 102_Wkst'!$L$7:$L$2010,"10",'LAC 102_Wkst'!$N$7:$N$2010,"P3")+SUMIFS('LAC 102_Wkst'!$Q$7:$Q$2010,'LAC 102_Wkst'!$E$7:$E$2010,$C22,'LAC 102_Wkst'!$G$7:$G$2010,$D22,'LAC 102_Wkst'!$L$7:$L$2010,"10",'LAC 102_Wkst'!$N$7:$N$2010,"P4")</f>
        <v>0</v>
      </c>
      <c r="AQ22" s="411">
        <f>SUMIFS('LAC 102_Wkst'!$AE$7:$AE$2010,'LAC 102_Wkst'!$E$7:$E$2010,$C22,'LAC 102_Wkst'!$G$7:$G$2010,$D22,'LAC 102_Wkst'!$L$7:$L$2010,"10",'LAC 102_Wkst'!$N$7:$N$2010,"P1")+SUMIFS('LAC 102_Wkst'!$AE$7:$AE$2010,'LAC 102_Wkst'!$E$7:$E$2010,$C22,'LAC 102_Wkst'!$G$7:$G$2010,$D22,'LAC 102_Wkst'!$L$7:$L$2010,"10",'LAC 102_Wkst'!$N$7:$N$2010,"P2")+SUMIFS('LAC 102_Wkst'!$AE$7:$AE$2010,'LAC 102_Wkst'!$E$7:$E$2010,$C22,'LAC 102_Wkst'!$G$7:$G$2010,$D22,'LAC 102_Wkst'!$L$7:$L$2010,"10",'LAC 102_Wkst'!$N$7:$N$2010,"P3")+SUMIFS('LAC 102_Wkst'!$AE$7:$AE$2010,'LAC 102_Wkst'!$E$7:$E$2010,$C22,'LAC 102_Wkst'!$G$7:$G$2010,$D22,'LAC 102_Wkst'!$L$7:$L$2010,"10",'LAC 102_Wkst'!$N$7:$N$2010,"P4")</f>
        <v>0</v>
      </c>
      <c r="AR22" s="410">
        <f>SUMIFS('LAC 102_Wkst'!$Q$7:$Q$2010,'LAC 102_Wkst'!$E$7:$E$2010,$C22,'LAC 102_Wkst'!$G$7:$G$2010,$D22,'LAC 102_Wkst'!$L$7:$L$2010,"10",'LAC 102_Wkst'!$N$7:$N$2010,"P5")</f>
        <v>0</v>
      </c>
      <c r="AS22" s="411">
        <f>SUMIFS('LAC 102_Wkst'!$AE$7:$AE$2010,'LAC 102_Wkst'!$E$7:$E$2010,$C22,'LAC 102_Wkst'!$G$7:$G$2010,$D22,'LAC 102_Wkst'!$L$7:$L$2010,"10",'LAC 102_Wkst'!$N$7:$N$2010,"P5")</f>
        <v>0</v>
      </c>
      <c r="AT22" s="410">
        <f>SUMIFS('LAC 102_Wkst'!$Q$7:$Q$2010,'LAC 102_Wkst'!$E$7:$E$2010,$C22,'LAC 102_Wkst'!$G$7:$G$2010,$D22,'LAC 102_Wkst'!$L$7:$L$2010,"11",'LAC 102_Wkst'!$N$7:$N$2010,"P1")+SUMIFS('LAC 102_Wkst'!$Q$7:$Q$2010,'LAC 102_Wkst'!$E$7:$E$2010,$C22,'LAC 102_Wkst'!$G$7:$G$2010,$D22,'LAC 102_Wkst'!$L$7:$L$2010,"12",'LAC 102_Wkst'!$N$7:$N$2010,"P1")</f>
        <v>0</v>
      </c>
      <c r="AU22" s="411">
        <f>SUMIFS('LAC 102_Wkst'!$AE$7:$AE$2010,'LAC 102_Wkst'!$E$7:$E$2010,$C22,'LAC 102_Wkst'!$G$7:$G$2010,$D22,'LAC 102_Wkst'!$L$7:$L$2010,"11",'LAC 102_Wkst'!$N$7:$N$2010,"P1")+SUMIFS('LAC 102_Wkst'!$AE$7:$AE$2010,'LAC 102_Wkst'!$E$7:$E$2010,$C22,'LAC 102_Wkst'!$G$7:$G$2010,$D22,'LAC 102_Wkst'!$L$7:$L$2010,"12",'LAC 102_Wkst'!$N$7:$N$2010,"P1")</f>
        <v>0</v>
      </c>
      <c r="AV22" s="404">
        <f>SUMIFS('LAC 102_Wkst'!$Q$7:$Q$2010,'LAC 102_Wkst'!$E$7:$E$2010,$C22,'LAC 102_Wkst'!$G$7:$G$2010,$D22,'LAC 102_Wkst'!$L$7:$L$2010,"11",'LAC 102_Wkst'!$N$7:$N$2010,"P2")+SUMIFS('LAC 102_Wkst'!$Q$7:$Q$2010,'LAC 102_Wkst'!$E$7:$E$2010,$C22,'LAC 102_Wkst'!$G$7:$G$2010,$D22,'LAC 102_Wkst'!$L$7:$L$2010,"12",'LAC 102_Wkst'!$N$7:$N$2010,"P3")+SUMIFS('LAC 102_Wkst'!$Q$7:$Q$2010,'LAC 102_Wkst'!$E$7:$E$2010,$C22,'LAC 102_Wkst'!$G$7:$G$2010,$D22,'LAC 102_Wkst'!$L$7:$L$2010,"11",'LAC 102_Wkst'!$N$7:$N$2010,"P2")+SUMIFS('LAC 102_Wkst'!$Q$7:$Q$2010,'LAC 102_Wkst'!$E$7:$E$2010,$C22,'LAC 102_Wkst'!$G$7:$G$2010,$D22,'LAC 102_Wkst'!$L$7:$L$2010,"12",'LAC 102_Wkst'!$N$7:$N$2010,"P3")</f>
        <v>0</v>
      </c>
      <c r="AW22" s="411">
        <f>SUMIFS('LAC 102_Wkst'!$AE$7:$AE$2010,'LAC 102_Wkst'!$E$7:$E$2010,$C22,'LAC 102_Wkst'!$G$7:$G$2010,$D22,'LAC 102_Wkst'!$L$7:$L$2010,"11",'LAC 102_Wkst'!$N$7:$N$2010,"P2")+SUMIFS('LAC 102_Wkst'!$AE$7:$AE$2010,'LAC 102_Wkst'!$E$7:$E$2010,$C22,'LAC 102_Wkst'!$G$7:$G$2010,$D22,'LAC 102_Wkst'!$L$7:$L$2010,"12",'LAC 102_Wkst'!$N$7:$N$2010,"P3")+SUMIFS('LAC 102_Wkst'!$AE$7:$AE$2010,'LAC 102_Wkst'!$E$7:$E$2010,$C22,'LAC 102_Wkst'!$G$7:$G$2010,$D22,'LAC 102_Wkst'!$L$7:$L$2010,"11",'LAC 102_Wkst'!$N$7:$N$2010,"P2")+SUMIFS('LAC 102_Wkst'!$AE$7:$AE$2010,'LAC 102_Wkst'!$E$7:$E$2010,$C22,'LAC 102_Wkst'!$G$7:$G$2010,$D22,'LAC 102_Wkst'!$L$7:$L$2010,"12",'LAC 102_Wkst'!$N$7:$N$2010,"P3")</f>
        <v>0</v>
      </c>
      <c r="AX22" s="410">
        <f>SUMIFS('LAC 102_Wkst'!$Q$7:$Q$2010,'LAC 102_Wkst'!$E$7:$E$2010,$C22,'LAC 102_Wkst'!$G$7:$G$2010,$D22,'LAC 102_Wkst'!$L$7:$L$2010,"11",'LAC 102_Wkst'!$N$7:$N$2010,"P4")+SUMIFS('LAC 102_Wkst'!$Q$7:$Q$2010,'LAC 102_Wkst'!$E$7:$E$2010,$C22,'LAC 102_Wkst'!$G$7:$G$2010,$D22,'LAC 102_Wkst'!$L$7:$L$2010,"12",'LAC 102_Wkst'!$N$7:$N$2010,"P4")</f>
        <v>0</v>
      </c>
      <c r="AY22" s="411">
        <f>SUMIFS('LAC 102_Wkst'!$AE$7:$AE$2010,'LAC 102_Wkst'!$E$7:$E$2010,$C22,'LAC 102_Wkst'!$G$7:$G$2010,$D22,'LAC 102_Wkst'!$L$7:$L$2010,"11",'LAC 102_Wkst'!$N$7:$N$2010,"P4")+SUMIFS('LAC 102_Wkst'!$AE$7:$AE$2010,'LAC 102_Wkst'!$E$7:$E$2010,$C22,'LAC 102_Wkst'!$G$7:$G$2010,$D22,'LAC 102_Wkst'!$L$7:$L$2010,"12",'LAC 102_Wkst'!$N$7:$N$2010,"P4")</f>
        <v>0</v>
      </c>
      <c r="AZ22" s="404">
        <f>SUMIFS('LAC 102_Wkst'!$Q$7:$Q$2010,'LAC 102_Wkst'!$E$7:$E$2010,$C22,'LAC 102_Wkst'!$G$7:$G$2010,$D22,'LAC 102_Wkst'!$L$7:$L$2010,"11",'LAC 102_Wkst'!$N$7:$N$2010,"P5")+SUMIFS('LAC 102_Wkst'!$Q$7:$Q$2010,'LAC 102_Wkst'!$E$7:$E$2010,$C22,'LAC 102_Wkst'!$G$7:$G$2010,$D22,'LAC 102_Wkst'!$L$7:$L$2010,"12",'LAC 102_Wkst'!$N$7:$N$2010,"P5")</f>
        <v>0</v>
      </c>
      <c r="BA22" s="411">
        <f>SUMIFS('LAC 102_Wkst'!$AE$7:$AE$2010,'LAC 102_Wkst'!$E$7:$E$2010,$C22,'LAC 102_Wkst'!$G$7:$G$2010,$D22,'LAC 102_Wkst'!$L$7:$L$2010,"11",'LAC 102_Wkst'!$N$7:$N$2010,"P5")+SUMIFS('LAC 102_Wkst'!$AE$7:$AE$2010,'LAC 102_Wkst'!$E$7:$E$2010,$C22,'LAC 102_Wkst'!$G$7:$G$2010,$D22,'LAC 102_Wkst'!$L$7:$L$2010,"12",'LAC 102_Wkst'!$N$7:$N$2010,"P5")</f>
        <v>0</v>
      </c>
      <c r="BB22" s="410">
        <f>SUMIFS('LAC 102_Wkst'!$Q$7:$Q$2010,'LAC 102_Wkst'!$E$7:$E$2010,$C22,'LAC 102_Wkst'!$G$7:$G$2010,$D22,'LAC 102_Wkst'!$L$7:$L$2010,"13",'LAC 102_Wkst'!$N$7:$N$2010,"P1")+SUMIFS('LAC 102_Wkst'!$Q$7:$Q$2010,'LAC 102_Wkst'!$E$7:$E$2010,$C22,'LAC 102_Wkst'!$G$7:$G$2010,$D22,'LAC 102_Wkst'!$L$7:$L$2010,"13",'LAC 102_Wkst'!$N$7:$N$2010,"P2")+SUMIFS('LAC 102_Wkst'!$Q$7:$Q$2010,'LAC 102_Wkst'!$E$7:$E$2010,$C22,'LAC 102_Wkst'!$G$7:$G$2010,$D22,'LAC 102_Wkst'!$L$7:$L$2010,"13",'LAC 102_Wkst'!$N$7:$N$2010,"P3")+SUMIFS('LAC 102_Wkst'!$Q$7:$Q$2010,'LAC 102_Wkst'!$E$7:$E$2010,$C22,'LAC 102_Wkst'!$G$7:$G$2010,$D22,'LAC 102_Wkst'!$L$7:$L$2010,"13",'LAC 102_Wkst'!$N$7:$N$2010,"P4")</f>
        <v>0</v>
      </c>
      <c r="BC22" s="411">
        <f>SUMIFS('LAC 102_Wkst'!$AE$7:$AE$2010,'LAC 102_Wkst'!$E$7:$E$2010,$C22,'LAC 102_Wkst'!$G$7:$G$2010,$D22,'LAC 102_Wkst'!$L$7:$L$2010,"13",'LAC 102_Wkst'!$N$7:$N$2010,"P1")+SUMIFS('LAC 102_Wkst'!$AE$7:$AE$2010,'LAC 102_Wkst'!$E$7:$E$2010,$C22,'LAC 102_Wkst'!$G$7:$G$2010,$D22,'LAC 102_Wkst'!$L$7:$L$2010,"13",'LAC 102_Wkst'!$N$7:$N$2010,"P2")+SUMIFS('LAC 102_Wkst'!$AE$7:$AE$2010,'LAC 102_Wkst'!$E$7:$E$2010,$C22,'LAC 102_Wkst'!$G$7:$G$2010,$D22,'LAC 102_Wkst'!$L$7:$L$2010,"13",'LAC 102_Wkst'!$N$7:$N$2010,"P3")+SUMIFS('LAC 102_Wkst'!$AE$7:$AE$2010,'LAC 102_Wkst'!$E$7:$E$2010,$C22,'LAC 102_Wkst'!$G$7:$G$2010,$D22,'LAC 102_Wkst'!$L$7:$L$2010,"13",'LAC 102_Wkst'!$N$7:$N$2010,"P4")</f>
        <v>0</v>
      </c>
      <c r="BD22" s="404">
        <f>SUMIFS('LAC 102_Wkst'!$Q$7:$Q$2010,'LAC 102_Wkst'!$E$7:$E$2010,$C22,'LAC 102_Wkst'!$G$7:$G$2010,$D22,'LAC 102_Wkst'!$L$7:$L$2010,"13",'LAC 102_Wkst'!$N$7:$N$2010,"P5")</f>
        <v>0</v>
      </c>
      <c r="BE22" s="411">
        <f>SUMIFS('LAC 102_Wkst'!$AE$7:$AE$2010,'LAC 102_Wkst'!$E$7:$E$2010,$C22,'LAC 102_Wkst'!$G$7:$G$2010,$D22,'LAC 102_Wkst'!$L$7:$L$2010,"13",'LAC 102_Wkst'!$N$7:$N$2010,"P5")</f>
        <v>0</v>
      </c>
      <c r="BF22" s="407">
        <f t="shared" si="0"/>
        <v>276055</v>
      </c>
    </row>
    <row r="23" spans="1:58" x14ac:dyDescent="0.2">
      <c r="A23" s="401">
        <v>4</v>
      </c>
      <c r="B23" s="1236" t="s">
        <v>738</v>
      </c>
      <c r="C23" s="1235" t="s">
        <v>95</v>
      </c>
      <c r="D23" s="1237" t="s">
        <v>593</v>
      </c>
      <c r="E23" s="1222">
        <f>IF(CONCATENATE(C23,D23)&gt;"6069",1,SUMIFS('LAC 102_Wkst'!$Q$7:$Q$2010,'LAC 102_Wkst'!$E$7:$E$2010,Schedule_B!$C23,'LAC 102_Wkst'!$G$7:$G$2010,Schedule_B!$D23))</f>
        <v>414648</v>
      </c>
      <c r="F23" s="408">
        <f>SUMIFS('LAC 102_Wkst'!$Q$7:$Q$2010,'LAC 102_Wkst'!$E$7:$E$2010,$C23,'LAC 102_Wkst'!$G$7:$G$2010,$D23,'LAC 102_Wkst'!$L$7:$L$2010,"01",'LAC 102_Wkst'!$N$7:$N$2010,"P1")+SUMIFS('LAC 102_Wkst'!$Q$7:$Q$2010,'LAC 102_Wkst'!$E$7:$E$2010,$C23,'LAC 102_Wkst'!$G$7:$G$2010,$D23,'LAC 102_Wkst'!$L$7:$L$2010,"01",'LAC 102_Wkst'!$N$7:$N$2010,"P2")+SUMIFS('LAC 102_Wkst'!$Q$7:$Q$2010,'LAC 102_Wkst'!$E$7:$E$2010,$C23,'LAC 102_Wkst'!$G$7:$G$2010,$D23,'LAC 102_Wkst'!$L$7:$L$2010,"01",'LAC 102_Wkst'!$N$7:$N$2010,"P3")+SUMIFS('LAC 102_Wkst'!$Q$7:$Q$2010,'LAC 102_Wkst'!$E$7:$E$2010,$C23,'LAC 102_Wkst'!$G$7:$G$2010,$D23,'LAC 102_Wkst'!$L$7:$L$2010,"02",'LAC 102_Wkst'!$N$7:$N$2010,"P1")+SUMIFS('LAC 102_Wkst'!$Q$7:$Q$2010,'LAC 102_Wkst'!$E$7:$E$2010,$C23,'LAC 102_Wkst'!$G$7:$G$2010,$D23,'LAC 102_Wkst'!$L$7:$L$2010,"02",'LAC 102_Wkst'!$N$7:$N$2010,"P2")+SUMIFS('LAC 102_Wkst'!$Q$7:$Q$2010,'LAC 102_Wkst'!$E$7:$E$2010,$C23,'LAC 102_Wkst'!$G$7:$G$2010,$D23,'LAC 102_Wkst'!$L$7:$L$2010,"02",'LAC 102_Wkst'!$N$7:$N$2010,"P3")</f>
        <v>307849</v>
      </c>
      <c r="G23" s="409">
        <f>SUMIFS('LAC 102_Wkst'!$AE$7:$AE$2010,'LAC 102_Wkst'!$E$7:$E$2010,$C23,'LAC 102_Wkst'!$G$7:$G$2010,$D23,'LAC 102_Wkst'!$L$7:$L$2010,"01",'LAC 102_Wkst'!$N$7:$N$2010,"P1")+SUMIFS('LAC 102_Wkst'!$AE$7:$AE$2010,'LAC 102_Wkst'!$E$7:$E$2010,$C23,'LAC 102_Wkst'!$G$7:$G$2010,$D23,'LAC 102_Wkst'!$L$7:$L$2010,"01",'LAC 102_Wkst'!$N$7:$N$2010,"P2")+SUMIFS('LAC 102_Wkst'!$AE$7:$AE$2010,'LAC 102_Wkst'!$E$7:$E$2010,$C23,'LAC 102_Wkst'!$G$7:$G$2010,$D23,'LAC 102_Wkst'!$L$7:$L$2010,"01",'LAC 102_Wkst'!$N$7:$N$2010,"P3")+SUMIFS('LAC 102_Wkst'!$AE$7:$AE$2010,'LAC 102_Wkst'!$E$7:$E$2010,$C23,'LAC 102_Wkst'!$G$7:$G$2010,$D23,'LAC 102_Wkst'!$L$7:$L$2010,"02",'LAC 102_Wkst'!$N$7:$N$2010,"P1")+SUMIFS('LAC 102_Wkst'!$AE$7:$AE$2010,'LAC 102_Wkst'!$E$7:$E$2010,$C23,'LAC 102_Wkst'!$G$7:$G$2010,$D23,'LAC 102_Wkst'!$L$7:$L$2010,"02",'LAC 102_Wkst'!$N$7:$N$2010,"P2")+SUMIFS('LAC 102_Wkst'!$AE$7:$AE$2010,'LAC 102_Wkst'!$E$7:$E$2010,$C23,'LAC 102_Wkst'!$G$7:$G$2010,$D23,'LAC 102_Wkst'!$L$7:$L$2010,"02",'LAC 102_Wkst'!$N$7:$N$2010,"P3")</f>
        <v>0</v>
      </c>
      <c r="H23" s="410">
        <f>SUMIFS('LAC 102_Wkst'!$Q$7:$Q$2010,'LAC 102_Wkst'!$E$7:$E$2010,$C23,'LAC 102_Wkst'!$G$7:$G$2010,$D23,'LAC 102_Wkst'!$L$7:$L$2010,"01",'LAC 102_Wkst'!$N$7:$N$2010,"P4")+SUMIFS('LAC 102_Wkst'!$Q$7:$Q$2010,'LAC 102_Wkst'!$E$7:$E$2010,$C23,'LAC 102_Wkst'!$G$7:$G$2010,$D23,'LAC 102_Wkst'!$L$7:$L$2010,"02",'LAC 102_Wkst'!$N$7:$N$2010,"P4")</f>
        <v>35664</v>
      </c>
      <c r="I23" s="411">
        <f>SUMIFS('LAC 102_Wkst'!$AE$7:$AE$2010,'LAC 102_Wkst'!$E$7:$E$2010,$C23,'LAC 102_Wkst'!$G$7:$G$2010,$D23,'LAC 102_Wkst'!$L$7:$L$2010,"01",'LAC 102_Wkst'!$N$7:$N$2010,"P4")+SUMIFS('LAC 102_Wkst'!$AE$7:$AE$2010,'LAC 102_Wkst'!$E$7:$E$2010,$C23,'LAC 102_Wkst'!$G$7:$G$2010,$D23,'LAC 102_Wkst'!$L$7:$L$2010,"02",'LAC 102_Wkst'!$N$7:$N$2010,"P4")</f>
        <v>0</v>
      </c>
      <c r="J23" s="410">
        <f>SUMIFS('LAC 102_Wkst'!$Q$7:$Q$2010,'LAC 102_Wkst'!$E$7:$E$2010,$C23,'LAC 102_Wkst'!$G$7:$G$2010,$D23,'LAC 102_Wkst'!$L$7:$L$2010,"01",'LAC 102_Wkst'!$N$7:$N$2010,"P5")+SUMIFS('LAC 102_Wkst'!$Q$7:$Q$2010,'LAC 102_Wkst'!$E$7:$E$2010,$C23,'LAC 102_Wkst'!$G$7:$G$2010,$D23,'LAC 102_Wkst'!$L$7:$L$2010,"02",'LAC 102_Wkst'!$N$7:$N$2010,"P5")</f>
        <v>41035</v>
      </c>
      <c r="K23" s="411">
        <f>SUMIFS('LAC 102_Wkst'!$AE$7:$AE$2010,'LAC 102_Wkst'!$E$7:$E$2010,$C23,'LAC 102_Wkst'!$G$7:$G$2010,$D23,'LAC 102_Wkst'!$L$7:$L$2010,"01",'LAC 102_Wkst'!$N$7:$N$2010,"P5")+SUMIFS('LAC 102_Wkst'!$AE$7:$AE$2010,'LAC 102_Wkst'!$E$7:$E$2010,$C23,'LAC 102_Wkst'!$G$7:$G$2010,$D23,'LAC 102_Wkst'!$L$7:$L$2010,"02",'LAC 102_Wkst'!$N$7:$N$2010,"P5")</f>
        <v>0</v>
      </c>
      <c r="L23" s="410">
        <f>SUMIFS('LAC 102_Wkst'!$Q$7:$Q$2010,'LAC 102_Wkst'!$E$7:$E$2010,$C23,'LAC 102_Wkst'!$G$7:$G$2010,$D23,'LAC 102_Wkst'!$L$7:$L$2010,"03",'LAC 102_Wkst'!$N$7:$N$2010,"P1")+SUMIFS('LAC 102_Wkst'!$Q$7:$Q$2010,'LAC 102_Wkst'!$E$7:$E$2010,$C23,'LAC 102_Wkst'!$G$7:$G$2010,$D23,'LAC 102_Wkst'!$L$7:$L$2010,"03",'LAC 102_Wkst'!$N$7:$N$2010,"P2")+SUMIFS('LAC 102_Wkst'!$Q$7:$Q$2010,'LAC 102_Wkst'!$E$7:$E$2010,$C23,'LAC 102_Wkst'!$G$7:$G$2010,$D23,'LAC 102_Wkst'!$L$7:$L$2010,"03",'LAC 102_Wkst'!$N$7:$N$2010,"P3")+SUMIFS('LAC 102_Wkst'!$Q$7:$Q$2010,'LAC 102_Wkst'!$E$7:$E$2010,$C23,'LAC 102_Wkst'!$G$7:$G$2010,$D23,'LAC 102_Wkst'!$L$7:$L$2010,"04",'LAC 102_Wkst'!$N$7:$N$2010,"P1")+SUMIFS('LAC 102_Wkst'!$Q$7:$Q$2010,'LAC 102_Wkst'!$E$7:$E$2010,$C23,'LAC 102_Wkst'!$G$7:$G$2010,$D23,'LAC 102_Wkst'!$L$7:$L$2010,"04",'LAC 102_Wkst'!$N$7:$N$2010,"P2")+SUMIFS('LAC 102_Wkst'!$Q$7:$Q$2010,'LAC 102_Wkst'!$E$7:$E$2010,$C23,'LAC 102_Wkst'!$G$7:$G$2010,$D23,'LAC 102_Wkst'!$L$7:$L$2010,"04",'LAC 102_Wkst'!$N$7:$N$2010,"P3")</f>
        <v>0</v>
      </c>
      <c r="M23" s="411">
        <f>SUMIFS('LAC 102_Wkst'!$AE$7:$AE$2010,'LAC 102_Wkst'!$E$7:$E$2010,$C23,'LAC 102_Wkst'!$G$7:$G$2010,$D23,'LAC 102_Wkst'!$L$7:$L$2010,"03",'LAC 102_Wkst'!$N$7:$N$2010,"P1")+SUMIFS('LAC 102_Wkst'!$AE$7:$AE$2010,'LAC 102_Wkst'!$E$7:$E$2010,$C23,'LAC 102_Wkst'!$G$7:$G$2010,$D23,'LAC 102_Wkst'!$L$7:$L$2010,"03",'LAC 102_Wkst'!$N$7:$N$2010,"P2")+SUMIFS('LAC 102_Wkst'!$AE$7:$AE$2010,'LAC 102_Wkst'!$E$7:$E$2010,$C23,'LAC 102_Wkst'!$G$7:$G$2010,$D23,'LAC 102_Wkst'!$L$7:$L$2010,"03",'LAC 102_Wkst'!$N$7:$N$2010,"P3")+SUMIFS('LAC 102_Wkst'!$AE$7:$AE$2010,'LAC 102_Wkst'!$E$7:$E$2010,$C23,'LAC 102_Wkst'!$G$7:$G$2010,$D23,'LAC 102_Wkst'!$L$7:$L$2010,"04",'LAC 102_Wkst'!$N$7:$N$2010,"P1")+SUMIFS('LAC 102_Wkst'!$AE$7:$AE$2010,'LAC 102_Wkst'!$E$7:$E$2010,$C23,'LAC 102_Wkst'!$G$7:$G$2010,$D23,'LAC 102_Wkst'!$L$7:$L$2010,"04",'LAC 102_Wkst'!$N$7:$N$2010,"P2")+SUMIFS('LAC 102_Wkst'!$AE$7:$AE$2010,'LAC 102_Wkst'!$E$7:$E$2010,$C23,'LAC 102_Wkst'!$G$7:$G$2010,$D23,'LAC 102_Wkst'!$L$7:$L$2010,"04",'LAC 102_Wkst'!$N$7:$N$2010,"P3")</f>
        <v>0</v>
      </c>
      <c r="N23" s="410">
        <f>SUMIFS('LAC 102_Wkst'!$Q$7:$Q$2010,'LAC 102_Wkst'!$E$7:$E$2010,$C23,'LAC 102_Wkst'!$G$7:$G$2010,$D23,'LAC 102_Wkst'!$L$7:$L$2010,"03",'LAC 102_Wkst'!$N$7:$N$2010,"P4")+SUMIFS('LAC 102_Wkst'!$Q$7:$Q$2010,'LAC 102_Wkst'!$E$7:$E$2010,$C23,'LAC 102_Wkst'!$G$7:$G$2010,$D23,'LAC 102_Wkst'!$L$7:$L$2010,"04",'LAC 102_Wkst'!$N$7:$N$2010,"P4")</f>
        <v>0</v>
      </c>
      <c r="O23" s="411">
        <f>SUMIFS('LAC 102_Wkst'!$AE$7:$AE$2010,'LAC 102_Wkst'!$E$7:$E$2010,$C23,'LAC 102_Wkst'!$G$7:$G$2010,$D23,'LAC 102_Wkst'!$L$7:$L$2010,"03",'LAC 102_Wkst'!$N$7:$N$2010,"P4")+SUMIFS('LAC 102_Wkst'!$AE$7:$AE$2010,'LAC 102_Wkst'!$E$7:$E$2010,$C23,'LAC 102_Wkst'!$G$7:$G$2010,$D23,'LAC 102_Wkst'!$L$7:$L$2010,"04",'LAC 102_Wkst'!$N$7:$N$2010,"P4")</f>
        <v>0</v>
      </c>
      <c r="P23" s="404">
        <f>SUMIFS('LAC 102_Wkst'!$Q$7:$Q$2010,'LAC 102_Wkst'!$E$7:$E$2010,$C23,'LAC 102_Wkst'!$G$7:$G$2010,$D23,'LAC 102_Wkst'!$L$7:$L$2010,"03",'LAC 102_Wkst'!$N$7:$N$2010,"P5")+SUMIFS('LAC 102_Wkst'!$Q$7:$Q$2010,'LAC 102_Wkst'!$E$7:$E$2010,$C23,'LAC 102_Wkst'!$G$7:$G$2010,$D23,'LAC 102_Wkst'!$L$7:$L$2010,"04",'LAC 102_Wkst'!$N$7:$N$2010,"P5")</f>
        <v>0</v>
      </c>
      <c r="Q23" s="411">
        <f>SUMIFS('LAC 102_Wkst'!$AE$7:$AE$2010,'LAC 102_Wkst'!$E$7:$E$2010,$C23,'LAC 102_Wkst'!$G$7:$G$2010,$D23,'LAC 102_Wkst'!$L$7:$L$2010,"03",'LAC 102_Wkst'!$N$7:$N$2010,"P5")+SUMIFS('LAC 102_Wkst'!$AE$7:$AE$2010,'LAC 102_Wkst'!$E$7:$E$2010,$C23,'LAC 102_Wkst'!$G$7:$G$2010,$D23,'LAC 102_Wkst'!$L$7:$L$2010,"04",'LAC 102_Wkst'!$N$7:$N$2010,"P5")</f>
        <v>0</v>
      </c>
      <c r="R23" s="412">
        <f>SUMIFS('LAC 102_Wkst'!$Q$7:$Q$2010,'LAC 102_Wkst'!$E$7:$E$2010,$C23,'LAC 102_Wkst'!$G$7:$G$2010,$D23,'LAC 102_Wkst'!$L$7:$L$2010,"05",'LAC 102_Wkst'!$N$7:$N$2010,"P1")+SUMIFS('LAC 102_Wkst'!$Q$7:$Q$2010,'LAC 102_Wkst'!$E$7:$E$2010,$C23,'LAC 102_Wkst'!$G$7:$G$2010,$D23,'LAC 102_Wkst'!$L$7:$L$2010,"06",'LAC 102_Wkst'!$N$7:$N$2010,"P1")</f>
        <v>3719</v>
      </c>
      <c r="S23" s="411">
        <f>SUMIFS('LAC 102_Wkst'!$AE$7:$AE$2010,'LAC 102_Wkst'!$E$7:$E$2010,$C23,'LAC 102_Wkst'!$G$7:$G$2010,$D23,'LAC 102_Wkst'!$L$7:$L$2010,"05",'LAC 102_Wkst'!$N$7:$N$2010,"P1")+SUMIFS('LAC 102_Wkst'!$AE$7:$AE$2010,'LAC 102_Wkst'!$E$7:$E$2010,$C23,'LAC 102_Wkst'!$G$7:$G$2010,$D23,'LAC 102_Wkst'!$L$7:$L$2010,"06",'LAC 102_Wkst'!$N$7:$N$2010,"P1")</f>
        <v>0</v>
      </c>
      <c r="T23" s="410">
        <f>SUMIFS('LAC 102_Wkst'!$Q$7:$Q$2010,'LAC 102_Wkst'!$E$7:$E$2010,$C23,'LAC 102_Wkst'!$G$7:$G$2010,$D23,'LAC 102_Wkst'!$L$7:$L$2010,"05",'LAC 102_Wkst'!$N$7:$N$2010,"P2")+SUMIFS('LAC 102_Wkst'!$Q$7:$Q$2010,'LAC 102_Wkst'!$E$7:$E$2010,$C23,'LAC 102_Wkst'!$G$7:$G$2010,$D23,'LAC 102_Wkst'!$L$7:$L$2010,"05",'LAC 102_Wkst'!$N$7:$N$2010,"P3")+SUMIFS('LAC 102_Wkst'!$Q$7:$Q$2010,'LAC 102_Wkst'!$E$7:$E$2010,$C23,'LAC 102_Wkst'!$G$7:$G$2010,$D23,'LAC 102_Wkst'!$L$7:$L$2010,"06",'LAC 102_Wkst'!$N$7:$N$2010,"P2")+SUMIFS('LAC 102_Wkst'!$Q$7:$Q$2010,'LAC 102_Wkst'!$E$7:$E$2010,$C23,'LAC 102_Wkst'!$G$7:$G$2010,$D23,'LAC 102_Wkst'!$L$7:$L$2010,"06",'LAC 102_Wkst'!$N$7:$N$2010,"P3")</f>
        <v>7549</v>
      </c>
      <c r="U23" s="411">
        <f>SUMIFS('LAC 102_Wkst'!$AE$7:$AE$2010,'LAC 102_Wkst'!$E$7:$E$2010,$C23,'LAC 102_Wkst'!$G$7:$G$2010,$D23,'LAC 102_Wkst'!$L$7:$L$2010,"05",'LAC 102_Wkst'!$N$7:$N$2010,"P2")+SUMIFS('LAC 102_Wkst'!$AE$7:$AE$2010,'LAC 102_Wkst'!$E$7:$E$2010,$C23,'LAC 102_Wkst'!$G$7:$G$2010,$D23,'LAC 102_Wkst'!$L$7:$L$2010,"06",'LAC 102_Wkst'!$N$7:$N$2010,"P3")+SUMIFS('LAC 102_Wkst'!$AE$7:$AE$2010,'LAC 102_Wkst'!$E$7:$E$2010,$C23,'LAC 102_Wkst'!$G$7:$G$2010,$D23,'LAC 102_Wkst'!$L$7:$L$2010,"05",'LAC 102_Wkst'!$N$7:$N$2010,"P2")+SUMIFS('LAC 102_Wkst'!$AE$7:$AE$2010,'LAC 102_Wkst'!$E$7:$E$2010,$C23,'LAC 102_Wkst'!$G$7:$G$2010,$D23,'LAC 102_Wkst'!$L$7:$L$2010,"06",'LAC 102_Wkst'!$N$7:$N$2010,"P3")</f>
        <v>0</v>
      </c>
      <c r="V23" s="410">
        <f>SUMIFS('LAC 102_Wkst'!$Q$7:$Q$2010,'LAC 102_Wkst'!$E$7:$E$2010,$C23,'LAC 102_Wkst'!$G$7:$G$2010,$D23,'LAC 102_Wkst'!$L$7:$L$2010,"05",'LAC 102_Wkst'!$N$7:$N$2010,"P4")+SUMIFS('LAC 102_Wkst'!$Q$7:$Q$2010,'LAC 102_Wkst'!$E$7:$E$2010,$C23,'LAC 102_Wkst'!$G$7:$G$2010,$D23,'LAC 102_Wkst'!$L$7:$L$2010,"06",'LAC 102_Wkst'!$N$7:$N$2010,"P4")</f>
        <v>1822</v>
      </c>
      <c r="W23" s="411">
        <f>SUMIFS('LAC 102_Wkst'!$AE$7:$AE$2010,'LAC 102_Wkst'!$E$7:$E$2010,$C23,'LAC 102_Wkst'!$G$7:$G$2010,$D23,'LAC 102_Wkst'!$L$7:$L$2010,"05",'LAC 102_Wkst'!$N$7:$N$2010,"P4")+SUMIFS('LAC 102_Wkst'!$AE$7:$AE$2010,'LAC 102_Wkst'!$E$7:$E$2010,$C23,'LAC 102_Wkst'!$G$7:$G$2010,$D23,'LAC 102_Wkst'!$L$7:$L$2010,"06",'LAC 102_Wkst'!$N$7:$N$2010,"P4")</f>
        <v>0</v>
      </c>
      <c r="X23" s="404">
        <f>SUMIFS('LAC 102_Wkst'!$Q$7:$Q$2010,'LAC 102_Wkst'!$E$7:$E$2010,$C23,'LAC 102_Wkst'!$G$7:$G$2010,$D23,'LAC 102_Wkst'!$L$7:$L$2010,"05",'LAC 102_Wkst'!$N$7:$N$2010,"P5")+SUMIFS('LAC 102_Wkst'!$Q$7:$Q$2010,'LAC 102_Wkst'!$E$7:$E$2010,$C23,'LAC 102_Wkst'!$G$7:$G$2010,$D23,'LAC 102_Wkst'!$L$7:$L$2010,"06",'LAC 102_Wkst'!$N$7:$N$2010,"P5")</f>
        <v>3294</v>
      </c>
      <c r="Y23" s="411">
        <f>SUMIFS('LAC 102_Wkst'!$AE$7:$AE$2010,'LAC 102_Wkst'!$E$7:$E$2010,$C23,'LAC 102_Wkst'!$G$7:$G$2010,$D23,'LAC 102_Wkst'!$L$7:$L$2010,"05",'LAC 102_Wkst'!$N$7:$N$2010,"P5")+SUMIFS('LAC 102_Wkst'!$AE$7:$AE$2010,'LAC 102_Wkst'!$E$7:$E$2010,$C23,'LAC 102_Wkst'!$G$7:$G$2010,$D23,'LAC 102_Wkst'!$L$7:$L$2010,"06",'LAC 102_Wkst'!$N$7:$N$2010,"P5")</f>
        <v>0</v>
      </c>
      <c r="Z23" s="410">
        <f>SUMIFS('LAC 102_Wkst'!$Q$7:$Q$2010,'LAC 102_Wkst'!$E$7:$E$2010,$C23,'LAC 102_Wkst'!$G$7:$G$2010,$D23,'LAC 102_Wkst'!$L$7:$L$2010,"07",'LAC 102_Wkst'!$N$7:$N$2010,"P1")+SUMIFS('LAC 102_Wkst'!$Q$7:$Q$2010,'LAC 102_Wkst'!$E$7:$E$2010,$C23,'LAC 102_Wkst'!$G$7:$G$2010,$D23,'LAC 102_Wkst'!$L$7:$L$2010,"07",'LAC 102_Wkst'!$N$7:$N$2010,"P2")+SUMIFS('LAC 102_Wkst'!$Q$7:$Q$2010,'LAC 102_Wkst'!$E$7:$E$2010,$C23,'LAC 102_Wkst'!$G$7:$G$2010,$D23,'LAC 102_Wkst'!$L$7:$L$2010,"07",'LAC 102_Wkst'!$N$7:$N$2010,"P3")</f>
        <v>0</v>
      </c>
      <c r="AA23" s="411">
        <f>SUMIFS('LAC 102_Wkst'!$AE$7:$AE$2010,'LAC 102_Wkst'!$E$7:$E$2010,$C23,'LAC 102_Wkst'!$G$7:$G$2010,$D23,'LAC 102_Wkst'!$L$7:$L$2010,"07",'LAC 102_Wkst'!$N$7:$N$2010,"P1")+SUMIFS('LAC 102_Wkst'!$AE$7:$AE$2010,'LAC 102_Wkst'!$E$7:$E$2010,$C23,'LAC 102_Wkst'!$G$7:$G$2010,$D23,'LAC 102_Wkst'!$L$7:$L$2010,"07",'LAC 102_Wkst'!$N$7:$N$2010,"P2")+SUMIFS('LAC 102_Wkst'!$AE$7:$AE$2010,'LAC 102_Wkst'!$E$7:$E$2010,$C23,'LAC 102_Wkst'!$G$7:$G$2010,$D23,'LAC 102_Wkst'!$L$7:$L$2010,"07",'LAC 102_Wkst'!$N$7:$N$2010,"P3")</f>
        <v>0</v>
      </c>
      <c r="AB23" s="410">
        <f>SUMIFS('LAC 102_Wkst'!$Q$7:$Q$2010,'LAC 102_Wkst'!$E$7:$E$2010,$C23,'LAC 102_Wkst'!$G$7:$G$2010,$D23,'LAC 102_Wkst'!$L$7:$L$2010,"07",'LAC 102_Wkst'!$N$7:$N$2010,"P4")</f>
        <v>0</v>
      </c>
      <c r="AC23" s="411">
        <f>SUMIFS('LAC 102_Wkst'!$AE$7:$AE$2010,'LAC 102_Wkst'!$E$7:$E$2010,$C23,'LAC 102_Wkst'!$G$7:$G$2010,$D23,'LAC 102_Wkst'!$L$7:$L$2010,"07",'LAC 102_Wkst'!$N$7:$N$2010,"P4")</f>
        <v>0</v>
      </c>
      <c r="AD23" s="404">
        <f>SUMIFS('LAC 102_Wkst'!$Q$7:$Q$2010,'LAC 102_Wkst'!$E$7:$E$2010,$C23,'LAC 102_Wkst'!$G$7:$G$2010,$D23,'LAC 102_Wkst'!$L$7:$L$2010,"07",'LAC 102_Wkst'!$N$7:$N$2010,"P5")</f>
        <v>0</v>
      </c>
      <c r="AE23" s="411">
        <f>SUMIFS('LAC 102_Wkst'!$AE$7:$AE$2010,'LAC 102_Wkst'!$E$7:$E$2010,$C23,'LAC 102_Wkst'!$G$7:$G$2010,$D23,'LAC 102_Wkst'!$L$7:$L$2010,"07",'LAC 102_Wkst'!$N$7:$N$2010,"P5")</f>
        <v>0</v>
      </c>
      <c r="AF23" s="410">
        <f>SUMIFS('LAC 102_Wkst'!$Q$7:$Q$2010,'LAC 102_Wkst'!$E$7:$E$2010,$C23,'LAC 102_Wkst'!$G$7:$G$2010,$D23,'LAC 102_Wkst'!$L$7:$L$2010,"08",'LAC 102_Wkst'!$N$7:$N$2010,"P1")+SUMIFS('LAC 102_Wkst'!$Q$7:$Q$2010,'LAC 102_Wkst'!$E$7:$E$2010,$C23,'LAC 102_Wkst'!$G$7:$G$2010,$D23,'LAC 102_Wkst'!$L$7:$L$2010,"08",'LAC 102_Wkst'!$N$7:$N$2010,"P2")+SUMIFS('LAC 102_Wkst'!$Q$7:$Q$2010,'LAC 102_Wkst'!$E$7:$E$2010,$C23,'LAC 102_Wkst'!$G$7:$G$2010,$D23,'LAC 102_Wkst'!$L$7:$L$2010,"08",'LAC 102_Wkst'!$N$7:$N$2010,"P3")</f>
        <v>0</v>
      </c>
      <c r="AG23" s="411">
        <f>SUMIFS('LAC 102_Wkst'!$AE$7:$AE$2010,'LAC 102_Wkst'!$E$7:$E$2010,$C23,'LAC 102_Wkst'!$G$7:$G$2010,$D23,'LAC 102_Wkst'!$L$7:$L$2010,"08",'LAC 102_Wkst'!$N$7:$N$2010,"P1")+SUMIFS('LAC 102_Wkst'!$AE$7:$AE$2010,'LAC 102_Wkst'!$E$7:$E$2010,$C23,'LAC 102_Wkst'!$G$7:$G$2010,$D23,'LAC 102_Wkst'!$L$7:$L$2010,"08",'LAC 102_Wkst'!$N$7:$N$2010,"P2")+SUMIFS('LAC 102_Wkst'!$AE$7:$AE$2010,'LAC 102_Wkst'!$E$7:$E$2010,$C23,'LAC 102_Wkst'!$G$7:$G$2010,$D23,'LAC 102_Wkst'!$L$7:$L$2010,"08",'LAC 102_Wkst'!$N$7:$N$2010,"P3")</f>
        <v>0</v>
      </c>
      <c r="AH23" s="410">
        <f>SUMIFS('LAC 102_Wkst'!$Q$7:$Q$2010,'LAC 102_Wkst'!$E$7:$E$2010,$C23,'LAC 102_Wkst'!$G$7:$G$2010,$D23,'LAC 102_Wkst'!$L$7:$L$2010,"08",'LAC 102_Wkst'!$N$7:$N$2010,"P4")</f>
        <v>0</v>
      </c>
      <c r="AI23" s="411">
        <f>SUMIFS('LAC 102_Wkst'!$AE$7:$AE$2010,'LAC 102_Wkst'!$E$7:$E$2010,$C23,'LAC 102_Wkst'!$G$7:$G$2010,$D23,'LAC 102_Wkst'!$L$7:$L$2010,"08",'LAC 102_Wkst'!$N$7:$N$2010,"P4")</f>
        <v>0</v>
      </c>
      <c r="AJ23" s="404">
        <f>SUMIFS('LAC 102_Wkst'!$Q$7:$Q$2010,'LAC 102_Wkst'!$E$7:$E$2010,$C23,'LAC 102_Wkst'!$G$7:$G$2010,$D23,'LAC 102_Wkst'!$L$7:$L$2010,"08",'LAC 102_Wkst'!$N$7:$N$2010,"P5")</f>
        <v>0</v>
      </c>
      <c r="AK23" s="411">
        <f>SUMIFS('LAC 102_Wkst'!$AE$7:$AE$2010,'LAC 102_Wkst'!$E$7:$E$2010,$C23,'LAC 102_Wkst'!$G$7:$G$2010,$D23,'LAC 102_Wkst'!$L$7:$L$2010,"08",'LAC 102_Wkst'!$N$7:$N$2010,"P5")</f>
        <v>0</v>
      </c>
      <c r="AL23" s="410">
        <f>SUMIFS('LAC 102_Wkst'!$Q$7:$Q$2010,'LAC 102_Wkst'!$E$7:$E$2010,$C23,'LAC 102_Wkst'!$G$7:$G$2010,$D23,'LAC 102_Wkst'!$L$7:$L$2010,"09",'LAC 102_Wkst'!$N$7:$N$2010,"P1")+SUMIFS('LAC 102_Wkst'!$Q$7:$Q$2010,'LAC 102_Wkst'!$E$7:$E$2010,$C23,'LAC 102_Wkst'!$G$7:$G$2010,$D23,'LAC 102_Wkst'!$L$7:$L$2010,"09",'LAC 102_Wkst'!$N$7:$N$2010,"P2")+SUMIFS('LAC 102_Wkst'!$Q$7:$Q$2010,'LAC 102_Wkst'!$E$7:$E$2010,$C23,'LAC 102_Wkst'!$G$7:$G$2010,$D23,'LAC 102_Wkst'!$L$7:$L$2010,"09",'LAC 102_Wkst'!$N$7:$N$2010,"P3")+SUMIFS('LAC 102_Wkst'!$Q$7:$Q$2010,'LAC 102_Wkst'!$E$7:$E$2010,$C23,'LAC 102_Wkst'!$G$7:$G$2010,$D23,'LAC 102_Wkst'!$L$7:$L$2010,"09",'LAC 102_Wkst'!$N$7:$N$2010,"P4")</f>
        <v>0</v>
      </c>
      <c r="AM23" s="411">
        <f>SUMIFS('LAC 102_Wkst'!$AE$7:$AE$2010,'LAC 102_Wkst'!$E$7:$E$2010,$C23,'LAC 102_Wkst'!$G$7:$G$2010,$D23,'LAC 102_Wkst'!$L$7:$L$2010,"09",'LAC 102_Wkst'!$N$7:$N$2010,"P1")+SUMIFS('LAC 102_Wkst'!$AE$7:$AE$2010,'LAC 102_Wkst'!$E$7:$E$2010,$C23,'LAC 102_Wkst'!$G$7:$G$2010,$D23,'LAC 102_Wkst'!$L$7:$L$2010,"09",'LAC 102_Wkst'!$N$7:$N$2010,"P2")+SUMIFS('LAC 102_Wkst'!$AE$7:$AE$2010,'LAC 102_Wkst'!$E$7:$E$2010,$C23,'LAC 102_Wkst'!$G$7:$G$2010,$D23,'LAC 102_Wkst'!$L$7:$L$2010,"09",'LAC 102_Wkst'!$N$7:$N$2010,"P3")+SUMIFS('LAC 102_Wkst'!$AE$7:$AE$2010,'LAC 102_Wkst'!$E$7:$E$2010,$C23,'LAC 102_Wkst'!$G$7:$G$2010,$D23,'LAC 102_Wkst'!$L$7:$L$2010,"09",'LAC 102_Wkst'!$N$7:$N$2010,"P4")</f>
        <v>0</v>
      </c>
      <c r="AN23" s="410">
        <f>SUMIFS('LAC 102_Wkst'!$Q$7:$Q$2010,'LAC 102_Wkst'!$E$7:$E$2010,$C23,'LAC 102_Wkst'!$G$7:$G$2010,$D23,'LAC 102_Wkst'!$L$7:$L$2010,"09",'LAC 102_Wkst'!$N$7:$N$2010,"P5")</f>
        <v>0</v>
      </c>
      <c r="AO23" s="411">
        <f>SUMIFS('LAC 102_Wkst'!$AE$7:$AE$2010,'LAC 102_Wkst'!$E$7:$E$2010,$C23,'LAC 102_Wkst'!$G$7:$G$2010,$D23,'LAC 102_Wkst'!$L$7:$L$2010,"09",'LAC 102_Wkst'!$N$7:$N$2010,"P5")</f>
        <v>0</v>
      </c>
      <c r="AP23" s="404">
        <f>SUMIFS('LAC 102_Wkst'!$Q$7:$Q$2010,'LAC 102_Wkst'!$E$7:$E$2010,$C23,'LAC 102_Wkst'!$G$7:$G$2010,$D23,'LAC 102_Wkst'!$L$7:$L$2010,"10",'LAC 102_Wkst'!$N$7:$N$2010,"P1")+SUMIFS('LAC 102_Wkst'!$Q$7:$Q$2010,'LAC 102_Wkst'!$E$7:$E$2010,$C23,'LAC 102_Wkst'!$G$7:$G$2010,$D23,'LAC 102_Wkst'!$L$7:$L$2010,"10",'LAC 102_Wkst'!$N$7:$N$2010,"P2")+SUMIFS('LAC 102_Wkst'!$Q$7:$Q$2010,'LAC 102_Wkst'!$E$7:$E$2010,$C23,'LAC 102_Wkst'!$G$7:$G$2010,$D23,'LAC 102_Wkst'!$L$7:$L$2010,"10",'LAC 102_Wkst'!$N$7:$N$2010,"P3")+SUMIFS('LAC 102_Wkst'!$Q$7:$Q$2010,'LAC 102_Wkst'!$E$7:$E$2010,$C23,'LAC 102_Wkst'!$G$7:$G$2010,$D23,'LAC 102_Wkst'!$L$7:$L$2010,"10",'LAC 102_Wkst'!$N$7:$N$2010,"P4")</f>
        <v>60</v>
      </c>
      <c r="AQ23" s="411">
        <f>SUMIFS('LAC 102_Wkst'!$AE$7:$AE$2010,'LAC 102_Wkst'!$E$7:$E$2010,$C23,'LAC 102_Wkst'!$G$7:$G$2010,$D23,'LAC 102_Wkst'!$L$7:$L$2010,"10",'LAC 102_Wkst'!$N$7:$N$2010,"P1")+SUMIFS('LAC 102_Wkst'!$AE$7:$AE$2010,'LAC 102_Wkst'!$E$7:$E$2010,$C23,'LAC 102_Wkst'!$G$7:$G$2010,$D23,'LAC 102_Wkst'!$L$7:$L$2010,"10",'LAC 102_Wkst'!$N$7:$N$2010,"P2")+SUMIFS('LAC 102_Wkst'!$AE$7:$AE$2010,'LAC 102_Wkst'!$E$7:$E$2010,$C23,'LAC 102_Wkst'!$G$7:$G$2010,$D23,'LAC 102_Wkst'!$L$7:$L$2010,"10",'LAC 102_Wkst'!$N$7:$N$2010,"P3")+SUMIFS('LAC 102_Wkst'!$AE$7:$AE$2010,'LAC 102_Wkst'!$E$7:$E$2010,$C23,'LAC 102_Wkst'!$G$7:$G$2010,$D23,'LAC 102_Wkst'!$L$7:$L$2010,"10",'LAC 102_Wkst'!$N$7:$N$2010,"P4")</f>
        <v>0</v>
      </c>
      <c r="AR23" s="410">
        <f>SUMIFS('LAC 102_Wkst'!$Q$7:$Q$2010,'LAC 102_Wkst'!$E$7:$E$2010,$C23,'LAC 102_Wkst'!$G$7:$G$2010,$D23,'LAC 102_Wkst'!$L$7:$L$2010,"10",'LAC 102_Wkst'!$N$7:$N$2010,"P5")</f>
        <v>876</v>
      </c>
      <c r="AS23" s="411">
        <f>SUMIFS('LAC 102_Wkst'!$AE$7:$AE$2010,'LAC 102_Wkst'!$E$7:$E$2010,$C23,'LAC 102_Wkst'!$G$7:$G$2010,$D23,'LAC 102_Wkst'!$L$7:$L$2010,"10",'LAC 102_Wkst'!$N$7:$N$2010,"P5")</f>
        <v>0</v>
      </c>
      <c r="AT23" s="410">
        <f>SUMIFS('LAC 102_Wkst'!$Q$7:$Q$2010,'LAC 102_Wkst'!$E$7:$E$2010,$C23,'LAC 102_Wkst'!$G$7:$G$2010,$D23,'LAC 102_Wkst'!$L$7:$L$2010,"11",'LAC 102_Wkst'!$N$7:$N$2010,"P1")+SUMIFS('LAC 102_Wkst'!$Q$7:$Q$2010,'LAC 102_Wkst'!$E$7:$E$2010,$C23,'LAC 102_Wkst'!$G$7:$G$2010,$D23,'LAC 102_Wkst'!$L$7:$L$2010,"12",'LAC 102_Wkst'!$N$7:$N$2010,"P1")</f>
        <v>0</v>
      </c>
      <c r="AU23" s="411">
        <f>SUMIFS('LAC 102_Wkst'!$AE$7:$AE$2010,'LAC 102_Wkst'!$E$7:$E$2010,$C23,'LAC 102_Wkst'!$G$7:$G$2010,$D23,'LAC 102_Wkst'!$L$7:$L$2010,"11",'LAC 102_Wkst'!$N$7:$N$2010,"P1")+SUMIFS('LAC 102_Wkst'!$AE$7:$AE$2010,'LAC 102_Wkst'!$E$7:$E$2010,$C23,'LAC 102_Wkst'!$G$7:$G$2010,$D23,'LAC 102_Wkst'!$L$7:$L$2010,"12",'LAC 102_Wkst'!$N$7:$N$2010,"P1")</f>
        <v>0</v>
      </c>
      <c r="AV23" s="404">
        <f>SUMIFS('LAC 102_Wkst'!$Q$7:$Q$2010,'LAC 102_Wkst'!$E$7:$E$2010,$C23,'LAC 102_Wkst'!$G$7:$G$2010,$D23,'LAC 102_Wkst'!$L$7:$L$2010,"11",'LAC 102_Wkst'!$N$7:$N$2010,"P2")+SUMIFS('LAC 102_Wkst'!$Q$7:$Q$2010,'LAC 102_Wkst'!$E$7:$E$2010,$C23,'LAC 102_Wkst'!$G$7:$G$2010,$D23,'LAC 102_Wkst'!$L$7:$L$2010,"12",'LAC 102_Wkst'!$N$7:$N$2010,"P3")+SUMIFS('LAC 102_Wkst'!$Q$7:$Q$2010,'LAC 102_Wkst'!$E$7:$E$2010,$C23,'LAC 102_Wkst'!$G$7:$G$2010,$D23,'LAC 102_Wkst'!$L$7:$L$2010,"11",'LAC 102_Wkst'!$N$7:$N$2010,"P2")+SUMIFS('LAC 102_Wkst'!$Q$7:$Q$2010,'LAC 102_Wkst'!$E$7:$E$2010,$C23,'LAC 102_Wkst'!$G$7:$G$2010,$D23,'LAC 102_Wkst'!$L$7:$L$2010,"12",'LAC 102_Wkst'!$N$7:$N$2010,"P3")</f>
        <v>0</v>
      </c>
      <c r="AW23" s="411">
        <f>SUMIFS('LAC 102_Wkst'!$AE$7:$AE$2010,'LAC 102_Wkst'!$E$7:$E$2010,$C23,'LAC 102_Wkst'!$G$7:$G$2010,$D23,'LAC 102_Wkst'!$L$7:$L$2010,"11",'LAC 102_Wkst'!$N$7:$N$2010,"P2")+SUMIFS('LAC 102_Wkst'!$AE$7:$AE$2010,'LAC 102_Wkst'!$E$7:$E$2010,$C23,'LAC 102_Wkst'!$G$7:$G$2010,$D23,'LAC 102_Wkst'!$L$7:$L$2010,"12",'LAC 102_Wkst'!$N$7:$N$2010,"P3")+SUMIFS('LAC 102_Wkst'!$AE$7:$AE$2010,'LAC 102_Wkst'!$E$7:$E$2010,$C23,'LAC 102_Wkst'!$G$7:$G$2010,$D23,'LAC 102_Wkst'!$L$7:$L$2010,"11",'LAC 102_Wkst'!$N$7:$N$2010,"P2")+SUMIFS('LAC 102_Wkst'!$AE$7:$AE$2010,'LAC 102_Wkst'!$E$7:$E$2010,$C23,'LAC 102_Wkst'!$G$7:$G$2010,$D23,'LAC 102_Wkst'!$L$7:$L$2010,"12",'LAC 102_Wkst'!$N$7:$N$2010,"P3")</f>
        <v>0</v>
      </c>
      <c r="AX23" s="410">
        <f>SUMIFS('LAC 102_Wkst'!$Q$7:$Q$2010,'LAC 102_Wkst'!$E$7:$E$2010,$C23,'LAC 102_Wkst'!$G$7:$G$2010,$D23,'LAC 102_Wkst'!$L$7:$L$2010,"11",'LAC 102_Wkst'!$N$7:$N$2010,"P4")+SUMIFS('LAC 102_Wkst'!$Q$7:$Q$2010,'LAC 102_Wkst'!$E$7:$E$2010,$C23,'LAC 102_Wkst'!$G$7:$G$2010,$D23,'LAC 102_Wkst'!$L$7:$L$2010,"12",'LAC 102_Wkst'!$N$7:$N$2010,"P4")</f>
        <v>0</v>
      </c>
      <c r="AY23" s="411">
        <f>SUMIFS('LAC 102_Wkst'!$AE$7:$AE$2010,'LAC 102_Wkst'!$E$7:$E$2010,$C23,'LAC 102_Wkst'!$G$7:$G$2010,$D23,'LAC 102_Wkst'!$L$7:$L$2010,"11",'LAC 102_Wkst'!$N$7:$N$2010,"P4")+SUMIFS('LAC 102_Wkst'!$AE$7:$AE$2010,'LAC 102_Wkst'!$E$7:$E$2010,$C23,'LAC 102_Wkst'!$G$7:$G$2010,$D23,'LAC 102_Wkst'!$L$7:$L$2010,"12",'LAC 102_Wkst'!$N$7:$N$2010,"P4")</f>
        <v>0</v>
      </c>
      <c r="AZ23" s="404">
        <f>SUMIFS('LAC 102_Wkst'!$Q$7:$Q$2010,'LAC 102_Wkst'!$E$7:$E$2010,$C23,'LAC 102_Wkst'!$G$7:$G$2010,$D23,'LAC 102_Wkst'!$L$7:$L$2010,"11",'LAC 102_Wkst'!$N$7:$N$2010,"P5")+SUMIFS('LAC 102_Wkst'!$Q$7:$Q$2010,'LAC 102_Wkst'!$E$7:$E$2010,$C23,'LAC 102_Wkst'!$G$7:$G$2010,$D23,'LAC 102_Wkst'!$L$7:$L$2010,"12",'LAC 102_Wkst'!$N$7:$N$2010,"P5")</f>
        <v>0</v>
      </c>
      <c r="BA23" s="411">
        <f>SUMIFS('LAC 102_Wkst'!$AE$7:$AE$2010,'LAC 102_Wkst'!$E$7:$E$2010,$C23,'LAC 102_Wkst'!$G$7:$G$2010,$D23,'LAC 102_Wkst'!$L$7:$L$2010,"11",'LAC 102_Wkst'!$N$7:$N$2010,"P5")+SUMIFS('LAC 102_Wkst'!$AE$7:$AE$2010,'LAC 102_Wkst'!$E$7:$E$2010,$C23,'LAC 102_Wkst'!$G$7:$G$2010,$D23,'LAC 102_Wkst'!$L$7:$L$2010,"12",'LAC 102_Wkst'!$N$7:$N$2010,"P5")</f>
        <v>0</v>
      </c>
      <c r="BB23" s="410">
        <f>SUMIFS('LAC 102_Wkst'!$Q$7:$Q$2010,'LAC 102_Wkst'!$E$7:$E$2010,$C23,'LAC 102_Wkst'!$G$7:$G$2010,$D23,'LAC 102_Wkst'!$L$7:$L$2010,"13",'LAC 102_Wkst'!$N$7:$N$2010,"P1")+SUMIFS('LAC 102_Wkst'!$Q$7:$Q$2010,'LAC 102_Wkst'!$E$7:$E$2010,$C23,'LAC 102_Wkst'!$G$7:$G$2010,$D23,'LAC 102_Wkst'!$L$7:$L$2010,"13",'LAC 102_Wkst'!$N$7:$N$2010,"P2")+SUMIFS('LAC 102_Wkst'!$Q$7:$Q$2010,'LAC 102_Wkst'!$E$7:$E$2010,$C23,'LAC 102_Wkst'!$G$7:$G$2010,$D23,'LAC 102_Wkst'!$L$7:$L$2010,"13",'LAC 102_Wkst'!$N$7:$N$2010,"P3")+SUMIFS('LAC 102_Wkst'!$Q$7:$Q$2010,'LAC 102_Wkst'!$E$7:$E$2010,$C23,'LAC 102_Wkst'!$G$7:$G$2010,$D23,'LAC 102_Wkst'!$L$7:$L$2010,"13",'LAC 102_Wkst'!$N$7:$N$2010,"P4")</f>
        <v>1844</v>
      </c>
      <c r="BC23" s="411">
        <f>SUMIFS('LAC 102_Wkst'!$AE$7:$AE$2010,'LAC 102_Wkst'!$E$7:$E$2010,$C23,'LAC 102_Wkst'!$G$7:$G$2010,$D23,'LAC 102_Wkst'!$L$7:$L$2010,"13",'LAC 102_Wkst'!$N$7:$N$2010,"P1")+SUMIFS('LAC 102_Wkst'!$AE$7:$AE$2010,'LAC 102_Wkst'!$E$7:$E$2010,$C23,'LAC 102_Wkst'!$G$7:$G$2010,$D23,'LAC 102_Wkst'!$L$7:$L$2010,"13",'LAC 102_Wkst'!$N$7:$N$2010,"P2")+SUMIFS('LAC 102_Wkst'!$AE$7:$AE$2010,'LAC 102_Wkst'!$E$7:$E$2010,$C23,'LAC 102_Wkst'!$G$7:$G$2010,$D23,'LAC 102_Wkst'!$L$7:$L$2010,"13",'LAC 102_Wkst'!$N$7:$N$2010,"P3")+SUMIFS('LAC 102_Wkst'!$AE$7:$AE$2010,'LAC 102_Wkst'!$E$7:$E$2010,$C23,'LAC 102_Wkst'!$G$7:$G$2010,$D23,'LAC 102_Wkst'!$L$7:$L$2010,"13",'LAC 102_Wkst'!$N$7:$N$2010,"P4")</f>
        <v>0</v>
      </c>
      <c r="BD23" s="404">
        <f>SUMIFS('LAC 102_Wkst'!$Q$7:$Q$2010,'LAC 102_Wkst'!$E$7:$E$2010,$C23,'LAC 102_Wkst'!$G$7:$G$2010,$D23,'LAC 102_Wkst'!$L$7:$L$2010,"13",'LAC 102_Wkst'!$N$7:$N$2010,"P5")</f>
        <v>0</v>
      </c>
      <c r="BE23" s="411">
        <f>SUMIFS('LAC 102_Wkst'!$AE$7:$AE$2010,'LAC 102_Wkst'!$E$7:$E$2010,$C23,'LAC 102_Wkst'!$G$7:$G$2010,$D23,'LAC 102_Wkst'!$L$7:$L$2010,"13",'LAC 102_Wkst'!$N$7:$N$2010,"P5")</f>
        <v>0</v>
      </c>
      <c r="BF23" s="407">
        <f t="shared" si="0"/>
        <v>10936</v>
      </c>
    </row>
    <row r="24" spans="1:58" x14ac:dyDescent="0.2">
      <c r="A24" s="401">
        <v>5</v>
      </c>
      <c r="B24" s="1236" t="s">
        <v>738</v>
      </c>
      <c r="C24" s="1235" t="s">
        <v>95</v>
      </c>
      <c r="D24" s="1237" t="s">
        <v>77</v>
      </c>
      <c r="E24" s="1222">
        <f>IF(CONCATENATE(C24,D24)&gt;"6069",1,SUMIFS('LAC 102_Wkst'!$Q$7:$Q$2010,'LAC 102_Wkst'!$E$7:$E$2010,Schedule_B!$C24,'LAC 102_Wkst'!$G$7:$G$2010,Schedule_B!$D24))</f>
        <v>920094</v>
      </c>
      <c r="F24" s="413">
        <f>SUMIFS('LAC 102_Wkst'!$Q$7:$Q$2010,'LAC 102_Wkst'!$E$7:$E$2010,$C24,'LAC 102_Wkst'!$G$7:$G$2010,$D24,'LAC 102_Wkst'!$L$7:$L$2010,"01",'LAC 102_Wkst'!$N$7:$N$2010,"P1")+SUMIFS('LAC 102_Wkst'!$Q$7:$Q$2010,'LAC 102_Wkst'!$E$7:$E$2010,$C24,'LAC 102_Wkst'!$G$7:$G$2010,$D24,'LAC 102_Wkst'!$L$7:$L$2010,"01",'LAC 102_Wkst'!$N$7:$N$2010,"P2")+SUMIFS('LAC 102_Wkst'!$Q$7:$Q$2010,'LAC 102_Wkst'!$E$7:$E$2010,$C24,'LAC 102_Wkst'!$G$7:$G$2010,$D24,'LAC 102_Wkst'!$L$7:$L$2010,"01",'LAC 102_Wkst'!$N$7:$N$2010,"P3")+SUMIFS('LAC 102_Wkst'!$Q$7:$Q$2010,'LAC 102_Wkst'!$E$7:$E$2010,$C24,'LAC 102_Wkst'!$G$7:$G$2010,$D24,'LAC 102_Wkst'!$L$7:$L$2010,"02",'LAC 102_Wkst'!$N$7:$N$2010,"P1")+SUMIFS('LAC 102_Wkst'!$Q$7:$Q$2010,'LAC 102_Wkst'!$E$7:$E$2010,$C24,'LAC 102_Wkst'!$G$7:$G$2010,$D24,'LAC 102_Wkst'!$L$7:$L$2010,"02",'LAC 102_Wkst'!$N$7:$N$2010,"P2")+SUMIFS('LAC 102_Wkst'!$Q$7:$Q$2010,'LAC 102_Wkst'!$E$7:$E$2010,$C24,'LAC 102_Wkst'!$G$7:$G$2010,$D24,'LAC 102_Wkst'!$L$7:$L$2010,"02",'LAC 102_Wkst'!$N$7:$N$2010,"P3")</f>
        <v>524652</v>
      </c>
      <c r="G24" s="414">
        <f>SUMIFS('LAC 102_Wkst'!$AE$7:$AE$2010,'LAC 102_Wkst'!$E$7:$E$2010,$C24,'LAC 102_Wkst'!$G$7:$G$2010,$D24,'LAC 102_Wkst'!$L$7:$L$2010,"01",'LAC 102_Wkst'!$N$7:$N$2010,"P1")+SUMIFS('LAC 102_Wkst'!$AE$7:$AE$2010,'LAC 102_Wkst'!$E$7:$E$2010,$C24,'LAC 102_Wkst'!$G$7:$G$2010,$D24,'LAC 102_Wkst'!$L$7:$L$2010,"01",'LAC 102_Wkst'!$N$7:$N$2010,"P2")+SUMIFS('LAC 102_Wkst'!$AE$7:$AE$2010,'LAC 102_Wkst'!$E$7:$E$2010,$C24,'LAC 102_Wkst'!$G$7:$G$2010,$D24,'LAC 102_Wkst'!$L$7:$L$2010,"01",'LAC 102_Wkst'!$N$7:$N$2010,"P3")+SUMIFS('LAC 102_Wkst'!$AE$7:$AE$2010,'LAC 102_Wkst'!$E$7:$E$2010,$C24,'LAC 102_Wkst'!$G$7:$G$2010,$D24,'LAC 102_Wkst'!$L$7:$L$2010,"02",'LAC 102_Wkst'!$N$7:$N$2010,"P1")+SUMIFS('LAC 102_Wkst'!$AE$7:$AE$2010,'LAC 102_Wkst'!$E$7:$E$2010,$C24,'LAC 102_Wkst'!$G$7:$G$2010,$D24,'LAC 102_Wkst'!$L$7:$L$2010,"02",'LAC 102_Wkst'!$N$7:$N$2010,"P2")+SUMIFS('LAC 102_Wkst'!$AE$7:$AE$2010,'LAC 102_Wkst'!$E$7:$E$2010,$C24,'LAC 102_Wkst'!$G$7:$G$2010,$D24,'LAC 102_Wkst'!$L$7:$L$2010,"02",'LAC 102_Wkst'!$N$7:$N$2010,"P3")</f>
        <v>0</v>
      </c>
      <c r="H24" s="413">
        <f>SUMIFS('LAC 102_Wkst'!$Q$7:$Q$2010,'LAC 102_Wkst'!$E$7:$E$2010,$C24,'LAC 102_Wkst'!$G$7:$G$2010,$D24,'LAC 102_Wkst'!$L$7:$L$2010,"01",'LAC 102_Wkst'!$N$7:$N$2010,"P4")+SUMIFS('LAC 102_Wkst'!$Q$7:$Q$2010,'LAC 102_Wkst'!$E$7:$E$2010,$C24,'LAC 102_Wkst'!$G$7:$G$2010,$D24,'LAC 102_Wkst'!$L$7:$L$2010,"02",'LAC 102_Wkst'!$N$7:$N$2010,"P4")</f>
        <v>81395</v>
      </c>
      <c r="I24" s="414">
        <f>SUMIFS('LAC 102_Wkst'!$AE$7:$AE$2010,'LAC 102_Wkst'!$E$7:$E$2010,$C24,'LAC 102_Wkst'!$G$7:$G$2010,$D24,'LAC 102_Wkst'!$L$7:$L$2010,"01",'LAC 102_Wkst'!$N$7:$N$2010,"P4")+SUMIFS('LAC 102_Wkst'!$AE$7:$AE$2010,'LAC 102_Wkst'!$E$7:$E$2010,$C24,'LAC 102_Wkst'!$G$7:$G$2010,$D24,'LAC 102_Wkst'!$L$7:$L$2010,"02",'LAC 102_Wkst'!$N$7:$N$2010,"P4")</f>
        <v>0</v>
      </c>
      <c r="J24" s="413">
        <f>SUMIFS('LAC 102_Wkst'!$Q$7:$Q$2010,'LAC 102_Wkst'!$E$7:$E$2010,$C24,'LAC 102_Wkst'!$G$7:$G$2010,$D24,'LAC 102_Wkst'!$L$7:$L$2010,"01",'LAC 102_Wkst'!$N$7:$N$2010,"P5")+SUMIFS('LAC 102_Wkst'!$Q$7:$Q$2010,'LAC 102_Wkst'!$E$7:$E$2010,$C24,'LAC 102_Wkst'!$G$7:$G$2010,$D24,'LAC 102_Wkst'!$L$7:$L$2010,"02",'LAC 102_Wkst'!$N$7:$N$2010,"P5")</f>
        <v>80605</v>
      </c>
      <c r="K24" s="414">
        <f>SUMIFS('LAC 102_Wkst'!$AE$7:$AE$2010,'LAC 102_Wkst'!$E$7:$E$2010,$C24,'LAC 102_Wkst'!$G$7:$G$2010,$D24,'LAC 102_Wkst'!$L$7:$L$2010,"01",'LAC 102_Wkst'!$N$7:$N$2010,"P5")+SUMIFS('LAC 102_Wkst'!$AE$7:$AE$2010,'LAC 102_Wkst'!$E$7:$E$2010,$C24,'LAC 102_Wkst'!$G$7:$G$2010,$D24,'LAC 102_Wkst'!$L$7:$L$2010,"02",'LAC 102_Wkst'!$N$7:$N$2010,"P5")</f>
        <v>0</v>
      </c>
      <c r="L24" s="415">
        <f>SUMIFS('LAC 102_Wkst'!$Q$7:$Q$2010,'LAC 102_Wkst'!$E$7:$E$2010,$C24,'LAC 102_Wkst'!$G$7:$G$2010,$D24,'LAC 102_Wkst'!$L$7:$L$2010,"03",'LAC 102_Wkst'!$N$7:$N$2010,"P1")+SUMIFS('LAC 102_Wkst'!$Q$7:$Q$2010,'LAC 102_Wkst'!$E$7:$E$2010,$C24,'LAC 102_Wkst'!$G$7:$G$2010,$D24,'LAC 102_Wkst'!$L$7:$L$2010,"03",'LAC 102_Wkst'!$N$7:$N$2010,"P2")+SUMIFS('LAC 102_Wkst'!$Q$7:$Q$2010,'LAC 102_Wkst'!$E$7:$E$2010,$C24,'LAC 102_Wkst'!$G$7:$G$2010,$D24,'LAC 102_Wkst'!$L$7:$L$2010,"03",'LAC 102_Wkst'!$N$7:$N$2010,"P3")+SUMIFS('LAC 102_Wkst'!$Q$7:$Q$2010,'LAC 102_Wkst'!$E$7:$E$2010,$C24,'LAC 102_Wkst'!$G$7:$G$2010,$D24,'LAC 102_Wkst'!$L$7:$L$2010,"04",'LAC 102_Wkst'!$N$7:$N$2010,"P1")+SUMIFS('LAC 102_Wkst'!$Q$7:$Q$2010,'LAC 102_Wkst'!$E$7:$E$2010,$C24,'LAC 102_Wkst'!$G$7:$G$2010,$D24,'LAC 102_Wkst'!$L$7:$L$2010,"04",'LAC 102_Wkst'!$N$7:$N$2010,"P2")+SUMIFS('LAC 102_Wkst'!$Q$7:$Q$2010,'LAC 102_Wkst'!$E$7:$E$2010,$C24,'LAC 102_Wkst'!$G$7:$G$2010,$D24,'LAC 102_Wkst'!$L$7:$L$2010,"04",'LAC 102_Wkst'!$N$7:$N$2010,"P3")</f>
        <v>0</v>
      </c>
      <c r="M24" s="414">
        <f>SUMIFS('LAC 102_Wkst'!$AE$7:$AE$2010,'LAC 102_Wkst'!$E$7:$E$2010,$C24,'LAC 102_Wkst'!$G$7:$G$2010,$D24,'LAC 102_Wkst'!$L$7:$L$2010,"03",'LAC 102_Wkst'!$N$7:$N$2010,"P1")+SUMIFS('LAC 102_Wkst'!$AE$7:$AE$2010,'LAC 102_Wkst'!$E$7:$E$2010,$C24,'LAC 102_Wkst'!$G$7:$G$2010,$D24,'LAC 102_Wkst'!$L$7:$L$2010,"03",'LAC 102_Wkst'!$N$7:$N$2010,"P2")+SUMIFS('LAC 102_Wkst'!$AE$7:$AE$2010,'LAC 102_Wkst'!$E$7:$E$2010,$C24,'LAC 102_Wkst'!$G$7:$G$2010,$D24,'LAC 102_Wkst'!$L$7:$L$2010,"03",'LAC 102_Wkst'!$N$7:$N$2010,"P3")+SUMIFS('LAC 102_Wkst'!$AE$7:$AE$2010,'LAC 102_Wkst'!$E$7:$E$2010,$C24,'LAC 102_Wkst'!$G$7:$G$2010,$D24,'LAC 102_Wkst'!$L$7:$L$2010,"04",'LAC 102_Wkst'!$N$7:$N$2010,"P1")+SUMIFS('LAC 102_Wkst'!$AE$7:$AE$2010,'LAC 102_Wkst'!$E$7:$E$2010,$C24,'LAC 102_Wkst'!$G$7:$G$2010,$D24,'LAC 102_Wkst'!$L$7:$L$2010,"04",'LAC 102_Wkst'!$N$7:$N$2010,"P2")+SUMIFS('LAC 102_Wkst'!$AE$7:$AE$2010,'LAC 102_Wkst'!$E$7:$E$2010,$C24,'LAC 102_Wkst'!$G$7:$G$2010,$D24,'LAC 102_Wkst'!$L$7:$L$2010,"04",'LAC 102_Wkst'!$N$7:$N$2010,"P3")</f>
        <v>0</v>
      </c>
      <c r="N24" s="415">
        <f>SUMIFS('LAC 102_Wkst'!$Q$7:$Q$2010,'LAC 102_Wkst'!$E$7:$E$2010,$C24,'LAC 102_Wkst'!$G$7:$G$2010,$D24,'LAC 102_Wkst'!$L$7:$L$2010,"03",'LAC 102_Wkst'!$N$7:$N$2010,"P4")+SUMIFS('LAC 102_Wkst'!$Q$7:$Q$2010,'LAC 102_Wkst'!$E$7:$E$2010,$C24,'LAC 102_Wkst'!$G$7:$G$2010,$D24,'LAC 102_Wkst'!$L$7:$L$2010,"04",'LAC 102_Wkst'!$N$7:$N$2010,"P4")</f>
        <v>0</v>
      </c>
      <c r="O24" s="414">
        <f>SUMIFS('LAC 102_Wkst'!$AE$7:$AE$2010,'LAC 102_Wkst'!$E$7:$E$2010,$C24,'LAC 102_Wkst'!$G$7:$G$2010,$D24,'LAC 102_Wkst'!$L$7:$L$2010,"03",'LAC 102_Wkst'!$N$7:$N$2010,"P4")+SUMIFS('LAC 102_Wkst'!$AE$7:$AE$2010,'LAC 102_Wkst'!$E$7:$E$2010,$C24,'LAC 102_Wkst'!$G$7:$G$2010,$D24,'LAC 102_Wkst'!$L$7:$L$2010,"04",'LAC 102_Wkst'!$N$7:$N$2010,"P4")</f>
        <v>0</v>
      </c>
      <c r="P24" s="415">
        <f>SUMIFS('LAC 102_Wkst'!$Q$7:$Q$2010,'LAC 102_Wkst'!$E$7:$E$2010,$C24,'LAC 102_Wkst'!$G$7:$G$2010,$D24,'LAC 102_Wkst'!$L$7:$L$2010,"03",'LAC 102_Wkst'!$N$7:$N$2010,"P5")+SUMIFS('LAC 102_Wkst'!$Q$7:$Q$2010,'LAC 102_Wkst'!$E$7:$E$2010,$C24,'LAC 102_Wkst'!$G$7:$G$2010,$D24,'LAC 102_Wkst'!$L$7:$L$2010,"04",'LAC 102_Wkst'!$N$7:$N$2010,"P5")</f>
        <v>0</v>
      </c>
      <c r="Q24" s="414">
        <f>SUMIFS('LAC 102_Wkst'!$AE$7:$AE$2010,'LAC 102_Wkst'!$E$7:$E$2010,$C24,'LAC 102_Wkst'!$G$7:$G$2010,$D24,'LAC 102_Wkst'!$L$7:$L$2010,"03",'LAC 102_Wkst'!$N$7:$N$2010,"P5")+SUMIFS('LAC 102_Wkst'!$AE$7:$AE$2010,'LAC 102_Wkst'!$E$7:$E$2010,$C24,'LAC 102_Wkst'!$G$7:$G$2010,$D24,'LAC 102_Wkst'!$L$7:$L$2010,"04",'LAC 102_Wkst'!$N$7:$N$2010,"P5")</f>
        <v>0</v>
      </c>
      <c r="R24" s="415">
        <f>SUMIFS('LAC 102_Wkst'!$Q$7:$Q$2010,'LAC 102_Wkst'!$E$7:$E$2010,$C24,'LAC 102_Wkst'!$G$7:$G$2010,$D24,'LAC 102_Wkst'!$L$7:$L$2010,"05",'LAC 102_Wkst'!$N$7:$N$2010,"P1")+SUMIFS('LAC 102_Wkst'!$Q$7:$Q$2010,'LAC 102_Wkst'!$E$7:$E$2010,$C24,'LAC 102_Wkst'!$G$7:$G$2010,$D24,'LAC 102_Wkst'!$L$7:$L$2010,"06",'LAC 102_Wkst'!$N$7:$N$2010,"P1")</f>
        <v>30309</v>
      </c>
      <c r="S24" s="414">
        <f>SUMIFS('LAC 102_Wkst'!$AE$7:$AE$2010,'LAC 102_Wkst'!$E$7:$E$2010,$C24,'LAC 102_Wkst'!$G$7:$G$2010,$D24,'LAC 102_Wkst'!$L$7:$L$2010,"05",'LAC 102_Wkst'!$N$7:$N$2010,"P1")+SUMIFS('LAC 102_Wkst'!$AE$7:$AE$2010,'LAC 102_Wkst'!$E$7:$E$2010,$C24,'LAC 102_Wkst'!$G$7:$G$2010,$D24,'LAC 102_Wkst'!$L$7:$L$2010,"06",'LAC 102_Wkst'!$N$7:$N$2010,"P1")</f>
        <v>0</v>
      </c>
      <c r="T24" s="415">
        <f>SUMIFS('LAC 102_Wkst'!$Q$7:$Q$2010,'LAC 102_Wkst'!$E$7:$E$2010,$C24,'LAC 102_Wkst'!$G$7:$G$2010,$D24,'LAC 102_Wkst'!$L$7:$L$2010,"05",'LAC 102_Wkst'!$N$7:$N$2010,"P2")+SUMIFS('LAC 102_Wkst'!$Q$7:$Q$2010,'LAC 102_Wkst'!$E$7:$E$2010,$C24,'LAC 102_Wkst'!$G$7:$G$2010,$D24,'LAC 102_Wkst'!$L$7:$L$2010,"05",'LAC 102_Wkst'!$N$7:$N$2010,"P3")+SUMIFS('LAC 102_Wkst'!$Q$7:$Q$2010,'LAC 102_Wkst'!$E$7:$E$2010,$C24,'LAC 102_Wkst'!$G$7:$G$2010,$D24,'LAC 102_Wkst'!$L$7:$L$2010,"06",'LAC 102_Wkst'!$N$7:$N$2010,"P2")+SUMIFS('LAC 102_Wkst'!$Q$7:$Q$2010,'LAC 102_Wkst'!$E$7:$E$2010,$C24,'LAC 102_Wkst'!$G$7:$G$2010,$D24,'LAC 102_Wkst'!$L$7:$L$2010,"06",'LAC 102_Wkst'!$N$7:$N$2010,"P3")</f>
        <v>63188</v>
      </c>
      <c r="U24" s="414">
        <f>SUMIFS('LAC 102_Wkst'!$AE$7:$AE$2010,'LAC 102_Wkst'!$E$7:$E$2010,$C24,'LAC 102_Wkst'!$G$7:$G$2010,$D24,'LAC 102_Wkst'!$L$7:$L$2010,"05",'LAC 102_Wkst'!$N$7:$N$2010,"P2")+SUMIFS('LAC 102_Wkst'!$AE$7:$AE$2010,'LAC 102_Wkst'!$E$7:$E$2010,$C24,'LAC 102_Wkst'!$G$7:$G$2010,$D24,'LAC 102_Wkst'!$L$7:$L$2010,"06",'LAC 102_Wkst'!$N$7:$N$2010,"P3")+SUMIFS('LAC 102_Wkst'!$AE$7:$AE$2010,'LAC 102_Wkst'!$E$7:$E$2010,$C24,'LAC 102_Wkst'!$G$7:$G$2010,$D24,'LAC 102_Wkst'!$L$7:$L$2010,"05",'LAC 102_Wkst'!$N$7:$N$2010,"P2")+SUMIFS('LAC 102_Wkst'!$AE$7:$AE$2010,'LAC 102_Wkst'!$E$7:$E$2010,$C24,'LAC 102_Wkst'!$G$7:$G$2010,$D24,'LAC 102_Wkst'!$L$7:$L$2010,"06",'LAC 102_Wkst'!$N$7:$N$2010,"P3")</f>
        <v>0</v>
      </c>
      <c r="V24" s="415">
        <f>SUMIFS('LAC 102_Wkst'!$Q$7:$Q$2010,'LAC 102_Wkst'!$E$7:$E$2010,$C24,'LAC 102_Wkst'!$G$7:$G$2010,$D24,'LAC 102_Wkst'!$L$7:$L$2010,"05",'LAC 102_Wkst'!$N$7:$N$2010,"P4")+SUMIFS('LAC 102_Wkst'!$Q$7:$Q$2010,'LAC 102_Wkst'!$E$7:$E$2010,$C24,'LAC 102_Wkst'!$G$7:$G$2010,$D24,'LAC 102_Wkst'!$L$7:$L$2010,"06",'LAC 102_Wkst'!$N$7:$N$2010,"P4")</f>
        <v>14606</v>
      </c>
      <c r="W24" s="414">
        <f>SUMIFS('LAC 102_Wkst'!$AE$7:$AE$2010,'LAC 102_Wkst'!$E$7:$E$2010,$C24,'LAC 102_Wkst'!$G$7:$G$2010,$D24,'LAC 102_Wkst'!$L$7:$L$2010,"05",'LAC 102_Wkst'!$N$7:$N$2010,"P4")+SUMIFS('LAC 102_Wkst'!$AE$7:$AE$2010,'LAC 102_Wkst'!$E$7:$E$2010,$C24,'LAC 102_Wkst'!$G$7:$G$2010,$D24,'LAC 102_Wkst'!$L$7:$L$2010,"06",'LAC 102_Wkst'!$N$7:$N$2010,"P4")</f>
        <v>0</v>
      </c>
      <c r="X24" s="415">
        <f>SUMIFS('LAC 102_Wkst'!$Q$7:$Q$2010,'LAC 102_Wkst'!$E$7:$E$2010,$C24,'LAC 102_Wkst'!$G$7:$G$2010,$D24,'LAC 102_Wkst'!$L$7:$L$2010,"05",'LAC 102_Wkst'!$N$7:$N$2010,"P5")+SUMIFS('LAC 102_Wkst'!$Q$7:$Q$2010,'LAC 102_Wkst'!$E$7:$E$2010,$C24,'LAC 102_Wkst'!$G$7:$G$2010,$D24,'LAC 102_Wkst'!$L$7:$L$2010,"06",'LAC 102_Wkst'!$N$7:$N$2010,"P5")</f>
        <v>16017</v>
      </c>
      <c r="Y24" s="414">
        <f>SUMIFS('LAC 102_Wkst'!$AE$7:$AE$2010,'LAC 102_Wkst'!$E$7:$E$2010,$C24,'LAC 102_Wkst'!$G$7:$G$2010,$D24,'LAC 102_Wkst'!$L$7:$L$2010,"05",'LAC 102_Wkst'!$N$7:$N$2010,"P5")+SUMIFS('LAC 102_Wkst'!$AE$7:$AE$2010,'LAC 102_Wkst'!$E$7:$E$2010,$C24,'LAC 102_Wkst'!$G$7:$G$2010,$D24,'LAC 102_Wkst'!$L$7:$L$2010,"06",'LAC 102_Wkst'!$N$7:$N$2010,"P5")</f>
        <v>0</v>
      </c>
      <c r="Z24" s="415">
        <f>SUMIFS('LAC 102_Wkst'!$Q$7:$Q$2010,'LAC 102_Wkst'!$E$7:$E$2010,$C24,'LAC 102_Wkst'!$G$7:$G$2010,$D24,'LAC 102_Wkst'!$L$7:$L$2010,"07",'LAC 102_Wkst'!$N$7:$N$2010,"P1")+SUMIFS('LAC 102_Wkst'!$Q$7:$Q$2010,'LAC 102_Wkst'!$E$7:$E$2010,$C24,'LAC 102_Wkst'!$G$7:$G$2010,$D24,'LAC 102_Wkst'!$L$7:$L$2010,"07",'LAC 102_Wkst'!$N$7:$N$2010,"P2")+SUMIFS('LAC 102_Wkst'!$Q$7:$Q$2010,'LAC 102_Wkst'!$E$7:$E$2010,$C24,'LAC 102_Wkst'!$G$7:$G$2010,$D24,'LAC 102_Wkst'!$L$7:$L$2010,"07",'LAC 102_Wkst'!$N$7:$N$2010,"P3")</f>
        <v>0</v>
      </c>
      <c r="AA24" s="414">
        <f>SUMIFS('LAC 102_Wkst'!$AE$7:$AE$2010,'LAC 102_Wkst'!$E$7:$E$2010,$C24,'LAC 102_Wkst'!$G$7:$G$2010,$D24,'LAC 102_Wkst'!$L$7:$L$2010,"07",'LAC 102_Wkst'!$N$7:$N$2010,"P1")+SUMIFS('LAC 102_Wkst'!$AE$7:$AE$2010,'LAC 102_Wkst'!$E$7:$E$2010,$C24,'LAC 102_Wkst'!$G$7:$G$2010,$D24,'LAC 102_Wkst'!$L$7:$L$2010,"07",'LAC 102_Wkst'!$N$7:$N$2010,"P2")+SUMIFS('LAC 102_Wkst'!$AE$7:$AE$2010,'LAC 102_Wkst'!$E$7:$E$2010,$C24,'LAC 102_Wkst'!$G$7:$G$2010,$D24,'LAC 102_Wkst'!$L$7:$L$2010,"07",'LAC 102_Wkst'!$N$7:$N$2010,"P3")</f>
        <v>0</v>
      </c>
      <c r="AB24" s="415">
        <f>SUMIFS('LAC 102_Wkst'!$Q$7:$Q$2010,'LAC 102_Wkst'!$E$7:$E$2010,$C24,'LAC 102_Wkst'!$G$7:$G$2010,$D24,'LAC 102_Wkst'!$L$7:$L$2010,"07",'LAC 102_Wkst'!$N$7:$N$2010,"P4")</f>
        <v>0</v>
      </c>
      <c r="AC24" s="414">
        <f>SUMIFS('LAC 102_Wkst'!$AE$7:$AE$2010,'LAC 102_Wkst'!$E$7:$E$2010,$C24,'LAC 102_Wkst'!$G$7:$G$2010,$D24,'LAC 102_Wkst'!$L$7:$L$2010,"07",'LAC 102_Wkst'!$N$7:$N$2010,"P4")</f>
        <v>0</v>
      </c>
      <c r="AD24" s="415">
        <f>SUMIFS('LAC 102_Wkst'!$Q$7:$Q$2010,'LAC 102_Wkst'!$E$7:$E$2010,$C24,'LAC 102_Wkst'!$G$7:$G$2010,$D24,'LAC 102_Wkst'!$L$7:$L$2010,"07",'LAC 102_Wkst'!$N$7:$N$2010,"P5")</f>
        <v>0</v>
      </c>
      <c r="AE24" s="414">
        <f>SUMIFS('LAC 102_Wkst'!$AE$7:$AE$2010,'LAC 102_Wkst'!$E$7:$E$2010,$C24,'LAC 102_Wkst'!$G$7:$G$2010,$D24,'LAC 102_Wkst'!$L$7:$L$2010,"07",'LAC 102_Wkst'!$N$7:$N$2010,"P5")</f>
        <v>0</v>
      </c>
      <c r="AF24" s="415">
        <f>SUMIFS('LAC 102_Wkst'!$Q$7:$Q$2010,'LAC 102_Wkst'!$E$7:$E$2010,$C24,'LAC 102_Wkst'!$G$7:$G$2010,$D24,'LAC 102_Wkst'!$L$7:$L$2010,"08",'LAC 102_Wkst'!$N$7:$N$2010,"P1")+SUMIFS('LAC 102_Wkst'!$Q$7:$Q$2010,'LAC 102_Wkst'!$E$7:$E$2010,$C24,'LAC 102_Wkst'!$G$7:$G$2010,$D24,'LAC 102_Wkst'!$L$7:$L$2010,"08",'LAC 102_Wkst'!$N$7:$N$2010,"P2")+SUMIFS('LAC 102_Wkst'!$Q$7:$Q$2010,'LAC 102_Wkst'!$E$7:$E$2010,$C24,'LAC 102_Wkst'!$G$7:$G$2010,$D24,'LAC 102_Wkst'!$L$7:$L$2010,"08",'LAC 102_Wkst'!$N$7:$N$2010,"P3")</f>
        <v>0</v>
      </c>
      <c r="AG24" s="414">
        <f>SUMIFS('LAC 102_Wkst'!$AE$7:$AE$2010,'LAC 102_Wkst'!$E$7:$E$2010,$C24,'LAC 102_Wkst'!$G$7:$G$2010,$D24,'LAC 102_Wkst'!$L$7:$L$2010,"08",'LAC 102_Wkst'!$N$7:$N$2010,"P1")+SUMIFS('LAC 102_Wkst'!$AE$7:$AE$2010,'LAC 102_Wkst'!$E$7:$E$2010,$C24,'LAC 102_Wkst'!$G$7:$G$2010,$D24,'LAC 102_Wkst'!$L$7:$L$2010,"08",'LAC 102_Wkst'!$N$7:$N$2010,"P2")+SUMIFS('LAC 102_Wkst'!$AE$7:$AE$2010,'LAC 102_Wkst'!$E$7:$E$2010,$C24,'LAC 102_Wkst'!$G$7:$G$2010,$D24,'LAC 102_Wkst'!$L$7:$L$2010,"08",'LAC 102_Wkst'!$N$7:$N$2010,"P3")</f>
        <v>0</v>
      </c>
      <c r="AH24" s="415">
        <f>SUMIFS('LAC 102_Wkst'!$Q$7:$Q$2010,'LAC 102_Wkst'!$E$7:$E$2010,$C24,'LAC 102_Wkst'!$G$7:$G$2010,$D24,'LAC 102_Wkst'!$L$7:$L$2010,"08",'LAC 102_Wkst'!$N$7:$N$2010,"P4")</f>
        <v>0</v>
      </c>
      <c r="AI24" s="414">
        <f>SUMIFS('LAC 102_Wkst'!$AE$7:$AE$2010,'LAC 102_Wkst'!$E$7:$E$2010,$C24,'LAC 102_Wkst'!$G$7:$G$2010,$D24,'LAC 102_Wkst'!$L$7:$L$2010,"08",'LAC 102_Wkst'!$N$7:$N$2010,"P4")</f>
        <v>0</v>
      </c>
      <c r="AJ24" s="415">
        <f>SUMIFS('LAC 102_Wkst'!$Q$7:$Q$2010,'LAC 102_Wkst'!$E$7:$E$2010,$C24,'LAC 102_Wkst'!$G$7:$G$2010,$D24,'LAC 102_Wkst'!$L$7:$L$2010,"08",'LAC 102_Wkst'!$N$7:$N$2010,"P5")</f>
        <v>0</v>
      </c>
      <c r="AK24" s="414">
        <f>SUMIFS('LAC 102_Wkst'!$AE$7:$AE$2010,'LAC 102_Wkst'!$E$7:$E$2010,$C24,'LAC 102_Wkst'!$G$7:$G$2010,$D24,'LAC 102_Wkst'!$L$7:$L$2010,"08",'LAC 102_Wkst'!$N$7:$N$2010,"P5")</f>
        <v>0</v>
      </c>
      <c r="AL24" s="415">
        <f>SUMIFS('LAC 102_Wkst'!$Q$7:$Q$2010,'LAC 102_Wkst'!$E$7:$E$2010,$C24,'LAC 102_Wkst'!$G$7:$G$2010,$D24,'LAC 102_Wkst'!$L$7:$L$2010,"09",'LAC 102_Wkst'!$N$7:$N$2010,"P1")+SUMIFS('LAC 102_Wkst'!$Q$7:$Q$2010,'LAC 102_Wkst'!$E$7:$E$2010,$C24,'LAC 102_Wkst'!$G$7:$G$2010,$D24,'LAC 102_Wkst'!$L$7:$L$2010,"09",'LAC 102_Wkst'!$N$7:$N$2010,"P2")+SUMIFS('LAC 102_Wkst'!$Q$7:$Q$2010,'LAC 102_Wkst'!$E$7:$E$2010,$C24,'LAC 102_Wkst'!$G$7:$G$2010,$D24,'LAC 102_Wkst'!$L$7:$L$2010,"09",'LAC 102_Wkst'!$N$7:$N$2010,"P3")+SUMIFS('LAC 102_Wkst'!$Q$7:$Q$2010,'LAC 102_Wkst'!$E$7:$E$2010,$C24,'LAC 102_Wkst'!$G$7:$G$2010,$D24,'LAC 102_Wkst'!$L$7:$L$2010,"09",'LAC 102_Wkst'!$N$7:$N$2010,"P4")</f>
        <v>0</v>
      </c>
      <c r="AM24" s="414">
        <f>SUMIFS('LAC 102_Wkst'!$AE$7:$AE$2010,'LAC 102_Wkst'!$E$7:$E$2010,$C24,'LAC 102_Wkst'!$G$7:$G$2010,$D24,'LAC 102_Wkst'!$L$7:$L$2010,"09",'LAC 102_Wkst'!$N$7:$N$2010,"P1")+SUMIFS('LAC 102_Wkst'!$AE$7:$AE$2010,'LAC 102_Wkst'!$E$7:$E$2010,$C24,'LAC 102_Wkst'!$G$7:$G$2010,$D24,'LAC 102_Wkst'!$L$7:$L$2010,"09",'LAC 102_Wkst'!$N$7:$N$2010,"P2")+SUMIFS('LAC 102_Wkst'!$AE$7:$AE$2010,'LAC 102_Wkst'!$E$7:$E$2010,$C24,'LAC 102_Wkst'!$G$7:$G$2010,$D24,'LAC 102_Wkst'!$L$7:$L$2010,"09",'LAC 102_Wkst'!$N$7:$N$2010,"P3")+SUMIFS('LAC 102_Wkst'!$AE$7:$AE$2010,'LAC 102_Wkst'!$E$7:$E$2010,$C24,'LAC 102_Wkst'!$G$7:$G$2010,$D24,'LAC 102_Wkst'!$L$7:$L$2010,"09",'LAC 102_Wkst'!$N$7:$N$2010,"P4")</f>
        <v>0</v>
      </c>
      <c r="AN24" s="415">
        <f>SUMIFS('LAC 102_Wkst'!$Q$7:$Q$2010,'LAC 102_Wkst'!$E$7:$E$2010,$C24,'LAC 102_Wkst'!$G$7:$G$2010,$D24,'LAC 102_Wkst'!$L$7:$L$2010,"09",'LAC 102_Wkst'!$N$7:$N$2010,"P5")</f>
        <v>0</v>
      </c>
      <c r="AO24" s="414">
        <f>SUMIFS('LAC 102_Wkst'!$AE$7:$AE$2010,'LAC 102_Wkst'!$E$7:$E$2010,$C24,'LAC 102_Wkst'!$G$7:$G$2010,$D24,'LAC 102_Wkst'!$L$7:$L$2010,"09",'LAC 102_Wkst'!$N$7:$N$2010,"P5")</f>
        <v>0</v>
      </c>
      <c r="AP24" s="415">
        <f>SUMIFS('LAC 102_Wkst'!$Q$7:$Q$2010,'LAC 102_Wkst'!$E$7:$E$2010,$C24,'LAC 102_Wkst'!$G$7:$G$2010,$D24,'LAC 102_Wkst'!$L$7:$L$2010,"10",'LAC 102_Wkst'!$N$7:$N$2010,"P1")+SUMIFS('LAC 102_Wkst'!$Q$7:$Q$2010,'LAC 102_Wkst'!$E$7:$E$2010,$C24,'LAC 102_Wkst'!$G$7:$G$2010,$D24,'LAC 102_Wkst'!$L$7:$L$2010,"10",'LAC 102_Wkst'!$N$7:$N$2010,"P2")+SUMIFS('LAC 102_Wkst'!$Q$7:$Q$2010,'LAC 102_Wkst'!$E$7:$E$2010,$C24,'LAC 102_Wkst'!$G$7:$G$2010,$D24,'LAC 102_Wkst'!$L$7:$L$2010,"10",'LAC 102_Wkst'!$N$7:$N$2010,"P3")+SUMIFS('LAC 102_Wkst'!$Q$7:$Q$2010,'LAC 102_Wkst'!$E$7:$E$2010,$C24,'LAC 102_Wkst'!$G$7:$G$2010,$D24,'LAC 102_Wkst'!$L$7:$L$2010,"10",'LAC 102_Wkst'!$N$7:$N$2010,"P4")</f>
        <v>82465</v>
      </c>
      <c r="AQ24" s="414">
        <f>SUMIFS('LAC 102_Wkst'!$AE$7:$AE$2010,'LAC 102_Wkst'!$E$7:$E$2010,$C24,'LAC 102_Wkst'!$G$7:$G$2010,$D24,'LAC 102_Wkst'!$L$7:$L$2010,"10",'LAC 102_Wkst'!$N$7:$N$2010,"P1")+SUMIFS('LAC 102_Wkst'!$AE$7:$AE$2010,'LAC 102_Wkst'!$E$7:$E$2010,$C24,'LAC 102_Wkst'!$G$7:$G$2010,$D24,'LAC 102_Wkst'!$L$7:$L$2010,"10",'LAC 102_Wkst'!$N$7:$N$2010,"P2")+SUMIFS('LAC 102_Wkst'!$AE$7:$AE$2010,'LAC 102_Wkst'!$E$7:$E$2010,$C24,'LAC 102_Wkst'!$G$7:$G$2010,$D24,'LAC 102_Wkst'!$L$7:$L$2010,"10",'LAC 102_Wkst'!$N$7:$N$2010,"P3")+SUMIFS('LAC 102_Wkst'!$AE$7:$AE$2010,'LAC 102_Wkst'!$E$7:$E$2010,$C24,'LAC 102_Wkst'!$G$7:$G$2010,$D24,'LAC 102_Wkst'!$L$7:$L$2010,"10",'LAC 102_Wkst'!$N$7:$N$2010,"P4")</f>
        <v>0</v>
      </c>
      <c r="AR24" s="415">
        <f>SUMIFS('LAC 102_Wkst'!$Q$7:$Q$2010,'LAC 102_Wkst'!$E$7:$E$2010,$C24,'LAC 102_Wkst'!$G$7:$G$2010,$D24,'LAC 102_Wkst'!$L$7:$L$2010,"10",'LAC 102_Wkst'!$N$7:$N$2010,"P5")</f>
        <v>13539</v>
      </c>
      <c r="AS24" s="414">
        <f>SUMIFS('LAC 102_Wkst'!$AE$7:$AE$2010,'LAC 102_Wkst'!$E$7:$E$2010,$C24,'LAC 102_Wkst'!$G$7:$G$2010,$D24,'LAC 102_Wkst'!$L$7:$L$2010,"10",'LAC 102_Wkst'!$N$7:$N$2010,"P5")</f>
        <v>0</v>
      </c>
      <c r="AT24" s="415">
        <f>SUMIFS('LAC 102_Wkst'!$Q$7:$Q$2010,'LAC 102_Wkst'!$E$7:$E$2010,$C24,'LAC 102_Wkst'!$G$7:$G$2010,$D24,'LAC 102_Wkst'!$L$7:$L$2010,"11",'LAC 102_Wkst'!$N$7:$N$2010,"P1")+SUMIFS('LAC 102_Wkst'!$Q$7:$Q$2010,'LAC 102_Wkst'!$E$7:$E$2010,$C24,'LAC 102_Wkst'!$G$7:$G$2010,$D24,'LAC 102_Wkst'!$L$7:$L$2010,"12",'LAC 102_Wkst'!$N$7:$N$2010,"P1")</f>
        <v>0</v>
      </c>
      <c r="AU24" s="414">
        <f>SUMIFS('LAC 102_Wkst'!$AE$7:$AE$2010,'LAC 102_Wkst'!$E$7:$E$2010,$C24,'LAC 102_Wkst'!$G$7:$G$2010,$D24,'LAC 102_Wkst'!$L$7:$L$2010,"11",'LAC 102_Wkst'!$N$7:$N$2010,"P1")+SUMIFS('LAC 102_Wkst'!$AE$7:$AE$2010,'LAC 102_Wkst'!$E$7:$E$2010,$C24,'LAC 102_Wkst'!$G$7:$G$2010,$D24,'LAC 102_Wkst'!$L$7:$L$2010,"12",'LAC 102_Wkst'!$N$7:$N$2010,"P1")</f>
        <v>0</v>
      </c>
      <c r="AV24" s="415">
        <f>SUMIFS('LAC 102_Wkst'!$Q$7:$Q$2010,'LAC 102_Wkst'!$E$7:$E$2010,$C24,'LAC 102_Wkst'!$G$7:$G$2010,$D24,'LAC 102_Wkst'!$L$7:$L$2010,"11",'LAC 102_Wkst'!$N$7:$N$2010,"P2")+SUMIFS('LAC 102_Wkst'!$Q$7:$Q$2010,'LAC 102_Wkst'!$E$7:$E$2010,$C24,'LAC 102_Wkst'!$G$7:$G$2010,$D24,'LAC 102_Wkst'!$L$7:$L$2010,"12",'LAC 102_Wkst'!$N$7:$N$2010,"P3")+SUMIFS('LAC 102_Wkst'!$Q$7:$Q$2010,'LAC 102_Wkst'!$E$7:$E$2010,$C24,'LAC 102_Wkst'!$G$7:$G$2010,$D24,'LAC 102_Wkst'!$L$7:$L$2010,"11",'LAC 102_Wkst'!$N$7:$N$2010,"P2")+SUMIFS('LAC 102_Wkst'!$Q$7:$Q$2010,'LAC 102_Wkst'!$E$7:$E$2010,$C24,'LAC 102_Wkst'!$G$7:$G$2010,$D24,'LAC 102_Wkst'!$L$7:$L$2010,"12",'LAC 102_Wkst'!$N$7:$N$2010,"P3")</f>
        <v>0</v>
      </c>
      <c r="AW24" s="414">
        <f>SUMIFS('LAC 102_Wkst'!$AE$7:$AE$2010,'LAC 102_Wkst'!$E$7:$E$2010,$C24,'LAC 102_Wkst'!$G$7:$G$2010,$D24,'LAC 102_Wkst'!$L$7:$L$2010,"11",'LAC 102_Wkst'!$N$7:$N$2010,"P2")+SUMIFS('LAC 102_Wkst'!$AE$7:$AE$2010,'LAC 102_Wkst'!$E$7:$E$2010,$C24,'LAC 102_Wkst'!$G$7:$G$2010,$D24,'LAC 102_Wkst'!$L$7:$L$2010,"12",'LAC 102_Wkst'!$N$7:$N$2010,"P3")+SUMIFS('LAC 102_Wkst'!$AE$7:$AE$2010,'LAC 102_Wkst'!$E$7:$E$2010,$C24,'LAC 102_Wkst'!$G$7:$G$2010,$D24,'LAC 102_Wkst'!$L$7:$L$2010,"11",'LAC 102_Wkst'!$N$7:$N$2010,"P2")+SUMIFS('LAC 102_Wkst'!$AE$7:$AE$2010,'LAC 102_Wkst'!$E$7:$E$2010,$C24,'LAC 102_Wkst'!$G$7:$G$2010,$D24,'LAC 102_Wkst'!$L$7:$L$2010,"12",'LAC 102_Wkst'!$N$7:$N$2010,"P3")</f>
        <v>0</v>
      </c>
      <c r="AX24" s="415">
        <f>SUMIFS('LAC 102_Wkst'!$Q$7:$Q$2010,'LAC 102_Wkst'!$E$7:$E$2010,$C24,'LAC 102_Wkst'!$G$7:$G$2010,$D24,'LAC 102_Wkst'!$L$7:$L$2010,"11",'LAC 102_Wkst'!$N$7:$N$2010,"P4")+SUMIFS('LAC 102_Wkst'!$Q$7:$Q$2010,'LAC 102_Wkst'!$E$7:$E$2010,$C24,'LAC 102_Wkst'!$G$7:$G$2010,$D24,'LAC 102_Wkst'!$L$7:$L$2010,"12",'LAC 102_Wkst'!$N$7:$N$2010,"P4")</f>
        <v>0</v>
      </c>
      <c r="AY24" s="414">
        <f>SUMIFS('LAC 102_Wkst'!$AE$7:$AE$2010,'LAC 102_Wkst'!$E$7:$E$2010,$C24,'LAC 102_Wkst'!$G$7:$G$2010,$D24,'LAC 102_Wkst'!$L$7:$L$2010,"11",'LAC 102_Wkst'!$N$7:$N$2010,"P4")+SUMIFS('LAC 102_Wkst'!$AE$7:$AE$2010,'LAC 102_Wkst'!$E$7:$E$2010,$C24,'LAC 102_Wkst'!$G$7:$G$2010,$D24,'LAC 102_Wkst'!$L$7:$L$2010,"12",'LAC 102_Wkst'!$N$7:$N$2010,"P4")</f>
        <v>0</v>
      </c>
      <c r="AZ24" s="415">
        <f>SUMIFS('LAC 102_Wkst'!$Q$7:$Q$2010,'LAC 102_Wkst'!$E$7:$E$2010,$C24,'LAC 102_Wkst'!$G$7:$G$2010,$D24,'LAC 102_Wkst'!$L$7:$L$2010,"11",'LAC 102_Wkst'!$N$7:$N$2010,"P5")+SUMIFS('LAC 102_Wkst'!$Q$7:$Q$2010,'LAC 102_Wkst'!$E$7:$E$2010,$C24,'LAC 102_Wkst'!$G$7:$G$2010,$D24,'LAC 102_Wkst'!$L$7:$L$2010,"12",'LAC 102_Wkst'!$N$7:$N$2010,"P5")</f>
        <v>0</v>
      </c>
      <c r="BA24" s="414">
        <f>SUMIFS('LAC 102_Wkst'!$AE$7:$AE$2010,'LAC 102_Wkst'!$E$7:$E$2010,$C24,'LAC 102_Wkst'!$G$7:$G$2010,$D24,'LAC 102_Wkst'!$L$7:$L$2010,"11",'LAC 102_Wkst'!$N$7:$N$2010,"P5")+SUMIFS('LAC 102_Wkst'!$AE$7:$AE$2010,'LAC 102_Wkst'!$E$7:$E$2010,$C24,'LAC 102_Wkst'!$G$7:$G$2010,$D24,'LAC 102_Wkst'!$L$7:$L$2010,"12",'LAC 102_Wkst'!$N$7:$N$2010,"P5")</f>
        <v>0</v>
      </c>
      <c r="BB24" s="415">
        <f>SUMIFS('LAC 102_Wkst'!$Q$7:$Q$2010,'LAC 102_Wkst'!$E$7:$E$2010,$C24,'LAC 102_Wkst'!$G$7:$G$2010,$D24,'LAC 102_Wkst'!$L$7:$L$2010,"13",'LAC 102_Wkst'!$N$7:$N$2010,"P1")+SUMIFS('LAC 102_Wkst'!$Q$7:$Q$2010,'LAC 102_Wkst'!$E$7:$E$2010,$C24,'LAC 102_Wkst'!$G$7:$G$2010,$D24,'LAC 102_Wkst'!$L$7:$L$2010,"13",'LAC 102_Wkst'!$N$7:$N$2010,"P2")+SUMIFS('LAC 102_Wkst'!$Q$7:$Q$2010,'LAC 102_Wkst'!$E$7:$E$2010,$C24,'LAC 102_Wkst'!$G$7:$G$2010,$D24,'LAC 102_Wkst'!$L$7:$L$2010,"13",'LAC 102_Wkst'!$N$7:$N$2010,"P3")+SUMIFS('LAC 102_Wkst'!$Q$7:$Q$2010,'LAC 102_Wkst'!$E$7:$E$2010,$C24,'LAC 102_Wkst'!$G$7:$G$2010,$D24,'LAC 102_Wkst'!$L$7:$L$2010,"13",'LAC 102_Wkst'!$N$7:$N$2010,"P4")</f>
        <v>5152</v>
      </c>
      <c r="BC24" s="414">
        <f>SUMIFS('LAC 102_Wkst'!$AE$7:$AE$2010,'LAC 102_Wkst'!$E$7:$E$2010,$C24,'LAC 102_Wkst'!$G$7:$G$2010,$D24,'LAC 102_Wkst'!$L$7:$L$2010,"13",'LAC 102_Wkst'!$N$7:$N$2010,"P1")+SUMIFS('LAC 102_Wkst'!$AE$7:$AE$2010,'LAC 102_Wkst'!$E$7:$E$2010,$C24,'LAC 102_Wkst'!$G$7:$G$2010,$D24,'LAC 102_Wkst'!$L$7:$L$2010,"13",'LAC 102_Wkst'!$N$7:$N$2010,"P2")+SUMIFS('LAC 102_Wkst'!$AE$7:$AE$2010,'LAC 102_Wkst'!$E$7:$E$2010,$C24,'LAC 102_Wkst'!$G$7:$G$2010,$D24,'LAC 102_Wkst'!$L$7:$L$2010,"13",'LAC 102_Wkst'!$N$7:$N$2010,"P3")+SUMIFS('LAC 102_Wkst'!$AE$7:$AE$2010,'LAC 102_Wkst'!$E$7:$E$2010,$C24,'LAC 102_Wkst'!$G$7:$G$2010,$D24,'LAC 102_Wkst'!$L$7:$L$2010,"13",'LAC 102_Wkst'!$N$7:$N$2010,"P4")</f>
        <v>0</v>
      </c>
      <c r="BD24" s="415">
        <f>SUMIFS('LAC 102_Wkst'!$Q$7:$Q$2010,'LAC 102_Wkst'!$E$7:$E$2010,$C24,'LAC 102_Wkst'!$G$7:$G$2010,$D24,'LAC 102_Wkst'!$L$7:$L$2010,"13",'LAC 102_Wkst'!$N$7:$N$2010,"P5")</f>
        <v>0</v>
      </c>
      <c r="BE24" s="416">
        <f>SUMIFS('LAC 102_Wkst'!$AE$7:$AE$2010,'LAC 102_Wkst'!$E$7:$E$2010,$C24,'LAC 102_Wkst'!$G$7:$G$2010,$D24,'LAC 102_Wkst'!$L$7:$L$2010,"13",'LAC 102_Wkst'!$N$7:$N$2010,"P5")</f>
        <v>0</v>
      </c>
      <c r="BF24" s="407">
        <f t="shared" si="0"/>
        <v>8166</v>
      </c>
    </row>
    <row r="25" spans="1:58" x14ac:dyDescent="0.2">
      <c r="A25" s="401">
        <v>6</v>
      </c>
      <c r="B25" s="1236" t="s">
        <v>738</v>
      </c>
      <c r="C25" s="1235" t="s">
        <v>95</v>
      </c>
      <c r="D25" s="1237" t="s">
        <v>392</v>
      </c>
      <c r="E25" s="1222">
        <f>IF(CONCATENATE(C25,D25)&gt;"6069",1,SUMIFS('LAC 102_Wkst'!$Q$7:$Q$2010,'LAC 102_Wkst'!$E$7:$E$2010,Schedule_B!$C25,'LAC 102_Wkst'!$G$7:$G$2010,Schedule_B!$D25))</f>
        <v>9066720</v>
      </c>
      <c r="F25" s="408">
        <f>SUMIFS('LAC 102_Wkst'!$Q$7:$Q$2010,'LAC 102_Wkst'!$E$7:$E$2010,$C25,'LAC 102_Wkst'!$G$7:$G$2010,$D25,'LAC 102_Wkst'!$L$7:$L$2010,"01",'LAC 102_Wkst'!$N$7:$N$2010,"P1")+SUMIFS('LAC 102_Wkst'!$Q$7:$Q$2010,'LAC 102_Wkst'!$E$7:$E$2010,$C25,'LAC 102_Wkst'!$G$7:$G$2010,$D25,'LAC 102_Wkst'!$L$7:$L$2010,"01",'LAC 102_Wkst'!$N$7:$N$2010,"P2")+SUMIFS('LAC 102_Wkst'!$Q$7:$Q$2010,'LAC 102_Wkst'!$E$7:$E$2010,$C25,'LAC 102_Wkst'!$G$7:$G$2010,$D25,'LAC 102_Wkst'!$L$7:$L$2010,"01",'LAC 102_Wkst'!$N$7:$N$2010,"P3")+SUMIFS('LAC 102_Wkst'!$Q$7:$Q$2010,'LAC 102_Wkst'!$E$7:$E$2010,$C25,'LAC 102_Wkst'!$G$7:$G$2010,$D25,'LAC 102_Wkst'!$L$7:$L$2010,"02",'LAC 102_Wkst'!$N$7:$N$2010,"P1")+SUMIFS('LAC 102_Wkst'!$Q$7:$Q$2010,'LAC 102_Wkst'!$E$7:$E$2010,$C25,'LAC 102_Wkst'!$G$7:$G$2010,$D25,'LAC 102_Wkst'!$L$7:$L$2010,"02",'LAC 102_Wkst'!$N$7:$N$2010,"P2")+SUMIFS('LAC 102_Wkst'!$Q$7:$Q$2010,'LAC 102_Wkst'!$E$7:$E$2010,$C25,'LAC 102_Wkst'!$G$7:$G$2010,$D25,'LAC 102_Wkst'!$L$7:$L$2010,"02",'LAC 102_Wkst'!$N$7:$N$2010,"P3")</f>
        <v>4106718</v>
      </c>
      <c r="G25" s="409">
        <f>SUMIFS('LAC 102_Wkst'!$AE$7:$AE$2010,'LAC 102_Wkst'!$E$7:$E$2010,$C25,'LAC 102_Wkst'!$G$7:$G$2010,$D25,'LAC 102_Wkst'!$L$7:$L$2010,"01",'LAC 102_Wkst'!$N$7:$N$2010,"P1")+SUMIFS('LAC 102_Wkst'!$AE$7:$AE$2010,'LAC 102_Wkst'!$E$7:$E$2010,$C25,'LAC 102_Wkst'!$G$7:$G$2010,$D25,'LAC 102_Wkst'!$L$7:$L$2010,"01",'LAC 102_Wkst'!$N$7:$N$2010,"P2")+SUMIFS('LAC 102_Wkst'!$AE$7:$AE$2010,'LAC 102_Wkst'!$E$7:$E$2010,$C25,'LAC 102_Wkst'!$G$7:$G$2010,$D25,'LAC 102_Wkst'!$L$7:$L$2010,"01",'LAC 102_Wkst'!$N$7:$N$2010,"P3")+SUMIFS('LAC 102_Wkst'!$AE$7:$AE$2010,'LAC 102_Wkst'!$E$7:$E$2010,$C25,'LAC 102_Wkst'!$G$7:$G$2010,$D25,'LAC 102_Wkst'!$L$7:$L$2010,"02",'LAC 102_Wkst'!$N$7:$N$2010,"P1")+SUMIFS('LAC 102_Wkst'!$AE$7:$AE$2010,'LAC 102_Wkst'!$E$7:$E$2010,$C25,'LAC 102_Wkst'!$G$7:$G$2010,$D25,'LAC 102_Wkst'!$L$7:$L$2010,"02",'LAC 102_Wkst'!$N$7:$N$2010,"P2")+SUMIFS('LAC 102_Wkst'!$AE$7:$AE$2010,'LAC 102_Wkst'!$E$7:$E$2010,$C25,'LAC 102_Wkst'!$G$7:$G$2010,$D25,'LAC 102_Wkst'!$L$7:$L$2010,"02",'LAC 102_Wkst'!$N$7:$N$2010,"P3")</f>
        <v>0</v>
      </c>
      <c r="H25" s="410">
        <f>SUMIFS('LAC 102_Wkst'!$Q$7:$Q$2010,'LAC 102_Wkst'!$E$7:$E$2010,$C25,'LAC 102_Wkst'!$G$7:$G$2010,$D25,'LAC 102_Wkst'!$L$7:$L$2010,"01",'LAC 102_Wkst'!$N$7:$N$2010,"P4")+SUMIFS('LAC 102_Wkst'!$Q$7:$Q$2010,'LAC 102_Wkst'!$E$7:$E$2010,$C25,'LAC 102_Wkst'!$G$7:$G$2010,$D25,'LAC 102_Wkst'!$L$7:$L$2010,"02",'LAC 102_Wkst'!$N$7:$N$2010,"P4")</f>
        <v>624070</v>
      </c>
      <c r="I25" s="411">
        <f>SUMIFS('LAC 102_Wkst'!$AE$7:$AE$2010,'LAC 102_Wkst'!$E$7:$E$2010,$C25,'LAC 102_Wkst'!$G$7:$G$2010,$D25,'LAC 102_Wkst'!$L$7:$L$2010,"01",'LAC 102_Wkst'!$N$7:$N$2010,"P4")+SUMIFS('LAC 102_Wkst'!$AE$7:$AE$2010,'LAC 102_Wkst'!$E$7:$E$2010,$C25,'LAC 102_Wkst'!$G$7:$G$2010,$D25,'LAC 102_Wkst'!$L$7:$L$2010,"02",'LAC 102_Wkst'!$N$7:$N$2010,"P4")</f>
        <v>0</v>
      </c>
      <c r="J25" s="410">
        <f>SUMIFS('LAC 102_Wkst'!$Q$7:$Q$2010,'LAC 102_Wkst'!$E$7:$E$2010,$C25,'LAC 102_Wkst'!$G$7:$G$2010,$D25,'LAC 102_Wkst'!$L$7:$L$2010,"01",'LAC 102_Wkst'!$N$7:$N$2010,"P5")+SUMIFS('LAC 102_Wkst'!$Q$7:$Q$2010,'LAC 102_Wkst'!$E$7:$E$2010,$C25,'LAC 102_Wkst'!$G$7:$G$2010,$D25,'LAC 102_Wkst'!$L$7:$L$2010,"02",'LAC 102_Wkst'!$N$7:$N$2010,"P5")</f>
        <v>705572</v>
      </c>
      <c r="K25" s="411">
        <f>SUMIFS('LAC 102_Wkst'!$AE$7:$AE$2010,'LAC 102_Wkst'!$E$7:$E$2010,$C25,'LAC 102_Wkst'!$G$7:$G$2010,$D25,'LAC 102_Wkst'!$L$7:$L$2010,"01",'LAC 102_Wkst'!$N$7:$N$2010,"P5")+SUMIFS('LAC 102_Wkst'!$AE$7:$AE$2010,'LAC 102_Wkst'!$E$7:$E$2010,$C25,'LAC 102_Wkst'!$G$7:$G$2010,$D25,'LAC 102_Wkst'!$L$7:$L$2010,"02",'LAC 102_Wkst'!$N$7:$N$2010,"P5")</f>
        <v>123636</v>
      </c>
      <c r="L25" s="410">
        <f>SUMIFS('LAC 102_Wkst'!$Q$7:$Q$2010,'LAC 102_Wkst'!$E$7:$E$2010,$C25,'LAC 102_Wkst'!$G$7:$G$2010,$D25,'LAC 102_Wkst'!$L$7:$L$2010,"03",'LAC 102_Wkst'!$N$7:$N$2010,"P1")+SUMIFS('LAC 102_Wkst'!$Q$7:$Q$2010,'LAC 102_Wkst'!$E$7:$E$2010,$C25,'LAC 102_Wkst'!$G$7:$G$2010,$D25,'LAC 102_Wkst'!$L$7:$L$2010,"03",'LAC 102_Wkst'!$N$7:$N$2010,"P2")+SUMIFS('LAC 102_Wkst'!$Q$7:$Q$2010,'LAC 102_Wkst'!$E$7:$E$2010,$C25,'LAC 102_Wkst'!$G$7:$G$2010,$D25,'LAC 102_Wkst'!$L$7:$L$2010,"03",'LAC 102_Wkst'!$N$7:$N$2010,"P3")+SUMIFS('LAC 102_Wkst'!$Q$7:$Q$2010,'LAC 102_Wkst'!$E$7:$E$2010,$C25,'LAC 102_Wkst'!$G$7:$G$2010,$D25,'LAC 102_Wkst'!$L$7:$L$2010,"04",'LAC 102_Wkst'!$N$7:$N$2010,"P1")+SUMIFS('LAC 102_Wkst'!$Q$7:$Q$2010,'LAC 102_Wkst'!$E$7:$E$2010,$C25,'LAC 102_Wkst'!$G$7:$G$2010,$D25,'LAC 102_Wkst'!$L$7:$L$2010,"04",'LAC 102_Wkst'!$N$7:$N$2010,"P2")+SUMIFS('LAC 102_Wkst'!$Q$7:$Q$2010,'LAC 102_Wkst'!$E$7:$E$2010,$C25,'LAC 102_Wkst'!$G$7:$G$2010,$D25,'LAC 102_Wkst'!$L$7:$L$2010,"04",'LAC 102_Wkst'!$N$7:$N$2010,"P3")</f>
        <v>0</v>
      </c>
      <c r="M25" s="411">
        <f>SUMIFS('LAC 102_Wkst'!$AE$7:$AE$2010,'LAC 102_Wkst'!$E$7:$E$2010,$C25,'LAC 102_Wkst'!$G$7:$G$2010,$D25,'LAC 102_Wkst'!$L$7:$L$2010,"03",'LAC 102_Wkst'!$N$7:$N$2010,"P1")+SUMIFS('LAC 102_Wkst'!$AE$7:$AE$2010,'LAC 102_Wkst'!$E$7:$E$2010,$C25,'LAC 102_Wkst'!$G$7:$G$2010,$D25,'LAC 102_Wkst'!$L$7:$L$2010,"03",'LAC 102_Wkst'!$N$7:$N$2010,"P2")+SUMIFS('LAC 102_Wkst'!$AE$7:$AE$2010,'LAC 102_Wkst'!$E$7:$E$2010,$C25,'LAC 102_Wkst'!$G$7:$G$2010,$D25,'LAC 102_Wkst'!$L$7:$L$2010,"03",'LAC 102_Wkst'!$N$7:$N$2010,"P3")+SUMIFS('LAC 102_Wkst'!$AE$7:$AE$2010,'LAC 102_Wkst'!$E$7:$E$2010,$C25,'LAC 102_Wkst'!$G$7:$G$2010,$D25,'LAC 102_Wkst'!$L$7:$L$2010,"04",'LAC 102_Wkst'!$N$7:$N$2010,"P1")+SUMIFS('LAC 102_Wkst'!$AE$7:$AE$2010,'LAC 102_Wkst'!$E$7:$E$2010,$C25,'LAC 102_Wkst'!$G$7:$G$2010,$D25,'LAC 102_Wkst'!$L$7:$L$2010,"04",'LAC 102_Wkst'!$N$7:$N$2010,"P2")+SUMIFS('LAC 102_Wkst'!$AE$7:$AE$2010,'LAC 102_Wkst'!$E$7:$E$2010,$C25,'LAC 102_Wkst'!$G$7:$G$2010,$D25,'LAC 102_Wkst'!$L$7:$L$2010,"04",'LAC 102_Wkst'!$N$7:$N$2010,"P3")</f>
        <v>0</v>
      </c>
      <c r="N25" s="410">
        <f>SUMIFS('LAC 102_Wkst'!$Q$7:$Q$2010,'LAC 102_Wkst'!$E$7:$E$2010,$C25,'LAC 102_Wkst'!$G$7:$G$2010,$D25,'LAC 102_Wkst'!$L$7:$L$2010,"03",'LAC 102_Wkst'!$N$7:$N$2010,"P4")+SUMIFS('LAC 102_Wkst'!$Q$7:$Q$2010,'LAC 102_Wkst'!$E$7:$E$2010,$C25,'LAC 102_Wkst'!$G$7:$G$2010,$D25,'LAC 102_Wkst'!$L$7:$L$2010,"04",'LAC 102_Wkst'!$N$7:$N$2010,"P4")</f>
        <v>0</v>
      </c>
      <c r="O25" s="411">
        <f>SUMIFS('LAC 102_Wkst'!$AE$7:$AE$2010,'LAC 102_Wkst'!$E$7:$E$2010,$C25,'LAC 102_Wkst'!$G$7:$G$2010,$D25,'LAC 102_Wkst'!$L$7:$L$2010,"03",'LAC 102_Wkst'!$N$7:$N$2010,"P4")+SUMIFS('LAC 102_Wkst'!$AE$7:$AE$2010,'LAC 102_Wkst'!$E$7:$E$2010,$C25,'LAC 102_Wkst'!$G$7:$G$2010,$D25,'LAC 102_Wkst'!$L$7:$L$2010,"04",'LAC 102_Wkst'!$N$7:$N$2010,"P4")</f>
        <v>0</v>
      </c>
      <c r="P25" s="404">
        <f>SUMIFS('LAC 102_Wkst'!$Q$7:$Q$2010,'LAC 102_Wkst'!$E$7:$E$2010,$C25,'LAC 102_Wkst'!$G$7:$G$2010,$D25,'LAC 102_Wkst'!$L$7:$L$2010,"03",'LAC 102_Wkst'!$N$7:$N$2010,"P5")+SUMIFS('LAC 102_Wkst'!$Q$7:$Q$2010,'LAC 102_Wkst'!$E$7:$E$2010,$C25,'LAC 102_Wkst'!$G$7:$G$2010,$D25,'LAC 102_Wkst'!$L$7:$L$2010,"04",'LAC 102_Wkst'!$N$7:$N$2010,"P5")</f>
        <v>0</v>
      </c>
      <c r="Q25" s="411">
        <f>SUMIFS('LAC 102_Wkst'!$AE$7:$AE$2010,'LAC 102_Wkst'!$E$7:$E$2010,$C25,'LAC 102_Wkst'!$G$7:$G$2010,$D25,'LAC 102_Wkst'!$L$7:$L$2010,"03",'LAC 102_Wkst'!$N$7:$N$2010,"P5")+SUMIFS('LAC 102_Wkst'!$AE$7:$AE$2010,'LAC 102_Wkst'!$E$7:$E$2010,$C25,'LAC 102_Wkst'!$G$7:$G$2010,$D25,'LAC 102_Wkst'!$L$7:$L$2010,"04",'LAC 102_Wkst'!$N$7:$N$2010,"P5")</f>
        <v>0</v>
      </c>
      <c r="R25" s="410">
        <f>SUMIFS('LAC 102_Wkst'!$Q$7:$Q$2010,'LAC 102_Wkst'!$E$7:$E$2010,$C25,'LAC 102_Wkst'!$G$7:$G$2010,$D25,'LAC 102_Wkst'!$L$7:$L$2010,"05",'LAC 102_Wkst'!$N$7:$N$2010,"P1")+SUMIFS('LAC 102_Wkst'!$Q$7:$Q$2010,'LAC 102_Wkst'!$E$7:$E$2010,$C25,'LAC 102_Wkst'!$G$7:$G$2010,$D25,'LAC 102_Wkst'!$L$7:$L$2010,"06",'LAC 102_Wkst'!$N$7:$N$2010,"P1")</f>
        <v>138000</v>
      </c>
      <c r="S25" s="411">
        <f>SUMIFS('LAC 102_Wkst'!$AE$7:$AE$2010,'LAC 102_Wkst'!$E$7:$E$2010,$C25,'LAC 102_Wkst'!$G$7:$G$2010,$D25,'LAC 102_Wkst'!$L$7:$L$2010,"05",'LAC 102_Wkst'!$N$7:$N$2010,"P1")+SUMIFS('LAC 102_Wkst'!$AE$7:$AE$2010,'LAC 102_Wkst'!$E$7:$E$2010,$C25,'LAC 102_Wkst'!$G$7:$G$2010,$D25,'LAC 102_Wkst'!$L$7:$L$2010,"06",'LAC 102_Wkst'!$N$7:$N$2010,"P1")</f>
        <v>0</v>
      </c>
      <c r="T25" s="410">
        <f>SUMIFS('LAC 102_Wkst'!$Q$7:$Q$2010,'LAC 102_Wkst'!$E$7:$E$2010,$C25,'LAC 102_Wkst'!$G$7:$G$2010,$D25,'LAC 102_Wkst'!$L$7:$L$2010,"05",'LAC 102_Wkst'!$N$7:$N$2010,"P2")+SUMIFS('LAC 102_Wkst'!$Q$7:$Q$2010,'LAC 102_Wkst'!$E$7:$E$2010,$C25,'LAC 102_Wkst'!$G$7:$G$2010,$D25,'LAC 102_Wkst'!$L$7:$L$2010,"05",'LAC 102_Wkst'!$N$7:$N$2010,"P3")+SUMIFS('LAC 102_Wkst'!$Q$7:$Q$2010,'LAC 102_Wkst'!$E$7:$E$2010,$C25,'LAC 102_Wkst'!$G$7:$G$2010,$D25,'LAC 102_Wkst'!$L$7:$L$2010,"06",'LAC 102_Wkst'!$N$7:$N$2010,"P2")+SUMIFS('LAC 102_Wkst'!$Q$7:$Q$2010,'LAC 102_Wkst'!$E$7:$E$2010,$C25,'LAC 102_Wkst'!$G$7:$G$2010,$D25,'LAC 102_Wkst'!$L$7:$L$2010,"06",'LAC 102_Wkst'!$N$7:$N$2010,"P3")</f>
        <v>255559</v>
      </c>
      <c r="U25" s="411">
        <f>SUMIFS('LAC 102_Wkst'!$AE$7:$AE$2010,'LAC 102_Wkst'!$E$7:$E$2010,$C25,'LAC 102_Wkst'!$G$7:$G$2010,$D25,'LAC 102_Wkst'!$L$7:$L$2010,"05",'LAC 102_Wkst'!$N$7:$N$2010,"P2")+SUMIFS('LAC 102_Wkst'!$AE$7:$AE$2010,'LAC 102_Wkst'!$E$7:$E$2010,$C25,'LAC 102_Wkst'!$G$7:$G$2010,$D25,'LAC 102_Wkst'!$L$7:$L$2010,"06",'LAC 102_Wkst'!$N$7:$N$2010,"P3")+SUMIFS('LAC 102_Wkst'!$AE$7:$AE$2010,'LAC 102_Wkst'!$E$7:$E$2010,$C25,'LAC 102_Wkst'!$G$7:$G$2010,$D25,'LAC 102_Wkst'!$L$7:$L$2010,"05",'LAC 102_Wkst'!$N$7:$N$2010,"P2")+SUMIFS('LAC 102_Wkst'!$AE$7:$AE$2010,'LAC 102_Wkst'!$E$7:$E$2010,$C25,'LAC 102_Wkst'!$G$7:$G$2010,$D25,'LAC 102_Wkst'!$L$7:$L$2010,"06",'LAC 102_Wkst'!$N$7:$N$2010,"P3")</f>
        <v>0</v>
      </c>
      <c r="V25" s="410">
        <f>SUMIFS('LAC 102_Wkst'!$Q$7:$Q$2010,'LAC 102_Wkst'!$E$7:$E$2010,$C25,'LAC 102_Wkst'!$G$7:$G$2010,$D25,'LAC 102_Wkst'!$L$7:$L$2010,"05",'LAC 102_Wkst'!$N$7:$N$2010,"P4")+SUMIFS('LAC 102_Wkst'!$Q$7:$Q$2010,'LAC 102_Wkst'!$E$7:$E$2010,$C25,'LAC 102_Wkst'!$G$7:$G$2010,$D25,'LAC 102_Wkst'!$L$7:$L$2010,"06",'LAC 102_Wkst'!$N$7:$N$2010,"P4")</f>
        <v>57827</v>
      </c>
      <c r="W25" s="411">
        <f>SUMIFS('LAC 102_Wkst'!$AE$7:$AE$2010,'LAC 102_Wkst'!$E$7:$E$2010,$C25,'LAC 102_Wkst'!$G$7:$G$2010,$D25,'LAC 102_Wkst'!$L$7:$L$2010,"05",'LAC 102_Wkst'!$N$7:$N$2010,"P4")+SUMIFS('LAC 102_Wkst'!$AE$7:$AE$2010,'LAC 102_Wkst'!$E$7:$E$2010,$C25,'LAC 102_Wkst'!$G$7:$G$2010,$D25,'LAC 102_Wkst'!$L$7:$L$2010,"06",'LAC 102_Wkst'!$N$7:$N$2010,"P4")</f>
        <v>0</v>
      </c>
      <c r="X25" s="404">
        <f>SUMIFS('LAC 102_Wkst'!$Q$7:$Q$2010,'LAC 102_Wkst'!$E$7:$E$2010,$C25,'LAC 102_Wkst'!$G$7:$G$2010,$D25,'LAC 102_Wkst'!$L$7:$L$2010,"05",'LAC 102_Wkst'!$N$7:$N$2010,"P5")+SUMIFS('LAC 102_Wkst'!$Q$7:$Q$2010,'LAC 102_Wkst'!$E$7:$E$2010,$C25,'LAC 102_Wkst'!$G$7:$G$2010,$D25,'LAC 102_Wkst'!$L$7:$L$2010,"06",'LAC 102_Wkst'!$N$7:$N$2010,"P5")</f>
        <v>68566</v>
      </c>
      <c r="Y25" s="411">
        <f>SUMIFS('LAC 102_Wkst'!$AE$7:$AE$2010,'LAC 102_Wkst'!$E$7:$E$2010,$C25,'LAC 102_Wkst'!$G$7:$G$2010,$D25,'LAC 102_Wkst'!$L$7:$L$2010,"05",'LAC 102_Wkst'!$N$7:$N$2010,"P5")+SUMIFS('LAC 102_Wkst'!$AE$7:$AE$2010,'LAC 102_Wkst'!$E$7:$E$2010,$C25,'LAC 102_Wkst'!$G$7:$G$2010,$D25,'LAC 102_Wkst'!$L$7:$L$2010,"06",'LAC 102_Wkst'!$N$7:$N$2010,"P5")</f>
        <v>0</v>
      </c>
      <c r="Z25" s="410">
        <f>SUMIFS('LAC 102_Wkst'!$Q$7:$Q$2010,'LAC 102_Wkst'!$E$7:$E$2010,$C25,'LAC 102_Wkst'!$G$7:$G$2010,$D25,'LAC 102_Wkst'!$L$7:$L$2010,"07",'LAC 102_Wkst'!$N$7:$N$2010,"P1")+SUMIFS('LAC 102_Wkst'!$Q$7:$Q$2010,'LAC 102_Wkst'!$E$7:$E$2010,$C25,'LAC 102_Wkst'!$G$7:$G$2010,$D25,'LAC 102_Wkst'!$L$7:$L$2010,"07",'LAC 102_Wkst'!$N$7:$N$2010,"P2")+SUMIFS('LAC 102_Wkst'!$Q$7:$Q$2010,'LAC 102_Wkst'!$E$7:$E$2010,$C25,'LAC 102_Wkst'!$G$7:$G$2010,$D25,'LAC 102_Wkst'!$L$7:$L$2010,"07",'LAC 102_Wkst'!$N$7:$N$2010,"P3")</f>
        <v>850</v>
      </c>
      <c r="AA25" s="411">
        <f>SUMIFS('LAC 102_Wkst'!$AE$7:$AE$2010,'LAC 102_Wkst'!$E$7:$E$2010,$C25,'LAC 102_Wkst'!$G$7:$G$2010,$D25,'LAC 102_Wkst'!$L$7:$L$2010,"07",'LAC 102_Wkst'!$N$7:$N$2010,"P1")+SUMIFS('LAC 102_Wkst'!$AE$7:$AE$2010,'LAC 102_Wkst'!$E$7:$E$2010,$C25,'LAC 102_Wkst'!$G$7:$G$2010,$D25,'LAC 102_Wkst'!$L$7:$L$2010,"07",'LAC 102_Wkst'!$N$7:$N$2010,"P2")+SUMIFS('LAC 102_Wkst'!$AE$7:$AE$2010,'LAC 102_Wkst'!$E$7:$E$2010,$C25,'LAC 102_Wkst'!$G$7:$G$2010,$D25,'LAC 102_Wkst'!$L$7:$L$2010,"07",'LAC 102_Wkst'!$N$7:$N$2010,"P3")</f>
        <v>0</v>
      </c>
      <c r="AB25" s="410">
        <f>SUMIFS('LAC 102_Wkst'!$Q$7:$Q$2010,'LAC 102_Wkst'!$E$7:$E$2010,$C25,'LAC 102_Wkst'!$G$7:$G$2010,$D25,'LAC 102_Wkst'!$L$7:$L$2010,"07",'LAC 102_Wkst'!$N$7:$N$2010,"P4")</f>
        <v>271</v>
      </c>
      <c r="AC25" s="411">
        <f>SUMIFS('LAC 102_Wkst'!$AE$7:$AE$2010,'LAC 102_Wkst'!$E$7:$E$2010,$C25,'LAC 102_Wkst'!$G$7:$G$2010,$D25,'LAC 102_Wkst'!$L$7:$L$2010,"07",'LAC 102_Wkst'!$N$7:$N$2010,"P4")</f>
        <v>0</v>
      </c>
      <c r="AD25" s="404">
        <f>SUMIFS('LAC 102_Wkst'!$Q$7:$Q$2010,'LAC 102_Wkst'!$E$7:$E$2010,$C25,'LAC 102_Wkst'!$G$7:$G$2010,$D25,'LAC 102_Wkst'!$L$7:$L$2010,"07",'LAC 102_Wkst'!$N$7:$N$2010,"P5")</f>
        <v>115</v>
      </c>
      <c r="AE25" s="411">
        <f>SUMIFS('LAC 102_Wkst'!$AE$7:$AE$2010,'LAC 102_Wkst'!$E$7:$E$2010,$C25,'LAC 102_Wkst'!$G$7:$G$2010,$D25,'LAC 102_Wkst'!$L$7:$L$2010,"07",'LAC 102_Wkst'!$N$7:$N$2010,"P5")</f>
        <v>0</v>
      </c>
      <c r="AF25" s="410">
        <f>SUMIFS('LAC 102_Wkst'!$Q$7:$Q$2010,'LAC 102_Wkst'!$E$7:$E$2010,$C25,'LAC 102_Wkst'!$G$7:$G$2010,$D25,'LAC 102_Wkst'!$L$7:$L$2010,"08",'LAC 102_Wkst'!$N$7:$N$2010,"P1")+SUMIFS('LAC 102_Wkst'!$Q$7:$Q$2010,'LAC 102_Wkst'!$E$7:$E$2010,$C25,'LAC 102_Wkst'!$G$7:$G$2010,$D25,'LAC 102_Wkst'!$L$7:$L$2010,"08",'LAC 102_Wkst'!$N$7:$N$2010,"P2")+SUMIFS('LAC 102_Wkst'!$Q$7:$Q$2010,'LAC 102_Wkst'!$E$7:$E$2010,$C25,'LAC 102_Wkst'!$G$7:$G$2010,$D25,'LAC 102_Wkst'!$L$7:$L$2010,"08",'LAC 102_Wkst'!$N$7:$N$2010,"P3")</f>
        <v>0</v>
      </c>
      <c r="AG25" s="411">
        <f>SUMIFS('LAC 102_Wkst'!$AE$7:$AE$2010,'LAC 102_Wkst'!$E$7:$E$2010,$C25,'LAC 102_Wkst'!$G$7:$G$2010,$D25,'LAC 102_Wkst'!$L$7:$L$2010,"08",'LAC 102_Wkst'!$N$7:$N$2010,"P1")+SUMIFS('LAC 102_Wkst'!$AE$7:$AE$2010,'LAC 102_Wkst'!$E$7:$E$2010,$C25,'LAC 102_Wkst'!$G$7:$G$2010,$D25,'LAC 102_Wkst'!$L$7:$L$2010,"08",'LAC 102_Wkst'!$N$7:$N$2010,"P2")+SUMIFS('LAC 102_Wkst'!$AE$7:$AE$2010,'LAC 102_Wkst'!$E$7:$E$2010,$C25,'LAC 102_Wkst'!$G$7:$G$2010,$D25,'LAC 102_Wkst'!$L$7:$L$2010,"08",'LAC 102_Wkst'!$N$7:$N$2010,"P3")</f>
        <v>0</v>
      </c>
      <c r="AH25" s="410">
        <f>SUMIFS('LAC 102_Wkst'!$Q$7:$Q$2010,'LAC 102_Wkst'!$E$7:$E$2010,$C25,'LAC 102_Wkst'!$G$7:$G$2010,$D25,'LAC 102_Wkst'!$L$7:$L$2010,"08",'LAC 102_Wkst'!$N$7:$N$2010,"P4")</f>
        <v>0</v>
      </c>
      <c r="AI25" s="411">
        <f>SUMIFS('LAC 102_Wkst'!$AE$7:$AE$2010,'LAC 102_Wkst'!$E$7:$E$2010,$C25,'LAC 102_Wkst'!$G$7:$G$2010,$D25,'LAC 102_Wkst'!$L$7:$L$2010,"08",'LAC 102_Wkst'!$N$7:$N$2010,"P4")</f>
        <v>0</v>
      </c>
      <c r="AJ25" s="404">
        <f>SUMIFS('LAC 102_Wkst'!$Q$7:$Q$2010,'LAC 102_Wkst'!$E$7:$E$2010,$C25,'LAC 102_Wkst'!$G$7:$G$2010,$D25,'LAC 102_Wkst'!$L$7:$L$2010,"08",'LAC 102_Wkst'!$N$7:$N$2010,"P5")</f>
        <v>0</v>
      </c>
      <c r="AK25" s="411">
        <f>SUMIFS('LAC 102_Wkst'!$AE$7:$AE$2010,'LAC 102_Wkst'!$E$7:$E$2010,$C25,'LAC 102_Wkst'!$G$7:$G$2010,$D25,'LAC 102_Wkst'!$L$7:$L$2010,"08",'LAC 102_Wkst'!$N$7:$N$2010,"P5")</f>
        <v>0</v>
      </c>
      <c r="AL25" s="410">
        <f>SUMIFS('LAC 102_Wkst'!$Q$7:$Q$2010,'LAC 102_Wkst'!$E$7:$E$2010,$C25,'LAC 102_Wkst'!$G$7:$G$2010,$D25,'LAC 102_Wkst'!$L$7:$L$2010,"09",'LAC 102_Wkst'!$N$7:$N$2010,"P1")+SUMIFS('LAC 102_Wkst'!$Q$7:$Q$2010,'LAC 102_Wkst'!$E$7:$E$2010,$C25,'LAC 102_Wkst'!$G$7:$G$2010,$D25,'LAC 102_Wkst'!$L$7:$L$2010,"09",'LAC 102_Wkst'!$N$7:$N$2010,"P2")+SUMIFS('LAC 102_Wkst'!$Q$7:$Q$2010,'LAC 102_Wkst'!$E$7:$E$2010,$C25,'LAC 102_Wkst'!$G$7:$G$2010,$D25,'LAC 102_Wkst'!$L$7:$L$2010,"09",'LAC 102_Wkst'!$N$7:$N$2010,"P3")+SUMIFS('LAC 102_Wkst'!$Q$7:$Q$2010,'LAC 102_Wkst'!$E$7:$E$2010,$C25,'LAC 102_Wkst'!$G$7:$G$2010,$D25,'LAC 102_Wkst'!$L$7:$L$2010,"09",'LAC 102_Wkst'!$N$7:$N$2010,"P4")</f>
        <v>0</v>
      </c>
      <c r="AM25" s="411">
        <f>SUMIFS('LAC 102_Wkst'!$AE$7:$AE$2010,'LAC 102_Wkst'!$E$7:$E$2010,$C25,'LAC 102_Wkst'!$G$7:$G$2010,$D25,'LAC 102_Wkst'!$L$7:$L$2010,"09",'LAC 102_Wkst'!$N$7:$N$2010,"P1")+SUMIFS('LAC 102_Wkst'!$AE$7:$AE$2010,'LAC 102_Wkst'!$E$7:$E$2010,$C25,'LAC 102_Wkst'!$G$7:$G$2010,$D25,'LAC 102_Wkst'!$L$7:$L$2010,"09",'LAC 102_Wkst'!$N$7:$N$2010,"P2")+SUMIFS('LAC 102_Wkst'!$AE$7:$AE$2010,'LAC 102_Wkst'!$E$7:$E$2010,$C25,'LAC 102_Wkst'!$G$7:$G$2010,$D25,'LAC 102_Wkst'!$L$7:$L$2010,"09",'LAC 102_Wkst'!$N$7:$N$2010,"P3")+SUMIFS('LAC 102_Wkst'!$AE$7:$AE$2010,'LAC 102_Wkst'!$E$7:$E$2010,$C25,'LAC 102_Wkst'!$G$7:$G$2010,$D25,'LAC 102_Wkst'!$L$7:$L$2010,"09",'LAC 102_Wkst'!$N$7:$N$2010,"P4")</f>
        <v>0</v>
      </c>
      <c r="AN25" s="410">
        <f>SUMIFS('LAC 102_Wkst'!$Q$7:$Q$2010,'LAC 102_Wkst'!$E$7:$E$2010,$C25,'LAC 102_Wkst'!$G$7:$G$2010,$D25,'LAC 102_Wkst'!$L$7:$L$2010,"09",'LAC 102_Wkst'!$N$7:$N$2010,"P5")</f>
        <v>0</v>
      </c>
      <c r="AO25" s="411">
        <f>SUMIFS('LAC 102_Wkst'!$AE$7:$AE$2010,'LAC 102_Wkst'!$E$7:$E$2010,$C25,'LAC 102_Wkst'!$G$7:$G$2010,$D25,'LAC 102_Wkst'!$L$7:$L$2010,"09",'LAC 102_Wkst'!$N$7:$N$2010,"P5")</f>
        <v>0</v>
      </c>
      <c r="AP25" s="410">
        <f>SUMIFS('LAC 102_Wkst'!$Q$7:$Q$2010,'LAC 102_Wkst'!$E$7:$E$2010,$C25,'LAC 102_Wkst'!$G$7:$G$2010,$D25,'LAC 102_Wkst'!$L$7:$L$2010,"10",'LAC 102_Wkst'!$N$7:$N$2010,"P1")+SUMIFS('LAC 102_Wkst'!$Q$7:$Q$2010,'LAC 102_Wkst'!$E$7:$E$2010,$C25,'LAC 102_Wkst'!$G$7:$G$2010,$D25,'LAC 102_Wkst'!$L$7:$L$2010,"10",'LAC 102_Wkst'!$N$7:$N$2010,"P2")+SUMIFS('LAC 102_Wkst'!$Q$7:$Q$2010,'LAC 102_Wkst'!$E$7:$E$2010,$C25,'LAC 102_Wkst'!$G$7:$G$2010,$D25,'LAC 102_Wkst'!$L$7:$L$2010,"10",'LAC 102_Wkst'!$N$7:$N$2010,"P3")+SUMIFS('LAC 102_Wkst'!$Q$7:$Q$2010,'LAC 102_Wkst'!$E$7:$E$2010,$C25,'LAC 102_Wkst'!$G$7:$G$2010,$D25,'LAC 102_Wkst'!$L$7:$L$2010,"10",'LAC 102_Wkst'!$N$7:$N$2010,"P4")</f>
        <v>2508735</v>
      </c>
      <c r="AQ25" s="411">
        <f>SUMIFS('LAC 102_Wkst'!$AE$7:$AE$2010,'LAC 102_Wkst'!$E$7:$E$2010,$C25,'LAC 102_Wkst'!$G$7:$G$2010,$D25,'LAC 102_Wkst'!$L$7:$L$2010,"10",'LAC 102_Wkst'!$N$7:$N$2010,"P1")+SUMIFS('LAC 102_Wkst'!$AE$7:$AE$2010,'LAC 102_Wkst'!$E$7:$E$2010,$C25,'LAC 102_Wkst'!$G$7:$G$2010,$D25,'LAC 102_Wkst'!$L$7:$L$2010,"10",'LAC 102_Wkst'!$N$7:$N$2010,"P2")+SUMIFS('LAC 102_Wkst'!$AE$7:$AE$2010,'LAC 102_Wkst'!$E$7:$E$2010,$C25,'LAC 102_Wkst'!$G$7:$G$2010,$D25,'LAC 102_Wkst'!$L$7:$L$2010,"10",'LAC 102_Wkst'!$N$7:$N$2010,"P3")+SUMIFS('LAC 102_Wkst'!$AE$7:$AE$2010,'LAC 102_Wkst'!$E$7:$E$2010,$C25,'LAC 102_Wkst'!$G$7:$G$2010,$D25,'LAC 102_Wkst'!$L$7:$L$2010,"10",'LAC 102_Wkst'!$N$7:$N$2010,"P4")</f>
        <v>0</v>
      </c>
      <c r="AR25" s="410">
        <f>SUMIFS('LAC 102_Wkst'!$Q$7:$Q$2010,'LAC 102_Wkst'!$E$7:$E$2010,$C25,'LAC 102_Wkst'!$G$7:$G$2010,$D25,'LAC 102_Wkst'!$L$7:$L$2010,"10",'LAC 102_Wkst'!$N$7:$N$2010,"P5")</f>
        <v>390794</v>
      </c>
      <c r="AS25" s="411">
        <f>SUMIFS('LAC 102_Wkst'!$AE$7:$AE$2010,'LAC 102_Wkst'!$E$7:$E$2010,$C25,'LAC 102_Wkst'!$G$7:$G$2010,$D25,'LAC 102_Wkst'!$L$7:$L$2010,"10",'LAC 102_Wkst'!$N$7:$N$2010,"P5")</f>
        <v>0</v>
      </c>
      <c r="AT25" s="410">
        <f>SUMIFS('LAC 102_Wkst'!$Q$7:$Q$2010,'LAC 102_Wkst'!$E$7:$E$2010,$C25,'LAC 102_Wkst'!$G$7:$G$2010,$D25,'LAC 102_Wkst'!$L$7:$L$2010,"11",'LAC 102_Wkst'!$N$7:$N$2010,"P1")+SUMIFS('LAC 102_Wkst'!$Q$7:$Q$2010,'LAC 102_Wkst'!$E$7:$E$2010,$C25,'LAC 102_Wkst'!$G$7:$G$2010,$D25,'LAC 102_Wkst'!$L$7:$L$2010,"12",'LAC 102_Wkst'!$N$7:$N$2010,"P1")</f>
        <v>0</v>
      </c>
      <c r="AU25" s="411">
        <f>SUMIFS('LAC 102_Wkst'!$AE$7:$AE$2010,'LAC 102_Wkst'!$E$7:$E$2010,$C25,'LAC 102_Wkst'!$G$7:$G$2010,$D25,'LAC 102_Wkst'!$L$7:$L$2010,"11",'LAC 102_Wkst'!$N$7:$N$2010,"P1")+SUMIFS('LAC 102_Wkst'!$AE$7:$AE$2010,'LAC 102_Wkst'!$E$7:$E$2010,$C25,'LAC 102_Wkst'!$G$7:$G$2010,$D25,'LAC 102_Wkst'!$L$7:$L$2010,"12",'LAC 102_Wkst'!$N$7:$N$2010,"P1")</f>
        <v>0</v>
      </c>
      <c r="AV25" s="410">
        <f>SUMIFS('LAC 102_Wkst'!$Q$7:$Q$2010,'LAC 102_Wkst'!$E$7:$E$2010,$C25,'LAC 102_Wkst'!$G$7:$G$2010,$D25,'LAC 102_Wkst'!$L$7:$L$2010,"11",'LAC 102_Wkst'!$N$7:$N$2010,"P2")+SUMIFS('LAC 102_Wkst'!$Q$7:$Q$2010,'LAC 102_Wkst'!$E$7:$E$2010,$C25,'LAC 102_Wkst'!$G$7:$G$2010,$D25,'LAC 102_Wkst'!$L$7:$L$2010,"12",'LAC 102_Wkst'!$N$7:$N$2010,"P3")+SUMIFS('LAC 102_Wkst'!$Q$7:$Q$2010,'LAC 102_Wkst'!$E$7:$E$2010,$C25,'LAC 102_Wkst'!$G$7:$G$2010,$D25,'LAC 102_Wkst'!$L$7:$L$2010,"11",'LAC 102_Wkst'!$N$7:$N$2010,"P2")+SUMIFS('LAC 102_Wkst'!$Q$7:$Q$2010,'LAC 102_Wkst'!$E$7:$E$2010,$C25,'LAC 102_Wkst'!$G$7:$G$2010,$D25,'LAC 102_Wkst'!$L$7:$L$2010,"12",'LAC 102_Wkst'!$N$7:$N$2010,"P3")</f>
        <v>0</v>
      </c>
      <c r="AW25" s="411">
        <f>SUMIFS('LAC 102_Wkst'!$AE$7:$AE$2010,'LAC 102_Wkst'!$E$7:$E$2010,$C25,'LAC 102_Wkst'!$G$7:$G$2010,$D25,'LAC 102_Wkst'!$L$7:$L$2010,"11",'LAC 102_Wkst'!$N$7:$N$2010,"P2")+SUMIFS('LAC 102_Wkst'!$AE$7:$AE$2010,'LAC 102_Wkst'!$E$7:$E$2010,$C25,'LAC 102_Wkst'!$G$7:$G$2010,$D25,'LAC 102_Wkst'!$L$7:$L$2010,"12",'LAC 102_Wkst'!$N$7:$N$2010,"P3")+SUMIFS('LAC 102_Wkst'!$AE$7:$AE$2010,'LAC 102_Wkst'!$E$7:$E$2010,$C25,'LAC 102_Wkst'!$G$7:$G$2010,$D25,'LAC 102_Wkst'!$L$7:$L$2010,"11",'LAC 102_Wkst'!$N$7:$N$2010,"P2")+SUMIFS('LAC 102_Wkst'!$AE$7:$AE$2010,'LAC 102_Wkst'!$E$7:$E$2010,$C25,'LAC 102_Wkst'!$G$7:$G$2010,$D25,'LAC 102_Wkst'!$L$7:$L$2010,"12",'LAC 102_Wkst'!$N$7:$N$2010,"P3")</f>
        <v>0</v>
      </c>
      <c r="AX25" s="410">
        <f>SUMIFS('LAC 102_Wkst'!$Q$7:$Q$2010,'LAC 102_Wkst'!$E$7:$E$2010,$C25,'LAC 102_Wkst'!$G$7:$G$2010,$D25,'LAC 102_Wkst'!$L$7:$L$2010,"11",'LAC 102_Wkst'!$N$7:$N$2010,"P4")+SUMIFS('LAC 102_Wkst'!$Q$7:$Q$2010,'LAC 102_Wkst'!$E$7:$E$2010,$C25,'LAC 102_Wkst'!$G$7:$G$2010,$D25,'LAC 102_Wkst'!$L$7:$L$2010,"12",'LAC 102_Wkst'!$N$7:$N$2010,"P4")</f>
        <v>0</v>
      </c>
      <c r="AY25" s="411">
        <f>SUMIFS('LAC 102_Wkst'!$AE$7:$AE$2010,'LAC 102_Wkst'!$E$7:$E$2010,$C25,'LAC 102_Wkst'!$G$7:$G$2010,$D25,'LAC 102_Wkst'!$L$7:$L$2010,"11",'LAC 102_Wkst'!$N$7:$N$2010,"P4")+SUMIFS('LAC 102_Wkst'!$AE$7:$AE$2010,'LAC 102_Wkst'!$E$7:$E$2010,$C25,'LAC 102_Wkst'!$G$7:$G$2010,$D25,'LAC 102_Wkst'!$L$7:$L$2010,"12",'LAC 102_Wkst'!$N$7:$N$2010,"P4")</f>
        <v>0</v>
      </c>
      <c r="AZ25" s="404">
        <f>SUMIFS('LAC 102_Wkst'!$Q$7:$Q$2010,'LAC 102_Wkst'!$E$7:$E$2010,$C25,'LAC 102_Wkst'!$G$7:$G$2010,$D25,'LAC 102_Wkst'!$L$7:$L$2010,"11",'LAC 102_Wkst'!$N$7:$N$2010,"P5")+SUMIFS('LAC 102_Wkst'!$Q$7:$Q$2010,'LAC 102_Wkst'!$E$7:$E$2010,$C25,'LAC 102_Wkst'!$G$7:$G$2010,$D25,'LAC 102_Wkst'!$L$7:$L$2010,"12",'LAC 102_Wkst'!$N$7:$N$2010,"P5")</f>
        <v>0</v>
      </c>
      <c r="BA25" s="411">
        <f>SUMIFS('LAC 102_Wkst'!$AE$7:$AE$2010,'LAC 102_Wkst'!$E$7:$E$2010,$C25,'LAC 102_Wkst'!$G$7:$G$2010,$D25,'LAC 102_Wkst'!$L$7:$L$2010,"11",'LAC 102_Wkst'!$N$7:$N$2010,"P5")+SUMIFS('LAC 102_Wkst'!$AE$7:$AE$2010,'LAC 102_Wkst'!$E$7:$E$2010,$C25,'LAC 102_Wkst'!$G$7:$G$2010,$D25,'LAC 102_Wkst'!$L$7:$L$2010,"12",'LAC 102_Wkst'!$N$7:$N$2010,"P5")</f>
        <v>0</v>
      </c>
      <c r="BB25" s="404">
        <f>SUMIFS('LAC 102_Wkst'!$Q$7:$Q$2010,'LAC 102_Wkst'!$E$7:$E$2010,$C25,'LAC 102_Wkst'!$G$7:$G$2010,$D25,'LAC 102_Wkst'!$L$7:$L$2010,"13",'LAC 102_Wkst'!$N$7:$N$2010,"P1")+SUMIFS('LAC 102_Wkst'!$Q$7:$Q$2010,'LAC 102_Wkst'!$E$7:$E$2010,$C25,'LAC 102_Wkst'!$G$7:$G$2010,$D25,'LAC 102_Wkst'!$L$7:$L$2010,"13",'LAC 102_Wkst'!$N$7:$N$2010,"P2")+SUMIFS('LAC 102_Wkst'!$Q$7:$Q$2010,'LAC 102_Wkst'!$E$7:$E$2010,$C25,'LAC 102_Wkst'!$G$7:$G$2010,$D25,'LAC 102_Wkst'!$L$7:$L$2010,"13",'LAC 102_Wkst'!$N$7:$N$2010,"P3")+SUMIFS('LAC 102_Wkst'!$Q$7:$Q$2010,'LAC 102_Wkst'!$E$7:$E$2010,$C25,'LAC 102_Wkst'!$G$7:$G$2010,$D25,'LAC 102_Wkst'!$L$7:$L$2010,"13",'LAC 102_Wkst'!$N$7:$N$2010,"P4")</f>
        <v>87465</v>
      </c>
      <c r="BC25" s="411">
        <f>SUMIFS('LAC 102_Wkst'!$AE$7:$AE$2010,'LAC 102_Wkst'!$E$7:$E$2010,$C25,'LAC 102_Wkst'!$G$7:$G$2010,$D25,'LAC 102_Wkst'!$L$7:$L$2010,"13",'LAC 102_Wkst'!$N$7:$N$2010,"P1")+SUMIFS('LAC 102_Wkst'!$AE$7:$AE$2010,'LAC 102_Wkst'!$E$7:$E$2010,$C25,'LAC 102_Wkst'!$G$7:$G$2010,$D25,'LAC 102_Wkst'!$L$7:$L$2010,"13",'LAC 102_Wkst'!$N$7:$N$2010,"P2")+SUMIFS('LAC 102_Wkst'!$AE$7:$AE$2010,'LAC 102_Wkst'!$E$7:$E$2010,$C25,'LAC 102_Wkst'!$G$7:$G$2010,$D25,'LAC 102_Wkst'!$L$7:$L$2010,"13",'LAC 102_Wkst'!$N$7:$N$2010,"P3")+SUMIFS('LAC 102_Wkst'!$AE$7:$AE$2010,'LAC 102_Wkst'!$E$7:$E$2010,$C25,'LAC 102_Wkst'!$G$7:$G$2010,$D25,'LAC 102_Wkst'!$L$7:$L$2010,"13",'LAC 102_Wkst'!$N$7:$N$2010,"P4")</f>
        <v>0</v>
      </c>
      <c r="BD25" s="404">
        <f>SUMIFS('LAC 102_Wkst'!$Q$7:$Q$2010,'LAC 102_Wkst'!$E$7:$E$2010,$C25,'LAC 102_Wkst'!$G$7:$G$2010,$D25,'LAC 102_Wkst'!$L$7:$L$2010,"13",'LAC 102_Wkst'!$N$7:$N$2010,"P5")</f>
        <v>0</v>
      </c>
      <c r="BE25" s="411">
        <f>SUMIFS('LAC 102_Wkst'!$AE$7:$AE$2010,'LAC 102_Wkst'!$E$7:$E$2010,$C25,'LAC 102_Wkst'!$G$7:$G$2010,$D25,'LAC 102_Wkst'!$L$7:$L$2010,"13",'LAC 102_Wkst'!$N$7:$N$2010,"P5")</f>
        <v>0</v>
      </c>
      <c r="BF25" s="407">
        <f t="shared" si="0"/>
        <v>122178</v>
      </c>
    </row>
    <row r="26" spans="1:58" x14ac:dyDescent="0.2">
      <c r="A26" s="401">
        <v>7</v>
      </c>
      <c r="B26" s="1236" t="s">
        <v>738</v>
      </c>
      <c r="C26" s="1235" t="s">
        <v>95</v>
      </c>
      <c r="D26" s="1237" t="s">
        <v>396</v>
      </c>
      <c r="E26" s="1222">
        <f>IF(CONCATENATE(C26,D26)&gt;"6069",1,SUMIFS('LAC 102_Wkst'!$Q$7:$Q$2010,'LAC 102_Wkst'!$E$7:$E$2010,Schedule_B!$C26,'LAC 102_Wkst'!$G$7:$G$2010,Schedule_B!$D26))</f>
        <v>1223506</v>
      </c>
      <c r="F26" s="408">
        <f>SUMIFS('LAC 102_Wkst'!$Q$7:$Q$2010,'LAC 102_Wkst'!$E$7:$E$2010,$C26,'LAC 102_Wkst'!$G$7:$G$2010,$D26,'LAC 102_Wkst'!$L$7:$L$2010,"01",'LAC 102_Wkst'!$N$7:$N$2010,"P1")+SUMIFS('LAC 102_Wkst'!$Q$7:$Q$2010,'LAC 102_Wkst'!$E$7:$E$2010,$C26,'LAC 102_Wkst'!$G$7:$G$2010,$D26,'LAC 102_Wkst'!$L$7:$L$2010,"01",'LAC 102_Wkst'!$N$7:$N$2010,"P2")+SUMIFS('LAC 102_Wkst'!$Q$7:$Q$2010,'LAC 102_Wkst'!$E$7:$E$2010,$C26,'LAC 102_Wkst'!$G$7:$G$2010,$D26,'LAC 102_Wkst'!$L$7:$L$2010,"01",'LAC 102_Wkst'!$N$7:$N$2010,"P3")+SUMIFS('LAC 102_Wkst'!$Q$7:$Q$2010,'LAC 102_Wkst'!$E$7:$E$2010,$C26,'LAC 102_Wkst'!$G$7:$G$2010,$D26,'LAC 102_Wkst'!$L$7:$L$2010,"02",'LAC 102_Wkst'!$N$7:$N$2010,"P1")+SUMIFS('LAC 102_Wkst'!$Q$7:$Q$2010,'LAC 102_Wkst'!$E$7:$E$2010,$C26,'LAC 102_Wkst'!$G$7:$G$2010,$D26,'LAC 102_Wkst'!$L$7:$L$2010,"02",'LAC 102_Wkst'!$N$7:$N$2010,"P2")+SUMIFS('LAC 102_Wkst'!$Q$7:$Q$2010,'LAC 102_Wkst'!$E$7:$E$2010,$C26,'LAC 102_Wkst'!$G$7:$G$2010,$D26,'LAC 102_Wkst'!$L$7:$L$2010,"02",'LAC 102_Wkst'!$N$7:$N$2010,"P3")</f>
        <v>0</v>
      </c>
      <c r="G26" s="409">
        <f>SUMIFS('LAC 102_Wkst'!$AE$7:$AE$2010,'LAC 102_Wkst'!$E$7:$E$2010,$C26,'LAC 102_Wkst'!$G$7:$G$2010,$D26,'LAC 102_Wkst'!$L$7:$L$2010,"01",'LAC 102_Wkst'!$N$7:$N$2010,"P1")+SUMIFS('LAC 102_Wkst'!$AE$7:$AE$2010,'LAC 102_Wkst'!$E$7:$E$2010,$C26,'LAC 102_Wkst'!$G$7:$G$2010,$D26,'LAC 102_Wkst'!$L$7:$L$2010,"01",'LAC 102_Wkst'!$N$7:$N$2010,"P2")+SUMIFS('LAC 102_Wkst'!$AE$7:$AE$2010,'LAC 102_Wkst'!$E$7:$E$2010,$C26,'LAC 102_Wkst'!$G$7:$G$2010,$D26,'LAC 102_Wkst'!$L$7:$L$2010,"01",'LAC 102_Wkst'!$N$7:$N$2010,"P3")+SUMIFS('LAC 102_Wkst'!$AE$7:$AE$2010,'LAC 102_Wkst'!$E$7:$E$2010,$C26,'LAC 102_Wkst'!$G$7:$G$2010,$D26,'LAC 102_Wkst'!$L$7:$L$2010,"02",'LAC 102_Wkst'!$N$7:$N$2010,"P1")+SUMIFS('LAC 102_Wkst'!$AE$7:$AE$2010,'LAC 102_Wkst'!$E$7:$E$2010,$C26,'LAC 102_Wkst'!$G$7:$G$2010,$D26,'LAC 102_Wkst'!$L$7:$L$2010,"02",'LAC 102_Wkst'!$N$7:$N$2010,"P2")+SUMIFS('LAC 102_Wkst'!$AE$7:$AE$2010,'LAC 102_Wkst'!$E$7:$E$2010,$C26,'LAC 102_Wkst'!$G$7:$G$2010,$D26,'LAC 102_Wkst'!$L$7:$L$2010,"02",'LAC 102_Wkst'!$N$7:$N$2010,"P3")</f>
        <v>0</v>
      </c>
      <c r="H26" s="410">
        <f>SUMIFS('LAC 102_Wkst'!$Q$7:$Q$2010,'LAC 102_Wkst'!$E$7:$E$2010,$C26,'LAC 102_Wkst'!$G$7:$G$2010,$D26,'LAC 102_Wkst'!$L$7:$L$2010,"01",'LAC 102_Wkst'!$N$7:$N$2010,"P4")+SUMIFS('LAC 102_Wkst'!$Q$7:$Q$2010,'LAC 102_Wkst'!$E$7:$E$2010,$C26,'LAC 102_Wkst'!$G$7:$G$2010,$D26,'LAC 102_Wkst'!$L$7:$L$2010,"02",'LAC 102_Wkst'!$N$7:$N$2010,"P4")</f>
        <v>0</v>
      </c>
      <c r="I26" s="411">
        <f>SUMIFS('LAC 102_Wkst'!$AE$7:$AE$2010,'LAC 102_Wkst'!$E$7:$E$2010,$C26,'LAC 102_Wkst'!$G$7:$G$2010,$D26,'LAC 102_Wkst'!$L$7:$L$2010,"01",'LAC 102_Wkst'!$N$7:$N$2010,"P4")+SUMIFS('LAC 102_Wkst'!$AE$7:$AE$2010,'LAC 102_Wkst'!$E$7:$E$2010,$C26,'LAC 102_Wkst'!$G$7:$G$2010,$D26,'LAC 102_Wkst'!$L$7:$L$2010,"02",'LAC 102_Wkst'!$N$7:$N$2010,"P4")</f>
        <v>0</v>
      </c>
      <c r="J26" s="410">
        <f>SUMIFS('LAC 102_Wkst'!$Q$7:$Q$2010,'LAC 102_Wkst'!$E$7:$E$2010,$C26,'LAC 102_Wkst'!$G$7:$G$2010,$D26,'LAC 102_Wkst'!$L$7:$L$2010,"01",'LAC 102_Wkst'!$N$7:$N$2010,"P5")+SUMIFS('LAC 102_Wkst'!$Q$7:$Q$2010,'LAC 102_Wkst'!$E$7:$E$2010,$C26,'LAC 102_Wkst'!$G$7:$G$2010,$D26,'LAC 102_Wkst'!$L$7:$L$2010,"02",'LAC 102_Wkst'!$N$7:$N$2010,"P5")</f>
        <v>0</v>
      </c>
      <c r="K26" s="411">
        <f>SUMIFS('LAC 102_Wkst'!$AE$7:$AE$2010,'LAC 102_Wkst'!$E$7:$E$2010,$C26,'LAC 102_Wkst'!$G$7:$G$2010,$D26,'LAC 102_Wkst'!$L$7:$L$2010,"01",'LAC 102_Wkst'!$N$7:$N$2010,"P5")+SUMIFS('LAC 102_Wkst'!$AE$7:$AE$2010,'LAC 102_Wkst'!$E$7:$E$2010,$C26,'LAC 102_Wkst'!$G$7:$G$2010,$D26,'LAC 102_Wkst'!$L$7:$L$2010,"02",'LAC 102_Wkst'!$N$7:$N$2010,"P5")</f>
        <v>0</v>
      </c>
      <c r="L26" s="410">
        <f>SUMIFS('LAC 102_Wkst'!$Q$7:$Q$2010,'LAC 102_Wkst'!$E$7:$E$2010,$C26,'LAC 102_Wkst'!$G$7:$G$2010,$D26,'LAC 102_Wkst'!$L$7:$L$2010,"03",'LAC 102_Wkst'!$N$7:$N$2010,"P1")+SUMIFS('LAC 102_Wkst'!$Q$7:$Q$2010,'LAC 102_Wkst'!$E$7:$E$2010,$C26,'LAC 102_Wkst'!$G$7:$G$2010,$D26,'LAC 102_Wkst'!$L$7:$L$2010,"03",'LAC 102_Wkst'!$N$7:$N$2010,"P2")+SUMIFS('LAC 102_Wkst'!$Q$7:$Q$2010,'LAC 102_Wkst'!$E$7:$E$2010,$C26,'LAC 102_Wkst'!$G$7:$G$2010,$D26,'LAC 102_Wkst'!$L$7:$L$2010,"03",'LAC 102_Wkst'!$N$7:$N$2010,"P3")+SUMIFS('LAC 102_Wkst'!$Q$7:$Q$2010,'LAC 102_Wkst'!$E$7:$E$2010,$C26,'LAC 102_Wkst'!$G$7:$G$2010,$D26,'LAC 102_Wkst'!$L$7:$L$2010,"04",'LAC 102_Wkst'!$N$7:$N$2010,"P1")+SUMIFS('LAC 102_Wkst'!$Q$7:$Q$2010,'LAC 102_Wkst'!$E$7:$E$2010,$C26,'LAC 102_Wkst'!$G$7:$G$2010,$D26,'LAC 102_Wkst'!$L$7:$L$2010,"04",'LAC 102_Wkst'!$N$7:$N$2010,"P2")+SUMIFS('LAC 102_Wkst'!$Q$7:$Q$2010,'LAC 102_Wkst'!$E$7:$E$2010,$C26,'LAC 102_Wkst'!$G$7:$G$2010,$D26,'LAC 102_Wkst'!$L$7:$L$2010,"04",'LAC 102_Wkst'!$N$7:$N$2010,"P3")</f>
        <v>0</v>
      </c>
      <c r="M26" s="411">
        <f>SUMIFS('LAC 102_Wkst'!$AE$7:$AE$2010,'LAC 102_Wkst'!$E$7:$E$2010,$C26,'LAC 102_Wkst'!$G$7:$G$2010,$D26,'LAC 102_Wkst'!$L$7:$L$2010,"03",'LAC 102_Wkst'!$N$7:$N$2010,"P1")+SUMIFS('LAC 102_Wkst'!$AE$7:$AE$2010,'LAC 102_Wkst'!$E$7:$E$2010,$C26,'LAC 102_Wkst'!$G$7:$G$2010,$D26,'LAC 102_Wkst'!$L$7:$L$2010,"03",'LAC 102_Wkst'!$N$7:$N$2010,"P2")+SUMIFS('LAC 102_Wkst'!$AE$7:$AE$2010,'LAC 102_Wkst'!$E$7:$E$2010,$C26,'LAC 102_Wkst'!$G$7:$G$2010,$D26,'LAC 102_Wkst'!$L$7:$L$2010,"03",'LAC 102_Wkst'!$N$7:$N$2010,"P3")+SUMIFS('LAC 102_Wkst'!$AE$7:$AE$2010,'LAC 102_Wkst'!$E$7:$E$2010,$C26,'LAC 102_Wkst'!$G$7:$G$2010,$D26,'LAC 102_Wkst'!$L$7:$L$2010,"04",'LAC 102_Wkst'!$N$7:$N$2010,"P1")+SUMIFS('LAC 102_Wkst'!$AE$7:$AE$2010,'LAC 102_Wkst'!$E$7:$E$2010,$C26,'LAC 102_Wkst'!$G$7:$G$2010,$D26,'LAC 102_Wkst'!$L$7:$L$2010,"04",'LAC 102_Wkst'!$N$7:$N$2010,"P2")+SUMIFS('LAC 102_Wkst'!$AE$7:$AE$2010,'LAC 102_Wkst'!$E$7:$E$2010,$C26,'LAC 102_Wkst'!$G$7:$G$2010,$D26,'LAC 102_Wkst'!$L$7:$L$2010,"04",'LAC 102_Wkst'!$N$7:$N$2010,"P3")</f>
        <v>0</v>
      </c>
      <c r="N26" s="410">
        <f>SUMIFS('LAC 102_Wkst'!$Q$7:$Q$2010,'LAC 102_Wkst'!$E$7:$E$2010,$C26,'LAC 102_Wkst'!$G$7:$G$2010,$D26,'LAC 102_Wkst'!$L$7:$L$2010,"03",'LAC 102_Wkst'!$N$7:$N$2010,"P4")+SUMIFS('LAC 102_Wkst'!$Q$7:$Q$2010,'LAC 102_Wkst'!$E$7:$E$2010,$C26,'LAC 102_Wkst'!$G$7:$G$2010,$D26,'LAC 102_Wkst'!$L$7:$L$2010,"04",'LAC 102_Wkst'!$N$7:$N$2010,"P4")</f>
        <v>0</v>
      </c>
      <c r="O26" s="411">
        <f>SUMIFS('LAC 102_Wkst'!$AE$7:$AE$2010,'LAC 102_Wkst'!$E$7:$E$2010,$C26,'LAC 102_Wkst'!$G$7:$G$2010,$D26,'LAC 102_Wkst'!$L$7:$L$2010,"03",'LAC 102_Wkst'!$N$7:$N$2010,"P4")+SUMIFS('LAC 102_Wkst'!$AE$7:$AE$2010,'LAC 102_Wkst'!$E$7:$E$2010,$C26,'LAC 102_Wkst'!$G$7:$G$2010,$D26,'LAC 102_Wkst'!$L$7:$L$2010,"04",'LAC 102_Wkst'!$N$7:$N$2010,"P4")</f>
        <v>0</v>
      </c>
      <c r="P26" s="410">
        <f>SUMIFS('LAC 102_Wkst'!$Q$7:$Q$2010,'LAC 102_Wkst'!$E$7:$E$2010,$C26,'LAC 102_Wkst'!$G$7:$G$2010,$D26,'LAC 102_Wkst'!$L$7:$L$2010,"03",'LAC 102_Wkst'!$N$7:$N$2010,"P5")+SUMIFS('LAC 102_Wkst'!$Q$7:$Q$2010,'LAC 102_Wkst'!$E$7:$E$2010,$C26,'LAC 102_Wkst'!$G$7:$G$2010,$D26,'LAC 102_Wkst'!$L$7:$L$2010,"04",'LAC 102_Wkst'!$N$7:$N$2010,"P5")</f>
        <v>0</v>
      </c>
      <c r="Q26" s="411">
        <f>SUMIFS('LAC 102_Wkst'!$AE$7:$AE$2010,'LAC 102_Wkst'!$E$7:$E$2010,$C26,'LAC 102_Wkst'!$G$7:$G$2010,$D26,'LAC 102_Wkst'!$L$7:$L$2010,"03",'LAC 102_Wkst'!$N$7:$N$2010,"P5")+SUMIFS('LAC 102_Wkst'!$AE$7:$AE$2010,'LAC 102_Wkst'!$E$7:$E$2010,$C26,'LAC 102_Wkst'!$G$7:$G$2010,$D26,'LAC 102_Wkst'!$L$7:$L$2010,"04",'LAC 102_Wkst'!$N$7:$N$2010,"P5")</f>
        <v>0</v>
      </c>
      <c r="R26" s="410">
        <f>SUMIFS('LAC 102_Wkst'!$Q$7:$Q$2010,'LAC 102_Wkst'!$E$7:$E$2010,$C26,'LAC 102_Wkst'!$G$7:$G$2010,$D26,'LAC 102_Wkst'!$L$7:$L$2010,"05",'LAC 102_Wkst'!$N$7:$N$2010,"P1")+SUMIFS('LAC 102_Wkst'!$Q$7:$Q$2010,'LAC 102_Wkst'!$E$7:$E$2010,$C26,'LAC 102_Wkst'!$G$7:$G$2010,$D26,'LAC 102_Wkst'!$L$7:$L$2010,"06",'LAC 102_Wkst'!$N$7:$N$2010,"P1")</f>
        <v>0</v>
      </c>
      <c r="S26" s="411">
        <f>SUMIFS('LAC 102_Wkst'!$AE$7:$AE$2010,'LAC 102_Wkst'!$E$7:$E$2010,$C26,'LAC 102_Wkst'!$G$7:$G$2010,$D26,'LAC 102_Wkst'!$L$7:$L$2010,"05",'LAC 102_Wkst'!$N$7:$N$2010,"P1")+SUMIFS('LAC 102_Wkst'!$AE$7:$AE$2010,'LAC 102_Wkst'!$E$7:$E$2010,$C26,'LAC 102_Wkst'!$G$7:$G$2010,$D26,'LAC 102_Wkst'!$L$7:$L$2010,"06",'LAC 102_Wkst'!$N$7:$N$2010,"P1")</f>
        <v>0</v>
      </c>
      <c r="T26" s="410">
        <f>SUMIFS('LAC 102_Wkst'!$Q$7:$Q$2010,'LAC 102_Wkst'!$E$7:$E$2010,$C26,'LAC 102_Wkst'!$G$7:$G$2010,$D26,'LAC 102_Wkst'!$L$7:$L$2010,"05",'LAC 102_Wkst'!$N$7:$N$2010,"P2")+SUMIFS('LAC 102_Wkst'!$Q$7:$Q$2010,'LAC 102_Wkst'!$E$7:$E$2010,$C26,'LAC 102_Wkst'!$G$7:$G$2010,$D26,'LAC 102_Wkst'!$L$7:$L$2010,"05",'LAC 102_Wkst'!$N$7:$N$2010,"P3")+SUMIFS('LAC 102_Wkst'!$Q$7:$Q$2010,'LAC 102_Wkst'!$E$7:$E$2010,$C26,'LAC 102_Wkst'!$G$7:$G$2010,$D26,'LAC 102_Wkst'!$L$7:$L$2010,"06",'LAC 102_Wkst'!$N$7:$N$2010,"P2")+SUMIFS('LAC 102_Wkst'!$Q$7:$Q$2010,'LAC 102_Wkst'!$E$7:$E$2010,$C26,'LAC 102_Wkst'!$G$7:$G$2010,$D26,'LAC 102_Wkst'!$L$7:$L$2010,"06",'LAC 102_Wkst'!$N$7:$N$2010,"P3")</f>
        <v>0</v>
      </c>
      <c r="U26" s="411">
        <f>SUMIFS('LAC 102_Wkst'!$AE$7:$AE$2010,'LAC 102_Wkst'!$E$7:$E$2010,$C26,'LAC 102_Wkst'!$G$7:$G$2010,$D26,'LAC 102_Wkst'!$L$7:$L$2010,"05",'LAC 102_Wkst'!$N$7:$N$2010,"P2")+SUMIFS('LAC 102_Wkst'!$AE$7:$AE$2010,'LAC 102_Wkst'!$E$7:$E$2010,$C26,'LAC 102_Wkst'!$G$7:$G$2010,$D26,'LAC 102_Wkst'!$L$7:$L$2010,"06",'LAC 102_Wkst'!$N$7:$N$2010,"P3")+SUMIFS('LAC 102_Wkst'!$AE$7:$AE$2010,'LAC 102_Wkst'!$E$7:$E$2010,$C26,'LAC 102_Wkst'!$G$7:$G$2010,$D26,'LAC 102_Wkst'!$L$7:$L$2010,"05",'LAC 102_Wkst'!$N$7:$N$2010,"P2")+SUMIFS('LAC 102_Wkst'!$AE$7:$AE$2010,'LAC 102_Wkst'!$E$7:$E$2010,$C26,'LAC 102_Wkst'!$G$7:$G$2010,$D26,'LAC 102_Wkst'!$L$7:$L$2010,"06",'LAC 102_Wkst'!$N$7:$N$2010,"P3")</f>
        <v>0</v>
      </c>
      <c r="V26" s="410">
        <f>SUMIFS('LAC 102_Wkst'!$Q$7:$Q$2010,'LAC 102_Wkst'!$E$7:$E$2010,$C26,'LAC 102_Wkst'!$G$7:$G$2010,$D26,'LAC 102_Wkst'!$L$7:$L$2010,"05",'LAC 102_Wkst'!$N$7:$N$2010,"P4")+SUMIFS('LAC 102_Wkst'!$Q$7:$Q$2010,'LAC 102_Wkst'!$E$7:$E$2010,$C26,'LAC 102_Wkst'!$G$7:$G$2010,$D26,'LAC 102_Wkst'!$L$7:$L$2010,"06",'LAC 102_Wkst'!$N$7:$N$2010,"P4")</f>
        <v>0</v>
      </c>
      <c r="W26" s="411">
        <f>SUMIFS('LAC 102_Wkst'!$AE$7:$AE$2010,'LAC 102_Wkst'!$E$7:$E$2010,$C26,'LAC 102_Wkst'!$G$7:$G$2010,$D26,'LAC 102_Wkst'!$L$7:$L$2010,"05",'LAC 102_Wkst'!$N$7:$N$2010,"P4")+SUMIFS('LAC 102_Wkst'!$AE$7:$AE$2010,'LAC 102_Wkst'!$E$7:$E$2010,$C26,'LAC 102_Wkst'!$G$7:$G$2010,$D26,'LAC 102_Wkst'!$L$7:$L$2010,"06",'LAC 102_Wkst'!$N$7:$N$2010,"P4")</f>
        <v>0</v>
      </c>
      <c r="X26" s="410">
        <f>SUMIFS('LAC 102_Wkst'!$Q$7:$Q$2010,'LAC 102_Wkst'!$E$7:$E$2010,$C26,'LAC 102_Wkst'!$G$7:$G$2010,$D26,'LAC 102_Wkst'!$L$7:$L$2010,"05",'LAC 102_Wkst'!$N$7:$N$2010,"P5")+SUMIFS('LAC 102_Wkst'!$Q$7:$Q$2010,'LAC 102_Wkst'!$E$7:$E$2010,$C26,'LAC 102_Wkst'!$G$7:$G$2010,$D26,'LAC 102_Wkst'!$L$7:$L$2010,"06",'LAC 102_Wkst'!$N$7:$N$2010,"P5")</f>
        <v>0</v>
      </c>
      <c r="Y26" s="411">
        <f>SUMIFS('LAC 102_Wkst'!$AE$7:$AE$2010,'LAC 102_Wkst'!$E$7:$E$2010,$C26,'LAC 102_Wkst'!$G$7:$G$2010,$D26,'LAC 102_Wkst'!$L$7:$L$2010,"05",'LAC 102_Wkst'!$N$7:$N$2010,"P5")+SUMIFS('LAC 102_Wkst'!$AE$7:$AE$2010,'LAC 102_Wkst'!$E$7:$E$2010,$C26,'LAC 102_Wkst'!$G$7:$G$2010,$D26,'LAC 102_Wkst'!$L$7:$L$2010,"06",'LAC 102_Wkst'!$N$7:$N$2010,"P5")</f>
        <v>0</v>
      </c>
      <c r="Z26" s="410">
        <f>SUMIFS('LAC 102_Wkst'!$Q$7:$Q$2010,'LAC 102_Wkst'!$E$7:$E$2010,$C26,'LAC 102_Wkst'!$G$7:$G$2010,$D26,'LAC 102_Wkst'!$L$7:$L$2010,"07",'LAC 102_Wkst'!$N$7:$N$2010,"P1")+SUMIFS('LAC 102_Wkst'!$Q$7:$Q$2010,'LAC 102_Wkst'!$E$7:$E$2010,$C26,'LAC 102_Wkst'!$G$7:$G$2010,$D26,'LAC 102_Wkst'!$L$7:$L$2010,"07",'LAC 102_Wkst'!$N$7:$N$2010,"P2")+SUMIFS('LAC 102_Wkst'!$Q$7:$Q$2010,'LAC 102_Wkst'!$E$7:$E$2010,$C26,'LAC 102_Wkst'!$G$7:$G$2010,$D26,'LAC 102_Wkst'!$L$7:$L$2010,"07",'LAC 102_Wkst'!$N$7:$N$2010,"P3")</f>
        <v>0</v>
      </c>
      <c r="AA26" s="411">
        <f>SUMIFS('LAC 102_Wkst'!$AE$7:$AE$2010,'LAC 102_Wkst'!$E$7:$E$2010,$C26,'LAC 102_Wkst'!$G$7:$G$2010,$D26,'LAC 102_Wkst'!$L$7:$L$2010,"07",'LAC 102_Wkst'!$N$7:$N$2010,"P1")+SUMIFS('LAC 102_Wkst'!$AE$7:$AE$2010,'LAC 102_Wkst'!$E$7:$E$2010,$C26,'LAC 102_Wkst'!$G$7:$G$2010,$D26,'LAC 102_Wkst'!$L$7:$L$2010,"07",'LAC 102_Wkst'!$N$7:$N$2010,"P2")+SUMIFS('LAC 102_Wkst'!$AE$7:$AE$2010,'LAC 102_Wkst'!$E$7:$E$2010,$C26,'LAC 102_Wkst'!$G$7:$G$2010,$D26,'LAC 102_Wkst'!$L$7:$L$2010,"07",'LAC 102_Wkst'!$N$7:$N$2010,"P3")</f>
        <v>0</v>
      </c>
      <c r="AB26" s="410">
        <f>SUMIFS('LAC 102_Wkst'!$Q$7:$Q$2010,'LAC 102_Wkst'!$E$7:$E$2010,$C26,'LAC 102_Wkst'!$G$7:$G$2010,$D26,'LAC 102_Wkst'!$L$7:$L$2010,"07",'LAC 102_Wkst'!$N$7:$N$2010,"P4")</f>
        <v>0</v>
      </c>
      <c r="AC26" s="411">
        <f>SUMIFS('LAC 102_Wkst'!$AE$7:$AE$2010,'LAC 102_Wkst'!$E$7:$E$2010,$C26,'LAC 102_Wkst'!$G$7:$G$2010,$D26,'LAC 102_Wkst'!$L$7:$L$2010,"07",'LAC 102_Wkst'!$N$7:$N$2010,"P4")</f>
        <v>0</v>
      </c>
      <c r="AD26" s="410">
        <f>SUMIFS('LAC 102_Wkst'!$Q$7:$Q$2010,'LAC 102_Wkst'!$E$7:$E$2010,$C26,'LAC 102_Wkst'!$G$7:$G$2010,$D26,'LAC 102_Wkst'!$L$7:$L$2010,"07",'LAC 102_Wkst'!$N$7:$N$2010,"P5")</f>
        <v>0</v>
      </c>
      <c r="AE26" s="411">
        <f>SUMIFS('LAC 102_Wkst'!$AE$7:$AE$2010,'LAC 102_Wkst'!$E$7:$E$2010,$C26,'LAC 102_Wkst'!$G$7:$G$2010,$D26,'LAC 102_Wkst'!$L$7:$L$2010,"07",'LAC 102_Wkst'!$N$7:$N$2010,"P5")</f>
        <v>0</v>
      </c>
      <c r="AF26" s="410">
        <f>SUMIFS('LAC 102_Wkst'!$Q$7:$Q$2010,'LAC 102_Wkst'!$E$7:$E$2010,$C26,'LAC 102_Wkst'!$G$7:$G$2010,$D26,'LAC 102_Wkst'!$L$7:$L$2010,"08",'LAC 102_Wkst'!$N$7:$N$2010,"P1")+SUMIFS('LAC 102_Wkst'!$Q$7:$Q$2010,'LAC 102_Wkst'!$E$7:$E$2010,$C26,'LAC 102_Wkst'!$G$7:$G$2010,$D26,'LAC 102_Wkst'!$L$7:$L$2010,"08",'LAC 102_Wkst'!$N$7:$N$2010,"P2")+SUMIFS('LAC 102_Wkst'!$Q$7:$Q$2010,'LAC 102_Wkst'!$E$7:$E$2010,$C26,'LAC 102_Wkst'!$G$7:$G$2010,$D26,'LAC 102_Wkst'!$L$7:$L$2010,"08",'LAC 102_Wkst'!$N$7:$N$2010,"P3")</f>
        <v>0</v>
      </c>
      <c r="AG26" s="411">
        <f>SUMIFS('LAC 102_Wkst'!$AE$7:$AE$2010,'LAC 102_Wkst'!$E$7:$E$2010,$C26,'LAC 102_Wkst'!$G$7:$G$2010,$D26,'LAC 102_Wkst'!$L$7:$L$2010,"08",'LAC 102_Wkst'!$N$7:$N$2010,"P1")+SUMIFS('LAC 102_Wkst'!$AE$7:$AE$2010,'LAC 102_Wkst'!$E$7:$E$2010,$C26,'LAC 102_Wkst'!$G$7:$G$2010,$D26,'LAC 102_Wkst'!$L$7:$L$2010,"08",'LAC 102_Wkst'!$N$7:$N$2010,"P2")+SUMIFS('LAC 102_Wkst'!$AE$7:$AE$2010,'LAC 102_Wkst'!$E$7:$E$2010,$C26,'LAC 102_Wkst'!$G$7:$G$2010,$D26,'LAC 102_Wkst'!$L$7:$L$2010,"08",'LAC 102_Wkst'!$N$7:$N$2010,"P3")</f>
        <v>0</v>
      </c>
      <c r="AH26" s="410">
        <f>SUMIFS('LAC 102_Wkst'!$Q$7:$Q$2010,'LAC 102_Wkst'!$E$7:$E$2010,$C26,'LAC 102_Wkst'!$G$7:$G$2010,$D26,'LAC 102_Wkst'!$L$7:$L$2010,"08",'LAC 102_Wkst'!$N$7:$N$2010,"P4")</f>
        <v>0</v>
      </c>
      <c r="AI26" s="411">
        <f>SUMIFS('LAC 102_Wkst'!$AE$7:$AE$2010,'LAC 102_Wkst'!$E$7:$E$2010,$C26,'LAC 102_Wkst'!$G$7:$G$2010,$D26,'LAC 102_Wkst'!$L$7:$L$2010,"08",'LAC 102_Wkst'!$N$7:$N$2010,"P4")</f>
        <v>0</v>
      </c>
      <c r="AJ26" s="410">
        <f>SUMIFS('LAC 102_Wkst'!$Q$7:$Q$2010,'LAC 102_Wkst'!$E$7:$E$2010,$C26,'LAC 102_Wkst'!$G$7:$G$2010,$D26,'LAC 102_Wkst'!$L$7:$L$2010,"08",'LAC 102_Wkst'!$N$7:$N$2010,"P5")</f>
        <v>0</v>
      </c>
      <c r="AK26" s="411">
        <f>SUMIFS('LAC 102_Wkst'!$AE$7:$AE$2010,'LAC 102_Wkst'!$E$7:$E$2010,$C26,'LAC 102_Wkst'!$G$7:$G$2010,$D26,'LAC 102_Wkst'!$L$7:$L$2010,"08",'LAC 102_Wkst'!$N$7:$N$2010,"P5")</f>
        <v>0</v>
      </c>
      <c r="AL26" s="410">
        <f>SUMIFS('LAC 102_Wkst'!$Q$7:$Q$2010,'LAC 102_Wkst'!$E$7:$E$2010,$C26,'LAC 102_Wkst'!$G$7:$G$2010,$D26,'LAC 102_Wkst'!$L$7:$L$2010,"09",'LAC 102_Wkst'!$N$7:$N$2010,"P1")+SUMIFS('LAC 102_Wkst'!$Q$7:$Q$2010,'LAC 102_Wkst'!$E$7:$E$2010,$C26,'LAC 102_Wkst'!$G$7:$G$2010,$D26,'LAC 102_Wkst'!$L$7:$L$2010,"09",'LAC 102_Wkst'!$N$7:$N$2010,"P2")+SUMIFS('LAC 102_Wkst'!$Q$7:$Q$2010,'LAC 102_Wkst'!$E$7:$E$2010,$C26,'LAC 102_Wkst'!$G$7:$G$2010,$D26,'LAC 102_Wkst'!$L$7:$L$2010,"09",'LAC 102_Wkst'!$N$7:$N$2010,"P3")+SUMIFS('LAC 102_Wkst'!$Q$7:$Q$2010,'LAC 102_Wkst'!$E$7:$E$2010,$C26,'LAC 102_Wkst'!$G$7:$G$2010,$D26,'LAC 102_Wkst'!$L$7:$L$2010,"09",'LAC 102_Wkst'!$N$7:$N$2010,"P4")</f>
        <v>0</v>
      </c>
      <c r="AM26" s="411">
        <f>SUMIFS('LAC 102_Wkst'!$AE$7:$AE$2010,'LAC 102_Wkst'!$E$7:$E$2010,$C26,'LAC 102_Wkst'!$G$7:$G$2010,$D26,'LAC 102_Wkst'!$L$7:$L$2010,"09",'LAC 102_Wkst'!$N$7:$N$2010,"P1")+SUMIFS('LAC 102_Wkst'!$AE$7:$AE$2010,'LAC 102_Wkst'!$E$7:$E$2010,$C26,'LAC 102_Wkst'!$G$7:$G$2010,$D26,'LAC 102_Wkst'!$L$7:$L$2010,"09",'LAC 102_Wkst'!$N$7:$N$2010,"P2")+SUMIFS('LAC 102_Wkst'!$AE$7:$AE$2010,'LAC 102_Wkst'!$E$7:$E$2010,$C26,'LAC 102_Wkst'!$G$7:$G$2010,$D26,'LAC 102_Wkst'!$L$7:$L$2010,"09",'LAC 102_Wkst'!$N$7:$N$2010,"P3")+SUMIFS('LAC 102_Wkst'!$AE$7:$AE$2010,'LAC 102_Wkst'!$E$7:$E$2010,$C26,'LAC 102_Wkst'!$G$7:$G$2010,$D26,'LAC 102_Wkst'!$L$7:$L$2010,"09",'LAC 102_Wkst'!$N$7:$N$2010,"P4")</f>
        <v>0</v>
      </c>
      <c r="AN26" s="410">
        <f>SUMIFS('LAC 102_Wkst'!$Q$7:$Q$2010,'LAC 102_Wkst'!$E$7:$E$2010,$C26,'LAC 102_Wkst'!$G$7:$G$2010,$D26,'LAC 102_Wkst'!$L$7:$L$2010,"09",'LAC 102_Wkst'!$N$7:$N$2010,"P5")</f>
        <v>0</v>
      </c>
      <c r="AO26" s="411">
        <f>SUMIFS('LAC 102_Wkst'!$AE$7:$AE$2010,'LAC 102_Wkst'!$E$7:$E$2010,$C26,'LAC 102_Wkst'!$G$7:$G$2010,$D26,'LAC 102_Wkst'!$L$7:$L$2010,"09",'LAC 102_Wkst'!$N$7:$N$2010,"P5")</f>
        <v>0</v>
      </c>
      <c r="AP26" s="410">
        <f>SUMIFS('LAC 102_Wkst'!$Q$7:$Q$2010,'LAC 102_Wkst'!$E$7:$E$2010,$C26,'LAC 102_Wkst'!$G$7:$G$2010,$D26,'LAC 102_Wkst'!$L$7:$L$2010,"10",'LAC 102_Wkst'!$N$7:$N$2010,"P1")+SUMIFS('LAC 102_Wkst'!$Q$7:$Q$2010,'LAC 102_Wkst'!$E$7:$E$2010,$C26,'LAC 102_Wkst'!$G$7:$G$2010,$D26,'LAC 102_Wkst'!$L$7:$L$2010,"10",'LAC 102_Wkst'!$N$7:$N$2010,"P2")+SUMIFS('LAC 102_Wkst'!$Q$7:$Q$2010,'LAC 102_Wkst'!$E$7:$E$2010,$C26,'LAC 102_Wkst'!$G$7:$G$2010,$D26,'LAC 102_Wkst'!$L$7:$L$2010,"10",'LAC 102_Wkst'!$N$7:$N$2010,"P3")+SUMIFS('LAC 102_Wkst'!$Q$7:$Q$2010,'LAC 102_Wkst'!$E$7:$E$2010,$C26,'LAC 102_Wkst'!$G$7:$G$2010,$D26,'LAC 102_Wkst'!$L$7:$L$2010,"10",'LAC 102_Wkst'!$N$7:$N$2010,"P4")</f>
        <v>0</v>
      </c>
      <c r="AQ26" s="411">
        <f>SUMIFS('LAC 102_Wkst'!$AE$7:$AE$2010,'LAC 102_Wkst'!$E$7:$E$2010,$C26,'LAC 102_Wkst'!$G$7:$G$2010,$D26,'LAC 102_Wkst'!$L$7:$L$2010,"10",'LAC 102_Wkst'!$N$7:$N$2010,"P1")+SUMIFS('LAC 102_Wkst'!$AE$7:$AE$2010,'LAC 102_Wkst'!$E$7:$E$2010,$C26,'LAC 102_Wkst'!$G$7:$G$2010,$D26,'LAC 102_Wkst'!$L$7:$L$2010,"10",'LAC 102_Wkst'!$N$7:$N$2010,"P2")+SUMIFS('LAC 102_Wkst'!$AE$7:$AE$2010,'LAC 102_Wkst'!$E$7:$E$2010,$C26,'LAC 102_Wkst'!$G$7:$G$2010,$D26,'LAC 102_Wkst'!$L$7:$L$2010,"10",'LAC 102_Wkst'!$N$7:$N$2010,"P3")+SUMIFS('LAC 102_Wkst'!$AE$7:$AE$2010,'LAC 102_Wkst'!$E$7:$E$2010,$C26,'LAC 102_Wkst'!$G$7:$G$2010,$D26,'LAC 102_Wkst'!$L$7:$L$2010,"10",'LAC 102_Wkst'!$N$7:$N$2010,"P4")</f>
        <v>0</v>
      </c>
      <c r="AR26" s="410">
        <f>SUMIFS('LAC 102_Wkst'!$Q$7:$Q$2010,'LAC 102_Wkst'!$E$7:$E$2010,$C26,'LAC 102_Wkst'!$G$7:$G$2010,$D26,'LAC 102_Wkst'!$L$7:$L$2010,"10",'LAC 102_Wkst'!$N$7:$N$2010,"P5")</f>
        <v>0</v>
      </c>
      <c r="AS26" s="411">
        <f>SUMIFS('LAC 102_Wkst'!$AE$7:$AE$2010,'LAC 102_Wkst'!$E$7:$E$2010,$C26,'LAC 102_Wkst'!$G$7:$G$2010,$D26,'LAC 102_Wkst'!$L$7:$L$2010,"10",'LAC 102_Wkst'!$N$7:$N$2010,"P5")</f>
        <v>0</v>
      </c>
      <c r="AT26" s="410">
        <f>SUMIFS('LAC 102_Wkst'!$Q$7:$Q$2010,'LAC 102_Wkst'!$E$7:$E$2010,$C26,'LAC 102_Wkst'!$G$7:$G$2010,$D26,'LAC 102_Wkst'!$L$7:$L$2010,"11",'LAC 102_Wkst'!$N$7:$N$2010,"P1")+SUMIFS('LAC 102_Wkst'!$Q$7:$Q$2010,'LAC 102_Wkst'!$E$7:$E$2010,$C26,'LAC 102_Wkst'!$G$7:$G$2010,$D26,'LAC 102_Wkst'!$L$7:$L$2010,"12",'LAC 102_Wkst'!$N$7:$N$2010,"P1")</f>
        <v>0</v>
      </c>
      <c r="AU26" s="411">
        <f>SUMIFS('LAC 102_Wkst'!$AE$7:$AE$2010,'LAC 102_Wkst'!$E$7:$E$2010,$C26,'LAC 102_Wkst'!$G$7:$G$2010,$D26,'LAC 102_Wkst'!$L$7:$L$2010,"11",'LAC 102_Wkst'!$N$7:$N$2010,"P1")+SUMIFS('LAC 102_Wkst'!$AE$7:$AE$2010,'LAC 102_Wkst'!$E$7:$E$2010,$C26,'LAC 102_Wkst'!$G$7:$G$2010,$D26,'LAC 102_Wkst'!$L$7:$L$2010,"12",'LAC 102_Wkst'!$N$7:$N$2010,"P1")</f>
        <v>0</v>
      </c>
      <c r="AV26" s="410">
        <f>SUMIFS('LAC 102_Wkst'!$Q$7:$Q$2010,'LAC 102_Wkst'!$E$7:$E$2010,$C26,'LAC 102_Wkst'!$G$7:$G$2010,$D26,'LAC 102_Wkst'!$L$7:$L$2010,"11",'LAC 102_Wkst'!$N$7:$N$2010,"P2")+SUMIFS('LAC 102_Wkst'!$Q$7:$Q$2010,'LAC 102_Wkst'!$E$7:$E$2010,$C26,'LAC 102_Wkst'!$G$7:$G$2010,$D26,'LAC 102_Wkst'!$L$7:$L$2010,"12",'LAC 102_Wkst'!$N$7:$N$2010,"P3")+SUMIFS('LAC 102_Wkst'!$Q$7:$Q$2010,'LAC 102_Wkst'!$E$7:$E$2010,$C26,'LAC 102_Wkst'!$G$7:$G$2010,$D26,'LAC 102_Wkst'!$L$7:$L$2010,"11",'LAC 102_Wkst'!$N$7:$N$2010,"P2")+SUMIFS('LAC 102_Wkst'!$Q$7:$Q$2010,'LAC 102_Wkst'!$E$7:$E$2010,$C26,'LAC 102_Wkst'!$G$7:$G$2010,$D26,'LAC 102_Wkst'!$L$7:$L$2010,"12",'LAC 102_Wkst'!$N$7:$N$2010,"P3")</f>
        <v>0</v>
      </c>
      <c r="AW26" s="411">
        <f>SUMIFS('LAC 102_Wkst'!$AE$7:$AE$2010,'LAC 102_Wkst'!$E$7:$E$2010,$C26,'LAC 102_Wkst'!$G$7:$G$2010,$D26,'LAC 102_Wkst'!$L$7:$L$2010,"11",'LAC 102_Wkst'!$N$7:$N$2010,"P2")+SUMIFS('LAC 102_Wkst'!$AE$7:$AE$2010,'LAC 102_Wkst'!$E$7:$E$2010,$C26,'LAC 102_Wkst'!$G$7:$G$2010,$D26,'LAC 102_Wkst'!$L$7:$L$2010,"12",'LAC 102_Wkst'!$N$7:$N$2010,"P3")+SUMIFS('LAC 102_Wkst'!$AE$7:$AE$2010,'LAC 102_Wkst'!$E$7:$E$2010,$C26,'LAC 102_Wkst'!$G$7:$G$2010,$D26,'LAC 102_Wkst'!$L$7:$L$2010,"11",'LAC 102_Wkst'!$N$7:$N$2010,"P2")+SUMIFS('LAC 102_Wkst'!$AE$7:$AE$2010,'LAC 102_Wkst'!$E$7:$E$2010,$C26,'LAC 102_Wkst'!$G$7:$G$2010,$D26,'LAC 102_Wkst'!$L$7:$L$2010,"12",'LAC 102_Wkst'!$N$7:$N$2010,"P3")</f>
        <v>0</v>
      </c>
      <c r="AX26" s="410">
        <f>SUMIFS('LAC 102_Wkst'!$Q$7:$Q$2010,'LAC 102_Wkst'!$E$7:$E$2010,$C26,'LAC 102_Wkst'!$G$7:$G$2010,$D26,'LAC 102_Wkst'!$L$7:$L$2010,"11",'LAC 102_Wkst'!$N$7:$N$2010,"P4")+SUMIFS('LAC 102_Wkst'!$Q$7:$Q$2010,'LAC 102_Wkst'!$E$7:$E$2010,$C26,'LAC 102_Wkst'!$G$7:$G$2010,$D26,'LAC 102_Wkst'!$L$7:$L$2010,"12",'LAC 102_Wkst'!$N$7:$N$2010,"P4")</f>
        <v>0</v>
      </c>
      <c r="AY26" s="411">
        <f>SUMIFS('LAC 102_Wkst'!$AE$7:$AE$2010,'LAC 102_Wkst'!$E$7:$E$2010,$C26,'LAC 102_Wkst'!$G$7:$G$2010,$D26,'LAC 102_Wkst'!$L$7:$L$2010,"11",'LAC 102_Wkst'!$N$7:$N$2010,"P4")+SUMIFS('LAC 102_Wkst'!$AE$7:$AE$2010,'LAC 102_Wkst'!$E$7:$E$2010,$C26,'LAC 102_Wkst'!$G$7:$G$2010,$D26,'LAC 102_Wkst'!$L$7:$L$2010,"12",'LAC 102_Wkst'!$N$7:$N$2010,"P4")</f>
        <v>0</v>
      </c>
      <c r="AZ26" s="410">
        <f>SUMIFS('LAC 102_Wkst'!$Q$7:$Q$2010,'LAC 102_Wkst'!$E$7:$E$2010,$C26,'LAC 102_Wkst'!$G$7:$G$2010,$D26,'LAC 102_Wkst'!$L$7:$L$2010,"11",'LAC 102_Wkst'!$N$7:$N$2010,"P5")+SUMIFS('LAC 102_Wkst'!$Q$7:$Q$2010,'LAC 102_Wkst'!$E$7:$E$2010,$C26,'LAC 102_Wkst'!$G$7:$G$2010,$D26,'LAC 102_Wkst'!$L$7:$L$2010,"12",'LAC 102_Wkst'!$N$7:$N$2010,"P5")</f>
        <v>0</v>
      </c>
      <c r="BA26" s="411">
        <f>SUMIFS('LAC 102_Wkst'!$AE$7:$AE$2010,'LAC 102_Wkst'!$E$7:$E$2010,$C26,'LAC 102_Wkst'!$G$7:$G$2010,$D26,'LAC 102_Wkst'!$L$7:$L$2010,"11",'LAC 102_Wkst'!$N$7:$N$2010,"P5")+SUMIFS('LAC 102_Wkst'!$AE$7:$AE$2010,'LAC 102_Wkst'!$E$7:$E$2010,$C26,'LAC 102_Wkst'!$G$7:$G$2010,$D26,'LAC 102_Wkst'!$L$7:$L$2010,"12",'LAC 102_Wkst'!$N$7:$N$2010,"P5")</f>
        <v>0</v>
      </c>
      <c r="BB26" s="410">
        <f>SUMIFS('LAC 102_Wkst'!$Q$7:$Q$2010,'LAC 102_Wkst'!$E$7:$E$2010,$C26,'LAC 102_Wkst'!$G$7:$G$2010,$D26,'LAC 102_Wkst'!$L$7:$L$2010,"13",'LAC 102_Wkst'!$N$7:$N$2010,"P1")+SUMIFS('LAC 102_Wkst'!$Q$7:$Q$2010,'LAC 102_Wkst'!$E$7:$E$2010,$C26,'LAC 102_Wkst'!$G$7:$G$2010,$D26,'LAC 102_Wkst'!$L$7:$L$2010,"13",'LAC 102_Wkst'!$N$7:$N$2010,"P2")+SUMIFS('LAC 102_Wkst'!$Q$7:$Q$2010,'LAC 102_Wkst'!$E$7:$E$2010,$C26,'LAC 102_Wkst'!$G$7:$G$2010,$D26,'LAC 102_Wkst'!$L$7:$L$2010,"13",'LAC 102_Wkst'!$N$7:$N$2010,"P3")+SUMIFS('LAC 102_Wkst'!$Q$7:$Q$2010,'LAC 102_Wkst'!$E$7:$E$2010,$C26,'LAC 102_Wkst'!$G$7:$G$2010,$D26,'LAC 102_Wkst'!$L$7:$L$2010,"13",'LAC 102_Wkst'!$N$7:$N$2010,"P4")</f>
        <v>0</v>
      </c>
      <c r="BC26" s="411">
        <f>SUMIFS('LAC 102_Wkst'!$AE$7:$AE$2010,'LAC 102_Wkst'!$E$7:$E$2010,$C26,'LAC 102_Wkst'!$G$7:$G$2010,$D26,'LAC 102_Wkst'!$L$7:$L$2010,"13",'LAC 102_Wkst'!$N$7:$N$2010,"P1")+SUMIFS('LAC 102_Wkst'!$AE$7:$AE$2010,'LAC 102_Wkst'!$E$7:$E$2010,$C26,'LAC 102_Wkst'!$G$7:$G$2010,$D26,'LAC 102_Wkst'!$L$7:$L$2010,"13",'LAC 102_Wkst'!$N$7:$N$2010,"P2")+SUMIFS('LAC 102_Wkst'!$AE$7:$AE$2010,'LAC 102_Wkst'!$E$7:$E$2010,$C26,'LAC 102_Wkst'!$G$7:$G$2010,$D26,'LAC 102_Wkst'!$L$7:$L$2010,"13",'LAC 102_Wkst'!$N$7:$N$2010,"P3")+SUMIFS('LAC 102_Wkst'!$AE$7:$AE$2010,'LAC 102_Wkst'!$E$7:$E$2010,$C26,'LAC 102_Wkst'!$G$7:$G$2010,$D26,'LAC 102_Wkst'!$L$7:$L$2010,"13",'LAC 102_Wkst'!$N$7:$N$2010,"P4")</f>
        <v>0</v>
      </c>
      <c r="BD26" s="410">
        <f>SUMIFS('LAC 102_Wkst'!$Q$7:$Q$2010,'LAC 102_Wkst'!$E$7:$E$2010,$C26,'LAC 102_Wkst'!$G$7:$G$2010,$D26,'LAC 102_Wkst'!$L$7:$L$2010,"13",'LAC 102_Wkst'!$N$7:$N$2010,"P5")</f>
        <v>0</v>
      </c>
      <c r="BE26" s="411">
        <f>SUMIFS('LAC 102_Wkst'!$AE$7:$AE$2010,'LAC 102_Wkst'!$E$7:$E$2010,$C26,'LAC 102_Wkst'!$G$7:$G$2010,$D26,'LAC 102_Wkst'!$L$7:$L$2010,"13",'LAC 102_Wkst'!$N$7:$N$2010,"P5")</f>
        <v>0</v>
      </c>
      <c r="BF26" s="407">
        <f t="shared" si="0"/>
        <v>1223506</v>
      </c>
    </row>
    <row r="27" spans="1:58" x14ac:dyDescent="0.2">
      <c r="A27" s="401">
        <v>8</v>
      </c>
      <c r="B27" s="1236" t="s">
        <v>738</v>
      </c>
      <c r="C27" s="1235" t="s">
        <v>95</v>
      </c>
      <c r="D27" s="1237" t="s">
        <v>412</v>
      </c>
      <c r="E27" s="1222">
        <f>IF(CONCATENATE(C27,D27)&gt;"6069",1,SUMIFS('LAC 102_Wkst'!$Q$7:$Q$2010,'LAC 102_Wkst'!$E$7:$E$2010,Schedule_B!$C27,'LAC 102_Wkst'!$G$7:$G$2010,Schedule_B!$D27))</f>
        <v>925760</v>
      </c>
      <c r="F27" s="408">
        <f>SUMIFS('LAC 102_Wkst'!$Q$7:$Q$2010,'LAC 102_Wkst'!$E$7:$E$2010,$C27,'LAC 102_Wkst'!$G$7:$G$2010,$D27,'LAC 102_Wkst'!$L$7:$L$2010,"01",'LAC 102_Wkst'!$N$7:$N$2010,"P1")+SUMIFS('LAC 102_Wkst'!$Q$7:$Q$2010,'LAC 102_Wkst'!$E$7:$E$2010,$C27,'LAC 102_Wkst'!$G$7:$G$2010,$D27,'LAC 102_Wkst'!$L$7:$L$2010,"01",'LAC 102_Wkst'!$N$7:$N$2010,"P2")+SUMIFS('LAC 102_Wkst'!$Q$7:$Q$2010,'LAC 102_Wkst'!$E$7:$E$2010,$C27,'LAC 102_Wkst'!$G$7:$G$2010,$D27,'LAC 102_Wkst'!$L$7:$L$2010,"01",'LAC 102_Wkst'!$N$7:$N$2010,"P3")+SUMIFS('LAC 102_Wkst'!$Q$7:$Q$2010,'LAC 102_Wkst'!$E$7:$E$2010,$C27,'LAC 102_Wkst'!$G$7:$G$2010,$D27,'LAC 102_Wkst'!$L$7:$L$2010,"02",'LAC 102_Wkst'!$N$7:$N$2010,"P1")+SUMIFS('LAC 102_Wkst'!$Q$7:$Q$2010,'LAC 102_Wkst'!$E$7:$E$2010,$C27,'LAC 102_Wkst'!$G$7:$G$2010,$D27,'LAC 102_Wkst'!$L$7:$L$2010,"02",'LAC 102_Wkst'!$N$7:$N$2010,"P2")+SUMIFS('LAC 102_Wkst'!$Q$7:$Q$2010,'LAC 102_Wkst'!$E$7:$E$2010,$C27,'LAC 102_Wkst'!$G$7:$G$2010,$D27,'LAC 102_Wkst'!$L$7:$L$2010,"02",'LAC 102_Wkst'!$N$7:$N$2010,"P3")</f>
        <v>387788</v>
      </c>
      <c r="G27" s="409">
        <f>SUMIFS('LAC 102_Wkst'!$AE$7:$AE$2010,'LAC 102_Wkst'!$E$7:$E$2010,$C27,'LAC 102_Wkst'!$G$7:$G$2010,$D27,'LAC 102_Wkst'!$L$7:$L$2010,"01",'LAC 102_Wkst'!$N$7:$N$2010,"P1")+SUMIFS('LAC 102_Wkst'!$AE$7:$AE$2010,'LAC 102_Wkst'!$E$7:$E$2010,$C27,'LAC 102_Wkst'!$G$7:$G$2010,$D27,'LAC 102_Wkst'!$L$7:$L$2010,"01",'LAC 102_Wkst'!$N$7:$N$2010,"P2")+SUMIFS('LAC 102_Wkst'!$AE$7:$AE$2010,'LAC 102_Wkst'!$E$7:$E$2010,$C27,'LAC 102_Wkst'!$G$7:$G$2010,$D27,'LAC 102_Wkst'!$L$7:$L$2010,"01",'LAC 102_Wkst'!$N$7:$N$2010,"P3")+SUMIFS('LAC 102_Wkst'!$AE$7:$AE$2010,'LAC 102_Wkst'!$E$7:$E$2010,$C27,'LAC 102_Wkst'!$G$7:$G$2010,$D27,'LAC 102_Wkst'!$L$7:$L$2010,"02",'LAC 102_Wkst'!$N$7:$N$2010,"P1")+SUMIFS('LAC 102_Wkst'!$AE$7:$AE$2010,'LAC 102_Wkst'!$E$7:$E$2010,$C27,'LAC 102_Wkst'!$G$7:$G$2010,$D27,'LAC 102_Wkst'!$L$7:$L$2010,"02",'LAC 102_Wkst'!$N$7:$N$2010,"P2")+SUMIFS('LAC 102_Wkst'!$AE$7:$AE$2010,'LAC 102_Wkst'!$E$7:$E$2010,$C27,'LAC 102_Wkst'!$G$7:$G$2010,$D27,'LAC 102_Wkst'!$L$7:$L$2010,"02",'LAC 102_Wkst'!$N$7:$N$2010,"P3")</f>
        <v>0</v>
      </c>
      <c r="H27" s="410">
        <f>SUMIFS('LAC 102_Wkst'!$Q$7:$Q$2010,'LAC 102_Wkst'!$E$7:$E$2010,$C27,'LAC 102_Wkst'!$G$7:$G$2010,$D27,'LAC 102_Wkst'!$L$7:$L$2010,"01",'LAC 102_Wkst'!$N$7:$N$2010,"P4")+SUMIFS('LAC 102_Wkst'!$Q$7:$Q$2010,'LAC 102_Wkst'!$E$7:$E$2010,$C27,'LAC 102_Wkst'!$G$7:$G$2010,$D27,'LAC 102_Wkst'!$L$7:$L$2010,"02",'LAC 102_Wkst'!$N$7:$N$2010,"P4")</f>
        <v>66731</v>
      </c>
      <c r="I27" s="411">
        <f>SUMIFS('LAC 102_Wkst'!$AE$7:$AE$2010,'LAC 102_Wkst'!$E$7:$E$2010,$C27,'LAC 102_Wkst'!$G$7:$G$2010,$D27,'LAC 102_Wkst'!$L$7:$L$2010,"01",'LAC 102_Wkst'!$N$7:$N$2010,"P4")+SUMIFS('LAC 102_Wkst'!$AE$7:$AE$2010,'LAC 102_Wkst'!$E$7:$E$2010,$C27,'LAC 102_Wkst'!$G$7:$G$2010,$D27,'LAC 102_Wkst'!$L$7:$L$2010,"02",'LAC 102_Wkst'!$N$7:$N$2010,"P4")</f>
        <v>0</v>
      </c>
      <c r="J27" s="410">
        <f>SUMIFS('LAC 102_Wkst'!$Q$7:$Q$2010,'LAC 102_Wkst'!$E$7:$E$2010,$C27,'LAC 102_Wkst'!$G$7:$G$2010,$D27,'LAC 102_Wkst'!$L$7:$L$2010,"01",'LAC 102_Wkst'!$N$7:$N$2010,"P5")+SUMIFS('LAC 102_Wkst'!$Q$7:$Q$2010,'LAC 102_Wkst'!$E$7:$E$2010,$C27,'LAC 102_Wkst'!$G$7:$G$2010,$D27,'LAC 102_Wkst'!$L$7:$L$2010,"02",'LAC 102_Wkst'!$N$7:$N$2010,"P5")</f>
        <v>76885</v>
      </c>
      <c r="K27" s="411">
        <f>SUMIFS('LAC 102_Wkst'!$AE$7:$AE$2010,'LAC 102_Wkst'!$E$7:$E$2010,$C27,'LAC 102_Wkst'!$G$7:$G$2010,$D27,'LAC 102_Wkst'!$L$7:$L$2010,"01",'LAC 102_Wkst'!$N$7:$N$2010,"P5")+SUMIFS('LAC 102_Wkst'!$AE$7:$AE$2010,'LAC 102_Wkst'!$E$7:$E$2010,$C27,'LAC 102_Wkst'!$G$7:$G$2010,$D27,'LAC 102_Wkst'!$L$7:$L$2010,"02",'LAC 102_Wkst'!$N$7:$N$2010,"P5")</f>
        <v>0</v>
      </c>
      <c r="L27" s="410">
        <f>SUMIFS('LAC 102_Wkst'!$Q$7:$Q$2010,'LAC 102_Wkst'!$E$7:$E$2010,$C27,'LAC 102_Wkst'!$G$7:$G$2010,$D27,'LAC 102_Wkst'!$L$7:$L$2010,"03",'LAC 102_Wkst'!$N$7:$N$2010,"P1")+SUMIFS('LAC 102_Wkst'!$Q$7:$Q$2010,'LAC 102_Wkst'!$E$7:$E$2010,$C27,'LAC 102_Wkst'!$G$7:$G$2010,$D27,'LAC 102_Wkst'!$L$7:$L$2010,"03",'LAC 102_Wkst'!$N$7:$N$2010,"P2")+SUMIFS('LAC 102_Wkst'!$Q$7:$Q$2010,'LAC 102_Wkst'!$E$7:$E$2010,$C27,'LAC 102_Wkst'!$G$7:$G$2010,$D27,'LAC 102_Wkst'!$L$7:$L$2010,"03",'LAC 102_Wkst'!$N$7:$N$2010,"P3")+SUMIFS('LAC 102_Wkst'!$Q$7:$Q$2010,'LAC 102_Wkst'!$E$7:$E$2010,$C27,'LAC 102_Wkst'!$G$7:$G$2010,$D27,'LAC 102_Wkst'!$L$7:$L$2010,"04",'LAC 102_Wkst'!$N$7:$N$2010,"P1")+SUMIFS('LAC 102_Wkst'!$Q$7:$Q$2010,'LAC 102_Wkst'!$E$7:$E$2010,$C27,'LAC 102_Wkst'!$G$7:$G$2010,$D27,'LAC 102_Wkst'!$L$7:$L$2010,"04",'LAC 102_Wkst'!$N$7:$N$2010,"P2")+SUMIFS('LAC 102_Wkst'!$Q$7:$Q$2010,'LAC 102_Wkst'!$E$7:$E$2010,$C27,'LAC 102_Wkst'!$G$7:$G$2010,$D27,'LAC 102_Wkst'!$L$7:$L$2010,"04",'LAC 102_Wkst'!$N$7:$N$2010,"P3")</f>
        <v>0</v>
      </c>
      <c r="M27" s="411">
        <f>SUMIFS('LAC 102_Wkst'!$AE$7:$AE$2010,'LAC 102_Wkst'!$E$7:$E$2010,$C27,'LAC 102_Wkst'!$G$7:$G$2010,$D27,'LAC 102_Wkst'!$L$7:$L$2010,"03",'LAC 102_Wkst'!$N$7:$N$2010,"P1")+SUMIFS('LAC 102_Wkst'!$AE$7:$AE$2010,'LAC 102_Wkst'!$E$7:$E$2010,$C27,'LAC 102_Wkst'!$G$7:$G$2010,$D27,'LAC 102_Wkst'!$L$7:$L$2010,"03",'LAC 102_Wkst'!$N$7:$N$2010,"P2")+SUMIFS('LAC 102_Wkst'!$AE$7:$AE$2010,'LAC 102_Wkst'!$E$7:$E$2010,$C27,'LAC 102_Wkst'!$G$7:$G$2010,$D27,'LAC 102_Wkst'!$L$7:$L$2010,"03",'LAC 102_Wkst'!$N$7:$N$2010,"P3")+SUMIFS('LAC 102_Wkst'!$AE$7:$AE$2010,'LAC 102_Wkst'!$E$7:$E$2010,$C27,'LAC 102_Wkst'!$G$7:$G$2010,$D27,'LAC 102_Wkst'!$L$7:$L$2010,"04",'LAC 102_Wkst'!$N$7:$N$2010,"P1")+SUMIFS('LAC 102_Wkst'!$AE$7:$AE$2010,'LAC 102_Wkst'!$E$7:$E$2010,$C27,'LAC 102_Wkst'!$G$7:$G$2010,$D27,'LAC 102_Wkst'!$L$7:$L$2010,"04",'LAC 102_Wkst'!$N$7:$N$2010,"P2")+SUMIFS('LAC 102_Wkst'!$AE$7:$AE$2010,'LAC 102_Wkst'!$E$7:$E$2010,$C27,'LAC 102_Wkst'!$G$7:$G$2010,$D27,'LAC 102_Wkst'!$L$7:$L$2010,"04",'LAC 102_Wkst'!$N$7:$N$2010,"P3")</f>
        <v>0</v>
      </c>
      <c r="N27" s="410">
        <f>SUMIFS('LAC 102_Wkst'!$Q$7:$Q$2010,'LAC 102_Wkst'!$E$7:$E$2010,$C27,'LAC 102_Wkst'!$G$7:$G$2010,$D27,'LAC 102_Wkst'!$L$7:$L$2010,"03",'LAC 102_Wkst'!$N$7:$N$2010,"P4")+SUMIFS('LAC 102_Wkst'!$Q$7:$Q$2010,'LAC 102_Wkst'!$E$7:$E$2010,$C27,'LAC 102_Wkst'!$G$7:$G$2010,$D27,'LAC 102_Wkst'!$L$7:$L$2010,"04",'LAC 102_Wkst'!$N$7:$N$2010,"P4")</f>
        <v>0</v>
      </c>
      <c r="O27" s="411">
        <f>SUMIFS('LAC 102_Wkst'!$AE$7:$AE$2010,'LAC 102_Wkst'!$E$7:$E$2010,$C27,'LAC 102_Wkst'!$G$7:$G$2010,$D27,'LAC 102_Wkst'!$L$7:$L$2010,"03",'LAC 102_Wkst'!$N$7:$N$2010,"P4")+SUMIFS('LAC 102_Wkst'!$AE$7:$AE$2010,'LAC 102_Wkst'!$E$7:$E$2010,$C27,'LAC 102_Wkst'!$G$7:$G$2010,$D27,'LAC 102_Wkst'!$L$7:$L$2010,"04",'LAC 102_Wkst'!$N$7:$N$2010,"P4")</f>
        <v>0</v>
      </c>
      <c r="P27" s="404">
        <f>SUMIFS('LAC 102_Wkst'!$Q$7:$Q$2010,'LAC 102_Wkst'!$E$7:$E$2010,$C27,'LAC 102_Wkst'!$G$7:$G$2010,$D27,'LAC 102_Wkst'!$L$7:$L$2010,"03",'LAC 102_Wkst'!$N$7:$N$2010,"P5")+SUMIFS('LAC 102_Wkst'!$Q$7:$Q$2010,'LAC 102_Wkst'!$E$7:$E$2010,$C27,'LAC 102_Wkst'!$G$7:$G$2010,$D27,'LAC 102_Wkst'!$L$7:$L$2010,"04",'LAC 102_Wkst'!$N$7:$N$2010,"P5")</f>
        <v>0</v>
      </c>
      <c r="Q27" s="411">
        <f>SUMIFS('LAC 102_Wkst'!$AE$7:$AE$2010,'LAC 102_Wkst'!$E$7:$E$2010,$C27,'LAC 102_Wkst'!$G$7:$G$2010,$D27,'LAC 102_Wkst'!$L$7:$L$2010,"03",'LAC 102_Wkst'!$N$7:$N$2010,"P5")+SUMIFS('LAC 102_Wkst'!$AE$7:$AE$2010,'LAC 102_Wkst'!$E$7:$E$2010,$C27,'LAC 102_Wkst'!$G$7:$G$2010,$D27,'LAC 102_Wkst'!$L$7:$L$2010,"04",'LAC 102_Wkst'!$N$7:$N$2010,"P5")</f>
        <v>0</v>
      </c>
      <c r="R27" s="412">
        <f>SUMIFS('LAC 102_Wkst'!$Q$7:$Q$2010,'LAC 102_Wkst'!$E$7:$E$2010,$C27,'LAC 102_Wkst'!$G$7:$G$2010,$D27,'LAC 102_Wkst'!$L$7:$L$2010,"05",'LAC 102_Wkst'!$N$7:$N$2010,"P1")+SUMIFS('LAC 102_Wkst'!$Q$7:$Q$2010,'LAC 102_Wkst'!$E$7:$E$2010,$C27,'LAC 102_Wkst'!$G$7:$G$2010,$D27,'LAC 102_Wkst'!$L$7:$L$2010,"06",'LAC 102_Wkst'!$N$7:$N$2010,"P1")</f>
        <v>3713</v>
      </c>
      <c r="S27" s="411">
        <f>SUMIFS('LAC 102_Wkst'!$AE$7:$AE$2010,'LAC 102_Wkst'!$E$7:$E$2010,$C27,'LAC 102_Wkst'!$G$7:$G$2010,$D27,'LAC 102_Wkst'!$L$7:$L$2010,"05",'LAC 102_Wkst'!$N$7:$N$2010,"P1")+SUMIFS('LAC 102_Wkst'!$AE$7:$AE$2010,'LAC 102_Wkst'!$E$7:$E$2010,$C27,'LAC 102_Wkst'!$G$7:$G$2010,$D27,'LAC 102_Wkst'!$L$7:$L$2010,"06",'LAC 102_Wkst'!$N$7:$N$2010,"P1")</f>
        <v>0</v>
      </c>
      <c r="T27" s="410">
        <f>SUMIFS('LAC 102_Wkst'!$Q$7:$Q$2010,'LAC 102_Wkst'!$E$7:$E$2010,$C27,'LAC 102_Wkst'!$G$7:$G$2010,$D27,'LAC 102_Wkst'!$L$7:$L$2010,"05",'LAC 102_Wkst'!$N$7:$N$2010,"P2")+SUMIFS('LAC 102_Wkst'!$Q$7:$Q$2010,'LAC 102_Wkst'!$E$7:$E$2010,$C27,'LAC 102_Wkst'!$G$7:$G$2010,$D27,'LAC 102_Wkst'!$L$7:$L$2010,"05",'LAC 102_Wkst'!$N$7:$N$2010,"P3")+SUMIFS('LAC 102_Wkst'!$Q$7:$Q$2010,'LAC 102_Wkst'!$E$7:$E$2010,$C27,'LAC 102_Wkst'!$G$7:$G$2010,$D27,'LAC 102_Wkst'!$L$7:$L$2010,"06",'LAC 102_Wkst'!$N$7:$N$2010,"P2")+SUMIFS('LAC 102_Wkst'!$Q$7:$Q$2010,'LAC 102_Wkst'!$E$7:$E$2010,$C27,'LAC 102_Wkst'!$G$7:$G$2010,$D27,'LAC 102_Wkst'!$L$7:$L$2010,"06",'LAC 102_Wkst'!$N$7:$N$2010,"P3")</f>
        <v>4805</v>
      </c>
      <c r="U27" s="411">
        <f>SUMIFS('LAC 102_Wkst'!$AE$7:$AE$2010,'LAC 102_Wkst'!$E$7:$E$2010,$C27,'LAC 102_Wkst'!$G$7:$G$2010,$D27,'LAC 102_Wkst'!$L$7:$L$2010,"05",'LAC 102_Wkst'!$N$7:$N$2010,"P2")+SUMIFS('LAC 102_Wkst'!$AE$7:$AE$2010,'LAC 102_Wkst'!$E$7:$E$2010,$C27,'LAC 102_Wkst'!$G$7:$G$2010,$D27,'LAC 102_Wkst'!$L$7:$L$2010,"06",'LAC 102_Wkst'!$N$7:$N$2010,"P3")+SUMIFS('LAC 102_Wkst'!$AE$7:$AE$2010,'LAC 102_Wkst'!$E$7:$E$2010,$C27,'LAC 102_Wkst'!$G$7:$G$2010,$D27,'LAC 102_Wkst'!$L$7:$L$2010,"05",'LAC 102_Wkst'!$N$7:$N$2010,"P2")+SUMIFS('LAC 102_Wkst'!$AE$7:$AE$2010,'LAC 102_Wkst'!$E$7:$E$2010,$C27,'LAC 102_Wkst'!$G$7:$G$2010,$D27,'LAC 102_Wkst'!$L$7:$L$2010,"06",'LAC 102_Wkst'!$N$7:$N$2010,"P3")</f>
        <v>0</v>
      </c>
      <c r="V27" s="410">
        <f>SUMIFS('LAC 102_Wkst'!$Q$7:$Q$2010,'LAC 102_Wkst'!$E$7:$E$2010,$C27,'LAC 102_Wkst'!$G$7:$G$2010,$D27,'LAC 102_Wkst'!$L$7:$L$2010,"05",'LAC 102_Wkst'!$N$7:$N$2010,"P4")+SUMIFS('LAC 102_Wkst'!$Q$7:$Q$2010,'LAC 102_Wkst'!$E$7:$E$2010,$C27,'LAC 102_Wkst'!$G$7:$G$2010,$D27,'LAC 102_Wkst'!$L$7:$L$2010,"06",'LAC 102_Wkst'!$N$7:$N$2010,"P4")</f>
        <v>1199</v>
      </c>
      <c r="W27" s="411">
        <f>SUMIFS('LAC 102_Wkst'!$AE$7:$AE$2010,'LAC 102_Wkst'!$E$7:$E$2010,$C27,'LAC 102_Wkst'!$G$7:$G$2010,$D27,'LAC 102_Wkst'!$L$7:$L$2010,"05",'LAC 102_Wkst'!$N$7:$N$2010,"P4")+SUMIFS('LAC 102_Wkst'!$AE$7:$AE$2010,'LAC 102_Wkst'!$E$7:$E$2010,$C27,'LAC 102_Wkst'!$G$7:$G$2010,$D27,'LAC 102_Wkst'!$L$7:$L$2010,"06",'LAC 102_Wkst'!$N$7:$N$2010,"P4")</f>
        <v>0</v>
      </c>
      <c r="X27" s="404">
        <f>SUMIFS('LAC 102_Wkst'!$Q$7:$Q$2010,'LAC 102_Wkst'!$E$7:$E$2010,$C27,'LAC 102_Wkst'!$G$7:$G$2010,$D27,'LAC 102_Wkst'!$L$7:$L$2010,"05",'LAC 102_Wkst'!$N$7:$N$2010,"P5")+SUMIFS('LAC 102_Wkst'!$Q$7:$Q$2010,'LAC 102_Wkst'!$E$7:$E$2010,$C27,'LAC 102_Wkst'!$G$7:$G$2010,$D27,'LAC 102_Wkst'!$L$7:$L$2010,"06",'LAC 102_Wkst'!$N$7:$N$2010,"P5")</f>
        <v>1060</v>
      </c>
      <c r="Y27" s="411">
        <f>SUMIFS('LAC 102_Wkst'!$AE$7:$AE$2010,'LAC 102_Wkst'!$E$7:$E$2010,$C27,'LAC 102_Wkst'!$G$7:$G$2010,$D27,'LAC 102_Wkst'!$L$7:$L$2010,"05",'LAC 102_Wkst'!$N$7:$N$2010,"P5")+SUMIFS('LAC 102_Wkst'!$AE$7:$AE$2010,'LAC 102_Wkst'!$E$7:$E$2010,$C27,'LAC 102_Wkst'!$G$7:$G$2010,$D27,'LAC 102_Wkst'!$L$7:$L$2010,"06",'LAC 102_Wkst'!$N$7:$N$2010,"P5")</f>
        <v>0</v>
      </c>
      <c r="Z27" s="410">
        <f>SUMIFS('LAC 102_Wkst'!$Q$7:$Q$2010,'LAC 102_Wkst'!$E$7:$E$2010,$C27,'LAC 102_Wkst'!$G$7:$G$2010,$D27,'LAC 102_Wkst'!$L$7:$L$2010,"07",'LAC 102_Wkst'!$N$7:$N$2010,"P1")+SUMIFS('LAC 102_Wkst'!$Q$7:$Q$2010,'LAC 102_Wkst'!$E$7:$E$2010,$C27,'LAC 102_Wkst'!$G$7:$G$2010,$D27,'LAC 102_Wkst'!$L$7:$L$2010,"07",'LAC 102_Wkst'!$N$7:$N$2010,"P2")+SUMIFS('LAC 102_Wkst'!$Q$7:$Q$2010,'LAC 102_Wkst'!$E$7:$E$2010,$C27,'LAC 102_Wkst'!$G$7:$G$2010,$D27,'LAC 102_Wkst'!$L$7:$L$2010,"07",'LAC 102_Wkst'!$N$7:$N$2010,"P3")</f>
        <v>0</v>
      </c>
      <c r="AA27" s="411">
        <f>SUMIFS('LAC 102_Wkst'!$AE$7:$AE$2010,'LAC 102_Wkst'!$E$7:$E$2010,$C27,'LAC 102_Wkst'!$G$7:$G$2010,$D27,'LAC 102_Wkst'!$L$7:$L$2010,"07",'LAC 102_Wkst'!$N$7:$N$2010,"P1")+SUMIFS('LAC 102_Wkst'!$AE$7:$AE$2010,'LAC 102_Wkst'!$E$7:$E$2010,$C27,'LAC 102_Wkst'!$G$7:$G$2010,$D27,'LAC 102_Wkst'!$L$7:$L$2010,"07",'LAC 102_Wkst'!$N$7:$N$2010,"P2")+SUMIFS('LAC 102_Wkst'!$AE$7:$AE$2010,'LAC 102_Wkst'!$E$7:$E$2010,$C27,'LAC 102_Wkst'!$G$7:$G$2010,$D27,'LAC 102_Wkst'!$L$7:$L$2010,"07",'LAC 102_Wkst'!$N$7:$N$2010,"P3")</f>
        <v>0</v>
      </c>
      <c r="AB27" s="410">
        <f>SUMIFS('LAC 102_Wkst'!$Q$7:$Q$2010,'LAC 102_Wkst'!$E$7:$E$2010,$C27,'LAC 102_Wkst'!$G$7:$G$2010,$D27,'LAC 102_Wkst'!$L$7:$L$2010,"07",'LAC 102_Wkst'!$N$7:$N$2010,"P4")</f>
        <v>0</v>
      </c>
      <c r="AC27" s="411">
        <f>SUMIFS('LAC 102_Wkst'!$AE$7:$AE$2010,'LAC 102_Wkst'!$E$7:$E$2010,$C27,'LAC 102_Wkst'!$G$7:$G$2010,$D27,'LAC 102_Wkst'!$L$7:$L$2010,"07",'LAC 102_Wkst'!$N$7:$N$2010,"P4")</f>
        <v>0</v>
      </c>
      <c r="AD27" s="404">
        <f>SUMIFS('LAC 102_Wkst'!$Q$7:$Q$2010,'LAC 102_Wkst'!$E$7:$E$2010,$C27,'LAC 102_Wkst'!$G$7:$G$2010,$D27,'LAC 102_Wkst'!$L$7:$L$2010,"07",'LAC 102_Wkst'!$N$7:$N$2010,"P5")</f>
        <v>0</v>
      </c>
      <c r="AE27" s="411">
        <f>SUMIFS('LAC 102_Wkst'!$AE$7:$AE$2010,'LAC 102_Wkst'!$E$7:$E$2010,$C27,'LAC 102_Wkst'!$G$7:$G$2010,$D27,'LAC 102_Wkst'!$L$7:$L$2010,"07",'LAC 102_Wkst'!$N$7:$N$2010,"P5")</f>
        <v>0</v>
      </c>
      <c r="AF27" s="410">
        <f>SUMIFS('LAC 102_Wkst'!$Q$7:$Q$2010,'LAC 102_Wkst'!$E$7:$E$2010,$C27,'LAC 102_Wkst'!$G$7:$G$2010,$D27,'LAC 102_Wkst'!$L$7:$L$2010,"08",'LAC 102_Wkst'!$N$7:$N$2010,"P1")+SUMIFS('LAC 102_Wkst'!$Q$7:$Q$2010,'LAC 102_Wkst'!$E$7:$E$2010,$C27,'LAC 102_Wkst'!$G$7:$G$2010,$D27,'LAC 102_Wkst'!$L$7:$L$2010,"08",'LAC 102_Wkst'!$N$7:$N$2010,"P2")+SUMIFS('LAC 102_Wkst'!$Q$7:$Q$2010,'LAC 102_Wkst'!$E$7:$E$2010,$C27,'LAC 102_Wkst'!$G$7:$G$2010,$D27,'LAC 102_Wkst'!$L$7:$L$2010,"08",'LAC 102_Wkst'!$N$7:$N$2010,"P3")</f>
        <v>0</v>
      </c>
      <c r="AG27" s="411">
        <f>SUMIFS('LAC 102_Wkst'!$AE$7:$AE$2010,'LAC 102_Wkst'!$E$7:$E$2010,$C27,'LAC 102_Wkst'!$G$7:$G$2010,$D27,'LAC 102_Wkst'!$L$7:$L$2010,"08",'LAC 102_Wkst'!$N$7:$N$2010,"P1")+SUMIFS('LAC 102_Wkst'!$AE$7:$AE$2010,'LAC 102_Wkst'!$E$7:$E$2010,$C27,'LAC 102_Wkst'!$G$7:$G$2010,$D27,'LAC 102_Wkst'!$L$7:$L$2010,"08",'LAC 102_Wkst'!$N$7:$N$2010,"P2")+SUMIFS('LAC 102_Wkst'!$AE$7:$AE$2010,'LAC 102_Wkst'!$E$7:$E$2010,$C27,'LAC 102_Wkst'!$G$7:$G$2010,$D27,'LAC 102_Wkst'!$L$7:$L$2010,"08",'LAC 102_Wkst'!$N$7:$N$2010,"P3")</f>
        <v>0</v>
      </c>
      <c r="AH27" s="410">
        <f>SUMIFS('LAC 102_Wkst'!$Q$7:$Q$2010,'LAC 102_Wkst'!$E$7:$E$2010,$C27,'LAC 102_Wkst'!$G$7:$G$2010,$D27,'LAC 102_Wkst'!$L$7:$L$2010,"08",'LAC 102_Wkst'!$N$7:$N$2010,"P4")</f>
        <v>0</v>
      </c>
      <c r="AI27" s="411">
        <f>SUMIFS('LAC 102_Wkst'!$AE$7:$AE$2010,'LAC 102_Wkst'!$E$7:$E$2010,$C27,'LAC 102_Wkst'!$G$7:$G$2010,$D27,'LAC 102_Wkst'!$L$7:$L$2010,"08",'LAC 102_Wkst'!$N$7:$N$2010,"P4")</f>
        <v>0</v>
      </c>
      <c r="AJ27" s="404">
        <f>SUMIFS('LAC 102_Wkst'!$Q$7:$Q$2010,'LAC 102_Wkst'!$E$7:$E$2010,$C27,'LAC 102_Wkst'!$G$7:$G$2010,$D27,'LAC 102_Wkst'!$L$7:$L$2010,"08",'LAC 102_Wkst'!$N$7:$N$2010,"P5")</f>
        <v>0</v>
      </c>
      <c r="AK27" s="411">
        <f>SUMIFS('LAC 102_Wkst'!$AE$7:$AE$2010,'LAC 102_Wkst'!$E$7:$E$2010,$C27,'LAC 102_Wkst'!$G$7:$G$2010,$D27,'LAC 102_Wkst'!$L$7:$L$2010,"08",'LAC 102_Wkst'!$N$7:$N$2010,"P5")</f>
        <v>0</v>
      </c>
      <c r="AL27" s="410">
        <f>SUMIFS('LAC 102_Wkst'!$Q$7:$Q$2010,'LAC 102_Wkst'!$E$7:$E$2010,$C27,'LAC 102_Wkst'!$G$7:$G$2010,$D27,'LAC 102_Wkst'!$L$7:$L$2010,"09",'LAC 102_Wkst'!$N$7:$N$2010,"P1")+SUMIFS('LAC 102_Wkst'!$Q$7:$Q$2010,'LAC 102_Wkst'!$E$7:$E$2010,$C27,'LAC 102_Wkst'!$G$7:$G$2010,$D27,'LAC 102_Wkst'!$L$7:$L$2010,"09",'LAC 102_Wkst'!$N$7:$N$2010,"P2")+SUMIFS('LAC 102_Wkst'!$Q$7:$Q$2010,'LAC 102_Wkst'!$E$7:$E$2010,$C27,'LAC 102_Wkst'!$G$7:$G$2010,$D27,'LAC 102_Wkst'!$L$7:$L$2010,"09",'LAC 102_Wkst'!$N$7:$N$2010,"P3")+SUMIFS('LAC 102_Wkst'!$Q$7:$Q$2010,'LAC 102_Wkst'!$E$7:$E$2010,$C27,'LAC 102_Wkst'!$G$7:$G$2010,$D27,'LAC 102_Wkst'!$L$7:$L$2010,"09",'LAC 102_Wkst'!$N$7:$N$2010,"P4")</f>
        <v>0</v>
      </c>
      <c r="AM27" s="411">
        <f>SUMIFS('LAC 102_Wkst'!$AE$7:$AE$2010,'LAC 102_Wkst'!$E$7:$E$2010,$C27,'LAC 102_Wkst'!$G$7:$G$2010,$D27,'LAC 102_Wkst'!$L$7:$L$2010,"09",'LAC 102_Wkst'!$N$7:$N$2010,"P1")+SUMIFS('LAC 102_Wkst'!$AE$7:$AE$2010,'LAC 102_Wkst'!$E$7:$E$2010,$C27,'LAC 102_Wkst'!$G$7:$G$2010,$D27,'LAC 102_Wkst'!$L$7:$L$2010,"09",'LAC 102_Wkst'!$N$7:$N$2010,"P2")+SUMIFS('LAC 102_Wkst'!$AE$7:$AE$2010,'LAC 102_Wkst'!$E$7:$E$2010,$C27,'LAC 102_Wkst'!$G$7:$G$2010,$D27,'LAC 102_Wkst'!$L$7:$L$2010,"09",'LAC 102_Wkst'!$N$7:$N$2010,"P3")+SUMIFS('LAC 102_Wkst'!$AE$7:$AE$2010,'LAC 102_Wkst'!$E$7:$E$2010,$C27,'LAC 102_Wkst'!$G$7:$G$2010,$D27,'LAC 102_Wkst'!$L$7:$L$2010,"09",'LAC 102_Wkst'!$N$7:$N$2010,"P4")</f>
        <v>0</v>
      </c>
      <c r="AN27" s="410">
        <f>SUMIFS('LAC 102_Wkst'!$Q$7:$Q$2010,'LAC 102_Wkst'!$E$7:$E$2010,$C27,'LAC 102_Wkst'!$G$7:$G$2010,$D27,'LAC 102_Wkst'!$L$7:$L$2010,"09",'LAC 102_Wkst'!$N$7:$N$2010,"P5")</f>
        <v>0</v>
      </c>
      <c r="AO27" s="411">
        <f>SUMIFS('LAC 102_Wkst'!$AE$7:$AE$2010,'LAC 102_Wkst'!$E$7:$E$2010,$C27,'LAC 102_Wkst'!$G$7:$G$2010,$D27,'LAC 102_Wkst'!$L$7:$L$2010,"09",'LAC 102_Wkst'!$N$7:$N$2010,"P5")</f>
        <v>0</v>
      </c>
      <c r="AP27" s="404">
        <f>SUMIFS('LAC 102_Wkst'!$Q$7:$Q$2010,'LAC 102_Wkst'!$E$7:$E$2010,$C27,'LAC 102_Wkst'!$G$7:$G$2010,$D27,'LAC 102_Wkst'!$L$7:$L$2010,"10",'LAC 102_Wkst'!$N$7:$N$2010,"P1")+SUMIFS('LAC 102_Wkst'!$Q$7:$Q$2010,'LAC 102_Wkst'!$E$7:$E$2010,$C27,'LAC 102_Wkst'!$G$7:$G$2010,$D27,'LAC 102_Wkst'!$L$7:$L$2010,"10",'LAC 102_Wkst'!$N$7:$N$2010,"P2")+SUMIFS('LAC 102_Wkst'!$Q$7:$Q$2010,'LAC 102_Wkst'!$E$7:$E$2010,$C27,'LAC 102_Wkst'!$G$7:$G$2010,$D27,'LAC 102_Wkst'!$L$7:$L$2010,"10",'LAC 102_Wkst'!$N$7:$N$2010,"P3")+SUMIFS('LAC 102_Wkst'!$Q$7:$Q$2010,'LAC 102_Wkst'!$E$7:$E$2010,$C27,'LAC 102_Wkst'!$G$7:$G$2010,$D27,'LAC 102_Wkst'!$L$7:$L$2010,"10",'LAC 102_Wkst'!$N$7:$N$2010,"P4")</f>
        <v>305757</v>
      </c>
      <c r="AQ27" s="411">
        <f>SUMIFS('LAC 102_Wkst'!$AE$7:$AE$2010,'LAC 102_Wkst'!$E$7:$E$2010,$C27,'LAC 102_Wkst'!$G$7:$G$2010,$D27,'LAC 102_Wkst'!$L$7:$L$2010,"10",'LAC 102_Wkst'!$N$7:$N$2010,"P1")+SUMIFS('LAC 102_Wkst'!$AE$7:$AE$2010,'LAC 102_Wkst'!$E$7:$E$2010,$C27,'LAC 102_Wkst'!$G$7:$G$2010,$D27,'LAC 102_Wkst'!$L$7:$L$2010,"10",'LAC 102_Wkst'!$N$7:$N$2010,"P2")+SUMIFS('LAC 102_Wkst'!$AE$7:$AE$2010,'LAC 102_Wkst'!$E$7:$E$2010,$C27,'LAC 102_Wkst'!$G$7:$G$2010,$D27,'LAC 102_Wkst'!$L$7:$L$2010,"10",'LAC 102_Wkst'!$N$7:$N$2010,"P3")+SUMIFS('LAC 102_Wkst'!$AE$7:$AE$2010,'LAC 102_Wkst'!$E$7:$E$2010,$C27,'LAC 102_Wkst'!$G$7:$G$2010,$D27,'LAC 102_Wkst'!$L$7:$L$2010,"10",'LAC 102_Wkst'!$N$7:$N$2010,"P4")</f>
        <v>0</v>
      </c>
      <c r="AR27" s="410">
        <f>SUMIFS('LAC 102_Wkst'!$Q$7:$Q$2010,'LAC 102_Wkst'!$E$7:$E$2010,$C27,'LAC 102_Wkst'!$G$7:$G$2010,$D27,'LAC 102_Wkst'!$L$7:$L$2010,"10",'LAC 102_Wkst'!$N$7:$N$2010,"P5")</f>
        <v>50874</v>
      </c>
      <c r="AS27" s="411">
        <f>SUMIFS('LAC 102_Wkst'!$AE$7:$AE$2010,'LAC 102_Wkst'!$E$7:$E$2010,$C27,'LAC 102_Wkst'!$G$7:$G$2010,$D27,'LAC 102_Wkst'!$L$7:$L$2010,"10",'LAC 102_Wkst'!$N$7:$N$2010,"P5")</f>
        <v>0</v>
      </c>
      <c r="AT27" s="410">
        <f>SUMIFS('LAC 102_Wkst'!$Q$7:$Q$2010,'LAC 102_Wkst'!$E$7:$E$2010,$C27,'LAC 102_Wkst'!$G$7:$G$2010,$D27,'LAC 102_Wkst'!$L$7:$L$2010,"11",'LAC 102_Wkst'!$N$7:$N$2010,"P1")+SUMIFS('LAC 102_Wkst'!$Q$7:$Q$2010,'LAC 102_Wkst'!$E$7:$E$2010,$C27,'LAC 102_Wkst'!$G$7:$G$2010,$D27,'LAC 102_Wkst'!$L$7:$L$2010,"12",'LAC 102_Wkst'!$N$7:$N$2010,"P1")</f>
        <v>0</v>
      </c>
      <c r="AU27" s="411">
        <f>SUMIFS('LAC 102_Wkst'!$AE$7:$AE$2010,'LAC 102_Wkst'!$E$7:$E$2010,$C27,'LAC 102_Wkst'!$G$7:$G$2010,$D27,'LAC 102_Wkst'!$L$7:$L$2010,"11",'LAC 102_Wkst'!$N$7:$N$2010,"P1")+SUMIFS('LAC 102_Wkst'!$AE$7:$AE$2010,'LAC 102_Wkst'!$E$7:$E$2010,$C27,'LAC 102_Wkst'!$G$7:$G$2010,$D27,'LAC 102_Wkst'!$L$7:$L$2010,"12",'LAC 102_Wkst'!$N$7:$N$2010,"P1")</f>
        <v>0</v>
      </c>
      <c r="AV27" s="404">
        <f>SUMIFS('LAC 102_Wkst'!$Q$7:$Q$2010,'LAC 102_Wkst'!$E$7:$E$2010,$C27,'LAC 102_Wkst'!$G$7:$G$2010,$D27,'LAC 102_Wkst'!$L$7:$L$2010,"11",'LAC 102_Wkst'!$N$7:$N$2010,"P2")+SUMIFS('LAC 102_Wkst'!$Q$7:$Q$2010,'LAC 102_Wkst'!$E$7:$E$2010,$C27,'LAC 102_Wkst'!$G$7:$G$2010,$D27,'LAC 102_Wkst'!$L$7:$L$2010,"12",'LAC 102_Wkst'!$N$7:$N$2010,"P3")+SUMIFS('LAC 102_Wkst'!$Q$7:$Q$2010,'LAC 102_Wkst'!$E$7:$E$2010,$C27,'LAC 102_Wkst'!$G$7:$G$2010,$D27,'LAC 102_Wkst'!$L$7:$L$2010,"11",'LAC 102_Wkst'!$N$7:$N$2010,"P2")+SUMIFS('LAC 102_Wkst'!$Q$7:$Q$2010,'LAC 102_Wkst'!$E$7:$E$2010,$C27,'LAC 102_Wkst'!$G$7:$G$2010,$D27,'LAC 102_Wkst'!$L$7:$L$2010,"12",'LAC 102_Wkst'!$N$7:$N$2010,"P3")</f>
        <v>0</v>
      </c>
      <c r="AW27" s="411">
        <f>SUMIFS('LAC 102_Wkst'!$AE$7:$AE$2010,'LAC 102_Wkst'!$E$7:$E$2010,$C27,'LAC 102_Wkst'!$G$7:$G$2010,$D27,'LAC 102_Wkst'!$L$7:$L$2010,"11",'LAC 102_Wkst'!$N$7:$N$2010,"P2")+SUMIFS('LAC 102_Wkst'!$AE$7:$AE$2010,'LAC 102_Wkst'!$E$7:$E$2010,$C27,'LAC 102_Wkst'!$G$7:$G$2010,$D27,'LAC 102_Wkst'!$L$7:$L$2010,"12",'LAC 102_Wkst'!$N$7:$N$2010,"P3")+SUMIFS('LAC 102_Wkst'!$AE$7:$AE$2010,'LAC 102_Wkst'!$E$7:$E$2010,$C27,'LAC 102_Wkst'!$G$7:$G$2010,$D27,'LAC 102_Wkst'!$L$7:$L$2010,"11",'LAC 102_Wkst'!$N$7:$N$2010,"P2")+SUMIFS('LAC 102_Wkst'!$AE$7:$AE$2010,'LAC 102_Wkst'!$E$7:$E$2010,$C27,'LAC 102_Wkst'!$G$7:$G$2010,$D27,'LAC 102_Wkst'!$L$7:$L$2010,"12",'LAC 102_Wkst'!$N$7:$N$2010,"P3")</f>
        <v>0</v>
      </c>
      <c r="AX27" s="404">
        <f>SUMIFS('LAC 102_Wkst'!$Q$7:$Q$2010,'LAC 102_Wkst'!$E$7:$E$2010,$C27,'LAC 102_Wkst'!$G$7:$G$2010,$D27,'LAC 102_Wkst'!$L$7:$L$2010,"11",'LAC 102_Wkst'!$N$7:$N$2010,"P4")+SUMIFS('LAC 102_Wkst'!$Q$7:$Q$2010,'LAC 102_Wkst'!$E$7:$E$2010,$C27,'LAC 102_Wkst'!$G$7:$G$2010,$D27,'LAC 102_Wkst'!$L$7:$L$2010,"12",'LAC 102_Wkst'!$N$7:$N$2010,"P4")</f>
        <v>0</v>
      </c>
      <c r="AY27" s="411">
        <f>SUMIFS('LAC 102_Wkst'!$AE$7:$AE$2010,'LAC 102_Wkst'!$E$7:$E$2010,$C27,'LAC 102_Wkst'!$G$7:$G$2010,$D27,'LAC 102_Wkst'!$L$7:$L$2010,"11",'LAC 102_Wkst'!$N$7:$N$2010,"P4")+SUMIFS('LAC 102_Wkst'!$AE$7:$AE$2010,'LAC 102_Wkst'!$E$7:$E$2010,$C27,'LAC 102_Wkst'!$G$7:$G$2010,$D27,'LAC 102_Wkst'!$L$7:$L$2010,"12",'LAC 102_Wkst'!$N$7:$N$2010,"P4")</f>
        <v>0</v>
      </c>
      <c r="AZ27" s="404">
        <f>SUMIFS('LAC 102_Wkst'!$Q$7:$Q$2010,'LAC 102_Wkst'!$E$7:$E$2010,$C27,'LAC 102_Wkst'!$G$7:$G$2010,$D27,'LAC 102_Wkst'!$L$7:$L$2010,"11",'LAC 102_Wkst'!$N$7:$N$2010,"P5")+SUMIFS('LAC 102_Wkst'!$Q$7:$Q$2010,'LAC 102_Wkst'!$E$7:$E$2010,$C27,'LAC 102_Wkst'!$G$7:$G$2010,$D27,'LAC 102_Wkst'!$L$7:$L$2010,"12",'LAC 102_Wkst'!$N$7:$N$2010,"P5")</f>
        <v>0</v>
      </c>
      <c r="BA27" s="411">
        <f>SUMIFS('LAC 102_Wkst'!$AE$7:$AE$2010,'LAC 102_Wkst'!$E$7:$E$2010,$C27,'LAC 102_Wkst'!$G$7:$G$2010,$D27,'LAC 102_Wkst'!$L$7:$L$2010,"11",'LAC 102_Wkst'!$N$7:$N$2010,"P5")+SUMIFS('LAC 102_Wkst'!$AE$7:$AE$2010,'LAC 102_Wkst'!$E$7:$E$2010,$C27,'LAC 102_Wkst'!$G$7:$G$2010,$D27,'LAC 102_Wkst'!$L$7:$L$2010,"12",'LAC 102_Wkst'!$N$7:$N$2010,"P5")</f>
        <v>0</v>
      </c>
      <c r="BB27" s="404">
        <f>SUMIFS('LAC 102_Wkst'!$Q$7:$Q$2010,'LAC 102_Wkst'!$E$7:$E$2010,$C27,'LAC 102_Wkst'!$G$7:$G$2010,$D27,'LAC 102_Wkst'!$L$7:$L$2010,"13",'LAC 102_Wkst'!$N$7:$N$2010,"P1")+SUMIFS('LAC 102_Wkst'!$Q$7:$Q$2010,'LAC 102_Wkst'!$E$7:$E$2010,$C27,'LAC 102_Wkst'!$G$7:$G$2010,$D27,'LAC 102_Wkst'!$L$7:$L$2010,"13",'LAC 102_Wkst'!$N$7:$N$2010,"P2")+SUMIFS('LAC 102_Wkst'!$Q$7:$Q$2010,'LAC 102_Wkst'!$E$7:$E$2010,$C27,'LAC 102_Wkst'!$G$7:$G$2010,$D27,'LAC 102_Wkst'!$L$7:$L$2010,"13",'LAC 102_Wkst'!$N$7:$N$2010,"P3")+SUMIFS('LAC 102_Wkst'!$Q$7:$Q$2010,'LAC 102_Wkst'!$E$7:$E$2010,$C27,'LAC 102_Wkst'!$G$7:$G$2010,$D27,'LAC 102_Wkst'!$L$7:$L$2010,"13",'LAC 102_Wkst'!$N$7:$N$2010,"P4")</f>
        <v>12118</v>
      </c>
      <c r="BC27" s="411">
        <f>SUMIFS('LAC 102_Wkst'!$AE$7:$AE$2010,'LAC 102_Wkst'!$E$7:$E$2010,$C27,'LAC 102_Wkst'!$G$7:$G$2010,$D27,'LAC 102_Wkst'!$L$7:$L$2010,"13",'LAC 102_Wkst'!$N$7:$N$2010,"P1")+SUMIFS('LAC 102_Wkst'!$AE$7:$AE$2010,'LAC 102_Wkst'!$E$7:$E$2010,$C27,'LAC 102_Wkst'!$G$7:$G$2010,$D27,'LAC 102_Wkst'!$L$7:$L$2010,"13",'LAC 102_Wkst'!$N$7:$N$2010,"P2")+SUMIFS('LAC 102_Wkst'!$AE$7:$AE$2010,'LAC 102_Wkst'!$E$7:$E$2010,$C27,'LAC 102_Wkst'!$G$7:$G$2010,$D27,'LAC 102_Wkst'!$L$7:$L$2010,"13",'LAC 102_Wkst'!$N$7:$N$2010,"P3")+SUMIFS('LAC 102_Wkst'!$AE$7:$AE$2010,'LAC 102_Wkst'!$E$7:$E$2010,$C27,'LAC 102_Wkst'!$G$7:$G$2010,$D27,'LAC 102_Wkst'!$L$7:$L$2010,"13",'LAC 102_Wkst'!$N$7:$N$2010,"P4")</f>
        <v>0</v>
      </c>
      <c r="BD27" s="404">
        <f>SUMIFS('LAC 102_Wkst'!$Q$7:$Q$2010,'LAC 102_Wkst'!$E$7:$E$2010,$C27,'LAC 102_Wkst'!$G$7:$G$2010,$D27,'LAC 102_Wkst'!$L$7:$L$2010,"13",'LAC 102_Wkst'!$N$7:$N$2010,"P5")</f>
        <v>0</v>
      </c>
      <c r="BE27" s="411">
        <f>SUMIFS('LAC 102_Wkst'!$AE$7:$AE$2010,'LAC 102_Wkst'!$E$7:$E$2010,$C27,'LAC 102_Wkst'!$G$7:$G$2010,$D27,'LAC 102_Wkst'!$L$7:$L$2010,"13",'LAC 102_Wkst'!$N$7:$N$2010,"P5")</f>
        <v>0</v>
      </c>
      <c r="BF27" s="407">
        <f t="shared" si="0"/>
        <v>14830</v>
      </c>
    </row>
    <row r="28" spans="1:58" x14ac:dyDescent="0.2">
      <c r="A28" s="401">
        <v>9</v>
      </c>
      <c r="B28" s="1236" t="s">
        <v>738</v>
      </c>
      <c r="C28" s="1235" t="s">
        <v>95</v>
      </c>
      <c r="D28" s="1237" t="s">
        <v>422</v>
      </c>
      <c r="E28" s="1222">
        <f>IF(CONCATENATE(C28,D28)&gt;"6069",1,SUMIFS('LAC 102_Wkst'!$Q$7:$Q$2010,'LAC 102_Wkst'!$E$7:$E$2010,Schedule_B!$C28,'LAC 102_Wkst'!$G$7:$G$2010,Schedule_B!$D28))</f>
        <v>327493</v>
      </c>
      <c r="F28" s="408">
        <f>SUMIFS('LAC 102_Wkst'!$Q$7:$Q$2010,'LAC 102_Wkst'!$E$7:$E$2010,$C28,'LAC 102_Wkst'!$G$7:$G$2010,$D28,'LAC 102_Wkst'!$L$7:$L$2010,"01",'LAC 102_Wkst'!$N$7:$N$2010,"P1")+SUMIFS('LAC 102_Wkst'!$Q$7:$Q$2010,'LAC 102_Wkst'!$E$7:$E$2010,$C28,'LAC 102_Wkst'!$G$7:$G$2010,$D28,'LAC 102_Wkst'!$L$7:$L$2010,"01",'LAC 102_Wkst'!$N$7:$N$2010,"P2")+SUMIFS('LAC 102_Wkst'!$Q$7:$Q$2010,'LAC 102_Wkst'!$E$7:$E$2010,$C28,'LAC 102_Wkst'!$G$7:$G$2010,$D28,'LAC 102_Wkst'!$L$7:$L$2010,"01",'LAC 102_Wkst'!$N$7:$N$2010,"P3")+SUMIFS('LAC 102_Wkst'!$Q$7:$Q$2010,'LAC 102_Wkst'!$E$7:$E$2010,$C28,'LAC 102_Wkst'!$G$7:$G$2010,$D28,'LAC 102_Wkst'!$L$7:$L$2010,"02",'LAC 102_Wkst'!$N$7:$N$2010,"P1")+SUMIFS('LAC 102_Wkst'!$Q$7:$Q$2010,'LAC 102_Wkst'!$E$7:$E$2010,$C28,'LAC 102_Wkst'!$G$7:$G$2010,$D28,'LAC 102_Wkst'!$L$7:$L$2010,"02",'LAC 102_Wkst'!$N$7:$N$2010,"P2")+SUMIFS('LAC 102_Wkst'!$Q$7:$Q$2010,'LAC 102_Wkst'!$E$7:$E$2010,$C28,'LAC 102_Wkst'!$G$7:$G$2010,$D28,'LAC 102_Wkst'!$L$7:$L$2010,"02",'LAC 102_Wkst'!$N$7:$N$2010,"P3")</f>
        <v>232461</v>
      </c>
      <c r="G28" s="409">
        <f>SUMIFS('LAC 102_Wkst'!$AE$7:$AE$2010,'LAC 102_Wkst'!$E$7:$E$2010,$C28,'LAC 102_Wkst'!$G$7:$G$2010,$D28,'LAC 102_Wkst'!$L$7:$L$2010,"01",'LAC 102_Wkst'!$N$7:$N$2010,"P1")+SUMIFS('LAC 102_Wkst'!$AE$7:$AE$2010,'LAC 102_Wkst'!$E$7:$E$2010,$C28,'LAC 102_Wkst'!$G$7:$G$2010,$D28,'LAC 102_Wkst'!$L$7:$L$2010,"01",'LAC 102_Wkst'!$N$7:$N$2010,"P2")+SUMIFS('LAC 102_Wkst'!$AE$7:$AE$2010,'LAC 102_Wkst'!$E$7:$E$2010,$C28,'LAC 102_Wkst'!$G$7:$G$2010,$D28,'LAC 102_Wkst'!$L$7:$L$2010,"01",'LAC 102_Wkst'!$N$7:$N$2010,"P3")+SUMIFS('LAC 102_Wkst'!$AE$7:$AE$2010,'LAC 102_Wkst'!$E$7:$E$2010,$C28,'LAC 102_Wkst'!$G$7:$G$2010,$D28,'LAC 102_Wkst'!$L$7:$L$2010,"02",'LAC 102_Wkst'!$N$7:$N$2010,"P1")+SUMIFS('LAC 102_Wkst'!$AE$7:$AE$2010,'LAC 102_Wkst'!$E$7:$E$2010,$C28,'LAC 102_Wkst'!$G$7:$G$2010,$D28,'LAC 102_Wkst'!$L$7:$L$2010,"02",'LAC 102_Wkst'!$N$7:$N$2010,"P2")+SUMIFS('LAC 102_Wkst'!$AE$7:$AE$2010,'LAC 102_Wkst'!$E$7:$E$2010,$C28,'LAC 102_Wkst'!$G$7:$G$2010,$D28,'LAC 102_Wkst'!$L$7:$L$2010,"02",'LAC 102_Wkst'!$N$7:$N$2010,"P3")</f>
        <v>0</v>
      </c>
      <c r="H28" s="410">
        <f>SUMIFS('LAC 102_Wkst'!$Q$7:$Q$2010,'LAC 102_Wkst'!$E$7:$E$2010,$C28,'LAC 102_Wkst'!$G$7:$G$2010,$D28,'LAC 102_Wkst'!$L$7:$L$2010,"01",'LAC 102_Wkst'!$N$7:$N$2010,"P4")+SUMIFS('LAC 102_Wkst'!$Q$7:$Q$2010,'LAC 102_Wkst'!$E$7:$E$2010,$C28,'LAC 102_Wkst'!$G$7:$G$2010,$D28,'LAC 102_Wkst'!$L$7:$L$2010,"02",'LAC 102_Wkst'!$N$7:$N$2010,"P4")</f>
        <v>37289</v>
      </c>
      <c r="I28" s="411">
        <f>SUMIFS('LAC 102_Wkst'!$AE$7:$AE$2010,'LAC 102_Wkst'!$E$7:$E$2010,$C28,'LAC 102_Wkst'!$G$7:$G$2010,$D28,'LAC 102_Wkst'!$L$7:$L$2010,"01",'LAC 102_Wkst'!$N$7:$N$2010,"P4")+SUMIFS('LAC 102_Wkst'!$AE$7:$AE$2010,'LAC 102_Wkst'!$E$7:$E$2010,$C28,'LAC 102_Wkst'!$G$7:$G$2010,$D28,'LAC 102_Wkst'!$L$7:$L$2010,"02",'LAC 102_Wkst'!$N$7:$N$2010,"P4")</f>
        <v>0</v>
      </c>
      <c r="J28" s="410">
        <f>SUMIFS('LAC 102_Wkst'!$Q$7:$Q$2010,'LAC 102_Wkst'!$E$7:$E$2010,$C28,'LAC 102_Wkst'!$G$7:$G$2010,$D28,'LAC 102_Wkst'!$L$7:$L$2010,"01",'LAC 102_Wkst'!$N$7:$N$2010,"P5")+SUMIFS('LAC 102_Wkst'!$Q$7:$Q$2010,'LAC 102_Wkst'!$E$7:$E$2010,$C28,'LAC 102_Wkst'!$G$7:$G$2010,$D28,'LAC 102_Wkst'!$L$7:$L$2010,"02",'LAC 102_Wkst'!$N$7:$N$2010,"P5")</f>
        <v>48250</v>
      </c>
      <c r="K28" s="411">
        <f>SUMIFS('LAC 102_Wkst'!$AE$7:$AE$2010,'LAC 102_Wkst'!$E$7:$E$2010,$C28,'LAC 102_Wkst'!$G$7:$G$2010,$D28,'LAC 102_Wkst'!$L$7:$L$2010,"01",'LAC 102_Wkst'!$N$7:$N$2010,"P5")+SUMIFS('LAC 102_Wkst'!$AE$7:$AE$2010,'LAC 102_Wkst'!$E$7:$E$2010,$C28,'LAC 102_Wkst'!$G$7:$G$2010,$D28,'LAC 102_Wkst'!$L$7:$L$2010,"02",'LAC 102_Wkst'!$N$7:$N$2010,"P5")</f>
        <v>0</v>
      </c>
      <c r="L28" s="410">
        <f>SUMIFS('LAC 102_Wkst'!$Q$7:$Q$2010,'LAC 102_Wkst'!$E$7:$E$2010,$C28,'LAC 102_Wkst'!$G$7:$G$2010,$D28,'LAC 102_Wkst'!$L$7:$L$2010,"03",'LAC 102_Wkst'!$N$7:$N$2010,"P1")+SUMIFS('LAC 102_Wkst'!$Q$7:$Q$2010,'LAC 102_Wkst'!$E$7:$E$2010,$C28,'LAC 102_Wkst'!$G$7:$G$2010,$D28,'LAC 102_Wkst'!$L$7:$L$2010,"03",'LAC 102_Wkst'!$N$7:$N$2010,"P2")+SUMIFS('LAC 102_Wkst'!$Q$7:$Q$2010,'LAC 102_Wkst'!$E$7:$E$2010,$C28,'LAC 102_Wkst'!$G$7:$G$2010,$D28,'LAC 102_Wkst'!$L$7:$L$2010,"03",'LAC 102_Wkst'!$N$7:$N$2010,"P3")+SUMIFS('LAC 102_Wkst'!$Q$7:$Q$2010,'LAC 102_Wkst'!$E$7:$E$2010,$C28,'LAC 102_Wkst'!$G$7:$G$2010,$D28,'LAC 102_Wkst'!$L$7:$L$2010,"04",'LAC 102_Wkst'!$N$7:$N$2010,"P1")+SUMIFS('LAC 102_Wkst'!$Q$7:$Q$2010,'LAC 102_Wkst'!$E$7:$E$2010,$C28,'LAC 102_Wkst'!$G$7:$G$2010,$D28,'LAC 102_Wkst'!$L$7:$L$2010,"04",'LAC 102_Wkst'!$N$7:$N$2010,"P2")+SUMIFS('LAC 102_Wkst'!$Q$7:$Q$2010,'LAC 102_Wkst'!$E$7:$E$2010,$C28,'LAC 102_Wkst'!$G$7:$G$2010,$D28,'LAC 102_Wkst'!$L$7:$L$2010,"04",'LAC 102_Wkst'!$N$7:$N$2010,"P3")</f>
        <v>0</v>
      </c>
      <c r="M28" s="411">
        <f>SUMIFS('LAC 102_Wkst'!$AE$7:$AE$2010,'LAC 102_Wkst'!$E$7:$E$2010,$C28,'LAC 102_Wkst'!$G$7:$G$2010,$D28,'LAC 102_Wkst'!$L$7:$L$2010,"03",'LAC 102_Wkst'!$N$7:$N$2010,"P1")+SUMIFS('LAC 102_Wkst'!$AE$7:$AE$2010,'LAC 102_Wkst'!$E$7:$E$2010,$C28,'LAC 102_Wkst'!$G$7:$G$2010,$D28,'LAC 102_Wkst'!$L$7:$L$2010,"03",'LAC 102_Wkst'!$N$7:$N$2010,"P2")+SUMIFS('LAC 102_Wkst'!$AE$7:$AE$2010,'LAC 102_Wkst'!$E$7:$E$2010,$C28,'LAC 102_Wkst'!$G$7:$G$2010,$D28,'LAC 102_Wkst'!$L$7:$L$2010,"03",'LAC 102_Wkst'!$N$7:$N$2010,"P3")+SUMIFS('LAC 102_Wkst'!$AE$7:$AE$2010,'LAC 102_Wkst'!$E$7:$E$2010,$C28,'LAC 102_Wkst'!$G$7:$G$2010,$D28,'LAC 102_Wkst'!$L$7:$L$2010,"04",'LAC 102_Wkst'!$N$7:$N$2010,"P1")+SUMIFS('LAC 102_Wkst'!$AE$7:$AE$2010,'LAC 102_Wkst'!$E$7:$E$2010,$C28,'LAC 102_Wkst'!$G$7:$G$2010,$D28,'LAC 102_Wkst'!$L$7:$L$2010,"04",'LAC 102_Wkst'!$N$7:$N$2010,"P2")+SUMIFS('LAC 102_Wkst'!$AE$7:$AE$2010,'LAC 102_Wkst'!$E$7:$E$2010,$C28,'LAC 102_Wkst'!$G$7:$G$2010,$D28,'LAC 102_Wkst'!$L$7:$L$2010,"04",'LAC 102_Wkst'!$N$7:$N$2010,"P3")</f>
        <v>0</v>
      </c>
      <c r="N28" s="410">
        <f>SUMIFS('LAC 102_Wkst'!$Q$7:$Q$2010,'LAC 102_Wkst'!$E$7:$E$2010,$C28,'LAC 102_Wkst'!$G$7:$G$2010,$D28,'LAC 102_Wkst'!$L$7:$L$2010,"03",'LAC 102_Wkst'!$N$7:$N$2010,"P4")+SUMIFS('LAC 102_Wkst'!$Q$7:$Q$2010,'LAC 102_Wkst'!$E$7:$E$2010,$C28,'LAC 102_Wkst'!$G$7:$G$2010,$D28,'LAC 102_Wkst'!$L$7:$L$2010,"04",'LAC 102_Wkst'!$N$7:$N$2010,"P4")</f>
        <v>0</v>
      </c>
      <c r="O28" s="411">
        <f>SUMIFS('LAC 102_Wkst'!$AE$7:$AE$2010,'LAC 102_Wkst'!$E$7:$E$2010,$C28,'LAC 102_Wkst'!$G$7:$G$2010,$D28,'LAC 102_Wkst'!$L$7:$L$2010,"03",'LAC 102_Wkst'!$N$7:$N$2010,"P4")+SUMIFS('LAC 102_Wkst'!$AE$7:$AE$2010,'LAC 102_Wkst'!$E$7:$E$2010,$C28,'LAC 102_Wkst'!$G$7:$G$2010,$D28,'LAC 102_Wkst'!$L$7:$L$2010,"04",'LAC 102_Wkst'!$N$7:$N$2010,"P4")</f>
        <v>0</v>
      </c>
      <c r="P28" s="404">
        <f>SUMIFS('LAC 102_Wkst'!$Q$7:$Q$2010,'LAC 102_Wkst'!$E$7:$E$2010,$C28,'LAC 102_Wkst'!$G$7:$G$2010,$D28,'LAC 102_Wkst'!$L$7:$L$2010,"03",'LAC 102_Wkst'!$N$7:$N$2010,"P5")+SUMIFS('LAC 102_Wkst'!$Q$7:$Q$2010,'LAC 102_Wkst'!$E$7:$E$2010,$C28,'LAC 102_Wkst'!$G$7:$G$2010,$D28,'LAC 102_Wkst'!$L$7:$L$2010,"04",'LAC 102_Wkst'!$N$7:$N$2010,"P5")</f>
        <v>0</v>
      </c>
      <c r="Q28" s="411">
        <f>SUMIFS('LAC 102_Wkst'!$AE$7:$AE$2010,'LAC 102_Wkst'!$E$7:$E$2010,$C28,'LAC 102_Wkst'!$G$7:$G$2010,$D28,'LAC 102_Wkst'!$L$7:$L$2010,"03",'LAC 102_Wkst'!$N$7:$N$2010,"P5")+SUMIFS('LAC 102_Wkst'!$AE$7:$AE$2010,'LAC 102_Wkst'!$E$7:$E$2010,$C28,'LAC 102_Wkst'!$G$7:$G$2010,$D28,'LAC 102_Wkst'!$L$7:$L$2010,"04",'LAC 102_Wkst'!$N$7:$N$2010,"P5")</f>
        <v>0</v>
      </c>
      <c r="R28" s="412">
        <f>SUMIFS('LAC 102_Wkst'!$Q$7:$Q$2010,'LAC 102_Wkst'!$E$7:$E$2010,$C28,'LAC 102_Wkst'!$G$7:$G$2010,$D28,'LAC 102_Wkst'!$L$7:$L$2010,"05",'LAC 102_Wkst'!$N$7:$N$2010,"P1")+SUMIFS('LAC 102_Wkst'!$Q$7:$Q$2010,'LAC 102_Wkst'!$E$7:$E$2010,$C28,'LAC 102_Wkst'!$G$7:$G$2010,$D28,'LAC 102_Wkst'!$L$7:$L$2010,"06",'LAC 102_Wkst'!$N$7:$N$2010,"P1")</f>
        <v>0</v>
      </c>
      <c r="S28" s="411">
        <f>SUMIFS('LAC 102_Wkst'!$AE$7:$AE$2010,'LAC 102_Wkst'!$E$7:$E$2010,$C28,'LAC 102_Wkst'!$G$7:$G$2010,$D28,'LAC 102_Wkst'!$L$7:$L$2010,"05",'LAC 102_Wkst'!$N$7:$N$2010,"P1")+SUMIFS('LAC 102_Wkst'!$AE$7:$AE$2010,'LAC 102_Wkst'!$E$7:$E$2010,$C28,'LAC 102_Wkst'!$G$7:$G$2010,$D28,'LAC 102_Wkst'!$L$7:$L$2010,"06",'LAC 102_Wkst'!$N$7:$N$2010,"P1")</f>
        <v>0</v>
      </c>
      <c r="T28" s="410">
        <f>SUMIFS('LAC 102_Wkst'!$Q$7:$Q$2010,'LAC 102_Wkst'!$E$7:$E$2010,$C28,'LAC 102_Wkst'!$G$7:$G$2010,$D28,'LAC 102_Wkst'!$L$7:$L$2010,"05",'LAC 102_Wkst'!$N$7:$N$2010,"P2")+SUMIFS('LAC 102_Wkst'!$Q$7:$Q$2010,'LAC 102_Wkst'!$E$7:$E$2010,$C28,'LAC 102_Wkst'!$G$7:$G$2010,$D28,'LAC 102_Wkst'!$L$7:$L$2010,"05",'LAC 102_Wkst'!$N$7:$N$2010,"P3")+SUMIFS('LAC 102_Wkst'!$Q$7:$Q$2010,'LAC 102_Wkst'!$E$7:$E$2010,$C28,'LAC 102_Wkst'!$G$7:$G$2010,$D28,'LAC 102_Wkst'!$L$7:$L$2010,"06",'LAC 102_Wkst'!$N$7:$N$2010,"P2")+SUMIFS('LAC 102_Wkst'!$Q$7:$Q$2010,'LAC 102_Wkst'!$E$7:$E$2010,$C28,'LAC 102_Wkst'!$G$7:$G$2010,$D28,'LAC 102_Wkst'!$L$7:$L$2010,"06",'LAC 102_Wkst'!$N$7:$N$2010,"P3")</f>
        <v>309</v>
      </c>
      <c r="U28" s="411">
        <f>SUMIFS('LAC 102_Wkst'!$AE$7:$AE$2010,'LAC 102_Wkst'!$E$7:$E$2010,$C28,'LAC 102_Wkst'!$G$7:$G$2010,$D28,'LAC 102_Wkst'!$L$7:$L$2010,"05",'LAC 102_Wkst'!$N$7:$N$2010,"P2")+SUMIFS('LAC 102_Wkst'!$AE$7:$AE$2010,'LAC 102_Wkst'!$E$7:$E$2010,$C28,'LAC 102_Wkst'!$G$7:$G$2010,$D28,'LAC 102_Wkst'!$L$7:$L$2010,"06",'LAC 102_Wkst'!$N$7:$N$2010,"P3")+SUMIFS('LAC 102_Wkst'!$AE$7:$AE$2010,'LAC 102_Wkst'!$E$7:$E$2010,$C28,'LAC 102_Wkst'!$G$7:$G$2010,$D28,'LAC 102_Wkst'!$L$7:$L$2010,"05",'LAC 102_Wkst'!$N$7:$N$2010,"P2")+SUMIFS('LAC 102_Wkst'!$AE$7:$AE$2010,'LAC 102_Wkst'!$E$7:$E$2010,$C28,'LAC 102_Wkst'!$G$7:$G$2010,$D28,'LAC 102_Wkst'!$L$7:$L$2010,"06",'LAC 102_Wkst'!$N$7:$N$2010,"P3")</f>
        <v>0</v>
      </c>
      <c r="V28" s="410">
        <f>SUMIFS('LAC 102_Wkst'!$Q$7:$Q$2010,'LAC 102_Wkst'!$E$7:$E$2010,$C28,'LAC 102_Wkst'!$G$7:$G$2010,$D28,'LAC 102_Wkst'!$L$7:$L$2010,"05",'LAC 102_Wkst'!$N$7:$N$2010,"P4")+SUMIFS('LAC 102_Wkst'!$Q$7:$Q$2010,'LAC 102_Wkst'!$E$7:$E$2010,$C28,'LAC 102_Wkst'!$G$7:$G$2010,$D28,'LAC 102_Wkst'!$L$7:$L$2010,"06",'LAC 102_Wkst'!$N$7:$N$2010,"P4")</f>
        <v>1113</v>
      </c>
      <c r="W28" s="411">
        <f>SUMIFS('LAC 102_Wkst'!$AE$7:$AE$2010,'LAC 102_Wkst'!$E$7:$E$2010,$C28,'LAC 102_Wkst'!$G$7:$G$2010,$D28,'LAC 102_Wkst'!$L$7:$L$2010,"05",'LAC 102_Wkst'!$N$7:$N$2010,"P4")+SUMIFS('LAC 102_Wkst'!$AE$7:$AE$2010,'LAC 102_Wkst'!$E$7:$E$2010,$C28,'LAC 102_Wkst'!$G$7:$G$2010,$D28,'LAC 102_Wkst'!$L$7:$L$2010,"06",'LAC 102_Wkst'!$N$7:$N$2010,"P4")</f>
        <v>0</v>
      </c>
      <c r="X28" s="404">
        <f>SUMIFS('LAC 102_Wkst'!$Q$7:$Q$2010,'LAC 102_Wkst'!$E$7:$E$2010,$C28,'LAC 102_Wkst'!$G$7:$G$2010,$D28,'LAC 102_Wkst'!$L$7:$L$2010,"05",'LAC 102_Wkst'!$N$7:$N$2010,"P5")+SUMIFS('LAC 102_Wkst'!$Q$7:$Q$2010,'LAC 102_Wkst'!$E$7:$E$2010,$C28,'LAC 102_Wkst'!$G$7:$G$2010,$D28,'LAC 102_Wkst'!$L$7:$L$2010,"06",'LAC 102_Wkst'!$N$7:$N$2010,"P5")</f>
        <v>3162</v>
      </c>
      <c r="Y28" s="411">
        <f>SUMIFS('LAC 102_Wkst'!$AE$7:$AE$2010,'LAC 102_Wkst'!$E$7:$E$2010,$C28,'LAC 102_Wkst'!$G$7:$G$2010,$D28,'LAC 102_Wkst'!$L$7:$L$2010,"05",'LAC 102_Wkst'!$N$7:$N$2010,"P5")+SUMIFS('LAC 102_Wkst'!$AE$7:$AE$2010,'LAC 102_Wkst'!$E$7:$E$2010,$C28,'LAC 102_Wkst'!$G$7:$G$2010,$D28,'LAC 102_Wkst'!$L$7:$L$2010,"06",'LAC 102_Wkst'!$N$7:$N$2010,"P5")</f>
        <v>0</v>
      </c>
      <c r="Z28" s="410">
        <f>SUMIFS('LAC 102_Wkst'!$Q$7:$Q$2010,'LAC 102_Wkst'!$E$7:$E$2010,$C28,'LAC 102_Wkst'!$G$7:$G$2010,$D28,'LAC 102_Wkst'!$L$7:$L$2010,"07",'LAC 102_Wkst'!$N$7:$N$2010,"P1")+SUMIFS('LAC 102_Wkst'!$Q$7:$Q$2010,'LAC 102_Wkst'!$E$7:$E$2010,$C28,'LAC 102_Wkst'!$G$7:$G$2010,$D28,'LAC 102_Wkst'!$L$7:$L$2010,"07",'LAC 102_Wkst'!$N$7:$N$2010,"P2")+SUMIFS('LAC 102_Wkst'!$Q$7:$Q$2010,'LAC 102_Wkst'!$E$7:$E$2010,$C28,'LAC 102_Wkst'!$G$7:$G$2010,$D28,'LAC 102_Wkst'!$L$7:$L$2010,"07",'LAC 102_Wkst'!$N$7:$N$2010,"P3")</f>
        <v>0</v>
      </c>
      <c r="AA28" s="411">
        <f>SUMIFS('LAC 102_Wkst'!$AE$7:$AE$2010,'LAC 102_Wkst'!$E$7:$E$2010,$C28,'LAC 102_Wkst'!$G$7:$G$2010,$D28,'LAC 102_Wkst'!$L$7:$L$2010,"07",'LAC 102_Wkst'!$N$7:$N$2010,"P1")+SUMIFS('LAC 102_Wkst'!$AE$7:$AE$2010,'LAC 102_Wkst'!$E$7:$E$2010,$C28,'LAC 102_Wkst'!$G$7:$G$2010,$D28,'LAC 102_Wkst'!$L$7:$L$2010,"07",'LAC 102_Wkst'!$N$7:$N$2010,"P2")+SUMIFS('LAC 102_Wkst'!$AE$7:$AE$2010,'LAC 102_Wkst'!$E$7:$E$2010,$C28,'LAC 102_Wkst'!$G$7:$G$2010,$D28,'LAC 102_Wkst'!$L$7:$L$2010,"07",'LAC 102_Wkst'!$N$7:$N$2010,"P3")</f>
        <v>0</v>
      </c>
      <c r="AB28" s="410">
        <f>SUMIFS('LAC 102_Wkst'!$Q$7:$Q$2010,'LAC 102_Wkst'!$E$7:$E$2010,$C28,'LAC 102_Wkst'!$G$7:$G$2010,$D28,'LAC 102_Wkst'!$L$7:$L$2010,"07",'LAC 102_Wkst'!$N$7:$N$2010,"P4")</f>
        <v>0</v>
      </c>
      <c r="AC28" s="411">
        <f>SUMIFS('LAC 102_Wkst'!$AE$7:$AE$2010,'LAC 102_Wkst'!$E$7:$E$2010,$C28,'LAC 102_Wkst'!$G$7:$G$2010,$D28,'LAC 102_Wkst'!$L$7:$L$2010,"07",'LAC 102_Wkst'!$N$7:$N$2010,"P4")</f>
        <v>0</v>
      </c>
      <c r="AD28" s="404">
        <f>SUMIFS('LAC 102_Wkst'!$Q$7:$Q$2010,'LAC 102_Wkst'!$E$7:$E$2010,$C28,'LAC 102_Wkst'!$G$7:$G$2010,$D28,'LAC 102_Wkst'!$L$7:$L$2010,"07",'LAC 102_Wkst'!$N$7:$N$2010,"P5")</f>
        <v>0</v>
      </c>
      <c r="AE28" s="411">
        <f>SUMIFS('LAC 102_Wkst'!$AE$7:$AE$2010,'LAC 102_Wkst'!$E$7:$E$2010,$C28,'LAC 102_Wkst'!$G$7:$G$2010,$D28,'LAC 102_Wkst'!$L$7:$L$2010,"07",'LAC 102_Wkst'!$N$7:$N$2010,"P5")</f>
        <v>0</v>
      </c>
      <c r="AF28" s="410">
        <f>SUMIFS('LAC 102_Wkst'!$Q$7:$Q$2010,'LAC 102_Wkst'!$E$7:$E$2010,$C28,'LAC 102_Wkst'!$G$7:$G$2010,$D28,'LAC 102_Wkst'!$L$7:$L$2010,"08",'LAC 102_Wkst'!$N$7:$N$2010,"P1")+SUMIFS('LAC 102_Wkst'!$Q$7:$Q$2010,'LAC 102_Wkst'!$E$7:$E$2010,$C28,'LAC 102_Wkst'!$G$7:$G$2010,$D28,'LAC 102_Wkst'!$L$7:$L$2010,"08",'LAC 102_Wkst'!$N$7:$N$2010,"P2")+SUMIFS('LAC 102_Wkst'!$Q$7:$Q$2010,'LAC 102_Wkst'!$E$7:$E$2010,$C28,'LAC 102_Wkst'!$G$7:$G$2010,$D28,'LAC 102_Wkst'!$L$7:$L$2010,"08",'LAC 102_Wkst'!$N$7:$N$2010,"P3")</f>
        <v>0</v>
      </c>
      <c r="AG28" s="411">
        <f>SUMIFS('LAC 102_Wkst'!$AE$7:$AE$2010,'LAC 102_Wkst'!$E$7:$E$2010,$C28,'LAC 102_Wkst'!$G$7:$G$2010,$D28,'LAC 102_Wkst'!$L$7:$L$2010,"08",'LAC 102_Wkst'!$N$7:$N$2010,"P1")+SUMIFS('LAC 102_Wkst'!$AE$7:$AE$2010,'LAC 102_Wkst'!$E$7:$E$2010,$C28,'LAC 102_Wkst'!$G$7:$G$2010,$D28,'LAC 102_Wkst'!$L$7:$L$2010,"08",'LAC 102_Wkst'!$N$7:$N$2010,"P2")+SUMIFS('LAC 102_Wkst'!$AE$7:$AE$2010,'LAC 102_Wkst'!$E$7:$E$2010,$C28,'LAC 102_Wkst'!$G$7:$G$2010,$D28,'LAC 102_Wkst'!$L$7:$L$2010,"08",'LAC 102_Wkst'!$N$7:$N$2010,"P3")</f>
        <v>0</v>
      </c>
      <c r="AH28" s="410">
        <f>SUMIFS('LAC 102_Wkst'!$Q$7:$Q$2010,'LAC 102_Wkst'!$E$7:$E$2010,$C28,'LAC 102_Wkst'!$G$7:$G$2010,$D28,'LAC 102_Wkst'!$L$7:$L$2010,"08",'LAC 102_Wkst'!$N$7:$N$2010,"P4")</f>
        <v>0</v>
      </c>
      <c r="AI28" s="411">
        <f>SUMIFS('LAC 102_Wkst'!$AE$7:$AE$2010,'LAC 102_Wkst'!$E$7:$E$2010,$C28,'LAC 102_Wkst'!$G$7:$G$2010,$D28,'LAC 102_Wkst'!$L$7:$L$2010,"08",'LAC 102_Wkst'!$N$7:$N$2010,"P4")</f>
        <v>0</v>
      </c>
      <c r="AJ28" s="404">
        <f>SUMIFS('LAC 102_Wkst'!$Q$7:$Q$2010,'LAC 102_Wkst'!$E$7:$E$2010,$C28,'LAC 102_Wkst'!$G$7:$G$2010,$D28,'LAC 102_Wkst'!$L$7:$L$2010,"08",'LAC 102_Wkst'!$N$7:$N$2010,"P5")</f>
        <v>0</v>
      </c>
      <c r="AK28" s="411">
        <f>SUMIFS('LAC 102_Wkst'!$AE$7:$AE$2010,'LAC 102_Wkst'!$E$7:$E$2010,$C28,'LAC 102_Wkst'!$G$7:$G$2010,$D28,'LAC 102_Wkst'!$L$7:$L$2010,"08",'LAC 102_Wkst'!$N$7:$N$2010,"P5")</f>
        <v>0</v>
      </c>
      <c r="AL28" s="410">
        <f>SUMIFS('LAC 102_Wkst'!$Q$7:$Q$2010,'LAC 102_Wkst'!$E$7:$E$2010,$C28,'LAC 102_Wkst'!$G$7:$G$2010,$D28,'LAC 102_Wkst'!$L$7:$L$2010,"09",'LAC 102_Wkst'!$N$7:$N$2010,"P1")+SUMIFS('LAC 102_Wkst'!$Q$7:$Q$2010,'LAC 102_Wkst'!$E$7:$E$2010,$C28,'LAC 102_Wkst'!$G$7:$G$2010,$D28,'LAC 102_Wkst'!$L$7:$L$2010,"09",'LAC 102_Wkst'!$N$7:$N$2010,"P2")+SUMIFS('LAC 102_Wkst'!$Q$7:$Q$2010,'LAC 102_Wkst'!$E$7:$E$2010,$C28,'LAC 102_Wkst'!$G$7:$G$2010,$D28,'LAC 102_Wkst'!$L$7:$L$2010,"09",'LAC 102_Wkst'!$N$7:$N$2010,"P3")+SUMIFS('LAC 102_Wkst'!$Q$7:$Q$2010,'LAC 102_Wkst'!$E$7:$E$2010,$C28,'LAC 102_Wkst'!$G$7:$G$2010,$D28,'LAC 102_Wkst'!$L$7:$L$2010,"09",'LAC 102_Wkst'!$N$7:$N$2010,"P4")</f>
        <v>0</v>
      </c>
      <c r="AM28" s="411">
        <f>SUMIFS('LAC 102_Wkst'!$AE$7:$AE$2010,'LAC 102_Wkst'!$E$7:$E$2010,$C28,'LAC 102_Wkst'!$G$7:$G$2010,$D28,'LAC 102_Wkst'!$L$7:$L$2010,"09",'LAC 102_Wkst'!$N$7:$N$2010,"P1")+SUMIFS('LAC 102_Wkst'!$AE$7:$AE$2010,'LAC 102_Wkst'!$E$7:$E$2010,$C28,'LAC 102_Wkst'!$G$7:$G$2010,$D28,'LAC 102_Wkst'!$L$7:$L$2010,"09",'LAC 102_Wkst'!$N$7:$N$2010,"P2")+SUMIFS('LAC 102_Wkst'!$AE$7:$AE$2010,'LAC 102_Wkst'!$E$7:$E$2010,$C28,'LAC 102_Wkst'!$G$7:$G$2010,$D28,'LAC 102_Wkst'!$L$7:$L$2010,"09",'LAC 102_Wkst'!$N$7:$N$2010,"P3")+SUMIFS('LAC 102_Wkst'!$AE$7:$AE$2010,'LAC 102_Wkst'!$E$7:$E$2010,$C28,'LAC 102_Wkst'!$G$7:$G$2010,$D28,'LAC 102_Wkst'!$L$7:$L$2010,"09",'LAC 102_Wkst'!$N$7:$N$2010,"P4")</f>
        <v>0</v>
      </c>
      <c r="AN28" s="410">
        <f>SUMIFS('LAC 102_Wkst'!$Q$7:$Q$2010,'LAC 102_Wkst'!$E$7:$E$2010,$C28,'LAC 102_Wkst'!$G$7:$G$2010,$D28,'LAC 102_Wkst'!$L$7:$L$2010,"09",'LAC 102_Wkst'!$N$7:$N$2010,"P5")</f>
        <v>0</v>
      </c>
      <c r="AO28" s="411">
        <f>SUMIFS('LAC 102_Wkst'!$AE$7:$AE$2010,'LAC 102_Wkst'!$E$7:$E$2010,$C28,'LAC 102_Wkst'!$G$7:$G$2010,$D28,'LAC 102_Wkst'!$L$7:$L$2010,"09",'LAC 102_Wkst'!$N$7:$N$2010,"P5")</f>
        <v>0</v>
      </c>
      <c r="AP28" s="404">
        <f>SUMIFS('LAC 102_Wkst'!$Q$7:$Q$2010,'LAC 102_Wkst'!$E$7:$E$2010,$C28,'LAC 102_Wkst'!$G$7:$G$2010,$D28,'LAC 102_Wkst'!$L$7:$L$2010,"10",'LAC 102_Wkst'!$N$7:$N$2010,"P1")+SUMIFS('LAC 102_Wkst'!$Q$7:$Q$2010,'LAC 102_Wkst'!$E$7:$E$2010,$C28,'LAC 102_Wkst'!$G$7:$G$2010,$D28,'LAC 102_Wkst'!$L$7:$L$2010,"10",'LAC 102_Wkst'!$N$7:$N$2010,"P2")+SUMIFS('LAC 102_Wkst'!$Q$7:$Q$2010,'LAC 102_Wkst'!$E$7:$E$2010,$C28,'LAC 102_Wkst'!$G$7:$G$2010,$D28,'LAC 102_Wkst'!$L$7:$L$2010,"10",'LAC 102_Wkst'!$N$7:$N$2010,"P3")+SUMIFS('LAC 102_Wkst'!$Q$7:$Q$2010,'LAC 102_Wkst'!$E$7:$E$2010,$C28,'LAC 102_Wkst'!$G$7:$G$2010,$D28,'LAC 102_Wkst'!$L$7:$L$2010,"10",'LAC 102_Wkst'!$N$7:$N$2010,"P4")</f>
        <v>0</v>
      </c>
      <c r="AQ28" s="411">
        <f>SUMIFS('LAC 102_Wkst'!$AE$7:$AE$2010,'LAC 102_Wkst'!$E$7:$E$2010,$C28,'LAC 102_Wkst'!$G$7:$G$2010,$D28,'LAC 102_Wkst'!$L$7:$L$2010,"10",'LAC 102_Wkst'!$N$7:$N$2010,"P1")+SUMIFS('LAC 102_Wkst'!$AE$7:$AE$2010,'LAC 102_Wkst'!$E$7:$E$2010,$C28,'LAC 102_Wkst'!$G$7:$G$2010,$D28,'LAC 102_Wkst'!$L$7:$L$2010,"10",'LAC 102_Wkst'!$N$7:$N$2010,"P2")+SUMIFS('LAC 102_Wkst'!$AE$7:$AE$2010,'LAC 102_Wkst'!$E$7:$E$2010,$C28,'LAC 102_Wkst'!$G$7:$G$2010,$D28,'LAC 102_Wkst'!$L$7:$L$2010,"10",'LAC 102_Wkst'!$N$7:$N$2010,"P3")+SUMIFS('LAC 102_Wkst'!$AE$7:$AE$2010,'LAC 102_Wkst'!$E$7:$E$2010,$C28,'LAC 102_Wkst'!$G$7:$G$2010,$D28,'LAC 102_Wkst'!$L$7:$L$2010,"10",'LAC 102_Wkst'!$N$7:$N$2010,"P4")</f>
        <v>0</v>
      </c>
      <c r="AR28" s="410">
        <f>SUMIFS('LAC 102_Wkst'!$Q$7:$Q$2010,'LAC 102_Wkst'!$E$7:$E$2010,$C28,'LAC 102_Wkst'!$G$7:$G$2010,$D28,'LAC 102_Wkst'!$L$7:$L$2010,"10",'LAC 102_Wkst'!$N$7:$N$2010,"P5")</f>
        <v>0</v>
      </c>
      <c r="AS28" s="411">
        <f>SUMIFS('LAC 102_Wkst'!$AE$7:$AE$2010,'LAC 102_Wkst'!$E$7:$E$2010,$C28,'LAC 102_Wkst'!$G$7:$G$2010,$D28,'LAC 102_Wkst'!$L$7:$L$2010,"10",'LAC 102_Wkst'!$N$7:$N$2010,"P5")</f>
        <v>0</v>
      </c>
      <c r="AT28" s="410">
        <f>SUMIFS('LAC 102_Wkst'!$Q$7:$Q$2010,'LAC 102_Wkst'!$E$7:$E$2010,$C28,'LAC 102_Wkst'!$G$7:$G$2010,$D28,'LAC 102_Wkst'!$L$7:$L$2010,"11",'LAC 102_Wkst'!$N$7:$N$2010,"P1")+SUMIFS('LAC 102_Wkst'!$Q$7:$Q$2010,'LAC 102_Wkst'!$E$7:$E$2010,$C28,'LAC 102_Wkst'!$G$7:$G$2010,$D28,'LAC 102_Wkst'!$L$7:$L$2010,"12",'LAC 102_Wkst'!$N$7:$N$2010,"P1")</f>
        <v>0</v>
      </c>
      <c r="AU28" s="411">
        <f>SUMIFS('LAC 102_Wkst'!$AE$7:$AE$2010,'LAC 102_Wkst'!$E$7:$E$2010,$C28,'LAC 102_Wkst'!$G$7:$G$2010,$D28,'LAC 102_Wkst'!$L$7:$L$2010,"11",'LAC 102_Wkst'!$N$7:$N$2010,"P1")+SUMIFS('LAC 102_Wkst'!$AE$7:$AE$2010,'LAC 102_Wkst'!$E$7:$E$2010,$C28,'LAC 102_Wkst'!$G$7:$G$2010,$D28,'LAC 102_Wkst'!$L$7:$L$2010,"12",'LAC 102_Wkst'!$N$7:$N$2010,"P1")</f>
        <v>0</v>
      </c>
      <c r="AV28" s="404">
        <f>SUMIFS('LAC 102_Wkst'!$Q$7:$Q$2010,'LAC 102_Wkst'!$E$7:$E$2010,$C28,'LAC 102_Wkst'!$G$7:$G$2010,$D28,'LAC 102_Wkst'!$L$7:$L$2010,"11",'LAC 102_Wkst'!$N$7:$N$2010,"P2")+SUMIFS('LAC 102_Wkst'!$Q$7:$Q$2010,'LAC 102_Wkst'!$E$7:$E$2010,$C28,'LAC 102_Wkst'!$G$7:$G$2010,$D28,'LAC 102_Wkst'!$L$7:$L$2010,"12",'LAC 102_Wkst'!$N$7:$N$2010,"P3")+SUMIFS('LAC 102_Wkst'!$Q$7:$Q$2010,'LAC 102_Wkst'!$E$7:$E$2010,$C28,'LAC 102_Wkst'!$G$7:$G$2010,$D28,'LAC 102_Wkst'!$L$7:$L$2010,"11",'LAC 102_Wkst'!$N$7:$N$2010,"P2")+SUMIFS('LAC 102_Wkst'!$Q$7:$Q$2010,'LAC 102_Wkst'!$E$7:$E$2010,$C28,'LAC 102_Wkst'!$G$7:$G$2010,$D28,'LAC 102_Wkst'!$L$7:$L$2010,"12",'LAC 102_Wkst'!$N$7:$N$2010,"P3")</f>
        <v>0</v>
      </c>
      <c r="AW28" s="411">
        <f>SUMIFS('LAC 102_Wkst'!$AE$7:$AE$2010,'LAC 102_Wkst'!$E$7:$E$2010,$C28,'LAC 102_Wkst'!$G$7:$G$2010,$D28,'LAC 102_Wkst'!$L$7:$L$2010,"11",'LAC 102_Wkst'!$N$7:$N$2010,"P2")+SUMIFS('LAC 102_Wkst'!$AE$7:$AE$2010,'LAC 102_Wkst'!$E$7:$E$2010,$C28,'LAC 102_Wkst'!$G$7:$G$2010,$D28,'LAC 102_Wkst'!$L$7:$L$2010,"12",'LAC 102_Wkst'!$N$7:$N$2010,"P3")+SUMIFS('LAC 102_Wkst'!$AE$7:$AE$2010,'LAC 102_Wkst'!$E$7:$E$2010,$C28,'LAC 102_Wkst'!$G$7:$G$2010,$D28,'LAC 102_Wkst'!$L$7:$L$2010,"11",'LAC 102_Wkst'!$N$7:$N$2010,"P2")+SUMIFS('LAC 102_Wkst'!$AE$7:$AE$2010,'LAC 102_Wkst'!$E$7:$E$2010,$C28,'LAC 102_Wkst'!$G$7:$G$2010,$D28,'LAC 102_Wkst'!$L$7:$L$2010,"12",'LAC 102_Wkst'!$N$7:$N$2010,"P3")</f>
        <v>0</v>
      </c>
      <c r="AX28" s="404">
        <f>SUMIFS('LAC 102_Wkst'!$Q$7:$Q$2010,'LAC 102_Wkst'!$E$7:$E$2010,$C28,'LAC 102_Wkst'!$G$7:$G$2010,$D28,'LAC 102_Wkst'!$L$7:$L$2010,"11",'LAC 102_Wkst'!$N$7:$N$2010,"P4")+SUMIFS('LAC 102_Wkst'!$Q$7:$Q$2010,'LAC 102_Wkst'!$E$7:$E$2010,$C28,'LAC 102_Wkst'!$G$7:$G$2010,$D28,'LAC 102_Wkst'!$L$7:$L$2010,"12",'LAC 102_Wkst'!$N$7:$N$2010,"P4")</f>
        <v>0</v>
      </c>
      <c r="AY28" s="411">
        <f>SUMIFS('LAC 102_Wkst'!$AE$7:$AE$2010,'LAC 102_Wkst'!$E$7:$E$2010,$C28,'LAC 102_Wkst'!$G$7:$G$2010,$D28,'LAC 102_Wkst'!$L$7:$L$2010,"11",'LAC 102_Wkst'!$N$7:$N$2010,"P4")+SUMIFS('LAC 102_Wkst'!$AE$7:$AE$2010,'LAC 102_Wkst'!$E$7:$E$2010,$C28,'LAC 102_Wkst'!$G$7:$G$2010,$D28,'LAC 102_Wkst'!$L$7:$L$2010,"12",'LAC 102_Wkst'!$N$7:$N$2010,"P4")</f>
        <v>0</v>
      </c>
      <c r="AZ28" s="404">
        <f>SUMIFS('LAC 102_Wkst'!$Q$7:$Q$2010,'LAC 102_Wkst'!$E$7:$E$2010,$C28,'LAC 102_Wkst'!$G$7:$G$2010,$D28,'LAC 102_Wkst'!$L$7:$L$2010,"11",'LAC 102_Wkst'!$N$7:$N$2010,"P5")+SUMIFS('LAC 102_Wkst'!$Q$7:$Q$2010,'LAC 102_Wkst'!$E$7:$E$2010,$C28,'LAC 102_Wkst'!$G$7:$G$2010,$D28,'LAC 102_Wkst'!$L$7:$L$2010,"12",'LAC 102_Wkst'!$N$7:$N$2010,"P5")</f>
        <v>0</v>
      </c>
      <c r="BA28" s="411">
        <f>SUMIFS('LAC 102_Wkst'!$AE$7:$AE$2010,'LAC 102_Wkst'!$E$7:$E$2010,$C28,'LAC 102_Wkst'!$G$7:$G$2010,$D28,'LAC 102_Wkst'!$L$7:$L$2010,"11",'LAC 102_Wkst'!$N$7:$N$2010,"P5")+SUMIFS('LAC 102_Wkst'!$AE$7:$AE$2010,'LAC 102_Wkst'!$E$7:$E$2010,$C28,'LAC 102_Wkst'!$G$7:$G$2010,$D28,'LAC 102_Wkst'!$L$7:$L$2010,"12",'LAC 102_Wkst'!$N$7:$N$2010,"P5")</f>
        <v>0</v>
      </c>
      <c r="BB28" s="404">
        <f>SUMIFS('LAC 102_Wkst'!$Q$7:$Q$2010,'LAC 102_Wkst'!$E$7:$E$2010,$C28,'LAC 102_Wkst'!$G$7:$G$2010,$D28,'LAC 102_Wkst'!$L$7:$L$2010,"13",'LAC 102_Wkst'!$N$7:$N$2010,"P1")+SUMIFS('LAC 102_Wkst'!$Q$7:$Q$2010,'LAC 102_Wkst'!$E$7:$E$2010,$C28,'LAC 102_Wkst'!$G$7:$G$2010,$D28,'LAC 102_Wkst'!$L$7:$L$2010,"13",'LAC 102_Wkst'!$N$7:$N$2010,"P2")+SUMIFS('LAC 102_Wkst'!$Q$7:$Q$2010,'LAC 102_Wkst'!$E$7:$E$2010,$C28,'LAC 102_Wkst'!$G$7:$G$2010,$D28,'LAC 102_Wkst'!$L$7:$L$2010,"13",'LAC 102_Wkst'!$N$7:$N$2010,"P3")+SUMIFS('LAC 102_Wkst'!$Q$7:$Q$2010,'LAC 102_Wkst'!$E$7:$E$2010,$C28,'LAC 102_Wkst'!$G$7:$G$2010,$D28,'LAC 102_Wkst'!$L$7:$L$2010,"13",'LAC 102_Wkst'!$N$7:$N$2010,"P4")</f>
        <v>540</v>
      </c>
      <c r="BC28" s="411">
        <f>SUMIFS('LAC 102_Wkst'!$AE$7:$AE$2010,'LAC 102_Wkst'!$E$7:$E$2010,$C28,'LAC 102_Wkst'!$G$7:$G$2010,$D28,'LAC 102_Wkst'!$L$7:$L$2010,"13",'LAC 102_Wkst'!$N$7:$N$2010,"P1")+SUMIFS('LAC 102_Wkst'!$AE$7:$AE$2010,'LAC 102_Wkst'!$E$7:$E$2010,$C28,'LAC 102_Wkst'!$G$7:$G$2010,$D28,'LAC 102_Wkst'!$L$7:$L$2010,"13",'LAC 102_Wkst'!$N$7:$N$2010,"P2")+SUMIFS('LAC 102_Wkst'!$AE$7:$AE$2010,'LAC 102_Wkst'!$E$7:$E$2010,$C28,'LAC 102_Wkst'!$G$7:$G$2010,$D28,'LAC 102_Wkst'!$L$7:$L$2010,"13",'LAC 102_Wkst'!$N$7:$N$2010,"P3")+SUMIFS('LAC 102_Wkst'!$AE$7:$AE$2010,'LAC 102_Wkst'!$E$7:$E$2010,$C28,'LAC 102_Wkst'!$G$7:$G$2010,$D28,'LAC 102_Wkst'!$L$7:$L$2010,"13",'LAC 102_Wkst'!$N$7:$N$2010,"P4")</f>
        <v>0</v>
      </c>
      <c r="BD28" s="404">
        <f>SUMIFS('LAC 102_Wkst'!$Q$7:$Q$2010,'LAC 102_Wkst'!$E$7:$E$2010,$C28,'LAC 102_Wkst'!$G$7:$G$2010,$D28,'LAC 102_Wkst'!$L$7:$L$2010,"13",'LAC 102_Wkst'!$N$7:$N$2010,"P5")</f>
        <v>0</v>
      </c>
      <c r="BE28" s="411">
        <f>SUMIFS('LAC 102_Wkst'!$AE$7:$AE$2010,'LAC 102_Wkst'!$E$7:$E$2010,$C28,'LAC 102_Wkst'!$G$7:$G$2010,$D28,'LAC 102_Wkst'!$L$7:$L$2010,"13",'LAC 102_Wkst'!$N$7:$N$2010,"P5")</f>
        <v>0</v>
      </c>
      <c r="BF28" s="407">
        <f t="shared" si="0"/>
        <v>4369</v>
      </c>
    </row>
    <row r="29" spans="1:58" x14ac:dyDescent="0.2">
      <c r="A29" s="401">
        <v>10</v>
      </c>
      <c r="B29" s="1236" t="s">
        <v>738</v>
      </c>
      <c r="C29" s="1235" t="s">
        <v>95</v>
      </c>
      <c r="D29" s="1237" t="s">
        <v>432</v>
      </c>
      <c r="E29" s="1222">
        <f>IF(CONCATENATE(C29,D29)&gt;"6069",1,SUMIFS('LAC 102_Wkst'!$Q$7:$Q$2010,'LAC 102_Wkst'!$E$7:$E$2010,Schedule_B!$C29,'LAC 102_Wkst'!$G$7:$G$2010,Schedule_B!$D29))</f>
        <v>907213</v>
      </c>
      <c r="F29" s="408">
        <f>SUMIFS('LAC 102_Wkst'!$Q$7:$Q$2010,'LAC 102_Wkst'!$E$7:$E$2010,$C29,'LAC 102_Wkst'!$G$7:$G$2010,$D29,'LAC 102_Wkst'!$L$7:$L$2010,"01",'LAC 102_Wkst'!$N$7:$N$2010,"P1")+SUMIFS('LAC 102_Wkst'!$Q$7:$Q$2010,'LAC 102_Wkst'!$E$7:$E$2010,$C29,'LAC 102_Wkst'!$G$7:$G$2010,$D29,'LAC 102_Wkst'!$L$7:$L$2010,"01",'LAC 102_Wkst'!$N$7:$N$2010,"P2")+SUMIFS('LAC 102_Wkst'!$Q$7:$Q$2010,'LAC 102_Wkst'!$E$7:$E$2010,$C29,'LAC 102_Wkst'!$G$7:$G$2010,$D29,'LAC 102_Wkst'!$L$7:$L$2010,"01",'LAC 102_Wkst'!$N$7:$N$2010,"P3")+SUMIFS('LAC 102_Wkst'!$Q$7:$Q$2010,'LAC 102_Wkst'!$E$7:$E$2010,$C29,'LAC 102_Wkst'!$G$7:$G$2010,$D29,'LAC 102_Wkst'!$L$7:$L$2010,"02",'LAC 102_Wkst'!$N$7:$N$2010,"P1")+SUMIFS('LAC 102_Wkst'!$Q$7:$Q$2010,'LAC 102_Wkst'!$E$7:$E$2010,$C29,'LAC 102_Wkst'!$G$7:$G$2010,$D29,'LAC 102_Wkst'!$L$7:$L$2010,"02",'LAC 102_Wkst'!$N$7:$N$2010,"P2")+SUMIFS('LAC 102_Wkst'!$Q$7:$Q$2010,'LAC 102_Wkst'!$E$7:$E$2010,$C29,'LAC 102_Wkst'!$G$7:$G$2010,$D29,'LAC 102_Wkst'!$L$7:$L$2010,"02",'LAC 102_Wkst'!$N$7:$N$2010,"P3")</f>
        <v>395853</v>
      </c>
      <c r="G29" s="409">
        <f>SUMIFS('LAC 102_Wkst'!$AE$7:$AE$2010,'LAC 102_Wkst'!$E$7:$E$2010,$C29,'LAC 102_Wkst'!$G$7:$G$2010,$D29,'LAC 102_Wkst'!$L$7:$L$2010,"01",'LAC 102_Wkst'!$N$7:$N$2010,"P1")+SUMIFS('LAC 102_Wkst'!$AE$7:$AE$2010,'LAC 102_Wkst'!$E$7:$E$2010,$C29,'LAC 102_Wkst'!$G$7:$G$2010,$D29,'LAC 102_Wkst'!$L$7:$L$2010,"01",'LAC 102_Wkst'!$N$7:$N$2010,"P2")+SUMIFS('LAC 102_Wkst'!$AE$7:$AE$2010,'LAC 102_Wkst'!$E$7:$E$2010,$C29,'LAC 102_Wkst'!$G$7:$G$2010,$D29,'LAC 102_Wkst'!$L$7:$L$2010,"01",'LAC 102_Wkst'!$N$7:$N$2010,"P3")+SUMIFS('LAC 102_Wkst'!$AE$7:$AE$2010,'LAC 102_Wkst'!$E$7:$E$2010,$C29,'LAC 102_Wkst'!$G$7:$G$2010,$D29,'LAC 102_Wkst'!$L$7:$L$2010,"02",'LAC 102_Wkst'!$N$7:$N$2010,"P1")+SUMIFS('LAC 102_Wkst'!$AE$7:$AE$2010,'LAC 102_Wkst'!$E$7:$E$2010,$C29,'LAC 102_Wkst'!$G$7:$G$2010,$D29,'LAC 102_Wkst'!$L$7:$L$2010,"02",'LAC 102_Wkst'!$N$7:$N$2010,"P2")+SUMIFS('LAC 102_Wkst'!$AE$7:$AE$2010,'LAC 102_Wkst'!$E$7:$E$2010,$C29,'LAC 102_Wkst'!$G$7:$G$2010,$D29,'LAC 102_Wkst'!$L$7:$L$2010,"02",'LAC 102_Wkst'!$N$7:$N$2010,"P3")</f>
        <v>0</v>
      </c>
      <c r="H29" s="410">
        <f>SUMIFS('LAC 102_Wkst'!$Q$7:$Q$2010,'LAC 102_Wkst'!$E$7:$E$2010,$C29,'LAC 102_Wkst'!$G$7:$G$2010,$D29,'LAC 102_Wkst'!$L$7:$L$2010,"01",'LAC 102_Wkst'!$N$7:$N$2010,"P4")+SUMIFS('LAC 102_Wkst'!$Q$7:$Q$2010,'LAC 102_Wkst'!$E$7:$E$2010,$C29,'LAC 102_Wkst'!$G$7:$G$2010,$D29,'LAC 102_Wkst'!$L$7:$L$2010,"02",'LAC 102_Wkst'!$N$7:$N$2010,"P4")</f>
        <v>59029</v>
      </c>
      <c r="I29" s="411">
        <f>SUMIFS('LAC 102_Wkst'!$AE$7:$AE$2010,'LAC 102_Wkst'!$E$7:$E$2010,$C29,'LAC 102_Wkst'!$G$7:$G$2010,$D29,'LAC 102_Wkst'!$L$7:$L$2010,"01",'LAC 102_Wkst'!$N$7:$N$2010,"P4")+SUMIFS('LAC 102_Wkst'!$AE$7:$AE$2010,'LAC 102_Wkst'!$E$7:$E$2010,$C29,'LAC 102_Wkst'!$G$7:$G$2010,$D29,'LAC 102_Wkst'!$L$7:$L$2010,"02",'LAC 102_Wkst'!$N$7:$N$2010,"P4")</f>
        <v>0</v>
      </c>
      <c r="J29" s="410">
        <f>SUMIFS('LAC 102_Wkst'!$Q$7:$Q$2010,'LAC 102_Wkst'!$E$7:$E$2010,$C29,'LAC 102_Wkst'!$G$7:$G$2010,$D29,'LAC 102_Wkst'!$L$7:$L$2010,"01",'LAC 102_Wkst'!$N$7:$N$2010,"P5")+SUMIFS('LAC 102_Wkst'!$Q$7:$Q$2010,'LAC 102_Wkst'!$E$7:$E$2010,$C29,'LAC 102_Wkst'!$G$7:$G$2010,$D29,'LAC 102_Wkst'!$L$7:$L$2010,"02",'LAC 102_Wkst'!$N$7:$N$2010,"P5")</f>
        <v>70261</v>
      </c>
      <c r="K29" s="411">
        <f>SUMIFS('LAC 102_Wkst'!$AE$7:$AE$2010,'LAC 102_Wkst'!$E$7:$E$2010,$C29,'LAC 102_Wkst'!$G$7:$G$2010,$D29,'LAC 102_Wkst'!$L$7:$L$2010,"01",'LAC 102_Wkst'!$N$7:$N$2010,"P5")+SUMIFS('LAC 102_Wkst'!$AE$7:$AE$2010,'LAC 102_Wkst'!$E$7:$E$2010,$C29,'LAC 102_Wkst'!$G$7:$G$2010,$D29,'LAC 102_Wkst'!$L$7:$L$2010,"02",'LAC 102_Wkst'!$N$7:$N$2010,"P5")</f>
        <v>72121</v>
      </c>
      <c r="L29" s="410">
        <f>SUMIFS('LAC 102_Wkst'!$Q$7:$Q$2010,'LAC 102_Wkst'!$E$7:$E$2010,$C29,'LAC 102_Wkst'!$G$7:$G$2010,$D29,'LAC 102_Wkst'!$L$7:$L$2010,"03",'LAC 102_Wkst'!$N$7:$N$2010,"P1")+SUMIFS('LAC 102_Wkst'!$Q$7:$Q$2010,'LAC 102_Wkst'!$E$7:$E$2010,$C29,'LAC 102_Wkst'!$G$7:$G$2010,$D29,'LAC 102_Wkst'!$L$7:$L$2010,"03",'LAC 102_Wkst'!$N$7:$N$2010,"P2")+SUMIFS('LAC 102_Wkst'!$Q$7:$Q$2010,'LAC 102_Wkst'!$E$7:$E$2010,$C29,'LAC 102_Wkst'!$G$7:$G$2010,$D29,'LAC 102_Wkst'!$L$7:$L$2010,"03",'LAC 102_Wkst'!$N$7:$N$2010,"P3")+SUMIFS('LAC 102_Wkst'!$Q$7:$Q$2010,'LAC 102_Wkst'!$E$7:$E$2010,$C29,'LAC 102_Wkst'!$G$7:$G$2010,$D29,'LAC 102_Wkst'!$L$7:$L$2010,"04",'LAC 102_Wkst'!$N$7:$N$2010,"P1")+SUMIFS('LAC 102_Wkst'!$Q$7:$Q$2010,'LAC 102_Wkst'!$E$7:$E$2010,$C29,'LAC 102_Wkst'!$G$7:$G$2010,$D29,'LAC 102_Wkst'!$L$7:$L$2010,"04",'LAC 102_Wkst'!$N$7:$N$2010,"P2")+SUMIFS('LAC 102_Wkst'!$Q$7:$Q$2010,'LAC 102_Wkst'!$E$7:$E$2010,$C29,'LAC 102_Wkst'!$G$7:$G$2010,$D29,'LAC 102_Wkst'!$L$7:$L$2010,"04",'LAC 102_Wkst'!$N$7:$N$2010,"P3")</f>
        <v>0</v>
      </c>
      <c r="M29" s="411">
        <f>SUMIFS('LAC 102_Wkst'!$AE$7:$AE$2010,'LAC 102_Wkst'!$E$7:$E$2010,$C29,'LAC 102_Wkst'!$G$7:$G$2010,$D29,'LAC 102_Wkst'!$L$7:$L$2010,"03",'LAC 102_Wkst'!$N$7:$N$2010,"P1")+SUMIFS('LAC 102_Wkst'!$AE$7:$AE$2010,'LAC 102_Wkst'!$E$7:$E$2010,$C29,'LAC 102_Wkst'!$G$7:$G$2010,$D29,'LAC 102_Wkst'!$L$7:$L$2010,"03",'LAC 102_Wkst'!$N$7:$N$2010,"P2")+SUMIFS('LAC 102_Wkst'!$AE$7:$AE$2010,'LAC 102_Wkst'!$E$7:$E$2010,$C29,'LAC 102_Wkst'!$G$7:$G$2010,$D29,'LAC 102_Wkst'!$L$7:$L$2010,"03",'LAC 102_Wkst'!$N$7:$N$2010,"P3")+SUMIFS('LAC 102_Wkst'!$AE$7:$AE$2010,'LAC 102_Wkst'!$E$7:$E$2010,$C29,'LAC 102_Wkst'!$G$7:$G$2010,$D29,'LAC 102_Wkst'!$L$7:$L$2010,"04",'LAC 102_Wkst'!$N$7:$N$2010,"P1")+SUMIFS('LAC 102_Wkst'!$AE$7:$AE$2010,'LAC 102_Wkst'!$E$7:$E$2010,$C29,'LAC 102_Wkst'!$G$7:$G$2010,$D29,'LAC 102_Wkst'!$L$7:$L$2010,"04",'LAC 102_Wkst'!$N$7:$N$2010,"P2")+SUMIFS('LAC 102_Wkst'!$AE$7:$AE$2010,'LAC 102_Wkst'!$E$7:$E$2010,$C29,'LAC 102_Wkst'!$G$7:$G$2010,$D29,'LAC 102_Wkst'!$L$7:$L$2010,"04",'LAC 102_Wkst'!$N$7:$N$2010,"P3")</f>
        <v>0</v>
      </c>
      <c r="N29" s="410">
        <f>SUMIFS('LAC 102_Wkst'!$Q$7:$Q$2010,'LAC 102_Wkst'!$E$7:$E$2010,$C29,'LAC 102_Wkst'!$G$7:$G$2010,$D29,'LAC 102_Wkst'!$L$7:$L$2010,"03",'LAC 102_Wkst'!$N$7:$N$2010,"P4")+SUMIFS('LAC 102_Wkst'!$Q$7:$Q$2010,'LAC 102_Wkst'!$E$7:$E$2010,$C29,'LAC 102_Wkst'!$G$7:$G$2010,$D29,'LAC 102_Wkst'!$L$7:$L$2010,"04",'LAC 102_Wkst'!$N$7:$N$2010,"P4")</f>
        <v>0</v>
      </c>
      <c r="O29" s="411">
        <f>SUMIFS('LAC 102_Wkst'!$AE$7:$AE$2010,'LAC 102_Wkst'!$E$7:$E$2010,$C29,'LAC 102_Wkst'!$G$7:$G$2010,$D29,'LAC 102_Wkst'!$L$7:$L$2010,"03",'LAC 102_Wkst'!$N$7:$N$2010,"P4")+SUMIFS('LAC 102_Wkst'!$AE$7:$AE$2010,'LAC 102_Wkst'!$E$7:$E$2010,$C29,'LAC 102_Wkst'!$G$7:$G$2010,$D29,'LAC 102_Wkst'!$L$7:$L$2010,"04",'LAC 102_Wkst'!$N$7:$N$2010,"P4")</f>
        <v>0</v>
      </c>
      <c r="P29" s="404">
        <f>SUMIFS('LAC 102_Wkst'!$Q$7:$Q$2010,'LAC 102_Wkst'!$E$7:$E$2010,$C29,'LAC 102_Wkst'!$G$7:$G$2010,$D29,'LAC 102_Wkst'!$L$7:$L$2010,"03",'LAC 102_Wkst'!$N$7:$N$2010,"P5")+SUMIFS('LAC 102_Wkst'!$Q$7:$Q$2010,'LAC 102_Wkst'!$E$7:$E$2010,$C29,'LAC 102_Wkst'!$G$7:$G$2010,$D29,'LAC 102_Wkst'!$L$7:$L$2010,"04",'LAC 102_Wkst'!$N$7:$N$2010,"P5")</f>
        <v>0</v>
      </c>
      <c r="Q29" s="411">
        <f>SUMIFS('LAC 102_Wkst'!$AE$7:$AE$2010,'LAC 102_Wkst'!$E$7:$E$2010,$C29,'LAC 102_Wkst'!$G$7:$G$2010,$D29,'LAC 102_Wkst'!$L$7:$L$2010,"03",'LAC 102_Wkst'!$N$7:$N$2010,"P5")+SUMIFS('LAC 102_Wkst'!$AE$7:$AE$2010,'LAC 102_Wkst'!$E$7:$E$2010,$C29,'LAC 102_Wkst'!$G$7:$G$2010,$D29,'LAC 102_Wkst'!$L$7:$L$2010,"04",'LAC 102_Wkst'!$N$7:$N$2010,"P5")</f>
        <v>0</v>
      </c>
      <c r="R29" s="412">
        <f>SUMIFS('LAC 102_Wkst'!$Q$7:$Q$2010,'LAC 102_Wkst'!$E$7:$E$2010,$C29,'LAC 102_Wkst'!$G$7:$G$2010,$D29,'LAC 102_Wkst'!$L$7:$L$2010,"05",'LAC 102_Wkst'!$N$7:$N$2010,"P1")+SUMIFS('LAC 102_Wkst'!$Q$7:$Q$2010,'LAC 102_Wkst'!$E$7:$E$2010,$C29,'LAC 102_Wkst'!$G$7:$G$2010,$D29,'LAC 102_Wkst'!$L$7:$L$2010,"06",'LAC 102_Wkst'!$N$7:$N$2010,"P1")</f>
        <v>7651</v>
      </c>
      <c r="S29" s="411">
        <f>SUMIFS('LAC 102_Wkst'!$AE$7:$AE$2010,'LAC 102_Wkst'!$E$7:$E$2010,$C29,'LAC 102_Wkst'!$G$7:$G$2010,$D29,'LAC 102_Wkst'!$L$7:$L$2010,"05",'LAC 102_Wkst'!$N$7:$N$2010,"P1")+SUMIFS('LAC 102_Wkst'!$AE$7:$AE$2010,'LAC 102_Wkst'!$E$7:$E$2010,$C29,'LAC 102_Wkst'!$G$7:$G$2010,$D29,'LAC 102_Wkst'!$L$7:$L$2010,"06",'LAC 102_Wkst'!$N$7:$N$2010,"P1")</f>
        <v>0</v>
      </c>
      <c r="T29" s="410">
        <f>SUMIFS('LAC 102_Wkst'!$Q$7:$Q$2010,'LAC 102_Wkst'!$E$7:$E$2010,$C29,'LAC 102_Wkst'!$G$7:$G$2010,$D29,'LAC 102_Wkst'!$L$7:$L$2010,"05",'LAC 102_Wkst'!$N$7:$N$2010,"P2")+SUMIFS('LAC 102_Wkst'!$Q$7:$Q$2010,'LAC 102_Wkst'!$E$7:$E$2010,$C29,'LAC 102_Wkst'!$G$7:$G$2010,$D29,'LAC 102_Wkst'!$L$7:$L$2010,"05",'LAC 102_Wkst'!$N$7:$N$2010,"P3")+SUMIFS('LAC 102_Wkst'!$Q$7:$Q$2010,'LAC 102_Wkst'!$E$7:$E$2010,$C29,'LAC 102_Wkst'!$G$7:$G$2010,$D29,'LAC 102_Wkst'!$L$7:$L$2010,"06",'LAC 102_Wkst'!$N$7:$N$2010,"P2")+SUMIFS('LAC 102_Wkst'!$Q$7:$Q$2010,'LAC 102_Wkst'!$E$7:$E$2010,$C29,'LAC 102_Wkst'!$G$7:$G$2010,$D29,'LAC 102_Wkst'!$L$7:$L$2010,"06",'LAC 102_Wkst'!$N$7:$N$2010,"P3")</f>
        <v>10934</v>
      </c>
      <c r="U29" s="411">
        <f>SUMIFS('LAC 102_Wkst'!$AE$7:$AE$2010,'LAC 102_Wkst'!$E$7:$E$2010,$C29,'LAC 102_Wkst'!$G$7:$G$2010,$D29,'LAC 102_Wkst'!$L$7:$L$2010,"05",'LAC 102_Wkst'!$N$7:$N$2010,"P2")+SUMIFS('LAC 102_Wkst'!$AE$7:$AE$2010,'LAC 102_Wkst'!$E$7:$E$2010,$C29,'LAC 102_Wkst'!$G$7:$G$2010,$D29,'LAC 102_Wkst'!$L$7:$L$2010,"06",'LAC 102_Wkst'!$N$7:$N$2010,"P3")+SUMIFS('LAC 102_Wkst'!$AE$7:$AE$2010,'LAC 102_Wkst'!$E$7:$E$2010,$C29,'LAC 102_Wkst'!$G$7:$G$2010,$D29,'LAC 102_Wkst'!$L$7:$L$2010,"05",'LAC 102_Wkst'!$N$7:$N$2010,"P2")+SUMIFS('LAC 102_Wkst'!$AE$7:$AE$2010,'LAC 102_Wkst'!$E$7:$E$2010,$C29,'LAC 102_Wkst'!$G$7:$G$2010,$D29,'LAC 102_Wkst'!$L$7:$L$2010,"06",'LAC 102_Wkst'!$N$7:$N$2010,"P3")</f>
        <v>0</v>
      </c>
      <c r="V29" s="410">
        <f>SUMIFS('LAC 102_Wkst'!$Q$7:$Q$2010,'LAC 102_Wkst'!$E$7:$E$2010,$C29,'LAC 102_Wkst'!$G$7:$G$2010,$D29,'LAC 102_Wkst'!$L$7:$L$2010,"05",'LAC 102_Wkst'!$N$7:$N$2010,"P4")+SUMIFS('LAC 102_Wkst'!$Q$7:$Q$2010,'LAC 102_Wkst'!$E$7:$E$2010,$C29,'LAC 102_Wkst'!$G$7:$G$2010,$D29,'LAC 102_Wkst'!$L$7:$L$2010,"06",'LAC 102_Wkst'!$N$7:$N$2010,"P4")</f>
        <v>2328</v>
      </c>
      <c r="W29" s="411">
        <f>SUMIFS('LAC 102_Wkst'!$AE$7:$AE$2010,'LAC 102_Wkst'!$E$7:$E$2010,$C29,'LAC 102_Wkst'!$G$7:$G$2010,$D29,'LAC 102_Wkst'!$L$7:$L$2010,"05",'LAC 102_Wkst'!$N$7:$N$2010,"P4")+SUMIFS('LAC 102_Wkst'!$AE$7:$AE$2010,'LAC 102_Wkst'!$E$7:$E$2010,$C29,'LAC 102_Wkst'!$G$7:$G$2010,$D29,'LAC 102_Wkst'!$L$7:$L$2010,"06",'LAC 102_Wkst'!$N$7:$N$2010,"P4")</f>
        <v>0</v>
      </c>
      <c r="X29" s="404">
        <f>SUMIFS('LAC 102_Wkst'!$Q$7:$Q$2010,'LAC 102_Wkst'!$E$7:$E$2010,$C29,'LAC 102_Wkst'!$G$7:$G$2010,$D29,'LAC 102_Wkst'!$L$7:$L$2010,"05",'LAC 102_Wkst'!$N$7:$N$2010,"P5")+SUMIFS('LAC 102_Wkst'!$Q$7:$Q$2010,'LAC 102_Wkst'!$E$7:$E$2010,$C29,'LAC 102_Wkst'!$G$7:$G$2010,$D29,'LAC 102_Wkst'!$L$7:$L$2010,"06",'LAC 102_Wkst'!$N$7:$N$2010,"P5")</f>
        <v>2487</v>
      </c>
      <c r="Y29" s="411">
        <f>SUMIFS('LAC 102_Wkst'!$AE$7:$AE$2010,'LAC 102_Wkst'!$E$7:$E$2010,$C29,'LAC 102_Wkst'!$G$7:$G$2010,$D29,'LAC 102_Wkst'!$L$7:$L$2010,"05",'LAC 102_Wkst'!$N$7:$N$2010,"P5")+SUMIFS('LAC 102_Wkst'!$AE$7:$AE$2010,'LAC 102_Wkst'!$E$7:$E$2010,$C29,'LAC 102_Wkst'!$G$7:$G$2010,$D29,'LAC 102_Wkst'!$L$7:$L$2010,"06",'LAC 102_Wkst'!$N$7:$N$2010,"P5")</f>
        <v>0</v>
      </c>
      <c r="Z29" s="410">
        <f>SUMIFS('LAC 102_Wkst'!$Q$7:$Q$2010,'LAC 102_Wkst'!$E$7:$E$2010,$C29,'LAC 102_Wkst'!$G$7:$G$2010,$D29,'LAC 102_Wkst'!$L$7:$L$2010,"07",'LAC 102_Wkst'!$N$7:$N$2010,"P1")+SUMIFS('LAC 102_Wkst'!$Q$7:$Q$2010,'LAC 102_Wkst'!$E$7:$E$2010,$C29,'LAC 102_Wkst'!$G$7:$G$2010,$D29,'LAC 102_Wkst'!$L$7:$L$2010,"07",'LAC 102_Wkst'!$N$7:$N$2010,"P2")+SUMIFS('LAC 102_Wkst'!$Q$7:$Q$2010,'LAC 102_Wkst'!$E$7:$E$2010,$C29,'LAC 102_Wkst'!$G$7:$G$2010,$D29,'LAC 102_Wkst'!$L$7:$L$2010,"07",'LAC 102_Wkst'!$N$7:$N$2010,"P3")</f>
        <v>186</v>
      </c>
      <c r="AA29" s="411">
        <f>SUMIFS('LAC 102_Wkst'!$AE$7:$AE$2010,'LAC 102_Wkst'!$E$7:$E$2010,$C29,'LAC 102_Wkst'!$G$7:$G$2010,$D29,'LAC 102_Wkst'!$L$7:$L$2010,"07",'LAC 102_Wkst'!$N$7:$N$2010,"P1")+SUMIFS('LAC 102_Wkst'!$AE$7:$AE$2010,'LAC 102_Wkst'!$E$7:$E$2010,$C29,'LAC 102_Wkst'!$G$7:$G$2010,$D29,'LAC 102_Wkst'!$L$7:$L$2010,"07",'LAC 102_Wkst'!$N$7:$N$2010,"P2")+SUMIFS('LAC 102_Wkst'!$AE$7:$AE$2010,'LAC 102_Wkst'!$E$7:$E$2010,$C29,'LAC 102_Wkst'!$G$7:$G$2010,$D29,'LAC 102_Wkst'!$L$7:$L$2010,"07",'LAC 102_Wkst'!$N$7:$N$2010,"P3")</f>
        <v>0</v>
      </c>
      <c r="AB29" s="410">
        <f>SUMIFS('LAC 102_Wkst'!$Q$7:$Q$2010,'LAC 102_Wkst'!$E$7:$E$2010,$C29,'LAC 102_Wkst'!$G$7:$G$2010,$D29,'LAC 102_Wkst'!$L$7:$L$2010,"07",'LAC 102_Wkst'!$N$7:$N$2010,"P4")</f>
        <v>48</v>
      </c>
      <c r="AC29" s="411">
        <f>SUMIFS('LAC 102_Wkst'!$AE$7:$AE$2010,'LAC 102_Wkst'!$E$7:$E$2010,$C29,'LAC 102_Wkst'!$G$7:$G$2010,$D29,'LAC 102_Wkst'!$L$7:$L$2010,"07",'LAC 102_Wkst'!$N$7:$N$2010,"P4")</f>
        <v>0</v>
      </c>
      <c r="AD29" s="404">
        <f>SUMIFS('LAC 102_Wkst'!$Q$7:$Q$2010,'LAC 102_Wkst'!$E$7:$E$2010,$C29,'LAC 102_Wkst'!$G$7:$G$2010,$D29,'LAC 102_Wkst'!$L$7:$L$2010,"07",'LAC 102_Wkst'!$N$7:$N$2010,"P5")</f>
        <v>73</v>
      </c>
      <c r="AE29" s="411">
        <f>SUMIFS('LAC 102_Wkst'!$AE$7:$AE$2010,'LAC 102_Wkst'!$E$7:$E$2010,$C29,'LAC 102_Wkst'!$G$7:$G$2010,$D29,'LAC 102_Wkst'!$L$7:$L$2010,"07",'LAC 102_Wkst'!$N$7:$N$2010,"P5")</f>
        <v>0</v>
      </c>
      <c r="AF29" s="410">
        <f>SUMIFS('LAC 102_Wkst'!$Q$7:$Q$2010,'LAC 102_Wkst'!$E$7:$E$2010,$C29,'LAC 102_Wkst'!$G$7:$G$2010,$D29,'LAC 102_Wkst'!$L$7:$L$2010,"08",'LAC 102_Wkst'!$N$7:$N$2010,"P1")+SUMIFS('LAC 102_Wkst'!$Q$7:$Q$2010,'LAC 102_Wkst'!$E$7:$E$2010,$C29,'LAC 102_Wkst'!$G$7:$G$2010,$D29,'LAC 102_Wkst'!$L$7:$L$2010,"08",'LAC 102_Wkst'!$N$7:$N$2010,"P2")+SUMIFS('LAC 102_Wkst'!$Q$7:$Q$2010,'LAC 102_Wkst'!$E$7:$E$2010,$C29,'LAC 102_Wkst'!$G$7:$G$2010,$D29,'LAC 102_Wkst'!$L$7:$L$2010,"08",'LAC 102_Wkst'!$N$7:$N$2010,"P3")</f>
        <v>0</v>
      </c>
      <c r="AG29" s="411">
        <f>SUMIFS('LAC 102_Wkst'!$AE$7:$AE$2010,'LAC 102_Wkst'!$E$7:$E$2010,$C29,'LAC 102_Wkst'!$G$7:$G$2010,$D29,'LAC 102_Wkst'!$L$7:$L$2010,"08",'LAC 102_Wkst'!$N$7:$N$2010,"P1")+SUMIFS('LAC 102_Wkst'!$AE$7:$AE$2010,'LAC 102_Wkst'!$E$7:$E$2010,$C29,'LAC 102_Wkst'!$G$7:$G$2010,$D29,'LAC 102_Wkst'!$L$7:$L$2010,"08",'LAC 102_Wkst'!$N$7:$N$2010,"P2")+SUMIFS('LAC 102_Wkst'!$AE$7:$AE$2010,'LAC 102_Wkst'!$E$7:$E$2010,$C29,'LAC 102_Wkst'!$G$7:$G$2010,$D29,'LAC 102_Wkst'!$L$7:$L$2010,"08",'LAC 102_Wkst'!$N$7:$N$2010,"P3")</f>
        <v>0</v>
      </c>
      <c r="AH29" s="410">
        <f>SUMIFS('LAC 102_Wkst'!$Q$7:$Q$2010,'LAC 102_Wkst'!$E$7:$E$2010,$C29,'LAC 102_Wkst'!$G$7:$G$2010,$D29,'LAC 102_Wkst'!$L$7:$L$2010,"08",'LAC 102_Wkst'!$N$7:$N$2010,"P4")</f>
        <v>0</v>
      </c>
      <c r="AI29" s="411">
        <f>SUMIFS('LAC 102_Wkst'!$AE$7:$AE$2010,'LAC 102_Wkst'!$E$7:$E$2010,$C29,'LAC 102_Wkst'!$G$7:$G$2010,$D29,'LAC 102_Wkst'!$L$7:$L$2010,"08",'LAC 102_Wkst'!$N$7:$N$2010,"P4")</f>
        <v>0</v>
      </c>
      <c r="AJ29" s="404">
        <f>SUMIFS('LAC 102_Wkst'!$Q$7:$Q$2010,'LAC 102_Wkst'!$E$7:$E$2010,$C29,'LAC 102_Wkst'!$G$7:$G$2010,$D29,'LAC 102_Wkst'!$L$7:$L$2010,"08",'LAC 102_Wkst'!$N$7:$N$2010,"P5")</f>
        <v>0</v>
      </c>
      <c r="AK29" s="411">
        <f>SUMIFS('LAC 102_Wkst'!$AE$7:$AE$2010,'LAC 102_Wkst'!$E$7:$E$2010,$C29,'LAC 102_Wkst'!$G$7:$G$2010,$D29,'LAC 102_Wkst'!$L$7:$L$2010,"08",'LAC 102_Wkst'!$N$7:$N$2010,"P5")</f>
        <v>0</v>
      </c>
      <c r="AL29" s="410">
        <f>SUMIFS('LAC 102_Wkst'!$Q$7:$Q$2010,'LAC 102_Wkst'!$E$7:$E$2010,$C29,'LAC 102_Wkst'!$G$7:$G$2010,$D29,'LAC 102_Wkst'!$L$7:$L$2010,"09",'LAC 102_Wkst'!$N$7:$N$2010,"P1")+SUMIFS('LAC 102_Wkst'!$Q$7:$Q$2010,'LAC 102_Wkst'!$E$7:$E$2010,$C29,'LAC 102_Wkst'!$G$7:$G$2010,$D29,'LAC 102_Wkst'!$L$7:$L$2010,"09",'LAC 102_Wkst'!$N$7:$N$2010,"P2")+SUMIFS('LAC 102_Wkst'!$Q$7:$Q$2010,'LAC 102_Wkst'!$E$7:$E$2010,$C29,'LAC 102_Wkst'!$G$7:$G$2010,$D29,'LAC 102_Wkst'!$L$7:$L$2010,"09",'LAC 102_Wkst'!$N$7:$N$2010,"P3")+SUMIFS('LAC 102_Wkst'!$Q$7:$Q$2010,'LAC 102_Wkst'!$E$7:$E$2010,$C29,'LAC 102_Wkst'!$G$7:$G$2010,$D29,'LAC 102_Wkst'!$L$7:$L$2010,"09",'LAC 102_Wkst'!$N$7:$N$2010,"P4")</f>
        <v>0</v>
      </c>
      <c r="AM29" s="411">
        <f>SUMIFS('LAC 102_Wkst'!$AE$7:$AE$2010,'LAC 102_Wkst'!$E$7:$E$2010,$C29,'LAC 102_Wkst'!$G$7:$G$2010,$D29,'LAC 102_Wkst'!$L$7:$L$2010,"09",'LAC 102_Wkst'!$N$7:$N$2010,"P1")+SUMIFS('LAC 102_Wkst'!$AE$7:$AE$2010,'LAC 102_Wkst'!$E$7:$E$2010,$C29,'LAC 102_Wkst'!$G$7:$G$2010,$D29,'LAC 102_Wkst'!$L$7:$L$2010,"09",'LAC 102_Wkst'!$N$7:$N$2010,"P2")+SUMIFS('LAC 102_Wkst'!$AE$7:$AE$2010,'LAC 102_Wkst'!$E$7:$E$2010,$C29,'LAC 102_Wkst'!$G$7:$G$2010,$D29,'LAC 102_Wkst'!$L$7:$L$2010,"09",'LAC 102_Wkst'!$N$7:$N$2010,"P3")+SUMIFS('LAC 102_Wkst'!$AE$7:$AE$2010,'LAC 102_Wkst'!$E$7:$E$2010,$C29,'LAC 102_Wkst'!$G$7:$G$2010,$D29,'LAC 102_Wkst'!$L$7:$L$2010,"09",'LAC 102_Wkst'!$N$7:$N$2010,"P4")</f>
        <v>0</v>
      </c>
      <c r="AN29" s="410">
        <f>SUMIFS('LAC 102_Wkst'!$Q$7:$Q$2010,'LAC 102_Wkst'!$E$7:$E$2010,$C29,'LAC 102_Wkst'!$G$7:$G$2010,$D29,'LAC 102_Wkst'!$L$7:$L$2010,"09",'LAC 102_Wkst'!$N$7:$N$2010,"P5")</f>
        <v>0</v>
      </c>
      <c r="AO29" s="411">
        <f>SUMIFS('LAC 102_Wkst'!$AE$7:$AE$2010,'LAC 102_Wkst'!$E$7:$E$2010,$C29,'LAC 102_Wkst'!$G$7:$G$2010,$D29,'LAC 102_Wkst'!$L$7:$L$2010,"09",'LAC 102_Wkst'!$N$7:$N$2010,"P5")</f>
        <v>0</v>
      </c>
      <c r="AP29" s="404">
        <f>SUMIFS('LAC 102_Wkst'!$Q$7:$Q$2010,'LAC 102_Wkst'!$E$7:$E$2010,$C29,'LAC 102_Wkst'!$G$7:$G$2010,$D29,'LAC 102_Wkst'!$L$7:$L$2010,"10",'LAC 102_Wkst'!$N$7:$N$2010,"P1")+SUMIFS('LAC 102_Wkst'!$Q$7:$Q$2010,'LAC 102_Wkst'!$E$7:$E$2010,$C29,'LAC 102_Wkst'!$G$7:$G$2010,$D29,'LAC 102_Wkst'!$L$7:$L$2010,"10",'LAC 102_Wkst'!$N$7:$N$2010,"P2")+SUMIFS('LAC 102_Wkst'!$Q$7:$Q$2010,'LAC 102_Wkst'!$E$7:$E$2010,$C29,'LAC 102_Wkst'!$G$7:$G$2010,$D29,'LAC 102_Wkst'!$L$7:$L$2010,"10",'LAC 102_Wkst'!$N$7:$N$2010,"P3")+SUMIFS('LAC 102_Wkst'!$Q$7:$Q$2010,'LAC 102_Wkst'!$E$7:$E$2010,$C29,'LAC 102_Wkst'!$G$7:$G$2010,$D29,'LAC 102_Wkst'!$L$7:$L$2010,"10",'LAC 102_Wkst'!$N$7:$N$2010,"P4")</f>
        <v>291667</v>
      </c>
      <c r="AQ29" s="411">
        <f>SUMIFS('LAC 102_Wkst'!$AE$7:$AE$2010,'LAC 102_Wkst'!$E$7:$E$2010,$C29,'LAC 102_Wkst'!$G$7:$G$2010,$D29,'LAC 102_Wkst'!$L$7:$L$2010,"10",'LAC 102_Wkst'!$N$7:$N$2010,"P1")+SUMIFS('LAC 102_Wkst'!$AE$7:$AE$2010,'LAC 102_Wkst'!$E$7:$E$2010,$C29,'LAC 102_Wkst'!$G$7:$G$2010,$D29,'LAC 102_Wkst'!$L$7:$L$2010,"10",'LAC 102_Wkst'!$N$7:$N$2010,"P2")+SUMIFS('LAC 102_Wkst'!$AE$7:$AE$2010,'LAC 102_Wkst'!$E$7:$E$2010,$C29,'LAC 102_Wkst'!$G$7:$G$2010,$D29,'LAC 102_Wkst'!$L$7:$L$2010,"10",'LAC 102_Wkst'!$N$7:$N$2010,"P3")+SUMIFS('LAC 102_Wkst'!$AE$7:$AE$2010,'LAC 102_Wkst'!$E$7:$E$2010,$C29,'LAC 102_Wkst'!$G$7:$G$2010,$D29,'LAC 102_Wkst'!$L$7:$L$2010,"10",'LAC 102_Wkst'!$N$7:$N$2010,"P4")</f>
        <v>0</v>
      </c>
      <c r="AR29" s="410">
        <f>SUMIFS('LAC 102_Wkst'!$Q$7:$Q$2010,'LAC 102_Wkst'!$E$7:$E$2010,$C29,'LAC 102_Wkst'!$G$7:$G$2010,$D29,'LAC 102_Wkst'!$L$7:$L$2010,"10",'LAC 102_Wkst'!$N$7:$N$2010,"P5")</f>
        <v>48876</v>
      </c>
      <c r="AS29" s="411">
        <f>SUMIFS('LAC 102_Wkst'!$AE$7:$AE$2010,'LAC 102_Wkst'!$E$7:$E$2010,$C29,'LAC 102_Wkst'!$G$7:$G$2010,$D29,'LAC 102_Wkst'!$L$7:$L$2010,"10",'LAC 102_Wkst'!$N$7:$N$2010,"P5")</f>
        <v>54949</v>
      </c>
      <c r="AT29" s="410">
        <f>SUMIFS('LAC 102_Wkst'!$Q$7:$Q$2010,'LAC 102_Wkst'!$E$7:$E$2010,$C29,'LAC 102_Wkst'!$G$7:$G$2010,$D29,'LAC 102_Wkst'!$L$7:$L$2010,"11",'LAC 102_Wkst'!$N$7:$N$2010,"P1")+SUMIFS('LAC 102_Wkst'!$Q$7:$Q$2010,'LAC 102_Wkst'!$E$7:$E$2010,$C29,'LAC 102_Wkst'!$G$7:$G$2010,$D29,'LAC 102_Wkst'!$L$7:$L$2010,"12",'LAC 102_Wkst'!$N$7:$N$2010,"P1")</f>
        <v>0</v>
      </c>
      <c r="AU29" s="411">
        <f>SUMIFS('LAC 102_Wkst'!$AE$7:$AE$2010,'LAC 102_Wkst'!$E$7:$E$2010,$C29,'LAC 102_Wkst'!$G$7:$G$2010,$D29,'LAC 102_Wkst'!$L$7:$L$2010,"11",'LAC 102_Wkst'!$N$7:$N$2010,"P1")+SUMIFS('LAC 102_Wkst'!$AE$7:$AE$2010,'LAC 102_Wkst'!$E$7:$E$2010,$C29,'LAC 102_Wkst'!$G$7:$G$2010,$D29,'LAC 102_Wkst'!$L$7:$L$2010,"12",'LAC 102_Wkst'!$N$7:$N$2010,"P1")</f>
        <v>0</v>
      </c>
      <c r="AV29" s="404">
        <f>SUMIFS('LAC 102_Wkst'!$Q$7:$Q$2010,'LAC 102_Wkst'!$E$7:$E$2010,$C29,'LAC 102_Wkst'!$G$7:$G$2010,$D29,'LAC 102_Wkst'!$L$7:$L$2010,"11",'LAC 102_Wkst'!$N$7:$N$2010,"P2")+SUMIFS('LAC 102_Wkst'!$Q$7:$Q$2010,'LAC 102_Wkst'!$E$7:$E$2010,$C29,'LAC 102_Wkst'!$G$7:$G$2010,$D29,'LAC 102_Wkst'!$L$7:$L$2010,"12",'LAC 102_Wkst'!$N$7:$N$2010,"P3")+SUMIFS('LAC 102_Wkst'!$Q$7:$Q$2010,'LAC 102_Wkst'!$E$7:$E$2010,$C29,'LAC 102_Wkst'!$G$7:$G$2010,$D29,'LAC 102_Wkst'!$L$7:$L$2010,"11",'LAC 102_Wkst'!$N$7:$N$2010,"P2")+SUMIFS('LAC 102_Wkst'!$Q$7:$Q$2010,'LAC 102_Wkst'!$E$7:$E$2010,$C29,'LAC 102_Wkst'!$G$7:$G$2010,$D29,'LAC 102_Wkst'!$L$7:$L$2010,"12",'LAC 102_Wkst'!$N$7:$N$2010,"P3")</f>
        <v>0</v>
      </c>
      <c r="AW29" s="411">
        <f>SUMIFS('LAC 102_Wkst'!$AE$7:$AE$2010,'LAC 102_Wkst'!$E$7:$E$2010,$C29,'LAC 102_Wkst'!$G$7:$G$2010,$D29,'LAC 102_Wkst'!$L$7:$L$2010,"11",'LAC 102_Wkst'!$N$7:$N$2010,"P2")+SUMIFS('LAC 102_Wkst'!$AE$7:$AE$2010,'LAC 102_Wkst'!$E$7:$E$2010,$C29,'LAC 102_Wkst'!$G$7:$G$2010,$D29,'LAC 102_Wkst'!$L$7:$L$2010,"12",'LAC 102_Wkst'!$N$7:$N$2010,"P3")+SUMIFS('LAC 102_Wkst'!$AE$7:$AE$2010,'LAC 102_Wkst'!$E$7:$E$2010,$C29,'LAC 102_Wkst'!$G$7:$G$2010,$D29,'LAC 102_Wkst'!$L$7:$L$2010,"11",'LAC 102_Wkst'!$N$7:$N$2010,"P2")+SUMIFS('LAC 102_Wkst'!$AE$7:$AE$2010,'LAC 102_Wkst'!$E$7:$E$2010,$C29,'LAC 102_Wkst'!$G$7:$G$2010,$D29,'LAC 102_Wkst'!$L$7:$L$2010,"12",'LAC 102_Wkst'!$N$7:$N$2010,"P3")</f>
        <v>0</v>
      </c>
      <c r="AX29" s="404">
        <f>SUMIFS('LAC 102_Wkst'!$Q$7:$Q$2010,'LAC 102_Wkst'!$E$7:$E$2010,$C29,'LAC 102_Wkst'!$G$7:$G$2010,$D29,'LAC 102_Wkst'!$L$7:$L$2010,"11",'LAC 102_Wkst'!$N$7:$N$2010,"P4")+SUMIFS('LAC 102_Wkst'!$Q$7:$Q$2010,'LAC 102_Wkst'!$E$7:$E$2010,$C29,'LAC 102_Wkst'!$G$7:$G$2010,$D29,'LAC 102_Wkst'!$L$7:$L$2010,"12",'LAC 102_Wkst'!$N$7:$N$2010,"P4")</f>
        <v>0</v>
      </c>
      <c r="AY29" s="411">
        <f>SUMIFS('LAC 102_Wkst'!$AE$7:$AE$2010,'LAC 102_Wkst'!$E$7:$E$2010,$C29,'LAC 102_Wkst'!$G$7:$G$2010,$D29,'LAC 102_Wkst'!$L$7:$L$2010,"11",'LAC 102_Wkst'!$N$7:$N$2010,"P4")+SUMIFS('LAC 102_Wkst'!$AE$7:$AE$2010,'LAC 102_Wkst'!$E$7:$E$2010,$C29,'LAC 102_Wkst'!$G$7:$G$2010,$D29,'LAC 102_Wkst'!$L$7:$L$2010,"12",'LAC 102_Wkst'!$N$7:$N$2010,"P4")</f>
        <v>0</v>
      </c>
      <c r="AZ29" s="404">
        <f>SUMIFS('LAC 102_Wkst'!$Q$7:$Q$2010,'LAC 102_Wkst'!$E$7:$E$2010,$C29,'LAC 102_Wkst'!$G$7:$G$2010,$D29,'LAC 102_Wkst'!$L$7:$L$2010,"11",'LAC 102_Wkst'!$N$7:$N$2010,"P5")+SUMIFS('LAC 102_Wkst'!$Q$7:$Q$2010,'LAC 102_Wkst'!$E$7:$E$2010,$C29,'LAC 102_Wkst'!$G$7:$G$2010,$D29,'LAC 102_Wkst'!$L$7:$L$2010,"12",'LAC 102_Wkst'!$N$7:$N$2010,"P5")</f>
        <v>0</v>
      </c>
      <c r="BA29" s="411">
        <f>SUMIFS('LAC 102_Wkst'!$AE$7:$AE$2010,'LAC 102_Wkst'!$E$7:$E$2010,$C29,'LAC 102_Wkst'!$G$7:$G$2010,$D29,'LAC 102_Wkst'!$L$7:$L$2010,"11",'LAC 102_Wkst'!$N$7:$N$2010,"P5")+SUMIFS('LAC 102_Wkst'!$AE$7:$AE$2010,'LAC 102_Wkst'!$E$7:$E$2010,$C29,'LAC 102_Wkst'!$G$7:$G$2010,$D29,'LAC 102_Wkst'!$L$7:$L$2010,"12",'LAC 102_Wkst'!$N$7:$N$2010,"P5")</f>
        <v>0</v>
      </c>
      <c r="BB29" s="404">
        <f>SUMIFS('LAC 102_Wkst'!$Q$7:$Q$2010,'LAC 102_Wkst'!$E$7:$E$2010,$C29,'LAC 102_Wkst'!$G$7:$G$2010,$D29,'LAC 102_Wkst'!$L$7:$L$2010,"13",'LAC 102_Wkst'!$N$7:$N$2010,"P1")+SUMIFS('LAC 102_Wkst'!$Q$7:$Q$2010,'LAC 102_Wkst'!$E$7:$E$2010,$C29,'LAC 102_Wkst'!$G$7:$G$2010,$D29,'LAC 102_Wkst'!$L$7:$L$2010,"13",'LAC 102_Wkst'!$N$7:$N$2010,"P2")+SUMIFS('LAC 102_Wkst'!$Q$7:$Q$2010,'LAC 102_Wkst'!$E$7:$E$2010,$C29,'LAC 102_Wkst'!$G$7:$G$2010,$D29,'LAC 102_Wkst'!$L$7:$L$2010,"13",'LAC 102_Wkst'!$N$7:$N$2010,"P3")+SUMIFS('LAC 102_Wkst'!$Q$7:$Q$2010,'LAC 102_Wkst'!$E$7:$E$2010,$C29,'LAC 102_Wkst'!$G$7:$G$2010,$D29,'LAC 102_Wkst'!$L$7:$L$2010,"13",'LAC 102_Wkst'!$N$7:$N$2010,"P4")</f>
        <v>6594</v>
      </c>
      <c r="BC29" s="411">
        <f>SUMIFS('LAC 102_Wkst'!$AE$7:$AE$2010,'LAC 102_Wkst'!$E$7:$E$2010,$C29,'LAC 102_Wkst'!$G$7:$G$2010,$D29,'LAC 102_Wkst'!$L$7:$L$2010,"13",'LAC 102_Wkst'!$N$7:$N$2010,"P1")+SUMIFS('LAC 102_Wkst'!$AE$7:$AE$2010,'LAC 102_Wkst'!$E$7:$E$2010,$C29,'LAC 102_Wkst'!$G$7:$G$2010,$D29,'LAC 102_Wkst'!$L$7:$L$2010,"13",'LAC 102_Wkst'!$N$7:$N$2010,"P2")+SUMIFS('LAC 102_Wkst'!$AE$7:$AE$2010,'LAC 102_Wkst'!$E$7:$E$2010,$C29,'LAC 102_Wkst'!$G$7:$G$2010,$D29,'LAC 102_Wkst'!$L$7:$L$2010,"13",'LAC 102_Wkst'!$N$7:$N$2010,"P3")+SUMIFS('LAC 102_Wkst'!$AE$7:$AE$2010,'LAC 102_Wkst'!$E$7:$E$2010,$C29,'LAC 102_Wkst'!$G$7:$G$2010,$D29,'LAC 102_Wkst'!$L$7:$L$2010,"13",'LAC 102_Wkst'!$N$7:$N$2010,"P4")</f>
        <v>0</v>
      </c>
      <c r="BD29" s="404">
        <f>SUMIFS('LAC 102_Wkst'!$Q$7:$Q$2010,'LAC 102_Wkst'!$E$7:$E$2010,$C29,'LAC 102_Wkst'!$G$7:$G$2010,$D29,'LAC 102_Wkst'!$L$7:$L$2010,"13",'LAC 102_Wkst'!$N$7:$N$2010,"P5")</f>
        <v>0</v>
      </c>
      <c r="BE29" s="411">
        <f>SUMIFS('LAC 102_Wkst'!$AE$7:$AE$2010,'LAC 102_Wkst'!$E$7:$E$2010,$C29,'LAC 102_Wkst'!$G$7:$G$2010,$D29,'LAC 102_Wkst'!$L$7:$L$2010,"13",'LAC 102_Wkst'!$N$7:$N$2010,"P5")</f>
        <v>0</v>
      </c>
      <c r="BF29" s="407">
        <f t="shared" si="0"/>
        <v>11226</v>
      </c>
    </row>
    <row r="30" spans="1:58" x14ac:dyDescent="0.2">
      <c r="A30" s="401">
        <v>11</v>
      </c>
      <c r="B30" s="1236" t="s">
        <v>738</v>
      </c>
      <c r="C30" s="1235" t="s">
        <v>95</v>
      </c>
      <c r="D30" s="1237" t="s">
        <v>434</v>
      </c>
      <c r="E30" s="1222">
        <f>IF(CONCATENATE(C30,D30)&gt;"6069",1,SUMIFS('LAC 102_Wkst'!$Q$7:$Q$2010,'LAC 102_Wkst'!$E$7:$E$2010,Schedule_B!$C30,'LAC 102_Wkst'!$G$7:$G$2010,Schedule_B!$D30))</f>
        <v>75471</v>
      </c>
      <c r="F30" s="408">
        <f>SUMIFS('LAC 102_Wkst'!$Q$7:$Q$2010,'LAC 102_Wkst'!$E$7:$E$2010,$C30,'LAC 102_Wkst'!$G$7:$G$2010,$D30,'LAC 102_Wkst'!$L$7:$L$2010,"01",'LAC 102_Wkst'!$N$7:$N$2010,"P1")+SUMIFS('LAC 102_Wkst'!$Q$7:$Q$2010,'LAC 102_Wkst'!$E$7:$E$2010,$C30,'LAC 102_Wkst'!$G$7:$G$2010,$D30,'LAC 102_Wkst'!$L$7:$L$2010,"01",'LAC 102_Wkst'!$N$7:$N$2010,"P2")+SUMIFS('LAC 102_Wkst'!$Q$7:$Q$2010,'LAC 102_Wkst'!$E$7:$E$2010,$C30,'LAC 102_Wkst'!$G$7:$G$2010,$D30,'LAC 102_Wkst'!$L$7:$L$2010,"01",'LAC 102_Wkst'!$N$7:$N$2010,"P3")+SUMIFS('LAC 102_Wkst'!$Q$7:$Q$2010,'LAC 102_Wkst'!$E$7:$E$2010,$C30,'LAC 102_Wkst'!$G$7:$G$2010,$D30,'LAC 102_Wkst'!$L$7:$L$2010,"02",'LAC 102_Wkst'!$N$7:$N$2010,"P1")+SUMIFS('LAC 102_Wkst'!$Q$7:$Q$2010,'LAC 102_Wkst'!$E$7:$E$2010,$C30,'LAC 102_Wkst'!$G$7:$G$2010,$D30,'LAC 102_Wkst'!$L$7:$L$2010,"02",'LAC 102_Wkst'!$N$7:$N$2010,"P2")+SUMIFS('LAC 102_Wkst'!$Q$7:$Q$2010,'LAC 102_Wkst'!$E$7:$E$2010,$C30,'LAC 102_Wkst'!$G$7:$G$2010,$D30,'LAC 102_Wkst'!$L$7:$L$2010,"02",'LAC 102_Wkst'!$N$7:$N$2010,"P3")</f>
        <v>0</v>
      </c>
      <c r="G30" s="409">
        <f>SUMIFS('LAC 102_Wkst'!$AE$7:$AE$2010,'LAC 102_Wkst'!$E$7:$E$2010,$C30,'LAC 102_Wkst'!$G$7:$G$2010,$D30,'LAC 102_Wkst'!$L$7:$L$2010,"01",'LAC 102_Wkst'!$N$7:$N$2010,"P1")+SUMIFS('LAC 102_Wkst'!$AE$7:$AE$2010,'LAC 102_Wkst'!$E$7:$E$2010,$C30,'LAC 102_Wkst'!$G$7:$G$2010,$D30,'LAC 102_Wkst'!$L$7:$L$2010,"01",'LAC 102_Wkst'!$N$7:$N$2010,"P2")+SUMIFS('LAC 102_Wkst'!$AE$7:$AE$2010,'LAC 102_Wkst'!$E$7:$E$2010,$C30,'LAC 102_Wkst'!$G$7:$G$2010,$D30,'LAC 102_Wkst'!$L$7:$L$2010,"01",'LAC 102_Wkst'!$N$7:$N$2010,"P3")+SUMIFS('LAC 102_Wkst'!$AE$7:$AE$2010,'LAC 102_Wkst'!$E$7:$E$2010,$C30,'LAC 102_Wkst'!$G$7:$G$2010,$D30,'LAC 102_Wkst'!$L$7:$L$2010,"02",'LAC 102_Wkst'!$N$7:$N$2010,"P1")+SUMIFS('LAC 102_Wkst'!$AE$7:$AE$2010,'LAC 102_Wkst'!$E$7:$E$2010,$C30,'LAC 102_Wkst'!$G$7:$G$2010,$D30,'LAC 102_Wkst'!$L$7:$L$2010,"02",'LAC 102_Wkst'!$N$7:$N$2010,"P2")+SUMIFS('LAC 102_Wkst'!$AE$7:$AE$2010,'LAC 102_Wkst'!$E$7:$E$2010,$C30,'LAC 102_Wkst'!$G$7:$G$2010,$D30,'LAC 102_Wkst'!$L$7:$L$2010,"02",'LAC 102_Wkst'!$N$7:$N$2010,"P3")</f>
        <v>0</v>
      </c>
      <c r="H30" s="410">
        <f>SUMIFS('LAC 102_Wkst'!$Q$7:$Q$2010,'LAC 102_Wkst'!$E$7:$E$2010,$C30,'LAC 102_Wkst'!$G$7:$G$2010,$D30,'LAC 102_Wkst'!$L$7:$L$2010,"01",'LAC 102_Wkst'!$N$7:$N$2010,"P4")+SUMIFS('LAC 102_Wkst'!$Q$7:$Q$2010,'LAC 102_Wkst'!$E$7:$E$2010,$C30,'LAC 102_Wkst'!$G$7:$G$2010,$D30,'LAC 102_Wkst'!$L$7:$L$2010,"02",'LAC 102_Wkst'!$N$7:$N$2010,"P4")</f>
        <v>0</v>
      </c>
      <c r="I30" s="411">
        <f>SUMIFS('LAC 102_Wkst'!$AE$7:$AE$2010,'LAC 102_Wkst'!$E$7:$E$2010,$C30,'LAC 102_Wkst'!$G$7:$G$2010,$D30,'LAC 102_Wkst'!$L$7:$L$2010,"01",'LAC 102_Wkst'!$N$7:$N$2010,"P4")+SUMIFS('LAC 102_Wkst'!$AE$7:$AE$2010,'LAC 102_Wkst'!$E$7:$E$2010,$C30,'LAC 102_Wkst'!$G$7:$G$2010,$D30,'LAC 102_Wkst'!$L$7:$L$2010,"02",'LAC 102_Wkst'!$N$7:$N$2010,"P4")</f>
        <v>0</v>
      </c>
      <c r="J30" s="410">
        <f>SUMIFS('LAC 102_Wkst'!$Q$7:$Q$2010,'LAC 102_Wkst'!$E$7:$E$2010,$C30,'LAC 102_Wkst'!$G$7:$G$2010,$D30,'LAC 102_Wkst'!$L$7:$L$2010,"01",'LAC 102_Wkst'!$N$7:$N$2010,"P5")+SUMIFS('LAC 102_Wkst'!$Q$7:$Q$2010,'LAC 102_Wkst'!$E$7:$E$2010,$C30,'LAC 102_Wkst'!$G$7:$G$2010,$D30,'LAC 102_Wkst'!$L$7:$L$2010,"02",'LAC 102_Wkst'!$N$7:$N$2010,"P5")</f>
        <v>0</v>
      </c>
      <c r="K30" s="411">
        <f>SUMIFS('LAC 102_Wkst'!$AE$7:$AE$2010,'LAC 102_Wkst'!$E$7:$E$2010,$C30,'LAC 102_Wkst'!$G$7:$G$2010,$D30,'LAC 102_Wkst'!$L$7:$L$2010,"01",'LAC 102_Wkst'!$N$7:$N$2010,"P5")+SUMIFS('LAC 102_Wkst'!$AE$7:$AE$2010,'LAC 102_Wkst'!$E$7:$E$2010,$C30,'LAC 102_Wkst'!$G$7:$G$2010,$D30,'LAC 102_Wkst'!$L$7:$L$2010,"02",'LAC 102_Wkst'!$N$7:$N$2010,"P5")</f>
        <v>0</v>
      </c>
      <c r="L30" s="410">
        <f>SUMIFS('LAC 102_Wkst'!$Q$7:$Q$2010,'LAC 102_Wkst'!$E$7:$E$2010,$C30,'LAC 102_Wkst'!$G$7:$G$2010,$D30,'LAC 102_Wkst'!$L$7:$L$2010,"03",'LAC 102_Wkst'!$N$7:$N$2010,"P1")+SUMIFS('LAC 102_Wkst'!$Q$7:$Q$2010,'LAC 102_Wkst'!$E$7:$E$2010,$C30,'LAC 102_Wkst'!$G$7:$G$2010,$D30,'LAC 102_Wkst'!$L$7:$L$2010,"03",'LAC 102_Wkst'!$N$7:$N$2010,"P2")+SUMIFS('LAC 102_Wkst'!$Q$7:$Q$2010,'LAC 102_Wkst'!$E$7:$E$2010,$C30,'LAC 102_Wkst'!$G$7:$G$2010,$D30,'LAC 102_Wkst'!$L$7:$L$2010,"03",'LAC 102_Wkst'!$N$7:$N$2010,"P3")+SUMIFS('LAC 102_Wkst'!$Q$7:$Q$2010,'LAC 102_Wkst'!$E$7:$E$2010,$C30,'LAC 102_Wkst'!$G$7:$G$2010,$D30,'LAC 102_Wkst'!$L$7:$L$2010,"04",'LAC 102_Wkst'!$N$7:$N$2010,"P1")+SUMIFS('LAC 102_Wkst'!$Q$7:$Q$2010,'LAC 102_Wkst'!$E$7:$E$2010,$C30,'LAC 102_Wkst'!$G$7:$G$2010,$D30,'LAC 102_Wkst'!$L$7:$L$2010,"04",'LAC 102_Wkst'!$N$7:$N$2010,"P2")+SUMIFS('LAC 102_Wkst'!$Q$7:$Q$2010,'LAC 102_Wkst'!$E$7:$E$2010,$C30,'LAC 102_Wkst'!$G$7:$G$2010,$D30,'LAC 102_Wkst'!$L$7:$L$2010,"04",'LAC 102_Wkst'!$N$7:$N$2010,"P3")</f>
        <v>0</v>
      </c>
      <c r="M30" s="411">
        <f>SUMIFS('LAC 102_Wkst'!$AE$7:$AE$2010,'LAC 102_Wkst'!$E$7:$E$2010,$C30,'LAC 102_Wkst'!$G$7:$G$2010,$D30,'LAC 102_Wkst'!$L$7:$L$2010,"03",'LAC 102_Wkst'!$N$7:$N$2010,"P1")+SUMIFS('LAC 102_Wkst'!$AE$7:$AE$2010,'LAC 102_Wkst'!$E$7:$E$2010,$C30,'LAC 102_Wkst'!$G$7:$G$2010,$D30,'LAC 102_Wkst'!$L$7:$L$2010,"03",'LAC 102_Wkst'!$N$7:$N$2010,"P2")+SUMIFS('LAC 102_Wkst'!$AE$7:$AE$2010,'LAC 102_Wkst'!$E$7:$E$2010,$C30,'LAC 102_Wkst'!$G$7:$G$2010,$D30,'LAC 102_Wkst'!$L$7:$L$2010,"03",'LAC 102_Wkst'!$N$7:$N$2010,"P3")+SUMIFS('LAC 102_Wkst'!$AE$7:$AE$2010,'LAC 102_Wkst'!$E$7:$E$2010,$C30,'LAC 102_Wkst'!$G$7:$G$2010,$D30,'LAC 102_Wkst'!$L$7:$L$2010,"04",'LAC 102_Wkst'!$N$7:$N$2010,"P1")+SUMIFS('LAC 102_Wkst'!$AE$7:$AE$2010,'LAC 102_Wkst'!$E$7:$E$2010,$C30,'LAC 102_Wkst'!$G$7:$G$2010,$D30,'LAC 102_Wkst'!$L$7:$L$2010,"04",'LAC 102_Wkst'!$N$7:$N$2010,"P2")+SUMIFS('LAC 102_Wkst'!$AE$7:$AE$2010,'LAC 102_Wkst'!$E$7:$E$2010,$C30,'LAC 102_Wkst'!$G$7:$G$2010,$D30,'LAC 102_Wkst'!$L$7:$L$2010,"04",'LAC 102_Wkst'!$N$7:$N$2010,"P3")</f>
        <v>0</v>
      </c>
      <c r="N30" s="410">
        <f>SUMIFS('LAC 102_Wkst'!$Q$7:$Q$2010,'LAC 102_Wkst'!$E$7:$E$2010,$C30,'LAC 102_Wkst'!$G$7:$G$2010,$D30,'LAC 102_Wkst'!$L$7:$L$2010,"03",'LAC 102_Wkst'!$N$7:$N$2010,"P4")+SUMIFS('LAC 102_Wkst'!$Q$7:$Q$2010,'LAC 102_Wkst'!$E$7:$E$2010,$C30,'LAC 102_Wkst'!$G$7:$G$2010,$D30,'LAC 102_Wkst'!$L$7:$L$2010,"04",'LAC 102_Wkst'!$N$7:$N$2010,"P4")</f>
        <v>0</v>
      </c>
      <c r="O30" s="411">
        <f>SUMIFS('LAC 102_Wkst'!$AE$7:$AE$2010,'LAC 102_Wkst'!$E$7:$E$2010,$C30,'LAC 102_Wkst'!$G$7:$G$2010,$D30,'LAC 102_Wkst'!$L$7:$L$2010,"03",'LAC 102_Wkst'!$N$7:$N$2010,"P4")+SUMIFS('LAC 102_Wkst'!$AE$7:$AE$2010,'LAC 102_Wkst'!$E$7:$E$2010,$C30,'LAC 102_Wkst'!$G$7:$G$2010,$D30,'LAC 102_Wkst'!$L$7:$L$2010,"04",'LAC 102_Wkst'!$N$7:$N$2010,"P4")</f>
        <v>0</v>
      </c>
      <c r="P30" s="404">
        <f>SUMIFS('LAC 102_Wkst'!$Q$7:$Q$2010,'LAC 102_Wkst'!$E$7:$E$2010,$C30,'LAC 102_Wkst'!$G$7:$G$2010,$D30,'LAC 102_Wkst'!$L$7:$L$2010,"03",'LAC 102_Wkst'!$N$7:$N$2010,"P5")+SUMIFS('LAC 102_Wkst'!$Q$7:$Q$2010,'LAC 102_Wkst'!$E$7:$E$2010,$C30,'LAC 102_Wkst'!$G$7:$G$2010,$D30,'LAC 102_Wkst'!$L$7:$L$2010,"04",'LAC 102_Wkst'!$N$7:$N$2010,"P5")</f>
        <v>0</v>
      </c>
      <c r="Q30" s="411">
        <f>SUMIFS('LAC 102_Wkst'!$AE$7:$AE$2010,'LAC 102_Wkst'!$E$7:$E$2010,$C30,'LAC 102_Wkst'!$G$7:$G$2010,$D30,'LAC 102_Wkst'!$L$7:$L$2010,"03",'LAC 102_Wkst'!$N$7:$N$2010,"P5")+SUMIFS('LAC 102_Wkst'!$AE$7:$AE$2010,'LAC 102_Wkst'!$E$7:$E$2010,$C30,'LAC 102_Wkst'!$G$7:$G$2010,$D30,'LAC 102_Wkst'!$L$7:$L$2010,"04",'LAC 102_Wkst'!$N$7:$N$2010,"P5")</f>
        <v>0</v>
      </c>
      <c r="R30" s="412">
        <f>SUMIFS('LAC 102_Wkst'!$Q$7:$Q$2010,'LAC 102_Wkst'!$E$7:$E$2010,$C30,'LAC 102_Wkst'!$G$7:$G$2010,$D30,'LAC 102_Wkst'!$L$7:$L$2010,"05",'LAC 102_Wkst'!$N$7:$N$2010,"P1")+SUMIFS('LAC 102_Wkst'!$Q$7:$Q$2010,'LAC 102_Wkst'!$E$7:$E$2010,$C30,'LAC 102_Wkst'!$G$7:$G$2010,$D30,'LAC 102_Wkst'!$L$7:$L$2010,"06",'LAC 102_Wkst'!$N$7:$N$2010,"P1")</f>
        <v>0</v>
      </c>
      <c r="S30" s="411">
        <f>SUMIFS('LAC 102_Wkst'!$AE$7:$AE$2010,'LAC 102_Wkst'!$E$7:$E$2010,$C30,'LAC 102_Wkst'!$G$7:$G$2010,$D30,'LAC 102_Wkst'!$L$7:$L$2010,"05",'LAC 102_Wkst'!$N$7:$N$2010,"P1")+SUMIFS('LAC 102_Wkst'!$AE$7:$AE$2010,'LAC 102_Wkst'!$E$7:$E$2010,$C30,'LAC 102_Wkst'!$G$7:$G$2010,$D30,'LAC 102_Wkst'!$L$7:$L$2010,"06",'LAC 102_Wkst'!$N$7:$N$2010,"P1")</f>
        <v>0</v>
      </c>
      <c r="T30" s="410">
        <f>SUMIFS('LAC 102_Wkst'!$Q$7:$Q$2010,'LAC 102_Wkst'!$E$7:$E$2010,$C30,'LAC 102_Wkst'!$G$7:$G$2010,$D30,'LAC 102_Wkst'!$L$7:$L$2010,"05",'LAC 102_Wkst'!$N$7:$N$2010,"P2")+SUMIFS('LAC 102_Wkst'!$Q$7:$Q$2010,'LAC 102_Wkst'!$E$7:$E$2010,$C30,'LAC 102_Wkst'!$G$7:$G$2010,$D30,'LAC 102_Wkst'!$L$7:$L$2010,"05",'LAC 102_Wkst'!$N$7:$N$2010,"P3")+SUMIFS('LAC 102_Wkst'!$Q$7:$Q$2010,'LAC 102_Wkst'!$E$7:$E$2010,$C30,'LAC 102_Wkst'!$G$7:$G$2010,$D30,'LAC 102_Wkst'!$L$7:$L$2010,"06",'LAC 102_Wkst'!$N$7:$N$2010,"P2")+SUMIFS('LAC 102_Wkst'!$Q$7:$Q$2010,'LAC 102_Wkst'!$E$7:$E$2010,$C30,'LAC 102_Wkst'!$G$7:$G$2010,$D30,'LAC 102_Wkst'!$L$7:$L$2010,"06",'LAC 102_Wkst'!$N$7:$N$2010,"P3")</f>
        <v>0</v>
      </c>
      <c r="U30" s="411">
        <f>SUMIFS('LAC 102_Wkst'!$AE$7:$AE$2010,'LAC 102_Wkst'!$E$7:$E$2010,$C30,'LAC 102_Wkst'!$G$7:$G$2010,$D30,'LAC 102_Wkst'!$L$7:$L$2010,"05",'LAC 102_Wkst'!$N$7:$N$2010,"P2")+SUMIFS('LAC 102_Wkst'!$AE$7:$AE$2010,'LAC 102_Wkst'!$E$7:$E$2010,$C30,'LAC 102_Wkst'!$G$7:$G$2010,$D30,'LAC 102_Wkst'!$L$7:$L$2010,"06",'LAC 102_Wkst'!$N$7:$N$2010,"P3")+SUMIFS('LAC 102_Wkst'!$AE$7:$AE$2010,'LAC 102_Wkst'!$E$7:$E$2010,$C30,'LAC 102_Wkst'!$G$7:$G$2010,$D30,'LAC 102_Wkst'!$L$7:$L$2010,"05",'LAC 102_Wkst'!$N$7:$N$2010,"P2")+SUMIFS('LAC 102_Wkst'!$AE$7:$AE$2010,'LAC 102_Wkst'!$E$7:$E$2010,$C30,'LAC 102_Wkst'!$G$7:$G$2010,$D30,'LAC 102_Wkst'!$L$7:$L$2010,"06",'LAC 102_Wkst'!$N$7:$N$2010,"P3")</f>
        <v>0</v>
      </c>
      <c r="V30" s="410">
        <f>SUMIFS('LAC 102_Wkst'!$Q$7:$Q$2010,'LAC 102_Wkst'!$E$7:$E$2010,$C30,'LAC 102_Wkst'!$G$7:$G$2010,$D30,'LAC 102_Wkst'!$L$7:$L$2010,"05",'LAC 102_Wkst'!$N$7:$N$2010,"P4")+SUMIFS('LAC 102_Wkst'!$Q$7:$Q$2010,'LAC 102_Wkst'!$E$7:$E$2010,$C30,'LAC 102_Wkst'!$G$7:$G$2010,$D30,'LAC 102_Wkst'!$L$7:$L$2010,"06",'LAC 102_Wkst'!$N$7:$N$2010,"P4")</f>
        <v>0</v>
      </c>
      <c r="W30" s="411">
        <f>SUMIFS('LAC 102_Wkst'!$AE$7:$AE$2010,'LAC 102_Wkst'!$E$7:$E$2010,$C30,'LAC 102_Wkst'!$G$7:$G$2010,$D30,'LAC 102_Wkst'!$L$7:$L$2010,"05",'LAC 102_Wkst'!$N$7:$N$2010,"P4")+SUMIFS('LAC 102_Wkst'!$AE$7:$AE$2010,'LAC 102_Wkst'!$E$7:$E$2010,$C30,'LAC 102_Wkst'!$G$7:$G$2010,$D30,'LAC 102_Wkst'!$L$7:$L$2010,"06",'LAC 102_Wkst'!$N$7:$N$2010,"P4")</f>
        <v>0</v>
      </c>
      <c r="X30" s="404">
        <f>SUMIFS('LAC 102_Wkst'!$Q$7:$Q$2010,'LAC 102_Wkst'!$E$7:$E$2010,$C30,'LAC 102_Wkst'!$G$7:$G$2010,$D30,'LAC 102_Wkst'!$L$7:$L$2010,"05",'LAC 102_Wkst'!$N$7:$N$2010,"P5")+SUMIFS('LAC 102_Wkst'!$Q$7:$Q$2010,'LAC 102_Wkst'!$E$7:$E$2010,$C30,'LAC 102_Wkst'!$G$7:$G$2010,$D30,'LAC 102_Wkst'!$L$7:$L$2010,"06",'LAC 102_Wkst'!$N$7:$N$2010,"P5")</f>
        <v>0</v>
      </c>
      <c r="Y30" s="411">
        <f>SUMIFS('LAC 102_Wkst'!$AE$7:$AE$2010,'LAC 102_Wkst'!$E$7:$E$2010,$C30,'LAC 102_Wkst'!$G$7:$G$2010,$D30,'LAC 102_Wkst'!$L$7:$L$2010,"05",'LAC 102_Wkst'!$N$7:$N$2010,"P5")+SUMIFS('LAC 102_Wkst'!$AE$7:$AE$2010,'LAC 102_Wkst'!$E$7:$E$2010,$C30,'LAC 102_Wkst'!$G$7:$G$2010,$D30,'LAC 102_Wkst'!$L$7:$L$2010,"06",'LAC 102_Wkst'!$N$7:$N$2010,"P5")</f>
        <v>0</v>
      </c>
      <c r="Z30" s="410">
        <f>SUMIFS('LAC 102_Wkst'!$Q$7:$Q$2010,'LAC 102_Wkst'!$E$7:$E$2010,$C30,'LAC 102_Wkst'!$G$7:$G$2010,$D30,'LAC 102_Wkst'!$L$7:$L$2010,"07",'LAC 102_Wkst'!$N$7:$N$2010,"P1")+SUMIFS('LAC 102_Wkst'!$Q$7:$Q$2010,'LAC 102_Wkst'!$E$7:$E$2010,$C30,'LAC 102_Wkst'!$G$7:$G$2010,$D30,'LAC 102_Wkst'!$L$7:$L$2010,"07",'LAC 102_Wkst'!$N$7:$N$2010,"P2")+SUMIFS('LAC 102_Wkst'!$Q$7:$Q$2010,'LAC 102_Wkst'!$E$7:$E$2010,$C30,'LAC 102_Wkst'!$G$7:$G$2010,$D30,'LAC 102_Wkst'!$L$7:$L$2010,"07",'LAC 102_Wkst'!$N$7:$N$2010,"P3")</f>
        <v>0</v>
      </c>
      <c r="AA30" s="411">
        <f>SUMIFS('LAC 102_Wkst'!$AE$7:$AE$2010,'LAC 102_Wkst'!$E$7:$E$2010,$C30,'LAC 102_Wkst'!$G$7:$G$2010,$D30,'LAC 102_Wkst'!$L$7:$L$2010,"07",'LAC 102_Wkst'!$N$7:$N$2010,"P1")+SUMIFS('LAC 102_Wkst'!$AE$7:$AE$2010,'LAC 102_Wkst'!$E$7:$E$2010,$C30,'LAC 102_Wkst'!$G$7:$G$2010,$D30,'LAC 102_Wkst'!$L$7:$L$2010,"07",'LAC 102_Wkst'!$N$7:$N$2010,"P2")+SUMIFS('LAC 102_Wkst'!$AE$7:$AE$2010,'LAC 102_Wkst'!$E$7:$E$2010,$C30,'LAC 102_Wkst'!$G$7:$G$2010,$D30,'LAC 102_Wkst'!$L$7:$L$2010,"07",'LAC 102_Wkst'!$N$7:$N$2010,"P3")</f>
        <v>0</v>
      </c>
      <c r="AB30" s="410">
        <f>SUMIFS('LAC 102_Wkst'!$Q$7:$Q$2010,'LAC 102_Wkst'!$E$7:$E$2010,$C30,'LAC 102_Wkst'!$G$7:$G$2010,$D30,'LAC 102_Wkst'!$L$7:$L$2010,"07",'LAC 102_Wkst'!$N$7:$N$2010,"P4")</f>
        <v>0</v>
      </c>
      <c r="AC30" s="411">
        <f>SUMIFS('LAC 102_Wkst'!$AE$7:$AE$2010,'LAC 102_Wkst'!$E$7:$E$2010,$C30,'LAC 102_Wkst'!$G$7:$G$2010,$D30,'LAC 102_Wkst'!$L$7:$L$2010,"07",'LAC 102_Wkst'!$N$7:$N$2010,"P4")</f>
        <v>0</v>
      </c>
      <c r="AD30" s="404">
        <f>SUMIFS('LAC 102_Wkst'!$Q$7:$Q$2010,'LAC 102_Wkst'!$E$7:$E$2010,$C30,'LAC 102_Wkst'!$G$7:$G$2010,$D30,'LAC 102_Wkst'!$L$7:$L$2010,"07",'LAC 102_Wkst'!$N$7:$N$2010,"P5")</f>
        <v>0</v>
      </c>
      <c r="AE30" s="411">
        <f>SUMIFS('LAC 102_Wkst'!$AE$7:$AE$2010,'LAC 102_Wkst'!$E$7:$E$2010,$C30,'LAC 102_Wkst'!$G$7:$G$2010,$D30,'LAC 102_Wkst'!$L$7:$L$2010,"07",'LAC 102_Wkst'!$N$7:$N$2010,"P5")</f>
        <v>0</v>
      </c>
      <c r="AF30" s="410">
        <f>SUMIFS('LAC 102_Wkst'!$Q$7:$Q$2010,'LAC 102_Wkst'!$E$7:$E$2010,$C30,'LAC 102_Wkst'!$G$7:$G$2010,$D30,'LAC 102_Wkst'!$L$7:$L$2010,"08",'LAC 102_Wkst'!$N$7:$N$2010,"P1")+SUMIFS('LAC 102_Wkst'!$Q$7:$Q$2010,'LAC 102_Wkst'!$E$7:$E$2010,$C30,'LAC 102_Wkst'!$G$7:$G$2010,$D30,'LAC 102_Wkst'!$L$7:$L$2010,"08",'LAC 102_Wkst'!$N$7:$N$2010,"P2")+SUMIFS('LAC 102_Wkst'!$Q$7:$Q$2010,'LAC 102_Wkst'!$E$7:$E$2010,$C30,'LAC 102_Wkst'!$G$7:$G$2010,$D30,'LAC 102_Wkst'!$L$7:$L$2010,"08",'LAC 102_Wkst'!$N$7:$N$2010,"P3")</f>
        <v>0</v>
      </c>
      <c r="AG30" s="411">
        <f>SUMIFS('LAC 102_Wkst'!$AE$7:$AE$2010,'LAC 102_Wkst'!$E$7:$E$2010,$C30,'LAC 102_Wkst'!$G$7:$G$2010,$D30,'LAC 102_Wkst'!$L$7:$L$2010,"08",'LAC 102_Wkst'!$N$7:$N$2010,"P1")+SUMIFS('LAC 102_Wkst'!$AE$7:$AE$2010,'LAC 102_Wkst'!$E$7:$E$2010,$C30,'LAC 102_Wkst'!$G$7:$G$2010,$D30,'LAC 102_Wkst'!$L$7:$L$2010,"08",'LAC 102_Wkst'!$N$7:$N$2010,"P2")+SUMIFS('LAC 102_Wkst'!$AE$7:$AE$2010,'LAC 102_Wkst'!$E$7:$E$2010,$C30,'LAC 102_Wkst'!$G$7:$G$2010,$D30,'LAC 102_Wkst'!$L$7:$L$2010,"08",'LAC 102_Wkst'!$N$7:$N$2010,"P3")</f>
        <v>0</v>
      </c>
      <c r="AH30" s="410">
        <f>SUMIFS('LAC 102_Wkst'!$Q$7:$Q$2010,'LAC 102_Wkst'!$E$7:$E$2010,$C30,'LAC 102_Wkst'!$G$7:$G$2010,$D30,'LAC 102_Wkst'!$L$7:$L$2010,"08",'LAC 102_Wkst'!$N$7:$N$2010,"P4")</f>
        <v>0</v>
      </c>
      <c r="AI30" s="411">
        <f>SUMIFS('LAC 102_Wkst'!$AE$7:$AE$2010,'LAC 102_Wkst'!$E$7:$E$2010,$C30,'LAC 102_Wkst'!$G$7:$G$2010,$D30,'LAC 102_Wkst'!$L$7:$L$2010,"08",'LAC 102_Wkst'!$N$7:$N$2010,"P4")</f>
        <v>0</v>
      </c>
      <c r="AJ30" s="404">
        <f>SUMIFS('LAC 102_Wkst'!$Q$7:$Q$2010,'LAC 102_Wkst'!$E$7:$E$2010,$C30,'LAC 102_Wkst'!$G$7:$G$2010,$D30,'LAC 102_Wkst'!$L$7:$L$2010,"08",'LAC 102_Wkst'!$N$7:$N$2010,"P5")</f>
        <v>0</v>
      </c>
      <c r="AK30" s="411">
        <f>SUMIFS('LAC 102_Wkst'!$AE$7:$AE$2010,'LAC 102_Wkst'!$E$7:$E$2010,$C30,'LAC 102_Wkst'!$G$7:$G$2010,$D30,'LAC 102_Wkst'!$L$7:$L$2010,"08",'LAC 102_Wkst'!$N$7:$N$2010,"P5")</f>
        <v>0</v>
      </c>
      <c r="AL30" s="410">
        <f>SUMIFS('LAC 102_Wkst'!$Q$7:$Q$2010,'LAC 102_Wkst'!$E$7:$E$2010,$C30,'LAC 102_Wkst'!$G$7:$G$2010,$D30,'LAC 102_Wkst'!$L$7:$L$2010,"09",'LAC 102_Wkst'!$N$7:$N$2010,"P1")+SUMIFS('LAC 102_Wkst'!$Q$7:$Q$2010,'LAC 102_Wkst'!$E$7:$E$2010,$C30,'LAC 102_Wkst'!$G$7:$G$2010,$D30,'LAC 102_Wkst'!$L$7:$L$2010,"09",'LAC 102_Wkst'!$N$7:$N$2010,"P2")+SUMIFS('LAC 102_Wkst'!$Q$7:$Q$2010,'LAC 102_Wkst'!$E$7:$E$2010,$C30,'LAC 102_Wkst'!$G$7:$G$2010,$D30,'LAC 102_Wkst'!$L$7:$L$2010,"09",'LAC 102_Wkst'!$N$7:$N$2010,"P3")+SUMIFS('LAC 102_Wkst'!$Q$7:$Q$2010,'LAC 102_Wkst'!$E$7:$E$2010,$C30,'LAC 102_Wkst'!$G$7:$G$2010,$D30,'LAC 102_Wkst'!$L$7:$L$2010,"09",'LAC 102_Wkst'!$N$7:$N$2010,"P4")</f>
        <v>0</v>
      </c>
      <c r="AM30" s="411">
        <f>SUMIFS('LAC 102_Wkst'!$AE$7:$AE$2010,'LAC 102_Wkst'!$E$7:$E$2010,$C30,'LAC 102_Wkst'!$G$7:$G$2010,$D30,'LAC 102_Wkst'!$L$7:$L$2010,"09",'LAC 102_Wkst'!$N$7:$N$2010,"P1")+SUMIFS('LAC 102_Wkst'!$AE$7:$AE$2010,'LAC 102_Wkst'!$E$7:$E$2010,$C30,'LAC 102_Wkst'!$G$7:$G$2010,$D30,'LAC 102_Wkst'!$L$7:$L$2010,"09",'LAC 102_Wkst'!$N$7:$N$2010,"P2")+SUMIFS('LAC 102_Wkst'!$AE$7:$AE$2010,'LAC 102_Wkst'!$E$7:$E$2010,$C30,'LAC 102_Wkst'!$G$7:$G$2010,$D30,'LAC 102_Wkst'!$L$7:$L$2010,"09",'LAC 102_Wkst'!$N$7:$N$2010,"P3")+SUMIFS('LAC 102_Wkst'!$AE$7:$AE$2010,'LAC 102_Wkst'!$E$7:$E$2010,$C30,'LAC 102_Wkst'!$G$7:$G$2010,$D30,'LAC 102_Wkst'!$L$7:$L$2010,"09",'LAC 102_Wkst'!$N$7:$N$2010,"P4")</f>
        <v>0</v>
      </c>
      <c r="AN30" s="410">
        <f>SUMIFS('LAC 102_Wkst'!$Q$7:$Q$2010,'LAC 102_Wkst'!$E$7:$E$2010,$C30,'LAC 102_Wkst'!$G$7:$G$2010,$D30,'LAC 102_Wkst'!$L$7:$L$2010,"09",'LAC 102_Wkst'!$N$7:$N$2010,"P5")</f>
        <v>0</v>
      </c>
      <c r="AO30" s="411">
        <f>SUMIFS('LAC 102_Wkst'!$AE$7:$AE$2010,'LAC 102_Wkst'!$E$7:$E$2010,$C30,'LAC 102_Wkst'!$G$7:$G$2010,$D30,'LAC 102_Wkst'!$L$7:$L$2010,"09",'LAC 102_Wkst'!$N$7:$N$2010,"P5")</f>
        <v>0</v>
      </c>
      <c r="AP30" s="404">
        <f>SUMIFS('LAC 102_Wkst'!$Q$7:$Q$2010,'LAC 102_Wkst'!$E$7:$E$2010,$C30,'LAC 102_Wkst'!$G$7:$G$2010,$D30,'LAC 102_Wkst'!$L$7:$L$2010,"10",'LAC 102_Wkst'!$N$7:$N$2010,"P1")+SUMIFS('LAC 102_Wkst'!$Q$7:$Q$2010,'LAC 102_Wkst'!$E$7:$E$2010,$C30,'LAC 102_Wkst'!$G$7:$G$2010,$D30,'LAC 102_Wkst'!$L$7:$L$2010,"10",'LAC 102_Wkst'!$N$7:$N$2010,"P2")+SUMIFS('LAC 102_Wkst'!$Q$7:$Q$2010,'LAC 102_Wkst'!$E$7:$E$2010,$C30,'LAC 102_Wkst'!$G$7:$G$2010,$D30,'LAC 102_Wkst'!$L$7:$L$2010,"10",'LAC 102_Wkst'!$N$7:$N$2010,"P3")+SUMIFS('LAC 102_Wkst'!$Q$7:$Q$2010,'LAC 102_Wkst'!$E$7:$E$2010,$C30,'LAC 102_Wkst'!$G$7:$G$2010,$D30,'LAC 102_Wkst'!$L$7:$L$2010,"10",'LAC 102_Wkst'!$N$7:$N$2010,"P4")</f>
        <v>0</v>
      </c>
      <c r="AQ30" s="411">
        <f>SUMIFS('LAC 102_Wkst'!$AE$7:$AE$2010,'LAC 102_Wkst'!$E$7:$E$2010,$C30,'LAC 102_Wkst'!$G$7:$G$2010,$D30,'LAC 102_Wkst'!$L$7:$L$2010,"10",'LAC 102_Wkst'!$N$7:$N$2010,"P1")+SUMIFS('LAC 102_Wkst'!$AE$7:$AE$2010,'LAC 102_Wkst'!$E$7:$E$2010,$C30,'LAC 102_Wkst'!$G$7:$G$2010,$D30,'LAC 102_Wkst'!$L$7:$L$2010,"10",'LAC 102_Wkst'!$N$7:$N$2010,"P2")+SUMIFS('LAC 102_Wkst'!$AE$7:$AE$2010,'LAC 102_Wkst'!$E$7:$E$2010,$C30,'LAC 102_Wkst'!$G$7:$G$2010,$D30,'LAC 102_Wkst'!$L$7:$L$2010,"10",'LAC 102_Wkst'!$N$7:$N$2010,"P3")+SUMIFS('LAC 102_Wkst'!$AE$7:$AE$2010,'LAC 102_Wkst'!$E$7:$E$2010,$C30,'LAC 102_Wkst'!$G$7:$G$2010,$D30,'LAC 102_Wkst'!$L$7:$L$2010,"10",'LAC 102_Wkst'!$N$7:$N$2010,"P4")</f>
        <v>0</v>
      </c>
      <c r="AR30" s="410">
        <f>SUMIFS('LAC 102_Wkst'!$Q$7:$Q$2010,'LAC 102_Wkst'!$E$7:$E$2010,$C30,'LAC 102_Wkst'!$G$7:$G$2010,$D30,'LAC 102_Wkst'!$L$7:$L$2010,"10",'LAC 102_Wkst'!$N$7:$N$2010,"P5")</f>
        <v>0</v>
      </c>
      <c r="AS30" s="411">
        <f>SUMIFS('LAC 102_Wkst'!$AE$7:$AE$2010,'LAC 102_Wkst'!$E$7:$E$2010,$C30,'LAC 102_Wkst'!$G$7:$G$2010,$D30,'LAC 102_Wkst'!$L$7:$L$2010,"10",'LAC 102_Wkst'!$N$7:$N$2010,"P5")</f>
        <v>0</v>
      </c>
      <c r="AT30" s="410">
        <f>SUMIFS('LAC 102_Wkst'!$Q$7:$Q$2010,'LAC 102_Wkst'!$E$7:$E$2010,$C30,'LAC 102_Wkst'!$G$7:$G$2010,$D30,'LAC 102_Wkst'!$L$7:$L$2010,"11",'LAC 102_Wkst'!$N$7:$N$2010,"P1")+SUMIFS('LAC 102_Wkst'!$Q$7:$Q$2010,'LAC 102_Wkst'!$E$7:$E$2010,$C30,'LAC 102_Wkst'!$G$7:$G$2010,$D30,'LAC 102_Wkst'!$L$7:$L$2010,"12",'LAC 102_Wkst'!$N$7:$N$2010,"P1")</f>
        <v>0</v>
      </c>
      <c r="AU30" s="411">
        <f>SUMIFS('LAC 102_Wkst'!$AE$7:$AE$2010,'LAC 102_Wkst'!$E$7:$E$2010,$C30,'LAC 102_Wkst'!$G$7:$G$2010,$D30,'LAC 102_Wkst'!$L$7:$L$2010,"11",'LAC 102_Wkst'!$N$7:$N$2010,"P1")+SUMIFS('LAC 102_Wkst'!$AE$7:$AE$2010,'LAC 102_Wkst'!$E$7:$E$2010,$C30,'LAC 102_Wkst'!$G$7:$G$2010,$D30,'LAC 102_Wkst'!$L$7:$L$2010,"12",'LAC 102_Wkst'!$N$7:$N$2010,"P1")</f>
        <v>0</v>
      </c>
      <c r="AV30" s="404">
        <f>SUMIFS('LAC 102_Wkst'!$Q$7:$Q$2010,'LAC 102_Wkst'!$E$7:$E$2010,$C30,'LAC 102_Wkst'!$G$7:$G$2010,$D30,'LAC 102_Wkst'!$L$7:$L$2010,"11",'LAC 102_Wkst'!$N$7:$N$2010,"P2")+SUMIFS('LAC 102_Wkst'!$Q$7:$Q$2010,'LAC 102_Wkst'!$E$7:$E$2010,$C30,'LAC 102_Wkst'!$G$7:$G$2010,$D30,'LAC 102_Wkst'!$L$7:$L$2010,"12",'LAC 102_Wkst'!$N$7:$N$2010,"P3")+SUMIFS('LAC 102_Wkst'!$Q$7:$Q$2010,'LAC 102_Wkst'!$E$7:$E$2010,$C30,'LAC 102_Wkst'!$G$7:$G$2010,$D30,'LAC 102_Wkst'!$L$7:$L$2010,"11",'LAC 102_Wkst'!$N$7:$N$2010,"P2")+SUMIFS('LAC 102_Wkst'!$Q$7:$Q$2010,'LAC 102_Wkst'!$E$7:$E$2010,$C30,'LAC 102_Wkst'!$G$7:$G$2010,$D30,'LAC 102_Wkst'!$L$7:$L$2010,"12",'LAC 102_Wkst'!$N$7:$N$2010,"P3")</f>
        <v>0</v>
      </c>
      <c r="AW30" s="411">
        <f>SUMIFS('LAC 102_Wkst'!$AE$7:$AE$2010,'LAC 102_Wkst'!$E$7:$E$2010,$C30,'LAC 102_Wkst'!$G$7:$G$2010,$D30,'LAC 102_Wkst'!$L$7:$L$2010,"11",'LAC 102_Wkst'!$N$7:$N$2010,"P2")+SUMIFS('LAC 102_Wkst'!$AE$7:$AE$2010,'LAC 102_Wkst'!$E$7:$E$2010,$C30,'LAC 102_Wkst'!$G$7:$G$2010,$D30,'LAC 102_Wkst'!$L$7:$L$2010,"12",'LAC 102_Wkst'!$N$7:$N$2010,"P3")+SUMIFS('LAC 102_Wkst'!$AE$7:$AE$2010,'LAC 102_Wkst'!$E$7:$E$2010,$C30,'LAC 102_Wkst'!$G$7:$G$2010,$D30,'LAC 102_Wkst'!$L$7:$L$2010,"11",'LAC 102_Wkst'!$N$7:$N$2010,"P2")+SUMIFS('LAC 102_Wkst'!$AE$7:$AE$2010,'LAC 102_Wkst'!$E$7:$E$2010,$C30,'LAC 102_Wkst'!$G$7:$G$2010,$D30,'LAC 102_Wkst'!$L$7:$L$2010,"12",'LAC 102_Wkst'!$N$7:$N$2010,"P3")</f>
        <v>0</v>
      </c>
      <c r="AX30" s="404">
        <f>SUMIFS('LAC 102_Wkst'!$Q$7:$Q$2010,'LAC 102_Wkst'!$E$7:$E$2010,$C30,'LAC 102_Wkst'!$G$7:$G$2010,$D30,'LAC 102_Wkst'!$L$7:$L$2010,"11",'LAC 102_Wkst'!$N$7:$N$2010,"P4")+SUMIFS('LAC 102_Wkst'!$Q$7:$Q$2010,'LAC 102_Wkst'!$E$7:$E$2010,$C30,'LAC 102_Wkst'!$G$7:$G$2010,$D30,'LAC 102_Wkst'!$L$7:$L$2010,"12",'LAC 102_Wkst'!$N$7:$N$2010,"P4")</f>
        <v>0</v>
      </c>
      <c r="AY30" s="411">
        <f>SUMIFS('LAC 102_Wkst'!$AE$7:$AE$2010,'LAC 102_Wkst'!$E$7:$E$2010,$C30,'LAC 102_Wkst'!$G$7:$G$2010,$D30,'LAC 102_Wkst'!$L$7:$L$2010,"11",'LAC 102_Wkst'!$N$7:$N$2010,"P4")+SUMIFS('LAC 102_Wkst'!$AE$7:$AE$2010,'LAC 102_Wkst'!$E$7:$E$2010,$C30,'LAC 102_Wkst'!$G$7:$G$2010,$D30,'LAC 102_Wkst'!$L$7:$L$2010,"12",'LAC 102_Wkst'!$N$7:$N$2010,"P4")</f>
        <v>0</v>
      </c>
      <c r="AZ30" s="404">
        <f>SUMIFS('LAC 102_Wkst'!$Q$7:$Q$2010,'LAC 102_Wkst'!$E$7:$E$2010,$C30,'LAC 102_Wkst'!$G$7:$G$2010,$D30,'LAC 102_Wkst'!$L$7:$L$2010,"11",'LAC 102_Wkst'!$N$7:$N$2010,"P5")+SUMIFS('LAC 102_Wkst'!$Q$7:$Q$2010,'LAC 102_Wkst'!$E$7:$E$2010,$C30,'LAC 102_Wkst'!$G$7:$G$2010,$D30,'LAC 102_Wkst'!$L$7:$L$2010,"12",'LAC 102_Wkst'!$N$7:$N$2010,"P5")</f>
        <v>0</v>
      </c>
      <c r="BA30" s="411">
        <f>SUMIFS('LAC 102_Wkst'!$AE$7:$AE$2010,'LAC 102_Wkst'!$E$7:$E$2010,$C30,'LAC 102_Wkst'!$G$7:$G$2010,$D30,'LAC 102_Wkst'!$L$7:$L$2010,"11",'LAC 102_Wkst'!$N$7:$N$2010,"P5")+SUMIFS('LAC 102_Wkst'!$AE$7:$AE$2010,'LAC 102_Wkst'!$E$7:$E$2010,$C30,'LAC 102_Wkst'!$G$7:$G$2010,$D30,'LAC 102_Wkst'!$L$7:$L$2010,"12",'LAC 102_Wkst'!$N$7:$N$2010,"P5")</f>
        <v>0</v>
      </c>
      <c r="BB30" s="404">
        <f>SUMIFS('LAC 102_Wkst'!$Q$7:$Q$2010,'LAC 102_Wkst'!$E$7:$E$2010,$C30,'LAC 102_Wkst'!$G$7:$G$2010,$D30,'LAC 102_Wkst'!$L$7:$L$2010,"13",'LAC 102_Wkst'!$N$7:$N$2010,"P1")+SUMIFS('LAC 102_Wkst'!$Q$7:$Q$2010,'LAC 102_Wkst'!$E$7:$E$2010,$C30,'LAC 102_Wkst'!$G$7:$G$2010,$D30,'LAC 102_Wkst'!$L$7:$L$2010,"13",'LAC 102_Wkst'!$N$7:$N$2010,"P2")+SUMIFS('LAC 102_Wkst'!$Q$7:$Q$2010,'LAC 102_Wkst'!$E$7:$E$2010,$C30,'LAC 102_Wkst'!$G$7:$G$2010,$D30,'LAC 102_Wkst'!$L$7:$L$2010,"13",'LAC 102_Wkst'!$N$7:$N$2010,"P3")+SUMIFS('LAC 102_Wkst'!$Q$7:$Q$2010,'LAC 102_Wkst'!$E$7:$E$2010,$C30,'LAC 102_Wkst'!$G$7:$G$2010,$D30,'LAC 102_Wkst'!$L$7:$L$2010,"13",'LAC 102_Wkst'!$N$7:$N$2010,"P4")</f>
        <v>0</v>
      </c>
      <c r="BC30" s="411">
        <f>SUMIFS('LAC 102_Wkst'!$AE$7:$AE$2010,'LAC 102_Wkst'!$E$7:$E$2010,$C30,'LAC 102_Wkst'!$G$7:$G$2010,$D30,'LAC 102_Wkst'!$L$7:$L$2010,"13",'LAC 102_Wkst'!$N$7:$N$2010,"P1")+SUMIFS('LAC 102_Wkst'!$AE$7:$AE$2010,'LAC 102_Wkst'!$E$7:$E$2010,$C30,'LAC 102_Wkst'!$G$7:$G$2010,$D30,'LAC 102_Wkst'!$L$7:$L$2010,"13",'LAC 102_Wkst'!$N$7:$N$2010,"P2")+SUMIFS('LAC 102_Wkst'!$AE$7:$AE$2010,'LAC 102_Wkst'!$E$7:$E$2010,$C30,'LAC 102_Wkst'!$G$7:$G$2010,$D30,'LAC 102_Wkst'!$L$7:$L$2010,"13",'LAC 102_Wkst'!$N$7:$N$2010,"P3")+SUMIFS('LAC 102_Wkst'!$AE$7:$AE$2010,'LAC 102_Wkst'!$E$7:$E$2010,$C30,'LAC 102_Wkst'!$G$7:$G$2010,$D30,'LAC 102_Wkst'!$L$7:$L$2010,"13",'LAC 102_Wkst'!$N$7:$N$2010,"P4")</f>
        <v>0</v>
      </c>
      <c r="BD30" s="404">
        <f>SUMIFS('LAC 102_Wkst'!$Q$7:$Q$2010,'LAC 102_Wkst'!$E$7:$E$2010,$C30,'LAC 102_Wkst'!$G$7:$G$2010,$D30,'LAC 102_Wkst'!$L$7:$L$2010,"13",'LAC 102_Wkst'!$N$7:$N$2010,"P5")</f>
        <v>0</v>
      </c>
      <c r="BE30" s="411">
        <f>SUMIFS('LAC 102_Wkst'!$AE$7:$AE$2010,'LAC 102_Wkst'!$E$7:$E$2010,$C30,'LAC 102_Wkst'!$G$7:$G$2010,$D30,'LAC 102_Wkst'!$L$7:$L$2010,"13",'LAC 102_Wkst'!$N$7:$N$2010,"P5")</f>
        <v>0</v>
      </c>
      <c r="BF30" s="407">
        <f t="shared" si="0"/>
        <v>75471</v>
      </c>
    </row>
    <row r="31" spans="1:58" x14ac:dyDescent="0.2">
      <c r="A31" s="401">
        <v>12</v>
      </c>
      <c r="B31" s="1236" t="s">
        <v>738</v>
      </c>
      <c r="C31" s="1235" t="s">
        <v>95</v>
      </c>
      <c r="D31" s="1237" t="s">
        <v>459</v>
      </c>
      <c r="E31" s="1222">
        <f>IF(CONCATENATE(C31,D31)&gt;"6069",1,SUMIFS('LAC 102_Wkst'!$Q$7:$Q$2010,'LAC 102_Wkst'!$E$7:$E$2010,Schedule_B!$C31,'LAC 102_Wkst'!$G$7:$G$2010,Schedule_B!$D31))</f>
        <v>35190</v>
      </c>
      <c r="F31" s="408">
        <f>SUMIFS('LAC 102_Wkst'!$Q$7:$Q$2010,'LAC 102_Wkst'!$E$7:$E$2010,$C31,'LAC 102_Wkst'!$G$7:$G$2010,$D31,'LAC 102_Wkst'!$L$7:$L$2010,"01",'LAC 102_Wkst'!$N$7:$N$2010,"P1")+SUMIFS('LAC 102_Wkst'!$Q$7:$Q$2010,'LAC 102_Wkst'!$E$7:$E$2010,$C31,'LAC 102_Wkst'!$G$7:$G$2010,$D31,'LAC 102_Wkst'!$L$7:$L$2010,"01",'LAC 102_Wkst'!$N$7:$N$2010,"P2")+SUMIFS('LAC 102_Wkst'!$Q$7:$Q$2010,'LAC 102_Wkst'!$E$7:$E$2010,$C31,'LAC 102_Wkst'!$G$7:$G$2010,$D31,'LAC 102_Wkst'!$L$7:$L$2010,"01",'LAC 102_Wkst'!$N$7:$N$2010,"P3")+SUMIFS('LAC 102_Wkst'!$Q$7:$Q$2010,'LAC 102_Wkst'!$E$7:$E$2010,$C31,'LAC 102_Wkst'!$G$7:$G$2010,$D31,'LAC 102_Wkst'!$L$7:$L$2010,"02",'LAC 102_Wkst'!$N$7:$N$2010,"P1")+SUMIFS('LAC 102_Wkst'!$Q$7:$Q$2010,'LAC 102_Wkst'!$E$7:$E$2010,$C31,'LAC 102_Wkst'!$G$7:$G$2010,$D31,'LAC 102_Wkst'!$L$7:$L$2010,"02",'LAC 102_Wkst'!$N$7:$N$2010,"P2")+SUMIFS('LAC 102_Wkst'!$Q$7:$Q$2010,'LAC 102_Wkst'!$E$7:$E$2010,$C31,'LAC 102_Wkst'!$G$7:$G$2010,$D31,'LAC 102_Wkst'!$L$7:$L$2010,"02",'LAC 102_Wkst'!$N$7:$N$2010,"P3")</f>
        <v>17300</v>
      </c>
      <c r="G31" s="409">
        <f>SUMIFS('LAC 102_Wkst'!$AE$7:$AE$2010,'LAC 102_Wkst'!$E$7:$E$2010,$C31,'LAC 102_Wkst'!$G$7:$G$2010,$D31,'LAC 102_Wkst'!$L$7:$L$2010,"01",'LAC 102_Wkst'!$N$7:$N$2010,"P1")+SUMIFS('LAC 102_Wkst'!$AE$7:$AE$2010,'LAC 102_Wkst'!$E$7:$E$2010,$C31,'LAC 102_Wkst'!$G$7:$G$2010,$D31,'LAC 102_Wkst'!$L$7:$L$2010,"01",'LAC 102_Wkst'!$N$7:$N$2010,"P2")+SUMIFS('LAC 102_Wkst'!$AE$7:$AE$2010,'LAC 102_Wkst'!$E$7:$E$2010,$C31,'LAC 102_Wkst'!$G$7:$G$2010,$D31,'LAC 102_Wkst'!$L$7:$L$2010,"01",'LAC 102_Wkst'!$N$7:$N$2010,"P3")+SUMIFS('LAC 102_Wkst'!$AE$7:$AE$2010,'LAC 102_Wkst'!$E$7:$E$2010,$C31,'LAC 102_Wkst'!$G$7:$G$2010,$D31,'LAC 102_Wkst'!$L$7:$L$2010,"02",'LAC 102_Wkst'!$N$7:$N$2010,"P1")+SUMIFS('LAC 102_Wkst'!$AE$7:$AE$2010,'LAC 102_Wkst'!$E$7:$E$2010,$C31,'LAC 102_Wkst'!$G$7:$G$2010,$D31,'LAC 102_Wkst'!$L$7:$L$2010,"02",'LAC 102_Wkst'!$N$7:$N$2010,"P2")+SUMIFS('LAC 102_Wkst'!$AE$7:$AE$2010,'LAC 102_Wkst'!$E$7:$E$2010,$C31,'LAC 102_Wkst'!$G$7:$G$2010,$D31,'LAC 102_Wkst'!$L$7:$L$2010,"02",'LAC 102_Wkst'!$N$7:$N$2010,"P3")</f>
        <v>0</v>
      </c>
      <c r="H31" s="410">
        <f>SUMIFS('LAC 102_Wkst'!$Q$7:$Q$2010,'LAC 102_Wkst'!$E$7:$E$2010,$C31,'LAC 102_Wkst'!$G$7:$G$2010,$D31,'LAC 102_Wkst'!$L$7:$L$2010,"01",'LAC 102_Wkst'!$N$7:$N$2010,"P4")+SUMIFS('LAC 102_Wkst'!$Q$7:$Q$2010,'LAC 102_Wkst'!$E$7:$E$2010,$C31,'LAC 102_Wkst'!$G$7:$G$2010,$D31,'LAC 102_Wkst'!$L$7:$L$2010,"02",'LAC 102_Wkst'!$N$7:$N$2010,"P4")</f>
        <v>2888</v>
      </c>
      <c r="I31" s="411">
        <f>SUMIFS('LAC 102_Wkst'!$AE$7:$AE$2010,'LAC 102_Wkst'!$E$7:$E$2010,$C31,'LAC 102_Wkst'!$G$7:$G$2010,$D31,'LAC 102_Wkst'!$L$7:$L$2010,"01",'LAC 102_Wkst'!$N$7:$N$2010,"P4")+SUMIFS('LAC 102_Wkst'!$AE$7:$AE$2010,'LAC 102_Wkst'!$E$7:$E$2010,$C31,'LAC 102_Wkst'!$G$7:$G$2010,$D31,'LAC 102_Wkst'!$L$7:$L$2010,"02",'LAC 102_Wkst'!$N$7:$N$2010,"P4")</f>
        <v>0</v>
      </c>
      <c r="J31" s="410">
        <f>SUMIFS('LAC 102_Wkst'!$Q$7:$Q$2010,'LAC 102_Wkst'!$E$7:$E$2010,$C31,'LAC 102_Wkst'!$G$7:$G$2010,$D31,'LAC 102_Wkst'!$L$7:$L$2010,"01",'LAC 102_Wkst'!$N$7:$N$2010,"P5")+SUMIFS('LAC 102_Wkst'!$Q$7:$Q$2010,'LAC 102_Wkst'!$E$7:$E$2010,$C31,'LAC 102_Wkst'!$G$7:$G$2010,$D31,'LAC 102_Wkst'!$L$7:$L$2010,"02",'LAC 102_Wkst'!$N$7:$N$2010,"P5")</f>
        <v>2148</v>
      </c>
      <c r="K31" s="411">
        <f>SUMIFS('LAC 102_Wkst'!$AE$7:$AE$2010,'LAC 102_Wkst'!$E$7:$E$2010,$C31,'LAC 102_Wkst'!$G$7:$G$2010,$D31,'LAC 102_Wkst'!$L$7:$L$2010,"01",'LAC 102_Wkst'!$N$7:$N$2010,"P5")+SUMIFS('LAC 102_Wkst'!$AE$7:$AE$2010,'LAC 102_Wkst'!$E$7:$E$2010,$C31,'LAC 102_Wkst'!$G$7:$G$2010,$D31,'LAC 102_Wkst'!$L$7:$L$2010,"02",'LAC 102_Wkst'!$N$7:$N$2010,"P5")</f>
        <v>0</v>
      </c>
      <c r="L31" s="410">
        <f>SUMIFS('LAC 102_Wkst'!$Q$7:$Q$2010,'LAC 102_Wkst'!$E$7:$E$2010,$C31,'LAC 102_Wkst'!$G$7:$G$2010,$D31,'LAC 102_Wkst'!$L$7:$L$2010,"03",'LAC 102_Wkst'!$N$7:$N$2010,"P1")+SUMIFS('LAC 102_Wkst'!$Q$7:$Q$2010,'LAC 102_Wkst'!$E$7:$E$2010,$C31,'LAC 102_Wkst'!$G$7:$G$2010,$D31,'LAC 102_Wkst'!$L$7:$L$2010,"03",'LAC 102_Wkst'!$N$7:$N$2010,"P2")+SUMIFS('LAC 102_Wkst'!$Q$7:$Q$2010,'LAC 102_Wkst'!$E$7:$E$2010,$C31,'LAC 102_Wkst'!$G$7:$G$2010,$D31,'LAC 102_Wkst'!$L$7:$L$2010,"03",'LAC 102_Wkst'!$N$7:$N$2010,"P3")+SUMIFS('LAC 102_Wkst'!$Q$7:$Q$2010,'LAC 102_Wkst'!$E$7:$E$2010,$C31,'LAC 102_Wkst'!$G$7:$G$2010,$D31,'LAC 102_Wkst'!$L$7:$L$2010,"04",'LAC 102_Wkst'!$N$7:$N$2010,"P1")+SUMIFS('LAC 102_Wkst'!$Q$7:$Q$2010,'LAC 102_Wkst'!$E$7:$E$2010,$C31,'LAC 102_Wkst'!$G$7:$G$2010,$D31,'LAC 102_Wkst'!$L$7:$L$2010,"04",'LAC 102_Wkst'!$N$7:$N$2010,"P2")+SUMIFS('LAC 102_Wkst'!$Q$7:$Q$2010,'LAC 102_Wkst'!$E$7:$E$2010,$C31,'LAC 102_Wkst'!$G$7:$G$2010,$D31,'LAC 102_Wkst'!$L$7:$L$2010,"04",'LAC 102_Wkst'!$N$7:$N$2010,"P3")</f>
        <v>0</v>
      </c>
      <c r="M31" s="411">
        <f>SUMIFS('LAC 102_Wkst'!$AE$7:$AE$2010,'LAC 102_Wkst'!$E$7:$E$2010,$C31,'LAC 102_Wkst'!$G$7:$G$2010,$D31,'LAC 102_Wkst'!$L$7:$L$2010,"03",'LAC 102_Wkst'!$N$7:$N$2010,"P1")+SUMIFS('LAC 102_Wkst'!$AE$7:$AE$2010,'LAC 102_Wkst'!$E$7:$E$2010,$C31,'LAC 102_Wkst'!$G$7:$G$2010,$D31,'LAC 102_Wkst'!$L$7:$L$2010,"03",'LAC 102_Wkst'!$N$7:$N$2010,"P2")+SUMIFS('LAC 102_Wkst'!$AE$7:$AE$2010,'LAC 102_Wkst'!$E$7:$E$2010,$C31,'LAC 102_Wkst'!$G$7:$G$2010,$D31,'LAC 102_Wkst'!$L$7:$L$2010,"03",'LAC 102_Wkst'!$N$7:$N$2010,"P3")+SUMIFS('LAC 102_Wkst'!$AE$7:$AE$2010,'LAC 102_Wkst'!$E$7:$E$2010,$C31,'LAC 102_Wkst'!$G$7:$G$2010,$D31,'LAC 102_Wkst'!$L$7:$L$2010,"04",'LAC 102_Wkst'!$N$7:$N$2010,"P1")+SUMIFS('LAC 102_Wkst'!$AE$7:$AE$2010,'LAC 102_Wkst'!$E$7:$E$2010,$C31,'LAC 102_Wkst'!$G$7:$G$2010,$D31,'LAC 102_Wkst'!$L$7:$L$2010,"04",'LAC 102_Wkst'!$N$7:$N$2010,"P2")+SUMIFS('LAC 102_Wkst'!$AE$7:$AE$2010,'LAC 102_Wkst'!$E$7:$E$2010,$C31,'LAC 102_Wkst'!$G$7:$G$2010,$D31,'LAC 102_Wkst'!$L$7:$L$2010,"04",'LAC 102_Wkst'!$N$7:$N$2010,"P3")</f>
        <v>0</v>
      </c>
      <c r="N31" s="410">
        <f>SUMIFS('LAC 102_Wkst'!$Q$7:$Q$2010,'LAC 102_Wkst'!$E$7:$E$2010,$C31,'LAC 102_Wkst'!$G$7:$G$2010,$D31,'LAC 102_Wkst'!$L$7:$L$2010,"03",'LAC 102_Wkst'!$N$7:$N$2010,"P4")+SUMIFS('LAC 102_Wkst'!$Q$7:$Q$2010,'LAC 102_Wkst'!$E$7:$E$2010,$C31,'LAC 102_Wkst'!$G$7:$G$2010,$D31,'LAC 102_Wkst'!$L$7:$L$2010,"04",'LAC 102_Wkst'!$N$7:$N$2010,"P4")</f>
        <v>0</v>
      </c>
      <c r="O31" s="411">
        <f>SUMIFS('LAC 102_Wkst'!$AE$7:$AE$2010,'LAC 102_Wkst'!$E$7:$E$2010,$C31,'LAC 102_Wkst'!$G$7:$G$2010,$D31,'LAC 102_Wkst'!$L$7:$L$2010,"03",'LAC 102_Wkst'!$N$7:$N$2010,"P4")+SUMIFS('LAC 102_Wkst'!$AE$7:$AE$2010,'LAC 102_Wkst'!$E$7:$E$2010,$C31,'LAC 102_Wkst'!$G$7:$G$2010,$D31,'LAC 102_Wkst'!$L$7:$L$2010,"04",'LAC 102_Wkst'!$N$7:$N$2010,"P4")</f>
        <v>0</v>
      </c>
      <c r="P31" s="404">
        <f>SUMIFS('LAC 102_Wkst'!$Q$7:$Q$2010,'LAC 102_Wkst'!$E$7:$E$2010,$C31,'LAC 102_Wkst'!$G$7:$G$2010,$D31,'LAC 102_Wkst'!$L$7:$L$2010,"03",'LAC 102_Wkst'!$N$7:$N$2010,"P5")+SUMIFS('LAC 102_Wkst'!$Q$7:$Q$2010,'LAC 102_Wkst'!$E$7:$E$2010,$C31,'LAC 102_Wkst'!$G$7:$G$2010,$D31,'LAC 102_Wkst'!$L$7:$L$2010,"04",'LAC 102_Wkst'!$N$7:$N$2010,"P5")</f>
        <v>0</v>
      </c>
      <c r="Q31" s="411">
        <f>SUMIFS('LAC 102_Wkst'!$AE$7:$AE$2010,'LAC 102_Wkst'!$E$7:$E$2010,$C31,'LAC 102_Wkst'!$G$7:$G$2010,$D31,'LAC 102_Wkst'!$L$7:$L$2010,"03",'LAC 102_Wkst'!$N$7:$N$2010,"P5")+SUMIFS('LAC 102_Wkst'!$AE$7:$AE$2010,'LAC 102_Wkst'!$E$7:$E$2010,$C31,'LAC 102_Wkst'!$G$7:$G$2010,$D31,'LAC 102_Wkst'!$L$7:$L$2010,"04",'LAC 102_Wkst'!$N$7:$N$2010,"P5")</f>
        <v>0</v>
      </c>
      <c r="R31" s="412">
        <f>SUMIFS('LAC 102_Wkst'!$Q$7:$Q$2010,'LAC 102_Wkst'!$E$7:$E$2010,$C31,'LAC 102_Wkst'!$G$7:$G$2010,$D31,'LAC 102_Wkst'!$L$7:$L$2010,"05",'LAC 102_Wkst'!$N$7:$N$2010,"P1")+SUMIFS('LAC 102_Wkst'!$Q$7:$Q$2010,'LAC 102_Wkst'!$E$7:$E$2010,$C31,'LAC 102_Wkst'!$G$7:$G$2010,$D31,'LAC 102_Wkst'!$L$7:$L$2010,"06",'LAC 102_Wkst'!$N$7:$N$2010,"P1")</f>
        <v>965</v>
      </c>
      <c r="S31" s="411">
        <f>SUMIFS('LAC 102_Wkst'!$AE$7:$AE$2010,'LAC 102_Wkst'!$E$7:$E$2010,$C31,'LAC 102_Wkst'!$G$7:$G$2010,$D31,'LAC 102_Wkst'!$L$7:$L$2010,"05",'LAC 102_Wkst'!$N$7:$N$2010,"P1")+SUMIFS('LAC 102_Wkst'!$AE$7:$AE$2010,'LAC 102_Wkst'!$E$7:$E$2010,$C31,'LAC 102_Wkst'!$G$7:$G$2010,$D31,'LAC 102_Wkst'!$L$7:$L$2010,"06",'LAC 102_Wkst'!$N$7:$N$2010,"P1")</f>
        <v>0</v>
      </c>
      <c r="T31" s="410">
        <f>SUMIFS('LAC 102_Wkst'!$Q$7:$Q$2010,'LAC 102_Wkst'!$E$7:$E$2010,$C31,'LAC 102_Wkst'!$G$7:$G$2010,$D31,'LAC 102_Wkst'!$L$7:$L$2010,"05",'LAC 102_Wkst'!$N$7:$N$2010,"P2")+SUMIFS('LAC 102_Wkst'!$Q$7:$Q$2010,'LAC 102_Wkst'!$E$7:$E$2010,$C31,'LAC 102_Wkst'!$G$7:$G$2010,$D31,'LAC 102_Wkst'!$L$7:$L$2010,"05",'LAC 102_Wkst'!$N$7:$N$2010,"P3")+SUMIFS('LAC 102_Wkst'!$Q$7:$Q$2010,'LAC 102_Wkst'!$E$7:$E$2010,$C31,'LAC 102_Wkst'!$G$7:$G$2010,$D31,'LAC 102_Wkst'!$L$7:$L$2010,"06",'LAC 102_Wkst'!$N$7:$N$2010,"P2")+SUMIFS('LAC 102_Wkst'!$Q$7:$Q$2010,'LAC 102_Wkst'!$E$7:$E$2010,$C31,'LAC 102_Wkst'!$G$7:$G$2010,$D31,'LAC 102_Wkst'!$L$7:$L$2010,"06",'LAC 102_Wkst'!$N$7:$N$2010,"P3")</f>
        <v>430</v>
      </c>
      <c r="U31" s="411">
        <f>SUMIFS('LAC 102_Wkst'!$AE$7:$AE$2010,'LAC 102_Wkst'!$E$7:$E$2010,$C31,'LAC 102_Wkst'!$G$7:$G$2010,$D31,'LAC 102_Wkst'!$L$7:$L$2010,"05",'LAC 102_Wkst'!$N$7:$N$2010,"P2")+SUMIFS('LAC 102_Wkst'!$AE$7:$AE$2010,'LAC 102_Wkst'!$E$7:$E$2010,$C31,'LAC 102_Wkst'!$G$7:$G$2010,$D31,'LAC 102_Wkst'!$L$7:$L$2010,"06",'LAC 102_Wkst'!$N$7:$N$2010,"P3")+SUMIFS('LAC 102_Wkst'!$AE$7:$AE$2010,'LAC 102_Wkst'!$E$7:$E$2010,$C31,'LAC 102_Wkst'!$G$7:$G$2010,$D31,'LAC 102_Wkst'!$L$7:$L$2010,"05",'LAC 102_Wkst'!$N$7:$N$2010,"P2")+SUMIFS('LAC 102_Wkst'!$AE$7:$AE$2010,'LAC 102_Wkst'!$E$7:$E$2010,$C31,'LAC 102_Wkst'!$G$7:$G$2010,$D31,'LAC 102_Wkst'!$L$7:$L$2010,"06",'LAC 102_Wkst'!$N$7:$N$2010,"P3")</f>
        <v>0</v>
      </c>
      <c r="V31" s="410">
        <f>SUMIFS('LAC 102_Wkst'!$Q$7:$Q$2010,'LAC 102_Wkst'!$E$7:$E$2010,$C31,'LAC 102_Wkst'!$G$7:$G$2010,$D31,'LAC 102_Wkst'!$L$7:$L$2010,"05",'LAC 102_Wkst'!$N$7:$N$2010,"P4")+SUMIFS('LAC 102_Wkst'!$Q$7:$Q$2010,'LAC 102_Wkst'!$E$7:$E$2010,$C31,'LAC 102_Wkst'!$G$7:$G$2010,$D31,'LAC 102_Wkst'!$L$7:$L$2010,"06",'LAC 102_Wkst'!$N$7:$N$2010,"P4")</f>
        <v>0</v>
      </c>
      <c r="W31" s="411">
        <f>SUMIFS('LAC 102_Wkst'!$AE$7:$AE$2010,'LAC 102_Wkst'!$E$7:$E$2010,$C31,'LAC 102_Wkst'!$G$7:$G$2010,$D31,'LAC 102_Wkst'!$L$7:$L$2010,"05",'LAC 102_Wkst'!$N$7:$N$2010,"P4")+SUMIFS('LAC 102_Wkst'!$AE$7:$AE$2010,'LAC 102_Wkst'!$E$7:$E$2010,$C31,'LAC 102_Wkst'!$G$7:$G$2010,$D31,'LAC 102_Wkst'!$L$7:$L$2010,"06",'LAC 102_Wkst'!$N$7:$N$2010,"P4")</f>
        <v>0</v>
      </c>
      <c r="X31" s="404">
        <f>SUMIFS('LAC 102_Wkst'!$Q$7:$Q$2010,'LAC 102_Wkst'!$E$7:$E$2010,$C31,'LAC 102_Wkst'!$G$7:$G$2010,$D31,'LAC 102_Wkst'!$L$7:$L$2010,"05",'LAC 102_Wkst'!$N$7:$N$2010,"P5")+SUMIFS('LAC 102_Wkst'!$Q$7:$Q$2010,'LAC 102_Wkst'!$E$7:$E$2010,$C31,'LAC 102_Wkst'!$G$7:$G$2010,$D31,'LAC 102_Wkst'!$L$7:$L$2010,"06",'LAC 102_Wkst'!$N$7:$N$2010,"P5")</f>
        <v>45</v>
      </c>
      <c r="Y31" s="411">
        <f>SUMIFS('LAC 102_Wkst'!$AE$7:$AE$2010,'LAC 102_Wkst'!$E$7:$E$2010,$C31,'LAC 102_Wkst'!$G$7:$G$2010,$D31,'LAC 102_Wkst'!$L$7:$L$2010,"05",'LAC 102_Wkst'!$N$7:$N$2010,"P5")+SUMIFS('LAC 102_Wkst'!$AE$7:$AE$2010,'LAC 102_Wkst'!$E$7:$E$2010,$C31,'LAC 102_Wkst'!$G$7:$G$2010,$D31,'LAC 102_Wkst'!$L$7:$L$2010,"06",'LAC 102_Wkst'!$N$7:$N$2010,"P5")</f>
        <v>0</v>
      </c>
      <c r="Z31" s="410">
        <f>SUMIFS('LAC 102_Wkst'!$Q$7:$Q$2010,'LAC 102_Wkst'!$E$7:$E$2010,$C31,'LAC 102_Wkst'!$G$7:$G$2010,$D31,'LAC 102_Wkst'!$L$7:$L$2010,"07",'LAC 102_Wkst'!$N$7:$N$2010,"P1")+SUMIFS('LAC 102_Wkst'!$Q$7:$Q$2010,'LAC 102_Wkst'!$E$7:$E$2010,$C31,'LAC 102_Wkst'!$G$7:$G$2010,$D31,'LAC 102_Wkst'!$L$7:$L$2010,"07",'LAC 102_Wkst'!$N$7:$N$2010,"P2")+SUMIFS('LAC 102_Wkst'!$Q$7:$Q$2010,'LAC 102_Wkst'!$E$7:$E$2010,$C31,'LAC 102_Wkst'!$G$7:$G$2010,$D31,'LAC 102_Wkst'!$L$7:$L$2010,"07",'LAC 102_Wkst'!$N$7:$N$2010,"P3")</f>
        <v>0</v>
      </c>
      <c r="AA31" s="411">
        <f>SUMIFS('LAC 102_Wkst'!$AE$7:$AE$2010,'LAC 102_Wkst'!$E$7:$E$2010,$C31,'LAC 102_Wkst'!$G$7:$G$2010,$D31,'LAC 102_Wkst'!$L$7:$L$2010,"07",'LAC 102_Wkst'!$N$7:$N$2010,"P1")+SUMIFS('LAC 102_Wkst'!$AE$7:$AE$2010,'LAC 102_Wkst'!$E$7:$E$2010,$C31,'LAC 102_Wkst'!$G$7:$G$2010,$D31,'LAC 102_Wkst'!$L$7:$L$2010,"07",'LAC 102_Wkst'!$N$7:$N$2010,"P2")+SUMIFS('LAC 102_Wkst'!$AE$7:$AE$2010,'LAC 102_Wkst'!$E$7:$E$2010,$C31,'LAC 102_Wkst'!$G$7:$G$2010,$D31,'LAC 102_Wkst'!$L$7:$L$2010,"07",'LAC 102_Wkst'!$N$7:$N$2010,"P3")</f>
        <v>0</v>
      </c>
      <c r="AB31" s="410">
        <f>SUMIFS('LAC 102_Wkst'!$Q$7:$Q$2010,'LAC 102_Wkst'!$E$7:$E$2010,$C31,'LAC 102_Wkst'!$G$7:$G$2010,$D31,'LAC 102_Wkst'!$L$7:$L$2010,"07",'LAC 102_Wkst'!$N$7:$N$2010,"P4")</f>
        <v>0</v>
      </c>
      <c r="AC31" s="411">
        <f>SUMIFS('LAC 102_Wkst'!$AE$7:$AE$2010,'LAC 102_Wkst'!$E$7:$E$2010,$C31,'LAC 102_Wkst'!$G$7:$G$2010,$D31,'LAC 102_Wkst'!$L$7:$L$2010,"07",'LAC 102_Wkst'!$N$7:$N$2010,"P4")</f>
        <v>0</v>
      </c>
      <c r="AD31" s="404">
        <f>SUMIFS('LAC 102_Wkst'!$Q$7:$Q$2010,'LAC 102_Wkst'!$E$7:$E$2010,$C31,'LAC 102_Wkst'!$G$7:$G$2010,$D31,'LAC 102_Wkst'!$L$7:$L$2010,"07",'LAC 102_Wkst'!$N$7:$N$2010,"P5")</f>
        <v>0</v>
      </c>
      <c r="AE31" s="411">
        <f>SUMIFS('LAC 102_Wkst'!$AE$7:$AE$2010,'LAC 102_Wkst'!$E$7:$E$2010,$C31,'LAC 102_Wkst'!$G$7:$G$2010,$D31,'LAC 102_Wkst'!$L$7:$L$2010,"07",'LAC 102_Wkst'!$N$7:$N$2010,"P5")</f>
        <v>0</v>
      </c>
      <c r="AF31" s="410">
        <f>SUMIFS('LAC 102_Wkst'!$Q$7:$Q$2010,'LAC 102_Wkst'!$E$7:$E$2010,$C31,'LAC 102_Wkst'!$G$7:$G$2010,$D31,'LAC 102_Wkst'!$L$7:$L$2010,"08",'LAC 102_Wkst'!$N$7:$N$2010,"P1")+SUMIFS('LAC 102_Wkst'!$Q$7:$Q$2010,'LAC 102_Wkst'!$E$7:$E$2010,$C31,'LAC 102_Wkst'!$G$7:$G$2010,$D31,'LAC 102_Wkst'!$L$7:$L$2010,"08",'LAC 102_Wkst'!$N$7:$N$2010,"P2")+SUMIFS('LAC 102_Wkst'!$Q$7:$Q$2010,'LAC 102_Wkst'!$E$7:$E$2010,$C31,'LAC 102_Wkst'!$G$7:$G$2010,$D31,'LAC 102_Wkst'!$L$7:$L$2010,"08",'LAC 102_Wkst'!$N$7:$N$2010,"P3")</f>
        <v>0</v>
      </c>
      <c r="AG31" s="411">
        <f>SUMIFS('LAC 102_Wkst'!$AE$7:$AE$2010,'LAC 102_Wkst'!$E$7:$E$2010,$C31,'LAC 102_Wkst'!$G$7:$G$2010,$D31,'LAC 102_Wkst'!$L$7:$L$2010,"08",'LAC 102_Wkst'!$N$7:$N$2010,"P1")+SUMIFS('LAC 102_Wkst'!$AE$7:$AE$2010,'LAC 102_Wkst'!$E$7:$E$2010,$C31,'LAC 102_Wkst'!$G$7:$G$2010,$D31,'LAC 102_Wkst'!$L$7:$L$2010,"08",'LAC 102_Wkst'!$N$7:$N$2010,"P2")+SUMIFS('LAC 102_Wkst'!$AE$7:$AE$2010,'LAC 102_Wkst'!$E$7:$E$2010,$C31,'LAC 102_Wkst'!$G$7:$G$2010,$D31,'LAC 102_Wkst'!$L$7:$L$2010,"08",'LAC 102_Wkst'!$N$7:$N$2010,"P3")</f>
        <v>0</v>
      </c>
      <c r="AH31" s="410">
        <f>SUMIFS('LAC 102_Wkst'!$Q$7:$Q$2010,'LAC 102_Wkst'!$E$7:$E$2010,$C31,'LAC 102_Wkst'!$G$7:$G$2010,$D31,'LAC 102_Wkst'!$L$7:$L$2010,"08",'LAC 102_Wkst'!$N$7:$N$2010,"P4")</f>
        <v>0</v>
      </c>
      <c r="AI31" s="411">
        <f>SUMIFS('LAC 102_Wkst'!$AE$7:$AE$2010,'LAC 102_Wkst'!$E$7:$E$2010,$C31,'LAC 102_Wkst'!$G$7:$G$2010,$D31,'LAC 102_Wkst'!$L$7:$L$2010,"08",'LAC 102_Wkst'!$N$7:$N$2010,"P4")</f>
        <v>0</v>
      </c>
      <c r="AJ31" s="404">
        <f>SUMIFS('LAC 102_Wkst'!$Q$7:$Q$2010,'LAC 102_Wkst'!$E$7:$E$2010,$C31,'LAC 102_Wkst'!$G$7:$G$2010,$D31,'LAC 102_Wkst'!$L$7:$L$2010,"08",'LAC 102_Wkst'!$N$7:$N$2010,"P5")</f>
        <v>0</v>
      </c>
      <c r="AK31" s="411">
        <f>SUMIFS('LAC 102_Wkst'!$AE$7:$AE$2010,'LAC 102_Wkst'!$E$7:$E$2010,$C31,'LAC 102_Wkst'!$G$7:$G$2010,$D31,'LAC 102_Wkst'!$L$7:$L$2010,"08",'LAC 102_Wkst'!$N$7:$N$2010,"P5")</f>
        <v>0</v>
      </c>
      <c r="AL31" s="410">
        <f>SUMIFS('LAC 102_Wkst'!$Q$7:$Q$2010,'LAC 102_Wkst'!$E$7:$E$2010,$C31,'LAC 102_Wkst'!$G$7:$G$2010,$D31,'LAC 102_Wkst'!$L$7:$L$2010,"09",'LAC 102_Wkst'!$N$7:$N$2010,"P1")+SUMIFS('LAC 102_Wkst'!$Q$7:$Q$2010,'LAC 102_Wkst'!$E$7:$E$2010,$C31,'LAC 102_Wkst'!$G$7:$G$2010,$D31,'LAC 102_Wkst'!$L$7:$L$2010,"09",'LAC 102_Wkst'!$N$7:$N$2010,"P2")+SUMIFS('LAC 102_Wkst'!$Q$7:$Q$2010,'LAC 102_Wkst'!$E$7:$E$2010,$C31,'LAC 102_Wkst'!$G$7:$G$2010,$D31,'LAC 102_Wkst'!$L$7:$L$2010,"09",'LAC 102_Wkst'!$N$7:$N$2010,"P3")+SUMIFS('LAC 102_Wkst'!$Q$7:$Q$2010,'LAC 102_Wkst'!$E$7:$E$2010,$C31,'LAC 102_Wkst'!$G$7:$G$2010,$D31,'LAC 102_Wkst'!$L$7:$L$2010,"09",'LAC 102_Wkst'!$N$7:$N$2010,"P4")</f>
        <v>0</v>
      </c>
      <c r="AM31" s="411">
        <f>SUMIFS('LAC 102_Wkst'!$AE$7:$AE$2010,'LAC 102_Wkst'!$E$7:$E$2010,$C31,'LAC 102_Wkst'!$G$7:$G$2010,$D31,'LAC 102_Wkst'!$L$7:$L$2010,"09",'LAC 102_Wkst'!$N$7:$N$2010,"P1")+SUMIFS('LAC 102_Wkst'!$AE$7:$AE$2010,'LAC 102_Wkst'!$E$7:$E$2010,$C31,'LAC 102_Wkst'!$G$7:$G$2010,$D31,'LAC 102_Wkst'!$L$7:$L$2010,"09",'LAC 102_Wkst'!$N$7:$N$2010,"P2")+SUMIFS('LAC 102_Wkst'!$AE$7:$AE$2010,'LAC 102_Wkst'!$E$7:$E$2010,$C31,'LAC 102_Wkst'!$G$7:$G$2010,$D31,'LAC 102_Wkst'!$L$7:$L$2010,"09",'LAC 102_Wkst'!$N$7:$N$2010,"P3")+SUMIFS('LAC 102_Wkst'!$AE$7:$AE$2010,'LAC 102_Wkst'!$E$7:$E$2010,$C31,'LAC 102_Wkst'!$G$7:$G$2010,$D31,'LAC 102_Wkst'!$L$7:$L$2010,"09",'LAC 102_Wkst'!$N$7:$N$2010,"P4")</f>
        <v>0</v>
      </c>
      <c r="AN31" s="410">
        <f>SUMIFS('LAC 102_Wkst'!$Q$7:$Q$2010,'LAC 102_Wkst'!$E$7:$E$2010,$C31,'LAC 102_Wkst'!$G$7:$G$2010,$D31,'LAC 102_Wkst'!$L$7:$L$2010,"09",'LAC 102_Wkst'!$N$7:$N$2010,"P5")</f>
        <v>0</v>
      </c>
      <c r="AO31" s="411">
        <f>SUMIFS('LAC 102_Wkst'!$AE$7:$AE$2010,'LAC 102_Wkst'!$E$7:$E$2010,$C31,'LAC 102_Wkst'!$G$7:$G$2010,$D31,'LAC 102_Wkst'!$L$7:$L$2010,"09",'LAC 102_Wkst'!$N$7:$N$2010,"P5")</f>
        <v>0</v>
      </c>
      <c r="AP31" s="404">
        <f>SUMIFS('LAC 102_Wkst'!$Q$7:$Q$2010,'LAC 102_Wkst'!$E$7:$E$2010,$C31,'LAC 102_Wkst'!$G$7:$G$2010,$D31,'LAC 102_Wkst'!$L$7:$L$2010,"10",'LAC 102_Wkst'!$N$7:$N$2010,"P1")+SUMIFS('LAC 102_Wkst'!$Q$7:$Q$2010,'LAC 102_Wkst'!$E$7:$E$2010,$C31,'LAC 102_Wkst'!$G$7:$G$2010,$D31,'LAC 102_Wkst'!$L$7:$L$2010,"10",'LAC 102_Wkst'!$N$7:$N$2010,"P2")+SUMIFS('LAC 102_Wkst'!$Q$7:$Q$2010,'LAC 102_Wkst'!$E$7:$E$2010,$C31,'LAC 102_Wkst'!$G$7:$G$2010,$D31,'LAC 102_Wkst'!$L$7:$L$2010,"10",'LAC 102_Wkst'!$N$7:$N$2010,"P3")+SUMIFS('LAC 102_Wkst'!$Q$7:$Q$2010,'LAC 102_Wkst'!$E$7:$E$2010,$C31,'LAC 102_Wkst'!$G$7:$G$2010,$D31,'LAC 102_Wkst'!$L$7:$L$2010,"10",'LAC 102_Wkst'!$N$7:$N$2010,"P4")</f>
        <v>9012</v>
      </c>
      <c r="AQ31" s="411">
        <f>SUMIFS('LAC 102_Wkst'!$AE$7:$AE$2010,'LAC 102_Wkst'!$E$7:$E$2010,$C31,'LAC 102_Wkst'!$G$7:$G$2010,$D31,'LAC 102_Wkst'!$L$7:$L$2010,"10",'LAC 102_Wkst'!$N$7:$N$2010,"P1")+SUMIFS('LAC 102_Wkst'!$AE$7:$AE$2010,'LAC 102_Wkst'!$E$7:$E$2010,$C31,'LAC 102_Wkst'!$G$7:$G$2010,$D31,'LAC 102_Wkst'!$L$7:$L$2010,"10",'LAC 102_Wkst'!$N$7:$N$2010,"P2")+SUMIFS('LAC 102_Wkst'!$AE$7:$AE$2010,'LAC 102_Wkst'!$E$7:$E$2010,$C31,'LAC 102_Wkst'!$G$7:$G$2010,$D31,'LAC 102_Wkst'!$L$7:$L$2010,"10",'LAC 102_Wkst'!$N$7:$N$2010,"P3")+SUMIFS('LAC 102_Wkst'!$AE$7:$AE$2010,'LAC 102_Wkst'!$E$7:$E$2010,$C31,'LAC 102_Wkst'!$G$7:$G$2010,$D31,'LAC 102_Wkst'!$L$7:$L$2010,"10",'LAC 102_Wkst'!$N$7:$N$2010,"P4")</f>
        <v>0</v>
      </c>
      <c r="AR31" s="410">
        <f>SUMIFS('LAC 102_Wkst'!$Q$7:$Q$2010,'LAC 102_Wkst'!$E$7:$E$2010,$C31,'LAC 102_Wkst'!$G$7:$G$2010,$D31,'LAC 102_Wkst'!$L$7:$L$2010,"10",'LAC 102_Wkst'!$N$7:$N$2010,"P5")</f>
        <v>730</v>
      </c>
      <c r="AS31" s="411">
        <f>SUMIFS('LAC 102_Wkst'!$AE$7:$AE$2010,'LAC 102_Wkst'!$E$7:$E$2010,$C31,'LAC 102_Wkst'!$G$7:$G$2010,$D31,'LAC 102_Wkst'!$L$7:$L$2010,"10",'LAC 102_Wkst'!$N$7:$N$2010,"P5")</f>
        <v>0</v>
      </c>
      <c r="AT31" s="410">
        <f>SUMIFS('LAC 102_Wkst'!$Q$7:$Q$2010,'LAC 102_Wkst'!$E$7:$E$2010,$C31,'LAC 102_Wkst'!$G$7:$G$2010,$D31,'LAC 102_Wkst'!$L$7:$L$2010,"11",'LAC 102_Wkst'!$N$7:$N$2010,"P1")+SUMIFS('LAC 102_Wkst'!$Q$7:$Q$2010,'LAC 102_Wkst'!$E$7:$E$2010,$C31,'LAC 102_Wkst'!$G$7:$G$2010,$D31,'LAC 102_Wkst'!$L$7:$L$2010,"12",'LAC 102_Wkst'!$N$7:$N$2010,"P1")</f>
        <v>0</v>
      </c>
      <c r="AU31" s="411">
        <f>SUMIFS('LAC 102_Wkst'!$AE$7:$AE$2010,'LAC 102_Wkst'!$E$7:$E$2010,$C31,'LAC 102_Wkst'!$G$7:$G$2010,$D31,'LAC 102_Wkst'!$L$7:$L$2010,"11",'LAC 102_Wkst'!$N$7:$N$2010,"P1")+SUMIFS('LAC 102_Wkst'!$AE$7:$AE$2010,'LAC 102_Wkst'!$E$7:$E$2010,$C31,'LAC 102_Wkst'!$G$7:$G$2010,$D31,'LAC 102_Wkst'!$L$7:$L$2010,"12",'LAC 102_Wkst'!$N$7:$N$2010,"P1")</f>
        <v>0</v>
      </c>
      <c r="AV31" s="404">
        <f>SUMIFS('LAC 102_Wkst'!$Q$7:$Q$2010,'LAC 102_Wkst'!$E$7:$E$2010,$C31,'LAC 102_Wkst'!$G$7:$G$2010,$D31,'LAC 102_Wkst'!$L$7:$L$2010,"11",'LAC 102_Wkst'!$N$7:$N$2010,"P2")+SUMIFS('LAC 102_Wkst'!$Q$7:$Q$2010,'LAC 102_Wkst'!$E$7:$E$2010,$C31,'LAC 102_Wkst'!$G$7:$G$2010,$D31,'LAC 102_Wkst'!$L$7:$L$2010,"12",'LAC 102_Wkst'!$N$7:$N$2010,"P3")+SUMIFS('LAC 102_Wkst'!$Q$7:$Q$2010,'LAC 102_Wkst'!$E$7:$E$2010,$C31,'LAC 102_Wkst'!$G$7:$G$2010,$D31,'LAC 102_Wkst'!$L$7:$L$2010,"11",'LAC 102_Wkst'!$N$7:$N$2010,"P2")+SUMIFS('LAC 102_Wkst'!$Q$7:$Q$2010,'LAC 102_Wkst'!$E$7:$E$2010,$C31,'LAC 102_Wkst'!$G$7:$G$2010,$D31,'LAC 102_Wkst'!$L$7:$L$2010,"12",'LAC 102_Wkst'!$N$7:$N$2010,"P3")</f>
        <v>0</v>
      </c>
      <c r="AW31" s="411">
        <f>SUMIFS('LAC 102_Wkst'!$AE$7:$AE$2010,'LAC 102_Wkst'!$E$7:$E$2010,$C31,'LAC 102_Wkst'!$G$7:$G$2010,$D31,'LAC 102_Wkst'!$L$7:$L$2010,"11",'LAC 102_Wkst'!$N$7:$N$2010,"P2")+SUMIFS('LAC 102_Wkst'!$AE$7:$AE$2010,'LAC 102_Wkst'!$E$7:$E$2010,$C31,'LAC 102_Wkst'!$G$7:$G$2010,$D31,'LAC 102_Wkst'!$L$7:$L$2010,"12",'LAC 102_Wkst'!$N$7:$N$2010,"P3")+SUMIFS('LAC 102_Wkst'!$AE$7:$AE$2010,'LAC 102_Wkst'!$E$7:$E$2010,$C31,'LAC 102_Wkst'!$G$7:$G$2010,$D31,'LAC 102_Wkst'!$L$7:$L$2010,"11",'LAC 102_Wkst'!$N$7:$N$2010,"P2")+SUMIFS('LAC 102_Wkst'!$AE$7:$AE$2010,'LAC 102_Wkst'!$E$7:$E$2010,$C31,'LAC 102_Wkst'!$G$7:$G$2010,$D31,'LAC 102_Wkst'!$L$7:$L$2010,"12",'LAC 102_Wkst'!$N$7:$N$2010,"P3")</f>
        <v>0</v>
      </c>
      <c r="AX31" s="404">
        <f>SUMIFS('LAC 102_Wkst'!$Q$7:$Q$2010,'LAC 102_Wkst'!$E$7:$E$2010,$C31,'LAC 102_Wkst'!$G$7:$G$2010,$D31,'LAC 102_Wkst'!$L$7:$L$2010,"11",'LAC 102_Wkst'!$N$7:$N$2010,"P4")+SUMIFS('LAC 102_Wkst'!$Q$7:$Q$2010,'LAC 102_Wkst'!$E$7:$E$2010,$C31,'LAC 102_Wkst'!$G$7:$G$2010,$D31,'LAC 102_Wkst'!$L$7:$L$2010,"12",'LAC 102_Wkst'!$N$7:$N$2010,"P4")</f>
        <v>0</v>
      </c>
      <c r="AY31" s="411">
        <f>SUMIFS('LAC 102_Wkst'!$AE$7:$AE$2010,'LAC 102_Wkst'!$E$7:$E$2010,$C31,'LAC 102_Wkst'!$G$7:$G$2010,$D31,'LAC 102_Wkst'!$L$7:$L$2010,"11",'LAC 102_Wkst'!$N$7:$N$2010,"P4")+SUMIFS('LAC 102_Wkst'!$AE$7:$AE$2010,'LAC 102_Wkst'!$E$7:$E$2010,$C31,'LAC 102_Wkst'!$G$7:$G$2010,$D31,'LAC 102_Wkst'!$L$7:$L$2010,"12",'LAC 102_Wkst'!$N$7:$N$2010,"P4")</f>
        <v>0</v>
      </c>
      <c r="AZ31" s="404">
        <f>SUMIFS('LAC 102_Wkst'!$Q$7:$Q$2010,'LAC 102_Wkst'!$E$7:$E$2010,$C31,'LAC 102_Wkst'!$G$7:$G$2010,$D31,'LAC 102_Wkst'!$L$7:$L$2010,"11",'LAC 102_Wkst'!$N$7:$N$2010,"P5")+SUMIFS('LAC 102_Wkst'!$Q$7:$Q$2010,'LAC 102_Wkst'!$E$7:$E$2010,$C31,'LAC 102_Wkst'!$G$7:$G$2010,$D31,'LAC 102_Wkst'!$L$7:$L$2010,"12",'LAC 102_Wkst'!$N$7:$N$2010,"P5")</f>
        <v>0</v>
      </c>
      <c r="BA31" s="411">
        <f>SUMIFS('LAC 102_Wkst'!$AE$7:$AE$2010,'LAC 102_Wkst'!$E$7:$E$2010,$C31,'LAC 102_Wkst'!$G$7:$G$2010,$D31,'LAC 102_Wkst'!$L$7:$L$2010,"11",'LAC 102_Wkst'!$N$7:$N$2010,"P5")+SUMIFS('LAC 102_Wkst'!$AE$7:$AE$2010,'LAC 102_Wkst'!$E$7:$E$2010,$C31,'LAC 102_Wkst'!$G$7:$G$2010,$D31,'LAC 102_Wkst'!$L$7:$L$2010,"12",'LAC 102_Wkst'!$N$7:$N$2010,"P5")</f>
        <v>0</v>
      </c>
      <c r="BB31" s="404">
        <f>SUMIFS('LAC 102_Wkst'!$Q$7:$Q$2010,'LAC 102_Wkst'!$E$7:$E$2010,$C31,'LAC 102_Wkst'!$G$7:$G$2010,$D31,'LAC 102_Wkst'!$L$7:$L$2010,"13",'LAC 102_Wkst'!$N$7:$N$2010,"P1")+SUMIFS('LAC 102_Wkst'!$Q$7:$Q$2010,'LAC 102_Wkst'!$E$7:$E$2010,$C31,'LAC 102_Wkst'!$G$7:$G$2010,$D31,'LAC 102_Wkst'!$L$7:$L$2010,"13",'LAC 102_Wkst'!$N$7:$N$2010,"P2")+SUMIFS('LAC 102_Wkst'!$Q$7:$Q$2010,'LAC 102_Wkst'!$E$7:$E$2010,$C31,'LAC 102_Wkst'!$G$7:$G$2010,$D31,'LAC 102_Wkst'!$L$7:$L$2010,"13",'LAC 102_Wkst'!$N$7:$N$2010,"P3")+SUMIFS('LAC 102_Wkst'!$Q$7:$Q$2010,'LAC 102_Wkst'!$E$7:$E$2010,$C31,'LAC 102_Wkst'!$G$7:$G$2010,$D31,'LAC 102_Wkst'!$L$7:$L$2010,"13",'LAC 102_Wkst'!$N$7:$N$2010,"P4")</f>
        <v>58</v>
      </c>
      <c r="BC31" s="411">
        <f>SUMIFS('LAC 102_Wkst'!$AE$7:$AE$2010,'LAC 102_Wkst'!$E$7:$E$2010,$C31,'LAC 102_Wkst'!$G$7:$G$2010,$D31,'LAC 102_Wkst'!$L$7:$L$2010,"13",'LAC 102_Wkst'!$N$7:$N$2010,"P1")+SUMIFS('LAC 102_Wkst'!$AE$7:$AE$2010,'LAC 102_Wkst'!$E$7:$E$2010,$C31,'LAC 102_Wkst'!$G$7:$G$2010,$D31,'LAC 102_Wkst'!$L$7:$L$2010,"13",'LAC 102_Wkst'!$N$7:$N$2010,"P2")+SUMIFS('LAC 102_Wkst'!$AE$7:$AE$2010,'LAC 102_Wkst'!$E$7:$E$2010,$C31,'LAC 102_Wkst'!$G$7:$G$2010,$D31,'LAC 102_Wkst'!$L$7:$L$2010,"13",'LAC 102_Wkst'!$N$7:$N$2010,"P3")+SUMIFS('LAC 102_Wkst'!$AE$7:$AE$2010,'LAC 102_Wkst'!$E$7:$E$2010,$C31,'LAC 102_Wkst'!$G$7:$G$2010,$D31,'LAC 102_Wkst'!$L$7:$L$2010,"13",'LAC 102_Wkst'!$N$7:$N$2010,"P4")</f>
        <v>0</v>
      </c>
      <c r="BD31" s="404">
        <f>SUMIFS('LAC 102_Wkst'!$Q$7:$Q$2010,'LAC 102_Wkst'!$E$7:$E$2010,$C31,'LAC 102_Wkst'!$G$7:$G$2010,$D31,'LAC 102_Wkst'!$L$7:$L$2010,"13",'LAC 102_Wkst'!$N$7:$N$2010,"P5")</f>
        <v>0</v>
      </c>
      <c r="BE31" s="411">
        <f>SUMIFS('LAC 102_Wkst'!$AE$7:$AE$2010,'LAC 102_Wkst'!$E$7:$E$2010,$C31,'LAC 102_Wkst'!$G$7:$G$2010,$D31,'LAC 102_Wkst'!$L$7:$L$2010,"13",'LAC 102_Wkst'!$N$7:$N$2010,"P5")</f>
        <v>0</v>
      </c>
      <c r="BF31" s="407">
        <f t="shared" si="0"/>
        <v>1614</v>
      </c>
    </row>
    <row r="32" spans="1:58" x14ac:dyDescent="0.2">
      <c r="A32" s="401">
        <v>13</v>
      </c>
      <c r="B32" s="1236" t="s">
        <v>738</v>
      </c>
      <c r="C32" s="1235" t="s">
        <v>95</v>
      </c>
      <c r="D32" s="1237" t="s">
        <v>149</v>
      </c>
      <c r="E32" s="1222">
        <f>IF(CONCATENATE(C32,D32)&gt;"6069",1,SUMIFS('LAC 102_Wkst'!$Q$7:$Q$2010,'LAC 102_Wkst'!$E$7:$E$2010,Schedule_B!$C32,'LAC 102_Wkst'!$G$7:$G$2010,Schedule_B!$D32))</f>
        <v>4730</v>
      </c>
      <c r="F32" s="408">
        <f>SUMIFS('LAC 102_Wkst'!$Q$7:$Q$2010,'LAC 102_Wkst'!$E$7:$E$2010,$C32,'LAC 102_Wkst'!$G$7:$G$2010,$D32,'LAC 102_Wkst'!$L$7:$L$2010,"01",'LAC 102_Wkst'!$N$7:$N$2010,"P1")+SUMIFS('LAC 102_Wkst'!$Q$7:$Q$2010,'LAC 102_Wkst'!$E$7:$E$2010,$C32,'LAC 102_Wkst'!$G$7:$G$2010,$D32,'LAC 102_Wkst'!$L$7:$L$2010,"01",'LAC 102_Wkst'!$N$7:$N$2010,"P2")+SUMIFS('LAC 102_Wkst'!$Q$7:$Q$2010,'LAC 102_Wkst'!$E$7:$E$2010,$C32,'LAC 102_Wkst'!$G$7:$G$2010,$D32,'LAC 102_Wkst'!$L$7:$L$2010,"01",'LAC 102_Wkst'!$N$7:$N$2010,"P3")+SUMIFS('LAC 102_Wkst'!$Q$7:$Q$2010,'LAC 102_Wkst'!$E$7:$E$2010,$C32,'LAC 102_Wkst'!$G$7:$G$2010,$D32,'LAC 102_Wkst'!$L$7:$L$2010,"02",'LAC 102_Wkst'!$N$7:$N$2010,"P1")+SUMIFS('LAC 102_Wkst'!$Q$7:$Q$2010,'LAC 102_Wkst'!$E$7:$E$2010,$C32,'LAC 102_Wkst'!$G$7:$G$2010,$D32,'LAC 102_Wkst'!$L$7:$L$2010,"02",'LAC 102_Wkst'!$N$7:$N$2010,"P2")+SUMIFS('LAC 102_Wkst'!$Q$7:$Q$2010,'LAC 102_Wkst'!$E$7:$E$2010,$C32,'LAC 102_Wkst'!$G$7:$G$2010,$D32,'LAC 102_Wkst'!$L$7:$L$2010,"02",'LAC 102_Wkst'!$N$7:$N$2010,"P3")</f>
        <v>0</v>
      </c>
      <c r="G32" s="409">
        <f>SUMIFS('LAC 102_Wkst'!$AE$7:$AE$2010,'LAC 102_Wkst'!$E$7:$E$2010,$C32,'LAC 102_Wkst'!$G$7:$G$2010,$D32,'LAC 102_Wkst'!$L$7:$L$2010,"01",'LAC 102_Wkst'!$N$7:$N$2010,"P1")+SUMIFS('LAC 102_Wkst'!$AE$7:$AE$2010,'LAC 102_Wkst'!$E$7:$E$2010,$C32,'LAC 102_Wkst'!$G$7:$G$2010,$D32,'LAC 102_Wkst'!$L$7:$L$2010,"01",'LAC 102_Wkst'!$N$7:$N$2010,"P2")+SUMIFS('LAC 102_Wkst'!$AE$7:$AE$2010,'LAC 102_Wkst'!$E$7:$E$2010,$C32,'LAC 102_Wkst'!$G$7:$G$2010,$D32,'LAC 102_Wkst'!$L$7:$L$2010,"01",'LAC 102_Wkst'!$N$7:$N$2010,"P3")+SUMIFS('LAC 102_Wkst'!$AE$7:$AE$2010,'LAC 102_Wkst'!$E$7:$E$2010,$C32,'LAC 102_Wkst'!$G$7:$G$2010,$D32,'LAC 102_Wkst'!$L$7:$L$2010,"02",'LAC 102_Wkst'!$N$7:$N$2010,"P1")+SUMIFS('LAC 102_Wkst'!$AE$7:$AE$2010,'LAC 102_Wkst'!$E$7:$E$2010,$C32,'LAC 102_Wkst'!$G$7:$G$2010,$D32,'LAC 102_Wkst'!$L$7:$L$2010,"02",'LAC 102_Wkst'!$N$7:$N$2010,"P2")+SUMIFS('LAC 102_Wkst'!$AE$7:$AE$2010,'LAC 102_Wkst'!$E$7:$E$2010,$C32,'LAC 102_Wkst'!$G$7:$G$2010,$D32,'LAC 102_Wkst'!$L$7:$L$2010,"02",'LAC 102_Wkst'!$N$7:$N$2010,"P3")</f>
        <v>0</v>
      </c>
      <c r="H32" s="410">
        <f>SUMIFS('LAC 102_Wkst'!$Q$7:$Q$2010,'LAC 102_Wkst'!$E$7:$E$2010,$C32,'LAC 102_Wkst'!$G$7:$G$2010,$D32,'LAC 102_Wkst'!$L$7:$L$2010,"01",'LAC 102_Wkst'!$N$7:$N$2010,"P4")+SUMIFS('LAC 102_Wkst'!$Q$7:$Q$2010,'LAC 102_Wkst'!$E$7:$E$2010,$C32,'LAC 102_Wkst'!$G$7:$G$2010,$D32,'LAC 102_Wkst'!$L$7:$L$2010,"02",'LAC 102_Wkst'!$N$7:$N$2010,"P4")</f>
        <v>0</v>
      </c>
      <c r="I32" s="411">
        <f>SUMIFS('LAC 102_Wkst'!$AE$7:$AE$2010,'LAC 102_Wkst'!$E$7:$E$2010,$C32,'LAC 102_Wkst'!$G$7:$G$2010,$D32,'LAC 102_Wkst'!$L$7:$L$2010,"01",'LAC 102_Wkst'!$N$7:$N$2010,"P4")+SUMIFS('LAC 102_Wkst'!$AE$7:$AE$2010,'LAC 102_Wkst'!$E$7:$E$2010,$C32,'LAC 102_Wkst'!$G$7:$G$2010,$D32,'LAC 102_Wkst'!$L$7:$L$2010,"02",'LAC 102_Wkst'!$N$7:$N$2010,"P4")</f>
        <v>0</v>
      </c>
      <c r="J32" s="410">
        <f>SUMIFS('LAC 102_Wkst'!$Q$7:$Q$2010,'LAC 102_Wkst'!$E$7:$E$2010,$C32,'LAC 102_Wkst'!$G$7:$G$2010,$D32,'LAC 102_Wkst'!$L$7:$L$2010,"01",'LAC 102_Wkst'!$N$7:$N$2010,"P5")+SUMIFS('LAC 102_Wkst'!$Q$7:$Q$2010,'LAC 102_Wkst'!$E$7:$E$2010,$C32,'LAC 102_Wkst'!$G$7:$G$2010,$D32,'LAC 102_Wkst'!$L$7:$L$2010,"02",'LAC 102_Wkst'!$N$7:$N$2010,"P5")</f>
        <v>0</v>
      </c>
      <c r="K32" s="411">
        <f>SUMIFS('LAC 102_Wkst'!$AE$7:$AE$2010,'LAC 102_Wkst'!$E$7:$E$2010,$C32,'LAC 102_Wkst'!$G$7:$G$2010,$D32,'LAC 102_Wkst'!$L$7:$L$2010,"01",'LAC 102_Wkst'!$N$7:$N$2010,"P5")+SUMIFS('LAC 102_Wkst'!$AE$7:$AE$2010,'LAC 102_Wkst'!$E$7:$E$2010,$C32,'LAC 102_Wkst'!$G$7:$G$2010,$D32,'LAC 102_Wkst'!$L$7:$L$2010,"02",'LAC 102_Wkst'!$N$7:$N$2010,"P5")</f>
        <v>0</v>
      </c>
      <c r="L32" s="410">
        <f>SUMIFS('LAC 102_Wkst'!$Q$7:$Q$2010,'LAC 102_Wkst'!$E$7:$E$2010,$C32,'LAC 102_Wkst'!$G$7:$G$2010,$D32,'LAC 102_Wkst'!$L$7:$L$2010,"03",'LAC 102_Wkst'!$N$7:$N$2010,"P1")+SUMIFS('LAC 102_Wkst'!$Q$7:$Q$2010,'LAC 102_Wkst'!$E$7:$E$2010,$C32,'LAC 102_Wkst'!$G$7:$G$2010,$D32,'LAC 102_Wkst'!$L$7:$L$2010,"03",'LAC 102_Wkst'!$N$7:$N$2010,"P2")+SUMIFS('LAC 102_Wkst'!$Q$7:$Q$2010,'LAC 102_Wkst'!$E$7:$E$2010,$C32,'LAC 102_Wkst'!$G$7:$G$2010,$D32,'LAC 102_Wkst'!$L$7:$L$2010,"03",'LAC 102_Wkst'!$N$7:$N$2010,"P3")+SUMIFS('LAC 102_Wkst'!$Q$7:$Q$2010,'LAC 102_Wkst'!$E$7:$E$2010,$C32,'LAC 102_Wkst'!$G$7:$G$2010,$D32,'LAC 102_Wkst'!$L$7:$L$2010,"04",'LAC 102_Wkst'!$N$7:$N$2010,"P1")+SUMIFS('LAC 102_Wkst'!$Q$7:$Q$2010,'LAC 102_Wkst'!$E$7:$E$2010,$C32,'LAC 102_Wkst'!$G$7:$G$2010,$D32,'LAC 102_Wkst'!$L$7:$L$2010,"04",'LAC 102_Wkst'!$N$7:$N$2010,"P2")+SUMIFS('LAC 102_Wkst'!$Q$7:$Q$2010,'LAC 102_Wkst'!$E$7:$E$2010,$C32,'LAC 102_Wkst'!$G$7:$G$2010,$D32,'LAC 102_Wkst'!$L$7:$L$2010,"04",'LAC 102_Wkst'!$N$7:$N$2010,"P3")</f>
        <v>0</v>
      </c>
      <c r="M32" s="411">
        <f>SUMIFS('LAC 102_Wkst'!$AE$7:$AE$2010,'LAC 102_Wkst'!$E$7:$E$2010,$C32,'LAC 102_Wkst'!$G$7:$G$2010,$D32,'LAC 102_Wkst'!$L$7:$L$2010,"03",'LAC 102_Wkst'!$N$7:$N$2010,"P1")+SUMIFS('LAC 102_Wkst'!$AE$7:$AE$2010,'LAC 102_Wkst'!$E$7:$E$2010,$C32,'LAC 102_Wkst'!$G$7:$G$2010,$D32,'LAC 102_Wkst'!$L$7:$L$2010,"03",'LAC 102_Wkst'!$N$7:$N$2010,"P2")+SUMIFS('LAC 102_Wkst'!$AE$7:$AE$2010,'LAC 102_Wkst'!$E$7:$E$2010,$C32,'LAC 102_Wkst'!$G$7:$G$2010,$D32,'LAC 102_Wkst'!$L$7:$L$2010,"03",'LAC 102_Wkst'!$N$7:$N$2010,"P3")+SUMIFS('LAC 102_Wkst'!$AE$7:$AE$2010,'LAC 102_Wkst'!$E$7:$E$2010,$C32,'LAC 102_Wkst'!$G$7:$G$2010,$D32,'LAC 102_Wkst'!$L$7:$L$2010,"04",'LAC 102_Wkst'!$N$7:$N$2010,"P1")+SUMIFS('LAC 102_Wkst'!$AE$7:$AE$2010,'LAC 102_Wkst'!$E$7:$E$2010,$C32,'LAC 102_Wkst'!$G$7:$G$2010,$D32,'LAC 102_Wkst'!$L$7:$L$2010,"04",'LAC 102_Wkst'!$N$7:$N$2010,"P2")+SUMIFS('LAC 102_Wkst'!$AE$7:$AE$2010,'LAC 102_Wkst'!$E$7:$E$2010,$C32,'LAC 102_Wkst'!$G$7:$G$2010,$D32,'LAC 102_Wkst'!$L$7:$L$2010,"04",'LAC 102_Wkst'!$N$7:$N$2010,"P3")</f>
        <v>0</v>
      </c>
      <c r="N32" s="410">
        <f>SUMIFS('LAC 102_Wkst'!$Q$7:$Q$2010,'LAC 102_Wkst'!$E$7:$E$2010,$C32,'LAC 102_Wkst'!$G$7:$G$2010,$D32,'LAC 102_Wkst'!$L$7:$L$2010,"03",'LAC 102_Wkst'!$N$7:$N$2010,"P4")+SUMIFS('LAC 102_Wkst'!$Q$7:$Q$2010,'LAC 102_Wkst'!$E$7:$E$2010,$C32,'LAC 102_Wkst'!$G$7:$G$2010,$D32,'LAC 102_Wkst'!$L$7:$L$2010,"04",'LAC 102_Wkst'!$N$7:$N$2010,"P4")</f>
        <v>0</v>
      </c>
      <c r="O32" s="411">
        <f>SUMIFS('LAC 102_Wkst'!$AE$7:$AE$2010,'LAC 102_Wkst'!$E$7:$E$2010,$C32,'LAC 102_Wkst'!$G$7:$G$2010,$D32,'LAC 102_Wkst'!$L$7:$L$2010,"03",'LAC 102_Wkst'!$N$7:$N$2010,"P4")+SUMIFS('LAC 102_Wkst'!$AE$7:$AE$2010,'LAC 102_Wkst'!$E$7:$E$2010,$C32,'LAC 102_Wkst'!$G$7:$G$2010,$D32,'LAC 102_Wkst'!$L$7:$L$2010,"04",'LAC 102_Wkst'!$N$7:$N$2010,"P4")</f>
        <v>0</v>
      </c>
      <c r="P32" s="404">
        <f>SUMIFS('LAC 102_Wkst'!$Q$7:$Q$2010,'LAC 102_Wkst'!$E$7:$E$2010,$C32,'LAC 102_Wkst'!$G$7:$G$2010,$D32,'LAC 102_Wkst'!$L$7:$L$2010,"03",'LAC 102_Wkst'!$N$7:$N$2010,"P5")+SUMIFS('LAC 102_Wkst'!$Q$7:$Q$2010,'LAC 102_Wkst'!$E$7:$E$2010,$C32,'LAC 102_Wkst'!$G$7:$G$2010,$D32,'LAC 102_Wkst'!$L$7:$L$2010,"04",'LAC 102_Wkst'!$N$7:$N$2010,"P5")</f>
        <v>0</v>
      </c>
      <c r="Q32" s="411">
        <f>SUMIFS('LAC 102_Wkst'!$AE$7:$AE$2010,'LAC 102_Wkst'!$E$7:$E$2010,$C32,'LAC 102_Wkst'!$G$7:$G$2010,$D32,'LAC 102_Wkst'!$L$7:$L$2010,"03",'LAC 102_Wkst'!$N$7:$N$2010,"P5")+SUMIFS('LAC 102_Wkst'!$AE$7:$AE$2010,'LAC 102_Wkst'!$E$7:$E$2010,$C32,'LAC 102_Wkst'!$G$7:$G$2010,$D32,'LAC 102_Wkst'!$L$7:$L$2010,"04",'LAC 102_Wkst'!$N$7:$N$2010,"P5")</f>
        <v>0</v>
      </c>
      <c r="R32" s="412">
        <f>SUMIFS('LAC 102_Wkst'!$Q$7:$Q$2010,'LAC 102_Wkst'!$E$7:$E$2010,$C32,'LAC 102_Wkst'!$G$7:$G$2010,$D32,'LAC 102_Wkst'!$L$7:$L$2010,"05",'LAC 102_Wkst'!$N$7:$N$2010,"P1")+SUMIFS('LAC 102_Wkst'!$Q$7:$Q$2010,'LAC 102_Wkst'!$E$7:$E$2010,$C32,'LAC 102_Wkst'!$G$7:$G$2010,$D32,'LAC 102_Wkst'!$L$7:$L$2010,"06",'LAC 102_Wkst'!$N$7:$N$2010,"P1")</f>
        <v>0</v>
      </c>
      <c r="S32" s="411">
        <f>SUMIFS('LAC 102_Wkst'!$AE$7:$AE$2010,'LAC 102_Wkst'!$E$7:$E$2010,$C32,'LAC 102_Wkst'!$G$7:$G$2010,$D32,'LAC 102_Wkst'!$L$7:$L$2010,"05",'LAC 102_Wkst'!$N$7:$N$2010,"P1")+SUMIFS('LAC 102_Wkst'!$AE$7:$AE$2010,'LAC 102_Wkst'!$E$7:$E$2010,$C32,'LAC 102_Wkst'!$G$7:$G$2010,$D32,'LAC 102_Wkst'!$L$7:$L$2010,"06",'LAC 102_Wkst'!$N$7:$N$2010,"P1")</f>
        <v>0</v>
      </c>
      <c r="T32" s="410">
        <f>SUMIFS('LAC 102_Wkst'!$Q$7:$Q$2010,'LAC 102_Wkst'!$E$7:$E$2010,$C32,'LAC 102_Wkst'!$G$7:$G$2010,$D32,'LAC 102_Wkst'!$L$7:$L$2010,"05",'LAC 102_Wkst'!$N$7:$N$2010,"P2")+SUMIFS('LAC 102_Wkst'!$Q$7:$Q$2010,'LAC 102_Wkst'!$E$7:$E$2010,$C32,'LAC 102_Wkst'!$G$7:$G$2010,$D32,'LAC 102_Wkst'!$L$7:$L$2010,"05",'LAC 102_Wkst'!$N$7:$N$2010,"P3")+SUMIFS('LAC 102_Wkst'!$Q$7:$Q$2010,'LAC 102_Wkst'!$E$7:$E$2010,$C32,'LAC 102_Wkst'!$G$7:$G$2010,$D32,'LAC 102_Wkst'!$L$7:$L$2010,"06",'LAC 102_Wkst'!$N$7:$N$2010,"P2")+SUMIFS('LAC 102_Wkst'!$Q$7:$Q$2010,'LAC 102_Wkst'!$E$7:$E$2010,$C32,'LAC 102_Wkst'!$G$7:$G$2010,$D32,'LAC 102_Wkst'!$L$7:$L$2010,"06",'LAC 102_Wkst'!$N$7:$N$2010,"P3")</f>
        <v>0</v>
      </c>
      <c r="U32" s="411">
        <f>SUMIFS('LAC 102_Wkst'!$AE$7:$AE$2010,'LAC 102_Wkst'!$E$7:$E$2010,$C32,'LAC 102_Wkst'!$G$7:$G$2010,$D32,'LAC 102_Wkst'!$L$7:$L$2010,"05",'LAC 102_Wkst'!$N$7:$N$2010,"P2")+SUMIFS('LAC 102_Wkst'!$AE$7:$AE$2010,'LAC 102_Wkst'!$E$7:$E$2010,$C32,'LAC 102_Wkst'!$G$7:$G$2010,$D32,'LAC 102_Wkst'!$L$7:$L$2010,"06",'LAC 102_Wkst'!$N$7:$N$2010,"P3")+SUMIFS('LAC 102_Wkst'!$AE$7:$AE$2010,'LAC 102_Wkst'!$E$7:$E$2010,$C32,'LAC 102_Wkst'!$G$7:$G$2010,$D32,'LAC 102_Wkst'!$L$7:$L$2010,"05",'LAC 102_Wkst'!$N$7:$N$2010,"P2")+SUMIFS('LAC 102_Wkst'!$AE$7:$AE$2010,'LAC 102_Wkst'!$E$7:$E$2010,$C32,'LAC 102_Wkst'!$G$7:$G$2010,$D32,'LAC 102_Wkst'!$L$7:$L$2010,"06",'LAC 102_Wkst'!$N$7:$N$2010,"P3")</f>
        <v>0</v>
      </c>
      <c r="V32" s="410">
        <f>SUMIFS('LAC 102_Wkst'!$Q$7:$Q$2010,'LAC 102_Wkst'!$E$7:$E$2010,$C32,'LAC 102_Wkst'!$G$7:$G$2010,$D32,'LAC 102_Wkst'!$L$7:$L$2010,"05",'LAC 102_Wkst'!$N$7:$N$2010,"P4")+SUMIFS('LAC 102_Wkst'!$Q$7:$Q$2010,'LAC 102_Wkst'!$E$7:$E$2010,$C32,'LAC 102_Wkst'!$G$7:$G$2010,$D32,'LAC 102_Wkst'!$L$7:$L$2010,"06",'LAC 102_Wkst'!$N$7:$N$2010,"P4")</f>
        <v>0</v>
      </c>
      <c r="W32" s="411">
        <f>SUMIFS('LAC 102_Wkst'!$AE$7:$AE$2010,'LAC 102_Wkst'!$E$7:$E$2010,$C32,'LAC 102_Wkst'!$G$7:$G$2010,$D32,'LAC 102_Wkst'!$L$7:$L$2010,"05",'LAC 102_Wkst'!$N$7:$N$2010,"P4")+SUMIFS('LAC 102_Wkst'!$AE$7:$AE$2010,'LAC 102_Wkst'!$E$7:$E$2010,$C32,'LAC 102_Wkst'!$G$7:$G$2010,$D32,'LAC 102_Wkst'!$L$7:$L$2010,"06",'LAC 102_Wkst'!$N$7:$N$2010,"P4")</f>
        <v>0</v>
      </c>
      <c r="X32" s="404">
        <f>SUMIFS('LAC 102_Wkst'!$Q$7:$Q$2010,'LAC 102_Wkst'!$E$7:$E$2010,$C32,'LAC 102_Wkst'!$G$7:$G$2010,$D32,'LAC 102_Wkst'!$L$7:$L$2010,"05",'LAC 102_Wkst'!$N$7:$N$2010,"P5")+SUMIFS('LAC 102_Wkst'!$Q$7:$Q$2010,'LAC 102_Wkst'!$E$7:$E$2010,$C32,'LAC 102_Wkst'!$G$7:$G$2010,$D32,'LAC 102_Wkst'!$L$7:$L$2010,"06",'LAC 102_Wkst'!$N$7:$N$2010,"P5")</f>
        <v>0</v>
      </c>
      <c r="Y32" s="411">
        <f>SUMIFS('LAC 102_Wkst'!$AE$7:$AE$2010,'LAC 102_Wkst'!$E$7:$E$2010,$C32,'LAC 102_Wkst'!$G$7:$G$2010,$D32,'LAC 102_Wkst'!$L$7:$L$2010,"05",'LAC 102_Wkst'!$N$7:$N$2010,"P5")+SUMIFS('LAC 102_Wkst'!$AE$7:$AE$2010,'LAC 102_Wkst'!$E$7:$E$2010,$C32,'LAC 102_Wkst'!$G$7:$G$2010,$D32,'LAC 102_Wkst'!$L$7:$L$2010,"06",'LAC 102_Wkst'!$N$7:$N$2010,"P5")</f>
        <v>0</v>
      </c>
      <c r="Z32" s="410">
        <f>SUMIFS('LAC 102_Wkst'!$Q$7:$Q$2010,'LAC 102_Wkst'!$E$7:$E$2010,$C32,'LAC 102_Wkst'!$G$7:$G$2010,$D32,'LAC 102_Wkst'!$L$7:$L$2010,"07",'LAC 102_Wkst'!$N$7:$N$2010,"P1")+SUMIFS('LAC 102_Wkst'!$Q$7:$Q$2010,'LAC 102_Wkst'!$E$7:$E$2010,$C32,'LAC 102_Wkst'!$G$7:$G$2010,$D32,'LAC 102_Wkst'!$L$7:$L$2010,"07",'LAC 102_Wkst'!$N$7:$N$2010,"P2")+SUMIFS('LAC 102_Wkst'!$Q$7:$Q$2010,'LAC 102_Wkst'!$E$7:$E$2010,$C32,'LAC 102_Wkst'!$G$7:$G$2010,$D32,'LAC 102_Wkst'!$L$7:$L$2010,"07",'LAC 102_Wkst'!$N$7:$N$2010,"P3")</f>
        <v>0</v>
      </c>
      <c r="AA32" s="411">
        <f>SUMIFS('LAC 102_Wkst'!$AE$7:$AE$2010,'LAC 102_Wkst'!$E$7:$E$2010,$C32,'LAC 102_Wkst'!$G$7:$G$2010,$D32,'LAC 102_Wkst'!$L$7:$L$2010,"07",'LAC 102_Wkst'!$N$7:$N$2010,"P1")+SUMIFS('LAC 102_Wkst'!$AE$7:$AE$2010,'LAC 102_Wkst'!$E$7:$E$2010,$C32,'LAC 102_Wkst'!$G$7:$G$2010,$D32,'LAC 102_Wkst'!$L$7:$L$2010,"07",'LAC 102_Wkst'!$N$7:$N$2010,"P2")+SUMIFS('LAC 102_Wkst'!$AE$7:$AE$2010,'LAC 102_Wkst'!$E$7:$E$2010,$C32,'LAC 102_Wkst'!$G$7:$G$2010,$D32,'LAC 102_Wkst'!$L$7:$L$2010,"07",'LAC 102_Wkst'!$N$7:$N$2010,"P3")</f>
        <v>0</v>
      </c>
      <c r="AB32" s="410">
        <f>SUMIFS('LAC 102_Wkst'!$Q$7:$Q$2010,'LAC 102_Wkst'!$E$7:$E$2010,$C32,'LAC 102_Wkst'!$G$7:$G$2010,$D32,'LAC 102_Wkst'!$L$7:$L$2010,"07",'LAC 102_Wkst'!$N$7:$N$2010,"P4")</f>
        <v>0</v>
      </c>
      <c r="AC32" s="411">
        <f>SUMIFS('LAC 102_Wkst'!$AE$7:$AE$2010,'LAC 102_Wkst'!$E$7:$E$2010,$C32,'LAC 102_Wkst'!$G$7:$G$2010,$D32,'LAC 102_Wkst'!$L$7:$L$2010,"07",'LAC 102_Wkst'!$N$7:$N$2010,"P4")</f>
        <v>0</v>
      </c>
      <c r="AD32" s="404">
        <f>SUMIFS('LAC 102_Wkst'!$Q$7:$Q$2010,'LAC 102_Wkst'!$E$7:$E$2010,$C32,'LAC 102_Wkst'!$G$7:$G$2010,$D32,'LAC 102_Wkst'!$L$7:$L$2010,"07",'LAC 102_Wkst'!$N$7:$N$2010,"P5")</f>
        <v>0</v>
      </c>
      <c r="AE32" s="411">
        <f>SUMIFS('LAC 102_Wkst'!$AE$7:$AE$2010,'LAC 102_Wkst'!$E$7:$E$2010,$C32,'LAC 102_Wkst'!$G$7:$G$2010,$D32,'LAC 102_Wkst'!$L$7:$L$2010,"07",'LAC 102_Wkst'!$N$7:$N$2010,"P5")</f>
        <v>0</v>
      </c>
      <c r="AF32" s="410">
        <f>SUMIFS('LAC 102_Wkst'!$Q$7:$Q$2010,'LAC 102_Wkst'!$E$7:$E$2010,$C32,'LAC 102_Wkst'!$G$7:$G$2010,$D32,'LAC 102_Wkst'!$L$7:$L$2010,"08",'LAC 102_Wkst'!$N$7:$N$2010,"P1")+SUMIFS('LAC 102_Wkst'!$Q$7:$Q$2010,'LAC 102_Wkst'!$E$7:$E$2010,$C32,'LAC 102_Wkst'!$G$7:$G$2010,$D32,'LAC 102_Wkst'!$L$7:$L$2010,"08",'LAC 102_Wkst'!$N$7:$N$2010,"P2")+SUMIFS('LAC 102_Wkst'!$Q$7:$Q$2010,'LAC 102_Wkst'!$E$7:$E$2010,$C32,'LAC 102_Wkst'!$G$7:$G$2010,$D32,'LAC 102_Wkst'!$L$7:$L$2010,"08",'LAC 102_Wkst'!$N$7:$N$2010,"P3")</f>
        <v>0</v>
      </c>
      <c r="AG32" s="411">
        <f>SUMIFS('LAC 102_Wkst'!$AE$7:$AE$2010,'LAC 102_Wkst'!$E$7:$E$2010,$C32,'LAC 102_Wkst'!$G$7:$G$2010,$D32,'LAC 102_Wkst'!$L$7:$L$2010,"08",'LAC 102_Wkst'!$N$7:$N$2010,"P1")+SUMIFS('LAC 102_Wkst'!$AE$7:$AE$2010,'LAC 102_Wkst'!$E$7:$E$2010,$C32,'LAC 102_Wkst'!$G$7:$G$2010,$D32,'LAC 102_Wkst'!$L$7:$L$2010,"08",'LAC 102_Wkst'!$N$7:$N$2010,"P2")+SUMIFS('LAC 102_Wkst'!$AE$7:$AE$2010,'LAC 102_Wkst'!$E$7:$E$2010,$C32,'LAC 102_Wkst'!$G$7:$G$2010,$D32,'LAC 102_Wkst'!$L$7:$L$2010,"08",'LAC 102_Wkst'!$N$7:$N$2010,"P3")</f>
        <v>0</v>
      </c>
      <c r="AH32" s="410">
        <f>SUMIFS('LAC 102_Wkst'!$Q$7:$Q$2010,'LAC 102_Wkst'!$E$7:$E$2010,$C32,'LAC 102_Wkst'!$G$7:$G$2010,$D32,'LAC 102_Wkst'!$L$7:$L$2010,"08",'LAC 102_Wkst'!$N$7:$N$2010,"P4")</f>
        <v>0</v>
      </c>
      <c r="AI32" s="411">
        <f>SUMIFS('LAC 102_Wkst'!$AE$7:$AE$2010,'LAC 102_Wkst'!$E$7:$E$2010,$C32,'LAC 102_Wkst'!$G$7:$G$2010,$D32,'LAC 102_Wkst'!$L$7:$L$2010,"08",'LAC 102_Wkst'!$N$7:$N$2010,"P4")</f>
        <v>0</v>
      </c>
      <c r="AJ32" s="404">
        <f>SUMIFS('LAC 102_Wkst'!$Q$7:$Q$2010,'LAC 102_Wkst'!$E$7:$E$2010,$C32,'LAC 102_Wkst'!$G$7:$G$2010,$D32,'LAC 102_Wkst'!$L$7:$L$2010,"08",'LAC 102_Wkst'!$N$7:$N$2010,"P5")</f>
        <v>0</v>
      </c>
      <c r="AK32" s="411">
        <f>SUMIFS('LAC 102_Wkst'!$AE$7:$AE$2010,'LAC 102_Wkst'!$E$7:$E$2010,$C32,'LAC 102_Wkst'!$G$7:$G$2010,$D32,'LAC 102_Wkst'!$L$7:$L$2010,"08",'LAC 102_Wkst'!$N$7:$N$2010,"P5")</f>
        <v>0</v>
      </c>
      <c r="AL32" s="410">
        <f>SUMIFS('LAC 102_Wkst'!$Q$7:$Q$2010,'LAC 102_Wkst'!$E$7:$E$2010,$C32,'LAC 102_Wkst'!$G$7:$G$2010,$D32,'LAC 102_Wkst'!$L$7:$L$2010,"09",'LAC 102_Wkst'!$N$7:$N$2010,"P1")+SUMIFS('LAC 102_Wkst'!$Q$7:$Q$2010,'LAC 102_Wkst'!$E$7:$E$2010,$C32,'LAC 102_Wkst'!$G$7:$G$2010,$D32,'LAC 102_Wkst'!$L$7:$L$2010,"09",'LAC 102_Wkst'!$N$7:$N$2010,"P2")+SUMIFS('LAC 102_Wkst'!$Q$7:$Q$2010,'LAC 102_Wkst'!$E$7:$E$2010,$C32,'LAC 102_Wkst'!$G$7:$G$2010,$D32,'LAC 102_Wkst'!$L$7:$L$2010,"09",'LAC 102_Wkst'!$N$7:$N$2010,"P3")+SUMIFS('LAC 102_Wkst'!$Q$7:$Q$2010,'LAC 102_Wkst'!$E$7:$E$2010,$C32,'LAC 102_Wkst'!$G$7:$G$2010,$D32,'LAC 102_Wkst'!$L$7:$L$2010,"09",'LAC 102_Wkst'!$N$7:$N$2010,"P4")</f>
        <v>0</v>
      </c>
      <c r="AM32" s="411">
        <f>SUMIFS('LAC 102_Wkst'!$AE$7:$AE$2010,'LAC 102_Wkst'!$E$7:$E$2010,$C32,'LAC 102_Wkst'!$G$7:$G$2010,$D32,'LAC 102_Wkst'!$L$7:$L$2010,"09",'LAC 102_Wkst'!$N$7:$N$2010,"P1")+SUMIFS('LAC 102_Wkst'!$AE$7:$AE$2010,'LAC 102_Wkst'!$E$7:$E$2010,$C32,'LAC 102_Wkst'!$G$7:$G$2010,$D32,'LAC 102_Wkst'!$L$7:$L$2010,"09",'LAC 102_Wkst'!$N$7:$N$2010,"P2")+SUMIFS('LAC 102_Wkst'!$AE$7:$AE$2010,'LAC 102_Wkst'!$E$7:$E$2010,$C32,'LAC 102_Wkst'!$G$7:$G$2010,$D32,'LAC 102_Wkst'!$L$7:$L$2010,"09",'LAC 102_Wkst'!$N$7:$N$2010,"P3")+SUMIFS('LAC 102_Wkst'!$AE$7:$AE$2010,'LAC 102_Wkst'!$E$7:$E$2010,$C32,'LAC 102_Wkst'!$G$7:$G$2010,$D32,'LAC 102_Wkst'!$L$7:$L$2010,"09",'LAC 102_Wkst'!$N$7:$N$2010,"P4")</f>
        <v>0</v>
      </c>
      <c r="AN32" s="410">
        <f>SUMIFS('LAC 102_Wkst'!$Q$7:$Q$2010,'LAC 102_Wkst'!$E$7:$E$2010,$C32,'LAC 102_Wkst'!$G$7:$G$2010,$D32,'LAC 102_Wkst'!$L$7:$L$2010,"09",'LAC 102_Wkst'!$N$7:$N$2010,"P5")</f>
        <v>0</v>
      </c>
      <c r="AO32" s="411">
        <f>SUMIFS('LAC 102_Wkst'!$AE$7:$AE$2010,'LAC 102_Wkst'!$E$7:$E$2010,$C32,'LAC 102_Wkst'!$G$7:$G$2010,$D32,'LAC 102_Wkst'!$L$7:$L$2010,"09",'LAC 102_Wkst'!$N$7:$N$2010,"P5")</f>
        <v>0</v>
      </c>
      <c r="AP32" s="404">
        <f>SUMIFS('LAC 102_Wkst'!$Q$7:$Q$2010,'LAC 102_Wkst'!$E$7:$E$2010,$C32,'LAC 102_Wkst'!$G$7:$G$2010,$D32,'LAC 102_Wkst'!$L$7:$L$2010,"10",'LAC 102_Wkst'!$N$7:$N$2010,"P1")+SUMIFS('LAC 102_Wkst'!$Q$7:$Q$2010,'LAC 102_Wkst'!$E$7:$E$2010,$C32,'LAC 102_Wkst'!$G$7:$G$2010,$D32,'LAC 102_Wkst'!$L$7:$L$2010,"10",'LAC 102_Wkst'!$N$7:$N$2010,"P2")+SUMIFS('LAC 102_Wkst'!$Q$7:$Q$2010,'LAC 102_Wkst'!$E$7:$E$2010,$C32,'LAC 102_Wkst'!$G$7:$G$2010,$D32,'LAC 102_Wkst'!$L$7:$L$2010,"10",'LAC 102_Wkst'!$N$7:$N$2010,"P3")+SUMIFS('LAC 102_Wkst'!$Q$7:$Q$2010,'LAC 102_Wkst'!$E$7:$E$2010,$C32,'LAC 102_Wkst'!$G$7:$G$2010,$D32,'LAC 102_Wkst'!$L$7:$L$2010,"10",'LAC 102_Wkst'!$N$7:$N$2010,"P4")</f>
        <v>0</v>
      </c>
      <c r="AQ32" s="411">
        <f>SUMIFS('LAC 102_Wkst'!$AE$7:$AE$2010,'LAC 102_Wkst'!$E$7:$E$2010,$C32,'LAC 102_Wkst'!$G$7:$G$2010,$D32,'LAC 102_Wkst'!$L$7:$L$2010,"10",'LAC 102_Wkst'!$N$7:$N$2010,"P1")+SUMIFS('LAC 102_Wkst'!$AE$7:$AE$2010,'LAC 102_Wkst'!$E$7:$E$2010,$C32,'LAC 102_Wkst'!$G$7:$G$2010,$D32,'LAC 102_Wkst'!$L$7:$L$2010,"10",'LAC 102_Wkst'!$N$7:$N$2010,"P2")+SUMIFS('LAC 102_Wkst'!$AE$7:$AE$2010,'LAC 102_Wkst'!$E$7:$E$2010,$C32,'LAC 102_Wkst'!$G$7:$G$2010,$D32,'LAC 102_Wkst'!$L$7:$L$2010,"10",'LAC 102_Wkst'!$N$7:$N$2010,"P3")+SUMIFS('LAC 102_Wkst'!$AE$7:$AE$2010,'LAC 102_Wkst'!$E$7:$E$2010,$C32,'LAC 102_Wkst'!$G$7:$G$2010,$D32,'LAC 102_Wkst'!$L$7:$L$2010,"10",'LAC 102_Wkst'!$N$7:$N$2010,"P4")</f>
        <v>0</v>
      </c>
      <c r="AR32" s="410">
        <f>SUMIFS('LAC 102_Wkst'!$Q$7:$Q$2010,'LAC 102_Wkst'!$E$7:$E$2010,$C32,'LAC 102_Wkst'!$G$7:$G$2010,$D32,'LAC 102_Wkst'!$L$7:$L$2010,"10",'LAC 102_Wkst'!$N$7:$N$2010,"P5")</f>
        <v>0</v>
      </c>
      <c r="AS32" s="411">
        <f>SUMIFS('LAC 102_Wkst'!$AE$7:$AE$2010,'LAC 102_Wkst'!$E$7:$E$2010,$C32,'LAC 102_Wkst'!$G$7:$G$2010,$D32,'LAC 102_Wkst'!$L$7:$L$2010,"10",'LAC 102_Wkst'!$N$7:$N$2010,"P5")</f>
        <v>0</v>
      </c>
      <c r="AT32" s="410">
        <f>SUMIFS('LAC 102_Wkst'!$Q$7:$Q$2010,'LAC 102_Wkst'!$E$7:$E$2010,$C32,'LAC 102_Wkst'!$G$7:$G$2010,$D32,'LAC 102_Wkst'!$L$7:$L$2010,"11",'LAC 102_Wkst'!$N$7:$N$2010,"P1")+SUMIFS('LAC 102_Wkst'!$Q$7:$Q$2010,'LAC 102_Wkst'!$E$7:$E$2010,$C32,'LAC 102_Wkst'!$G$7:$G$2010,$D32,'LAC 102_Wkst'!$L$7:$L$2010,"12",'LAC 102_Wkst'!$N$7:$N$2010,"P1")</f>
        <v>0</v>
      </c>
      <c r="AU32" s="411">
        <f>SUMIFS('LAC 102_Wkst'!$AE$7:$AE$2010,'LAC 102_Wkst'!$E$7:$E$2010,$C32,'LAC 102_Wkst'!$G$7:$G$2010,$D32,'LAC 102_Wkst'!$L$7:$L$2010,"11",'LAC 102_Wkst'!$N$7:$N$2010,"P1")+SUMIFS('LAC 102_Wkst'!$AE$7:$AE$2010,'LAC 102_Wkst'!$E$7:$E$2010,$C32,'LAC 102_Wkst'!$G$7:$G$2010,$D32,'LAC 102_Wkst'!$L$7:$L$2010,"12",'LAC 102_Wkst'!$N$7:$N$2010,"P1")</f>
        <v>0</v>
      </c>
      <c r="AV32" s="404">
        <f>SUMIFS('LAC 102_Wkst'!$Q$7:$Q$2010,'LAC 102_Wkst'!$E$7:$E$2010,$C32,'LAC 102_Wkst'!$G$7:$G$2010,$D32,'LAC 102_Wkst'!$L$7:$L$2010,"11",'LAC 102_Wkst'!$N$7:$N$2010,"P2")+SUMIFS('LAC 102_Wkst'!$Q$7:$Q$2010,'LAC 102_Wkst'!$E$7:$E$2010,$C32,'LAC 102_Wkst'!$G$7:$G$2010,$D32,'LAC 102_Wkst'!$L$7:$L$2010,"12",'LAC 102_Wkst'!$N$7:$N$2010,"P3")+SUMIFS('LAC 102_Wkst'!$Q$7:$Q$2010,'LAC 102_Wkst'!$E$7:$E$2010,$C32,'LAC 102_Wkst'!$G$7:$G$2010,$D32,'LAC 102_Wkst'!$L$7:$L$2010,"11",'LAC 102_Wkst'!$N$7:$N$2010,"P2")+SUMIFS('LAC 102_Wkst'!$Q$7:$Q$2010,'LAC 102_Wkst'!$E$7:$E$2010,$C32,'LAC 102_Wkst'!$G$7:$G$2010,$D32,'LAC 102_Wkst'!$L$7:$L$2010,"12",'LAC 102_Wkst'!$N$7:$N$2010,"P3")</f>
        <v>0</v>
      </c>
      <c r="AW32" s="411">
        <f>SUMIFS('LAC 102_Wkst'!$AE$7:$AE$2010,'LAC 102_Wkst'!$E$7:$E$2010,$C32,'LAC 102_Wkst'!$G$7:$G$2010,$D32,'LAC 102_Wkst'!$L$7:$L$2010,"11",'LAC 102_Wkst'!$N$7:$N$2010,"P2")+SUMIFS('LAC 102_Wkst'!$AE$7:$AE$2010,'LAC 102_Wkst'!$E$7:$E$2010,$C32,'LAC 102_Wkst'!$G$7:$G$2010,$D32,'LAC 102_Wkst'!$L$7:$L$2010,"12",'LAC 102_Wkst'!$N$7:$N$2010,"P3")+SUMIFS('LAC 102_Wkst'!$AE$7:$AE$2010,'LAC 102_Wkst'!$E$7:$E$2010,$C32,'LAC 102_Wkst'!$G$7:$G$2010,$D32,'LAC 102_Wkst'!$L$7:$L$2010,"11",'LAC 102_Wkst'!$N$7:$N$2010,"P2")+SUMIFS('LAC 102_Wkst'!$AE$7:$AE$2010,'LAC 102_Wkst'!$E$7:$E$2010,$C32,'LAC 102_Wkst'!$G$7:$G$2010,$D32,'LAC 102_Wkst'!$L$7:$L$2010,"12",'LAC 102_Wkst'!$N$7:$N$2010,"P3")</f>
        <v>0</v>
      </c>
      <c r="AX32" s="404">
        <f>SUMIFS('LAC 102_Wkst'!$Q$7:$Q$2010,'LAC 102_Wkst'!$E$7:$E$2010,$C32,'LAC 102_Wkst'!$G$7:$G$2010,$D32,'LAC 102_Wkst'!$L$7:$L$2010,"11",'LAC 102_Wkst'!$N$7:$N$2010,"P4")+SUMIFS('LAC 102_Wkst'!$Q$7:$Q$2010,'LAC 102_Wkst'!$E$7:$E$2010,$C32,'LAC 102_Wkst'!$G$7:$G$2010,$D32,'LAC 102_Wkst'!$L$7:$L$2010,"12",'LAC 102_Wkst'!$N$7:$N$2010,"P4")</f>
        <v>0</v>
      </c>
      <c r="AY32" s="411">
        <f>SUMIFS('LAC 102_Wkst'!$AE$7:$AE$2010,'LAC 102_Wkst'!$E$7:$E$2010,$C32,'LAC 102_Wkst'!$G$7:$G$2010,$D32,'LAC 102_Wkst'!$L$7:$L$2010,"11",'LAC 102_Wkst'!$N$7:$N$2010,"P4")+SUMIFS('LAC 102_Wkst'!$AE$7:$AE$2010,'LAC 102_Wkst'!$E$7:$E$2010,$C32,'LAC 102_Wkst'!$G$7:$G$2010,$D32,'LAC 102_Wkst'!$L$7:$L$2010,"12",'LAC 102_Wkst'!$N$7:$N$2010,"P4")</f>
        <v>0</v>
      </c>
      <c r="AZ32" s="404">
        <f>SUMIFS('LAC 102_Wkst'!$Q$7:$Q$2010,'LAC 102_Wkst'!$E$7:$E$2010,$C32,'LAC 102_Wkst'!$G$7:$G$2010,$D32,'LAC 102_Wkst'!$L$7:$L$2010,"11",'LAC 102_Wkst'!$N$7:$N$2010,"P5")+SUMIFS('LAC 102_Wkst'!$Q$7:$Q$2010,'LAC 102_Wkst'!$E$7:$E$2010,$C32,'LAC 102_Wkst'!$G$7:$G$2010,$D32,'LAC 102_Wkst'!$L$7:$L$2010,"12",'LAC 102_Wkst'!$N$7:$N$2010,"P5")</f>
        <v>0</v>
      </c>
      <c r="BA32" s="411">
        <f>SUMIFS('LAC 102_Wkst'!$AE$7:$AE$2010,'LAC 102_Wkst'!$E$7:$E$2010,$C32,'LAC 102_Wkst'!$G$7:$G$2010,$D32,'LAC 102_Wkst'!$L$7:$L$2010,"11",'LAC 102_Wkst'!$N$7:$N$2010,"P5")+SUMIFS('LAC 102_Wkst'!$AE$7:$AE$2010,'LAC 102_Wkst'!$E$7:$E$2010,$C32,'LAC 102_Wkst'!$G$7:$G$2010,$D32,'LAC 102_Wkst'!$L$7:$L$2010,"12",'LAC 102_Wkst'!$N$7:$N$2010,"P5")</f>
        <v>0</v>
      </c>
      <c r="BB32" s="404">
        <f>SUMIFS('LAC 102_Wkst'!$Q$7:$Q$2010,'LAC 102_Wkst'!$E$7:$E$2010,$C32,'LAC 102_Wkst'!$G$7:$G$2010,$D32,'LAC 102_Wkst'!$L$7:$L$2010,"13",'LAC 102_Wkst'!$N$7:$N$2010,"P1")+SUMIFS('LAC 102_Wkst'!$Q$7:$Q$2010,'LAC 102_Wkst'!$E$7:$E$2010,$C32,'LAC 102_Wkst'!$G$7:$G$2010,$D32,'LAC 102_Wkst'!$L$7:$L$2010,"13",'LAC 102_Wkst'!$N$7:$N$2010,"P2")+SUMIFS('LAC 102_Wkst'!$Q$7:$Q$2010,'LAC 102_Wkst'!$E$7:$E$2010,$C32,'LAC 102_Wkst'!$G$7:$G$2010,$D32,'LAC 102_Wkst'!$L$7:$L$2010,"13",'LAC 102_Wkst'!$N$7:$N$2010,"P3")+SUMIFS('LAC 102_Wkst'!$Q$7:$Q$2010,'LAC 102_Wkst'!$E$7:$E$2010,$C32,'LAC 102_Wkst'!$G$7:$G$2010,$D32,'LAC 102_Wkst'!$L$7:$L$2010,"13",'LAC 102_Wkst'!$N$7:$N$2010,"P4")</f>
        <v>0</v>
      </c>
      <c r="BC32" s="411">
        <f>SUMIFS('LAC 102_Wkst'!$AE$7:$AE$2010,'LAC 102_Wkst'!$E$7:$E$2010,$C32,'LAC 102_Wkst'!$G$7:$G$2010,$D32,'LAC 102_Wkst'!$L$7:$L$2010,"13",'LAC 102_Wkst'!$N$7:$N$2010,"P1")+SUMIFS('LAC 102_Wkst'!$AE$7:$AE$2010,'LAC 102_Wkst'!$E$7:$E$2010,$C32,'LAC 102_Wkst'!$G$7:$G$2010,$D32,'LAC 102_Wkst'!$L$7:$L$2010,"13",'LAC 102_Wkst'!$N$7:$N$2010,"P2")+SUMIFS('LAC 102_Wkst'!$AE$7:$AE$2010,'LAC 102_Wkst'!$E$7:$E$2010,$C32,'LAC 102_Wkst'!$G$7:$G$2010,$D32,'LAC 102_Wkst'!$L$7:$L$2010,"13",'LAC 102_Wkst'!$N$7:$N$2010,"P3")+SUMIFS('LAC 102_Wkst'!$AE$7:$AE$2010,'LAC 102_Wkst'!$E$7:$E$2010,$C32,'LAC 102_Wkst'!$G$7:$G$2010,$D32,'LAC 102_Wkst'!$L$7:$L$2010,"13",'LAC 102_Wkst'!$N$7:$N$2010,"P4")</f>
        <v>0</v>
      </c>
      <c r="BD32" s="404">
        <f>SUMIFS('LAC 102_Wkst'!$Q$7:$Q$2010,'LAC 102_Wkst'!$E$7:$E$2010,$C32,'LAC 102_Wkst'!$G$7:$G$2010,$D32,'LAC 102_Wkst'!$L$7:$L$2010,"13",'LAC 102_Wkst'!$N$7:$N$2010,"P5")</f>
        <v>0</v>
      </c>
      <c r="BE32" s="411">
        <f>SUMIFS('LAC 102_Wkst'!$AE$7:$AE$2010,'LAC 102_Wkst'!$E$7:$E$2010,$C32,'LAC 102_Wkst'!$G$7:$G$2010,$D32,'LAC 102_Wkst'!$L$7:$L$2010,"13",'LAC 102_Wkst'!$N$7:$N$2010,"P5")</f>
        <v>0</v>
      </c>
      <c r="BF32" s="407">
        <f t="shared" si="0"/>
        <v>4730</v>
      </c>
    </row>
    <row r="33" spans="1:58" x14ac:dyDescent="0.2">
      <c r="A33" s="401">
        <v>14</v>
      </c>
      <c r="B33" s="1236" t="s">
        <v>738</v>
      </c>
      <c r="C33" s="1235" t="s">
        <v>104</v>
      </c>
      <c r="D33" s="1237" t="s">
        <v>77</v>
      </c>
      <c r="E33" s="1222">
        <f>IF(CONCATENATE(C33,D33)&gt;"6069",1,SUMIFS('LAC 102_Wkst'!$Q$7:$Q$2010,'LAC 102_Wkst'!$E$7:$E$2010,Schedule_B!$C33,'LAC 102_Wkst'!$G$7:$G$2010,Schedule_B!$D33))</f>
        <v>3879.1333333333341</v>
      </c>
      <c r="F33" s="408">
        <f>SUMIFS('LAC 102_Wkst'!$Q$7:$Q$2010,'LAC 102_Wkst'!$E$7:$E$2010,$C33,'LAC 102_Wkst'!$G$7:$G$2010,$D33,'LAC 102_Wkst'!$L$7:$L$2010,"01",'LAC 102_Wkst'!$N$7:$N$2010,"P1")+SUMIFS('LAC 102_Wkst'!$Q$7:$Q$2010,'LAC 102_Wkst'!$E$7:$E$2010,$C33,'LAC 102_Wkst'!$G$7:$G$2010,$D33,'LAC 102_Wkst'!$L$7:$L$2010,"01",'LAC 102_Wkst'!$N$7:$N$2010,"P2")+SUMIFS('LAC 102_Wkst'!$Q$7:$Q$2010,'LAC 102_Wkst'!$E$7:$E$2010,$C33,'LAC 102_Wkst'!$G$7:$G$2010,$D33,'LAC 102_Wkst'!$L$7:$L$2010,"01",'LAC 102_Wkst'!$N$7:$N$2010,"P3")+SUMIFS('LAC 102_Wkst'!$Q$7:$Q$2010,'LAC 102_Wkst'!$E$7:$E$2010,$C33,'LAC 102_Wkst'!$G$7:$G$2010,$D33,'LAC 102_Wkst'!$L$7:$L$2010,"02",'LAC 102_Wkst'!$N$7:$N$2010,"P1")+SUMIFS('LAC 102_Wkst'!$Q$7:$Q$2010,'LAC 102_Wkst'!$E$7:$E$2010,$C33,'LAC 102_Wkst'!$G$7:$G$2010,$D33,'LAC 102_Wkst'!$L$7:$L$2010,"02",'LAC 102_Wkst'!$N$7:$N$2010,"P2")+SUMIFS('LAC 102_Wkst'!$Q$7:$Q$2010,'LAC 102_Wkst'!$E$7:$E$2010,$C33,'LAC 102_Wkst'!$G$7:$G$2010,$D33,'LAC 102_Wkst'!$L$7:$L$2010,"02",'LAC 102_Wkst'!$N$7:$N$2010,"P3")</f>
        <v>0</v>
      </c>
      <c r="G33" s="409">
        <f>SUMIFS('LAC 102_Wkst'!$AE$7:$AE$2010,'LAC 102_Wkst'!$E$7:$E$2010,$C33,'LAC 102_Wkst'!$G$7:$G$2010,$D33,'LAC 102_Wkst'!$L$7:$L$2010,"01",'LAC 102_Wkst'!$N$7:$N$2010,"P1")+SUMIFS('LAC 102_Wkst'!$AE$7:$AE$2010,'LAC 102_Wkst'!$E$7:$E$2010,$C33,'LAC 102_Wkst'!$G$7:$G$2010,$D33,'LAC 102_Wkst'!$L$7:$L$2010,"01",'LAC 102_Wkst'!$N$7:$N$2010,"P2")+SUMIFS('LAC 102_Wkst'!$AE$7:$AE$2010,'LAC 102_Wkst'!$E$7:$E$2010,$C33,'LAC 102_Wkst'!$G$7:$G$2010,$D33,'LAC 102_Wkst'!$L$7:$L$2010,"01",'LAC 102_Wkst'!$N$7:$N$2010,"P3")+SUMIFS('LAC 102_Wkst'!$AE$7:$AE$2010,'LAC 102_Wkst'!$E$7:$E$2010,$C33,'LAC 102_Wkst'!$G$7:$G$2010,$D33,'LAC 102_Wkst'!$L$7:$L$2010,"02",'LAC 102_Wkst'!$N$7:$N$2010,"P1")+SUMIFS('LAC 102_Wkst'!$AE$7:$AE$2010,'LAC 102_Wkst'!$E$7:$E$2010,$C33,'LAC 102_Wkst'!$G$7:$G$2010,$D33,'LAC 102_Wkst'!$L$7:$L$2010,"02",'LAC 102_Wkst'!$N$7:$N$2010,"P2")+SUMIFS('LAC 102_Wkst'!$AE$7:$AE$2010,'LAC 102_Wkst'!$E$7:$E$2010,$C33,'LAC 102_Wkst'!$G$7:$G$2010,$D33,'LAC 102_Wkst'!$L$7:$L$2010,"02",'LAC 102_Wkst'!$N$7:$N$2010,"P3")</f>
        <v>0</v>
      </c>
      <c r="H33" s="410">
        <f>SUMIFS('LAC 102_Wkst'!$Q$7:$Q$2010,'LAC 102_Wkst'!$E$7:$E$2010,$C33,'LAC 102_Wkst'!$G$7:$G$2010,$D33,'LAC 102_Wkst'!$L$7:$L$2010,"01",'LAC 102_Wkst'!$N$7:$N$2010,"P4")+SUMIFS('LAC 102_Wkst'!$Q$7:$Q$2010,'LAC 102_Wkst'!$E$7:$E$2010,$C33,'LAC 102_Wkst'!$G$7:$G$2010,$D33,'LAC 102_Wkst'!$L$7:$L$2010,"02",'LAC 102_Wkst'!$N$7:$N$2010,"P4")</f>
        <v>0</v>
      </c>
      <c r="I33" s="411">
        <f>SUMIFS('LAC 102_Wkst'!$AE$7:$AE$2010,'LAC 102_Wkst'!$E$7:$E$2010,$C33,'LAC 102_Wkst'!$G$7:$G$2010,$D33,'LAC 102_Wkst'!$L$7:$L$2010,"01",'LAC 102_Wkst'!$N$7:$N$2010,"P4")+SUMIFS('LAC 102_Wkst'!$AE$7:$AE$2010,'LAC 102_Wkst'!$E$7:$E$2010,$C33,'LAC 102_Wkst'!$G$7:$G$2010,$D33,'LAC 102_Wkst'!$L$7:$L$2010,"02",'LAC 102_Wkst'!$N$7:$N$2010,"P4")</f>
        <v>0</v>
      </c>
      <c r="J33" s="410">
        <f>SUMIFS('LAC 102_Wkst'!$Q$7:$Q$2010,'LAC 102_Wkst'!$E$7:$E$2010,$C33,'LAC 102_Wkst'!$G$7:$G$2010,$D33,'LAC 102_Wkst'!$L$7:$L$2010,"01",'LAC 102_Wkst'!$N$7:$N$2010,"P5")+SUMIFS('LAC 102_Wkst'!$Q$7:$Q$2010,'LAC 102_Wkst'!$E$7:$E$2010,$C33,'LAC 102_Wkst'!$G$7:$G$2010,$D33,'LAC 102_Wkst'!$L$7:$L$2010,"02",'LAC 102_Wkst'!$N$7:$N$2010,"P5")</f>
        <v>0</v>
      </c>
      <c r="K33" s="411">
        <f>SUMIFS('LAC 102_Wkst'!$AE$7:$AE$2010,'LAC 102_Wkst'!$E$7:$E$2010,$C33,'LAC 102_Wkst'!$G$7:$G$2010,$D33,'LAC 102_Wkst'!$L$7:$L$2010,"01",'LAC 102_Wkst'!$N$7:$N$2010,"P5")+SUMIFS('LAC 102_Wkst'!$AE$7:$AE$2010,'LAC 102_Wkst'!$E$7:$E$2010,$C33,'LAC 102_Wkst'!$G$7:$G$2010,$D33,'LAC 102_Wkst'!$L$7:$L$2010,"02",'LAC 102_Wkst'!$N$7:$N$2010,"P5")</f>
        <v>0</v>
      </c>
      <c r="L33" s="410">
        <f>SUMIFS('LAC 102_Wkst'!$Q$7:$Q$2010,'LAC 102_Wkst'!$E$7:$E$2010,$C33,'LAC 102_Wkst'!$G$7:$G$2010,$D33,'LAC 102_Wkst'!$L$7:$L$2010,"03",'LAC 102_Wkst'!$N$7:$N$2010,"P1")+SUMIFS('LAC 102_Wkst'!$Q$7:$Q$2010,'LAC 102_Wkst'!$E$7:$E$2010,$C33,'LAC 102_Wkst'!$G$7:$G$2010,$D33,'LAC 102_Wkst'!$L$7:$L$2010,"03",'LAC 102_Wkst'!$N$7:$N$2010,"P2")+SUMIFS('LAC 102_Wkst'!$Q$7:$Q$2010,'LAC 102_Wkst'!$E$7:$E$2010,$C33,'LAC 102_Wkst'!$G$7:$G$2010,$D33,'LAC 102_Wkst'!$L$7:$L$2010,"03",'LAC 102_Wkst'!$N$7:$N$2010,"P3")+SUMIFS('LAC 102_Wkst'!$Q$7:$Q$2010,'LAC 102_Wkst'!$E$7:$E$2010,$C33,'LAC 102_Wkst'!$G$7:$G$2010,$D33,'LAC 102_Wkst'!$L$7:$L$2010,"04",'LAC 102_Wkst'!$N$7:$N$2010,"P1")+SUMIFS('LAC 102_Wkst'!$Q$7:$Q$2010,'LAC 102_Wkst'!$E$7:$E$2010,$C33,'LAC 102_Wkst'!$G$7:$G$2010,$D33,'LAC 102_Wkst'!$L$7:$L$2010,"04",'LAC 102_Wkst'!$N$7:$N$2010,"P2")+SUMIFS('LAC 102_Wkst'!$Q$7:$Q$2010,'LAC 102_Wkst'!$E$7:$E$2010,$C33,'LAC 102_Wkst'!$G$7:$G$2010,$D33,'LAC 102_Wkst'!$L$7:$L$2010,"04",'LAC 102_Wkst'!$N$7:$N$2010,"P3")</f>
        <v>0</v>
      </c>
      <c r="M33" s="411">
        <f>SUMIFS('LAC 102_Wkst'!$AE$7:$AE$2010,'LAC 102_Wkst'!$E$7:$E$2010,$C33,'LAC 102_Wkst'!$G$7:$G$2010,$D33,'LAC 102_Wkst'!$L$7:$L$2010,"03",'LAC 102_Wkst'!$N$7:$N$2010,"P1")+SUMIFS('LAC 102_Wkst'!$AE$7:$AE$2010,'LAC 102_Wkst'!$E$7:$E$2010,$C33,'LAC 102_Wkst'!$G$7:$G$2010,$D33,'LAC 102_Wkst'!$L$7:$L$2010,"03",'LAC 102_Wkst'!$N$7:$N$2010,"P2")+SUMIFS('LAC 102_Wkst'!$AE$7:$AE$2010,'LAC 102_Wkst'!$E$7:$E$2010,$C33,'LAC 102_Wkst'!$G$7:$G$2010,$D33,'LAC 102_Wkst'!$L$7:$L$2010,"03",'LAC 102_Wkst'!$N$7:$N$2010,"P3")+SUMIFS('LAC 102_Wkst'!$AE$7:$AE$2010,'LAC 102_Wkst'!$E$7:$E$2010,$C33,'LAC 102_Wkst'!$G$7:$G$2010,$D33,'LAC 102_Wkst'!$L$7:$L$2010,"04",'LAC 102_Wkst'!$N$7:$N$2010,"P1")+SUMIFS('LAC 102_Wkst'!$AE$7:$AE$2010,'LAC 102_Wkst'!$E$7:$E$2010,$C33,'LAC 102_Wkst'!$G$7:$G$2010,$D33,'LAC 102_Wkst'!$L$7:$L$2010,"04",'LAC 102_Wkst'!$N$7:$N$2010,"P2")+SUMIFS('LAC 102_Wkst'!$AE$7:$AE$2010,'LAC 102_Wkst'!$E$7:$E$2010,$C33,'LAC 102_Wkst'!$G$7:$G$2010,$D33,'LAC 102_Wkst'!$L$7:$L$2010,"04",'LAC 102_Wkst'!$N$7:$N$2010,"P3")</f>
        <v>0</v>
      </c>
      <c r="N33" s="410">
        <f>SUMIFS('LAC 102_Wkst'!$Q$7:$Q$2010,'LAC 102_Wkst'!$E$7:$E$2010,$C33,'LAC 102_Wkst'!$G$7:$G$2010,$D33,'LAC 102_Wkst'!$L$7:$L$2010,"03",'LAC 102_Wkst'!$N$7:$N$2010,"P4")+SUMIFS('LAC 102_Wkst'!$Q$7:$Q$2010,'LAC 102_Wkst'!$E$7:$E$2010,$C33,'LAC 102_Wkst'!$G$7:$G$2010,$D33,'LAC 102_Wkst'!$L$7:$L$2010,"04",'LAC 102_Wkst'!$N$7:$N$2010,"P4")</f>
        <v>0</v>
      </c>
      <c r="O33" s="411">
        <f>SUMIFS('LAC 102_Wkst'!$AE$7:$AE$2010,'LAC 102_Wkst'!$E$7:$E$2010,$C33,'LAC 102_Wkst'!$G$7:$G$2010,$D33,'LAC 102_Wkst'!$L$7:$L$2010,"03",'LAC 102_Wkst'!$N$7:$N$2010,"P4")+SUMIFS('LAC 102_Wkst'!$AE$7:$AE$2010,'LAC 102_Wkst'!$E$7:$E$2010,$C33,'LAC 102_Wkst'!$G$7:$G$2010,$D33,'LAC 102_Wkst'!$L$7:$L$2010,"04",'LAC 102_Wkst'!$N$7:$N$2010,"P4")</f>
        <v>0</v>
      </c>
      <c r="P33" s="404">
        <f>SUMIFS('LAC 102_Wkst'!$Q$7:$Q$2010,'LAC 102_Wkst'!$E$7:$E$2010,$C33,'LAC 102_Wkst'!$G$7:$G$2010,$D33,'LAC 102_Wkst'!$L$7:$L$2010,"03",'LAC 102_Wkst'!$N$7:$N$2010,"P5")+SUMIFS('LAC 102_Wkst'!$Q$7:$Q$2010,'LAC 102_Wkst'!$E$7:$E$2010,$C33,'LAC 102_Wkst'!$G$7:$G$2010,$D33,'LAC 102_Wkst'!$L$7:$L$2010,"04",'LAC 102_Wkst'!$N$7:$N$2010,"P5")</f>
        <v>0</v>
      </c>
      <c r="Q33" s="411">
        <f>SUMIFS('LAC 102_Wkst'!$AE$7:$AE$2010,'LAC 102_Wkst'!$E$7:$E$2010,$C33,'LAC 102_Wkst'!$G$7:$G$2010,$D33,'LAC 102_Wkst'!$L$7:$L$2010,"03",'LAC 102_Wkst'!$N$7:$N$2010,"P5")+SUMIFS('LAC 102_Wkst'!$AE$7:$AE$2010,'LAC 102_Wkst'!$E$7:$E$2010,$C33,'LAC 102_Wkst'!$G$7:$G$2010,$D33,'LAC 102_Wkst'!$L$7:$L$2010,"04",'LAC 102_Wkst'!$N$7:$N$2010,"P5")</f>
        <v>0</v>
      </c>
      <c r="R33" s="412">
        <f>SUMIFS('LAC 102_Wkst'!$Q$7:$Q$2010,'LAC 102_Wkst'!$E$7:$E$2010,$C33,'LAC 102_Wkst'!$G$7:$G$2010,$D33,'LAC 102_Wkst'!$L$7:$L$2010,"05",'LAC 102_Wkst'!$N$7:$N$2010,"P1")+SUMIFS('LAC 102_Wkst'!$Q$7:$Q$2010,'LAC 102_Wkst'!$E$7:$E$2010,$C33,'LAC 102_Wkst'!$G$7:$G$2010,$D33,'LAC 102_Wkst'!$L$7:$L$2010,"06",'LAC 102_Wkst'!$N$7:$N$2010,"P1")</f>
        <v>0</v>
      </c>
      <c r="S33" s="411">
        <f>SUMIFS('LAC 102_Wkst'!$AE$7:$AE$2010,'LAC 102_Wkst'!$E$7:$E$2010,$C33,'LAC 102_Wkst'!$G$7:$G$2010,$D33,'LAC 102_Wkst'!$L$7:$L$2010,"05",'LAC 102_Wkst'!$N$7:$N$2010,"P1")+SUMIFS('LAC 102_Wkst'!$AE$7:$AE$2010,'LAC 102_Wkst'!$E$7:$E$2010,$C33,'LAC 102_Wkst'!$G$7:$G$2010,$D33,'LAC 102_Wkst'!$L$7:$L$2010,"06",'LAC 102_Wkst'!$N$7:$N$2010,"P1")</f>
        <v>0</v>
      </c>
      <c r="T33" s="410">
        <f>SUMIFS('LAC 102_Wkst'!$Q$7:$Q$2010,'LAC 102_Wkst'!$E$7:$E$2010,$C33,'LAC 102_Wkst'!$G$7:$G$2010,$D33,'LAC 102_Wkst'!$L$7:$L$2010,"05",'LAC 102_Wkst'!$N$7:$N$2010,"P2")+SUMIFS('LAC 102_Wkst'!$Q$7:$Q$2010,'LAC 102_Wkst'!$E$7:$E$2010,$C33,'LAC 102_Wkst'!$G$7:$G$2010,$D33,'LAC 102_Wkst'!$L$7:$L$2010,"05",'LAC 102_Wkst'!$N$7:$N$2010,"P3")+SUMIFS('LAC 102_Wkst'!$Q$7:$Q$2010,'LAC 102_Wkst'!$E$7:$E$2010,$C33,'LAC 102_Wkst'!$G$7:$G$2010,$D33,'LAC 102_Wkst'!$L$7:$L$2010,"06",'LAC 102_Wkst'!$N$7:$N$2010,"P2")+SUMIFS('LAC 102_Wkst'!$Q$7:$Q$2010,'LAC 102_Wkst'!$E$7:$E$2010,$C33,'LAC 102_Wkst'!$G$7:$G$2010,$D33,'LAC 102_Wkst'!$L$7:$L$2010,"06",'LAC 102_Wkst'!$N$7:$N$2010,"P3")</f>
        <v>0</v>
      </c>
      <c r="U33" s="411">
        <f>SUMIFS('LAC 102_Wkst'!$AE$7:$AE$2010,'LAC 102_Wkst'!$E$7:$E$2010,$C33,'LAC 102_Wkst'!$G$7:$G$2010,$D33,'LAC 102_Wkst'!$L$7:$L$2010,"05",'LAC 102_Wkst'!$N$7:$N$2010,"P2")+SUMIFS('LAC 102_Wkst'!$AE$7:$AE$2010,'LAC 102_Wkst'!$E$7:$E$2010,$C33,'LAC 102_Wkst'!$G$7:$G$2010,$D33,'LAC 102_Wkst'!$L$7:$L$2010,"06",'LAC 102_Wkst'!$N$7:$N$2010,"P3")+SUMIFS('LAC 102_Wkst'!$AE$7:$AE$2010,'LAC 102_Wkst'!$E$7:$E$2010,$C33,'LAC 102_Wkst'!$G$7:$G$2010,$D33,'LAC 102_Wkst'!$L$7:$L$2010,"05",'LAC 102_Wkst'!$N$7:$N$2010,"P2")+SUMIFS('LAC 102_Wkst'!$AE$7:$AE$2010,'LAC 102_Wkst'!$E$7:$E$2010,$C33,'LAC 102_Wkst'!$G$7:$G$2010,$D33,'LAC 102_Wkst'!$L$7:$L$2010,"06",'LAC 102_Wkst'!$N$7:$N$2010,"P3")</f>
        <v>0</v>
      </c>
      <c r="V33" s="410">
        <f>SUMIFS('LAC 102_Wkst'!$Q$7:$Q$2010,'LAC 102_Wkst'!$E$7:$E$2010,$C33,'LAC 102_Wkst'!$G$7:$G$2010,$D33,'LAC 102_Wkst'!$L$7:$L$2010,"05",'LAC 102_Wkst'!$N$7:$N$2010,"P4")+SUMIFS('LAC 102_Wkst'!$Q$7:$Q$2010,'LAC 102_Wkst'!$E$7:$E$2010,$C33,'LAC 102_Wkst'!$G$7:$G$2010,$D33,'LAC 102_Wkst'!$L$7:$L$2010,"06",'LAC 102_Wkst'!$N$7:$N$2010,"P4")</f>
        <v>0</v>
      </c>
      <c r="W33" s="411">
        <f>SUMIFS('LAC 102_Wkst'!$AE$7:$AE$2010,'LAC 102_Wkst'!$E$7:$E$2010,$C33,'LAC 102_Wkst'!$G$7:$G$2010,$D33,'LAC 102_Wkst'!$L$7:$L$2010,"05",'LAC 102_Wkst'!$N$7:$N$2010,"P4")+SUMIFS('LAC 102_Wkst'!$AE$7:$AE$2010,'LAC 102_Wkst'!$E$7:$E$2010,$C33,'LAC 102_Wkst'!$G$7:$G$2010,$D33,'LAC 102_Wkst'!$L$7:$L$2010,"06",'LAC 102_Wkst'!$N$7:$N$2010,"P4")</f>
        <v>0</v>
      </c>
      <c r="X33" s="404">
        <f>SUMIFS('LAC 102_Wkst'!$Q$7:$Q$2010,'LAC 102_Wkst'!$E$7:$E$2010,$C33,'LAC 102_Wkst'!$G$7:$G$2010,$D33,'LAC 102_Wkst'!$L$7:$L$2010,"05",'LAC 102_Wkst'!$N$7:$N$2010,"P5")+SUMIFS('LAC 102_Wkst'!$Q$7:$Q$2010,'LAC 102_Wkst'!$E$7:$E$2010,$C33,'LAC 102_Wkst'!$G$7:$G$2010,$D33,'LAC 102_Wkst'!$L$7:$L$2010,"06",'LAC 102_Wkst'!$N$7:$N$2010,"P5")</f>
        <v>0</v>
      </c>
      <c r="Y33" s="411">
        <f>SUMIFS('LAC 102_Wkst'!$AE$7:$AE$2010,'LAC 102_Wkst'!$E$7:$E$2010,$C33,'LAC 102_Wkst'!$G$7:$G$2010,$D33,'LAC 102_Wkst'!$L$7:$L$2010,"05",'LAC 102_Wkst'!$N$7:$N$2010,"P5")+SUMIFS('LAC 102_Wkst'!$AE$7:$AE$2010,'LAC 102_Wkst'!$E$7:$E$2010,$C33,'LAC 102_Wkst'!$G$7:$G$2010,$D33,'LAC 102_Wkst'!$L$7:$L$2010,"06",'LAC 102_Wkst'!$N$7:$N$2010,"P5")</f>
        <v>0</v>
      </c>
      <c r="Z33" s="410">
        <f>SUMIFS('LAC 102_Wkst'!$Q$7:$Q$2010,'LAC 102_Wkst'!$E$7:$E$2010,$C33,'LAC 102_Wkst'!$G$7:$G$2010,$D33,'LAC 102_Wkst'!$L$7:$L$2010,"07",'LAC 102_Wkst'!$N$7:$N$2010,"P1")+SUMIFS('LAC 102_Wkst'!$Q$7:$Q$2010,'LAC 102_Wkst'!$E$7:$E$2010,$C33,'LAC 102_Wkst'!$G$7:$G$2010,$D33,'LAC 102_Wkst'!$L$7:$L$2010,"07",'LAC 102_Wkst'!$N$7:$N$2010,"P2")+SUMIFS('LAC 102_Wkst'!$Q$7:$Q$2010,'LAC 102_Wkst'!$E$7:$E$2010,$C33,'LAC 102_Wkst'!$G$7:$G$2010,$D33,'LAC 102_Wkst'!$L$7:$L$2010,"07",'LAC 102_Wkst'!$N$7:$N$2010,"P3")</f>
        <v>0</v>
      </c>
      <c r="AA33" s="411">
        <f>SUMIFS('LAC 102_Wkst'!$AE$7:$AE$2010,'LAC 102_Wkst'!$E$7:$E$2010,$C33,'LAC 102_Wkst'!$G$7:$G$2010,$D33,'LAC 102_Wkst'!$L$7:$L$2010,"07",'LAC 102_Wkst'!$N$7:$N$2010,"P1")+SUMIFS('LAC 102_Wkst'!$AE$7:$AE$2010,'LAC 102_Wkst'!$E$7:$E$2010,$C33,'LAC 102_Wkst'!$G$7:$G$2010,$D33,'LAC 102_Wkst'!$L$7:$L$2010,"07",'LAC 102_Wkst'!$N$7:$N$2010,"P2")+SUMIFS('LAC 102_Wkst'!$AE$7:$AE$2010,'LAC 102_Wkst'!$E$7:$E$2010,$C33,'LAC 102_Wkst'!$G$7:$G$2010,$D33,'LAC 102_Wkst'!$L$7:$L$2010,"07",'LAC 102_Wkst'!$N$7:$N$2010,"P3")</f>
        <v>0</v>
      </c>
      <c r="AB33" s="410">
        <f>SUMIFS('LAC 102_Wkst'!$Q$7:$Q$2010,'LAC 102_Wkst'!$E$7:$E$2010,$C33,'LAC 102_Wkst'!$G$7:$G$2010,$D33,'LAC 102_Wkst'!$L$7:$L$2010,"07",'LAC 102_Wkst'!$N$7:$N$2010,"P4")</f>
        <v>0</v>
      </c>
      <c r="AC33" s="411">
        <f>SUMIFS('LAC 102_Wkst'!$AE$7:$AE$2010,'LAC 102_Wkst'!$E$7:$E$2010,$C33,'LAC 102_Wkst'!$G$7:$G$2010,$D33,'LAC 102_Wkst'!$L$7:$L$2010,"07",'LAC 102_Wkst'!$N$7:$N$2010,"P4")</f>
        <v>0</v>
      </c>
      <c r="AD33" s="404">
        <f>SUMIFS('LAC 102_Wkst'!$Q$7:$Q$2010,'LAC 102_Wkst'!$E$7:$E$2010,$C33,'LAC 102_Wkst'!$G$7:$G$2010,$D33,'LAC 102_Wkst'!$L$7:$L$2010,"07",'LAC 102_Wkst'!$N$7:$N$2010,"P5")</f>
        <v>0</v>
      </c>
      <c r="AE33" s="411">
        <f>SUMIFS('LAC 102_Wkst'!$AE$7:$AE$2010,'LAC 102_Wkst'!$E$7:$E$2010,$C33,'LAC 102_Wkst'!$G$7:$G$2010,$D33,'LAC 102_Wkst'!$L$7:$L$2010,"07",'LAC 102_Wkst'!$N$7:$N$2010,"P5")</f>
        <v>0</v>
      </c>
      <c r="AF33" s="410">
        <f>SUMIFS('LAC 102_Wkst'!$Q$7:$Q$2010,'LAC 102_Wkst'!$E$7:$E$2010,$C33,'LAC 102_Wkst'!$G$7:$G$2010,$D33,'LAC 102_Wkst'!$L$7:$L$2010,"08",'LAC 102_Wkst'!$N$7:$N$2010,"P1")+SUMIFS('LAC 102_Wkst'!$Q$7:$Q$2010,'LAC 102_Wkst'!$E$7:$E$2010,$C33,'LAC 102_Wkst'!$G$7:$G$2010,$D33,'LAC 102_Wkst'!$L$7:$L$2010,"08",'LAC 102_Wkst'!$N$7:$N$2010,"P2")+SUMIFS('LAC 102_Wkst'!$Q$7:$Q$2010,'LAC 102_Wkst'!$E$7:$E$2010,$C33,'LAC 102_Wkst'!$G$7:$G$2010,$D33,'LAC 102_Wkst'!$L$7:$L$2010,"08",'LAC 102_Wkst'!$N$7:$N$2010,"P3")</f>
        <v>0</v>
      </c>
      <c r="AG33" s="411">
        <f>SUMIFS('LAC 102_Wkst'!$AE$7:$AE$2010,'LAC 102_Wkst'!$E$7:$E$2010,$C33,'LAC 102_Wkst'!$G$7:$G$2010,$D33,'LAC 102_Wkst'!$L$7:$L$2010,"08",'LAC 102_Wkst'!$N$7:$N$2010,"P1")+SUMIFS('LAC 102_Wkst'!$AE$7:$AE$2010,'LAC 102_Wkst'!$E$7:$E$2010,$C33,'LAC 102_Wkst'!$G$7:$G$2010,$D33,'LAC 102_Wkst'!$L$7:$L$2010,"08",'LAC 102_Wkst'!$N$7:$N$2010,"P2")+SUMIFS('LAC 102_Wkst'!$AE$7:$AE$2010,'LAC 102_Wkst'!$E$7:$E$2010,$C33,'LAC 102_Wkst'!$G$7:$G$2010,$D33,'LAC 102_Wkst'!$L$7:$L$2010,"08",'LAC 102_Wkst'!$N$7:$N$2010,"P3")</f>
        <v>0</v>
      </c>
      <c r="AH33" s="410">
        <f>SUMIFS('LAC 102_Wkst'!$Q$7:$Q$2010,'LAC 102_Wkst'!$E$7:$E$2010,$C33,'LAC 102_Wkst'!$G$7:$G$2010,$D33,'LAC 102_Wkst'!$L$7:$L$2010,"08",'LAC 102_Wkst'!$N$7:$N$2010,"P4")</f>
        <v>0</v>
      </c>
      <c r="AI33" s="411">
        <f>SUMIFS('LAC 102_Wkst'!$AE$7:$AE$2010,'LAC 102_Wkst'!$E$7:$E$2010,$C33,'LAC 102_Wkst'!$G$7:$G$2010,$D33,'LAC 102_Wkst'!$L$7:$L$2010,"08",'LAC 102_Wkst'!$N$7:$N$2010,"P4")</f>
        <v>0</v>
      </c>
      <c r="AJ33" s="404">
        <f>SUMIFS('LAC 102_Wkst'!$Q$7:$Q$2010,'LAC 102_Wkst'!$E$7:$E$2010,$C33,'LAC 102_Wkst'!$G$7:$G$2010,$D33,'LAC 102_Wkst'!$L$7:$L$2010,"08",'LAC 102_Wkst'!$N$7:$N$2010,"P5")</f>
        <v>0</v>
      </c>
      <c r="AK33" s="411">
        <f>SUMIFS('LAC 102_Wkst'!$AE$7:$AE$2010,'LAC 102_Wkst'!$E$7:$E$2010,$C33,'LAC 102_Wkst'!$G$7:$G$2010,$D33,'LAC 102_Wkst'!$L$7:$L$2010,"08",'LAC 102_Wkst'!$N$7:$N$2010,"P5")</f>
        <v>0</v>
      </c>
      <c r="AL33" s="410">
        <f>SUMIFS('LAC 102_Wkst'!$Q$7:$Q$2010,'LAC 102_Wkst'!$E$7:$E$2010,$C33,'LAC 102_Wkst'!$G$7:$G$2010,$D33,'LAC 102_Wkst'!$L$7:$L$2010,"09",'LAC 102_Wkst'!$N$7:$N$2010,"P1")+SUMIFS('LAC 102_Wkst'!$Q$7:$Q$2010,'LAC 102_Wkst'!$E$7:$E$2010,$C33,'LAC 102_Wkst'!$G$7:$G$2010,$D33,'LAC 102_Wkst'!$L$7:$L$2010,"09",'LAC 102_Wkst'!$N$7:$N$2010,"P2")+SUMIFS('LAC 102_Wkst'!$Q$7:$Q$2010,'LAC 102_Wkst'!$E$7:$E$2010,$C33,'LAC 102_Wkst'!$G$7:$G$2010,$D33,'LAC 102_Wkst'!$L$7:$L$2010,"09",'LAC 102_Wkst'!$N$7:$N$2010,"P3")+SUMIFS('LAC 102_Wkst'!$Q$7:$Q$2010,'LAC 102_Wkst'!$E$7:$E$2010,$C33,'LAC 102_Wkst'!$G$7:$G$2010,$D33,'LAC 102_Wkst'!$L$7:$L$2010,"09",'LAC 102_Wkst'!$N$7:$N$2010,"P4")</f>
        <v>0</v>
      </c>
      <c r="AM33" s="411">
        <f>SUMIFS('LAC 102_Wkst'!$AE$7:$AE$2010,'LAC 102_Wkst'!$E$7:$E$2010,$C33,'LAC 102_Wkst'!$G$7:$G$2010,$D33,'LAC 102_Wkst'!$L$7:$L$2010,"09",'LAC 102_Wkst'!$N$7:$N$2010,"P1")+SUMIFS('LAC 102_Wkst'!$AE$7:$AE$2010,'LAC 102_Wkst'!$E$7:$E$2010,$C33,'LAC 102_Wkst'!$G$7:$G$2010,$D33,'LAC 102_Wkst'!$L$7:$L$2010,"09",'LAC 102_Wkst'!$N$7:$N$2010,"P2")+SUMIFS('LAC 102_Wkst'!$AE$7:$AE$2010,'LAC 102_Wkst'!$E$7:$E$2010,$C33,'LAC 102_Wkst'!$G$7:$G$2010,$D33,'LAC 102_Wkst'!$L$7:$L$2010,"09",'LAC 102_Wkst'!$N$7:$N$2010,"P3")+SUMIFS('LAC 102_Wkst'!$AE$7:$AE$2010,'LAC 102_Wkst'!$E$7:$E$2010,$C33,'LAC 102_Wkst'!$G$7:$G$2010,$D33,'LAC 102_Wkst'!$L$7:$L$2010,"09",'LAC 102_Wkst'!$N$7:$N$2010,"P4")</f>
        <v>0</v>
      </c>
      <c r="AN33" s="410">
        <f>SUMIFS('LAC 102_Wkst'!$Q$7:$Q$2010,'LAC 102_Wkst'!$E$7:$E$2010,$C33,'LAC 102_Wkst'!$G$7:$G$2010,$D33,'LAC 102_Wkst'!$L$7:$L$2010,"09",'LAC 102_Wkst'!$N$7:$N$2010,"P5")</f>
        <v>0</v>
      </c>
      <c r="AO33" s="411">
        <f>SUMIFS('LAC 102_Wkst'!$AE$7:$AE$2010,'LAC 102_Wkst'!$E$7:$E$2010,$C33,'LAC 102_Wkst'!$G$7:$G$2010,$D33,'LAC 102_Wkst'!$L$7:$L$2010,"09",'LAC 102_Wkst'!$N$7:$N$2010,"P5")</f>
        <v>0</v>
      </c>
      <c r="AP33" s="404">
        <f>SUMIFS('LAC 102_Wkst'!$Q$7:$Q$2010,'LAC 102_Wkst'!$E$7:$E$2010,$C33,'LAC 102_Wkst'!$G$7:$G$2010,$D33,'LAC 102_Wkst'!$L$7:$L$2010,"10",'LAC 102_Wkst'!$N$7:$N$2010,"P1")+SUMIFS('LAC 102_Wkst'!$Q$7:$Q$2010,'LAC 102_Wkst'!$E$7:$E$2010,$C33,'LAC 102_Wkst'!$G$7:$G$2010,$D33,'LAC 102_Wkst'!$L$7:$L$2010,"10",'LAC 102_Wkst'!$N$7:$N$2010,"P2")+SUMIFS('LAC 102_Wkst'!$Q$7:$Q$2010,'LAC 102_Wkst'!$E$7:$E$2010,$C33,'LAC 102_Wkst'!$G$7:$G$2010,$D33,'LAC 102_Wkst'!$L$7:$L$2010,"10",'LAC 102_Wkst'!$N$7:$N$2010,"P3")+SUMIFS('LAC 102_Wkst'!$Q$7:$Q$2010,'LAC 102_Wkst'!$E$7:$E$2010,$C33,'LAC 102_Wkst'!$G$7:$G$2010,$D33,'LAC 102_Wkst'!$L$7:$L$2010,"10",'LAC 102_Wkst'!$N$7:$N$2010,"P4")</f>
        <v>0</v>
      </c>
      <c r="AQ33" s="411">
        <f>SUMIFS('LAC 102_Wkst'!$AE$7:$AE$2010,'LAC 102_Wkst'!$E$7:$E$2010,$C33,'LAC 102_Wkst'!$G$7:$G$2010,$D33,'LAC 102_Wkst'!$L$7:$L$2010,"10",'LAC 102_Wkst'!$N$7:$N$2010,"P1")+SUMIFS('LAC 102_Wkst'!$AE$7:$AE$2010,'LAC 102_Wkst'!$E$7:$E$2010,$C33,'LAC 102_Wkst'!$G$7:$G$2010,$D33,'LAC 102_Wkst'!$L$7:$L$2010,"10",'LAC 102_Wkst'!$N$7:$N$2010,"P2")+SUMIFS('LAC 102_Wkst'!$AE$7:$AE$2010,'LAC 102_Wkst'!$E$7:$E$2010,$C33,'LAC 102_Wkst'!$G$7:$G$2010,$D33,'LAC 102_Wkst'!$L$7:$L$2010,"10",'LAC 102_Wkst'!$N$7:$N$2010,"P3")+SUMIFS('LAC 102_Wkst'!$AE$7:$AE$2010,'LAC 102_Wkst'!$E$7:$E$2010,$C33,'LAC 102_Wkst'!$G$7:$G$2010,$D33,'LAC 102_Wkst'!$L$7:$L$2010,"10",'LAC 102_Wkst'!$N$7:$N$2010,"P4")</f>
        <v>0</v>
      </c>
      <c r="AR33" s="410">
        <f>SUMIFS('LAC 102_Wkst'!$Q$7:$Q$2010,'LAC 102_Wkst'!$E$7:$E$2010,$C33,'LAC 102_Wkst'!$G$7:$G$2010,$D33,'LAC 102_Wkst'!$L$7:$L$2010,"10",'LAC 102_Wkst'!$N$7:$N$2010,"P5")</f>
        <v>0</v>
      </c>
      <c r="AS33" s="411">
        <f>SUMIFS('LAC 102_Wkst'!$AE$7:$AE$2010,'LAC 102_Wkst'!$E$7:$E$2010,$C33,'LAC 102_Wkst'!$G$7:$G$2010,$D33,'LAC 102_Wkst'!$L$7:$L$2010,"10",'LAC 102_Wkst'!$N$7:$N$2010,"P5")</f>
        <v>0</v>
      </c>
      <c r="AT33" s="410">
        <f>SUMIFS('LAC 102_Wkst'!$Q$7:$Q$2010,'LAC 102_Wkst'!$E$7:$E$2010,$C33,'LAC 102_Wkst'!$G$7:$G$2010,$D33,'LAC 102_Wkst'!$L$7:$L$2010,"11",'LAC 102_Wkst'!$N$7:$N$2010,"P1")+SUMIFS('LAC 102_Wkst'!$Q$7:$Q$2010,'LAC 102_Wkst'!$E$7:$E$2010,$C33,'LAC 102_Wkst'!$G$7:$G$2010,$D33,'LAC 102_Wkst'!$L$7:$L$2010,"12",'LAC 102_Wkst'!$N$7:$N$2010,"P1")</f>
        <v>0</v>
      </c>
      <c r="AU33" s="411">
        <f>SUMIFS('LAC 102_Wkst'!$AE$7:$AE$2010,'LAC 102_Wkst'!$E$7:$E$2010,$C33,'LAC 102_Wkst'!$G$7:$G$2010,$D33,'LAC 102_Wkst'!$L$7:$L$2010,"11",'LAC 102_Wkst'!$N$7:$N$2010,"P1")+SUMIFS('LAC 102_Wkst'!$AE$7:$AE$2010,'LAC 102_Wkst'!$E$7:$E$2010,$C33,'LAC 102_Wkst'!$G$7:$G$2010,$D33,'LAC 102_Wkst'!$L$7:$L$2010,"12",'LAC 102_Wkst'!$N$7:$N$2010,"P1")</f>
        <v>0</v>
      </c>
      <c r="AV33" s="404">
        <f>SUMIFS('LAC 102_Wkst'!$Q$7:$Q$2010,'LAC 102_Wkst'!$E$7:$E$2010,$C33,'LAC 102_Wkst'!$G$7:$G$2010,$D33,'LAC 102_Wkst'!$L$7:$L$2010,"11",'LAC 102_Wkst'!$N$7:$N$2010,"P2")+SUMIFS('LAC 102_Wkst'!$Q$7:$Q$2010,'LAC 102_Wkst'!$E$7:$E$2010,$C33,'LAC 102_Wkst'!$G$7:$G$2010,$D33,'LAC 102_Wkst'!$L$7:$L$2010,"12",'LAC 102_Wkst'!$N$7:$N$2010,"P3")+SUMIFS('LAC 102_Wkst'!$Q$7:$Q$2010,'LAC 102_Wkst'!$E$7:$E$2010,$C33,'LAC 102_Wkst'!$G$7:$G$2010,$D33,'LAC 102_Wkst'!$L$7:$L$2010,"11",'LAC 102_Wkst'!$N$7:$N$2010,"P2")+SUMIFS('LAC 102_Wkst'!$Q$7:$Q$2010,'LAC 102_Wkst'!$E$7:$E$2010,$C33,'LAC 102_Wkst'!$G$7:$G$2010,$D33,'LAC 102_Wkst'!$L$7:$L$2010,"12",'LAC 102_Wkst'!$N$7:$N$2010,"P3")</f>
        <v>0</v>
      </c>
      <c r="AW33" s="411">
        <f>SUMIFS('LAC 102_Wkst'!$AE$7:$AE$2010,'LAC 102_Wkst'!$E$7:$E$2010,$C33,'LAC 102_Wkst'!$G$7:$G$2010,$D33,'LAC 102_Wkst'!$L$7:$L$2010,"11",'LAC 102_Wkst'!$N$7:$N$2010,"P2")+SUMIFS('LAC 102_Wkst'!$AE$7:$AE$2010,'LAC 102_Wkst'!$E$7:$E$2010,$C33,'LAC 102_Wkst'!$G$7:$G$2010,$D33,'LAC 102_Wkst'!$L$7:$L$2010,"12",'LAC 102_Wkst'!$N$7:$N$2010,"P3")+SUMIFS('LAC 102_Wkst'!$AE$7:$AE$2010,'LAC 102_Wkst'!$E$7:$E$2010,$C33,'LAC 102_Wkst'!$G$7:$G$2010,$D33,'LAC 102_Wkst'!$L$7:$L$2010,"11",'LAC 102_Wkst'!$N$7:$N$2010,"P2")+SUMIFS('LAC 102_Wkst'!$AE$7:$AE$2010,'LAC 102_Wkst'!$E$7:$E$2010,$C33,'LAC 102_Wkst'!$G$7:$G$2010,$D33,'LAC 102_Wkst'!$L$7:$L$2010,"12",'LAC 102_Wkst'!$N$7:$N$2010,"P3")</f>
        <v>0</v>
      </c>
      <c r="AX33" s="404">
        <f>SUMIFS('LAC 102_Wkst'!$Q$7:$Q$2010,'LAC 102_Wkst'!$E$7:$E$2010,$C33,'LAC 102_Wkst'!$G$7:$G$2010,$D33,'LAC 102_Wkst'!$L$7:$L$2010,"11",'LAC 102_Wkst'!$N$7:$N$2010,"P4")+SUMIFS('LAC 102_Wkst'!$Q$7:$Q$2010,'LAC 102_Wkst'!$E$7:$E$2010,$C33,'LAC 102_Wkst'!$G$7:$G$2010,$D33,'LAC 102_Wkst'!$L$7:$L$2010,"12",'LAC 102_Wkst'!$N$7:$N$2010,"P4")</f>
        <v>0</v>
      </c>
      <c r="AY33" s="411">
        <f>SUMIFS('LAC 102_Wkst'!$AE$7:$AE$2010,'LAC 102_Wkst'!$E$7:$E$2010,$C33,'LAC 102_Wkst'!$G$7:$G$2010,$D33,'LAC 102_Wkst'!$L$7:$L$2010,"11",'LAC 102_Wkst'!$N$7:$N$2010,"P4")+SUMIFS('LAC 102_Wkst'!$AE$7:$AE$2010,'LAC 102_Wkst'!$E$7:$E$2010,$C33,'LAC 102_Wkst'!$G$7:$G$2010,$D33,'LAC 102_Wkst'!$L$7:$L$2010,"12",'LAC 102_Wkst'!$N$7:$N$2010,"P4")</f>
        <v>0</v>
      </c>
      <c r="AZ33" s="404">
        <f>SUMIFS('LAC 102_Wkst'!$Q$7:$Q$2010,'LAC 102_Wkst'!$E$7:$E$2010,$C33,'LAC 102_Wkst'!$G$7:$G$2010,$D33,'LAC 102_Wkst'!$L$7:$L$2010,"11",'LAC 102_Wkst'!$N$7:$N$2010,"P5")+SUMIFS('LAC 102_Wkst'!$Q$7:$Q$2010,'LAC 102_Wkst'!$E$7:$E$2010,$C33,'LAC 102_Wkst'!$G$7:$G$2010,$D33,'LAC 102_Wkst'!$L$7:$L$2010,"12",'LAC 102_Wkst'!$N$7:$N$2010,"P5")</f>
        <v>0</v>
      </c>
      <c r="BA33" s="411">
        <f>SUMIFS('LAC 102_Wkst'!$AE$7:$AE$2010,'LAC 102_Wkst'!$E$7:$E$2010,$C33,'LAC 102_Wkst'!$G$7:$G$2010,$D33,'LAC 102_Wkst'!$L$7:$L$2010,"11",'LAC 102_Wkst'!$N$7:$N$2010,"P5")+SUMIFS('LAC 102_Wkst'!$AE$7:$AE$2010,'LAC 102_Wkst'!$E$7:$E$2010,$C33,'LAC 102_Wkst'!$G$7:$G$2010,$D33,'LAC 102_Wkst'!$L$7:$L$2010,"12",'LAC 102_Wkst'!$N$7:$N$2010,"P5")</f>
        <v>0</v>
      </c>
      <c r="BB33" s="404">
        <f>SUMIFS('LAC 102_Wkst'!$Q$7:$Q$2010,'LAC 102_Wkst'!$E$7:$E$2010,$C33,'LAC 102_Wkst'!$G$7:$G$2010,$D33,'LAC 102_Wkst'!$L$7:$L$2010,"13",'LAC 102_Wkst'!$N$7:$N$2010,"P1")+SUMIFS('LAC 102_Wkst'!$Q$7:$Q$2010,'LAC 102_Wkst'!$E$7:$E$2010,$C33,'LAC 102_Wkst'!$G$7:$G$2010,$D33,'LAC 102_Wkst'!$L$7:$L$2010,"13",'LAC 102_Wkst'!$N$7:$N$2010,"P2")+SUMIFS('LAC 102_Wkst'!$Q$7:$Q$2010,'LAC 102_Wkst'!$E$7:$E$2010,$C33,'LAC 102_Wkst'!$G$7:$G$2010,$D33,'LAC 102_Wkst'!$L$7:$L$2010,"13",'LAC 102_Wkst'!$N$7:$N$2010,"P3")+SUMIFS('LAC 102_Wkst'!$Q$7:$Q$2010,'LAC 102_Wkst'!$E$7:$E$2010,$C33,'LAC 102_Wkst'!$G$7:$G$2010,$D33,'LAC 102_Wkst'!$L$7:$L$2010,"13",'LAC 102_Wkst'!$N$7:$N$2010,"P4")</f>
        <v>0</v>
      </c>
      <c r="BC33" s="411">
        <f>SUMIFS('LAC 102_Wkst'!$AE$7:$AE$2010,'LAC 102_Wkst'!$E$7:$E$2010,$C33,'LAC 102_Wkst'!$G$7:$G$2010,$D33,'LAC 102_Wkst'!$L$7:$L$2010,"13",'LAC 102_Wkst'!$N$7:$N$2010,"P1")+SUMIFS('LAC 102_Wkst'!$AE$7:$AE$2010,'LAC 102_Wkst'!$E$7:$E$2010,$C33,'LAC 102_Wkst'!$G$7:$G$2010,$D33,'LAC 102_Wkst'!$L$7:$L$2010,"13",'LAC 102_Wkst'!$N$7:$N$2010,"P2")+SUMIFS('LAC 102_Wkst'!$AE$7:$AE$2010,'LAC 102_Wkst'!$E$7:$E$2010,$C33,'LAC 102_Wkst'!$G$7:$G$2010,$D33,'LAC 102_Wkst'!$L$7:$L$2010,"13",'LAC 102_Wkst'!$N$7:$N$2010,"P3")+SUMIFS('LAC 102_Wkst'!$AE$7:$AE$2010,'LAC 102_Wkst'!$E$7:$E$2010,$C33,'LAC 102_Wkst'!$G$7:$G$2010,$D33,'LAC 102_Wkst'!$L$7:$L$2010,"13",'LAC 102_Wkst'!$N$7:$N$2010,"P4")</f>
        <v>0</v>
      </c>
      <c r="BD33" s="404">
        <f>SUMIFS('LAC 102_Wkst'!$Q$7:$Q$2010,'LAC 102_Wkst'!$E$7:$E$2010,$C33,'LAC 102_Wkst'!$G$7:$G$2010,$D33,'LAC 102_Wkst'!$L$7:$L$2010,"13",'LAC 102_Wkst'!$N$7:$N$2010,"P5")</f>
        <v>0</v>
      </c>
      <c r="BE33" s="411">
        <f>SUMIFS('LAC 102_Wkst'!$AE$7:$AE$2010,'LAC 102_Wkst'!$E$7:$E$2010,$C33,'LAC 102_Wkst'!$G$7:$G$2010,$D33,'LAC 102_Wkst'!$L$7:$L$2010,"13",'LAC 102_Wkst'!$N$7:$N$2010,"P5")</f>
        <v>0</v>
      </c>
      <c r="BF33" s="407">
        <f t="shared" si="0"/>
        <v>3879.1333333333341</v>
      </c>
    </row>
    <row r="34" spans="1:58" x14ac:dyDescent="0.2">
      <c r="A34" s="401">
        <v>15</v>
      </c>
      <c r="B34" s="1236" t="s">
        <v>738</v>
      </c>
      <c r="C34" s="1235" t="s">
        <v>104</v>
      </c>
      <c r="D34" s="1237" t="s">
        <v>344</v>
      </c>
      <c r="E34" s="1222">
        <f>IF(CONCATENATE(C34,D34)&gt;"6069",1,SUMIFS('LAC 102_Wkst'!$Q$7:$Q$2010,'LAC 102_Wkst'!$E$7:$E$2010,Schedule_B!$C34,'LAC 102_Wkst'!$G$7:$G$2010,Schedule_B!$D34))</f>
        <v>17871.5</v>
      </c>
      <c r="F34" s="408">
        <f>SUMIFS('LAC 102_Wkst'!$Q$7:$Q$2010,'LAC 102_Wkst'!$E$7:$E$2010,$C34,'LAC 102_Wkst'!$G$7:$G$2010,$D34,'LAC 102_Wkst'!$L$7:$L$2010,"01",'LAC 102_Wkst'!$N$7:$N$2010,"P1")+SUMIFS('LAC 102_Wkst'!$Q$7:$Q$2010,'LAC 102_Wkst'!$E$7:$E$2010,$C34,'LAC 102_Wkst'!$G$7:$G$2010,$D34,'LAC 102_Wkst'!$L$7:$L$2010,"01",'LAC 102_Wkst'!$N$7:$N$2010,"P2")+SUMIFS('LAC 102_Wkst'!$Q$7:$Q$2010,'LAC 102_Wkst'!$E$7:$E$2010,$C34,'LAC 102_Wkst'!$G$7:$G$2010,$D34,'LAC 102_Wkst'!$L$7:$L$2010,"01",'LAC 102_Wkst'!$N$7:$N$2010,"P3")+SUMIFS('LAC 102_Wkst'!$Q$7:$Q$2010,'LAC 102_Wkst'!$E$7:$E$2010,$C34,'LAC 102_Wkst'!$G$7:$G$2010,$D34,'LAC 102_Wkst'!$L$7:$L$2010,"02",'LAC 102_Wkst'!$N$7:$N$2010,"P1")+SUMIFS('LAC 102_Wkst'!$Q$7:$Q$2010,'LAC 102_Wkst'!$E$7:$E$2010,$C34,'LAC 102_Wkst'!$G$7:$G$2010,$D34,'LAC 102_Wkst'!$L$7:$L$2010,"02",'LAC 102_Wkst'!$N$7:$N$2010,"P2")+SUMIFS('LAC 102_Wkst'!$Q$7:$Q$2010,'LAC 102_Wkst'!$E$7:$E$2010,$C34,'LAC 102_Wkst'!$G$7:$G$2010,$D34,'LAC 102_Wkst'!$L$7:$L$2010,"02",'LAC 102_Wkst'!$N$7:$N$2010,"P3")</f>
        <v>0</v>
      </c>
      <c r="G34" s="409">
        <f>SUMIFS('LAC 102_Wkst'!$AE$7:$AE$2010,'LAC 102_Wkst'!$E$7:$E$2010,$C34,'LAC 102_Wkst'!$G$7:$G$2010,$D34,'LAC 102_Wkst'!$L$7:$L$2010,"01",'LAC 102_Wkst'!$N$7:$N$2010,"P1")+SUMIFS('LAC 102_Wkst'!$AE$7:$AE$2010,'LAC 102_Wkst'!$E$7:$E$2010,$C34,'LAC 102_Wkst'!$G$7:$G$2010,$D34,'LAC 102_Wkst'!$L$7:$L$2010,"01",'LAC 102_Wkst'!$N$7:$N$2010,"P2")+SUMIFS('LAC 102_Wkst'!$AE$7:$AE$2010,'LAC 102_Wkst'!$E$7:$E$2010,$C34,'LAC 102_Wkst'!$G$7:$G$2010,$D34,'LAC 102_Wkst'!$L$7:$L$2010,"01",'LAC 102_Wkst'!$N$7:$N$2010,"P3")+SUMIFS('LAC 102_Wkst'!$AE$7:$AE$2010,'LAC 102_Wkst'!$E$7:$E$2010,$C34,'LAC 102_Wkst'!$G$7:$G$2010,$D34,'LAC 102_Wkst'!$L$7:$L$2010,"02",'LAC 102_Wkst'!$N$7:$N$2010,"P1")+SUMIFS('LAC 102_Wkst'!$AE$7:$AE$2010,'LAC 102_Wkst'!$E$7:$E$2010,$C34,'LAC 102_Wkst'!$G$7:$G$2010,$D34,'LAC 102_Wkst'!$L$7:$L$2010,"02",'LAC 102_Wkst'!$N$7:$N$2010,"P2")+SUMIFS('LAC 102_Wkst'!$AE$7:$AE$2010,'LAC 102_Wkst'!$E$7:$E$2010,$C34,'LAC 102_Wkst'!$G$7:$G$2010,$D34,'LAC 102_Wkst'!$L$7:$L$2010,"02",'LAC 102_Wkst'!$N$7:$N$2010,"P3")</f>
        <v>0</v>
      </c>
      <c r="H34" s="410">
        <f>SUMIFS('LAC 102_Wkst'!$Q$7:$Q$2010,'LAC 102_Wkst'!$E$7:$E$2010,$C34,'LAC 102_Wkst'!$G$7:$G$2010,$D34,'LAC 102_Wkst'!$L$7:$L$2010,"01",'LAC 102_Wkst'!$N$7:$N$2010,"P4")+SUMIFS('LAC 102_Wkst'!$Q$7:$Q$2010,'LAC 102_Wkst'!$E$7:$E$2010,$C34,'LAC 102_Wkst'!$G$7:$G$2010,$D34,'LAC 102_Wkst'!$L$7:$L$2010,"02",'LAC 102_Wkst'!$N$7:$N$2010,"P4")</f>
        <v>0</v>
      </c>
      <c r="I34" s="411">
        <f>SUMIFS('LAC 102_Wkst'!$AE$7:$AE$2010,'LAC 102_Wkst'!$E$7:$E$2010,$C34,'LAC 102_Wkst'!$G$7:$G$2010,$D34,'LAC 102_Wkst'!$L$7:$L$2010,"01",'LAC 102_Wkst'!$N$7:$N$2010,"P4")+SUMIFS('LAC 102_Wkst'!$AE$7:$AE$2010,'LAC 102_Wkst'!$E$7:$E$2010,$C34,'LAC 102_Wkst'!$G$7:$G$2010,$D34,'LAC 102_Wkst'!$L$7:$L$2010,"02",'LAC 102_Wkst'!$N$7:$N$2010,"P4")</f>
        <v>0</v>
      </c>
      <c r="J34" s="410">
        <f>SUMIFS('LAC 102_Wkst'!$Q$7:$Q$2010,'LAC 102_Wkst'!$E$7:$E$2010,$C34,'LAC 102_Wkst'!$G$7:$G$2010,$D34,'LAC 102_Wkst'!$L$7:$L$2010,"01",'LAC 102_Wkst'!$N$7:$N$2010,"P5")+SUMIFS('LAC 102_Wkst'!$Q$7:$Q$2010,'LAC 102_Wkst'!$E$7:$E$2010,$C34,'LAC 102_Wkst'!$G$7:$G$2010,$D34,'LAC 102_Wkst'!$L$7:$L$2010,"02",'LAC 102_Wkst'!$N$7:$N$2010,"P5")</f>
        <v>0</v>
      </c>
      <c r="K34" s="411">
        <f>SUMIFS('LAC 102_Wkst'!$AE$7:$AE$2010,'LAC 102_Wkst'!$E$7:$E$2010,$C34,'LAC 102_Wkst'!$G$7:$G$2010,$D34,'LAC 102_Wkst'!$L$7:$L$2010,"01",'LAC 102_Wkst'!$N$7:$N$2010,"P5")+SUMIFS('LAC 102_Wkst'!$AE$7:$AE$2010,'LAC 102_Wkst'!$E$7:$E$2010,$C34,'LAC 102_Wkst'!$G$7:$G$2010,$D34,'LAC 102_Wkst'!$L$7:$L$2010,"02",'LAC 102_Wkst'!$N$7:$N$2010,"P5")</f>
        <v>0</v>
      </c>
      <c r="L34" s="410">
        <f>SUMIFS('LAC 102_Wkst'!$Q$7:$Q$2010,'LAC 102_Wkst'!$E$7:$E$2010,$C34,'LAC 102_Wkst'!$G$7:$G$2010,$D34,'LAC 102_Wkst'!$L$7:$L$2010,"03",'LAC 102_Wkst'!$N$7:$N$2010,"P1")+SUMIFS('LAC 102_Wkst'!$Q$7:$Q$2010,'LAC 102_Wkst'!$E$7:$E$2010,$C34,'LAC 102_Wkst'!$G$7:$G$2010,$D34,'LAC 102_Wkst'!$L$7:$L$2010,"03",'LAC 102_Wkst'!$N$7:$N$2010,"P2")+SUMIFS('LAC 102_Wkst'!$Q$7:$Q$2010,'LAC 102_Wkst'!$E$7:$E$2010,$C34,'LAC 102_Wkst'!$G$7:$G$2010,$D34,'LAC 102_Wkst'!$L$7:$L$2010,"03",'LAC 102_Wkst'!$N$7:$N$2010,"P3")+SUMIFS('LAC 102_Wkst'!$Q$7:$Q$2010,'LAC 102_Wkst'!$E$7:$E$2010,$C34,'LAC 102_Wkst'!$G$7:$G$2010,$D34,'LAC 102_Wkst'!$L$7:$L$2010,"04",'LAC 102_Wkst'!$N$7:$N$2010,"P1")+SUMIFS('LAC 102_Wkst'!$Q$7:$Q$2010,'LAC 102_Wkst'!$E$7:$E$2010,$C34,'LAC 102_Wkst'!$G$7:$G$2010,$D34,'LAC 102_Wkst'!$L$7:$L$2010,"04",'LAC 102_Wkst'!$N$7:$N$2010,"P2")+SUMIFS('LAC 102_Wkst'!$Q$7:$Q$2010,'LAC 102_Wkst'!$E$7:$E$2010,$C34,'LAC 102_Wkst'!$G$7:$G$2010,$D34,'LAC 102_Wkst'!$L$7:$L$2010,"04",'LAC 102_Wkst'!$N$7:$N$2010,"P3")</f>
        <v>0</v>
      </c>
      <c r="M34" s="411">
        <f>SUMIFS('LAC 102_Wkst'!$AE$7:$AE$2010,'LAC 102_Wkst'!$E$7:$E$2010,$C34,'LAC 102_Wkst'!$G$7:$G$2010,$D34,'LAC 102_Wkst'!$L$7:$L$2010,"03",'LAC 102_Wkst'!$N$7:$N$2010,"P1")+SUMIFS('LAC 102_Wkst'!$AE$7:$AE$2010,'LAC 102_Wkst'!$E$7:$E$2010,$C34,'LAC 102_Wkst'!$G$7:$G$2010,$D34,'LAC 102_Wkst'!$L$7:$L$2010,"03",'LAC 102_Wkst'!$N$7:$N$2010,"P2")+SUMIFS('LAC 102_Wkst'!$AE$7:$AE$2010,'LAC 102_Wkst'!$E$7:$E$2010,$C34,'LAC 102_Wkst'!$G$7:$G$2010,$D34,'LAC 102_Wkst'!$L$7:$L$2010,"03",'LAC 102_Wkst'!$N$7:$N$2010,"P3")+SUMIFS('LAC 102_Wkst'!$AE$7:$AE$2010,'LAC 102_Wkst'!$E$7:$E$2010,$C34,'LAC 102_Wkst'!$G$7:$G$2010,$D34,'LAC 102_Wkst'!$L$7:$L$2010,"04",'LAC 102_Wkst'!$N$7:$N$2010,"P1")+SUMIFS('LAC 102_Wkst'!$AE$7:$AE$2010,'LAC 102_Wkst'!$E$7:$E$2010,$C34,'LAC 102_Wkst'!$G$7:$G$2010,$D34,'LAC 102_Wkst'!$L$7:$L$2010,"04",'LAC 102_Wkst'!$N$7:$N$2010,"P2")+SUMIFS('LAC 102_Wkst'!$AE$7:$AE$2010,'LAC 102_Wkst'!$E$7:$E$2010,$C34,'LAC 102_Wkst'!$G$7:$G$2010,$D34,'LAC 102_Wkst'!$L$7:$L$2010,"04",'LAC 102_Wkst'!$N$7:$N$2010,"P3")</f>
        <v>0</v>
      </c>
      <c r="N34" s="410">
        <f>SUMIFS('LAC 102_Wkst'!$Q$7:$Q$2010,'LAC 102_Wkst'!$E$7:$E$2010,$C34,'LAC 102_Wkst'!$G$7:$G$2010,$D34,'LAC 102_Wkst'!$L$7:$L$2010,"03",'LAC 102_Wkst'!$N$7:$N$2010,"P4")+SUMIFS('LAC 102_Wkst'!$Q$7:$Q$2010,'LAC 102_Wkst'!$E$7:$E$2010,$C34,'LAC 102_Wkst'!$G$7:$G$2010,$D34,'LAC 102_Wkst'!$L$7:$L$2010,"04",'LAC 102_Wkst'!$N$7:$N$2010,"P4")</f>
        <v>0</v>
      </c>
      <c r="O34" s="411">
        <f>SUMIFS('LAC 102_Wkst'!$AE$7:$AE$2010,'LAC 102_Wkst'!$E$7:$E$2010,$C34,'LAC 102_Wkst'!$G$7:$G$2010,$D34,'LAC 102_Wkst'!$L$7:$L$2010,"03",'LAC 102_Wkst'!$N$7:$N$2010,"P4")+SUMIFS('LAC 102_Wkst'!$AE$7:$AE$2010,'LAC 102_Wkst'!$E$7:$E$2010,$C34,'LAC 102_Wkst'!$G$7:$G$2010,$D34,'LAC 102_Wkst'!$L$7:$L$2010,"04",'LAC 102_Wkst'!$N$7:$N$2010,"P4")</f>
        <v>0</v>
      </c>
      <c r="P34" s="410">
        <f>SUMIFS('LAC 102_Wkst'!$Q$7:$Q$2010,'LAC 102_Wkst'!$E$7:$E$2010,$C34,'LAC 102_Wkst'!$G$7:$G$2010,$D34,'LAC 102_Wkst'!$L$7:$L$2010,"03",'LAC 102_Wkst'!$N$7:$N$2010,"P5")+SUMIFS('LAC 102_Wkst'!$Q$7:$Q$2010,'LAC 102_Wkst'!$E$7:$E$2010,$C34,'LAC 102_Wkst'!$G$7:$G$2010,$D34,'LAC 102_Wkst'!$L$7:$L$2010,"04",'LAC 102_Wkst'!$N$7:$N$2010,"P5")</f>
        <v>0</v>
      </c>
      <c r="Q34" s="411">
        <f>SUMIFS('LAC 102_Wkst'!$AE$7:$AE$2010,'LAC 102_Wkst'!$E$7:$E$2010,$C34,'LAC 102_Wkst'!$G$7:$G$2010,$D34,'LAC 102_Wkst'!$L$7:$L$2010,"03",'LAC 102_Wkst'!$N$7:$N$2010,"P5")+SUMIFS('LAC 102_Wkst'!$AE$7:$AE$2010,'LAC 102_Wkst'!$E$7:$E$2010,$C34,'LAC 102_Wkst'!$G$7:$G$2010,$D34,'LAC 102_Wkst'!$L$7:$L$2010,"04",'LAC 102_Wkst'!$N$7:$N$2010,"P5")</f>
        <v>0</v>
      </c>
      <c r="R34" s="412">
        <f>SUMIFS('LAC 102_Wkst'!$Q$7:$Q$2010,'LAC 102_Wkst'!$E$7:$E$2010,$C34,'LAC 102_Wkst'!$G$7:$G$2010,$D34,'LAC 102_Wkst'!$L$7:$L$2010,"05",'LAC 102_Wkst'!$N$7:$N$2010,"P1")+SUMIFS('LAC 102_Wkst'!$Q$7:$Q$2010,'LAC 102_Wkst'!$E$7:$E$2010,$C34,'LAC 102_Wkst'!$G$7:$G$2010,$D34,'LAC 102_Wkst'!$L$7:$L$2010,"06",'LAC 102_Wkst'!$N$7:$N$2010,"P1")</f>
        <v>0</v>
      </c>
      <c r="S34" s="411">
        <f>SUMIFS('LAC 102_Wkst'!$AE$7:$AE$2010,'LAC 102_Wkst'!$E$7:$E$2010,$C34,'LAC 102_Wkst'!$G$7:$G$2010,$D34,'LAC 102_Wkst'!$L$7:$L$2010,"05",'LAC 102_Wkst'!$N$7:$N$2010,"P1")+SUMIFS('LAC 102_Wkst'!$AE$7:$AE$2010,'LAC 102_Wkst'!$E$7:$E$2010,$C34,'LAC 102_Wkst'!$G$7:$G$2010,$D34,'LAC 102_Wkst'!$L$7:$L$2010,"06",'LAC 102_Wkst'!$N$7:$N$2010,"P1")</f>
        <v>0</v>
      </c>
      <c r="T34" s="410">
        <f>SUMIFS('LAC 102_Wkst'!$Q$7:$Q$2010,'LAC 102_Wkst'!$E$7:$E$2010,$C34,'LAC 102_Wkst'!$G$7:$G$2010,$D34,'LAC 102_Wkst'!$L$7:$L$2010,"05",'LAC 102_Wkst'!$N$7:$N$2010,"P2")+SUMIFS('LAC 102_Wkst'!$Q$7:$Q$2010,'LAC 102_Wkst'!$E$7:$E$2010,$C34,'LAC 102_Wkst'!$G$7:$G$2010,$D34,'LAC 102_Wkst'!$L$7:$L$2010,"05",'LAC 102_Wkst'!$N$7:$N$2010,"P3")+SUMIFS('LAC 102_Wkst'!$Q$7:$Q$2010,'LAC 102_Wkst'!$E$7:$E$2010,$C34,'LAC 102_Wkst'!$G$7:$G$2010,$D34,'LAC 102_Wkst'!$L$7:$L$2010,"06",'LAC 102_Wkst'!$N$7:$N$2010,"P2")+SUMIFS('LAC 102_Wkst'!$Q$7:$Q$2010,'LAC 102_Wkst'!$E$7:$E$2010,$C34,'LAC 102_Wkst'!$G$7:$G$2010,$D34,'LAC 102_Wkst'!$L$7:$L$2010,"06",'LAC 102_Wkst'!$N$7:$N$2010,"P3")</f>
        <v>0</v>
      </c>
      <c r="U34" s="411">
        <f>SUMIFS('LAC 102_Wkst'!$AE$7:$AE$2010,'LAC 102_Wkst'!$E$7:$E$2010,$C34,'LAC 102_Wkst'!$G$7:$G$2010,$D34,'LAC 102_Wkst'!$L$7:$L$2010,"05",'LAC 102_Wkst'!$N$7:$N$2010,"P2")+SUMIFS('LAC 102_Wkst'!$AE$7:$AE$2010,'LAC 102_Wkst'!$E$7:$E$2010,$C34,'LAC 102_Wkst'!$G$7:$G$2010,$D34,'LAC 102_Wkst'!$L$7:$L$2010,"06",'LAC 102_Wkst'!$N$7:$N$2010,"P3")+SUMIFS('LAC 102_Wkst'!$AE$7:$AE$2010,'LAC 102_Wkst'!$E$7:$E$2010,$C34,'LAC 102_Wkst'!$G$7:$G$2010,$D34,'LAC 102_Wkst'!$L$7:$L$2010,"05",'LAC 102_Wkst'!$N$7:$N$2010,"P2")+SUMIFS('LAC 102_Wkst'!$AE$7:$AE$2010,'LAC 102_Wkst'!$E$7:$E$2010,$C34,'LAC 102_Wkst'!$G$7:$G$2010,$D34,'LAC 102_Wkst'!$L$7:$L$2010,"06",'LAC 102_Wkst'!$N$7:$N$2010,"P3")</f>
        <v>0</v>
      </c>
      <c r="V34" s="410">
        <f>SUMIFS('LAC 102_Wkst'!$Q$7:$Q$2010,'LAC 102_Wkst'!$E$7:$E$2010,$C34,'LAC 102_Wkst'!$G$7:$G$2010,$D34,'LAC 102_Wkst'!$L$7:$L$2010,"05",'LAC 102_Wkst'!$N$7:$N$2010,"P4")+SUMIFS('LAC 102_Wkst'!$Q$7:$Q$2010,'LAC 102_Wkst'!$E$7:$E$2010,$C34,'LAC 102_Wkst'!$G$7:$G$2010,$D34,'LAC 102_Wkst'!$L$7:$L$2010,"06",'LAC 102_Wkst'!$N$7:$N$2010,"P4")</f>
        <v>0</v>
      </c>
      <c r="W34" s="411">
        <f>SUMIFS('LAC 102_Wkst'!$AE$7:$AE$2010,'LAC 102_Wkst'!$E$7:$E$2010,$C34,'LAC 102_Wkst'!$G$7:$G$2010,$D34,'LAC 102_Wkst'!$L$7:$L$2010,"05",'LAC 102_Wkst'!$N$7:$N$2010,"P4")+SUMIFS('LAC 102_Wkst'!$AE$7:$AE$2010,'LAC 102_Wkst'!$E$7:$E$2010,$C34,'LAC 102_Wkst'!$G$7:$G$2010,$D34,'LAC 102_Wkst'!$L$7:$L$2010,"06",'LAC 102_Wkst'!$N$7:$N$2010,"P4")</f>
        <v>0</v>
      </c>
      <c r="X34" s="410">
        <f>SUMIFS('LAC 102_Wkst'!$Q$7:$Q$2010,'LAC 102_Wkst'!$E$7:$E$2010,$C34,'LAC 102_Wkst'!$G$7:$G$2010,$D34,'LAC 102_Wkst'!$L$7:$L$2010,"05",'LAC 102_Wkst'!$N$7:$N$2010,"P5")+SUMIFS('LAC 102_Wkst'!$Q$7:$Q$2010,'LAC 102_Wkst'!$E$7:$E$2010,$C34,'LAC 102_Wkst'!$G$7:$G$2010,$D34,'LAC 102_Wkst'!$L$7:$L$2010,"06",'LAC 102_Wkst'!$N$7:$N$2010,"P5")</f>
        <v>0</v>
      </c>
      <c r="Y34" s="411">
        <f>SUMIFS('LAC 102_Wkst'!$AE$7:$AE$2010,'LAC 102_Wkst'!$E$7:$E$2010,$C34,'LAC 102_Wkst'!$G$7:$G$2010,$D34,'LAC 102_Wkst'!$L$7:$L$2010,"05",'LAC 102_Wkst'!$N$7:$N$2010,"P5")+SUMIFS('LAC 102_Wkst'!$AE$7:$AE$2010,'LAC 102_Wkst'!$E$7:$E$2010,$C34,'LAC 102_Wkst'!$G$7:$G$2010,$D34,'LAC 102_Wkst'!$L$7:$L$2010,"06",'LAC 102_Wkst'!$N$7:$N$2010,"P5")</f>
        <v>0</v>
      </c>
      <c r="Z34" s="410">
        <f>SUMIFS('LAC 102_Wkst'!$Q$7:$Q$2010,'LAC 102_Wkst'!$E$7:$E$2010,$C34,'LAC 102_Wkst'!$G$7:$G$2010,$D34,'LAC 102_Wkst'!$L$7:$L$2010,"07",'LAC 102_Wkst'!$N$7:$N$2010,"P1")+SUMIFS('LAC 102_Wkst'!$Q$7:$Q$2010,'LAC 102_Wkst'!$E$7:$E$2010,$C34,'LAC 102_Wkst'!$G$7:$G$2010,$D34,'LAC 102_Wkst'!$L$7:$L$2010,"07",'LAC 102_Wkst'!$N$7:$N$2010,"P2")+SUMIFS('LAC 102_Wkst'!$Q$7:$Q$2010,'LAC 102_Wkst'!$E$7:$E$2010,$C34,'LAC 102_Wkst'!$G$7:$G$2010,$D34,'LAC 102_Wkst'!$L$7:$L$2010,"07",'LAC 102_Wkst'!$N$7:$N$2010,"P3")</f>
        <v>0</v>
      </c>
      <c r="AA34" s="411">
        <f>SUMIFS('LAC 102_Wkst'!$AE$7:$AE$2010,'LAC 102_Wkst'!$E$7:$E$2010,$C34,'LAC 102_Wkst'!$G$7:$G$2010,$D34,'LAC 102_Wkst'!$L$7:$L$2010,"07",'LAC 102_Wkst'!$N$7:$N$2010,"P1")+SUMIFS('LAC 102_Wkst'!$AE$7:$AE$2010,'LAC 102_Wkst'!$E$7:$E$2010,$C34,'LAC 102_Wkst'!$G$7:$G$2010,$D34,'LAC 102_Wkst'!$L$7:$L$2010,"07",'LAC 102_Wkst'!$N$7:$N$2010,"P2")+SUMIFS('LAC 102_Wkst'!$AE$7:$AE$2010,'LAC 102_Wkst'!$E$7:$E$2010,$C34,'LAC 102_Wkst'!$G$7:$G$2010,$D34,'LAC 102_Wkst'!$L$7:$L$2010,"07",'LAC 102_Wkst'!$N$7:$N$2010,"P3")</f>
        <v>0</v>
      </c>
      <c r="AB34" s="410">
        <f>SUMIFS('LAC 102_Wkst'!$Q$7:$Q$2010,'LAC 102_Wkst'!$E$7:$E$2010,$C34,'LAC 102_Wkst'!$G$7:$G$2010,$D34,'LAC 102_Wkst'!$L$7:$L$2010,"07",'LAC 102_Wkst'!$N$7:$N$2010,"P4")</f>
        <v>0</v>
      </c>
      <c r="AC34" s="411">
        <f>SUMIFS('LAC 102_Wkst'!$AE$7:$AE$2010,'LAC 102_Wkst'!$E$7:$E$2010,$C34,'LAC 102_Wkst'!$G$7:$G$2010,$D34,'LAC 102_Wkst'!$L$7:$L$2010,"07",'LAC 102_Wkst'!$N$7:$N$2010,"P4")</f>
        <v>0</v>
      </c>
      <c r="AD34" s="410">
        <f>SUMIFS('LAC 102_Wkst'!$Q$7:$Q$2010,'LAC 102_Wkst'!$E$7:$E$2010,$C34,'LAC 102_Wkst'!$G$7:$G$2010,$D34,'LAC 102_Wkst'!$L$7:$L$2010,"07",'LAC 102_Wkst'!$N$7:$N$2010,"P5")</f>
        <v>0</v>
      </c>
      <c r="AE34" s="411">
        <f>SUMIFS('LAC 102_Wkst'!$AE$7:$AE$2010,'LAC 102_Wkst'!$E$7:$E$2010,$C34,'LAC 102_Wkst'!$G$7:$G$2010,$D34,'LAC 102_Wkst'!$L$7:$L$2010,"07",'LAC 102_Wkst'!$N$7:$N$2010,"P5")</f>
        <v>0</v>
      </c>
      <c r="AF34" s="410">
        <f>SUMIFS('LAC 102_Wkst'!$Q$7:$Q$2010,'LAC 102_Wkst'!$E$7:$E$2010,$C34,'LAC 102_Wkst'!$G$7:$G$2010,$D34,'LAC 102_Wkst'!$L$7:$L$2010,"08",'LAC 102_Wkst'!$N$7:$N$2010,"P1")+SUMIFS('LAC 102_Wkst'!$Q$7:$Q$2010,'LAC 102_Wkst'!$E$7:$E$2010,$C34,'LAC 102_Wkst'!$G$7:$G$2010,$D34,'LAC 102_Wkst'!$L$7:$L$2010,"08",'LAC 102_Wkst'!$N$7:$N$2010,"P2")+SUMIFS('LAC 102_Wkst'!$Q$7:$Q$2010,'LAC 102_Wkst'!$E$7:$E$2010,$C34,'LAC 102_Wkst'!$G$7:$G$2010,$D34,'LAC 102_Wkst'!$L$7:$L$2010,"08",'LAC 102_Wkst'!$N$7:$N$2010,"P3")</f>
        <v>0</v>
      </c>
      <c r="AG34" s="411">
        <f>SUMIFS('LAC 102_Wkst'!$AE$7:$AE$2010,'LAC 102_Wkst'!$E$7:$E$2010,$C34,'LAC 102_Wkst'!$G$7:$G$2010,$D34,'LAC 102_Wkst'!$L$7:$L$2010,"08",'LAC 102_Wkst'!$N$7:$N$2010,"P1")+SUMIFS('LAC 102_Wkst'!$AE$7:$AE$2010,'LAC 102_Wkst'!$E$7:$E$2010,$C34,'LAC 102_Wkst'!$G$7:$G$2010,$D34,'LAC 102_Wkst'!$L$7:$L$2010,"08",'LAC 102_Wkst'!$N$7:$N$2010,"P2")+SUMIFS('LAC 102_Wkst'!$AE$7:$AE$2010,'LAC 102_Wkst'!$E$7:$E$2010,$C34,'LAC 102_Wkst'!$G$7:$G$2010,$D34,'LAC 102_Wkst'!$L$7:$L$2010,"08",'LAC 102_Wkst'!$N$7:$N$2010,"P3")</f>
        <v>0</v>
      </c>
      <c r="AH34" s="410">
        <f>SUMIFS('LAC 102_Wkst'!$Q$7:$Q$2010,'LAC 102_Wkst'!$E$7:$E$2010,$C34,'LAC 102_Wkst'!$G$7:$G$2010,$D34,'LAC 102_Wkst'!$L$7:$L$2010,"08",'LAC 102_Wkst'!$N$7:$N$2010,"P4")</f>
        <v>0</v>
      </c>
      <c r="AI34" s="411">
        <f>SUMIFS('LAC 102_Wkst'!$AE$7:$AE$2010,'LAC 102_Wkst'!$E$7:$E$2010,$C34,'LAC 102_Wkst'!$G$7:$G$2010,$D34,'LAC 102_Wkst'!$L$7:$L$2010,"08",'LAC 102_Wkst'!$N$7:$N$2010,"P4")</f>
        <v>0</v>
      </c>
      <c r="AJ34" s="410">
        <f>SUMIFS('LAC 102_Wkst'!$Q$7:$Q$2010,'LAC 102_Wkst'!$E$7:$E$2010,$C34,'LAC 102_Wkst'!$G$7:$G$2010,$D34,'LAC 102_Wkst'!$L$7:$L$2010,"08",'LAC 102_Wkst'!$N$7:$N$2010,"P5")</f>
        <v>0</v>
      </c>
      <c r="AK34" s="411">
        <f>SUMIFS('LAC 102_Wkst'!$AE$7:$AE$2010,'LAC 102_Wkst'!$E$7:$E$2010,$C34,'LAC 102_Wkst'!$G$7:$G$2010,$D34,'LAC 102_Wkst'!$L$7:$L$2010,"08",'LAC 102_Wkst'!$N$7:$N$2010,"P5")</f>
        <v>0</v>
      </c>
      <c r="AL34" s="410">
        <f>SUMIFS('LAC 102_Wkst'!$Q$7:$Q$2010,'LAC 102_Wkst'!$E$7:$E$2010,$C34,'LAC 102_Wkst'!$G$7:$G$2010,$D34,'LAC 102_Wkst'!$L$7:$L$2010,"09",'LAC 102_Wkst'!$N$7:$N$2010,"P1")+SUMIFS('LAC 102_Wkst'!$Q$7:$Q$2010,'LAC 102_Wkst'!$E$7:$E$2010,$C34,'LAC 102_Wkst'!$G$7:$G$2010,$D34,'LAC 102_Wkst'!$L$7:$L$2010,"09",'LAC 102_Wkst'!$N$7:$N$2010,"P2")+SUMIFS('LAC 102_Wkst'!$Q$7:$Q$2010,'LAC 102_Wkst'!$E$7:$E$2010,$C34,'LAC 102_Wkst'!$G$7:$G$2010,$D34,'LAC 102_Wkst'!$L$7:$L$2010,"09",'LAC 102_Wkst'!$N$7:$N$2010,"P3")+SUMIFS('LAC 102_Wkst'!$Q$7:$Q$2010,'LAC 102_Wkst'!$E$7:$E$2010,$C34,'LAC 102_Wkst'!$G$7:$G$2010,$D34,'LAC 102_Wkst'!$L$7:$L$2010,"09",'LAC 102_Wkst'!$N$7:$N$2010,"P4")</f>
        <v>0</v>
      </c>
      <c r="AM34" s="411">
        <f>SUMIFS('LAC 102_Wkst'!$AE$7:$AE$2010,'LAC 102_Wkst'!$E$7:$E$2010,$C34,'LAC 102_Wkst'!$G$7:$G$2010,$D34,'LAC 102_Wkst'!$L$7:$L$2010,"09",'LAC 102_Wkst'!$N$7:$N$2010,"P1")+SUMIFS('LAC 102_Wkst'!$AE$7:$AE$2010,'LAC 102_Wkst'!$E$7:$E$2010,$C34,'LAC 102_Wkst'!$G$7:$G$2010,$D34,'LAC 102_Wkst'!$L$7:$L$2010,"09",'LAC 102_Wkst'!$N$7:$N$2010,"P2")+SUMIFS('LAC 102_Wkst'!$AE$7:$AE$2010,'LAC 102_Wkst'!$E$7:$E$2010,$C34,'LAC 102_Wkst'!$G$7:$G$2010,$D34,'LAC 102_Wkst'!$L$7:$L$2010,"09",'LAC 102_Wkst'!$N$7:$N$2010,"P3")+SUMIFS('LAC 102_Wkst'!$AE$7:$AE$2010,'LAC 102_Wkst'!$E$7:$E$2010,$C34,'LAC 102_Wkst'!$G$7:$G$2010,$D34,'LAC 102_Wkst'!$L$7:$L$2010,"09",'LAC 102_Wkst'!$N$7:$N$2010,"P4")</f>
        <v>0</v>
      </c>
      <c r="AN34" s="410">
        <f>SUMIFS('LAC 102_Wkst'!$Q$7:$Q$2010,'LAC 102_Wkst'!$E$7:$E$2010,$C34,'LAC 102_Wkst'!$G$7:$G$2010,$D34,'LAC 102_Wkst'!$L$7:$L$2010,"09",'LAC 102_Wkst'!$N$7:$N$2010,"P5")</f>
        <v>0</v>
      </c>
      <c r="AO34" s="411">
        <f>SUMIFS('LAC 102_Wkst'!$AE$7:$AE$2010,'LAC 102_Wkst'!$E$7:$E$2010,$C34,'LAC 102_Wkst'!$G$7:$G$2010,$D34,'LAC 102_Wkst'!$L$7:$L$2010,"09",'LAC 102_Wkst'!$N$7:$N$2010,"P5")</f>
        <v>0</v>
      </c>
      <c r="AP34" s="410">
        <f>SUMIFS('LAC 102_Wkst'!$Q$7:$Q$2010,'LAC 102_Wkst'!$E$7:$E$2010,$C34,'LAC 102_Wkst'!$G$7:$G$2010,$D34,'LAC 102_Wkst'!$L$7:$L$2010,"10",'LAC 102_Wkst'!$N$7:$N$2010,"P1")+SUMIFS('LAC 102_Wkst'!$Q$7:$Q$2010,'LAC 102_Wkst'!$E$7:$E$2010,$C34,'LAC 102_Wkst'!$G$7:$G$2010,$D34,'LAC 102_Wkst'!$L$7:$L$2010,"10",'LAC 102_Wkst'!$N$7:$N$2010,"P2")+SUMIFS('LAC 102_Wkst'!$Q$7:$Q$2010,'LAC 102_Wkst'!$E$7:$E$2010,$C34,'LAC 102_Wkst'!$G$7:$G$2010,$D34,'LAC 102_Wkst'!$L$7:$L$2010,"10",'LAC 102_Wkst'!$N$7:$N$2010,"P3")+SUMIFS('LAC 102_Wkst'!$Q$7:$Q$2010,'LAC 102_Wkst'!$E$7:$E$2010,$C34,'LAC 102_Wkst'!$G$7:$G$2010,$D34,'LAC 102_Wkst'!$L$7:$L$2010,"10",'LAC 102_Wkst'!$N$7:$N$2010,"P4")</f>
        <v>0</v>
      </c>
      <c r="AQ34" s="411">
        <f>SUMIFS('LAC 102_Wkst'!$AE$7:$AE$2010,'LAC 102_Wkst'!$E$7:$E$2010,$C34,'LAC 102_Wkst'!$G$7:$G$2010,$D34,'LAC 102_Wkst'!$L$7:$L$2010,"10",'LAC 102_Wkst'!$N$7:$N$2010,"P1")+SUMIFS('LAC 102_Wkst'!$AE$7:$AE$2010,'LAC 102_Wkst'!$E$7:$E$2010,$C34,'LAC 102_Wkst'!$G$7:$G$2010,$D34,'LAC 102_Wkst'!$L$7:$L$2010,"10",'LAC 102_Wkst'!$N$7:$N$2010,"P2")+SUMIFS('LAC 102_Wkst'!$AE$7:$AE$2010,'LAC 102_Wkst'!$E$7:$E$2010,$C34,'LAC 102_Wkst'!$G$7:$G$2010,$D34,'LAC 102_Wkst'!$L$7:$L$2010,"10",'LAC 102_Wkst'!$N$7:$N$2010,"P3")+SUMIFS('LAC 102_Wkst'!$AE$7:$AE$2010,'LAC 102_Wkst'!$E$7:$E$2010,$C34,'LAC 102_Wkst'!$G$7:$G$2010,$D34,'LAC 102_Wkst'!$L$7:$L$2010,"10",'LAC 102_Wkst'!$N$7:$N$2010,"P4")</f>
        <v>0</v>
      </c>
      <c r="AR34" s="410">
        <f>SUMIFS('LAC 102_Wkst'!$Q$7:$Q$2010,'LAC 102_Wkst'!$E$7:$E$2010,$C34,'LAC 102_Wkst'!$G$7:$G$2010,$D34,'LAC 102_Wkst'!$L$7:$L$2010,"10",'LAC 102_Wkst'!$N$7:$N$2010,"P5")</f>
        <v>0</v>
      </c>
      <c r="AS34" s="411">
        <f>SUMIFS('LAC 102_Wkst'!$AE$7:$AE$2010,'LAC 102_Wkst'!$E$7:$E$2010,$C34,'LAC 102_Wkst'!$G$7:$G$2010,$D34,'LAC 102_Wkst'!$L$7:$L$2010,"10",'LAC 102_Wkst'!$N$7:$N$2010,"P5")</f>
        <v>0</v>
      </c>
      <c r="AT34" s="410">
        <f>SUMIFS('LAC 102_Wkst'!$Q$7:$Q$2010,'LAC 102_Wkst'!$E$7:$E$2010,$C34,'LAC 102_Wkst'!$G$7:$G$2010,$D34,'LAC 102_Wkst'!$L$7:$L$2010,"11",'LAC 102_Wkst'!$N$7:$N$2010,"P1")+SUMIFS('LAC 102_Wkst'!$Q$7:$Q$2010,'LAC 102_Wkst'!$E$7:$E$2010,$C34,'LAC 102_Wkst'!$G$7:$G$2010,$D34,'LAC 102_Wkst'!$L$7:$L$2010,"12",'LAC 102_Wkst'!$N$7:$N$2010,"P1")</f>
        <v>0</v>
      </c>
      <c r="AU34" s="411">
        <f>SUMIFS('LAC 102_Wkst'!$AE$7:$AE$2010,'LAC 102_Wkst'!$E$7:$E$2010,$C34,'LAC 102_Wkst'!$G$7:$G$2010,$D34,'LAC 102_Wkst'!$L$7:$L$2010,"11",'LAC 102_Wkst'!$N$7:$N$2010,"P1")+SUMIFS('LAC 102_Wkst'!$AE$7:$AE$2010,'LAC 102_Wkst'!$E$7:$E$2010,$C34,'LAC 102_Wkst'!$G$7:$G$2010,$D34,'LAC 102_Wkst'!$L$7:$L$2010,"12",'LAC 102_Wkst'!$N$7:$N$2010,"P1")</f>
        <v>0</v>
      </c>
      <c r="AV34" s="410">
        <f>SUMIFS('LAC 102_Wkst'!$Q$7:$Q$2010,'LAC 102_Wkst'!$E$7:$E$2010,$C34,'LAC 102_Wkst'!$G$7:$G$2010,$D34,'LAC 102_Wkst'!$L$7:$L$2010,"11",'LAC 102_Wkst'!$N$7:$N$2010,"P2")+SUMIFS('LAC 102_Wkst'!$Q$7:$Q$2010,'LAC 102_Wkst'!$E$7:$E$2010,$C34,'LAC 102_Wkst'!$G$7:$G$2010,$D34,'LAC 102_Wkst'!$L$7:$L$2010,"12",'LAC 102_Wkst'!$N$7:$N$2010,"P3")+SUMIFS('LAC 102_Wkst'!$Q$7:$Q$2010,'LAC 102_Wkst'!$E$7:$E$2010,$C34,'LAC 102_Wkst'!$G$7:$G$2010,$D34,'LAC 102_Wkst'!$L$7:$L$2010,"11",'LAC 102_Wkst'!$N$7:$N$2010,"P2")+SUMIFS('LAC 102_Wkst'!$Q$7:$Q$2010,'LAC 102_Wkst'!$E$7:$E$2010,$C34,'LAC 102_Wkst'!$G$7:$G$2010,$D34,'LAC 102_Wkst'!$L$7:$L$2010,"12",'LAC 102_Wkst'!$N$7:$N$2010,"P3")</f>
        <v>0</v>
      </c>
      <c r="AW34" s="411">
        <f>SUMIFS('LAC 102_Wkst'!$AE$7:$AE$2010,'LAC 102_Wkst'!$E$7:$E$2010,$C34,'LAC 102_Wkst'!$G$7:$G$2010,$D34,'LAC 102_Wkst'!$L$7:$L$2010,"11",'LAC 102_Wkst'!$N$7:$N$2010,"P2")+SUMIFS('LAC 102_Wkst'!$AE$7:$AE$2010,'LAC 102_Wkst'!$E$7:$E$2010,$C34,'LAC 102_Wkst'!$G$7:$G$2010,$D34,'LAC 102_Wkst'!$L$7:$L$2010,"12",'LAC 102_Wkst'!$N$7:$N$2010,"P3")+SUMIFS('LAC 102_Wkst'!$AE$7:$AE$2010,'LAC 102_Wkst'!$E$7:$E$2010,$C34,'LAC 102_Wkst'!$G$7:$G$2010,$D34,'LAC 102_Wkst'!$L$7:$L$2010,"11",'LAC 102_Wkst'!$N$7:$N$2010,"P2")+SUMIFS('LAC 102_Wkst'!$AE$7:$AE$2010,'LAC 102_Wkst'!$E$7:$E$2010,$C34,'LAC 102_Wkst'!$G$7:$G$2010,$D34,'LAC 102_Wkst'!$L$7:$L$2010,"12",'LAC 102_Wkst'!$N$7:$N$2010,"P3")</f>
        <v>0</v>
      </c>
      <c r="AX34" s="410">
        <f>SUMIFS('LAC 102_Wkst'!$Q$7:$Q$2010,'LAC 102_Wkst'!$E$7:$E$2010,$C34,'LAC 102_Wkst'!$G$7:$G$2010,$D34,'LAC 102_Wkst'!$L$7:$L$2010,"11",'LAC 102_Wkst'!$N$7:$N$2010,"P4")+SUMIFS('LAC 102_Wkst'!$Q$7:$Q$2010,'LAC 102_Wkst'!$E$7:$E$2010,$C34,'LAC 102_Wkst'!$G$7:$G$2010,$D34,'LAC 102_Wkst'!$L$7:$L$2010,"12",'LAC 102_Wkst'!$N$7:$N$2010,"P4")</f>
        <v>0</v>
      </c>
      <c r="AY34" s="411">
        <f>SUMIFS('LAC 102_Wkst'!$AE$7:$AE$2010,'LAC 102_Wkst'!$E$7:$E$2010,$C34,'LAC 102_Wkst'!$G$7:$G$2010,$D34,'LAC 102_Wkst'!$L$7:$L$2010,"11",'LAC 102_Wkst'!$N$7:$N$2010,"P4")+SUMIFS('LAC 102_Wkst'!$AE$7:$AE$2010,'LAC 102_Wkst'!$E$7:$E$2010,$C34,'LAC 102_Wkst'!$G$7:$G$2010,$D34,'LAC 102_Wkst'!$L$7:$L$2010,"12",'LAC 102_Wkst'!$N$7:$N$2010,"P4")</f>
        <v>0</v>
      </c>
      <c r="AZ34" s="410">
        <f>SUMIFS('LAC 102_Wkst'!$Q$7:$Q$2010,'LAC 102_Wkst'!$E$7:$E$2010,$C34,'LAC 102_Wkst'!$G$7:$G$2010,$D34,'LAC 102_Wkst'!$L$7:$L$2010,"11",'LAC 102_Wkst'!$N$7:$N$2010,"P5")+SUMIFS('LAC 102_Wkst'!$Q$7:$Q$2010,'LAC 102_Wkst'!$E$7:$E$2010,$C34,'LAC 102_Wkst'!$G$7:$G$2010,$D34,'LAC 102_Wkst'!$L$7:$L$2010,"12",'LAC 102_Wkst'!$N$7:$N$2010,"P5")</f>
        <v>0</v>
      </c>
      <c r="BA34" s="411">
        <f>SUMIFS('LAC 102_Wkst'!$AE$7:$AE$2010,'LAC 102_Wkst'!$E$7:$E$2010,$C34,'LAC 102_Wkst'!$G$7:$G$2010,$D34,'LAC 102_Wkst'!$L$7:$L$2010,"11",'LAC 102_Wkst'!$N$7:$N$2010,"P5")+SUMIFS('LAC 102_Wkst'!$AE$7:$AE$2010,'LAC 102_Wkst'!$E$7:$E$2010,$C34,'LAC 102_Wkst'!$G$7:$G$2010,$D34,'LAC 102_Wkst'!$L$7:$L$2010,"12",'LAC 102_Wkst'!$N$7:$N$2010,"P5")</f>
        <v>0</v>
      </c>
      <c r="BB34" s="410">
        <f>SUMIFS('LAC 102_Wkst'!$Q$7:$Q$2010,'LAC 102_Wkst'!$E$7:$E$2010,$C34,'LAC 102_Wkst'!$G$7:$G$2010,$D34,'LAC 102_Wkst'!$L$7:$L$2010,"13",'LAC 102_Wkst'!$N$7:$N$2010,"P1")+SUMIFS('LAC 102_Wkst'!$Q$7:$Q$2010,'LAC 102_Wkst'!$E$7:$E$2010,$C34,'LAC 102_Wkst'!$G$7:$G$2010,$D34,'LAC 102_Wkst'!$L$7:$L$2010,"13",'LAC 102_Wkst'!$N$7:$N$2010,"P2")+SUMIFS('LAC 102_Wkst'!$Q$7:$Q$2010,'LAC 102_Wkst'!$E$7:$E$2010,$C34,'LAC 102_Wkst'!$G$7:$G$2010,$D34,'LAC 102_Wkst'!$L$7:$L$2010,"13",'LAC 102_Wkst'!$N$7:$N$2010,"P3")+SUMIFS('LAC 102_Wkst'!$Q$7:$Q$2010,'LAC 102_Wkst'!$E$7:$E$2010,$C34,'LAC 102_Wkst'!$G$7:$G$2010,$D34,'LAC 102_Wkst'!$L$7:$L$2010,"13",'LAC 102_Wkst'!$N$7:$N$2010,"P4")</f>
        <v>0</v>
      </c>
      <c r="BC34" s="411">
        <f>SUMIFS('LAC 102_Wkst'!$AE$7:$AE$2010,'LAC 102_Wkst'!$E$7:$E$2010,$C34,'LAC 102_Wkst'!$G$7:$G$2010,$D34,'LAC 102_Wkst'!$L$7:$L$2010,"13",'LAC 102_Wkst'!$N$7:$N$2010,"P1")+SUMIFS('LAC 102_Wkst'!$AE$7:$AE$2010,'LAC 102_Wkst'!$E$7:$E$2010,$C34,'LAC 102_Wkst'!$G$7:$G$2010,$D34,'LAC 102_Wkst'!$L$7:$L$2010,"13",'LAC 102_Wkst'!$N$7:$N$2010,"P2")+SUMIFS('LAC 102_Wkst'!$AE$7:$AE$2010,'LAC 102_Wkst'!$E$7:$E$2010,$C34,'LAC 102_Wkst'!$G$7:$G$2010,$D34,'LAC 102_Wkst'!$L$7:$L$2010,"13",'LAC 102_Wkst'!$N$7:$N$2010,"P3")+SUMIFS('LAC 102_Wkst'!$AE$7:$AE$2010,'LAC 102_Wkst'!$E$7:$E$2010,$C34,'LAC 102_Wkst'!$G$7:$G$2010,$D34,'LAC 102_Wkst'!$L$7:$L$2010,"13",'LAC 102_Wkst'!$N$7:$N$2010,"P4")</f>
        <v>0</v>
      </c>
      <c r="BD34" s="410">
        <f>SUMIFS('LAC 102_Wkst'!$Q$7:$Q$2010,'LAC 102_Wkst'!$E$7:$E$2010,$C34,'LAC 102_Wkst'!$G$7:$G$2010,$D34,'LAC 102_Wkst'!$L$7:$L$2010,"13",'LAC 102_Wkst'!$N$7:$N$2010,"P5")</f>
        <v>0</v>
      </c>
      <c r="BE34" s="411">
        <f>SUMIFS('LAC 102_Wkst'!$AE$7:$AE$2010,'LAC 102_Wkst'!$E$7:$E$2010,$C34,'LAC 102_Wkst'!$G$7:$G$2010,$D34,'LAC 102_Wkst'!$L$7:$L$2010,"13",'LAC 102_Wkst'!$N$7:$N$2010,"P5")</f>
        <v>0</v>
      </c>
      <c r="BF34" s="407">
        <f t="shared" si="0"/>
        <v>17871.5</v>
      </c>
    </row>
    <row r="35" spans="1:58" x14ac:dyDescent="0.2">
      <c r="A35" s="401">
        <v>16</v>
      </c>
      <c r="B35" s="1236" t="s">
        <v>738</v>
      </c>
      <c r="C35" s="1235" t="s">
        <v>136</v>
      </c>
      <c r="D35" s="1237" t="s">
        <v>388</v>
      </c>
      <c r="E35" s="1222">
        <f>IF(CONCATENATE(C35,D35)&gt;"6069",1,SUMIFS('LAC 102_Wkst'!$Q$7:$Q$2010,'LAC 102_Wkst'!$E$7:$E$2010,Schedule_B!$C35,'LAC 102_Wkst'!$G$7:$G$2010,Schedule_B!$D35))</f>
        <v>2045</v>
      </c>
      <c r="F35" s="408">
        <f>SUMIFS('LAC 102_Wkst'!$Q$7:$Q$2010,'LAC 102_Wkst'!$E$7:$E$2010,$C35,'LAC 102_Wkst'!$G$7:$G$2010,$D35,'LAC 102_Wkst'!$L$7:$L$2010,"01",'LAC 102_Wkst'!$N$7:$N$2010,"P1")+SUMIFS('LAC 102_Wkst'!$Q$7:$Q$2010,'LAC 102_Wkst'!$E$7:$E$2010,$C35,'LAC 102_Wkst'!$G$7:$G$2010,$D35,'LAC 102_Wkst'!$L$7:$L$2010,"01",'LAC 102_Wkst'!$N$7:$N$2010,"P2")+SUMIFS('LAC 102_Wkst'!$Q$7:$Q$2010,'LAC 102_Wkst'!$E$7:$E$2010,$C35,'LAC 102_Wkst'!$G$7:$G$2010,$D35,'LAC 102_Wkst'!$L$7:$L$2010,"01",'LAC 102_Wkst'!$N$7:$N$2010,"P3")+SUMIFS('LAC 102_Wkst'!$Q$7:$Q$2010,'LAC 102_Wkst'!$E$7:$E$2010,$C35,'LAC 102_Wkst'!$G$7:$G$2010,$D35,'LAC 102_Wkst'!$L$7:$L$2010,"02",'LAC 102_Wkst'!$N$7:$N$2010,"P1")+SUMIFS('LAC 102_Wkst'!$Q$7:$Q$2010,'LAC 102_Wkst'!$E$7:$E$2010,$C35,'LAC 102_Wkst'!$G$7:$G$2010,$D35,'LAC 102_Wkst'!$L$7:$L$2010,"02",'LAC 102_Wkst'!$N$7:$N$2010,"P2")+SUMIFS('LAC 102_Wkst'!$Q$7:$Q$2010,'LAC 102_Wkst'!$E$7:$E$2010,$C35,'LAC 102_Wkst'!$G$7:$G$2010,$D35,'LAC 102_Wkst'!$L$7:$L$2010,"02",'LAC 102_Wkst'!$N$7:$N$2010,"P3")</f>
        <v>0</v>
      </c>
      <c r="G35" s="409">
        <f>SUMIFS('LAC 102_Wkst'!$AE$7:$AE$2010,'LAC 102_Wkst'!$E$7:$E$2010,$C35,'LAC 102_Wkst'!$G$7:$G$2010,$D35,'LAC 102_Wkst'!$L$7:$L$2010,"01",'LAC 102_Wkst'!$N$7:$N$2010,"P1")+SUMIFS('LAC 102_Wkst'!$AE$7:$AE$2010,'LAC 102_Wkst'!$E$7:$E$2010,$C35,'LAC 102_Wkst'!$G$7:$G$2010,$D35,'LAC 102_Wkst'!$L$7:$L$2010,"01",'LAC 102_Wkst'!$N$7:$N$2010,"P2")+SUMIFS('LAC 102_Wkst'!$AE$7:$AE$2010,'LAC 102_Wkst'!$E$7:$E$2010,$C35,'LAC 102_Wkst'!$G$7:$G$2010,$D35,'LAC 102_Wkst'!$L$7:$L$2010,"01",'LAC 102_Wkst'!$N$7:$N$2010,"P3")+SUMIFS('LAC 102_Wkst'!$AE$7:$AE$2010,'LAC 102_Wkst'!$E$7:$E$2010,$C35,'LAC 102_Wkst'!$G$7:$G$2010,$D35,'LAC 102_Wkst'!$L$7:$L$2010,"02",'LAC 102_Wkst'!$N$7:$N$2010,"P1")+SUMIFS('LAC 102_Wkst'!$AE$7:$AE$2010,'LAC 102_Wkst'!$E$7:$E$2010,$C35,'LAC 102_Wkst'!$G$7:$G$2010,$D35,'LAC 102_Wkst'!$L$7:$L$2010,"02",'LAC 102_Wkst'!$N$7:$N$2010,"P2")+SUMIFS('LAC 102_Wkst'!$AE$7:$AE$2010,'LAC 102_Wkst'!$E$7:$E$2010,$C35,'LAC 102_Wkst'!$G$7:$G$2010,$D35,'LAC 102_Wkst'!$L$7:$L$2010,"02",'LAC 102_Wkst'!$N$7:$N$2010,"P3")</f>
        <v>0</v>
      </c>
      <c r="H35" s="410">
        <f>SUMIFS('LAC 102_Wkst'!$Q$7:$Q$2010,'LAC 102_Wkst'!$E$7:$E$2010,$C35,'LAC 102_Wkst'!$G$7:$G$2010,$D35,'LAC 102_Wkst'!$L$7:$L$2010,"01",'LAC 102_Wkst'!$N$7:$N$2010,"P4")+SUMIFS('LAC 102_Wkst'!$Q$7:$Q$2010,'LAC 102_Wkst'!$E$7:$E$2010,$C35,'LAC 102_Wkst'!$G$7:$G$2010,$D35,'LAC 102_Wkst'!$L$7:$L$2010,"02",'LAC 102_Wkst'!$N$7:$N$2010,"P4")</f>
        <v>0</v>
      </c>
      <c r="I35" s="411">
        <f>SUMIFS('LAC 102_Wkst'!$AE$7:$AE$2010,'LAC 102_Wkst'!$E$7:$E$2010,$C35,'LAC 102_Wkst'!$G$7:$G$2010,$D35,'LAC 102_Wkst'!$L$7:$L$2010,"01",'LAC 102_Wkst'!$N$7:$N$2010,"P4")+SUMIFS('LAC 102_Wkst'!$AE$7:$AE$2010,'LAC 102_Wkst'!$E$7:$E$2010,$C35,'LAC 102_Wkst'!$G$7:$G$2010,$D35,'LAC 102_Wkst'!$L$7:$L$2010,"02",'LAC 102_Wkst'!$N$7:$N$2010,"P4")</f>
        <v>0</v>
      </c>
      <c r="J35" s="410">
        <f>SUMIFS('LAC 102_Wkst'!$Q$7:$Q$2010,'LAC 102_Wkst'!$E$7:$E$2010,$C35,'LAC 102_Wkst'!$G$7:$G$2010,$D35,'LAC 102_Wkst'!$L$7:$L$2010,"01",'LAC 102_Wkst'!$N$7:$N$2010,"P5")+SUMIFS('LAC 102_Wkst'!$Q$7:$Q$2010,'LAC 102_Wkst'!$E$7:$E$2010,$C35,'LAC 102_Wkst'!$G$7:$G$2010,$D35,'LAC 102_Wkst'!$L$7:$L$2010,"02",'LAC 102_Wkst'!$N$7:$N$2010,"P5")</f>
        <v>0</v>
      </c>
      <c r="K35" s="411">
        <f>SUMIFS('LAC 102_Wkst'!$AE$7:$AE$2010,'LAC 102_Wkst'!$E$7:$E$2010,$C35,'LAC 102_Wkst'!$G$7:$G$2010,$D35,'LAC 102_Wkst'!$L$7:$L$2010,"01",'LAC 102_Wkst'!$N$7:$N$2010,"P5")+SUMIFS('LAC 102_Wkst'!$AE$7:$AE$2010,'LAC 102_Wkst'!$E$7:$E$2010,$C35,'LAC 102_Wkst'!$G$7:$G$2010,$D35,'LAC 102_Wkst'!$L$7:$L$2010,"02",'LAC 102_Wkst'!$N$7:$N$2010,"P5")</f>
        <v>0</v>
      </c>
      <c r="L35" s="410">
        <f>SUMIFS('LAC 102_Wkst'!$Q$7:$Q$2010,'LAC 102_Wkst'!$E$7:$E$2010,$C35,'LAC 102_Wkst'!$G$7:$G$2010,$D35,'LAC 102_Wkst'!$L$7:$L$2010,"03",'LAC 102_Wkst'!$N$7:$N$2010,"P1")+SUMIFS('LAC 102_Wkst'!$Q$7:$Q$2010,'LAC 102_Wkst'!$E$7:$E$2010,$C35,'LAC 102_Wkst'!$G$7:$G$2010,$D35,'LAC 102_Wkst'!$L$7:$L$2010,"03",'LAC 102_Wkst'!$N$7:$N$2010,"P2")+SUMIFS('LAC 102_Wkst'!$Q$7:$Q$2010,'LAC 102_Wkst'!$E$7:$E$2010,$C35,'LAC 102_Wkst'!$G$7:$G$2010,$D35,'LAC 102_Wkst'!$L$7:$L$2010,"03",'LAC 102_Wkst'!$N$7:$N$2010,"P3")+SUMIFS('LAC 102_Wkst'!$Q$7:$Q$2010,'LAC 102_Wkst'!$E$7:$E$2010,$C35,'LAC 102_Wkst'!$G$7:$G$2010,$D35,'LAC 102_Wkst'!$L$7:$L$2010,"04",'LAC 102_Wkst'!$N$7:$N$2010,"P1")+SUMIFS('LAC 102_Wkst'!$Q$7:$Q$2010,'LAC 102_Wkst'!$E$7:$E$2010,$C35,'LAC 102_Wkst'!$G$7:$G$2010,$D35,'LAC 102_Wkst'!$L$7:$L$2010,"04",'LAC 102_Wkst'!$N$7:$N$2010,"P2")+SUMIFS('LAC 102_Wkst'!$Q$7:$Q$2010,'LAC 102_Wkst'!$E$7:$E$2010,$C35,'LAC 102_Wkst'!$G$7:$G$2010,$D35,'LAC 102_Wkst'!$L$7:$L$2010,"04",'LAC 102_Wkst'!$N$7:$N$2010,"P3")</f>
        <v>0</v>
      </c>
      <c r="M35" s="411">
        <f>SUMIFS('LAC 102_Wkst'!$AE$7:$AE$2010,'LAC 102_Wkst'!$E$7:$E$2010,$C35,'LAC 102_Wkst'!$G$7:$G$2010,$D35,'LAC 102_Wkst'!$L$7:$L$2010,"03",'LAC 102_Wkst'!$N$7:$N$2010,"P1")+SUMIFS('LAC 102_Wkst'!$AE$7:$AE$2010,'LAC 102_Wkst'!$E$7:$E$2010,$C35,'LAC 102_Wkst'!$G$7:$G$2010,$D35,'LAC 102_Wkst'!$L$7:$L$2010,"03",'LAC 102_Wkst'!$N$7:$N$2010,"P2")+SUMIFS('LAC 102_Wkst'!$AE$7:$AE$2010,'LAC 102_Wkst'!$E$7:$E$2010,$C35,'LAC 102_Wkst'!$G$7:$G$2010,$D35,'LAC 102_Wkst'!$L$7:$L$2010,"03",'LAC 102_Wkst'!$N$7:$N$2010,"P3")+SUMIFS('LAC 102_Wkst'!$AE$7:$AE$2010,'LAC 102_Wkst'!$E$7:$E$2010,$C35,'LAC 102_Wkst'!$G$7:$G$2010,$D35,'LAC 102_Wkst'!$L$7:$L$2010,"04",'LAC 102_Wkst'!$N$7:$N$2010,"P1")+SUMIFS('LAC 102_Wkst'!$AE$7:$AE$2010,'LAC 102_Wkst'!$E$7:$E$2010,$C35,'LAC 102_Wkst'!$G$7:$G$2010,$D35,'LAC 102_Wkst'!$L$7:$L$2010,"04",'LAC 102_Wkst'!$N$7:$N$2010,"P2")+SUMIFS('LAC 102_Wkst'!$AE$7:$AE$2010,'LAC 102_Wkst'!$E$7:$E$2010,$C35,'LAC 102_Wkst'!$G$7:$G$2010,$D35,'LAC 102_Wkst'!$L$7:$L$2010,"04",'LAC 102_Wkst'!$N$7:$N$2010,"P3")</f>
        <v>0</v>
      </c>
      <c r="N35" s="410">
        <f>SUMIFS('LAC 102_Wkst'!$Q$7:$Q$2010,'LAC 102_Wkst'!$E$7:$E$2010,$C35,'LAC 102_Wkst'!$G$7:$G$2010,$D35,'LAC 102_Wkst'!$L$7:$L$2010,"03",'LAC 102_Wkst'!$N$7:$N$2010,"P4")+SUMIFS('LAC 102_Wkst'!$Q$7:$Q$2010,'LAC 102_Wkst'!$E$7:$E$2010,$C35,'LAC 102_Wkst'!$G$7:$G$2010,$D35,'LAC 102_Wkst'!$L$7:$L$2010,"04",'LAC 102_Wkst'!$N$7:$N$2010,"P4")</f>
        <v>0</v>
      </c>
      <c r="O35" s="411">
        <f>SUMIFS('LAC 102_Wkst'!$AE$7:$AE$2010,'LAC 102_Wkst'!$E$7:$E$2010,$C35,'LAC 102_Wkst'!$G$7:$G$2010,$D35,'LAC 102_Wkst'!$L$7:$L$2010,"03",'LAC 102_Wkst'!$N$7:$N$2010,"P4")+SUMIFS('LAC 102_Wkst'!$AE$7:$AE$2010,'LAC 102_Wkst'!$E$7:$E$2010,$C35,'LAC 102_Wkst'!$G$7:$G$2010,$D35,'LAC 102_Wkst'!$L$7:$L$2010,"04",'LAC 102_Wkst'!$N$7:$N$2010,"P4")</f>
        <v>0</v>
      </c>
      <c r="P35" s="410">
        <f>SUMIFS('LAC 102_Wkst'!$Q$7:$Q$2010,'LAC 102_Wkst'!$E$7:$E$2010,$C35,'LAC 102_Wkst'!$G$7:$G$2010,$D35,'LAC 102_Wkst'!$L$7:$L$2010,"03",'LAC 102_Wkst'!$N$7:$N$2010,"P5")+SUMIFS('LAC 102_Wkst'!$Q$7:$Q$2010,'LAC 102_Wkst'!$E$7:$E$2010,$C35,'LAC 102_Wkst'!$G$7:$G$2010,$D35,'LAC 102_Wkst'!$L$7:$L$2010,"04",'LAC 102_Wkst'!$N$7:$N$2010,"P5")</f>
        <v>0</v>
      </c>
      <c r="Q35" s="411">
        <f>SUMIFS('LAC 102_Wkst'!$AE$7:$AE$2010,'LAC 102_Wkst'!$E$7:$E$2010,$C35,'LAC 102_Wkst'!$G$7:$G$2010,$D35,'LAC 102_Wkst'!$L$7:$L$2010,"03",'LAC 102_Wkst'!$N$7:$N$2010,"P5")+SUMIFS('LAC 102_Wkst'!$AE$7:$AE$2010,'LAC 102_Wkst'!$E$7:$E$2010,$C35,'LAC 102_Wkst'!$G$7:$G$2010,$D35,'LAC 102_Wkst'!$L$7:$L$2010,"04",'LAC 102_Wkst'!$N$7:$N$2010,"P5")</f>
        <v>0</v>
      </c>
      <c r="R35" s="412">
        <f>SUMIFS('LAC 102_Wkst'!$Q$7:$Q$2010,'LAC 102_Wkst'!$E$7:$E$2010,$C35,'LAC 102_Wkst'!$G$7:$G$2010,$D35,'LAC 102_Wkst'!$L$7:$L$2010,"05",'LAC 102_Wkst'!$N$7:$N$2010,"P1")+SUMIFS('LAC 102_Wkst'!$Q$7:$Q$2010,'LAC 102_Wkst'!$E$7:$E$2010,$C35,'LAC 102_Wkst'!$G$7:$G$2010,$D35,'LAC 102_Wkst'!$L$7:$L$2010,"06",'LAC 102_Wkst'!$N$7:$N$2010,"P1")</f>
        <v>0</v>
      </c>
      <c r="S35" s="411">
        <f>SUMIFS('LAC 102_Wkst'!$AE$7:$AE$2010,'LAC 102_Wkst'!$E$7:$E$2010,$C35,'LAC 102_Wkst'!$G$7:$G$2010,$D35,'LAC 102_Wkst'!$L$7:$L$2010,"05",'LAC 102_Wkst'!$N$7:$N$2010,"P1")+SUMIFS('LAC 102_Wkst'!$AE$7:$AE$2010,'LAC 102_Wkst'!$E$7:$E$2010,$C35,'LAC 102_Wkst'!$G$7:$G$2010,$D35,'LAC 102_Wkst'!$L$7:$L$2010,"06",'LAC 102_Wkst'!$N$7:$N$2010,"P1")</f>
        <v>0</v>
      </c>
      <c r="T35" s="410">
        <f>SUMIFS('LAC 102_Wkst'!$Q$7:$Q$2010,'LAC 102_Wkst'!$E$7:$E$2010,$C35,'LAC 102_Wkst'!$G$7:$G$2010,$D35,'LAC 102_Wkst'!$L$7:$L$2010,"05",'LAC 102_Wkst'!$N$7:$N$2010,"P2")+SUMIFS('LAC 102_Wkst'!$Q$7:$Q$2010,'LAC 102_Wkst'!$E$7:$E$2010,$C35,'LAC 102_Wkst'!$G$7:$G$2010,$D35,'LAC 102_Wkst'!$L$7:$L$2010,"05",'LAC 102_Wkst'!$N$7:$N$2010,"P3")+SUMIFS('LAC 102_Wkst'!$Q$7:$Q$2010,'LAC 102_Wkst'!$E$7:$E$2010,$C35,'LAC 102_Wkst'!$G$7:$G$2010,$D35,'LAC 102_Wkst'!$L$7:$L$2010,"06",'LAC 102_Wkst'!$N$7:$N$2010,"P2")+SUMIFS('LAC 102_Wkst'!$Q$7:$Q$2010,'LAC 102_Wkst'!$E$7:$E$2010,$C35,'LAC 102_Wkst'!$G$7:$G$2010,$D35,'LAC 102_Wkst'!$L$7:$L$2010,"06",'LAC 102_Wkst'!$N$7:$N$2010,"P3")</f>
        <v>0</v>
      </c>
      <c r="U35" s="411">
        <f>SUMIFS('LAC 102_Wkst'!$AE$7:$AE$2010,'LAC 102_Wkst'!$E$7:$E$2010,$C35,'LAC 102_Wkst'!$G$7:$G$2010,$D35,'LAC 102_Wkst'!$L$7:$L$2010,"05",'LAC 102_Wkst'!$N$7:$N$2010,"P2")+SUMIFS('LAC 102_Wkst'!$AE$7:$AE$2010,'LAC 102_Wkst'!$E$7:$E$2010,$C35,'LAC 102_Wkst'!$G$7:$G$2010,$D35,'LAC 102_Wkst'!$L$7:$L$2010,"06",'LAC 102_Wkst'!$N$7:$N$2010,"P3")+SUMIFS('LAC 102_Wkst'!$AE$7:$AE$2010,'LAC 102_Wkst'!$E$7:$E$2010,$C35,'LAC 102_Wkst'!$G$7:$G$2010,$D35,'LAC 102_Wkst'!$L$7:$L$2010,"05",'LAC 102_Wkst'!$N$7:$N$2010,"P2")+SUMIFS('LAC 102_Wkst'!$AE$7:$AE$2010,'LAC 102_Wkst'!$E$7:$E$2010,$C35,'LAC 102_Wkst'!$G$7:$G$2010,$D35,'LAC 102_Wkst'!$L$7:$L$2010,"06",'LAC 102_Wkst'!$N$7:$N$2010,"P3")</f>
        <v>0</v>
      </c>
      <c r="V35" s="410">
        <f>SUMIFS('LAC 102_Wkst'!$Q$7:$Q$2010,'LAC 102_Wkst'!$E$7:$E$2010,$C35,'LAC 102_Wkst'!$G$7:$G$2010,$D35,'LAC 102_Wkst'!$L$7:$L$2010,"05",'LAC 102_Wkst'!$N$7:$N$2010,"P4")+SUMIFS('LAC 102_Wkst'!$Q$7:$Q$2010,'LAC 102_Wkst'!$E$7:$E$2010,$C35,'LAC 102_Wkst'!$G$7:$G$2010,$D35,'LAC 102_Wkst'!$L$7:$L$2010,"06",'LAC 102_Wkst'!$N$7:$N$2010,"P4")</f>
        <v>0</v>
      </c>
      <c r="W35" s="411">
        <f>SUMIFS('LAC 102_Wkst'!$AE$7:$AE$2010,'LAC 102_Wkst'!$E$7:$E$2010,$C35,'LAC 102_Wkst'!$G$7:$G$2010,$D35,'LAC 102_Wkst'!$L$7:$L$2010,"05",'LAC 102_Wkst'!$N$7:$N$2010,"P4")+SUMIFS('LAC 102_Wkst'!$AE$7:$AE$2010,'LAC 102_Wkst'!$E$7:$E$2010,$C35,'LAC 102_Wkst'!$G$7:$G$2010,$D35,'LAC 102_Wkst'!$L$7:$L$2010,"06",'LAC 102_Wkst'!$N$7:$N$2010,"P4")</f>
        <v>0</v>
      </c>
      <c r="X35" s="410">
        <f>SUMIFS('LAC 102_Wkst'!$Q$7:$Q$2010,'LAC 102_Wkst'!$E$7:$E$2010,$C35,'LAC 102_Wkst'!$G$7:$G$2010,$D35,'LAC 102_Wkst'!$L$7:$L$2010,"05",'LAC 102_Wkst'!$N$7:$N$2010,"P5")+SUMIFS('LAC 102_Wkst'!$Q$7:$Q$2010,'LAC 102_Wkst'!$E$7:$E$2010,$C35,'LAC 102_Wkst'!$G$7:$G$2010,$D35,'LAC 102_Wkst'!$L$7:$L$2010,"06",'LAC 102_Wkst'!$N$7:$N$2010,"P5")</f>
        <v>0</v>
      </c>
      <c r="Y35" s="411">
        <f>SUMIFS('LAC 102_Wkst'!$AE$7:$AE$2010,'LAC 102_Wkst'!$E$7:$E$2010,$C35,'LAC 102_Wkst'!$G$7:$G$2010,$D35,'LAC 102_Wkst'!$L$7:$L$2010,"05",'LAC 102_Wkst'!$N$7:$N$2010,"P5")+SUMIFS('LAC 102_Wkst'!$AE$7:$AE$2010,'LAC 102_Wkst'!$E$7:$E$2010,$C35,'LAC 102_Wkst'!$G$7:$G$2010,$D35,'LAC 102_Wkst'!$L$7:$L$2010,"06",'LAC 102_Wkst'!$N$7:$N$2010,"P5")</f>
        <v>0</v>
      </c>
      <c r="Z35" s="410">
        <f>SUMIFS('LAC 102_Wkst'!$Q$7:$Q$2010,'LAC 102_Wkst'!$E$7:$E$2010,$C35,'LAC 102_Wkst'!$G$7:$G$2010,$D35,'LAC 102_Wkst'!$L$7:$L$2010,"07",'LAC 102_Wkst'!$N$7:$N$2010,"P1")+SUMIFS('LAC 102_Wkst'!$Q$7:$Q$2010,'LAC 102_Wkst'!$E$7:$E$2010,$C35,'LAC 102_Wkst'!$G$7:$G$2010,$D35,'LAC 102_Wkst'!$L$7:$L$2010,"07",'LAC 102_Wkst'!$N$7:$N$2010,"P2")+SUMIFS('LAC 102_Wkst'!$Q$7:$Q$2010,'LAC 102_Wkst'!$E$7:$E$2010,$C35,'LAC 102_Wkst'!$G$7:$G$2010,$D35,'LAC 102_Wkst'!$L$7:$L$2010,"07",'LAC 102_Wkst'!$N$7:$N$2010,"P3")</f>
        <v>0</v>
      </c>
      <c r="AA35" s="411">
        <f>SUMIFS('LAC 102_Wkst'!$AE$7:$AE$2010,'LAC 102_Wkst'!$E$7:$E$2010,$C35,'LAC 102_Wkst'!$G$7:$G$2010,$D35,'LAC 102_Wkst'!$L$7:$L$2010,"07",'LAC 102_Wkst'!$N$7:$N$2010,"P1")+SUMIFS('LAC 102_Wkst'!$AE$7:$AE$2010,'LAC 102_Wkst'!$E$7:$E$2010,$C35,'LAC 102_Wkst'!$G$7:$G$2010,$D35,'LAC 102_Wkst'!$L$7:$L$2010,"07",'LAC 102_Wkst'!$N$7:$N$2010,"P2")+SUMIFS('LAC 102_Wkst'!$AE$7:$AE$2010,'LAC 102_Wkst'!$E$7:$E$2010,$C35,'LAC 102_Wkst'!$G$7:$G$2010,$D35,'LAC 102_Wkst'!$L$7:$L$2010,"07",'LAC 102_Wkst'!$N$7:$N$2010,"P3")</f>
        <v>0</v>
      </c>
      <c r="AB35" s="410">
        <f>SUMIFS('LAC 102_Wkst'!$Q$7:$Q$2010,'LAC 102_Wkst'!$E$7:$E$2010,$C35,'LAC 102_Wkst'!$G$7:$G$2010,$D35,'LAC 102_Wkst'!$L$7:$L$2010,"07",'LAC 102_Wkst'!$N$7:$N$2010,"P4")</f>
        <v>0</v>
      </c>
      <c r="AC35" s="411">
        <f>SUMIFS('LAC 102_Wkst'!$AE$7:$AE$2010,'LAC 102_Wkst'!$E$7:$E$2010,$C35,'LAC 102_Wkst'!$G$7:$G$2010,$D35,'LAC 102_Wkst'!$L$7:$L$2010,"07",'LAC 102_Wkst'!$N$7:$N$2010,"P4")</f>
        <v>0</v>
      </c>
      <c r="AD35" s="410">
        <f>SUMIFS('LAC 102_Wkst'!$Q$7:$Q$2010,'LAC 102_Wkst'!$E$7:$E$2010,$C35,'LAC 102_Wkst'!$G$7:$G$2010,$D35,'LAC 102_Wkst'!$L$7:$L$2010,"07",'LAC 102_Wkst'!$N$7:$N$2010,"P5")</f>
        <v>0</v>
      </c>
      <c r="AE35" s="411">
        <f>SUMIFS('LAC 102_Wkst'!$AE$7:$AE$2010,'LAC 102_Wkst'!$E$7:$E$2010,$C35,'LAC 102_Wkst'!$G$7:$G$2010,$D35,'LAC 102_Wkst'!$L$7:$L$2010,"07",'LAC 102_Wkst'!$N$7:$N$2010,"P5")</f>
        <v>0</v>
      </c>
      <c r="AF35" s="410">
        <f>SUMIFS('LAC 102_Wkst'!$Q$7:$Q$2010,'LAC 102_Wkst'!$E$7:$E$2010,$C35,'LAC 102_Wkst'!$G$7:$G$2010,$D35,'LAC 102_Wkst'!$L$7:$L$2010,"08",'LAC 102_Wkst'!$N$7:$N$2010,"P1")+SUMIFS('LAC 102_Wkst'!$Q$7:$Q$2010,'LAC 102_Wkst'!$E$7:$E$2010,$C35,'LAC 102_Wkst'!$G$7:$G$2010,$D35,'LAC 102_Wkst'!$L$7:$L$2010,"08",'LAC 102_Wkst'!$N$7:$N$2010,"P2")+SUMIFS('LAC 102_Wkst'!$Q$7:$Q$2010,'LAC 102_Wkst'!$E$7:$E$2010,$C35,'LAC 102_Wkst'!$G$7:$G$2010,$D35,'LAC 102_Wkst'!$L$7:$L$2010,"08",'LAC 102_Wkst'!$N$7:$N$2010,"P3")</f>
        <v>0</v>
      </c>
      <c r="AG35" s="411">
        <f>SUMIFS('LAC 102_Wkst'!$AE$7:$AE$2010,'LAC 102_Wkst'!$E$7:$E$2010,$C35,'LAC 102_Wkst'!$G$7:$G$2010,$D35,'LAC 102_Wkst'!$L$7:$L$2010,"08",'LAC 102_Wkst'!$N$7:$N$2010,"P1")+SUMIFS('LAC 102_Wkst'!$AE$7:$AE$2010,'LAC 102_Wkst'!$E$7:$E$2010,$C35,'LAC 102_Wkst'!$G$7:$G$2010,$D35,'LAC 102_Wkst'!$L$7:$L$2010,"08",'LAC 102_Wkst'!$N$7:$N$2010,"P2")+SUMIFS('LAC 102_Wkst'!$AE$7:$AE$2010,'LAC 102_Wkst'!$E$7:$E$2010,$C35,'LAC 102_Wkst'!$G$7:$G$2010,$D35,'LAC 102_Wkst'!$L$7:$L$2010,"08",'LAC 102_Wkst'!$N$7:$N$2010,"P3")</f>
        <v>0</v>
      </c>
      <c r="AH35" s="410">
        <f>SUMIFS('LAC 102_Wkst'!$Q$7:$Q$2010,'LAC 102_Wkst'!$E$7:$E$2010,$C35,'LAC 102_Wkst'!$G$7:$G$2010,$D35,'LAC 102_Wkst'!$L$7:$L$2010,"08",'LAC 102_Wkst'!$N$7:$N$2010,"P4")</f>
        <v>0</v>
      </c>
      <c r="AI35" s="411">
        <f>SUMIFS('LAC 102_Wkst'!$AE$7:$AE$2010,'LAC 102_Wkst'!$E$7:$E$2010,$C35,'LAC 102_Wkst'!$G$7:$G$2010,$D35,'LAC 102_Wkst'!$L$7:$L$2010,"08",'LAC 102_Wkst'!$N$7:$N$2010,"P4")</f>
        <v>0</v>
      </c>
      <c r="AJ35" s="410">
        <f>SUMIFS('LAC 102_Wkst'!$Q$7:$Q$2010,'LAC 102_Wkst'!$E$7:$E$2010,$C35,'LAC 102_Wkst'!$G$7:$G$2010,$D35,'LAC 102_Wkst'!$L$7:$L$2010,"08",'LAC 102_Wkst'!$N$7:$N$2010,"P5")</f>
        <v>0</v>
      </c>
      <c r="AK35" s="411">
        <f>SUMIFS('LAC 102_Wkst'!$AE$7:$AE$2010,'LAC 102_Wkst'!$E$7:$E$2010,$C35,'LAC 102_Wkst'!$G$7:$G$2010,$D35,'LAC 102_Wkst'!$L$7:$L$2010,"08",'LAC 102_Wkst'!$N$7:$N$2010,"P5")</f>
        <v>0</v>
      </c>
      <c r="AL35" s="410">
        <f>SUMIFS('LAC 102_Wkst'!$Q$7:$Q$2010,'LAC 102_Wkst'!$E$7:$E$2010,$C35,'LAC 102_Wkst'!$G$7:$G$2010,$D35,'LAC 102_Wkst'!$L$7:$L$2010,"09",'LAC 102_Wkst'!$N$7:$N$2010,"P1")+SUMIFS('LAC 102_Wkst'!$Q$7:$Q$2010,'LAC 102_Wkst'!$E$7:$E$2010,$C35,'LAC 102_Wkst'!$G$7:$G$2010,$D35,'LAC 102_Wkst'!$L$7:$L$2010,"09",'LAC 102_Wkst'!$N$7:$N$2010,"P2")+SUMIFS('LAC 102_Wkst'!$Q$7:$Q$2010,'LAC 102_Wkst'!$E$7:$E$2010,$C35,'LAC 102_Wkst'!$G$7:$G$2010,$D35,'LAC 102_Wkst'!$L$7:$L$2010,"09",'LAC 102_Wkst'!$N$7:$N$2010,"P3")+SUMIFS('LAC 102_Wkst'!$Q$7:$Q$2010,'LAC 102_Wkst'!$E$7:$E$2010,$C35,'LAC 102_Wkst'!$G$7:$G$2010,$D35,'LAC 102_Wkst'!$L$7:$L$2010,"09",'LAC 102_Wkst'!$N$7:$N$2010,"P4")</f>
        <v>0</v>
      </c>
      <c r="AM35" s="411">
        <f>SUMIFS('LAC 102_Wkst'!$AE$7:$AE$2010,'LAC 102_Wkst'!$E$7:$E$2010,$C35,'LAC 102_Wkst'!$G$7:$G$2010,$D35,'LAC 102_Wkst'!$L$7:$L$2010,"09",'LAC 102_Wkst'!$N$7:$N$2010,"P1")+SUMIFS('LAC 102_Wkst'!$AE$7:$AE$2010,'LAC 102_Wkst'!$E$7:$E$2010,$C35,'LAC 102_Wkst'!$G$7:$G$2010,$D35,'LAC 102_Wkst'!$L$7:$L$2010,"09",'LAC 102_Wkst'!$N$7:$N$2010,"P2")+SUMIFS('LAC 102_Wkst'!$AE$7:$AE$2010,'LAC 102_Wkst'!$E$7:$E$2010,$C35,'LAC 102_Wkst'!$G$7:$G$2010,$D35,'LAC 102_Wkst'!$L$7:$L$2010,"09",'LAC 102_Wkst'!$N$7:$N$2010,"P3")+SUMIFS('LAC 102_Wkst'!$AE$7:$AE$2010,'LAC 102_Wkst'!$E$7:$E$2010,$C35,'LAC 102_Wkst'!$G$7:$G$2010,$D35,'LAC 102_Wkst'!$L$7:$L$2010,"09",'LAC 102_Wkst'!$N$7:$N$2010,"P4")</f>
        <v>0</v>
      </c>
      <c r="AN35" s="410">
        <f>SUMIFS('LAC 102_Wkst'!$Q$7:$Q$2010,'LAC 102_Wkst'!$E$7:$E$2010,$C35,'LAC 102_Wkst'!$G$7:$G$2010,$D35,'LAC 102_Wkst'!$L$7:$L$2010,"09",'LAC 102_Wkst'!$N$7:$N$2010,"P5")</f>
        <v>0</v>
      </c>
      <c r="AO35" s="411">
        <f>SUMIFS('LAC 102_Wkst'!$AE$7:$AE$2010,'LAC 102_Wkst'!$E$7:$E$2010,$C35,'LAC 102_Wkst'!$G$7:$G$2010,$D35,'LAC 102_Wkst'!$L$7:$L$2010,"09",'LAC 102_Wkst'!$N$7:$N$2010,"P5")</f>
        <v>0</v>
      </c>
      <c r="AP35" s="410">
        <f>SUMIFS('LAC 102_Wkst'!$Q$7:$Q$2010,'LAC 102_Wkst'!$E$7:$E$2010,$C35,'LAC 102_Wkst'!$G$7:$G$2010,$D35,'LAC 102_Wkst'!$L$7:$L$2010,"10",'LAC 102_Wkst'!$N$7:$N$2010,"P1")+SUMIFS('LAC 102_Wkst'!$Q$7:$Q$2010,'LAC 102_Wkst'!$E$7:$E$2010,$C35,'LAC 102_Wkst'!$G$7:$G$2010,$D35,'LAC 102_Wkst'!$L$7:$L$2010,"10",'LAC 102_Wkst'!$N$7:$N$2010,"P2")+SUMIFS('LAC 102_Wkst'!$Q$7:$Q$2010,'LAC 102_Wkst'!$E$7:$E$2010,$C35,'LAC 102_Wkst'!$G$7:$G$2010,$D35,'LAC 102_Wkst'!$L$7:$L$2010,"10",'LAC 102_Wkst'!$N$7:$N$2010,"P3")+SUMIFS('LAC 102_Wkst'!$Q$7:$Q$2010,'LAC 102_Wkst'!$E$7:$E$2010,$C35,'LAC 102_Wkst'!$G$7:$G$2010,$D35,'LAC 102_Wkst'!$L$7:$L$2010,"10",'LAC 102_Wkst'!$N$7:$N$2010,"P4")</f>
        <v>0</v>
      </c>
      <c r="AQ35" s="411">
        <f>SUMIFS('LAC 102_Wkst'!$AE$7:$AE$2010,'LAC 102_Wkst'!$E$7:$E$2010,$C35,'LAC 102_Wkst'!$G$7:$G$2010,$D35,'LAC 102_Wkst'!$L$7:$L$2010,"10",'LAC 102_Wkst'!$N$7:$N$2010,"P1")+SUMIFS('LAC 102_Wkst'!$AE$7:$AE$2010,'LAC 102_Wkst'!$E$7:$E$2010,$C35,'LAC 102_Wkst'!$G$7:$G$2010,$D35,'LAC 102_Wkst'!$L$7:$L$2010,"10",'LAC 102_Wkst'!$N$7:$N$2010,"P2")+SUMIFS('LAC 102_Wkst'!$AE$7:$AE$2010,'LAC 102_Wkst'!$E$7:$E$2010,$C35,'LAC 102_Wkst'!$G$7:$G$2010,$D35,'LAC 102_Wkst'!$L$7:$L$2010,"10",'LAC 102_Wkst'!$N$7:$N$2010,"P3")+SUMIFS('LAC 102_Wkst'!$AE$7:$AE$2010,'LAC 102_Wkst'!$E$7:$E$2010,$C35,'LAC 102_Wkst'!$G$7:$G$2010,$D35,'LAC 102_Wkst'!$L$7:$L$2010,"10",'LAC 102_Wkst'!$N$7:$N$2010,"P4")</f>
        <v>0</v>
      </c>
      <c r="AR35" s="410">
        <f>SUMIFS('LAC 102_Wkst'!$Q$7:$Q$2010,'LAC 102_Wkst'!$E$7:$E$2010,$C35,'LAC 102_Wkst'!$G$7:$G$2010,$D35,'LAC 102_Wkst'!$L$7:$L$2010,"10",'LAC 102_Wkst'!$N$7:$N$2010,"P5")</f>
        <v>0</v>
      </c>
      <c r="AS35" s="411">
        <f>SUMIFS('LAC 102_Wkst'!$AE$7:$AE$2010,'LAC 102_Wkst'!$E$7:$E$2010,$C35,'LAC 102_Wkst'!$G$7:$G$2010,$D35,'LAC 102_Wkst'!$L$7:$L$2010,"10",'LAC 102_Wkst'!$N$7:$N$2010,"P5")</f>
        <v>0</v>
      </c>
      <c r="AT35" s="410">
        <f>SUMIFS('LAC 102_Wkst'!$Q$7:$Q$2010,'LAC 102_Wkst'!$E$7:$E$2010,$C35,'LAC 102_Wkst'!$G$7:$G$2010,$D35,'LAC 102_Wkst'!$L$7:$L$2010,"11",'LAC 102_Wkst'!$N$7:$N$2010,"P1")+SUMIFS('LAC 102_Wkst'!$Q$7:$Q$2010,'LAC 102_Wkst'!$E$7:$E$2010,$C35,'LAC 102_Wkst'!$G$7:$G$2010,$D35,'LAC 102_Wkst'!$L$7:$L$2010,"12",'LAC 102_Wkst'!$N$7:$N$2010,"P1")</f>
        <v>0</v>
      </c>
      <c r="AU35" s="411">
        <f>SUMIFS('LAC 102_Wkst'!$AE$7:$AE$2010,'LAC 102_Wkst'!$E$7:$E$2010,$C35,'LAC 102_Wkst'!$G$7:$G$2010,$D35,'LAC 102_Wkst'!$L$7:$L$2010,"11",'LAC 102_Wkst'!$N$7:$N$2010,"P1")+SUMIFS('LAC 102_Wkst'!$AE$7:$AE$2010,'LAC 102_Wkst'!$E$7:$E$2010,$C35,'LAC 102_Wkst'!$G$7:$G$2010,$D35,'LAC 102_Wkst'!$L$7:$L$2010,"12",'LAC 102_Wkst'!$N$7:$N$2010,"P1")</f>
        <v>0</v>
      </c>
      <c r="AV35" s="410">
        <f>SUMIFS('LAC 102_Wkst'!$Q$7:$Q$2010,'LAC 102_Wkst'!$E$7:$E$2010,$C35,'LAC 102_Wkst'!$G$7:$G$2010,$D35,'LAC 102_Wkst'!$L$7:$L$2010,"11",'LAC 102_Wkst'!$N$7:$N$2010,"P2")+SUMIFS('LAC 102_Wkst'!$Q$7:$Q$2010,'LAC 102_Wkst'!$E$7:$E$2010,$C35,'LAC 102_Wkst'!$G$7:$G$2010,$D35,'LAC 102_Wkst'!$L$7:$L$2010,"12",'LAC 102_Wkst'!$N$7:$N$2010,"P3")+SUMIFS('LAC 102_Wkst'!$Q$7:$Q$2010,'LAC 102_Wkst'!$E$7:$E$2010,$C35,'LAC 102_Wkst'!$G$7:$G$2010,$D35,'LAC 102_Wkst'!$L$7:$L$2010,"11",'LAC 102_Wkst'!$N$7:$N$2010,"P2")+SUMIFS('LAC 102_Wkst'!$Q$7:$Q$2010,'LAC 102_Wkst'!$E$7:$E$2010,$C35,'LAC 102_Wkst'!$G$7:$G$2010,$D35,'LAC 102_Wkst'!$L$7:$L$2010,"12",'LAC 102_Wkst'!$N$7:$N$2010,"P3")</f>
        <v>0</v>
      </c>
      <c r="AW35" s="411">
        <f>SUMIFS('LAC 102_Wkst'!$AE$7:$AE$2010,'LAC 102_Wkst'!$E$7:$E$2010,$C35,'LAC 102_Wkst'!$G$7:$G$2010,$D35,'LAC 102_Wkst'!$L$7:$L$2010,"11",'LAC 102_Wkst'!$N$7:$N$2010,"P2")+SUMIFS('LAC 102_Wkst'!$AE$7:$AE$2010,'LAC 102_Wkst'!$E$7:$E$2010,$C35,'LAC 102_Wkst'!$G$7:$G$2010,$D35,'LAC 102_Wkst'!$L$7:$L$2010,"12",'LAC 102_Wkst'!$N$7:$N$2010,"P3")+SUMIFS('LAC 102_Wkst'!$AE$7:$AE$2010,'LAC 102_Wkst'!$E$7:$E$2010,$C35,'LAC 102_Wkst'!$G$7:$G$2010,$D35,'LAC 102_Wkst'!$L$7:$L$2010,"11",'LAC 102_Wkst'!$N$7:$N$2010,"P2")+SUMIFS('LAC 102_Wkst'!$AE$7:$AE$2010,'LAC 102_Wkst'!$E$7:$E$2010,$C35,'LAC 102_Wkst'!$G$7:$G$2010,$D35,'LAC 102_Wkst'!$L$7:$L$2010,"12",'LAC 102_Wkst'!$N$7:$N$2010,"P3")</f>
        <v>0</v>
      </c>
      <c r="AX35" s="410">
        <f>SUMIFS('LAC 102_Wkst'!$Q$7:$Q$2010,'LAC 102_Wkst'!$E$7:$E$2010,$C35,'LAC 102_Wkst'!$G$7:$G$2010,$D35,'LAC 102_Wkst'!$L$7:$L$2010,"11",'LAC 102_Wkst'!$N$7:$N$2010,"P4")+SUMIFS('LAC 102_Wkst'!$Q$7:$Q$2010,'LAC 102_Wkst'!$E$7:$E$2010,$C35,'LAC 102_Wkst'!$G$7:$G$2010,$D35,'LAC 102_Wkst'!$L$7:$L$2010,"12",'LAC 102_Wkst'!$N$7:$N$2010,"P4")</f>
        <v>0</v>
      </c>
      <c r="AY35" s="411">
        <f>SUMIFS('LAC 102_Wkst'!$AE$7:$AE$2010,'LAC 102_Wkst'!$E$7:$E$2010,$C35,'LAC 102_Wkst'!$G$7:$G$2010,$D35,'LAC 102_Wkst'!$L$7:$L$2010,"11",'LAC 102_Wkst'!$N$7:$N$2010,"P4")+SUMIFS('LAC 102_Wkst'!$AE$7:$AE$2010,'LAC 102_Wkst'!$E$7:$E$2010,$C35,'LAC 102_Wkst'!$G$7:$G$2010,$D35,'LAC 102_Wkst'!$L$7:$L$2010,"12",'LAC 102_Wkst'!$N$7:$N$2010,"P4")</f>
        <v>0</v>
      </c>
      <c r="AZ35" s="410">
        <f>SUMIFS('LAC 102_Wkst'!$Q$7:$Q$2010,'LAC 102_Wkst'!$E$7:$E$2010,$C35,'LAC 102_Wkst'!$G$7:$G$2010,$D35,'LAC 102_Wkst'!$L$7:$L$2010,"11",'LAC 102_Wkst'!$N$7:$N$2010,"P5")+SUMIFS('LAC 102_Wkst'!$Q$7:$Q$2010,'LAC 102_Wkst'!$E$7:$E$2010,$C35,'LAC 102_Wkst'!$G$7:$G$2010,$D35,'LAC 102_Wkst'!$L$7:$L$2010,"12",'LAC 102_Wkst'!$N$7:$N$2010,"P5")</f>
        <v>0</v>
      </c>
      <c r="BA35" s="411">
        <f>SUMIFS('LAC 102_Wkst'!$AE$7:$AE$2010,'LAC 102_Wkst'!$E$7:$E$2010,$C35,'LAC 102_Wkst'!$G$7:$G$2010,$D35,'LAC 102_Wkst'!$L$7:$L$2010,"11",'LAC 102_Wkst'!$N$7:$N$2010,"P5")+SUMIFS('LAC 102_Wkst'!$AE$7:$AE$2010,'LAC 102_Wkst'!$E$7:$E$2010,$C35,'LAC 102_Wkst'!$G$7:$G$2010,$D35,'LAC 102_Wkst'!$L$7:$L$2010,"12",'LAC 102_Wkst'!$N$7:$N$2010,"P5")</f>
        <v>0</v>
      </c>
      <c r="BB35" s="410">
        <f>SUMIFS('LAC 102_Wkst'!$Q$7:$Q$2010,'LAC 102_Wkst'!$E$7:$E$2010,$C35,'LAC 102_Wkst'!$G$7:$G$2010,$D35,'LAC 102_Wkst'!$L$7:$L$2010,"13",'LAC 102_Wkst'!$N$7:$N$2010,"P1")+SUMIFS('LAC 102_Wkst'!$Q$7:$Q$2010,'LAC 102_Wkst'!$E$7:$E$2010,$C35,'LAC 102_Wkst'!$G$7:$G$2010,$D35,'LAC 102_Wkst'!$L$7:$L$2010,"13",'LAC 102_Wkst'!$N$7:$N$2010,"P2")+SUMIFS('LAC 102_Wkst'!$Q$7:$Q$2010,'LAC 102_Wkst'!$E$7:$E$2010,$C35,'LAC 102_Wkst'!$G$7:$G$2010,$D35,'LAC 102_Wkst'!$L$7:$L$2010,"13",'LAC 102_Wkst'!$N$7:$N$2010,"P3")+SUMIFS('LAC 102_Wkst'!$Q$7:$Q$2010,'LAC 102_Wkst'!$E$7:$E$2010,$C35,'LAC 102_Wkst'!$G$7:$G$2010,$D35,'LAC 102_Wkst'!$L$7:$L$2010,"13",'LAC 102_Wkst'!$N$7:$N$2010,"P4")</f>
        <v>0</v>
      </c>
      <c r="BC35" s="411">
        <f>SUMIFS('LAC 102_Wkst'!$AE$7:$AE$2010,'LAC 102_Wkst'!$E$7:$E$2010,$C35,'LAC 102_Wkst'!$G$7:$G$2010,$D35,'LAC 102_Wkst'!$L$7:$L$2010,"13",'LAC 102_Wkst'!$N$7:$N$2010,"P1")+SUMIFS('LAC 102_Wkst'!$AE$7:$AE$2010,'LAC 102_Wkst'!$E$7:$E$2010,$C35,'LAC 102_Wkst'!$G$7:$G$2010,$D35,'LAC 102_Wkst'!$L$7:$L$2010,"13",'LAC 102_Wkst'!$N$7:$N$2010,"P2")+SUMIFS('LAC 102_Wkst'!$AE$7:$AE$2010,'LAC 102_Wkst'!$E$7:$E$2010,$C35,'LAC 102_Wkst'!$G$7:$G$2010,$D35,'LAC 102_Wkst'!$L$7:$L$2010,"13",'LAC 102_Wkst'!$N$7:$N$2010,"P3")+SUMIFS('LAC 102_Wkst'!$AE$7:$AE$2010,'LAC 102_Wkst'!$E$7:$E$2010,$C35,'LAC 102_Wkst'!$G$7:$G$2010,$D35,'LAC 102_Wkst'!$L$7:$L$2010,"13",'LAC 102_Wkst'!$N$7:$N$2010,"P4")</f>
        <v>0</v>
      </c>
      <c r="BD35" s="410">
        <f>SUMIFS('LAC 102_Wkst'!$Q$7:$Q$2010,'LAC 102_Wkst'!$E$7:$E$2010,$C35,'LAC 102_Wkst'!$G$7:$G$2010,$D35,'LAC 102_Wkst'!$L$7:$L$2010,"13",'LAC 102_Wkst'!$N$7:$N$2010,"P5")</f>
        <v>0</v>
      </c>
      <c r="BE35" s="411">
        <f>SUMIFS('LAC 102_Wkst'!$AE$7:$AE$2010,'LAC 102_Wkst'!$E$7:$E$2010,$C35,'LAC 102_Wkst'!$G$7:$G$2010,$D35,'LAC 102_Wkst'!$L$7:$L$2010,"13",'LAC 102_Wkst'!$N$7:$N$2010,"P5")</f>
        <v>0</v>
      </c>
      <c r="BF35" s="407">
        <f t="shared" si="0"/>
        <v>2045</v>
      </c>
    </row>
    <row r="36" spans="1:58" x14ac:dyDescent="0.2">
      <c r="A36" s="401">
        <v>17</v>
      </c>
      <c r="B36" s="1236" t="s">
        <v>738</v>
      </c>
      <c r="C36" s="1235" t="s">
        <v>136</v>
      </c>
      <c r="D36" s="1237" t="s">
        <v>141</v>
      </c>
      <c r="E36" s="1222">
        <f>IF(CONCATENATE(C36,D36)&gt;"6069",1,SUMIFS('LAC 102_Wkst'!$Q$7:$Q$2010,'LAC 102_Wkst'!$E$7:$E$2010,Schedule_B!$C36,'LAC 102_Wkst'!$G$7:$G$2010,Schedule_B!$D36))</f>
        <v>1</v>
      </c>
      <c r="F36" s="408">
        <f>SUMIFS('LAC 102_Wkst'!$Q$7:$Q$2010,'LAC 102_Wkst'!$E$7:$E$2010,$C36,'LAC 102_Wkst'!$G$7:$G$2010,$D36,'LAC 102_Wkst'!$L$7:$L$2010,"01",'LAC 102_Wkst'!$N$7:$N$2010,"P1")+SUMIFS('LAC 102_Wkst'!$Q$7:$Q$2010,'LAC 102_Wkst'!$E$7:$E$2010,$C36,'LAC 102_Wkst'!$G$7:$G$2010,$D36,'LAC 102_Wkst'!$L$7:$L$2010,"01",'LAC 102_Wkst'!$N$7:$N$2010,"P2")+SUMIFS('LAC 102_Wkst'!$Q$7:$Q$2010,'LAC 102_Wkst'!$E$7:$E$2010,$C36,'LAC 102_Wkst'!$G$7:$G$2010,$D36,'LAC 102_Wkst'!$L$7:$L$2010,"01",'LAC 102_Wkst'!$N$7:$N$2010,"P3")+SUMIFS('LAC 102_Wkst'!$Q$7:$Q$2010,'LAC 102_Wkst'!$E$7:$E$2010,$C36,'LAC 102_Wkst'!$G$7:$G$2010,$D36,'LAC 102_Wkst'!$L$7:$L$2010,"02",'LAC 102_Wkst'!$N$7:$N$2010,"P1")+SUMIFS('LAC 102_Wkst'!$Q$7:$Q$2010,'LAC 102_Wkst'!$E$7:$E$2010,$C36,'LAC 102_Wkst'!$G$7:$G$2010,$D36,'LAC 102_Wkst'!$L$7:$L$2010,"02",'LAC 102_Wkst'!$N$7:$N$2010,"P2")+SUMIFS('LAC 102_Wkst'!$Q$7:$Q$2010,'LAC 102_Wkst'!$E$7:$E$2010,$C36,'LAC 102_Wkst'!$G$7:$G$2010,$D36,'LAC 102_Wkst'!$L$7:$L$2010,"02",'LAC 102_Wkst'!$N$7:$N$2010,"P3")</f>
        <v>0</v>
      </c>
      <c r="G36" s="409">
        <f>SUMIFS('LAC 102_Wkst'!$AE$7:$AE$2010,'LAC 102_Wkst'!$E$7:$E$2010,$C36,'LAC 102_Wkst'!$G$7:$G$2010,$D36,'LAC 102_Wkst'!$L$7:$L$2010,"01",'LAC 102_Wkst'!$N$7:$N$2010,"P1")+SUMIFS('LAC 102_Wkst'!$AE$7:$AE$2010,'LAC 102_Wkst'!$E$7:$E$2010,$C36,'LAC 102_Wkst'!$G$7:$G$2010,$D36,'LAC 102_Wkst'!$L$7:$L$2010,"01",'LAC 102_Wkst'!$N$7:$N$2010,"P2")+SUMIFS('LAC 102_Wkst'!$AE$7:$AE$2010,'LAC 102_Wkst'!$E$7:$E$2010,$C36,'LAC 102_Wkst'!$G$7:$G$2010,$D36,'LAC 102_Wkst'!$L$7:$L$2010,"01",'LAC 102_Wkst'!$N$7:$N$2010,"P3")+SUMIFS('LAC 102_Wkst'!$AE$7:$AE$2010,'LAC 102_Wkst'!$E$7:$E$2010,$C36,'LAC 102_Wkst'!$G$7:$G$2010,$D36,'LAC 102_Wkst'!$L$7:$L$2010,"02",'LAC 102_Wkst'!$N$7:$N$2010,"P1")+SUMIFS('LAC 102_Wkst'!$AE$7:$AE$2010,'LAC 102_Wkst'!$E$7:$E$2010,$C36,'LAC 102_Wkst'!$G$7:$G$2010,$D36,'LAC 102_Wkst'!$L$7:$L$2010,"02",'LAC 102_Wkst'!$N$7:$N$2010,"P2")+SUMIFS('LAC 102_Wkst'!$AE$7:$AE$2010,'LAC 102_Wkst'!$E$7:$E$2010,$C36,'LAC 102_Wkst'!$G$7:$G$2010,$D36,'LAC 102_Wkst'!$L$7:$L$2010,"02",'LAC 102_Wkst'!$N$7:$N$2010,"P3")</f>
        <v>0</v>
      </c>
      <c r="H36" s="410">
        <f>SUMIFS('LAC 102_Wkst'!$Q$7:$Q$2010,'LAC 102_Wkst'!$E$7:$E$2010,$C36,'LAC 102_Wkst'!$G$7:$G$2010,$D36,'LAC 102_Wkst'!$L$7:$L$2010,"01",'LAC 102_Wkst'!$N$7:$N$2010,"P4")+SUMIFS('LAC 102_Wkst'!$Q$7:$Q$2010,'LAC 102_Wkst'!$E$7:$E$2010,$C36,'LAC 102_Wkst'!$G$7:$G$2010,$D36,'LAC 102_Wkst'!$L$7:$L$2010,"02",'LAC 102_Wkst'!$N$7:$N$2010,"P4")</f>
        <v>0</v>
      </c>
      <c r="I36" s="411">
        <f>SUMIFS('LAC 102_Wkst'!$AE$7:$AE$2010,'LAC 102_Wkst'!$E$7:$E$2010,$C36,'LAC 102_Wkst'!$G$7:$G$2010,$D36,'LAC 102_Wkst'!$L$7:$L$2010,"01",'LAC 102_Wkst'!$N$7:$N$2010,"P4")+SUMIFS('LAC 102_Wkst'!$AE$7:$AE$2010,'LAC 102_Wkst'!$E$7:$E$2010,$C36,'LAC 102_Wkst'!$G$7:$G$2010,$D36,'LAC 102_Wkst'!$L$7:$L$2010,"02",'LAC 102_Wkst'!$N$7:$N$2010,"P4")</f>
        <v>0</v>
      </c>
      <c r="J36" s="410">
        <f>SUMIFS('LAC 102_Wkst'!$Q$7:$Q$2010,'LAC 102_Wkst'!$E$7:$E$2010,$C36,'LAC 102_Wkst'!$G$7:$G$2010,$D36,'LAC 102_Wkst'!$L$7:$L$2010,"01",'LAC 102_Wkst'!$N$7:$N$2010,"P5")+SUMIFS('LAC 102_Wkst'!$Q$7:$Q$2010,'LAC 102_Wkst'!$E$7:$E$2010,$C36,'LAC 102_Wkst'!$G$7:$G$2010,$D36,'LAC 102_Wkst'!$L$7:$L$2010,"02",'LAC 102_Wkst'!$N$7:$N$2010,"P5")</f>
        <v>0</v>
      </c>
      <c r="K36" s="411">
        <f>SUMIFS('LAC 102_Wkst'!$AE$7:$AE$2010,'LAC 102_Wkst'!$E$7:$E$2010,$C36,'LAC 102_Wkst'!$G$7:$G$2010,$D36,'LAC 102_Wkst'!$L$7:$L$2010,"01",'LAC 102_Wkst'!$N$7:$N$2010,"P5")+SUMIFS('LAC 102_Wkst'!$AE$7:$AE$2010,'LAC 102_Wkst'!$E$7:$E$2010,$C36,'LAC 102_Wkst'!$G$7:$G$2010,$D36,'LAC 102_Wkst'!$L$7:$L$2010,"02",'LAC 102_Wkst'!$N$7:$N$2010,"P5")</f>
        <v>0</v>
      </c>
      <c r="L36" s="410">
        <f>SUMIFS('LAC 102_Wkst'!$Q$7:$Q$2010,'LAC 102_Wkst'!$E$7:$E$2010,$C36,'LAC 102_Wkst'!$G$7:$G$2010,$D36,'LAC 102_Wkst'!$L$7:$L$2010,"03",'LAC 102_Wkst'!$N$7:$N$2010,"P1")+SUMIFS('LAC 102_Wkst'!$Q$7:$Q$2010,'LAC 102_Wkst'!$E$7:$E$2010,$C36,'LAC 102_Wkst'!$G$7:$G$2010,$D36,'LAC 102_Wkst'!$L$7:$L$2010,"03",'LAC 102_Wkst'!$N$7:$N$2010,"P2")+SUMIFS('LAC 102_Wkst'!$Q$7:$Q$2010,'LAC 102_Wkst'!$E$7:$E$2010,$C36,'LAC 102_Wkst'!$G$7:$G$2010,$D36,'LAC 102_Wkst'!$L$7:$L$2010,"03",'LAC 102_Wkst'!$N$7:$N$2010,"P3")+SUMIFS('LAC 102_Wkst'!$Q$7:$Q$2010,'LAC 102_Wkst'!$E$7:$E$2010,$C36,'LAC 102_Wkst'!$G$7:$G$2010,$D36,'LAC 102_Wkst'!$L$7:$L$2010,"04",'LAC 102_Wkst'!$N$7:$N$2010,"P1")+SUMIFS('LAC 102_Wkst'!$Q$7:$Q$2010,'LAC 102_Wkst'!$E$7:$E$2010,$C36,'LAC 102_Wkst'!$G$7:$G$2010,$D36,'LAC 102_Wkst'!$L$7:$L$2010,"04",'LAC 102_Wkst'!$N$7:$N$2010,"P2")+SUMIFS('LAC 102_Wkst'!$Q$7:$Q$2010,'LAC 102_Wkst'!$E$7:$E$2010,$C36,'LAC 102_Wkst'!$G$7:$G$2010,$D36,'LAC 102_Wkst'!$L$7:$L$2010,"04",'LAC 102_Wkst'!$N$7:$N$2010,"P3")</f>
        <v>0</v>
      </c>
      <c r="M36" s="411">
        <f>SUMIFS('LAC 102_Wkst'!$AE$7:$AE$2010,'LAC 102_Wkst'!$E$7:$E$2010,$C36,'LAC 102_Wkst'!$G$7:$G$2010,$D36,'LAC 102_Wkst'!$L$7:$L$2010,"03",'LAC 102_Wkst'!$N$7:$N$2010,"P1")+SUMIFS('LAC 102_Wkst'!$AE$7:$AE$2010,'LAC 102_Wkst'!$E$7:$E$2010,$C36,'LAC 102_Wkst'!$G$7:$G$2010,$D36,'LAC 102_Wkst'!$L$7:$L$2010,"03",'LAC 102_Wkst'!$N$7:$N$2010,"P2")+SUMIFS('LAC 102_Wkst'!$AE$7:$AE$2010,'LAC 102_Wkst'!$E$7:$E$2010,$C36,'LAC 102_Wkst'!$G$7:$G$2010,$D36,'LAC 102_Wkst'!$L$7:$L$2010,"03",'LAC 102_Wkst'!$N$7:$N$2010,"P3")+SUMIFS('LAC 102_Wkst'!$AE$7:$AE$2010,'LAC 102_Wkst'!$E$7:$E$2010,$C36,'LAC 102_Wkst'!$G$7:$G$2010,$D36,'LAC 102_Wkst'!$L$7:$L$2010,"04",'LAC 102_Wkst'!$N$7:$N$2010,"P1")+SUMIFS('LAC 102_Wkst'!$AE$7:$AE$2010,'LAC 102_Wkst'!$E$7:$E$2010,$C36,'LAC 102_Wkst'!$G$7:$G$2010,$D36,'LAC 102_Wkst'!$L$7:$L$2010,"04",'LAC 102_Wkst'!$N$7:$N$2010,"P2")+SUMIFS('LAC 102_Wkst'!$AE$7:$AE$2010,'LAC 102_Wkst'!$E$7:$E$2010,$C36,'LAC 102_Wkst'!$G$7:$G$2010,$D36,'LAC 102_Wkst'!$L$7:$L$2010,"04",'LAC 102_Wkst'!$N$7:$N$2010,"P3")</f>
        <v>0</v>
      </c>
      <c r="N36" s="410">
        <f>SUMIFS('LAC 102_Wkst'!$Q$7:$Q$2010,'LAC 102_Wkst'!$E$7:$E$2010,$C36,'LAC 102_Wkst'!$G$7:$G$2010,$D36,'LAC 102_Wkst'!$L$7:$L$2010,"03",'LAC 102_Wkst'!$N$7:$N$2010,"P4")+SUMIFS('LAC 102_Wkst'!$Q$7:$Q$2010,'LAC 102_Wkst'!$E$7:$E$2010,$C36,'LAC 102_Wkst'!$G$7:$G$2010,$D36,'LAC 102_Wkst'!$L$7:$L$2010,"04",'LAC 102_Wkst'!$N$7:$N$2010,"P4")</f>
        <v>0</v>
      </c>
      <c r="O36" s="411">
        <f>SUMIFS('LAC 102_Wkst'!$AE$7:$AE$2010,'LAC 102_Wkst'!$E$7:$E$2010,$C36,'LAC 102_Wkst'!$G$7:$G$2010,$D36,'LAC 102_Wkst'!$L$7:$L$2010,"03",'LAC 102_Wkst'!$N$7:$N$2010,"P4")+SUMIFS('LAC 102_Wkst'!$AE$7:$AE$2010,'LAC 102_Wkst'!$E$7:$E$2010,$C36,'LAC 102_Wkst'!$G$7:$G$2010,$D36,'LAC 102_Wkst'!$L$7:$L$2010,"04",'LAC 102_Wkst'!$N$7:$N$2010,"P4")</f>
        <v>0</v>
      </c>
      <c r="P36" s="410">
        <f>SUMIFS('LAC 102_Wkst'!$Q$7:$Q$2010,'LAC 102_Wkst'!$E$7:$E$2010,$C36,'LAC 102_Wkst'!$G$7:$G$2010,$D36,'LAC 102_Wkst'!$L$7:$L$2010,"03",'LAC 102_Wkst'!$N$7:$N$2010,"P5")+SUMIFS('LAC 102_Wkst'!$Q$7:$Q$2010,'LAC 102_Wkst'!$E$7:$E$2010,$C36,'LAC 102_Wkst'!$G$7:$G$2010,$D36,'LAC 102_Wkst'!$L$7:$L$2010,"04",'LAC 102_Wkst'!$N$7:$N$2010,"P5")</f>
        <v>0</v>
      </c>
      <c r="Q36" s="411">
        <f>SUMIFS('LAC 102_Wkst'!$AE$7:$AE$2010,'LAC 102_Wkst'!$E$7:$E$2010,$C36,'LAC 102_Wkst'!$G$7:$G$2010,$D36,'LAC 102_Wkst'!$L$7:$L$2010,"03",'LAC 102_Wkst'!$N$7:$N$2010,"P5")+SUMIFS('LAC 102_Wkst'!$AE$7:$AE$2010,'LAC 102_Wkst'!$E$7:$E$2010,$C36,'LAC 102_Wkst'!$G$7:$G$2010,$D36,'LAC 102_Wkst'!$L$7:$L$2010,"04",'LAC 102_Wkst'!$N$7:$N$2010,"P5")</f>
        <v>0</v>
      </c>
      <c r="R36" s="412">
        <f>SUMIFS('LAC 102_Wkst'!$Q$7:$Q$2010,'LAC 102_Wkst'!$E$7:$E$2010,$C36,'LAC 102_Wkst'!$G$7:$G$2010,$D36,'LAC 102_Wkst'!$L$7:$L$2010,"05",'LAC 102_Wkst'!$N$7:$N$2010,"P1")+SUMIFS('LAC 102_Wkst'!$Q$7:$Q$2010,'LAC 102_Wkst'!$E$7:$E$2010,$C36,'LAC 102_Wkst'!$G$7:$G$2010,$D36,'LAC 102_Wkst'!$L$7:$L$2010,"06",'LAC 102_Wkst'!$N$7:$N$2010,"P1")</f>
        <v>0</v>
      </c>
      <c r="S36" s="411">
        <f>SUMIFS('LAC 102_Wkst'!$AE$7:$AE$2010,'LAC 102_Wkst'!$E$7:$E$2010,$C36,'LAC 102_Wkst'!$G$7:$G$2010,$D36,'LAC 102_Wkst'!$L$7:$L$2010,"05",'LAC 102_Wkst'!$N$7:$N$2010,"P1")+SUMIFS('LAC 102_Wkst'!$AE$7:$AE$2010,'LAC 102_Wkst'!$E$7:$E$2010,$C36,'LAC 102_Wkst'!$G$7:$G$2010,$D36,'LAC 102_Wkst'!$L$7:$L$2010,"06",'LAC 102_Wkst'!$N$7:$N$2010,"P1")</f>
        <v>0</v>
      </c>
      <c r="T36" s="410">
        <f>SUMIFS('LAC 102_Wkst'!$Q$7:$Q$2010,'LAC 102_Wkst'!$E$7:$E$2010,$C36,'LAC 102_Wkst'!$G$7:$G$2010,$D36,'LAC 102_Wkst'!$L$7:$L$2010,"05",'LAC 102_Wkst'!$N$7:$N$2010,"P2")+SUMIFS('LAC 102_Wkst'!$Q$7:$Q$2010,'LAC 102_Wkst'!$E$7:$E$2010,$C36,'LAC 102_Wkst'!$G$7:$G$2010,$D36,'LAC 102_Wkst'!$L$7:$L$2010,"05",'LAC 102_Wkst'!$N$7:$N$2010,"P3")+SUMIFS('LAC 102_Wkst'!$Q$7:$Q$2010,'LAC 102_Wkst'!$E$7:$E$2010,$C36,'LAC 102_Wkst'!$G$7:$G$2010,$D36,'LAC 102_Wkst'!$L$7:$L$2010,"06",'LAC 102_Wkst'!$N$7:$N$2010,"P2")+SUMIFS('LAC 102_Wkst'!$Q$7:$Q$2010,'LAC 102_Wkst'!$E$7:$E$2010,$C36,'LAC 102_Wkst'!$G$7:$G$2010,$D36,'LAC 102_Wkst'!$L$7:$L$2010,"06",'LAC 102_Wkst'!$N$7:$N$2010,"P3")</f>
        <v>0</v>
      </c>
      <c r="U36" s="411">
        <f>SUMIFS('LAC 102_Wkst'!$AE$7:$AE$2010,'LAC 102_Wkst'!$E$7:$E$2010,$C36,'LAC 102_Wkst'!$G$7:$G$2010,$D36,'LAC 102_Wkst'!$L$7:$L$2010,"05",'LAC 102_Wkst'!$N$7:$N$2010,"P2")+SUMIFS('LAC 102_Wkst'!$AE$7:$AE$2010,'LAC 102_Wkst'!$E$7:$E$2010,$C36,'LAC 102_Wkst'!$G$7:$G$2010,$D36,'LAC 102_Wkst'!$L$7:$L$2010,"06",'LAC 102_Wkst'!$N$7:$N$2010,"P3")+SUMIFS('LAC 102_Wkst'!$AE$7:$AE$2010,'LAC 102_Wkst'!$E$7:$E$2010,$C36,'LAC 102_Wkst'!$G$7:$G$2010,$D36,'LAC 102_Wkst'!$L$7:$L$2010,"05",'LAC 102_Wkst'!$N$7:$N$2010,"P2")+SUMIFS('LAC 102_Wkst'!$AE$7:$AE$2010,'LAC 102_Wkst'!$E$7:$E$2010,$C36,'LAC 102_Wkst'!$G$7:$G$2010,$D36,'LAC 102_Wkst'!$L$7:$L$2010,"06",'LAC 102_Wkst'!$N$7:$N$2010,"P3")</f>
        <v>0</v>
      </c>
      <c r="V36" s="410">
        <f>SUMIFS('LAC 102_Wkst'!$Q$7:$Q$2010,'LAC 102_Wkst'!$E$7:$E$2010,$C36,'LAC 102_Wkst'!$G$7:$G$2010,$D36,'LAC 102_Wkst'!$L$7:$L$2010,"05",'LAC 102_Wkst'!$N$7:$N$2010,"P4")+SUMIFS('LAC 102_Wkst'!$Q$7:$Q$2010,'LAC 102_Wkst'!$E$7:$E$2010,$C36,'LAC 102_Wkst'!$G$7:$G$2010,$D36,'LAC 102_Wkst'!$L$7:$L$2010,"06",'LAC 102_Wkst'!$N$7:$N$2010,"P4")</f>
        <v>0</v>
      </c>
      <c r="W36" s="411">
        <f>SUMIFS('LAC 102_Wkst'!$AE$7:$AE$2010,'LAC 102_Wkst'!$E$7:$E$2010,$C36,'LAC 102_Wkst'!$G$7:$G$2010,$D36,'LAC 102_Wkst'!$L$7:$L$2010,"05",'LAC 102_Wkst'!$N$7:$N$2010,"P4")+SUMIFS('LAC 102_Wkst'!$AE$7:$AE$2010,'LAC 102_Wkst'!$E$7:$E$2010,$C36,'LAC 102_Wkst'!$G$7:$G$2010,$D36,'LAC 102_Wkst'!$L$7:$L$2010,"06",'LAC 102_Wkst'!$N$7:$N$2010,"P4")</f>
        <v>0</v>
      </c>
      <c r="X36" s="410">
        <f>SUMIFS('LAC 102_Wkst'!$Q$7:$Q$2010,'LAC 102_Wkst'!$E$7:$E$2010,$C36,'LAC 102_Wkst'!$G$7:$G$2010,$D36,'LAC 102_Wkst'!$L$7:$L$2010,"05",'LAC 102_Wkst'!$N$7:$N$2010,"P5")+SUMIFS('LAC 102_Wkst'!$Q$7:$Q$2010,'LAC 102_Wkst'!$E$7:$E$2010,$C36,'LAC 102_Wkst'!$G$7:$G$2010,$D36,'LAC 102_Wkst'!$L$7:$L$2010,"06",'LAC 102_Wkst'!$N$7:$N$2010,"P5")</f>
        <v>0</v>
      </c>
      <c r="Y36" s="411">
        <f>SUMIFS('LAC 102_Wkst'!$AE$7:$AE$2010,'LAC 102_Wkst'!$E$7:$E$2010,$C36,'LAC 102_Wkst'!$G$7:$G$2010,$D36,'LAC 102_Wkst'!$L$7:$L$2010,"05",'LAC 102_Wkst'!$N$7:$N$2010,"P5")+SUMIFS('LAC 102_Wkst'!$AE$7:$AE$2010,'LAC 102_Wkst'!$E$7:$E$2010,$C36,'LAC 102_Wkst'!$G$7:$G$2010,$D36,'LAC 102_Wkst'!$L$7:$L$2010,"06",'LAC 102_Wkst'!$N$7:$N$2010,"P5")</f>
        <v>0</v>
      </c>
      <c r="Z36" s="410">
        <f>SUMIFS('LAC 102_Wkst'!$Q$7:$Q$2010,'LAC 102_Wkst'!$E$7:$E$2010,$C36,'LAC 102_Wkst'!$G$7:$G$2010,$D36,'LAC 102_Wkst'!$L$7:$L$2010,"07",'LAC 102_Wkst'!$N$7:$N$2010,"P1")+SUMIFS('LAC 102_Wkst'!$Q$7:$Q$2010,'LAC 102_Wkst'!$E$7:$E$2010,$C36,'LAC 102_Wkst'!$G$7:$G$2010,$D36,'LAC 102_Wkst'!$L$7:$L$2010,"07",'LAC 102_Wkst'!$N$7:$N$2010,"P2")+SUMIFS('LAC 102_Wkst'!$Q$7:$Q$2010,'LAC 102_Wkst'!$E$7:$E$2010,$C36,'LAC 102_Wkst'!$G$7:$G$2010,$D36,'LAC 102_Wkst'!$L$7:$L$2010,"07",'LAC 102_Wkst'!$N$7:$N$2010,"P3")</f>
        <v>0</v>
      </c>
      <c r="AA36" s="411">
        <f>SUMIFS('LAC 102_Wkst'!$AE$7:$AE$2010,'LAC 102_Wkst'!$E$7:$E$2010,$C36,'LAC 102_Wkst'!$G$7:$G$2010,$D36,'LAC 102_Wkst'!$L$7:$L$2010,"07",'LAC 102_Wkst'!$N$7:$N$2010,"P1")+SUMIFS('LAC 102_Wkst'!$AE$7:$AE$2010,'LAC 102_Wkst'!$E$7:$E$2010,$C36,'LAC 102_Wkst'!$G$7:$G$2010,$D36,'LAC 102_Wkst'!$L$7:$L$2010,"07",'LAC 102_Wkst'!$N$7:$N$2010,"P2")+SUMIFS('LAC 102_Wkst'!$AE$7:$AE$2010,'LAC 102_Wkst'!$E$7:$E$2010,$C36,'LAC 102_Wkst'!$G$7:$G$2010,$D36,'LAC 102_Wkst'!$L$7:$L$2010,"07",'LAC 102_Wkst'!$N$7:$N$2010,"P3")</f>
        <v>0</v>
      </c>
      <c r="AB36" s="410">
        <f>SUMIFS('LAC 102_Wkst'!$Q$7:$Q$2010,'LAC 102_Wkst'!$E$7:$E$2010,$C36,'LAC 102_Wkst'!$G$7:$G$2010,$D36,'LAC 102_Wkst'!$L$7:$L$2010,"07",'LAC 102_Wkst'!$N$7:$N$2010,"P4")</f>
        <v>0</v>
      </c>
      <c r="AC36" s="411">
        <f>SUMIFS('LAC 102_Wkst'!$AE$7:$AE$2010,'LAC 102_Wkst'!$E$7:$E$2010,$C36,'LAC 102_Wkst'!$G$7:$G$2010,$D36,'LAC 102_Wkst'!$L$7:$L$2010,"07",'LAC 102_Wkst'!$N$7:$N$2010,"P4")</f>
        <v>0</v>
      </c>
      <c r="AD36" s="410">
        <f>SUMIFS('LAC 102_Wkst'!$Q$7:$Q$2010,'LAC 102_Wkst'!$E$7:$E$2010,$C36,'LAC 102_Wkst'!$G$7:$G$2010,$D36,'LAC 102_Wkst'!$L$7:$L$2010,"07",'LAC 102_Wkst'!$N$7:$N$2010,"P5")</f>
        <v>0</v>
      </c>
      <c r="AE36" s="411">
        <f>SUMIFS('LAC 102_Wkst'!$AE$7:$AE$2010,'LAC 102_Wkst'!$E$7:$E$2010,$C36,'LAC 102_Wkst'!$G$7:$G$2010,$D36,'LAC 102_Wkst'!$L$7:$L$2010,"07",'LAC 102_Wkst'!$N$7:$N$2010,"P5")</f>
        <v>0</v>
      </c>
      <c r="AF36" s="410">
        <f>SUMIFS('LAC 102_Wkst'!$Q$7:$Q$2010,'LAC 102_Wkst'!$E$7:$E$2010,$C36,'LAC 102_Wkst'!$G$7:$G$2010,$D36,'LAC 102_Wkst'!$L$7:$L$2010,"08",'LAC 102_Wkst'!$N$7:$N$2010,"P1")+SUMIFS('LAC 102_Wkst'!$Q$7:$Q$2010,'LAC 102_Wkst'!$E$7:$E$2010,$C36,'LAC 102_Wkst'!$G$7:$G$2010,$D36,'LAC 102_Wkst'!$L$7:$L$2010,"08",'LAC 102_Wkst'!$N$7:$N$2010,"P2")+SUMIFS('LAC 102_Wkst'!$Q$7:$Q$2010,'LAC 102_Wkst'!$E$7:$E$2010,$C36,'LAC 102_Wkst'!$G$7:$G$2010,$D36,'LAC 102_Wkst'!$L$7:$L$2010,"08",'LAC 102_Wkst'!$N$7:$N$2010,"P3")</f>
        <v>0</v>
      </c>
      <c r="AG36" s="411">
        <f>SUMIFS('LAC 102_Wkst'!$AE$7:$AE$2010,'LAC 102_Wkst'!$E$7:$E$2010,$C36,'LAC 102_Wkst'!$G$7:$G$2010,$D36,'LAC 102_Wkst'!$L$7:$L$2010,"08",'LAC 102_Wkst'!$N$7:$N$2010,"P1")+SUMIFS('LAC 102_Wkst'!$AE$7:$AE$2010,'LAC 102_Wkst'!$E$7:$E$2010,$C36,'LAC 102_Wkst'!$G$7:$G$2010,$D36,'LAC 102_Wkst'!$L$7:$L$2010,"08",'LAC 102_Wkst'!$N$7:$N$2010,"P2")+SUMIFS('LAC 102_Wkst'!$AE$7:$AE$2010,'LAC 102_Wkst'!$E$7:$E$2010,$C36,'LAC 102_Wkst'!$G$7:$G$2010,$D36,'LAC 102_Wkst'!$L$7:$L$2010,"08",'LAC 102_Wkst'!$N$7:$N$2010,"P3")</f>
        <v>0</v>
      </c>
      <c r="AH36" s="410">
        <f>SUMIFS('LAC 102_Wkst'!$Q$7:$Q$2010,'LAC 102_Wkst'!$E$7:$E$2010,$C36,'LAC 102_Wkst'!$G$7:$G$2010,$D36,'LAC 102_Wkst'!$L$7:$L$2010,"08",'LAC 102_Wkst'!$N$7:$N$2010,"P4")</f>
        <v>0</v>
      </c>
      <c r="AI36" s="411">
        <f>SUMIFS('LAC 102_Wkst'!$AE$7:$AE$2010,'LAC 102_Wkst'!$E$7:$E$2010,$C36,'LAC 102_Wkst'!$G$7:$G$2010,$D36,'LAC 102_Wkst'!$L$7:$L$2010,"08",'LAC 102_Wkst'!$N$7:$N$2010,"P4")</f>
        <v>0</v>
      </c>
      <c r="AJ36" s="410">
        <f>SUMIFS('LAC 102_Wkst'!$Q$7:$Q$2010,'LAC 102_Wkst'!$E$7:$E$2010,$C36,'LAC 102_Wkst'!$G$7:$G$2010,$D36,'LAC 102_Wkst'!$L$7:$L$2010,"08",'LAC 102_Wkst'!$N$7:$N$2010,"P5")</f>
        <v>0</v>
      </c>
      <c r="AK36" s="411">
        <f>SUMIFS('LAC 102_Wkst'!$AE$7:$AE$2010,'LAC 102_Wkst'!$E$7:$E$2010,$C36,'LAC 102_Wkst'!$G$7:$G$2010,$D36,'LAC 102_Wkst'!$L$7:$L$2010,"08",'LAC 102_Wkst'!$N$7:$N$2010,"P5")</f>
        <v>0</v>
      </c>
      <c r="AL36" s="410">
        <f>SUMIFS('LAC 102_Wkst'!$Q$7:$Q$2010,'LAC 102_Wkst'!$E$7:$E$2010,$C36,'LAC 102_Wkst'!$G$7:$G$2010,$D36,'LAC 102_Wkst'!$L$7:$L$2010,"09",'LAC 102_Wkst'!$N$7:$N$2010,"P1")+SUMIFS('LAC 102_Wkst'!$Q$7:$Q$2010,'LAC 102_Wkst'!$E$7:$E$2010,$C36,'LAC 102_Wkst'!$G$7:$G$2010,$D36,'LAC 102_Wkst'!$L$7:$L$2010,"09",'LAC 102_Wkst'!$N$7:$N$2010,"P2")+SUMIFS('LAC 102_Wkst'!$Q$7:$Q$2010,'LAC 102_Wkst'!$E$7:$E$2010,$C36,'LAC 102_Wkst'!$G$7:$G$2010,$D36,'LAC 102_Wkst'!$L$7:$L$2010,"09",'LAC 102_Wkst'!$N$7:$N$2010,"P3")+SUMIFS('LAC 102_Wkst'!$Q$7:$Q$2010,'LAC 102_Wkst'!$E$7:$E$2010,$C36,'LAC 102_Wkst'!$G$7:$G$2010,$D36,'LAC 102_Wkst'!$L$7:$L$2010,"09",'LAC 102_Wkst'!$N$7:$N$2010,"P4")</f>
        <v>0</v>
      </c>
      <c r="AM36" s="411">
        <f>SUMIFS('LAC 102_Wkst'!$AE$7:$AE$2010,'LAC 102_Wkst'!$E$7:$E$2010,$C36,'LAC 102_Wkst'!$G$7:$G$2010,$D36,'LAC 102_Wkst'!$L$7:$L$2010,"09",'LAC 102_Wkst'!$N$7:$N$2010,"P1")+SUMIFS('LAC 102_Wkst'!$AE$7:$AE$2010,'LAC 102_Wkst'!$E$7:$E$2010,$C36,'LAC 102_Wkst'!$G$7:$G$2010,$D36,'LAC 102_Wkst'!$L$7:$L$2010,"09",'LAC 102_Wkst'!$N$7:$N$2010,"P2")+SUMIFS('LAC 102_Wkst'!$AE$7:$AE$2010,'LAC 102_Wkst'!$E$7:$E$2010,$C36,'LAC 102_Wkst'!$G$7:$G$2010,$D36,'LAC 102_Wkst'!$L$7:$L$2010,"09",'LAC 102_Wkst'!$N$7:$N$2010,"P3")+SUMIFS('LAC 102_Wkst'!$AE$7:$AE$2010,'LAC 102_Wkst'!$E$7:$E$2010,$C36,'LAC 102_Wkst'!$G$7:$G$2010,$D36,'LAC 102_Wkst'!$L$7:$L$2010,"09",'LAC 102_Wkst'!$N$7:$N$2010,"P4")</f>
        <v>0</v>
      </c>
      <c r="AN36" s="410">
        <f>SUMIFS('LAC 102_Wkst'!$Q$7:$Q$2010,'LAC 102_Wkst'!$E$7:$E$2010,$C36,'LAC 102_Wkst'!$G$7:$G$2010,$D36,'LAC 102_Wkst'!$L$7:$L$2010,"09",'LAC 102_Wkst'!$N$7:$N$2010,"P5")</f>
        <v>0</v>
      </c>
      <c r="AO36" s="411">
        <f>SUMIFS('LAC 102_Wkst'!$AE$7:$AE$2010,'LAC 102_Wkst'!$E$7:$E$2010,$C36,'LAC 102_Wkst'!$G$7:$G$2010,$D36,'LAC 102_Wkst'!$L$7:$L$2010,"09",'LAC 102_Wkst'!$N$7:$N$2010,"P5")</f>
        <v>0</v>
      </c>
      <c r="AP36" s="410">
        <f>SUMIFS('LAC 102_Wkst'!$Q$7:$Q$2010,'LAC 102_Wkst'!$E$7:$E$2010,$C36,'LAC 102_Wkst'!$G$7:$G$2010,$D36,'LAC 102_Wkst'!$L$7:$L$2010,"10",'LAC 102_Wkst'!$N$7:$N$2010,"P1")+SUMIFS('LAC 102_Wkst'!$Q$7:$Q$2010,'LAC 102_Wkst'!$E$7:$E$2010,$C36,'LAC 102_Wkst'!$G$7:$G$2010,$D36,'LAC 102_Wkst'!$L$7:$L$2010,"10",'LAC 102_Wkst'!$N$7:$N$2010,"P2")+SUMIFS('LAC 102_Wkst'!$Q$7:$Q$2010,'LAC 102_Wkst'!$E$7:$E$2010,$C36,'LAC 102_Wkst'!$G$7:$G$2010,$D36,'LAC 102_Wkst'!$L$7:$L$2010,"10",'LAC 102_Wkst'!$N$7:$N$2010,"P3")+SUMIFS('LAC 102_Wkst'!$Q$7:$Q$2010,'LAC 102_Wkst'!$E$7:$E$2010,$C36,'LAC 102_Wkst'!$G$7:$G$2010,$D36,'LAC 102_Wkst'!$L$7:$L$2010,"10",'LAC 102_Wkst'!$N$7:$N$2010,"P4")</f>
        <v>0</v>
      </c>
      <c r="AQ36" s="411">
        <f>SUMIFS('LAC 102_Wkst'!$AE$7:$AE$2010,'LAC 102_Wkst'!$E$7:$E$2010,$C36,'LAC 102_Wkst'!$G$7:$G$2010,$D36,'LAC 102_Wkst'!$L$7:$L$2010,"10",'LAC 102_Wkst'!$N$7:$N$2010,"P1")+SUMIFS('LAC 102_Wkst'!$AE$7:$AE$2010,'LAC 102_Wkst'!$E$7:$E$2010,$C36,'LAC 102_Wkst'!$G$7:$G$2010,$D36,'LAC 102_Wkst'!$L$7:$L$2010,"10",'LAC 102_Wkst'!$N$7:$N$2010,"P2")+SUMIFS('LAC 102_Wkst'!$AE$7:$AE$2010,'LAC 102_Wkst'!$E$7:$E$2010,$C36,'LAC 102_Wkst'!$G$7:$G$2010,$D36,'LAC 102_Wkst'!$L$7:$L$2010,"10",'LAC 102_Wkst'!$N$7:$N$2010,"P3")+SUMIFS('LAC 102_Wkst'!$AE$7:$AE$2010,'LAC 102_Wkst'!$E$7:$E$2010,$C36,'LAC 102_Wkst'!$G$7:$G$2010,$D36,'LAC 102_Wkst'!$L$7:$L$2010,"10",'LAC 102_Wkst'!$N$7:$N$2010,"P4")</f>
        <v>0</v>
      </c>
      <c r="AR36" s="410">
        <f>SUMIFS('LAC 102_Wkst'!$Q$7:$Q$2010,'LAC 102_Wkst'!$E$7:$E$2010,$C36,'LAC 102_Wkst'!$G$7:$G$2010,$D36,'LAC 102_Wkst'!$L$7:$L$2010,"10",'LAC 102_Wkst'!$N$7:$N$2010,"P5")</f>
        <v>0</v>
      </c>
      <c r="AS36" s="411">
        <f>SUMIFS('LAC 102_Wkst'!$AE$7:$AE$2010,'LAC 102_Wkst'!$E$7:$E$2010,$C36,'LAC 102_Wkst'!$G$7:$G$2010,$D36,'LAC 102_Wkst'!$L$7:$L$2010,"10",'LAC 102_Wkst'!$N$7:$N$2010,"P5")</f>
        <v>0</v>
      </c>
      <c r="AT36" s="410">
        <f>SUMIFS('LAC 102_Wkst'!$Q$7:$Q$2010,'LAC 102_Wkst'!$E$7:$E$2010,$C36,'LAC 102_Wkst'!$G$7:$G$2010,$D36,'LAC 102_Wkst'!$L$7:$L$2010,"11",'LAC 102_Wkst'!$N$7:$N$2010,"P1")+SUMIFS('LAC 102_Wkst'!$Q$7:$Q$2010,'LAC 102_Wkst'!$E$7:$E$2010,$C36,'LAC 102_Wkst'!$G$7:$G$2010,$D36,'LAC 102_Wkst'!$L$7:$L$2010,"12",'LAC 102_Wkst'!$N$7:$N$2010,"P1")</f>
        <v>0</v>
      </c>
      <c r="AU36" s="411">
        <f>SUMIFS('LAC 102_Wkst'!$AE$7:$AE$2010,'LAC 102_Wkst'!$E$7:$E$2010,$C36,'LAC 102_Wkst'!$G$7:$G$2010,$D36,'LAC 102_Wkst'!$L$7:$L$2010,"11",'LAC 102_Wkst'!$N$7:$N$2010,"P1")+SUMIFS('LAC 102_Wkst'!$AE$7:$AE$2010,'LAC 102_Wkst'!$E$7:$E$2010,$C36,'LAC 102_Wkst'!$G$7:$G$2010,$D36,'LAC 102_Wkst'!$L$7:$L$2010,"12",'LAC 102_Wkst'!$N$7:$N$2010,"P1")</f>
        <v>0</v>
      </c>
      <c r="AV36" s="410">
        <f>SUMIFS('LAC 102_Wkst'!$Q$7:$Q$2010,'LAC 102_Wkst'!$E$7:$E$2010,$C36,'LAC 102_Wkst'!$G$7:$G$2010,$D36,'LAC 102_Wkst'!$L$7:$L$2010,"11",'LAC 102_Wkst'!$N$7:$N$2010,"P2")+SUMIFS('LAC 102_Wkst'!$Q$7:$Q$2010,'LAC 102_Wkst'!$E$7:$E$2010,$C36,'LAC 102_Wkst'!$G$7:$G$2010,$D36,'LAC 102_Wkst'!$L$7:$L$2010,"12",'LAC 102_Wkst'!$N$7:$N$2010,"P3")+SUMIFS('LAC 102_Wkst'!$Q$7:$Q$2010,'LAC 102_Wkst'!$E$7:$E$2010,$C36,'LAC 102_Wkst'!$G$7:$G$2010,$D36,'LAC 102_Wkst'!$L$7:$L$2010,"11",'LAC 102_Wkst'!$N$7:$N$2010,"P2")+SUMIFS('LAC 102_Wkst'!$Q$7:$Q$2010,'LAC 102_Wkst'!$E$7:$E$2010,$C36,'LAC 102_Wkst'!$G$7:$G$2010,$D36,'LAC 102_Wkst'!$L$7:$L$2010,"12",'LAC 102_Wkst'!$N$7:$N$2010,"P3")</f>
        <v>0</v>
      </c>
      <c r="AW36" s="411">
        <f>SUMIFS('LAC 102_Wkst'!$AE$7:$AE$2010,'LAC 102_Wkst'!$E$7:$E$2010,$C36,'LAC 102_Wkst'!$G$7:$G$2010,$D36,'LAC 102_Wkst'!$L$7:$L$2010,"11",'LAC 102_Wkst'!$N$7:$N$2010,"P2")+SUMIFS('LAC 102_Wkst'!$AE$7:$AE$2010,'LAC 102_Wkst'!$E$7:$E$2010,$C36,'LAC 102_Wkst'!$G$7:$G$2010,$D36,'LAC 102_Wkst'!$L$7:$L$2010,"12",'LAC 102_Wkst'!$N$7:$N$2010,"P3")+SUMIFS('LAC 102_Wkst'!$AE$7:$AE$2010,'LAC 102_Wkst'!$E$7:$E$2010,$C36,'LAC 102_Wkst'!$G$7:$G$2010,$D36,'LAC 102_Wkst'!$L$7:$L$2010,"11",'LAC 102_Wkst'!$N$7:$N$2010,"P2")+SUMIFS('LAC 102_Wkst'!$AE$7:$AE$2010,'LAC 102_Wkst'!$E$7:$E$2010,$C36,'LAC 102_Wkst'!$G$7:$G$2010,$D36,'LAC 102_Wkst'!$L$7:$L$2010,"12",'LAC 102_Wkst'!$N$7:$N$2010,"P3")</f>
        <v>0</v>
      </c>
      <c r="AX36" s="410">
        <f>SUMIFS('LAC 102_Wkst'!$Q$7:$Q$2010,'LAC 102_Wkst'!$E$7:$E$2010,$C36,'LAC 102_Wkst'!$G$7:$G$2010,$D36,'LAC 102_Wkst'!$L$7:$L$2010,"11",'LAC 102_Wkst'!$N$7:$N$2010,"P4")+SUMIFS('LAC 102_Wkst'!$Q$7:$Q$2010,'LAC 102_Wkst'!$E$7:$E$2010,$C36,'LAC 102_Wkst'!$G$7:$G$2010,$D36,'LAC 102_Wkst'!$L$7:$L$2010,"12",'LAC 102_Wkst'!$N$7:$N$2010,"P4")</f>
        <v>0</v>
      </c>
      <c r="AY36" s="411">
        <f>SUMIFS('LAC 102_Wkst'!$AE$7:$AE$2010,'LAC 102_Wkst'!$E$7:$E$2010,$C36,'LAC 102_Wkst'!$G$7:$G$2010,$D36,'LAC 102_Wkst'!$L$7:$L$2010,"11",'LAC 102_Wkst'!$N$7:$N$2010,"P4")+SUMIFS('LAC 102_Wkst'!$AE$7:$AE$2010,'LAC 102_Wkst'!$E$7:$E$2010,$C36,'LAC 102_Wkst'!$G$7:$G$2010,$D36,'LAC 102_Wkst'!$L$7:$L$2010,"12",'LAC 102_Wkst'!$N$7:$N$2010,"P4")</f>
        <v>0</v>
      </c>
      <c r="AZ36" s="410">
        <f>SUMIFS('LAC 102_Wkst'!$Q$7:$Q$2010,'LAC 102_Wkst'!$E$7:$E$2010,$C36,'LAC 102_Wkst'!$G$7:$G$2010,$D36,'LAC 102_Wkst'!$L$7:$L$2010,"11",'LAC 102_Wkst'!$N$7:$N$2010,"P5")+SUMIFS('LAC 102_Wkst'!$Q$7:$Q$2010,'LAC 102_Wkst'!$E$7:$E$2010,$C36,'LAC 102_Wkst'!$G$7:$G$2010,$D36,'LAC 102_Wkst'!$L$7:$L$2010,"12",'LAC 102_Wkst'!$N$7:$N$2010,"P5")</f>
        <v>0</v>
      </c>
      <c r="BA36" s="411">
        <f>SUMIFS('LAC 102_Wkst'!$AE$7:$AE$2010,'LAC 102_Wkst'!$E$7:$E$2010,$C36,'LAC 102_Wkst'!$G$7:$G$2010,$D36,'LAC 102_Wkst'!$L$7:$L$2010,"11",'LAC 102_Wkst'!$N$7:$N$2010,"P5")+SUMIFS('LAC 102_Wkst'!$AE$7:$AE$2010,'LAC 102_Wkst'!$E$7:$E$2010,$C36,'LAC 102_Wkst'!$G$7:$G$2010,$D36,'LAC 102_Wkst'!$L$7:$L$2010,"12",'LAC 102_Wkst'!$N$7:$N$2010,"P5")</f>
        <v>0</v>
      </c>
      <c r="BB36" s="410">
        <f>SUMIFS('LAC 102_Wkst'!$Q$7:$Q$2010,'LAC 102_Wkst'!$E$7:$E$2010,$C36,'LAC 102_Wkst'!$G$7:$G$2010,$D36,'LAC 102_Wkst'!$L$7:$L$2010,"13",'LAC 102_Wkst'!$N$7:$N$2010,"P1")+SUMIFS('LAC 102_Wkst'!$Q$7:$Q$2010,'LAC 102_Wkst'!$E$7:$E$2010,$C36,'LAC 102_Wkst'!$G$7:$G$2010,$D36,'LAC 102_Wkst'!$L$7:$L$2010,"13",'LAC 102_Wkst'!$N$7:$N$2010,"P2")+SUMIFS('LAC 102_Wkst'!$Q$7:$Q$2010,'LAC 102_Wkst'!$E$7:$E$2010,$C36,'LAC 102_Wkst'!$G$7:$G$2010,$D36,'LAC 102_Wkst'!$L$7:$L$2010,"13",'LAC 102_Wkst'!$N$7:$N$2010,"P3")+SUMIFS('LAC 102_Wkst'!$Q$7:$Q$2010,'LAC 102_Wkst'!$E$7:$E$2010,$C36,'LAC 102_Wkst'!$G$7:$G$2010,$D36,'LAC 102_Wkst'!$L$7:$L$2010,"13",'LAC 102_Wkst'!$N$7:$N$2010,"P4")</f>
        <v>0</v>
      </c>
      <c r="BC36" s="411">
        <f>SUMIFS('LAC 102_Wkst'!$AE$7:$AE$2010,'LAC 102_Wkst'!$E$7:$E$2010,$C36,'LAC 102_Wkst'!$G$7:$G$2010,$D36,'LAC 102_Wkst'!$L$7:$L$2010,"13",'LAC 102_Wkst'!$N$7:$N$2010,"P1")+SUMIFS('LAC 102_Wkst'!$AE$7:$AE$2010,'LAC 102_Wkst'!$E$7:$E$2010,$C36,'LAC 102_Wkst'!$G$7:$G$2010,$D36,'LAC 102_Wkst'!$L$7:$L$2010,"13",'LAC 102_Wkst'!$N$7:$N$2010,"P2")+SUMIFS('LAC 102_Wkst'!$AE$7:$AE$2010,'LAC 102_Wkst'!$E$7:$E$2010,$C36,'LAC 102_Wkst'!$G$7:$G$2010,$D36,'LAC 102_Wkst'!$L$7:$L$2010,"13",'LAC 102_Wkst'!$N$7:$N$2010,"P3")+SUMIFS('LAC 102_Wkst'!$AE$7:$AE$2010,'LAC 102_Wkst'!$E$7:$E$2010,$C36,'LAC 102_Wkst'!$G$7:$G$2010,$D36,'LAC 102_Wkst'!$L$7:$L$2010,"13",'LAC 102_Wkst'!$N$7:$N$2010,"P4")</f>
        <v>0</v>
      </c>
      <c r="BD36" s="410">
        <f>SUMIFS('LAC 102_Wkst'!$Q$7:$Q$2010,'LAC 102_Wkst'!$E$7:$E$2010,$C36,'LAC 102_Wkst'!$G$7:$G$2010,$D36,'LAC 102_Wkst'!$L$7:$L$2010,"13",'LAC 102_Wkst'!$N$7:$N$2010,"P5")</f>
        <v>0</v>
      </c>
      <c r="BE36" s="411">
        <f>SUMIFS('LAC 102_Wkst'!$AE$7:$AE$2010,'LAC 102_Wkst'!$E$7:$E$2010,$C36,'LAC 102_Wkst'!$G$7:$G$2010,$D36,'LAC 102_Wkst'!$L$7:$L$2010,"13",'LAC 102_Wkst'!$N$7:$N$2010,"P5")</f>
        <v>0</v>
      </c>
      <c r="BF36" s="407">
        <f t="shared" si="0"/>
        <v>1</v>
      </c>
    </row>
    <row r="37" spans="1:58" x14ac:dyDescent="0.2">
      <c r="A37" s="401">
        <v>18</v>
      </c>
      <c r="B37" s="1236" t="s">
        <v>738</v>
      </c>
      <c r="C37" s="1235" t="s">
        <v>136</v>
      </c>
      <c r="D37" s="1237" t="s">
        <v>143</v>
      </c>
      <c r="E37" s="1222">
        <f>IF(CONCATENATE(C37,D37)&gt;"6069",1,SUMIFS('LAC 102_Wkst'!$Q$7:$Q$2010,'LAC 102_Wkst'!$E$7:$E$2010,Schedule_B!$C37,'LAC 102_Wkst'!$G$7:$G$2010,Schedule_B!$D37))</f>
        <v>1</v>
      </c>
      <c r="F37" s="408">
        <f>SUMIFS('LAC 102_Wkst'!$Q$7:$Q$2010,'LAC 102_Wkst'!$E$7:$E$2010,$C37,'LAC 102_Wkst'!$G$7:$G$2010,$D37,'LAC 102_Wkst'!$L$7:$L$2010,"01",'LAC 102_Wkst'!$N$7:$N$2010,"P1")+SUMIFS('LAC 102_Wkst'!$Q$7:$Q$2010,'LAC 102_Wkst'!$E$7:$E$2010,$C37,'LAC 102_Wkst'!$G$7:$G$2010,$D37,'LAC 102_Wkst'!$L$7:$L$2010,"01",'LAC 102_Wkst'!$N$7:$N$2010,"P2")+SUMIFS('LAC 102_Wkst'!$Q$7:$Q$2010,'LAC 102_Wkst'!$E$7:$E$2010,$C37,'LAC 102_Wkst'!$G$7:$G$2010,$D37,'LAC 102_Wkst'!$L$7:$L$2010,"01",'LAC 102_Wkst'!$N$7:$N$2010,"P3")+SUMIFS('LAC 102_Wkst'!$Q$7:$Q$2010,'LAC 102_Wkst'!$E$7:$E$2010,$C37,'LAC 102_Wkst'!$G$7:$G$2010,$D37,'LAC 102_Wkst'!$L$7:$L$2010,"02",'LAC 102_Wkst'!$N$7:$N$2010,"P1")+SUMIFS('LAC 102_Wkst'!$Q$7:$Q$2010,'LAC 102_Wkst'!$E$7:$E$2010,$C37,'LAC 102_Wkst'!$G$7:$G$2010,$D37,'LAC 102_Wkst'!$L$7:$L$2010,"02",'LAC 102_Wkst'!$N$7:$N$2010,"P2")+SUMIFS('LAC 102_Wkst'!$Q$7:$Q$2010,'LAC 102_Wkst'!$E$7:$E$2010,$C37,'LAC 102_Wkst'!$G$7:$G$2010,$D37,'LAC 102_Wkst'!$L$7:$L$2010,"02",'LAC 102_Wkst'!$N$7:$N$2010,"P3")</f>
        <v>0</v>
      </c>
      <c r="G37" s="409">
        <f>SUMIFS('LAC 102_Wkst'!$AE$7:$AE$2010,'LAC 102_Wkst'!$E$7:$E$2010,$C37,'LAC 102_Wkst'!$G$7:$G$2010,$D37,'LAC 102_Wkst'!$L$7:$L$2010,"01",'LAC 102_Wkst'!$N$7:$N$2010,"P1")+SUMIFS('LAC 102_Wkst'!$AE$7:$AE$2010,'LAC 102_Wkst'!$E$7:$E$2010,$C37,'LAC 102_Wkst'!$G$7:$G$2010,$D37,'LAC 102_Wkst'!$L$7:$L$2010,"01",'LAC 102_Wkst'!$N$7:$N$2010,"P2")+SUMIFS('LAC 102_Wkst'!$AE$7:$AE$2010,'LAC 102_Wkst'!$E$7:$E$2010,$C37,'LAC 102_Wkst'!$G$7:$G$2010,$D37,'LAC 102_Wkst'!$L$7:$L$2010,"01",'LAC 102_Wkst'!$N$7:$N$2010,"P3")+SUMIFS('LAC 102_Wkst'!$AE$7:$AE$2010,'LAC 102_Wkst'!$E$7:$E$2010,$C37,'LAC 102_Wkst'!$G$7:$G$2010,$D37,'LAC 102_Wkst'!$L$7:$L$2010,"02",'LAC 102_Wkst'!$N$7:$N$2010,"P1")+SUMIFS('LAC 102_Wkst'!$AE$7:$AE$2010,'LAC 102_Wkst'!$E$7:$E$2010,$C37,'LAC 102_Wkst'!$G$7:$G$2010,$D37,'LAC 102_Wkst'!$L$7:$L$2010,"02",'LAC 102_Wkst'!$N$7:$N$2010,"P2")+SUMIFS('LAC 102_Wkst'!$AE$7:$AE$2010,'LAC 102_Wkst'!$E$7:$E$2010,$C37,'LAC 102_Wkst'!$G$7:$G$2010,$D37,'LAC 102_Wkst'!$L$7:$L$2010,"02",'LAC 102_Wkst'!$N$7:$N$2010,"P3")</f>
        <v>0</v>
      </c>
      <c r="H37" s="410">
        <f>SUMIFS('LAC 102_Wkst'!$Q$7:$Q$2010,'LAC 102_Wkst'!$E$7:$E$2010,$C37,'LAC 102_Wkst'!$G$7:$G$2010,$D37,'LAC 102_Wkst'!$L$7:$L$2010,"01",'LAC 102_Wkst'!$N$7:$N$2010,"P4")+SUMIFS('LAC 102_Wkst'!$Q$7:$Q$2010,'LAC 102_Wkst'!$E$7:$E$2010,$C37,'LAC 102_Wkst'!$G$7:$G$2010,$D37,'LAC 102_Wkst'!$L$7:$L$2010,"02",'LAC 102_Wkst'!$N$7:$N$2010,"P4")</f>
        <v>0</v>
      </c>
      <c r="I37" s="411">
        <f>SUMIFS('LAC 102_Wkst'!$AE$7:$AE$2010,'LAC 102_Wkst'!$E$7:$E$2010,$C37,'LAC 102_Wkst'!$G$7:$G$2010,$D37,'LAC 102_Wkst'!$L$7:$L$2010,"01",'LAC 102_Wkst'!$N$7:$N$2010,"P4")+SUMIFS('LAC 102_Wkst'!$AE$7:$AE$2010,'LAC 102_Wkst'!$E$7:$E$2010,$C37,'LAC 102_Wkst'!$G$7:$G$2010,$D37,'LAC 102_Wkst'!$L$7:$L$2010,"02",'LAC 102_Wkst'!$N$7:$N$2010,"P4")</f>
        <v>0</v>
      </c>
      <c r="J37" s="410">
        <f>SUMIFS('LAC 102_Wkst'!$Q$7:$Q$2010,'LAC 102_Wkst'!$E$7:$E$2010,$C37,'LAC 102_Wkst'!$G$7:$G$2010,$D37,'LAC 102_Wkst'!$L$7:$L$2010,"01",'LAC 102_Wkst'!$N$7:$N$2010,"P5")+SUMIFS('LAC 102_Wkst'!$Q$7:$Q$2010,'LAC 102_Wkst'!$E$7:$E$2010,$C37,'LAC 102_Wkst'!$G$7:$G$2010,$D37,'LAC 102_Wkst'!$L$7:$L$2010,"02",'LAC 102_Wkst'!$N$7:$N$2010,"P5")</f>
        <v>0</v>
      </c>
      <c r="K37" s="411">
        <f>SUMIFS('LAC 102_Wkst'!$AE$7:$AE$2010,'LAC 102_Wkst'!$E$7:$E$2010,$C37,'LAC 102_Wkst'!$G$7:$G$2010,$D37,'LAC 102_Wkst'!$L$7:$L$2010,"01",'LAC 102_Wkst'!$N$7:$N$2010,"P5")+SUMIFS('LAC 102_Wkst'!$AE$7:$AE$2010,'LAC 102_Wkst'!$E$7:$E$2010,$C37,'LAC 102_Wkst'!$G$7:$G$2010,$D37,'LAC 102_Wkst'!$L$7:$L$2010,"02",'LAC 102_Wkst'!$N$7:$N$2010,"P5")</f>
        <v>0</v>
      </c>
      <c r="L37" s="410">
        <f>SUMIFS('LAC 102_Wkst'!$Q$7:$Q$2010,'LAC 102_Wkst'!$E$7:$E$2010,$C37,'LAC 102_Wkst'!$G$7:$G$2010,$D37,'LAC 102_Wkst'!$L$7:$L$2010,"03",'LAC 102_Wkst'!$N$7:$N$2010,"P1")+SUMIFS('LAC 102_Wkst'!$Q$7:$Q$2010,'LAC 102_Wkst'!$E$7:$E$2010,$C37,'LAC 102_Wkst'!$G$7:$G$2010,$D37,'LAC 102_Wkst'!$L$7:$L$2010,"03",'LAC 102_Wkst'!$N$7:$N$2010,"P2")+SUMIFS('LAC 102_Wkst'!$Q$7:$Q$2010,'LAC 102_Wkst'!$E$7:$E$2010,$C37,'LAC 102_Wkst'!$G$7:$G$2010,$D37,'LAC 102_Wkst'!$L$7:$L$2010,"03",'LAC 102_Wkst'!$N$7:$N$2010,"P3")+SUMIFS('LAC 102_Wkst'!$Q$7:$Q$2010,'LAC 102_Wkst'!$E$7:$E$2010,$C37,'LAC 102_Wkst'!$G$7:$G$2010,$D37,'LAC 102_Wkst'!$L$7:$L$2010,"04",'LAC 102_Wkst'!$N$7:$N$2010,"P1")+SUMIFS('LAC 102_Wkst'!$Q$7:$Q$2010,'LAC 102_Wkst'!$E$7:$E$2010,$C37,'LAC 102_Wkst'!$G$7:$G$2010,$D37,'LAC 102_Wkst'!$L$7:$L$2010,"04",'LAC 102_Wkst'!$N$7:$N$2010,"P2")+SUMIFS('LAC 102_Wkst'!$Q$7:$Q$2010,'LAC 102_Wkst'!$E$7:$E$2010,$C37,'LAC 102_Wkst'!$G$7:$G$2010,$D37,'LAC 102_Wkst'!$L$7:$L$2010,"04",'LAC 102_Wkst'!$N$7:$N$2010,"P3")</f>
        <v>0</v>
      </c>
      <c r="M37" s="411">
        <f>SUMIFS('LAC 102_Wkst'!$AE$7:$AE$2010,'LAC 102_Wkst'!$E$7:$E$2010,$C37,'LAC 102_Wkst'!$G$7:$G$2010,$D37,'LAC 102_Wkst'!$L$7:$L$2010,"03",'LAC 102_Wkst'!$N$7:$N$2010,"P1")+SUMIFS('LAC 102_Wkst'!$AE$7:$AE$2010,'LAC 102_Wkst'!$E$7:$E$2010,$C37,'LAC 102_Wkst'!$G$7:$G$2010,$D37,'LAC 102_Wkst'!$L$7:$L$2010,"03",'LAC 102_Wkst'!$N$7:$N$2010,"P2")+SUMIFS('LAC 102_Wkst'!$AE$7:$AE$2010,'LAC 102_Wkst'!$E$7:$E$2010,$C37,'LAC 102_Wkst'!$G$7:$G$2010,$D37,'LAC 102_Wkst'!$L$7:$L$2010,"03",'LAC 102_Wkst'!$N$7:$N$2010,"P3")+SUMIFS('LAC 102_Wkst'!$AE$7:$AE$2010,'LAC 102_Wkst'!$E$7:$E$2010,$C37,'LAC 102_Wkst'!$G$7:$G$2010,$D37,'LAC 102_Wkst'!$L$7:$L$2010,"04",'LAC 102_Wkst'!$N$7:$N$2010,"P1")+SUMIFS('LAC 102_Wkst'!$AE$7:$AE$2010,'LAC 102_Wkst'!$E$7:$E$2010,$C37,'LAC 102_Wkst'!$G$7:$G$2010,$D37,'LAC 102_Wkst'!$L$7:$L$2010,"04",'LAC 102_Wkst'!$N$7:$N$2010,"P2")+SUMIFS('LAC 102_Wkst'!$AE$7:$AE$2010,'LAC 102_Wkst'!$E$7:$E$2010,$C37,'LAC 102_Wkst'!$G$7:$G$2010,$D37,'LAC 102_Wkst'!$L$7:$L$2010,"04",'LAC 102_Wkst'!$N$7:$N$2010,"P3")</f>
        <v>0</v>
      </c>
      <c r="N37" s="410">
        <f>SUMIFS('LAC 102_Wkst'!$Q$7:$Q$2010,'LAC 102_Wkst'!$E$7:$E$2010,$C37,'LAC 102_Wkst'!$G$7:$G$2010,$D37,'LAC 102_Wkst'!$L$7:$L$2010,"03",'LAC 102_Wkst'!$N$7:$N$2010,"P4")+SUMIFS('LAC 102_Wkst'!$Q$7:$Q$2010,'LAC 102_Wkst'!$E$7:$E$2010,$C37,'LAC 102_Wkst'!$G$7:$G$2010,$D37,'LAC 102_Wkst'!$L$7:$L$2010,"04",'LAC 102_Wkst'!$N$7:$N$2010,"P4")</f>
        <v>0</v>
      </c>
      <c r="O37" s="411">
        <f>SUMIFS('LAC 102_Wkst'!$AE$7:$AE$2010,'LAC 102_Wkst'!$E$7:$E$2010,$C37,'LAC 102_Wkst'!$G$7:$G$2010,$D37,'LAC 102_Wkst'!$L$7:$L$2010,"03",'LAC 102_Wkst'!$N$7:$N$2010,"P4")+SUMIFS('LAC 102_Wkst'!$AE$7:$AE$2010,'LAC 102_Wkst'!$E$7:$E$2010,$C37,'LAC 102_Wkst'!$G$7:$G$2010,$D37,'LAC 102_Wkst'!$L$7:$L$2010,"04",'LAC 102_Wkst'!$N$7:$N$2010,"P4")</f>
        <v>0</v>
      </c>
      <c r="P37" s="410">
        <f>SUMIFS('LAC 102_Wkst'!$Q$7:$Q$2010,'LAC 102_Wkst'!$E$7:$E$2010,$C37,'LAC 102_Wkst'!$G$7:$G$2010,$D37,'LAC 102_Wkst'!$L$7:$L$2010,"03",'LAC 102_Wkst'!$N$7:$N$2010,"P5")+SUMIFS('LAC 102_Wkst'!$Q$7:$Q$2010,'LAC 102_Wkst'!$E$7:$E$2010,$C37,'LAC 102_Wkst'!$G$7:$G$2010,$D37,'LAC 102_Wkst'!$L$7:$L$2010,"04",'LAC 102_Wkst'!$N$7:$N$2010,"P5")</f>
        <v>0</v>
      </c>
      <c r="Q37" s="411">
        <f>SUMIFS('LAC 102_Wkst'!$AE$7:$AE$2010,'LAC 102_Wkst'!$E$7:$E$2010,$C37,'LAC 102_Wkst'!$G$7:$G$2010,$D37,'LAC 102_Wkst'!$L$7:$L$2010,"03",'LAC 102_Wkst'!$N$7:$N$2010,"P5")+SUMIFS('LAC 102_Wkst'!$AE$7:$AE$2010,'LAC 102_Wkst'!$E$7:$E$2010,$C37,'LAC 102_Wkst'!$G$7:$G$2010,$D37,'LAC 102_Wkst'!$L$7:$L$2010,"04",'LAC 102_Wkst'!$N$7:$N$2010,"P5")</f>
        <v>0</v>
      </c>
      <c r="R37" s="412">
        <f>SUMIFS('LAC 102_Wkst'!$Q$7:$Q$2010,'LAC 102_Wkst'!$E$7:$E$2010,$C37,'LAC 102_Wkst'!$G$7:$G$2010,$D37,'LAC 102_Wkst'!$L$7:$L$2010,"05",'LAC 102_Wkst'!$N$7:$N$2010,"P1")+SUMIFS('LAC 102_Wkst'!$Q$7:$Q$2010,'LAC 102_Wkst'!$E$7:$E$2010,$C37,'LAC 102_Wkst'!$G$7:$G$2010,$D37,'LAC 102_Wkst'!$L$7:$L$2010,"06",'LAC 102_Wkst'!$N$7:$N$2010,"P1")</f>
        <v>0</v>
      </c>
      <c r="S37" s="411">
        <f>SUMIFS('LAC 102_Wkst'!$AE$7:$AE$2010,'LAC 102_Wkst'!$E$7:$E$2010,$C37,'LAC 102_Wkst'!$G$7:$G$2010,$D37,'LAC 102_Wkst'!$L$7:$L$2010,"05",'LAC 102_Wkst'!$N$7:$N$2010,"P1")+SUMIFS('LAC 102_Wkst'!$AE$7:$AE$2010,'LAC 102_Wkst'!$E$7:$E$2010,$C37,'LAC 102_Wkst'!$G$7:$G$2010,$D37,'LAC 102_Wkst'!$L$7:$L$2010,"06",'LAC 102_Wkst'!$N$7:$N$2010,"P1")</f>
        <v>0</v>
      </c>
      <c r="T37" s="410">
        <f>SUMIFS('LAC 102_Wkst'!$Q$7:$Q$2010,'LAC 102_Wkst'!$E$7:$E$2010,$C37,'LAC 102_Wkst'!$G$7:$G$2010,$D37,'LAC 102_Wkst'!$L$7:$L$2010,"05",'LAC 102_Wkst'!$N$7:$N$2010,"P2")+SUMIFS('LAC 102_Wkst'!$Q$7:$Q$2010,'LAC 102_Wkst'!$E$7:$E$2010,$C37,'LAC 102_Wkst'!$G$7:$G$2010,$D37,'LAC 102_Wkst'!$L$7:$L$2010,"05",'LAC 102_Wkst'!$N$7:$N$2010,"P3")+SUMIFS('LAC 102_Wkst'!$Q$7:$Q$2010,'LAC 102_Wkst'!$E$7:$E$2010,$C37,'LAC 102_Wkst'!$G$7:$G$2010,$D37,'LAC 102_Wkst'!$L$7:$L$2010,"06",'LAC 102_Wkst'!$N$7:$N$2010,"P2")+SUMIFS('LAC 102_Wkst'!$Q$7:$Q$2010,'LAC 102_Wkst'!$E$7:$E$2010,$C37,'LAC 102_Wkst'!$G$7:$G$2010,$D37,'LAC 102_Wkst'!$L$7:$L$2010,"06",'LAC 102_Wkst'!$N$7:$N$2010,"P3")</f>
        <v>0</v>
      </c>
      <c r="U37" s="411">
        <f>SUMIFS('LAC 102_Wkst'!$AE$7:$AE$2010,'LAC 102_Wkst'!$E$7:$E$2010,$C37,'LAC 102_Wkst'!$G$7:$G$2010,$D37,'LAC 102_Wkst'!$L$7:$L$2010,"05",'LAC 102_Wkst'!$N$7:$N$2010,"P2")+SUMIFS('LAC 102_Wkst'!$AE$7:$AE$2010,'LAC 102_Wkst'!$E$7:$E$2010,$C37,'LAC 102_Wkst'!$G$7:$G$2010,$D37,'LAC 102_Wkst'!$L$7:$L$2010,"06",'LAC 102_Wkst'!$N$7:$N$2010,"P3")+SUMIFS('LAC 102_Wkst'!$AE$7:$AE$2010,'LAC 102_Wkst'!$E$7:$E$2010,$C37,'LAC 102_Wkst'!$G$7:$G$2010,$D37,'LAC 102_Wkst'!$L$7:$L$2010,"05",'LAC 102_Wkst'!$N$7:$N$2010,"P2")+SUMIFS('LAC 102_Wkst'!$AE$7:$AE$2010,'LAC 102_Wkst'!$E$7:$E$2010,$C37,'LAC 102_Wkst'!$G$7:$G$2010,$D37,'LAC 102_Wkst'!$L$7:$L$2010,"06",'LAC 102_Wkst'!$N$7:$N$2010,"P3")</f>
        <v>0</v>
      </c>
      <c r="V37" s="410">
        <f>SUMIFS('LAC 102_Wkst'!$Q$7:$Q$2010,'LAC 102_Wkst'!$E$7:$E$2010,$C37,'LAC 102_Wkst'!$G$7:$G$2010,$D37,'LAC 102_Wkst'!$L$7:$L$2010,"05",'LAC 102_Wkst'!$N$7:$N$2010,"P4")+SUMIFS('LAC 102_Wkst'!$Q$7:$Q$2010,'LAC 102_Wkst'!$E$7:$E$2010,$C37,'LAC 102_Wkst'!$G$7:$G$2010,$D37,'LAC 102_Wkst'!$L$7:$L$2010,"06",'LAC 102_Wkst'!$N$7:$N$2010,"P4")</f>
        <v>0</v>
      </c>
      <c r="W37" s="411">
        <f>SUMIFS('LAC 102_Wkst'!$AE$7:$AE$2010,'LAC 102_Wkst'!$E$7:$E$2010,$C37,'LAC 102_Wkst'!$G$7:$G$2010,$D37,'LAC 102_Wkst'!$L$7:$L$2010,"05",'LAC 102_Wkst'!$N$7:$N$2010,"P4")+SUMIFS('LAC 102_Wkst'!$AE$7:$AE$2010,'LAC 102_Wkst'!$E$7:$E$2010,$C37,'LAC 102_Wkst'!$G$7:$G$2010,$D37,'LAC 102_Wkst'!$L$7:$L$2010,"06",'LAC 102_Wkst'!$N$7:$N$2010,"P4")</f>
        <v>0</v>
      </c>
      <c r="X37" s="410">
        <f>SUMIFS('LAC 102_Wkst'!$Q$7:$Q$2010,'LAC 102_Wkst'!$E$7:$E$2010,$C37,'LAC 102_Wkst'!$G$7:$G$2010,$D37,'LAC 102_Wkst'!$L$7:$L$2010,"05",'LAC 102_Wkst'!$N$7:$N$2010,"P5")+SUMIFS('LAC 102_Wkst'!$Q$7:$Q$2010,'LAC 102_Wkst'!$E$7:$E$2010,$C37,'LAC 102_Wkst'!$G$7:$G$2010,$D37,'LAC 102_Wkst'!$L$7:$L$2010,"06",'LAC 102_Wkst'!$N$7:$N$2010,"P5")</f>
        <v>0</v>
      </c>
      <c r="Y37" s="411">
        <f>SUMIFS('LAC 102_Wkst'!$AE$7:$AE$2010,'LAC 102_Wkst'!$E$7:$E$2010,$C37,'LAC 102_Wkst'!$G$7:$G$2010,$D37,'LAC 102_Wkst'!$L$7:$L$2010,"05",'LAC 102_Wkst'!$N$7:$N$2010,"P5")+SUMIFS('LAC 102_Wkst'!$AE$7:$AE$2010,'LAC 102_Wkst'!$E$7:$E$2010,$C37,'LAC 102_Wkst'!$G$7:$G$2010,$D37,'LAC 102_Wkst'!$L$7:$L$2010,"06",'LAC 102_Wkst'!$N$7:$N$2010,"P5")</f>
        <v>0</v>
      </c>
      <c r="Z37" s="410">
        <f>SUMIFS('LAC 102_Wkst'!$Q$7:$Q$2010,'LAC 102_Wkst'!$E$7:$E$2010,$C37,'LAC 102_Wkst'!$G$7:$G$2010,$D37,'LAC 102_Wkst'!$L$7:$L$2010,"07",'LAC 102_Wkst'!$N$7:$N$2010,"P1")+SUMIFS('LAC 102_Wkst'!$Q$7:$Q$2010,'LAC 102_Wkst'!$E$7:$E$2010,$C37,'LAC 102_Wkst'!$G$7:$G$2010,$D37,'LAC 102_Wkst'!$L$7:$L$2010,"07",'LAC 102_Wkst'!$N$7:$N$2010,"P2")+SUMIFS('LAC 102_Wkst'!$Q$7:$Q$2010,'LAC 102_Wkst'!$E$7:$E$2010,$C37,'LAC 102_Wkst'!$G$7:$G$2010,$D37,'LAC 102_Wkst'!$L$7:$L$2010,"07",'LAC 102_Wkst'!$N$7:$N$2010,"P3")</f>
        <v>0</v>
      </c>
      <c r="AA37" s="411">
        <f>SUMIFS('LAC 102_Wkst'!$AE$7:$AE$2010,'LAC 102_Wkst'!$E$7:$E$2010,$C37,'LAC 102_Wkst'!$G$7:$G$2010,$D37,'LAC 102_Wkst'!$L$7:$L$2010,"07",'LAC 102_Wkst'!$N$7:$N$2010,"P1")+SUMIFS('LAC 102_Wkst'!$AE$7:$AE$2010,'LAC 102_Wkst'!$E$7:$E$2010,$C37,'LAC 102_Wkst'!$G$7:$G$2010,$D37,'LAC 102_Wkst'!$L$7:$L$2010,"07",'LAC 102_Wkst'!$N$7:$N$2010,"P2")+SUMIFS('LAC 102_Wkst'!$AE$7:$AE$2010,'LAC 102_Wkst'!$E$7:$E$2010,$C37,'LAC 102_Wkst'!$G$7:$G$2010,$D37,'LAC 102_Wkst'!$L$7:$L$2010,"07",'LAC 102_Wkst'!$N$7:$N$2010,"P3")</f>
        <v>0</v>
      </c>
      <c r="AB37" s="410">
        <f>SUMIFS('LAC 102_Wkst'!$Q$7:$Q$2010,'LAC 102_Wkst'!$E$7:$E$2010,$C37,'LAC 102_Wkst'!$G$7:$G$2010,$D37,'LAC 102_Wkst'!$L$7:$L$2010,"07",'LAC 102_Wkst'!$N$7:$N$2010,"P4")</f>
        <v>0</v>
      </c>
      <c r="AC37" s="411">
        <f>SUMIFS('LAC 102_Wkst'!$AE$7:$AE$2010,'LAC 102_Wkst'!$E$7:$E$2010,$C37,'LAC 102_Wkst'!$G$7:$G$2010,$D37,'LAC 102_Wkst'!$L$7:$L$2010,"07",'LAC 102_Wkst'!$N$7:$N$2010,"P4")</f>
        <v>0</v>
      </c>
      <c r="AD37" s="410">
        <f>SUMIFS('LAC 102_Wkst'!$Q$7:$Q$2010,'LAC 102_Wkst'!$E$7:$E$2010,$C37,'LAC 102_Wkst'!$G$7:$G$2010,$D37,'LAC 102_Wkst'!$L$7:$L$2010,"07",'LAC 102_Wkst'!$N$7:$N$2010,"P5")</f>
        <v>0</v>
      </c>
      <c r="AE37" s="411">
        <f>SUMIFS('LAC 102_Wkst'!$AE$7:$AE$2010,'LAC 102_Wkst'!$E$7:$E$2010,$C37,'LAC 102_Wkst'!$G$7:$G$2010,$D37,'LAC 102_Wkst'!$L$7:$L$2010,"07",'LAC 102_Wkst'!$N$7:$N$2010,"P5")</f>
        <v>0</v>
      </c>
      <c r="AF37" s="410">
        <f>SUMIFS('LAC 102_Wkst'!$Q$7:$Q$2010,'LAC 102_Wkst'!$E$7:$E$2010,$C37,'LAC 102_Wkst'!$G$7:$G$2010,$D37,'LAC 102_Wkst'!$L$7:$L$2010,"08",'LAC 102_Wkst'!$N$7:$N$2010,"P1")+SUMIFS('LAC 102_Wkst'!$Q$7:$Q$2010,'LAC 102_Wkst'!$E$7:$E$2010,$C37,'LAC 102_Wkst'!$G$7:$G$2010,$D37,'LAC 102_Wkst'!$L$7:$L$2010,"08",'LAC 102_Wkst'!$N$7:$N$2010,"P2")+SUMIFS('LAC 102_Wkst'!$Q$7:$Q$2010,'LAC 102_Wkst'!$E$7:$E$2010,$C37,'LAC 102_Wkst'!$G$7:$G$2010,$D37,'LAC 102_Wkst'!$L$7:$L$2010,"08",'LAC 102_Wkst'!$N$7:$N$2010,"P3")</f>
        <v>0</v>
      </c>
      <c r="AG37" s="411">
        <f>SUMIFS('LAC 102_Wkst'!$AE$7:$AE$2010,'LAC 102_Wkst'!$E$7:$E$2010,$C37,'LAC 102_Wkst'!$G$7:$G$2010,$D37,'LAC 102_Wkst'!$L$7:$L$2010,"08",'LAC 102_Wkst'!$N$7:$N$2010,"P1")+SUMIFS('LAC 102_Wkst'!$AE$7:$AE$2010,'LAC 102_Wkst'!$E$7:$E$2010,$C37,'LAC 102_Wkst'!$G$7:$G$2010,$D37,'LAC 102_Wkst'!$L$7:$L$2010,"08",'LAC 102_Wkst'!$N$7:$N$2010,"P2")+SUMIFS('LAC 102_Wkst'!$AE$7:$AE$2010,'LAC 102_Wkst'!$E$7:$E$2010,$C37,'LAC 102_Wkst'!$G$7:$G$2010,$D37,'LAC 102_Wkst'!$L$7:$L$2010,"08",'LAC 102_Wkst'!$N$7:$N$2010,"P3")</f>
        <v>0</v>
      </c>
      <c r="AH37" s="410">
        <f>SUMIFS('LAC 102_Wkst'!$Q$7:$Q$2010,'LAC 102_Wkst'!$E$7:$E$2010,$C37,'LAC 102_Wkst'!$G$7:$G$2010,$D37,'LAC 102_Wkst'!$L$7:$L$2010,"08",'LAC 102_Wkst'!$N$7:$N$2010,"P4")</f>
        <v>0</v>
      </c>
      <c r="AI37" s="411">
        <f>SUMIFS('LAC 102_Wkst'!$AE$7:$AE$2010,'LAC 102_Wkst'!$E$7:$E$2010,$C37,'LAC 102_Wkst'!$G$7:$G$2010,$D37,'LAC 102_Wkst'!$L$7:$L$2010,"08",'LAC 102_Wkst'!$N$7:$N$2010,"P4")</f>
        <v>0</v>
      </c>
      <c r="AJ37" s="410">
        <f>SUMIFS('LAC 102_Wkst'!$Q$7:$Q$2010,'LAC 102_Wkst'!$E$7:$E$2010,$C37,'LAC 102_Wkst'!$G$7:$G$2010,$D37,'LAC 102_Wkst'!$L$7:$L$2010,"08",'LAC 102_Wkst'!$N$7:$N$2010,"P5")</f>
        <v>0</v>
      </c>
      <c r="AK37" s="411">
        <f>SUMIFS('LAC 102_Wkst'!$AE$7:$AE$2010,'LAC 102_Wkst'!$E$7:$E$2010,$C37,'LAC 102_Wkst'!$G$7:$G$2010,$D37,'LAC 102_Wkst'!$L$7:$L$2010,"08",'LAC 102_Wkst'!$N$7:$N$2010,"P5")</f>
        <v>0</v>
      </c>
      <c r="AL37" s="410">
        <f>SUMIFS('LAC 102_Wkst'!$Q$7:$Q$2010,'LAC 102_Wkst'!$E$7:$E$2010,$C37,'LAC 102_Wkst'!$G$7:$G$2010,$D37,'LAC 102_Wkst'!$L$7:$L$2010,"09",'LAC 102_Wkst'!$N$7:$N$2010,"P1")+SUMIFS('LAC 102_Wkst'!$Q$7:$Q$2010,'LAC 102_Wkst'!$E$7:$E$2010,$C37,'LAC 102_Wkst'!$G$7:$G$2010,$D37,'LAC 102_Wkst'!$L$7:$L$2010,"09",'LAC 102_Wkst'!$N$7:$N$2010,"P2")+SUMIFS('LAC 102_Wkst'!$Q$7:$Q$2010,'LAC 102_Wkst'!$E$7:$E$2010,$C37,'LAC 102_Wkst'!$G$7:$G$2010,$D37,'LAC 102_Wkst'!$L$7:$L$2010,"09",'LAC 102_Wkst'!$N$7:$N$2010,"P3")+SUMIFS('LAC 102_Wkst'!$Q$7:$Q$2010,'LAC 102_Wkst'!$E$7:$E$2010,$C37,'LAC 102_Wkst'!$G$7:$G$2010,$D37,'LAC 102_Wkst'!$L$7:$L$2010,"09",'LAC 102_Wkst'!$N$7:$N$2010,"P4")</f>
        <v>0</v>
      </c>
      <c r="AM37" s="411">
        <f>SUMIFS('LAC 102_Wkst'!$AE$7:$AE$2010,'LAC 102_Wkst'!$E$7:$E$2010,$C37,'LAC 102_Wkst'!$G$7:$G$2010,$D37,'LAC 102_Wkst'!$L$7:$L$2010,"09",'LAC 102_Wkst'!$N$7:$N$2010,"P1")+SUMIFS('LAC 102_Wkst'!$AE$7:$AE$2010,'LAC 102_Wkst'!$E$7:$E$2010,$C37,'LAC 102_Wkst'!$G$7:$G$2010,$D37,'LAC 102_Wkst'!$L$7:$L$2010,"09",'LAC 102_Wkst'!$N$7:$N$2010,"P2")+SUMIFS('LAC 102_Wkst'!$AE$7:$AE$2010,'LAC 102_Wkst'!$E$7:$E$2010,$C37,'LAC 102_Wkst'!$G$7:$G$2010,$D37,'LAC 102_Wkst'!$L$7:$L$2010,"09",'LAC 102_Wkst'!$N$7:$N$2010,"P3")+SUMIFS('LAC 102_Wkst'!$AE$7:$AE$2010,'LAC 102_Wkst'!$E$7:$E$2010,$C37,'LAC 102_Wkst'!$G$7:$G$2010,$D37,'LAC 102_Wkst'!$L$7:$L$2010,"09",'LAC 102_Wkst'!$N$7:$N$2010,"P4")</f>
        <v>0</v>
      </c>
      <c r="AN37" s="410">
        <f>SUMIFS('LAC 102_Wkst'!$Q$7:$Q$2010,'LAC 102_Wkst'!$E$7:$E$2010,$C37,'LAC 102_Wkst'!$G$7:$G$2010,$D37,'LAC 102_Wkst'!$L$7:$L$2010,"09",'LAC 102_Wkst'!$N$7:$N$2010,"P5")</f>
        <v>0</v>
      </c>
      <c r="AO37" s="411">
        <f>SUMIFS('LAC 102_Wkst'!$AE$7:$AE$2010,'LAC 102_Wkst'!$E$7:$E$2010,$C37,'LAC 102_Wkst'!$G$7:$G$2010,$D37,'LAC 102_Wkst'!$L$7:$L$2010,"09",'LAC 102_Wkst'!$N$7:$N$2010,"P5")</f>
        <v>0</v>
      </c>
      <c r="AP37" s="410">
        <f>SUMIFS('LAC 102_Wkst'!$Q$7:$Q$2010,'LAC 102_Wkst'!$E$7:$E$2010,$C37,'LAC 102_Wkst'!$G$7:$G$2010,$D37,'LAC 102_Wkst'!$L$7:$L$2010,"10",'LAC 102_Wkst'!$N$7:$N$2010,"P1")+SUMIFS('LAC 102_Wkst'!$Q$7:$Q$2010,'LAC 102_Wkst'!$E$7:$E$2010,$C37,'LAC 102_Wkst'!$G$7:$G$2010,$D37,'LAC 102_Wkst'!$L$7:$L$2010,"10",'LAC 102_Wkst'!$N$7:$N$2010,"P2")+SUMIFS('LAC 102_Wkst'!$Q$7:$Q$2010,'LAC 102_Wkst'!$E$7:$E$2010,$C37,'LAC 102_Wkst'!$G$7:$G$2010,$D37,'LAC 102_Wkst'!$L$7:$L$2010,"10",'LAC 102_Wkst'!$N$7:$N$2010,"P3")+SUMIFS('LAC 102_Wkst'!$Q$7:$Q$2010,'LAC 102_Wkst'!$E$7:$E$2010,$C37,'LAC 102_Wkst'!$G$7:$G$2010,$D37,'LAC 102_Wkst'!$L$7:$L$2010,"10",'LAC 102_Wkst'!$N$7:$N$2010,"P4")</f>
        <v>0</v>
      </c>
      <c r="AQ37" s="411">
        <f>SUMIFS('LAC 102_Wkst'!$AE$7:$AE$2010,'LAC 102_Wkst'!$E$7:$E$2010,$C37,'LAC 102_Wkst'!$G$7:$G$2010,$D37,'LAC 102_Wkst'!$L$7:$L$2010,"10",'LAC 102_Wkst'!$N$7:$N$2010,"P1")+SUMIFS('LAC 102_Wkst'!$AE$7:$AE$2010,'LAC 102_Wkst'!$E$7:$E$2010,$C37,'LAC 102_Wkst'!$G$7:$G$2010,$D37,'LAC 102_Wkst'!$L$7:$L$2010,"10",'LAC 102_Wkst'!$N$7:$N$2010,"P2")+SUMIFS('LAC 102_Wkst'!$AE$7:$AE$2010,'LAC 102_Wkst'!$E$7:$E$2010,$C37,'LAC 102_Wkst'!$G$7:$G$2010,$D37,'LAC 102_Wkst'!$L$7:$L$2010,"10",'LAC 102_Wkst'!$N$7:$N$2010,"P3")+SUMIFS('LAC 102_Wkst'!$AE$7:$AE$2010,'LAC 102_Wkst'!$E$7:$E$2010,$C37,'LAC 102_Wkst'!$G$7:$G$2010,$D37,'LAC 102_Wkst'!$L$7:$L$2010,"10",'LAC 102_Wkst'!$N$7:$N$2010,"P4")</f>
        <v>0</v>
      </c>
      <c r="AR37" s="410">
        <f>SUMIFS('LAC 102_Wkst'!$Q$7:$Q$2010,'LAC 102_Wkst'!$E$7:$E$2010,$C37,'LAC 102_Wkst'!$G$7:$G$2010,$D37,'LAC 102_Wkst'!$L$7:$L$2010,"10",'LAC 102_Wkst'!$N$7:$N$2010,"P5")</f>
        <v>0</v>
      </c>
      <c r="AS37" s="411">
        <f>SUMIFS('LAC 102_Wkst'!$AE$7:$AE$2010,'LAC 102_Wkst'!$E$7:$E$2010,$C37,'LAC 102_Wkst'!$G$7:$G$2010,$D37,'LAC 102_Wkst'!$L$7:$L$2010,"10",'LAC 102_Wkst'!$N$7:$N$2010,"P5")</f>
        <v>0</v>
      </c>
      <c r="AT37" s="410">
        <f>SUMIFS('LAC 102_Wkst'!$Q$7:$Q$2010,'LAC 102_Wkst'!$E$7:$E$2010,$C37,'LAC 102_Wkst'!$G$7:$G$2010,$D37,'LAC 102_Wkst'!$L$7:$L$2010,"11",'LAC 102_Wkst'!$N$7:$N$2010,"P1")+SUMIFS('LAC 102_Wkst'!$Q$7:$Q$2010,'LAC 102_Wkst'!$E$7:$E$2010,$C37,'LAC 102_Wkst'!$G$7:$G$2010,$D37,'LAC 102_Wkst'!$L$7:$L$2010,"12",'LAC 102_Wkst'!$N$7:$N$2010,"P1")</f>
        <v>0</v>
      </c>
      <c r="AU37" s="411">
        <f>SUMIFS('LAC 102_Wkst'!$AE$7:$AE$2010,'LAC 102_Wkst'!$E$7:$E$2010,$C37,'LAC 102_Wkst'!$G$7:$G$2010,$D37,'LAC 102_Wkst'!$L$7:$L$2010,"11",'LAC 102_Wkst'!$N$7:$N$2010,"P1")+SUMIFS('LAC 102_Wkst'!$AE$7:$AE$2010,'LAC 102_Wkst'!$E$7:$E$2010,$C37,'LAC 102_Wkst'!$G$7:$G$2010,$D37,'LAC 102_Wkst'!$L$7:$L$2010,"12",'LAC 102_Wkst'!$N$7:$N$2010,"P1")</f>
        <v>0</v>
      </c>
      <c r="AV37" s="410">
        <f>SUMIFS('LAC 102_Wkst'!$Q$7:$Q$2010,'LAC 102_Wkst'!$E$7:$E$2010,$C37,'LAC 102_Wkst'!$G$7:$G$2010,$D37,'LAC 102_Wkst'!$L$7:$L$2010,"11",'LAC 102_Wkst'!$N$7:$N$2010,"P2")+SUMIFS('LAC 102_Wkst'!$Q$7:$Q$2010,'LAC 102_Wkst'!$E$7:$E$2010,$C37,'LAC 102_Wkst'!$G$7:$G$2010,$D37,'LAC 102_Wkst'!$L$7:$L$2010,"12",'LAC 102_Wkst'!$N$7:$N$2010,"P3")+SUMIFS('LAC 102_Wkst'!$Q$7:$Q$2010,'LAC 102_Wkst'!$E$7:$E$2010,$C37,'LAC 102_Wkst'!$G$7:$G$2010,$D37,'LAC 102_Wkst'!$L$7:$L$2010,"11",'LAC 102_Wkst'!$N$7:$N$2010,"P2")+SUMIFS('LAC 102_Wkst'!$Q$7:$Q$2010,'LAC 102_Wkst'!$E$7:$E$2010,$C37,'LAC 102_Wkst'!$G$7:$G$2010,$D37,'LAC 102_Wkst'!$L$7:$L$2010,"12",'LAC 102_Wkst'!$N$7:$N$2010,"P3")</f>
        <v>0</v>
      </c>
      <c r="AW37" s="411">
        <f>SUMIFS('LAC 102_Wkst'!$AE$7:$AE$2010,'LAC 102_Wkst'!$E$7:$E$2010,$C37,'LAC 102_Wkst'!$G$7:$G$2010,$D37,'LAC 102_Wkst'!$L$7:$L$2010,"11",'LAC 102_Wkst'!$N$7:$N$2010,"P2")+SUMIFS('LAC 102_Wkst'!$AE$7:$AE$2010,'LAC 102_Wkst'!$E$7:$E$2010,$C37,'LAC 102_Wkst'!$G$7:$G$2010,$D37,'LAC 102_Wkst'!$L$7:$L$2010,"12",'LAC 102_Wkst'!$N$7:$N$2010,"P3")+SUMIFS('LAC 102_Wkst'!$AE$7:$AE$2010,'LAC 102_Wkst'!$E$7:$E$2010,$C37,'LAC 102_Wkst'!$G$7:$G$2010,$D37,'LAC 102_Wkst'!$L$7:$L$2010,"11",'LAC 102_Wkst'!$N$7:$N$2010,"P2")+SUMIFS('LAC 102_Wkst'!$AE$7:$AE$2010,'LAC 102_Wkst'!$E$7:$E$2010,$C37,'LAC 102_Wkst'!$G$7:$G$2010,$D37,'LAC 102_Wkst'!$L$7:$L$2010,"12",'LAC 102_Wkst'!$N$7:$N$2010,"P3")</f>
        <v>0</v>
      </c>
      <c r="AX37" s="410">
        <f>SUMIFS('LAC 102_Wkst'!$Q$7:$Q$2010,'LAC 102_Wkst'!$E$7:$E$2010,$C37,'LAC 102_Wkst'!$G$7:$G$2010,$D37,'LAC 102_Wkst'!$L$7:$L$2010,"11",'LAC 102_Wkst'!$N$7:$N$2010,"P4")+SUMIFS('LAC 102_Wkst'!$Q$7:$Q$2010,'LAC 102_Wkst'!$E$7:$E$2010,$C37,'LAC 102_Wkst'!$G$7:$G$2010,$D37,'LAC 102_Wkst'!$L$7:$L$2010,"12",'LAC 102_Wkst'!$N$7:$N$2010,"P4")</f>
        <v>0</v>
      </c>
      <c r="AY37" s="411">
        <f>SUMIFS('LAC 102_Wkst'!$AE$7:$AE$2010,'LAC 102_Wkst'!$E$7:$E$2010,$C37,'LAC 102_Wkst'!$G$7:$G$2010,$D37,'LAC 102_Wkst'!$L$7:$L$2010,"11",'LAC 102_Wkst'!$N$7:$N$2010,"P4")+SUMIFS('LAC 102_Wkst'!$AE$7:$AE$2010,'LAC 102_Wkst'!$E$7:$E$2010,$C37,'LAC 102_Wkst'!$G$7:$G$2010,$D37,'LAC 102_Wkst'!$L$7:$L$2010,"12",'LAC 102_Wkst'!$N$7:$N$2010,"P4")</f>
        <v>0</v>
      </c>
      <c r="AZ37" s="410">
        <f>SUMIFS('LAC 102_Wkst'!$Q$7:$Q$2010,'LAC 102_Wkst'!$E$7:$E$2010,$C37,'LAC 102_Wkst'!$G$7:$G$2010,$D37,'LAC 102_Wkst'!$L$7:$L$2010,"11",'LAC 102_Wkst'!$N$7:$N$2010,"P5")+SUMIFS('LAC 102_Wkst'!$Q$7:$Q$2010,'LAC 102_Wkst'!$E$7:$E$2010,$C37,'LAC 102_Wkst'!$G$7:$G$2010,$D37,'LAC 102_Wkst'!$L$7:$L$2010,"12",'LAC 102_Wkst'!$N$7:$N$2010,"P5")</f>
        <v>0</v>
      </c>
      <c r="BA37" s="411">
        <f>SUMIFS('LAC 102_Wkst'!$AE$7:$AE$2010,'LAC 102_Wkst'!$E$7:$E$2010,$C37,'LAC 102_Wkst'!$G$7:$G$2010,$D37,'LAC 102_Wkst'!$L$7:$L$2010,"11",'LAC 102_Wkst'!$N$7:$N$2010,"P5")+SUMIFS('LAC 102_Wkst'!$AE$7:$AE$2010,'LAC 102_Wkst'!$E$7:$E$2010,$C37,'LAC 102_Wkst'!$G$7:$G$2010,$D37,'LAC 102_Wkst'!$L$7:$L$2010,"12",'LAC 102_Wkst'!$N$7:$N$2010,"P5")</f>
        <v>0</v>
      </c>
      <c r="BB37" s="410">
        <f>SUMIFS('LAC 102_Wkst'!$Q$7:$Q$2010,'LAC 102_Wkst'!$E$7:$E$2010,$C37,'LAC 102_Wkst'!$G$7:$G$2010,$D37,'LAC 102_Wkst'!$L$7:$L$2010,"13",'LAC 102_Wkst'!$N$7:$N$2010,"P1")+SUMIFS('LAC 102_Wkst'!$Q$7:$Q$2010,'LAC 102_Wkst'!$E$7:$E$2010,$C37,'LAC 102_Wkst'!$G$7:$G$2010,$D37,'LAC 102_Wkst'!$L$7:$L$2010,"13",'LAC 102_Wkst'!$N$7:$N$2010,"P2")+SUMIFS('LAC 102_Wkst'!$Q$7:$Q$2010,'LAC 102_Wkst'!$E$7:$E$2010,$C37,'LAC 102_Wkst'!$G$7:$G$2010,$D37,'LAC 102_Wkst'!$L$7:$L$2010,"13",'LAC 102_Wkst'!$N$7:$N$2010,"P3")+SUMIFS('LAC 102_Wkst'!$Q$7:$Q$2010,'LAC 102_Wkst'!$E$7:$E$2010,$C37,'LAC 102_Wkst'!$G$7:$G$2010,$D37,'LAC 102_Wkst'!$L$7:$L$2010,"13",'LAC 102_Wkst'!$N$7:$N$2010,"P4")</f>
        <v>0</v>
      </c>
      <c r="BC37" s="411">
        <f>SUMIFS('LAC 102_Wkst'!$AE$7:$AE$2010,'LAC 102_Wkst'!$E$7:$E$2010,$C37,'LAC 102_Wkst'!$G$7:$G$2010,$D37,'LAC 102_Wkst'!$L$7:$L$2010,"13",'LAC 102_Wkst'!$N$7:$N$2010,"P1")+SUMIFS('LAC 102_Wkst'!$AE$7:$AE$2010,'LAC 102_Wkst'!$E$7:$E$2010,$C37,'LAC 102_Wkst'!$G$7:$G$2010,$D37,'LAC 102_Wkst'!$L$7:$L$2010,"13",'LAC 102_Wkst'!$N$7:$N$2010,"P2")+SUMIFS('LAC 102_Wkst'!$AE$7:$AE$2010,'LAC 102_Wkst'!$E$7:$E$2010,$C37,'LAC 102_Wkst'!$G$7:$G$2010,$D37,'LAC 102_Wkst'!$L$7:$L$2010,"13",'LAC 102_Wkst'!$N$7:$N$2010,"P3")+SUMIFS('LAC 102_Wkst'!$AE$7:$AE$2010,'LAC 102_Wkst'!$E$7:$E$2010,$C37,'LAC 102_Wkst'!$G$7:$G$2010,$D37,'LAC 102_Wkst'!$L$7:$L$2010,"13",'LAC 102_Wkst'!$N$7:$N$2010,"P4")</f>
        <v>0</v>
      </c>
      <c r="BD37" s="410">
        <f>SUMIFS('LAC 102_Wkst'!$Q$7:$Q$2010,'LAC 102_Wkst'!$E$7:$E$2010,$C37,'LAC 102_Wkst'!$G$7:$G$2010,$D37,'LAC 102_Wkst'!$L$7:$L$2010,"13",'LAC 102_Wkst'!$N$7:$N$2010,"P5")</f>
        <v>0</v>
      </c>
      <c r="BE37" s="411">
        <f>SUMIFS('LAC 102_Wkst'!$AE$7:$AE$2010,'LAC 102_Wkst'!$E$7:$E$2010,$C37,'LAC 102_Wkst'!$G$7:$G$2010,$D37,'LAC 102_Wkst'!$L$7:$L$2010,"13",'LAC 102_Wkst'!$N$7:$N$2010,"P5")</f>
        <v>0</v>
      </c>
      <c r="BF37" s="407">
        <f t="shared" si="0"/>
        <v>1</v>
      </c>
    </row>
    <row r="38" spans="1:58" x14ac:dyDescent="0.2">
      <c r="A38" s="401">
        <v>19</v>
      </c>
      <c r="B38" s="1236" t="s">
        <v>738</v>
      </c>
      <c r="C38" s="1235" t="s">
        <v>136</v>
      </c>
      <c r="D38" s="1237" t="s">
        <v>145</v>
      </c>
      <c r="E38" s="1222">
        <f>IF(CONCATENATE(C38,D38)&gt;"6069",1,SUMIFS('LAC 102_Wkst'!$Q$7:$Q$2010,'LAC 102_Wkst'!$E$7:$E$2010,Schedule_B!$C38,'LAC 102_Wkst'!$G$7:$G$2010,Schedule_B!$D38))</f>
        <v>1</v>
      </c>
      <c r="F38" s="408">
        <f>SUMIFS('LAC 102_Wkst'!$Q$7:$Q$2010,'LAC 102_Wkst'!$E$7:$E$2010,$C38,'LAC 102_Wkst'!$G$7:$G$2010,$D38,'LAC 102_Wkst'!$L$7:$L$2010,"01",'LAC 102_Wkst'!$N$7:$N$2010,"P1")+SUMIFS('LAC 102_Wkst'!$Q$7:$Q$2010,'LAC 102_Wkst'!$E$7:$E$2010,$C38,'LAC 102_Wkst'!$G$7:$G$2010,$D38,'LAC 102_Wkst'!$L$7:$L$2010,"01",'LAC 102_Wkst'!$N$7:$N$2010,"P2")+SUMIFS('LAC 102_Wkst'!$Q$7:$Q$2010,'LAC 102_Wkst'!$E$7:$E$2010,$C38,'LAC 102_Wkst'!$G$7:$G$2010,$D38,'LAC 102_Wkst'!$L$7:$L$2010,"01",'LAC 102_Wkst'!$N$7:$N$2010,"P3")+SUMIFS('LAC 102_Wkst'!$Q$7:$Q$2010,'LAC 102_Wkst'!$E$7:$E$2010,$C38,'LAC 102_Wkst'!$G$7:$G$2010,$D38,'LAC 102_Wkst'!$L$7:$L$2010,"02",'LAC 102_Wkst'!$N$7:$N$2010,"P1")+SUMIFS('LAC 102_Wkst'!$Q$7:$Q$2010,'LAC 102_Wkst'!$E$7:$E$2010,$C38,'LAC 102_Wkst'!$G$7:$G$2010,$D38,'LAC 102_Wkst'!$L$7:$L$2010,"02",'LAC 102_Wkst'!$N$7:$N$2010,"P2")+SUMIFS('LAC 102_Wkst'!$Q$7:$Q$2010,'LAC 102_Wkst'!$E$7:$E$2010,$C38,'LAC 102_Wkst'!$G$7:$G$2010,$D38,'LAC 102_Wkst'!$L$7:$L$2010,"02",'LAC 102_Wkst'!$N$7:$N$2010,"P3")</f>
        <v>0</v>
      </c>
      <c r="G38" s="409">
        <f>SUMIFS('LAC 102_Wkst'!$AE$7:$AE$2010,'LAC 102_Wkst'!$E$7:$E$2010,$C38,'LAC 102_Wkst'!$G$7:$G$2010,$D38,'LAC 102_Wkst'!$L$7:$L$2010,"01",'LAC 102_Wkst'!$N$7:$N$2010,"P1")+SUMIFS('LAC 102_Wkst'!$AE$7:$AE$2010,'LAC 102_Wkst'!$E$7:$E$2010,$C38,'LAC 102_Wkst'!$G$7:$G$2010,$D38,'LAC 102_Wkst'!$L$7:$L$2010,"01",'LAC 102_Wkst'!$N$7:$N$2010,"P2")+SUMIFS('LAC 102_Wkst'!$AE$7:$AE$2010,'LAC 102_Wkst'!$E$7:$E$2010,$C38,'LAC 102_Wkst'!$G$7:$G$2010,$D38,'LAC 102_Wkst'!$L$7:$L$2010,"01",'LAC 102_Wkst'!$N$7:$N$2010,"P3")+SUMIFS('LAC 102_Wkst'!$AE$7:$AE$2010,'LAC 102_Wkst'!$E$7:$E$2010,$C38,'LAC 102_Wkst'!$G$7:$G$2010,$D38,'LAC 102_Wkst'!$L$7:$L$2010,"02",'LAC 102_Wkst'!$N$7:$N$2010,"P1")+SUMIFS('LAC 102_Wkst'!$AE$7:$AE$2010,'LAC 102_Wkst'!$E$7:$E$2010,$C38,'LAC 102_Wkst'!$G$7:$G$2010,$D38,'LAC 102_Wkst'!$L$7:$L$2010,"02",'LAC 102_Wkst'!$N$7:$N$2010,"P2")+SUMIFS('LAC 102_Wkst'!$AE$7:$AE$2010,'LAC 102_Wkst'!$E$7:$E$2010,$C38,'LAC 102_Wkst'!$G$7:$G$2010,$D38,'LAC 102_Wkst'!$L$7:$L$2010,"02",'LAC 102_Wkst'!$N$7:$N$2010,"P3")</f>
        <v>0</v>
      </c>
      <c r="H38" s="410">
        <f>SUMIFS('LAC 102_Wkst'!$Q$7:$Q$2010,'LAC 102_Wkst'!$E$7:$E$2010,$C38,'LAC 102_Wkst'!$G$7:$G$2010,$D38,'LAC 102_Wkst'!$L$7:$L$2010,"01",'LAC 102_Wkst'!$N$7:$N$2010,"P4")+SUMIFS('LAC 102_Wkst'!$Q$7:$Q$2010,'LAC 102_Wkst'!$E$7:$E$2010,$C38,'LAC 102_Wkst'!$G$7:$G$2010,$D38,'LAC 102_Wkst'!$L$7:$L$2010,"02",'LAC 102_Wkst'!$N$7:$N$2010,"P4")</f>
        <v>0</v>
      </c>
      <c r="I38" s="411">
        <f>SUMIFS('LAC 102_Wkst'!$AE$7:$AE$2010,'LAC 102_Wkst'!$E$7:$E$2010,$C38,'LAC 102_Wkst'!$G$7:$G$2010,$D38,'LAC 102_Wkst'!$L$7:$L$2010,"01",'LAC 102_Wkst'!$N$7:$N$2010,"P4")+SUMIFS('LAC 102_Wkst'!$AE$7:$AE$2010,'LAC 102_Wkst'!$E$7:$E$2010,$C38,'LAC 102_Wkst'!$G$7:$G$2010,$D38,'LAC 102_Wkst'!$L$7:$L$2010,"02",'LAC 102_Wkst'!$N$7:$N$2010,"P4")</f>
        <v>0</v>
      </c>
      <c r="J38" s="410">
        <f>SUMIFS('LAC 102_Wkst'!$Q$7:$Q$2010,'LAC 102_Wkst'!$E$7:$E$2010,$C38,'LAC 102_Wkst'!$G$7:$G$2010,$D38,'LAC 102_Wkst'!$L$7:$L$2010,"01",'LAC 102_Wkst'!$N$7:$N$2010,"P5")+SUMIFS('LAC 102_Wkst'!$Q$7:$Q$2010,'LAC 102_Wkst'!$E$7:$E$2010,$C38,'LAC 102_Wkst'!$G$7:$G$2010,$D38,'LAC 102_Wkst'!$L$7:$L$2010,"02",'LAC 102_Wkst'!$N$7:$N$2010,"P5")</f>
        <v>0</v>
      </c>
      <c r="K38" s="411">
        <f>SUMIFS('LAC 102_Wkst'!$AE$7:$AE$2010,'LAC 102_Wkst'!$E$7:$E$2010,$C38,'LAC 102_Wkst'!$G$7:$G$2010,$D38,'LAC 102_Wkst'!$L$7:$L$2010,"01",'LAC 102_Wkst'!$N$7:$N$2010,"P5")+SUMIFS('LAC 102_Wkst'!$AE$7:$AE$2010,'LAC 102_Wkst'!$E$7:$E$2010,$C38,'LAC 102_Wkst'!$G$7:$G$2010,$D38,'LAC 102_Wkst'!$L$7:$L$2010,"02",'LAC 102_Wkst'!$N$7:$N$2010,"P5")</f>
        <v>0</v>
      </c>
      <c r="L38" s="410">
        <f>SUMIFS('LAC 102_Wkst'!$Q$7:$Q$2010,'LAC 102_Wkst'!$E$7:$E$2010,$C38,'LAC 102_Wkst'!$G$7:$G$2010,$D38,'LAC 102_Wkst'!$L$7:$L$2010,"03",'LAC 102_Wkst'!$N$7:$N$2010,"P1")+SUMIFS('LAC 102_Wkst'!$Q$7:$Q$2010,'LAC 102_Wkst'!$E$7:$E$2010,$C38,'LAC 102_Wkst'!$G$7:$G$2010,$D38,'LAC 102_Wkst'!$L$7:$L$2010,"03",'LAC 102_Wkst'!$N$7:$N$2010,"P2")+SUMIFS('LAC 102_Wkst'!$Q$7:$Q$2010,'LAC 102_Wkst'!$E$7:$E$2010,$C38,'LAC 102_Wkst'!$G$7:$G$2010,$D38,'LAC 102_Wkst'!$L$7:$L$2010,"03",'LAC 102_Wkst'!$N$7:$N$2010,"P3")+SUMIFS('LAC 102_Wkst'!$Q$7:$Q$2010,'LAC 102_Wkst'!$E$7:$E$2010,$C38,'LAC 102_Wkst'!$G$7:$G$2010,$D38,'LAC 102_Wkst'!$L$7:$L$2010,"04",'LAC 102_Wkst'!$N$7:$N$2010,"P1")+SUMIFS('LAC 102_Wkst'!$Q$7:$Q$2010,'LAC 102_Wkst'!$E$7:$E$2010,$C38,'LAC 102_Wkst'!$G$7:$G$2010,$D38,'LAC 102_Wkst'!$L$7:$L$2010,"04",'LAC 102_Wkst'!$N$7:$N$2010,"P2")+SUMIFS('LAC 102_Wkst'!$Q$7:$Q$2010,'LAC 102_Wkst'!$E$7:$E$2010,$C38,'LAC 102_Wkst'!$G$7:$G$2010,$D38,'LAC 102_Wkst'!$L$7:$L$2010,"04",'LAC 102_Wkst'!$N$7:$N$2010,"P3")</f>
        <v>0</v>
      </c>
      <c r="M38" s="411">
        <f>SUMIFS('LAC 102_Wkst'!$AE$7:$AE$2010,'LAC 102_Wkst'!$E$7:$E$2010,$C38,'LAC 102_Wkst'!$G$7:$G$2010,$D38,'LAC 102_Wkst'!$L$7:$L$2010,"03",'LAC 102_Wkst'!$N$7:$N$2010,"P1")+SUMIFS('LAC 102_Wkst'!$AE$7:$AE$2010,'LAC 102_Wkst'!$E$7:$E$2010,$C38,'LAC 102_Wkst'!$G$7:$G$2010,$D38,'LAC 102_Wkst'!$L$7:$L$2010,"03",'LAC 102_Wkst'!$N$7:$N$2010,"P2")+SUMIFS('LAC 102_Wkst'!$AE$7:$AE$2010,'LAC 102_Wkst'!$E$7:$E$2010,$C38,'LAC 102_Wkst'!$G$7:$G$2010,$D38,'LAC 102_Wkst'!$L$7:$L$2010,"03",'LAC 102_Wkst'!$N$7:$N$2010,"P3")+SUMIFS('LAC 102_Wkst'!$AE$7:$AE$2010,'LAC 102_Wkst'!$E$7:$E$2010,$C38,'LAC 102_Wkst'!$G$7:$G$2010,$D38,'LAC 102_Wkst'!$L$7:$L$2010,"04",'LAC 102_Wkst'!$N$7:$N$2010,"P1")+SUMIFS('LAC 102_Wkst'!$AE$7:$AE$2010,'LAC 102_Wkst'!$E$7:$E$2010,$C38,'LAC 102_Wkst'!$G$7:$G$2010,$D38,'LAC 102_Wkst'!$L$7:$L$2010,"04",'LAC 102_Wkst'!$N$7:$N$2010,"P2")+SUMIFS('LAC 102_Wkst'!$AE$7:$AE$2010,'LAC 102_Wkst'!$E$7:$E$2010,$C38,'LAC 102_Wkst'!$G$7:$G$2010,$D38,'LAC 102_Wkst'!$L$7:$L$2010,"04",'LAC 102_Wkst'!$N$7:$N$2010,"P3")</f>
        <v>0</v>
      </c>
      <c r="N38" s="410">
        <f>SUMIFS('LAC 102_Wkst'!$Q$7:$Q$2010,'LAC 102_Wkst'!$E$7:$E$2010,$C38,'LAC 102_Wkst'!$G$7:$G$2010,$D38,'LAC 102_Wkst'!$L$7:$L$2010,"03",'LAC 102_Wkst'!$N$7:$N$2010,"P4")+SUMIFS('LAC 102_Wkst'!$Q$7:$Q$2010,'LAC 102_Wkst'!$E$7:$E$2010,$C38,'LAC 102_Wkst'!$G$7:$G$2010,$D38,'LAC 102_Wkst'!$L$7:$L$2010,"04",'LAC 102_Wkst'!$N$7:$N$2010,"P4")</f>
        <v>0</v>
      </c>
      <c r="O38" s="411">
        <f>SUMIFS('LAC 102_Wkst'!$AE$7:$AE$2010,'LAC 102_Wkst'!$E$7:$E$2010,$C38,'LAC 102_Wkst'!$G$7:$G$2010,$D38,'LAC 102_Wkst'!$L$7:$L$2010,"03",'LAC 102_Wkst'!$N$7:$N$2010,"P4")+SUMIFS('LAC 102_Wkst'!$AE$7:$AE$2010,'LAC 102_Wkst'!$E$7:$E$2010,$C38,'LAC 102_Wkst'!$G$7:$G$2010,$D38,'LAC 102_Wkst'!$L$7:$L$2010,"04",'LAC 102_Wkst'!$N$7:$N$2010,"P4")</f>
        <v>0</v>
      </c>
      <c r="P38" s="410">
        <f>SUMIFS('LAC 102_Wkst'!$Q$7:$Q$2010,'LAC 102_Wkst'!$E$7:$E$2010,$C38,'LAC 102_Wkst'!$G$7:$G$2010,$D38,'LAC 102_Wkst'!$L$7:$L$2010,"03",'LAC 102_Wkst'!$N$7:$N$2010,"P5")+SUMIFS('LAC 102_Wkst'!$Q$7:$Q$2010,'LAC 102_Wkst'!$E$7:$E$2010,$C38,'LAC 102_Wkst'!$G$7:$G$2010,$D38,'LAC 102_Wkst'!$L$7:$L$2010,"04",'LAC 102_Wkst'!$N$7:$N$2010,"P5")</f>
        <v>0</v>
      </c>
      <c r="Q38" s="411">
        <f>SUMIFS('LAC 102_Wkst'!$AE$7:$AE$2010,'LAC 102_Wkst'!$E$7:$E$2010,$C38,'LAC 102_Wkst'!$G$7:$G$2010,$D38,'LAC 102_Wkst'!$L$7:$L$2010,"03",'LAC 102_Wkst'!$N$7:$N$2010,"P5")+SUMIFS('LAC 102_Wkst'!$AE$7:$AE$2010,'LAC 102_Wkst'!$E$7:$E$2010,$C38,'LAC 102_Wkst'!$G$7:$G$2010,$D38,'LAC 102_Wkst'!$L$7:$L$2010,"04",'LAC 102_Wkst'!$N$7:$N$2010,"P5")</f>
        <v>0</v>
      </c>
      <c r="R38" s="412">
        <f>SUMIFS('LAC 102_Wkst'!$Q$7:$Q$2010,'LAC 102_Wkst'!$E$7:$E$2010,$C38,'LAC 102_Wkst'!$G$7:$G$2010,$D38,'LAC 102_Wkst'!$L$7:$L$2010,"05",'LAC 102_Wkst'!$N$7:$N$2010,"P1")+SUMIFS('LAC 102_Wkst'!$Q$7:$Q$2010,'LAC 102_Wkst'!$E$7:$E$2010,$C38,'LAC 102_Wkst'!$G$7:$G$2010,$D38,'LAC 102_Wkst'!$L$7:$L$2010,"06",'LAC 102_Wkst'!$N$7:$N$2010,"P1")</f>
        <v>0</v>
      </c>
      <c r="S38" s="411">
        <f>SUMIFS('LAC 102_Wkst'!$AE$7:$AE$2010,'LAC 102_Wkst'!$E$7:$E$2010,$C38,'LAC 102_Wkst'!$G$7:$G$2010,$D38,'LAC 102_Wkst'!$L$7:$L$2010,"05",'LAC 102_Wkst'!$N$7:$N$2010,"P1")+SUMIFS('LAC 102_Wkst'!$AE$7:$AE$2010,'LAC 102_Wkst'!$E$7:$E$2010,$C38,'LAC 102_Wkst'!$G$7:$G$2010,$D38,'LAC 102_Wkst'!$L$7:$L$2010,"06",'LAC 102_Wkst'!$N$7:$N$2010,"P1")</f>
        <v>0</v>
      </c>
      <c r="T38" s="410">
        <f>SUMIFS('LAC 102_Wkst'!$Q$7:$Q$2010,'LAC 102_Wkst'!$E$7:$E$2010,$C38,'LAC 102_Wkst'!$G$7:$G$2010,$D38,'LAC 102_Wkst'!$L$7:$L$2010,"05",'LAC 102_Wkst'!$N$7:$N$2010,"P2")+SUMIFS('LAC 102_Wkst'!$Q$7:$Q$2010,'LAC 102_Wkst'!$E$7:$E$2010,$C38,'LAC 102_Wkst'!$G$7:$G$2010,$D38,'LAC 102_Wkst'!$L$7:$L$2010,"05",'LAC 102_Wkst'!$N$7:$N$2010,"P3")+SUMIFS('LAC 102_Wkst'!$Q$7:$Q$2010,'LAC 102_Wkst'!$E$7:$E$2010,$C38,'LAC 102_Wkst'!$G$7:$G$2010,$D38,'LAC 102_Wkst'!$L$7:$L$2010,"06",'LAC 102_Wkst'!$N$7:$N$2010,"P2")+SUMIFS('LAC 102_Wkst'!$Q$7:$Q$2010,'LAC 102_Wkst'!$E$7:$E$2010,$C38,'LAC 102_Wkst'!$G$7:$G$2010,$D38,'LAC 102_Wkst'!$L$7:$L$2010,"06",'LAC 102_Wkst'!$N$7:$N$2010,"P3")</f>
        <v>0</v>
      </c>
      <c r="U38" s="411">
        <f>SUMIFS('LAC 102_Wkst'!$AE$7:$AE$2010,'LAC 102_Wkst'!$E$7:$E$2010,$C38,'LAC 102_Wkst'!$G$7:$G$2010,$D38,'LAC 102_Wkst'!$L$7:$L$2010,"05",'LAC 102_Wkst'!$N$7:$N$2010,"P2")+SUMIFS('LAC 102_Wkst'!$AE$7:$AE$2010,'LAC 102_Wkst'!$E$7:$E$2010,$C38,'LAC 102_Wkst'!$G$7:$G$2010,$D38,'LAC 102_Wkst'!$L$7:$L$2010,"06",'LAC 102_Wkst'!$N$7:$N$2010,"P3")+SUMIFS('LAC 102_Wkst'!$AE$7:$AE$2010,'LAC 102_Wkst'!$E$7:$E$2010,$C38,'LAC 102_Wkst'!$G$7:$G$2010,$D38,'LAC 102_Wkst'!$L$7:$L$2010,"05",'LAC 102_Wkst'!$N$7:$N$2010,"P2")+SUMIFS('LAC 102_Wkst'!$AE$7:$AE$2010,'LAC 102_Wkst'!$E$7:$E$2010,$C38,'LAC 102_Wkst'!$G$7:$G$2010,$D38,'LAC 102_Wkst'!$L$7:$L$2010,"06",'LAC 102_Wkst'!$N$7:$N$2010,"P3")</f>
        <v>0</v>
      </c>
      <c r="V38" s="410">
        <f>SUMIFS('LAC 102_Wkst'!$Q$7:$Q$2010,'LAC 102_Wkst'!$E$7:$E$2010,$C38,'LAC 102_Wkst'!$G$7:$G$2010,$D38,'LAC 102_Wkst'!$L$7:$L$2010,"05",'LAC 102_Wkst'!$N$7:$N$2010,"P4")+SUMIFS('LAC 102_Wkst'!$Q$7:$Q$2010,'LAC 102_Wkst'!$E$7:$E$2010,$C38,'LAC 102_Wkst'!$G$7:$G$2010,$D38,'LAC 102_Wkst'!$L$7:$L$2010,"06",'LAC 102_Wkst'!$N$7:$N$2010,"P4")</f>
        <v>0</v>
      </c>
      <c r="W38" s="411">
        <f>SUMIFS('LAC 102_Wkst'!$AE$7:$AE$2010,'LAC 102_Wkst'!$E$7:$E$2010,$C38,'LAC 102_Wkst'!$G$7:$G$2010,$D38,'LAC 102_Wkst'!$L$7:$L$2010,"05",'LAC 102_Wkst'!$N$7:$N$2010,"P4")+SUMIFS('LAC 102_Wkst'!$AE$7:$AE$2010,'LAC 102_Wkst'!$E$7:$E$2010,$C38,'LAC 102_Wkst'!$G$7:$G$2010,$D38,'LAC 102_Wkst'!$L$7:$L$2010,"06",'LAC 102_Wkst'!$N$7:$N$2010,"P4")</f>
        <v>0</v>
      </c>
      <c r="X38" s="410">
        <f>SUMIFS('LAC 102_Wkst'!$Q$7:$Q$2010,'LAC 102_Wkst'!$E$7:$E$2010,$C38,'LAC 102_Wkst'!$G$7:$G$2010,$D38,'LAC 102_Wkst'!$L$7:$L$2010,"05",'LAC 102_Wkst'!$N$7:$N$2010,"P5")+SUMIFS('LAC 102_Wkst'!$Q$7:$Q$2010,'LAC 102_Wkst'!$E$7:$E$2010,$C38,'LAC 102_Wkst'!$G$7:$G$2010,$D38,'LAC 102_Wkst'!$L$7:$L$2010,"06",'LAC 102_Wkst'!$N$7:$N$2010,"P5")</f>
        <v>0</v>
      </c>
      <c r="Y38" s="411">
        <f>SUMIFS('LAC 102_Wkst'!$AE$7:$AE$2010,'LAC 102_Wkst'!$E$7:$E$2010,$C38,'LAC 102_Wkst'!$G$7:$G$2010,$D38,'LAC 102_Wkst'!$L$7:$L$2010,"05",'LAC 102_Wkst'!$N$7:$N$2010,"P5")+SUMIFS('LAC 102_Wkst'!$AE$7:$AE$2010,'LAC 102_Wkst'!$E$7:$E$2010,$C38,'LAC 102_Wkst'!$G$7:$G$2010,$D38,'LAC 102_Wkst'!$L$7:$L$2010,"06",'LAC 102_Wkst'!$N$7:$N$2010,"P5")</f>
        <v>0</v>
      </c>
      <c r="Z38" s="410">
        <f>SUMIFS('LAC 102_Wkst'!$Q$7:$Q$2010,'LAC 102_Wkst'!$E$7:$E$2010,$C38,'LAC 102_Wkst'!$G$7:$G$2010,$D38,'LAC 102_Wkst'!$L$7:$L$2010,"07",'LAC 102_Wkst'!$N$7:$N$2010,"P1")+SUMIFS('LAC 102_Wkst'!$Q$7:$Q$2010,'LAC 102_Wkst'!$E$7:$E$2010,$C38,'LAC 102_Wkst'!$G$7:$G$2010,$D38,'LAC 102_Wkst'!$L$7:$L$2010,"07",'LAC 102_Wkst'!$N$7:$N$2010,"P2")+SUMIFS('LAC 102_Wkst'!$Q$7:$Q$2010,'LAC 102_Wkst'!$E$7:$E$2010,$C38,'LAC 102_Wkst'!$G$7:$G$2010,$D38,'LAC 102_Wkst'!$L$7:$L$2010,"07",'LAC 102_Wkst'!$N$7:$N$2010,"P3")</f>
        <v>0</v>
      </c>
      <c r="AA38" s="411">
        <f>SUMIFS('LAC 102_Wkst'!$AE$7:$AE$2010,'LAC 102_Wkst'!$E$7:$E$2010,$C38,'LAC 102_Wkst'!$G$7:$G$2010,$D38,'LAC 102_Wkst'!$L$7:$L$2010,"07",'LAC 102_Wkst'!$N$7:$N$2010,"P1")+SUMIFS('LAC 102_Wkst'!$AE$7:$AE$2010,'LAC 102_Wkst'!$E$7:$E$2010,$C38,'LAC 102_Wkst'!$G$7:$G$2010,$D38,'LAC 102_Wkst'!$L$7:$L$2010,"07",'LAC 102_Wkst'!$N$7:$N$2010,"P2")+SUMIFS('LAC 102_Wkst'!$AE$7:$AE$2010,'LAC 102_Wkst'!$E$7:$E$2010,$C38,'LAC 102_Wkst'!$G$7:$G$2010,$D38,'LAC 102_Wkst'!$L$7:$L$2010,"07",'LAC 102_Wkst'!$N$7:$N$2010,"P3")</f>
        <v>0</v>
      </c>
      <c r="AB38" s="410">
        <f>SUMIFS('LAC 102_Wkst'!$Q$7:$Q$2010,'LAC 102_Wkst'!$E$7:$E$2010,$C38,'LAC 102_Wkst'!$G$7:$G$2010,$D38,'LAC 102_Wkst'!$L$7:$L$2010,"07",'LAC 102_Wkst'!$N$7:$N$2010,"P4")</f>
        <v>0</v>
      </c>
      <c r="AC38" s="411">
        <f>SUMIFS('LAC 102_Wkst'!$AE$7:$AE$2010,'LAC 102_Wkst'!$E$7:$E$2010,$C38,'LAC 102_Wkst'!$G$7:$G$2010,$D38,'LAC 102_Wkst'!$L$7:$L$2010,"07",'LAC 102_Wkst'!$N$7:$N$2010,"P4")</f>
        <v>0</v>
      </c>
      <c r="AD38" s="410">
        <f>SUMIFS('LAC 102_Wkst'!$Q$7:$Q$2010,'LAC 102_Wkst'!$E$7:$E$2010,$C38,'LAC 102_Wkst'!$G$7:$G$2010,$D38,'LAC 102_Wkst'!$L$7:$L$2010,"07",'LAC 102_Wkst'!$N$7:$N$2010,"P5")</f>
        <v>0</v>
      </c>
      <c r="AE38" s="411">
        <f>SUMIFS('LAC 102_Wkst'!$AE$7:$AE$2010,'LAC 102_Wkst'!$E$7:$E$2010,$C38,'LAC 102_Wkst'!$G$7:$G$2010,$D38,'LAC 102_Wkst'!$L$7:$L$2010,"07",'LAC 102_Wkst'!$N$7:$N$2010,"P5")</f>
        <v>0</v>
      </c>
      <c r="AF38" s="410">
        <f>SUMIFS('LAC 102_Wkst'!$Q$7:$Q$2010,'LAC 102_Wkst'!$E$7:$E$2010,$C38,'LAC 102_Wkst'!$G$7:$G$2010,$D38,'LAC 102_Wkst'!$L$7:$L$2010,"08",'LAC 102_Wkst'!$N$7:$N$2010,"P1")+SUMIFS('LAC 102_Wkst'!$Q$7:$Q$2010,'LAC 102_Wkst'!$E$7:$E$2010,$C38,'LAC 102_Wkst'!$G$7:$G$2010,$D38,'LAC 102_Wkst'!$L$7:$L$2010,"08",'LAC 102_Wkst'!$N$7:$N$2010,"P2")+SUMIFS('LAC 102_Wkst'!$Q$7:$Q$2010,'LAC 102_Wkst'!$E$7:$E$2010,$C38,'LAC 102_Wkst'!$G$7:$G$2010,$D38,'LAC 102_Wkst'!$L$7:$L$2010,"08",'LAC 102_Wkst'!$N$7:$N$2010,"P3")</f>
        <v>0</v>
      </c>
      <c r="AG38" s="411">
        <f>SUMIFS('LAC 102_Wkst'!$AE$7:$AE$2010,'LAC 102_Wkst'!$E$7:$E$2010,$C38,'LAC 102_Wkst'!$G$7:$G$2010,$D38,'LAC 102_Wkst'!$L$7:$L$2010,"08",'LAC 102_Wkst'!$N$7:$N$2010,"P1")+SUMIFS('LAC 102_Wkst'!$AE$7:$AE$2010,'LAC 102_Wkst'!$E$7:$E$2010,$C38,'LAC 102_Wkst'!$G$7:$G$2010,$D38,'LAC 102_Wkst'!$L$7:$L$2010,"08",'LAC 102_Wkst'!$N$7:$N$2010,"P2")+SUMIFS('LAC 102_Wkst'!$AE$7:$AE$2010,'LAC 102_Wkst'!$E$7:$E$2010,$C38,'LAC 102_Wkst'!$G$7:$G$2010,$D38,'LAC 102_Wkst'!$L$7:$L$2010,"08",'LAC 102_Wkst'!$N$7:$N$2010,"P3")</f>
        <v>0</v>
      </c>
      <c r="AH38" s="410">
        <f>SUMIFS('LAC 102_Wkst'!$Q$7:$Q$2010,'LAC 102_Wkst'!$E$7:$E$2010,$C38,'LAC 102_Wkst'!$G$7:$G$2010,$D38,'LAC 102_Wkst'!$L$7:$L$2010,"08",'LAC 102_Wkst'!$N$7:$N$2010,"P4")</f>
        <v>0</v>
      </c>
      <c r="AI38" s="411">
        <f>SUMIFS('LAC 102_Wkst'!$AE$7:$AE$2010,'LAC 102_Wkst'!$E$7:$E$2010,$C38,'LAC 102_Wkst'!$G$7:$G$2010,$D38,'LAC 102_Wkst'!$L$7:$L$2010,"08",'LAC 102_Wkst'!$N$7:$N$2010,"P4")</f>
        <v>0</v>
      </c>
      <c r="AJ38" s="410">
        <f>SUMIFS('LAC 102_Wkst'!$Q$7:$Q$2010,'LAC 102_Wkst'!$E$7:$E$2010,$C38,'LAC 102_Wkst'!$G$7:$G$2010,$D38,'LAC 102_Wkst'!$L$7:$L$2010,"08",'LAC 102_Wkst'!$N$7:$N$2010,"P5")</f>
        <v>0</v>
      </c>
      <c r="AK38" s="411">
        <f>SUMIFS('LAC 102_Wkst'!$AE$7:$AE$2010,'LAC 102_Wkst'!$E$7:$E$2010,$C38,'LAC 102_Wkst'!$G$7:$G$2010,$D38,'LAC 102_Wkst'!$L$7:$L$2010,"08",'LAC 102_Wkst'!$N$7:$N$2010,"P5")</f>
        <v>0</v>
      </c>
      <c r="AL38" s="410">
        <f>SUMIFS('LAC 102_Wkst'!$Q$7:$Q$2010,'LAC 102_Wkst'!$E$7:$E$2010,$C38,'LAC 102_Wkst'!$G$7:$G$2010,$D38,'LAC 102_Wkst'!$L$7:$L$2010,"09",'LAC 102_Wkst'!$N$7:$N$2010,"P1")+SUMIFS('LAC 102_Wkst'!$Q$7:$Q$2010,'LAC 102_Wkst'!$E$7:$E$2010,$C38,'LAC 102_Wkst'!$G$7:$G$2010,$D38,'LAC 102_Wkst'!$L$7:$L$2010,"09",'LAC 102_Wkst'!$N$7:$N$2010,"P2")+SUMIFS('LAC 102_Wkst'!$Q$7:$Q$2010,'LAC 102_Wkst'!$E$7:$E$2010,$C38,'LAC 102_Wkst'!$G$7:$G$2010,$D38,'LAC 102_Wkst'!$L$7:$L$2010,"09",'LAC 102_Wkst'!$N$7:$N$2010,"P3")+SUMIFS('LAC 102_Wkst'!$Q$7:$Q$2010,'LAC 102_Wkst'!$E$7:$E$2010,$C38,'LAC 102_Wkst'!$G$7:$G$2010,$D38,'LAC 102_Wkst'!$L$7:$L$2010,"09",'LAC 102_Wkst'!$N$7:$N$2010,"P4")</f>
        <v>0</v>
      </c>
      <c r="AM38" s="411">
        <f>SUMIFS('LAC 102_Wkst'!$AE$7:$AE$2010,'LAC 102_Wkst'!$E$7:$E$2010,$C38,'LAC 102_Wkst'!$G$7:$G$2010,$D38,'LAC 102_Wkst'!$L$7:$L$2010,"09",'LAC 102_Wkst'!$N$7:$N$2010,"P1")+SUMIFS('LAC 102_Wkst'!$AE$7:$AE$2010,'LAC 102_Wkst'!$E$7:$E$2010,$C38,'LAC 102_Wkst'!$G$7:$G$2010,$D38,'LAC 102_Wkst'!$L$7:$L$2010,"09",'LAC 102_Wkst'!$N$7:$N$2010,"P2")+SUMIFS('LAC 102_Wkst'!$AE$7:$AE$2010,'LAC 102_Wkst'!$E$7:$E$2010,$C38,'LAC 102_Wkst'!$G$7:$G$2010,$D38,'LAC 102_Wkst'!$L$7:$L$2010,"09",'LAC 102_Wkst'!$N$7:$N$2010,"P3")+SUMIFS('LAC 102_Wkst'!$AE$7:$AE$2010,'LAC 102_Wkst'!$E$7:$E$2010,$C38,'LAC 102_Wkst'!$G$7:$G$2010,$D38,'LAC 102_Wkst'!$L$7:$L$2010,"09",'LAC 102_Wkst'!$N$7:$N$2010,"P4")</f>
        <v>0</v>
      </c>
      <c r="AN38" s="410">
        <f>SUMIFS('LAC 102_Wkst'!$Q$7:$Q$2010,'LAC 102_Wkst'!$E$7:$E$2010,$C38,'LAC 102_Wkst'!$G$7:$G$2010,$D38,'LAC 102_Wkst'!$L$7:$L$2010,"09",'LAC 102_Wkst'!$N$7:$N$2010,"P5")</f>
        <v>0</v>
      </c>
      <c r="AO38" s="411">
        <f>SUMIFS('LAC 102_Wkst'!$AE$7:$AE$2010,'LAC 102_Wkst'!$E$7:$E$2010,$C38,'LAC 102_Wkst'!$G$7:$G$2010,$D38,'LAC 102_Wkst'!$L$7:$L$2010,"09",'LAC 102_Wkst'!$N$7:$N$2010,"P5")</f>
        <v>0</v>
      </c>
      <c r="AP38" s="410">
        <f>SUMIFS('LAC 102_Wkst'!$Q$7:$Q$2010,'LAC 102_Wkst'!$E$7:$E$2010,$C38,'LAC 102_Wkst'!$G$7:$G$2010,$D38,'LAC 102_Wkst'!$L$7:$L$2010,"10",'LAC 102_Wkst'!$N$7:$N$2010,"P1")+SUMIFS('LAC 102_Wkst'!$Q$7:$Q$2010,'LAC 102_Wkst'!$E$7:$E$2010,$C38,'LAC 102_Wkst'!$G$7:$G$2010,$D38,'LAC 102_Wkst'!$L$7:$L$2010,"10",'LAC 102_Wkst'!$N$7:$N$2010,"P2")+SUMIFS('LAC 102_Wkst'!$Q$7:$Q$2010,'LAC 102_Wkst'!$E$7:$E$2010,$C38,'LAC 102_Wkst'!$G$7:$G$2010,$D38,'LAC 102_Wkst'!$L$7:$L$2010,"10",'LAC 102_Wkst'!$N$7:$N$2010,"P3")+SUMIFS('LAC 102_Wkst'!$Q$7:$Q$2010,'LAC 102_Wkst'!$E$7:$E$2010,$C38,'LAC 102_Wkst'!$G$7:$G$2010,$D38,'LAC 102_Wkst'!$L$7:$L$2010,"10",'LAC 102_Wkst'!$N$7:$N$2010,"P4")</f>
        <v>0</v>
      </c>
      <c r="AQ38" s="411">
        <f>SUMIFS('LAC 102_Wkst'!$AE$7:$AE$2010,'LAC 102_Wkst'!$E$7:$E$2010,$C38,'LAC 102_Wkst'!$G$7:$G$2010,$D38,'LAC 102_Wkst'!$L$7:$L$2010,"10",'LAC 102_Wkst'!$N$7:$N$2010,"P1")+SUMIFS('LAC 102_Wkst'!$AE$7:$AE$2010,'LAC 102_Wkst'!$E$7:$E$2010,$C38,'LAC 102_Wkst'!$G$7:$G$2010,$D38,'LAC 102_Wkst'!$L$7:$L$2010,"10",'LAC 102_Wkst'!$N$7:$N$2010,"P2")+SUMIFS('LAC 102_Wkst'!$AE$7:$AE$2010,'LAC 102_Wkst'!$E$7:$E$2010,$C38,'LAC 102_Wkst'!$G$7:$G$2010,$D38,'LAC 102_Wkst'!$L$7:$L$2010,"10",'LAC 102_Wkst'!$N$7:$N$2010,"P3")+SUMIFS('LAC 102_Wkst'!$AE$7:$AE$2010,'LAC 102_Wkst'!$E$7:$E$2010,$C38,'LAC 102_Wkst'!$G$7:$G$2010,$D38,'LAC 102_Wkst'!$L$7:$L$2010,"10",'LAC 102_Wkst'!$N$7:$N$2010,"P4")</f>
        <v>0</v>
      </c>
      <c r="AR38" s="410">
        <f>SUMIFS('LAC 102_Wkst'!$Q$7:$Q$2010,'LAC 102_Wkst'!$E$7:$E$2010,$C38,'LAC 102_Wkst'!$G$7:$G$2010,$D38,'LAC 102_Wkst'!$L$7:$L$2010,"10",'LAC 102_Wkst'!$N$7:$N$2010,"P5")</f>
        <v>0</v>
      </c>
      <c r="AS38" s="411">
        <f>SUMIFS('LAC 102_Wkst'!$AE$7:$AE$2010,'LAC 102_Wkst'!$E$7:$E$2010,$C38,'LAC 102_Wkst'!$G$7:$G$2010,$D38,'LAC 102_Wkst'!$L$7:$L$2010,"10",'LAC 102_Wkst'!$N$7:$N$2010,"P5")</f>
        <v>0</v>
      </c>
      <c r="AT38" s="410">
        <f>SUMIFS('LAC 102_Wkst'!$Q$7:$Q$2010,'LAC 102_Wkst'!$E$7:$E$2010,$C38,'LAC 102_Wkst'!$G$7:$G$2010,$D38,'LAC 102_Wkst'!$L$7:$L$2010,"11",'LAC 102_Wkst'!$N$7:$N$2010,"P1")+SUMIFS('LAC 102_Wkst'!$Q$7:$Q$2010,'LAC 102_Wkst'!$E$7:$E$2010,$C38,'LAC 102_Wkst'!$G$7:$G$2010,$D38,'LAC 102_Wkst'!$L$7:$L$2010,"12",'LAC 102_Wkst'!$N$7:$N$2010,"P1")</f>
        <v>0</v>
      </c>
      <c r="AU38" s="411">
        <f>SUMIFS('LAC 102_Wkst'!$AE$7:$AE$2010,'LAC 102_Wkst'!$E$7:$E$2010,$C38,'LAC 102_Wkst'!$G$7:$G$2010,$D38,'LAC 102_Wkst'!$L$7:$L$2010,"11",'LAC 102_Wkst'!$N$7:$N$2010,"P1")+SUMIFS('LAC 102_Wkst'!$AE$7:$AE$2010,'LAC 102_Wkst'!$E$7:$E$2010,$C38,'LAC 102_Wkst'!$G$7:$G$2010,$D38,'LAC 102_Wkst'!$L$7:$L$2010,"12",'LAC 102_Wkst'!$N$7:$N$2010,"P1")</f>
        <v>0</v>
      </c>
      <c r="AV38" s="410">
        <f>SUMIFS('LAC 102_Wkst'!$Q$7:$Q$2010,'LAC 102_Wkst'!$E$7:$E$2010,$C38,'LAC 102_Wkst'!$G$7:$G$2010,$D38,'LAC 102_Wkst'!$L$7:$L$2010,"11",'LAC 102_Wkst'!$N$7:$N$2010,"P2")+SUMIFS('LAC 102_Wkst'!$Q$7:$Q$2010,'LAC 102_Wkst'!$E$7:$E$2010,$C38,'LAC 102_Wkst'!$G$7:$G$2010,$D38,'LAC 102_Wkst'!$L$7:$L$2010,"12",'LAC 102_Wkst'!$N$7:$N$2010,"P3")+SUMIFS('LAC 102_Wkst'!$Q$7:$Q$2010,'LAC 102_Wkst'!$E$7:$E$2010,$C38,'LAC 102_Wkst'!$G$7:$G$2010,$D38,'LAC 102_Wkst'!$L$7:$L$2010,"11",'LAC 102_Wkst'!$N$7:$N$2010,"P2")+SUMIFS('LAC 102_Wkst'!$Q$7:$Q$2010,'LAC 102_Wkst'!$E$7:$E$2010,$C38,'LAC 102_Wkst'!$G$7:$G$2010,$D38,'LAC 102_Wkst'!$L$7:$L$2010,"12",'LAC 102_Wkst'!$N$7:$N$2010,"P3")</f>
        <v>0</v>
      </c>
      <c r="AW38" s="411">
        <f>SUMIFS('LAC 102_Wkst'!$AE$7:$AE$2010,'LAC 102_Wkst'!$E$7:$E$2010,$C38,'LAC 102_Wkst'!$G$7:$G$2010,$D38,'LAC 102_Wkst'!$L$7:$L$2010,"11",'LAC 102_Wkst'!$N$7:$N$2010,"P2")+SUMIFS('LAC 102_Wkst'!$AE$7:$AE$2010,'LAC 102_Wkst'!$E$7:$E$2010,$C38,'LAC 102_Wkst'!$G$7:$G$2010,$D38,'LAC 102_Wkst'!$L$7:$L$2010,"12",'LAC 102_Wkst'!$N$7:$N$2010,"P3")+SUMIFS('LAC 102_Wkst'!$AE$7:$AE$2010,'LAC 102_Wkst'!$E$7:$E$2010,$C38,'LAC 102_Wkst'!$G$7:$G$2010,$D38,'LAC 102_Wkst'!$L$7:$L$2010,"11",'LAC 102_Wkst'!$N$7:$N$2010,"P2")+SUMIFS('LAC 102_Wkst'!$AE$7:$AE$2010,'LAC 102_Wkst'!$E$7:$E$2010,$C38,'LAC 102_Wkst'!$G$7:$G$2010,$D38,'LAC 102_Wkst'!$L$7:$L$2010,"12",'LAC 102_Wkst'!$N$7:$N$2010,"P3")</f>
        <v>0</v>
      </c>
      <c r="AX38" s="410">
        <f>SUMIFS('LAC 102_Wkst'!$Q$7:$Q$2010,'LAC 102_Wkst'!$E$7:$E$2010,$C38,'LAC 102_Wkst'!$G$7:$G$2010,$D38,'LAC 102_Wkst'!$L$7:$L$2010,"11",'LAC 102_Wkst'!$N$7:$N$2010,"P4")+SUMIFS('LAC 102_Wkst'!$Q$7:$Q$2010,'LAC 102_Wkst'!$E$7:$E$2010,$C38,'LAC 102_Wkst'!$G$7:$G$2010,$D38,'LAC 102_Wkst'!$L$7:$L$2010,"12",'LAC 102_Wkst'!$N$7:$N$2010,"P4")</f>
        <v>0</v>
      </c>
      <c r="AY38" s="411">
        <f>SUMIFS('LAC 102_Wkst'!$AE$7:$AE$2010,'LAC 102_Wkst'!$E$7:$E$2010,$C38,'LAC 102_Wkst'!$G$7:$G$2010,$D38,'LAC 102_Wkst'!$L$7:$L$2010,"11",'LAC 102_Wkst'!$N$7:$N$2010,"P4")+SUMIFS('LAC 102_Wkst'!$AE$7:$AE$2010,'LAC 102_Wkst'!$E$7:$E$2010,$C38,'LAC 102_Wkst'!$G$7:$G$2010,$D38,'LAC 102_Wkst'!$L$7:$L$2010,"12",'LAC 102_Wkst'!$N$7:$N$2010,"P4")</f>
        <v>0</v>
      </c>
      <c r="AZ38" s="410">
        <f>SUMIFS('LAC 102_Wkst'!$Q$7:$Q$2010,'LAC 102_Wkst'!$E$7:$E$2010,$C38,'LAC 102_Wkst'!$G$7:$G$2010,$D38,'LAC 102_Wkst'!$L$7:$L$2010,"11",'LAC 102_Wkst'!$N$7:$N$2010,"P5")+SUMIFS('LAC 102_Wkst'!$Q$7:$Q$2010,'LAC 102_Wkst'!$E$7:$E$2010,$C38,'LAC 102_Wkst'!$G$7:$G$2010,$D38,'LAC 102_Wkst'!$L$7:$L$2010,"12",'LAC 102_Wkst'!$N$7:$N$2010,"P5")</f>
        <v>0</v>
      </c>
      <c r="BA38" s="411">
        <f>SUMIFS('LAC 102_Wkst'!$AE$7:$AE$2010,'LAC 102_Wkst'!$E$7:$E$2010,$C38,'LAC 102_Wkst'!$G$7:$G$2010,$D38,'LAC 102_Wkst'!$L$7:$L$2010,"11",'LAC 102_Wkst'!$N$7:$N$2010,"P5")+SUMIFS('LAC 102_Wkst'!$AE$7:$AE$2010,'LAC 102_Wkst'!$E$7:$E$2010,$C38,'LAC 102_Wkst'!$G$7:$G$2010,$D38,'LAC 102_Wkst'!$L$7:$L$2010,"12",'LAC 102_Wkst'!$N$7:$N$2010,"P5")</f>
        <v>0</v>
      </c>
      <c r="BB38" s="410">
        <f>SUMIFS('LAC 102_Wkst'!$Q$7:$Q$2010,'LAC 102_Wkst'!$E$7:$E$2010,$C38,'LAC 102_Wkst'!$G$7:$G$2010,$D38,'LAC 102_Wkst'!$L$7:$L$2010,"13",'LAC 102_Wkst'!$N$7:$N$2010,"P1")+SUMIFS('LAC 102_Wkst'!$Q$7:$Q$2010,'LAC 102_Wkst'!$E$7:$E$2010,$C38,'LAC 102_Wkst'!$G$7:$G$2010,$D38,'LAC 102_Wkst'!$L$7:$L$2010,"13",'LAC 102_Wkst'!$N$7:$N$2010,"P2")+SUMIFS('LAC 102_Wkst'!$Q$7:$Q$2010,'LAC 102_Wkst'!$E$7:$E$2010,$C38,'LAC 102_Wkst'!$G$7:$G$2010,$D38,'LAC 102_Wkst'!$L$7:$L$2010,"13",'LAC 102_Wkst'!$N$7:$N$2010,"P3")+SUMIFS('LAC 102_Wkst'!$Q$7:$Q$2010,'LAC 102_Wkst'!$E$7:$E$2010,$C38,'LAC 102_Wkst'!$G$7:$G$2010,$D38,'LAC 102_Wkst'!$L$7:$L$2010,"13",'LAC 102_Wkst'!$N$7:$N$2010,"P4")</f>
        <v>0</v>
      </c>
      <c r="BC38" s="411">
        <f>SUMIFS('LAC 102_Wkst'!$AE$7:$AE$2010,'LAC 102_Wkst'!$E$7:$E$2010,$C38,'LAC 102_Wkst'!$G$7:$G$2010,$D38,'LAC 102_Wkst'!$L$7:$L$2010,"13",'LAC 102_Wkst'!$N$7:$N$2010,"P1")+SUMIFS('LAC 102_Wkst'!$AE$7:$AE$2010,'LAC 102_Wkst'!$E$7:$E$2010,$C38,'LAC 102_Wkst'!$G$7:$G$2010,$D38,'LAC 102_Wkst'!$L$7:$L$2010,"13",'LAC 102_Wkst'!$N$7:$N$2010,"P2")+SUMIFS('LAC 102_Wkst'!$AE$7:$AE$2010,'LAC 102_Wkst'!$E$7:$E$2010,$C38,'LAC 102_Wkst'!$G$7:$G$2010,$D38,'LAC 102_Wkst'!$L$7:$L$2010,"13",'LAC 102_Wkst'!$N$7:$N$2010,"P3")+SUMIFS('LAC 102_Wkst'!$AE$7:$AE$2010,'LAC 102_Wkst'!$E$7:$E$2010,$C38,'LAC 102_Wkst'!$G$7:$G$2010,$D38,'LAC 102_Wkst'!$L$7:$L$2010,"13",'LAC 102_Wkst'!$N$7:$N$2010,"P4")</f>
        <v>0</v>
      </c>
      <c r="BD38" s="410">
        <f>SUMIFS('LAC 102_Wkst'!$Q$7:$Q$2010,'LAC 102_Wkst'!$E$7:$E$2010,$C38,'LAC 102_Wkst'!$G$7:$G$2010,$D38,'LAC 102_Wkst'!$L$7:$L$2010,"13",'LAC 102_Wkst'!$N$7:$N$2010,"P5")</f>
        <v>0</v>
      </c>
      <c r="BE38" s="411">
        <f>SUMIFS('LAC 102_Wkst'!$AE$7:$AE$2010,'LAC 102_Wkst'!$E$7:$E$2010,$C38,'LAC 102_Wkst'!$G$7:$G$2010,$D38,'LAC 102_Wkst'!$L$7:$L$2010,"13",'LAC 102_Wkst'!$N$7:$N$2010,"P5")</f>
        <v>0</v>
      </c>
      <c r="BF38" s="407">
        <f t="shared" si="0"/>
        <v>1</v>
      </c>
    </row>
    <row r="39" spans="1:58" x14ac:dyDescent="0.2">
      <c r="A39" s="401">
        <v>20</v>
      </c>
      <c r="B39" s="1236" t="s">
        <v>738</v>
      </c>
      <c r="C39" s="1235" t="s">
        <v>136</v>
      </c>
      <c r="D39" s="1237" t="s">
        <v>149</v>
      </c>
      <c r="E39" s="1222">
        <f>IF(CONCATENATE(C39,D39)&gt;"6069",1,SUMIFS('LAC 102_Wkst'!$Q$7:$Q$2010,'LAC 102_Wkst'!$E$7:$E$2010,Schedule_B!$C39,'LAC 102_Wkst'!$G$7:$G$2010,Schedule_B!$D39))</f>
        <v>1</v>
      </c>
      <c r="F39" s="408">
        <f>SUMIFS('LAC 102_Wkst'!$Q$7:$Q$2010,'LAC 102_Wkst'!$E$7:$E$2010,$C39,'LAC 102_Wkst'!$G$7:$G$2010,$D39,'LAC 102_Wkst'!$L$7:$L$2010,"01",'LAC 102_Wkst'!$N$7:$N$2010,"P1")+SUMIFS('LAC 102_Wkst'!$Q$7:$Q$2010,'LAC 102_Wkst'!$E$7:$E$2010,$C39,'LAC 102_Wkst'!$G$7:$G$2010,$D39,'LAC 102_Wkst'!$L$7:$L$2010,"01",'LAC 102_Wkst'!$N$7:$N$2010,"P2")+SUMIFS('LAC 102_Wkst'!$Q$7:$Q$2010,'LAC 102_Wkst'!$E$7:$E$2010,$C39,'LAC 102_Wkst'!$G$7:$G$2010,$D39,'LAC 102_Wkst'!$L$7:$L$2010,"01",'LAC 102_Wkst'!$N$7:$N$2010,"P3")+SUMIFS('LAC 102_Wkst'!$Q$7:$Q$2010,'LAC 102_Wkst'!$E$7:$E$2010,$C39,'LAC 102_Wkst'!$G$7:$G$2010,$D39,'LAC 102_Wkst'!$L$7:$L$2010,"02",'LAC 102_Wkst'!$N$7:$N$2010,"P1")+SUMIFS('LAC 102_Wkst'!$Q$7:$Q$2010,'LAC 102_Wkst'!$E$7:$E$2010,$C39,'LAC 102_Wkst'!$G$7:$G$2010,$D39,'LAC 102_Wkst'!$L$7:$L$2010,"02",'LAC 102_Wkst'!$N$7:$N$2010,"P2")+SUMIFS('LAC 102_Wkst'!$Q$7:$Q$2010,'LAC 102_Wkst'!$E$7:$E$2010,$C39,'LAC 102_Wkst'!$G$7:$G$2010,$D39,'LAC 102_Wkst'!$L$7:$L$2010,"02",'LAC 102_Wkst'!$N$7:$N$2010,"P3")</f>
        <v>0</v>
      </c>
      <c r="G39" s="409">
        <f>SUMIFS('LAC 102_Wkst'!$AE$7:$AE$2010,'LAC 102_Wkst'!$E$7:$E$2010,$C39,'LAC 102_Wkst'!$G$7:$G$2010,$D39,'LAC 102_Wkst'!$L$7:$L$2010,"01",'LAC 102_Wkst'!$N$7:$N$2010,"P1")+SUMIFS('LAC 102_Wkst'!$AE$7:$AE$2010,'LAC 102_Wkst'!$E$7:$E$2010,$C39,'LAC 102_Wkst'!$G$7:$G$2010,$D39,'LAC 102_Wkst'!$L$7:$L$2010,"01",'LAC 102_Wkst'!$N$7:$N$2010,"P2")+SUMIFS('LAC 102_Wkst'!$AE$7:$AE$2010,'LAC 102_Wkst'!$E$7:$E$2010,$C39,'LAC 102_Wkst'!$G$7:$G$2010,$D39,'LAC 102_Wkst'!$L$7:$L$2010,"01",'LAC 102_Wkst'!$N$7:$N$2010,"P3")+SUMIFS('LAC 102_Wkst'!$AE$7:$AE$2010,'LAC 102_Wkst'!$E$7:$E$2010,$C39,'LAC 102_Wkst'!$G$7:$G$2010,$D39,'LAC 102_Wkst'!$L$7:$L$2010,"02",'LAC 102_Wkst'!$N$7:$N$2010,"P1")+SUMIFS('LAC 102_Wkst'!$AE$7:$AE$2010,'LAC 102_Wkst'!$E$7:$E$2010,$C39,'LAC 102_Wkst'!$G$7:$G$2010,$D39,'LAC 102_Wkst'!$L$7:$L$2010,"02",'LAC 102_Wkst'!$N$7:$N$2010,"P2")+SUMIFS('LAC 102_Wkst'!$AE$7:$AE$2010,'LAC 102_Wkst'!$E$7:$E$2010,$C39,'LAC 102_Wkst'!$G$7:$G$2010,$D39,'LAC 102_Wkst'!$L$7:$L$2010,"02",'LAC 102_Wkst'!$N$7:$N$2010,"P3")</f>
        <v>0</v>
      </c>
      <c r="H39" s="410">
        <f>SUMIFS('LAC 102_Wkst'!$Q$7:$Q$2010,'LAC 102_Wkst'!$E$7:$E$2010,$C39,'LAC 102_Wkst'!$G$7:$G$2010,$D39,'LAC 102_Wkst'!$L$7:$L$2010,"01",'LAC 102_Wkst'!$N$7:$N$2010,"P4")+SUMIFS('LAC 102_Wkst'!$Q$7:$Q$2010,'LAC 102_Wkst'!$E$7:$E$2010,$C39,'LAC 102_Wkst'!$G$7:$G$2010,$D39,'LAC 102_Wkst'!$L$7:$L$2010,"02",'LAC 102_Wkst'!$N$7:$N$2010,"P4")</f>
        <v>0</v>
      </c>
      <c r="I39" s="411">
        <f>SUMIFS('LAC 102_Wkst'!$AE$7:$AE$2010,'LAC 102_Wkst'!$E$7:$E$2010,$C39,'LAC 102_Wkst'!$G$7:$G$2010,$D39,'LAC 102_Wkst'!$L$7:$L$2010,"01",'LAC 102_Wkst'!$N$7:$N$2010,"P4")+SUMIFS('LAC 102_Wkst'!$AE$7:$AE$2010,'LAC 102_Wkst'!$E$7:$E$2010,$C39,'LAC 102_Wkst'!$G$7:$G$2010,$D39,'LAC 102_Wkst'!$L$7:$L$2010,"02",'LAC 102_Wkst'!$N$7:$N$2010,"P4")</f>
        <v>0</v>
      </c>
      <c r="J39" s="410">
        <f>SUMIFS('LAC 102_Wkst'!$Q$7:$Q$2010,'LAC 102_Wkst'!$E$7:$E$2010,$C39,'LAC 102_Wkst'!$G$7:$G$2010,$D39,'LAC 102_Wkst'!$L$7:$L$2010,"01",'LAC 102_Wkst'!$N$7:$N$2010,"P5")+SUMIFS('LAC 102_Wkst'!$Q$7:$Q$2010,'LAC 102_Wkst'!$E$7:$E$2010,$C39,'LAC 102_Wkst'!$G$7:$G$2010,$D39,'LAC 102_Wkst'!$L$7:$L$2010,"02",'LAC 102_Wkst'!$N$7:$N$2010,"P5")</f>
        <v>0</v>
      </c>
      <c r="K39" s="411">
        <f>SUMIFS('LAC 102_Wkst'!$AE$7:$AE$2010,'LAC 102_Wkst'!$E$7:$E$2010,$C39,'LAC 102_Wkst'!$G$7:$G$2010,$D39,'LAC 102_Wkst'!$L$7:$L$2010,"01",'LAC 102_Wkst'!$N$7:$N$2010,"P5")+SUMIFS('LAC 102_Wkst'!$AE$7:$AE$2010,'LAC 102_Wkst'!$E$7:$E$2010,$C39,'LAC 102_Wkst'!$G$7:$G$2010,$D39,'LAC 102_Wkst'!$L$7:$L$2010,"02",'LAC 102_Wkst'!$N$7:$N$2010,"P5")</f>
        <v>0</v>
      </c>
      <c r="L39" s="410">
        <f>SUMIFS('LAC 102_Wkst'!$Q$7:$Q$2010,'LAC 102_Wkst'!$E$7:$E$2010,$C39,'LAC 102_Wkst'!$G$7:$G$2010,$D39,'LAC 102_Wkst'!$L$7:$L$2010,"03",'LAC 102_Wkst'!$N$7:$N$2010,"P1")+SUMIFS('LAC 102_Wkst'!$Q$7:$Q$2010,'LAC 102_Wkst'!$E$7:$E$2010,$C39,'LAC 102_Wkst'!$G$7:$G$2010,$D39,'LAC 102_Wkst'!$L$7:$L$2010,"03",'LAC 102_Wkst'!$N$7:$N$2010,"P2")+SUMIFS('LAC 102_Wkst'!$Q$7:$Q$2010,'LAC 102_Wkst'!$E$7:$E$2010,$C39,'LAC 102_Wkst'!$G$7:$G$2010,$D39,'LAC 102_Wkst'!$L$7:$L$2010,"03",'LAC 102_Wkst'!$N$7:$N$2010,"P3")+SUMIFS('LAC 102_Wkst'!$Q$7:$Q$2010,'LAC 102_Wkst'!$E$7:$E$2010,$C39,'LAC 102_Wkst'!$G$7:$G$2010,$D39,'LAC 102_Wkst'!$L$7:$L$2010,"04",'LAC 102_Wkst'!$N$7:$N$2010,"P1")+SUMIFS('LAC 102_Wkst'!$Q$7:$Q$2010,'LAC 102_Wkst'!$E$7:$E$2010,$C39,'LAC 102_Wkst'!$G$7:$G$2010,$D39,'LAC 102_Wkst'!$L$7:$L$2010,"04",'LAC 102_Wkst'!$N$7:$N$2010,"P2")+SUMIFS('LAC 102_Wkst'!$Q$7:$Q$2010,'LAC 102_Wkst'!$E$7:$E$2010,$C39,'LAC 102_Wkst'!$G$7:$G$2010,$D39,'LAC 102_Wkst'!$L$7:$L$2010,"04",'LAC 102_Wkst'!$N$7:$N$2010,"P3")</f>
        <v>0</v>
      </c>
      <c r="M39" s="411">
        <f>SUMIFS('LAC 102_Wkst'!$AE$7:$AE$2010,'LAC 102_Wkst'!$E$7:$E$2010,$C39,'LAC 102_Wkst'!$G$7:$G$2010,$D39,'LAC 102_Wkst'!$L$7:$L$2010,"03",'LAC 102_Wkst'!$N$7:$N$2010,"P1")+SUMIFS('LAC 102_Wkst'!$AE$7:$AE$2010,'LAC 102_Wkst'!$E$7:$E$2010,$C39,'LAC 102_Wkst'!$G$7:$G$2010,$D39,'LAC 102_Wkst'!$L$7:$L$2010,"03",'LAC 102_Wkst'!$N$7:$N$2010,"P2")+SUMIFS('LAC 102_Wkst'!$AE$7:$AE$2010,'LAC 102_Wkst'!$E$7:$E$2010,$C39,'LAC 102_Wkst'!$G$7:$G$2010,$D39,'LAC 102_Wkst'!$L$7:$L$2010,"03",'LAC 102_Wkst'!$N$7:$N$2010,"P3")+SUMIFS('LAC 102_Wkst'!$AE$7:$AE$2010,'LAC 102_Wkst'!$E$7:$E$2010,$C39,'LAC 102_Wkst'!$G$7:$G$2010,$D39,'LAC 102_Wkst'!$L$7:$L$2010,"04",'LAC 102_Wkst'!$N$7:$N$2010,"P1")+SUMIFS('LAC 102_Wkst'!$AE$7:$AE$2010,'LAC 102_Wkst'!$E$7:$E$2010,$C39,'LAC 102_Wkst'!$G$7:$G$2010,$D39,'LAC 102_Wkst'!$L$7:$L$2010,"04",'LAC 102_Wkst'!$N$7:$N$2010,"P2")+SUMIFS('LAC 102_Wkst'!$AE$7:$AE$2010,'LAC 102_Wkst'!$E$7:$E$2010,$C39,'LAC 102_Wkst'!$G$7:$G$2010,$D39,'LAC 102_Wkst'!$L$7:$L$2010,"04",'LAC 102_Wkst'!$N$7:$N$2010,"P3")</f>
        <v>0</v>
      </c>
      <c r="N39" s="410">
        <f>SUMIFS('LAC 102_Wkst'!$Q$7:$Q$2010,'LAC 102_Wkst'!$E$7:$E$2010,$C39,'LAC 102_Wkst'!$G$7:$G$2010,$D39,'LAC 102_Wkst'!$L$7:$L$2010,"03",'LAC 102_Wkst'!$N$7:$N$2010,"P4")+SUMIFS('LAC 102_Wkst'!$Q$7:$Q$2010,'LAC 102_Wkst'!$E$7:$E$2010,$C39,'LAC 102_Wkst'!$G$7:$G$2010,$D39,'LAC 102_Wkst'!$L$7:$L$2010,"04",'LAC 102_Wkst'!$N$7:$N$2010,"P4")</f>
        <v>0</v>
      </c>
      <c r="O39" s="411">
        <f>SUMIFS('LAC 102_Wkst'!$AE$7:$AE$2010,'LAC 102_Wkst'!$E$7:$E$2010,$C39,'LAC 102_Wkst'!$G$7:$G$2010,$D39,'LAC 102_Wkst'!$L$7:$L$2010,"03",'LAC 102_Wkst'!$N$7:$N$2010,"P4")+SUMIFS('LAC 102_Wkst'!$AE$7:$AE$2010,'LAC 102_Wkst'!$E$7:$E$2010,$C39,'LAC 102_Wkst'!$G$7:$G$2010,$D39,'LAC 102_Wkst'!$L$7:$L$2010,"04",'LAC 102_Wkst'!$N$7:$N$2010,"P4")</f>
        <v>0</v>
      </c>
      <c r="P39" s="410">
        <f>SUMIFS('LAC 102_Wkst'!$Q$7:$Q$2010,'LAC 102_Wkst'!$E$7:$E$2010,$C39,'LAC 102_Wkst'!$G$7:$G$2010,$D39,'LAC 102_Wkst'!$L$7:$L$2010,"03",'LAC 102_Wkst'!$N$7:$N$2010,"P5")+SUMIFS('LAC 102_Wkst'!$Q$7:$Q$2010,'LAC 102_Wkst'!$E$7:$E$2010,$C39,'LAC 102_Wkst'!$G$7:$G$2010,$D39,'LAC 102_Wkst'!$L$7:$L$2010,"04",'LAC 102_Wkst'!$N$7:$N$2010,"P5")</f>
        <v>0</v>
      </c>
      <c r="Q39" s="411">
        <f>SUMIFS('LAC 102_Wkst'!$AE$7:$AE$2010,'LAC 102_Wkst'!$E$7:$E$2010,$C39,'LAC 102_Wkst'!$G$7:$G$2010,$D39,'LAC 102_Wkst'!$L$7:$L$2010,"03",'LAC 102_Wkst'!$N$7:$N$2010,"P5")+SUMIFS('LAC 102_Wkst'!$AE$7:$AE$2010,'LAC 102_Wkst'!$E$7:$E$2010,$C39,'LAC 102_Wkst'!$G$7:$G$2010,$D39,'LAC 102_Wkst'!$L$7:$L$2010,"04",'LAC 102_Wkst'!$N$7:$N$2010,"P5")</f>
        <v>0</v>
      </c>
      <c r="R39" s="412">
        <f>SUMIFS('LAC 102_Wkst'!$Q$7:$Q$2010,'LAC 102_Wkst'!$E$7:$E$2010,$C39,'LAC 102_Wkst'!$G$7:$G$2010,$D39,'LAC 102_Wkst'!$L$7:$L$2010,"05",'LAC 102_Wkst'!$N$7:$N$2010,"P1")+SUMIFS('LAC 102_Wkst'!$Q$7:$Q$2010,'LAC 102_Wkst'!$E$7:$E$2010,$C39,'LAC 102_Wkst'!$G$7:$G$2010,$D39,'LAC 102_Wkst'!$L$7:$L$2010,"06",'LAC 102_Wkst'!$N$7:$N$2010,"P1")</f>
        <v>0</v>
      </c>
      <c r="S39" s="411">
        <f>SUMIFS('LAC 102_Wkst'!$AE$7:$AE$2010,'LAC 102_Wkst'!$E$7:$E$2010,$C39,'LAC 102_Wkst'!$G$7:$G$2010,$D39,'LAC 102_Wkst'!$L$7:$L$2010,"05",'LAC 102_Wkst'!$N$7:$N$2010,"P1")+SUMIFS('LAC 102_Wkst'!$AE$7:$AE$2010,'LAC 102_Wkst'!$E$7:$E$2010,$C39,'LAC 102_Wkst'!$G$7:$G$2010,$D39,'LAC 102_Wkst'!$L$7:$L$2010,"06",'LAC 102_Wkst'!$N$7:$N$2010,"P1")</f>
        <v>0</v>
      </c>
      <c r="T39" s="410">
        <f>SUMIFS('LAC 102_Wkst'!$Q$7:$Q$2010,'LAC 102_Wkst'!$E$7:$E$2010,$C39,'LAC 102_Wkst'!$G$7:$G$2010,$D39,'LAC 102_Wkst'!$L$7:$L$2010,"05",'LAC 102_Wkst'!$N$7:$N$2010,"P2")+SUMIFS('LAC 102_Wkst'!$Q$7:$Q$2010,'LAC 102_Wkst'!$E$7:$E$2010,$C39,'LAC 102_Wkst'!$G$7:$G$2010,$D39,'LAC 102_Wkst'!$L$7:$L$2010,"05",'LAC 102_Wkst'!$N$7:$N$2010,"P3")+SUMIFS('LAC 102_Wkst'!$Q$7:$Q$2010,'LAC 102_Wkst'!$E$7:$E$2010,$C39,'LAC 102_Wkst'!$G$7:$G$2010,$D39,'LAC 102_Wkst'!$L$7:$L$2010,"06",'LAC 102_Wkst'!$N$7:$N$2010,"P2")+SUMIFS('LAC 102_Wkst'!$Q$7:$Q$2010,'LAC 102_Wkst'!$E$7:$E$2010,$C39,'LAC 102_Wkst'!$G$7:$G$2010,$D39,'LAC 102_Wkst'!$L$7:$L$2010,"06",'LAC 102_Wkst'!$N$7:$N$2010,"P3")</f>
        <v>0</v>
      </c>
      <c r="U39" s="411">
        <f>SUMIFS('LAC 102_Wkst'!$AE$7:$AE$2010,'LAC 102_Wkst'!$E$7:$E$2010,$C39,'LAC 102_Wkst'!$G$7:$G$2010,$D39,'LAC 102_Wkst'!$L$7:$L$2010,"05",'LAC 102_Wkst'!$N$7:$N$2010,"P2")+SUMIFS('LAC 102_Wkst'!$AE$7:$AE$2010,'LAC 102_Wkst'!$E$7:$E$2010,$C39,'LAC 102_Wkst'!$G$7:$G$2010,$D39,'LAC 102_Wkst'!$L$7:$L$2010,"06",'LAC 102_Wkst'!$N$7:$N$2010,"P3")+SUMIFS('LAC 102_Wkst'!$AE$7:$AE$2010,'LAC 102_Wkst'!$E$7:$E$2010,$C39,'LAC 102_Wkst'!$G$7:$G$2010,$D39,'LAC 102_Wkst'!$L$7:$L$2010,"05",'LAC 102_Wkst'!$N$7:$N$2010,"P2")+SUMIFS('LAC 102_Wkst'!$AE$7:$AE$2010,'LAC 102_Wkst'!$E$7:$E$2010,$C39,'LAC 102_Wkst'!$G$7:$G$2010,$D39,'LAC 102_Wkst'!$L$7:$L$2010,"06",'LAC 102_Wkst'!$N$7:$N$2010,"P3")</f>
        <v>0</v>
      </c>
      <c r="V39" s="410">
        <f>SUMIFS('LAC 102_Wkst'!$Q$7:$Q$2010,'LAC 102_Wkst'!$E$7:$E$2010,$C39,'LAC 102_Wkst'!$G$7:$G$2010,$D39,'LAC 102_Wkst'!$L$7:$L$2010,"05",'LAC 102_Wkst'!$N$7:$N$2010,"P4")+SUMIFS('LAC 102_Wkst'!$Q$7:$Q$2010,'LAC 102_Wkst'!$E$7:$E$2010,$C39,'LAC 102_Wkst'!$G$7:$G$2010,$D39,'LAC 102_Wkst'!$L$7:$L$2010,"06",'LAC 102_Wkst'!$N$7:$N$2010,"P4")</f>
        <v>0</v>
      </c>
      <c r="W39" s="411">
        <f>SUMIFS('LAC 102_Wkst'!$AE$7:$AE$2010,'LAC 102_Wkst'!$E$7:$E$2010,$C39,'LAC 102_Wkst'!$G$7:$G$2010,$D39,'LAC 102_Wkst'!$L$7:$L$2010,"05",'LAC 102_Wkst'!$N$7:$N$2010,"P4")+SUMIFS('LAC 102_Wkst'!$AE$7:$AE$2010,'LAC 102_Wkst'!$E$7:$E$2010,$C39,'LAC 102_Wkst'!$G$7:$G$2010,$D39,'LAC 102_Wkst'!$L$7:$L$2010,"06",'LAC 102_Wkst'!$N$7:$N$2010,"P4")</f>
        <v>0</v>
      </c>
      <c r="X39" s="410">
        <f>SUMIFS('LAC 102_Wkst'!$Q$7:$Q$2010,'LAC 102_Wkst'!$E$7:$E$2010,$C39,'LAC 102_Wkst'!$G$7:$G$2010,$D39,'LAC 102_Wkst'!$L$7:$L$2010,"05",'LAC 102_Wkst'!$N$7:$N$2010,"P5")+SUMIFS('LAC 102_Wkst'!$Q$7:$Q$2010,'LAC 102_Wkst'!$E$7:$E$2010,$C39,'LAC 102_Wkst'!$G$7:$G$2010,$D39,'LAC 102_Wkst'!$L$7:$L$2010,"06",'LAC 102_Wkst'!$N$7:$N$2010,"P5")</f>
        <v>0</v>
      </c>
      <c r="Y39" s="411">
        <f>SUMIFS('LAC 102_Wkst'!$AE$7:$AE$2010,'LAC 102_Wkst'!$E$7:$E$2010,$C39,'LAC 102_Wkst'!$G$7:$G$2010,$D39,'LAC 102_Wkst'!$L$7:$L$2010,"05",'LAC 102_Wkst'!$N$7:$N$2010,"P5")+SUMIFS('LAC 102_Wkst'!$AE$7:$AE$2010,'LAC 102_Wkst'!$E$7:$E$2010,$C39,'LAC 102_Wkst'!$G$7:$G$2010,$D39,'LAC 102_Wkst'!$L$7:$L$2010,"06",'LAC 102_Wkst'!$N$7:$N$2010,"P5")</f>
        <v>0</v>
      </c>
      <c r="Z39" s="410">
        <f>SUMIFS('LAC 102_Wkst'!$Q$7:$Q$2010,'LAC 102_Wkst'!$E$7:$E$2010,$C39,'LAC 102_Wkst'!$G$7:$G$2010,$D39,'LAC 102_Wkst'!$L$7:$L$2010,"07",'LAC 102_Wkst'!$N$7:$N$2010,"P1")+SUMIFS('LAC 102_Wkst'!$Q$7:$Q$2010,'LAC 102_Wkst'!$E$7:$E$2010,$C39,'LAC 102_Wkst'!$G$7:$G$2010,$D39,'LAC 102_Wkst'!$L$7:$L$2010,"07",'LAC 102_Wkst'!$N$7:$N$2010,"P2")+SUMIFS('LAC 102_Wkst'!$Q$7:$Q$2010,'LAC 102_Wkst'!$E$7:$E$2010,$C39,'LAC 102_Wkst'!$G$7:$G$2010,$D39,'LAC 102_Wkst'!$L$7:$L$2010,"07",'LAC 102_Wkst'!$N$7:$N$2010,"P3")</f>
        <v>0</v>
      </c>
      <c r="AA39" s="411">
        <f>SUMIFS('LAC 102_Wkst'!$AE$7:$AE$2010,'LAC 102_Wkst'!$E$7:$E$2010,$C39,'LAC 102_Wkst'!$G$7:$G$2010,$D39,'LAC 102_Wkst'!$L$7:$L$2010,"07",'LAC 102_Wkst'!$N$7:$N$2010,"P1")+SUMIFS('LAC 102_Wkst'!$AE$7:$AE$2010,'LAC 102_Wkst'!$E$7:$E$2010,$C39,'LAC 102_Wkst'!$G$7:$G$2010,$D39,'LAC 102_Wkst'!$L$7:$L$2010,"07",'LAC 102_Wkst'!$N$7:$N$2010,"P2")+SUMIFS('LAC 102_Wkst'!$AE$7:$AE$2010,'LAC 102_Wkst'!$E$7:$E$2010,$C39,'LAC 102_Wkst'!$G$7:$G$2010,$D39,'LAC 102_Wkst'!$L$7:$L$2010,"07",'LAC 102_Wkst'!$N$7:$N$2010,"P3")</f>
        <v>0</v>
      </c>
      <c r="AB39" s="410">
        <f>SUMIFS('LAC 102_Wkst'!$Q$7:$Q$2010,'LAC 102_Wkst'!$E$7:$E$2010,$C39,'LAC 102_Wkst'!$G$7:$G$2010,$D39,'LAC 102_Wkst'!$L$7:$L$2010,"07",'LAC 102_Wkst'!$N$7:$N$2010,"P4")</f>
        <v>0</v>
      </c>
      <c r="AC39" s="411">
        <f>SUMIFS('LAC 102_Wkst'!$AE$7:$AE$2010,'LAC 102_Wkst'!$E$7:$E$2010,$C39,'LAC 102_Wkst'!$G$7:$G$2010,$D39,'LAC 102_Wkst'!$L$7:$L$2010,"07",'LAC 102_Wkst'!$N$7:$N$2010,"P4")</f>
        <v>0</v>
      </c>
      <c r="AD39" s="410">
        <f>SUMIFS('LAC 102_Wkst'!$Q$7:$Q$2010,'LAC 102_Wkst'!$E$7:$E$2010,$C39,'LAC 102_Wkst'!$G$7:$G$2010,$D39,'LAC 102_Wkst'!$L$7:$L$2010,"07",'LAC 102_Wkst'!$N$7:$N$2010,"P5")</f>
        <v>0</v>
      </c>
      <c r="AE39" s="411">
        <f>SUMIFS('LAC 102_Wkst'!$AE$7:$AE$2010,'LAC 102_Wkst'!$E$7:$E$2010,$C39,'LAC 102_Wkst'!$G$7:$G$2010,$D39,'LAC 102_Wkst'!$L$7:$L$2010,"07",'LAC 102_Wkst'!$N$7:$N$2010,"P5")</f>
        <v>0</v>
      </c>
      <c r="AF39" s="410">
        <f>SUMIFS('LAC 102_Wkst'!$Q$7:$Q$2010,'LAC 102_Wkst'!$E$7:$E$2010,$C39,'LAC 102_Wkst'!$G$7:$G$2010,$D39,'LAC 102_Wkst'!$L$7:$L$2010,"08",'LAC 102_Wkst'!$N$7:$N$2010,"P1")+SUMIFS('LAC 102_Wkst'!$Q$7:$Q$2010,'LAC 102_Wkst'!$E$7:$E$2010,$C39,'LAC 102_Wkst'!$G$7:$G$2010,$D39,'LAC 102_Wkst'!$L$7:$L$2010,"08",'LAC 102_Wkst'!$N$7:$N$2010,"P2")+SUMIFS('LAC 102_Wkst'!$Q$7:$Q$2010,'LAC 102_Wkst'!$E$7:$E$2010,$C39,'LAC 102_Wkst'!$G$7:$G$2010,$D39,'LAC 102_Wkst'!$L$7:$L$2010,"08",'LAC 102_Wkst'!$N$7:$N$2010,"P3")</f>
        <v>0</v>
      </c>
      <c r="AG39" s="411">
        <f>SUMIFS('LAC 102_Wkst'!$AE$7:$AE$2010,'LAC 102_Wkst'!$E$7:$E$2010,$C39,'LAC 102_Wkst'!$G$7:$G$2010,$D39,'LAC 102_Wkst'!$L$7:$L$2010,"08",'LAC 102_Wkst'!$N$7:$N$2010,"P1")+SUMIFS('LAC 102_Wkst'!$AE$7:$AE$2010,'LAC 102_Wkst'!$E$7:$E$2010,$C39,'LAC 102_Wkst'!$G$7:$G$2010,$D39,'LAC 102_Wkst'!$L$7:$L$2010,"08",'LAC 102_Wkst'!$N$7:$N$2010,"P2")+SUMIFS('LAC 102_Wkst'!$AE$7:$AE$2010,'LAC 102_Wkst'!$E$7:$E$2010,$C39,'LAC 102_Wkst'!$G$7:$G$2010,$D39,'LAC 102_Wkst'!$L$7:$L$2010,"08",'LAC 102_Wkst'!$N$7:$N$2010,"P3")</f>
        <v>0</v>
      </c>
      <c r="AH39" s="410">
        <f>SUMIFS('LAC 102_Wkst'!$Q$7:$Q$2010,'LAC 102_Wkst'!$E$7:$E$2010,$C39,'LAC 102_Wkst'!$G$7:$G$2010,$D39,'LAC 102_Wkst'!$L$7:$L$2010,"08",'LAC 102_Wkst'!$N$7:$N$2010,"P4")</f>
        <v>0</v>
      </c>
      <c r="AI39" s="411">
        <f>SUMIFS('LAC 102_Wkst'!$AE$7:$AE$2010,'LAC 102_Wkst'!$E$7:$E$2010,$C39,'LAC 102_Wkst'!$G$7:$G$2010,$D39,'LAC 102_Wkst'!$L$7:$L$2010,"08",'LAC 102_Wkst'!$N$7:$N$2010,"P4")</f>
        <v>0</v>
      </c>
      <c r="AJ39" s="410">
        <f>SUMIFS('LAC 102_Wkst'!$Q$7:$Q$2010,'LAC 102_Wkst'!$E$7:$E$2010,$C39,'LAC 102_Wkst'!$G$7:$G$2010,$D39,'LAC 102_Wkst'!$L$7:$L$2010,"08",'LAC 102_Wkst'!$N$7:$N$2010,"P5")</f>
        <v>0</v>
      </c>
      <c r="AK39" s="411">
        <f>SUMIFS('LAC 102_Wkst'!$AE$7:$AE$2010,'LAC 102_Wkst'!$E$7:$E$2010,$C39,'LAC 102_Wkst'!$G$7:$G$2010,$D39,'LAC 102_Wkst'!$L$7:$L$2010,"08",'LAC 102_Wkst'!$N$7:$N$2010,"P5")</f>
        <v>0</v>
      </c>
      <c r="AL39" s="410">
        <f>SUMIFS('LAC 102_Wkst'!$Q$7:$Q$2010,'LAC 102_Wkst'!$E$7:$E$2010,$C39,'LAC 102_Wkst'!$G$7:$G$2010,$D39,'LAC 102_Wkst'!$L$7:$L$2010,"09",'LAC 102_Wkst'!$N$7:$N$2010,"P1")+SUMIFS('LAC 102_Wkst'!$Q$7:$Q$2010,'LAC 102_Wkst'!$E$7:$E$2010,$C39,'LAC 102_Wkst'!$G$7:$G$2010,$D39,'LAC 102_Wkst'!$L$7:$L$2010,"09",'LAC 102_Wkst'!$N$7:$N$2010,"P2")+SUMIFS('LAC 102_Wkst'!$Q$7:$Q$2010,'LAC 102_Wkst'!$E$7:$E$2010,$C39,'LAC 102_Wkst'!$G$7:$G$2010,$D39,'LAC 102_Wkst'!$L$7:$L$2010,"09",'LAC 102_Wkst'!$N$7:$N$2010,"P3")+SUMIFS('LAC 102_Wkst'!$Q$7:$Q$2010,'LAC 102_Wkst'!$E$7:$E$2010,$C39,'LAC 102_Wkst'!$G$7:$G$2010,$D39,'LAC 102_Wkst'!$L$7:$L$2010,"09",'LAC 102_Wkst'!$N$7:$N$2010,"P4")</f>
        <v>0</v>
      </c>
      <c r="AM39" s="411">
        <f>SUMIFS('LAC 102_Wkst'!$AE$7:$AE$2010,'LAC 102_Wkst'!$E$7:$E$2010,$C39,'LAC 102_Wkst'!$G$7:$G$2010,$D39,'LAC 102_Wkst'!$L$7:$L$2010,"09",'LAC 102_Wkst'!$N$7:$N$2010,"P1")+SUMIFS('LAC 102_Wkst'!$AE$7:$AE$2010,'LAC 102_Wkst'!$E$7:$E$2010,$C39,'LAC 102_Wkst'!$G$7:$G$2010,$D39,'LAC 102_Wkst'!$L$7:$L$2010,"09",'LAC 102_Wkst'!$N$7:$N$2010,"P2")+SUMIFS('LAC 102_Wkst'!$AE$7:$AE$2010,'LAC 102_Wkst'!$E$7:$E$2010,$C39,'LAC 102_Wkst'!$G$7:$G$2010,$D39,'LAC 102_Wkst'!$L$7:$L$2010,"09",'LAC 102_Wkst'!$N$7:$N$2010,"P3")+SUMIFS('LAC 102_Wkst'!$AE$7:$AE$2010,'LAC 102_Wkst'!$E$7:$E$2010,$C39,'LAC 102_Wkst'!$G$7:$G$2010,$D39,'LAC 102_Wkst'!$L$7:$L$2010,"09",'LAC 102_Wkst'!$N$7:$N$2010,"P4")</f>
        <v>0</v>
      </c>
      <c r="AN39" s="410">
        <f>SUMIFS('LAC 102_Wkst'!$Q$7:$Q$2010,'LAC 102_Wkst'!$E$7:$E$2010,$C39,'LAC 102_Wkst'!$G$7:$G$2010,$D39,'LAC 102_Wkst'!$L$7:$L$2010,"09",'LAC 102_Wkst'!$N$7:$N$2010,"P5")</f>
        <v>0</v>
      </c>
      <c r="AO39" s="411">
        <f>SUMIFS('LAC 102_Wkst'!$AE$7:$AE$2010,'LAC 102_Wkst'!$E$7:$E$2010,$C39,'LAC 102_Wkst'!$G$7:$G$2010,$D39,'LAC 102_Wkst'!$L$7:$L$2010,"09",'LAC 102_Wkst'!$N$7:$N$2010,"P5")</f>
        <v>0</v>
      </c>
      <c r="AP39" s="410">
        <f>SUMIFS('LAC 102_Wkst'!$Q$7:$Q$2010,'LAC 102_Wkst'!$E$7:$E$2010,$C39,'LAC 102_Wkst'!$G$7:$G$2010,$D39,'LAC 102_Wkst'!$L$7:$L$2010,"10",'LAC 102_Wkst'!$N$7:$N$2010,"P1")+SUMIFS('LAC 102_Wkst'!$Q$7:$Q$2010,'LAC 102_Wkst'!$E$7:$E$2010,$C39,'LAC 102_Wkst'!$G$7:$G$2010,$D39,'LAC 102_Wkst'!$L$7:$L$2010,"10",'LAC 102_Wkst'!$N$7:$N$2010,"P2")+SUMIFS('LAC 102_Wkst'!$Q$7:$Q$2010,'LAC 102_Wkst'!$E$7:$E$2010,$C39,'LAC 102_Wkst'!$G$7:$G$2010,$D39,'LAC 102_Wkst'!$L$7:$L$2010,"10",'LAC 102_Wkst'!$N$7:$N$2010,"P3")+SUMIFS('LAC 102_Wkst'!$Q$7:$Q$2010,'LAC 102_Wkst'!$E$7:$E$2010,$C39,'LAC 102_Wkst'!$G$7:$G$2010,$D39,'LAC 102_Wkst'!$L$7:$L$2010,"10",'LAC 102_Wkst'!$N$7:$N$2010,"P4")</f>
        <v>0</v>
      </c>
      <c r="AQ39" s="411">
        <f>SUMIFS('LAC 102_Wkst'!$AE$7:$AE$2010,'LAC 102_Wkst'!$E$7:$E$2010,$C39,'LAC 102_Wkst'!$G$7:$G$2010,$D39,'LAC 102_Wkst'!$L$7:$L$2010,"10",'LAC 102_Wkst'!$N$7:$N$2010,"P1")+SUMIFS('LAC 102_Wkst'!$AE$7:$AE$2010,'LAC 102_Wkst'!$E$7:$E$2010,$C39,'LAC 102_Wkst'!$G$7:$G$2010,$D39,'LAC 102_Wkst'!$L$7:$L$2010,"10",'LAC 102_Wkst'!$N$7:$N$2010,"P2")+SUMIFS('LAC 102_Wkst'!$AE$7:$AE$2010,'LAC 102_Wkst'!$E$7:$E$2010,$C39,'LAC 102_Wkst'!$G$7:$G$2010,$D39,'LAC 102_Wkst'!$L$7:$L$2010,"10",'LAC 102_Wkst'!$N$7:$N$2010,"P3")+SUMIFS('LAC 102_Wkst'!$AE$7:$AE$2010,'LAC 102_Wkst'!$E$7:$E$2010,$C39,'LAC 102_Wkst'!$G$7:$G$2010,$D39,'LAC 102_Wkst'!$L$7:$L$2010,"10",'LAC 102_Wkst'!$N$7:$N$2010,"P4")</f>
        <v>0</v>
      </c>
      <c r="AR39" s="410">
        <f>SUMIFS('LAC 102_Wkst'!$Q$7:$Q$2010,'LAC 102_Wkst'!$E$7:$E$2010,$C39,'LAC 102_Wkst'!$G$7:$G$2010,$D39,'LAC 102_Wkst'!$L$7:$L$2010,"10",'LAC 102_Wkst'!$N$7:$N$2010,"P5")</f>
        <v>0</v>
      </c>
      <c r="AS39" s="411">
        <f>SUMIFS('LAC 102_Wkst'!$AE$7:$AE$2010,'LAC 102_Wkst'!$E$7:$E$2010,$C39,'LAC 102_Wkst'!$G$7:$G$2010,$D39,'LAC 102_Wkst'!$L$7:$L$2010,"10",'LAC 102_Wkst'!$N$7:$N$2010,"P5")</f>
        <v>0</v>
      </c>
      <c r="AT39" s="410">
        <f>SUMIFS('LAC 102_Wkst'!$Q$7:$Q$2010,'LAC 102_Wkst'!$E$7:$E$2010,$C39,'LAC 102_Wkst'!$G$7:$G$2010,$D39,'LAC 102_Wkst'!$L$7:$L$2010,"11",'LAC 102_Wkst'!$N$7:$N$2010,"P1")+SUMIFS('LAC 102_Wkst'!$Q$7:$Q$2010,'LAC 102_Wkst'!$E$7:$E$2010,$C39,'LAC 102_Wkst'!$G$7:$G$2010,$D39,'LAC 102_Wkst'!$L$7:$L$2010,"12",'LAC 102_Wkst'!$N$7:$N$2010,"P1")</f>
        <v>0</v>
      </c>
      <c r="AU39" s="411">
        <f>SUMIFS('LAC 102_Wkst'!$AE$7:$AE$2010,'LAC 102_Wkst'!$E$7:$E$2010,$C39,'LAC 102_Wkst'!$G$7:$G$2010,$D39,'LAC 102_Wkst'!$L$7:$L$2010,"11",'LAC 102_Wkst'!$N$7:$N$2010,"P1")+SUMIFS('LAC 102_Wkst'!$AE$7:$AE$2010,'LAC 102_Wkst'!$E$7:$E$2010,$C39,'LAC 102_Wkst'!$G$7:$G$2010,$D39,'LAC 102_Wkst'!$L$7:$L$2010,"12",'LAC 102_Wkst'!$N$7:$N$2010,"P1")</f>
        <v>0</v>
      </c>
      <c r="AV39" s="410">
        <f>SUMIFS('LAC 102_Wkst'!$Q$7:$Q$2010,'LAC 102_Wkst'!$E$7:$E$2010,$C39,'LAC 102_Wkst'!$G$7:$G$2010,$D39,'LAC 102_Wkst'!$L$7:$L$2010,"11",'LAC 102_Wkst'!$N$7:$N$2010,"P2")+SUMIFS('LAC 102_Wkst'!$Q$7:$Q$2010,'LAC 102_Wkst'!$E$7:$E$2010,$C39,'LAC 102_Wkst'!$G$7:$G$2010,$D39,'LAC 102_Wkst'!$L$7:$L$2010,"12",'LAC 102_Wkst'!$N$7:$N$2010,"P3")+SUMIFS('LAC 102_Wkst'!$Q$7:$Q$2010,'LAC 102_Wkst'!$E$7:$E$2010,$C39,'LAC 102_Wkst'!$G$7:$G$2010,$D39,'LAC 102_Wkst'!$L$7:$L$2010,"11",'LAC 102_Wkst'!$N$7:$N$2010,"P2")+SUMIFS('LAC 102_Wkst'!$Q$7:$Q$2010,'LAC 102_Wkst'!$E$7:$E$2010,$C39,'LAC 102_Wkst'!$G$7:$G$2010,$D39,'LAC 102_Wkst'!$L$7:$L$2010,"12",'LAC 102_Wkst'!$N$7:$N$2010,"P3")</f>
        <v>0</v>
      </c>
      <c r="AW39" s="411">
        <f>SUMIFS('LAC 102_Wkst'!$AE$7:$AE$2010,'LAC 102_Wkst'!$E$7:$E$2010,$C39,'LAC 102_Wkst'!$G$7:$G$2010,$D39,'LAC 102_Wkst'!$L$7:$L$2010,"11",'LAC 102_Wkst'!$N$7:$N$2010,"P2")+SUMIFS('LAC 102_Wkst'!$AE$7:$AE$2010,'LAC 102_Wkst'!$E$7:$E$2010,$C39,'LAC 102_Wkst'!$G$7:$G$2010,$D39,'LAC 102_Wkst'!$L$7:$L$2010,"12",'LAC 102_Wkst'!$N$7:$N$2010,"P3")+SUMIFS('LAC 102_Wkst'!$AE$7:$AE$2010,'LAC 102_Wkst'!$E$7:$E$2010,$C39,'LAC 102_Wkst'!$G$7:$G$2010,$D39,'LAC 102_Wkst'!$L$7:$L$2010,"11",'LAC 102_Wkst'!$N$7:$N$2010,"P2")+SUMIFS('LAC 102_Wkst'!$AE$7:$AE$2010,'LAC 102_Wkst'!$E$7:$E$2010,$C39,'LAC 102_Wkst'!$G$7:$G$2010,$D39,'LAC 102_Wkst'!$L$7:$L$2010,"12",'LAC 102_Wkst'!$N$7:$N$2010,"P3")</f>
        <v>0</v>
      </c>
      <c r="AX39" s="410">
        <f>SUMIFS('LAC 102_Wkst'!$Q$7:$Q$2010,'LAC 102_Wkst'!$E$7:$E$2010,$C39,'LAC 102_Wkst'!$G$7:$G$2010,$D39,'LAC 102_Wkst'!$L$7:$L$2010,"11",'LAC 102_Wkst'!$N$7:$N$2010,"P4")+SUMIFS('LAC 102_Wkst'!$Q$7:$Q$2010,'LAC 102_Wkst'!$E$7:$E$2010,$C39,'LAC 102_Wkst'!$G$7:$G$2010,$D39,'LAC 102_Wkst'!$L$7:$L$2010,"12",'LAC 102_Wkst'!$N$7:$N$2010,"P4")</f>
        <v>0</v>
      </c>
      <c r="AY39" s="411">
        <f>SUMIFS('LAC 102_Wkst'!$AE$7:$AE$2010,'LAC 102_Wkst'!$E$7:$E$2010,$C39,'LAC 102_Wkst'!$G$7:$G$2010,$D39,'LAC 102_Wkst'!$L$7:$L$2010,"11",'LAC 102_Wkst'!$N$7:$N$2010,"P4")+SUMIFS('LAC 102_Wkst'!$AE$7:$AE$2010,'LAC 102_Wkst'!$E$7:$E$2010,$C39,'LAC 102_Wkst'!$G$7:$G$2010,$D39,'LAC 102_Wkst'!$L$7:$L$2010,"12",'LAC 102_Wkst'!$N$7:$N$2010,"P4")</f>
        <v>0</v>
      </c>
      <c r="AZ39" s="410">
        <f>SUMIFS('LAC 102_Wkst'!$Q$7:$Q$2010,'LAC 102_Wkst'!$E$7:$E$2010,$C39,'LAC 102_Wkst'!$G$7:$G$2010,$D39,'LAC 102_Wkst'!$L$7:$L$2010,"11",'LAC 102_Wkst'!$N$7:$N$2010,"P5")+SUMIFS('LAC 102_Wkst'!$Q$7:$Q$2010,'LAC 102_Wkst'!$E$7:$E$2010,$C39,'LAC 102_Wkst'!$G$7:$G$2010,$D39,'LAC 102_Wkst'!$L$7:$L$2010,"12",'LAC 102_Wkst'!$N$7:$N$2010,"P5")</f>
        <v>0</v>
      </c>
      <c r="BA39" s="411">
        <f>SUMIFS('LAC 102_Wkst'!$AE$7:$AE$2010,'LAC 102_Wkst'!$E$7:$E$2010,$C39,'LAC 102_Wkst'!$G$7:$G$2010,$D39,'LAC 102_Wkst'!$L$7:$L$2010,"11",'LAC 102_Wkst'!$N$7:$N$2010,"P5")+SUMIFS('LAC 102_Wkst'!$AE$7:$AE$2010,'LAC 102_Wkst'!$E$7:$E$2010,$C39,'LAC 102_Wkst'!$G$7:$G$2010,$D39,'LAC 102_Wkst'!$L$7:$L$2010,"12",'LAC 102_Wkst'!$N$7:$N$2010,"P5")</f>
        <v>0</v>
      </c>
      <c r="BB39" s="410">
        <f>SUMIFS('LAC 102_Wkst'!$Q$7:$Q$2010,'LAC 102_Wkst'!$E$7:$E$2010,$C39,'LAC 102_Wkst'!$G$7:$G$2010,$D39,'LAC 102_Wkst'!$L$7:$L$2010,"13",'LAC 102_Wkst'!$N$7:$N$2010,"P1")+SUMIFS('LAC 102_Wkst'!$Q$7:$Q$2010,'LAC 102_Wkst'!$E$7:$E$2010,$C39,'LAC 102_Wkst'!$G$7:$G$2010,$D39,'LAC 102_Wkst'!$L$7:$L$2010,"13",'LAC 102_Wkst'!$N$7:$N$2010,"P2")+SUMIFS('LAC 102_Wkst'!$Q$7:$Q$2010,'LAC 102_Wkst'!$E$7:$E$2010,$C39,'LAC 102_Wkst'!$G$7:$G$2010,$D39,'LAC 102_Wkst'!$L$7:$L$2010,"13",'LAC 102_Wkst'!$N$7:$N$2010,"P3")+SUMIFS('LAC 102_Wkst'!$Q$7:$Q$2010,'LAC 102_Wkst'!$E$7:$E$2010,$C39,'LAC 102_Wkst'!$G$7:$G$2010,$D39,'LAC 102_Wkst'!$L$7:$L$2010,"13",'LAC 102_Wkst'!$N$7:$N$2010,"P4")</f>
        <v>0</v>
      </c>
      <c r="BC39" s="411">
        <f>SUMIFS('LAC 102_Wkst'!$AE$7:$AE$2010,'LAC 102_Wkst'!$E$7:$E$2010,$C39,'LAC 102_Wkst'!$G$7:$G$2010,$D39,'LAC 102_Wkst'!$L$7:$L$2010,"13",'LAC 102_Wkst'!$N$7:$N$2010,"P1")+SUMIFS('LAC 102_Wkst'!$AE$7:$AE$2010,'LAC 102_Wkst'!$E$7:$E$2010,$C39,'LAC 102_Wkst'!$G$7:$G$2010,$D39,'LAC 102_Wkst'!$L$7:$L$2010,"13",'LAC 102_Wkst'!$N$7:$N$2010,"P2")+SUMIFS('LAC 102_Wkst'!$AE$7:$AE$2010,'LAC 102_Wkst'!$E$7:$E$2010,$C39,'LAC 102_Wkst'!$G$7:$G$2010,$D39,'LAC 102_Wkst'!$L$7:$L$2010,"13",'LAC 102_Wkst'!$N$7:$N$2010,"P3")+SUMIFS('LAC 102_Wkst'!$AE$7:$AE$2010,'LAC 102_Wkst'!$E$7:$E$2010,$C39,'LAC 102_Wkst'!$G$7:$G$2010,$D39,'LAC 102_Wkst'!$L$7:$L$2010,"13",'LAC 102_Wkst'!$N$7:$N$2010,"P4")</f>
        <v>0</v>
      </c>
      <c r="BD39" s="410">
        <f>SUMIFS('LAC 102_Wkst'!$Q$7:$Q$2010,'LAC 102_Wkst'!$E$7:$E$2010,$C39,'LAC 102_Wkst'!$G$7:$G$2010,$D39,'LAC 102_Wkst'!$L$7:$L$2010,"13",'LAC 102_Wkst'!$N$7:$N$2010,"P5")</f>
        <v>0</v>
      </c>
      <c r="BE39" s="411">
        <f>SUMIFS('LAC 102_Wkst'!$AE$7:$AE$2010,'LAC 102_Wkst'!$E$7:$E$2010,$C39,'LAC 102_Wkst'!$G$7:$G$2010,$D39,'LAC 102_Wkst'!$L$7:$L$2010,"13",'LAC 102_Wkst'!$N$7:$N$2010,"P5")</f>
        <v>0</v>
      </c>
      <c r="BF39" s="407">
        <f t="shared" si="0"/>
        <v>1</v>
      </c>
    </row>
    <row r="40" spans="1:58" x14ac:dyDescent="0.2">
      <c r="A40" s="401">
        <v>21</v>
      </c>
      <c r="B40" s="1236"/>
      <c r="C40" s="1235"/>
      <c r="D40" s="1237"/>
      <c r="E40" s="1222">
        <f>IF(CONCATENATE(C40,D40)&gt;"6069",1,SUMIFS('LAC 102_Wkst'!$Q$7:$Q$2010,'LAC 102_Wkst'!$E$7:$E$2010,Schedule_B!$C40,'LAC 102_Wkst'!$G$7:$G$2010,Schedule_B!$D40))</f>
        <v>0</v>
      </c>
      <c r="F40" s="408">
        <f>SUMIFS('LAC 102_Wkst'!$Q$7:$Q$2010,'LAC 102_Wkst'!$E$7:$E$2010,$C40,'LAC 102_Wkst'!$G$7:$G$2010,$D40,'LAC 102_Wkst'!$L$7:$L$2010,"01",'LAC 102_Wkst'!$N$7:$N$2010,"P1")+SUMIFS('LAC 102_Wkst'!$Q$7:$Q$2010,'LAC 102_Wkst'!$E$7:$E$2010,$C40,'LAC 102_Wkst'!$G$7:$G$2010,$D40,'LAC 102_Wkst'!$L$7:$L$2010,"01",'LAC 102_Wkst'!$N$7:$N$2010,"P2")+SUMIFS('LAC 102_Wkst'!$Q$7:$Q$2010,'LAC 102_Wkst'!$E$7:$E$2010,$C40,'LAC 102_Wkst'!$G$7:$G$2010,$D40,'LAC 102_Wkst'!$L$7:$L$2010,"01",'LAC 102_Wkst'!$N$7:$N$2010,"P3")+SUMIFS('LAC 102_Wkst'!$Q$7:$Q$2010,'LAC 102_Wkst'!$E$7:$E$2010,$C40,'LAC 102_Wkst'!$G$7:$G$2010,$D40,'LAC 102_Wkst'!$L$7:$L$2010,"02",'LAC 102_Wkst'!$N$7:$N$2010,"P1")+SUMIFS('LAC 102_Wkst'!$Q$7:$Q$2010,'LAC 102_Wkst'!$E$7:$E$2010,$C40,'LAC 102_Wkst'!$G$7:$G$2010,$D40,'LAC 102_Wkst'!$L$7:$L$2010,"02",'LAC 102_Wkst'!$N$7:$N$2010,"P2")+SUMIFS('LAC 102_Wkst'!$Q$7:$Q$2010,'LAC 102_Wkst'!$E$7:$E$2010,$C40,'LAC 102_Wkst'!$G$7:$G$2010,$D40,'LAC 102_Wkst'!$L$7:$L$2010,"02",'LAC 102_Wkst'!$N$7:$N$2010,"P3")</f>
        <v>0</v>
      </c>
      <c r="G40" s="409">
        <f>SUMIFS('LAC 102_Wkst'!$AE$7:$AE$2010,'LAC 102_Wkst'!$E$7:$E$2010,$C40,'LAC 102_Wkst'!$G$7:$G$2010,$D40,'LAC 102_Wkst'!$L$7:$L$2010,"01",'LAC 102_Wkst'!$N$7:$N$2010,"P1")+SUMIFS('LAC 102_Wkst'!$AE$7:$AE$2010,'LAC 102_Wkst'!$E$7:$E$2010,$C40,'LAC 102_Wkst'!$G$7:$G$2010,$D40,'LAC 102_Wkst'!$L$7:$L$2010,"01",'LAC 102_Wkst'!$N$7:$N$2010,"P2")+SUMIFS('LAC 102_Wkst'!$AE$7:$AE$2010,'LAC 102_Wkst'!$E$7:$E$2010,$C40,'LAC 102_Wkst'!$G$7:$G$2010,$D40,'LAC 102_Wkst'!$L$7:$L$2010,"01",'LAC 102_Wkst'!$N$7:$N$2010,"P3")+SUMIFS('LAC 102_Wkst'!$AE$7:$AE$2010,'LAC 102_Wkst'!$E$7:$E$2010,$C40,'LAC 102_Wkst'!$G$7:$G$2010,$D40,'LAC 102_Wkst'!$L$7:$L$2010,"02",'LAC 102_Wkst'!$N$7:$N$2010,"P1")+SUMIFS('LAC 102_Wkst'!$AE$7:$AE$2010,'LAC 102_Wkst'!$E$7:$E$2010,$C40,'LAC 102_Wkst'!$G$7:$G$2010,$D40,'LAC 102_Wkst'!$L$7:$L$2010,"02",'LAC 102_Wkst'!$N$7:$N$2010,"P2")+SUMIFS('LAC 102_Wkst'!$AE$7:$AE$2010,'LAC 102_Wkst'!$E$7:$E$2010,$C40,'LAC 102_Wkst'!$G$7:$G$2010,$D40,'LAC 102_Wkst'!$L$7:$L$2010,"02",'LAC 102_Wkst'!$N$7:$N$2010,"P3")</f>
        <v>0</v>
      </c>
      <c r="H40" s="410">
        <f>SUMIFS('LAC 102_Wkst'!$Q$7:$Q$2010,'LAC 102_Wkst'!$E$7:$E$2010,$C40,'LAC 102_Wkst'!$G$7:$G$2010,$D40,'LAC 102_Wkst'!$L$7:$L$2010,"01",'LAC 102_Wkst'!$N$7:$N$2010,"P4")+SUMIFS('LAC 102_Wkst'!$Q$7:$Q$2010,'LAC 102_Wkst'!$E$7:$E$2010,$C40,'LAC 102_Wkst'!$G$7:$G$2010,$D40,'LAC 102_Wkst'!$L$7:$L$2010,"02",'LAC 102_Wkst'!$N$7:$N$2010,"P4")</f>
        <v>0</v>
      </c>
      <c r="I40" s="411">
        <f>SUMIFS('LAC 102_Wkst'!$AE$7:$AE$2010,'LAC 102_Wkst'!$E$7:$E$2010,$C40,'LAC 102_Wkst'!$G$7:$G$2010,$D40,'LAC 102_Wkst'!$L$7:$L$2010,"01",'LAC 102_Wkst'!$N$7:$N$2010,"P4")+SUMIFS('LAC 102_Wkst'!$AE$7:$AE$2010,'LAC 102_Wkst'!$E$7:$E$2010,$C40,'LAC 102_Wkst'!$G$7:$G$2010,$D40,'LAC 102_Wkst'!$L$7:$L$2010,"02",'LAC 102_Wkst'!$N$7:$N$2010,"P4")</f>
        <v>0</v>
      </c>
      <c r="J40" s="410">
        <f>SUMIFS('LAC 102_Wkst'!$Q$7:$Q$2010,'LAC 102_Wkst'!$E$7:$E$2010,$C40,'LAC 102_Wkst'!$G$7:$G$2010,$D40,'LAC 102_Wkst'!$L$7:$L$2010,"01",'LAC 102_Wkst'!$N$7:$N$2010,"P5")+SUMIFS('LAC 102_Wkst'!$Q$7:$Q$2010,'LAC 102_Wkst'!$E$7:$E$2010,$C40,'LAC 102_Wkst'!$G$7:$G$2010,$D40,'LAC 102_Wkst'!$L$7:$L$2010,"02",'LAC 102_Wkst'!$N$7:$N$2010,"P5")</f>
        <v>0</v>
      </c>
      <c r="K40" s="411">
        <f>SUMIFS('LAC 102_Wkst'!$AE$7:$AE$2010,'LAC 102_Wkst'!$E$7:$E$2010,$C40,'LAC 102_Wkst'!$G$7:$G$2010,$D40,'LAC 102_Wkst'!$L$7:$L$2010,"01",'LAC 102_Wkst'!$N$7:$N$2010,"P5")+SUMIFS('LAC 102_Wkst'!$AE$7:$AE$2010,'LAC 102_Wkst'!$E$7:$E$2010,$C40,'LAC 102_Wkst'!$G$7:$G$2010,$D40,'LAC 102_Wkst'!$L$7:$L$2010,"02",'LAC 102_Wkst'!$N$7:$N$2010,"P5")</f>
        <v>0</v>
      </c>
      <c r="L40" s="410">
        <f>SUMIFS('LAC 102_Wkst'!$Q$7:$Q$2010,'LAC 102_Wkst'!$E$7:$E$2010,$C40,'LAC 102_Wkst'!$G$7:$G$2010,$D40,'LAC 102_Wkst'!$L$7:$L$2010,"03",'LAC 102_Wkst'!$N$7:$N$2010,"P1")+SUMIFS('LAC 102_Wkst'!$Q$7:$Q$2010,'LAC 102_Wkst'!$E$7:$E$2010,$C40,'LAC 102_Wkst'!$G$7:$G$2010,$D40,'LAC 102_Wkst'!$L$7:$L$2010,"03",'LAC 102_Wkst'!$N$7:$N$2010,"P2")+SUMIFS('LAC 102_Wkst'!$Q$7:$Q$2010,'LAC 102_Wkst'!$E$7:$E$2010,$C40,'LAC 102_Wkst'!$G$7:$G$2010,$D40,'LAC 102_Wkst'!$L$7:$L$2010,"03",'LAC 102_Wkst'!$N$7:$N$2010,"P3")+SUMIFS('LAC 102_Wkst'!$Q$7:$Q$2010,'LAC 102_Wkst'!$E$7:$E$2010,$C40,'LAC 102_Wkst'!$G$7:$G$2010,$D40,'LAC 102_Wkst'!$L$7:$L$2010,"04",'LAC 102_Wkst'!$N$7:$N$2010,"P1")+SUMIFS('LAC 102_Wkst'!$Q$7:$Q$2010,'LAC 102_Wkst'!$E$7:$E$2010,$C40,'LAC 102_Wkst'!$G$7:$G$2010,$D40,'LAC 102_Wkst'!$L$7:$L$2010,"04",'LAC 102_Wkst'!$N$7:$N$2010,"P2")+SUMIFS('LAC 102_Wkst'!$Q$7:$Q$2010,'LAC 102_Wkst'!$E$7:$E$2010,$C40,'LAC 102_Wkst'!$G$7:$G$2010,$D40,'LAC 102_Wkst'!$L$7:$L$2010,"04",'LAC 102_Wkst'!$N$7:$N$2010,"P3")</f>
        <v>0</v>
      </c>
      <c r="M40" s="411">
        <f>SUMIFS('LAC 102_Wkst'!$AE$7:$AE$2010,'LAC 102_Wkst'!$E$7:$E$2010,$C40,'LAC 102_Wkst'!$G$7:$G$2010,$D40,'LAC 102_Wkst'!$L$7:$L$2010,"03",'LAC 102_Wkst'!$N$7:$N$2010,"P1")+SUMIFS('LAC 102_Wkst'!$AE$7:$AE$2010,'LAC 102_Wkst'!$E$7:$E$2010,$C40,'LAC 102_Wkst'!$G$7:$G$2010,$D40,'LAC 102_Wkst'!$L$7:$L$2010,"03",'LAC 102_Wkst'!$N$7:$N$2010,"P2")+SUMIFS('LAC 102_Wkst'!$AE$7:$AE$2010,'LAC 102_Wkst'!$E$7:$E$2010,$C40,'LAC 102_Wkst'!$G$7:$G$2010,$D40,'LAC 102_Wkst'!$L$7:$L$2010,"03",'LAC 102_Wkst'!$N$7:$N$2010,"P3")+SUMIFS('LAC 102_Wkst'!$AE$7:$AE$2010,'LAC 102_Wkst'!$E$7:$E$2010,$C40,'LAC 102_Wkst'!$G$7:$G$2010,$D40,'LAC 102_Wkst'!$L$7:$L$2010,"04",'LAC 102_Wkst'!$N$7:$N$2010,"P1")+SUMIFS('LAC 102_Wkst'!$AE$7:$AE$2010,'LAC 102_Wkst'!$E$7:$E$2010,$C40,'LAC 102_Wkst'!$G$7:$G$2010,$D40,'LAC 102_Wkst'!$L$7:$L$2010,"04",'LAC 102_Wkst'!$N$7:$N$2010,"P2")+SUMIFS('LAC 102_Wkst'!$AE$7:$AE$2010,'LAC 102_Wkst'!$E$7:$E$2010,$C40,'LAC 102_Wkst'!$G$7:$G$2010,$D40,'LAC 102_Wkst'!$L$7:$L$2010,"04",'LAC 102_Wkst'!$N$7:$N$2010,"P3")</f>
        <v>0</v>
      </c>
      <c r="N40" s="410">
        <f>SUMIFS('LAC 102_Wkst'!$Q$7:$Q$2010,'LAC 102_Wkst'!$E$7:$E$2010,$C40,'LAC 102_Wkst'!$G$7:$G$2010,$D40,'LAC 102_Wkst'!$L$7:$L$2010,"03",'LAC 102_Wkst'!$N$7:$N$2010,"P4")+SUMIFS('LAC 102_Wkst'!$Q$7:$Q$2010,'LAC 102_Wkst'!$E$7:$E$2010,$C40,'LAC 102_Wkst'!$G$7:$G$2010,$D40,'LAC 102_Wkst'!$L$7:$L$2010,"04",'LAC 102_Wkst'!$N$7:$N$2010,"P4")</f>
        <v>0</v>
      </c>
      <c r="O40" s="411">
        <f>SUMIFS('LAC 102_Wkst'!$AE$7:$AE$2010,'LAC 102_Wkst'!$E$7:$E$2010,$C40,'LAC 102_Wkst'!$G$7:$G$2010,$D40,'LAC 102_Wkst'!$L$7:$L$2010,"03",'LAC 102_Wkst'!$N$7:$N$2010,"P4")+SUMIFS('LAC 102_Wkst'!$AE$7:$AE$2010,'LAC 102_Wkst'!$E$7:$E$2010,$C40,'LAC 102_Wkst'!$G$7:$G$2010,$D40,'LAC 102_Wkst'!$L$7:$L$2010,"04",'LAC 102_Wkst'!$N$7:$N$2010,"P4")</f>
        <v>0</v>
      </c>
      <c r="P40" s="410">
        <f>SUMIFS('LAC 102_Wkst'!$Q$7:$Q$2010,'LAC 102_Wkst'!$E$7:$E$2010,$C40,'LAC 102_Wkst'!$G$7:$G$2010,$D40,'LAC 102_Wkst'!$L$7:$L$2010,"03",'LAC 102_Wkst'!$N$7:$N$2010,"P5")+SUMIFS('LAC 102_Wkst'!$Q$7:$Q$2010,'LAC 102_Wkst'!$E$7:$E$2010,$C40,'LAC 102_Wkst'!$G$7:$G$2010,$D40,'LAC 102_Wkst'!$L$7:$L$2010,"04",'LAC 102_Wkst'!$N$7:$N$2010,"P5")</f>
        <v>0</v>
      </c>
      <c r="Q40" s="411">
        <f>SUMIFS('LAC 102_Wkst'!$AE$7:$AE$2010,'LAC 102_Wkst'!$E$7:$E$2010,$C40,'LAC 102_Wkst'!$G$7:$G$2010,$D40,'LAC 102_Wkst'!$L$7:$L$2010,"03",'LAC 102_Wkst'!$N$7:$N$2010,"P5")+SUMIFS('LAC 102_Wkst'!$AE$7:$AE$2010,'LAC 102_Wkst'!$E$7:$E$2010,$C40,'LAC 102_Wkst'!$G$7:$G$2010,$D40,'LAC 102_Wkst'!$L$7:$L$2010,"04",'LAC 102_Wkst'!$N$7:$N$2010,"P5")</f>
        <v>0</v>
      </c>
      <c r="R40" s="412">
        <f>SUMIFS('LAC 102_Wkst'!$Q$7:$Q$2010,'LAC 102_Wkst'!$E$7:$E$2010,$C40,'LAC 102_Wkst'!$G$7:$G$2010,$D40,'LAC 102_Wkst'!$L$7:$L$2010,"05",'LAC 102_Wkst'!$N$7:$N$2010,"P1")+SUMIFS('LAC 102_Wkst'!$Q$7:$Q$2010,'LAC 102_Wkst'!$E$7:$E$2010,$C40,'LAC 102_Wkst'!$G$7:$G$2010,$D40,'LAC 102_Wkst'!$L$7:$L$2010,"06",'LAC 102_Wkst'!$N$7:$N$2010,"P1")</f>
        <v>0</v>
      </c>
      <c r="S40" s="411">
        <f>SUMIFS('LAC 102_Wkst'!$AE$7:$AE$2010,'LAC 102_Wkst'!$E$7:$E$2010,$C40,'LAC 102_Wkst'!$G$7:$G$2010,$D40,'LAC 102_Wkst'!$L$7:$L$2010,"05",'LAC 102_Wkst'!$N$7:$N$2010,"P1")+SUMIFS('LAC 102_Wkst'!$AE$7:$AE$2010,'LAC 102_Wkst'!$E$7:$E$2010,$C40,'LAC 102_Wkst'!$G$7:$G$2010,$D40,'LAC 102_Wkst'!$L$7:$L$2010,"06",'LAC 102_Wkst'!$N$7:$N$2010,"P1")</f>
        <v>0</v>
      </c>
      <c r="T40" s="410">
        <f>SUMIFS('LAC 102_Wkst'!$Q$7:$Q$2010,'LAC 102_Wkst'!$E$7:$E$2010,$C40,'LAC 102_Wkst'!$G$7:$G$2010,$D40,'LAC 102_Wkst'!$L$7:$L$2010,"05",'LAC 102_Wkst'!$N$7:$N$2010,"P2")+SUMIFS('LAC 102_Wkst'!$Q$7:$Q$2010,'LAC 102_Wkst'!$E$7:$E$2010,$C40,'LAC 102_Wkst'!$G$7:$G$2010,$D40,'LAC 102_Wkst'!$L$7:$L$2010,"05",'LAC 102_Wkst'!$N$7:$N$2010,"P3")+SUMIFS('LAC 102_Wkst'!$Q$7:$Q$2010,'LAC 102_Wkst'!$E$7:$E$2010,$C40,'LAC 102_Wkst'!$G$7:$G$2010,$D40,'LAC 102_Wkst'!$L$7:$L$2010,"06",'LAC 102_Wkst'!$N$7:$N$2010,"P2")+SUMIFS('LAC 102_Wkst'!$Q$7:$Q$2010,'LAC 102_Wkst'!$E$7:$E$2010,$C40,'LAC 102_Wkst'!$G$7:$G$2010,$D40,'LAC 102_Wkst'!$L$7:$L$2010,"06",'LAC 102_Wkst'!$N$7:$N$2010,"P3")</f>
        <v>0</v>
      </c>
      <c r="U40" s="411">
        <f>SUMIFS('LAC 102_Wkst'!$AE$7:$AE$2010,'LAC 102_Wkst'!$E$7:$E$2010,$C40,'LAC 102_Wkst'!$G$7:$G$2010,$D40,'LAC 102_Wkst'!$L$7:$L$2010,"05",'LAC 102_Wkst'!$N$7:$N$2010,"P2")+SUMIFS('LAC 102_Wkst'!$AE$7:$AE$2010,'LAC 102_Wkst'!$E$7:$E$2010,$C40,'LAC 102_Wkst'!$G$7:$G$2010,$D40,'LAC 102_Wkst'!$L$7:$L$2010,"06",'LAC 102_Wkst'!$N$7:$N$2010,"P3")+SUMIFS('LAC 102_Wkst'!$AE$7:$AE$2010,'LAC 102_Wkst'!$E$7:$E$2010,$C40,'LAC 102_Wkst'!$G$7:$G$2010,$D40,'LAC 102_Wkst'!$L$7:$L$2010,"05",'LAC 102_Wkst'!$N$7:$N$2010,"P2")+SUMIFS('LAC 102_Wkst'!$AE$7:$AE$2010,'LAC 102_Wkst'!$E$7:$E$2010,$C40,'LAC 102_Wkst'!$G$7:$G$2010,$D40,'LAC 102_Wkst'!$L$7:$L$2010,"06",'LAC 102_Wkst'!$N$7:$N$2010,"P3")</f>
        <v>0</v>
      </c>
      <c r="V40" s="410">
        <f>SUMIFS('LAC 102_Wkst'!$Q$7:$Q$2010,'LAC 102_Wkst'!$E$7:$E$2010,$C40,'LAC 102_Wkst'!$G$7:$G$2010,$D40,'LAC 102_Wkst'!$L$7:$L$2010,"05",'LAC 102_Wkst'!$N$7:$N$2010,"P4")+SUMIFS('LAC 102_Wkst'!$Q$7:$Q$2010,'LAC 102_Wkst'!$E$7:$E$2010,$C40,'LAC 102_Wkst'!$G$7:$G$2010,$D40,'LAC 102_Wkst'!$L$7:$L$2010,"06",'LAC 102_Wkst'!$N$7:$N$2010,"P4")</f>
        <v>0</v>
      </c>
      <c r="W40" s="411">
        <f>SUMIFS('LAC 102_Wkst'!$AE$7:$AE$2010,'LAC 102_Wkst'!$E$7:$E$2010,$C40,'LAC 102_Wkst'!$G$7:$G$2010,$D40,'LAC 102_Wkst'!$L$7:$L$2010,"05",'LAC 102_Wkst'!$N$7:$N$2010,"P4")+SUMIFS('LAC 102_Wkst'!$AE$7:$AE$2010,'LAC 102_Wkst'!$E$7:$E$2010,$C40,'LAC 102_Wkst'!$G$7:$G$2010,$D40,'LAC 102_Wkst'!$L$7:$L$2010,"06",'LAC 102_Wkst'!$N$7:$N$2010,"P4")</f>
        <v>0</v>
      </c>
      <c r="X40" s="410">
        <f>SUMIFS('LAC 102_Wkst'!$Q$7:$Q$2010,'LAC 102_Wkst'!$E$7:$E$2010,$C40,'LAC 102_Wkst'!$G$7:$G$2010,$D40,'LAC 102_Wkst'!$L$7:$L$2010,"05",'LAC 102_Wkst'!$N$7:$N$2010,"P5")+SUMIFS('LAC 102_Wkst'!$Q$7:$Q$2010,'LAC 102_Wkst'!$E$7:$E$2010,$C40,'LAC 102_Wkst'!$G$7:$G$2010,$D40,'LAC 102_Wkst'!$L$7:$L$2010,"06",'LAC 102_Wkst'!$N$7:$N$2010,"P5")</f>
        <v>0</v>
      </c>
      <c r="Y40" s="411">
        <f>SUMIFS('LAC 102_Wkst'!$AE$7:$AE$2010,'LAC 102_Wkst'!$E$7:$E$2010,$C40,'LAC 102_Wkst'!$G$7:$G$2010,$D40,'LAC 102_Wkst'!$L$7:$L$2010,"05",'LAC 102_Wkst'!$N$7:$N$2010,"P5")+SUMIFS('LAC 102_Wkst'!$AE$7:$AE$2010,'LAC 102_Wkst'!$E$7:$E$2010,$C40,'LAC 102_Wkst'!$G$7:$G$2010,$D40,'LAC 102_Wkst'!$L$7:$L$2010,"06",'LAC 102_Wkst'!$N$7:$N$2010,"P5")</f>
        <v>0</v>
      </c>
      <c r="Z40" s="410">
        <f>SUMIFS('LAC 102_Wkst'!$Q$7:$Q$2010,'LAC 102_Wkst'!$E$7:$E$2010,$C40,'LAC 102_Wkst'!$G$7:$G$2010,$D40,'LAC 102_Wkst'!$L$7:$L$2010,"07",'LAC 102_Wkst'!$N$7:$N$2010,"P1")+SUMIFS('LAC 102_Wkst'!$Q$7:$Q$2010,'LAC 102_Wkst'!$E$7:$E$2010,$C40,'LAC 102_Wkst'!$G$7:$G$2010,$D40,'LAC 102_Wkst'!$L$7:$L$2010,"07",'LAC 102_Wkst'!$N$7:$N$2010,"P2")+SUMIFS('LAC 102_Wkst'!$Q$7:$Q$2010,'LAC 102_Wkst'!$E$7:$E$2010,$C40,'LAC 102_Wkst'!$G$7:$G$2010,$D40,'LAC 102_Wkst'!$L$7:$L$2010,"07",'LAC 102_Wkst'!$N$7:$N$2010,"P3")</f>
        <v>0</v>
      </c>
      <c r="AA40" s="411">
        <f>SUMIFS('LAC 102_Wkst'!$AE$7:$AE$2010,'LAC 102_Wkst'!$E$7:$E$2010,$C40,'LAC 102_Wkst'!$G$7:$G$2010,$D40,'LAC 102_Wkst'!$L$7:$L$2010,"07",'LAC 102_Wkst'!$N$7:$N$2010,"P1")+SUMIFS('LAC 102_Wkst'!$AE$7:$AE$2010,'LAC 102_Wkst'!$E$7:$E$2010,$C40,'LAC 102_Wkst'!$G$7:$G$2010,$D40,'LAC 102_Wkst'!$L$7:$L$2010,"07",'LAC 102_Wkst'!$N$7:$N$2010,"P2")+SUMIFS('LAC 102_Wkst'!$AE$7:$AE$2010,'LAC 102_Wkst'!$E$7:$E$2010,$C40,'LAC 102_Wkst'!$G$7:$G$2010,$D40,'LAC 102_Wkst'!$L$7:$L$2010,"07",'LAC 102_Wkst'!$N$7:$N$2010,"P3")</f>
        <v>0</v>
      </c>
      <c r="AB40" s="410">
        <f>SUMIFS('LAC 102_Wkst'!$Q$7:$Q$2010,'LAC 102_Wkst'!$E$7:$E$2010,$C40,'LAC 102_Wkst'!$G$7:$G$2010,$D40,'LAC 102_Wkst'!$L$7:$L$2010,"07",'LAC 102_Wkst'!$N$7:$N$2010,"P4")</f>
        <v>0</v>
      </c>
      <c r="AC40" s="411">
        <f>SUMIFS('LAC 102_Wkst'!$AE$7:$AE$2010,'LAC 102_Wkst'!$E$7:$E$2010,$C40,'LAC 102_Wkst'!$G$7:$G$2010,$D40,'LAC 102_Wkst'!$L$7:$L$2010,"07",'LAC 102_Wkst'!$N$7:$N$2010,"P4")</f>
        <v>0</v>
      </c>
      <c r="AD40" s="410">
        <f>SUMIFS('LAC 102_Wkst'!$Q$7:$Q$2010,'LAC 102_Wkst'!$E$7:$E$2010,$C40,'LAC 102_Wkst'!$G$7:$G$2010,$D40,'LAC 102_Wkst'!$L$7:$L$2010,"07",'LAC 102_Wkst'!$N$7:$N$2010,"P5")</f>
        <v>0</v>
      </c>
      <c r="AE40" s="411">
        <f>SUMIFS('LAC 102_Wkst'!$AE$7:$AE$2010,'LAC 102_Wkst'!$E$7:$E$2010,$C40,'LAC 102_Wkst'!$G$7:$G$2010,$D40,'LAC 102_Wkst'!$L$7:$L$2010,"07",'LAC 102_Wkst'!$N$7:$N$2010,"P5")</f>
        <v>0</v>
      </c>
      <c r="AF40" s="410">
        <f>SUMIFS('LAC 102_Wkst'!$Q$7:$Q$2010,'LAC 102_Wkst'!$E$7:$E$2010,$C40,'LAC 102_Wkst'!$G$7:$G$2010,$D40,'LAC 102_Wkst'!$L$7:$L$2010,"08",'LAC 102_Wkst'!$N$7:$N$2010,"P1")+SUMIFS('LAC 102_Wkst'!$Q$7:$Q$2010,'LAC 102_Wkst'!$E$7:$E$2010,$C40,'LAC 102_Wkst'!$G$7:$G$2010,$D40,'LAC 102_Wkst'!$L$7:$L$2010,"08",'LAC 102_Wkst'!$N$7:$N$2010,"P2")+SUMIFS('LAC 102_Wkst'!$Q$7:$Q$2010,'LAC 102_Wkst'!$E$7:$E$2010,$C40,'LAC 102_Wkst'!$G$7:$G$2010,$D40,'LAC 102_Wkst'!$L$7:$L$2010,"08",'LAC 102_Wkst'!$N$7:$N$2010,"P3")</f>
        <v>0</v>
      </c>
      <c r="AG40" s="411">
        <f>SUMIFS('LAC 102_Wkst'!$AE$7:$AE$2010,'LAC 102_Wkst'!$E$7:$E$2010,$C40,'LAC 102_Wkst'!$G$7:$G$2010,$D40,'LAC 102_Wkst'!$L$7:$L$2010,"08",'LAC 102_Wkst'!$N$7:$N$2010,"P1")+SUMIFS('LAC 102_Wkst'!$AE$7:$AE$2010,'LAC 102_Wkst'!$E$7:$E$2010,$C40,'LAC 102_Wkst'!$G$7:$G$2010,$D40,'LAC 102_Wkst'!$L$7:$L$2010,"08",'LAC 102_Wkst'!$N$7:$N$2010,"P2")+SUMIFS('LAC 102_Wkst'!$AE$7:$AE$2010,'LAC 102_Wkst'!$E$7:$E$2010,$C40,'LAC 102_Wkst'!$G$7:$G$2010,$D40,'LAC 102_Wkst'!$L$7:$L$2010,"08",'LAC 102_Wkst'!$N$7:$N$2010,"P3")</f>
        <v>0</v>
      </c>
      <c r="AH40" s="410">
        <f>SUMIFS('LAC 102_Wkst'!$Q$7:$Q$2010,'LAC 102_Wkst'!$E$7:$E$2010,$C40,'LAC 102_Wkst'!$G$7:$G$2010,$D40,'LAC 102_Wkst'!$L$7:$L$2010,"08",'LAC 102_Wkst'!$N$7:$N$2010,"P4")</f>
        <v>0</v>
      </c>
      <c r="AI40" s="411">
        <f>SUMIFS('LAC 102_Wkst'!$AE$7:$AE$2010,'LAC 102_Wkst'!$E$7:$E$2010,$C40,'LAC 102_Wkst'!$G$7:$G$2010,$D40,'LAC 102_Wkst'!$L$7:$L$2010,"08",'LAC 102_Wkst'!$N$7:$N$2010,"P4")</f>
        <v>0</v>
      </c>
      <c r="AJ40" s="410">
        <f>SUMIFS('LAC 102_Wkst'!$Q$7:$Q$2010,'LAC 102_Wkst'!$E$7:$E$2010,$C40,'LAC 102_Wkst'!$G$7:$G$2010,$D40,'LAC 102_Wkst'!$L$7:$L$2010,"08",'LAC 102_Wkst'!$N$7:$N$2010,"P5")</f>
        <v>0</v>
      </c>
      <c r="AK40" s="411">
        <f>SUMIFS('LAC 102_Wkst'!$AE$7:$AE$2010,'LAC 102_Wkst'!$E$7:$E$2010,$C40,'LAC 102_Wkst'!$G$7:$G$2010,$D40,'LAC 102_Wkst'!$L$7:$L$2010,"08",'LAC 102_Wkst'!$N$7:$N$2010,"P5")</f>
        <v>0</v>
      </c>
      <c r="AL40" s="410">
        <f>SUMIFS('LAC 102_Wkst'!$Q$7:$Q$2010,'LAC 102_Wkst'!$E$7:$E$2010,$C40,'LAC 102_Wkst'!$G$7:$G$2010,$D40,'LAC 102_Wkst'!$L$7:$L$2010,"09",'LAC 102_Wkst'!$N$7:$N$2010,"P1")+SUMIFS('LAC 102_Wkst'!$Q$7:$Q$2010,'LAC 102_Wkst'!$E$7:$E$2010,$C40,'LAC 102_Wkst'!$G$7:$G$2010,$D40,'LAC 102_Wkst'!$L$7:$L$2010,"09",'LAC 102_Wkst'!$N$7:$N$2010,"P2")+SUMIFS('LAC 102_Wkst'!$Q$7:$Q$2010,'LAC 102_Wkst'!$E$7:$E$2010,$C40,'LAC 102_Wkst'!$G$7:$G$2010,$D40,'LAC 102_Wkst'!$L$7:$L$2010,"09",'LAC 102_Wkst'!$N$7:$N$2010,"P3")+SUMIFS('LAC 102_Wkst'!$Q$7:$Q$2010,'LAC 102_Wkst'!$E$7:$E$2010,$C40,'LAC 102_Wkst'!$G$7:$G$2010,$D40,'LAC 102_Wkst'!$L$7:$L$2010,"09",'LAC 102_Wkst'!$N$7:$N$2010,"P4")</f>
        <v>0</v>
      </c>
      <c r="AM40" s="411">
        <f>SUMIFS('LAC 102_Wkst'!$AE$7:$AE$2010,'LAC 102_Wkst'!$E$7:$E$2010,$C40,'LAC 102_Wkst'!$G$7:$G$2010,$D40,'LAC 102_Wkst'!$L$7:$L$2010,"09",'LAC 102_Wkst'!$N$7:$N$2010,"P1")+SUMIFS('LAC 102_Wkst'!$AE$7:$AE$2010,'LAC 102_Wkst'!$E$7:$E$2010,$C40,'LAC 102_Wkst'!$G$7:$G$2010,$D40,'LAC 102_Wkst'!$L$7:$L$2010,"09",'LAC 102_Wkst'!$N$7:$N$2010,"P2")+SUMIFS('LAC 102_Wkst'!$AE$7:$AE$2010,'LAC 102_Wkst'!$E$7:$E$2010,$C40,'LAC 102_Wkst'!$G$7:$G$2010,$D40,'LAC 102_Wkst'!$L$7:$L$2010,"09",'LAC 102_Wkst'!$N$7:$N$2010,"P3")+SUMIFS('LAC 102_Wkst'!$AE$7:$AE$2010,'LAC 102_Wkst'!$E$7:$E$2010,$C40,'LAC 102_Wkst'!$G$7:$G$2010,$D40,'LAC 102_Wkst'!$L$7:$L$2010,"09",'LAC 102_Wkst'!$N$7:$N$2010,"P4")</f>
        <v>0</v>
      </c>
      <c r="AN40" s="410">
        <f>SUMIFS('LAC 102_Wkst'!$Q$7:$Q$2010,'LAC 102_Wkst'!$E$7:$E$2010,$C40,'LAC 102_Wkst'!$G$7:$G$2010,$D40,'LAC 102_Wkst'!$L$7:$L$2010,"09",'LAC 102_Wkst'!$N$7:$N$2010,"P5")</f>
        <v>0</v>
      </c>
      <c r="AO40" s="411">
        <f>SUMIFS('LAC 102_Wkst'!$AE$7:$AE$2010,'LAC 102_Wkst'!$E$7:$E$2010,$C40,'LAC 102_Wkst'!$G$7:$G$2010,$D40,'LAC 102_Wkst'!$L$7:$L$2010,"09",'LAC 102_Wkst'!$N$7:$N$2010,"P5")</f>
        <v>0</v>
      </c>
      <c r="AP40" s="410">
        <f>SUMIFS('LAC 102_Wkst'!$Q$7:$Q$2010,'LAC 102_Wkst'!$E$7:$E$2010,$C40,'LAC 102_Wkst'!$G$7:$G$2010,$D40,'LAC 102_Wkst'!$L$7:$L$2010,"10",'LAC 102_Wkst'!$N$7:$N$2010,"P1")+SUMIFS('LAC 102_Wkst'!$Q$7:$Q$2010,'LAC 102_Wkst'!$E$7:$E$2010,$C40,'LAC 102_Wkst'!$G$7:$G$2010,$D40,'LAC 102_Wkst'!$L$7:$L$2010,"10",'LAC 102_Wkst'!$N$7:$N$2010,"P2")+SUMIFS('LAC 102_Wkst'!$Q$7:$Q$2010,'LAC 102_Wkst'!$E$7:$E$2010,$C40,'LAC 102_Wkst'!$G$7:$G$2010,$D40,'LAC 102_Wkst'!$L$7:$L$2010,"10",'LAC 102_Wkst'!$N$7:$N$2010,"P3")+SUMIFS('LAC 102_Wkst'!$Q$7:$Q$2010,'LAC 102_Wkst'!$E$7:$E$2010,$C40,'LAC 102_Wkst'!$G$7:$G$2010,$D40,'LAC 102_Wkst'!$L$7:$L$2010,"10",'LAC 102_Wkst'!$N$7:$N$2010,"P4")</f>
        <v>0</v>
      </c>
      <c r="AQ40" s="411">
        <f>SUMIFS('LAC 102_Wkst'!$AE$7:$AE$2010,'LAC 102_Wkst'!$E$7:$E$2010,$C40,'LAC 102_Wkst'!$G$7:$G$2010,$D40,'LAC 102_Wkst'!$L$7:$L$2010,"10",'LAC 102_Wkst'!$N$7:$N$2010,"P1")+SUMIFS('LAC 102_Wkst'!$AE$7:$AE$2010,'LAC 102_Wkst'!$E$7:$E$2010,$C40,'LAC 102_Wkst'!$G$7:$G$2010,$D40,'LAC 102_Wkst'!$L$7:$L$2010,"10",'LAC 102_Wkst'!$N$7:$N$2010,"P2")+SUMIFS('LAC 102_Wkst'!$AE$7:$AE$2010,'LAC 102_Wkst'!$E$7:$E$2010,$C40,'LAC 102_Wkst'!$G$7:$G$2010,$D40,'LAC 102_Wkst'!$L$7:$L$2010,"10",'LAC 102_Wkst'!$N$7:$N$2010,"P3")+SUMIFS('LAC 102_Wkst'!$AE$7:$AE$2010,'LAC 102_Wkst'!$E$7:$E$2010,$C40,'LAC 102_Wkst'!$G$7:$G$2010,$D40,'LAC 102_Wkst'!$L$7:$L$2010,"10",'LAC 102_Wkst'!$N$7:$N$2010,"P4")</f>
        <v>0</v>
      </c>
      <c r="AR40" s="410">
        <f>SUMIFS('LAC 102_Wkst'!$Q$7:$Q$2010,'LAC 102_Wkst'!$E$7:$E$2010,$C40,'LAC 102_Wkst'!$G$7:$G$2010,$D40,'LAC 102_Wkst'!$L$7:$L$2010,"10",'LAC 102_Wkst'!$N$7:$N$2010,"P5")</f>
        <v>0</v>
      </c>
      <c r="AS40" s="411">
        <f>SUMIFS('LAC 102_Wkst'!$AE$7:$AE$2010,'LAC 102_Wkst'!$E$7:$E$2010,$C40,'LAC 102_Wkst'!$G$7:$G$2010,$D40,'LAC 102_Wkst'!$L$7:$L$2010,"10",'LAC 102_Wkst'!$N$7:$N$2010,"P5")</f>
        <v>0</v>
      </c>
      <c r="AT40" s="410">
        <f>SUMIFS('LAC 102_Wkst'!$Q$7:$Q$2010,'LAC 102_Wkst'!$E$7:$E$2010,$C40,'LAC 102_Wkst'!$G$7:$G$2010,$D40,'LAC 102_Wkst'!$L$7:$L$2010,"11",'LAC 102_Wkst'!$N$7:$N$2010,"P1")+SUMIFS('LAC 102_Wkst'!$Q$7:$Q$2010,'LAC 102_Wkst'!$E$7:$E$2010,$C40,'LAC 102_Wkst'!$G$7:$G$2010,$D40,'LAC 102_Wkst'!$L$7:$L$2010,"12",'LAC 102_Wkst'!$N$7:$N$2010,"P1")</f>
        <v>0</v>
      </c>
      <c r="AU40" s="411">
        <f>SUMIFS('LAC 102_Wkst'!$AE$7:$AE$2010,'LAC 102_Wkst'!$E$7:$E$2010,$C40,'LAC 102_Wkst'!$G$7:$G$2010,$D40,'LAC 102_Wkst'!$L$7:$L$2010,"11",'LAC 102_Wkst'!$N$7:$N$2010,"P1")+SUMIFS('LAC 102_Wkst'!$AE$7:$AE$2010,'LAC 102_Wkst'!$E$7:$E$2010,$C40,'LAC 102_Wkst'!$G$7:$G$2010,$D40,'LAC 102_Wkst'!$L$7:$L$2010,"12",'LAC 102_Wkst'!$N$7:$N$2010,"P1")</f>
        <v>0</v>
      </c>
      <c r="AV40" s="410">
        <f>SUMIFS('LAC 102_Wkst'!$Q$7:$Q$2010,'LAC 102_Wkst'!$E$7:$E$2010,$C40,'LAC 102_Wkst'!$G$7:$G$2010,$D40,'LAC 102_Wkst'!$L$7:$L$2010,"11",'LAC 102_Wkst'!$N$7:$N$2010,"P2")+SUMIFS('LAC 102_Wkst'!$Q$7:$Q$2010,'LAC 102_Wkst'!$E$7:$E$2010,$C40,'LAC 102_Wkst'!$G$7:$G$2010,$D40,'LAC 102_Wkst'!$L$7:$L$2010,"12",'LAC 102_Wkst'!$N$7:$N$2010,"P3")+SUMIFS('LAC 102_Wkst'!$Q$7:$Q$2010,'LAC 102_Wkst'!$E$7:$E$2010,$C40,'LAC 102_Wkst'!$G$7:$G$2010,$D40,'LAC 102_Wkst'!$L$7:$L$2010,"11",'LAC 102_Wkst'!$N$7:$N$2010,"P2")+SUMIFS('LAC 102_Wkst'!$Q$7:$Q$2010,'LAC 102_Wkst'!$E$7:$E$2010,$C40,'LAC 102_Wkst'!$G$7:$G$2010,$D40,'LAC 102_Wkst'!$L$7:$L$2010,"12",'LAC 102_Wkst'!$N$7:$N$2010,"P3")</f>
        <v>0</v>
      </c>
      <c r="AW40" s="411">
        <f>SUMIFS('LAC 102_Wkst'!$AE$7:$AE$2010,'LAC 102_Wkst'!$E$7:$E$2010,$C40,'LAC 102_Wkst'!$G$7:$G$2010,$D40,'LAC 102_Wkst'!$L$7:$L$2010,"11",'LAC 102_Wkst'!$N$7:$N$2010,"P2")+SUMIFS('LAC 102_Wkst'!$AE$7:$AE$2010,'LAC 102_Wkst'!$E$7:$E$2010,$C40,'LAC 102_Wkst'!$G$7:$G$2010,$D40,'LAC 102_Wkst'!$L$7:$L$2010,"12",'LAC 102_Wkst'!$N$7:$N$2010,"P3")+SUMIFS('LAC 102_Wkst'!$AE$7:$AE$2010,'LAC 102_Wkst'!$E$7:$E$2010,$C40,'LAC 102_Wkst'!$G$7:$G$2010,$D40,'LAC 102_Wkst'!$L$7:$L$2010,"11",'LAC 102_Wkst'!$N$7:$N$2010,"P2")+SUMIFS('LAC 102_Wkst'!$AE$7:$AE$2010,'LAC 102_Wkst'!$E$7:$E$2010,$C40,'LAC 102_Wkst'!$G$7:$G$2010,$D40,'LAC 102_Wkst'!$L$7:$L$2010,"12",'LAC 102_Wkst'!$N$7:$N$2010,"P3")</f>
        <v>0</v>
      </c>
      <c r="AX40" s="410">
        <f>SUMIFS('LAC 102_Wkst'!$Q$7:$Q$2010,'LAC 102_Wkst'!$E$7:$E$2010,$C40,'LAC 102_Wkst'!$G$7:$G$2010,$D40,'LAC 102_Wkst'!$L$7:$L$2010,"11",'LAC 102_Wkst'!$N$7:$N$2010,"P4")+SUMIFS('LAC 102_Wkst'!$Q$7:$Q$2010,'LAC 102_Wkst'!$E$7:$E$2010,$C40,'LAC 102_Wkst'!$G$7:$G$2010,$D40,'LAC 102_Wkst'!$L$7:$L$2010,"12",'LAC 102_Wkst'!$N$7:$N$2010,"P4")</f>
        <v>0</v>
      </c>
      <c r="AY40" s="411">
        <f>SUMIFS('LAC 102_Wkst'!$AE$7:$AE$2010,'LAC 102_Wkst'!$E$7:$E$2010,$C40,'LAC 102_Wkst'!$G$7:$G$2010,$D40,'LAC 102_Wkst'!$L$7:$L$2010,"11",'LAC 102_Wkst'!$N$7:$N$2010,"P4")+SUMIFS('LAC 102_Wkst'!$AE$7:$AE$2010,'LAC 102_Wkst'!$E$7:$E$2010,$C40,'LAC 102_Wkst'!$G$7:$G$2010,$D40,'LAC 102_Wkst'!$L$7:$L$2010,"12",'LAC 102_Wkst'!$N$7:$N$2010,"P4")</f>
        <v>0</v>
      </c>
      <c r="AZ40" s="410">
        <f>SUMIFS('LAC 102_Wkst'!$Q$7:$Q$2010,'LAC 102_Wkst'!$E$7:$E$2010,$C40,'LAC 102_Wkst'!$G$7:$G$2010,$D40,'LAC 102_Wkst'!$L$7:$L$2010,"11",'LAC 102_Wkst'!$N$7:$N$2010,"P5")+SUMIFS('LAC 102_Wkst'!$Q$7:$Q$2010,'LAC 102_Wkst'!$E$7:$E$2010,$C40,'LAC 102_Wkst'!$G$7:$G$2010,$D40,'LAC 102_Wkst'!$L$7:$L$2010,"12",'LAC 102_Wkst'!$N$7:$N$2010,"P5")</f>
        <v>0</v>
      </c>
      <c r="BA40" s="411">
        <f>SUMIFS('LAC 102_Wkst'!$AE$7:$AE$2010,'LAC 102_Wkst'!$E$7:$E$2010,$C40,'LAC 102_Wkst'!$G$7:$G$2010,$D40,'LAC 102_Wkst'!$L$7:$L$2010,"11",'LAC 102_Wkst'!$N$7:$N$2010,"P5")+SUMIFS('LAC 102_Wkst'!$AE$7:$AE$2010,'LAC 102_Wkst'!$E$7:$E$2010,$C40,'LAC 102_Wkst'!$G$7:$G$2010,$D40,'LAC 102_Wkst'!$L$7:$L$2010,"12",'LAC 102_Wkst'!$N$7:$N$2010,"P5")</f>
        <v>0</v>
      </c>
      <c r="BB40" s="410">
        <f>SUMIFS('LAC 102_Wkst'!$Q$7:$Q$2010,'LAC 102_Wkst'!$E$7:$E$2010,$C40,'LAC 102_Wkst'!$G$7:$G$2010,$D40,'LAC 102_Wkst'!$L$7:$L$2010,"13",'LAC 102_Wkst'!$N$7:$N$2010,"P1")+SUMIFS('LAC 102_Wkst'!$Q$7:$Q$2010,'LAC 102_Wkst'!$E$7:$E$2010,$C40,'LAC 102_Wkst'!$G$7:$G$2010,$D40,'LAC 102_Wkst'!$L$7:$L$2010,"13",'LAC 102_Wkst'!$N$7:$N$2010,"P2")+SUMIFS('LAC 102_Wkst'!$Q$7:$Q$2010,'LAC 102_Wkst'!$E$7:$E$2010,$C40,'LAC 102_Wkst'!$G$7:$G$2010,$D40,'LAC 102_Wkst'!$L$7:$L$2010,"13",'LAC 102_Wkst'!$N$7:$N$2010,"P3")+SUMIFS('LAC 102_Wkst'!$Q$7:$Q$2010,'LAC 102_Wkst'!$E$7:$E$2010,$C40,'LAC 102_Wkst'!$G$7:$G$2010,$D40,'LAC 102_Wkst'!$L$7:$L$2010,"13",'LAC 102_Wkst'!$N$7:$N$2010,"P4")</f>
        <v>0</v>
      </c>
      <c r="BC40" s="411">
        <f>SUMIFS('LAC 102_Wkst'!$AE$7:$AE$2010,'LAC 102_Wkst'!$E$7:$E$2010,$C40,'LAC 102_Wkst'!$G$7:$G$2010,$D40,'LAC 102_Wkst'!$L$7:$L$2010,"13",'LAC 102_Wkst'!$N$7:$N$2010,"P1")+SUMIFS('LAC 102_Wkst'!$AE$7:$AE$2010,'LAC 102_Wkst'!$E$7:$E$2010,$C40,'LAC 102_Wkst'!$G$7:$G$2010,$D40,'LAC 102_Wkst'!$L$7:$L$2010,"13",'LAC 102_Wkst'!$N$7:$N$2010,"P2")+SUMIFS('LAC 102_Wkst'!$AE$7:$AE$2010,'LAC 102_Wkst'!$E$7:$E$2010,$C40,'LAC 102_Wkst'!$G$7:$G$2010,$D40,'LAC 102_Wkst'!$L$7:$L$2010,"13",'LAC 102_Wkst'!$N$7:$N$2010,"P3")+SUMIFS('LAC 102_Wkst'!$AE$7:$AE$2010,'LAC 102_Wkst'!$E$7:$E$2010,$C40,'LAC 102_Wkst'!$G$7:$G$2010,$D40,'LAC 102_Wkst'!$L$7:$L$2010,"13",'LAC 102_Wkst'!$N$7:$N$2010,"P4")</f>
        <v>0</v>
      </c>
      <c r="BD40" s="410">
        <f>SUMIFS('LAC 102_Wkst'!$Q$7:$Q$2010,'LAC 102_Wkst'!$E$7:$E$2010,$C40,'LAC 102_Wkst'!$G$7:$G$2010,$D40,'LAC 102_Wkst'!$L$7:$L$2010,"13",'LAC 102_Wkst'!$N$7:$N$2010,"P5")</f>
        <v>0</v>
      </c>
      <c r="BE40" s="411">
        <f>SUMIFS('LAC 102_Wkst'!$AE$7:$AE$2010,'LAC 102_Wkst'!$E$7:$E$2010,$C40,'LAC 102_Wkst'!$G$7:$G$2010,$D40,'LAC 102_Wkst'!$L$7:$L$2010,"13",'LAC 102_Wkst'!$N$7:$N$2010,"P5")</f>
        <v>0</v>
      </c>
      <c r="BF40" s="407">
        <f t="shared" si="0"/>
        <v>0</v>
      </c>
    </row>
    <row r="41" spans="1:58" x14ac:dyDescent="0.2">
      <c r="A41" s="401">
        <v>22</v>
      </c>
      <c r="B41" s="1236"/>
      <c r="C41" s="1235"/>
      <c r="D41" s="1237"/>
      <c r="E41" s="1222">
        <f>IF(CONCATENATE(C41,D41)&gt;"6069",1,SUMIFS('LAC 102_Wkst'!$Q$7:$Q$2010,'LAC 102_Wkst'!$E$7:$E$2010,Schedule_B!$C41,'LAC 102_Wkst'!$G$7:$G$2010,Schedule_B!$D41))</f>
        <v>0</v>
      </c>
      <c r="F41" s="408">
        <f>SUMIFS('LAC 102_Wkst'!$Q$7:$Q$2010,'LAC 102_Wkst'!$E$7:$E$2010,$C41,'LAC 102_Wkst'!$G$7:$G$2010,$D41,'LAC 102_Wkst'!$L$7:$L$2010,"01",'LAC 102_Wkst'!$N$7:$N$2010,"P1")+SUMIFS('LAC 102_Wkst'!$Q$7:$Q$2010,'LAC 102_Wkst'!$E$7:$E$2010,$C41,'LAC 102_Wkst'!$G$7:$G$2010,$D41,'LAC 102_Wkst'!$L$7:$L$2010,"01",'LAC 102_Wkst'!$N$7:$N$2010,"P2")+SUMIFS('LAC 102_Wkst'!$Q$7:$Q$2010,'LAC 102_Wkst'!$E$7:$E$2010,$C41,'LAC 102_Wkst'!$G$7:$G$2010,$D41,'LAC 102_Wkst'!$L$7:$L$2010,"01",'LAC 102_Wkst'!$N$7:$N$2010,"P3")+SUMIFS('LAC 102_Wkst'!$Q$7:$Q$2010,'LAC 102_Wkst'!$E$7:$E$2010,$C41,'LAC 102_Wkst'!$G$7:$G$2010,$D41,'LAC 102_Wkst'!$L$7:$L$2010,"02",'LAC 102_Wkst'!$N$7:$N$2010,"P1")+SUMIFS('LAC 102_Wkst'!$Q$7:$Q$2010,'LAC 102_Wkst'!$E$7:$E$2010,$C41,'LAC 102_Wkst'!$G$7:$G$2010,$D41,'LAC 102_Wkst'!$L$7:$L$2010,"02",'LAC 102_Wkst'!$N$7:$N$2010,"P2")+SUMIFS('LAC 102_Wkst'!$Q$7:$Q$2010,'LAC 102_Wkst'!$E$7:$E$2010,$C41,'LAC 102_Wkst'!$G$7:$G$2010,$D41,'LAC 102_Wkst'!$L$7:$L$2010,"02",'LAC 102_Wkst'!$N$7:$N$2010,"P3")</f>
        <v>0</v>
      </c>
      <c r="G41" s="409">
        <f>SUMIFS('LAC 102_Wkst'!$AE$7:$AE$2010,'LAC 102_Wkst'!$E$7:$E$2010,$C41,'LAC 102_Wkst'!$G$7:$G$2010,$D41,'LAC 102_Wkst'!$L$7:$L$2010,"01",'LAC 102_Wkst'!$N$7:$N$2010,"P1")+SUMIFS('LAC 102_Wkst'!$AE$7:$AE$2010,'LAC 102_Wkst'!$E$7:$E$2010,$C41,'LAC 102_Wkst'!$G$7:$G$2010,$D41,'LAC 102_Wkst'!$L$7:$L$2010,"01",'LAC 102_Wkst'!$N$7:$N$2010,"P2")+SUMIFS('LAC 102_Wkst'!$AE$7:$AE$2010,'LAC 102_Wkst'!$E$7:$E$2010,$C41,'LAC 102_Wkst'!$G$7:$G$2010,$D41,'LAC 102_Wkst'!$L$7:$L$2010,"01",'LAC 102_Wkst'!$N$7:$N$2010,"P3")+SUMIFS('LAC 102_Wkst'!$AE$7:$AE$2010,'LAC 102_Wkst'!$E$7:$E$2010,$C41,'LAC 102_Wkst'!$G$7:$G$2010,$D41,'LAC 102_Wkst'!$L$7:$L$2010,"02",'LAC 102_Wkst'!$N$7:$N$2010,"P1")+SUMIFS('LAC 102_Wkst'!$AE$7:$AE$2010,'LAC 102_Wkst'!$E$7:$E$2010,$C41,'LAC 102_Wkst'!$G$7:$G$2010,$D41,'LAC 102_Wkst'!$L$7:$L$2010,"02",'LAC 102_Wkst'!$N$7:$N$2010,"P2")+SUMIFS('LAC 102_Wkst'!$AE$7:$AE$2010,'LAC 102_Wkst'!$E$7:$E$2010,$C41,'LAC 102_Wkst'!$G$7:$G$2010,$D41,'LAC 102_Wkst'!$L$7:$L$2010,"02",'LAC 102_Wkst'!$N$7:$N$2010,"P3")</f>
        <v>0</v>
      </c>
      <c r="H41" s="410">
        <f>SUMIFS('LAC 102_Wkst'!$Q$7:$Q$2010,'LAC 102_Wkst'!$E$7:$E$2010,$C41,'LAC 102_Wkst'!$G$7:$G$2010,$D41,'LAC 102_Wkst'!$L$7:$L$2010,"01",'LAC 102_Wkst'!$N$7:$N$2010,"P4")+SUMIFS('LAC 102_Wkst'!$Q$7:$Q$2010,'LAC 102_Wkst'!$E$7:$E$2010,$C41,'LAC 102_Wkst'!$G$7:$G$2010,$D41,'LAC 102_Wkst'!$L$7:$L$2010,"02",'LAC 102_Wkst'!$N$7:$N$2010,"P4")</f>
        <v>0</v>
      </c>
      <c r="I41" s="411">
        <f>SUMIFS('LAC 102_Wkst'!$AE$7:$AE$2010,'LAC 102_Wkst'!$E$7:$E$2010,$C41,'LAC 102_Wkst'!$G$7:$G$2010,$D41,'LAC 102_Wkst'!$L$7:$L$2010,"01",'LAC 102_Wkst'!$N$7:$N$2010,"P4")+SUMIFS('LAC 102_Wkst'!$AE$7:$AE$2010,'LAC 102_Wkst'!$E$7:$E$2010,$C41,'LAC 102_Wkst'!$G$7:$G$2010,$D41,'LAC 102_Wkst'!$L$7:$L$2010,"02",'LAC 102_Wkst'!$N$7:$N$2010,"P4")</f>
        <v>0</v>
      </c>
      <c r="J41" s="410">
        <f>SUMIFS('LAC 102_Wkst'!$Q$7:$Q$2010,'LAC 102_Wkst'!$E$7:$E$2010,$C41,'LAC 102_Wkst'!$G$7:$G$2010,$D41,'LAC 102_Wkst'!$L$7:$L$2010,"01",'LAC 102_Wkst'!$N$7:$N$2010,"P5")+SUMIFS('LAC 102_Wkst'!$Q$7:$Q$2010,'LAC 102_Wkst'!$E$7:$E$2010,$C41,'LAC 102_Wkst'!$G$7:$G$2010,$D41,'LAC 102_Wkst'!$L$7:$L$2010,"02",'LAC 102_Wkst'!$N$7:$N$2010,"P5")</f>
        <v>0</v>
      </c>
      <c r="K41" s="411">
        <f>SUMIFS('LAC 102_Wkst'!$AE$7:$AE$2010,'LAC 102_Wkst'!$E$7:$E$2010,$C41,'LAC 102_Wkst'!$G$7:$G$2010,$D41,'LAC 102_Wkst'!$L$7:$L$2010,"01",'LAC 102_Wkst'!$N$7:$N$2010,"P5")+SUMIFS('LAC 102_Wkst'!$AE$7:$AE$2010,'LAC 102_Wkst'!$E$7:$E$2010,$C41,'LAC 102_Wkst'!$G$7:$G$2010,$D41,'LAC 102_Wkst'!$L$7:$L$2010,"02",'LAC 102_Wkst'!$N$7:$N$2010,"P5")</f>
        <v>0</v>
      </c>
      <c r="L41" s="410">
        <f>SUMIFS('LAC 102_Wkst'!$Q$7:$Q$2010,'LAC 102_Wkst'!$E$7:$E$2010,$C41,'LAC 102_Wkst'!$G$7:$G$2010,$D41,'LAC 102_Wkst'!$L$7:$L$2010,"03",'LAC 102_Wkst'!$N$7:$N$2010,"P1")+SUMIFS('LAC 102_Wkst'!$Q$7:$Q$2010,'LAC 102_Wkst'!$E$7:$E$2010,$C41,'LAC 102_Wkst'!$G$7:$G$2010,$D41,'LAC 102_Wkst'!$L$7:$L$2010,"03",'LAC 102_Wkst'!$N$7:$N$2010,"P2")+SUMIFS('LAC 102_Wkst'!$Q$7:$Q$2010,'LAC 102_Wkst'!$E$7:$E$2010,$C41,'LAC 102_Wkst'!$G$7:$G$2010,$D41,'LAC 102_Wkst'!$L$7:$L$2010,"03",'LAC 102_Wkst'!$N$7:$N$2010,"P3")+SUMIFS('LAC 102_Wkst'!$Q$7:$Q$2010,'LAC 102_Wkst'!$E$7:$E$2010,$C41,'LAC 102_Wkst'!$G$7:$G$2010,$D41,'LAC 102_Wkst'!$L$7:$L$2010,"04",'LAC 102_Wkst'!$N$7:$N$2010,"P1")+SUMIFS('LAC 102_Wkst'!$Q$7:$Q$2010,'LAC 102_Wkst'!$E$7:$E$2010,$C41,'LAC 102_Wkst'!$G$7:$G$2010,$D41,'LAC 102_Wkst'!$L$7:$L$2010,"04",'LAC 102_Wkst'!$N$7:$N$2010,"P2")+SUMIFS('LAC 102_Wkst'!$Q$7:$Q$2010,'LAC 102_Wkst'!$E$7:$E$2010,$C41,'LAC 102_Wkst'!$G$7:$G$2010,$D41,'LAC 102_Wkst'!$L$7:$L$2010,"04",'LAC 102_Wkst'!$N$7:$N$2010,"P3")</f>
        <v>0</v>
      </c>
      <c r="M41" s="411">
        <f>SUMIFS('LAC 102_Wkst'!$AE$7:$AE$2010,'LAC 102_Wkst'!$E$7:$E$2010,$C41,'LAC 102_Wkst'!$G$7:$G$2010,$D41,'LAC 102_Wkst'!$L$7:$L$2010,"03",'LAC 102_Wkst'!$N$7:$N$2010,"P1")+SUMIFS('LAC 102_Wkst'!$AE$7:$AE$2010,'LAC 102_Wkst'!$E$7:$E$2010,$C41,'LAC 102_Wkst'!$G$7:$G$2010,$D41,'LAC 102_Wkst'!$L$7:$L$2010,"03",'LAC 102_Wkst'!$N$7:$N$2010,"P2")+SUMIFS('LAC 102_Wkst'!$AE$7:$AE$2010,'LAC 102_Wkst'!$E$7:$E$2010,$C41,'LAC 102_Wkst'!$G$7:$G$2010,$D41,'LAC 102_Wkst'!$L$7:$L$2010,"03",'LAC 102_Wkst'!$N$7:$N$2010,"P3")+SUMIFS('LAC 102_Wkst'!$AE$7:$AE$2010,'LAC 102_Wkst'!$E$7:$E$2010,$C41,'LAC 102_Wkst'!$G$7:$G$2010,$D41,'LAC 102_Wkst'!$L$7:$L$2010,"04",'LAC 102_Wkst'!$N$7:$N$2010,"P1")+SUMIFS('LAC 102_Wkst'!$AE$7:$AE$2010,'LAC 102_Wkst'!$E$7:$E$2010,$C41,'LAC 102_Wkst'!$G$7:$G$2010,$D41,'LAC 102_Wkst'!$L$7:$L$2010,"04",'LAC 102_Wkst'!$N$7:$N$2010,"P2")+SUMIFS('LAC 102_Wkst'!$AE$7:$AE$2010,'LAC 102_Wkst'!$E$7:$E$2010,$C41,'LAC 102_Wkst'!$G$7:$G$2010,$D41,'LAC 102_Wkst'!$L$7:$L$2010,"04",'LAC 102_Wkst'!$N$7:$N$2010,"P3")</f>
        <v>0</v>
      </c>
      <c r="N41" s="410">
        <f>SUMIFS('LAC 102_Wkst'!$Q$7:$Q$2010,'LAC 102_Wkst'!$E$7:$E$2010,$C41,'LAC 102_Wkst'!$G$7:$G$2010,$D41,'LAC 102_Wkst'!$L$7:$L$2010,"03",'LAC 102_Wkst'!$N$7:$N$2010,"P4")+SUMIFS('LAC 102_Wkst'!$Q$7:$Q$2010,'LAC 102_Wkst'!$E$7:$E$2010,$C41,'LAC 102_Wkst'!$G$7:$G$2010,$D41,'LAC 102_Wkst'!$L$7:$L$2010,"04",'LAC 102_Wkst'!$N$7:$N$2010,"P4")</f>
        <v>0</v>
      </c>
      <c r="O41" s="411">
        <f>SUMIFS('LAC 102_Wkst'!$AE$7:$AE$2010,'LAC 102_Wkst'!$E$7:$E$2010,$C41,'LAC 102_Wkst'!$G$7:$G$2010,$D41,'LAC 102_Wkst'!$L$7:$L$2010,"03",'LAC 102_Wkst'!$N$7:$N$2010,"P4")+SUMIFS('LAC 102_Wkst'!$AE$7:$AE$2010,'LAC 102_Wkst'!$E$7:$E$2010,$C41,'LAC 102_Wkst'!$G$7:$G$2010,$D41,'LAC 102_Wkst'!$L$7:$L$2010,"04",'LAC 102_Wkst'!$N$7:$N$2010,"P4")</f>
        <v>0</v>
      </c>
      <c r="P41" s="410">
        <f>SUMIFS('LAC 102_Wkst'!$Q$7:$Q$2010,'LAC 102_Wkst'!$E$7:$E$2010,$C41,'LAC 102_Wkst'!$G$7:$G$2010,$D41,'LAC 102_Wkst'!$L$7:$L$2010,"03",'LAC 102_Wkst'!$N$7:$N$2010,"P5")+SUMIFS('LAC 102_Wkst'!$Q$7:$Q$2010,'LAC 102_Wkst'!$E$7:$E$2010,$C41,'LAC 102_Wkst'!$G$7:$G$2010,$D41,'LAC 102_Wkst'!$L$7:$L$2010,"04",'LAC 102_Wkst'!$N$7:$N$2010,"P5")</f>
        <v>0</v>
      </c>
      <c r="Q41" s="411">
        <f>SUMIFS('LAC 102_Wkst'!$AE$7:$AE$2010,'LAC 102_Wkst'!$E$7:$E$2010,$C41,'LAC 102_Wkst'!$G$7:$G$2010,$D41,'LAC 102_Wkst'!$L$7:$L$2010,"03",'LAC 102_Wkst'!$N$7:$N$2010,"P5")+SUMIFS('LAC 102_Wkst'!$AE$7:$AE$2010,'LAC 102_Wkst'!$E$7:$E$2010,$C41,'LAC 102_Wkst'!$G$7:$G$2010,$D41,'LAC 102_Wkst'!$L$7:$L$2010,"04",'LAC 102_Wkst'!$N$7:$N$2010,"P5")</f>
        <v>0</v>
      </c>
      <c r="R41" s="412">
        <f>SUMIFS('LAC 102_Wkst'!$Q$7:$Q$2010,'LAC 102_Wkst'!$E$7:$E$2010,$C41,'LAC 102_Wkst'!$G$7:$G$2010,$D41,'LAC 102_Wkst'!$L$7:$L$2010,"05",'LAC 102_Wkst'!$N$7:$N$2010,"P1")+SUMIFS('LAC 102_Wkst'!$Q$7:$Q$2010,'LAC 102_Wkst'!$E$7:$E$2010,$C41,'LAC 102_Wkst'!$G$7:$G$2010,$D41,'LAC 102_Wkst'!$L$7:$L$2010,"06",'LAC 102_Wkst'!$N$7:$N$2010,"P1")</f>
        <v>0</v>
      </c>
      <c r="S41" s="411">
        <f>SUMIFS('LAC 102_Wkst'!$AE$7:$AE$2010,'LAC 102_Wkst'!$E$7:$E$2010,$C41,'LAC 102_Wkst'!$G$7:$G$2010,$D41,'LAC 102_Wkst'!$L$7:$L$2010,"05",'LAC 102_Wkst'!$N$7:$N$2010,"P1")+SUMIFS('LAC 102_Wkst'!$AE$7:$AE$2010,'LAC 102_Wkst'!$E$7:$E$2010,$C41,'LAC 102_Wkst'!$G$7:$G$2010,$D41,'LAC 102_Wkst'!$L$7:$L$2010,"06",'LAC 102_Wkst'!$N$7:$N$2010,"P1")</f>
        <v>0</v>
      </c>
      <c r="T41" s="410">
        <f>SUMIFS('LAC 102_Wkst'!$Q$7:$Q$2010,'LAC 102_Wkst'!$E$7:$E$2010,$C41,'LAC 102_Wkst'!$G$7:$G$2010,$D41,'LAC 102_Wkst'!$L$7:$L$2010,"05",'LAC 102_Wkst'!$N$7:$N$2010,"P2")+SUMIFS('LAC 102_Wkst'!$Q$7:$Q$2010,'LAC 102_Wkst'!$E$7:$E$2010,$C41,'LAC 102_Wkst'!$G$7:$G$2010,$D41,'LAC 102_Wkst'!$L$7:$L$2010,"05",'LAC 102_Wkst'!$N$7:$N$2010,"P3")+SUMIFS('LAC 102_Wkst'!$Q$7:$Q$2010,'LAC 102_Wkst'!$E$7:$E$2010,$C41,'LAC 102_Wkst'!$G$7:$G$2010,$D41,'LAC 102_Wkst'!$L$7:$L$2010,"06",'LAC 102_Wkst'!$N$7:$N$2010,"P2")+SUMIFS('LAC 102_Wkst'!$Q$7:$Q$2010,'LAC 102_Wkst'!$E$7:$E$2010,$C41,'LAC 102_Wkst'!$G$7:$G$2010,$D41,'LAC 102_Wkst'!$L$7:$L$2010,"06",'LAC 102_Wkst'!$N$7:$N$2010,"P3")</f>
        <v>0</v>
      </c>
      <c r="U41" s="411">
        <f>SUMIFS('LAC 102_Wkst'!$AE$7:$AE$2010,'LAC 102_Wkst'!$E$7:$E$2010,$C41,'LAC 102_Wkst'!$G$7:$G$2010,$D41,'LAC 102_Wkst'!$L$7:$L$2010,"05",'LAC 102_Wkst'!$N$7:$N$2010,"P2")+SUMIFS('LAC 102_Wkst'!$AE$7:$AE$2010,'LAC 102_Wkst'!$E$7:$E$2010,$C41,'LAC 102_Wkst'!$G$7:$G$2010,$D41,'LAC 102_Wkst'!$L$7:$L$2010,"06",'LAC 102_Wkst'!$N$7:$N$2010,"P3")+SUMIFS('LAC 102_Wkst'!$AE$7:$AE$2010,'LAC 102_Wkst'!$E$7:$E$2010,$C41,'LAC 102_Wkst'!$G$7:$G$2010,$D41,'LAC 102_Wkst'!$L$7:$L$2010,"05",'LAC 102_Wkst'!$N$7:$N$2010,"P2")+SUMIFS('LAC 102_Wkst'!$AE$7:$AE$2010,'LAC 102_Wkst'!$E$7:$E$2010,$C41,'LAC 102_Wkst'!$G$7:$G$2010,$D41,'LAC 102_Wkst'!$L$7:$L$2010,"06",'LAC 102_Wkst'!$N$7:$N$2010,"P3")</f>
        <v>0</v>
      </c>
      <c r="V41" s="410">
        <f>SUMIFS('LAC 102_Wkst'!$Q$7:$Q$2010,'LAC 102_Wkst'!$E$7:$E$2010,$C41,'LAC 102_Wkst'!$G$7:$G$2010,$D41,'LAC 102_Wkst'!$L$7:$L$2010,"05",'LAC 102_Wkst'!$N$7:$N$2010,"P4")+SUMIFS('LAC 102_Wkst'!$Q$7:$Q$2010,'LAC 102_Wkst'!$E$7:$E$2010,$C41,'LAC 102_Wkst'!$G$7:$G$2010,$D41,'LAC 102_Wkst'!$L$7:$L$2010,"06",'LAC 102_Wkst'!$N$7:$N$2010,"P4")</f>
        <v>0</v>
      </c>
      <c r="W41" s="411">
        <f>SUMIFS('LAC 102_Wkst'!$AE$7:$AE$2010,'LAC 102_Wkst'!$E$7:$E$2010,$C41,'LAC 102_Wkst'!$G$7:$G$2010,$D41,'LAC 102_Wkst'!$L$7:$L$2010,"05",'LAC 102_Wkst'!$N$7:$N$2010,"P4")+SUMIFS('LAC 102_Wkst'!$AE$7:$AE$2010,'LAC 102_Wkst'!$E$7:$E$2010,$C41,'LAC 102_Wkst'!$G$7:$G$2010,$D41,'LAC 102_Wkst'!$L$7:$L$2010,"06",'LAC 102_Wkst'!$N$7:$N$2010,"P4")</f>
        <v>0</v>
      </c>
      <c r="X41" s="410">
        <f>SUMIFS('LAC 102_Wkst'!$Q$7:$Q$2010,'LAC 102_Wkst'!$E$7:$E$2010,$C41,'LAC 102_Wkst'!$G$7:$G$2010,$D41,'LAC 102_Wkst'!$L$7:$L$2010,"05",'LAC 102_Wkst'!$N$7:$N$2010,"P5")+SUMIFS('LAC 102_Wkst'!$Q$7:$Q$2010,'LAC 102_Wkst'!$E$7:$E$2010,$C41,'LAC 102_Wkst'!$G$7:$G$2010,$D41,'LAC 102_Wkst'!$L$7:$L$2010,"06",'LAC 102_Wkst'!$N$7:$N$2010,"P5")</f>
        <v>0</v>
      </c>
      <c r="Y41" s="411">
        <f>SUMIFS('LAC 102_Wkst'!$AE$7:$AE$2010,'LAC 102_Wkst'!$E$7:$E$2010,$C41,'LAC 102_Wkst'!$G$7:$G$2010,$D41,'LAC 102_Wkst'!$L$7:$L$2010,"05",'LAC 102_Wkst'!$N$7:$N$2010,"P5")+SUMIFS('LAC 102_Wkst'!$AE$7:$AE$2010,'LAC 102_Wkst'!$E$7:$E$2010,$C41,'LAC 102_Wkst'!$G$7:$G$2010,$D41,'LAC 102_Wkst'!$L$7:$L$2010,"06",'LAC 102_Wkst'!$N$7:$N$2010,"P5")</f>
        <v>0</v>
      </c>
      <c r="Z41" s="410">
        <f>SUMIFS('LAC 102_Wkst'!$Q$7:$Q$2010,'LAC 102_Wkst'!$E$7:$E$2010,$C41,'LAC 102_Wkst'!$G$7:$G$2010,$D41,'LAC 102_Wkst'!$L$7:$L$2010,"07",'LAC 102_Wkst'!$N$7:$N$2010,"P1")+SUMIFS('LAC 102_Wkst'!$Q$7:$Q$2010,'LAC 102_Wkst'!$E$7:$E$2010,$C41,'LAC 102_Wkst'!$G$7:$G$2010,$D41,'LAC 102_Wkst'!$L$7:$L$2010,"07",'LAC 102_Wkst'!$N$7:$N$2010,"P2")+SUMIFS('LAC 102_Wkst'!$Q$7:$Q$2010,'LAC 102_Wkst'!$E$7:$E$2010,$C41,'LAC 102_Wkst'!$G$7:$G$2010,$D41,'LAC 102_Wkst'!$L$7:$L$2010,"07",'LAC 102_Wkst'!$N$7:$N$2010,"P3")</f>
        <v>0</v>
      </c>
      <c r="AA41" s="411">
        <f>SUMIFS('LAC 102_Wkst'!$AE$7:$AE$2010,'LAC 102_Wkst'!$E$7:$E$2010,$C41,'LAC 102_Wkst'!$G$7:$G$2010,$D41,'LAC 102_Wkst'!$L$7:$L$2010,"07",'LAC 102_Wkst'!$N$7:$N$2010,"P1")+SUMIFS('LAC 102_Wkst'!$AE$7:$AE$2010,'LAC 102_Wkst'!$E$7:$E$2010,$C41,'LAC 102_Wkst'!$G$7:$G$2010,$D41,'LAC 102_Wkst'!$L$7:$L$2010,"07",'LAC 102_Wkst'!$N$7:$N$2010,"P2")+SUMIFS('LAC 102_Wkst'!$AE$7:$AE$2010,'LAC 102_Wkst'!$E$7:$E$2010,$C41,'LAC 102_Wkst'!$G$7:$G$2010,$D41,'LAC 102_Wkst'!$L$7:$L$2010,"07",'LAC 102_Wkst'!$N$7:$N$2010,"P3")</f>
        <v>0</v>
      </c>
      <c r="AB41" s="410">
        <f>SUMIFS('LAC 102_Wkst'!$Q$7:$Q$2010,'LAC 102_Wkst'!$E$7:$E$2010,$C41,'LAC 102_Wkst'!$G$7:$G$2010,$D41,'LAC 102_Wkst'!$L$7:$L$2010,"07",'LAC 102_Wkst'!$N$7:$N$2010,"P4")</f>
        <v>0</v>
      </c>
      <c r="AC41" s="411">
        <f>SUMIFS('LAC 102_Wkst'!$AE$7:$AE$2010,'LAC 102_Wkst'!$E$7:$E$2010,$C41,'LAC 102_Wkst'!$G$7:$G$2010,$D41,'LAC 102_Wkst'!$L$7:$L$2010,"07",'LAC 102_Wkst'!$N$7:$N$2010,"P4")</f>
        <v>0</v>
      </c>
      <c r="AD41" s="410">
        <f>SUMIFS('LAC 102_Wkst'!$Q$7:$Q$2010,'LAC 102_Wkst'!$E$7:$E$2010,$C41,'LAC 102_Wkst'!$G$7:$G$2010,$D41,'LAC 102_Wkst'!$L$7:$L$2010,"07",'LAC 102_Wkst'!$N$7:$N$2010,"P5")</f>
        <v>0</v>
      </c>
      <c r="AE41" s="411">
        <f>SUMIFS('LAC 102_Wkst'!$AE$7:$AE$2010,'LAC 102_Wkst'!$E$7:$E$2010,$C41,'LAC 102_Wkst'!$G$7:$G$2010,$D41,'LAC 102_Wkst'!$L$7:$L$2010,"07",'LAC 102_Wkst'!$N$7:$N$2010,"P5")</f>
        <v>0</v>
      </c>
      <c r="AF41" s="410">
        <f>SUMIFS('LAC 102_Wkst'!$Q$7:$Q$2010,'LAC 102_Wkst'!$E$7:$E$2010,$C41,'LAC 102_Wkst'!$G$7:$G$2010,$D41,'LAC 102_Wkst'!$L$7:$L$2010,"08",'LAC 102_Wkst'!$N$7:$N$2010,"P1")+SUMIFS('LAC 102_Wkst'!$Q$7:$Q$2010,'LAC 102_Wkst'!$E$7:$E$2010,$C41,'LAC 102_Wkst'!$G$7:$G$2010,$D41,'LAC 102_Wkst'!$L$7:$L$2010,"08",'LAC 102_Wkst'!$N$7:$N$2010,"P2")+SUMIFS('LAC 102_Wkst'!$Q$7:$Q$2010,'LAC 102_Wkst'!$E$7:$E$2010,$C41,'LAC 102_Wkst'!$G$7:$G$2010,$D41,'LAC 102_Wkst'!$L$7:$L$2010,"08",'LAC 102_Wkst'!$N$7:$N$2010,"P3")</f>
        <v>0</v>
      </c>
      <c r="AG41" s="411">
        <f>SUMIFS('LAC 102_Wkst'!$AE$7:$AE$2010,'LAC 102_Wkst'!$E$7:$E$2010,$C41,'LAC 102_Wkst'!$G$7:$G$2010,$D41,'LAC 102_Wkst'!$L$7:$L$2010,"08",'LAC 102_Wkst'!$N$7:$N$2010,"P1")+SUMIFS('LAC 102_Wkst'!$AE$7:$AE$2010,'LAC 102_Wkst'!$E$7:$E$2010,$C41,'LAC 102_Wkst'!$G$7:$G$2010,$D41,'LAC 102_Wkst'!$L$7:$L$2010,"08",'LAC 102_Wkst'!$N$7:$N$2010,"P2")+SUMIFS('LAC 102_Wkst'!$AE$7:$AE$2010,'LAC 102_Wkst'!$E$7:$E$2010,$C41,'LAC 102_Wkst'!$G$7:$G$2010,$D41,'LAC 102_Wkst'!$L$7:$L$2010,"08",'LAC 102_Wkst'!$N$7:$N$2010,"P3")</f>
        <v>0</v>
      </c>
      <c r="AH41" s="410">
        <f>SUMIFS('LAC 102_Wkst'!$Q$7:$Q$2010,'LAC 102_Wkst'!$E$7:$E$2010,$C41,'LAC 102_Wkst'!$G$7:$G$2010,$D41,'LAC 102_Wkst'!$L$7:$L$2010,"08",'LAC 102_Wkst'!$N$7:$N$2010,"P4")</f>
        <v>0</v>
      </c>
      <c r="AI41" s="411">
        <f>SUMIFS('LAC 102_Wkst'!$AE$7:$AE$2010,'LAC 102_Wkst'!$E$7:$E$2010,$C41,'LAC 102_Wkst'!$G$7:$G$2010,$D41,'LAC 102_Wkst'!$L$7:$L$2010,"08",'LAC 102_Wkst'!$N$7:$N$2010,"P4")</f>
        <v>0</v>
      </c>
      <c r="AJ41" s="410">
        <f>SUMIFS('LAC 102_Wkst'!$Q$7:$Q$2010,'LAC 102_Wkst'!$E$7:$E$2010,$C41,'LAC 102_Wkst'!$G$7:$G$2010,$D41,'LAC 102_Wkst'!$L$7:$L$2010,"08",'LAC 102_Wkst'!$N$7:$N$2010,"P5")</f>
        <v>0</v>
      </c>
      <c r="AK41" s="411">
        <f>SUMIFS('LAC 102_Wkst'!$AE$7:$AE$2010,'LAC 102_Wkst'!$E$7:$E$2010,$C41,'LAC 102_Wkst'!$G$7:$G$2010,$D41,'LAC 102_Wkst'!$L$7:$L$2010,"08",'LAC 102_Wkst'!$N$7:$N$2010,"P5")</f>
        <v>0</v>
      </c>
      <c r="AL41" s="410">
        <f>SUMIFS('LAC 102_Wkst'!$Q$7:$Q$2010,'LAC 102_Wkst'!$E$7:$E$2010,$C41,'LAC 102_Wkst'!$G$7:$G$2010,$D41,'LAC 102_Wkst'!$L$7:$L$2010,"09",'LAC 102_Wkst'!$N$7:$N$2010,"P1")+SUMIFS('LAC 102_Wkst'!$Q$7:$Q$2010,'LAC 102_Wkst'!$E$7:$E$2010,$C41,'LAC 102_Wkst'!$G$7:$G$2010,$D41,'LAC 102_Wkst'!$L$7:$L$2010,"09",'LAC 102_Wkst'!$N$7:$N$2010,"P2")+SUMIFS('LAC 102_Wkst'!$Q$7:$Q$2010,'LAC 102_Wkst'!$E$7:$E$2010,$C41,'LAC 102_Wkst'!$G$7:$G$2010,$D41,'LAC 102_Wkst'!$L$7:$L$2010,"09",'LAC 102_Wkst'!$N$7:$N$2010,"P3")+SUMIFS('LAC 102_Wkst'!$Q$7:$Q$2010,'LAC 102_Wkst'!$E$7:$E$2010,$C41,'LAC 102_Wkst'!$G$7:$G$2010,$D41,'LAC 102_Wkst'!$L$7:$L$2010,"09",'LAC 102_Wkst'!$N$7:$N$2010,"P4")</f>
        <v>0</v>
      </c>
      <c r="AM41" s="411">
        <f>SUMIFS('LAC 102_Wkst'!$AE$7:$AE$2010,'LAC 102_Wkst'!$E$7:$E$2010,$C41,'LAC 102_Wkst'!$G$7:$G$2010,$D41,'LAC 102_Wkst'!$L$7:$L$2010,"09",'LAC 102_Wkst'!$N$7:$N$2010,"P1")+SUMIFS('LAC 102_Wkst'!$AE$7:$AE$2010,'LAC 102_Wkst'!$E$7:$E$2010,$C41,'LAC 102_Wkst'!$G$7:$G$2010,$D41,'LAC 102_Wkst'!$L$7:$L$2010,"09",'LAC 102_Wkst'!$N$7:$N$2010,"P2")+SUMIFS('LAC 102_Wkst'!$AE$7:$AE$2010,'LAC 102_Wkst'!$E$7:$E$2010,$C41,'LAC 102_Wkst'!$G$7:$G$2010,$D41,'LAC 102_Wkst'!$L$7:$L$2010,"09",'LAC 102_Wkst'!$N$7:$N$2010,"P3")+SUMIFS('LAC 102_Wkst'!$AE$7:$AE$2010,'LAC 102_Wkst'!$E$7:$E$2010,$C41,'LAC 102_Wkst'!$G$7:$G$2010,$D41,'LAC 102_Wkst'!$L$7:$L$2010,"09",'LAC 102_Wkst'!$N$7:$N$2010,"P4")</f>
        <v>0</v>
      </c>
      <c r="AN41" s="410">
        <f>SUMIFS('LAC 102_Wkst'!$Q$7:$Q$2010,'LAC 102_Wkst'!$E$7:$E$2010,$C41,'LAC 102_Wkst'!$G$7:$G$2010,$D41,'LAC 102_Wkst'!$L$7:$L$2010,"09",'LAC 102_Wkst'!$N$7:$N$2010,"P5")</f>
        <v>0</v>
      </c>
      <c r="AO41" s="411">
        <f>SUMIFS('LAC 102_Wkst'!$AE$7:$AE$2010,'LAC 102_Wkst'!$E$7:$E$2010,$C41,'LAC 102_Wkst'!$G$7:$G$2010,$D41,'LAC 102_Wkst'!$L$7:$L$2010,"09",'LAC 102_Wkst'!$N$7:$N$2010,"P5")</f>
        <v>0</v>
      </c>
      <c r="AP41" s="410">
        <f>SUMIFS('LAC 102_Wkst'!$Q$7:$Q$2010,'LAC 102_Wkst'!$E$7:$E$2010,$C41,'LAC 102_Wkst'!$G$7:$G$2010,$D41,'LAC 102_Wkst'!$L$7:$L$2010,"10",'LAC 102_Wkst'!$N$7:$N$2010,"P1")+SUMIFS('LAC 102_Wkst'!$Q$7:$Q$2010,'LAC 102_Wkst'!$E$7:$E$2010,$C41,'LAC 102_Wkst'!$G$7:$G$2010,$D41,'LAC 102_Wkst'!$L$7:$L$2010,"10",'LAC 102_Wkst'!$N$7:$N$2010,"P2")+SUMIFS('LAC 102_Wkst'!$Q$7:$Q$2010,'LAC 102_Wkst'!$E$7:$E$2010,$C41,'LAC 102_Wkst'!$G$7:$G$2010,$D41,'LAC 102_Wkst'!$L$7:$L$2010,"10",'LAC 102_Wkst'!$N$7:$N$2010,"P3")+SUMIFS('LAC 102_Wkst'!$Q$7:$Q$2010,'LAC 102_Wkst'!$E$7:$E$2010,$C41,'LAC 102_Wkst'!$G$7:$G$2010,$D41,'LAC 102_Wkst'!$L$7:$L$2010,"10",'LAC 102_Wkst'!$N$7:$N$2010,"P4")</f>
        <v>0</v>
      </c>
      <c r="AQ41" s="411">
        <f>SUMIFS('LAC 102_Wkst'!$AE$7:$AE$2010,'LAC 102_Wkst'!$E$7:$E$2010,$C41,'LAC 102_Wkst'!$G$7:$G$2010,$D41,'LAC 102_Wkst'!$L$7:$L$2010,"10",'LAC 102_Wkst'!$N$7:$N$2010,"P1")+SUMIFS('LAC 102_Wkst'!$AE$7:$AE$2010,'LAC 102_Wkst'!$E$7:$E$2010,$C41,'LAC 102_Wkst'!$G$7:$G$2010,$D41,'LAC 102_Wkst'!$L$7:$L$2010,"10",'LAC 102_Wkst'!$N$7:$N$2010,"P2")+SUMIFS('LAC 102_Wkst'!$AE$7:$AE$2010,'LAC 102_Wkst'!$E$7:$E$2010,$C41,'LAC 102_Wkst'!$G$7:$G$2010,$D41,'LAC 102_Wkst'!$L$7:$L$2010,"10",'LAC 102_Wkst'!$N$7:$N$2010,"P3")+SUMIFS('LAC 102_Wkst'!$AE$7:$AE$2010,'LAC 102_Wkst'!$E$7:$E$2010,$C41,'LAC 102_Wkst'!$G$7:$G$2010,$D41,'LAC 102_Wkst'!$L$7:$L$2010,"10",'LAC 102_Wkst'!$N$7:$N$2010,"P4")</f>
        <v>0</v>
      </c>
      <c r="AR41" s="410">
        <f>SUMIFS('LAC 102_Wkst'!$Q$7:$Q$2010,'LAC 102_Wkst'!$E$7:$E$2010,$C41,'LAC 102_Wkst'!$G$7:$G$2010,$D41,'LAC 102_Wkst'!$L$7:$L$2010,"10",'LAC 102_Wkst'!$N$7:$N$2010,"P5")</f>
        <v>0</v>
      </c>
      <c r="AS41" s="411">
        <f>SUMIFS('LAC 102_Wkst'!$AE$7:$AE$2010,'LAC 102_Wkst'!$E$7:$E$2010,$C41,'LAC 102_Wkst'!$G$7:$G$2010,$D41,'LAC 102_Wkst'!$L$7:$L$2010,"10",'LAC 102_Wkst'!$N$7:$N$2010,"P5")</f>
        <v>0</v>
      </c>
      <c r="AT41" s="410">
        <f>SUMIFS('LAC 102_Wkst'!$Q$7:$Q$2010,'LAC 102_Wkst'!$E$7:$E$2010,$C41,'LAC 102_Wkst'!$G$7:$G$2010,$D41,'LAC 102_Wkst'!$L$7:$L$2010,"11",'LAC 102_Wkst'!$N$7:$N$2010,"P1")+SUMIFS('LAC 102_Wkst'!$Q$7:$Q$2010,'LAC 102_Wkst'!$E$7:$E$2010,$C41,'LAC 102_Wkst'!$G$7:$G$2010,$D41,'LAC 102_Wkst'!$L$7:$L$2010,"12",'LAC 102_Wkst'!$N$7:$N$2010,"P1")</f>
        <v>0</v>
      </c>
      <c r="AU41" s="411">
        <f>SUMIFS('LAC 102_Wkst'!$AE$7:$AE$2010,'LAC 102_Wkst'!$E$7:$E$2010,$C41,'LAC 102_Wkst'!$G$7:$G$2010,$D41,'LAC 102_Wkst'!$L$7:$L$2010,"11",'LAC 102_Wkst'!$N$7:$N$2010,"P1")+SUMIFS('LAC 102_Wkst'!$AE$7:$AE$2010,'LAC 102_Wkst'!$E$7:$E$2010,$C41,'LAC 102_Wkst'!$G$7:$G$2010,$D41,'LAC 102_Wkst'!$L$7:$L$2010,"12",'LAC 102_Wkst'!$N$7:$N$2010,"P1")</f>
        <v>0</v>
      </c>
      <c r="AV41" s="410">
        <f>SUMIFS('LAC 102_Wkst'!$Q$7:$Q$2010,'LAC 102_Wkst'!$E$7:$E$2010,$C41,'LAC 102_Wkst'!$G$7:$G$2010,$D41,'LAC 102_Wkst'!$L$7:$L$2010,"11",'LAC 102_Wkst'!$N$7:$N$2010,"P2")+SUMIFS('LAC 102_Wkst'!$Q$7:$Q$2010,'LAC 102_Wkst'!$E$7:$E$2010,$C41,'LAC 102_Wkst'!$G$7:$G$2010,$D41,'LAC 102_Wkst'!$L$7:$L$2010,"12",'LAC 102_Wkst'!$N$7:$N$2010,"P3")+SUMIFS('LAC 102_Wkst'!$Q$7:$Q$2010,'LAC 102_Wkst'!$E$7:$E$2010,$C41,'LAC 102_Wkst'!$G$7:$G$2010,$D41,'LAC 102_Wkst'!$L$7:$L$2010,"11",'LAC 102_Wkst'!$N$7:$N$2010,"P2")+SUMIFS('LAC 102_Wkst'!$Q$7:$Q$2010,'LAC 102_Wkst'!$E$7:$E$2010,$C41,'LAC 102_Wkst'!$G$7:$G$2010,$D41,'LAC 102_Wkst'!$L$7:$L$2010,"12",'LAC 102_Wkst'!$N$7:$N$2010,"P3")</f>
        <v>0</v>
      </c>
      <c r="AW41" s="411">
        <f>SUMIFS('LAC 102_Wkst'!$AE$7:$AE$2010,'LAC 102_Wkst'!$E$7:$E$2010,$C41,'LAC 102_Wkst'!$G$7:$G$2010,$D41,'LAC 102_Wkst'!$L$7:$L$2010,"11",'LAC 102_Wkst'!$N$7:$N$2010,"P2")+SUMIFS('LAC 102_Wkst'!$AE$7:$AE$2010,'LAC 102_Wkst'!$E$7:$E$2010,$C41,'LAC 102_Wkst'!$G$7:$G$2010,$D41,'LAC 102_Wkst'!$L$7:$L$2010,"12",'LAC 102_Wkst'!$N$7:$N$2010,"P3")+SUMIFS('LAC 102_Wkst'!$AE$7:$AE$2010,'LAC 102_Wkst'!$E$7:$E$2010,$C41,'LAC 102_Wkst'!$G$7:$G$2010,$D41,'LAC 102_Wkst'!$L$7:$L$2010,"11",'LAC 102_Wkst'!$N$7:$N$2010,"P2")+SUMIFS('LAC 102_Wkst'!$AE$7:$AE$2010,'LAC 102_Wkst'!$E$7:$E$2010,$C41,'LAC 102_Wkst'!$G$7:$G$2010,$D41,'LAC 102_Wkst'!$L$7:$L$2010,"12",'LAC 102_Wkst'!$N$7:$N$2010,"P3")</f>
        <v>0</v>
      </c>
      <c r="AX41" s="410">
        <f>SUMIFS('LAC 102_Wkst'!$Q$7:$Q$2010,'LAC 102_Wkst'!$E$7:$E$2010,$C41,'LAC 102_Wkst'!$G$7:$G$2010,$D41,'LAC 102_Wkst'!$L$7:$L$2010,"11",'LAC 102_Wkst'!$N$7:$N$2010,"P4")+SUMIFS('LAC 102_Wkst'!$Q$7:$Q$2010,'LAC 102_Wkst'!$E$7:$E$2010,$C41,'LAC 102_Wkst'!$G$7:$G$2010,$D41,'LAC 102_Wkst'!$L$7:$L$2010,"12",'LAC 102_Wkst'!$N$7:$N$2010,"P4")</f>
        <v>0</v>
      </c>
      <c r="AY41" s="411">
        <f>SUMIFS('LAC 102_Wkst'!$AE$7:$AE$2010,'LAC 102_Wkst'!$E$7:$E$2010,$C41,'LAC 102_Wkst'!$G$7:$G$2010,$D41,'LAC 102_Wkst'!$L$7:$L$2010,"11",'LAC 102_Wkst'!$N$7:$N$2010,"P4")+SUMIFS('LAC 102_Wkst'!$AE$7:$AE$2010,'LAC 102_Wkst'!$E$7:$E$2010,$C41,'LAC 102_Wkst'!$G$7:$G$2010,$D41,'LAC 102_Wkst'!$L$7:$L$2010,"12",'LAC 102_Wkst'!$N$7:$N$2010,"P4")</f>
        <v>0</v>
      </c>
      <c r="AZ41" s="410">
        <f>SUMIFS('LAC 102_Wkst'!$Q$7:$Q$2010,'LAC 102_Wkst'!$E$7:$E$2010,$C41,'LAC 102_Wkst'!$G$7:$G$2010,$D41,'LAC 102_Wkst'!$L$7:$L$2010,"11",'LAC 102_Wkst'!$N$7:$N$2010,"P5")+SUMIFS('LAC 102_Wkst'!$Q$7:$Q$2010,'LAC 102_Wkst'!$E$7:$E$2010,$C41,'LAC 102_Wkst'!$G$7:$G$2010,$D41,'LAC 102_Wkst'!$L$7:$L$2010,"12",'LAC 102_Wkst'!$N$7:$N$2010,"P5")</f>
        <v>0</v>
      </c>
      <c r="BA41" s="411">
        <f>SUMIFS('LAC 102_Wkst'!$AE$7:$AE$2010,'LAC 102_Wkst'!$E$7:$E$2010,$C41,'LAC 102_Wkst'!$G$7:$G$2010,$D41,'LAC 102_Wkst'!$L$7:$L$2010,"11",'LAC 102_Wkst'!$N$7:$N$2010,"P5")+SUMIFS('LAC 102_Wkst'!$AE$7:$AE$2010,'LAC 102_Wkst'!$E$7:$E$2010,$C41,'LAC 102_Wkst'!$G$7:$G$2010,$D41,'LAC 102_Wkst'!$L$7:$L$2010,"12",'LAC 102_Wkst'!$N$7:$N$2010,"P5")</f>
        <v>0</v>
      </c>
      <c r="BB41" s="410">
        <f>SUMIFS('LAC 102_Wkst'!$Q$7:$Q$2010,'LAC 102_Wkst'!$E$7:$E$2010,$C41,'LAC 102_Wkst'!$G$7:$G$2010,$D41,'LAC 102_Wkst'!$L$7:$L$2010,"13",'LAC 102_Wkst'!$N$7:$N$2010,"P1")+SUMIFS('LAC 102_Wkst'!$Q$7:$Q$2010,'LAC 102_Wkst'!$E$7:$E$2010,$C41,'LAC 102_Wkst'!$G$7:$G$2010,$D41,'LAC 102_Wkst'!$L$7:$L$2010,"13",'LAC 102_Wkst'!$N$7:$N$2010,"P2")+SUMIFS('LAC 102_Wkst'!$Q$7:$Q$2010,'LAC 102_Wkst'!$E$7:$E$2010,$C41,'LAC 102_Wkst'!$G$7:$G$2010,$D41,'LAC 102_Wkst'!$L$7:$L$2010,"13",'LAC 102_Wkst'!$N$7:$N$2010,"P3")+SUMIFS('LAC 102_Wkst'!$Q$7:$Q$2010,'LAC 102_Wkst'!$E$7:$E$2010,$C41,'LAC 102_Wkst'!$G$7:$G$2010,$D41,'LAC 102_Wkst'!$L$7:$L$2010,"13",'LAC 102_Wkst'!$N$7:$N$2010,"P4")</f>
        <v>0</v>
      </c>
      <c r="BC41" s="411">
        <f>SUMIFS('LAC 102_Wkst'!$AE$7:$AE$2010,'LAC 102_Wkst'!$E$7:$E$2010,$C41,'LAC 102_Wkst'!$G$7:$G$2010,$D41,'LAC 102_Wkst'!$L$7:$L$2010,"13",'LAC 102_Wkst'!$N$7:$N$2010,"P1")+SUMIFS('LAC 102_Wkst'!$AE$7:$AE$2010,'LAC 102_Wkst'!$E$7:$E$2010,$C41,'LAC 102_Wkst'!$G$7:$G$2010,$D41,'LAC 102_Wkst'!$L$7:$L$2010,"13",'LAC 102_Wkst'!$N$7:$N$2010,"P2")+SUMIFS('LAC 102_Wkst'!$AE$7:$AE$2010,'LAC 102_Wkst'!$E$7:$E$2010,$C41,'LAC 102_Wkst'!$G$7:$G$2010,$D41,'LAC 102_Wkst'!$L$7:$L$2010,"13",'LAC 102_Wkst'!$N$7:$N$2010,"P3")+SUMIFS('LAC 102_Wkst'!$AE$7:$AE$2010,'LAC 102_Wkst'!$E$7:$E$2010,$C41,'LAC 102_Wkst'!$G$7:$G$2010,$D41,'LAC 102_Wkst'!$L$7:$L$2010,"13",'LAC 102_Wkst'!$N$7:$N$2010,"P4")</f>
        <v>0</v>
      </c>
      <c r="BD41" s="410">
        <f>SUMIFS('LAC 102_Wkst'!$Q$7:$Q$2010,'LAC 102_Wkst'!$E$7:$E$2010,$C41,'LAC 102_Wkst'!$G$7:$G$2010,$D41,'LAC 102_Wkst'!$L$7:$L$2010,"13",'LAC 102_Wkst'!$N$7:$N$2010,"P5")</f>
        <v>0</v>
      </c>
      <c r="BE41" s="411">
        <f>SUMIFS('LAC 102_Wkst'!$AE$7:$AE$2010,'LAC 102_Wkst'!$E$7:$E$2010,$C41,'LAC 102_Wkst'!$G$7:$G$2010,$D41,'LAC 102_Wkst'!$L$7:$L$2010,"13",'LAC 102_Wkst'!$N$7:$N$2010,"P5")</f>
        <v>0</v>
      </c>
      <c r="BF41" s="407">
        <f t="shared" si="0"/>
        <v>0</v>
      </c>
    </row>
    <row r="42" spans="1:58" x14ac:dyDescent="0.2">
      <c r="A42" s="401">
        <v>23</v>
      </c>
      <c r="B42" s="1236"/>
      <c r="C42" s="1235"/>
      <c r="D42" s="1237"/>
      <c r="E42" s="1222">
        <f>IF(CONCATENATE(C42,D42)&gt;"6069",1,SUMIFS('LAC 102_Wkst'!$Q$7:$Q$2010,'LAC 102_Wkst'!$E$7:$E$2010,Schedule_B!$C42,'LAC 102_Wkst'!$G$7:$G$2010,Schedule_B!$D42))</f>
        <v>0</v>
      </c>
      <c r="F42" s="408">
        <f>SUMIFS('LAC 102_Wkst'!$Q$7:$Q$2010,'LAC 102_Wkst'!$E$7:$E$2010,$C42,'LAC 102_Wkst'!$G$7:$G$2010,$D42,'LAC 102_Wkst'!$L$7:$L$2010,"01",'LAC 102_Wkst'!$N$7:$N$2010,"P1")+SUMIFS('LAC 102_Wkst'!$Q$7:$Q$2010,'LAC 102_Wkst'!$E$7:$E$2010,$C42,'LAC 102_Wkst'!$G$7:$G$2010,$D42,'LAC 102_Wkst'!$L$7:$L$2010,"01",'LAC 102_Wkst'!$N$7:$N$2010,"P2")+SUMIFS('LAC 102_Wkst'!$Q$7:$Q$2010,'LAC 102_Wkst'!$E$7:$E$2010,$C42,'LAC 102_Wkst'!$G$7:$G$2010,$D42,'LAC 102_Wkst'!$L$7:$L$2010,"01",'LAC 102_Wkst'!$N$7:$N$2010,"P3")+SUMIFS('LAC 102_Wkst'!$Q$7:$Q$2010,'LAC 102_Wkst'!$E$7:$E$2010,$C42,'LAC 102_Wkst'!$G$7:$G$2010,$D42,'LAC 102_Wkst'!$L$7:$L$2010,"02",'LAC 102_Wkst'!$N$7:$N$2010,"P1")+SUMIFS('LAC 102_Wkst'!$Q$7:$Q$2010,'LAC 102_Wkst'!$E$7:$E$2010,$C42,'LAC 102_Wkst'!$G$7:$G$2010,$D42,'LAC 102_Wkst'!$L$7:$L$2010,"02",'LAC 102_Wkst'!$N$7:$N$2010,"P2")+SUMIFS('LAC 102_Wkst'!$Q$7:$Q$2010,'LAC 102_Wkst'!$E$7:$E$2010,$C42,'LAC 102_Wkst'!$G$7:$G$2010,$D42,'LAC 102_Wkst'!$L$7:$L$2010,"02",'LAC 102_Wkst'!$N$7:$N$2010,"P3")</f>
        <v>0</v>
      </c>
      <c r="G42" s="409">
        <f>SUMIFS('LAC 102_Wkst'!$AE$7:$AE$2010,'LAC 102_Wkst'!$E$7:$E$2010,$C42,'LAC 102_Wkst'!$G$7:$G$2010,$D42,'LAC 102_Wkst'!$L$7:$L$2010,"01",'LAC 102_Wkst'!$N$7:$N$2010,"P1")+SUMIFS('LAC 102_Wkst'!$AE$7:$AE$2010,'LAC 102_Wkst'!$E$7:$E$2010,$C42,'LAC 102_Wkst'!$G$7:$G$2010,$D42,'LAC 102_Wkst'!$L$7:$L$2010,"01",'LAC 102_Wkst'!$N$7:$N$2010,"P2")+SUMIFS('LAC 102_Wkst'!$AE$7:$AE$2010,'LAC 102_Wkst'!$E$7:$E$2010,$C42,'LAC 102_Wkst'!$G$7:$G$2010,$D42,'LAC 102_Wkst'!$L$7:$L$2010,"01",'LAC 102_Wkst'!$N$7:$N$2010,"P3")+SUMIFS('LAC 102_Wkst'!$AE$7:$AE$2010,'LAC 102_Wkst'!$E$7:$E$2010,$C42,'LAC 102_Wkst'!$G$7:$G$2010,$D42,'LAC 102_Wkst'!$L$7:$L$2010,"02",'LAC 102_Wkst'!$N$7:$N$2010,"P1")+SUMIFS('LAC 102_Wkst'!$AE$7:$AE$2010,'LAC 102_Wkst'!$E$7:$E$2010,$C42,'LAC 102_Wkst'!$G$7:$G$2010,$D42,'LAC 102_Wkst'!$L$7:$L$2010,"02",'LAC 102_Wkst'!$N$7:$N$2010,"P2")+SUMIFS('LAC 102_Wkst'!$AE$7:$AE$2010,'LAC 102_Wkst'!$E$7:$E$2010,$C42,'LAC 102_Wkst'!$G$7:$G$2010,$D42,'LAC 102_Wkst'!$L$7:$L$2010,"02",'LAC 102_Wkst'!$N$7:$N$2010,"P3")</f>
        <v>0</v>
      </c>
      <c r="H42" s="410">
        <f>SUMIFS('LAC 102_Wkst'!$Q$7:$Q$2010,'LAC 102_Wkst'!$E$7:$E$2010,$C42,'LAC 102_Wkst'!$G$7:$G$2010,$D42,'LAC 102_Wkst'!$L$7:$L$2010,"01",'LAC 102_Wkst'!$N$7:$N$2010,"P4")+SUMIFS('LAC 102_Wkst'!$Q$7:$Q$2010,'LAC 102_Wkst'!$E$7:$E$2010,$C42,'LAC 102_Wkst'!$G$7:$G$2010,$D42,'LAC 102_Wkst'!$L$7:$L$2010,"02",'LAC 102_Wkst'!$N$7:$N$2010,"P4")</f>
        <v>0</v>
      </c>
      <c r="I42" s="411">
        <f>SUMIFS('LAC 102_Wkst'!$AE$7:$AE$2010,'LAC 102_Wkst'!$E$7:$E$2010,$C42,'LAC 102_Wkst'!$G$7:$G$2010,$D42,'LAC 102_Wkst'!$L$7:$L$2010,"01",'LAC 102_Wkst'!$N$7:$N$2010,"P4")+SUMIFS('LAC 102_Wkst'!$AE$7:$AE$2010,'LAC 102_Wkst'!$E$7:$E$2010,$C42,'LAC 102_Wkst'!$G$7:$G$2010,$D42,'LAC 102_Wkst'!$L$7:$L$2010,"02",'LAC 102_Wkst'!$N$7:$N$2010,"P4")</f>
        <v>0</v>
      </c>
      <c r="J42" s="410">
        <f>SUMIFS('LAC 102_Wkst'!$Q$7:$Q$2010,'LAC 102_Wkst'!$E$7:$E$2010,$C42,'LAC 102_Wkst'!$G$7:$G$2010,$D42,'LAC 102_Wkst'!$L$7:$L$2010,"01",'LAC 102_Wkst'!$N$7:$N$2010,"P5")+SUMIFS('LAC 102_Wkst'!$Q$7:$Q$2010,'LAC 102_Wkst'!$E$7:$E$2010,$C42,'LAC 102_Wkst'!$G$7:$G$2010,$D42,'LAC 102_Wkst'!$L$7:$L$2010,"02",'LAC 102_Wkst'!$N$7:$N$2010,"P5")</f>
        <v>0</v>
      </c>
      <c r="K42" s="411">
        <f>SUMIFS('LAC 102_Wkst'!$AE$7:$AE$2010,'LAC 102_Wkst'!$E$7:$E$2010,$C42,'LAC 102_Wkst'!$G$7:$G$2010,$D42,'LAC 102_Wkst'!$L$7:$L$2010,"01",'LAC 102_Wkst'!$N$7:$N$2010,"P5")+SUMIFS('LAC 102_Wkst'!$AE$7:$AE$2010,'LAC 102_Wkst'!$E$7:$E$2010,$C42,'LAC 102_Wkst'!$G$7:$G$2010,$D42,'LAC 102_Wkst'!$L$7:$L$2010,"02",'LAC 102_Wkst'!$N$7:$N$2010,"P5")</f>
        <v>0</v>
      </c>
      <c r="L42" s="410">
        <f>SUMIFS('LAC 102_Wkst'!$Q$7:$Q$2010,'LAC 102_Wkst'!$E$7:$E$2010,$C42,'LAC 102_Wkst'!$G$7:$G$2010,$D42,'LAC 102_Wkst'!$L$7:$L$2010,"03",'LAC 102_Wkst'!$N$7:$N$2010,"P1")+SUMIFS('LAC 102_Wkst'!$Q$7:$Q$2010,'LAC 102_Wkst'!$E$7:$E$2010,$C42,'LAC 102_Wkst'!$G$7:$G$2010,$D42,'LAC 102_Wkst'!$L$7:$L$2010,"03",'LAC 102_Wkst'!$N$7:$N$2010,"P2")+SUMIFS('LAC 102_Wkst'!$Q$7:$Q$2010,'LAC 102_Wkst'!$E$7:$E$2010,$C42,'LAC 102_Wkst'!$G$7:$G$2010,$D42,'LAC 102_Wkst'!$L$7:$L$2010,"03",'LAC 102_Wkst'!$N$7:$N$2010,"P3")+SUMIFS('LAC 102_Wkst'!$Q$7:$Q$2010,'LAC 102_Wkst'!$E$7:$E$2010,$C42,'LAC 102_Wkst'!$G$7:$G$2010,$D42,'LAC 102_Wkst'!$L$7:$L$2010,"04",'LAC 102_Wkst'!$N$7:$N$2010,"P1")+SUMIFS('LAC 102_Wkst'!$Q$7:$Q$2010,'LAC 102_Wkst'!$E$7:$E$2010,$C42,'LAC 102_Wkst'!$G$7:$G$2010,$D42,'LAC 102_Wkst'!$L$7:$L$2010,"04",'LAC 102_Wkst'!$N$7:$N$2010,"P2")+SUMIFS('LAC 102_Wkst'!$Q$7:$Q$2010,'LAC 102_Wkst'!$E$7:$E$2010,$C42,'LAC 102_Wkst'!$G$7:$G$2010,$D42,'LAC 102_Wkst'!$L$7:$L$2010,"04",'LAC 102_Wkst'!$N$7:$N$2010,"P3")</f>
        <v>0</v>
      </c>
      <c r="M42" s="411">
        <f>SUMIFS('LAC 102_Wkst'!$AE$7:$AE$2010,'LAC 102_Wkst'!$E$7:$E$2010,$C42,'LAC 102_Wkst'!$G$7:$G$2010,$D42,'LAC 102_Wkst'!$L$7:$L$2010,"03",'LAC 102_Wkst'!$N$7:$N$2010,"P1")+SUMIFS('LAC 102_Wkst'!$AE$7:$AE$2010,'LAC 102_Wkst'!$E$7:$E$2010,$C42,'LAC 102_Wkst'!$G$7:$G$2010,$D42,'LAC 102_Wkst'!$L$7:$L$2010,"03",'LAC 102_Wkst'!$N$7:$N$2010,"P2")+SUMIFS('LAC 102_Wkst'!$AE$7:$AE$2010,'LAC 102_Wkst'!$E$7:$E$2010,$C42,'LAC 102_Wkst'!$G$7:$G$2010,$D42,'LAC 102_Wkst'!$L$7:$L$2010,"03",'LAC 102_Wkst'!$N$7:$N$2010,"P3")+SUMIFS('LAC 102_Wkst'!$AE$7:$AE$2010,'LAC 102_Wkst'!$E$7:$E$2010,$C42,'LAC 102_Wkst'!$G$7:$G$2010,$D42,'LAC 102_Wkst'!$L$7:$L$2010,"04",'LAC 102_Wkst'!$N$7:$N$2010,"P1")+SUMIFS('LAC 102_Wkst'!$AE$7:$AE$2010,'LAC 102_Wkst'!$E$7:$E$2010,$C42,'LAC 102_Wkst'!$G$7:$G$2010,$D42,'LAC 102_Wkst'!$L$7:$L$2010,"04",'LAC 102_Wkst'!$N$7:$N$2010,"P2")+SUMIFS('LAC 102_Wkst'!$AE$7:$AE$2010,'LAC 102_Wkst'!$E$7:$E$2010,$C42,'LAC 102_Wkst'!$G$7:$G$2010,$D42,'LAC 102_Wkst'!$L$7:$L$2010,"04",'LAC 102_Wkst'!$N$7:$N$2010,"P3")</f>
        <v>0</v>
      </c>
      <c r="N42" s="410">
        <f>SUMIFS('LAC 102_Wkst'!$Q$7:$Q$2010,'LAC 102_Wkst'!$E$7:$E$2010,$C42,'LAC 102_Wkst'!$G$7:$G$2010,$D42,'LAC 102_Wkst'!$L$7:$L$2010,"03",'LAC 102_Wkst'!$N$7:$N$2010,"P4")+SUMIFS('LAC 102_Wkst'!$Q$7:$Q$2010,'LAC 102_Wkst'!$E$7:$E$2010,$C42,'LAC 102_Wkst'!$G$7:$G$2010,$D42,'LAC 102_Wkst'!$L$7:$L$2010,"04",'LAC 102_Wkst'!$N$7:$N$2010,"P4")</f>
        <v>0</v>
      </c>
      <c r="O42" s="411">
        <f>SUMIFS('LAC 102_Wkst'!$AE$7:$AE$2010,'LAC 102_Wkst'!$E$7:$E$2010,$C42,'LAC 102_Wkst'!$G$7:$G$2010,$D42,'LAC 102_Wkst'!$L$7:$L$2010,"03",'LAC 102_Wkst'!$N$7:$N$2010,"P4")+SUMIFS('LAC 102_Wkst'!$AE$7:$AE$2010,'LAC 102_Wkst'!$E$7:$E$2010,$C42,'LAC 102_Wkst'!$G$7:$G$2010,$D42,'LAC 102_Wkst'!$L$7:$L$2010,"04",'LAC 102_Wkst'!$N$7:$N$2010,"P4")</f>
        <v>0</v>
      </c>
      <c r="P42" s="410">
        <f>SUMIFS('LAC 102_Wkst'!$Q$7:$Q$2010,'LAC 102_Wkst'!$E$7:$E$2010,$C42,'LAC 102_Wkst'!$G$7:$G$2010,$D42,'LAC 102_Wkst'!$L$7:$L$2010,"03",'LAC 102_Wkst'!$N$7:$N$2010,"P5")+SUMIFS('LAC 102_Wkst'!$Q$7:$Q$2010,'LAC 102_Wkst'!$E$7:$E$2010,$C42,'LAC 102_Wkst'!$G$7:$G$2010,$D42,'LAC 102_Wkst'!$L$7:$L$2010,"04",'LAC 102_Wkst'!$N$7:$N$2010,"P5")</f>
        <v>0</v>
      </c>
      <c r="Q42" s="411">
        <f>SUMIFS('LAC 102_Wkst'!$AE$7:$AE$2010,'LAC 102_Wkst'!$E$7:$E$2010,$C42,'LAC 102_Wkst'!$G$7:$G$2010,$D42,'LAC 102_Wkst'!$L$7:$L$2010,"03",'LAC 102_Wkst'!$N$7:$N$2010,"P5")+SUMIFS('LAC 102_Wkst'!$AE$7:$AE$2010,'LAC 102_Wkst'!$E$7:$E$2010,$C42,'LAC 102_Wkst'!$G$7:$G$2010,$D42,'LAC 102_Wkst'!$L$7:$L$2010,"04",'LAC 102_Wkst'!$N$7:$N$2010,"P5")</f>
        <v>0</v>
      </c>
      <c r="R42" s="412">
        <f>SUMIFS('LAC 102_Wkst'!$Q$7:$Q$2010,'LAC 102_Wkst'!$E$7:$E$2010,$C42,'LAC 102_Wkst'!$G$7:$G$2010,$D42,'LAC 102_Wkst'!$L$7:$L$2010,"05",'LAC 102_Wkst'!$N$7:$N$2010,"P1")+SUMIFS('LAC 102_Wkst'!$Q$7:$Q$2010,'LAC 102_Wkst'!$E$7:$E$2010,$C42,'LAC 102_Wkst'!$G$7:$G$2010,$D42,'LAC 102_Wkst'!$L$7:$L$2010,"06",'LAC 102_Wkst'!$N$7:$N$2010,"P1")</f>
        <v>0</v>
      </c>
      <c r="S42" s="411">
        <f>SUMIFS('LAC 102_Wkst'!$AE$7:$AE$2010,'LAC 102_Wkst'!$E$7:$E$2010,$C42,'LAC 102_Wkst'!$G$7:$G$2010,$D42,'LAC 102_Wkst'!$L$7:$L$2010,"05",'LAC 102_Wkst'!$N$7:$N$2010,"P1")+SUMIFS('LAC 102_Wkst'!$AE$7:$AE$2010,'LAC 102_Wkst'!$E$7:$E$2010,$C42,'LAC 102_Wkst'!$G$7:$G$2010,$D42,'LAC 102_Wkst'!$L$7:$L$2010,"06",'LAC 102_Wkst'!$N$7:$N$2010,"P1")</f>
        <v>0</v>
      </c>
      <c r="T42" s="410">
        <f>SUMIFS('LAC 102_Wkst'!$Q$7:$Q$2010,'LAC 102_Wkst'!$E$7:$E$2010,$C42,'LAC 102_Wkst'!$G$7:$G$2010,$D42,'LAC 102_Wkst'!$L$7:$L$2010,"05",'LAC 102_Wkst'!$N$7:$N$2010,"P2")+SUMIFS('LAC 102_Wkst'!$Q$7:$Q$2010,'LAC 102_Wkst'!$E$7:$E$2010,$C42,'LAC 102_Wkst'!$G$7:$G$2010,$D42,'LAC 102_Wkst'!$L$7:$L$2010,"05",'LAC 102_Wkst'!$N$7:$N$2010,"P3")+SUMIFS('LAC 102_Wkst'!$Q$7:$Q$2010,'LAC 102_Wkst'!$E$7:$E$2010,$C42,'LAC 102_Wkst'!$G$7:$G$2010,$D42,'LAC 102_Wkst'!$L$7:$L$2010,"06",'LAC 102_Wkst'!$N$7:$N$2010,"P2")+SUMIFS('LAC 102_Wkst'!$Q$7:$Q$2010,'LAC 102_Wkst'!$E$7:$E$2010,$C42,'LAC 102_Wkst'!$G$7:$G$2010,$D42,'LAC 102_Wkst'!$L$7:$L$2010,"06",'LAC 102_Wkst'!$N$7:$N$2010,"P3")</f>
        <v>0</v>
      </c>
      <c r="U42" s="411">
        <f>SUMIFS('LAC 102_Wkst'!$AE$7:$AE$2010,'LAC 102_Wkst'!$E$7:$E$2010,$C42,'LAC 102_Wkst'!$G$7:$G$2010,$D42,'LAC 102_Wkst'!$L$7:$L$2010,"05",'LAC 102_Wkst'!$N$7:$N$2010,"P2")+SUMIFS('LAC 102_Wkst'!$AE$7:$AE$2010,'LAC 102_Wkst'!$E$7:$E$2010,$C42,'LAC 102_Wkst'!$G$7:$G$2010,$D42,'LAC 102_Wkst'!$L$7:$L$2010,"06",'LAC 102_Wkst'!$N$7:$N$2010,"P3")+SUMIFS('LAC 102_Wkst'!$AE$7:$AE$2010,'LAC 102_Wkst'!$E$7:$E$2010,$C42,'LAC 102_Wkst'!$G$7:$G$2010,$D42,'LAC 102_Wkst'!$L$7:$L$2010,"05",'LAC 102_Wkst'!$N$7:$N$2010,"P2")+SUMIFS('LAC 102_Wkst'!$AE$7:$AE$2010,'LAC 102_Wkst'!$E$7:$E$2010,$C42,'LAC 102_Wkst'!$G$7:$G$2010,$D42,'LAC 102_Wkst'!$L$7:$L$2010,"06",'LAC 102_Wkst'!$N$7:$N$2010,"P3")</f>
        <v>0</v>
      </c>
      <c r="V42" s="410">
        <f>SUMIFS('LAC 102_Wkst'!$Q$7:$Q$2010,'LAC 102_Wkst'!$E$7:$E$2010,$C42,'LAC 102_Wkst'!$G$7:$G$2010,$D42,'LAC 102_Wkst'!$L$7:$L$2010,"05",'LAC 102_Wkst'!$N$7:$N$2010,"P4")+SUMIFS('LAC 102_Wkst'!$Q$7:$Q$2010,'LAC 102_Wkst'!$E$7:$E$2010,$C42,'LAC 102_Wkst'!$G$7:$G$2010,$D42,'LAC 102_Wkst'!$L$7:$L$2010,"06",'LAC 102_Wkst'!$N$7:$N$2010,"P4")</f>
        <v>0</v>
      </c>
      <c r="W42" s="411">
        <f>SUMIFS('LAC 102_Wkst'!$AE$7:$AE$2010,'LAC 102_Wkst'!$E$7:$E$2010,$C42,'LAC 102_Wkst'!$G$7:$G$2010,$D42,'LAC 102_Wkst'!$L$7:$L$2010,"05",'LAC 102_Wkst'!$N$7:$N$2010,"P4")+SUMIFS('LAC 102_Wkst'!$AE$7:$AE$2010,'LAC 102_Wkst'!$E$7:$E$2010,$C42,'LAC 102_Wkst'!$G$7:$G$2010,$D42,'LAC 102_Wkst'!$L$7:$L$2010,"06",'LAC 102_Wkst'!$N$7:$N$2010,"P4")</f>
        <v>0</v>
      </c>
      <c r="X42" s="410">
        <f>SUMIFS('LAC 102_Wkst'!$Q$7:$Q$2010,'LAC 102_Wkst'!$E$7:$E$2010,$C42,'LAC 102_Wkst'!$G$7:$G$2010,$D42,'LAC 102_Wkst'!$L$7:$L$2010,"05",'LAC 102_Wkst'!$N$7:$N$2010,"P5")+SUMIFS('LAC 102_Wkst'!$Q$7:$Q$2010,'LAC 102_Wkst'!$E$7:$E$2010,$C42,'LAC 102_Wkst'!$G$7:$G$2010,$D42,'LAC 102_Wkst'!$L$7:$L$2010,"06",'LAC 102_Wkst'!$N$7:$N$2010,"P5")</f>
        <v>0</v>
      </c>
      <c r="Y42" s="411">
        <f>SUMIFS('LAC 102_Wkst'!$AE$7:$AE$2010,'LAC 102_Wkst'!$E$7:$E$2010,$C42,'LAC 102_Wkst'!$G$7:$G$2010,$D42,'LAC 102_Wkst'!$L$7:$L$2010,"05",'LAC 102_Wkst'!$N$7:$N$2010,"P5")+SUMIFS('LAC 102_Wkst'!$AE$7:$AE$2010,'LAC 102_Wkst'!$E$7:$E$2010,$C42,'LAC 102_Wkst'!$G$7:$G$2010,$D42,'LAC 102_Wkst'!$L$7:$L$2010,"06",'LAC 102_Wkst'!$N$7:$N$2010,"P5")</f>
        <v>0</v>
      </c>
      <c r="Z42" s="410">
        <f>SUMIFS('LAC 102_Wkst'!$Q$7:$Q$2010,'LAC 102_Wkst'!$E$7:$E$2010,$C42,'LAC 102_Wkst'!$G$7:$G$2010,$D42,'LAC 102_Wkst'!$L$7:$L$2010,"07",'LAC 102_Wkst'!$N$7:$N$2010,"P1")+SUMIFS('LAC 102_Wkst'!$Q$7:$Q$2010,'LAC 102_Wkst'!$E$7:$E$2010,$C42,'LAC 102_Wkst'!$G$7:$G$2010,$D42,'LAC 102_Wkst'!$L$7:$L$2010,"07",'LAC 102_Wkst'!$N$7:$N$2010,"P2")+SUMIFS('LAC 102_Wkst'!$Q$7:$Q$2010,'LAC 102_Wkst'!$E$7:$E$2010,$C42,'LAC 102_Wkst'!$G$7:$G$2010,$D42,'LAC 102_Wkst'!$L$7:$L$2010,"07",'LAC 102_Wkst'!$N$7:$N$2010,"P3")</f>
        <v>0</v>
      </c>
      <c r="AA42" s="411">
        <f>SUMIFS('LAC 102_Wkst'!$AE$7:$AE$2010,'LAC 102_Wkst'!$E$7:$E$2010,$C42,'LAC 102_Wkst'!$G$7:$G$2010,$D42,'LAC 102_Wkst'!$L$7:$L$2010,"07",'LAC 102_Wkst'!$N$7:$N$2010,"P1")+SUMIFS('LAC 102_Wkst'!$AE$7:$AE$2010,'LAC 102_Wkst'!$E$7:$E$2010,$C42,'LAC 102_Wkst'!$G$7:$G$2010,$D42,'LAC 102_Wkst'!$L$7:$L$2010,"07",'LAC 102_Wkst'!$N$7:$N$2010,"P2")+SUMIFS('LAC 102_Wkst'!$AE$7:$AE$2010,'LAC 102_Wkst'!$E$7:$E$2010,$C42,'LAC 102_Wkst'!$G$7:$G$2010,$D42,'LAC 102_Wkst'!$L$7:$L$2010,"07",'LAC 102_Wkst'!$N$7:$N$2010,"P3")</f>
        <v>0</v>
      </c>
      <c r="AB42" s="410">
        <f>SUMIFS('LAC 102_Wkst'!$Q$7:$Q$2010,'LAC 102_Wkst'!$E$7:$E$2010,$C42,'LAC 102_Wkst'!$G$7:$G$2010,$D42,'LAC 102_Wkst'!$L$7:$L$2010,"07",'LAC 102_Wkst'!$N$7:$N$2010,"P4")</f>
        <v>0</v>
      </c>
      <c r="AC42" s="411">
        <f>SUMIFS('LAC 102_Wkst'!$AE$7:$AE$2010,'LAC 102_Wkst'!$E$7:$E$2010,$C42,'LAC 102_Wkst'!$G$7:$G$2010,$D42,'LAC 102_Wkst'!$L$7:$L$2010,"07",'LAC 102_Wkst'!$N$7:$N$2010,"P4")</f>
        <v>0</v>
      </c>
      <c r="AD42" s="410">
        <f>SUMIFS('LAC 102_Wkst'!$Q$7:$Q$2010,'LAC 102_Wkst'!$E$7:$E$2010,$C42,'LAC 102_Wkst'!$G$7:$G$2010,$D42,'LAC 102_Wkst'!$L$7:$L$2010,"07",'LAC 102_Wkst'!$N$7:$N$2010,"P5")</f>
        <v>0</v>
      </c>
      <c r="AE42" s="411">
        <f>SUMIFS('LAC 102_Wkst'!$AE$7:$AE$2010,'LAC 102_Wkst'!$E$7:$E$2010,$C42,'LAC 102_Wkst'!$G$7:$G$2010,$D42,'LAC 102_Wkst'!$L$7:$L$2010,"07",'LAC 102_Wkst'!$N$7:$N$2010,"P5")</f>
        <v>0</v>
      </c>
      <c r="AF42" s="410">
        <f>SUMIFS('LAC 102_Wkst'!$Q$7:$Q$2010,'LAC 102_Wkst'!$E$7:$E$2010,$C42,'LAC 102_Wkst'!$G$7:$G$2010,$D42,'LAC 102_Wkst'!$L$7:$L$2010,"08",'LAC 102_Wkst'!$N$7:$N$2010,"P1")+SUMIFS('LAC 102_Wkst'!$Q$7:$Q$2010,'LAC 102_Wkst'!$E$7:$E$2010,$C42,'LAC 102_Wkst'!$G$7:$G$2010,$D42,'LAC 102_Wkst'!$L$7:$L$2010,"08",'LAC 102_Wkst'!$N$7:$N$2010,"P2")+SUMIFS('LAC 102_Wkst'!$Q$7:$Q$2010,'LAC 102_Wkst'!$E$7:$E$2010,$C42,'LAC 102_Wkst'!$G$7:$G$2010,$D42,'LAC 102_Wkst'!$L$7:$L$2010,"08",'LAC 102_Wkst'!$N$7:$N$2010,"P3")</f>
        <v>0</v>
      </c>
      <c r="AG42" s="411">
        <f>SUMIFS('LAC 102_Wkst'!$AE$7:$AE$2010,'LAC 102_Wkst'!$E$7:$E$2010,$C42,'LAC 102_Wkst'!$G$7:$G$2010,$D42,'LAC 102_Wkst'!$L$7:$L$2010,"08",'LAC 102_Wkst'!$N$7:$N$2010,"P1")+SUMIFS('LAC 102_Wkst'!$AE$7:$AE$2010,'LAC 102_Wkst'!$E$7:$E$2010,$C42,'LAC 102_Wkst'!$G$7:$G$2010,$D42,'LAC 102_Wkst'!$L$7:$L$2010,"08",'LAC 102_Wkst'!$N$7:$N$2010,"P2")+SUMIFS('LAC 102_Wkst'!$AE$7:$AE$2010,'LAC 102_Wkst'!$E$7:$E$2010,$C42,'LAC 102_Wkst'!$G$7:$G$2010,$D42,'LAC 102_Wkst'!$L$7:$L$2010,"08",'LAC 102_Wkst'!$N$7:$N$2010,"P3")</f>
        <v>0</v>
      </c>
      <c r="AH42" s="410">
        <f>SUMIFS('LAC 102_Wkst'!$Q$7:$Q$2010,'LAC 102_Wkst'!$E$7:$E$2010,$C42,'LAC 102_Wkst'!$G$7:$G$2010,$D42,'LAC 102_Wkst'!$L$7:$L$2010,"08",'LAC 102_Wkst'!$N$7:$N$2010,"P4")</f>
        <v>0</v>
      </c>
      <c r="AI42" s="411">
        <f>SUMIFS('LAC 102_Wkst'!$AE$7:$AE$2010,'LAC 102_Wkst'!$E$7:$E$2010,$C42,'LAC 102_Wkst'!$G$7:$G$2010,$D42,'LAC 102_Wkst'!$L$7:$L$2010,"08",'LAC 102_Wkst'!$N$7:$N$2010,"P4")</f>
        <v>0</v>
      </c>
      <c r="AJ42" s="410">
        <f>SUMIFS('LAC 102_Wkst'!$Q$7:$Q$2010,'LAC 102_Wkst'!$E$7:$E$2010,$C42,'LAC 102_Wkst'!$G$7:$G$2010,$D42,'LAC 102_Wkst'!$L$7:$L$2010,"08",'LAC 102_Wkst'!$N$7:$N$2010,"P5")</f>
        <v>0</v>
      </c>
      <c r="AK42" s="411">
        <f>SUMIFS('LAC 102_Wkst'!$AE$7:$AE$2010,'LAC 102_Wkst'!$E$7:$E$2010,$C42,'LAC 102_Wkst'!$G$7:$G$2010,$D42,'LAC 102_Wkst'!$L$7:$L$2010,"08",'LAC 102_Wkst'!$N$7:$N$2010,"P5")</f>
        <v>0</v>
      </c>
      <c r="AL42" s="410">
        <f>SUMIFS('LAC 102_Wkst'!$Q$7:$Q$2010,'LAC 102_Wkst'!$E$7:$E$2010,$C42,'LAC 102_Wkst'!$G$7:$G$2010,$D42,'LAC 102_Wkst'!$L$7:$L$2010,"09",'LAC 102_Wkst'!$N$7:$N$2010,"P1")+SUMIFS('LAC 102_Wkst'!$Q$7:$Q$2010,'LAC 102_Wkst'!$E$7:$E$2010,$C42,'LAC 102_Wkst'!$G$7:$G$2010,$D42,'LAC 102_Wkst'!$L$7:$L$2010,"09",'LAC 102_Wkst'!$N$7:$N$2010,"P2")+SUMIFS('LAC 102_Wkst'!$Q$7:$Q$2010,'LAC 102_Wkst'!$E$7:$E$2010,$C42,'LAC 102_Wkst'!$G$7:$G$2010,$D42,'LAC 102_Wkst'!$L$7:$L$2010,"09",'LAC 102_Wkst'!$N$7:$N$2010,"P3")+SUMIFS('LAC 102_Wkst'!$Q$7:$Q$2010,'LAC 102_Wkst'!$E$7:$E$2010,$C42,'LAC 102_Wkst'!$G$7:$G$2010,$D42,'LAC 102_Wkst'!$L$7:$L$2010,"09",'LAC 102_Wkst'!$N$7:$N$2010,"P4")</f>
        <v>0</v>
      </c>
      <c r="AM42" s="411">
        <f>SUMIFS('LAC 102_Wkst'!$AE$7:$AE$2010,'LAC 102_Wkst'!$E$7:$E$2010,$C42,'LAC 102_Wkst'!$G$7:$G$2010,$D42,'LAC 102_Wkst'!$L$7:$L$2010,"09",'LAC 102_Wkst'!$N$7:$N$2010,"P1")+SUMIFS('LAC 102_Wkst'!$AE$7:$AE$2010,'LAC 102_Wkst'!$E$7:$E$2010,$C42,'LAC 102_Wkst'!$G$7:$G$2010,$D42,'LAC 102_Wkst'!$L$7:$L$2010,"09",'LAC 102_Wkst'!$N$7:$N$2010,"P2")+SUMIFS('LAC 102_Wkst'!$AE$7:$AE$2010,'LAC 102_Wkst'!$E$7:$E$2010,$C42,'LAC 102_Wkst'!$G$7:$G$2010,$D42,'LAC 102_Wkst'!$L$7:$L$2010,"09",'LAC 102_Wkst'!$N$7:$N$2010,"P3")+SUMIFS('LAC 102_Wkst'!$AE$7:$AE$2010,'LAC 102_Wkst'!$E$7:$E$2010,$C42,'LAC 102_Wkst'!$G$7:$G$2010,$D42,'LAC 102_Wkst'!$L$7:$L$2010,"09",'LAC 102_Wkst'!$N$7:$N$2010,"P4")</f>
        <v>0</v>
      </c>
      <c r="AN42" s="410">
        <f>SUMIFS('LAC 102_Wkst'!$Q$7:$Q$2010,'LAC 102_Wkst'!$E$7:$E$2010,$C42,'LAC 102_Wkst'!$G$7:$G$2010,$D42,'LAC 102_Wkst'!$L$7:$L$2010,"09",'LAC 102_Wkst'!$N$7:$N$2010,"P5")</f>
        <v>0</v>
      </c>
      <c r="AO42" s="411">
        <f>SUMIFS('LAC 102_Wkst'!$AE$7:$AE$2010,'LAC 102_Wkst'!$E$7:$E$2010,$C42,'LAC 102_Wkst'!$G$7:$G$2010,$D42,'LAC 102_Wkst'!$L$7:$L$2010,"09",'LAC 102_Wkst'!$N$7:$N$2010,"P5")</f>
        <v>0</v>
      </c>
      <c r="AP42" s="410">
        <f>SUMIFS('LAC 102_Wkst'!$Q$7:$Q$2010,'LAC 102_Wkst'!$E$7:$E$2010,$C42,'LAC 102_Wkst'!$G$7:$G$2010,$D42,'LAC 102_Wkst'!$L$7:$L$2010,"10",'LAC 102_Wkst'!$N$7:$N$2010,"P1")+SUMIFS('LAC 102_Wkst'!$Q$7:$Q$2010,'LAC 102_Wkst'!$E$7:$E$2010,$C42,'LAC 102_Wkst'!$G$7:$G$2010,$D42,'LAC 102_Wkst'!$L$7:$L$2010,"10",'LAC 102_Wkst'!$N$7:$N$2010,"P2")+SUMIFS('LAC 102_Wkst'!$Q$7:$Q$2010,'LAC 102_Wkst'!$E$7:$E$2010,$C42,'LAC 102_Wkst'!$G$7:$G$2010,$D42,'LAC 102_Wkst'!$L$7:$L$2010,"10",'LAC 102_Wkst'!$N$7:$N$2010,"P3")+SUMIFS('LAC 102_Wkst'!$Q$7:$Q$2010,'LAC 102_Wkst'!$E$7:$E$2010,$C42,'LAC 102_Wkst'!$G$7:$G$2010,$D42,'LAC 102_Wkst'!$L$7:$L$2010,"10",'LAC 102_Wkst'!$N$7:$N$2010,"P4")</f>
        <v>0</v>
      </c>
      <c r="AQ42" s="411">
        <f>SUMIFS('LAC 102_Wkst'!$AE$7:$AE$2010,'LAC 102_Wkst'!$E$7:$E$2010,$C42,'LAC 102_Wkst'!$G$7:$G$2010,$D42,'LAC 102_Wkst'!$L$7:$L$2010,"10",'LAC 102_Wkst'!$N$7:$N$2010,"P1")+SUMIFS('LAC 102_Wkst'!$AE$7:$AE$2010,'LAC 102_Wkst'!$E$7:$E$2010,$C42,'LAC 102_Wkst'!$G$7:$G$2010,$D42,'LAC 102_Wkst'!$L$7:$L$2010,"10",'LAC 102_Wkst'!$N$7:$N$2010,"P2")+SUMIFS('LAC 102_Wkst'!$AE$7:$AE$2010,'LAC 102_Wkst'!$E$7:$E$2010,$C42,'LAC 102_Wkst'!$G$7:$G$2010,$D42,'LAC 102_Wkst'!$L$7:$L$2010,"10",'LAC 102_Wkst'!$N$7:$N$2010,"P3")+SUMIFS('LAC 102_Wkst'!$AE$7:$AE$2010,'LAC 102_Wkst'!$E$7:$E$2010,$C42,'LAC 102_Wkst'!$G$7:$G$2010,$D42,'LAC 102_Wkst'!$L$7:$L$2010,"10",'LAC 102_Wkst'!$N$7:$N$2010,"P4")</f>
        <v>0</v>
      </c>
      <c r="AR42" s="410">
        <f>SUMIFS('LAC 102_Wkst'!$Q$7:$Q$2010,'LAC 102_Wkst'!$E$7:$E$2010,$C42,'LAC 102_Wkst'!$G$7:$G$2010,$D42,'LAC 102_Wkst'!$L$7:$L$2010,"10",'LAC 102_Wkst'!$N$7:$N$2010,"P5")</f>
        <v>0</v>
      </c>
      <c r="AS42" s="411">
        <f>SUMIFS('LAC 102_Wkst'!$AE$7:$AE$2010,'LAC 102_Wkst'!$E$7:$E$2010,$C42,'LAC 102_Wkst'!$G$7:$G$2010,$D42,'LAC 102_Wkst'!$L$7:$L$2010,"10",'LAC 102_Wkst'!$N$7:$N$2010,"P5")</f>
        <v>0</v>
      </c>
      <c r="AT42" s="410">
        <f>SUMIFS('LAC 102_Wkst'!$Q$7:$Q$2010,'LAC 102_Wkst'!$E$7:$E$2010,$C42,'LAC 102_Wkst'!$G$7:$G$2010,$D42,'LAC 102_Wkst'!$L$7:$L$2010,"11",'LAC 102_Wkst'!$N$7:$N$2010,"P1")+SUMIFS('LAC 102_Wkst'!$Q$7:$Q$2010,'LAC 102_Wkst'!$E$7:$E$2010,$C42,'LAC 102_Wkst'!$G$7:$G$2010,$D42,'LAC 102_Wkst'!$L$7:$L$2010,"12",'LAC 102_Wkst'!$N$7:$N$2010,"P1")</f>
        <v>0</v>
      </c>
      <c r="AU42" s="411">
        <f>SUMIFS('LAC 102_Wkst'!$AE$7:$AE$2010,'LAC 102_Wkst'!$E$7:$E$2010,$C42,'LAC 102_Wkst'!$G$7:$G$2010,$D42,'LAC 102_Wkst'!$L$7:$L$2010,"11",'LAC 102_Wkst'!$N$7:$N$2010,"P1")+SUMIFS('LAC 102_Wkst'!$AE$7:$AE$2010,'LAC 102_Wkst'!$E$7:$E$2010,$C42,'LAC 102_Wkst'!$G$7:$G$2010,$D42,'LAC 102_Wkst'!$L$7:$L$2010,"12",'LAC 102_Wkst'!$N$7:$N$2010,"P1")</f>
        <v>0</v>
      </c>
      <c r="AV42" s="410">
        <f>SUMIFS('LAC 102_Wkst'!$Q$7:$Q$2010,'LAC 102_Wkst'!$E$7:$E$2010,$C42,'LAC 102_Wkst'!$G$7:$G$2010,$D42,'LAC 102_Wkst'!$L$7:$L$2010,"11",'LAC 102_Wkst'!$N$7:$N$2010,"P2")+SUMIFS('LAC 102_Wkst'!$Q$7:$Q$2010,'LAC 102_Wkst'!$E$7:$E$2010,$C42,'LAC 102_Wkst'!$G$7:$G$2010,$D42,'LAC 102_Wkst'!$L$7:$L$2010,"12",'LAC 102_Wkst'!$N$7:$N$2010,"P3")+SUMIFS('LAC 102_Wkst'!$Q$7:$Q$2010,'LAC 102_Wkst'!$E$7:$E$2010,$C42,'LAC 102_Wkst'!$G$7:$G$2010,$D42,'LAC 102_Wkst'!$L$7:$L$2010,"11",'LAC 102_Wkst'!$N$7:$N$2010,"P2")+SUMIFS('LAC 102_Wkst'!$Q$7:$Q$2010,'LAC 102_Wkst'!$E$7:$E$2010,$C42,'LAC 102_Wkst'!$G$7:$G$2010,$D42,'LAC 102_Wkst'!$L$7:$L$2010,"12",'LAC 102_Wkst'!$N$7:$N$2010,"P3")</f>
        <v>0</v>
      </c>
      <c r="AW42" s="411">
        <f>SUMIFS('LAC 102_Wkst'!$AE$7:$AE$2010,'LAC 102_Wkst'!$E$7:$E$2010,$C42,'LAC 102_Wkst'!$G$7:$G$2010,$D42,'LAC 102_Wkst'!$L$7:$L$2010,"11",'LAC 102_Wkst'!$N$7:$N$2010,"P2")+SUMIFS('LAC 102_Wkst'!$AE$7:$AE$2010,'LAC 102_Wkst'!$E$7:$E$2010,$C42,'LAC 102_Wkst'!$G$7:$G$2010,$D42,'LAC 102_Wkst'!$L$7:$L$2010,"12",'LAC 102_Wkst'!$N$7:$N$2010,"P3")+SUMIFS('LAC 102_Wkst'!$AE$7:$AE$2010,'LAC 102_Wkst'!$E$7:$E$2010,$C42,'LAC 102_Wkst'!$G$7:$G$2010,$D42,'LAC 102_Wkst'!$L$7:$L$2010,"11",'LAC 102_Wkst'!$N$7:$N$2010,"P2")+SUMIFS('LAC 102_Wkst'!$AE$7:$AE$2010,'LAC 102_Wkst'!$E$7:$E$2010,$C42,'LAC 102_Wkst'!$G$7:$G$2010,$D42,'LAC 102_Wkst'!$L$7:$L$2010,"12",'LAC 102_Wkst'!$N$7:$N$2010,"P3")</f>
        <v>0</v>
      </c>
      <c r="AX42" s="410">
        <f>SUMIFS('LAC 102_Wkst'!$Q$7:$Q$2010,'LAC 102_Wkst'!$E$7:$E$2010,$C42,'LAC 102_Wkst'!$G$7:$G$2010,$D42,'LAC 102_Wkst'!$L$7:$L$2010,"11",'LAC 102_Wkst'!$N$7:$N$2010,"P4")+SUMIFS('LAC 102_Wkst'!$Q$7:$Q$2010,'LAC 102_Wkst'!$E$7:$E$2010,$C42,'LAC 102_Wkst'!$G$7:$G$2010,$D42,'LAC 102_Wkst'!$L$7:$L$2010,"12",'LAC 102_Wkst'!$N$7:$N$2010,"P4")</f>
        <v>0</v>
      </c>
      <c r="AY42" s="411">
        <f>SUMIFS('LAC 102_Wkst'!$AE$7:$AE$2010,'LAC 102_Wkst'!$E$7:$E$2010,$C42,'LAC 102_Wkst'!$G$7:$G$2010,$D42,'LAC 102_Wkst'!$L$7:$L$2010,"11",'LAC 102_Wkst'!$N$7:$N$2010,"P4")+SUMIFS('LAC 102_Wkst'!$AE$7:$AE$2010,'LAC 102_Wkst'!$E$7:$E$2010,$C42,'LAC 102_Wkst'!$G$7:$G$2010,$D42,'LAC 102_Wkst'!$L$7:$L$2010,"12",'LAC 102_Wkst'!$N$7:$N$2010,"P4")</f>
        <v>0</v>
      </c>
      <c r="AZ42" s="410">
        <f>SUMIFS('LAC 102_Wkst'!$Q$7:$Q$2010,'LAC 102_Wkst'!$E$7:$E$2010,$C42,'LAC 102_Wkst'!$G$7:$G$2010,$D42,'LAC 102_Wkst'!$L$7:$L$2010,"11",'LAC 102_Wkst'!$N$7:$N$2010,"P5")+SUMIFS('LAC 102_Wkst'!$Q$7:$Q$2010,'LAC 102_Wkst'!$E$7:$E$2010,$C42,'LAC 102_Wkst'!$G$7:$G$2010,$D42,'LAC 102_Wkst'!$L$7:$L$2010,"12",'LAC 102_Wkst'!$N$7:$N$2010,"P5")</f>
        <v>0</v>
      </c>
      <c r="BA42" s="411">
        <f>SUMIFS('LAC 102_Wkst'!$AE$7:$AE$2010,'LAC 102_Wkst'!$E$7:$E$2010,$C42,'LAC 102_Wkst'!$G$7:$G$2010,$D42,'LAC 102_Wkst'!$L$7:$L$2010,"11",'LAC 102_Wkst'!$N$7:$N$2010,"P5")+SUMIFS('LAC 102_Wkst'!$AE$7:$AE$2010,'LAC 102_Wkst'!$E$7:$E$2010,$C42,'LAC 102_Wkst'!$G$7:$G$2010,$D42,'LAC 102_Wkst'!$L$7:$L$2010,"12",'LAC 102_Wkst'!$N$7:$N$2010,"P5")</f>
        <v>0</v>
      </c>
      <c r="BB42" s="410">
        <f>SUMIFS('LAC 102_Wkst'!$Q$7:$Q$2010,'LAC 102_Wkst'!$E$7:$E$2010,$C42,'LAC 102_Wkst'!$G$7:$G$2010,$D42,'LAC 102_Wkst'!$L$7:$L$2010,"13",'LAC 102_Wkst'!$N$7:$N$2010,"P1")+SUMIFS('LAC 102_Wkst'!$Q$7:$Q$2010,'LAC 102_Wkst'!$E$7:$E$2010,$C42,'LAC 102_Wkst'!$G$7:$G$2010,$D42,'LAC 102_Wkst'!$L$7:$L$2010,"13",'LAC 102_Wkst'!$N$7:$N$2010,"P2")+SUMIFS('LAC 102_Wkst'!$Q$7:$Q$2010,'LAC 102_Wkst'!$E$7:$E$2010,$C42,'LAC 102_Wkst'!$G$7:$G$2010,$D42,'LAC 102_Wkst'!$L$7:$L$2010,"13",'LAC 102_Wkst'!$N$7:$N$2010,"P3")+SUMIFS('LAC 102_Wkst'!$Q$7:$Q$2010,'LAC 102_Wkst'!$E$7:$E$2010,$C42,'LAC 102_Wkst'!$G$7:$G$2010,$D42,'LAC 102_Wkst'!$L$7:$L$2010,"13",'LAC 102_Wkst'!$N$7:$N$2010,"P4")</f>
        <v>0</v>
      </c>
      <c r="BC42" s="411">
        <f>SUMIFS('LAC 102_Wkst'!$AE$7:$AE$2010,'LAC 102_Wkst'!$E$7:$E$2010,$C42,'LAC 102_Wkst'!$G$7:$G$2010,$D42,'LAC 102_Wkst'!$L$7:$L$2010,"13",'LAC 102_Wkst'!$N$7:$N$2010,"P1")+SUMIFS('LAC 102_Wkst'!$AE$7:$AE$2010,'LAC 102_Wkst'!$E$7:$E$2010,$C42,'LAC 102_Wkst'!$G$7:$G$2010,$D42,'LAC 102_Wkst'!$L$7:$L$2010,"13",'LAC 102_Wkst'!$N$7:$N$2010,"P2")+SUMIFS('LAC 102_Wkst'!$AE$7:$AE$2010,'LAC 102_Wkst'!$E$7:$E$2010,$C42,'LAC 102_Wkst'!$G$7:$G$2010,$D42,'LAC 102_Wkst'!$L$7:$L$2010,"13",'LAC 102_Wkst'!$N$7:$N$2010,"P3")+SUMIFS('LAC 102_Wkst'!$AE$7:$AE$2010,'LAC 102_Wkst'!$E$7:$E$2010,$C42,'LAC 102_Wkst'!$G$7:$G$2010,$D42,'LAC 102_Wkst'!$L$7:$L$2010,"13",'LAC 102_Wkst'!$N$7:$N$2010,"P4")</f>
        <v>0</v>
      </c>
      <c r="BD42" s="410">
        <f>SUMIFS('LAC 102_Wkst'!$Q$7:$Q$2010,'LAC 102_Wkst'!$E$7:$E$2010,$C42,'LAC 102_Wkst'!$G$7:$G$2010,$D42,'LAC 102_Wkst'!$L$7:$L$2010,"13",'LAC 102_Wkst'!$N$7:$N$2010,"P5")</f>
        <v>0</v>
      </c>
      <c r="BE42" s="411">
        <f>SUMIFS('LAC 102_Wkst'!$AE$7:$AE$2010,'LAC 102_Wkst'!$E$7:$E$2010,$C42,'LAC 102_Wkst'!$G$7:$G$2010,$D42,'LAC 102_Wkst'!$L$7:$L$2010,"13",'LAC 102_Wkst'!$N$7:$N$2010,"P5")</f>
        <v>0</v>
      </c>
      <c r="BF42" s="407">
        <f t="shared" si="0"/>
        <v>0</v>
      </c>
    </row>
    <row r="43" spans="1:58" x14ac:dyDescent="0.2">
      <c r="A43" s="401">
        <v>24</v>
      </c>
      <c r="B43" s="1236"/>
      <c r="C43" s="1235"/>
      <c r="D43" s="1237"/>
      <c r="E43" s="1222">
        <f>IF(CONCATENATE(C43,D43)&gt;"6069",1,SUMIFS('LAC 102_Wkst'!$Q$7:$Q$2010,'LAC 102_Wkst'!$E$7:$E$2010,Schedule_B!$C43,'LAC 102_Wkst'!$G$7:$G$2010,Schedule_B!$D43))</f>
        <v>0</v>
      </c>
      <c r="F43" s="408">
        <f>SUMIFS('LAC 102_Wkst'!$Q$7:$Q$2010,'LAC 102_Wkst'!$E$7:$E$2010,$C43,'LAC 102_Wkst'!$G$7:$G$2010,$D43,'LAC 102_Wkst'!$L$7:$L$2010,"01",'LAC 102_Wkst'!$N$7:$N$2010,"P1")+SUMIFS('LAC 102_Wkst'!$Q$7:$Q$2010,'LAC 102_Wkst'!$E$7:$E$2010,$C43,'LAC 102_Wkst'!$G$7:$G$2010,$D43,'LAC 102_Wkst'!$L$7:$L$2010,"01",'LAC 102_Wkst'!$N$7:$N$2010,"P2")+SUMIFS('LAC 102_Wkst'!$Q$7:$Q$2010,'LAC 102_Wkst'!$E$7:$E$2010,$C43,'LAC 102_Wkst'!$G$7:$G$2010,$D43,'LAC 102_Wkst'!$L$7:$L$2010,"01",'LAC 102_Wkst'!$N$7:$N$2010,"P3")+SUMIFS('LAC 102_Wkst'!$Q$7:$Q$2010,'LAC 102_Wkst'!$E$7:$E$2010,$C43,'LAC 102_Wkst'!$G$7:$G$2010,$D43,'LAC 102_Wkst'!$L$7:$L$2010,"02",'LAC 102_Wkst'!$N$7:$N$2010,"P1")+SUMIFS('LAC 102_Wkst'!$Q$7:$Q$2010,'LAC 102_Wkst'!$E$7:$E$2010,$C43,'LAC 102_Wkst'!$G$7:$G$2010,$D43,'LAC 102_Wkst'!$L$7:$L$2010,"02",'LAC 102_Wkst'!$N$7:$N$2010,"P2")+SUMIFS('LAC 102_Wkst'!$Q$7:$Q$2010,'LAC 102_Wkst'!$E$7:$E$2010,$C43,'LAC 102_Wkst'!$G$7:$G$2010,$D43,'LAC 102_Wkst'!$L$7:$L$2010,"02",'LAC 102_Wkst'!$N$7:$N$2010,"P3")</f>
        <v>0</v>
      </c>
      <c r="G43" s="409">
        <f>SUMIFS('LAC 102_Wkst'!$AE$7:$AE$2010,'LAC 102_Wkst'!$E$7:$E$2010,$C43,'LAC 102_Wkst'!$G$7:$G$2010,$D43,'LAC 102_Wkst'!$L$7:$L$2010,"01",'LAC 102_Wkst'!$N$7:$N$2010,"P1")+SUMIFS('LAC 102_Wkst'!$AE$7:$AE$2010,'LAC 102_Wkst'!$E$7:$E$2010,$C43,'LAC 102_Wkst'!$G$7:$G$2010,$D43,'LAC 102_Wkst'!$L$7:$L$2010,"01",'LAC 102_Wkst'!$N$7:$N$2010,"P2")+SUMIFS('LAC 102_Wkst'!$AE$7:$AE$2010,'LAC 102_Wkst'!$E$7:$E$2010,$C43,'LAC 102_Wkst'!$G$7:$G$2010,$D43,'LAC 102_Wkst'!$L$7:$L$2010,"01",'LAC 102_Wkst'!$N$7:$N$2010,"P3")+SUMIFS('LAC 102_Wkst'!$AE$7:$AE$2010,'LAC 102_Wkst'!$E$7:$E$2010,$C43,'LAC 102_Wkst'!$G$7:$G$2010,$D43,'LAC 102_Wkst'!$L$7:$L$2010,"02",'LAC 102_Wkst'!$N$7:$N$2010,"P1")+SUMIFS('LAC 102_Wkst'!$AE$7:$AE$2010,'LAC 102_Wkst'!$E$7:$E$2010,$C43,'LAC 102_Wkst'!$G$7:$G$2010,$D43,'LAC 102_Wkst'!$L$7:$L$2010,"02",'LAC 102_Wkst'!$N$7:$N$2010,"P2")+SUMIFS('LAC 102_Wkst'!$AE$7:$AE$2010,'LAC 102_Wkst'!$E$7:$E$2010,$C43,'LAC 102_Wkst'!$G$7:$G$2010,$D43,'LAC 102_Wkst'!$L$7:$L$2010,"02",'LAC 102_Wkst'!$N$7:$N$2010,"P3")</f>
        <v>0</v>
      </c>
      <c r="H43" s="410">
        <f>SUMIFS('LAC 102_Wkst'!$Q$7:$Q$2010,'LAC 102_Wkst'!$E$7:$E$2010,$C43,'LAC 102_Wkst'!$G$7:$G$2010,$D43,'LAC 102_Wkst'!$L$7:$L$2010,"01",'LAC 102_Wkst'!$N$7:$N$2010,"P4")+SUMIFS('LAC 102_Wkst'!$Q$7:$Q$2010,'LAC 102_Wkst'!$E$7:$E$2010,$C43,'LAC 102_Wkst'!$G$7:$G$2010,$D43,'LAC 102_Wkst'!$L$7:$L$2010,"02",'LAC 102_Wkst'!$N$7:$N$2010,"P4")</f>
        <v>0</v>
      </c>
      <c r="I43" s="411">
        <f>SUMIFS('LAC 102_Wkst'!$AE$7:$AE$2010,'LAC 102_Wkst'!$E$7:$E$2010,$C43,'LAC 102_Wkst'!$G$7:$G$2010,$D43,'LAC 102_Wkst'!$L$7:$L$2010,"01",'LAC 102_Wkst'!$N$7:$N$2010,"P4")+SUMIFS('LAC 102_Wkst'!$AE$7:$AE$2010,'LAC 102_Wkst'!$E$7:$E$2010,$C43,'LAC 102_Wkst'!$G$7:$G$2010,$D43,'LAC 102_Wkst'!$L$7:$L$2010,"02",'LAC 102_Wkst'!$N$7:$N$2010,"P4")</f>
        <v>0</v>
      </c>
      <c r="J43" s="410">
        <f>SUMIFS('LAC 102_Wkst'!$Q$7:$Q$2010,'LAC 102_Wkst'!$E$7:$E$2010,$C43,'LAC 102_Wkst'!$G$7:$G$2010,$D43,'LAC 102_Wkst'!$L$7:$L$2010,"01",'LAC 102_Wkst'!$N$7:$N$2010,"P5")+SUMIFS('LAC 102_Wkst'!$Q$7:$Q$2010,'LAC 102_Wkst'!$E$7:$E$2010,$C43,'LAC 102_Wkst'!$G$7:$G$2010,$D43,'LAC 102_Wkst'!$L$7:$L$2010,"02",'LAC 102_Wkst'!$N$7:$N$2010,"P5")</f>
        <v>0</v>
      </c>
      <c r="K43" s="411">
        <f>SUMIFS('LAC 102_Wkst'!$AE$7:$AE$2010,'LAC 102_Wkst'!$E$7:$E$2010,$C43,'LAC 102_Wkst'!$G$7:$G$2010,$D43,'LAC 102_Wkst'!$L$7:$L$2010,"01",'LAC 102_Wkst'!$N$7:$N$2010,"P5")+SUMIFS('LAC 102_Wkst'!$AE$7:$AE$2010,'LAC 102_Wkst'!$E$7:$E$2010,$C43,'LAC 102_Wkst'!$G$7:$G$2010,$D43,'LAC 102_Wkst'!$L$7:$L$2010,"02",'LAC 102_Wkst'!$N$7:$N$2010,"P5")</f>
        <v>0</v>
      </c>
      <c r="L43" s="410">
        <f>SUMIFS('LAC 102_Wkst'!$Q$7:$Q$2010,'LAC 102_Wkst'!$E$7:$E$2010,$C43,'LAC 102_Wkst'!$G$7:$G$2010,$D43,'LAC 102_Wkst'!$L$7:$L$2010,"03",'LAC 102_Wkst'!$N$7:$N$2010,"P1")+SUMIFS('LAC 102_Wkst'!$Q$7:$Q$2010,'LAC 102_Wkst'!$E$7:$E$2010,$C43,'LAC 102_Wkst'!$G$7:$G$2010,$D43,'LAC 102_Wkst'!$L$7:$L$2010,"03",'LAC 102_Wkst'!$N$7:$N$2010,"P2")+SUMIFS('LAC 102_Wkst'!$Q$7:$Q$2010,'LAC 102_Wkst'!$E$7:$E$2010,$C43,'LAC 102_Wkst'!$G$7:$G$2010,$D43,'LAC 102_Wkst'!$L$7:$L$2010,"03",'LAC 102_Wkst'!$N$7:$N$2010,"P3")+SUMIFS('LAC 102_Wkst'!$Q$7:$Q$2010,'LAC 102_Wkst'!$E$7:$E$2010,$C43,'LAC 102_Wkst'!$G$7:$G$2010,$D43,'LAC 102_Wkst'!$L$7:$L$2010,"04",'LAC 102_Wkst'!$N$7:$N$2010,"P1")+SUMIFS('LAC 102_Wkst'!$Q$7:$Q$2010,'LAC 102_Wkst'!$E$7:$E$2010,$C43,'LAC 102_Wkst'!$G$7:$G$2010,$D43,'LAC 102_Wkst'!$L$7:$L$2010,"04",'LAC 102_Wkst'!$N$7:$N$2010,"P2")+SUMIFS('LAC 102_Wkst'!$Q$7:$Q$2010,'LAC 102_Wkst'!$E$7:$E$2010,$C43,'LAC 102_Wkst'!$G$7:$G$2010,$D43,'LAC 102_Wkst'!$L$7:$L$2010,"04",'LAC 102_Wkst'!$N$7:$N$2010,"P3")</f>
        <v>0</v>
      </c>
      <c r="M43" s="411">
        <f>SUMIFS('LAC 102_Wkst'!$AE$7:$AE$2010,'LAC 102_Wkst'!$E$7:$E$2010,$C43,'LAC 102_Wkst'!$G$7:$G$2010,$D43,'LAC 102_Wkst'!$L$7:$L$2010,"03",'LAC 102_Wkst'!$N$7:$N$2010,"P1")+SUMIFS('LAC 102_Wkst'!$AE$7:$AE$2010,'LAC 102_Wkst'!$E$7:$E$2010,$C43,'LAC 102_Wkst'!$G$7:$G$2010,$D43,'LAC 102_Wkst'!$L$7:$L$2010,"03",'LAC 102_Wkst'!$N$7:$N$2010,"P2")+SUMIFS('LAC 102_Wkst'!$AE$7:$AE$2010,'LAC 102_Wkst'!$E$7:$E$2010,$C43,'LAC 102_Wkst'!$G$7:$G$2010,$D43,'LAC 102_Wkst'!$L$7:$L$2010,"03",'LAC 102_Wkst'!$N$7:$N$2010,"P3")+SUMIFS('LAC 102_Wkst'!$AE$7:$AE$2010,'LAC 102_Wkst'!$E$7:$E$2010,$C43,'LAC 102_Wkst'!$G$7:$G$2010,$D43,'LAC 102_Wkst'!$L$7:$L$2010,"04",'LAC 102_Wkst'!$N$7:$N$2010,"P1")+SUMIFS('LAC 102_Wkst'!$AE$7:$AE$2010,'LAC 102_Wkst'!$E$7:$E$2010,$C43,'LAC 102_Wkst'!$G$7:$G$2010,$D43,'LAC 102_Wkst'!$L$7:$L$2010,"04",'LAC 102_Wkst'!$N$7:$N$2010,"P2")+SUMIFS('LAC 102_Wkst'!$AE$7:$AE$2010,'LAC 102_Wkst'!$E$7:$E$2010,$C43,'LAC 102_Wkst'!$G$7:$G$2010,$D43,'LAC 102_Wkst'!$L$7:$L$2010,"04",'LAC 102_Wkst'!$N$7:$N$2010,"P3")</f>
        <v>0</v>
      </c>
      <c r="N43" s="410">
        <f>SUMIFS('LAC 102_Wkst'!$Q$7:$Q$2010,'LAC 102_Wkst'!$E$7:$E$2010,$C43,'LAC 102_Wkst'!$G$7:$G$2010,$D43,'LAC 102_Wkst'!$L$7:$L$2010,"03",'LAC 102_Wkst'!$N$7:$N$2010,"P4")+SUMIFS('LAC 102_Wkst'!$Q$7:$Q$2010,'LAC 102_Wkst'!$E$7:$E$2010,$C43,'LAC 102_Wkst'!$G$7:$G$2010,$D43,'LAC 102_Wkst'!$L$7:$L$2010,"04",'LAC 102_Wkst'!$N$7:$N$2010,"P4")</f>
        <v>0</v>
      </c>
      <c r="O43" s="411">
        <f>SUMIFS('LAC 102_Wkst'!$AE$7:$AE$2010,'LAC 102_Wkst'!$E$7:$E$2010,$C43,'LAC 102_Wkst'!$G$7:$G$2010,$D43,'LAC 102_Wkst'!$L$7:$L$2010,"03",'LAC 102_Wkst'!$N$7:$N$2010,"P4")+SUMIFS('LAC 102_Wkst'!$AE$7:$AE$2010,'LAC 102_Wkst'!$E$7:$E$2010,$C43,'LAC 102_Wkst'!$G$7:$G$2010,$D43,'LAC 102_Wkst'!$L$7:$L$2010,"04",'LAC 102_Wkst'!$N$7:$N$2010,"P4")</f>
        <v>0</v>
      </c>
      <c r="P43" s="410">
        <f>SUMIFS('LAC 102_Wkst'!$Q$7:$Q$2010,'LAC 102_Wkst'!$E$7:$E$2010,$C43,'LAC 102_Wkst'!$G$7:$G$2010,$D43,'LAC 102_Wkst'!$L$7:$L$2010,"03",'LAC 102_Wkst'!$N$7:$N$2010,"P5")+SUMIFS('LAC 102_Wkst'!$Q$7:$Q$2010,'LAC 102_Wkst'!$E$7:$E$2010,$C43,'LAC 102_Wkst'!$G$7:$G$2010,$D43,'LAC 102_Wkst'!$L$7:$L$2010,"04",'LAC 102_Wkst'!$N$7:$N$2010,"P5")</f>
        <v>0</v>
      </c>
      <c r="Q43" s="411">
        <f>SUMIFS('LAC 102_Wkst'!$AE$7:$AE$2010,'LAC 102_Wkst'!$E$7:$E$2010,$C43,'LAC 102_Wkst'!$G$7:$G$2010,$D43,'LAC 102_Wkst'!$L$7:$L$2010,"03",'LAC 102_Wkst'!$N$7:$N$2010,"P5")+SUMIFS('LAC 102_Wkst'!$AE$7:$AE$2010,'LAC 102_Wkst'!$E$7:$E$2010,$C43,'LAC 102_Wkst'!$G$7:$G$2010,$D43,'LAC 102_Wkst'!$L$7:$L$2010,"04",'LAC 102_Wkst'!$N$7:$N$2010,"P5")</f>
        <v>0</v>
      </c>
      <c r="R43" s="412">
        <f>SUMIFS('LAC 102_Wkst'!$Q$7:$Q$2010,'LAC 102_Wkst'!$E$7:$E$2010,$C43,'LAC 102_Wkst'!$G$7:$G$2010,$D43,'LAC 102_Wkst'!$L$7:$L$2010,"05",'LAC 102_Wkst'!$N$7:$N$2010,"P1")+SUMIFS('LAC 102_Wkst'!$Q$7:$Q$2010,'LAC 102_Wkst'!$E$7:$E$2010,$C43,'LAC 102_Wkst'!$G$7:$G$2010,$D43,'LAC 102_Wkst'!$L$7:$L$2010,"06",'LAC 102_Wkst'!$N$7:$N$2010,"P1")</f>
        <v>0</v>
      </c>
      <c r="S43" s="411">
        <f>SUMIFS('LAC 102_Wkst'!$AE$7:$AE$2010,'LAC 102_Wkst'!$E$7:$E$2010,$C43,'LAC 102_Wkst'!$G$7:$G$2010,$D43,'LAC 102_Wkst'!$L$7:$L$2010,"05",'LAC 102_Wkst'!$N$7:$N$2010,"P1")+SUMIFS('LAC 102_Wkst'!$AE$7:$AE$2010,'LAC 102_Wkst'!$E$7:$E$2010,$C43,'LAC 102_Wkst'!$G$7:$G$2010,$D43,'LAC 102_Wkst'!$L$7:$L$2010,"06",'LAC 102_Wkst'!$N$7:$N$2010,"P1")</f>
        <v>0</v>
      </c>
      <c r="T43" s="410">
        <f>SUMIFS('LAC 102_Wkst'!$Q$7:$Q$2010,'LAC 102_Wkst'!$E$7:$E$2010,$C43,'LAC 102_Wkst'!$G$7:$G$2010,$D43,'LAC 102_Wkst'!$L$7:$L$2010,"05",'LAC 102_Wkst'!$N$7:$N$2010,"P2")+SUMIFS('LAC 102_Wkst'!$Q$7:$Q$2010,'LAC 102_Wkst'!$E$7:$E$2010,$C43,'LAC 102_Wkst'!$G$7:$G$2010,$D43,'LAC 102_Wkst'!$L$7:$L$2010,"05",'LAC 102_Wkst'!$N$7:$N$2010,"P3")+SUMIFS('LAC 102_Wkst'!$Q$7:$Q$2010,'LAC 102_Wkst'!$E$7:$E$2010,$C43,'LAC 102_Wkst'!$G$7:$G$2010,$D43,'LAC 102_Wkst'!$L$7:$L$2010,"06",'LAC 102_Wkst'!$N$7:$N$2010,"P2")+SUMIFS('LAC 102_Wkst'!$Q$7:$Q$2010,'LAC 102_Wkst'!$E$7:$E$2010,$C43,'LAC 102_Wkst'!$G$7:$G$2010,$D43,'LAC 102_Wkst'!$L$7:$L$2010,"06",'LAC 102_Wkst'!$N$7:$N$2010,"P3")</f>
        <v>0</v>
      </c>
      <c r="U43" s="411">
        <f>SUMIFS('LAC 102_Wkst'!$AE$7:$AE$2010,'LAC 102_Wkst'!$E$7:$E$2010,$C43,'LAC 102_Wkst'!$G$7:$G$2010,$D43,'LAC 102_Wkst'!$L$7:$L$2010,"05",'LAC 102_Wkst'!$N$7:$N$2010,"P2")+SUMIFS('LAC 102_Wkst'!$AE$7:$AE$2010,'LAC 102_Wkst'!$E$7:$E$2010,$C43,'LAC 102_Wkst'!$G$7:$G$2010,$D43,'LAC 102_Wkst'!$L$7:$L$2010,"06",'LAC 102_Wkst'!$N$7:$N$2010,"P3")+SUMIFS('LAC 102_Wkst'!$AE$7:$AE$2010,'LAC 102_Wkst'!$E$7:$E$2010,$C43,'LAC 102_Wkst'!$G$7:$G$2010,$D43,'LAC 102_Wkst'!$L$7:$L$2010,"05",'LAC 102_Wkst'!$N$7:$N$2010,"P2")+SUMIFS('LAC 102_Wkst'!$AE$7:$AE$2010,'LAC 102_Wkst'!$E$7:$E$2010,$C43,'LAC 102_Wkst'!$G$7:$G$2010,$D43,'LAC 102_Wkst'!$L$7:$L$2010,"06",'LAC 102_Wkst'!$N$7:$N$2010,"P3")</f>
        <v>0</v>
      </c>
      <c r="V43" s="410">
        <f>SUMIFS('LAC 102_Wkst'!$Q$7:$Q$2010,'LAC 102_Wkst'!$E$7:$E$2010,$C43,'LAC 102_Wkst'!$G$7:$G$2010,$D43,'LAC 102_Wkst'!$L$7:$L$2010,"05",'LAC 102_Wkst'!$N$7:$N$2010,"P4")+SUMIFS('LAC 102_Wkst'!$Q$7:$Q$2010,'LAC 102_Wkst'!$E$7:$E$2010,$C43,'LAC 102_Wkst'!$G$7:$G$2010,$D43,'LAC 102_Wkst'!$L$7:$L$2010,"06",'LAC 102_Wkst'!$N$7:$N$2010,"P4")</f>
        <v>0</v>
      </c>
      <c r="W43" s="411">
        <f>SUMIFS('LAC 102_Wkst'!$AE$7:$AE$2010,'LAC 102_Wkst'!$E$7:$E$2010,$C43,'LAC 102_Wkst'!$G$7:$G$2010,$D43,'LAC 102_Wkst'!$L$7:$L$2010,"05",'LAC 102_Wkst'!$N$7:$N$2010,"P4")+SUMIFS('LAC 102_Wkst'!$AE$7:$AE$2010,'LAC 102_Wkst'!$E$7:$E$2010,$C43,'LAC 102_Wkst'!$G$7:$G$2010,$D43,'LAC 102_Wkst'!$L$7:$L$2010,"06",'LAC 102_Wkst'!$N$7:$N$2010,"P4")</f>
        <v>0</v>
      </c>
      <c r="X43" s="410">
        <f>SUMIFS('LAC 102_Wkst'!$Q$7:$Q$2010,'LAC 102_Wkst'!$E$7:$E$2010,$C43,'LAC 102_Wkst'!$G$7:$G$2010,$D43,'LAC 102_Wkst'!$L$7:$L$2010,"05",'LAC 102_Wkst'!$N$7:$N$2010,"P5")+SUMIFS('LAC 102_Wkst'!$Q$7:$Q$2010,'LAC 102_Wkst'!$E$7:$E$2010,$C43,'LAC 102_Wkst'!$G$7:$G$2010,$D43,'LAC 102_Wkst'!$L$7:$L$2010,"06",'LAC 102_Wkst'!$N$7:$N$2010,"P5")</f>
        <v>0</v>
      </c>
      <c r="Y43" s="411">
        <f>SUMIFS('LAC 102_Wkst'!$AE$7:$AE$2010,'LAC 102_Wkst'!$E$7:$E$2010,$C43,'LAC 102_Wkst'!$G$7:$G$2010,$D43,'LAC 102_Wkst'!$L$7:$L$2010,"05",'LAC 102_Wkst'!$N$7:$N$2010,"P5")+SUMIFS('LAC 102_Wkst'!$AE$7:$AE$2010,'LAC 102_Wkst'!$E$7:$E$2010,$C43,'LAC 102_Wkst'!$G$7:$G$2010,$D43,'LAC 102_Wkst'!$L$7:$L$2010,"06",'LAC 102_Wkst'!$N$7:$N$2010,"P5")</f>
        <v>0</v>
      </c>
      <c r="Z43" s="410">
        <f>SUMIFS('LAC 102_Wkst'!$Q$7:$Q$2010,'LAC 102_Wkst'!$E$7:$E$2010,$C43,'LAC 102_Wkst'!$G$7:$G$2010,$D43,'LAC 102_Wkst'!$L$7:$L$2010,"07",'LAC 102_Wkst'!$N$7:$N$2010,"P1")+SUMIFS('LAC 102_Wkst'!$Q$7:$Q$2010,'LAC 102_Wkst'!$E$7:$E$2010,$C43,'LAC 102_Wkst'!$G$7:$G$2010,$D43,'LAC 102_Wkst'!$L$7:$L$2010,"07",'LAC 102_Wkst'!$N$7:$N$2010,"P2")+SUMIFS('LAC 102_Wkst'!$Q$7:$Q$2010,'LAC 102_Wkst'!$E$7:$E$2010,$C43,'LAC 102_Wkst'!$G$7:$G$2010,$D43,'LAC 102_Wkst'!$L$7:$L$2010,"07",'LAC 102_Wkst'!$N$7:$N$2010,"P3")</f>
        <v>0</v>
      </c>
      <c r="AA43" s="411">
        <f>SUMIFS('LAC 102_Wkst'!$AE$7:$AE$2010,'LAC 102_Wkst'!$E$7:$E$2010,$C43,'LAC 102_Wkst'!$G$7:$G$2010,$D43,'LAC 102_Wkst'!$L$7:$L$2010,"07",'LAC 102_Wkst'!$N$7:$N$2010,"P1")+SUMIFS('LAC 102_Wkst'!$AE$7:$AE$2010,'LAC 102_Wkst'!$E$7:$E$2010,$C43,'LAC 102_Wkst'!$G$7:$G$2010,$D43,'LAC 102_Wkst'!$L$7:$L$2010,"07",'LAC 102_Wkst'!$N$7:$N$2010,"P2")+SUMIFS('LAC 102_Wkst'!$AE$7:$AE$2010,'LAC 102_Wkst'!$E$7:$E$2010,$C43,'LAC 102_Wkst'!$G$7:$G$2010,$D43,'LAC 102_Wkst'!$L$7:$L$2010,"07",'LAC 102_Wkst'!$N$7:$N$2010,"P3")</f>
        <v>0</v>
      </c>
      <c r="AB43" s="410">
        <f>SUMIFS('LAC 102_Wkst'!$Q$7:$Q$2010,'LAC 102_Wkst'!$E$7:$E$2010,$C43,'LAC 102_Wkst'!$G$7:$G$2010,$D43,'LAC 102_Wkst'!$L$7:$L$2010,"07",'LAC 102_Wkst'!$N$7:$N$2010,"P4")</f>
        <v>0</v>
      </c>
      <c r="AC43" s="411">
        <f>SUMIFS('LAC 102_Wkst'!$AE$7:$AE$2010,'LAC 102_Wkst'!$E$7:$E$2010,$C43,'LAC 102_Wkst'!$G$7:$G$2010,$D43,'LAC 102_Wkst'!$L$7:$L$2010,"07",'LAC 102_Wkst'!$N$7:$N$2010,"P4")</f>
        <v>0</v>
      </c>
      <c r="AD43" s="410">
        <f>SUMIFS('LAC 102_Wkst'!$Q$7:$Q$2010,'LAC 102_Wkst'!$E$7:$E$2010,$C43,'LAC 102_Wkst'!$G$7:$G$2010,$D43,'LAC 102_Wkst'!$L$7:$L$2010,"07",'LAC 102_Wkst'!$N$7:$N$2010,"P5")</f>
        <v>0</v>
      </c>
      <c r="AE43" s="411">
        <f>SUMIFS('LAC 102_Wkst'!$AE$7:$AE$2010,'LAC 102_Wkst'!$E$7:$E$2010,$C43,'LAC 102_Wkst'!$G$7:$G$2010,$D43,'LAC 102_Wkst'!$L$7:$L$2010,"07",'LAC 102_Wkst'!$N$7:$N$2010,"P5")</f>
        <v>0</v>
      </c>
      <c r="AF43" s="410">
        <f>SUMIFS('LAC 102_Wkst'!$Q$7:$Q$2010,'LAC 102_Wkst'!$E$7:$E$2010,$C43,'LAC 102_Wkst'!$G$7:$G$2010,$D43,'LAC 102_Wkst'!$L$7:$L$2010,"08",'LAC 102_Wkst'!$N$7:$N$2010,"P1")+SUMIFS('LAC 102_Wkst'!$Q$7:$Q$2010,'LAC 102_Wkst'!$E$7:$E$2010,$C43,'LAC 102_Wkst'!$G$7:$G$2010,$D43,'LAC 102_Wkst'!$L$7:$L$2010,"08",'LAC 102_Wkst'!$N$7:$N$2010,"P2")+SUMIFS('LAC 102_Wkst'!$Q$7:$Q$2010,'LAC 102_Wkst'!$E$7:$E$2010,$C43,'LAC 102_Wkst'!$G$7:$G$2010,$D43,'LAC 102_Wkst'!$L$7:$L$2010,"08",'LAC 102_Wkst'!$N$7:$N$2010,"P3")</f>
        <v>0</v>
      </c>
      <c r="AG43" s="411">
        <f>SUMIFS('LAC 102_Wkst'!$AE$7:$AE$2010,'LAC 102_Wkst'!$E$7:$E$2010,$C43,'LAC 102_Wkst'!$G$7:$G$2010,$D43,'LAC 102_Wkst'!$L$7:$L$2010,"08",'LAC 102_Wkst'!$N$7:$N$2010,"P1")+SUMIFS('LAC 102_Wkst'!$AE$7:$AE$2010,'LAC 102_Wkst'!$E$7:$E$2010,$C43,'LAC 102_Wkst'!$G$7:$G$2010,$D43,'LAC 102_Wkst'!$L$7:$L$2010,"08",'LAC 102_Wkst'!$N$7:$N$2010,"P2")+SUMIFS('LAC 102_Wkst'!$AE$7:$AE$2010,'LAC 102_Wkst'!$E$7:$E$2010,$C43,'LAC 102_Wkst'!$G$7:$G$2010,$D43,'LAC 102_Wkst'!$L$7:$L$2010,"08",'LAC 102_Wkst'!$N$7:$N$2010,"P3")</f>
        <v>0</v>
      </c>
      <c r="AH43" s="410">
        <f>SUMIFS('LAC 102_Wkst'!$Q$7:$Q$2010,'LAC 102_Wkst'!$E$7:$E$2010,$C43,'LAC 102_Wkst'!$G$7:$G$2010,$D43,'LAC 102_Wkst'!$L$7:$L$2010,"08",'LAC 102_Wkst'!$N$7:$N$2010,"P4")</f>
        <v>0</v>
      </c>
      <c r="AI43" s="411">
        <f>SUMIFS('LAC 102_Wkst'!$AE$7:$AE$2010,'LAC 102_Wkst'!$E$7:$E$2010,$C43,'LAC 102_Wkst'!$G$7:$G$2010,$D43,'LAC 102_Wkst'!$L$7:$L$2010,"08",'LAC 102_Wkst'!$N$7:$N$2010,"P4")</f>
        <v>0</v>
      </c>
      <c r="AJ43" s="410">
        <f>SUMIFS('LAC 102_Wkst'!$Q$7:$Q$2010,'LAC 102_Wkst'!$E$7:$E$2010,$C43,'LAC 102_Wkst'!$G$7:$G$2010,$D43,'LAC 102_Wkst'!$L$7:$L$2010,"08",'LAC 102_Wkst'!$N$7:$N$2010,"P5")</f>
        <v>0</v>
      </c>
      <c r="AK43" s="411">
        <f>SUMIFS('LAC 102_Wkst'!$AE$7:$AE$2010,'LAC 102_Wkst'!$E$7:$E$2010,$C43,'LAC 102_Wkst'!$G$7:$G$2010,$D43,'LAC 102_Wkst'!$L$7:$L$2010,"08",'LAC 102_Wkst'!$N$7:$N$2010,"P5")</f>
        <v>0</v>
      </c>
      <c r="AL43" s="410">
        <f>SUMIFS('LAC 102_Wkst'!$Q$7:$Q$2010,'LAC 102_Wkst'!$E$7:$E$2010,$C43,'LAC 102_Wkst'!$G$7:$G$2010,$D43,'LAC 102_Wkst'!$L$7:$L$2010,"09",'LAC 102_Wkst'!$N$7:$N$2010,"P1")+SUMIFS('LAC 102_Wkst'!$Q$7:$Q$2010,'LAC 102_Wkst'!$E$7:$E$2010,$C43,'LAC 102_Wkst'!$G$7:$G$2010,$D43,'LAC 102_Wkst'!$L$7:$L$2010,"09",'LAC 102_Wkst'!$N$7:$N$2010,"P2")+SUMIFS('LAC 102_Wkst'!$Q$7:$Q$2010,'LAC 102_Wkst'!$E$7:$E$2010,$C43,'LAC 102_Wkst'!$G$7:$G$2010,$D43,'LAC 102_Wkst'!$L$7:$L$2010,"09",'LAC 102_Wkst'!$N$7:$N$2010,"P3")+SUMIFS('LAC 102_Wkst'!$Q$7:$Q$2010,'LAC 102_Wkst'!$E$7:$E$2010,$C43,'LAC 102_Wkst'!$G$7:$G$2010,$D43,'LAC 102_Wkst'!$L$7:$L$2010,"09",'LAC 102_Wkst'!$N$7:$N$2010,"P4")</f>
        <v>0</v>
      </c>
      <c r="AM43" s="411">
        <f>SUMIFS('LAC 102_Wkst'!$AE$7:$AE$2010,'LAC 102_Wkst'!$E$7:$E$2010,$C43,'LAC 102_Wkst'!$G$7:$G$2010,$D43,'LAC 102_Wkst'!$L$7:$L$2010,"09",'LAC 102_Wkst'!$N$7:$N$2010,"P1")+SUMIFS('LAC 102_Wkst'!$AE$7:$AE$2010,'LAC 102_Wkst'!$E$7:$E$2010,$C43,'LAC 102_Wkst'!$G$7:$G$2010,$D43,'LAC 102_Wkst'!$L$7:$L$2010,"09",'LAC 102_Wkst'!$N$7:$N$2010,"P2")+SUMIFS('LAC 102_Wkst'!$AE$7:$AE$2010,'LAC 102_Wkst'!$E$7:$E$2010,$C43,'LAC 102_Wkst'!$G$7:$G$2010,$D43,'LAC 102_Wkst'!$L$7:$L$2010,"09",'LAC 102_Wkst'!$N$7:$N$2010,"P3")+SUMIFS('LAC 102_Wkst'!$AE$7:$AE$2010,'LAC 102_Wkst'!$E$7:$E$2010,$C43,'LAC 102_Wkst'!$G$7:$G$2010,$D43,'LAC 102_Wkst'!$L$7:$L$2010,"09",'LAC 102_Wkst'!$N$7:$N$2010,"P4")</f>
        <v>0</v>
      </c>
      <c r="AN43" s="410">
        <f>SUMIFS('LAC 102_Wkst'!$Q$7:$Q$2010,'LAC 102_Wkst'!$E$7:$E$2010,$C43,'LAC 102_Wkst'!$G$7:$G$2010,$D43,'LAC 102_Wkst'!$L$7:$L$2010,"09",'LAC 102_Wkst'!$N$7:$N$2010,"P5")</f>
        <v>0</v>
      </c>
      <c r="AO43" s="411">
        <f>SUMIFS('LAC 102_Wkst'!$AE$7:$AE$2010,'LAC 102_Wkst'!$E$7:$E$2010,$C43,'LAC 102_Wkst'!$G$7:$G$2010,$D43,'LAC 102_Wkst'!$L$7:$L$2010,"09",'LAC 102_Wkst'!$N$7:$N$2010,"P5")</f>
        <v>0</v>
      </c>
      <c r="AP43" s="410">
        <f>SUMIFS('LAC 102_Wkst'!$Q$7:$Q$2010,'LAC 102_Wkst'!$E$7:$E$2010,$C43,'LAC 102_Wkst'!$G$7:$G$2010,$D43,'LAC 102_Wkst'!$L$7:$L$2010,"10",'LAC 102_Wkst'!$N$7:$N$2010,"P1")+SUMIFS('LAC 102_Wkst'!$Q$7:$Q$2010,'LAC 102_Wkst'!$E$7:$E$2010,$C43,'LAC 102_Wkst'!$G$7:$G$2010,$D43,'LAC 102_Wkst'!$L$7:$L$2010,"10",'LAC 102_Wkst'!$N$7:$N$2010,"P2")+SUMIFS('LAC 102_Wkst'!$Q$7:$Q$2010,'LAC 102_Wkst'!$E$7:$E$2010,$C43,'LAC 102_Wkst'!$G$7:$G$2010,$D43,'LAC 102_Wkst'!$L$7:$L$2010,"10",'LAC 102_Wkst'!$N$7:$N$2010,"P3")+SUMIFS('LAC 102_Wkst'!$Q$7:$Q$2010,'LAC 102_Wkst'!$E$7:$E$2010,$C43,'LAC 102_Wkst'!$G$7:$G$2010,$D43,'LAC 102_Wkst'!$L$7:$L$2010,"10",'LAC 102_Wkst'!$N$7:$N$2010,"P4")</f>
        <v>0</v>
      </c>
      <c r="AQ43" s="411">
        <f>SUMIFS('LAC 102_Wkst'!$AE$7:$AE$2010,'LAC 102_Wkst'!$E$7:$E$2010,$C43,'LAC 102_Wkst'!$G$7:$G$2010,$D43,'LAC 102_Wkst'!$L$7:$L$2010,"10",'LAC 102_Wkst'!$N$7:$N$2010,"P1")+SUMIFS('LAC 102_Wkst'!$AE$7:$AE$2010,'LAC 102_Wkst'!$E$7:$E$2010,$C43,'LAC 102_Wkst'!$G$7:$G$2010,$D43,'LAC 102_Wkst'!$L$7:$L$2010,"10",'LAC 102_Wkst'!$N$7:$N$2010,"P2")+SUMIFS('LAC 102_Wkst'!$AE$7:$AE$2010,'LAC 102_Wkst'!$E$7:$E$2010,$C43,'LAC 102_Wkst'!$G$7:$G$2010,$D43,'LAC 102_Wkst'!$L$7:$L$2010,"10",'LAC 102_Wkst'!$N$7:$N$2010,"P3")+SUMIFS('LAC 102_Wkst'!$AE$7:$AE$2010,'LAC 102_Wkst'!$E$7:$E$2010,$C43,'LAC 102_Wkst'!$G$7:$G$2010,$D43,'LAC 102_Wkst'!$L$7:$L$2010,"10",'LAC 102_Wkst'!$N$7:$N$2010,"P4")</f>
        <v>0</v>
      </c>
      <c r="AR43" s="410">
        <f>SUMIFS('LAC 102_Wkst'!$Q$7:$Q$2010,'LAC 102_Wkst'!$E$7:$E$2010,$C43,'LAC 102_Wkst'!$G$7:$G$2010,$D43,'LAC 102_Wkst'!$L$7:$L$2010,"10",'LAC 102_Wkst'!$N$7:$N$2010,"P5")</f>
        <v>0</v>
      </c>
      <c r="AS43" s="411">
        <f>SUMIFS('LAC 102_Wkst'!$AE$7:$AE$2010,'LAC 102_Wkst'!$E$7:$E$2010,$C43,'LAC 102_Wkst'!$G$7:$G$2010,$D43,'LAC 102_Wkst'!$L$7:$L$2010,"10",'LAC 102_Wkst'!$N$7:$N$2010,"P5")</f>
        <v>0</v>
      </c>
      <c r="AT43" s="410">
        <f>SUMIFS('LAC 102_Wkst'!$Q$7:$Q$2010,'LAC 102_Wkst'!$E$7:$E$2010,$C43,'LAC 102_Wkst'!$G$7:$G$2010,$D43,'LAC 102_Wkst'!$L$7:$L$2010,"11",'LAC 102_Wkst'!$N$7:$N$2010,"P1")+SUMIFS('LAC 102_Wkst'!$Q$7:$Q$2010,'LAC 102_Wkst'!$E$7:$E$2010,$C43,'LAC 102_Wkst'!$G$7:$G$2010,$D43,'LAC 102_Wkst'!$L$7:$L$2010,"12",'LAC 102_Wkst'!$N$7:$N$2010,"P1")</f>
        <v>0</v>
      </c>
      <c r="AU43" s="411">
        <f>SUMIFS('LAC 102_Wkst'!$AE$7:$AE$2010,'LAC 102_Wkst'!$E$7:$E$2010,$C43,'LAC 102_Wkst'!$G$7:$G$2010,$D43,'LAC 102_Wkst'!$L$7:$L$2010,"11",'LAC 102_Wkst'!$N$7:$N$2010,"P1")+SUMIFS('LAC 102_Wkst'!$AE$7:$AE$2010,'LAC 102_Wkst'!$E$7:$E$2010,$C43,'LAC 102_Wkst'!$G$7:$G$2010,$D43,'LAC 102_Wkst'!$L$7:$L$2010,"12",'LAC 102_Wkst'!$N$7:$N$2010,"P1")</f>
        <v>0</v>
      </c>
      <c r="AV43" s="410">
        <f>SUMIFS('LAC 102_Wkst'!$Q$7:$Q$2010,'LAC 102_Wkst'!$E$7:$E$2010,$C43,'LAC 102_Wkst'!$G$7:$G$2010,$D43,'LAC 102_Wkst'!$L$7:$L$2010,"11",'LAC 102_Wkst'!$N$7:$N$2010,"P2")+SUMIFS('LAC 102_Wkst'!$Q$7:$Q$2010,'LAC 102_Wkst'!$E$7:$E$2010,$C43,'LAC 102_Wkst'!$G$7:$G$2010,$D43,'LAC 102_Wkst'!$L$7:$L$2010,"12",'LAC 102_Wkst'!$N$7:$N$2010,"P3")+SUMIFS('LAC 102_Wkst'!$Q$7:$Q$2010,'LAC 102_Wkst'!$E$7:$E$2010,$C43,'LAC 102_Wkst'!$G$7:$G$2010,$D43,'LAC 102_Wkst'!$L$7:$L$2010,"11",'LAC 102_Wkst'!$N$7:$N$2010,"P2")+SUMIFS('LAC 102_Wkst'!$Q$7:$Q$2010,'LAC 102_Wkst'!$E$7:$E$2010,$C43,'LAC 102_Wkst'!$G$7:$G$2010,$D43,'LAC 102_Wkst'!$L$7:$L$2010,"12",'LAC 102_Wkst'!$N$7:$N$2010,"P3")</f>
        <v>0</v>
      </c>
      <c r="AW43" s="411">
        <f>SUMIFS('LAC 102_Wkst'!$AE$7:$AE$2010,'LAC 102_Wkst'!$E$7:$E$2010,$C43,'LAC 102_Wkst'!$G$7:$G$2010,$D43,'LAC 102_Wkst'!$L$7:$L$2010,"11",'LAC 102_Wkst'!$N$7:$N$2010,"P2")+SUMIFS('LAC 102_Wkst'!$AE$7:$AE$2010,'LAC 102_Wkst'!$E$7:$E$2010,$C43,'LAC 102_Wkst'!$G$7:$G$2010,$D43,'LAC 102_Wkst'!$L$7:$L$2010,"12",'LAC 102_Wkst'!$N$7:$N$2010,"P3")+SUMIFS('LAC 102_Wkst'!$AE$7:$AE$2010,'LAC 102_Wkst'!$E$7:$E$2010,$C43,'LAC 102_Wkst'!$G$7:$G$2010,$D43,'LAC 102_Wkst'!$L$7:$L$2010,"11",'LAC 102_Wkst'!$N$7:$N$2010,"P2")+SUMIFS('LAC 102_Wkst'!$AE$7:$AE$2010,'LAC 102_Wkst'!$E$7:$E$2010,$C43,'LAC 102_Wkst'!$G$7:$G$2010,$D43,'LAC 102_Wkst'!$L$7:$L$2010,"12",'LAC 102_Wkst'!$N$7:$N$2010,"P3")</f>
        <v>0</v>
      </c>
      <c r="AX43" s="410">
        <f>SUMIFS('LAC 102_Wkst'!$Q$7:$Q$2010,'LAC 102_Wkst'!$E$7:$E$2010,$C43,'LAC 102_Wkst'!$G$7:$G$2010,$D43,'LAC 102_Wkst'!$L$7:$L$2010,"11",'LAC 102_Wkst'!$N$7:$N$2010,"P4")+SUMIFS('LAC 102_Wkst'!$Q$7:$Q$2010,'LAC 102_Wkst'!$E$7:$E$2010,$C43,'LAC 102_Wkst'!$G$7:$G$2010,$D43,'LAC 102_Wkst'!$L$7:$L$2010,"12",'LAC 102_Wkst'!$N$7:$N$2010,"P4")</f>
        <v>0</v>
      </c>
      <c r="AY43" s="411">
        <f>SUMIFS('LAC 102_Wkst'!$AE$7:$AE$2010,'LAC 102_Wkst'!$E$7:$E$2010,$C43,'LAC 102_Wkst'!$G$7:$G$2010,$D43,'LAC 102_Wkst'!$L$7:$L$2010,"11",'LAC 102_Wkst'!$N$7:$N$2010,"P4")+SUMIFS('LAC 102_Wkst'!$AE$7:$AE$2010,'LAC 102_Wkst'!$E$7:$E$2010,$C43,'LAC 102_Wkst'!$G$7:$G$2010,$D43,'LAC 102_Wkst'!$L$7:$L$2010,"12",'LAC 102_Wkst'!$N$7:$N$2010,"P4")</f>
        <v>0</v>
      </c>
      <c r="AZ43" s="410">
        <f>SUMIFS('LAC 102_Wkst'!$Q$7:$Q$2010,'LAC 102_Wkst'!$E$7:$E$2010,$C43,'LAC 102_Wkst'!$G$7:$G$2010,$D43,'LAC 102_Wkst'!$L$7:$L$2010,"11",'LAC 102_Wkst'!$N$7:$N$2010,"P5")+SUMIFS('LAC 102_Wkst'!$Q$7:$Q$2010,'LAC 102_Wkst'!$E$7:$E$2010,$C43,'LAC 102_Wkst'!$G$7:$G$2010,$D43,'LAC 102_Wkst'!$L$7:$L$2010,"12",'LAC 102_Wkst'!$N$7:$N$2010,"P5")</f>
        <v>0</v>
      </c>
      <c r="BA43" s="411">
        <f>SUMIFS('LAC 102_Wkst'!$AE$7:$AE$2010,'LAC 102_Wkst'!$E$7:$E$2010,$C43,'LAC 102_Wkst'!$G$7:$G$2010,$D43,'LAC 102_Wkst'!$L$7:$L$2010,"11",'LAC 102_Wkst'!$N$7:$N$2010,"P5")+SUMIFS('LAC 102_Wkst'!$AE$7:$AE$2010,'LAC 102_Wkst'!$E$7:$E$2010,$C43,'LAC 102_Wkst'!$G$7:$G$2010,$D43,'LAC 102_Wkst'!$L$7:$L$2010,"12",'LAC 102_Wkst'!$N$7:$N$2010,"P5")</f>
        <v>0</v>
      </c>
      <c r="BB43" s="410">
        <f>SUMIFS('LAC 102_Wkst'!$Q$7:$Q$2010,'LAC 102_Wkst'!$E$7:$E$2010,$C43,'LAC 102_Wkst'!$G$7:$G$2010,$D43,'LAC 102_Wkst'!$L$7:$L$2010,"13",'LAC 102_Wkst'!$N$7:$N$2010,"P1")+SUMIFS('LAC 102_Wkst'!$Q$7:$Q$2010,'LAC 102_Wkst'!$E$7:$E$2010,$C43,'LAC 102_Wkst'!$G$7:$G$2010,$D43,'LAC 102_Wkst'!$L$7:$L$2010,"13",'LAC 102_Wkst'!$N$7:$N$2010,"P2")+SUMIFS('LAC 102_Wkst'!$Q$7:$Q$2010,'LAC 102_Wkst'!$E$7:$E$2010,$C43,'LAC 102_Wkst'!$G$7:$G$2010,$D43,'LAC 102_Wkst'!$L$7:$L$2010,"13",'LAC 102_Wkst'!$N$7:$N$2010,"P3")+SUMIFS('LAC 102_Wkst'!$Q$7:$Q$2010,'LAC 102_Wkst'!$E$7:$E$2010,$C43,'LAC 102_Wkst'!$G$7:$G$2010,$D43,'LAC 102_Wkst'!$L$7:$L$2010,"13",'LAC 102_Wkst'!$N$7:$N$2010,"P4")</f>
        <v>0</v>
      </c>
      <c r="BC43" s="411">
        <f>SUMIFS('LAC 102_Wkst'!$AE$7:$AE$2010,'LAC 102_Wkst'!$E$7:$E$2010,$C43,'LAC 102_Wkst'!$G$7:$G$2010,$D43,'LAC 102_Wkst'!$L$7:$L$2010,"13",'LAC 102_Wkst'!$N$7:$N$2010,"P1")+SUMIFS('LAC 102_Wkst'!$AE$7:$AE$2010,'LAC 102_Wkst'!$E$7:$E$2010,$C43,'LAC 102_Wkst'!$G$7:$G$2010,$D43,'LAC 102_Wkst'!$L$7:$L$2010,"13",'LAC 102_Wkst'!$N$7:$N$2010,"P2")+SUMIFS('LAC 102_Wkst'!$AE$7:$AE$2010,'LAC 102_Wkst'!$E$7:$E$2010,$C43,'LAC 102_Wkst'!$G$7:$G$2010,$D43,'LAC 102_Wkst'!$L$7:$L$2010,"13",'LAC 102_Wkst'!$N$7:$N$2010,"P3")+SUMIFS('LAC 102_Wkst'!$AE$7:$AE$2010,'LAC 102_Wkst'!$E$7:$E$2010,$C43,'LAC 102_Wkst'!$G$7:$G$2010,$D43,'LAC 102_Wkst'!$L$7:$L$2010,"13",'LAC 102_Wkst'!$N$7:$N$2010,"P4")</f>
        <v>0</v>
      </c>
      <c r="BD43" s="410">
        <f>SUMIFS('LAC 102_Wkst'!$Q$7:$Q$2010,'LAC 102_Wkst'!$E$7:$E$2010,$C43,'LAC 102_Wkst'!$G$7:$G$2010,$D43,'LAC 102_Wkst'!$L$7:$L$2010,"13",'LAC 102_Wkst'!$N$7:$N$2010,"P5")</f>
        <v>0</v>
      </c>
      <c r="BE43" s="411">
        <f>SUMIFS('LAC 102_Wkst'!$AE$7:$AE$2010,'LAC 102_Wkst'!$E$7:$E$2010,$C43,'LAC 102_Wkst'!$G$7:$G$2010,$D43,'LAC 102_Wkst'!$L$7:$L$2010,"13",'LAC 102_Wkst'!$N$7:$N$2010,"P5")</f>
        <v>0</v>
      </c>
      <c r="BF43" s="407">
        <f t="shared" si="0"/>
        <v>0</v>
      </c>
    </row>
    <row r="44" spans="1:58" x14ac:dyDescent="0.2">
      <c r="A44" s="401">
        <v>25</v>
      </c>
      <c r="B44" s="1236"/>
      <c r="C44" s="1235"/>
      <c r="D44" s="1237"/>
      <c r="E44" s="1222">
        <f>IF(CONCATENATE(C44,D44)&gt;"6069",1,SUMIFS('LAC 102_Wkst'!$Q$7:$Q$2010,'LAC 102_Wkst'!$E$7:$E$2010,Schedule_B!$C44,'LAC 102_Wkst'!$G$7:$G$2010,Schedule_B!$D44))</f>
        <v>0</v>
      </c>
      <c r="F44" s="408">
        <f>SUMIFS('LAC 102_Wkst'!$Q$7:$Q$2010,'LAC 102_Wkst'!$E$7:$E$2010,$C44,'LAC 102_Wkst'!$G$7:$G$2010,$D44,'LAC 102_Wkst'!$L$7:$L$2010,"01",'LAC 102_Wkst'!$N$7:$N$2010,"P1")+SUMIFS('LAC 102_Wkst'!$Q$7:$Q$2010,'LAC 102_Wkst'!$E$7:$E$2010,$C44,'LAC 102_Wkst'!$G$7:$G$2010,$D44,'LAC 102_Wkst'!$L$7:$L$2010,"01",'LAC 102_Wkst'!$N$7:$N$2010,"P2")+SUMIFS('LAC 102_Wkst'!$Q$7:$Q$2010,'LAC 102_Wkst'!$E$7:$E$2010,$C44,'LAC 102_Wkst'!$G$7:$G$2010,$D44,'LAC 102_Wkst'!$L$7:$L$2010,"01",'LAC 102_Wkst'!$N$7:$N$2010,"P3")+SUMIFS('LAC 102_Wkst'!$Q$7:$Q$2010,'LAC 102_Wkst'!$E$7:$E$2010,$C44,'LAC 102_Wkst'!$G$7:$G$2010,$D44,'LAC 102_Wkst'!$L$7:$L$2010,"02",'LAC 102_Wkst'!$N$7:$N$2010,"P1")+SUMIFS('LAC 102_Wkst'!$Q$7:$Q$2010,'LAC 102_Wkst'!$E$7:$E$2010,$C44,'LAC 102_Wkst'!$G$7:$G$2010,$D44,'LAC 102_Wkst'!$L$7:$L$2010,"02",'LAC 102_Wkst'!$N$7:$N$2010,"P2")+SUMIFS('LAC 102_Wkst'!$Q$7:$Q$2010,'LAC 102_Wkst'!$E$7:$E$2010,$C44,'LAC 102_Wkst'!$G$7:$G$2010,$D44,'LAC 102_Wkst'!$L$7:$L$2010,"02",'LAC 102_Wkst'!$N$7:$N$2010,"P3")</f>
        <v>0</v>
      </c>
      <c r="G44" s="409">
        <f>SUMIFS('LAC 102_Wkst'!$AE$7:$AE$2010,'LAC 102_Wkst'!$E$7:$E$2010,$C44,'LAC 102_Wkst'!$G$7:$G$2010,$D44,'LAC 102_Wkst'!$L$7:$L$2010,"01",'LAC 102_Wkst'!$N$7:$N$2010,"P1")+SUMIFS('LAC 102_Wkst'!$AE$7:$AE$2010,'LAC 102_Wkst'!$E$7:$E$2010,$C44,'LAC 102_Wkst'!$G$7:$G$2010,$D44,'LAC 102_Wkst'!$L$7:$L$2010,"01",'LAC 102_Wkst'!$N$7:$N$2010,"P2")+SUMIFS('LAC 102_Wkst'!$AE$7:$AE$2010,'LAC 102_Wkst'!$E$7:$E$2010,$C44,'LAC 102_Wkst'!$G$7:$G$2010,$D44,'LAC 102_Wkst'!$L$7:$L$2010,"01",'LAC 102_Wkst'!$N$7:$N$2010,"P3")+SUMIFS('LAC 102_Wkst'!$AE$7:$AE$2010,'LAC 102_Wkst'!$E$7:$E$2010,$C44,'LAC 102_Wkst'!$G$7:$G$2010,$D44,'LAC 102_Wkst'!$L$7:$L$2010,"02",'LAC 102_Wkst'!$N$7:$N$2010,"P1")+SUMIFS('LAC 102_Wkst'!$AE$7:$AE$2010,'LAC 102_Wkst'!$E$7:$E$2010,$C44,'LAC 102_Wkst'!$G$7:$G$2010,$D44,'LAC 102_Wkst'!$L$7:$L$2010,"02",'LAC 102_Wkst'!$N$7:$N$2010,"P2")+SUMIFS('LAC 102_Wkst'!$AE$7:$AE$2010,'LAC 102_Wkst'!$E$7:$E$2010,$C44,'LAC 102_Wkst'!$G$7:$G$2010,$D44,'LAC 102_Wkst'!$L$7:$L$2010,"02",'LAC 102_Wkst'!$N$7:$N$2010,"P3")</f>
        <v>0</v>
      </c>
      <c r="H44" s="410">
        <f>SUMIFS('LAC 102_Wkst'!$Q$7:$Q$2010,'LAC 102_Wkst'!$E$7:$E$2010,$C44,'LAC 102_Wkst'!$G$7:$G$2010,$D44,'LAC 102_Wkst'!$L$7:$L$2010,"01",'LAC 102_Wkst'!$N$7:$N$2010,"P4")+SUMIFS('LAC 102_Wkst'!$Q$7:$Q$2010,'LAC 102_Wkst'!$E$7:$E$2010,$C44,'LAC 102_Wkst'!$G$7:$G$2010,$D44,'LAC 102_Wkst'!$L$7:$L$2010,"02",'LAC 102_Wkst'!$N$7:$N$2010,"P4")</f>
        <v>0</v>
      </c>
      <c r="I44" s="411">
        <f>SUMIFS('LAC 102_Wkst'!$AE$7:$AE$2010,'LAC 102_Wkst'!$E$7:$E$2010,$C44,'LAC 102_Wkst'!$G$7:$G$2010,$D44,'LAC 102_Wkst'!$L$7:$L$2010,"01",'LAC 102_Wkst'!$N$7:$N$2010,"P4")+SUMIFS('LAC 102_Wkst'!$AE$7:$AE$2010,'LAC 102_Wkst'!$E$7:$E$2010,$C44,'LAC 102_Wkst'!$G$7:$G$2010,$D44,'LAC 102_Wkst'!$L$7:$L$2010,"02",'LAC 102_Wkst'!$N$7:$N$2010,"P4")</f>
        <v>0</v>
      </c>
      <c r="J44" s="410">
        <f>SUMIFS('LAC 102_Wkst'!$Q$7:$Q$2010,'LAC 102_Wkst'!$E$7:$E$2010,$C44,'LAC 102_Wkst'!$G$7:$G$2010,$D44,'LAC 102_Wkst'!$L$7:$L$2010,"01",'LAC 102_Wkst'!$N$7:$N$2010,"P5")+SUMIFS('LAC 102_Wkst'!$Q$7:$Q$2010,'LAC 102_Wkst'!$E$7:$E$2010,$C44,'LAC 102_Wkst'!$G$7:$G$2010,$D44,'LAC 102_Wkst'!$L$7:$L$2010,"02",'LAC 102_Wkst'!$N$7:$N$2010,"P5")</f>
        <v>0</v>
      </c>
      <c r="K44" s="411">
        <f>SUMIFS('LAC 102_Wkst'!$AE$7:$AE$2010,'LAC 102_Wkst'!$E$7:$E$2010,$C44,'LAC 102_Wkst'!$G$7:$G$2010,$D44,'LAC 102_Wkst'!$L$7:$L$2010,"01",'LAC 102_Wkst'!$N$7:$N$2010,"P5")+SUMIFS('LAC 102_Wkst'!$AE$7:$AE$2010,'LAC 102_Wkst'!$E$7:$E$2010,$C44,'LAC 102_Wkst'!$G$7:$G$2010,$D44,'LAC 102_Wkst'!$L$7:$L$2010,"02",'LAC 102_Wkst'!$N$7:$N$2010,"P5")</f>
        <v>0</v>
      </c>
      <c r="L44" s="410">
        <f>SUMIFS('LAC 102_Wkst'!$Q$7:$Q$2010,'LAC 102_Wkst'!$E$7:$E$2010,$C44,'LAC 102_Wkst'!$G$7:$G$2010,$D44,'LAC 102_Wkst'!$L$7:$L$2010,"03",'LAC 102_Wkst'!$N$7:$N$2010,"P1")+SUMIFS('LAC 102_Wkst'!$Q$7:$Q$2010,'LAC 102_Wkst'!$E$7:$E$2010,$C44,'LAC 102_Wkst'!$G$7:$G$2010,$D44,'LAC 102_Wkst'!$L$7:$L$2010,"03",'LAC 102_Wkst'!$N$7:$N$2010,"P2")+SUMIFS('LAC 102_Wkst'!$Q$7:$Q$2010,'LAC 102_Wkst'!$E$7:$E$2010,$C44,'LAC 102_Wkst'!$G$7:$G$2010,$D44,'LAC 102_Wkst'!$L$7:$L$2010,"03",'LAC 102_Wkst'!$N$7:$N$2010,"P3")+SUMIFS('LAC 102_Wkst'!$Q$7:$Q$2010,'LAC 102_Wkst'!$E$7:$E$2010,$C44,'LAC 102_Wkst'!$G$7:$G$2010,$D44,'LAC 102_Wkst'!$L$7:$L$2010,"04",'LAC 102_Wkst'!$N$7:$N$2010,"P1")+SUMIFS('LAC 102_Wkst'!$Q$7:$Q$2010,'LAC 102_Wkst'!$E$7:$E$2010,$C44,'LAC 102_Wkst'!$G$7:$G$2010,$D44,'LAC 102_Wkst'!$L$7:$L$2010,"04",'LAC 102_Wkst'!$N$7:$N$2010,"P2")+SUMIFS('LAC 102_Wkst'!$Q$7:$Q$2010,'LAC 102_Wkst'!$E$7:$E$2010,$C44,'LAC 102_Wkst'!$G$7:$G$2010,$D44,'LAC 102_Wkst'!$L$7:$L$2010,"04",'LAC 102_Wkst'!$N$7:$N$2010,"P3")</f>
        <v>0</v>
      </c>
      <c r="M44" s="411">
        <f>SUMIFS('LAC 102_Wkst'!$AE$7:$AE$2010,'LAC 102_Wkst'!$E$7:$E$2010,$C44,'LAC 102_Wkst'!$G$7:$G$2010,$D44,'LAC 102_Wkst'!$L$7:$L$2010,"03",'LAC 102_Wkst'!$N$7:$N$2010,"P1")+SUMIFS('LAC 102_Wkst'!$AE$7:$AE$2010,'LAC 102_Wkst'!$E$7:$E$2010,$C44,'LAC 102_Wkst'!$G$7:$G$2010,$D44,'LAC 102_Wkst'!$L$7:$L$2010,"03",'LAC 102_Wkst'!$N$7:$N$2010,"P2")+SUMIFS('LAC 102_Wkst'!$AE$7:$AE$2010,'LAC 102_Wkst'!$E$7:$E$2010,$C44,'LAC 102_Wkst'!$G$7:$G$2010,$D44,'LAC 102_Wkst'!$L$7:$L$2010,"03",'LAC 102_Wkst'!$N$7:$N$2010,"P3")+SUMIFS('LAC 102_Wkst'!$AE$7:$AE$2010,'LAC 102_Wkst'!$E$7:$E$2010,$C44,'LAC 102_Wkst'!$G$7:$G$2010,$D44,'LAC 102_Wkst'!$L$7:$L$2010,"04",'LAC 102_Wkst'!$N$7:$N$2010,"P1")+SUMIFS('LAC 102_Wkst'!$AE$7:$AE$2010,'LAC 102_Wkst'!$E$7:$E$2010,$C44,'LAC 102_Wkst'!$G$7:$G$2010,$D44,'LAC 102_Wkst'!$L$7:$L$2010,"04",'LAC 102_Wkst'!$N$7:$N$2010,"P2")+SUMIFS('LAC 102_Wkst'!$AE$7:$AE$2010,'LAC 102_Wkst'!$E$7:$E$2010,$C44,'LAC 102_Wkst'!$G$7:$G$2010,$D44,'LAC 102_Wkst'!$L$7:$L$2010,"04",'LAC 102_Wkst'!$N$7:$N$2010,"P3")</f>
        <v>0</v>
      </c>
      <c r="N44" s="410">
        <f>SUMIFS('LAC 102_Wkst'!$Q$7:$Q$2010,'LAC 102_Wkst'!$E$7:$E$2010,$C44,'LAC 102_Wkst'!$G$7:$G$2010,$D44,'LAC 102_Wkst'!$L$7:$L$2010,"03",'LAC 102_Wkst'!$N$7:$N$2010,"P4")+SUMIFS('LAC 102_Wkst'!$Q$7:$Q$2010,'LAC 102_Wkst'!$E$7:$E$2010,$C44,'LAC 102_Wkst'!$G$7:$G$2010,$D44,'LAC 102_Wkst'!$L$7:$L$2010,"04",'LAC 102_Wkst'!$N$7:$N$2010,"P4")</f>
        <v>0</v>
      </c>
      <c r="O44" s="411">
        <f>SUMIFS('LAC 102_Wkst'!$AE$7:$AE$2010,'LAC 102_Wkst'!$E$7:$E$2010,$C44,'LAC 102_Wkst'!$G$7:$G$2010,$D44,'LAC 102_Wkst'!$L$7:$L$2010,"03",'LAC 102_Wkst'!$N$7:$N$2010,"P4")+SUMIFS('LAC 102_Wkst'!$AE$7:$AE$2010,'LAC 102_Wkst'!$E$7:$E$2010,$C44,'LAC 102_Wkst'!$G$7:$G$2010,$D44,'LAC 102_Wkst'!$L$7:$L$2010,"04",'LAC 102_Wkst'!$N$7:$N$2010,"P4")</f>
        <v>0</v>
      </c>
      <c r="P44" s="410">
        <f>SUMIFS('LAC 102_Wkst'!$Q$7:$Q$2010,'LAC 102_Wkst'!$E$7:$E$2010,$C44,'LAC 102_Wkst'!$G$7:$G$2010,$D44,'LAC 102_Wkst'!$L$7:$L$2010,"03",'LAC 102_Wkst'!$N$7:$N$2010,"P5")+SUMIFS('LAC 102_Wkst'!$Q$7:$Q$2010,'LAC 102_Wkst'!$E$7:$E$2010,$C44,'LAC 102_Wkst'!$G$7:$G$2010,$D44,'LAC 102_Wkst'!$L$7:$L$2010,"04",'LAC 102_Wkst'!$N$7:$N$2010,"P5")</f>
        <v>0</v>
      </c>
      <c r="Q44" s="411">
        <f>SUMIFS('LAC 102_Wkst'!$AE$7:$AE$2010,'LAC 102_Wkst'!$E$7:$E$2010,$C44,'LAC 102_Wkst'!$G$7:$G$2010,$D44,'LAC 102_Wkst'!$L$7:$L$2010,"03",'LAC 102_Wkst'!$N$7:$N$2010,"P5")+SUMIFS('LAC 102_Wkst'!$AE$7:$AE$2010,'LAC 102_Wkst'!$E$7:$E$2010,$C44,'LAC 102_Wkst'!$G$7:$G$2010,$D44,'LAC 102_Wkst'!$L$7:$L$2010,"04",'LAC 102_Wkst'!$N$7:$N$2010,"P5")</f>
        <v>0</v>
      </c>
      <c r="R44" s="412">
        <f>SUMIFS('LAC 102_Wkst'!$Q$7:$Q$2010,'LAC 102_Wkst'!$E$7:$E$2010,$C44,'LAC 102_Wkst'!$G$7:$G$2010,$D44,'LAC 102_Wkst'!$L$7:$L$2010,"05",'LAC 102_Wkst'!$N$7:$N$2010,"P1")+SUMIFS('LAC 102_Wkst'!$Q$7:$Q$2010,'LAC 102_Wkst'!$E$7:$E$2010,$C44,'LAC 102_Wkst'!$G$7:$G$2010,$D44,'LAC 102_Wkst'!$L$7:$L$2010,"06",'LAC 102_Wkst'!$N$7:$N$2010,"P1")</f>
        <v>0</v>
      </c>
      <c r="S44" s="411">
        <f>SUMIFS('LAC 102_Wkst'!$AE$7:$AE$2010,'LAC 102_Wkst'!$E$7:$E$2010,$C44,'LAC 102_Wkst'!$G$7:$G$2010,$D44,'LAC 102_Wkst'!$L$7:$L$2010,"05",'LAC 102_Wkst'!$N$7:$N$2010,"P1")+SUMIFS('LAC 102_Wkst'!$AE$7:$AE$2010,'LAC 102_Wkst'!$E$7:$E$2010,$C44,'LAC 102_Wkst'!$G$7:$G$2010,$D44,'LAC 102_Wkst'!$L$7:$L$2010,"06",'LAC 102_Wkst'!$N$7:$N$2010,"P1")</f>
        <v>0</v>
      </c>
      <c r="T44" s="410">
        <f>SUMIFS('LAC 102_Wkst'!$Q$7:$Q$2010,'LAC 102_Wkst'!$E$7:$E$2010,$C44,'LAC 102_Wkst'!$G$7:$G$2010,$D44,'LAC 102_Wkst'!$L$7:$L$2010,"05",'LAC 102_Wkst'!$N$7:$N$2010,"P2")+SUMIFS('LAC 102_Wkst'!$Q$7:$Q$2010,'LAC 102_Wkst'!$E$7:$E$2010,$C44,'LAC 102_Wkst'!$G$7:$G$2010,$D44,'LAC 102_Wkst'!$L$7:$L$2010,"05",'LAC 102_Wkst'!$N$7:$N$2010,"P3")+SUMIFS('LAC 102_Wkst'!$Q$7:$Q$2010,'LAC 102_Wkst'!$E$7:$E$2010,$C44,'LAC 102_Wkst'!$G$7:$G$2010,$D44,'LAC 102_Wkst'!$L$7:$L$2010,"06",'LAC 102_Wkst'!$N$7:$N$2010,"P2")+SUMIFS('LAC 102_Wkst'!$Q$7:$Q$2010,'LAC 102_Wkst'!$E$7:$E$2010,$C44,'LAC 102_Wkst'!$G$7:$G$2010,$D44,'LAC 102_Wkst'!$L$7:$L$2010,"06",'LAC 102_Wkst'!$N$7:$N$2010,"P3")</f>
        <v>0</v>
      </c>
      <c r="U44" s="411">
        <f>SUMIFS('LAC 102_Wkst'!$AE$7:$AE$2010,'LAC 102_Wkst'!$E$7:$E$2010,$C44,'LAC 102_Wkst'!$G$7:$G$2010,$D44,'LAC 102_Wkst'!$L$7:$L$2010,"05",'LAC 102_Wkst'!$N$7:$N$2010,"P2")+SUMIFS('LAC 102_Wkst'!$AE$7:$AE$2010,'LAC 102_Wkst'!$E$7:$E$2010,$C44,'LAC 102_Wkst'!$G$7:$G$2010,$D44,'LAC 102_Wkst'!$L$7:$L$2010,"06",'LAC 102_Wkst'!$N$7:$N$2010,"P3")+SUMIFS('LAC 102_Wkst'!$AE$7:$AE$2010,'LAC 102_Wkst'!$E$7:$E$2010,$C44,'LAC 102_Wkst'!$G$7:$G$2010,$D44,'LAC 102_Wkst'!$L$7:$L$2010,"05",'LAC 102_Wkst'!$N$7:$N$2010,"P2")+SUMIFS('LAC 102_Wkst'!$AE$7:$AE$2010,'LAC 102_Wkst'!$E$7:$E$2010,$C44,'LAC 102_Wkst'!$G$7:$G$2010,$D44,'LAC 102_Wkst'!$L$7:$L$2010,"06",'LAC 102_Wkst'!$N$7:$N$2010,"P3")</f>
        <v>0</v>
      </c>
      <c r="V44" s="410">
        <f>SUMIFS('LAC 102_Wkst'!$Q$7:$Q$2010,'LAC 102_Wkst'!$E$7:$E$2010,$C44,'LAC 102_Wkst'!$G$7:$G$2010,$D44,'LAC 102_Wkst'!$L$7:$L$2010,"05",'LAC 102_Wkst'!$N$7:$N$2010,"P4")+SUMIFS('LAC 102_Wkst'!$Q$7:$Q$2010,'LAC 102_Wkst'!$E$7:$E$2010,$C44,'LAC 102_Wkst'!$G$7:$G$2010,$D44,'LAC 102_Wkst'!$L$7:$L$2010,"06",'LAC 102_Wkst'!$N$7:$N$2010,"P4")</f>
        <v>0</v>
      </c>
      <c r="W44" s="411">
        <f>SUMIFS('LAC 102_Wkst'!$AE$7:$AE$2010,'LAC 102_Wkst'!$E$7:$E$2010,$C44,'LAC 102_Wkst'!$G$7:$G$2010,$D44,'LAC 102_Wkst'!$L$7:$L$2010,"05",'LAC 102_Wkst'!$N$7:$N$2010,"P4")+SUMIFS('LAC 102_Wkst'!$AE$7:$AE$2010,'LAC 102_Wkst'!$E$7:$E$2010,$C44,'LAC 102_Wkst'!$G$7:$G$2010,$D44,'LAC 102_Wkst'!$L$7:$L$2010,"06",'LAC 102_Wkst'!$N$7:$N$2010,"P4")</f>
        <v>0</v>
      </c>
      <c r="X44" s="410">
        <f>SUMIFS('LAC 102_Wkst'!$Q$7:$Q$2010,'LAC 102_Wkst'!$E$7:$E$2010,$C44,'LAC 102_Wkst'!$G$7:$G$2010,$D44,'LAC 102_Wkst'!$L$7:$L$2010,"05",'LAC 102_Wkst'!$N$7:$N$2010,"P5")+SUMIFS('LAC 102_Wkst'!$Q$7:$Q$2010,'LAC 102_Wkst'!$E$7:$E$2010,$C44,'LAC 102_Wkst'!$G$7:$G$2010,$D44,'LAC 102_Wkst'!$L$7:$L$2010,"06",'LAC 102_Wkst'!$N$7:$N$2010,"P5")</f>
        <v>0</v>
      </c>
      <c r="Y44" s="411">
        <f>SUMIFS('LAC 102_Wkst'!$AE$7:$AE$2010,'LAC 102_Wkst'!$E$7:$E$2010,$C44,'LAC 102_Wkst'!$G$7:$G$2010,$D44,'LAC 102_Wkst'!$L$7:$L$2010,"05",'LAC 102_Wkst'!$N$7:$N$2010,"P5")+SUMIFS('LAC 102_Wkst'!$AE$7:$AE$2010,'LAC 102_Wkst'!$E$7:$E$2010,$C44,'LAC 102_Wkst'!$G$7:$G$2010,$D44,'LAC 102_Wkst'!$L$7:$L$2010,"06",'LAC 102_Wkst'!$N$7:$N$2010,"P5")</f>
        <v>0</v>
      </c>
      <c r="Z44" s="410">
        <f>SUMIFS('LAC 102_Wkst'!$Q$7:$Q$2010,'LAC 102_Wkst'!$E$7:$E$2010,$C44,'LAC 102_Wkst'!$G$7:$G$2010,$D44,'LAC 102_Wkst'!$L$7:$L$2010,"07",'LAC 102_Wkst'!$N$7:$N$2010,"P1")+SUMIFS('LAC 102_Wkst'!$Q$7:$Q$2010,'LAC 102_Wkst'!$E$7:$E$2010,$C44,'LAC 102_Wkst'!$G$7:$G$2010,$D44,'LAC 102_Wkst'!$L$7:$L$2010,"07",'LAC 102_Wkst'!$N$7:$N$2010,"P2")+SUMIFS('LAC 102_Wkst'!$Q$7:$Q$2010,'LAC 102_Wkst'!$E$7:$E$2010,$C44,'LAC 102_Wkst'!$G$7:$G$2010,$D44,'LAC 102_Wkst'!$L$7:$L$2010,"07",'LAC 102_Wkst'!$N$7:$N$2010,"P3")</f>
        <v>0</v>
      </c>
      <c r="AA44" s="411">
        <f>SUMIFS('LAC 102_Wkst'!$AE$7:$AE$2010,'LAC 102_Wkst'!$E$7:$E$2010,$C44,'LAC 102_Wkst'!$G$7:$G$2010,$D44,'LAC 102_Wkst'!$L$7:$L$2010,"07",'LAC 102_Wkst'!$N$7:$N$2010,"P1")+SUMIFS('LAC 102_Wkst'!$AE$7:$AE$2010,'LAC 102_Wkst'!$E$7:$E$2010,$C44,'LAC 102_Wkst'!$G$7:$G$2010,$D44,'LAC 102_Wkst'!$L$7:$L$2010,"07",'LAC 102_Wkst'!$N$7:$N$2010,"P2")+SUMIFS('LAC 102_Wkst'!$AE$7:$AE$2010,'LAC 102_Wkst'!$E$7:$E$2010,$C44,'LAC 102_Wkst'!$G$7:$G$2010,$D44,'LAC 102_Wkst'!$L$7:$L$2010,"07",'LAC 102_Wkst'!$N$7:$N$2010,"P3")</f>
        <v>0</v>
      </c>
      <c r="AB44" s="410">
        <f>SUMIFS('LAC 102_Wkst'!$Q$7:$Q$2010,'LAC 102_Wkst'!$E$7:$E$2010,$C44,'LAC 102_Wkst'!$G$7:$G$2010,$D44,'LAC 102_Wkst'!$L$7:$L$2010,"07",'LAC 102_Wkst'!$N$7:$N$2010,"P4")</f>
        <v>0</v>
      </c>
      <c r="AC44" s="411">
        <f>SUMIFS('LAC 102_Wkst'!$AE$7:$AE$2010,'LAC 102_Wkst'!$E$7:$E$2010,$C44,'LAC 102_Wkst'!$G$7:$G$2010,$D44,'LAC 102_Wkst'!$L$7:$L$2010,"07",'LAC 102_Wkst'!$N$7:$N$2010,"P4")</f>
        <v>0</v>
      </c>
      <c r="AD44" s="410">
        <f>SUMIFS('LAC 102_Wkst'!$Q$7:$Q$2010,'LAC 102_Wkst'!$E$7:$E$2010,$C44,'LAC 102_Wkst'!$G$7:$G$2010,$D44,'LAC 102_Wkst'!$L$7:$L$2010,"07",'LAC 102_Wkst'!$N$7:$N$2010,"P5")</f>
        <v>0</v>
      </c>
      <c r="AE44" s="411">
        <f>SUMIFS('LAC 102_Wkst'!$AE$7:$AE$2010,'LAC 102_Wkst'!$E$7:$E$2010,$C44,'LAC 102_Wkst'!$G$7:$G$2010,$D44,'LAC 102_Wkst'!$L$7:$L$2010,"07",'LAC 102_Wkst'!$N$7:$N$2010,"P5")</f>
        <v>0</v>
      </c>
      <c r="AF44" s="410">
        <f>SUMIFS('LAC 102_Wkst'!$Q$7:$Q$2010,'LAC 102_Wkst'!$E$7:$E$2010,$C44,'LAC 102_Wkst'!$G$7:$G$2010,$D44,'LAC 102_Wkst'!$L$7:$L$2010,"08",'LAC 102_Wkst'!$N$7:$N$2010,"P1")+SUMIFS('LAC 102_Wkst'!$Q$7:$Q$2010,'LAC 102_Wkst'!$E$7:$E$2010,$C44,'LAC 102_Wkst'!$G$7:$G$2010,$D44,'LAC 102_Wkst'!$L$7:$L$2010,"08",'LAC 102_Wkst'!$N$7:$N$2010,"P2")+SUMIFS('LAC 102_Wkst'!$Q$7:$Q$2010,'LAC 102_Wkst'!$E$7:$E$2010,$C44,'LAC 102_Wkst'!$G$7:$G$2010,$D44,'LAC 102_Wkst'!$L$7:$L$2010,"08",'LAC 102_Wkst'!$N$7:$N$2010,"P3")</f>
        <v>0</v>
      </c>
      <c r="AG44" s="411">
        <f>SUMIFS('LAC 102_Wkst'!$AE$7:$AE$2010,'LAC 102_Wkst'!$E$7:$E$2010,$C44,'LAC 102_Wkst'!$G$7:$G$2010,$D44,'LAC 102_Wkst'!$L$7:$L$2010,"08",'LAC 102_Wkst'!$N$7:$N$2010,"P1")+SUMIFS('LAC 102_Wkst'!$AE$7:$AE$2010,'LAC 102_Wkst'!$E$7:$E$2010,$C44,'LAC 102_Wkst'!$G$7:$G$2010,$D44,'LAC 102_Wkst'!$L$7:$L$2010,"08",'LAC 102_Wkst'!$N$7:$N$2010,"P2")+SUMIFS('LAC 102_Wkst'!$AE$7:$AE$2010,'LAC 102_Wkst'!$E$7:$E$2010,$C44,'LAC 102_Wkst'!$G$7:$G$2010,$D44,'LAC 102_Wkst'!$L$7:$L$2010,"08",'LAC 102_Wkst'!$N$7:$N$2010,"P3")</f>
        <v>0</v>
      </c>
      <c r="AH44" s="410">
        <f>SUMIFS('LAC 102_Wkst'!$Q$7:$Q$2010,'LAC 102_Wkst'!$E$7:$E$2010,$C44,'LAC 102_Wkst'!$G$7:$G$2010,$D44,'LAC 102_Wkst'!$L$7:$L$2010,"08",'LAC 102_Wkst'!$N$7:$N$2010,"P4")</f>
        <v>0</v>
      </c>
      <c r="AI44" s="411">
        <f>SUMIFS('LAC 102_Wkst'!$AE$7:$AE$2010,'LAC 102_Wkst'!$E$7:$E$2010,$C44,'LAC 102_Wkst'!$G$7:$G$2010,$D44,'LAC 102_Wkst'!$L$7:$L$2010,"08",'LAC 102_Wkst'!$N$7:$N$2010,"P4")</f>
        <v>0</v>
      </c>
      <c r="AJ44" s="410">
        <f>SUMIFS('LAC 102_Wkst'!$Q$7:$Q$2010,'LAC 102_Wkst'!$E$7:$E$2010,$C44,'LAC 102_Wkst'!$G$7:$G$2010,$D44,'LAC 102_Wkst'!$L$7:$L$2010,"08",'LAC 102_Wkst'!$N$7:$N$2010,"P5")</f>
        <v>0</v>
      </c>
      <c r="AK44" s="411">
        <f>SUMIFS('LAC 102_Wkst'!$AE$7:$AE$2010,'LAC 102_Wkst'!$E$7:$E$2010,$C44,'LAC 102_Wkst'!$G$7:$G$2010,$D44,'LAC 102_Wkst'!$L$7:$L$2010,"08",'LAC 102_Wkst'!$N$7:$N$2010,"P5")</f>
        <v>0</v>
      </c>
      <c r="AL44" s="410">
        <f>SUMIFS('LAC 102_Wkst'!$Q$7:$Q$2010,'LAC 102_Wkst'!$E$7:$E$2010,$C44,'LAC 102_Wkst'!$G$7:$G$2010,$D44,'LAC 102_Wkst'!$L$7:$L$2010,"09",'LAC 102_Wkst'!$N$7:$N$2010,"P1")+SUMIFS('LAC 102_Wkst'!$Q$7:$Q$2010,'LAC 102_Wkst'!$E$7:$E$2010,$C44,'LAC 102_Wkst'!$G$7:$G$2010,$D44,'LAC 102_Wkst'!$L$7:$L$2010,"09",'LAC 102_Wkst'!$N$7:$N$2010,"P2")+SUMIFS('LAC 102_Wkst'!$Q$7:$Q$2010,'LAC 102_Wkst'!$E$7:$E$2010,$C44,'LAC 102_Wkst'!$G$7:$G$2010,$D44,'LAC 102_Wkst'!$L$7:$L$2010,"09",'LAC 102_Wkst'!$N$7:$N$2010,"P3")+SUMIFS('LAC 102_Wkst'!$Q$7:$Q$2010,'LAC 102_Wkst'!$E$7:$E$2010,$C44,'LAC 102_Wkst'!$G$7:$G$2010,$D44,'LAC 102_Wkst'!$L$7:$L$2010,"09",'LAC 102_Wkst'!$N$7:$N$2010,"P4")</f>
        <v>0</v>
      </c>
      <c r="AM44" s="411">
        <f>SUMIFS('LAC 102_Wkst'!$AE$7:$AE$2010,'LAC 102_Wkst'!$E$7:$E$2010,$C44,'LAC 102_Wkst'!$G$7:$G$2010,$D44,'LAC 102_Wkst'!$L$7:$L$2010,"09",'LAC 102_Wkst'!$N$7:$N$2010,"P1")+SUMIFS('LAC 102_Wkst'!$AE$7:$AE$2010,'LAC 102_Wkst'!$E$7:$E$2010,$C44,'LAC 102_Wkst'!$G$7:$G$2010,$D44,'LAC 102_Wkst'!$L$7:$L$2010,"09",'LAC 102_Wkst'!$N$7:$N$2010,"P2")+SUMIFS('LAC 102_Wkst'!$AE$7:$AE$2010,'LAC 102_Wkst'!$E$7:$E$2010,$C44,'LAC 102_Wkst'!$G$7:$G$2010,$D44,'LAC 102_Wkst'!$L$7:$L$2010,"09",'LAC 102_Wkst'!$N$7:$N$2010,"P3")+SUMIFS('LAC 102_Wkst'!$AE$7:$AE$2010,'LAC 102_Wkst'!$E$7:$E$2010,$C44,'LAC 102_Wkst'!$G$7:$G$2010,$D44,'LAC 102_Wkst'!$L$7:$L$2010,"09",'LAC 102_Wkst'!$N$7:$N$2010,"P4")</f>
        <v>0</v>
      </c>
      <c r="AN44" s="410">
        <f>SUMIFS('LAC 102_Wkst'!$Q$7:$Q$2010,'LAC 102_Wkst'!$E$7:$E$2010,$C44,'LAC 102_Wkst'!$G$7:$G$2010,$D44,'LAC 102_Wkst'!$L$7:$L$2010,"09",'LAC 102_Wkst'!$N$7:$N$2010,"P5")</f>
        <v>0</v>
      </c>
      <c r="AO44" s="411">
        <f>SUMIFS('LAC 102_Wkst'!$AE$7:$AE$2010,'LAC 102_Wkst'!$E$7:$E$2010,$C44,'LAC 102_Wkst'!$G$7:$G$2010,$D44,'LAC 102_Wkst'!$L$7:$L$2010,"09",'LAC 102_Wkst'!$N$7:$N$2010,"P5")</f>
        <v>0</v>
      </c>
      <c r="AP44" s="410">
        <f>SUMIFS('LAC 102_Wkst'!$Q$7:$Q$2010,'LAC 102_Wkst'!$E$7:$E$2010,$C44,'LAC 102_Wkst'!$G$7:$G$2010,$D44,'LAC 102_Wkst'!$L$7:$L$2010,"10",'LAC 102_Wkst'!$N$7:$N$2010,"P1")+SUMIFS('LAC 102_Wkst'!$Q$7:$Q$2010,'LAC 102_Wkst'!$E$7:$E$2010,$C44,'LAC 102_Wkst'!$G$7:$G$2010,$D44,'LAC 102_Wkst'!$L$7:$L$2010,"10",'LAC 102_Wkst'!$N$7:$N$2010,"P2")+SUMIFS('LAC 102_Wkst'!$Q$7:$Q$2010,'LAC 102_Wkst'!$E$7:$E$2010,$C44,'LAC 102_Wkst'!$G$7:$G$2010,$D44,'LAC 102_Wkst'!$L$7:$L$2010,"10",'LAC 102_Wkst'!$N$7:$N$2010,"P3")+SUMIFS('LAC 102_Wkst'!$Q$7:$Q$2010,'LAC 102_Wkst'!$E$7:$E$2010,$C44,'LAC 102_Wkst'!$G$7:$G$2010,$D44,'LAC 102_Wkst'!$L$7:$L$2010,"10",'LAC 102_Wkst'!$N$7:$N$2010,"P4")</f>
        <v>0</v>
      </c>
      <c r="AQ44" s="411">
        <f>SUMIFS('LAC 102_Wkst'!$AE$7:$AE$2010,'LAC 102_Wkst'!$E$7:$E$2010,$C44,'LAC 102_Wkst'!$G$7:$G$2010,$D44,'LAC 102_Wkst'!$L$7:$L$2010,"10",'LAC 102_Wkst'!$N$7:$N$2010,"P1")+SUMIFS('LAC 102_Wkst'!$AE$7:$AE$2010,'LAC 102_Wkst'!$E$7:$E$2010,$C44,'LAC 102_Wkst'!$G$7:$G$2010,$D44,'LAC 102_Wkst'!$L$7:$L$2010,"10",'LAC 102_Wkst'!$N$7:$N$2010,"P2")+SUMIFS('LAC 102_Wkst'!$AE$7:$AE$2010,'LAC 102_Wkst'!$E$7:$E$2010,$C44,'LAC 102_Wkst'!$G$7:$G$2010,$D44,'LAC 102_Wkst'!$L$7:$L$2010,"10",'LAC 102_Wkst'!$N$7:$N$2010,"P3")+SUMIFS('LAC 102_Wkst'!$AE$7:$AE$2010,'LAC 102_Wkst'!$E$7:$E$2010,$C44,'LAC 102_Wkst'!$G$7:$G$2010,$D44,'LAC 102_Wkst'!$L$7:$L$2010,"10",'LAC 102_Wkst'!$N$7:$N$2010,"P4")</f>
        <v>0</v>
      </c>
      <c r="AR44" s="410">
        <f>SUMIFS('LAC 102_Wkst'!$Q$7:$Q$2010,'LAC 102_Wkst'!$E$7:$E$2010,$C44,'LAC 102_Wkst'!$G$7:$G$2010,$D44,'LAC 102_Wkst'!$L$7:$L$2010,"10",'LAC 102_Wkst'!$N$7:$N$2010,"P5")</f>
        <v>0</v>
      </c>
      <c r="AS44" s="411">
        <f>SUMIFS('LAC 102_Wkst'!$AE$7:$AE$2010,'LAC 102_Wkst'!$E$7:$E$2010,$C44,'LAC 102_Wkst'!$G$7:$G$2010,$D44,'LAC 102_Wkst'!$L$7:$L$2010,"10",'LAC 102_Wkst'!$N$7:$N$2010,"P5")</f>
        <v>0</v>
      </c>
      <c r="AT44" s="410">
        <f>SUMIFS('LAC 102_Wkst'!$Q$7:$Q$2010,'LAC 102_Wkst'!$E$7:$E$2010,$C44,'LAC 102_Wkst'!$G$7:$G$2010,$D44,'LAC 102_Wkst'!$L$7:$L$2010,"11",'LAC 102_Wkst'!$N$7:$N$2010,"P1")+SUMIFS('LAC 102_Wkst'!$Q$7:$Q$2010,'LAC 102_Wkst'!$E$7:$E$2010,$C44,'LAC 102_Wkst'!$G$7:$G$2010,$D44,'LAC 102_Wkst'!$L$7:$L$2010,"12",'LAC 102_Wkst'!$N$7:$N$2010,"P1")</f>
        <v>0</v>
      </c>
      <c r="AU44" s="411">
        <f>SUMIFS('LAC 102_Wkst'!$AE$7:$AE$2010,'LAC 102_Wkst'!$E$7:$E$2010,$C44,'LAC 102_Wkst'!$G$7:$G$2010,$D44,'LAC 102_Wkst'!$L$7:$L$2010,"11",'LAC 102_Wkst'!$N$7:$N$2010,"P1")+SUMIFS('LAC 102_Wkst'!$AE$7:$AE$2010,'LAC 102_Wkst'!$E$7:$E$2010,$C44,'LAC 102_Wkst'!$G$7:$G$2010,$D44,'LAC 102_Wkst'!$L$7:$L$2010,"12",'LAC 102_Wkst'!$N$7:$N$2010,"P1")</f>
        <v>0</v>
      </c>
      <c r="AV44" s="410">
        <f>SUMIFS('LAC 102_Wkst'!$Q$7:$Q$2010,'LAC 102_Wkst'!$E$7:$E$2010,$C44,'LAC 102_Wkst'!$G$7:$G$2010,$D44,'LAC 102_Wkst'!$L$7:$L$2010,"11",'LAC 102_Wkst'!$N$7:$N$2010,"P2")+SUMIFS('LAC 102_Wkst'!$Q$7:$Q$2010,'LAC 102_Wkst'!$E$7:$E$2010,$C44,'LAC 102_Wkst'!$G$7:$G$2010,$D44,'LAC 102_Wkst'!$L$7:$L$2010,"12",'LAC 102_Wkst'!$N$7:$N$2010,"P3")+SUMIFS('LAC 102_Wkst'!$Q$7:$Q$2010,'LAC 102_Wkst'!$E$7:$E$2010,$C44,'LAC 102_Wkst'!$G$7:$G$2010,$D44,'LAC 102_Wkst'!$L$7:$L$2010,"11",'LAC 102_Wkst'!$N$7:$N$2010,"P2")+SUMIFS('LAC 102_Wkst'!$Q$7:$Q$2010,'LAC 102_Wkst'!$E$7:$E$2010,$C44,'LAC 102_Wkst'!$G$7:$G$2010,$D44,'LAC 102_Wkst'!$L$7:$L$2010,"12",'LAC 102_Wkst'!$N$7:$N$2010,"P3")</f>
        <v>0</v>
      </c>
      <c r="AW44" s="411">
        <f>SUMIFS('LAC 102_Wkst'!$AE$7:$AE$2010,'LAC 102_Wkst'!$E$7:$E$2010,$C44,'LAC 102_Wkst'!$G$7:$G$2010,$D44,'LAC 102_Wkst'!$L$7:$L$2010,"11",'LAC 102_Wkst'!$N$7:$N$2010,"P2")+SUMIFS('LAC 102_Wkst'!$AE$7:$AE$2010,'LAC 102_Wkst'!$E$7:$E$2010,$C44,'LAC 102_Wkst'!$G$7:$G$2010,$D44,'LAC 102_Wkst'!$L$7:$L$2010,"12",'LAC 102_Wkst'!$N$7:$N$2010,"P3")+SUMIFS('LAC 102_Wkst'!$AE$7:$AE$2010,'LAC 102_Wkst'!$E$7:$E$2010,$C44,'LAC 102_Wkst'!$G$7:$G$2010,$D44,'LAC 102_Wkst'!$L$7:$L$2010,"11",'LAC 102_Wkst'!$N$7:$N$2010,"P2")+SUMIFS('LAC 102_Wkst'!$AE$7:$AE$2010,'LAC 102_Wkst'!$E$7:$E$2010,$C44,'LAC 102_Wkst'!$G$7:$G$2010,$D44,'LAC 102_Wkst'!$L$7:$L$2010,"12",'LAC 102_Wkst'!$N$7:$N$2010,"P3")</f>
        <v>0</v>
      </c>
      <c r="AX44" s="410">
        <f>SUMIFS('LAC 102_Wkst'!$Q$7:$Q$2010,'LAC 102_Wkst'!$E$7:$E$2010,$C44,'LAC 102_Wkst'!$G$7:$G$2010,$D44,'LAC 102_Wkst'!$L$7:$L$2010,"11",'LAC 102_Wkst'!$N$7:$N$2010,"P4")+SUMIFS('LAC 102_Wkst'!$Q$7:$Q$2010,'LAC 102_Wkst'!$E$7:$E$2010,$C44,'LAC 102_Wkst'!$G$7:$G$2010,$D44,'LAC 102_Wkst'!$L$7:$L$2010,"12",'LAC 102_Wkst'!$N$7:$N$2010,"P4")</f>
        <v>0</v>
      </c>
      <c r="AY44" s="411">
        <f>SUMIFS('LAC 102_Wkst'!$AE$7:$AE$2010,'LAC 102_Wkst'!$E$7:$E$2010,$C44,'LAC 102_Wkst'!$G$7:$G$2010,$D44,'LAC 102_Wkst'!$L$7:$L$2010,"11",'LAC 102_Wkst'!$N$7:$N$2010,"P4")+SUMIFS('LAC 102_Wkst'!$AE$7:$AE$2010,'LAC 102_Wkst'!$E$7:$E$2010,$C44,'LAC 102_Wkst'!$G$7:$G$2010,$D44,'LAC 102_Wkst'!$L$7:$L$2010,"12",'LAC 102_Wkst'!$N$7:$N$2010,"P4")</f>
        <v>0</v>
      </c>
      <c r="AZ44" s="410">
        <f>SUMIFS('LAC 102_Wkst'!$Q$7:$Q$2010,'LAC 102_Wkst'!$E$7:$E$2010,$C44,'LAC 102_Wkst'!$G$7:$G$2010,$D44,'LAC 102_Wkst'!$L$7:$L$2010,"11",'LAC 102_Wkst'!$N$7:$N$2010,"P5")+SUMIFS('LAC 102_Wkst'!$Q$7:$Q$2010,'LAC 102_Wkst'!$E$7:$E$2010,$C44,'LAC 102_Wkst'!$G$7:$G$2010,$D44,'LAC 102_Wkst'!$L$7:$L$2010,"12",'LAC 102_Wkst'!$N$7:$N$2010,"P5")</f>
        <v>0</v>
      </c>
      <c r="BA44" s="411">
        <f>SUMIFS('LAC 102_Wkst'!$AE$7:$AE$2010,'LAC 102_Wkst'!$E$7:$E$2010,$C44,'LAC 102_Wkst'!$G$7:$G$2010,$D44,'LAC 102_Wkst'!$L$7:$L$2010,"11",'LAC 102_Wkst'!$N$7:$N$2010,"P5")+SUMIFS('LAC 102_Wkst'!$AE$7:$AE$2010,'LAC 102_Wkst'!$E$7:$E$2010,$C44,'LAC 102_Wkst'!$G$7:$G$2010,$D44,'LAC 102_Wkst'!$L$7:$L$2010,"12",'LAC 102_Wkst'!$N$7:$N$2010,"P5")</f>
        <v>0</v>
      </c>
      <c r="BB44" s="410">
        <f>SUMIFS('LAC 102_Wkst'!$Q$7:$Q$2010,'LAC 102_Wkst'!$E$7:$E$2010,$C44,'LAC 102_Wkst'!$G$7:$G$2010,$D44,'LAC 102_Wkst'!$L$7:$L$2010,"13",'LAC 102_Wkst'!$N$7:$N$2010,"P1")+SUMIFS('LAC 102_Wkst'!$Q$7:$Q$2010,'LAC 102_Wkst'!$E$7:$E$2010,$C44,'LAC 102_Wkst'!$G$7:$G$2010,$D44,'LAC 102_Wkst'!$L$7:$L$2010,"13",'LAC 102_Wkst'!$N$7:$N$2010,"P2")+SUMIFS('LAC 102_Wkst'!$Q$7:$Q$2010,'LAC 102_Wkst'!$E$7:$E$2010,$C44,'LAC 102_Wkst'!$G$7:$G$2010,$D44,'LAC 102_Wkst'!$L$7:$L$2010,"13",'LAC 102_Wkst'!$N$7:$N$2010,"P3")+SUMIFS('LAC 102_Wkst'!$Q$7:$Q$2010,'LAC 102_Wkst'!$E$7:$E$2010,$C44,'LAC 102_Wkst'!$G$7:$G$2010,$D44,'LAC 102_Wkst'!$L$7:$L$2010,"13",'LAC 102_Wkst'!$N$7:$N$2010,"P4")</f>
        <v>0</v>
      </c>
      <c r="BC44" s="411">
        <f>SUMIFS('LAC 102_Wkst'!$AE$7:$AE$2010,'LAC 102_Wkst'!$E$7:$E$2010,$C44,'LAC 102_Wkst'!$G$7:$G$2010,$D44,'LAC 102_Wkst'!$L$7:$L$2010,"13",'LAC 102_Wkst'!$N$7:$N$2010,"P1")+SUMIFS('LAC 102_Wkst'!$AE$7:$AE$2010,'LAC 102_Wkst'!$E$7:$E$2010,$C44,'LAC 102_Wkst'!$G$7:$G$2010,$D44,'LAC 102_Wkst'!$L$7:$L$2010,"13",'LAC 102_Wkst'!$N$7:$N$2010,"P2")+SUMIFS('LAC 102_Wkst'!$AE$7:$AE$2010,'LAC 102_Wkst'!$E$7:$E$2010,$C44,'LAC 102_Wkst'!$G$7:$G$2010,$D44,'LAC 102_Wkst'!$L$7:$L$2010,"13",'LAC 102_Wkst'!$N$7:$N$2010,"P3")+SUMIFS('LAC 102_Wkst'!$AE$7:$AE$2010,'LAC 102_Wkst'!$E$7:$E$2010,$C44,'LAC 102_Wkst'!$G$7:$G$2010,$D44,'LAC 102_Wkst'!$L$7:$L$2010,"13",'LAC 102_Wkst'!$N$7:$N$2010,"P4")</f>
        <v>0</v>
      </c>
      <c r="BD44" s="410">
        <f>SUMIFS('LAC 102_Wkst'!$Q$7:$Q$2010,'LAC 102_Wkst'!$E$7:$E$2010,$C44,'LAC 102_Wkst'!$G$7:$G$2010,$D44,'LAC 102_Wkst'!$L$7:$L$2010,"13",'LAC 102_Wkst'!$N$7:$N$2010,"P5")</f>
        <v>0</v>
      </c>
      <c r="BE44" s="411">
        <f>SUMIFS('LAC 102_Wkst'!$AE$7:$AE$2010,'LAC 102_Wkst'!$E$7:$E$2010,$C44,'LAC 102_Wkst'!$G$7:$G$2010,$D44,'LAC 102_Wkst'!$L$7:$L$2010,"13",'LAC 102_Wkst'!$N$7:$N$2010,"P5")</f>
        <v>0</v>
      </c>
      <c r="BF44" s="407">
        <f t="shared" si="0"/>
        <v>0</v>
      </c>
    </row>
    <row r="45" spans="1:58" x14ac:dyDescent="0.2">
      <c r="A45" s="401">
        <v>26</v>
      </c>
      <c r="B45" s="1236"/>
      <c r="C45" s="1235"/>
      <c r="D45" s="1237"/>
      <c r="E45" s="1222">
        <f>IF(CONCATENATE(C45,D45)&gt;"6069",1,SUMIFS('LAC 102_Wkst'!$Q$7:$Q$2010,'LAC 102_Wkst'!$E$7:$E$2010,Schedule_B!$C45,'LAC 102_Wkst'!$G$7:$G$2010,Schedule_B!$D45))</f>
        <v>0</v>
      </c>
      <c r="F45" s="408">
        <f>SUMIFS('LAC 102_Wkst'!$Q$7:$Q$2010,'LAC 102_Wkst'!$E$7:$E$2010,$C45,'LAC 102_Wkst'!$G$7:$G$2010,$D45,'LAC 102_Wkst'!$L$7:$L$2010,"01",'LAC 102_Wkst'!$N$7:$N$2010,"P1")+SUMIFS('LAC 102_Wkst'!$Q$7:$Q$2010,'LAC 102_Wkst'!$E$7:$E$2010,$C45,'LAC 102_Wkst'!$G$7:$G$2010,$D45,'LAC 102_Wkst'!$L$7:$L$2010,"01",'LAC 102_Wkst'!$N$7:$N$2010,"P2")+SUMIFS('LAC 102_Wkst'!$Q$7:$Q$2010,'LAC 102_Wkst'!$E$7:$E$2010,$C45,'LAC 102_Wkst'!$G$7:$G$2010,$D45,'LAC 102_Wkst'!$L$7:$L$2010,"01",'LAC 102_Wkst'!$N$7:$N$2010,"P3")+SUMIFS('LAC 102_Wkst'!$Q$7:$Q$2010,'LAC 102_Wkst'!$E$7:$E$2010,$C45,'LAC 102_Wkst'!$G$7:$G$2010,$D45,'LAC 102_Wkst'!$L$7:$L$2010,"02",'LAC 102_Wkst'!$N$7:$N$2010,"P1")+SUMIFS('LAC 102_Wkst'!$Q$7:$Q$2010,'LAC 102_Wkst'!$E$7:$E$2010,$C45,'LAC 102_Wkst'!$G$7:$G$2010,$D45,'LAC 102_Wkst'!$L$7:$L$2010,"02",'LAC 102_Wkst'!$N$7:$N$2010,"P2")+SUMIFS('LAC 102_Wkst'!$Q$7:$Q$2010,'LAC 102_Wkst'!$E$7:$E$2010,$C45,'LAC 102_Wkst'!$G$7:$G$2010,$D45,'LAC 102_Wkst'!$L$7:$L$2010,"02",'LAC 102_Wkst'!$N$7:$N$2010,"P3")</f>
        <v>0</v>
      </c>
      <c r="G45" s="409">
        <f>SUMIFS('LAC 102_Wkst'!$AE$7:$AE$2010,'LAC 102_Wkst'!$E$7:$E$2010,$C45,'LAC 102_Wkst'!$G$7:$G$2010,$D45,'LAC 102_Wkst'!$L$7:$L$2010,"01",'LAC 102_Wkst'!$N$7:$N$2010,"P1")+SUMIFS('LAC 102_Wkst'!$AE$7:$AE$2010,'LAC 102_Wkst'!$E$7:$E$2010,$C45,'LAC 102_Wkst'!$G$7:$G$2010,$D45,'LAC 102_Wkst'!$L$7:$L$2010,"01",'LAC 102_Wkst'!$N$7:$N$2010,"P2")+SUMIFS('LAC 102_Wkst'!$AE$7:$AE$2010,'LAC 102_Wkst'!$E$7:$E$2010,$C45,'LAC 102_Wkst'!$G$7:$G$2010,$D45,'LAC 102_Wkst'!$L$7:$L$2010,"01",'LAC 102_Wkst'!$N$7:$N$2010,"P3")+SUMIFS('LAC 102_Wkst'!$AE$7:$AE$2010,'LAC 102_Wkst'!$E$7:$E$2010,$C45,'LAC 102_Wkst'!$G$7:$G$2010,$D45,'LAC 102_Wkst'!$L$7:$L$2010,"02",'LAC 102_Wkst'!$N$7:$N$2010,"P1")+SUMIFS('LAC 102_Wkst'!$AE$7:$AE$2010,'LAC 102_Wkst'!$E$7:$E$2010,$C45,'LAC 102_Wkst'!$G$7:$G$2010,$D45,'LAC 102_Wkst'!$L$7:$L$2010,"02",'LAC 102_Wkst'!$N$7:$N$2010,"P2")+SUMIFS('LAC 102_Wkst'!$AE$7:$AE$2010,'LAC 102_Wkst'!$E$7:$E$2010,$C45,'LAC 102_Wkst'!$G$7:$G$2010,$D45,'LAC 102_Wkst'!$L$7:$L$2010,"02",'LAC 102_Wkst'!$N$7:$N$2010,"P3")</f>
        <v>0</v>
      </c>
      <c r="H45" s="410">
        <f>SUMIFS('LAC 102_Wkst'!$Q$7:$Q$2010,'LAC 102_Wkst'!$E$7:$E$2010,$C45,'LAC 102_Wkst'!$G$7:$G$2010,$D45,'LAC 102_Wkst'!$L$7:$L$2010,"01",'LAC 102_Wkst'!$N$7:$N$2010,"P4")+SUMIFS('LAC 102_Wkst'!$Q$7:$Q$2010,'LAC 102_Wkst'!$E$7:$E$2010,$C45,'LAC 102_Wkst'!$G$7:$G$2010,$D45,'LAC 102_Wkst'!$L$7:$L$2010,"02",'LAC 102_Wkst'!$N$7:$N$2010,"P4")</f>
        <v>0</v>
      </c>
      <c r="I45" s="411">
        <f>SUMIFS('LAC 102_Wkst'!$AE$7:$AE$2010,'LAC 102_Wkst'!$E$7:$E$2010,$C45,'LAC 102_Wkst'!$G$7:$G$2010,$D45,'LAC 102_Wkst'!$L$7:$L$2010,"01",'LAC 102_Wkst'!$N$7:$N$2010,"P4")+SUMIFS('LAC 102_Wkst'!$AE$7:$AE$2010,'LAC 102_Wkst'!$E$7:$E$2010,$C45,'LAC 102_Wkst'!$G$7:$G$2010,$D45,'LAC 102_Wkst'!$L$7:$L$2010,"02",'LAC 102_Wkst'!$N$7:$N$2010,"P4")</f>
        <v>0</v>
      </c>
      <c r="J45" s="410">
        <f>SUMIFS('LAC 102_Wkst'!$Q$7:$Q$2010,'LAC 102_Wkst'!$E$7:$E$2010,$C45,'LAC 102_Wkst'!$G$7:$G$2010,$D45,'LAC 102_Wkst'!$L$7:$L$2010,"01",'LAC 102_Wkst'!$N$7:$N$2010,"P5")+SUMIFS('LAC 102_Wkst'!$Q$7:$Q$2010,'LAC 102_Wkst'!$E$7:$E$2010,$C45,'LAC 102_Wkst'!$G$7:$G$2010,$D45,'LAC 102_Wkst'!$L$7:$L$2010,"02",'LAC 102_Wkst'!$N$7:$N$2010,"P5")</f>
        <v>0</v>
      </c>
      <c r="K45" s="411">
        <f>SUMIFS('LAC 102_Wkst'!$AE$7:$AE$2010,'LAC 102_Wkst'!$E$7:$E$2010,$C45,'LAC 102_Wkst'!$G$7:$G$2010,$D45,'LAC 102_Wkst'!$L$7:$L$2010,"01",'LAC 102_Wkst'!$N$7:$N$2010,"P5")+SUMIFS('LAC 102_Wkst'!$AE$7:$AE$2010,'LAC 102_Wkst'!$E$7:$E$2010,$C45,'LAC 102_Wkst'!$G$7:$G$2010,$D45,'LAC 102_Wkst'!$L$7:$L$2010,"02",'LAC 102_Wkst'!$N$7:$N$2010,"P5")</f>
        <v>0</v>
      </c>
      <c r="L45" s="410">
        <f>SUMIFS('LAC 102_Wkst'!$Q$7:$Q$2010,'LAC 102_Wkst'!$E$7:$E$2010,$C45,'LAC 102_Wkst'!$G$7:$G$2010,$D45,'LAC 102_Wkst'!$L$7:$L$2010,"03",'LAC 102_Wkst'!$N$7:$N$2010,"P1")+SUMIFS('LAC 102_Wkst'!$Q$7:$Q$2010,'LAC 102_Wkst'!$E$7:$E$2010,$C45,'LAC 102_Wkst'!$G$7:$G$2010,$D45,'LAC 102_Wkst'!$L$7:$L$2010,"03",'LAC 102_Wkst'!$N$7:$N$2010,"P2")+SUMIFS('LAC 102_Wkst'!$Q$7:$Q$2010,'LAC 102_Wkst'!$E$7:$E$2010,$C45,'LAC 102_Wkst'!$G$7:$G$2010,$D45,'LAC 102_Wkst'!$L$7:$L$2010,"03",'LAC 102_Wkst'!$N$7:$N$2010,"P3")+SUMIFS('LAC 102_Wkst'!$Q$7:$Q$2010,'LAC 102_Wkst'!$E$7:$E$2010,$C45,'LAC 102_Wkst'!$G$7:$G$2010,$D45,'LAC 102_Wkst'!$L$7:$L$2010,"04",'LAC 102_Wkst'!$N$7:$N$2010,"P1")+SUMIFS('LAC 102_Wkst'!$Q$7:$Q$2010,'LAC 102_Wkst'!$E$7:$E$2010,$C45,'LAC 102_Wkst'!$G$7:$G$2010,$D45,'LAC 102_Wkst'!$L$7:$L$2010,"04",'LAC 102_Wkst'!$N$7:$N$2010,"P2")+SUMIFS('LAC 102_Wkst'!$Q$7:$Q$2010,'LAC 102_Wkst'!$E$7:$E$2010,$C45,'LAC 102_Wkst'!$G$7:$G$2010,$D45,'LAC 102_Wkst'!$L$7:$L$2010,"04",'LAC 102_Wkst'!$N$7:$N$2010,"P3")</f>
        <v>0</v>
      </c>
      <c r="M45" s="411">
        <f>SUMIFS('LAC 102_Wkst'!$AE$7:$AE$2010,'LAC 102_Wkst'!$E$7:$E$2010,$C45,'LAC 102_Wkst'!$G$7:$G$2010,$D45,'LAC 102_Wkst'!$L$7:$L$2010,"03",'LAC 102_Wkst'!$N$7:$N$2010,"P1")+SUMIFS('LAC 102_Wkst'!$AE$7:$AE$2010,'LAC 102_Wkst'!$E$7:$E$2010,$C45,'LAC 102_Wkst'!$G$7:$G$2010,$D45,'LAC 102_Wkst'!$L$7:$L$2010,"03",'LAC 102_Wkst'!$N$7:$N$2010,"P2")+SUMIFS('LAC 102_Wkst'!$AE$7:$AE$2010,'LAC 102_Wkst'!$E$7:$E$2010,$C45,'LAC 102_Wkst'!$G$7:$G$2010,$D45,'LAC 102_Wkst'!$L$7:$L$2010,"03",'LAC 102_Wkst'!$N$7:$N$2010,"P3")+SUMIFS('LAC 102_Wkst'!$AE$7:$AE$2010,'LAC 102_Wkst'!$E$7:$E$2010,$C45,'LAC 102_Wkst'!$G$7:$G$2010,$D45,'LAC 102_Wkst'!$L$7:$L$2010,"04",'LAC 102_Wkst'!$N$7:$N$2010,"P1")+SUMIFS('LAC 102_Wkst'!$AE$7:$AE$2010,'LAC 102_Wkst'!$E$7:$E$2010,$C45,'LAC 102_Wkst'!$G$7:$G$2010,$D45,'LAC 102_Wkst'!$L$7:$L$2010,"04",'LAC 102_Wkst'!$N$7:$N$2010,"P2")+SUMIFS('LAC 102_Wkst'!$AE$7:$AE$2010,'LAC 102_Wkst'!$E$7:$E$2010,$C45,'LAC 102_Wkst'!$G$7:$G$2010,$D45,'LAC 102_Wkst'!$L$7:$L$2010,"04",'LAC 102_Wkst'!$N$7:$N$2010,"P3")</f>
        <v>0</v>
      </c>
      <c r="N45" s="410">
        <f>SUMIFS('LAC 102_Wkst'!$Q$7:$Q$2010,'LAC 102_Wkst'!$E$7:$E$2010,$C45,'LAC 102_Wkst'!$G$7:$G$2010,$D45,'LAC 102_Wkst'!$L$7:$L$2010,"03",'LAC 102_Wkst'!$N$7:$N$2010,"P4")+SUMIFS('LAC 102_Wkst'!$Q$7:$Q$2010,'LAC 102_Wkst'!$E$7:$E$2010,$C45,'LAC 102_Wkst'!$G$7:$G$2010,$D45,'LAC 102_Wkst'!$L$7:$L$2010,"04",'LAC 102_Wkst'!$N$7:$N$2010,"P4")</f>
        <v>0</v>
      </c>
      <c r="O45" s="411">
        <f>SUMIFS('LAC 102_Wkst'!$AE$7:$AE$2010,'LAC 102_Wkst'!$E$7:$E$2010,$C45,'LAC 102_Wkst'!$G$7:$G$2010,$D45,'LAC 102_Wkst'!$L$7:$L$2010,"03",'LAC 102_Wkst'!$N$7:$N$2010,"P4")+SUMIFS('LAC 102_Wkst'!$AE$7:$AE$2010,'LAC 102_Wkst'!$E$7:$E$2010,$C45,'LAC 102_Wkst'!$G$7:$G$2010,$D45,'LAC 102_Wkst'!$L$7:$L$2010,"04",'LAC 102_Wkst'!$N$7:$N$2010,"P4")</f>
        <v>0</v>
      </c>
      <c r="P45" s="410">
        <f>SUMIFS('LAC 102_Wkst'!$Q$7:$Q$2010,'LAC 102_Wkst'!$E$7:$E$2010,$C45,'LAC 102_Wkst'!$G$7:$G$2010,$D45,'LAC 102_Wkst'!$L$7:$L$2010,"03",'LAC 102_Wkst'!$N$7:$N$2010,"P5")+SUMIFS('LAC 102_Wkst'!$Q$7:$Q$2010,'LAC 102_Wkst'!$E$7:$E$2010,$C45,'LAC 102_Wkst'!$G$7:$G$2010,$D45,'LAC 102_Wkst'!$L$7:$L$2010,"04",'LAC 102_Wkst'!$N$7:$N$2010,"P5")</f>
        <v>0</v>
      </c>
      <c r="Q45" s="411">
        <f>SUMIFS('LAC 102_Wkst'!$AE$7:$AE$2010,'LAC 102_Wkst'!$E$7:$E$2010,$C45,'LAC 102_Wkst'!$G$7:$G$2010,$D45,'LAC 102_Wkst'!$L$7:$L$2010,"03",'LAC 102_Wkst'!$N$7:$N$2010,"P5")+SUMIFS('LAC 102_Wkst'!$AE$7:$AE$2010,'LAC 102_Wkst'!$E$7:$E$2010,$C45,'LAC 102_Wkst'!$G$7:$G$2010,$D45,'LAC 102_Wkst'!$L$7:$L$2010,"04",'LAC 102_Wkst'!$N$7:$N$2010,"P5")</f>
        <v>0</v>
      </c>
      <c r="R45" s="412">
        <f>SUMIFS('LAC 102_Wkst'!$Q$7:$Q$2010,'LAC 102_Wkst'!$E$7:$E$2010,$C45,'LAC 102_Wkst'!$G$7:$G$2010,$D45,'LAC 102_Wkst'!$L$7:$L$2010,"05",'LAC 102_Wkst'!$N$7:$N$2010,"P1")+SUMIFS('LAC 102_Wkst'!$Q$7:$Q$2010,'LAC 102_Wkst'!$E$7:$E$2010,$C45,'LAC 102_Wkst'!$G$7:$G$2010,$D45,'LAC 102_Wkst'!$L$7:$L$2010,"06",'LAC 102_Wkst'!$N$7:$N$2010,"P1")</f>
        <v>0</v>
      </c>
      <c r="S45" s="411">
        <f>SUMIFS('LAC 102_Wkst'!$AE$7:$AE$2010,'LAC 102_Wkst'!$E$7:$E$2010,$C45,'LAC 102_Wkst'!$G$7:$G$2010,$D45,'LAC 102_Wkst'!$L$7:$L$2010,"05",'LAC 102_Wkst'!$N$7:$N$2010,"P1")+SUMIFS('LAC 102_Wkst'!$AE$7:$AE$2010,'LAC 102_Wkst'!$E$7:$E$2010,$C45,'LAC 102_Wkst'!$G$7:$G$2010,$D45,'LAC 102_Wkst'!$L$7:$L$2010,"06",'LAC 102_Wkst'!$N$7:$N$2010,"P1")</f>
        <v>0</v>
      </c>
      <c r="T45" s="410">
        <f>SUMIFS('LAC 102_Wkst'!$Q$7:$Q$2010,'LAC 102_Wkst'!$E$7:$E$2010,$C45,'LAC 102_Wkst'!$G$7:$G$2010,$D45,'LAC 102_Wkst'!$L$7:$L$2010,"05",'LAC 102_Wkst'!$N$7:$N$2010,"P2")+SUMIFS('LAC 102_Wkst'!$Q$7:$Q$2010,'LAC 102_Wkst'!$E$7:$E$2010,$C45,'LAC 102_Wkst'!$G$7:$G$2010,$D45,'LAC 102_Wkst'!$L$7:$L$2010,"05",'LAC 102_Wkst'!$N$7:$N$2010,"P3")+SUMIFS('LAC 102_Wkst'!$Q$7:$Q$2010,'LAC 102_Wkst'!$E$7:$E$2010,$C45,'LAC 102_Wkst'!$G$7:$G$2010,$D45,'LAC 102_Wkst'!$L$7:$L$2010,"06",'LAC 102_Wkst'!$N$7:$N$2010,"P2")+SUMIFS('LAC 102_Wkst'!$Q$7:$Q$2010,'LAC 102_Wkst'!$E$7:$E$2010,$C45,'LAC 102_Wkst'!$G$7:$G$2010,$D45,'LAC 102_Wkst'!$L$7:$L$2010,"06",'LAC 102_Wkst'!$N$7:$N$2010,"P3")</f>
        <v>0</v>
      </c>
      <c r="U45" s="411">
        <f>SUMIFS('LAC 102_Wkst'!$AE$7:$AE$2010,'LAC 102_Wkst'!$E$7:$E$2010,$C45,'LAC 102_Wkst'!$G$7:$G$2010,$D45,'LAC 102_Wkst'!$L$7:$L$2010,"05",'LAC 102_Wkst'!$N$7:$N$2010,"P2")+SUMIFS('LAC 102_Wkst'!$AE$7:$AE$2010,'LAC 102_Wkst'!$E$7:$E$2010,$C45,'LAC 102_Wkst'!$G$7:$G$2010,$D45,'LAC 102_Wkst'!$L$7:$L$2010,"06",'LAC 102_Wkst'!$N$7:$N$2010,"P3")+SUMIFS('LAC 102_Wkst'!$AE$7:$AE$2010,'LAC 102_Wkst'!$E$7:$E$2010,$C45,'LAC 102_Wkst'!$G$7:$G$2010,$D45,'LAC 102_Wkst'!$L$7:$L$2010,"05",'LAC 102_Wkst'!$N$7:$N$2010,"P2")+SUMIFS('LAC 102_Wkst'!$AE$7:$AE$2010,'LAC 102_Wkst'!$E$7:$E$2010,$C45,'LAC 102_Wkst'!$G$7:$G$2010,$D45,'LAC 102_Wkst'!$L$7:$L$2010,"06",'LAC 102_Wkst'!$N$7:$N$2010,"P3")</f>
        <v>0</v>
      </c>
      <c r="V45" s="410">
        <f>SUMIFS('LAC 102_Wkst'!$Q$7:$Q$2010,'LAC 102_Wkst'!$E$7:$E$2010,$C45,'LAC 102_Wkst'!$G$7:$G$2010,$D45,'LAC 102_Wkst'!$L$7:$L$2010,"05",'LAC 102_Wkst'!$N$7:$N$2010,"P4")+SUMIFS('LAC 102_Wkst'!$Q$7:$Q$2010,'LAC 102_Wkst'!$E$7:$E$2010,$C45,'LAC 102_Wkst'!$G$7:$G$2010,$D45,'LAC 102_Wkst'!$L$7:$L$2010,"06",'LAC 102_Wkst'!$N$7:$N$2010,"P4")</f>
        <v>0</v>
      </c>
      <c r="W45" s="411">
        <f>SUMIFS('LAC 102_Wkst'!$AE$7:$AE$2010,'LAC 102_Wkst'!$E$7:$E$2010,$C45,'LAC 102_Wkst'!$G$7:$G$2010,$D45,'LAC 102_Wkst'!$L$7:$L$2010,"05",'LAC 102_Wkst'!$N$7:$N$2010,"P4")+SUMIFS('LAC 102_Wkst'!$AE$7:$AE$2010,'LAC 102_Wkst'!$E$7:$E$2010,$C45,'LAC 102_Wkst'!$G$7:$G$2010,$D45,'LAC 102_Wkst'!$L$7:$L$2010,"06",'LAC 102_Wkst'!$N$7:$N$2010,"P4")</f>
        <v>0</v>
      </c>
      <c r="X45" s="410">
        <f>SUMIFS('LAC 102_Wkst'!$Q$7:$Q$2010,'LAC 102_Wkst'!$E$7:$E$2010,$C45,'LAC 102_Wkst'!$G$7:$G$2010,$D45,'LAC 102_Wkst'!$L$7:$L$2010,"05",'LAC 102_Wkst'!$N$7:$N$2010,"P5")+SUMIFS('LAC 102_Wkst'!$Q$7:$Q$2010,'LAC 102_Wkst'!$E$7:$E$2010,$C45,'LAC 102_Wkst'!$G$7:$G$2010,$D45,'LAC 102_Wkst'!$L$7:$L$2010,"06",'LAC 102_Wkst'!$N$7:$N$2010,"P5")</f>
        <v>0</v>
      </c>
      <c r="Y45" s="411">
        <f>SUMIFS('LAC 102_Wkst'!$AE$7:$AE$2010,'LAC 102_Wkst'!$E$7:$E$2010,$C45,'LAC 102_Wkst'!$G$7:$G$2010,$D45,'LAC 102_Wkst'!$L$7:$L$2010,"05",'LAC 102_Wkst'!$N$7:$N$2010,"P5")+SUMIFS('LAC 102_Wkst'!$AE$7:$AE$2010,'LAC 102_Wkst'!$E$7:$E$2010,$C45,'LAC 102_Wkst'!$G$7:$G$2010,$D45,'LAC 102_Wkst'!$L$7:$L$2010,"06",'LAC 102_Wkst'!$N$7:$N$2010,"P5")</f>
        <v>0</v>
      </c>
      <c r="Z45" s="410">
        <f>SUMIFS('LAC 102_Wkst'!$Q$7:$Q$2010,'LAC 102_Wkst'!$E$7:$E$2010,$C45,'LAC 102_Wkst'!$G$7:$G$2010,$D45,'LAC 102_Wkst'!$L$7:$L$2010,"07",'LAC 102_Wkst'!$N$7:$N$2010,"P1")+SUMIFS('LAC 102_Wkst'!$Q$7:$Q$2010,'LAC 102_Wkst'!$E$7:$E$2010,$C45,'LAC 102_Wkst'!$G$7:$G$2010,$D45,'LAC 102_Wkst'!$L$7:$L$2010,"07",'LAC 102_Wkst'!$N$7:$N$2010,"P2")+SUMIFS('LAC 102_Wkst'!$Q$7:$Q$2010,'LAC 102_Wkst'!$E$7:$E$2010,$C45,'LAC 102_Wkst'!$G$7:$G$2010,$D45,'LAC 102_Wkst'!$L$7:$L$2010,"07",'LAC 102_Wkst'!$N$7:$N$2010,"P3")</f>
        <v>0</v>
      </c>
      <c r="AA45" s="411">
        <f>SUMIFS('LAC 102_Wkst'!$AE$7:$AE$2010,'LAC 102_Wkst'!$E$7:$E$2010,$C45,'LAC 102_Wkst'!$G$7:$G$2010,$D45,'LAC 102_Wkst'!$L$7:$L$2010,"07",'LAC 102_Wkst'!$N$7:$N$2010,"P1")+SUMIFS('LAC 102_Wkst'!$AE$7:$AE$2010,'LAC 102_Wkst'!$E$7:$E$2010,$C45,'LAC 102_Wkst'!$G$7:$G$2010,$D45,'LAC 102_Wkst'!$L$7:$L$2010,"07",'LAC 102_Wkst'!$N$7:$N$2010,"P2")+SUMIFS('LAC 102_Wkst'!$AE$7:$AE$2010,'LAC 102_Wkst'!$E$7:$E$2010,$C45,'LAC 102_Wkst'!$G$7:$G$2010,$D45,'LAC 102_Wkst'!$L$7:$L$2010,"07",'LAC 102_Wkst'!$N$7:$N$2010,"P3")</f>
        <v>0</v>
      </c>
      <c r="AB45" s="410">
        <f>SUMIFS('LAC 102_Wkst'!$Q$7:$Q$2010,'LAC 102_Wkst'!$E$7:$E$2010,$C45,'LAC 102_Wkst'!$G$7:$G$2010,$D45,'LAC 102_Wkst'!$L$7:$L$2010,"07",'LAC 102_Wkst'!$N$7:$N$2010,"P4")</f>
        <v>0</v>
      </c>
      <c r="AC45" s="411">
        <f>SUMIFS('LAC 102_Wkst'!$AE$7:$AE$2010,'LAC 102_Wkst'!$E$7:$E$2010,$C45,'LAC 102_Wkst'!$G$7:$G$2010,$D45,'LAC 102_Wkst'!$L$7:$L$2010,"07",'LAC 102_Wkst'!$N$7:$N$2010,"P4")</f>
        <v>0</v>
      </c>
      <c r="AD45" s="410">
        <f>SUMIFS('LAC 102_Wkst'!$Q$7:$Q$2010,'LAC 102_Wkst'!$E$7:$E$2010,$C45,'LAC 102_Wkst'!$G$7:$G$2010,$D45,'LAC 102_Wkst'!$L$7:$L$2010,"07",'LAC 102_Wkst'!$N$7:$N$2010,"P5")</f>
        <v>0</v>
      </c>
      <c r="AE45" s="411">
        <f>SUMIFS('LAC 102_Wkst'!$AE$7:$AE$2010,'LAC 102_Wkst'!$E$7:$E$2010,$C45,'LAC 102_Wkst'!$G$7:$G$2010,$D45,'LAC 102_Wkst'!$L$7:$L$2010,"07",'LAC 102_Wkst'!$N$7:$N$2010,"P5")</f>
        <v>0</v>
      </c>
      <c r="AF45" s="410">
        <f>SUMIFS('LAC 102_Wkst'!$Q$7:$Q$2010,'LAC 102_Wkst'!$E$7:$E$2010,$C45,'LAC 102_Wkst'!$G$7:$G$2010,$D45,'LAC 102_Wkst'!$L$7:$L$2010,"08",'LAC 102_Wkst'!$N$7:$N$2010,"P1")+SUMIFS('LAC 102_Wkst'!$Q$7:$Q$2010,'LAC 102_Wkst'!$E$7:$E$2010,$C45,'LAC 102_Wkst'!$G$7:$G$2010,$D45,'LAC 102_Wkst'!$L$7:$L$2010,"08",'LAC 102_Wkst'!$N$7:$N$2010,"P2")+SUMIFS('LAC 102_Wkst'!$Q$7:$Q$2010,'LAC 102_Wkst'!$E$7:$E$2010,$C45,'LAC 102_Wkst'!$G$7:$G$2010,$D45,'LAC 102_Wkst'!$L$7:$L$2010,"08",'LAC 102_Wkst'!$N$7:$N$2010,"P3")</f>
        <v>0</v>
      </c>
      <c r="AG45" s="411">
        <f>SUMIFS('LAC 102_Wkst'!$AE$7:$AE$2010,'LAC 102_Wkst'!$E$7:$E$2010,$C45,'LAC 102_Wkst'!$G$7:$G$2010,$D45,'LAC 102_Wkst'!$L$7:$L$2010,"08",'LAC 102_Wkst'!$N$7:$N$2010,"P1")+SUMIFS('LAC 102_Wkst'!$AE$7:$AE$2010,'LAC 102_Wkst'!$E$7:$E$2010,$C45,'LAC 102_Wkst'!$G$7:$G$2010,$D45,'LAC 102_Wkst'!$L$7:$L$2010,"08",'LAC 102_Wkst'!$N$7:$N$2010,"P2")+SUMIFS('LAC 102_Wkst'!$AE$7:$AE$2010,'LAC 102_Wkst'!$E$7:$E$2010,$C45,'LAC 102_Wkst'!$G$7:$G$2010,$D45,'LAC 102_Wkst'!$L$7:$L$2010,"08",'LAC 102_Wkst'!$N$7:$N$2010,"P3")</f>
        <v>0</v>
      </c>
      <c r="AH45" s="410">
        <f>SUMIFS('LAC 102_Wkst'!$Q$7:$Q$2010,'LAC 102_Wkst'!$E$7:$E$2010,$C45,'LAC 102_Wkst'!$G$7:$G$2010,$D45,'LAC 102_Wkst'!$L$7:$L$2010,"08",'LAC 102_Wkst'!$N$7:$N$2010,"P4")</f>
        <v>0</v>
      </c>
      <c r="AI45" s="411">
        <f>SUMIFS('LAC 102_Wkst'!$AE$7:$AE$2010,'LAC 102_Wkst'!$E$7:$E$2010,$C45,'LAC 102_Wkst'!$G$7:$G$2010,$D45,'LAC 102_Wkst'!$L$7:$L$2010,"08",'LAC 102_Wkst'!$N$7:$N$2010,"P4")</f>
        <v>0</v>
      </c>
      <c r="AJ45" s="410">
        <f>SUMIFS('LAC 102_Wkst'!$Q$7:$Q$2010,'LAC 102_Wkst'!$E$7:$E$2010,$C45,'LAC 102_Wkst'!$G$7:$G$2010,$D45,'LAC 102_Wkst'!$L$7:$L$2010,"08",'LAC 102_Wkst'!$N$7:$N$2010,"P5")</f>
        <v>0</v>
      </c>
      <c r="AK45" s="411">
        <f>SUMIFS('LAC 102_Wkst'!$AE$7:$AE$2010,'LAC 102_Wkst'!$E$7:$E$2010,$C45,'LAC 102_Wkst'!$G$7:$G$2010,$D45,'LAC 102_Wkst'!$L$7:$L$2010,"08",'LAC 102_Wkst'!$N$7:$N$2010,"P5")</f>
        <v>0</v>
      </c>
      <c r="AL45" s="410">
        <f>SUMIFS('LAC 102_Wkst'!$Q$7:$Q$2010,'LAC 102_Wkst'!$E$7:$E$2010,$C45,'LAC 102_Wkst'!$G$7:$G$2010,$D45,'LAC 102_Wkst'!$L$7:$L$2010,"09",'LAC 102_Wkst'!$N$7:$N$2010,"P1")+SUMIFS('LAC 102_Wkst'!$Q$7:$Q$2010,'LAC 102_Wkst'!$E$7:$E$2010,$C45,'LAC 102_Wkst'!$G$7:$G$2010,$D45,'LAC 102_Wkst'!$L$7:$L$2010,"09",'LAC 102_Wkst'!$N$7:$N$2010,"P2")+SUMIFS('LAC 102_Wkst'!$Q$7:$Q$2010,'LAC 102_Wkst'!$E$7:$E$2010,$C45,'LAC 102_Wkst'!$G$7:$G$2010,$D45,'LAC 102_Wkst'!$L$7:$L$2010,"09",'LAC 102_Wkst'!$N$7:$N$2010,"P3")+SUMIFS('LAC 102_Wkst'!$Q$7:$Q$2010,'LAC 102_Wkst'!$E$7:$E$2010,$C45,'LAC 102_Wkst'!$G$7:$G$2010,$D45,'LAC 102_Wkst'!$L$7:$L$2010,"09",'LAC 102_Wkst'!$N$7:$N$2010,"P4")</f>
        <v>0</v>
      </c>
      <c r="AM45" s="411">
        <f>SUMIFS('LAC 102_Wkst'!$AE$7:$AE$2010,'LAC 102_Wkst'!$E$7:$E$2010,$C45,'LAC 102_Wkst'!$G$7:$G$2010,$D45,'LAC 102_Wkst'!$L$7:$L$2010,"09",'LAC 102_Wkst'!$N$7:$N$2010,"P1")+SUMIFS('LAC 102_Wkst'!$AE$7:$AE$2010,'LAC 102_Wkst'!$E$7:$E$2010,$C45,'LAC 102_Wkst'!$G$7:$G$2010,$D45,'LAC 102_Wkst'!$L$7:$L$2010,"09",'LAC 102_Wkst'!$N$7:$N$2010,"P2")+SUMIFS('LAC 102_Wkst'!$AE$7:$AE$2010,'LAC 102_Wkst'!$E$7:$E$2010,$C45,'LAC 102_Wkst'!$G$7:$G$2010,$D45,'LAC 102_Wkst'!$L$7:$L$2010,"09",'LAC 102_Wkst'!$N$7:$N$2010,"P3")+SUMIFS('LAC 102_Wkst'!$AE$7:$AE$2010,'LAC 102_Wkst'!$E$7:$E$2010,$C45,'LAC 102_Wkst'!$G$7:$G$2010,$D45,'LAC 102_Wkst'!$L$7:$L$2010,"09",'LAC 102_Wkst'!$N$7:$N$2010,"P4")</f>
        <v>0</v>
      </c>
      <c r="AN45" s="410">
        <f>SUMIFS('LAC 102_Wkst'!$Q$7:$Q$2010,'LAC 102_Wkst'!$E$7:$E$2010,$C45,'LAC 102_Wkst'!$G$7:$G$2010,$D45,'LAC 102_Wkst'!$L$7:$L$2010,"09",'LAC 102_Wkst'!$N$7:$N$2010,"P5")</f>
        <v>0</v>
      </c>
      <c r="AO45" s="411">
        <f>SUMIFS('LAC 102_Wkst'!$AE$7:$AE$2010,'LAC 102_Wkst'!$E$7:$E$2010,$C45,'LAC 102_Wkst'!$G$7:$G$2010,$D45,'LAC 102_Wkst'!$L$7:$L$2010,"09",'LAC 102_Wkst'!$N$7:$N$2010,"P5")</f>
        <v>0</v>
      </c>
      <c r="AP45" s="410">
        <f>SUMIFS('LAC 102_Wkst'!$Q$7:$Q$2010,'LAC 102_Wkst'!$E$7:$E$2010,$C45,'LAC 102_Wkst'!$G$7:$G$2010,$D45,'LAC 102_Wkst'!$L$7:$L$2010,"10",'LAC 102_Wkst'!$N$7:$N$2010,"P1")+SUMIFS('LAC 102_Wkst'!$Q$7:$Q$2010,'LAC 102_Wkst'!$E$7:$E$2010,$C45,'LAC 102_Wkst'!$G$7:$G$2010,$D45,'LAC 102_Wkst'!$L$7:$L$2010,"10",'LAC 102_Wkst'!$N$7:$N$2010,"P2")+SUMIFS('LAC 102_Wkst'!$Q$7:$Q$2010,'LAC 102_Wkst'!$E$7:$E$2010,$C45,'LAC 102_Wkst'!$G$7:$G$2010,$D45,'LAC 102_Wkst'!$L$7:$L$2010,"10",'LAC 102_Wkst'!$N$7:$N$2010,"P3")+SUMIFS('LAC 102_Wkst'!$Q$7:$Q$2010,'LAC 102_Wkst'!$E$7:$E$2010,$C45,'LAC 102_Wkst'!$G$7:$G$2010,$D45,'LAC 102_Wkst'!$L$7:$L$2010,"10",'LAC 102_Wkst'!$N$7:$N$2010,"P4")</f>
        <v>0</v>
      </c>
      <c r="AQ45" s="411">
        <f>SUMIFS('LAC 102_Wkst'!$AE$7:$AE$2010,'LAC 102_Wkst'!$E$7:$E$2010,$C45,'LAC 102_Wkst'!$G$7:$G$2010,$D45,'LAC 102_Wkst'!$L$7:$L$2010,"10",'LAC 102_Wkst'!$N$7:$N$2010,"P1")+SUMIFS('LAC 102_Wkst'!$AE$7:$AE$2010,'LAC 102_Wkst'!$E$7:$E$2010,$C45,'LAC 102_Wkst'!$G$7:$G$2010,$D45,'LAC 102_Wkst'!$L$7:$L$2010,"10",'LAC 102_Wkst'!$N$7:$N$2010,"P2")+SUMIFS('LAC 102_Wkst'!$AE$7:$AE$2010,'LAC 102_Wkst'!$E$7:$E$2010,$C45,'LAC 102_Wkst'!$G$7:$G$2010,$D45,'LAC 102_Wkst'!$L$7:$L$2010,"10",'LAC 102_Wkst'!$N$7:$N$2010,"P3")+SUMIFS('LAC 102_Wkst'!$AE$7:$AE$2010,'LAC 102_Wkst'!$E$7:$E$2010,$C45,'LAC 102_Wkst'!$G$7:$G$2010,$D45,'LAC 102_Wkst'!$L$7:$L$2010,"10",'LAC 102_Wkst'!$N$7:$N$2010,"P4")</f>
        <v>0</v>
      </c>
      <c r="AR45" s="410">
        <f>SUMIFS('LAC 102_Wkst'!$Q$7:$Q$2010,'LAC 102_Wkst'!$E$7:$E$2010,$C45,'LAC 102_Wkst'!$G$7:$G$2010,$D45,'LAC 102_Wkst'!$L$7:$L$2010,"10",'LAC 102_Wkst'!$N$7:$N$2010,"P5")</f>
        <v>0</v>
      </c>
      <c r="AS45" s="411">
        <f>SUMIFS('LAC 102_Wkst'!$AE$7:$AE$2010,'LAC 102_Wkst'!$E$7:$E$2010,$C45,'LAC 102_Wkst'!$G$7:$G$2010,$D45,'LAC 102_Wkst'!$L$7:$L$2010,"10",'LAC 102_Wkst'!$N$7:$N$2010,"P5")</f>
        <v>0</v>
      </c>
      <c r="AT45" s="410">
        <f>SUMIFS('LAC 102_Wkst'!$Q$7:$Q$2010,'LAC 102_Wkst'!$E$7:$E$2010,$C45,'LAC 102_Wkst'!$G$7:$G$2010,$D45,'LAC 102_Wkst'!$L$7:$L$2010,"11",'LAC 102_Wkst'!$N$7:$N$2010,"P1")+SUMIFS('LAC 102_Wkst'!$Q$7:$Q$2010,'LAC 102_Wkst'!$E$7:$E$2010,$C45,'LAC 102_Wkst'!$G$7:$G$2010,$D45,'LAC 102_Wkst'!$L$7:$L$2010,"12",'LAC 102_Wkst'!$N$7:$N$2010,"P1")</f>
        <v>0</v>
      </c>
      <c r="AU45" s="411">
        <f>SUMIFS('LAC 102_Wkst'!$AE$7:$AE$2010,'LAC 102_Wkst'!$E$7:$E$2010,$C45,'LAC 102_Wkst'!$G$7:$G$2010,$D45,'LAC 102_Wkst'!$L$7:$L$2010,"11",'LAC 102_Wkst'!$N$7:$N$2010,"P1")+SUMIFS('LAC 102_Wkst'!$AE$7:$AE$2010,'LAC 102_Wkst'!$E$7:$E$2010,$C45,'LAC 102_Wkst'!$G$7:$G$2010,$D45,'LAC 102_Wkst'!$L$7:$L$2010,"12",'LAC 102_Wkst'!$N$7:$N$2010,"P1")</f>
        <v>0</v>
      </c>
      <c r="AV45" s="410">
        <f>SUMIFS('LAC 102_Wkst'!$Q$7:$Q$2010,'LAC 102_Wkst'!$E$7:$E$2010,$C45,'LAC 102_Wkst'!$G$7:$G$2010,$D45,'LAC 102_Wkst'!$L$7:$L$2010,"11",'LAC 102_Wkst'!$N$7:$N$2010,"P2")+SUMIFS('LAC 102_Wkst'!$Q$7:$Q$2010,'LAC 102_Wkst'!$E$7:$E$2010,$C45,'LAC 102_Wkst'!$G$7:$G$2010,$D45,'LAC 102_Wkst'!$L$7:$L$2010,"12",'LAC 102_Wkst'!$N$7:$N$2010,"P3")+SUMIFS('LAC 102_Wkst'!$Q$7:$Q$2010,'LAC 102_Wkst'!$E$7:$E$2010,$C45,'LAC 102_Wkst'!$G$7:$G$2010,$D45,'LAC 102_Wkst'!$L$7:$L$2010,"11",'LAC 102_Wkst'!$N$7:$N$2010,"P2")+SUMIFS('LAC 102_Wkst'!$Q$7:$Q$2010,'LAC 102_Wkst'!$E$7:$E$2010,$C45,'LAC 102_Wkst'!$G$7:$G$2010,$D45,'LAC 102_Wkst'!$L$7:$L$2010,"12",'LAC 102_Wkst'!$N$7:$N$2010,"P3")</f>
        <v>0</v>
      </c>
      <c r="AW45" s="411">
        <f>SUMIFS('LAC 102_Wkst'!$AE$7:$AE$2010,'LAC 102_Wkst'!$E$7:$E$2010,$C45,'LAC 102_Wkst'!$G$7:$G$2010,$D45,'LAC 102_Wkst'!$L$7:$L$2010,"11",'LAC 102_Wkst'!$N$7:$N$2010,"P2")+SUMIFS('LAC 102_Wkst'!$AE$7:$AE$2010,'LAC 102_Wkst'!$E$7:$E$2010,$C45,'LAC 102_Wkst'!$G$7:$G$2010,$D45,'LAC 102_Wkst'!$L$7:$L$2010,"12",'LAC 102_Wkst'!$N$7:$N$2010,"P3")+SUMIFS('LAC 102_Wkst'!$AE$7:$AE$2010,'LAC 102_Wkst'!$E$7:$E$2010,$C45,'LAC 102_Wkst'!$G$7:$G$2010,$D45,'LAC 102_Wkst'!$L$7:$L$2010,"11",'LAC 102_Wkst'!$N$7:$N$2010,"P2")+SUMIFS('LAC 102_Wkst'!$AE$7:$AE$2010,'LAC 102_Wkst'!$E$7:$E$2010,$C45,'LAC 102_Wkst'!$G$7:$G$2010,$D45,'LAC 102_Wkst'!$L$7:$L$2010,"12",'LAC 102_Wkst'!$N$7:$N$2010,"P3")</f>
        <v>0</v>
      </c>
      <c r="AX45" s="410">
        <f>SUMIFS('LAC 102_Wkst'!$Q$7:$Q$2010,'LAC 102_Wkst'!$E$7:$E$2010,$C45,'LAC 102_Wkst'!$G$7:$G$2010,$D45,'LAC 102_Wkst'!$L$7:$L$2010,"11",'LAC 102_Wkst'!$N$7:$N$2010,"P4")+SUMIFS('LAC 102_Wkst'!$Q$7:$Q$2010,'LAC 102_Wkst'!$E$7:$E$2010,$C45,'LAC 102_Wkst'!$G$7:$G$2010,$D45,'LAC 102_Wkst'!$L$7:$L$2010,"12",'LAC 102_Wkst'!$N$7:$N$2010,"P4")</f>
        <v>0</v>
      </c>
      <c r="AY45" s="411">
        <f>SUMIFS('LAC 102_Wkst'!$AE$7:$AE$2010,'LAC 102_Wkst'!$E$7:$E$2010,$C45,'LAC 102_Wkst'!$G$7:$G$2010,$D45,'LAC 102_Wkst'!$L$7:$L$2010,"11",'LAC 102_Wkst'!$N$7:$N$2010,"P4")+SUMIFS('LAC 102_Wkst'!$AE$7:$AE$2010,'LAC 102_Wkst'!$E$7:$E$2010,$C45,'LAC 102_Wkst'!$G$7:$G$2010,$D45,'LAC 102_Wkst'!$L$7:$L$2010,"12",'LAC 102_Wkst'!$N$7:$N$2010,"P4")</f>
        <v>0</v>
      </c>
      <c r="AZ45" s="410">
        <f>SUMIFS('LAC 102_Wkst'!$Q$7:$Q$2010,'LAC 102_Wkst'!$E$7:$E$2010,$C45,'LAC 102_Wkst'!$G$7:$G$2010,$D45,'LAC 102_Wkst'!$L$7:$L$2010,"11",'LAC 102_Wkst'!$N$7:$N$2010,"P5")+SUMIFS('LAC 102_Wkst'!$Q$7:$Q$2010,'LAC 102_Wkst'!$E$7:$E$2010,$C45,'LAC 102_Wkst'!$G$7:$G$2010,$D45,'LAC 102_Wkst'!$L$7:$L$2010,"12",'LAC 102_Wkst'!$N$7:$N$2010,"P5")</f>
        <v>0</v>
      </c>
      <c r="BA45" s="411">
        <f>SUMIFS('LAC 102_Wkst'!$AE$7:$AE$2010,'LAC 102_Wkst'!$E$7:$E$2010,$C45,'LAC 102_Wkst'!$G$7:$G$2010,$D45,'LAC 102_Wkst'!$L$7:$L$2010,"11",'LAC 102_Wkst'!$N$7:$N$2010,"P5")+SUMIFS('LAC 102_Wkst'!$AE$7:$AE$2010,'LAC 102_Wkst'!$E$7:$E$2010,$C45,'LAC 102_Wkst'!$G$7:$G$2010,$D45,'LAC 102_Wkst'!$L$7:$L$2010,"12",'LAC 102_Wkst'!$N$7:$N$2010,"P5")</f>
        <v>0</v>
      </c>
      <c r="BB45" s="410">
        <f>SUMIFS('LAC 102_Wkst'!$Q$7:$Q$2010,'LAC 102_Wkst'!$E$7:$E$2010,$C45,'LAC 102_Wkst'!$G$7:$G$2010,$D45,'LAC 102_Wkst'!$L$7:$L$2010,"13",'LAC 102_Wkst'!$N$7:$N$2010,"P1")+SUMIFS('LAC 102_Wkst'!$Q$7:$Q$2010,'LAC 102_Wkst'!$E$7:$E$2010,$C45,'LAC 102_Wkst'!$G$7:$G$2010,$D45,'LAC 102_Wkst'!$L$7:$L$2010,"13",'LAC 102_Wkst'!$N$7:$N$2010,"P2")+SUMIFS('LAC 102_Wkst'!$Q$7:$Q$2010,'LAC 102_Wkst'!$E$7:$E$2010,$C45,'LAC 102_Wkst'!$G$7:$G$2010,$D45,'LAC 102_Wkst'!$L$7:$L$2010,"13",'LAC 102_Wkst'!$N$7:$N$2010,"P3")+SUMIFS('LAC 102_Wkst'!$Q$7:$Q$2010,'LAC 102_Wkst'!$E$7:$E$2010,$C45,'LAC 102_Wkst'!$G$7:$G$2010,$D45,'LAC 102_Wkst'!$L$7:$L$2010,"13",'LAC 102_Wkst'!$N$7:$N$2010,"P4")</f>
        <v>0</v>
      </c>
      <c r="BC45" s="411">
        <f>SUMIFS('LAC 102_Wkst'!$AE$7:$AE$2010,'LAC 102_Wkst'!$E$7:$E$2010,$C45,'LAC 102_Wkst'!$G$7:$G$2010,$D45,'LAC 102_Wkst'!$L$7:$L$2010,"13",'LAC 102_Wkst'!$N$7:$N$2010,"P1")+SUMIFS('LAC 102_Wkst'!$AE$7:$AE$2010,'LAC 102_Wkst'!$E$7:$E$2010,$C45,'LAC 102_Wkst'!$G$7:$G$2010,$D45,'LAC 102_Wkst'!$L$7:$L$2010,"13",'LAC 102_Wkst'!$N$7:$N$2010,"P2")+SUMIFS('LAC 102_Wkst'!$AE$7:$AE$2010,'LAC 102_Wkst'!$E$7:$E$2010,$C45,'LAC 102_Wkst'!$G$7:$G$2010,$D45,'LAC 102_Wkst'!$L$7:$L$2010,"13",'LAC 102_Wkst'!$N$7:$N$2010,"P3")+SUMIFS('LAC 102_Wkst'!$AE$7:$AE$2010,'LAC 102_Wkst'!$E$7:$E$2010,$C45,'LAC 102_Wkst'!$G$7:$G$2010,$D45,'LAC 102_Wkst'!$L$7:$L$2010,"13",'LAC 102_Wkst'!$N$7:$N$2010,"P4")</f>
        <v>0</v>
      </c>
      <c r="BD45" s="410">
        <f>SUMIFS('LAC 102_Wkst'!$Q$7:$Q$2010,'LAC 102_Wkst'!$E$7:$E$2010,$C45,'LAC 102_Wkst'!$G$7:$G$2010,$D45,'LAC 102_Wkst'!$L$7:$L$2010,"13",'LAC 102_Wkst'!$N$7:$N$2010,"P5")</f>
        <v>0</v>
      </c>
      <c r="BE45" s="411">
        <f>SUMIFS('LAC 102_Wkst'!$AE$7:$AE$2010,'LAC 102_Wkst'!$E$7:$E$2010,$C45,'LAC 102_Wkst'!$G$7:$G$2010,$D45,'LAC 102_Wkst'!$L$7:$L$2010,"13",'LAC 102_Wkst'!$N$7:$N$2010,"P5")</f>
        <v>0</v>
      </c>
      <c r="BF45" s="407">
        <f t="shared" si="0"/>
        <v>0</v>
      </c>
    </row>
    <row r="46" spans="1:58" x14ac:dyDescent="0.2">
      <c r="A46" s="401">
        <v>27</v>
      </c>
      <c r="B46" s="1236"/>
      <c r="C46" s="1235"/>
      <c r="D46" s="1237"/>
      <c r="E46" s="1222">
        <f>IF(CONCATENATE(C46,D46)&gt;"6069",1,SUMIFS('LAC 102_Wkst'!$Q$7:$Q$2010,'LAC 102_Wkst'!$E$7:$E$2010,Schedule_B!$C46,'LAC 102_Wkst'!$G$7:$G$2010,Schedule_B!$D46))</f>
        <v>0</v>
      </c>
      <c r="F46" s="408">
        <f>SUMIFS('LAC 102_Wkst'!$Q$7:$Q$2010,'LAC 102_Wkst'!$E$7:$E$2010,$C46,'LAC 102_Wkst'!$G$7:$G$2010,$D46,'LAC 102_Wkst'!$L$7:$L$2010,"01",'LAC 102_Wkst'!$N$7:$N$2010,"P1")+SUMIFS('LAC 102_Wkst'!$Q$7:$Q$2010,'LAC 102_Wkst'!$E$7:$E$2010,$C46,'LAC 102_Wkst'!$G$7:$G$2010,$D46,'LAC 102_Wkst'!$L$7:$L$2010,"01",'LAC 102_Wkst'!$N$7:$N$2010,"P2")+SUMIFS('LAC 102_Wkst'!$Q$7:$Q$2010,'LAC 102_Wkst'!$E$7:$E$2010,$C46,'LAC 102_Wkst'!$G$7:$G$2010,$D46,'LAC 102_Wkst'!$L$7:$L$2010,"01",'LAC 102_Wkst'!$N$7:$N$2010,"P3")+SUMIFS('LAC 102_Wkst'!$Q$7:$Q$2010,'LAC 102_Wkst'!$E$7:$E$2010,$C46,'LAC 102_Wkst'!$G$7:$G$2010,$D46,'LAC 102_Wkst'!$L$7:$L$2010,"02",'LAC 102_Wkst'!$N$7:$N$2010,"P1")+SUMIFS('LAC 102_Wkst'!$Q$7:$Q$2010,'LAC 102_Wkst'!$E$7:$E$2010,$C46,'LAC 102_Wkst'!$G$7:$G$2010,$D46,'LAC 102_Wkst'!$L$7:$L$2010,"02",'LAC 102_Wkst'!$N$7:$N$2010,"P2")+SUMIFS('LAC 102_Wkst'!$Q$7:$Q$2010,'LAC 102_Wkst'!$E$7:$E$2010,$C46,'LAC 102_Wkst'!$G$7:$G$2010,$D46,'LAC 102_Wkst'!$L$7:$L$2010,"02",'LAC 102_Wkst'!$N$7:$N$2010,"P3")</f>
        <v>0</v>
      </c>
      <c r="G46" s="409">
        <f>SUMIFS('LAC 102_Wkst'!$AE$7:$AE$2010,'LAC 102_Wkst'!$E$7:$E$2010,$C46,'LAC 102_Wkst'!$G$7:$G$2010,$D46,'LAC 102_Wkst'!$L$7:$L$2010,"01",'LAC 102_Wkst'!$N$7:$N$2010,"P1")+SUMIFS('LAC 102_Wkst'!$AE$7:$AE$2010,'LAC 102_Wkst'!$E$7:$E$2010,$C46,'LAC 102_Wkst'!$G$7:$G$2010,$D46,'LAC 102_Wkst'!$L$7:$L$2010,"01",'LAC 102_Wkst'!$N$7:$N$2010,"P2")+SUMIFS('LAC 102_Wkst'!$AE$7:$AE$2010,'LAC 102_Wkst'!$E$7:$E$2010,$C46,'LAC 102_Wkst'!$G$7:$G$2010,$D46,'LAC 102_Wkst'!$L$7:$L$2010,"01",'LAC 102_Wkst'!$N$7:$N$2010,"P3")+SUMIFS('LAC 102_Wkst'!$AE$7:$AE$2010,'LAC 102_Wkst'!$E$7:$E$2010,$C46,'LAC 102_Wkst'!$G$7:$G$2010,$D46,'LAC 102_Wkst'!$L$7:$L$2010,"02",'LAC 102_Wkst'!$N$7:$N$2010,"P1")+SUMIFS('LAC 102_Wkst'!$AE$7:$AE$2010,'LAC 102_Wkst'!$E$7:$E$2010,$C46,'LAC 102_Wkst'!$G$7:$G$2010,$D46,'LAC 102_Wkst'!$L$7:$L$2010,"02",'LAC 102_Wkst'!$N$7:$N$2010,"P2")+SUMIFS('LAC 102_Wkst'!$AE$7:$AE$2010,'LAC 102_Wkst'!$E$7:$E$2010,$C46,'LAC 102_Wkst'!$G$7:$G$2010,$D46,'LAC 102_Wkst'!$L$7:$L$2010,"02",'LAC 102_Wkst'!$N$7:$N$2010,"P3")</f>
        <v>0</v>
      </c>
      <c r="H46" s="410">
        <f>SUMIFS('LAC 102_Wkst'!$Q$7:$Q$2010,'LAC 102_Wkst'!$E$7:$E$2010,$C46,'LAC 102_Wkst'!$G$7:$G$2010,$D46,'LAC 102_Wkst'!$L$7:$L$2010,"01",'LAC 102_Wkst'!$N$7:$N$2010,"P4")+SUMIFS('LAC 102_Wkst'!$Q$7:$Q$2010,'LAC 102_Wkst'!$E$7:$E$2010,$C46,'LAC 102_Wkst'!$G$7:$G$2010,$D46,'LAC 102_Wkst'!$L$7:$L$2010,"02",'LAC 102_Wkst'!$N$7:$N$2010,"P4")</f>
        <v>0</v>
      </c>
      <c r="I46" s="411">
        <f>SUMIFS('LAC 102_Wkst'!$AE$7:$AE$2010,'LAC 102_Wkst'!$E$7:$E$2010,$C46,'LAC 102_Wkst'!$G$7:$G$2010,$D46,'LAC 102_Wkst'!$L$7:$L$2010,"01",'LAC 102_Wkst'!$N$7:$N$2010,"P4")+SUMIFS('LAC 102_Wkst'!$AE$7:$AE$2010,'LAC 102_Wkst'!$E$7:$E$2010,$C46,'LAC 102_Wkst'!$G$7:$G$2010,$D46,'LAC 102_Wkst'!$L$7:$L$2010,"02",'LAC 102_Wkst'!$N$7:$N$2010,"P4")</f>
        <v>0</v>
      </c>
      <c r="J46" s="410">
        <f>SUMIFS('LAC 102_Wkst'!$Q$7:$Q$2010,'LAC 102_Wkst'!$E$7:$E$2010,$C46,'LAC 102_Wkst'!$G$7:$G$2010,$D46,'LAC 102_Wkst'!$L$7:$L$2010,"01",'LAC 102_Wkst'!$N$7:$N$2010,"P5")+SUMIFS('LAC 102_Wkst'!$Q$7:$Q$2010,'LAC 102_Wkst'!$E$7:$E$2010,$C46,'LAC 102_Wkst'!$G$7:$G$2010,$D46,'LAC 102_Wkst'!$L$7:$L$2010,"02",'LAC 102_Wkst'!$N$7:$N$2010,"P5")</f>
        <v>0</v>
      </c>
      <c r="K46" s="411">
        <f>SUMIFS('LAC 102_Wkst'!$AE$7:$AE$2010,'LAC 102_Wkst'!$E$7:$E$2010,$C46,'LAC 102_Wkst'!$G$7:$G$2010,$D46,'LAC 102_Wkst'!$L$7:$L$2010,"01",'LAC 102_Wkst'!$N$7:$N$2010,"P5")+SUMIFS('LAC 102_Wkst'!$AE$7:$AE$2010,'LAC 102_Wkst'!$E$7:$E$2010,$C46,'LAC 102_Wkst'!$G$7:$G$2010,$D46,'LAC 102_Wkst'!$L$7:$L$2010,"02",'LAC 102_Wkst'!$N$7:$N$2010,"P5")</f>
        <v>0</v>
      </c>
      <c r="L46" s="410">
        <f>SUMIFS('LAC 102_Wkst'!$Q$7:$Q$2010,'LAC 102_Wkst'!$E$7:$E$2010,$C46,'LAC 102_Wkst'!$G$7:$G$2010,$D46,'LAC 102_Wkst'!$L$7:$L$2010,"03",'LAC 102_Wkst'!$N$7:$N$2010,"P1")+SUMIFS('LAC 102_Wkst'!$Q$7:$Q$2010,'LAC 102_Wkst'!$E$7:$E$2010,$C46,'LAC 102_Wkst'!$G$7:$G$2010,$D46,'LAC 102_Wkst'!$L$7:$L$2010,"03",'LAC 102_Wkst'!$N$7:$N$2010,"P2")+SUMIFS('LAC 102_Wkst'!$Q$7:$Q$2010,'LAC 102_Wkst'!$E$7:$E$2010,$C46,'LAC 102_Wkst'!$G$7:$G$2010,$D46,'LAC 102_Wkst'!$L$7:$L$2010,"03",'LAC 102_Wkst'!$N$7:$N$2010,"P3")+SUMIFS('LAC 102_Wkst'!$Q$7:$Q$2010,'LAC 102_Wkst'!$E$7:$E$2010,$C46,'LAC 102_Wkst'!$G$7:$G$2010,$D46,'LAC 102_Wkst'!$L$7:$L$2010,"04",'LAC 102_Wkst'!$N$7:$N$2010,"P1")+SUMIFS('LAC 102_Wkst'!$Q$7:$Q$2010,'LAC 102_Wkst'!$E$7:$E$2010,$C46,'LAC 102_Wkst'!$G$7:$G$2010,$D46,'LAC 102_Wkst'!$L$7:$L$2010,"04",'LAC 102_Wkst'!$N$7:$N$2010,"P2")+SUMIFS('LAC 102_Wkst'!$Q$7:$Q$2010,'LAC 102_Wkst'!$E$7:$E$2010,$C46,'LAC 102_Wkst'!$G$7:$G$2010,$D46,'LAC 102_Wkst'!$L$7:$L$2010,"04",'LAC 102_Wkst'!$N$7:$N$2010,"P3")</f>
        <v>0</v>
      </c>
      <c r="M46" s="411">
        <f>SUMIFS('LAC 102_Wkst'!$AE$7:$AE$2010,'LAC 102_Wkst'!$E$7:$E$2010,$C46,'LAC 102_Wkst'!$G$7:$G$2010,$D46,'LAC 102_Wkst'!$L$7:$L$2010,"03",'LAC 102_Wkst'!$N$7:$N$2010,"P1")+SUMIFS('LAC 102_Wkst'!$AE$7:$AE$2010,'LAC 102_Wkst'!$E$7:$E$2010,$C46,'LAC 102_Wkst'!$G$7:$G$2010,$D46,'LAC 102_Wkst'!$L$7:$L$2010,"03",'LAC 102_Wkst'!$N$7:$N$2010,"P2")+SUMIFS('LAC 102_Wkst'!$AE$7:$AE$2010,'LAC 102_Wkst'!$E$7:$E$2010,$C46,'LAC 102_Wkst'!$G$7:$G$2010,$D46,'LAC 102_Wkst'!$L$7:$L$2010,"03",'LAC 102_Wkst'!$N$7:$N$2010,"P3")+SUMIFS('LAC 102_Wkst'!$AE$7:$AE$2010,'LAC 102_Wkst'!$E$7:$E$2010,$C46,'LAC 102_Wkst'!$G$7:$G$2010,$D46,'LAC 102_Wkst'!$L$7:$L$2010,"04",'LAC 102_Wkst'!$N$7:$N$2010,"P1")+SUMIFS('LAC 102_Wkst'!$AE$7:$AE$2010,'LAC 102_Wkst'!$E$7:$E$2010,$C46,'LAC 102_Wkst'!$G$7:$G$2010,$D46,'LAC 102_Wkst'!$L$7:$L$2010,"04",'LAC 102_Wkst'!$N$7:$N$2010,"P2")+SUMIFS('LAC 102_Wkst'!$AE$7:$AE$2010,'LAC 102_Wkst'!$E$7:$E$2010,$C46,'LAC 102_Wkst'!$G$7:$G$2010,$D46,'LAC 102_Wkst'!$L$7:$L$2010,"04",'LAC 102_Wkst'!$N$7:$N$2010,"P3")</f>
        <v>0</v>
      </c>
      <c r="N46" s="410">
        <f>SUMIFS('LAC 102_Wkst'!$Q$7:$Q$2010,'LAC 102_Wkst'!$E$7:$E$2010,$C46,'LAC 102_Wkst'!$G$7:$G$2010,$D46,'LAC 102_Wkst'!$L$7:$L$2010,"03",'LAC 102_Wkst'!$N$7:$N$2010,"P4")+SUMIFS('LAC 102_Wkst'!$Q$7:$Q$2010,'LAC 102_Wkst'!$E$7:$E$2010,$C46,'LAC 102_Wkst'!$G$7:$G$2010,$D46,'LAC 102_Wkst'!$L$7:$L$2010,"04",'LAC 102_Wkst'!$N$7:$N$2010,"P4")</f>
        <v>0</v>
      </c>
      <c r="O46" s="411">
        <f>SUMIFS('LAC 102_Wkst'!$AE$7:$AE$2010,'LAC 102_Wkst'!$E$7:$E$2010,$C46,'LAC 102_Wkst'!$G$7:$G$2010,$D46,'LAC 102_Wkst'!$L$7:$L$2010,"03",'LAC 102_Wkst'!$N$7:$N$2010,"P4")+SUMIFS('LAC 102_Wkst'!$AE$7:$AE$2010,'LAC 102_Wkst'!$E$7:$E$2010,$C46,'LAC 102_Wkst'!$G$7:$G$2010,$D46,'LAC 102_Wkst'!$L$7:$L$2010,"04",'LAC 102_Wkst'!$N$7:$N$2010,"P4")</f>
        <v>0</v>
      </c>
      <c r="P46" s="410">
        <f>SUMIFS('LAC 102_Wkst'!$Q$7:$Q$2010,'LAC 102_Wkst'!$E$7:$E$2010,$C46,'LAC 102_Wkst'!$G$7:$G$2010,$D46,'LAC 102_Wkst'!$L$7:$L$2010,"03",'LAC 102_Wkst'!$N$7:$N$2010,"P5")+SUMIFS('LAC 102_Wkst'!$Q$7:$Q$2010,'LAC 102_Wkst'!$E$7:$E$2010,$C46,'LAC 102_Wkst'!$G$7:$G$2010,$D46,'LAC 102_Wkst'!$L$7:$L$2010,"04",'LAC 102_Wkst'!$N$7:$N$2010,"P5")</f>
        <v>0</v>
      </c>
      <c r="Q46" s="411">
        <f>SUMIFS('LAC 102_Wkst'!$AE$7:$AE$2010,'LAC 102_Wkst'!$E$7:$E$2010,$C46,'LAC 102_Wkst'!$G$7:$G$2010,$D46,'LAC 102_Wkst'!$L$7:$L$2010,"03",'LAC 102_Wkst'!$N$7:$N$2010,"P5")+SUMIFS('LAC 102_Wkst'!$AE$7:$AE$2010,'LAC 102_Wkst'!$E$7:$E$2010,$C46,'LAC 102_Wkst'!$G$7:$G$2010,$D46,'LAC 102_Wkst'!$L$7:$L$2010,"04",'LAC 102_Wkst'!$N$7:$N$2010,"P5")</f>
        <v>0</v>
      </c>
      <c r="R46" s="412">
        <f>SUMIFS('LAC 102_Wkst'!$Q$7:$Q$2010,'LAC 102_Wkst'!$E$7:$E$2010,$C46,'LAC 102_Wkst'!$G$7:$G$2010,$D46,'LAC 102_Wkst'!$L$7:$L$2010,"05",'LAC 102_Wkst'!$N$7:$N$2010,"P1")+SUMIFS('LAC 102_Wkst'!$Q$7:$Q$2010,'LAC 102_Wkst'!$E$7:$E$2010,$C46,'LAC 102_Wkst'!$G$7:$G$2010,$D46,'LAC 102_Wkst'!$L$7:$L$2010,"06",'LAC 102_Wkst'!$N$7:$N$2010,"P1")</f>
        <v>0</v>
      </c>
      <c r="S46" s="411">
        <f>SUMIFS('LAC 102_Wkst'!$AE$7:$AE$2010,'LAC 102_Wkst'!$E$7:$E$2010,$C46,'LAC 102_Wkst'!$G$7:$G$2010,$D46,'LAC 102_Wkst'!$L$7:$L$2010,"05",'LAC 102_Wkst'!$N$7:$N$2010,"P1")+SUMIFS('LAC 102_Wkst'!$AE$7:$AE$2010,'LAC 102_Wkst'!$E$7:$E$2010,$C46,'LAC 102_Wkst'!$G$7:$G$2010,$D46,'LAC 102_Wkst'!$L$7:$L$2010,"06",'LAC 102_Wkst'!$N$7:$N$2010,"P1")</f>
        <v>0</v>
      </c>
      <c r="T46" s="410">
        <f>SUMIFS('LAC 102_Wkst'!$Q$7:$Q$2010,'LAC 102_Wkst'!$E$7:$E$2010,$C46,'LAC 102_Wkst'!$G$7:$G$2010,$D46,'LAC 102_Wkst'!$L$7:$L$2010,"05",'LAC 102_Wkst'!$N$7:$N$2010,"P2")+SUMIFS('LAC 102_Wkst'!$Q$7:$Q$2010,'LAC 102_Wkst'!$E$7:$E$2010,$C46,'LAC 102_Wkst'!$G$7:$G$2010,$D46,'LAC 102_Wkst'!$L$7:$L$2010,"05",'LAC 102_Wkst'!$N$7:$N$2010,"P3")+SUMIFS('LAC 102_Wkst'!$Q$7:$Q$2010,'LAC 102_Wkst'!$E$7:$E$2010,$C46,'LAC 102_Wkst'!$G$7:$G$2010,$D46,'LAC 102_Wkst'!$L$7:$L$2010,"06",'LAC 102_Wkst'!$N$7:$N$2010,"P2")+SUMIFS('LAC 102_Wkst'!$Q$7:$Q$2010,'LAC 102_Wkst'!$E$7:$E$2010,$C46,'LAC 102_Wkst'!$G$7:$G$2010,$D46,'LAC 102_Wkst'!$L$7:$L$2010,"06",'LAC 102_Wkst'!$N$7:$N$2010,"P3")</f>
        <v>0</v>
      </c>
      <c r="U46" s="411">
        <f>SUMIFS('LAC 102_Wkst'!$AE$7:$AE$2010,'LAC 102_Wkst'!$E$7:$E$2010,$C46,'LAC 102_Wkst'!$G$7:$G$2010,$D46,'LAC 102_Wkst'!$L$7:$L$2010,"05",'LAC 102_Wkst'!$N$7:$N$2010,"P2")+SUMIFS('LAC 102_Wkst'!$AE$7:$AE$2010,'LAC 102_Wkst'!$E$7:$E$2010,$C46,'LAC 102_Wkst'!$G$7:$G$2010,$D46,'LAC 102_Wkst'!$L$7:$L$2010,"06",'LAC 102_Wkst'!$N$7:$N$2010,"P3")+SUMIFS('LAC 102_Wkst'!$AE$7:$AE$2010,'LAC 102_Wkst'!$E$7:$E$2010,$C46,'LAC 102_Wkst'!$G$7:$G$2010,$D46,'LAC 102_Wkst'!$L$7:$L$2010,"05",'LAC 102_Wkst'!$N$7:$N$2010,"P2")+SUMIFS('LAC 102_Wkst'!$AE$7:$AE$2010,'LAC 102_Wkst'!$E$7:$E$2010,$C46,'LAC 102_Wkst'!$G$7:$G$2010,$D46,'LAC 102_Wkst'!$L$7:$L$2010,"06",'LAC 102_Wkst'!$N$7:$N$2010,"P3")</f>
        <v>0</v>
      </c>
      <c r="V46" s="410">
        <f>SUMIFS('LAC 102_Wkst'!$Q$7:$Q$2010,'LAC 102_Wkst'!$E$7:$E$2010,$C46,'LAC 102_Wkst'!$G$7:$G$2010,$D46,'LAC 102_Wkst'!$L$7:$L$2010,"05",'LAC 102_Wkst'!$N$7:$N$2010,"P4")+SUMIFS('LAC 102_Wkst'!$Q$7:$Q$2010,'LAC 102_Wkst'!$E$7:$E$2010,$C46,'LAC 102_Wkst'!$G$7:$G$2010,$D46,'LAC 102_Wkst'!$L$7:$L$2010,"06",'LAC 102_Wkst'!$N$7:$N$2010,"P4")</f>
        <v>0</v>
      </c>
      <c r="W46" s="411">
        <f>SUMIFS('LAC 102_Wkst'!$AE$7:$AE$2010,'LAC 102_Wkst'!$E$7:$E$2010,$C46,'LAC 102_Wkst'!$G$7:$G$2010,$D46,'LAC 102_Wkst'!$L$7:$L$2010,"05",'LAC 102_Wkst'!$N$7:$N$2010,"P4")+SUMIFS('LAC 102_Wkst'!$AE$7:$AE$2010,'LAC 102_Wkst'!$E$7:$E$2010,$C46,'LAC 102_Wkst'!$G$7:$G$2010,$D46,'LAC 102_Wkst'!$L$7:$L$2010,"06",'LAC 102_Wkst'!$N$7:$N$2010,"P4")</f>
        <v>0</v>
      </c>
      <c r="X46" s="410">
        <f>SUMIFS('LAC 102_Wkst'!$Q$7:$Q$2010,'LAC 102_Wkst'!$E$7:$E$2010,$C46,'LAC 102_Wkst'!$G$7:$G$2010,$D46,'LAC 102_Wkst'!$L$7:$L$2010,"05",'LAC 102_Wkst'!$N$7:$N$2010,"P5")+SUMIFS('LAC 102_Wkst'!$Q$7:$Q$2010,'LAC 102_Wkst'!$E$7:$E$2010,$C46,'LAC 102_Wkst'!$G$7:$G$2010,$D46,'LAC 102_Wkst'!$L$7:$L$2010,"06",'LAC 102_Wkst'!$N$7:$N$2010,"P5")</f>
        <v>0</v>
      </c>
      <c r="Y46" s="411">
        <f>SUMIFS('LAC 102_Wkst'!$AE$7:$AE$2010,'LAC 102_Wkst'!$E$7:$E$2010,$C46,'LAC 102_Wkst'!$G$7:$G$2010,$D46,'LAC 102_Wkst'!$L$7:$L$2010,"05",'LAC 102_Wkst'!$N$7:$N$2010,"P5")+SUMIFS('LAC 102_Wkst'!$AE$7:$AE$2010,'LAC 102_Wkst'!$E$7:$E$2010,$C46,'LAC 102_Wkst'!$G$7:$G$2010,$D46,'LAC 102_Wkst'!$L$7:$L$2010,"06",'LAC 102_Wkst'!$N$7:$N$2010,"P5")</f>
        <v>0</v>
      </c>
      <c r="Z46" s="410">
        <f>SUMIFS('LAC 102_Wkst'!$Q$7:$Q$2010,'LAC 102_Wkst'!$E$7:$E$2010,$C46,'LAC 102_Wkst'!$G$7:$G$2010,$D46,'LAC 102_Wkst'!$L$7:$L$2010,"07",'LAC 102_Wkst'!$N$7:$N$2010,"P1")+SUMIFS('LAC 102_Wkst'!$Q$7:$Q$2010,'LAC 102_Wkst'!$E$7:$E$2010,$C46,'LAC 102_Wkst'!$G$7:$G$2010,$D46,'LAC 102_Wkst'!$L$7:$L$2010,"07",'LAC 102_Wkst'!$N$7:$N$2010,"P2")+SUMIFS('LAC 102_Wkst'!$Q$7:$Q$2010,'LAC 102_Wkst'!$E$7:$E$2010,$C46,'LAC 102_Wkst'!$G$7:$G$2010,$D46,'LAC 102_Wkst'!$L$7:$L$2010,"07",'LAC 102_Wkst'!$N$7:$N$2010,"P3")</f>
        <v>0</v>
      </c>
      <c r="AA46" s="411">
        <f>SUMIFS('LAC 102_Wkst'!$AE$7:$AE$2010,'LAC 102_Wkst'!$E$7:$E$2010,$C46,'LAC 102_Wkst'!$G$7:$G$2010,$D46,'LAC 102_Wkst'!$L$7:$L$2010,"07",'LAC 102_Wkst'!$N$7:$N$2010,"P1")+SUMIFS('LAC 102_Wkst'!$AE$7:$AE$2010,'LAC 102_Wkst'!$E$7:$E$2010,$C46,'LAC 102_Wkst'!$G$7:$G$2010,$D46,'LAC 102_Wkst'!$L$7:$L$2010,"07",'LAC 102_Wkst'!$N$7:$N$2010,"P2")+SUMIFS('LAC 102_Wkst'!$AE$7:$AE$2010,'LAC 102_Wkst'!$E$7:$E$2010,$C46,'LAC 102_Wkst'!$G$7:$G$2010,$D46,'LAC 102_Wkst'!$L$7:$L$2010,"07",'LAC 102_Wkst'!$N$7:$N$2010,"P3")</f>
        <v>0</v>
      </c>
      <c r="AB46" s="410">
        <f>SUMIFS('LAC 102_Wkst'!$Q$7:$Q$2010,'LAC 102_Wkst'!$E$7:$E$2010,$C46,'LAC 102_Wkst'!$G$7:$G$2010,$D46,'LAC 102_Wkst'!$L$7:$L$2010,"07",'LAC 102_Wkst'!$N$7:$N$2010,"P4")</f>
        <v>0</v>
      </c>
      <c r="AC46" s="411">
        <f>SUMIFS('LAC 102_Wkst'!$AE$7:$AE$2010,'LAC 102_Wkst'!$E$7:$E$2010,$C46,'LAC 102_Wkst'!$G$7:$G$2010,$D46,'LAC 102_Wkst'!$L$7:$L$2010,"07",'LAC 102_Wkst'!$N$7:$N$2010,"P4")</f>
        <v>0</v>
      </c>
      <c r="AD46" s="410">
        <f>SUMIFS('LAC 102_Wkst'!$Q$7:$Q$2010,'LAC 102_Wkst'!$E$7:$E$2010,$C46,'LAC 102_Wkst'!$G$7:$G$2010,$D46,'LAC 102_Wkst'!$L$7:$L$2010,"07",'LAC 102_Wkst'!$N$7:$N$2010,"P5")</f>
        <v>0</v>
      </c>
      <c r="AE46" s="411">
        <f>SUMIFS('LAC 102_Wkst'!$AE$7:$AE$2010,'LAC 102_Wkst'!$E$7:$E$2010,$C46,'LAC 102_Wkst'!$G$7:$G$2010,$D46,'LAC 102_Wkst'!$L$7:$L$2010,"07",'LAC 102_Wkst'!$N$7:$N$2010,"P5")</f>
        <v>0</v>
      </c>
      <c r="AF46" s="410">
        <f>SUMIFS('LAC 102_Wkst'!$Q$7:$Q$2010,'LAC 102_Wkst'!$E$7:$E$2010,$C46,'LAC 102_Wkst'!$G$7:$G$2010,$D46,'LAC 102_Wkst'!$L$7:$L$2010,"08",'LAC 102_Wkst'!$N$7:$N$2010,"P1")+SUMIFS('LAC 102_Wkst'!$Q$7:$Q$2010,'LAC 102_Wkst'!$E$7:$E$2010,$C46,'LAC 102_Wkst'!$G$7:$G$2010,$D46,'LAC 102_Wkst'!$L$7:$L$2010,"08",'LAC 102_Wkst'!$N$7:$N$2010,"P2")+SUMIFS('LAC 102_Wkst'!$Q$7:$Q$2010,'LAC 102_Wkst'!$E$7:$E$2010,$C46,'LAC 102_Wkst'!$G$7:$G$2010,$D46,'LAC 102_Wkst'!$L$7:$L$2010,"08",'LAC 102_Wkst'!$N$7:$N$2010,"P3")</f>
        <v>0</v>
      </c>
      <c r="AG46" s="411">
        <f>SUMIFS('LAC 102_Wkst'!$AE$7:$AE$2010,'LAC 102_Wkst'!$E$7:$E$2010,$C46,'LAC 102_Wkst'!$G$7:$G$2010,$D46,'LAC 102_Wkst'!$L$7:$L$2010,"08",'LAC 102_Wkst'!$N$7:$N$2010,"P1")+SUMIFS('LAC 102_Wkst'!$AE$7:$AE$2010,'LAC 102_Wkst'!$E$7:$E$2010,$C46,'LAC 102_Wkst'!$G$7:$G$2010,$D46,'LAC 102_Wkst'!$L$7:$L$2010,"08",'LAC 102_Wkst'!$N$7:$N$2010,"P2")+SUMIFS('LAC 102_Wkst'!$AE$7:$AE$2010,'LAC 102_Wkst'!$E$7:$E$2010,$C46,'LAC 102_Wkst'!$G$7:$G$2010,$D46,'LAC 102_Wkst'!$L$7:$L$2010,"08",'LAC 102_Wkst'!$N$7:$N$2010,"P3")</f>
        <v>0</v>
      </c>
      <c r="AH46" s="410">
        <f>SUMIFS('LAC 102_Wkst'!$Q$7:$Q$2010,'LAC 102_Wkst'!$E$7:$E$2010,$C46,'LAC 102_Wkst'!$G$7:$G$2010,$D46,'LAC 102_Wkst'!$L$7:$L$2010,"08",'LAC 102_Wkst'!$N$7:$N$2010,"P4")</f>
        <v>0</v>
      </c>
      <c r="AI46" s="411">
        <f>SUMIFS('LAC 102_Wkst'!$AE$7:$AE$2010,'LAC 102_Wkst'!$E$7:$E$2010,$C46,'LAC 102_Wkst'!$G$7:$G$2010,$D46,'LAC 102_Wkst'!$L$7:$L$2010,"08",'LAC 102_Wkst'!$N$7:$N$2010,"P4")</f>
        <v>0</v>
      </c>
      <c r="AJ46" s="410">
        <f>SUMIFS('LAC 102_Wkst'!$Q$7:$Q$2010,'LAC 102_Wkst'!$E$7:$E$2010,$C46,'LAC 102_Wkst'!$G$7:$G$2010,$D46,'LAC 102_Wkst'!$L$7:$L$2010,"08",'LAC 102_Wkst'!$N$7:$N$2010,"P5")</f>
        <v>0</v>
      </c>
      <c r="AK46" s="411">
        <f>SUMIFS('LAC 102_Wkst'!$AE$7:$AE$2010,'LAC 102_Wkst'!$E$7:$E$2010,$C46,'LAC 102_Wkst'!$G$7:$G$2010,$D46,'LAC 102_Wkst'!$L$7:$L$2010,"08",'LAC 102_Wkst'!$N$7:$N$2010,"P5")</f>
        <v>0</v>
      </c>
      <c r="AL46" s="410">
        <f>SUMIFS('LAC 102_Wkst'!$Q$7:$Q$2010,'LAC 102_Wkst'!$E$7:$E$2010,$C46,'LAC 102_Wkst'!$G$7:$G$2010,$D46,'LAC 102_Wkst'!$L$7:$L$2010,"09",'LAC 102_Wkst'!$N$7:$N$2010,"P1")+SUMIFS('LAC 102_Wkst'!$Q$7:$Q$2010,'LAC 102_Wkst'!$E$7:$E$2010,$C46,'LAC 102_Wkst'!$G$7:$G$2010,$D46,'LAC 102_Wkst'!$L$7:$L$2010,"09",'LAC 102_Wkst'!$N$7:$N$2010,"P2")+SUMIFS('LAC 102_Wkst'!$Q$7:$Q$2010,'LAC 102_Wkst'!$E$7:$E$2010,$C46,'LAC 102_Wkst'!$G$7:$G$2010,$D46,'LAC 102_Wkst'!$L$7:$L$2010,"09",'LAC 102_Wkst'!$N$7:$N$2010,"P3")+SUMIFS('LAC 102_Wkst'!$Q$7:$Q$2010,'LAC 102_Wkst'!$E$7:$E$2010,$C46,'LAC 102_Wkst'!$G$7:$G$2010,$D46,'LAC 102_Wkst'!$L$7:$L$2010,"09",'LAC 102_Wkst'!$N$7:$N$2010,"P4")</f>
        <v>0</v>
      </c>
      <c r="AM46" s="411">
        <f>SUMIFS('LAC 102_Wkst'!$AE$7:$AE$2010,'LAC 102_Wkst'!$E$7:$E$2010,$C46,'LAC 102_Wkst'!$G$7:$G$2010,$D46,'LAC 102_Wkst'!$L$7:$L$2010,"09",'LAC 102_Wkst'!$N$7:$N$2010,"P1")+SUMIFS('LAC 102_Wkst'!$AE$7:$AE$2010,'LAC 102_Wkst'!$E$7:$E$2010,$C46,'LAC 102_Wkst'!$G$7:$G$2010,$D46,'LAC 102_Wkst'!$L$7:$L$2010,"09",'LAC 102_Wkst'!$N$7:$N$2010,"P2")+SUMIFS('LAC 102_Wkst'!$AE$7:$AE$2010,'LAC 102_Wkst'!$E$7:$E$2010,$C46,'LAC 102_Wkst'!$G$7:$G$2010,$D46,'LAC 102_Wkst'!$L$7:$L$2010,"09",'LAC 102_Wkst'!$N$7:$N$2010,"P3")+SUMIFS('LAC 102_Wkst'!$AE$7:$AE$2010,'LAC 102_Wkst'!$E$7:$E$2010,$C46,'LAC 102_Wkst'!$G$7:$G$2010,$D46,'LAC 102_Wkst'!$L$7:$L$2010,"09",'LAC 102_Wkst'!$N$7:$N$2010,"P4")</f>
        <v>0</v>
      </c>
      <c r="AN46" s="410">
        <f>SUMIFS('LAC 102_Wkst'!$Q$7:$Q$2010,'LAC 102_Wkst'!$E$7:$E$2010,$C46,'LAC 102_Wkst'!$G$7:$G$2010,$D46,'LAC 102_Wkst'!$L$7:$L$2010,"09",'LAC 102_Wkst'!$N$7:$N$2010,"P5")</f>
        <v>0</v>
      </c>
      <c r="AO46" s="411">
        <f>SUMIFS('LAC 102_Wkst'!$AE$7:$AE$2010,'LAC 102_Wkst'!$E$7:$E$2010,$C46,'LAC 102_Wkst'!$G$7:$G$2010,$D46,'LAC 102_Wkst'!$L$7:$L$2010,"09",'LAC 102_Wkst'!$N$7:$N$2010,"P5")</f>
        <v>0</v>
      </c>
      <c r="AP46" s="410">
        <f>SUMIFS('LAC 102_Wkst'!$Q$7:$Q$2010,'LAC 102_Wkst'!$E$7:$E$2010,$C46,'LAC 102_Wkst'!$G$7:$G$2010,$D46,'LAC 102_Wkst'!$L$7:$L$2010,"10",'LAC 102_Wkst'!$N$7:$N$2010,"P1")+SUMIFS('LAC 102_Wkst'!$Q$7:$Q$2010,'LAC 102_Wkst'!$E$7:$E$2010,$C46,'LAC 102_Wkst'!$G$7:$G$2010,$D46,'LAC 102_Wkst'!$L$7:$L$2010,"10",'LAC 102_Wkst'!$N$7:$N$2010,"P2")+SUMIFS('LAC 102_Wkst'!$Q$7:$Q$2010,'LAC 102_Wkst'!$E$7:$E$2010,$C46,'LAC 102_Wkst'!$G$7:$G$2010,$D46,'LAC 102_Wkst'!$L$7:$L$2010,"10",'LAC 102_Wkst'!$N$7:$N$2010,"P3")+SUMIFS('LAC 102_Wkst'!$Q$7:$Q$2010,'LAC 102_Wkst'!$E$7:$E$2010,$C46,'LAC 102_Wkst'!$G$7:$G$2010,$D46,'LAC 102_Wkst'!$L$7:$L$2010,"10",'LAC 102_Wkst'!$N$7:$N$2010,"P4")</f>
        <v>0</v>
      </c>
      <c r="AQ46" s="411">
        <f>SUMIFS('LAC 102_Wkst'!$AE$7:$AE$2010,'LAC 102_Wkst'!$E$7:$E$2010,$C46,'LAC 102_Wkst'!$G$7:$G$2010,$D46,'LAC 102_Wkst'!$L$7:$L$2010,"10",'LAC 102_Wkst'!$N$7:$N$2010,"P1")+SUMIFS('LAC 102_Wkst'!$AE$7:$AE$2010,'LAC 102_Wkst'!$E$7:$E$2010,$C46,'LAC 102_Wkst'!$G$7:$G$2010,$D46,'LAC 102_Wkst'!$L$7:$L$2010,"10",'LAC 102_Wkst'!$N$7:$N$2010,"P2")+SUMIFS('LAC 102_Wkst'!$AE$7:$AE$2010,'LAC 102_Wkst'!$E$7:$E$2010,$C46,'LAC 102_Wkst'!$G$7:$G$2010,$D46,'LAC 102_Wkst'!$L$7:$L$2010,"10",'LAC 102_Wkst'!$N$7:$N$2010,"P3")+SUMIFS('LAC 102_Wkst'!$AE$7:$AE$2010,'LAC 102_Wkst'!$E$7:$E$2010,$C46,'LAC 102_Wkst'!$G$7:$G$2010,$D46,'LAC 102_Wkst'!$L$7:$L$2010,"10",'LAC 102_Wkst'!$N$7:$N$2010,"P4")</f>
        <v>0</v>
      </c>
      <c r="AR46" s="410">
        <f>SUMIFS('LAC 102_Wkst'!$Q$7:$Q$2010,'LAC 102_Wkst'!$E$7:$E$2010,$C46,'LAC 102_Wkst'!$G$7:$G$2010,$D46,'LAC 102_Wkst'!$L$7:$L$2010,"10",'LAC 102_Wkst'!$N$7:$N$2010,"P5")</f>
        <v>0</v>
      </c>
      <c r="AS46" s="411">
        <f>SUMIFS('LAC 102_Wkst'!$AE$7:$AE$2010,'LAC 102_Wkst'!$E$7:$E$2010,$C46,'LAC 102_Wkst'!$G$7:$G$2010,$D46,'LAC 102_Wkst'!$L$7:$L$2010,"10",'LAC 102_Wkst'!$N$7:$N$2010,"P5")</f>
        <v>0</v>
      </c>
      <c r="AT46" s="410">
        <f>SUMIFS('LAC 102_Wkst'!$Q$7:$Q$2010,'LAC 102_Wkst'!$E$7:$E$2010,$C46,'LAC 102_Wkst'!$G$7:$G$2010,$D46,'LAC 102_Wkst'!$L$7:$L$2010,"11",'LAC 102_Wkst'!$N$7:$N$2010,"P1")+SUMIFS('LAC 102_Wkst'!$Q$7:$Q$2010,'LAC 102_Wkst'!$E$7:$E$2010,$C46,'LAC 102_Wkst'!$G$7:$G$2010,$D46,'LAC 102_Wkst'!$L$7:$L$2010,"12",'LAC 102_Wkst'!$N$7:$N$2010,"P1")</f>
        <v>0</v>
      </c>
      <c r="AU46" s="411">
        <f>SUMIFS('LAC 102_Wkst'!$AE$7:$AE$2010,'LAC 102_Wkst'!$E$7:$E$2010,$C46,'LAC 102_Wkst'!$G$7:$G$2010,$D46,'LAC 102_Wkst'!$L$7:$L$2010,"11",'LAC 102_Wkst'!$N$7:$N$2010,"P1")+SUMIFS('LAC 102_Wkst'!$AE$7:$AE$2010,'LAC 102_Wkst'!$E$7:$E$2010,$C46,'LAC 102_Wkst'!$G$7:$G$2010,$D46,'LAC 102_Wkst'!$L$7:$L$2010,"12",'LAC 102_Wkst'!$N$7:$N$2010,"P1")</f>
        <v>0</v>
      </c>
      <c r="AV46" s="410">
        <f>SUMIFS('LAC 102_Wkst'!$Q$7:$Q$2010,'LAC 102_Wkst'!$E$7:$E$2010,$C46,'LAC 102_Wkst'!$G$7:$G$2010,$D46,'LAC 102_Wkst'!$L$7:$L$2010,"11",'LAC 102_Wkst'!$N$7:$N$2010,"P2")+SUMIFS('LAC 102_Wkst'!$Q$7:$Q$2010,'LAC 102_Wkst'!$E$7:$E$2010,$C46,'LAC 102_Wkst'!$G$7:$G$2010,$D46,'LAC 102_Wkst'!$L$7:$L$2010,"12",'LAC 102_Wkst'!$N$7:$N$2010,"P3")+SUMIFS('LAC 102_Wkst'!$Q$7:$Q$2010,'LAC 102_Wkst'!$E$7:$E$2010,$C46,'LAC 102_Wkst'!$G$7:$G$2010,$D46,'LAC 102_Wkst'!$L$7:$L$2010,"11",'LAC 102_Wkst'!$N$7:$N$2010,"P2")+SUMIFS('LAC 102_Wkst'!$Q$7:$Q$2010,'LAC 102_Wkst'!$E$7:$E$2010,$C46,'LAC 102_Wkst'!$G$7:$G$2010,$D46,'LAC 102_Wkst'!$L$7:$L$2010,"12",'LAC 102_Wkst'!$N$7:$N$2010,"P3")</f>
        <v>0</v>
      </c>
      <c r="AW46" s="411">
        <f>SUMIFS('LAC 102_Wkst'!$AE$7:$AE$2010,'LAC 102_Wkst'!$E$7:$E$2010,$C46,'LAC 102_Wkst'!$G$7:$G$2010,$D46,'LAC 102_Wkst'!$L$7:$L$2010,"11",'LAC 102_Wkst'!$N$7:$N$2010,"P2")+SUMIFS('LAC 102_Wkst'!$AE$7:$AE$2010,'LAC 102_Wkst'!$E$7:$E$2010,$C46,'LAC 102_Wkst'!$G$7:$G$2010,$D46,'LAC 102_Wkst'!$L$7:$L$2010,"12",'LAC 102_Wkst'!$N$7:$N$2010,"P3")+SUMIFS('LAC 102_Wkst'!$AE$7:$AE$2010,'LAC 102_Wkst'!$E$7:$E$2010,$C46,'LAC 102_Wkst'!$G$7:$G$2010,$D46,'LAC 102_Wkst'!$L$7:$L$2010,"11",'LAC 102_Wkst'!$N$7:$N$2010,"P2")+SUMIFS('LAC 102_Wkst'!$AE$7:$AE$2010,'LAC 102_Wkst'!$E$7:$E$2010,$C46,'LAC 102_Wkst'!$G$7:$G$2010,$D46,'LAC 102_Wkst'!$L$7:$L$2010,"12",'LAC 102_Wkst'!$N$7:$N$2010,"P3")</f>
        <v>0</v>
      </c>
      <c r="AX46" s="410">
        <f>SUMIFS('LAC 102_Wkst'!$Q$7:$Q$2010,'LAC 102_Wkst'!$E$7:$E$2010,$C46,'LAC 102_Wkst'!$G$7:$G$2010,$D46,'LAC 102_Wkst'!$L$7:$L$2010,"11",'LAC 102_Wkst'!$N$7:$N$2010,"P4")+SUMIFS('LAC 102_Wkst'!$Q$7:$Q$2010,'LAC 102_Wkst'!$E$7:$E$2010,$C46,'LAC 102_Wkst'!$G$7:$G$2010,$D46,'LAC 102_Wkst'!$L$7:$L$2010,"12",'LAC 102_Wkst'!$N$7:$N$2010,"P4")</f>
        <v>0</v>
      </c>
      <c r="AY46" s="411">
        <f>SUMIFS('LAC 102_Wkst'!$AE$7:$AE$2010,'LAC 102_Wkst'!$E$7:$E$2010,$C46,'LAC 102_Wkst'!$G$7:$G$2010,$D46,'LAC 102_Wkst'!$L$7:$L$2010,"11",'LAC 102_Wkst'!$N$7:$N$2010,"P4")+SUMIFS('LAC 102_Wkst'!$AE$7:$AE$2010,'LAC 102_Wkst'!$E$7:$E$2010,$C46,'LAC 102_Wkst'!$G$7:$G$2010,$D46,'LAC 102_Wkst'!$L$7:$L$2010,"12",'LAC 102_Wkst'!$N$7:$N$2010,"P4")</f>
        <v>0</v>
      </c>
      <c r="AZ46" s="410">
        <f>SUMIFS('LAC 102_Wkst'!$Q$7:$Q$2010,'LAC 102_Wkst'!$E$7:$E$2010,$C46,'LAC 102_Wkst'!$G$7:$G$2010,$D46,'LAC 102_Wkst'!$L$7:$L$2010,"11",'LAC 102_Wkst'!$N$7:$N$2010,"P5")+SUMIFS('LAC 102_Wkst'!$Q$7:$Q$2010,'LAC 102_Wkst'!$E$7:$E$2010,$C46,'LAC 102_Wkst'!$G$7:$G$2010,$D46,'LAC 102_Wkst'!$L$7:$L$2010,"12",'LAC 102_Wkst'!$N$7:$N$2010,"P5")</f>
        <v>0</v>
      </c>
      <c r="BA46" s="411">
        <f>SUMIFS('LAC 102_Wkst'!$AE$7:$AE$2010,'LAC 102_Wkst'!$E$7:$E$2010,$C46,'LAC 102_Wkst'!$G$7:$G$2010,$D46,'LAC 102_Wkst'!$L$7:$L$2010,"11",'LAC 102_Wkst'!$N$7:$N$2010,"P5")+SUMIFS('LAC 102_Wkst'!$AE$7:$AE$2010,'LAC 102_Wkst'!$E$7:$E$2010,$C46,'LAC 102_Wkst'!$G$7:$G$2010,$D46,'LAC 102_Wkst'!$L$7:$L$2010,"12",'LAC 102_Wkst'!$N$7:$N$2010,"P5")</f>
        <v>0</v>
      </c>
      <c r="BB46" s="410">
        <f>SUMIFS('LAC 102_Wkst'!$Q$7:$Q$2010,'LAC 102_Wkst'!$E$7:$E$2010,$C46,'LAC 102_Wkst'!$G$7:$G$2010,$D46,'LAC 102_Wkst'!$L$7:$L$2010,"13",'LAC 102_Wkst'!$N$7:$N$2010,"P1")+SUMIFS('LAC 102_Wkst'!$Q$7:$Q$2010,'LAC 102_Wkst'!$E$7:$E$2010,$C46,'LAC 102_Wkst'!$G$7:$G$2010,$D46,'LAC 102_Wkst'!$L$7:$L$2010,"13",'LAC 102_Wkst'!$N$7:$N$2010,"P2")+SUMIFS('LAC 102_Wkst'!$Q$7:$Q$2010,'LAC 102_Wkst'!$E$7:$E$2010,$C46,'LAC 102_Wkst'!$G$7:$G$2010,$D46,'LAC 102_Wkst'!$L$7:$L$2010,"13",'LAC 102_Wkst'!$N$7:$N$2010,"P3")+SUMIFS('LAC 102_Wkst'!$Q$7:$Q$2010,'LAC 102_Wkst'!$E$7:$E$2010,$C46,'LAC 102_Wkst'!$G$7:$G$2010,$D46,'LAC 102_Wkst'!$L$7:$L$2010,"13",'LAC 102_Wkst'!$N$7:$N$2010,"P4")</f>
        <v>0</v>
      </c>
      <c r="BC46" s="411">
        <f>SUMIFS('LAC 102_Wkst'!$AE$7:$AE$2010,'LAC 102_Wkst'!$E$7:$E$2010,$C46,'LAC 102_Wkst'!$G$7:$G$2010,$D46,'LAC 102_Wkst'!$L$7:$L$2010,"13",'LAC 102_Wkst'!$N$7:$N$2010,"P1")+SUMIFS('LAC 102_Wkst'!$AE$7:$AE$2010,'LAC 102_Wkst'!$E$7:$E$2010,$C46,'LAC 102_Wkst'!$G$7:$G$2010,$D46,'LAC 102_Wkst'!$L$7:$L$2010,"13",'LAC 102_Wkst'!$N$7:$N$2010,"P2")+SUMIFS('LAC 102_Wkst'!$AE$7:$AE$2010,'LAC 102_Wkst'!$E$7:$E$2010,$C46,'LAC 102_Wkst'!$G$7:$G$2010,$D46,'LAC 102_Wkst'!$L$7:$L$2010,"13",'LAC 102_Wkst'!$N$7:$N$2010,"P3")+SUMIFS('LAC 102_Wkst'!$AE$7:$AE$2010,'LAC 102_Wkst'!$E$7:$E$2010,$C46,'LAC 102_Wkst'!$G$7:$G$2010,$D46,'LAC 102_Wkst'!$L$7:$L$2010,"13",'LAC 102_Wkst'!$N$7:$N$2010,"P4")</f>
        <v>0</v>
      </c>
      <c r="BD46" s="410">
        <f>SUMIFS('LAC 102_Wkst'!$Q$7:$Q$2010,'LAC 102_Wkst'!$E$7:$E$2010,$C46,'LAC 102_Wkst'!$G$7:$G$2010,$D46,'LAC 102_Wkst'!$L$7:$L$2010,"13",'LAC 102_Wkst'!$N$7:$N$2010,"P5")</f>
        <v>0</v>
      </c>
      <c r="BE46" s="411">
        <f>SUMIFS('LAC 102_Wkst'!$AE$7:$AE$2010,'LAC 102_Wkst'!$E$7:$E$2010,$C46,'LAC 102_Wkst'!$G$7:$G$2010,$D46,'LAC 102_Wkst'!$L$7:$L$2010,"13",'LAC 102_Wkst'!$N$7:$N$2010,"P5")</f>
        <v>0</v>
      </c>
      <c r="BF46" s="407">
        <f t="shared" si="0"/>
        <v>0</v>
      </c>
    </row>
    <row r="47" spans="1:58" x14ac:dyDescent="0.2">
      <c r="A47" s="401">
        <v>28</v>
      </c>
      <c r="B47" s="1236"/>
      <c r="C47" s="1235"/>
      <c r="D47" s="1237"/>
      <c r="E47" s="1222">
        <f>IF(CONCATENATE(C47,D47)&gt;"6069",1,SUMIFS('LAC 102_Wkst'!$Q$7:$Q$2010,'LAC 102_Wkst'!$E$7:$E$2010,Schedule_B!$C47,'LAC 102_Wkst'!$G$7:$G$2010,Schedule_B!$D47))</f>
        <v>0</v>
      </c>
      <c r="F47" s="408">
        <f>SUMIFS('LAC 102_Wkst'!$Q$7:$Q$2010,'LAC 102_Wkst'!$E$7:$E$2010,$C47,'LAC 102_Wkst'!$G$7:$G$2010,$D47,'LAC 102_Wkst'!$L$7:$L$2010,"01",'LAC 102_Wkst'!$N$7:$N$2010,"P1")+SUMIFS('LAC 102_Wkst'!$Q$7:$Q$2010,'LAC 102_Wkst'!$E$7:$E$2010,$C47,'LAC 102_Wkst'!$G$7:$G$2010,$D47,'LAC 102_Wkst'!$L$7:$L$2010,"01",'LAC 102_Wkst'!$N$7:$N$2010,"P2")+SUMIFS('LAC 102_Wkst'!$Q$7:$Q$2010,'LAC 102_Wkst'!$E$7:$E$2010,$C47,'LAC 102_Wkst'!$G$7:$G$2010,$D47,'LAC 102_Wkst'!$L$7:$L$2010,"01",'LAC 102_Wkst'!$N$7:$N$2010,"P3")+SUMIFS('LAC 102_Wkst'!$Q$7:$Q$2010,'LAC 102_Wkst'!$E$7:$E$2010,$C47,'LAC 102_Wkst'!$G$7:$G$2010,$D47,'LAC 102_Wkst'!$L$7:$L$2010,"02",'LAC 102_Wkst'!$N$7:$N$2010,"P1")+SUMIFS('LAC 102_Wkst'!$Q$7:$Q$2010,'LAC 102_Wkst'!$E$7:$E$2010,$C47,'LAC 102_Wkst'!$G$7:$G$2010,$D47,'LAC 102_Wkst'!$L$7:$L$2010,"02",'LAC 102_Wkst'!$N$7:$N$2010,"P2")+SUMIFS('LAC 102_Wkst'!$Q$7:$Q$2010,'LAC 102_Wkst'!$E$7:$E$2010,$C47,'LAC 102_Wkst'!$G$7:$G$2010,$D47,'LAC 102_Wkst'!$L$7:$L$2010,"02",'LAC 102_Wkst'!$N$7:$N$2010,"P3")</f>
        <v>0</v>
      </c>
      <c r="G47" s="409">
        <f>SUMIFS('LAC 102_Wkst'!$AE$7:$AE$2010,'LAC 102_Wkst'!$E$7:$E$2010,$C47,'LAC 102_Wkst'!$G$7:$G$2010,$D47,'LAC 102_Wkst'!$L$7:$L$2010,"01",'LAC 102_Wkst'!$N$7:$N$2010,"P1")+SUMIFS('LAC 102_Wkst'!$AE$7:$AE$2010,'LAC 102_Wkst'!$E$7:$E$2010,$C47,'LAC 102_Wkst'!$G$7:$G$2010,$D47,'LAC 102_Wkst'!$L$7:$L$2010,"01",'LAC 102_Wkst'!$N$7:$N$2010,"P2")+SUMIFS('LAC 102_Wkst'!$AE$7:$AE$2010,'LAC 102_Wkst'!$E$7:$E$2010,$C47,'LAC 102_Wkst'!$G$7:$G$2010,$D47,'LAC 102_Wkst'!$L$7:$L$2010,"01",'LAC 102_Wkst'!$N$7:$N$2010,"P3")+SUMIFS('LAC 102_Wkst'!$AE$7:$AE$2010,'LAC 102_Wkst'!$E$7:$E$2010,$C47,'LAC 102_Wkst'!$G$7:$G$2010,$D47,'LAC 102_Wkst'!$L$7:$L$2010,"02",'LAC 102_Wkst'!$N$7:$N$2010,"P1")+SUMIFS('LAC 102_Wkst'!$AE$7:$AE$2010,'LAC 102_Wkst'!$E$7:$E$2010,$C47,'LAC 102_Wkst'!$G$7:$G$2010,$D47,'LAC 102_Wkst'!$L$7:$L$2010,"02",'LAC 102_Wkst'!$N$7:$N$2010,"P2")+SUMIFS('LAC 102_Wkst'!$AE$7:$AE$2010,'LAC 102_Wkst'!$E$7:$E$2010,$C47,'LAC 102_Wkst'!$G$7:$G$2010,$D47,'LAC 102_Wkst'!$L$7:$L$2010,"02",'LAC 102_Wkst'!$N$7:$N$2010,"P3")</f>
        <v>0</v>
      </c>
      <c r="H47" s="410">
        <f>SUMIFS('LAC 102_Wkst'!$Q$7:$Q$2010,'LAC 102_Wkst'!$E$7:$E$2010,$C47,'LAC 102_Wkst'!$G$7:$G$2010,$D47,'LAC 102_Wkst'!$L$7:$L$2010,"01",'LAC 102_Wkst'!$N$7:$N$2010,"P4")+SUMIFS('LAC 102_Wkst'!$Q$7:$Q$2010,'LAC 102_Wkst'!$E$7:$E$2010,$C47,'LAC 102_Wkst'!$G$7:$G$2010,$D47,'LAC 102_Wkst'!$L$7:$L$2010,"02",'LAC 102_Wkst'!$N$7:$N$2010,"P4")</f>
        <v>0</v>
      </c>
      <c r="I47" s="411">
        <f>SUMIFS('LAC 102_Wkst'!$AE$7:$AE$2010,'LAC 102_Wkst'!$E$7:$E$2010,$C47,'LAC 102_Wkst'!$G$7:$G$2010,$D47,'LAC 102_Wkst'!$L$7:$L$2010,"01",'LAC 102_Wkst'!$N$7:$N$2010,"P4")+SUMIFS('LAC 102_Wkst'!$AE$7:$AE$2010,'LAC 102_Wkst'!$E$7:$E$2010,$C47,'LAC 102_Wkst'!$G$7:$G$2010,$D47,'LAC 102_Wkst'!$L$7:$L$2010,"02",'LAC 102_Wkst'!$N$7:$N$2010,"P4")</f>
        <v>0</v>
      </c>
      <c r="J47" s="410">
        <f>SUMIFS('LAC 102_Wkst'!$Q$7:$Q$2010,'LAC 102_Wkst'!$E$7:$E$2010,$C47,'LAC 102_Wkst'!$G$7:$G$2010,$D47,'LAC 102_Wkst'!$L$7:$L$2010,"01",'LAC 102_Wkst'!$N$7:$N$2010,"P5")+SUMIFS('LAC 102_Wkst'!$Q$7:$Q$2010,'LAC 102_Wkst'!$E$7:$E$2010,$C47,'LAC 102_Wkst'!$G$7:$G$2010,$D47,'LAC 102_Wkst'!$L$7:$L$2010,"02",'LAC 102_Wkst'!$N$7:$N$2010,"P5")</f>
        <v>0</v>
      </c>
      <c r="K47" s="411">
        <f>SUMIFS('LAC 102_Wkst'!$AE$7:$AE$2010,'LAC 102_Wkst'!$E$7:$E$2010,$C47,'LAC 102_Wkst'!$G$7:$G$2010,$D47,'LAC 102_Wkst'!$L$7:$L$2010,"01",'LAC 102_Wkst'!$N$7:$N$2010,"P5")+SUMIFS('LAC 102_Wkst'!$AE$7:$AE$2010,'LAC 102_Wkst'!$E$7:$E$2010,$C47,'LAC 102_Wkst'!$G$7:$G$2010,$D47,'LAC 102_Wkst'!$L$7:$L$2010,"02",'LAC 102_Wkst'!$N$7:$N$2010,"P5")</f>
        <v>0</v>
      </c>
      <c r="L47" s="410">
        <f>SUMIFS('LAC 102_Wkst'!$Q$7:$Q$2010,'LAC 102_Wkst'!$E$7:$E$2010,$C47,'LAC 102_Wkst'!$G$7:$G$2010,$D47,'LAC 102_Wkst'!$L$7:$L$2010,"03",'LAC 102_Wkst'!$N$7:$N$2010,"P1")+SUMIFS('LAC 102_Wkst'!$Q$7:$Q$2010,'LAC 102_Wkst'!$E$7:$E$2010,$C47,'LAC 102_Wkst'!$G$7:$G$2010,$D47,'LAC 102_Wkst'!$L$7:$L$2010,"03",'LAC 102_Wkst'!$N$7:$N$2010,"P2")+SUMIFS('LAC 102_Wkst'!$Q$7:$Q$2010,'LAC 102_Wkst'!$E$7:$E$2010,$C47,'LAC 102_Wkst'!$G$7:$G$2010,$D47,'LAC 102_Wkst'!$L$7:$L$2010,"03",'LAC 102_Wkst'!$N$7:$N$2010,"P3")+SUMIFS('LAC 102_Wkst'!$Q$7:$Q$2010,'LAC 102_Wkst'!$E$7:$E$2010,$C47,'LAC 102_Wkst'!$G$7:$G$2010,$D47,'LAC 102_Wkst'!$L$7:$L$2010,"04",'LAC 102_Wkst'!$N$7:$N$2010,"P1")+SUMIFS('LAC 102_Wkst'!$Q$7:$Q$2010,'LAC 102_Wkst'!$E$7:$E$2010,$C47,'LAC 102_Wkst'!$G$7:$G$2010,$D47,'LAC 102_Wkst'!$L$7:$L$2010,"04",'LAC 102_Wkst'!$N$7:$N$2010,"P2")+SUMIFS('LAC 102_Wkst'!$Q$7:$Q$2010,'LAC 102_Wkst'!$E$7:$E$2010,$C47,'LAC 102_Wkst'!$G$7:$G$2010,$D47,'LAC 102_Wkst'!$L$7:$L$2010,"04",'LAC 102_Wkst'!$N$7:$N$2010,"P3")</f>
        <v>0</v>
      </c>
      <c r="M47" s="411">
        <f>SUMIFS('LAC 102_Wkst'!$AE$7:$AE$2010,'LAC 102_Wkst'!$E$7:$E$2010,$C47,'LAC 102_Wkst'!$G$7:$G$2010,$D47,'LAC 102_Wkst'!$L$7:$L$2010,"03",'LAC 102_Wkst'!$N$7:$N$2010,"P1")+SUMIFS('LAC 102_Wkst'!$AE$7:$AE$2010,'LAC 102_Wkst'!$E$7:$E$2010,$C47,'LAC 102_Wkst'!$G$7:$G$2010,$D47,'LAC 102_Wkst'!$L$7:$L$2010,"03",'LAC 102_Wkst'!$N$7:$N$2010,"P2")+SUMIFS('LAC 102_Wkst'!$AE$7:$AE$2010,'LAC 102_Wkst'!$E$7:$E$2010,$C47,'LAC 102_Wkst'!$G$7:$G$2010,$D47,'LAC 102_Wkst'!$L$7:$L$2010,"03",'LAC 102_Wkst'!$N$7:$N$2010,"P3")+SUMIFS('LAC 102_Wkst'!$AE$7:$AE$2010,'LAC 102_Wkst'!$E$7:$E$2010,$C47,'LAC 102_Wkst'!$G$7:$G$2010,$D47,'LAC 102_Wkst'!$L$7:$L$2010,"04",'LAC 102_Wkst'!$N$7:$N$2010,"P1")+SUMIFS('LAC 102_Wkst'!$AE$7:$AE$2010,'LAC 102_Wkst'!$E$7:$E$2010,$C47,'LAC 102_Wkst'!$G$7:$G$2010,$D47,'LAC 102_Wkst'!$L$7:$L$2010,"04",'LAC 102_Wkst'!$N$7:$N$2010,"P2")+SUMIFS('LAC 102_Wkst'!$AE$7:$AE$2010,'LAC 102_Wkst'!$E$7:$E$2010,$C47,'LAC 102_Wkst'!$G$7:$G$2010,$D47,'LAC 102_Wkst'!$L$7:$L$2010,"04",'LAC 102_Wkst'!$N$7:$N$2010,"P3")</f>
        <v>0</v>
      </c>
      <c r="N47" s="410">
        <f>SUMIFS('LAC 102_Wkst'!$Q$7:$Q$2010,'LAC 102_Wkst'!$E$7:$E$2010,$C47,'LAC 102_Wkst'!$G$7:$G$2010,$D47,'LAC 102_Wkst'!$L$7:$L$2010,"03",'LAC 102_Wkst'!$N$7:$N$2010,"P4")+SUMIFS('LAC 102_Wkst'!$Q$7:$Q$2010,'LAC 102_Wkst'!$E$7:$E$2010,$C47,'LAC 102_Wkst'!$G$7:$G$2010,$D47,'LAC 102_Wkst'!$L$7:$L$2010,"04",'LAC 102_Wkst'!$N$7:$N$2010,"P4")</f>
        <v>0</v>
      </c>
      <c r="O47" s="411">
        <f>SUMIFS('LAC 102_Wkst'!$AE$7:$AE$2010,'LAC 102_Wkst'!$E$7:$E$2010,$C47,'LAC 102_Wkst'!$G$7:$G$2010,$D47,'LAC 102_Wkst'!$L$7:$L$2010,"03",'LAC 102_Wkst'!$N$7:$N$2010,"P4")+SUMIFS('LAC 102_Wkst'!$AE$7:$AE$2010,'LAC 102_Wkst'!$E$7:$E$2010,$C47,'LAC 102_Wkst'!$G$7:$G$2010,$D47,'LAC 102_Wkst'!$L$7:$L$2010,"04",'LAC 102_Wkst'!$N$7:$N$2010,"P4")</f>
        <v>0</v>
      </c>
      <c r="P47" s="410">
        <f>SUMIFS('LAC 102_Wkst'!$Q$7:$Q$2010,'LAC 102_Wkst'!$E$7:$E$2010,$C47,'LAC 102_Wkst'!$G$7:$G$2010,$D47,'LAC 102_Wkst'!$L$7:$L$2010,"03",'LAC 102_Wkst'!$N$7:$N$2010,"P5")+SUMIFS('LAC 102_Wkst'!$Q$7:$Q$2010,'LAC 102_Wkst'!$E$7:$E$2010,$C47,'LAC 102_Wkst'!$G$7:$G$2010,$D47,'LAC 102_Wkst'!$L$7:$L$2010,"04",'LAC 102_Wkst'!$N$7:$N$2010,"P5")</f>
        <v>0</v>
      </c>
      <c r="Q47" s="411">
        <f>SUMIFS('LAC 102_Wkst'!$AE$7:$AE$2010,'LAC 102_Wkst'!$E$7:$E$2010,$C47,'LAC 102_Wkst'!$G$7:$G$2010,$D47,'LAC 102_Wkst'!$L$7:$L$2010,"03",'LAC 102_Wkst'!$N$7:$N$2010,"P5")+SUMIFS('LAC 102_Wkst'!$AE$7:$AE$2010,'LAC 102_Wkst'!$E$7:$E$2010,$C47,'LAC 102_Wkst'!$G$7:$G$2010,$D47,'LAC 102_Wkst'!$L$7:$L$2010,"04",'LAC 102_Wkst'!$N$7:$N$2010,"P5")</f>
        <v>0</v>
      </c>
      <c r="R47" s="412">
        <f>SUMIFS('LAC 102_Wkst'!$Q$7:$Q$2010,'LAC 102_Wkst'!$E$7:$E$2010,$C47,'LAC 102_Wkst'!$G$7:$G$2010,$D47,'LAC 102_Wkst'!$L$7:$L$2010,"05",'LAC 102_Wkst'!$N$7:$N$2010,"P1")+SUMIFS('LAC 102_Wkst'!$Q$7:$Q$2010,'LAC 102_Wkst'!$E$7:$E$2010,$C47,'LAC 102_Wkst'!$G$7:$G$2010,$D47,'LAC 102_Wkst'!$L$7:$L$2010,"06",'LAC 102_Wkst'!$N$7:$N$2010,"P1")</f>
        <v>0</v>
      </c>
      <c r="S47" s="411">
        <f>SUMIFS('LAC 102_Wkst'!$AE$7:$AE$2010,'LAC 102_Wkst'!$E$7:$E$2010,$C47,'LAC 102_Wkst'!$G$7:$G$2010,$D47,'LAC 102_Wkst'!$L$7:$L$2010,"05",'LAC 102_Wkst'!$N$7:$N$2010,"P1")+SUMIFS('LAC 102_Wkst'!$AE$7:$AE$2010,'LAC 102_Wkst'!$E$7:$E$2010,$C47,'LAC 102_Wkst'!$G$7:$G$2010,$D47,'LAC 102_Wkst'!$L$7:$L$2010,"06",'LAC 102_Wkst'!$N$7:$N$2010,"P1")</f>
        <v>0</v>
      </c>
      <c r="T47" s="410">
        <f>SUMIFS('LAC 102_Wkst'!$Q$7:$Q$2010,'LAC 102_Wkst'!$E$7:$E$2010,$C47,'LAC 102_Wkst'!$G$7:$G$2010,$D47,'LAC 102_Wkst'!$L$7:$L$2010,"05",'LAC 102_Wkst'!$N$7:$N$2010,"P2")+SUMIFS('LAC 102_Wkst'!$Q$7:$Q$2010,'LAC 102_Wkst'!$E$7:$E$2010,$C47,'LAC 102_Wkst'!$G$7:$G$2010,$D47,'LAC 102_Wkst'!$L$7:$L$2010,"05",'LAC 102_Wkst'!$N$7:$N$2010,"P3")+SUMIFS('LAC 102_Wkst'!$Q$7:$Q$2010,'LAC 102_Wkst'!$E$7:$E$2010,$C47,'LAC 102_Wkst'!$G$7:$G$2010,$D47,'LAC 102_Wkst'!$L$7:$L$2010,"06",'LAC 102_Wkst'!$N$7:$N$2010,"P2")+SUMIFS('LAC 102_Wkst'!$Q$7:$Q$2010,'LAC 102_Wkst'!$E$7:$E$2010,$C47,'LAC 102_Wkst'!$G$7:$G$2010,$D47,'LAC 102_Wkst'!$L$7:$L$2010,"06",'LAC 102_Wkst'!$N$7:$N$2010,"P3")</f>
        <v>0</v>
      </c>
      <c r="U47" s="411">
        <f>SUMIFS('LAC 102_Wkst'!$AE$7:$AE$2010,'LAC 102_Wkst'!$E$7:$E$2010,$C47,'LAC 102_Wkst'!$G$7:$G$2010,$D47,'LAC 102_Wkst'!$L$7:$L$2010,"05",'LAC 102_Wkst'!$N$7:$N$2010,"P2")+SUMIFS('LAC 102_Wkst'!$AE$7:$AE$2010,'LAC 102_Wkst'!$E$7:$E$2010,$C47,'LAC 102_Wkst'!$G$7:$G$2010,$D47,'LAC 102_Wkst'!$L$7:$L$2010,"06",'LAC 102_Wkst'!$N$7:$N$2010,"P3")+SUMIFS('LAC 102_Wkst'!$AE$7:$AE$2010,'LAC 102_Wkst'!$E$7:$E$2010,$C47,'LAC 102_Wkst'!$G$7:$G$2010,$D47,'LAC 102_Wkst'!$L$7:$L$2010,"05",'LAC 102_Wkst'!$N$7:$N$2010,"P2")+SUMIFS('LAC 102_Wkst'!$AE$7:$AE$2010,'LAC 102_Wkst'!$E$7:$E$2010,$C47,'LAC 102_Wkst'!$G$7:$G$2010,$D47,'LAC 102_Wkst'!$L$7:$L$2010,"06",'LAC 102_Wkst'!$N$7:$N$2010,"P3")</f>
        <v>0</v>
      </c>
      <c r="V47" s="410">
        <f>SUMIFS('LAC 102_Wkst'!$Q$7:$Q$2010,'LAC 102_Wkst'!$E$7:$E$2010,$C47,'LAC 102_Wkst'!$G$7:$G$2010,$D47,'LAC 102_Wkst'!$L$7:$L$2010,"05",'LAC 102_Wkst'!$N$7:$N$2010,"P4")+SUMIFS('LAC 102_Wkst'!$Q$7:$Q$2010,'LAC 102_Wkst'!$E$7:$E$2010,$C47,'LAC 102_Wkst'!$G$7:$G$2010,$D47,'LAC 102_Wkst'!$L$7:$L$2010,"06",'LAC 102_Wkst'!$N$7:$N$2010,"P4")</f>
        <v>0</v>
      </c>
      <c r="W47" s="411">
        <f>SUMIFS('LAC 102_Wkst'!$AE$7:$AE$2010,'LAC 102_Wkst'!$E$7:$E$2010,$C47,'LAC 102_Wkst'!$G$7:$G$2010,$D47,'LAC 102_Wkst'!$L$7:$L$2010,"05",'LAC 102_Wkst'!$N$7:$N$2010,"P4")+SUMIFS('LAC 102_Wkst'!$AE$7:$AE$2010,'LAC 102_Wkst'!$E$7:$E$2010,$C47,'LAC 102_Wkst'!$G$7:$G$2010,$D47,'LAC 102_Wkst'!$L$7:$L$2010,"06",'LAC 102_Wkst'!$N$7:$N$2010,"P4")</f>
        <v>0</v>
      </c>
      <c r="X47" s="410">
        <f>SUMIFS('LAC 102_Wkst'!$Q$7:$Q$2010,'LAC 102_Wkst'!$E$7:$E$2010,$C47,'LAC 102_Wkst'!$G$7:$G$2010,$D47,'LAC 102_Wkst'!$L$7:$L$2010,"05",'LAC 102_Wkst'!$N$7:$N$2010,"P5")+SUMIFS('LAC 102_Wkst'!$Q$7:$Q$2010,'LAC 102_Wkst'!$E$7:$E$2010,$C47,'LAC 102_Wkst'!$G$7:$G$2010,$D47,'LAC 102_Wkst'!$L$7:$L$2010,"06",'LAC 102_Wkst'!$N$7:$N$2010,"P5")</f>
        <v>0</v>
      </c>
      <c r="Y47" s="411">
        <f>SUMIFS('LAC 102_Wkst'!$AE$7:$AE$2010,'LAC 102_Wkst'!$E$7:$E$2010,$C47,'LAC 102_Wkst'!$G$7:$G$2010,$D47,'LAC 102_Wkst'!$L$7:$L$2010,"05",'LAC 102_Wkst'!$N$7:$N$2010,"P5")+SUMIFS('LAC 102_Wkst'!$AE$7:$AE$2010,'LAC 102_Wkst'!$E$7:$E$2010,$C47,'LAC 102_Wkst'!$G$7:$G$2010,$D47,'LAC 102_Wkst'!$L$7:$L$2010,"06",'LAC 102_Wkst'!$N$7:$N$2010,"P5")</f>
        <v>0</v>
      </c>
      <c r="Z47" s="410">
        <f>SUMIFS('LAC 102_Wkst'!$Q$7:$Q$2010,'LAC 102_Wkst'!$E$7:$E$2010,$C47,'LAC 102_Wkst'!$G$7:$G$2010,$D47,'LAC 102_Wkst'!$L$7:$L$2010,"07",'LAC 102_Wkst'!$N$7:$N$2010,"P1")+SUMIFS('LAC 102_Wkst'!$Q$7:$Q$2010,'LAC 102_Wkst'!$E$7:$E$2010,$C47,'LAC 102_Wkst'!$G$7:$G$2010,$D47,'LAC 102_Wkst'!$L$7:$L$2010,"07",'LAC 102_Wkst'!$N$7:$N$2010,"P2")+SUMIFS('LAC 102_Wkst'!$Q$7:$Q$2010,'LAC 102_Wkst'!$E$7:$E$2010,$C47,'LAC 102_Wkst'!$G$7:$G$2010,$D47,'LAC 102_Wkst'!$L$7:$L$2010,"07",'LAC 102_Wkst'!$N$7:$N$2010,"P3")</f>
        <v>0</v>
      </c>
      <c r="AA47" s="411">
        <f>SUMIFS('LAC 102_Wkst'!$AE$7:$AE$2010,'LAC 102_Wkst'!$E$7:$E$2010,$C47,'LAC 102_Wkst'!$G$7:$G$2010,$D47,'LAC 102_Wkst'!$L$7:$L$2010,"07",'LAC 102_Wkst'!$N$7:$N$2010,"P1")+SUMIFS('LAC 102_Wkst'!$AE$7:$AE$2010,'LAC 102_Wkst'!$E$7:$E$2010,$C47,'LAC 102_Wkst'!$G$7:$G$2010,$D47,'LAC 102_Wkst'!$L$7:$L$2010,"07",'LAC 102_Wkst'!$N$7:$N$2010,"P2")+SUMIFS('LAC 102_Wkst'!$AE$7:$AE$2010,'LAC 102_Wkst'!$E$7:$E$2010,$C47,'LAC 102_Wkst'!$G$7:$G$2010,$D47,'LAC 102_Wkst'!$L$7:$L$2010,"07",'LAC 102_Wkst'!$N$7:$N$2010,"P3")</f>
        <v>0</v>
      </c>
      <c r="AB47" s="410">
        <f>SUMIFS('LAC 102_Wkst'!$Q$7:$Q$2010,'LAC 102_Wkst'!$E$7:$E$2010,$C47,'LAC 102_Wkst'!$G$7:$G$2010,$D47,'LAC 102_Wkst'!$L$7:$L$2010,"07",'LAC 102_Wkst'!$N$7:$N$2010,"P4")</f>
        <v>0</v>
      </c>
      <c r="AC47" s="411">
        <f>SUMIFS('LAC 102_Wkst'!$AE$7:$AE$2010,'LAC 102_Wkst'!$E$7:$E$2010,$C47,'LAC 102_Wkst'!$G$7:$G$2010,$D47,'LAC 102_Wkst'!$L$7:$L$2010,"07",'LAC 102_Wkst'!$N$7:$N$2010,"P4")</f>
        <v>0</v>
      </c>
      <c r="AD47" s="410">
        <f>SUMIFS('LAC 102_Wkst'!$Q$7:$Q$2010,'LAC 102_Wkst'!$E$7:$E$2010,$C47,'LAC 102_Wkst'!$G$7:$G$2010,$D47,'LAC 102_Wkst'!$L$7:$L$2010,"07",'LAC 102_Wkst'!$N$7:$N$2010,"P5")</f>
        <v>0</v>
      </c>
      <c r="AE47" s="411">
        <f>SUMIFS('LAC 102_Wkst'!$AE$7:$AE$2010,'LAC 102_Wkst'!$E$7:$E$2010,$C47,'LAC 102_Wkst'!$G$7:$G$2010,$D47,'LAC 102_Wkst'!$L$7:$L$2010,"07",'LAC 102_Wkst'!$N$7:$N$2010,"P5")</f>
        <v>0</v>
      </c>
      <c r="AF47" s="410">
        <f>SUMIFS('LAC 102_Wkst'!$Q$7:$Q$2010,'LAC 102_Wkst'!$E$7:$E$2010,$C47,'LAC 102_Wkst'!$G$7:$G$2010,$D47,'LAC 102_Wkst'!$L$7:$L$2010,"08",'LAC 102_Wkst'!$N$7:$N$2010,"P1")+SUMIFS('LAC 102_Wkst'!$Q$7:$Q$2010,'LAC 102_Wkst'!$E$7:$E$2010,$C47,'LAC 102_Wkst'!$G$7:$G$2010,$D47,'LAC 102_Wkst'!$L$7:$L$2010,"08",'LAC 102_Wkst'!$N$7:$N$2010,"P2")+SUMIFS('LAC 102_Wkst'!$Q$7:$Q$2010,'LAC 102_Wkst'!$E$7:$E$2010,$C47,'LAC 102_Wkst'!$G$7:$G$2010,$D47,'LAC 102_Wkst'!$L$7:$L$2010,"08",'LAC 102_Wkst'!$N$7:$N$2010,"P3")</f>
        <v>0</v>
      </c>
      <c r="AG47" s="411">
        <f>SUMIFS('LAC 102_Wkst'!$AE$7:$AE$2010,'LAC 102_Wkst'!$E$7:$E$2010,$C47,'LAC 102_Wkst'!$G$7:$G$2010,$D47,'LAC 102_Wkst'!$L$7:$L$2010,"08",'LAC 102_Wkst'!$N$7:$N$2010,"P1")+SUMIFS('LAC 102_Wkst'!$AE$7:$AE$2010,'LAC 102_Wkst'!$E$7:$E$2010,$C47,'LAC 102_Wkst'!$G$7:$G$2010,$D47,'LAC 102_Wkst'!$L$7:$L$2010,"08",'LAC 102_Wkst'!$N$7:$N$2010,"P2")+SUMIFS('LAC 102_Wkst'!$AE$7:$AE$2010,'LAC 102_Wkst'!$E$7:$E$2010,$C47,'LAC 102_Wkst'!$G$7:$G$2010,$D47,'LAC 102_Wkst'!$L$7:$L$2010,"08",'LAC 102_Wkst'!$N$7:$N$2010,"P3")</f>
        <v>0</v>
      </c>
      <c r="AH47" s="410">
        <f>SUMIFS('LAC 102_Wkst'!$Q$7:$Q$2010,'LAC 102_Wkst'!$E$7:$E$2010,$C47,'LAC 102_Wkst'!$G$7:$G$2010,$D47,'LAC 102_Wkst'!$L$7:$L$2010,"08",'LAC 102_Wkst'!$N$7:$N$2010,"P4")</f>
        <v>0</v>
      </c>
      <c r="AI47" s="411">
        <f>SUMIFS('LAC 102_Wkst'!$AE$7:$AE$2010,'LAC 102_Wkst'!$E$7:$E$2010,$C47,'LAC 102_Wkst'!$G$7:$G$2010,$D47,'LAC 102_Wkst'!$L$7:$L$2010,"08",'LAC 102_Wkst'!$N$7:$N$2010,"P4")</f>
        <v>0</v>
      </c>
      <c r="AJ47" s="410">
        <f>SUMIFS('LAC 102_Wkst'!$Q$7:$Q$2010,'LAC 102_Wkst'!$E$7:$E$2010,$C47,'LAC 102_Wkst'!$G$7:$G$2010,$D47,'LAC 102_Wkst'!$L$7:$L$2010,"08",'LAC 102_Wkst'!$N$7:$N$2010,"P5")</f>
        <v>0</v>
      </c>
      <c r="AK47" s="411">
        <f>SUMIFS('LAC 102_Wkst'!$AE$7:$AE$2010,'LAC 102_Wkst'!$E$7:$E$2010,$C47,'LAC 102_Wkst'!$G$7:$G$2010,$D47,'LAC 102_Wkst'!$L$7:$L$2010,"08",'LAC 102_Wkst'!$N$7:$N$2010,"P5")</f>
        <v>0</v>
      </c>
      <c r="AL47" s="410">
        <f>SUMIFS('LAC 102_Wkst'!$Q$7:$Q$2010,'LAC 102_Wkst'!$E$7:$E$2010,$C47,'LAC 102_Wkst'!$G$7:$G$2010,$D47,'LAC 102_Wkst'!$L$7:$L$2010,"09",'LAC 102_Wkst'!$N$7:$N$2010,"P1")+SUMIFS('LAC 102_Wkst'!$Q$7:$Q$2010,'LAC 102_Wkst'!$E$7:$E$2010,$C47,'LAC 102_Wkst'!$G$7:$G$2010,$D47,'LAC 102_Wkst'!$L$7:$L$2010,"09",'LAC 102_Wkst'!$N$7:$N$2010,"P2")+SUMIFS('LAC 102_Wkst'!$Q$7:$Q$2010,'LAC 102_Wkst'!$E$7:$E$2010,$C47,'LAC 102_Wkst'!$G$7:$G$2010,$D47,'LAC 102_Wkst'!$L$7:$L$2010,"09",'LAC 102_Wkst'!$N$7:$N$2010,"P3")+SUMIFS('LAC 102_Wkst'!$Q$7:$Q$2010,'LAC 102_Wkst'!$E$7:$E$2010,$C47,'LAC 102_Wkst'!$G$7:$G$2010,$D47,'LAC 102_Wkst'!$L$7:$L$2010,"09",'LAC 102_Wkst'!$N$7:$N$2010,"P4")</f>
        <v>0</v>
      </c>
      <c r="AM47" s="411">
        <f>SUMIFS('LAC 102_Wkst'!$AE$7:$AE$2010,'LAC 102_Wkst'!$E$7:$E$2010,$C47,'LAC 102_Wkst'!$G$7:$G$2010,$D47,'LAC 102_Wkst'!$L$7:$L$2010,"09",'LAC 102_Wkst'!$N$7:$N$2010,"P1")+SUMIFS('LAC 102_Wkst'!$AE$7:$AE$2010,'LAC 102_Wkst'!$E$7:$E$2010,$C47,'LAC 102_Wkst'!$G$7:$G$2010,$D47,'LAC 102_Wkst'!$L$7:$L$2010,"09",'LAC 102_Wkst'!$N$7:$N$2010,"P2")+SUMIFS('LAC 102_Wkst'!$AE$7:$AE$2010,'LAC 102_Wkst'!$E$7:$E$2010,$C47,'LAC 102_Wkst'!$G$7:$G$2010,$D47,'LAC 102_Wkst'!$L$7:$L$2010,"09",'LAC 102_Wkst'!$N$7:$N$2010,"P3")+SUMIFS('LAC 102_Wkst'!$AE$7:$AE$2010,'LAC 102_Wkst'!$E$7:$E$2010,$C47,'LAC 102_Wkst'!$G$7:$G$2010,$D47,'LAC 102_Wkst'!$L$7:$L$2010,"09",'LAC 102_Wkst'!$N$7:$N$2010,"P4")</f>
        <v>0</v>
      </c>
      <c r="AN47" s="410">
        <f>SUMIFS('LAC 102_Wkst'!$Q$7:$Q$2010,'LAC 102_Wkst'!$E$7:$E$2010,$C47,'LAC 102_Wkst'!$G$7:$G$2010,$D47,'LAC 102_Wkst'!$L$7:$L$2010,"09",'LAC 102_Wkst'!$N$7:$N$2010,"P5")</f>
        <v>0</v>
      </c>
      <c r="AO47" s="411">
        <f>SUMIFS('LAC 102_Wkst'!$AE$7:$AE$2010,'LAC 102_Wkst'!$E$7:$E$2010,$C47,'LAC 102_Wkst'!$G$7:$G$2010,$D47,'LAC 102_Wkst'!$L$7:$L$2010,"09",'LAC 102_Wkst'!$N$7:$N$2010,"P5")</f>
        <v>0</v>
      </c>
      <c r="AP47" s="410">
        <f>SUMIFS('LAC 102_Wkst'!$Q$7:$Q$2010,'LAC 102_Wkst'!$E$7:$E$2010,$C47,'LAC 102_Wkst'!$G$7:$G$2010,$D47,'LAC 102_Wkst'!$L$7:$L$2010,"10",'LAC 102_Wkst'!$N$7:$N$2010,"P1")+SUMIFS('LAC 102_Wkst'!$Q$7:$Q$2010,'LAC 102_Wkst'!$E$7:$E$2010,$C47,'LAC 102_Wkst'!$G$7:$G$2010,$D47,'LAC 102_Wkst'!$L$7:$L$2010,"10",'LAC 102_Wkst'!$N$7:$N$2010,"P2")+SUMIFS('LAC 102_Wkst'!$Q$7:$Q$2010,'LAC 102_Wkst'!$E$7:$E$2010,$C47,'LAC 102_Wkst'!$G$7:$G$2010,$D47,'LAC 102_Wkst'!$L$7:$L$2010,"10",'LAC 102_Wkst'!$N$7:$N$2010,"P3")+SUMIFS('LAC 102_Wkst'!$Q$7:$Q$2010,'LAC 102_Wkst'!$E$7:$E$2010,$C47,'LAC 102_Wkst'!$G$7:$G$2010,$D47,'LAC 102_Wkst'!$L$7:$L$2010,"10",'LAC 102_Wkst'!$N$7:$N$2010,"P4")</f>
        <v>0</v>
      </c>
      <c r="AQ47" s="411">
        <f>SUMIFS('LAC 102_Wkst'!$AE$7:$AE$2010,'LAC 102_Wkst'!$E$7:$E$2010,$C47,'LAC 102_Wkst'!$G$7:$G$2010,$D47,'LAC 102_Wkst'!$L$7:$L$2010,"10",'LAC 102_Wkst'!$N$7:$N$2010,"P1")+SUMIFS('LAC 102_Wkst'!$AE$7:$AE$2010,'LAC 102_Wkst'!$E$7:$E$2010,$C47,'LAC 102_Wkst'!$G$7:$G$2010,$D47,'LAC 102_Wkst'!$L$7:$L$2010,"10",'LAC 102_Wkst'!$N$7:$N$2010,"P2")+SUMIFS('LAC 102_Wkst'!$AE$7:$AE$2010,'LAC 102_Wkst'!$E$7:$E$2010,$C47,'LAC 102_Wkst'!$G$7:$G$2010,$D47,'LAC 102_Wkst'!$L$7:$L$2010,"10",'LAC 102_Wkst'!$N$7:$N$2010,"P3")+SUMIFS('LAC 102_Wkst'!$AE$7:$AE$2010,'LAC 102_Wkst'!$E$7:$E$2010,$C47,'LAC 102_Wkst'!$G$7:$G$2010,$D47,'LAC 102_Wkst'!$L$7:$L$2010,"10",'LAC 102_Wkst'!$N$7:$N$2010,"P4")</f>
        <v>0</v>
      </c>
      <c r="AR47" s="410">
        <f>SUMIFS('LAC 102_Wkst'!$Q$7:$Q$2010,'LAC 102_Wkst'!$E$7:$E$2010,$C47,'LAC 102_Wkst'!$G$7:$G$2010,$D47,'LAC 102_Wkst'!$L$7:$L$2010,"10",'LAC 102_Wkst'!$N$7:$N$2010,"P5")</f>
        <v>0</v>
      </c>
      <c r="AS47" s="411">
        <f>SUMIFS('LAC 102_Wkst'!$AE$7:$AE$2010,'LAC 102_Wkst'!$E$7:$E$2010,$C47,'LAC 102_Wkst'!$G$7:$G$2010,$D47,'LAC 102_Wkst'!$L$7:$L$2010,"10",'LAC 102_Wkst'!$N$7:$N$2010,"P5")</f>
        <v>0</v>
      </c>
      <c r="AT47" s="410">
        <f>SUMIFS('LAC 102_Wkst'!$Q$7:$Q$2010,'LAC 102_Wkst'!$E$7:$E$2010,$C47,'LAC 102_Wkst'!$G$7:$G$2010,$D47,'LAC 102_Wkst'!$L$7:$L$2010,"11",'LAC 102_Wkst'!$N$7:$N$2010,"P1")+SUMIFS('LAC 102_Wkst'!$Q$7:$Q$2010,'LAC 102_Wkst'!$E$7:$E$2010,$C47,'LAC 102_Wkst'!$G$7:$G$2010,$D47,'LAC 102_Wkst'!$L$7:$L$2010,"12",'LAC 102_Wkst'!$N$7:$N$2010,"P1")</f>
        <v>0</v>
      </c>
      <c r="AU47" s="411">
        <f>SUMIFS('LAC 102_Wkst'!$AE$7:$AE$2010,'LAC 102_Wkst'!$E$7:$E$2010,$C47,'LAC 102_Wkst'!$G$7:$G$2010,$D47,'LAC 102_Wkst'!$L$7:$L$2010,"11",'LAC 102_Wkst'!$N$7:$N$2010,"P1")+SUMIFS('LAC 102_Wkst'!$AE$7:$AE$2010,'LAC 102_Wkst'!$E$7:$E$2010,$C47,'LAC 102_Wkst'!$G$7:$G$2010,$D47,'LAC 102_Wkst'!$L$7:$L$2010,"12",'LAC 102_Wkst'!$N$7:$N$2010,"P1")</f>
        <v>0</v>
      </c>
      <c r="AV47" s="410">
        <f>SUMIFS('LAC 102_Wkst'!$Q$7:$Q$2010,'LAC 102_Wkst'!$E$7:$E$2010,$C47,'LAC 102_Wkst'!$G$7:$G$2010,$D47,'LAC 102_Wkst'!$L$7:$L$2010,"11",'LAC 102_Wkst'!$N$7:$N$2010,"P2")+SUMIFS('LAC 102_Wkst'!$Q$7:$Q$2010,'LAC 102_Wkst'!$E$7:$E$2010,$C47,'LAC 102_Wkst'!$G$7:$G$2010,$D47,'LAC 102_Wkst'!$L$7:$L$2010,"12",'LAC 102_Wkst'!$N$7:$N$2010,"P3")+SUMIFS('LAC 102_Wkst'!$Q$7:$Q$2010,'LAC 102_Wkst'!$E$7:$E$2010,$C47,'LAC 102_Wkst'!$G$7:$G$2010,$D47,'LAC 102_Wkst'!$L$7:$L$2010,"11",'LAC 102_Wkst'!$N$7:$N$2010,"P2")+SUMIFS('LAC 102_Wkst'!$Q$7:$Q$2010,'LAC 102_Wkst'!$E$7:$E$2010,$C47,'LAC 102_Wkst'!$G$7:$G$2010,$D47,'LAC 102_Wkst'!$L$7:$L$2010,"12",'LAC 102_Wkst'!$N$7:$N$2010,"P3")</f>
        <v>0</v>
      </c>
      <c r="AW47" s="411">
        <f>SUMIFS('LAC 102_Wkst'!$AE$7:$AE$2010,'LAC 102_Wkst'!$E$7:$E$2010,$C47,'LAC 102_Wkst'!$G$7:$G$2010,$D47,'LAC 102_Wkst'!$L$7:$L$2010,"11",'LAC 102_Wkst'!$N$7:$N$2010,"P2")+SUMIFS('LAC 102_Wkst'!$AE$7:$AE$2010,'LAC 102_Wkst'!$E$7:$E$2010,$C47,'LAC 102_Wkst'!$G$7:$G$2010,$D47,'LAC 102_Wkst'!$L$7:$L$2010,"12",'LAC 102_Wkst'!$N$7:$N$2010,"P3")+SUMIFS('LAC 102_Wkst'!$AE$7:$AE$2010,'LAC 102_Wkst'!$E$7:$E$2010,$C47,'LAC 102_Wkst'!$G$7:$G$2010,$D47,'LAC 102_Wkst'!$L$7:$L$2010,"11",'LAC 102_Wkst'!$N$7:$N$2010,"P2")+SUMIFS('LAC 102_Wkst'!$AE$7:$AE$2010,'LAC 102_Wkst'!$E$7:$E$2010,$C47,'LAC 102_Wkst'!$G$7:$G$2010,$D47,'LAC 102_Wkst'!$L$7:$L$2010,"12",'LAC 102_Wkst'!$N$7:$N$2010,"P3")</f>
        <v>0</v>
      </c>
      <c r="AX47" s="410">
        <f>SUMIFS('LAC 102_Wkst'!$Q$7:$Q$2010,'LAC 102_Wkst'!$E$7:$E$2010,$C47,'LAC 102_Wkst'!$G$7:$G$2010,$D47,'LAC 102_Wkst'!$L$7:$L$2010,"11",'LAC 102_Wkst'!$N$7:$N$2010,"P4")+SUMIFS('LAC 102_Wkst'!$Q$7:$Q$2010,'LAC 102_Wkst'!$E$7:$E$2010,$C47,'LAC 102_Wkst'!$G$7:$G$2010,$D47,'LAC 102_Wkst'!$L$7:$L$2010,"12",'LAC 102_Wkst'!$N$7:$N$2010,"P4")</f>
        <v>0</v>
      </c>
      <c r="AY47" s="411">
        <f>SUMIFS('LAC 102_Wkst'!$AE$7:$AE$2010,'LAC 102_Wkst'!$E$7:$E$2010,$C47,'LAC 102_Wkst'!$G$7:$G$2010,$D47,'LAC 102_Wkst'!$L$7:$L$2010,"11",'LAC 102_Wkst'!$N$7:$N$2010,"P4")+SUMIFS('LAC 102_Wkst'!$AE$7:$AE$2010,'LAC 102_Wkst'!$E$7:$E$2010,$C47,'LAC 102_Wkst'!$G$7:$G$2010,$D47,'LAC 102_Wkst'!$L$7:$L$2010,"12",'LAC 102_Wkst'!$N$7:$N$2010,"P4")</f>
        <v>0</v>
      </c>
      <c r="AZ47" s="410">
        <f>SUMIFS('LAC 102_Wkst'!$Q$7:$Q$2010,'LAC 102_Wkst'!$E$7:$E$2010,$C47,'LAC 102_Wkst'!$G$7:$G$2010,$D47,'LAC 102_Wkst'!$L$7:$L$2010,"11",'LAC 102_Wkst'!$N$7:$N$2010,"P5")+SUMIFS('LAC 102_Wkst'!$Q$7:$Q$2010,'LAC 102_Wkst'!$E$7:$E$2010,$C47,'LAC 102_Wkst'!$G$7:$G$2010,$D47,'LAC 102_Wkst'!$L$7:$L$2010,"12",'LAC 102_Wkst'!$N$7:$N$2010,"P5")</f>
        <v>0</v>
      </c>
      <c r="BA47" s="411">
        <f>SUMIFS('LAC 102_Wkst'!$AE$7:$AE$2010,'LAC 102_Wkst'!$E$7:$E$2010,$C47,'LAC 102_Wkst'!$G$7:$G$2010,$D47,'LAC 102_Wkst'!$L$7:$L$2010,"11",'LAC 102_Wkst'!$N$7:$N$2010,"P5")+SUMIFS('LAC 102_Wkst'!$AE$7:$AE$2010,'LAC 102_Wkst'!$E$7:$E$2010,$C47,'LAC 102_Wkst'!$G$7:$G$2010,$D47,'LAC 102_Wkst'!$L$7:$L$2010,"12",'LAC 102_Wkst'!$N$7:$N$2010,"P5")</f>
        <v>0</v>
      </c>
      <c r="BB47" s="410">
        <f>SUMIFS('LAC 102_Wkst'!$Q$7:$Q$2010,'LAC 102_Wkst'!$E$7:$E$2010,$C47,'LAC 102_Wkst'!$G$7:$G$2010,$D47,'LAC 102_Wkst'!$L$7:$L$2010,"13",'LAC 102_Wkst'!$N$7:$N$2010,"P1")+SUMIFS('LAC 102_Wkst'!$Q$7:$Q$2010,'LAC 102_Wkst'!$E$7:$E$2010,$C47,'LAC 102_Wkst'!$G$7:$G$2010,$D47,'LAC 102_Wkst'!$L$7:$L$2010,"13",'LAC 102_Wkst'!$N$7:$N$2010,"P2")+SUMIFS('LAC 102_Wkst'!$Q$7:$Q$2010,'LAC 102_Wkst'!$E$7:$E$2010,$C47,'LAC 102_Wkst'!$G$7:$G$2010,$D47,'LAC 102_Wkst'!$L$7:$L$2010,"13",'LAC 102_Wkst'!$N$7:$N$2010,"P3")+SUMIFS('LAC 102_Wkst'!$Q$7:$Q$2010,'LAC 102_Wkst'!$E$7:$E$2010,$C47,'LAC 102_Wkst'!$G$7:$G$2010,$D47,'LAC 102_Wkst'!$L$7:$L$2010,"13",'LAC 102_Wkst'!$N$7:$N$2010,"P4")</f>
        <v>0</v>
      </c>
      <c r="BC47" s="411">
        <f>SUMIFS('LAC 102_Wkst'!$AE$7:$AE$2010,'LAC 102_Wkst'!$E$7:$E$2010,$C47,'LAC 102_Wkst'!$G$7:$G$2010,$D47,'LAC 102_Wkst'!$L$7:$L$2010,"13",'LAC 102_Wkst'!$N$7:$N$2010,"P1")+SUMIFS('LAC 102_Wkst'!$AE$7:$AE$2010,'LAC 102_Wkst'!$E$7:$E$2010,$C47,'LAC 102_Wkst'!$G$7:$G$2010,$D47,'LAC 102_Wkst'!$L$7:$L$2010,"13",'LAC 102_Wkst'!$N$7:$N$2010,"P2")+SUMIFS('LAC 102_Wkst'!$AE$7:$AE$2010,'LAC 102_Wkst'!$E$7:$E$2010,$C47,'LAC 102_Wkst'!$G$7:$G$2010,$D47,'LAC 102_Wkst'!$L$7:$L$2010,"13",'LAC 102_Wkst'!$N$7:$N$2010,"P3")+SUMIFS('LAC 102_Wkst'!$AE$7:$AE$2010,'LAC 102_Wkst'!$E$7:$E$2010,$C47,'LAC 102_Wkst'!$G$7:$G$2010,$D47,'LAC 102_Wkst'!$L$7:$L$2010,"13",'LAC 102_Wkst'!$N$7:$N$2010,"P4")</f>
        <v>0</v>
      </c>
      <c r="BD47" s="410">
        <f>SUMIFS('LAC 102_Wkst'!$Q$7:$Q$2010,'LAC 102_Wkst'!$E$7:$E$2010,$C47,'LAC 102_Wkst'!$G$7:$G$2010,$D47,'LAC 102_Wkst'!$L$7:$L$2010,"13",'LAC 102_Wkst'!$N$7:$N$2010,"P5")</f>
        <v>0</v>
      </c>
      <c r="BE47" s="411">
        <f>SUMIFS('LAC 102_Wkst'!$AE$7:$AE$2010,'LAC 102_Wkst'!$E$7:$E$2010,$C47,'LAC 102_Wkst'!$G$7:$G$2010,$D47,'LAC 102_Wkst'!$L$7:$L$2010,"13",'LAC 102_Wkst'!$N$7:$N$2010,"P5")</f>
        <v>0</v>
      </c>
      <c r="BF47" s="407">
        <f t="shared" si="0"/>
        <v>0</v>
      </c>
    </row>
    <row r="48" spans="1:58" x14ac:dyDescent="0.2">
      <c r="A48" s="401">
        <v>29</v>
      </c>
      <c r="B48" s="1236"/>
      <c r="C48" s="1235"/>
      <c r="D48" s="1237"/>
      <c r="E48" s="1222">
        <f>IF(CONCATENATE(C48,D48)&gt;"6069",1,SUMIFS('LAC 102_Wkst'!$Q$7:$Q$2010,'LAC 102_Wkst'!$E$7:$E$2010,Schedule_B!$C48,'LAC 102_Wkst'!$G$7:$G$2010,Schedule_B!$D48))</f>
        <v>0</v>
      </c>
      <c r="F48" s="408">
        <f>SUMIFS('LAC 102_Wkst'!$Q$7:$Q$2010,'LAC 102_Wkst'!$E$7:$E$2010,$C48,'LAC 102_Wkst'!$G$7:$G$2010,$D48,'LAC 102_Wkst'!$L$7:$L$2010,"01",'LAC 102_Wkst'!$N$7:$N$2010,"P1")+SUMIFS('LAC 102_Wkst'!$Q$7:$Q$2010,'LAC 102_Wkst'!$E$7:$E$2010,$C48,'LAC 102_Wkst'!$G$7:$G$2010,$D48,'LAC 102_Wkst'!$L$7:$L$2010,"01",'LAC 102_Wkst'!$N$7:$N$2010,"P2")+SUMIFS('LAC 102_Wkst'!$Q$7:$Q$2010,'LAC 102_Wkst'!$E$7:$E$2010,$C48,'LAC 102_Wkst'!$G$7:$G$2010,$D48,'LAC 102_Wkst'!$L$7:$L$2010,"01",'LAC 102_Wkst'!$N$7:$N$2010,"P3")+SUMIFS('LAC 102_Wkst'!$Q$7:$Q$2010,'LAC 102_Wkst'!$E$7:$E$2010,$C48,'LAC 102_Wkst'!$G$7:$G$2010,$D48,'LAC 102_Wkst'!$L$7:$L$2010,"02",'LAC 102_Wkst'!$N$7:$N$2010,"P1")+SUMIFS('LAC 102_Wkst'!$Q$7:$Q$2010,'LAC 102_Wkst'!$E$7:$E$2010,$C48,'LAC 102_Wkst'!$G$7:$G$2010,$D48,'LAC 102_Wkst'!$L$7:$L$2010,"02",'LAC 102_Wkst'!$N$7:$N$2010,"P2")+SUMIFS('LAC 102_Wkst'!$Q$7:$Q$2010,'LAC 102_Wkst'!$E$7:$E$2010,$C48,'LAC 102_Wkst'!$G$7:$G$2010,$D48,'LAC 102_Wkst'!$L$7:$L$2010,"02",'LAC 102_Wkst'!$N$7:$N$2010,"P3")</f>
        <v>0</v>
      </c>
      <c r="G48" s="409">
        <f>SUMIFS('LAC 102_Wkst'!$AE$7:$AE$2010,'LAC 102_Wkst'!$E$7:$E$2010,$C48,'LAC 102_Wkst'!$G$7:$G$2010,$D48,'LAC 102_Wkst'!$L$7:$L$2010,"01",'LAC 102_Wkst'!$N$7:$N$2010,"P1")+SUMIFS('LAC 102_Wkst'!$AE$7:$AE$2010,'LAC 102_Wkst'!$E$7:$E$2010,$C48,'LAC 102_Wkst'!$G$7:$G$2010,$D48,'LAC 102_Wkst'!$L$7:$L$2010,"01",'LAC 102_Wkst'!$N$7:$N$2010,"P2")+SUMIFS('LAC 102_Wkst'!$AE$7:$AE$2010,'LAC 102_Wkst'!$E$7:$E$2010,$C48,'LAC 102_Wkst'!$G$7:$G$2010,$D48,'LAC 102_Wkst'!$L$7:$L$2010,"01",'LAC 102_Wkst'!$N$7:$N$2010,"P3")+SUMIFS('LAC 102_Wkst'!$AE$7:$AE$2010,'LAC 102_Wkst'!$E$7:$E$2010,$C48,'LAC 102_Wkst'!$G$7:$G$2010,$D48,'LAC 102_Wkst'!$L$7:$L$2010,"02",'LAC 102_Wkst'!$N$7:$N$2010,"P1")+SUMIFS('LAC 102_Wkst'!$AE$7:$AE$2010,'LAC 102_Wkst'!$E$7:$E$2010,$C48,'LAC 102_Wkst'!$G$7:$G$2010,$D48,'LAC 102_Wkst'!$L$7:$L$2010,"02",'LAC 102_Wkst'!$N$7:$N$2010,"P2")+SUMIFS('LAC 102_Wkst'!$AE$7:$AE$2010,'LAC 102_Wkst'!$E$7:$E$2010,$C48,'LAC 102_Wkst'!$G$7:$G$2010,$D48,'LAC 102_Wkst'!$L$7:$L$2010,"02",'LAC 102_Wkst'!$N$7:$N$2010,"P3")</f>
        <v>0</v>
      </c>
      <c r="H48" s="410">
        <f>SUMIFS('LAC 102_Wkst'!$Q$7:$Q$2010,'LAC 102_Wkst'!$E$7:$E$2010,$C48,'LAC 102_Wkst'!$G$7:$G$2010,$D48,'LAC 102_Wkst'!$L$7:$L$2010,"01",'LAC 102_Wkst'!$N$7:$N$2010,"P4")+SUMIFS('LAC 102_Wkst'!$Q$7:$Q$2010,'LAC 102_Wkst'!$E$7:$E$2010,$C48,'LAC 102_Wkst'!$G$7:$G$2010,$D48,'LAC 102_Wkst'!$L$7:$L$2010,"02",'LAC 102_Wkst'!$N$7:$N$2010,"P4")</f>
        <v>0</v>
      </c>
      <c r="I48" s="411">
        <f>SUMIFS('LAC 102_Wkst'!$AE$7:$AE$2010,'LAC 102_Wkst'!$E$7:$E$2010,$C48,'LAC 102_Wkst'!$G$7:$G$2010,$D48,'LAC 102_Wkst'!$L$7:$L$2010,"01",'LAC 102_Wkst'!$N$7:$N$2010,"P4")+SUMIFS('LAC 102_Wkst'!$AE$7:$AE$2010,'LAC 102_Wkst'!$E$7:$E$2010,$C48,'LAC 102_Wkst'!$G$7:$G$2010,$D48,'LAC 102_Wkst'!$L$7:$L$2010,"02",'LAC 102_Wkst'!$N$7:$N$2010,"P4")</f>
        <v>0</v>
      </c>
      <c r="J48" s="410">
        <f>SUMIFS('LAC 102_Wkst'!$Q$7:$Q$2010,'LAC 102_Wkst'!$E$7:$E$2010,$C48,'LAC 102_Wkst'!$G$7:$G$2010,$D48,'LAC 102_Wkst'!$L$7:$L$2010,"01",'LAC 102_Wkst'!$N$7:$N$2010,"P5")+SUMIFS('LAC 102_Wkst'!$Q$7:$Q$2010,'LAC 102_Wkst'!$E$7:$E$2010,$C48,'LAC 102_Wkst'!$G$7:$G$2010,$D48,'LAC 102_Wkst'!$L$7:$L$2010,"02",'LAC 102_Wkst'!$N$7:$N$2010,"P5")</f>
        <v>0</v>
      </c>
      <c r="K48" s="411">
        <f>SUMIFS('LAC 102_Wkst'!$AE$7:$AE$2010,'LAC 102_Wkst'!$E$7:$E$2010,$C48,'LAC 102_Wkst'!$G$7:$G$2010,$D48,'LAC 102_Wkst'!$L$7:$L$2010,"01",'LAC 102_Wkst'!$N$7:$N$2010,"P5")+SUMIFS('LAC 102_Wkst'!$AE$7:$AE$2010,'LAC 102_Wkst'!$E$7:$E$2010,$C48,'LAC 102_Wkst'!$G$7:$G$2010,$D48,'LAC 102_Wkst'!$L$7:$L$2010,"02",'LAC 102_Wkst'!$N$7:$N$2010,"P5")</f>
        <v>0</v>
      </c>
      <c r="L48" s="410">
        <f>SUMIFS('LAC 102_Wkst'!$Q$7:$Q$2010,'LAC 102_Wkst'!$E$7:$E$2010,$C48,'LAC 102_Wkst'!$G$7:$G$2010,$D48,'LAC 102_Wkst'!$L$7:$L$2010,"03",'LAC 102_Wkst'!$N$7:$N$2010,"P1")+SUMIFS('LAC 102_Wkst'!$Q$7:$Q$2010,'LAC 102_Wkst'!$E$7:$E$2010,$C48,'LAC 102_Wkst'!$G$7:$G$2010,$D48,'LAC 102_Wkst'!$L$7:$L$2010,"03",'LAC 102_Wkst'!$N$7:$N$2010,"P2")+SUMIFS('LAC 102_Wkst'!$Q$7:$Q$2010,'LAC 102_Wkst'!$E$7:$E$2010,$C48,'LAC 102_Wkst'!$G$7:$G$2010,$D48,'LAC 102_Wkst'!$L$7:$L$2010,"03",'LAC 102_Wkst'!$N$7:$N$2010,"P3")+SUMIFS('LAC 102_Wkst'!$Q$7:$Q$2010,'LAC 102_Wkst'!$E$7:$E$2010,$C48,'LAC 102_Wkst'!$G$7:$G$2010,$D48,'LAC 102_Wkst'!$L$7:$L$2010,"04",'LAC 102_Wkst'!$N$7:$N$2010,"P1")+SUMIFS('LAC 102_Wkst'!$Q$7:$Q$2010,'LAC 102_Wkst'!$E$7:$E$2010,$C48,'LAC 102_Wkst'!$G$7:$G$2010,$D48,'LAC 102_Wkst'!$L$7:$L$2010,"04",'LAC 102_Wkst'!$N$7:$N$2010,"P2")+SUMIFS('LAC 102_Wkst'!$Q$7:$Q$2010,'LAC 102_Wkst'!$E$7:$E$2010,$C48,'LAC 102_Wkst'!$G$7:$G$2010,$D48,'LAC 102_Wkst'!$L$7:$L$2010,"04",'LAC 102_Wkst'!$N$7:$N$2010,"P3")</f>
        <v>0</v>
      </c>
      <c r="M48" s="411">
        <f>SUMIFS('LAC 102_Wkst'!$AE$7:$AE$2010,'LAC 102_Wkst'!$E$7:$E$2010,$C48,'LAC 102_Wkst'!$G$7:$G$2010,$D48,'LAC 102_Wkst'!$L$7:$L$2010,"03",'LAC 102_Wkst'!$N$7:$N$2010,"P1")+SUMIFS('LAC 102_Wkst'!$AE$7:$AE$2010,'LAC 102_Wkst'!$E$7:$E$2010,$C48,'LAC 102_Wkst'!$G$7:$G$2010,$D48,'LAC 102_Wkst'!$L$7:$L$2010,"03",'LAC 102_Wkst'!$N$7:$N$2010,"P2")+SUMIFS('LAC 102_Wkst'!$AE$7:$AE$2010,'LAC 102_Wkst'!$E$7:$E$2010,$C48,'LAC 102_Wkst'!$G$7:$G$2010,$D48,'LAC 102_Wkst'!$L$7:$L$2010,"03",'LAC 102_Wkst'!$N$7:$N$2010,"P3")+SUMIFS('LAC 102_Wkst'!$AE$7:$AE$2010,'LAC 102_Wkst'!$E$7:$E$2010,$C48,'LAC 102_Wkst'!$G$7:$G$2010,$D48,'LAC 102_Wkst'!$L$7:$L$2010,"04",'LAC 102_Wkst'!$N$7:$N$2010,"P1")+SUMIFS('LAC 102_Wkst'!$AE$7:$AE$2010,'LAC 102_Wkst'!$E$7:$E$2010,$C48,'LAC 102_Wkst'!$G$7:$G$2010,$D48,'LAC 102_Wkst'!$L$7:$L$2010,"04",'LAC 102_Wkst'!$N$7:$N$2010,"P2")+SUMIFS('LAC 102_Wkst'!$AE$7:$AE$2010,'LAC 102_Wkst'!$E$7:$E$2010,$C48,'LAC 102_Wkst'!$G$7:$G$2010,$D48,'LAC 102_Wkst'!$L$7:$L$2010,"04",'LAC 102_Wkst'!$N$7:$N$2010,"P3")</f>
        <v>0</v>
      </c>
      <c r="N48" s="410">
        <f>SUMIFS('LAC 102_Wkst'!$Q$7:$Q$2010,'LAC 102_Wkst'!$E$7:$E$2010,$C48,'LAC 102_Wkst'!$G$7:$G$2010,$D48,'LAC 102_Wkst'!$L$7:$L$2010,"03",'LAC 102_Wkst'!$N$7:$N$2010,"P4")+SUMIFS('LAC 102_Wkst'!$Q$7:$Q$2010,'LAC 102_Wkst'!$E$7:$E$2010,$C48,'LAC 102_Wkst'!$G$7:$G$2010,$D48,'LAC 102_Wkst'!$L$7:$L$2010,"04",'LAC 102_Wkst'!$N$7:$N$2010,"P4")</f>
        <v>0</v>
      </c>
      <c r="O48" s="411">
        <f>SUMIFS('LAC 102_Wkst'!$AE$7:$AE$2010,'LAC 102_Wkst'!$E$7:$E$2010,$C48,'LAC 102_Wkst'!$G$7:$G$2010,$D48,'LAC 102_Wkst'!$L$7:$L$2010,"03",'LAC 102_Wkst'!$N$7:$N$2010,"P4")+SUMIFS('LAC 102_Wkst'!$AE$7:$AE$2010,'LAC 102_Wkst'!$E$7:$E$2010,$C48,'LAC 102_Wkst'!$G$7:$G$2010,$D48,'LAC 102_Wkst'!$L$7:$L$2010,"04",'LAC 102_Wkst'!$N$7:$N$2010,"P4")</f>
        <v>0</v>
      </c>
      <c r="P48" s="410">
        <f>SUMIFS('LAC 102_Wkst'!$Q$7:$Q$2010,'LAC 102_Wkst'!$E$7:$E$2010,$C48,'LAC 102_Wkst'!$G$7:$G$2010,$D48,'LAC 102_Wkst'!$L$7:$L$2010,"03",'LAC 102_Wkst'!$N$7:$N$2010,"P5")+SUMIFS('LAC 102_Wkst'!$Q$7:$Q$2010,'LAC 102_Wkst'!$E$7:$E$2010,$C48,'LAC 102_Wkst'!$G$7:$G$2010,$D48,'LAC 102_Wkst'!$L$7:$L$2010,"04",'LAC 102_Wkst'!$N$7:$N$2010,"P5")</f>
        <v>0</v>
      </c>
      <c r="Q48" s="411">
        <f>SUMIFS('LAC 102_Wkst'!$AE$7:$AE$2010,'LAC 102_Wkst'!$E$7:$E$2010,$C48,'LAC 102_Wkst'!$G$7:$G$2010,$D48,'LAC 102_Wkst'!$L$7:$L$2010,"03",'LAC 102_Wkst'!$N$7:$N$2010,"P5")+SUMIFS('LAC 102_Wkst'!$AE$7:$AE$2010,'LAC 102_Wkst'!$E$7:$E$2010,$C48,'LAC 102_Wkst'!$G$7:$G$2010,$D48,'LAC 102_Wkst'!$L$7:$L$2010,"04",'LAC 102_Wkst'!$N$7:$N$2010,"P5")</f>
        <v>0</v>
      </c>
      <c r="R48" s="412">
        <f>SUMIFS('LAC 102_Wkst'!$Q$7:$Q$2010,'LAC 102_Wkst'!$E$7:$E$2010,$C48,'LAC 102_Wkst'!$G$7:$G$2010,$D48,'LAC 102_Wkst'!$L$7:$L$2010,"05",'LAC 102_Wkst'!$N$7:$N$2010,"P1")+SUMIFS('LAC 102_Wkst'!$Q$7:$Q$2010,'LAC 102_Wkst'!$E$7:$E$2010,$C48,'LAC 102_Wkst'!$G$7:$G$2010,$D48,'LAC 102_Wkst'!$L$7:$L$2010,"06",'LAC 102_Wkst'!$N$7:$N$2010,"P1")</f>
        <v>0</v>
      </c>
      <c r="S48" s="411">
        <f>SUMIFS('LAC 102_Wkst'!$AE$7:$AE$2010,'LAC 102_Wkst'!$E$7:$E$2010,$C48,'LAC 102_Wkst'!$G$7:$G$2010,$D48,'LAC 102_Wkst'!$L$7:$L$2010,"05",'LAC 102_Wkst'!$N$7:$N$2010,"P1")+SUMIFS('LAC 102_Wkst'!$AE$7:$AE$2010,'LAC 102_Wkst'!$E$7:$E$2010,$C48,'LAC 102_Wkst'!$G$7:$G$2010,$D48,'LAC 102_Wkst'!$L$7:$L$2010,"06",'LAC 102_Wkst'!$N$7:$N$2010,"P1")</f>
        <v>0</v>
      </c>
      <c r="T48" s="410">
        <f>SUMIFS('LAC 102_Wkst'!$Q$7:$Q$2010,'LAC 102_Wkst'!$E$7:$E$2010,$C48,'LAC 102_Wkst'!$G$7:$G$2010,$D48,'LAC 102_Wkst'!$L$7:$L$2010,"05",'LAC 102_Wkst'!$N$7:$N$2010,"P2")+SUMIFS('LAC 102_Wkst'!$Q$7:$Q$2010,'LAC 102_Wkst'!$E$7:$E$2010,$C48,'LAC 102_Wkst'!$G$7:$G$2010,$D48,'LAC 102_Wkst'!$L$7:$L$2010,"05",'LAC 102_Wkst'!$N$7:$N$2010,"P3")+SUMIFS('LAC 102_Wkst'!$Q$7:$Q$2010,'LAC 102_Wkst'!$E$7:$E$2010,$C48,'LAC 102_Wkst'!$G$7:$G$2010,$D48,'LAC 102_Wkst'!$L$7:$L$2010,"06",'LAC 102_Wkst'!$N$7:$N$2010,"P2")+SUMIFS('LAC 102_Wkst'!$Q$7:$Q$2010,'LAC 102_Wkst'!$E$7:$E$2010,$C48,'LAC 102_Wkst'!$G$7:$G$2010,$D48,'LAC 102_Wkst'!$L$7:$L$2010,"06",'LAC 102_Wkst'!$N$7:$N$2010,"P3")</f>
        <v>0</v>
      </c>
      <c r="U48" s="411">
        <f>SUMIFS('LAC 102_Wkst'!$AE$7:$AE$2010,'LAC 102_Wkst'!$E$7:$E$2010,$C48,'LAC 102_Wkst'!$G$7:$G$2010,$D48,'LAC 102_Wkst'!$L$7:$L$2010,"05",'LAC 102_Wkst'!$N$7:$N$2010,"P2")+SUMIFS('LAC 102_Wkst'!$AE$7:$AE$2010,'LAC 102_Wkst'!$E$7:$E$2010,$C48,'LAC 102_Wkst'!$G$7:$G$2010,$D48,'LAC 102_Wkst'!$L$7:$L$2010,"06",'LAC 102_Wkst'!$N$7:$N$2010,"P3")+SUMIFS('LAC 102_Wkst'!$AE$7:$AE$2010,'LAC 102_Wkst'!$E$7:$E$2010,$C48,'LAC 102_Wkst'!$G$7:$G$2010,$D48,'LAC 102_Wkst'!$L$7:$L$2010,"05",'LAC 102_Wkst'!$N$7:$N$2010,"P2")+SUMIFS('LAC 102_Wkst'!$AE$7:$AE$2010,'LAC 102_Wkst'!$E$7:$E$2010,$C48,'LAC 102_Wkst'!$G$7:$G$2010,$D48,'LAC 102_Wkst'!$L$7:$L$2010,"06",'LAC 102_Wkst'!$N$7:$N$2010,"P3")</f>
        <v>0</v>
      </c>
      <c r="V48" s="410">
        <f>SUMIFS('LAC 102_Wkst'!$Q$7:$Q$2010,'LAC 102_Wkst'!$E$7:$E$2010,$C48,'LAC 102_Wkst'!$G$7:$G$2010,$D48,'LAC 102_Wkst'!$L$7:$L$2010,"05",'LAC 102_Wkst'!$N$7:$N$2010,"P4")+SUMIFS('LAC 102_Wkst'!$Q$7:$Q$2010,'LAC 102_Wkst'!$E$7:$E$2010,$C48,'LAC 102_Wkst'!$G$7:$G$2010,$D48,'LAC 102_Wkst'!$L$7:$L$2010,"06",'LAC 102_Wkst'!$N$7:$N$2010,"P4")</f>
        <v>0</v>
      </c>
      <c r="W48" s="411">
        <f>SUMIFS('LAC 102_Wkst'!$AE$7:$AE$2010,'LAC 102_Wkst'!$E$7:$E$2010,$C48,'LAC 102_Wkst'!$G$7:$G$2010,$D48,'LAC 102_Wkst'!$L$7:$L$2010,"05",'LAC 102_Wkst'!$N$7:$N$2010,"P4")+SUMIFS('LAC 102_Wkst'!$AE$7:$AE$2010,'LAC 102_Wkst'!$E$7:$E$2010,$C48,'LAC 102_Wkst'!$G$7:$G$2010,$D48,'LAC 102_Wkst'!$L$7:$L$2010,"06",'LAC 102_Wkst'!$N$7:$N$2010,"P4")</f>
        <v>0</v>
      </c>
      <c r="X48" s="410">
        <f>SUMIFS('LAC 102_Wkst'!$Q$7:$Q$2010,'LAC 102_Wkst'!$E$7:$E$2010,$C48,'LAC 102_Wkst'!$G$7:$G$2010,$D48,'LAC 102_Wkst'!$L$7:$L$2010,"05",'LAC 102_Wkst'!$N$7:$N$2010,"P5")+SUMIFS('LAC 102_Wkst'!$Q$7:$Q$2010,'LAC 102_Wkst'!$E$7:$E$2010,$C48,'LAC 102_Wkst'!$G$7:$G$2010,$D48,'LAC 102_Wkst'!$L$7:$L$2010,"06",'LAC 102_Wkst'!$N$7:$N$2010,"P5")</f>
        <v>0</v>
      </c>
      <c r="Y48" s="411">
        <f>SUMIFS('LAC 102_Wkst'!$AE$7:$AE$2010,'LAC 102_Wkst'!$E$7:$E$2010,$C48,'LAC 102_Wkst'!$G$7:$G$2010,$D48,'LAC 102_Wkst'!$L$7:$L$2010,"05",'LAC 102_Wkst'!$N$7:$N$2010,"P5")+SUMIFS('LAC 102_Wkst'!$AE$7:$AE$2010,'LAC 102_Wkst'!$E$7:$E$2010,$C48,'LAC 102_Wkst'!$G$7:$G$2010,$D48,'LAC 102_Wkst'!$L$7:$L$2010,"06",'LAC 102_Wkst'!$N$7:$N$2010,"P5")</f>
        <v>0</v>
      </c>
      <c r="Z48" s="410">
        <f>SUMIFS('LAC 102_Wkst'!$Q$7:$Q$2010,'LAC 102_Wkst'!$E$7:$E$2010,$C48,'LAC 102_Wkst'!$G$7:$G$2010,$D48,'LAC 102_Wkst'!$L$7:$L$2010,"07",'LAC 102_Wkst'!$N$7:$N$2010,"P1")+SUMIFS('LAC 102_Wkst'!$Q$7:$Q$2010,'LAC 102_Wkst'!$E$7:$E$2010,$C48,'LAC 102_Wkst'!$G$7:$G$2010,$D48,'LAC 102_Wkst'!$L$7:$L$2010,"07",'LAC 102_Wkst'!$N$7:$N$2010,"P2")+SUMIFS('LAC 102_Wkst'!$Q$7:$Q$2010,'LAC 102_Wkst'!$E$7:$E$2010,$C48,'LAC 102_Wkst'!$G$7:$G$2010,$D48,'LAC 102_Wkst'!$L$7:$L$2010,"07",'LAC 102_Wkst'!$N$7:$N$2010,"P3")</f>
        <v>0</v>
      </c>
      <c r="AA48" s="411">
        <f>SUMIFS('LAC 102_Wkst'!$AE$7:$AE$2010,'LAC 102_Wkst'!$E$7:$E$2010,$C48,'LAC 102_Wkst'!$G$7:$G$2010,$D48,'LAC 102_Wkst'!$L$7:$L$2010,"07",'LAC 102_Wkst'!$N$7:$N$2010,"P1")+SUMIFS('LAC 102_Wkst'!$AE$7:$AE$2010,'LAC 102_Wkst'!$E$7:$E$2010,$C48,'LAC 102_Wkst'!$G$7:$G$2010,$D48,'LAC 102_Wkst'!$L$7:$L$2010,"07",'LAC 102_Wkst'!$N$7:$N$2010,"P2")+SUMIFS('LAC 102_Wkst'!$AE$7:$AE$2010,'LAC 102_Wkst'!$E$7:$E$2010,$C48,'LAC 102_Wkst'!$G$7:$G$2010,$D48,'LAC 102_Wkst'!$L$7:$L$2010,"07",'LAC 102_Wkst'!$N$7:$N$2010,"P3")</f>
        <v>0</v>
      </c>
      <c r="AB48" s="410">
        <f>SUMIFS('LAC 102_Wkst'!$Q$7:$Q$2010,'LAC 102_Wkst'!$E$7:$E$2010,$C48,'LAC 102_Wkst'!$G$7:$G$2010,$D48,'LAC 102_Wkst'!$L$7:$L$2010,"07",'LAC 102_Wkst'!$N$7:$N$2010,"P4")</f>
        <v>0</v>
      </c>
      <c r="AC48" s="411">
        <f>SUMIFS('LAC 102_Wkst'!$AE$7:$AE$2010,'LAC 102_Wkst'!$E$7:$E$2010,$C48,'LAC 102_Wkst'!$G$7:$G$2010,$D48,'LAC 102_Wkst'!$L$7:$L$2010,"07",'LAC 102_Wkst'!$N$7:$N$2010,"P4")</f>
        <v>0</v>
      </c>
      <c r="AD48" s="410">
        <f>SUMIFS('LAC 102_Wkst'!$Q$7:$Q$2010,'LAC 102_Wkst'!$E$7:$E$2010,$C48,'LAC 102_Wkst'!$G$7:$G$2010,$D48,'LAC 102_Wkst'!$L$7:$L$2010,"07",'LAC 102_Wkst'!$N$7:$N$2010,"P5")</f>
        <v>0</v>
      </c>
      <c r="AE48" s="411">
        <f>SUMIFS('LAC 102_Wkst'!$AE$7:$AE$2010,'LAC 102_Wkst'!$E$7:$E$2010,$C48,'LAC 102_Wkst'!$G$7:$G$2010,$D48,'LAC 102_Wkst'!$L$7:$L$2010,"07",'LAC 102_Wkst'!$N$7:$N$2010,"P5")</f>
        <v>0</v>
      </c>
      <c r="AF48" s="410">
        <f>SUMIFS('LAC 102_Wkst'!$Q$7:$Q$2010,'LAC 102_Wkst'!$E$7:$E$2010,$C48,'LAC 102_Wkst'!$G$7:$G$2010,$D48,'LAC 102_Wkst'!$L$7:$L$2010,"08",'LAC 102_Wkst'!$N$7:$N$2010,"P1")+SUMIFS('LAC 102_Wkst'!$Q$7:$Q$2010,'LAC 102_Wkst'!$E$7:$E$2010,$C48,'LAC 102_Wkst'!$G$7:$G$2010,$D48,'LAC 102_Wkst'!$L$7:$L$2010,"08",'LAC 102_Wkst'!$N$7:$N$2010,"P2")+SUMIFS('LAC 102_Wkst'!$Q$7:$Q$2010,'LAC 102_Wkst'!$E$7:$E$2010,$C48,'LAC 102_Wkst'!$G$7:$G$2010,$D48,'LAC 102_Wkst'!$L$7:$L$2010,"08",'LAC 102_Wkst'!$N$7:$N$2010,"P3")</f>
        <v>0</v>
      </c>
      <c r="AG48" s="411">
        <f>SUMIFS('LAC 102_Wkst'!$AE$7:$AE$2010,'LAC 102_Wkst'!$E$7:$E$2010,$C48,'LAC 102_Wkst'!$G$7:$G$2010,$D48,'LAC 102_Wkst'!$L$7:$L$2010,"08",'LAC 102_Wkst'!$N$7:$N$2010,"P1")+SUMIFS('LAC 102_Wkst'!$AE$7:$AE$2010,'LAC 102_Wkst'!$E$7:$E$2010,$C48,'LAC 102_Wkst'!$G$7:$G$2010,$D48,'LAC 102_Wkst'!$L$7:$L$2010,"08",'LAC 102_Wkst'!$N$7:$N$2010,"P2")+SUMIFS('LAC 102_Wkst'!$AE$7:$AE$2010,'LAC 102_Wkst'!$E$7:$E$2010,$C48,'LAC 102_Wkst'!$G$7:$G$2010,$D48,'LAC 102_Wkst'!$L$7:$L$2010,"08",'LAC 102_Wkst'!$N$7:$N$2010,"P3")</f>
        <v>0</v>
      </c>
      <c r="AH48" s="410">
        <f>SUMIFS('LAC 102_Wkst'!$Q$7:$Q$2010,'LAC 102_Wkst'!$E$7:$E$2010,$C48,'LAC 102_Wkst'!$G$7:$G$2010,$D48,'LAC 102_Wkst'!$L$7:$L$2010,"08",'LAC 102_Wkst'!$N$7:$N$2010,"P4")</f>
        <v>0</v>
      </c>
      <c r="AI48" s="411">
        <f>SUMIFS('LAC 102_Wkst'!$AE$7:$AE$2010,'LAC 102_Wkst'!$E$7:$E$2010,$C48,'LAC 102_Wkst'!$G$7:$G$2010,$D48,'LAC 102_Wkst'!$L$7:$L$2010,"08",'LAC 102_Wkst'!$N$7:$N$2010,"P4")</f>
        <v>0</v>
      </c>
      <c r="AJ48" s="410">
        <f>SUMIFS('LAC 102_Wkst'!$Q$7:$Q$2010,'LAC 102_Wkst'!$E$7:$E$2010,$C48,'LAC 102_Wkst'!$G$7:$G$2010,$D48,'LAC 102_Wkst'!$L$7:$L$2010,"08",'LAC 102_Wkst'!$N$7:$N$2010,"P5")</f>
        <v>0</v>
      </c>
      <c r="AK48" s="411">
        <f>SUMIFS('LAC 102_Wkst'!$AE$7:$AE$2010,'LAC 102_Wkst'!$E$7:$E$2010,$C48,'LAC 102_Wkst'!$G$7:$G$2010,$D48,'LAC 102_Wkst'!$L$7:$L$2010,"08",'LAC 102_Wkst'!$N$7:$N$2010,"P5")</f>
        <v>0</v>
      </c>
      <c r="AL48" s="410">
        <f>SUMIFS('LAC 102_Wkst'!$Q$7:$Q$2010,'LAC 102_Wkst'!$E$7:$E$2010,$C48,'LAC 102_Wkst'!$G$7:$G$2010,$D48,'LAC 102_Wkst'!$L$7:$L$2010,"09",'LAC 102_Wkst'!$N$7:$N$2010,"P1")+SUMIFS('LAC 102_Wkst'!$Q$7:$Q$2010,'LAC 102_Wkst'!$E$7:$E$2010,$C48,'LAC 102_Wkst'!$G$7:$G$2010,$D48,'LAC 102_Wkst'!$L$7:$L$2010,"09",'LAC 102_Wkst'!$N$7:$N$2010,"P2")+SUMIFS('LAC 102_Wkst'!$Q$7:$Q$2010,'LAC 102_Wkst'!$E$7:$E$2010,$C48,'LAC 102_Wkst'!$G$7:$G$2010,$D48,'LAC 102_Wkst'!$L$7:$L$2010,"09",'LAC 102_Wkst'!$N$7:$N$2010,"P3")+SUMIFS('LAC 102_Wkst'!$Q$7:$Q$2010,'LAC 102_Wkst'!$E$7:$E$2010,$C48,'LAC 102_Wkst'!$G$7:$G$2010,$D48,'LAC 102_Wkst'!$L$7:$L$2010,"09",'LAC 102_Wkst'!$N$7:$N$2010,"P4")</f>
        <v>0</v>
      </c>
      <c r="AM48" s="411">
        <f>SUMIFS('LAC 102_Wkst'!$AE$7:$AE$2010,'LAC 102_Wkst'!$E$7:$E$2010,$C48,'LAC 102_Wkst'!$G$7:$G$2010,$D48,'LAC 102_Wkst'!$L$7:$L$2010,"09",'LAC 102_Wkst'!$N$7:$N$2010,"P1")+SUMIFS('LAC 102_Wkst'!$AE$7:$AE$2010,'LAC 102_Wkst'!$E$7:$E$2010,$C48,'LAC 102_Wkst'!$G$7:$G$2010,$D48,'LAC 102_Wkst'!$L$7:$L$2010,"09",'LAC 102_Wkst'!$N$7:$N$2010,"P2")+SUMIFS('LAC 102_Wkst'!$AE$7:$AE$2010,'LAC 102_Wkst'!$E$7:$E$2010,$C48,'LAC 102_Wkst'!$G$7:$G$2010,$D48,'LAC 102_Wkst'!$L$7:$L$2010,"09",'LAC 102_Wkst'!$N$7:$N$2010,"P3")+SUMIFS('LAC 102_Wkst'!$AE$7:$AE$2010,'LAC 102_Wkst'!$E$7:$E$2010,$C48,'LAC 102_Wkst'!$G$7:$G$2010,$D48,'LAC 102_Wkst'!$L$7:$L$2010,"09",'LAC 102_Wkst'!$N$7:$N$2010,"P4")</f>
        <v>0</v>
      </c>
      <c r="AN48" s="410">
        <f>SUMIFS('LAC 102_Wkst'!$Q$7:$Q$2010,'LAC 102_Wkst'!$E$7:$E$2010,$C48,'LAC 102_Wkst'!$G$7:$G$2010,$D48,'LAC 102_Wkst'!$L$7:$L$2010,"09",'LAC 102_Wkst'!$N$7:$N$2010,"P5")</f>
        <v>0</v>
      </c>
      <c r="AO48" s="411">
        <f>SUMIFS('LAC 102_Wkst'!$AE$7:$AE$2010,'LAC 102_Wkst'!$E$7:$E$2010,$C48,'LAC 102_Wkst'!$G$7:$G$2010,$D48,'LAC 102_Wkst'!$L$7:$L$2010,"09",'LAC 102_Wkst'!$N$7:$N$2010,"P5")</f>
        <v>0</v>
      </c>
      <c r="AP48" s="410">
        <f>SUMIFS('LAC 102_Wkst'!$Q$7:$Q$2010,'LAC 102_Wkst'!$E$7:$E$2010,$C48,'LAC 102_Wkst'!$G$7:$G$2010,$D48,'LAC 102_Wkst'!$L$7:$L$2010,"10",'LAC 102_Wkst'!$N$7:$N$2010,"P1")+SUMIFS('LAC 102_Wkst'!$Q$7:$Q$2010,'LAC 102_Wkst'!$E$7:$E$2010,$C48,'LAC 102_Wkst'!$G$7:$G$2010,$D48,'LAC 102_Wkst'!$L$7:$L$2010,"10",'LAC 102_Wkst'!$N$7:$N$2010,"P2")+SUMIFS('LAC 102_Wkst'!$Q$7:$Q$2010,'LAC 102_Wkst'!$E$7:$E$2010,$C48,'LAC 102_Wkst'!$G$7:$G$2010,$D48,'LAC 102_Wkst'!$L$7:$L$2010,"10",'LAC 102_Wkst'!$N$7:$N$2010,"P3")+SUMIFS('LAC 102_Wkst'!$Q$7:$Q$2010,'LAC 102_Wkst'!$E$7:$E$2010,$C48,'LAC 102_Wkst'!$G$7:$G$2010,$D48,'LAC 102_Wkst'!$L$7:$L$2010,"10",'LAC 102_Wkst'!$N$7:$N$2010,"P4")</f>
        <v>0</v>
      </c>
      <c r="AQ48" s="411">
        <f>SUMIFS('LAC 102_Wkst'!$AE$7:$AE$2010,'LAC 102_Wkst'!$E$7:$E$2010,$C48,'LAC 102_Wkst'!$G$7:$G$2010,$D48,'LAC 102_Wkst'!$L$7:$L$2010,"10",'LAC 102_Wkst'!$N$7:$N$2010,"P1")+SUMIFS('LAC 102_Wkst'!$AE$7:$AE$2010,'LAC 102_Wkst'!$E$7:$E$2010,$C48,'LAC 102_Wkst'!$G$7:$G$2010,$D48,'LAC 102_Wkst'!$L$7:$L$2010,"10",'LAC 102_Wkst'!$N$7:$N$2010,"P2")+SUMIFS('LAC 102_Wkst'!$AE$7:$AE$2010,'LAC 102_Wkst'!$E$7:$E$2010,$C48,'LAC 102_Wkst'!$G$7:$G$2010,$D48,'LAC 102_Wkst'!$L$7:$L$2010,"10",'LAC 102_Wkst'!$N$7:$N$2010,"P3")+SUMIFS('LAC 102_Wkst'!$AE$7:$AE$2010,'LAC 102_Wkst'!$E$7:$E$2010,$C48,'LAC 102_Wkst'!$G$7:$G$2010,$D48,'LAC 102_Wkst'!$L$7:$L$2010,"10",'LAC 102_Wkst'!$N$7:$N$2010,"P4")</f>
        <v>0</v>
      </c>
      <c r="AR48" s="410">
        <f>SUMIFS('LAC 102_Wkst'!$Q$7:$Q$2010,'LAC 102_Wkst'!$E$7:$E$2010,$C48,'LAC 102_Wkst'!$G$7:$G$2010,$D48,'LAC 102_Wkst'!$L$7:$L$2010,"10",'LAC 102_Wkst'!$N$7:$N$2010,"P5")</f>
        <v>0</v>
      </c>
      <c r="AS48" s="411">
        <f>SUMIFS('LAC 102_Wkst'!$AE$7:$AE$2010,'LAC 102_Wkst'!$E$7:$E$2010,$C48,'LAC 102_Wkst'!$G$7:$G$2010,$D48,'LAC 102_Wkst'!$L$7:$L$2010,"10",'LAC 102_Wkst'!$N$7:$N$2010,"P5")</f>
        <v>0</v>
      </c>
      <c r="AT48" s="410">
        <f>SUMIFS('LAC 102_Wkst'!$Q$7:$Q$2010,'LAC 102_Wkst'!$E$7:$E$2010,$C48,'LAC 102_Wkst'!$G$7:$G$2010,$D48,'LAC 102_Wkst'!$L$7:$L$2010,"11",'LAC 102_Wkst'!$N$7:$N$2010,"P1")+SUMIFS('LAC 102_Wkst'!$Q$7:$Q$2010,'LAC 102_Wkst'!$E$7:$E$2010,$C48,'LAC 102_Wkst'!$G$7:$G$2010,$D48,'LAC 102_Wkst'!$L$7:$L$2010,"12",'LAC 102_Wkst'!$N$7:$N$2010,"P1")</f>
        <v>0</v>
      </c>
      <c r="AU48" s="411">
        <f>SUMIFS('LAC 102_Wkst'!$AE$7:$AE$2010,'LAC 102_Wkst'!$E$7:$E$2010,$C48,'LAC 102_Wkst'!$G$7:$G$2010,$D48,'LAC 102_Wkst'!$L$7:$L$2010,"11",'LAC 102_Wkst'!$N$7:$N$2010,"P1")+SUMIFS('LAC 102_Wkst'!$AE$7:$AE$2010,'LAC 102_Wkst'!$E$7:$E$2010,$C48,'LAC 102_Wkst'!$G$7:$G$2010,$D48,'LAC 102_Wkst'!$L$7:$L$2010,"12",'LAC 102_Wkst'!$N$7:$N$2010,"P1")</f>
        <v>0</v>
      </c>
      <c r="AV48" s="410">
        <f>SUMIFS('LAC 102_Wkst'!$Q$7:$Q$2010,'LAC 102_Wkst'!$E$7:$E$2010,$C48,'LAC 102_Wkst'!$G$7:$G$2010,$D48,'LAC 102_Wkst'!$L$7:$L$2010,"11",'LAC 102_Wkst'!$N$7:$N$2010,"P2")+SUMIFS('LAC 102_Wkst'!$Q$7:$Q$2010,'LAC 102_Wkst'!$E$7:$E$2010,$C48,'LAC 102_Wkst'!$G$7:$G$2010,$D48,'LAC 102_Wkst'!$L$7:$L$2010,"12",'LAC 102_Wkst'!$N$7:$N$2010,"P3")+SUMIFS('LAC 102_Wkst'!$Q$7:$Q$2010,'LAC 102_Wkst'!$E$7:$E$2010,$C48,'LAC 102_Wkst'!$G$7:$G$2010,$D48,'LAC 102_Wkst'!$L$7:$L$2010,"11",'LAC 102_Wkst'!$N$7:$N$2010,"P2")+SUMIFS('LAC 102_Wkst'!$Q$7:$Q$2010,'LAC 102_Wkst'!$E$7:$E$2010,$C48,'LAC 102_Wkst'!$G$7:$G$2010,$D48,'LAC 102_Wkst'!$L$7:$L$2010,"12",'LAC 102_Wkst'!$N$7:$N$2010,"P3")</f>
        <v>0</v>
      </c>
      <c r="AW48" s="411">
        <f>SUMIFS('LAC 102_Wkst'!$AE$7:$AE$2010,'LAC 102_Wkst'!$E$7:$E$2010,$C48,'LAC 102_Wkst'!$G$7:$G$2010,$D48,'LAC 102_Wkst'!$L$7:$L$2010,"11",'LAC 102_Wkst'!$N$7:$N$2010,"P2")+SUMIFS('LAC 102_Wkst'!$AE$7:$AE$2010,'LAC 102_Wkst'!$E$7:$E$2010,$C48,'LAC 102_Wkst'!$G$7:$G$2010,$D48,'LAC 102_Wkst'!$L$7:$L$2010,"12",'LAC 102_Wkst'!$N$7:$N$2010,"P3")+SUMIFS('LAC 102_Wkst'!$AE$7:$AE$2010,'LAC 102_Wkst'!$E$7:$E$2010,$C48,'LAC 102_Wkst'!$G$7:$G$2010,$D48,'LAC 102_Wkst'!$L$7:$L$2010,"11",'LAC 102_Wkst'!$N$7:$N$2010,"P2")+SUMIFS('LAC 102_Wkst'!$AE$7:$AE$2010,'LAC 102_Wkst'!$E$7:$E$2010,$C48,'LAC 102_Wkst'!$G$7:$G$2010,$D48,'LAC 102_Wkst'!$L$7:$L$2010,"12",'LAC 102_Wkst'!$N$7:$N$2010,"P3")</f>
        <v>0</v>
      </c>
      <c r="AX48" s="410">
        <f>SUMIFS('LAC 102_Wkst'!$Q$7:$Q$2010,'LAC 102_Wkst'!$E$7:$E$2010,$C48,'LAC 102_Wkst'!$G$7:$G$2010,$D48,'LAC 102_Wkst'!$L$7:$L$2010,"11",'LAC 102_Wkst'!$N$7:$N$2010,"P4")+SUMIFS('LAC 102_Wkst'!$Q$7:$Q$2010,'LAC 102_Wkst'!$E$7:$E$2010,$C48,'LAC 102_Wkst'!$G$7:$G$2010,$D48,'LAC 102_Wkst'!$L$7:$L$2010,"12",'LAC 102_Wkst'!$N$7:$N$2010,"P4")</f>
        <v>0</v>
      </c>
      <c r="AY48" s="411">
        <f>SUMIFS('LAC 102_Wkst'!$AE$7:$AE$2010,'LAC 102_Wkst'!$E$7:$E$2010,$C48,'LAC 102_Wkst'!$G$7:$G$2010,$D48,'LAC 102_Wkst'!$L$7:$L$2010,"11",'LAC 102_Wkst'!$N$7:$N$2010,"P4")+SUMIFS('LAC 102_Wkst'!$AE$7:$AE$2010,'LAC 102_Wkst'!$E$7:$E$2010,$C48,'LAC 102_Wkst'!$G$7:$G$2010,$D48,'LAC 102_Wkst'!$L$7:$L$2010,"12",'LAC 102_Wkst'!$N$7:$N$2010,"P4")</f>
        <v>0</v>
      </c>
      <c r="AZ48" s="410">
        <f>SUMIFS('LAC 102_Wkst'!$Q$7:$Q$2010,'LAC 102_Wkst'!$E$7:$E$2010,$C48,'LAC 102_Wkst'!$G$7:$G$2010,$D48,'LAC 102_Wkst'!$L$7:$L$2010,"11",'LAC 102_Wkst'!$N$7:$N$2010,"P5")+SUMIFS('LAC 102_Wkst'!$Q$7:$Q$2010,'LAC 102_Wkst'!$E$7:$E$2010,$C48,'LAC 102_Wkst'!$G$7:$G$2010,$D48,'LAC 102_Wkst'!$L$7:$L$2010,"12",'LAC 102_Wkst'!$N$7:$N$2010,"P5")</f>
        <v>0</v>
      </c>
      <c r="BA48" s="411">
        <f>SUMIFS('LAC 102_Wkst'!$AE$7:$AE$2010,'LAC 102_Wkst'!$E$7:$E$2010,$C48,'LAC 102_Wkst'!$G$7:$G$2010,$D48,'LAC 102_Wkst'!$L$7:$L$2010,"11",'LAC 102_Wkst'!$N$7:$N$2010,"P5")+SUMIFS('LAC 102_Wkst'!$AE$7:$AE$2010,'LAC 102_Wkst'!$E$7:$E$2010,$C48,'LAC 102_Wkst'!$G$7:$G$2010,$D48,'LAC 102_Wkst'!$L$7:$L$2010,"12",'LAC 102_Wkst'!$N$7:$N$2010,"P5")</f>
        <v>0</v>
      </c>
      <c r="BB48" s="410">
        <f>SUMIFS('LAC 102_Wkst'!$Q$7:$Q$2010,'LAC 102_Wkst'!$E$7:$E$2010,$C48,'LAC 102_Wkst'!$G$7:$G$2010,$D48,'LAC 102_Wkst'!$L$7:$L$2010,"13",'LAC 102_Wkst'!$N$7:$N$2010,"P1")+SUMIFS('LAC 102_Wkst'!$Q$7:$Q$2010,'LAC 102_Wkst'!$E$7:$E$2010,$C48,'LAC 102_Wkst'!$G$7:$G$2010,$D48,'LAC 102_Wkst'!$L$7:$L$2010,"13",'LAC 102_Wkst'!$N$7:$N$2010,"P2")+SUMIFS('LAC 102_Wkst'!$Q$7:$Q$2010,'LAC 102_Wkst'!$E$7:$E$2010,$C48,'LAC 102_Wkst'!$G$7:$G$2010,$D48,'LAC 102_Wkst'!$L$7:$L$2010,"13",'LAC 102_Wkst'!$N$7:$N$2010,"P3")+SUMIFS('LAC 102_Wkst'!$Q$7:$Q$2010,'LAC 102_Wkst'!$E$7:$E$2010,$C48,'LAC 102_Wkst'!$G$7:$G$2010,$D48,'LAC 102_Wkst'!$L$7:$L$2010,"13",'LAC 102_Wkst'!$N$7:$N$2010,"P4")</f>
        <v>0</v>
      </c>
      <c r="BC48" s="411">
        <f>SUMIFS('LAC 102_Wkst'!$AE$7:$AE$2010,'LAC 102_Wkst'!$E$7:$E$2010,$C48,'LAC 102_Wkst'!$G$7:$G$2010,$D48,'LAC 102_Wkst'!$L$7:$L$2010,"13",'LAC 102_Wkst'!$N$7:$N$2010,"P1")+SUMIFS('LAC 102_Wkst'!$AE$7:$AE$2010,'LAC 102_Wkst'!$E$7:$E$2010,$C48,'LAC 102_Wkst'!$G$7:$G$2010,$D48,'LAC 102_Wkst'!$L$7:$L$2010,"13",'LAC 102_Wkst'!$N$7:$N$2010,"P2")+SUMIFS('LAC 102_Wkst'!$AE$7:$AE$2010,'LAC 102_Wkst'!$E$7:$E$2010,$C48,'LAC 102_Wkst'!$G$7:$G$2010,$D48,'LAC 102_Wkst'!$L$7:$L$2010,"13",'LAC 102_Wkst'!$N$7:$N$2010,"P3")+SUMIFS('LAC 102_Wkst'!$AE$7:$AE$2010,'LAC 102_Wkst'!$E$7:$E$2010,$C48,'LAC 102_Wkst'!$G$7:$G$2010,$D48,'LAC 102_Wkst'!$L$7:$L$2010,"13",'LAC 102_Wkst'!$N$7:$N$2010,"P4")</f>
        <v>0</v>
      </c>
      <c r="BD48" s="410">
        <f>SUMIFS('LAC 102_Wkst'!$Q$7:$Q$2010,'LAC 102_Wkst'!$E$7:$E$2010,$C48,'LAC 102_Wkst'!$G$7:$G$2010,$D48,'LAC 102_Wkst'!$L$7:$L$2010,"13",'LAC 102_Wkst'!$N$7:$N$2010,"P5")</f>
        <v>0</v>
      </c>
      <c r="BE48" s="411">
        <f>SUMIFS('LAC 102_Wkst'!$AE$7:$AE$2010,'LAC 102_Wkst'!$E$7:$E$2010,$C48,'LAC 102_Wkst'!$G$7:$G$2010,$D48,'LAC 102_Wkst'!$L$7:$L$2010,"13",'LAC 102_Wkst'!$N$7:$N$2010,"P5")</f>
        <v>0</v>
      </c>
      <c r="BF48" s="407">
        <f t="shared" si="0"/>
        <v>0</v>
      </c>
    </row>
    <row r="49" spans="1:58" x14ac:dyDescent="0.2">
      <c r="A49" s="401">
        <v>30</v>
      </c>
      <c r="B49" s="1236"/>
      <c r="C49" s="1235"/>
      <c r="D49" s="1237"/>
      <c r="E49" s="1222">
        <f>IF(CONCATENATE(C49,D49)&gt;"6069",1,SUMIFS('LAC 102_Wkst'!$Q$7:$Q$2010,'LAC 102_Wkst'!$E$7:$E$2010,Schedule_B!$C49,'LAC 102_Wkst'!$G$7:$G$2010,Schedule_B!$D49))</f>
        <v>0</v>
      </c>
      <c r="F49" s="408">
        <f>SUMIFS('LAC 102_Wkst'!$Q$7:$Q$2010,'LAC 102_Wkst'!$E$7:$E$2010,$C49,'LAC 102_Wkst'!$G$7:$G$2010,$D49,'LAC 102_Wkst'!$L$7:$L$2010,"01",'LAC 102_Wkst'!$N$7:$N$2010,"P1")+SUMIFS('LAC 102_Wkst'!$Q$7:$Q$2010,'LAC 102_Wkst'!$E$7:$E$2010,$C49,'LAC 102_Wkst'!$G$7:$G$2010,$D49,'LAC 102_Wkst'!$L$7:$L$2010,"01",'LAC 102_Wkst'!$N$7:$N$2010,"P2")+SUMIFS('LAC 102_Wkst'!$Q$7:$Q$2010,'LAC 102_Wkst'!$E$7:$E$2010,$C49,'LAC 102_Wkst'!$G$7:$G$2010,$D49,'LAC 102_Wkst'!$L$7:$L$2010,"01",'LAC 102_Wkst'!$N$7:$N$2010,"P3")+SUMIFS('LAC 102_Wkst'!$Q$7:$Q$2010,'LAC 102_Wkst'!$E$7:$E$2010,$C49,'LAC 102_Wkst'!$G$7:$G$2010,$D49,'LAC 102_Wkst'!$L$7:$L$2010,"02",'LAC 102_Wkst'!$N$7:$N$2010,"P1")+SUMIFS('LAC 102_Wkst'!$Q$7:$Q$2010,'LAC 102_Wkst'!$E$7:$E$2010,$C49,'LAC 102_Wkst'!$G$7:$G$2010,$D49,'LAC 102_Wkst'!$L$7:$L$2010,"02",'LAC 102_Wkst'!$N$7:$N$2010,"P2")+SUMIFS('LAC 102_Wkst'!$Q$7:$Q$2010,'LAC 102_Wkst'!$E$7:$E$2010,$C49,'LAC 102_Wkst'!$G$7:$G$2010,$D49,'LAC 102_Wkst'!$L$7:$L$2010,"02",'LAC 102_Wkst'!$N$7:$N$2010,"P3")</f>
        <v>0</v>
      </c>
      <c r="G49" s="409">
        <f>SUMIFS('LAC 102_Wkst'!$AE$7:$AE$2010,'LAC 102_Wkst'!$E$7:$E$2010,$C49,'LAC 102_Wkst'!$G$7:$G$2010,$D49,'LAC 102_Wkst'!$L$7:$L$2010,"01",'LAC 102_Wkst'!$N$7:$N$2010,"P1")+SUMIFS('LAC 102_Wkst'!$AE$7:$AE$2010,'LAC 102_Wkst'!$E$7:$E$2010,$C49,'LAC 102_Wkst'!$G$7:$G$2010,$D49,'LAC 102_Wkst'!$L$7:$L$2010,"01",'LAC 102_Wkst'!$N$7:$N$2010,"P2")+SUMIFS('LAC 102_Wkst'!$AE$7:$AE$2010,'LAC 102_Wkst'!$E$7:$E$2010,$C49,'LAC 102_Wkst'!$G$7:$G$2010,$D49,'LAC 102_Wkst'!$L$7:$L$2010,"01",'LAC 102_Wkst'!$N$7:$N$2010,"P3")+SUMIFS('LAC 102_Wkst'!$AE$7:$AE$2010,'LAC 102_Wkst'!$E$7:$E$2010,$C49,'LAC 102_Wkst'!$G$7:$G$2010,$D49,'LAC 102_Wkst'!$L$7:$L$2010,"02",'LAC 102_Wkst'!$N$7:$N$2010,"P1")+SUMIFS('LAC 102_Wkst'!$AE$7:$AE$2010,'LAC 102_Wkst'!$E$7:$E$2010,$C49,'LAC 102_Wkst'!$G$7:$G$2010,$D49,'LAC 102_Wkst'!$L$7:$L$2010,"02",'LAC 102_Wkst'!$N$7:$N$2010,"P2")+SUMIFS('LAC 102_Wkst'!$AE$7:$AE$2010,'LAC 102_Wkst'!$E$7:$E$2010,$C49,'LAC 102_Wkst'!$G$7:$G$2010,$D49,'LAC 102_Wkst'!$L$7:$L$2010,"02",'LAC 102_Wkst'!$N$7:$N$2010,"P3")</f>
        <v>0</v>
      </c>
      <c r="H49" s="410">
        <f>SUMIFS('LAC 102_Wkst'!$Q$7:$Q$2010,'LAC 102_Wkst'!$E$7:$E$2010,$C49,'LAC 102_Wkst'!$G$7:$G$2010,$D49,'LAC 102_Wkst'!$L$7:$L$2010,"01",'LAC 102_Wkst'!$N$7:$N$2010,"P4")+SUMIFS('LAC 102_Wkst'!$Q$7:$Q$2010,'LAC 102_Wkst'!$E$7:$E$2010,$C49,'LAC 102_Wkst'!$G$7:$G$2010,$D49,'LAC 102_Wkst'!$L$7:$L$2010,"02",'LAC 102_Wkst'!$N$7:$N$2010,"P4")</f>
        <v>0</v>
      </c>
      <c r="I49" s="411">
        <f>SUMIFS('LAC 102_Wkst'!$AE$7:$AE$2010,'LAC 102_Wkst'!$E$7:$E$2010,$C49,'LAC 102_Wkst'!$G$7:$G$2010,$D49,'LAC 102_Wkst'!$L$7:$L$2010,"01",'LAC 102_Wkst'!$N$7:$N$2010,"P4")+SUMIFS('LAC 102_Wkst'!$AE$7:$AE$2010,'LAC 102_Wkst'!$E$7:$E$2010,$C49,'LAC 102_Wkst'!$G$7:$G$2010,$D49,'LAC 102_Wkst'!$L$7:$L$2010,"02",'LAC 102_Wkst'!$N$7:$N$2010,"P4")</f>
        <v>0</v>
      </c>
      <c r="J49" s="410">
        <f>SUMIFS('LAC 102_Wkst'!$Q$7:$Q$2010,'LAC 102_Wkst'!$E$7:$E$2010,$C49,'LAC 102_Wkst'!$G$7:$G$2010,$D49,'LAC 102_Wkst'!$L$7:$L$2010,"01",'LAC 102_Wkst'!$N$7:$N$2010,"P5")+SUMIFS('LAC 102_Wkst'!$Q$7:$Q$2010,'LAC 102_Wkst'!$E$7:$E$2010,$C49,'LAC 102_Wkst'!$G$7:$G$2010,$D49,'LAC 102_Wkst'!$L$7:$L$2010,"02",'LAC 102_Wkst'!$N$7:$N$2010,"P5")</f>
        <v>0</v>
      </c>
      <c r="K49" s="411">
        <f>SUMIFS('LAC 102_Wkst'!$AE$7:$AE$2010,'LAC 102_Wkst'!$E$7:$E$2010,$C49,'LAC 102_Wkst'!$G$7:$G$2010,$D49,'LAC 102_Wkst'!$L$7:$L$2010,"01",'LAC 102_Wkst'!$N$7:$N$2010,"P5")+SUMIFS('LAC 102_Wkst'!$AE$7:$AE$2010,'LAC 102_Wkst'!$E$7:$E$2010,$C49,'LAC 102_Wkst'!$G$7:$G$2010,$D49,'LAC 102_Wkst'!$L$7:$L$2010,"02",'LAC 102_Wkst'!$N$7:$N$2010,"P5")</f>
        <v>0</v>
      </c>
      <c r="L49" s="410">
        <f>SUMIFS('LAC 102_Wkst'!$Q$7:$Q$2010,'LAC 102_Wkst'!$E$7:$E$2010,$C49,'LAC 102_Wkst'!$G$7:$G$2010,$D49,'LAC 102_Wkst'!$L$7:$L$2010,"03",'LAC 102_Wkst'!$N$7:$N$2010,"P1")+SUMIFS('LAC 102_Wkst'!$Q$7:$Q$2010,'LAC 102_Wkst'!$E$7:$E$2010,$C49,'LAC 102_Wkst'!$G$7:$G$2010,$D49,'LAC 102_Wkst'!$L$7:$L$2010,"03",'LAC 102_Wkst'!$N$7:$N$2010,"P2")+SUMIFS('LAC 102_Wkst'!$Q$7:$Q$2010,'LAC 102_Wkst'!$E$7:$E$2010,$C49,'LAC 102_Wkst'!$G$7:$G$2010,$D49,'LAC 102_Wkst'!$L$7:$L$2010,"03",'LAC 102_Wkst'!$N$7:$N$2010,"P3")+SUMIFS('LAC 102_Wkst'!$Q$7:$Q$2010,'LAC 102_Wkst'!$E$7:$E$2010,$C49,'LAC 102_Wkst'!$G$7:$G$2010,$D49,'LAC 102_Wkst'!$L$7:$L$2010,"04",'LAC 102_Wkst'!$N$7:$N$2010,"P1")+SUMIFS('LAC 102_Wkst'!$Q$7:$Q$2010,'LAC 102_Wkst'!$E$7:$E$2010,$C49,'LAC 102_Wkst'!$G$7:$G$2010,$D49,'LAC 102_Wkst'!$L$7:$L$2010,"04",'LAC 102_Wkst'!$N$7:$N$2010,"P2")+SUMIFS('LAC 102_Wkst'!$Q$7:$Q$2010,'LAC 102_Wkst'!$E$7:$E$2010,$C49,'LAC 102_Wkst'!$G$7:$G$2010,$D49,'LAC 102_Wkst'!$L$7:$L$2010,"04",'LAC 102_Wkst'!$N$7:$N$2010,"P3")</f>
        <v>0</v>
      </c>
      <c r="M49" s="411">
        <f>SUMIFS('LAC 102_Wkst'!$AE$7:$AE$2010,'LAC 102_Wkst'!$E$7:$E$2010,$C49,'LAC 102_Wkst'!$G$7:$G$2010,$D49,'LAC 102_Wkst'!$L$7:$L$2010,"03",'LAC 102_Wkst'!$N$7:$N$2010,"P1")+SUMIFS('LAC 102_Wkst'!$AE$7:$AE$2010,'LAC 102_Wkst'!$E$7:$E$2010,$C49,'LAC 102_Wkst'!$G$7:$G$2010,$D49,'LAC 102_Wkst'!$L$7:$L$2010,"03",'LAC 102_Wkst'!$N$7:$N$2010,"P2")+SUMIFS('LAC 102_Wkst'!$AE$7:$AE$2010,'LAC 102_Wkst'!$E$7:$E$2010,$C49,'LAC 102_Wkst'!$G$7:$G$2010,$D49,'LAC 102_Wkst'!$L$7:$L$2010,"03",'LAC 102_Wkst'!$N$7:$N$2010,"P3")+SUMIFS('LAC 102_Wkst'!$AE$7:$AE$2010,'LAC 102_Wkst'!$E$7:$E$2010,$C49,'LAC 102_Wkst'!$G$7:$G$2010,$D49,'LAC 102_Wkst'!$L$7:$L$2010,"04",'LAC 102_Wkst'!$N$7:$N$2010,"P1")+SUMIFS('LAC 102_Wkst'!$AE$7:$AE$2010,'LAC 102_Wkst'!$E$7:$E$2010,$C49,'LAC 102_Wkst'!$G$7:$G$2010,$D49,'LAC 102_Wkst'!$L$7:$L$2010,"04",'LAC 102_Wkst'!$N$7:$N$2010,"P2")+SUMIFS('LAC 102_Wkst'!$AE$7:$AE$2010,'LAC 102_Wkst'!$E$7:$E$2010,$C49,'LAC 102_Wkst'!$G$7:$G$2010,$D49,'LAC 102_Wkst'!$L$7:$L$2010,"04",'LAC 102_Wkst'!$N$7:$N$2010,"P3")</f>
        <v>0</v>
      </c>
      <c r="N49" s="410">
        <f>SUMIFS('LAC 102_Wkst'!$Q$7:$Q$2010,'LAC 102_Wkst'!$E$7:$E$2010,$C49,'LAC 102_Wkst'!$G$7:$G$2010,$D49,'LAC 102_Wkst'!$L$7:$L$2010,"03",'LAC 102_Wkst'!$N$7:$N$2010,"P4")+SUMIFS('LAC 102_Wkst'!$Q$7:$Q$2010,'LAC 102_Wkst'!$E$7:$E$2010,$C49,'LAC 102_Wkst'!$G$7:$G$2010,$D49,'LAC 102_Wkst'!$L$7:$L$2010,"04",'LAC 102_Wkst'!$N$7:$N$2010,"P4")</f>
        <v>0</v>
      </c>
      <c r="O49" s="411">
        <f>SUMIFS('LAC 102_Wkst'!$AE$7:$AE$2010,'LAC 102_Wkst'!$E$7:$E$2010,$C49,'LAC 102_Wkst'!$G$7:$G$2010,$D49,'LAC 102_Wkst'!$L$7:$L$2010,"03",'LAC 102_Wkst'!$N$7:$N$2010,"P4")+SUMIFS('LAC 102_Wkst'!$AE$7:$AE$2010,'LAC 102_Wkst'!$E$7:$E$2010,$C49,'LAC 102_Wkst'!$G$7:$G$2010,$D49,'LAC 102_Wkst'!$L$7:$L$2010,"04",'LAC 102_Wkst'!$N$7:$N$2010,"P4")</f>
        <v>0</v>
      </c>
      <c r="P49" s="410">
        <f>SUMIFS('LAC 102_Wkst'!$Q$7:$Q$2010,'LAC 102_Wkst'!$E$7:$E$2010,$C49,'LAC 102_Wkst'!$G$7:$G$2010,$D49,'LAC 102_Wkst'!$L$7:$L$2010,"03",'LAC 102_Wkst'!$N$7:$N$2010,"P5")+SUMIFS('LAC 102_Wkst'!$Q$7:$Q$2010,'LAC 102_Wkst'!$E$7:$E$2010,$C49,'LAC 102_Wkst'!$G$7:$G$2010,$D49,'LAC 102_Wkst'!$L$7:$L$2010,"04",'LAC 102_Wkst'!$N$7:$N$2010,"P5")</f>
        <v>0</v>
      </c>
      <c r="Q49" s="411">
        <f>SUMIFS('LAC 102_Wkst'!$AE$7:$AE$2010,'LAC 102_Wkst'!$E$7:$E$2010,$C49,'LAC 102_Wkst'!$G$7:$G$2010,$D49,'LAC 102_Wkst'!$L$7:$L$2010,"03",'LAC 102_Wkst'!$N$7:$N$2010,"P5")+SUMIFS('LAC 102_Wkst'!$AE$7:$AE$2010,'LAC 102_Wkst'!$E$7:$E$2010,$C49,'LAC 102_Wkst'!$G$7:$G$2010,$D49,'LAC 102_Wkst'!$L$7:$L$2010,"04",'LAC 102_Wkst'!$N$7:$N$2010,"P5")</f>
        <v>0</v>
      </c>
      <c r="R49" s="412">
        <f>SUMIFS('LAC 102_Wkst'!$Q$7:$Q$2010,'LAC 102_Wkst'!$E$7:$E$2010,$C49,'LAC 102_Wkst'!$G$7:$G$2010,$D49,'LAC 102_Wkst'!$L$7:$L$2010,"05",'LAC 102_Wkst'!$N$7:$N$2010,"P1")+SUMIFS('LAC 102_Wkst'!$Q$7:$Q$2010,'LAC 102_Wkst'!$E$7:$E$2010,$C49,'LAC 102_Wkst'!$G$7:$G$2010,$D49,'LAC 102_Wkst'!$L$7:$L$2010,"06",'LAC 102_Wkst'!$N$7:$N$2010,"P1")</f>
        <v>0</v>
      </c>
      <c r="S49" s="411">
        <f>SUMIFS('LAC 102_Wkst'!$AE$7:$AE$2010,'LAC 102_Wkst'!$E$7:$E$2010,$C49,'LAC 102_Wkst'!$G$7:$G$2010,$D49,'LAC 102_Wkst'!$L$7:$L$2010,"05",'LAC 102_Wkst'!$N$7:$N$2010,"P1")+SUMIFS('LAC 102_Wkst'!$AE$7:$AE$2010,'LAC 102_Wkst'!$E$7:$E$2010,$C49,'LAC 102_Wkst'!$G$7:$G$2010,$D49,'LAC 102_Wkst'!$L$7:$L$2010,"06",'LAC 102_Wkst'!$N$7:$N$2010,"P1")</f>
        <v>0</v>
      </c>
      <c r="T49" s="410">
        <f>SUMIFS('LAC 102_Wkst'!$Q$7:$Q$2010,'LAC 102_Wkst'!$E$7:$E$2010,$C49,'LAC 102_Wkst'!$G$7:$G$2010,$D49,'LAC 102_Wkst'!$L$7:$L$2010,"05",'LAC 102_Wkst'!$N$7:$N$2010,"P2")+SUMIFS('LAC 102_Wkst'!$Q$7:$Q$2010,'LAC 102_Wkst'!$E$7:$E$2010,$C49,'LAC 102_Wkst'!$G$7:$G$2010,$D49,'LAC 102_Wkst'!$L$7:$L$2010,"05",'LAC 102_Wkst'!$N$7:$N$2010,"P3")+SUMIFS('LAC 102_Wkst'!$Q$7:$Q$2010,'LAC 102_Wkst'!$E$7:$E$2010,$C49,'LAC 102_Wkst'!$G$7:$G$2010,$D49,'LAC 102_Wkst'!$L$7:$L$2010,"06",'LAC 102_Wkst'!$N$7:$N$2010,"P2")+SUMIFS('LAC 102_Wkst'!$Q$7:$Q$2010,'LAC 102_Wkst'!$E$7:$E$2010,$C49,'LAC 102_Wkst'!$G$7:$G$2010,$D49,'LAC 102_Wkst'!$L$7:$L$2010,"06",'LAC 102_Wkst'!$N$7:$N$2010,"P3")</f>
        <v>0</v>
      </c>
      <c r="U49" s="411">
        <f>SUMIFS('LAC 102_Wkst'!$AE$7:$AE$2010,'LAC 102_Wkst'!$E$7:$E$2010,$C49,'LAC 102_Wkst'!$G$7:$G$2010,$D49,'LAC 102_Wkst'!$L$7:$L$2010,"05",'LAC 102_Wkst'!$N$7:$N$2010,"P2")+SUMIFS('LAC 102_Wkst'!$AE$7:$AE$2010,'LAC 102_Wkst'!$E$7:$E$2010,$C49,'LAC 102_Wkst'!$G$7:$G$2010,$D49,'LAC 102_Wkst'!$L$7:$L$2010,"06",'LAC 102_Wkst'!$N$7:$N$2010,"P3")+SUMIFS('LAC 102_Wkst'!$AE$7:$AE$2010,'LAC 102_Wkst'!$E$7:$E$2010,$C49,'LAC 102_Wkst'!$G$7:$G$2010,$D49,'LAC 102_Wkst'!$L$7:$L$2010,"05",'LAC 102_Wkst'!$N$7:$N$2010,"P2")+SUMIFS('LAC 102_Wkst'!$AE$7:$AE$2010,'LAC 102_Wkst'!$E$7:$E$2010,$C49,'LAC 102_Wkst'!$G$7:$G$2010,$D49,'LAC 102_Wkst'!$L$7:$L$2010,"06",'LAC 102_Wkst'!$N$7:$N$2010,"P3")</f>
        <v>0</v>
      </c>
      <c r="V49" s="410">
        <f>SUMIFS('LAC 102_Wkst'!$Q$7:$Q$2010,'LAC 102_Wkst'!$E$7:$E$2010,$C49,'LAC 102_Wkst'!$G$7:$G$2010,$D49,'LAC 102_Wkst'!$L$7:$L$2010,"05",'LAC 102_Wkst'!$N$7:$N$2010,"P4")+SUMIFS('LAC 102_Wkst'!$Q$7:$Q$2010,'LAC 102_Wkst'!$E$7:$E$2010,$C49,'LAC 102_Wkst'!$G$7:$G$2010,$D49,'LAC 102_Wkst'!$L$7:$L$2010,"06",'LAC 102_Wkst'!$N$7:$N$2010,"P4")</f>
        <v>0</v>
      </c>
      <c r="W49" s="411">
        <f>SUMIFS('LAC 102_Wkst'!$AE$7:$AE$2010,'LAC 102_Wkst'!$E$7:$E$2010,$C49,'LAC 102_Wkst'!$G$7:$G$2010,$D49,'LAC 102_Wkst'!$L$7:$L$2010,"05",'LAC 102_Wkst'!$N$7:$N$2010,"P4")+SUMIFS('LAC 102_Wkst'!$AE$7:$AE$2010,'LAC 102_Wkst'!$E$7:$E$2010,$C49,'LAC 102_Wkst'!$G$7:$G$2010,$D49,'LAC 102_Wkst'!$L$7:$L$2010,"06",'LAC 102_Wkst'!$N$7:$N$2010,"P4")</f>
        <v>0</v>
      </c>
      <c r="X49" s="410">
        <f>SUMIFS('LAC 102_Wkst'!$Q$7:$Q$2010,'LAC 102_Wkst'!$E$7:$E$2010,$C49,'LAC 102_Wkst'!$G$7:$G$2010,$D49,'LAC 102_Wkst'!$L$7:$L$2010,"05",'LAC 102_Wkst'!$N$7:$N$2010,"P5")+SUMIFS('LAC 102_Wkst'!$Q$7:$Q$2010,'LAC 102_Wkst'!$E$7:$E$2010,$C49,'LAC 102_Wkst'!$G$7:$G$2010,$D49,'LAC 102_Wkst'!$L$7:$L$2010,"06",'LAC 102_Wkst'!$N$7:$N$2010,"P5")</f>
        <v>0</v>
      </c>
      <c r="Y49" s="411">
        <f>SUMIFS('LAC 102_Wkst'!$AE$7:$AE$2010,'LAC 102_Wkst'!$E$7:$E$2010,$C49,'LAC 102_Wkst'!$G$7:$G$2010,$D49,'LAC 102_Wkst'!$L$7:$L$2010,"05",'LAC 102_Wkst'!$N$7:$N$2010,"P5")+SUMIFS('LAC 102_Wkst'!$AE$7:$AE$2010,'LAC 102_Wkst'!$E$7:$E$2010,$C49,'LAC 102_Wkst'!$G$7:$G$2010,$D49,'LAC 102_Wkst'!$L$7:$L$2010,"06",'LAC 102_Wkst'!$N$7:$N$2010,"P5")</f>
        <v>0</v>
      </c>
      <c r="Z49" s="410">
        <f>SUMIFS('LAC 102_Wkst'!$Q$7:$Q$2010,'LAC 102_Wkst'!$E$7:$E$2010,$C49,'LAC 102_Wkst'!$G$7:$G$2010,$D49,'LAC 102_Wkst'!$L$7:$L$2010,"07",'LAC 102_Wkst'!$N$7:$N$2010,"P1")+SUMIFS('LAC 102_Wkst'!$Q$7:$Q$2010,'LAC 102_Wkst'!$E$7:$E$2010,$C49,'LAC 102_Wkst'!$G$7:$G$2010,$D49,'LAC 102_Wkst'!$L$7:$L$2010,"07",'LAC 102_Wkst'!$N$7:$N$2010,"P2")+SUMIFS('LAC 102_Wkst'!$Q$7:$Q$2010,'LAC 102_Wkst'!$E$7:$E$2010,$C49,'LAC 102_Wkst'!$G$7:$G$2010,$D49,'LAC 102_Wkst'!$L$7:$L$2010,"07",'LAC 102_Wkst'!$N$7:$N$2010,"P3")</f>
        <v>0</v>
      </c>
      <c r="AA49" s="411">
        <f>SUMIFS('LAC 102_Wkst'!$AE$7:$AE$2010,'LAC 102_Wkst'!$E$7:$E$2010,$C49,'LAC 102_Wkst'!$G$7:$G$2010,$D49,'LAC 102_Wkst'!$L$7:$L$2010,"07",'LAC 102_Wkst'!$N$7:$N$2010,"P1")+SUMIFS('LAC 102_Wkst'!$AE$7:$AE$2010,'LAC 102_Wkst'!$E$7:$E$2010,$C49,'LAC 102_Wkst'!$G$7:$G$2010,$D49,'LAC 102_Wkst'!$L$7:$L$2010,"07",'LAC 102_Wkst'!$N$7:$N$2010,"P2")+SUMIFS('LAC 102_Wkst'!$AE$7:$AE$2010,'LAC 102_Wkst'!$E$7:$E$2010,$C49,'LAC 102_Wkst'!$G$7:$G$2010,$D49,'LAC 102_Wkst'!$L$7:$L$2010,"07",'LAC 102_Wkst'!$N$7:$N$2010,"P3")</f>
        <v>0</v>
      </c>
      <c r="AB49" s="410">
        <f>SUMIFS('LAC 102_Wkst'!$Q$7:$Q$2010,'LAC 102_Wkst'!$E$7:$E$2010,$C49,'LAC 102_Wkst'!$G$7:$G$2010,$D49,'LAC 102_Wkst'!$L$7:$L$2010,"07",'LAC 102_Wkst'!$N$7:$N$2010,"P4")</f>
        <v>0</v>
      </c>
      <c r="AC49" s="411">
        <f>SUMIFS('LAC 102_Wkst'!$AE$7:$AE$2010,'LAC 102_Wkst'!$E$7:$E$2010,$C49,'LAC 102_Wkst'!$G$7:$G$2010,$D49,'LAC 102_Wkst'!$L$7:$L$2010,"07",'LAC 102_Wkst'!$N$7:$N$2010,"P4")</f>
        <v>0</v>
      </c>
      <c r="AD49" s="410">
        <f>SUMIFS('LAC 102_Wkst'!$Q$7:$Q$2010,'LAC 102_Wkst'!$E$7:$E$2010,$C49,'LAC 102_Wkst'!$G$7:$G$2010,$D49,'LAC 102_Wkst'!$L$7:$L$2010,"07",'LAC 102_Wkst'!$N$7:$N$2010,"P5")</f>
        <v>0</v>
      </c>
      <c r="AE49" s="411">
        <f>SUMIFS('LAC 102_Wkst'!$AE$7:$AE$2010,'LAC 102_Wkst'!$E$7:$E$2010,$C49,'LAC 102_Wkst'!$G$7:$G$2010,$D49,'LAC 102_Wkst'!$L$7:$L$2010,"07",'LAC 102_Wkst'!$N$7:$N$2010,"P5")</f>
        <v>0</v>
      </c>
      <c r="AF49" s="410">
        <f>SUMIFS('LAC 102_Wkst'!$Q$7:$Q$2010,'LAC 102_Wkst'!$E$7:$E$2010,$C49,'LAC 102_Wkst'!$G$7:$G$2010,$D49,'LAC 102_Wkst'!$L$7:$L$2010,"08",'LAC 102_Wkst'!$N$7:$N$2010,"P1")+SUMIFS('LAC 102_Wkst'!$Q$7:$Q$2010,'LAC 102_Wkst'!$E$7:$E$2010,$C49,'LAC 102_Wkst'!$G$7:$G$2010,$D49,'LAC 102_Wkst'!$L$7:$L$2010,"08",'LAC 102_Wkst'!$N$7:$N$2010,"P2")+SUMIFS('LAC 102_Wkst'!$Q$7:$Q$2010,'LAC 102_Wkst'!$E$7:$E$2010,$C49,'LAC 102_Wkst'!$G$7:$G$2010,$D49,'LAC 102_Wkst'!$L$7:$L$2010,"08",'LAC 102_Wkst'!$N$7:$N$2010,"P3")</f>
        <v>0</v>
      </c>
      <c r="AG49" s="411">
        <f>SUMIFS('LAC 102_Wkst'!$AE$7:$AE$2010,'LAC 102_Wkst'!$E$7:$E$2010,$C49,'LAC 102_Wkst'!$G$7:$G$2010,$D49,'LAC 102_Wkst'!$L$7:$L$2010,"08",'LAC 102_Wkst'!$N$7:$N$2010,"P1")+SUMIFS('LAC 102_Wkst'!$AE$7:$AE$2010,'LAC 102_Wkst'!$E$7:$E$2010,$C49,'LAC 102_Wkst'!$G$7:$G$2010,$D49,'LAC 102_Wkst'!$L$7:$L$2010,"08",'LAC 102_Wkst'!$N$7:$N$2010,"P2")+SUMIFS('LAC 102_Wkst'!$AE$7:$AE$2010,'LAC 102_Wkst'!$E$7:$E$2010,$C49,'LAC 102_Wkst'!$G$7:$G$2010,$D49,'LAC 102_Wkst'!$L$7:$L$2010,"08",'LAC 102_Wkst'!$N$7:$N$2010,"P3")</f>
        <v>0</v>
      </c>
      <c r="AH49" s="410">
        <f>SUMIFS('LAC 102_Wkst'!$Q$7:$Q$2010,'LAC 102_Wkst'!$E$7:$E$2010,$C49,'LAC 102_Wkst'!$G$7:$G$2010,$D49,'LAC 102_Wkst'!$L$7:$L$2010,"08",'LAC 102_Wkst'!$N$7:$N$2010,"P4")</f>
        <v>0</v>
      </c>
      <c r="AI49" s="411">
        <f>SUMIFS('LAC 102_Wkst'!$AE$7:$AE$2010,'LAC 102_Wkst'!$E$7:$E$2010,$C49,'LAC 102_Wkst'!$G$7:$G$2010,$D49,'LAC 102_Wkst'!$L$7:$L$2010,"08",'LAC 102_Wkst'!$N$7:$N$2010,"P4")</f>
        <v>0</v>
      </c>
      <c r="AJ49" s="410">
        <f>SUMIFS('LAC 102_Wkst'!$Q$7:$Q$2010,'LAC 102_Wkst'!$E$7:$E$2010,$C49,'LAC 102_Wkst'!$G$7:$G$2010,$D49,'LAC 102_Wkst'!$L$7:$L$2010,"08",'LAC 102_Wkst'!$N$7:$N$2010,"P5")</f>
        <v>0</v>
      </c>
      <c r="AK49" s="411">
        <f>SUMIFS('LAC 102_Wkst'!$AE$7:$AE$2010,'LAC 102_Wkst'!$E$7:$E$2010,$C49,'LAC 102_Wkst'!$G$7:$G$2010,$D49,'LAC 102_Wkst'!$L$7:$L$2010,"08",'LAC 102_Wkst'!$N$7:$N$2010,"P5")</f>
        <v>0</v>
      </c>
      <c r="AL49" s="410">
        <f>SUMIFS('LAC 102_Wkst'!$Q$7:$Q$2010,'LAC 102_Wkst'!$E$7:$E$2010,$C49,'LAC 102_Wkst'!$G$7:$G$2010,$D49,'LAC 102_Wkst'!$L$7:$L$2010,"09",'LAC 102_Wkst'!$N$7:$N$2010,"P1")+SUMIFS('LAC 102_Wkst'!$Q$7:$Q$2010,'LAC 102_Wkst'!$E$7:$E$2010,$C49,'LAC 102_Wkst'!$G$7:$G$2010,$D49,'LAC 102_Wkst'!$L$7:$L$2010,"09",'LAC 102_Wkst'!$N$7:$N$2010,"P2")+SUMIFS('LAC 102_Wkst'!$Q$7:$Q$2010,'LAC 102_Wkst'!$E$7:$E$2010,$C49,'LAC 102_Wkst'!$G$7:$G$2010,$D49,'LAC 102_Wkst'!$L$7:$L$2010,"09",'LAC 102_Wkst'!$N$7:$N$2010,"P3")+SUMIFS('LAC 102_Wkst'!$Q$7:$Q$2010,'LAC 102_Wkst'!$E$7:$E$2010,$C49,'LAC 102_Wkst'!$G$7:$G$2010,$D49,'LAC 102_Wkst'!$L$7:$L$2010,"09",'LAC 102_Wkst'!$N$7:$N$2010,"P4")</f>
        <v>0</v>
      </c>
      <c r="AM49" s="411">
        <f>SUMIFS('LAC 102_Wkst'!$AE$7:$AE$2010,'LAC 102_Wkst'!$E$7:$E$2010,$C49,'LAC 102_Wkst'!$G$7:$G$2010,$D49,'LAC 102_Wkst'!$L$7:$L$2010,"09",'LAC 102_Wkst'!$N$7:$N$2010,"P1")+SUMIFS('LAC 102_Wkst'!$AE$7:$AE$2010,'LAC 102_Wkst'!$E$7:$E$2010,$C49,'LAC 102_Wkst'!$G$7:$G$2010,$D49,'LAC 102_Wkst'!$L$7:$L$2010,"09",'LAC 102_Wkst'!$N$7:$N$2010,"P2")+SUMIFS('LAC 102_Wkst'!$AE$7:$AE$2010,'LAC 102_Wkst'!$E$7:$E$2010,$C49,'LAC 102_Wkst'!$G$7:$G$2010,$D49,'LAC 102_Wkst'!$L$7:$L$2010,"09",'LAC 102_Wkst'!$N$7:$N$2010,"P3")+SUMIFS('LAC 102_Wkst'!$AE$7:$AE$2010,'LAC 102_Wkst'!$E$7:$E$2010,$C49,'LAC 102_Wkst'!$G$7:$G$2010,$D49,'LAC 102_Wkst'!$L$7:$L$2010,"09",'LAC 102_Wkst'!$N$7:$N$2010,"P4")</f>
        <v>0</v>
      </c>
      <c r="AN49" s="410">
        <f>SUMIFS('LAC 102_Wkst'!$Q$7:$Q$2010,'LAC 102_Wkst'!$E$7:$E$2010,$C49,'LAC 102_Wkst'!$G$7:$G$2010,$D49,'LAC 102_Wkst'!$L$7:$L$2010,"09",'LAC 102_Wkst'!$N$7:$N$2010,"P5")</f>
        <v>0</v>
      </c>
      <c r="AO49" s="411">
        <f>SUMIFS('LAC 102_Wkst'!$AE$7:$AE$2010,'LAC 102_Wkst'!$E$7:$E$2010,$C49,'LAC 102_Wkst'!$G$7:$G$2010,$D49,'LAC 102_Wkst'!$L$7:$L$2010,"09",'LAC 102_Wkst'!$N$7:$N$2010,"P5")</f>
        <v>0</v>
      </c>
      <c r="AP49" s="410">
        <f>SUMIFS('LAC 102_Wkst'!$Q$7:$Q$2010,'LAC 102_Wkst'!$E$7:$E$2010,$C49,'LAC 102_Wkst'!$G$7:$G$2010,$D49,'LAC 102_Wkst'!$L$7:$L$2010,"10",'LAC 102_Wkst'!$N$7:$N$2010,"P1")+SUMIFS('LAC 102_Wkst'!$Q$7:$Q$2010,'LAC 102_Wkst'!$E$7:$E$2010,$C49,'LAC 102_Wkst'!$G$7:$G$2010,$D49,'LAC 102_Wkst'!$L$7:$L$2010,"10",'LAC 102_Wkst'!$N$7:$N$2010,"P2")+SUMIFS('LAC 102_Wkst'!$Q$7:$Q$2010,'LAC 102_Wkst'!$E$7:$E$2010,$C49,'LAC 102_Wkst'!$G$7:$G$2010,$D49,'LAC 102_Wkst'!$L$7:$L$2010,"10",'LAC 102_Wkst'!$N$7:$N$2010,"P3")+SUMIFS('LAC 102_Wkst'!$Q$7:$Q$2010,'LAC 102_Wkst'!$E$7:$E$2010,$C49,'LAC 102_Wkst'!$G$7:$G$2010,$D49,'LAC 102_Wkst'!$L$7:$L$2010,"10",'LAC 102_Wkst'!$N$7:$N$2010,"P4")</f>
        <v>0</v>
      </c>
      <c r="AQ49" s="411">
        <f>SUMIFS('LAC 102_Wkst'!$AE$7:$AE$2010,'LAC 102_Wkst'!$E$7:$E$2010,$C49,'LAC 102_Wkst'!$G$7:$G$2010,$D49,'LAC 102_Wkst'!$L$7:$L$2010,"10",'LAC 102_Wkst'!$N$7:$N$2010,"P1")+SUMIFS('LAC 102_Wkst'!$AE$7:$AE$2010,'LAC 102_Wkst'!$E$7:$E$2010,$C49,'LAC 102_Wkst'!$G$7:$G$2010,$D49,'LAC 102_Wkst'!$L$7:$L$2010,"10",'LAC 102_Wkst'!$N$7:$N$2010,"P2")+SUMIFS('LAC 102_Wkst'!$AE$7:$AE$2010,'LAC 102_Wkst'!$E$7:$E$2010,$C49,'LAC 102_Wkst'!$G$7:$G$2010,$D49,'LAC 102_Wkst'!$L$7:$L$2010,"10",'LAC 102_Wkst'!$N$7:$N$2010,"P3")+SUMIFS('LAC 102_Wkst'!$AE$7:$AE$2010,'LAC 102_Wkst'!$E$7:$E$2010,$C49,'LAC 102_Wkst'!$G$7:$G$2010,$D49,'LAC 102_Wkst'!$L$7:$L$2010,"10",'LAC 102_Wkst'!$N$7:$N$2010,"P4")</f>
        <v>0</v>
      </c>
      <c r="AR49" s="410">
        <f>SUMIFS('LAC 102_Wkst'!$Q$7:$Q$2010,'LAC 102_Wkst'!$E$7:$E$2010,$C49,'LAC 102_Wkst'!$G$7:$G$2010,$D49,'LAC 102_Wkst'!$L$7:$L$2010,"10",'LAC 102_Wkst'!$N$7:$N$2010,"P5")</f>
        <v>0</v>
      </c>
      <c r="AS49" s="411">
        <f>SUMIFS('LAC 102_Wkst'!$AE$7:$AE$2010,'LAC 102_Wkst'!$E$7:$E$2010,$C49,'LAC 102_Wkst'!$G$7:$G$2010,$D49,'LAC 102_Wkst'!$L$7:$L$2010,"10",'LAC 102_Wkst'!$N$7:$N$2010,"P5")</f>
        <v>0</v>
      </c>
      <c r="AT49" s="410">
        <f>SUMIFS('LAC 102_Wkst'!$Q$7:$Q$2010,'LAC 102_Wkst'!$E$7:$E$2010,$C49,'LAC 102_Wkst'!$G$7:$G$2010,$D49,'LAC 102_Wkst'!$L$7:$L$2010,"11",'LAC 102_Wkst'!$N$7:$N$2010,"P1")+SUMIFS('LAC 102_Wkst'!$Q$7:$Q$2010,'LAC 102_Wkst'!$E$7:$E$2010,$C49,'LAC 102_Wkst'!$G$7:$G$2010,$D49,'LAC 102_Wkst'!$L$7:$L$2010,"12",'LAC 102_Wkst'!$N$7:$N$2010,"P1")</f>
        <v>0</v>
      </c>
      <c r="AU49" s="411">
        <f>SUMIFS('LAC 102_Wkst'!$AE$7:$AE$2010,'LAC 102_Wkst'!$E$7:$E$2010,$C49,'LAC 102_Wkst'!$G$7:$G$2010,$D49,'LAC 102_Wkst'!$L$7:$L$2010,"11",'LAC 102_Wkst'!$N$7:$N$2010,"P1")+SUMIFS('LAC 102_Wkst'!$AE$7:$AE$2010,'LAC 102_Wkst'!$E$7:$E$2010,$C49,'LAC 102_Wkst'!$G$7:$G$2010,$D49,'LAC 102_Wkst'!$L$7:$L$2010,"12",'LAC 102_Wkst'!$N$7:$N$2010,"P1")</f>
        <v>0</v>
      </c>
      <c r="AV49" s="410">
        <f>SUMIFS('LAC 102_Wkst'!$Q$7:$Q$2010,'LAC 102_Wkst'!$E$7:$E$2010,$C49,'LAC 102_Wkst'!$G$7:$G$2010,$D49,'LAC 102_Wkst'!$L$7:$L$2010,"11",'LAC 102_Wkst'!$N$7:$N$2010,"P2")+SUMIFS('LAC 102_Wkst'!$Q$7:$Q$2010,'LAC 102_Wkst'!$E$7:$E$2010,$C49,'LAC 102_Wkst'!$G$7:$G$2010,$D49,'LAC 102_Wkst'!$L$7:$L$2010,"12",'LAC 102_Wkst'!$N$7:$N$2010,"P3")+SUMIFS('LAC 102_Wkst'!$Q$7:$Q$2010,'LAC 102_Wkst'!$E$7:$E$2010,$C49,'LAC 102_Wkst'!$G$7:$G$2010,$D49,'LAC 102_Wkst'!$L$7:$L$2010,"11",'LAC 102_Wkst'!$N$7:$N$2010,"P2")+SUMIFS('LAC 102_Wkst'!$Q$7:$Q$2010,'LAC 102_Wkst'!$E$7:$E$2010,$C49,'LAC 102_Wkst'!$G$7:$G$2010,$D49,'LAC 102_Wkst'!$L$7:$L$2010,"12",'LAC 102_Wkst'!$N$7:$N$2010,"P3")</f>
        <v>0</v>
      </c>
      <c r="AW49" s="411">
        <f>SUMIFS('LAC 102_Wkst'!$AE$7:$AE$2010,'LAC 102_Wkst'!$E$7:$E$2010,$C49,'LAC 102_Wkst'!$G$7:$G$2010,$D49,'LAC 102_Wkst'!$L$7:$L$2010,"11",'LAC 102_Wkst'!$N$7:$N$2010,"P2")+SUMIFS('LAC 102_Wkst'!$AE$7:$AE$2010,'LAC 102_Wkst'!$E$7:$E$2010,$C49,'LAC 102_Wkst'!$G$7:$G$2010,$D49,'LAC 102_Wkst'!$L$7:$L$2010,"12",'LAC 102_Wkst'!$N$7:$N$2010,"P3")+SUMIFS('LAC 102_Wkst'!$AE$7:$AE$2010,'LAC 102_Wkst'!$E$7:$E$2010,$C49,'LAC 102_Wkst'!$G$7:$G$2010,$D49,'LAC 102_Wkst'!$L$7:$L$2010,"11",'LAC 102_Wkst'!$N$7:$N$2010,"P2")+SUMIFS('LAC 102_Wkst'!$AE$7:$AE$2010,'LAC 102_Wkst'!$E$7:$E$2010,$C49,'LAC 102_Wkst'!$G$7:$G$2010,$D49,'LAC 102_Wkst'!$L$7:$L$2010,"12",'LAC 102_Wkst'!$N$7:$N$2010,"P3")</f>
        <v>0</v>
      </c>
      <c r="AX49" s="410">
        <f>SUMIFS('LAC 102_Wkst'!$Q$7:$Q$2010,'LAC 102_Wkst'!$E$7:$E$2010,$C49,'LAC 102_Wkst'!$G$7:$G$2010,$D49,'LAC 102_Wkst'!$L$7:$L$2010,"11",'LAC 102_Wkst'!$N$7:$N$2010,"P4")+SUMIFS('LAC 102_Wkst'!$Q$7:$Q$2010,'LAC 102_Wkst'!$E$7:$E$2010,$C49,'LAC 102_Wkst'!$G$7:$G$2010,$D49,'LAC 102_Wkst'!$L$7:$L$2010,"12",'LAC 102_Wkst'!$N$7:$N$2010,"P4")</f>
        <v>0</v>
      </c>
      <c r="AY49" s="411">
        <f>SUMIFS('LAC 102_Wkst'!$AE$7:$AE$2010,'LAC 102_Wkst'!$E$7:$E$2010,$C49,'LAC 102_Wkst'!$G$7:$G$2010,$D49,'LAC 102_Wkst'!$L$7:$L$2010,"11",'LAC 102_Wkst'!$N$7:$N$2010,"P4")+SUMIFS('LAC 102_Wkst'!$AE$7:$AE$2010,'LAC 102_Wkst'!$E$7:$E$2010,$C49,'LAC 102_Wkst'!$G$7:$G$2010,$D49,'LAC 102_Wkst'!$L$7:$L$2010,"12",'LAC 102_Wkst'!$N$7:$N$2010,"P4")</f>
        <v>0</v>
      </c>
      <c r="AZ49" s="410">
        <f>SUMIFS('LAC 102_Wkst'!$Q$7:$Q$2010,'LAC 102_Wkst'!$E$7:$E$2010,$C49,'LAC 102_Wkst'!$G$7:$G$2010,$D49,'LAC 102_Wkst'!$L$7:$L$2010,"11",'LAC 102_Wkst'!$N$7:$N$2010,"P5")+SUMIFS('LAC 102_Wkst'!$Q$7:$Q$2010,'LAC 102_Wkst'!$E$7:$E$2010,$C49,'LAC 102_Wkst'!$G$7:$G$2010,$D49,'LAC 102_Wkst'!$L$7:$L$2010,"12",'LAC 102_Wkst'!$N$7:$N$2010,"P5")</f>
        <v>0</v>
      </c>
      <c r="BA49" s="411">
        <f>SUMIFS('LAC 102_Wkst'!$AE$7:$AE$2010,'LAC 102_Wkst'!$E$7:$E$2010,$C49,'LAC 102_Wkst'!$G$7:$G$2010,$D49,'LAC 102_Wkst'!$L$7:$L$2010,"11",'LAC 102_Wkst'!$N$7:$N$2010,"P5")+SUMIFS('LAC 102_Wkst'!$AE$7:$AE$2010,'LAC 102_Wkst'!$E$7:$E$2010,$C49,'LAC 102_Wkst'!$G$7:$G$2010,$D49,'LAC 102_Wkst'!$L$7:$L$2010,"12",'LAC 102_Wkst'!$N$7:$N$2010,"P5")</f>
        <v>0</v>
      </c>
      <c r="BB49" s="410">
        <f>SUMIFS('LAC 102_Wkst'!$Q$7:$Q$2010,'LAC 102_Wkst'!$E$7:$E$2010,$C49,'LAC 102_Wkst'!$G$7:$G$2010,$D49,'LAC 102_Wkst'!$L$7:$L$2010,"13",'LAC 102_Wkst'!$N$7:$N$2010,"P1")+SUMIFS('LAC 102_Wkst'!$Q$7:$Q$2010,'LAC 102_Wkst'!$E$7:$E$2010,$C49,'LAC 102_Wkst'!$G$7:$G$2010,$D49,'LAC 102_Wkst'!$L$7:$L$2010,"13",'LAC 102_Wkst'!$N$7:$N$2010,"P2")+SUMIFS('LAC 102_Wkst'!$Q$7:$Q$2010,'LAC 102_Wkst'!$E$7:$E$2010,$C49,'LAC 102_Wkst'!$G$7:$G$2010,$D49,'LAC 102_Wkst'!$L$7:$L$2010,"13",'LAC 102_Wkst'!$N$7:$N$2010,"P3")+SUMIFS('LAC 102_Wkst'!$Q$7:$Q$2010,'LAC 102_Wkst'!$E$7:$E$2010,$C49,'LAC 102_Wkst'!$G$7:$G$2010,$D49,'LAC 102_Wkst'!$L$7:$L$2010,"13",'LAC 102_Wkst'!$N$7:$N$2010,"P4")</f>
        <v>0</v>
      </c>
      <c r="BC49" s="411">
        <f>SUMIFS('LAC 102_Wkst'!$AE$7:$AE$2010,'LAC 102_Wkst'!$E$7:$E$2010,$C49,'LAC 102_Wkst'!$G$7:$G$2010,$D49,'LAC 102_Wkst'!$L$7:$L$2010,"13",'LAC 102_Wkst'!$N$7:$N$2010,"P1")+SUMIFS('LAC 102_Wkst'!$AE$7:$AE$2010,'LAC 102_Wkst'!$E$7:$E$2010,$C49,'LAC 102_Wkst'!$G$7:$G$2010,$D49,'LAC 102_Wkst'!$L$7:$L$2010,"13",'LAC 102_Wkst'!$N$7:$N$2010,"P2")+SUMIFS('LAC 102_Wkst'!$AE$7:$AE$2010,'LAC 102_Wkst'!$E$7:$E$2010,$C49,'LAC 102_Wkst'!$G$7:$G$2010,$D49,'LAC 102_Wkst'!$L$7:$L$2010,"13",'LAC 102_Wkst'!$N$7:$N$2010,"P3")+SUMIFS('LAC 102_Wkst'!$AE$7:$AE$2010,'LAC 102_Wkst'!$E$7:$E$2010,$C49,'LAC 102_Wkst'!$G$7:$G$2010,$D49,'LAC 102_Wkst'!$L$7:$L$2010,"13",'LAC 102_Wkst'!$N$7:$N$2010,"P4")</f>
        <v>0</v>
      </c>
      <c r="BD49" s="410">
        <f>SUMIFS('LAC 102_Wkst'!$Q$7:$Q$2010,'LAC 102_Wkst'!$E$7:$E$2010,$C49,'LAC 102_Wkst'!$G$7:$G$2010,$D49,'LAC 102_Wkst'!$L$7:$L$2010,"13",'LAC 102_Wkst'!$N$7:$N$2010,"P5")</f>
        <v>0</v>
      </c>
      <c r="BE49" s="411">
        <f>SUMIFS('LAC 102_Wkst'!$AE$7:$AE$2010,'LAC 102_Wkst'!$E$7:$E$2010,$C49,'LAC 102_Wkst'!$G$7:$G$2010,$D49,'LAC 102_Wkst'!$L$7:$L$2010,"13",'LAC 102_Wkst'!$N$7:$N$2010,"P5")</f>
        <v>0</v>
      </c>
      <c r="BF49" s="407">
        <f t="shared" si="0"/>
        <v>0</v>
      </c>
    </row>
    <row r="50" spans="1:58" x14ac:dyDescent="0.2">
      <c r="A50" s="401">
        <v>31</v>
      </c>
      <c r="B50" s="1236"/>
      <c r="C50" s="1235"/>
      <c r="D50" s="1237"/>
      <c r="E50" s="1222">
        <f>IF(CONCATENATE(C50,D50)&gt;"6069",1,SUMIFS('LAC 102_Wkst'!$Q$7:$Q$2010,'LAC 102_Wkst'!$E$7:$E$2010,Schedule_B!$C50,'LAC 102_Wkst'!$G$7:$G$2010,Schedule_B!$D50))</f>
        <v>0</v>
      </c>
      <c r="F50" s="408">
        <f>SUMIFS('LAC 102_Wkst'!$Q$7:$Q$2010,'LAC 102_Wkst'!$E$7:$E$2010,$C50,'LAC 102_Wkst'!$G$7:$G$2010,$D50,'LAC 102_Wkst'!$L$7:$L$2010,"01",'LAC 102_Wkst'!$N$7:$N$2010,"P1")+SUMIFS('LAC 102_Wkst'!$Q$7:$Q$2010,'LAC 102_Wkst'!$E$7:$E$2010,$C50,'LAC 102_Wkst'!$G$7:$G$2010,$D50,'LAC 102_Wkst'!$L$7:$L$2010,"01",'LAC 102_Wkst'!$N$7:$N$2010,"P2")+SUMIFS('LAC 102_Wkst'!$Q$7:$Q$2010,'LAC 102_Wkst'!$E$7:$E$2010,$C50,'LAC 102_Wkst'!$G$7:$G$2010,$D50,'LAC 102_Wkst'!$L$7:$L$2010,"01",'LAC 102_Wkst'!$N$7:$N$2010,"P3")+SUMIFS('LAC 102_Wkst'!$Q$7:$Q$2010,'LAC 102_Wkst'!$E$7:$E$2010,$C50,'LAC 102_Wkst'!$G$7:$G$2010,$D50,'LAC 102_Wkst'!$L$7:$L$2010,"02",'LAC 102_Wkst'!$N$7:$N$2010,"P1")+SUMIFS('LAC 102_Wkst'!$Q$7:$Q$2010,'LAC 102_Wkst'!$E$7:$E$2010,$C50,'LAC 102_Wkst'!$G$7:$G$2010,$D50,'LAC 102_Wkst'!$L$7:$L$2010,"02",'LAC 102_Wkst'!$N$7:$N$2010,"P2")+SUMIFS('LAC 102_Wkst'!$Q$7:$Q$2010,'LAC 102_Wkst'!$E$7:$E$2010,$C50,'LAC 102_Wkst'!$G$7:$G$2010,$D50,'LAC 102_Wkst'!$L$7:$L$2010,"02",'LAC 102_Wkst'!$N$7:$N$2010,"P3")</f>
        <v>0</v>
      </c>
      <c r="G50" s="409">
        <f>SUMIFS('LAC 102_Wkst'!$AE$7:$AE$2010,'LAC 102_Wkst'!$E$7:$E$2010,$C50,'LAC 102_Wkst'!$G$7:$G$2010,$D50,'LAC 102_Wkst'!$L$7:$L$2010,"01",'LAC 102_Wkst'!$N$7:$N$2010,"P1")+SUMIFS('LAC 102_Wkst'!$AE$7:$AE$2010,'LAC 102_Wkst'!$E$7:$E$2010,$C50,'LAC 102_Wkst'!$G$7:$G$2010,$D50,'LAC 102_Wkst'!$L$7:$L$2010,"01",'LAC 102_Wkst'!$N$7:$N$2010,"P2")+SUMIFS('LAC 102_Wkst'!$AE$7:$AE$2010,'LAC 102_Wkst'!$E$7:$E$2010,$C50,'LAC 102_Wkst'!$G$7:$G$2010,$D50,'LAC 102_Wkst'!$L$7:$L$2010,"01",'LAC 102_Wkst'!$N$7:$N$2010,"P3")+SUMIFS('LAC 102_Wkst'!$AE$7:$AE$2010,'LAC 102_Wkst'!$E$7:$E$2010,$C50,'LAC 102_Wkst'!$G$7:$G$2010,$D50,'LAC 102_Wkst'!$L$7:$L$2010,"02",'LAC 102_Wkst'!$N$7:$N$2010,"P1")+SUMIFS('LAC 102_Wkst'!$AE$7:$AE$2010,'LAC 102_Wkst'!$E$7:$E$2010,$C50,'LAC 102_Wkst'!$G$7:$G$2010,$D50,'LAC 102_Wkst'!$L$7:$L$2010,"02",'LAC 102_Wkst'!$N$7:$N$2010,"P2")+SUMIFS('LAC 102_Wkst'!$AE$7:$AE$2010,'LAC 102_Wkst'!$E$7:$E$2010,$C50,'LAC 102_Wkst'!$G$7:$G$2010,$D50,'LAC 102_Wkst'!$L$7:$L$2010,"02",'LAC 102_Wkst'!$N$7:$N$2010,"P3")</f>
        <v>0</v>
      </c>
      <c r="H50" s="410">
        <f>SUMIFS('LAC 102_Wkst'!$Q$7:$Q$2010,'LAC 102_Wkst'!$E$7:$E$2010,$C50,'LAC 102_Wkst'!$G$7:$G$2010,$D50,'LAC 102_Wkst'!$L$7:$L$2010,"01",'LAC 102_Wkst'!$N$7:$N$2010,"P4")+SUMIFS('LAC 102_Wkst'!$Q$7:$Q$2010,'LAC 102_Wkst'!$E$7:$E$2010,$C50,'LAC 102_Wkst'!$G$7:$G$2010,$D50,'LAC 102_Wkst'!$L$7:$L$2010,"02",'LAC 102_Wkst'!$N$7:$N$2010,"P4")</f>
        <v>0</v>
      </c>
      <c r="I50" s="411">
        <f>SUMIFS('LAC 102_Wkst'!$AE$7:$AE$2010,'LAC 102_Wkst'!$E$7:$E$2010,$C50,'LAC 102_Wkst'!$G$7:$G$2010,$D50,'LAC 102_Wkst'!$L$7:$L$2010,"01",'LAC 102_Wkst'!$N$7:$N$2010,"P4")+SUMIFS('LAC 102_Wkst'!$AE$7:$AE$2010,'LAC 102_Wkst'!$E$7:$E$2010,$C50,'LAC 102_Wkst'!$G$7:$G$2010,$D50,'LAC 102_Wkst'!$L$7:$L$2010,"02",'LAC 102_Wkst'!$N$7:$N$2010,"P4")</f>
        <v>0</v>
      </c>
      <c r="J50" s="410">
        <f>SUMIFS('LAC 102_Wkst'!$Q$7:$Q$2010,'LAC 102_Wkst'!$E$7:$E$2010,$C50,'LAC 102_Wkst'!$G$7:$G$2010,$D50,'LAC 102_Wkst'!$L$7:$L$2010,"01",'LAC 102_Wkst'!$N$7:$N$2010,"P5")+SUMIFS('LAC 102_Wkst'!$Q$7:$Q$2010,'LAC 102_Wkst'!$E$7:$E$2010,$C50,'LAC 102_Wkst'!$G$7:$G$2010,$D50,'LAC 102_Wkst'!$L$7:$L$2010,"02",'LAC 102_Wkst'!$N$7:$N$2010,"P5")</f>
        <v>0</v>
      </c>
      <c r="K50" s="411">
        <f>SUMIFS('LAC 102_Wkst'!$AE$7:$AE$2010,'LAC 102_Wkst'!$E$7:$E$2010,$C50,'LAC 102_Wkst'!$G$7:$G$2010,$D50,'LAC 102_Wkst'!$L$7:$L$2010,"01",'LAC 102_Wkst'!$N$7:$N$2010,"P5")+SUMIFS('LAC 102_Wkst'!$AE$7:$AE$2010,'LAC 102_Wkst'!$E$7:$E$2010,$C50,'LAC 102_Wkst'!$G$7:$G$2010,$D50,'LAC 102_Wkst'!$L$7:$L$2010,"02",'LAC 102_Wkst'!$N$7:$N$2010,"P5")</f>
        <v>0</v>
      </c>
      <c r="L50" s="410">
        <f>SUMIFS('LAC 102_Wkst'!$Q$7:$Q$2010,'LAC 102_Wkst'!$E$7:$E$2010,$C50,'LAC 102_Wkst'!$G$7:$G$2010,$D50,'LAC 102_Wkst'!$L$7:$L$2010,"03",'LAC 102_Wkst'!$N$7:$N$2010,"P1")+SUMIFS('LAC 102_Wkst'!$Q$7:$Q$2010,'LAC 102_Wkst'!$E$7:$E$2010,$C50,'LAC 102_Wkst'!$G$7:$G$2010,$D50,'LAC 102_Wkst'!$L$7:$L$2010,"03",'LAC 102_Wkst'!$N$7:$N$2010,"P2")+SUMIFS('LAC 102_Wkst'!$Q$7:$Q$2010,'LAC 102_Wkst'!$E$7:$E$2010,$C50,'LAC 102_Wkst'!$G$7:$G$2010,$D50,'LAC 102_Wkst'!$L$7:$L$2010,"03",'LAC 102_Wkst'!$N$7:$N$2010,"P3")+SUMIFS('LAC 102_Wkst'!$Q$7:$Q$2010,'LAC 102_Wkst'!$E$7:$E$2010,$C50,'LAC 102_Wkst'!$G$7:$G$2010,$D50,'LAC 102_Wkst'!$L$7:$L$2010,"04",'LAC 102_Wkst'!$N$7:$N$2010,"P1")+SUMIFS('LAC 102_Wkst'!$Q$7:$Q$2010,'LAC 102_Wkst'!$E$7:$E$2010,$C50,'LAC 102_Wkst'!$G$7:$G$2010,$D50,'LAC 102_Wkst'!$L$7:$L$2010,"04",'LAC 102_Wkst'!$N$7:$N$2010,"P2")+SUMIFS('LAC 102_Wkst'!$Q$7:$Q$2010,'LAC 102_Wkst'!$E$7:$E$2010,$C50,'LAC 102_Wkst'!$G$7:$G$2010,$D50,'LAC 102_Wkst'!$L$7:$L$2010,"04",'LAC 102_Wkst'!$N$7:$N$2010,"P3")</f>
        <v>0</v>
      </c>
      <c r="M50" s="411">
        <f>SUMIFS('LAC 102_Wkst'!$AE$7:$AE$2010,'LAC 102_Wkst'!$E$7:$E$2010,$C50,'LAC 102_Wkst'!$G$7:$G$2010,$D50,'LAC 102_Wkst'!$L$7:$L$2010,"03",'LAC 102_Wkst'!$N$7:$N$2010,"P1")+SUMIFS('LAC 102_Wkst'!$AE$7:$AE$2010,'LAC 102_Wkst'!$E$7:$E$2010,$C50,'LAC 102_Wkst'!$G$7:$G$2010,$D50,'LAC 102_Wkst'!$L$7:$L$2010,"03",'LAC 102_Wkst'!$N$7:$N$2010,"P2")+SUMIFS('LAC 102_Wkst'!$AE$7:$AE$2010,'LAC 102_Wkst'!$E$7:$E$2010,$C50,'LAC 102_Wkst'!$G$7:$G$2010,$D50,'LAC 102_Wkst'!$L$7:$L$2010,"03",'LAC 102_Wkst'!$N$7:$N$2010,"P3")+SUMIFS('LAC 102_Wkst'!$AE$7:$AE$2010,'LAC 102_Wkst'!$E$7:$E$2010,$C50,'LAC 102_Wkst'!$G$7:$G$2010,$D50,'LAC 102_Wkst'!$L$7:$L$2010,"04",'LAC 102_Wkst'!$N$7:$N$2010,"P1")+SUMIFS('LAC 102_Wkst'!$AE$7:$AE$2010,'LAC 102_Wkst'!$E$7:$E$2010,$C50,'LAC 102_Wkst'!$G$7:$G$2010,$D50,'LAC 102_Wkst'!$L$7:$L$2010,"04",'LAC 102_Wkst'!$N$7:$N$2010,"P2")+SUMIFS('LAC 102_Wkst'!$AE$7:$AE$2010,'LAC 102_Wkst'!$E$7:$E$2010,$C50,'LAC 102_Wkst'!$G$7:$G$2010,$D50,'LAC 102_Wkst'!$L$7:$L$2010,"04",'LAC 102_Wkst'!$N$7:$N$2010,"P3")</f>
        <v>0</v>
      </c>
      <c r="N50" s="410">
        <f>SUMIFS('LAC 102_Wkst'!$Q$7:$Q$2010,'LAC 102_Wkst'!$E$7:$E$2010,$C50,'LAC 102_Wkst'!$G$7:$G$2010,$D50,'LAC 102_Wkst'!$L$7:$L$2010,"03",'LAC 102_Wkst'!$N$7:$N$2010,"P4")+SUMIFS('LAC 102_Wkst'!$Q$7:$Q$2010,'LAC 102_Wkst'!$E$7:$E$2010,$C50,'LAC 102_Wkst'!$G$7:$G$2010,$D50,'LAC 102_Wkst'!$L$7:$L$2010,"04",'LAC 102_Wkst'!$N$7:$N$2010,"P4")</f>
        <v>0</v>
      </c>
      <c r="O50" s="411">
        <f>SUMIFS('LAC 102_Wkst'!$AE$7:$AE$2010,'LAC 102_Wkst'!$E$7:$E$2010,$C50,'LAC 102_Wkst'!$G$7:$G$2010,$D50,'LAC 102_Wkst'!$L$7:$L$2010,"03",'LAC 102_Wkst'!$N$7:$N$2010,"P4")+SUMIFS('LAC 102_Wkst'!$AE$7:$AE$2010,'LAC 102_Wkst'!$E$7:$E$2010,$C50,'LAC 102_Wkst'!$G$7:$G$2010,$D50,'LAC 102_Wkst'!$L$7:$L$2010,"04",'LAC 102_Wkst'!$N$7:$N$2010,"P4")</f>
        <v>0</v>
      </c>
      <c r="P50" s="410">
        <f>SUMIFS('LAC 102_Wkst'!$Q$7:$Q$2010,'LAC 102_Wkst'!$E$7:$E$2010,$C50,'LAC 102_Wkst'!$G$7:$G$2010,$D50,'LAC 102_Wkst'!$L$7:$L$2010,"03",'LAC 102_Wkst'!$N$7:$N$2010,"P5")+SUMIFS('LAC 102_Wkst'!$Q$7:$Q$2010,'LAC 102_Wkst'!$E$7:$E$2010,$C50,'LAC 102_Wkst'!$G$7:$G$2010,$D50,'LAC 102_Wkst'!$L$7:$L$2010,"04",'LAC 102_Wkst'!$N$7:$N$2010,"P5")</f>
        <v>0</v>
      </c>
      <c r="Q50" s="411">
        <f>SUMIFS('LAC 102_Wkst'!$AE$7:$AE$2010,'LAC 102_Wkst'!$E$7:$E$2010,$C50,'LAC 102_Wkst'!$G$7:$G$2010,$D50,'LAC 102_Wkst'!$L$7:$L$2010,"03",'LAC 102_Wkst'!$N$7:$N$2010,"P5")+SUMIFS('LAC 102_Wkst'!$AE$7:$AE$2010,'LAC 102_Wkst'!$E$7:$E$2010,$C50,'LAC 102_Wkst'!$G$7:$G$2010,$D50,'LAC 102_Wkst'!$L$7:$L$2010,"04",'LAC 102_Wkst'!$N$7:$N$2010,"P5")</f>
        <v>0</v>
      </c>
      <c r="R50" s="412">
        <f>SUMIFS('LAC 102_Wkst'!$Q$7:$Q$2010,'LAC 102_Wkst'!$E$7:$E$2010,$C50,'LAC 102_Wkst'!$G$7:$G$2010,$D50,'LAC 102_Wkst'!$L$7:$L$2010,"05",'LAC 102_Wkst'!$N$7:$N$2010,"P1")+SUMIFS('LAC 102_Wkst'!$Q$7:$Q$2010,'LAC 102_Wkst'!$E$7:$E$2010,$C50,'LAC 102_Wkst'!$G$7:$G$2010,$D50,'LAC 102_Wkst'!$L$7:$L$2010,"06",'LAC 102_Wkst'!$N$7:$N$2010,"P1")</f>
        <v>0</v>
      </c>
      <c r="S50" s="411">
        <f>SUMIFS('LAC 102_Wkst'!$AE$7:$AE$2010,'LAC 102_Wkst'!$E$7:$E$2010,$C50,'LAC 102_Wkst'!$G$7:$G$2010,$D50,'LAC 102_Wkst'!$L$7:$L$2010,"05",'LAC 102_Wkst'!$N$7:$N$2010,"P1")+SUMIFS('LAC 102_Wkst'!$AE$7:$AE$2010,'LAC 102_Wkst'!$E$7:$E$2010,$C50,'LAC 102_Wkst'!$G$7:$G$2010,$D50,'LAC 102_Wkst'!$L$7:$L$2010,"06",'LAC 102_Wkst'!$N$7:$N$2010,"P1")</f>
        <v>0</v>
      </c>
      <c r="T50" s="410">
        <f>SUMIFS('LAC 102_Wkst'!$Q$7:$Q$2010,'LAC 102_Wkst'!$E$7:$E$2010,$C50,'LAC 102_Wkst'!$G$7:$G$2010,$D50,'LAC 102_Wkst'!$L$7:$L$2010,"05",'LAC 102_Wkst'!$N$7:$N$2010,"P2")+SUMIFS('LAC 102_Wkst'!$Q$7:$Q$2010,'LAC 102_Wkst'!$E$7:$E$2010,$C50,'LAC 102_Wkst'!$G$7:$G$2010,$D50,'LAC 102_Wkst'!$L$7:$L$2010,"05",'LAC 102_Wkst'!$N$7:$N$2010,"P3")+SUMIFS('LAC 102_Wkst'!$Q$7:$Q$2010,'LAC 102_Wkst'!$E$7:$E$2010,$C50,'LAC 102_Wkst'!$G$7:$G$2010,$D50,'LAC 102_Wkst'!$L$7:$L$2010,"06",'LAC 102_Wkst'!$N$7:$N$2010,"P2")+SUMIFS('LAC 102_Wkst'!$Q$7:$Q$2010,'LAC 102_Wkst'!$E$7:$E$2010,$C50,'LAC 102_Wkst'!$G$7:$G$2010,$D50,'LAC 102_Wkst'!$L$7:$L$2010,"06",'LAC 102_Wkst'!$N$7:$N$2010,"P3")</f>
        <v>0</v>
      </c>
      <c r="U50" s="411">
        <f>SUMIFS('LAC 102_Wkst'!$AE$7:$AE$2010,'LAC 102_Wkst'!$E$7:$E$2010,$C50,'LAC 102_Wkst'!$G$7:$G$2010,$D50,'LAC 102_Wkst'!$L$7:$L$2010,"05",'LAC 102_Wkst'!$N$7:$N$2010,"P2")+SUMIFS('LAC 102_Wkst'!$AE$7:$AE$2010,'LAC 102_Wkst'!$E$7:$E$2010,$C50,'LAC 102_Wkst'!$G$7:$G$2010,$D50,'LAC 102_Wkst'!$L$7:$L$2010,"06",'LAC 102_Wkst'!$N$7:$N$2010,"P3")+SUMIFS('LAC 102_Wkst'!$AE$7:$AE$2010,'LAC 102_Wkst'!$E$7:$E$2010,$C50,'LAC 102_Wkst'!$G$7:$G$2010,$D50,'LAC 102_Wkst'!$L$7:$L$2010,"05",'LAC 102_Wkst'!$N$7:$N$2010,"P2")+SUMIFS('LAC 102_Wkst'!$AE$7:$AE$2010,'LAC 102_Wkst'!$E$7:$E$2010,$C50,'LAC 102_Wkst'!$G$7:$G$2010,$D50,'LAC 102_Wkst'!$L$7:$L$2010,"06",'LAC 102_Wkst'!$N$7:$N$2010,"P3")</f>
        <v>0</v>
      </c>
      <c r="V50" s="410">
        <f>SUMIFS('LAC 102_Wkst'!$Q$7:$Q$2010,'LAC 102_Wkst'!$E$7:$E$2010,$C50,'LAC 102_Wkst'!$G$7:$G$2010,$D50,'LAC 102_Wkst'!$L$7:$L$2010,"05",'LAC 102_Wkst'!$N$7:$N$2010,"P4")+SUMIFS('LAC 102_Wkst'!$Q$7:$Q$2010,'LAC 102_Wkst'!$E$7:$E$2010,$C50,'LAC 102_Wkst'!$G$7:$G$2010,$D50,'LAC 102_Wkst'!$L$7:$L$2010,"06",'LAC 102_Wkst'!$N$7:$N$2010,"P4")</f>
        <v>0</v>
      </c>
      <c r="W50" s="411">
        <f>SUMIFS('LAC 102_Wkst'!$AE$7:$AE$2010,'LAC 102_Wkst'!$E$7:$E$2010,$C50,'LAC 102_Wkst'!$G$7:$G$2010,$D50,'LAC 102_Wkst'!$L$7:$L$2010,"05",'LAC 102_Wkst'!$N$7:$N$2010,"P4")+SUMIFS('LAC 102_Wkst'!$AE$7:$AE$2010,'LAC 102_Wkst'!$E$7:$E$2010,$C50,'LAC 102_Wkst'!$G$7:$G$2010,$D50,'LAC 102_Wkst'!$L$7:$L$2010,"06",'LAC 102_Wkst'!$N$7:$N$2010,"P4")</f>
        <v>0</v>
      </c>
      <c r="X50" s="410">
        <f>SUMIFS('LAC 102_Wkst'!$Q$7:$Q$2010,'LAC 102_Wkst'!$E$7:$E$2010,$C50,'LAC 102_Wkst'!$G$7:$G$2010,$D50,'LAC 102_Wkst'!$L$7:$L$2010,"05",'LAC 102_Wkst'!$N$7:$N$2010,"P5")+SUMIFS('LAC 102_Wkst'!$Q$7:$Q$2010,'LAC 102_Wkst'!$E$7:$E$2010,$C50,'LAC 102_Wkst'!$G$7:$G$2010,$D50,'LAC 102_Wkst'!$L$7:$L$2010,"06",'LAC 102_Wkst'!$N$7:$N$2010,"P5")</f>
        <v>0</v>
      </c>
      <c r="Y50" s="411">
        <f>SUMIFS('LAC 102_Wkst'!$AE$7:$AE$2010,'LAC 102_Wkst'!$E$7:$E$2010,$C50,'LAC 102_Wkst'!$G$7:$G$2010,$D50,'LAC 102_Wkst'!$L$7:$L$2010,"05",'LAC 102_Wkst'!$N$7:$N$2010,"P5")+SUMIFS('LAC 102_Wkst'!$AE$7:$AE$2010,'LAC 102_Wkst'!$E$7:$E$2010,$C50,'LAC 102_Wkst'!$G$7:$G$2010,$D50,'LAC 102_Wkst'!$L$7:$L$2010,"06",'LAC 102_Wkst'!$N$7:$N$2010,"P5")</f>
        <v>0</v>
      </c>
      <c r="Z50" s="410">
        <f>SUMIFS('LAC 102_Wkst'!$Q$7:$Q$2010,'LAC 102_Wkst'!$E$7:$E$2010,$C50,'LAC 102_Wkst'!$G$7:$G$2010,$D50,'LAC 102_Wkst'!$L$7:$L$2010,"07",'LAC 102_Wkst'!$N$7:$N$2010,"P1")+SUMIFS('LAC 102_Wkst'!$Q$7:$Q$2010,'LAC 102_Wkst'!$E$7:$E$2010,$C50,'LAC 102_Wkst'!$G$7:$G$2010,$D50,'LAC 102_Wkst'!$L$7:$L$2010,"07",'LAC 102_Wkst'!$N$7:$N$2010,"P2")+SUMIFS('LAC 102_Wkst'!$Q$7:$Q$2010,'LAC 102_Wkst'!$E$7:$E$2010,$C50,'LAC 102_Wkst'!$G$7:$G$2010,$D50,'LAC 102_Wkst'!$L$7:$L$2010,"07",'LAC 102_Wkst'!$N$7:$N$2010,"P3")</f>
        <v>0</v>
      </c>
      <c r="AA50" s="411">
        <f>SUMIFS('LAC 102_Wkst'!$AE$7:$AE$2010,'LAC 102_Wkst'!$E$7:$E$2010,$C50,'LAC 102_Wkst'!$G$7:$G$2010,$D50,'LAC 102_Wkst'!$L$7:$L$2010,"07",'LAC 102_Wkst'!$N$7:$N$2010,"P1")+SUMIFS('LAC 102_Wkst'!$AE$7:$AE$2010,'LAC 102_Wkst'!$E$7:$E$2010,$C50,'LAC 102_Wkst'!$G$7:$G$2010,$D50,'LAC 102_Wkst'!$L$7:$L$2010,"07",'LAC 102_Wkst'!$N$7:$N$2010,"P2")+SUMIFS('LAC 102_Wkst'!$AE$7:$AE$2010,'LAC 102_Wkst'!$E$7:$E$2010,$C50,'LAC 102_Wkst'!$G$7:$G$2010,$D50,'LAC 102_Wkst'!$L$7:$L$2010,"07",'LAC 102_Wkst'!$N$7:$N$2010,"P3")</f>
        <v>0</v>
      </c>
      <c r="AB50" s="410">
        <f>SUMIFS('LAC 102_Wkst'!$Q$7:$Q$2010,'LAC 102_Wkst'!$E$7:$E$2010,$C50,'LAC 102_Wkst'!$G$7:$G$2010,$D50,'LAC 102_Wkst'!$L$7:$L$2010,"07",'LAC 102_Wkst'!$N$7:$N$2010,"P4")</f>
        <v>0</v>
      </c>
      <c r="AC50" s="411">
        <f>SUMIFS('LAC 102_Wkst'!$AE$7:$AE$2010,'LAC 102_Wkst'!$E$7:$E$2010,$C50,'LAC 102_Wkst'!$G$7:$G$2010,$D50,'LAC 102_Wkst'!$L$7:$L$2010,"07",'LAC 102_Wkst'!$N$7:$N$2010,"P4")</f>
        <v>0</v>
      </c>
      <c r="AD50" s="410">
        <f>SUMIFS('LAC 102_Wkst'!$Q$7:$Q$2010,'LAC 102_Wkst'!$E$7:$E$2010,$C50,'LAC 102_Wkst'!$G$7:$G$2010,$D50,'LAC 102_Wkst'!$L$7:$L$2010,"07",'LAC 102_Wkst'!$N$7:$N$2010,"P5")</f>
        <v>0</v>
      </c>
      <c r="AE50" s="411">
        <f>SUMIFS('LAC 102_Wkst'!$AE$7:$AE$2010,'LAC 102_Wkst'!$E$7:$E$2010,$C50,'LAC 102_Wkst'!$G$7:$G$2010,$D50,'LAC 102_Wkst'!$L$7:$L$2010,"07",'LAC 102_Wkst'!$N$7:$N$2010,"P5")</f>
        <v>0</v>
      </c>
      <c r="AF50" s="410">
        <f>SUMIFS('LAC 102_Wkst'!$Q$7:$Q$2010,'LAC 102_Wkst'!$E$7:$E$2010,$C50,'LAC 102_Wkst'!$G$7:$G$2010,$D50,'LAC 102_Wkst'!$L$7:$L$2010,"08",'LAC 102_Wkst'!$N$7:$N$2010,"P1")+SUMIFS('LAC 102_Wkst'!$Q$7:$Q$2010,'LAC 102_Wkst'!$E$7:$E$2010,$C50,'LAC 102_Wkst'!$G$7:$G$2010,$D50,'LAC 102_Wkst'!$L$7:$L$2010,"08",'LAC 102_Wkst'!$N$7:$N$2010,"P2")+SUMIFS('LAC 102_Wkst'!$Q$7:$Q$2010,'LAC 102_Wkst'!$E$7:$E$2010,$C50,'LAC 102_Wkst'!$G$7:$G$2010,$D50,'LAC 102_Wkst'!$L$7:$L$2010,"08",'LAC 102_Wkst'!$N$7:$N$2010,"P3")</f>
        <v>0</v>
      </c>
      <c r="AG50" s="411">
        <f>SUMIFS('LAC 102_Wkst'!$AE$7:$AE$2010,'LAC 102_Wkst'!$E$7:$E$2010,$C50,'LAC 102_Wkst'!$G$7:$G$2010,$D50,'LAC 102_Wkst'!$L$7:$L$2010,"08",'LAC 102_Wkst'!$N$7:$N$2010,"P1")+SUMIFS('LAC 102_Wkst'!$AE$7:$AE$2010,'LAC 102_Wkst'!$E$7:$E$2010,$C50,'LAC 102_Wkst'!$G$7:$G$2010,$D50,'LAC 102_Wkst'!$L$7:$L$2010,"08",'LAC 102_Wkst'!$N$7:$N$2010,"P2")+SUMIFS('LAC 102_Wkst'!$AE$7:$AE$2010,'LAC 102_Wkst'!$E$7:$E$2010,$C50,'LAC 102_Wkst'!$G$7:$G$2010,$D50,'LAC 102_Wkst'!$L$7:$L$2010,"08",'LAC 102_Wkst'!$N$7:$N$2010,"P3")</f>
        <v>0</v>
      </c>
      <c r="AH50" s="410">
        <f>SUMIFS('LAC 102_Wkst'!$Q$7:$Q$2010,'LAC 102_Wkst'!$E$7:$E$2010,$C50,'LAC 102_Wkst'!$G$7:$G$2010,$D50,'LAC 102_Wkst'!$L$7:$L$2010,"08",'LAC 102_Wkst'!$N$7:$N$2010,"P4")</f>
        <v>0</v>
      </c>
      <c r="AI50" s="411">
        <f>SUMIFS('LAC 102_Wkst'!$AE$7:$AE$2010,'LAC 102_Wkst'!$E$7:$E$2010,$C50,'LAC 102_Wkst'!$G$7:$G$2010,$D50,'LAC 102_Wkst'!$L$7:$L$2010,"08",'LAC 102_Wkst'!$N$7:$N$2010,"P4")</f>
        <v>0</v>
      </c>
      <c r="AJ50" s="410">
        <f>SUMIFS('LAC 102_Wkst'!$Q$7:$Q$2010,'LAC 102_Wkst'!$E$7:$E$2010,$C50,'LAC 102_Wkst'!$G$7:$G$2010,$D50,'LAC 102_Wkst'!$L$7:$L$2010,"08",'LAC 102_Wkst'!$N$7:$N$2010,"P5")</f>
        <v>0</v>
      </c>
      <c r="AK50" s="411">
        <f>SUMIFS('LAC 102_Wkst'!$AE$7:$AE$2010,'LAC 102_Wkst'!$E$7:$E$2010,$C50,'LAC 102_Wkst'!$G$7:$G$2010,$D50,'LAC 102_Wkst'!$L$7:$L$2010,"08",'LAC 102_Wkst'!$N$7:$N$2010,"P5")</f>
        <v>0</v>
      </c>
      <c r="AL50" s="410">
        <f>SUMIFS('LAC 102_Wkst'!$Q$7:$Q$2010,'LAC 102_Wkst'!$E$7:$E$2010,$C50,'LAC 102_Wkst'!$G$7:$G$2010,$D50,'LAC 102_Wkst'!$L$7:$L$2010,"09",'LAC 102_Wkst'!$N$7:$N$2010,"P1")+SUMIFS('LAC 102_Wkst'!$Q$7:$Q$2010,'LAC 102_Wkst'!$E$7:$E$2010,$C50,'LAC 102_Wkst'!$G$7:$G$2010,$D50,'LAC 102_Wkst'!$L$7:$L$2010,"09",'LAC 102_Wkst'!$N$7:$N$2010,"P2")+SUMIFS('LAC 102_Wkst'!$Q$7:$Q$2010,'LAC 102_Wkst'!$E$7:$E$2010,$C50,'LAC 102_Wkst'!$G$7:$G$2010,$D50,'LAC 102_Wkst'!$L$7:$L$2010,"09",'LAC 102_Wkst'!$N$7:$N$2010,"P3")+SUMIFS('LAC 102_Wkst'!$Q$7:$Q$2010,'LAC 102_Wkst'!$E$7:$E$2010,$C50,'LAC 102_Wkst'!$G$7:$G$2010,$D50,'LAC 102_Wkst'!$L$7:$L$2010,"09",'LAC 102_Wkst'!$N$7:$N$2010,"P4")</f>
        <v>0</v>
      </c>
      <c r="AM50" s="411">
        <f>SUMIFS('LAC 102_Wkst'!$AE$7:$AE$2010,'LAC 102_Wkst'!$E$7:$E$2010,$C50,'LAC 102_Wkst'!$G$7:$G$2010,$D50,'LAC 102_Wkst'!$L$7:$L$2010,"09",'LAC 102_Wkst'!$N$7:$N$2010,"P1")+SUMIFS('LAC 102_Wkst'!$AE$7:$AE$2010,'LAC 102_Wkst'!$E$7:$E$2010,$C50,'LAC 102_Wkst'!$G$7:$G$2010,$D50,'LAC 102_Wkst'!$L$7:$L$2010,"09",'LAC 102_Wkst'!$N$7:$N$2010,"P2")+SUMIFS('LAC 102_Wkst'!$AE$7:$AE$2010,'LAC 102_Wkst'!$E$7:$E$2010,$C50,'LAC 102_Wkst'!$G$7:$G$2010,$D50,'LAC 102_Wkst'!$L$7:$L$2010,"09",'LAC 102_Wkst'!$N$7:$N$2010,"P3")+SUMIFS('LAC 102_Wkst'!$AE$7:$AE$2010,'LAC 102_Wkst'!$E$7:$E$2010,$C50,'LAC 102_Wkst'!$G$7:$G$2010,$D50,'LAC 102_Wkst'!$L$7:$L$2010,"09",'LAC 102_Wkst'!$N$7:$N$2010,"P4")</f>
        <v>0</v>
      </c>
      <c r="AN50" s="410">
        <f>SUMIFS('LAC 102_Wkst'!$Q$7:$Q$2010,'LAC 102_Wkst'!$E$7:$E$2010,$C50,'LAC 102_Wkst'!$G$7:$G$2010,$D50,'LAC 102_Wkst'!$L$7:$L$2010,"09",'LAC 102_Wkst'!$N$7:$N$2010,"P5")</f>
        <v>0</v>
      </c>
      <c r="AO50" s="411">
        <f>SUMIFS('LAC 102_Wkst'!$AE$7:$AE$2010,'LAC 102_Wkst'!$E$7:$E$2010,$C50,'LAC 102_Wkst'!$G$7:$G$2010,$D50,'LAC 102_Wkst'!$L$7:$L$2010,"09",'LAC 102_Wkst'!$N$7:$N$2010,"P5")</f>
        <v>0</v>
      </c>
      <c r="AP50" s="410">
        <f>SUMIFS('LAC 102_Wkst'!$Q$7:$Q$2010,'LAC 102_Wkst'!$E$7:$E$2010,$C50,'LAC 102_Wkst'!$G$7:$G$2010,$D50,'LAC 102_Wkst'!$L$7:$L$2010,"10",'LAC 102_Wkst'!$N$7:$N$2010,"P1")+SUMIFS('LAC 102_Wkst'!$Q$7:$Q$2010,'LAC 102_Wkst'!$E$7:$E$2010,$C50,'LAC 102_Wkst'!$G$7:$G$2010,$D50,'LAC 102_Wkst'!$L$7:$L$2010,"10",'LAC 102_Wkst'!$N$7:$N$2010,"P2")+SUMIFS('LAC 102_Wkst'!$Q$7:$Q$2010,'LAC 102_Wkst'!$E$7:$E$2010,$C50,'LAC 102_Wkst'!$G$7:$G$2010,$D50,'LAC 102_Wkst'!$L$7:$L$2010,"10",'LAC 102_Wkst'!$N$7:$N$2010,"P3")+SUMIFS('LAC 102_Wkst'!$Q$7:$Q$2010,'LAC 102_Wkst'!$E$7:$E$2010,$C50,'LAC 102_Wkst'!$G$7:$G$2010,$D50,'LAC 102_Wkst'!$L$7:$L$2010,"10",'LAC 102_Wkst'!$N$7:$N$2010,"P4")</f>
        <v>0</v>
      </c>
      <c r="AQ50" s="411">
        <f>SUMIFS('LAC 102_Wkst'!$AE$7:$AE$2010,'LAC 102_Wkst'!$E$7:$E$2010,$C50,'LAC 102_Wkst'!$G$7:$G$2010,$D50,'LAC 102_Wkst'!$L$7:$L$2010,"10",'LAC 102_Wkst'!$N$7:$N$2010,"P1")+SUMIFS('LAC 102_Wkst'!$AE$7:$AE$2010,'LAC 102_Wkst'!$E$7:$E$2010,$C50,'LAC 102_Wkst'!$G$7:$G$2010,$D50,'LAC 102_Wkst'!$L$7:$L$2010,"10",'LAC 102_Wkst'!$N$7:$N$2010,"P2")+SUMIFS('LAC 102_Wkst'!$AE$7:$AE$2010,'LAC 102_Wkst'!$E$7:$E$2010,$C50,'LAC 102_Wkst'!$G$7:$G$2010,$D50,'LAC 102_Wkst'!$L$7:$L$2010,"10",'LAC 102_Wkst'!$N$7:$N$2010,"P3")+SUMIFS('LAC 102_Wkst'!$AE$7:$AE$2010,'LAC 102_Wkst'!$E$7:$E$2010,$C50,'LAC 102_Wkst'!$G$7:$G$2010,$D50,'LAC 102_Wkst'!$L$7:$L$2010,"10",'LAC 102_Wkst'!$N$7:$N$2010,"P4")</f>
        <v>0</v>
      </c>
      <c r="AR50" s="410">
        <f>SUMIFS('LAC 102_Wkst'!$Q$7:$Q$2010,'LAC 102_Wkst'!$E$7:$E$2010,$C50,'LAC 102_Wkst'!$G$7:$G$2010,$D50,'LAC 102_Wkst'!$L$7:$L$2010,"10",'LAC 102_Wkst'!$N$7:$N$2010,"P5")</f>
        <v>0</v>
      </c>
      <c r="AS50" s="411">
        <f>SUMIFS('LAC 102_Wkst'!$AE$7:$AE$2010,'LAC 102_Wkst'!$E$7:$E$2010,$C50,'LAC 102_Wkst'!$G$7:$G$2010,$D50,'LAC 102_Wkst'!$L$7:$L$2010,"10",'LAC 102_Wkst'!$N$7:$N$2010,"P5")</f>
        <v>0</v>
      </c>
      <c r="AT50" s="410">
        <f>SUMIFS('LAC 102_Wkst'!$Q$7:$Q$2010,'LAC 102_Wkst'!$E$7:$E$2010,$C50,'LAC 102_Wkst'!$G$7:$G$2010,$D50,'LAC 102_Wkst'!$L$7:$L$2010,"11",'LAC 102_Wkst'!$N$7:$N$2010,"P1")+SUMIFS('LAC 102_Wkst'!$Q$7:$Q$2010,'LAC 102_Wkst'!$E$7:$E$2010,$C50,'LAC 102_Wkst'!$G$7:$G$2010,$D50,'LAC 102_Wkst'!$L$7:$L$2010,"12",'LAC 102_Wkst'!$N$7:$N$2010,"P1")</f>
        <v>0</v>
      </c>
      <c r="AU50" s="411">
        <f>SUMIFS('LAC 102_Wkst'!$AE$7:$AE$2010,'LAC 102_Wkst'!$E$7:$E$2010,$C50,'LAC 102_Wkst'!$G$7:$G$2010,$D50,'LAC 102_Wkst'!$L$7:$L$2010,"11",'LAC 102_Wkst'!$N$7:$N$2010,"P1")+SUMIFS('LAC 102_Wkst'!$AE$7:$AE$2010,'LAC 102_Wkst'!$E$7:$E$2010,$C50,'LAC 102_Wkst'!$G$7:$G$2010,$D50,'LAC 102_Wkst'!$L$7:$L$2010,"12",'LAC 102_Wkst'!$N$7:$N$2010,"P1")</f>
        <v>0</v>
      </c>
      <c r="AV50" s="410">
        <f>SUMIFS('LAC 102_Wkst'!$Q$7:$Q$2010,'LAC 102_Wkst'!$E$7:$E$2010,$C50,'LAC 102_Wkst'!$G$7:$G$2010,$D50,'LAC 102_Wkst'!$L$7:$L$2010,"11",'LAC 102_Wkst'!$N$7:$N$2010,"P2")+SUMIFS('LAC 102_Wkst'!$Q$7:$Q$2010,'LAC 102_Wkst'!$E$7:$E$2010,$C50,'LAC 102_Wkst'!$G$7:$G$2010,$D50,'LAC 102_Wkst'!$L$7:$L$2010,"12",'LAC 102_Wkst'!$N$7:$N$2010,"P3")+SUMIFS('LAC 102_Wkst'!$Q$7:$Q$2010,'LAC 102_Wkst'!$E$7:$E$2010,$C50,'LAC 102_Wkst'!$G$7:$G$2010,$D50,'LAC 102_Wkst'!$L$7:$L$2010,"11",'LAC 102_Wkst'!$N$7:$N$2010,"P2")+SUMIFS('LAC 102_Wkst'!$Q$7:$Q$2010,'LAC 102_Wkst'!$E$7:$E$2010,$C50,'LAC 102_Wkst'!$G$7:$G$2010,$D50,'LAC 102_Wkst'!$L$7:$L$2010,"12",'LAC 102_Wkst'!$N$7:$N$2010,"P3")</f>
        <v>0</v>
      </c>
      <c r="AW50" s="411">
        <f>SUMIFS('LAC 102_Wkst'!$AE$7:$AE$2010,'LAC 102_Wkst'!$E$7:$E$2010,$C50,'LAC 102_Wkst'!$G$7:$G$2010,$D50,'LAC 102_Wkst'!$L$7:$L$2010,"11",'LAC 102_Wkst'!$N$7:$N$2010,"P2")+SUMIFS('LAC 102_Wkst'!$AE$7:$AE$2010,'LAC 102_Wkst'!$E$7:$E$2010,$C50,'LAC 102_Wkst'!$G$7:$G$2010,$D50,'LAC 102_Wkst'!$L$7:$L$2010,"12",'LAC 102_Wkst'!$N$7:$N$2010,"P3")+SUMIFS('LAC 102_Wkst'!$AE$7:$AE$2010,'LAC 102_Wkst'!$E$7:$E$2010,$C50,'LAC 102_Wkst'!$G$7:$G$2010,$D50,'LAC 102_Wkst'!$L$7:$L$2010,"11",'LAC 102_Wkst'!$N$7:$N$2010,"P2")+SUMIFS('LAC 102_Wkst'!$AE$7:$AE$2010,'LAC 102_Wkst'!$E$7:$E$2010,$C50,'LAC 102_Wkst'!$G$7:$G$2010,$D50,'LAC 102_Wkst'!$L$7:$L$2010,"12",'LAC 102_Wkst'!$N$7:$N$2010,"P3")</f>
        <v>0</v>
      </c>
      <c r="AX50" s="410">
        <f>SUMIFS('LAC 102_Wkst'!$Q$7:$Q$2010,'LAC 102_Wkst'!$E$7:$E$2010,$C50,'LAC 102_Wkst'!$G$7:$G$2010,$D50,'LAC 102_Wkst'!$L$7:$L$2010,"11",'LAC 102_Wkst'!$N$7:$N$2010,"P4")+SUMIFS('LAC 102_Wkst'!$Q$7:$Q$2010,'LAC 102_Wkst'!$E$7:$E$2010,$C50,'LAC 102_Wkst'!$G$7:$G$2010,$D50,'LAC 102_Wkst'!$L$7:$L$2010,"12",'LAC 102_Wkst'!$N$7:$N$2010,"P4")</f>
        <v>0</v>
      </c>
      <c r="AY50" s="411">
        <f>SUMIFS('LAC 102_Wkst'!$AE$7:$AE$2010,'LAC 102_Wkst'!$E$7:$E$2010,$C50,'LAC 102_Wkst'!$G$7:$G$2010,$D50,'LAC 102_Wkst'!$L$7:$L$2010,"11",'LAC 102_Wkst'!$N$7:$N$2010,"P4")+SUMIFS('LAC 102_Wkst'!$AE$7:$AE$2010,'LAC 102_Wkst'!$E$7:$E$2010,$C50,'LAC 102_Wkst'!$G$7:$G$2010,$D50,'LAC 102_Wkst'!$L$7:$L$2010,"12",'LAC 102_Wkst'!$N$7:$N$2010,"P4")</f>
        <v>0</v>
      </c>
      <c r="AZ50" s="410">
        <f>SUMIFS('LAC 102_Wkst'!$Q$7:$Q$2010,'LAC 102_Wkst'!$E$7:$E$2010,$C50,'LAC 102_Wkst'!$G$7:$G$2010,$D50,'LAC 102_Wkst'!$L$7:$L$2010,"11",'LAC 102_Wkst'!$N$7:$N$2010,"P5")+SUMIFS('LAC 102_Wkst'!$Q$7:$Q$2010,'LAC 102_Wkst'!$E$7:$E$2010,$C50,'LAC 102_Wkst'!$G$7:$G$2010,$D50,'LAC 102_Wkst'!$L$7:$L$2010,"12",'LAC 102_Wkst'!$N$7:$N$2010,"P5")</f>
        <v>0</v>
      </c>
      <c r="BA50" s="411">
        <f>SUMIFS('LAC 102_Wkst'!$AE$7:$AE$2010,'LAC 102_Wkst'!$E$7:$E$2010,$C50,'LAC 102_Wkst'!$G$7:$G$2010,$D50,'LAC 102_Wkst'!$L$7:$L$2010,"11",'LAC 102_Wkst'!$N$7:$N$2010,"P5")+SUMIFS('LAC 102_Wkst'!$AE$7:$AE$2010,'LAC 102_Wkst'!$E$7:$E$2010,$C50,'LAC 102_Wkst'!$G$7:$G$2010,$D50,'LAC 102_Wkst'!$L$7:$L$2010,"12",'LAC 102_Wkst'!$N$7:$N$2010,"P5")</f>
        <v>0</v>
      </c>
      <c r="BB50" s="410">
        <f>SUMIFS('LAC 102_Wkst'!$Q$7:$Q$2010,'LAC 102_Wkst'!$E$7:$E$2010,$C50,'LAC 102_Wkst'!$G$7:$G$2010,$D50,'LAC 102_Wkst'!$L$7:$L$2010,"13",'LAC 102_Wkst'!$N$7:$N$2010,"P1")+SUMIFS('LAC 102_Wkst'!$Q$7:$Q$2010,'LAC 102_Wkst'!$E$7:$E$2010,$C50,'LAC 102_Wkst'!$G$7:$G$2010,$D50,'LAC 102_Wkst'!$L$7:$L$2010,"13",'LAC 102_Wkst'!$N$7:$N$2010,"P2")+SUMIFS('LAC 102_Wkst'!$Q$7:$Q$2010,'LAC 102_Wkst'!$E$7:$E$2010,$C50,'LAC 102_Wkst'!$G$7:$G$2010,$D50,'LAC 102_Wkst'!$L$7:$L$2010,"13",'LAC 102_Wkst'!$N$7:$N$2010,"P3")+SUMIFS('LAC 102_Wkst'!$Q$7:$Q$2010,'LAC 102_Wkst'!$E$7:$E$2010,$C50,'LAC 102_Wkst'!$G$7:$G$2010,$D50,'LAC 102_Wkst'!$L$7:$L$2010,"13",'LAC 102_Wkst'!$N$7:$N$2010,"P4")</f>
        <v>0</v>
      </c>
      <c r="BC50" s="411">
        <f>SUMIFS('LAC 102_Wkst'!$AE$7:$AE$2010,'LAC 102_Wkst'!$E$7:$E$2010,$C50,'LAC 102_Wkst'!$G$7:$G$2010,$D50,'LAC 102_Wkst'!$L$7:$L$2010,"13",'LAC 102_Wkst'!$N$7:$N$2010,"P1")+SUMIFS('LAC 102_Wkst'!$AE$7:$AE$2010,'LAC 102_Wkst'!$E$7:$E$2010,$C50,'LAC 102_Wkst'!$G$7:$G$2010,$D50,'LAC 102_Wkst'!$L$7:$L$2010,"13",'LAC 102_Wkst'!$N$7:$N$2010,"P2")+SUMIFS('LAC 102_Wkst'!$AE$7:$AE$2010,'LAC 102_Wkst'!$E$7:$E$2010,$C50,'LAC 102_Wkst'!$G$7:$G$2010,$D50,'LAC 102_Wkst'!$L$7:$L$2010,"13",'LAC 102_Wkst'!$N$7:$N$2010,"P3")+SUMIFS('LAC 102_Wkst'!$AE$7:$AE$2010,'LAC 102_Wkst'!$E$7:$E$2010,$C50,'LAC 102_Wkst'!$G$7:$G$2010,$D50,'LAC 102_Wkst'!$L$7:$L$2010,"13",'LAC 102_Wkst'!$N$7:$N$2010,"P4")</f>
        <v>0</v>
      </c>
      <c r="BD50" s="410">
        <f>SUMIFS('LAC 102_Wkst'!$Q$7:$Q$2010,'LAC 102_Wkst'!$E$7:$E$2010,$C50,'LAC 102_Wkst'!$G$7:$G$2010,$D50,'LAC 102_Wkst'!$L$7:$L$2010,"13",'LAC 102_Wkst'!$N$7:$N$2010,"P5")</f>
        <v>0</v>
      </c>
      <c r="BE50" s="411">
        <f>SUMIFS('LAC 102_Wkst'!$AE$7:$AE$2010,'LAC 102_Wkst'!$E$7:$E$2010,$C50,'LAC 102_Wkst'!$G$7:$G$2010,$D50,'LAC 102_Wkst'!$L$7:$L$2010,"13",'LAC 102_Wkst'!$N$7:$N$2010,"P5")</f>
        <v>0</v>
      </c>
      <c r="BF50" s="407">
        <f t="shared" si="0"/>
        <v>0</v>
      </c>
    </row>
    <row r="51" spans="1:58" x14ac:dyDescent="0.2">
      <c r="A51" s="401">
        <v>32</v>
      </c>
      <c r="B51" s="1236"/>
      <c r="C51" s="1235"/>
      <c r="D51" s="1237"/>
      <c r="E51" s="1222">
        <f>IF(CONCATENATE(C51,D51)&gt;"6069",1,SUMIFS('LAC 102_Wkst'!$Q$7:$Q$2010,'LAC 102_Wkst'!$E$7:$E$2010,Schedule_B!$C51,'LAC 102_Wkst'!$G$7:$G$2010,Schedule_B!$D51))</f>
        <v>0</v>
      </c>
      <c r="F51" s="408">
        <f>SUMIFS('LAC 102_Wkst'!$Q$7:$Q$2010,'LAC 102_Wkst'!$E$7:$E$2010,$C51,'LAC 102_Wkst'!$G$7:$G$2010,$D51,'LAC 102_Wkst'!$L$7:$L$2010,"01",'LAC 102_Wkst'!$N$7:$N$2010,"P1")+SUMIFS('LAC 102_Wkst'!$Q$7:$Q$2010,'LAC 102_Wkst'!$E$7:$E$2010,$C51,'LAC 102_Wkst'!$G$7:$G$2010,$D51,'LAC 102_Wkst'!$L$7:$L$2010,"01",'LAC 102_Wkst'!$N$7:$N$2010,"P2")+SUMIFS('LAC 102_Wkst'!$Q$7:$Q$2010,'LAC 102_Wkst'!$E$7:$E$2010,$C51,'LAC 102_Wkst'!$G$7:$G$2010,$D51,'LAC 102_Wkst'!$L$7:$L$2010,"01",'LAC 102_Wkst'!$N$7:$N$2010,"P3")+SUMIFS('LAC 102_Wkst'!$Q$7:$Q$2010,'LAC 102_Wkst'!$E$7:$E$2010,$C51,'LAC 102_Wkst'!$G$7:$G$2010,$D51,'LAC 102_Wkst'!$L$7:$L$2010,"02",'LAC 102_Wkst'!$N$7:$N$2010,"P1")+SUMIFS('LAC 102_Wkst'!$Q$7:$Q$2010,'LAC 102_Wkst'!$E$7:$E$2010,$C51,'LAC 102_Wkst'!$G$7:$G$2010,$D51,'LAC 102_Wkst'!$L$7:$L$2010,"02",'LAC 102_Wkst'!$N$7:$N$2010,"P2")+SUMIFS('LAC 102_Wkst'!$Q$7:$Q$2010,'LAC 102_Wkst'!$E$7:$E$2010,$C51,'LAC 102_Wkst'!$G$7:$G$2010,$D51,'LAC 102_Wkst'!$L$7:$L$2010,"02",'LAC 102_Wkst'!$N$7:$N$2010,"P3")</f>
        <v>0</v>
      </c>
      <c r="G51" s="409">
        <f>SUMIFS('LAC 102_Wkst'!$AE$7:$AE$2010,'LAC 102_Wkst'!$E$7:$E$2010,$C51,'LAC 102_Wkst'!$G$7:$G$2010,$D51,'LAC 102_Wkst'!$L$7:$L$2010,"01",'LAC 102_Wkst'!$N$7:$N$2010,"P1")+SUMIFS('LAC 102_Wkst'!$AE$7:$AE$2010,'LAC 102_Wkst'!$E$7:$E$2010,$C51,'LAC 102_Wkst'!$G$7:$G$2010,$D51,'LAC 102_Wkst'!$L$7:$L$2010,"01",'LAC 102_Wkst'!$N$7:$N$2010,"P2")+SUMIFS('LAC 102_Wkst'!$AE$7:$AE$2010,'LAC 102_Wkst'!$E$7:$E$2010,$C51,'LAC 102_Wkst'!$G$7:$G$2010,$D51,'LAC 102_Wkst'!$L$7:$L$2010,"01",'LAC 102_Wkst'!$N$7:$N$2010,"P3")+SUMIFS('LAC 102_Wkst'!$AE$7:$AE$2010,'LAC 102_Wkst'!$E$7:$E$2010,$C51,'LAC 102_Wkst'!$G$7:$G$2010,$D51,'LAC 102_Wkst'!$L$7:$L$2010,"02",'LAC 102_Wkst'!$N$7:$N$2010,"P1")+SUMIFS('LAC 102_Wkst'!$AE$7:$AE$2010,'LAC 102_Wkst'!$E$7:$E$2010,$C51,'LAC 102_Wkst'!$G$7:$G$2010,$D51,'LAC 102_Wkst'!$L$7:$L$2010,"02",'LAC 102_Wkst'!$N$7:$N$2010,"P2")+SUMIFS('LAC 102_Wkst'!$AE$7:$AE$2010,'LAC 102_Wkst'!$E$7:$E$2010,$C51,'LAC 102_Wkst'!$G$7:$G$2010,$D51,'LAC 102_Wkst'!$L$7:$L$2010,"02",'LAC 102_Wkst'!$N$7:$N$2010,"P3")</f>
        <v>0</v>
      </c>
      <c r="H51" s="410">
        <f>SUMIFS('LAC 102_Wkst'!$Q$7:$Q$2010,'LAC 102_Wkst'!$E$7:$E$2010,$C51,'LAC 102_Wkst'!$G$7:$G$2010,$D51,'LAC 102_Wkst'!$L$7:$L$2010,"01",'LAC 102_Wkst'!$N$7:$N$2010,"P4")+SUMIFS('LAC 102_Wkst'!$Q$7:$Q$2010,'LAC 102_Wkst'!$E$7:$E$2010,$C51,'LAC 102_Wkst'!$G$7:$G$2010,$D51,'LAC 102_Wkst'!$L$7:$L$2010,"02",'LAC 102_Wkst'!$N$7:$N$2010,"P4")</f>
        <v>0</v>
      </c>
      <c r="I51" s="411">
        <f>SUMIFS('LAC 102_Wkst'!$AE$7:$AE$2010,'LAC 102_Wkst'!$E$7:$E$2010,$C51,'LAC 102_Wkst'!$G$7:$G$2010,$D51,'LAC 102_Wkst'!$L$7:$L$2010,"01",'LAC 102_Wkst'!$N$7:$N$2010,"P4")+SUMIFS('LAC 102_Wkst'!$AE$7:$AE$2010,'LAC 102_Wkst'!$E$7:$E$2010,$C51,'LAC 102_Wkst'!$G$7:$G$2010,$D51,'LAC 102_Wkst'!$L$7:$L$2010,"02",'LAC 102_Wkst'!$N$7:$N$2010,"P4")</f>
        <v>0</v>
      </c>
      <c r="J51" s="410">
        <f>SUMIFS('LAC 102_Wkst'!$Q$7:$Q$2010,'LAC 102_Wkst'!$E$7:$E$2010,$C51,'LAC 102_Wkst'!$G$7:$G$2010,$D51,'LAC 102_Wkst'!$L$7:$L$2010,"01",'LAC 102_Wkst'!$N$7:$N$2010,"P5")+SUMIFS('LAC 102_Wkst'!$Q$7:$Q$2010,'LAC 102_Wkst'!$E$7:$E$2010,$C51,'LAC 102_Wkst'!$G$7:$G$2010,$D51,'LAC 102_Wkst'!$L$7:$L$2010,"02",'LAC 102_Wkst'!$N$7:$N$2010,"P5")</f>
        <v>0</v>
      </c>
      <c r="K51" s="411">
        <f>SUMIFS('LAC 102_Wkst'!$AE$7:$AE$2010,'LAC 102_Wkst'!$E$7:$E$2010,$C51,'LAC 102_Wkst'!$G$7:$G$2010,$D51,'LAC 102_Wkst'!$L$7:$L$2010,"01",'LAC 102_Wkst'!$N$7:$N$2010,"P5")+SUMIFS('LAC 102_Wkst'!$AE$7:$AE$2010,'LAC 102_Wkst'!$E$7:$E$2010,$C51,'LAC 102_Wkst'!$G$7:$G$2010,$D51,'LAC 102_Wkst'!$L$7:$L$2010,"02",'LAC 102_Wkst'!$N$7:$N$2010,"P5")</f>
        <v>0</v>
      </c>
      <c r="L51" s="410">
        <f>SUMIFS('LAC 102_Wkst'!$Q$7:$Q$2010,'LAC 102_Wkst'!$E$7:$E$2010,$C51,'LAC 102_Wkst'!$G$7:$G$2010,$D51,'LAC 102_Wkst'!$L$7:$L$2010,"03",'LAC 102_Wkst'!$N$7:$N$2010,"P1")+SUMIFS('LAC 102_Wkst'!$Q$7:$Q$2010,'LAC 102_Wkst'!$E$7:$E$2010,$C51,'LAC 102_Wkst'!$G$7:$G$2010,$D51,'LAC 102_Wkst'!$L$7:$L$2010,"03",'LAC 102_Wkst'!$N$7:$N$2010,"P2")+SUMIFS('LAC 102_Wkst'!$Q$7:$Q$2010,'LAC 102_Wkst'!$E$7:$E$2010,$C51,'LAC 102_Wkst'!$G$7:$G$2010,$D51,'LAC 102_Wkst'!$L$7:$L$2010,"03",'LAC 102_Wkst'!$N$7:$N$2010,"P3")+SUMIFS('LAC 102_Wkst'!$Q$7:$Q$2010,'LAC 102_Wkst'!$E$7:$E$2010,$C51,'LAC 102_Wkst'!$G$7:$G$2010,$D51,'LAC 102_Wkst'!$L$7:$L$2010,"04",'LAC 102_Wkst'!$N$7:$N$2010,"P1")+SUMIFS('LAC 102_Wkst'!$Q$7:$Q$2010,'LAC 102_Wkst'!$E$7:$E$2010,$C51,'LAC 102_Wkst'!$G$7:$G$2010,$D51,'LAC 102_Wkst'!$L$7:$L$2010,"04",'LAC 102_Wkst'!$N$7:$N$2010,"P2")+SUMIFS('LAC 102_Wkst'!$Q$7:$Q$2010,'LAC 102_Wkst'!$E$7:$E$2010,$C51,'LAC 102_Wkst'!$G$7:$G$2010,$D51,'LAC 102_Wkst'!$L$7:$L$2010,"04",'LAC 102_Wkst'!$N$7:$N$2010,"P3")</f>
        <v>0</v>
      </c>
      <c r="M51" s="411">
        <f>SUMIFS('LAC 102_Wkst'!$AE$7:$AE$2010,'LAC 102_Wkst'!$E$7:$E$2010,$C51,'LAC 102_Wkst'!$G$7:$G$2010,$D51,'LAC 102_Wkst'!$L$7:$L$2010,"03",'LAC 102_Wkst'!$N$7:$N$2010,"P1")+SUMIFS('LAC 102_Wkst'!$AE$7:$AE$2010,'LAC 102_Wkst'!$E$7:$E$2010,$C51,'LAC 102_Wkst'!$G$7:$G$2010,$D51,'LAC 102_Wkst'!$L$7:$L$2010,"03",'LAC 102_Wkst'!$N$7:$N$2010,"P2")+SUMIFS('LAC 102_Wkst'!$AE$7:$AE$2010,'LAC 102_Wkst'!$E$7:$E$2010,$C51,'LAC 102_Wkst'!$G$7:$G$2010,$D51,'LAC 102_Wkst'!$L$7:$L$2010,"03",'LAC 102_Wkst'!$N$7:$N$2010,"P3")+SUMIFS('LAC 102_Wkst'!$AE$7:$AE$2010,'LAC 102_Wkst'!$E$7:$E$2010,$C51,'LAC 102_Wkst'!$G$7:$G$2010,$D51,'LAC 102_Wkst'!$L$7:$L$2010,"04",'LAC 102_Wkst'!$N$7:$N$2010,"P1")+SUMIFS('LAC 102_Wkst'!$AE$7:$AE$2010,'LAC 102_Wkst'!$E$7:$E$2010,$C51,'LAC 102_Wkst'!$G$7:$G$2010,$D51,'LAC 102_Wkst'!$L$7:$L$2010,"04",'LAC 102_Wkst'!$N$7:$N$2010,"P2")+SUMIFS('LAC 102_Wkst'!$AE$7:$AE$2010,'LAC 102_Wkst'!$E$7:$E$2010,$C51,'LAC 102_Wkst'!$G$7:$G$2010,$D51,'LAC 102_Wkst'!$L$7:$L$2010,"04",'LAC 102_Wkst'!$N$7:$N$2010,"P3")</f>
        <v>0</v>
      </c>
      <c r="N51" s="410">
        <f>SUMIFS('LAC 102_Wkst'!$Q$7:$Q$2010,'LAC 102_Wkst'!$E$7:$E$2010,$C51,'LAC 102_Wkst'!$G$7:$G$2010,$D51,'LAC 102_Wkst'!$L$7:$L$2010,"03",'LAC 102_Wkst'!$N$7:$N$2010,"P4")+SUMIFS('LAC 102_Wkst'!$Q$7:$Q$2010,'LAC 102_Wkst'!$E$7:$E$2010,$C51,'LAC 102_Wkst'!$G$7:$G$2010,$D51,'LAC 102_Wkst'!$L$7:$L$2010,"04",'LAC 102_Wkst'!$N$7:$N$2010,"P4")</f>
        <v>0</v>
      </c>
      <c r="O51" s="411">
        <f>SUMIFS('LAC 102_Wkst'!$AE$7:$AE$2010,'LAC 102_Wkst'!$E$7:$E$2010,$C51,'LAC 102_Wkst'!$G$7:$G$2010,$D51,'LAC 102_Wkst'!$L$7:$L$2010,"03",'LAC 102_Wkst'!$N$7:$N$2010,"P4")+SUMIFS('LAC 102_Wkst'!$AE$7:$AE$2010,'LAC 102_Wkst'!$E$7:$E$2010,$C51,'LAC 102_Wkst'!$G$7:$G$2010,$D51,'LAC 102_Wkst'!$L$7:$L$2010,"04",'LAC 102_Wkst'!$N$7:$N$2010,"P4")</f>
        <v>0</v>
      </c>
      <c r="P51" s="410">
        <f>SUMIFS('LAC 102_Wkst'!$Q$7:$Q$2010,'LAC 102_Wkst'!$E$7:$E$2010,$C51,'LAC 102_Wkst'!$G$7:$G$2010,$D51,'LAC 102_Wkst'!$L$7:$L$2010,"03",'LAC 102_Wkst'!$N$7:$N$2010,"P5")+SUMIFS('LAC 102_Wkst'!$Q$7:$Q$2010,'LAC 102_Wkst'!$E$7:$E$2010,$C51,'LAC 102_Wkst'!$G$7:$G$2010,$D51,'LAC 102_Wkst'!$L$7:$L$2010,"04",'LAC 102_Wkst'!$N$7:$N$2010,"P5")</f>
        <v>0</v>
      </c>
      <c r="Q51" s="411">
        <f>SUMIFS('LAC 102_Wkst'!$AE$7:$AE$2010,'LAC 102_Wkst'!$E$7:$E$2010,$C51,'LAC 102_Wkst'!$G$7:$G$2010,$D51,'LAC 102_Wkst'!$L$7:$L$2010,"03",'LAC 102_Wkst'!$N$7:$N$2010,"P5")+SUMIFS('LAC 102_Wkst'!$AE$7:$AE$2010,'LAC 102_Wkst'!$E$7:$E$2010,$C51,'LAC 102_Wkst'!$G$7:$G$2010,$D51,'LAC 102_Wkst'!$L$7:$L$2010,"04",'LAC 102_Wkst'!$N$7:$N$2010,"P5")</f>
        <v>0</v>
      </c>
      <c r="R51" s="412">
        <f>SUMIFS('LAC 102_Wkst'!$Q$7:$Q$2010,'LAC 102_Wkst'!$E$7:$E$2010,$C51,'LAC 102_Wkst'!$G$7:$G$2010,$D51,'LAC 102_Wkst'!$L$7:$L$2010,"05",'LAC 102_Wkst'!$N$7:$N$2010,"P1")+SUMIFS('LAC 102_Wkst'!$Q$7:$Q$2010,'LAC 102_Wkst'!$E$7:$E$2010,$C51,'LAC 102_Wkst'!$G$7:$G$2010,$D51,'LAC 102_Wkst'!$L$7:$L$2010,"06",'LAC 102_Wkst'!$N$7:$N$2010,"P1")</f>
        <v>0</v>
      </c>
      <c r="S51" s="411">
        <f>SUMIFS('LAC 102_Wkst'!$AE$7:$AE$2010,'LAC 102_Wkst'!$E$7:$E$2010,$C51,'LAC 102_Wkst'!$G$7:$G$2010,$D51,'LAC 102_Wkst'!$L$7:$L$2010,"05",'LAC 102_Wkst'!$N$7:$N$2010,"P1")+SUMIFS('LAC 102_Wkst'!$AE$7:$AE$2010,'LAC 102_Wkst'!$E$7:$E$2010,$C51,'LAC 102_Wkst'!$G$7:$G$2010,$D51,'LAC 102_Wkst'!$L$7:$L$2010,"06",'LAC 102_Wkst'!$N$7:$N$2010,"P1")</f>
        <v>0</v>
      </c>
      <c r="T51" s="410">
        <f>SUMIFS('LAC 102_Wkst'!$Q$7:$Q$2010,'LAC 102_Wkst'!$E$7:$E$2010,$C51,'LAC 102_Wkst'!$G$7:$G$2010,$D51,'LAC 102_Wkst'!$L$7:$L$2010,"05",'LAC 102_Wkst'!$N$7:$N$2010,"P2")+SUMIFS('LAC 102_Wkst'!$Q$7:$Q$2010,'LAC 102_Wkst'!$E$7:$E$2010,$C51,'LAC 102_Wkst'!$G$7:$G$2010,$D51,'LAC 102_Wkst'!$L$7:$L$2010,"05",'LAC 102_Wkst'!$N$7:$N$2010,"P3")+SUMIFS('LAC 102_Wkst'!$Q$7:$Q$2010,'LAC 102_Wkst'!$E$7:$E$2010,$C51,'LAC 102_Wkst'!$G$7:$G$2010,$D51,'LAC 102_Wkst'!$L$7:$L$2010,"06",'LAC 102_Wkst'!$N$7:$N$2010,"P2")+SUMIFS('LAC 102_Wkst'!$Q$7:$Q$2010,'LAC 102_Wkst'!$E$7:$E$2010,$C51,'LAC 102_Wkst'!$G$7:$G$2010,$D51,'LAC 102_Wkst'!$L$7:$L$2010,"06",'LAC 102_Wkst'!$N$7:$N$2010,"P3")</f>
        <v>0</v>
      </c>
      <c r="U51" s="411">
        <f>SUMIFS('LAC 102_Wkst'!$AE$7:$AE$2010,'LAC 102_Wkst'!$E$7:$E$2010,$C51,'LAC 102_Wkst'!$G$7:$G$2010,$D51,'LAC 102_Wkst'!$L$7:$L$2010,"05",'LAC 102_Wkst'!$N$7:$N$2010,"P2")+SUMIFS('LAC 102_Wkst'!$AE$7:$AE$2010,'LAC 102_Wkst'!$E$7:$E$2010,$C51,'LAC 102_Wkst'!$G$7:$G$2010,$D51,'LAC 102_Wkst'!$L$7:$L$2010,"06",'LAC 102_Wkst'!$N$7:$N$2010,"P3")+SUMIFS('LAC 102_Wkst'!$AE$7:$AE$2010,'LAC 102_Wkst'!$E$7:$E$2010,$C51,'LAC 102_Wkst'!$G$7:$G$2010,$D51,'LAC 102_Wkst'!$L$7:$L$2010,"05",'LAC 102_Wkst'!$N$7:$N$2010,"P2")+SUMIFS('LAC 102_Wkst'!$AE$7:$AE$2010,'LAC 102_Wkst'!$E$7:$E$2010,$C51,'LAC 102_Wkst'!$G$7:$G$2010,$D51,'LAC 102_Wkst'!$L$7:$L$2010,"06",'LAC 102_Wkst'!$N$7:$N$2010,"P3")</f>
        <v>0</v>
      </c>
      <c r="V51" s="410">
        <f>SUMIFS('LAC 102_Wkst'!$Q$7:$Q$2010,'LAC 102_Wkst'!$E$7:$E$2010,$C51,'LAC 102_Wkst'!$G$7:$G$2010,$D51,'LAC 102_Wkst'!$L$7:$L$2010,"05",'LAC 102_Wkst'!$N$7:$N$2010,"P4")+SUMIFS('LAC 102_Wkst'!$Q$7:$Q$2010,'LAC 102_Wkst'!$E$7:$E$2010,$C51,'LAC 102_Wkst'!$G$7:$G$2010,$D51,'LAC 102_Wkst'!$L$7:$L$2010,"06",'LAC 102_Wkst'!$N$7:$N$2010,"P4")</f>
        <v>0</v>
      </c>
      <c r="W51" s="411">
        <f>SUMIFS('LAC 102_Wkst'!$AE$7:$AE$2010,'LAC 102_Wkst'!$E$7:$E$2010,$C51,'LAC 102_Wkst'!$G$7:$G$2010,$D51,'LAC 102_Wkst'!$L$7:$L$2010,"05",'LAC 102_Wkst'!$N$7:$N$2010,"P4")+SUMIFS('LAC 102_Wkst'!$AE$7:$AE$2010,'LAC 102_Wkst'!$E$7:$E$2010,$C51,'LAC 102_Wkst'!$G$7:$G$2010,$D51,'LAC 102_Wkst'!$L$7:$L$2010,"06",'LAC 102_Wkst'!$N$7:$N$2010,"P4")</f>
        <v>0</v>
      </c>
      <c r="X51" s="410">
        <f>SUMIFS('LAC 102_Wkst'!$Q$7:$Q$2010,'LAC 102_Wkst'!$E$7:$E$2010,$C51,'LAC 102_Wkst'!$G$7:$G$2010,$D51,'LAC 102_Wkst'!$L$7:$L$2010,"05",'LAC 102_Wkst'!$N$7:$N$2010,"P5")+SUMIFS('LAC 102_Wkst'!$Q$7:$Q$2010,'LAC 102_Wkst'!$E$7:$E$2010,$C51,'LAC 102_Wkst'!$G$7:$G$2010,$D51,'LAC 102_Wkst'!$L$7:$L$2010,"06",'LAC 102_Wkst'!$N$7:$N$2010,"P5")</f>
        <v>0</v>
      </c>
      <c r="Y51" s="411">
        <f>SUMIFS('LAC 102_Wkst'!$AE$7:$AE$2010,'LAC 102_Wkst'!$E$7:$E$2010,$C51,'LAC 102_Wkst'!$G$7:$G$2010,$D51,'LAC 102_Wkst'!$L$7:$L$2010,"05",'LAC 102_Wkst'!$N$7:$N$2010,"P5")+SUMIFS('LAC 102_Wkst'!$AE$7:$AE$2010,'LAC 102_Wkst'!$E$7:$E$2010,$C51,'LAC 102_Wkst'!$G$7:$G$2010,$D51,'LAC 102_Wkst'!$L$7:$L$2010,"06",'LAC 102_Wkst'!$N$7:$N$2010,"P5")</f>
        <v>0</v>
      </c>
      <c r="Z51" s="410">
        <f>SUMIFS('LAC 102_Wkst'!$Q$7:$Q$2010,'LAC 102_Wkst'!$E$7:$E$2010,$C51,'LAC 102_Wkst'!$G$7:$G$2010,$D51,'LAC 102_Wkst'!$L$7:$L$2010,"07",'LAC 102_Wkst'!$N$7:$N$2010,"P1")+SUMIFS('LAC 102_Wkst'!$Q$7:$Q$2010,'LAC 102_Wkst'!$E$7:$E$2010,$C51,'LAC 102_Wkst'!$G$7:$G$2010,$D51,'LAC 102_Wkst'!$L$7:$L$2010,"07",'LAC 102_Wkst'!$N$7:$N$2010,"P2")+SUMIFS('LAC 102_Wkst'!$Q$7:$Q$2010,'LAC 102_Wkst'!$E$7:$E$2010,$C51,'LAC 102_Wkst'!$G$7:$G$2010,$D51,'LAC 102_Wkst'!$L$7:$L$2010,"07",'LAC 102_Wkst'!$N$7:$N$2010,"P3")</f>
        <v>0</v>
      </c>
      <c r="AA51" s="411">
        <f>SUMIFS('LAC 102_Wkst'!$AE$7:$AE$2010,'LAC 102_Wkst'!$E$7:$E$2010,$C51,'LAC 102_Wkst'!$G$7:$G$2010,$D51,'LAC 102_Wkst'!$L$7:$L$2010,"07",'LAC 102_Wkst'!$N$7:$N$2010,"P1")+SUMIFS('LAC 102_Wkst'!$AE$7:$AE$2010,'LAC 102_Wkst'!$E$7:$E$2010,$C51,'LAC 102_Wkst'!$G$7:$G$2010,$D51,'LAC 102_Wkst'!$L$7:$L$2010,"07",'LAC 102_Wkst'!$N$7:$N$2010,"P2")+SUMIFS('LAC 102_Wkst'!$AE$7:$AE$2010,'LAC 102_Wkst'!$E$7:$E$2010,$C51,'LAC 102_Wkst'!$G$7:$G$2010,$D51,'LAC 102_Wkst'!$L$7:$L$2010,"07",'LAC 102_Wkst'!$N$7:$N$2010,"P3")</f>
        <v>0</v>
      </c>
      <c r="AB51" s="410">
        <f>SUMIFS('LAC 102_Wkst'!$Q$7:$Q$2010,'LAC 102_Wkst'!$E$7:$E$2010,$C51,'LAC 102_Wkst'!$G$7:$G$2010,$D51,'LAC 102_Wkst'!$L$7:$L$2010,"07",'LAC 102_Wkst'!$N$7:$N$2010,"P4")</f>
        <v>0</v>
      </c>
      <c r="AC51" s="411">
        <f>SUMIFS('LAC 102_Wkst'!$AE$7:$AE$2010,'LAC 102_Wkst'!$E$7:$E$2010,$C51,'LAC 102_Wkst'!$G$7:$G$2010,$D51,'LAC 102_Wkst'!$L$7:$L$2010,"07",'LAC 102_Wkst'!$N$7:$N$2010,"P4")</f>
        <v>0</v>
      </c>
      <c r="AD51" s="410">
        <f>SUMIFS('LAC 102_Wkst'!$Q$7:$Q$2010,'LAC 102_Wkst'!$E$7:$E$2010,$C51,'LAC 102_Wkst'!$G$7:$G$2010,$D51,'LAC 102_Wkst'!$L$7:$L$2010,"07",'LAC 102_Wkst'!$N$7:$N$2010,"P5")</f>
        <v>0</v>
      </c>
      <c r="AE51" s="411">
        <f>SUMIFS('LAC 102_Wkst'!$AE$7:$AE$2010,'LAC 102_Wkst'!$E$7:$E$2010,$C51,'LAC 102_Wkst'!$G$7:$G$2010,$D51,'LAC 102_Wkst'!$L$7:$L$2010,"07",'LAC 102_Wkst'!$N$7:$N$2010,"P5")</f>
        <v>0</v>
      </c>
      <c r="AF51" s="410">
        <f>SUMIFS('LAC 102_Wkst'!$Q$7:$Q$2010,'LAC 102_Wkst'!$E$7:$E$2010,$C51,'LAC 102_Wkst'!$G$7:$G$2010,$D51,'LAC 102_Wkst'!$L$7:$L$2010,"08",'LAC 102_Wkst'!$N$7:$N$2010,"P1")+SUMIFS('LAC 102_Wkst'!$Q$7:$Q$2010,'LAC 102_Wkst'!$E$7:$E$2010,$C51,'LAC 102_Wkst'!$G$7:$G$2010,$D51,'LAC 102_Wkst'!$L$7:$L$2010,"08",'LAC 102_Wkst'!$N$7:$N$2010,"P2")+SUMIFS('LAC 102_Wkst'!$Q$7:$Q$2010,'LAC 102_Wkst'!$E$7:$E$2010,$C51,'LAC 102_Wkst'!$G$7:$G$2010,$D51,'LAC 102_Wkst'!$L$7:$L$2010,"08",'LAC 102_Wkst'!$N$7:$N$2010,"P3")</f>
        <v>0</v>
      </c>
      <c r="AG51" s="411">
        <f>SUMIFS('LAC 102_Wkst'!$AE$7:$AE$2010,'LAC 102_Wkst'!$E$7:$E$2010,$C51,'LAC 102_Wkst'!$G$7:$G$2010,$D51,'LAC 102_Wkst'!$L$7:$L$2010,"08",'LAC 102_Wkst'!$N$7:$N$2010,"P1")+SUMIFS('LAC 102_Wkst'!$AE$7:$AE$2010,'LAC 102_Wkst'!$E$7:$E$2010,$C51,'LAC 102_Wkst'!$G$7:$G$2010,$D51,'LAC 102_Wkst'!$L$7:$L$2010,"08",'LAC 102_Wkst'!$N$7:$N$2010,"P2")+SUMIFS('LAC 102_Wkst'!$AE$7:$AE$2010,'LAC 102_Wkst'!$E$7:$E$2010,$C51,'LAC 102_Wkst'!$G$7:$G$2010,$D51,'LAC 102_Wkst'!$L$7:$L$2010,"08",'LAC 102_Wkst'!$N$7:$N$2010,"P3")</f>
        <v>0</v>
      </c>
      <c r="AH51" s="410">
        <f>SUMIFS('LAC 102_Wkst'!$Q$7:$Q$2010,'LAC 102_Wkst'!$E$7:$E$2010,$C51,'LAC 102_Wkst'!$G$7:$G$2010,$D51,'LAC 102_Wkst'!$L$7:$L$2010,"08",'LAC 102_Wkst'!$N$7:$N$2010,"P4")</f>
        <v>0</v>
      </c>
      <c r="AI51" s="411">
        <f>SUMIFS('LAC 102_Wkst'!$AE$7:$AE$2010,'LAC 102_Wkst'!$E$7:$E$2010,$C51,'LAC 102_Wkst'!$G$7:$G$2010,$D51,'LAC 102_Wkst'!$L$7:$L$2010,"08",'LAC 102_Wkst'!$N$7:$N$2010,"P4")</f>
        <v>0</v>
      </c>
      <c r="AJ51" s="410">
        <f>SUMIFS('LAC 102_Wkst'!$Q$7:$Q$2010,'LAC 102_Wkst'!$E$7:$E$2010,$C51,'LAC 102_Wkst'!$G$7:$G$2010,$D51,'LAC 102_Wkst'!$L$7:$L$2010,"08",'LAC 102_Wkst'!$N$7:$N$2010,"P5")</f>
        <v>0</v>
      </c>
      <c r="AK51" s="411">
        <f>SUMIFS('LAC 102_Wkst'!$AE$7:$AE$2010,'LAC 102_Wkst'!$E$7:$E$2010,$C51,'LAC 102_Wkst'!$G$7:$G$2010,$D51,'LAC 102_Wkst'!$L$7:$L$2010,"08",'LAC 102_Wkst'!$N$7:$N$2010,"P5")</f>
        <v>0</v>
      </c>
      <c r="AL51" s="410">
        <f>SUMIFS('LAC 102_Wkst'!$Q$7:$Q$2010,'LAC 102_Wkst'!$E$7:$E$2010,$C51,'LAC 102_Wkst'!$G$7:$G$2010,$D51,'LAC 102_Wkst'!$L$7:$L$2010,"09",'LAC 102_Wkst'!$N$7:$N$2010,"P1")+SUMIFS('LAC 102_Wkst'!$Q$7:$Q$2010,'LAC 102_Wkst'!$E$7:$E$2010,$C51,'LAC 102_Wkst'!$G$7:$G$2010,$D51,'LAC 102_Wkst'!$L$7:$L$2010,"09",'LAC 102_Wkst'!$N$7:$N$2010,"P2")+SUMIFS('LAC 102_Wkst'!$Q$7:$Q$2010,'LAC 102_Wkst'!$E$7:$E$2010,$C51,'LAC 102_Wkst'!$G$7:$G$2010,$D51,'LAC 102_Wkst'!$L$7:$L$2010,"09",'LAC 102_Wkst'!$N$7:$N$2010,"P3")+SUMIFS('LAC 102_Wkst'!$Q$7:$Q$2010,'LAC 102_Wkst'!$E$7:$E$2010,$C51,'LAC 102_Wkst'!$G$7:$G$2010,$D51,'LAC 102_Wkst'!$L$7:$L$2010,"09",'LAC 102_Wkst'!$N$7:$N$2010,"P4")</f>
        <v>0</v>
      </c>
      <c r="AM51" s="411">
        <f>SUMIFS('LAC 102_Wkst'!$AE$7:$AE$2010,'LAC 102_Wkst'!$E$7:$E$2010,$C51,'LAC 102_Wkst'!$G$7:$G$2010,$D51,'LAC 102_Wkst'!$L$7:$L$2010,"09",'LAC 102_Wkst'!$N$7:$N$2010,"P1")+SUMIFS('LAC 102_Wkst'!$AE$7:$AE$2010,'LAC 102_Wkst'!$E$7:$E$2010,$C51,'LAC 102_Wkst'!$G$7:$G$2010,$D51,'LAC 102_Wkst'!$L$7:$L$2010,"09",'LAC 102_Wkst'!$N$7:$N$2010,"P2")+SUMIFS('LAC 102_Wkst'!$AE$7:$AE$2010,'LAC 102_Wkst'!$E$7:$E$2010,$C51,'LAC 102_Wkst'!$G$7:$G$2010,$D51,'LAC 102_Wkst'!$L$7:$L$2010,"09",'LAC 102_Wkst'!$N$7:$N$2010,"P3")+SUMIFS('LAC 102_Wkst'!$AE$7:$AE$2010,'LAC 102_Wkst'!$E$7:$E$2010,$C51,'LAC 102_Wkst'!$G$7:$G$2010,$D51,'LAC 102_Wkst'!$L$7:$L$2010,"09",'LAC 102_Wkst'!$N$7:$N$2010,"P4")</f>
        <v>0</v>
      </c>
      <c r="AN51" s="410">
        <f>SUMIFS('LAC 102_Wkst'!$Q$7:$Q$2010,'LAC 102_Wkst'!$E$7:$E$2010,$C51,'LAC 102_Wkst'!$G$7:$G$2010,$D51,'LAC 102_Wkst'!$L$7:$L$2010,"09",'LAC 102_Wkst'!$N$7:$N$2010,"P5")</f>
        <v>0</v>
      </c>
      <c r="AO51" s="411">
        <f>SUMIFS('LAC 102_Wkst'!$AE$7:$AE$2010,'LAC 102_Wkst'!$E$7:$E$2010,$C51,'LAC 102_Wkst'!$G$7:$G$2010,$D51,'LAC 102_Wkst'!$L$7:$L$2010,"09",'LAC 102_Wkst'!$N$7:$N$2010,"P5")</f>
        <v>0</v>
      </c>
      <c r="AP51" s="410">
        <f>SUMIFS('LAC 102_Wkst'!$Q$7:$Q$2010,'LAC 102_Wkst'!$E$7:$E$2010,$C51,'LAC 102_Wkst'!$G$7:$G$2010,$D51,'LAC 102_Wkst'!$L$7:$L$2010,"10",'LAC 102_Wkst'!$N$7:$N$2010,"P1")+SUMIFS('LAC 102_Wkst'!$Q$7:$Q$2010,'LAC 102_Wkst'!$E$7:$E$2010,$C51,'LAC 102_Wkst'!$G$7:$G$2010,$D51,'LAC 102_Wkst'!$L$7:$L$2010,"10",'LAC 102_Wkst'!$N$7:$N$2010,"P2")+SUMIFS('LAC 102_Wkst'!$Q$7:$Q$2010,'LAC 102_Wkst'!$E$7:$E$2010,$C51,'LAC 102_Wkst'!$G$7:$G$2010,$D51,'LAC 102_Wkst'!$L$7:$L$2010,"10",'LAC 102_Wkst'!$N$7:$N$2010,"P3")+SUMIFS('LAC 102_Wkst'!$Q$7:$Q$2010,'LAC 102_Wkst'!$E$7:$E$2010,$C51,'LAC 102_Wkst'!$G$7:$G$2010,$D51,'LAC 102_Wkst'!$L$7:$L$2010,"10",'LAC 102_Wkst'!$N$7:$N$2010,"P4")</f>
        <v>0</v>
      </c>
      <c r="AQ51" s="411">
        <f>SUMIFS('LAC 102_Wkst'!$AE$7:$AE$2010,'LAC 102_Wkst'!$E$7:$E$2010,$C51,'LAC 102_Wkst'!$G$7:$G$2010,$D51,'LAC 102_Wkst'!$L$7:$L$2010,"10",'LAC 102_Wkst'!$N$7:$N$2010,"P1")+SUMIFS('LAC 102_Wkst'!$AE$7:$AE$2010,'LAC 102_Wkst'!$E$7:$E$2010,$C51,'LAC 102_Wkst'!$G$7:$G$2010,$D51,'LAC 102_Wkst'!$L$7:$L$2010,"10",'LAC 102_Wkst'!$N$7:$N$2010,"P2")+SUMIFS('LAC 102_Wkst'!$AE$7:$AE$2010,'LAC 102_Wkst'!$E$7:$E$2010,$C51,'LAC 102_Wkst'!$G$7:$G$2010,$D51,'LAC 102_Wkst'!$L$7:$L$2010,"10",'LAC 102_Wkst'!$N$7:$N$2010,"P3")+SUMIFS('LAC 102_Wkst'!$AE$7:$AE$2010,'LAC 102_Wkst'!$E$7:$E$2010,$C51,'LAC 102_Wkst'!$G$7:$G$2010,$D51,'LAC 102_Wkst'!$L$7:$L$2010,"10",'LAC 102_Wkst'!$N$7:$N$2010,"P4")</f>
        <v>0</v>
      </c>
      <c r="AR51" s="410">
        <f>SUMIFS('LAC 102_Wkst'!$Q$7:$Q$2010,'LAC 102_Wkst'!$E$7:$E$2010,$C51,'LAC 102_Wkst'!$G$7:$G$2010,$D51,'LAC 102_Wkst'!$L$7:$L$2010,"10",'LAC 102_Wkst'!$N$7:$N$2010,"P5")</f>
        <v>0</v>
      </c>
      <c r="AS51" s="411">
        <f>SUMIFS('LAC 102_Wkst'!$AE$7:$AE$2010,'LAC 102_Wkst'!$E$7:$E$2010,$C51,'LAC 102_Wkst'!$G$7:$G$2010,$D51,'LAC 102_Wkst'!$L$7:$L$2010,"10",'LAC 102_Wkst'!$N$7:$N$2010,"P5")</f>
        <v>0</v>
      </c>
      <c r="AT51" s="410">
        <f>SUMIFS('LAC 102_Wkst'!$Q$7:$Q$2010,'LAC 102_Wkst'!$E$7:$E$2010,$C51,'LAC 102_Wkst'!$G$7:$G$2010,$D51,'LAC 102_Wkst'!$L$7:$L$2010,"11",'LAC 102_Wkst'!$N$7:$N$2010,"P1")+SUMIFS('LAC 102_Wkst'!$Q$7:$Q$2010,'LAC 102_Wkst'!$E$7:$E$2010,$C51,'LAC 102_Wkst'!$G$7:$G$2010,$D51,'LAC 102_Wkst'!$L$7:$L$2010,"12",'LAC 102_Wkst'!$N$7:$N$2010,"P1")</f>
        <v>0</v>
      </c>
      <c r="AU51" s="411">
        <f>SUMIFS('LAC 102_Wkst'!$AE$7:$AE$2010,'LAC 102_Wkst'!$E$7:$E$2010,$C51,'LAC 102_Wkst'!$G$7:$G$2010,$D51,'LAC 102_Wkst'!$L$7:$L$2010,"11",'LAC 102_Wkst'!$N$7:$N$2010,"P1")+SUMIFS('LAC 102_Wkst'!$AE$7:$AE$2010,'LAC 102_Wkst'!$E$7:$E$2010,$C51,'LAC 102_Wkst'!$G$7:$G$2010,$D51,'LAC 102_Wkst'!$L$7:$L$2010,"12",'LAC 102_Wkst'!$N$7:$N$2010,"P1")</f>
        <v>0</v>
      </c>
      <c r="AV51" s="410">
        <f>SUMIFS('LAC 102_Wkst'!$Q$7:$Q$2010,'LAC 102_Wkst'!$E$7:$E$2010,$C51,'LAC 102_Wkst'!$G$7:$G$2010,$D51,'LAC 102_Wkst'!$L$7:$L$2010,"11",'LAC 102_Wkst'!$N$7:$N$2010,"P2")+SUMIFS('LAC 102_Wkst'!$Q$7:$Q$2010,'LAC 102_Wkst'!$E$7:$E$2010,$C51,'LAC 102_Wkst'!$G$7:$G$2010,$D51,'LAC 102_Wkst'!$L$7:$L$2010,"12",'LAC 102_Wkst'!$N$7:$N$2010,"P3")+SUMIFS('LAC 102_Wkst'!$Q$7:$Q$2010,'LAC 102_Wkst'!$E$7:$E$2010,$C51,'LAC 102_Wkst'!$G$7:$G$2010,$D51,'LAC 102_Wkst'!$L$7:$L$2010,"11",'LAC 102_Wkst'!$N$7:$N$2010,"P2")+SUMIFS('LAC 102_Wkst'!$Q$7:$Q$2010,'LAC 102_Wkst'!$E$7:$E$2010,$C51,'LAC 102_Wkst'!$G$7:$G$2010,$D51,'LAC 102_Wkst'!$L$7:$L$2010,"12",'LAC 102_Wkst'!$N$7:$N$2010,"P3")</f>
        <v>0</v>
      </c>
      <c r="AW51" s="411">
        <f>SUMIFS('LAC 102_Wkst'!$AE$7:$AE$2010,'LAC 102_Wkst'!$E$7:$E$2010,$C51,'LAC 102_Wkst'!$G$7:$G$2010,$D51,'LAC 102_Wkst'!$L$7:$L$2010,"11",'LAC 102_Wkst'!$N$7:$N$2010,"P2")+SUMIFS('LAC 102_Wkst'!$AE$7:$AE$2010,'LAC 102_Wkst'!$E$7:$E$2010,$C51,'LAC 102_Wkst'!$G$7:$G$2010,$D51,'LAC 102_Wkst'!$L$7:$L$2010,"12",'LAC 102_Wkst'!$N$7:$N$2010,"P3")+SUMIFS('LAC 102_Wkst'!$AE$7:$AE$2010,'LAC 102_Wkst'!$E$7:$E$2010,$C51,'LAC 102_Wkst'!$G$7:$G$2010,$D51,'LAC 102_Wkst'!$L$7:$L$2010,"11",'LAC 102_Wkst'!$N$7:$N$2010,"P2")+SUMIFS('LAC 102_Wkst'!$AE$7:$AE$2010,'LAC 102_Wkst'!$E$7:$E$2010,$C51,'LAC 102_Wkst'!$G$7:$G$2010,$D51,'LAC 102_Wkst'!$L$7:$L$2010,"12",'LAC 102_Wkst'!$N$7:$N$2010,"P3")</f>
        <v>0</v>
      </c>
      <c r="AX51" s="410">
        <f>SUMIFS('LAC 102_Wkst'!$Q$7:$Q$2010,'LAC 102_Wkst'!$E$7:$E$2010,$C51,'LAC 102_Wkst'!$G$7:$G$2010,$D51,'LAC 102_Wkst'!$L$7:$L$2010,"11",'LAC 102_Wkst'!$N$7:$N$2010,"P4")+SUMIFS('LAC 102_Wkst'!$Q$7:$Q$2010,'LAC 102_Wkst'!$E$7:$E$2010,$C51,'LAC 102_Wkst'!$G$7:$G$2010,$D51,'LAC 102_Wkst'!$L$7:$L$2010,"12",'LAC 102_Wkst'!$N$7:$N$2010,"P4")</f>
        <v>0</v>
      </c>
      <c r="AY51" s="411">
        <f>SUMIFS('LAC 102_Wkst'!$AE$7:$AE$2010,'LAC 102_Wkst'!$E$7:$E$2010,$C51,'LAC 102_Wkst'!$G$7:$G$2010,$D51,'LAC 102_Wkst'!$L$7:$L$2010,"11",'LAC 102_Wkst'!$N$7:$N$2010,"P4")+SUMIFS('LAC 102_Wkst'!$AE$7:$AE$2010,'LAC 102_Wkst'!$E$7:$E$2010,$C51,'LAC 102_Wkst'!$G$7:$G$2010,$D51,'LAC 102_Wkst'!$L$7:$L$2010,"12",'LAC 102_Wkst'!$N$7:$N$2010,"P4")</f>
        <v>0</v>
      </c>
      <c r="AZ51" s="410">
        <f>SUMIFS('LAC 102_Wkst'!$Q$7:$Q$2010,'LAC 102_Wkst'!$E$7:$E$2010,$C51,'LAC 102_Wkst'!$G$7:$G$2010,$D51,'LAC 102_Wkst'!$L$7:$L$2010,"11",'LAC 102_Wkst'!$N$7:$N$2010,"P5")+SUMIFS('LAC 102_Wkst'!$Q$7:$Q$2010,'LAC 102_Wkst'!$E$7:$E$2010,$C51,'LAC 102_Wkst'!$G$7:$G$2010,$D51,'LAC 102_Wkst'!$L$7:$L$2010,"12",'LAC 102_Wkst'!$N$7:$N$2010,"P5")</f>
        <v>0</v>
      </c>
      <c r="BA51" s="411">
        <f>SUMIFS('LAC 102_Wkst'!$AE$7:$AE$2010,'LAC 102_Wkst'!$E$7:$E$2010,$C51,'LAC 102_Wkst'!$G$7:$G$2010,$D51,'LAC 102_Wkst'!$L$7:$L$2010,"11",'LAC 102_Wkst'!$N$7:$N$2010,"P5")+SUMIFS('LAC 102_Wkst'!$AE$7:$AE$2010,'LAC 102_Wkst'!$E$7:$E$2010,$C51,'LAC 102_Wkst'!$G$7:$G$2010,$D51,'LAC 102_Wkst'!$L$7:$L$2010,"12",'LAC 102_Wkst'!$N$7:$N$2010,"P5")</f>
        <v>0</v>
      </c>
      <c r="BB51" s="410">
        <f>SUMIFS('LAC 102_Wkst'!$Q$7:$Q$2010,'LAC 102_Wkst'!$E$7:$E$2010,$C51,'LAC 102_Wkst'!$G$7:$G$2010,$D51,'LAC 102_Wkst'!$L$7:$L$2010,"13",'LAC 102_Wkst'!$N$7:$N$2010,"P1")+SUMIFS('LAC 102_Wkst'!$Q$7:$Q$2010,'LAC 102_Wkst'!$E$7:$E$2010,$C51,'LAC 102_Wkst'!$G$7:$G$2010,$D51,'LAC 102_Wkst'!$L$7:$L$2010,"13",'LAC 102_Wkst'!$N$7:$N$2010,"P2")+SUMIFS('LAC 102_Wkst'!$Q$7:$Q$2010,'LAC 102_Wkst'!$E$7:$E$2010,$C51,'LAC 102_Wkst'!$G$7:$G$2010,$D51,'LAC 102_Wkst'!$L$7:$L$2010,"13",'LAC 102_Wkst'!$N$7:$N$2010,"P3")+SUMIFS('LAC 102_Wkst'!$Q$7:$Q$2010,'LAC 102_Wkst'!$E$7:$E$2010,$C51,'LAC 102_Wkst'!$G$7:$G$2010,$D51,'LAC 102_Wkst'!$L$7:$L$2010,"13",'LAC 102_Wkst'!$N$7:$N$2010,"P4")</f>
        <v>0</v>
      </c>
      <c r="BC51" s="411">
        <f>SUMIFS('LAC 102_Wkst'!$AE$7:$AE$2010,'LAC 102_Wkst'!$E$7:$E$2010,$C51,'LAC 102_Wkst'!$G$7:$G$2010,$D51,'LAC 102_Wkst'!$L$7:$L$2010,"13",'LAC 102_Wkst'!$N$7:$N$2010,"P1")+SUMIFS('LAC 102_Wkst'!$AE$7:$AE$2010,'LAC 102_Wkst'!$E$7:$E$2010,$C51,'LAC 102_Wkst'!$G$7:$G$2010,$D51,'LAC 102_Wkst'!$L$7:$L$2010,"13",'LAC 102_Wkst'!$N$7:$N$2010,"P2")+SUMIFS('LAC 102_Wkst'!$AE$7:$AE$2010,'LAC 102_Wkst'!$E$7:$E$2010,$C51,'LAC 102_Wkst'!$G$7:$G$2010,$D51,'LAC 102_Wkst'!$L$7:$L$2010,"13",'LAC 102_Wkst'!$N$7:$N$2010,"P3")+SUMIFS('LAC 102_Wkst'!$AE$7:$AE$2010,'LAC 102_Wkst'!$E$7:$E$2010,$C51,'LAC 102_Wkst'!$G$7:$G$2010,$D51,'LAC 102_Wkst'!$L$7:$L$2010,"13",'LAC 102_Wkst'!$N$7:$N$2010,"P4")</f>
        <v>0</v>
      </c>
      <c r="BD51" s="410">
        <f>SUMIFS('LAC 102_Wkst'!$Q$7:$Q$2010,'LAC 102_Wkst'!$E$7:$E$2010,$C51,'LAC 102_Wkst'!$G$7:$G$2010,$D51,'LAC 102_Wkst'!$L$7:$L$2010,"13",'LAC 102_Wkst'!$N$7:$N$2010,"P5")</f>
        <v>0</v>
      </c>
      <c r="BE51" s="411">
        <f>SUMIFS('LAC 102_Wkst'!$AE$7:$AE$2010,'LAC 102_Wkst'!$E$7:$E$2010,$C51,'LAC 102_Wkst'!$G$7:$G$2010,$D51,'LAC 102_Wkst'!$L$7:$L$2010,"13",'LAC 102_Wkst'!$N$7:$N$2010,"P5")</f>
        <v>0</v>
      </c>
      <c r="BF51" s="407">
        <f t="shared" si="0"/>
        <v>0</v>
      </c>
    </row>
    <row r="52" spans="1:58" x14ac:dyDescent="0.2">
      <c r="A52" s="401">
        <v>33</v>
      </c>
      <c r="B52" s="1236"/>
      <c r="C52" s="1235"/>
      <c r="D52" s="1237"/>
      <c r="E52" s="1222">
        <f>IF(CONCATENATE(C52,D52)&gt;"6069",1,SUMIFS('LAC 102_Wkst'!$Q$7:$Q$2010,'LAC 102_Wkst'!$E$7:$E$2010,Schedule_B!$C52,'LAC 102_Wkst'!$G$7:$G$2010,Schedule_B!$D52))</f>
        <v>0</v>
      </c>
      <c r="F52" s="408">
        <f>SUMIFS('LAC 102_Wkst'!$Q$7:$Q$2010,'LAC 102_Wkst'!$E$7:$E$2010,$C52,'LAC 102_Wkst'!$G$7:$G$2010,$D52,'LAC 102_Wkst'!$L$7:$L$2010,"01",'LAC 102_Wkst'!$N$7:$N$2010,"P1")+SUMIFS('LAC 102_Wkst'!$Q$7:$Q$2010,'LAC 102_Wkst'!$E$7:$E$2010,$C52,'LAC 102_Wkst'!$G$7:$G$2010,$D52,'LAC 102_Wkst'!$L$7:$L$2010,"01",'LAC 102_Wkst'!$N$7:$N$2010,"P2")+SUMIFS('LAC 102_Wkst'!$Q$7:$Q$2010,'LAC 102_Wkst'!$E$7:$E$2010,$C52,'LAC 102_Wkst'!$G$7:$G$2010,$D52,'LAC 102_Wkst'!$L$7:$L$2010,"01",'LAC 102_Wkst'!$N$7:$N$2010,"P3")+SUMIFS('LAC 102_Wkst'!$Q$7:$Q$2010,'LAC 102_Wkst'!$E$7:$E$2010,$C52,'LAC 102_Wkst'!$G$7:$G$2010,$D52,'LAC 102_Wkst'!$L$7:$L$2010,"02",'LAC 102_Wkst'!$N$7:$N$2010,"P1")+SUMIFS('LAC 102_Wkst'!$Q$7:$Q$2010,'LAC 102_Wkst'!$E$7:$E$2010,$C52,'LAC 102_Wkst'!$G$7:$G$2010,$D52,'LAC 102_Wkst'!$L$7:$L$2010,"02",'LAC 102_Wkst'!$N$7:$N$2010,"P2")+SUMIFS('LAC 102_Wkst'!$Q$7:$Q$2010,'LAC 102_Wkst'!$E$7:$E$2010,$C52,'LAC 102_Wkst'!$G$7:$G$2010,$D52,'LAC 102_Wkst'!$L$7:$L$2010,"02",'LAC 102_Wkst'!$N$7:$N$2010,"P3")</f>
        <v>0</v>
      </c>
      <c r="G52" s="409">
        <f>SUMIFS('LAC 102_Wkst'!$AE$7:$AE$2010,'LAC 102_Wkst'!$E$7:$E$2010,$C52,'LAC 102_Wkst'!$G$7:$G$2010,$D52,'LAC 102_Wkst'!$L$7:$L$2010,"01",'LAC 102_Wkst'!$N$7:$N$2010,"P1")+SUMIFS('LAC 102_Wkst'!$AE$7:$AE$2010,'LAC 102_Wkst'!$E$7:$E$2010,$C52,'LAC 102_Wkst'!$G$7:$G$2010,$D52,'LAC 102_Wkst'!$L$7:$L$2010,"01",'LAC 102_Wkst'!$N$7:$N$2010,"P2")+SUMIFS('LAC 102_Wkst'!$AE$7:$AE$2010,'LAC 102_Wkst'!$E$7:$E$2010,$C52,'LAC 102_Wkst'!$G$7:$G$2010,$D52,'LAC 102_Wkst'!$L$7:$L$2010,"01",'LAC 102_Wkst'!$N$7:$N$2010,"P3")+SUMIFS('LAC 102_Wkst'!$AE$7:$AE$2010,'LAC 102_Wkst'!$E$7:$E$2010,$C52,'LAC 102_Wkst'!$G$7:$G$2010,$D52,'LAC 102_Wkst'!$L$7:$L$2010,"02",'LAC 102_Wkst'!$N$7:$N$2010,"P1")+SUMIFS('LAC 102_Wkst'!$AE$7:$AE$2010,'LAC 102_Wkst'!$E$7:$E$2010,$C52,'LAC 102_Wkst'!$G$7:$G$2010,$D52,'LAC 102_Wkst'!$L$7:$L$2010,"02",'LAC 102_Wkst'!$N$7:$N$2010,"P2")+SUMIFS('LAC 102_Wkst'!$AE$7:$AE$2010,'LAC 102_Wkst'!$E$7:$E$2010,$C52,'LAC 102_Wkst'!$G$7:$G$2010,$D52,'LAC 102_Wkst'!$L$7:$L$2010,"02",'LAC 102_Wkst'!$N$7:$N$2010,"P3")</f>
        <v>0</v>
      </c>
      <c r="H52" s="410">
        <f>SUMIFS('LAC 102_Wkst'!$Q$7:$Q$2010,'LAC 102_Wkst'!$E$7:$E$2010,$C52,'LAC 102_Wkst'!$G$7:$G$2010,$D52,'LAC 102_Wkst'!$L$7:$L$2010,"01",'LAC 102_Wkst'!$N$7:$N$2010,"P4")+SUMIFS('LAC 102_Wkst'!$Q$7:$Q$2010,'LAC 102_Wkst'!$E$7:$E$2010,$C52,'LAC 102_Wkst'!$G$7:$G$2010,$D52,'LAC 102_Wkst'!$L$7:$L$2010,"02",'LAC 102_Wkst'!$N$7:$N$2010,"P4")</f>
        <v>0</v>
      </c>
      <c r="I52" s="411">
        <f>SUMIFS('LAC 102_Wkst'!$AE$7:$AE$2010,'LAC 102_Wkst'!$E$7:$E$2010,$C52,'LAC 102_Wkst'!$G$7:$G$2010,$D52,'LAC 102_Wkst'!$L$7:$L$2010,"01",'LAC 102_Wkst'!$N$7:$N$2010,"P4")+SUMIFS('LAC 102_Wkst'!$AE$7:$AE$2010,'LAC 102_Wkst'!$E$7:$E$2010,$C52,'LAC 102_Wkst'!$G$7:$G$2010,$D52,'LAC 102_Wkst'!$L$7:$L$2010,"02",'LAC 102_Wkst'!$N$7:$N$2010,"P4")</f>
        <v>0</v>
      </c>
      <c r="J52" s="410">
        <f>SUMIFS('LAC 102_Wkst'!$Q$7:$Q$2010,'LAC 102_Wkst'!$E$7:$E$2010,$C52,'LAC 102_Wkst'!$G$7:$G$2010,$D52,'LAC 102_Wkst'!$L$7:$L$2010,"01",'LAC 102_Wkst'!$N$7:$N$2010,"P5")+SUMIFS('LAC 102_Wkst'!$Q$7:$Q$2010,'LAC 102_Wkst'!$E$7:$E$2010,$C52,'LAC 102_Wkst'!$G$7:$G$2010,$D52,'LAC 102_Wkst'!$L$7:$L$2010,"02",'LAC 102_Wkst'!$N$7:$N$2010,"P5")</f>
        <v>0</v>
      </c>
      <c r="K52" s="411">
        <f>SUMIFS('LAC 102_Wkst'!$AE$7:$AE$2010,'LAC 102_Wkst'!$E$7:$E$2010,$C52,'LAC 102_Wkst'!$G$7:$G$2010,$D52,'LAC 102_Wkst'!$L$7:$L$2010,"01",'LAC 102_Wkst'!$N$7:$N$2010,"P5")+SUMIFS('LAC 102_Wkst'!$AE$7:$AE$2010,'LAC 102_Wkst'!$E$7:$E$2010,$C52,'LAC 102_Wkst'!$G$7:$G$2010,$D52,'LAC 102_Wkst'!$L$7:$L$2010,"02",'LAC 102_Wkst'!$N$7:$N$2010,"P5")</f>
        <v>0</v>
      </c>
      <c r="L52" s="410">
        <f>SUMIFS('LAC 102_Wkst'!$Q$7:$Q$2010,'LAC 102_Wkst'!$E$7:$E$2010,$C52,'LAC 102_Wkst'!$G$7:$G$2010,$D52,'LAC 102_Wkst'!$L$7:$L$2010,"03",'LAC 102_Wkst'!$N$7:$N$2010,"P1")+SUMIFS('LAC 102_Wkst'!$Q$7:$Q$2010,'LAC 102_Wkst'!$E$7:$E$2010,$C52,'LAC 102_Wkst'!$G$7:$G$2010,$D52,'LAC 102_Wkst'!$L$7:$L$2010,"03",'LAC 102_Wkst'!$N$7:$N$2010,"P2")+SUMIFS('LAC 102_Wkst'!$Q$7:$Q$2010,'LAC 102_Wkst'!$E$7:$E$2010,$C52,'LAC 102_Wkst'!$G$7:$G$2010,$D52,'LAC 102_Wkst'!$L$7:$L$2010,"03",'LAC 102_Wkst'!$N$7:$N$2010,"P3")+SUMIFS('LAC 102_Wkst'!$Q$7:$Q$2010,'LAC 102_Wkst'!$E$7:$E$2010,$C52,'LAC 102_Wkst'!$G$7:$G$2010,$D52,'LAC 102_Wkst'!$L$7:$L$2010,"04",'LAC 102_Wkst'!$N$7:$N$2010,"P1")+SUMIFS('LAC 102_Wkst'!$Q$7:$Q$2010,'LAC 102_Wkst'!$E$7:$E$2010,$C52,'LAC 102_Wkst'!$G$7:$G$2010,$D52,'LAC 102_Wkst'!$L$7:$L$2010,"04",'LAC 102_Wkst'!$N$7:$N$2010,"P2")+SUMIFS('LAC 102_Wkst'!$Q$7:$Q$2010,'LAC 102_Wkst'!$E$7:$E$2010,$C52,'LAC 102_Wkst'!$G$7:$G$2010,$D52,'LAC 102_Wkst'!$L$7:$L$2010,"04",'LAC 102_Wkst'!$N$7:$N$2010,"P3")</f>
        <v>0</v>
      </c>
      <c r="M52" s="411">
        <f>SUMIFS('LAC 102_Wkst'!$AE$7:$AE$2010,'LAC 102_Wkst'!$E$7:$E$2010,$C52,'LAC 102_Wkst'!$G$7:$G$2010,$D52,'LAC 102_Wkst'!$L$7:$L$2010,"03",'LAC 102_Wkst'!$N$7:$N$2010,"P1")+SUMIFS('LAC 102_Wkst'!$AE$7:$AE$2010,'LAC 102_Wkst'!$E$7:$E$2010,$C52,'LAC 102_Wkst'!$G$7:$G$2010,$D52,'LAC 102_Wkst'!$L$7:$L$2010,"03",'LAC 102_Wkst'!$N$7:$N$2010,"P2")+SUMIFS('LAC 102_Wkst'!$AE$7:$AE$2010,'LAC 102_Wkst'!$E$7:$E$2010,$C52,'LAC 102_Wkst'!$G$7:$G$2010,$D52,'LAC 102_Wkst'!$L$7:$L$2010,"03",'LAC 102_Wkst'!$N$7:$N$2010,"P3")+SUMIFS('LAC 102_Wkst'!$AE$7:$AE$2010,'LAC 102_Wkst'!$E$7:$E$2010,$C52,'LAC 102_Wkst'!$G$7:$G$2010,$D52,'LAC 102_Wkst'!$L$7:$L$2010,"04",'LAC 102_Wkst'!$N$7:$N$2010,"P1")+SUMIFS('LAC 102_Wkst'!$AE$7:$AE$2010,'LAC 102_Wkst'!$E$7:$E$2010,$C52,'LAC 102_Wkst'!$G$7:$G$2010,$D52,'LAC 102_Wkst'!$L$7:$L$2010,"04",'LAC 102_Wkst'!$N$7:$N$2010,"P2")+SUMIFS('LAC 102_Wkst'!$AE$7:$AE$2010,'LAC 102_Wkst'!$E$7:$E$2010,$C52,'LAC 102_Wkst'!$G$7:$G$2010,$D52,'LAC 102_Wkst'!$L$7:$L$2010,"04",'LAC 102_Wkst'!$N$7:$N$2010,"P3")</f>
        <v>0</v>
      </c>
      <c r="N52" s="410">
        <f>SUMIFS('LAC 102_Wkst'!$Q$7:$Q$2010,'LAC 102_Wkst'!$E$7:$E$2010,$C52,'LAC 102_Wkst'!$G$7:$G$2010,$D52,'LAC 102_Wkst'!$L$7:$L$2010,"03",'LAC 102_Wkst'!$N$7:$N$2010,"P4")+SUMIFS('LAC 102_Wkst'!$Q$7:$Q$2010,'LAC 102_Wkst'!$E$7:$E$2010,$C52,'LAC 102_Wkst'!$G$7:$G$2010,$D52,'LAC 102_Wkst'!$L$7:$L$2010,"04",'LAC 102_Wkst'!$N$7:$N$2010,"P4")</f>
        <v>0</v>
      </c>
      <c r="O52" s="411">
        <f>SUMIFS('LAC 102_Wkst'!$AE$7:$AE$2010,'LAC 102_Wkst'!$E$7:$E$2010,$C52,'LAC 102_Wkst'!$G$7:$G$2010,$D52,'LAC 102_Wkst'!$L$7:$L$2010,"03",'LAC 102_Wkst'!$N$7:$N$2010,"P4")+SUMIFS('LAC 102_Wkst'!$AE$7:$AE$2010,'LAC 102_Wkst'!$E$7:$E$2010,$C52,'LAC 102_Wkst'!$G$7:$G$2010,$D52,'LAC 102_Wkst'!$L$7:$L$2010,"04",'LAC 102_Wkst'!$N$7:$N$2010,"P4")</f>
        <v>0</v>
      </c>
      <c r="P52" s="410">
        <f>SUMIFS('LAC 102_Wkst'!$Q$7:$Q$2010,'LAC 102_Wkst'!$E$7:$E$2010,$C52,'LAC 102_Wkst'!$G$7:$G$2010,$D52,'LAC 102_Wkst'!$L$7:$L$2010,"03",'LAC 102_Wkst'!$N$7:$N$2010,"P5")+SUMIFS('LAC 102_Wkst'!$Q$7:$Q$2010,'LAC 102_Wkst'!$E$7:$E$2010,$C52,'LAC 102_Wkst'!$G$7:$G$2010,$D52,'LAC 102_Wkst'!$L$7:$L$2010,"04",'LAC 102_Wkst'!$N$7:$N$2010,"P5")</f>
        <v>0</v>
      </c>
      <c r="Q52" s="411">
        <f>SUMIFS('LAC 102_Wkst'!$AE$7:$AE$2010,'LAC 102_Wkst'!$E$7:$E$2010,$C52,'LAC 102_Wkst'!$G$7:$G$2010,$D52,'LAC 102_Wkst'!$L$7:$L$2010,"03",'LAC 102_Wkst'!$N$7:$N$2010,"P5")+SUMIFS('LAC 102_Wkst'!$AE$7:$AE$2010,'LAC 102_Wkst'!$E$7:$E$2010,$C52,'LAC 102_Wkst'!$G$7:$G$2010,$D52,'LAC 102_Wkst'!$L$7:$L$2010,"04",'LAC 102_Wkst'!$N$7:$N$2010,"P5")</f>
        <v>0</v>
      </c>
      <c r="R52" s="412">
        <f>SUMIFS('LAC 102_Wkst'!$Q$7:$Q$2010,'LAC 102_Wkst'!$E$7:$E$2010,$C52,'LAC 102_Wkst'!$G$7:$G$2010,$D52,'LAC 102_Wkst'!$L$7:$L$2010,"05",'LAC 102_Wkst'!$N$7:$N$2010,"P1")+SUMIFS('LAC 102_Wkst'!$Q$7:$Q$2010,'LAC 102_Wkst'!$E$7:$E$2010,$C52,'LAC 102_Wkst'!$G$7:$G$2010,$D52,'LAC 102_Wkst'!$L$7:$L$2010,"06",'LAC 102_Wkst'!$N$7:$N$2010,"P1")</f>
        <v>0</v>
      </c>
      <c r="S52" s="411">
        <f>SUMIFS('LAC 102_Wkst'!$AE$7:$AE$2010,'LAC 102_Wkst'!$E$7:$E$2010,$C52,'LAC 102_Wkst'!$G$7:$G$2010,$D52,'LAC 102_Wkst'!$L$7:$L$2010,"05",'LAC 102_Wkst'!$N$7:$N$2010,"P1")+SUMIFS('LAC 102_Wkst'!$AE$7:$AE$2010,'LAC 102_Wkst'!$E$7:$E$2010,$C52,'LAC 102_Wkst'!$G$7:$G$2010,$D52,'LAC 102_Wkst'!$L$7:$L$2010,"06",'LAC 102_Wkst'!$N$7:$N$2010,"P1")</f>
        <v>0</v>
      </c>
      <c r="T52" s="410">
        <f>SUMIFS('LAC 102_Wkst'!$Q$7:$Q$2010,'LAC 102_Wkst'!$E$7:$E$2010,$C52,'LAC 102_Wkst'!$G$7:$G$2010,$D52,'LAC 102_Wkst'!$L$7:$L$2010,"05",'LAC 102_Wkst'!$N$7:$N$2010,"P2")+SUMIFS('LAC 102_Wkst'!$Q$7:$Q$2010,'LAC 102_Wkst'!$E$7:$E$2010,$C52,'LAC 102_Wkst'!$G$7:$G$2010,$D52,'LAC 102_Wkst'!$L$7:$L$2010,"05",'LAC 102_Wkst'!$N$7:$N$2010,"P3")+SUMIFS('LAC 102_Wkst'!$Q$7:$Q$2010,'LAC 102_Wkst'!$E$7:$E$2010,$C52,'LAC 102_Wkst'!$G$7:$G$2010,$D52,'LAC 102_Wkst'!$L$7:$L$2010,"06",'LAC 102_Wkst'!$N$7:$N$2010,"P2")+SUMIFS('LAC 102_Wkst'!$Q$7:$Q$2010,'LAC 102_Wkst'!$E$7:$E$2010,$C52,'LAC 102_Wkst'!$G$7:$G$2010,$D52,'LAC 102_Wkst'!$L$7:$L$2010,"06",'LAC 102_Wkst'!$N$7:$N$2010,"P3")</f>
        <v>0</v>
      </c>
      <c r="U52" s="411">
        <f>SUMIFS('LAC 102_Wkst'!$AE$7:$AE$2010,'LAC 102_Wkst'!$E$7:$E$2010,$C52,'LAC 102_Wkst'!$G$7:$G$2010,$D52,'LAC 102_Wkst'!$L$7:$L$2010,"05",'LAC 102_Wkst'!$N$7:$N$2010,"P2")+SUMIFS('LAC 102_Wkst'!$AE$7:$AE$2010,'LAC 102_Wkst'!$E$7:$E$2010,$C52,'LAC 102_Wkst'!$G$7:$G$2010,$D52,'LAC 102_Wkst'!$L$7:$L$2010,"06",'LAC 102_Wkst'!$N$7:$N$2010,"P3")+SUMIFS('LAC 102_Wkst'!$AE$7:$AE$2010,'LAC 102_Wkst'!$E$7:$E$2010,$C52,'LAC 102_Wkst'!$G$7:$G$2010,$D52,'LAC 102_Wkst'!$L$7:$L$2010,"05",'LAC 102_Wkst'!$N$7:$N$2010,"P2")+SUMIFS('LAC 102_Wkst'!$AE$7:$AE$2010,'LAC 102_Wkst'!$E$7:$E$2010,$C52,'LAC 102_Wkst'!$G$7:$G$2010,$D52,'LAC 102_Wkst'!$L$7:$L$2010,"06",'LAC 102_Wkst'!$N$7:$N$2010,"P3")</f>
        <v>0</v>
      </c>
      <c r="V52" s="410">
        <f>SUMIFS('LAC 102_Wkst'!$Q$7:$Q$2010,'LAC 102_Wkst'!$E$7:$E$2010,$C52,'LAC 102_Wkst'!$G$7:$G$2010,$D52,'LAC 102_Wkst'!$L$7:$L$2010,"05",'LAC 102_Wkst'!$N$7:$N$2010,"P4")+SUMIFS('LAC 102_Wkst'!$Q$7:$Q$2010,'LAC 102_Wkst'!$E$7:$E$2010,$C52,'LAC 102_Wkst'!$G$7:$G$2010,$D52,'LAC 102_Wkst'!$L$7:$L$2010,"06",'LAC 102_Wkst'!$N$7:$N$2010,"P4")</f>
        <v>0</v>
      </c>
      <c r="W52" s="411">
        <f>SUMIFS('LAC 102_Wkst'!$AE$7:$AE$2010,'LAC 102_Wkst'!$E$7:$E$2010,$C52,'LAC 102_Wkst'!$G$7:$G$2010,$D52,'LAC 102_Wkst'!$L$7:$L$2010,"05",'LAC 102_Wkst'!$N$7:$N$2010,"P4")+SUMIFS('LAC 102_Wkst'!$AE$7:$AE$2010,'LAC 102_Wkst'!$E$7:$E$2010,$C52,'LAC 102_Wkst'!$G$7:$G$2010,$D52,'LAC 102_Wkst'!$L$7:$L$2010,"06",'LAC 102_Wkst'!$N$7:$N$2010,"P4")</f>
        <v>0</v>
      </c>
      <c r="X52" s="410">
        <f>SUMIFS('LAC 102_Wkst'!$Q$7:$Q$2010,'LAC 102_Wkst'!$E$7:$E$2010,$C52,'LAC 102_Wkst'!$G$7:$G$2010,$D52,'LAC 102_Wkst'!$L$7:$L$2010,"05",'LAC 102_Wkst'!$N$7:$N$2010,"P5")+SUMIFS('LAC 102_Wkst'!$Q$7:$Q$2010,'LAC 102_Wkst'!$E$7:$E$2010,$C52,'LAC 102_Wkst'!$G$7:$G$2010,$D52,'LAC 102_Wkst'!$L$7:$L$2010,"06",'LAC 102_Wkst'!$N$7:$N$2010,"P5")</f>
        <v>0</v>
      </c>
      <c r="Y52" s="411">
        <f>SUMIFS('LAC 102_Wkst'!$AE$7:$AE$2010,'LAC 102_Wkst'!$E$7:$E$2010,$C52,'LAC 102_Wkst'!$G$7:$G$2010,$D52,'LAC 102_Wkst'!$L$7:$L$2010,"05",'LAC 102_Wkst'!$N$7:$N$2010,"P5")+SUMIFS('LAC 102_Wkst'!$AE$7:$AE$2010,'LAC 102_Wkst'!$E$7:$E$2010,$C52,'LAC 102_Wkst'!$G$7:$G$2010,$D52,'LAC 102_Wkst'!$L$7:$L$2010,"06",'LAC 102_Wkst'!$N$7:$N$2010,"P5")</f>
        <v>0</v>
      </c>
      <c r="Z52" s="410">
        <f>SUMIFS('LAC 102_Wkst'!$Q$7:$Q$2010,'LAC 102_Wkst'!$E$7:$E$2010,$C52,'LAC 102_Wkst'!$G$7:$G$2010,$D52,'LAC 102_Wkst'!$L$7:$L$2010,"07",'LAC 102_Wkst'!$N$7:$N$2010,"P1")+SUMIFS('LAC 102_Wkst'!$Q$7:$Q$2010,'LAC 102_Wkst'!$E$7:$E$2010,$C52,'LAC 102_Wkst'!$G$7:$G$2010,$D52,'LAC 102_Wkst'!$L$7:$L$2010,"07",'LAC 102_Wkst'!$N$7:$N$2010,"P2")+SUMIFS('LAC 102_Wkst'!$Q$7:$Q$2010,'LAC 102_Wkst'!$E$7:$E$2010,$C52,'LAC 102_Wkst'!$G$7:$G$2010,$D52,'LAC 102_Wkst'!$L$7:$L$2010,"07",'LAC 102_Wkst'!$N$7:$N$2010,"P3")</f>
        <v>0</v>
      </c>
      <c r="AA52" s="411">
        <f>SUMIFS('LAC 102_Wkst'!$AE$7:$AE$2010,'LAC 102_Wkst'!$E$7:$E$2010,$C52,'LAC 102_Wkst'!$G$7:$G$2010,$D52,'LAC 102_Wkst'!$L$7:$L$2010,"07",'LAC 102_Wkst'!$N$7:$N$2010,"P1")+SUMIFS('LAC 102_Wkst'!$AE$7:$AE$2010,'LAC 102_Wkst'!$E$7:$E$2010,$C52,'LAC 102_Wkst'!$G$7:$G$2010,$D52,'LAC 102_Wkst'!$L$7:$L$2010,"07",'LAC 102_Wkst'!$N$7:$N$2010,"P2")+SUMIFS('LAC 102_Wkst'!$AE$7:$AE$2010,'LAC 102_Wkst'!$E$7:$E$2010,$C52,'LAC 102_Wkst'!$G$7:$G$2010,$D52,'LAC 102_Wkst'!$L$7:$L$2010,"07",'LAC 102_Wkst'!$N$7:$N$2010,"P3")</f>
        <v>0</v>
      </c>
      <c r="AB52" s="410">
        <f>SUMIFS('LAC 102_Wkst'!$Q$7:$Q$2010,'LAC 102_Wkst'!$E$7:$E$2010,$C52,'LAC 102_Wkst'!$G$7:$G$2010,$D52,'LAC 102_Wkst'!$L$7:$L$2010,"07",'LAC 102_Wkst'!$N$7:$N$2010,"P4")</f>
        <v>0</v>
      </c>
      <c r="AC52" s="411">
        <f>SUMIFS('LAC 102_Wkst'!$AE$7:$AE$2010,'LAC 102_Wkst'!$E$7:$E$2010,$C52,'LAC 102_Wkst'!$G$7:$G$2010,$D52,'LAC 102_Wkst'!$L$7:$L$2010,"07",'LAC 102_Wkst'!$N$7:$N$2010,"P4")</f>
        <v>0</v>
      </c>
      <c r="AD52" s="410">
        <f>SUMIFS('LAC 102_Wkst'!$Q$7:$Q$2010,'LAC 102_Wkst'!$E$7:$E$2010,$C52,'LAC 102_Wkst'!$G$7:$G$2010,$D52,'LAC 102_Wkst'!$L$7:$L$2010,"07",'LAC 102_Wkst'!$N$7:$N$2010,"P5")</f>
        <v>0</v>
      </c>
      <c r="AE52" s="411">
        <f>SUMIFS('LAC 102_Wkst'!$AE$7:$AE$2010,'LAC 102_Wkst'!$E$7:$E$2010,$C52,'LAC 102_Wkst'!$G$7:$G$2010,$D52,'LAC 102_Wkst'!$L$7:$L$2010,"07",'LAC 102_Wkst'!$N$7:$N$2010,"P5")</f>
        <v>0</v>
      </c>
      <c r="AF52" s="410">
        <f>SUMIFS('LAC 102_Wkst'!$Q$7:$Q$2010,'LAC 102_Wkst'!$E$7:$E$2010,$C52,'LAC 102_Wkst'!$G$7:$G$2010,$D52,'LAC 102_Wkst'!$L$7:$L$2010,"08",'LAC 102_Wkst'!$N$7:$N$2010,"P1")+SUMIFS('LAC 102_Wkst'!$Q$7:$Q$2010,'LAC 102_Wkst'!$E$7:$E$2010,$C52,'LAC 102_Wkst'!$G$7:$G$2010,$D52,'LAC 102_Wkst'!$L$7:$L$2010,"08",'LAC 102_Wkst'!$N$7:$N$2010,"P2")+SUMIFS('LAC 102_Wkst'!$Q$7:$Q$2010,'LAC 102_Wkst'!$E$7:$E$2010,$C52,'LAC 102_Wkst'!$G$7:$G$2010,$D52,'LAC 102_Wkst'!$L$7:$L$2010,"08",'LAC 102_Wkst'!$N$7:$N$2010,"P3")</f>
        <v>0</v>
      </c>
      <c r="AG52" s="411">
        <f>SUMIFS('LAC 102_Wkst'!$AE$7:$AE$2010,'LAC 102_Wkst'!$E$7:$E$2010,$C52,'LAC 102_Wkst'!$G$7:$G$2010,$D52,'LAC 102_Wkst'!$L$7:$L$2010,"08",'LAC 102_Wkst'!$N$7:$N$2010,"P1")+SUMIFS('LAC 102_Wkst'!$AE$7:$AE$2010,'LAC 102_Wkst'!$E$7:$E$2010,$C52,'LAC 102_Wkst'!$G$7:$G$2010,$D52,'LAC 102_Wkst'!$L$7:$L$2010,"08",'LAC 102_Wkst'!$N$7:$N$2010,"P2")+SUMIFS('LAC 102_Wkst'!$AE$7:$AE$2010,'LAC 102_Wkst'!$E$7:$E$2010,$C52,'LAC 102_Wkst'!$G$7:$G$2010,$D52,'LAC 102_Wkst'!$L$7:$L$2010,"08",'LAC 102_Wkst'!$N$7:$N$2010,"P3")</f>
        <v>0</v>
      </c>
      <c r="AH52" s="410">
        <f>SUMIFS('LAC 102_Wkst'!$Q$7:$Q$2010,'LAC 102_Wkst'!$E$7:$E$2010,$C52,'LAC 102_Wkst'!$G$7:$G$2010,$D52,'LAC 102_Wkst'!$L$7:$L$2010,"08",'LAC 102_Wkst'!$N$7:$N$2010,"P4")</f>
        <v>0</v>
      </c>
      <c r="AI52" s="411">
        <f>SUMIFS('LAC 102_Wkst'!$AE$7:$AE$2010,'LAC 102_Wkst'!$E$7:$E$2010,$C52,'LAC 102_Wkst'!$G$7:$G$2010,$D52,'LAC 102_Wkst'!$L$7:$L$2010,"08",'LAC 102_Wkst'!$N$7:$N$2010,"P4")</f>
        <v>0</v>
      </c>
      <c r="AJ52" s="410">
        <f>SUMIFS('LAC 102_Wkst'!$Q$7:$Q$2010,'LAC 102_Wkst'!$E$7:$E$2010,$C52,'LAC 102_Wkst'!$G$7:$G$2010,$D52,'LAC 102_Wkst'!$L$7:$L$2010,"08",'LAC 102_Wkst'!$N$7:$N$2010,"P5")</f>
        <v>0</v>
      </c>
      <c r="AK52" s="411">
        <f>SUMIFS('LAC 102_Wkst'!$AE$7:$AE$2010,'LAC 102_Wkst'!$E$7:$E$2010,$C52,'LAC 102_Wkst'!$G$7:$G$2010,$D52,'LAC 102_Wkst'!$L$7:$L$2010,"08",'LAC 102_Wkst'!$N$7:$N$2010,"P5")</f>
        <v>0</v>
      </c>
      <c r="AL52" s="410">
        <f>SUMIFS('LAC 102_Wkst'!$Q$7:$Q$2010,'LAC 102_Wkst'!$E$7:$E$2010,$C52,'LAC 102_Wkst'!$G$7:$G$2010,$D52,'LAC 102_Wkst'!$L$7:$L$2010,"09",'LAC 102_Wkst'!$N$7:$N$2010,"P1")+SUMIFS('LAC 102_Wkst'!$Q$7:$Q$2010,'LAC 102_Wkst'!$E$7:$E$2010,$C52,'LAC 102_Wkst'!$G$7:$G$2010,$D52,'LAC 102_Wkst'!$L$7:$L$2010,"09",'LAC 102_Wkst'!$N$7:$N$2010,"P2")+SUMIFS('LAC 102_Wkst'!$Q$7:$Q$2010,'LAC 102_Wkst'!$E$7:$E$2010,$C52,'LAC 102_Wkst'!$G$7:$G$2010,$D52,'LAC 102_Wkst'!$L$7:$L$2010,"09",'LAC 102_Wkst'!$N$7:$N$2010,"P3")+SUMIFS('LAC 102_Wkst'!$Q$7:$Q$2010,'LAC 102_Wkst'!$E$7:$E$2010,$C52,'LAC 102_Wkst'!$G$7:$G$2010,$D52,'LAC 102_Wkst'!$L$7:$L$2010,"09",'LAC 102_Wkst'!$N$7:$N$2010,"P4")</f>
        <v>0</v>
      </c>
      <c r="AM52" s="411">
        <f>SUMIFS('LAC 102_Wkst'!$AE$7:$AE$2010,'LAC 102_Wkst'!$E$7:$E$2010,$C52,'LAC 102_Wkst'!$G$7:$G$2010,$D52,'LAC 102_Wkst'!$L$7:$L$2010,"09",'LAC 102_Wkst'!$N$7:$N$2010,"P1")+SUMIFS('LAC 102_Wkst'!$AE$7:$AE$2010,'LAC 102_Wkst'!$E$7:$E$2010,$C52,'LAC 102_Wkst'!$G$7:$G$2010,$D52,'LAC 102_Wkst'!$L$7:$L$2010,"09",'LAC 102_Wkst'!$N$7:$N$2010,"P2")+SUMIFS('LAC 102_Wkst'!$AE$7:$AE$2010,'LAC 102_Wkst'!$E$7:$E$2010,$C52,'LAC 102_Wkst'!$G$7:$G$2010,$D52,'LAC 102_Wkst'!$L$7:$L$2010,"09",'LAC 102_Wkst'!$N$7:$N$2010,"P3")+SUMIFS('LAC 102_Wkst'!$AE$7:$AE$2010,'LAC 102_Wkst'!$E$7:$E$2010,$C52,'LAC 102_Wkst'!$G$7:$G$2010,$D52,'LAC 102_Wkst'!$L$7:$L$2010,"09",'LAC 102_Wkst'!$N$7:$N$2010,"P4")</f>
        <v>0</v>
      </c>
      <c r="AN52" s="410">
        <f>SUMIFS('LAC 102_Wkst'!$Q$7:$Q$2010,'LAC 102_Wkst'!$E$7:$E$2010,$C52,'LAC 102_Wkst'!$G$7:$G$2010,$D52,'LAC 102_Wkst'!$L$7:$L$2010,"09",'LAC 102_Wkst'!$N$7:$N$2010,"P5")</f>
        <v>0</v>
      </c>
      <c r="AO52" s="411">
        <f>SUMIFS('LAC 102_Wkst'!$AE$7:$AE$2010,'LAC 102_Wkst'!$E$7:$E$2010,$C52,'LAC 102_Wkst'!$G$7:$G$2010,$D52,'LAC 102_Wkst'!$L$7:$L$2010,"09",'LAC 102_Wkst'!$N$7:$N$2010,"P5")</f>
        <v>0</v>
      </c>
      <c r="AP52" s="410">
        <f>SUMIFS('LAC 102_Wkst'!$Q$7:$Q$2010,'LAC 102_Wkst'!$E$7:$E$2010,$C52,'LAC 102_Wkst'!$G$7:$G$2010,$D52,'LAC 102_Wkst'!$L$7:$L$2010,"10",'LAC 102_Wkst'!$N$7:$N$2010,"P1")+SUMIFS('LAC 102_Wkst'!$Q$7:$Q$2010,'LAC 102_Wkst'!$E$7:$E$2010,$C52,'LAC 102_Wkst'!$G$7:$G$2010,$D52,'LAC 102_Wkst'!$L$7:$L$2010,"10",'LAC 102_Wkst'!$N$7:$N$2010,"P2")+SUMIFS('LAC 102_Wkst'!$Q$7:$Q$2010,'LAC 102_Wkst'!$E$7:$E$2010,$C52,'LAC 102_Wkst'!$G$7:$G$2010,$D52,'LAC 102_Wkst'!$L$7:$L$2010,"10",'LAC 102_Wkst'!$N$7:$N$2010,"P3")+SUMIFS('LAC 102_Wkst'!$Q$7:$Q$2010,'LAC 102_Wkst'!$E$7:$E$2010,$C52,'LAC 102_Wkst'!$G$7:$G$2010,$D52,'LAC 102_Wkst'!$L$7:$L$2010,"10",'LAC 102_Wkst'!$N$7:$N$2010,"P4")</f>
        <v>0</v>
      </c>
      <c r="AQ52" s="411">
        <f>SUMIFS('LAC 102_Wkst'!$AE$7:$AE$2010,'LAC 102_Wkst'!$E$7:$E$2010,$C52,'LAC 102_Wkst'!$G$7:$G$2010,$D52,'LAC 102_Wkst'!$L$7:$L$2010,"10",'LAC 102_Wkst'!$N$7:$N$2010,"P1")+SUMIFS('LAC 102_Wkst'!$AE$7:$AE$2010,'LAC 102_Wkst'!$E$7:$E$2010,$C52,'LAC 102_Wkst'!$G$7:$G$2010,$D52,'LAC 102_Wkst'!$L$7:$L$2010,"10",'LAC 102_Wkst'!$N$7:$N$2010,"P2")+SUMIFS('LAC 102_Wkst'!$AE$7:$AE$2010,'LAC 102_Wkst'!$E$7:$E$2010,$C52,'LAC 102_Wkst'!$G$7:$G$2010,$D52,'LAC 102_Wkst'!$L$7:$L$2010,"10",'LAC 102_Wkst'!$N$7:$N$2010,"P3")+SUMIFS('LAC 102_Wkst'!$AE$7:$AE$2010,'LAC 102_Wkst'!$E$7:$E$2010,$C52,'LAC 102_Wkst'!$G$7:$G$2010,$D52,'LAC 102_Wkst'!$L$7:$L$2010,"10",'LAC 102_Wkst'!$N$7:$N$2010,"P4")</f>
        <v>0</v>
      </c>
      <c r="AR52" s="410">
        <f>SUMIFS('LAC 102_Wkst'!$Q$7:$Q$2010,'LAC 102_Wkst'!$E$7:$E$2010,$C52,'LAC 102_Wkst'!$G$7:$G$2010,$D52,'LAC 102_Wkst'!$L$7:$L$2010,"10",'LAC 102_Wkst'!$N$7:$N$2010,"P5")</f>
        <v>0</v>
      </c>
      <c r="AS52" s="411">
        <f>SUMIFS('LAC 102_Wkst'!$AE$7:$AE$2010,'LAC 102_Wkst'!$E$7:$E$2010,$C52,'LAC 102_Wkst'!$G$7:$G$2010,$D52,'LAC 102_Wkst'!$L$7:$L$2010,"10",'LAC 102_Wkst'!$N$7:$N$2010,"P5")</f>
        <v>0</v>
      </c>
      <c r="AT52" s="410">
        <f>SUMIFS('LAC 102_Wkst'!$Q$7:$Q$2010,'LAC 102_Wkst'!$E$7:$E$2010,$C52,'LAC 102_Wkst'!$G$7:$G$2010,$D52,'LAC 102_Wkst'!$L$7:$L$2010,"11",'LAC 102_Wkst'!$N$7:$N$2010,"P1")+SUMIFS('LAC 102_Wkst'!$Q$7:$Q$2010,'LAC 102_Wkst'!$E$7:$E$2010,$C52,'LAC 102_Wkst'!$G$7:$G$2010,$D52,'LAC 102_Wkst'!$L$7:$L$2010,"12",'LAC 102_Wkst'!$N$7:$N$2010,"P1")</f>
        <v>0</v>
      </c>
      <c r="AU52" s="411">
        <f>SUMIFS('LAC 102_Wkst'!$AE$7:$AE$2010,'LAC 102_Wkst'!$E$7:$E$2010,$C52,'LAC 102_Wkst'!$G$7:$G$2010,$D52,'LAC 102_Wkst'!$L$7:$L$2010,"11",'LAC 102_Wkst'!$N$7:$N$2010,"P1")+SUMIFS('LAC 102_Wkst'!$AE$7:$AE$2010,'LAC 102_Wkst'!$E$7:$E$2010,$C52,'LAC 102_Wkst'!$G$7:$G$2010,$D52,'LAC 102_Wkst'!$L$7:$L$2010,"12",'LAC 102_Wkst'!$N$7:$N$2010,"P1")</f>
        <v>0</v>
      </c>
      <c r="AV52" s="410">
        <f>SUMIFS('LAC 102_Wkst'!$Q$7:$Q$2010,'LAC 102_Wkst'!$E$7:$E$2010,$C52,'LAC 102_Wkst'!$G$7:$G$2010,$D52,'LAC 102_Wkst'!$L$7:$L$2010,"11",'LAC 102_Wkst'!$N$7:$N$2010,"P2")+SUMIFS('LAC 102_Wkst'!$Q$7:$Q$2010,'LAC 102_Wkst'!$E$7:$E$2010,$C52,'LAC 102_Wkst'!$G$7:$G$2010,$D52,'LAC 102_Wkst'!$L$7:$L$2010,"12",'LAC 102_Wkst'!$N$7:$N$2010,"P3")+SUMIFS('LAC 102_Wkst'!$Q$7:$Q$2010,'LAC 102_Wkst'!$E$7:$E$2010,$C52,'LAC 102_Wkst'!$G$7:$G$2010,$D52,'LAC 102_Wkst'!$L$7:$L$2010,"11",'LAC 102_Wkst'!$N$7:$N$2010,"P2")+SUMIFS('LAC 102_Wkst'!$Q$7:$Q$2010,'LAC 102_Wkst'!$E$7:$E$2010,$C52,'LAC 102_Wkst'!$G$7:$G$2010,$D52,'LAC 102_Wkst'!$L$7:$L$2010,"12",'LAC 102_Wkst'!$N$7:$N$2010,"P3")</f>
        <v>0</v>
      </c>
      <c r="AW52" s="411">
        <f>SUMIFS('LAC 102_Wkst'!$AE$7:$AE$2010,'LAC 102_Wkst'!$E$7:$E$2010,$C52,'LAC 102_Wkst'!$G$7:$G$2010,$D52,'LAC 102_Wkst'!$L$7:$L$2010,"11",'LAC 102_Wkst'!$N$7:$N$2010,"P2")+SUMIFS('LAC 102_Wkst'!$AE$7:$AE$2010,'LAC 102_Wkst'!$E$7:$E$2010,$C52,'LAC 102_Wkst'!$G$7:$G$2010,$D52,'LAC 102_Wkst'!$L$7:$L$2010,"12",'LAC 102_Wkst'!$N$7:$N$2010,"P3")+SUMIFS('LAC 102_Wkst'!$AE$7:$AE$2010,'LAC 102_Wkst'!$E$7:$E$2010,$C52,'LAC 102_Wkst'!$G$7:$G$2010,$D52,'LAC 102_Wkst'!$L$7:$L$2010,"11",'LAC 102_Wkst'!$N$7:$N$2010,"P2")+SUMIFS('LAC 102_Wkst'!$AE$7:$AE$2010,'LAC 102_Wkst'!$E$7:$E$2010,$C52,'LAC 102_Wkst'!$G$7:$G$2010,$D52,'LAC 102_Wkst'!$L$7:$L$2010,"12",'LAC 102_Wkst'!$N$7:$N$2010,"P3")</f>
        <v>0</v>
      </c>
      <c r="AX52" s="410">
        <f>SUMIFS('LAC 102_Wkst'!$Q$7:$Q$2010,'LAC 102_Wkst'!$E$7:$E$2010,$C52,'LAC 102_Wkst'!$G$7:$G$2010,$D52,'LAC 102_Wkst'!$L$7:$L$2010,"11",'LAC 102_Wkst'!$N$7:$N$2010,"P4")+SUMIFS('LAC 102_Wkst'!$Q$7:$Q$2010,'LAC 102_Wkst'!$E$7:$E$2010,$C52,'LAC 102_Wkst'!$G$7:$G$2010,$D52,'LAC 102_Wkst'!$L$7:$L$2010,"12",'LAC 102_Wkst'!$N$7:$N$2010,"P4")</f>
        <v>0</v>
      </c>
      <c r="AY52" s="411">
        <f>SUMIFS('LAC 102_Wkst'!$AE$7:$AE$2010,'LAC 102_Wkst'!$E$7:$E$2010,$C52,'LAC 102_Wkst'!$G$7:$G$2010,$D52,'LAC 102_Wkst'!$L$7:$L$2010,"11",'LAC 102_Wkst'!$N$7:$N$2010,"P4")+SUMIFS('LAC 102_Wkst'!$AE$7:$AE$2010,'LAC 102_Wkst'!$E$7:$E$2010,$C52,'LAC 102_Wkst'!$G$7:$G$2010,$D52,'LAC 102_Wkst'!$L$7:$L$2010,"12",'LAC 102_Wkst'!$N$7:$N$2010,"P4")</f>
        <v>0</v>
      </c>
      <c r="AZ52" s="410">
        <f>SUMIFS('LAC 102_Wkst'!$Q$7:$Q$2010,'LAC 102_Wkst'!$E$7:$E$2010,$C52,'LAC 102_Wkst'!$G$7:$G$2010,$D52,'LAC 102_Wkst'!$L$7:$L$2010,"11",'LAC 102_Wkst'!$N$7:$N$2010,"P5")+SUMIFS('LAC 102_Wkst'!$Q$7:$Q$2010,'LAC 102_Wkst'!$E$7:$E$2010,$C52,'LAC 102_Wkst'!$G$7:$G$2010,$D52,'LAC 102_Wkst'!$L$7:$L$2010,"12",'LAC 102_Wkst'!$N$7:$N$2010,"P5")</f>
        <v>0</v>
      </c>
      <c r="BA52" s="411">
        <f>SUMIFS('LAC 102_Wkst'!$AE$7:$AE$2010,'LAC 102_Wkst'!$E$7:$E$2010,$C52,'LAC 102_Wkst'!$G$7:$G$2010,$D52,'LAC 102_Wkst'!$L$7:$L$2010,"11",'LAC 102_Wkst'!$N$7:$N$2010,"P5")+SUMIFS('LAC 102_Wkst'!$AE$7:$AE$2010,'LAC 102_Wkst'!$E$7:$E$2010,$C52,'LAC 102_Wkst'!$G$7:$G$2010,$D52,'LAC 102_Wkst'!$L$7:$L$2010,"12",'LAC 102_Wkst'!$N$7:$N$2010,"P5")</f>
        <v>0</v>
      </c>
      <c r="BB52" s="410">
        <f>SUMIFS('LAC 102_Wkst'!$Q$7:$Q$2010,'LAC 102_Wkst'!$E$7:$E$2010,$C52,'LAC 102_Wkst'!$G$7:$G$2010,$D52,'LAC 102_Wkst'!$L$7:$L$2010,"13",'LAC 102_Wkst'!$N$7:$N$2010,"P1")+SUMIFS('LAC 102_Wkst'!$Q$7:$Q$2010,'LAC 102_Wkst'!$E$7:$E$2010,$C52,'LAC 102_Wkst'!$G$7:$G$2010,$D52,'LAC 102_Wkst'!$L$7:$L$2010,"13",'LAC 102_Wkst'!$N$7:$N$2010,"P2")+SUMIFS('LAC 102_Wkst'!$Q$7:$Q$2010,'LAC 102_Wkst'!$E$7:$E$2010,$C52,'LAC 102_Wkst'!$G$7:$G$2010,$D52,'LAC 102_Wkst'!$L$7:$L$2010,"13",'LAC 102_Wkst'!$N$7:$N$2010,"P3")+SUMIFS('LAC 102_Wkst'!$Q$7:$Q$2010,'LAC 102_Wkst'!$E$7:$E$2010,$C52,'LAC 102_Wkst'!$G$7:$G$2010,$D52,'LAC 102_Wkst'!$L$7:$L$2010,"13",'LAC 102_Wkst'!$N$7:$N$2010,"P4")</f>
        <v>0</v>
      </c>
      <c r="BC52" s="411">
        <f>SUMIFS('LAC 102_Wkst'!$AE$7:$AE$2010,'LAC 102_Wkst'!$E$7:$E$2010,$C52,'LAC 102_Wkst'!$G$7:$G$2010,$D52,'LAC 102_Wkst'!$L$7:$L$2010,"13",'LAC 102_Wkst'!$N$7:$N$2010,"P1")+SUMIFS('LAC 102_Wkst'!$AE$7:$AE$2010,'LAC 102_Wkst'!$E$7:$E$2010,$C52,'LAC 102_Wkst'!$G$7:$G$2010,$D52,'LAC 102_Wkst'!$L$7:$L$2010,"13",'LAC 102_Wkst'!$N$7:$N$2010,"P2")+SUMIFS('LAC 102_Wkst'!$AE$7:$AE$2010,'LAC 102_Wkst'!$E$7:$E$2010,$C52,'LAC 102_Wkst'!$G$7:$G$2010,$D52,'LAC 102_Wkst'!$L$7:$L$2010,"13",'LAC 102_Wkst'!$N$7:$N$2010,"P3")+SUMIFS('LAC 102_Wkst'!$AE$7:$AE$2010,'LAC 102_Wkst'!$E$7:$E$2010,$C52,'LAC 102_Wkst'!$G$7:$G$2010,$D52,'LAC 102_Wkst'!$L$7:$L$2010,"13",'LAC 102_Wkst'!$N$7:$N$2010,"P4")</f>
        <v>0</v>
      </c>
      <c r="BD52" s="410">
        <f>SUMIFS('LAC 102_Wkst'!$Q$7:$Q$2010,'LAC 102_Wkst'!$E$7:$E$2010,$C52,'LAC 102_Wkst'!$G$7:$G$2010,$D52,'LAC 102_Wkst'!$L$7:$L$2010,"13",'LAC 102_Wkst'!$N$7:$N$2010,"P5")</f>
        <v>0</v>
      </c>
      <c r="BE52" s="411">
        <f>SUMIFS('LAC 102_Wkst'!$AE$7:$AE$2010,'LAC 102_Wkst'!$E$7:$E$2010,$C52,'LAC 102_Wkst'!$G$7:$G$2010,$D52,'LAC 102_Wkst'!$L$7:$L$2010,"13",'LAC 102_Wkst'!$N$7:$N$2010,"P5")</f>
        <v>0</v>
      </c>
      <c r="BF52" s="407">
        <f t="shared" si="0"/>
        <v>0</v>
      </c>
    </row>
    <row r="53" spans="1:58" x14ac:dyDescent="0.2">
      <c r="A53" s="401">
        <v>34</v>
      </c>
      <c r="B53" s="1236"/>
      <c r="C53" s="1235"/>
      <c r="D53" s="1237"/>
      <c r="E53" s="1222">
        <f>IF(CONCATENATE(C53,D53)&gt;"6069",1,SUMIFS('LAC 102_Wkst'!$Q$7:$Q$2010,'LAC 102_Wkst'!$E$7:$E$2010,Schedule_B!$C53,'LAC 102_Wkst'!$G$7:$G$2010,Schedule_B!$D53))</f>
        <v>0</v>
      </c>
      <c r="F53" s="408">
        <f>SUMIFS('LAC 102_Wkst'!$Q$7:$Q$2010,'LAC 102_Wkst'!$E$7:$E$2010,$C53,'LAC 102_Wkst'!$G$7:$G$2010,$D53,'LAC 102_Wkst'!$L$7:$L$2010,"01",'LAC 102_Wkst'!$N$7:$N$2010,"P1")+SUMIFS('LAC 102_Wkst'!$Q$7:$Q$2010,'LAC 102_Wkst'!$E$7:$E$2010,$C53,'LAC 102_Wkst'!$G$7:$G$2010,$D53,'LAC 102_Wkst'!$L$7:$L$2010,"01",'LAC 102_Wkst'!$N$7:$N$2010,"P2")+SUMIFS('LAC 102_Wkst'!$Q$7:$Q$2010,'LAC 102_Wkst'!$E$7:$E$2010,$C53,'LAC 102_Wkst'!$G$7:$G$2010,$D53,'LAC 102_Wkst'!$L$7:$L$2010,"01",'LAC 102_Wkst'!$N$7:$N$2010,"P3")+SUMIFS('LAC 102_Wkst'!$Q$7:$Q$2010,'LAC 102_Wkst'!$E$7:$E$2010,$C53,'LAC 102_Wkst'!$G$7:$G$2010,$D53,'LAC 102_Wkst'!$L$7:$L$2010,"02",'LAC 102_Wkst'!$N$7:$N$2010,"P1")+SUMIFS('LAC 102_Wkst'!$Q$7:$Q$2010,'LAC 102_Wkst'!$E$7:$E$2010,$C53,'LAC 102_Wkst'!$G$7:$G$2010,$D53,'LAC 102_Wkst'!$L$7:$L$2010,"02",'LAC 102_Wkst'!$N$7:$N$2010,"P2")+SUMIFS('LAC 102_Wkst'!$Q$7:$Q$2010,'LAC 102_Wkst'!$E$7:$E$2010,$C53,'LAC 102_Wkst'!$G$7:$G$2010,$D53,'LAC 102_Wkst'!$L$7:$L$2010,"02",'LAC 102_Wkst'!$N$7:$N$2010,"P3")</f>
        <v>0</v>
      </c>
      <c r="G53" s="409">
        <f>SUMIFS('LAC 102_Wkst'!$AE$7:$AE$2010,'LAC 102_Wkst'!$E$7:$E$2010,$C53,'LAC 102_Wkst'!$G$7:$G$2010,$D53,'LAC 102_Wkst'!$L$7:$L$2010,"01",'LAC 102_Wkst'!$N$7:$N$2010,"P1")+SUMIFS('LAC 102_Wkst'!$AE$7:$AE$2010,'LAC 102_Wkst'!$E$7:$E$2010,$C53,'LAC 102_Wkst'!$G$7:$G$2010,$D53,'LAC 102_Wkst'!$L$7:$L$2010,"01",'LAC 102_Wkst'!$N$7:$N$2010,"P2")+SUMIFS('LAC 102_Wkst'!$AE$7:$AE$2010,'LAC 102_Wkst'!$E$7:$E$2010,$C53,'LAC 102_Wkst'!$G$7:$G$2010,$D53,'LAC 102_Wkst'!$L$7:$L$2010,"01",'LAC 102_Wkst'!$N$7:$N$2010,"P3")+SUMIFS('LAC 102_Wkst'!$AE$7:$AE$2010,'LAC 102_Wkst'!$E$7:$E$2010,$C53,'LAC 102_Wkst'!$G$7:$G$2010,$D53,'LAC 102_Wkst'!$L$7:$L$2010,"02",'LAC 102_Wkst'!$N$7:$N$2010,"P1")+SUMIFS('LAC 102_Wkst'!$AE$7:$AE$2010,'LAC 102_Wkst'!$E$7:$E$2010,$C53,'LAC 102_Wkst'!$G$7:$G$2010,$D53,'LAC 102_Wkst'!$L$7:$L$2010,"02",'LAC 102_Wkst'!$N$7:$N$2010,"P2")+SUMIFS('LAC 102_Wkst'!$AE$7:$AE$2010,'LAC 102_Wkst'!$E$7:$E$2010,$C53,'LAC 102_Wkst'!$G$7:$G$2010,$D53,'LAC 102_Wkst'!$L$7:$L$2010,"02",'LAC 102_Wkst'!$N$7:$N$2010,"P3")</f>
        <v>0</v>
      </c>
      <c r="H53" s="410">
        <f>SUMIFS('LAC 102_Wkst'!$Q$7:$Q$2010,'LAC 102_Wkst'!$E$7:$E$2010,$C53,'LAC 102_Wkst'!$G$7:$G$2010,$D53,'LAC 102_Wkst'!$L$7:$L$2010,"01",'LAC 102_Wkst'!$N$7:$N$2010,"P4")+SUMIFS('LAC 102_Wkst'!$Q$7:$Q$2010,'LAC 102_Wkst'!$E$7:$E$2010,$C53,'LAC 102_Wkst'!$G$7:$G$2010,$D53,'LAC 102_Wkst'!$L$7:$L$2010,"02",'LAC 102_Wkst'!$N$7:$N$2010,"P4")</f>
        <v>0</v>
      </c>
      <c r="I53" s="411">
        <f>SUMIFS('LAC 102_Wkst'!$AE$7:$AE$2010,'LAC 102_Wkst'!$E$7:$E$2010,$C53,'LAC 102_Wkst'!$G$7:$G$2010,$D53,'LAC 102_Wkst'!$L$7:$L$2010,"01",'LAC 102_Wkst'!$N$7:$N$2010,"P4")+SUMIFS('LAC 102_Wkst'!$AE$7:$AE$2010,'LAC 102_Wkst'!$E$7:$E$2010,$C53,'LAC 102_Wkst'!$G$7:$G$2010,$D53,'LAC 102_Wkst'!$L$7:$L$2010,"02",'LAC 102_Wkst'!$N$7:$N$2010,"P4")</f>
        <v>0</v>
      </c>
      <c r="J53" s="410">
        <f>SUMIFS('LAC 102_Wkst'!$Q$7:$Q$2010,'LAC 102_Wkst'!$E$7:$E$2010,$C53,'LAC 102_Wkst'!$G$7:$G$2010,$D53,'LAC 102_Wkst'!$L$7:$L$2010,"01",'LAC 102_Wkst'!$N$7:$N$2010,"P5")+SUMIFS('LAC 102_Wkst'!$Q$7:$Q$2010,'LAC 102_Wkst'!$E$7:$E$2010,$C53,'LAC 102_Wkst'!$G$7:$G$2010,$D53,'LAC 102_Wkst'!$L$7:$L$2010,"02",'LAC 102_Wkst'!$N$7:$N$2010,"P5")</f>
        <v>0</v>
      </c>
      <c r="K53" s="411">
        <f>SUMIFS('LAC 102_Wkst'!$AE$7:$AE$2010,'LAC 102_Wkst'!$E$7:$E$2010,$C53,'LAC 102_Wkst'!$G$7:$G$2010,$D53,'LAC 102_Wkst'!$L$7:$L$2010,"01",'LAC 102_Wkst'!$N$7:$N$2010,"P5")+SUMIFS('LAC 102_Wkst'!$AE$7:$AE$2010,'LAC 102_Wkst'!$E$7:$E$2010,$C53,'LAC 102_Wkst'!$G$7:$G$2010,$D53,'LAC 102_Wkst'!$L$7:$L$2010,"02",'LAC 102_Wkst'!$N$7:$N$2010,"P5")</f>
        <v>0</v>
      </c>
      <c r="L53" s="410">
        <f>SUMIFS('LAC 102_Wkst'!$Q$7:$Q$2010,'LAC 102_Wkst'!$E$7:$E$2010,$C53,'LAC 102_Wkst'!$G$7:$G$2010,$D53,'LAC 102_Wkst'!$L$7:$L$2010,"03",'LAC 102_Wkst'!$N$7:$N$2010,"P1")+SUMIFS('LAC 102_Wkst'!$Q$7:$Q$2010,'LAC 102_Wkst'!$E$7:$E$2010,$C53,'LAC 102_Wkst'!$G$7:$G$2010,$D53,'LAC 102_Wkst'!$L$7:$L$2010,"03",'LAC 102_Wkst'!$N$7:$N$2010,"P2")+SUMIFS('LAC 102_Wkst'!$Q$7:$Q$2010,'LAC 102_Wkst'!$E$7:$E$2010,$C53,'LAC 102_Wkst'!$G$7:$G$2010,$D53,'LAC 102_Wkst'!$L$7:$L$2010,"03",'LAC 102_Wkst'!$N$7:$N$2010,"P3")+SUMIFS('LAC 102_Wkst'!$Q$7:$Q$2010,'LAC 102_Wkst'!$E$7:$E$2010,$C53,'LAC 102_Wkst'!$G$7:$G$2010,$D53,'LAC 102_Wkst'!$L$7:$L$2010,"04",'LAC 102_Wkst'!$N$7:$N$2010,"P1")+SUMIFS('LAC 102_Wkst'!$Q$7:$Q$2010,'LAC 102_Wkst'!$E$7:$E$2010,$C53,'LAC 102_Wkst'!$G$7:$G$2010,$D53,'LAC 102_Wkst'!$L$7:$L$2010,"04",'LAC 102_Wkst'!$N$7:$N$2010,"P2")+SUMIFS('LAC 102_Wkst'!$Q$7:$Q$2010,'LAC 102_Wkst'!$E$7:$E$2010,$C53,'LAC 102_Wkst'!$G$7:$G$2010,$D53,'LAC 102_Wkst'!$L$7:$L$2010,"04",'LAC 102_Wkst'!$N$7:$N$2010,"P3")</f>
        <v>0</v>
      </c>
      <c r="M53" s="411">
        <f>SUMIFS('LAC 102_Wkst'!$AE$7:$AE$2010,'LAC 102_Wkst'!$E$7:$E$2010,$C53,'LAC 102_Wkst'!$G$7:$G$2010,$D53,'LAC 102_Wkst'!$L$7:$L$2010,"03",'LAC 102_Wkst'!$N$7:$N$2010,"P1")+SUMIFS('LAC 102_Wkst'!$AE$7:$AE$2010,'LAC 102_Wkst'!$E$7:$E$2010,$C53,'LAC 102_Wkst'!$G$7:$G$2010,$D53,'LAC 102_Wkst'!$L$7:$L$2010,"03",'LAC 102_Wkst'!$N$7:$N$2010,"P2")+SUMIFS('LAC 102_Wkst'!$AE$7:$AE$2010,'LAC 102_Wkst'!$E$7:$E$2010,$C53,'LAC 102_Wkst'!$G$7:$G$2010,$D53,'LAC 102_Wkst'!$L$7:$L$2010,"03",'LAC 102_Wkst'!$N$7:$N$2010,"P3")+SUMIFS('LAC 102_Wkst'!$AE$7:$AE$2010,'LAC 102_Wkst'!$E$7:$E$2010,$C53,'LAC 102_Wkst'!$G$7:$G$2010,$D53,'LAC 102_Wkst'!$L$7:$L$2010,"04",'LAC 102_Wkst'!$N$7:$N$2010,"P1")+SUMIFS('LAC 102_Wkst'!$AE$7:$AE$2010,'LAC 102_Wkst'!$E$7:$E$2010,$C53,'LAC 102_Wkst'!$G$7:$G$2010,$D53,'LAC 102_Wkst'!$L$7:$L$2010,"04",'LAC 102_Wkst'!$N$7:$N$2010,"P2")+SUMIFS('LAC 102_Wkst'!$AE$7:$AE$2010,'LAC 102_Wkst'!$E$7:$E$2010,$C53,'LAC 102_Wkst'!$G$7:$G$2010,$D53,'LAC 102_Wkst'!$L$7:$L$2010,"04",'LAC 102_Wkst'!$N$7:$N$2010,"P3")</f>
        <v>0</v>
      </c>
      <c r="N53" s="410">
        <f>SUMIFS('LAC 102_Wkst'!$Q$7:$Q$2010,'LAC 102_Wkst'!$E$7:$E$2010,$C53,'LAC 102_Wkst'!$G$7:$G$2010,$D53,'LAC 102_Wkst'!$L$7:$L$2010,"03",'LAC 102_Wkst'!$N$7:$N$2010,"P4")+SUMIFS('LAC 102_Wkst'!$Q$7:$Q$2010,'LAC 102_Wkst'!$E$7:$E$2010,$C53,'LAC 102_Wkst'!$G$7:$G$2010,$D53,'LAC 102_Wkst'!$L$7:$L$2010,"04",'LAC 102_Wkst'!$N$7:$N$2010,"P4")</f>
        <v>0</v>
      </c>
      <c r="O53" s="411">
        <f>SUMIFS('LAC 102_Wkst'!$AE$7:$AE$2010,'LAC 102_Wkst'!$E$7:$E$2010,$C53,'LAC 102_Wkst'!$G$7:$G$2010,$D53,'LAC 102_Wkst'!$L$7:$L$2010,"03",'LAC 102_Wkst'!$N$7:$N$2010,"P4")+SUMIFS('LAC 102_Wkst'!$AE$7:$AE$2010,'LAC 102_Wkst'!$E$7:$E$2010,$C53,'LAC 102_Wkst'!$G$7:$G$2010,$D53,'LAC 102_Wkst'!$L$7:$L$2010,"04",'LAC 102_Wkst'!$N$7:$N$2010,"P4")</f>
        <v>0</v>
      </c>
      <c r="P53" s="410">
        <f>SUMIFS('LAC 102_Wkst'!$Q$7:$Q$2010,'LAC 102_Wkst'!$E$7:$E$2010,$C53,'LAC 102_Wkst'!$G$7:$G$2010,$D53,'LAC 102_Wkst'!$L$7:$L$2010,"03",'LAC 102_Wkst'!$N$7:$N$2010,"P5")+SUMIFS('LAC 102_Wkst'!$Q$7:$Q$2010,'LAC 102_Wkst'!$E$7:$E$2010,$C53,'LAC 102_Wkst'!$G$7:$G$2010,$D53,'LAC 102_Wkst'!$L$7:$L$2010,"04",'LAC 102_Wkst'!$N$7:$N$2010,"P5")</f>
        <v>0</v>
      </c>
      <c r="Q53" s="411">
        <f>SUMIFS('LAC 102_Wkst'!$AE$7:$AE$2010,'LAC 102_Wkst'!$E$7:$E$2010,$C53,'LAC 102_Wkst'!$G$7:$G$2010,$D53,'LAC 102_Wkst'!$L$7:$L$2010,"03",'LAC 102_Wkst'!$N$7:$N$2010,"P5")+SUMIFS('LAC 102_Wkst'!$AE$7:$AE$2010,'LAC 102_Wkst'!$E$7:$E$2010,$C53,'LAC 102_Wkst'!$G$7:$G$2010,$D53,'LAC 102_Wkst'!$L$7:$L$2010,"04",'LAC 102_Wkst'!$N$7:$N$2010,"P5")</f>
        <v>0</v>
      </c>
      <c r="R53" s="412">
        <f>SUMIFS('LAC 102_Wkst'!$Q$7:$Q$2010,'LAC 102_Wkst'!$E$7:$E$2010,$C53,'LAC 102_Wkst'!$G$7:$G$2010,$D53,'LAC 102_Wkst'!$L$7:$L$2010,"05",'LAC 102_Wkst'!$N$7:$N$2010,"P1")+SUMIFS('LAC 102_Wkst'!$Q$7:$Q$2010,'LAC 102_Wkst'!$E$7:$E$2010,$C53,'LAC 102_Wkst'!$G$7:$G$2010,$D53,'LAC 102_Wkst'!$L$7:$L$2010,"06",'LAC 102_Wkst'!$N$7:$N$2010,"P1")</f>
        <v>0</v>
      </c>
      <c r="S53" s="411">
        <f>SUMIFS('LAC 102_Wkst'!$AE$7:$AE$2010,'LAC 102_Wkst'!$E$7:$E$2010,$C53,'LAC 102_Wkst'!$G$7:$G$2010,$D53,'LAC 102_Wkst'!$L$7:$L$2010,"05",'LAC 102_Wkst'!$N$7:$N$2010,"P1")+SUMIFS('LAC 102_Wkst'!$AE$7:$AE$2010,'LAC 102_Wkst'!$E$7:$E$2010,$C53,'LAC 102_Wkst'!$G$7:$G$2010,$D53,'LAC 102_Wkst'!$L$7:$L$2010,"06",'LAC 102_Wkst'!$N$7:$N$2010,"P1")</f>
        <v>0</v>
      </c>
      <c r="T53" s="410">
        <f>SUMIFS('LAC 102_Wkst'!$Q$7:$Q$2010,'LAC 102_Wkst'!$E$7:$E$2010,$C53,'LAC 102_Wkst'!$G$7:$G$2010,$D53,'LAC 102_Wkst'!$L$7:$L$2010,"05",'LAC 102_Wkst'!$N$7:$N$2010,"P2")+SUMIFS('LAC 102_Wkst'!$Q$7:$Q$2010,'LAC 102_Wkst'!$E$7:$E$2010,$C53,'LAC 102_Wkst'!$G$7:$G$2010,$D53,'LAC 102_Wkst'!$L$7:$L$2010,"05",'LAC 102_Wkst'!$N$7:$N$2010,"P3")+SUMIFS('LAC 102_Wkst'!$Q$7:$Q$2010,'LAC 102_Wkst'!$E$7:$E$2010,$C53,'LAC 102_Wkst'!$G$7:$G$2010,$D53,'LAC 102_Wkst'!$L$7:$L$2010,"06",'LAC 102_Wkst'!$N$7:$N$2010,"P2")+SUMIFS('LAC 102_Wkst'!$Q$7:$Q$2010,'LAC 102_Wkst'!$E$7:$E$2010,$C53,'LAC 102_Wkst'!$G$7:$G$2010,$D53,'LAC 102_Wkst'!$L$7:$L$2010,"06",'LAC 102_Wkst'!$N$7:$N$2010,"P3")</f>
        <v>0</v>
      </c>
      <c r="U53" s="411">
        <f>SUMIFS('LAC 102_Wkst'!$AE$7:$AE$2010,'LAC 102_Wkst'!$E$7:$E$2010,$C53,'LAC 102_Wkst'!$G$7:$G$2010,$D53,'LAC 102_Wkst'!$L$7:$L$2010,"05",'LAC 102_Wkst'!$N$7:$N$2010,"P2")+SUMIFS('LAC 102_Wkst'!$AE$7:$AE$2010,'LAC 102_Wkst'!$E$7:$E$2010,$C53,'LAC 102_Wkst'!$G$7:$G$2010,$D53,'LAC 102_Wkst'!$L$7:$L$2010,"06",'LAC 102_Wkst'!$N$7:$N$2010,"P3")+SUMIFS('LAC 102_Wkst'!$AE$7:$AE$2010,'LAC 102_Wkst'!$E$7:$E$2010,$C53,'LAC 102_Wkst'!$G$7:$G$2010,$D53,'LAC 102_Wkst'!$L$7:$L$2010,"05",'LAC 102_Wkst'!$N$7:$N$2010,"P2")+SUMIFS('LAC 102_Wkst'!$AE$7:$AE$2010,'LAC 102_Wkst'!$E$7:$E$2010,$C53,'LAC 102_Wkst'!$G$7:$G$2010,$D53,'LAC 102_Wkst'!$L$7:$L$2010,"06",'LAC 102_Wkst'!$N$7:$N$2010,"P3")</f>
        <v>0</v>
      </c>
      <c r="V53" s="410">
        <f>SUMIFS('LAC 102_Wkst'!$Q$7:$Q$2010,'LAC 102_Wkst'!$E$7:$E$2010,$C53,'LAC 102_Wkst'!$G$7:$G$2010,$D53,'LAC 102_Wkst'!$L$7:$L$2010,"05",'LAC 102_Wkst'!$N$7:$N$2010,"P4")+SUMIFS('LAC 102_Wkst'!$Q$7:$Q$2010,'LAC 102_Wkst'!$E$7:$E$2010,$C53,'LAC 102_Wkst'!$G$7:$G$2010,$D53,'LAC 102_Wkst'!$L$7:$L$2010,"06",'LAC 102_Wkst'!$N$7:$N$2010,"P4")</f>
        <v>0</v>
      </c>
      <c r="W53" s="411">
        <f>SUMIFS('LAC 102_Wkst'!$AE$7:$AE$2010,'LAC 102_Wkst'!$E$7:$E$2010,$C53,'LAC 102_Wkst'!$G$7:$G$2010,$D53,'LAC 102_Wkst'!$L$7:$L$2010,"05",'LAC 102_Wkst'!$N$7:$N$2010,"P4")+SUMIFS('LAC 102_Wkst'!$AE$7:$AE$2010,'LAC 102_Wkst'!$E$7:$E$2010,$C53,'LAC 102_Wkst'!$G$7:$G$2010,$D53,'LAC 102_Wkst'!$L$7:$L$2010,"06",'LAC 102_Wkst'!$N$7:$N$2010,"P4")</f>
        <v>0</v>
      </c>
      <c r="X53" s="410">
        <f>SUMIFS('LAC 102_Wkst'!$Q$7:$Q$2010,'LAC 102_Wkst'!$E$7:$E$2010,$C53,'LAC 102_Wkst'!$G$7:$G$2010,$D53,'LAC 102_Wkst'!$L$7:$L$2010,"05",'LAC 102_Wkst'!$N$7:$N$2010,"P5")+SUMIFS('LAC 102_Wkst'!$Q$7:$Q$2010,'LAC 102_Wkst'!$E$7:$E$2010,$C53,'LAC 102_Wkst'!$G$7:$G$2010,$D53,'LAC 102_Wkst'!$L$7:$L$2010,"06",'LAC 102_Wkst'!$N$7:$N$2010,"P5")</f>
        <v>0</v>
      </c>
      <c r="Y53" s="411">
        <f>SUMIFS('LAC 102_Wkst'!$AE$7:$AE$2010,'LAC 102_Wkst'!$E$7:$E$2010,$C53,'LAC 102_Wkst'!$G$7:$G$2010,$D53,'LAC 102_Wkst'!$L$7:$L$2010,"05",'LAC 102_Wkst'!$N$7:$N$2010,"P5")+SUMIFS('LAC 102_Wkst'!$AE$7:$AE$2010,'LAC 102_Wkst'!$E$7:$E$2010,$C53,'LAC 102_Wkst'!$G$7:$G$2010,$D53,'LAC 102_Wkst'!$L$7:$L$2010,"06",'LAC 102_Wkst'!$N$7:$N$2010,"P5")</f>
        <v>0</v>
      </c>
      <c r="Z53" s="410">
        <f>SUMIFS('LAC 102_Wkst'!$Q$7:$Q$2010,'LAC 102_Wkst'!$E$7:$E$2010,$C53,'LAC 102_Wkst'!$G$7:$G$2010,$D53,'LAC 102_Wkst'!$L$7:$L$2010,"07",'LAC 102_Wkst'!$N$7:$N$2010,"P1")+SUMIFS('LAC 102_Wkst'!$Q$7:$Q$2010,'LAC 102_Wkst'!$E$7:$E$2010,$C53,'LAC 102_Wkst'!$G$7:$G$2010,$D53,'LAC 102_Wkst'!$L$7:$L$2010,"07",'LAC 102_Wkst'!$N$7:$N$2010,"P2")+SUMIFS('LAC 102_Wkst'!$Q$7:$Q$2010,'LAC 102_Wkst'!$E$7:$E$2010,$C53,'LAC 102_Wkst'!$G$7:$G$2010,$D53,'LAC 102_Wkst'!$L$7:$L$2010,"07",'LAC 102_Wkst'!$N$7:$N$2010,"P3")</f>
        <v>0</v>
      </c>
      <c r="AA53" s="411">
        <f>SUMIFS('LAC 102_Wkst'!$AE$7:$AE$2010,'LAC 102_Wkst'!$E$7:$E$2010,$C53,'LAC 102_Wkst'!$G$7:$G$2010,$D53,'LAC 102_Wkst'!$L$7:$L$2010,"07",'LAC 102_Wkst'!$N$7:$N$2010,"P1")+SUMIFS('LAC 102_Wkst'!$AE$7:$AE$2010,'LAC 102_Wkst'!$E$7:$E$2010,$C53,'LAC 102_Wkst'!$G$7:$G$2010,$D53,'LAC 102_Wkst'!$L$7:$L$2010,"07",'LAC 102_Wkst'!$N$7:$N$2010,"P2")+SUMIFS('LAC 102_Wkst'!$AE$7:$AE$2010,'LAC 102_Wkst'!$E$7:$E$2010,$C53,'LAC 102_Wkst'!$G$7:$G$2010,$D53,'LAC 102_Wkst'!$L$7:$L$2010,"07",'LAC 102_Wkst'!$N$7:$N$2010,"P3")</f>
        <v>0</v>
      </c>
      <c r="AB53" s="410">
        <f>SUMIFS('LAC 102_Wkst'!$Q$7:$Q$2010,'LAC 102_Wkst'!$E$7:$E$2010,$C53,'LAC 102_Wkst'!$G$7:$G$2010,$D53,'LAC 102_Wkst'!$L$7:$L$2010,"07",'LAC 102_Wkst'!$N$7:$N$2010,"P4")</f>
        <v>0</v>
      </c>
      <c r="AC53" s="411">
        <f>SUMIFS('LAC 102_Wkst'!$AE$7:$AE$2010,'LAC 102_Wkst'!$E$7:$E$2010,$C53,'LAC 102_Wkst'!$G$7:$G$2010,$D53,'LAC 102_Wkst'!$L$7:$L$2010,"07",'LAC 102_Wkst'!$N$7:$N$2010,"P4")</f>
        <v>0</v>
      </c>
      <c r="AD53" s="410">
        <f>SUMIFS('LAC 102_Wkst'!$Q$7:$Q$2010,'LAC 102_Wkst'!$E$7:$E$2010,$C53,'LAC 102_Wkst'!$G$7:$G$2010,$D53,'LAC 102_Wkst'!$L$7:$L$2010,"07",'LAC 102_Wkst'!$N$7:$N$2010,"P5")</f>
        <v>0</v>
      </c>
      <c r="AE53" s="411">
        <f>SUMIFS('LAC 102_Wkst'!$AE$7:$AE$2010,'LAC 102_Wkst'!$E$7:$E$2010,$C53,'LAC 102_Wkst'!$G$7:$G$2010,$D53,'LAC 102_Wkst'!$L$7:$L$2010,"07",'LAC 102_Wkst'!$N$7:$N$2010,"P5")</f>
        <v>0</v>
      </c>
      <c r="AF53" s="410">
        <f>SUMIFS('LAC 102_Wkst'!$Q$7:$Q$2010,'LAC 102_Wkst'!$E$7:$E$2010,$C53,'LAC 102_Wkst'!$G$7:$G$2010,$D53,'LAC 102_Wkst'!$L$7:$L$2010,"08",'LAC 102_Wkst'!$N$7:$N$2010,"P1")+SUMIFS('LAC 102_Wkst'!$Q$7:$Q$2010,'LAC 102_Wkst'!$E$7:$E$2010,$C53,'LAC 102_Wkst'!$G$7:$G$2010,$D53,'LAC 102_Wkst'!$L$7:$L$2010,"08",'LAC 102_Wkst'!$N$7:$N$2010,"P2")+SUMIFS('LAC 102_Wkst'!$Q$7:$Q$2010,'LAC 102_Wkst'!$E$7:$E$2010,$C53,'LAC 102_Wkst'!$G$7:$G$2010,$D53,'LAC 102_Wkst'!$L$7:$L$2010,"08",'LAC 102_Wkst'!$N$7:$N$2010,"P3")</f>
        <v>0</v>
      </c>
      <c r="AG53" s="411">
        <f>SUMIFS('LAC 102_Wkst'!$AE$7:$AE$2010,'LAC 102_Wkst'!$E$7:$E$2010,$C53,'LAC 102_Wkst'!$G$7:$G$2010,$D53,'LAC 102_Wkst'!$L$7:$L$2010,"08",'LAC 102_Wkst'!$N$7:$N$2010,"P1")+SUMIFS('LAC 102_Wkst'!$AE$7:$AE$2010,'LAC 102_Wkst'!$E$7:$E$2010,$C53,'LAC 102_Wkst'!$G$7:$G$2010,$D53,'LAC 102_Wkst'!$L$7:$L$2010,"08",'LAC 102_Wkst'!$N$7:$N$2010,"P2")+SUMIFS('LAC 102_Wkst'!$AE$7:$AE$2010,'LAC 102_Wkst'!$E$7:$E$2010,$C53,'LAC 102_Wkst'!$G$7:$G$2010,$D53,'LAC 102_Wkst'!$L$7:$L$2010,"08",'LAC 102_Wkst'!$N$7:$N$2010,"P3")</f>
        <v>0</v>
      </c>
      <c r="AH53" s="410">
        <f>SUMIFS('LAC 102_Wkst'!$Q$7:$Q$2010,'LAC 102_Wkst'!$E$7:$E$2010,$C53,'LAC 102_Wkst'!$G$7:$G$2010,$D53,'LAC 102_Wkst'!$L$7:$L$2010,"08",'LAC 102_Wkst'!$N$7:$N$2010,"P4")</f>
        <v>0</v>
      </c>
      <c r="AI53" s="411">
        <f>SUMIFS('LAC 102_Wkst'!$AE$7:$AE$2010,'LAC 102_Wkst'!$E$7:$E$2010,$C53,'LAC 102_Wkst'!$G$7:$G$2010,$D53,'LAC 102_Wkst'!$L$7:$L$2010,"08",'LAC 102_Wkst'!$N$7:$N$2010,"P4")</f>
        <v>0</v>
      </c>
      <c r="AJ53" s="410">
        <f>SUMIFS('LAC 102_Wkst'!$Q$7:$Q$2010,'LAC 102_Wkst'!$E$7:$E$2010,$C53,'LAC 102_Wkst'!$G$7:$G$2010,$D53,'LAC 102_Wkst'!$L$7:$L$2010,"08",'LAC 102_Wkst'!$N$7:$N$2010,"P5")</f>
        <v>0</v>
      </c>
      <c r="AK53" s="411">
        <f>SUMIFS('LAC 102_Wkst'!$AE$7:$AE$2010,'LAC 102_Wkst'!$E$7:$E$2010,$C53,'LAC 102_Wkst'!$G$7:$G$2010,$D53,'LAC 102_Wkst'!$L$7:$L$2010,"08",'LAC 102_Wkst'!$N$7:$N$2010,"P5")</f>
        <v>0</v>
      </c>
      <c r="AL53" s="410">
        <f>SUMIFS('LAC 102_Wkst'!$Q$7:$Q$2010,'LAC 102_Wkst'!$E$7:$E$2010,$C53,'LAC 102_Wkst'!$G$7:$G$2010,$D53,'LAC 102_Wkst'!$L$7:$L$2010,"09",'LAC 102_Wkst'!$N$7:$N$2010,"P1")+SUMIFS('LAC 102_Wkst'!$Q$7:$Q$2010,'LAC 102_Wkst'!$E$7:$E$2010,$C53,'LAC 102_Wkst'!$G$7:$G$2010,$D53,'LAC 102_Wkst'!$L$7:$L$2010,"09",'LAC 102_Wkst'!$N$7:$N$2010,"P2")+SUMIFS('LAC 102_Wkst'!$Q$7:$Q$2010,'LAC 102_Wkst'!$E$7:$E$2010,$C53,'LAC 102_Wkst'!$G$7:$G$2010,$D53,'LAC 102_Wkst'!$L$7:$L$2010,"09",'LAC 102_Wkst'!$N$7:$N$2010,"P3")+SUMIFS('LAC 102_Wkst'!$Q$7:$Q$2010,'LAC 102_Wkst'!$E$7:$E$2010,$C53,'LAC 102_Wkst'!$G$7:$G$2010,$D53,'LAC 102_Wkst'!$L$7:$L$2010,"09",'LAC 102_Wkst'!$N$7:$N$2010,"P4")</f>
        <v>0</v>
      </c>
      <c r="AM53" s="411">
        <f>SUMIFS('LAC 102_Wkst'!$AE$7:$AE$2010,'LAC 102_Wkst'!$E$7:$E$2010,$C53,'LAC 102_Wkst'!$G$7:$G$2010,$D53,'LAC 102_Wkst'!$L$7:$L$2010,"09",'LAC 102_Wkst'!$N$7:$N$2010,"P1")+SUMIFS('LAC 102_Wkst'!$AE$7:$AE$2010,'LAC 102_Wkst'!$E$7:$E$2010,$C53,'LAC 102_Wkst'!$G$7:$G$2010,$D53,'LAC 102_Wkst'!$L$7:$L$2010,"09",'LAC 102_Wkst'!$N$7:$N$2010,"P2")+SUMIFS('LAC 102_Wkst'!$AE$7:$AE$2010,'LAC 102_Wkst'!$E$7:$E$2010,$C53,'LAC 102_Wkst'!$G$7:$G$2010,$D53,'LAC 102_Wkst'!$L$7:$L$2010,"09",'LAC 102_Wkst'!$N$7:$N$2010,"P3")+SUMIFS('LAC 102_Wkst'!$AE$7:$AE$2010,'LAC 102_Wkst'!$E$7:$E$2010,$C53,'LAC 102_Wkst'!$G$7:$G$2010,$D53,'LAC 102_Wkst'!$L$7:$L$2010,"09",'LAC 102_Wkst'!$N$7:$N$2010,"P4")</f>
        <v>0</v>
      </c>
      <c r="AN53" s="410">
        <f>SUMIFS('LAC 102_Wkst'!$Q$7:$Q$2010,'LAC 102_Wkst'!$E$7:$E$2010,$C53,'LAC 102_Wkst'!$G$7:$G$2010,$D53,'LAC 102_Wkst'!$L$7:$L$2010,"09",'LAC 102_Wkst'!$N$7:$N$2010,"P5")</f>
        <v>0</v>
      </c>
      <c r="AO53" s="411">
        <f>SUMIFS('LAC 102_Wkst'!$AE$7:$AE$2010,'LAC 102_Wkst'!$E$7:$E$2010,$C53,'LAC 102_Wkst'!$G$7:$G$2010,$D53,'LAC 102_Wkst'!$L$7:$L$2010,"09",'LAC 102_Wkst'!$N$7:$N$2010,"P5")</f>
        <v>0</v>
      </c>
      <c r="AP53" s="410">
        <f>SUMIFS('LAC 102_Wkst'!$Q$7:$Q$2010,'LAC 102_Wkst'!$E$7:$E$2010,$C53,'LAC 102_Wkst'!$G$7:$G$2010,$D53,'LAC 102_Wkst'!$L$7:$L$2010,"10",'LAC 102_Wkst'!$N$7:$N$2010,"P1")+SUMIFS('LAC 102_Wkst'!$Q$7:$Q$2010,'LAC 102_Wkst'!$E$7:$E$2010,$C53,'LAC 102_Wkst'!$G$7:$G$2010,$D53,'LAC 102_Wkst'!$L$7:$L$2010,"10",'LAC 102_Wkst'!$N$7:$N$2010,"P2")+SUMIFS('LAC 102_Wkst'!$Q$7:$Q$2010,'LAC 102_Wkst'!$E$7:$E$2010,$C53,'LAC 102_Wkst'!$G$7:$G$2010,$D53,'LAC 102_Wkst'!$L$7:$L$2010,"10",'LAC 102_Wkst'!$N$7:$N$2010,"P3")+SUMIFS('LAC 102_Wkst'!$Q$7:$Q$2010,'LAC 102_Wkst'!$E$7:$E$2010,$C53,'LAC 102_Wkst'!$G$7:$G$2010,$D53,'LAC 102_Wkst'!$L$7:$L$2010,"10",'LAC 102_Wkst'!$N$7:$N$2010,"P4")</f>
        <v>0</v>
      </c>
      <c r="AQ53" s="411">
        <f>SUMIFS('LAC 102_Wkst'!$AE$7:$AE$2010,'LAC 102_Wkst'!$E$7:$E$2010,$C53,'LAC 102_Wkst'!$G$7:$G$2010,$D53,'LAC 102_Wkst'!$L$7:$L$2010,"10",'LAC 102_Wkst'!$N$7:$N$2010,"P1")+SUMIFS('LAC 102_Wkst'!$AE$7:$AE$2010,'LAC 102_Wkst'!$E$7:$E$2010,$C53,'LAC 102_Wkst'!$G$7:$G$2010,$D53,'LAC 102_Wkst'!$L$7:$L$2010,"10",'LAC 102_Wkst'!$N$7:$N$2010,"P2")+SUMIFS('LAC 102_Wkst'!$AE$7:$AE$2010,'LAC 102_Wkst'!$E$7:$E$2010,$C53,'LAC 102_Wkst'!$G$7:$G$2010,$D53,'LAC 102_Wkst'!$L$7:$L$2010,"10",'LAC 102_Wkst'!$N$7:$N$2010,"P3")+SUMIFS('LAC 102_Wkst'!$AE$7:$AE$2010,'LAC 102_Wkst'!$E$7:$E$2010,$C53,'LAC 102_Wkst'!$G$7:$G$2010,$D53,'LAC 102_Wkst'!$L$7:$L$2010,"10",'LAC 102_Wkst'!$N$7:$N$2010,"P4")</f>
        <v>0</v>
      </c>
      <c r="AR53" s="410">
        <f>SUMIFS('LAC 102_Wkst'!$Q$7:$Q$2010,'LAC 102_Wkst'!$E$7:$E$2010,$C53,'LAC 102_Wkst'!$G$7:$G$2010,$D53,'LAC 102_Wkst'!$L$7:$L$2010,"10",'LAC 102_Wkst'!$N$7:$N$2010,"P5")</f>
        <v>0</v>
      </c>
      <c r="AS53" s="411">
        <f>SUMIFS('LAC 102_Wkst'!$AE$7:$AE$2010,'LAC 102_Wkst'!$E$7:$E$2010,$C53,'LAC 102_Wkst'!$G$7:$G$2010,$D53,'LAC 102_Wkst'!$L$7:$L$2010,"10",'LAC 102_Wkst'!$N$7:$N$2010,"P5")</f>
        <v>0</v>
      </c>
      <c r="AT53" s="410">
        <f>SUMIFS('LAC 102_Wkst'!$Q$7:$Q$2010,'LAC 102_Wkst'!$E$7:$E$2010,$C53,'LAC 102_Wkst'!$G$7:$G$2010,$D53,'LAC 102_Wkst'!$L$7:$L$2010,"11",'LAC 102_Wkst'!$N$7:$N$2010,"P1")+SUMIFS('LAC 102_Wkst'!$Q$7:$Q$2010,'LAC 102_Wkst'!$E$7:$E$2010,$C53,'LAC 102_Wkst'!$G$7:$G$2010,$D53,'LAC 102_Wkst'!$L$7:$L$2010,"12",'LAC 102_Wkst'!$N$7:$N$2010,"P1")</f>
        <v>0</v>
      </c>
      <c r="AU53" s="411">
        <f>SUMIFS('LAC 102_Wkst'!$AE$7:$AE$2010,'LAC 102_Wkst'!$E$7:$E$2010,$C53,'LAC 102_Wkst'!$G$7:$G$2010,$D53,'LAC 102_Wkst'!$L$7:$L$2010,"11",'LAC 102_Wkst'!$N$7:$N$2010,"P1")+SUMIFS('LAC 102_Wkst'!$AE$7:$AE$2010,'LAC 102_Wkst'!$E$7:$E$2010,$C53,'LAC 102_Wkst'!$G$7:$G$2010,$D53,'LAC 102_Wkst'!$L$7:$L$2010,"12",'LAC 102_Wkst'!$N$7:$N$2010,"P1")</f>
        <v>0</v>
      </c>
      <c r="AV53" s="410">
        <f>SUMIFS('LAC 102_Wkst'!$Q$7:$Q$2010,'LAC 102_Wkst'!$E$7:$E$2010,$C53,'LAC 102_Wkst'!$G$7:$G$2010,$D53,'LAC 102_Wkst'!$L$7:$L$2010,"11",'LAC 102_Wkst'!$N$7:$N$2010,"P2")+SUMIFS('LAC 102_Wkst'!$Q$7:$Q$2010,'LAC 102_Wkst'!$E$7:$E$2010,$C53,'LAC 102_Wkst'!$G$7:$G$2010,$D53,'LAC 102_Wkst'!$L$7:$L$2010,"12",'LAC 102_Wkst'!$N$7:$N$2010,"P3")+SUMIFS('LAC 102_Wkst'!$Q$7:$Q$2010,'LAC 102_Wkst'!$E$7:$E$2010,$C53,'LAC 102_Wkst'!$G$7:$G$2010,$D53,'LAC 102_Wkst'!$L$7:$L$2010,"11",'LAC 102_Wkst'!$N$7:$N$2010,"P2")+SUMIFS('LAC 102_Wkst'!$Q$7:$Q$2010,'LAC 102_Wkst'!$E$7:$E$2010,$C53,'LAC 102_Wkst'!$G$7:$G$2010,$D53,'LAC 102_Wkst'!$L$7:$L$2010,"12",'LAC 102_Wkst'!$N$7:$N$2010,"P3")</f>
        <v>0</v>
      </c>
      <c r="AW53" s="411">
        <f>SUMIFS('LAC 102_Wkst'!$AE$7:$AE$2010,'LAC 102_Wkst'!$E$7:$E$2010,$C53,'LAC 102_Wkst'!$G$7:$G$2010,$D53,'LAC 102_Wkst'!$L$7:$L$2010,"11",'LAC 102_Wkst'!$N$7:$N$2010,"P2")+SUMIFS('LAC 102_Wkst'!$AE$7:$AE$2010,'LAC 102_Wkst'!$E$7:$E$2010,$C53,'LAC 102_Wkst'!$G$7:$G$2010,$D53,'LAC 102_Wkst'!$L$7:$L$2010,"12",'LAC 102_Wkst'!$N$7:$N$2010,"P3")+SUMIFS('LAC 102_Wkst'!$AE$7:$AE$2010,'LAC 102_Wkst'!$E$7:$E$2010,$C53,'LAC 102_Wkst'!$G$7:$G$2010,$D53,'LAC 102_Wkst'!$L$7:$L$2010,"11",'LAC 102_Wkst'!$N$7:$N$2010,"P2")+SUMIFS('LAC 102_Wkst'!$AE$7:$AE$2010,'LAC 102_Wkst'!$E$7:$E$2010,$C53,'LAC 102_Wkst'!$G$7:$G$2010,$D53,'LAC 102_Wkst'!$L$7:$L$2010,"12",'LAC 102_Wkst'!$N$7:$N$2010,"P3")</f>
        <v>0</v>
      </c>
      <c r="AX53" s="410">
        <f>SUMIFS('LAC 102_Wkst'!$Q$7:$Q$2010,'LAC 102_Wkst'!$E$7:$E$2010,$C53,'LAC 102_Wkst'!$G$7:$G$2010,$D53,'LAC 102_Wkst'!$L$7:$L$2010,"11",'LAC 102_Wkst'!$N$7:$N$2010,"P4")+SUMIFS('LAC 102_Wkst'!$Q$7:$Q$2010,'LAC 102_Wkst'!$E$7:$E$2010,$C53,'LAC 102_Wkst'!$G$7:$G$2010,$D53,'LAC 102_Wkst'!$L$7:$L$2010,"12",'LAC 102_Wkst'!$N$7:$N$2010,"P4")</f>
        <v>0</v>
      </c>
      <c r="AY53" s="411">
        <f>SUMIFS('LAC 102_Wkst'!$AE$7:$AE$2010,'LAC 102_Wkst'!$E$7:$E$2010,$C53,'LAC 102_Wkst'!$G$7:$G$2010,$D53,'LAC 102_Wkst'!$L$7:$L$2010,"11",'LAC 102_Wkst'!$N$7:$N$2010,"P4")+SUMIFS('LAC 102_Wkst'!$AE$7:$AE$2010,'LAC 102_Wkst'!$E$7:$E$2010,$C53,'LAC 102_Wkst'!$G$7:$G$2010,$D53,'LAC 102_Wkst'!$L$7:$L$2010,"12",'LAC 102_Wkst'!$N$7:$N$2010,"P4")</f>
        <v>0</v>
      </c>
      <c r="AZ53" s="410">
        <f>SUMIFS('LAC 102_Wkst'!$Q$7:$Q$2010,'LAC 102_Wkst'!$E$7:$E$2010,$C53,'LAC 102_Wkst'!$G$7:$G$2010,$D53,'LAC 102_Wkst'!$L$7:$L$2010,"11",'LAC 102_Wkst'!$N$7:$N$2010,"P5")+SUMIFS('LAC 102_Wkst'!$Q$7:$Q$2010,'LAC 102_Wkst'!$E$7:$E$2010,$C53,'LAC 102_Wkst'!$G$7:$G$2010,$D53,'LAC 102_Wkst'!$L$7:$L$2010,"12",'LAC 102_Wkst'!$N$7:$N$2010,"P5")</f>
        <v>0</v>
      </c>
      <c r="BA53" s="411">
        <f>SUMIFS('LAC 102_Wkst'!$AE$7:$AE$2010,'LAC 102_Wkst'!$E$7:$E$2010,$C53,'LAC 102_Wkst'!$G$7:$G$2010,$D53,'LAC 102_Wkst'!$L$7:$L$2010,"11",'LAC 102_Wkst'!$N$7:$N$2010,"P5")+SUMIFS('LAC 102_Wkst'!$AE$7:$AE$2010,'LAC 102_Wkst'!$E$7:$E$2010,$C53,'LAC 102_Wkst'!$G$7:$G$2010,$D53,'LAC 102_Wkst'!$L$7:$L$2010,"12",'LAC 102_Wkst'!$N$7:$N$2010,"P5")</f>
        <v>0</v>
      </c>
      <c r="BB53" s="410">
        <f>SUMIFS('LAC 102_Wkst'!$Q$7:$Q$2010,'LAC 102_Wkst'!$E$7:$E$2010,$C53,'LAC 102_Wkst'!$G$7:$G$2010,$D53,'LAC 102_Wkst'!$L$7:$L$2010,"13",'LAC 102_Wkst'!$N$7:$N$2010,"P1")+SUMIFS('LAC 102_Wkst'!$Q$7:$Q$2010,'LAC 102_Wkst'!$E$7:$E$2010,$C53,'LAC 102_Wkst'!$G$7:$G$2010,$D53,'LAC 102_Wkst'!$L$7:$L$2010,"13",'LAC 102_Wkst'!$N$7:$N$2010,"P2")+SUMIFS('LAC 102_Wkst'!$Q$7:$Q$2010,'LAC 102_Wkst'!$E$7:$E$2010,$C53,'LAC 102_Wkst'!$G$7:$G$2010,$D53,'LAC 102_Wkst'!$L$7:$L$2010,"13",'LAC 102_Wkst'!$N$7:$N$2010,"P3")+SUMIFS('LAC 102_Wkst'!$Q$7:$Q$2010,'LAC 102_Wkst'!$E$7:$E$2010,$C53,'LAC 102_Wkst'!$G$7:$G$2010,$D53,'LAC 102_Wkst'!$L$7:$L$2010,"13",'LAC 102_Wkst'!$N$7:$N$2010,"P4")</f>
        <v>0</v>
      </c>
      <c r="BC53" s="411">
        <f>SUMIFS('LAC 102_Wkst'!$AE$7:$AE$2010,'LAC 102_Wkst'!$E$7:$E$2010,$C53,'LAC 102_Wkst'!$G$7:$G$2010,$D53,'LAC 102_Wkst'!$L$7:$L$2010,"13",'LAC 102_Wkst'!$N$7:$N$2010,"P1")+SUMIFS('LAC 102_Wkst'!$AE$7:$AE$2010,'LAC 102_Wkst'!$E$7:$E$2010,$C53,'LAC 102_Wkst'!$G$7:$G$2010,$D53,'LAC 102_Wkst'!$L$7:$L$2010,"13",'LAC 102_Wkst'!$N$7:$N$2010,"P2")+SUMIFS('LAC 102_Wkst'!$AE$7:$AE$2010,'LAC 102_Wkst'!$E$7:$E$2010,$C53,'LAC 102_Wkst'!$G$7:$G$2010,$D53,'LAC 102_Wkst'!$L$7:$L$2010,"13",'LAC 102_Wkst'!$N$7:$N$2010,"P3")+SUMIFS('LAC 102_Wkst'!$AE$7:$AE$2010,'LAC 102_Wkst'!$E$7:$E$2010,$C53,'LAC 102_Wkst'!$G$7:$G$2010,$D53,'LAC 102_Wkst'!$L$7:$L$2010,"13",'LAC 102_Wkst'!$N$7:$N$2010,"P4")</f>
        <v>0</v>
      </c>
      <c r="BD53" s="410">
        <f>SUMIFS('LAC 102_Wkst'!$Q$7:$Q$2010,'LAC 102_Wkst'!$E$7:$E$2010,$C53,'LAC 102_Wkst'!$G$7:$G$2010,$D53,'LAC 102_Wkst'!$L$7:$L$2010,"13",'LAC 102_Wkst'!$N$7:$N$2010,"P5")</f>
        <v>0</v>
      </c>
      <c r="BE53" s="411">
        <f>SUMIFS('LAC 102_Wkst'!$AE$7:$AE$2010,'LAC 102_Wkst'!$E$7:$E$2010,$C53,'LAC 102_Wkst'!$G$7:$G$2010,$D53,'LAC 102_Wkst'!$L$7:$L$2010,"13",'LAC 102_Wkst'!$N$7:$N$2010,"P5")</f>
        <v>0</v>
      </c>
      <c r="BF53" s="407">
        <f t="shared" si="0"/>
        <v>0</v>
      </c>
    </row>
    <row r="54" spans="1:58" x14ac:dyDescent="0.2">
      <c r="A54" s="401">
        <v>35</v>
      </c>
      <c r="B54" s="1236"/>
      <c r="C54" s="1235"/>
      <c r="D54" s="1237"/>
      <c r="E54" s="1222">
        <f>IF(CONCATENATE(C54,D54)&gt;"6069",1,SUMIFS('LAC 102_Wkst'!$Q$7:$Q$2010,'LAC 102_Wkst'!$E$7:$E$2010,Schedule_B!$C54,'LAC 102_Wkst'!$G$7:$G$2010,Schedule_B!$D54))</f>
        <v>0</v>
      </c>
      <c r="F54" s="408">
        <f>SUMIFS('LAC 102_Wkst'!$Q$7:$Q$2010,'LAC 102_Wkst'!$E$7:$E$2010,$C54,'LAC 102_Wkst'!$G$7:$G$2010,$D54,'LAC 102_Wkst'!$L$7:$L$2010,"01",'LAC 102_Wkst'!$N$7:$N$2010,"P1")+SUMIFS('LAC 102_Wkst'!$Q$7:$Q$2010,'LAC 102_Wkst'!$E$7:$E$2010,$C54,'LAC 102_Wkst'!$G$7:$G$2010,$D54,'LAC 102_Wkst'!$L$7:$L$2010,"01",'LAC 102_Wkst'!$N$7:$N$2010,"P2")+SUMIFS('LAC 102_Wkst'!$Q$7:$Q$2010,'LAC 102_Wkst'!$E$7:$E$2010,$C54,'LAC 102_Wkst'!$G$7:$G$2010,$D54,'LAC 102_Wkst'!$L$7:$L$2010,"01",'LAC 102_Wkst'!$N$7:$N$2010,"P3")+SUMIFS('LAC 102_Wkst'!$Q$7:$Q$2010,'LAC 102_Wkst'!$E$7:$E$2010,$C54,'LAC 102_Wkst'!$G$7:$G$2010,$D54,'LAC 102_Wkst'!$L$7:$L$2010,"02",'LAC 102_Wkst'!$N$7:$N$2010,"P1")+SUMIFS('LAC 102_Wkst'!$Q$7:$Q$2010,'LAC 102_Wkst'!$E$7:$E$2010,$C54,'LAC 102_Wkst'!$G$7:$G$2010,$D54,'LAC 102_Wkst'!$L$7:$L$2010,"02",'LAC 102_Wkst'!$N$7:$N$2010,"P2")+SUMIFS('LAC 102_Wkst'!$Q$7:$Q$2010,'LAC 102_Wkst'!$E$7:$E$2010,$C54,'LAC 102_Wkst'!$G$7:$G$2010,$D54,'LAC 102_Wkst'!$L$7:$L$2010,"02",'LAC 102_Wkst'!$N$7:$N$2010,"P3")</f>
        <v>0</v>
      </c>
      <c r="G54" s="409">
        <f>SUMIFS('LAC 102_Wkst'!$AE$7:$AE$2010,'LAC 102_Wkst'!$E$7:$E$2010,$C54,'LAC 102_Wkst'!$G$7:$G$2010,$D54,'LAC 102_Wkst'!$L$7:$L$2010,"01",'LAC 102_Wkst'!$N$7:$N$2010,"P1")+SUMIFS('LAC 102_Wkst'!$AE$7:$AE$2010,'LAC 102_Wkst'!$E$7:$E$2010,$C54,'LAC 102_Wkst'!$G$7:$G$2010,$D54,'LAC 102_Wkst'!$L$7:$L$2010,"01",'LAC 102_Wkst'!$N$7:$N$2010,"P2")+SUMIFS('LAC 102_Wkst'!$AE$7:$AE$2010,'LAC 102_Wkst'!$E$7:$E$2010,$C54,'LAC 102_Wkst'!$G$7:$G$2010,$D54,'LAC 102_Wkst'!$L$7:$L$2010,"01",'LAC 102_Wkst'!$N$7:$N$2010,"P3")+SUMIFS('LAC 102_Wkst'!$AE$7:$AE$2010,'LAC 102_Wkst'!$E$7:$E$2010,$C54,'LAC 102_Wkst'!$G$7:$G$2010,$D54,'LAC 102_Wkst'!$L$7:$L$2010,"02",'LAC 102_Wkst'!$N$7:$N$2010,"P1")+SUMIFS('LAC 102_Wkst'!$AE$7:$AE$2010,'LAC 102_Wkst'!$E$7:$E$2010,$C54,'LAC 102_Wkst'!$G$7:$G$2010,$D54,'LAC 102_Wkst'!$L$7:$L$2010,"02",'LAC 102_Wkst'!$N$7:$N$2010,"P2")+SUMIFS('LAC 102_Wkst'!$AE$7:$AE$2010,'LAC 102_Wkst'!$E$7:$E$2010,$C54,'LAC 102_Wkst'!$G$7:$G$2010,$D54,'LAC 102_Wkst'!$L$7:$L$2010,"02",'LAC 102_Wkst'!$N$7:$N$2010,"P3")</f>
        <v>0</v>
      </c>
      <c r="H54" s="410">
        <f>SUMIFS('LAC 102_Wkst'!$Q$7:$Q$2010,'LAC 102_Wkst'!$E$7:$E$2010,$C54,'LAC 102_Wkst'!$G$7:$G$2010,$D54,'LAC 102_Wkst'!$L$7:$L$2010,"01",'LAC 102_Wkst'!$N$7:$N$2010,"P4")+SUMIFS('LAC 102_Wkst'!$Q$7:$Q$2010,'LAC 102_Wkst'!$E$7:$E$2010,$C54,'LAC 102_Wkst'!$G$7:$G$2010,$D54,'LAC 102_Wkst'!$L$7:$L$2010,"02",'LAC 102_Wkst'!$N$7:$N$2010,"P4")</f>
        <v>0</v>
      </c>
      <c r="I54" s="411">
        <f>SUMIFS('LAC 102_Wkst'!$AE$7:$AE$2010,'LAC 102_Wkst'!$E$7:$E$2010,$C54,'LAC 102_Wkst'!$G$7:$G$2010,$D54,'LAC 102_Wkst'!$L$7:$L$2010,"01",'LAC 102_Wkst'!$N$7:$N$2010,"P4")+SUMIFS('LAC 102_Wkst'!$AE$7:$AE$2010,'LAC 102_Wkst'!$E$7:$E$2010,$C54,'LAC 102_Wkst'!$G$7:$G$2010,$D54,'LAC 102_Wkst'!$L$7:$L$2010,"02",'LAC 102_Wkst'!$N$7:$N$2010,"P4")</f>
        <v>0</v>
      </c>
      <c r="J54" s="410">
        <f>SUMIFS('LAC 102_Wkst'!$Q$7:$Q$2010,'LAC 102_Wkst'!$E$7:$E$2010,$C54,'LAC 102_Wkst'!$G$7:$G$2010,$D54,'LAC 102_Wkst'!$L$7:$L$2010,"01",'LAC 102_Wkst'!$N$7:$N$2010,"P5")+SUMIFS('LAC 102_Wkst'!$Q$7:$Q$2010,'LAC 102_Wkst'!$E$7:$E$2010,$C54,'LAC 102_Wkst'!$G$7:$G$2010,$D54,'LAC 102_Wkst'!$L$7:$L$2010,"02",'LAC 102_Wkst'!$N$7:$N$2010,"P5")</f>
        <v>0</v>
      </c>
      <c r="K54" s="411">
        <f>SUMIFS('LAC 102_Wkst'!$AE$7:$AE$2010,'LAC 102_Wkst'!$E$7:$E$2010,$C54,'LAC 102_Wkst'!$G$7:$G$2010,$D54,'LAC 102_Wkst'!$L$7:$L$2010,"01",'LAC 102_Wkst'!$N$7:$N$2010,"P5")+SUMIFS('LAC 102_Wkst'!$AE$7:$AE$2010,'LAC 102_Wkst'!$E$7:$E$2010,$C54,'LAC 102_Wkst'!$G$7:$G$2010,$D54,'LAC 102_Wkst'!$L$7:$L$2010,"02",'LAC 102_Wkst'!$N$7:$N$2010,"P5")</f>
        <v>0</v>
      </c>
      <c r="L54" s="410">
        <f>SUMIFS('LAC 102_Wkst'!$Q$7:$Q$2010,'LAC 102_Wkst'!$E$7:$E$2010,$C54,'LAC 102_Wkst'!$G$7:$G$2010,$D54,'LAC 102_Wkst'!$L$7:$L$2010,"03",'LAC 102_Wkst'!$N$7:$N$2010,"P1")+SUMIFS('LAC 102_Wkst'!$Q$7:$Q$2010,'LAC 102_Wkst'!$E$7:$E$2010,$C54,'LAC 102_Wkst'!$G$7:$G$2010,$D54,'LAC 102_Wkst'!$L$7:$L$2010,"03",'LAC 102_Wkst'!$N$7:$N$2010,"P2")+SUMIFS('LAC 102_Wkst'!$Q$7:$Q$2010,'LAC 102_Wkst'!$E$7:$E$2010,$C54,'LAC 102_Wkst'!$G$7:$G$2010,$D54,'LAC 102_Wkst'!$L$7:$L$2010,"03",'LAC 102_Wkst'!$N$7:$N$2010,"P3")+SUMIFS('LAC 102_Wkst'!$Q$7:$Q$2010,'LAC 102_Wkst'!$E$7:$E$2010,$C54,'LAC 102_Wkst'!$G$7:$G$2010,$D54,'LAC 102_Wkst'!$L$7:$L$2010,"04",'LAC 102_Wkst'!$N$7:$N$2010,"P1")+SUMIFS('LAC 102_Wkst'!$Q$7:$Q$2010,'LAC 102_Wkst'!$E$7:$E$2010,$C54,'LAC 102_Wkst'!$G$7:$G$2010,$D54,'LAC 102_Wkst'!$L$7:$L$2010,"04",'LAC 102_Wkst'!$N$7:$N$2010,"P2")+SUMIFS('LAC 102_Wkst'!$Q$7:$Q$2010,'LAC 102_Wkst'!$E$7:$E$2010,$C54,'LAC 102_Wkst'!$G$7:$G$2010,$D54,'LAC 102_Wkst'!$L$7:$L$2010,"04",'LAC 102_Wkst'!$N$7:$N$2010,"P3")</f>
        <v>0</v>
      </c>
      <c r="M54" s="411">
        <f>SUMIFS('LAC 102_Wkst'!$AE$7:$AE$2010,'LAC 102_Wkst'!$E$7:$E$2010,$C54,'LAC 102_Wkst'!$G$7:$G$2010,$D54,'LAC 102_Wkst'!$L$7:$L$2010,"03",'LAC 102_Wkst'!$N$7:$N$2010,"P1")+SUMIFS('LAC 102_Wkst'!$AE$7:$AE$2010,'LAC 102_Wkst'!$E$7:$E$2010,$C54,'LAC 102_Wkst'!$G$7:$G$2010,$D54,'LAC 102_Wkst'!$L$7:$L$2010,"03",'LAC 102_Wkst'!$N$7:$N$2010,"P2")+SUMIFS('LAC 102_Wkst'!$AE$7:$AE$2010,'LAC 102_Wkst'!$E$7:$E$2010,$C54,'LAC 102_Wkst'!$G$7:$G$2010,$D54,'LAC 102_Wkst'!$L$7:$L$2010,"03",'LAC 102_Wkst'!$N$7:$N$2010,"P3")+SUMIFS('LAC 102_Wkst'!$AE$7:$AE$2010,'LAC 102_Wkst'!$E$7:$E$2010,$C54,'LAC 102_Wkst'!$G$7:$G$2010,$D54,'LAC 102_Wkst'!$L$7:$L$2010,"04",'LAC 102_Wkst'!$N$7:$N$2010,"P1")+SUMIFS('LAC 102_Wkst'!$AE$7:$AE$2010,'LAC 102_Wkst'!$E$7:$E$2010,$C54,'LAC 102_Wkst'!$G$7:$G$2010,$D54,'LAC 102_Wkst'!$L$7:$L$2010,"04",'LAC 102_Wkst'!$N$7:$N$2010,"P2")+SUMIFS('LAC 102_Wkst'!$AE$7:$AE$2010,'LAC 102_Wkst'!$E$7:$E$2010,$C54,'LAC 102_Wkst'!$G$7:$G$2010,$D54,'LAC 102_Wkst'!$L$7:$L$2010,"04",'LAC 102_Wkst'!$N$7:$N$2010,"P3")</f>
        <v>0</v>
      </c>
      <c r="N54" s="410">
        <f>SUMIFS('LAC 102_Wkst'!$Q$7:$Q$2010,'LAC 102_Wkst'!$E$7:$E$2010,$C54,'LAC 102_Wkst'!$G$7:$G$2010,$D54,'LAC 102_Wkst'!$L$7:$L$2010,"03",'LAC 102_Wkst'!$N$7:$N$2010,"P4")+SUMIFS('LAC 102_Wkst'!$Q$7:$Q$2010,'LAC 102_Wkst'!$E$7:$E$2010,$C54,'LAC 102_Wkst'!$G$7:$G$2010,$D54,'LAC 102_Wkst'!$L$7:$L$2010,"04",'LAC 102_Wkst'!$N$7:$N$2010,"P4")</f>
        <v>0</v>
      </c>
      <c r="O54" s="411">
        <f>SUMIFS('LAC 102_Wkst'!$AE$7:$AE$2010,'LAC 102_Wkst'!$E$7:$E$2010,$C54,'LAC 102_Wkst'!$G$7:$G$2010,$D54,'LAC 102_Wkst'!$L$7:$L$2010,"03",'LAC 102_Wkst'!$N$7:$N$2010,"P4")+SUMIFS('LAC 102_Wkst'!$AE$7:$AE$2010,'LAC 102_Wkst'!$E$7:$E$2010,$C54,'LAC 102_Wkst'!$G$7:$G$2010,$D54,'LAC 102_Wkst'!$L$7:$L$2010,"04",'LAC 102_Wkst'!$N$7:$N$2010,"P4")</f>
        <v>0</v>
      </c>
      <c r="P54" s="410">
        <f>SUMIFS('LAC 102_Wkst'!$Q$7:$Q$2010,'LAC 102_Wkst'!$E$7:$E$2010,$C54,'LAC 102_Wkst'!$G$7:$G$2010,$D54,'LAC 102_Wkst'!$L$7:$L$2010,"03",'LAC 102_Wkst'!$N$7:$N$2010,"P5")+SUMIFS('LAC 102_Wkst'!$Q$7:$Q$2010,'LAC 102_Wkst'!$E$7:$E$2010,$C54,'LAC 102_Wkst'!$G$7:$G$2010,$D54,'LAC 102_Wkst'!$L$7:$L$2010,"04",'LAC 102_Wkst'!$N$7:$N$2010,"P5")</f>
        <v>0</v>
      </c>
      <c r="Q54" s="411">
        <f>SUMIFS('LAC 102_Wkst'!$AE$7:$AE$2010,'LAC 102_Wkst'!$E$7:$E$2010,$C54,'LAC 102_Wkst'!$G$7:$G$2010,$D54,'LAC 102_Wkst'!$L$7:$L$2010,"03",'LAC 102_Wkst'!$N$7:$N$2010,"P5")+SUMIFS('LAC 102_Wkst'!$AE$7:$AE$2010,'LAC 102_Wkst'!$E$7:$E$2010,$C54,'LAC 102_Wkst'!$G$7:$G$2010,$D54,'LAC 102_Wkst'!$L$7:$L$2010,"04",'LAC 102_Wkst'!$N$7:$N$2010,"P5")</f>
        <v>0</v>
      </c>
      <c r="R54" s="412">
        <f>SUMIFS('LAC 102_Wkst'!$Q$7:$Q$2010,'LAC 102_Wkst'!$E$7:$E$2010,$C54,'LAC 102_Wkst'!$G$7:$G$2010,$D54,'LAC 102_Wkst'!$L$7:$L$2010,"05",'LAC 102_Wkst'!$N$7:$N$2010,"P1")+SUMIFS('LAC 102_Wkst'!$Q$7:$Q$2010,'LAC 102_Wkst'!$E$7:$E$2010,$C54,'LAC 102_Wkst'!$G$7:$G$2010,$D54,'LAC 102_Wkst'!$L$7:$L$2010,"06",'LAC 102_Wkst'!$N$7:$N$2010,"P1")</f>
        <v>0</v>
      </c>
      <c r="S54" s="411">
        <f>SUMIFS('LAC 102_Wkst'!$AE$7:$AE$2010,'LAC 102_Wkst'!$E$7:$E$2010,$C54,'LAC 102_Wkst'!$G$7:$G$2010,$D54,'LAC 102_Wkst'!$L$7:$L$2010,"05",'LAC 102_Wkst'!$N$7:$N$2010,"P1")+SUMIFS('LAC 102_Wkst'!$AE$7:$AE$2010,'LAC 102_Wkst'!$E$7:$E$2010,$C54,'LAC 102_Wkst'!$G$7:$G$2010,$D54,'LAC 102_Wkst'!$L$7:$L$2010,"06",'LAC 102_Wkst'!$N$7:$N$2010,"P1")</f>
        <v>0</v>
      </c>
      <c r="T54" s="410">
        <f>SUMIFS('LAC 102_Wkst'!$Q$7:$Q$2010,'LAC 102_Wkst'!$E$7:$E$2010,$C54,'LAC 102_Wkst'!$G$7:$G$2010,$D54,'LAC 102_Wkst'!$L$7:$L$2010,"05",'LAC 102_Wkst'!$N$7:$N$2010,"P2")+SUMIFS('LAC 102_Wkst'!$Q$7:$Q$2010,'LAC 102_Wkst'!$E$7:$E$2010,$C54,'LAC 102_Wkst'!$G$7:$G$2010,$D54,'LAC 102_Wkst'!$L$7:$L$2010,"05",'LAC 102_Wkst'!$N$7:$N$2010,"P3")+SUMIFS('LAC 102_Wkst'!$Q$7:$Q$2010,'LAC 102_Wkst'!$E$7:$E$2010,$C54,'LAC 102_Wkst'!$G$7:$G$2010,$D54,'LAC 102_Wkst'!$L$7:$L$2010,"06",'LAC 102_Wkst'!$N$7:$N$2010,"P2")+SUMIFS('LAC 102_Wkst'!$Q$7:$Q$2010,'LAC 102_Wkst'!$E$7:$E$2010,$C54,'LAC 102_Wkst'!$G$7:$G$2010,$D54,'LAC 102_Wkst'!$L$7:$L$2010,"06",'LAC 102_Wkst'!$N$7:$N$2010,"P3")</f>
        <v>0</v>
      </c>
      <c r="U54" s="411">
        <f>SUMIFS('LAC 102_Wkst'!$AE$7:$AE$2010,'LAC 102_Wkst'!$E$7:$E$2010,$C54,'LAC 102_Wkst'!$G$7:$G$2010,$D54,'LAC 102_Wkst'!$L$7:$L$2010,"05",'LAC 102_Wkst'!$N$7:$N$2010,"P2")+SUMIFS('LAC 102_Wkst'!$AE$7:$AE$2010,'LAC 102_Wkst'!$E$7:$E$2010,$C54,'LAC 102_Wkst'!$G$7:$G$2010,$D54,'LAC 102_Wkst'!$L$7:$L$2010,"06",'LAC 102_Wkst'!$N$7:$N$2010,"P3")+SUMIFS('LAC 102_Wkst'!$AE$7:$AE$2010,'LAC 102_Wkst'!$E$7:$E$2010,$C54,'LAC 102_Wkst'!$G$7:$G$2010,$D54,'LAC 102_Wkst'!$L$7:$L$2010,"05",'LAC 102_Wkst'!$N$7:$N$2010,"P2")+SUMIFS('LAC 102_Wkst'!$AE$7:$AE$2010,'LAC 102_Wkst'!$E$7:$E$2010,$C54,'LAC 102_Wkst'!$G$7:$G$2010,$D54,'LAC 102_Wkst'!$L$7:$L$2010,"06",'LAC 102_Wkst'!$N$7:$N$2010,"P3")</f>
        <v>0</v>
      </c>
      <c r="V54" s="410">
        <f>SUMIFS('LAC 102_Wkst'!$Q$7:$Q$2010,'LAC 102_Wkst'!$E$7:$E$2010,$C54,'LAC 102_Wkst'!$G$7:$G$2010,$D54,'LAC 102_Wkst'!$L$7:$L$2010,"05",'LAC 102_Wkst'!$N$7:$N$2010,"P4")+SUMIFS('LAC 102_Wkst'!$Q$7:$Q$2010,'LAC 102_Wkst'!$E$7:$E$2010,$C54,'LAC 102_Wkst'!$G$7:$G$2010,$D54,'LAC 102_Wkst'!$L$7:$L$2010,"06",'LAC 102_Wkst'!$N$7:$N$2010,"P4")</f>
        <v>0</v>
      </c>
      <c r="W54" s="411">
        <f>SUMIFS('LAC 102_Wkst'!$AE$7:$AE$2010,'LAC 102_Wkst'!$E$7:$E$2010,$C54,'LAC 102_Wkst'!$G$7:$G$2010,$D54,'LAC 102_Wkst'!$L$7:$L$2010,"05",'LAC 102_Wkst'!$N$7:$N$2010,"P4")+SUMIFS('LAC 102_Wkst'!$AE$7:$AE$2010,'LAC 102_Wkst'!$E$7:$E$2010,$C54,'LAC 102_Wkst'!$G$7:$G$2010,$D54,'LAC 102_Wkst'!$L$7:$L$2010,"06",'LAC 102_Wkst'!$N$7:$N$2010,"P4")</f>
        <v>0</v>
      </c>
      <c r="X54" s="410">
        <f>SUMIFS('LAC 102_Wkst'!$Q$7:$Q$2010,'LAC 102_Wkst'!$E$7:$E$2010,$C54,'LAC 102_Wkst'!$G$7:$G$2010,$D54,'LAC 102_Wkst'!$L$7:$L$2010,"05",'LAC 102_Wkst'!$N$7:$N$2010,"P5")+SUMIFS('LAC 102_Wkst'!$Q$7:$Q$2010,'LAC 102_Wkst'!$E$7:$E$2010,$C54,'LAC 102_Wkst'!$G$7:$G$2010,$D54,'LAC 102_Wkst'!$L$7:$L$2010,"06",'LAC 102_Wkst'!$N$7:$N$2010,"P5")</f>
        <v>0</v>
      </c>
      <c r="Y54" s="411">
        <f>SUMIFS('LAC 102_Wkst'!$AE$7:$AE$2010,'LAC 102_Wkst'!$E$7:$E$2010,$C54,'LAC 102_Wkst'!$G$7:$G$2010,$D54,'LAC 102_Wkst'!$L$7:$L$2010,"05",'LAC 102_Wkst'!$N$7:$N$2010,"P5")+SUMIFS('LAC 102_Wkst'!$AE$7:$AE$2010,'LAC 102_Wkst'!$E$7:$E$2010,$C54,'LAC 102_Wkst'!$G$7:$G$2010,$D54,'LAC 102_Wkst'!$L$7:$L$2010,"06",'LAC 102_Wkst'!$N$7:$N$2010,"P5")</f>
        <v>0</v>
      </c>
      <c r="Z54" s="410">
        <f>SUMIFS('LAC 102_Wkst'!$Q$7:$Q$2010,'LAC 102_Wkst'!$E$7:$E$2010,$C54,'LAC 102_Wkst'!$G$7:$G$2010,$D54,'LAC 102_Wkst'!$L$7:$L$2010,"07",'LAC 102_Wkst'!$N$7:$N$2010,"P1")+SUMIFS('LAC 102_Wkst'!$Q$7:$Q$2010,'LAC 102_Wkst'!$E$7:$E$2010,$C54,'LAC 102_Wkst'!$G$7:$G$2010,$D54,'LAC 102_Wkst'!$L$7:$L$2010,"07",'LAC 102_Wkst'!$N$7:$N$2010,"P2")+SUMIFS('LAC 102_Wkst'!$Q$7:$Q$2010,'LAC 102_Wkst'!$E$7:$E$2010,$C54,'LAC 102_Wkst'!$G$7:$G$2010,$D54,'LAC 102_Wkst'!$L$7:$L$2010,"07",'LAC 102_Wkst'!$N$7:$N$2010,"P3")</f>
        <v>0</v>
      </c>
      <c r="AA54" s="411">
        <f>SUMIFS('LAC 102_Wkst'!$AE$7:$AE$2010,'LAC 102_Wkst'!$E$7:$E$2010,$C54,'LAC 102_Wkst'!$G$7:$G$2010,$D54,'LAC 102_Wkst'!$L$7:$L$2010,"07",'LAC 102_Wkst'!$N$7:$N$2010,"P1")+SUMIFS('LAC 102_Wkst'!$AE$7:$AE$2010,'LAC 102_Wkst'!$E$7:$E$2010,$C54,'LAC 102_Wkst'!$G$7:$G$2010,$D54,'LAC 102_Wkst'!$L$7:$L$2010,"07",'LAC 102_Wkst'!$N$7:$N$2010,"P2")+SUMIFS('LAC 102_Wkst'!$AE$7:$AE$2010,'LAC 102_Wkst'!$E$7:$E$2010,$C54,'LAC 102_Wkst'!$G$7:$G$2010,$D54,'LAC 102_Wkst'!$L$7:$L$2010,"07",'LAC 102_Wkst'!$N$7:$N$2010,"P3")</f>
        <v>0</v>
      </c>
      <c r="AB54" s="410">
        <f>SUMIFS('LAC 102_Wkst'!$Q$7:$Q$2010,'LAC 102_Wkst'!$E$7:$E$2010,$C54,'LAC 102_Wkst'!$G$7:$G$2010,$D54,'LAC 102_Wkst'!$L$7:$L$2010,"07",'LAC 102_Wkst'!$N$7:$N$2010,"P4")</f>
        <v>0</v>
      </c>
      <c r="AC54" s="411">
        <f>SUMIFS('LAC 102_Wkst'!$AE$7:$AE$2010,'LAC 102_Wkst'!$E$7:$E$2010,$C54,'LAC 102_Wkst'!$G$7:$G$2010,$D54,'LAC 102_Wkst'!$L$7:$L$2010,"07",'LAC 102_Wkst'!$N$7:$N$2010,"P4")</f>
        <v>0</v>
      </c>
      <c r="AD54" s="410">
        <f>SUMIFS('LAC 102_Wkst'!$Q$7:$Q$2010,'LAC 102_Wkst'!$E$7:$E$2010,$C54,'LAC 102_Wkst'!$G$7:$G$2010,$D54,'LAC 102_Wkst'!$L$7:$L$2010,"07",'LAC 102_Wkst'!$N$7:$N$2010,"P5")</f>
        <v>0</v>
      </c>
      <c r="AE54" s="411">
        <f>SUMIFS('LAC 102_Wkst'!$AE$7:$AE$2010,'LAC 102_Wkst'!$E$7:$E$2010,$C54,'LAC 102_Wkst'!$G$7:$G$2010,$D54,'LAC 102_Wkst'!$L$7:$L$2010,"07",'LAC 102_Wkst'!$N$7:$N$2010,"P5")</f>
        <v>0</v>
      </c>
      <c r="AF54" s="410">
        <f>SUMIFS('LAC 102_Wkst'!$Q$7:$Q$2010,'LAC 102_Wkst'!$E$7:$E$2010,$C54,'LAC 102_Wkst'!$G$7:$G$2010,$D54,'LAC 102_Wkst'!$L$7:$L$2010,"08",'LAC 102_Wkst'!$N$7:$N$2010,"P1")+SUMIFS('LAC 102_Wkst'!$Q$7:$Q$2010,'LAC 102_Wkst'!$E$7:$E$2010,$C54,'LAC 102_Wkst'!$G$7:$G$2010,$D54,'LAC 102_Wkst'!$L$7:$L$2010,"08",'LAC 102_Wkst'!$N$7:$N$2010,"P2")+SUMIFS('LAC 102_Wkst'!$Q$7:$Q$2010,'LAC 102_Wkst'!$E$7:$E$2010,$C54,'LAC 102_Wkst'!$G$7:$G$2010,$D54,'LAC 102_Wkst'!$L$7:$L$2010,"08",'LAC 102_Wkst'!$N$7:$N$2010,"P3")</f>
        <v>0</v>
      </c>
      <c r="AG54" s="411">
        <f>SUMIFS('LAC 102_Wkst'!$AE$7:$AE$2010,'LAC 102_Wkst'!$E$7:$E$2010,$C54,'LAC 102_Wkst'!$G$7:$G$2010,$D54,'LAC 102_Wkst'!$L$7:$L$2010,"08",'LAC 102_Wkst'!$N$7:$N$2010,"P1")+SUMIFS('LAC 102_Wkst'!$AE$7:$AE$2010,'LAC 102_Wkst'!$E$7:$E$2010,$C54,'LAC 102_Wkst'!$G$7:$G$2010,$D54,'LAC 102_Wkst'!$L$7:$L$2010,"08",'LAC 102_Wkst'!$N$7:$N$2010,"P2")+SUMIFS('LAC 102_Wkst'!$AE$7:$AE$2010,'LAC 102_Wkst'!$E$7:$E$2010,$C54,'LAC 102_Wkst'!$G$7:$G$2010,$D54,'LAC 102_Wkst'!$L$7:$L$2010,"08",'LAC 102_Wkst'!$N$7:$N$2010,"P3")</f>
        <v>0</v>
      </c>
      <c r="AH54" s="410">
        <f>SUMIFS('LAC 102_Wkst'!$Q$7:$Q$2010,'LAC 102_Wkst'!$E$7:$E$2010,$C54,'LAC 102_Wkst'!$G$7:$G$2010,$D54,'LAC 102_Wkst'!$L$7:$L$2010,"08",'LAC 102_Wkst'!$N$7:$N$2010,"P4")</f>
        <v>0</v>
      </c>
      <c r="AI54" s="411">
        <f>SUMIFS('LAC 102_Wkst'!$AE$7:$AE$2010,'LAC 102_Wkst'!$E$7:$E$2010,$C54,'LAC 102_Wkst'!$G$7:$G$2010,$D54,'LAC 102_Wkst'!$L$7:$L$2010,"08",'LAC 102_Wkst'!$N$7:$N$2010,"P4")</f>
        <v>0</v>
      </c>
      <c r="AJ54" s="410">
        <f>SUMIFS('LAC 102_Wkst'!$Q$7:$Q$2010,'LAC 102_Wkst'!$E$7:$E$2010,$C54,'LAC 102_Wkst'!$G$7:$G$2010,$D54,'LAC 102_Wkst'!$L$7:$L$2010,"08",'LAC 102_Wkst'!$N$7:$N$2010,"P5")</f>
        <v>0</v>
      </c>
      <c r="AK54" s="411">
        <f>SUMIFS('LAC 102_Wkst'!$AE$7:$AE$2010,'LAC 102_Wkst'!$E$7:$E$2010,$C54,'LAC 102_Wkst'!$G$7:$G$2010,$D54,'LAC 102_Wkst'!$L$7:$L$2010,"08",'LAC 102_Wkst'!$N$7:$N$2010,"P5")</f>
        <v>0</v>
      </c>
      <c r="AL54" s="410">
        <f>SUMIFS('LAC 102_Wkst'!$Q$7:$Q$2010,'LAC 102_Wkst'!$E$7:$E$2010,$C54,'LAC 102_Wkst'!$G$7:$G$2010,$D54,'LAC 102_Wkst'!$L$7:$L$2010,"09",'LAC 102_Wkst'!$N$7:$N$2010,"P1")+SUMIFS('LAC 102_Wkst'!$Q$7:$Q$2010,'LAC 102_Wkst'!$E$7:$E$2010,$C54,'LAC 102_Wkst'!$G$7:$G$2010,$D54,'LAC 102_Wkst'!$L$7:$L$2010,"09",'LAC 102_Wkst'!$N$7:$N$2010,"P2")+SUMIFS('LAC 102_Wkst'!$Q$7:$Q$2010,'LAC 102_Wkst'!$E$7:$E$2010,$C54,'LAC 102_Wkst'!$G$7:$G$2010,$D54,'LAC 102_Wkst'!$L$7:$L$2010,"09",'LAC 102_Wkst'!$N$7:$N$2010,"P3")+SUMIFS('LAC 102_Wkst'!$Q$7:$Q$2010,'LAC 102_Wkst'!$E$7:$E$2010,$C54,'LAC 102_Wkst'!$G$7:$G$2010,$D54,'LAC 102_Wkst'!$L$7:$L$2010,"09",'LAC 102_Wkst'!$N$7:$N$2010,"P4")</f>
        <v>0</v>
      </c>
      <c r="AM54" s="411">
        <f>SUMIFS('LAC 102_Wkst'!$AE$7:$AE$2010,'LAC 102_Wkst'!$E$7:$E$2010,$C54,'LAC 102_Wkst'!$G$7:$G$2010,$D54,'LAC 102_Wkst'!$L$7:$L$2010,"09",'LAC 102_Wkst'!$N$7:$N$2010,"P1")+SUMIFS('LAC 102_Wkst'!$AE$7:$AE$2010,'LAC 102_Wkst'!$E$7:$E$2010,$C54,'LAC 102_Wkst'!$G$7:$G$2010,$D54,'LAC 102_Wkst'!$L$7:$L$2010,"09",'LAC 102_Wkst'!$N$7:$N$2010,"P2")+SUMIFS('LAC 102_Wkst'!$AE$7:$AE$2010,'LAC 102_Wkst'!$E$7:$E$2010,$C54,'LAC 102_Wkst'!$G$7:$G$2010,$D54,'LAC 102_Wkst'!$L$7:$L$2010,"09",'LAC 102_Wkst'!$N$7:$N$2010,"P3")+SUMIFS('LAC 102_Wkst'!$AE$7:$AE$2010,'LAC 102_Wkst'!$E$7:$E$2010,$C54,'LAC 102_Wkst'!$G$7:$G$2010,$D54,'LAC 102_Wkst'!$L$7:$L$2010,"09",'LAC 102_Wkst'!$N$7:$N$2010,"P4")</f>
        <v>0</v>
      </c>
      <c r="AN54" s="410">
        <f>SUMIFS('LAC 102_Wkst'!$Q$7:$Q$2010,'LAC 102_Wkst'!$E$7:$E$2010,$C54,'LAC 102_Wkst'!$G$7:$G$2010,$D54,'LAC 102_Wkst'!$L$7:$L$2010,"09",'LAC 102_Wkst'!$N$7:$N$2010,"P5")</f>
        <v>0</v>
      </c>
      <c r="AO54" s="411">
        <f>SUMIFS('LAC 102_Wkst'!$AE$7:$AE$2010,'LAC 102_Wkst'!$E$7:$E$2010,$C54,'LAC 102_Wkst'!$G$7:$G$2010,$D54,'LAC 102_Wkst'!$L$7:$L$2010,"09",'LAC 102_Wkst'!$N$7:$N$2010,"P5")</f>
        <v>0</v>
      </c>
      <c r="AP54" s="410">
        <f>SUMIFS('LAC 102_Wkst'!$Q$7:$Q$2010,'LAC 102_Wkst'!$E$7:$E$2010,$C54,'LAC 102_Wkst'!$G$7:$G$2010,$D54,'LAC 102_Wkst'!$L$7:$L$2010,"10",'LAC 102_Wkst'!$N$7:$N$2010,"P1")+SUMIFS('LAC 102_Wkst'!$Q$7:$Q$2010,'LAC 102_Wkst'!$E$7:$E$2010,$C54,'LAC 102_Wkst'!$G$7:$G$2010,$D54,'LAC 102_Wkst'!$L$7:$L$2010,"10",'LAC 102_Wkst'!$N$7:$N$2010,"P2")+SUMIFS('LAC 102_Wkst'!$Q$7:$Q$2010,'LAC 102_Wkst'!$E$7:$E$2010,$C54,'LAC 102_Wkst'!$G$7:$G$2010,$D54,'LAC 102_Wkst'!$L$7:$L$2010,"10",'LAC 102_Wkst'!$N$7:$N$2010,"P3")+SUMIFS('LAC 102_Wkst'!$Q$7:$Q$2010,'LAC 102_Wkst'!$E$7:$E$2010,$C54,'LAC 102_Wkst'!$G$7:$G$2010,$D54,'LAC 102_Wkst'!$L$7:$L$2010,"10",'LAC 102_Wkst'!$N$7:$N$2010,"P4")</f>
        <v>0</v>
      </c>
      <c r="AQ54" s="411">
        <f>SUMIFS('LAC 102_Wkst'!$AE$7:$AE$2010,'LAC 102_Wkst'!$E$7:$E$2010,$C54,'LAC 102_Wkst'!$G$7:$G$2010,$D54,'LAC 102_Wkst'!$L$7:$L$2010,"10",'LAC 102_Wkst'!$N$7:$N$2010,"P1")+SUMIFS('LAC 102_Wkst'!$AE$7:$AE$2010,'LAC 102_Wkst'!$E$7:$E$2010,$C54,'LAC 102_Wkst'!$G$7:$G$2010,$D54,'LAC 102_Wkst'!$L$7:$L$2010,"10",'LAC 102_Wkst'!$N$7:$N$2010,"P2")+SUMIFS('LAC 102_Wkst'!$AE$7:$AE$2010,'LAC 102_Wkst'!$E$7:$E$2010,$C54,'LAC 102_Wkst'!$G$7:$G$2010,$D54,'LAC 102_Wkst'!$L$7:$L$2010,"10",'LAC 102_Wkst'!$N$7:$N$2010,"P3")+SUMIFS('LAC 102_Wkst'!$AE$7:$AE$2010,'LAC 102_Wkst'!$E$7:$E$2010,$C54,'LAC 102_Wkst'!$G$7:$G$2010,$D54,'LAC 102_Wkst'!$L$7:$L$2010,"10",'LAC 102_Wkst'!$N$7:$N$2010,"P4")</f>
        <v>0</v>
      </c>
      <c r="AR54" s="410">
        <f>SUMIFS('LAC 102_Wkst'!$Q$7:$Q$2010,'LAC 102_Wkst'!$E$7:$E$2010,$C54,'LAC 102_Wkst'!$G$7:$G$2010,$D54,'LAC 102_Wkst'!$L$7:$L$2010,"10",'LAC 102_Wkst'!$N$7:$N$2010,"P5")</f>
        <v>0</v>
      </c>
      <c r="AS54" s="411">
        <f>SUMIFS('LAC 102_Wkst'!$AE$7:$AE$2010,'LAC 102_Wkst'!$E$7:$E$2010,$C54,'LAC 102_Wkst'!$G$7:$G$2010,$D54,'LAC 102_Wkst'!$L$7:$L$2010,"10",'LAC 102_Wkst'!$N$7:$N$2010,"P5")</f>
        <v>0</v>
      </c>
      <c r="AT54" s="410">
        <f>SUMIFS('LAC 102_Wkst'!$Q$7:$Q$2010,'LAC 102_Wkst'!$E$7:$E$2010,$C54,'LAC 102_Wkst'!$G$7:$G$2010,$D54,'LAC 102_Wkst'!$L$7:$L$2010,"11",'LAC 102_Wkst'!$N$7:$N$2010,"P1")+SUMIFS('LAC 102_Wkst'!$Q$7:$Q$2010,'LAC 102_Wkst'!$E$7:$E$2010,$C54,'LAC 102_Wkst'!$G$7:$G$2010,$D54,'LAC 102_Wkst'!$L$7:$L$2010,"12",'LAC 102_Wkst'!$N$7:$N$2010,"P1")</f>
        <v>0</v>
      </c>
      <c r="AU54" s="411">
        <f>SUMIFS('LAC 102_Wkst'!$AE$7:$AE$2010,'LAC 102_Wkst'!$E$7:$E$2010,$C54,'LAC 102_Wkst'!$G$7:$G$2010,$D54,'LAC 102_Wkst'!$L$7:$L$2010,"11",'LAC 102_Wkst'!$N$7:$N$2010,"P1")+SUMIFS('LAC 102_Wkst'!$AE$7:$AE$2010,'LAC 102_Wkst'!$E$7:$E$2010,$C54,'LAC 102_Wkst'!$G$7:$G$2010,$D54,'LAC 102_Wkst'!$L$7:$L$2010,"12",'LAC 102_Wkst'!$N$7:$N$2010,"P1")</f>
        <v>0</v>
      </c>
      <c r="AV54" s="410">
        <f>SUMIFS('LAC 102_Wkst'!$Q$7:$Q$2010,'LAC 102_Wkst'!$E$7:$E$2010,$C54,'LAC 102_Wkst'!$G$7:$G$2010,$D54,'LAC 102_Wkst'!$L$7:$L$2010,"11",'LAC 102_Wkst'!$N$7:$N$2010,"P2")+SUMIFS('LAC 102_Wkst'!$Q$7:$Q$2010,'LAC 102_Wkst'!$E$7:$E$2010,$C54,'LAC 102_Wkst'!$G$7:$G$2010,$D54,'LAC 102_Wkst'!$L$7:$L$2010,"12",'LAC 102_Wkst'!$N$7:$N$2010,"P3")+SUMIFS('LAC 102_Wkst'!$Q$7:$Q$2010,'LAC 102_Wkst'!$E$7:$E$2010,$C54,'LAC 102_Wkst'!$G$7:$G$2010,$D54,'LAC 102_Wkst'!$L$7:$L$2010,"11",'LAC 102_Wkst'!$N$7:$N$2010,"P2")+SUMIFS('LAC 102_Wkst'!$Q$7:$Q$2010,'LAC 102_Wkst'!$E$7:$E$2010,$C54,'LAC 102_Wkst'!$G$7:$G$2010,$D54,'LAC 102_Wkst'!$L$7:$L$2010,"12",'LAC 102_Wkst'!$N$7:$N$2010,"P3")</f>
        <v>0</v>
      </c>
      <c r="AW54" s="411">
        <f>SUMIFS('LAC 102_Wkst'!$AE$7:$AE$2010,'LAC 102_Wkst'!$E$7:$E$2010,$C54,'LAC 102_Wkst'!$G$7:$G$2010,$D54,'LAC 102_Wkst'!$L$7:$L$2010,"11",'LAC 102_Wkst'!$N$7:$N$2010,"P2")+SUMIFS('LAC 102_Wkst'!$AE$7:$AE$2010,'LAC 102_Wkst'!$E$7:$E$2010,$C54,'LAC 102_Wkst'!$G$7:$G$2010,$D54,'LAC 102_Wkst'!$L$7:$L$2010,"12",'LAC 102_Wkst'!$N$7:$N$2010,"P3")+SUMIFS('LAC 102_Wkst'!$AE$7:$AE$2010,'LAC 102_Wkst'!$E$7:$E$2010,$C54,'LAC 102_Wkst'!$G$7:$G$2010,$D54,'LAC 102_Wkst'!$L$7:$L$2010,"11",'LAC 102_Wkst'!$N$7:$N$2010,"P2")+SUMIFS('LAC 102_Wkst'!$AE$7:$AE$2010,'LAC 102_Wkst'!$E$7:$E$2010,$C54,'LAC 102_Wkst'!$G$7:$G$2010,$D54,'LAC 102_Wkst'!$L$7:$L$2010,"12",'LAC 102_Wkst'!$N$7:$N$2010,"P3")</f>
        <v>0</v>
      </c>
      <c r="AX54" s="410">
        <f>SUMIFS('LAC 102_Wkst'!$Q$7:$Q$2010,'LAC 102_Wkst'!$E$7:$E$2010,$C54,'LAC 102_Wkst'!$G$7:$G$2010,$D54,'LAC 102_Wkst'!$L$7:$L$2010,"11",'LAC 102_Wkst'!$N$7:$N$2010,"P4")+SUMIFS('LAC 102_Wkst'!$Q$7:$Q$2010,'LAC 102_Wkst'!$E$7:$E$2010,$C54,'LAC 102_Wkst'!$G$7:$G$2010,$D54,'LAC 102_Wkst'!$L$7:$L$2010,"12",'LAC 102_Wkst'!$N$7:$N$2010,"P4")</f>
        <v>0</v>
      </c>
      <c r="AY54" s="411">
        <f>SUMIFS('LAC 102_Wkst'!$AE$7:$AE$2010,'LAC 102_Wkst'!$E$7:$E$2010,$C54,'LAC 102_Wkst'!$G$7:$G$2010,$D54,'LAC 102_Wkst'!$L$7:$L$2010,"11",'LAC 102_Wkst'!$N$7:$N$2010,"P4")+SUMIFS('LAC 102_Wkst'!$AE$7:$AE$2010,'LAC 102_Wkst'!$E$7:$E$2010,$C54,'LAC 102_Wkst'!$G$7:$G$2010,$D54,'LAC 102_Wkst'!$L$7:$L$2010,"12",'LAC 102_Wkst'!$N$7:$N$2010,"P4")</f>
        <v>0</v>
      </c>
      <c r="AZ54" s="410">
        <f>SUMIFS('LAC 102_Wkst'!$Q$7:$Q$2010,'LAC 102_Wkst'!$E$7:$E$2010,$C54,'LAC 102_Wkst'!$G$7:$G$2010,$D54,'LAC 102_Wkst'!$L$7:$L$2010,"11",'LAC 102_Wkst'!$N$7:$N$2010,"P5")+SUMIFS('LAC 102_Wkst'!$Q$7:$Q$2010,'LAC 102_Wkst'!$E$7:$E$2010,$C54,'LAC 102_Wkst'!$G$7:$G$2010,$D54,'LAC 102_Wkst'!$L$7:$L$2010,"12",'LAC 102_Wkst'!$N$7:$N$2010,"P5")</f>
        <v>0</v>
      </c>
      <c r="BA54" s="411">
        <f>SUMIFS('LAC 102_Wkst'!$AE$7:$AE$2010,'LAC 102_Wkst'!$E$7:$E$2010,$C54,'LAC 102_Wkst'!$G$7:$G$2010,$D54,'LAC 102_Wkst'!$L$7:$L$2010,"11",'LAC 102_Wkst'!$N$7:$N$2010,"P5")+SUMIFS('LAC 102_Wkst'!$AE$7:$AE$2010,'LAC 102_Wkst'!$E$7:$E$2010,$C54,'LAC 102_Wkst'!$G$7:$G$2010,$D54,'LAC 102_Wkst'!$L$7:$L$2010,"12",'LAC 102_Wkst'!$N$7:$N$2010,"P5")</f>
        <v>0</v>
      </c>
      <c r="BB54" s="410">
        <f>SUMIFS('LAC 102_Wkst'!$Q$7:$Q$2010,'LAC 102_Wkst'!$E$7:$E$2010,$C54,'LAC 102_Wkst'!$G$7:$G$2010,$D54,'LAC 102_Wkst'!$L$7:$L$2010,"13",'LAC 102_Wkst'!$N$7:$N$2010,"P1")+SUMIFS('LAC 102_Wkst'!$Q$7:$Q$2010,'LAC 102_Wkst'!$E$7:$E$2010,$C54,'LAC 102_Wkst'!$G$7:$G$2010,$D54,'LAC 102_Wkst'!$L$7:$L$2010,"13",'LAC 102_Wkst'!$N$7:$N$2010,"P2")+SUMIFS('LAC 102_Wkst'!$Q$7:$Q$2010,'LAC 102_Wkst'!$E$7:$E$2010,$C54,'LAC 102_Wkst'!$G$7:$G$2010,$D54,'LAC 102_Wkst'!$L$7:$L$2010,"13",'LAC 102_Wkst'!$N$7:$N$2010,"P3")+SUMIFS('LAC 102_Wkst'!$Q$7:$Q$2010,'LAC 102_Wkst'!$E$7:$E$2010,$C54,'LAC 102_Wkst'!$G$7:$G$2010,$D54,'LAC 102_Wkst'!$L$7:$L$2010,"13",'LAC 102_Wkst'!$N$7:$N$2010,"P4")</f>
        <v>0</v>
      </c>
      <c r="BC54" s="411">
        <f>SUMIFS('LAC 102_Wkst'!$AE$7:$AE$2010,'LAC 102_Wkst'!$E$7:$E$2010,$C54,'LAC 102_Wkst'!$G$7:$G$2010,$D54,'LAC 102_Wkst'!$L$7:$L$2010,"13",'LAC 102_Wkst'!$N$7:$N$2010,"P1")+SUMIFS('LAC 102_Wkst'!$AE$7:$AE$2010,'LAC 102_Wkst'!$E$7:$E$2010,$C54,'LAC 102_Wkst'!$G$7:$G$2010,$D54,'LAC 102_Wkst'!$L$7:$L$2010,"13",'LAC 102_Wkst'!$N$7:$N$2010,"P2")+SUMIFS('LAC 102_Wkst'!$AE$7:$AE$2010,'LAC 102_Wkst'!$E$7:$E$2010,$C54,'LAC 102_Wkst'!$G$7:$G$2010,$D54,'LAC 102_Wkst'!$L$7:$L$2010,"13",'LAC 102_Wkst'!$N$7:$N$2010,"P3")+SUMIFS('LAC 102_Wkst'!$AE$7:$AE$2010,'LAC 102_Wkst'!$E$7:$E$2010,$C54,'LAC 102_Wkst'!$G$7:$G$2010,$D54,'LAC 102_Wkst'!$L$7:$L$2010,"13",'LAC 102_Wkst'!$N$7:$N$2010,"P4")</f>
        <v>0</v>
      </c>
      <c r="BD54" s="410">
        <f>SUMIFS('LAC 102_Wkst'!$Q$7:$Q$2010,'LAC 102_Wkst'!$E$7:$E$2010,$C54,'LAC 102_Wkst'!$G$7:$G$2010,$D54,'LAC 102_Wkst'!$L$7:$L$2010,"13",'LAC 102_Wkst'!$N$7:$N$2010,"P5")</f>
        <v>0</v>
      </c>
      <c r="BE54" s="411">
        <f>SUMIFS('LAC 102_Wkst'!$AE$7:$AE$2010,'LAC 102_Wkst'!$E$7:$E$2010,$C54,'LAC 102_Wkst'!$G$7:$G$2010,$D54,'LAC 102_Wkst'!$L$7:$L$2010,"13",'LAC 102_Wkst'!$N$7:$N$2010,"P5")</f>
        <v>0</v>
      </c>
      <c r="BF54" s="407">
        <f t="shared" si="0"/>
        <v>0</v>
      </c>
    </row>
    <row r="55" spans="1:58" x14ac:dyDescent="0.2">
      <c r="A55" s="401">
        <v>36</v>
      </c>
      <c r="B55" s="1236"/>
      <c r="C55" s="1235"/>
      <c r="D55" s="1237"/>
      <c r="E55" s="1222">
        <f>IF(CONCATENATE(C55,D55)&gt;"6069",1,SUMIFS('LAC 102_Wkst'!$Q$7:$Q$2010,'LAC 102_Wkst'!$E$7:$E$2010,Schedule_B!$C55,'LAC 102_Wkst'!$G$7:$G$2010,Schedule_B!$D55))</f>
        <v>0</v>
      </c>
      <c r="F55" s="408">
        <f>SUMIFS('LAC 102_Wkst'!$Q$7:$Q$2010,'LAC 102_Wkst'!$E$7:$E$2010,$C55,'LAC 102_Wkst'!$G$7:$G$2010,$D55,'LAC 102_Wkst'!$L$7:$L$2010,"01",'LAC 102_Wkst'!$N$7:$N$2010,"P1")+SUMIFS('LAC 102_Wkst'!$Q$7:$Q$2010,'LAC 102_Wkst'!$E$7:$E$2010,$C55,'LAC 102_Wkst'!$G$7:$G$2010,$D55,'LAC 102_Wkst'!$L$7:$L$2010,"01",'LAC 102_Wkst'!$N$7:$N$2010,"P2")+SUMIFS('LAC 102_Wkst'!$Q$7:$Q$2010,'LAC 102_Wkst'!$E$7:$E$2010,$C55,'LAC 102_Wkst'!$G$7:$G$2010,$D55,'LAC 102_Wkst'!$L$7:$L$2010,"01",'LAC 102_Wkst'!$N$7:$N$2010,"P3")+SUMIFS('LAC 102_Wkst'!$Q$7:$Q$2010,'LAC 102_Wkst'!$E$7:$E$2010,$C55,'LAC 102_Wkst'!$G$7:$G$2010,$D55,'LAC 102_Wkst'!$L$7:$L$2010,"02",'LAC 102_Wkst'!$N$7:$N$2010,"P1")+SUMIFS('LAC 102_Wkst'!$Q$7:$Q$2010,'LAC 102_Wkst'!$E$7:$E$2010,$C55,'LAC 102_Wkst'!$G$7:$G$2010,$D55,'LAC 102_Wkst'!$L$7:$L$2010,"02",'LAC 102_Wkst'!$N$7:$N$2010,"P2")+SUMIFS('LAC 102_Wkst'!$Q$7:$Q$2010,'LAC 102_Wkst'!$E$7:$E$2010,$C55,'LAC 102_Wkst'!$G$7:$G$2010,$D55,'LAC 102_Wkst'!$L$7:$L$2010,"02",'LAC 102_Wkst'!$N$7:$N$2010,"P3")</f>
        <v>0</v>
      </c>
      <c r="G55" s="409">
        <f>SUMIFS('LAC 102_Wkst'!$AE$7:$AE$2010,'LAC 102_Wkst'!$E$7:$E$2010,$C55,'LAC 102_Wkst'!$G$7:$G$2010,$D55,'LAC 102_Wkst'!$L$7:$L$2010,"01",'LAC 102_Wkst'!$N$7:$N$2010,"P1")+SUMIFS('LAC 102_Wkst'!$AE$7:$AE$2010,'LAC 102_Wkst'!$E$7:$E$2010,$C55,'LAC 102_Wkst'!$G$7:$G$2010,$D55,'LAC 102_Wkst'!$L$7:$L$2010,"01",'LAC 102_Wkst'!$N$7:$N$2010,"P2")+SUMIFS('LAC 102_Wkst'!$AE$7:$AE$2010,'LAC 102_Wkst'!$E$7:$E$2010,$C55,'LAC 102_Wkst'!$G$7:$G$2010,$D55,'LAC 102_Wkst'!$L$7:$L$2010,"01",'LAC 102_Wkst'!$N$7:$N$2010,"P3")+SUMIFS('LAC 102_Wkst'!$AE$7:$AE$2010,'LAC 102_Wkst'!$E$7:$E$2010,$C55,'LAC 102_Wkst'!$G$7:$G$2010,$D55,'LAC 102_Wkst'!$L$7:$L$2010,"02",'LAC 102_Wkst'!$N$7:$N$2010,"P1")+SUMIFS('LAC 102_Wkst'!$AE$7:$AE$2010,'LAC 102_Wkst'!$E$7:$E$2010,$C55,'LAC 102_Wkst'!$G$7:$G$2010,$D55,'LAC 102_Wkst'!$L$7:$L$2010,"02",'LAC 102_Wkst'!$N$7:$N$2010,"P2")+SUMIFS('LAC 102_Wkst'!$AE$7:$AE$2010,'LAC 102_Wkst'!$E$7:$E$2010,$C55,'LAC 102_Wkst'!$G$7:$G$2010,$D55,'LAC 102_Wkst'!$L$7:$L$2010,"02",'LAC 102_Wkst'!$N$7:$N$2010,"P3")</f>
        <v>0</v>
      </c>
      <c r="H55" s="410">
        <f>SUMIFS('LAC 102_Wkst'!$Q$7:$Q$2010,'LAC 102_Wkst'!$E$7:$E$2010,$C55,'LAC 102_Wkst'!$G$7:$G$2010,$D55,'LAC 102_Wkst'!$L$7:$L$2010,"01",'LAC 102_Wkst'!$N$7:$N$2010,"P4")+SUMIFS('LAC 102_Wkst'!$Q$7:$Q$2010,'LAC 102_Wkst'!$E$7:$E$2010,$C55,'LAC 102_Wkst'!$G$7:$G$2010,$D55,'LAC 102_Wkst'!$L$7:$L$2010,"02",'LAC 102_Wkst'!$N$7:$N$2010,"P4")</f>
        <v>0</v>
      </c>
      <c r="I55" s="411">
        <f>SUMIFS('LAC 102_Wkst'!$AE$7:$AE$2010,'LAC 102_Wkst'!$E$7:$E$2010,$C55,'LAC 102_Wkst'!$G$7:$G$2010,$D55,'LAC 102_Wkst'!$L$7:$L$2010,"01",'LAC 102_Wkst'!$N$7:$N$2010,"P4")+SUMIFS('LAC 102_Wkst'!$AE$7:$AE$2010,'LAC 102_Wkst'!$E$7:$E$2010,$C55,'LAC 102_Wkst'!$G$7:$G$2010,$D55,'LAC 102_Wkst'!$L$7:$L$2010,"02",'LAC 102_Wkst'!$N$7:$N$2010,"P4")</f>
        <v>0</v>
      </c>
      <c r="J55" s="410">
        <f>SUMIFS('LAC 102_Wkst'!$Q$7:$Q$2010,'LAC 102_Wkst'!$E$7:$E$2010,$C55,'LAC 102_Wkst'!$G$7:$G$2010,$D55,'LAC 102_Wkst'!$L$7:$L$2010,"01",'LAC 102_Wkst'!$N$7:$N$2010,"P5")+SUMIFS('LAC 102_Wkst'!$Q$7:$Q$2010,'LAC 102_Wkst'!$E$7:$E$2010,$C55,'LAC 102_Wkst'!$G$7:$G$2010,$D55,'LAC 102_Wkst'!$L$7:$L$2010,"02",'LAC 102_Wkst'!$N$7:$N$2010,"P5")</f>
        <v>0</v>
      </c>
      <c r="K55" s="411">
        <f>SUMIFS('LAC 102_Wkst'!$AE$7:$AE$2010,'LAC 102_Wkst'!$E$7:$E$2010,$C55,'LAC 102_Wkst'!$G$7:$G$2010,$D55,'LAC 102_Wkst'!$L$7:$L$2010,"01",'LAC 102_Wkst'!$N$7:$N$2010,"P5")+SUMIFS('LAC 102_Wkst'!$AE$7:$AE$2010,'LAC 102_Wkst'!$E$7:$E$2010,$C55,'LAC 102_Wkst'!$G$7:$G$2010,$D55,'LAC 102_Wkst'!$L$7:$L$2010,"02",'LAC 102_Wkst'!$N$7:$N$2010,"P5")</f>
        <v>0</v>
      </c>
      <c r="L55" s="410">
        <f>SUMIFS('LAC 102_Wkst'!$Q$7:$Q$2010,'LAC 102_Wkst'!$E$7:$E$2010,$C55,'LAC 102_Wkst'!$G$7:$G$2010,$D55,'LAC 102_Wkst'!$L$7:$L$2010,"03",'LAC 102_Wkst'!$N$7:$N$2010,"P1")+SUMIFS('LAC 102_Wkst'!$Q$7:$Q$2010,'LAC 102_Wkst'!$E$7:$E$2010,$C55,'LAC 102_Wkst'!$G$7:$G$2010,$D55,'LAC 102_Wkst'!$L$7:$L$2010,"03",'LAC 102_Wkst'!$N$7:$N$2010,"P2")+SUMIFS('LAC 102_Wkst'!$Q$7:$Q$2010,'LAC 102_Wkst'!$E$7:$E$2010,$C55,'LAC 102_Wkst'!$G$7:$G$2010,$D55,'LAC 102_Wkst'!$L$7:$L$2010,"03",'LAC 102_Wkst'!$N$7:$N$2010,"P3")+SUMIFS('LAC 102_Wkst'!$Q$7:$Q$2010,'LAC 102_Wkst'!$E$7:$E$2010,$C55,'LAC 102_Wkst'!$G$7:$G$2010,$D55,'LAC 102_Wkst'!$L$7:$L$2010,"04",'LAC 102_Wkst'!$N$7:$N$2010,"P1")+SUMIFS('LAC 102_Wkst'!$Q$7:$Q$2010,'LAC 102_Wkst'!$E$7:$E$2010,$C55,'LAC 102_Wkst'!$G$7:$G$2010,$D55,'LAC 102_Wkst'!$L$7:$L$2010,"04",'LAC 102_Wkst'!$N$7:$N$2010,"P2")+SUMIFS('LAC 102_Wkst'!$Q$7:$Q$2010,'LAC 102_Wkst'!$E$7:$E$2010,$C55,'LAC 102_Wkst'!$G$7:$G$2010,$D55,'LAC 102_Wkst'!$L$7:$L$2010,"04",'LAC 102_Wkst'!$N$7:$N$2010,"P3")</f>
        <v>0</v>
      </c>
      <c r="M55" s="411">
        <f>SUMIFS('LAC 102_Wkst'!$AE$7:$AE$2010,'LAC 102_Wkst'!$E$7:$E$2010,$C55,'LAC 102_Wkst'!$G$7:$G$2010,$D55,'LAC 102_Wkst'!$L$7:$L$2010,"03",'LAC 102_Wkst'!$N$7:$N$2010,"P1")+SUMIFS('LAC 102_Wkst'!$AE$7:$AE$2010,'LAC 102_Wkst'!$E$7:$E$2010,$C55,'LAC 102_Wkst'!$G$7:$G$2010,$D55,'LAC 102_Wkst'!$L$7:$L$2010,"03",'LAC 102_Wkst'!$N$7:$N$2010,"P2")+SUMIFS('LAC 102_Wkst'!$AE$7:$AE$2010,'LAC 102_Wkst'!$E$7:$E$2010,$C55,'LAC 102_Wkst'!$G$7:$G$2010,$D55,'LAC 102_Wkst'!$L$7:$L$2010,"03",'LAC 102_Wkst'!$N$7:$N$2010,"P3")+SUMIFS('LAC 102_Wkst'!$AE$7:$AE$2010,'LAC 102_Wkst'!$E$7:$E$2010,$C55,'LAC 102_Wkst'!$G$7:$G$2010,$D55,'LAC 102_Wkst'!$L$7:$L$2010,"04",'LAC 102_Wkst'!$N$7:$N$2010,"P1")+SUMIFS('LAC 102_Wkst'!$AE$7:$AE$2010,'LAC 102_Wkst'!$E$7:$E$2010,$C55,'LAC 102_Wkst'!$G$7:$G$2010,$D55,'LAC 102_Wkst'!$L$7:$L$2010,"04",'LAC 102_Wkst'!$N$7:$N$2010,"P2")+SUMIFS('LAC 102_Wkst'!$AE$7:$AE$2010,'LAC 102_Wkst'!$E$7:$E$2010,$C55,'LAC 102_Wkst'!$G$7:$G$2010,$D55,'LAC 102_Wkst'!$L$7:$L$2010,"04",'LAC 102_Wkst'!$N$7:$N$2010,"P3")</f>
        <v>0</v>
      </c>
      <c r="N55" s="410">
        <f>SUMIFS('LAC 102_Wkst'!$Q$7:$Q$2010,'LAC 102_Wkst'!$E$7:$E$2010,$C55,'LAC 102_Wkst'!$G$7:$G$2010,$D55,'LAC 102_Wkst'!$L$7:$L$2010,"03",'LAC 102_Wkst'!$N$7:$N$2010,"P4")+SUMIFS('LAC 102_Wkst'!$Q$7:$Q$2010,'LAC 102_Wkst'!$E$7:$E$2010,$C55,'LAC 102_Wkst'!$G$7:$G$2010,$D55,'LAC 102_Wkst'!$L$7:$L$2010,"04",'LAC 102_Wkst'!$N$7:$N$2010,"P4")</f>
        <v>0</v>
      </c>
      <c r="O55" s="411">
        <f>SUMIFS('LAC 102_Wkst'!$AE$7:$AE$2010,'LAC 102_Wkst'!$E$7:$E$2010,$C55,'LAC 102_Wkst'!$G$7:$G$2010,$D55,'LAC 102_Wkst'!$L$7:$L$2010,"03",'LAC 102_Wkst'!$N$7:$N$2010,"P4")+SUMIFS('LAC 102_Wkst'!$AE$7:$AE$2010,'LAC 102_Wkst'!$E$7:$E$2010,$C55,'LAC 102_Wkst'!$G$7:$G$2010,$D55,'LAC 102_Wkst'!$L$7:$L$2010,"04",'LAC 102_Wkst'!$N$7:$N$2010,"P4")</f>
        <v>0</v>
      </c>
      <c r="P55" s="410">
        <f>SUMIFS('LAC 102_Wkst'!$Q$7:$Q$2010,'LAC 102_Wkst'!$E$7:$E$2010,$C55,'LAC 102_Wkst'!$G$7:$G$2010,$D55,'LAC 102_Wkst'!$L$7:$L$2010,"03",'LAC 102_Wkst'!$N$7:$N$2010,"P5")+SUMIFS('LAC 102_Wkst'!$Q$7:$Q$2010,'LAC 102_Wkst'!$E$7:$E$2010,$C55,'LAC 102_Wkst'!$G$7:$G$2010,$D55,'LAC 102_Wkst'!$L$7:$L$2010,"04",'LAC 102_Wkst'!$N$7:$N$2010,"P5")</f>
        <v>0</v>
      </c>
      <c r="Q55" s="411">
        <f>SUMIFS('LAC 102_Wkst'!$AE$7:$AE$2010,'LAC 102_Wkst'!$E$7:$E$2010,$C55,'LAC 102_Wkst'!$G$7:$G$2010,$D55,'LAC 102_Wkst'!$L$7:$L$2010,"03",'LAC 102_Wkst'!$N$7:$N$2010,"P5")+SUMIFS('LAC 102_Wkst'!$AE$7:$AE$2010,'LAC 102_Wkst'!$E$7:$E$2010,$C55,'LAC 102_Wkst'!$G$7:$G$2010,$D55,'LAC 102_Wkst'!$L$7:$L$2010,"04",'LAC 102_Wkst'!$N$7:$N$2010,"P5")</f>
        <v>0</v>
      </c>
      <c r="R55" s="412">
        <f>SUMIFS('LAC 102_Wkst'!$Q$7:$Q$2010,'LAC 102_Wkst'!$E$7:$E$2010,$C55,'LAC 102_Wkst'!$G$7:$G$2010,$D55,'LAC 102_Wkst'!$L$7:$L$2010,"05",'LAC 102_Wkst'!$N$7:$N$2010,"P1")+SUMIFS('LAC 102_Wkst'!$Q$7:$Q$2010,'LAC 102_Wkst'!$E$7:$E$2010,$C55,'LAC 102_Wkst'!$G$7:$G$2010,$D55,'LAC 102_Wkst'!$L$7:$L$2010,"06",'LAC 102_Wkst'!$N$7:$N$2010,"P1")</f>
        <v>0</v>
      </c>
      <c r="S55" s="411">
        <f>SUMIFS('LAC 102_Wkst'!$AE$7:$AE$2010,'LAC 102_Wkst'!$E$7:$E$2010,$C55,'LAC 102_Wkst'!$G$7:$G$2010,$D55,'LAC 102_Wkst'!$L$7:$L$2010,"05",'LAC 102_Wkst'!$N$7:$N$2010,"P1")+SUMIFS('LAC 102_Wkst'!$AE$7:$AE$2010,'LAC 102_Wkst'!$E$7:$E$2010,$C55,'LAC 102_Wkst'!$G$7:$G$2010,$D55,'LAC 102_Wkst'!$L$7:$L$2010,"06",'LAC 102_Wkst'!$N$7:$N$2010,"P1")</f>
        <v>0</v>
      </c>
      <c r="T55" s="410">
        <f>SUMIFS('LAC 102_Wkst'!$Q$7:$Q$2010,'LAC 102_Wkst'!$E$7:$E$2010,$C55,'LAC 102_Wkst'!$G$7:$G$2010,$D55,'LAC 102_Wkst'!$L$7:$L$2010,"05",'LAC 102_Wkst'!$N$7:$N$2010,"P2")+SUMIFS('LAC 102_Wkst'!$Q$7:$Q$2010,'LAC 102_Wkst'!$E$7:$E$2010,$C55,'LAC 102_Wkst'!$G$7:$G$2010,$D55,'LAC 102_Wkst'!$L$7:$L$2010,"05",'LAC 102_Wkst'!$N$7:$N$2010,"P3")+SUMIFS('LAC 102_Wkst'!$Q$7:$Q$2010,'LAC 102_Wkst'!$E$7:$E$2010,$C55,'LAC 102_Wkst'!$G$7:$G$2010,$D55,'LAC 102_Wkst'!$L$7:$L$2010,"06",'LAC 102_Wkst'!$N$7:$N$2010,"P2")+SUMIFS('LAC 102_Wkst'!$Q$7:$Q$2010,'LAC 102_Wkst'!$E$7:$E$2010,$C55,'LAC 102_Wkst'!$G$7:$G$2010,$D55,'LAC 102_Wkst'!$L$7:$L$2010,"06",'LAC 102_Wkst'!$N$7:$N$2010,"P3")</f>
        <v>0</v>
      </c>
      <c r="U55" s="411">
        <f>SUMIFS('LAC 102_Wkst'!$AE$7:$AE$2010,'LAC 102_Wkst'!$E$7:$E$2010,$C55,'LAC 102_Wkst'!$G$7:$G$2010,$D55,'LAC 102_Wkst'!$L$7:$L$2010,"05",'LAC 102_Wkst'!$N$7:$N$2010,"P2")+SUMIFS('LAC 102_Wkst'!$AE$7:$AE$2010,'LAC 102_Wkst'!$E$7:$E$2010,$C55,'LAC 102_Wkst'!$G$7:$G$2010,$D55,'LAC 102_Wkst'!$L$7:$L$2010,"06",'LAC 102_Wkst'!$N$7:$N$2010,"P3")+SUMIFS('LAC 102_Wkst'!$AE$7:$AE$2010,'LAC 102_Wkst'!$E$7:$E$2010,$C55,'LAC 102_Wkst'!$G$7:$G$2010,$D55,'LAC 102_Wkst'!$L$7:$L$2010,"05",'LAC 102_Wkst'!$N$7:$N$2010,"P2")+SUMIFS('LAC 102_Wkst'!$AE$7:$AE$2010,'LAC 102_Wkst'!$E$7:$E$2010,$C55,'LAC 102_Wkst'!$G$7:$G$2010,$D55,'LAC 102_Wkst'!$L$7:$L$2010,"06",'LAC 102_Wkst'!$N$7:$N$2010,"P3")</f>
        <v>0</v>
      </c>
      <c r="V55" s="410">
        <f>SUMIFS('LAC 102_Wkst'!$Q$7:$Q$2010,'LAC 102_Wkst'!$E$7:$E$2010,$C55,'LAC 102_Wkst'!$G$7:$G$2010,$D55,'LAC 102_Wkst'!$L$7:$L$2010,"05",'LAC 102_Wkst'!$N$7:$N$2010,"P4")+SUMIFS('LAC 102_Wkst'!$Q$7:$Q$2010,'LAC 102_Wkst'!$E$7:$E$2010,$C55,'LAC 102_Wkst'!$G$7:$G$2010,$D55,'LAC 102_Wkst'!$L$7:$L$2010,"06",'LAC 102_Wkst'!$N$7:$N$2010,"P4")</f>
        <v>0</v>
      </c>
      <c r="W55" s="411">
        <f>SUMIFS('LAC 102_Wkst'!$AE$7:$AE$2010,'LAC 102_Wkst'!$E$7:$E$2010,$C55,'LAC 102_Wkst'!$G$7:$G$2010,$D55,'LAC 102_Wkst'!$L$7:$L$2010,"05",'LAC 102_Wkst'!$N$7:$N$2010,"P4")+SUMIFS('LAC 102_Wkst'!$AE$7:$AE$2010,'LAC 102_Wkst'!$E$7:$E$2010,$C55,'LAC 102_Wkst'!$G$7:$G$2010,$D55,'LAC 102_Wkst'!$L$7:$L$2010,"06",'LAC 102_Wkst'!$N$7:$N$2010,"P4")</f>
        <v>0</v>
      </c>
      <c r="X55" s="410">
        <f>SUMIFS('LAC 102_Wkst'!$Q$7:$Q$2010,'LAC 102_Wkst'!$E$7:$E$2010,$C55,'LAC 102_Wkst'!$G$7:$G$2010,$D55,'LAC 102_Wkst'!$L$7:$L$2010,"05",'LAC 102_Wkst'!$N$7:$N$2010,"P5")+SUMIFS('LAC 102_Wkst'!$Q$7:$Q$2010,'LAC 102_Wkst'!$E$7:$E$2010,$C55,'LAC 102_Wkst'!$G$7:$G$2010,$D55,'LAC 102_Wkst'!$L$7:$L$2010,"06",'LAC 102_Wkst'!$N$7:$N$2010,"P5")</f>
        <v>0</v>
      </c>
      <c r="Y55" s="411">
        <f>SUMIFS('LAC 102_Wkst'!$AE$7:$AE$2010,'LAC 102_Wkst'!$E$7:$E$2010,$C55,'LAC 102_Wkst'!$G$7:$G$2010,$D55,'LAC 102_Wkst'!$L$7:$L$2010,"05",'LAC 102_Wkst'!$N$7:$N$2010,"P5")+SUMIFS('LAC 102_Wkst'!$AE$7:$AE$2010,'LAC 102_Wkst'!$E$7:$E$2010,$C55,'LAC 102_Wkst'!$G$7:$G$2010,$D55,'LAC 102_Wkst'!$L$7:$L$2010,"06",'LAC 102_Wkst'!$N$7:$N$2010,"P5")</f>
        <v>0</v>
      </c>
      <c r="Z55" s="410">
        <f>SUMIFS('LAC 102_Wkst'!$Q$7:$Q$2010,'LAC 102_Wkst'!$E$7:$E$2010,$C55,'LAC 102_Wkst'!$G$7:$G$2010,$D55,'LAC 102_Wkst'!$L$7:$L$2010,"07",'LAC 102_Wkst'!$N$7:$N$2010,"P1")+SUMIFS('LAC 102_Wkst'!$Q$7:$Q$2010,'LAC 102_Wkst'!$E$7:$E$2010,$C55,'LAC 102_Wkst'!$G$7:$G$2010,$D55,'LAC 102_Wkst'!$L$7:$L$2010,"07",'LAC 102_Wkst'!$N$7:$N$2010,"P2")+SUMIFS('LAC 102_Wkst'!$Q$7:$Q$2010,'LAC 102_Wkst'!$E$7:$E$2010,$C55,'LAC 102_Wkst'!$G$7:$G$2010,$D55,'LAC 102_Wkst'!$L$7:$L$2010,"07",'LAC 102_Wkst'!$N$7:$N$2010,"P3")</f>
        <v>0</v>
      </c>
      <c r="AA55" s="411">
        <f>SUMIFS('LAC 102_Wkst'!$AE$7:$AE$2010,'LAC 102_Wkst'!$E$7:$E$2010,$C55,'LAC 102_Wkst'!$G$7:$G$2010,$D55,'LAC 102_Wkst'!$L$7:$L$2010,"07",'LAC 102_Wkst'!$N$7:$N$2010,"P1")+SUMIFS('LAC 102_Wkst'!$AE$7:$AE$2010,'LAC 102_Wkst'!$E$7:$E$2010,$C55,'LAC 102_Wkst'!$G$7:$G$2010,$D55,'LAC 102_Wkst'!$L$7:$L$2010,"07",'LAC 102_Wkst'!$N$7:$N$2010,"P2")+SUMIFS('LAC 102_Wkst'!$AE$7:$AE$2010,'LAC 102_Wkst'!$E$7:$E$2010,$C55,'LAC 102_Wkst'!$G$7:$G$2010,$D55,'LAC 102_Wkst'!$L$7:$L$2010,"07",'LAC 102_Wkst'!$N$7:$N$2010,"P3")</f>
        <v>0</v>
      </c>
      <c r="AB55" s="410">
        <f>SUMIFS('LAC 102_Wkst'!$Q$7:$Q$2010,'LAC 102_Wkst'!$E$7:$E$2010,$C55,'LAC 102_Wkst'!$G$7:$G$2010,$D55,'LAC 102_Wkst'!$L$7:$L$2010,"07",'LAC 102_Wkst'!$N$7:$N$2010,"P4")</f>
        <v>0</v>
      </c>
      <c r="AC55" s="411">
        <f>SUMIFS('LAC 102_Wkst'!$AE$7:$AE$2010,'LAC 102_Wkst'!$E$7:$E$2010,$C55,'LAC 102_Wkst'!$G$7:$G$2010,$D55,'LAC 102_Wkst'!$L$7:$L$2010,"07",'LAC 102_Wkst'!$N$7:$N$2010,"P4")</f>
        <v>0</v>
      </c>
      <c r="AD55" s="410">
        <f>SUMIFS('LAC 102_Wkst'!$Q$7:$Q$2010,'LAC 102_Wkst'!$E$7:$E$2010,$C55,'LAC 102_Wkst'!$G$7:$G$2010,$D55,'LAC 102_Wkst'!$L$7:$L$2010,"07",'LAC 102_Wkst'!$N$7:$N$2010,"P5")</f>
        <v>0</v>
      </c>
      <c r="AE55" s="411">
        <f>SUMIFS('LAC 102_Wkst'!$AE$7:$AE$2010,'LAC 102_Wkst'!$E$7:$E$2010,$C55,'LAC 102_Wkst'!$G$7:$G$2010,$D55,'LAC 102_Wkst'!$L$7:$L$2010,"07",'LAC 102_Wkst'!$N$7:$N$2010,"P5")</f>
        <v>0</v>
      </c>
      <c r="AF55" s="410">
        <f>SUMIFS('LAC 102_Wkst'!$Q$7:$Q$2010,'LAC 102_Wkst'!$E$7:$E$2010,$C55,'LAC 102_Wkst'!$G$7:$G$2010,$D55,'LAC 102_Wkst'!$L$7:$L$2010,"08",'LAC 102_Wkst'!$N$7:$N$2010,"P1")+SUMIFS('LAC 102_Wkst'!$Q$7:$Q$2010,'LAC 102_Wkst'!$E$7:$E$2010,$C55,'LAC 102_Wkst'!$G$7:$G$2010,$D55,'LAC 102_Wkst'!$L$7:$L$2010,"08",'LAC 102_Wkst'!$N$7:$N$2010,"P2")+SUMIFS('LAC 102_Wkst'!$Q$7:$Q$2010,'LAC 102_Wkst'!$E$7:$E$2010,$C55,'LAC 102_Wkst'!$G$7:$G$2010,$D55,'LAC 102_Wkst'!$L$7:$L$2010,"08",'LAC 102_Wkst'!$N$7:$N$2010,"P3")</f>
        <v>0</v>
      </c>
      <c r="AG55" s="411">
        <f>SUMIFS('LAC 102_Wkst'!$AE$7:$AE$2010,'LAC 102_Wkst'!$E$7:$E$2010,$C55,'LAC 102_Wkst'!$G$7:$G$2010,$D55,'LAC 102_Wkst'!$L$7:$L$2010,"08",'LAC 102_Wkst'!$N$7:$N$2010,"P1")+SUMIFS('LAC 102_Wkst'!$AE$7:$AE$2010,'LAC 102_Wkst'!$E$7:$E$2010,$C55,'LAC 102_Wkst'!$G$7:$G$2010,$D55,'LAC 102_Wkst'!$L$7:$L$2010,"08",'LAC 102_Wkst'!$N$7:$N$2010,"P2")+SUMIFS('LAC 102_Wkst'!$AE$7:$AE$2010,'LAC 102_Wkst'!$E$7:$E$2010,$C55,'LAC 102_Wkst'!$G$7:$G$2010,$D55,'LAC 102_Wkst'!$L$7:$L$2010,"08",'LAC 102_Wkst'!$N$7:$N$2010,"P3")</f>
        <v>0</v>
      </c>
      <c r="AH55" s="410">
        <f>SUMIFS('LAC 102_Wkst'!$Q$7:$Q$2010,'LAC 102_Wkst'!$E$7:$E$2010,$C55,'LAC 102_Wkst'!$G$7:$G$2010,$D55,'LAC 102_Wkst'!$L$7:$L$2010,"08",'LAC 102_Wkst'!$N$7:$N$2010,"P4")</f>
        <v>0</v>
      </c>
      <c r="AI55" s="411">
        <f>SUMIFS('LAC 102_Wkst'!$AE$7:$AE$2010,'LAC 102_Wkst'!$E$7:$E$2010,$C55,'LAC 102_Wkst'!$G$7:$G$2010,$D55,'LAC 102_Wkst'!$L$7:$L$2010,"08",'LAC 102_Wkst'!$N$7:$N$2010,"P4")</f>
        <v>0</v>
      </c>
      <c r="AJ55" s="410">
        <f>SUMIFS('LAC 102_Wkst'!$Q$7:$Q$2010,'LAC 102_Wkst'!$E$7:$E$2010,$C55,'LAC 102_Wkst'!$G$7:$G$2010,$D55,'LAC 102_Wkst'!$L$7:$L$2010,"08",'LAC 102_Wkst'!$N$7:$N$2010,"P5")</f>
        <v>0</v>
      </c>
      <c r="AK55" s="411">
        <f>SUMIFS('LAC 102_Wkst'!$AE$7:$AE$2010,'LAC 102_Wkst'!$E$7:$E$2010,$C55,'LAC 102_Wkst'!$G$7:$G$2010,$D55,'LAC 102_Wkst'!$L$7:$L$2010,"08",'LAC 102_Wkst'!$N$7:$N$2010,"P5")</f>
        <v>0</v>
      </c>
      <c r="AL55" s="410">
        <f>SUMIFS('LAC 102_Wkst'!$Q$7:$Q$2010,'LAC 102_Wkst'!$E$7:$E$2010,$C55,'LAC 102_Wkst'!$G$7:$G$2010,$D55,'LAC 102_Wkst'!$L$7:$L$2010,"09",'LAC 102_Wkst'!$N$7:$N$2010,"P1")+SUMIFS('LAC 102_Wkst'!$Q$7:$Q$2010,'LAC 102_Wkst'!$E$7:$E$2010,$C55,'LAC 102_Wkst'!$G$7:$G$2010,$D55,'LAC 102_Wkst'!$L$7:$L$2010,"09",'LAC 102_Wkst'!$N$7:$N$2010,"P2")+SUMIFS('LAC 102_Wkst'!$Q$7:$Q$2010,'LAC 102_Wkst'!$E$7:$E$2010,$C55,'LAC 102_Wkst'!$G$7:$G$2010,$D55,'LAC 102_Wkst'!$L$7:$L$2010,"09",'LAC 102_Wkst'!$N$7:$N$2010,"P3")+SUMIFS('LAC 102_Wkst'!$Q$7:$Q$2010,'LAC 102_Wkst'!$E$7:$E$2010,$C55,'LAC 102_Wkst'!$G$7:$G$2010,$D55,'LAC 102_Wkst'!$L$7:$L$2010,"09",'LAC 102_Wkst'!$N$7:$N$2010,"P4")</f>
        <v>0</v>
      </c>
      <c r="AM55" s="411">
        <f>SUMIFS('LAC 102_Wkst'!$AE$7:$AE$2010,'LAC 102_Wkst'!$E$7:$E$2010,$C55,'LAC 102_Wkst'!$G$7:$G$2010,$D55,'LAC 102_Wkst'!$L$7:$L$2010,"09",'LAC 102_Wkst'!$N$7:$N$2010,"P1")+SUMIFS('LAC 102_Wkst'!$AE$7:$AE$2010,'LAC 102_Wkst'!$E$7:$E$2010,$C55,'LAC 102_Wkst'!$G$7:$G$2010,$D55,'LAC 102_Wkst'!$L$7:$L$2010,"09",'LAC 102_Wkst'!$N$7:$N$2010,"P2")+SUMIFS('LAC 102_Wkst'!$AE$7:$AE$2010,'LAC 102_Wkst'!$E$7:$E$2010,$C55,'LAC 102_Wkst'!$G$7:$G$2010,$D55,'LAC 102_Wkst'!$L$7:$L$2010,"09",'LAC 102_Wkst'!$N$7:$N$2010,"P3")+SUMIFS('LAC 102_Wkst'!$AE$7:$AE$2010,'LAC 102_Wkst'!$E$7:$E$2010,$C55,'LAC 102_Wkst'!$G$7:$G$2010,$D55,'LAC 102_Wkst'!$L$7:$L$2010,"09",'LAC 102_Wkst'!$N$7:$N$2010,"P4")</f>
        <v>0</v>
      </c>
      <c r="AN55" s="410">
        <f>SUMIFS('LAC 102_Wkst'!$Q$7:$Q$2010,'LAC 102_Wkst'!$E$7:$E$2010,$C55,'LAC 102_Wkst'!$G$7:$G$2010,$D55,'LAC 102_Wkst'!$L$7:$L$2010,"09",'LAC 102_Wkst'!$N$7:$N$2010,"P5")</f>
        <v>0</v>
      </c>
      <c r="AO55" s="411">
        <f>SUMIFS('LAC 102_Wkst'!$AE$7:$AE$2010,'LAC 102_Wkst'!$E$7:$E$2010,$C55,'LAC 102_Wkst'!$G$7:$G$2010,$D55,'LAC 102_Wkst'!$L$7:$L$2010,"09",'LAC 102_Wkst'!$N$7:$N$2010,"P5")</f>
        <v>0</v>
      </c>
      <c r="AP55" s="410">
        <f>SUMIFS('LAC 102_Wkst'!$Q$7:$Q$2010,'LAC 102_Wkst'!$E$7:$E$2010,$C55,'LAC 102_Wkst'!$G$7:$G$2010,$D55,'LAC 102_Wkst'!$L$7:$L$2010,"10",'LAC 102_Wkst'!$N$7:$N$2010,"P1")+SUMIFS('LAC 102_Wkst'!$Q$7:$Q$2010,'LAC 102_Wkst'!$E$7:$E$2010,$C55,'LAC 102_Wkst'!$G$7:$G$2010,$D55,'LAC 102_Wkst'!$L$7:$L$2010,"10",'LAC 102_Wkst'!$N$7:$N$2010,"P2")+SUMIFS('LAC 102_Wkst'!$Q$7:$Q$2010,'LAC 102_Wkst'!$E$7:$E$2010,$C55,'LAC 102_Wkst'!$G$7:$G$2010,$D55,'LAC 102_Wkst'!$L$7:$L$2010,"10",'LAC 102_Wkst'!$N$7:$N$2010,"P3")+SUMIFS('LAC 102_Wkst'!$Q$7:$Q$2010,'LAC 102_Wkst'!$E$7:$E$2010,$C55,'LAC 102_Wkst'!$G$7:$G$2010,$D55,'LAC 102_Wkst'!$L$7:$L$2010,"10",'LAC 102_Wkst'!$N$7:$N$2010,"P4")</f>
        <v>0</v>
      </c>
      <c r="AQ55" s="411">
        <f>SUMIFS('LAC 102_Wkst'!$AE$7:$AE$2010,'LAC 102_Wkst'!$E$7:$E$2010,$C55,'LAC 102_Wkst'!$G$7:$G$2010,$D55,'LAC 102_Wkst'!$L$7:$L$2010,"10",'LAC 102_Wkst'!$N$7:$N$2010,"P1")+SUMIFS('LAC 102_Wkst'!$AE$7:$AE$2010,'LAC 102_Wkst'!$E$7:$E$2010,$C55,'LAC 102_Wkst'!$G$7:$G$2010,$D55,'LAC 102_Wkst'!$L$7:$L$2010,"10",'LAC 102_Wkst'!$N$7:$N$2010,"P2")+SUMIFS('LAC 102_Wkst'!$AE$7:$AE$2010,'LAC 102_Wkst'!$E$7:$E$2010,$C55,'LAC 102_Wkst'!$G$7:$G$2010,$D55,'LAC 102_Wkst'!$L$7:$L$2010,"10",'LAC 102_Wkst'!$N$7:$N$2010,"P3")+SUMIFS('LAC 102_Wkst'!$AE$7:$AE$2010,'LAC 102_Wkst'!$E$7:$E$2010,$C55,'LAC 102_Wkst'!$G$7:$G$2010,$D55,'LAC 102_Wkst'!$L$7:$L$2010,"10",'LAC 102_Wkst'!$N$7:$N$2010,"P4")</f>
        <v>0</v>
      </c>
      <c r="AR55" s="410">
        <f>SUMIFS('LAC 102_Wkst'!$Q$7:$Q$2010,'LAC 102_Wkst'!$E$7:$E$2010,$C55,'LAC 102_Wkst'!$G$7:$G$2010,$D55,'LAC 102_Wkst'!$L$7:$L$2010,"10",'LAC 102_Wkst'!$N$7:$N$2010,"P5")</f>
        <v>0</v>
      </c>
      <c r="AS55" s="411">
        <f>SUMIFS('LAC 102_Wkst'!$AE$7:$AE$2010,'LAC 102_Wkst'!$E$7:$E$2010,$C55,'LAC 102_Wkst'!$G$7:$G$2010,$D55,'LAC 102_Wkst'!$L$7:$L$2010,"10",'LAC 102_Wkst'!$N$7:$N$2010,"P5")</f>
        <v>0</v>
      </c>
      <c r="AT55" s="410">
        <f>SUMIFS('LAC 102_Wkst'!$Q$7:$Q$2010,'LAC 102_Wkst'!$E$7:$E$2010,$C55,'LAC 102_Wkst'!$G$7:$G$2010,$D55,'LAC 102_Wkst'!$L$7:$L$2010,"11",'LAC 102_Wkst'!$N$7:$N$2010,"P1")+SUMIFS('LAC 102_Wkst'!$Q$7:$Q$2010,'LAC 102_Wkst'!$E$7:$E$2010,$C55,'LAC 102_Wkst'!$G$7:$G$2010,$D55,'LAC 102_Wkst'!$L$7:$L$2010,"12",'LAC 102_Wkst'!$N$7:$N$2010,"P1")</f>
        <v>0</v>
      </c>
      <c r="AU55" s="411">
        <f>SUMIFS('LAC 102_Wkst'!$AE$7:$AE$2010,'LAC 102_Wkst'!$E$7:$E$2010,$C55,'LAC 102_Wkst'!$G$7:$G$2010,$D55,'LAC 102_Wkst'!$L$7:$L$2010,"11",'LAC 102_Wkst'!$N$7:$N$2010,"P1")+SUMIFS('LAC 102_Wkst'!$AE$7:$AE$2010,'LAC 102_Wkst'!$E$7:$E$2010,$C55,'LAC 102_Wkst'!$G$7:$G$2010,$D55,'LAC 102_Wkst'!$L$7:$L$2010,"12",'LAC 102_Wkst'!$N$7:$N$2010,"P1")</f>
        <v>0</v>
      </c>
      <c r="AV55" s="410">
        <f>SUMIFS('LAC 102_Wkst'!$Q$7:$Q$2010,'LAC 102_Wkst'!$E$7:$E$2010,$C55,'LAC 102_Wkst'!$G$7:$G$2010,$D55,'LAC 102_Wkst'!$L$7:$L$2010,"11",'LAC 102_Wkst'!$N$7:$N$2010,"P2")+SUMIFS('LAC 102_Wkst'!$Q$7:$Q$2010,'LAC 102_Wkst'!$E$7:$E$2010,$C55,'LAC 102_Wkst'!$G$7:$G$2010,$D55,'LAC 102_Wkst'!$L$7:$L$2010,"12",'LAC 102_Wkst'!$N$7:$N$2010,"P3")+SUMIFS('LAC 102_Wkst'!$Q$7:$Q$2010,'LAC 102_Wkst'!$E$7:$E$2010,$C55,'LAC 102_Wkst'!$G$7:$G$2010,$D55,'LAC 102_Wkst'!$L$7:$L$2010,"11",'LAC 102_Wkst'!$N$7:$N$2010,"P2")+SUMIFS('LAC 102_Wkst'!$Q$7:$Q$2010,'LAC 102_Wkst'!$E$7:$E$2010,$C55,'LAC 102_Wkst'!$G$7:$G$2010,$D55,'LAC 102_Wkst'!$L$7:$L$2010,"12",'LAC 102_Wkst'!$N$7:$N$2010,"P3")</f>
        <v>0</v>
      </c>
      <c r="AW55" s="411">
        <f>SUMIFS('LAC 102_Wkst'!$AE$7:$AE$2010,'LAC 102_Wkst'!$E$7:$E$2010,$C55,'LAC 102_Wkst'!$G$7:$G$2010,$D55,'LAC 102_Wkst'!$L$7:$L$2010,"11",'LAC 102_Wkst'!$N$7:$N$2010,"P2")+SUMIFS('LAC 102_Wkst'!$AE$7:$AE$2010,'LAC 102_Wkst'!$E$7:$E$2010,$C55,'LAC 102_Wkst'!$G$7:$G$2010,$D55,'LAC 102_Wkst'!$L$7:$L$2010,"12",'LAC 102_Wkst'!$N$7:$N$2010,"P3")+SUMIFS('LAC 102_Wkst'!$AE$7:$AE$2010,'LAC 102_Wkst'!$E$7:$E$2010,$C55,'LAC 102_Wkst'!$G$7:$G$2010,$D55,'LAC 102_Wkst'!$L$7:$L$2010,"11",'LAC 102_Wkst'!$N$7:$N$2010,"P2")+SUMIFS('LAC 102_Wkst'!$AE$7:$AE$2010,'LAC 102_Wkst'!$E$7:$E$2010,$C55,'LAC 102_Wkst'!$G$7:$G$2010,$D55,'LAC 102_Wkst'!$L$7:$L$2010,"12",'LAC 102_Wkst'!$N$7:$N$2010,"P3")</f>
        <v>0</v>
      </c>
      <c r="AX55" s="410">
        <f>SUMIFS('LAC 102_Wkst'!$Q$7:$Q$2010,'LAC 102_Wkst'!$E$7:$E$2010,$C55,'LAC 102_Wkst'!$G$7:$G$2010,$D55,'LAC 102_Wkst'!$L$7:$L$2010,"11",'LAC 102_Wkst'!$N$7:$N$2010,"P4")+SUMIFS('LAC 102_Wkst'!$Q$7:$Q$2010,'LAC 102_Wkst'!$E$7:$E$2010,$C55,'LAC 102_Wkst'!$G$7:$G$2010,$D55,'LAC 102_Wkst'!$L$7:$L$2010,"12",'LAC 102_Wkst'!$N$7:$N$2010,"P4")</f>
        <v>0</v>
      </c>
      <c r="AY55" s="411">
        <f>SUMIFS('LAC 102_Wkst'!$AE$7:$AE$2010,'LAC 102_Wkst'!$E$7:$E$2010,$C55,'LAC 102_Wkst'!$G$7:$G$2010,$D55,'LAC 102_Wkst'!$L$7:$L$2010,"11",'LAC 102_Wkst'!$N$7:$N$2010,"P4")+SUMIFS('LAC 102_Wkst'!$AE$7:$AE$2010,'LAC 102_Wkst'!$E$7:$E$2010,$C55,'LAC 102_Wkst'!$G$7:$G$2010,$D55,'LAC 102_Wkst'!$L$7:$L$2010,"12",'LAC 102_Wkst'!$N$7:$N$2010,"P4")</f>
        <v>0</v>
      </c>
      <c r="AZ55" s="410">
        <f>SUMIFS('LAC 102_Wkst'!$Q$7:$Q$2010,'LAC 102_Wkst'!$E$7:$E$2010,$C55,'LAC 102_Wkst'!$G$7:$G$2010,$D55,'LAC 102_Wkst'!$L$7:$L$2010,"11",'LAC 102_Wkst'!$N$7:$N$2010,"P5")+SUMIFS('LAC 102_Wkst'!$Q$7:$Q$2010,'LAC 102_Wkst'!$E$7:$E$2010,$C55,'LAC 102_Wkst'!$G$7:$G$2010,$D55,'LAC 102_Wkst'!$L$7:$L$2010,"12",'LAC 102_Wkst'!$N$7:$N$2010,"P5")</f>
        <v>0</v>
      </c>
      <c r="BA55" s="411">
        <f>SUMIFS('LAC 102_Wkst'!$AE$7:$AE$2010,'LAC 102_Wkst'!$E$7:$E$2010,$C55,'LAC 102_Wkst'!$G$7:$G$2010,$D55,'LAC 102_Wkst'!$L$7:$L$2010,"11",'LAC 102_Wkst'!$N$7:$N$2010,"P5")+SUMIFS('LAC 102_Wkst'!$AE$7:$AE$2010,'LAC 102_Wkst'!$E$7:$E$2010,$C55,'LAC 102_Wkst'!$G$7:$G$2010,$D55,'LAC 102_Wkst'!$L$7:$L$2010,"12",'LAC 102_Wkst'!$N$7:$N$2010,"P5")</f>
        <v>0</v>
      </c>
      <c r="BB55" s="410">
        <f>SUMIFS('LAC 102_Wkst'!$Q$7:$Q$2010,'LAC 102_Wkst'!$E$7:$E$2010,$C55,'LAC 102_Wkst'!$G$7:$G$2010,$D55,'LAC 102_Wkst'!$L$7:$L$2010,"13",'LAC 102_Wkst'!$N$7:$N$2010,"P1")+SUMIFS('LAC 102_Wkst'!$Q$7:$Q$2010,'LAC 102_Wkst'!$E$7:$E$2010,$C55,'LAC 102_Wkst'!$G$7:$G$2010,$D55,'LAC 102_Wkst'!$L$7:$L$2010,"13",'LAC 102_Wkst'!$N$7:$N$2010,"P2")+SUMIFS('LAC 102_Wkst'!$Q$7:$Q$2010,'LAC 102_Wkst'!$E$7:$E$2010,$C55,'LAC 102_Wkst'!$G$7:$G$2010,$D55,'LAC 102_Wkst'!$L$7:$L$2010,"13",'LAC 102_Wkst'!$N$7:$N$2010,"P3")+SUMIFS('LAC 102_Wkst'!$Q$7:$Q$2010,'LAC 102_Wkst'!$E$7:$E$2010,$C55,'LAC 102_Wkst'!$G$7:$G$2010,$D55,'LAC 102_Wkst'!$L$7:$L$2010,"13",'LAC 102_Wkst'!$N$7:$N$2010,"P4")</f>
        <v>0</v>
      </c>
      <c r="BC55" s="411">
        <f>SUMIFS('LAC 102_Wkst'!$AE$7:$AE$2010,'LAC 102_Wkst'!$E$7:$E$2010,$C55,'LAC 102_Wkst'!$G$7:$G$2010,$D55,'LAC 102_Wkst'!$L$7:$L$2010,"13",'LAC 102_Wkst'!$N$7:$N$2010,"P1")+SUMIFS('LAC 102_Wkst'!$AE$7:$AE$2010,'LAC 102_Wkst'!$E$7:$E$2010,$C55,'LAC 102_Wkst'!$G$7:$G$2010,$D55,'LAC 102_Wkst'!$L$7:$L$2010,"13",'LAC 102_Wkst'!$N$7:$N$2010,"P2")+SUMIFS('LAC 102_Wkst'!$AE$7:$AE$2010,'LAC 102_Wkst'!$E$7:$E$2010,$C55,'LAC 102_Wkst'!$G$7:$G$2010,$D55,'LAC 102_Wkst'!$L$7:$L$2010,"13",'LAC 102_Wkst'!$N$7:$N$2010,"P3")+SUMIFS('LAC 102_Wkst'!$AE$7:$AE$2010,'LAC 102_Wkst'!$E$7:$E$2010,$C55,'LAC 102_Wkst'!$G$7:$G$2010,$D55,'LAC 102_Wkst'!$L$7:$L$2010,"13",'LAC 102_Wkst'!$N$7:$N$2010,"P4")</f>
        <v>0</v>
      </c>
      <c r="BD55" s="410">
        <f>SUMIFS('LAC 102_Wkst'!$Q$7:$Q$2010,'LAC 102_Wkst'!$E$7:$E$2010,$C55,'LAC 102_Wkst'!$G$7:$G$2010,$D55,'LAC 102_Wkst'!$L$7:$L$2010,"13",'LAC 102_Wkst'!$N$7:$N$2010,"P5")</f>
        <v>0</v>
      </c>
      <c r="BE55" s="411">
        <f>SUMIFS('LAC 102_Wkst'!$AE$7:$AE$2010,'LAC 102_Wkst'!$E$7:$E$2010,$C55,'LAC 102_Wkst'!$G$7:$G$2010,$D55,'LAC 102_Wkst'!$L$7:$L$2010,"13",'LAC 102_Wkst'!$N$7:$N$2010,"P5")</f>
        <v>0</v>
      </c>
      <c r="BF55" s="407">
        <f t="shared" si="0"/>
        <v>0</v>
      </c>
    </row>
    <row r="56" spans="1:58" x14ac:dyDescent="0.2">
      <c r="A56" s="401">
        <v>37</v>
      </c>
      <c r="B56" s="1236"/>
      <c r="C56" s="1235"/>
      <c r="D56" s="1237"/>
      <c r="E56" s="1222">
        <f>IF(CONCATENATE(C56,D56)&gt;"6069",1,SUMIFS('LAC 102_Wkst'!$Q$7:$Q$2010,'LAC 102_Wkst'!$E$7:$E$2010,Schedule_B!$C56,'LAC 102_Wkst'!$G$7:$G$2010,Schedule_B!$D56))</f>
        <v>0</v>
      </c>
      <c r="F56" s="408">
        <f>SUMIFS('LAC 102_Wkst'!$Q$7:$Q$2010,'LAC 102_Wkst'!$E$7:$E$2010,$C56,'LAC 102_Wkst'!$G$7:$G$2010,$D56,'LAC 102_Wkst'!$L$7:$L$2010,"01",'LAC 102_Wkst'!$N$7:$N$2010,"P1")+SUMIFS('LAC 102_Wkst'!$Q$7:$Q$2010,'LAC 102_Wkst'!$E$7:$E$2010,$C56,'LAC 102_Wkst'!$G$7:$G$2010,$D56,'LAC 102_Wkst'!$L$7:$L$2010,"01",'LAC 102_Wkst'!$N$7:$N$2010,"P2")+SUMIFS('LAC 102_Wkst'!$Q$7:$Q$2010,'LAC 102_Wkst'!$E$7:$E$2010,$C56,'LAC 102_Wkst'!$G$7:$G$2010,$D56,'LAC 102_Wkst'!$L$7:$L$2010,"01",'LAC 102_Wkst'!$N$7:$N$2010,"P3")+SUMIFS('LAC 102_Wkst'!$Q$7:$Q$2010,'LAC 102_Wkst'!$E$7:$E$2010,$C56,'LAC 102_Wkst'!$G$7:$G$2010,$D56,'LAC 102_Wkst'!$L$7:$L$2010,"02",'LAC 102_Wkst'!$N$7:$N$2010,"P1")+SUMIFS('LAC 102_Wkst'!$Q$7:$Q$2010,'LAC 102_Wkst'!$E$7:$E$2010,$C56,'LAC 102_Wkst'!$G$7:$G$2010,$D56,'LAC 102_Wkst'!$L$7:$L$2010,"02",'LAC 102_Wkst'!$N$7:$N$2010,"P2")+SUMIFS('LAC 102_Wkst'!$Q$7:$Q$2010,'LAC 102_Wkst'!$E$7:$E$2010,$C56,'LAC 102_Wkst'!$G$7:$G$2010,$D56,'LAC 102_Wkst'!$L$7:$L$2010,"02",'LAC 102_Wkst'!$N$7:$N$2010,"P3")</f>
        <v>0</v>
      </c>
      <c r="G56" s="409">
        <f>SUMIFS('LAC 102_Wkst'!$AE$7:$AE$2010,'LAC 102_Wkst'!$E$7:$E$2010,$C56,'LAC 102_Wkst'!$G$7:$G$2010,$D56,'LAC 102_Wkst'!$L$7:$L$2010,"01",'LAC 102_Wkst'!$N$7:$N$2010,"P1")+SUMIFS('LAC 102_Wkst'!$AE$7:$AE$2010,'LAC 102_Wkst'!$E$7:$E$2010,$C56,'LAC 102_Wkst'!$G$7:$G$2010,$D56,'LAC 102_Wkst'!$L$7:$L$2010,"01",'LAC 102_Wkst'!$N$7:$N$2010,"P2")+SUMIFS('LAC 102_Wkst'!$AE$7:$AE$2010,'LAC 102_Wkst'!$E$7:$E$2010,$C56,'LAC 102_Wkst'!$G$7:$G$2010,$D56,'LAC 102_Wkst'!$L$7:$L$2010,"01",'LAC 102_Wkst'!$N$7:$N$2010,"P3")+SUMIFS('LAC 102_Wkst'!$AE$7:$AE$2010,'LAC 102_Wkst'!$E$7:$E$2010,$C56,'LAC 102_Wkst'!$G$7:$G$2010,$D56,'LAC 102_Wkst'!$L$7:$L$2010,"02",'LAC 102_Wkst'!$N$7:$N$2010,"P1")+SUMIFS('LAC 102_Wkst'!$AE$7:$AE$2010,'LAC 102_Wkst'!$E$7:$E$2010,$C56,'LAC 102_Wkst'!$G$7:$G$2010,$D56,'LAC 102_Wkst'!$L$7:$L$2010,"02",'LAC 102_Wkst'!$N$7:$N$2010,"P2")+SUMIFS('LAC 102_Wkst'!$AE$7:$AE$2010,'LAC 102_Wkst'!$E$7:$E$2010,$C56,'LAC 102_Wkst'!$G$7:$G$2010,$D56,'LAC 102_Wkst'!$L$7:$L$2010,"02",'LAC 102_Wkst'!$N$7:$N$2010,"P3")</f>
        <v>0</v>
      </c>
      <c r="H56" s="410">
        <f>SUMIFS('LAC 102_Wkst'!$Q$7:$Q$2010,'LAC 102_Wkst'!$E$7:$E$2010,$C56,'LAC 102_Wkst'!$G$7:$G$2010,$D56,'LAC 102_Wkst'!$L$7:$L$2010,"01",'LAC 102_Wkst'!$N$7:$N$2010,"P4")+SUMIFS('LAC 102_Wkst'!$Q$7:$Q$2010,'LAC 102_Wkst'!$E$7:$E$2010,$C56,'LAC 102_Wkst'!$G$7:$G$2010,$D56,'LAC 102_Wkst'!$L$7:$L$2010,"02",'LAC 102_Wkst'!$N$7:$N$2010,"P4")</f>
        <v>0</v>
      </c>
      <c r="I56" s="411">
        <f>SUMIFS('LAC 102_Wkst'!$AE$7:$AE$2010,'LAC 102_Wkst'!$E$7:$E$2010,$C56,'LAC 102_Wkst'!$G$7:$G$2010,$D56,'LAC 102_Wkst'!$L$7:$L$2010,"01",'LAC 102_Wkst'!$N$7:$N$2010,"P4")+SUMIFS('LAC 102_Wkst'!$AE$7:$AE$2010,'LAC 102_Wkst'!$E$7:$E$2010,$C56,'LAC 102_Wkst'!$G$7:$G$2010,$D56,'LAC 102_Wkst'!$L$7:$L$2010,"02",'LAC 102_Wkst'!$N$7:$N$2010,"P4")</f>
        <v>0</v>
      </c>
      <c r="J56" s="410">
        <f>SUMIFS('LAC 102_Wkst'!$Q$7:$Q$2010,'LAC 102_Wkst'!$E$7:$E$2010,$C56,'LAC 102_Wkst'!$G$7:$G$2010,$D56,'LAC 102_Wkst'!$L$7:$L$2010,"01",'LAC 102_Wkst'!$N$7:$N$2010,"P5")+SUMIFS('LAC 102_Wkst'!$Q$7:$Q$2010,'LAC 102_Wkst'!$E$7:$E$2010,$C56,'LAC 102_Wkst'!$G$7:$G$2010,$D56,'LAC 102_Wkst'!$L$7:$L$2010,"02",'LAC 102_Wkst'!$N$7:$N$2010,"P5")</f>
        <v>0</v>
      </c>
      <c r="K56" s="411">
        <f>SUMIFS('LAC 102_Wkst'!$AE$7:$AE$2010,'LAC 102_Wkst'!$E$7:$E$2010,$C56,'LAC 102_Wkst'!$G$7:$G$2010,$D56,'LAC 102_Wkst'!$L$7:$L$2010,"01",'LAC 102_Wkst'!$N$7:$N$2010,"P5")+SUMIFS('LAC 102_Wkst'!$AE$7:$AE$2010,'LAC 102_Wkst'!$E$7:$E$2010,$C56,'LAC 102_Wkst'!$G$7:$G$2010,$D56,'LAC 102_Wkst'!$L$7:$L$2010,"02",'LAC 102_Wkst'!$N$7:$N$2010,"P5")</f>
        <v>0</v>
      </c>
      <c r="L56" s="410">
        <f>SUMIFS('LAC 102_Wkst'!$Q$7:$Q$2010,'LAC 102_Wkst'!$E$7:$E$2010,$C56,'LAC 102_Wkst'!$G$7:$G$2010,$D56,'LAC 102_Wkst'!$L$7:$L$2010,"03",'LAC 102_Wkst'!$N$7:$N$2010,"P1")+SUMIFS('LAC 102_Wkst'!$Q$7:$Q$2010,'LAC 102_Wkst'!$E$7:$E$2010,$C56,'LAC 102_Wkst'!$G$7:$G$2010,$D56,'LAC 102_Wkst'!$L$7:$L$2010,"03",'LAC 102_Wkst'!$N$7:$N$2010,"P2")+SUMIFS('LAC 102_Wkst'!$Q$7:$Q$2010,'LAC 102_Wkst'!$E$7:$E$2010,$C56,'LAC 102_Wkst'!$G$7:$G$2010,$D56,'LAC 102_Wkst'!$L$7:$L$2010,"03",'LAC 102_Wkst'!$N$7:$N$2010,"P3")+SUMIFS('LAC 102_Wkst'!$Q$7:$Q$2010,'LAC 102_Wkst'!$E$7:$E$2010,$C56,'LAC 102_Wkst'!$G$7:$G$2010,$D56,'LAC 102_Wkst'!$L$7:$L$2010,"04",'LAC 102_Wkst'!$N$7:$N$2010,"P1")+SUMIFS('LAC 102_Wkst'!$Q$7:$Q$2010,'LAC 102_Wkst'!$E$7:$E$2010,$C56,'LAC 102_Wkst'!$G$7:$G$2010,$D56,'LAC 102_Wkst'!$L$7:$L$2010,"04",'LAC 102_Wkst'!$N$7:$N$2010,"P2")+SUMIFS('LAC 102_Wkst'!$Q$7:$Q$2010,'LAC 102_Wkst'!$E$7:$E$2010,$C56,'LAC 102_Wkst'!$G$7:$G$2010,$D56,'LAC 102_Wkst'!$L$7:$L$2010,"04",'LAC 102_Wkst'!$N$7:$N$2010,"P3")</f>
        <v>0</v>
      </c>
      <c r="M56" s="411">
        <f>SUMIFS('LAC 102_Wkst'!$AE$7:$AE$2010,'LAC 102_Wkst'!$E$7:$E$2010,$C56,'LAC 102_Wkst'!$G$7:$G$2010,$D56,'LAC 102_Wkst'!$L$7:$L$2010,"03",'LAC 102_Wkst'!$N$7:$N$2010,"P1")+SUMIFS('LAC 102_Wkst'!$AE$7:$AE$2010,'LAC 102_Wkst'!$E$7:$E$2010,$C56,'LAC 102_Wkst'!$G$7:$G$2010,$D56,'LAC 102_Wkst'!$L$7:$L$2010,"03",'LAC 102_Wkst'!$N$7:$N$2010,"P2")+SUMIFS('LAC 102_Wkst'!$AE$7:$AE$2010,'LAC 102_Wkst'!$E$7:$E$2010,$C56,'LAC 102_Wkst'!$G$7:$G$2010,$D56,'LAC 102_Wkst'!$L$7:$L$2010,"03",'LAC 102_Wkst'!$N$7:$N$2010,"P3")+SUMIFS('LAC 102_Wkst'!$AE$7:$AE$2010,'LAC 102_Wkst'!$E$7:$E$2010,$C56,'LAC 102_Wkst'!$G$7:$G$2010,$D56,'LAC 102_Wkst'!$L$7:$L$2010,"04",'LAC 102_Wkst'!$N$7:$N$2010,"P1")+SUMIFS('LAC 102_Wkst'!$AE$7:$AE$2010,'LAC 102_Wkst'!$E$7:$E$2010,$C56,'LAC 102_Wkst'!$G$7:$G$2010,$D56,'LAC 102_Wkst'!$L$7:$L$2010,"04",'LAC 102_Wkst'!$N$7:$N$2010,"P2")+SUMIFS('LAC 102_Wkst'!$AE$7:$AE$2010,'LAC 102_Wkst'!$E$7:$E$2010,$C56,'LAC 102_Wkst'!$G$7:$G$2010,$D56,'LAC 102_Wkst'!$L$7:$L$2010,"04",'LAC 102_Wkst'!$N$7:$N$2010,"P3")</f>
        <v>0</v>
      </c>
      <c r="N56" s="410">
        <f>SUMIFS('LAC 102_Wkst'!$Q$7:$Q$2010,'LAC 102_Wkst'!$E$7:$E$2010,$C56,'LAC 102_Wkst'!$G$7:$G$2010,$D56,'LAC 102_Wkst'!$L$7:$L$2010,"03",'LAC 102_Wkst'!$N$7:$N$2010,"P4")+SUMIFS('LAC 102_Wkst'!$Q$7:$Q$2010,'LAC 102_Wkst'!$E$7:$E$2010,$C56,'LAC 102_Wkst'!$G$7:$G$2010,$D56,'LAC 102_Wkst'!$L$7:$L$2010,"04",'LAC 102_Wkst'!$N$7:$N$2010,"P4")</f>
        <v>0</v>
      </c>
      <c r="O56" s="411">
        <f>SUMIFS('LAC 102_Wkst'!$AE$7:$AE$2010,'LAC 102_Wkst'!$E$7:$E$2010,$C56,'LAC 102_Wkst'!$G$7:$G$2010,$D56,'LAC 102_Wkst'!$L$7:$L$2010,"03",'LAC 102_Wkst'!$N$7:$N$2010,"P4")+SUMIFS('LAC 102_Wkst'!$AE$7:$AE$2010,'LAC 102_Wkst'!$E$7:$E$2010,$C56,'LAC 102_Wkst'!$G$7:$G$2010,$D56,'LAC 102_Wkst'!$L$7:$L$2010,"04",'LAC 102_Wkst'!$N$7:$N$2010,"P4")</f>
        <v>0</v>
      </c>
      <c r="P56" s="410">
        <f>SUMIFS('LAC 102_Wkst'!$Q$7:$Q$2010,'LAC 102_Wkst'!$E$7:$E$2010,$C56,'LAC 102_Wkst'!$G$7:$G$2010,$D56,'LAC 102_Wkst'!$L$7:$L$2010,"03",'LAC 102_Wkst'!$N$7:$N$2010,"P5")+SUMIFS('LAC 102_Wkst'!$Q$7:$Q$2010,'LAC 102_Wkst'!$E$7:$E$2010,$C56,'LAC 102_Wkst'!$G$7:$G$2010,$D56,'LAC 102_Wkst'!$L$7:$L$2010,"04",'LAC 102_Wkst'!$N$7:$N$2010,"P5")</f>
        <v>0</v>
      </c>
      <c r="Q56" s="411">
        <f>SUMIFS('LAC 102_Wkst'!$AE$7:$AE$2010,'LAC 102_Wkst'!$E$7:$E$2010,$C56,'LAC 102_Wkst'!$G$7:$G$2010,$D56,'LAC 102_Wkst'!$L$7:$L$2010,"03",'LAC 102_Wkst'!$N$7:$N$2010,"P5")+SUMIFS('LAC 102_Wkst'!$AE$7:$AE$2010,'LAC 102_Wkst'!$E$7:$E$2010,$C56,'LAC 102_Wkst'!$G$7:$G$2010,$D56,'LAC 102_Wkst'!$L$7:$L$2010,"04",'LAC 102_Wkst'!$N$7:$N$2010,"P5")</f>
        <v>0</v>
      </c>
      <c r="R56" s="412">
        <f>SUMIFS('LAC 102_Wkst'!$Q$7:$Q$2010,'LAC 102_Wkst'!$E$7:$E$2010,$C56,'LAC 102_Wkst'!$G$7:$G$2010,$D56,'LAC 102_Wkst'!$L$7:$L$2010,"05",'LAC 102_Wkst'!$N$7:$N$2010,"P1")+SUMIFS('LAC 102_Wkst'!$Q$7:$Q$2010,'LAC 102_Wkst'!$E$7:$E$2010,$C56,'LAC 102_Wkst'!$G$7:$G$2010,$D56,'LAC 102_Wkst'!$L$7:$L$2010,"06",'LAC 102_Wkst'!$N$7:$N$2010,"P1")</f>
        <v>0</v>
      </c>
      <c r="S56" s="411">
        <f>SUMIFS('LAC 102_Wkst'!$AE$7:$AE$2010,'LAC 102_Wkst'!$E$7:$E$2010,$C56,'LAC 102_Wkst'!$G$7:$G$2010,$D56,'LAC 102_Wkst'!$L$7:$L$2010,"05",'LAC 102_Wkst'!$N$7:$N$2010,"P1")+SUMIFS('LAC 102_Wkst'!$AE$7:$AE$2010,'LAC 102_Wkst'!$E$7:$E$2010,$C56,'LAC 102_Wkst'!$G$7:$G$2010,$D56,'LAC 102_Wkst'!$L$7:$L$2010,"06",'LAC 102_Wkst'!$N$7:$N$2010,"P1")</f>
        <v>0</v>
      </c>
      <c r="T56" s="410">
        <f>SUMIFS('LAC 102_Wkst'!$Q$7:$Q$2010,'LAC 102_Wkst'!$E$7:$E$2010,$C56,'LAC 102_Wkst'!$G$7:$G$2010,$D56,'LAC 102_Wkst'!$L$7:$L$2010,"05",'LAC 102_Wkst'!$N$7:$N$2010,"P2")+SUMIFS('LAC 102_Wkst'!$Q$7:$Q$2010,'LAC 102_Wkst'!$E$7:$E$2010,$C56,'LAC 102_Wkst'!$G$7:$G$2010,$D56,'LAC 102_Wkst'!$L$7:$L$2010,"05",'LAC 102_Wkst'!$N$7:$N$2010,"P3")+SUMIFS('LAC 102_Wkst'!$Q$7:$Q$2010,'LAC 102_Wkst'!$E$7:$E$2010,$C56,'LAC 102_Wkst'!$G$7:$G$2010,$D56,'LAC 102_Wkst'!$L$7:$L$2010,"06",'LAC 102_Wkst'!$N$7:$N$2010,"P2")+SUMIFS('LAC 102_Wkst'!$Q$7:$Q$2010,'LAC 102_Wkst'!$E$7:$E$2010,$C56,'LAC 102_Wkst'!$G$7:$G$2010,$D56,'LAC 102_Wkst'!$L$7:$L$2010,"06",'LAC 102_Wkst'!$N$7:$N$2010,"P3")</f>
        <v>0</v>
      </c>
      <c r="U56" s="411">
        <f>SUMIFS('LAC 102_Wkst'!$AE$7:$AE$2010,'LAC 102_Wkst'!$E$7:$E$2010,$C56,'LAC 102_Wkst'!$G$7:$G$2010,$D56,'LAC 102_Wkst'!$L$7:$L$2010,"05",'LAC 102_Wkst'!$N$7:$N$2010,"P2")+SUMIFS('LAC 102_Wkst'!$AE$7:$AE$2010,'LAC 102_Wkst'!$E$7:$E$2010,$C56,'LAC 102_Wkst'!$G$7:$G$2010,$D56,'LAC 102_Wkst'!$L$7:$L$2010,"06",'LAC 102_Wkst'!$N$7:$N$2010,"P3")+SUMIFS('LAC 102_Wkst'!$AE$7:$AE$2010,'LAC 102_Wkst'!$E$7:$E$2010,$C56,'LAC 102_Wkst'!$G$7:$G$2010,$D56,'LAC 102_Wkst'!$L$7:$L$2010,"05",'LAC 102_Wkst'!$N$7:$N$2010,"P2")+SUMIFS('LAC 102_Wkst'!$AE$7:$AE$2010,'LAC 102_Wkst'!$E$7:$E$2010,$C56,'LAC 102_Wkst'!$G$7:$G$2010,$D56,'LAC 102_Wkst'!$L$7:$L$2010,"06",'LAC 102_Wkst'!$N$7:$N$2010,"P3")</f>
        <v>0</v>
      </c>
      <c r="V56" s="410">
        <f>SUMIFS('LAC 102_Wkst'!$Q$7:$Q$2010,'LAC 102_Wkst'!$E$7:$E$2010,$C56,'LAC 102_Wkst'!$G$7:$G$2010,$D56,'LAC 102_Wkst'!$L$7:$L$2010,"05",'LAC 102_Wkst'!$N$7:$N$2010,"P4")+SUMIFS('LAC 102_Wkst'!$Q$7:$Q$2010,'LAC 102_Wkst'!$E$7:$E$2010,$C56,'LAC 102_Wkst'!$G$7:$G$2010,$D56,'LAC 102_Wkst'!$L$7:$L$2010,"06",'LAC 102_Wkst'!$N$7:$N$2010,"P4")</f>
        <v>0</v>
      </c>
      <c r="W56" s="411">
        <f>SUMIFS('LAC 102_Wkst'!$AE$7:$AE$2010,'LAC 102_Wkst'!$E$7:$E$2010,$C56,'LAC 102_Wkst'!$G$7:$G$2010,$D56,'LAC 102_Wkst'!$L$7:$L$2010,"05",'LAC 102_Wkst'!$N$7:$N$2010,"P4")+SUMIFS('LAC 102_Wkst'!$AE$7:$AE$2010,'LAC 102_Wkst'!$E$7:$E$2010,$C56,'LAC 102_Wkst'!$G$7:$G$2010,$D56,'LAC 102_Wkst'!$L$7:$L$2010,"06",'LAC 102_Wkst'!$N$7:$N$2010,"P4")</f>
        <v>0</v>
      </c>
      <c r="X56" s="410">
        <f>SUMIFS('LAC 102_Wkst'!$Q$7:$Q$2010,'LAC 102_Wkst'!$E$7:$E$2010,$C56,'LAC 102_Wkst'!$G$7:$G$2010,$D56,'LAC 102_Wkst'!$L$7:$L$2010,"05",'LAC 102_Wkst'!$N$7:$N$2010,"P5")+SUMIFS('LAC 102_Wkst'!$Q$7:$Q$2010,'LAC 102_Wkst'!$E$7:$E$2010,$C56,'LAC 102_Wkst'!$G$7:$G$2010,$D56,'LAC 102_Wkst'!$L$7:$L$2010,"06",'LAC 102_Wkst'!$N$7:$N$2010,"P5")</f>
        <v>0</v>
      </c>
      <c r="Y56" s="411">
        <f>SUMIFS('LAC 102_Wkst'!$AE$7:$AE$2010,'LAC 102_Wkst'!$E$7:$E$2010,$C56,'LAC 102_Wkst'!$G$7:$G$2010,$D56,'LAC 102_Wkst'!$L$7:$L$2010,"05",'LAC 102_Wkst'!$N$7:$N$2010,"P5")+SUMIFS('LAC 102_Wkst'!$AE$7:$AE$2010,'LAC 102_Wkst'!$E$7:$E$2010,$C56,'LAC 102_Wkst'!$G$7:$G$2010,$D56,'LAC 102_Wkst'!$L$7:$L$2010,"06",'LAC 102_Wkst'!$N$7:$N$2010,"P5")</f>
        <v>0</v>
      </c>
      <c r="Z56" s="410">
        <f>SUMIFS('LAC 102_Wkst'!$Q$7:$Q$2010,'LAC 102_Wkst'!$E$7:$E$2010,$C56,'LAC 102_Wkst'!$G$7:$G$2010,$D56,'LAC 102_Wkst'!$L$7:$L$2010,"07",'LAC 102_Wkst'!$N$7:$N$2010,"P1")+SUMIFS('LAC 102_Wkst'!$Q$7:$Q$2010,'LAC 102_Wkst'!$E$7:$E$2010,$C56,'LAC 102_Wkst'!$G$7:$G$2010,$D56,'LAC 102_Wkst'!$L$7:$L$2010,"07",'LAC 102_Wkst'!$N$7:$N$2010,"P2")+SUMIFS('LAC 102_Wkst'!$Q$7:$Q$2010,'LAC 102_Wkst'!$E$7:$E$2010,$C56,'LAC 102_Wkst'!$G$7:$G$2010,$D56,'LAC 102_Wkst'!$L$7:$L$2010,"07",'LAC 102_Wkst'!$N$7:$N$2010,"P3")</f>
        <v>0</v>
      </c>
      <c r="AA56" s="411">
        <f>SUMIFS('LAC 102_Wkst'!$AE$7:$AE$2010,'LAC 102_Wkst'!$E$7:$E$2010,$C56,'LAC 102_Wkst'!$G$7:$G$2010,$D56,'LAC 102_Wkst'!$L$7:$L$2010,"07",'LAC 102_Wkst'!$N$7:$N$2010,"P1")+SUMIFS('LAC 102_Wkst'!$AE$7:$AE$2010,'LAC 102_Wkst'!$E$7:$E$2010,$C56,'LAC 102_Wkst'!$G$7:$G$2010,$D56,'LAC 102_Wkst'!$L$7:$L$2010,"07",'LAC 102_Wkst'!$N$7:$N$2010,"P2")+SUMIFS('LAC 102_Wkst'!$AE$7:$AE$2010,'LAC 102_Wkst'!$E$7:$E$2010,$C56,'LAC 102_Wkst'!$G$7:$G$2010,$D56,'LAC 102_Wkst'!$L$7:$L$2010,"07",'LAC 102_Wkst'!$N$7:$N$2010,"P3")</f>
        <v>0</v>
      </c>
      <c r="AB56" s="410">
        <f>SUMIFS('LAC 102_Wkst'!$Q$7:$Q$2010,'LAC 102_Wkst'!$E$7:$E$2010,$C56,'LAC 102_Wkst'!$G$7:$G$2010,$D56,'LAC 102_Wkst'!$L$7:$L$2010,"07",'LAC 102_Wkst'!$N$7:$N$2010,"P4")</f>
        <v>0</v>
      </c>
      <c r="AC56" s="411">
        <f>SUMIFS('LAC 102_Wkst'!$AE$7:$AE$2010,'LAC 102_Wkst'!$E$7:$E$2010,$C56,'LAC 102_Wkst'!$G$7:$G$2010,$D56,'LAC 102_Wkst'!$L$7:$L$2010,"07",'LAC 102_Wkst'!$N$7:$N$2010,"P4")</f>
        <v>0</v>
      </c>
      <c r="AD56" s="410">
        <f>SUMIFS('LAC 102_Wkst'!$Q$7:$Q$2010,'LAC 102_Wkst'!$E$7:$E$2010,$C56,'LAC 102_Wkst'!$G$7:$G$2010,$D56,'LAC 102_Wkst'!$L$7:$L$2010,"07",'LAC 102_Wkst'!$N$7:$N$2010,"P5")</f>
        <v>0</v>
      </c>
      <c r="AE56" s="411">
        <f>SUMIFS('LAC 102_Wkst'!$AE$7:$AE$2010,'LAC 102_Wkst'!$E$7:$E$2010,$C56,'LAC 102_Wkst'!$G$7:$G$2010,$D56,'LAC 102_Wkst'!$L$7:$L$2010,"07",'LAC 102_Wkst'!$N$7:$N$2010,"P5")</f>
        <v>0</v>
      </c>
      <c r="AF56" s="410">
        <f>SUMIFS('LAC 102_Wkst'!$Q$7:$Q$2010,'LAC 102_Wkst'!$E$7:$E$2010,$C56,'LAC 102_Wkst'!$G$7:$G$2010,$D56,'LAC 102_Wkst'!$L$7:$L$2010,"08",'LAC 102_Wkst'!$N$7:$N$2010,"P1")+SUMIFS('LAC 102_Wkst'!$Q$7:$Q$2010,'LAC 102_Wkst'!$E$7:$E$2010,$C56,'LAC 102_Wkst'!$G$7:$G$2010,$D56,'LAC 102_Wkst'!$L$7:$L$2010,"08",'LAC 102_Wkst'!$N$7:$N$2010,"P2")+SUMIFS('LAC 102_Wkst'!$Q$7:$Q$2010,'LAC 102_Wkst'!$E$7:$E$2010,$C56,'LAC 102_Wkst'!$G$7:$G$2010,$D56,'LAC 102_Wkst'!$L$7:$L$2010,"08",'LAC 102_Wkst'!$N$7:$N$2010,"P3")</f>
        <v>0</v>
      </c>
      <c r="AG56" s="411">
        <f>SUMIFS('LAC 102_Wkst'!$AE$7:$AE$2010,'LAC 102_Wkst'!$E$7:$E$2010,$C56,'LAC 102_Wkst'!$G$7:$G$2010,$D56,'LAC 102_Wkst'!$L$7:$L$2010,"08",'LAC 102_Wkst'!$N$7:$N$2010,"P1")+SUMIFS('LAC 102_Wkst'!$AE$7:$AE$2010,'LAC 102_Wkst'!$E$7:$E$2010,$C56,'LAC 102_Wkst'!$G$7:$G$2010,$D56,'LAC 102_Wkst'!$L$7:$L$2010,"08",'LAC 102_Wkst'!$N$7:$N$2010,"P2")+SUMIFS('LAC 102_Wkst'!$AE$7:$AE$2010,'LAC 102_Wkst'!$E$7:$E$2010,$C56,'LAC 102_Wkst'!$G$7:$G$2010,$D56,'LAC 102_Wkst'!$L$7:$L$2010,"08",'LAC 102_Wkst'!$N$7:$N$2010,"P3")</f>
        <v>0</v>
      </c>
      <c r="AH56" s="410">
        <f>SUMIFS('LAC 102_Wkst'!$Q$7:$Q$2010,'LAC 102_Wkst'!$E$7:$E$2010,$C56,'LAC 102_Wkst'!$G$7:$G$2010,$D56,'LAC 102_Wkst'!$L$7:$L$2010,"08",'LAC 102_Wkst'!$N$7:$N$2010,"P4")</f>
        <v>0</v>
      </c>
      <c r="AI56" s="411">
        <f>SUMIFS('LAC 102_Wkst'!$AE$7:$AE$2010,'LAC 102_Wkst'!$E$7:$E$2010,$C56,'LAC 102_Wkst'!$G$7:$G$2010,$D56,'LAC 102_Wkst'!$L$7:$L$2010,"08",'LAC 102_Wkst'!$N$7:$N$2010,"P4")</f>
        <v>0</v>
      </c>
      <c r="AJ56" s="410">
        <f>SUMIFS('LAC 102_Wkst'!$Q$7:$Q$2010,'LAC 102_Wkst'!$E$7:$E$2010,$C56,'LAC 102_Wkst'!$G$7:$G$2010,$D56,'LAC 102_Wkst'!$L$7:$L$2010,"08",'LAC 102_Wkst'!$N$7:$N$2010,"P5")</f>
        <v>0</v>
      </c>
      <c r="AK56" s="411">
        <f>SUMIFS('LAC 102_Wkst'!$AE$7:$AE$2010,'LAC 102_Wkst'!$E$7:$E$2010,$C56,'LAC 102_Wkst'!$G$7:$G$2010,$D56,'LAC 102_Wkst'!$L$7:$L$2010,"08",'LAC 102_Wkst'!$N$7:$N$2010,"P5")</f>
        <v>0</v>
      </c>
      <c r="AL56" s="410">
        <f>SUMIFS('LAC 102_Wkst'!$Q$7:$Q$2010,'LAC 102_Wkst'!$E$7:$E$2010,$C56,'LAC 102_Wkst'!$G$7:$G$2010,$D56,'LAC 102_Wkst'!$L$7:$L$2010,"09",'LAC 102_Wkst'!$N$7:$N$2010,"P1")+SUMIFS('LAC 102_Wkst'!$Q$7:$Q$2010,'LAC 102_Wkst'!$E$7:$E$2010,$C56,'LAC 102_Wkst'!$G$7:$G$2010,$D56,'LAC 102_Wkst'!$L$7:$L$2010,"09",'LAC 102_Wkst'!$N$7:$N$2010,"P2")+SUMIFS('LAC 102_Wkst'!$Q$7:$Q$2010,'LAC 102_Wkst'!$E$7:$E$2010,$C56,'LAC 102_Wkst'!$G$7:$G$2010,$D56,'LAC 102_Wkst'!$L$7:$L$2010,"09",'LAC 102_Wkst'!$N$7:$N$2010,"P3")+SUMIFS('LAC 102_Wkst'!$Q$7:$Q$2010,'LAC 102_Wkst'!$E$7:$E$2010,$C56,'LAC 102_Wkst'!$G$7:$G$2010,$D56,'LAC 102_Wkst'!$L$7:$L$2010,"09",'LAC 102_Wkst'!$N$7:$N$2010,"P4")</f>
        <v>0</v>
      </c>
      <c r="AM56" s="411">
        <f>SUMIFS('LAC 102_Wkst'!$AE$7:$AE$2010,'LAC 102_Wkst'!$E$7:$E$2010,$C56,'LAC 102_Wkst'!$G$7:$G$2010,$D56,'LAC 102_Wkst'!$L$7:$L$2010,"09",'LAC 102_Wkst'!$N$7:$N$2010,"P1")+SUMIFS('LAC 102_Wkst'!$AE$7:$AE$2010,'LAC 102_Wkst'!$E$7:$E$2010,$C56,'LAC 102_Wkst'!$G$7:$G$2010,$D56,'LAC 102_Wkst'!$L$7:$L$2010,"09",'LAC 102_Wkst'!$N$7:$N$2010,"P2")+SUMIFS('LAC 102_Wkst'!$AE$7:$AE$2010,'LAC 102_Wkst'!$E$7:$E$2010,$C56,'LAC 102_Wkst'!$G$7:$G$2010,$D56,'LAC 102_Wkst'!$L$7:$L$2010,"09",'LAC 102_Wkst'!$N$7:$N$2010,"P3")+SUMIFS('LAC 102_Wkst'!$AE$7:$AE$2010,'LAC 102_Wkst'!$E$7:$E$2010,$C56,'LAC 102_Wkst'!$G$7:$G$2010,$D56,'LAC 102_Wkst'!$L$7:$L$2010,"09",'LAC 102_Wkst'!$N$7:$N$2010,"P4")</f>
        <v>0</v>
      </c>
      <c r="AN56" s="410">
        <f>SUMIFS('LAC 102_Wkst'!$Q$7:$Q$2010,'LAC 102_Wkst'!$E$7:$E$2010,$C56,'LAC 102_Wkst'!$G$7:$G$2010,$D56,'LAC 102_Wkst'!$L$7:$L$2010,"09",'LAC 102_Wkst'!$N$7:$N$2010,"P5")</f>
        <v>0</v>
      </c>
      <c r="AO56" s="411">
        <f>SUMIFS('LAC 102_Wkst'!$AE$7:$AE$2010,'LAC 102_Wkst'!$E$7:$E$2010,$C56,'LAC 102_Wkst'!$G$7:$G$2010,$D56,'LAC 102_Wkst'!$L$7:$L$2010,"09",'LAC 102_Wkst'!$N$7:$N$2010,"P5")</f>
        <v>0</v>
      </c>
      <c r="AP56" s="410">
        <f>SUMIFS('LAC 102_Wkst'!$Q$7:$Q$2010,'LAC 102_Wkst'!$E$7:$E$2010,$C56,'LAC 102_Wkst'!$G$7:$G$2010,$D56,'LAC 102_Wkst'!$L$7:$L$2010,"10",'LAC 102_Wkst'!$N$7:$N$2010,"P1")+SUMIFS('LAC 102_Wkst'!$Q$7:$Q$2010,'LAC 102_Wkst'!$E$7:$E$2010,$C56,'LAC 102_Wkst'!$G$7:$G$2010,$D56,'LAC 102_Wkst'!$L$7:$L$2010,"10",'LAC 102_Wkst'!$N$7:$N$2010,"P2")+SUMIFS('LAC 102_Wkst'!$Q$7:$Q$2010,'LAC 102_Wkst'!$E$7:$E$2010,$C56,'LAC 102_Wkst'!$G$7:$G$2010,$D56,'LAC 102_Wkst'!$L$7:$L$2010,"10",'LAC 102_Wkst'!$N$7:$N$2010,"P3")+SUMIFS('LAC 102_Wkst'!$Q$7:$Q$2010,'LAC 102_Wkst'!$E$7:$E$2010,$C56,'LAC 102_Wkst'!$G$7:$G$2010,$D56,'LAC 102_Wkst'!$L$7:$L$2010,"10",'LAC 102_Wkst'!$N$7:$N$2010,"P4")</f>
        <v>0</v>
      </c>
      <c r="AQ56" s="411">
        <f>SUMIFS('LAC 102_Wkst'!$AE$7:$AE$2010,'LAC 102_Wkst'!$E$7:$E$2010,$C56,'LAC 102_Wkst'!$G$7:$G$2010,$D56,'LAC 102_Wkst'!$L$7:$L$2010,"10",'LAC 102_Wkst'!$N$7:$N$2010,"P1")+SUMIFS('LAC 102_Wkst'!$AE$7:$AE$2010,'LAC 102_Wkst'!$E$7:$E$2010,$C56,'LAC 102_Wkst'!$G$7:$G$2010,$D56,'LAC 102_Wkst'!$L$7:$L$2010,"10",'LAC 102_Wkst'!$N$7:$N$2010,"P2")+SUMIFS('LAC 102_Wkst'!$AE$7:$AE$2010,'LAC 102_Wkst'!$E$7:$E$2010,$C56,'LAC 102_Wkst'!$G$7:$G$2010,$D56,'LAC 102_Wkst'!$L$7:$L$2010,"10",'LAC 102_Wkst'!$N$7:$N$2010,"P3")+SUMIFS('LAC 102_Wkst'!$AE$7:$AE$2010,'LAC 102_Wkst'!$E$7:$E$2010,$C56,'LAC 102_Wkst'!$G$7:$G$2010,$D56,'LAC 102_Wkst'!$L$7:$L$2010,"10",'LAC 102_Wkst'!$N$7:$N$2010,"P4")</f>
        <v>0</v>
      </c>
      <c r="AR56" s="410">
        <f>SUMIFS('LAC 102_Wkst'!$Q$7:$Q$2010,'LAC 102_Wkst'!$E$7:$E$2010,$C56,'LAC 102_Wkst'!$G$7:$G$2010,$D56,'LAC 102_Wkst'!$L$7:$L$2010,"10",'LAC 102_Wkst'!$N$7:$N$2010,"P5")</f>
        <v>0</v>
      </c>
      <c r="AS56" s="411">
        <f>SUMIFS('LAC 102_Wkst'!$AE$7:$AE$2010,'LAC 102_Wkst'!$E$7:$E$2010,$C56,'LAC 102_Wkst'!$G$7:$G$2010,$D56,'LAC 102_Wkst'!$L$7:$L$2010,"10",'LAC 102_Wkst'!$N$7:$N$2010,"P5")</f>
        <v>0</v>
      </c>
      <c r="AT56" s="410">
        <f>SUMIFS('LAC 102_Wkst'!$Q$7:$Q$2010,'LAC 102_Wkst'!$E$7:$E$2010,$C56,'LAC 102_Wkst'!$G$7:$G$2010,$D56,'LAC 102_Wkst'!$L$7:$L$2010,"11",'LAC 102_Wkst'!$N$7:$N$2010,"P1")+SUMIFS('LAC 102_Wkst'!$Q$7:$Q$2010,'LAC 102_Wkst'!$E$7:$E$2010,$C56,'LAC 102_Wkst'!$G$7:$G$2010,$D56,'LAC 102_Wkst'!$L$7:$L$2010,"12",'LAC 102_Wkst'!$N$7:$N$2010,"P1")</f>
        <v>0</v>
      </c>
      <c r="AU56" s="411">
        <f>SUMIFS('LAC 102_Wkst'!$AE$7:$AE$2010,'LAC 102_Wkst'!$E$7:$E$2010,$C56,'LAC 102_Wkst'!$G$7:$G$2010,$D56,'LAC 102_Wkst'!$L$7:$L$2010,"11",'LAC 102_Wkst'!$N$7:$N$2010,"P1")+SUMIFS('LAC 102_Wkst'!$AE$7:$AE$2010,'LAC 102_Wkst'!$E$7:$E$2010,$C56,'LAC 102_Wkst'!$G$7:$G$2010,$D56,'LAC 102_Wkst'!$L$7:$L$2010,"12",'LAC 102_Wkst'!$N$7:$N$2010,"P1")</f>
        <v>0</v>
      </c>
      <c r="AV56" s="410">
        <f>SUMIFS('LAC 102_Wkst'!$Q$7:$Q$2010,'LAC 102_Wkst'!$E$7:$E$2010,$C56,'LAC 102_Wkst'!$G$7:$G$2010,$D56,'LAC 102_Wkst'!$L$7:$L$2010,"11",'LAC 102_Wkst'!$N$7:$N$2010,"P2")+SUMIFS('LAC 102_Wkst'!$Q$7:$Q$2010,'LAC 102_Wkst'!$E$7:$E$2010,$C56,'LAC 102_Wkst'!$G$7:$G$2010,$D56,'LAC 102_Wkst'!$L$7:$L$2010,"12",'LAC 102_Wkst'!$N$7:$N$2010,"P3")+SUMIFS('LAC 102_Wkst'!$Q$7:$Q$2010,'LAC 102_Wkst'!$E$7:$E$2010,$C56,'LAC 102_Wkst'!$G$7:$G$2010,$D56,'LAC 102_Wkst'!$L$7:$L$2010,"11",'LAC 102_Wkst'!$N$7:$N$2010,"P2")+SUMIFS('LAC 102_Wkst'!$Q$7:$Q$2010,'LAC 102_Wkst'!$E$7:$E$2010,$C56,'LAC 102_Wkst'!$G$7:$G$2010,$D56,'LAC 102_Wkst'!$L$7:$L$2010,"12",'LAC 102_Wkst'!$N$7:$N$2010,"P3")</f>
        <v>0</v>
      </c>
      <c r="AW56" s="411">
        <f>SUMIFS('LAC 102_Wkst'!$AE$7:$AE$2010,'LAC 102_Wkst'!$E$7:$E$2010,$C56,'LAC 102_Wkst'!$G$7:$G$2010,$D56,'LAC 102_Wkst'!$L$7:$L$2010,"11",'LAC 102_Wkst'!$N$7:$N$2010,"P2")+SUMIFS('LAC 102_Wkst'!$AE$7:$AE$2010,'LAC 102_Wkst'!$E$7:$E$2010,$C56,'LAC 102_Wkst'!$G$7:$G$2010,$D56,'LAC 102_Wkst'!$L$7:$L$2010,"12",'LAC 102_Wkst'!$N$7:$N$2010,"P3")+SUMIFS('LAC 102_Wkst'!$AE$7:$AE$2010,'LAC 102_Wkst'!$E$7:$E$2010,$C56,'LAC 102_Wkst'!$G$7:$G$2010,$D56,'LAC 102_Wkst'!$L$7:$L$2010,"11",'LAC 102_Wkst'!$N$7:$N$2010,"P2")+SUMIFS('LAC 102_Wkst'!$AE$7:$AE$2010,'LAC 102_Wkst'!$E$7:$E$2010,$C56,'LAC 102_Wkst'!$G$7:$G$2010,$D56,'LAC 102_Wkst'!$L$7:$L$2010,"12",'LAC 102_Wkst'!$N$7:$N$2010,"P3")</f>
        <v>0</v>
      </c>
      <c r="AX56" s="410">
        <f>SUMIFS('LAC 102_Wkst'!$Q$7:$Q$2010,'LAC 102_Wkst'!$E$7:$E$2010,$C56,'LAC 102_Wkst'!$G$7:$G$2010,$D56,'LAC 102_Wkst'!$L$7:$L$2010,"11",'LAC 102_Wkst'!$N$7:$N$2010,"P4")+SUMIFS('LAC 102_Wkst'!$Q$7:$Q$2010,'LAC 102_Wkst'!$E$7:$E$2010,$C56,'LAC 102_Wkst'!$G$7:$G$2010,$D56,'LAC 102_Wkst'!$L$7:$L$2010,"12",'LAC 102_Wkst'!$N$7:$N$2010,"P4")</f>
        <v>0</v>
      </c>
      <c r="AY56" s="411">
        <f>SUMIFS('LAC 102_Wkst'!$AE$7:$AE$2010,'LAC 102_Wkst'!$E$7:$E$2010,$C56,'LAC 102_Wkst'!$G$7:$G$2010,$D56,'LAC 102_Wkst'!$L$7:$L$2010,"11",'LAC 102_Wkst'!$N$7:$N$2010,"P4")+SUMIFS('LAC 102_Wkst'!$AE$7:$AE$2010,'LAC 102_Wkst'!$E$7:$E$2010,$C56,'LAC 102_Wkst'!$G$7:$G$2010,$D56,'LAC 102_Wkst'!$L$7:$L$2010,"12",'LAC 102_Wkst'!$N$7:$N$2010,"P4")</f>
        <v>0</v>
      </c>
      <c r="AZ56" s="410">
        <f>SUMIFS('LAC 102_Wkst'!$Q$7:$Q$2010,'LAC 102_Wkst'!$E$7:$E$2010,$C56,'LAC 102_Wkst'!$G$7:$G$2010,$D56,'LAC 102_Wkst'!$L$7:$L$2010,"11",'LAC 102_Wkst'!$N$7:$N$2010,"P5")+SUMIFS('LAC 102_Wkst'!$Q$7:$Q$2010,'LAC 102_Wkst'!$E$7:$E$2010,$C56,'LAC 102_Wkst'!$G$7:$G$2010,$D56,'LAC 102_Wkst'!$L$7:$L$2010,"12",'LAC 102_Wkst'!$N$7:$N$2010,"P5")</f>
        <v>0</v>
      </c>
      <c r="BA56" s="411">
        <f>SUMIFS('LAC 102_Wkst'!$AE$7:$AE$2010,'LAC 102_Wkst'!$E$7:$E$2010,$C56,'LAC 102_Wkst'!$G$7:$G$2010,$D56,'LAC 102_Wkst'!$L$7:$L$2010,"11",'LAC 102_Wkst'!$N$7:$N$2010,"P5")+SUMIFS('LAC 102_Wkst'!$AE$7:$AE$2010,'LAC 102_Wkst'!$E$7:$E$2010,$C56,'LAC 102_Wkst'!$G$7:$G$2010,$D56,'LAC 102_Wkst'!$L$7:$L$2010,"12",'LAC 102_Wkst'!$N$7:$N$2010,"P5")</f>
        <v>0</v>
      </c>
      <c r="BB56" s="410">
        <f>SUMIFS('LAC 102_Wkst'!$Q$7:$Q$2010,'LAC 102_Wkst'!$E$7:$E$2010,$C56,'LAC 102_Wkst'!$G$7:$G$2010,$D56,'LAC 102_Wkst'!$L$7:$L$2010,"13",'LAC 102_Wkst'!$N$7:$N$2010,"P1")+SUMIFS('LAC 102_Wkst'!$Q$7:$Q$2010,'LAC 102_Wkst'!$E$7:$E$2010,$C56,'LAC 102_Wkst'!$G$7:$G$2010,$D56,'LAC 102_Wkst'!$L$7:$L$2010,"13",'LAC 102_Wkst'!$N$7:$N$2010,"P2")+SUMIFS('LAC 102_Wkst'!$Q$7:$Q$2010,'LAC 102_Wkst'!$E$7:$E$2010,$C56,'LAC 102_Wkst'!$G$7:$G$2010,$D56,'LAC 102_Wkst'!$L$7:$L$2010,"13",'LAC 102_Wkst'!$N$7:$N$2010,"P3")+SUMIFS('LAC 102_Wkst'!$Q$7:$Q$2010,'LAC 102_Wkst'!$E$7:$E$2010,$C56,'LAC 102_Wkst'!$G$7:$G$2010,$D56,'LAC 102_Wkst'!$L$7:$L$2010,"13",'LAC 102_Wkst'!$N$7:$N$2010,"P4")</f>
        <v>0</v>
      </c>
      <c r="BC56" s="411">
        <f>SUMIFS('LAC 102_Wkst'!$AE$7:$AE$2010,'LAC 102_Wkst'!$E$7:$E$2010,$C56,'LAC 102_Wkst'!$G$7:$G$2010,$D56,'LAC 102_Wkst'!$L$7:$L$2010,"13",'LAC 102_Wkst'!$N$7:$N$2010,"P1")+SUMIFS('LAC 102_Wkst'!$AE$7:$AE$2010,'LAC 102_Wkst'!$E$7:$E$2010,$C56,'LAC 102_Wkst'!$G$7:$G$2010,$D56,'LAC 102_Wkst'!$L$7:$L$2010,"13",'LAC 102_Wkst'!$N$7:$N$2010,"P2")+SUMIFS('LAC 102_Wkst'!$AE$7:$AE$2010,'LAC 102_Wkst'!$E$7:$E$2010,$C56,'LAC 102_Wkst'!$G$7:$G$2010,$D56,'LAC 102_Wkst'!$L$7:$L$2010,"13",'LAC 102_Wkst'!$N$7:$N$2010,"P3")+SUMIFS('LAC 102_Wkst'!$AE$7:$AE$2010,'LAC 102_Wkst'!$E$7:$E$2010,$C56,'LAC 102_Wkst'!$G$7:$G$2010,$D56,'LAC 102_Wkst'!$L$7:$L$2010,"13",'LAC 102_Wkst'!$N$7:$N$2010,"P4")</f>
        <v>0</v>
      </c>
      <c r="BD56" s="410">
        <f>SUMIFS('LAC 102_Wkst'!$Q$7:$Q$2010,'LAC 102_Wkst'!$E$7:$E$2010,$C56,'LAC 102_Wkst'!$G$7:$G$2010,$D56,'LAC 102_Wkst'!$L$7:$L$2010,"13",'LAC 102_Wkst'!$N$7:$N$2010,"P5")</f>
        <v>0</v>
      </c>
      <c r="BE56" s="411">
        <f>SUMIFS('LAC 102_Wkst'!$AE$7:$AE$2010,'LAC 102_Wkst'!$E$7:$E$2010,$C56,'LAC 102_Wkst'!$G$7:$G$2010,$D56,'LAC 102_Wkst'!$L$7:$L$2010,"13",'LAC 102_Wkst'!$N$7:$N$2010,"P5")</f>
        <v>0</v>
      </c>
      <c r="BF56" s="407">
        <f t="shared" si="0"/>
        <v>0</v>
      </c>
    </row>
    <row r="57" spans="1:58" x14ac:dyDescent="0.2">
      <c r="A57" s="401">
        <v>38</v>
      </c>
      <c r="B57" s="1236"/>
      <c r="C57" s="1235"/>
      <c r="D57" s="1237"/>
      <c r="E57" s="1222">
        <f>IF(CONCATENATE(C57,D57)&gt;"6069",1,SUMIFS('LAC 102_Wkst'!$Q$7:$Q$2010,'LAC 102_Wkst'!$E$7:$E$2010,Schedule_B!$C57,'LAC 102_Wkst'!$G$7:$G$2010,Schedule_B!$D57))</f>
        <v>0</v>
      </c>
      <c r="F57" s="408">
        <f>SUMIFS('LAC 102_Wkst'!$Q$7:$Q$2010,'LAC 102_Wkst'!$E$7:$E$2010,$C57,'LAC 102_Wkst'!$G$7:$G$2010,$D57,'LAC 102_Wkst'!$L$7:$L$2010,"01",'LAC 102_Wkst'!$N$7:$N$2010,"P1")+SUMIFS('LAC 102_Wkst'!$Q$7:$Q$2010,'LAC 102_Wkst'!$E$7:$E$2010,$C57,'LAC 102_Wkst'!$G$7:$G$2010,$D57,'LAC 102_Wkst'!$L$7:$L$2010,"01",'LAC 102_Wkst'!$N$7:$N$2010,"P2")+SUMIFS('LAC 102_Wkst'!$Q$7:$Q$2010,'LAC 102_Wkst'!$E$7:$E$2010,$C57,'LAC 102_Wkst'!$G$7:$G$2010,$D57,'LAC 102_Wkst'!$L$7:$L$2010,"01",'LAC 102_Wkst'!$N$7:$N$2010,"P3")+SUMIFS('LAC 102_Wkst'!$Q$7:$Q$2010,'LAC 102_Wkst'!$E$7:$E$2010,$C57,'LAC 102_Wkst'!$G$7:$G$2010,$D57,'LAC 102_Wkst'!$L$7:$L$2010,"02",'LAC 102_Wkst'!$N$7:$N$2010,"P1")+SUMIFS('LAC 102_Wkst'!$Q$7:$Q$2010,'LAC 102_Wkst'!$E$7:$E$2010,$C57,'LAC 102_Wkst'!$G$7:$G$2010,$D57,'LAC 102_Wkst'!$L$7:$L$2010,"02",'LAC 102_Wkst'!$N$7:$N$2010,"P2")+SUMIFS('LAC 102_Wkst'!$Q$7:$Q$2010,'LAC 102_Wkst'!$E$7:$E$2010,$C57,'LAC 102_Wkst'!$G$7:$G$2010,$D57,'LAC 102_Wkst'!$L$7:$L$2010,"02",'LAC 102_Wkst'!$N$7:$N$2010,"P3")</f>
        <v>0</v>
      </c>
      <c r="G57" s="409">
        <f>SUMIFS('LAC 102_Wkst'!$AE$7:$AE$2010,'LAC 102_Wkst'!$E$7:$E$2010,$C57,'LAC 102_Wkst'!$G$7:$G$2010,$D57,'LAC 102_Wkst'!$L$7:$L$2010,"01",'LAC 102_Wkst'!$N$7:$N$2010,"P1")+SUMIFS('LAC 102_Wkst'!$AE$7:$AE$2010,'LAC 102_Wkst'!$E$7:$E$2010,$C57,'LAC 102_Wkst'!$G$7:$G$2010,$D57,'LAC 102_Wkst'!$L$7:$L$2010,"01",'LAC 102_Wkst'!$N$7:$N$2010,"P2")+SUMIFS('LAC 102_Wkst'!$AE$7:$AE$2010,'LAC 102_Wkst'!$E$7:$E$2010,$C57,'LAC 102_Wkst'!$G$7:$G$2010,$D57,'LAC 102_Wkst'!$L$7:$L$2010,"01",'LAC 102_Wkst'!$N$7:$N$2010,"P3")+SUMIFS('LAC 102_Wkst'!$AE$7:$AE$2010,'LAC 102_Wkst'!$E$7:$E$2010,$C57,'LAC 102_Wkst'!$G$7:$G$2010,$D57,'LAC 102_Wkst'!$L$7:$L$2010,"02",'LAC 102_Wkst'!$N$7:$N$2010,"P1")+SUMIFS('LAC 102_Wkst'!$AE$7:$AE$2010,'LAC 102_Wkst'!$E$7:$E$2010,$C57,'LAC 102_Wkst'!$G$7:$G$2010,$D57,'LAC 102_Wkst'!$L$7:$L$2010,"02",'LAC 102_Wkst'!$N$7:$N$2010,"P2")+SUMIFS('LAC 102_Wkst'!$AE$7:$AE$2010,'LAC 102_Wkst'!$E$7:$E$2010,$C57,'LAC 102_Wkst'!$G$7:$G$2010,$D57,'LAC 102_Wkst'!$L$7:$L$2010,"02",'LAC 102_Wkst'!$N$7:$N$2010,"P3")</f>
        <v>0</v>
      </c>
      <c r="H57" s="410">
        <f>SUMIFS('LAC 102_Wkst'!$Q$7:$Q$2010,'LAC 102_Wkst'!$E$7:$E$2010,$C57,'LAC 102_Wkst'!$G$7:$G$2010,$D57,'LAC 102_Wkst'!$L$7:$L$2010,"01",'LAC 102_Wkst'!$N$7:$N$2010,"P4")+SUMIFS('LAC 102_Wkst'!$Q$7:$Q$2010,'LAC 102_Wkst'!$E$7:$E$2010,$C57,'LAC 102_Wkst'!$G$7:$G$2010,$D57,'LAC 102_Wkst'!$L$7:$L$2010,"02",'LAC 102_Wkst'!$N$7:$N$2010,"P4")</f>
        <v>0</v>
      </c>
      <c r="I57" s="411">
        <f>SUMIFS('LAC 102_Wkst'!$AE$7:$AE$2010,'LAC 102_Wkst'!$E$7:$E$2010,$C57,'LAC 102_Wkst'!$G$7:$G$2010,$D57,'LAC 102_Wkst'!$L$7:$L$2010,"01",'LAC 102_Wkst'!$N$7:$N$2010,"P4")+SUMIFS('LAC 102_Wkst'!$AE$7:$AE$2010,'LAC 102_Wkst'!$E$7:$E$2010,$C57,'LAC 102_Wkst'!$G$7:$G$2010,$D57,'LAC 102_Wkst'!$L$7:$L$2010,"02",'LAC 102_Wkst'!$N$7:$N$2010,"P4")</f>
        <v>0</v>
      </c>
      <c r="J57" s="410">
        <f>SUMIFS('LAC 102_Wkst'!$Q$7:$Q$2010,'LAC 102_Wkst'!$E$7:$E$2010,$C57,'LAC 102_Wkst'!$G$7:$G$2010,$D57,'LAC 102_Wkst'!$L$7:$L$2010,"01",'LAC 102_Wkst'!$N$7:$N$2010,"P5")+SUMIFS('LAC 102_Wkst'!$Q$7:$Q$2010,'LAC 102_Wkst'!$E$7:$E$2010,$C57,'LAC 102_Wkst'!$G$7:$G$2010,$D57,'LAC 102_Wkst'!$L$7:$L$2010,"02",'LAC 102_Wkst'!$N$7:$N$2010,"P5")</f>
        <v>0</v>
      </c>
      <c r="K57" s="411">
        <f>SUMIFS('LAC 102_Wkst'!$AE$7:$AE$2010,'LAC 102_Wkst'!$E$7:$E$2010,$C57,'LAC 102_Wkst'!$G$7:$G$2010,$D57,'LAC 102_Wkst'!$L$7:$L$2010,"01",'LAC 102_Wkst'!$N$7:$N$2010,"P5")+SUMIFS('LAC 102_Wkst'!$AE$7:$AE$2010,'LAC 102_Wkst'!$E$7:$E$2010,$C57,'LAC 102_Wkst'!$G$7:$G$2010,$D57,'LAC 102_Wkst'!$L$7:$L$2010,"02",'LAC 102_Wkst'!$N$7:$N$2010,"P5")</f>
        <v>0</v>
      </c>
      <c r="L57" s="410">
        <f>SUMIFS('LAC 102_Wkst'!$Q$7:$Q$2010,'LAC 102_Wkst'!$E$7:$E$2010,$C57,'LAC 102_Wkst'!$G$7:$G$2010,$D57,'LAC 102_Wkst'!$L$7:$L$2010,"03",'LAC 102_Wkst'!$N$7:$N$2010,"P1")+SUMIFS('LAC 102_Wkst'!$Q$7:$Q$2010,'LAC 102_Wkst'!$E$7:$E$2010,$C57,'LAC 102_Wkst'!$G$7:$G$2010,$D57,'LAC 102_Wkst'!$L$7:$L$2010,"03",'LAC 102_Wkst'!$N$7:$N$2010,"P2")+SUMIFS('LAC 102_Wkst'!$Q$7:$Q$2010,'LAC 102_Wkst'!$E$7:$E$2010,$C57,'LAC 102_Wkst'!$G$7:$G$2010,$D57,'LAC 102_Wkst'!$L$7:$L$2010,"03",'LAC 102_Wkst'!$N$7:$N$2010,"P3")+SUMIFS('LAC 102_Wkst'!$Q$7:$Q$2010,'LAC 102_Wkst'!$E$7:$E$2010,$C57,'LAC 102_Wkst'!$G$7:$G$2010,$D57,'LAC 102_Wkst'!$L$7:$L$2010,"04",'LAC 102_Wkst'!$N$7:$N$2010,"P1")+SUMIFS('LAC 102_Wkst'!$Q$7:$Q$2010,'LAC 102_Wkst'!$E$7:$E$2010,$C57,'LAC 102_Wkst'!$G$7:$G$2010,$D57,'LAC 102_Wkst'!$L$7:$L$2010,"04",'LAC 102_Wkst'!$N$7:$N$2010,"P2")+SUMIFS('LAC 102_Wkst'!$Q$7:$Q$2010,'LAC 102_Wkst'!$E$7:$E$2010,$C57,'LAC 102_Wkst'!$G$7:$G$2010,$D57,'LAC 102_Wkst'!$L$7:$L$2010,"04",'LAC 102_Wkst'!$N$7:$N$2010,"P3")</f>
        <v>0</v>
      </c>
      <c r="M57" s="411">
        <f>SUMIFS('LAC 102_Wkst'!$AE$7:$AE$2010,'LAC 102_Wkst'!$E$7:$E$2010,$C57,'LAC 102_Wkst'!$G$7:$G$2010,$D57,'LAC 102_Wkst'!$L$7:$L$2010,"03",'LAC 102_Wkst'!$N$7:$N$2010,"P1")+SUMIFS('LAC 102_Wkst'!$AE$7:$AE$2010,'LAC 102_Wkst'!$E$7:$E$2010,$C57,'LAC 102_Wkst'!$G$7:$G$2010,$D57,'LAC 102_Wkst'!$L$7:$L$2010,"03",'LAC 102_Wkst'!$N$7:$N$2010,"P2")+SUMIFS('LAC 102_Wkst'!$AE$7:$AE$2010,'LAC 102_Wkst'!$E$7:$E$2010,$C57,'LAC 102_Wkst'!$G$7:$G$2010,$D57,'LAC 102_Wkst'!$L$7:$L$2010,"03",'LAC 102_Wkst'!$N$7:$N$2010,"P3")+SUMIFS('LAC 102_Wkst'!$AE$7:$AE$2010,'LAC 102_Wkst'!$E$7:$E$2010,$C57,'LAC 102_Wkst'!$G$7:$G$2010,$D57,'LAC 102_Wkst'!$L$7:$L$2010,"04",'LAC 102_Wkst'!$N$7:$N$2010,"P1")+SUMIFS('LAC 102_Wkst'!$AE$7:$AE$2010,'LAC 102_Wkst'!$E$7:$E$2010,$C57,'LAC 102_Wkst'!$G$7:$G$2010,$D57,'LAC 102_Wkst'!$L$7:$L$2010,"04",'LAC 102_Wkst'!$N$7:$N$2010,"P2")+SUMIFS('LAC 102_Wkst'!$AE$7:$AE$2010,'LAC 102_Wkst'!$E$7:$E$2010,$C57,'LAC 102_Wkst'!$G$7:$G$2010,$D57,'LAC 102_Wkst'!$L$7:$L$2010,"04",'LAC 102_Wkst'!$N$7:$N$2010,"P3")</f>
        <v>0</v>
      </c>
      <c r="N57" s="410">
        <f>SUMIFS('LAC 102_Wkst'!$Q$7:$Q$2010,'LAC 102_Wkst'!$E$7:$E$2010,$C57,'LAC 102_Wkst'!$G$7:$G$2010,$D57,'LAC 102_Wkst'!$L$7:$L$2010,"03",'LAC 102_Wkst'!$N$7:$N$2010,"P4")+SUMIFS('LAC 102_Wkst'!$Q$7:$Q$2010,'LAC 102_Wkst'!$E$7:$E$2010,$C57,'LAC 102_Wkst'!$G$7:$G$2010,$D57,'LAC 102_Wkst'!$L$7:$L$2010,"04",'LAC 102_Wkst'!$N$7:$N$2010,"P4")</f>
        <v>0</v>
      </c>
      <c r="O57" s="411">
        <f>SUMIFS('LAC 102_Wkst'!$AE$7:$AE$2010,'LAC 102_Wkst'!$E$7:$E$2010,$C57,'LAC 102_Wkst'!$G$7:$G$2010,$D57,'LAC 102_Wkst'!$L$7:$L$2010,"03",'LAC 102_Wkst'!$N$7:$N$2010,"P4")+SUMIFS('LAC 102_Wkst'!$AE$7:$AE$2010,'LAC 102_Wkst'!$E$7:$E$2010,$C57,'LAC 102_Wkst'!$G$7:$G$2010,$D57,'LAC 102_Wkst'!$L$7:$L$2010,"04",'LAC 102_Wkst'!$N$7:$N$2010,"P4")</f>
        <v>0</v>
      </c>
      <c r="P57" s="410">
        <f>SUMIFS('LAC 102_Wkst'!$Q$7:$Q$2010,'LAC 102_Wkst'!$E$7:$E$2010,$C57,'LAC 102_Wkst'!$G$7:$G$2010,$D57,'LAC 102_Wkst'!$L$7:$L$2010,"03",'LAC 102_Wkst'!$N$7:$N$2010,"P5")+SUMIFS('LAC 102_Wkst'!$Q$7:$Q$2010,'LAC 102_Wkst'!$E$7:$E$2010,$C57,'LAC 102_Wkst'!$G$7:$G$2010,$D57,'LAC 102_Wkst'!$L$7:$L$2010,"04",'LAC 102_Wkst'!$N$7:$N$2010,"P5")</f>
        <v>0</v>
      </c>
      <c r="Q57" s="411">
        <f>SUMIFS('LAC 102_Wkst'!$AE$7:$AE$2010,'LAC 102_Wkst'!$E$7:$E$2010,$C57,'LAC 102_Wkst'!$G$7:$G$2010,$D57,'LAC 102_Wkst'!$L$7:$L$2010,"03",'LAC 102_Wkst'!$N$7:$N$2010,"P5")+SUMIFS('LAC 102_Wkst'!$AE$7:$AE$2010,'LAC 102_Wkst'!$E$7:$E$2010,$C57,'LAC 102_Wkst'!$G$7:$G$2010,$D57,'LAC 102_Wkst'!$L$7:$L$2010,"04",'LAC 102_Wkst'!$N$7:$N$2010,"P5")</f>
        <v>0</v>
      </c>
      <c r="R57" s="412">
        <f>SUMIFS('LAC 102_Wkst'!$Q$7:$Q$2010,'LAC 102_Wkst'!$E$7:$E$2010,$C57,'LAC 102_Wkst'!$G$7:$G$2010,$D57,'LAC 102_Wkst'!$L$7:$L$2010,"05",'LAC 102_Wkst'!$N$7:$N$2010,"P1")+SUMIFS('LAC 102_Wkst'!$Q$7:$Q$2010,'LAC 102_Wkst'!$E$7:$E$2010,$C57,'LAC 102_Wkst'!$G$7:$G$2010,$D57,'LAC 102_Wkst'!$L$7:$L$2010,"06",'LAC 102_Wkst'!$N$7:$N$2010,"P1")</f>
        <v>0</v>
      </c>
      <c r="S57" s="411">
        <f>SUMIFS('LAC 102_Wkst'!$AE$7:$AE$2010,'LAC 102_Wkst'!$E$7:$E$2010,$C57,'LAC 102_Wkst'!$G$7:$G$2010,$D57,'LAC 102_Wkst'!$L$7:$L$2010,"05",'LAC 102_Wkst'!$N$7:$N$2010,"P1")+SUMIFS('LAC 102_Wkst'!$AE$7:$AE$2010,'LAC 102_Wkst'!$E$7:$E$2010,$C57,'LAC 102_Wkst'!$G$7:$G$2010,$D57,'LAC 102_Wkst'!$L$7:$L$2010,"06",'LAC 102_Wkst'!$N$7:$N$2010,"P1")</f>
        <v>0</v>
      </c>
      <c r="T57" s="410">
        <f>SUMIFS('LAC 102_Wkst'!$Q$7:$Q$2010,'LAC 102_Wkst'!$E$7:$E$2010,$C57,'LAC 102_Wkst'!$G$7:$G$2010,$D57,'LAC 102_Wkst'!$L$7:$L$2010,"05",'LAC 102_Wkst'!$N$7:$N$2010,"P2")+SUMIFS('LAC 102_Wkst'!$Q$7:$Q$2010,'LAC 102_Wkst'!$E$7:$E$2010,$C57,'LAC 102_Wkst'!$G$7:$G$2010,$D57,'LAC 102_Wkst'!$L$7:$L$2010,"05",'LAC 102_Wkst'!$N$7:$N$2010,"P3")+SUMIFS('LAC 102_Wkst'!$Q$7:$Q$2010,'LAC 102_Wkst'!$E$7:$E$2010,$C57,'LAC 102_Wkst'!$G$7:$G$2010,$D57,'LAC 102_Wkst'!$L$7:$L$2010,"06",'LAC 102_Wkst'!$N$7:$N$2010,"P2")+SUMIFS('LAC 102_Wkst'!$Q$7:$Q$2010,'LAC 102_Wkst'!$E$7:$E$2010,$C57,'LAC 102_Wkst'!$G$7:$G$2010,$D57,'LAC 102_Wkst'!$L$7:$L$2010,"06",'LAC 102_Wkst'!$N$7:$N$2010,"P3")</f>
        <v>0</v>
      </c>
      <c r="U57" s="411">
        <f>SUMIFS('LAC 102_Wkst'!$AE$7:$AE$2010,'LAC 102_Wkst'!$E$7:$E$2010,$C57,'LAC 102_Wkst'!$G$7:$G$2010,$D57,'LAC 102_Wkst'!$L$7:$L$2010,"05",'LAC 102_Wkst'!$N$7:$N$2010,"P2")+SUMIFS('LAC 102_Wkst'!$AE$7:$AE$2010,'LAC 102_Wkst'!$E$7:$E$2010,$C57,'LAC 102_Wkst'!$G$7:$G$2010,$D57,'LAC 102_Wkst'!$L$7:$L$2010,"06",'LAC 102_Wkst'!$N$7:$N$2010,"P3")+SUMIFS('LAC 102_Wkst'!$AE$7:$AE$2010,'LAC 102_Wkst'!$E$7:$E$2010,$C57,'LAC 102_Wkst'!$G$7:$G$2010,$D57,'LAC 102_Wkst'!$L$7:$L$2010,"05",'LAC 102_Wkst'!$N$7:$N$2010,"P2")+SUMIFS('LAC 102_Wkst'!$AE$7:$AE$2010,'LAC 102_Wkst'!$E$7:$E$2010,$C57,'LAC 102_Wkst'!$G$7:$G$2010,$D57,'LAC 102_Wkst'!$L$7:$L$2010,"06",'LAC 102_Wkst'!$N$7:$N$2010,"P3")</f>
        <v>0</v>
      </c>
      <c r="V57" s="410">
        <f>SUMIFS('LAC 102_Wkst'!$Q$7:$Q$2010,'LAC 102_Wkst'!$E$7:$E$2010,$C57,'LAC 102_Wkst'!$G$7:$G$2010,$D57,'LAC 102_Wkst'!$L$7:$L$2010,"05",'LAC 102_Wkst'!$N$7:$N$2010,"P4")+SUMIFS('LAC 102_Wkst'!$Q$7:$Q$2010,'LAC 102_Wkst'!$E$7:$E$2010,$C57,'LAC 102_Wkst'!$G$7:$G$2010,$D57,'LAC 102_Wkst'!$L$7:$L$2010,"06",'LAC 102_Wkst'!$N$7:$N$2010,"P4")</f>
        <v>0</v>
      </c>
      <c r="W57" s="411">
        <f>SUMIFS('LAC 102_Wkst'!$AE$7:$AE$2010,'LAC 102_Wkst'!$E$7:$E$2010,$C57,'LAC 102_Wkst'!$G$7:$G$2010,$D57,'LAC 102_Wkst'!$L$7:$L$2010,"05",'LAC 102_Wkst'!$N$7:$N$2010,"P4")+SUMIFS('LAC 102_Wkst'!$AE$7:$AE$2010,'LAC 102_Wkst'!$E$7:$E$2010,$C57,'LAC 102_Wkst'!$G$7:$G$2010,$D57,'LAC 102_Wkst'!$L$7:$L$2010,"06",'LAC 102_Wkst'!$N$7:$N$2010,"P4")</f>
        <v>0</v>
      </c>
      <c r="X57" s="410">
        <f>SUMIFS('LAC 102_Wkst'!$Q$7:$Q$2010,'LAC 102_Wkst'!$E$7:$E$2010,$C57,'LAC 102_Wkst'!$G$7:$G$2010,$D57,'LAC 102_Wkst'!$L$7:$L$2010,"05",'LAC 102_Wkst'!$N$7:$N$2010,"P5")+SUMIFS('LAC 102_Wkst'!$Q$7:$Q$2010,'LAC 102_Wkst'!$E$7:$E$2010,$C57,'LAC 102_Wkst'!$G$7:$G$2010,$D57,'LAC 102_Wkst'!$L$7:$L$2010,"06",'LAC 102_Wkst'!$N$7:$N$2010,"P5")</f>
        <v>0</v>
      </c>
      <c r="Y57" s="411">
        <f>SUMIFS('LAC 102_Wkst'!$AE$7:$AE$2010,'LAC 102_Wkst'!$E$7:$E$2010,$C57,'LAC 102_Wkst'!$G$7:$G$2010,$D57,'LAC 102_Wkst'!$L$7:$L$2010,"05",'LAC 102_Wkst'!$N$7:$N$2010,"P5")+SUMIFS('LAC 102_Wkst'!$AE$7:$AE$2010,'LAC 102_Wkst'!$E$7:$E$2010,$C57,'LAC 102_Wkst'!$G$7:$G$2010,$D57,'LAC 102_Wkst'!$L$7:$L$2010,"06",'LAC 102_Wkst'!$N$7:$N$2010,"P5")</f>
        <v>0</v>
      </c>
      <c r="Z57" s="410">
        <f>SUMIFS('LAC 102_Wkst'!$Q$7:$Q$2010,'LAC 102_Wkst'!$E$7:$E$2010,$C57,'LAC 102_Wkst'!$G$7:$G$2010,$D57,'LAC 102_Wkst'!$L$7:$L$2010,"07",'LAC 102_Wkst'!$N$7:$N$2010,"P1")+SUMIFS('LAC 102_Wkst'!$Q$7:$Q$2010,'LAC 102_Wkst'!$E$7:$E$2010,$C57,'LAC 102_Wkst'!$G$7:$G$2010,$D57,'LAC 102_Wkst'!$L$7:$L$2010,"07",'LAC 102_Wkst'!$N$7:$N$2010,"P2")+SUMIFS('LAC 102_Wkst'!$Q$7:$Q$2010,'LAC 102_Wkst'!$E$7:$E$2010,$C57,'LAC 102_Wkst'!$G$7:$G$2010,$D57,'LAC 102_Wkst'!$L$7:$L$2010,"07",'LAC 102_Wkst'!$N$7:$N$2010,"P3")</f>
        <v>0</v>
      </c>
      <c r="AA57" s="411">
        <f>SUMIFS('LAC 102_Wkst'!$AE$7:$AE$2010,'LAC 102_Wkst'!$E$7:$E$2010,$C57,'LAC 102_Wkst'!$G$7:$G$2010,$D57,'LAC 102_Wkst'!$L$7:$L$2010,"07",'LAC 102_Wkst'!$N$7:$N$2010,"P1")+SUMIFS('LAC 102_Wkst'!$AE$7:$AE$2010,'LAC 102_Wkst'!$E$7:$E$2010,$C57,'LAC 102_Wkst'!$G$7:$G$2010,$D57,'LAC 102_Wkst'!$L$7:$L$2010,"07",'LAC 102_Wkst'!$N$7:$N$2010,"P2")+SUMIFS('LAC 102_Wkst'!$AE$7:$AE$2010,'LAC 102_Wkst'!$E$7:$E$2010,$C57,'LAC 102_Wkst'!$G$7:$G$2010,$D57,'LAC 102_Wkst'!$L$7:$L$2010,"07",'LAC 102_Wkst'!$N$7:$N$2010,"P3")</f>
        <v>0</v>
      </c>
      <c r="AB57" s="410">
        <f>SUMIFS('LAC 102_Wkst'!$Q$7:$Q$2010,'LAC 102_Wkst'!$E$7:$E$2010,$C57,'LAC 102_Wkst'!$G$7:$G$2010,$D57,'LAC 102_Wkst'!$L$7:$L$2010,"07",'LAC 102_Wkst'!$N$7:$N$2010,"P4")</f>
        <v>0</v>
      </c>
      <c r="AC57" s="411">
        <f>SUMIFS('LAC 102_Wkst'!$AE$7:$AE$2010,'LAC 102_Wkst'!$E$7:$E$2010,$C57,'LAC 102_Wkst'!$G$7:$G$2010,$D57,'LAC 102_Wkst'!$L$7:$L$2010,"07",'LAC 102_Wkst'!$N$7:$N$2010,"P4")</f>
        <v>0</v>
      </c>
      <c r="AD57" s="410">
        <f>SUMIFS('LAC 102_Wkst'!$Q$7:$Q$2010,'LAC 102_Wkst'!$E$7:$E$2010,$C57,'LAC 102_Wkst'!$G$7:$G$2010,$D57,'LAC 102_Wkst'!$L$7:$L$2010,"07",'LAC 102_Wkst'!$N$7:$N$2010,"P5")</f>
        <v>0</v>
      </c>
      <c r="AE57" s="411">
        <f>SUMIFS('LAC 102_Wkst'!$AE$7:$AE$2010,'LAC 102_Wkst'!$E$7:$E$2010,$C57,'LAC 102_Wkst'!$G$7:$G$2010,$D57,'LAC 102_Wkst'!$L$7:$L$2010,"07",'LAC 102_Wkst'!$N$7:$N$2010,"P5")</f>
        <v>0</v>
      </c>
      <c r="AF57" s="410">
        <f>SUMIFS('LAC 102_Wkst'!$Q$7:$Q$2010,'LAC 102_Wkst'!$E$7:$E$2010,$C57,'LAC 102_Wkst'!$G$7:$G$2010,$D57,'LAC 102_Wkst'!$L$7:$L$2010,"08",'LAC 102_Wkst'!$N$7:$N$2010,"P1")+SUMIFS('LAC 102_Wkst'!$Q$7:$Q$2010,'LAC 102_Wkst'!$E$7:$E$2010,$C57,'LAC 102_Wkst'!$G$7:$G$2010,$D57,'LAC 102_Wkst'!$L$7:$L$2010,"08",'LAC 102_Wkst'!$N$7:$N$2010,"P2")+SUMIFS('LAC 102_Wkst'!$Q$7:$Q$2010,'LAC 102_Wkst'!$E$7:$E$2010,$C57,'LAC 102_Wkst'!$G$7:$G$2010,$D57,'LAC 102_Wkst'!$L$7:$L$2010,"08",'LAC 102_Wkst'!$N$7:$N$2010,"P3")</f>
        <v>0</v>
      </c>
      <c r="AG57" s="411">
        <f>SUMIFS('LAC 102_Wkst'!$AE$7:$AE$2010,'LAC 102_Wkst'!$E$7:$E$2010,$C57,'LAC 102_Wkst'!$G$7:$G$2010,$D57,'LAC 102_Wkst'!$L$7:$L$2010,"08",'LAC 102_Wkst'!$N$7:$N$2010,"P1")+SUMIFS('LAC 102_Wkst'!$AE$7:$AE$2010,'LAC 102_Wkst'!$E$7:$E$2010,$C57,'LAC 102_Wkst'!$G$7:$G$2010,$D57,'LAC 102_Wkst'!$L$7:$L$2010,"08",'LAC 102_Wkst'!$N$7:$N$2010,"P2")+SUMIFS('LAC 102_Wkst'!$AE$7:$AE$2010,'LAC 102_Wkst'!$E$7:$E$2010,$C57,'LAC 102_Wkst'!$G$7:$G$2010,$D57,'LAC 102_Wkst'!$L$7:$L$2010,"08",'LAC 102_Wkst'!$N$7:$N$2010,"P3")</f>
        <v>0</v>
      </c>
      <c r="AH57" s="410">
        <f>SUMIFS('LAC 102_Wkst'!$Q$7:$Q$2010,'LAC 102_Wkst'!$E$7:$E$2010,$C57,'LAC 102_Wkst'!$G$7:$G$2010,$D57,'LAC 102_Wkst'!$L$7:$L$2010,"08",'LAC 102_Wkst'!$N$7:$N$2010,"P4")</f>
        <v>0</v>
      </c>
      <c r="AI57" s="411">
        <f>SUMIFS('LAC 102_Wkst'!$AE$7:$AE$2010,'LAC 102_Wkst'!$E$7:$E$2010,$C57,'LAC 102_Wkst'!$G$7:$G$2010,$D57,'LAC 102_Wkst'!$L$7:$L$2010,"08",'LAC 102_Wkst'!$N$7:$N$2010,"P4")</f>
        <v>0</v>
      </c>
      <c r="AJ57" s="410">
        <f>SUMIFS('LAC 102_Wkst'!$Q$7:$Q$2010,'LAC 102_Wkst'!$E$7:$E$2010,$C57,'LAC 102_Wkst'!$G$7:$G$2010,$D57,'LAC 102_Wkst'!$L$7:$L$2010,"08",'LAC 102_Wkst'!$N$7:$N$2010,"P5")</f>
        <v>0</v>
      </c>
      <c r="AK57" s="411">
        <f>SUMIFS('LAC 102_Wkst'!$AE$7:$AE$2010,'LAC 102_Wkst'!$E$7:$E$2010,$C57,'LAC 102_Wkst'!$G$7:$G$2010,$D57,'LAC 102_Wkst'!$L$7:$L$2010,"08",'LAC 102_Wkst'!$N$7:$N$2010,"P5")</f>
        <v>0</v>
      </c>
      <c r="AL57" s="410">
        <f>SUMIFS('LAC 102_Wkst'!$Q$7:$Q$2010,'LAC 102_Wkst'!$E$7:$E$2010,$C57,'LAC 102_Wkst'!$G$7:$G$2010,$D57,'LAC 102_Wkst'!$L$7:$L$2010,"09",'LAC 102_Wkst'!$N$7:$N$2010,"P1")+SUMIFS('LAC 102_Wkst'!$Q$7:$Q$2010,'LAC 102_Wkst'!$E$7:$E$2010,$C57,'LAC 102_Wkst'!$G$7:$G$2010,$D57,'LAC 102_Wkst'!$L$7:$L$2010,"09",'LAC 102_Wkst'!$N$7:$N$2010,"P2")+SUMIFS('LAC 102_Wkst'!$Q$7:$Q$2010,'LAC 102_Wkst'!$E$7:$E$2010,$C57,'LAC 102_Wkst'!$G$7:$G$2010,$D57,'LAC 102_Wkst'!$L$7:$L$2010,"09",'LAC 102_Wkst'!$N$7:$N$2010,"P3")+SUMIFS('LAC 102_Wkst'!$Q$7:$Q$2010,'LAC 102_Wkst'!$E$7:$E$2010,$C57,'LAC 102_Wkst'!$G$7:$G$2010,$D57,'LAC 102_Wkst'!$L$7:$L$2010,"09",'LAC 102_Wkst'!$N$7:$N$2010,"P4")</f>
        <v>0</v>
      </c>
      <c r="AM57" s="411">
        <f>SUMIFS('LAC 102_Wkst'!$AE$7:$AE$2010,'LAC 102_Wkst'!$E$7:$E$2010,$C57,'LAC 102_Wkst'!$G$7:$G$2010,$D57,'LAC 102_Wkst'!$L$7:$L$2010,"09",'LAC 102_Wkst'!$N$7:$N$2010,"P1")+SUMIFS('LAC 102_Wkst'!$AE$7:$AE$2010,'LAC 102_Wkst'!$E$7:$E$2010,$C57,'LAC 102_Wkst'!$G$7:$G$2010,$D57,'LAC 102_Wkst'!$L$7:$L$2010,"09",'LAC 102_Wkst'!$N$7:$N$2010,"P2")+SUMIFS('LAC 102_Wkst'!$AE$7:$AE$2010,'LAC 102_Wkst'!$E$7:$E$2010,$C57,'LAC 102_Wkst'!$G$7:$G$2010,$D57,'LAC 102_Wkst'!$L$7:$L$2010,"09",'LAC 102_Wkst'!$N$7:$N$2010,"P3")+SUMIFS('LAC 102_Wkst'!$AE$7:$AE$2010,'LAC 102_Wkst'!$E$7:$E$2010,$C57,'LAC 102_Wkst'!$G$7:$G$2010,$D57,'LAC 102_Wkst'!$L$7:$L$2010,"09",'LAC 102_Wkst'!$N$7:$N$2010,"P4")</f>
        <v>0</v>
      </c>
      <c r="AN57" s="410">
        <f>SUMIFS('LAC 102_Wkst'!$Q$7:$Q$2010,'LAC 102_Wkst'!$E$7:$E$2010,$C57,'LAC 102_Wkst'!$G$7:$G$2010,$D57,'LAC 102_Wkst'!$L$7:$L$2010,"09",'LAC 102_Wkst'!$N$7:$N$2010,"P5")</f>
        <v>0</v>
      </c>
      <c r="AO57" s="411">
        <f>SUMIFS('LAC 102_Wkst'!$AE$7:$AE$2010,'LAC 102_Wkst'!$E$7:$E$2010,$C57,'LAC 102_Wkst'!$G$7:$G$2010,$D57,'LAC 102_Wkst'!$L$7:$L$2010,"09",'LAC 102_Wkst'!$N$7:$N$2010,"P5")</f>
        <v>0</v>
      </c>
      <c r="AP57" s="410">
        <f>SUMIFS('LAC 102_Wkst'!$Q$7:$Q$2010,'LAC 102_Wkst'!$E$7:$E$2010,$C57,'LAC 102_Wkst'!$G$7:$G$2010,$D57,'LAC 102_Wkst'!$L$7:$L$2010,"10",'LAC 102_Wkst'!$N$7:$N$2010,"P1")+SUMIFS('LAC 102_Wkst'!$Q$7:$Q$2010,'LAC 102_Wkst'!$E$7:$E$2010,$C57,'LAC 102_Wkst'!$G$7:$G$2010,$D57,'LAC 102_Wkst'!$L$7:$L$2010,"10",'LAC 102_Wkst'!$N$7:$N$2010,"P2")+SUMIFS('LAC 102_Wkst'!$Q$7:$Q$2010,'LAC 102_Wkst'!$E$7:$E$2010,$C57,'LAC 102_Wkst'!$G$7:$G$2010,$D57,'LAC 102_Wkst'!$L$7:$L$2010,"10",'LAC 102_Wkst'!$N$7:$N$2010,"P3")+SUMIFS('LAC 102_Wkst'!$Q$7:$Q$2010,'LAC 102_Wkst'!$E$7:$E$2010,$C57,'LAC 102_Wkst'!$G$7:$G$2010,$D57,'LAC 102_Wkst'!$L$7:$L$2010,"10",'LAC 102_Wkst'!$N$7:$N$2010,"P4")</f>
        <v>0</v>
      </c>
      <c r="AQ57" s="411">
        <f>SUMIFS('LAC 102_Wkst'!$AE$7:$AE$2010,'LAC 102_Wkst'!$E$7:$E$2010,$C57,'LAC 102_Wkst'!$G$7:$G$2010,$D57,'LAC 102_Wkst'!$L$7:$L$2010,"10",'LAC 102_Wkst'!$N$7:$N$2010,"P1")+SUMIFS('LAC 102_Wkst'!$AE$7:$AE$2010,'LAC 102_Wkst'!$E$7:$E$2010,$C57,'LAC 102_Wkst'!$G$7:$G$2010,$D57,'LAC 102_Wkst'!$L$7:$L$2010,"10",'LAC 102_Wkst'!$N$7:$N$2010,"P2")+SUMIFS('LAC 102_Wkst'!$AE$7:$AE$2010,'LAC 102_Wkst'!$E$7:$E$2010,$C57,'LAC 102_Wkst'!$G$7:$G$2010,$D57,'LAC 102_Wkst'!$L$7:$L$2010,"10",'LAC 102_Wkst'!$N$7:$N$2010,"P3")+SUMIFS('LAC 102_Wkst'!$AE$7:$AE$2010,'LAC 102_Wkst'!$E$7:$E$2010,$C57,'LAC 102_Wkst'!$G$7:$G$2010,$D57,'LAC 102_Wkst'!$L$7:$L$2010,"10",'LAC 102_Wkst'!$N$7:$N$2010,"P4")</f>
        <v>0</v>
      </c>
      <c r="AR57" s="410">
        <f>SUMIFS('LAC 102_Wkst'!$Q$7:$Q$2010,'LAC 102_Wkst'!$E$7:$E$2010,$C57,'LAC 102_Wkst'!$G$7:$G$2010,$D57,'LAC 102_Wkst'!$L$7:$L$2010,"10",'LAC 102_Wkst'!$N$7:$N$2010,"P5")</f>
        <v>0</v>
      </c>
      <c r="AS57" s="411">
        <f>SUMIFS('LAC 102_Wkst'!$AE$7:$AE$2010,'LAC 102_Wkst'!$E$7:$E$2010,$C57,'LAC 102_Wkst'!$G$7:$G$2010,$D57,'LAC 102_Wkst'!$L$7:$L$2010,"10",'LAC 102_Wkst'!$N$7:$N$2010,"P5")</f>
        <v>0</v>
      </c>
      <c r="AT57" s="410">
        <f>SUMIFS('LAC 102_Wkst'!$Q$7:$Q$2010,'LAC 102_Wkst'!$E$7:$E$2010,$C57,'LAC 102_Wkst'!$G$7:$G$2010,$D57,'LAC 102_Wkst'!$L$7:$L$2010,"11",'LAC 102_Wkst'!$N$7:$N$2010,"P1")+SUMIFS('LAC 102_Wkst'!$Q$7:$Q$2010,'LAC 102_Wkst'!$E$7:$E$2010,$C57,'LAC 102_Wkst'!$G$7:$G$2010,$D57,'LAC 102_Wkst'!$L$7:$L$2010,"12",'LAC 102_Wkst'!$N$7:$N$2010,"P1")</f>
        <v>0</v>
      </c>
      <c r="AU57" s="411">
        <f>SUMIFS('LAC 102_Wkst'!$AE$7:$AE$2010,'LAC 102_Wkst'!$E$7:$E$2010,$C57,'LAC 102_Wkst'!$G$7:$G$2010,$D57,'LAC 102_Wkst'!$L$7:$L$2010,"11",'LAC 102_Wkst'!$N$7:$N$2010,"P1")+SUMIFS('LAC 102_Wkst'!$AE$7:$AE$2010,'LAC 102_Wkst'!$E$7:$E$2010,$C57,'LAC 102_Wkst'!$G$7:$G$2010,$D57,'LAC 102_Wkst'!$L$7:$L$2010,"12",'LAC 102_Wkst'!$N$7:$N$2010,"P1")</f>
        <v>0</v>
      </c>
      <c r="AV57" s="410">
        <f>SUMIFS('LAC 102_Wkst'!$Q$7:$Q$2010,'LAC 102_Wkst'!$E$7:$E$2010,$C57,'LAC 102_Wkst'!$G$7:$G$2010,$D57,'LAC 102_Wkst'!$L$7:$L$2010,"11",'LAC 102_Wkst'!$N$7:$N$2010,"P2")+SUMIFS('LAC 102_Wkst'!$Q$7:$Q$2010,'LAC 102_Wkst'!$E$7:$E$2010,$C57,'LAC 102_Wkst'!$G$7:$G$2010,$D57,'LAC 102_Wkst'!$L$7:$L$2010,"12",'LAC 102_Wkst'!$N$7:$N$2010,"P3")+SUMIFS('LAC 102_Wkst'!$Q$7:$Q$2010,'LAC 102_Wkst'!$E$7:$E$2010,$C57,'LAC 102_Wkst'!$G$7:$G$2010,$D57,'LAC 102_Wkst'!$L$7:$L$2010,"11",'LAC 102_Wkst'!$N$7:$N$2010,"P2")+SUMIFS('LAC 102_Wkst'!$Q$7:$Q$2010,'LAC 102_Wkst'!$E$7:$E$2010,$C57,'LAC 102_Wkst'!$G$7:$G$2010,$D57,'LAC 102_Wkst'!$L$7:$L$2010,"12",'LAC 102_Wkst'!$N$7:$N$2010,"P3")</f>
        <v>0</v>
      </c>
      <c r="AW57" s="411">
        <f>SUMIFS('LAC 102_Wkst'!$AE$7:$AE$2010,'LAC 102_Wkst'!$E$7:$E$2010,$C57,'LAC 102_Wkst'!$G$7:$G$2010,$D57,'LAC 102_Wkst'!$L$7:$L$2010,"11",'LAC 102_Wkst'!$N$7:$N$2010,"P2")+SUMIFS('LAC 102_Wkst'!$AE$7:$AE$2010,'LAC 102_Wkst'!$E$7:$E$2010,$C57,'LAC 102_Wkst'!$G$7:$G$2010,$D57,'LAC 102_Wkst'!$L$7:$L$2010,"12",'LAC 102_Wkst'!$N$7:$N$2010,"P3")+SUMIFS('LAC 102_Wkst'!$AE$7:$AE$2010,'LAC 102_Wkst'!$E$7:$E$2010,$C57,'LAC 102_Wkst'!$G$7:$G$2010,$D57,'LAC 102_Wkst'!$L$7:$L$2010,"11",'LAC 102_Wkst'!$N$7:$N$2010,"P2")+SUMIFS('LAC 102_Wkst'!$AE$7:$AE$2010,'LAC 102_Wkst'!$E$7:$E$2010,$C57,'LAC 102_Wkst'!$G$7:$G$2010,$D57,'LAC 102_Wkst'!$L$7:$L$2010,"12",'LAC 102_Wkst'!$N$7:$N$2010,"P3")</f>
        <v>0</v>
      </c>
      <c r="AX57" s="410">
        <f>SUMIFS('LAC 102_Wkst'!$Q$7:$Q$2010,'LAC 102_Wkst'!$E$7:$E$2010,$C57,'LAC 102_Wkst'!$G$7:$G$2010,$D57,'LAC 102_Wkst'!$L$7:$L$2010,"11",'LAC 102_Wkst'!$N$7:$N$2010,"P4")+SUMIFS('LAC 102_Wkst'!$Q$7:$Q$2010,'LAC 102_Wkst'!$E$7:$E$2010,$C57,'LAC 102_Wkst'!$G$7:$G$2010,$D57,'LAC 102_Wkst'!$L$7:$L$2010,"12",'LAC 102_Wkst'!$N$7:$N$2010,"P4")</f>
        <v>0</v>
      </c>
      <c r="AY57" s="411">
        <f>SUMIFS('LAC 102_Wkst'!$AE$7:$AE$2010,'LAC 102_Wkst'!$E$7:$E$2010,$C57,'LAC 102_Wkst'!$G$7:$G$2010,$D57,'LAC 102_Wkst'!$L$7:$L$2010,"11",'LAC 102_Wkst'!$N$7:$N$2010,"P4")+SUMIFS('LAC 102_Wkst'!$AE$7:$AE$2010,'LAC 102_Wkst'!$E$7:$E$2010,$C57,'LAC 102_Wkst'!$G$7:$G$2010,$D57,'LAC 102_Wkst'!$L$7:$L$2010,"12",'LAC 102_Wkst'!$N$7:$N$2010,"P4")</f>
        <v>0</v>
      </c>
      <c r="AZ57" s="410">
        <f>SUMIFS('LAC 102_Wkst'!$Q$7:$Q$2010,'LAC 102_Wkst'!$E$7:$E$2010,$C57,'LAC 102_Wkst'!$G$7:$G$2010,$D57,'LAC 102_Wkst'!$L$7:$L$2010,"11",'LAC 102_Wkst'!$N$7:$N$2010,"P5")+SUMIFS('LAC 102_Wkst'!$Q$7:$Q$2010,'LAC 102_Wkst'!$E$7:$E$2010,$C57,'LAC 102_Wkst'!$G$7:$G$2010,$D57,'LAC 102_Wkst'!$L$7:$L$2010,"12",'LAC 102_Wkst'!$N$7:$N$2010,"P5")</f>
        <v>0</v>
      </c>
      <c r="BA57" s="411">
        <f>SUMIFS('LAC 102_Wkst'!$AE$7:$AE$2010,'LAC 102_Wkst'!$E$7:$E$2010,$C57,'LAC 102_Wkst'!$G$7:$G$2010,$D57,'LAC 102_Wkst'!$L$7:$L$2010,"11",'LAC 102_Wkst'!$N$7:$N$2010,"P5")+SUMIFS('LAC 102_Wkst'!$AE$7:$AE$2010,'LAC 102_Wkst'!$E$7:$E$2010,$C57,'LAC 102_Wkst'!$G$7:$G$2010,$D57,'LAC 102_Wkst'!$L$7:$L$2010,"12",'LAC 102_Wkst'!$N$7:$N$2010,"P5")</f>
        <v>0</v>
      </c>
      <c r="BB57" s="410">
        <f>SUMIFS('LAC 102_Wkst'!$Q$7:$Q$2010,'LAC 102_Wkst'!$E$7:$E$2010,$C57,'LAC 102_Wkst'!$G$7:$G$2010,$D57,'LAC 102_Wkst'!$L$7:$L$2010,"13",'LAC 102_Wkst'!$N$7:$N$2010,"P1")+SUMIFS('LAC 102_Wkst'!$Q$7:$Q$2010,'LAC 102_Wkst'!$E$7:$E$2010,$C57,'LAC 102_Wkst'!$G$7:$G$2010,$D57,'LAC 102_Wkst'!$L$7:$L$2010,"13",'LAC 102_Wkst'!$N$7:$N$2010,"P2")+SUMIFS('LAC 102_Wkst'!$Q$7:$Q$2010,'LAC 102_Wkst'!$E$7:$E$2010,$C57,'LAC 102_Wkst'!$G$7:$G$2010,$D57,'LAC 102_Wkst'!$L$7:$L$2010,"13",'LAC 102_Wkst'!$N$7:$N$2010,"P3")+SUMIFS('LAC 102_Wkst'!$Q$7:$Q$2010,'LAC 102_Wkst'!$E$7:$E$2010,$C57,'LAC 102_Wkst'!$G$7:$G$2010,$D57,'LAC 102_Wkst'!$L$7:$L$2010,"13",'LAC 102_Wkst'!$N$7:$N$2010,"P4")</f>
        <v>0</v>
      </c>
      <c r="BC57" s="411">
        <f>SUMIFS('LAC 102_Wkst'!$AE$7:$AE$2010,'LAC 102_Wkst'!$E$7:$E$2010,$C57,'LAC 102_Wkst'!$G$7:$G$2010,$D57,'LAC 102_Wkst'!$L$7:$L$2010,"13",'LAC 102_Wkst'!$N$7:$N$2010,"P1")+SUMIFS('LAC 102_Wkst'!$AE$7:$AE$2010,'LAC 102_Wkst'!$E$7:$E$2010,$C57,'LAC 102_Wkst'!$G$7:$G$2010,$D57,'LAC 102_Wkst'!$L$7:$L$2010,"13",'LAC 102_Wkst'!$N$7:$N$2010,"P2")+SUMIFS('LAC 102_Wkst'!$AE$7:$AE$2010,'LAC 102_Wkst'!$E$7:$E$2010,$C57,'LAC 102_Wkst'!$G$7:$G$2010,$D57,'LAC 102_Wkst'!$L$7:$L$2010,"13",'LAC 102_Wkst'!$N$7:$N$2010,"P3")+SUMIFS('LAC 102_Wkst'!$AE$7:$AE$2010,'LAC 102_Wkst'!$E$7:$E$2010,$C57,'LAC 102_Wkst'!$G$7:$G$2010,$D57,'LAC 102_Wkst'!$L$7:$L$2010,"13",'LAC 102_Wkst'!$N$7:$N$2010,"P4")</f>
        <v>0</v>
      </c>
      <c r="BD57" s="410">
        <f>SUMIFS('LAC 102_Wkst'!$Q$7:$Q$2010,'LAC 102_Wkst'!$E$7:$E$2010,$C57,'LAC 102_Wkst'!$G$7:$G$2010,$D57,'LAC 102_Wkst'!$L$7:$L$2010,"13",'LAC 102_Wkst'!$N$7:$N$2010,"P5")</f>
        <v>0</v>
      </c>
      <c r="BE57" s="411">
        <f>SUMIFS('LAC 102_Wkst'!$AE$7:$AE$2010,'LAC 102_Wkst'!$E$7:$E$2010,$C57,'LAC 102_Wkst'!$G$7:$G$2010,$D57,'LAC 102_Wkst'!$L$7:$L$2010,"13",'LAC 102_Wkst'!$N$7:$N$2010,"P5")</f>
        <v>0</v>
      </c>
      <c r="BF57" s="407">
        <f t="shared" si="0"/>
        <v>0</v>
      </c>
    </row>
    <row r="58" spans="1:58" x14ac:dyDescent="0.2">
      <c r="A58" s="401">
        <v>39</v>
      </c>
      <c r="B58" s="1236"/>
      <c r="C58" s="1235"/>
      <c r="D58" s="1237"/>
      <c r="E58" s="1222">
        <f>IF(CONCATENATE(C58,D58)&gt;"6069",1,SUMIFS('LAC 102_Wkst'!$Q$7:$Q$2010,'LAC 102_Wkst'!$E$7:$E$2010,Schedule_B!$C58,'LAC 102_Wkst'!$G$7:$G$2010,Schedule_B!$D58))</f>
        <v>0</v>
      </c>
      <c r="F58" s="408">
        <f>SUMIFS('LAC 102_Wkst'!$Q$7:$Q$2010,'LAC 102_Wkst'!$E$7:$E$2010,$C58,'LAC 102_Wkst'!$G$7:$G$2010,$D58,'LAC 102_Wkst'!$L$7:$L$2010,"01",'LAC 102_Wkst'!$N$7:$N$2010,"P1")+SUMIFS('LAC 102_Wkst'!$Q$7:$Q$2010,'LAC 102_Wkst'!$E$7:$E$2010,$C58,'LAC 102_Wkst'!$G$7:$G$2010,$D58,'LAC 102_Wkst'!$L$7:$L$2010,"01",'LAC 102_Wkst'!$N$7:$N$2010,"P2")+SUMIFS('LAC 102_Wkst'!$Q$7:$Q$2010,'LAC 102_Wkst'!$E$7:$E$2010,$C58,'LAC 102_Wkst'!$G$7:$G$2010,$D58,'LAC 102_Wkst'!$L$7:$L$2010,"01",'LAC 102_Wkst'!$N$7:$N$2010,"P3")+SUMIFS('LAC 102_Wkst'!$Q$7:$Q$2010,'LAC 102_Wkst'!$E$7:$E$2010,$C58,'LAC 102_Wkst'!$G$7:$G$2010,$D58,'LAC 102_Wkst'!$L$7:$L$2010,"02",'LAC 102_Wkst'!$N$7:$N$2010,"P1")+SUMIFS('LAC 102_Wkst'!$Q$7:$Q$2010,'LAC 102_Wkst'!$E$7:$E$2010,$C58,'LAC 102_Wkst'!$G$7:$G$2010,$D58,'LAC 102_Wkst'!$L$7:$L$2010,"02",'LAC 102_Wkst'!$N$7:$N$2010,"P2")+SUMIFS('LAC 102_Wkst'!$Q$7:$Q$2010,'LAC 102_Wkst'!$E$7:$E$2010,$C58,'LAC 102_Wkst'!$G$7:$G$2010,$D58,'LAC 102_Wkst'!$L$7:$L$2010,"02",'LAC 102_Wkst'!$N$7:$N$2010,"P3")</f>
        <v>0</v>
      </c>
      <c r="G58" s="409">
        <f>SUMIFS('LAC 102_Wkst'!$AE$7:$AE$2010,'LAC 102_Wkst'!$E$7:$E$2010,$C58,'LAC 102_Wkst'!$G$7:$G$2010,$D58,'LAC 102_Wkst'!$L$7:$L$2010,"01",'LAC 102_Wkst'!$N$7:$N$2010,"P1")+SUMIFS('LAC 102_Wkst'!$AE$7:$AE$2010,'LAC 102_Wkst'!$E$7:$E$2010,$C58,'LAC 102_Wkst'!$G$7:$G$2010,$D58,'LAC 102_Wkst'!$L$7:$L$2010,"01",'LAC 102_Wkst'!$N$7:$N$2010,"P2")+SUMIFS('LAC 102_Wkst'!$AE$7:$AE$2010,'LAC 102_Wkst'!$E$7:$E$2010,$C58,'LAC 102_Wkst'!$G$7:$G$2010,$D58,'LAC 102_Wkst'!$L$7:$L$2010,"01",'LAC 102_Wkst'!$N$7:$N$2010,"P3")+SUMIFS('LAC 102_Wkst'!$AE$7:$AE$2010,'LAC 102_Wkst'!$E$7:$E$2010,$C58,'LAC 102_Wkst'!$G$7:$G$2010,$D58,'LAC 102_Wkst'!$L$7:$L$2010,"02",'LAC 102_Wkst'!$N$7:$N$2010,"P1")+SUMIFS('LAC 102_Wkst'!$AE$7:$AE$2010,'LAC 102_Wkst'!$E$7:$E$2010,$C58,'LAC 102_Wkst'!$G$7:$G$2010,$D58,'LAC 102_Wkst'!$L$7:$L$2010,"02",'LAC 102_Wkst'!$N$7:$N$2010,"P2")+SUMIFS('LAC 102_Wkst'!$AE$7:$AE$2010,'LAC 102_Wkst'!$E$7:$E$2010,$C58,'LAC 102_Wkst'!$G$7:$G$2010,$D58,'LAC 102_Wkst'!$L$7:$L$2010,"02",'LAC 102_Wkst'!$N$7:$N$2010,"P3")</f>
        <v>0</v>
      </c>
      <c r="H58" s="410">
        <f>SUMIFS('LAC 102_Wkst'!$Q$7:$Q$2010,'LAC 102_Wkst'!$E$7:$E$2010,$C58,'LAC 102_Wkst'!$G$7:$G$2010,$D58,'LAC 102_Wkst'!$L$7:$L$2010,"01",'LAC 102_Wkst'!$N$7:$N$2010,"P4")+SUMIFS('LAC 102_Wkst'!$Q$7:$Q$2010,'LAC 102_Wkst'!$E$7:$E$2010,$C58,'LAC 102_Wkst'!$G$7:$G$2010,$D58,'LAC 102_Wkst'!$L$7:$L$2010,"02",'LAC 102_Wkst'!$N$7:$N$2010,"P4")</f>
        <v>0</v>
      </c>
      <c r="I58" s="411">
        <f>SUMIFS('LAC 102_Wkst'!$AE$7:$AE$2010,'LAC 102_Wkst'!$E$7:$E$2010,$C58,'LAC 102_Wkst'!$G$7:$G$2010,$D58,'LAC 102_Wkst'!$L$7:$L$2010,"01",'LAC 102_Wkst'!$N$7:$N$2010,"P4")+SUMIFS('LAC 102_Wkst'!$AE$7:$AE$2010,'LAC 102_Wkst'!$E$7:$E$2010,$C58,'LAC 102_Wkst'!$G$7:$G$2010,$D58,'LAC 102_Wkst'!$L$7:$L$2010,"02",'LAC 102_Wkst'!$N$7:$N$2010,"P4")</f>
        <v>0</v>
      </c>
      <c r="J58" s="410">
        <f>SUMIFS('LAC 102_Wkst'!$Q$7:$Q$2010,'LAC 102_Wkst'!$E$7:$E$2010,$C58,'LAC 102_Wkst'!$G$7:$G$2010,$D58,'LAC 102_Wkst'!$L$7:$L$2010,"01",'LAC 102_Wkst'!$N$7:$N$2010,"P5")+SUMIFS('LAC 102_Wkst'!$Q$7:$Q$2010,'LAC 102_Wkst'!$E$7:$E$2010,$C58,'LAC 102_Wkst'!$G$7:$G$2010,$D58,'LAC 102_Wkst'!$L$7:$L$2010,"02",'LAC 102_Wkst'!$N$7:$N$2010,"P5")</f>
        <v>0</v>
      </c>
      <c r="K58" s="411">
        <f>SUMIFS('LAC 102_Wkst'!$AE$7:$AE$2010,'LAC 102_Wkst'!$E$7:$E$2010,$C58,'LAC 102_Wkst'!$G$7:$G$2010,$D58,'LAC 102_Wkst'!$L$7:$L$2010,"01",'LAC 102_Wkst'!$N$7:$N$2010,"P5")+SUMIFS('LAC 102_Wkst'!$AE$7:$AE$2010,'LAC 102_Wkst'!$E$7:$E$2010,$C58,'LAC 102_Wkst'!$G$7:$G$2010,$D58,'LAC 102_Wkst'!$L$7:$L$2010,"02",'LAC 102_Wkst'!$N$7:$N$2010,"P5")</f>
        <v>0</v>
      </c>
      <c r="L58" s="410">
        <f>SUMIFS('LAC 102_Wkst'!$Q$7:$Q$2010,'LAC 102_Wkst'!$E$7:$E$2010,$C58,'LAC 102_Wkst'!$G$7:$G$2010,$D58,'LAC 102_Wkst'!$L$7:$L$2010,"03",'LAC 102_Wkst'!$N$7:$N$2010,"P1")+SUMIFS('LAC 102_Wkst'!$Q$7:$Q$2010,'LAC 102_Wkst'!$E$7:$E$2010,$C58,'LAC 102_Wkst'!$G$7:$G$2010,$D58,'LAC 102_Wkst'!$L$7:$L$2010,"03",'LAC 102_Wkst'!$N$7:$N$2010,"P2")+SUMIFS('LAC 102_Wkst'!$Q$7:$Q$2010,'LAC 102_Wkst'!$E$7:$E$2010,$C58,'LAC 102_Wkst'!$G$7:$G$2010,$D58,'LAC 102_Wkst'!$L$7:$L$2010,"03",'LAC 102_Wkst'!$N$7:$N$2010,"P3")+SUMIFS('LAC 102_Wkst'!$Q$7:$Q$2010,'LAC 102_Wkst'!$E$7:$E$2010,$C58,'LAC 102_Wkst'!$G$7:$G$2010,$D58,'LAC 102_Wkst'!$L$7:$L$2010,"04",'LAC 102_Wkst'!$N$7:$N$2010,"P1")+SUMIFS('LAC 102_Wkst'!$Q$7:$Q$2010,'LAC 102_Wkst'!$E$7:$E$2010,$C58,'LAC 102_Wkst'!$G$7:$G$2010,$D58,'LAC 102_Wkst'!$L$7:$L$2010,"04",'LAC 102_Wkst'!$N$7:$N$2010,"P2")+SUMIFS('LAC 102_Wkst'!$Q$7:$Q$2010,'LAC 102_Wkst'!$E$7:$E$2010,$C58,'LAC 102_Wkst'!$G$7:$G$2010,$D58,'LAC 102_Wkst'!$L$7:$L$2010,"04",'LAC 102_Wkst'!$N$7:$N$2010,"P3")</f>
        <v>0</v>
      </c>
      <c r="M58" s="411">
        <f>SUMIFS('LAC 102_Wkst'!$AE$7:$AE$2010,'LAC 102_Wkst'!$E$7:$E$2010,$C58,'LAC 102_Wkst'!$G$7:$G$2010,$D58,'LAC 102_Wkst'!$L$7:$L$2010,"03",'LAC 102_Wkst'!$N$7:$N$2010,"P1")+SUMIFS('LAC 102_Wkst'!$AE$7:$AE$2010,'LAC 102_Wkst'!$E$7:$E$2010,$C58,'LAC 102_Wkst'!$G$7:$G$2010,$D58,'LAC 102_Wkst'!$L$7:$L$2010,"03",'LAC 102_Wkst'!$N$7:$N$2010,"P2")+SUMIFS('LAC 102_Wkst'!$AE$7:$AE$2010,'LAC 102_Wkst'!$E$7:$E$2010,$C58,'LAC 102_Wkst'!$G$7:$G$2010,$D58,'LAC 102_Wkst'!$L$7:$L$2010,"03",'LAC 102_Wkst'!$N$7:$N$2010,"P3")+SUMIFS('LAC 102_Wkst'!$AE$7:$AE$2010,'LAC 102_Wkst'!$E$7:$E$2010,$C58,'LAC 102_Wkst'!$G$7:$G$2010,$D58,'LAC 102_Wkst'!$L$7:$L$2010,"04",'LAC 102_Wkst'!$N$7:$N$2010,"P1")+SUMIFS('LAC 102_Wkst'!$AE$7:$AE$2010,'LAC 102_Wkst'!$E$7:$E$2010,$C58,'LAC 102_Wkst'!$G$7:$G$2010,$D58,'LAC 102_Wkst'!$L$7:$L$2010,"04",'LAC 102_Wkst'!$N$7:$N$2010,"P2")+SUMIFS('LAC 102_Wkst'!$AE$7:$AE$2010,'LAC 102_Wkst'!$E$7:$E$2010,$C58,'LAC 102_Wkst'!$G$7:$G$2010,$D58,'LAC 102_Wkst'!$L$7:$L$2010,"04",'LAC 102_Wkst'!$N$7:$N$2010,"P3")</f>
        <v>0</v>
      </c>
      <c r="N58" s="410">
        <f>SUMIFS('LAC 102_Wkst'!$Q$7:$Q$2010,'LAC 102_Wkst'!$E$7:$E$2010,$C58,'LAC 102_Wkst'!$G$7:$G$2010,$D58,'LAC 102_Wkst'!$L$7:$L$2010,"03",'LAC 102_Wkst'!$N$7:$N$2010,"P4")+SUMIFS('LAC 102_Wkst'!$Q$7:$Q$2010,'LAC 102_Wkst'!$E$7:$E$2010,$C58,'LAC 102_Wkst'!$G$7:$G$2010,$D58,'LAC 102_Wkst'!$L$7:$L$2010,"04",'LAC 102_Wkst'!$N$7:$N$2010,"P4")</f>
        <v>0</v>
      </c>
      <c r="O58" s="411">
        <f>SUMIFS('LAC 102_Wkst'!$AE$7:$AE$2010,'LAC 102_Wkst'!$E$7:$E$2010,$C58,'LAC 102_Wkst'!$G$7:$G$2010,$D58,'LAC 102_Wkst'!$L$7:$L$2010,"03",'LAC 102_Wkst'!$N$7:$N$2010,"P4")+SUMIFS('LAC 102_Wkst'!$AE$7:$AE$2010,'LAC 102_Wkst'!$E$7:$E$2010,$C58,'LAC 102_Wkst'!$G$7:$G$2010,$D58,'LAC 102_Wkst'!$L$7:$L$2010,"04",'LAC 102_Wkst'!$N$7:$N$2010,"P4")</f>
        <v>0</v>
      </c>
      <c r="P58" s="410">
        <f>SUMIFS('LAC 102_Wkst'!$Q$7:$Q$2010,'LAC 102_Wkst'!$E$7:$E$2010,$C58,'LAC 102_Wkst'!$G$7:$G$2010,$D58,'LAC 102_Wkst'!$L$7:$L$2010,"03",'LAC 102_Wkst'!$N$7:$N$2010,"P5")+SUMIFS('LAC 102_Wkst'!$Q$7:$Q$2010,'LAC 102_Wkst'!$E$7:$E$2010,$C58,'LAC 102_Wkst'!$G$7:$G$2010,$D58,'LAC 102_Wkst'!$L$7:$L$2010,"04",'LAC 102_Wkst'!$N$7:$N$2010,"P5")</f>
        <v>0</v>
      </c>
      <c r="Q58" s="411">
        <f>SUMIFS('LAC 102_Wkst'!$AE$7:$AE$2010,'LAC 102_Wkst'!$E$7:$E$2010,$C58,'LAC 102_Wkst'!$G$7:$G$2010,$D58,'LAC 102_Wkst'!$L$7:$L$2010,"03",'LAC 102_Wkst'!$N$7:$N$2010,"P5")+SUMIFS('LAC 102_Wkst'!$AE$7:$AE$2010,'LAC 102_Wkst'!$E$7:$E$2010,$C58,'LAC 102_Wkst'!$G$7:$G$2010,$D58,'LAC 102_Wkst'!$L$7:$L$2010,"04",'LAC 102_Wkst'!$N$7:$N$2010,"P5")</f>
        <v>0</v>
      </c>
      <c r="R58" s="412">
        <f>SUMIFS('LAC 102_Wkst'!$Q$7:$Q$2010,'LAC 102_Wkst'!$E$7:$E$2010,$C58,'LAC 102_Wkst'!$G$7:$G$2010,$D58,'LAC 102_Wkst'!$L$7:$L$2010,"05",'LAC 102_Wkst'!$N$7:$N$2010,"P1")+SUMIFS('LAC 102_Wkst'!$Q$7:$Q$2010,'LAC 102_Wkst'!$E$7:$E$2010,$C58,'LAC 102_Wkst'!$G$7:$G$2010,$D58,'LAC 102_Wkst'!$L$7:$L$2010,"06",'LAC 102_Wkst'!$N$7:$N$2010,"P1")</f>
        <v>0</v>
      </c>
      <c r="S58" s="411">
        <f>SUMIFS('LAC 102_Wkst'!$AE$7:$AE$2010,'LAC 102_Wkst'!$E$7:$E$2010,$C58,'LAC 102_Wkst'!$G$7:$G$2010,$D58,'LAC 102_Wkst'!$L$7:$L$2010,"05",'LAC 102_Wkst'!$N$7:$N$2010,"P1")+SUMIFS('LAC 102_Wkst'!$AE$7:$AE$2010,'LAC 102_Wkst'!$E$7:$E$2010,$C58,'LAC 102_Wkst'!$G$7:$G$2010,$D58,'LAC 102_Wkst'!$L$7:$L$2010,"06",'LAC 102_Wkst'!$N$7:$N$2010,"P1")</f>
        <v>0</v>
      </c>
      <c r="T58" s="410">
        <f>SUMIFS('LAC 102_Wkst'!$Q$7:$Q$2010,'LAC 102_Wkst'!$E$7:$E$2010,$C58,'LAC 102_Wkst'!$G$7:$G$2010,$D58,'LAC 102_Wkst'!$L$7:$L$2010,"05",'LAC 102_Wkst'!$N$7:$N$2010,"P2")+SUMIFS('LAC 102_Wkst'!$Q$7:$Q$2010,'LAC 102_Wkst'!$E$7:$E$2010,$C58,'LAC 102_Wkst'!$G$7:$G$2010,$D58,'LAC 102_Wkst'!$L$7:$L$2010,"05",'LAC 102_Wkst'!$N$7:$N$2010,"P3")+SUMIFS('LAC 102_Wkst'!$Q$7:$Q$2010,'LAC 102_Wkst'!$E$7:$E$2010,$C58,'LAC 102_Wkst'!$G$7:$G$2010,$D58,'LAC 102_Wkst'!$L$7:$L$2010,"06",'LAC 102_Wkst'!$N$7:$N$2010,"P2")+SUMIFS('LAC 102_Wkst'!$Q$7:$Q$2010,'LAC 102_Wkst'!$E$7:$E$2010,$C58,'LAC 102_Wkst'!$G$7:$G$2010,$D58,'LAC 102_Wkst'!$L$7:$L$2010,"06",'LAC 102_Wkst'!$N$7:$N$2010,"P3")</f>
        <v>0</v>
      </c>
      <c r="U58" s="411">
        <f>SUMIFS('LAC 102_Wkst'!$AE$7:$AE$2010,'LAC 102_Wkst'!$E$7:$E$2010,$C58,'LAC 102_Wkst'!$G$7:$G$2010,$D58,'LAC 102_Wkst'!$L$7:$L$2010,"05",'LAC 102_Wkst'!$N$7:$N$2010,"P2")+SUMIFS('LAC 102_Wkst'!$AE$7:$AE$2010,'LAC 102_Wkst'!$E$7:$E$2010,$C58,'LAC 102_Wkst'!$G$7:$G$2010,$D58,'LAC 102_Wkst'!$L$7:$L$2010,"06",'LAC 102_Wkst'!$N$7:$N$2010,"P3")+SUMIFS('LAC 102_Wkst'!$AE$7:$AE$2010,'LAC 102_Wkst'!$E$7:$E$2010,$C58,'LAC 102_Wkst'!$G$7:$G$2010,$D58,'LAC 102_Wkst'!$L$7:$L$2010,"05",'LAC 102_Wkst'!$N$7:$N$2010,"P2")+SUMIFS('LAC 102_Wkst'!$AE$7:$AE$2010,'LAC 102_Wkst'!$E$7:$E$2010,$C58,'LAC 102_Wkst'!$G$7:$G$2010,$D58,'LAC 102_Wkst'!$L$7:$L$2010,"06",'LAC 102_Wkst'!$N$7:$N$2010,"P3")</f>
        <v>0</v>
      </c>
      <c r="V58" s="410">
        <f>SUMIFS('LAC 102_Wkst'!$Q$7:$Q$2010,'LAC 102_Wkst'!$E$7:$E$2010,$C58,'LAC 102_Wkst'!$G$7:$G$2010,$D58,'LAC 102_Wkst'!$L$7:$L$2010,"05",'LAC 102_Wkst'!$N$7:$N$2010,"P4")+SUMIFS('LAC 102_Wkst'!$Q$7:$Q$2010,'LAC 102_Wkst'!$E$7:$E$2010,$C58,'LAC 102_Wkst'!$G$7:$G$2010,$D58,'LAC 102_Wkst'!$L$7:$L$2010,"06",'LAC 102_Wkst'!$N$7:$N$2010,"P4")</f>
        <v>0</v>
      </c>
      <c r="W58" s="411">
        <f>SUMIFS('LAC 102_Wkst'!$AE$7:$AE$2010,'LAC 102_Wkst'!$E$7:$E$2010,$C58,'LAC 102_Wkst'!$G$7:$G$2010,$D58,'LAC 102_Wkst'!$L$7:$L$2010,"05",'LAC 102_Wkst'!$N$7:$N$2010,"P4")+SUMIFS('LAC 102_Wkst'!$AE$7:$AE$2010,'LAC 102_Wkst'!$E$7:$E$2010,$C58,'LAC 102_Wkst'!$G$7:$G$2010,$D58,'LAC 102_Wkst'!$L$7:$L$2010,"06",'LAC 102_Wkst'!$N$7:$N$2010,"P4")</f>
        <v>0</v>
      </c>
      <c r="X58" s="410">
        <f>SUMIFS('LAC 102_Wkst'!$Q$7:$Q$2010,'LAC 102_Wkst'!$E$7:$E$2010,$C58,'LAC 102_Wkst'!$G$7:$G$2010,$D58,'LAC 102_Wkst'!$L$7:$L$2010,"05",'LAC 102_Wkst'!$N$7:$N$2010,"P5")+SUMIFS('LAC 102_Wkst'!$Q$7:$Q$2010,'LAC 102_Wkst'!$E$7:$E$2010,$C58,'LAC 102_Wkst'!$G$7:$G$2010,$D58,'LAC 102_Wkst'!$L$7:$L$2010,"06",'LAC 102_Wkst'!$N$7:$N$2010,"P5")</f>
        <v>0</v>
      </c>
      <c r="Y58" s="411">
        <f>SUMIFS('LAC 102_Wkst'!$AE$7:$AE$2010,'LAC 102_Wkst'!$E$7:$E$2010,$C58,'LAC 102_Wkst'!$G$7:$G$2010,$D58,'LAC 102_Wkst'!$L$7:$L$2010,"05",'LAC 102_Wkst'!$N$7:$N$2010,"P5")+SUMIFS('LAC 102_Wkst'!$AE$7:$AE$2010,'LAC 102_Wkst'!$E$7:$E$2010,$C58,'LAC 102_Wkst'!$G$7:$G$2010,$D58,'LAC 102_Wkst'!$L$7:$L$2010,"06",'LAC 102_Wkst'!$N$7:$N$2010,"P5")</f>
        <v>0</v>
      </c>
      <c r="Z58" s="410">
        <f>SUMIFS('LAC 102_Wkst'!$Q$7:$Q$2010,'LAC 102_Wkst'!$E$7:$E$2010,$C58,'LAC 102_Wkst'!$G$7:$G$2010,$D58,'LAC 102_Wkst'!$L$7:$L$2010,"07",'LAC 102_Wkst'!$N$7:$N$2010,"P1")+SUMIFS('LAC 102_Wkst'!$Q$7:$Q$2010,'LAC 102_Wkst'!$E$7:$E$2010,$C58,'LAC 102_Wkst'!$G$7:$G$2010,$D58,'LAC 102_Wkst'!$L$7:$L$2010,"07",'LAC 102_Wkst'!$N$7:$N$2010,"P2")+SUMIFS('LAC 102_Wkst'!$Q$7:$Q$2010,'LAC 102_Wkst'!$E$7:$E$2010,$C58,'LAC 102_Wkst'!$G$7:$G$2010,$D58,'LAC 102_Wkst'!$L$7:$L$2010,"07",'LAC 102_Wkst'!$N$7:$N$2010,"P3")</f>
        <v>0</v>
      </c>
      <c r="AA58" s="411">
        <f>SUMIFS('LAC 102_Wkst'!$AE$7:$AE$2010,'LAC 102_Wkst'!$E$7:$E$2010,$C58,'LAC 102_Wkst'!$G$7:$G$2010,$D58,'LAC 102_Wkst'!$L$7:$L$2010,"07",'LAC 102_Wkst'!$N$7:$N$2010,"P1")+SUMIFS('LAC 102_Wkst'!$AE$7:$AE$2010,'LAC 102_Wkst'!$E$7:$E$2010,$C58,'LAC 102_Wkst'!$G$7:$G$2010,$D58,'LAC 102_Wkst'!$L$7:$L$2010,"07",'LAC 102_Wkst'!$N$7:$N$2010,"P2")+SUMIFS('LAC 102_Wkst'!$AE$7:$AE$2010,'LAC 102_Wkst'!$E$7:$E$2010,$C58,'LAC 102_Wkst'!$G$7:$G$2010,$D58,'LAC 102_Wkst'!$L$7:$L$2010,"07",'LAC 102_Wkst'!$N$7:$N$2010,"P3")</f>
        <v>0</v>
      </c>
      <c r="AB58" s="410">
        <f>SUMIFS('LAC 102_Wkst'!$Q$7:$Q$2010,'LAC 102_Wkst'!$E$7:$E$2010,$C58,'LAC 102_Wkst'!$G$7:$G$2010,$D58,'LAC 102_Wkst'!$L$7:$L$2010,"07",'LAC 102_Wkst'!$N$7:$N$2010,"P4")</f>
        <v>0</v>
      </c>
      <c r="AC58" s="411">
        <f>SUMIFS('LAC 102_Wkst'!$AE$7:$AE$2010,'LAC 102_Wkst'!$E$7:$E$2010,$C58,'LAC 102_Wkst'!$G$7:$G$2010,$D58,'LAC 102_Wkst'!$L$7:$L$2010,"07",'LAC 102_Wkst'!$N$7:$N$2010,"P4")</f>
        <v>0</v>
      </c>
      <c r="AD58" s="410">
        <f>SUMIFS('LAC 102_Wkst'!$Q$7:$Q$2010,'LAC 102_Wkst'!$E$7:$E$2010,$C58,'LAC 102_Wkst'!$G$7:$G$2010,$D58,'LAC 102_Wkst'!$L$7:$L$2010,"07",'LAC 102_Wkst'!$N$7:$N$2010,"P5")</f>
        <v>0</v>
      </c>
      <c r="AE58" s="411">
        <f>SUMIFS('LAC 102_Wkst'!$AE$7:$AE$2010,'LAC 102_Wkst'!$E$7:$E$2010,$C58,'LAC 102_Wkst'!$G$7:$G$2010,$D58,'LAC 102_Wkst'!$L$7:$L$2010,"07",'LAC 102_Wkst'!$N$7:$N$2010,"P5")</f>
        <v>0</v>
      </c>
      <c r="AF58" s="410">
        <f>SUMIFS('LAC 102_Wkst'!$Q$7:$Q$2010,'LAC 102_Wkst'!$E$7:$E$2010,$C58,'LAC 102_Wkst'!$G$7:$G$2010,$D58,'LAC 102_Wkst'!$L$7:$L$2010,"08",'LAC 102_Wkst'!$N$7:$N$2010,"P1")+SUMIFS('LAC 102_Wkst'!$Q$7:$Q$2010,'LAC 102_Wkst'!$E$7:$E$2010,$C58,'LAC 102_Wkst'!$G$7:$G$2010,$D58,'LAC 102_Wkst'!$L$7:$L$2010,"08",'LAC 102_Wkst'!$N$7:$N$2010,"P2")+SUMIFS('LAC 102_Wkst'!$Q$7:$Q$2010,'LAC 102_Wkst'!$E$7:$E$2010,$C58,'LAC 102_Wkst'!$G$7:$G$2010,$D58,'LAC 102_Wkst'!$L$7:$L$2010,"08",'LAC 102_Wkst'!$N$7:$N$2010,"P3")</f>
        <v>0</v>
      </c>
      <c r="AG58" s="411">
        <f>SUMIFS('LAC 102_Wkst'!$AE$7:$AE$2010,'LAC 102_Wkst'!$E$7:$E$2010,$C58,'LAC 102_Wkst'!$G$7:$G$2010,$D58,'LAC 102_Wkst'!$L$7:$L$2010,"08",'LAC 102_Wkst'!$N$7:$N$2010,"P1")+SUMIFS('LAC 102_Wkst'!$AE$7:$AE$2010,'LAC 102_Wkst'!$E$7:$E$2010,$C58,'LAC 102_Wkst'!$G$7:$G$2010,$D58,'LAC 102_Wkst'!$L$7:$L$2010,"08",'LAC 102_Wkst'!$N$7:$N$2010,"P2")+SUMIFS('LAC 102_Wkst'!$AE$7:$AE$2010,'LAC 102_Wkst'!$E$7:$E$2010,$C58,'LAC 102_Wkst'!$G$7:$G$2010,$D58,'LAC 102_Wkst'!$L$7:$L$2010,"08",'LAC 102_Wkst'!$N$7:$N$2010,"P3")</f>
        <v>0</v>
      </c>
      <c r="AH58" s="410">
        <f>SUMIFS('LAC 102_Wkst'!$Q$7:$Q$2010,'LAC 102_Wkst'!$E$7:$E$2010,$C58,'LAC 102_Wkst'!$G$7:$G$2010,$D58,'LAC 102_Wkst'!$L$7:$L$2010,"08",'LAC 102_Wkst'!$N$7:$N$2010,"P4")</f>
        <v>0</v>
      </c>
      <c r="AI58" s="411">
        <f>SUMIFS('LAC 102_Wkst'!$AE$7:$AE$2010,'LAC 102_Wkst'!$E$7:$E$2010,$C58,'LAC 102_Wkst'!$G$7:$G$2010,$D58,'LAC 102_Wkst'!$L$7:$L$2010,"08",'LAC 102_Wkst'!$N$7:$N$2010,"P4")</f>
        <v>0</v>
      </c>
      <c r="AJ58" s="410">
        <f>SUMIFS('LAC 102_Wkst'!$Q$7:$Q$2010,'LAC 102_Wkst'!$E$7:$E$2010,$C58,'LAC 102_Wkst'!$G$7:$G$2010,$D58,'LAC 102_Wkst'!$L$7:$L$2010,"08",'LAC 102_Wkst'!$N$7:$N$2010,"P5")</f>
        <v>0</v>
      </c>
      <c r="AK58" s="411">
        <f>SUMIFS('LAC 102_Wkst'!$AE$7:$AE$2010,'LAC 102_Wkst'!$E$7:$E$2010,$C58,'LAC 102_Wkst'!$G$7:$G$2010,$D58,'LAC 102_Wkst'!$L$7:$L$2010,"08",'LAC 102_Wkst'!$N$7:$N$2010,"P5")</f>
        <v>0</v>
      </c>
      <c r="AL58" s="410">
        <f>SUMIFS('LAC 102_Wkst'!$Q$7:$Q$2010,'LAC 102_Wkst'!$E$7:$E$2010,$C58,'LAC 102_Wkst'!$G$7:$G$2010,$D58,'LAC 102_Wkst'!$L$7:$L$2010,"09",'LAC 102_Wkst'!$N$7:$N$2010,"P1")+SUMIFS('LAC 102_Wkst'!$Q$7:$Q$2010,'LAC 102_Wkst'!$E$7:$E$2010,$C58,'LAC 102_Wkst'!$G$7:$G$2010,$D58,'LAC 102_Wkst'!$L$7:$L$2010,"09",'LAC 102_Wkst'!$N$7:$N$2010,"P2")+SUMIFS('LAC 102_Wkst'!$Q$7:$Q$2010,'LAC 102_Wkst'!$E$7:$E$2010,$C58,'LAC 102_Wkst'!$G$7:$G$2010,$D58,'LAC 102_Wkst'!$L$7:$L$2010,"09",'LAC 102_Wkst'!$N$7:$N$2010,"P3")+SUMIFS('LAC 102_Wkst'!$Q$7:$Q$2010,'LAC 102_Wkst'!$E$7:$E$2010,$C58,'LAC 102_Wkst'!$G$7:$G$2010,$D58,'LAC 102_Wkst'!$L$7:$L$2010,"09",'LAC 102_Wkst'!$N$7:$N$2010,"P4")</f>
        <v>0</v>
      </c>
      <c r="AM58" s="411">
        <f>SUMIFS('LAC 102_Wkst'!$AE$7:$AE$2010,'LAC 102_Wkst'!$E$7:$E$2010,$C58,'LAC 102_Wkst'!$G$7:$G$2010,$D58,'LAC 102_Wkst'!$L$7:$L$2010,"09",'LAC 102_Wkst'!$N$7:$N$2010,"P1")+SUMIFS('LAC 102_Wkst'!$AE$7:$AE$2010,'LAC 102_Wkst'!$E$7:$E$2010,$C58,'LAC 102_Wkst'!$G$7:$G$2010,$D58,'LAC 102_Wkst'!$L$7:$L$2010,"09",'LAC 102_Wkst'!$N$7:$N$2010,"P2")+SUMIFS('LAC 102_Wkst'!$AE$7:$AE$2010,'LAC 102_Wkst'!$E$7:$E$2010,$C58,'LAC 102_Wkst'!$G$7:$G$2010,$D58,'LAC 102_Wkst'!$L$7:$L$2010,"09",'LAC 102_Wkst'!$N$7:$N$2010,"P3")+SUMIFS('LAC 102_Wkst'!$AE$7:$AE$2010,'LAC 102_Wkst'!$E$7:$E$2010,$C58,'LAC 102_Wkst'!$G$7:$G$2010,$D58,'LAC 102_Wkst'!$L$7:$L$2010,"09",'LAC 102_Wkst'!$N$7:$N$2010,"P4")</f>
        <v>0</v>
      </c>
      <c r="AN58" s="410">
        <f>SUMIFS('LAC 102_Wkst'!$Q$7:$Q$2010,'LAC 102_Wkst'!$E$7:$E$2010,$C58,'LAC 102_Wkst'!$G$7:$G$2010,$D58,'LAC 102_Wkst'!$L$7:$L$2010,"09",'LAC 102_Wkst'!$N$7:$N$2010,"P5")</f>
        <v>0</v>
      </c>
      <c r="AO58" s="411">
        <f>SUMIFS('LAC 102_Wkst'!$AE$7:$AE$2010,'LAC 102_Wkst'!$E$7:$E$2010,$C58,'LAC 102_Wkst'!$G$7:$G$2010,$D58,'LAC 102_Wkst'!$L$7:$L$2010,"09",'LAC 102_Wkst'!$N$7:$N$2010,"P5")</f>
        <v>0</v>
      </c>
      <c r="AP58" s="410">
        <f>SUMIFS('LAC 102_Wkst'!$Q$7:$Q$2010,'LAC 102_Wkst'!$E$7:$E$2010,$C58,'LAC 102_Wkst'!$G$7:$G$2010,$D58,'LAC 102_Wkst'!$L$7:$L$2010,"10",'LAC 102_Wkst'!$N$7:$N$2010,"P1")+SUMIFS('LAC 102_Wkst'!$Q$7:$Q$2010,'LAC 102_Wkst'!$E$7:$E$2010,$C58,'LAC 102_Wkst'!$G$7:$G$2010,$D58,'LAC 102_Wkst'!$L$7:$L$2010,"10",'LAC 102_Wkst'!$N$7:$N$2010,"P2")+SUMIFS('LAC 102_Wkst'!$Q$7:$Q$2010,'LAC 102_Wkst'!$E$7:$E$2010,$C58,'LAC 102_Wkst'!$G$7:$G$2010,$D58,'LAC 102_Wkst'!$L$7:$L$2010,"10",'LAC 102_Wkst'!$N$7:$N$2010,"P3")+SUMIFS('LAC 102_Wkst'!$Q$7:$Q$2010,'LAC 102_Wkst'!$E$7:$E$2010,$C58,'LAC 102_Wkst'!$G$7:$G$2010,$D58,'LAC 102_Wkst'!$L$7:$L$2010,"10",'LAC 102_Wkst'!$N$7:$N$2010,"P4")</f>
        <v>0</v>
      </c>
      <c r="AQ58" s="411">
        <f>SUMIFS('LAC 102_Wkst'!$AE$7:$AE$2010,'LAC 102_Wkst'!$E$7:$E$2010,$C58,'LAC 102_Wkst'!$G$7:$G$2010,$D58,'LAC 102_Wkst'!$L$7:$L$2010,"10",'LAC 102_Wkst'!$N$7:$N$2010,"P1")+SUMIFS('LAC 102_Wkst'!$AE$7:$AE$2010,'LAC 102_Wkst'!$E$7:$E$2010,$C58,'LAC 102_Wkst'!$G$7:$G$2010,$D58,'LAC 102_Wkst'!$L$7:$L$2010,"10",'LAC 102_Wkst'!$N$7:$N$2010,"P2")+SUMIFS('LAC 102_Wkst'!$AE$7:$AE$2010,'LAC 102_Wkst'!$E$7:$E$2010,$C58,'LAC 102_Wkst'!$G$7:$G$2010,$D58,'LAC 102_Wkst'!$L$7:$L$2010,"10",'LAC 102_Wkst'!$N$7:$N$2010,"P3")+SUMIFS('LAC 102_Wkst'!$AE$7:$AE$2010,'LAC 102_Wkst'!$E$7:$E$2010,$C58,'LAC 102_Wkst'!$G$7:$G$2010,$D58,'LAC 102_Wkst'!$L$7:$L$2010,"10",'LAC 102_Wkst'!$N$7:$N$2010,"P4")</f>
        <v>0</v>
      </c>
      <c r="AR58" s="410">
        <f>SUMIFS('LAC 102_Wkst'!$Q$7:$Q$2010,'LAC 102_Wkst'!$E$7:$E$2010,$C58,'LAC 102_Wkst'!$G$7:$G$2010,$D58,'LAC 102_Wkst'!$L$7:$L$2010,"10",'LAC 102_Wkst'!$N$7:$N$2010,"P5")</f>
        <v>0</v>
      </c>
      <c r="AS58" s="411">
        <f>SUMIFS('LAC 102_Wkst'!$AE$7:$AE$2010,'LAC 102_Wkst'!$E$7:$E$2010,$C58,'LAC 102_Wkst'!$G$7:$G$2010,$D58,'LAC 102_Wkst'!$L$7:$L$2010,"10",'LAC 102_Wkst'!$N$7:$N$2010,"P5")</f>
        <v>0</v>
      </c>
      <c r="AT58" s="410">
        <f>SUMIFS('LAC 102_Wkst'!$Q$7:$Q$2010,'LAC 102_Wkst'!$E$7:$E$2010,$C58,'LAC 102_Wkst'!$G$7:$G$2010,$D58,'LAC 102_Wkst'!$L$7:$L$2010,"11",'LAC 102_Wkst'!$N$7:$N$2010,"P1")+SUMIFS('LAC 102_Wkst'!$Q$7:$Q$2010,'LAC 102_Wkst'!$E$7:$E$2010,$C58,'LAC 102_Wkst'!$G$7:$G$2010,$D58,'LAC 102_Wkst'!$L$7:$L$2010,"12",'LAC 102_Wkst'!$N$7:$N$2010,"P1")</f>
        <v>0</v>
      </c>
      <c r="AU58" s="411">
        <f>SUMIFS('LAC 102_Wkst'!$AE$7:$AE$2010,'LAC 102_Wkst'!$E$7:$E$2010,$C58,'LAC 102_Wkst'!$G$7:$G$2010,$D58,'LAC 102_Wkst'!$L$7:$L$2010,"11",'LAC 102_Wkst'!$N$7:$N$2010,"P1")+SUMIFS('LAC 102_Wkst'!$AE$7:$AE$2010,'LAC 102_Wkst'!$E$7:$E$2010,$C58,'LAC 102_Wkst'!$G$7:$G$2010,$D58,'LAC 102_Wkst'!$L$7:$L$2010,"12",'LAC 102_Wkst'!$N$7:$N$2010,"P1")</f>
        <v>0</v>
      </c>
      <c r="AV58" s="410">
        <f>SUMIFS('LAC 102_Wkst'!$Q$7:$Q$2010,'LAC 102_Wkst'!$E$7:$E$2010,$C58,'LAC 102_Wkst'!$G$7:$G$2010,$D58,'LAC 102_Wkst'!$L$7:$L$2010,"11",'LAC 102_Wkst'!$N$7:$N$2010,"P2")+SUMIFS('LAC 102_Wkst'!$Q$7:$Q$2010,'LAC 102_Wkst'!$E$7:$E$2010,$C58,'LAC 102_Wkst'!$G$7:$G$2010,$D58,'LAC 102_Wkst'!$L$7:$L$2010,"12",'LAC 102_Wkst'!$N$7:$N$2010,"P3")+SUMIFS('LAC 102_Wkst'!$Q$7:$Q$2010,'LAC 102_Wkst'!$E$7:$E$2010,$C58,'LAC 102_Wkst'!$G$7:$G$2010,$D58,'LAC 102_Wkst'!$L$7:$L$2010,"11",'LAC 102_Wkst'!$N$7:$N$2010,"P2")+SUMIFS('LAC 102_Wkst'!$Q$7:$Q$2010,'LAC 102_Wkst'!$E$7:$E$2010,$C58,'LAC 102_Wkst'!$G$7:$G$2010,$D58,'LAC 102_Wkst'!$L$7:$L$2010,"12",'LAC 102_Wkst'!$N$7:$N$2010,"P3")</f>
        <v>0</v>
      </c>
      <c r="AW58" s="411">
        <f>SUMIFS('LAC 102_Wkst'!$AE$7:$AE$2010,'LAC 102_Wkst'!$E$7:$E$2010,$C58,'LAC 102_Wkst'!$G$7:$G$2010,$D58,'LAC 102_Wkst'!$L$7:$L$2010,"11",'LAC 102_Wkst'!$N$7:$N$2010,"P2")+SUMIFS('LAC 102_Wkst'!$AE$7:$AE$2010,'LAC 102_Wkst'!$E$7:$E$2010,$C58,'LAC 102_Wkst'!$G$7:$G$2010,$D58,'LAC 102_Wkst'!$L$7:$L$2010,"12",'LAC 102_Wkst'!$N$7:$N$2010,"P3")+SUMIFS('LAC 102_Wkst'!$AE$7:$AE$2010,'LAC 102_Wkst'!$E$7:$E$2010,$C58,'LAC 102_Wkst'!$G$7:$G$2010,$D58,'LAC 102_Wkst'!$L$7:$L$2010,"11",'LAC 102_Wkst'!$N$7:$N$2010,"P2")+SUMIFS('LAC 102_Wkst'!$AE$7:$AE$2010,'LAC 102_Wkst'!$E$7:$E$2010,$C58,'LAC 102_Wkst'!$G$7:$G$2010,$D58,'LAC 102_Wkst'!$L$7:$L$2010,"12",'LAC 102_Wkst'!$N$7:$N$2010,"P3")</f>
        <v>0</v>
      </c>
      <c r="AX58" s="410">
        <f>SUMIFS('LAC 102_Wkst'!$Q$7:$Q$2010,'LAC 102_Wkst'!$E$7:$E$2010,$C58,'LAC 102_Wkst'!$G$7:$G$2010,$D58,'LAC 102_Wkst'!$L$7:$L$2010,"11",'LAC 102_Wkst'!$N$7:$N$2010,"P4")+SUMIFS('LAC 102_Wkst'!$Q$7:$Q$2010,'LAC 102_Wkst'!$E$7:$E$2010,$C58,'LAC 102_Wkst'!$G$7:$G$2010,$D58,'LAC 102_Wkst'!$L$7:$L$2010,"12",'LAC 102_Wkst'!$N$7:$N$2010,"P4")</f>
        <v>0</v>
      </c>
      <c r="AY58" s="411">
        <f>SUMIFS('LAC 102_Wkst'!$AE$7:$AE$2010,'LAC 102_Wkst'!$E$7:$E$2010,$C58,'LAC 102_Wkst'!$G$7:$G$2010,$D58,'LAC 102_Wkst'!$L$7:$L$2010,"11",'LAC 102_Wkst'!$N$7:$N$2010,"P4")+SUMIFS('LAC 102_Wkst'!$AE$7:$AE$2010,'LAC 102_Wkst'!$E$7:$E$2010,$C58,'LAC 102_Wkst'!$G$7:$G$2010,$D58,'LAC 102_Wkst'!$L$7:$L$2010,"12",'LAC 102_Wkst'!$N$7:$N$2010,"P4")</f>
        <v>0</v>
      </c>
      <c r="AZ58" s="410">
        <f>SUMIFS('LAC 102_Wkst'!$Q$7:$Q$2010,'LAC 102_Wkst'!$E$7:$E$2010,$C58,'LAC 102_Wkst'!$G$7:$G$2010,$D58,'LAC 102_Wkst'!$L$7:$L$2010,"11",'LAC 102_Wkst'!$N$7:$N$2010,"P5")+SUMIFS('LAC 102_Wkst'!$Q$7:$Q$2010,'LAC 102_Wkst'!$E$7:$E$2010,$C58,'LAC 102_Wkst'!$G$7:$G$2010,$D58,'LAC 102_Wkst'!$L$7:$L$2010,"12",'LAC 102_Wkst'!$N$7:$N$2010,"P5")</f>
        <v>0</v>
      </c>
      <c r="BA58" s="411">
        <f>SUMIFS('LAC 102_Wkst'!$AE$7:$AE$2010,'LAC 102_Wkst'!$E$7:$E$2010,$C58,'LAC 102_Wkst'!$G$7:$G$2010,$D58,'LAC 102_Wkst'!$L$7:$L$2010,"11",'LAC 102_Wkst'!$N$7:$N$2010,"P5")+SUMIFS('LAC 102_Wkst'!$AE$7:$AE$2010,'LAC 102_Wkst'!$E$7:$E$2010,$C58,'LAC 102_Wkst'!$G$7:$G$2010,$D58,'LAC 102_Wkst'!$L$7:$L$2010,"12",'LAC 102_Wkst'!$N$7:$N$2010,"P5")</f>
        <v>0</v>
      </c>
      <c r="BB58" s="410">
        <f>SUMIFS('LAC 102_Wkst'!$Q$7:$Q$2010,'LAC 102_Wkst'!$E$7:$E$2010,$C58,'LAC 102_Wkst'!$G$7:$G$2010,$D58,'LAC 102_Wkst'!$L$7:$L$2010,"13",'LAC 102_Wkst'!$N$7:$N$2010,"P1")+SUMIFS('LAC 102_Wkst'!$Q$7:$Q$2010,'LAC 102_Wkst'!$E$7:$E$2010,$C58,'LAC 102_Wkst'!$G$7:$G$2010,$D58,'LAC 102_Wkst'!$L$7:$L$2010,"13",'LAC 102_Wkst'!$N$7:$N$2010,"P2")+SUMIFS('LAC 102_Wkst'!$Q$7:$Q$2010,'LAC 102_Wkst'!$E$7:$E$2010,$C58,'LAC 102_Wkst'!$G$7:$G$2010,$D58,'LAC 102_Wkst'!$L$7:$L$2010,"13",'LAC 102_Wkst'!$N$7:$N$2010,"P3")+SUMIFS('LAC 102_Wkst'!$Q$7:$Q$2010,'LAC 102_Wkst'!$E$7:$E$2010,$C58,'LAC 102_Wkst'!$G$7:$G$2010,$D58,'LAC 102_Wkst'!$L$7:$L$2010,"13",'LAC 102_Wkst'!$N$7:$N$2010,"P4")</f>
        <v>0</v>
      </c>
      <c r="BC58" s="411">
        <f>SUMIFS('LAC 102_Wkst'!$AE$7:$AE$2010,'LAC 102_Wkst'!$E$7:$E$2010,$C58,'LAC 102_Wkst'!$G$7:$G$2010,$D58,'LAC 102_Wkst'!$L$7:$L$2010,"13",'LAC 102_Wkst'!$N$7:$N$2010,"P1")+SUMIFS('LAC 102_Wkst'!$AE$7:$AE$2010,'LAC 102_Wkst'!$E$7:$E$2010,$C58,'LAC 102_Wkst'!$G$7:$G$2010,$D58,'LAC 102_Wkst'!$L$7:$L$2010,"13",'LAC 102_Wkst'!$N$7:$N$2010,"P2")+SUMIFS('LAC 102_Wkst'!$AE$7:$AE$2010,'LAC 102_Wkst'!$E$7:$E$2010,$C58,'LAC 102_Wkst'!$G$7:$G$2010,$D58,'LAC 102_Wkst'!$L$7:$L$2010,"13",'LAC 102_Wkst'!$N$7:$N$2010,"P3")+SUMIFS('LAC 102_Wkst'!$AE$7:$AE$2010,'LAC 102_Wkst'!$E$7:$E$2010,$C58,'LAC 102_Wkst'!$G$7:$G$2010,$D58,'LAC 102_Wkst'!$L$7:$L$2010,"13",'LAC 102_Wkst'!$N$7:$N$2010,"P4")</f>
        <v>0</v>
      </c>
      <c r="BD58" s="410">
        <f>SUMIFS('LAC 102_Wkst'!$Q$7:$Q$2010,'LAC 102_Wkst'!$E$7:$E$2010,$C58,'LAC 102_Wkst'!$G$7:$G$2010,$D58,'LAC 102_Wkst'!$L$7:$L$2010,"13",'LAC 102_Wkst'!$N$7:$N$2010,"P5")</f>
        <v>0</v>
      </c>
      <c r="BE58" s="411">
        <f>SUMIFS('LAC 102_Wkst'!$AE$7:$AE$2010,'LAC 102_Wkst'!$E$7:$E$2010,$C58,'LAC 102_Wkst'!$G$7:$G$2010,$D58,'LAC 102_Wkst'!$L$7:$L$2010,"13",'LAC 102_Wkst'!$N$7:$N$2010,"P5")</f>
        <v>0</v>
      </c>
      <c r="BF58" s="407">
        <f t="shared" si="0"/>
        <v>0</v>
      </c>
    </row>
    <row r="59" spans="1:58" x14ac:dyDescent="0.2">
      <c r="A59" s="401">
        <v>40</v>
      </c>
      <c r="B59" s="1236"/>
      <c r="C59" s="1235"/>
      <c r="D59" s="1237"/>
      <c r="E59" s="1222">
        <f>IF(CONCATENATE(C59,D59)&gt;"6069",1,SUMIFS('LAC 102_Wkst'!$Q$7:$Q$2010,'LAC 102_Wkst'!$E$7:$E$2010,Schedule_B!$C59,'LAC 102_Wkst'!$G$7:$G$2010,Schedule_B!$D59))</f>
        <v>0</v>
      </c>
      <c r="F59" s="408">
        <f>SUMIFS('LAC 102_Wkst'!$Q$7:$Q$2010,'LAC 102_Wkst'!$E$7:$E$2010,$C59,'LAC 102_Wkst'!$G$7:$G$2010,$D59,'LAC 102_Wkst'!$L$7:$L$2010,"01",'LAC 102_Wkst'!$N$7:$N$2010,"P1")+SUMIFS('LAC 102_Wkst'!$Q$7:$Q$2010,'LAC 102_Wkst'!$E$7:$E$2010,$C59,'LAC 102_Wkst'!$G$7:$G$2010,$D59,'LAC 102_Wkst'!$L$7:$L$2010,"01",'LAC 102_Wkst'!$N$7:$N$2010,"P2")+SUMIFS('LAC 102_Wkst'!$Q$7:$Q$2010,'LAC 102_Wkst'!$E$7:$E$2010,$C59,'LAC 102_Wkst'!$G$7:$G$2010,$D59,'LAC 102_Wkst'!$L$7:$L$2010,"01",'LAC 102_Wkst'!$N$7:$N$2010,"P3")+SUMIFS('LAC 102_Wkst'!$Q$7:$Q$2010,'LAC 102_Wkst'!$E$7:$E$2010,$C59,'LAC 102_Wkst'!$G$7:$G$2010,$D59,'LAC 102_Wkst'!$L$7:$L$2010,"02",'LAC 102_Wkst'!$N$7:$N$2010,"P1")+SUMIFS('LAC 102_Wkst'!$Q$7:$Q$2010,'LAC 102_Wkst'!$E$7:$E$2010,$C59,'LAC 102_Wkst'!$G$7:$G$2010,$D59,'LAC 102_Wkst'!$L$7:$L$2010,"02",'LAC 102_Wkst'!$N$7:$N$2010,"P2")+SUMIFS('LAC 102_Wkst'!$Q$7:$Q$2010,'LAC 102_Wkst'!$E$7:$E$2010,$C59,'LAC 102_Wkst'!$G$7:$G$2010,$D59,'LAC 102_Wkst'!$L$7:$L$2010,"02",'LAC 102_Wkst'!$N$7:$N$2010,"P3")</f>
        <v>0</v>
      </c>
      <c r="G59" s="409">
        <f>SUMIFS('LAC 102_Wkst'!$AE$7:$AE$2010,'LAC 102_Wkst'!$E$7:$E$2010,$C59,'LAC 102_Wkst'!$G$7:$G$2010,$D59,'LAC 102_Wkst'!$L$7:$L$2010,"01",'LAC 102_Wkst'!$N$7:$N$2010,"P1")+SUMIFS('LAC 102_Wkst'!$AE$7:$AE$2010,'LAC 102_Wkst'!$E$7:$E$2010,$C59,'LAC 102_Wkst'!$G$7:$G$2010,$D59,'LAC 102_Wkst'!$L$7:$L$2010,"01",'LAC 102_Wkst'!$N$7:$N$2010,"P2")+SUMIFS('LAC 102_Wkst'!$AE$7:$AE$2010,'LAC 102_Wkst'!$E$7:$E$2010,$C59,'LAC 102_Wkst'!$G$7:$G$2010,$D59,'LAC 102_Wkst'!$L$7:$L$2010,"01",'LAC 102_Wkst'!$N$7:$N$2010,"P3")+SUMIFS('LAC 102_Wkst'!$AE$7:$AE$2010,'LAC 102_Wkst'!$E$7:$E$2010,$C59,'LAC 102_Wkst'!$G$7:$G$2010,$D59,'LAC 102_Wkst'!$L$7:$L$2010,"02",'LAC 102_Wkst'!$N$7:$N$2010,"P1")+SUMIFS('LAC 102_Wkst'!$AE$7:$AE$2010,'LAC 102_Wkst'!$E$7:$E$2010,$C59,'LAC 102_Wkst'!$G$7:$G$2010,$D59,'LAC 102_Wkst'!$L$7:$L$2010,"02",'LAC 102_Wkst'!$N$7:$N$2010,"P2")+SUMIFS('LAC 102_Wkst'!$AE$7:$AE$2010,'LAC 102_Wkst'!$E$7:$E$2010,$C59,'LAC 102_Wkst'!$G$7:$G$2010,$D59,'LAC 102_Wkst'!$L$7:$L$2010,"02",'LAC 102_Wkst'!$N$7:$N$2010,"P3")</f>
        <v>0</v>
      </c>
      <c r="H59" s="410">
        <f>SUMIFS('LAC 102_Wkst'!$Q$7:$Q$2010,'LAC 102_Wkst'!$E$7:$E$2010,$C59,'LAC 102_Wkst'!$G$7:$G$2010,$D59,'LAC 102_Wkst'!$L$7:$L$2010,"01",'LAC 102_Wkst'!$N$7:$N$2010,"P4")+SUMIFS('LAC 102_Wkst'!$Q$7:$Q$2010,'LAC 102_Wkst'!$E$7:$E$2010,$C59,'LAC 102_Wkst'!$G$7:$G$2010,$D59,'LAC 102_Wkst'!$L$7:$L$2010,"02",'LAC 102_Wkst'!$N$7:$N$2010,"P4")</f>
        <v>0</v>
      </c>
      <c r="I59" s="411">
        <f>SUMIFS('LAC 102_Wkst'!$AE$7:$AE$2010,'LAC 102_Wkst'!$E$7:$E$2010,$C59,'LAC 102_Wkst'!$G$7:$G$2010,$D59,'LAC 102_Wkst'!$L$7:$L$2010,"01",'LAC 102_Wkst'!$N$7:$N$2010,"P4")+SUMIFS('LAC 102_Wkst'!$AE$7:$AE$2010,'LAC 102_Wkst'!$E$7:$E$2010,$C59,'LAC 102_Wkst'!$G$7:$G$2010,$D59,'LAC 102_Wkst'!$L$7:$L$2010,"02",'LAC 102_Wkst'!$N$7:$N$2010,"P4")</f>
        <v>0</v>
      </c>
      <c r="J59" s="410">
        <f>SUMIFS('LAC 102_Wkst'!$Q$7:$Q$2010,'LAC 102_Wkst'!$E$7:$E$2010,$C59,'LAC 102_Wkst'!$G$7:$G$2010,$D59,'LAC 102_Wkst'!$L$7:$L$2010,"01",'LAC 102_Wkst'!$N$7:$N$2010,"P5")+SUMIFS('LAC 102_Wkst'!$Q$7:$Q$2010,'LAC 102_Wkst'!$E$7:$E$2010,$C59,'LAC 102_Wkst'!$G$7:$G$2010,$D59,'LAC 102_Wkst'!$L$7:$L$2010,"02",'LAC 102_Wkst'!$N$7:$N$2010,"P5")</f>
        <v>0</v>
      </c>
      <c r="K59" s="411">
        <f>SUMIFS('LAC 102_Wkst'!$AE$7:$AE$2010,'LAC 102_Wkst'!$E$7:$E$2010,$C59,'LAC 102_Wkst'!$G$7:$G$2010,$D59,'LAC 102_Wkst'!$L$7:$L$2010,"01",'LAC 102_Wkst'!$N$7:$N$2010,"P5")+SUMIFS('LAC 102_Wkst'!$AE$7:$AE$2010,'LAC 102_Wkst'!$E$7:$E$2010,$C59,'LAC 102_Wkst'!$G$7:$G$2010,$D59,'LAC 102_Wkst'!$L$7:$L$2010,"02",'LAC 102_Wkst'!$N$7:$N$2010,"P5")</f>
        <v>0</v>
      </c>
      <c r="L59" s="410">
        <f>SUMIFS('LAC 102_Wkst'!$Q$7:$Q$2010,'LAC 102_Wkst'!$E$7:$E$2010,$C59,'LAC 102_Wkst'!$G$7:$G$2010,$D59,'LAC 102_Wkst'!$L$7:$L$2010,"03",'LAC 102_Wkst'!$N$7:$N$2010,"P1")+SUMIFS('LAC 102_Wkst'!$Q$7:$Q$2010,'LAC 102_Wkst'!$E$7:$E$2010,$C59,'LAC 102_Wkst'!$G$7:$G$2010,$D59,'LAC 102_Wkst'!$L$7:$L$2010,"03",'LAC 102_Wkst'!$N$7:$N$2010,"P2")+SUMIFS('LAC 102_Wkst'!$Q$7:$Q$2010,'LAC 102_Wkst'!$E$7:$E$2010,$C59,'LAC 102_Wkst'!$G$7:$G$2010,$D59,'LAC 102_Wkst'!$L$7:$L$2010,"03",'LAC 102_Wkst'!$N$7:$N$2010,"P3")+SUMIFS('LAC 102_Wkst'!$Q$7:$Q$2010,'LAC 102_Wkst'!$E$7:$E$2010,$C59,'LAC 102_Wkst'!$G$7:$G$2010,$D59,'LAC 102_Wkst'!$L$7:$L$2010,"04",'LAC 102_Wkst'!$N$7:$N$2010,"P1")+SUMIFS('LAC 102_Wkst'!$Q$7:$Q$2010,'LAC 102_Wkst'!$E$7:$E$2010,$C59,'LAC 102_Wkst'!$G$7:$G$2010,$D59,'LAC 102_Wkst'!$L$7:$L$2010,"04",'LAC 102_Wkst'!$N$7:$N$2010,"P2")+SUMIFS('LAC 102_Wkst'!$Q$7:$Q$2010,'LAC 102_Wkst'!$E$7:$E$2010,$C59,'LAC 102_Wkst'!$G$7:$G$2010,$D59,'LAC 102_Wkst'!$L$7:$L$2010,"04",'LAC 102_Wkst'!$N$7:$N$2010,"P3")</f>
        <v>0</v>
      </c>
      <c r="M59" s="411">
        <f>SUMIFS('LAC 102_Wkst'!$AE$7:$AE$2010,'LAC 102_Wkst'!$E$7:$E$2010,$C59,'LAC 102_Wkst'!$G$7:$G$2010,$D59,'LAC 102_Wkst'!$L$7:$L$2010,"03",'LAC 102_Wkst'!$N$7:$N$2010,"P1")+SUMIFS('LAC 102_Wkst'!$AE$7:$AE$2010,'LAC 102_Wkst'!$E$7:$E$2010,$C59,'LAC 102_Wkst'!$G$7:$G$2010,$D59,'LAC 102_Wkst'!$L$7:$L$2010,"03",'LAC 102_Wkst'!$N$7:$N$2010,"P2")+SUMIFS('LAC 102_Wkst'!$AE$7:$AE$2010,'LAC 102_Wkst'!$E$7:$E$2010,$C59,'LAC 102_Wkst'!$G$7:$G$2010,$D59,'LAC 102_Wkst'!$L$7:$L$2010,"03",'LAC 102_Wkst'!$N$7:$N$2010,"P3")+SUMIFS('LAC 102_Wkst'!$AE$7:$AE$2010,'LAC 102_Wkst'!$E$7:$E$2010,$C59,'LAC 102_Wkst'!$G$7:$G$2010,$D59,'LAC 102_Wkst'!$L$7:$L$2010,"04",'LAC 102_Wkst'!$N$7:$N$2010,"P1")+SUMIFS('LAC 102_Wkst'!$AE$7:$AE$2010,'LAC 102_Wkst'!$E$7:$E$2010,$C59,'LAC 102_Wkst'!$G$7:$G$2010,$D59,'LAC 102_Wkst'!$L$7:$L$2010,"04",'LAC 102_Wkst'!$N$7:$N$2010,"P2")+SUMIFS('LAC 102_Wkst'!$AE$7:$AE$2010,'LAC 102_Wkst'!$E$7:$E$2010,$C59,'LAC 102_Wkst'!$G$7:$G$2010,$D59,'LAC 102_Wkst'!$L$7:$L$2010,"04",'LAC 102_Wkst'!$N$7:$N$2010,"P3")</f>
        <v>0</v>
      </c>
      <c r="N59" s="410">
        <f>SUMIFS('LAC 102_Wkst'!$Q$7:$Q$2010,'LAC 102_Wkst'!$E$7:$E$2010,$C59,'LAC 102_Wkst'!$G$7:$G$2010,$D59,'LAC 102_Wkst'!$L$7:$L$2010,"03",'LAC 102_Wkst'!$N$7:$N$2010,"P4")+SUMIFS('LAC 102_Wkst'!$Q$7:$Q$2010,'LAC 102_Wkst'!$E$7:$E$2010,$C59,'LAC 102_Wkst'!$G$7:$G$2010,$D59,'LAC 102_Wkst'!$L$7:$L$2010,"04",'LAC 102_Wkst'!$N$7:$N$2010,"P4")</f>
        <v>0</v>
      </c>
      <c r="O59" s="411">
        <f>SUMIFS('LAC 102_Wkst'!$AE$7:$AE$2010,'LAC 102_Wkst'!$E$7:$E$2010,$C59,'LAC 102_Wkst'!$G$7:$G$2010,$D59,'LAC 102_Wkst'!$L$7:$L$2010,"03",'LAC 102_Wkst'!$N$7:$N$2010,"P4")+SUMIFS('LAC 102_Wkst'!$AE$7:$AE$2010,'LAC 102_Wkst'!$E$7:$E$2010,$C59,'LAC 102_Wkst'!$G$7:$G$2010,$D59,'LAC 102_Wkst'!$L$7:$L$2010,"04",'LAC 102_Wkst'!$N$7:$N$2010,"P4")</f>
        <v>0</v>
      </c>
      <c r="P59" s="410">
        <f>SUMIFS('LAC 102_Wkst'!$Q$7:$Q$2010,'LAC 102_Wkst'!$E$7:$E$2010,$C59,'LAC 102_Wkst'!$G$7:$G$2010,$D59,'LAC 102_Wkst'!$L$7:$L$2010,"03",'LAC 102_Wkst'!$N$7:$N$2010,"P5")+SUMIFS('LAC 102_Wkst'!$Q$7:$Q$2010,'LAC 102_Wkst'!$E$7:$E$2010,$C59,'LAC 102_Wkst'!$G$7:$G$2010,$D59,'LAC 102_Wkst'!$L$7:$L$2010,"04",'LAC 102_Wkst'!$N$7:$N$2010,"P5")</f>
        <v>0</v>
      </c>
      <c r="Q59" s="411">
        <f>SUMIFS('LAC 102_Wkst'!$AE$7:$AE$2010,'LAC 102_Wkst'!$E$7:$E$2010,$C59,'LAC 102_Wkst'!$G$7:$G$2010,$D59,'LAC 102_Wkst'!$L$7:$L$2010,"03",'LAC 102_Wkst'!$N$7:$N$2010,"P5")+SUMIFS('LAC 102_Wkst'!$AE$7:$AE$2010,'LAC 102_Wkst'!$E$7:$E$2010,$C59,'LAC 102_Wkst'!$G$7:$G$2010,$D59,'LAC 102_Wkst'!$L$7:$L$2010,"04",'LAC 102_Wkst'!$N$7:$N$2010,"P5")</f>
        <v>0</v>
      </c>
      <c r="R59" s="412">
        <f>SUMIFS('LAC 102_Wkst'!$Q$7:$Q$2010,'LAC 102_Wkst'!$E$7:$E$2010,$C59,'LAC 102_Wkst'!$G$7:$G$2010,$D59,'LAC 102_Wkst'!$L$7:$L$2010,"05",'LAC 102_Wkst'!$N$7:$N$2010,"P1")+SUMIFS('LAC 102_Wkst'!$Q$7:$Q$2010,'LAC 102_Wkst'!$E$7:$E$2010,$C59,'LAC 102_Wkst'!$G$7:$G$2010,$D59,'LAC 102_Wkst'!$L$7:$L$2010,"06",'LAC 102_Wkst'!$N$7:$N$2010,"P1")</f>
        <v>0</v>
      </c>
      <c r="S59" s="411">
        <f>SUMIFS('LAC 102_Wkst'!$AE$7:$AE$2010,'LAC 102_Wkst'!$E$7:$E$2010,$C59,'LAC 102_Wkst'!$G$7:$G$2010,$D59,'LAC 102_Wkst'!$L$7:$L$2010,"05",'LAC 102_Wkst'!$N$7:$N$2010,"P1")+SUMIFS('LAC 102_Wkst'!$AE$7:$AE$2010,'LAC 102_Wkst'!$E$7:$E$2010,$C59,'LAC 102_Wkst'!$G$7:$G$2010,$D59,'LAC 102_Wkst'!$L$7:$L$2010,"06",'LAC 102_Wkst'!$N$7:$N$2010,"P1")</f>
        <v>0</v>
      </c>
      <c r="T59" s="410">
        <f>SUMIFS('LAC 102_Wkst'!$Q$7:$Q$2010,'LAC 102_Wkst'!$E$7:$E$2010,$C59,'LAC 102_Wkst'!$G$7:$G$2010,$D59,'LAC 102_Wkst'!$L$7:$L$2010,"05",'LAC 102_Wkst'!$N$7:$N$2010,"P2")+SUMIFS('LAC 102_Wkst'!$Q$7:$Q$2010,'LAC 102_Wkst'!$E$7:$E$2010,$C59,'LAC 102_Wkst'!$G$7:$G$2010,$D59,'LAC 102_Wkst'!$L$7:$L$2010,"05",'LAC 102_Wkst'!$N$7:$N$2010,"P3")+SUMIFS('LAC 102_Wkst'!$Q$7:$Q$2010,'LAC 102_Wkst'!$E$7:$E$2010,$C59,'LAC 102_Wkst'!$G$7:$G$2010,$D59,'LAC 102_Wkst'!$L$7:$L$2010,"06",'LAC 102_Wkst'!$N$7:$N$2010,"P2")+SUMIFS('LAC 102_Wkst'!$Q$7:$Q$2010,'LAC 102_Wkst'!$E$7:$E$2010,$C59,'LAC 102_Wkst'!$G$7:$G$2010,$D59,'LAC 102_Wkst'!$L$7:$L$2010,"06",'LAC 102_Wkst'!$N$7:$N$2010,"P3")</f>
        <v>0</v>
      </c>
      <c r="U59" s="411">
        <f>SUMIFS('LAC 102_Wkst'!$AE$7:$AE$2010,'LAC 102_Wkst'!$E$7:$E$2010,$C59,'LAC 102_Wkst'!$G$7:$G$2010,$D59,'LAC 102_Wkst'!$L$7:$L$2010,"05",'LAC 102_Wkst'!$N$7:$N$2010,"P2")+SUMIFS('LAC 102_Wkst'!$AE$7:$AE$2010,'LAC 102_Wkst'!$E$7:$E$2010,$C59,'LAC 102_Wkst'!$G$7:$G$2010,$D59,'LAC 102_Wkst'!$L$7:$L$2010,"06",'LAC 102_Wkst'!$N$7:$N$2010,"P3")+SUMIFS('LAC 102_Wkst'!$AE$7:$AE$2010,'LAC 102_Wkst'!$E$7:$E$2010,$C59,'LAC 102_Wkst'!$G$7:$G$2010,$D59,'LAC 102_Wkst'!$L$7:$L$2010,"05",'LAC 102_Wkst'!$N$7:$N$2010,"P2")+SUMIFS('LAC 102_Wkst'!$AE$7:$AE$2010,'LAC 102_Wkst'!$E$7:$E$2010,$C59,'LAC 102_Wkst'!$G$7:$G$2010,$D59,'LAC 102_Wkst'!$L$7:$L$2010,"06",'LAC 102_Wkst'!$N$7:$N$2010,"P3")</f>
        <v>0</v>
      </c>
      <c r="V59" s="410">
        <f>SUMIFS('LAC 102_Wkst'!$Q$7:$Q$2010,'LAC 102_Wkst'!$E$7:$E$2010,$C59,'LAC 102_Wkst'!$G$7:$G$2010,$D59,'LAC 102_Wkst'!$L$7:$L$2010,"05",'LAC 102_Wkst'!$N$7:$N$2010,"P4")+SUMIFS('LAC 102_Wkst'!$Q$7:$Q$2010,'LAC 102_Wkst'!$E$7:$E$2010,$C59,'LAC 102_Wkst'!$G$7:$G$2010,$D59,'LAC 102_Wkst'!$L$7:$L$2010,"06",'LAC 102_Wkst'!$N$7:$N$2010,"P4")</f>
        <v>0</v>
      </c>
      <c r="W59" s="411">
        <f>SUMIFS('LAC 102_Wkst'!$AE$7:$AE$2010,'LAC 102_Wkst'!$E$7:$E$2010,$C59,'LAC 102_Wkst'!$G$7:$G$2010,$D59,'LAC 102_Wkst'!$L$7:$L$2010,"05",'LAC 102_Wkst'!$N$7:$N$2010,"P4")+SUMIFS('LAC 102_Wkst'!$AE$7:$AE$2010,'LAC 102_Wkst'!$E$7:$E$2010,$C59,'LAC 102_Wkst'!$G$7:$G$2010,$D59,'LAC 102_Wkst'!$L$7:$L$2010,"06",'LAC 102_Wkst'!$N$7:$N$2010,"P4")</f>
        <v>0</v>
      </c>
      <c r="X59" s="410">
        <f>SUMIFS('LAC 102_Wkst'!$Q$7:$Q$2010,'LAC 102_Wkst'!$E$7:$E$2010,$C59,'LAC 102_Wkst'!$G$7:$G$2010,$D59,'LAC 102_Wkst'!$L$7:$L$2010,"05",'LAC 102_Wkst'!$N$7:$N$2010,"P5")+SUMIFS('LAC 102_Wkst'!$Q$7:$Q$2010,'LAC 102_Wkst'!$E$7:$E$2010,$C59,'LAC 102_Wkst'!$G$7:$G$2010,$D59,'LAC 102_Wkst'!$L$7:$L$2010,"06",'LAC 102_Wkst'!$N$7:$N$2010,"P5")</f>
        <v>0</v>
      </c>
      <c r="Y59" s="411">
        <f>SUMIFS('LAC 102_Wkst'!$AE$7:$AE$2010,'LAC 102_Wkst'!$E$7:$E$2010,$C59,'LAC 102_Wkst'!$G$7:$G$2010,$D59,'LAC 102_Wkst'!$L$7:$L$2010,"05",'LAC 102_Wkst'!$N$7:$N$2010,"P5")+SUMIFS('LAC 102_Wkst'!$AE$7:$AE$2010,'LAC 102_Wkst'!$E$7:$E$2010,$C59,'LAC 102_Wkst'!$G$7:$G$2010,$D59,'LAC 102_Wkst'!$L$7:$L$2010,"06",'LAC 102_Wkst'!$N$7:$N$2010,"P5")</f>
        <v>0</v>
      </c>
      <c r="Z59" s="410">
        <f>SUMIFS('LAC 102_Wkst'!$Q$7:$Q$2010,'LAC 102_Wkst'!$E$7:$E$2010,$C59,'LAC 102_Wkst'!$G$7:$G$2010,$D59,'LAC 102_Wkst'!$L$7:$L$2010,"07",'LAC 102_Wkst'!$N$7:$N$2010,"P1")+SUMIFS('LAC 102_Wkst'!$Q$7:$Q$2010,'LAC 102_Wkst'!$E$7:$E$2010,$C59,'LAC 102_Wkst'!$G$7:$G$2010,$D59,'LAC 102_Wkst'!$L$7:$L$2010,"07",'LAC 102_Wkst'!$N$7:$N$2010,"P2")+SUMIFS('LAC 102_Wkst'!$Q$7:$Q$2010,'LAC 102_Wkst'!$E$7:$E$2010,$C59,'LAC 102_Wkst'!$G$7:$G$2010,$D59,'LAC 102_Wkst'!$L$7:$L$2010,"07",'LAC 102_Wkst'!$N$7:$N$2010,"P3")</f>
        <v>0</v>
      </c>
      <c r="AA59" s="411">
        <f>SUMIFS('LAC 102_Wkst'!$AE$7:$AE$2010,'LAC 102_Wkst'!$E$7:$E$2010,$C59,'LAC 102_Wkst'!$G$7:$G$2010,$D59,'LAC 102_Wkst'!$L$7:$L$2010,"07",'LAC 102_Wkst'!$N$7:$N$2010,"P1")+SUMIFS('LAC 102_Wkst'!$AE$7:$AE$2010,'LAC 102_Wkst'!$E$7:$E$2010,$C59,'LAC 102_Wkst'!$G$7:$G$2010,$D59,'LAC 102_Wkst'!$L$7:$L$2010,"07",'LAC 102_Wkst'!$N$7:$N$2010,"P2")+SUMIFS('LAC 102_Wkst'!$AE$7:$AE$2010,'LAC 102_Wkst'!$E$7:$E$2010,$C59,'LAC 102_Wkst'!$G$7:$G$2010,$D59,'LAC 102_Wkst'!$L$7:$L$2010,"07",'LAC 102_Wkst'!$N$7:$N$2010,"P3")</f>
        <v>0</v>
      </c>
      <c r="AB59" s="410">
        <f>SUMIFS('LAC 102_Wkst'!$Q$7:$Q$2010,'LAC 102_Wkst'!$E$7:$E$2010,$C59,'LAC 102_Wkst'!$G$7:$G$2010,$D59,'LAC 102_Wkst'!$L$7:$L$2010,"07",'LAC 102_Wkst'!$N$7:$N$2010,"P4")</f>
        <v>0</v>
      </c>
      <c r="AC59" s="411">
        <f>SUMIFS('LAC 102_Wkst'!$AE$7:$AE$2010,'LAC 102_Wkst'!$E$7:$E$2010,$C59,'LAC 102_Wkst'!$G$7:$G$2010,$D59,'LAC 102_Wkst'!$L$7:$L$2010,"07",'LAC 102_Wkst'!$N$7:$N$2010,"P4")</f>
        <v>0</v>
      </c>
      <c r="AD59" s="410">
        <f>SUMIFS('LAC 102_Wkst'!$Q$7:$Q$2010,'LAC 102_Wkst'!$E$7:$E$2010,$C59,'LAC 102_Wkst'!$G$7:$G$2010,$D59,'LAC 102_Wkst'!$L$7:$L$2010,"07",'LAC 102_Wkst'!$N$7:$N$2010,"P5")</f>
        <v>0</v>
      </c>
      <c r="AE59" s="411">
        <f>SUMIFS('LAC 102_Wkst'!$AE$7:$AE$2010,'LAC 102_Wkst'!$E$7:$E$2010,$C59,'LAC 102_Wkst'!$G$7:$G$2010,$D59,'LAC 102_Wkst'!$L$7:$L$2010,"07",'LAC 102_Wkst'!$N$7:$N$2010,"P5")</f>
        <v>0</v>
      </c>
      <c r="AF59" s="410">
        <f>SUMIFS('LAC 102_Wkst'!$Q$7:$Q$2010,'LAC 102_Wkst'!$E$7:$E$2010,$C59,'LAC 102_Wkst'!$G$7:$G$2010,$D59,'LAC 102_Wkst'!$L$7:$L$2010,"08",'LAC 102_Wkst'!$N$7:$N$2010,"P1")+SUMIFS('LAC 102_Wkst'!$Q$7:$Q$2010,'LAC 102_Wkst'!$E$7:$E$2010,$C59,'LAC 102_Wkst'!$G$7:$G$2010,$D59,'LAC 102_Wkst'!$L$7:$L$2010,"08",'LAC 102_Wkst'!$N$7:$N$2010,"P2")+SUMIFS('LAC 102_Wkst'!$Q$7:$Q$2010,'LAC 102_Wkst'!$E$7:$E$2010,$C59,'LAC 102_Wkst'!$G$7:$G$2010,$D59,'LAC 102_Wkst'!$L$7:$L$2010,"08",'LAC 102_Wkst'!$N$7:$N$2010,"P3")</f>
        <v>0</v>
      </c>
      <c r="AG59" s="411">
        <f>SUMIFS('LAC 102_Wkst'!$AE$7:$AE$2010,'LAC 102_Wkst'!$E$7:$E$2010,$C59,'LAC 102_Wkst'!$G$7:$G$2010,$D59,'LAC 102_Wkst'!$L$7:$L$2010,"08",'LAC 102_Wkst'!$N$7:$N$2010,"P1")+SUMIFS('LAC 102_Wkst'!$AE$7:$AE$2010,'LAC 102_Wkst'!$E$7:$E$2010,$C59,'LAC 102_Wkst'!$G$7:$G$2010,$D59,'LAC 102_Wkst'!$L$7:$L$2010,"08",'LAC 102_Wkst'!$N$7:$N$2010,"P2")+SUMIFS('LAC 102_Wkst'!$AE$7:$AE$2010,'LAC 102_Wkst'!$E$7:$E$2010,$C59,'LAC 102_Wkst'!$G$7:$G$2010,$D59,'LAC 102_Wkst'!$L$7:$L$2010,"08",'LAC 102_Wkst'!$N$7:$N$2010,"P3")</f>
        <v>0</v>
      </c>
      <c r="AH59" s="410">
        <f>SUMIFS('LAC 102_Wkst'!$Q$7:$Q$2010,'LAC 102_Wkst'!$E$7:$E$2010,$C59,'LAC 102_Wkst'!$G$7:$G$2010,$D59,'LAC 102_Wkst'!$L$7:$L$2010,"08",'LAC 102_Wkst'!$N$7:$N$2010,"P4")</f>
        <v>0</v>
      </c>
      <c r="AI59" s="411">
        <f>SUMIFS('LAC 102_Wkst'!$AE$7:$AE$2010,'LAC 102_Wkst'!$E$7:$E$2010,$C59,'LAC 102_Wkst'!$G$7:$G$2010,$D59,'LAC 102_Wkst'!$L$7:$L$2010,"08",'LAC 102_Wkst'!$N$7:$N$2010,"P4")</f>
        <v>0</v>
      </c>
      <c r="AJ59" s="410">
        <f>SUMIFS('LAC 102_Wkst'!$Q$7:$Q$2010,'LAC 102_Wkst'!$E$7:$E$2010,$C59,'LAC 102_Wkst'!$G$7:$G$2010,$D59,'LAC 102_Wkst'!$L$7:$L$2010,"08",'LAC 102_Wkst'!$N$7:$N$2010,"P5")</f>
        <v>0</v>
      </c>
      <c r="AK59" s="411">
        <f>SUMIFS('LAC 102_Wkst'!$AE$7:$AE$2010,'LAC 102_Wkst'!$E$7:$E$2010,$C59,'LAC 102_Wkst'!$G$7:$G$2010,$D59,'LAC 102_Wkst'!$L$7:$L$2010,"08",'LAC 102_Wkst'!$N$7:$N$2010,"P5")</f>
        <v>0</v>
      </c>
      <c r="AL59" s="410">
        <f>SUMIFS('LAC 102_Wkst'!$Q$7:$Q$2010,'LAC 102_Wkst'!$E$7:$E$2010,$C59,'LAC 102_Wkst'!$G$7:$G$2010,$D59,'LAC 102_Wkst'!$L$7:$L$2010,"09",'LAC 102_Wkst'!$N$7:$N$2010,"P1")+SUMIFS('LAC 102_Wkst'!$Q$7:$Q$2010,'LAC 102_Wkst'!$E$7:$E$2010,$C59,'LAC 102_Wkst'!$G$7:$G$2010,$D59,'LAC 102_Wkst'!$L$7:$L$2010,"09",'LAC 102_Wkst'!$N$7:$N$2010,"P2")+SUMIFS('LAC 102_Wkst'!$Q$7:$Q$2010,'LAC 102_Wkst'!$E$7:$E$2010,$C59,'LAC 102_Wkst'!$G$7:$G$2010,$D59,'LAC 102_Wkst'!$L$7:$L$2010,"09",'LAC 102_Wkst'!$N$7:$N$2010,"P3")+SUMIFS('LAC 102_Wkst'!$Q$7:$Q$2010,'LAC 102_Wkst'!$E$7:$E$2010,$C59,'LAC 102_Wkst'!$G$7:$G$2010,$D59,'LAC 102_Wkst'!$L$7:$L$2010,"09",'LAC 102_Wkst'!$N$7:$N$2010,"P4")</f>
        <v>0</v>
      </c>
      <c r="AM59" s="411">
        <f>SUMIFS('LAC 102_Wkst'!$AE$7:$AE$2010,'LAC 102_Wkst'!$E$7:$E$2010,$C59,'LAC 102_Wkst'!$G$7:$G$2010,$D59,'LAC 102_Wkst'!$L$7:$L$2010,"09",'LAC 102_Wkst'!$N$7:$N$2010,"P1")+SUMIFS('LAC 102_Wkst'!$AE$7:$AE$2010,'LAC 102_Wkst'!$E$7:$E$2010,$C59,'LAC 102_Wkst'!$G$7:$G$2010,$D59,'LAC 102_Wkst'!$L$7:$L$2010,"09",'LAC 102_Wkst'!$N$7:$N$2010,"P2")+SUMIFS('LAC 102_Wkst'!$AE$7:$AE$2010,'LAC 102_Wkst'!$E$7:$E$2010,$C59,'LAC 102_Wkst'!$G$7:$G$2010,$D59,'LAC 102_Wkst'!$L$7:$L$2010,"09",'LAC 102_Wkst'!$N$7:$N$2010,"P3")+SUMIFS('LAC 102_Wkst'!$AE$7:$AE$2010,'LAC 102_Wkst'!$E$7:$E$2010,$C59,'LAC 102_Wkst'!$G$7:$G$2010,$D59,'LAC 102_Wkst'!$L$7:$L$2010,"09",'LAC 102_Wkst'!$N$7:$N$2010,"P4")</f>
        <v>0</v>
      </c>
      <c r="AN59" s="410">
        <f>SUMIFS('LAC 102_Wkst'!$Q$7:$Q$2010,'LAC 102_Wkst'!$E$7:$E$2010,$C59,'LAC 102_Wkst'!$G$7:$G$2010,$D59,'LAC 102_Wkst'!$L$7:$L$2010,"09",'LAC 102_Wkst'!$N$7:$N$2010,"P5")</f>
        <v>0</v>
      </c>
      <c r="AO59" s="411">
        <f>SUMIFS('LAC 102_Wkst'!$AE$7:$AE$2010,'LAC 102_Wkst'!$E$7:$E$2010,$C59,'LAC 102_Wkst'!$G$7:$G$2010,$D59,'LAC 102_Wkst'!$L$7:$L$2010,"09",'LAC 102_Wkst'!$N$7:$N$2010,"P5")</f>
        <v>0</v>
      </c>
      <c r="AP59" s="410">
        <f>SUMIFS('LAC 102_Wkst'!$Q$7:$Q$2010,'LAC 102_Wkst'!$E$7:$E$2010,$C59,'LAC 102_Wkst'!$G$7:$G$2010,$D59,'LAC 102_Wkst'!$L$7:$L$2010,"10",'LAC 102_Wkst'!$N$7:$N$2010,"P1")+SUMIFS('LAC 102_Wkst'!$Q$7:$Q$2010,'LAC 102_Wkst'!$E$7:$E$2010,$C59,'LAC 102_Wkst'!$G$7:$G$2010,$D59,'LAC 102_Wkst'!$L$7:$L$2010,"10",'LAC 102_Wkst'!$N$7:$N$2010,"P2")+SUMIFS('LAC 102_Wkst'!$Q$7:$Q$2010,'LAC 102_Wkst'!$E$7:$E$2010,$C59,'LAC 102_Wkst'!$G$7:$G$2010,$D59,'LAC 102_Wkst'!$L$7:$L$2010,"10",'LAC 102_Wkst'!$N$7:$N$2010,"P3")+SUMIFS('LAC 102_Wkst'!$Q$7:$Q$2010,'LAC 102_Wkst'!$E$7:$E$2010,$C59,'LAC 102_Wkst'!$G$7:$G$2010,$D59,'LAC 102_Wkst'!$L$7:$L$2010,"10",'LAC 102_Wkst'!$N$7:$N$2010,"P4")</f>
        <v>0</v>
      </c>
      <c r="AQ59" s="411">
        <f>SUMIFS('LAC 102_Wkst'!$AE$7:$AE$2010,'LAC 102_Wkst'!$E$7:$E$2010,$C59,'LAC 102_Wkst'!$G$7:$G$2010,$D59,'LAC 102_Wkst'!$L$7:$L$2010,"10",'LAC 102_Wkst'!$N$7:$N$2010,"P1")+SUMIFS('LAC 102_Wkst'!$AE$7:$AE$2010,'LAC 102_Wkst'!$E$7:$E$2010,$C59,'LAC 102_Wkst'!$G$7:$G$2010,$D59,'LAC 102_Wkst'!$L$7:$L$2010,"10",'LAC 102_Wkst'!$N$7:$N$2010,"P2")+SUMIFS('LAC 102_Wkst'!$AE$7:$AE$2010,'LAC 102_Wkst'!$E$7:$E$2010,$C59,'LAC 102_Wkst'!$G$7:$G$2010,$D59,'LAC 102_Wkst'!$L$7:$L$2010,"10",'LAC 102_Wkst'!$N$7:$N$2010,"P3")+SUMIFS('LAC 102_Wkst'!$AE$7:$AE$2010,'LAC 102_Wkst'!$E$7:$E$2010,$C59,'LAC 102_Wkst'!$G$7:$G$2010,$D59,'LAC 102_Wkst'!$L$7:$L$2010,"10",'LAC 102_Wkst'!$N$7:$N$2010,"P4")</f>
        <v>0</v>
      </c>
      <c r="AR59" s="410">
        <f>SUMIFS('LAC 102_Wkst'!$Q$7:$Q$2010,'LAC 102_Wkst'!$E$7:$E$2010,$C59,'LAC 102_Wkst'!$G$7:$G$2010,$D59,'LAC 102_Wkst'!$L$7:$L$2010,"10",'LAC 102_Wkst'!$N$7:$N$2010,"P5")</f>
        <v>0</v>
      </c>
      <c r="AS59" s="411">
        <f>SUMIFS('LAC 102_Wkst'!$AE$7:$AE$2010,'LAC 102_Wkst'!$E$7:$E$2010,$C59,'LAC 102_Wkst'!$G$7:$G$2010,$D59,'LAC 102_Wkst'!$L$7:$L$2010,"10",'LAC 102_Wkst'!$N$7:$N$2010,"P5")</f>
        <v>0</v>
      </c>
      <c r="AT59" s="410">
        <f>SUMIFS('LAC 102_Wkst'!$Q$7:$Q$2010,'LAC 102_Wkst'!$E$7:$E$2010,$C59,'LAC 102_Wkst'!$G$7:$G$2010,$D59,'LAC 102_Wkst'!$L$7:$L$2010,"11",'LAC 102_Wkst'!$N$7:$N$2010,"P1")+SUMIFS('LAC 102_Wkst'!$Q$7:$Q$2010,'LAC 102_Wkst'!$E$7:$E$2010,$C59,'LAC 102_Wkst'!$G$7:$G$2010,$D59,'LAC 102_Wkst'!$L$7:$L$2010,"12",'LAC 102_Wkst'!$N$7:$N$2010,"P1")</f>
        <v>0</v>
      </c>
      <c r="AU59" s="411">
        <f>SUMIFS('LAC 102_Wkst'!$AE$7:$AE$2010,'LAC 102_Wkst'!$E$7:$E$2010,$C59,'LAC 102_Wkst'!$G$7:$G$2010,$D59,'LAC 102_Wkst'!$L$7:$L$2010,"11",'LAC 102_Wkst'!$N$7:$N$2010,"P1")+SUMIFS('LAC 102_Wkst'!$AE$7:$AE$2010,'LAC 102_Wkst'!$E$7:$E$2010,$C59,'LAC 102_Wkst'!$G$7:$G$2010,$D59,'LAC 102_Wkst'!$L$7:$L$2010,"12",'LAC 102_Wkst'!$N$7:$N$2010,"P1")</f>
        <v>0</v>
      </c>
      <c r="AV59" s="410">
        <f>SUMIFS('LAC 102_Wkst'!$Q$7:$Q$2010,'LAC 102_Wkst'!$E$7:$E$2010,$C59,'LAC 102_Wkst'!$G$7:$G$2010,$D59,'LAC 102_Wkst'!$L$7:$L$2010,"11",'LAC 102_Wkst'!$N$7:$N$2010,"P2")+SUMIFS('LAC 102_Wkst'!$Q$7:$Q$2010,'LAC 102_Wkst'!$E$7:$E$2010,$C59,'LAC 102_Wkst'!$G$7:$G$2010,$D59,'LAC 102_Wkst'!$L$7:$L$2010,"12",'LAC 102_Wkst'!$N$7:$N$2010,"P3")+SUMIFS('LAC 102_Wkst'!$Q$7:$Q$2010,'LAC 102_Wkst'!$E$7:$E$2010,$C59,'LAC 102_Wkst'!$G$7:$G$2010,$D59,'LAC 102_Wkst'!$L$7:$L$2010,"11",'LAC 102_Wkst'!$N$7:$N$2010,"P2")+SUMIFS('LAC 102_Wkst'!$Q$7:$Q$2010,'LAC 102_Wkst'!$E$7:$E$2010,$C59,'LAC 102_Wkst'!$G$7:$G$2010,$D59,'LAC 102_Wkst'!$L$7:$L$2010,"12",'LAC 102_Wkst'!$N$7:$N$2010,"P3")</f>
        <v>0</v>
      </c>
      <c r="AW59" s="411">
        <f>SUMIFS('LAC 102_Wkst'!$AE$7:$AE$2010,'LAC 102_Wkst'!$E$7:$E$2010,$C59,'LAC 102_Wkst'!$G$7:$G$2010,$D59,'LAC 102_Wkst'!$L$7:$L$2010,"11",'LAC 102_Wkst'!$N$7:$N$2010,"P2")+SUMIFS('LAC 102_Wkst'!$AE$7:$AE$2010,'LAC 102_Wkst'!$E$7:$E$2010,$C59,'LAC 102_Wkst'!$G$7:$G$2010,$D59,'LAC 102_Wkst'!$L$7:$L$2010,"12",'LAC 102_Wkst'!$N$7:$N$2010,"P3")+SUMIFS('LAC 102_Wkst'!$AE$7:$AE$2010,'LAC 102_Wkst'!$E$7:$E$2010,$C59,'LAC 102_Wkst'!$G$7:$G$2010,$D59,'LAC 102_Wkst'!$L$7:$L$2010,"11",'LAC 102_Wkst'!$N$7:$N$2010,"P2")+SUMIFS('LAC 102_Wkst'!$AE$7:$AE$2010,'LAC 102_Wkst'!$E$7:$E$2010,$C59,'LAC 102_Wkst'!$G$7:$G$2010,$D59,'LAC 102_Wkst'!$L$7:$L$2010,"12",'LAC 102_Wkst'!$N$7:$N$2010,"P3")</f>
        <v>0</v>
      </c>
      <c r="AX59" s="410">
        <f>SUMIFS('LAC 102_Wkst'!$Q$7:$Q$2010,'LAC 102_Wkst'!$E$7:$E$2010,$C59,'LAC 102_Wkst'!$G$7:$G$2010,$D59,'LAC 102_Wkst'!$L$7:$L$2010,"11",'LAC 102_Wkst'!$N$7:$N$2010,"P4")+SUMIFS('LAC 102_Wkst'!$Q$7:$Q$2010,'LAC 102_Wkst'!$E$7:$E$2010,$C59,'LAC 102_Wkst'!$G$7:$G$2010,$D59,'LAC 102_Wkst'!$L$7:$L$2010,"12",'LAC 102_Wkst'!$N$7:$N$2010,"P4")</f>
        <v>0</v>
      </c>
      <c r="AY59" s="411">
        <f>SUMIFS('LAC 102_Wkst'!$AE$7:$AE$2010,'LAC 102_Wkst'!$E$7:$E$2010,$C59,'LAC 102_Wkst'!$G$7:$G$2010,$D59,'LAC 102_Wkst'!$L$7:$L$2010,"11",'LAC 102_Wkst'!$N$7:$N$2010,"P4")+SUMIFS('LAC 102_Wkst'!$AE$7:$AE$2010,'LAC 102_Wkst'!$E$7:$E$2010,$C59,'LAC 102_Wkst'!$G$7:$G$2010,$D59,'LAC 102_Wkst'!$L$7:$L$2010,"12",'LAC 102_Wkst'!$N$7:$N$2010,"P4")</f>
        <v>0</v>
      </c>
      <c r="AZ59" s="410">
        <f>SUMIFS('LAC 102_Wkst'!$Q$7:$Q$2010,'LAC 102_Wkst'!$E$7:$E$2010,$C59,'LAC 102_Wkst'!$G$7:$G$2010,$D59,'LAC 102_Wkst'!$L$7:$L$2010,"11",'LAC 102_Wkst'!$N$7:$N$2010,"P5")+SUMIFS('LAC 102_Wkst'!$Q$7:$Q$2010,'LAC 102_Wkst'!$E$7:$E$2010,$C59,'LAC 102_Wkst'!$G$7:$G$2010,$D59,'LAC 102_Wkst'!$L$7:$L$2010,"12",'LAC 102_Wkst'!$N$7:$N$2010,"P5")</f>
        <v>0</v>
      </c>
      <c r="BA59" s="411">
        <f>SUMIFS('LAC 102_Wkst'!$AE$7:$AE$2010,'LAC 102_Wkst'!$E$7:$E$2010,$C59,'LAC 102_Wkst'!$G$7:$G$2010,$D59,'LAC 102_Wkst'!$L$7:$L$2010,"11",'LAC 102_Wkst'!$N$7:$N$2010,"P5")+SUMIFS('LAC 102_Wkst'!$AE$7:$AE$2010,'LAC 102_Wkst'!$E$7:$E$2010,$C59,'LAC 102_Wkst'!$G$7:$G$2010,$D59,'LAC 102_Wkst'!$L$7:$L$2010,"12",'LAC 102_Wkst'!$N$7:$N$2010,"P5")</f>
        <v>0</v>
      </c>
      <c r="BB59" s="410">
        <f>SUMIFS('LAC 102_Wkst'!$Q$7:$Q$2010,'LAC 102_Wkst'!$E$7:$E$2010,$C59,'LAC 102_Wkst'!$G$7:$G$2010,$D59,'LAC 102_Wkst'!$L$7:$L$2010,"13",'LAC 102_Wkst'!$N$7:$N$2010,"P1")+SUMIFS('LAC 102_Wkst'!$Q$7:$Q$2010,'LAC 102_Wkst'!$E$7:$E$2010,$C59,'LAC 102_Wkst'!$G$7:$G$2010,$D59,'LAC 102_Wkst'!$L$7:$L$2010,"13",'LAC 102_Wkst'!$N$7:$N$2010,"P2")+SUMIFS('LAC 102_Wkst'!$Q$7:$Q$2010,'LAC 102_Wkst'!$E$7:$E$2010,$C59,'LAC 102_Wkst'!$G$7:$G$2010,$D59,'LAC 102_Wkst'!$L$7:$L$2010,"13",'LAC 102_Wkst'!$N$7:$N$2010,"P3")+SUMIFS('LAC 102_Wkst'!$Q$7:$Q$2010,'LAC 102_Wkst'!$E$7:$E$2010,$C59,'LAC 102_Wkst'!$G$7:$G$2010,$D59,'LAC 102_Wkst'!$L$7:$L$2010,"13",'LAC 102_Wkst'!$N$7:$N$2010,"P4")</f>
        <v>0</v>
      </c>
      <c r="BC59" s="411">
        <f>SUMIFS('LAC 102_Wkst'!$AE$7:$AE$2010,'LAC 102_Wkst'!$E$7:$E$2010,$C59,'LAC 102_Wkst'!$G$7:$G$2010,$D59,'LAC 102_Wkst'!$L$7:$L$2010,"13",'LAC 102_Wkst'!$N$7:$N$2010,"P1")+SUMIFS('LAC 102_Wkst'!$AE$7:$AE$2010,'LAC 102_Wkst'!$E$7:$E$2010,$C59,'LAC 102_Wkst'!$G$7:$G$2010,$D59,'LAC 102_Wkst'!$L$7:$L$2010,"13",'LAC 102_Wkst'!$N$7:$N$2010,"P2")+SUMIFS('LAC 102_Wkst'!$AE$7:$AE$2010,'LAC 102_Wkst'!$E$7:$E$2010,$C59,'LAC 102_Wkst'!$G$7:$G$2010,$D59,'LAC 102_Wkst'!$L$7:$L$2010,"13",'LAC 102_Wkst'!$N$7:$N$2010,"P3")+SUMIFS('LAC 102_Wkst'!$AE$7:$AE$2010,'LAC 102_Wkst'!$E$7:$E$2010,$C59,'LAC 102_Wkst'!$G$7:$G$2010,$D59,'LAC 102_Wkst'!$L$7:$L$2010,"13",'LAC 102_Wkst'!$N$7:$N$2010,"P4")</f>
        <v>0</v>
      </c>
      <c r="BD59" s="410">
        <f>SUMIFS('LAC 102_Wkst'!$Q$7:$Q$2010,'LAC 102_Wkst'!$E$7:$E$2010,$C59,'LAC 102_Wkst'!$G$7:$G$2010,$D59,'LAC 102_Wkst'!$L$7:$L$2010,"13",'LAC 102_Wkst'!$N$7:$N$2010,"P5")</f>
        <v>0</v>
      </c>
      <c r="BE59" s="411">
        <f>SUMIFS('LAC 102_Wkst'!$AE$7:$AE$2010,'LAC 102_Wkst'!$E$7:$E$2010,$C59,'LAC 102_Wkst'!$G$7:$G$2010,$D59,'LAC 102_Wkst'!$L$7:$L$2010,"13",'LAC 102_Wkst'!$N$7:$N$2010,"P5")</f>
        <v>0</v>
      </c>
      <c r="BF59" s="407">
        <f t="shared" si="0"/>
        <v>0</v>
      </c>
    </row>
    <row r="60" spans="1:58" x14ac:dyDescent="0.2">
      <c r="A60" s="401">
        <v>41</v>
      </c>
      <c r="B60" s="1236"/>
      <c r="C60" s="1235"/>
      <c r="D60" s="1237"/>
      <c r="E60" s="1222">
        <f>IF(CONCATENATE(C60,D60)&gt;"6069",1,SUMIFS('LAC 102_Wkst'!$Q$7:$Q$2010,'LAC 102_Wkst'!$E$7:$E$2010,Schedule_B!$C60,'LAC 102_Wkst'!$G$7:$G$2010,Schedule_B!$D60))</f>
        <v>0</v>
      </c>
      <c r="F60" s="408">
        <f>SUMIFS('LAC 102_Wkst'!$Q$7:$Q$2010,'LAC 102_Wkst'!$E$7:$E$2010,$C60,'LAC 102_Wkst'!$G$7:$G$2010,$D60,'LAC 102_Wkst'!$L$7:$L$2010,"01",'LAC 102_Wkst'!$N$7:$N$2010,"P1")+SUMIFS('LAC 102_Wkst'!$Q$7:$Q$2010,'LAC 102_Wkst'!$E$7:$E$2010,$C60,'LAC 102_Wkst'!$G$7:$G$2010,$D60,'LAC 102_Wkst'!$L$7:$L$2010,"01",'LAC 102_Wkst'!$N$7:$N$2010,"P2")+SUMIFS('LAC 102_Wkst'!$Q$7:$Q$2010,'LAC 102_Wkst'!$E$7:$E$2010,$C60,'LAC 102_Wkst'!$G$7:$G$2010,$D60,'LAC 102_Wkst'!$L$7:$L$2010,"01",'LAC 102_Wkst'!$N$7:$N$2010,"P3")+SUMIFS('LAC 102_Wkst'!$Q$7:$Q$2010,'LAC 102_Wkst'!$E$7:$E$2010,$C60,'LAC 102_Wkst'!$G$7:$G$2010,$D60,'LAC 102_Wkst'!$L$7:$L$2010,"02",'LAC 102_Wkst'!$N$7:$N$2010,"P1")+SUMIFS('LAC 102_Wkst'!$Q$7:$Q$2010,'LAC 102_Wkst'!$E$7:$E$2010,$C60,'LAC 102_Wkst'!$G$7:$G$2010,$D60,'LAC 102_Wkst'!$L$7:$L$2010,"02",'LAC 102_Wkst'!$N$7:$N$2010,"P2")+SUMIFS('LAC 102_Wkst'!$Q$7:$Q$2010,'LAC 102_Wkst'!$E$7:$E$2010,$C60,'LAC 102_Wkst'!$G$7:$G$2010,$D60,'LAC 102_Wkst'!$L$7:$L$2010,"02",'LAC 102_Wkst'!$N$7:$N$2010,"P3")</f>
        <v>0</v>
      </c>
      <c r="G60" s="409">
        <f>SUMIFS('LAC 102_Wkst'!$AE$7:$AE$2010,'LAC 102_Wkst'!$E$7:$E$2010,$C60,'LAC 102_Wkst'!$G$7:$G$2010,$D60,'LAC 102_Wkst'!$L$7:$L$2010,"01",'LAC 102_Wkst'!$N$7:$N$2010,"P1")+SUMIFS('LAC 102_Wkst'!$AE$7:$AE$2010,'LAC 102_Wkst'!$E$7:$E$2010,$C60,'LAC 102_Wkst'!$G$7:$G$2010,$D60,'LAC 102_Wkst'!$L$7:$L$2010,"01",'LAC 102_Wkst'!$N$7:$N$2010,"P2")+SUMIFS('LAC 102_Wkst'!$AE$7:$AE$2010,'LAC 102_Wkst'!$E$7:$E$2010,$C60,'LAC 102_Wkst'!$G$7:$G$2010,$D60,'LAC 102_Wkst'!$L$7:$L$2010,"01",'LAC 102_Wkst'!$N$7:$N$2010,"P3")+SUMIFS('LAC 102_Wkst'!$AE$7:$AE$2010,'LAC 102_Wkst'!$E$7:$E$2010,$C60,'LAC 102_Wkst'!$G$7:$G$2010,$D60,'LAC 102_Wkst'!$L$7:$L$2010,"02",'LAC 102_Wkst'!$N$7:$N$2010,"P1")+SUMIFS('LAC 102_Wkst'!$AE$7:$AE$2010,'LAC 102_Wkst'!$E$7:$E$2010,$C60,'LAC 102_Wkst'!$G$7:$G$2010,$D60,'LAC 102_Wkst'!$L$7:$L$2010,"02",'LAC 102_Wkst'!$N$7:$N$2010,"P2")+SUMIFS('LAC 102_Wkst'!$AE$7:$AE$2010,'LAC 102_Wkst'!$E$7:$E$2010,$C60,'LAC 102_Wkst'!$G$7:$G$2010,$D60,'LAC 102_Wkst'!$L$7:$L$2010,"02",'LAC 102_Wkst'!$N$7:$N$2010,"P3")</f>
        <v>0</v>
      </c>
      <c r="H60" s="410">
        <f>SUMIFS('LAC 102_Wkst'!$Q$7:$Q$2010,'LAC 102_Wkst'!$E$7:$E$2010,$C60,'LAC 102_Wkst'!$G$7:$G$2010,$D60,'LAC 102_Wkst'!$L$7:$L$2010,"01",'LAC 102_Wkst'!$N$7:$N$2010,"P4")+SUMIFS('LAC 102_Wkst'!$Q$7:$Q$2010,'LAC 102_Wkst'!$E$7:$E$2010,$C60,'LAC 102_Wkst'!$G$7:$G$2010,$D60,'LAC 102_Wkst'!$L$7:$L$2010,"02",'LAC 102_Wkst'!$N$7:$N$2010,"P4")</f>
        <v>0</v>
      </c>
      <c r="I60" s="411">
        <f>SUMIFS('LAC 102_Wkst'!$AE$7:$AE$2010,'LAC 102_Wkst'!$E$7:$E$2010,$C60,'LAC 102_Wkst'!$G$7:$G$2010,$D60,'LAC 102_Wkst'!$L$7:$L$2010,"01",'LAC 102_Wkst'!$N$7:$N$2010,"P4")+SUMIFS('LAC 102_Wkst'!$AE$7:$AE$2010,'LAC 102_Wkst'!$E$7:$E$2010,$C60,'LAC 102_Wkst'!$G$7:$G$2010,$D60,'LAC 102_Wkst'!$L$7:$L$2010,"02",'LAC 102_Wkst'!$N$7:$N$2010,"P4")</f>
        <v>0</v>
      </c>
      <c r="J60" s="410">
        <f>SUMIFS('LAC 102_Wkst'!$Q$7:$Q$2010,'LAC 102_Wkst'!$E$7:$E$2010,$C60,'LAC 102_Wkst'!$G$7:$G$2010,$D60,'LAC 102_Wkst'!$L$7:$L$2010,"01",'LAC 102_Wkst'!$N$7:$N$2010,"P5")+SUMIFS('LAC 102_Wkst'!$Q$7:$Q$2010,'LAC 102_Wkst'!$E$7:$E$2010,$C60,'LAC 102_Wkst'!$G$7:$G$2010,$D60,'LAC 102_Wkst'!$L$7:$L$2010,"02",'LAC 102_Wkst'!$N$7:$N$2010,"P5")</f>
        <v>0</v>
      </c>
      <c r="K60" s="411">
        <f>SUMIFS('LAC 102_Wkst'!$AE$7:$AE$2010,'LAC 102_Wkst'!$E$7:$E$2010,$C60,'LAC 102_Wkst'!$G$7:$G$2010,$D60,'LAC 102_Wkst'!$L$7:$L$2010,"01",'LAC 102_Wkst'!$N$7:$N$2010,"P5")+SUMIFS('LAC 102_Wkst'!$AE$7:$AE$2010,'LAC 102_Wkst'!$E$7:$E$2010,$C60,'LAC 102_Wkst'!$G$7:$G$2010,$D60,'LAC 102_Wkst'!$L$7:$L$2010,"02",'LAC 102_Wkst'!$N$7:$N$2010,"P5")</f>
        <v>0</v>
      </c>
      <c r="L60" s="410">
        <f>SUMIFS('LAC 102_Wkst'!$Q$7:$Q$2010,'LAC 102_Wkst'!$E$7:$E$2010,$C60,'LAC 102_Wkst'!$G$7:$G$2010,$D60,'LAC 102_Wkst'!$L$7:$L$2010,"03",'LAC 102_Wkst'!$N$7:$N$2010,"P1")+SUMIFS('LAC 102_Wkst'!$Q$7:$Q$2010,'LAC 102_Wkst'!$E$7:$E$2010,$C60,'LAC 102_Wkst'!$G$7:$G$2010,$D60,'LAC 102_Wkst'!$L$7:$L$2010,"03",'LAC 102_Wkst'!$N$7:$N$2010,"P2")+SUMIFS('LAC 102_Wkst'!$Q$7:$Q$2010,'LAC 102_Wkst'!$E$7:$E$2010,$C60,'LAC 102_Wkst'!$G$7:$G$2010,$D60,'LAC 102_Wkst'!$L$7:$L$2010,"03",'LAC 102_Wkst'!$N$7:$N$2010,"P3")+SUMIFS('LAC 102_Wkst'!$Q$7:$Q$2010,'LAC 102_Wkst'!$E$7:$E$2010,$C60,'LAC 102_Wkst'!$G$7:$G$2010,$D60,'LAC 102_Wkst'!$L$7:$L$2010,"04",'LAC 102_Wkst'!$N$7:$N$2010,"P1")+SUMIFS('LAC 102_Wkst'!$Q$7:$Q$2010,'LAC 102_Wkst'!$E$7:$E$2010,$C60,'LAC 102_Wkst'!$G$7:$G$2010,$D60,'LAC 102_Wkst'!$L$7:$L$2010,"04",'LAC 102_Wkst'!$N$7:$N$2010,"P2")+SUMIFS('LAC 102_Wkst'!$Q$7:$Q$2010,'LAC 102_Wkst'!$E$7:$E$2010,$C60,'LAC 102_Wkst'!$G$7:$G$2010,$D60,'LAC 102_Wkst'!$L$7:$L$2010,"04",'LAC 102_Wkst'!$N$7:$N$2010,"P3")</f>
        <v>0</v>
      </c>
      <c r="M60" s="411">
        <f>SUMIFS('LAC 102_Wkst'!$AE$7:$AE$2010,'LAC 102_Wkst'!$E$7:$E$2010,$C60,'LAC 102_Wkst'!$G$7:$G$2010,$D60,'LAC 102_Wkst'!$L$7:$L$2010,"03",'LAC 102_Wkst'!$N$7:$N$2010,"P1")+SUMIFS('LAC 102_Wkst'!$AE$7:$AE$2010,'LAC 102_Wkst'!$E$7:$E$2010,$C60,'LAC 102_Wkst'!$G$7:$G$2010,$D60,'LAC 102_Wkst'!$L$7:$L$2010,"03",'LAC 102_Wkst'!$N$7:$N$2010,"P2")+SUMIFS('LAC 102_Wkst'!$AE$7:$AE$2010,'LAC 102_Wkst'!$E$7:$E$2010,$C60,'LAC 102_Wkst'!$G$7:$G$2010,$D60,'LAC 102_Wkst'!$L$7:$L$2010,"03",'LAC 102_Wkst'!$N$7:$N$2010,"P3")+SUMIFS('LAC 102_Wkst'!$AE$7:$AE$2010,'LAC 102_Wkst'!$E$7:$E$2010,$C60,'LAC 102_Wkst'!$G$7:$G$2010,$D60,'LAC 102_Wkst'!$L$7:$L$2010,"04",'LAC 102_Wkst'!$N$7:$N$2010,"P1")+SUMIFS('LAC 102_Wkst'!$AE$7:$AE$2010,'LAC 102_Wkst'!$E$7:$E$2010,$C60,'LAC 102_Wkst'!$G$7:$G$2010,$D60,'LAC 102_Wkst'!$L$7:$L$2010,"04",'LAC 102_Wkst'!$N$7:$N$2010,"P2")+SUMIFS('LAC 102_Wkst'!$AE$7:$AE$2010,'LAC 102_Wkst'!$E$7:$E$2010,$C60,'LAC 102_Wkst'!$G$7:$G$2010,$D60,'LAC 102_Wkst'!$L$7:$L$2010,"04",'LAC 102_Wkst'!$N$7:$N$2010,"P3")</f>
        <v>0</v>
      </c>
      <c r="N60" s="410">
        <f>SUMIFS('LAC 102_Wkst'!$Q$7:$Q$2010,'LAC 102_Wkst'!$E$7:$E$2010,$C60,'LAC 102_Wkst'!$G$7:$G$2010,$D60,'LAC 102_Wkst'!$L$7:$L$2010,"03",'LAC 102_Wkst'!$N$7:$N$2010,"P4")+SUMIFS('LAC 102_Wkst'!$Q$7:$Q$2010,'LAC 102_Wkst'!$E$7:$E$2010,$C60,'LAC 102_Wkst'!$G$7:$G$2010,$D60,'LAC 102_Wkst'!$L$7:$L$2010,"04",'LAC 102_Wkst'!$N$7:$N$2010,"P4")</f>
        <v>0</v>
      </c>
      <c r="O60" s="411">
        <f>SUMIFS('LAC 102_Wkst'!$AE$7:$AE$2010,'LAC 102_Wkst'!$E$7:$E$2010,$C60,'LAC 102_Wkst'!$G$7:$G$2010,$D60,'LAC 102_Wkst'!$L$7:$L$2010,"03",'LAC 102_Wkst'!$N$7:$N$2010,"P4")+SUMIFS('LAC 102_Wkst'!$AE$7:$AE$2010,'LAC 102_Wkst'!$E$7:$E$2010,$C60,'LAC 102_Wkst'!$G$7:$G$2010,$D60,'LAC 102_Wkst'!$L$7:$L$2010,"04",'LAC 102_Wkst'!$N$7:$N$2010,"P4")</f>
        <v>0</v>
      </c>
      <c r="P60" s="410">
        <f>SUMIFS('LAC 102_Wkst'!$Q$7:$Q$2010,'LAC 102_Wkst'!$E$7:$E$2010,$C60,'LAC 102_Wkst'!$G$7:$G$2010,$D60,'LAC 102_Wkst'!$L$7:$L$2010,"03",'LAC 102_Wkst'!$N$7:$N$2010,"P5")+SUMIFS('LAC 102_Wkst'!$Q$7:$Q$2010,'LAC 102_Wkst'!$E$7:$E$2010,$C60,'LAC 102_Wkst'!$G$7:$G$2010,$D60,'LAC 102_Wkst'!$L$7:$L$2010,"04",'LAC 102_Wkst'!$N$7:$N$2010,"P5")</f>
        <v>0</v>
      </c>
      <c r="Q60" s="411">
        <f>SUMIFS('LAC 102_Wkst'!$AE$7:$AE$2010,'LAC 102_Wkst'!$E$7:$E$2010,$C60,'LAC 102_Wkst'!$G$7:$G$2010,$D60,'LAC 102_Wkst'!$L$7:$L$2010,"03",'LAC 102_Wkst'!$N$7:$N$2010,"P5")+SUMIFS('LAC 102_Wkst'!$AE$7:$AE$2010,'LAC 102_Wkst'!$E$7:$E$2010,$C60,'LAC 102_Wkst'!$G$7:$G$2010,$D60,'LAC 102_Wkst'!$L$7:$L$2010,"04",'LAC 102_Wkst'!$N$7:$N$2010,"P5")</f>
        <v>0</v>
      </c>
      <c r="R60" s="412">
        <f>SUMIFS('LAC 102_Wkst'!$Q$7:$Q$2010,'LAC 102_Wkst'!$E$7:$E$2010,$C60,'LAC 102_Wkst'!$G$7:$G$2010,$D60,'LAC 102_Wkst'!$L$7:$L$2010,"05",'LAC 102_Wkst'!$N$7:$N$2010,"P1")+SUMIFS('LAC 102_Wkst'!$Q$7:$Q$2010,'LAC 102_Wkst'!$E$7:$E$2010,$C60,'LAC 102_Wkst'!$G$7:$G$2010,$D60,'LAC 102_Wkst'!$L$7:$L$2010,"06",'LAC 102_Wkst'!$N$7:$N$2010,"P1")</f>
        <v>0</v>
      </c>
      <c r="S60" s="411">
        <f>SUMIFS('LAC 102_Wkst'!$AE$7:$AE$2010,'LAC 102_Wkst'!$E$7:$E$2010,$C60,'LAC 102_Wkst'!$G$7:$G$2010,$D60,'LAC 102_Wkst'!$L$7:$L$2010,"05",'LAC 102_Wkst'!$N$7:$N$2010,"P1")+SUMIFS('LAC 102_Wkst'!$AE$7:$AE$2010,'LAC 102_Wkst'!$E$7:$E$2010,$C60,'LAC 102_Wkst'!$G$7:$G$2010,$D60,'LAC 102_Wkst'!$L$7:$L$2010,"06",'LAC 102_Wkst'!$N$7:$N$2010,"P1")</f>
        <v>0</v>
      </c>
      <c r="T60" s="410">
        <f>SUMIFS('LAC 102_Wkst'!$Q$7:$Q$2010,'LAC 102_Wkst'!$E$7:$E$2010,$C60,'LAC 102_Wkst'!$G$7:$G$2010,$D60,'LAC 102_Wkst'!$L$7:$L$2010,"05",'LAC 102_Wkst'!$N$7:$N$2010,"P2")+SUMIFS('LAC 102_Wkst'!$Q$7:$Q$2010,'LAC 102_Wkst'!$E$7:$E$2010,$C60,'LAC 102_Wkst'!$G$7:$G$2010,$D60,'LAC 102_Wkst'!$L$7:$L$2010,"05",'LAC 102_Wkst'!$N$7:$N$2010,"P3")+SUMIFS('LAC 102_Wkst'!$Q$7:$Q$2010,'LAC 102_Wkst'!$E$7:$E$2010,$C60,'LAC 102_Wkst'!$G$7:$G$2010,$D60,'LAC 102_Wkst'!$L$7:$L$2010,"06",'LAC 102_Wkst'!$N$7:$N$2010,"P2")+SUMIFS('LAC 102_Wkst'!$Q$7:$Q$2010,'LAC 102_Wkst'!$E$7:$E$2010,$C60,'LAC 102_Wkst'!$G$7:$G$2010,$D60,'LAC 102_Wkst'!$L$7:$L$2010,"06",'LAC 102_Wkst'!$N$7:$N$2010,"P3")</f>
        <v>0</v>
      </c>
      <c r="U60" s="411">
        <f>SUMIFS('LAC 102_Wkst'!$AE$7:$AE$2010,'LAC 102_Wkst'!$E$7:$E$2010,$C60,'LAC 102_Wkst'!$G$7:$G$2010,$D60,'LAC 102_Wkst'!$L$7:$L$2010,"05",'LAC 102_Wkst'!$N$7:$N$2010,"P2")+SUMIFS('LAC 102_Wkst'!$AE$7:$AE$2010,'LAC 102_Wkst'!$E$7:$E$2010,$C60,'LAC 102_Wkst'!$G$7:$G$2010,$D60,'LAC 102_Wkst'!$L$7:$L$2010,"06",'LAC 102_Wkst'!$N$7:$N$2010,"P3")+SUMIFS('LAC 102_Wkst'!$AE$7:$AE$2010,'LAC 102_Wkst'!$E$7:$E$2010,$C60,'LAC 102_Wkst'!$G$7:$G$2010,$D60,'LAC 102_Wkst'!$L$7:$L$2010,"05",'LAC 102_Wkst'!$N$7:$N$2010,"P2")+SUMIFS('LAC 102_Wkst'!$AE$7:$AE$2010,'LAC 102_Wkst'!$E$7:$E$2010,$C60,'LAC 102_Wkst'!$G$7:$G$2010,$D60,'LAC 102_Wkst'!$L$7:$L$2010,"06",'LAC 102_Wkst'!$N$7:$N$2010,"P3")</f>
        <v>0</v>
      </c>
      <c r="V60" s="410">
        <f>SUMIFS('LAC 102_Wkst'!$Q$7:$Q$2010,'LAC 102_Wkst'!$E$7:$E$2010,$C60,'LAC 102_Wkst'!$G$7:$G$2010,$D60,'LAC 102_Wkst'!$L$7:$L$2010,"05",'LAC 102_Wkst'!$N$7:$N$2010,"P4")+SUMIFS('LAC 102_Wkst'!$Q$7:$Q$2010,'LAC 102_Wkst'!$E$7:$E$2010,$C60,'LAC 102_Wkst'!$G$7:$G$2010,$D60,'LAC 102_Wkst'!$L$7:$L$2010,"06",'LAC 102_Wkst'!$N$7:$N$2010,"P4")</f>
        <v>0</v>
      </c>
      <c r="W60" s="411">
        <f>SUMIFS('LAC 102_Wkst'!$AE$7:$AE$2010,'LAC 102_Wkst'!$E$7:$E$2010,$C60,'LAC 102_Wkst'!$G$7:$G$2010,$D60,'LAC 102_Wkst'!$L$7:$L$2010,"05",'LAC 102_Wkst'!$N$7:$N$2010,"P4")+SUMIFS('LAC 102_Wkst'!$AE$7:$AE$2010,'LAC 102_Wkst'!$E$7:$E$2010,$C60,'LAC 102_Wkst'!$G$7:$G$2010,$D60,'LAC 102_Wkst'!$L$7:$L$2010,"06",'LAC 102_Wkst'!$N$7:$N$2010,"P4")</f>
        <v>0</v>
      </c>
      <c r="X60" s="410">
        <f>SUMIFS('LAC 102_Wkst'!$Q$7:$Q$2010,'LAC 102_Wkst'!$E$7:$E$2010,$C60,'LAC 102_Wkst'!$G$7:$G$2010,$D60,'LAC 102_Wkst'!$L$7:$L$2010,"05",'LAC 102_Wkst'!$N$7:$N$2010,"P5")+SUMIFS('LAC 102_Wkst'!$Q$7:$Q$2010,'LAC 102_Wkst'!$E$7:$E$2010,$C60,'LAC 102_Wkst'!$G$7:$G$2010,$D60,'LAC 102_Wkst'!$L$7:$L$2010,"06",'LAC 102_Wkst'!$N$7:$N$2010,"P5")</f>
        <v>0</v>
      </c>
      <c r="Y60" s="411">
        <f>SUMIFS('LAC 102_Wkst'!$AE$7:$AE$2010,'LAC 102_Wkst'!$E$7:$E$2010,$C60,'LAC 102_Wkst'!$G$7:$G$2010,$D60,'LAC 102_Wkst'!$L$7:$L$2010,"05",'LAC 102_Wkst'!$N$7:$N$2010,"P5")+SUMIFS('LAC 102_Wkst'!$AE$7:$AE$2010,'LAC 102_Wkst'!$E$7:$E$2010,$C60,'LAC 102_Wkst'!$G$7:$G$2010,$D60,'LAC 102_Wkst'!$L$7:$L$2010,"06",'LAC 102_Wkst'!$N$7:$N$2010,"P5")</f>
        <v>0</v>
      </c>
      <c r="Z60" s="410">
        <f>SUMIFS('LAC 102_Wkst'!$Q$7:$Q$2010,'LAC 102_Wkst'!$E$7:$E$2010,$C60,'LAC 102_Wkst'!$G$7:$G$2010,$D60,'LAC 102_Wkst'!$L$7:$L$2010,"07",'LAC 102_Wkst'!$N$7:$N$2010,"P1")+SUMIFS('LAC 102_Wkst'!$Q$7:$Q$2010,'LAC 102_Wkst'!$E$7:$E$2010,$C60,'LAC 102_Wkst'!$G$7:$G$2010,$D60,'LAC 102_Wkst'!$L$7:$L$2010,"07",'LAC 102_Wkst'!$N$7:$N$2010,"P2")+SUMIFS('LAC 102_Wkst'!$Q$7:$Q$2010,'LAC 102_Wkst'!$E$7:$E$2010,$C60,'LAC 102_Wkst'!$G$7:$G$2010,$D60,'LAC 102_Wkst'!$L$7:$L$2010,"07",'LAC 102_Wkst'!$N$7:$N$2010,"P3")</f>
        <v>0</v>
      </c>
      <c r="AA60" s="411">
        <f>SUMIFS('LAC 102_Wkst'!$AE$7:$AE$2010,'LAC 102_Wkst'!$E$7:$E$2010,$C60,'LAC 102_Wkst'!$G$7:$G$2010,$D60,'LAC 102_Wkst'!$L$7:$L$2010,"07",'LAC 102_Wkst'!$N$7:$N$2010,"P1")+SUMIFS('LAC 102_Wkst'!$AE$7:$AE$2010,'LAC 102_Wkst'!$E$7:$E$2010,$C60,'LAC 102_Wkst'!$G$7:$G$2010,$D60,'LAC 102_Wkst'!$L$7:$L$2010,"07",'LAC 102_Wkst'!$N$7:$N$2010,"P2")+SUMIFS('LAC 102_Wkst'!$AE$7:$AE$2010,'LAC 102_Wkst'!$E$7:$E$2010,$C60,'LAC 102_Wkst'!$G$7:$G$2010,$D60,'LAC 102_Wkst'!$L$7:$L$2010,"07",'LAC 102_Wkst'!$N$7:$N$2010,"P3")</f>
        <v>0</v>
      </c>
      <c r="AB60" s="410">
        <f>SUMIFS('LAC 102_Wkst'!$Q$7:$Q$2010,'LAC 102_Wkst'!$E$7:$E$2010,$C60,'LAC 102_Wkst'!$G$7:$G$2010,$D60,'LAC 102_Wkst'!$L$7:$L$2010,"07",'LAC 102_Wkst'!$N$7:$N$2010,"P4")</f>
        <v>0</v>
      </c>
      <c r="AC60" s="411">
        <f>SUMIFS('LAC 102_Wkst'!$AE$7:$AE$2010,'LAC 102_Wkst'!$E$7:$E$2010,$C60,'LAC 102_Wkst'!$G$7:$G$2010,$D60,'LAC 102_Wkst'!$L$7:$L$2010,"07",'LAC 102_Wkst'!$N$7:$N$2010,"P4")</f>
        <v>0</v>
      </c>
      <c r="AD60" s="410">
        <f>SUMIFS('LAC 102_Wkst'!$Q$7:$Q$2010,'LAC 102_Wkst'!$E$7:$E$2010,$C60,'LAC 102_Wkst'!$G$7:$G$2010,$D60,'LAC 102_Wkst'!$L$7:$L$2010,"07",'LAC 102_Wkst'!$N$7:$N$2010,"P5")</f>
        <v>0</v>
      </c>
      <c r="AE60" s="411">
        <f>SUMIFS('LAC 102_Wkst'!$AE$7:$AE$2010,'LAC 102_Wkst'!$E$7:$E$2010,$C60,'LAC 102_Wkst'!$G$7:$G$2010,$D60,'LAC 102_Wkst'!$L$7:$L$2010,"07",'LAC 102_Wkst'!$N$7:$N$2010,"P5")</f>
        <v>0</v>
      </c>
      <c r="AF60" s="410">
        <f>SUMIFS('LAC 102_Wkst'!$Q$7:$Q$2010,'LAC 102_Wkst'!$E$7:$E$2010,$C60,'LAC 102_Wkst'!$G$7:$G$2010,$D60,'LAC 102_Wkst'!$L$7:$L$2010,"08",'LAC 102_Wkst'!$N$7:$N$2010,"P1")+SUMIFS('LAC 102_Wkst'!$Q$7:$Q$2010,'LAC 102_Wkst'!$E$7:$E$2010,$C60,'LAC 102_Wkst'!$G$7:$G$2010,$D60,'LAC 102_Wkst'!$L$7:$L$2010,"08",'LAC 102_Wkst'!$N$7:$N$2010,"P2")+SUMIFS('LAC 102_Wkst'!$Q$7:$Q$2010,'LAC 102_Wkst'!$E$7:$E$2010,$C60,'LAC 102_Wkst'!$G$7:$G$2010,$D60,'LAC 102_Wkst'!$L$7:$L$2010,"08",'LAC 102_Wkst'!$N$7:$N$2010,"P3")</f>
        <v>0</v>
      </c>
      <c r="AG60" s="411">
        <f>SUMIFS('LAC 102_Wkst'!$AE$7:$AE$2010,'LAC 102_Wkst'!$E$7:$E$2010,$C60,'LAC 102_Wkst'!$G$7:$G$2010,$D60,'LAC 102_Wkst'!$L$7:$L$2010,"08",'LAC 102_Wkst'!$N$7:$N$2010,"P1")+SUMIFS('LAC 102_Wkst'!$AE$7:$AE$2010,'LAC 102_Wkst'!$E$7:$E$2010,$C60,'LAC 102_Wkst'!$G$7:$G$2010,$D60,'LAC 102_Wkst'!$L$7:$L$2010,"08",'LAC 102_Wkst'!$N$7:$N$2010,"P2")+SUMIFS('LAC 102_Wkst'!$AE$7:$AE$2010,'LAC 102_Wkst'!$E$7:$E$2010,$C60,'LAC 102_Wkst'!$G$7:$G$2010,$D60,'LAC 102_Wkst'!$L$7:$L$2010,"08",'LAC 102_Wkst'!$N$7:$N$2010,"P3")</f>
        <v>0</v>
      </c>
      <c r="AH60" s="410">
        <f>SUMIFS('LAC 102_Wkst'!$Q$7:$Q$2010,'LAC 102_Wkst'!$E$7:$E$2010,$C60,'LAC 102_Wkst'!$G$7:$G$2010,$D60,'LAC 102_Wkst'!$L$7:$L$2010,"08",'LAC 102_Wkst'!$N$7:$N$2010,"P4")</f>
        <v>0</v>
      </c>
      <c r="AI60" s="411">
        <f>SUMIFS('LAC 102_Wkst'!$AE$7:$AE$2010,'LAC 102_Wkst'!$E$7:$E$2010,$C60,'LAC 102_Wkst'!$G$7:$G$2010,$D60,'LAC 102_Wkst'!$L$7:$L$2010,"08",'LAC 102_Wkst'!$N$7:$N$2010,"P4")</f>
        <v>0</v>
      </c>
      <c r="AJ60" s="410">
        <f>SUMIFS('LAC 102_Wkst'!$Q$7:$Q$2010,'LAC 102_Wkst'!$E$7:$E$2010,$C60,'LAC 102_Wkst'!$G$7:$G$2010,$D60,'LAC 102_Wkst'!$L$7:$L$2010,"08",'LAC 102_Wkst'!$N$7:$N$2010,"P5")</f>
        <v>0</v>
      </c>
      <c r="AK60" s="411">
        <f>SUMIFS('LAC 102_Wkst'!$AE$7:$AE$2010,'LAC 102_Wkst'!$E$7:$E$2010,$C60,'LAC 102_Wkst'!$G$7:$G$2010,$D60,'LAC 102_Wkst'!$L$7:$L$2010,"08",'LAC 102_Wkst'!$N$7:$N$2010,"P5")</f>
        <v>0</v>
      </c>
      <c r="AL60" s="410">
        <f>SUMIFS('LAC 102_Wkst'!$Q$7:$Q$2010,'LAC 102_Wkst'!$E$7:$E$2010,$C60,'LAC 102_Wkst'!$G$7:$G$2010,$D60,'LAC 102_Wkst'!$L$7:$L$2010,"09",'LAC 102_Wkst'!$N$7:$N$2010,"P1")+SUMIFS('LAC 102_Wkst'!$Q$7:$Q$2010,'LAC 102_Wkst'!$E$7:$E$2010,$C60,'LAC 102_Wkst'!$G$7:$G$2010,$D60,'LAC 102_Wkst'!$L$7:$L$2010,"09",'LAC 102_Wkst'!$N$7:$N$2010,"P2")+SUMIFS('LAC 102_Wkst'!$Q$7:$Q$2010,'LAC 102_Wkst'!$E$7:$E$2010,$C60,'LAC 102_Wkst'!$G$7:$G$2010,$D60,'LAC 102_Wkst'!$L$7:$L$2010,"09",'LAC 102_Wkst'!$N$7:$N$2010,"P3")+SUMIFS('LAC 102_Wkst'!$Q$7:$Q$2010,'LAC 102_Wkst'!$E$7:$E$2010,$C60,'LAC 102_Wkst'!$G$7:$G$2010,$D60,'LAC 102_Wkst'!$L$7:$L$2010,"09",'LAC 102_Wkst'!$N$7:$N$2010,"P4")</f>
        <v>0</v>
      </c>
      <c r="AM60" s="411">
        <f>SUMIFS('LAC 102_Wkst'!$AE$7:$AE$2010,'LAC 102_Wkst'!$E$7:$E$2010,$C60,'LAC 102_Wkst'!$G$7:$G$2010,$D60,'LAC 102_Wkst'!$L$7:$L$2010,"09",'LAC 102_Wkst'!$N$7:$N$2010,"P1")+SUMIFS('LAC 102_Wkst'!$AE$7:$AE$2010,'LAC 102_Wkst'!$E$7:$E$2010,$C60,'LAC 102_Wkst'!$G$7:$G$2010,$D60,'LAC 102_Wkst'!$L$7:$L$2010,"09",'LAC 102_Wkst'!$N$7:$N$2010,"P2")+SUMIFS('LAC 102_Wkst'!$AE$7:$AE$2010,'LAC 102_Wkst'!$E$7:$E$2010,$C60,'LAC 102_Wkst'!$G$7:$G$2010,$D60,'LAC 102_Wkst'!$L$7:$L$2010,"09",'LAC 102_Wkst'!$N$7:$N$2010,"P3")+SUMIFS('LAC 102_Wkst'!$AE$7:$AE$2010,'LAC 102_Wkst'!$E$7:$E$2010,$C60,'LAC 102_Wkst'!$G$7:$G$2010,$D60,'LAC 102_Wkst'!$L$7:$L$2010,"09",'LAC 102_Wkst'!$N$7:$N$2010,"P4")</f>
        <v>0</v>
      </c>
      <c r="AN60" s="410">
        <f>SUMIFS('LAC 102_Wkst'!$Q$7:$Q$2010,'LAC 102_Wkst'!$E$7:$E$2010,$C60,'LAC 102_Wkst'!$G$7:$G$2010,$D60,'LAC 102_Wkst'!$L$7:$L$2010,"09",'LAC 102_Wkst'!$N$7:$N$2010,"P5")</f>
        <v>0</v>
      </c>
      <c r="AO60" s="411">
        <f>SUMIFS('LAC 102_Wkst'!$AE$7:$AE$2010,'LAC 102_Wkst'!$E$7:$E$2010,$C60,'LAC 102_Wkst'!$G$7:$G$2010,$D60,'LAC 102_Wkst'!$L$7:$L$2010,"09",'LAC 102_Wkst'!$N$7:$N$2010,"P5")</f>
        <v>0</v>
      </c>
      <c r="AP60" s="410">
        <f>SUMIFS('LAC 102_Wkst'!$Q$7:$Q$2010,'LAC 102_Wkst'!$E$7:$E$2010,$C60,'LAC 102_Wkst'!$G$7:$G$2010,$D60,'LAC 102_Wkst'!$L$7:$L$2010,"10",'LAC 102_Wkst'!$N$7:$N$2010,"P1")+SUMIFS('LAC 102_Wkst'!$Q$7:$Q$2010,'LAC 102_Wkst'!$E$7:$E$2010,$C60,'LAC 102_Wkst'!$G$7:$G$2010,$D60,'LAC 102_Wkst'!$L$7:$L$2010,"10",'LAC 102_Wkst'!$N$7:$N$2010,"P2")+SUMIFS('LAC 102_Wkst'!$Q$7:$Q$2010,'LAC 102_Wkst'!$E$7:$E$2010,$C60,'LAC 102_Wkst'!$G$7:$G$2010,$D60,'LAC 102_Wkst'!$L$7:$L$2010,"10",'LAC 102_Wkst'!$N$7:$N$2010,"P3")+SUMIFS('LAC 102_Wkst'!$Q$7:$Q$2010,'LAC 102_Wkst'!$E$7:$E$2010,$C60,'LAC 102_Wkst'!$G$7:$G$2010,$D60,'LAC 102_Wkst'!$L$7:$L$2010,"10",'LAC 102_Wkst'!$N$7:$N$2010,"P4")</f>
        <v>0</v>
      </c>
      <c r="AQ60" s="411">
        <f>SUMIFS('LAC 102_Wkst'!$AE$7:$AE$2010,'LAC 102_Wkst'!$E$7:$E$2010,$C60,'LAC 102_Wkst'!$G$7:$G$2010,$D60,'LAC 102_Wkst'!$L$7:$L$2010,"10",'LAC 102_Wkst'!$N$7:$N$2010,"P1")+SUMIFS('LAC 102_Wkst'!$AE$7:$AE$2010,'LAC 102_Wkst'!$E$7:$E$2010,$C60,'LAC 102_Wkst'!$G$7:$G$2010,$D60,'LAC 102_Wkst'!$L$7:$L$2010,"10",'LAC 102_Wkst'!$N$7:$N$2010,"P2")+SUMIFS('LAC 102_Wkst'!$AE$7:$AE$2010,'LAC 102_Wkst'!$E$7:$E$2010,$C60,'LAC 102_Wkst'!$G$7:$G$2010,$D60,'LAC 102_Wkst'!$L$7:$L$2010,"10",'LAC 102_Wkst'!$N$7:$N$2010,"P3")+SUMIFS('LAC 102_Wkst'!$AE$7:$AE$2010,'LAC 102_Wkst'!$E$7:$E$2010,$C60,'LAC 102_Wkst'!$G$7:$G$2010,$D60,'LAC 102_Wkst'!$L$7:$L$2010,"10",'LAC 102_Wkst'!$N$7:$N$2010,"P4")</f>
        <v>0</v>
      </c>
      <c r="AR60" s="410">
        <f>SUMIFS('LAC 102_Wkst'!$Q$7:$Q$2010,'LAC 102_Wkst'!$E$7:$E$2010,$C60,'LAC 102_Wkst'!$G$7:$G$2010,$D60,'LAC 102_Wkst'!$L$7:$L$2010,"10",'LAC 102_Wkst'!$N$7:$N$2010,"P5")</f>
        <v>0</v>
      </c>
      <c r="AS60" s="411">
        <f>SUMIFS('LAC 102_Wkst'!$AE$7:$AE$2010,'LAC 102_Wkst'!$E$7:$E$2010,$C60,'LAC 102_Wkst'!$G$7:$G$2010,$D60,'LAC 102_Wkst'!$L$7:$L$2010,"10",'LAC 102_Wkst'!$N$7:$N$2010,"P5")</f>
        <v>0</v>
      </c>
      <c r="AT60" s="410">
        <f>SUMIFS('LAC 102_Wkst'!$Q$7:$Q$2010,'LAC 102_Wkst'!$E$7:$E$2010,$C60,'LAC 102_Wkst'!$G$7:$G$2010,$D60,'LAC 102_Wkst'!$L$7:$L$2010,"11",'LAC 102_Wkst'!$N$7:$N$2010,"P1")+SUMIFS('LAC 102_Wkst'!$Q$7:$Q$2010,'LAC 102_Wkst'!$E$7:$E$2010,$C60,'LAC 102_Wkst'!$G$7:$G$2010,$D60,'LAC 102_Wkst'!$L$7:$L$2010,"12",'LAC 102_Wkst'!$N$7:$N$2010,"P1")</f>
        <v>0</v>
      </c>
      <c r="AU60" s="411">
        <f>SUMIFS('LAC 102_Wkst'!$AE$7:$AE$2010,'LAC 102_Wkst'!$E$7:$E$2010,$C60,'LAC 102_Wkst'!$G$7:$G$2010,$D60,'LAC 102_Wkst'!$L$7:$L$2010,"11",'LAC 102_Wkst'!$N$7:$N$2010,"P1")+SUMIFS('LAC 102_Wkst'!$AE$7:$AE$2010,'LAC 102_Wkst'!$E$7:$E$2010,$C60,'LAC 102_Wkst'!$G$7:$G$2010,$D60,'LAC 102_Wkst'!$L$7:$L$2010,"12",'LAC 102_Wkst'!$N$7:$N$2010,"P1")</f>
        <v>0</v>
      </c>
      <c r="AV60" s="410">
        <f>SUMIFS('LAC 102_Wkst'!$Q$7:$Q$2010,'LAC 102_Wkst'!$E$7:$E$2010,$C60,'LAC 102_Wkst'!$G$7:$G$2010,$D60,'LAC 102_Wkst'!$L$7:$L$2010,"11",'LAC 102_Wkst'!$N$7:$N$2010,"P2")+SUMIFS('LAC 102_Wkst'!$Q$7:$Q$2010,'LAC 102_Wkst'!$E$7:$E$2010,$C60,'LAC 102_Wkst'!$G$7:$G$2010,$D60,'LAC 102_Wkst'!$L$7:$L$2010,"12",'LAC 102_Wkst'!$N$7:$N$2010,"P3")+SUMIFS('LAC 102_Wkst'!$Q$7:$Q$2010,'LAC 102_Wkst'!$E$7:$E$2010,$C60,'LAC 102_Wkst'!$G$7:$G$2010,$D60,'LAC 102_Wkst'!$L$7:$L$2010,"11",'LAC 102_Wkst'!$N$7:$N$2010,"P2")+SUMIFS('LAC 102_Wkst'!$Q$7:$Q$2010,'LAC 102_Wkst'!$E$7:$E$2010,$C60,'LAC 102_Wkst'!$G$7:$G$2010,$D60,'LAC 102_Wkst'!$L$7:$L$2010,"12",'LAC 102_Wkst'!$N$7:$N$2010,"P3")</f>
        <v>0</v>
      </c>
      <c r="AW60" s="411">
        <f>SUMIFS('LAC 102_Wkst'!$AE$7:$AE$2010,'LAC 102_Wkst'!$E$7:$E$2010,$C60,'LAC 102_Wkst'!$G$7:$G$2010,$D60,'LAC 102_Wkst'!$L$7:$L$2010,"11",'LAC 102_Wkst'!$N$7:$N$2010,"P2")+SUMIFS('LAC 102_Wkst'!$AE$7:$AE$2010,'LAC 102_Wkst'!$E$7:$E$2010,$C60,'LAC 102_Wkst'!$G$7:$G$2010,$D60,'LAC 102_Wkst'!$L$7:$L$2010,"12",'LAC 102_Wkst'!$N$7:$N$2010,"P3")+SUMIFS('LAC 102_Wkst'!$AE$7:$AE$2010,'LAC 102_Wkst'!$E$7:$E$2010,$C60,'LAC 102_Wkst'!$G$7:$G$2010,$D60,'LAC 102_Wkst'!$L$7:$L$2010,"11",'LAC 102_Wkst'!$N$7:$N$2010,"P2")+SUMIFS('LAC 102_Wkst'!$AE$7:$AE$2010,'LAC 102_Wkst'!$E$7:$E$2010,$C60,'LAC 102_Wkst'!$G$7:$G$2010,$D60,'LAC 102_Wkst'!$L$7:$L$2010,"12",'LAC 102_Wkst'!$N$7:$N$2010,"P3")</f>
        <v>0</v>
      </c>
      <c r="AX60" s="410">
        <f>SUMIFS('LAC 102_Wkst'!$Q$7:$Q$2010,'LAC 102_Wkst'!$E$7:$E$2010,$C60,'LAC 102_Wkst'!$G$7:$G$2010,$D60,'LAC 102_Wkst'!$L$7:$L$2010,"11",'LAC 102_Wkst'!$N$7:$N$2010,"P4")+SUMIFS('LAC 102_Wkst'!$Q$7:$Q$2010,'LAC 102_Wkst'!$E$7:$E$2010,$C60,'LAC 102_Wkst'!$G$7:$G$2010,$D60,'LAC 102_Wkst'!$L$7:$L$2010,"12",'LAC 102_Wkst'!$N$7:$N$2010,"P4")</f>
        <v>0</v>
      </c>
      <c r="AY60" s="411">
        <f>SUMIFS('LAC 102_Wkst'!$AE$7:$AE$2010,'LAC 102_Wkst'!$E$7:$E$2010,$C60,'LAC 102_Wkst'!$G$7:$G$2010,$D60,'LAC 102_Wkst'!$L$7:$L$2010,"11",'LAC 102_Wkst'!$N$7:$N$2010,"P4")+SUMIFS('LAC 102_Wkst'!$AE$7:$AE$2010,'LAC 102_Wkst'!$E$7:$E$2010,$C60,'LAC 102_Wkst'!$G$7:$G$2010,$D60,'LAC 102_Wkst'!$L$7:$L$2010,"12",'LAC 102_Wkst'!$N$7:$N$2010,"P4")</f>
        <v>0</v>
      </c>
      <c r="AZ60" s="410">
        <f>SUMIFS('LAC 102_Wkst'!$Q$7:$Q$2010,'LAC 102_Wkst'!$E$7:$E$2010,$C60,'LAC 102_Wkst'!$G$7:$G$2010,$D60,'LAC 102_Wkst'!$L$7:$L$2010,"11",'LAC 102_Wkst'!$N$7:$N$2010,"P5")+SUMIFS('LAC 102_Wkst'!$Q$7:$Q$2010,'LAC 102_Wkst'!$E$7:$E$2010,$C60,'LAC 102_Wkst'!$G$7:$G$2010,$D60,'LAC 102_Wkst'!$L$7:$L$2010,"12",'LAC 102_Wkst'!$N$7:$N$2010,"P5")</f>
        <v>0</v>
      </c>
      <c r="BA60" s="411">
        <f>SUMIFS('LAC 102_Wkst'!$AE$7:$AE$2010,'LAC 102_Wkst'!$E$7:$E$2010,$C60,'LAC 102_Wkst'!$G$7:$G$2010,$D60,'LAC 102_Wkst'!$L$7:$L$2010,"11",'LAC 102_Wkst'!$N$7:$N$2010,"P5")+SUMIFS('LAC 102_Wkst'!$AE$7:$AE$2010,'LAC 102_Wkst'!$E$7:$E$2010,$C60,'LAC 102_Wkst'!$G$7:$G$2010,$D60,'LAC 102_Wkst'!$L$7:$L$2010,"12",'LAC 102_Wkst'!$N$7:$N$2010,"P5")</f>
        <v>0</v>
      </c>
      <c r="BB60" s="410">
        <f>SUMIFS('LAC 102_Wkst'!$Q$7:$Q$2010,'LAC 102_Wkst'!$E$7:$E$2010,$C60,'LAC 102_Wkst'!$G$7:$G$2010,$D60,'LAC 102_Wkst'!$L$7:$L$2010,"13",'LAC 102_Wkst'!$N$7:$N$2010,"P1")+SUMIFS('LAC 102_Wkst'!$Q$7:$Q$2010,'LAC 102_Wkst'!$E$7:$E$2010,$C60,'LAC 102_Wkst'!$G$7:$G$2010,$D60,'LAC 102_Wkst'!$L$7:$L$2010,"13",'LAC 102_Wkst'!$N$7:$N$2010,"P2")+SUMIFS('LAC 102_Wkst'!$Q$7:$Q$2010,'LAC 102_Wkst'!$E$7:$E$2010,$C60,'LAC 102_Wkst'!$G$7:$G$2010,$D60,'LAC 102_Wkst'!$L$7:$L$2010,"13",'LAC 102_Wkst'!$N$7:$N$2010,"P3")+SUMIFS('LAC 102_Wkst'!$Q$7:$Q$2010,'LAC 102_Wkst'!$E$7:$E$2010,$C60,'LAC 102_Wkst'!$G$7:$G$2010,$D60,'LAC 102_Wkst'!$L$7:$L$2010,"13",'LAC 102_Wkst'!$N$7:$N$2010,"P4")</f>
        <v>0</v>
      </c>
      <c r="BC60" s="411">
        <f>SUMIFS('LAC 102_Wkst'!$AE$7:$AE$2010,'LAC 102_Wkst'!$E$7:$E$2010,$C60,'LAC 102_Wkst'!$G$7:$G$2010,$D60,'LAC 102_Wkst'!$L$7:$L$2010,"13",'LAC 102_Wkst'!$N$7:$N$2010,"P1")+SUMIFS('LAC 102_Wkst'!$AE$7:$AE$2010,'LAC 102_Wkst'!$E$7:$E$2010,$C60,'LAC 102_Wkst'!$G$7:$G$2010,$D60,'LAC 102_Wkst'!$L$7:$L$2010,"13",'LAC 102_Wkst'!$N$7:$N$2010,"P2")+SUMIFS('LAC 102_Wkst'!$AE$7:$AE$2010,'LAC 102_Wkst'!$E$7:$E$2010,$C60,'LAC 102_Wkst'!$G$7:$G$2010,$D60,'LAC 102_Wkst'!$L$7:$L$2010,"13",'LAC 102_Wkst'!$N$7:$N$2010,"P3")+SUMIFS('LAC 102_Wkst'!$AE$7:$AE$2010,'LAC 102_Wkst'!$E$7:$E$2010,$C60,'LAC 102_Wkst'!$G$7:$G$2010,$D60,'LAC 102_Wkst'!$L$7:$L$2010,"13",'LAC 102_Wkst'!$N$7:$N$2010,"P4")</f>
        <v>0</v>
      </c>
      <c r="BD60" s="410">
        <f>SUMIFS('LAC 102_Wkst'!$Q$7:$Q$2010,'LAC 102_Wkst'!$E$7:$E$2010,$C60,'LAC 102_Wkst'!$G$7:$G$2010,$D60,'LAC 102_Wkst'!$L$7:$L$2010,"13",'LAC 102_Wkst'!$N$7:$N$2010,"P5")</f>
        <v>0</v>
      </c>
      <c r="BE60" s="411">
        <f>SUMIFS('LAC 102_Wkst'!$AE$7:$AE$2010,'LAC 102_Wkst'!$E$7:$E$2010,$C60,'LAC 102_Wkst'!$G$7:$G$2010,$D60,'LAC 102_Wkst'!$L$7:$L$2010,"13",'LAC 102_Wkst'!$N$7:$N$2010,"P5")</f>
        <v>0</v>
      </c>
      <c r="BF60" s="407">
        <f t="shared" si="0"/>
        <v>0</v>
      </c>
    </row>
    <row r="61" spans="1:58" x14ac:dyDescent="0.2">
      <c r="A61" s="401">
        <v>42</v>
      </c>
      <c r="B61" s="1236"/>
      <c r="C61" s="1235"/>
      <c r="D61" s="1237"/>
      <c r="E61" s="1222">
        <f>IF(CONCATENATE(C61,D61)&gt;"6069",1,SUMIFS('LAC 102_Wkst'!$Q$7:$Q$2010,'LAC 102_Wkst'!$E$7:$E$2010,Schedule_B!$C61,'LAC 102_Wkst'!$G$7:$G$2010,Schedule_B!$D61))</f>
        <v>0</v>
      </c>
      <c r="F61" s="408">
        <f>SUMIFS('LAC 102_Wkst'!$Q$7:$Q$2010,'LAC 102_Wkst'!$E$7:$E$2010,$C61,'LAC 102_Wkst'!$G$7:$G$2010,$D61,'LAC 102_Wkst'!$L$7:$L$2010,"01",'LAC 102_Wkst'!$N$7:$N$2010,"P1")+SUMIFS('LAC 102_Wkst'!$Q$7:$Q$2010,'LAC 102_Wkst'!$E$7:$E$2010,$C61,'LAC 102_Wkst'!$G$7:$G$2010,$D61,'LAC 102_Wkst'!$L$7:$L$2010,"01",'LAC 102_Wkst'!$N$7:$N$2010,"P2")+SUMIFS('LAC 102_Wkst'!$Q$7:$Q$2010,'LAC 102_Wkst'!$E$7:$E$2010,$C61,'LAC 102_Wkst'!$G$7:$G$2010,$D61,'LAC 102_Wkst'!$L$7:$L$2010,"01",'LAC 102_Wkst'!$N$7:$N$2010,"P3")+SUMIFS('LAC 102_Wkst'!$Q$7:$Q$2010,'LAC 102_Wkst'!$E$7:$E$2010,$C61,'LAC 102_Wkst'!$G$7:$G$2010,$D61,'LAC 102_Wkst'!$L$7:$L$2010,"02",'LAC 102_Wkst'!$N$7:$N$2010,"P1")+SUMIFS('LAC 102_Wkst'!$Q$7:$Q$2010,'LAC 102_Wkst'!$E$7:$E$2010,$C61,'LAC 102_Wkst'!$G$7:$G$2010,$D61,'LAC 102_Wkst'!$L$7:$L$2010,"02",'LAC 102_Wkst'!$N$7:$N$2010,"P2")+SUMIFS('LAC 102_Wkst'!$Q$7:$Q$2010,'LAC 102_Wkst'!$E$7:$E$2010,$C61,'LAC 102_Wkst'!$G$7:$G$2010,$D61,'LAC 102_Wkst'!$L$7:$L$2010,"02",'LAC 102_Wkst'!$N$7:$N$2010,"P3")</f>
        <v>0</v>
      </c>
      <c r="G61" s="409">
        <f>SUMIFS('LAC 102_Wkst'!$AE$7:$AE$2010,'LAC 102_Wkst'!$E$7:$E$2010,$C61,'LAC 102_Wkst'!$G$7:$G$2010,$D61,'LAC 102_Wkst'!$L$7:$L$2010,"01",'LAC 102_Wkst'!$N$7:$N$2010,"P1")+SUMIFS('LAC 102_Wkst'!$AE$7:$AE$2010,'LAC 102_Wkst'!$E$7:$E$2010,$C61,'LAC 102_Wkst'!$G$7:$G$2010,$D61,'LAC 102_Wkst'!$L$7:$L$2010,"01",'LAC 102_Wkst'!$N$7:$N$2010,"P2")+SUMIFS('LAC 102_Wkst'!$AE$7:$AE$2010,'LAC 102_Wkst'!$E$7:$E$2010,$C61,'LAC 102_Wkst'!$G$7:$G$2010,$D61,'LAC 102_Wkst'!$L$7:$L$2010,"01",'LAC 102_Wkst'!$N$7:$N$2010,"P3")+SUMIFS('LAC 102_Wkst'!$AE$7:$AE$2010,'LAC 102_Wkst'!$E$7:$E$2010,$C61,'LAC 102_Wkst'!$G$7:$G$2010,$D61,'LAC 102_Wkst'!$L$7:$L$2010,"02",'LAC 102_Wkst'!$N$7:$N$2010,"P1")+SUMIFS('LAC 102_Wkst'!$AE$7:$AE$2010,'LAC 102_Wkst'!$E$7:$E$2010,$C61,'LAC 102_Wkst'!$G$7:$G$2010,$D61,'LAC 102_Wkst'!$L$7:$L$2010,"02",'LAC 102_Wkst'!$N$7:$N$2010,"P2")+SUMIFS('LAC 102_Wkst'!$AE$7:$AE$2010,'LAC 102_Wkst'!$E$7:$E$2010,$C61,'LAC 102_Wkst'!$G$7:$G$2010,$D61,'LAC 102_Wkst'!$L$7:$L$2010,"02",'LAC 102_Wkst'!$N$7:$N$2010,"P3")</f>
        <v>0</v>
      </c>
      <c r="H61" s="410">
        <f>SUMIFS('LAC 102_Wkst'!$Q$7:$Q$2010,'LAC 102_Wkst'!$E$7:$E$2010,$C61,'LAC 102_Wkst'!$G$7:$G$2010,$D61,'LAC 102_Wkst'!$L$7:$L$2010,"01",'LAC 102_Wkst'!$N$7:$N$2010,"P4")+SUMIFS('LAC 102_Wkst'!$Q$7:$Q$2010,'LAC 102_Wkst'!$E$7:$E$2010,$C61,'LAC 102_Wkst'!$G$7:$G$2010,$D61,'LAC 102_Wkst'!$L$7:$L$2010,"02",'LAC 102_Wkst'!$N$7:$N$2010,"P4")</f>
        <v>0</v>
      </c>
      <c r="I61" s="411">
        <f>SUMIFS('LAC 102_Wkst'!$AE$7:$AE$2010,'LAC 102_Wkst'!$E$7:$E$2010,$C61,'LAC 102_Wkst'!$G$7:$G$2010,$D61,'LAC 102_Wkst'!$L$7:$L$2010,"01",'LAC 102_Wkst'!$N$7:$N$2010,"P4")+SUMIFS('LAC 102_Wkst'!$AE$7:$AE$2010,'LAC 102_Wkst'!$E$7:$E$2010,$C61,'LAC 102_Wkst'!$G$7:$G$2010,$D61,'LAC 102_Wkst'!$L$7:$L$2010,"02",'LAC 102_Wkst'!$N$7:$N$2010,"P4")</f>
        <v>0</v>
      </c>
      <c r="J61" s="410">
        <f>SUMIFS('LAC 102_Wkst'!$Q$7:$Q$2010,'LAC 102_Wkst'!$E$7:$E$2010,$C61,'LAC 102_Wkst'!$G$7:$G$2010,$D61,'LAC 102_Wkst'!$L$7:$L$2010,"01",'LAC 102_Wkst'!$N$7:$N$2010,"P5")+SUMIFS('LAC 102_Wkst'!$Q$7:$Q$2010,'LAC 102_Wkst'!$E$7:$E$2010,$C61,'LAC 102_Wkst'!$G$7:$G$2010,$D61,'LAC 102_Wkst'!$L$7:$L$2010,"02",'LAC 102_Wkst'!$N$7:$N$2010,"P5")</f>
        <v>0</v>
      </c>
      <c r="K61" s="411">
        <f>SUMIFS('LAC 102_Wkst'!$AE$7:$AE$2010,'LAC 102_Wkst'!$E$7:$E$2010,$C61,'LAC 102_Wkst'!$G$7:$G$2010,$D61,'LAC 102_Wkst'!$L$7:$L$2010,"01",'LAC 102_Wkst'!$N$7:$N$2010,"P5")+SUMIFS('LAC 102_Wkst'!$AE$7:$AE$2010,'LAC 102_Wkst'!$E$7:$E$2010,$C61,'LAC 102_Wkst'!$G$7:$G$2010,$D61,'LAC 102_Wkst'!$L$7:$L$2010,"02",'LAC 102_Wkst'!$N$7:$N$2010,"P5")</f>
        <v>0</v>
      </c>
      <c r="L61" s="410">
        <f>SUMIFS('LAC 102_Wkst'!$Q$7:$Q$2010,'LAC 102_Wkst'!$E$7:$E$2010,$C61,'LAC 102_Wkst'!$G$7:$G$2010,$D61,'LAC 102_Wkst'!$L$7:$L$2010,"03",'LAC 102_Wkst'!$N$7:$N$2010,"P1")+SUMIFS('LAC 102_Wkst'!$Q$7:$Q$2010,'LAC 102_Wkst'!$E$7:$E$2010,$C61,'LAC 102_Wkst'!$G$7:$G$2010,$D61,'LAC 102_Wkst'!$L$7:$L$2010,"03",'LAC 102_Wkst'!$N$7:$N$2010,"P2")+SUMIFS('LAC 102_Wkst'!$Q$7:$Q$2010,'LAC 102_Wkst'!$E$7:$E$2010,$C61,'LAC 102_Wkst'!$G$7:$G$2010,$D61,'LAC 102_Wkst'!$L$7:$L$2010,"03",'LAC 102_Wkst'!$N$7:$N$2010,"P3")+SUMIFS('LAC 102_Wkst'!$Q$7:$Q$2010,'LAC 102_Wkst'!$E$7:$E$2010,$C61,'LAC 102_Wkst'!$G$7:$G$2010,$D61,'LAC 102_Wkst'!$L$7:$L$2010,"04",'LAC 102_Wkst'!$N$7:$N$2010,"P1")+SUMIFS('LAC 102_Wkst'!$Q$7:$Q$2010,'LAC 102_Wkst'!$E$7:$E$2010,$C61,'LAC 102_Wkst'!$G$7:$G$2010,$D61,'LAC 102_Wkst'!$L$7:$L$2010,"04",'LAC 102_Wkst'!$N$7:$N$2010,"P2")+SUMIFS('LAC 102_Wkst'!$Q$7:$Q$2010,'LAC 102_Wkst'!$E$7:$E$2010,$C61,'LAC 102_Wkst'!$G$7:$G$2010,$D61,'LAC 102_Wkst'!$L$7:$L$2010,"04",'LAC 102_Wkst'!$N$7:$N$2010,"P3")</f>
        <v>0</v>
      </c>
      <c r="M61" s="411">
        <f>SUMIFS('LAC 102_Wkst'!$AE$7:$AE$2010,'LAC 102_Wkst'!$E$7:$E$2010,$C61,'LAC 102_Wkst'!$G$7:$G$2010,$D61,'LAC 102_Wkst'!$L$7:$L$2010,"03",'LAC 102_Wkst'!$N$7:$N$2010,"P1")+SUMIFS('LAC 102_Wkst'!$AE$7:$AE$2010,'LAC 102_Wkst'!$E$7:$E$2010,$C61,'LAC 102_Wkst'!$G$7:$G$2010,$D61,'LAC 102_Wkst'!$L$7:$L$2010,"03",'LAC 102_Wkst'!$N$7:$N$2010,"P2")+SUMIFS('LAC 102_Wkst'!$AE$7:$AE$2010,'LAC 102_Wkst'!$E$7:$E$2010,$C61,'LAC 102_Wkst'!$G$7:$G$2010,$D61,'LAC 102_Wkst'!$L$7:$L$2010,"03",'LAC 102_Wkst'!$N$7:$N$2010,"P3")+SUMIFS('LAC 102_Wkst'!$AE$7:$AE$2010,'LAC 102_Wkst'!$E$7:$E$2010,$C61,'LAC 102_Wkst'!$G$7:$G$2010,$D61,'LAC 102_Wkst'!$L$7:$L$2010,"04",'LAC 102_Wkst'!$N$7:$N$2010,"P1")+SUMIFS('LAC 102_Wkst'!$AE$7:$AE$2010,'LAC 102_Wkst'!$E$7:$E$2010,$C61,'LAC 102_Wkst'!$G$7:$G$2010,$D61,'LAC 102_Wkst'!$L$7:$L$2010,"04",'LAC 102_Wkst'!$N$7:$N$2010,"P2")+SUMIFS('LAC 102_Wkst'!$AE$7:$AE$2010,'LAC 102_Wkst'!$E$7:$E$2010,$C61,'LAC 102_Wkst'!$G$7:$G$2010,$D61,'LAC 102_Wkst'!$L$7:$L$2010,"04",'LAC 102_Wkst'!$N$7:$N$2010,"P3")</f>
        <v>0</v>
      </c>
      <c r="N61" s="410">
        <f>SUMIFS('LAC 102_Wkst'!$Q$7:$Q$2010,'LAC 102_Wkst'!$E$7:$E$2010,$C61,'LAC 102_Wkst'!$G$7:$G$2010,$D61,'LAC 102_Wkst'!$L$7:$L$2010,"03",'LAC 102_Wkst'!$N$7:$N$2010,"P4")+SUMIFS('LAC 102_Wkst'!$Q$7:$Q$2010,'LAC 102_Wkst'!$E$7:$E$2010,$C61,'LAC 102_Wkst'!$G$7:$G$2010,$D61,'LAC 102_Wkst'!$L$7:$L$2010,"04",'LAC 102_Wkst'!$N$7:$N$2010,"P4")</f>
        <v>0</v>
      </c>
      <c r="O61" s="411">
        <f>SUMIFS('LAC 102_Wkst'!$AE$7:$AE$2010,'LAC 102_Wkst'!$E$7:$E$2010,$C61,'LAC 102_Wkst'!$G$7:$G$2010,$D61,'LAC 102_Wkst'!$L$7:$L$2010,"03",'LAC 102_Wkst'!$N$7:$N$2010,"P4")+SUMIFS('LAC 102_Wkst'!$AE$7:$AE$2010,'LAC 102_Wkst'!$E$7:$E$2010,$C61,'LAC 102_Wkst'!$G$7:$G$2010,$D61,'LAC 102_Wkst'!$L$7:$L$2010,"04",'LAC 102_Wkst'!$N$7:$N$2010,"P4")</f>
        <v>0</v>
      </c>
      <c r="P61" s="410">
        <f>SUMIFS('LAC 102_Wkst'!$Q$7:$Q$2010,'LAC 102_Wkst'!$E$7:$E$2010,$C61,'LAC 102_Wkst'!$G$7:$G$2010,$D61,'LAC 102_Wkst'!$L$7:$L$2010,"03",'LAC 102_Wkst'!$N$7:$N$2010,"P5")+SUMIFS('LAC 102_Wkst'!$Q$7:$Q$2010,'LAC 102_Wkst'!$E$7:$E$2010,$C61,'LAC 102_Wkst'!$G$7:$G$2010,$D61,'LAC 102_Wkst'!$L$7:$L$2010,"04",'LAC 102_Wkst'!$N$7:$N$2010,"P5")</f>
        <v>0</v>
      </c>
      <c r="Q61" s="411">
        <f>SUMIFS('LAC 102_Wkst'!$AE$7:$AE$2010,'LAC 102_Wkst'!$E$7:$E$2010,$C61,'LAC 102_Wkst'!$G$7:$G$2010,$D61,'LAC 102_Wkst'!$L$7:$L$2010,"03",'LAC 102_Wkst'!$N$7:$N$2010,"P5")+SUMIFS('LAC 102_Wkst'!$AE$7:$AE$2010,'LAC 102_Wkst'!$E$7:$E$2010,$C61,'LAC 102_Wkst'!$G$7:$G$2010,$D61,'LAC 102_Wkst'!$L$7:$L$2010,"04",'LAC 102_Wkst'!$N$7:$N$2010,"P5")</f>
        <v>0</v>
      </c>
      <c r="R61" s="412">
        <f>SUMIFS('LAC 102_Wkst'!$Q$7:$Q$2010,'LAC 102_Wkst'!$E$7:$E$2010,$C61,'LAC 102_Wkst'!$G$7:$G$2010,$D61,'LAC 102_Wkst'!$L$7:$L$2010,"05",'LAC 102_Wkst'!$N$7:$N$2010,"P1")+SUMIFS('LAC 102_Wkst'!$Q$7:$Q$2010,'LAC 102_Wkst'!$E$7:$E$2010,$C61,'LAC 102_Wkst'!$G$7:$G$2010,$D61,'LAC 102_Wkst'!$L$7:$L$2010,"06",'LAC 102_Wkst'!$N$7:$N$2010,"P1")</f>
        <v>0</v>
      </c>
      <c r="S61" s="411">
        <f>SUMIFS('LAC 102_Wkst'!$AE$7:$AE$2010,'LAC 102_Wkst'!$E$7:$E$2010,$C61,'LAC 102_Wkst'!$G$7:$G$2010,$D61,'LAC 102_Wkst'!$L$7:$L$2010,"05",'LAC 102_Wkst'!$N$7:$N$2010,"P1")+SUMIFS('LAC 102_Wkst'!$AE$7:$AE$2010,'LAC 102_Wkst'!$E$7:$E$2010,$C61,'LAC 102_Wkst'!$G$7:$G$2010,$D61,'LAC 102_Wkst'!$L$7:$L$2010,"06",'LAC 102_Wkst'!$N$7:$N$2010,"P1")</f>
        <v>0</v>
      </c>
      <c r="T61" s="410">
        <f>SUMIFS('LAC 102_Wkst'!$Q$7:$Q$2010,'LAC 102_Wkst'!$E$7:$E$2010,$C61,'LAC 102_Wkst'!$G$7:$G$2010,$D61,'LAC 102_Wkst'!$L$7:$L$2010,"05",'LAC 102_Wkst'!$N$7:$N$2010,"P2")+SUMIFS('LAC 102_Wkst'!$Q$7:$Q$2010,'LAC 102_Wkst'!$E$7:$E$2010,$C61,'LAC 102_Wkst'!$G$7:$G$2010,$D61,'LAC 102_Wkst'!$L$7:$L$2010,"05",'LAC 102_Wkst'!$N$7:$N$2010,"P3")+SUMIFS('LAC 102_Wkst'!$Q$7:$Q$2010,'LAC 102_Wkst'!$E$7:$E$2010,$C61,'LAC 102_Wkst'!$G$7:$G$2010,$D61,'LAC 102_Wkst'!$L$7:$L$2010,"06",'LAC 102_Wkst'!$N$7:$N$2010,"P2")+SUMIFS('LAC 102_Wkst'!$Q$7:$Q$2010,'LAC 102_Wkst'!$E$7:$E$2010,$C61,'LAC 102_Wkst'!$G$7:$G$2010,$D61,'LAC 102_Wkst'!$L$7:$L$2010,"06",'LAC 102_Wkst'!$N$7:$N$2010,"P3")</f>
        <v>0</v>
      </c>
      <c r="U61" s="411">
        <f>SUMIFS('LAC 102_Wkst'!$AE$7:$AE$2010,'LAC 102_Wkst'!$E$7:$E$2010,$C61,'LAC 102_Wkst'!$G$7:$G$2010,$D61,'LAC 102_Wkst'!$L$7:$L$2010,"05",'LAC 102_Wkst'!$N$7:$N$2010,"P2")+SUMIFS('LAC 102_Wkst'!$AE$7:$AE$2010,'LAC 102_Wkst'!$E$7:$E$2010,$C61,'LAC 102_Wkst'!$G$7:$G$2010,$D61,'LAC 102_Wkst'!$L$7:$L$2010,"06",'LAC 102_Wkst'!$N$7:$N$2010,"P3")+SUMIFS('LAC 102_Wkst'!$AE$7:$AE$2010,'LAC 102_Wkst'!$E$7:$E$2010,$C61,'LAC 102_Wkst'!$G$7:$G$2010,$D61,'LAC 102_Wkst'!$L$7:$L$2010,"05",'LAC 102_Wkst'!$N$7:$N$2010,"P2")+SUMIFS('LAC 102_Wkst'!$AE$7:$AE$2010,'LAC 102_Wkst'!$E$7:$E$2010,$C61,'LAC 102_Wkst'!$G$7:$G$2010,$D61,'LAC 102_Wkst'!$L$7:$L$2010,"06",'LAC 102_Wkst'!$N$7:$N$2010,"P3")</f>
        <v>0</v>
      </c>
      <c r="V61" s="410">
        <f>SUMIFS('LAC 102_Wkst'!$Q$7:$Q$2010,'LAC 102_Wkst'!$E$7:$E$2010,$C61,'LAC 102_Wkst'!$G$7:$G$2010,$D61,'LAC 102_Wkst'!$L$7:$L$2010,"05",'LAC 102_Wkst'!$N$7:$N$2010,"P4")+SUMIFS('LAC 102_Wkst'!$Q$7:$Q$2010,'LAC 102_Wkst'!$E$7:$E$2010,$C61,'LAC 102_Wkst'!$G$7:$G$2010,$D61,'LAC 102_Wkst'!$L$7:$L$2010,"06",'LAC 102_Wkst'!$N$7:$N$2010,"P4")</f>
        <v>0</v>
      </c>
      <c r="W61" s="411">
        <f>SUMIFS('LAC 102_Wkst'!$AE$7:$AE$2010,'LAC 102_Wkst'!$E$7:$E$2010,$C61,'LAC 102_Wkst'!$G$7:$G$2010,$D61,'LAC 102_Wkst'!$L$7:$L$2010,"05",'LAC 102_Wkst'!$N$7:$N$2010,"P4")+SUMIFS('LAC 102_Wkst'!$AE$7:$AE$2010,'LAC 102_Wkst'!$E$7:$E$2010,$C61,'LAC 102_Wkst'!$G$7:$G$2010,$D61,'LAC 102_Wkst'!$L$7:$L$2010,"06",'LAC 102_Wkst'!$N$7:$N$2010,"P4")</f>
        <v>0</v>
      </c>
      <c r="X61" s="410">
        <f>SUMIFS('LAC 102_Wkst'!$Q$7:$Q$2010,'LAC 102_Wkst'!$E$7:$E$2010,$C61,'LAC 102_Wkst'!$G$7:$G$2010,$D61,'LAC 102_Wkst'!$L$7:$L$2010,"05",'LAC 102_Wkst'!$N$7:$N$2010,"P5")+SUMIFS('LAC 102_Wkst'!$Q$7:$Q$2010,'LAC 102_Wkst'!$E$7:$E$2010,$C61,'LAC 102_Wkst'!$G$7:$G$2010,$D61,'LAC 102_Wkst'!$L$7:$L$2010,"06",'LAC 102_Wkst'!$N$7:$N$2010,"P5")</f>
        <v>0</v>
      </c>
      <c r="Y61" s="411">
        <f>SUMIFS('LAC 102_Wkst'!$AE$7:$AE$2010,'LAC 102_Wkst'!$E$7:$E$2010,$C61,'LAC 102_Wkst'!$G$7:$G$2010,$D61,'LAC 102_Wkst'!$L$7:$L$2010,"05",'LAC 102_Wkst'!$N$7:$N$2010,"P5")+SUMIFS('LAC 102_Wkst'!$AE$7:$AE$2010,'LAC 102_Wkst'!$E$7:$E$2010,$C61,'LAC 102_Wkst'!$G$7:$G$2010,$D61,'LAC 102_Wkst'!$L$7:$L$2010,"06",'LAC 102_Wkst'!$N$7:$N$2010,"P5")</f>
        <v>0</v>
      </c>
      <c r="Z61" s="410">
        <f>SUMIFS('LAC 102_Wkst'!$Q$7:$Q$2010,'LAC 102_Wkst'!$E$7:$E$2010,$C61,'LAC 102_Wkst'!$G$7:$G$2010,$D61,'LAC 102_Wkst'!$L$7:$L$2010,"07",'LAC 102_Wkst'!$N$7:$N$2010,"P1")+SUMIFS('LAC 102_Wkst'!$Q$7:$Q$2010,'LAC 102_Wkst'!$E$7:$E$2010,$C61,'LAC 102_Wkst'!$G$7:$G$2010,$D61,'LAC 102_Wkst'!$L$7:$L$2010,"07",'LAC 102_Wkst'!$N$7:$N$2010,"P2")+SUMIFS('LAC 102_Wkst'!$Q$7:$Q$2010,'LAC 102_Wkst'!$E$7:$E$2010,$C61,'LAC 102_Wkst'!$G$7:$G$2010,$D61,'LAC 102_Wkst'!$L$7:$L$2010,"07",'LAC 102_Wkst'!$N$7:$N$2010,"P3")</f>
        <v>0</v>
      </c>
      <c r="AA61" s="411">
        <f>SUMIFS('LAC 102_Wkst'!$AE$7:$AE$2010,'LAC 102_Wkst'!$E$7:$E$2010,$C61,'LAC 102_Wkst'!$G$7:$G$2010,$D61,'LAC 102_Wkst'!$L$7:$L$2010,"07",'LAC 102_Wkst'!$N$7:$N$2010,"P1")+SUMIFS('LAC 102_Wkst'!$AE$7:$AE$2010,'LAC 102_Wkst'!$E$7:$E$2010,$C61,'LAC 102_Wkst'!$G$7:$G$2010,$D61,'LAC 102_Wkst'!$L$7:$L$2010,"07",'LAC 102_Wkst'!$N$7:$N$2010,"P2")+SUMIFS('LAC 102_Wkst'!$AE$7:$AE$2010,'LAC 102_Wkst'!$E$7:$E$2010,$C61,'LAC 102_Wkst'!$G$7:$G$2010,$D61,'LAC 102_Wkst'!$L$7:$L$2010,"07",'LAC 102_Wkst'!$N$7:$N$2010,"P3")</f>
        <v>0</v>
      </c>
      <c r="AB61" s="410">
        <f>SUMIFS('LAC 102_Wkst'!$Q$7:$Q$2010,'LAC 102_Wkst'!$E$7:$E$2010,$C61,'LAC 102_Wkst'!$G$7:$G$2010,$D61,'LAC 102_Wkst'!$L$7:$L$2010,"07",'LAC 102_Wkst'!$N$7:$N$2010,"P4")</f>
        <v>0</v>
      </c>
      <c r="AC61" s="411">
        <f>SUMIFS('LAC 102_Wkst'!$AE$7:$AE$2010,'LAC 102_Wkst'!$E$7:$E$2010,$C61,'LAC 102_Wkst'!$G$7:$G$2010,$D61,'LAC 102_Wkst'!$L$7:$L$2010,"07",'LAC 102_Wkst'!$N$7:$N$2010,"P4")</f>
        <v>0</v>
      </c>
      <c r="AD61" s="410">
        <f>SUMIFS('LAC 102_Wkst'!$Q$7:$Q$2010,'LAC 102_Wkst'!$E$7:$E$2010,$C61,'LAC 102_Wkst'!$G$7:$G$2010,$D61,'LAC 102_Wkst'!$L$7:$L$2010,"07",'LAC 102_Wkst'!$N$7:$N$2010,"P5")</f>
        <v>0</v>
      </c>
      <c r="AE61" s="411">
        <f>SUMIFS('LAC 102_Wkst'!$AE$7:$AE$2010,'LAC 102_Wkst'!$E$7:$E$2010,$C61,'LAC 102_Wkst'!$G$7:$G$2010,$D61,'LAC 102_Wkst'!$L$7:$L$2010,"07",'LAC 102_Wkst'!$N$7:$N$2010,"P5")</f>
        <v>0</v>
      </c>
      <c r="AF61" s="410">
        <f>SUMIFS('LAC 102_Wkst'!$Q$7:$Q$2010,'LAC 102_Wkst'!$E$7:$E$2010,$C61,'LAC 102_Wkst'!$G$7:$G$2010,$D61,'LAC 102_Wkst'!$L$7:$L$2010,"08",'LAC 102_Wkst'!$N$7:$N$2010,"P1")+SUMIFS('LAC 102_Wkst'!$Q$7:$Q$2010,'LAC 102_Wkst'!$E$7:$E$2010,$C61,'LAC 102_Wkst'!$G$7:$G$2010,$D61,'LAC 102_Wkst'!$L$7:$L$2010,"08",'LAC 102_Wkst'!$N$7:$N$2010,"P2")+SUMIFS('LAC 102_Wkst'!$Q$7:$Q$2010,'LAC 102_Wkst'!$E$7:$E$2010,$C61,'LAC 102_Wkst'!$G$7:$G$2010,$D61,'LAC 102_Wkst'!$L$7:$L$2010,"08",'LAC 102_Wkst'!$N$7:$N$2010,"P3")</f>
        <v>0</v>
      </c>
      <c r="AG61" s="411">
        <f>SUMIFS('LAC 102_Wkst'!$AE$7:$AE$2010,'LAC 102_Wkst'!$E$7:$E$2010,$C61,'LAC 102_Wkst'!$G$7:$G$2010,$D61,'LAC 102_Wkst'!$L$7:$L$2010,"08",'LAC 102_Wkst'!$N$7:$N$2010,"P1")+SUMIFS('LAC 102_Wkst'!$AE$7:$AE$2010,'LAC 102_Wkst'!$E$7:$E$2010,$C61,'LAC 102_Wkst'!$G$7:$G$2010,$D61,'LAC 102_Wkst'!$L$7:$L$2010,"08",'LAC 102_Wkst'!$N$7:$N$2010,"P2")+SUMIFS('LAC 102_Wkst'!$AE$7:$AE$2010,'LAC 102_Wkst'!$E$7:$E$2010,$C61,'LAC 102_Wkst'!$G$7:$G$2010,$D61,'LAC 102_Wkst'!$L$7:$L$2010,"08",'LAC 102_Wkst'!$N$7:$N$2010,"P3")</f>
        <v>0</v>
      </c>
      <c r="AH61" s="410">
        <f>SUMIFS('LAC 102_Wkst'!$Q$7:$Q$2010,'LAC 102_Wkst'!$E$7:$E$2010,$C61,'LAC 102_Wkst'!$G$7:$G$2010,$D61,'LAC 102_Wkst'!$L$7:$L$2010,"08",'LAC 102_Wkst'!$N$7:$N$2010,"P4")</f>
        <v>0</v>
      </c>
      <c r="AI61" s="411">
        <f>SUMIFS('LAC 102_Wkst'!$AE$7:$AE$2010,'LAC 102_Wkst'!$E$7:$E$2010,$C61,'LAC 102_Wkst'!$G$7:$G$2010,$D61,'LAC 102_Wkst'!$L$7:$L$2010,"08",'LAC 102_Wkst'!$N$7:$N$2010,"P4")</f>
        <v>0</v>
      </c>
      <c r="AJ61" s="410">
        <f>SUMIFS('LAC 102_Wkst'!$Q$7:$Q$2010,'LAC 102_Wkst'!$E$7:$E$2010,$C61,'LAC 102_Wkst'!$G$7:$G$2010,$D61,'LAC 102_Wkst'!$L$7:$L$2010,"08",'LAC 102_Wkst'!$N$7:$N$2010,"P5")</f>
        <v>0</v>
      </c>
      <c r="AK61" s="411">
        <f>SUMIFS('LAC 102_Wkst'!$AE$7:$AE$2010,'LAC 102_Wkst'!$E$7:$E$2010,$C61,'LAC 102_Wkst'!$G$7:$G$2010,$D61,'LAC 102_Wkst'!$L$7:$L$2010,"08",'LAC 102_Wkst'!$N$7:$N$2010,"P5")</f>
        <v>0</v>
      </c>
      <c r="AL61" s="410">
        <f>SUMIFS('LAC 102_Wkst'!$Q$7:$Q$2010,'LAC 102_Wkst'!$E$7:$E$2010,$C61,'LAC 102_Wkst'!$G$7:$G$2010,$D61,'LAC 102_Wkst'!$L$7:$L$2010,"09",'LAC 102_Wkst'!$N$7:$N$2010,"P1")+SUMIFS('LAC 102_Wkst'!$Q$7:$Q$2010,'LAC 102_Wkst'!$E$7:$E$2010,$C61,'LAC 102_Wkst'!$G$7:$G$2010,$D61,'LAC 102_Wkst'!$L$7:$L$2010,"09",'LAC 102_Wkst'!$N$7:$N$2010,"P2")+SUMIFS('LAC 102_Wkst'!$Q$7:$Q$2010,'LAC 102_Wkst'!$E$7:$E$2010,$C61,'LAC 102_Wkst'!$G$7:$G$2010,$D61,'LAC 102_Wkst'!$L$7:$L$2010,"09",'LAC 102_Wkst'!$N$7:$N$2010,"P3")+SUMIFS('LAC 102_Wkst'!$Q$7:$Q$2010,'LAC 102_Wkst'!$E$7:$E$2010,$C61,'LAC 102_Wkst'!$G$7:$G$2010,$D61,'LAC 102_Wkst'!$L$7:$L$2010,"09",'LAC 102_Wkst'!$N$7:$N$2010,"P4")</f>
        <v>0</v>
      </c>
      <c r="AM61" s="411">
        <f>SUMIFS('LAC 102_Wkst'!$AE$7:$AE$2010,'LAC 102_Wkst'!$E$7:$E$2010,$C61,'LAC 102_Wkst'!$G$7:$G$2010,$D61,'LAC 102_Wkst'!$L$7:$L$2010,"09",'LAC 102_Wkst'!$N$7:$N$2010,"P1")+SUMIFS('LAC 102_Wkst'!$AE$7:$AE$2010,'LAC 102_Wkst'!$E$7:$E$2010,$C61,'LAC 102_Wkst'!$G$7:$G$2010,$D61,'LAC 102_Wkst'!$L$7:$L$2010,"09",'LAC 102_Wkst'!$N$7:$N$2010,"P2")+SUMIFS('LAC 102_Wkst'!$AE$7:$AE$2010,'LAC 102_Wkst'!$E$7:$E$2010,$C61,'LAC 102_Wkst'!$G$7:$G$2010,$D61,'LAC 102_Wkst'!$L$7:$L$2010,"09",'LAC 102_Wkst'!$N$7:$N$2010,"P3")+SUMIFS('LAC 102_Wkst'!$AE$7:$AE$2010,'LAC 102_Wkst'!$E$7:$E$2010,$C61,'LAC 102_Wkst'!$G$7:$G$2010,$D61,'LAC 102_Wkst'!$L$7:$L$2010,"09",'LAC 102_Wkst'!$N$7:$N$2010,"P4")</f>
        <v>0</v>
      </c>
      <c r="AN61" s="410">
        <f>SUMIFS('LAC 102_Wkst'!$Q$7:$Q$2010,'LAC 102_Wkst'!$E$7:$E$2010,$C61,'LAC 102_Wkst'!$G$7:$G$2010,$D61,'LAC 102_Wkst'!$L$7:$L$2010,"09",'LAC 102_Wkst'!$N$7:$N$2010,"P5")</f>
        <v>0</v>
      </c>
      <c r="AO61" s="411">
        <f>SUMIFS('LAC 102_Wkst'!$AE$7:$AE$2010,'LAC 102_Wkst'!$E$7:$E$2010,$C61,'LAC 102_Wkst'!$G$7:$G$2010,$D61,'LAC 102_Wkst'!$L$7:$L$2010,"09",'LAC 102_Wkst'!$N$7:$N$2010,"P5")</f>
        <v>0</v>
      </c>
      <c r="AP61" s="410">
        <f>SUMIFS('LAC 102_Wkst'!$Q$7:$Q$2010,'LAC 102_Wkst'!$E$7:$E$2010,$C61,'LAC 102_Wkst'!$G$7:$G$2010,$D61,'LAC 102_Wkst'!$L$7:$L$2010,"10",'LAC 102_Wkst'!$N$7:$N$2010,"P1")+SUMIFS('LAC 102_Wkst'!$Q$7:$Q$2010,'LAC 102_Wkst'!$E$7:$E$2010,$C61,'LAC 102_Wkst'!$G$7:$G$2010,$D61,'LAC 102_Wkst'!$L$7:$L$2010,"10",'LAC 102_Wkst'!$N$7:$N$2010,"P2")+SUMIFS('LAC 102_Wkst'!$Q$7:$Q$2010,'LAC 102_Wkst'!$E$7:$E$2010,$C61,'LAC 102_Wkst'!$G$7:$G$2010,$D61,'LAC 102_Wkst'!$L$7:$L$2010,"10",'LAC 102_Wkst'!$N$7:$N$2010,"P3")+SUMIFS('LAC 102_Wkst'!$Q$7:$Q$2010,'LAC 102_Wkst'!$E$7:$E$2010,$C61,'LAC 102_Wkst'!$G$7:$G$2010,$D61,'LAC 102_Wkst'!$L$7:$L$2010,"10",'LAC 102_Wkst'!$N$7:$N$2010,"P4")</f>
        <v>0</v>
      </c>
      <c r="AQ61" s="411">
        <f>SUMIFS('LAC 102_Wkst'!$AE$7:$AE$2010,'LAC 102_Wkst'!$E$7:$E$2010,$C61,'LAC 102_Wkst'!$G$7:$G$2010,$D61,'LAC 102_Wkst'!$L$7:$L$2010,"10",'LAC 102_Wkst'!$N$7:$N$2010,"P1")+SUMIFS('LAC 102_Wkst'!$AE$7:$AE$2010,'LAC 102_Wkst'!$E$7:$E$2010,$C61,'LAC 102_Wkst'!$G$7:$G$2010,$D61,'LAC 102_Wkst'!$L$7:$L$2010,"10",'LAC 102_Wkst'!$N$7:$N$2010,"P2")+SUMIFS('LAC 102_Wkst'!$AE$7:$AE$2010,'LAC 102_Wkst'!$E$7:$E$2010,$C61,'LAC 102_Wkst'!$G$7:$G$2010,$D61,'LAC 102_Wkst'!$L$7:$L$2010,"10",'LAC 102_Wkst'!$N$7:$N$2010,"P3")+SUMIFS('LAC 102_Wkst'!$AE$7:$AE$2010,'LAC 102_Wkst'!$E$7:$E$2010,$C61,'LAC 102_Wkst'!$G$7:$G$2010,$D61,'LAC 102_Wkst'!$L$7:$L$2010,"10",'LAC 102_Wkst'!$N$7:$N$2010,"P4")</f>
        <v>0</v>
      </c>
      <c r="AR61" s="410">
        <f>SUMIFS('LAC 102_Wkst'!$Q$7:$Q$2010,'LAC 102_Wkst'!$E$7:$E$2010,$C61,'LAC 102_Wkst'!$G$7:$G$2010,$D61,'LAC 102_Wkst'!$L$7:$L$2010,"10",'LAC 102_Wkst'!$N$7:$N$2010,"P5")</f>
        <v>0</v>
      </c>
      <c r="AS61" s="411">
        <f>SUMIFS('LAC 102_Wkst'!$AE$7:$AE$2010,'LAC 102_Wkst'!$E$7:$E$2010,$C61,'LAC 102_Wkst'!$G$7:$G$2010,$D61,'LAC 102_Wkst'!$L$7:$L$2010,"10",'LAC 102_Wkst'!$N$7:$N$2010,"P5")</f>
        <v>0</v>
      </c>
      <c r="AT61" s="410">
        <f>SUMIFS('LAC 102_Wkst'!$Q$7:$Q$2010,'LAC 102_Wkst'!$E$7:$E$2010,$C61,'LAC 102_Wkst'!$G$7:$G$2010,$D61,'LAC 102_Wkst'!$L$7:$L$2010,"11",'LAC 102_Wkst'!$N$7:$N$2010,"P1")+SUMIFS('LAC 102_Wkst'!$Q$7:$Q$2010,'LAC 102_Wkst'!$E$7:$E$2010,$C61,'LAC 102_Wkst'!$G$7:$G$2010,$D61,'LAC 102_Wkst'!$L$7:$L$2010,"12",'LAC 102_Wkst'!$N$7:$N$2010,"P1")</f>
        <v>0</v>
      </c>
      <c r="AU61" s="411">
        <f>SUMIFS('LAC 102_Wkst'!$AE$7:$AE$2010,'LAC 102_Wkst'!$E$7:$E$2010,$C61,'LAC 102_Wkst'!$G$7:$G$2010,$D61,'LAC 102_Wkst'!$L$7:$L$2010,"11",'LAC 102_Wkst'!$N$7:$N$2010,"P1")+SUMIFS('LAC 102_Wkst'!$AE$7:$AE$2010,'LAC 102_Wkst'!$E$7:$E$2010,$C61,'LAC 102_Wkst'!$G$7:$G$2010,$D61,'LAC 102_Wkst'!$L$7:$L$2010,"12",'LAC 102_Wkst'!$N$7:$N$2010,"P1")</f>
        <v>0</v>
      </c>
      <c r="AV61" s="410">
        <f>SUMIFS('LAC 102_Wkst'!$Q$7:$Q$2010,'LAC 102_Wkst'!$E$7:$E$2010,$C61,'LAC 102_Wkst'!$G$7:$G$2010,$D61,'LAC 102_Wkst'!$L$7:$L$2010,"11",'LAC 102_Wkst'!$N$7:$N$2010,"P2")+SUMIFS('LAC 102_Wkst'!$Q$7:$Q$2010,'LAC 102_Wkst'!$E$7:$E$2010,$C61,'LAC 102_Wkst'!$G$7:$G$2010,$D61,'LAC 102_Wkst'!$L$7:$L$2010,"12",'LAC 102_Wkst'!$N$7:$N$2010,"P3")+SUMIFS('LAC 102_Wkst'!$Q$7:$Q$2010,'LAC 102_Wkst'!$E$7:$E$2010,$C61,'LAC 102_Wkst'!$G$7:$G$2010,$D61,'LAC 102_Wkst'!$L$7:$L$2010,"11",'LAC 102_Wkst'!$N$7:$N$2010,"P2")+SUMIFS('LAC 102_Wkst'!$Q$7:$Q$2010,'LAC 102_Wkst'!$E$7:$E$2010,$C61,'LAC 102_Wkst'!$G$7:$G$2010,$D61,'LAC 102_Wkst'!$L$7:$L$2010,"12",'LAC 102_Wkst'!$N$7:$N$2010,"P3")</f>
        <v>0</v>
      </c>
      <c r="AW61" s="411">
        <f>SUMIFS('LAC 102_Wkst'!$AE$7:$AE$2010,'LAC 102_Wkst'!$E$7:$E$2010,$C61,'LAC 102_Wkst'!$G$7:$G$2010,$D61,'LAC 102_Wkst'!$L$7:$L$2010,"11",'LAC 102_Wkst'!$N$7:$N$2010,"P2")+SUMIFS('LAC 102_Wkst'!$AE$7:$AE$2010,'LAC 102_Wkst'!$E$7:$E$2010,$C61,'LAC 102_Wkst'!$G$7:$G$2010,$D61,'LAC 102_Wkst'!$L$7:$L$2010,"12",'LAC 102_Wkst'!$N$7:$N$2010,"P3")+SUMIFS('LAC 102_Wkst'!$AE$7:$AE$2010,'LAC 102_Wkst'!$E$7:$E$2010,$C61,'LAC 102_Wkst'!$G$7:$G$2010,$D61,'LAC 102_Wkst'!$L$7:$L$2010,"11",'LAC 102_Wkst'!$N$7:$N$2010,"P2")+SUMIFS('LAC 102_Wkst'!$AE$7:$AE$2010,'LAC 102_Wkst'!$E$7:$E$2010,$C61,'LAC 102_Wkst'!$G$7:$G$2010,$D61,'LAC 102_Wkst'!$L$7:$L$2010,"12",'LAC 102_Wkst'!$N$7:$N$2010,"P3")</f>
        <v>0</v>
      </c>
      <c r="AX61" s="410">
        <f>SUMIFS('LAC 102_Wkst'!$Q$7:$Q$2010,'LAC 102_Wkst'!$E$7:$E$2010,$C61,'LAC 102_Wkst'!$G$7:$G$2010,$D61,'LAC 102_Wkst'!$L$7:$L$2010,"11",'LAC 102_Wkst'!$N$7:$N$2010,"P4")+SUMIFS('LAC 102_Wkst'!$Q$7:$Q$2010,'LAC 102_Wkst'!$E$7:$E$2010,$C61,'LAC 102_Wkst'!$G$7:$G$2010,$D61,'LAC 102_Wkst'!$L$7:$L$2010,"12",'LAC 102_Wkst'!$N$7:$N$2010,"P4")</f>
        <v>0</v>
      </c>
      <c r="AY61" s="411">
        <f>SUMIFS('LAC 102_Wkst'!$AE$7:$AE$2010,'LAC 102_Wkst'!$E$7:$E$2010,$C61,'LAC 102_Wkst'!$G$7:$G$2010,$D61,'LAC 102_Wkst'!$L$7:$L$2010,"11",'LAC 102_Wkst'!$N$7:$N$2010,"P4")+SUMIFS('LAC 102_Wkst'!$AE$7:$AE$2010,'LAC 102_Wkst'!$E$7:$E$2010,$C61,'LAC 102_Wkst'!$G$7:$G$2010,$D61,'LAC 102_Wkst'!$L$7:$L$2010,"12",'LAC 102_Wkst'!$N$7:$N$2010,"P4")</f>
        <v>0</v>
      </c>
      <c r="AZ61" s="410">
        <f>SUMIFS('LAC 102_Wkst'!$Q$7:$Q$2010,'LAC 102_Wkst'!$E$7:$E$2010,$C61,'LAC 102_Wkst'!$G$7:$G$2010,$D61,'LAC 102_Wkst'!$L$7:$L$2010,"11",'LAC 102_Wkst'!$N$7:$N$2010,"P5")+SUMIFS('LAC 102_Wkst'!$Q$7:$Q$2010,'LAC 102_Wkst'!$E$7:$E$2010,$C61,'LAC 102_Wkst'!$G$7:$G$2010,$D61,'LAC 102_Wkst'!$L$7:$L$2010,"12",'LAC 102_Wkst'!$N$7:$N$2010,"P5")</f>
        <v>0</v>
      </c>
      <c r="BA61" s="411">
        <f>SUMIFS('LAC 102_Wkst'!$AE$7:$AE$2010,'LAC 102_Wkst'!$E$7:$E$2010,$C61,'LAC 102_Wkst'!$G$7:$G$2010,$D61,'LAC 102_Wkst'!$L$7:$L$2010,"11",'LAC 102_Wkst'!$N$7:$N$2010,"P5")+SUMIFS('LAC 102_Wkst'!$AE$7:$AE$2010,'LAC 102_Wkst'!$E$7:$E$2010,$C61,'LAC 102_Wkst'!$G$7:$G$2010,$D61,'LAC 102_Wkst'!$L$7:$L$2010,"12",'LAC 102_Wkst'!$N$7:$N$2010,"P5")</f>
        <v>0</v>
      </c>
      <c r="BB61" s="410">
        <f>SUMIFS('LAC 102_Wkst'!$Q$7:$Q$2010,'LAC 102_Wkst'!$E$7:$E$2010,$C61,'LAC 102_Wkst'!$G$7:$G$2010,$D61,'LAC 102_Wkst'!$L$7:$L$2010,"13",'LAC 102_Wkst'!$N$7:$N$2010,"P1")+SUMIFS('LAC 102_Wkst'!$Q$7:$Q$2010,'LAC 102_Wkst'!$E$7:$E$2010,$C61,'LAC 102_Wkst'!$G$7:$G$2010,$D61,'LAC 102_Wkst'!$L$7:$L$2010,"13",'LAC 102_Wkst'!$N$7:$N$2010,"P2")+SUMIFS('LAC 102_Wkst'!$Q$7:$Q$2010,'LAC 102_Wkst'!$E$7:$E$2010,$C61,'LAC 102_Wkst'!$G$7:$G$2010,$D61,'LAC 102_Wkst'!$L$7:$L$2010,"13",'LAC 102_Wkst'!$N$7:$N$2010,"P3")+SUMIFS('LAC 102_Wkst'!$Q$7:$Q$2010,'LAC 102_Wkst'!$E$7:$E$2010,$C61,'LAC 102_Wkst'!$G$7:$G$2010,$D61,'LAC 102_Wkst'!$L$7:$L$2010,"13",'LAC 102_Wkst'!$N$7:$N$2010,"P4")</f>
        <v>0</v>
      </c>
      <c r="BC61" s="411">
        <f>SUMIFS('LAC 102_Wkst'!$AE$7:$AE$2010,'LAC 102_Wkst'!$E$7:$E$2010,$C61,'LAC 102_Wkst'!$G$7:$G$2010,$D61,'LAC 102_Wkst'!$L$7:$L$2010,"13",'LAC 102_Wkst'!$N$7:$N$2010,"P1")+SUMIFS('LAC 102_Wkst'!$AE$7:$AE$2010,'LAC 102_Wkst'!$E$7:$E$2010,$C61,'LAC 102_Wkst'!$G$7:$G$2010,$D61,'LAC 102_Wkst'!$L$7:$L$2010,"13",'LAC 102_Wkst'!$N$7:$N$2010,"P2")+SUMIFS('LAC 102_Wkst'!$AE$7:$AE$2010,'LAC 102_Wkst'!$E$7:$E$2010,$C61,'LAC 102_Wkst'!$G$7:$G$2010,$D61,'LAC 102_Wkst'!$L$7:$L$2010,"13",'LAC 102_Wkst'!$N$7:$N$2010,"P3")+SUMIFS('LAC 102_Wkst'!$AE$7:$AE$2010,'LAC 102_Wkst'!$E$7:$E$2010,$C61,'LAC 102_Wkst'!$G$7:$G$2010,$D61,'LAC 102_Wkst'!$L$7:$L$2010,"13",'LAC 102_Wkst'!$N$7:$N$2010,"P4")</f>
        <v>0</v>
      </c>
      <c r="BD61" s="410">
        <f>SUMIFS('LAC 102_Wkst'!$Q$7:$Q$2010,'LAC 102_Wkst'!$E$7:$E$2010,$C61,'LAC 102_Wkst'!$G$7:$G$2010,$D61,'LAC 102_Wkst'!$L$7:$L$2010,"13",'LAC 102_Wkst'!$N$7:$N$2010,"P5")</f>
        <v>0</v>
      </c>
      <c r="BE61" s="411">
        <f>SUMIFS('LAC 102_Wkst'!$AE$7:$AE$2010,'LAC 102_Wkst'!$E$7:$E$2010,$C61,'LAC 102_Wkst'!$G$7:$G$2010,$D61,'LAC 102_Wkst'!$L$7:$L$2010,"13",'LAC 102_Wkst'!$N$7:$N$2010,"P5")</f>
        <v>0</v>
      </c>
      <c r="BF61" s="407">
        <f t="shared" si="0"/>
        <v>0</v>
      </c>
    </row>
    <row r="62" spans="1:58" x14ac:dyDescent="0.2">
      <c r="A62" s="401">
        <v>43</v>
      </c>
      <c r="B62" s="1236"/>
      <c r="C62" s="1235"/>
      <c r="D62" s="1237"/>
      <c r="E62" s="1222">
        <f>IF(CONCATENATE(C62,D62)&gt;"6069",1,SUMIFS('LAC 102_Wkst'!$Q$7:$Q$2010,'LAC 102_Wkst'!$E$7:$E$2010,Schedule_B!$C62,'LAC 102_Wkst'!$G$7:$G$2010,Schedule_B!$D62))</f>
        <v>0</v>
      </c>
      <c r="F62" s="408">
        <f>SUMIFS('LAC 102_Wkst'!$Q$7:$Q$2010,'LAC 102_Wkst'!$E$7:$E$2010,$C62,'LAC 102_Wkst'!$G$7:$G$2010,$D62,'LAC 102_Wkst'!$L$7:$L$2010,"01",'LAC 102_Wkst'!$N$7:$N$2010,"P1")+SUMIFS('LAC 102_Wkst'!$Q$7:$Q$2010,'LAC 102_Wkst'!$E$7:$E$2010,$C62,'LAC 102_Wkst'!$G$7:$G$2010,$D62,'LAC 102_Wkst'!$L$7:$L$2010,"01",'LAC 102_Wkst'!$N$7:$N$2010,"P2")+SUMIFS('LAC 102_Wkst'!$Q$7:$Q$2010,'LAC 102_Wkst'!$E$7:$E$2010,$C62,'LAC 102_Wkst'!$G$7:$G$2010,$D62,'LAC 102_Wkst'!$L$7:$L$2010,"01",'LAC 102_Wkst'!$N$7:$N$2010,"P3")+SUMIFS('LAC 102_Wkst'!$Q$7:$Q$2010,'LAC 102_Wkst'!$E$7:$E$2010,$C62,'LAC 102_Wkst'!$G$7:$G$2010,$D62,'LAC 102_Wkst'!$L$7:$L$2010,"02",'LAC 102_Wkst'!$N$7:$N$2010,"P1")+SUMIFS('LAC 102_Wkst'!$Q$7:$Q$2010,'LAC 102_Wkst'!$E$7:$E$2010,$C62,'LAC 102_Wkst'!$G$7:$G$2010,$D62,'LAC 102_Wkst'!$L$7:$L$2010,"02",'LAC 102_Wkst'!$N$7:$N$2010,"P2")+SUMIFS('LAC 102_Wkst'!$Q$7:$Q$2010,'LAC 102_Wkst'!$E$7:$E$2010,$C62,'LAC 102_Wkst'!$G$7:$G$2010,$D62,'LAC 102_Wkst'!$L$7:$L$2010,"02",'LAC 102_Wkst'!$N$7:$N$2010,"P3")</f>
        <v>0</v>
      </c>
      <c r="G62" s="409">
        <f>SUMIFS('LAC 102_Wkst'!$AE$7:$AE$2010,'LAC 102_Wkst'!$E$7:$E$2010,$C62,'LAC 102_Wkst'!$G$7:$G$2010,$D62,'LAC 102_Wkst'!$L$7:$L$2010,"01",'LAC 102_Wkst'!$N$7:$N$2010,"P1")+SUMIFS('LAC 102_Wkst'!$AE$7:$AE$2010,'LAC 102_Wkst'!$E$7:$E$2010,$C62,'LAC 102_Wkst'!$G$7:$G$2010,$D62,'LAC 102_Wkst'!$L$7:$L$2010,"01",'LAC 102_Wkst'!$N$7:$N$2010,"P2")+SUMIFS('LAC 102_Wkst'!$AE$7:$AE$2010,'LAC 102_Wkst'!$E$7:$E$2010,$C62,'LAC 102_Wkst'!$G$7:$G$2010,$D62,'LAC 102_Wkst'!$L$7:$L$2010,"01",'LAC 102_Wkst'!$N$7:$N$2010,"P3")+SUMIFS('LAC 102_Wkst'!$AE$7:$AE$2010,'LAC 102_Wkst'!$E$7:$E$2010,$C62,'LAC 102_Wkst'!$G$7:$G$2010,$D62,'LAC 102_Wkst'!$L$7:$L$2010,"02",'LAC 102_Wkst'!$N$7:$N$2010,"P1")+SUMIFS('LAC 102_Wkst'!$AE$7:$AE$2010,'LAC 102_Wkst'!$E$7:$E$2010,$C62,'LAC 102_Wkst'!$G$7:$G$2010,$D62,'LAC 102_Wkst'!$L$7:$L$2010,"02",'LAC 102_Wkst'!$N$7:$N$2010,"P2")+SUMIFS('LAC 102_Wkst'!$AE$7:$AE$2010,'LAC 102_Wkst'!$E$7:$E$2010,$C62,'LAC 102_Wkst'!$G$7:$G$2010,$D62,'LAC 102_Wkst'!$L$7:$L$2010,"02",'LAC 102_Wkst'!$N$7:$N$2010,"P3")</f>
        <v>0</v>
      </c>
      <c r="H62" s="410">
        <f>SUMIFS('LAC 102_Wkst'!$Q$7:$Q$2010,'LAC 102_Wkst'!$E$7:$E$2010,$C62,'LAC 102_Wkst'!$G$7:$G$2010,$D62,'LAC 102_Wkst'!$L$7:$L$2010,"01",'LAC 102_Wkst'!$N$7:$N$2010,"P4")+SUMIFS('LAC 102_Wkst'!$Q$7:$Q$2010,'LAC 102_Wkst'!$E$7:$E$2010,$C62,'LAC 102_Wkst'!$G$7:$G$2010,$D62,'LAC 102_Wkst'!$L$7:$L$2010,"02",'LAC 102_Wkst'!$N$7:$N$2010,"P4")</f>
        <v>0</v>
      </c>
      <c r="I62" s="411">
        <f>SUMIFS('LAC 102_Wkst'!$AE$7:$AE$2010,'LAC 102_Wkst'!$E$7:$E$2010,$C62,'LAC 102_Wkst'!$G$7:$G$2010,$D62,'LAC 102_Wkst'!$L$7:$L$2010,"01",'LAC 102_Wkst'!$N$7:$N$2010,"P4")+SUMIFS('LAC 102_Wkst'!$AE$7:$AE$2010,'LAC 102_Wkst'!$E$7:$E$2010,$C62,'LAC 102_Wkst'!$G$7:$G$2010,$D62,'LAC 102_Wkst'!$L$7:$L$2010,"02",'LAC 102_Wkst'!$N$7:$N$2010,"P4")</f>
        <v>0</v>
      </c>
      <c r="J62" s="410">
        <f>SUMIFS('LAC 102_Wkst'!$Q$7:$Q$2010,'LAC 102_Wkst'!$E$7:$E$2010,$C62,'LAC 102_Wkst'!$G$7:$G$2010,$D62,'LAC 102_Wkst'!$L$7:$L$2010,"01",'LAC 102_Wkst'!$N$7:$N$2010,"P5")+SUMIFS('LAC 102_Wkst'!$Q$7:$Q$2010,'LAC 102_Wkst'!$E$7:$E$2010,$C62,'LAC 102_Wkst'!$G$7:$G$2010,$D62,'LAC 102_Wkst'!$L$7:$L$2010,"02",'LAC 102_Wkst'!$N$7:$N$2010,"P5")</f>
        <v>0</v>
      </c>
      <c r="K62" s="411">
        <f>SUMIFS('LAC 102_Wkst'!$AE$7:$AE$2010,'LAC 102_Wkst'!$E$7:$E$2010,$C62,'LAC 102_Wkst'!$G$7:$G$2010,$D62,'LAC 102_Wkst'!$L$7:$L$2010,"01",'LAC 102_Wkst'!$N$7:$N$2010,"P5")+SUMIFS('LAC 102_Wkst'!$AE$7:$AE$2010,'LAC 102_Wkst'!$E$7:$E$2010,$C62,'LAC 102_Wkst'!$G$7:$G$2010,$D62,'LAC 102_Wkst'!$L$7:$L$2010,"02",'LAC 102_Wkst'!$N$7:$N$2010,"P5")</f>
        <v>0</v>
      </c>
      <c r="L62" s="410">
        <f>SUMIFS('LAC 102_Wkst'!$Q$7:$Q$2010,'LAC 102_Wkst'!$E$7:$E$2010,$C62,'LAC 102_Wkst'!$G$7:$G$2010,$D62,'LAC 102_Wkst'!$L$7:$L$2010,"03",'LAC 102_Wkst'!$N$7:$N$2010,"P1")+SUMIFS('LAC 102_Wkst'!$Q$7:$Q$2010,'LAC 102_Wkst'!$E$7:$E$2010,$C62,'LAC 102_Wkst'!$G$7:$G$2010,$D62,'LAC 102_Wkst'!$L$7:$L$2010,"03",'LAC 102_Wkst'!$N$7:$N$2010,"P2")+SUMIFS('LAC 102_Wkst'!$Q$7:$Q$2010,'LAC 102_Wkst'!$E$7:$E$2010,$C62,'LAC 102_Wkst'!$G$7:$G$2010,$D62,'LAC 102_Wkst'!$L$7:$L$2010,"03",'LAC 102_Wkst'!$N$7:$N$2010,"P3")+SUMIFS('LAC 102_Wkst'!$Q$7:$Q$2010,'LAC 102_Wkst'!$E$7:$E$2010,$C62,'LAC 102_Wkst'!$G$7:$G$2010,$D62,'LAC 102_Wkst'!$L$7:$L$2010,"04",'LAC 102_Wkst'!$N$7:$N$2010,"P1")+SUMIFS('LAC 102_Wkst'!$Q$7:$Q$2010,'LAC 102_Wkst'!$E$7:$E$2010,$C62,'LAC 102_Wkst'!$G$7:$G$2010,$D62,'LAC 102_Wkst'!$L$7:$L$2010,"04",'LAC 102_Wkst'!$N$7:$N$2010,"P2")+SUMIFS('LAC 102_Wkst'!$Q$7:$Q$2010,'LAC 102_Wkst'!$E$7:$E$2010,$C62,'LAC 102_Wkst'!$G$7:$G$2010,$D62,'LAC 102_Wkst'!$L$7:$L$2010,"04",'LAC 102_Wkst'!$N$7:$N$2010,"P3")</f>
        <v>0</v>
      </c>
      <c r="M62" s="411">
        <f>SUMIFS('LAC 102_Wkst'!$AE$7:$AE$2010,'LAC 102_Wkst'!$E$7:$E$2010,$C62,'LAC 102_Wkst'!$G$7:$G$2010,$D62,'LAC 102_Wkst'!$L$7:$L$2010,"03",'LAC 102_Wkst'!$N$7:$N$2010,"P1")+SUMIFS('LAC 102_Wkst'!$AE$7:$AE$2010,'LAC 102_Wkst'!$E$7:$E$2010,$C62,'LAC 102_Wkst'!$G$7:$G$2010,$D62,'LAC 102_Wkst'!$L$7:$L$2010,"03",'LAC 102_Wkst'!$N$7:$N$2010,"P2")+SUMIFS('LAC 102_Wkst'!$AE$7:$AE$2010,'LAC 102_Wkst'!$E$7:$E$2010,$C62,'LAC 102_Wkst'!$G$7:$G$2010,$D62,'LAC 102_Wkst'!$L$7:$L$2010,"03",'LAC 102_Wkst'!$N$7:$N$2010,"P3")+SUMIFS('LAC 102_Wkst'!$AE$7:$AE$2010,'LAC 102_Wkst'!$E$7:$E$2010,$C62,'LAC 102_Wkst'!$G$7:$G$2010,$D62,'LAC 102_Wkst'!$L$7:$L$2010,"04",'LAC 102_Wkst'!$N$7:$N$2010,"P1")+SUMIFS('LAC 102_Wkst'!$AE$7:$AE$2010,'LAC 102_Wkst'!$E$7:$E$2010,$C62,'LAC 102_Wkst'!$G$7:$G$2010,$D62,'LAC 102_Wkst'!$L$7:$L$2010,"04",'LAC 102_Wkst'!$N$7:$N$2010,"P2")+SUMIFS('LAC 102_Wkst'!$AE$7:$AE$2010,'LAC 102_Wkst'!$E$7:$E$2010,$C62,'LAC 102_Wkst'!$G$7:$G$2010,$D62,'LAC 102_Wkst'!$L$7:$L$2010,"04",'LAC 102_Wkst'!$N$7:$N$2010,"P3")</f>
        <v>0</v>
      </c>
      <c r="N62" s="410">
        <f>SUMIFS('LAC 102_Wkst'!$Q$7:$Q$2010,'LAC 102_Wkst'!$E$7:$E$2010,$C62,'LAC 102_Wkst'!$G$7:$G$2010,$D62,'LAC 102_Wkst'!$L$7:$L$2010,"03",'LAC 102_Wkst'!$N$7:$N$2010,"P4")+SUMIFS('LAC 102_Wkst'!$Q$7:$Q$2010,'LAC 102_Wkst'!$E$7:$E$2010,$C62,'LAC 102_Wkst'!$G$7:$G$2010,$D62,'LAC 102_Wkst'!$L$7:$L$2010,"04",'LAC 102_Wkst'!$N$7:$N$2010,"P4")</f>
        <v>0</v>
      </c>
      <c r="O62" s="411">
        <f>SUMIFS('LAC 102_Wkst'!$AE$7:$AE$2010,'LAC 102_Wkst'!$E$7:$E$2010,$C62,'LAC 102_Wkst'!$G$7:$G$2010,$D62,'LAC 102_Wkst'!$L$7:$L$2010,"03",'LAC 102_Wkst'!$N$7:$N$2010,"P4")+SUMIFS('LAC 102_Wkst'!$AE$7:$AE$2010,'LAC 102_Wkst'!$E$7:$E$2010,$C62,'LAC 102_Wkst'!$G$7:$G$2010,$D62,'LAC 102_Wkst'!$L$7:$L$2010,"04",'LAC 102_Wkst'!$N$7:$N$2010,"P4")</f>
        <v>0</v>
      </c>
      <c r="P62" s="410">
        <f>SUMIFS('LAC 102_Wkst'!$Q$7:$Q$2010,'LAC 102_Wkst'!$E$7:$E$2010,$C62,'LAC 102_Wkst'!$G$7:$G$2010,$D62,'LAC 102_Wkst'!$L$7:$L$2010,"03",'LAC 102_Wkst'!$N$7:$N$2010,"P5")+SUMIFS('LAC 102_Wkst'!$Q$7:$Q$2010,'LAC 102_Wkst'!$E$7:$E$2010,$C62,'LAC 102_Wkst'!$G$7:$G$2010,$D62,'LAC 102_Wkst'!$L$7:$L$2010,"04",'LAC 102_Wkst'!$N$7:$N$2010,"P5")</f>
        <v>0</v>
      </c>
      <c r="Q62" s="411">
        <f>SUMIFS('LAC 102_Wkst'!$AE$7:$AE$2010,'LAC 102_Wkst'!$E$7:$E$2010,$C62,'LAC 102_Wkst'!$G$7:$G$2010,$D62,'LAC 102_Wkst'!$L$7:$L$2010,"03",'LAC 102_Wkst'!$N$7:$N$2010,"P5")+SUMIFS('LAC 102_Wkst'!$AE$7:$AE$2010,'LAC 102_Wkst'!$E$7:$E$2010,$C62,'LAC 102_Wkst'!$G$7:$G$2010,$D62,'LAC 102_Wkst'!$L$7:$L$2010,"04",'LAC 102_Wkst'!$N$7:$N$2010,"P5")</f>
        <v>0</v>
      </c>
      <c r="R62" s="412">
        <f>SUMIFS('LAC 102_Wkst'!$Q$7:$Q$2010,'LAC 102_Wkst'!$E$7:$E$2010,$C62,'LAC 102_Wkst'!$G$7:$G$2010,$D62,'LAC 102_Wkst'!$L$7:$L$2010,"05",'LAC 102_Wkst'!$N$7:$N$2010,"P1")+SUMIFS('LAC 102_Wkst'!$Q$7:$Q$2010,'LAC 102_Wkst'!$E$7:$E$2010,$C62,'LAC 102_Wkst'!$G$7:$G$2010,$D62,'LAC 102_Wkst'!$L$7:$L$2010,"06",'LAC 102_Wkst'!$N$7:$N$2010,"P1")</f>
        <v>0</v>
      </c>
      <c r="S62" s="411">
        <f>SUMIFS('LAC 102_Wkst'!$AE$7:$AE$2010,'LAC 102_Wkst'!$E$7:$E$2010,$C62,'LAC 102_Wkst'!$G$7:$G$2010,$D62,'LAC 102_Wkst'!$L$7:$L$2010,"05",'LAC 102_Wkst'!$N$7:$N$2010,"P1")+SUMIFS('LAC 102_Wkst'!$AE$7:$AE$2010,'LAC 102_Wkst'!$E$7:$E$2010,$C62,'LAC 102_Wkst'!$G$7:$G$2010,$D62,'LAC 102_Wkst'!$L$7:$L$2010,"06",'LAC 102_Wkst'!$N$7:$N$2010,"P1")</f>
        <v>0</v>
      </c>
      <c r="T62" s="410">
        <f>SUMIFS('LAC 102_Wkst'!$Q$7:$Q$2010,'LAC 102_Wkst'!$E$7:$E$2010,$C62,'LAC 102_Wkst'!$G$7:$G$2010,$D62,'LAC 102_Wkst'!$L$7:$L$2010,"05",'LAC 102_Wkst'!$N$7:$N$2010,"P2")+SUMIFS('LAC 102_Wkst'!$Q$7:$Q$2010,'LAC 102_Wkst'!$E$7:$E$2010,$C62,'LAC 102_Wkst'!$G$7:$G$2010,$D62,'LAC 102_Wkst'!$L$7:$L$2010,"05",'LAC 102_Wkst'!$N$7:$N$2010,"P3")+SUMIFS('LAC 102_Wkst'!$Q$7:$Q$2010,'LAC 102_Wkst'!$E$7:$E$2010,$C62,'LAC 102_Wkst'!$G$7:$G$2010,$D62,'LAC 102_Wkst'!$L$7:$L$2010,"06",'LAC 102_Wkst'!$N$7:$N$2010,"P2")+SUMIFS('LAC 102_Wkst'!$Q$7:$Q$2010,'LAC 102_Wkst'!$E$7:$E$2010,$C62,'LAC 102_Wkst'!$G$7:$G$2010,$D62,'LAC 102_Wkst'!$L$7:$L$2010,"06",'LAC 102_Wkst'!$N$7:$N$2010,"P3")</f>
        <v>0</v>
      </c>
      <c r="U62" s="411">
        <f>SUMIFS('LAC 102_Wkst'!$AE$7:$AE$2010,'LAC 102_Wkst'!$E$7:$E$2010,$C62,'LAC 102_Wkst'!$G$7:$G$2010,$D62,'LAC 102_Wkst'!$L$7:$L$2010,"05",'LAC 102_Wkst'!$N$7:$N$2010,"P2")+SUMIFS('LAC 102_Wkst'!$AE$7:$AE$2010,'LAC 102_Wkst'!$E$7:$E$2010,$C62,'LAC 102_Wkst'!$G$7:$G$2010,$D62,'LAC 102_Wkst'!$L$7:$L$2010,"06",'LAC 102_Wkst'!$N$7:$N$2010,"P3")+SUMIFS('LAC 102_Wkst'!$AE$7:$AE$2010,'LAC 102_Wkst'!$E$7:$E$2010,$C62,'LAC 102_Wkst'!$G$7:$G$2010,$D62,'LAC 102_Wkst'!$L$7:$L$2010,"05",'LAC 102_Wkst'!$N$7:$N$2010,"P2")+SUMIFS('LAC 102_Wkst'!$AE$7:$AE$2010,'LAC 102_Wkst'!$E$7:$E$2010,$C62,'LAC 102_Wkst'!$G$7:$G$2010,$D62,'LAC 102_Wkst'!$L$7:$L$2010,"06",'LAC 102_Wkst'!$N$7:$N$2010,"P3")</f>
        <v>0</v>
      </c>
      <c r="V62" s="410">
        <f>SUMIFS('LAC 102_Wkst'!$Q$7:$Q$2010,'LAC 102_Wkst'!$E$7:$E$2010,$C62,'LAC 102_Wkst'!$G$7:$G$2010,$D62,'LAC 102_Wkst'!$L$7:$L$2010,"05",'LAC 102_Wkst'!$N$7:$N$2010,"P4")+SUMIFS('LAC 102_Wkst'!$Q$7:$Q$2010,'LAC 102_Wkst'!$E$7:$E$2010,$C62,'LAC 102_Wkst'!$G$7:$G$2010,$D62,'LAC 102_Wkst'!$L$7:$L$2010,"06",'LAC 102_Wkst'!$N$7:$N$2010,"P4")</f>
        <v>0</v>
      </c>
      <c r="W62" s="411">
        <f>SUMIFS('LAC 102_Wkst'!$AE$7:$AE$2010,'LAC 102_Wkst'!$E$7:$E$2010,$C62,'LAC 102_Wkst'!$G$7:$G$2010,$D62,'LAC 102_Wkst'!$L$7:$L$2010,"05",'LAC 102_Wkst'!$N$7:$N$2010,"P4")+SUMIFS('LAC 102_Wkst'!$AE$7:$AE$2010,'LAC 102_Wkst'!$E$7:$E$2010,$C62,'LAC 102_Wkst'!$G$7:$G$2010,$D62,'LAC 102_Wkst'!$L$7:$L$2010,"06",'LAC 102_Wkst'!$N$7:$N$2010,"P4")</f>
        <v>0</v>
      </c>
      <c r="X62" s="410">
        <f>SUMIFS('LAC 102_Wkst'!$Q$7:$Q$2010,'LAC 102_Wkst'!$E$7:$E$2010,$C62,'LAC 102_Wkst'!$G$7:$G$2010,$D62,'LAC 102_Wkst'!$L$7:$L$2010,"05",'LAC 102_Wkst'!$N$7:$N$2010,"P5")+SUMIFS('LAC 102_Wkst'!$Q$7:$Q$2010,'LAC 102_Wkst'!$E$7:$E$2010,$C62,'LAC 102_Wkst'!$G$7:$G$2010,$D62,'LAC 102_Wkst'!$L$7:$L$2010,"06",'LAC 102_Wkst'!$N$7:$N$2010,"P5")</f>
        <v>0</v>
      </c>
      <c r="Y62" s="411">
        <f>SUMIFS('LAC 102_Wkst'!$AE$7:$AE$2010,'LAC 102_Wkst'!$E$7:$E$2010,$C62,'LAC 102_Wkst'!$G$7:$G$2010,$D62,'LAC 102_Wkst'!$L$7:$L$2010,"05",'LAC 102_Wkst'!$N$7:$N$2010,"P5")+SUMIFS('LAC 102_Wkst'!$AE$7:$AE$2010,'LAC 102_Wkst'!$E$7:$E$2010,$C62,'LAC 102_Wkst'!$G$7:$G$2010,$D62,'LAC 102_Wkst'!$L$7:$L$2010,"06",'LAC 102_Wkst'!$N$7:$N$2010,"P5")</f>
        <v>0</v>
      </c>
      <c r="Z62" s="410">
        <f>SUMIFS('LAC 102_Wkst'!$Q$7:$Q$2010,'LAC 102_Wkst'!$E$7:$E$2010,$C62,'LAC 102_Wkst'!$G$7:$G$2010,$D62,'LAC 102_Wkst'!$L$7:$L$2010,"07",'LAC 102_Wkst'!$N$7:$N$2010,"P1")+SUMIFS('LAC 102_Wkst'!$Q$7:$Q$2010,'LAC 102_Wkst'!$E$7:$E$2010,$C62,'LAC 102_Wkst'!$G$7:$G$2010,$D62,'LAC 102_Wkst'!$L$7:$L$2010,"07",'LAC 102_Wkst'!$N$7:$N$2010,"P2")+SUMIFS('LAC 102_Wkst'!$Q$7:$Q$2010,'LAC 102_Wkst'!$E$7:$E$2010,$C62,'LAC 102_Wkst'!$G$7:$G$2010,$D62,'LAC 102_Wkst'!$L$7:$L$2010,"07",'LAC 102_Wkst'!$N$7:$N$2010,"P3")</f>
        <v>0</v>
      </c>
      <c r="AA62" s="411">
        <f>SUMIFS('LAC 102_Wkst'!$AE$7:$AE$2010,'LAC 102_Wkst'!$E$7:$E$2010,$C62,'LAC 102_Wkst'!$G$7:$G$2010,$D62,'LAC 102_Wkst'!$L$7:$L$2010,"07",'LAC 102_Wkst'!$N$7:$N$2010,"P1")+SUMIFS('LAC 102_Wkst'!$AE$7:$AE$2010,'LAC 102_Wkst'!$E$7:$E$2010,$C62,'LAC 102_Wkst'!$G$7:$G$2010,$D62,'LAC 102_Wkst'!$L$7:$L$2010,"07",'LAC 102_Wkst'!$N$7:$N$2010,"P2")+SUMIFS('LAC 102_Wkst'!$AE$7:$AE$2010,'LAC 102_Wkst'!$E$7:$E$2010,$C62,'LAC 102_Wkst'!$G$7:$G$2010,$D62,'LAC 102_Wkst'!$L$7:$L$2010,"07",'LAC 102_Wkst'!$N$7:$N$2010,"P3")</f>
        <v>0</v>
      </c>
      <c r="AB62" s="410">
        <f>SUMIFS('LAC 102_Wkst'!$Q$7:$Q$2010,'LAC 102_Wkst'!$E$7:$E$2010,$C62,'LAC 102_Wkst'!$G$7:$G$2010,$D62,'LAC 102_Wkst'!$L$7:$L$2010,"07",'LAC 102_Wkst'!$N$7:$N$2010,"P4")</f>
        <v>0</v>
      </c>
      <c r="AC62" s="411">
        <f>SUMIFS('LAC 102_Wkst'!$AE$7:$AE$2010,'LAC 102_Wkst'!$E$7:$E$2010,$C62,'LAC 102_Wkst'!$G$7:$G$2010,$D62,'LAC 102_Wkst'!$L$7:$L$2010,"07",'LAC 102_Wkst'!$N$7:$N$2010,"P4")</f>
        <v>0</v>
      </c>
      <c r="AD62" s="410">
        <f>SUMIFS('LAC 102_Wkst'!$Q$7:$Q$2010,'LAC 102_Wkst'!$E$7:$E$2010,$C62,'LAC 102_Wkst'!$G$7:$G$2010,$D62,'LAC 102_Wkst'!$L$7:$L$2010,"07",'LAC 102_Wkst'!$N$7:$N$2010,"P5")</f>
        <v>0</v>
      </c>
      <c r="AE62" s="411">
        <f>SUMIFS('LAC 102_Wkst'!$AE$7:$AE$2010,'LAC 102_Wkst'!$E$7:$E$2010,$C62,'LAC 102_Wkst'!$G$7:$G$2010,$D62,'LAC 102_Wkst'!$L$7:$L$2010,"07",'LAC 102_Wkst'!$N$7:$N$2010,"P5")</f>
        <v>0</v>
      </c>
      <c r="AF62" s="410">
        <f>SUMIFS('LAC 102_Wkst'!$Q$7:$Q$2010,'LAC 102_Wkst'!$E$7:$E$2010,$C62,'LAC 102_Wkst'!$G$7:$G$2010,$D62,'LAC 102_Wkst'!$L$7:$L$2010,"08",'LAC 102_Wkst'!$N$7:$N$2010,"P1")+SUMIFS('LAC 102_Wkst'!$Q$7:$Q$2010,'LAC 102_Wkst'!$E$7:$E$2010,$C62,'LAC 102_Wkst'!$G$7:$G$2010,$D62,'LAC 102_Wkst'!$L$7:$L$2010,"08",'LAC 102_Wkst'!$N$7:$N$2010,"P2")+SUMIFS('LAC 102_Wkst'!$Q$7:$Q$2010,'LAC 102_Wkst'!$E$7:$E$2010,$C62,'LAC 102_Wkst'!$G$7:$G$2010,$D62,'LAC 102_Wkst'!$L$7:$L$2010,"08",'LAC 102_Wkst'!$N$7:$N$2010,"P3")</f>
        <v>0</v>
      </c>
      <c r="AG62" s="411">
        <f>SUMIFS('LAC 102_Wkst'!$AE$7:$AE$2010,'LAC 102_Wkst'!$E$7:$E$2010,$C62,'LAC 102_Wkst'!$G$7:$G$2010,$D62,'LAC 102_Wkst'!$L$7:$L$2010,"08",'LAC 102_Wkst'!$N$7:$N$2010,"P1")+SUMIFS('LAC 102_Wkst'!$AE$7:$AE$2010,'LAC 102_Wkst'!$E$7:$E$2010,$C62,'LAC 102_Wkst'!$G$7:$G$2010,$D62,'LAC 102_Wkst'!$L$7:$L$2010,"08",'LAC 102_Wkst'!$N$7:$N$2010,"P2")+SUMIFS('LAC 102_Wkst'!$AE$7:$AE$2010,'LAC 102_Wkst'!$E$7:$E$2010,$C62,'LAC 102_Wkst'!$G$7:$G$2010,$D62,'LAC 102_Wkst'!$L$7:$L$2010,"08",'LAC 102_Wkst'!$N$7:$N$2010,"P3")</f>
        <v>0</v>
      </c>
      <c r="AH62" s="410">
        <f>SUMIFS('LAC 102_Wkst'!$Q$7:$Q$2010,'LAC 102_Wkst'!$E$7:$E$2010,$C62,'LAC 102_Wkst'!$G$7:$G$2010,$D62,'LAC 102_Wkst'!$L$7:$L$2010,"08",'LAC 102_Wkst'!$N$7:$N$2010,"P4")</f>
        <v>0</v>
      </c>
      <c r="AI62" s="411">
        <f>SUMIFS('LAC 102_Wkst'!$AE$7:$AE$2010,'LAC 102_Wkst'!$E$7:$E$2010,$C62,'LAC 102_Wkst'!$G$7:$G$2010,$D62,'LAC 102_Wkst'!$L$7:$L$2010,"08",'LAC 102_Wkst'!$N$7:$N$2010,"P4")</f>
        <v>0</v>
      </c>
      <c r="AJ62" s="410">
        <f>SUMIFS('LAC 102_Wkst'!$Q$7:$Q$2010,'LAC 102_Wkst'!$E$7:$E$2010,$C62,'LAC 102_Wkst'!$G$7:$G$2010,$D62,'LAC 102_Wkst'!$L$7:$L$2010,"08",'LAC 102_Wkst'!$N$7:$N$2010,"P5")</f>
        <v>0</v>
      </c>
      <c r="AK62" s="411">
        <f>SUMIFS('LAC 102_Wkst'!$AE$7:$AE$2010,'LAC 102_Wkst'!$E$7:$E$2010,$C62,'LAC 102_Wkst'!$G$7:$G$2010,$D62,'LAC 102_Wkst'!$L$7:$L$2010,"08",'LAC 102_Wkst'!$N$7:$N$2010,"P5")</f>
        <v>0</v>
      </c>
      <c r="AL62" s="410">
        <f>SUMIFS('LAC 102_Wkst'!$Q$7:$Q$2010,'LAC 102_Wkst'!$E$7:$E$2010,$C62,'LAC 102_Wkst'!$G$7:$G$2010,$D62,'LAC 102_Wkst'!$L$7:$L$2010,"09",'LAC 102_Wkst'!$N$7:$N$2010,"P1")+SUMIFS('LAC 102_Wkst'!$Q$7:$Q$2010,'LAC 102_Wkst'!$E$7:$E$2010,$C62,'LAC 102_Wkst'!$G$7:$G$2010,$D62,'LAC 102_Wkst'!$L$7:$L$2010,"09",'LAC 102_Wkst'!$N$7:$N$2010,"P2")+SUMIFS('LAC 102_Wkst'!$Q$7:$Q$2010,'LAC 102_Wkst'!$E$7:$E$2010,$C62,'LAC 102_Wkst'!$G$7:$G$2010,$D62,'LAC 102_Wkst'!$L$7:$L$2010,"09",'LAC 102_Wkst'!$N$7:$N$2010,"P3")+SUMIFS('LAC 102_Wkst'!$Q$7:$Q$2010,'LAC 102_Wkst'!$E$7:$E$2010,$C62,'LAC 102_Wkst'!$G$7:$G$2010,$D62,'LAC 102_Wkst'!$L$7:$L$2010,"09",'LAC 102_Wkst'!$N$7:$N$2010,"P4")</f>
        <v>0</v>
      </c>
      <c r="AM62" s="411">
        <f>SUMIFS('LAC 102_Wkst'!$AE$7:$AE$2010,'LAC 102_Wkst'!$E$7:$E$2010,$C62,'LAC 102_Wkst'!$G$7:$G$2010,$D62,'LAC 102_Wkst'!$L$7:$L$2010,"09",'LAC 102_Wkst'!$N$7:$N$2010,"P1")+SUMIFS('LAC 102_Wkst'!$AE$7:$AE$2010,'LAC 102_Wkst'!$E$7:$E$2010,$C62,'LAC 102_Wkst'!$G$7:$G$2010,$D62,'LAC 102_Wkst'!$L$7:$L$2010,"09",'LAC 102_Wkst'!$N$7:$N$2010,"P2")+SUMIFS('LAC 102_Wkst'!$AE$7:$AE$2010,'LAC 102_Wkst'!$E$7:$E$2010,$C62,'LAC 102_Wkst'!$G$7:$G$2010,$D62,'LAC 102_Wkst'!$L$7:$L$2010,"09",'LAC 102_Wkst'!$N$7:$N$2010,"P3")+SUMIFS('LAC 102_Wkst'!$AE$7:$AE$2010,'LAC 102_Wkst'!$E$7:$E$2010,$C62,'LAC 102_Wkst'!$G$7:$G$2010,$D62,'LAC 102_Wkst'!$L$7:$L$2010,"09",'LAC 102_Wkst'!$N$7:$N$2010,"P4")</f>
        <v>0</v>
      </c>
      <c r="AN62" s="410">
        <f>SUMIFS('LAC 102_Wkst'!$Q$7:$Q$2010,'LAC 102_Wkst'!$E$7:$E$2010,$C62,'LAC 102_Wkst'!$G$7:$G$2010,$D62,'LAC 102_Wkst'!$L$7:$L$2010,"09",'LAC 102_Wkst'!$N$7:$N$2010,"P5")</f>
        <v>0</v>
      </c>
      <c r="AO62" s="411">
        <f>SUMIFS('LAC 102_Wkst'!$AE$7:$AE$2010,'LAC 102_Wkst'!$E$7:$E$2010,$C62,'LAC 102_Wkst'!$G$7:$G$2010,$D62,'LAC 102_Wkst'!$L$7:$L$2010,"09",'LAC 102_Wkst'!$N$7:$N$2010,"P5")</f>
        <v>0</v>
      </c>
      <c r="AP62" s="410">
        <f>SUMIFS('LAC 102_Wkst'!$Q$7:$Q$2010,'LAC 102_Wkst'!$E$7:$E$2010,$C62,'LAC 102_Wkst'!$G$7:$G$2010,$D62,'LAC 102_Wkst'!$L$7:$L$2010,"10",'LAC 102_Wkst'!$N$7:$N$2010,"P1")+SUMIFS('LAC 102_Wkst'!$Q$7:$Q$2010,'LAC 102_Wkst'!$E$7:$E$2010,$C62,'LAC 102_Wkst'!$G$7:$G$2010,$D62,'LAC 102_Wkst'!$L$7:$L$2010,"10",'LAC 102_Wkst'!$N$7:$N$2010,"P2")+SUMIFS('LAC 102_Wkst'!$Q$7:$Q$2010,'LAC 102_Wkst'!$E$7:$E$2010,$C62,'LAC 102_Wkst'!$G$7:$G$2010,$D62,'LAC 102_Wkst'!$L$7:$L$2010,"10",'LAC 102_Wkst'!$N$7:$N$2010,"P3")+SUMIFS('LAC 102_Wkst'!$Q$7:$Q$2010,'LAC 102_Wkst'!$E$7:$E$2010,$C62,'LAC 102_Wkst'!$G$7:$G$2010,$D62,'LAC 102_Wkst'!$L$7:$L$2010,"10",'LAC 102_Wkst'!$N$7:$N$2010,"P4")</f>
        <v>0</v>
      </c>
      <c r="AQ62" s="411">
        <f>SUMIFS('LAC 102_Wkst'!$AE$7:$AE$2010,'LAC 102_Wkst'!$E$7:$E$2010,$C62,'LAC 102_Wkst'!$G$7:$G$2010,$D62,'LAC 102_Wkst'!$L$7:$L$2010,"10",'LAC 102_Wkst'!$N$7:$N$2010,"P1")+SUMIFS('LAC 102_Wkst'!$AE$7:$AE$2010,'LAC 102_Wkst'!$E$7:$E$2010,$C62,'LAC 102_Wkst'!$G$7:$G$2010,$D62,'LAC 102_Wkst'!$L$7:$L$2010,"10",'LAC 102_Wkst'!$N$7:$N$2010,"P2")+SUMIFS('LAC 102_Wkst'!$AE$7:$AE$2010,'LAC 102_Wkst'!$E$7:$E$2010,$C62,'LAC 102_Wkst'!$G$7:$G$2010,$D62,'LAC 102_Wkst'!$L$7:$L$2010,"10",'LAC 102_Wkst'!$N$7:$N$2010,"P3")+SUMIFS('LAC 102_Wkst'!$AE$7:$AE$2010,'LAC 102_Wkst'!$E$7:$E$2010,$C62,'LAC 102_Wkst'!$G$7:$G$2010,$D62,'LAC 102_Wkst'!$L$7:$L$2010,"10",'LAC 102_Wkst'!$N$7:$N$2010,"P4")</f>
        <v>0</v>
      </c>
      <c r="AR62" s="410">
        <f>SUMIFS('LAC 102_Wkst'!$Q$7:$Q$2010,'LAC 102_Wkst'!$E$7:$E$2010,$C62,'LAC 102_Wkst'!$G$7:$G$2010,$D62,'LAC 102_Wkst'!$L$7:$L$2010,"10",'LAC 102_Wkst'!$N$7:$N$2010,"P5")</f>
        <v>0</v>
      </c>
      <c r="AS62" s="411">
        <f>SUMIFS('LAC 102_Wkst'!$AE$7:$AE$2010,'LAC 102_Wkst'!$E$7:$E$2010,$C62,'LAC 102_Wkst'!$G$7:$G$2010,$D62,'LAC 102_Wkst'!$L$7:$L$2010,"10",'LAC 102_Wkst'!$N$7:$N$2010,"P5")</f>
        <v>0</v>
      </c>
      <c r="AT62" s="410">
        <f>SUMIFS('LAC 102_Wkst'!$Q$7:$Q$2010,'LAC 102_Wkst'!$E$7:$E$2010,$C62,'LAC 102_Wkst'!$G$7:$G$2010,$D62,'LAC 102_Wkst'!$L$7:$L$2010,"11",'LAC 102_Wkst'!$N$7:$N$2010,"P1")+SUMIFS('LAC 102_Wkst'!$Q$7:$Q$2010,'LAC 102_Wkst'!$E$7:$E$2010,$C62,'LAC 102_Wkst'!$G$7:$G$2010,$D62,'LAC 102_Wkst'!$L$7:$L$2010,"12",'LAC 102_Wkst'!$N$7:$N$2010,"P1")</f>
        <v>0</v>
      </c>
      <c r="AU62" s="411">
        <f>SUMIFS('LAC 102_Wkst'!$AE$7:$AE$2010,'LAC 102_Wkst'!$E$7:$E$2010,$C62,'LAC 102_Wkst'!$G$7:$G$2010,$D62,'LAC 102_Wkst'!$L$7:$L$2010,"11",'LAC 102_Wkst'!$N$7:$N$2010,"P1")+SUMIFS('LAC 102_Wkst'!$AE$7:$AE$2010,'LAC 102_Wkst'!$E$7:$E$2010,$C62,'LAC 102_Wkst'!$G$7:$G$2010,$D62,'LAC 102_Wkst'!$L$7:$L$2010,"12",'LAC 102_Wkst'!$N$7:$N$2010,"P1")</f>
        <v>0</v>
      </c>
      <c r="AV62" s="410">
        <f>SUMIFS('LAC 102_Wkst'!$Q$7:$Q$2010,'LAC 102_Wkst'!$E$7:$E$2010,$C62,'LAC 102_Wkst'!$G$7:$G$2010,$D62,'LAC 102_Wkst'!$L$7:$L$2010,"11",'LAC 102_Wkst'!$N$7:$N$2010,"P2")+SUMIFS('LAC 102_Wkst'!$Q$7:$Q$2010,'LAC 102_Wkst'!$E$7:$E$2010,$C62,'LAC 102_Wkst'!$G$7:$G$2010,$D62,'LAC 102_Wkst'!$L$7:$L$2010,"12",'LAC 102_Wkst'!$N$7:$N$2010,"P3")+SUMIFS('LAC 102_Wkst'!$Q$7:$Q$2010,'LAC 102_Wkst'!$E$7:$E$2010,$C62,'LAC 102_Wkst'!$G$7:$G$2010,$D62,'LAC 102_Wkst'!$L$7:$L$2010,"11",'LAC 102_Wkst'!$N$7:$N$2010,"P2")+SUMIFS('LAC 102_Wkst'!$Q$7:$Q$2010,'LAC 102_Wkst'!$E$7:$E$2010,$C62,'LAC 102_Wkst'!$G$7:$G$2010,$D62,'LAC 102_Wkst'!$L$7:$L$2010,"12",'LAC 102_Wkst'!$N$7:$N$2010,"P3")</f>
        <v>0</v>
      </c>
      <c r="AW62" s="411">
        <f>SUMIFS('LAC 102_Wkst'!$AE$7:$AE$2010,'LAC 102_Wkst'!$E$7:$E$2010,$C62,'LAC 102_Wkst'!$G$7:$G$2010,$D62,'LAC 102_Wkst'!$L$7:$L$2010,"11",'LAC 102_Wkst'!$N$7:$N$2010,"P2")+SUMIFS('LAC 102_Wkst'!$AE$7:$AE$2010,'LAC 102_Wkst'!$E$7:$E$2010,$C62,'LAC 102_Wkst'!$G$7:$G$2010,$D62,'LAC 102_Wkst'!$L$7:$L$2010,"12",'LAC 102_Wkst'!$N$7:$N$2010,"P3")+SUMIFS('LAC 102_Wkst'!$AE$7:$AE$2010,'LAC 102_Wkst'!$E$7:$E$2010,$C62,'LAC 102_Wkst'!$G$7:$G$2010,$D62,'LAC 102_Wkst'!$L$7:$L$2010,"11",'LAC 102_Wkst'!$N$7:$N$2010,"P2")+SUMIFS('LAC 102_Wkst'!$AE$7:$AE$2010,'LAC 102_Wkst'!$E$7:$E$2010,$C62,'LAC 102_Wkst'!$G$7:$G$2010,$D62,'LAC 102_Wkst'!$L$7:$L$2010,"12",'LAC 102_Wkst'!$N$7:$N$2010,"P3")</f>
        <v>0</v>
      </c>
      <c r="AX62" s="410">
        <f>SUMIFS('LAC 102_Wkst'!$Q$7:$Q$2010,'LAC 102_Wkst'!$E$7:$E$2010,$C62,'LAC 102_Wkst'!$G$7:$G$2010,$D62,'LAC 102_Wkst'!$L$7:$L$2010,"11",'LAC 102_Wkst'!$N$7:$N$2010,"P4")+SUMIFS('LAC 102_Wkst'!$Q$7:$Q$2010,'LAC 102_Wkst'!$E$7:$E$2010,$C62,'LAC 102_Wkst'!$G$7:$G$2010,$D62,'LAC 102_Wkst'!$L$7:$L$2010,"12",'LAC 102_Wkst'!$N$7:$N$2010,"P4")</f>
        <v>0</v>
      </c>
      <c r="AY62" s="411">
        <f>SUMIFS('LAC 102_Wkst'!$AE$7:$AE$2010,'LAC 102_Wkst'!$E$7:$E$2010,$C62,'LAC 102_Wkst'!$G$7:$G$2010,$D62,'LAC 102_Wkst'!$L$7:$L$2010,"11",'LAC 102_Wkst'!$N$7:$N$2010,"P4")+SUMIFS('LAC 102_Wkst'!$AE$7:$AE$2010,'LAC 102_Wkst'!$E$7:$E$2010,$C62,'LAC 102_Wkst'!$G$7:$G$2010,$D62,'LAC 102_Wkst'!$L$7:$L$2010,"12",'LAC 102_Wkst'!$N$7:$N$2010,"P4")</f>
        <v>0</v>
      </c>
      <c r="AZ62" s="410">
        <f>SUMIFS('LAC 102_Wkst'!$Q$7:$Q$2010,'LAC 102_Wkst'!$E$7:$E$2010,$C62,'LAC 102_Wkst'!$G$7:$G$2010,$D62,'LAC 102_Wkst'!$L$7:$L$2010,"11",'LAC 102_Wkst'!$N$7:$N$2010,"P5")+SUMIFS('LAC 102_Wkst'!$Q$7:$Q$2010,'LAC 102_Wkst'!$E$7:$E$2010,$C62,'LAC 102_Wkst'!$G$7:$G$2010,$D62,'LAC 102_Wkst'!$L$7:$L$2010,"12",'LAC 102_Wkst'!$N$7:$N$2010,"P5")</f>
        <v>0</v>
      </c>
      <c r="BA62" s="411">
        <f>SUMIFS('LAC 102_Wkst'!$AE$7:$AE$2010,'LAC 102_Wkst'!$E$7:$E$2010,$C62,'LAC 102_Wkst'!$G$7:$G$2010,$D62,'LAC 102_Wkst'!$L$7:$L$2010,"11",'LAC 102_Wkst'!$N$7:$N$2010,"P5")+SUMIFS('LAC 102_Wkst'!$AE$7:$AE$2010,'LAC 102_Wkst'!$E$7:$E$2010,$C62,'LAC 102_Wkst'!$G$7:$G$2010,$D62,'LAC 102_Wkst'!$L$7:$L$2010,"12",'LAC 102_Wkst'!$N$7:$N$2010,"P5")</f>
        <v>0</v>
      </c>
      <c r="BB62" s="410">
        <f>SUMIFS('LAC 102_Wkst'!$Q$7:$Q$2010,'LAC 102_Wkst'!$E$7:$E$2010,$C62,'LAC 102_Wkst'!$G$7:$G$2010,$D62,'LAC 102_Wkst'!$L$7:$L$2010,"13",'LAC 102_Wkst'!$N$7:$N$2010,"P1")+SUMIFS('LAC 102_Wkst'!$Q$7:$Q$2010,'LAC 102_Wkst'!$E$7:$E$2010,$C62,'LAC 102_Wkst'!$G$7:$G$2010,$D62,'LAC 102_Wkst'!$L$7:$L$2010,"13",'LAC 102_Wkst'!$N$7:$N$2010,"P2")+SUMIFS('LAC 102_Wkst'!$Q$7:$Q$2010,'LAC 102_Wkst'!$E$7:$E$2010,$C62,'LAC 102_Wkst'!$G$7:$G$2010,$D62,'LAC 102_Wkst'!$L$7:$L$2010,"13",'LAC 102_Wkst'!$N$7:$N$2010,"P3")+SUMIFS('LAC 102_Wkst'!$Q$7:$Q$2010,'LAC 102_Wkst'!$E$7:$E$2010,$C62,'LAC 102_Wkst'!$G$7:$G$2010,$D62,'LAC 102_Wkst'!$L$7:$L$2010,"13",'LAC 102_Wkst'!$N$7:$N$2010,"P4")</f>
        <v>0</v>
      </c>
      <c r="BC62" s="411">
        <f>SUMIFS('LAC 102_Wkst'!$AE$7:$AE$2010,'LAC 102_Wkst'!$E$7:$E$2010,$C62,'LAC 102_Wkst'!$G$7:$G$2010,$D62,'LAC 102_Wkst'!$L$7:$L$2010,"13",'LAC 102_Wkst'!$N$7:$N$2010,"P1")+SUMIFS('LAC 102_Wkst'!$AE$7:$AE$2010,'LAC 102_Wkst'!$E$7:$E$2010,$C62,'LAC 102_Wkst'!$G$7:$G$2010,$D62,'LAC 102_Wkst'!$L$7:$L$2010,"13",'LAC 102_Wkst'!$N$7:$N$2010,"P2")+SUMIFS('LAC 102_Wkst'!$AE$7:$AE$2010,'LAC 102_Wkst'!$E$7:$E$2010,$C62,'LAC 102_Wkst'!$G$7:$G$2010,$D62,'LAC 102_Wkst'!$L$7:$L$2010,"13",'LAC 102_Wkst'!$N$7:$N$2010,"P3")+SUMIFS('LAC 102_Wkst'!$AE$7:$AE$2010,'LAC 102_Wkst'!$E$7:$E$2010,$C62,'LAC 102_Wkst'!$G$7:$G$2010,$D62,'LAC 102_Wkst'!$L$7:$L$2010,"13",'LAC 102_Wkst'!$N$7:$N$2010,"P4")</f>
        <v>0</v>
      </c>
      <c r="BD62" s="410">
        <f>SUMIFS('LAC 102_Wkst'!$Q$7:$Q$2010,'LAC 102_Wkst'!$E$7:$E$2010,$C62,'LAC 102_Wkst'!$G$7:$G$2010,$D62,'LAC 102_Wkst'!$L$7:$L$2010,"13",'LAC 102_Wkst'!$N$7:$N$2010,"P5")</f>
        <v>0</v>
      </c>
      <c r="BE62" s="411">
        <f>SUMIFS('LAC 102_Wkst'!$AE$7:$AE$2010,'LAC 102_Wkst'!$E$7:$E$2010,$C62,'LAC 102_Wkst'!$G$7:$G$2010,$D62,'LAC 102_Wkst'!$L$7:$L$2010,"13",'LAC 102_Wkst'!$N$7:$N$2010,"P5")</f>
        <v>0</v>
      </c>
      <c r="BF62" s="407">
        <f t="shared" si="0"/>
        <v>0</v>
      </c>
    </row>
    <row r="63" spans="1:58" x14ac:dyDescent="0.2">
      <c r="A63" s="401">
        <v>44</v>
      </c>
      <c r="B63" s="1236"/>
      <c r="C63" s="1235"/>
      <c r="D63" s="1237"/>
      <c r="E63" s="1222">
        <f>IF(CONCATENATE(C63,D63)&gt;"6069",1,SUMIFS('LAC 102_Wkst'!$Q$7:$Q$2010,'LAC 102_Wkst'!$E$7:$E$2010,Schedule_B!$C63,'LAC 102_Wkst'!$G$7:$G$2010,Schedule_B!$D63))</f>
        <v>0</v>
      </c>
      <c r="F63" s="408">
        <f>SUMIFS('LAC 102_Wkst'!$Q$7:$Q$2010,'LAC 102_Wkst'!$E$7:$E$2010,$C63,'LAC 102_Wkst'!$G$7:$G$2010,$D63,'LAC 102_Wkst'!$L$7:$L$2010,"01",'LAC 102_Wkst'!$N$7:$N$2010,"P1")+SUMIFS('LAC 102_Wkst'!$Q$7:$Q$2010,'LAC 102_Wkst'!$E$7:$E$2010,$C63,'LAC 102_Wkst'!$G$7:$G$2010,$D63,'LAC 102_Wkst'!$L$7:$L$2010,"01",'LAC 102_Wkst'!$N$7:$N$2010,"P2")+SUMIFS('LAC 102_Wkst'!$Q$7:$Q$2010,'LAC 102_Wkst'!$E$7:$E$2010,$C63,'LAC 102_Wkst'!$G$7:$G$2010,$D63,'LAC 102_Wkst'!$L$7:$L$2010,"01",'LAC 102_Wkst'!$N$7:$N$2010,"P3")+SUMIFS('LAC 102_Wkst'!$Q$7:$Q$2010,'LAC 102_Wkst'!$E$7:$E$2010,$C63,'LAC 102_Wkst'!$G$7:$G$2010,$D63,'LAC 102_Wkst'!$L$7:$L$2010,"02",'LAC 102_Wkst'!$N$7:$N$2010,"P1")+SUMIFS('LAC 102_Wkst'!$Q$7:$Q$2010,'LAC 102_Wkst'!$E$7:$E$2010,$C63,'LAC 102_Wkst'!$G$7:$G$2010,$D63,'LAC 102_Wkst'!$L$7:$L$2010,"02",'LAC 102_Wkst'!$N$7:$N$2010,"P2")+SUMIFS('LAC 102_Wkst'!$Q$7:$Q$2010,'LAC 102_Wkst'!$E$7:$E$2010,$C63,'LAC 102_Wkst'!$G$7:$G$2010,$D63,'LAC 102_Wkst'!$L$7:$L$2010,"02",'LAC 102_Wkst'!$N$7:$N$2010,"P3")</f>
        <v>0</v>
      </c>
      <c r="G63" s="409">
        <f>SUMIFS('LAC 102_Wkst'!$AE$7:$AE$2010,'LAC 102_Wkst'!$E$7:$E$2010,$C63,'LAC 102_Wkst'!$G$7:$G$2010,$D63,'LAC 102_Wkst'!$L$7:$L$2010,"01",'LAC 102_Wkst'!$N$7:$N$2010,"P1")+SUMIFS('LAC 102_Wkst'!$AE$7:$AE$2010,'LAC 102_Wkst'!$E$7:$E$2010,$C63,'LAC 102_Wkst'!$G$7:$G$2010,$D63,'LAC 102_Wkst'!$L$7:$L$2010,"01",'LAC 102_Wkst'!$N$7:$N$2010,"P2")+SUMIFS('LAC 102_Wkst'!$AE$7:$AE$2010,'LAC 102_Wkst'!$E$7:$E$2010,$C63,'LAC 102_Wkst'!$G$7:$G$2010,$D63,'LAC 102_Wkst'!$L$7:$L$2010,"01",'LAC 102_Wkst'!$N$7:$N$2010,"P3")+SUMIFS('LAC 102_Wkst'!$AE$7:$AE$2010,'LAC 102_Wkst'!$E$7:$E$2010,$C63,'LAC 102_Wkst'!$G$7:$G$2010,$D63,'LAC 102_Wkst'!$L$7:$L$2010,"02",'LAC 102_Wkst'!$N$7:$N$2010,"P1")+SUMIFS('LAC 102_Wkst'!$AE$7:$AE$2010,'LAC 102_Wkst'!$E$7:$E$2010,$C63,'LAC 102_Wkst'!$G$7:$G$2010,$D63,'LAC 102_Wkst'!$L$7:$L$2010,"02",'LAC 102_Wkst'!$N$7:$N$2010,"P2")+SUMIFS('LAC 102_Wkst'!$AE$7:$AE$2010,'LAC 102_Wkst'!$E$7:$E$2010,$C63,'LAC 102_Wkst'!$G$7:$G$2010,$D63,'LAC 102_Wkst'!$L$7:$L$2010,"02",'LAC 102_Wkst'!$N$7:$N$2010,"P3")</f>
        <v>0</v>
      </c>
      <c r="H63" s="410">
        <f>SUMIFS('LAC 102_Wkst'!$Q$7:$Q$2010,'LAC 102_Wkst'!$E$7:$E$2010,$C63,'LAC 102_Wkst'!$G$7:$G$2010,$D63,'LAC 102_Wkst'!$L$7:$L$2010,"01",'LAC 102_Wkst'!$N$7:$N$2010,"P4")+SUMIFS('LAC 102_Wkst'!$Q$7:$Q$2010,'LAC 102_Wkst'!$E$7:$E$2010,$C63,'LAC 102_Wkst'!$G$7:$G$2010,$D63,'LAC 102_Wkst'!$L$7:$L$2010,"02",'LAC 102_Wkst'!$N$7:$N$2010,"P4")</f>
        <v>0</v>
      </c>
      <c r="I63" s="411">
        <f>SUMIFS('LAC 102_Wkst'!$AE$7:$AE$2010,'LAC 102_Wkst'!$E$7:$E$2010,$C63,'LAC 102_Wkst'!$G$7:$G$2010,$D63,'LAC 102_Wkst'!$L$7:$L$2010,"01",'LAC 102_Wkst'!$N$7:$N$2010,"P4")+SUMIFS('LAC 102_Wkst'!$AE$7:$AE$2010,'LAC 102_Wkst'!$E$7:$E$2010,$C63,'LAC 102_Wkst'!$G$7:$G$2010,$D63,'LAC 102_Wkst'!$L$7:$L$2010,"02",'LAC 102_Wkst'!$N$7:$N$2010,"P4")</f>
        <v>0</v>
      </c>
      <c r="J63" s="410">
        <f>SUMIFS('LAC 102_Wkst'!$Q$7:$Q$2010,'LAC 102_Wkst'!$E$7:$E$2010,$C63,'LAC 102_Wkst'!$G$7:$G$2010,$D63,'LAC 102_Wkst'!$L$7:$L$2010,"01",'LAC 102_Wkst'!$N$7:$N$2010,"P5")+SUMIFS('LAC 102_Wkst'!$Q$7:$Q$2010,'LAC 102_Wkst'!$E$7:$E$2010,$C63,'LAC 102_Wkst'!$G$7:$G$2010,$D63,'LAC 102_Wkst'!$L$7:$L$2010,"02",'LAC 102_Wkst'!$N$7:$N$2010,"P5")</f>
        <v>0</v>
      </c>
      <c r="K63" s="411">
        <f>SUMIFS('LAC 102_Wkst'!$AE$7:$AE$2010,'LAC 102_Wkst'!$E$7:$E$2010,$C63,'LAC 102_Wkst'!$G$7:$G$2010,$D63,'LAC 102_Wkst'!$L$7:$L$2010,"01",'LAC 102_Wkst'!$N$7:$N$2010,"P5")+SUMIFS('LAC 102_Wkst'!$AE$7:$AE$2010,'LAC 102_Wkst'!$E$7:$E$2010,$C63,'LAC 102_Wkst'!$G$7:$G$2010,$D63,'LAC 102_Wkst'!$L$7:$L$2010,"02",'LAC 102_Wkst'!$N$7:$N$2010,"P5")</f>
        <v>0</v>
      </c>
      <c r="L63" s="410">
        <f>SUMIFS('LAC 102_Wkst'!$Q$7:$Q$2010,'LAC 102_Wkst'!$E$7:$E$2010,$C63,'LAC 102_Wkst'!$G$7:$G$2010,$D63,'LAC 102_Wkst'!$L$7:$L$2010,"03",'LAC 102_Wkst'!$N$7:$N$2010,"P1")+SUMIFS('LAC 102_Wkst'!$Q$7:$Q$2010,'LAC 102_Wkst'!$E$7:$E$2010,$C63,'LAC 102_Wkst'!$G$7:$G$2010,$D63,'LAC 102_Wkst'!$L$7:$L$2010,"03",'LAC 102_Wkst'!$N$7:$N$2010,"P2")+SUMIFS('LAC 102_Wkst'!$Q$7:$Q$2010,'LAC 102_Wkst'!$E$7:$E$2010,$C63,'LAC 102_Wkst'!$G$7:$G$2010,$D63,'LAC 102_Wkst'!$L$7:$L$2010,"03",'LAC 102_Wkst'!$N$7:$N$2010,"P3")+SUMIFS('LAC 102_Wkst'!$Q$7:$Q$2010,'LAC 102_Wkst'!$E$7:$E$2010,$C63,'LAC 102_Wkst'!$G$7:$G$2010,$D63,'LAC 102_Wkst'!$L$7:$L$2010,"04",'LAC 102_Wkst'!$N$7:$N$2010,"P1")+SUMIFS('LAC 102_Wkst'!$Q$7:$Q$2010,'LAC 102_Wkst'!$E$7:$E$2010,$C63,'LAC 102_Wkst'!$G$7:$G$2010,$D63,'LAC 102_Wkst'!$L$7:$L$2010,"04",'LAC 102_Wkst'!$N$7:$N$2010,"P2")+SUMIFS('LAC 102_Wkst'!$Q$7:$Q$2010,'LAC 102_Wkst'!$E$7:$E$2010,$C63,'LAC 102_Wkst'!$G$7:$G$2010,$D63,'LAC 102_Wkst'!$L$7:$L$2010,"04",'LAC 102_Wkst'!$N$7:$N$2010,"P3")</f>
        <v>0</v>
      </c>
      <c r="M63" s="411">
        <f>SUMIFS('LAC 102_Wkst'!$AE$7:$AE$2010,'LAC 102_Wkst'!$E$7:$E$2010,$C63,'LAC 102_Wkst'!$G$7:$G$2010,$D63,'LAC 102_Wkst'!$L$7:$L$2010,"03",'LAC 102_Wkst'!$N$7:$N$2010,"P1")+SUMIFS('LAC 102_Wkst'!$AE$7:$AE$2010,'LAC 102_Wkst'!$E$7:$E$2010,$C63,'LAC 102_Wkst'!$G$7:$G$2010,$D63,'LAC 102_Wkst'!$L$7:$L$2010,"03",'LAC 102_Wkst'!$N$7:$N$2010,"P2")+SUMIFS('LAC 102_Wkst'!$AE$7:$AE$2010,'LAC 102_Wkst'!$E$7:$E$2010,$C63,'LAC 102_Wkst'!$G$7:$G$2010,$D63,'LAC 102_Wkst'!$L$7:$L$2010,"03",'LAC 102_Wkst'!$N$7:$N$2010,"P3")+SUMIFS('LAC 102_Wkst'!$AE$7:$AE$2010,'LAC 102_Wkst'!$E$7:$E$2010,$C63,'LAC 102_Wkst'!$G$7:$G$2010,$D63,'LAC 102_Wkst'!$L$7:$L$2010,"04",'LAC 102_Wkst'!$N$7:$N$2010,"P1")+SUMIFS('LAC 102_Wkst'!$AE$7:$AE$2010,'LAC 102_Wkst'!$E$7:$E$2010,$C63,'LAC 102_Wkst'!$G$7:$G$2010,$D63,'LAC 102_Wkst'!$L$7:$L$2010,"04",'LAC 102_Wkst'!$N$7:$N$2010,"P2")+SUMIFS('LAC 102_Wkst'!$AE$7:$AE$2010,'LAC 102_Wkst'!$E$7:$E$2010,$C63,'LAC 102_Wkst'!$G$7:$G$2010,$D63,'LAC 102_Wkst'!$L$7:$L$2010,"04",'LAC 102_Wkst'!$N$7:$N$2010,"P3")</f>
        <v>0</v>
      </c>
      <c r="N63" s="410">
        <f>SUMIFS('LAC 102_Wkst'!$Q$7:$Q$2010,'LAC 102_Wkst'!$E$7:$E$2010,$C63,'LAC 102_Wkst'!$G$7:$G$2010,$D63,'LAC 102_Wkst'!$L$7:$L$2010,"03",'LAC 102_Wkst'!$N$7:$N$2010,"P4")+SUMIFS('LAC 102_Wkst'!$Q$7:$Q$2010,'LAC 102_Wkst'!$E$7:$E$2010,$C63,'LAC 102_Wkst'!$G$7:$G$2010,$D63,'LAC 102_Wkst'!$L$7:$L$2010,"04",'LAC 102_Wkst'!$N$7:$N$2010,"P4")</f>
        <v>0</v>
      </c>
      <c r="O63" s="411">
        <f>SUMIFS('LAC 102_Wkst'!$AE$7:$AE$2010,'LAC 102_Wkst'!$E$7:$E$2010,$C63,'LAC 102_Wkst'!$G$7:$G$2010,$D63,'LAC 102_Wkst'!$L$7:$L$2010,"03",'LAC 102_Wkst'!$N$7:$N$2010,"P4")+SUMIFS('LAC 102_Wkst'!$AE$7:$AE$2010,'LAC 102_Wkst'!$E$7:$E$2010,$C63,'LAC 102_Wkst'!$G$7:$G$2010,$D63,'LAC 102_Wkst'!$L$7:$L$2010,"04",'LAC 102_Wkst'!$N$7:$N$2010,"P4")</f>
        <v>0</v>
      </c>
      <c r="P63" s="410">
        <f>SUMIFS('LAC 102_Wkst'!$Q$7:$Q$2010,'LAC 102_Wkst'!$E$7:$E$2010,$C63,'LAC 102_Wkst'!$G$7:$G$2010,$D63,'LAC 102_Wkst'!$L$7:$L$2010,"03",'LAC 102_Wkst'!$N$7:$N$2010,"P5")+SUMIFS('LAC 102_Wkst'!$Q$7:$Q$2010,'LAC 102_Wkst'!$E$7:$E$2010,$C63,'LAC 102_Wkst'!$G$7:$G$2010,$D63,'LAC 102_Wkst'!$L$7:$L$2010,"04",'LAC 102_Wkst'!$N$7:$N$2010,"P5")</f>
        <v>0</v>
      </c>
      <c r="Q63" s="411">
        <f>SUMIFS('LAC 102_Wkst'!$AE$7:$AE$2010,'LAC 102_Wkst'!$E$7:$E$2010,$C63,'LAC 102_Wkst'!$G$7:$G$2010,$D63,'LAC 102_Wkst'!$L$7:$L$2010,"03",'LAC 102_Wkst'!$N$7:$N$2010,"P5")+SUMIFS('LAC 102_Wkst'!$AE$7:$AE$2010,'LAC 102_Wkst'!$E$7:$E$2010,$C63,'LAC 102_Wkst'!$G$7:$G$2010,$D63,'LAC 102_Wkst'!$L$7:$L$2010,"04",'LAC 102_Wkst'!$N$7:$N$2010,"P5")</f>
        <v>0</v>
      </c>
      <c r="R63" s="412">
        <f>SUMIFS('LAC 102_Wkst'!$Q$7:$Q$2010,'LAC 102_Wkst'!$E$7:$E$2010,$C63,'LAC 102_Wkst'!$G$7:$G$2010,$D63,'LAC 102_Wkst'!$L$7:$L$2010,"05",'LAC 102_Wkst'!$N$7:$N$2010,"P1")+SUMIFS('LAC 102_Wkst'!$Q$7:$Q$2010,'LAC 102_Wkst'!$E$7:$E$2010,$C63,'LAC 102_Wkst'!$G$7:$G$2010,$D63,'LAC 102_Wkst'!$L$7:$L$2010,"06",'LAC 102_Wkst'!$N$7:$N$2010,"P1")</f>
        <v>0</v>
      </c>
      <c r="S63" s="411">
        <f>SUMIFS('LAC 102_Wkst'!$AE$7:$AE$2010,'LAC 102_Wkst'!$E$7:$E$2010,$C63,'LAC 102_Wkst'!$G$7:$G$2010,$D63,'LAC 102_Wkst'!$L$7:$L$2010,"05",'LAC 102_Wkst'!$N$7:$N$2010,"P1")+SUMIFS('LAC 102_Wkst'!$AE$7:$AE$2010,'LAC 102_Wkst'!$E$7:$E$2010,$C63,'LAC 102_Wkst'!$G$7:$G$2010,$D63,'LAC 102_Wkst'!$L$7:$L$2010,"06",'LAC 102_Wkst'!$N$7:$N$2010,"P1")</f>
        <v>0</v>
      </c>
      <c r="T63" s="410">
        <f>SUMIFS('LAC 102_Wkst'!$Q$7:$Q$2010,'LAC 102_Wkst'!$E$7:$E$2010,$C63,'LAC 102_Wkst'!$G$7:$G$2010,$D63,'LAC 102_Wkst'!$L$7:$L$2010,"05",'LAC 102_Wkst'!$N$7:$N$2010,"P2")+SUMIFS('LAC 102_Wkst'!$Q$7:$Q$2010,'LAC 102_Wkst'!$E$7:$E$2010,$C63,'LAC 102_Wkst'!$G$7:$G$2010,$D63,'LAC 102_Wkst'!$L$7:$L$2010,"05",'LAC 102_Wkst'!$N$7:$N$2010,"P3")+SUMIFS('LAC 102_Wkst'!$Q$7:$Q$2010,'LAC 102_Wkst'!$E$7:$E$2010,$C63,'LAC 102_Wkst'!$G$7:$G$2010,$D63,'LAC 102_Wkst'!$L$7:$L$2010,"06",'LAC 102_Wkst'!$N$7:$N$2010,"P2")+SUMIFS('LAC 102_Wkst'!$Q$7:$Q$2010,'LAC 102_Wkst'!$E$7:$E$2010,$C63,'LAC 102_Wkst'!$G$7:$G$2010,$D63,'LAC 102_Wkst'!$L$7:$L$2010,"06",'LAC 102_Wkst'!$N$7:$N$2010,"P3")</f>
        <v>0</v>
      </c>
      <c r="U63" s="411">
        <f>SUMIFS('LAC 102_Wkst'!$AE$7:$AE$2010,'LAC 102_Wkst'!$E$7:$E$2010,$C63,'LAC 102_Wkst'!$G$7:$G$2010,$D63,'LAC 102_Wkst'!$L$7:$L$2010,"05",'LAC 102_Wkst'!$N$7:$N$2010,"P2")+SUMIFS('LAC 102_Wkst'!$AE$7:$AE$2010,'LAC 102_Wkst'!$E$7:$E$2010,$C63,'LAC 102_Wkst'!$G$7:$G$2010,$D63,'LAC 102_Wkst'!$L$7:$L$2010,"06",'LAC 102_Wkst'!$N$7:$N$2010,"P3")+SUMIFS('LAC 102_Wkst'!$AE$7:$AE$2010,'LAC 102_Wkst'!$E$7:$E$2010,$C63,'LAC 102_Wkst'!$G$7:$G$2010,$D63,'LAC 102_Wkst'!$L$7:$L$2010,"05",'LAC 102_Wkst'!$N$7:$N$2010,"P2")+SUMIFS('LAC 102_Wkst'!$AE$7:$AE$2010,'LAC 102_Wkst'!$E$7:$E$2010,$C63,'LAC 102_Wkst'!$G$7:$G$2010,$D63,'LAC 102_Wkst'!$L$7:$L$2010,"06",'LAC 102_Wkst'!$N$7:$N$2010,"P3")</f>
        <v>0</v>
      </c>
      <c r="V63" s="410">
        <f>SUMIFS('LAC 102_Wkst'!$Q$7:$Q$2010,'LAC 102_Wkst'!$E$7:$E$2010,$C63,'LAC 102_Wkst'!$G$7:$G$2010,$D63,'LAC 102_Wkst'!$L$7:$L$2010,"05",'LAC 102_Wkst'!$N$7:$N$2010,"P4")+SUMIFS('LAC 102_Wkst'!$Q$7:$Q$2010,'LAC 102_Wkst'!$E$7:$E$2010,$C63,'LAC 102_Wkst'!$G$7:$G$2010,$D63,'LAC 102_Wkst'!$L$7:$L$2010,"06",'LAC 102_Wkst'!$N$7:$N$2010,"P4")</f>
        <v>0</v>
      </c>
      <c r="W63" s="411">
        <f>SUMIFS('LAC 102_Wkst'!$AE$7:$AE$2010,'LAC 102_Wkst'!$E$7:$E$2010,$C63,'LAC 102_Wkst'!$G$7:$G$2010,$D63,'LAC 102_Wkst'!$L$7:$L$2010,"05",'LAC 102_Wkst'!$N$7:$N$2010,"P4")+SUMIFS('LAC 102_Wkst'!$AE$7:$AE$2010,'LAC 102_Wkst'!$E$7:$E$2010,$C63,'LAC 102_Wkst'!$G$7:$G$2010,$D63,'LAC 102_Wkst'!$L$7:$L$2010,"06",'LAC 102_Wkst'!$N$7:$N$2010,"P4")</f>
        <v>0</v>
      </c>
      <c r="X63" s="410">
        <f>SUMIFS('LAC 102_Wkst'!$Q$7:$Q$2010,'LAC 102_Wkst'!$E$7:$E$2010,$C63,'LAC 102_Wkst'!$G$7:$G$2010,$D63,'LAC 102_Wkst'!$L$7:$L$2010,"05",'LAC 102_Wkst'!$N$7:$N$2010,"P5")+SUMIFS('LAC 102_Wkst'!$Q$7:$Q$2010,'LAC 102_Wkst'!$E$7:$E$2010,$C63,'LAC 102_Wkst'!$G$7:$G$2010,$D63,'LAC 102_Wkst'!$L$7:$L$2010,"06",'LAC 102_Wkst'!$N$7:$N$2010,"P5")</f>
        <v>0</v>
      </c>
      <c r="Y63" s="411">
        <f>SUMIFS('LAC 102_Wkst'!$AE$7:$AE$2010,'LAC 102_Wkst'!$E$7:$E$2010,$C63,'LAC 102_Wkst'!$G$7:$G$2010,$D63,'LAC 102_Wkst'!$L$7:$L$2010,"05",'LAC 102_Wkst'!$N$7:$N$2010,"P5")+SUMIFS('LAC 102_Wkst'!$AE$7:$AE$2010,'LAC 102_Wkst'!$E$7:$E$2010,$C63,'LAC 102_Wkst'!$G$7:$G$2010,$D63,'LAC 102_Wkst'!$L$7:$L$2010,"06",'LAC 102_Wkst'!$N$7:$N$2010,"P5")</f>
        <v>0</v>
      </c>
      <c r="Z63" s="410">
        <f>SUMIFS('LAC 102_Wkst'!$Q$7:$Q$2010,'LAC 102_Wkst'!$E$7:$E$2010,$C63,'LAC 102_Wkst'!$G$7:$G$2010,$D63,'LAC 102_Wkst'!$L$7:$L$2010,"07",'LAC 102_Wkst'!$N$7:$N$2010,"P1")+SUMIFS('LAC 102_Wkst'!$Q$7:$Q$2010,'LAC 102_Wkst'!$E$7:$E$2010,$C63,'LAC 102_Wkst'!$G$7:$G$2010,$D63,'LAC 102_Wkst'!$L$7:$L$2010,"07",'LAC 102_Wkst'!$N$7:$N$2010,"P2")+SUMIFS('LAC 102_Wkst'!$Q$7:$Q$2010,'LAC 102_Wkst'!$E$7:$E$2010,$C63,'LAC 102_Wkst'!$G$7:$G$2010,$D63,'LAC 102_Wkst'!$L$7:$L$2010,"07",'LAC 102_Wkst'!$N$7:$N$2010,"P3")</f>
        <v>0</v>
      </c>
      <c r="AA63" s="411">
        <f>SUMIFS('LAC 102_Wkst'!$AE$7:$AE$2010,'LAC 102_Wkst'!$E$7:$E$2010,$C63,'LAC 102_Wkst'!$G$7:$G$2010,$D63,'LAC 102_Wkst'!$L$7:$L$2010,"07",'LAC 102_Wkst'!$N$7:$N$2010,"P1")+SUMIFS('LAC 102_Wkst'!$AE$7:$AE$2010,'LAC 102_Wkst'!$E$7:$E$2010,$C63,'LAC 102_Wkst'!$G$7:$G$2010,$D63,'LAC 102_Wkst'!$L$7:$L$2010,"07",'LAC 102_Wkst'!$N$7:$N$2010,"P2")+SUMIFS('LAC 102_Wkst'!$AE$7:$AE$2010,'LAC 102_Wkst'!$E$7:$E$2010,$C63,'LAC 102_Wkst'!$G$7:$G$2010,$D63,'LAC 102_Wkst'!$L$7:$L$2010,"07",'LAC 102_Wkst'!$N$7:$N$2010,"P3")</f>
        <v>0</v>
      </c>
      <c r="AB63" s="410">
        <f>SUMIFS('LAC 102_Wkst'!$Q$7:$Q$2010,'LAC 102_Wkst'!$E$7:$E$2010,$C63,'LAC 102_Wkst'!$G$7:$G$2010,$D63,'LAC 102_Wkst'!$L$7:$L$2010,"07",'LAC 102_Wkst'!$N$7:$N$2010,"P4")</f>
        <v>0</v>
      </c>
      <c r="AC63" s="411">
        <f>SUMIFS('LAC 102_Wkst'!$AE$7:$AE$2010,'LAC 102_Wkst'!$E$7:$E$2010,$C63,'LAC 102_Wkst'!$G$7:$G$2010,$D63,'LAC 102_Wkst'!$L$7:$L$2010,"07",'LAC 102_Wkst'!$N$7:$N$2010,"P4")</f>
        <v>0</v>
      </c>
      <c r="AD63" s="410">
        <f>SUMIFS('LAC 102_Wkst'!$Q$7:$Q$2010,'LAC 102_Wkst'!$E$7:$E$2010,$C63,'LAC 102_Wkst'!$G$7:$G$2010,$D63,'LAC 102_Wkst'!$L$7:$L$2010,"07",'LAC 102_Wkst'!$N$7:$N$2010,"P5")</f>
        <v>0</v>
      </c>
      <c r="AE63" s="411">
        <f>SUMIFS('LAC 102_Wkst'!$AE$7:$AE$2010,'LAC 102_Wkst'!$E$7:$E$2010,$C63,'LAC 102_Wkst'!$G$7:$G$2010,$D63,'LAC 102_Wkst'!$L$7:$L$2010,"07",'LAC 102_Wkst'!$N$7:$N$2010,"P5")</f>
        <v>0</v>
      </c>
      <c r="AF63" s="410">
        <f>SUMIFS('LAC 102_Wkst'!$Q$7:$Q$2010,'LAC 102_Wkst'!$E$7:$E$2010,$C63,'LAC 102_Wkst'!$G$7:$G$2010,$D63,'LAC 102_Wkst'!$L$7:$L$2010,"08",'LAC 102_Wkst'!$N$7:$N$2010,"P1")+SUMIFS('LAC 102_Wkst'!$Q$7:$Q$2010,'LAC 102_Wkst'!$E$7:$E$2010,$C63,'LAC 102_Wkst'!$G$7:$G$2010,$D63,'LAC 102_Wkst'!$L$7:$L$2010,"08",'LAC 102_Wkst'!$N$7:$N$2010,"P2")+SUMIFS('LAC 102_Wkst'!$Q$7:$Q$2010,'LAC 102_Wkst'!$E$7:$E$2010,$C63,'LAC 102_Wkst'!$G$7:$G$2010,$D63,'LAC 102_Wkst'!$L$7:$L$2010,"08",'LAC 102_Wkst'!$N$7:$N$2010,"P3")</f>
        <v>0</v>
      </c>
      <c r="AG63" s="411">
        <f>SUMIFS('LAC 102_Wkst'!$AE$7:$AE$2010,'LAC 102_Wkst'!$E$7:$E$2010,$C63,'LAC 102_Wkst'!$G$7:$G$2010,$D63,'LAC 102_Wkst'!$L$7:$L$2010,"08",'LAC 102_Wkst'!$N$7:$N$2010,"P1")+SUMIFS('LAC 102_Wkst'!$AE$7:$AE$2010,'LAC 102_Wkst'!$E$7:$E$2010,$C63,'LAC 102_Wkst'!$G$7:$G$2010,$D63,'LAC 102_Wkst'!$L$7:$L$2010,"08",'LAC 102_Wkst'!$N$7:$N$2010,"P2")+SUMIFS('LAC 102_Wkst'!$AE$7:$AE$2010,'LAC 102_Wkst'!$E$7:$E$2010,$C63,'LAC 102_Wkst'!$G$7:$G$2010,$D63,'LAC 102_Wkst'!$L$7:$L$2010,"08",'LAC 102_Wkst'!$N$7:$N$2010,"P3")</f>
        <v>0</v>
      </c>
      <c r="AH63" s="410">
        <f>SUMIFS('LAC 102_Wkst'!$Q$7:$Q$2010,'LAC 102_Wkst'!$E$7:$E$2010,$C63,'LAC 102_Wkst'!$G$7:$G$2010,$D63,'LAC 102_Wkst'!$L$7:$L$2010,"08",'LAC 102_Wkst'!$N$7:$N$2010,"P4")</f>
        <v>0</v>
      </c>
      <c r="AI63" s="411">
        <f>SUMIFS('LAC 102_Wkst'!$AE$7:$AE$2010,'LAC 102_Wkst'!$E$7:$E$2010,$C63,'LAC 102_Wkst'!$G$7:$G$2010,$D63,'LAC 102_Wkst'!$L$7:$L$2010,"08",'LAC 102_Wkst'!$N$7:$N$2010,"P4")</f>
        <v>0</v>
      </c>
      <c r="AJ63" s="410">
        <f>SUMIFS('LAC 102_Wkst'!$Q$7:$Q$2010,'LAC 102_Wkst'!$E$7:$E$2010,$C63,'LAC 102_Wkst'!$G$7:$G$2010,$D63,'LAC 102_Wkst'!$L$7:$L$2010,"08",'LAC 102_Wkst'!$N$7:$N$2010,"P5")</f>
        <v>0</v>
      </c>
      <c r="AK63" s="411">
        <f>SUMIFS('LAC 102_Wkst'!$AE$7:$AE$2010,'LAC 102_Wkst'!$E$7:$E$2010,$C63,'LAC 102_Wkst'!$G$7:$G$2010,$D63,'LAC 102_Wkst'!$L$7:$L$2010,"08",'LAC 102_Wkst'!$N$7:$N$2010,"P5")</f>
        <v>0</v>
      </c>
      <c r="AL63" s="410">
        <f>SUMIFS('LAC 102_Wkst'!$Q$7:$Q$2010,'LAC 102_Wkst'!$E$7:$E$2010,$C63,'LAC 102_Wkst'!$G$7:$G$2010,$D63,'LAC 102_Wkst'!$L$7:$L$2010,"09",'LAC 102_Wkst'!$N$7:$N$2010,"P1")+SUMIFS('LAC 102_Wkst'!$Q$7:$Q$2010,'LAC 102_Wkst'!$E$7:$E$2010,$C63,'LAC 102_Wkst'!$G$7:$G$2010,$D63,'LAC 102_Wkst'!$L$7:$L$2010,"09",'LAC 102_Wkst'!$N$7:$N$2010,"P2")+SUMIFS('LAC 102_Wkst'!$Q$7:$Q$2010,'LAC 102_Wkst'!$E$7:$E$2010,$C63,'LAC 102_Wkst'!$G$7:$G$2010,$D63,'LAC 102_Wkst'!$L$7:$L$2010,"09",'LAC 102_Wkst'!$N$7:$N$2010,"P3")+SUMIFS('LAC 102_Wkst'!$Q$7:$Q$2010,'LAC 102_Wkst'!$E$7:$E$2010,$C63,'LAC 102_Wkst'!$G$7:$G$2010,$D63,'LAC 102_Wkst'!$L$7:$L$2010,"09",'LAC 102_Wkst'!$N$7:$N$2010,"P4")</f>
        <v>0</v>
      </c>
      <c r="AM63" s="411">
        <f>SUMIFS('LAC 102_Wkst'!$AE$7:$AE$2010,'LAC 102_Wkst'!$E$7:$E$2010,$C63,'LAC 102_Wkst'!$G$7:$G$2010,$D63,'LAC 102_Wkst'!$L$7:$L$2010,"09",'LAC 102_Wkst'!$N$7:$N$2010,"P1")+SUMIFS('LAC 102_Wkst'!$AE$7:$AE$2010,'LAC 102_Wkst'!$E$7:$E$2010,$C63,'LAC 102_Wkst'!$G$7:$G$2010,$D63,'LAC 102_Wkst'!$L$7:$L$2010,"09",'LAC 102_Wkst'!$N$7:$N$2010,"P2")+SUMIFS('LAC 102_Wkst'!$AE$7:$AE$2010,'LAC 102_Wkst'!$E$7:$E$2010,$C63,'LAC 102_Wkst'!$G$7:$G$2010,$D63,'LAC 102_Wkst'!$L$7:$L$2010,"09",'LAC 102_Wkst'!$N$7:$N$2010,"P3")+SUMIFS('LAC 102_Wkst'!$AE$7:$AE$2010,'LAC 102_Wkst'!$E$7:$E$2010,$C63,'LAC 102_Wkst'!$G$7:$G$2010,$D63,'LAC 102_Wkst'!$L$7:$L$2010,"09",'LAC 102_Wkst'!$N$7:$N$2010,"P4")</f>
        <v>0</v>
      </c>
      <c r="AN63" s="410">
        <f>SUMIFS('LAC 102_Wkst'!$Q$7:$Q$2010,'LAC 102_Wkst'!$E$7:$E$2010,$C63,'LAC 102_Wkst'!$G$7:$G$2010,$D63,'LAC 102_Wkst'!$L$7:$L$2010,"09",'LAC 102_Wkst'!$N$7:$N$2010,"P5")</f>
        <v>0</v>
      </c>
      <c r="AO63" s="411">
        <f>SUMIFS('LAC 102_Wkst'!$AE$7:$AE$2010,'LAC 102_Wkst'!$E$7:$E$2010,$C63,'LAC 102_Wkst'!$G$7:$G$2010,$D63,'LAC 102_Wkst'!$L$7:$L$2010,"09",'LAC 102_Wkst'!$N$7:$N$2010,"P5")</f>
        <v>0</v>
      </c>
      <c r="AP63" s="410">
        <f>SUMIFS('LAC 102_Wkst'!$Q$7:$Q$2010,'LAC 102_Wkst'!$E$7:$E$2010,$C63,'LAC 102_Wkst'!$G$7:$G$2010,$D63,'LAC 102_Wkst'!$L$7:$L$2010,"10",'LAC 102_Wkst'!$N$7:$N$2010,"P1")+SUMIFS('LAC 102_Wkst'!$Q$7:$Q$2010,'LAC 102_Wkst'!$E$7:$E$2010,$C63,'LAC 102_Wkst'!$G$7:$G$2010,$D63,'LAC 102_Wkst'!$L$7:$L$2010,"10",'LAC 102_Wkst'!$N$7:$N$2010,"P2")+SUMIFS('LAC 102_Wkst'!$Q$7:$Q$2010,'LAC 102_Wkst'!$E$7:$E$2010,$C63,'LAC 102_Wkst'!$G$7:$G$2010,$D63,'LAC 102_Wkst'!$L$7:$L$2010,"10",'LAC 102_Wkst'!$N$7:$N$2010,"P3")+SUMIFS('LAC 102_Wkst'!$Q$7:$Q$2010,'LAC 102_Wkst'!$E$7:$E$2010,$C63,'LAC 102_Wkst'!$G$7:$G$2010,$D63,'LAC 102_Wkst'!$L$7:$L$2010,"10",'LAC 102_Wkst'!$N$7:$N$2010,"P4")</f>
        <v>0</v>
      </c>
      <c r="AQ63" s="411">
        <f>SUMIFS('LAC 102_Wkst'!$AE$7:$AE$2010,'LAC 102_Wkst'!$E$7:$E$2010,$C63,'LAC 102_Wkst'!$G$7:$G$2010,$D63,'LAC 102_Wkst'!$L$7:$L$2010,"10",'LAC 102_Wkst'!$N$7:$N$2010,"P1")+SUMIFS('LAC 102_Wkst'!$AE$7:$AE$2010,'LAC 102_Wkst'!$E$7:$E$2010,$C63,'LAC 102_Wkst'!$G$7:$G$2010,$D63,'LAC 102_Wkst'!$L$7:$L$2010,"10",'LAC 102_Wkst'!$N$7:$N$2010,"P2")+SUMIFS('LAC 102_Wkst'!$AE$7:$AE$2010,'LAC 102_Wkst'!$E$7:$E$2010,$C63,'LAC 102_Wkst'!$G$7:$G$2010,$D63,'LAC 102_Wkst'!$L$7:$L$2010,"10",'LAC 102_Wkst'!$N$7:$N$2010,"P3")+SUMIFS('LAC 102_Wkst'!$AE$7:$AE$2010,'LAC 102_Wkst'!$E$7:$E$2010,$C63,'LAC 102_Wkst'!$G$7:$G$2010,$D63,'LAC 102_Wkst'!$L$7:$L$2010,"10",'LAC 102_Wkst'!$N$7:$N$2010,"P4")</f>
        <v>0</v>
      </c>
      <c r="AR63" s="410">
        <f>SUMIFS('LAC 102_Wkst'!$Q$7:$Q$2010,'LAC 102_Wkst'!$E$7:$E$2010,$C63,'LAC 102_Wkst'!$G$7:$G$2010,$D63,'LAC 102_Wkst'!$L$7:$L$2010,"10",'LAC 102_Wkst'!$N$7:$N$2010,"P5")</f>
        <v>0</v>
      </c>
      <c r="AS63" s="411">
        <f>SUMIFS('LAC 102_Wkst'!$AE$7:$AE$2010,'LAC 102_Wkst'!$E$7:$E$2010,$C63,'LAC 102_Wkst'!$G$7:$G$2010,$D63,'LAC 102_Wkst'!$L$7:$L$2010,"10",'LAC 102_Wkst'!$N$7:$N$2010,"P5")</f>
        <v>0</v>
      </c>
      <c r="AT63" s="410">
        <f>SUMIFS('LAC 102_Wkst'!$Q$7:$Q$2010,'LAC 102_Wkst'!$E$7:$E$2010,$C63,'LAC 102_Wkst'!$G$7:$G$2010,$D63,'LAC 102_Wkst'!$L$7:$L$2010,"11",'LAC 102_Wkst'!$N$7:$N$2010,"P1")+SUMIFS('LAC 102_Wkst'!$Q$7:$Q$2010,'LAC 102_Wkst'!$E$7:$E$2010,$C63,'LAC 102_Wkst'!$G$7:$G$2010,$D63,'LAC 102_Wkst'!$L$7:$L$2010,"12",'LAC 102_Wkst'!$N$7:$N$2010,"P1")</f>
        <v>0</v>
      </c>
      <c r="AU63" s="411">
        <f>SUMIFS('LAC 102_Wkst'!$AE$7:$AE$2010,'LAC 102_Wkst'!$E$7:$E$2010,$C63,'LAC 102_Wkst'!$G$7:$G$2010,$D63,'LAC 102_Wkst'!$L$7:$L$2010,"11",'LAC 102_Wkst'!$N$7:$N$2010,"P1")+SUMIFS('LAC 102_Wkst'!$AE$7:$AE$2010,'LAC 102_Wkst'!$E$7:$E$2010,$C63,'LAC 102_Wkst'!$G$7:$G$2010,$D63,'LAC 102_Wkst'!$L$7:$L$2010,"12",'LAC 102_Wkst'!$N$7:$N$2010,"P1")</f>
        <v>0</v>
      </c>
      <c r="AV63" s="410">
        <f>SUMIFS('LAC 102_Wkst'!$Q$7:$Q$2010,'LAC 102_Wkst'!$E$7:$E$2010,$C63,'LAC 102_Wkst'!$G$7:$G$2010,$D63,'LAC 102_Wkst'!$L$7:$L$2010,"11",'LAC 102_Wkst'!$N$7:$N$2010,"P2")+SUMIFS('LAC 102_Wkst'!$Q$7:$Q$2010,'LAC 102_Wkst'!$E$7:$E$2010,$C63,'LAC 102_Wkst'!$G$7:$G$2010,$D63,'LAC 102_Wkst'!$L$7:$L$2010,"12",'LAC 102_Wkst'!$N$7:$N$2010,"P3")+SUMIFS('LAC 102_Wkst'!$Q$7:$Q$2010,'LAC 102_Wkst'!$E$7:$E$2010,$C63,'LAC 102_Wkst'!$G$7:$G$2010,$D63,'LAC 102_Wkst'!$L$7:$L$2010,"11",'LAC 102_Wkst'!$N$7:$N$2010,"P2")+SUMIFS('LAC 102_Wkst'!$Q$7:$Q$2010,'LAC 102_Wkst'!$E$7:$E$2010,$C63,'LAC 102_Wkst'!$G$7:$G$2010,$D63,'LAC 102_Wkst'!$L$7:$L$2010,"12",'LAC 102_Wkst'!$N$7:$N$2010,"P3")</f>
        <v>0</v>
      </c>
      <c r="AW63" s="411">
        <f>SUMIFS('LAC 102_Wkst'!$AE$7:$AE$2010,'LAC 102_Wkst'!$E$7:$E$2010,$C63,'LAC 102_Wkst'!$G$7:$G$2010,$D63,'LAC 102_Wkst'!$L$7:$L$2010,"11",'LAC 102_Wkst'!$N$7:$N$2010,"P2")+SUMIFS('LAC 102_Wkst'!$AE$7:$AE$2010,'LAC 102_Wkst'!$E$7:$E$2010,$C63,'LAC 102_Wkst'!$G$7:$G$2010,$D63,'LAC 102_Wkst'!$L$7:$L$2010,"12",'LAC 102_Wkst'!$N$7:$N$2010,"P3")+SUMIFS('LAC 102_Wkst'!$AE$7:$AE$2010,'LAC 102_Wkst'!$E$7:$E$2010,$C63,'LAC 102_Wkst'!$G$7:$G$2010,$D63,'LAC 102_Wkst'!$L$7:$L$2010,"11",'LAC 102_Wkst'!$N$7:$N$2010,"P2")+SUMIFS('LAC 102_Wkst'!$AE$7:$AE$2010,'LAC 102_Wkst'!$E$7:$E$2010,$C63,'LAC 102_Wkst'!$G$7:$G$2010,$D63,'LAC 102_Wkst'!$L$7:$L$2010,"12",'LAC 102_Wkst'!$N$7:$N$2010,"P3")</f>
        <v>0</v>
      </c>
      <c r="AX63" s="410">
        <f>SUMIFS('LAC 102_Wkst'!$Q$7:$Q$2010,'LAC 102_Wkst'!$E$7:$E$2010,$C63,'LAC 102_Wkst'!$G$7:$G$2010,$D63,'LAC 102_Wkst'!$L$7:$L$2010,"11",'LAC 102_Wkst'!$N$7:$N$2010,"P4")+SUMIFS('LAC 102_Wkst'!$Q$7:$Q$2010,'LAC 102_Wkst'!$E$7:$E$2010,$C63,'LAC 102_Wkst'!$G$7:$G$2010,$D63,'LAC 102_Wkst'!$L$7:$L$2010,"12",'LAC 102_Wkst'!$N$7:$N$2010,"P4")</f>
        <v>0</v>
      </c>
      <c r="AY63" s="411">
        <f>SUMIFS('LAC 102_Wkst'!$AE$7:$AE$2010,'LAC 102_Wkst'!$E$7:$E$2010,$C63,'LAC 102_Wkst'!$G$7:$G$2010,$D63,'LAC 102_Wkst'!$L$7:$L$2010,"11",'LAC 102_Wkst'!$N$7:$N$2010,"P4")+SUMIFS('LAC 102_Wkst'!$AE$7:$AE$2010,'LAC 102_Wkst'!$E$7:$E$2010,$C63,'LAC 102_Wkst'!$G$7:$G$2010,$D63,'LAC 102_Wkst'!$L$7:$L$2010,"12",'LAC 102_Wkst'!$N$7:$N$2010,"P4")</f>
        <v>0</v>
      </c>
      <c r="AZ63" s="410">
        <f>SUMIFS('LAC 102_Wkst'!$Q$7:$Q$2010,'LAC 102_Wkst'!$E$7:$E$2010,$C63,'LAC 102_Wkst'!$G$7:$G$2010,$D63,'LAC 102_Wkst'!$L$7:$L$2010,"11",'LAC 102_Wkst'!$N$7:$N$2010,"P5")+SUMIFS('LAC 102_Wkst'!$Q$7:$Q$2010,'LAC 102_Wkst'!$E$7:$E$2010,$C63,'LAC 102_Wkst'!$G$7:$G$2010,$D63,'LAC 102_Wkst'!$L$7:$L$2010,"12",'LAC 102_Wkst'!$N$7:$N$2010,"P5")</f>
        <v>0</v>
      </c>
      <c r="BA63" s="411">
        <f>SUMIFS('LAC 102_Wkst'!$AE$7:$AE$2010,'LAC 102_Wkst'!$E$7:$E$2010,$C63,'LAC 102_Wkst'!$G$7:$G$2010,$D63,'LAC 102_Wkst'!$L$7:$L$2010,"11",'LAC 102_Wkst'!$N$7:$N$2010,"P5")+SUMIFS('LAC 102_Wkst'!$AE$7:$AE$2010,'LAC 102_Wkst'!$E$7:$E$2010,$C63,'LAC 102_Wkst'!$G$7:$G$2010,$D63,'LAC 102_Wkst'!$L$7:$L$2010,"12",'LAC 102_Wkst'!$N$7:$N$2010,"P5")</f>
        <v>0</v>
      </c>
      <c r="BB63" s="410">
        <f>SUMIFS('LAC 102_Wkst'!$Q$7:$Q$2010,'LAC 102_Wkst'!$E$7:$E$2010,$C63,'LAC 102_Wkst'!$G$7:$G$2010,$D63,'LAC 102_Wkst'!$L$7:$L$2010,"13",'LAC 102_Wkst'!$N$7:$N$2010,"P1")+SUMIFS('LAC 102_Wkst'!$Q$7:$Q$2010,'LAC 102_Wkst'!$E$7:$E$2010,$C63,'LAC 102_Wkst'!$G$7:$G$2010,$D63,'LAC 102_Wkst'!$L$7:$L$2010,"13",'LAC 102_Wkst'!$N$7:$N$2010,"P2")+SUMIFS('LAC 102_Wkst'!$Q$7:$Q$2010,'LAC 102_Wkst'!$E$7:$E$2010,$C63,'LAC 102_Wkst'!$G$7:$G$2010,$D63,'LAC 102_Wkst'!$L$7:$L$2010,"13",'LAC 102_Wkst'!$N$7:$N$2010,"P3")+SUMIFS('LAC 102_Wkst'!$Q$7:$Q$2010,'LAC 102_Wkst'!$E$7:$E$2010,$C63,'LAC 102_Wkst'!$G$7:$G$2010,$D63,'LAC 102_Wkst'!$L$7:$L$2010,"13",'LAC 102_Wkst'!$N$7:$N$2010,"P4")</f>
        <v>0</v>
      </c>
      <c r="BC63" s="411">
        <f>SUMIFS('LAC 102_Wkst'!$AE$7:$AE$2010,'LAC 102_Wkst'!$E$7:$E$2010,$C63,'LAC 102_Wkst'!$G$7:$G$2010,$D63,'LAC 102_Wkst'!$L$7:$L$2010,"13",'LAC 102_Wkst'!$N$7:$N$2010,"P1")+SUMIFS('LAC 102_Wkst'!$AE$7:$AE$2010,'LAC 102_Wkst'!$E$7:$E$2010,$C63,'LAC 102_Wkst'!$G$7:$G$2010,$D63,'LAC 102_Wkst'!$L$7:$L$2010,"13",'LAC 102_Wkst'!$N$7:$N$2010,"P2")+SUMIFS('LAC 102_Wkst'!$AE$7:$AE$2010,'LAC 102_Wkst'!$E$7:$E$2010,$C63,'LAC 102_Wkst'!$G$7:$G$2010,$D63,'LAC 102_Wkst'!$L$7:$L$2010,"13",'LAC 102_Wkst'!$N$7:$N$2010,"P3")+SUMIFS('LAC 102_Wkst'!$AE$7:$AE$2010,'LAC 102_Wkst'!$E$7:$E$2010,$C63,'LAC 102_Wkst'!$G$7:$G$2010,$D63,'LAC 102_Wkst'!$L$7:$L$2010,"13",'LAC 102_Wkst'!$N$7:$N$2010,"P4")</f>
        <v>0</v>
      </c>
      <c r="BD63" s="410">
        <f>SUMIFS('LAC 102_Wkst'!$Q$7:$Q$2010,'LAC 102_Wkst'!$E$7:$E$2010,$C63,'LAC 102_Wkst'!$G$7:$G$2010,$D63,'LAC 102_Wkst'!$L$7:$L$2010,"13",'LAC 102_Wkst'!$N$7:$N$2010,"P5")</f>
        <v>0</v>
      </c>
      <c r="BE63" s="411">
        <f>SUMIFS('LAC 102_Wkst'!$AE$7:$AE$2010,'LAC 102_Wkst'!$E$7:$E$2010,$C63,'LAC 102_Wkst'!$G$7:$G$2010,$D63,'LAC 102_Wkst'!$L$7:$L$2010,"13",'LAC 102_Wkst'!$N$7:$N$2010,"P5")</f>
        <v>0</v>
      </c>
      <c r="BF63" s="407">
        <f t="shared" si="0"/>
        <v>0</v>
      </c>
    </row>
    <row r="64" spans="1:58" x14ac:dyDescent="0.2">
      <c r="A64" s="401">
        <v>45</v>
      </c>
      <c r="B64" s="1236"/>
      <c r="C64" s="1235"/>
      <c r="D64" s="1237"/>
      <c r="E64" s="1222">
        <f>IF(CONCATENATE(C64,D64)&gt;"6069",1,SUMIFS('LAC 102_Wkst'!$Q$7:$Q$2010,'LAC 102_Wkst'!$E$7:$E$2010,Schedule_B!$C64,'LAC 102_Wkst'!$G$7:$G$2010,Schedule_B!$D64))</f>
        <v>0</v>
      </c>
      <c r="F64" s="408">
        <f>SUMIFS('LAC 102_Wkst'!$Q$7:$Q$2010,'LAC 102_Wkst'!$E$7:$E$2010,$C64,'LAC 102_Wkst'!$G$7:$G$2010,$D64,'LAC 102_Wkst'!$L$7:$L$2010,"01",'LAC 102_Wkst'!$N$7:$N$2010,"P1")+SUMIFS('LAC 102_Wkst'!$Q$7:$Q$2010,'LAC 102_Wkst'!$E$7:$E$2010,$C64,'LAC 102_Wkst'!$G$7:$G$2010,$D64,'LAC 102_Wkst'!$L$7:$L$2010,"01",'LAC 102_Wkst'!$N$7:$N$2010,"P2")+SUMIFS('LAC 102_Wkst'!$Q$7:$Q$2010,'LAC 102_Wkst'!$E$7:$E$2010,$C64,'LAC 102_Wkst'!$G$7:$G$2010,$D64,'LAC 102_Wkst'!$L$7:$L$2010,"01",'LAC 102_Wkst'!$N$7:$N$2010,"P3")+SUMIFS('LAC 102_Wkst'!$Q$7:$Q$2010,'LAC 102_Wkst'!$E$7:$E$2010,$C64,'LAC 102_Wkst'!$G$7:$G$2010,$D64,'LAC 102_Wkst'!$L$7:$L$2010,"02",'LAC 102_Wkst'!$N$7:$N$2010,"P1")+SUMIFS('LAC 102_Wkst'!$Q$7:$Q$2010,'LAC 102_Wkst'!$E$7:$E$2010,$C64,'LAC 102_Wkst'!$G$7:$G$2010,$D64,'LAC 102_Wkst'!$L$7:$L$2010,"02",'LAC 102_Wkst'!$N$7:$N$2010,"P2")+SUMIFS('LAC 102_Wkst'!$Q$7:$Q$2010,'LAC 102_Wkst'!$E$7:$E$2010,$C64,'LAC 102_Wkst'!$G$7:$G$2010,$D64,'LAC 102_Wkst'!$L$7:$L$2010,"02",'LAC 102_Wkst'!$N$7:$N$2010,"P3")</f>
        <v>0</v>
      </c>
      <c r="G64" s="409">
        <f>SUMIFS('LAC 102_Wkst'!$AE$7:$AE$2010,'LAC 102_Wkst'!$E$7:$E$2010,$C64,'LAC 102_Wkst'!$G$7:$G$2010,$D64,'LAC 102_Wkst'!$L$7:$L$2010,"01",'LAC 102_Wkst'!$N$7:$N$2010,"P1")+SUMIFS('LAC 102_Wkst'!$AE$7:$AE$2010,'LAC 102_Wkst'!$E$7:$E$2010,$C64,'LAC 102_Wkst'!$G$7:$G$2010,$D64,'LAC 102_Wkst'!$L$7:$L$2010,"01",'LAC 102_Wkst'!$N$7:$N$2010,"P2")+SUMIFS('LAC 102_Wkst'!$AE$7:$AE$2010,'LAC 102_Wkst'!$E$7:$E$2010,$C64,'LAC 102_Wkst'!$G$7:$G$2010,$D64,'LAC 102_Wkst'!$L$7:$L$2010,"01",'LAC 102_Wkst'!$N$7:$N$2010,"P3")+SUMIFS('LAC 102_Wkst'!$AE$7:$AE$2010,'LAC 102_Wkst'!$E$7:$E$2010,$C64,'LAC 102_Wkst'!$G$7:$G$2010,$D64,'LAC 102_Wkst'!$L$7:$L$2010,"02",'LAC 102_Wkst'!$N$7:$N$2010,"P1")+SUMIFS('LAC 102_Wkst'!$AE$7:$AE$2010,'LAC 102_Wkst'!$E$7:$E$2010,$C64,'LAC 102_Wkst'!$G$7:$G$2010,$D64,'LAC 102_Wkst'!$L$7:$L$2010,"02",'LAC 102_Wkst'!$N$7:$N$2010,"P2")+SUMIFS('LAC 102_Wkst'!$AE$7:$AE$2010,'LAC 102_Wkst'!$E$7:$E$2010,$C64,'LAC 102_Wkst'!$G$7:$G$2010,$D64,'LAC 102_Wkst'!$L$7:$L$2010,"02",'LAC 102_Wkst'!$N$7:$N$2010,"P3")</f>
        <v>0</v>
      </c>
      <c r="H64" s="410">
        <f>SUMIFS('LAC 102_Wkst'!$Q$7:$Q$2010,'LAC 102_Wkst'!$E$7:$E$2010,$C64,'LAC 102_Wkst'!$G$7:$G$2010,$D64,'LAC 102_Wkst'!$L$7:$L$2010,"01",'LAC 102_Wkst'!$N$7:$N$2010,"P4")+SUMIFS('LAC 102_Wkst'!$Q$7:$Q$2010,'LAC 102_Wkst'!$E$7:$E$2010,$C64,'LAC 102_Wkst'!$G$7:$G$2010,$D64,'LAC 102_Wkst'!$L$7:$L$2010,"02",'LAC 102_Wkst'!$N$7:$N$2010,"P4")</f>
        <v>0</v>
      </c>
      <c r="I64" s="411">
        <f>SUMIFS('LAC 102_Wkst'!$AE$7:$AE$2010,'LAC 102_Wkst'!$E$7:$E$2010,$C64,'LAC 102_Wkst'!$G$7:$G$2010,$D64,'LAC 102_Wkst'!$L$7:$L$2010,"01",'LAC 102_Wkst'!$N$7:$N$2010,"P4")+SUMIFS('LAC 102_Wkst'!$AE$7:$AE$2010,'LAC 102_Wkst'!$E$7:$E$2010,$C64,'LAC 102_Wkst'!$G$7:$G$2010,$D64,'LAC 102_Wkst'!$L$7:$L$2010,"02",'LAC 102_Wkst'!$N$7:$N$2010,"P4")</f>
        <v>0</v>
      </c>
      <c r="J64" s="410">
        <f>SUMIFS('LAC 102_Wkst'!$Q$7:$Q$2010,'LAC 102_Wkst'!$E$7:$E$2010,$C64,'LAC 102_Wkst'!$G$7:$G$2010,$D64,'LAC 102_Wkst'!$L$7:$L$2010,"01",'LAC 102_Wkst'!$N$7:$N$2010,"P5")+SUMIFS('LAC 102_Wkst'!$Q$7:$Q$2010,'LAC 102_Wkst'!$E$7:$E$2010,$C64,'LAC 102_Wkst'!$G$7:$G$2010,$D64,'LAC 102_Wkst'!$L$7:$L$2010,"02",'LAC 102_Wkst'!$N$7:$N$2010,"P5")</f>
        <v>0</v>
      </c>
      <c r="K64" s="411">
        <f>SUMIFS('LAC 102_Wkst'!$AE$7:$AE$2010,'LAC 102_Wkst'!$E$7:$E$2010,$C64,'LAC 102_Wkst'!$G$7:$G$2010,$D64,'LAC 102_Wkst'!$L$7:$L$2010,"01",'LAC 102_Wkst'!$N$7:$N$2010,"P5")+SUMIFS('LAC 102_Wkst'!$AE$7:$AE$2010,'LAC 102_Wkst'!$E$7:$E$2010,$C64,'LAC 102_Wkst'!$G$7:$G$2010,$D64,'LAC 102_Wkst'!$L$7:$L$2010,"02",'LAC 102_Wkst'!$N$7:$N$2010,"P5")</f>
        <v>0</v>
      </c>
      <c r="L64" s="410">
        <f>SUMIFS('LAC 102_Wkst'!$Q$7:$Q$2010,'LAC 102_Wkst'!$E$7:$E$2010,$C64,'LAC 102_Wkst'!$G$7:$G$2010,$D64,'LAC 102_Wkst'!$L$7:$L$2010,"03",'LAC 102_Wkst'!$N$7:$N$2010,"P1")+SUMIFS('LAC 102_Wkst'!$Q$7:$Q$2010,'LAC 102_Wkst'!$E$7:$E$2010,$C64,'LAC 102_Wkst'!$G$7:$G$2010,$D64,'LAC 102_Wkst'!$L$7:$L$2010,"03",'LAC 102_Wkst'!$N$7:$N$2010,"P2")+SUMIFS('LAC 102_Wkst'!$Q$7:$Q$2010,'LAC 102_Wkst'!$E$7:$E$2010,$C64,'LAC 102_Wkst'!$G$7:$G$2010,$D64,'LAC 102_Wkst'!$L$7:$L$2010,"03",'LAC 102_Wkst'!$N$7:$N$2010,"P3")+SUMIFS('LAC 102_Wkst'!$Q$7:$Q$2010,'LAC 102_Wkst'!$E$7:$E$2010,$C64,'LAC 102_Wkst'!$G$7:$G$2010,$D64,'LAC 102_Wkst'!$L$7:$L$2010,"04",'LAC 102_Wkst'!$N$7:$N$2010,"P1")+SUMIFS('LAC 102_Wkst'!$Q$7:$Q$2010,'LAC 102_Wkst'!$E$7:$E$2010,$C64,'LAC 102_Wkst'!$G$7:$G$2010,$D64,'LAC 102_Wkst'!$L$7:$L$2010,"04",'LAC 102_Wkst'!$N$7:$N$2010,"P2")+SUMIFS('LAC 102_Wkst'!$Q$7:$Q$2010,'LAC 102_Wkst'!$E$7:$E$2010,$C64,'LAC 102_Wkst'!$G$7:$G$2010,$D64,'LAC 102_Wkst'!$L$7:$L$2010,"04",'LAC 102_Wkst'!$N$7:$N$2010,"P3")</f>
        <v>0</v>
      </c>
      <c r="M64" s="411">
        <f>SUMIFS('LAC 102_Wkst'!$AE$7:$AE$2010,'LAC 102_Wkst'!$E$7:$E$2010,$C64,'LAC 102_Wkst'!$G$7:$G$2010,$D64,'LAC 102_Wkst'!$L$7:$L$2010,"03",'LAC 102_Wkst'!$N$7:$N$2010,"P1")+SUMIFS('LAC 102_Wkst'!$AE$7:$AE$2010,'LAC 102_Wkst'!$E$7:$E$2010,$C64,'LAC 102_Wkst'!$G$7:$G$2010,$D64,'LAC 102_Wkst'!$L$7:$L$2010,"03",'LAC 102_Wkst'!$N$7:$N$2010,"P2")+SUMIFS('LAC 102_Wkst'!$AE$7:$AE$2010,'LAC 102_Wkst'!$E$7:$E$2010,$C64,'LAC 102_Wkst'!$G$7:$G$2010,$D64,'LAC 102_Wkst'!$L$7:$L$2010,"03",'LAC 102_Wkst'!$N$7:$N$2010,"P3")+SUMIFS('LAC 102_Wkst'!$AE$7:$AE$2010,'LAC 102_Wkst'!$E$7:$E$2010,$C64,'LAC 102_Wkst'!$G$7:$G$2010,$D64,'LAC 102_Wkst'!$L$7:$L$2010,"04",'LAC 102_Wkst'!$N$7:$N$2010,"P1")+SUMIFS('LAC 102_Wkst'!$AE$7:$AE$2010,'LAC 102_Wkst'!$E$7:$E$2010,$C64,'LAC 102_Wkst'!$G$7:$G$2010,$D64,'LAC 102_Wkst'!$L$7:$L$2010,"04",'LAC 102_Wkst'!$N$7:$N$2010,"P2")+SUMIFS('LAC 102_Wkst'!$AE$7:$AE$2010,'LAC 102_Wkst'!$E$7:$E$2010,$C64,'LAC 102_Wkst'!$G$7:$G$2010,$D64,'LAC 102_Wkst'!$L$7:$L$2010,"04",'LAC 102_Wkst'!$N$7:$N$2010,"P3")</f>
        <v>0</v>
      </c>
      <c r="N64" s="410">
        <f>SUMIFS('LAC 102_Wkst'!$Q$7:$Q$2010,'LAC 102_Wkst'!$E$7:$E$2010,$C64,'LAC 102_Wkst'!$G$7:$G$2010,$D64,'LAC 102_Wkst'!$L$7:$L$2010,"03",'LAC 102_Wkst'!$N$7:$N$2010,"P4")+SUMIFS('LAC 102_Wkst'!$Q$7:$Q$2010,'LAC 102_Wkst'!$E$7:$E$2010,$C64,'LAC 102_Wkst'!$G$7:$G$2010,$D64,'LAC 102_Wkst'!$L$7:$L$2010,"04",'LAC 102_Wkst'!$N$7:$N$2010,"P4")</f>
        <v>0</v>
      </c>
      <c r="O64" s="411">
        <f>SUMIFS('LAC 102_Wkst'!$AE$7:$AE$2010,'LAC 102_Wkst'!$E$7:$E$2010,$C64,'LAC 102_Wkst'!$G$7:$G$2010,$D64,'LAC 102_Wkst'!$L$7:$L$2010,"03",'LAC 102_Wkst'!$N$7:$N$2010,"P4")+SUMIFS('LAC 102_Wkst'!$AE$7:$AE$2010,'LAC 102_Wkst'!$E$7:$E$2010,$C64,'LAC 102_Wkst'!$G$7:$G$2010,$D64,'LAC 102_Wkst'!$L$7:$L$2010,"04",'LAC 102_Wkst'!$N$7:$N$2010,"P4")</f>
        <v>0</v>
      </c>
      <c r="P64" s="410">
        <f>SUMIFS('LAC 102_Wkst'!$Q$7:$Q$2010,'LAC 102_Wkst'!$E$7:$E$2010,$C64,'LAC 102_Wkst'!$G$7:$G$2010,$D64,'LAC 102_Wkst'!$L$7:$L$2010,"03",'LAC 102_Wkst'!$N$7:$N$2010,"P5")+SUMIFS('LAC 102_Wkst'!$Q$7:$Q$2010,'LAC 102_Wkst'!$E$7:$E$2010,$C64,'LAC 102_Wkst'!$G$7:$G$2010,$D64,'LAC 102_Wkst'!$L$7:$L$2010,"04",'LAC 102_Wkst'!$N$7:$N$2010,"P5")</f>
        <v>0</v>
      </c>
      <c r="Q64" s="411">
        <f>SUMIFS('LAC 102_Wkst'!$AE$7:$AE$2010,'LAC 102_Wkst'!$E$7:$E$2010,$C64,'LAC 102_Wkst'!$G$7:$G$2010,$D64,'LAC 102_Wkst'!$L$7:$L$2010,"03",'LAC 102_Wkst'!$N$7:$N$2010,"P5")+SUMIFS('LAC 102_Wkst'!$AE$7:$AE$2010,'LAC 102_Wkst'!$E$7:$E$2010,$C64,'LAC 102_Wkst'!$G$7:$G$2010,$D64,'LAC 102_Wkst'!$L$7:$L$2010,"04",'LAC 102_Wkst'!$N$7:$N$2010,"P5")</f>
        <v>0</v>
      </c>
      <c r="R64" s="412">
        <f>SUMIFS('LAC 102_Wkst'!$Q$7:$Q$2010,'LAC 102_Wkst'!$E$7:$E$2010,$C64,'LAC 102_Wkst'!$G$7:$G$2010,$D64,'LAC 102_Wkst'!$L$7:$L$2010,"05",'LAC 102_Wkst'!$N$7:$N$2010,"P1")+SUMIFS('LAC 102_Wkst'!$Q$7:$Q$2010,'LAC 102_Wkst'!$E$7:$E$2010,$C64,'LAC 102_Wkst'!$G$7:$G$2010,$D64,'LAC 102_Wkst'!$L$7:$L$2010,"06",'LAC 102_Wkst'!$N$7:$N$2010,"P1")</f>
        <v>0</v>
      </c>
      <c r="S64" s="411">
        <f>SUMIFS('LAC 102_Wkst'!$AE$7:$AE$2010,'LAC 102_Wkst'!$E$7:$E$2010,$C64,'LAC 102_Wkst'!$G$7:$G$2010,$D64,'LAC 102_Wkst'!$L$7:$L$2010,"05",'LAC 102_Wkst'!$N$7:$N$2010,"P1")+SUMIFS('LAC 102_Wkst'!$AE$7:$AE$2010,'LAC 102_Wkst'!$E$7:$E$2010,$C64,'LAC 102_Wkst'!$G$7:$G$2010,$D64,'LAC 102_Wkst'!$L$7:$L$2010,"06",'LAC 102_Wkst'!$N$7:$N$2010,"P1")</f>
        <v>0</v>
      </c>
      <c r="T64" s="410">
        <f>SUMIFS('LAC 102_Wkst'!$Q$7:$Q$2010,'LAC 102_Wkst'!$E$7:$E$2010,$C64,'LAC 102_Wkst'!$G$7:$G$2010,$D64,'LAC 102_Wkst'!$L$7:$L$2010,"05",'LAC 102_Wkst'!$N$7:$N$2010,"P2")+SUMIFS('LAC 102_Wkst'!$Q$7:$Q$2010,'LAC 102_Wkst'!$E$7:$E$2010,$C64,'LAC 102_Wkst'!$G$7:$G$2010,$D64,'LAC 102_Wkst'!$L$7:$L$2010,"05",'LAC 102_Wkst'!$N$7:$N$2010,"P3")+SUMIFS('LAC 102_Wkst'!$Q$7:$Q$2010,'LAC 102_Wkst'!$E$7:$E$2010,$C64,'LAC 102_Wkst'!$G$7:$G$2010,$D64,'LAC 102_Wkst'!$L$7:$L$2010,"06",'LAC 102_Wkst'!$N$7:$N$2010,"P2")+SUMIFS('LAC 102_Wkst'!$Q$7:$Q$2010,'LAC 102_Wkst'!$E$7:$E$2010,$C64,'LAC 102_Wkst'!$G$7:$G$2010,$D64,'LAC 102_Wkst'!$L$7:$L$2010,"06",'LAC 102_Wkst'!$N$7:$N$2010,"P3")</f>
        <v>0</v>
      </c>
      <c r="U64" s="411">
        <f>SUMIFS('LAC 102_Wkst'!$AE$7:$AE$2010,'LAC 102_Wkst'!$E$7:$E$2010,$C64,'LAC 102_Wkst'!$G$7:$G$2010,$D64,'LAC 102_Wkst'!$L$7:$L$2010,"05",'LAC 102_Wkst'!$N$7:$N$2010,"P2")+SUMIFS('LAC 102_Wkst'!$AE$7:$AE$2010,'LAC 102_Wkst'!$E$7:$E$2010,$C64,'LAC 102_Wkst'!$G$7:$G$2010,$D64,'LAC 102_Wkst'!$L$7:$L$2010,"06",'LAC 102_Wkst'!$N$7:$N$2010,"P3")+SUMIFS('LAC 102_Wkst'!$AE$7:$AE$2010,'LAC 102_Wkst'!$E$7:$E$2010,$C64,'LAC 102_Wkst'!$G$7:$G$2010,$D64,'LAC 102_Wkst'!$L$7:$L$2010,"05",'LAC 102_Wkst'!$N$7:$N$2010,"P2")+SUMIFS('LAC 102_Wkst'!$AE$7:$AE$2010,'LAC 102_Wkst'!$E$7:$E$2010,$C64,'LAC 102_Wkst'!$G$7:$G$2010,$D64,'LAC 102_Wkst'!$L$7:$L$2010,"06",'LAC 102_Wkst'!$N$7:$N$2010,"P3")</f>
        <v>0</v>
      </c>
      <c r="V64" s="410">
        <f>SUMIFS('LAC 102_Wkst'!$Q$7:$Q$2010,'LAC 102_Wkst'!$E$7:$E$2010,$C64,'LAC 102_Wkst'!$G$7:$G$2010,$D64,'LAC 102_Wkst'!$L$7:$L$2010,"05",'LAC 102_Wkst'!$N$7:$N$2010,"P4")+SUMIFS('LAC 102_Wkst'!$Q$7:$Q$2010,'LAC 102_Wkst'!$E$7:$E$2010,$C64,'LAC 102_Wkst'!$G$7:$G$2010,$D64,'LAC 102_Wkst'!$L$7:$L$2010,"06",'LAC 102_Wkst'!$N$7:$N$2010,"P4")</f>
        <v>0</v>
      </c>
      <c r="W64" s="411">
        <f>SUMIFS('LAC 102_Wkst'!$AE$7:$AE$2010,'LAC 102_Wkst'!$E$7:$E$2010,$C64,'LAC 102_Wkst'!$G$7:$G$2010,$D64,'LAC 102_Wkst'!$L$7:$L$2010,"05",'LAC 102_Wkst'!$N$7:$N$2010,"P4")+SUMIFS('LAC 102_Wkst'!$AE$7:$AE$2010,'LAC 102_Wkst'!$E$7:$E$2010,$C64,'LAC 102_Wkst'!$G$7:$G$2010,$D64,'LAC 102_Wkst'!$L$7:$L$2010,"06",'LAC 102_Wkst'!$N$7:$N$2010,"P4")</f>
        <v>0</v>
      </c>
      <c r="X64" s="410">
        <f>SUMIFS('LAC 102_Wkst'!$Q$7:$Q$2010,'LAC 102_Wkst'!$E$7:$E$2010,$C64,'LAC 102_Wkst'!$G$7:$G$2010,$D64,'LAC 102_Wkst'!$L$7:$L$2010,"05",'LAC 102_Wkst'!$N$7:$N$2010,"P5")+SUMIFS('LAC 102_Wkst'!$Q$7:$Q$2010,'LAC 102_Wkst'!$E$7:$E$2010,$C64,'LAC 102_Wkst'!$G$7:$G$2010,$D64,'LAC 102_Wkst'!$L$7:$L$2010,"06",'LAC 102_Wkst'!$N$7:$N$2010,"P5")</f>
        <v>0</v>
      </c>
      <c r="Y64" s="411">
        <f>SUMIFS('LAC 102_Wkst'!$AE$7:$AE$2010,'LAC 102_Wkst'!$E$7:$E$2010,$C64,'LAC 102_Wkst'!$G$7:$G$2010,$D64,'LAC 102_Wkst'!$L$7:$L$2010,"05",'LAC 102_Wkst'!$N$7:$N$2010,"P5")+SUMIFS('LAC 102_Wkst'!$AE$7:$AE$2010,'LAC 102_Wkst'!$E$7:$E$2010,$C64,'LAC 102_Wkst'!$G$7:$G$2010,$D64,'LAC 102_Wkst'!$L$7:$L$2010,"06",'LAC 102_Wkst'!$N$7:$N$2010,"P5")</f>
        <v>0</v>
      </c>
      <c r="Z64" s="410">
        <f>SUMIFS('LAC 102_Wkst'!$Q$7:$Q$2010,'LAC 102_Wkst'!$E$7:$E$2010,$C64,'LAC 102_Wkst'!$G$7:$G$2010,$D64,'LAC 102_Wkst'!$L$7:$L$2010,"07",'LAC 102_Wkst'!$N$7:$N$2010,"P1")+SUMIFS('LAC 102_Wkst'!$Q$7:$Q$2010,'LAC 102_Wkst'!$E$7:$E$2010,$C64,'LAC 102_Wkst'!$G$7:$G$2010,$D64,'LAC 102_Wkst'!$L$7:$L$2010,"07",'LAC 102_Wkst'!$N$7:$N$2010,"P2")+SUMIFS('LAC 102_Wkst'!$Q$7:$Q$2010,'LAC 102_Wkst'!$E$7:$E$2010,$C64,'LAC 102_Wkst'!$G$7:$G$2010,$D64,'LAC 102_Wkst'!$L$7:$L$2010,"07",'LAC 102_Wkst'!$N$7:$N$2010,"P3")</f>
        <v>0</v>
      </c>
      <c r="AA64" s="411">
        <f>SUMIFS('LAC 102_Wkst'!$AE$7:$AE$2010,'LAC 102_Wkst'!$E$7:$E$2010,$C64,'LAC 102_Wkst'!$G$7:$G$2010,$D64,'LAC 102_Wkst'!$L$7:$L$2010,"07",'LAC 102_Wkst'!$N$7:$N$2010,"P1")+SUMIFS('LAC 102_Wkst'!$AE$7:$AE$2010,'LAC 102_Wkst'!$E$7:$E$2010,$C64,'LAC 102_Wkst'!$G$7:$G$2010,$D64,'LAC 102_Wkst'!$L$7:$L$2010,"07",'LAC 102_Wkst'!$N$7:$N$2010,"P2")+SUMIFS('LAC 102_Wkst'!$AE$7:$AE$2010,'LAC 102_Wkst'!$E$7:$E$2010,$C64,'LAC 102_Wkst'!$G$7:$G$2010,$D64,'LAC 102_Wkst'!$L$7:$L$2010,"07",'LAC 102_Wkst'!$N$7:$N$2010,"P3")</f>
        <v>0</v>
      </c>
      <c r="AB64" s="410">
        <f>SUMIFS('LAC 102_Wkst'!$Q$7:$Q$2010,'LAC 102_Wkst'!$E$7:$E$2010,$C64,'LAC 102_Wkst'!$G$7:$G$2010,$D64,'LAC 102_Wkst'!$L$7:$L$2010,"07",'LAC 102_Wkst'!$N$7:$N$2010,"P4")</f>
        <v>0</v>
      </c>
      <c r="AC64" s="411">
        <f>SUMIFS('LAC 102_Wkst'!$AE$7:$AE$2010,'LAC 102_Wkst'!$E$7:$E$2010,$C64,'LAC 102_Wkst'!$G$7:$G$2010,$D64,'LAC 102_Wkst'!$L$7:$L$2010,"07",'LAC 102_Wkst'!$N$7:$N$2010,"P4")</f>
        <v>0</v>
      </c>
      <c r="AD64" s="410">
        <f>SUMIFS('LAC 102_Wkst'!$Q$7:$Q$2010,'LAC 102_Wkst'!$E$7:$E$2010,$C64,'LAC 102_Wkst'!$G$7:$G$2010,$D64,'LAC 102_Wkst'!$L$7:$L$2010,"07",'LAC 102_Wkst'!$N$7:$N$2010,"P5")</f>
        <v>0</v>
      </c>
      <c r="AE64" s="411">
        <f>SUMIFS('LAC 102_Wkst'!$AE$7:$AE$2010,'LAC 102_Wkst'!$E$7:$E$2010,$C64,'LAC 102_Wkst'!$G$7:$G$2010,$D64,'LAC 102_Wkst'!$L$7:$L$2010,"07",'LAC 102_Wkst'!$N$7:$N$2010,"P5")</f>
        <v>0</v>
      </c>
      <c r="AF64" s="410">
        <f>SUMIFS('LAC 102_Wkst'!$Q$7:$Q$2010,'LAC 102_Wkst'!$E$7:$E$2010,$C64,'LAC 102_Wkst'!$G$7:$G$2010,$D64,'LAC 102_Wkst'!$L$7:$L$2010,"08",'LAC 102_Wkst'!$N$7:$N$2010,"P1")+SUMIFS('LAC 102_Wkst'!$Q$7:$Q$2010,'LAC 102_Wkst'!$E$7:$E$2010,$C64,'LAC 102_Wkst'!$G$7:$G$2010,$D64,'LAC 102_Wkst'!$L$7:$L$2010,"08",'LAC 102_Wkst'!$N$7:$N$2010,"P2")+SUMIFS('LAC 102_Wkst'!$Q$7:$Q$2010,'LAC 102_Wkst'!$E$7:$E$2010,$C64,'LAC 102_Wkst'!$G$7:$G$2010,$D64,'LAC 102_Wkst'!$L$7:$L$2010,"08",'LAC 102_Wkst'!$N$7:$N$2010,"P3")</f>
        <v>0</v>
      </c>
      <c r="AG64" s="411">
        <f>SUMIFS('LAC 102_Wkst'!$AE$7:$AE$2010,'LAC 102_Wkst'!$E$7:$E$2010,$C64,'LAC 102_Wkst'!$G$7:$G$2010,$D64,'LAC 102_Wkst'!$L$7:$L$2010,"08",'LAC 102_Wkst'!$N$7:$N$2010,"P1")+SUMIFS('LAC 102_Wkst'!$AE$7:$AE$2010,'LAC 102_Wkst'!$E$7:$E$2010,$C64,'LAC 102_Wkst'!$G$7:$G$2010,$D64,'LAC 102_Wkst'!$L$7:$L$2010,"08",'LAC 102_Wkst'!$N$7:$N$2010,"P2")+SUMIFS('LAC 102_Wkst'!$AE$7:$AE$2010,'LAC 102_Wkst'!$E$7:$E$2010,$C64,'LAC 102_Wkst'!$G$7:$G$2010,$D64,'LAC 102_Wkst'!$L$7:$L$2010,"08",'LAC 102_Wkst'!$N$7:$N$2010,"P3")</f>
        <v>0</v>
      </c>
      <c r="AH64" s="410">
        <f>SUMIFS('LAC 102_Wkst'!$Q$7:$Q$2010,'LAC 102_Wkst'!$E$7:$E$2010,$C64,'LAC 102_Wkst'!$G$7:$G$2010,$D64,'LAC 102_Wkst'!$L$7:$L$2010,"08",'LAC 102_Wkst'!$N$7:$N$2010,"P4")</f>
        <v>0</v>
      </c>
      <c r="AI64" s="411">
        <f>SUMIFS('LAC 102_Wkst'!$AE$7:$AE$2010,'LAC 102_Wkst'!$E$7:$E$2010,$C64,'LAC 102_Wkst'!$G$7:$G$2010,$D64,'LAC 102_Wkst'!$L$7:$L$2010,"08",'LAC 102_Wkst'!$N$7:$N$2010,"P4")</f>
        <v>0</v>
      </c>
      <c r="AJ64" s="410">
        <f>SUMIFS('LAC 102_Wkst'!$Q$7:$Q$2010,'LAC 102_Wkst'!$E$7:$E$2010,$C64,'LAC 102_Wkst'!$G$7:$G$2010,$D64,'LAC 102_Wkst'!$L$7:$L$2010,"08",'LAC 102_Wkst'!$N$7:$N$2010,"P5")</f>
        <v>0</v>
      </c>
      <c r="AK64" s="411">
        <f>SUMIFS('LAC 102_Wkst'!$AE$7:$AE$2010,'LAC 102_Wkst'!$E$7:$E$2010,$C64,'LAC 102_Wkst'!$G$7:$G$2010,$D64,'LAC 102_Wkst'!$L$7:$L$2010,"08",'LAC 102_Wkst'!$N$7:$N$2010,"P5")</f>
        <v>0</v>
      </c>
      <c r="AL64" s="410">
        <f>SUMIFS('LAC 102_Wkst'!$Q$7:$Q$2010,'LAC 102_Wkst'!$E$7:$E$2010,$C64,'LAC 102_Wkst'!$G$7:$G$2010,$D64,'LAC 102_Wkst'!$L$7:$L$2010,"09",'LAC 102_Wkst'!$N$7:$N$2010,"P1")+SUMIFS('LAC 102_Wkst'!$Q$7:$Q$2010,'LAC 102_Wkst'!$E$7:$E$2010,$C64,'LAC 102_Wkst'!$G$7:$G$2010,$D64,'LAC 102_Wkst'!$L$7:$L$2010,"09",'LAC 102_Wkst'!$N$7:$N$2010,"P2")+SUMIFS('LAC 102_Wkst'!$Q$7:$Q$2010,'LAC 102_Wkst'!$E$7:$E$2010,$C64,'LAC 102_Wkst'!$G$7:$G$2010,$D64,'LAC 102_Wkst'!$L$7:$L$2010,"09",'LAC 102_Wkst'!$N$7:$N$2010,"P3")+SUMIFS('LAC 102_Wkst'!$Q$7:$Q$2010,'LAC 102_Wkst'!$E$7:$E$2010,$C64,'LAC 102_Wkst'!$G$7:$G$2010,$D64,'LAC 102_Wkst'!$L$7:$L$2010,"09",'LAC 102_Wkst'!$N$7:$N$2010,"P4")</f>
        <v>0</v>
      </c>
      <c r="AM64" s="411">
        <f>SUMIFS('LAC 102_Wkst'!$AE$7:$AE$2010,'LAC 102_Wkst'!$E$7:$E$2010,$C64,'LAC 102_Wkst'!$G$7:$G$2010,$D64,'LAC 102_Wkst'!$L$7:$L$2010,"09",'LAC 102_Wkst'!$N$7:$N$2010,"P1")+SUMIFS('LAC 102_Wkst'!$AE$7:$AE$2010,'LAC 102_Wkst'!$E$7:$E$2010,$C64,'LAC 102_Wkst'!$G$7:$G$2010,$D64,'LAC 102_Wkst'!$L$7:$L$2010,"09",'LAC 102_Wkst'!$N$7:$N$2010,"P2")+SUMIFS('LAC 102_Wkst'!$AE$7:$AE$2010,'LAC 102_Wkst'!$E$7:$E$2010,$C64,'LAC 102_Wkst'!$G$7:$G$2010,$D64,'LAC 102_Wkst'!$L$7:$L$2010,"09",'LAC 102_Wkst'!$N$7:$N$2010,"P3")+SUMIFS('LAC 102_Wkst'!$AE$7:$AE$2010,'LAC 102_Wkst'!$E$7:$E$2010,$C64,'LAC 102_Wkst'!$G$7:$G$2010,$D64,'LAC 102_Wkst'!$L$7:$L$2010,"09",'LAC 102_Wkst'!$N$7:$N$2010,"P4")</f>
        <v>0</v>
      </c>
      <c r="AN64" s="410">
        <f>SUMIFS('LAC 102_Wkst'!$Q$7:$Q$2010,'LAC 102_Wkst'!$E$7:$E$2010,$C64,'LAC 102_Wkst'!$G$7:$G$2010,$D64,'LAC 102_Wkst'!$L$7:$L$2010,"09",'LAC 102_Wkst'!$N$7:$N$2010,"P5")</f>
        <v>0</v>
      </c>
      <c r="AO64" s="411">
        <f>SUMIFS('LAC 102_Wkst'!$AE$7:$AE$2010,'LAC 102_Wkst'!$E$7:$E$2010,$C64,'LAC 102_Wkst'!$G$7:$G$2010,$D64,'LAC 102_Wkst'!$L$7:$L$2010,"09",'LAC 102_Wkst'!$N$7:$N$2010,"P5")</f>
        <v>0</v>
      </c>
      <c r="AP64" s="410">
        <f>SUMIFS('LAC 102_Wkst'!$Q$7:$Q$2010,'LAC 102_Wkst'!$E$7:$E$2010,$C64,'LAC 102_Wkst'!$G$7:$G$2010,$D64,'LAC 102_Wkst'!$L$7:$L$2010,"10",'LAC 102_Wkst'!$N$7:$N$2010,"P1")+SUMIFS('LAC 102_Wkst'!$Q$7:$Q$2010,'LAC 102_Wkst'!$E$7:$E$2010,$C64,'LAC 102_Wkst'!$G$7:$G$2010,$D64,'LAC 102_Wkst'!$L$7:$L$2010,"10",'LAC 102_Wkst'!$N$7:$N$2010,"P2")+SUMIFS('LAC 102_Wkst'!$Q$7:$Q$2010,'LAC 102_Wkst'!$E$7:$E$2010,$C64,'LAC 102_Wkst'!$G$7:$G$2010,$D64,'LAC 102_Wkst'!$L$7:$L$2010,"10",'LAC 102_Wkst'!$N$7:$N$2010,"P3")+SUMIFS('LAC 102_Wkst'!$Q$7:$Q$2010,'LAC 102_Wkst'!$E$7:$E$2010,$C64,'LAC 102_Wkst'!$G$7:$G$2010,$D64,'LAC 102_Wkst'!$L$7:$L$2010,"10",'LAC 102_Wkst'!$N$7:$N$2010,"P4")</f>
        <v>0</v>
      </c>
      <c r="AQ64" s="411">
        <f>SUMIFS('LAC 102_Wkst'!$AE$7:$AE$2010,'LAC 102_Wkst'!$E$7:$E$2010,$C64,'LAC 102_Wkst'!$G$7:$G$2010,$D64,'LAC 102_Wkst'!$L$7:$L$2010,"10",'LAC 102_Wkst'!$N$7:$N$2010,"P1")+SUMIFS('LAC 102_Wkst'!$AE$7:$AE$2010,'LAC 102_Wkst'!$E$7:$E$2010,$C64,'LAC 102_Wkst'!$G$7:$G$2010,$D64,'LAC 102_Wkst'!$L$7:$L$2010,"10",'LAC 102_Wkst'!$N$7:$N$2010,"P2")+SUMIFS('LAC 102_Wkst'!$AE$7:$AE$2010,'LAC 102_Wkst'!$E$7:$E$2010,$C64,'LAC 102_Wkst'!$G$7:$G$2010,$D64,'LAC 102_Wkst'!$L$7:$L$2010,"10",'LAC 102_Wkst'!$N$7:$N$2010,"P3")+SUMIFS('LAC 102_Wkst'!$AE$7:$AE$2010,'LAC 102_Wkst'!$E$7:$E$2010,$C64,'LAC 102_Wkst'!$G$7:$G$2010,$D64,'LAC 102_Wkst'!$L$7:$L$2010,"10",'LAC 102_Wkst'!$N$7:$N$2010,"P4")</f>
        <v>0</v>
      </c>
      <c r="AR64" s="410">
        <f>SUMIFS('LAC 102_Wkst'!$Q$7:$Q$2010,'LAC 102_Wkst'!$E$7:$E$2010,$C64,'LAC 102_Wkst'!$G$7:$G$2010,$D64,'LAC 102_Wkst'!$L$7:$L$2010,"10",'LAC 102_Wkst'!$N$7:$N$2010,"P5")</f>
        <v>0</v>
      </c>
      <c r="AS64" s="411">
        <f>SUMIFS('LAC 102_Wkst'!$AE$7:$AE$2010,'LAC 102_Wkst'!$E$7:$E$2010,$C64,'LAC 102_Wkst'!$G$7:$G$2010,$D64,'LAC 102_Wkst'!$L$7:$L$2010,"10",'LAC 102_Wkst'!$N$7:$N$2010,"P5")</f>
        <v>0</v>
      </c>
      <c r="AT64" s="410">
        <f>SUMIFS('LAC 102_Wkst'!$Q$7:$Q$2010,'LAC 102_Wkst'!$E$7:$E$2010,$C64,'LAC 102_Wkst'!$G$7:$G$2010,$D64,'LAC 102_Wkst'!$L$7:$L$2010,"11",'LAC 102_Wkst'!$N$7:$N$2010,"P1")+SUMIFS('LAC 102_Wkst'!$Q$7:$Q$2010,'LAC 102_Wkst'!$E$7:$E$2010,$C64,'LAC 102_Wkst'!$G$7:$G$2010,$D64,'LAC 102_Wkst'!$L$7:$L$2010,"12",'LAC 102_Wkst'!$N$7:$N$2010,"P1")</f>
        <v>0</v>
      </c>
      <c r="AU64" s="411">
        <f>SUMIFS('LAC 102_Wkst'!$AE$7:$AE$2010,'LAC 102_Wkst'!$E$7:$E$2010,$C64,'LAC 102_Wkst'!$G$7:$G$2010,$D64,'LAC 102_Wkst'!$L$7:$L$2010,"11",'LAC 102_Wkst'!$N$7:$N$2010,"P1")+SUMIFS('LAC 102_Wkst'!$AE$7:$AE$2010,'LAC 102_Wkst'!$E$7:$E$2010,$C64,'LAC 102_Wkst'!$G$7:$G$2010,$D64,'LAC 102_Wkst'!$L$7:$L$2010,"12",'LAC 102_Wkst'!$N$7:$N$2010,"P1")</f>
        <v>0</v>
      </c>
      <c r="AV64" s="410">
        <f>SUMIFS('LAC 102_Wkst'!$Q$7:$Q$2010,'LAC 102_Wkst'!$E$7:$E$2010,$C64,'LAC 102_Wkst'!$G$7:$G$2010,$D64,'LAC 102_Wkst'!$L$7:$L$2010,"11",'LAC 102_Wkst'!$N$7:$N$2010,"P2")+SUMIFS('LAC 102_Wkst'!$Q$7:$Q$2010,'LAC 102_Wkst'!$E$7:$E$2010,$C64,'LAC 102_Wkst'!$G$7:$G$2010,$D64,'LAC 102_Wkst'!$L$7:$L$2010,"12",'LAC 102_Wkst'!$N$7:$N$2010,"P3")+SUMIFS('LAC 102_Wkst'!$Q$7:$Q$2010,'LAC 102_Wkst'!$E$7:$E$2010,$C64,'LAC 102_Wkst'!$G$7:$G$2010,$D64,'LAC 102_Wkst'!$L$7:$L$2010,"11",'LAC 102_Wkst'!$N$7:$N$2010,"P2")+SUMIFS('LAC 102_Wkst'!$Q$7:$Q$2010,'LAC 102_Wkst'!$E$7:$E$2010,$C64,'LAC 102_Wkst'!$G$7:$G$2010,$D64,'LAC 102_Wkst'!$L$7:$L$2010,"12",'LAC 102_Wkst'!$N$7:$N$2010,"P3")</f>
        <v>0</v>
      </c>
      <c r="AW64" s="411">
        <f>SUMIFS('LAC 102_Wkst'!$AE$7:$AE$2010,'LAC 102_Wkst'!$E$7:$E$2010,$C64,'LAC 102_Wkst'!$G$7:$G$2010,$D64,'LAC 102_Wkst'!$L$7:$L$2010,"11",'LAC 102_Wkst'!$N$7:$N$2010,"P2")+SUMIFS('LAC 102_Wkst'!$AE$7:$AE$2010,'LAC 102_Wkst'!$E$7:$E$2010,$C64,'LAC 102_Wkst'!$G$7:$G$2010,$D64,'LAC 102_Wkst'!$L$7:$L$2010,"12",'LAC 102_Wkst'!$N$7:$N$2010,"P3")+SUMIFS('LAC 102_Wkst'!$AE$7:$AE$2010,'LAC 102_Wkst'!$E$7:$E$2010,$C64,'LAC 102_Wkst'!$G$7:$G$2010,$D64,'LAC 102_Wkst'!$L$7:$L$2010,"11",'LAC 102_Wkst'!$N$7:$N$2010,"P2")+SUMIFS('LAC 102_Wkst'!$AE$7:$AE$2010,'LAC 102_Wkst'!$E$7:$E$2010,$C64,'LAC 102_Wkst'!$G$7:$G$2010,$D64,'LAC 102_Wkst'!$L$7:$L$2010,"12",'LAC 102_Wkst'!$N$7:$N$2010,"P3")</f>
        <v>0</v>
      </c>
      <c r="AX64" s="410">
        <f>SUMIFS('LAC 102_Wkst'!$Q$7:$Q$2010,'LAC 102_Wkst'!$E$7:$E$2010,$C64,'LAC 102_Wkst'!$G$7:$G$2010,$D64,'LAC 102_Wkst'!$L$7:$L$2010,"11",'LAC 102_Wkst'!$N$7:$N$2010,"P4")+SUMIFS('LAC 102_Wkst'!$Q$7:$Q$2010,'LAC 102_Wkst'!$E$7:$E$2010,$C64,'LAC 102_Wkst'!$G$7:$G$2010,$D64,'LAC 102_Wkst'!$L$7:$L$2010,"12",'LAC 102_Wkst'!$N$7:$N$2010,"P4")</f>
        <v>0</v>
      </c>
      <c r="AY64" s="411">
        <f>SUMIFS('LAC 102_Wkst'!$AE$7:$AE$2010,'LAC 102_Wkst'!$E$7:$E$2010,$C64,'LAC 102_Wkst'!$G$7:$G$2010,$D64,'LAC 102_Wkst'!$L$7:$L$2010,"11",'LAC 102_Wkst'!$N$7:$N$2010,"P4")+SUMIFS('LAC 102_Wkst'!$AE$7:$AE$2010,'LAC 102_Wkst'!$E$7:$E$2010,$C64,'LAC 102_Wkst'!$G$7:$G$2010,$D64,'LAC 102_Wkst'!$L$7:$L$2010,"12",'LAC 102_Wkst'!$N$7:$N$2010,"P4")</f>
        <v>0</v>
      </c>
      <c r="AZ64" s="410">
        <f>SUMIFS('LAC 102_Wkst'!$Q$7:$Q$2010,'LAC 102_Wkst'!$E$7:$E$2010,$C64,'LAC 102_Wkst'!$G$7:$G$2010,$D64,'LAC 102_Wkst'!$L$7:$L$2010,"11",'LAC 102_Wkst'!$N$7:$N$2010,"P5")+SUMIFS('LAC 102_Wkst'!$Q$7:$Q$2010,'LAC 102_Wkst'!$E$7:$E$2010,$C64,'LAC 102_Wkst'!$G$7:$G$2010,$D64,'LAC 102_Wkst'!$L$7:$L$2010,"12",'LAC 102_Wkst'!$N$7:$N$2010,"P5")</f>
        <v>0</v>
      </c>
      <c r="BA64" s="411">
        <f>SUMIFS('LAC 102_Wkst'!$AE$7:$AE$2010,'LAC 102_Wkst'!$E$7:$E$2010,$C64,'LAC 102_Wkst'!$G$7:$G$2010,$D64,'LAC 102_Wkst'!$L$7:$L$2010,"11",'LAC 102_Wkst'!$N$7:$N$2010,"P5")+SUMIFS('LAC 102_Wkst'!$AE$7:$AE$2010,'LAC 102_Wkst'!$E$7:$E$2010,$C64,'LAC 102_Wkst'!$G$7:$G$2010,$D64,'LAC 102_Wkst'!$L$7:$L$2010,"12",'LAC 102_Wkst'!$N$7:$N$2010,"P5")</f>
        <v>0</v>
      </c>
      <c r="BB64" s="410">
        <f>SUMIFS('LAC 102_Wkst'!$Q$7:$Q$2010,'LAC 102_Wkst'!$E$7:$E$2010,$C64,'LAC 102_Wkst'!$G$7:$G$2010,$D64,'LAC 102_Wkst'!$L$7:$L$2010,"13",'LAC 102_Wkst'!$N$7:$N$2010,"P1")+SUMIFS('LAC 102_Wkst'!$Q$7:$Q$2010,'LAC 102_Wkst'!$E$7:$E$2010,$C64,'LAC 102_Wkst'!$G$7:$G$2010,$D64,'LAC 102_Wkst'!$L$7:$L$2010,"13",'LAC 102_Wkst'!$N$7:$N$2010,"P2")+SUMIFS('LAC 102_Wkst'!$Q$7:$Q$2010,'LAC 102_Wkst'!$E$7:$E$2010,$C64,'LAC 102_Wkst'!$G$7:$G$2010,$D64,'LAC 102_Wkst'!$L$7:$L$2010,"13",'LAC 102_Wkst'!$N$7:$N$2010,"P3")+SUMIFS('LAC 102_Wkst'!$Q$7:$Q$2010,'LAC 102_Wkst'!$E$7:$E$2010,$C64,'LAC 102_Wkst'!$G$7:$G$2010,$D64,'LAC 102_Wkst'!$L$7:$L$2010,"13",'LAC 102_Wkst'!$N$7:$N$2010,"P4")</f>
        <v>0</v>
      </c>
      <c r="BC64" s="411">
        <f>SUMIFS('LAC 102_Wkst'!$AE$7:$AE$2010,'LAC 102_Wkst'!$E$7:$E$2010,$C64,'LAC 102_Wkst'!$G$7:$G$2010,$D64,'LAC 102_Wkst'!$L$7:$L$2010,"13",'LAC 102_Wkst'!$N$7:$N$2010,"P1")+SUMIFS('LAC 102_Wkst'!$AE$7:$AE$2010,'LAC 102_Wkst'!$E$7:$E$2010,$C64,'LAC 102_Wkst'!$G$7:$G$2010,$D64,'LAC 102_Wkst'!$L$7:$L$2010,"13",'LAC 102_Wkst'!$N$7:$N$2010,"P2")+SUMIFS('LAC 102_Wkst'!$AE$7:$AE$2010,'LAC 102_Wkst'!$E$7:$E$2010,$C64,'LAC 102_Wkst'!$G$7:$G$2010,$D64,'LAC 102_Wkst'!$L$7:$L$2010,"13",'LAC 102_Wkst'!$N$7:$N$2010,"P3")+SUMIFS('LAC 102_Wkst'!$AE$7:$AE$2010,'LAC 102_Wkst'!$E$7:$E$2010,$C64,'LAC 102_Wkst'!$G$7:$G$2010,$D64,'LAC 102_Wkst'!$L$7:$L$2010,"13",'LAC 102_Wkst'!$N$7:$N$2010,"P4")</f>
        <v>0</v>
      </c>
      <c r="BD64" s="410">
        <f>SUMIFS('LAC 102_Wkst'!$Q$7:$Q$2010,'LAC 102_Wkst'!$E$7:$E$2010,$C64,'LAC 102_Wkst'!$G$7:$G$2010,$D64,'LAC 102_Wkst'!$L$7:$L$2010,"13",'LAC 102_Wkst'!$N$7:$N$2010,"P5")</f>
        <v>0</v>
      </c>
      <c r="BE64" s="411">
        <f>SUMIFS('LAC 102_Wkst'!$AE$7:$AE$2010,'LAC 102_Wkst'!$E$7:$E$2010,$C64,'LAC 102_Wkst'!$G$7:$G$2010,$D64,'LAC 102_Wkst'!$L$7:$L$2010,"13",'LAC 102_Wkst'!$N$7:$N$2010,"P5")</f>
        <v>0</v>
      </c>
      <c r="BF64" s="407">
        <f t="shared" si="0"/>
        <v>0</v>
      </c>
    </row>
    <row r="65" spans="1:58" x14ac:dyDescent="0.2">
      <c r="A65" s="401">
        <v>46</v>
      </c>
      <c r="B65" s="1236"/>
      <c r="C65" s="1235"/>
      <c r="D65" s="1237"/>
      <c r="E65" s="1222">
        <f>IF(CONCATENATE(C65,D65)&gt;"6069",1,SUMIFS('LAC 102_Wkst'!$Q$7:$Q$2010,'LAC 102_Wkst'!$E$7:$E$2010,Schedule_B!$C65,'LAC 102_Wkst'!$G$7:$G$2010,Schedule_B!$D65))</f>
        <v>0</v>
      </c>
      <c r="F65" s="408">
        <f>SUMIFS('LAC 102_Wkst'!$Q$7:$Q$2010,'LAC 102_Wkst'!$E$7:$E$2010,$C65,'LAC 102_Wkst'!$G$7:$G$2010,$D65,'LAC 102_Wkst'!$L$7:$L$2010,"01",'LAC 102_Wkst'!$N$7:$N$2010,"P1")+SUMIFS('LAC 102_Wkst'!$Q$7:$Q$2010,'LAC 102_Wkst'!$E$7:$E$2010,$C65,'LAC 102_Wkst'!$G$7:$G$2010,$D65,'LAC 102_Wkst'!$L$7:$L$2010,"01",'LAC 102_Wkst'!$N$7:$N$2010,"P2")+SUMIFS('LAC 102_Wkst'!$Q$7:$Q$2010,'LAC 102_Wkst'!$E$7:$E$2010,$C65,'LAC 102_Wkst'!$G$7:$G$2010,$D65,'LAC 102_Wkst'!$L$7:$L$2010,"01",'LAC 102_Wkst'!$N$7:$N$2010,"P3")+SUMIFS('LAC 102_Wkst'!$Q$7:$Q$2010,'LAC 102_Wkst'!$E$7:$E$2010,$C65,'LAC 102_Wkst'!$G$7:$G$2010,$D65,'LAC 102_Wkst'!$L$7:$L$2010,"02",'LAC 102_Wkst'!$N$7:$N$2010,"P1")+SUMIFS('LAC 102_Wkst'!$Q$7:$Q$2010,'LAC 102_Wkst'!$E$7:$E$2010,$C65,'LAC 102_Wkst'!$G$7:$G$2010,$D65,'LAC 102_Wkst'!$L$7:$L$2010,"02",'LAC 102_Wkst'!$N$7:$N$2010,"P2")+SUMIFS('LAC 102_Wkst'!$Q$7:$Q$2010,'LAC 102_Wkst'!$E$7:$E$2010,$C65,'LAC 102_Wkst'!$G$7:$G$2010,$D65,'LAC 102_Wkst'!$L$7:$L$2010,"02",'LAC 102_Wkst'!$N$7:$N$2010,"P3")</f>
        <v>0</v>
      </c>
      <c r="G65" s="409">
        <f>SUMIFS('LAC 102_Wkst'!$AE$7:$AE$2010,'LAC 102_Wkst'!$E$7:$E$2010,$C65,'LAC 102_Wkst'!$G$7:$G$2010,$D65,'LAC 102_Wkst'!$L$7:$L$2010,"01",'LAC 102_Wkst'!$N$7:$N$2010,"P1")+SUMIFS('LAC 102_Wkst'!$AE$7:$AE$2010,'LAC 102_Wkst'!$E$7:$E$2010,$C65,'LAC 102_Wkst'!$G$7:$G$2010,$D65,'LAC 102_Wkst'!$L$7:$L$2010,"01",'LAC 102_Wkst'!$N$7:$N$2010,"P2")+SUMIFS('LAC 102_Wkst'!$AE$7:$AE$2010,'LAC 102_Wkst'!$E$7:$E$2010,$C65,'LAC 102_Wkst'!$G$7:$G$2010,$D65,'LAC 102_Wkst'!$L$7:$L$2010,"01",'LAC 102_Wkst'!$N$7:$N$2010,"P3")+SUMIFS('LAC 102_Wkst'!$AE$7:$AE$2010,'LAC 102_Wkst'!$E$7:$E$2010,$C65,'LAC 102_Wkst'!$G$7:$G$2010,$D65,'LAC 102_Wkst'!$L$7:$L$2010,"02",'LAC 102_Wkst'!$N$7:$N$2010,"P1")+SUMIFS('LAC 102_Wkst'!$AE$7:$AE$2010,'LAC 102_Wkst'!$E$7:$E$2010,$C65,'LAC 102_Wkst'!$G$7:$G$2010,$D65,'LAC 102_Wkst'!$L$7:$L$2010,"02",'LAC 102_Wkst'!$N$7:$N$2010,"P2")+SUMIFS('LAC 102_Wkst'!$AE$7:$AE$2010,'LAC 102_Wkst'!$E$7:$E$2010,$C65,'LAC 102_Wkst'!$G$7:$G$2010,$D65,'LAC 102_Wkst'!$L$7:$L$2010,"02",'LAC 102_Wkst'!$N$7:$N$2010,"P3")</f>
        <v>0</v>
      </c>
      <c r="H65" s="410">
        <f>SUMIFS('LAC 102_Wkst'!$Q$7:$Q$2010,'LAC 102_Wkst'!$E$7:$E$2010,$C65,'LAC 102_Wkst'!$G$7:$G$2010,$D65,'LAC 102_Wkst'!$L$7:$L$2010,"01",'LAC 102_Wkst'!$N$7:$N$2010,"P4")+SUMIFS('LAC 102_Wkst'!$Q$7:$Q$2010,'LAC 102_Wkst'!$E$7:$E$2010,$C65,'LAC 102_Wkst'!$G$7:$G$2010,$D65,'LAC 102_Wkst'!$L$7:$L$2010,"02",'LAC 102_Wkst'!$N$7:$N$2010,"P4")</f>
        <v>0</v>
      </c>
      <c r="I65" s="411">
        <f>SUMIFS('LAC 102_Wkst'!$AE$7:$AE$2010,'LAC 102_Wkst'!$E$7:$E$2010,$C65,'LAC 102_Wkst'!$G$7:$G$2010,$D65,'LAC 102_Wkst'!$L$7:$L$2010,"01",'LAC 102_Wkst'!$N$7:$N$2010,"P4")+SUMIFS('LAC 102_Wkst'!$AE$7:$AE$2010,'LAC 102_Wkst'!$E$7:$E$2010,$C65,'LAC 102_Wkst'!$G$7:$G$2010,$D65,'LAC 102_Wkst'!$L$7:$L$2010,"02",'LAC 102_Wkst'!$N$7:$N$2010,"P4")</f>
        <v>0</v>
      </c>
      <c r="J65" s="410">
        <f>SUMIFS('LAC 102_Wkst'!$Q$7:$Q$2010,'LAC 102_Wkst'!$E$7:$E$2010,$C65,'LAC 102_Wkst'!$G$7:$G$2010,$D65,'LAC 102_Wkst'!$L$7:$L$2010,"01",'LAC 102_Wkst'!$N$7:$N$2010,"P5")+SUMIFS('LAC 102_Wkst'!$Q$7:$Q$2010,'LAC 102_Wkst'!$E$7:$E$2010,$C65,'LAC 102_Wkst'!$G$7:$G$2010,$D65,'LAC 102_Wkst'!$L$7:$L$2010,"02",'LAC 102_Wkst'!$N$7:$N$2010,"P5")</f>
        <v>0</v>
      </c>
      <c r="K65" s="411">
        <f>SUMIFS('LAC 102_Wkst'!$AE$7:$AE$2010,'LAC 102_Wkst'!$E$7:$E$2010,$C65,'LAC 102_Wkst'!$G$7:$G$2010,$D65,'LAC 102_Wkst'!$L$7:$L$2010,"01",'LAC 102_Wkst'!$N$7:$N$2010,"P5")+SUMIFS('LAC 102_Wkst'!$AE$7:$AE$2010,'LAC 102_Wkst'!$E$7:$E$2010,$C65,'LAC 102_Wkst'!$G$7:$G$2010,$D65,'LAC 102_Wkst'!$L$7:$L$2010,"02",'LAC 102_Wkst'!$N$7:$N$2010,"P5")</f>
        <v>0</v>
      </c>
      <c r="L65" s="410">
        <f>SUMIFS('LAC 102_Wkst'!$Q$7:$Q$2010,'LAC 102_Wkst'!$E$7:$E$2010,$C65,'LAC 102_Wkst'!$G$7:$G$2010,$D65,'LAC 102_Wkst'!$L$7:$L$2010,"03",'LAC 102_Wkst'!$N$7:$N$2010,"P1")+SUMIFS('LAC 102_Wkst'!$Q$7:$Q$2010,'LAC 102_Wkst'!$E$7:$E$2010,$C65,'LAC 102_Wkst'!$G$7:$G$2010,$D65,'LAC 102_Wkst'!$L$7:$L$2010,"03",'LAC 102_Wkst'!$N$7:$N$2010,"P2")+SUMIFS('LAC 102_Wkst'!$Q$7:$Q$2010,'LAC 102_Wkst'!$E$7:$E$2010,$C65,'LAC 102_Wkst'!$G$7:$G$2010,$D65,'LAC 102_Wkst'!$L$7:$L$2010,"03",'LAC 102_Wkst'!$N$7:$N$2010,"P3")+SUMIFS('LAC 102_Wkst'!$Q$7:$Q$2010,'LAC 102_Wkst'!$E$7:$E$2010,$C65,'LAC 102_Wkst'!$G$7:$G$2010,$D65,'LAC 102_Wkst'!$L$7:$L$2010,"04",'LAC 102_Wkst'!$N$7:$N$2010,"P1")+SUMIFS('LAC 102_Wkst'!$Q$7:$Q$2010,'LAC 102_Wkst'!$E$7:$E$2010,$C65,'LAC 102_Wkst'!$G$7:$G$2010,$D65,'LAC 102_Wkst'!$L$7:$L$2010,"04",'LAC 102_Wkst'!$N$7:$N$2010,"P2")+SUMIFS('LAC 102_Wkst'!$Q$7:$Q$2010,'LAC 102_Wkst'!$E$7:$E$2010,$C65,'LAC 102_Wkst'!$G$7:$G$2010,$D65,'LAC 102_Wkst'!$L$7:$L$2010,"04",'LAC 102_Wkst'!$N$7:$N$2010,"P3")</f>
        <v>0</v>
      </c>
      <c r="M65" s="411">
        <f>SUMIFS('LAC 102_Wkst'!$AE$7:$AE$2010,'LAC 102_Wkst'!$E$7:$E$2010,$C65,'LAC 102_Wkst'!$G$7:$G$2010,$D65,'LAC 102_Wkst'!$L$7:$L$2010,"03",'LAC 102_Wkst'!$N$7:$N$2010,"P1")+SUMIFS('LAC 102_Wkst'!$AE$7:$AE$2010,'LAC 102_Wkst'!$E$7:$E$2010,$C65,'LAC 102_Wkst'!$G$7:$G$2010,$D65,'LAC 102_Wkst'!$L$7:$L$2010,"03",'LAC 102_Wkst'!$N$7:$N$2010,"P2")+SUMIFS('LAC 102_Wkst'!$AE$7:$AE$2010,'LAC 102_Wkst'!$E$7:$E$2010,$C65,'LAC 102_Wkst'!$G$7:$G$2010,$D65,'LAC 102_Wkst'!$L$7:$L$2010,"03",'LAC 102_Wkst'!$N$7:$N$2010,"P3")+SUMIFS('LAC 102_Wkst'!$AE$7:$AE$2010,'LAC 102_Wkst'!$E$7:$E$2010,$C65,'LAC 102_Wkst'!$G$7:$G$2010,$D65,'LAC 102_Wkst'!$L$7:$L$2010,"04",'LAC 102_Wkst'!$N$7:$N$2010,"P1")+SUMIFS('LAC 102_Wkst'!$AE$7:$AE$2010,'LAC 102_Wkst'!$E$7:$E$2010,$C65,'LAC 102_Wkst'!$G$7:$G$2010,$D65,'LAC 102_Wkst'!$L$7:$L$2010,"04",'LAC 102_Wkst'!$N$7:$N$2010,"P2")+SUMIFS('LAC 102_Wkst'!$AE$7:$AE$2010,'LAC 102_Wkst'!$E$7:$E$2010,$C65,'LAC 102_Wkst'!$G$7:$G$2010,$D65,'LAC 102_Wkst'!$L$7:$L$2010,"04",'LAC 102_Wkst'!$N$7:$N$2010,"P3")</f>
        <v>0</v>
      </c>
      <c r="N65" s="410">
        <f>SUMIFS('LAC 102_Wkst'!$Q$7:$Q$2010,'LAC 102_Wkst'!$E$7:$E$2010,$C65,'LAC 102_Wkst'!$G$7:$G$2010,$D65,'LAC 102_Wkst'!$L$7:$L$2010,"03",'LAC 102_Wkst'!$N$7:$N$2010,"P4")+SUMIFS('LAC 102_Wkst'!$Q$7:$Q$2010,'LAC 102_Wkst'!$E$7:$E$2010,$C65,'LAC 102_Wkst'!$G$7:$G$2010,$D65,'LAC 102_Wkst'!$L$7:$L$2010,"04",'LAC 102_Wkst'!$N$7:$N$2010,"P4")</f>
        <v>0</v>
      </c>
      <c r="O65" s="411">
        <f>SUMIFS('LAC 102_Wkst'!$AE$7:$AE$2010,'LAC 102_Wkst'!$E$7:$E$2010,$C65,'LAC 102_Wkst'!$G$7:$G$2010,$D65,'LAC 102_Wkst'!$L$7:$L$2010,"03",'LAC 102_Wkst'!$N$7:$N$2010,"P4")+SUMIFS('LAC 102_Wkst'!$AE$7:$AE$2010,'LAC 102_Wkst'!$E$7:$E$2010,$C65,'LAC 102_Wkst'!$G$7:$G$2010,$D65,'LAC 102_Wkst'!$L$7:$L$2010,"04",'LAC 102_Wkst'!$N$7:$N$2010,"P4")</f>
        <v>0</v>
      </c>
      <c r="P65" s="410">
        <f>SUMIFS('LAC 102_Wkst'!$Q$7:$Q$2010,'LAC 102_Wkst'!$E$7:$E$2010,$C65,'LAC 102_Wkst'!$G$7:$G$2010,$D65,'LAC 102_Wkst'!$L$7:$L$2010,"03",'LAC 102_Wkst'!$N$7:$N$2010,"P5")+SUMIFS('LAC 102_Wkst'!$Q$7:$Q$2010,'LAC 102_Wkst'!$E$7:$E$2010,$C65,'LAC 102_Wkst'!$G$7:$G$2010,$D65,'LAC 102_Wkst'!$L$7:$L$2010,"04",'LAC 102_Wkst'!$N$7:$N$2010,"P5")</f>
        <v>0</v>
      </c>
      <c r="Q65" s="411">
        <f>SUMIFS('LAC 102_Wkst'!$AE$7:$AE$2010,'LAC 102_Wkst'!$E$7:$E$2010,$C65,'LAC 102_Wkst'!$G$7:$G$2010,$D65,'LAC 102_Wkst'!$L$7:$L$2010,"03",'LAC 102_Wkst'!$N$7:$N$2010,"P5")+SUMIFS('LAC 102_Wkst'!$AE$7:$AE$2010,'LAC 102_Wkst'!$E$7:$E$2010,$C65,'LAC 102_Wkst'!$G$7:$G$2010,$D65,'LAC 102_Wkst'!$L$7:$L$2010,"04",'LAC 102_Wkst'!$N$7:$N$2010,"P5")</f>
        <v>0</v>
      </c>
      <c r="R65" s="412">
        <f>SUMIFS('LAC 102_Wkst'!$Q$7:$Q$2010,'LAC 102_Wkst'!$E$7:$E$2010,$C65,'LAC 102_Wkst'!$G$7:$G$2010,$D65,'LAC 102_Wkst'!$L$7:$L$2010,"05",'LAC 102_Wkst'!$N$7:$N$2010,"P1")+SUMIFS('LAC 102_Wkst'!$Q$7:$Q$2010,'LAC 102_Wkst'!$E$7:$E$2010,$C65,'LAC 102_Wkst'!$G$7:$G$2010,$D65,'LAC 102_Wkst'!$L$7:$L$2010,"06",'LAC 102_Wkst'!$N$7:$N$2010,"P1")</f>
        <v>0</v>
      </c>
      <c r="S65" s="411">
        <f>SUMIFS('LAC 102_Wkst'!$AE$7:$AE$2010,'LAC 102_Wkst'!$E$7:$E$2010,$C65,'LAC 102_Wkst'!$G$7:$G$2010,$D65,'LAC 102_Wkst'!$L$7:$L$2010,"05",'LAC 102_Wkst'!$N$7:$N$2010,"P1")+SUMIFS('LAC 102_Wkst'!$AE$7:$AE$2010,'LAC 102_Wkst'!$E$7:$E$2010,$C65,'LAC 102_Wkst'!$G$7:$G$2010,$D65,'LAC 102_Wkst'!$L$7:$L$2010,"06",'LAC 102_Wkst'!$N$7:$N$2010,"P1")</f>
        <v>0</v>
      </c>
      <c r="T65" s="410">
        <f>SUMIFS('LAC 102_Wkst'!$Q$7:$Q$2010,'LAC 102_Wkst'!$E$7:$E$2010,$C65,'LAC 102_Wkst'!$G$7:$G$2010,$D65,'LAC 102_Wkst'!$L$7:$L$2010,"05",'LAC 102_Wkst'!$N$7:$N$2010,"P2")+SUMIFS('LAC 102_Wkst'!$Q$7:$Q$2010,'LAC 102_Wkst'!$E$7:$E$2010,$C65,'LAC 102_Wkst'!$G$7:$G$2010,$D65,'LAC 102_Wkst'!$L$7:$L$2010,"05",'LAC 102_Wkst'!$N$7:$N$2010,"P3")+SUMIFS('LAC 102_Wkst'!$Q$7:$Q$2010,'LAC 102_Wkst'!$E$7:$E$2010,$C65,'LAC 102_Wkst'!$G$7:$G$2010,$D65,'LAC 102_Wkst'!$L$7:$L$2010,"06",'LAC 102_Wkst'!$N$7:$N$2010,"P2")+SUMIFS('LAC 102_Wkst'!$Q$7:$Q$2010,'LAC 102_Wkst'!$E$7:$E$2010,$C65,'LAC 102_Wkst'!$G$7:$G$2010,$D65,'LAC 102_Wkst'!$L$7:$L$2010,"06",'LAC 102_Wkst'!$N$7:$N$2010,"P3")</f>
        <v>0</v>
      </c>
      <c r="U65" s="411">
        <f>SUMIFS('LAC 102_Wkst'!$AE$7:$AE$2010,'LAC 102_Wkst'!$E$7:$E$2010,$C65,'LAC 102_Wkst'!$G$7:$G$2010,$D65,'LAC 102_Wkst'!$L$7:$L$2010,"05",'LAC 102_Wkst'!$N$7:$N$2010,"P2")+SUMIFS('LAC 102_Wkst'!$AE$7:$AE$2010,'LAC 102_Wkst'!$E$7:$E$2010,$C65,'LAC 102_Wkst'!$G$7:$G$2010,$D65,'LAC 102_Wkst'!$L$7:$L$2010,"06",'LAC 102_Wkst'!$N$7:$N$2010,"P3")+SUMIFS('LAC 102_Wkst'!$AE$7:$AE$2010,'LAC 102_Wkst'!$E$7:$E$2010,$C65,'LAC 102_Wkst'!$G$7:$G$2010,$D65,'LAC 102_Wkst'!$L$7:$L$2010,"05",'LAC 102_Wkst'!$N$7:$N$2010,"P2")+SUMIFS('LAC 102_Wkst'!$AE$7:$AE$2010,'LAC 102_Wkst'!$E$7:$E$2010,$C65,'LAC 102_Wkst'!$G$7:$G$2010,$D65,'LAC 102_Wkst'!$L$7:$L$2010,"06",'LAC 102_Wkst'!$N$7:$N$2010,"P3")</f>
        <v>0</v>
      </c>
      <c r="V65" s="410">
        <f>SUMIFS('LAC 102_Wkst'!$Q$7:$Q$2010,'LAC 102_Wkst'!$E$7:$E$2010,$C65,'LAC 102_Wkst'!$G$7:$G$2010,$D65,'LAC 102_Wkst'!$L$7:$L$2010,"05",'LAC 102_Wkst'!$N$7:$N$2010,"P4")+SUMIFS('LAC 102_Wkst'!$Q$7:$Q$2010,'LAC 102_Wkst'!$E$7:$E$2010,$C65,'LAC 102_Wkst'!$G$7:$G$2010,$D65,'LAC 102_Wkst'!$L$7:$L$2010,"06",'LAC 102_Wkst'!$N$7:$N$2010,"P4")</f>
        <v>0</v>
      </c>
      <c r="W65" s="411">
        <f>SUMIFS('LAC 102_Wkst'!$AE$7:$AE$2010,'LAC 102_Wkst'!$E$7:$E$2010,$C65,'LAC 102_Wkst'!$G$7:$G$2010,$D65,'LAC 102_Wkst'!$L$7:$L$2010,"05",'LAC 102_Wkst'!$N$7:$N$2010,"P4")+SUMIFS('LAC 102_Wkst'!$AE$7:$AE$2010,'LAC 102_Wkst'!$E$7:$E$2010,$C65,'LAC 102_Wkst'!$G$7:$G$2010,$D65,'LAC 102_Wkst'!$L$7:$L$2010,"06",'LAC 102_Wkst'!$N$7:$N$2010,"P4")</f>
        <v>0</v>
      </c>
      <c r="X65" s="410">
        <f>SUMIFS('LAC 102_Wkst'!$Q$7:$Q$2010,'LAC 102_Wkst'!$E$7:$E$2010,$C65,'LAC 102_Wkst'!$G$7:$G$2010,$D65,'LAC 102_Wkst'!$L$7:$L$2010,"05",'LAC 102_Wkst'!$N$7:$N$2010,"P5")+SUMIFS('LAC 102_Wkst'!$Q$7:$Q$2010,'LAC 102_Wkst'!$E$7:$E$2010,$C65,'LAC 102_Wkst'!$G$7:$G$2010,$D65,'LAC 102_Wkst'!$L$7:$L$2010,"06",'LAC 102_Wkst'!$N$7:$N$2010,"P5")</f>
        <v>0</v>
      </c>
      <c r="Y65" s="411">
        <f>SUMIFS('LAC 102_Wkst'!$AE$7:$AE$2010,'LAC 102_Wkst'!$E$7:$E$2010,$C65,'LAC 102_Wkst'!$G$7:$G$2010,$D65,'LAC 102_Wkst'!$L$7:$L$2010,"05",'LAC 102_Wkst'!$N$7:$N$2010,"P5")+SUMIFS('LAC 102_Wkst'!$AE$7:$AE$2010,'LAC 102_Wkst'!$E$7:$E$2010,$C65,'LAC 102_Wkst'!$G$7:$G$2010,$D65,'LAC 102_Wkst'!$L$7:$L$2010,"06",'LAC 102_Wkst'!$N$7:$N$2010,"P5")</f>
        <v>0</v>
      </c>
      <c r="Z65" s="410">
        <f>SUMIFS('LAC 102_Wkst'!$Q$7:$Q$2010,'LAC 102_Wkst'!$E$7:$E$2010,$C65,'LAC 102_Wkst'!$G$7:$G$2010,$D65,'LAC 102_Wkst'!$L$7:$L$2010,"07",'LAC 102_Wkst'!$N$7:$N$2010,"P1")+SUMIFS('LAC 102_Wkst'!$Q$7:$Q$2010,'LAC 102_Wkst'!$E$7:$E$2010,$C65,'LAC 102_Wkst'!$G$7:$G$2010,$D65,'LAC 102_Wkst'!$L$7:$L$2010,"07",'LAC 102_Wkst'!$N$7:$N$2010,"P2")+SUMIFS('LAC 102_Wkst'!$Q$7:$Q$2010,'LAC 102_Wkst'!$E$7:$E$2010,$C65,'LAC 102_Wkst'!$G$7:$G$2010,$D65,'LAC 102_Wkst'!$L$7:$L$2010,"07",'LAC 102_Wkst'!$N$7:$N$2010,"P3")</f>
        <v>0</v>
      </c>
      <c r="AA65" s="411">
        <f>SUMIFS('LAC 102_Wkst'!$AE$7:$AE$2010,'LAC 102_Wkst'!$E$7:$E$2010,$C65,'LAC 102_Wkst'!$G$7:$G$2010,$D65,'LAC 102_Wkst'!$L$7:$L$2010,"07",'LAC 102_Wkst'!$N$7:$N$2010,"P1")+SUMIFS('LAC 102_Wkst'!$AE$7:$AE$2010,'LAC 102_Wkst'!$E$7:$E$2010,$C65,'LAC 102_Wkst'!$G$7:$G$2010,$D65,'LAC 102_Wkst'!$L$7:$L$2010,"07",'LAC 102_Wkst'!$N$7:$N$2010,"P2")+SUMIFS('LAC 102_Wkst'!$AE$7:$AE$2010,'LAC 102_Wkst'!$E$7:$E$2010,$C65,'LAC 102_Wkst'!$G$7:$G$2010,$D65,'LAC 102_Wkst'!$L$7:$L$2010,"07",'LAC 102_Wkst'!$N$7:$N$2010,"P3")</f>
        <v>0</v>
      </c>
      <c r="AB65" s="410">
        <f>SUMIFS('LAC 102_Wkst'!$Q$7:$Q$2010,'LAC 102_Wkst'!$E$7:$E$2010,$C65,'LAC 102_Wkst'!$G$7:$G$2010,$D65,'LAC 102_Wkst'!$L$7:$L$2010,"07",'LAC 102_Wkst'!$N$7:$N$2010,"P4")</f>
        <v>0</v>
      </c>
      <c r="AC65" s="411">
        <f>SUMIFS('LAC 102_Wkst'!$AE$7:$AE$2010,'LAC 102_Wkst'!$E$7:$E$2010,$C65,'LAC 102_Wkst'!$G$7:$G$2010,$D65,'LAC 102_Wkst'!$L$7:$L$2010,"07",'LAC 102_Wkst'!$N$7:$N$2010,"P4")</f>
        <v>0</v>
      </c>
      <c r="AD65" s="410">
        <f>SUMIFS('LAC 102_Wkst'!$Q$7:$Q$2010,'LAC 102_Wkst'!$E$7:$E$2010,$C65,'LAC 102_Wkst'!$G$7:$G$2010,$D65,'LAC 102_Wkst'!$L$7:$L$2010,"07",'LAC 102_Wkst'!$N$7:$N$2010,"P5")</f>
        <v>0</v>
      </c>
      <c r="AE65" s="411">
        <f>SUMIFS('LAC 102_Wkst'!$AE$7:$AE$2010,'LAC 102_Wkst'!$E$7:$E$2010,$C65,'LAC 102_Wkst'!$G$7:$G$2010,$D65,'LAC 102_Wkst'!$L$7:$L$2010,"07",'LAC 102_Wkst'!$N$7:$N$2010,"P5")</f>
        <v>0</v>
      </c>
      <c r="AF65" s="410">
        <f>SUMIFS('LAC 102_Wkst'!$Q$7:$Q$2010,'LAC 102_Wkst'!$E$7:$E$2010,$C65,'LAC 102_Wkst'!$G$7:$G$2010,$D65,'LAC 102_Wkst'!$L$7:$L$2010,"08",'LAC 102_Wkst'!$N$7:$N$2010,"P1")+SUMIFS('LAC 102_Wkst'!$Q$7:$Q$2010,'LAC 102_Wkst'!$E$7:$E$2010,$C65,'LAC 102_Wkst'!$G$7:$G$2010,$D65,'LAC 102_Wkst'!$L$7:$L$2010,"08",'LAC 102_Wkst'!$N$7:$N$2010,"P2")+SUMIFS('LAC 102_Wkst'!$Q$7:$Q$2010,'LAC 102_Wkst'!$E$7:$E$2010,$C65,'LAC 102_Wkst'!$G$7:$G$2010,$D65,'LAC 102_Wkst'!$L$7:$L$2010,"08",'LAC 102_Wkst'!$N$7:$N$2010,"P3")</f>
        <v>0</v>
      </c>
      <c r="AG65" s="411">
        <f>SUMIFS('LAC 102_Wkst'!$AE$7:$AE$2010,'LAC 102_Wkst'!$E$7:$E$2010,$C65,'LAC 102_Wkst'!$G$7:$G$2010,$D65,'LAC 102_Wkst'!$L$7:$L$2010,"08",'LAC 102_Wkst'!$N$7:$N$2010,"P1")+SUMIFS('LAC 102_Wkst'!$AE$7:$AE$2010,'LAC 102_Wkst'!$E$7:$E$2010,$C65,'LAC 102_Wkst'!$G$7:$G$2010,$D65,'LAC 102_Wkst'!$L$7:$L$2010,"08",'LAC 102_Wkst'!$N$7:$N$2010,"P2")+SUMIFS('LAC 102_Wkst'!$AE$7:$AE$2010,'LAC 102_Wkst'!$E$7:$E$2010,$C65,'LAC 102_Wkst'!$G$7:$G$2010,$D65,'LAC 102_Wkst'!$L$7:$L$2010,"08",'LAC 102_Wkst'!$N$7:$N$2010,"P3")</f>
        <v>0</v>
      </c>
      <c r="AH65" s="410">
        <f>SUMIFS('LAC 102_Wkst'!$Q$7:$Q$2010,'LAC 102_Wkst'!$E$7:$E$2010,$C65,'LAC 102_Wkst'!$G$7:$G$2010,$D65,'LAC 102_Wkst'!$L$7:$L$2010,"08",'LAC 102_Wkst'!$N$7:$N$2010,"P4")</f>
        <v>0</v>
      </c>
      <c r="AI65" s="411">
        <f>SUMIFS('LAC 102_Wkst'!$AE$7:$AE$2010,'LAC 102_Wkst'!$E$7:$E$2010,$C65,'LAC 102_Wkst'!$G$7:$G$2010,$D65,'LAC 102_Wkst'!$L$7:$L$2010,"08",'LAC 102_Wkst'!$N$7:$N$2010,"P4")</f>
        <v>0</v>
      </c>
      <c r="AJ65" s="410">
        <f>SUMIFS('LAC 102_Wkst'!$Q$7:$Q$2010,'LAC 102_Wkst'!$E$7:$E$2010,$C65,'LAC 102_Wkst'!$G$7:$G$2010,$D65,'LAC 102_Wkst'!$L$7:$L$2010,"08",'LAC 102_Wkst'!$N$7:$N$2010,"P5")</f>
        <v>0</v>
      </c>
      <c r="AK65" s="411">
        <f>SUMIFS('LAC 102_Wkst'!$AE$7:$AE$2010,'LAC 102_Wkst'!$E$7:$E$2010,$C65,'LAC 102_Wkst'!$G$7:$G$2010,$D65,'LAC 102_Wkst'!$L$7:$L$2010,"08",'LAC 102_Wkst'!$N$7:$N$2010,"P5")</f>
        <v>0</v>
      </c>
      <c r="AL65" s="410">
        <f>SUMIFS('LAC 102_Wkst'!$Q$7:$Q$2010,'LAC 102_Wkst'!$E$7:$E$2010,$C65,'LAC 102_Wkst'!$G$7:$G$2010,$D65,'LAC 102_Wkst'!$L$7:$L$2010,"09",'LAC 102_Wkst'!$N$7:$N$2010,"P1")+SUMIFS('LAC 102_Wkst'!$Q$7:$Q$2010,'LAC 102_Wkst'!$E$7:$E$2010,$C65,'LAC 102_Wkst'!$G$7:$G$2010,$D65,'LAC 102_Wkst'!$L$7:$L$2010,"09",'LAC 102_Wkst'!$N$7:$N$2010,"P2")+SUMIFS('LAC 102_Wkst'!$Q$7:$Q$2010,'LAC 102_Wkst'!$E$7:$E$2010,$C65,'LAC 102_Wkst'!$G$7:$G$2010,$D65,'LAC 102_Wkst'!$L$7:$L$2010,"09",'LAC 102_Wkst'!$N$7:$N$2010,"P3")+SUMIFS('LAC 102_Wkst'!$Q$7:$Q$2010,'LAC 102_Wkst'!$E$7:$E$2010,$C65,'LAC 102_Wkst'!$G$7:$G$2010,$D65,'LAC 102_Wkst'!$L$7:$L$2010,"09",'LAC 102_Wkst'!$N$7:$N$2010,"P4")</f>
        <v>0</v>
      </c>
      <c r="AM65" s="411">
        <f>SUMIFS('LAC 102_Wkst'!$AE$7:$AE$2010,'LAC 102_Wkst'!$E$7:$E$2010,$C65,'LAC 102_Wkst'!$G$7:$G$2010,$D65,'LAC 102_Wkst'!$L$7:$L$2010,"09",'LAC 102_Wkst'!$N$7:$N$2010,"P1")+SUMIFS('LAC 102_Wkst'!$AE$7:$AE$2010,'LAC 102_Wkst'!$E$7:$E$2010,$C65,'LAC 102_Wkst'!$G$7:$G$2010,$D65,'LAC 102_Wkst'!$L$7:$L$2010,"09",'LAC 102_Wkst'!$N$7:$N$2010,"P2")+SUMIFS('LAC 102_Wkst'!$AE$7:$AE$2010,'LAC 102_Wkst'!$E$7:$E$2010,$C65,'LAC 102_Wkst'!$G$7:$G$2010,$D65,'LAC 102_Wkst'!$L$7:$L$2010,"09",'LAC 102_Wkst'!$N$7:$N$2010,"P3")+SUMIFS('LAC 102_Wkst'!$AE$7:$AE$2010,'LAC 102_Wkst'!$E$7:$E$2010,$C65,'LAC 102_Wkst'!$G$7:$G$2010,$D65,'LAC 102_Wkst'!$L$7:$L$2010,"09",'LAC 102_Wkst'!$N$7:$N$2010,"P4")</f>
        <v>0</v>
      </c>
      <c r="AN65" s="410">
        <f>SUMIFS('LAC 102_Wkst'!$Q$7:$Q$2010,'LAC 102_Wkst'!$E$7:$E$2010,$C65,'LAC 102_Wkst'!$G$7:$G$2010,$D65,'LAC 102_Wkst'!$L$7:$L$2010,"09",'LAC 102_Wkst'!$N$7:$N$2010,"P5")</f>
        <v>0</v>
      </c>
      <c r="AO65" s="411">
        <f>SUMIFS('LAC 102_Wkst'!$AE$7:$AE$2010,'LAC 102_Wkst'!$E$7:$E$2010,$C65,'LAC 102_Wkst'!$G$7:$G$2010,$D65,'LAC 102_Wkst'!$L$7:$L$2010,"09",'LAC 102_Wkst'!$N$7:$N$2010,"P5")</f>
        <v>0</v>
      </c>
      <c r="AP65" s="410">
        <f>SUMIFS('LAC 102_Wkst'!$Q$7:$Q$2010,'LAC 102_Wkst'!$E$7:$E$2010,$C65,'LAC 102_Wkst'!$G$7:$G$2010,$D65,'LAC 102_Wkst'!$L$7:$L$2010,"10",'LAC 102_Wkst'!$N$7:$N$2010,"P1")+SUMIFS('LAC 102_Wkst'!$Q$7:$Q$2010,'LAC 102_Wkst'!$E$7:$E$2010,$C65,'LAC 102_Wkst'!$G$7:$G$2010,$D65,'LAC 102_Wkst'!$L$7:$L$2010,"10",'LAC 102_Wkst'!$N$7:$N$2010,"P2")+SUMIFS('LAC 102_Wkst'!$Q$7:$Q$2010,'LAC 102_Wkst'!$E$7:$E$2010,$C65,'LAC 102_Wkst'!$G$7:$G$2010,$D65,'LAC 102_Wkst'!$L$7:$L$2010,"10",'LAC 102_Wkst'!$N$7:$N$2010,"P3")+SUMIFS('LAC 102_Wkst'!$Q$7:$Q$2010,'LAC 102_Wkst'!$E$7:$E$2010,$C65,'LAC 102_Wkst'!$G$7:$G$2010,$D65,'LAC 102_Wkst'!$L$7:$L$2010,"10",'LAC 102_Wkst'!$N$7:$N$2010,"P4")</f>
        <v>0</v>
      </c>
      <c r="AQ65" s="411">
        <f>SUMIFS('LAC 102_Wkst'!$AE$7:$AE$2010,'LAC 102_Wkst'!$E$7:$E$2010,$C65,'LAC 102_Wkst'!$G$7:$G$2010,$D65,'LAC 102_Wkst'!$L$7:$L$2010,"10",'LAC 102_Wkst'!$N$7:$N$2010,"P1")+SUMIFS('LAC 102_Wkst'!$AE$7:$AE$2010,'LAC 102_Wkst'!$E$7:$E$2010,$C65,'LAC 102_Wkst'!$G$7:$G$2010,$D65,'LAC 102_Wkst'!$L$7:$L$2010,"10",'LAC 102_Wkst'!$N$7:$N$2010,"P2")+SUMIFS('LAC 102_Wkst'!$AE$7:$AE$2010,'LAC 102_Wkst'!$E$7:$E$2010,$C65,'LAC 102_Wkst'!$G$7:$G$2010,$D65,'LAC 102_Wkst'!$L$7:$L$2010,"10",'LAC 102_Wkst'!$N$7:$N$2010,"P3")+SUMIFS('LAC 102_Wkst'!$AE$7:$AE$2010,'LAC 102_Wkst'!$E$7:$E$2010,$C65,'LAC 102_Wkst'!$G$7:$G$2010,$D65,'LAC 102_Wkst'!$L$7:$L$2010,"10",'LAC 102_Wkst'!$N$7:$N$2010,"P4")</f>
        <v>0</v>
      </c>
      <c r="AR65" s="410">
        <f>SUMIFS('LAC 102_Wkst'!$Q$7:$Q$2010,'LAC 102_Wkst'!$E$7:$E$2010,$C65,'LAC 102_Wkst'!$G$7:$G$2010,$D65,'LAC 102_Wkst'!$L$7:$L$2010,"10",'LAC 102_Wkst'!$N$7:$N$2010,"P5")</f>
        <v>0</v>
      </c>
      <c r="AS65" s="411">
        <f>SUMIFS('LAC 102_Wkst'!$AE$7:$AE$2010,'LAC 102_Wkst'!$E$7:$E$2010,$C65,'LAC 102_Wkst'!$G$7:$G$2010,$D65,'LAC 102_Wkst'!$L$7:$L$2010,"10",'LAC 102_Wkst'!$N$7:$N$2010,"P5")</f>
        <v>0</v>
      </c>
      <c r="AT65" s="410">
        <f>SUMIFS('LAC 102_Wkst'!$Q$7:$Q$2010,'LAC 102_Wkst'!$E$7:$E$2010,$C65,'LAC 102_Wkst'!$G$7:$G$2010,$D65,'LAC 102_Wkst'!$L$7:$L$2010,"11",'LAC 102_Wkst'!$N$7:$N$2010,"P1")+SUMIFS('LAC 102_Wkst'!$Q$7:$Q$2010,'LAC 102_Wkst'!$E$7:$E$2010,$C65,'LAC 102_Wkst'!$G$7:$G$2010,$D65,'LAC 102_Wkst'!$L$7:$L$2010,"12",'LAC 102_Wkst'!$N$7:$N$2010,"P1")</f>
        <v>0</v>
      </c>
      <c r="AU65" s="411">
        <f>SUMIFS('LAC 102_Wkst'!$AE$7:$AE$2010,'LAC 102_Wkst'!$E$7:$E$2010,$C65,'LAC 102_Wkst'!$G$7:$G$2010,$D65,'LAC 102_Wkst'!$L$7:$L$2010,"11",'LAC 102_Wkst'!$N$7:$N$2010,"P1")+SUMIFS('LAC 102_Wkst'!$AE$7:$AE$2010,'LAC 102_Wkst'!$E$7:$E$2010,$C65,'LAC 102_Wkst'!$G$7:$G$2010,$D65,'LAC 102_Wkst'!$L$7:$L$2010,"12",'LAC 102_Wkst'!$N$7:$N$2010,"P1")</f>
        <v>0</v>
      </c>
      <c r="AV65" s="410">
        <f>SUMIFS('LAC 102_Wkst'!$Q$7:$Q$2010,'LAC 102_Wkst'!$E$7:$E$2010,$C65,'LAC 102_Wkst'!$G$7:$G$2010,$D65,'LAC 102_Wkst'!$L$7:$L$2010,"11",'LAC 102_Wkst'!$N$7:$N$2010,"P2")+SUMIFS('LAC 102_Wkst'!$Q$7:$Q$2010,'LAC 102_Wkst'!$E$7:$E$2010,$C65,'LAC 102_Wkst'!$G$7:$G$2010,$D65,'LAC 102_Wkst'!$L$7:$L$2010,"12",'LAC 102_Wkst'!$N$7:$N$2010,"P3")+SUMIFS('LAC 102_Wkst'!$Q$7:$Q$2010,'LAC 102_Wkst'!$E$7:$E$2010,$C65,'LAC 102_Wkst'!$G$7:$G$2010,$D65,'LAC 102_Wkst'!$L$7:$L$2010,"11",'LAC 102_Wkst'!$N$7:$N$2010,"P2")+SUMIFS('LAC 102_Wkst'!$Q$7:$Q$2010,'LAC 102_Wkst'!$E$7:$E$2010,$C65,'LAC 102_Wkst'!$G$7:$G$2010,$D65,'LAC 102_Wkst'!$L$7:$L$2010,"12",'LAC 102_Wkst'!$N$7:$N$2010,"P3")</f>
        <v>0</v>
      </c>
      <c r="AW65" s="411">
        <f>SUMIFS('LAC 102_Wkst'!$AE$7:$AE$2010,'LAC 102_Wkst'!$E$7:$E$2010,$C65,'LAC 102_Wkst'!$G$7:$G$2010,$D65,'LAC 102_Wkst'!$L$7:$L$2010,"11",'LAC 102_Wkst'!$N$7:$N$2010,"P2")+SUMIFS('LAC 102_Wkst'!$AE$7:$AE$2010,'LAC 102_Wkst'!$E$7:$E$2010,$C65,'LAC 102_Wkst'!$G$7:$G$2010,$D65,'LAC 102_Wkst'!$L$7:$L$2010,"12",'LAC 102_Wkst'!$N$7:$N$2010,"P3")+SUMIFS('LAC 102_Wkst'!$AE$7:$AE$2010,'LAC 102_Wkst'!$E$7:$E$2010,$C65,'LAC 102_Wkst'!$G$7:$G$2010,$D65,'LAC 102_Wkst'!$L$7:$L$2010,"11",'LAC 102_Wkst'!$N$7:$N$2010,"P2")+SUMIFS('LAC 102_Wkst'!$AE$7:$AE$2010,'LAC 102_Wkst'!$E$7:$E$2010,$C65,'LAC 102_Wkst'!$G$7:$G$2010,$D65,'LAC 102_Wkst'!$L$7:$L$2010,"12",'LAC 102_Wkst'!$N$7:$N$2010,"P3")</f>
        <v>0</v>
      </c>
      <c r="AX65" s="410">
        <f>SUMIFS('LAC 102_Wkst'!$Q$7:$Q$2010,'LAC 102_Wkst'!$E$7:$E$2010,$C65,'LAC 102_Wkst'!$G$7:$G$2010,$D65,'LAC 102_Wkst'!$L$7:$L$2010,"11",'LAC 102_Wkst'!$N$7:$N$2010,"P4")+SUMIFS('LAC 102_Wkst'!$Q$7:$Q$2010,'LAC 102_Wkst'!$E$7:$E$2010,$C65,'LAC 102_Wkst'!$G$7:$G$2010,$D65,'LAC 102_Wkst'!$L$7:$L$2010,"12",'LAC 102_Wkst'!$N$7:$N$2010,"P4")</f>
        <v>0</v>
      </c>
      <c r="AY65" s="411">
        <f>SUMIFS('LAC 102_Wkst'!$AE$7:$AE$2010,'LAC 102_Wkst'!$E$7:$E$2010,$C65,'LAC 102_Wkst'!$G$7:$G$2010,$D65,'LAC 102_Wkst'!$L$7:$L$2010,"11",'LAC 102_Wkst'!$N$7:$N$2010,"P4")+SUMIFS('LAC 102_Wkst'!$AE$7:$AE$2010,'LAC 102_Wkst'!$E$7:$E$2010,$C65,'LAC 102_Wkst'!$G$7:$G$2010,$D65,'LAC 102_Wkst'!$L$7:$L$2010,"12",'LAC 102_Wkst'!$N$7:$N$2010,"P4")</f>
        <v>0</v>
      </c>
      <c r="AZ65" s="410">
        <f>SUMIFS('LAC 102_Wkst'!$Q$7:$Q$2010,'LAC 102_Wkst'!$E$7:$E$2010,$C65,'LAC 102_Wkst'!$G$7:$G$2010,$D65,'LAC 102_Wkst'!$L$7:$L$2010,"11",'LAC 102_Wkst'!$N$7:$N$2010,"P5")+SUMIFS('LAC 102_Wkst'!$Q$7:$Q$2010,'LAC 102_Wkst'!$E$7:$E$2010,$C65,'LAC 102_Wkst'!$G$7:$G$2010,$D65,'LAC 102_Wkst'!$L$7:$L$2010,"12",'LAC 102_Wkst'!$N$7:$N$2010,"P5")</f>
        <v>0</v>
      </c>
      <c r="BA65" s="411">
        <f>SUMIFS('LAC 102_Wkst'!$AE$7:$AE$2010,'LAC 102_Wkst'!$E$7:$E$2010,$C65,'LAC 102_Wkst'!$G$7:$G$2010,$D65,'LAC 102_Wkst'!$L$7:$L$2010,"11",'LAC 102_Wkst'!$N$7:$N$2010,"P5")+SUMIFS('LAC 102_Wkst'!$AE$7:$AE$2010,'LAC 102_Wkst'!$E$7:$E$2010,$C65,'LAC 102_Wkst'!$G$7:$G$2010,$D65,'LAC 102_Wkst'!$L$7:$L$2010,"12",'LAC 102_Wkst'!$N$7:$N$2010,"P5")</f>
        <v>0</v>
      </c>
      <c r="BB65" s="410">
        <f>SUMIFS('LAC 102_Wkst'!$Q$7:$Q$2010,'LAC 102_Wkst'!$E$7:$E$2010,$C65,'LAC 102_Wkst'!$G$7:$G$2010,$D65,'LAC 102_Wkst'!$L$7:$L$2010,"13",'LAC 102_Wkst'!$N$7:$N$2010,"P1")+SUMIFS('LAC 102_Wkst'!$Q$7:$Q$2010,'LAC 102_Wkst'!$E$7:$E$2010,$C65,'LAC 102_Wkst'!$G$7:$G$2010,$D65,'LAC 102_Wkst'!$L$7:$L$2010,"13",'LAC 102_Wkst'!$N$7:$N$2010,"P2")+SUMIFS('LAC 102_Wkst'!$Q$7:$Q$2010,'LAC 102_Wkst'!$E$7:$E$2010,$C65,'LAC 102_Wkst'!$G$7:$G$2010,$D65,'LAC 102_Wkst'!$L$7:$L$2010,"13",'LAC 102_Wkst'!$N$7:$N$2010,"P3")+SUMIFS('LAC 102_Wkst'!$Q$7:$Q$2010,'LAC 102_Wkst'!$E$7:$E$2010,$C65,'LAC 102_Wkst'!$G$7:$G$2010,$D65,'LAC 102_Wkst'!$L$7:$L$2010,"13",'LAC 102_Wkst'!$N$7:$N$2010,"P4")</f>
        <v>0</v>
      </c>
      <c r="BC65" s="411">
        <f>SUMIFS('LAC 102_Wkst'!$AE$7:$AE$2010,'LAC 102_Wkst'!$E$7:$E$2010,$C65,'LAC 102_Wkst'!$G$7:$G$2010,$D65,'LAC 102_Wkst'!$L$7:$L$2010,"13",'LAC 102_Wkst'!$N$7:$N$2010,"P1")+SUMIFS('LAC 102_Wkst'!$AE$7:$AE$2010,'LAC 102_Wkst'!$E$7:$E$2010,$C65,'LAC 102_Wkst'!$G$7:$G$2010,$D65,'LAC 102_Wkst'!$L$7:$L$2010,"13",'LAC 102_Wkst'!$N$7:$N$2010,"P2")+SUMIFS('LAC 102_Wkst'!$AE$7:$AE$2010,'LAC 102_Wkst'!$E$7:$E$2010,$C65,'LAC 102_Wkst'!$G$7:$G$2010,$D65,'LAC 102_Wkst'!$L$7:$L$2010,"13",'LAC 102_Wkst'!$N$7:$N$2010,"P3")+SUMIFS('LAC 102_Wkst'!$AE$7:$AE$2010,'LAC 102_Wkst'!$E$7:$E$2010,$C65,'LAC 102_Wkst'!$G$7:$G$2010,$D65,'LAC 102_Wkst'!$L$7:$L$2010,"13",'LAC 102_Wkst'!$N$7:$N$2010,"P4")</f>
        <v>0</v>
      </c>
      <c r="BD65" s="410">
        <f>SUMIFS('LAC 102_Wkst'!$Q$7:$Q$2010,'LAC 102_Wkst'!$E$7:$E$2010,$C65,'LAC 102_Wkst'!$G$7:$G$2010,$D65,'LAC 102_Wkst'!$L$7:$L$2010,"13",'LAC 102_Wkst'!$N$7:$N$2010,"P5")</f>
        <v>0</v>
      </c>
      <c r="BE65" s="411">
        <f>SUMIFS('LAC 102_Wkst'!$AE$7:$AE$2010,'LAC 102_Wkst'!$E$7:$E$2010,$C65,'LAC 102_Wkst'!$G$7:$G$2010,$D65,'LAC 102_Wkst'!$L$7:$L$2010,"13",'LAC 102_Wkst'!$N$7:$N$2010,"P5")</f>
        <v>0</v>
      </c>
      <c r="BF65" s="407">
        <f t="shared" si="0"/>
        <v>0</v>
      </c>
    </row>
    <row r="66" spans="1:58" x14ac:dyDescent="0.2">
      <c r="A66" s="401">
        <v>47</v>
      </c>
      <c r="B66" s="1236"/>
      <c r="C66" s="1235"/>
      <c r="D66" s="1237"/>
      <c r="E66" s="1222">
        <f>IF(CONCATENATE(C66,D66)&gt;"6069",1,SUMIFS('LAC 102_Wkst'!$Q$7:$Q$2010,'LAC 102_Wkst'!$E$7:$E$2010,Schedule_B!$C66,'LAC 102_Wkst'!$G$7:$G$2010,Schedule_B!$D66))</f>
        <v>0</v>
      </c>
      <c r="F66" s="408">
        <f>SUMIFS('LAC 102_Wkst'!$Q$7:$Q$2010,'LAC 102_Wkst'!$E$7:$E$2010,$C66,'LAC 102_Wkst'!$G$7:$G$2010,$D66,'LAC 102_Wkst'!$L$7:$L$2010,"01",'LAC 102_Wkst'!$N$7:$N$2010,"P1")+SUMIFS('LAC 102_Wkst'!$Q$7:$Q$2010,'LAC 102_Wkst'!$E$7:$E$2010,$C66,'LAC 102_Wkst'!$G$7:$G$2010,$D66,'LAC 102_Wkst'!$L$7:$L$2010,"01",'LAC 102_Wkst'!$N$7:$N$2010,"P2")+SUMIFS('LAC 102_Wkst'!$Q$7:$Q$2010,'LAC 102_Wkst'!$E$7:$E$2010,$C66,'LAC 102_Wkst'!$G$7:$G$2010,$D66,'LAC 102_Wkst'!$L$7:$L$2010,"01",'LAC 102_Wkst'!$N$7:$N$2010,"P3")+SUMIFS('LAC 102_Wkst'!$Q$7:$Q$2010,'LAC 102_Wkst'!$E$7:$E$2010,$C66,'LAC 102_Wkst'!$G$7:$G$2010,$D66,'LAC 102_Wkst'!$L$7:$L$2010,"02",'LAC 102_Wkst'!$N$7:$N$2010,"P1")+SUMIFS('LAC 102_Wkst'!$Q$7:$Q$2010,'LAC 102_Wkst'!$E$7:$E$2010,$C66,'LAC 102_Wkst'!$G$7:$G$2010,$D66,'LAC 102_Wkst'!$L$7:$L$2010,"02",'LAC 102_Wkst'!$N$7:$N$2010,"P2")+SUMIFS('LAC 102_Wkst'!$Q$7:$Q$2010,'LAC 102_Wkst'!$E$7:$E$2010,$C66,'LAC 102_Wkst'!$G$7:$G$2010,$D66,'LAC 102_Wkst'!$L$7:$L$2010,"02",'LAC 102_Wkst'!$N$7:$N$2010,"P3")</f>
        <v>0</v>
      </c>
      <c r="G66" s="409">
        <f>SUMIFS('LAC 102_Wkst'!$AE$7:$AE$2010,'LAC 102_Wkst'!$E$7:$E$2010,$C66,'LAC 102_Wkst'!$G$7:$G$2010,$D66,'LAC 102_Wkst'!$L$7:$L$2010,"01",'LAC 102_Wkst'!$N$7:$N$2010,"P1")+SUMIFS('LAC 102_Wkst'!$AE$7:$AE$2010,'LAC 102_Wkst'!$E$7:$E$2010,$C66,'LAC 102_Wkst'!$G$7:$G$2010,$D66,'LAC 102_Wkst'!$L$7:$L$2010,"01",'LAC 102_Wkst'!$N$7:$N$2010,"P2")+SUMIFS('LAC 102_Wkst'!$AE$7:$AE$2010,'LAC 102_Wkst'!$E$7:$E$2010,$C66,'LAC 102_Wkst'!$G$7:$G$2010,$D66,'LAC 102_Wkst'!$L$7:$L$2010,"01",'LAC 102_Wkst'!$N$7:$N$2010,"P3")+SUMIFS('LAC 102_Wkst'!$AE$7:$AE$2010,'LAC 102_Wkst'!$E$7:$E$2010,$C66,'LAC 102_Wkst'!$G$7:$G$2010,$D66,'LAC 102_Wkst'!$L$7:$L$2010,"02",'LAC 102_Wkst'!$N$7:$N$2010,"P1")+SUMIFS('LAC 102_Wkst'!$AE$7:$AE$2010,'LAC 102_Wkst'!$E$7:$E$2010,$C66,'LAC 102_Wkst'!$G$7:$G$2010,$D66,'LAC 102_Wkst'!$L$7:$L$2010,"02",'LAC 102_Wkst'!$N$7:$N$2010,"P2")+SUMIFS('LAC 102_Wkst'!$AE$7:$AE$2010,'LAC 102_Wkst'!$E$7:$E$2010,$C66,'LAC 102_Wkst'!$G$7:$G$2010,$D66,'LAC 102_Wkst'!$L$7:$L$2010,"02",'LAC 102_Wkst'!$N$7:$N$2010,"P3")</f>
        <v>0</v>
      </c>
      <c r="H66" s="410">
        <f>SUMIFS('LAC 102_Wkst'!$Q$7:$Q$2010,'LAC 102_Wkst'!$E$7:$E$2010,$C66,'LAC 102_Wkst'!$G$7:$G$2010,$D66,'LAC 102_Wkst'!$L$7:$L$2010,"01",'LAC 102_Wkst'!$N$7:$N$2010,"P4")+SUMIFS('LAC 102_Wkst'!$Q$7:$Q$2010,'LAC 102_Wkst'!$E$7:$E$2010,$C66,'LAC 102_Wkst'!$G$7:$G$2010,$D66,'LAC 102_Wkst'!$L$7:$L$2010,"02",'LAC 102_Wkst'!$N$7:$N$2010,"P4")</f>
        <v>0</v>
      </c>
      <c r="I66" s="411">
        <f>SUMIFS('LAC 102_Wkst'!$AE$7:$AE$2010,'LAC 102_Wkst'!$E$7:$E$2010,$C66,'LAC 102_Wkst'!$G$7:$G$2010,$D66,'LAC 102_Wkst'!$L$7:$L$2010,"01",'LAC 102_Wkst'!$N$7:$N$2010,"P4")+SUMIFS('LAC 102_Wkst'!$AE$7:$AE$2010,'LAC 102_Wkst'!$E$7:$E$2010,$C66,'LAC 102_Wkst'!$G$7:$G$2010,$D66,'LAC 102_Wkst'!$L$7:$L$2010,"02",'LAC 102_Wkst'!$N$7:$N$2010,"P4")</f>
        <v>0</v>
      </c>
      <c r="J66" s="410">
        <f>SUMIFS('LAC 102_Wkst'!$Q$7:$Q$2010,'LAC 102_Wkst'!$E$7:$E$2010,$C66,'LAC 102_Wkst'!$G$7:$G$2010,$D66,'LAC 102_Wkst'!$L$7:$L$2010,"01",'LAC 102_Wkst'!$N$7:$N$2010,"P5")+SUMIFS('LAC 102_Wkst'!$Q$7:$Q$2010,'LAC 102_Wkst'!$E$7:$E$2010,$C66,'LAC 102_Wkst'!$G$7:$G$2010,$D66,'LAC 102_Wkst'!$L$7:$L$2010,"02",'LAC 102_Wkst'!$N$7:$N$2010,"P5")</f>
        <v>0</v>
      </c>
      <c r="K66" s="411">
        <f>SUMIFS('LAC 102_Wkst'!$AE$7:$AE$2010,'LAC 102_Wkst'!$E$7:$E$2010,$C66,'LAC 102_Wkst'!$G$7:$G$2010,$D66,'LAC 102_Wkst'!$L$7:$L$2010,"01",'LAC 102_Wkst'!$N$7:$N$2010,"P5")+SUMIFS('LAC 102_Wkst'!$AE$7:$AE$2010,'LAC 102_Wkst'!$E$7:$E$2010,$C66,'LAC 102_Wkst'!$G$7:$G$2010,$D66,'LAC 102_Wkst'!$L$7:$L$2010,"02",'LAC 102_Wkst'!$N$7:$N$2010,"P5")</f>
        <v>0</v>
      </c>
      <c r="L66" s="410">
        <f>SUMIFS('LAC 102_Wkst'!$Q$7:$Q$2010,'LAC 102_Wkst'!$E$7:$E$2010,$C66,'LAC 102_Wkst'!$G$7:$G$2010,$D66,'LAC 102_Wkst'!$L$7:$L$2010,"03",'LAC 102_Wkst'!$N$7:$N$2010,"P1")+SUMIFS('LAC 102_Wkst'!$Q$7:$Q$2010,'LAC 102_Wkst'!$E$7:$E$2010,$C66,'LAC 102_Wkst'!$G$7:$G$2010,$D66,'LAC 102_Wkst'!$L$7:$L$2010,"03",'LAC 102_Wkst'!$N$7:$N$2010,"P2")+SUMIFS('LAC 102_Wkst'!$Q$7:$Q$2010,'LAC 102_Wkst'!$E$7:$E$2010,$C66,'LAC 102_Wkst'!$G$7:$G$2010,$D66,'LAC 102_Wkst'!$L$7:$L$2010,"03",'LAC 102_Wkst'!$N$7:$N$2010,"P3")+SUMIFS('LAC 102_Wkst'!$Q$7:$Q$2010,'LAC 102_Wkst'!$E$7:$E$2010,$C66,'LAC 102_Wkst'!$G$7:$G$2010,$D66,'LAC 102_Wkst'!$L$7:$L$2010,"04",'LAC 102_Wkst'!$N$7:$N$2010,"P1")+SUMIFS('LAC 102_Wkst'!$Q$7:$Q$2010,'LAC 102_Wkst'!$E$7:$E$2010,$C66,'LAC 102_Wkst'!$G$7:$G$2010,$D66,'LAC 102_Wkst'!$L$7:$L$2010,"04",'LAC 102_Wkst'!$N$7:$N$2010,"P2")+SUMIFS('LAC 102_Wkst'!$Q$7:$Q$2010,'LAC 102_Wkst'!$E$7:$E$2010,$C66,'LAC 102_Wkst'!$G$7:$G$2010,$D66,'LAC 102_Wkst'!$L$7:$L$2010,"04",'LAC 102_Wkst'!$N$7:$N$2010,"P3")</f>
        <v>0</v>
      </c>
      <c r="M66" s="411">
        <f>SUMIFS('LAC 102_Wkst'!$AE$7:$AE$2010,'LAC 102_Wkst'!$E$7:$E$2010,$C66,'LAC 102_Wkst'!$G$7:$G$2010,$D66,'LAC 102_Wkst'!$L$7:$L$2010,"03",'LAC 102_Wkst'!$N$7:$N$2010,"P1")+SUMIFS('LAC 102_Wkst'!$AE$7:$AE$2010,'LAC 102_Wkst'!$E$7:$E$2010,$C66,'LAC 102_Wkst'!$G$7:$G$2010,$D66,'LAC 102_Wkst'!$L$7:$L$2010,"03",'LAC 102_Wkst'!$N$7:$N$2010,"P2")+SUMIFS('LAC 102_Wkst'!$AE$7:$AE$2010,'LAC 102_Wkst'!$E$7:$E$2010,$C66,'LAC 102_Wkst'!$G$7:$G$2010,$D66,'LAC 102_Wkst'!$L$7:$L$2010,"03",'LAC 102_Wkst'!$N$7:$N$2010,"P3")+SUMIFS('LAC 102_Wkst'!$AE$7:$AE$2010,'LAC 102_Wkst'!$E$7:$E$2010,$C66,'LAC 102_Wkst'!$G$7:$G$2010,$D66,'LAC 102_Wkst'!$L$7:$L$2010,"04",'LAC 102_Wkst'!$N$7:$N$2010,"P1")+SUMIFS('LAC 102_Wkst'!$AE$7:$AE$2010,'LAC 102_Wkst'!$E$7:$E$2010,$C66,'LAC 102_Wkst'!$G$7:$G$2010,$D66,'LAC 102_Wkst'!$L$7:$L$2010,"04",'LAC 102_Wkst'!$N$7:$N$2010,"P2")+SUMIFS('LAC 102_Wkst'!$AE$7:$AE$2010,'LAC 102_Wkst'!$E$7:$E$2010,$C66,'LAC 102_Wkst'!$G$7:$G$2010,$D66,'LAC 102_Wkst'!$L$7:$L$2010,"04",'LAC 102_Wkst'!$N$7:$N$2010,"P3")</f>
        <v>0</v>
      </c>
      <c r="N66" s="410">
        <f>SUMIFS('LAC 102_Wkst'!$Q$7:$Q$2010,'LAC 102_Wkst'!$E$7:$E$2010,$C66,'LAC 102_Wkst'!$G$7:$G$2010,$D66,'LAC 102_Wkst'!$L$7:$L$2010,"03",'LAC 102_Wkst'!$N$7:$N$2010,"P4")+SUMIFS('LAC 102_Wkst'!$Q$7:$Q$2010,'LAC 102_Wkst'!$E$7:$E$2010,$C66,'LAC 102_Wkst'!$G$7:$G$2010,$D66,'LAC 102_Wkst'!$L$7:$L$2010,"04",'LAC 102_Wkst'!$N$7:$N$2010,"P4")</f>
        <v>0</v>
      </c>
      <c r="O66" s="411">
        <f>SUMIFS('LAC 102_Wkst'!$AE$7:$AE$2010,'LAC 102_Wkst'!$E$7:$E$2010,$C66,'LAC 102_Wkst'!$G$7:$G$2010,$D66,'LAC 102_Wkst'!$L$7:$L$2010,"03",'LAC 102_Wkst'!$N$7:$N$2010,"P4")+SUMIFS('LAC 102_Wkst'!$AE$7:$AE$2010,'LAC 102_Wkst'!$E$7:$E$2010,$C66,'LAC 102_Wkst'!$G$7:$G$2010,$D66,'LAC 102_Wkst'!$L$7:$L$2010,"04",'LAC 102_Wkst'!$N$7:$N$2010,"P4")</f>
        <v>0</v>
      </c>
      <c r="P66" s="410">
        <f>SUMIFS('LAC 102_Wkst'!$Q$7:$Q$2010,'LAC 102_Wkst'!$E$7:$E$2010,$C66,'LAC 102_Wkst'!$G$7:$G$2010,$D66,'LAC 102_Wkst'!$L$7:$L$2010,"03",'LAC 102_Wkst'!$N$7:$N$2010,"P5")+SUMIFS('LAC 102_Wkst'!$Q$7:$Q$2010,'LAC 102_Wkst'!$E$7:$E$2010,$C66,'LAC 102_Wkst'!$G$7:$G$2010,$D66,'LAC 102_Wkst'!$L$7:$L$2010,"04",'LAC 102_Wkst'!$N$7:$N$2010,"P5")</f>
        <v>0</v>
      </c>
      <c r="Q66" s="411">
        <f>SUMIFS('LAC 102_Wkst'!$AE$7:$AE$2010,'LAC 102_Wkst'!$E$7:$E$2010,$C66,'LAC 102_Wkst'!$G$7:$G$2010,$D66,'LAC 102_Wkst'!$L$7:$L$2010,"03",'LAC 102_Wkst'!$N$7:$N$2010,"P5")+SUMIFS('LAC 102_Wkst'!$AE$7:$AE$2010,'LAC 102_Wkst'!$E$7:$E$2010,$C66,'LAC 102_Wkst'!$G$7:$G$2010,$D66,'LAC 102_Wkst'!$L$7:$L$2010,"04",'LAC 102_Wkst'!$N$7:$N$2010,"P5")</f>
        <v>0</v>
      </c>
      <c r="R66" s="412">
        <f>SUMIFS('LAC 102_Wkst'!$Q$7:$Q$2010,'LAC 102_Wkst'!$E$7:$E$2010,$C66,'LAC 102_Wkst'!$G$7:$G$2010,$D66,'LAC 102_Wkst'!$L$7:$L$2010,"05",'LAC 102_Wkst'!$N$7:$N$2010,"P1")+SUMIFS('LAC 102_Wkst'!$Q$7:$Q$2010,'LAC 102_Wkst'!$E$7:$E$2010,$C66,'LAC 102_Wkst'!$G$7:$G$2010,$D66,'LAC 102_Wkst'!$L$7:$L$2010,"06",'LAC 102_Wkst'!$N$7:$N$2010,"P1")</f>
        <v>0</v>
      </c>
      <c r="S66" s="411">
        <f>SUMIFS('LAC 102_Wkst'!$AE$7:$AE$2010,'LAC 102_Wkst'!$E$7:$E$2010,$C66,'LAC 102_Wkst'!$G$7:$G$2010,$D66,'LAC 102_Wkst'!$L$7:$L$2010,"05",'LAC 102_Wkst'!$N$7:$N$2010,"P1")+SUMIFS('LAC 102_Wkst'!$AE$7:$AE$2010,'LAC 102_Wkst'!$E$7:$E$2010,$C66,'LAC 102_Wkst'!$G$7:$G$2010,$D66,'LAC 102_Wkst'!$L$7:$L$2010,"06",'LAC 102_Wkst'!$N$7:$N$2010,"P1")</f>
        <v>0</v>
      </c>
      <c r="T66" s="410">
        <f>SUMIFS('LAC 102_Wkst'!$Q$7:$Q$2010,'LAC 102_Wkst'!$E$7:$E$2010,$C66,'LAC 102_Wkst'!$G$7:$G$2010,$D66,'LAC 102_Wkst'!$L$7:$L$2010,"05",'LAC 102_Wkst'!$N$7:$N$2010,"P2")+SUMIFS('LAC 102_Wkst'!$Q$7:$Q$2010,'LAC 102_Wkst'!$E$7:$E$2010,$C66,'LAC 102_Wkst'!$G$7:$G$2010,$D66,'LAC 102_Wkst'!$L$7:$L$2010,"05",'LAC 102_Wkst'!$N$7:$N$2010,"P3")+SUMIFS('LAC 102_Wkst'!$Q$7:$Q$2010,'LAC 102_Wkst'!$E$7:$E$2010,$C66,'LAC 102_Wkst'!$G$7:$G$2010,$D66,'LAC 102_Wkst'!$L$7:$L$2010,"06",'LAC 102_Wkst'!$N$7:$N$2010,"P2")+SUMIFS('LAC 102_Wkst'!$Q$7:$Q$2010,'LAC 102_Wkst'!$E$7:$E$2010,$C66,'LAC 102_Wkst'!$G$7:$G$2010,$D66,'LAC 102_Wkst'!$L$7:$L$2010,"06",'LAC 102_Wkst'!$N$7:$N$2010,"P3")</f>
        <v>0</v>
      </c>
      <c r="U66" s="411">
        <f>SUMIFS('LAC 102_Wkst'!$AE$7:$AE$2010,'LAC 102_Wkst'!$E$7:$E$2010,$C66,'LAC 102_Wkst'!$G$7:$G$2010,$D66,'LAC 102_Wkst'!$L$7:$L$2010,"05",'LAC 102_Wkst'!$N$7:$N$2010,"P2")+SUMIFS('LAC 102_Wkst'!$AE$7:$AE$2010,'LAC 102_Wkst'!$E$7:$E$2010,$C66,'LAC 102_Wkst'!$G$7:$G$2010,$D66,'LAC 102_Wkst'!$L$7:$L$2010,"06",'LAC 102_Wkst'!$N$7:$N$2010,"P3")+SUMIFS('LAC 102_Wkst'!$AE$7:$AE$2010,'LAC 102_Wkst'!$E$7:$E$2010,$C66,'LAC 102_Wkst'!$G$7:$G$2010,$D66,'LAC 102_Wkst'!$L$7:$L$2010,"05",'LAC 102_Wkst'!$N$7:$N$2010,"P2")+SUMIFS('LAC 102_Wkst'!$AE$7:$AE$2010,'LAC 102_Wkst'!$E$7:$E$2010,$C66,'LAC 102_Wkst'!$G$7:$G$2010,$D66,'LAC 102_Wkst'!$L$7:$L$2010,"06",'LAC 102_Wkst'!$N$7:$N$2010,"P3")</f>
        <v>0</v>
      </c>
      <c r="V66" s="410">
        <f>SUMIFS('LAC 102_Wkst'!$Q$7:$Q$2010,'LAC 102_Wkst'!$E$7:$E$2010,$C66,'LAC 102_Wkst'!$G$7:$G$2010,$D66,'LAC 102_Wkst'!$L$7:$L$2010,"05",'LAC 102_Wkst'!$N$7:$N$2010,"P4")+SUMIFS('LAC 102_Wkst'!$Q$7:$Q$2010,'LAC 102_Wkst'!$E$7:$E$2010,$C66,'LAC 102_Wkst'!$G$7:$G$2010,$D66,'LAC 102_Wkst'!$L$7:$L$2010,"06",'LAC 102_Wkst'!$N$7:$N$2010,"P4")</f>
        <v>0</v>
      </c>
      <c r="W66" s="411">
        <f>SUMIFS('LAC 102_Wkst'!$AE$7:$AE$2010,'LAC 102_Wkst'!$E$7:$E$2010,$C66,'LAC 102_Wkst'!$G$7:$G$2010,$D66,'LAC 102_Wkst'!$L$7:$L$2010,"05",'LAC 102_Wkst'!$N$7:$N$2010,"P4")+SUMIFS('LAC 102_Wkst'!$AE$7:$AE$2010,'LAC 102_Wkst'!$E$7:$E$2010,$C66,'LAC 102_Wkst'!$G$7:$G$2010,$D66,'LAC 102_Wkst'!$L$7:$L$2010,"06",'LAC 102_Wkst'!$N$7:$N$2010,"P4")</f>
        <v>0</v>
      </c>
      <c r="X66" s="410">
        <f>SUMIFS('LAC 102_Wkst'!$Q$7:$Q$2010,'LAC 102_Wkst'!$E$7:$E$2010,$C66,'LAC 102_Wkst'!$G$7:$G$2010,$D66,'LAC 102_Wkst'!$L$7:$L$2010,"05",'LAC 102_Wkst'!$N$7:$N$2010,"P5")+SUMIFS('LAC 102_Wkst'!$Q$7:$Q$2010,'LAC 102_Wkst'!$E$7:$E$2010,$C66,'LAC 102_Wkst'!$G$7:$G$2010,$D66,'LAC 102_Wkst'!$L$7:$L$2010,"06",'LAC 102_Wkst'!$N$7:$N$2010,"P5")</f>
        <v>0</v>
      </c>
      <c r="Y66" s="411">
        <f>SUMIFS('LAC 102_Wkst'!$AE$7:$AE$2010,'LAC 102_Wkst'!$E$7:$E$2010,$C66,'LAC 102_Wkst'!$G$7:$G$2010,$D66,'LAC 102_Wkst'!$L$7:$L$2010,"05",'LAC 102_Wkst'!$N$7:$N$2010,"P5")+SUMIFS('LAC 102_Wkst'!$AE$7:$AE$2010,'LAC 102_Wkst'!$E$7:$E$2010,$C66,'LAC 102_Wkst'!$G$7:$G$2010,$D66,'LAC 102_Wkst'!$L$7:$L$2010,"06",'LAC 102_Wkst'!$N$7:$N$2010,"P5")</f>
        <v>0</v>
      </c>
      <c r="Z66" s="410">
        <f>SUMIFS('LAC 102_Wkst'!$Q$7:$Q$2010,'LAC 102_Wkst'!$E$7:$E$2010,$C66,'LAC 102_Wkst'!$G$7:$G$2010,$D66,'LAC 102_Wkst'!$L$7:$L$2010,"07",'LAC 102_Wkst'!$N$7:$N$2010,"P1")+SUMIFS('LAC 102_Wkst'!$Q$7:$Q$2010,'LAC 102_Wkst'!$E$7:$E$2010,$C66,'LAC 102_Wkst'!$G$7:$G$2010,$D66,'LAC 102_Wkst'!$L$7:$L$2010,"07",'LAC 102_Wkst'!$N$7:$N$2010,"P2")+SUMIFS('LAC 102_Wkst'!$Q$7:$Q$2010,'LAC 102_Wkst'!$E$7:$E$2010,$C66,'LAC 102_Wkst'!$G$7:$G$2010,$D66,'LAC 102_Wkst'!$L$7:$L$2010,"07",'LAC 102_Wkst'!$N$7:$N$2010,"P3")</f>
        <v>0</v>
      </c>
      <c r="AA66" s="411">
        <f>SUMIFS('LAC 102_Wkst'!$AE$7:$AE$2010,'LAC 102_Wkst'!$E$7:$E$2010,$C66,'LAC 102_Wkst'!$G$7:$G$2010,$D66,'LAC 102_Wkst'!$L$7:$L$2010,"07",'LAC 102_Wkst'!$N$7:$N$2010,"P1")+SUMIFS('LAC 102_Wkst'!$AE$7:$AE$2010,'LAC 102_Wkst'!$E$7:$E$2010,$C66,'LAC 102_Wkst'!$G$7:$G$2010,$D66,'LAC 102_Wkst'!$L$7:$L$2010,"07",'LAC 102_Wkst'!$N$7:$N$2010,"P2")+SUMIFS('LAC 102_Wkst'!$AE$7:$AE$2010,'LAC 102_Wkst'!$E$7:$E$2010,$C66,'LAC 102_Wkst'!$G$7:$G$2010,$D66,'LAC 102_Wkst'!$L$7:$L$2010,"07",'LAC 102_Wkst'!$N$7:$N$2010,"P3")</f>
        <v>0</v>
      </c>
      <c r="AB66" s="410">
        <f>SUMIFS('LAC 102_Wkst'!$Q$7:$Q$2010,'LAC 102_Wkst'!$E$7:$E$2010,$C66,'LAC 102_Wkst'!$G$7:$G$2010,$D66,'LAC 102_Wkst'!$L$7:$L$2010,"07",'LAC 102_Wkst'!$N$7:$N$2010,"P4")</f>
        <v>0</v>
      </c>
      <c r="AC66" s="411">
        <f>SUMIFS('LAC 102_Wkst'!$AE$7:$AE$2010,'LAC 102_Wkst'!$E$7:$E$2010,$C66,'LAC 102_Wkst'!$G$7:$G$2010,$D66,'LAC 102_Wkst'!$L$7:$L$2010,"07",'LAC 102_Wkst'!$N$7:$N$2010,"P4")</f>
        <v>0</v>
      </c>
      <c r="AD66" s="410">
        <f>SUMIFS('LAC 102_Wkst'!$Q$7:$Q$2010,'LAC 102_Wkst'!$E$7:$E$2010,$C66,'LAC 102_Wkst'!$G$7:$G$2010,$D66,'LAC 102_Wkst'!$L$7:$L$2010,"07",'LAC 102_Wkst'!$N$7:$N$2010,"P5")</f>
        <v>0</v>
      </c>
      <c r="AE66" s="411">
        <f>SUMIFS('LAC 102_Wkst'!$AE$7:$AE$2010,'LAC 102_Wkst'!$E$7:$E$2010,$C66,'LAC 102_Wkst'!$G$7:$G$2010,$D66,'LAC 102_Wkst'!$L$7:$L$2010,"07",'LAC 102_Wkst'!$N$7:$N$2010,"P5")</f>
        <v>0</v>
      </c>
      <c r="AF66" s="410">
        <f>SUMIFS('LAC 102_Wkst'!$Q$7:$Q$2010,'LAC 102_Wkst'!$E$7:$E$2010,$C66,'LAC 102_Wkst'!$G$7:$G$2010,$D66,'LAC 102_Wkst'!$L$7:$L$2010,"08",'LAC 102_Wkst'!$N$7:$N$2010,"P1")+SUMIFS('LAC 102_Wkst'!$Q$7:$Q$2010,'LAC 102_Wkst'!$E$7:$E$2010,$C66,'LAC 102_Wkst'!$G$7:$G$2010,$D66,'LAC 102_Wkst'!$L$7:$L$2010,"08",'LAC 102_Wkst'!$N$7:$N$2010,"P2")+SUMIFS('LAC 102_Wkst'!$Q$7:$Q$2010,'LAC 102_Wkst'!$E$7:$E$2010,$C66,'LAC 102_Wkst'!$G$7:$G$2010,$D66,'LAC 102_Wkst'!$L$7:$L$2010,"08",'LAC 102_Wkst'!$N$7:$N$2010,"P3")</f>
        <v>0</v>
      </c>
      <c r="AG66" s="411">
        <f>SUMIFS('LAC 102_Wkst'!$AE$7:$AE$2010,'LAC 102_Wkst'!$E$7:$E$2010,$C66,'LAC 102_Wkst'!$G$7:$G$2010,$D66,'LAC 102_Wkst'!$L$7:$L$2010,"08",'LAC 102_Wkst'!$N$7:$N$2010,"P1")+SUMIFS('LAC 102_Wkst'!$AE$7:$AE$2010,'LAC 102_Wkst'!$E$7:$E$2010,$C66,'LAC 102_Wkst'!$G$7:$G$2010,$D66,'LAC 102_Wkst'!$L$7:$L$2010,"08",'LAC 102_Wkst'!$N$7:$N$2010,"P2")+SUMIFS('LAC 102_Wkst'!$AE$7:$AE$2010,'LAC 102_Wkst'!$E$7:$E$2010,$C66,'LAC 102_Wkst'!$G$7:$G$2010,$D66,'LAC 102_Wkst'!$L$7:$L$2010,"08",'LAC 102_Wkst'!$N$7:$N$2010,"P3")</f>
        <v>0</v>
      </c>
      <c r="AH66" s="410">
        <f>SUMIFS('LAC 102_Wkst'!$Q$7:$Q$2010,'LAC 102_Wkst'!$E$7:$E$2010,$C66,'LAC 102_Wkst'!$G$7:$G$2010,$D66,'LAC 102_Wkst'!$L$7:$L$2010,"08",'LAC 102_Wkst'!$N$7:$N$2010,"P4")</f>
        <v>0</v>
      </c>
      <c r="AI66" s="411">
        <f>SUMIFS('LAC 102_Wkst'!$AE$7:$AE$2010,'LAC 102_Wkst'!$E$7:$E$2010,$C66,'LAC 102_Wkst'!$G$7:$G$2010,$D66,'LAC 102_Wkst'!$L$7:$L$2010,"08",'LAC 102_Wkst'!$N$7:$N$2010,"P4")</f>
        <v>0</v>
      </c>
      <c r="AJ66" s="410">
        <f>SUMIFS('LAC 102_Wkst'!$Q$7:$Q$2010,'LAC 102_Wkst'!$E$7:$E$2010,$C66,'LAC 102_Wkst'!$G$7:$G$2010,$D66,'LAC 102_Wkst'!$L$7:$L$2010,"08",'LAC 102_Wkst'!$N$7:$N$2010,"P5")</f>
        <v>0</v>
      </c>
      <c r="AK66" s="411">
        <f>SUMIFS('LAC 102_Wkst'!$AE$7:$AE$2010,'LAC 102_Wkst'!$E$7:$E$2010,$C66,'LAC 102_Wkst'!$G$7:$G$2010,$D66,'LAC 102_Wkst'!$L$7:$L$2010,"08",'LAC 102_Wkst'!$N$7:$N$2010,"P5")</f>
        <v>0</v>
      </c>
      <c r="AL66" s="410">
        <f>SUMIFS('LAC 102_Wkst'!$Q$7:$Q$2010,'LAC 102_Wkst'!$E$7:$E$2010,$C66,'LAC 102_Wkst'!$G$7:$G$2010,$D66,'LAC 102_Wkst'!$L$7:$L$2010,"09",'LAC 102_Wkst'!$N$7:$N$2010,"P1")+SUMIFS('LAC 102_Wkst'!$Q$7:$Q$2010,'LAC 102_Wkst'!$E$7:$E$2010,$C66,'LAC 102_Wkst'!$G$7:$G$2010,$D66,'LAC 102_Wkst'!$L$7:$L$2010,"09",'LAC 102_Wkst'!$N$7:$N$2010,"P2")+SUMIFS('LAC 102_Wkst'!$Q$7:$Q$2010,'LAC 102_Wkst'!$E$7:$E$2010,$C66,'LAC 102_Wkst'!$G$7:$G$2010,$D66,'LAC 102_Wkst'!$L$7:$L$2010,"09",'LAC 102_Wkst'!$N$7:$N$2010,"P3")+SUMIFS('LAC 102_Wkst'!$Q$7:$Q$2010,'LAC 102_Wkst'!$E$7:$E$2010,$C66,'LAC 102_Wkst'!$G$7:$G$2010,$D66,'LAC 102_Wkst'!$L$7:$L$2010,"09",'LAC 102_Wkst'!$N$7:$N$2010,"P4")</f>
        <v>0</v>
      </c>
      <c r="AM66" s="411">
        <f>SUMIFS('LAC 102_Wkst'!$AE$7:$AE$2010,'LAC 102_Wkst'!$E$7:$E$2010,$C66,'LAC 102_Wkst'!$G$7:$G$2010,$D66,'LAC 102_Wkst'!$L$7:$L$2010,"09",'LAC 102_Wkst'!$N$7:$N$2010,"P1")+SUMIFS('LAC 102_Wkst'!$AE$7:$AE$2010,'LAC 102_Wkst'!$E$7:$E$2010,$C66,'LAC 102_Wkst'!$G$7:$G$2010,$D66,'LAC 102_Wkst'!$L$7:$L$2010,"09",'LAC 102_Wkst'!$N$7:$N$2010,"P2")+SUMIFS('LAC 102_Wkst'!$AE$7:$AE$2010,'LAC 102_Wkst'!$E$7:$E$2010,$C66,'LAC 102_Wkst'!$G$7:$G$2010,$D66,'LAC 102_Wkst'!$L$7:$L$2010,"09",'LAC 102_Wkst'!$N$7:$N$2010,"P3")+SUMIFS('LAC 102_Wkst'!$AE$7:$AE$2010,'LAC 102_Wkst'!$E$7:$E$2010,$C66,'LAC 102_Wkst'!$G$7:$G$2010,$D66,'LAC 102_Wkst'!$L$7:$L$2010,"09",'LAC 102_Wkst'!$N$7:$N$2010,"P4")</f>
        <v>0</v>
      </c>
      <c r="AN66" s="410">
        <f>SUMIFS('LAC 102_Wkst'!$Q$7:$Q$2010,'LAC 102_Wkst'!$E$7:$E$2010,$C66,'LAC 102_Wkst'!$G$7:$G$2010,$D66,'LAC 102_Wkst'!$L$7:$L$2010,"09",'LAC 102_Wkst'!$N$7:$N$2010,"P5")</f>
        <v>0</v>
      </c>
      <c r="AO66" s="411">
        <f>SUMIFS('LAC 102_Wkst'!$AE$7:$AE$2010,'LAC 102_Wkst'!$E$7:$E$2010,$C66,'LAC 102_Wkst'!$G$7:$G$2010,$D66,'LAC 102_Wkst'!$L$7:$L$2010,"09",'LAC 102_Wkst'!$N$7:$N$2010,"P5")</f>
        <v>0</v>
      </c>
      <c r="AP66" s="410">
        <f>SUMIFS('LAC 102_Wkst'!$Q$7:$Q$2010,'LAC 102_Wkst'!$E$7:$E$2010,$C66,'LAC 102_Wkst'!$G$7:$G$2010,$D66,'LAC 102_Wkst'!$L$7:$L$2010,"10",'LAC 102_Wkst'!$N$7:$N$2010,"P1")+SUMIFS('LAC 102_Wkst'!$Q$7:$Q$2010,'LAC 102_Wkst'!$E$7:$E$2010,$C66,'LAC 102_Wkst'!$G$7:$G$2010,$D66,'LAC 102_Wkst'!$L$7:$L$2010,"10",'LAC 102_Wkst'!$N$7:$N$2010,"P2")+SUMIFS('LAC 102_Wkst'!$Q$7:$Q$2010,'LAC 102_Wkst'!$E$7:$E$2010,$C66,'LAC 102_Wkst'!$G$7:$G$2010,$D66,'LAC 102_Wkst'!$L$7:$L$2010,"10",'LAC 102_Wkst'!$N$7:$N$2010,"P3")+SUMIFS('LAC 102_Wkst'!$Q$7:$Q$2010,'LAC 102_Wkst'!$E$7:$E$2010,$C66,'LAC 102_Wkst'!$G$7:$G$2010,$D66,'LAC 102_Wkst'!$L$7:$L$2010,"10",'LAC 102_Wkst'!$N$7:$N$2010,"P4")</f>
        <v>0</v>
      </c>
      <c r="AQ66" s="411">
        <f>SUMIFS('LAC 102_Wkst'!$AE$7:$AE$2010,'LAC 102_Wkst'!$E$7:$E$2010,$C66,'LAC 102_Wkst'!$G$7:$G$2010,$D66,'LAC 102_Wkst'!$L$7:$L$2010,"10",'LAC 102_Wkst'!$N$7:$N$2010,"P1")+SUMIFS('LAC 102_Wkst'!$AE$7:$AE$2010,'LAC 102_Wkst'!$E$7:$E$2010,$C66,'LAC 102_Wkst'!$G$7:$G$2010,$D66,'LAC 102_Wkst'!$L$7:$L$2010,"10",'LAC 102_Wkst'!$N$7:$N$2010,"P2")+SUMIFS('LAC 102_Wkst'!$AE$7:$AE$2010,'LAC 102_Wkst'!$E$7:$E$2010,$C66,'LAC 102_Wkst'!$G$7:$G$2010,$D66,'LAC 102_Wkst'!$L$7:$L$2010,"10",'LAC 102_Wkst'!$N$7:$N$2010,"P3")+SUMIFS('LAC 102_Wkst'!$AE$7:$AE$2010,'LAC 102_Wkst'!$E$7:$E$2010,$C66,'LAC 102_Wkst'!$G$7:$G$2010,$D66,'LAC 102_Wkst'!$L$7:$L$2010,"10",'LAC 102_Wkst'!$N$7:$N$2010,"P4")</f>
        <v>0</v>
      </c>
      <c r="AR66" s="410">
        <f>SUMIFS('LAC 102_Wkst'!$Q$7:$Q$2010,'LAC 102_Wkst'!$E$7:$E$2010,$C66,'LAC 102_Wkst'!$G$7:$G$2010,$D66,'LAC 102_Wkst'!$L$7:$L$2010,"10",'LAC 102_Wkst'!$N$7:$N$2010,"P5")</f>
        <v>0</v>
      </c>
      <c r="AS66" s="411">
        <f>SUMIFS('LAC 102_Wkst'!$AE$7:$AE$2010,'LAC 102_Wkst'!$E$7:$E$2010,$C66,'LAC 102_Wkst'!$G$7:$G$2010,$D66,'LAC 102_Wkst'!$L$7:$L$2010,"10",'LAC 102_Wkst'!$N$7:$N$2010,"P5")</f>
        <v>0</v>
      </c>
      <c r="AT66" s="410">
        <f>SUMIFS('LAC 102_Wkst'!$Q$7:$Q$2010,'LAC 102_Wkst'!$E$7:$E$2010,$C66,'LAC 102_Wkst'!$G$7:$G$2010,$D66,'LAC 102_Wkst'!$L$7:$L$2010,"11",'LAC 102_Wkst'!$N$7:$N$2010,"P1")+SUMIFS('LAC 102_Wkst'!$Q$7:$Q$2010,'LAC 102_Wkst'!$E$7:$E$2010,$C66,'LAC 102_Wkst'!$G$7:$G$2010,$D66,'LAC 102_Wkst'!$L$7:$L$2010,"12",'LAC 102_Wkst'!$N$7:$N$2010,"P1")</f>
        <v>0</v>
      </c>
      <c r="AU66" s="411">
        <f>SUMIFS('LAC 102_Wkst'!$AE$7:$AE$2010,'LAC 102_Wkst'!$E$7:$E$2010,$C66,'LAC 102_Wkst'!$G$7:$G$2010,$D66,'LAC 102_Wkst'!$L$7:$L$2010,"11",'LAC 102_Wkst'!$N$7:$N$2010,"P1")+SUMIFS('LAC 102_Wkst'!$AE$7:$AE$2010,'LAC 102_Wkst'!$E$7:$E$2010,$C66,'LAC 102_Wkst'!$G$7:$G$2010,$D66,'LAC 102_Wkst'!$L$7:$L$2010,"12",'LAC 102_Wkst'!$N$7:$N$2010,"P1")</f>
        <v>0</v>
      </c>
      <c r="AV66" s="410">
        <f>SUMIFS('LAC 102_Wkst'!$Q$7:$Q$2010,'LAC 102_Wkst'!$E$7:$E$2010,$C66,'LAC 102_Wkst'!$G$7:$G$2010,$D66,'LAC 102_Wkst'!$L$7:$L$2010,"11",'LAC 102_Wkst'!$N$7:$N$2010,"P2")+SUMIFS('LAC 102_Wkst'!$Q$7:$Q$2010,'LAC 102_Wkst'!$E$7:$E$2010,$C66,'LAC 102_Wkst'!$G$7:$G$2010,$D66,'LAC 102_Wkst'!$L$7:$L$2010,"12",'LAC 102_Wkst'!$N$7:$N$2010,"P3")+SUMIFS('LAC 102_Wkst'!$Q$7:$Q$2010,'LAC 102_Wkst'!$E$7:$E$2010,$C66,'LAC 102_Wkst'!$G$7:$G$2010,$D66,'LAC 102_Wkst'!$L$7:$L$2010,"11",'LAC 102_Wkst'!$N$7:$N$2010,"P2")+SUMIFS('LAC 102_Wkst'!$Q$7:$Q$2010,'LAC 102_Wkst'!$E$7:$E$2010,$C66,'LAC 102_Wkst'!$G$7:$G$2010,$D66,'LAC 102_Wkst'!$L$7:$L$2010,"12",'LAC 102_Wkst'!$N$7:$N$2010,"P3")</f>
        <v>0</v>
      </c>
      <c r="AW66" s="411">
        <f>SUMIFS('LAC 102_Wkst'!$AE$7:$AE$2010,'LAC 102_Wkst'!$E$7:$E$2010,$C66,'LAC 102_Wkst'!$G$7:$G$2010,$D66,'LAC 102_Wkst'!$L$7:$L$2010,"11",'LAC 102_Wkst'!$N$7:$N$2010,"P2")+SUMIFS('LAC 102_Wkst'!$AE$7:$AE$2010,'LAC 102_Wkst'!$E$7:$E$2010,$C66,'LAC 102_Wkst'!$G$7:$G$2010,$D66,'LAC 102_Wkst'!$L$7:$L$2010,"12",'LAC 102_Wkst'!$N$7:$N$2010,"P3")+SUMIFS('LAC 102_Wkst'!$AE$7:$AE$2010,'LAC 102_Wkst'!$E$7:$E$2010,$C66,'LAC 102_Wkst'!$G$7:$G$2010,$D66,'LAC 102_Wkst'!$L$7:$L$2010,"11",'LAC 102_Wkst'!$N$7:$N$2010,"P2")+SUMIFS('LAC 102_Wkst'!$AE$7:$AE$2010,'LAC 102_Wkst'!$E$7:$E$2010,$C66,'LAC 102_Wkst'!$G$7:$G$2010,$D66,'LAC 102_Wkst'!$L$7:$L$2010,"12",'LAC 102_Wkst'!$N$7:$N$2010,"P3")</f>
        <v>0</v>
      </c>
      <c r="AX66" s="410">
        <f>SUMIFS('LAC 102_Wkst'!$Q$7:$Q$2010,'LAC 102_Wkst'!$E$7:$E$2010,$C66,'LAC 102_Wkst'!$G$7:$G$2010,$D66,'LAC 102_Wkst'!$L$7:$L$2010,"11",'LAC 102_Wkst'!$N$7:$N$2010,"P4")+SUMIFS('LAC 102_Wkst'!$Q$7:$Q$2010,'LAC 102_Wkst'!$E$7:$E$2010,$C66,'LAC 102_Wkst'!$G$7:$G$2010,$D66,'LAC 102_Wkst'!$L$7:$L$2010,"12",'LAC 102_Wkst'!$N$7:$N$2010,"P4")</f>
        <v>0</v>
      </c>
      <c r="AY66" s="411">
        <f>SUMIFS('LAC 102_Wkst'!$AE$7:$AE$2010,'LAC 102_Wkst'!$E$7:$E$2010,$C66,'LAC 102_Wkst'!$G$7:$G$2010,$D66,'LAC 102_Wkst'!$L$7:$L$2010,"11",'LAC 102_Wkst'!$N$7:$N$2010,"P4")+SUMIFS('LAC 102_Wkst'!$AE$7:$AE$2010,'LAC 102_Wkst'!$E$7:$E$2010,$C66,'LAC 102_Wkst'!$G$7:$G$2010,$D66,'LAC 102_Wkst'!$L$7:$L$2010,"12",'LAC 102_Wkst'!$N$7:$N$2010,"P4")</f>
        <v>0</v>
      </c>
      <c r="AZ66" s="410">
        <f>SUMIFS('LAC 102_Wkst'!$Q$7:$Q$2010,'LAC 102_Wkst'!$E$7:$E$2010,$C66,'LAC 102_Wkst'!$G$7:$G$2010,$D66,'LAC 102_Wkst'!$L$7:$L$2010,"11",'LAC 102_Wkst'!$N$7:$N$2010,"P5")+SUMIFS('LAC 102_Wkst'!$Q$7:$Q$2010,'LAC 102_Wkst'!$E$7:$E$2010,$C66,'LAC 102_Wkst'!$G$7:$G$2010,$D66,'LAC 102_Wkst'!$L$7:$L$2010,"12",'LAC 102_Wkst'!$N$7:$N$2010,"P5")</f>
        <v>0</v>
      </c>
      <c r="BA66" s="411">
        <f>SUMIFS('LAC 102_Wkst'!$AE$7:$AE$2010,'LAC 102_Wkst'!$E$7:$E$2010,$C66,'LAC 102_Wkst'!$G$7:$G$2010,$D66,'LAC 102_Wkst'!$L$7:$L$2010,"11",'LAC 102_Wkst'!$N$7:$N$2010,"P5")+SUMIFS('LAC 102_Wkst'!$AE$7:$AE$2010,'LAC 102_Wkst'!$E$7:$E$2010,$C66,'LAC 102_Wkst'!$G$7:$G$2010,$D66,'LAC 102_Wkst'!$L$7:$L$2010,"12",'LAC 102_Wkst'!$N$7:$N$2010,"P5")</f>
        <v>0</v>
      </c>
      <c r="BB66" s="410">
        <f>SUMIFS('LAC 102_Wkst'!$Q$7:$Q$2010,'LAC 102_Wkst'!$E$7:$E$2010,$C66,'LAC 102_Wkst'!$G$7:$G$2010,$D66,'LAC 102_Wkst'!$L$7:$L$2010,"13",'LAC 102_Wkst'!$N$7:$N$2010,"P1")+SUMIFS('LAC 102_Wkst'!$Q$7:$Q$2010,'LAC 102_Wkst'!$E$7:$E$2010,$C66,'LAC 102_Wkst'!$G$7:$G$2010,$D66,'LAC 102_Wkst'!$L$7:$L$2010,"13",'LAC 102_Wkst'!$N$7:$N$2010,"P2")+SUMIFS('LAC 102_Wkst'!$Q$7:$Q$2010,'LAC 102_Wkst'!$E$7:$E$2010,$C66,'LAC 102_Wkst'!$G$7:$G$2010,$D66,'LAC 102_Wkst'!$L$7:$L$2010,"13",'LAC 102_Wkst'!$N$7:$N$2010,"P3")+SUMIFS('LAC 102_Wkst'!$Q$7:$Q$2010,'LAC 102_Wkst'!$E$7:$E$2010,$C66,'LAC 102_Wkst'!$G$7:$G$2010,$D66,'LAC 102_Wkst'!$L$7:$L$2010,"13",'LAC 102_Wkst'!$N$7:$N$2010,"P4")</f>
        <v>0</v>
      </c>
      <c r="BC66" s="411">
        <f>SUMIFS('LAC 102_Wkst'!$AE$7:$AE$2010,'LAC 102_Wkst'!$E$7:$E$2010,$C66,'LAC 102_Wkst'!$G$7:$G$2010,$D66,'LAC 102_Wkst'!$L$7:$L$2010,"13",'LAC 102_Wkst'!$N$7:$N$2010,"P1")+SUMIFS('LAC 102_Wkst'!$AE$7:$AE$2010,'LAC 102_Wkst'!$E$7:$E$2010,$C66,'LAC 102_Wkst'!$G$7:$G$2010,$D66,'LAC 102_Wkst'!$L$7:$L$2010,"13",'LAC 102_Wkst'!$N$7:$N$2010,"P2")+SUMIFS('LAC 102_Wkst'!$AE$7:$AE$2010,'LAC 102_Wkst'!$E$7:$E$2010,$C66,'LAC 102_Wkst'!$G$7:$G$2010,$D66,'LAC 102_Wkst'!$L$7:$L$2010,"13",'LAC 102_Wkst'!$N$7:$N$2010,"P3")+SUMIFS('LAC 102_Wkst'!$AE$7:$AE$2010,'LAC 102_Wkst'!$E$7:$E$2010,$C66,'LAC 102_Wkst'!$G$7:$G$2010,$D66,'LAC 102_Wkst'!$L$7:$L$2010,"13",'LAC 102_Wkst'!$N$7:$N$2010,"P4")</f>
        <v>0</v>
      </c>
      <c r="BD66" s="410">
        <f>SUMIFS('LAC 102_Wkst'!$Q$7:$Q$2010,'LAC 102_Wkst'!$E$7:$E$2010,$C66,'LAC 102_Wkst'!$G$7:$G$2010,$D66,'LAC 102_Wkst'!$L$7:$L$2010,"13",'LAC 102_Wkst'!$N$7:$N$2010,"P5")</f>
        <v>0</v>
      </c>
      <c r="BE66" s="411">
        <f>SUMIFS('LAC 102_Wkst'!$AE$7:$AE$2010,'LAC 102_Wkst'!$E$7:$E$2010,$C66,'LAC 102_Wkst'!$G$7:$G$2010,$D66,'LAC 102_Wkst'!$L$7:$L$2010,"13",'LAC 102_Wkst'!$N$7:$N$2010,"P5")</f>
        <v>0</v>
      </c>
      <c r="BF66" s="407">
        <f t="shared" si="0"/>
        <v>0</v>
      </c>
    </row>
    <row r="67" spans="1:58" x14ac:dyDescent="0.2">
      <c r="A67" s="401">
        <v>48</v>
      </c>
      <c r="B67" s="1236"/>
      <c r="C67" s="1235"/>
      <c r="D67" s="1237"/>
      <c r="E67" s="1222">
        <f>IF(CONCATENATE(C67,D67)&gt;"6069",1,SUMIFS('LAC 102_Wkst'!$Q$7:$Q$2010,'LAC 102_Wkst'!$E$7:$E$2010,Schedule_B!$C67,'LAC 102_Wkst'!$G$7:$G$2010,Schedule_B!$D67))</f>
        <v>0</v>
      </c>
      <c r="F67" s="408">
        <f>SUMIFS('LAC 102_Wkst'!$Q$7:$Q$2010,'LAC 102_Wkst'!$E$7:$E$2010,$C67,'LAC 102_Wkst'!$G$7:$G$2010,$D67,'LAC 102_Wkst'!$L$7:$L$2010,"01",'LAC 102_Wkst'!$N$7:$N$2010,"P1")+SUMIFS('LAC 102_Wkst'!$Q$7:$Q$2010,'LAC 102_Wkst'!$E$7:$E$2010,$C67,'LAC 102_Wkst'!$G$7:$G$2010,$D67,'LAC 102_Wkst'!$L$7:$L$2010,"01",'LAC 102_Wkst'!$N$7:$N$2010,"P2")+SUMIFS('LAC 102_Wkst'!$Q$7:$Q$2010,'LAC 102_Wkst'!$E$7:$E$2010,$C67,'LAC 102_Wkst'!$G$7:$G$2010,$D67,'LAC 102_Wkst'!$L$7:$L$2010,"01",'LAC 102_Wkst'!$N$7:$N$2010,"P3")+SUMIFS('LAC 102_Wkst'!$Q$7:$Q$2010,'LAC 102_Wkst'!$E$7:$E$2010,$C67,'LAC 102_Wkst'!$G$7:$G$2010,$D67,'LAC 102_Wkst'!$L$7:$L$2010,"02",'LAC 102_Wkst'!$N$7:$N$2010,"P1")+SUMIFS('LAC 102_Wkst'!$Q$7:$Q$2010,'LAC 102_Wkst'!$E$7:$E$2010,$C67,'LAC 102_Wkst'!$G$7:$G$2010,$D67,'LAC 102_Wkst'!$L$7:$L$2010,"02",'LAC 102_Wkst'!$N$7:$N$2010,"P2")+SUMIFS('LAC 102_Wkst'!$Q$7:$Q$2010,'LAC 102_Wkst'!$E$7:$E$2010,$C67,'LAC 102_Wkst'!$G$7:$G$2010,$D67,'LAC 102_Wkst'!$L$7:$L$2010,"02",'LAC 102_Wkst'!$N$7:$N$2010,"P3")</f>
        <v>0</v>
      </c>
      <c r="G67" s="409">
        <f>SUMIFS('LAC 102_Wkst'!$AE$7:$AE$2010,'LAC 102_Wkst'!$E$7:$E$2010,$C67,'LAC 102_Wkst'!$G$7:$G$2010,$D67,'LAC 102_Wkst'!$L$7:$L$2010,"01",'LAC 102_Wkst'!$N$7:$N$2010,"P1")+SUMIFS('LAC 102_Wkst'!$AE$7:$AE$2010,'LAC 102_Wkst'!$E$7:$E$2010,$C67,'LAC 102_Wkst'!$G$7:$G$2010,$D67,'LAC 102_Wkst'!$L$7:$L$2010,"01",'LAC 102_Wkst'!$N$7:$N$2010,"P2")+SUMIFS('LAC 102_Wkst'!$AE$7:$AE$2010,'LAC 102_Wkst'!$E$7:$E$2010,$C67,'LAC 102_Wkst'!$G$7:$G$2010,$D67,'LAC 102_Wkst'!$L$7:$L$2010,"01",'LAC 102_Wkst'!$N$7:$N$2010,"P3")+SUMIFS('LAC 102_Wkst'!$AE$7:$AE$2010,'LAC 102_Wkst'!$E$7:$E$2010,$C67,'LAC 102_Wkst'!$G$7:$G$2010,$D67,'LAC 102_Wkst'!$L$7:$L$2010,"02",'LAC 102_Wkst'!$N$7:$N$2010,"P1")+SUMIFS('LAC 102_Wkst'!$AE$7:$AE$2010,'LAC 102_Wkst'!$E$7:$E$2010,$C67,'LAC 102_Wkst'!$G$7:$G$2010,$D67,'LAC 102_Wkst'!$L$7:$L$2010,"02",'LAC 102_Wkst'!$N$7:$N$2010,"P2")+SUMIFS('LAC 102_Wkst'!$AE$7:$AE$2010,'LAC 102_Wkst'!$E$7:$E$2010,$C67,'LAC 102_Wkst'!$G$7:$G$2010,$D67,'LAC 102_Wkst'!$L$7:$L$2010,"02",'LAC 102_Wkst'!$N$7:$N$2010,"P3")</f>
        <v>0</v>
      </c>
      <c r="H67" s="410">
        <f>SUMIFS('LAC 102_Wkst'!$Q$7:$Q$2010,'LAC 102_Wkst'!$E$7:$E$2010,$C67,'LAC 102_Wkst'!$G$7:$G$2010,$D67,'LAC 102_Wkst'!$L$7:$L$2010,"01",'LAC 102_Wkst'!$N$7:$N$2010,"P4")+SUMIFS('LAC 102_Wkst'!$Q$7:$Q$2010,'LAC 102_Wkst'!$E$7:$E$2010,$C67,'LAC 102_Wkst'!$G$7:$G$2010,$D67,'LAC 102_Wkst'!$L$7:$L$2010,"02",'LAC 102_Wkst'!$N$7:$N$2010,"P4")</f>
        <v>0</v>
      </c>
      <c r="I67" s="411">
        <f>SUMIFS('LAC 102_Wkst'!$AE$7:$AE$2010,'LAC 102_Wkst'!$E$7:$E$2010,$C67,'LAC 102_Wkst'!$G$7:$G$2010,$D67,'LAC 102_Wkst'!$L$7:$L$2010,"01",'LAC 102_Wkst'!$N$7:$N$2010,"P4")+SUMIFS('LAC 102_Wkst'!$AE$7:$AE$2010,'LAC 102_Wkst'!$E$7:$E$2010,$C67,'LAC 102_Wkst'!$G$7:$G$2010,$D67,'LAC 102_Wkst'!$L$7:$L$2010,"02",'LAC 102_Wkst'!$N$7:$N$2010,"P4")</f>
        <v>0</v>
      </c>
      <c r="J67" s="410">
        <f>SUMIFS('LAC 102_Wkst'!$Q$7:$Q$2010,'LAC 102_Wkst'!$E$7:$E$2010,$C67,'LAC 102_Wkst'!$G$7:$G$2010,$D67,'LAC 102_Wkst'!$L$7:$L$2010,"01",'LAC 102_Wkst'!$N$7:$N$2010,"P5")+SUMIFS('LAC 102_Wkst'!$Q$7:$Q$2010,'LAC 102_Wkst'!$E$7:$E$2010,$C67,'LAC 102_Wkst'!$G$7:$G$2010,$D67,'LAC 102_Wkst'!$L$7:$L$2010,"02",'LAC 102_Wkst'!$N$7:$N$2010,"P5")</f>
        <v>0</v>
      </c>
      <c r="K67" s="411">
        <f>SUMIFS('LAC 102_Wkst'!$AE$7:$AE$2010,'LAC 102_Wkst'!$E$7:$E$2010,$C67,'LAC 102_Wkst'!$G$7:$G$2010,$D67,'LAC 102_Wkst'!$L$7:$L$2010,"01",'LAC 102_Wkst'!$N$7:$N$2010,"P5")+SUMIFS('LAC 102_Wkst'!$AE$7:$AE$2010,'LAC 102_Wkst'!$E$7:$E$2010,$C67,'LAC 102_Wkst'!$G$7:$G$2010,$D67,'LAC 102_Wkst'!$L$7:$L$2010,"02",'LAC 102_Wkst'!$N$7:$N$2010,"P5")</f>
        <v>0</v>
      </c>
      <c r="L67" s="410">
        <f>SUMIFS('LAC 102_Wkst'!$Q$7:$Q$2010,'LAC 102_Wkst'!$E$7:$E$2010,$C67,'LAC 102_Wkst'!$G$7:$G$2010,$D67,'LAC 102_Wkst'!$L$7:$L$2010,"03",'LAC 102_Wkst'!$N$7:$N$2010,"P1")+SUMIFS('LAC 102_Wkst'!$Q$7:$Q$2010,'LAC 102_Wkst'!$E$7:$E$2010,$C67,'LAC 102_Wkst'!$G$7:$G$2010,$D67,'LAC 102_Wkst'!$L$7:$L$2010,"03",'LAC 102_Wkst'!$N$7:$N$2010,"P2")+SUMIFS('LAC 102_Wkst'!$Q$7:$Q$2010,'LAC 102_Wkst'!$E$7:$E$2010,$C67,'LAC 102_Wkst'!$G$7:$G$2010,$D67,'LAC 102_Wkst'!$L$7:$L$2010,"03",'LAC 102_Wkst'!$N$7:$N$2010,"P3")+SUMIFS('LAC 102_Wkst'!$Q$7:$Q$2010,'LAC 102_Wkst'!$E$7:$E$2010,$C67,'LAC 102_Wkst'!$G$7:$G$2010,$D67,'LAC 102_Wkst'!$L$7:$L$2010,"04",'LAC 102_Wkst'!$N$7:$N$2010,"P1")+SUMIFS('LAC 102_Wkst'!$Q$7:$Q$2010,'LAC 102_Wkst'!$E$7:$E$2010,$C67,'LAC 102_Wkst'!$G$7:$G$2010,$D67,'LAC 102_Wkst'!$L$7:$L$2010,"04",'LAC 102_Wkst'!$N$7:$N$2010,"P2")+SUMIFS('LAC 102_Wkst'!$Q$7:$Q$2010,'LAC 102_Wkst'!$E$7:$E$2010,$C67,'LAC 102_Wkst'!$G$7:$G$2010,$D67,'LAC 102_Wkst'!$L$7:$L$2010,"04",'LAC 102_Wkst'!$N$7:$N$2010,"P3")</f>
        <v>0</v>
      </c>
      <c r="M67" s="411">
        <f>SUMIFS('LAC 102_Wkst'!$AE$7:$AE$2010,'LAC 102_Wkst'!$E$7:$E$2010,$C67,'LAC 102_Wkst'!$G$7:$G$2010,$D67,'LAC 102_Wkst'!$L$7:$L$2010,"03",'LAC 102_Wkst'!$N$7:$N$2010,"P1")+SUMIFS('LAC 102_Wkst'!$AE$7:$AE$2010,'LAC 102_Wkst'!$E$7:$E$2010,$C67,'LAC 102_Wkst'!$G$7:$G$2010,$D67,'LAC 102_Wkst'!$L$7:$L$2010,"03",'LAC 102_Wkst'!$N$7:$N$2010,"P2")+SUMIFS('LAC 102_Wkst'!$AE$7:$AE$2010,'LAC 102_Wkst'!$E$7:$E$2010,$C67,'LAC 102_Wkst'!$G$7:$G$2010,$D67,'LAC 102_Wkst'!$L$7:$L$2010,"03",'LAC 102_Wkst'!$N$7:$N$2010,"P3")+SUMIFS('LAC 102_Wkst'!$AE$7:$AE$2010,'LAC 102_Wkst'!$E$7:$E$2010,$C67,'LAC 102_Wkst'!$G$7:$G$2010,$D67,'LAC 102_Wkst'!$L$7:$L$2010,"04",'LAC 102_Wkst'!$N$7:$N$2010,"P1")+SUMIFS('LAC 102_Wkst'!$AE$7:$AE$2010,'LAC 102_Wkst'!$E$7:$E$2010,$C67,'LAC 102_Wkst'!$G$7:$G$2010,$D67,'LAC 102_Wkst'!$L$7:$L$2010,"04",'LAC 102_Wkst'!$N$7:$N$2010,"P2")+SUMIFS('LAC 102_Wkst'!$AE$7:$AE$2010,'LAC 102_Wkst'!$E$7:$E$2010,$C67,'LAC 102_Wkst'!$G$7:$G$2010,$D67,'LAC 102_Wkst'!$L$7:$L$2010,"04",'LAC 102_Wkst'!$N$7:$N$2010,"P3")</f>
        <v>0</v>
      </c>
      <c r="N67" s="410">
        <f>SUMIFS('LAC 102_Wkst'!$Q$7:$Q$2010,'LAC 102_Wkst'!$E$7:$E$2010,$C67,'LAC 102_Wkst'!$G$7:$G$2010,$D67,'LAC 102_Wkst'!$L$7:$L$2010,"03",'LAC 102_Wkst'!$N$7:$N$2010,"P4")+SUMIFS('LAC 102_Wkst'!$Q$7:$Q$2010,'LAC 102_Wkst'!$E$7:$E$2010,$C67,'LAC 102_Wkst'!$G$7:$G$2010,$D67,'LAC 102_Wkst'!$L$7:$L$2010,"04",'LAC 102_Wkst'!$N$7:$N$2010,"P4")</f>
        <v>0</v>
      </c>
      <c r="O67" s="411">
        <f>SUMIFS('LAC 102_Wkst'!$AE$7:$AE$2010,'LAC 102_Wkst'!$E$7:$E$2010,$C67,'LAC 102_Wkst'!$G$7:$G$2010,$D67,'LAC 102_Wkst'!$L$7:$L$2010,"03",'LAC 102_Wkst'!$N$7:$N$2010,"P4")+SUMIFS('LAC 102_Wkst'!$AE$7:$AE$2010,'LAC 102_Wkst'!$E$7:$E$2010,$C67,'LAC 102_Wkst'!$G$7:$G$2010,$D67,'LAC 102_Wkst'!$L$7:$L$2010,"04",'LAC 102_Wkst'!$N$7:$N$2010,"P4")</f>
        <v>0</v>
      </c>
      <c r="P67" s="410">
        <f>SUMIFS('LAC 102_Wkst'!$Q$7:$Q$2010,'LAC 102_Wkst'!$E$7:$E$2010,$C67,'LAC 102_Wkst'!$G$7:$G$2010,$D67,'LAC 102_Wkst'!$L$7:$L$2010,"03",'LAC 102_Wkst'!$N$7:$N$2010,"P5")+SUMIFS('LAC 102_Wkst'!$Q$7:$Q$2010,'LAC 102_Wkst'!$E$7:$E$2010,$C67,'LAC 102_Wkst'!$G$7:$G$2010,$D67,'LAC 102_Wkst'!$L$7:$L$2010,"04",'LAC 102_Wkst'!$N$7:$N$2010,"P5")</f>
        <v>0</v>
      </c>
      <c r="Q67" s="411">
        <f>SUMIFS('LAC 102_Wkst'!$AE$7:$AE$2010,'LAC 102_Wkst'!$E$7:$E$2010,$C67,'LAC 102_Wkst'!$G$7:$G$2010,$D67,'LAC 102_Wkst'!$L$7:$L$2010,"03",'LAC 102_Wkst'!$N$7:$N$2010,"P5")+SUMIFS('LAC 102_Wkst'!$AE$7:$AE$2010,'LAC 102_Wkst'!$E$7:$E$2010,$C67,'LAC 102_Wkst'!$G$7:$G$2010,$D67,'LAC 102_Wkst'!$L$7:$L$2010,"04",'LAC 102_Wkst'!$N$7:$N$2010,"P5")</f>
        <v>0</v>
      </c>
      <c r="R67" s="412">
        <f>SUMIFS('LAC 102_Wkst'!$Q$7:$Q$2010,'LAC 102_Wkst'!$E$7:$E$2010,$C67,'LAC 102_Wkst'!$G$7:$G$2010,$D67,'LAC 102_Wkst'!$L$7:$L$2010,"05",'LAC 102_Wkst'!$N$7:$N$2010,"P1")+SUMIFS('LAC 102_Wkst'!$Q$7:$Q$2010,'LAC 102_Wkst'!$E$7:$E$2010,$C67,'LAC 102_Wkst'!$G$7:$G$2010,$D67,'LAC 102_Wkst'!$L$7:$L$2010,"06",'LAC 102_Wkst'!$N$7:$N$2010,"P1")</f>
        <v>0</v>
      </c>
      <c r="S67" s="411">
        <f>SUMIFS('LAC 102_Wkst'!$AE$7:$AE$2010,'LAC 102_Wkst'!$E$7:$E$2010,$C67,'LAC 102_Wkst'!$G$7:$G$2010,$D67,'LAC 102_Wkst'!$L$7:$L$2010,"05",'LAC 102_Wkst'!$N$7:$N$2010,"P1")+SUMIFS('LAC 102_Wkst'!$AE$7:$AE$2010,'LAC 102_Wkst'!$E$7:$E$2010,$C67,'LAC 102_Wkst'!$G$7:$G$2010,$D67,'LAC 102_Wkst'!$L$7:$L$2010,"06",'LAC 102_Wkst'!$N$7:$N$2010,"P1")</f>
        <v>0</v>
      </c>
      <c r="T67" s="410">
        <f>SUMIFS('LAC 102_Wkst'!$Q$7:$Q$2010,'LAC 102_Wkst'!$E$7:$E$2010,$C67,'LAC 102_Wkst'!$G$7:$G$2010,$D67,'LAC 102_Wkst'!$L$7:$L$2010,"05",'LAC 102_Wkst'!$N$7:$N$2010,"P2")+SUMIFS('LAC 102_Wkst'!$Q$7:$Q$2010,'LAC 102_Wkst'!$E$7:$E$2010,$C67,'LAC 102_Wkst'!$G$7:$G$2010,$D67,'LAC 102_Wkst'!$L$7:$L$2010,"05",'LAC 102_Wkst'!$N$7:$N$2010,"P3")+SUMIFS('LAC 102_Wkst'!$Q$7:$Q$2010,'LAC 102_Wkst'!$E$7:$E$2010,$C67,'LAC 102_Wkst'!$G$7:$G$2010,$D67,'LAC 102_Wkst'!$L$7:$L$2010,"06",'LAC 102_Wkst'!$N$7:$N$2010,"P2")+SUMIFS('LAC 102_Wkst'!$Q$7:$Q$2010,'LAC 102_Wkst'!$E$7:$E$2010,$C67,'LAC 102_Wkst'!$G$7:$G$2010,$D67,'LAC 102_Wkst'!$L$7:$L$2010,"06",'LAC 102_Wkst'!$N$7:$N$2010,"P3")</f>
        <v>0</v>
      </c>
      <c r="U67" s="411">
        <f>SUMIFS('LAC 102_Wkst'!$AE$7:$AE$2010,'LAC 102_Wkst'!$E$7:$E$2010,$C67,'LAC 102_Wkst'!$G$7:$G$2010,$D67,'LAC 102_Wkst'!$L$7:$L$2010,"05",'LAC 102_Wkst'!$N$7:$N$2010,"P2")+SUMIFS('LAC 102_Wkst'!$AE$7:$AE$2010,'LAC 102_Wkst'!$E$7:$E$2010,$C67,'LAC 102_Wkst'!$G$7:$G$2010,$D67,'LAC 102_Wkst'!$L$7:$L$2010,"06",'LAC 102_Wkst'!$N$7:$N$2010,"P3")+SUMIFS('LAC 102_Wkst'!$AE$7:$AE$2010,'LAC 102_Wkst'!$E$7:$E$2010,$C67,'LAC 102_Wkst'!$G$7:$G$2010,$D67,'LAC 102_Wkst'!$L$7:$L$2010,"05",'LAC 102_Wkst'!$N$7:$N$2010,"P2")+SUMIFS('LAC 102_Wkst'!$AE$7:$AE$2010,'LAC 102_Wkst'!$E$7:$E$2010,$C67,'LAC 102_Wkst'!$G$7:$G$2010,$D67,'LAC 102_Wkst'!$L$7:$L$2010,"06",'LAC 102_Wkst'!$N$7:$N$2010,"P3")</f>
        <v>0</v>
      </c>
      <c r="V67" s="410">
        <f>SUMIFS('LAC 102_Wkst'!$Q$7:$Q$2010,'LAC 102_Wkst'!$E$7:$E$2010,$C67,'LAC 102_Wkst'!$G$7:$G$2010,$D67,'LAC 102_Wkst'!$L$7:$L$2010,"05",'LAC 102_Wkst'!$N$7:$N$2010,"P4")+SUMIFS('LAC 102_Wkst'!$Q$7:$Q$2010,'LAC 102_Wkst'!$E$7:$E$2010,$C67,'LAC 102_Wkst'!$G$7:$G$2010,$D67,'LAC 102_Wkst'!$L$7:$L$2010,"06",'LAC 102_Wkst'!$N$7:$N$2010,"P4")</f>
        <v>0</v>
      </c>
      <c r="W67" s="411">
        <f>SUMIFS('LAC 102_Wkst'!$AE$7:$AE$2010,'LAC 102_Wkst'!$E$7:$E$2010,$C67,'LAC 102_Wkst'!$G$7:$G$2010,$D67,'LAC 102_Wkst'!$L$7:$L$2010,"05",'LAC 102_Wkst'!$N$7:$N$2010,"P4")+SUMIFS('LAC 102_Wkst'!$AE$7:$AE$2010,'LAC 102_Wkst'!$E$7:$E$2010,$C67,'LAC 102_Wkst'!$G$7:$G$2010,$D67,'LAC 102_Wkst'!$L$7:$L$2010,"06",'LAC 102_Wkst'!$N$7:$N$2010,"P4")</f>
        <v>0</v>
      </c>
      <c r="X67" s="410">
        <f>SUMIFS('LAC 102_Wkst'!$Q$7:$Q$2010,'LAC 102_Wkst'!$E$7:$E$2010,$C67,'LAC 102_Wkst'!$G$7:$G$2010,$D67,'LAC 102_Wkst'!$L$7:$L$2010,"05",'LAC 102_Wkst'!$N$7:$N$2010,"P5")+SUMIFS('LAC 102_Wkst'!$Q$7:$Q$2010,'LAC 102_Wkst'!$E$7:$E$2010,$C67,'LAC 102_Wkst'!$G$7:$G$2010,$D67,'LAC 102_Wkst'!$L$7:$L$2010,"06",'LAC 102_Wkst'!$N$7:$N$2010,"P5")</f>
        <v>0</v>
      </c>
      <c r="Y67" s="411">
        <f>SUMIFS('LAC 102_Wkst'!$AE$7:$AE$2010,'LAC 102_Wkst'!$E$7:$E$2010,$C67,'LAC 102_Wkst'!$G$7:$G$2010,$D67,'LAC 102_Wkst'!$L$7:$L$2010,"05",'LAC 102_Wkst'!$N$7:$N$2010,"P5")+SUMIFS('LAC 102_Wkst'!$AE$7:$AE$2010,'LAC 102_Wkst'!$E$7:$E$2010,$C67,'LAC 102_Wkst'!$G$7:$G$2010,$D67,'LAC 102_Wkst'!$L$7:$L$2010,"06",'LAC 102_Wkst'!$N$7:$N$2010,"P5")</f>
        <v>0</v>
      </c>
      <c r="Z67" s="410">
        <f>SUMIFS('LAC 102_Wkst'!$Q$7:$Q$2010,'LAC 102_Wkst'!$E$7:$E$2010,$C67,'LAC 102_Wkst'!$G$7:$G$2010,$D67,'LAC 102_Wkst'!$L$7:$L$2010,"07",'LAC 102_Wkst'!$N$7:$N$2010,"P1")+SUMIFS('LAC 102_Wkst'!$Q$7:$Q$2010,'LAC 102_Wkst'!$E$7:$E$2010,$C67,'LAC 102_Wkst'!$G$7:$G$2010,$D67,'LAC 102_Wkst'!$L$7:$L$2010,"07",'LAC 102_Wkst'!$N$7:$N$2010,"P2")+SUMIFS('LAC 102_Wkst'!$Q$7:$Q$2010,'LAC 102_Wkst'!$E$7:$E$2010,$C67,'LAC 102_Wkst'!$G$7:$G$2010,$D67,'LAC 102_Wkst'!$L$7:$L$2010,"07",'LAC 102_Wkst'!$N$7:$N$2010,"P3")</f>
        <v>0</v>
      </c>
      <c r="AA67" s="411">
        <f>SUMIFS('LAC 102_Wkst'!$AE$7:$AE$2010,'LAC 102_Wkst'!$E$7:$E$2010,$C67,'LAC 102_Wkst'!$G$7:$G$2010,$D67,'LAC 102_Wkst'!$L$7:$L$2010,"07",'LAC 102_Wkst'!$N$7:$N$2010,"P1")+SUMIFS('LAC 102_Wkst'!$AE$7:$AE$2010,'LAC 102_Wkst'!$E$7:$E$2010,$C67,'LAC 102_Wkst'!$G$7:$G$2010,$D67,'LAC 102_Wkst'!$L$7:$L$2010,"07",'LAC 102_Wkst'!$N$7:$N$2010,"P2")+SUMIFS('LAC 102_Wkst'!$AE$7:$AE$2010,'LAC 102_Wkst'!$E$7:$E$2010,$C67,'LAC 102_Wkst'!$G$7:$G$2010,$D67,'LAC 102_Wkst'!$L$7:$L$2010,"07",'LAC 102_Wkst'!$N$7:$N$2010,"P3")</f>
        <v>0</v>
      </c>
      <c r="AB67" s="410">
        <f>SUMIFS('LAC 102_Wkst'!$Q$7:$Q$2010,'LAC 102_Wkst'!$E$7:$E$2010,$C67,'LAC 102_Wkst'!$G$7:$G$2010,$D67,'LAC 102_Wkst'!$L$7:$L$2010,"07",'LAC 102_Wkst'!$N$7:$N$2010,"P4")</f>
        <v>0</v>
      </c>
      <c r="AC67" s="411">
        <f>SUMIFS('LAC 102_Wkst'!$AE$7:$AE$2010,'LAC 102_Wkst'!$E$7:$E$2010,$C67,'LAC 102_Wkst'!$G$7:$G$2010,$D67,'LAC 102_Wkst'!$L$7:$L$2010,"07",'LAC 102_Wkst'!$N$7:$N$2010,"P4")</f>
        <v>0</v>
      </c>
      <c r="AD67" s="410">
        <f>SUMIFS('LAC 102_Wkst'!$Q$7:$Q$2010,'LAC 102_Wkst'!$E$7:$E$2010,$C67,'LAC 102_Wkst'!$G$7:$G$2010,$D67,'LAC 102_Wkst'!$L$7:$L$2010,"07",'LAC 102_Wkst'!$N$7:$N$2010,"P5")</f>
        <v>0</v>
      </c>
      <c r="AE67" s="411">
        <f>SUMIFS('LAC 102_Wkst'!$AE$7:$AE$2010,'LAC 102_Wkst'!$E$7:$E$2010,$C67,'LAC 102_Wkst'!$G$7:$G$2010,$D67,'LAC 102_Wkst'!$L$7:$L$2010,"07",'LAC 102_Wkst'!$N$7:$N$2010,"P5")</f>
        <v>0</v>
      </c>
      <c r="AF67" s="410">
        <f>SUMIFS('LAC 102_Wkst'!$Q$7:$Q$2010,'LAC 102_Wkst'!$E$7:$E$2010,$C67,'LAC 102_Wkst'!$G$7:$G$2010,$D67,'LAC 102_Wkst'!$L$7:$L$2010,"08",'LAC 102_Wkst'!$N$7:$N$2010,"P1")+SUMIFS('LAC 102_Wkst'!$Q$7:$Q$2010,'LAC 102_Wkst'!$E$7:$E$2010,$C67,'LAC 102_Wkst'!$G$7:$G$2010,$D67,'LAC 102_Wkst'!$L$7:$L$2010,"08",'LAC 102_Wkst'!$N$7:$N$2010,"P2")+SUMIFS('LAC 102_Wkst'!$Q$7:$Q$2010,'LAC 102_Wkst'!$E$7:$E$2010,$C67,'LAC 102_Wkst'!$G$7:$G$2010,$D67,'LAC 102_Wkst'!$L$7:$L$2010,"08",'LAC 102_Wkst'!$N$7:$N$2010,"P3")</f>
        <v>0</v>
      </c>
      <c r="AG67" s="411">
        <f>SUMIFS('LAC 102_Wkst'!$AE$7:$AE$2010,'LAC 102_Wkst'!$E$7:$E$2010,$C67,'LAC 102_Wkst'!$G$7:$G$2010,$D67,'LAC 102_Wkst'!$L$7:$L$2010,"08",'LAC 102_Wkst'!$N$7:$N$2010,"P1")+SUMIFS('LAC 102_Wkst'!$AE$7:$AE$2010,'LAC 102_Wkst'!$E$7:$E$2010,$C67,'LAC 102_Wkst'!$G$7:$G$2010,$D67,'LAC 102_Wkst'!$L$7:$L$2010,"08",'LAC 102_Wkst'!$N$7:$N$2010,"P2")+SUMIFS('LAC 102_Wkst'!$AE$7:$AE$2010,'LAC 102_Wkst'!$E$7:$E$2010,$C67,'LAC 102_Wkst'!$G$7:$G$2010,$D67,'LAC 102_Wkst'!$L$7:$L$2010,"08",'LAC 102_Wkst'!$N$7:$N$2010,"P3")</f>
        <v>0</v>
      </c>
      <c r="AH67" s="410">
        <f>SUMIFS('LAC 102_Wkst'!$Q$7:$Q$2010,'LAC 102_Wkst'!$E$7:$E$2010,$C67,'LAC 102_Wkst'!$G$7:$G$2010,$D67,'LAC 102_Wkst'!$L$7:$L$2010,"08",'LAC 102_Wkst'!$N$7:$N$2010,"P4")</f>
        <v>0</v>
      </c>
      <c r="AI67" s="411">
        <f>SUMIFS('LAC 102_Wkst'!$AE$7:$AE$2010,'LAC 102_Wkst'!$E$7:$E$2010,$C67,'LAC 102_Wkst'!$G$7:$G$2010,$D67,'LAC 102_Wkst'!$L$7:$L$2010,"08",'LAC 102_Wkst'!$N$7:$N$2010,"P4")</f>
        <v>0</v>
      </c>
      <c r="AJ67" s="410">
        <f>SUMIFS('LAC 102_Wkst'!$Q$7:$Q$2010,'LAC 102_Wkst'!$E$7:$E$2010,$C67,'LAC 102_Wkst'!$G$7:$G$2010,$D67,'LAC 102_Wkst'!$L$7:$L$2010,"08",'LAC 102_Wkst'!$N$7:$N$2010,"P5")</f>
        <v>0</v>
      </c>
      <c r="AK67" s="411">
        <f>SUMIFS('LAC 102_Wkst'!$AE$7:$AE$2010,'LAC 102_Wkst'!$E$7:$E$2010,$C67,'LAC 102_Wkst'!$G$7:$G$2010,$D67,'LAC 102_Wkst'!$L$7:$L$2010,"08",'LAC 102_Wkst'!$N$7:$N$2010,"P5")</f>
        <v>0</v>
      </c>
      <c r="AL67" s="410">
        <f>SUMIFS('LAC 102_Wkst'!$Q$7:$Q$2010,'LAC 102_Wkst'!$E$7:$E$2010,$C67,'LAC 102_Wkst'!$G$7:$G$2010,$D67,'LAC 102_Wkst'!$L$7:$L$2010,"09",'LAC 102_Wkst'!$N$7:$N$2010,"P1")+SUMIFS('LAC 102_Wkst'!$Q$7:$Q$2010,'LAC 102_Wkst'!$E$7:$E$2010,$C67,'LAC 102_Wkst'!$G$7:$G$2010,$D67,'LAC 102_Wkst'!$L$7:$L$2010,"09",'LAC 102_Wkst'!$N$7:$N$2010,"P2")+SUMIFS('LAC 102_Wkst'!$Q$7:$Q$2010,'LAC 102_Wkst'!$E$7:$E$2010,$C67,'LAC 102_Wkst'!$G$7:$G$2010,$D67,'LAC 102_Wkst'!$L$7:$L$2010,"09",'LAC 102_Wkst'!$N$7:$N$2010,"P3")+SUMIFS('LAC 102_Wkst'!$Q$7:$Q$2010,'LAC 102_Wkst'!$E$7:$E$2010,$C67,'LAC 102_Wkst'!$G$7:$G$2010,$D67,'LAC 102_Wkst'!$L$7:$L$2010,"09",'LAC 102_Wkst'!$N$7:$N$2010,"P4")</f>
        <v>0</v>
      </c>
      <c r="AM67" s="411">
        <f>SUMIFS('LAC 102_Wkst'!$AE$7:$AE$2010,'LAC 102_Wkst'!$E$7:$E$2010,$C67,'LAC 102_Wkst'!$G$7:$G$2010,$D67,'LAC 102_Wkst'!$L$7:$L$2010,"09",'LAC 102_Wkst'!$N$7:$N$2010,"P1")+SUMIFS('LAC 102_Wkst'!$AE$7:$AE$2010,'LAC 102_Wkst'!$E$7:$E$2010,$C67,'LAC 102_Wkst'!$G$7:$G$2010,$D67,'LAC 102_Wkst'!$L$7:$L$2010,"09",'LAC 102_Wkst'!$N$7:$N$2010,"P2")+SUMIFS('LAC 102_Wkst'!$AE$7:$AE$2010,'LAC 102_Wkst'!$E$7:$E$2010,$C67,'LAC 102_Wkst'!$G$7:$G$2010,$D67,'LAC 102_Wkst'!$L$7:$L$2010,"09",'LAC 102_Wkst'!$N$7:$N$2010,"P3")+SUMIFS('LAC 102_Wkst'!$AE$7:$AE$2010,'LAC 102_Wkst'!$E$7:$E$2010,$C67,'LAC 102_Wkst'!$G$7:$G$2010,$D67,'LAC 102_Wkst'!$L$7:$L$2010,"09",'LAC 102_Wkst'!$N$7:$N$2010,"P4")</f>
        <v>0</v>
      </c>
      <c r="AN67" s="410">
        <f>SUMIFS('LAC 102_Wkst'!$Q$7:$Q$2010,'LAC 102_Wkst'!$E$7:$E$2010,$C67,'LAC 102_Wkst'!$G$7:$G$2010,$D67,'LAC 102_Wkst'!$L$7:$L$2010,"09",'LAC 102_Wkst'!$N$7:$N$2010,"P5")</f>
        <v>0</v>
      </c>
      <c r="AO67" s="411">
        <f>SUMIFS('LAC 102_Wkst'!$AE$7:$AE$2010,'LAC 102_Wkst'!$E$7:$E$2010,$C67,'LAC 102_Wkst'!$G$7:$G$2010,$D67,'LAC 102_Wkst'!$L$7:$L$2010,"09",'LAC 102_Wkst'!$N$7:$N$2010,"P5")</f>
        <v>0</v>
      </c>
      <c r="AP67" s="410">
        <f>SUMIFS('LAC 102_Wkst'!$Q$7:$Q$2010,'LAC 102_Wkst'!$E$7:$E$2010,$C67,'LAC 102_Wkst'!$G$7:$G$2010,$D67,'LAC 102_Wkst'!$L$7:$L$2010,"10",'LAC 102_Wkst'!$N$7:$N$2010,"P1")+SUMIFS('LAC 102_Wkst'!$Q$7:$Q$2010,'LAC 102_Wkst'!$E$7:$E$2010,$C67,'LAC 102_Wkst'!$G$7:$G$2010,$D67,'LAC 102_Wkst'!$L$7:$L$2010,"10",'LAC 102_Wkst'!$N$7:$N$2010,"P2")+SUMIFS('LAC 102_Wkst'!$Q$7:$Q$2010,'LAC 102_Wkst'!$E$7:$E$2010,$C67,'LAC 102_Wkst'!$G$7:$G$2010,$D67,'LAC 102_Wkst'!$L$7:$L$2010,"10",'LAC 102_Wkst'!$N$7:$N$2010,"P3")+SUMIFS('LAC 102_Wkst'!$Q$7:$Q$2010,'LAC 102_Wkst'!$E$7:$E$2010,$C67,'LAC 102_Wkst'!$G$7:$G$2010,$D67,'LAC 102_Wkst'!$L$7:$L$2010,"10",'LAC 102_Wkst'!$N$7:$N$2010,"P4")</f>
        <v>0</v>
      </c>
      <c r="AQ67" s="411">
        <f>SUMIFS('LAC 102_Wkst'!$AE$7:$AE$2010,'LAC 102_Wkst'!$E$7:$E$2010,$C67,'LAC 102_Wkst'!$G$7:$G$2010,$D67,'LAC 102_Wkst'!$L$7:$L$2010,"10",'LAC 102_Wkst'!$N$7:$N$2010,"P1")+SUMIFS('LAC 102_Wkst'!$AE$7:$AE$2010,'LAC 102_Wkst'!$E$7:$E$2010,$C67,'LAC 102_Wkst'!$G$7:$G$2010,$D67,'LAC 102_Wkst'!$L$7:$L$2010,"10",'LAC 102_Wkst'!$N$7:$N$2010,"P2")+SUMIFS('LAC 102_Wkst'!$AE$7:$AE$2010,'LAC 102_Wkst'!$E$7:$E$2010,$C67,'LAC 102_Wkst'!$G$7:$G$2010,$D67,'LAC 102_Wkst'!$L$7:$L$2010,"10",'LAC 102_Wkst'!$N$7:$N$2010,"P3")+SUMIFS('LAC 102_Wkst'!$AE$7:$AE$2010,'LAC 102_Wkst'!$E$7:$E$2010,$C67,'LAC 102_Wkst'!$G$7:$G$2010,$D67,'LAC 102_Wkst'!$L$7:$L$2010,"10",'LAC 102_Wkst'!$N$7:$N$2010,"P4")</f>
        <v>0</v>
      </c>
      <c r="AR67" s="410">
        <f>SUMIFS('LAC 102_Wkst'!$Q$7:$Q$2010,'LAC 102_Wkst'!$E$7:$E$2010,$C67,'LAC 102_Wkst'!$G$7:$G$2010,$D67,'LAC 102_Wkst'!$L$7:$L$2010,"10",'LAC 102_Wkst'!$N$7:$N$2010,"P5")</f>
        <v>0</v>
      </c>
      <c r="AS67" s="411">
        <f>SUMIFS('LAC 102_Wkst'!$AE$7:$AE$2010,'LAC 102_Wkst'!$E$7:$E$2010,$C67,'LAC 102_Wkst'!$G$7:$G$2010,$D67,'LAC 102_Wkst'!$L$7:$L$2010,"10",'LAC 102_Wkst'!$N$7:$N$2010,"P5")</f>
        <v>0</v>
      </c>
      <c r="AT67" s="410">
        <f>SUMIFS('LAC 102_Wkst'!$Q$7:$Q$2010,'LAC 102_Wkst'!$E$7:$E$2010,$C67,'LAC 102_Wkst'!$G$7:$G$2010,$D67,'LAC 102_Wkst'!$L$7:$L$2010,"11",'LAC 102_Wkst'!$N$7:$N$2010,"P1")+SUMIFS('LAC 102_Wkst'!$Q$7:$Q$2010,'LAC 102_Wkst'!$E$7:$E$2010,$C67,'LAC 102_Wkst'!$G$7:$G$2010,$D67,'LAC 102_Wkst'!$L$7:$L$2010,"12",'LAC 102_Wkst'!$N$7:$N$2010,"P1")</f>
        <v>0</v>
      </c>
      <c r="AU67" s="411">
        <f>SUMIFS('LAC 102_Wkst'!$AE$7:$AE$2010,'LAC 102_Wkst'!$E$7:$E$2010,$C67,'LAC 102_Wkst'!$G$7:$G$2010,$D67,'LAC 102_Wkst'!$L$7:$L$2010,"11",'LAC 102_Wkst'!$N$7:$N$2010,"P1")+SUMIFS('LAC 102_Wkst'!$AE$7:$AE$2010,'LAC 102_Wkst'!$E$7:$E$2010,$C67,'LAC 102_Wkst'!$G$7:$G$2010,$D67,'LAC 102_Wkst'!$L$7:$L$2010,"12",'LAC 102_Wkst'!$N$7:$N$2010,"P1")</f>
        <v>0</v>
      </c>
      <c r="AV67" s="410">
        <f>SUMIFS('LAC 102_Wkst'!$Q$7:$Q$2010,'LAC 102_Wkst'!$E$7:$E$2010,$C67,'LAC 102_Wkst'!$G$7:$G$2010,$D67,'LAC 102_Wkst'!$L$7:$L$2010,"11",'LAC 102_Wkst'!$N$7:$N$2010,"P2")+SUMIFS('LAC 102_Wkst'!$Q$7:$Q$2010,'LAC 102_Wkst'!$E$7:$E$2010,$C67,'LAC 102_Wkst'!$G$7:$G$2010,$D67,'LAC 102_Wkst'!$L$7:$L$2010,"12",'LAC 102_Wkst'!$N$7:$N$2010,"P3")+SUMIFS('LAC 102_Wkst'!$Q$7:$Q$2010,'LAC 102_Wkst'!$E$7:$E$2010,$C67,'LAC 102_Wkst'!$G$7:$G$2010,$D67,'LAC 102_Wkst'!$L$7:$L$2010,"11",'LAC 102_Wkst'!$N$7:$N$2010,"P2")+SUMIFS('LAC 102_Wkst'!$Q$7:$Q$2010,'LAC 102_Wkst'!$E$7:$E$2010,$C67,'LAC 102_Wkst'!$G$7:$G$2010,$D67,'LAC 102_Wkst'!$L$7:$L$2010,"12",'LAC 102_Wkst'!$N$7:$N$2010,"P3")</f>
        <v>0</v>
      </c>
      <c r="AW67" s="411">
        <f>SUMIFS('LAC 102_Wkst'!$AE$7:$AE$2010,'LAC 102_Wkst'!$E$7:$E$2010,$C67,'LAC 102_Wkst'!$G$7:$G$2010,$D67,'LAC 102_Wkst'!$L$7:$L$2010,"11",'LAC 102_Wkst'!$N$7:$N$2010,"P2")+SUMIFS('LAC 102_Wkst'!$AE$7:$AE$2010,'LAC 102_Wkst'!$E$7:$E$2010,$C67,'LAC 102_Wkst'!$G$7:$G$2010,$D67,'LAC 102_Wkst'!$L$7:$L$2010,"12",'LAC 102_Wkst'!$N$7:$N$2010,"P3")+SUMIFS('LAC 102_Wkst'!$AE$7:$AE$2010,'LAC 102_Wkst'!$E$7:$E$2010,$C67,'LAC 102_Wkst'!$G$7:$G$2010,$D67,'LAC 102_Wkst'!$L$7:$L$2010,"11",'LAC 102_Wkst'!$N$7:$N$2010,"P2")+SUMIFS('LAC 102_Wkst'!$AE$7:$AE$2010,'LAC 102_Wkst'!$E$7:$E$2010,$C67,'LAC 102_Wkst'!$G$7:$G$2010,$D67,'LAC 102_Wkst'!$L$7:$L$2010,"12",'LAC 102_Wkst'!$N$7:$N$2010,"P3")</f>
        <v>0</v>
      </c>
      <c r="AX67" s="410">
        <f>SUMIFS('LAC 102_Wkst'!$Q$7:$Q$2010,'LAC 102_Wkst'!$E$7:$E$2010,$C67,'LAC 102_Wkst'!$G$7:$G$2010,$D67,'LAC 102_Wkst'!$L$7:$L$2010,"11",'LAC 102_Wkst'!$N$7:$N$2010,"P4")+SUMIFS('LAC 102_Wkst'!$Q$7:$Q$2010,'LAC 102_Wkst'!$E$7:$E$2010,$C67,'LAC 102_Wkst'!$G$7:$G$2010,$D67,'LAC 102_Wkst'!$L$7:$L$2010,"12",'LAC 102_Wkst'!$N$7:$N$2010,"P4")</f>
        <v>0</v>
      </c>
      <c r="AY67" s="411">
        <f>SUMIFS('LAC 102_Wkst'!$AE$7:$AE$2010,'LAC 102_Wkst'!$E$7:$E$2010,$C67,'LAC 102_Wkst'!$G$7:$G$2010,$D67,'LAC 102_Wkst'!$L$7:$L$2010,"11",'LAC 102_Wkst'!$N$7:$N$2010,"P4")+SUMIFS('LAC 102_Wkst'!$AE$7:$AE$2010,'LAC 102_Wkst'!$E$7:$E$2010,$C67,'LAC 102_Wkst'!$G$7:$G$2010,$D67,'LAC 102_Wkst'!$L$7:$L$2010,"12",'LAC 102_Wkst'!$N$7:$N$2010,"P4")</f>
        <v>0</v>
      </c>
      <c r="AZ67" s="410">
        <f>SUMIFS('LAC 102_Wkst'!$Q$7:$Q$2010,'LAC 102_Wkst'!$E$7:$E$2010,$C67,'LAC 102_Wkst'!$G$7:$G$2010,$D67,'LAC 102_Wkst'!$L$7:$L$2010,"11",'LAC 102_Wkst'!$N$7:$N$2010,"P5")+SUMIFS('LAC 102_Wkst'!$Q$7:$Q$2010,'LAC 102_Wkst'!$E$7:$E$2010,$C67,'LAC 102_Wkst'!$G$7:$G$2010,$D67,'LAC 102_Wkst'!$L$7:$L$2010,"12",'LAC 102_Wkst'!$N$7:$N$2010,"P5")</f>
        <v>0</v>
      </c>
      <c r="BA67" s="411">
        <f>SUMIFS('LAC 102_Wkst'!$AE$7:$AE$2010,'LAC 102_Wkst'!$E$7:$E$2010,$C67,'LAC 102_Wkst'!$G$7:$G$2010,$D67,'LAC 102_Wkst'!$L$7:$L$2010,"11",'LAC 102_Wkst'!$N$7:$N$2010,"P5")+SUMIFS('LAC 102_Wkst'!$AE$7:$AE$2010,'LAC 102_Wkst'!$E$7:$E$2010,$C67,'LAC 102_Wkst'!$G$7:$G$2010,$D67,'LAC 102_Wkst'!$L$7:$L$2010,"12",'LAC 102_Wkst'!$N$7:$N$2010,"P5")</f>
        <v>0</v>
      </c>
      <c r="BB67" s="410">
        <f>SUMIFS('LAC 102_Wkst'!$Q$7:$Q$2010,'LAC 102_Wkst'!$E$7:$E$2010,$C67,'LAC 102_Wkst'!$G$7:$G$2010,$D67,'LAC 102_Wkst'!$L$7:$L$2010,"13",'LAC 102_Wkst'!$N$7:$N$2010,"P1")+SUMIFS('LAC 102_Wkst'!$Q$7:$Q$2010,'LAC 102_Wkst'!$E$7:$E$2010,$C67,'LAC 102_Wkst'!$G$7:$G$2010,$D67,'LAC 102_Wkst'!$L$7:$L$2010,"13",'LAC 102_Wkst'!$N$7:$N$2010,"P2")+SUMIFS('LAC 102_Wkst'!$Q$7:$Q$2010,'LAC 102_Wkst'!$E$7:$E$2010,$C67,'LAC 102_Wkst'!$G$7:$G$2010,$D67,'LAC 102_Wkst'!$L$7:$L$2010,"13",'LAC 102_Wkst'!$N$7:$N$2010,"P3")+SUMIFS('LAC 102_Wkst'!$Q$7:$Q$2010,'LAC 102_Wkst'!$E$7:$E$2010,$C67,'LAC 102_Wkst'!$G$7:$G$2010,$D67,'LAC 102_Wkst'!$L$7:$L$2010,"13",'LAC 102_Wkst'!$N$7:$N$2010,"P4")</f>
        <v>0</v>
      </c>
      <c r="BC67" s="411">
        <f>SUMIFS('LAC 102_Wkst'!$AE$7:$AE$2010,'LAC 102_Wkst'!$E$7:$E$2010,$C67,'LAC 102_Wkst'!$G$7:$G$2010,$D67,'LAC 102_Wkst'!$L$7:$L$2010,"13",'LAC 102_Wkst'!$N$7:$N$2010,"P1")+SUMIFS('LAC 102_Wkst'!$AE$7:$AE$2010,'LAC 102_Wkst'!$E$7:$E$2010,$C67,'LAC 102_Wkst'!$G$7:$G$2010,$D67,'LAC 102_Wkst'!$L$7:$L$2010,"13",'LAC 102_Wkst'!$N$7:$N$2010,"P2")+SUMIFS('LAC 102_Wkst'!$AE$7:$AE$2010,'LAC 102_Wkst'!$E$7:$E$2010,$C67,'LAC 102_Wkst'!$G$7:$G$2010,$D67,'LAC 102_Wkst'!$L$7:$L$2010,"13",'LAC 102_Wkst'!$N$7:$N$2010,"P3")+SUMIFS('LAC 102_Wkst'!$AE$7:$AE$2010,'LAC 102_Wkst'!$E$7:$E$2010,$C67,'LAC 102_Wkst'!$G$7:$G$2010,$D67,'LAC 102_Wkst'!$L$7:$L$2010,"13",'LAC 102_Wkst'!$N$7:$N$2010,"P4")</f>
        <v>0</v>
      </c>
      <c r="BD67" s="410">
        <f>SUMIFS('LAC 102_Wkst'!$Q$7:$Q$2010,'LAC 102_Wkst'!$E$7:$E$2010,$C67,'LAC 102_Wkst'!$G$7:$G$2010,$D67,'LAC 102_Wkst'!$L$7:$L$2010,"13",'LAC 102_Wkst'!$N$7:$N$2010,"P5")</f>
        <v>0</v>
      </c>
      <c r="BE67" s="411">
        <f>SUMIFS('LAC 102_Wkst'!$AE$7:$AE$2010,'LAC 102_Wkst'!$E$7:$E$2010,$C67,'LAC 102_Wkst'!$G$7:$G$2010,$D67,'LAC 102_Wkst'!$L$7:$L$2010,"13",'LAC 102_Wkst'!$N$7:$N$2010,"P5")</f>
        <v>0</v>
      </c>
      <c r="BF67" s="407">
        <f t="shared" si="0"/>
        <v>0</v>
      </c>
    </row>
    <row r="68" spans="1:58" x14ac:dyDescent="0.2">
      <c r="A68" s="401">
        <v>49</v>
      </c>
      <c r="B68" s="1236"/>
      <c r="C68" s="1235"/>
      <c r="D68" s="1237"/>
      <c r="E68" s="1222">
        <f>IF(CONCATENATE(C68,D68)&gt;"6069",1,SUMIFS('LAC 102_Wkst'!$Q$7:$Q$2010,'LAC 102_Wkst'!$E$7:$E$2010,Schedule_B!$C68,'LAC 102_Wkst'!$G$7:$G$2010,Schedule_B!$D68))</f>
        <v>0</v>
      </c>
      <c r="F68" s="408">
        <f>SUMIFS('LAC 102_Wkst'!$Q$7:$Q$2010,'LAC 102_Wkst'!$E$7:$E$2010,$C68,'LAC 102_Wkst'!$G$7:$G$2010,$D68,'LAC 102_Wkst'!$L$7:$L$2010,"01",'LAC 102_Wkst'!$N$7:$N$2010,"P1")+SUMIFS('LAC 102_Wkst'!$Q$7:$Q$2010,'LAC 102_Wkst'!$E$7:$E$2010,$C68,'LAC 102_Wkst'!$G$7:$G$2010,$D68,'LAC 102_Wkst'!$L$7:$L$2010,"01",'LAC 102_Wkst'!$N$7:$N$2010,"P2")+SUMIFS('LAC 102_Wkst'!$Q$7:$Q$2010,'LAC 102_Wkst'!$E$7:$E$2010,$C68,'LAC 102_Wkst'!$G$7:$G$2010,$D68,'LAC 102_Wkst'!$L$7:$L$2010,"01",'LAC 102_Wkst'!$N$7:$N$2010,"P3")+SUMIFS('LAC 102_Wkst'!$Q$7:$Q$2010,'LAC 102_Wkst'!$E$7:$E$2010,$C68,'LAC 102_Wkst'!$G$7:$G$2010,$D68,'LAC 102_Wkst'!$L$7:$L$2010,"02",'LAC 102_Wkst'!$N$7:$N$2010,"P1")+SUMIFS('LAC 102_Wkst'!$Q$7:$Q$2010,'LAC 102_Wkst'!$E$7:$E$2010,$C68,'LAC 102_Wkst'!$G$7:$G$2010,$D68,'LAC 102_Wkst'!$L$7:$L$2010,"02",'LAC 102_Wkst'!$N$7:$N$2010,"P2")+SUMIFS('LAC 102_Wkst'!$Q$7:$Q$2010,'LAC 102_Wkst'!$E$7:$E$2010,$C68,'LAC 102_Wkst'!$G$7:$G$2010,$D68,'LAC 102_Wkst'!$L$7:$L$2010,"02",'LAC 102_Wkst'!$N$7:$N$2010,"P3")</f>
        <v>0</v>
      </c>
      <c r="G68" s="409">
        <f>SUMIFS('LAC 102_Wkst'!$AE$7:$AE$2010,'LAC 102_Wkst'!$E$7:$E$2010,$C68,'LAC 102_Wkst'!$G$7:$G$2010,$D68,'LAC 102_Wkst'!$L$7:$L$2010,"01",'LAC 102_Wkst'!$N$7:$N$2010,"P1")+SUMIFS('LAC 102_Wkst'!$AE$7:$AE$2010,'LAC 102_Wkst'!$E$7:$E$2010,$C68,'LAC 102_Wkst'!$G$7:$G$2010,$D68,'LAC 102_Wkst'!$L$7:$L$2010,"01",'LAC 102_Wkst'!$N$7:$N$2010,"P2")+SUMIFS('LAC 102_Wkst'!$AE$7:$AE$2010,'LAC 102_Wkst'!$E$7:$E$2010,$C68,'LAC 102_Wkst'!$G$7:$G$2010,$D68,'LAC 102_Wkst'!$L$7:$L$2010,"01",'LAC 102_Wkst'!$N$7:$N$2010,"P3")+SUMIFS('LAC 102_Wkst'!$AE$7:$AE$2010,'LAC 102_Wkst'!$E$7:$E$2010,$C68,'LAC 102_Wkst'!$G$7:$G$2010,$D68,'LAC 102_Wkst'!$L$7:$L$2010,"02",'LAC 102_Wkst'!$N$7:$N$2010,"P1")+SUMIFS('LAC 102_Wkst'!$AE$7:$AE$2010,'LAC 102_Wkst'!$E$7:$E$2010,$C68,'LAC 102_Wkst'!$G$7:$G$2010,$D68,'LAC 102_Wkst'!$L$7:$L$2010,"02",'LAC 102_Wkst'!$N$7:$N$2010,"P2")+SUMIFS('LAC 102_Wkst'!$AE$7:$AE$2010,'LAC 102_Wkst'!$E$7:$E$2010,$C68,'LAC 102_Wkst'!$G$7:$G$2010,$D68,'LAC 102_Wkst'!$L$7:$L$2010,"02",'LAC 102_Wkst'!$N$7:$N$2010,"P3")</f>
        <v>0</v>
      </c>
      <c r="H68" s="410">
        <f>SUMIFS('LAC 102_Wkst'!$Q$7:$Q$2010,'LAC 102_Wkst'!$E$7:$E$2010,$C68,'LAC 102_Wkst'!$G$7:$G$2010,$D68,'LAC 102_Wkst'!$L$7:$L$2010,"01",'LAC 102_Wkst'!$N$7:$N$2010,"P4")+SUMIFS('LAC 102_Wkst'!$Q$7:$Q$2010,'LAC 102_Wkst'!$E$7:$E$2010,$C68,'LAC 102_Wkst'!$G$7:$G$2010,$D68,'LAC 102_Wkst'!$L$7:$L$2010,"02",'LAC 102_Wkst'!$N$7:$N$2010,"P4")</f>
        <v>0</v>
      </c>
      <c r="I68" s="411">
        <f>SUMIFS('LAC 102_Wkst'!$AE$7:$AE$2010,'LAC 102_Wkst'!$E$7:$E$2010,$C68,'LAC 102_Wkst'!$G$7:$G$2010,$D68,'LAC 102_Wkst'!$L$7:$L$2010,"01",'LAC 102_Wkst'!$N$7:$N$2010,"P4")+SUMIFS('LAC 102_Wkst'!$AE$7:$AE$2010,'LAC 102_Wkst'!$E$7:$E$2010,$C68,'LAC 102_Wkst'!$G$7:$G$2010,$D68,'LAC 102_Wkst'!$L$7:$L$2010,"02",'LAC 102_Wkst'!$N$7:$N$2010,"P4")</f>
        <v>0</v>
      </c>
      <c r="J68" s="410">
        <f>SUMIFS('LAC 102_Wkst'!$Q$7:$Q$2010,'LAC 102_Wkst'!$E$7:$E$2010,$C68,'LAC 102_Wkst'!$G$7:$G$2010,$D68,'LAC 102_Wkst'!$L$7:$L$2010,"01",'LAC 102_Wkst'!$N$7:$N$2010,"P5")+SUMIFS('LAC 102_Wkst'!$Q$7:$Q$2010,'LAC 102_Wkst'!$E$7:$E$2010,$C68,'LAC 102_Wkst'!$G$7:$G$2010,$D68,'LAC 102_Wkst'!$L$7:$L$2010,"02",'LAC 102_Wkst'!$N$7:$N$2010,"P5")</f>
        <v>0</v>
      </c>
      <c r="K68" s="411">
        <f>SUMIFS('LAC 102_Wkst'!$AE$7:$AE$2010,'LAC 102_Wkst'!$E$7:$E$2010,$C68,'LAC 102_Wkst'!$G$7:$G$2010,$D68,'LAC 102_Wkst'!$L$7:$L$2010,"01",'LAC 102_Wkst'!$N$7:$N$2010,"P5")+SUMIFS('LAC 102_Wkst'!$AE$7:$AE$2010,'LAC 102_Wkst'!$E$7:$E$2010,$C68,'LAC 102_Wkst'!$G$7:$G$2010,$D68,'LAC 102_Wkst'!$L$7:$L$2010,"02",'LAC 102_Wkst'!$N$7:$N$2010,"P5")</f>
        <v>0</v>
      </c>
      <c r="L68" s="410">
        <f>SUMIFS('LAC 102_Wkst'!$Q$7:$Q$2010,'LAC 102_Wkst'!$E$7:$E$2010,$C68,'LAC 102_Wkst'!$G$7:$G$2010,$D68,'LAC 102_Wkst'!$L$7:$L$2010,"03",'LAC 102_Wkst'!$N$7:$N$2010,"P1")+SUMIFS('LAC 102_Wkst'!$Q$7:$Q$2010,'LAC 102_Wkst'!$E$7:$E$2010,$C68,'LAC 102_Wkst'!$G$7:$G$2010,$D68,'LAC 102_Wkst'!$L$7:$L$2010,"03",'LAC 102_Wkst'!$N$7:$N$2010,"P2")+SUMIFS('LAC 102_Wkst'!$Q$7:$Q$2010,'LAC 102_Wkst'!$E$7:$E$2010,$C68,'LAC 102_Wkst'!$G$7:$G$2010,$D68,'LAC 102_Wkst'!$L$7:$L$2010,"03",'LAC 102_Wkst'!$N$7:$N$2010,"P3")+SUMIFS('LAC 102_Wkst'!$Q$7:$Q$2010,'LAC 102_Wkst'!$E$7:$E$2010,$C68,'LAC 102_Wkst'!$G$7:$G$2010,$D68,'LAC 102_Wkst'!$L$7:$L$2010,"04",'LAC 102_Wkst'!$N$7:$N$2010,"P1")+SUMIFS('LAC 102_Wkst'!$Q$7:$Q$2010,'LAC 102_Wkst'!$E$7:$E$2010,$C68,'LAC 102_Wkst'!$G$7:$G$2010,$D68,'LAC 102_Wkst'!$L$7:$L$2010,"04",'LAC 102_Wkst'!$N$7:$N$2010,"P2")+SUMIFS('LAC 102_Wkst'!$Q$7:$Q$2010,'LAC 102_Wkst'!$E$7:$E$2010,$C68,'LAC 102_Wkst'!$G$7:$G$2010,$D68,'LAC 102_Wkst'!$L$7:$L$2010,"04",'LAC 102_Wkst'!$N$7:$N$2010,"P3")</f>
        <v>0</v>
      </c>
      <c r="M68" s="411">
        <f>SUMIFS('LAC 102_Wkst'!$AE$7:$AE$2010,'LAC 102_Wkst'!$E$7:$E$2010,$C68,'LAC 102_Wkst'!$G$7:$G$2010,$D68,'LAC 102_Wkst'!$L$7:$L$2010,"03",'LAC 102_Wkst'!$N$7:$N$2010,"P1")+SUMIFS('LAC 102_Wkst'!$AE$7:$AE$2010,'LAC 102_Wkst'!$E$7:$E$2010,$C68,'LAC 102_Wkst'!$G$7:$G$2010,$D68,'LAC 102_Wkst'!$L$7:$L$2010,"03",'LAC 102_Wkst'!$N$7:$N$2010,"P2")+SUMIFS('LAC 102_Wkst'!$AE$7:$AE$2010,'LAC 102_Wkst'!$E$7:$E$2010,$C68,'LAC 102_Wkst'!$G$7:$G$2010,$D68,'LAC 102_Wkst'!$L$7:$L$2010,"03",'LAC 102_Wkst'!$N$7:$N$2010,"P3")+SUMIFS('LAC 102_Wkst'!$AE$7:$AE$2010,'LAC 102_Wkst'!$E$7:$E$2010,$C68,'LAC 102_Wkst'!$G$7:$G$2010,$D68,'LAC 102_Wkst'!$L$7:$L$2010,"04",'LAC 102_Wkst'!$N$7:$N$2010,"P1")+SUMIFS('LAC 102_Wkst'!$AE$7:$AE$2010,'LAC 102_Wkst'!$E$7:$E$2010,$C68,'LAC 102_Wkst'!$G$7:$G$2010,$D68,'LAC 102_Wkst'!$L$7:$L$2010,"04",'LAC 102_Wkst'!$N$7:$N$2010,"P2")+SUMIFS('LAC 102_Wkst'!$AE$7:$AE$2010,'LAC 102_Wkst'!$E$7:$E$2010,$C68,'LAC 102_Wkst'!$G$7:$G$2010,$D68,'LAC 102_Wkst'!$L$7:$L$2010,"04",'LAC 102_Wkst'!$N$7:$N$2010,"P3")</f>
        <v>0</v>
      </c>
      <c r="N68" s="410">
        <f>SUMIFS('LAC 102_Wkst'!$Q$7:$Q$2010,'LAC 102_Wkst'!$E$7:$E$2010,$C68,'LAC 102_Wkst'!$G$7:$G$2010,$D68,'LAC 102_Wkst'!$L$7:$L$2010,"03",'LAC 102_Wkst'!$N$7:$N$2010,"P4")+SUMIFS('LAC 102_Wkst'!$Q$7:$Q$2010,'LAC 102_Wkst'!$E$7:$E$2010,$C68,'LAC 102_Wkst'!$G$7:$G$2010,$D68,'LAC 102_Wkst'!$L$7:$L$2010,"04",'LAC 102_Wkst'!$N$7:$N$2010,"P4")</f>
        <v>0</v>
      </c>
      <c r="O68" s="411">
        <f>SUMIFS('LAC 102_Wkst'!$AE$7:$AE$2010,'LAC 102_Wkst'!$E$7:$E$2010,$C68,'LAC 102_Wkst'!$G$7:$G$2010,$D68,'LAC 102_Wkst'!$L$7:$L$2010,"03",'LAC 102_Wkst'!$N$7:$N$2010,"P4")+SUMIFS('LAC 102_Wkst'!$AE$7:$AE$2010,'LAC 102_Wkst'!$E$7:$E$2010,$C68,'LAC 102_Wkst'!$G$7:$G$2010,$D68,'LAC 102_Wkst'!$L$7:$L$2010,"04",'LAC 102_Wkst'!$N$7:$N$2010,"P4")</f>
        <v>0</v>
      </c>
      <c r="P68" s="410">
        <f>SUMIFS('LAC 102_Wkst'!$Q$7:$Q$2010,'LAC 102_Wkst'!$E$7:$E$2010,$C68,'LAC 102_Wkst'!$G$7:$G$2010,$D68,'LAC 102_Wkst'!$L$7:$L$2010,"03",'LAC 102_Wkst'!$N$7:$N$2010,"P5")+SUMIFS('LAC 102_Wkst'!$Q$7:$Q$2010,'LAC 102_Wkst'!$E$7:$E$2010,$C68,'LAC 102_Wkst'!$G$7:$G$2010,$D68,'LAC 102_Wkst'!$L$7:$L$2010,"04",'LAC 102_Wkst'!$N$7:$N$2010,"P5")</f>
        <v>0</v>
      </c>
      <c r="Q68" s="411">
        <f>SUMIFS('LAC 102_Wkst'!$AE$7:$AE$2010,'LAC 102_Wkst'!$E$7:$E$2010,$C68,'LAC 102_Wkst'!$G$7:$G$2010,$D68,'LAC 102_Wkst'!$L$7:$L$2010,"03",'LAC 102_Wkst'!$N$7:$N$2010,"P5")+SUMIFS('LAC 102_Wkst'!$AE$7:$AE$2010,'LAC 102_Wkst'!$E$7:$E$2010,$C68,'LAC 102_Wkst'!$G$7:$G$2010,$D68,'LAC 102_Wkst'!$L$7:$L$2010,"04",'LAC 102_Wkst'!$N$7:$N$2010,"P5")</f>
        <v>0</v>
      </c>
      <c r="R68" s="412">
        <f>SUMIFS('LAC 102_Wkst'!$Q$7:$Q$2010,'LAC 102_Wkst'!$E$7:$E$2010,$C68,'LAC 102_Wkst'!$G$7:$G$2010,$D68,'LAC 102_Wkst'!$L$7:$L$2010,"05",'LAC 102_Wkst'!$N$7:$N$2010,"P1")+SUMIFS('LAC 102_Wkst'!$Q$7:$Q$2010,'LAC 102_Wkst'!$E$7:$E$2010,$C68,'LAC 102_Wkst'!$G$7:$G$2010,$D68,'LAC 102_Wkst'!$L$7:$L$2010,"06",'LAC 102_Wkst'!$N$7:$N$2010,"P1")</f>
        <v>0</v>
      </c>
      <c r="S68" s="411">
        <f>SUMIFS('LAC 102_Wkst'!$AE$7:$AE$2010,'LAC 102_Wkst'!$E$7:$E$2010,$C68,'LAC 102_Wkst'!$G$7:$G$2010,$D68,'LAC 102_Wkst'!$L$7:$L$2010,"05",'LAC 102_Wkst'!$N$7:$N$2010,"P1")+SUMIFS('LAC 102_Wkst'!$AE$7:$AE$2010,'LAC 102_Wkst'!$E$7:$E$2010,$C68,'LAC 102_Wkst'!$G$7:$G$2010,$D68,'LAC 102_Wkst'!$L$7:$L$2010,"06",'LAC 102_Wkst'!$N$7:$N$2010,"P1")</f>
        <v>0</v>
      </c>
      <c r="T68" s="410">
        <f>SUMIFS('LAC 102_Wkst'!$Q$7:$Q$2010,'LAC 102_Wkst'!$E$7:$E$2010,$C68,'LAC 102_Wkst'!$G$7:$G$2010,$D68,'LAC 102_Wkst'!$L$7:$L$2010,"05",'LAC 102_Wkst'!$N$7:$N$2010,"P2")+SUMIFS('LAC 102_Wkst'!$Q$7:$Q$2010,'LAC 102_Wkst'!$E$7:$E$2010,$C68,'LAC 102_Wkst'!$G$7:$G$2010,$D68,'LAC 102_Wkst'!$L$7:$L$2010,"05",'LAC 102_Wkst'!$N$7:$N$2010,"P3")+SUMIFS('LAC 102_Wkst'!$Q$7:$Q$2010,'LAC 102_Wkst'!$E$7:$E$2010,$C68,'LAC 102_Wkst'!$G$7:$G$2010,$D68,'LAC 102_Wkst'!$L$7:$L$2010,"06",'LAC 102_Wkst'!$N$7:$N$2010,"P2")+SUMIFS('LAC 102_Wkst'!$Q$7:$Q$2010,'LAC 102_Wkst'!$E$7:$E$2010,$C68,'LAC 102_Wkst'!$G$7:$G$2010,$D68,'LAC 102_Wkst'!$L$7:$L$2010,"06",'LAC 102_Wkst'!$N$7:$N$2010,"P3")</f>
        <v>0</v>
      </c>
      <c r="U68" s="411">
        <f>SUMIFS('LAC 102_Wkst'!$AE$7:$AE$2010,'LAC 102_Wkst'!$E$7:$E$2010,$C68,'LAC 102_Wkst'!$G$7:$G$2010,$D68,'LAC 102_Wkst'!$L$7:$L$2010,"05",'LAC 102_Wkst'!$N$7:$N$2010,"P2")+SUMIFS('LAC 102_Wkst'!$AE$7:$AE$2010,'LAC 102_Wkst'!$E$7:$E$2010,$C68,'LAC 102_Wkst'!$G$7:$G$2010,$D68,'LAC 102_Wkst'!$L$7:$L$2010,"06",'LAC 102_Wkst'!$N$7:$N$2010,"P3")+SUMIFS('LAC 102_Wkst'!$AE$7:$AE$2010,'LAC 102_Wkst'!$E$7:$E$2010,$C68,'LAC 102_Wkst'!$G$7:$G$2010,$D68,'LAC 102_Wkst'!$L$7:$L$2010,"05",'LAC 102_Wkst'!$N$7:$N$2010,"P2")+SUMIFS('LAC 102_Wkst'!$AE$7:$AE$2010,'LAC 102_Wkst'!$E$7:$E$2010,$C68,'LAC 102_Wkst'!$G$7:$G$2010,$D68,'LAC 102_Wkst'!$L$7:$L$2010,"06",'LAC 102_Wkst'!$N$7:$N$2010,"P3")</f>
        <v>0</v>
      </c>
      <c r="V68" s="410">
        <f>SUMIFS('LAC 102_Wkst'!$Q$7:$Q$2010,'LAC 102_Wkst'!$E$7:$E$2010,$C68,'LAC 102_Wkst'!$G$7:$G$2010,$D68,'LAC 102_Wkst'!$L$7:$L$2010,"05",'LAC 102_Wkst'!$N$7:$N$2010,"P4")+SUMIFS('LAC 102_Wkst'!$Q$7:$Q$2010,'LAC 102_Wkst'!$E$7:$E$2010,$C68,'LAC 102_Wkst'!$G$7:$G$2010,$D68,'LAC 102_Wkst'!$L$7:$L$2010,"06",'LAC 102_Wkst'!$N$7:$N$2010,"P4")</f>
        <v>0</v>
      </c>
      <c r="W68" s="411">
        <f>SUMIFS('LAC 102_Wkst'!$AE$7:$AE$2010,'LAC 102_Wkst'!$E$7:$E$2010,$C68,'LAC 102_Wkst'!$G$7:$G$2010,$D68,'LAC 102_Wkst'!$L$7:$L$2010,"05",'LAC 102_Wkst'!$N$7:$N$2010,"P4")+SUMIFS('LAC 102_Wkst'!$AE$7:$AE$2010,'LAC 102_Wkst'!$E$7:$E$2010,$C68,'LAC 102_Wkst'!$G$7:$G$2010,$D68,'LAC 102_Wkst'!$L$7:$L$2010,"06",'LAC 102_Wkst'!$N$7:$N$2010,"P4")</f>
        <v>0</v>
      </c>
      <c r="X68" s="410">
        <f>SUMIFS('LAC 102_Wkst'!$Q$7:$Q$2010,'LAC 102_Wkst'!$E$7:$E$2010,$C68,'LAC 102_Wkst'!$G$7:$G$2010,$D68,'LAC 102_Wkst'!$L$7:$L$2010,"05",'LAC 102_Wkst'!$N$7:$N$2010,"P5")+SUMIFS('LAC 102_Wkst'!$Q$7:$Q$2010,'LAC 102_Wkst'!$E$7:$E$2010,$C68,'LAC 102_Wkst'!$G$7:$G$2010,$D68,'LAC 102_Wkst'!$L$7:$L$2010,"06",'LAC 102_Wkst'!$N$7:$N$2010,"P5")</f>
        <v>0</v>
      </c>
      <c r="Y68" s="411">
        <f>SUMIFS('LAC 102_Wkst'!$AE$7:$AE$2010,'LAC 102_Wkst'!$E$7:$E$2010,$C68,'LAC 102_Wkst'!$G$7:$G$2010,$D68,'LAC 102_Wkst'!$L$7:$L$2010,"05",'LAC 102_Wkst'!$N$7:$N$2010,"P5")+SUMIFS('LAC 102_Wkst'!$AE$7:$AE$2010,'LAC 102_Wkst'!$E$7:$E$2010,$C68,'LAC 102_Wkst'!$G$7:$G$2010,$D68,'LAC 102_Wkst'!$L$7:$L$2010,"06",'LAC 102_Wkst'!$N$7:$N$2010,"P5")</f>
        <v>0</v>
      </c>
      <c r="Z68" s="410">
        <f>SUMIFS('LAC 102_Wkst'!$Q$7:$Q$2010,'LAC 102_Wkst'!$E$7:$E$2010,$C68,'LAC 102_Wkst'!$G$7:$G$2010,$D68,'LAC 102_Wkst'!$L$7:$L$2010,"07",'LAC 102_Wkst'!$N$7:$N$2010,"P1")+SUMIFS('LAC 102_Wkst'!$Q$7:$Q$2010,'LAC 102_Wkst'!$E$7:$E$2010,$C68,'LAC 102_Wkst'!$G$7:$G$2010,$D68,'LAC 102_Wkst'!$L$7:$L$2010,"07",'LAC 102_Wkst'!$N$7:$N$2010,"P2")+SUMIFS('LAC 102_Wkst'!$Q$7:$Q$2010,'LAC 102_Wkst'!$E$7:$E$2010,$C68,'LAC 102_Wkst'!$G$7:$G$2010,$D68,'LAC 102_Wkst'!$L$7:$L$2010,"07",'LAC 102_Wkst'!$N$7:$N$2010,"P3")</f>
        <v>0</v>
      </c>
      <c r="AA68" s="411">
        <f>SUMIFS('LAC 102_Wkst'!$AE$7:$AE$2010,'LAC 102_Wkst'!$E$7:$E$2010,$C68,'LAC 102_Wkst'!$G$7:$G$2010,$D68,'LAC 102_Wkst'!$L$7:$L$2010,"07",'LAC 102_Wkst'!$N$7:$N$2010,"P1")+SUMIFS('LAC 102_Wkst'!$AE$7:$AE$2010,'LAC 102_Wkst'!$E$7:$E$2010,$C68,'LAC 102_Wkst'!$G$7:$G$2010,$D68,'LAC 102_Wkst'!$L$7:$L$2010,"07",'LAC 102_Wkst'!$N$7:$N$2010,"P2")+SUMIFS('LAC 102_Wkst'!$AE$7:$AE$2010,'LAC 102_Wkst'!$E$7:$E$2010,$C68,'LAC 102_Wkst'!$G$7:$G$2010,$D68,'LAC 102_Wkst'!$L$7:$L$2010,"07",'LAC 102_Wkst'!$N$7:$N$2010,"P3")</f>
        <v>0</v>
      </c>
      <c r="AB68" s="410">
        <f>SUMIFS('LAC 102_Wkst'!$Q$7:$Q$2010,'LAC 102_Wkst'!$E$7:$E$2010,$C68,'LAC 102_Wkst'!$G$7:$G$2010,$D68,'LAC 102_Wkst'!$L$7:$L$2010,"07",'LAC 102_Wkst'!$N$7:$N$2010,"P4")</f>
        <v>0</v>
      </c>
      <c r="AC68" s="411">
        <f>SUMIFS('LAC 102_Wkst'!$AE$7:$AE$2010,'LAC 102_Wkst'!$E$7:$E$2010,$C68,'LAC 102_Wkst'!$G$7:$G$2010,$D68,'LAC 102_Wkst'!$L$7:$L$2010,"07",'LAC 102_Wkst'!$N$7:$N$2010,"P4")</f>
        <v>0</v>
      </c>
      <c r="AD68" s="410">
        <f>SUMIFS('LAC 102_Wkst'!$Q$7:$Q$2010,'LAC 102_Wkst'!$E$7:$E$2010,$C68,'LAC 102_Wkst'!$G$7:$G$2010,$D68,'LAC 102_Wkst'!$L$7:$L$2010,"07",'LAC 102_Wkst'!$N$7:$N$2010,"P5")</f>
        <v>0</v>
      </c>
      <c r="AE68" s="411">
        <f>SUMIFS('LAC 102_Wkst'!$AE$7:$AE$2010,'LAC 102_Wkst'!$E$7:$E$2010,$C68,'LAC 102_Wkst'!$G$7:$G$2010,$D68,'LAC 102_Wkst'!$L$7:$L$2010,"07",'LAC 102_Wkst'!$N$7:$N$2010,"P5")</f>
        <v>0</v>
      </c>
      <c r="AF68" s="410">
        <f>SUMIFS('LAC 102_Wkst'!$Q$7:$Q$2010,'LAC 102_Wkst'!$E$7:$E$2010,$C68,'LAC 102_Wkst'!$G$7:$G$2010,$D68,'LAC 102_Wkst'!$L$7:$L$2010,"08",'LAC 102_Wkst'!$N$7:$N$2010,"P1")+SUMIFS('LAC 102_Wkst'!$Q$7:$Q$2010,'LAC 102_Wkst'!$E$7:$E$2010,$C68,'LAC 102_Wkst'!$G$7:$G$2010,$D68,'LAC 102_Wkst'!$L$7:$L$2010,"08",'LAC 102_Wkst'!$N$7:$N$2010,"P2")+SUMIFS('LAC 102_Wkst'!$Q$7:$Q$2010,'LAC 102_Wkst'!$E$7:$E$2010,$C68,'LAC 102_Wkst'!$G$7:$G$2010,$D68,'LAC 102_Wkst'!$L$7:$L$2010,"08",'LAC 102_Wkst'!$N$7:$N$2010,"P3")</f>
        <v>0</v>
      </c>
      <c r="AG68" s="411">
        <f>SUMIFS('LAC 102_Wkst'!$AE$7:$AE$2010,'LAC 102_Wkst'!$E$7:$E$2010,$C68,'LAC 102_Wkst'!$G$7:$G$2010,$D68,'LAC 102_Wkst'!$L$7:$L$2010,"08",'LAC 102_Wkst'!$N$7:$N$2010,"P1")+SUMIFS('LAC 102_Wkst'!$AE$7:$AE$2010,'LAC 102_Wkst'!$E$7:$E$2010,$C68,'LAC 102_Wkst'!$G$7:$G$2010,$D68,'LAC 102_Wkst'!$L$7:$L$2010,"08",'LAC 102_Wkst'!$N$7:$N$2010,"P2")+SUMIFS('LAC 102_Wkst'!$AE$7:$AE$2010,'LAC 102_Wkst'!$E$7:$E$2010,$C68,'LAC 102_Wkst'!$G$7:$G$2010,$D68,'LAC 102_Wkst'!$L$7:$L$2010,"08",'LAC 102_Wkst'!$N$7:$N$2010,"P3")</f>
        <v>0</v>
      </c>
      <c r="AH68" s="410">
        <f>SUMIFS('LAC 102_Wkst'!$Q$7:$Q$2010,'LAC 102_Wkst'!$E$7:$E$2010,$C68,'LAC 102_Wkst'!$G$7:$G$2010,$D68,'LAC 102_Wkst'!$L$7:$L$2010,"08",'LAC 102_Wkst'!$N$7:$N$2010,"P4")</f>
        <v>0</v>
      </c>
      <c r="AI68" s="411">
        <f>SUMIFS('LAC 102_Wkst'!$AE$7:$AE$2010,'LAC 102_Wkst'!$E$7:$E$2010,$C68,'LAC 102_Wkst'!$G$7:$G$2010,$D68,'LAC 102_Wkst'!$L$7:$L$2010,"08",'LAC 102_Wkst'!$N$7:$N$2010,"P4")</f>
        <v>0</v>
      </c>
      <c r="AJ68" s="410">
        <f>SUMIFS('LAC 102_Wkst'!$Q$7:$Q$2010,'LAC 102_Wkst'!$E$7:$E$2010,$C68,'LAC 102_Wkst'!$G$7:$G$2010,$D68,'LAC 102_Wkst'!$L$7:$L$2010,"08",'LAC 102_Wkst'!$N$7:$N$2010,"P5")</f>
        <v>0</v>
      </c>
      <c r="AK68" s="411">
        <f>SUMIFS('LAC 102_Wkst'!$AE$7:$AE$2010,'LAC 102_Wkst'!$E$7:$E$2010,$C68,'LAC 102_Wkst'!$G$7:$G$2010,$D68,'LAC 102_Wkst'!$L$7:$L$2010,"08",'LAC 102_Wkst'!$N$7:$N$2010,"P5")</f>
        <v>0</v>
      </c>
      <c r="AL68" s="410">
        <f>SUMIFS('LAC 102_Wkst'!$Q$7:$Q$2010,'LAC 102_Wkst'!$E$7:$E$2010,$C68,'LAC 102_Wkst'!$G$7:$G$2010,$D68,'LAC 102_Wkst'!$L$7:$L$2010,"09",'LAC 102_Wkst'!$N$7:$N$2010,"P1")+SUMIFS('LAC 102_Wkst'!$Q$7:$Q$2010,'LAC 102_Wkst'!$E$7:$E$2010,$C68,'LAC 102_Wkst'!$G$7:$G$2010,$D68,'LAC 102_Wkst'!$L$7:$L$2010,"09",'LAC 102_Wkst'!$N$7:$N$2010,"P2")+SUMIFS('LAC 102_Wkst'!$Q$7:$Q$2010,'LAC 102_Wkst'!$E$7:$E$2010,$C68,'LAC 102_Wkst'!$G$7:$G$2010,$D68,'LAC 102_Wkst'!$L$7:$L$2010,"09",'LAC 102_Wkst'!$N$7:$N$2010,"P3")+SUMIFS('LAC 102_Wkst'!$Q$7:$Q$2010,'LAC 102_Wkst'!$E$7:$E$2010,$C68,'LAC 102_Wkst'!$G$7:$G$2010,$D68,'LAC 102_Wkst'!$L$7:$L$2010,"09",'LAC 102_Wkst'!$N$7:$N$2010,"P4")</f>
        <v>0</v>
      </c>
      <c r="AM68" s="411">
        <f>SUMIFS('LAC 102_Wkst'!$AE$7:$AE$2010,'LAC 102_Wkst'!$E$7:$E$2010,$C68,'LAC 102_Wkst'!$G$7:$G$2010,$D68,'LAC 102_Wkst'!$L$7:$L$2010,"09",'LAC 102_Wkst'!$N$7:$N$2010,"P1")+SUMIFS('LAC 102_Wkst'!$AE$7:$AE$2010,'LAC 102_Wkst'!$E$7:$E$2010,$C68,'LAC 102_Wkst'!$G$7:$G$2010,$D68,'LAC 102_Wkst'!$L$7:$L$2010,"09",'LAC 102_Wkst'!$N$7:$N$2010,"P2")+SUMIFS('LAC 102_Wkst'!$AE$7:$AE$2010,'LAC 102_Wkst'!$E$7:$E$2010,$C68,'LAC 102_Wkst'!$G$7:$G$2010,$D68,'LAC 102_Wkst'!$L$7:$L$2010,"09",'LAC 102_Wkst'!$N$7:$N$2010,"P3")+SUMIFS('LAC 102_Wkst'!$AE$7:$AE$2010,'LAC 102_Wkst'!$E$7:$E$2010,$C68,'LAC 102_Wkst'!$G$7:$G$2010,$D68,'LAC 102_Wkst'!$L$7:$L$2010,"09",'LAC 102_Wkst'!$N$7:$N$2010,"P4")</f>
        <v>0</v>
      </c>
      <c r="AN68" s="410">
        <f>SUMIFS('LAC 102_Wkst'!$Q$7:$Q$2010,'LAC 102_Wkst'!$E$7:$E$2010,$C68,'LAC 102_Wkst'!$G$7:$G$2010,$D68,'LAC 102_Wkst'!$L$7:$L$2010,"09",'LAC 102_Wkst'!$N$7:$N$2010,"P5")</f>
        <v>0</v>
      </c>
      <c r="AO68" s="411">
        <f>SUMIFS('LAC 102_Wkst'!$AE$7:$AE$2010,'LAC 102_Wkst'!$E$7:$E$2010,$C68,'LAC 102_Wkst'!$G$7:$G$2010,$D68,'LAC 102_Wkst'!$L$7:$L$2010,"09",'LAC 102_Wkst'!$N$7:$N$2010,"P5")</f>
        <v>0</v>
      </c>
      <c r="AP68" s="410">
        <f>SUMIFS('LAC 102_Wkst'!$Q$7:$Q$2010,'LAC 102_Wkst'!$E$7:$E$2010,$C68,'LAC 102_Wkst'!$G$7:$G$2010,$D68,'LAC 102_Wkst'!$L$7:$L$2010,"10",'LAC 102_Wkst'!$N$7:$N$2010,"P1")+SUMIFS('LAC 102_Wkst'!$Q$7:$Q$2010,'LAC 102_Wkst'!$E$7:$E$2010,$C68,'LAC 102_Wkst'!$G$7:$G$2010,$D68,'LAC 102_Wkst'!$L$7:$L$2010,"10",'LAC 102_Wkst'!$N$7:$N$2010,"P2")+SUMIFS('LAC 102_Wkst'!$Q$7:$Q$2010,'LAC 102_Wkst'!$E$7:$E$2010,$C68,'LAC 102_Wkst'!$G$7:$G$2010,$D68,'LAC 102_Wkst'!$L$7:$L$2010,"10",'LAC 102_Wkst'!$N$7:$N$2010,"P3")+SUMIFS('LAC 102_Wkst'!$Q$7:$Q$2010,'LAC 102_Wkst'!$E$7:$E$2010,$C68,'LAC 102_Wkst'!$G$7:$G$2010,$D68,'LAC 102_Wkst'!$L$7:$L$2010,"10",'LAC 102_Wkst'!$N$7:$N$2010,"P4")</f>
        <v>0</v>
      </c>
      <c r="AQ68" s="411">
        <f>SUMIFS('LAC 102_Wkst'!$AE$7:$AE$2010,'LAC 102_Wkst'!$E$7:$E$2010,$C68,'LAC 102_Wkst'!$G$7:$G$2010,$D68,'LAC 102_Wkst'!$L$7:$L$2010,"10",'LAC 102_Wkst'!$N$7:$N$2010,"P1")+SUMIFS('LAC 102_Wkst'!$AE$7:$AE$2010,'LAC 102_Wkst'!$E$7:$E$2010,$C68,'LAC 102_Wkst'!$G$7:$G$2010,$D68,'LAC 102_Wkst'!$L$7:$L$2010,"10",'LAC 102_Wkst'!$N$7:$N$2010,"P2")+SUMIFS('LAC 102_Wkst'!$AE$7:$AE$2010,'LAC 102_Wkst'!$E$7:$E$2010,$C68,'LAC 102_Wkst'!$G$7:$G$2010,$D68,'LAC 102_Wkst'!$L$7:$L$2010,"10",'LAC 102_Wkst'!$N$7:$N$2010,"P3")+SUMIFS('LAC 102_Wkst'!$AE$7:$AE$2010,'LAC 102_Wkst'!$E$7:$E$2010,$C68,'LAC 102_Wkst'!$G$7:$G$2010,$D68,'LAC 102_Wkst'!$L$7:$L$2010,"10",'LAC 102_Wkst'!$N$7:$N$2010,"P4")</f>
        <v>0</v>
      </c>
      <c r="AR68" s="410">
        <f>SUMIFS('LAC 102_Wkst'!$Q$7:$Q$2010,'LAC 102_Wkst'!$E$7:$E$2010,$C68,'LAC 102_Wkst'!$G$7:$G$2010,$D68,'LAC 102_Wkst'!$L$7:$L$2010,"10",'LAC 102_Wkst'!$N$7:$N$2010,"P5")</f>
        <v>0</v>
      </c>
      <c r="AS68" s="411">
        <f>SUMIFS('LAC 102_Wkst'!$AE$7:$AE$2010,'LAC 102_Wkst'!$E$7:$E$2010,$C68,'LAC 102_Wkst'!$G$7:$G$2010,$D68,'LAC 102_Wkst'!$L$7:$L$2010,"10",'LAC 102_Wkst'!$N$7:$N$2010,"P5")</f>
        <v>0</v>
      </c>
      <c r="AT68" s="410">
        <f>SUMIFS('LAC 102_Wkst'!$Q$7:$Q$2010,'LAC 102_Wkst'!$E$7:$E$2010,$C68,'LAC 102_Wkst'!$G$7:$G$2010,$D68,'LAC 102_Wkst'!$L$7:$L$2010,"11",'LAC 102_Wkst'!$N$7:$N$2010,"P1")+SUMIFS('LAC 102_Wkst'!$Q$7:$Q$2010,'LAC 102_Wkst'!$E$7:$E$2010,$C68,'LAC 102_Wkst'!$G$7:$G$2010,$D68,'LAC 102_Wkst'!$L$7:$L$2010,"12",'LAC 102_Wkst'!$N$7:$N$2010,"P1")</f>
        <v>0</v>
      </c>
      <c r="AU68" s="411">
        <f>SUMIFS('LAC 102_Wkst'!$AE$7:$AE$2010,'LAC 102_Wkst'!$E$7:$E$2010,$C68,'LAC 102_Wkst'!$G$7:$G$2010,$D68,'LAC 102_Wkst'!$L$7:$L$2010,"11",'LAC 102_Wkst'!$N$7:$N$2010,"P1")+SUMIFS('LAC 102_Wkst'!$AE$7:$AE$2010,'LAC 102_Wkst'!$E$7:$E$2010,$C68,'LAC 102_Wkst'!$G$7:$G$2010,$D68,'LAC 102_Wkst'!$L$7:$L$2010,"12",'LAC 102_Wkst'!$N$7:$N$2010,"P1")</f>
        <v>0</v>
      </c>
      <c r="AV68" s="410">
        <f>SUMIFS('LAC 102_Wkst'!$Q$7:$Q$2010,'LAC 102_Wkst'!$E$7:$E$2010,$C68,'LAC 102_Wkst'!$G$7:$G$2010,$D68,'LAC 102_Wkst'!$L$7:$L$2010,"11",'LAC 102_Wkst'!$N$7:$N$2010,"P2")+SUMIFS('LAC 102_Wkst'!$Q$7:$Q$2010,'LAC 102_Wkst'!$E$7:$E$2010,$C68,'LAC 102_Wkst'!$G$7:$G$2010,$D68,'LAC 102_Wkst'!$L$7:$L$2010,"12",'LAC 102_Wkst'!$N$7:$N$2010,"P3")+SUMIFS('LAC 102_Wkst'!$Q$7:$Q$2010,'LAC 102_Wkst'!$E$7:$E$2010,$C68,'LAC 102_Wkst'!$G$7:$G$2010,$D68,'LAC 102_Wkst'!$L$7:$L$2010,"11",'LAC 102_Wkst'!$N$7:$N$2010,"P2")+SUMIFS('LAC 102_Wkst'!$Q$7:$Q$2010,'LAC 102_Wkst'!$E$7:$E$2010,$C68,'LAC 102_Wkst'!$G$7:$G$2010,$D68,'LAC 102_Wkst'!$L$7:$L$2010,"12",'LAC 102_Wkst'!$N$7:$N$2010,"P3")</f>
        <v>0</v>
      </c>
      <c r="AW68" s="411">
        <f>SUMIFS('LAC 102_Wkst'!$AE$7:$AE$2010,'LAC 102_Wkst'!$E$7:$E$2010,$C68,'LAC 102_Wkst'!$G$7:$G$2010,$D68,'LAC 102_Wkst'!$L$7:$L$2010,"11",'LAC 102_Wkst'!$N$7:$N$2010,"P2")+SUMIFS('LAC 102_Wkst'!$AE$7:$AE$2010,'LAC 102_Wkst'!$E$7:$E$2010,$C68,'LAC 102_Wkst'!$G$7:$G$2010,$D68,'LAC 102_Wkst'!$L$7:$L$2010,"12",'LAC 102_Wkst'!$N$7:$N$2010,"P3")+SUMIFS('LAC 102_Wkst'!$AE$7:$AE$2010,'LAC 102_Wkst'!$E$7:$E$2010,$C68,'LAC 102_Wkst'!$G$7:$G$2010,$D68,'LAC 102_Wkst'!$L$7:$L$2010,"11",'LAC 102_Wkst'!$N$7:$N$2010,"P2")+SUMIFS('LAC 102_Wkst'!$AE$7:$AE$2010,'LAC 102_Wkst'!$E$7:$E$2010,$C68,'LAC 102_Wkst'!$G$7:$G$2010,$D68,'LAC 102_Wkst'!$L$7:$L$2010,"12",'LAC 102_Wkst'!$N$7:$N$2010,"P3")</f>
        <v>0</v>
      </c>
      <c r="AX68" s="410">
        <f>SUMIFS('LAC 102_Wkst'!$Q$7:$Q$2010,'LAC 102_Wkst'!$E$7:$E$2010,$C68,'LAC 102_Wkst'!$G$7:$G$2010,$D68,'LAC 102_Wkst'!$L$7:$L$2010,"11",'LAC 102_Wkst'!$N$7:$N$2010,"P4")+SUMIFS('LAC 102_Wkst'!$Q$7:$Q$2010,'LAC 102_Wkst'!$E$7:$E$2010,$C68,'LAC 102_Wkst'!$G$7:$G$2010,$D68,'LAC 102_Wkst'!$L$7:$L$2010,"12",'LAC 102_Wkst'!$N$7:$N$2010,"P4")</f>
        <v>0</v>
      </c>
      <c r="AY68" s="411">
        <f>SUMIFS('LAC 102_Wkst'!$AE$7:$AE$2010,'LAC 102_Wkst'!$E$7:$E$2010,$C68,'LAC 102_Wkst'!$G$7:$G$2010,$D68,'LAC 102_Wkst'!$L$7:$L$2010,"11",'LAC 102_Wkst'!$N$7:$N$2010,"P4")+SUMIFS('LAC 102_Wkst'!$AE$7:$AE$2010,'LAC 102_Wkst'!$E$7:$E$2010,$C68,'LAC 102_Wkst'!$G$7:$G$2010,$D68,'LAC 102_Wkst'!$L$7:$L$2010,"12",'LAC 102_Wkst'!$N$7:$N$2010,"P4")</f>
        <v>0</v>
      </c>
      <c r="AZ68" s="410">
        <f>SUMIFS('LAC 102_Wkst'!$Q$7:$Q$2010,'LAC 102_Wkst'!$E$7:$E$2010,$C68,'LAC 102_Wkst'!$G$7:$G$2010,$D68,'LAC 102_Wkst'!$L$7:$L$2010,"11",'LAC 102_Wkst'!$N$7:$N$2010,"P5")+SUMIFS('LAC 102_Wkst'!$Q$7:$Q$2010,'LAC 102_Wkst'!$E$7:$E$2010,$C68,'LAC 102_Wkst'!$G$7:$G$2010,$D68,'LAC 102_Wkst'!$L$7:$L$2010,"12",'LAC 102_Wkst'!$N$7:$N$2010,"P5")</f>
        <v>0</v>
      </c>
      <c r="BA68" s="411">
        <f>SUMIFS('LAC 102_Wkst'!$AE$7:$AE$2010,'LAC 102_Wkst'!$E$7:$E$2010,$C68,'LAC 102_Wkst'!$G$7:$G$2010,$D68,'LAC 102_Wkst'!$L$7:$L$2010,"11",'LAC 102_Wkst'!$N$7:$N$2010,"P5")+SUMIFS('LAC 102_Wkst'!$AE$7:$AE$2010,'LAC 102_Wkst'!$E$7:$E$2010,$C68,'LAC 102_Wkst'!$G$7:$G$2010,$D68,'LAC 102_Wkst'!$L$7:$L$2010,"12",'LAC 102_Wkst'!$N$7:$N$2010,"P5")</f>
        <v>0</v>
      </c>
      <c r="BB68" s="410">
        <f>SUMIFS('LAC 102_Wkst'!$Q$7:$Q$2010,'LAC 102_Wkst'!$E$7:$E$2010,$C68,'LAC 102_Wkst'!$G$7:$G$2010,$D68,'LAC 102_Wkst'!$L$7:$L$2010,"13",'LAC 102_Wkst'!$N$7:$N$2010,"P1")+SUMIFS('LAC 102_Wkst'!$Q$7:$Q$2010,'LAC 102_Wkst'!$E$7:$E$2010,$C68,'LAC 102_Wkst'!$G$7:$G$2010,$D68,'LAC 102_Wkst'!$L$7:$L$2010,"13",'LAC 102_Wkst'!$N$7:$N$2010,"P2")+SUMIFS('LAC 102_Wkst'!$Q$7:$Q$2010,'LAC 102_Wkst'!$E$7:$E$2010,$C68,'LAC 102_Wkst'!$G$7:$G$2010,$D68,'LAC 102_Wkst'!$L$7:$L$2010,"13",'LAC 102_Wkst'!$N$7:$N$2010,"P3")+SUMIFS('LAC 102_Wkst'!$Q$7:$Q$2010,'LAC 102_Wkst'!$E$7:$E$2010,$C68,'LAC 102_Wkst'!$G$7:$G$2010,$D68,'LAC 102_Wkst'!$L$7:$L$2010,"13",'LAC 102_Wkst'!$N$7:$N$2010,"P4")</f>
        <v>0</v>
      </c>
      <c r="BC68" s="411">
        <f>SUMIFS('LAC 102_Wkst'!$AE$7:$AE$2010,'LAC 102_Wkst'!$E$7:$E$2010,$C68,'LAC 102_Wkst'!$G$7:$G$2010,$D68,'LAC 102_Wkst'!$L$7:$L$2010,"13",'LAC 102_Wkst'!$N$7:$N$2010,"P1")+SUMIFS('LAC 102_Wkst'!$AE$7:$AE$2010,'LAC 102_Wkst'!$E$7:$E$2010,$C68,'LAC 102_Wkst'!$G$7:$G$2010,$D68,'LAC 102_Wkst'!$L$7:$L$2010,"13",'LAC 102_Wkst'!$N$7:$N$2010,"P2")+SUMIFS('LAC 102_Wkst'!$AE$7:$AE$2010,'LAC 102_Wkst'!$E$7:$E$2010,$C68,'LAC 102_Wkst'!$G$7:$G$2010,$D68,'LAC 102_Wkst'!$L$7:$L$2010,"13",'LAC 102_Wkst'!$N$7:$N$2010,"P3")+SUMIFS('LAC 102_Wkst'!$AE$7:$AE$2010,'LAC 102_Wkst'!$E$7:$E$2010,$C68,'LAC 102_Wkst'!$G$7:$G$2010,$D68,'LAC 102_Wkst'!$L$7:$L$2010,"13",'LAC 102_Wkst'!$N$7:$N$2010,"P4")</f>
        <v>0</v>
      </c>
      <c r="BD68" s="410">
        <f>SUMIFS('LAC 102_Wkst'!$Q$7:$Q$2010,'LAC 102_Wkst'!$E$7:$E$2010,$C68,'LAC 102_Wkst'!$G$7:$G$2010,$D68,'LAC 102_Wkst'!$L$7:$L$2010,"13",'LAC 102_Wkst'!$N$7:$N$2010,"P5")</f>
        <v>0</v>
      </c>
      <c r="BE68" s="411">
        <f>SUMIFS('LAC 102_Wkst'!$AE$7:$AE$2010,'LAC 102_Wkst'!$E$7:$E$2010,$C68,'LAC 102_Wkst'!$G$7:$G$2010,$D68,'LAC 102_Wkst'!$L$7:$L$2010,"13",'LAC 102_Wkst'!$N$7:$N$2010,"P5")</f>
        <v>0</v>
      </c>
      <c r="BF68" s="407">
        <f t="shared" si="0"/>
        <v>0</v>
      </c>
    </row>
    <row r="69" spans="1:58" x14ac:dyDescent="0.2">
      <c r="A69" s="401">
        <v>50</v>
      </c>
      <c r="B69" s="1236"/>
      <c r="C69" s="1235"/>
      <c r="D69" s="1237"/>
      <c r="E69" s="1222">
        <f>IF(CONCATENATE(C69,D69)&gt;"6069",1,SUMIFS('LAC 102_Wkst'!$Q$7:$Q$2010,'LAC 102_Wkst'!$E$7:$E$2010,Schedule_B!$C69,'LAC 102_Wkst'!$G$7:$G$2010,Schedule_B!$D69))</f>
        <v>0</v>
      </c>
      <c r="F69" s="408">
        <f>SUMIFS('LAC 102_Wkst'!$Q$7:$Q$2010,'LAC 102_Wkst'!$E$7:$E$2010,$C69,'LAC 102_Wkst'!$G$7:$G$2010,$D69,'LAC 102_Wkst'!$L$7:$L$2010,"01",'LAC 102_Wkst'!$N$7:$N$2010,"P1")+SUMIFS('LAC 102_Wkst'!$Q$7:$Q$2010,'LAC 102_Wkst'!$E$7:$E$2010,$C69,'LAC 102_Wkst'!$G$7:$G$2010,$D69,'LAC 102_Wkst'!$L$7:$L$2010,"01",'LAC 102_Wkst'!$N$7:$N$2010,"P2")+SUMIFS('LAC 102_Wkst'!$Q$7:$Q$2010,'LAC 102_Wkst'!$E$7:$E$2010,$C69,'LAC 102_Wkst'!$G$7:$G$2010,$D69,'LAC 102_Wkst'!$L$7:$L$2010,"01",'LAC 102_Wkst'!$N$7:$N$2010,"P3")+SUMIFS('LAC 102_Wkst'!$Q$7:$Q$2010,'LAC 102_Wkst'!$E$7:$E$2010,$C69,'LAC 102_Wkst'!$G$7:$G$2010,$D69,'LAC 102_Wkst'!$L$7:$L$2010,"02",'LAC 102_Wkst'!$N$7:$N$2010,"P1")+SUMIFS('LAC 102_Wkst'!$Q$7:$Q$2010,'LAC 102_Wkst'!$E$7:$E$2010,$C69,'LAC 102_Wkst'!$G$7:$G$2010,$D69,'LAC 102_Wkst'!$L$7:$L$2010,"02",'LAC 102_Wkst'!$N$7:$N$2010,"P2")+SUMIFS('LAC 102_Wkst'!$Q$7:$Q$2010,'LAC 102_Wkst'!$E$7:$E$2010,$C69,'LAC 102_Wkst'!$G$7:$G$2010,$D69,'LAC 102_Wkst'!$L$7:$L$2010,"02",'LAC 102_Wkst'!$N$7:$N$2010,"P3")</f>
        <v>0</v>
      </c>
      <c r="G69" s="409">
        <f>SUMIFS('LAC 102_Wkst'!$AE$7:$AE$2010,'LAC 102_Wkst'!$E$7:$E$2010,$C69,'LAC 102_Wkst'!$G$7:$G$2010,$D69,'LAC 102_Wkst'!$L$7:$L$2010,"01",'LAC 102_Wkst'!$N$7:$N$2010,"P1")+SUMIFS('LAC 102_Wkst'!$AE$7:$AE$2010,'LAC 102_Wkst'!$E$7:$E$2010,$C69,'LAC 102_Wkst'!$G$7:$G$2010,$D69,'LAC 102_Wkst'!$L$7:$L$2010,"01",'LAC 102_Wkst'!$N$7:$N$2010,"P2")+SUMIFS('LAC 102_Wkst'!$AE$7:$AE$2010,'LAC 102_Wkst'!$E$7:$E$2010,$C69,'LAC 102_Wkst'!$G$7:$G$2010,$D69,'LAC 102_Wkst'!$L$7:$L$2010,"01",'LAC 102_Wkst'!$N$7:$N$2010,"P3")+SUMIFS('LAC 102_Wkst'!$AE$7:$AE$2010,'LAC 102_Wkst'!$E$7:$E$2010,$C69,'LAC 102_Wkst'!$G$7:$G$2010,$D69,'LAC 102_Wkst'!$L$7:$L$2010,"02",'LAC 102_Wkst'!$N$7:$N$2010,"P1")+SUMIFS('LAC 102_Wkst'!$AE$7:$AE$2010,'LAC 102_Wkst'!$E$7:$E$2010,$C69,'LAC 102_Wkst'!$G$7:$G$2010,$D69,'LAC 102_Wkst'!$L$7:$L$2010,"02",'LAC 102_Wkst'!$N$7:$N$2010,"P2")+SUMIFS('LAC 102_Wkst'!$AE$7:$AE$2010,'LAC 102_Wkst'!$E$7:$E$2010,$C69,'LAC 102_Wkst'!$G$7:$G$2010,$D69,'LAC 102_Wkst'!$L$7:$L$2010,"02",'LAC 102_Wkst'!$N$7:$N$2010,"P3")</f>
        <v>0</v>
      </c>
      <c r="H69" s="410">
        <f>SUMIFS('LAC 102_Wkst'!$Q$7:$Q$2010,'LAC 102_Wkst'!$E$7:$E$2010,$C69,'LAC 102_Wkst'!$G$7:$G$2010,$D69,'LAC 102_Wkst'!$L$7:$L$2010,"01",'LAC 102_Wkst'!$N$7:$N$2010,"P4")+SUMIFS('LAC 102_Wkst'!$Q$7:$Q$2010,'LAC 102_Wkst'!$E$7:$E$2010,$C69,'LAC 102_Wkst'!$G$7:$G$2010,$D69,'LAC 102_Wkst'!$L$7:$L$2010,"02",'LAC 102_Wkst'!$N$7:$N$2010,"P4")</f>
        <v>0</v>
      </c>
      <c r="I69" s="411">
        <f>SUMIFS('LAC 102_Wkst'!$AE$7:$AE$2010,'LAC 102_Wkst'!$E$7:$E$2010,$C69,'LAC 102_Wkst'!$G$7:$G$2010,$D69,'LAC 102_Wkst'!$L$7:$L$2010,"01",'LAC 102_Wkst'!$N$7:$N$2010,"P4")+SUMIFS('LAC 102_Wkst'!$AE$7:$AE$2010,'LAC 102_Wkst'!$E$7:$E$2010,$C69,'LAC 102_Wkst'!$G$7:$G$2010,$D69,'LAC 102_Wkst'!$L$7:$L$2010,"02",'LAC 102_Wkst'!$N$7:$N$2010,"P4")</f>
        <v>0</v>
      </c>
      <c r="J69" s="410">
        <f>SUMIFS('LAC 102_Wkst'!$Q$7:$Q$2010,'LAC 102_Wkst'!$E$7:$E$2010,$C69,'LAC 102_Wkst'!$G$7:$G$2010,$D69,'LAC 102_Wkst'!$L$7:$L$2010,"01",'LAC 102_Wkst'!$N$7:$N$2010,"P5")+SUMIFS('LAC 102_Wkst'!$Q$7:$Q$2010,'LAC 102_Wkst'!$E$7:$E$2010,$C69,'LAC 102_Wkst'!$G$7:$G$2010,$D69,'LAC 102_Wkst'!$L$7:$L$2010,"02",'LAC 102_Wkst'!$N$7:$N$2010,"P5")</f>
        <v>0</v>
      </c>
      <c r="K69" s="411">
        <f>SUMIFS('LAC 102_Wkst'!$AE$7:$AE$2010,'LAC 102_Wkst'!$E$7:$E$2010,$C69,'LAC 102_Wkst'!$G$7:$G$2010,$D69,'LAC 102_Wkst'!$L$7:$L$2010,"01",'LAC 102_Wkst'!$N$7:$N$2010,"P5")+SUMIFS('LAC 102_Wkst'!$AE$7:$AE$2010,'LAC 102_Wkst'!$E$7:$E$2010,$C69,'LAC 102_Wkst'!$G$7:$G$2010,$D69,'LAC 102_Wkst'!$L$7:$L$2010,"02",'LAC 102_Wkst'!$N$7:$N$2010,"P5")</f>
        <v>0</v>
      </c>
      <c r="L69" s="410">
        <f>SUMIFS('LAC 102_Wkst'!$Q$7:$Q$2010,'LAC 102_Wkst'!$E$7:$E$2010,$C69,'LAC 102_Wkst'!$G$7:$G$2010,$D69,'LAC 102_Wkst'!$L$7:$L$2010,"03",'LAC 102_Wkst'!$N$7:$N$2010,"P1")+SUMIFS('LAC 102_Wkst'!$Q$7:$Q$2010,'LAC 102_Wkst'!$E$7:$E$2010,$C69,'LAC 102_Wkst'!$G$7:$G$2010,$D69,'LAC 102_Wkst'!$L$7:$L$2010,"03",'LAC 102_Wkst'!$N$7:$N$2010,"P2")+SUMIFS('LAC 102_Wkst'!$Q$7:$Q$2010,'LAC 102_Wkst'!$E$7:$E$2010,$C69,'LAC 102_Wkst'!$G$7:$G$2010,$D69,'LAC 102_Wkst'!$L$7:$L$2010,"03",'LAC 102_Wkst'!$N$7:$N$2010,"P3")+SUMIFS('LAC 102_Wkst'!$Q$7:$Q$2010,'LAC 102_Wkst'!$E$7:$E$2010,$C69,'LAC 102_Wkst'!$G$7:$G$2010,$D69,'LAC 102_Wkst'!$L$7:$L$2010,"04",'LAC 102_Wkst'!$N$7:$N$2010,"P1")+SUMIFS('LAC 102_Wkst'!$Q$7:$Q$2010,'LAC 102_Wkst'!$E$7:$E$2010,$C69,'LAC 102_Wkst'!$G$7:$G$2010,$D69,'LAC 102_Wkst'!$L$7:$L$2010,"04",'LAC 102_Wkst'!$N$7:$N$2010,"P2")+SUMIFS('LAC 102_Wkst'!$Q$7:$Q$2010,'LAC 102_Wkst'!$E$7:$E$2010,$C69,'LAC 102_Wkst'!$G$7:$G$2010,$D69,'LAC 102_Wkst'!$L$7:$L$2010,"04",'LAC 102_Wkst'!$N$7:$N$2010,"P3")</f>
        <v>0</v>
      </c>
      <c r="M69" s="411">
        <f>SUMIFS('LAC 102_Wkst'!$AE$7:$AE$2010,'LAC 102_Wkst'!$E$7:$E$2010,$C69,'LAC 102_Wkst'!$G$7:$G$2010,$D69,'LAC 102_Wkst'!$L$7:$L$2010,"03",'LAC 102_Wkst'!$N$7:$N$2010,"P1")+SUMIFS('LAC 102_Wkst'!$AE$7:$AE$2010,'LAC 102_Wkst'!$E$7:$E$2010,$C69,'LAC 102_Wkst'!$G$7:$G$2010,$D69,'LAC 102_Wkst'!$L$7:$L$2010,"03",'LAC 102_Wkst'!$N$7:$N$2010,"P2")+SUMIFS('LAC 102_Wkst'!$AE$7:$AE$2010,'LAC 102_Wkst'!$E$7:$E$2010,$C69,'LAC 102_Wkst'!$G$7:$G$2010,$D69,'LAC 102_Wkst'!$L$7:$L$2010,"03",'LAC 102_Wkst'!$N$7:$N$2010,"P3")+SUMIFS('LAC 102_Wkst'!$AE$7:$AE$2010,'LAC 102_Wkst'!$E$7:$E$2010,$C69,'LAC 102_Wkst'!$G$7:$G$2010,$D69,'LAC 102_Wkst'!$L$7:$L$2010,"04",'LAC 102_Wkst'!$N$7:$N$2010,"P1")+SUMIFS('LAC 102_Wkst'!$AE$7:$AE$2010,'LAC 102_Wkst'!$E$7:$E$2010,$C69,'LAC 102_Wkst'!$G$7:$G$2010,$D69,'LAC 102_Wkst'!$L$7:$L$2010,"04",'LAC 102_Wkst'!$N$7:$N$2010,"P2")+SUMIFS('LAC 102_Wkst'!$AE$7:$AE$2010,'LAC 102_Wkst'!$E$7:$E$2010,$C69,'LAC 102_Wkst'!$G$7:$G$2010,$D69,'LAC 102_Wkst'!$L$7:$L$2010,"04",'LAC 102_Wkst'!$N$7:$N$2010,"P3")</f>
        <v>0</v>
      </c>
      <c r="N69" s="410">
        <f>SUMIFS('LAC 102_Wkst'!$Q$7:$Q$2010,'LAC 102_Wkst'!$E$7:$E$2010,$C69,'LAC 102_Wkst'!$G$7:$G$2010,$D69,'LAC 102_Wkst'!$L$7:$L$2010,"03",'LAC 102_Wkst'!$N$7:$N$2010,"P4")+SUMIFS('LAC 102_Wkst'!$Q$7:$Q$2010,'LAC 102_Wkst'!$E$7:$E$2010,$C69,'LAC 102_Wkst'!$G$7:$G$2010,$D69,'LAC 102_Wkst'!$L$7:$L$2010,"04",'LAC 102_Wkst'!$N$7:$N$2010,"P4")</f>
        <v>0</v>
      </c>
      <c r="O69" s="411">
        <f>SUMIFS('LAC 102_Wkst'!$AE$7:$AE$2010,'LAC 102_Wkst'!$E$7:$E$2010,$C69,'LAC 102_Wkst'!$G$7:$G$2010,$D69,'LAC 102_Wkst'!$L$7:$L$2010,"03",'LAC 102_Wkst'!$N$7:$N$2010,"P4")+SUMIFS('LAC 102_Wkst'!$AE$7:$AE$2010,'LAC 102_Wkst'!$E$7:$E$2010,$C69,'LAC 102_Wkst'!$G$7:$G$2010,$D69,'LAC 102_Wkst'!$L$7:$L$2010,"04",'LAC 102_Wkst'!$N$7:$N$2010,"P4")</f>
        <v>0</v>
      </c>
      <c r="P69" s="410">
        <f>SUMIFS('LAC 102_Wkst'!$Q$7:$Q$2010,'LAC 102_Wkst'!$E$7:$E$2010,$C69,'LAC 102_Wkst'!$G$7:$G$2010,$D69,'LAC 102_Wkst'!$L$7:$L$2010,"03",'LAC 102_Wkst'!$N$7:$N$2010,"P5")+SUMIFS('LAC 102_Wkst'!$Q$7:$Q$2010,'LAC 102_Wkst'!$E$7:$E$2010,$C69,'LAC 102_Wkst'!$G$7:$G$2010,$D69,'LAC 102_Wkst'!$L$7:$L$2010,"04",'LAC 102_Wkst'!$N$7:$N$2010,"P5")</f>
        <v>0</v>
      </c>
      <c r="Q69" s="411">
        <f>SUMIFS('LAC 102_Wkst'!$AE$7:$AE$2010,'LAC 102_Wkst'!$E$7:$E$2010,$C69,'LAC 102_Wkst'!$G$7:$G$2010,$D69,'LAC 102_Wkst'!$L$7:$L$2010,"03",'LAC 102_Wkst'!$N$7:$N$2010,"P5")+SUMIFS('LAC 102_Wkst'!$AE$7:$AE$2010,'LAC 102_Wkst'!$E$7:$E$2010,$C69,'LAC 102_Wkst'!$G$7:$G$2010,$D69,'LAC 102_Wkst'!$L$7:$L$2010,"04",'LAC 102_Wkst'!$N$7:$N$2010,"P5")</f>
        <v>0</v>
      </c>
      <c r="R69" s="412">
        <f>SUMIFS('LAC 102_Wkst'!$Q$7:$Q$2010,'LAC 102_Wkst'!$E$7:$E$2010,$C69,'LAC 102_Wkst'!$G$7:$G$2010,$D69,'LAC 102_Wkst'!$L$7:$L$2010,"05",'LAC 102_Wkst'!$N$7:$N$2010,"P1")+SUMIFS('LAC 102_Wkst'!$Q$7:$Q$2010,'LAC 102_Wkst'!$E$7:$E$2010,$C69,'LAC 102_Wkst'!$G$7:$G$2010,$D69,'LAC 102_Wkst'!$L$7:$L$2010,"06",'LAC 102_Wkst'!$N$7:$N$2010,"P1")</f>
        <v>0</v>
      </c>
      <c r="S69" s="411">
        <f>SUMIFS('LAC 102_Wkst'!$AE$7:$AE$2010,'LAC 102_Wkst'!$E$7:$E$2010,$C69,'LAC 102_Wkst'!$G$7:$G$2010,$D69,'LAC 102_Wkst'!$L$7:$L$2010,"05",'LAC 102_Wkst'!$N$7:$N$2010,"P1")+SUMIFS('LAC 102_Wkst'!$AE$7:$AE$2010,'LAC 102_Wkst'!$E$7:$E$2010,$C69,'LAC 102_Wkst'!$G$7:$G$2010,$D69,'LAC 102_Wkst'!$L$7:$L$2010,"06",'LAC 102_Wkst'!$N$7:$N$2010,"P1")</f>
        <v>0</v>
      </c>
      <c r="T69" s="410">
        <f>SUMIFS('LAC 102_Wkst'!$Q$7:$Q$2010,'LAC 102_Wkst'!$E$7:$E$2010,$C69,'LAC 102_Wkst'!$G$7:$G$2010,$D69,'LAC 102_Wkst'!$L$7:$L$2010,"05",'LAC 102_Wkst'!$N$7:$N$2010,"P2")+SUMIFS('LAC 102_Wkst'!$Q$7:$Q$2010,'LAC 102_Wkst'!$E$7:$E$2010,$C69,'LAC 102_Wkst'!$G$7:$G$2010,$D69,'LAC 102_Wkst'!$L$7:$L$2010,"05",'LAC 102_Wkst'!$N$7:$N$2010,"P3")+SUMIFS('LAC 102_Wkst'!$Q$7:$Q$2010,'LAC 102_Wkst'!$E$7:$E$2010,$C69,'LAC 102_Wkst'!$G$7:$G$2010,$D69,'LAC 102_Wkst'!$L$7:$L$2010,"06",'LAC 102_Wkst'!$N$7:$N$2010,"P2")+SUMIFS('LAC 102_Wkst'!$Q$7:$Q$2010,'LAC 102_Wkst'!$E$7:$E$2010,$C69,'LAC 102_Wkst'!$G$7:$G$2010,$D69,'LAC 102_Wkst'!$L$7:$L$2010,"06",'LAC 102_Wkst'!$N$7:$N$2010,"P3")</f>
        <v>0</v>
      </c>
      <c r="U69" s="411">
        <f>SUMIFS('LAC 102_Wkst'!$AE$7:$AE$2010,'LAC 102_Wkst'!$E$7:$E$2010,$C69,'LAC 102_Wkst'!$G$7:$G$2010,$D69,'LAC 102_Wkst'!$L$7:$L$2010,"05",'LAC 102_Wkst'!$N$7:$N$2010,"P2")+SUMIFS('LAC 102_Wkst'!$AE$7:$AE$2010,'LAC 102_Wkst'!$E$7:$E$2010,$C69,'LAC 102_Wkst'!$G$7:$G$2010,$D69,'LAC 102_Wkst'!$L$7:$L$2010,"06",'LAC 102_Wkst'!$N$7:$N$2010,"P3")+SUMIFS('LAC 102_Wkst'!$AE$7:$AE$2010,'LAC 102_Wkst'!$E$7:$E$2010,$C69,'LAC 102_Wkst'!$G$7:$G$2010,$D69,'LAC 102_Wkst'!$L$7:$L$2010,"05",'LAC 102_Wkst'!$N$7:$N$2010,"P2")+SUMIFS('LAC 102_Wkst'!$AE$7:$AE$2010,'LAC 102_Wkst'!$E$7:$E$2010,$C69,'LAC 102_Wkst'!$G$7:$G$2010,$D69,'LAC 102_Wkst'!$L$7:$L$2010,"06",'LAC 102_Wkst'!$N$7:$N$2010,"P3")</f>
        <v>0</v>
      </c>
      <c r="V69" s="410">
        <f>SUMIFS('LAC 102_Wkst'!$Q$7:$Q$2010,'LAC 102_Wkst'!$E$7:$E$2010,$C69,'LAC 102_Wkst'!$G$7:$G$2010,$D69,'LAC 102_Wkst'!$L$7:$L$2010,"05",'LAC 102_Wkst'!$N$7:$N$2010,"P4")+SUMIFS('LAC 102_Wkst'!$Q$7:$Q$2010,'LAC 102_Wkst'!$E$7:$E$2010,$C69,'LAC 102_Wkst'!$G$7:$G$2010,$D69,'LAC 102_Wkst'!$L$7:$L$2010,"06",'LAC 102_Wkst'!$N$7:$N$2010,"P4")</f>
        <v>0</v>
      </c>
      <c r="W69" s="411">
        <f>SUMIFS('LAC 102_Wkst'!$AE$7:$AE$2010,'LAC 102_Wkst'!$E$7:$E$2010,$C69,'LAC 102_Wkst'!$G$7:$G$2010,$D69,'LAC 102_Wkst'!$L$7:$L$2010,"05",'LAC 102_Wkst'!$N$7:$N$2010,"P4")+SUMIFS('LAC 102_Wkst'!$AE$7:$AE$2010,'LAC 102_Wkst'!$E$7:$E$2010,$C69,'LAC 102_Wkst'!$G$7:$G$2010,$D69,'LAC 102_Wkst'!$L$7:$L$2010,"06",'LAC 102_Wkst'!$N$7:$N$2010,"P4")</f>
        <v>0</v>
      </c>
      <c r="X69" s="410">
        <f>SUMIFS('LAC 102_Wkst'!$Q$7:$Q$2010,'LAC 102_Wkst'!$E$7:$E$2010,$C69,'LAC 102_Wkst'!$G$7:$G$2010,$D69,'LAC 102_Wkst'!$L$7:$L$2010,"05",'LAC 102_Wkst'!$N$7:$N$2010,"P5")+SUMIFS('LAC 102_Wkst'!$Q$7:$Q$2010,'LAC 102_Wkst'!$E$7:$E$2010,$C69,'LAC 102_Wkst'!$G$7:$G$2010,$D69,'LAC 102_Wkst'!$L$7:$L$2010,"06",'LAC 102_Wkst'!$N$7:$N$2010,"P5")</f>
        <v>0</v>
      </c>
      <c r="Y69" s="411">
        <f>SUMIFS('LAC 102_Wkst'!$AE$7:$AE$2010,'LAC 102_Wkst'!$E$7:$E$2010,$C69,'LAC 102_Wkst'!$G$7:$G$2010,$D69,'LAC 102_Wkst'!$L$7:$L$2010,"05",'LAC 102_Wkst'!$N$7:$N$2010,"P5")+SUMIFS('LAC 102_Wkst'!$AE$7:$AE$2010,'LAC 102_Wkst'!$E$7:$E$2010,$C69,'LAC 102_Wkst'!$G$7:$G$2010,$D69,'LAC 102_Wkst'!$L$7:$L$2010,"06",'LAC 102_Wkst'!$N$7:$N$2010,"P5")</f>
        <v>0</v>
      </c>
      <c r="Z69" s="410">
        <f>SUMIFS('LAC 102_Wkst'!$Q$7:$Q$2010,'LAC 102_Wkst'!$E$7:$E$2010,$C69,'LAC 102_Wkst'!$G$7:$G$2010,$D69,'LAC 102_Wkst'!$L$7:$L$2010,"07",'LAC 102_Wkst'!$N$7:$N$2010,"P1")+SUMIFS('LAC 102_Wkst'!$Q$7:$Q$2010,'LAC 102_Wkst'!$E$7:$E$2010,$C69,'LAC 102_Wkst'!$G$7:$G$2010,$D69,'LAC 102_Wkst'!$L$7:$L$2010,"07",'LAC 102_Wkst'!$N$7:$N$2010,"P2")+SUMIFS('LAC 102_Wkst'!$Q$7:$Q$2010,'LAC 102_Wkst'!$E$7:$E$2010,$C69,'LAC 102_Wkst'!$G$7:$G$2010,$D69,'LAC 102_Wkst'!$L$7:$L$2010,"07",'LAC 102_Wkst'!$N$7:$N$2010,"P3")</f>
        <v>0</v>
      </c>
      <c r="AA69" s="411">
        <f>SUMIFS('LAC 102_Wkst'!$AE$7:$AE$2010,'LAC 102_Wkst'!$E$7:$E$2010,$C69,'LAC 102_Wkst'!$G$7:$G$2010,$D69,'LAC 102_Wkst'!$L$7:$L$2010,"07",'LAC 102_Wkst'!$N$7:$N$2010,"P1")+SUMIFS('LAC 102_Wkst'!$AE$7:$AE$2010,'LAC 102_Wkst'!$E$7:$E$2010,$C69,'LAC 102_Wkst'!$G$7:$G$2010,$D69,'LAC 102_Wkst'!$L$7:$L$2010,"07",'LAC 102_Wkst'!$N$7:$N$2010,"P2")+SUMIFS('LAC 102_Wkst'!$AE$7:$AE$2010,'LAC 102_Wkst'!$E$7:$E$2010,$C69,'LAC 102_Wkst'!$G$7:$G$2010,$D69,'LAC 102_Wkst'!$L$7:$L$2010,"07",'LAC 102_Wkst'!$N$7:$N$2010,"P3")</f>
        <v>0</v>
      </c>
      <c r="AB69" s="410">
        <f>SUMIFS('LAC 102_Wkst'!$Q$7:$Q$2010,'LAC 102_Wkst'!$E$7:$E$2010,$C69,'LAC 102_Wkst'!$G$7:$G$2010,$D69,'LAC 102_Wkst'!$L$7:$L$2010,"07",'LAC 102_Wkst'!$N$7:$N$2010,"P4")</f>
        <v>0</v>
      </c>
      <c r="AC69" s="411">
        <f>SUMIFS('LAC 102_Wkst'!$AE$7:$AE$2010,'LAC 102_Wkst'!$E$7:$E$2010,$C69,'LAC 102_Wkst'!$G$7:$G$2010,$D69,'LAC 102_Wkst'!$L$7:$L$2010,"07",'LAC 102_Wkst'!$N$7:$N$2010,"P4")</f>
        <v>0</v>
      </c>
      <c r="AD69" s="410">
        <f>SUMIFS('LAC 102_Wkst'!$Q$7:$Q$2010,'LAC 102_Wkst'!$E$7:$E$2010,$C69,'LAC 102_Wkst'!$G$7:$G$2010,$D69,'LAC 102_Wkst'!$L$7:$L$2010,"07",'LAC 102_Wkst'!$N$7:$N$2010,"P5")</f>
        <v>0</v>
      </c>
      <c r="AE69" s="411">
        <f>SUMIFS('LAC 102_Wkst'!$AE$7:$AE$2010,'LAC 102_Wkst'!$E$7:$E$2010,$C69,'LAC 102_Wkst'!$G$7:$G$2010,$D69,'LAC 102_Wkst'!$L$7:$L$2010,"07",'LAC 102_Wkst'!$N$7:$N$2010,"P5")</f>
        <v>0</v>
      </c>
      <c r="AF69" s="410">
        <f>SUMIFS('LAC 102_Wkst'!$Q$7:$Q$2010,'LAC 102_Wkst'!$E$7:$E$2010,$C69,'LAC 102_Wkst'!$G$7:$G$2010,$D69,'LAC 102_Wkst'!$L$7:$L$2010,"08",'LAC 102_Wkst'!$N$7:$N$2010,"P1")+SUMIFS('LAC 102_Wkst'!$Q$7:$Q$2010,'LAC 102_Wkst'!$E$7:$E$2010,$C69,'LAC 102_Wkst'!$G$7:$G$2010,$D69,'LAC 102_Wkst'!$L$7:$L$2010,"08",'LAC 102_Wkst'!$N$7:$N$2010,"P2")+SUMIFS('LAC 102_Wkst'!$Q$7:$Q$2010,'LAC 102_Wkst'!$E$7:$E$2010,$C69,'LAC 102_Wkst'!$G$7:$G$2010,$D69,'LAC 102_Wkst'!$L$7:$L$2010,"08",'LAC 102_Wkst'!$N$7:$N$2010,"P3")</f>
        <v>0</v>
      </c>
      <c r="AG69" s="411">
        <f>SUMIFS('LAC 102_Wkst'!$AE$7:$AE$2010,'LAC 102_Wkst'!$E$7:$E$2010,$C69,'LAC 102_Wkst'!$G$7:$G$2010,$D69,'LAC 102_Wkst'!$L$7:$L$2010,"08",'LAC 102_Wkst'!$N$7:$N$2010,"P1")+SUMIFS('LAC 102_Wkst'!$AE$7:$AE$2010,'LAC 102_Wkst'!$E$7:$E$2010,$C69,'LAC 102_Wkst'!$G$7:$G$2010,$D69,'LAC 102_Wkst'!$L$7:$L$2010,"08",'LAC 102_Wkst'!$N$7:$N$2010,"P2")+SUMIFS('LAC 102_Wkst'!$AE$7:$AE$2010,'LAC 102_Wkst'!$E$7:$E$2010,$C69,'LAC 102_Wkst'!$G$7:$G$2010,$D69,'LAC 102_Wkst'!$L$7:$L$2010,"08",'LAC 102_Wkst'!$N$7:$N$2010,"P3")</f>
        <v>0</v>
      </c>
      <c r="AH69" s="410">
        <f>SUMIFS('LAC 102_Wkst'!$Q$7:$Q$2010,'LAC 102_Wkst'!$E$7:$E$2010,$C69,'LAC 102_Wkst'!$G$7:$G$2010,$D69,'LAC 102_Wkst'!$L$7:$L$2010,"08",'LAC 102_Wkst'!$N$7:$N$2010,"P4")</f>
        <v>0</v>
      </c>
      <c r="AI69" s="411">
        <f>SUMIFS('LAC 102_Wkst'!$AE$7:$AE$2010,'LAC 102_Wkst'!$E$7:$E$2010,$C69,'LAC 102_Wkst'!$G$7:$G$2010,$D69,'LAC 102_Wkst'!$L$7:$L$2010,"08",'LAC 102_Wkst'!$N$7:$N$2010,"P4")</f>
        <v>0</v>
      </c>
      <c r="AJ69" s="410">
        <f>SUMIFS('LAC 102_Wkst'!$Q$7:$Q$2010,'LAC 102_Wkst'!$E$7:$E$2010,$C69,'LAC 102_Wkst'!$G$7:$G$2010,$D69,'LAC 102_Wkst'!$L$7:$L$2010,"08",'LAC 102_Wkst'!$N$7:$N$2010,"P5")</f>
        <v>0</v>
      </c>
      <c r="AK69" s="411">
        <f>SUMIFS('LAC 102_Wkst'!$AE$7:$AE$2010,'LAC 102_Wkst'!$E$7:$E$2010,$C69,'LAC 102_Wkst'!$G$7:$G$2010,$D69,'LAC 102_Wkst'!$L$7:$L$2010,"08",'LAC 102_Wkst'!$N$7:$N$2010,"P5")</f>
        <v>0</v>
      </c>
      <c r="AL69" s="410">
        <f>SUMIFS('LAC 102_Wkst'!$Q$7:$Q$2010,'LAC 102_Wkst'!$E$7:$E$2010,$C69,'LAC 102_Wkst'!$G$7:$G$2010,$D69,'LAC 102_Wkst'!$L$7:$L$2010,"09",'LAC 102_Wkst'!$N$7:$N$2010,"P1")+SUMIFS('LAC 102_Wkst'!$Q$7:$Q$2010,'LAC 102_Wkst'!$E$7:$E$2010,$C69,'LAC 102_Wkst'!$G$7:$G$2010,$D69,'LAC 102_Wkst'!$L$7:$L$2010,"09",'LAC 102_Wkst'!$N$7:$N$2010,"P2")+SUMIFS('LAC 102_Wkst'!$Q$7:$Q$2010,'LAC 102_Wkst'!$E$7:$E$2010,$C69,'LAC 102_Wkst'!$G$7:$G$2010,$D69,'LAC 102_Wkst'!$L$7:$L$2010,"09",'LAC 102_Wkst'!$N$7:$N$2010,"P3")+SUMIFS('LAC 102_Wkst'!$Q$7:$Q$2010,'LAC 102_Wkst'!$E$7:$E$2010,$C69,'LAC 102_Wkst'!$G$7:$G$2010,$D69,'LAC 102_Wkst'!$L$7:$L$2010,"09",'LAC 102_Wkst'!$N$7:$N$2010,"P4")</f>
        <v>0</v>
      </c>
      <c r="AM69" s="411">
        <f>SUMIFS('LAC 102_Wkst'!$AE$7:$AE$2010,'LAC 102_Wkst'!$E$7:$E$2010,$C69,'LAC 102_Wkst'!$G$7:$G$2010,$D69,'LAC 102_Wkst'!$L$7:$L$2010,"09",'LAC 102_Wkst'!$N$7:$N$2010,"P1")+SUMIFS('LAC 102_Wkst'!$AE$7:$AE$2010,'LAC 102_Wkst'!$E$7:$E$2010,$C69,'LAC 102_Wkst'!$G$7:$G$2010,$D69,'LAC 102_Wkst'!$L$7:$L$2010,"09",'LAC 102_Wkst'!$N$7:$N$2010,"P2")+SUMIFS('LAC 102_Wkst'!$AE$7:$AE$2010,'LAC 102_Wkst'!$E$7:$E$2010,$C69,'LAC 102_Wkst'!$G$7:$G$2010,$D69,'LAC 102_Wkst'!$L$7:$L$2010,"09",'LAC 102_Wkst'!$N$7:$N$2010,"P3")+SUMIFS('LAC 102_Wkst'!$AE$7:$AE$2010,'LAC 102_Wkst'!$E$7:$E$2010,$C69,'LAC 102_Wkst'!$G$7:$G$2010,$D69,'LAC 102_Wkst'!$L$7:$L$2010,"09",'LAC 102_Wkst'!$N$7:$N$2010,"P4")</f>
        <v>0</v>
      </c>
      <c r="AN69" s="410">
        <f>SUMIFS('LAC 102_Wkst'!$Q$7:$Q$2010,'LAC 102_Wkst'!$E$7:$E$2010,$C69,'LAC 102_Wkst'!$G$7:$G$2010,$D69,'LAC 102_Wkst'!$L$7:$L$2010,"09",'LAC 102_Wkst'!$N$7:$N$2010,"P5")</f>
        <v>0</v>
      </c>
      <c r="AO69" s="411">
        <f>SUMIFS('LAC 102_Wkst'!$AE$7:$AE$2010,'LAC 102_Wkst'!$E$7:$E$2010,$C69,'LAC 102_Wkst'!$G$7:$G$2010,$D69,'LAC 102_Wkst'!$L$7:$L$2010,"09",'LAC 102_Wkst'!$N$7:$N$2010,"P5")</f>
        <v>0</v>
      </c>
      <c r="AP69" s="410">
        <f>SUMIFS('LAC 102_Wkst'!$Q$7:$Q$2010,'LAC 102_Wkst'!$E$7:$E$2010,$C69,'LAC 102_Wkst'!$G$7:$G$2010,$D69,'LAC 102_Wkst'!$L$7:$L$2010,"10",'LAC 102_Wkst'!$N$7:$N$2010,"P1")+SUMIFS('LAC 102_Wkst'!$Q$7:$Q$2010,'LAC 102_Wkst'!$E$7:$E$2010,$C69,'LAC 102_Wkst'!$G$7:$G$2010,$D69,'LAC 102_Wkst'!$L$7:$L$2010,"10",'LAC 102_Wkst'!$N$7:$N$2010,"P2")+SUMIFS('LAC 102_Wkst'!$Q$7:$Q$2010,'LAC 102_Wkst'!$E$7:$E$2010,$C69,'LAC 102_Wkst'!$G$7:$G$2010,$D69,'LAC 102_Wkst'!$L$7:$L$2010,"10",'LAC 102_Wkst'!$N$7:$N$2010,"P3")+SUMIFS('LAC 102_Wkst'!$Q$7:$Q$2010,'LAC 102_Wkst'!$E$7:$E$2010,$C69,'LAC 102_Wkst'!$G$7:$G$2010,$D69,'LAC 102_Wkst'!$L$7:$L$2010,"10",'LAC 102_Wkst'!$N$7:$N$2010,"P4")</f>
        <v>0</v>
      </c>
      <c r="AQ69" s="411">
        <f>SUMIFS('LAC 102_Wkst'!$AE$7:$AE$2010,'LAC 102_Wkst'!$E$7:$E$2010,$C69,'LAC 102_Wkst'!$G$7:$G$2010,$D69,'LAC 102_Wkst'!$L$7:$L$2010,"10",'LAC 102_Wkst'!$N$7:$N$2010,"P1")+SUMIFS('LAC 102_Wkst'!$AE$7:$AE$2010,'LAC 102_Wkst'!$E$7:$E$2010,$C69,'LAC 102_Wkst'!$G$7:$G$2010,$D69,'LAC 102_Wkst'!$L$7:$L$2010,"10",'LAC 102_Wkst'!$N$7:$N$2010,"P2")+SUMIFS('LAC 102_Wkst'!$AE$7:$AE$2010,'LAC 102_Wkst'!$E$7:$E$2010,$C69,'LAC 102_Wkst'!$G$7:$G$2010,$D69,'LAC 102_Wkst'!$L$7:$L$2010,"10",'LAC 102_Wkst'!$N$7:$N$2010,"P3")+SUMIFS('LAC 102_Wkst'!$AE$7:$AE$2010,'LAC 102_Wkst'!$E$7:$E$2010,$C69,'LAC 102_Wkst'!$G$7:$G$2010,$D69,'LAC 102_Wkst'!$L$7:$L$2010,"10",'LAC 102_Wkst'!$N$7:$N$2010,"P4")</f>
        <v>0</v>
      </c>
      <c r="AR69" s="410">
        <f>SUMIFS('LAC 102_Wkst'!$Q$7:$Q$2010,'LAC 102_Wkst'!$E$7:$E$2010,$C69,'LAC 102_Wkst'!$G$7:$G$2010,$D69,'LAC 102_Wkst'!$L$7:$L$2010,"10",'LAC 102_Wkst'!$N$7:$N$2010,"P5")</f>
        <v>0</v>
      </c>
      <c r="AS69" s="411">
        <f>SUMIFS('LAC 102_Wkst'!$AE$7:$AE$2010,'LAC 102_Wkst'!$E$7:$E$2010,$C69,'LAC 102_Wkst'!$G$7:$G$2010,$D69,'LAC 102_Wkst'!$L$7:$L$2010,"10",'LAC 102_Wkst'!$N$7:$N$2010,"P5")</f>
        <v>0</v>
      </c>
      <c r="AT69" s="410">
        <f>SUMIFS('LAC 102_Wkst'!$Q$7:$Q$2010,'LAC 102_Wkst'!$E$7:$E$2010,$C69,'LAC 102_Wkst'!$G$7:$G$2010,$D69,'LAC 102_Wkst'!$L$7:$L$2010,"11",'LAC 102_Wkst'!$N$7:$N$2010,"P1")+SUMIFS('LAC 102_Wkst'!$Q$7:$Q$2010,'LAC 102_Wkst'!$E$7:$E$2010,$C69,'LAC 102_Wkst'!$G$7:$G$2010,$D69,'LAC 102_Wkst'!$L$7:$L$2010,"12",'LAC 102_Wkst'!$N$7:$N$2010,"P1")</f>
        <v>0</v>
      </c>
      <c r="AU69" s="411">
        <f>SUMIFS('LAC 102_Wkst'!$AE$7:$AE$2010,'LAC 102_Wkst'!$E$7:$E$2010,$C69,'LAC 102_Wkst'!$G$7:$G$2010,$D69,'LAC 102_Wkst'!$L$7:$L$2010,"11",'LAC 102_Wkst'!$N$7:$N$2010,"P1")+SUMIFS('LAC 102_Wkst'!$AE$7:$AE$2010,'LAC 102_Wkst'!$E$7:$E$2010,$C69,'LAC 102_Wkst'!$G$7:$G$2010,$D69,'LAC 102_Wkst'!$L$7:$L$2010,"12",'LAC 102_Wkst'!$N$7:$N$2010,"P1")</f>
        <v>0</v>
      </c>
      <c r="AV69" s="410">
        <f>SUMIFS('LAC 102_Wkst'!$Q$7:$Q$2010,'LAC 102_Wkst'!$E$7:$E$2010,$C69,'LAC 102_Wkst'!$G$7:$G$2010,$D69,'LAC 102_Wkst'!$L$7:$L$2010,"11",'LAC 102_Wkst'!$N$7:$N$2010,"P2")+SUMIFS('LAC 102_Wkst'!$Q$7:$Q$2010,'LAC 102_Wkst'!$E$7:$E$2010,$C69,'LAC 102_Wkst'!$G$7:$G$2010,$D69,'LAC 102_Wkst'!$L$7:$L$2010,"12",'LAC 102_Wkst'!$N$7:$N$2010,"P3")+SUMIFS('LAC 102_Wkst'!$Q$7:$Q$2010,'LAC 102_Wkst'!$E$7:$E$2010,$C69,'LAC 102_Wkst'!$G$7:$G$2010,$D69,'LAC 102_Wkst'!$L$7:$L$2010,"11",'LAC 102_Wkst'!$N$7:$N$2010,"P2")+SUMIFS('LAC 102_Wkst'!$Q$7:$Q$2010,'LAC 102_Wkst'!$E$7:$E$2010,$C69,'LAC 102_Wkst'!$G$7:$G$2010,$D69,'LAC 102_Wkst'!$L$7:$L$2010,"12",'LAC 102_Wkst'!$N$7:$N$2010,"P3")</f>
        <v>0</v>
      </c>
      <c r="AW69" s="411">
        <f>SUMIFS('LAC 102_Wkst'!$AE$7:$AE$2010,'LAC 102_Wkst'!$E$7:$E$2010,$C69,'LAC 102_Wkst'!$G$7:$G$2010,$D69,'LAC 102_Wkst'!$L$7:$L$2010,"11",'LAC 102_Wkst'!$N$7:$N$2010,"P2")+SUMIFS('LAC 102_Wkst'!$AE$7:$AE$2010,'LAC 102_Wkst'!$E$7:$E$2010,$C69,'LAC 102_Wkst'!$G$7:$G$2010,$D69,'LAC 102_Wkst'!$L$7:$L$2010,"12",'LAC 102_Wkst'!$N$7:$N$2010,"P3")+SUMIFS('LAC 102_Wkst'!$AE$7:$AE$2010,'LAC 102_Wkst'!$E$7:$E$2010,$C69,'LAC 102_Wkst'!$G$7:$G$2010,$D69,'LAC 102_Wkst'!$L$7:$L$2010,"11",'LAC 102_Wkst'!$N$7:$N$2010,"P2")+SUMIFS('LAC 102_Wkst'!$AE$7:$AE$2010,'LAC 102_Wkst'!$E$7:$E$2010,$C69,'LAC 102_Wkst'!$G$7:$G$2010,$D69,'LAC 102_Wkst'!$L$7:$L$2010,"12",'LAC 102_Wkst'!$N$7:$N$2010,"P3")</f>
        <v>0</v>
      </c>
      <c r="AX69" s="410">
        <f>SUMIFS('LAC 102_Wkst'!$Q$7:$Q$2010,'LAC 102_Wkst'!$E$7:$E$2010,$C69,'LAC 102_Wkst'!$G$7:$G$2010,$D69,'LAC 102_Wkst'!$L$7:$L$2010,"11",'LAC 102_Wkst'!$N$7:$N$2010,"P4")+SUMIFS('LAC 102_Wkst'!$Q$7:$Q$2010,'LAC 102_Wkst'!$E$7:$E$2010,$C69,'LAC 102_Wkst'!$G$7:$G$2010,$D69,'LAC 102_Wkst'!$L$7:$L$2010,"12",'LAC 102_Wkst'!$N$7:$N$2010,"P4")</f>
        <v>0</v>
      </c>
      <c r="AY69" s="411">
        <f>SUMIFS('LAC 102_Wkst'!$AE$7:$AE$2010,'LAC 102_Wkst'!$E$7:$E$2010,$C69,'LAC 102_Wkst'!$G$7:$G$2010,$D69,'LAC 102_Wkst'!$L$7:$L$2010,"11",'LAC 102_Wkst'!$N$7:$N$2010,"P4")+SUMIFS('LAC 102_Wkst'!$AE$7:$AE$2010,'LAC 102_Wkst'!$E$7:$E$2010,$C69,'LAC 102_Wkst'!$G$7:$G$2010,$D69,'LAC 102_Wkst'!$L$7:$L$2010,"12",'LAC 102_Wkst'!$N$7:$N$2010,"P4")</f>
        <v>0</v>
      </c>
      <c r="AZ69" s="410">
        <f>SUMIFS('LAC 102_Wkst'!$Q$7:$Q$2010,'LAC 102_Wkst'!$E$7:$E$2010,$C69,'LAC 102_Wkst'!$G$7:$G$2010,$D69,'LAC 102_Wkst'!$L$7:$L$2010,"11",'LAC 102_Wkst'!$N$7:$N$2010,"P5")+SUMIFS('LAC 102_Wkst'!$Q$7:$Q$2010,'LAC 102_Wkst'!$E$7:$E$2010,$C69,'LAC 102_Wkst'!$G$7:$G$2010,$D69,'LAC 102_Wkst'!$L$7:$L$2010,"12",'LAC 102_Wkst'!$N$7:$N$2010,"P5")</f>
        <v>0</v>
      </c>
      <c r="BA69" s="411">
        <f>SUMIFS('LAC 102_Wkst'!$AE$7:$AE$2010,'LAC 102_Wkst'!$E$7:$E$2010,$C69,'LAC 102_Wkst'!$G$7:$G$2010,$D69,'LAC 102_Wkst'!$L$7:$L$2010,"11",'LAC 102_Wkst'!$N$7:$N$2010,"P5")+SUMIFS('LAC 102_Wkst'!$AE$7:$AE$2010,'LAC 102_Wkst'!$E$7:$E$2010,$C69,'LAC 102_Wkst'!$G$7:$G$2010,$D69,'LAC 102_Wkst'!$L$7:$L$2010,"12",'LAC 102_Wkst'!$N$7:$N$2010,"P5")</f>
        <v>0</v>
      </c>
      <c r="BB69" s="410">
        <f>SUMIFS('LAC 102_Wkst'!$Q$7:$Q$2010,'LAC 102_Wkst'!$E$7:$E$2010,$C69,'LAC 102_Wkst'!$G$7:$G$2010,$D69,'LAC 102_Wkst'!$L$7:$L$2010,"13",'LAC 102_Wkst'!$N$7:$N$2010,"P1")+SUMIFS('LAC 102_Wkst'!$Q$7:$Q$2010,'LAC 102_Wkst'!$E$7:$E$2010,$C69,'LAC 102_Wkst'!$G$7:$G$2010,$D69,'LAC 102_Wkst'!$L$7:$L$2010,"13",'LAC 102_Wkst'!$N$7:$N$2010,"P2")+SUMIFS('LAC 102_Wkst'!$Q$7:$Q$2010,'LAC 102_Wkst'!$E$7:$E$2010,$C69,'LAC 102_Wkst'!$G$7:$G$2010,$D69,'LAC 102_Wkst'!$L$7:$L$2010,"13",'LAC 102_Wkst'!$N$7:$N$2010,"P3")+SUMIFS('LAC 102_Wkst'!$Q$7:$Q$2010,'LAC 102_Wkst'!$E$7:$E$2010,$C69,'LAC 102_Wkst'!$G$7:$G$2010,$D69,'LAC 102_Wkst'!$L$7:$L$2010,"13",'LAC 102_Wkst'!$N$7:$N$2010,"P4")</f>
        <v>0</v>
      </c>
      <c r="BC69" s="411">
        <f>SUMIFS('LAC 102_Wkst'!$AE$7:$AE$2010,'LAC 102_Wkst'!$E$7:$E$2010,$C69,'LAC 102_Wkst'!$G$7:$G$2010,$D69,'LAC 102_Wkst'!$L$7:$L$2010,"13",'LAC 102_Wkst'!$N$7:$N$2010,"P1")+SUMIFS('LAC 102_Wkst'!$AE$7:$AE$2010,'LAC 102_Wkst'!$E$7:$E$2010,$C69,'LAC 102_Wkst'!$G$7:$G$2010,$D69,'LAC 102_Wkst'!$L$7:$L$2010,"13",'LAC 102_Wkst'!$N$7:$N$2010,"P2")+SUMIFS('LAC 102_Wkst'!$AE$7:$AE$2010,'LAC 102_Wkst'!$E$7:$E$2010,$C69,'LAC 102_Wkst'!$G$7:$G$2010,$D69,'LAC 102_Wkst'!$L$7:$L$2010,"13",'LAC 102_Wkst'!$N$7:$N$2010,"P3")+SUMIFS('LAC 102_Wkst'!$AE$7:$AE$2010,'LAC 102_Wkst'!$E$7:$E$2010,$C69,'LAC 102_Wkst'!$G$7:$G$2010,$D69,'LAC 102_Wkst'!$L$7:$L$2010,"13",'LAC 102_Wkst'!$N$7:$N$2010,"P4")</f>
        <v>0</v>
      </c>
      <c r="BD69" s="410">
        <f>SUMIFS('LAC 102_Wkst'!$Q$7:$Q$2010,'LAC 102_Wkst'!$E$7:$E$2010,$C69,'LAC 102_Wkst'!$G$7:$G$2010,$D69,'LAC 102_Wkst'!$L$7:$L$2010,"13",'LAC 102_Wkst'!$N$7:$N$2010,"P5")</f>
        <v>0</v>
      </c>
      <c r="BE69" s="411">
        <f>SUMIFS('LAC 102_Wkst'!$AE$7:$AE$2010,'LAC 102_Wkst'!$E$7:$E$2010,$C69,'LAC 102_Wkst'!$G$7:$G$2010,$D69,'LAC 102_Wkst'!$L$7:$L$2010,"13",'LAC 102_Wkst'!$N$7:$N$2010,"P5")</f>
        <v>0</v>
      </c>
      <c r="BF69" s="407">
        <f t="shared" si="0"/>
        <v>0</v>
      </c>
    </row>
    <row r="70" spans="1:58" x14ac:dyDescent="0.2">
      <c r="A70" s="401">
        <v>51</v>
      </c>
      <c r="B70" s="1236"/>
      <c r="C70" s="1235"/>
      <c r="D70" s="1237"/>
      <c r="E70" s="1222">
        <f>IF(CONCATENATE(C70,D70)&gt;"6069",1,SUMIFS('LAC 102_Wkst'!$Q$7:$Q$2010,'LAC 102_Wkst'!$E$7:$E$2010,Schedule_B!$C70,'LAC 102_Wkst'!$G$7:$G$2010,Schedule_B!$D70))</f>
        <v>0</v>
      </c>
      <c r="F70" s="408">
        <f>SUMIFS('LAC 102_Wkst'!$Q$7:$Q$2010,'LAC 102_Wkst'!$E$7:$E$2010,$C70,'LAC 102_Wkst'!$G$7:$G$2010,$D70,'LAC 102_Wkst'!$L$7:$L$2010,"01",'LAC 102_Wkst'!$N$7:$N$2010,"P1")+SUMIFS('LAC 102_Wkst'!$Q$7:$Q$2010,'LAC 102_Wkst'!$E$7:$E$2010,$C70,'LAC 102_Wkst'!$G$7:$G$2010,$D70,'LAC 102_Wkst'!$L$7:$L$2010,"01",'LAC 102_Wkst'!$N$7:$N$2010,"P2")+SUMIFS('LAC 102_Wkst'!$Q$7:$Q$2010,'LAC 102_Wkst'!$E$7:$E$2010,$C70,'LAC 102_Wkst'!$G$7:$G$2010,$D70,'LAC 102_Wkst'!$L$7:$L$2010,"01",'LAC 102_Wkst'!$N$7:$N$2010,"P3")+SUMIFS('LAC 102_Wkst'!$Q$7:$Q$2010,'LAC 102_Wkst'!$E$7:$E$2010,$C70,'LAC 102_Wkst'!$G$7:$G$2010,$D70,'LAC 102_Wkst'!$L$7:$L$2010,"02",'LAC 102_Wkst'!$N$7:$N$2010,"P1")+SUMIFS('LAC 102_Wkst'!$Q$7:$Q$2010,'LAC 102_Wkst'!$E$7:$E$2010,$C70,'LAC 102_Wkst'!$G$7:$G$2010,$D70,'LAC 102_Wkst'!$L$7:$L$2010,"02",'LAC 102_Wkst'!$N$7:$N$2010,"P2")+SUMIFS('LAC 102_Wkst'!$Q$7:$Q$2010,'LAC 102_Wkst'!$E$7:$E$2010,$C70,'LAC 102_Wkst'!$G$7:$G$2010,$D70,'LAC 102_Wkst'!$L$7:$L$2010,"02",'LAC 102_Wkst'!$N$7:$N$2010,"P3")</f>
        <v>0</v>
      </c>
      <c r="G70" s="409">
        <f>SUMIFS('LAC 102_Wkst'!$AE$7:$AE$2010,'LAC 102_Wkst'!$E$7:$E$2010,$C70,'LAC 102_Wkst'!$G$7:$G$2010,$D70,'LAC 102_Wkst'!$L$7:$L$2010,"01",'LAC 102_Wkst'!$N$7:$N$2010,"P1")+SUMIFS('LAC 102_Wkst'!$AE$7:$AE$2010,'LAC 102_Wkst'!$E$7:$E$2010,$C70,'LAC 102_Wkst'!$G$7:$G$2010,$D70,'LAC 102_Wkst'!$L$7:$L$2010,"01",'LAC 102_Wkst'!$N$7:$N$2010,"P2")+SUMIFS('LAC 102_Wkst'!$AE$7:$AE$2010,'LAC 102_Wkst'!$E$7:$E$2010,$C70,'LAC 102_Wkst'!$G$7:$G$2010,$D70,'LAC 102_Wkst'!$L$7:$L$2010,"01",'LAC 102_Wkst'!$N$7:$N$2010,"P3")+SUMIFS('LAC 102_Wkst'!$AE$7:$AE$2010,'LAC 102_Wkst'!$E$7:$E$2010,$C70,'LAC 102_Wkst'!$G$7:$G$2010,$D70,'LAC 102_Wkst'!$L$7:$L$2010,"02",'LAC 102_Wkst'!$N$7:$N$2010,"P1")+SUMIFS('LAC 102_Wkst'!$AE$7:$AE$2010,'LAC 102_Wkst'!$E$7:$E$2010,$C70,'LAC 102_Wkst'!$G$7:$G$2010,$D70,'LAC 102_Wkst'!$L$7:$L$2010,"02",'LAC 102_Wkst'!$N$7:$N$2010,"P2")+SUMIFS('LAC 102_Wkst'!$AE$7:$AE$2010,'LAC 102_Wkst'!$E$7:$E$2010,$C70,'LAC 102_Wkst'!$G$7:$G$2010,$D70,'LAC 102_Wkst'!$L$7:$L$2010,"02",'LAC 102_Wkst'!$N$7:$N$2010,"P3")</f>
        <v>0</v>
      </c>
      <c r="H70" s="410">
        <f>SUMIFS('LAC 102_Wkst'!$Q$7:$Q$2010,'LAC 102_Wkst'!$E$7:$E$2010,$C70,'LAC 102_Wkst'!$G$7:$G$2010,$D70,'LAC 102_Wkst'!$L$7:$L$2010,"01",'LAC 102_Wkst'!$N$7:$N$2010,"P4")+SUMIFS('LAC 102_Wkst'!$Q$7:$Q$2010,'LAC 102_Wkst'!$E$7:$E$2010,$C70,'LAC 102_Wkst'!$G$7:$G$2010,$D70,'LAC 102_Wkst'!$L$7:$L$2010,"02",'LAC 102_Wkst'!$N$7:$N$2010,"P4")</f>
        <v>0</v>
      </c>
      <c r="I70" s="411">
        <f>SUMIFS('LAC 102_Wkst'!$AE$7:$AE$2010,'LAC 102_Wkst'!$E$7:$E$2010,$C70,'LAC 102_Wkst'!$G$7:$G$2010,$D70,'LAC 102_Wkst'!$L$7:$L$2010,"01",'LAC 102_Wkst'!$N$7:$N$2010,"P4")+SUMIFS('LAC 102_Wkst'!$AE$7:$AE$2010,'LAC 102_Wkst'!$E$7:$E$2010,$C70,'LAC 102_Wkst'!$G$7:$G$2010,$D70,'LAC 102_Wkst'!$L$7:$L$2010,"02",'LAC 102_Wkst'!$N$7:$N$2010,"P4")</f>
        <v>0</v>
      </c>
      <c r="J70" s="410">
        <f>SUMIFS('LAC 102_Wkst'!$Q$7:$Q$2010,'LAC 102_Wkst'!$E$7:$E$2010,$C70,'LAC 102_Wkst'!$G$7:$G$2010,$D70,'LAC 102_Wkst'!$L$7:$L$2010,"01",'LAC 102_Wkst'!$N$7:$N$2010,"P5")+SUMIFS('LAC 102_Wkst'!$Q$7:$Q$2010,'LAC 102_Wkst'!$E$7:$E$2010,$C70,'LAC 102_Wkst'!$G$7:$G$2010,$D70,'LAC 102_Wkst'!$L$7:$L$2010,"02",'LAC 102_Wkst'!$N$7:$N$2010,"P5")</f>
        <v>0</v>
      </c>
      <c r="K70" s="411">
        <f>SUMIFS('LAC 102_Wkst'!$AE$7:$AE$2010,'LAC 102_Wkst'!$E$7:$E$2010,$C70,'LAC 102_Wkst'!$G$7:$G$2010,$D70,'LAC 102_Wkst'!$L$7:$L$2010,"01",'LAC 102_Wkst'!$N$7:$N$2010,"P5")+SUMIFS('LAC 102_Wkst'!$AE$7:$AE$2010,'LAC 102_Wkst'!$E$7:$E$2010,$C70,'LAC 102_Wkst'!$G$7:$G$2010,$D70,'LAC 102_Wkst'!$L$7:$L$2010,"02",'LAC 102_Wkst'!$N$7:$N$2010,"P5")</f>
        <v>0</v>
      </c>
      <c r="L70" s="410">
        <f>SUMIFS('LAC 102_Wkst'!$Q$7:$Q$2010,'LAC 102_Wkst'!$E$7:$E$2010,$C70,'LAC 102_Wkst'!$G$7:$G$2010,$D70,'LAC 102_Wkst'!$L$7:$L$2010,"03",'LAC 102_Wkst'!$N$7:$N$2010,"P1")+SUMIFS('LAC 102_Wkst'!$Q$7:$Q$2010,'LAC 102_Wkst'!$E$7:$E$2010,$C70,'LAC 102_Wkst'!$G$7:$G$2010,$D70,'LAC 102_Wkst'!$L$7:$L$2010,"03",'LAC 102_Wkst'!$N$7:$N$2010,"P2")+SUMIFS('LAC 102_Wkst'!$Q$7:$Q$2010,'LAC 102_Wkst'!$E$7:$E$2010,$C70,'LAC 102_Wkst'!$G$7:$G$2010,$D70,'LAC 102_Wkst'!$L$7:$L$2010,"03",'LAC 102_Wkst'!$N$7:$N$2010,"P3")+SUMIFS('LAC 102_Wkst'!$Q$7:$Q$2010,'LAC 102_Wkst'!$E$7:$E$2010,$C70,'LAC 102_Wkst'!$G$7:$G$2010,$D70,'LAC 102_Wkst'!$L$7:$L$2010,"04",'LAC 102_Wkst'!$N$7:$N$2010,"P1")+SUMIFS('LAC 102_Wkst'!$Q$7:$Q$2010,'LAC 102_Wkst'!$E$7:$E$2010,$C70,'LAC 102_Wkst'!$G$7:$G$2010,$D70,'LAC 102_Wkst'!$L$7:$L$2010,"04",'LAC 102_Wkst'!$N$7:$N$2010,"P2")+SUMIFS('LAC 102_Wkst'!$Q$7:$Q$2010,'LAC 102_Wkst'!$E$7:$E$2010,$C70,'LAC 102_Wkst'!$G$7:$G$2010,$D70,'LAC 102_Wkst'!$L$7:$L$2010,"04",'LAC 102_Wkst'!$N$7:$N$2010,"P3")</f>
        <v>0</v>
      </c>
      <c r="M70" s="411">
        <f>SUMIFS('LAC 102_Wkst'!$AE$7:$AE$2010,'LAC 102_Wkst'!$E$7:$E$2010,$C70,'LAC 102_Wkst'!$G$7:$G$2010,$D70,'LAC 102_Wkst'!$L$7:$L$2010,"03",'LAC 102_Wkst'!$N$7:$N$2010,"P1")+SUMIFS('LAC 102_Wkst'!$AE$7:$AE$2010,'LAC 102_Wkst'!$E$7:$E$2010,$C70,'LAC 102_Wkst'!$G$7:$G$2010,$D70,'LAC 102_Wkst'!$L$7:$L$2010,"03",'LAC 102_Wkst'!$N$7:$N$2010,"P2")+SUMIFS('LAC 102_Wkst'!$AE$7:$AE$2010,'LAC 102_Wkst'!$E$7:$E$2010,$C70,'LAC 102_Wkst'!$G$7:$G$2010,$D70,'LAC 102_Wkst'!$L$7:$L$2010,"03",'LAC 102_Wkst'!$N$7:$N$2010,"P3")+SUMIFS('LAC 102_Wkst'!$AE$7:$AE$2010,'LAC 102_Wkst'!$E$7:$E$2010,$C70,'LAC 102_Wkst'!$G$7:$G$2010,$D70,'LAC 102_Wkst'!$L$7:$L$2010,"04",'LAC 102_Wkst'!$N$7:$N$2010,"P1")+SUMIFS('LAC 102_Wkst'!$AE$7:$AE$2010,'LAC 102_Wkst'!$E$7:$E$2010,$C70,'LAC 102_Wkst'!$G$7:$G$2010,$D70,'LAC 102_Wkst'!$L$7:$L$2010,"04",'LAC 102_Wkst'!$N$7:$N$2010,"P2")+SUMIFS('LAC 102_Wkst'!$AE$7:$AE$2010,'LAC 102_Wkst'!$E$7:$E$2010,$C70,'LAC 102_Wkst'!$G$7:$G$2010,$D70,'LAC 102_Wkst'!$L$7:$L$2010,"04",'LAC 102_Wkst'!$N$7:$N$2010,"P3")</f>
        <v>0</v>
      </c>
      <c r="N70" s="410">
        <f>SUMIFS('LAC 102_Wkst'!$Q$7:$Q$2010,'LAC 102_Wkst'!$E$7:$E$2010,$C70,'LAC 102_Wkst'!$G$7:$G$2010,$D70,'LAC 102_Wkst'!$L$7:$L$2010,"03",'LAC 102_Wkst'!$N$7:$N$2010,"P4")+SUMIFS('LAC 102_Wkst'!$Q$7:$Q$2010,'LAC 102_Wkst'!$E$7:$E$2010,$C70,'LAC 102_Wkst'!$G$7:$G$2010,$D70,'LAC 102_Wkst'!$L$7:$L$2010,"04",'LAC 102_Wkst'!$N$7:$N$2010,"P4")</f>
        <v>0</v>
      </c>
      <c r="O70" s="411">
        <f>SUMIFS('LAC 102_Wkst'!$AE$7:$AE$2010,'LAC 102_Wkst'!$E$7:$E$2010,$C70,'LAC 102_Wkst'!$G$7:$G$2010,$D70,'LAC 102_Wkst'!$L$7:$L$2010,"03",'LAC 102_Wkst'!$N$7:$N$2010,"P4")+SUMIFS('LAC 102_Wkst'!$AE$7:$AE$2010,'LAC 102_Wkst'!$E$7:$E$2010,$C70,'LAC 102_Wkst'!$G$7:$G$2010,$D70,'LAC 102_Wkst'!$L$7:$L$2010,"04",'LAC 102_Wkst'!$N$7:$N$2010,"P4")</f>
        <v>0</v>
      </c>
      <c r="P70" s="410">
        <f>SUMIFS('LAC 102_Wkst'!$Q$7:$Q$2010,'LAC 102_Wkst'!$E$7:$E$2010,$C70,'LAC 102_Wkst'!$G$7:$G$2010,$D70,'LAC 102_Wkst'!$L$7:$L$2010,"03",'LAC 102_Wkst'!$N$7:$N$2010,"P5")+SUMIFS('LAC 102_Wkst'!$Q$7:$Q$2010,'LAC 102_Wkst'!$E$7:$E$2010,$C70,'LAC 102_Wkst'!$G$7:$G$2010,$D70,'LAC 102_Wkst'!$L$7:$L$2010,"04",'LAC 102_Wkst'!$N$7:$N$2010,"P5")</f>
        <v>0</v>
      </c>
      <c r="Q70" s="411">
        <f>SUMIFS('LAC 102_Wkst'!$AE$7:$AE$2010,'LAC 102_Wkst'!$E$7:$E$2010,$C70,'LAC 102_Wkst'!$G$7:$G$2010,$D70,'LAC 102_Wkst'!$L$7:$L$2010,"03",'LAC 102_Wkst'!$N$7:$N$2010,"P5")+SUMIFS('LAC 102_Wkst'!$AE$7:$AE$2010,'LAC 102_Wkst'!$E$7:$E$2010,$C70,'LAC 102_Wkst'!$G$7:$G$2010,$D70,'LAC 102_Wkst'!$L$7:$L$2010,"04",'LAC 102_Wkst'!$N$7:$N$2010,"P5")</f>
        <v>0</v>
      </c>
      <c r="R70" s="412">
        <f>SUMIFS('LAC 102_Wkst'!$Q$7:$Q$2010,'LAC 102_Wkst'!$E$7:$E$2010,$C70,'LAC 102_Wkst'!$G$7:$G$2010,$D70,'LAC 102_Wkst'!$L$7:$L$2010,"05",'LAC 102_Wkst'!$N$7:$N$2010,"P1")+SUMIFS('LAC 102_Wkst'!$Q$7:$Q$2010,'LAC 102_Wkst'!$E$7:$E$2010,$C70,'LAC 102_Wkst'!$G$7:$G$2010,$D70,'LAC 102_Wkst'!$L$7:$L$2010,"06",'LAC 102_Wkst'!$N$7:$N$2010,"P1")</f>
        <v>0</v>
      </c>
      <c r="S70" s="411">
        <f>SUMIFS('LAC 102_Wkst'!$AE$7:$AE$2010,'LAC 102_Wkst'!$E$7:$E$2010,$C70,'LAC 102_Wkst'!$G$7:$G$2010,$D70,'LAC 102_Wkst'!$L$7:$L$2010,"05",'LAC 102_Wkst'!$N$7:$N$2010,"P1")+SUMIFS('LAC 102_Wkst'!$AE$7:$AE$2010,'LAC 102_Wkst'!$E$7:$E$2010,$C70,'LAC 102_Wkst'!$G$7:$G$2010,$D70,'LAC 102_Wkst'!$L$7:$L$2010,"06",'LAC 102_Wkst'!$N$7:$N$2010,"P1")</f>
        <v>0</v>
      </c>
      <c r="T70" s="410">
        <f>SUMIFS('LAC 102_Wkst'!$Q$7:$Q$2010,'LAC 102_Wkst'!$E$7:$E$2010,$C70,'LAC 102_Wkst'!$G$7:$G$2010,$D70,'LAC 102_Wkst'!$L$7:$L$2010,"05",'LAC 102_Wkst'!$N$7:$N$2010,"P2")+SUMIFS('LAC 102_Wkst'!$Q$7:$Q$2010,'LAC 102_Wkst'!$E$7:$E$2010,$C70,'LAC 102_Wkst'!$G$7:$G$2010,$D70,'LAC 102_Wkst'!$L$7:$L$2010,"05",'LAC 102_Wkst'!$N$7:$N$2010,"P3")+SUMIFS('LAC 102_Wkst'!$Q$7:$Q$2010,'LAC 102_Wkst'!$E$7:$E$2010,$C70,'LAC 102_Wkst'!$G$7:$G$2010,$D70,'LAC 102_Wkst'!$L$7:$L$2010,"06",'LAC 102_Wkst'!$N$7:$N$2010,"P2")+SUMIFS('LAC 102_Wkst'!$Q$7:$Q$2010,'LAC 102_Wkst'!$E$7:$E$2010,$C70,'LAC 102_Wkst'!$G$7:$G$2010,$D70,'LAC 102_Wkst'!$L$7:$L$2010,"06",'LAC 102_Wkst'!$N$7:$N$2010,"P3")</f>
        <v>0</v>
      </c>
      <c r="U70" s="411">
        <f>SUMIFS('LAC 102_Wkst'!$AE$7:$AE$2010,'LAC 102_Wkst'!$E$7:$E$2010,$C70,'LAC 102_Wkst'!$G$7:$G$2010,$D70,'LAC 102_Wkst'!$L$7:$L$2010,"05",'LAC 102_Wkst'!$N$7:$N$2010,"P2")+SUMIFS('LAC 102_Wkst'!$AE$7:$AE$2010,'LAC 102_Wkst'!$E$7:$E$2010,$C70,'LAC 102_Wkst'!$G$7:$G$2010,$D70,'LAC 102_Wkst'!$L$7:$L$2010,"06",'LAC 102_Wkst'!$N$7:$N$2010,"P3")+SUMIFS('LAC 102_Wkst'!$AE$7:$AE$2010,'LAC 102_Wkst'!$E$7:$E$2010,$C70,'LAC 102_Wkst'!$G$7:$G$2010,$D70,'LAC 102_Wkst'!$L$7:$L$2010,"05",'LAC 102_Wkst'!$N$7:$N$2010,"P2")+SUMIFS('LAC 102_Wkst'!$AE$7:$AE$2010,'LAC 102_Wkst'!$E$7:$E$2010,$C70,'LAC 102_Wkst'!$G$7:$G$2010,$D70,'LAC 102_Wkst'!$L$7:$L$2010,"06",'LAC 102_Wkst'!$N$7:$N$2010,"P3")</f>
        <v>0</v>
      </c>
      <c r="V70" s="410">
        <f>SUMIFS('LAC 102_Wkst'!$Q$7:$Q$2010,'LAC 102_Wkst'!$E$7:$E$2010,$C70,'LAC 102_Wkst'!$G$7:$G$2010,$D70,'LAC 102_Wkst'!$L$7:$L$2010,"05",'LAC 102_Wkst'!$N$7:$N$2010,"P4")+SUMIFS('LAC 102_Wkst'!$Q$7:$Q$2010,'LAC 102_Wkst'!$E$7:$E$2010,$C70,'LAC 102_Wkst'!$G$7:$G$2010,$D70,'LAC 102_Wkst'!$L$7:$L$2010,"06",'LAC 102_Wkst'!$N$7:$N$2010,"P4")</f>
        <v>0</v>
      </c>
      <c r="W70" s="411">
        <f>SUMIFS('LAC 102_Wkst'!$AE$7:$AE$2010,'LAC 102_Wkst'!$E$7:$E$2010,$C70,'LAC 102_Wkst'!$G$7:$G$2010,$D70,'LAC 102_Wkst'!$L$7:$L$2010,"05",'LAC 102_Wkst'!$N$7:$N$2010,"P4")+SUMIFS('LAC 102_Wkst'!$AE$7:$AE$2010,'LAC 102_Wkst'!$E$7:$E$2010,$C70,'LAC 102_Wkst'!$G$7:$G$2010,$D70,'LAC 102_Wkst'!$L$7:$L$2010,"06",'LAC 102_Wkst'!$N$7:$N$2010,"P4")</f>
        <v>0</v>
      </c>
      <c r="X70" s="410">
        <f>SUMIFS('LAC 102_Wkst'!$Q$7:$Q$2010,'LAC 102_Wkst'!$E$7:$E$2010,$C70,'LAC 102_Wkst'!$G$7:$G$2010,$D70,'LAC 102_Wkst'!$L$7:$L$2010,"05",'LAC 102_Wkst'!$N$7:$N$2010,"P5")+SUMIFS('LAC 102_Wkst'!$Q$7:$Q$2010,'LAC 102_Wkst'!$E$7:$E$2010,$C70,'LAC 102_Wkst'!$G$7:$G$2010,$D70,'LAC 102_Wkst'!$L$7:$L$2010,"06",'LAC 102_Wkst'!$N$7:$N$2010,"P5")</f>
        <v>0</v>
      </c>
      <c r="Y70" s="411">
        <f>SUMIFS('LAC 102_Wkst'!$AE$7:$AE$2010,'LAC 102_Wkst'!$E$7:$E$2010,$C70,'LAC 102_Wkst'!$G$7:$G$2010,$D70,'LAC 102_Wkst'!$L$7:$L$2010,"05",'LAC 102_Wkst'!$N$7:$N$2010,"P5")+SUMIFS('LAC 102_Wkst'!$AE$7:$AE$2010,'LAC 102_Wkst'!$E$7:$E$2010,$C70,'LAC 102_Wkst'!$G$7:$G$2010,$D70,'LAC 102_Wkst'!$L$7:$L$2010,"06",'LAC 102_Wkst'!$N$7:$N$2010,"P5")</f>
        <v>0</v>
      </c>
      <c r="Z70" s="410">
        <f>SUMIFS('LAC 102_Wkst'!$Q$7:$Q$2010,'LAC 102_Wkst'!$E$7:$E$2010,$C70,'LAC 102_Wkst'!$G$7:$G$2010,$D70,'LAC 102_Wkst'!$L$7:$L$2010,"07",'LAC 102_Wkst'!$N$7:$N$2010,"P1")+SUMIFS('LAC 102_Wkst'!$Q$7:$Q$2010,'LAC 102_Wkst'!$E$7:$E$2010,$C70,'LAC 102_Wkst'!$G$7:$G$2010,$D70,'LAC 102_Wkst'!$L$7:$L$2010,"07",'LAC 102_Wkst'!$N$7:$N$2010,"P2")+SUMIFS('LAC 102_Wkst'!$Q$7:$Q$2010,'LAC 102_Wkst'!$E$7:$E$2010,$C70,'LAC 102_Wkst'!$G$7:$G$2010,$D70,'LAC 102_Wkst'!$L$7:$L$2010,"07",'LAC 102_Wkst'!$N$7:$N$2010,"P3")</f>
        <v>0</v>
      </c>
      <c r="AA70" s="411">
        <f>SUMIFS('LAC 102_Wkst'!$AE$7:$AE$2010,'LAC 102_Wkst'!$E$7:$E$2010,$C70,'LAC 102_Wkst'!$G$7:$G$2010,$D70,'LAC 102_Wkst'!$L$7:$L$2010,"07",'LAC 102_Wkst'!$N$7:$N$2010,"P1")+SUMIFS('LAC 102_Wkst'!$AE$7:$AE$2010,'LAC 102_Wkst'!$E$7:$E$2010,$C70,'LAC 102_Wkst'!$G$7:$G$2010,$D70,'LAC 102_Wkst'!$L$7:$L$2010,"07",'LAC 102_Wkst'!$N$7:$N$2010,"P2")+SUMIFS('LAC 102_Wkst'!$AE$7:$AE$2010,'LAC 102_Wkst'!$E$7:$E$2010,$C70,'LAC 102_Wkst'!$G$7:$G$2010,$D70,'LAC 102_Wkst'!$L$7:$L$2010,"07",'LAC 102_Wkst'!$N$7:$N$2010,"P3")</f>
        <v>0</v>
      </c>
      <c r="AB70" s="410">
        <f>SUMIFS('LAC 102_Wkst'!$Q$7:$Q$2010,'LAC 102_Wkst'!$E$7:$E$2010,$C70,'LAC 102_Wkst'!$G$7:$G$2010,$D70,'LAC 102_Wkst'!$L$7:$L$2010,"07",'LAC 102_Wkst'!$N$7:$N$2010,"P4")</f>
        <v>0</v>
      </c>
      <c r="AC70" s="411">
        <f>SUMIFS('LAC 102_Wkst'!$AE$7:$AE$2010,'LAC 102_Wkst'!$E$7:$E$2010,$C70,'LAC 102_Wkst'!$G$7:$G$2010,$D70,'LAC 102_Wkst'!$L$7:$L$2010,"07",'LAC 102_Wkst'!$N$7:$N$2010,"P4")</f>
        <v>0</v>
      </c>
      <c r="AD70" s="410">
        <f>SUMIFS('LAC 102_Wkst'!$Q$7:$Q$2010,'LAC 102_Wkst'!$E$7:$E$2010,$C70,'LAC 102_Wkst'!$G$7:$G$2010,$D70,'LAC 102_Wkst'!$L$7:$L$2010,"07",'LAC 102_Wkst'!$N$7:$N$2010,"P5")</f>
        <v>0</v>
      </c>
      <c r="AE70" s="411">
        <f>SUMIFS('LAC 102_Wkst'!$AE$7:$AE$2010,'LAC 102_Wkst'!$E$7:$E$2010,$C70,'LAC 102_Wkst'!$G$7:$G$2010,$D70,'LAC 102_Wkst'!$L$7:$L$2010,"07",'LAC 102_Wkst'!$N$7:$N$2010,"P5")</f>
        <v>0</v>
      </c>
      <c r="AF70" s="410">
        <f>SUMIFS('LAC 102_Wkst'!$Q$7:$Q$2010,'LAC 102_Wkst'!$E$7:$E$2010,$C70,'LAC 102_Wkst'!$G$7:$G$2010,$D70,'LAC 102_Wkst'!$L$7:$L$2010,"08",'LAC 102_Wkst'!$N$7:$N$2010,"P1")+SUMIFS('LAC 102_Wkst'!$Q$7:$Q$2010,'LAC 102_Wkst'!$E$7:$E$2010,$C70,'LAC 102_Wkst'!$G$7:$G$2010,$D70,'LAC 102_Wkst'!$L$7:$L$2010,"08",'LAC 102_Wkst'!$N$7:$N$2010,"P2")+SUMIFS('LAC 102_Wkst'!$Q$7:$Q$2010,'LAC 102_Wkst'!$E$7:$E$2010,$C70,'LAC 102_Wkst'!$G$7:$G$2010,$D70,'LAC 102_Wkst'!$L$7:$L$2010,"08",'LAC 102_Wkst'!$N$7:$N$2010,"P3")</f>
        <v>0</v>
      </c>
      <c r="AG70" s="411">
        <f>SUMIFS('LAC 102_Wkst'!$AE$7:$AE$2010,'LAC 102_Wkst'!$E$7:$E$2010,$C70,'LAC 102_Wkst'!$G$7:$G$2010,$D70,'LAC 102_Wkst'!$L$7:$L$2010,"08",'LAC 102_Wkst'!$N$7:$N$2010,"P1")+SUMIFS('LAC 102_Wkst'!$AE$7:$AE$2010,'LAC 102_Wkst'!$E$7:$E$2010,$C70,'LAC 102_Wkst'!$G$7:$G$2010,$D70,'LAC 102_Wkst'!$L$7:$L$2010,"08",'LAC 102_Wkst'!$N$7:$N$2010,"P2")+SUMIFS('LAC 102_Wkst'!$AE$7:$AE$2010,'LAC 102_Wkst'!$E$7:$E$2010,$C70,'LAC 102_Wkst'!$G$7:$G$2010,$D70,'LAC 102_Wkst'!$L$7:$L$2010,"08",'LAC 102_Wkst'!$N$7:$N$2010,"P3")</f>
        <v>0</v>
      </c>
      <c r="AH70" s="410">
        <f>SUMIFS('LAC 102_Wkst'!$Q$7:$Q$2010,'LAC 102_Wkst'!$E$7:$E$2010,$C70,'LAC 102_Wkst'!$G$7:$G$2010,$D70,'LAC 102_Wkst'!$L$7:$L$2010,"08",'LAC 102_Wkst'!$N$7:$N$2010,"P4")</f>
        <v>0</v>
      </c>
      <c r="AI70" s="411">
        <f>SUMIFS('LAC 102_Wkst'!$AE$7:$AE$2010,'LAC 102_Wkst'!$E$7:$E$2010,$C70,'LAC 102_Wkst'!$G$7:$G$2010,$D70,'LAC 102_Wkst'!$L$7:$L$2010,"08",'LAC 102_Wkst'!$N$7:$N$2010,"P4")</f>
        <v>0</v>
      </c>
      <c r="AJ70" s="410">
        <f>SUMIFS('LAC 102_Wkst'!$Q$7:$Q$2010,'LAC 102_Wkst'!$E$7:$E$2010,$C70,'LAC 102_Wkst'!$G$7:$G$2010,$D70,'LAC 102_Wkst'!$L$7:$L$2010,"08",'LAC 102_Wkst'!$N$7:$N$2010,"P5")</f>
        <v>0</v>
      </c>
      <c r="AK70" s="411">
        <f>SUMIFS('LAC 102_Wkst'!$AE$7:$AE$2010,'LAC 102_Wkst'!$E$7:$E$2010,$C70,'LAC 102_Wkst'!$G$7:$G$2010,$D70,'LAC 102_Wkst'!$L$7:$L$2010,"08",'LAC 102_Wkst'!$N$7:$N$2010,"P5")</f>
        <v>0</v>
      </c>
      <c r="AL70" s="410">
        <f>SUMIFS('LAC 102_Wkst'!$Q$7:$Q$2010,'LAC 102_Wkst'!$E$7:$E$2010,$C70,'LAC 102_Wkst'!$G$7:$G$2010,$D70,'LAC 102_Wkst'!$L$7:$L$2010,"09",'LAC 102_Wkst'!$N$7:$N$2010,"P1")+SUMIFS('LAC 102_Wkst'!$Q$7:$Q$2010,'LAC 102_Wkst'!$E$7:$E$2010,$C70,'LAC 102_Wkst'!$G$7:$G$2010,$D70,'LAC 102_Wkst'!$L$7:$L$2010,"09",'LAC 102_Wkst'!$N$7:$N$2010,"P2")+SUMIFS('LAC 102_Wkst'!$Q$7:$Q$2010,'LAC 102_Wkst'!$E$7:$E$2010,$C70,'LAC 102_Wkst'!$G$7:$G$2010,$D70,'LAC 102_Wkst'!$L$7:$L$2010,"09",'LAC 102_Wkst'!$N$7:$N$2010,"P3")+SUMIFS('LAC 102_Wkst'!$Q$7:$Q$2010,'LAC 102_Wkst'!$E$7:$E$2010,$C70,'LAC 102_Wkst'!$G$7:$G$2010,$D70,'LAC 102_Wkst'!$L$7:$L$2010,"09",'LAC 102_Wkst'!$N$7:$N$2010,"P4")</f>
        <v>0</v>
      </c>
      <c r="AM70" s="411">
        <f>SUMIFS('LAC 102_Wkst'!$AE$7:$AE$2010,'LAC 102_Wkst'!$E$7:$E$2010,$C70,'LAC 102_Wkst'!$G$7:$G$2010,$D70,'LAC 102_Wkst'!$L$7:$L$2010,"09",'LAC 102_Wkst'!$N$7:$N$2010,"P1")+SUMIFS('LAC 102_Wkst'!$AE$7:$AE$2010,'LAC 102_Wkst'!$E$7:$E$2010,$C70,'LAC 102_Wkst'!$G$7:$G$2010,$D70,'LAC 102_Wkst'!$L$7:$L$2010,"09",'LAC 102_Wkst'!$N$7:$N$2010,"P2")+SUMIFS('LAC 102_Wkst'!$AE$7:$AE$2010,'LAC 102_Wkst'!$E$7:$E$2010,$C70,'LAC 102_Wkst'!$G$7:$G$2010,$D70,'LAC 102_Wkst'!$L$7:$L$2010,"09",'LAC 102_Wkst'!$N$7:$N$2010,"P3")+SUMIFS('LAC 102_Wkst'!$AE$7:$AE$2010,'LAC 102_Wkst'!$E$7:$E$2010,$C70,'LAC 102_Wkst'!$G$7:$G$2010,$D70,'LAC 102_Wkst'!$L$7:$L$2010,"09",'LAC 102_Wkst'!$N$7:$N$2010,"P4")</f>
        <v>0</v>
      </c>
      <c r="AN70" s="410">
        <f>SUMIFS('LAC 102_Wkst'!$Q$7:$Q$2010,'LAC 102_Wkst'!$E$7:$E$2010,$C70,'LAC 102_Wkst'!$G$7:$G$2010,$D70,'LAC 102_Wkst'!$L$7:$L$2010,"09",'LAC 102_Wkst'!$N$7:$N$2010,"P5")</f>
        <v>0</v>
      </c>
      <c r="AO70" s="411">
        <f>SUMIFS('LAC 102_Wkst'!$AE$7:$AE$2010,'LAC 102_Wkst'!$E$7:$E$2010,$C70,'LAC 102_Wkst'!$G$7:$G$2010,$D70,'LAC 102_Wkst'!$L$7:$L$2010,"09",'LAC 102_Wkst'!$N$7:$N$2010,"P5")</f>
        <v>0</v>
      </c>
      <c r="AP70" s="410">
        <f>SUMIFS('LAC 102_Wkst'!$Q$7:$Q$2010,'LAC 102_Wkst'!$E$7:$E$2010,$C70,'LAC 102_Wkst'!$G$7:$G$2010,$D70,'LAC 102_Wkst'!$L$7:$L$2010,"10",'LAC 102_Wkst'!$N$7:$N$2010,"P1")+SUMIFS('LAC 102_Wkst'!$Q$7:$Q$2010,'LAC 102_Wkst'!$E$7:$E$2010,$C70,'LAC 102_Wkst'!$G$7:$G$2010,$D70,'LAC 102_Wkst'!$L$7:$L$2010,"10",'LAC 102_Wkst'!$N$7:$N$2010,"P2")+SUMIFS('LAC 102_Wkst'!$Q$7:$Q$2010,'LAC 102_Wkst'!$E$7:$E$2010,$C70,'LAC 102_Wkst'!$G$7:$G$2010,$D70,'LAC 102_Wkst'!$L$7:$L$2010,"10",'LAC 102_Wkst'!$N$7:$N$2010,"P3")+SUMIFS('LAC 102_Wkst'!$Q$7:$Q$2010,'LAC 102_Wkst'!$E$7:$E$2010,$C70,'LAC 102_Wkst'!$G$7:$G$2010,$D70,'LAC 102_Wkst'!$L$7:$L$2010,"10",'LAC 102_Wkst'!$N$7:$N$2010,"P4")</f>
        <v>0</v>
      </c>
      <c r="AQ70" s="411">
        <f>SUMIFS('LAC 102_Wkst'!$AE$7:$AE$2010,'LAC 102_Wkst'!$E$7:$E$2010,$C70,'LAC 102_Wkst'!$G$7:$G$2010,$D70,'LAC 102_Wkst'!$L$7:$L$2010,"10",'LAC 102_Wkst'!$N$7:$N$2010,"P1")+SUMIFS('LAC 102_Wkst'!$AE$7:$AE$2010,'LAC 102_Wkst'!$E$7:$E$2010,$C70,'LAC 102_Wkst'!$G$7:$G$2010,$D70,'LAC 102_Wkst'!$L$7:$L$2010,"10",'LAC 102_Wkst'!$N$7:$N$2010,"P2")+SUMIFS('LAC 102_Wkst'!$AE$7:$AE$2010,'LAC 102_Wkst'!$E$7:$E$2010,$C70,'LAC 102_Wkst'!$G$7:$G$2010,$D70,'LAC 102_Wkst'!$L$7:$L$2010,"10",'LAC 102_Wkst'!$N$7:$N$2010,"P3")+SUMIFS('LAC 102_Wkst'!$AE$7:$AE$2010,'LAC 102_Wkst'!$E$7:$E$2010,$C70,'LAC 102_Wkst'!$G$7:$G$2010,$D70,'LAC 102_Wkst'!$L$7:$L$2010,"10",'LAC 102_Wkst'!$N$7:$N$2010,"P4")</f>
        <v>0</v>
      </c>
      <c r="AR70" s="410">
        <f>SUMIFS('LAC 102_Wkst'!$Q$7:$Q$2010,'LAC 102_Wkst'!$E$7:$E$2010,$C70,'LAC 102_Wkst'!$G$7:$G$2010,$D70,'LAC 102_Wkst'!$L$7:$L$2010,"10",'LAC 102_Wkst'!$N$7:$N$2010,"P5")</f>
        <v>0</v>
      </c>
      <c r="AS70" s="411">
        <f>SUMIFS('LAC 102_Wkst'!$AE$7:$AE$2010,'LAC 102_Wkst'!$E$7:$E$2010,$C70,'LAC 102_Wkst'!$G$7:$G$2010,$D70,'LAC 102_Wkst'!$L$7:$L$2010,"10",'LAC 102_Wkst'!$N$7:$N$2010,"P5")</f>
        <v>0</v>
      </c>
      <c r="AT70" s="410">
        <f>SUMIFS('LAC 102_Wkst'!$Q$7:$Q$2010,'LAC 102_Wkst'!$E$7:$E$2010,$C70,'LAC 102_Wkst'!$G$7:$G$2010,$D70,'LAC 102_Wkst'!$L$7:$L$2010,"11",'LAC 102_Wkst'!$N$7:$N$2010,"P1")+SUMIFS('LAC 102_Wkst'!$Q$7:$Q$2010,'LAC 102_Wkst'!$E$7:$E$2010,$C70,'LAC 102_Wkst'!$G$7:$G$2010,$D70,'LAC 102_Wkst'!$L$7:$L$2010,"12",'LAC 102_Wkst'!$N$7:$N$2010,"P1")</f>
        <v>0</v>
      </c>
      <c r="AU70" s="411">
        <f>SUMIFS('LAC 102_Wkst'!$AE$7:$AE$2010,'LAC 102_Wkst'!$E$7:$E$2010,$C70,'LAC 102_Wkst'!$G$7:$G$2010,$D70,'LAC 102_Wkst'!$L$7:$L$2010,"11",'LAC 102_Wkst'!$N$7:$N$2010,"P1")+SUMIFS('LAC 102_Wkst'!$AE$7:$AE$2010,'LAC 102_Wkst'!$E$7:$E$2010,$C70,'LAC 102_Wkst'!$G$7:$G$2010,$D70,'LAC 102_Wkst'!$L$7:$L$2010,"12",'LAC 102_Wkst'!$N$7:$N$2010,"P1")</f>
        <v>0</v>
      </c>
      <c r="AV70" s="410">
        <f>SUMIFS('LAC 102_Wkst'!$Q$7:$Q$2010,'LAC 102_Wkst'!$E$7:$E$2010,$C70,'LAC 102_Wkst'!$G$7:$G$2010,$D70,'LAC 102_Wkst'!$L$7:$L$2010,"11",'LAC 102_Wkst'!$N$7:$N$2010,"P2")+SUMIFS('LAC 102_Wkst'!$Q$7:$Q$2010,'LAC 102_Wkst'!$E$7:$E$2010,$C70,'LAC 102_Wkst'!$G$7:$G$2010,$D70,'LAC 102_Wkst'!$L$7:$L$2010,"12",'LAC 102_Wkst'!$N$7:$N$2010,"P3")+SUMIFS('LAC 102_Wkst'!$Q$7:$Q$2010,'LAC 102_Wkst'!$E$7:$E$2010,$C70,'LAC 102_Wkst'!$G$7:$G$2010,$D70,'LAC 102_Wkst'!$L$7:$L$2010,"11",'LAC 102_Wkst'!$N$7:$N$2010,"P2")+SUMIFS('LAC 102_Wkst'!$Q$7:$Q$2010,'LAC 102_Wkst'!$E$7:$E$2010,$C70,'LAC 102_Wkst'!$G$7:$G$2010,$D70,'LAC 102_Wkst'!$L$7:$L$2010,"12",'LAC 102_Wkst'!$N$7:$N$2010,"P3")</f>
        <v>0</v>
      </c>
      <c r="AW70" s="411">
        <f>SUMIFS('LAC 102_Wkst'!$AE$7:$AE$2010,'LAC 102_Wkst'!$E$7:$E$2010,$C70,'LAC 102_Wkst'!$G$7:$G$2010,$D70,'LAC 102_Wkst'!$L$7:$L$2010,"11",'LAC 102_Wkst'!$N$7:$N$2010,"P2")+SUMIFS('LAC 102_Wkst'!$AE$7:$AE$2010,'LAC 102_Wkst'!$E$7:$E$2010,$C70,'LAC 102_Wkst'!$G$7:$G$2010,$D70,'LAC 102_Wkst'!$L$7:$L$2010,"12",'LAC 102_Wkst'!$N$7:$N$2010,"P3")+SUMIFS('LAC 102_Wkst'!$AE$7:$AE$2010,'LAC 102_Wkst'!$E$7:$E$2010,$C70,'LAC 102_Wkst'!$G$7:$G$2010,$D70,'LAC 102_Wkst'!$L$7:$L$2010,"11",'LAC 102_Wkst'!$N$7:$N$2010,"P2")+SUMIFS('LAC 102_Wkst'!$AE$7:$AE$2010,'LAC 102_Wkst'!$E$7:$E$2010,$C70,'LAC 102_Wkst'!$G$7:$G$2010,$D70,'LAC 102_Wkst'!$L$7:$L$2010,"12",'LAC 102_Wkst'!$N$7:$N$2010,"P3")</f>
        <v>0</v>
      </c>
      <c r="AX70" s="410">
        <f>SUMIFS('LAC 102_Wkst'!$Q$7:$Q$2010,'LAC 102_Wkst'!$E$7:$E$2010,$C70,'LAC 102_Wkst'!$G$7:$G$2010,$D70,'LAC 102_Wkst'!$L$7:$L$2010,"11",'LAC 102_Wkst'!$N$7:$N$2010,"P4")+SUMIFS('LAC 102_Wkst'!$Q$7:$Q$2010,'LAC 102_Wkst'!$E$7:$E$2010,$C70,'LAC 102_Wkst'!$G$7:$G$2010,$D70,'LAC 102_Wkst'!$L$7:$L$2010,"12",'LAC 102_Wkst'!$N$7:$N$2010,"P4")</f>
        <v>0</v>
      </c>
      <c r="AY70" s="411">
        <f>SUMIFS('LAC 102_Wkst'!$AE$7:$AE$2010,'LAC 102_Wkst'!$E$7:$E$2010,$C70,'LAC 102_Wkst'!$G$7:$G$2010,$D70,'LAC 102_Wkst'!$L$7:$L$2010,"11",'LAC 102_Wkst'!$N$7:$N$2010,"P4")+SUMIFS('LAC 102_Wkst'!$AE$7:$AE$2010,'LAC 102_Wkst'!$E$7:$E$2010,$C70,'LAC 102_Wkst'!$G$7:$G$2010,$D70,'LAC 102_Wkst'!$L$7:$L$2010,"12",'LAC 102_Wkst'!$N$7:$N$2010,"P4")</f>
        <v>0</v>
      </c>
      <c r="AZ70" s="410">
        <f>SUMIFS('LAC 102_Wkst'!$Q$7:$Q$2010,'LAC 102_Wkst'!$E$7:$E$2010,$C70,'LAC 102_Wkst'!$G$7:$G$2010,$D70,'LAC 102_Wkst'!$L$7:$L$2010,"11",'LAC 102_Wkst'!$N$7:$N$2010,"P5")+SUMIFS('LAC 102_Wkst'!$Q$7:$Q$2010,'LAC 102_Wkst'!$E$7:$E$2010,$C70,'LAC 102_Wkst'!$G$7:$G$2010,$D70,'LAC 102_Wkst'!$L$7:$L$2010,"12",'LAC 102_Wkst'!$N$7:$N$2010,"P5")</f>
        <v>0</v>
      </c>
      <c r="BA70" s="411">
        <f>SUMIFS('LAC 102_Wkst'!$AE$7:$AE$2010,'LAC 102_Wkst'!$E$7:$E$2010,$C70,'LAC 102_Wkst'!$G$7:$G$2010,$D70,'LAC 102_Wkst'!$L$7:$L$2010,"11",'LAC 102_Wkst'!$N$7:$N$2010,"P5")+SUMIFS('LAC 102_Wkst'!$AE$7:$AE$2010,'LAC 102_Wkst'!$E$7:$E$2010,$C70,'LAC 102_Wkst'!$G$7:$G$2010,$D70,'LAC 102_Wkst'!$L$7:$L$2010,"12",'LAC 102_Wkst'!$N$7:$N$2010,"P5")</f>
        <v>0</v>
      </c>
      <c r="BB70" s="410">
        <f>SUMIFS('LAC 102_Wkst'!$Q$7:$Q$2010,'LAC 102_Wkst'!$E$7:$E$2010,$C70,'LAC 102_Wkst'!$G$7:$G$2010,$D70,'LAC 102_Wkst'!$L$7:$L$2010,"13",'LAC 102_Wkst'!$N$7:$N$2010,"P1")+SUMIFS('LAC 102_Wkst'!$Q$7:$Q$2010,'LAC 102_Wkst'!$E$7:$E$2010,$C70,'LAC 102_Wkst'!$G$7:$G$2010,$D70,'LAC 102_Wkst'!$L$7:$L$2010,"13",'LAC 102_Wkst'!$N$7:$N$2010,"P2")+SUMIFS('LAC 102_Wkst'!$Q$7:$Q$2010,'LAC 102_Wkst'!$E$7:$E$2010,$C70,'LAC 102_Wkst'!$G$7:$G$2010,$D70,'LAC 102_Wkst'!$L$7:$L$2010,"13",'LAC 102_Wkst'!$N$7:$N$2010,"P3")+SUMIFS('LAC 102_Wkst'!$Q$7:$Q$2010,'LAC 102_Wkst'!$E$7:$E$2010,$C70,'LAC 102_Wkst'!$G$7:$G$2010,$D70,'LAC 102_Wkst'!$L$7:$L$2010,"13",'LAC 102_Wkst'!$N$7:$N$2010,"P4")</f>
        <v>0</v>
      </c>
      <c r="BC70" s="411">
        <f>SUMIFS('LAC 102_Wkst'!$AE$7:$AE$2010,'LAC 102_Wkst'!$E$7:$E$2010,$C70,'LAC 102_Wkst'!$G$7:$G$2010,$D70,'LAC 102_Wkst'!$L$7:$L$2010,"13",'LAC 102_Wkst'!$N$7:$N$2010,"P1")+SUMIFS('LAC 102_Wkst'!$AE$7:$AE$2010,'LAC 102_Wkst'!$E$7:$E$2010,$C70,'LAC 102_Wkst'!$G$7:$G$2010,$D70,'LAC 102_Wkst'!$L$7:$L$2010,"13",'LAC 102_Wkst'!$N$7:$N$2010,"P2")+SUMIFS('LAC 102_Wkst'!$AE$7:$AE$2010,'LAC 102_Wkst'!$E$7:$E$2010,$C70,'LAC 102_Wkst'!$G$7:$G$2010,$D70,'LAC 102_Wkst'!$L$7:$L$2010,"13",'LAC 102_Wkst'!$N$7:$N$2010,"P3")+SUMIFS('LAC 102_Wkst'!$AE$7:$AE$2010,'LAC 102_Wkst'!$E$7:$E$2010,$C70,'LAC 102_Wkst'!$G$7:$G$2010,$D70,'LAC 102_Wkst'!$L$7:$L$2010,"13",'LAC 102_Wkst'!$N$7:$N$2010,"P4")</f>
        <v>0</v>
      </c>
      <c r="BD70" s="410">
        <f>SUMIFS('LAC 102_Wkst'!$Q$7:$Q$2010,'LAC 102_Wkst'!$E$7:$E$2010,$C70,'LAC 102_Wkst'!$G$7:$G$2010,$D70,'LAC 102_Wkst'!$L$7:$L$2010,"13",'LAC 102_Wkst'!$N$7:$N$2010,"P5")</f>
        <v>0</v>
      </c>
      <c r="BE70" s="411">
        <f>SUMIFS('LAC 102_Wkst'!$AE$7:$AE$2010,'LAC 102_Wkst'!$E$7:$E$2010,$C70,'LAC 102_Wkst'!$G$7:$G$2010,$D70,'LAC 102_Wkst'!$L$7:$L$2010,"13",'LAC 102_Wkst'!$N$7:$N$2010,"P5")</f>
        <v>0</v>
      </c>
      <c r="BF70" s="407">
        <f t="shared" si="0"/>
        <v>0</v>
      </c>
    </row>
    <row r="71" spans="1:58" x14ac:dyDescent="0.2">
      <c r="A71" s="401">
        <v>52</v>
      </c>
      <c r="B71" s="1236"/>
      <c r="C71" s="1235"/>
      <c r="D71" s="1237"/>
      <c r="E71" s="1222">
        <f>IF(CONCATENATE(C71,D71)&gt;"6069",1,SUMIFS('LAC 102_Wkst'!$Q$7:$Q$2010,'LAC 102_Wkst'!$E$7:$E$2010,Schedule_B!$C71,'LAC 102_Wkst'!$G$7:$G$2010,Schedule_B!$D71))</f>
        <v>0</v>
      </c>
      <c r="F71" s="408">
        <f>SUMIFS('LAC 102_Wkst'!$Q$7:$Q$2010,'LAC 102_Wkst'!$E$7:$E$2010,$C71,'LAC 102_Wkst'!$G$7:$G$2010,$D71,'LAC 102_Wkst'!$L$7:$L$2010,"01",'LAC 102_Wkst'!$N$7:$N$2010,"P1")+SUMIFS('LAC 102_Wkst'!$Q$7:$Q$2010,'LAC 102_Wkst'!$E$7:$E$2010,$C71,'LAC 102_Wkst'!$G$7:$G$2010,$D71,'LAC 102_Wkst'!$L$7:$L$2010,"01",'LAC 102_Wkst'!$N$7:$N$2010,"P2")+SUMIFS('LAC 102_Wkst'!$Q$7:$Q$2010,'LAC 102_Wkst'!$E$7:$E$2010,$C71,'LAC 102_Wkst'!$G$7:$G$2010,$D71,'LAC 102_Wkst'!$L$7:$L$2010,"01",'LAC 102_Wkst'!$N$7:$N$2010,"P3")+SUMIFS('LAC 102_Wkst'!$Q$7:$Q$2010,'LAC 102_Wkst'!$E$7:$E$2010,$C71,'LAC 102_Wkst'!$G$7:$G$2010,$D71,'LAC 102_Wkst'!$L$7:$L$2010,"02",'LAC 102_Wkst'!$N$7:$N$2010,"P1")+SUMIFS('LAC 102_Wkst'!$Q$7:$Q$2010,'LAC 102_Wkst'!$E$7:$E$2010,$C71,'LAC 102_Wkst'!$G$7:$G$2010,$D71,'LAC 102_Wkst'!$L$7:$L$2010,"02",'LAC 102_Wkst'!$N$7:$N$2010,"P2")+SUMIFS('LAC 102_Wkst'!$Q$7:$Q$2010,'LAC 102_Wkst'!$E$7:$E$2010,$C71,'LAC 102_Wkst'!$G$7:$G$2010,$D71,'LAC 102_Wkst'!$L$7:$L$2010,"02",'LAC 102_Wkst'!$N$7:$N$2010,"P3")</f>
        <v>0</v>
      </c>
      <c r="G71" s="409">
        <f>SUMIFS('LAC 102_Wkst'!$AE$7:$AE$2010,'LAC 102_Wkst'!$E$7:$E$2010,$C71,'LAC 102_Wkst'!$G$7:$G$2010,$D71,'LAC 102_Wkst'!$L$7:$L$2010,"01",'LAC 102_Wkst'!$N$7:$N$2010,"P1")+SUMIFS('LAC 102_Wkst'!$AE$7:$AE$2010,'LAC 102_Wkst'!$E$7:$E$2010,$C71,'LAC 102_Wkst'!$G$7:$G$2010,$D71,'LAC 102_Wkst'!$L$7:$L$2010,"01",'LAC 102_Wkst'!$N$7:$N$2010,"P2")+SUMIFS('LAC 102_Wkst'!$AE$7:$AE$2010,'LAC 102_Wkst'!$E$7:$E$2010,$C71,'LAC 102_Wkst'!$G$7:$G$2010,$D71,'LAC 102_Wkst'!$L$7:$L$2010,"01",'LAC 102_Wkst'!$N$7:$N$2010,"P3")+SUMIFS('LAC 102_Wkst'!$AE$7:$AE$2010,'LAC 102_Wkst'!$E$7:$E$2010,$C71,'LAC 102_Wkst'!$G$7:$G$2010,$D71,'LAC 102_Wkst'!$L$7:$L$2010,"02",'LAC 102_Wkst'!$N$7:$N$2010,"P1")+SUMIFS('LAC 102_Wkst'!$AE$7:$AE$2010,'LAC 102_Wkst'!$E$7:$E$2010,$C71,'LAC 102_Wkst'!$G$7:$G$2010,$D71,'LAC 102_Wkst'!$L$7:$L$2010,"02",'LAC 102_Wkst'!$N$7:$N$2010,"P2")+SUMIFS('LAC 102_Wkst'!$AE$7:$AE$2010,'LAC 102_Wkst'!$E$7:$E$2010,$C71,'LAC 102_Wkst'!$G$7:$G$2010,$D71,'LAC 102_Wkst'!$L$7:$L$2010,"02",'LAC 102_Wkst'!$N$7:$N$2010,"P3")</f>
        <v>0</v>
      </c>
      <c r="H71" s="410">
        <f>SUMIFS('LAC 102_Wkst'!$Q$7:$Q$2010,'LAC 102_Wkst'!$E$7:$E$2010,$C71,'LAC 102_Wkst'!$G$7:$G$2010,$D71,'LAC 102_Wkst'!$L$7:$L$2010,"01",'LAC 102_Wkst'!$N$7:$N$2010,"P4")+SUMIFS('LAC 102_Wkst'!$Q$7:$Q$2010,'LAC 102_Wkst'!$E$7:$E$2010,$C71,'LAC 102_Wkst'!$G$7:$G$2010,$D71,'LAC 102_Wkst'!$L$7:$L$2010,"02",'LAC 102_Wkst'!$N$7:$N$2010,"P4")</f>
        <v>0</v>
      </c>
      <c r="I71" s="411">
        <f>SUMIFS('LAC 102_Wkst'!$AE$7:$AE$2010,'LAC 102_Wkst'!$E$7:$E$2010,$C71,'LAC 102_Wkst'!$G$7:$G$2010,$D71,'LAC 102_Wkst'!$L$7:$L$2010,"01",'LAC 102_Wkst'!$N$7:$N$2010,"P4")+SUMIFS('LAC 102_Wkst'!$AE$7:$AE$2010,'LAC 102_Wkst'!$E$7:$E$2010,$C71,'LAC 102_Wkst'!$G$7:$G$2010,$D71,'LAC 102_Wkst'!$L$7:$L$2010,"02",'LAC 102_Wkst'!$N$7:$N$2010,"P4")</f>
        <v>0</v>
      </c>
      <c r="J71" s="410">
        <f>SUMIFS('LAC 102_Wkst'!$Q$7:$Q$2010,'LAC 102_Wkst'!$E$7:$E$2010,$C71,'LAC 102_Wkst'!$G$7:$G$2010,$D71,'LAC 102_Wkst'!$L$7:$L$2010,"01",'LAC 102_Wkst'!$N$7:$N$2010,"P5")+SUMIFS('LAC 102_Wkst'!$Q$7:$Q$2010,'LAC 102_Wkst'!$E$7:$E$2010,$C71,'LAC 102_Wkst'!$G$7:$G$2010,$D71,'LAC 102_Wkst'!$L$7:$L$2010,"02",'LAC 102_Wkst'!$N$7:$N$2010,"P5")</f>
        <v>0</v>
      </c>
      <c r="K71" s="411">
        <f>SUMIFS('LAC 102_Wkst'!$AE$7:$AE$2010,'LAC 102_Wkst'!$E$7:$E$2010,$C71,'LAC 102_Wkst'!$G$7:$G$2010,$D71,'LAC 102_Wkst'!$L$7:$L$2010,"01",'LAC 102_Wkst'!$N$7:$N$2010,"P5")+SUMIFS('LAC 102_Wkst'!$AE$7:$AE$2010,'LAC 102_Wkst'!$E$7:$E$2010,$C71,'LAC 102_Wkst'!$G$7:$G$2010,$D71,'LAC 102_Wkst'!$L$7:$L$2010,"02",'LAC 102_Wkst'!$N$7:$N$2010,"P5")</f>
        <v>0</v>
      </c>
      <c r="L71" s="410">
        <f>SUMIFS('LAC 102_Wkst'!$Q$7:$Q$2010,'LAC 102_Wkst'!$E$7:$E$2010,$C71,'LAC 102_Wkst'!$G$7:$G$2010,$D71,'LAC 102_Wkst'!$L$7:$L$2010,"03",'LAC 102_Wkst'!$N$7:$N$2010,"P1")+SUMIFS('LAC 102_Wkst'!$Q$7:$Q$2010,'LAC 102_Wkst'!$E$7:$E$2010,$C71,'LAC 102_Wkst'!$G$7:$G$2010,$D71,'LAC 102_Wkst'!$L$7:$L$2010,"03",'LAC 102_Wkst'!$N$7:$N$2010,"P2")+SUMIFS('LAC 102_Wkst'!$Q$7:$Q$2010,'LAC 102_Wkst'!$E$7:$E$2010,$C71,'LAC 102_Wkst'!$G$7:$G$2010,$D71,'LAC 102_Wkst'!$L$7:$L$2010,"03",'LAC 102_Wkst'!$N$7:$N$2010,"P3")+SUMIFS('LAC 102_Wkst'!$Q$7:$Q$2010,'LAC 102_Wkst'!$E$7:$E$2010,$C71,'LAC 102_Wkst'!$G$7:$G$2010,$D71,'LAC 102_Wkst'!$L$7:$L$2010,"04",'LAC 102_Wkst'!$N$7:$N$2010,"P1")+SUMIFS('LAC 102_Wkst'!$Q$7:$Q$2010,'LAC 102_Wkst'!$E$7:$E$2010,$C71,'LAC 102_Wkst'!$G$7:$G$2010,$D71,'LAC 102_Wkst'!$L$7:$L$2010,"04",'LAC 102_Wkst'!$N$7:$N$2010,"P2")+SUMIFS('LAC 102_Wkst'!$Q$7:$Q$2010,'LAC 102_Wkst'!$E$7:$E$2010,$C71,'LAC 102_Wkst'!$G$7:$G$2010,$D71,'LAC 102_Wkst'!$L$7:$L$2010,"04",'LAC 102_Wkst'!$N$7:$N$2010,"P3")</f>
        <v>0</v>
      </c>
      <c r="M71" s="411">
        <f>SUMIFS('LAC 102_Wkst'!$AE$7:$AE$2010,'LAC 102_Wkst'!$E$7:$E$2010,$C71,'LAC 102_Wkst'!$G$7:$G$2010,$D71,'LAC 102_Wkst'!$L$7:$L$2010,"03",'LAC 102_Wkst'!$N$7:$N$2010,"P1")+SUMIFS('LAC 102_Wkst'!$AE$7:$AE$2010,'LAC 102_Wkst'!$E$7:$E$2010,$C71,'LAC 102_Wkst'!$G$7:$G$2010,$D71,'LAC 102_Wkst'!$L$7:$L$2010,"03",'LAC 102_Wkst'!$N$7:$N$2010,"P2")+SUMIFS('LAC 102_Wkst'!$AE$7:$AE$2010,'LAC 102_Wkst'!$E$7:$E$2010,$C71,'LAC 102_Wkst'!$G$7:$G$2010,$D71,'LAC 102_Wkst'!$L$7:$L$2010,"03",'LAC 102_Wkst'!$N$7:$N$2010,"P3")+SUMIFS('LAC 102_Wkst'!$AE$7:$AE$2010,'LAC 102_Wkst'!$E$7:$E$2010,$C71,'LAC 102_Wkst'!$G$7:$G$2010,$D71,'LAC 102_Wkst'!$L$7:$L$2010,"04",'LAC 102_Wkst'!$N$7:$N$2010,"P1")+SUMIFS('LAC 102_Wkst'!$AE$7:$AE$2010,'LAC 102_Wkst'!$E$7:$E$2010,$C71,'LAC 102_Wkst'!$G$7:$G$2010,$D71,'LAC 102_Wkst'!$L$7:$L$2010,"04",'LAC 102_Wkst'!$N$7:$N$2010,"P2")+SUMIFS('LAC 102_Wkst'!$AE$7:$AE$2010,'LAC 102_Wkst'!$E$7:$E$2010,$C71,'LAC 102_Wkst'!$G$7:$G$2010,$D71,'LAC 102_Wkst'!$L$7:$L$2010,"04",'LAC 102_Wkst'!$N$7:$N$2010,"P3")</f>
        <v>0</v>
      </c>
      <c r="N71" s="410">
        <f>SUMIFS('LAC 102_Wkst'!$Q$7:$Q$2010,'LAC 102_Wkst'!$E$7:$E$2010,$C71,'LAC 102_Wkst'!$G$7:$G$2010,$D71,'LAC 102_Wkst'!$L$7:$L$2010,"03",'LAC 102_Wkst'!$N$7:$N$2010,"P4")+SUMIFS('LAC 102_Wkst'!$Q$7:$Q$2010,'LAC 102_Wkst'!$E$7:$E$2010,$C71,'LAC 102_Wkst'!$G$7:$G$2010,$D71,'LAC 102_Wkst'!$L$7:$L$2010,"04",'LAC 102_Wkst'!$N$7:$N$2010,"P4")</f>
        <v>0</v>
      </c>
      <c r="O71" s="411">
        <f>SUMIFS('LAC 102_Wkst'!$AE$7:$AE$2010,'LAC 102_Wkst'!$E$7:$E$2010,$C71,'LAC 102_Wkst'!$G$7:$G$2010,$D71,'LAC 102_Wkst'!$L$7:$L$2010,"03",'LAC 102_Wkst'!$N$7:$N$2010,"P4")+SUMIFS('LAC 102_Wkst'!$AE$7:$AE$2010,'LAC 102_Wkst'!$E$7:$E$2010,$C71,'LAC 102_Wkst'!$G$7:$G$2010,$D71,'LAC 102_Wkst'!$L$7:$L$2010,"04",'LAC 102_Wkst'!$N$7:$N$2010,"P4")</f>
        <v>0</v>
      </c>
      <c r="P71" s="410">
        <f>SUMIFS('LAC 102_Wkst'!$Q$7:$Q$2010,'LAC 102_Wkst'!$E$7:$E$2010,$C71,'LAC 102_Wkst'!$G$7:$G$2010,$D71,'LAC 102_Wkst'!$L$7:$L$2010,"03",'LAC 102_Wkst'!$N$7:$N$2010,"P5")+SUMIFS('LAC 102_Wkst'!$Q$7:$Q$2010,'LAC 102_Wkst'!$E$7:$E$2010,$C71,'LAC 102_Wkst'!$G$7:$G$2010,$D71,'LAC 102_Wkst'!$L$7:$L$2010,"04",'LAC 102_Wkst'!$N$7:$N$2010,"P5")</f>
        <v>0</v>
      </c>
      <c r="Q71" s="411">
        <f>SUMIFS('LAC 102_Wkst'!$AE$7:$AE$2010,'LAC 102_Wkst'!$E$7:$E$2010,$C71,'LAC 102_Wkst'!$G$7:$G$2010,$D71,'LAC 102_Wkst'!$L$7:$L$2010,"03",'LAC 102_Wkst'!$N$7:$N$2010,"P5")+SUMIFS('LAC 102_Wkst'!$AE$7:$AE$2010,'LAC 102_Wkst'!$E$7:$E$2010,$C71,'LAC 102_Wkst'!$G$7:$G$2010,$D71,'LAC 102_Wkst'!$L$7:$L$2010,"04",'LAC 102_Wkst'!$N$7:$N$2010,"P5")</f>
        <v>0</v>
      </c>
      <c r="R71" s="412">
        <f>SUMIFS('LAC 102_Wkst'!$Q$7:$Q$2010,'LAC 102_Wkst'!$E$7:$E$2010,$C71,'LAC 102_Wkst'!$G$7:$G$2010,$D71,'LAC 102_Wkst'!$L$7:$L$2010,"05",'LAC 102_Wkst'!$N$7:$N$2010,"P1")+SUMIFS('LAC 102_Wkst'!$Q$7:$Q$2010,'LAC 102_Wkst'!$E$7:$E$2010,$C71,'LAC 102_Wkst'!$G$7:$G$2010,$D71,'LAC 102_Wkst'!$L$7:$L$2010,"06",'LAC 102_Wkst'!$N$7:$N$2010,"P1")</f>
        <v>0</v>
      </c>
      <c r="S71" s="411">
        <f>SUMIFS('LAC 102_Wkst'!$AE$7:$AE$2010,'LAC 102_Wkst'!$E$7:$E$2010,$C71,'LAC 102_Wkst'!$G$7:$G$2010,$D71,'LAC 102_Wkst'!$L$7:$L$2010,"05",'LAC 102_Wkst'!$N$7:$N$2010,"P1")+SUMIFS('LAC 102_Wkst'!$AE$7:$AE$2010,'LAC 102_Wkst'!$E$7:$E$2010,$C71,'LAC 102_Wkst'!$G$7:$G$2010,$D71,'LAC 102_Wkst'!$L$7:$L$2010,"06",'LAC 102_Wkst'!$N$7:$N$2010,"P1")</f>
        <v>0</v>
      </c>
      <c r="T71" s="410">
        <f>SUMIFS('LAC 102_Wkst'!$Q$7:$Q$2010,'LAC 102_Wkst'!$E$7:$E$2010,$C71,'LAC 102_Wkst'!$G$7:$G$2010,$D71,'LAC 102_Wkst'!$L$7:$L$2010,"05",'LAC 102_Wkst'!$N$7:$N$2010,"P2")+SUMIFS('LAC 102_Wkst'!$Q$7:$Q$2010,'LAC 102_Wkst'!$E$7:$E$2010,$C71,'LAC 102_Wkst'!$G$7:$G$2010,$D71,'LAC 102_Wkst'!$L$7:$L$2010,"05",'LAC 102_Wkst'!$N$7:$N$2010,"P3")+SUMIFS('LAC 102_Wkst'!$Q$7:$Q$2010,'LAC 102_Wkst'!$E$7:$E$2010,$C71,'LAC 102_Wkst'!$G$7:$G$2010,$D71,'LAC 102_Wkst'!$L$7:$L$2010,"06",'LAC 102_Wkst'!$N$7:$N$2010,"P2")+SUMIFS('LAC 102_Wkst'!$Q$7:$Q$2010,'LAC 102_Wkst'!$E$7:$E$2010,$C71,'LAC 102_Wkst'!$G$7:$G$2010,$D71,'LAC 102_Wkst'!$L$7:$L$2010,"06",'LAC 102_Wkst'!$N$7:$N$2010,"P3")</f>
        <v>0</v>
      </c>
      <c r="U71" s="411">
        <f>SUMIFS('LAC 102_Wkst'!$AE$7:$AE$2010,'LAC 102_Wkst'!$E$7:$E$2010,$C71,'LAC 102_Wkst'!$G$7:$G$2010,$D71,'LAC 102_Wkst'!$L$7:$L$2010,"05",'LAC 102_Wkst'!$N$7:$N$2010,"P2")+SUMIFS('LAC 102_Wkst'!$AE$7:$AE$2010,'LAC 102_Wkst'!$E$7:$E$2010,$C71,'LAC 102_Wkst'!$G$7:$G$2010,$D71,'LAC 102_Wkst'!$L$7:$L$2010,"06",'LAC 102_Wkst'!$N$7:$N$2010,"P3")+SUMIFS('LAC 102_Wkst'!$AE$7:$AE$2010,'LAC 102_Wkst'!$E$7:$E$2010,$C71,'LAC 102_Wkst'!$G$7:$G$2010,$D71,'LAC 102_Wkst'!$L$7:$L$2010,"05",'LAC 102_Wkst'!$N$7:$N$2010,"P2")+SUMIFS('LAC 102_Wkst'!$AE$7:$AE$2010,'LAC 102_Wkst'!$E$7:$E$2010,$C71,'LAC 102_Wkst'!$G$7:$G$2010,$D71,'LAC 102_Wkst'!$L$7:$L$2010,"06",'LAC 102_Wkst'!$N$7:$N$2010,"P3")</f>
        <v>0</v>
      </c>
      <c r="V71" s="410">
        <f>SUMIFS('LAC 102_Wkst'!$Q$7:$Q$2010,'LAC 102_Wkst'!$E$7:$E$2010,$C71,'LAC 102_Wkst'!$G$7:$G$2010,$D71,'LAC 102_Wkst'!$L$7:$L$2010,"05",'LAC 102_Wkst'!$N$7:$N$2010,"P4")+SUMIFS('LAC 102_Wkst'!$Q$7:$Q$2010,'LAC 102_Wkst'!$E$7:$E$2010,$C71,'LAC 102_Wkst'!$G$7:$G$2010,$D71,'LAC 102_Wkst'!$L$7:$L$2010,"06",'LAC 102_Wkst'!$N$7:$N$2010,"P4")</f>
        <v>0</v>
      </c>
      <c r="W71" s="411">
        <f>SUMIFS('LAC 102_Wkst'!$AE$7:$AE$2010,'LAC 102_Wkst'!$E$7:$E$2010,$C71,'LAC 102_Wkst'!$G$7:$G$2010,$D71,'LAC 102_Wkst'!$L$7:$L$2010,"05",'LAC 102_Wkst'!$N$7:$N$2010,"P4")+SUMIFS('LAC 102_Wkst'!$AE$7:$AE$2010,'LAC 102_Wkst'!$E$7:$E$2010,$C71,'LAC 102_Wkst'!$G$7:$G$2010,$D71,'LAC 102_Wkst'!$L$7:$L$2010,"06",'LAC 102_Wkst'!$N$7:$N$2010,"P4")</f>
        <v>0</v>
      </c>
      <c r="X71" s="410">
        <f>SUMIFS('LAC 102_Wkst'!$Q$7:$Q$2010,'LAC 102_Wkst'!$E$7:$E$2010,$C71,'LAC 102_Wkst'!$G$7:$G$2010,$D71,'LAC 102_Wkst'!$L$7:$L$2010,"05",'LAC 102_Wkst'!$N$7:$N$2010,"P5")+SUMIFS('LAC 102_Wkst'!$Q$7:$Q$2010,'LAC 102_Wkst'!$E$7:$E$2010,$C71,'LAC 102_Wkst'!$G$7:$G$2010,$D71,'LAC 102_Wkst'!$L$7:$L$2010,"06",'LAC 102_Wkst'!$N$7:$N$2010,"P5")</f>
        <v>0</v>
      </c>
      <c r="Y71" s="411">
        <f>SUMIFS('LAC 102_Wkst'!$AE$7:$AE$2010,'LAC 102_Wkst'!$E$7:$E$2010,$C71,'LAC 102_Wkst'!$G$7:$G$2010,$D71,'LAC 102_Wkst'!$L$7:$L$2010,"05",'LAC 102_Wkst'!$N$7:$N$2010,"P5")+SUMIFS('LAC 102_Wkst'!$AE$7:$AE$2010,'LAC 102_Wkst'!$E$7:$E$2010,$C71,'LAC 102_Wkst'!$G$7:$G$2010,$D71,'LAC 102_Wkst'!$L$7:$L$2010,"06",'LAC 102_Wkst'!$N$7:$N$2010,"P5")</f>
        <v>0</v>
      </c>
      <c r="Z71" s="410">
        <f>SUMIFS('LAC 102_Wkst'!$Q$7:$Q$2010,'LAC 102_Wkst'!$E$7:$E$2010,$C71,'LAC 102_Wkst'!$G$7:$G$2010,$D71,'LAC 102_Wkst'!$L$7:$L$2010,"07",'LAC 102_Wkst'!$N$7:$N$2010,"P1")+SUMIFS('LAC 102_Wkst'!$Q$7:$Q$2010,'LAC 102_Wkst'!$E$7:$E$2010,$C71,'LAC 102_Wkst'!$G$7:$G$2010,$D71,'LAC 102_Wkst'!$L$7:$L$2010,"07",'LAC 102_Wkst'!$N$7:$N$2010,"P2")+SUMIFS('LAC 102_Wkst'!$Q$7:$Q$2010,'LAC 102_Wkst'!$E$7:$E$2010,$C71,'LAC 102_Wkst'!$G$7:$G$2010,$D71,'LAC 102_Wkst'!$L$7:$L$2010,"07",'LAC 102_Wkst'!$N$7:$N$2010,"P3")</f>
        <v>0</v>
      </c>
      <c r="AA71" s="411">
        <f>SUMIFS('LAC 102_Wkst'!$AE$7:$AE$2010,'LAC 102_Wkst'!$E$7:$E$2010,$C71,'LAC 102_Wkst'!$G$7:$G$2010,$D71,'LAC 102_Wkst'!$L$7:$L$2010,"07",'LAC 102_Wkst'!$N$7:$N$2010,"P1")+SUMIFS('LAC 102_Wkst'!$AE$7:$AE$2010,'LAC 102_Wkst'!$E$7:$E$2010,$C71,'LAC 102_Wkst'!$G$7:$G$2010,$D71,'LAC 102_Wkst'!$L$7:$L$2010,"07",'LAC 102_Wkst'!$N$7:$N$2010,"P2")+SUMIFS('LAC 102_Wkst'!$AE$7:$AE$2010,'LAC 102_Wkst'!$E$7:$E$2010,$C71,'LAC 102_Wkst'!$G$7:$G$2010,$D71,'LAC 102_Wkst'!$L$7:$L$2010,"07",'LAC 102_Wkst'!$N$7:$N$2010,"P3")</f>
        <v>0</v>
      </c>
      <c r="AB71" s="410">
        <f>SUMIFS('LAC 102_Wkst'!$Q$7:$Q$2010,'LAC 102_Wkst'!$E$7:$E$2010,$C71,'LAC 102_Wkst'!$G$7:$G$2010,$D71,'LAC 102_Wkst'!$L$7:$L$2010,"07",'LAC 102_Wkst'!$N$7:$N$2010,"P4")</f>
        <v>0</v>
      </c>
      <c r="AC71" s="411">
        <f>SUMIFS('LAC 102_Wkst'!$AE$7:$AE$2010,'LAC 102_Wkst'!$E$7:$E$2010,$C71,'LAC 102_Wkst'!$G$7:$G$2010,$D71,'LAC 102_Wkst'!$L$7:$L$2010,"07",'LAC 102_Wkst'!$N$7:$N$2010,"P4")</f>
        <v>0</v>
      </c>
      <c r="AD71" s="410">
        <f>SUMIFS('LAC 102_Wkst'!$Q$7:$Q$2010,'LAC 102_Wkst'!$E$7:$E$2010,$C71,'LAC 102_Wkst'!$G$7:$G$2010,$D71,'LAC 102_Wkst'!$L$7:$L$2010,"07",'LAC 102_Wkst'!$N$7:$N$2010,"P5")</f>
        <v>0</v>
      </c>
      <c r="AE71" s="411">
        <f>SUMIFS('LAC 102_Wkst'!$AE$7:$AE$2010,'LAC 102_Wkst'!$E$7:$E$2010,$C71,'LAC 102_Wkst'!$G$7:$G$2010,$D71,'LAC 102_Wkst'!$L$7:$L$2010,"07",'LAC 102_Wkst'!$N$7:$N$2010,"P5")</f>
        <v>0</v>
      </c>
      <c r="AF71" s="410">
        <f>SUMIFS('LAC 102_Wkst'!$Q$7:$Q$2010,'LAC 102_Wkst'!$E$7:$E$2010,$C71,'LAC 102_Wkst'!$G$7:$G$2010,$D71,'LAC 102_Wkst'!$L$7:$L$2010,"08",'LAC 102_Wkst'!$N$7:$N$2010,"P1")+SUMIFS('LAC 102_Wkst'!$Q$7:$Q$2010,'LAC 102_Wkst'!$E$7:$E$2010,$C71,'LAC 102_Wkst'!$G$7:$G$2010,$D71,'LAC 102_Wkst'!$L$7:$L$2010,"08",'LAC 102_Wkst'!$N$7:$N$2010,"P2")+SUMIFS('LAC 102_Wkst'!$Q$7:$Q$2010,'LAC 102_Wkst'!$E$7:$E$2010,$C71,'LAC 102_Wkst'!$G$7:$G$2010,$D71,'LAC 102_Wkst'!$L$7:$L$2010,"08",'LAC 102_Wkst'!$N$7:$N$2010,"P3")</f>
        <v>0</v>
      </c>
      <c r="AG71" s="411">
        <f>SUMIFS('LAC 102_Wkst'!$AE$7:$AE$2010,'LAC 102_Wkst'!$E$7:$E$2010,$C71,'LAC 102_Wkst'!$G$7:$G$2010,$D71,'LAC 102_Wkst'!$L$7:$L$2010,"08",'LAC 102_Wkst'!$N$7:$N$2010,"P1")+SUMIFS('LAC 102_Wkst'!$AE$7:$AE$2010,'LAC 102_Wkst'!$E$7:$E$2010,$C71,'LAC 102_Wkst'!$G$7:$G$2010,$D71,'LAC 102_Wkst'!$L$7:$L$2010,"08",'LAC 102_Wkst'!$N$7:$N$2010,"P2")+SUMIFS('LAC 102_Wkst'!$AE$7:$AE$2010,'LAC 102_Wkst'!$E$7:$E$2010,$C71,'LAC 102_Wkst'!$G$7:$G$2010,$D71,'LAC 102_Wkst'!$L$7:$L$2010,"08",'LAC 102_Wkst'!$N$7:$N$2010,"P3")</f>
        <v>0</v>
      </c>
      <c r="AH71" s="410">
        <f>SUMIFS('LAC 102_Wkst'!$Q$7:$Q$2010,'LAC 102_Wkst'!$E$7:$E$2010,$C71,'LAC 102_Wkst'!$G$7:$G$2010,$D71,'LAC 102_Wkst'!$L$7:$L$2010,"08",'LAC 102_Wkst'!$N$7:$N$2010,"P4")</f>
        <v>0</v>
      </c>
      <c r="AI71" s="411">
        <f>SUMIFS('LAC 102_Wkst'!$AE$7:$AE$2010,'LAC 102_Wkst'!$E$7:$E$2010,$C71,'LAC 102_Wkst'!$G$7:$G$2010,$D71,'LAC 102_Wkst'!$L$7:$L$2010,"08",'LAC 102_Wkst'!$N$7:$N$2010,"P4")</f>
        <v>0</v>
      </c>
      <c r="AJ71" s="410">
        <f>SUMIFS('LAC 102_Wkst'!$Q$7:$Q$2010,'LAC 102_Wkst'!$E$7:$E$2010,$C71,'LAC 102_Wkst'!$G$7:$G$2010,$D71,'LAC 102_Wkst'!$L$7:$L$2010,"08",'LAC 102_Wkst'!$N$7:$N$2010,"P5")</f>
        <v>0</v>
      </c>
      <c r="AK71" s="411">
        <f>SUMIFS('LAC 102_Wkst'!$AE$7:$AE$2010,'LAC 102_Wkst'!$E$7:$E$2010,$C71,'LAC 102_Wkst'!$G$7:$G$2010,$D71,'LAC 102_Wkst'!$L$7:$L$2010,"08",'LAC 102_Wkst'!$N$7:$N$2010,"P5")</f>
        <v>0</v>
      </c>
      <c r="AL71" s="410">
        <f>SUMIFS('LAC 102_Wkst'!$Q$7:$Q$2010,'LAC 102_Wkst'!$E$7:$E$2010,$C71,'LAC 102_Wkst'!$G$7:$G$2010,$D71,'LAC 102_Wkst'!$L$7:$L$2010,"09",'LAC 102_Wkst'!$N$7:$N$2010,"P1")+SUMIFS('LAC 102_Wkst'!$Q$7:$Q$2010,'LAC 102_Wkst'!$E$7:$E$2010,$C71,'LAC 102_Wkst'!$G$7:$G$2010,$D71,'LAC 102_Wkst'!$L$7:$L$2010,"09",'LAC 102_Wkst'!$N$7:$N$2010,"P2")+SUMIFS('LAC 102_Wkst'!$Q$7:$Q$2010,'LAC 102_Wkst'!$E$7:$E$2010,$C71,'LAC 102_Wkst'!$G$7:$G$2010,$D71,'LAC 102_Wkst'!$L$7:$L$2010,"09",'LAC 102_Wkst'!$N$7:$N$2010,"P3")+SUMIFS('LAC 102_Wkst'!$Q$7:$Q$2010,'LAC 102_Wkst'!$E$7:$E$2010,$C71,'LAC 102_Wkst'!$G$7:$G$2010,$D71,'LAC 102_Wkst'!$L$7:$L$2010,"09",'LAC 102_Wkst'!$N$7:$N$2010,"P4")</f>
        <v>0</v>
      </c>
      <c r="AM71" s="411">
        <f>SUMIFS('LAC 102_Wkst'!$AE$7:$AE$2010,'LAC 102_Wkst'!$E$7:$E$2010,$C71,'LAC 102_Wkst'!$G$7:$G$2010,$D71,'LAC 102_Wkst'!$L$7:$L$2010,"09",'LAC 102_Wkst'!$N$7:$N$2010,"P1")+SUMIFS('LAC 102_Wkst'!$AE$7:$AE$2010,'LAC 102_Wkst'!$E$7:$E$2010,$C71,'LAC 102_Wkst'!$G$7:$G$2010,$D71,'LAC 102_Wkst'!$L$7:$L$2010,"09",'LAC 102_Wkst'!$N$7:$N$2010,"P2")+SUMIFS('LAC 102_Wkst'!$AE$7:$AE$2010,'LAC 102_Wkst'!$E$7:$E$2010,$C71,'LAC 102_Wkst'!$G$7:$G$2010,$D71,'LAC 102_Wkst'!$L$7:$L$2010,"09",'LAC 102_Wkst'!$N$7:$N$2010,"P3")+SUMIFS('LAC 102_Wkst'!$AE$7:$AE$2010,'LAC 102_Wkst'!$E$7:$E$2010,$C71,'LAC 102_Wkst'!$G$7:$G$2010,$D71,'LAC 102_Wkst'!$L$7:$L$2010,"09",'LAC 102_Wkst'!$N$7:$N$2010,"P4")</f>
        <v>0</v>
      </c>
      <c r="AN71" s="410">
        <f>SUMIFS('LAC 102_Wkst'!$Q$7:$Q$2010,'LAC 102_Wkst'!$E$7:$E$2010,$C71,'LAC 102_Wkst'!$G$7:$G$2010,$D71,'LAC 102_Wkst'!$L$7:$L$2010,"09",'LAC 102_Wkst'!$N$7:$N$2010,"P5")</f>
        <v>0</v>
      </c>
      <c r="AO71" s="411">
        <f>SUMIFS('LAC 102_Wkst'!$AE$7:$AE$2010,'LAC 102_Wkst'!$E$7:$E$2010,$C71,'LAC 102_Wkst'!$G$7:$G$2010,$D71,'LAC 102_Wkst'!$L$7:$L$2010,"09",'LAC 102_Wkst'!$N$7:$N$2010,"P5")</f>
        <v>0</v>
      </c>
      <c r="AP71" s="410">
        <f>SUMIFS('LAC 102_Wkst'!$Q$7:$Q$2010,'LAC 102_Wkst'!$E$7:$E$2010,$C71,'LAC 102_Wkst'!$G$7:$G$2010,$D71,'LAC 102_Wkst'!$L$7:$L$2010,"10",'LAC 102_Wkst'!$N$7:$N$2010,"P1")+SUMIFS('LAC 102_Wkst'!$Q$7:$Q$2010,'LAC 102_Wkst'!$E$7:$E$2010,$C71,'LAC 102_Wkst'!$G$7:$G$2010,$D71,'LAC 102_Wkst'!$L$7:$L$2010,"10",'LAC 102_Wkst'!$N$7:$N$2010,"P2")+SUMIFS('LAC 102_Wkst'!$Q$7:$Q$2010,'LAC 102_Wkst'!$E$7:$E$2010,$C71,'LAC 102_Wkst'!$G$7:$G$2010,$D71,'LAC 102_Wkst'!$L$7:$L$2010,"10",'LAC 102_Wkst'!$N$7:$N$2010,"P3")+SUMIFS('LAC 102_Wkst'!$Q$7:$Q$2010,'LAC 102_Wkst'!$E$7:$E$2010,$C71,'LAC 102_Wkst'!$G$7:$G$2010,$D71,'LAC 102_Wkst'!$L$7:$L$2010,"10",'LAC 102_Wkst'!$N$7:$N$2010,"P4")</f>
        <v>0</v>
      </c>
      <c r="AQ71" s="411">
        <f>SUMIFS('LAC 102_Wkst'!$AE$7:$AE$2010,'LAC 102_Wkst'!$E$7:$E$2010,$C71,'LAC 102_Wkst'!$G$7:$G$2010,$D71,'LAC 102_Wkst'!$L$7:$L$2010,"10",'LAC 102_Wkst'!$N$7:$N$2010,"P1")+SUMIFS('LAC 102_Wkst'!$AE$7:$AE$2010,'LAC 102_Wkst'!$E$7:$E$2010,$C71,'LAC 102_Wkst'!$G$7:$G$2010,$D71,'LAC 102_Wkst'!$L$7:$L$2010,"10",'LAC 102_Wkst'!$N$7:$N$2010,"P2")+SUMIFS('LAC 102_Wkst'!$AE$7:$AE$2010,'LAC 102_Wkst'!$E$7:$E$2010,$C71,'LAC 102_Wkst'!$G$7:$G$2010,$D71,'LAC 102_Wkst'!$L$7:$L$2010,"10",'LAC 102_Wkst'!$N$7:$N$2010,"P3")+SUMIFS('LAC 102_Wkst'!$AE$7:$AE$2010,'LAC 102_Wkst'!$E$7:$E$2010,$C71,'LAC 102_Wkst'!$G$7:$G$2010,$D71,'LAC 102_Wkst'!$L$7:$L$2010,"10",'LAC 102_Wkst'!$N$7:$N$2010,"P4")</f>
        <v>0</v>
      </c>
      <c r="AR71" s="410">
        <f>SUMIFS('LAC 102_Wkst'!$Q$7:$Q$2010,'LAC 102_Wkst'!$E$7:$E$2010,$C71,'LAC 102_Wkst'!$G$7:$G$2010,$D71,'LAC 102_Wkst'!$L$7:$L$2010,"10",'LAC 102_Wkst'!$N$7:$N$2010,"P5")</f>
        <v>0</v>
      </c>
      <c r="AS71" s="411">
        <f>SUMIFS('LAC 102_Wkst'!$AE$7:$AE$2010,'LAC 102_Wkst'!$E$7:$E$2010,$C71,'LAC 102_Wkst'!$G$7:$G$2010,$D71,'LAC 102_Wkst'!$L$7:$L$2010,"10",'LAC 102_Wkst'!$N$7:$N$2010,"P5")</f>
        <v>0</v>
      </c>
      <c r="AT71" s="410">
        <f>SUMIFS('LAC 102_Wkst'!$Q$7:$Q$2010,'LAC 102_Wkst'!$E$7:$E$2010,$C71,'LAC 102_Wkst'!$G$7:$G$2010,$D71,'LAC 102_Wkst'!$L$7:$L$2010,"11",'LAC 102_Wkst'!$N$7:$N$2010,"P1")+SUMIFS('LAC 102_Wkst'!$Q$7:$Q$2010,'LAC 102_Wkst'!$E$7:$E$2010,$C71,'LAC 102_Wkst'!$G$7:$G$2010,$D71,'LAC 102_Wkst'!$L$7:$L$2010,"12",'LAC 102_Wkst'!$N$7:$N$2010,"P1")</f>
        <v>0</v>
      </c>
      <c r="AU71" s="411">
        <f>SUMIFS('LAC 102_Wkst'!$AE$7:$AE$2010,'LAC 102_Wkst'!$E$7:$E$2010,$C71,'LAC 102_Wkst'!$G$7:$G$2010,$D71,'LAC 102_Wkst'!$L$7:$L$2010,"11",'LAC 102_Wkst'!$N$7:$N$2010,"P1")+SUMIFS('LAC 102_Wkst'!$AE$7:$AE$2010,'LAC 102_Wkst'!$E$7:$E$2010,$C71,'LAC 102_Wkst'!$G$7:$G$2010,$D71,'LAC 102_Wkst'!$L$7:$L$2010,"12",'LAC 102_Wkst'!$N$7:$N$2010,"P1")</f>
        <v>0</v>
      </c>
      <c r="AV71" s="410">
        <f>SUMIFS('LAC 102_Wkst'!$Q$7:$Q$2010,'LAC 102_Wkst'!$E$7:$E$2010,$C71,'LAC 102_Wkst'!$G$7:$G$2010,$D71,'LAC 102_Wkst'!$L$7:$L$2010,"11",'LAC 102_Wkst'!$N$7:$N$2010,"P2")+SUMIFS('LAC 102_Wkst'!$Q$7:$Q$2010,'LAC 102_Wkst'!$E$7:$E$2010,$C71,'LAC 102_Wkst'!$G$7:$G$2010,$D71,'LAC 102_Wkst'!$L$7:$L$2010,"12",'LAC 102_Wkst'!$N$7:$N$2010,"P3")+SUMIFS('LAC 102_Wkst'!$Q$7:$Q$2010,'LAC 102_Wkst'!$E$7:$E$2010,$C71,'LAC 102_Wkst'!$G$7:$G$2010,$D71,'LAC 102_Wkst'!$L$7:$L$2010,"11",'LAC 102_Wkst'!$N$7:$N$2010,"P2")+SUMIFS('LAC 102_Wkst'!$Q$7:$Q$2010,'LAC 102_Wkst'!$E$7:$E$2010,$C71,'LAC 102_Wkst'!$G$7:$G$2010,$D71,'LAC 102_Wkst'!$L$7:$L$2010,"12",'LAC 102_Wkst'!$N$7:$N$2010,"P3")</f>
        <v>0</v>
      </c>
      <c r="AW71" s="411">
        <f>SUMIFS('LAC 102_Wkst'!$AE$7:$AE$2010,'LAC 102_Wkst'!$E$7:$E$2010,$C71,'LAC 102_Wkst'!$G$7:$G$2010,$D71,'LAC 102_Wkst'!$L$7:$L$2010,"11",'LAC 102_Wkst'!$N$7:$N$2010,"P2")+SUMIFS('LAC 102_Wkst'!$AE$7:$AE$2010,'LAC 102_Wkst'!$E$7:$E$2010,$C71,'LAC 102_Wkst'!$G$7:$G$2010,$D71,'LAC 102_Wkst'!$L$7:$L$2010,"12",'LAC 102_Wkst'!$N$7:$N$2010,"P3")+SUMIFS('LAC 102_Wkst'!$AE$7:$AE$2010,'LAC 102_Wkst'!$E$7:$E$2010,$C71,'LAC 102_Wkst'!$G$7:$G$2010,$D71,'LAC 102_Wkst'!$L$7:$L$2010,"11",'LAC 102_Wkst'!$N$7:$N$2010,"P2")+SUMIFS('LAC 102_Wkst'!$AE$7:$AE$2010,'LAC 102_Wkst'!$E$7:$E$2010,$C71,'LAC 102_Wkst'!$G$7:$G$2010,$D71,'LAC 102_Wkst'!$L$7:$L$2010,"12",'LAC 102_Wkst'!$N$7:$N$2010,"P3")</f>
        <v>0</v>
      </c>
      <c r="AX71" s="410">
        <f>SUMIFS('LAC 102_Wkst'!$Q$7:$Q$2010,'LAC 102_Wkst'!$E$7:$E$2010,$C71,'LAC 102_Wkst'!$G$7:$G$2010,$D71,'LAC 102_Wkst'!$L$7:$L$2010,"11",'LAC 102_Wkst'!$N$7:$N$2010,"P4")+SUMIFS('LAC 102_Wkst'!$Q$7:$Q$2010,'LAC 102_Wkst'!$E$7:$E$2010,$C71,'LAC 102_Wkst'!$G$7:$G$2010,$D71,'LAC 102_Wkst'!$L$7:$L$2010,"12",'LAC 102_Wkst'!$N$7:$N$2010,"P4")</f>
        <v>0</v>
      </c>
      <c r="AY71" s="411">
        <f>SUMIFS('LAC 102_Wkst'!$AE$7:$AE$2010,'LAC 102_Wkst'!$E$7:$E$2010,$C71,'LAC 102_Wkst'!$G$7:$G$2010,$D71,'LAC 102_Wkst'!$L$7:$L$2010,"11",'LAC 102_Wkst'!$N$7:$N$2010,"P4")+SUMIFS('LAC 102_Wkst'!$AE$7:$AE$2010,'LAC 102_Wkst'!$E$7:$E$2010,$C71,'LAC 102_Wkst'!$G$7:$G$2010,$D71,'LAC 102_Wkst'!$L$7:$L$2010,"12",'LAC 102_Wkst'!$N$7:$N$2010,"P4")</f>
        <v>0</v>
      </c>
      <c r="AZ71" s="410">
        <f>SUMIFS('LAC 102_Wkst'!$Q$7:$Q$2010,'LAC 102_Wkst'!$E$7:$E$2010,$C71,'LAC 102_Wkst'!$G$7:$G$2010,$D71,'LAC 102_Wkst'!$L$7:$L$2010,"11",'LAC 102_Wkst'!$N$7:$N$2010,"P5")+SUMIFS('LAC 102_Wkst'!$Q$7:$Q$2010,'LAC 102_Wkst'!$E$7:$E$2010,$C71,'LAC 102_Wkst'!$G$7:$G$2010,$D71,'LAC 102_Wkst'!$L$7:$L$2010,"12",'LAC 102_Wkst'!$N$7:$N$2010,"P5")</f>
        <v>0</v>
      </c>
      <c r="BA71" s="411">
        <f>SUMIFS('LAC 102_Wkst'!$AE$7:$AE$2010,'LAC 102_Wkst'!$E$7:$E$2010,$C71,'LAC 102_Wkst'!$G$7:$G$2010,$D71,'LAC 102_Wkst'!$L$7:$L$2010,"11",'LAC 102_Wkst'!$N$7:$N$2010,"P5")+SUMIFS('LAC 102_Wkst'!$AE$7:$AE$2010,'LAC 102_Wkst'!$E$7:$E$2010,$C71,'LAC 102_Wkst'!$G$7:$G$2010,$D71,'LAC 102_Wkst'!$L$7:$L$2010,"12",'LAC 102_Wkst'!$N$7:$N$2010,"P5")</f>
        <v>0</v>
      </c>
      <c r="BB71" s="410">
        <f>SUMIFS('LAC 102_Wkst'!$Q$7:$Q$2010,'LAC 102_Wkst'!$E$7:$E$2010,$C71,'LAC 102_Wkst'!$G$7:$G$2010,$D71,'LAC 102_Wkst'!$L$7:$L$2010,"13",'LAC 102_Wkst'!$N$7:$N$2010,"P1")+SUMIFS('LAC 102_Wkst'!$Q$7:$Q$2010,'LAC 102_Wkst'!$E$7:$E$2010,$C71,'LAC 102_Wkst'!$G$7:$G$2010,$D71,'LAC 102_Wkst'!$L$7:$L$2010,"13",'LAC 102_Wkst'!$N$7:$N$2010,"P2")+SUMIFS('LAC 102_Wkst'!$Q$7:$Q$2010,'LAC 102_Wkst'!$E$7:$E$2010,$C71,'LAC 102_Wkst'!$G$7:$G$2010,$D71,'LAC 102_Wkst'!$L$7:$L$2010,"13",'LAC 102_Wkst'!$N$7:$N$2010,"P3")+SUMIFS('LAC 102_Wkst'!$Q$7:$Q$2010,'LAC 102_Wkst'!$E$7:$E$2010,$C71,'LAC 102_Wkst'!$G$7:$G$2010,$D71,'LAC 102_Wkst'!$L$7:$L$2010,"13",'LAC 102_Wkst'!$N$7:$N$2010,"P4")</f>
        <v>0</v>
      </c>
      <c r="BC71" s="411">
        <f>SUMIFS('LAC 102_Wkst'!$AE$7:$AE$2010,'LAC 102_Wkst'!$E$7:$E$2010,$C71,'LAC 102_Wkst'!$G$7:$G$2010,$D71,'LAC 102_Wkst'!$L$7:$L$2010,"13",'LAC 102_Wkst'!$N$7:$N$2010,"P1")+SUMIFS('LAC 102_Wkst'!$AE$7:$AE$2010,'LAC 102_Wkst'!$E$7:$E$2010,$C71,'LAC 102_Wkst'!$G$7:$G$2010,$D71,'LAC 102_Wkst'!$L$7:$L$2010,"13",'LAC 102_Wkst'!$N$7:$N$2010,"P2")+SUMIFS('LAC 102_Wkst'!$AE$7:$AE$2010,'LAC 102_Wkst'!$E$7:$E$2010,$C71,'LAC 102_Wkst'!$G$7:$G$2010,$D71,'LAC 102_Wkst'!$L$7:$L$2010,"13",'LAC 102_Wkst'!$N$7:$N$2010,"P3")+SUMIFS('LAC 102_Wkst'!$AE$7:$AE$2010,'LAC 102_Wkst'!$E$7:$E$2010,$C71,'LAC 102_Wkst'!$G$7:$G$2010,$D71,'LAC 102_Wkst'!$L$7:$L$2010,"13",'LAC 102_Wkst'!$N$7:$N$2010,"P4")</f>
        <v>0</v>
      </c>
      <c r="BD71" s="410">
        <f>SUMIFS('LAC 102_Wkst'!$Q$7:$Q$2010,'LAC 102_Wkst'!$E$7:$E$2010,$C71,'LAC 102_Wkst'!$G$7:$G$2010,$D71,'LAC 102_Wkst'!$L$7:$L$2010,"13",'LAC 102_Wkst'!$N$7:$N$2010,"P5")</f>
        <v>0</v>
      </c>
      <c r="BE71" s="411">
        <f>SUMIFS('LAC 102_Wkst'!$AE$7:$AE$2010,'LAC 102_Wkst'!$E$7:$E$2010,$C71,'LAC 102_Wkst'!$G$7:$G$2010,$D71,'LAC 102_Wkst'!$L$7:$L$2010,"13",'LAC 102_Wkst'!$N$7:$N$2010,"P5")</f>
        <v>0</v>
      </c>
      <c r="BF71" s="407">
        <f t="shared" si="0"/>
        <v>0</v>
      </c>
    </row>
    <row r="72" spans="1:58" x14ac:dyDescent="0.2">
      <c r="A72" s="401">
        <v>53</v>
      </c>
      <c r="B72" s="1236"/>
      <c r="C72" s="1235"/>
      <c r="D72" s="1237"/>
      <c r="E72" s="1222">
        <f>IF(CONCATENATE(C72,D72)&gt;"6069",1,SUMIFS('LAC 102_Wkst'!$Q$7:$Q$2010,'LAC 102_Wkst'!$E$7:$E$2010,Schedule_B!$C72,'LAC 102_Wkst'!$G$7:$G$2010,Schedule_B!$D72))</f>
        <v>0</v>
      </c>
      <c r="F72" s="408">
        <f>SUMIFS('LAC 102_Wkst'!$Q$7:$Q$2010,'LAC 102_Wkst'!$E$7:$E$2010,$C72,'LAC 102_Wkst'!$G$7:$G$2010,$D72,'LAC 102_Wkst'!$L$7:$L$2010,"01",'LAC 102_Wkst'!$N$7:$N$2010,"P1")+SUMIFS('LAC 102_Wkst'!$Q$7:$Q$2010,'LAC 102_Wkst'!$E$7:$E$2010,$C72,'LAC 102_Wkst'!$G$7:$G$2010,$D72,'LAC 102_Wkst'!$L$7:$L$2010,"01",'LAC 102_Wkst'!$N$7:$N$2010,"P2")+SUMIFS('LAC 102_Wkst'!$Q$7:$Q$2010,'LAC 102_Wkst'!$E$7:$E$2010,$C72,'LAC 102_Wkst'!$G$7:$G$2010,$D72,'LAC 102_Wkst'!$L$7:$L$2010,"01",'LAC 102_Wkst'!$N$7:$N$2010,"P3")+SUMIFS('LAC 102_Wkst'!$Q$7:$Q$2010,'LAC 102_Wkst'!$E$7:$E$2010,$C72,'LAC 102_Wkst'!$G$7:$G$2010,$D72,'LAC 102_Wkst'!$L$7:$L$2010,"02",'LAC 102_Wkst'!$N$7:$N$2010,"P1")+SUMIFS('LAC 102_Wkst'!$Q$7:$Q$2010,'LAC 102_Wkst'!$E$7:$E$2010,$C72,'LAC 102_Wkst'!$G$7:$G$2010,$D72,'LAC 102_Wkst'!$L$7:$L$2010,"02",'LAC 102_Wkst'!$N$7:$N$2010,"P2")+SUMIFS('LAC 102_Wkst'!$Q$7:$Q$2010,'LAC 102_Wkst'!$E$7:$E$2010,$C72,'LAC 102_Wkst'!$G$7:$G$2010,$D72,'LAC 102_Wkst'!$L$7:$L$2010,"02",'LAC 102_Wkst'!$N$7:$N$2010,"P3")</f>
        <v>0</v>
      </c>
      <c r="G72" s="409">
        <f>SUMIFS('LAC 102_Wkst'!$AE$7:$AE$2010,'LAC 102_Wkst'!$E$7:$E$2010,$C72,'LAC 102_Wkst'!$G$7:$G$2010,$D72,'LAC 102_Wkst'!$L$7:$L$2010,"01",'LAC 102_Wkst'!$N$7:$N$2010,"P1")+SUMIFS('LAC 102_Wkst'!$AE$7:$AE$2010,'LAC 102_Wkst'!$E$7:$E$2010,$C72,'LAC 102_Wkst'!$G$7:$G$2010,$D72,'LAC 102_Wkst'!$L$7:$L$2010,"01",'LAC 102_Wkst'!$N$7:$N$2010,"P2")+SUMIFS('LAC 102_Wkst'!$AE$7:$AE$2010,'LAC 102_Wkst'!$E$7:$E$2010,$C72,'LAC 102_Wkst'!$G$7:$G$2010,$D72,'LAC 102_Wkst'!$L$7:$L$2010,"01",'LAC 102_Wkst'!$N$7:$N$2010,"P3")+SUMIFS('LAC 102_Wkst'!$AE$7:$AE$2010,'LAC 102_Wkst'!$E$7:$E$2010,$C72,'LAC 102_Wkst'!$G$7:$G$2010,$D72,'LAC 102_Wkst'!$L$7:$L$2010,"02",'LAC 102_Wkst'!$N$7:$N$2010,"P1")+SUMIFS('LAC 102_Wkst'!$AE$7:$AE$2010,'LAC 102_Wkst'!$E$7:$E$2010,$C72,'LAC 102_Wkst'!$G$7:$G$2010,$D72,'LAC 102_Wkst'!$L$7:$L$2010,"02",'LAC 102_Wkst'!$N$7:$N$2010,"P2")+SUMIFS('LAC 102_Wkst'!$AE$7:$AE$2010,'LAC 102_Wkst'!$E$7:$E$2010,$C72,'LAC 102_Wkst'!$G$7:$G$2010,$D72,'LAC 102_Wkst'!$L$7:$L$2010,"02",'LAC 102_Wkst'!$N$7:$N$2010,"P3")</f>
        <v>0</v>
      </c>
      <c r="H72" s="410">
        <f>SUMIFS('LAC 102_Wkst'!$Q$7:$Q$2010,'LAC 102_Wkst'!$E$7:$E$2010,$C72,'LAC 102_Wkst'!$G$7:$G$2010,$D72,'LAC 102_Wkst'!$L$7:$L$2010,"01",'LAC 102_Wkst'!$N$7:$N$2010,"P4")+SUMIFS('LAC 102_Wkst'!$Q$7:$Q$2010,'LAC 102_Wkst'!$E$7:$E$2010,$C72,'LAC 102_Wkst'!$G$7:$G$2010,$D72,'LAC 102_Wkst'!$L$7:$L$2010,"02",'LAC 102_Wkst'!$N$7:$N$2010,"P4")</f>
        <v>0</v>
      </c>
      <c r="I72" s="411">
        <f>SUMIFS('LAC 102_Wkst'!$AE$7:$AE$2010,'LAC 102_Wkst'!$E$7:$E$2010,$C72,'LAC 102_Wkst'!$G$7:$G$2010,$D72,'LAC 102_Wkst'!$L$7:$L$2010,"01",'LAC 102_Wkst'!$N$7:$N$2010,"P4")+SUMIFS('LAC 102_Wkst'!$AE$7:$AE$2010,'LAC 102_Wkst'!$E$7:$E$2010,$C72,'LAC 102_Wkst'!$G$7:$G$2010,$D72,'LAC 102_Wkst'!$L$7:$L$2010,"02",'LAC 102_Wkst'!$N$7:$N$2010,"P4")</f>
        <v>0</v>
      </c>
      <c r="J72" s="410">
        <f>SUMIFS('LAC 102_Wkst'!$Q$7:$Q$2010,'LAC 102_Wkst'!$E$7:$E$2010,$C72,'LAC 102_Wkst'!$G$7:$G$2010,$D72,'LAC 102_Wkst'!$L$7:$L$2010,"01",'LAC 102_Wkst'!$N$7:$N$2010,"P5")+SUMIFS('LAC 102_Wkst'!$Q$7:$Q$2010,'LAC 102_Wkst'!$E$7:$E$2010,$C72,'LAC 102_Wkst'!$G$7:$G$2010,$D72,'LAC 102_Wkst'!$L$7:$L$2010,"02",'LAC 102_Wkst'!$N$7:$N$2010,"P5")</f>
        <v>0</v>
      </c>
      <c r="K72" s="411">
        <f>SUMIFS('LAC 102_Wkst'!$AE$7:$AE$2010,'LAC 102_Wkst'!$E$7:$E$2010,$C72,'LAC 102_Wkst'!$G$7:$G$2010,$D72,'LAC 102_Wkst'!$L$7:$L$2010,"01",'LAC 102_Wkst'!$N$7:$N$2010,"P5")+SUMIFS('LAC 102_Wkst'!$AE$7:$AE$2010,'LAC 102_Wkst'!$E$7:$E$2010,$C72,'LAC 102_Wkst'!$G$7:$G$2010,$D72,'LAC 102_Wkst'!$L$7:$L$2010,"02",'LAC 102_Wkst'!$N$7:$N$2010,"P5")</f>
        <v>0</v>
      </c>
      <c r="L72" s="410">
        <f>SUMIFS('LAC 102_Wkst'!$Q$7:$Q$2010,'LAC 102_Wkst'!$E$7:$E$2010,$C72,'LAC 102_Wkst'!$G$7:$G$2010,$D72,'LAC 102_Wkst'!$L$7:$L$2010,"03",'LAC 102_Wkst'!$N$7:$N$2010,"P1")+SUMIFS('LAC 102_Wkst'!$Q$7:$Q$2010,'LAC 102_Wkst'!$E$7:$E$2010,$C72,'LAC 102_Wkst'!$G$7:$G$2010,$D72,'LAC 102_Wkst'!$L$7:$L$2010,"03",'LAC 102_Wkst'!$N$7:$N$2010,"P2")+SUMIFS('LAC 102_Wkst'!$Q$7:$Q$2010,'LAC 102_Wkst'!$E$7:$E$2010,$C72,'LAC 102_Wkst'!$G$7:$G$2010,$D72,'LAC 102_Wkst'!$L$7:$L$2010,"03",'LAC 102_Wkst'!$N$7:$N$2010,"P3")+SUMIFS('LAC 102_Wkst'!$Q$7:$Q$2010,'LAC 102_Wkst'!$E$7:$E$2010,$C72,'LAC 102_Wkst'!$G$7:$G$2010,$D72,'LAC 102_Wkst'!$L$7:$L$2010,"04",'LAC 102_Wkst'!$N$7:$N$2010,"P1")+SUMIFS('LAC 102_Wkst'!$Q$7:$Q$2010,'LAC 102_Wkst'!$E$7:$E$2010,$C72,'LAC 102_Wkst'!$G$7:$G$2010,$D72,'LAC 102_Wkst'!$L$7:$L$2010,"04",'LAC 102_Wkst'!$N$7:$N$2010,"P2")+SUMIFS('LAC 102_Wkst'!$Q$7:$Q$2010,'LAC 102_Wkst'!$E$7:$E$2010,$C72,'LAC 102_Wkst'!$G$7:$G$2010,$D72,'LAC 102_Wkst'!$L$7:$L$2010,"04",'LAC 102_Wkst'!$N$7:$N$2010,"P3")</f>
        <v>0</v>
      </c>
      <c r="M72" s="411">
        <f>SUMIFS('LAC 102_Wkst'!$AE$7:$AE$2010,'LAC 102_Wkst'!$E$7:$E$2010,$C72,'LAC 102_Wkst'!$G$7:$G$2010,$D72,'LAC 102_Wkst'!$L$7:$L$2010,"03",'LAC 102_Wkst'!$N$7:$N$2010,"P1")+SUMIFS('LAC 102_Wkst'!$AE$7:$AE$2010,'LAC 102_Wkst'!$E$7:$E$2010,$C72,'LAC 102_Wkst'!$G$7:$G$2010,$D72,'LAC 102_Wkst'!$L$7:$L$2010,"03",'LAC 102_Wkst'!$N$7:$N$2010,"P2")+SUMIFS('LAC 102_Wkst'!$AE$7:$AE$2010,'LAC 102_Wkst'!$E$7:$E$2010,$C72,'LAC 102_Wkst'!$G$7:$G$2010,$D72,'LAC 102_Wkst'!$L$7:$L$2010,"03",'LAC 102_Wkst'!$N$7:$N$2010,"P3")+SUMIFS('LAC 102_Wkst'!$AE$7:$AE$2010,'LAC 102_Wkst'!$E$7:$E$2010,$C72,'LAC 102_Wkst'!$G$7:$G$2010,$D72,'LAC 102_Wkst'!$L$7:$L$2010,"04",'LAC 102_Wkst'!$N$7:$N$2010,"P1")+SUMIFS('LAC 102_Wkst'!$AE$7:$AE$2010,'LAC 102_Wkst'!$E$7:$E$2010,$C72,'LAC 102_Wkst'!$G$7:$G$2010,$D72,'LAC 102_Wkst'!$L$7:$L$2010,"04",'LAC 102_Wkst'!$N$7:$N$2010,"P2")+SUMIFS('LAC 102_Wkst'!$AE$7:$AE$2010,'LAC 102_Wkst'!$E$7:$E$2010,$C72,'LAC 102_Wkst'!$G$7:$G$2010,$D72,'LAC 102_Wkst'!$L$7:$L$2010,"04",'LAC 102_Wkst'!$N$7:$N$2010,"P3")</f>
        <v>0</v>
      </c>
      <c r="N72" s="410">
        <f>SUMIFS('LAC 102_Wkst'!$Q$7:$Q$2010,'LAC 102_Wkst'!$E$7:$E$2010,$C72,'LAC 102_Wkst'!$G$7:$G$2010,$D72,'LAC 102_Wkst'!$L$7:$L$2010,"03",'LAC 102_Wkst'!$N$7:$N$2010,"P4")+SUMIFS('LAC 102_Wkst'!$Q$7:$Q$2010,'LAC 102_Wkst'!$E$7:$E$2010,$C72,'LAC 102_Wkst'!$G$7:$G$2010,$D72,'LAC 102_Wkst'!$L$7:$L$2010,"04",'LAC 102_Wkst'!$N$7:$N$2010,"P4")</f>
        <v>0</v>
      </c>
      <c r="O72" s="411">
        <f>SUMIFS('LAC 102_Wkst'!$AE$7:$AE$2010,'LAC 102_Wkst'!$E$7:$E$2010,$C72,'LAC 102_Wkst'!$G$7:$G$2010,$D72,'LAC 102_Wkst'!$L$7:$L$2010,"03",'LAC 102_Wkst'!$N$7:$N$2010,"P4")+SUMIFS('LAC 102_Wkst'!$AE$7:$AE$2010,'LAC 102_Wkst'!$E$7:$E$2010,$C72,'LAC 102_Wkst'!$G$7:$G$2010,$D72,'LAC 102_Wkst'!$L$7:$L$2010,"04",'LAC 102_Wkst'!$N$7:$N$2010,"P4")</f>
        <v>0</v>
      </c>
      <c r="P72" s="410">
        <f>SUMIFS('LAC 102_Wkst'!$Q$7:$Q$2010,'LAC 102_Wkst'!$E$7:$E$2010,$C72,'LAC 102_Wkst'!$G$7:$G$2010,$D72,'LAC 102_Wkst'!$L$7:$L$2010,"03",'LAC 102_Wkst'!$N$7:$N$2010,"P5")+SUMIFS('LAC 102_Wkst'!$Q$7:$Q$2010,'LAC 102_Wkst'!$E$7:$E$2010,$C72,'LAC 102_Wkst'!$G$7:$G$2010,$D72,'LAC 102_Wkst'!$L$7:$L$2010,"04",'LAC 102_Wkst'!$N$7:$N$2010,"P5")</f>
        <v>0</v>
      </c>
      <c r="Q72" s="411">
        <f>SUMIFS('LAC 102_Wkst'!$AE$7:$AE$2010,'LAC 102_Wkst'!$E$7:$E$2010,$C72,'LAC 102_Wkst'!$G$7:$G$2010,$D72,'LAC 102_Wkst'!$L$7:$L$2010,"03",'LAC 102_Wkst'!$N$7:$N$2010,"P5")+SUMIFS('LAC 102_Wkst'!$AE$7:$AE$2010,'LAC 102_Wkst'!$E$7:$E$2010,$C72,'LAC 102_Wkst'!$G$7:$G$2010,$D72,'LAC 102_Wkst'!$L$7:$L$2010,"04",'LAC 102_Wkst'!$N$7:$N$2010,"P5")</f>
        <v>0</v>
      </c>
      <c r="R72" s="412">
        <f>SUMIFS('LAC 102_Wkst'!$Q$7:$Q$2010,'LAC 102_Wkst'!$E$7:$E$2010,$C72,'LAC 102_Wkst'!$G$7:$G$2010,$D72,'LAC 102_Wkst'!$L$7:$L$2010,"05",'LAC 102_Wkst'!$N$7:$N$2010,"P1")+SUMIFS('LAC 102_Wkst'!$Q$7:$Q$2010,'LAC 102_Wkst'!$E$7:$E$2010,$C72,'LAC 102_Wkst'!$G$7:$G$2010,$D72,'LAC 102_Wkst'!$L$7:$L$2010,"06",'LAC 102_Wkst'!$N$7:$N$2010,"P1")</f>
        <v>0</v>
      </c>
      <c r="S72" s="411">
        <f>SUMIFS('LAC 102_Wkst'!$AE$7:$AE$2010,'LAC 102_Wkst'!$E$7:$E$2010,$C72,'LAC 102_Wkst'!$G$7:$G$2010,$D72,'LAC 102_Wkst'!$L$7:$L$2010,"05",'LAC 102_Wkst'!$N$7:$N$2010,"P1")+SUMIFS('LAC 102_Wkst'!$AE$7:$AE$2010,'LAC 102_Wkst'!$E$7:$E$2010,$C72,'LAC 102_Wkst'!$G$7:$G$2010,$D72,'LAC 102_Wkst'!$L$7:$L$2010,"06",'LAC 102_Wkst'!$N$7:$N$2010,"P1")</f>
        <v>0</v>
      </c>
      <c r="T72" s="410">
        <f>SUMIFS('LAC 102_Wkst'!$Q$7:$Q$2010,'LAC 102_Wkst'!$E$7:$E$2010,$C72,'LAC 102_Wkst'!$G$7:$G$2010,$D72,'LAC 102_Wkst'!$L$7:$L$2010,"05",'LAC 102_Wkst'!$N$7:$N$2010,"P2")+SUMIFS('LAC 102_Wkst'!$Q$7:$Q$2010,'LAC 102_Wkst'!$E$7:$E$2010,$C72,'LAC 102_Wkst'!$G$7:$G$2010,$D72,'LAC 102_Wkst'!$L$7:$L$2010,"05",'LAC 102_Wkst'!$N$7:$N$2010,"P3")+SUMIFS('LAC 102_Wkst'!$Q$7:$Q$2010,'LAC 102_Wkst'!$E$7:$E$2010,$C72,'LAC 102_Wkst'!$G$7:$G$2010,$D72,'LAC 102_Wkst'!$L$7:$L$2010,"06",'LAC 102_Wkst'!$N$7:$N$2010,"P2")+SUMIFS('LAC 102_Wkst'!$Q$7:$Q$2010,'LAC 102_Wkst'!$E$7:$E$2010,$C72,'LAC 102_Wkst'!$G$7:$G$2010,$D72,'LAC 102_Wkst'!$L$7:$L$2010,"06",'LAC 102_Wkst'!$N$7:$N$2010,"P3")</f>
        <v>0</v>
      </c>
      <c r="U72" s="411">
        <f>SUMIFS('LAC 102_Wkst'!$AE$7:$AE$2010,'LAC 102_Wkst'!$E$7:$E$2010,$C72,'LAC 102_Wkst'!$G$7:$G$2010,$D72,'LAC 102_Wkst'!$L$7:$L$2010,"05",'LAC 102_Wkst'!$N$7:$N$2010,"P2")+SUMIFS('LAC 102_Wkst'!$AE$7:$AE$2010,'LAC 102_Wkst'!$E$7:$E$2010,$C72,'LAC 102_Wkst'!$G$7:$G$2010,$D72,'LAC 102_Wkst'!$L$7:$L$2010,"06",'LAC 102_Wkst'!$N$7:$N$2010,"P3")+SUMIFS('LAC 102_Wkst'!$AE$7:$AE$2010,'LAC 102_Wkst'!$E$7:$E$2010,$C72,'LAC 102_Wkst'!$G$7:$G$2010,$D72,'LAC 102_Wkst'!$L$7:$L$2010,"05",'LAC 102_Wkst'!$N$7:$N$2010,"P2")+SUMIFS('LAC 102_Wkst'!$AE$7:$AE$2010,'LAC 102_Wkst'!$E$7:$E$2010,$C72,'LAC 102_Wkst'!$G$7:$G$2010,$D72,'LAC 102_Wkst'!$L$7:$L$2010,"06",'LAC 102_Wkst'!$N$7:$N$2010,"P3")</f>
        <v>0</v>
      </c>
      <c r="V72" s="410">
        <f>SUMIFS('LAC 102_Wkst'!$Q$7:$Q$2010,'LAC 102_Wkst'!$E$7:$E$2010,$C72,'LAC 102_Wkst'!$G$7:$G$2010,$D72,'LAC 102_Wkst'!$L$7:$L$2010,"05",'LAC 102_Wkst'!$N$7:$N$2010,"P4")+SUMIFS('LAC 102_Wkst'!$Q$7:$Q$2010,'LAC 102_Wkst'!$E$7:$E$2010,$C72,'LAC 102_Wkst'!$G$7:$G$2010,$D72,'LAC 102_Wkst'!$L$7:$L$2010,"06",'LAC 102_Wkst'!$N$7:$N$2010,"P4")</f>
        <v>0</v>
      </c>
      <c r="W72" s="411">
        <f>SUMIFS('LAC 102_Wkst'!$AE$7:$AE$2010,'LAC 102_Wkst'!$E$7:$E$2010,$C72,'LAC 102_Wkst'!$G$7:$G$2010,$D72,'LAC 102_Wkst'!$L$7:$L$2010,"05",'LAC 102_Wkst'!$N$7:$N$2010,"P4")+SUMIFS('LAC 102_Wkst'!$AE$7:$AE$2010,'LAC 102_Wkst'!$E$7:$E$2010,$C72,'LAC 102_Wkst'!$G$7:$G$2010,$D72,'LAC 102_Wkst'!$L$7:$L$2010,"06",'LAC 102_Wkst'!$N$7:$N$2010,"P4")</f>
        <v>0</v>
      </c>
      <c r="X72" s="410">
        <f>SUMIFS('LAC 102_Wkst'!$Q$7:$Q$2010,'LAC 102_Wkst'!$E$7:$E$2010,$C72,'LAC 102_Wkst'!$G$7:$G$2010,$D72,'LAC 102_Wkst'!$L$7:$L$2010,"05",'LAC 102_Wkst'!$N$7:$N$2010,"P5")+SUMIFS('LAC 102_Wkst'!$Q$7:$Q$2010,'LAC 102_Wkst'!$E$7:$E$2010,$C72,'LAC 102_Wkst'!$G$7:$G$2010,$D72,'LAC 102_Wkst'!$L$7:$L$2010,"06",'LAC 102_Wkst'!$N$7:$N$2010,"P5")</f>
        <v>0</v>
      </c>
      <c r="Y72" s="411">
        <f>SUMIFS('LAC 102_Wkst'!$AE$7:$AE$2010,'LAC 102_Wkst'!$E$7:$E$2010,$C72,'LAC 102_Wkst'!$G$7:$G$2010,$D72,'LAC 102_Wkst'!$L$7:$L$2010,"05",'LAC 102_Wkst'!$N$7:$N$2010,"P5")+SUMIFS('LAC 102_Wkst'!$AE$7:$AE$2010,'LAC 102_Wkst'!$E$7:$E$2010,$C72,'LAC 102_Wkst'!$G$7:$G$2010,$D72,'LAC 102_Wkst'!$L$7:$L$2010,"06",'LAC 102_Wkst'!$N$7:$N$2010,"P5")</f>
        <v>0</v>
      </c>
      <c r="Z72" s="410">
        <f>SUMIFS('LAC 102_Wkst'!$Q$7:$Q$2010,'LAC 102_Wkst'!$E$7:$E$2010,$C72,'LAC 102_Wkst'!$G$7:$G$2010,$D72,'LAC 102_Wkst'!$L$7:$L$2010,"07",'LAC 102_Wkst'!$N$7:$N$2010,"P1")+SUMIFS('LAC 102_Wkst'!$Q$7:$Q$2010,'LAC 102_Wkst'!$E$7:$E$2010,$C72,'LAC 102_Wkst'!$G$7:$G$2010,$D72,'LAC 102_Wkst'!$L$7:$L$2010,"07",'LAC 102_Wkst'!$N$7:$N$2010,"P2")+SUMIFS('LAC 102_Wkst'!$Q$7:$Q$2010,'LAC 102_Wkst'!$E$7:$E$2010,$C72,'LAC 102_Wkst'!$G$7:$G$2010,$D72,'LAC 102_Wkst'!$L$7:$L$2010,"07",'LAC 102_Wkst'!$N$7:$N$2010,"P3")</f>
        <v>0</v>
      </c>
      <c r="AA72" s="411">
        <f>SUMIFS('LAC 102_Wkst'!$AE$7:$AE$2010,'LAC 102_Wkst'!$E$7:$E$2010,$C72,'LAC 102_Wkst'!$G$7:$G$2010,$D72,'LAC 102_Wkst'!$L$7:$L$2010,"07",'LAC 102_Wkst'!$N$7:$N$2010,"P1")+SUMIFS('LAC 102_Wkst'!$AE$7:$AE$2010,'LAC 102_Wkst'!$E$7:$E$2010,$C72,'LAC 102_Wkst'!$G$7:$G$2010,$D72,'LAC 102_Wkst'!$L$7:$L$2010,"07",'LAC 102_Wkst'!$N$7:$N$2010,"P2")+SUMIFS('LAC 102_Wkst'!$AE$7:$AE$2010,'LAC 102_Wkst'!$E$7:$E$2010,$C72,'LAC 102_Wkst'!$G$7:$G$2010,$D72,'LAC 102_Wkst'!$L$7:$L$2010,"07",'LAC 102_Wkst'!$N$7:$N$2010,"P3")</f>
        <v>0</v>
      </c>
      <c r="AB72" s="410">
        <f>SUMIFS('LAC 102_Wkst'!$Q$7:$Q$2010,'LAC 102_Wkst'!$E$7:$E$2010,$C72,'LAC 102_Wkst'!$G$7:$G$2010,$D72,'LAC 102_Wkst'!$L$7:$L$2010,"07",'LAC 102_Wkst'!$N$7:$N$2010,"P4")</f>
        <v>0</v>
      </c>
      <c r="AC72" s="411">
        <f>SUMIFS('LAC 102_Wkst'!$AE$7:$AE$2010,'LAC 102_Wkst'!$E$7:$E$2010,$C72,'LAC 102_Wkst'!$G$7:$G$2010,$D72,'LAC 102_Wkst'!$L$7:$L$2010,"07",'LAC 102_Wkst'!$N$7:$N$2010,"P4")</f>
        <v>0</v>
      </c>
      <c r="AD72" s="410">
        <f>SUMIFS('LAC 102_Wkst'!$Q$7:$Q$2010,'LAC 102_Wkst'!$E$7:$E$2010,$C72,'LAC 102_Wkst'!$G$7:$G$2010,$D72,'LAC 102_Wkst'!$L$7:$L$2010,"07",'LAC 102_Wkst'!$N$7:$N$2010,"P5")</f>
        <v>0</v>
      </c>
      <c r="AE72" s="411">
        <f>SUMIFS('LAC 102_Wkst'!$AE$7:$AE$2010,'LAC 102_Wkst'!$E$7:$E$2010,$C72,'LAC 102_Wkst'!$G$7:$G$2010,$D72,'LAC 102_Wkst'!$L$7:$L$2010,"07",'LAC 102_Wkst'!$N$7:$N$2010,"P5")</f>
        <v>0</v>
      </c>
      <c r="AF72" s="410">
        <f>SUMIFS('LAC 102_Wkst'!$Q$7:$Q$2010,'LAC 102_Wkst'!$E$7:$E$2010,$C72,'LAC 102_Wkst'!$G$7:$G$2010,$D72,'LAC 102_Wkst'!$L$7:$L$2010,"08",'LAC 102_Wkst'!$N$7:$N$2010,"P1")+SUMIFS('LAC 102_Wkst'!$Q$7:$Q$2010,'LAC 102_Wkst'!$E$7:$E$2010,$C72,'LAC 102_Wkst'!$G$7:$G$2010,$D72,'LAC 102_Wkst'!$L$7:$L$2010,"08",'LAC 102_Wkst'!$N$7:$N$2010,"P2")+SUMIFS('LAC 102_Wkst'!$Q$7:$Q$2010,'LAC 102_Wkst'!$E$7:$E$2010,$C72,'LAC 102_Wkst'!$G$7:$G$2010,$D72,'LAC 102_Wkst'!$L$7:$L$2010,"08",'LAC 102_Wkst'!$N$7:$N$2010,"P3")</f>
        <v>0</v>
      </c>
      <c r="AG72" s="411">
        <f>SUMIFS('LAC 102_Wkst'!$AE$7:$AE$2010,'LAC 102_Wkst'!$E$7:$E$2010,$C72,'LAC 102_Wkst'!$G$7:$G$2010,$D72,'LAC 102_Wkst'!$L$7:$L$2010,"08",'LAC 102_Wkst'!$N$7:$N$2010,"P1")+SUMIFS('LAC 102_Wkst'!$AE$7:$AE$2010,'LAC 102_Wkst'!$E$7:$E$2010,$C72,'LAC 102_Wkst'!$G$7:$G$2010,$D72,'LAC 102_Wkst'!$L$7:$L$2010,"08",'LAC 102_Wkst'!$N$7:$N$2010,"P2")+SUMIFS('LAC 102_Wkst'!$AE$7:$AE$2010,'LAC 102_Wkst'!$E$7:$E$2010,$C72,'LAC 102_Wkst'!$G$7:$G$2010,$D72,'LAC 102_Wkst'!$L$7:$L$2010,"08",'LAC 102_Wkst'!$N$7:$N$2010,"P3")</f>
        <v>0</v>
      </c>
      <c r="AH72" s="410">
        <f>SUMIFS('LAC 102_Wkst'!$Q$7:$Q$2010,'LAC 102_Wkst'!$E$7:$E$2010,$C72,'LAC 102_Wkst'!$G$7:$G$2010,$D72,'LAC 102_Wkst'!$L$7:$L$2010,"08",'LAC 102_Wkst'!$N$7:$N$2010,"P4")</f>
        <v>0</v>
      </c>
      <c r="AI72" s="411">
        <f>SUMIFS('LAC 102_Wkst'!$AE$7:$AE$2010,'LAC 102_Wkst'!$E$7:$E$2010,$C72,'LAC 102_Wkst'!$G$7:$G$2010,$D72,'LAC 102_Wkst'!$L$7:$L$2010,"08",'LAC 102_Wkst'!$N$7:$N$2010,"P4")</f>
        <v>0</v>
      </c>
      <c r="AJ72" s="410">
        <f>SUMIFS('LAC 102_Wkst'!$Q$7:$Q$2010,'LAC 102_Wkst'!$E$7:$E$2010,$C72,'LAC 102_Wkst'!$G$7:$G$2010,$D72,'LAC 102_Wkst'!$L$7:$L$2010,"08",'LAC 102_Wkst'!$N$7:$N$2010,"P5")</f>
        <v>0</v>
      </c>
      <c r="AK72" s="411">
        <f>SUMIFS('LAC 102_Wkst'!$AE$7:$AE$2010,'LAC 102_Wkst'!$E$7:$E$2010,$C72,'LAC 102_Wkst'!$G$7:$G$2010,$D72,'LAC 102_Wkst'!$L$7:$L$2010,"08",'LAC 102_Wkst'!$N$7:$N$2010,"P5")</f>
        <v>0</v>
      </c>
      <c r="AL72" s="410">
        <f>SUMIFS('LAC 102_Wkst'!$Q$7:$Q$2010,'LAC 102_Wkst'!$E$7:$E$2010,$C72,'LAC 102_Wkst'!$G$7:$G$2010,$D72,'LAC 102_Wkst'!$L$7:$L$2010,"09",'LAC 102_Wkst'!$N$7:$N$2010,"P1")+SUMIFS('LAC 102_Wkst'!$Q$7:$Q$2010,'LAC 102_Wkst'!$E$7:$E$2010,$C72,'LAC 102_Wkst'!$G$7:$G$2010,$D72,'LAC 102_Wkst'!$L$7:$L$2010,"09",'LAC 102_Wkst'!$N$7:$N$2010,"P2")+SUMIFS('LAC 102_Wkst'!$Q$7:$Q$2010,'LAC 102_Wkst'!$E$7:$E$2010,$C72,'LAC 102_Wkst'!$G$7:$G$2010,$D72,'LAC 102_Wkst'!$L$7:$L$2010,"09",'LAC 102_Wkst'!$N$7:$N$2010,"P3")+SUMIFS('LAC 102_Wkst'!$Q$7:$Q$2010,'LAC 102_Wkst'!$E$7:$E$2010,$C72,'LAC 102_Wkst'!$G$7:$G$2010,$D72,'LAC 102_Wkst'!$L$7:$L$2010,"09",'LAC 102_Wkst'!$N$7:$N$2010,"P4")</f>
        <v>0</v>
      </c>
      <c r="AM72" s="411">
        <f>SUMIFS('LAC 102_Wkst'!$AE$7:$AE$2010,'LAC 102_Wkst'!$E$7:$E$2010,$C72,'LAC 102_Wkst'!$G$7:$G$2010,$D72,'LAC 102_Wkst'!$L$7:$L$2010,"09",'LAC 102_Wkst'!$N$7:$N$2010,"P1")+SUMIFS('LAC 102_Wkst'!$AE$7:$AE$2010,'LAC 102_Wkst'!$E$7:$E$2010,$C72,'LAC 102_Wkst'!$G$7:$G$2010,$D72,'LAC 102_Wkst'!$L$7:$L$2010,"09",'LAC 102_Wkst'!$N$7:$N$2010,"P2")+SUMIFS('LAC 102_Wkst'!$AE$7:$AE$2010,'LAC 102_Wkst'!$E$7:$E$2010,$C72,'LAC 102_Wkst'!$G$7:$G$2010,$D72,'LAC 102_Wkst'!$L$7:$L$2010,"09",'LAC 102_Wkst'!$N$7:$N$2010,"P3")+SUMIFS('LAC 102_Wkst'!$AE$7:$AE$2010,'LAC 102_Wkst'!$E$7:$E$2010,$C72,'LAC 102_Wkst'!$G$7:$G$2010,$D72,'LAC 102_Wkst'!$L$7:$L$2010,"09",'LAC 102_Wkst'!$N$7:$N$2010,"P4")</f>
        <v>0</v>
      </c>
      <c r="AN72" s="410">
        <f>SUMIFS('LAC 102_Wkst'!$Q$7:$Q$2010,'LAC 102_Wkst'!$E$7:$E$2010,$C72,'LAC 102_Wkst'!$G$7:$G$2010,$D72,'LAC 102_Wkst'!$L$7:$L$2010,"09",'LAC 102_Wkst'!$N$7:$N$2010,"P5")</f>
        <v>0</v>
      </c>
      <c r="AO72" s="411">
        <f>SUMIFS('LAC 102_Wkst'!$AE$7:$AE$2010,'LAC 102_Wkst'!$E$7:$E$2010,$C72,'LAC 102_Wkst'!$G$7:$G$2010,$D72,'LAC 102_Wkst'!$L$7:$L$2010,"09",'LAC 102_Wkst'!$N$7:$N$2010,"P5")</f>
        <v>0</v>
      </c>
      <c r="AP72" s="410">
        <f>SUMIFS('LAC 102_Wkst'!$Q$7:$Q$2010,'LAC 102_Wkst'!$E$7:$E$2010,$C72,'LAC 102_Wkst'!$G$7:$G$2010,$D72,'LAC 102_Wkst'!$L$7:$L$2010,"10",'LAC 102_Wkst'!$N$7:$N$2010,"P1")+SUMIFS('LAC 102_Wkst'!$Q$7:$Q$2010,'LAC 102_Wkst'!$E$7:$E$2010,$C72,'LAC 102_Wkst'!$G$7:$G$2010,$D72,'LAC 102_Wkst'!$L$7:$L$2010,"10",'LAC 102_Wkst'!$N$7:$N$2010,"P2")+SUMIFS('LAC 102_Wkst'!$Q$7:$Q$2010,'LAC 102_Wkst'!$E$7:$E$2010,$C72,'LAC 102_Wkst'!$G$7:$G$2010,$D72,'LAC 102_Wkst'!$L$7:$L$2010,"10",'LAC 102_Wkst'!$N$7:$N$2010,"P3")+SUMIFS('LAC 102_Wkst'!$Q$7:$Q$2010,'LAC 102_Wkst'!$E$7:$E$2010,$C72,'LAC 102_Wkst'!$G$7:$G$2010,$D72,'LAC 102_Wkst'!$L$7:$L$2010,"10",'LAC 102_Wkst'!$N$7:$N$2010,"P4")</f>
        <v>0</v>
      </c>
      <c r="AQ72" s="411">
        <f>SUMIFS('LAC 102_Wkst'!$AE$7:$AE$2010,'LAC 102_Wkst'!$E$7:$E$2010,$C72,'LAC 102_Wkst'!$G$7:$G$2010,$D72,'LAC 102_Wkst'!$L$7:$L$2010,"10",'LAC 102_Wkst'!$N$7:$N$2010,"P1")+SUMIFS('LAC 102_Wkst'!$AE$7:$AE$2010,'LAC 102_Wkst'!$E$7:$E$2010,$C72,'LAC 102_Wkst'!$G$7:$G$2010,$D72,'LAC 102_Wkst'!$L$7:$L$2010,"10",'LAC 102_Wkst'!$N$7:$N$2010,"P2")+SUMIFS('LAC 102_Wkst'!$AE$7:$AE$2010,'LAC 102_Wkst'!$E$7:$E$2010,$C72,'LAC 102_Wkst'!$G$7:$G$2010,$D72,'LAC 102_Wkst'!$L$7:$L$2010,"10",'LAC 102_Wkst'!$N$7:$N$2010,"P3")+SUMIFS('LAC 102_Wkst'!$AE$7:$AE$2010,'LAC 102_Wkst'!$E$7:$E$2010,$C72,'LAC 102_Wkst'!$G$7:$G$2010,$D72,'LAC 102_Wkst'!$L$7:$L$2010,"10",'LAC 102_Wkst'!$N$7:$N$2010,"P4")</f>
        <v>0</v>
      </c>
      <c r="AR72" s="410">
        <f>SUMIFS('LAC 102_Wkst'!$Q$7:$Q$2010,'LAC 102_Wkst'!$E$7:$E$2010,$C72,'LAC 102_Wkst'!$G$7:$G$2010,$D72,'LAC 102_Wkst'!$L$7:$L$2010,"10",'LAC 102_Wkst'!$N$7:$N$2010,"P5")</f>
        <v>0</v>
      </c>
      <c r="AS72" s="411">
        <f>SUMIFS('LAC 102_Wkst'!$AE$7:$AE$2010,'LAC 102_Wkst'!$E$7:$E$2010,$C72,'LAC 102_Wkst'!$G$7:$G$2010,$D72,'LAC 102_Wkst'!$L$7:$L$2010,"10",'LAC 102_Wkst'!$N$7:$N$2010,"P5")</f>
        <v>0</v>
      </c>
      <c r="AT72" s="410">
        <f>SUMIFS('LAC 102_Wkst'!$Q$7:$Q$2010,'LAC 102_Wkst'!$E$7:$E$2010,$C72,'LAC 102_Wkst'!$G$7:$G$2010,$D72,'LAC 102_Wkst'!$L$7:$L$2010,"11",'LAC 102_Wkst'!$N$7:$N$2010,"P1")+SUMIFS('LAC 102_Wkst'!$Q$7:$Q$2010,'LAC 102_Wkst'!$E$7:$E$2010,$C72,'LAC 102_Wkst'!$G$7:$G$2010,$D72,'LAC 102_Wkst'!$L$7:$L$2010,"12",'LAC 102_Wkst'!$N$7:$N$2010,"P1")</f>
        <v>0</v>
      </c>
      <c r="AU72" s="411">
        <f>SUMIFS('LAC 102_Wkst'!$AE$7:$AE$2010,'LAC 102_Wkst'!$E$7:$E$2010,$C72,'LAC 102_Wkst'!$G$7:$G$2010,$D72,'LAC 102_Wkst'!$L$7:$L$2010,"11",'LAC 102_Wkst'!$N$7:$N$2010,"P1")+SUMIFS('LAC 102_Wkst'!$AE$7:$AE$2010,'LAC 102_Wkst'!$E$7:$E$2010,$C72,'LAC 102_Wkst'!$G$7:$G$2010,$D72,'LAC 102_Wkst'!$L$7:$L$2010,"12",'LAC 102_Wkst'!$N$7:$N$2010,"P1")</f>
        <v>0</v>
      </c>
      <c r="AV72" s="410">
        <f>SUMIFS('LAC 102_Wkst'!$Q$7:$Q$2010,'LAC 102_Wkst'!$E$7:$E$2010,$C72,'LAC 102_Wkst'!$G$7:$G$2010,$D72,'LAC 102_Wkst'!$L$7:$L$2010,"11",'LAC 102_Wkst'!$N$7:$N$2010,"P2")+SUMIFS('LAC 102_Wkst'!$Q$7:$Q$2010,'LAC 102_Wkst'!$E$7:$E$2010,$C72,'LAC 102_Wkst'!$G$7:$G$2010,$D72,'LAC 102_Wkst'!$L$7:$L$2010,"12",'LAC 102_Wkst'!$N$7:$N$2010,"P3")+SUMIFS('LAC 102_Wkst'!$Q$7:$Q$2010,'LAC 102_Wkst'!$E$7:$E$2010,$C72,'LAC 102_Wkst'!$G$7:$G$2010,$D72,'LAC 102_Wkst'!$L$7:$L$2010,"11",'LAC 102_Wkst'!$N$7:$N$2010,"P2")+SUMIFS('LAC 102_Wkst'!$Q$7:$Q$2010,'LAC 102_Wkst'!$E$7:$E$2010,$C72,'LAC 102_Wkst'!$G$7:$G$2010,$D72,'LAC 102_Wkst'!$L$7:$L$2010,"12",'LAC 102_Wkst'!$N$7:$N$2010,"P3")</f>
        <v>0</v>
      </c>
      <c r="AW72" s="411">
        <f>SUMIFS('LAC 102_Wkst'!$AE$7:$AE$2010,'LAC 102_Wkst'!$E$7:$E$2010,$C72,'LAC 102_Wkst'!$G$7:$G$2010,$D72,'LAC 102_Wkst'!$L$7:$L$2010,"11",'LAC 102_Wkst'!$N$7:$N$2010,"P2")+SUMIFS('LAC 102_Wkst'!$AE$7:$AE$2010,'LAC 102_Wkst'!$E$7:$E$2010,$C72,'LAC 102_Wkst'!$G$7:$G$2010,$D72,'LAC 102_Wkst'!$L$7:$L$2010,"12",'LAC 102_Wkst'!$N$7:$N$2010,"P3")+SUMIFS('LAC 102_Wkst'!$AE$7:$AE$2010,'LAC 102_Wkst'!$E$7:$E$2010,$C72,'LAC 102_Wkst'!$G$7:$G$2010,$D72,'LAC 102_Wkst'!$L$7:$L$2010,"11",'LAC 102_Wkst'!$N$7:$N$2010,"P2")+SUMIFS('LAC 102_Wkst'!$AE$7:$AE$2010,'LAC 102_Wkst'!$E$7:$E$2010,$C72,'LAC 102_Wkst'!$G$7:$G$2010,$D72,'LAC 102_Wkst'!$L$7:$L$2010,"12",'LAC 102_Wkst'!$N$7:$N$2010,"P3")</f>
        <v>0</v>
      </c>
      <c r="AX72" s="410">
        <f>SUMIFS('LAC 102_Wkst'!$Q$7:$Q$2010,'LAC 102_Wkst'!$E$7:$E$2010,$C72,'LAC 102_Wkst'!$G$7:$G$2010,$D72,'LAC 102_Wkst'!$L$7:$L$2010,"11",'LAC 102_Wkst'!$N$7:$N$2010,"P4")+SUMIFS('LAC 102_Wkst'!$Q$7:$Q$2010,'LAC 102_Wkst'!$E$7:$E$2010,$C72,'LAC 102_Wkst'!$G$7:$G$2010,$D72,'LAC 102_Wkst'!$L$7:$L$2010,"12",'LAC 102_Wkst'!$N$7:$N$2010,"P4")</f>
        <v>0</v>
      </c>
      <c r="AY72" s="411">
        <f>SUMIFS('LAC 102_Wkst'!$AE$7:$AE$2010,'LAC 102_Wkst'!$E$7:$E$2010,$C72,'LAC 102_Wkst'!$G$7:$G$2010,$D72,'LAC 102_Wkst'!$L$7:$L$2010,"11",'LAC 102_Wkst'!$N$7:$N$2010,"P4")+SUMIFS('LAC 102_Wkst'!$AE$7:$AE$2010,'LAC 102_Wkst'!$E$7:$E$2010,$C72,'LAC 102_Wkst'!$G$7:$G$2010,$D72,'LAC 102_Wkst'!$L$7:$L$2010,"12",'LAC 102_Wkst'!$N$7:$N$2010,"P4")</f>
        <v>0</v>
      </c>
      <c r="AZ72" s="410">
        <f>SUMIFS('LAC 102_Wkst'!$Q$7:$Q$2010,'LAC 102_Wkst'!$E$7:$E$2010,$C72,'LAC 102_Wkst'!$G$7:$G$2010,$D72,'LAC 102_Wkst'!$L$7:$L$2010,"11",'LAC 102_Wkst'!$N$7:$N$2010,"P5")+SUMIFS('LAC 102_Wkst'!$Q$7:$Q$2010,'LAC 102_Wkst'!$E$7:$E$2010,$C72,'LAC 102_Wkst'!$G$7:$G$2010,$D72,'LAC 102_Wkst'!$L$7:$L$2010,"12",'LAC 102_Wkst'!$N$7:$N$2010,"P5")</f>
        <v>0</v>
      </c>
      <c r="BA72" s="411">
        <f>SUMIFS('LAC 102_Wkst'!$AE$7:$AE$2010,'LAC 102_Wkst'!$E$7:$E$2010,$C72,'LAC 102_Wkst'!$G$7:$G$2010,$D72,'LAC 102_Wkst'!$L$7:$L$2010,"11",'LAC 102_Wkst'!$N$7:$N$2010,"P5")+SUMIFS('LAC 102_Wkst'!$AE$7:$AE$2010,'LAC 102_Wkst'!$E$7:$E$2010,$C72,'LAC 102_Wkst'!$G$7:$G$2010,$D72,'LAC 102_Wkst'!$L$7:$L$2010,"12",'LAC 102_Wkst'!$N$7:$N$2010,"P5")</f>
        <v>0</v>
      </c>
      <c r="BB72" s="410">
        <f>SUMIFS('LAC 102_Wkst'!$Q$7:$Q$2010,'LAC 102_Wkst'!$E$7:$E$2010,$C72,'LAC 102_Wkst'!$G$7:$G$2010,$D72,'LAC 102_Wkst'!$L$7:$L$2010,"13",'LAC 102_Wkst'!$N$7:$N$2010,"P1")+SUMIFS('LAC 102_Wkst'!$Q$7:$Q$2010,'LAC 102_Wkst'!$E$7:$E$2010,$C72,'LAC 102_Wkst'!$G$7:$G$2010,$D72,'LAC 102_Wkst'!$L$7:$L$2010,"13",'LAC 102_Wkst'!$N$7:$N$2010,"P2")+SUMIFS('LAC 102_Wkst'!$Q$7:$Q$2010,'LAC 102_Wkst'!$E$7:$E$2010,$C72,'LAC 102_Wkst'!$G$7:$G$2010,$D72,'LAC 102_Wkst'!$L$7:$L$2010,"13",'LAC 102_Wkst'!$N$7:$N$2010,"P3")+SUMIFS('LAC 102_Wkst'!$Q$7:$Q$2010,'LAC 102_Wkst'!$E$7:$E$2010,$C72,'LAC 102_Wkst'!$G$7:$G$2010,$D72,'LAC 102_Wkst'!$L$7:$L$2010,"13",'LAC 102_Wkst'!$N$7:$N$2010,"P4")</f>
        <v>0</v>
      </c>
      <c r="BC72" s="411">
        <f>SUMIFS('LAC 102_Wkst'!$AE$7:$AE$2010,'LAC 102_Wkst'!$E$7:$E$2010,$C72,'LAC 102_Wkst'!$G$7:$G$2010,$D72,'LAC 102_Wkst'!$L$7:$L$2010,"13",'LAC 102_Wkst'!$N$7:$N$2010,"P1")+SUMIFS('LAC 102_Wkst'!$AE$7:$AE$2010,'LAC 102_Wkst'!$E$7:$E$2010,$C72,'LAC 102_Wkst'!$G$7:$G$2010,$D72,'LAC 102_Wkst'!$L$7:$L$2010,"13",'LAC 102_Wkst'!$N$7:$N$2010,"P2")+SUMIFS('LAC 102_Wkst'!$AE$7:$AE$2010,'LAC 102_Wkst'!$E$7:$E$2010,$C72,'LAC 102_Wkst'!$G$7:$G$2010,$D72,'LAC 102_Wkst'!$L$7:$L$2010,"13",'LAC 102_Wkst'!$N$7:$N$2010,"P3")+SUMIFS('LAC 102_Wkst'!$AE$7:$AE$2010,'LAC 102_Wkst'!$E$7:$E$2010,$C72,'LAC 102_Wkst'!$G$7:$G$2010,$D72,'LAC 102_Wkst'!$L$7:$L$2010,"13",'LAC 102_Wkst'!$N$7:$N$2010,"P4")</f>
        <v>0</v>
      </c>
      <c r="BD72" s="410">
        <f>SUMIFS('LAC 102_Wkst'!$Q$7:$Q$2010,'LAC 102_Wkst'!$E$7:$E$2010,$C72,'LAC 102_Wkst'!$G$7:$G$2010,$D72,'LAC 102_Wkst'!$L$7:$L$2010,"13",'LAC 102_Wkst'!$N$7:$N$2010,"P5")</f>
        <v>0</v>
      </c>
      <c r="BE72" s="411">
        <f>SUMIFS('LAC 102_Wkst'!$AE$7:$AE$2010,'LAC 102_Wkst'!$E$7:$E$2010,$C72,'LAC 102_Wkst'!$G$7:$G$2010,$D72,'LAC 102_Wkst'!$L$7:$L$2010,"13",'LAC 102_Wkst'!$N$7:$N$2010,"P5")</f>
        <v>0</v>
      </c>
      <c r="BF72" s="407">
        <f t="shared" si="0"/>
        <v>0</v>
      </c>
    </row>
    <row r="73" spans="1:58" x14ac:dyDescent="0.2">
      <c r="A73" s="401">
        <v>54</v>
      </c>
      <c r="B73" s="1236"/>
      <c r="C73" s="1235"/>
      <c r="D73" s="1237"/>
      <c r="E73" s="1222">
        <f>IF(CONCATENATE(C73,D73)&gt;"6069",1,SUMIFS('LAC 102_Wkst'!$Q$7:$Q$2010,'LAC 102_Wkst'!$E$7:$E$2010,Schedule_B!$C73,'LAC 102_Wkst'!$G$7:$G$2010,Schedule_B!$D73))</f>
        <v>0</v>
      </c>
      <c r="F73" s="408">
        <f>SUMIFS('LAC 102_Wkst'!$Q$7:$Q$2010,'LAC 102_Wkst'!$E$7:$E$2010,$C73,'LAC 102_Wkst'!$G$7:$G$2010,$D73,'LAC 102_Wkst'!$L$7:$L$2010,"01",'LAC 102_Wkst'!$N$7:$N$2010,"P1")+SUMIFS('LAC 102_Wkst'!$Q$7:$Q$2010,'LAC 102_Wkst'!$E$7:$E$2010,$C73,'LAC 102_Wkst'!$G$7:$G$2010,$D73,'LAC 102_Wkst'!$L$7:$L$2010,"01",'LAC 102_Wkst'!$N$7:$N$2010,"P2")+SUMIFS('LAC 102_Wkst'!$Q$7:$Q$2010,'LAC 102_Wkst'!$E$7:$E$2010,$C73,'LAC 102_Wkst'!$G$7:$G$2010,$D73,'LAC 102_Wkst'!$L$7:$L$2010,"01",'LAC 102_Wkst'!$N$7:$N$2010,"P3")+SUMIFS('LAC 102_Wkst'!$Q$7:$Q$2010,'LAC 102_Wkst'!$E$7:$E$2010,$C73,'LAC 102_Wkst'!$G$7:$G$2010,$D73,'LAC 102_Wkst'!$L$7:$L$2010,"02",'LAC 102_Wkst'!$N$7:$N$2010,"P1")+SUMIFS('LAC 102_Wkst'!$Q$7:$Q$2010,'LAC 102_Wkst'!$E$7:$E$2010,$C73,'LAC 102_Wkst'!$G$7:$G$2010,$D73,'LAC 102_Wkst'!$L$7:$L$2010,"02",'LAC 102_Wkst'!$N$7:$N$2010,"P2")+SUMIFS('LAC 102_Wkst'!$Q$7:$Q$2010,'LAC 102_Wkst'!$E$7:$E$2010,$C73,'LAC 102_Wkst'!$G$7:$G$2010,$D73,'LAC 102_Wkst'!$L$7:$L$2010,"02",'LAC 102_Wkst'!$N$7:$N$2010,"P3")</f>
        <v>0</v>
      </c>
      <c r="G73" s="409">
        <f>SUMIFS('LAC 102_Wkst'!$AE$7:$AE$2010,'LAC 102_Wkst'!$E$7:$E$2010,$C73,'LAC 102_Wkst'!$G$7:$G$2010,$D73,'LAC 102_Wkst'!$L$7:$L$2010,"01",'LAC 102_Wkst'!$N$7:$N$2010,"P1")+SUMIFS('LAC 102_Wkst'!$AE$7:$AE$2010,'LAC 102_Wkst'!$E$7:$E$2010,$C73,'LAC 102_Wkst'!$G$7:$G$2010,$D73,'LAC 102_Wkst'!$L$7:$L$2010,"01",'LAC 102_Wkst'!$N$7:$N$2010,"P2")+SUMIFS('LAC 102_Wkst'!$AE$7:$AE$2010,'LAC 102_Wkst'!$E$7:$E$2010,$C73,'LAC 102_Wkst'!$G$7:$G$2010,$D73,'LAC 102_Wkst'!$L$7:$L$2010,"01",'LAC 102_Wkst'!$N$7:$N$2010,"P3")+SUMIFS('LAC 102_Wkst'!$AE$7:$AE$2010,'LAC 102_Wkst'!$E$7:$E$2010,$C73,'LAC 102_Wkst'!$G$7:$G$2010,$D73,'LAC 102_Wkst'!$L$7:$L$2010,"02",'LAC 102_Wkst'!$N$7:$N$2010,"P1")+SUMIFS('LAC 102_Wkst'!$AE$7:$AE$2010,'LAC 102_Wkst'!$E$7:$E$2010,$C73,'LAC 102_Wkst'!$G$7:$G$2010,$D73,'LAC 102_Wkst'!$L$7:$L$2010,"02",'LAC 102_Wkst'!$N$7:$N$2010,"P2")+SUMIFS('LAC 102_Wkst'!$AE$7:$AE$2010,'LAC 102_Wkst'!$E$7:$E$2010,$C73,'LAC 102_Wkst'!$G$7:$G$2010,$D73,'LAC 102_Wkst'!$L$7:$L$2010,"02",'LAC 102_Wkst'!$N$7:$N$2010,"P3")</f>
        <v>0</v>
      </c>
      <c r="H73" s="410">
        <f>SUMIFS('LAC 102_Wkst'!$Q$7:$Q$2010,'LAC 102_Wkst'!$E$7:$E$2010,$C73,'LAC 102_Wkst'!$G$7:$G$2010,$D73,'LAC 102_Wkst'!$L$7:$L$2010,"01",'LAC 102_Wkst'!$N$7:$N$2010,"P4")+SUMIFS('LAC 102_Wkst'!$Q$7:$Q$2010,'LAC 102_Wkst'!$E$7:$E$2010,$C73,'LAC 102_Wkst'!$G$7:$G$2010,$D73,'LAC 102_Wkst'!$L$7:$L$2010,"02",'LAC 102_Wkst'!$N$7:$N$2010,"P4")</f>
        <v>0</v>
      </c>
      <c r="I73" s="411">
        <f>SUMIFS('LAC 102_Wkst'!$AE$7:$AE$2010,'LAC 102_Wkst'!$E$7:$E$2010,$C73,'LAC 102_Wkst'!$G$7:$G$2010,$D73,'LAC 102_Wkst'!$L$7:$L$2010,"01",'LAC 102_Wkst'!$N$7:$N$2010,"P4")+SUMIFS('LAC 102_Wkst'!$AE$7:$AE$2010,'LAC 102_Wkst'!$E$7:$E$2010,$C73,'LAC 102_Wkst'!$G$7:$G$2010,$D73,'LAC 102_Wkst'!$L$7:$L$2010,"02",'LAC 102_Wkst'!$N$7:$N$2010,"P4")</f>
        <v>0</v>
      </c>
      <c r="J73" s="410">
        <f>SUMIFS('LAC 102_Wkst'!$Q$7:$Q$2010,'LAC 102_Wkst'!$E$7:$E$2010,$C73,'LAC 102_Wkst'!$G$7:$G$2010,$D73,'LAC 102_Wkst'!$L$7:$L$2010,"01",'LAC 102_Wkst'!$N$7:$N$2010,"P5")+SUMIFS('LAC 102_Wkst'!$Q$7:$Q$2010,'LAC 102_Wkst'!$E$7:$E$2010,$C73,'LAC 102_Wkst'!$G$7:$G$2010,$D73,'LAC 102_Wkst'!$L$7:$L$2010,"02",'LAC 102_Wkst'!$N$7:$N$2010,"P5")</f>
        <v>0</v>
      </c>
      <c r="K73" s="411">
        <f>SUMIFS('LAC 102_Wkst'!$AE$7:$AE$2010,'LAC 102_Wkst'!$E$7:$E$2010,$C73,'LAC 102_Wkst'!$G$7:$G$2010,$D73,'LAC 102_Wkst'!$L$7:$L$2010,"01",'LAC 102_Wkst'!$N$7:$N$2010,"P5")+SUMIFS('LAC 102_Wkst'!$AE$7:$AE$2010,'LAC 102_Wkst'!$E$7:$E$2010,$C73,'LAC 102_Wkst'!$G$7:$G$2010,$D73,'LAC 102_Wkst'!$L$7:$L$2010,"02",'LAC 102_Wkst'!$N$7:$N$2010,"P5")</f>
        <v>0</v>
      </c>
      <c r="L73" s="410">
        <f>SUMIFS('LAC 102_Wkst'!$Q$7:$Q$2010,'LAC 102_Wkst'!$E$7:$E$2010,$C73,'LAC 102_Wkst'!$G$7:$G$2010,$D73,'LAC 102_Wkst'!$L$7:$L$2010,"03",'LAC 102_Wkst'!$N$7:$N$2010,"P1")+SUMIFS('LAC 102_Wkst'!$Q$7:$Q$2010,'LAC 102_Wkst'!$E$7:$E$2010,$C73,'LAC 102_Wkst'!$G$7:$G$2010,$D73,'LAC 102_Wkst'!$L$7:$L$2010,"03",'LAC 102_Wkst'!$N$7:$N$2010,"P2")+SUMIFS('LAC 102_Wkst'!$Q$7:$Q$2010,'LAC 102_Wkst'!$E$7:$E$2010,$C73,'LAC 102_Wkst'!$G$7:$G$2010,$D73,'LAC 102_Wkst'!$L$7:$L$2010,"03",'LAC 102_Wkst'!$N$7:$N$2010,"P3")+SUMIFS('LAC 102_Wkst'!$Q$7:$Q$2010,'LAC 102_Wkst'!$E$7:$E$2010,$C73,'LAC 102_Wkst'!$G$7:$G$2010,$D73,'LAC 102_Wkst'!$L$7:$L$2010,"04",'LAC 102_Wkst'!$N$7:$N$2010,"P1")+SUMIFS('LAC 102_Wkst'!$Q$7:$Q$2010,'LAC 102_Wkst'!$E$7:$E$2010,$C73,'LAC 102_Wkst'!$G$7:$G$2010,$D73,'LAC 102_Wkst'!$L$7:$L$2010,"04",'LAC 102_Wkst'!$N$7:$N$2010,"P2")+SUMIFS('LAC 102_Wkst'!$Q$7:$Q$2010,'LAC 102_Wkst'!$E$7:$E$2010,$C73,'LAC 102_Wkst'!$G$7:$G$2010,$D73,'LAC 102_Wkst'!$L$7:$L$2010,"04",'LAC 102_Wkst'!$N$7:$N$2010,"P3")</f>
        <v>0</v>
      </c>
      <c r="M73" s="411">
        <f>SUMIFS('LAC 102_Wkst'!$AE$7:$AE$2010,'LAC 102_Wkst'!$E$7:$E$2010,$C73,'LAC 102_Wkst'!$G$7:$G$2010,$D73,'LAC 102_Wkst'!$L$7:$L$2010,"03",'LAC 102_Wkst'!$N$7:$N$2010,"P1")+SUMIFS('LAC 102_Wkst'!$AE$7:$AE$2010,'LAC 102_Wkst'!$E$7:$E$2010,$C73,'LAC 102_Wkst'!$G$7:$G$2010,$D73,'LAC 102_Wkst'!$L$7:$L$2010,"03",'LAC 102_Wkst'!$N$7:$N$2010,"P2")+SUMIFS('LAC 102_Wkst'!$AE$7:$AE$2010,'LAC 102_Wkst'!$E$7:$E$2010,$C73,'LAC 102_Wkst'!$G$7:$G$2010,$D73,'LAC 102_Wkst'!$L$7:$L$2010,"03",'LAC 102_Wkst'!$N$7:$N$2010,"P3")+SUMIFS('LAC 102_Wkst'!$AE$7:$AE$2010,'LAC 102_Wkst'!$E$7:$E$2010,$C73,'LAC 102_Wkst'!$G$7:$G$2010,$D73,'LAC 102_Wkst'!$L$7:$L$2010,"04",'LAC 102_Wkst'!$N$7:$N$2010,"P1")+SUMIFS('LAC 102_Wkst'!$AE$7:$AE$2010,'LAC 102_Wkst'!$E$7:$E$2010,$C73,'LAC 102_Wkst'!$G$7:$G$2010,$D73,'LAC 102_Wkst'!$L$7:$L$2010,"04",'LAC 102_Wkst'!$N$7:$N$2010,"P2")+SUMIFS('LAC 102_Wkst'!$AE$7:$AE$2010,'LAC 102_Wkst'!$E$7:$E$2010,$C73,'LAC 102_Wkst'!$G$7:$G$2010,$D73,'LAC 102_Wkst'!$L$7:$L$2010,"04",'LAC 102_Wkst'!$N$7:$N$2010,"P3")</f>
        <v>0</v>
      </c>
      <c r="N73" s="410">
        <f>SUMIFS('LAC 102_Wkst'!$Q$7:$Q$2010,'LAC 102_Wkst'!$E$7:$E$2010,$C73,'LAC 102_Wkst'!$G$7:$G$2010,$D73,'LAC 102_Wkst'!$L$7:$L$2010,"03",'LAC 102_Wkst'!$N$7:$N$2010,"P4")+SUMIFS('LAC 102_Wkst'!$Q$7:$Q$2010,'LAC 102_Wkst'!$E$7:$E$2010,$C73,'LAC 102_Wkst'!$G$7:$G$2010,$D73,'LAC 102_Wkst'!$L$7:$L$2010,"04",'LAC 102_Wkst'!$N$7:$N$2010,"P4")</f>
        <v>0</v>
      </c>
      <c r="O73" s="411">
        <f>SUMIFS('LAC 102_Wkst'!$AE$7:$AE$2010,'LAC 102_Wkst'!$E$7:$E$2010,$C73,'LAC 102_Wkst'!$G$7:$G$2010,$D73,'LAC 102_Wkst'!$L$7:$L$2010,"03",'LAC 102_Wkst'!$N$7:$N$2010,"P4")+SUMIFS('LAC 102_Wkst'!$AE$7:$AE$2010,'LAC 102_Wkst'!$E$7:$E$2010,$C73,'LAC 102_Wkst'!$G$7:$G$2010,$D73,'LAC 102_Wkst'!$L$7:$L$2010,"04",'LAC 102_Wkst'!$N$7:$N$2010,"P4")</f>
        <v>0</v>
      </c>
      <c r="P73" s="410">
        <f>SUMIFS('LAC 102_Wkst'!$Q$7:$Q$2010,'LAC 102_Wkst'!$E$7:$E$2010,$C73,'LAC 102_Wkst'!$G$7:$G$2010,$D73,'LAC 102_Wkst'!$L$7:$L$2010,"03",'LAC 102_Wkst'!$N$7:$N$2010,"P5")+SUMIFS('LAC 102_Wkst'!$Q$7:$Q$2010,'LAC 102_Wkst'!$E$7:$E$2010,$C73,'LAC 102_Wkst'!$G$7:$G$2010,$D73,'LAC 102_Wkst'!$L$7:$L$2010,"04",'LAC 102_Wkst'!$N$7:$N$2010,"P5")</f>
        <v>0</v>
      </c>
      <c r="Q73" s="411">
        <f>SUMIFS('LAC 102_Wkst'!$AE$7:$AE$2010,'LAC 102_Wkst'!$E$7:$E$2010,$C73,'LAC 102_Wkst'!$G$7:$G$2010,$D73,'LAC 102_Wkst'!$L$7:$L$2010,"03",'LAC 102_Wkst'!$N$7:$N$2010,"P5")+SUMIFS('LAC 102_Wkst'!$AE$7:$AE$2010,'LAC 102_Wkst'!$E$7:$E$2010,$C73,'LAC 102_Wkst'!$G$7:$G$2010,$D73,'LAC 102_Wkst'!$L$7:$L$2010,"04",'LAC 102_Wkst'!$N$7:$N$2010,"P5")</f>
        <v>0</v>
      </c>
      <c r="R73" s="412">
        <f>SUMIFS('LAC 102_Wkst'!$Q$7:$Q$2010,'LAC 102_Wkst'!$E$7:$E$2010,$C73,'LAC 102_Wkst'!$G$7:$G$2010,$D73,'LAC 102_Wkst'!$L$7:$L$2010,"05",'LAC 102_Wkst'!$N$7:$N$2010,"P1")+SUMIFS('LAC 102_Wkst'!$Q$7:$Q$2010,'LAC 102_Wkst'!$E$7:$E$2010,$C73,'LAC 102_Wkst'!$G$7:$G$2010,$D73,'LAC 102_Wkst'!$L$7:$L$2010,"06",'LAC 102_Wkst'!$N$7:$N$2010,"P1")</f>
        <v>0</v>
      </c>
      <c r="S73" s="411">
        <f>SUMIFS('LAC 102_Wkst'!$AE$7:$AE$2010,'LAC 102_Wkst'!$E$7:$E$2010,$C73,'LAC 102_Wkst'!$G$7:$G$2010,$D73,'LAC 102_Wkst'!$L$7:$L$2010,"05",'LAC 102_Wkst'!$N$7:$N$2010,"P1")+SUMIFS('LAC 102_Wkst'!$AE$7:$AE$2010,'LAC 102_Wkst'!$E$7:$E$2010,$C73,'LAC 102_Wkst'!$G$7:$G$2010,$D73,'LAC 102_Wkst'!$L$7:$L$2010,"06",'LAC 102_Wkst'!$N$7:$N$2010,"P1")</f>
        <v>0</v>
      </c>
      <c r="T73" s="410">
        <f>SUMIFS('LAC 102_Wkst'!$Q$7:$Q$2010,'LAC 102_Wkst'!$E$7:$E$2010,$C73,'LAC 102_Wkst'!$G$7:$G$2010,$D73,'LAC 102_Wkst'!$L$7:$L$2010,"05",'LAC 102_Wkst'!$N$7:$N$2010,"P2")+SUMIFS('LAC 102_Wkst'!$Q$7:$Q$2010,'LAC 102_Wkst'!$E$7:$E$2010,$C73,'LAC 102_Wkst'!$G$7:$G$2010,$D73,'LAC 102_Wkst'!$L$7:$L$2010,"05",'LAC 102_Wkst'!$N$7:$N$2010,"P3")+SUMIFS('LAC 102_Wkst'!$Q$7:$Q$2010,'LAC 102_Wkst'!$E$7:$E$2010,$C73,'LAC 102_Wkst'!$G$7:$G$2010,$D73,'LAC 102_Wkst'!$L$7:$L$2010,"06",'LAC 102_Wkst'!$N$7:$N$2010,"P2")+SUMIFS('LAC 102_Wkst'!$Q$7:$Q$2010,'LAC 102_Wkst'!$E$7:$E$2010,$C73,'LAC 102_Wkst'!$G$7:$G$2010,$D73,'LAC 102_Wkst'!$L$7:$L$2010,"06",'LAC 102_Wkst'!$N$7:$N$2010,"P3")</f>
        <v>0</v>
      </c>
      <c r="U73" s="411">
        <f>SUMIFS('LAC 102_Wkst'!$AE$7:$AE$2010,'LAC 102_Wkst'!$E$7:$E$2010,$C73,'LAC 102_Wkst'!$G$7:$G$2010,$D73,'LAC 102_Wkst'!$L$7:$L$2010,"05",'LAC 102_Wkst'!$N$7:$N$2010,"P2")+SUMIFS('LAC 102_Wkst'!$AE$7:$AE$2010,'LAC 102_Wkst'!$E$7:$E$2010,$C73,'LAC 102_Wkst'!$G$7:$G$2010,$D73,'LAC 102_Wkst'!$L$7:$L$2010,"06",'LAC 102_Wkst'!$N$7:$N$2010,"P3")+SUMIFS('LAC 102_Wkst'!$AE$7:$AE$2010,'LAC 102_Wkst'!$E$7:$E$2010,$C73,'LAC 102_Wkst'!$G$7:$G$2010,$D73,'LAC 102_Wkst'!$L$7:$L$2010,"05",'LAC 102_Wkst'!$N$7:$N$2010,"P2")+SUMIFS('LAC 102_Wkst'!$AE$7:$AE$2010,'LAC 102_Wkst'!$E$7:$E$2010,$C73,'LAC 102_Wkst'!$G$7:$G$2010,$D73,'LAC 102_Wkst'!$L$7:$L$2010,"06",'LAC 102_Wkst'!$N$7:$N$2010,"P3")</f>
        <v>0</v>
      </c>
      <c r="V73" s="410">
        <f>SUMIFS('LAC 102_Wkst'!$Q$7:$Q$2010,'LAC 102_Wkst'!$E$7:$E$2010,$C73,'LAC 102_Wkst'!$G$7:$G$2010,$D73,'LAC 102_Wkst'!$L$7:$L$2010,"05",'LAC 102_Wkst'!$N$7:$N$2010,"P4")+SUMIFS('LAC 102_Wkst'!$Q$7:$Q$2010,'LAC 102_Wkst'!$E$7:$E$2010,$C73,'LAC 102_Wkst'!$G$7:$G$2010,$D73,'LAC 102_Wkst'!$L$7:$L$2010,"06",'LAC 102_Wkst'!$N$7:$N$2010,"P4")</f>
        <v>0</v>
      </c>
      <c r="W73" s="411">
        <f>SUMIFS('LAC 102_Wkst'!$AE$7:$AE$2010,'LAC 102_Wkst'!$E$7:$E$2010,$C73,'LAC 102_Wkst'!$G$7:$G$2010,$D73,'LAC 102_Wkst'!$L$7:$L$2010,"05",'LAC 102_Wkst'!$N$7:$N$2010,"P4")+SUMIFS('LAC 102_Wkst'!$AE$7:$AE$2010,'LAC 102_Wkst'!$E$7:$E$2010,$C73,'LAC 102_Wkst'!$G$7:$G$2010,$D73,'LAC 102_Wkst'!$L$7:$L$2010,"06",'LAC 102_Wkst'!$N$7:$N$2010,"P4")</f>
        <v>0</v>
      </c>
      <c r="X73" s="410">
        <f>SUMIFS('LAC 102_Wkst'!$Q$7:$Q$2010,'LAC 102_Wkst'!$E$7:$E$2010,$C73,'LAC 102_Wkst'!$G$7:$G$2010,$D73,'LAC 102_Wkst'!$L$7:$L$2010,"05",'LAC 102_Wkst'!$N$7:$N$2010,"P5")+SUMIFS('LAC 102_Wkst'!$Q$7:$Q$2010,'LAC 102_Wkst'!$E$7:$E$2010,$C73,'LAC 102_Wkst'!$G$7:$G$2010,$D73,'LAC 102_Wkst'!$L$7:$L$2010,"06",'LAC 102_Wkst'!$N$7:$N$2010,"P5")</f>
        <v>0</v>
      </c>
      <c r="Y73" s="411">
        <f>SUMIFS('LAC 102_Wkst'!$AE$7:$AE$2010,'LAC 102_Wkst'!$E$7:$E$2010,$C73,'LAC 102_Wkst'!$G$7:$G$2010,$D73,'LAC 102_Wkst'!$L$7:$L$2010,"05",'LAC 102_Wkst'!$N$7:$N$2010,"P5")+SUMIFS('LAC 102_Wkst'!$AE$7:$AE$2010,'LAC 102_Wkst'!$E$7:$E$2010,$C73,'LAC 102_Wkst'!$G$7:$G$2010,$D73,'LAC 102_Wkst'!$L$7:$L$2010,"06",'LAC 102_Wkst'!$N$7:$N$2010,"P5")</f>
        <v>0</v>
      </c>
      <c r="Z73" s="410">
        <f>SUMIFS('LAC 102_Wkst'!$Q$7:$Q$2010,'LAC 102_Wkst'!$E$7:$E$2010,$C73,'LAC 102_Wkst'!$G$7:$G$2010,$D73,'LAC 102_Wkst'!$L$7:$L$2010,"07",'LAC 102_Wkst'!$N$7:$N$2010,"P1")+SUMIFS('LAC 102_Wkst'!$Q$7:$Q$2010,'LAC 102_Wkst'!$E$7:$E$2010,$C73,'LAC 102_Wkst'!$G$7:$G$2010,$D73,'LAC 102_Wkst'!$L$7:$L$2010,"07",'LAC 102_Wkst'!$N$7:$N$2010,"P2")+SUMIFS('LAC 102_Wkst'!$Q$7:$Q$2010,'LAC 102_Wkst'!$E$7:$E$2010,$C73,'LAC 102_Wkst'!$G$7:$G$2010,$D73,'LAC 102_Wkst'!$L$7:$L$2010,"07",'LAC 102_Wkst'!$N$7:$N$2010,"P3")</f>
        <v>0</v>
      </c>
      <c r="AA73" s="411">
        <f>SUMIFS('LAC 102_Wkst'!$AE$7:$AE$2010,'LAC 102_Wkst'!$E$7:$E$2010,$C73,'LAC 102_Wkst'!$G$7:$G$2010,$D73,'LAC 102_Wkst'!$L$7:$L$2010,"07",'LAC 102_Wkst'!$N$7:$N$2010,"P1")+SUMIFS('LAC 102_Wkst'!$AE$7:$AE$2010,'LAC 102_Wkst'!$E$7:$E$2010,$C73,'LAC 102_Wkst'!$G$7:$G$2010,$D73,'LAC 102_Wkst'!$L$7:$L$2010,"07",'LAC 102_Wkst'!$N$7:$N$2010,"P2")+SUMIFS('LAC 102_Wkst'!$AE$7:$AE$2010,'LAC 102_Wkst'!$E$7:$E$2010,$C73,'LAC 102_Wkst'!$G$7:$G$2010,$D73,'LAC 102_Wkst'!$L$7:$L$2010,"07",'LAC 102_Wkst'!$N$7:$N$2010,"P3")</f>
        <v>0</v>
      </c>
      <c r="AB73" s="410">
        <f>SUMIFS('LAC 102_Wkst'!$Q$7:$Q$2010,'LAC 102_Wkst'!$E$7:$E$2010,$C73,'LAC 102_Wkst'!$G$7:$G$2010,$D73,'LAC 102_Wkst'!$L$7:$L$2010,"07",'LAC 102_Wkst'!$N$7:$N$2010,"P4")</f>
        <v>0</v>
      </c>
      <c r="AC73" s="411">
        <f>SUMIFS('LAC 102_Wkst'!$AE$7:$AE$2010,'LAC 102_Wkst'!$E$7:$E$2010,$C73,'LAC 102_Wkst'!$G$7:$G$2010,$D73,'LAC 102_Wkst'!$L$7:$L$2010,"07",'LAC 102_Wkst'!$N$7:$N$2010,"P4")</f>
        <v>0</v>
      </c>
      <c r="AD73" s="410">
        <f>SUMIFS('LAC 102_Wkst'!$Q$7:$Q$2010,'LAC 102_Wkst'!$E$7:$E$2010,$C73,'LAC 102_Wkst'!$G$7:$G$2010,$D73,'LAC 102_Wkst'!$L$7:$L$2010,"07",'LAC 102_Wkst'!$N$7:$N$2010,"P5")</f>
        <v>0</v>
      </c>
      <c r="AE73" s="411">
        <f>SUMIFS('LAC 102_Wkst'!$AE$7:$AE$2010,'LAC 102_Wkst'!$E$7:$E$2010,$C73,'LAC 102_Wkst'!$G$7:$G$2010,$D73,'LAC 102_Wkst'!$L$7:$L$2010,"07",'LAC 102_Wkst'!$N$7:$N$2010,"P5")</f>
        <v>0</v>
      </c>
      <c r="AF73" s="410">
        <f>SUMIFS('LAC 102_Wkst'!$Q$7:$Q$2010,'LAC 102_Wkst'!$E$7:$E$2010,$C73,'LAC 102_Wkst'!$G$7:$G$2010,$D73,'LAC 102_Wkst'!$L$7:$L$2010,"08",'LAC 102_Wkst'!$N$7:$N$2010,"P1")+SUMIFS('LAC 102_Wkst'!$Q$7:$Q$2010,'LAC 102_Wkst'!$E$7:$E$2010,$C73,'LAC 102_Wkst'!$G$7:$G$2010,$D73,'LAC 102_Wkst'!$L$7:$L$2010,"08",'LAC 102_Wkst'!$N$7:$N$2010,"P2")+SUMIFS('LAC 102_Wkst'!$Q$7:$Q$2010,'LAC 102_Wkst'!$E$7:$E$2010,$C73,'LAC 102_Wkst'!$G$7:$G$2010,$D73,'LAC 102_Wkst'!$L$7:$L$2010,"08",'LAC 102_Wkst'!$N$7:$N$2010,"P3")</f>
        <v>0</v>
      </c>
      <c r="AG73" s="411">
        <f>SUMIFS('LAC 102_Wkst'!$AE$7:$AE$2010,'LAC 102_Wkst'!$E$7:$E$2010,$C73,'LAC 102_Wkst'!$G$7:$G$2010,$D73,'LAC 102_Wkst'!$L$7:$L$2010,"08",'LAC 102_Wkst'!$N$7:$N$2010,"P1")+SUMIFS('LAC 102_Wkst'!$AE$7:$AE$2010,'LAC 102_Wkst'!$E$7:$E$2010,$C73,'LAC 102_Wkst'!$G$7:$G$2010,$D73,'LAC 102_Wkst'!$L$7:$L$2010,"08",'LAC 102_Wkst'!$N$7:$N$2010,"P2")+SUMIFS('LAC 102_Wkst'!$AE$7:$AE$2010,'LAC 102_Wkst'!$E$7:$E$2010,$C73,'LAC 102_Wkst'!$G$7:$G$2010,$D73,'LAC 102_Wkst'!$L$7:$L$2010,"08",'LAC 102_Wkst'!$N$7:$N$2010,"P3")</f>
        <v>0</v>
      </c>
      <c r="AH73" s="410">
        <f>SUMIFS('LAC 102_Wkst'!$Q$7:$Q$2010,'LAC 102_Wkst'!$E$7:$E$2010,$C73,'LAC 102_Wkst'!$G$7:$G$2010,$D73,'LAC 102_Wkst'!$L$7:$L$2010,"08",'LAC 102_Wkst'!$N$7:$N$2010,"P4")</f>
        <v>0</v>
      </c>
      <c r="AI73" s="411">
        <f>SUMIFS('LAC 102_Wkst'!$AE$7:$AE$2010,'LAC 102_Wkst'!$E$7:$E$2010,$C73,'LAC 102_Wkst'!$G$7:$G$2010,$D73,'LAC 102_Wkst'!$L$7:$L$2010,"08",'LAC 102_Wkst'!$N$7:$N$2010,"P4")</f>
        <v>0</v>
      </c>
      <c r="AJ73" s="410">
        <f>SUMIFS('LAC 102_Wkst'!$Q$7:$Q$2010,'LAC 102_Wkst'!$E$7:$E$2010,$C73,'LAC 102_Wkst'!$G$7:$G$2010,$D73,'LAC 102_Wkst'!$L$7:$L$2010,"08",'LAC 102_Wkst'!$N$7:$N$2010,"P5")</f>
        <v>0</v>
      </c>
      <c r="AK73" s="411">
        <f>SUMIFS('LAC 102_Wkst'!$AE$7:$AE$2010,'LAC 102_Wkst'!$E$7:$E$2010,$C73,'LAC 102_Wkst'!$G$7:$G$2010,$D73,'LAC 102_Wkst'!$L$7:$L$2010,"08",'LAC 102_Wkst'!$N$7:$N$2010,"P5")</f>
        <v>0</v>
      </c>
      <c r="AL73" s="410">
        <f>SUMIFS('LAC 102_Wkst'!$Q$7:$Q$2010,'LAC 102_Wkst'!$E$7:$E$2010,$C73,'LAC 102_Wkst'!$G$7:$G$2010,$D73,'LAC 102_Wkst'!$L$7:$L$2010,"09",'LAC 102_Wkst'!$N$7:$N$2010,"P1")+SUMIFS('LAC 102_Wkst'!$Q$7:$Q$2010,'LAC 102_Wkst'!$E$7:$E$2010,$C73,'LAC 102_Wkst'!$G$7:$G$2010,$D73,'LAC 102_Wkst'!$L$7:$L$2010,"09",'LAC 102_Wkst'!$N$7:$N$2010,"P2")+SUMIFS('LAC 102_Wkst'!$Q$7:$Q$2010,'LAC 102_Wkst'!$E$7:$E$2010,$C73,'LAC 102_Wkst'!$G$7:$G$2010,$D73,'LAC 102_Wkst'!$L$7:$L$2010,"09",'LAC 102_Wkst'!$N$7:$N$2010,"P3")+SUMIFS('LAC 102_Wkst'!$Q$7:$Q$2010,'LAC 102_Wkst'!$E$7:$E$2010,$C73,'LAC 102_Wkst'!$G$7:$G$2010,$D73,'LAC 102_Wkst'!$L$7:$L$2010,"09",'LAC 102_Wkst'!$N$7:$N$2010,"P4")</f>
        <v>0</v>
      </c>
      <c r="AM73" s="411">
        <f>SUMIFS('LAC 102_Wkst'!$AE$7:$AE$2010,'LAC 102_Wkst'!$E$7:$E$2010,$C73,'LAC 102_Wkst'!$G$7:$G$2010,$D73,'LAC 102_Wkst'!$L$7:$L$2010,"09",'LAC 102_Wkst'!$N$7:$N$2010,"P1")+SUMIFS('LAC 102_Wkst'!$AE$7:$AE$2010,'LAC 102_Wkst'!$E$7:$E$2010,$C73,'LAC 102_Wkst'!$G$7:$G$2010,$D73,'LAC 102_Wkst'!$L$7:$L$2010,"09",'LAC 102_Wkst'!$N$7:$N$2010,"P2")+SUMIFS('LAC 102_Wkst'!$AE$7:$AE$2010,'LAC 102_Wkst'!$E$7:$E$2010,$C73,'LAC 102_Wkst'!$G$7:$G$2010,$D73,'LAC 102_Wkst'!$L$7:$L$2010,"09",'LAC 102_Wkst'!$N$7:$N$2010,"P3")+SUMIFS('LAC 102_Wkst'!$AE$7:$AE$2010,'LAC 102_Wkst'!$E$7:$E$2010,$C73,'LAC 102_Wkst'!$G$7:$G$2010,$D73,'LAC 102_Wkst'!$L$7:$L$2010,"09",'LAC 102_Wkst'!$N$7:$N$2010,"P4")</f>
        <v>0</v>
      </c>
      <c r="AN73" s="410">
        <f>SUMIFS('LAC 102_Wkst'!$Q$7:$Q$2010,'LAC 102_Wkst'!$E$7:$E$2010,$C73,'LAC 102_Wkst'!$G$7:$G$2010,$D73,'LAC 102_Wkst'!$L$7:$L$2010,"09",'LAC 102_Wkst'!$N$7:$N$2010,"P5")</f>
        <v>0</v>
      </c>
      <c r="AO73" s="411">
        <f>SUMIFS('LAC 102_Wkst'!$AE$7:$AE$2010,'LAC 102_Wkst'!$E$7:$E$2010,$C73,'LAC 102_Wkst'!$G$7:$G$2010,$D73,'LAC 102_Wkst'!$L$7:$L$2010,"09",'LAC 102_Wkst'!$N$7:$N$2010,"P5")</f>
        <v>0</v>
      </c>
      <c r="AP73" s="410">
        <f>SUMIFS('LAC 102_Wkst'!$Q$7:$Q$2010,'LAC 102_Wkst'!$E$7:$E$2010,$C73,'LAC 102_Wkst'!$G$7:$G$2010,$D73,'LAC 102_Wkst'!$L$7:$L$2010,"10",'LAC 102_Wkst'!$N$7:$N$2010,"P1")+SUMIFS('LAC 102_Wkst'!$Q$7:$Q$2010,'LAC 102_Wkst'!$E$7:$E$2010,$C73,'LAC 102_Wkst'!$G$7:$G$2010,$D73,'LAC 102_Wkst'!$L$7:$L$2010,"10",'LAC 102_Wkst'!$N$7:$N$2010,"P2")+SUMIFS('LAC 102_Wkst'!$Q$7:$Q$2010,'LAC 102_Wkst'!$E$7:$E$2010,$C73,'LAC 102_Wkst'!$G$7:$G$2010,$D73,'LAC 102_Wkst'!$L$7:$L$2010,"10",'LAC 102_Wkst'!$N$7:$N$2010,"P3")+SUMIFS('LAC 102_Wkst'!$Q$7:$Q$2010,'LAC 102_Wkst'!$E$7:$E$2010,$C73,'LAC 102_Wkst'!$G$7:$G$2010,$D73,'LAC 102_Wkst'!$L$7:$L$2010,"10",'LAC 102_Wkst'!$N$7:$N$2010,"P4")</f>
        <v>0</v>
      </c>
      <c r="AQ73" s="411">
        <f>SUMIFS('LAC 102_Wkst'!$AE$7:$AE$2010,'LAC 102_Wkst'!$E$7:$E$2010,$C73,'LAC 102_Wkst'!$G$7:$G$2010,$D73,'LAC 102_Wkst'!$L$7:$L$2010,"10",'LAC 102_Wkst'!$N$7:$N$2010,"P1")+SUMIFS('LAC 102_Wkst'!$AE$7:$AE$2010,'LAC 102_Wkst'!$E$7:$E$2010,$C73,'LAC 102_Wkst'!$G$7:$G$2010,$D73,'LAC 102_Wkst'!$L$7:$L$2010,"10",'LAC 102_Wkst'!$N$7:$N$2010,"P2")+SUMIFS('LAC 102_Wkst'!$AE$7:$AE$2010,'LAC 102_Wkst'!$E$7:$E$2010,$C73,'LAC 102_Wkst'!$G$7:$G$2010,$D73,'LAC 102_Wkst'!$L$7:$L$2010,"10",'LAC 102_Wkst'!$N$7:$N$2010,"P3")+SUMIFS('LAC 102_Wkst'!$AE$7:$AE$2010,'LAC 102_Wkst'!$E$7:$E$2010,$C73,'LAC 102_Wkst'!$G$7:$G$2010,$D73,'LAC 102_Wkst'!$L$7:$L$2010,"10",'LAC 102_Wkst'!$N$7:$N$2010,"P4")</f>
        <v>0</v>
      </c>
      <c r="AR73" s="410">
        <f>SUMIFS('LAC 102_Wkst'!$Q$7:$Q$2010,'LAC 102_Wkst'!$E$7:$E$2010,$C73,'LAC 102_Wkst'!$G$7:$G$2010,$D73,'LAC 102_Wkst'!$L$7:$L$2010,"10",'LAC 102_Wkst'!$N$7:$N$2010,"P5")</f>
        <v>0</v>
      </c>
      <c r="AS73" s="411">
        <f>SUMIFS('LAC 102_Wkst'!$AE$7:$AE$2010,'LAC 102_Wkst'!$E$7:$E$2010,$C73,'LAC 102_Wkst'!$G$7:$G$2010,$D73,'LAC 102_Wkst'!$L$7:$L$2010,"10",'LAC 102_Wkst'!$N$7:$N$2010,"P5")</f>
        <v>0</v>
      </c>
      <c r="AT73" s="410">
        <f>SUMIFS('LAC 102_Wkst'!$Q$7:$Q$2010,'LAC 102_Wkst'!$E$7:$E$2010,$C73,'LAC 102_Wkst'!$G$7:$G$2010,$D73,'LAC 102_Wkst'!$L$7:$L$2010,"11",'LAC 102_Wkst'!$N$7:$N$2010,"P1")+SUMIFS('LAC 102_Wkst'!$Q$7:$Q$2010,'LAC 102_Wkst'!$E$7:$E$2010,$C73,'LAC 102_Wkst'!$G$7:$G$2010,$D73,'LAC 102_Wkst'!$L$7:$L$2010,"12",'LAC 102_Wkst'!$N$7:$N$2010,"P1")</f>
        <v>0</v>
      </c>
      <c r="AU73" s="411">
        <f>SUMIFS('LAC 102_Wkst'!$AE$7:$AE$2010,'LAC 102_Wkst'!$E$7:$E$2010,$C73,'LAC 102_Wkst'!$G$7:$G$2010,$D73,'LAC 102_Wkst'!$L$7:$L$2010,"11",'LAC 102_Wkst'!$N$7:$N$2010,"P1")+SUMIFS('LAC 102_Wkst'!$AE$7:$AE$2010,'LAC 102_Wkst'!$E$7:$E$2010,$C73,'LAC 102_Wkst'!$G$7:$G$2010,$D73,'LAC 102_Wkst'!$L$7:$L$2010,"12",'LAC 102_Wkst'!$N$7:$N$2010,"P1")</f>
        <v>0</v>
      </c>
      <c r="AV73" s="410">
        <f>SUMIFS('LAC 102_Wkst'!$Q$7:$Q$2010,'LAC 102_Wkst'!$E$7:$E$2010,$C73,'LAC 102_Wkst'!$G$7:$G$2010,$D73,'LAC 102_Wkst'!$L$7:$L$2010,"11",'LAC 102_Wkst'!$N$7:$N$2010,"P2")+SUMIFS('LAC 102_Wkst'!$Q$7:$Q$2010,'LAC 102_Wkst'!$E$7:$E$2010,$C73,'LAC 102_Wkst'!$G$7:$G$2010,$D73,'LAC 102_Wkst'!$L$7:$L$2010,"12",'LAC 102_Wkst'!$N$7:$N$2010,"P3")+SUMIFS('LAC 102_Wkst'!$Q$7:$Q$2010,'LAC 102_Wkst'!$E$7:$E$2010,$C73,'LAC 102_Wkst'!$G$7:$G$2010,$D73,'LAC 102_Wkst'!$L$7:$L$2010,"11",'LAC 102_Wkst'!$N$7:$N$2010,"P2")+SUMIFS('LAC 102_Wkst'!$Q$7:$Q$2010,'LAC 102_Wkst'!$E$7:$E$2010,$C73,'LAC 102_Wkst'!$G$7:$G$2010,$D73,'LAC 102_Wkst'!$L$7:$L$2010,"12",'LAC 102_Wkst'!$N$7:$N$2010,"P3")</f>
        <v>0</v>
      </c>
      <c r="AW73" s="411">
        <f>SUMIFS('LAC 102_Wkst'!$AE$7:$AE$2010,'LAC 102_Wkst'!$E$7:$E$2010,$C73,'LAC 102_Wkst'!$G$7:$G$2010,$D73,'LAC 102_Wkst'!$L$7:$L$2010,"11",'LAC 102_Wkst'!$N$7:$N$2010,"P2")+SUMIFS('LAC 102_Wkst'!$AE$7:$AE$2010,'LAC 102_Wkst'!$E$7:$E$2010,$C73,'LAC 102_Wkst'!$G$7:$G$2010,$D73,'LAC 102_Wkst'!$L$7:$L$2010,"12",'LAC 102_Wkst'!$N$7:$N$2010,"P3")+SUMIFS('LAC 102_Wkst'!$AE$7:$AE$2010,'LAC 102_Wkst'!$E$7:$E$2010,$C73,'LAC 102_Wkst'!$G$7:$G$2010,$D73,'LAC 102_Wkst'!$L$7:$L$2010,"11",'LAC 102_Wkst'!$N$7:$N$2010,"P2")+SUMIFS('LAC 102_Wkst'!$AE$7:$AE$2010,'LAC 102_Wkst'!$E$7:$E$2010,$C73,'LAC 102_Wkst'!$G$7:$G$2010,$D73,'LAC 102_Wkst'!$L$7:$L$2010,"12",'LAC 102_Wkst'!$N$7:$N$2010,"P3")</f>
        <v>0</v>
      </c>
      <c r="AX73" s="410">
        <f>SUMIFS('LAC 102_Wkst'!$Q$7:$Q$2010,'LAC 102_Wkst'!$E$7:$E$2010,$C73,'LAC 102_Wkst'!$G$7:$G$2010,$D73,'LAC 102_Wkst'!$L$7:$L$2010,"11",'LAC 102_Wkst'!$N$7:$N$2010,"P4")+SUMIFS('LAC 102_Wkst'!$Q$7:$Q$2010,'LAC 102_Wkst'!$E$7:$E$2010,$C73,'LAC 102_Wkst'!$G$7:$G$2010,$D73,'LAC 102_Wkst'!$L$7:$L$2010,"12",'LAC 102_Wkst'!$N$7:$N$2010,"P4")</f>
        <v>0</v>
      </c>
      <c r="AY73" s="411">
        <f>SUMIFS('LAC 102_Wkst'!$AE$7:$AE$2010,'LAC 102_Wkst'!$E$7:$E$2010,$C73,'LAC 102_Wkst'!$G$7:$G$2010,$D73,'LAC 102_Wkst'!$L$7:$L$2010,"11",'LAC 102_Wkst'!$N$7:$N$2010,"P4")+SUMIFS('LAC 102_Wkst'!$AE$7:$AE$2010,'LAC 102_Wkst'!$E$7:$E$2010,$C73,'LAC 102_Wkst'!$G$7:$G$2010,$D73,'LAC 102_Wkst'!$L$7:$L$2010,"12",'LAC 102_Wkst'!$N$7:$N$2010,"P4")</f>
        <v>0</v>
      </c>
      <c r="AZ73" s="410">
        <f>SUMIFS('LAC 102_Wkst'!$Q$7:$Q$2010,'LAC 102_Wkst'!$E$7:$E$2010,$C73,'LAC 102_Wkst'!$G$7:$G$2010,$D73,'LAC 102_Wkst'!$L$7:$L$2010,"11",'LAC 102_Wkst'!$N$7:$N$2010,"P5")+SUMIFS('LAC 102_Wkst'!$Q$7:$Q$2010,'LAC 102_Wkst'!$E$7:$E$2010,$C73,'LAC 102_Wkst'!$G$7:$G$2010,$D73,'LAC 102_Wkst'!$L$7:$L$2010,"12",'LAC 102_Wkst'!$N$7:$N$2010,"P5")</f>
        <v>0</v>
      </c>
      <c r="BA73" s="411">
        <f>SUMIFS('LAC 102_Wkst'!$AE$7:$AE$2010,'LAC 102_Wkst'!$E$7:$E$2010,$C73,'LAC 102_Wkst'!$G$7:$G$2010,$D73,'LAC 102_Wkst'!$L$7:$L$2010,"11",'LAC 102_Wkst'!$N$7:$N$2010,"P5")+SUMIFS('LAC 102_Wkst'!$AE$7:$AE$2010,'LAC 102_Wkst'!$E$7:$E$2010,$C73,'LAC 102_Wkst'!$G$7:$G$2010,$D73,'LAC 102_Wkst'!$L$7:$L$2010,"12",'LAC 102_Wkst'!$N$7:$N$2010,"P5")</f>
        <v>0</v>
      </c>
      <c r="BB73" s="410">
        <f>SUMIFS('LAC 102_Wkst'!$Q$7:$Q$2010,'LAC 102_Wkst'!$E$7:$E$2010,$C73,'LAC 102_Wkst'!$G$7:$G$2010,$D73,'LAC 102_Wkst'!$L$7:$L$2010,"13",'LAC 102_Wkst'!$N$7:$N$2010,"P1")+SUMIFS('LAC 102_Wkst'!$Q$7:$Q$2010,'LAC 102_Wkst'!$E$7:$E$2010,$C73,'LAC 102_Wkst'!$G$7:$G$2010,$D73,'LAC 102_Wkst'!$L$7:$L$2010,"13",'LAC 102_Wkst'!$N$7:$N$2010,"P2")+SUMIFS('LAC 102_Wkst'!$Q$7:$Q$2010,'LAC 102_Wkst'!$E$7:$E$2010,$C73,'LAC 102_Wkst'!$G$7:$G$2010,$D73,'LAC 102_Wkst'!$L$7:$L$2010,"13",'LAC 102_Wkst'!$N$7:$N$2010,"P3")+SUMIFS('LAC 102_Wkst'!$Q$7:$Q$2010,'LAC 102_Wkst'!$E$7:$E$2010,$C73,'LAC 102_Wkst'!$G$7:$G$2010,$D73,'LAC 102_Wkst'!$L$7:$L$2010,"13",'LAC 102_Wkst'!$N$7:$N$2010,"P4")</f>
        <v>0</v>
      </c>
      <c r="BC73" s="411">
        <f>SUMIFS('LAC 102_Wkst'!$AE$7:$AE$2010,'LAC 102_Wkst'!$E$7:$E$2010,$C73,'LAC 102_Wkst'!$G$7:$G$2010,$D73,'LAC 102_Wkst'!$L$7:$L$2010,"13",'LAC 102_Wkst'!$N$7:$N$2010,"P1")+SUMIFS('LAC 102_Wkst'!$AE$7:$AE$2010,'LAC 102_Wkst'!$E$7:$E$2010,$C73,'LAC 102_Wkst'!$G$7:$G$2010,$D73,'LAC 102_Wkst'!$L$7:$L$2010,"13",'LAC 102_Wkst'!$N$7:$N$2010,"P2")+SUMIFS('LAC 102_Wkst'!$AE$7:$AE$2010,'LAC 102_Wkst'!$E$7:$E$2010,$C73,'LAC 102_Wkst'!$G$7:$G$2010,$D73,'LAC 102_Wkst'!$L$7:$L$2010,"13",'LAC 102_Wkst'!$N$7:$N$2010,"P3")+SUMIFS('LAC 102_Wkst'!$AE$7:$AE$2010,'LAC 102_Wkst'!$E$7:$E$2010,$C73,'LAC 102_Wkst'!$G$7:$G$2010,$D73,'LAC 102_Wkst'!$L$7:$L$2010,"13",'LAC 102_Wkst'!$N$7:$N$2010,"P4")</f>
        <v>0</v>
      </c>
      <c r="BD73" s="410">
        <f>SUMIFS('LAC 102_Wkst'!$Q$7:$Q$2010,'LAC 102_Wkst'!$E$7:$E$2010,$C73,'LAC 102_Wkst'!$G$7:$G$2010,$D73,'LAC 102_Wkst'!$L$7:$L$2010,"13",'LAC 102_Wkst'!$N$7:$N$2010,"P5")</f>
        <v>0</v>
      </c>
      <c r="BE73" s="411">
        <f>SUMIFS('LAC 102_Wkst'!$AE$7:$AE$2010,'LAC 102_Wkst'!$E$7:$E$2010,$C73,'LAC 102_Wkst'!$G$7:$G$2010,$D73,'LAC 102_Wkst'!$L$7:$L$2010,"13",'LAC 102_Wkst'!$N$7:$N$2010,"P5")</f>
        <v>0</v>
      </c>
      <c r="BF73" s="407">
        <f t="shared" si="0"/>
        <v>0</v>
      </c>
    </row>
    <row r="74" spans="1:58" x14ac:dyDescent="0.2">
      <c r="A74" s="401">
        <v>55</v>
      </c>
      <c r="B74" s="1236"/>
      <c r="C74" s="1235"/>
      <c r="D74" s="1237"/>
      <c r="E74" s="1222">
        <f>IF(CONCATENATE(C74,D74)&gt;"6069",1,SUMIFS('LAC 102_Wkst'!$Q$7:$Q$2010,'LAC 102_Wkst'!$E$7:$E$2010,Schedule_B!$C74,'LAC 102_Wkst'!$G$7:$G$2010,Schedule_B!$D74))</f>
        <v>0</v>
      </c>
      <c r="F74" s="408">
        <f>SUMIFS('LAC 102_Wkst'!$Q$7:$Q$2010,'LAC 102_Wkst'!$E$7:$E$2010,$C74,'LAC 102_Wkst'!$G$7:$G$2010,$D74,'LAC 102_Wkst'!$L$7:$L$2010,"01",'LAC 102_Wkst'!$N$7:$N$2010,"P1")+SUMIFS('LAC 102_Wkst'!$Q$7:$Q$2010,'LAC 102_Wkst'!$E$7:$E$2010,$C74,'LAC 102_Wkst'!$G$7:$G$2010,$D74,'LAC 102_Wkst'!$L$7:$L$2010,"01",'LAC 102_Wkst'!$N$7:$N$2010,"P2")+SUMIFS('LAC 102_Wkst'!$Q$7:$Q$2010,'LAC 102_Wkst'!$E$7:$E$2010,$C74,'LAC 102_Wkst'!$G$7:$G$2010,$D74,'LAC 102_Wkst'!$L$7:$L$2010,"01",'LAC 102_Wkst'!$N$7:$N$2010,"P3")+SUMIFS('LAC 102_Wkst'!$Q$7:$Q$2010,'LAC 102_Wkst'!$E$7:$E$2010,$C74,'LAC 102_Wkst'!$G$7:$G$2010,$D74,'LAC 102_Wkst'!$L$7:$L$2010,"02",'LAC 102_Wkst'!$N$7:$N$2010,"P1")+SUMIFS('LAC 102_Wkst'!$Q$7:$Q$2010,'LAC 102_Wkst'!$E$7:$E$2010,$C74,'LAC 102_Wkst'!$G$7:$G$2010,$D74,'LAC 102_Wkst'!$L$7:$L$2010,"02",'LAC 102_Wkst'!$N$7:$N$2010,"P2")+SUMIFS('LAC 102_Wkst'!$Q$7:$Q$2010,'LAC 102_Wkst'!$E$7:$E$2010,$C74,'LAC 102_Wkst'!$G$7:$G$2010,$D74,'LAC 102_Wkst'!$L$7:$L$2010,"02",'LAC 102_Wkst'!$N$7:$N$2010,"P3")</f>
        <v>0</v>
      </c>
      <c r="G74" s="409">
        <f>SUMIFS('LAC 102_Wkst'!$AE$7:$AE$2010,'LAC 102_Wkst'!$E$7:$E$2010,$C74,'LAC 102_Wkst'!$G$7:$G$2010,$D74,'LAC 102_Wkst'!$L$7:$L$2010,"01",'LAC 102_Wkst'!$N$7:$N$2010,"P1")+SUMIFS('LAC 102_Wkst'!$AE$7:$AE$2010,'LAC 102_Wkst'!$E$7:$E$2010,$C74,'LAC 102_Wkst'!$G$7:$G$2010,$D74,'LAC 102_Wkst'!$L$7:$L$2010,"01",'LAC 102_Wkst'!$N$7:$N$2010,"P2")+SUMIFS('LAC 102_Wkst'!$AE$7:$AE$2010,'LAC 102_Wkst'!$E$7:$E$2010,$C74,'LAC 102_Wkst'!$G$7:$G$2010,$D74,'LAC 102_Wkst'!$L$7:$L$2010,"01",'LAC 102_Wkst'!$N$7:$N$2010,"P3")+SUMIFS('LAC 102_Wkst'!$AE$7:$AE$2010,'LAC 102_Wkst'!$E$7:$E$2010,$C74,'LAC 102_Wkst'!$G$7:$G$2010,$D74,'LAC 102_Wkst'!$L$7:$L$2010,"02",'LAC 102_Wkst'!$N$7:$N$2010,"P1")+SUMIFS('LAC 102_Wkst'!$AE$7:$AE$2010,'LAC 102_Wkst'!$E$7:$E$2010,$C74,'LAC 102_Wkst'!$G$7:$G$2010,$D74,'LAC 102_Wkst'!$L$7:$L$2010,"02",'LAC 102_Wkst'!$N$7:$N$2010,"P2")+SUMIFS('LAC 102_Wkst'!$AE$7:$AE$2010,'LAC 102_Wkst'!$E$7:$E$2010,$C74,'LAC 102_Wkst'!$G$7:$G$2010,$D74,'LAC 102_Wkst'!$L$7:$L$2010,"02",'LAC 102_Wkst'!$N$7:$N$2010,"P3")</f>
        <v>0</v>
      </c>
      <c r="H74" s="410">
        <f>SUMIFS('LAC 102_Wkst'!$Q$7:$Q$2010,'LAC 102_Wkst'!$E$7:$E$2010,$C74,'LAC 102_Wkst'!$G$7:$G$2010,$D74,'LAC 102_Wkst'!$L$7:$L$2010,"01",'LAC 102_Wkst'!$N$7:$N$2010,"P4")+SUMIFS('LAC 102_Wkst'!$Q$7:$Q$2010,'LAC 102_Wkst'!$E$7:$E$2010,$C74,'LAC 102_Wkst'!$G$7:$G$2010,$D74,'LAC 102_Wkst'!$L$7:$L$2010,"02",'LAC 102_Wkst'!$N$7:$N$2010,"P4")</f>
        <v>0</v>
      </c>
      <c r="I74" s="411">
        <f>SUMIFS('LAC 102_Wkst'!$AE$7:$AE$2010,'LAC 102_Wkst'!$E$7:$E$2010,$C74,'LAC 102_Wkst'!$G$7:$G$2010,$D74,'LAC 102_Wkst'!$L$7:$L$2010,"01",'LAC 102_Wkst'!$N$7:$N$2010,"P4")+SUMIFS('LAC 102_Wkst'!$AE$7:$AE$2010,'LAC 102_Wkst'!$E$7:$E$2010,$C74,'LAC 102_Wkst'!$G$7:$G$2010,$D74,'LAC 102_Wkst'!$L$7:$L$2010,"02",'LAC 102_Wkst'!$N$7:$N$2010,"P4")</f>
        <v>0</v>
      </c>
      <c r="J74" s="410">
        <f>SUMIFS('LAC 102_Wkst'!$Q$7:$Q$2010,'LAC 102_Wkst'!$E$7:$E$2010,$C74,'LAC 102_Wkst'!$G$7:$G$2010,$D74,'LAC 102_Wkst'!$L$7:$L$2010,"01",'LAC 102_Wkst'!$N$7:$N$2010,"P5")+SUMIFS('LAC 102_Wkst'!$Q$7:$Q$2010,'LAC 102_Wkst'!$E$7:$E$2010,$C74,'LAC 102_Wkst'!$G$7:$G$2010,$D74,'LAC 102_Wkst'!$L$7:$L$2010,"02",'LAC 102_Wkst'!$N$7:$N$2010,"P5")</f>
        <v>0</v>
      </c>
      <c r="K74" s="411">
        <f>SUMIFS('LAC 102_Wkst'!$AE$7:$AE$2010,'LAC 102_Wkst'!$E$7:$E$2010,$C74,'LAC 102_Wkst'!$G$7:$G$2010,$D74,'LAC 102_Wkst'!$L$7:$L$2010,"01",'LAC 102_Wkst'!$N$7:$N$2010,"P5")+SUMIFS('LAC 102_Wkst'!$AE$7:$AE$2010,'LAC 102_Wkst'!$E$7:$E$2010,$C74,'LAC 102_Wkst'!$G$7:$G$2010,$D74,'LAC 102_Wkst'!$L$7:$L$2010,"02",'LAC 102_Wkst'!$N$7:$N$2010,"P5")</f>
        <v>0</v>
      </c>
      <c r="L74" s="410">
        <f>SUMIFS('LAC 102_Wkst'!$Q$7:$Q$2010,'LAC 102_Wkst'!$E$7:$E$2010,$C74,'LAC 102_Wkst'!$G$7:$G$2010,$D74,'LAC 102_Wkst'!$L$7:$L$2010,"03",'LAC 102_Wkst'!$N$7:$N$2010,"P1")+SUMIFS('LAC 102_Wkst'!$Q$7:$Q$2010,'LAC 102_Wkst'!$E$7:$E$2010,$C74,'LAC 102_Wkst'!$G$7:$G$2010,$D74,'LAC 102_Wkst'!$L$7:$L$2010,"03",'LAC 102_Wkst'!$N$7:$N$2010,"P2")+SUMIFS('LAC 102_Wkst'!$Q$7:$Q$2010,'LAC 102_Wkst'!$E$7:$E$2010,$C74,'LAC 102_Wkst'!$G$7:$G$2010,$D74,'LAC 102_Wkst'!$L$7:$L$2010,"03",'LAC 102_Wkst'!$N$7:$N$2010,"P3")+SUMIFS('LAC 102_Wkst'!$Q$7:$Q$2010,'LAC 102_Wkst'!$E$7:$E$2010,$C74,'LAC 102_Wkst'!$G$7:$G$2010,$D74,'LAC 102_Wkst'!$L$7:$L$2010,"04",'LAC 102_Wkst'!$N$7:$N$2010,"P1")+SUMIFS('LAC 102_Wkst'!$Q$7:$Q$2010,'LAC 102_Wkst'!$E$7:$E$2010,$C74,'LAC 102_Wkst'!$G$7:$G$2010,$D74,'LAC 102_Wkst'!$L$7:$L$2010,"04",'LAC 102_Wkst'!$N$7:$N$2010,"P2")+SUMIFS('LAC 102_Wkst'!$Q$7:$Q$2010,'LAC 102_Wkst'!$E$7:$E$2010,$C74,'LAC 102_Wkst'!$G$7:$G$2010,$D74,'LAC 102_Wkst'!$L$7:$L$2010,"04",'LAC 102_Wkst'!$N$7:$N$2010,"P3")</f>
        <v>0</v>
      </c>
      <c r="M74" s="411">
        <f>SUMIFS('LAC 102_Wkst'!$AE$7:$AE$2010,'LAC 102_Wkst'!$E$7:$E$2010,$C74,'LAC 102_Wkst'!$G$7:$G$2010,$D74,'LAC 102_Wkst'!$L$7:$L$2010,"03",'LAC 102_Wkst'!$N$7:$N$2010,"P1")+SUMIFS('LAC 102_Wkst'!$AE$7:$AE$2010,'LAC 102_Wkst'!$E$7:$E$2010,$C74,'LAC 102_Wkst'!$G$7:$G$2010,$D74,'LAC 102_Wkst'!$L$7:$L$2010,"03",'LAC 102_Wkst'!$N$7:$N$2010,"P2")+SUMIFS('LAC 102_Wkst'!$AE$7:$AE$2010,'LAC 102_Wkst'!$E$7:$E$2010,$C74,'LAC 102_Wkst'!$G$7:$G$2010,$D74,'LAC 102_Wkst'!$L$7:$L$2010,"03",'LAC 102_Wkst'!$N$7:$N$2010,"P3")+SUMIFS('LAC 102_Wkst'!$AE$7:$AE$2010,'LAC 102_Wkst'!$E$7:$E$2010,$C74,'LAC 102_Wkst'!$G$7:$G$2010,$D74,'LAC 102_Wkst'!$L$7:$L$2010,"04",'LAC 102_Wkst'!$N$7:$N$2010,"P1")+SUMIFS('LAC 102_Wkst'!$AE$7:$AE$2010,'LAC 102_Wkst'!$E$7:$E$2010,$C74,'LAC 102_Wkst'!$G$7:$G$2010,$D74,'LAC 102_Wkst'!$L$7:$L$2010,"04",'LAC 102_Wkst'!$N$7:$N$2010,"P2")+SUMIFS('LAC 102_Wkst'!$AE$7:$AE$2010,'LAC 102_Wkst'!$E$7:$E$2010,$C74,'LAC 102_Wkst'!$G$7:$G$2010,$D74,'LAC 102_Wkst'!$L$7:$L$2010,"04",'LAC 102_Wkst'!$N$7:$N$2010,"P3")</f>
        <v>0</v>
      </c>
      <c r="N74" s="410">
        <f>SUMIFS('LAC 102_Wkst'!$Q$7:$Q$2010,'LAC 102_Wkst'!$E$7:$E$2010,$C74,'LAC 102_Wkst'!$G$7:$G$2010,$D74,'LAC 102_Wkst'!$L$7:$L$2010,"03",'LAC 102_Wkst'!$N$7:$N$2010,"P4")+SUMIFS('LAC 102_Wkst'!$Q$7:$Q$2010,'LAC 102_Wkst'!$E$7:$E$2010,$C74,'LAC 102_Wkst'!$G$7:$G$2010,$D74,'LAC 102_Wkst'!$L$7:$L$2010,"04",'LAC 102_Wkst'!$N$7:$N$2010,"P4")</f>
        <v>0</v>
      </c>
      <c r="O74" s="411">
        <f>SUMIFS('LAC 102_Wkst'!$AE$7:$AE$2010,'LAC 102_Wkst'!$E$7:$E$2010,$C74,'LAC 102_Wkst'!$G$7:$G$2010,$D74,'LAC 102_Wkst'!$L$7:$L$2010,"03",'LAC 102_Wkst'!$N$7:$N$2010,"P4")+SUMIFS('LAC 102_Wkst'!$AE$7:$AE$2010,'LAC 102_Wkst'!$E$7:$E$2010,$C74,'LAC 102_Wkst'!$G$7:$G$2010,$D74,'LAC 102_Wkst'!$L$7:$L$2010,"04",'LAC 102_Wkst'!$N$7:$N$2010,"P4")</f>
        <v>0</v>
      </c>
      <c r="P74" s="410">
        <f>SUMIFS('LAC 102_Wkst'!$Q$7:$Q$2010,'LAC 102_Wkst'!$E$7:$E$2010,$C74,'LAC 102_Wkst'!$G$7:$G$2010,$D74,'LAC 102_Wkst'!$L$7:$L$2010,"03",'LAC 102_Wkst'!$N$7:$N$2010,"P5")+SUMIFS('LAC 102_Wkst'!$Q$7:$Q$2010,'LAC 102_Wkst'!$E$7:$E$2010,$C74,'LAC 102_Wkst'!$G$7:$G$2010,$D74,'LAC 102_Wkst'!$L$7:$L$2010,"04",'LAC 102_Wkst'!$N$7:$N$2010,"P5")</f>
        <v>0</v>
      </c>
      <c r="Q74" s="411">
        <f>SUMIFS('LAC 102_Wkst'!$AE$7:$AE$2010,'LAC 102_Wkst'!$E$7:$E$2010,$C74,'LAC 102_Wkst'!$G$7:$G$2010,$D74,'LAC 102_Wkst'!$L$7:$L$2010,"03",'LAC 102_Wkst'!$N$7:$N$2010,"P5")+SUMIFS('LAC 102_Wkst'!$AE$7:$AE$2010,'LAC 102_Wkst'!$E$7:$E$2010,$C74,'LAC 102_Wkst'!$G$7:$G$2010,$D74,'LAC 102_Wkst'!$L$7:$L$2010,"04",'LAC 102_Wkst'!$N$7:$N$2010,"P5")</f>
        <v>0</v>
      </c>
      <c r="R74" s="412">
        <f>SUMIFS('LAC 102_Wkst'!$Q$7:$Q$2010,'LAC 102_Wkst'!$E$7:$E$2010,$C74,'LAC 102_Wkst'!$G$7:$G$2010,$D74,'LAC 102_Wkst'!$L$7:$L$2010,"05",'LAC 102_Wkst'!$N$7:$N$2010,"P1")+SUMIFS('LAC 102_Wkst'!$Q$7:$Q$2010,'LAC 102_Wkst'!$E$7:$E$2010,$C74,'LAC 102_Wkst'!$G$7:$G$2010,$D74,'LAC 102_Wkst'!$L$7:$L$2010,"06",'LAC 102_Wkst'!$N$7:$N$2010,"P1")</f>
        <v>0</v>
      </c>
      <c r="S74" s="411">
        <f>SUMIFS('LAC 102_Wkst'!$AE$7:$AE$2010,'LAC 102_Wkst'!$E$7:$E$2010,$C74,'LAC 102_Wkst'!$G$7:$G$2010,$D74,'LAC 102_Wkst'!$L$7:$L$2010,"05",'LAC 102_Wkst'!$N$7:$N$2010,"P1")+SUMIFS('LAC 102_Wkst'!$AE$7:$AE$2010,'LAC 102_Wkst'!$E$7:$E$2010,$C74,'LAC 102_Wkst'!$G$7:$G$2010,$D74,'LAC 102_Wkst'!$L$7:$L$2010,"06",'LAC 102_Wkst'!$N$7:$N$2010,"P1")</f>
        <v>0</v>
      </c>
      <c r="T74" s="410">
        <f>SUMIFS('LAC 102_Wkst'!$Q$7:$Q$2010,'LAC 102_Wkst'!$E$7:$E$2010,$C74,'LAC 102_Wkst'!$G$7:$G$2010,$D74,'LAC 102_Wkst'!$L$7:$L$2010,"05",'LAC 102_Wkst'!$N$7:$N$2010,"P2")+SUMIFS('LAC 102_Wkst'!$Q$7:$Q$2010,'LAC 102_Wkst'!$E$7:$E$2010,$C74,'LAC 102_Wkst'!$G$7:$G$2010,$D74,'LAC 102_Wkst'!$L$7:$L$2010,"05",'LAC 102_Wkst'!$N$7:$N$2010,"P3")+SUMIFS('LAC 102_Wkst'!$Q$7:$Q$2010,'LAC 102_Wkst'!$E$7:$E$2010,$C74,'LAC 102_Wkst'!$G$7:$G$2010,$D74,'LAC 102_Wkst'!$L$7:$L$2010,"06",'LAC 102_Wkst'!$N$7:$N$2010,"P2")+SUMIFS('LAC 102_Wkst'!$Q$7:$Q$2010,'LAC 102_Wkst'!$E$7:$E$2010,$C74,'LAC 102_Wkst'!$G$7:$G$2010,$D74,'LAC 102_Wkst'!$L$7:$L$2010,"06",'LAC 102_Wkst'!$N$7:$N$2010,"P3")</f>
        <v>0</v>
      </c>
      <c r="U74" s="411">
        <f>SUMIFS('LAC 102_Wkst'!$AE$7:$AE$2010,'LAC 102_Wkst'!$E$7:$E$2010,$C74,'LAC 102_Wkst'!$G$7:$G$2010,$D74,'LAC 102_Wkst'!$L$7:$L$2010,"05",'LAC 102_Wkst'!$N$7:$N$2010,"P2")+SUMIFS('LAC 102_Wkst'!$AE$7:$AE$2010,'LAC 102_Wkst'!$E$7:$E$2010,$C74,'LAC 102_Wkst'!$G$7:$G$2010,$D74,'LAC 102_Wkst'!$L$7:$L$2010,"06",'LAC 102_Wkst'!$N$7:$N$2010,"P3")+SUMIFS('LAC 102_Wkst'!$AE$7:$AE$2010,'LAC 102_Wkst'!$E$7:$E$2010,$C74,'LAC 102_Wkst'!$G$7:$G$2010,$D74,'LAC 102_Wkst'!$L$7:$L$2010,"05",'LAC 102_Wkst'!$N$7:$N$2010,"P2")+SUMIFS('LAC 102_Wkst'!$AE$7:$AE$2010,'LAC 102_Wkst'!$E$7:$E$2010,$C74,'LAC 102_Wkst'!$G$7:$G$2010,$D74,'LAC 102_Wkst'!$L$7:$L$2010,"06",'LAC 102_Wkst'!$N$7:$N$2010,"P3")</f>
        <v>0</v>
      </c>
      <c r="V74" s="410">
        <f>SUMIFS('LAC 102_Wkst'!$Q$7:$Q$2010,'LAC 102_Wkst'!$E$7:$E$2010,$C74,'LAC 102_Wkst'!$G$7:$G$2010,$D74,'LAC 102_Wkst'!$L$7:$L$2010,"05",'LAC 102_Wkst'!$N$7:$N$2010,"P4")+SUMIFS('LAC 102_Wkst'!$Q$7:$Q$2010,'LAC 102_Wkst'!$E$7:$E$2010,$C74,'LAC 102_Wkst'!$G$7:$G$2010,$D74,'LAC 102_Wkst'!$L$7:$L$2010,"06",'LAC 102_Wkst'!$N$7:$N$2010,"P4")</f>
        <v>0</v>
      </c>
      <c r="W74" s="411">
        <f>SUMIFS('LAC 102_Wkst'!$AE$7:$AE$2010,'LAC 102_Wkst'!$E$7:$E$2010,$C74,'LAC 102_Wkst'!$G$7:$G$2010,$D74,'LAC 102_Wkst'!$L$7:$L$2010,"05",'LAC 102_Wkst'!$N$7:$N$2010,"P4")+SUMIFS('LAC 102_Wkst'!$AE$7:$AE$2010,'LAC 102_Wkst'!$E$7:$E$2010,$C74,'LAC 102_Wkst'!$G$7:$G$2010,$D74,'LAC 102_Wkst'!$L$7:$L$2010,"06",'LAC 102_Wkst'!$N$7:$N$2010,"P4")</f>
        <v>0</v>
      </c>
      <c r="X74" s="410">
        <f>SUMIFS('LAC 102_Wkst'!$Q$7:$Q$2010,'LAC 102_Wkst'!$E$7:$E$2010,$C74,'LAC 102_Wkst'!$G$7:$G$2010,$D74,'LAC 102_Wkst'!$L$7:$L$2010,"05",'LAC 102_Wkst'!$N$7:$N$2010,"P5")+SUMIFS('LAC 102_Wkst'!$Q$7:$Q$2010,'LAC 102_Wkst'!$E$7:$E$2010,$C74,'LAC 102_Wkst'!$G$7:$G$2010,$D74,'LAC 102_Wkst'!$L$7:$L$2010,"06",'LAC 102_Wkst'!$N$7:$N$2010,"P5")</f>
        <v>0</v>
      </c>
      <c r="Y74" s="411">
        <f>SUMIFS('LAC 102_Wkst'!$AE$7:$AE$2010,'LAC 102_Wkst'!$E$7:$E$2010,$C74,'LAC 102_Wkst'!$G$7:$G$2010,$D74,'LAC 102_Wkst'!$L$7:$L$2010,"05",'LAC 102_Wkst'!$N$7:$N$2010,"P5")+SUMIFS('LAC 102_Wkst'!$AE$7:$AE$2010,'LAC 102_Wkst'!$E$7:$E$2010,$C74,'LAC 102_Wkst'!$G$7:$G$2010,$D74,'LAC 102_Wkst'!$L$7:$L$2010,"06",'LAC 102_Wkst'!$N$7:$N$2010,"P5")</f>
        <v>0</v>
      </c>
      <c r="Z74" s="410">
        <f>SUMIFS('LAC 102_Wkst'!$Q$7:$Q$2010,'LAC 102_Wkst'!$E$7:$E$2010,$C74,'LAC 102_Wkst'!$G$7:$G$2010,$D74,'LAC 102_Wkst'!$L$7:$L$2010,"07",'LAC 102_Wkst'!$N$7:$N$2010,"P1")+SUMIFS('LAC 102_Wkst'!$Q$7:$Q$2010,'LAC 102_Wkst'!$E$7:$E$2010,$C74,'LAC 102_Wkst'!$G$7:$G$2010,$D74,'LAC 102_Wkst'!$L$7:$L$2010,"07",'LAC 102_Wkst'!$N$7:$N$2010,"P2")+SUMIFS('LAC 102_Wkst'!$Q$7:$Q$2010,'LAC 102_Wkst'!$E$7:$E$2010,$C74,'LAC 102_Wkst'!$G$7:$G$2010,$D74,'LAC 102_Wkst'!$L$7:$L$2010,"07",'LAC 102_Wkst'!$N$7:$N$2010,"P3")</f>
        <v>0</v>
      </c>
      <c r="AA74" s="411">
        <f>SUMIFS('LAC 102_Wkst'!$AE$7:$AE$2010,'LAC 102_Wkst'!$E$7:$E$2010,$C74,'LAC 102_Wkst'!$G$7:$G$2010,$D74,'LAC 102_Wkst'!$L$7:$L$2010,"07",'LAC 102_Wkst'!$N$7:$N$2010,"P1")+SUMIFS('LAC 102_Wkst'!$AE$7:$AE$2010,'LAC 102_Wkst'!$E$7:$E$2010,$C74,'LAC 102_Wkst'!$G$7:$G$2010,$D74,'LAC 102_Wkst'!$L$7:$L$2010,"07",'LAC 102_Wkst'!$N$7:$N$2010,"P2")+SUMIFS('LAC 102_Wkst'!$AE$7:$AE$2010,'LAC 102_Wkst'!$E$7:$E$2010,$C74,'LAC 102_Wkst'!$G$7:$G$2010,$D74,'LAC 102_Wkst'!$L$7:$L$2010,"07",'LAC 102_Wkst'!$N$7:$N$2010,"P3")</f>
        <v>0</v>
      </c>
      <c r="AB74" s="410">
        <f>SUMIFS('LAC 102_Wkst'!$Q$7:$Q$2010,'LAC 102_Wkst'!$E$7:$E$2010,$C74,'LAC 102_Wkst'!$G$7:$G$2010,$D74,'LAC 102_Wkst'!$L$7:$L$2010,"07",'LAC 102_Wkst'!$N$7:$N$2010,"P4")</f>
        <v>0</v>
      </c>
      <c r="AC74" s="411">
        <f>SUMIFS('LAC 102_Wkst'!$AE$7:$AE$2010,'LAC 102_Wkst'!$E$7:$E$2010,$C74,'LAC 102_Wkst'!$G$7:$G$2010,$D74,'LAC 102_Wkst'!$L$7:$L$2010,"07",'LAC 102_Wkst'!$N$7:$N$2010,"P4")</f>
        <v>0</v>
      </c>
      <c r="AD74" s="410">
        <f>SUMIFS('LAC 102_Wkst'!$Q$7:$Q$2010,'LAC 102_Wkst'!$E$7:$E$2010,$C74,'LAC 102_Wkst'!$G$7:$G$2010,$D74,'LAC 102_Wkst'!$L$7:$L$2010,"07",'LAC 102_Wkst'!$N$7:$N$2010,"P5")</f>
        <v>0</v>
      </c>
      <c r="AE74" s="411">
        <f>SUMIFS('LAC 102_Wkst'!$AE$7:$AE$2010,'LAC 102_Wkst'!$E$7:$E$2010,$C74,'LAC 102_Wkst'!$G$7:$G$2010,$D74,'LAC 102_Wkst'!$L$7:$L$2010,"07",'LAC 102_Wkst'!$N$7:$N$2010,"P5")</f>
        <v>0</v>
      </c>
      <c r="AF74" s="410">
        <f>SUMIFS('LAC 102_Wkst'!$Q$7:$Q$2010,'LAC 102_Wkst'!$E$7:$E$2010,$C74,'LAC 102_Wkst'!$G$7:$G$2010,$D74,'LAC 102_Wkst'!$L$7:$L$2010,"08",'LAC 102_Wkst'!$N$7:$N$2010,"P1")+SUMIFS('LAC 102_Wkst'!$Q$7:$Q$2010,'LAC 102_Wkst'!$E$7:$E$2010,$C74,'LAC 102_Wkst'!$G$7:$G$2010,$D74,'LAC 102_Wkst'!$L$7:$L$2010,"08",'LAC 102_Wkst'!$N$7:$N$2010,"P2")+SUMIFS('LAC 102_Wkst'!$Q$7:$Q$2010,'LAC 102_Wkst'!$E$7:$E$2010,$C74,'LAC 102_Wkst'!$G$7:$G$2010,$D74,'LAC 102_Wkst'!$L$7:$L$2010,"08",'LAC 102_Wkst'!$N$7:$N$2010,"P3")</f>
        <v>0</v>
      </c>
      <c r="AG74" s="411">
        <f>SUMIFS('LAC 102_Wkst'!$AE$7:$AE$2010,'LAC 102_Wkst'!$E$7:$E$2010,$C74,'LAC 102_Wkst'!$G$7:$G$2010,$D74,'LAC 102_Wkst'!$L$7:$L$2010,"08",'LAC 102_Wkst'!$N$7:$N$2010,"P1")+SUMIFS('LAC 102_Wkst'!$AE$7:$AE$2010,'LAC 102_Wkst'!$E$7:$E$2010,$C74,'LAC 102_Wkst'!$G$7:$G$2010,$D74,'LAC 102_Wkst'!$L$7:$L$2010,"08",'LAC 102_Wkst'!$N$7:$N$2010,"P2")+SUMIFS('LAC 102_Wkst'!$AE$7:$AE$2010,'LAC 102_Wkst'!$E$7:$E$2010,$C74,'LAC 102_Wkst'!$G$7:$G$2010,$D74,'LAC 102_Wkst'!$L$7:$L$2010,"08",'LAC 102_Wkst'!$N$7:$N$2010,"P3")</f>
        <v>0</v>
      </c>
      <c r="AH74" s="410">
        <f>SUMIFS('LAC 102_Wkst'!$Q$7:$Q$2010,'LAC 102_Wkst'!$E$7:$E$2010,$C74,'LAC 102_Wkst'!$G$7:$G$2010,$D74,'LAC 102_Wkst'!$L$7:$L$2010,"08",'LAC 102_Wkst'!$N$7:$N$2010,"P4")</f>
        <v>0</v>
      </c>
      <c r="AI74" s="411">
        <f>SUMIFS('LAC 102_Wkst'!$AE$7:$AE$2010,'LAC 102_Wkst'!$E$7:$E$2010,$C74,'LAC 102_Wkst'!$G$7:$G$2010,$D74,'LAC 102_Wkst'!$L$7:$L$2010,"08",'LAC 102_Wkst'!$N$7:$N$2010,"P4")</f>
        <v>0</v>
      </c>
      <c r="AJ74" s="410">
        <f>SUMIFS('LAC 102_Wkst'!$Q$7:$Q$2010,'LAC 102_Wkst'!$E$7:$E$2010,$C74,'LAC 102_Wkst'!$G$7:$G$2010,$D74,'LAC 102_Wkst'!$L$7:$L$2010,"08",'LAC 102_Wkst'!$N$7:$N$2010,"P5")</f>
        <v>0</v>
      </c>
      <c r="AK74" s="411">
        <f>SUMIFS('LAC 102_Wkst'!$AE$7:$AE$2010,'LAC 102_Wkst'!$E$7:$E$2010,$C74,'LAC 102_Wkst'!$G$7:$G$2010,$D74,'LAC 102_Wkst'!$L$7:$L$2010,"08",'LAC 102_Wkst'!$N$7:$N$2010,"P5")</f>
        <v>0</v>
      </c>
      <c r="AL74" s="410">
        <f>SUMIFS('LAC 102_Wkst'!$Q$7:$Q$2010,'LAC 102_Wkst'!$E$7:$E$2010,$C74,'LAC 102_Wkst'!$G$7:$G$2010,$D74,'LAC 102_Wkst'!$L$7:$L$2010,"09",'LAC 102_Wkst'!$N$7:$N$2010,"P1")+SUMIFS('LAC 102_Wkst'!$Q$7:$Q$2010,'LAC 102_Wkst'!$E$7:$E$2010,$C74,'LAC 102_Wkst'!$G$7:$G$2010,$D74,'LAC 102_Wkst'!$L$7:$L$2010,"09",'LAC 102_Wkst'!$N$7:$N$2010,"P2")+SUMIFS('LAC 102_Wkst'!$Q$7:$Q$2010,'LAC 102_Wkst'!$E$7:$E$2010,$C74,'LAC 102_Wkst'!$G$7:$G$2010,$D74,'LAC 102_Wkst'!$L$7:$L$2010,"09",'LAC 102_Wkst'!$N$7:$N$2010,"P3")+SUMIFS('LAC 102_Wkst'!$Q$7:$Q$2010,'LAC 102_Wkst'!$E$7:$E$2010,$C74,'LAC 102_Wkst'!$G$7:$G$2010,$D74,'LAC 102_Wkst'!$L$7:$L$2010,"09",'LAC 102_Wkst'!$N$7:$N$2010,"P4")</f>
        <v>0</v>
      </c>
      <c r="AM74" s="411">
        <f>SUMIFS('LAC 102_Wkst'!$AE$7:$AE$2010,'LAC 102_Wkst'!$E$7:$E$2010,$C74,'LAC 102_Wkst'!$G$7:$G$2010,$D74,'LAC 102_Wkst'!$L$7:$L$2010,"09",'LAC 102_Wkst'!$N$7:$N$2010,"P1")+SUMIFS('LAC 102_Wkst'!$AE$7:$AE$2010,'LAC 102_Wkst'!$E$7:$E$2010,$C74,'LAC 102_Wkst'!$G$7:$G$2010,$D74,'LAC 102_Wkst'!$L$7:$L$2010,"09",'LAC 102_Wkst'!$N$7:$N$2010,"P2")+SUMIFS('LAC 102_Wkst'!$AE$7:$AE$2010,'LAC 102_Wkst'!$E$7:$E$2010,$C74,'LAC 102_Wkst'!$G$7:$G$2010,$D74,'LAC 102_Wkst'!$L$7:$L$2010,"09",'LAC 102_Wkst'!$N$7:$N$2010,"P3")+SUMIFS('LAC 102_Wkst'!$AE$7:$AE$2010,'LAC 102_Wkst'!$E$7:$E$2010,$C74,'LAC 102_Wkst'!$G$7:$G$2010,$D74,'LAC 102_Wkst'!$L$7:$L$2010,"09",'LAC 102_Wkst'!$N$7:$N$2010,"P4")</f>
        <v>0</v>
      </c>
      <c r="AN74" s="410">
        <f>SUMIFS('LAC 102_Wkst'!$Q$7:$Q$2010,'LAC 102_Wkst'!$E$7:$E$2010,$C74,'LAC 102_Wkst'!$G$7:$G$2010,$D74,'LAC 102_Wkst'!$L$7:$L$2010,"09",'LAC 102_Wkst'!$N$7:$N$2010,"P5")</f>
        <v>0</v>
      </c>
      <c r="AO74" s="411">
        <f>SUMIFS('LAC 102_Wkst'!$AE$7:$AE$2010,'LAC 102_Wkst'!$E$7:$E$2010,$C74,'LAC 102_Wkst'!$G$7:$G$2010,$D74,'LAC 102_Wkst'!$L$7:$L$2010,"09",'LAC 102_Wkst'!$N$7:$N$2010,"P5")</f>
        <v>0</v>
      </c>
      <c r="AP74" s="410">
        <f>SUMIFS('LAC 102_Wkst'!$Q$7:$Q$2010,'LAC 102_Wkst'!$E$7:$E$2010,$C74,'LAC 102_Wkst'!$G$7:$G$2010,$D74,'LAC 102_Wkst'!$L$7:$L$2010,"10",'LAC 102_Wkst'!$N$7:$N$2010,"P1")+SUMIFS('LAC 102_Wkst'!$Q$7:$Q$2010,'LAC 102_Wkst'!$E$7:$E$2010,$C74,'LAC 102_Wkst'!$G$7:$G$2010,$D74,'LAC 102_Wkst'!$L$7:$L$2010,"10",'LAC 102_Wkst'!$N$7:$N$2010,"P2")+SUMIFS('LAC 102_Wkst'!$Q$7:$Q$2010,'LAC 102_Wkst'!$E$7:$E$2010,$C74,'LAC 102_Wkst'!$G$7:$G$2010,$D74,'LAC 102_Wkst'!$L$7:$L$2010,"10",'LAC 102_Wkst'!$N$7:$N$2010,"P3")+SUMIFS('LAC 102_Wkst'!$Q$7:$Q$2010,'LAC 102_Wkst'!$E$7:$E$2010,$C74,'LAC 102_Wkst'!$G$7:$G$2010,$D74,'LAC 102_Wkst'!$L$7:$L$2010,"10",'LAC 102_Wkst'!$N$7:$N$2010,"P4")</f>
        <v>0</v>
      </c>
      <c r="AQ74" s="411">
        <f>SUMIFS('LAC 102_Wkst'!$AE$7:$AE$2010,'LAC 102_Wkst'!$E$7:$E$2010,$C74,'LAC 102_Wkst'!$G$7:$G$2010,$D74,'LAC 102_Wkst'!$L$7:$L$2010,"10",'LAC 102_Wkst'!$N$7:$N$2010,"P1")+SUMIFS('LAC 102_Wkst'!$AE$7:$AE$2010,'LAC 102_Wkst'!$E$7:$E$2010,$C74,'LAC 102_Wkst'!$G$7:$G$2010,$D74,'LAC 102_Wkst'!$L$7:$L$2010,"10",'LAC 102_Wkst'!$N$7:$N$2010,"P2")+SUMIFS('LAC 102_Wkst'!$AE$7:$AE$2010,'LAC 102_Wkst'!$E$7:$E$2010,$C74,'LAC 102_Wkst'!$G$7:$G$2010,$D74,'LAC 102_Wkst'!$L$7:$L$2010,"10",'LAC 102_Wkst'!$N$7:$N$2010,"P3")+SUMIFS('LAC 102_Wkst'!$AE$7:$AE$2010,'LAC 102_Wkst'!$E$7:$E$2010,$C74,'LAC 102_Wkst'!$G$7:$G$2010,$D74,'LAC 102_Wkst'!$L$7:$L$2010,"10",'LAC 102_Wkst'!$N$7:$N$2010,"P4")</f>
        <v>0</v>
      </c>
      <c r="AR74" s="410">
        <f>SUMIFS('LAC 102_Wkst'!$Q$7:$Q$2010,'LAC 102_Wkst'!$E$7:$E$2010,$C74,'LAC 102_Wkst'!$G$7:$G$2010,$D74,'LAC 102_Wkst'!$L$7:$L$2010,"10",'LAC 102_Wkst'!$N$7:$N$2010,"P5")</f>
        <v>0</v>
      </c>
      <c r="AS74" s="411">
        <f>SUMIFS('LAC 102_Wkst'!$AE$7:$AE$2010,'LAC 102_Wkst'!$E$7:$E$2010,$C74,'LAC 102_Wkst'!$G$7:$G$2010,$D74,'LAC 102_Wkst'!$L$7:$L$2010,"10",'LAC 102_Wkst'!$N$7:$N$2010,"P5")</f>
        <v>0</v>
      </c>
      <c r="AT74" s="410">
        <f>SUMIFS('LAC 102_Wkst'!$Q$7:$Q$2010,'LAC 102_Wkst'!$E$7:$E$2010,$C74,'LAC 102_Wkst'!$G$7:$G$2010,$D74,'LAC 102_Wkst'!$L$7:$L$2010,"11",'LAC 102_Wkst'!$N$7:$N$2010,"P1")+SUMIFS('LAC 102_Wkst'!$Q$7:$Q$2010,'LAC 102_Wkst'!$E$7:$E$2010,$C74,'LAC 102_Wkst'!$G$7:$G$2010,$D74,'LAC 102_Wkst'!$L$7:$L$2010,"12",'LAC 102_Wkst'!$N$7:$N$2010,"P1")</f>
        <v>0</v>
      </c>
      <c r="AU74" s="411">
        <f>SUMIFS('LAC 102_Wkst'!$AE$7:$AE$2010,'LAC 102_Wkst'!$E$7:$E$2010,$C74,'LAC 102_Wkst'!$G$7:$G$2010,$D74,'LAC 102_Wkst'!$L$7:$L$2010,"11",'LAC 102_Wkst'!$N$7:$N$2010,"P1")+SUMIFS('LAC 102_Wkst'!$AE$7:$AE$2010,'LAC 102_Wkst'!$E$7:$E$2010,$C74,'LAC 102_Wkst'!$G$7:$G$2010,$D74,'LAC 102_Wkst'!$L$7:$L$2010,"12",'LAC 102_Wkst'!$N$7:$N$2010,"P1")</f>
        <v>0</v>
      </c>
      <c r="AV74" s="410">
        <f>SUMIFS('LAC 102_Wkst'!$Q$7:$Q$2010,'LAC 102_Wkst'!$E$7:$E$2010,$C74,'LAC 102_Wkst'!$G$7:$G$2010,$D74,'LAC 102_Wkst'!$L$7:$L$2010,"11",'LAC 102_Wkst'!$N$7:$N$2010,"P2")+SUMIFS('LAC 102_Wkst'!$Q$7:$Q$2010,'LAC 102_Wkst'!$E$7:$E$2010,$C74,'LAC 102_Wkst'!$G$7:$G$2010,$D74,'LAC 102_Wkst'!$L$7:$L$2010,"12",'LAC 102_Wkst'!$N$7:$N$2010,"P3")+SUMIFS('LAC 102_Wkst'!$Q$7:$Q$2010,'LAC 102_Wkst'!$E$7:$E$2010,$C74,'LAC 102_Wkst'!$G$7:$G$2010,$D74,'LAC 102_Wkst'!$L$7:$L$2010,"11",'LAC 102_Wkst'!$N$7:$N$2010,"P2")+SUMIFS('LAC 102_Wkst'!$Q$7:$Q$2010,'LAC 102_Wkst'!$E$7:$E$2010,$C74,'LAC 102_Wkst'!$G$7:$G$2010,$D74,'LAC 102_Wkst'!$L$7:$L$2010,"12",'LAC 102_Wkst'!$N$7:$N$2010,"P3")</f>
        <v>0</v>
      </c>
      <c r="AW74" s="411">
        <f>SUMIFS('LAC 102_Wkst'!$AE$7:$AE$2010,'LAC 102_Wkst'!$E$7:$E$2010,$C74,'LAC 102_Wkst'!$G$7:$G$2010,$D74,'LAC 102_Wkst'!$L$7:$L$2010,"11",'LAC 102_Wkst'!$N$7:$N$2010,"P2")+SUMIFS('LAC 102_Wkst'!$AE$7:$AE$2010,'LAC 102_Wkst'!$E$7:$E$2010,$C74,'LAC 102_Wkst'!$G$7:$G$2010,$D74,'LAC 102_Wkst'!$L$7:$L$2010,"12",'LAC 102_Wkst'!$N$7:$N$2010,"P3")+SUMIFS('LAC 102_Wkst'!$AE$7:$AE$2010,'LAC 102_Wkst'!$E$7:$E$2010,$C74,'LAC 102_Wkst'!$G$7:$G$2010,$D74,'LAC 102_Wkst'!$L$7:$L$2010,"11",'LAC 102_Wkst'!$N$7:$N$2010,"P2")+SUMIFS('LAC 102_Wkst'!$AE$7:$AE$2010,'LAC 102_Wkst'!$E$7:$E$2010,$C74,'LAC 102_Wkst'!$G$7:$G$2010,$D74,'LAC 102_Wkst'!$L$7:$L$2010,"12",'LAC 102_Wkst'!$N$7:$N$2010,"P3")</f>
        <v>0</v>
      </c>
      <c r="AX74" s="410">
        <f>SUMIFS('LAC 102_Wkst'!$Q$7:$Q$2010,'LAC 102_Wkst'!$E$7:$E$2010,$C74,'LAC 102_Wkst'!$G$7:$G$2010,$D74,'LAC 102_Wkst'!$L$7:$L$2010,"11",'LAC 102_Wkst'!$N$7:$N$2010,"P4")+SUMIFS('LAC 102_Wkst'!$Q$7:$Q$2010,'LAC 102_Wkst'!$E$7:$E$2010,$C74,'LAC 102_Wkst'!$G$7:$G$2010,$D74,'LAC 102_Wkst'!$L$7:$L$2010,"12",'LAC 102_Wkst'!$N$7:$N$2010,"P4")</f>
        <v>0</v>
      </c>
      <c r="AY74" s="411">
        <f>SUMIFS('LAC 102_Wkst'!$AE$7:$AE$2010,'LAC 102_Wkst'!$E$7:$E$2010,$C74,'LAC 102_Wkst'!$G$7:$G$2010,$D74,'LAC 102_Wkst'!$L$7:$L$2010,"11",'LAC 102_Wkst'!$N$7:$N$2010,"P4")+SUMIFS('LAC 102_Wkst'!$AE$7:$AE$2010,'LAC 102_Wkst'!$E$7:$E$2010,$C74,'LAC 102_Wkst'!$G$7:$G$2010,$D74,'LAC 102_Wkst'!$L$7:$L$2010,"12",'LAC 102_Wkst'!$N$7:$N$2010,"P4")</f>
        <v>0</v>
      </c>
      <c r="AZ74" s="410">
        <f>SUMIFS('LAC 102_Wkst'!$Q$7:$Q$2010,'LAC 102_Wkst'!$E$7:$E$2010,$C74,'LAC 102_Wkst'!$G$7:$G$2010,$D74,'LAC 102_Wkst'!$L$7:$L$2010,"11",'LAC 102_Wkst'!$N$7:$N$2010,"P5")+SUMIFS('LAC 102_Wkst'!$Q$7:$Q$2010,'LAC 102_Wkst'!$E$7:$E$2010,$C74,'LAC 102_Wkst'!$G$7:$G$2010,$D74,'LAC 102_Wkst'!$L$7:$L$2010,"12",'LAC 102_Wkst'!$N$7:$N$2010,"P5")</f>
        <v>0</v>
      </c>
      <c r="BA74" s="411">
        <f>SUMIFS('LAC 102_Wkst'!$AE$7:$AE$2010,'LAC 102_Wkst'!$E$7:$E$2010,$C74,'LAC 102_Wkst'!$G$7:$G$2010,$D74,'LAC 102_Wkst'!$L$7:$L$2010,"11",'LAC 102_Wkst'!$N$7:$N$2010,"P5")+SUMIFS('LAC 102_Wkst'!$AE$7:$AE$2010,'LAC 102_Wkst'!$E$7:$E$2010,$C74,'LAC 102_Wkst'!$G$7:$G$2010,$D74,'LAC 102_Wkst'!$L$7:$L$2010,"12",'LAC 102_Wkst'!$N$7:$N$2010,"P5")</f>
        <v>0</v>
      </c>
      <c r="BB74" s="410">
        <f>SUMIFS('LAC 102_Wkst'!$Q$7:$Q$2010,'LAC 102_Wkst'!$E$7:$E$2010,$C74,'LAC 102_Wkst'!$G$7:$G$2010,$D74,'LAC 102_Wkst'!$L$7:$L$2010,"13",'LAC 102_Wkst'!$N$7:$N$2010,"P1")+SUMIFS('LAC 102_Wkst'!$Q$7:$Q$2010,'LAC 102_Wkst'!$E$7:$E$2010,$C74,'LAC 102_Wkst'!$G$7:$G$2010,$D74,'LAC 102_Wkst'!$L$7:$L$2010,"13",'LAC 102_Wkst'!$N$7:$N$2010,"P2")+SUMIFS('LAC 102_Wkst'!$Q$7:$Q$2010,'LAC 102_Wkst'!$E$7:$E$2010,$C74,'LAC 102_Wkst'!$G$7:$G$2010,$D74,'LAC 102_Wkst'!$L$7:$L$2010,"13",'LAC 102_Wkst'!$N$7:$N$2010,"P3")+SUMIFS('LAC 102_Wkst'!$Q$7:$Q$2010,'LAC 102_Wkst'!$E$7:$E$2010,$C74,'LAC 102_Wkst'!$G$7:$G$2010,$D74,'LAC 102_Wkst'!$L$7:$L$2010,"13",'LAC 102_Wkst'!$N$7:$N$2010,"P4")</f>
        <v>0</v>
      </c>
      <c r="BC74" s="411">
        <f>SUMIFS('LAC 102_Wkst'!$AE$7:$AE$2010,'LAC 102_Wkst'!$E$7:$E$2010,$C74,'LAC 102_Wkst'!$G$7:$G$2010,$D74,'LAC 102_Wkst'!$L$7:$L$2010,"13",'LAC 102_Wkst'!$N$7:$N$2010,"P1")+SUMIFS('LAC 102_Wkst'!$AE$7:$AE$2010,'LAC 102_Wkst'!$E$7:$E$2010,$C74,'LAC 102_Wkst'!$G$7:$G$2010,$D74,'LAC 102_Wkst'!$L$7:$L$2010,"13",'LAC 102_Wkst'!$N$7:$N$2010,"P2")+SUMIFS('LAC 102_Wkst'!$AE$7:$AE$2010,'LAC 102_Wkst'!$E$7:$E$2010,$C74,'LAC 102_Wkst'!$G$7:$G$2010,$D74,'LAC 102_Wkst'!$L$7:$L$2010,"13",'LAC 102_Wkst'!$N$7:$N$2010,"P3")+SUMIFS('LAC 102_Wkst'!$AE$7:$AE$2010,'LAC 102_Wkst'!$E$7:$E$2010,$C74,'LAC 102_Wkst'!$G$7:$G$2010,$D74,'LAC 102_Wkst'!$L$7:$L$2010,"13",'LAC 102_Wkst'!$N$7:$N$2010,"P4")</f>
        <v>0</v>
      </c>
      <c r="BD74" s="410">
        <f>SUMIFS('LAC 102_Wkst'!$Q$7:$Q$2010,'LAC 102_Wkst'!$E$7:$E$2010,$C74,'LAC 102_Wkst'!$G$7:$G$2010,$D74,'LAC 102_Wkst'!$L$7:$L$2010,"13",'LAC 102_Wkst'!$N$7:$N$2010,"P5")</f>
        <v>0</v>
      </c>
      <c r="BE74" s="411">
        <f>SUMIFS('LAC 102_Wkst'!$AE$7:$AE$2010,'LAC 102_Wkst'!$E$7:$E$2010,$C74,'LAC 102_Wkst'!$G$7:$G$2010,$D74,'LAC 102_Wkst'!$L$7:$L$2010,"13",'LAC 102_Wkst'!$N$7:$N$2010,"P5")</f>
        <v>0</v>
      </c>
      <c r="BF74" s="407">
        <f t="shared" si="0"/>
        <v>0</v>
      </c>
    </row>
    <row r="75" spans="1:58" x14ac:dyDescent="0.2">
      <c r="A75" s="401">
        <v>56</v>
      </c>
      <c r="B75" s="1236"/>
      <c r="C75" s="1235"/>
      <c r="D75" s="1237"/>
      <c r="E75" s="1222">
        <f>IF(CONCATENATE(C75,D75)&gt;"6069",1,SUMIFS('LAC 102_Wkst'!$Q$7:$Q$2010,'LAC 102_Wkst'!$E$7:$E$2010,Schedule_B!$C75,'LAC 102_Wkst'!$G$7:$G$2010,Schedule_B!$D75))</f>
        <v>0</v>
      </c>
      <c r="F75" s="408">
        <f>SUMIFS('LAC 102_Wkst'!$Q$7:$Q$2010,'LAC 102_Wkst'!$E$7:$E$2010,$C75,'LAC 102_Wkst'!$G$7:$G$2010,$D75,'LAC 102_Wkst'!$L$7:$L$2010,"01",'LAC 102_Wkst'!$N$7:$N$2010,"P1")+SUMIFS('LAC 102_Wkst'!$Q$7:$Q$2010,'LAC 102_Wkst'!$E$7:$E$2010,$C75,'LAC 102_Wkst'!$G$7:$G$2010,$D75,'LAC 102_Wkst'!$L$7:$L$2010,"01",'LAC 102_Wkst'!$N$7:$N$2010,"P2")+SUMIFS('LAC 102_Wkst'!$Q$7:$Q$2010,'LAC 102_Wkst'!$E$7:$E$2010,$C75,'LAC 102_Wkst'!$G$7:$G$2010,$D75,'LAC 102_Wkst'!$L$7:$L$2010,"01",'LAC 102_Wkst'!$N$7:$N$2010,"P3")+SUMIFS('LAC 102_Wkst'!$Q$7:$Q$2010,'LAC 102_Wkst'!$E$7:$E$2010,$C75,'LAC 102_Wkst'!$G$7:$G$2010,$D75,'LAC 102_Wkst'!$L$7:$L$2010,"02",'LAC 102_Wkst'!$N$7:$N$2010,"P1")+SUMIFS('LAC 102_Wkst'!$Q$7:$Q$2010,'LAC 102_Wkst'!$E$7:$E$2010,$C75,'LAC 102_Wkst'!$G$7:$G$2010,$D75,'LAC 102_Wkst'!$L$7:$L$2010,"02",'LAC 102_Wkst'!$N$7:$N$2010,"P2")+SUMIFS('LAC 102_Wkst'!$Q$7:$Q$2010,'LAC 102_Wkst'!$E$7:$E$2010,$C75,'LAC 102_Wkst'!$G$7:$G$2010,$D75,'LAC 102_Wkst'!$L$7:$L$2010,"02",'LAC 102_Wkst'!$N$7:$N$2010,"P3")</f>
        <v>0</v>
      </c>
      <c r="G75" s="409">
        <f>SUMIFS('LAC 102_Wkst'!$AE$7:$AE$2010,'LAC 102_Wkst'!$E$7:$E$2010,$C75,'LAC 102_Wkst'!$G$7:$G$2010,$D75,'LAC 102_Wkst'!$L$7:$L$2010,"01",'LAC 102_Wkst'!$N$7:$N$2010,"P1")+SUMIFS('LAC 102_Wkst'!$AE$7:$AE$2010,'LAC 102_Wkst'!$E$7:$E$2010,$C75,'LAC 102_Wkst'!$G$7:$G$2010,$D75,'LAC 102_Wkst'!$L$7:$L$2010,"01",'LAC 102_Wkst'!$N$7:$N$2010,"P2")+SUMIFS('LAC 102_Wkst'!$AE$7:$AE$2010,'LAC 102_Wkst'!$E$7:$E$2010,$C75,'LAC 102_Wkst'!$G$7:$G$2010,$D75,'LAC 102_Wkst'!$L$7:$L$2010,"01",'LAC 102_Wkst'!$N$7:$N$2010,"P3")+SUMIFS('LAC 102_Wkst'!$AE$7:$AE$2010,'LAC 102_Wkst'!$E$7:$E$2010,$C75,'LAC 102_Wkst'!$G$7:$G$2010,$D75,'LAC 102_Wkst'!$L$7:$L$2010,"02",'LAC 102_Wkst'!$N$7:$N$2010,"P1")+SUMIFS('LAC 102_Wkst'!$AE$7:$AE$2010,'LAC 102_Wkst'!$E$7:$E$2010,$C75,'LAC 102_Wkst'!$G$7:$G$2010,$D75,'LAC 102_Wkst'!$L$7:$L$2010,"02",'LAC 102_Wkst'!$N$7:$N$2010,"P2")+SUMIFS('LAC 102_Wkst'!$AE$7:$AE$2010,'LAC 102_Wkst'!$E$7:$E$2010,$C75,'LAC 102_Wkst'!$G$7:$G$2010,$D75,'LAC 102_Wkst'!$L$7:$L$2010,"02",'LAC 102_Wkst'!$N$7:$N$2010,"P3")</f>
        <v>0</v>
      </c>
      <c r="H75" s="410">
        <f>SUMIFS('LAC 102_Wkst'!$Q$7:$Q$2010,'LAC 102_Wkst'!$E$7:$E$2010,$C75,'LAC 102_Wkst'!$G$7:$G$2010,$D75,'LAC 102_Wkst'!$L$7:$L$2010,"01",'LAC 102_Wkst'!$N$7:$N$2010,"P4")+SUMIFS('LAC 102_Wkst'!$Q$7:$Q$2010,'LAC 102_Wkst'!$E$7:$E$2010,$C75,'LAC 102_Wkst'!$G$7:$G$2010,$D75,'LAC 102_Wkst'!$L$7:$L$2010,"02",'LAC 102_Wkst'!$N$7:$N$2010,"P4")</f>
        <v>0</v>
      </c>
      <c r="I75" s="411">
        <f>SUMIFS('LAC 102_Wkst'!$AE$7:$AE$2010,'LAC 102_Wkst'!$E$7:$E$2010,$C75,'LAC 102_Wkst'!$G$7:$G$2010,$D75,'LAC 102_Wkst'!$L$7:$L$2010,"01",'LAC 102_Wkst'!$N$7:$N$2010,"P4")+SUMIFS('LAC 102_Wkst'!$AE$7:$AE$2010,'LAC 102_Wkst'!$E$7:$E$2010,$C75,'LAC 102_Wkst'!$G$7:$G$2010,$D75,'LAC 102_Wkst'!$L$7:$L$2010,"02",'LAC 102_Wkst'!$N$7:$N$2010,"P4")</f>
        <v>0</v>
      </c>
      <c r="J75" s="410">
        <f>SUMIFS('LAC 102_Wkst'!$Q$7:$Q$2010,'LAC 102_Wkst'!$E$7:$E$2010,$C75,'LAC 102_Wkst'!$G$7:$G$2010,$D75,'LAC 102_Wkst'!$L$7:$L$2010,"01",'LAC 102_Wkst'!$N$7:$N$2010,"P5")+SUMIFS('LAC 102_Wkst'!$Q$7:$Q$2010,'LAC 102_Wkst'!$E$7:$E$2010,$C75,'LAC 102_Wkst'!$G$7:$G$2010,$D75,'LAC 102_Wkst'!$L$7:$L$2010,"02",'LAC 102_Wkst'!$N$7:$N$2010,"P5")</f>
        <v>0</v>
      </c>
      <c r="K75" s="411">
        <f>SUMIFS('LAC 102_Wkst'!$AE$7:$AE$2010,'LAC 102_Wkst'!$E$7:$E$2010,$C75,'LAC 102_Wkst'!$G$7:$G$2010,$D75,'LAC 102_Wkst'!$L$7:$L$2010,"01",'LAC 102_Wkst'!$N$7:$N$2010,"P5")+SUMIFS('LAC 102_Wkst'!$AE$7:$AE$2010,'LAC 102_Wkst'!$E$7:$E$2010,$C75,'LAC 102_Wkst'!$G$7:$G$2010,$D75,'LAC 102_Wkst'!$L$7:$L$2010,"02",'LAC 102_Wkst'!$N$7:$N$2010,"P5")</f>
        <v>0</v>
      </c>
      <c r="L75" s="410">
        <f>SUMIFS('LAC 102_Wkst'!$Q$7:$Q$2010,'LAC 102_Wkst'!$E$7:$E$2010,$C75,'LAC 102_Wkst'!$G$7:$G$2010,$D75,'LAC 102_Wkst'!$L$7:$L$2010,"03",'LAC 102_Wkst'!$N$7:$N$2010,"P1")+SUMIFS('LAC 102_Wkst'!$Q$7:$Q$2010,'LAC 102_Wkst'!$E$7:$E$2010,$C75,'LAC 102_Wkst'!$G$7:$G$2010,$D75,'LAC 102_Wkst'!$L$7:$L$2010,"03",'LAC 102_Wkst'!$N$7:$N$2010,"P2")+SUMIFS('LAC 102_Wkst'!$Q$7:$Q$2010,'LAC 102_Wkst'!$E$7:$E$2010,$C75,'LAC 102_Wkst'!$G$7:$G$2010,$D75,'LAC 102_Wkst'!$L$7:$L$2010,"03",'LAC 102_Wkst'!$N$7:$N$2010,"P3")+SUMIFS('LAC 102_Wkst'!$Q$7:$Q$2010,'LAC 102_Wkst'!$E$7:$E$2010,$C75,'LAC 102_Wkst'!$G$7:$G$2010,$D75,'LAC 102_Wkst'!$L$7:$L$2010,"04",'LAC 102_Wkst'!$N$7:$N$2010,"P1")+SUMIFS('LAC 102_Wkst'!$Q$7:$Q$2010,'LAC 102_Wkst'!$E$7:$E$2010,$C75,'LAC 102_Wkst'!$G$7:$G$2010,$D75,'LAC 102_Wkst'!$L$7:$L$2010,"04",'LAC 102_Wkst'!$N$7:$N$2010,"P2")+SUMIFS('LAC 102_Wkst'!$Q$7:$Q$2010,'LAC 102_Wkst'!$E$7:$E$2010,$C75,'LAC 102_Wkst'!$G$7:$G$2010,$D75,'LAC 102_Wkst'!$L$7:$L$2010,"04",'LAC 102_Wkst'!$N$7:$N$2010,"P3")</f>
        <v>0</v>
      </c>
      <c r="M75" s="411">
        <f>SUMIFS('LAC 102_Wkst'!$AE$7:$AE$2010,'LAC 102_Wkst'!$E$7:$E$2010,$C75,'LAC 102_Wkst'!$G$7:$G$2010,$D75,'LAC 102_Wkst'!$L$7:$L$2010,"03",'LAC 102_Wkst'!$N$7:$N$2010,"P1")+SUMIFS('LAC 102_Wkst'!$AE$7:$AE$2010,'LAC 102_Wkst'!$E$7:$E$2010,$C75,'LAC 102_Wkst'!$G$7:$G$2010,$D75,'LAC 102_Wkst'!$L$7:$L$2010,"03",'LAC 102_Wkst'!$N$7:$N$2010,"P2")+SUMIFS('LAC 102_Wkst'!$AE$7:$AE$2010,'LAC 102_Wkst'!$E$7:$E$2010,$C75,'LAC 102_Wkst'!$G$7:$G$2010,$D75,'LAC 102_Wkst'!$L$7:$L$2010,"03",'LAC 102_Wkst'!$N$7:$N$2010,"P3")+SUMIFS('LAC 102_Wkst'!$AE$7:$AE$2010,'LAC 102_Wkst'!$E$7:$E$2010,$C75,'LAC 102_Wkst'!$G$7:$G$2010,$D75,'LAC 102_Wkst'!$L$7:$L$2010,"04",'LAC 102_Wkst'!$N$7:$N$2010,"P1")+SUMIFS('LAC 102_Wkst'!$AE$7:$AE$2010,'LAC 102_Wkst'!$E$7:$E$2010,$C75,'LAC 102_Wkst'!$G$7:$G$2010,$D75,'LAC 102_Wkst'!$L$7:$L$2010,"04",'LAC 102_Wkst'!$N$7:$N$2010,"P2")+SUMIFS('LAC 102_Wkst'!$AE$7:$AE$2010,'LAC 102_Wkst'!$E$7:$E$2010,$C75,'LAC 102_Wkst'!$G$7:$G$2010,$D75,'LAC 102_Wkst'!$L$7:$L$2010,"04",'LAC 102_Wkst'!$N$7:$N$2010,"P3")</f>
        <v>0</v>
      </c>
      <c r="N75" s="410">
        <f>SUMIFS('LAC 102_Wkst'!$Q$7:$Q$2010,'LAC 102_Wkst'!$E$7:$E$2010,$C75,'LAC 102_Wkst'!$G$7:$G$2010,$D75,'LAC 102_Wkst'!$L$7:$L$2010,"03",'LAC 102_Wkst'!$N$7:$N$2010,"P4")+SUMIFS('LAC 102_Wkst'!$Q$7:$Q$2010,'LAC 102_Wkst'!$E$7:$E$2010,$C75,'LAC 102_Wkst'!$G$7:$G$2010,$D75,'LAC 102_Wkst'!$L$7:$L$2010,"04",'LAC 102_Wkst'!$N$7:$N$2010,"P4")</f>
        <v>0</v>
      </c>
      <c r="O75" s="411">
        <f>SUMIFS('LAC 102_Wkst'!$AE$7:$AE$2010,'LAC 102_Wkst'!$E$7:$E$2010,$C75,'LAC 102_Wkst'!$G$7:$G$2010,$D75,'LAC 102_Wkst'!$L$7:$L$2010,"03",'LAC 102_Wkst'!$N$7:$N$2010,"P4")+SUMIFS('LAC 102_Wkst'!$AE$7:$AE$2010,'LAC 102_Wkst'!$E$7:$E$2010,$C75,'LAC 102_Wkst'!$G$7:$G$2010,$D75,'LAC 102_Wkst'!$L$7:$L$2010,"04",'LAC 102_Wkst'!$N$7:$N$2010,"P4")</f>
        <v>0</v>
      </c>
      <c r="P75" s="410">
        <f>SUMIFS('LAC 102_Wkst'!$Q$7:$Q$2010,'LAC 102_Wkst'!$E$7:$E$2010,$C75,'LAC 102_Wkst'!$G$7:$G$2010,$D75,'LAC 102_Wkst'!$L$7:$L$2010,"03",'LAC 102_Wkst'!$N$7:$N$2010,"P5")+SUMIFS('LAC 102_Wkst'!$Q$7:$Q$2010,'LAC 102_Wkst'!$E$7:$E$2010,$C75,'LAC 102_Wkst'!$G$7:$G$2010,$D75,'LAC 102_Wkst'!$L$7:$L$2010,"04",'LAC 102_Wkst'!$N$7:$N$2010,"P5")</f>
        <v>0</v>
      </c>
      <c r="Q75" s="411">
        <f>SUMIFS('LAC 102_Wkst'!$AE$7:$AE$2010,'LAC 102_Wkst'!$E$7:$E$2010,$C75,'LAC 102_Wkst'!$G$7:$G$2010,$D75,'LAC 102_Wkst'!$L$7:$L$2010,"03",'LAC 102_Wkst'!$N$7:$N$2010,"P5")+SUMIFS('LAC 102_Wkst'!$AE$7:$AE$2010,'LAC 102_Wkst'!$E$7:$E$2010,$C75,'LAC 102_Wkst'!$G$7:$G$2010,$D75,'LAC 102_Wkst'!$L$7:$L$2010,"04",'LAC 102_Wkst'!$N$7:$N$2010,"P5")</f>
        <v>0</v>
      </c>
      <c r="R75" s="412">
        <f>SUMIFS('LAC 102_Wkst'!$Q$7:$Q$2010,'LAC 102_Wkst'!$E$7:$E$2010,$C75,'LAC 102_Wkst'!$G$7:$G$2010,$D75,'LAC 102_Wkst'!$L$7:$L$2010,"05",'LAC 102_Wkst'!$N$7:$N$2010,"P1")+SUMIFS('LAC 102_Wkst'!$Q$7:$Q$2010,'LAC 102_Wkst'!$E$7:$E$2010,$C75,'LAC 102_Wkst'!$G$7:$G$2010,$D75,'LAC 102_Wkst'!$L$7:$L$2010,"06",'LAC 102_Wkst'!$N$7:$N$2010,"P1")</f>
        <v>0</v>
      </c>
      <c r="S75" s="411">
        <f>SUMIFS('LAC 102_Wkst'!$AE$7:$AE$2010,'LAC 102_Wkst'!$E$7:$E$2010,$C75,'LAC 102_Wkst'!$G$7:$G$2010,$D75,'LAC 102_Wkst'!$L$7:$L$2010,"05",'LAC 102_Wkst'!$N$7:$N$2010,"P1")+SUMIFS('LAC 102_Wkst'!$AE$7:$AE$2010,'LAC 102_Wkst'!$E$7:$E$2010,$C75,'LAC 102_Wkst'!$G$7:$G$2010,$D75,'LAC 102_Wkst'!$L$7:$L$2010,"06",'LAC 102_Wkst'!$N$7:$N$2010,"P1")</f>
        <v>0</v>
      </c>
      <c r="T75" s="410">
        <f>SUMIFS('LAC 102_Wkst'!$Q$7:$Q$2010,'LAC 102_Wkst'!$E$7:$E$2010,$C75,'LAC 102_Wkst'!$G$7:$G$2010,$D75,'LAC 102_Wkst'!$L$7:$L$2010,"05",'LAC 102_Wkst'!$N$7:$N$2010,"P2")+SUMIFS('LAC 102_Wkst'!$Q$7:$Q$2010,'LAC 102_Wkst'!$E$7:$E$2010,$C75,'LAC 102_Wkst'!$G$7:$G$2010,$D75,'LAC 102_Wkst'!$L$7:$L$2010,"05",'LAC 102_Wkst'!$N$7:$N$2010,"P3")+SUMIFS('LAC 102_Wkst'!$Q$7:$Q$2010,'LAC 102_Wkst'!$E$7:$E$2010,$C75,'LAC 102_Wkst'!$G$7:$G$2010,$D75,'LAC 102_Wkst'!$L$7:$L$2010,"06",'LAC 102_Wkst'!$N$7:$N$2010,"P2")+SUMIFS('LAC 102_Wkst'!$Q$7:$Q$2010,'LAC 102_Wkst'!$E$7:$E$2010,$C75,'LAC 102_Wkst'!$G$7:$G$2010,$D75,'LAC 102_Wkst'!$L$7:$L$2010,"06",'LAC 102_Wkst'!$N$7:$N$2010,"P3")</f>
        <v>0</v>
      </c>
      <c r="U75" s="411">
        <f>SUMIFS('LAC 102_Wkst'!$AE$7:$AE$2010,'LAC 102_Wkst'!$E$7:$E$2010,$C75,'LAC 102_Wkst'!$G$7:$G$2010,$D75,'LAC 102_Wkst'!$L$7:$L$2010,"05",'LAC 102_Wkst'!$N$7:$N$2010,"P2")+SUMIFS('LAC 102_Wkst'!$AE$7:$AE$2010,'LAC 102_Wkst'!$E$7:$E$2010,$C75,'LAC 102_Wkst'!$G$7:$G$2010,$D75,'LAC 102_Wkst'!$L$7:$L$2010,"06",'LAC 102_Wkst'!$N$7:$N$2010,"P3")+SUMIFS('LAC 102_Wkst'!$AE$7:$AE$2010,'LAC 102_Wkst'!$E$7:$E$2010,$C75,'LAC 102_Wkst'!$G$7:$G$2010,$D75,'LAC 102_Wkst'!$L$7:$L$2010,"05",'LAC 102_Wkst'!$N$7:$N$2010,"P2")+SUMIFS('LAC 102_Wkst'!$AE$7:$AE$2010,'LAC 102_Wkst'!$E$7:$E$2010,$C75,'LAC 102_Wkst'!$G$7:$G$2010,$D75,'LAC 102_Wkst'!$L$7:$L$2010,"06",'LAC 102_Wkst'!$N$7:$N$2010,"P3")</f>
        <v>0</v>
      </c>
      <c r="V75" s="410">
        <f>SUMIFS('LAC 102_Wkst'!$Q$7:$Q$2010,'LAC 102_Wkst'!$E$7:$E$2010,$C75,'LAC 102_Wkst'!$G$7:$G$2010,$D75,'LAC 102_Wkst'!$L$7:$L$2010,"05",'LAC 102_Wkst'!$N$7:$N$2010,"P4")+SUMIFS('LAC 102_Wkst'!$Q$7:$Q$2010,'LAC 102_Wkst'!$E$7:$E$2010,$C75,'LAC 102_Wkst'!$G$7:$G$2010,$D75,'LAC 102_Wkst'!$L$7:$L$2010,"06",'LAC 102_Wkst'!$N$7:$N$2010,"P4")</f>
        <v>0</v>
      </c>
      <c r="W75" s="411">
        <f>SUMIFS('LAC 102_Wkst'!$AE$7:$AE$2010,'LAC 102_Wkst'!$E$7:$E$2010,$C75,'LAC 102_Wkst'!$G$7:$G$2010,$D75,'LAC 102_Wkst'!$L$7:$L$2010,"05",'LAC 102_Wkst'!$N$7:$N$2010,"P4")+SUMIFS('LAC 102_Wkst'!$AE$7:$AE$2010,'LAC 102_Wkst'!$E$7:$E$2010,$C75,'LAC 102_Wkst'!$G$7:$G$2010,$D75,'LAC 102_Wkst'!$L$7:$L$2010,"06",'LAC 102_Wkst'!$N$7:$N$2010,"P4")</f>
        <v>0</v>
      </c>
      <c r="X75" s="410">
        <f>SUMIFS('LAC 102_Wkst'!$Q$7:$Q$2010,'LAC 102_Wkst'!$E$7:$E$2010,$C75,'LAC 102_Wkst'!$G$7:$G$2010,$D75,'LAC 102_Wkst'!$L$7:$L$2010,"05",'LAC 102_Wkst'!$N$7:$N$2010,"P5")+SUMIFS('LAC 102_Wkst'!$Q$7:$Q$2010,'LAC 102_Wkst'!$E$7:$E$2010,$C75,'LAC 102_Wkst'!$G$7:$G$2010,$D75,'LAC 102_Wkst'!$L$7:$L$2010,"06",'LAC 102_Wkst'!$N$7:$N$2010,"P5")</f>
        <v>0</v>
      </c>
      <c r="Y75" s="411">
        <f>SUMIFS('LAC 102_Wkst'!$AE$7:$AE$2010,'LAC 102_Wkst'!$E$7:$E$2010,$C75,'LAC 102_Wkst'!$G$7:$G$2010,$D75,'LAC 102_Wkst'!$L$7:$L$2010,"05",'LAC 102_Wkst'!$N$7:$N$2010,"P5")+SUMIFS('LAC 102_Wkst'!$AE$7:$AE$2010,'LAC 102_Wkst'!$E$7:$E$2010,$C75,'LAC 102_Wkst'!$G$7:$G$2010,$D75,'LAC 102_Wkst'!$L$7:$L$2010,"06",'LAC 102_Wkst'!$N$7:$N$2010,"P5")</f>
        <v>0</v>
      </c>
      <c r="Z75" s="410">
        <f>SUMIFS('LAC 102_Wkst'!$Q$7:$Q$2010,'LAC 102_Wkst'!$E$7:$E$2010,$C75,'LAC 102_Wkst'!$G$7:$G$2010,$D75,'LAC 102_Wkst'!$L$7:$L$2010,"07",'LAC 102_Wkst'!$N$7:$N$2010,"P1")+SUMIFS('LAC 102_Wkst'!$Q$7:$Q$2010,'LAC 102_Wkst'!$E$7:$E$2010,$C75,'LAC 102_Wkst'!$G$7:$G$2010,$D75,'LAC 102_Wkst'!$L$7:$L$2010,"07",'LAC 102_Wkst'!$N$7:$N$2010,"P2")+SUMIFS('LAC 102_Wkst'!$Q$7:$Q$2010,'LAC 102_Wkst'!$E$7:$E$2010,$C75,'LAC 102_Wkst'!$G$7:$G$2010,$D75,'LAC 102_Wkst'!$L$7:$L$2010,"07",'LAC 102_Wkst'!$N$7:$N$2010,"P3")</f>
        <v>0</v>
      </c>
      <c r="AA75" s="411">
        <f>SUMIFS('LAC 102_Wkst'!$AE$7:$AE$2010,'LAC 102_Wkst'!$E$7:$E$2010,$C75,'LAC 102_Wkst'!$G$7:$G$2010,$D75,'LAC 102_Wkst'!$L$7:$L$2010,"07",'LAC 102_Wkst'!$N$7:$N$2010,"P1")+SUMIFS('LAC 102_Wkst'!$AE$7:$AE$2010,'LAC 102_Wkst'!$E$7:$E$2010,$C75,'LAC 102_Wkst'!$G$7:$G$2010,$D75,'LAC 102_Wkst'!$L$7:$L$2010,"07",'LAC 102_Wkst'!$N$7:$N$2010,"P2")+SUMIFS('LAC 102_Wkst'!$AE$7:$AE$2010,'LAC 102_Wkst'!$E$7:$E$2010,$C75,'LAC 102_Wkst'!$G$7:$G$2010,$D75,'LAC 102_Wkst'!$L$7:$L$2010,"07",'LAC 102_Wkst'!$N$7:$N$2010,"P3")</f>
        <v>0</v>
      </c>
      <c r="AB75" s="410">
        <f>SUMIFS('LAC 102_Wkst'!$Q$7:$Q$2010,'LAC 102_Wkst'!$E$7:$E$2010,$C75,'LAC 102_Wkst'!$G$7:$G$2010,$D75,'LAC 102_Wkst'!$L$7:$L$2010,"07",'LAC 102_Wkst'!$N$7:$N$2010,"P4")</f>
        <v>0</v>
      </c>
      <c r="AC75" s="411">
        <f>SUMIFS('LAC 102_Wkst'!$AE$7:$AE$2010,'LAC 102_Wkst'!$E$7:$E$2010,$C75,'LAC 102_Wkst'!$G$7:$G$2010,$D75,'LAC 102_Wkst'!$L$7:$L$2010,"07",'LAC 102_Wkst'!$N$7:$N$2010,"P4")</f>
        <v>0</v>
      </c>
      <c r="AD75" s="410">
        <f>SUMIFS('LAC 102_Wkst'!$Q$7:$Q$2010,'LAC 102_Wkst'!$E$7:$E$2010,$C75,'LAC 102_Wkst'!$G$7:$G$2010,$D75,'LAC 102_Wkst'!$L$7:$L$2010,"07",'LAC 102_Wkst'!$N$7:$N$2010,"P5")</f>
        <v>0</v>
      </c>
      <c r="AE75" s="411">
        <f>SUMIFS('LAC 102_Wkst'!$AE$7:$AE$2010,'LAC 102_Wkst'!$E$7:$E$2010,$C75,'LAC 102_Wkst'!$G$7:$G$2010,$D75,'LAC 102_Wkst'!$L$7:$L$2010,"07",'LAC 102_Wkst'!$N$7:$N$2010,"P5")</f>
        <v>0</v>
      </c>
      <c r="AF75" s="410">
        <f>SUMIFS('LAC 102_Wkst'!$Q$7:$Q$2010,'LAC 102_Wkst'!$E$7:$E$2010,$C75,'LAC 102_Wkst'!$G$7:$G$2010,$D75,'LAC 102_Wkst'!$L$7:$L$2010,"08",'LAC 102_Wkst'!$N$7:$N$2010,"P1")+SUMIFS('LAC 102_Wkst'!$Q$7:$Q$2010,'LAC 102_Wkst'!$E$7:$E$2010,$C75,'LAC 102_Wkst'!$G$7:$G$2010,$D75,'LAC 102_Wkst'!$L$7:$L$2010,"08",'LAC 102_Wkst'!$N$7:$N$2010,"P2")+SUMIFS('LAC 102_Wkst'!$Q$7:$Q$2010,'LAC 102_Wkst'!$E$7:$E$2010,$C75,'LAC 102_Wkst'!$G$7:$G$2010,$D75,'LAC 102_Wkst'!$L$7:$L$2010,"08",'LAC 102_Wkst'!$N$7:$N$2010,"P3")</f>
        <v>0</v>
      </c>
      <c r="AG75" s="411">
        <f>SUMIFS('LAC 102_Wkst'!$AE$7:$AE$2010,'LAC 102_Wkst'!$E$7:$E$2010,$C75,'LAC 102_Wkst'!$G$7:$G$2010,$D75,'LAC 102_Wkst'!$L$7:$L$2010,"08",'LAC 102_Wkst'!$N$7:$N$2010,"P1")+SUMIFS('LAC 102_Wkst'!$AE$7:$AE$2010,'LAC 102_Wkst'!$E$7:$E$2010,$C75,'LAC 102_Wkst'!$G$7:$G$2010,$D75,'LAC 102_Wkst'!$L$7:$L$2010,"08",'LAC 102_Wkst'!$N$7:$N$2010,"P2")+SUMIFS('LAC 102_Wkst'!$AE$7:$AE$2010,'LAC 102_Wkst'!$E$7:$E$2010,$C75,'LAC 102_Wkst'!$G$7:$G$2010,$D75,'LAC 102_Wkst'!$L$7:$L$2010,"08",'LAC 102_Wkst'!$N$7:$N$2010,"P3")</f>
        <v>0</v>
      </c>
      <c r="AH75" s="410">
        <f>SUMIFS('LAC 102_Wkst'!$Q$7:$Q$2010,'LAC 102_Wkst'!$E$7:$E$2010,$C75,'LAC 102_Wkst'!$G$7:$G$2010,$D75,'LAC 102_Wkst'!$L$7:$L$2010,"08",'LAC 102_Wkst'!$N$7:$N$2010,"P4")</f>
        <v>0</v>
      </c>
      <c r="AI75" s="411">
        <f>SUMIFS('LAC 102_Wkst'!$AE$7:$AE$2010,'LAC 102_Wkst'!$E$7:$E$2010,$C75,'LAC 102_Wkst'!$G$7:$G$2010,$D75,'LAC 102_Wkst'!$L$7:$L$2010,"08",'LAC 102_Wkst'!$N$7:$N$2010,"P4")</f>
        <v>0</v>
      </c>
      <c r="AJ75" s="410">
        <f>SUMIFS('LAC 102_Wkst'!$Q$7:$Q$2010,'LAC 102_Wkst'!$E$7:$E$2010,$C75,'LAC 102_Wkst'!$G$7:$G$2010,$D75,'LAC 102_Wkst'!$L$7:$L$2010,"08",'LAC 102_Wkst'!$N$7:$N$2010,"P5")</f>
        <v>0</v>
      </c>
      <c r="AK75" s="411">
        <f>SUMIFS('LAC 102_Wkst'!$AE$7:$AE$2010,'LAC 102_Wkst'!$E$7:$E$2010,$C75,'LAC 102_Wkst'!$G$7:$G$2010,$D75,'LAC 102_Wkst'!$L$7:$L$2010,"08",'LAC 102_Wkst'!$N$7:$N$2010,"P5")</f>
        <v>0</v>
      </c>
      <c r="AL75" s="410">
        <f>SUMIFS('LAC 102_Wkst'!$Q$7:$Q$2010,'LAC 102_Wkst'!$E$7:$E$2010,$C75,'LAC 102_Wkst'!$G$7:$G$2010,$D75,'LAC 102_Wkst'!$L$7:$L$2010,"09",'LAC 102_Wkst'!$N$7:$N$2010,"P1")+SUMIFS('LAC 102_Wkst'!$Q$7:$Q$2010,'LAC 102_Wkst'!$E$7:$E$2010,$C75,'LAC 102_Wkst'!$G$7:$G$2010,$D75,'LAC 102_Wkst'!$L$7:$L$2010,"09",'LAC 102_Wkst'!$N$7:$N$2010,"P2")+SUMIFS('LAC 102_Wkst'!$Q$7:$Q$2010,'LAC 102_Wkst'!$E$7:$E$2010,$C75,'LAC 102_Wkst'!$G$7:$G$2010,$D75,'LAC 102_Wkst'!$L$7:$L$2010,"09",'LAC 102_Wkst'!$N$7:$N$2010,"P3")+SUMIFS('LAC 102_Wkst'!$Q$7:$Q$2010,'LAC 102_Wkst'!$E$7:$E$2010,$C75,'LAC 102_Wkst'!$G$7:$G$2010,$D75,'LAC 102_Wkst'!$L$7:$L$2010,"09",'LAC 102_Wkst'!$N$7:$N$2010,"P4")</f>
        <v>0</v>
      </c>
      <c r="AM75" s="411">
        <f>SUMIFS('LAC 102_Wkst'!$AE$7:$AE$2010,'LAC 102_Wkst'!$E$7:$E$2010,$C75,'LAC 102_Wkst'!$G$7:$G$2010,$D75,'LAC 102_Wkst'!$L$7:$L$2010,"09",'LAC 102_Wkst'!$N$7:$N$2010,"P1")+SUMIFS('LAC 102_Wkst'!$AE$7:$AE$2010,'LAC 102_Wkst'!$E$7:$E$2010,$C75,'LAC 102_Wkst'!$G$7:$G$2010,$D75,'LAC 102_Wkst'!$L$7:$L$2010,"09",'LAC 102_Wkst'!$N$7:$N$2010,"P2")+SUMIFS('LAC 102_Wkst'!$AE$7:$AE$2010,'LAC 102_Wkst'!$E$7:$E$2010,$C75,'LAC 102_Wkst'!$G$7:$G$2010,$D75,'LAC 102_Wkst'!$L$7:$L$2010,"09",'LAC 102_Wkst'!$N$7:$N$2010,"P3")+SUMIFS('LAC 102_Wkst'!$AE$7:$AE$2010,'LAC 102_Wkst'!$E$7:$E$2010,$C75,'LAC 102_Wkst'!$G$7:$G$2010,$D75,'LAC 102_Wkst'!$L$7:$L$2010,"09",'LAC 102_Wkst'!$N$7:$N$2010,"P4")</f>
        <v>0</v>
      </c>
      <c r="AN75" s="410">
        <f>SUMIFS('LAC 102_Wkst'!$Q$7:$Q$2010,'LAC 102_Wkst'!$E$7:$E$2010,$C75,'LAC 102_Wkst'!$G$7:$G$2010,$D75,'LAC 102_Wkst'!$L$7:$L$2010,"09",'LAC 102_Wkst'!$N$7:$N$2010,"P5")</f>
        <v>0</v>
      </c>
      <c r="AO75" s="411">
        <f>SUMIFS('LAC 102_Wkst'!$AE$7:$AE$2010,'LAC 102_Wkst'!$E$7:$E$2010,$C75,'LAC 102_Wkst'!$G$7:$G$2010,$D75,'LAC 102_Wkst'!$L$7:$L$2010,"09",'LAC 102_Wkst'!$N$7:$N$2010,"P5")</f>
        <v>0</v>
      </c>
      <c r="AP75" s="410">
        <f>SUMIFS('LAC 102_Wkst'!$Q$7:$Q$2010,'LAC 102_Wkst'!$E$7:$E$2010,$C75,'LAC 102_Wkst'!$G$7:$G$2010,$D75,'LAC 102_Wkst'!$L$7:$L$2010,"10",'LAC 102_Wkst'!$N$7:$N$2010,"P1")+SUMIFS('LAC 102_Wkst'!$Q$7:$Q$2010,'LAC 102_Wkst'!$E$7:$E$2010,$C75,'LAC 102_Wkst'!$G$7:$G$2010,$D75,'LAC 102_Wkst'!$L$7:$L$2010,"10",'LAC 102_Wkst'!$N$7:$N$2010,"P2")+SUMIFS('LAC 102_Wkst'!$Q$7:$Q$2010,'LAC 102_Wkst'!$E$7:$E$2010,$C75,'LAC 102_Wkst'!$G$7:$G$2010,$D75,'LAC 102_Wkst'!$L$7:$L$2010,"10",'LAC 102_Wkst'!$N$7:$N$2010,"P3")+SUMIFS('LAC 102_Wkst'!$Q$7:$Q$2010,'LAC 102_Wkst'!$E$7:$E$2010,$C75,'LAC 102_Wkst'!$G$7:$G$2010,$D75,'LAC 102_Wkst'!$L$7:$L$2010,"10",'LAC 102_Wkst'!$N$7:$N$2010,"P4")</f>
        <v>0</v>
      </c>
      <c r="AQ75" s="411">
        <f>SUMIFS('LAC 102_Wkst'!$AE$7:$AE$2010,'LAC 102_Wkst'!$E$7:$E$2010,$C75,'LAC 102_Wkst'!$G$7:$G$2010,$D75,'LAC 102_Wkst'!$L$7:$L$2010,"10",'LAC 102_Wkst'!$N$7:$N$2010,"P1")+SUMIFS('LAC 102_Wkst'!$AE$7:$AE$2010,'LAC 102_Wkst'!$E$7:$E$2010,$C75,'LAC 102_Wkst'!$G$7:$G$2010,$D75,'LAC 102_Wkst'!$L$7:$L$2010,"10",'LAC 102_Wkst'!$N$7:$N$2010,"P2")+SUMIFS('LAC 102_Wkst'!$AE$7:$AE$2010,'LAC 102_Wkst'!$E$7:$E$2010,$C75,'LAC 102_Wkst'!$G$7:$G$2010,$D75,'LAC 102_Wkst'!$L$7:$L$2010,"10",'LAC 102_Wkst'!$N$7:$N$2010,"P3")+SUMIFS('LAC 102_Wkst'!$AE$7:$AE$2010,'LAC 102_Wkst'!$E$7:$E$2010,$C75,'LAC 102_Wkst'!$G$7:$G$2010,$D75,'LAC 102_Wkst'!$L$7:$L$2010,"10",'LAC 102_Wkst'!$N$7:$N$2010,"P4")</f>
        <v>0</v>
      </c>
      <c r="AR75" s="410">
        <f>SUMIFS('LAC 102_Wkst'!$Q$7:$Q$2010,'LAC 102_Wkst'!$E$7:$E$2010,$C75,'LAC 102_Wkst'!$G$7:$G$2010,$D75,'LAC 102_Wkst'!$L$7:$L$2010,"10",'LAC 102_Wkst'!$N$7:$N$2010,"P5")</f>
        <v>0</v>
      </c>
      <c r="AS75" s="411">
        <f>SUMIFS('LAC 102_Wkst'!$AE$7:$AE$2010,'LAC 102_Wkst'!$E$7:$E$2010,$C75,'LAC 102_Wkst'!$G$7:$G$2010,$D75,'LAC 102_Wkst'!$L$7:$L$2010,"10",'LAC 102_Wkst'!$N$7:$N$2010,"P5")</f>
        <v>0</v>
      </c>
      <c r="AT75" s="410">
        <f>SUMIFS('LAC 102_Wkst'!$Q$7:$Q$2010,'LAC 102_Wkst'!$E$7:$E$2010,$C75,'LAC 102_Wkst'!$G$7:$G$2010,$D75,'LAC 102_Wkst'!$L$7:$L$2010,"11",'LAC 102_Wkst'!$N$7:$N$2010,"P1")+SUMIFS('LAC 102_Wkst'!$Q$7:$Q$2010,'LAC 102_Wkst'!$E$7:$E$2010,$C75,'LAC 102_Wkst'!$G$7:$G$2010,$D75,'LAC 102_Wkst'!$L$7:$L$2010,"12",'LAC 102_Wkst'!$N$7:$N$2010,"P1")</f>
        <v>0</v>
      </c>
      <c r="AU75" s="411">
        <f>SUMIFS('LAC 102_Wkst'!$AE$7:$AE$2010,'LAC 102_Wkst'!$E$7:$E$2010,$C75,'LAC 102_Wkst'!$G$7:$G$2010,$D75,'LAC 102_Wkst'!$L$7:$L$2010,"11",'LAC 102_Wkst'!$N$7:$N$2010,"P1")+SUMIFS('LAC 102_Wkst'!$AE$7:$AE$2010,'LAC 102_Wkst'!$E$7:$E$2010,$C75,'LAC 102_Wkst'!$G$7:$G$2010,$D75,'LAC 102_Wkst'!$L$7:$L$2010,"12",'LAC 102_Wkst'!$N$7:$N$2010,"P1")</f>
        <v>0</v>
      </c>
      <c r="AV75" s="410">
        <f>SUMIFS('LAC 102_Wkst'!$Q$7:$Q$2010,'LAC 102_Wkst'!$E$7:$E$2010,$C75,'LAC 102_Wkst'!$G$7:$G$2010,$D75,'LAC 102_Wkst'!$L$7:$L$2010,"11",'LAC 102_Wkst'!$N$7:$N$2010,"P2")+SUMIFS('LAC 102_Wkst'!$Q$7:$Q$2010,'LAC 102_Wkst'!$E$7:$E$2010,$C75,'LAC 102_Wkst'!$G$7:$G$2010,$D75,'LAC 102_Wkst'!$L$7:$L$2010,"12",'LAC 102_Wkst'!$N$7:$N$2010,"P3")+SUMIFS('LAC 102_Wkst'!$Q$7:$Q$2010,'LAC 102_Wkst'!$E$7:$E$2010,$C75,'LAC 102_Wkst'!$G$7:$G$2010,$D75,'LAC 102_Wkst'!$L$7:$L$2010,"11",'LAC 102_Wkst'!$N$7:$N$2010,"P2")+SUMIFS('LAC 102_Wkst'!$Q$7:$Q$2010,'LAC 102_Wkst'!$E$7:$E$2010,$C75,'LAC 102_Wkst'!$G$7:$G$2010,$D75,'LAC 102_Wkst'!$L$7:$L$2010,"12",'LAC 102_Wkst'!$N$7:$N$2010,"P3")</f>
        <v>0</v>
      </c>
      <c r="AW75" s="411">
        <f>SUMIFS('LAC 102_Wkst'!$AE$7:$AE$2010,'LAC 102_Wkst'!$E$7:$E$2010,$C75,'LAC 102_Wkst'!$G$7:$G$2010,$D75,'LAC 102_Wkst'!$L$7:$L$2010,"11",'LAC 102_Wkst'!$N$7:$N$2010,"P2")+SUMIFS('LAC 102_Wkst'!$AE$7:$AE$2010,'LAC 102_Wkst'!$E$7:$E$2010,$C75,'LAC 102_Wkst'!$G$7:$G$2010,$D75,'LAC 102_Wkst'!$L$7:$L$2010,"12",'LAC 102_Wkst'!$N$7:$N$2010,"P3")+SUMIFS('LAC 102_Wkst'!$AE$7:$AE$2010,'LAC 102_Wkst'!$E$7:$E$2010,$C75,'LAC 102_Wkst'!$G$7:$G$2010,$D75,'LAC 102_Wkst'!$L$7:$L$2010,"11",'LAC 102_Wkst'!$N$7:$N$2010,"P2")+SUMIFS('LAC 102_Wkst'!$AE$7:$AE$2010,'LAC 102_Wkst'!$E$7:$E$2010,$C75,'LAC 102_Wkst'!$G$7:$G$2010,$D75,'LAC 102_Wkst'!$L$7:$L$2010,"12",'LAC 102_Wkst'!$N$7:$N$2010,"P3")</f>
        <v>0</v>
      </c>
      <c r="AX75" s="410">
        <f>SUMIFS('LAC 102_Wkst'!$Q$7:$Q$2010,'LAC 102_Wkst'!$E$7:$E$2010,$C75,'LAC 102_Wkst'!$G$7:$G$2010,$D75,'LAC 102_Wkst'!$L$7:$L$2010,"11",'LAC 102_Wkst'!$N$7:$N$2010,"P4")+SUMIFS('LAC 102_Wkst'!$Q$7:$Q$2010,'LAC 102_Wkst'!$E$7:$E$2010,$C75,'LAC 102_Wkst'!$G$7:$G$2010,$D75,'LAC 102_Wkst'!$L$7:$L$2010,"12",'LAC 102_Wkst'!$N$7:$N$2010,"P4")</f>
        <v>0</v>
      </c>
      <c r="AY75" s="411">
        <f>SUMIFS('LAC 102_Wkst'!$AE$7:$AE$2010,'LAC 102_Wkst'!$E$7:$E$2010,$C75,'LAC 102_Wkst'!$G$7:$G$2010,$D75,'LAC 102_Wkst'!$L$7:$L$2010,"11",'LAC 102_Wkst'!$N$7:$N$2010,"P4")+SUMIFS('LAC 102_Wkst'!$AE$7:$AE$2010,'LAC 102_Wkst'!$E$7:$E$2010,$C75,'LAC 102_Wkst'!$G$7:$G$2010,$D75,'LAC 102_Wkst'!$L$7:$L$2010,"12",'LAC 102_Wkst'!$N$7:$N$2010,"P4")</f>
        <v>0</v>
      </c>
      <c r="AZ75" s="410">
        <f>SUMIFS('LAC 102_Wkst'!$Q$7:$Q$2010,'LAC 102_Wkst'!$E$7:$E$2010,$C75,'LAC 102_Wkst'!$G$7:$G$2010,$D75,'LAC 102_Wkst'!$L$7:$L$2010,"11",'LAC 102_Wkst'!$N$7:$N$2010,"P5")+SUMIFS('LAC 102_Wkst'!$Q$7:$Q$2010,'LAC 102_Wkst'!$E$7:$E$2010,$C75,'LAC 102_Wkst'!$G$7:$G$2010,$D75,'LAC 102_Wkst'!$L$7:$L$2010,"12",'LAC 102_Wkst'!$N$7:$N$2010,"P5")</f>
        <v>0</v>
      </c>
      <c r="BA75" s="411">
        <f>SUMIFS('LAC 102_Wkst'!$AE$7:$AE$2010,'LAC 102_Wkst'!$E$7:$E$2010,$C75,'LAC 102_Wkst'!$G$7:$G$2010,$D75,'LAC 102_Wkst'!$L$7:$L$2010,"11",'LAC 102_Wkst'!$N$7:$N$2010,"P5")+SUMIFS('LAC 102_Wkst'!$AE$7:$AE$2010,'LAC 102_Wkst'!$E$7:$E$2010,$C75,'LAC 102_Wkst'!$G$7:$G$2010,$D75,'LAC 102_Wkst'!$L$7:$L$2010,"12",'LAC 102_Wkst'!$N$7:$N$2010,"P5")</f>
        <v>0</v>
      </c>
      <c r="BB75" s="410">
        <f>SUMIFS('LAC 102_Wkst'!$Q$7:$Q$2010,'LAC 102_Wkst'!$E$7:$E$2010,$C75,'LAC 102_Wkst'!$G$7:$G$2010,$D75,'LAC 102_Wkst'!$L$7:$L$2010,"13",'LAC 102_Wkst'!$N$7:$N$2010,"P1")+SUMIFS('LAC 102_Wkst'!$Q$7:$Q$2010,'LAC 102_Wkst'!$E$7:$E$2010,$C75,'LAC 102_Wkst'!$G$7:$G$2010,$D75,'LAC 102_Wkst'!$L$7:$L$2010,"13",'LAC 102_Wkst'!$N$7:$N$2010,"P2")+SUMIFS('LAC 102_Wkst'!$Q$7:$Q$2010,'LAC 102_Wkst'!$E$7:$E$2010,$C75,'LAC 102_Wkst'!$G$7:$G$2010,$D75,'LAC 102_Wkst'!$L$7:$L$2010,"13",'LAC 102_Wkst'!$N$7:$N$2010,"P3")+SUMIFS('LAC 102_Wkst'!$Q$7:$Q$2010,'LAC 102_Wkst'!$E$7:$E$2010,$C75,'LAC 102_Wkst'!$G$7:$G$2010,$D75,'LAC 102_Wkst'!$L$7:$L$2010,"13",'LAC 102_Wkst'!$N$7:$N$2010,"P4")</f>
        <v>0</v>
      </c>
      <c r="BC75" s="411">
        <f>SUMIFS('LAC 102_Wkst'!$AE$7:$AE$2010,'LAC 102_Wkst'!$E$7:$E$2010,$C75,'LAC 102_Wkst'!$G$7:$G$2010,$D75,'LAC 102_Wkst'!$L$7:$L$2010,"13",'LAC 102_Wkst'!$N$7:$N$2010,"P1")+SUMIFS('LAC 102_Wkst'!$AE$7:$AE$2010,'LAC 102_Wkst'!$E$7:$E$2010,$C75,'LAC 102_Wkst'!$G$7:$G$2010,$D75,'LAC 102_Wkst'!$L$7:$L$2010,"13",'LAC 102_Wkst'!$N$7:$N$2010,"P2")+SUMIFS('LAC 102_Wkst'!$AE$7:$AE$2010,'LAC 102_Wkst'!$E$7:$E$2010,$C75,'LAC 102_Wkst'!$G$7:$G$2010,$D75,'LAC 102_Wkst'!$L$7:$L$2010,"13",'LAC 102_Wkst'!$N$7:$N$2010,"P3")+SUMIFS('LAC 102_Wkst'!$AE$7:$AE$2010,'LAC 102_Wkst'!$E$7:$E$2010,$C75,'LAC 102_Wkst'!$G$7:$G$2010,$D75,'LAC 102_Wkst'!$L$7:$L$2010,"13",'LAC 102_Wkst'!$N$7:$N$2010,"P4")</f>
        <v>0</v>
      </c>
      <c r="BD75" s="410">
        <f>SUMIFS('LAC 102_Wkst'!$Q$7:$Q$2010,'LAC 102_Wkst'!$E$7:$E$2010,$C75,'LAC 102_Wkst'!$G$7:$G$2010,$D75,'LAC 102_Wkst'!$L$7:$L$2010,"13",'LAC 102_Wkst'!$N$7:$N$2010,"P5")</f>
        <v>0</v>
      </c>
      <c r="BE75" s="411">
        <f>SUMIFS('LAC 102_Wkst'!$AE$7:$AE$2010,'LAC 102_Wkst'!$E$7:$E$2010,$C75,'LAC 102_Wkst'!$G$7:$G$2010,$D75,'LAC 102_Wkst'!$L$7:$L$2010,"13",'LAC 102_Wkst'!$N$7:$N$2010,"P5")</f>
        <v>0</v>
      </c>
      <c r="BF75" s="407">
        <f t="shared" si="0"/>
        <v>0</v>
      </c>
    </row>
    <row r="76" spans="1:58" x14ac:dyDescent="0.2">
      <c r="A76" s="401">
        <v>57</v>
      </c>
      <c r="B76" s="1236"/>
      <c r="C76" s="1235"/>
      <c r="D76" s="1237"/>
      <c r="E76" s="1222">
        <f>IF(CONCATENATE(C76,D76)&gt;"6069",1,SUMIFS('LAC 102_Wkst'!$Q$7:$Q$2010,'LAC 102_Wkst'!$E$7:$E$2010,Schedule_B!$C76,'LAC 102_Wkst'!$G$7:$G$2010,Schedule_B!$D76))</f>
        <v>0</v>
      </c>
      <c r="F76" s="408">
        <f>SUMIFS('LAC 102_Wkst'!$Q$7:$Q$2010,'LAC 102_Wkst'!$E$7:$E$2010,$C76,'LAC 102_Wkst'!$G$7:$G$2010,$D76,'LAC 102_Wkst'!$L$7:$L$2010,"01",'LAC 102_Wkst'!$N$7:$N$2010,"P1")+SUMIFS('LAC 102_Wkst'!$Q$7:$Q$2010,'LAC 102_Wkst'!$E$7:$E$2010,$C76,'LAC 102_Wkst'!$G$7:$G$2010,$D76,'LAC 102_Wkst'!$L$7:$L$2010,"01",'LAC 102_Wkst'!$N$7:$N$2010,"P2")+SUMIFS('LAC 102_Wkst'!$Q$7:$Q$2010,'LAC 102_Wkst'!$E$7:$E$2010,$C76,'LAC 102_Wkst'!$G$7:$G$2010,$D76,'LAC 102_Wkst'!$L$7:$L$2010,"01",'LAC 102_Wkst'!$N$7:$N$2010,"P3")+SUMIFS('LAC 102_Wkst'!$Q$7:$Q$2010,'LAC 102_Wkst'!$E$7:$E$2010,$C76,'LAC 102_Wkst'!$G$7:$G$2010,$D76,'LAC 102_Wkst'!$L$7:$L$2010,"02",'LAC 102_Wkst'!$N$7:$N$2010,"P1")+SUMIFS('LAC 102_Wkst'!$Q$7:$Q$2010,'LAC 102_Wkst'!$E$7:$E$2010,$C76,'LAC 102_Wkst'!$G$7:$G$2010,$D76,'LAC 102_Wkst'!$L$7:$L$2010,"02",'LAC 102_Wkst'!$N$7:$N$2010,"P2")+SUMIFS('LAC 102_Wkst'!$Q$7:$Q$2010,'LAC 102_Wkst'!$E$7:$E$2010,$C76,'LAC 102_Wkst'!$G$7:$G$2010,$D76,'LAC 102_Wkst'!$L$7:$L$2010,"02",'LAC 102_Wkst'!$N$7:$N$2010,"P3")</f>
        <v>0</v>
      </c>
      <c r="G76" s="409">
        <f>SUMIFS('LAC 102_Wkst'!$AE$7:$AE$2010,'LAC 102_Wkst'!$E$7:$E$2010,$C76,'LAC 102_Wkst'!$G$7:$G$2010,$D76,'LAC 102_Wkst'!$L$7:$L$2010,"01",'LAC 102_Wkst'!$N$7:$N$2010,"P1")+SUMIFS('LAC 102_Wkst'!$AE$7:$AE$2010,'LAC 102_Wkst'!$E$7:$E$2010,$C76,'LAC 102_Wkst'!$G$7:$G$2010,$D76,'LAC 102_Wkst'!$L$7:$L$2010,"01",'LAC 102_Wkst'!$N$7:$N$2010,"P2")+SUMIFS('LAC 102_Wkst'!$AE$7:$AE$2010,'LAC 102_Wkst'!$E$7:$E$2010,$C76,'LAC 102_Wkst'!$G$7:$G$2010,$D76,'LAC 102_Wkst'!$L$7:$L$2010,"01",'LAC 102_Wkst'!$N$7:$N$2010,"P3")+SUMIFS('LAC 102_Wkst'!$AE$7:$AE$2010,'LAC 102_Wkst'!$E$7:$E$2010,$C76,'LAC 102_Wkst'!$G$7:$G$2010,$D76,'LAC 102_Wkst'!$L$7:$L$2010,"02",'LAC 102_Wkst'!$N$7:$N$2010,"P1")+SUMIFS('LAC 102_Wkst'!$AE$7:$AE$2010,'LAC 102_Wkst'!$E$7:$E$2010,$C76,'LAC 102_Wkst'!$G$7:$G$2010,$D76,'LAC 102_Wkst'!$L$7:$L$2010,"02",'LAC 102_Wkst'!$N$7:$N$2010,"P2")+SUMIFS('LAC 102_Wkst'!$AE$7:$AE$2010,'LAC 102_Wkst'!$E$7:$E$2010,$C76,'LAC 102_Wkst'!$G$7:$G$2010,$D76,'LAC 102_Wkst'!$L$7:$L$2010,"02",'LAC 102_Wkst'!$N$7:$N$2010,"P3")</f>
        <v>0</v>
      </c>
      <c r="H76" s="410">
        <f>SUMIFS('LAC 102_Wkst'!$Q$7:$Q$2010,'LAC 102_Wkst'!$E$7:$E$2010,$C76,'LAC 102_Wkst'!$G$7:$G$2010,$D76,'LAC 102_Wkst'!$L$7:$L$2010,"01",'LAC 102_Wkst'!$N$7:$N$2010,"P4")+SUMIFS('LAC 102_Wkst'!$Q$7:$Q$2010,'LAC 102_Wkst'!$E$7:$E$2010,$C76,'LAC 102_Wkst'!$G$7:$G$2010,$D76,'LAC 102_Wkst'!$L$7:$L$2010,"02",'LAC 102_Wkst'!$N$7:$N$2010,"P4")</f>
        <v>0</v>
      </c>
      <c r="I76" s="411">
        <f>SUMIFS('LAC 102_Wkst'!$AE$7:$AE$2010,'LAC 102_Wkst'!$E$7:$E$2010,$C76,'LAC 102_Wkst'!$G$7:$G$2010,$D76,'LAC 102_Wkst'!$L$7:$L$2010,"01",'LAC 102_Wkst'!$N$7:$N$2010,"P4")+SUMIFS('LAC 102_Wkst'!$AE$7:$AE$2010,'LAC 102_Wkst'!$E$7:$E$2010,$C76,'LAC 102_Wkst'!$G$7:$G$2010,$D76,'LAC 102_Wkst'!$L$7:$L$2010,"02",'LAC 102_Wkst'!$N$7:$N$2010,"P4")</f>
        <v>0</v>
      </c>
      <c r="J76" s="410">
        <f>SUMIFS('LAC 102_Wkst'!$Q$7:$Q$2010,'LAC 102_Wkst'!$E$7:$E$2010,$C76,'LAC 102_Wkst'!$G$7:$G$2010,$D76,'LAC 102_Wkst'!$L$7:$L$2010,"01",'LAC 102_Wkst'!$N$7:$N$2010,"P5")+SUMIFS('LAC 102_Wkst'!$Q$7:$Q$2010,'LAC 102_Wkst'!$E$7:$E$2010,$C76,'LAC 102_Wkst'!$G$7:$G$2010,$D76,'LAC 102_Wkst'!$L$7:$L$2010,"02",'LAC 102_Wkst'!$N$7:$N$2010,"P5")</f>
        <v>0</v>
      </c>
      <c r="K76" s="411">
        <f>SUMIFS('LAC 102_Wkst'!$AE$7:$AE$2010,'LAC 102_Wkst'!$E$7:$E$2010,$C76,'LAC 102_Wkst'!$G$7:$G$2010,$D76,'LAC 102_Wkst'!$L$7:$L$2010,"01",'LAC 102_Wkst'!$N$7:$N$2010,"P5")+SUMIFS('LAC 102_Wkst'!$AE$7:$AE$2010,'LAC 102_Wkst'!$E$7:$E$2010,$C76,'LAC 102_Wkst'!$G$7:$G$2010,$D76,'LAC 102_Wkst'!$L$7:$L$2010,"02",'LAC 102_Wkst'!$N$7:$N$2010,"P5")</f>
        <v>0</v>
      </c>
      <c r="L76" s="410">
        <f>SUMIFS('LAC 102_Wkst'!$Q$7:$Q$2010,'LAC 102_Wkst'!$E$7:$E$2010,$C76,'LAC 102_Wkst'!$G$7:$G$2010,$D76,'LAC 102_Wkst'!$L$7:$L$2010,"03",'LAC 102_Wkst'!$N$7:$N$2010,"P1")+SUMIFS('LAC 102_Wkst'!$Q$7:$Q$2010,'LAC 102_Wkst'!$E$7:$E$2010,$C76,'LAC 102_Wkst'!$G$7:$G$2010,$D76,'LAC 102_Wkst'!$L$7:$L$2010,"03",'LAC 102_Wkst'!$N$7:$N$2010,"P2")+SUMIFS('LAC 102_Wkst'!$Q$7:$Q$2010,'LAC 102_Wkst'!$E$7:$E$2010,$C76,'LAC 102_Wkst'!$G$7:$G$2010,$D76,'LAC 102_Wkst'!$L$7:$L$2010,"03",'LAC 102_Wkst'!$N$7:$N$2010,"P3")+SUMIFS('LAC 102_Wkst'!$Q$7:$Q$2010,'LAC 102_Wkst'!$E$7:$E$2010,$C76,'LAC 102_Wkst'!$G$7:$G$2010,$D76,'LAC 102_Wkst'!$L$7:$L$2010,"04",'LAC 102_Wkst'!$N$7:$N$2010,"P1")+SUMIFS('LAC 102_Wkst'!$Q$7:$Q$2010,'LAC 102_Wkst'!$E$7:$E$2010,$C76,'LAC 102_Wkst'!$G$7:$G$2010,$D76,'LAC 102_Wkst'!$L$7:$L$2010,"04",'LAC 102_Wkst'!$N$7:$N$2010,"P2")+SUMIFS('LAC 102_Wkst'!$Q$7:$Q$2010,'LAC 102_Wkst'!$E$7:$E$2010,$C76,'LAC 102_Wkst'!$G$7:$G$2010,$D76,'LAC 102_Wkst'!$L$7:$L$2010,"04",'LAC 102_Wkst'!$N$7:$N$2010,"P3")</f>
        <v>0</v>
      </c>
      <c r="M76" s="411">
        <f>SUMIFS('LAC 102_Wkst'!$AE$7:$AE$2010,'LAC 102_Wkst'!$E$7:$E$2010,$C76,'LAC 102_Wkst'!$G$7:$G$2010,$D76,'LAC 102_Wkst'!$L$7:$L$2010,"03",'LAC 102_Wkst'!$N$7:$N$2010,"P1")+SUMIFS('LAC 102_Wkst'!$AE$7:$AE$2010,'LAC 102_Wkst'!$E$7:$E$2010,$C76,'LAC 102_Wkst'!$G$7:$G$2010,$D76,'LAC 102_Wkst'!$L$7:$L$2010,"03",'LAC 102_Wkst'!$N$7:$N$2010,"P2")+SUMIFS('LAC 102_Wkst'!$AE$7:$AE$2010,'LAC 102_Wkst'!$E$7:$E$2010,$C76,'LAC 102_Wkst'!$G$7:$G$2010,$D76,'LAC 102_Wkst'!$L$7:$L$2010,"03",'LAC 102_Wkst'!$N$7:$N$2010,"P3")+SUMIFS('LAC 102_Wkst'!$AE$7:$AE$2010,'LAC 102_Wkst'!$E$7:$E$2010,$C76,'LAC 102_Wkst'!$G$7:$G$2010,$D76,'LAC 102_Wkst'!$L$7:$L$2010,"04",'LAC 102_Wkst'!$N$7:$N$2010,"P1")+SUMIFS('LAC 102_Wkst'!$AE$7:$AE$2010,'LAC 102_Wkst'!$E$7:$E$2010,$C76,'LAC 102_Wkst'!$G$7:$G$2010,$D76,'LAC 102_Wkst'!$L$7:$L$2010,"04",'LAC 102_Wkst'!$N$7:$N$2010,"P2")+SUMIFS('LAC 102_Wkst'!$AE$7:$AE$2010,'LAC 102_Wkst'!$E$7:$E$2010,$C76,'LAC 102_Wkst'!$G$7:$G$2010,$D76,'LAC 102_Wkst'!$L$7:$L$2010,"04",'LAC 102_Wkst'!$N$7:$N$2010,"P3")</f>
        <v>0</v>
      </c>
      <c r="N76" s="410">
        <f>SUMIFS('LAC 102_Wkst'!$Q$7:$Q$2010,'LAC 102_Wkst'!$E$7:$E$2010,$C76,'LAC 102_Wkst'!$G$7:$G$2010,$D76,'LAC 102_Wkst'!$L$7:$L$2010,"03",'LAC 102_Wkst'!$N$7:$N$2010,"P4")+SUMIFS('LAC 102_Wkst'!$Q$7:$Q$2010,'LAC 102_Wkst'!$E$7:$E$2010,$C76,'LAC 102_Wkst'!$G$7:$G$2010,$D76,'LAC 102_Wkst'!$L$7:$L$2010,"04",'LAC 102_Wkst'!$N$7:$N$2010,"P4")</f>
        <v>0</v>
      </c>
      <c r="O76" s="411">
        <f>SUMIFS('LAC 102_Wkst'!$AE$7:$AE$2010,'LAC 102_Wkst'!$E$7:$E$2010,$C76,'LAC 102_Wkst'!$G$7:$G$2010,$D76,'LAC 102_Wkst'!$L$7:$L$2010,"03",'LAC 102_Wkst'!$N$7:$N$2010,"P4")+SUMIFS('LAC 102_Wkst'!$AE$7:$AE$2010,'LAC 102_Wkst'!$E$7:$E$2010,$C76,'LAC 102_Wkst'!$G$7:$G$2010,$D76,'LAC 102_Wkst'!$L$7:$L$2010,"04",'LAC 102_Wkst'!$N$7:$N$2010,"P4")</f>
        <v>0</v>
      </c>
      <c r="P76" s="410">
        <f>SUMIFS('LAC 102_Wkst'!$Q$7:$Q$2010,'LAC 102_Wkst'!$E$7:$E$2010,$C76,'LAC 102_Wkst'!$G$7:$G$2010,$D76,'LAC 102_Wkst'!$L$7:$L$2010,"03",'LAC 102_Wkst'!$N$7:$N$2010,"P5")+SUMIFS('LAC 102_Wkst'!$Q$7:$Q$2010,'LAC 102_Wkst'!$E$7:$E$2010,$C76,'LAC 102_Wkst'!$G$7:$G$2010,$D76,'LAC 102_Wkst'!$L$7:$L$2010,"04",'LAC 102_Wkst'!$N$7:$N$2010,"P5")</f>
        <v>0</v>
      </c>
      <c r="Q76" s="411">
        <f>SUMIFS('LAC 102_Wkst'!$AE$7:$AE$2010,'LAC 102_Wkst'!$E$7:$E$2010,$C76,'LAC 102_Wkst'!$G$7:$G$2010,$D76,'LAC 102_Wkst'!$L$7:$L$2010,"03",'LAC 102_Wkst'!$N$7:$N$2010,"P5")+SUMIFS('LAC 102_Wkst'!$AE$7:$AE$2010,'LAC 102_Wkst'!$E$7:$E$2010,$C76,'LAC 102_Wkst'!$G$7:$G$2010,$D76,'LAC 102_Wkst'!$L$7:$L$2010,"04",'LAC 102_Wkst'!$N$7:$N$2010,"P5")</f>
        <v>0</v>
      </c>
      <c r="R76" s="412">
        <f>SUMIFS('LAC 102_Wkst'!$Q$7:$Q$2010,'LAC 102_Wkst'!$E$7:$E$2010,$C76,'LAC 102_Wkst'!$G$7:$G$2010,$D76,'LAC 102_Wkst'!$L$7:$L$2010,"05",'LAC 102_Wkst'!$N$7:$N$2010,"P1")+SUMIFS('LAC 102_Wkst'!$Q$7:$Q$2010,'LAC 102_Wkst'!$E$7:$E$2010,$C76,'LAC 102_Wkst'!$G$7:$G$2010,$D76,'LAC 102_Wkst'!$L$7:$L$2010,"06",'LAC 102_Wkst'!$N$7:$N$2010,"P1")</f>
        <v>0</v>
      </c>
      <c r="S76" s="411">
        <f>SUMIFS('LAC 102_Wkst'!$AE$7:$AE$2010,'LAC 102_Wkst'!$E$7:$E$2010,$C76,'LAC 102_Wkst'!$G$7:$G$2010,$D76,'LAC 102_Wkst'!$L$7:$L$2010,"05",'LAC 102_Wkst'!$N$7:$N$2010,"P1")+SUMIFS('LAC 102_Wkst'!$AE$7:$AE$2010,'LAC 102_Wkst'!$E$7:$E$2010,$C76,'LAC 102_Wkst'!$G$7:$G$2010,$D76,'LAC 102_Wkst'!$L$7:$L$2010,"06",'LAC 102_Wkst'!$N$7:$N$2010,"P1")</f>
        <v>0</v>
      </c>
      <c r="T76" s="410">
        <f>SUMIFS('LAC 102_Wkst'!$Q$7:$Q$2010,'LAC 102_Wkst'!$E$7:$E$2010,$C76,'LAC 102_Wkst'!$G$7:$G$2010,$D76,'LAC 102_Wkst'!$L$7:$L$2010,"05",'LAC 102_Wkst'!$N$7:$N$2010,"P2")+SUMIFS('LAC 102_Wkst'!$Q$7:$Q$2010,'LAC 102_Wkst'!$E$7:$E$2010,$C76,'LAC 102_Wkst'!$G$7:$G$2010,$D76,'LAC 102_Wkst'!$L$7:$L$2010,"05",'LAC 102_Wkst'!$N$7:$N$2010,"P3")+SUMIFS('LAC 102_Wkst'!$Q$7:$Q$2010,'LAC 102_Wkst'!$E$7:$E$2010,$C76,'LAC 102_Wkst'!$G$7:$G$2010,$D76,'LAC 102_Wkst'!$L$7:$L$2010,"06",'LAC 102_Wkst'!$N$7:$N$2010,"P2")+SUMIFS('LAC 102_Wkst'!$Q$7:$Q$2010,'LAC 102_Wkst'!$E$7:$E$2010,$C76,'LAC 102_Wkst'!$G$7:$G$2010,$D76,'LAC 102_Wkst'!$L$7:$L$2010,"06",'LAC 102_Wkst'!$N$7:$N$2010,"P3")</f>
        <v>0</v>
      </c>
      <c r="U76" s="411">
        <f>SUMIFS('LAC 102_Wkst'!$AE$7:$AE$2010,'LAC 102_Wkst'!$E$7:$E$2010,$C76,'LAC 102_Wkst'!$G$7:$G$2010,$D76,'LAC 102_Wkst'!$L$7:$L$2010,"05",'LAC 102_Wkst'!$N$7:$N$2010,"P2")+SUMIFS('LAC 102_Wkst'!$AE$7:$AE$2010,'LAC 102_Wkst'!$E$7:$E$2010,$C76,'LAC 102_Wkst'!$G$7:$G$2010,$D76,'LAC 102_Wkst'!$L$7:$L$2010,"06",'LAC 102_Wkst'!$N$7:$N$2010,"P3")+SUMIFS('LAC 102_Wkst'!$AE$7:$AE$2010,'LAC 102_Wkst'!$E$7:$E$2010,$C76,'LAC 102_Wkst'!$G$7:$G$2010,$D76,'LAC 102_Wkst'!$L$7:$L$2010,"05",'LAC 102_Wkst'!$N$7:$N$2010,"P2")+SUMIFS('LAC 102_Wkst'!$AE$7:$AE$2010,'LAC 102_Wkst'!$E$7:$E$2010,$C76,'LAC 102_Wkst'!$G$7:$G$2010,$D76,'LAC 102_Wkst'!$L$7:$L$2010,"06",'LAC 102_Wkst'!$N$7:$N$2010,"P3")</f>
        <v>0</v>
      </c>
      <c r="V76" s="410">
        <f>SUMIFS('LAC 102_Wkst'!$Q$7:$Q$2010,'LAC 102_Wkst'!$E$7:$E$2010,$C76,'LAC 102_Wkst'!$G$7:$G$2010,$D76,'LAC 102_Wkst'!$L$7:$L$2010,"05",'LAC 102_Wkst'!$N$7:$N$2010,"P4")+SUMIFS('LAC 102_Wkst'!$Q$7:$Q$2010,'LAC 102_Wkst'!$E$7:$E$2010,$C76,'LAC 102_Wkst'!$G$7:$G$2010,$D76,'LAC 102_Wkst'!$L$7:$L$2010,"06",'LAC 102_Wkst'!$N$7:$N$2010,"P4")</f>
        <v>0</v>
      </c>
      <c r="W76" s="411">
        <f>SUMIFS('LAC 102_Wkst'!$AE$7:$AE$2010,'LAC 102_Wkst'!$E$7:$E$2010,$C76,'LAC 102_Wkst'!$G$7:$G$2010,$D76,'LAC 102_Wkst'!$L$7:$L$2010,"05",'LAC 102_Wkst'!$N$7:$N$2010,"P4")+SUMIFS('LAC 102_Wkst'!$AE$7:$AE$2010,'LAC 102_Wkst'!$E$7:$E$2010,$C76,'LAC 102_Wkst'!$G$7:$G$2010,$D76,'LAC 102_Wkst'!$L$7:$L$2010,"06",'LAC 102_Wkst'!$N$7:$N$2010,"P4")</f>
        <v>0</v>
      </c>
      <c r="X76" s="410">
        <f>SUMIFS('LAC 102_Wkst'!$Q$7:$Q$2010,'LAC 102_Wkst'!$E$7:$E$2010,$C76,'LAC 102_Wkst'!$G$7:$G$2010,$D76,'LAC 102_Wkst'!$L$7:$L$2010,"05",'LAC 102_Wkst'!$N$7:$N$2010,"P5")+SUMIFS('LAC 102_Wkst'!$Q$7:$Q$2010,'LAC 102_Wkst'!$E$7:$E$2010,$C76,'LAC 102_Wkst'!$G$7:$G$2010,$D76,'LAC 102_Wkst'!$L$7:$L$2010,"06",'LAC 102_Wkst'!$N$7:$N$2010,"P5")</f>
        <v>0</v>
      </c>
      <c r="Y76" s="411">
        <f>SUMIFS('LAC 102_Wkst'!$AE$7:$AE$2010,'LAC 102_Wkst'!$E$7:$E$2010,$C76,'LAC 102_Wkst'!$G$7:$G$2010,$D76,'LAC 102_Wkst'!$L$7:$L$2010,"05",'LAC 102_Wkst'!$N$7:$N$2010,"P5")+SUMIFS('LAC 102_Wkst'!$AE$7:$AE$2010,'LAC 102_Wkst'!$E$7:$E$2010,$C76,'LAC 102_Wkst'!$G$7:$G$2010,$D76,'LAC 102_Wkst'!$L$7:$L$2010,"06",'LAC 102_Wkst'!$N$7:$N$2010,"P5")</f>
        <v>0</v>
      </c>
      <c r="Z76" s="410">
        <f>SUMIFS('LAC 102_Wkst'!$Q$7:$Q$2010,'LAC 102_Wkst'!$E$7:$E$2010,$C76,'LAC 102_Wkst'!$G$7:$G$2010,$D76,'LAC 102_Wkst'!$L$7:$L$2010,"07",'LAC 102_Wkst'!$N$7:$N$2010,"P1")+SUMIFS('LAC 102_Wkst'!$Q$7:$Q$2010,'LAC 102_Wkst'!$E$7:$E$2010,$C76,'LAC 102_Wkst'!$G$7:$G$2010,$D76,'LAC 102_Wkst'!$L$7:$L$2010,"07",'LAC 102_Wkst'!$N$7:$N$2010,"P2")+SUMIFS('LAC 102_Wkst'!$Q$7:$Q$2010,'LAC 102_Wkst'!$E$7:$E$2010,$C76,'LAC 102_Wkst'!$G$7:$G$2010,$D76,'LAC 102_Wkst'!$L$7:$L$2010,"07",'LAC 102_Wkst'!$N$7:$N$2010,"P3")</f>
        <v>0</v>
      </c>
      <c r="AA76" s="411">
        <f>SUMIFS('LAC 102_Wkst'!$AE$7:$AE$2010,'LAC 102_Wkst'!$E$7:$E$2010,$C76,'LAC 102_Wkst'!$G$7:$G$2010,$D76,'LAC 102_Wkst'!$L$7:$L$2010,"07",'LAC 102_Wkst'!$N$7:$N$2010,"P1")+SUMIFS('LAC 102_Wkst'!$AE$7:$AE$2010,'LAC 102_Wkst'!$E$7:$E$2010,$C76,'LAC 102_Wkst'!$G$7:$G$2010,$D76,'LAC 102_Wkst'!$L$7:$L$2010,"07",'LAC 102_Wkst'!$N$7:$N$2010,"P2")+SUMIFS('LAC 102_Wkst'!$AE$7:$AE$2010,'LAC 102_Wkst'!$E$7:$E$2010,$C76,'LAC 102_Wkst'!$G$7:$G$2010,$D76,'LAC 102_Wkst'!$L$7:$L$2010,"07",'LAC 102_Wkst'!$N$7:$N$2010,"P3")</f>
        <v>0</v>
      </c>
      <c r="AB76" s="410">
        <f>SUMIFS('LAC 102_Wkst'!$Q$7:$Q$2010,'LAC 102_Wkst'!$E$7:$E$2010,$C76,'LAC 102_Wkst'!$G$7:$G$2010,$D76,'LAC 102_Wkst'!$L$7:$L$2010,"07",'LAC 102_Wkst'!$N$7:$N$2010,"P4")</f>
        <v>0</v>
      </c>
      <c r="AC76" s="411">
        <f>SUMIFS('LAC 102_Wkst'!$AE$7:$AE$2010,'LAC 102_Wkst'!$E$7:$E$2010,$C76,'LAC 102_Wkst'!$G$7:$G$2010,$D76,'LAC 102_Wkst'!$L$7:$L$2010,"07",'LAC 102_Wkst'!$N$7:$N$2010,"P4")</f>
        <v>0</v>
      </c>
      <c r="AD76" s="410">
        <f>SUMIFS('LAC 102_Wkst'!$Q$7:$Q$2010,'LAC 102_Wkst'!$E$7:$E$2010,$C76,'LAC 102_Wkst'!$G$7:$G$2010,$D76,'LAC 102_Wkst'!$L$7:$L$2010,"07",'LAC 102_Wkst'!$N$7:$N$2010,"P5")</f>
        <v>0</v>
      </c>
      <c r="AE76" s="411">
        <f>SUMIFS('LAC 102_Wkst'!$AE$7:$AE$2010,'LAC 102_Wkst'!$E$7:$E$2010,$C76,'LAC 102_Wkst'!$G$7:$G$2010,$D76,'LAC 102_Wkst'!$L$7:$L$2010,"07",'LAC 102_Wkst'!$N$7:$N$2010,"P5")</f>
        <v>0</v>
      </c>
      <c r="AF76" s="410">
        <f>SUMIFS('LAC 102_Wkst'!$Q$7:$Q$2010,'LAC 102_Wkst'!$E$7:$E$2010,$C76,'LAC 102_Wkst'!$G$7:$G$2010,$D76,'LAC 102_Wkst'!$L$7:$L$2010,"08",'LAC 102_Wkst'!$N$7:$N$2010,"P1")+SUMIFS('LAC 102_Wkst'!$Q$7:$Q$2010,'LAC 102_Wkst'!$E$7:$E$2010,$C76,'LAC 102_Wkst'!$G$7:$G$2010,$D76,'LAC 102_Wkst'!$L$7:$L$2010,"08",'LAC 102_Wkst'!$N$7:$N$2010,"P2")+SUMIFS('LAC 102_Wkst'!$Q$7:$Q$2010,'LAC 102_Wkst'!$E$7:$E$2010,$C76,'LAC 102_Wkst'!$G$7:$G$2010,$D76,'LAC 102_Wkst'!$L$7:$L$2010,"08",'LAC 102_Wkst'!$N$7:$N$2010,"P3")</f>
        <v>0</v>
      </c>
      <c r="AG76" s="411">
        <f>SUMIFS('LAC 102_Wkst'!$AE$7:$AE$2010,'LAC 102_Wkst'!$E$7:$E$2010,$C76,'LAC 102_Wkst'!$G$7:$G$2010,$D76,'LAC 102_Wkst'!$L$7:$L$2010,"08",'LAC 102_Wkst'!$N$7:$N$2010,"P1")+SUMIFS('LAC 102_Wkst'!$AE$7:$AE$2010,'LAC 102_Wkst'!$E$7:$E$2010,$C76,'LAC 102_Wkst'!$G$7:$G$2010,$D76,'LAC 102_Wkst'!$L$7:$L$2010,"08",'LAC 102_Wkst'!$N$7:$N$2010,"P2")+SUMIFS('LAC 102_Wkst'!$AE$7:$AE$2010,'LAC 102_Wkst'!$E$7:$E$2010,$C76,'LAC 102_Wkst'!$G$7:$G$2010,$D76,'LAC 102_Wkst'!$L$7:$L$2010,"08",'LAC 102_Wkst'!$N$7:$N$2010,"P3")</f>
        <v>0</v>
      </c>
      <c r="AH76" s="410">
        <f>SUMIFS('LAC 102_Wkst'!$Q$7:$Q$2010,'LAC 102_Wkst'!$E$7:$E$2010,$C76,'LAC 102_Wkst'!$G$7:$G$2010,$D76,'LAC 102_Wkst'!$L$7:$L$2010,"08",'LAC 102_Wkst'!$N$7:$N$2010,"P4")</f>
        <v>0</v>
      </c>
      <c r="AI76" s="411">
        <f>SUMIFS('LAC 102_Wkst'!$AE$7:$AE$2010,'LAC 102_Wkst'!$E$7:$E$2010,$C76,'LAC 102_Wkst'!$G$7:$G$2010,$D76,'LAC 102_Wkst'!$L$7:$L$2010,"08",'LAC 102_Wkst'!$N$7:$N$2010,"P4")</f>
        <v>0</v>
      </c>
      <c r="AJ76" s="410">
        <f>SUMIFS('LAC 102_Wkst'!$Q$7:$Q$2010,'LAC 102_Wkst'!$E$7:$E$2010,$C76,'LAC 102_Wkst'!$G$7:$G$2010,$D76,'LAC 102_Wkst'!$L$7:$L$2010,"08",'LAC 102_Wkst'!$N$7:$N$2010,"P5")</f>
        <v>0</v>
      </c>
      <c r="AK76" s="411">
        <f>SUMIFS('LAC 102_Wkst'!$AE$7:$AE$2010,'LAC 102_Wkst'!$E$7:$E$2010,$C76,'LAC 102_Wkst'!$G$7:$G$2010,$D76,'LAC 102_Wkst'!$L$7:$L$2010,"08",'LAC 102_Wkst'!$N$7:$N$2010,"P5")</f>
        <v>0</v>
      </c>
      <c r="AL76" s="410">
        <f>SUMIFS('LAC 102_Wkst'!$Q$7:$Q$2010,'LAC 102_Wkst'!$E$7:$E$2010,$C76,'LAC 102_Wkst'!$G$7:$G$2010,$D76,'LAC 102_Wkst'!$L$7:$L$2010,"09",'LAC 102_Wkst'!$N$7:$N$2010,"P1")+SUMIFS('LAC 102_Wkst'!$Q$7:$Q$2010,'LAC 102_Wkst'!$E$7:$E$2010,$C76,'LAC 102_Wkst'!$G$7:$G$2010,$D76,'LAC 102_Wkst'!$L$7:$L$2010,"09",'LAC 102_Wkst'!$N$7:$N$2010,"P2")+SUMIFS('LAC 102_Wkst'!$Q$7:$Q$2010,'LAC 102_Wkst'!$E$7:$E$2010,$C76,'LAC 102_Wkst'!$G$7:$G$2010,$D76,'LAC 102_Wkst'!$L$7:$L$2010,"09",'LAC 102_Wkst'!$N$7:$N$2010,"P3")+SUMIFS('LAC 102_Wkst'!$Q$7:$Q$2010,'LAC 102_Wkst'!$E$7:$E$2010,$C76,'LAC 102_Wkst'!$G$7:$G$2010,$D76,'LAC 102_Wkst'!$L$7:$L$2010,"09",'LAC 102_Wkst'!$N$7:$N$2010,"P4")</f>
        <v>0</v>
      </c>
      <c r="AM76" s="411">
        <f>SUMIFS('LAC 102_Wkst'!$AE$7:$AE$2010,'LAC 102_Wkst'!$E$7:$E$2010,$C76,'LAC 102_Wkst'!$G$7:$G$2010,$D76,'LAC 102_Wkst'!$L$7:$L$2010,"09",'LAC 102_Wkst'!$N$7:$N$2010,"P1")+SUMIFS('LAC 102_Wkst'!$AE$7:$AE$2010,'LAC 102_Wkst'!$E$7:$E$2010,$C76,'LAC 102_Wkst'!$G$7:$G$2010,$D76,'LAC 102_Wkst'!$L$7:$L$2010,"09",'LAC 102_Wkst'!$N$7:$N$2010,"P2")+SUMIFS('LAC 102_Wkst'!$AE$7:$AE$2010,'LAC 102_Wkst'!$E$7:$E$2010,$C76,'LAC 102_Wkst'!$G$7:$G$2010,$D76,'LAC 102_Wkst'!$L$7:$L$2010,"09",'LAC 102_Wkst'!$N$7:$N$2010,"P3")+SUMIFS('LAC 102_Wkst'!$AE$7:$AE$2010,'LAC 102_Wkst'!$E$7:$E$2010,$C76,'LAC 102_Wkst'!$G$7:$G$2010,$D76,'LAC 102_Wkst'!$L$7:$L$2010,"09",'LAC 102_Wkst'!$N$7:$N$2010,"P4")</f>
        <v>0</v>
      </c>
      <c r="AN76" s="410">
        <f>SUMIFS('LAC 102_Wkst'!$Q$7:$Q$2010,'LAC 102_Wkst'!$E$7:$E$2010,$C76,'LAC 102_Wkst'!$G$7:$G$2010,$D76,'LAC 102_Wkst'!$L$7:$L$2010,"09",'LAC 102_Wkst'!$N$7:$N$2010,"P5")</f>
        <v>0</v>
      </c>
      <c r="AO76" s="411">
        <f>SUMIFS('LAC 102_Wkst'!$AE$7:$AE$2010,'LAC 102_Wkst'!$E$7:$E$2010,$C76,'LAC 102_Wkst'!$G$7:$G$2010,$D76,'LAC 102_Wkst'!$L$7:$L$2010,"09",'LAC 102_Wkst'!$N$7:$N$2010,"P5")</f>
        <v>0</v>
      </c>
      <c r="AP76" s="410">
        <f>SUMIFS('LAC 102_Wkst'!$Q$7:$Q$2010,'LAC 102_Wkst'!$E$7:$E$2010,$C76,'LAC 102_Wkst'!$G$7:$G$2010,$D76,'LAC 102_Wkst'!$L$7:$L$2010,"10",'LAC 102_Wkst'!$N$7:$N$2010,"P1")+SUMIFS('LAC 102_Wkst'!$Q$7:$Q$2010,'LAC 102_Wkst'!$E$7:$E$2010,$C76,'LAC 102_Wkst'!$G$7:$G$2010,$D76,'LAC 102_Wkst'!$L$7:$L$2010,"10",'LAC 102_Wkst'!$N$7:$N$2010,"P2")+SUMIFS('LAC 102_Wkst'!$Q$7:$Q$2010,'LAC 102_Wkst'!$E$7:$E$2010,$C76,'LAC 102_Wkst'!$G$7:$G$2010,$D76,'LAC 102_Wkst'!$L$7:$L$2010,"10",'LAC 102_Wkst'!$N$7:$N$2010,"P3")+SUMIFS('LAC 102_Wkst'!$Q$7:$Q$2010,'LAC 102_Wkst'!$E$7:$E$2010,$C76,'LAC 102_Wkst'!$G$7:$G$2010,$D76,'LAC 102_Wkst'!$L$7:$L$2010,"10",'LAC 102_Wkst'!$N$7:$N$2010,"P4")</f>
        <v>0</v>
      </c>
      <c r="AQ76" s="411">
        <f>SUMIFS('LAC 102_Wkst'!$AE$7:$AE$2010,'LAC 102_Wkst'!$E$7:$E$2010,$C76,'LAC 102_Wkst'!$G$7:$G$2010,$D76,'LAC 102_Wkst'!$L$7:$L$2010,"10",'LAC 102_Wkst'!$N$7:$N$2010,"P1")+SUMIFS('LAC 102_Wkst'!$AE$7:$AE$2010,'LAC 102_Wkst'!$E$7:$E$2010,$C76,'LAC 102_Wkst'!$G$7:$G$2010,$D76,'LAC 102_Wkst'!$L$7:$L$2010,"10",'LAC 102_Wkst'!$N$7:$N$2010,"P2")+SUMIFS('LAC 102_Wkst'!$AE$7:$AE$2010,'LAC 102_Wkst'!$E$7:$E$2010,$C76,'LAC 102_Wkst'!$G$7:$G$2010,$D76,'LAC 102_Wkst'!$L$7:$L$2010,"10",'LAC 102_Wkst'!$N$7:$N$2010,"P3")+SUMIFS('LAC 102_Wkst'!$AE$7:$AE$2010,'LAC 102_Wkst'!$E$7:$E$2010,$C76,'LAC 102_Wkst'!$G$7:$G$2010,$D76,'LAC 102_Wkst'!$L$7:$L$2010,"10",'LAC 102_Wkst'!$N$7:$N$2010,"P4")</f>
        <v>0</v>
      </c>
      <c r="AR76" s="410">
        <f>SUMIFS('LAC 102_Wkst'!$Q$7:$Q$2010,'LAC 102_Wkst'!$E$7:$E$2010,$C76,'LAC 102_Wkst'!$G$7:$G$2010,$D76,'LAC 102_Wkst'!$L$7:$L$2010,"10",'LAC 102_Wkst'!$N$7:$N$2010,"P5")</f>
        <v>0</v>
      </c>
      <c r="AS76" s="411">
        <f>SUMIFS('LAC 102_Wkst'!$AE$7:$AE$2010,'LAC 102_Wkst'!$E$7:$E$2010,$C76,'LAC 102_Wkst'!$G$7:$G$2010,$D76,'LAC 102_Wkst'!$L$7:$L$2010,"10",'LAC 102_Wkst'!$N$7:$N$2010,"P5")</f>
        <v>0</v>
      </c>
      <c r="AT76" s="410">
        <f>SUMIFS('LAC 102_Wkst'!$Q$7:$Q$2010,'LAC 102_Wkst'!$E$7:$E$2010,$C76,'LAC 102_Wkst'!$G$7:$G$2010,$D76,'LAC 102_Wkst'!$L$7:$L$2010,"11",'LAC 102_Wkst'!$N$7:$N$2010,"P1")+SUMIFS('LAC 102_Wkst'!$Q$7:$Q$2010,'LAC 102_Wkst'!$E$7:$E$2010,$C76,'LAC 102_Wkst'!$G$7:$G$2010,$D76,'LAC 102_Wkst'!$L$7:$L$2010,"12",'LAC 102_Wkst'!$N$7:$N$2010,"P1")</f>
        <v>0</v>
      </c>
      <c r="AU76" s="411">
        <f>SUMIFS('LAC 102_Wkst'!$AE$7:$AE$2010,'LAC 102_Wkst'!$E$7:$E$2010,$C76,'LAC 102_Wkst'!$G$7:$G$2010,$D76,'LAC 102_Wkst'!$L$7:$L$2010,"11",'LAC 102_Wkst'!$N$7:$N$2010,"P1")+SUMIFS('LAC 102_Wkst'!$AE$7:$AE$2010,'LAC 102_Wkst'!$E$7:$E$2010,$C76,'LAC 102_Wkst'!$G$7:$G$2010,$D76,'LAC 102_Wkst'!$L$7:$L$2010,"12",'LAC 102_Wkst'!$N$7:$N$2010,"P1")</f>
        <v>0</v>
      </c>
      <c r="AV76" s="410">
        <f>SUMIFS('LAC 102_Wkst'!$Q$7:$Q$2010,'LAC 102_Wkst'!$E$7:$E$2010,$C76,'LAC 102_Wkst'!$G$7:$G$2010,$D76,'LAC 102_Wkst'!$L$7:$L$2010,"11",'LAC 102_Wkst'!$N$7:$N$2010,"P2")+SUMIFS('LAC 102_Wkst'!$Q$7:$Q$2010,'LAC 102_Wkst'!$E$7:$E$2010,$C76,'LAC 102_Wkst'!$G$7:$G$2010,$D76,'LAC 102_Wkst'!$L$7:$L$2010,"12",'LAC 102_Wkst'!$N$7:$N$2010,"P3")+SUMIFS('LAC 102_Wkst'!$Q$7:$Q$2010,'LAC 102_Wkst'!$E$7:$E$2010,$C76,'LAC 102_Wkst'!$G$7:$G$2010,$D76,'LAC 102_Wkst'!$L$7:$L$2010,"11",'LAC 102_Wkst'!$N$7:$N$2010,"P2")+SUMIFS('LAC 102_Wkst'!$Q$7:$Q$2010,'LAC 102_Wkst'!$E$7:$E$2010,$C76,'LAC 102_Wkst'!$G$7:$G$2010,$D76,'LAC 102_Wkst'!$L$7:$L$2010,"12",'LAC 102_Wkst'!$N$7:$N$2010,"P3")</f>
        <v>0</v>
      </c>
      <c r="AW76" s="411">
        <f>SUMIFS('LAC 102_Wkst'!$AE$7:$AE$2010,'LAC 102_Wkst'!$E$7:$E$2010,$C76,'LAC 102_Wkst'!$G$7:$G$2010,$D76,'LAC 102_Wkst'!$L$7:$L$2010,"11",'LAC 102_Wkst'!$N$7:$N$2010,"P2")+SUMIFS('LAC 102_Wkst'!$AE$7:$AE$2010,'LAC 102_Wkst'!$E$7:$E$2010,$C76,'LAC 102_Wkst'!$G$7:$G$2010,$D76,'LAC 102_Wkst'!$L$7:$L$2010,"12",'LAC 102_Wkst'!$N$7:$N$2010,"P3")+SUMIFS('LAC 102_Wkst'!$AE$7:$AE$2010,'LAC 102_Wkst'!$E$7:$E$2010,$C76,'LAC 102_Wkst'!$G$7:$G$2010,$D76,'LAC 102_Wkst'!$L$7:$L$2010,"11",'LAC 102_Wkst'!$N$7:$N$2010,"P2")+SUMIFS('LAC 102_Wkst'!$AE$7:$AE$2010,'LAC 102_Wkst'!$E$7:$E$2010,$C76,'LAC 102_Wkst'!$G$7:$G$2010,$D76,'LAC 102_Wkst'!$L$7:$L$2010,"12",'LAC 102_Wkst'!$N$7:$N$2010,"P3")</f>
        <v>0</v>
      </c>
      <c r="AX76" s="410">
        <f>SUMIFS('LAC 102_Wkst'!$Q$7:$Q$2010,'LAC 102_Wkst'!$E$7:$E$2010,$C76,'LAC 102_Wkst'!$G$7:$G$2010,$D76,'LAC 102_Wkst'!$L$7:$L$2010,"11",'LAC 102_Wkst'!$N$7:$N$2010,"P4")+SUMIFS('LAC 102_Wkst'!$Q$7:$Q$2010,'LAC 102_Wkst'!$E$7:$E$2010,$C76,'LAC 102_Wkst'!$G$7:$G$2010,$D76,'LAC 102_Wkst'!$L$7:$L$2010,"12",'LAC 102_Wkst'!$N$7:$N$2010,"P4")</f>
        <v>0</v>
      </c>
      <c r="AY76" s="411">
        <f>SUMIFS('LAC 102_Wkst'!$AE$7:$AE$2010,'LAC 102_Wkst'!$E$7:$E$2010,$C76,'LAC 102_Wkst'!$G$7:$G$2010,$D76,'LAC 102_Wkst'!$L$7:$L$2010,"11",'LAC 102_Wkst'!$N$7:$N$2010,"P4")+SUMIFS('LAC 102_Wkst'!$AE$7:$AE$2010,'LAC 102_Wkst'!$E$7:$E$2010,$C76,'LAC 102_Wkst'!$G$7:$G$2010,$D76,'LAC 102_Wkst'!$L$7:$L$2010,"12",'LAC 102_Wkst'!$N$7:$N$2010,"P4")</f>
        <v>0</v>
      </c>
      <c r="AZ76" s="410">
        <f>SUMIFS('LAC 102_Wkst'!$Q$7:$Q$2010,'LAC 102_Wkst'!$E$7:$E$2010,$C76,'LAC 102_Wkst'!$G$7:$G$2010,$D76,'LAC 102_Wkst'!$L$7:$L$2010,"11",'LAC 102_Wkst'!$N$7:$N$2010,"P5")+SUMIFS('LAC 102_Wkst'!$Q$7:$Q$2010,'LAC 102_Wkst'!$E$7:$E$2010,$C76,'LAC 102_Wkst'!$G$7:$G$2010,$D76,'LAC 102_Wkst'!$L$7:$L$2010,"12",'LAC 102_Wkst'!$N$7:$N$2010,"P5")</f>
        <v>0</v>
      </c>
      <c r="BA76" s="411">
        <f>SUMIFS('LAC 102_Wkst'!$AE$7:$AE$2010,'LAC 102_Wkst'!$E$7:$E$2010,$C76,'LAC 102_Wkst'!$G$7:$G$2010,$D76,'LAC 102_Wkst'!$L$7:$L$2010,"11",'LAC 102_Wkst'!$N$7:$N$2010,"P5")+SUMIFS('LAC 102_Wkst'!$AE$7:$AE$2010,'LAC 102_Wkst'!$E$7:$E$2010,$C76,'LAC 102_Wkst'!$G$7:$G$2010,$D76,'LAC 102_Wkst'!$L$7:$L$2010,"12",'LAC 102_Wkst'!$N$7:$N$2010,"P5")</f>
        <v>0</v>
      </c>
      <c r="BB76" s="410">
        <f>SUMIFS('LAC 102_Wkst'!$Q$7:$Q$2010,'LAC 102_Wkst'!$E$7:$E$2010,$C76,'LAC 102_Wkst'!$G$7:$G$2010,$D76,'LAC 102_Wkst'!$L$7:$L$2010,"13",'LAC 102_Wkst'!$N$7:$N$2010,"P1")+SUMIFS('LAC 102_Wkst'!$Q$7:$Q$2010,'LAC 102_Wkst'!$E$7:$E$2010,$C76,'LAC 102_Wkst'!$G$7:$G$2010,$D76,'LAC 102_Wkst'!$L$7:$L$2010,"13",'LAC 102_Wkst'!$N$7:$N$2010,"P2")+SUMIFS('LAC 102_Wkst'!$Q$7:$Q$2010,'LAC 102_Wkst'!$E$7:$E$2010,$C76,'LAC 102_Wkst'!$G$7:$G$2010,$D76,'LAC 102_Wkst'!$L$7:$L$2010,"13",'LAC 102_Wkst'!$N$7:$N$2010,"P3")+SUMIFS('LAC 102_Wkst'!$Q$7:$Q$2010,'LAC 102_Wkst'!$E$7:$E$2010,$C76,'LAC 102_Wkst'!$G$7:$G$2010,$D76,'LAC 102_Wkst'!$L$7:$L$2010,"13",'LAC 102_Wkst'!$N$7:$N$2010,"P4")</f>
        <v>0</v>
      </c>
      <c r="BC76" s="411">
        <f>SUMIFS('LAC 102_Wkst'!$AE$7:$AE$2010,'LAC 102_Wkst'!$E$7:$E$2010,$C76,'LAC 102_Wkst'!$G$7:$G$2010,$D76,'LAC 102_Wkst'!$L$7:$L$2010,"13",'LAC 102_Wkst'!$N$7:$N$2010,"P1")+SUMIFS('LAC 102_Wkst'!$AE$7:$AE$2010,'LAC 102_Wkst'!$E$7:$E$2010,$C76,'LAC 102_Wkst'!$G$7:$G$2010,$D76,'LAC 102_Wkst'!$L$7:$L$2010,"13",'LAC 102_Wkst'!$N$7:$N$2010,"P2")+SUMIFS('LAC 102_Wkst'!$AE$7:$AE$2010,'LAC 102_Wkst'!$E$7:$E$2010,$C76,'LAC 102_Wkst'!$G$7:$G$2010,$D76,'LAC 102_Wkst'!$L$7:$L$2010,"13",'LAC 102_Wkst'!$N$7:$N$2010,"P3")+SUMIFS('LAC 102_Wkst'!$AE$7:$AE$2010,'LAC 102_Wkst'!$E$7:$E$2010,$C76,'LAC 102_Wkst'!$G$7:$G$2010,$D76,'LAC 102_Wkst'!$L$7:$L$2010,"13",'LAC 102_Wkst'!$N$7:$N$2010,"P4")</f>
        <v>0</v>
      </c>
      <c r="BD76" s="410">
        <f>SUMIFS('LAC 102_Wkst'!$Q$7:$Q$2010,'LAC 102_Wkst'!$E$7:$E$2010,$C76,'LAC 102_Wkst'!$G$7:$G$2010,$D76,'LAC 102_Wkst'!$L$7:$L$2010,"13",'LAC 102_Wkst'!$N$7:$N$2010,"P5")</f>
        <v>0</v>
      </c>
      <c r="BE76" s="411">
        <f>SUMIFS('LAC 102_Wkst'!$AE$7:$AE$2010,'LAC 102_Wkst'!$E$7:$E$2010,$C76,'LAC 102_Wkst'!$G$7:$G$2010,$D76,'LAC 102_Wkst'!$L$7:$L$2010,"13",'LAC 102_Wkst'!$N$7:$N$2010,"P5")</f>
        <v>0</v>
      </c>
      <c r="BF76" s="407">
        <f t="shared" si="0"/>
        <v>0</v>
      </c>
    </row>
    <row r="77" spans="1:58" x14ac:dyDescent="0.2">
      <c r="A77" s="401">
        <v>58</v>
      </c>
      <c r="B77" s="1236"/>
      <c r="C77" s="1235"/>
      <c r="D77" s="1237"/>
      <c r="E77" s="1222">
        <f>IF(CONCATENATE(C77,D77)&gt;"6069",1,SUMIFS('LAC 102_Wkst'!$Q$7:$Q$2010,'LAC 102_Wkst'!$E$7:$E$2010,Schedule_B!$C77,'LAC 102_Wkst'!$G$7:$G$2010,Schedule_B!$D77))</f>
        <v>0</v>
      </c>
      <c r="F77" s="408">
        <f>SUMIFS('LAC 102_Wkst'!$Q$7:$Q$2010,'LAC 102_Wkst'!$E$7:$E$2010,$C77,'LAC 102_Wkst'!$G$7:$G$2010,$D77,'LAC 102_Wkst'!$L$7:$L$2010,"01",'LAC 102_Wkst'!$N$7:$N$2010,"P1")+SUMIFS('LAC 102_Wkst'!$Q$7:$Q$2010,'LAC 102_Wkst'!$E$7:$E$2010,$C77,'LAC 102_Wkst'!$G$7:$G$2010,$D77,'LAC 102_Wkst'!$L$7:$L$2010,"01",'LAC 102_Wkst'!$N$7:$N$2010,"P2")+SUMIFS('LAC 102_Wkst'!$Q$7:$Q$2010,'LAC 102_Wkst'!$E$7:$E$2010,$C77,'LAC 102_Wkst'!$G$7:$G$2010,$D77,'LAC 102_Wkst'!$L$7:$L$2010,"01",'LAC 102_Wkst'!$N$7:$N$2010,"P3")+SUMIFS('LAC 102_Wkst'!$Q$7:$Q$2010,'LAC 102_Wkst'!$E$7:$E$2010,$C77,'LAC 102_Wkst'!$G$7:$G$2010,$D77,'LAC 102_Wkst'!$L$7:$L$2010,"02",'LAC 102_Wkst'!$N$7:$N$2010,"P1")+SUMIFS('LAC 102_Wkst'!$Q$7:$Q$2010,'LAC 102_Wkst'!$E$7:$E$2010,$C77,'LAC 102_Wkst'!$G$7:$G$2010,$D77,'LAC 102_Wkst'!$L$7:$L$2010,"02",'LAC 102_Wkst'!$N$7:$N$2010,"P2")+SUMIFS('LAC 102_Wkst'!$Q$7:$Q$2010,'LAC 102_Wkst'!$E$7:$E$2010,$C77,'LAC 102_Wkst'!$G$7:$G$2010,$D77,'LAC 102_Wkst'!$L$7:$L$2010,"02",'LAC 102_Wkst'!$N$7:$N$2010,"P3")</f>
        <v>0</v>
      </c>
      <c r="G77" s="409">
        <f>SUMIFS('LAC 102_Wkst'!$AE$7:$AE$2010,'LAC 102_Wkst'!$E$7:$E$2010,$C77,'LAC 102_Wkst'!$G$7:$G$2010,$D77,'LAC 102_Wkst'!$L$7:$L$2010,"01",'LAC 102_Wkst'!$N$7:$N$2010,"P1")+SUMIFS('LAC 102_Wkst'!$AE$7:$AE$2010,'LAC 102_Wkst'!$E$7:$E$2010,$C77,'LAC 102_Wkst'!$G$7:$G$2010,$D77,'LAC 102_Wkst'!$L$7:$L$2010,"01",'LAC 102_Wkst'!$N$7:$N$2010,"P2")+SUMIFS('LAC 102_Wkst'!$AE$7:$AE$2010,'LAC 102_Wkst'!$E$7:$E$2010,$C77,'LAC 102_Wkst'!$G$7:$G$2010,$D77,'LAC 102_Wkst'!$L$7:$L$2010,"01",'LAC 102_Wkst'!$N$7:$N$2010,"P3")+SUMIFS('LAC 102_Wkst'!$AE$7:$AE$2010,'LAC 102_Wkst'!$E$7:$E$2010,$C77,'LAC 102_Wkst'!$G$7:$G$2010,$D77,'LAC 102_Wkst'!$L$7:$L$2010,"02",'LAC 102_Wkst'!$N$7:$N$2010,"P1")+SUMIFS('LAC 102_Wkst'!$AE$7:$AE$2010,'LAC 102_Wkst'!$E$7:$E$2010,$C77,'LAC 102_Wkst'!$G$7:$G$2010,$D77,'LAC 102_Wkst'!$L$7:$L$2010,"02",'LAC 102_Wkst'!$N$7:$N$2010,"P2")+SUMIFS('LAC 102_Wkst'!$AE$7:$AE$2010,'LAC 102_Wkst'!$E$7:$E$2010,$C77,'LAC 102_Wkst'!$G$7:$G$2010,$D77,'LAC 102_Wkst'!$L$7:$L$2010,"02",'LAC 102_Wkst'!$N$7:$N$2010,"P3")</f>
        <v>0</v>
      </c>
      <c r="H77" s="410">
        <f>SUMIFS('LAC 102_Wkst'!$Q$7:$Q$2010,'LAC 102_Wkst'!$E$7:$E$2010,$C77,'LAC 102_Wkst'!$G$7:$G$2010,$D77,'LAC 102_Wkst'!$L$7:$L$2010,"01",'LAC 102_Wkst'!$N$7:$N$2010,"P4")+SUMIFS('LAC 102_Wkst'!$Q$7:$Q$2010,'LAC 102_Wkst'!$E$7:$E$2010,$C77,'LAC 102_Wkst'!$G$7:$G$2010,$D77,'LAC 102_Wkst'!$L$7:$L$2010,"02",'LAC 102_Wkst'!$N$7:$N$2010,"P4")</f>
        <v>0</v>
      </c>
      <c r="I77" s="411">
        <f>SUMIFS('LAC 102_Wkst'!$AE$7:$AE$2010,'LAC 102_Wkst'!$E$7:$E$2010,$C77,'LAC 102_Wkst'!$G$7:$G$2010,$D77,'LAC 102_Wkst'!$L$7:$L$2010,"01",'LAC 102_Wkst'!$N$7:$N$2010,"P4")+SUMIFS('LAC 102_Wkst'!$AE$7:$AE$2010,'LAC 102_Wkst'!$E$7:$E$2010,$C77,'LAC 102_Wkst'!$G$7:$G$2010,$D77,'LAC 102_Wkst'!$L$7:$L$2010,"02",'LAC 102_Wkst'!$N$7:$N$2010,"P4")</f>
        <v>0</v>
      </c>
      <c r="J77" s="410">
        <f>SUMIFS('LAC 102_Wkst'!$Q$7:$Q$2010,'LAC 102_Wkst'!$E$7:$E$2010,$C77,'LAC 102_Wkst'!$G$7:$G$2010,$D77,'LAC 102_Wkst'!$L$7:$L$2010,"01",'LAC 102_Wkst'!$N$7:$N$2010,"P5")+SUMIFS('LAC 102_Wkst'!$Q$7:$Q$2010,'LAC 102_Wkst'!$E$7:$E$2010,$C77,'LAC 102_Wkst'!$G$7:$G$2010,$D77,'LAC 102_Wkst'!$L$7:$L$2010,"02",'LAC 102_Wkst'!$N$7:$N$2010,"P5")</f>
        <v>0</v>
      </c>
      <c r="K77" s="411">
        <f>SUMIFS('LAC 102_Wkst'!$AE$7:$AE$2010,'LAC 102_Wkst'!$E$7:$E$2010,$C77,'LAC 102_Wkst'!$G$7:$G$2010,$D77,'LAC 102_Wkst'!$L$7:$L$2010,"01",'LAC 102_Wkst'!$N$7:$N$2010,"P5")+SUMIFS('LAC 102_Wkst'!$AE$7:$AE$2010,'LAC 102_Wkst'!$E$7:$E$2010,$C77,'LAC 102_Wkst'!$G$7:$G$2010,$D77,'LAC 102_Wkst'!$L$7:$L$2010,"02",'LAC 102_Wkst'!$N$7:$N$2010,"P5")</f>
        <v>0</v>
      </c>
      <c r="L77" s="410">
        <f>SUMIFS('LAC 102_Wkst'!$Q$7:$Q$2010,'LAC 102_Wkst'!$E$7:$E$2010,$C77,'LAC 102_Wkst'!$G$7:$G$2010,$D77,'LAC 102_Wkst'!$L$7:$L$2010,"03",'LAC 102_Wkst'!$N$7:$N$2010,"P1")+SUMIFS('LAC 102_Wkst'!$Q$7:$Q$2010,'LAC 102_Wkst'!$E$7:$E$2010,$C77,'LAC 102_Wkst'!$G$7:$G$2010,$D77,'LAC 102_Wkst'!$L$7:$L$2010,"03",'LAC 102_Wkst'!$N$7:$N$2010,"P2")+SUMIFS('LAC 102_Wkst'!$Q$7:$Q$2010,'LAC 102_Wkst'!$E$7:$E$2010,$C77,'LAC 102_Wkst'!$G$7:$G$2010,$D77,'LAC 102_Wkst'!$L$7:$L$2010,"03",'LAC 102_Wkst'!$N$7:$N$2010,"P3")+SUMIFS('LAC 102_Wkst'!$Q$7:$Q$2010,'LAC 102_Wkst'!$E$7:$E$2010,$C77,'LAC 102_Wkst'!$G$7:$G$2010,$D77,'LAC 102_Wkst'!$L$7:$L$2010,"04",'LAC 102_Wkst'!$N$7:$N$2010,"P1")+SUMIFS('LAC 102_Wkst'!$Q$7:$Q$2010,'LAC 102_Wkst'!$E$7:$E$2010,$C77,'LAC 102_Wkst'!$G$7:$G$2010,$D77,'LAC 102_Wkst'!$L$7:$L$2010,"04",'LAC 102_Wkst'!$N$7:$N$2010,"P2")+SUMIFS('LAC 102_Wkst'!$Q$7:$Q$2010,'LAC 102_Wkst'!$E$7:$E$2010,$C77,'LAC 102_Wkst'!$G$7:$G$2010,$D77,'LAC 102_Wkst'!$L$7:$L$2010,"04",'LAC 102_Wkst'!$N$7:$N$2010,"P3")</f>
        <v>0</v>
      </c>
      <c r="M77" s="411">
        <f>SUMIFS('LAC 102_Wkst'!$AE$7:$AE$2010,'LAC 102_Wkst'!$E$7:$E$2010,$C77,'LAC 102_Wkst'!$G$7:$G$2010,$D77,'LAC 102_Wkst'!$L$7:$L$2010,"03",'LAC 102_Wkst'!$N$7:$N$2010,"P1")+SUMIFS('LAC 102_Wkst'!$AE$7:$AE$2010,'LAC 102_Wkst'!$E$7:$E$2010,$C77,'LAC 102_Wkst'!$G$7:$G$2010,$D77,'LAC 102_Wkst'!$L$7:$L$2010,"03",'LAC 102_Wkst'!$N$7:$N$2010,"P2")+SUMIFS('LAC 102_Wkst'!$AE$7:$AE$2010,'LAC 102_Wkst'!$E$7:$E$2010,$C77,'LAC 102_Wkst'!$G$7:$G$2010,$D77,'LAC 102_Wkst'!$L$7:$L$2010,"03",'LAC 102_Wkst'!$N$7:$N$2010,"P3")+SUMIFS('LAC 102_Wkst'!$AE$7:$AE$2010,'LAC 102_Wkst'!$E$7:$E$2010,$C77,'LAC 102_Wkst'!$G$7:$G$2010,$D77,'LAC 102_Wkst'!$L$7:$L$2010,"04",'LAC 102_Wkst'!$N$7:$N$2010,"P1")+SUMIFS('LAC 102_Wkst'!$AE$7:$AE$2010,'LAC 102_Wkst'!$E$7:$E$2010,$C77,'LAC 102_Wkst'!$G$7:$G$2010,$D77,'LAC 102_Wkst'!$L$7:$L$2010,"04",'LAC 102_Wkst'!$N$7:$N$2010,"P2")+SUMIFS('LAC 102_Wkst'!$AE$7:$AE$2010,'LAC 102_Wkst'!$E$7:$E$2010,$C77,'LAC 102_Wkst'!$G$7:$G$2010,$D77,'LAC 102_Wkst'!$L$7:$L$2010,"04",'LAC 102_Wkst'!$N$7:$N$2010,"P3")</f>
        <v>0</v>
      </c>
      <c r="N77" s="410">
        <f>SUMIFS('LAC 102_Wkst'!$Q$7:$Q$2010,'LAC 102_Wkst'!$E$7:$E$2010,$C77,'LAC 102_Wkst'!$G$7:$G$2010,$D77,'LAC 102_Wkst'!$L$7:$L$2010,"03",'LAC 102_Wkst'!$N$7:$N$2010,"P4")+SUMIFS('LAC 102_Wkst'!$Q$7:$Q$2010,'LAC 102_Wkst'!$E$7:$E$2010,$C77,'LAC 102_Wkst'!$G$7:$G$2010,$D77,'LAC 102_Wkst'!$L$7:$L$2010,"04",'LAC 102_Wkst'!$N$7:$N$2010,"P4")</f>
        <v>0</v>
      </c>
      <c r="O77" s="411">
        <f>SUMIFS('LAC 102_Wkst'!$AE$7:$AE$2010,'LAC 102_Wkst'!$E$7:$E$2010,$C77,'LAC 102_Wkst'!$G$7:$G$2010,$D77,'LAC 102_Wkst'!$L$7:$L$2010,"03",'LAC 102_Wkst'!$N$7:$N$2010,"P4")+SUMIFS('LAC 102_Wkst'!$AE$7:$AE$2010,'LAC 102_Wkst'!$E$7:$E$2010,$C77,'LAC 102_Wkst'!$G$7:$G$2010,$D77,'LAC 102_Wkst'!$L$7:$L$2010,"04",'LAC 102_Wkst'!$N$7:$N$2010,"P4")</f>
        <v>0</v>
      </c>
      <c r="P77" s="410">
        <f>SUMIFS('LAC 102_Wkst'!$Q$7:$Q$2010,'LAC 102_Wkst'!$E$7:$E$2010,$C77,'LAC 102_Wkst'!$G$7:$G$2010,$D77,'LAC 102_Wkst'!$L$7:$L$2010,"03",'LAC 102_Wkst'!$N$7:$N$2010,"P5")+SUMIFS('LAC 102_Wkst'!$Q$7:$Q$2010,'LAC 102_Wkst'!$E$7:$E$2010,$C77,'LAC 102_Wkst'!$G$7:$G$2010,$D77,'LAC 102_Wkst'!$L$7:$L$2010,"04",'LAC 102_Wkst'!$N$7:$N$2010,"P5")</f>
        <v>0</v>
      </c>
      <c r="Q77" s="411">
        <f>SUMIFS('LAC 102_Wkst'!$AE$7:$AE$2010,'LAC 102_Wkst'!$E$7:$E$2010,$C77,'LAC 102_Wkst'!$G$7:$G$2010,$D77,'LAC 102_Wkst'!$L$7:$L$2010,"03",'LAC 102_Wkst'!$N$7:$N$2010,"P5")+SUMIFS('LAC 102_Wkst'!$AE$7:$AE$2010,'LAC 102_Wkst'!$E$7:$E$2010,$C77,'LAC 102_Wkst'!$G$7:$G$2010,$D77,'LAC 102_Wkst'!$L$7:$L$2010,"04",'LAC 102_Wkst'!$N$7:$N$2010,"P5")</f>
        <v>0</v>
      </c>
      <c r="R77" s="412">
        <f>SUMIFS('LAC 102_Wkst'!$Q$7:$Q$2010,'LAC 102_Wkst'!$E$7:$E$2010,$C77,'LAC 102_Wkst'!$G$7:$G$2010,$D77,'LAC 102_Wkst'!$L$7:$L$2010,"05",'LAC 102_Wkst'!$N$7:$N$2010,"P1")+SUMIFS('LAC 102_Wkst'!$Q$7:$Q$2010,'LAC 102_Wkst'!$E$7:$E$2010,$C77,'LAC 102_Wkst'!$G$7:$G$2010,$D77,'LAC 102_Wkst'!$L$7:$L$2010,"06",'LAC 102_Wkst'!$N$7:$N$2010,"P1")</f>
        <v>0</v>
      </c>
      <c r="S77" s="411">
        <f>SUMIFS('LAC 102_Wkst'!$AE$7:$AE$2010,'LAC 102_Wkst'!$E$7:$E$2010,$C77,'LAC 102_Wkst'!$G$7:$G$2010,$D77,'LAC 102_Wkst'!$L$7:$L$2010,"05",'LAC 102_Wkst'!$N$7:$N$2010,"P1")+SUMIFS('LAC 102_Wkst'!$AE$7:$AE$2010,'LAC 102_Wkst'!$E$7:$E$2010,$C77,'LAC 102_Wkst'!$G$7:$G$2010,$D77,'LAC 102_Wkst'!$L$7:$L$2010,"06",'LAC 102_Wkst'!$N$7:$N$2010,"P1")</f>
        <v>0</v>
      </c>
      <c r="T77" s="410">
        <f>SUMIFS('LAC 102_Wkst'!$Q$7:$Q$2010,'LAC 102_Wkst'!$E$7:$E$2010,$C77,'LAC 102_Wkst'!$G$7:$G$2010,$D77,'LAC 102_Wkst'!$L$7:$L$2010,"05",'LAC 102_Wkst'!$N$7:$N$2010,"P2")+SUMIFS('LAC 102_Wkst'!$Q$7:$Q$2010,'LAC 102_Wkst'!$E$7:$E$2010,$C77,'LAC 102_Wkst'!$G$7:$G$2010,$D77,'LAC 102_Wkst'!$L$7:$L$2010,"05",'LAC 102_Wkst'!$N$7:$N$2010,"P3")+SUMIFS('LAC 102_Wkst'!$Q$7:$Q$2010,'LAC 102_Wkst'!$E$7:$E$2010,$C77,'LAC 102_Wkst'!$G$7:$G$2010,$D77,'LAC 102_Wkst'!$L$7:$L$2010,"06",'LAC 102_Wkst'!$N$7:$N$2010,"P2")+SUMIFS('LAC 102_Wkst'!$Q$7:$Q$2010,'LAC 102_Wkst'!$E$7:$E$2010,$C77,'LAC 102_Wkst'!$G$7:$G$2010,$D77,'LAC 102_Wkst'!$L$7:$L$2010,"06",'LAC 102_Wkst'!$N$7:$N$2010,"P3")</f>
        <v>0</v>
      </c>
      <c r="U77" s="411">
        <f>SUMIFS('LAC 102_Wkst'!$AE$7:$AE$2010,'LAC 102_Wkst'!$E$7:$E$2010,$C77,'LAC 102_Wkst'!$G$7:$G$2010,$D77,'LAC 102_Wkst'!$L$7:$L$2010,"05",'LAC 102_Wkst'!$N$7:$N$2010,"P2")+SUMIFS('LAC 102_Wkst'!$AE$7:$AE$2010,'LAC 102_Wkst'!$E$7:$E$2010,$C77,'LAC 102_Wkst'!$G$7:$G$2010,$D77,'LAC 102_Wkst'!$L$7:$L$2010,"06",'LAC 102_Wkst'!$N$7:$N$2010,"P3")+SUMIFS('LAC 102_Wkst'!$AE$7:$AE$2010,'LAC 102_Wkst'!$E$7:$E$2010,$C77,'LAC 102_Wkst'!$G$7:$G$2010,$D77,'LAC 102_Wkst'!$L$7:$L$2010,"05",'LAC 102_Wkst'!$N$7:$N$2010,"P2")+SUMIFS('LAC 102_Wkst'!$AE$7:$AE$2010,'LAC 102_Wkst'!$E$7:$E$2010,$C77,'LAC 102_Wkst'!$G$7:$G$2010,$D77,'LAC 102_Wkst'!$L$7:$L$2010,"06",'LAC 102_Wkst'!$N$7:$N$2010,"P3")</f>
        <v>0</v>
      </c>
      <c r="V77" s="410">
        <f>SUMIFS('LAC 102_Wkst'!$Q$7:$Q$2010,'LAC 102_Wkst'!$E$7:$E$2010,$C77,'LAC 102_Wkst'!$G$7:$G$2010,$D77,'LAC 102_Wkst'!$L$7:$L$2010,"05",'LAC 102_Wkst'!$N$7:$N$2010,"P4")+SUMIFS('LAC 102_Wkst'!$Q$7:$Q$2010,'LAC 102_Wkst'!$E$7:$E$2010,$C77,'LAC 102_Wkst'!$G$7:$G$2010,$D77,'LAC 102_Wkst'!$L$7:$L$2010,"06",'LAC 102_Wkst'!$N$7:$N$2010,"P4")</f>
        <v>0</v>
      </c>
      <c r="W77" s="411">
        <f>SUMIFS('LAC 102_Wkst'!$AE$7:$AE$2010,'LAC 102_Wkst'!$E$7:$E$2010,$C77,'LAC 102_Wkst'!$G$7:$G$2010,$D77,'LAC 102_Wkst'!$L$7:$L$2010,"05",'LAC 102_Wkst'!$N$7:$N$2010,"P4")+SUMIFS('LAC 102_Wkst'!$AE$7:$AE$2010,'LAC 102_Wkst'!$E$7:$E$2010,$C77,'LAC 102_Wkst'!$G$7:$G$2010,$D77,'LAC 102_Wkst'!$L$7:$L$2010,"06",'LAC 102_Wkst'!$N$7:$N$2010,"P4")</f>
        <v>0</v>
      </c>
      <c r="X77" s="410">
        <f>SUMIFS('LAC 102_Wkst'!$Q$7:$Q$2010,'LAC 102_Wkst'!$E$7:$E$2010,$C77,'LAC 102_Wkst'!$G$7:$G$2010,$D77,'LAC 102_Wkst'!$L$7:$L$2010,"05",'LAC 102_Wkst'!$N$7:$N$2010,"P5")+SUMIFS('LAC 102_Wkst'!$Q$7:$Q$2010,'LAC 102_Wkst'!$E$7:$E$2010,$C77,'LAC 102_Wkst'!$G$7:$G$2010,$D77,'LAC 102_Wkst'!$L$7:$L$2010,"06",'LAC 102_Wkst'!$N$7:$N$2010,"P5")</f>
        <v>0</v>
      </c>
      <c r="Y77" s="411">
        <f>SUMIFS('LAC 102_Wkst'!$AE$7:$AE$2010,'LAC 102_Wkst'!$E$7:$E$2010,$C77,'LAC 102_Wkst'!$G$7:$G$2010,$D77,'LAC 102_Wkst'!$L$7:$L$2010,"05",'LAC 102_Wkst'!$N$7:$N$2010,"P5")+SUMIFS('LAC 102_Wkst'!$AE$7:$AE$2010,'LAC 102_Wkst'!$E$7:$E$2010,$C77,'LAC 102_Wkst'!$G$7:$G$2010,$D77,'LAC 102_Wkst'!$L$7:$L$2010,"06",'LAC 102_Wkst'!$N$7:$N$2010,"P5")</f>
        <v>0</v>
      </c>
      <c r="Z77" s="410">
        <f>SUMIFS('LAC 102_Wkst'!$Q$7:$Q$2010,'LAC 102_Wkst'!$E$7:$E$2010,$C77,'LAC 102_Wkst'!$G$7:$G$2010,$D77,'LAC 102_Wkst'!$L$7:$L$2010,"07",'LAC 102_Wkst'!$N$7:$N$2010,"P1")+SUMIFS('LAC 102_Wkst'!$Q$7:$Q$2010,'LAC 102_Wkst'!$E$7:$E$2010,$C77,'LAC 102_Wkst'!$G$7:$G$2010,$D77,'LAC 102_Wkst'!$L$7:$L$2010,"07",'LAC 102_Wkst'!$N$7:$N$2010,"P2")+SUMIFS('LAC 102_Wkst'!$Q$7:$Q$2010,'LAC 102_Wkst'!$E$7:$E$2010,$C77,'LAC 102_Wkst'!$G$7:$G$2010,$D77,'LAC 102_Wkst'!$L$7:$L$2010,"07",'LAC 102_Wkst'!$N$7:$N$2010,"P3")</f>
        <v>0</v>
      </c>
      <c r="AA77" s="411">
        <f>SUMIFS('LAC 102_Wkst'!$AE$7:$AE$2010,'LAC 102_Wkst'!$E$7:$E$2010,$C77,'LAC 102_Wkst'!$G$7:$G$2010,$D77,'LAC 102_Wkst'!$L$7:$L$2010,"07",'LAC 102_Wkst'!$N$7:$N$2010,"P1")+SUMIFS('LAC 102_Wkst'!$AE$7:$AE$2010,'LAC 102_Wkst'!$E$7:$E$2010,$C77,'LAC 102_Wkst'!$G$7:$G$2010,$D77,'LAC 102_Wkst'!$L$7:$L$2010,"07",'LAC 102_Wkst'!$N$7:$N$2010,"P2")+SUMIFS('LAC 102_Wkst'!$AE$7:$AE$2010,'LAC 102_Wkst'!$E$7:$E$2010,$C77,'LAC 102_Wkst'!$G$7:$G$2010,$D77,'LAC 102_Wkst'!$L$7:$L$2010,"07",'LAC 102_Wkst'!$N$7:$N$2010,"P3")</f>
        <v>0</v>
      </c>
      <c r="AB77" s="410">
        <f>SUMIFS('LAC 102_Wkst'!$Q$7:$Q$2010,'LAC 102_Wkst'!$E$7:$E$2010,$C77,'LAC 102_Wkst'!$G$7:$G$2010,$D77,'LAC 102_Wkst'!$L$7:$L$2010,"07",'LAC 102_Wkst'!$N$7:$N$2010,"P4")</f>
        <v>0</v>
      </c>
      <c r="AC77" s="411">
        <f>SUMIFS('LAC 102_Wkst'!$AE$7:$AE$2010,'LAC 102_Wkst'!$E$7:$E$2010,$C77,'LAC 102_Wkst'!$G$7:$G$2010,$D77,'LAC 102_Wkst'!$L$7:$L$2010,"07",'LAC 102_Wkst'!$N$7:$N$2010,"P4")</f>
        <v>0</v>
      </c>
      <c r="AD77" s="410">
        <f>SUMIFS('LAC 102_Wkst'!$Q$7:$Q$2010,'LAC 102_Wkst'!$E$7:$E$2010,$C77,'LAC 102_Wkst'!$G$7:$G$2010,$D77,'LAC 102_Wkst'!$L$7:$L$2010,"07",'LAC 102_Wkst'!$N$7:$N$2010,"P5")</f>
        <v>0</v>
      </c>
      <c r="AE77" s="411">
        <f>SUMIFS('LAC 102_Wkst'!$AE$7:$AE$2010,'LAC 102_Wkst'!$E$7:$E$2010,$C77,'LAC 102_Wkst'!$G$7:$G$2010,$D77,'LAC 102_Wkst'!$L$7:$L$2010,"07",'LAC 102_Wkst'!$N$7:$N$2010,"P5")</f>
        <v>0</v>
      </c>
      <c r="AF77" s="410">
        <f>SUMIFS('LAC 102_Wkst'!$Q$7:$Q$2010,'LAC 102_Wkst'!$E$7:$E$2010,$C77,'LAC 102_Wkst'!$G$7:$G$2010,$D77,'LAC 102_Wkst'!$L$7:$L$2010,"08",'LAC 102_Wkst'!$N$7:$N$2010,"P1")+SUMIFS('LAC 102_Wkst'!$Q$7:$Q$2010,'LAC 102_Wkst'!$E$7:$E$2010,$C77,'LAC 102_Wkst'!$G$7:$G$2010,$D77,'LAC 102_Wkst'!$L$7:$L$2010,"08",'LAC 102_Wkst'!$N$7:$N$2010,"P2")+SUMIFS('LAC 102_Wkst'!$Q$7:$Q$2010,'LAC 102_Wkst'!$E$7:$E$2010,$C77,'LAC 102_Wkst'!$G$7:$G$2010,$D77,'LAC 102_Wkst'!$L$7:$L$2010,"08",'LAC 102_Wkst'!$N$7:$N$2010,"P3")</f>
        <v>0</v>
      </c>
      <c r="AG77" s="411">
        <f>SUMIFS('LAC 102_Wkst'!$AE$7:$AE$2010,'LAC 102_Wkst'!$E$7:$E$2010,$C77,'LAC 102_Wkst'!$G$7:$G$2010,$D77,'LAC 102_Wkst'!$L$7:$L$2010,"08",'LAC 102_Wkst'!$N$7:$N$2010,"P1")+SUMIFS('LAC 102_Wkst'!$AE$7:$AE$2010,'LAC 102_Wkst'!$E$7:$E$2010,$C77,'LAC 102_Wkst'!$G$7:$G$2010,$D77,'LAC 102_Wkst'!$L$7:$L$2010,"08",'LAC 102_Wkst'!$N$7:$N$2010,"P2")+SUMIFS('LAC 102_Wkst'!$AE$7:$AE$2010,'LAC 102_Wkst'!$E$7:$E$2010,$C77,'LAC 102_Wkst'!$G$7:$G$2010,$D77,'LAC 102_Wkst'!$L$7:$L$2010,"08",'LAC 102_Wkst'!$N$7:$N$2010,"P3")</f>
        <v>0</v>
      </c>
      <c r="AH77" s="410">
        <f>SUMIFS('LAC 102_Wkst'!$Q$7:$Q$2010,'LAC 102_Wkst'!$E$7:$E$2010,$C77,'LAC 102_Wkst'!$G$7:$G$2010,$D77,'LAC 102_Wkst'!$L$7:$L$2010,"08",'LAC 102_Wkst'!$N$7:$N$2010,"P4")</f>
        <v>0</v>
      </c>
      <c r="AI77" s="411">
        <f>SUMIFS('LAC 102_Wkst'!$AE$7:$AE$2010,'LAC 102_Wkst'!$E$7:$E$2010,$C77,'LAC 102_Wkst'!$G$7:$G$2010,$D77,'LAC 102_Wkst'!$L$7:$L$2010,"08",'LAC 102_Wkst'!$N$7:$N$2010,"P4")</f>
        <v>0</v>
      </c>
      <c r="AJ77" s="410">
        <f>SUMIFS('LAC 102_Wkst'!$Q$7:$Q$2010,'LAC 102_Wkst'!$E$7:$E$2010,$C77,'LAC 102_Wkst'!$G$7:$G$2010,$D77,'LAC 102_Wkst'!$L$7:$L$2010,"08",'LAC 102_Wkst'!$N$7:$N$2010,"P5")</f>
        <v>0</v>
      </c>
      <c r="AK77" s="411">
        <f>SUMIFS('LAC 102_Wkst'!$AE$7:$AE$2010,'LAC 102_Wkst'!$E$7:$E$2010,$C77,'LAC 102_Wkst'!$G$7:$G$2010,$D77,'LAC 102_Wkst'!$L$7:$L$2010,"08",'LAC 102_Wkst'!$N$7:$N$2010,"P5")</f>
        <v>0</v>
      </c>
      <c r="AL77" s="410">
        <f>SUMIFS('LAC 102_Wkst'!$Q$7:$Q$2010,'LAC 102_Wkst'!$E$7:$E$2010,$C77,'LAC 102_Wkst'!$G$7:$G$2010,$D77,'LAC 102_Wkst'!$L$7:$L$2010,"09",'LAC 102_Wkst'!$N$7:$N$2010,"P1")+SUMIFS('LAC 102_Wkst'!$Q$7:$Q$2010,'LAC 102_Wkst'!$E$7:$E$2010,$C77,'LAC 102_Wkst'!$G$7:$G$2010,$D77,'LAC 102_Wkst'!$L$7:$L$2010,"09",'LAC 102_Wkst'!$N$7:$N$2010,"P2")+SUMIFS('LAC 102_Wkst'!$Q$7:$Q$2010,'LAC 102_Wkst'!$E$7:$E$2010,$C77,'LAC 102_Wkst'!$G$7:$G$2010,$D77,'LAC 102_Wkst'!$L$7:$L$2010,"09",'LAC 102_Wkst'!$N$7:$N$2010,"P3")+SUMIFS('LAC 102_Wkst'!$Q$7:$Q$2010,'LAC 102_Wkst'!$E$7:$E$2010,$C77,'LAC 102_Wkst'!$G$7:$G$2010,$D77,'LAC 102_Wkst'!$L$7:$L$2010,"09",'LAC 102_Wkst'!$N$7:$N$2010,"P4")</f>
        <v>0</v>
      </c>
      <c r="AM77" s="411">
        <f>SUMIFS('LAC 102_Wkst'!$AE$7:$AE$2010,'LAC 102_Wkst'!$E$7:$E$2010,$C77,'LAC 102_Wkst'!$G$7:$G$2010,$D77,'LAC 102_Wkst'!$L$7:$L$2010,"09",'LAC 102_Wkst'!$N$7:$N$2010,"P1")+SUMIFS('LAC 102_Wkst'!$AE$7:$AE$2010,'LAC 102_Wkst'!$E$7:$E$2010,$C77,'LAC 102_Wkst'!$G$7:$G$2010,$D77,'LAC 102_Wkst'!$L$7:$L$2010,"09",'LAC 102_Wkst'!$N$7:$N$2010,"P2")+SUMIFS('LAC 102_Wkst'!$AE$7:$AE$2010,'LAC 102_Wkst'!$E$7:$E$2010,$C77,'LAC 102_Wkst'!$G$7:$G$2010,$D77,'LAC 102_Wkst'!$L$7:$L$2010,"09",'LAC 102_Wkst'!$N$7:$N$2010,"P3")+SUMIFS('LAC 102_Wkst'!$AE$7:$AE$2010,'LAC 102_Wkst'!$E$7:$E$2010,$C77,'LAC 102_Wkst'!$G$7:$G$2010,$D77,'LAC 102_Wkst'!$L$7:$L$2010,"09",'LAC 102_Wkst'!$N$7:$N$2010,"P4")</f>
        <v>0</v>
      </c>
      <c r="AN77" s="410">
        <f>SUMIFS('LAC 102_Wkst'!$Q$7:$Q$2010,'LAC 102_Wkst'!$E$7:$E$2010,$C77,'LAC 102_Wkst'!$G$7:$G$2010,$D77,'LAC 102_Wkst'!$L$7:$L$2010,"09",'LAC 102_Wkst'!$N$7:$N$2010,"P5")</f>
        <v>0</v>
      </c>
      <c r="AO77" s="411">
        <f>SUMIFS('LAC 102_Wkst'!$AE$7:$AE$2010,'LAC 102_Wkst'!$E$7:$E$2010,$C77,'LAC 102_Wkst'!$G$7:$G$2010,$D77,'LAC 102_Wkst'!$L$7:$L$2010,"09",'LAC 102_Wkst'!$N$7:$N$2010,"P5")</f>
        <v>0</v>
      </c>
      <c r="AP77" s="410">
        <f>SUMIFS('LAC 102_Wkst'!$Q$7:$Q$2010,'LAC 102_Wkst'!$E$7:$E$2010,$C77,'LAC 102_Wkst'!$G$7:$G$2010,$D77,'LAC 102_Wkst'!$L$7:$L$2010,"10",'LAC 102_Wkst'!$N$7:$N$2010,"P1")+SUMIFS('LAC 102_Wkst'!$Q$7:$Q$2010,'LAC 102_Wkst'!$E$7:$E$2010,$C77,'LAC 102_Wkst'!$G$7:$G$2010,$D77,'LAC 102_Wkst'!$L$7:$L$2010,"10",'LAC 102_Wkst'!$N$7:$N$2010,"P2")+SUMIFS('LAC 102_Wkst'!$Q$7:$Q$2010,'LAC 102_Wkst'!$E$7:$E$2010,$C77,'LAC 102_Wkst'!$G$7:$G$2010,$D77,'LAC 102_Wkst'!$L$7:$L$2010,"10",'LAC 102_Wkst'!$N$7:$N$2010,"P3")+SUMIFS('LAC 102_Wkst'!$Q$7:$Q$2010,'LAC 102_Wkst'!$E$7:$E$2010,$C77,'LAC 102_Wkst'!$G$7:$G$2010,$D77,'LAC 102_Wkst'!$L$7:$L$2010,"10",'LAC 102_Wkst'!$N$7:$N$2010,"P4")</f>
        <v>0</v>
      </c>
      <c r="AQ77" s="411">
        <f>SUMIFS('LAC 102_Wkst'!$AE$7:$AE$2010,'LAC 102_Wkst'!$E$7:$E$2010,$C77,'LAC 102_Wkst'!$G$7:$G$2010,$D77,'LAC 102_Wkst'!$L$7:$L$2010,"10",'LAC 102_Wkst'!$N$7:$N$2010,"P1")+SUMIFS('LAC 102_Wkst'!$AE$7:$AE$2010,'LAC 102_Wkst'!$E$7:$E$2010,$C77,'LAC 102_Wkst'!$G$7:$G$2010,$D77,'LAC 102_Wkst'!$L$7:$L$2010,"10",'LAC 102_Wkst'!$N$7:$N$2010,"P2")+SUMIFS('LAC 102_Wkst'!$AE$7:$AE$2010,'LAC 102_Wkst'!$E$7:$E$2010,$C77,'LAC 102_Wkst'!$G$7:$G$2010,$D77,'LAC 102_Wkst'!$L$7:$L$2010,"10",'LAC 102_Wkst'!$N$7:$N$2010,"P3")+SUMIFS('LAC 102_Wkst'!$AE$7:$AE$2010,'LAC 102_Wkst'!$E$7:$E$2010,$C77,'LAC 102_Wkst'!$G$7:$G$2010,$D77,'LAC 102_Wkst'!$L$7:$L$2010,"10",'LAC 102_Wkst'!$N$7:$N$2010,"P4")</f>
        <v>0</v>
      </c>
      <c r="AR77" s="410">
        <f>SUMIFS('LAC 102_Wkst'!$Q$7:$Q$2010,'LAC 102_Wkst'!$E$7:$E$2010,$C77,'LAC 102_Wkst'!$G$7:$G$2010,$D77,'LAC 102_Wkst'!$L$7:$L$2010,"10",'LAC 102_Wkst'!$N$7:$N$2010,"P5")</f>
        <v>0</v>
      </c>
      <c r="AS77" s="411">
        <f>SUMIFS('LAC 102_Wkst'!$AE$7:$AE$2010,'LAC 102_Wkst'!$E$7:$E$2010,$C77,'LAC 102_Wkst'!$G$7:$G$2010,$D77,'LAC 102_Wkst'!$L$7:$L$2010,"10",'LAC 102_Wkst'!$N$7:$N$2010,"P5")</f>
        <v>0</v>
      </c>
      <c r="AT77" s="410">
        <f>SUMIFS('LAC 102_Wkst'!$Q$7:$Q$2010,'LAC 102_Wkst'!$E$7:$E$2010,$C77,'LAC 102_Wkst'!$G$7:$G$2010,$D77,'LAC 102_Wkst'!$L$7:$L$2010,"11",'LAC 102_Wkst'!$N$7:$N$2010,"P1")+SUMIFS('LAC 102_Wkst'!$Q$7:$Q$2010,'LAC 102_Wkst'!$E$7:$E$2010,$C77,'LAC 102_Wkst'!$G$7:$G$2010,$D77,'LAC 102_Wkst'!$L$7:$L$2010,"12",'LAC 102_Wkst'!$N$7:$N$2010,"P1")</f>
        <v>0</v>
      </c>
      <c r="AU77" s="411">
        <f>SUMIFS('LAC 102_Wkst'!$AE$7:$AE$2010,'LAC 102_Wkst'!$E$7:$E$2010,$C77,'LAC 102_Wkst'!$G$7:$G$2010,$D77,'LAC 102_Wkst'!$L$7:$L$2010,"11",'LAC 102_Wkst'!$N$7:$N$2010,"P1")+SUMIFS('LAC 102_Wkst'!$AE$7:$AE$2010,'LAC 102_Wkst'!$E$7:$E$2010,$C77,'LAC 102_Wkst'!$G$7:$G$2010,$D77,'LAC 102_Wkst'!$L$7:$L$2010,"12",'LAC 102_Wkst'!$N$7:$N$2010,"P1")</f>
        <v>0</v>
      </c>
      <c r="AV77" s="410">
        <f>SUMIFS('LAC 102_Wkst'!$Q$7:$Q$2010,'LAC 102_Wkst'!$E$7:$E$2010,$C77,'LAC 102_Wkst'!$G$7:$G$2010,$D77,'LAC 102_Wkst'!$L$7:$L$2010,"11",'LAC 102_Wkst'!$N$7:$N$2010,"P2")+SUMIFS('LAC 102_Wkst'!$Q$7:$Q$2010,'LAC 102_Wkst'!$E$7:$E$2010,$C77,'LAC 102_Wkst'!$G$7:$G$2010,$D77,'LAC 102_Wkst'!$L$7:$L$2010,"12",'LAC 102_Wkst'!$N$7:$N$2010,"P3")+SUMIFS('LAC 102_Wkst'!$Q$7:$Q$2010,'LAC 102_Wkst'!$E$7:$E$2010,$C77,'LAC 102_Wkst'!$G$7:$G$2010,$D77,'LAC 102_Wkst'!$L$7:$L$2010,"11",'LAC 102_Wkst'!$N$7:$N$2010,"P2")+SUMIFS('LAC 102_Wkst'!$Q$7:$Q$2010,'LAC 102_Wkst'!$E$7:$E$2010,$C77,'LAC 102_Wkst'!$G$7:$G$2010,$D77,'LAC 102_Wkst'!$L$7:$L$2010,"12",'LAC 102_Wkst'!$N$7:$N$2010,"P3")</f>
        <v>0</v>
      </c>
      <c r="AW77" s="411">
        <f>SUMIFS('LAC 102_Wkst'!$AE$7:$AE$2010,'LAC 102_Wkst'!$E$7:$E$2010,$C77,'LAC 102_Wkst'!$G$7:$G$2010,$D77,'LAC 102_Wkst'!$L$7:$L$2010,"11",'LAC 102_Wkst'!$N$7:$N$2010,"P2")+SUMIFS('LAC 102_Wkst'!$AE$7:$AE$2010,'LAC 102_Wkst'!$E$7:$E$2010,$C77,'LAC 102_Wkst'!$G$7:$G$2010,$D77,'LAC 102_Wkst'!$L$7:$L$2010,"12",'LAC 102_Wkst'!$N$7:$N$2010,"P3")+SUMIFS('LAC 102_Wkst'!$AE$7:$AE$2010,'LAC 102_Wkst'!$E$7:$E$2010,$C77,'LAC 102_Wkst'!$G$7:$G$2010,$D77,'LAC 102_Wkst'!$L$7:$L$2010,"11",'LAC 102_Wkst'!$N$7:$N$2010,"P2")+SUMIFS('LAC 102_Wkst'!$AE$7:$AE$2010,'LAC 102_Wkst'!$E$7:$E$2010,$C77,'LAC 102_Wkst'!$G$7:$G$2010,$D77,'LAC 102_Wkst'!$L$7:$L$2010,"12",'LAC 102_Wkst'!$N$7:$N$2010,"P3")</f>
        <v>0</v>
      </c>
      <c r="AX77" s="410">
        <f>SUMIFS('LAC 102_Wkst'!$Q$7:$Q$2010,'LAC 102_Wkst'!$E$7:$E$2010,$C77,'LAC 102_Wkst'!$G$7:$G$2010,$D77,'LAC 102_Wkst'!$L$7:$L$2010,"11",'LAC 102_Wkst'!$N$7:$N$2010,"P4")+SUMIFS('LAC 102_Wkst'!$Q$7:$Q$2010,'LAC 102_Wkst'!$E$7:$E$2010,$C77,'LAC 102_Wkst'!$G$7:$G$2010,$D77,'LAC 102_Wkst'!$L$7:$L$2010,"12",'LAC 102_Wkst'!$N$7:$N$2010,"P4")</f>
        <v>0</v>
      </c>
      <c r="AY77" s="411">
        <f>SUMIFS('LAC 102_Wkst'!$AE$7:$AE$2010,'LAC 102_Wkst'!$E$7:$E$2010,$C77,'LAC 102_Wkst'!$G$7:$G$2010,$D77,'LAC 102_Wkst'!$L$7:$L$2010,"11",'LAC 102_Wkst'!$N$7:$N$2010,"P4")+SUMIFS('LAC 102_Wkst'!$AE$7:$AE$2010,'LAC 102_Wkst'!$E$7:$E$2010,$C77,'LAC 102_Wkst'!$G$7:$G$2010,$D77,'LAC 102_Wkst'!$L$7:$L$2010,"12",'LAC 102_Wkst'!$N$7:$N$2010,"P4")</f>
        <v>0</v>
      </c>
      <c r="AZ77" s="410">
        <f>SUMIFS('LAC 102_Wkst'!$Q$7:$Q$2010,'LAC 102_Wkst'!$E$7:$E$2010,$C77,'LAC 102_Wkst'!$G$7:$G$2010,$D77,'LAC 102_Wkst'!$L$7:$L$2010,"11",'LAC 102_Wkst'!$N$7:$N$2010,"P5")+SUMIFS('LAC 102_Wkst'!$Q$7:$Q$2010,'LAC 102_Wkst'!$E$7:$E$2010,$C77,'LAC 102_Wkst'!$G$7:$G$2010,$D77,'LAC 102_Wkst'!$L$7:$L$2010,"12",'LAC 102_Wkst'!$N$7:$N$2010,"P5")</f>
        <v>0</v>
      </c>
      <c r="BA77" s="411">
        <f>SUMIFS('LAC 102_Wkst'!$AE$7:$AE$2010,'LAC 102_Wkst'!$E$7:$E$2010,$C77,'LAC 102_Wkst'!$G$7:$G$2010,$D77,'LAC 102_Wkst'!$L$7:$L$2010,"11",'LAC 102_Wkst'!$N$7:$N$2010,"P5")+SUMIFS('LAC 102_Wkst'!$AE$7:$AE$2010,'LAC 102_Wkst'!$E$7:$E$2010,$C77,'LAC 102_Wkst'!$G$7:$G$2010,$D77,'LAC 102_Wkst'!$L$7:$L$2010,"12",'LAC 102_Wkst'!$N$7:$N$2010,"P5")</f>
        <v>0</v>
      </c>
      <c r="BB77" s="410">
        <f>SUMIFS('LAC 102_Wkst'!$Q$7:$Q$2010,'LAC 102_Wkst'!$E$7:$E$2010,$C77,'LAC 102_Wkst'!$G$7:$G$2010,$D77,'LAC 102_Wkst'!$L$7:$L$2010,"13",'LAC 102_Wkst'!$N$7:$N$2010,"P1")+SUMIFS('LAC 102_Wkst'!$Q$7:$Q$2010,'LAC 102_Wkst'!$E$7:$E$2010,$C77,'LAC 102_Wkst'!$G$7:$G$2010,$D77,'LAC 102_Wkst'!$L$7:$L$2010,"13",'LAC 102_Wkst'!$N$7:$N$2010,"P2")+SUMIFS('LAC 102_Wkst'!$Q$7:$Q$2010,'LAC 102_Wkst'!$E$7:$E$2010,$C77,'LAC 102_Wkst'!$G$7:$G$2010,$D77,'LAC 102_Wkst'!$L$7:$L$2010,"13",'LAC 102_Wkst'!$N$7:$N$2010,"P3")+SUMIFS('LAC 102_Wkst'!$Q$7:$Q$2010,'LAC 102_Wkst'!$E$7:$E$2010,$C77,'LAC 102_Wkst'!$G$7:$G$2010,$D77,'LAC 102_Wkst'!$L$7:$L$2010,"13",'LAC 102_Wkst'!$N$7:$N$2010,"P4")</f>
        <v>0</v>
      </c>
      <c r="BC77" s="411">
        <f>SUMIFS('LAC 102_Wkst'!$AE$7:$AE$2010,'LAC 102_Wkst'!$E$7:$E$2010,$C77,'LAC 102_Wkst'!$G$7:$G$2010,$D77,'LAC 102_Wkst'!$L$7:$L$2010,"13",'LAC 102_Wkst'!$N$7:$N$2010,"P1")+SUMIFS('LAC 102_Wkst'!$AE$7:$AE$2010,'LAC 102_Wkst'!$E$7:$E$2010,$C77,'LAC 102_Wkst'!$G$7:$G$2010,$D77,'LAC 102_Wkst'!$L$7:$L$2010,"13",'LAC 102_Wkst'!$N$7:$N$2010,"P2")+SUMIFS('LAC 102_Wkst'!$AE$7:$AE$2010,'LAC 102_Wkst'!$E$7:$E$2010,$C77,'LAC 102_Wkst'!$G$7:$G$2010,$D77,'LAC 102_Wkst'!$L$7:$L$2010,"13",'LAC 102_Wkst'!$N$7:$N$2010,"P3")+SUMIFS('LAC 102_Wkst'!$AE$7:$AE$2010,'LAC 102_Wkst'!$E$7:$E$2010,$C77,'LAC 102_Wkst'!$G$7:$G$2010,$D77,'LAC 102_Wkst'!$L$7:$L$2010,"13",'LAC 102_Wkst'!$N$7:$N$2010,"P4")</f>
        <v>0</v>
      </c>
      <c r="BD77" s="410">
        <f>SUMIFS('LAC 102_Wkst'!$Q$7:$Q$2010,'LAC 102_Wkst'!$E$7:$E$2010,$C77,'LAC 102_Wkst'!$G$7:$G$2010,$D77,'LAC 102_Wkst'!$L$7:$L$2010,"13",'LAC 102_Wkst'!$N$7:$N$2010,"P5")</f>
        <v>0</v>
      </c>
      <c r="BE77" s="411">
        <f>SUMIFS('LAC 102_Wkst'!$AE$7:$AE$2010,'LAC 102_Wkst'!$E$7:$E$2010,$C77,'LAC 102_Wkst'!$G$7:$G$2010,$D77,'LAC 102_Wkst'!$L$7:$L$2010,"13",'LAC 102_Wkst'!$N$7:$N$2010,"P5")</f>
        <v>0</v>
      </c>
      <c r="BF77" s="407">
        <f t="shared" si="0"/>
        <v>0</v>
      </c>
    </row>
    <row r="78" spans="1:58" x14ac:dyDescent="0.2">
      <c r="A78" s="401">
        <v>59</v>
      </c>
      <c r="B78" s="1236"/>
      <c r="C78" s="1235"/>
      <c r="D78" s="1237"/>
      <c r="E78" s="1222">
        <f>IF(CONCATENATE(C78,D78)&gt;"6069",1,SUMIFS('LAC 102_Wkst'!$Q$7:$Q$2010,'LAC 102_Wkst'!$E$7:$E$2010,Schedule_B!$C78,'LAC 102_Wkst'!$G$7:$G$2010,Schedule_B!$D78))</f>
        <v>0</v>
      </c>
      <c r="F78" s="408">
        <f>SUMIFS('LAC 102_Wkst'!$Q$7:$Q$2010,'LAC 102_Wkst'!$E$7:$E$2010,$C78,'LAC 102_Wkst'!$G$7:$G$2010,$D78,'LAC 102_Wkst'!$L$7:$L$2010,"01",'LAC 102_Wkst'!$N$7:$N$2010,"P1")+SUMIFS('LAC 102_Wkst'!$Q$7:$Q$2010,'LAC 102_Wkst'!$E$7:$E$2010,$C78,'LAC 102_Wkst'!$G$7:$G$2010,$D78,'LAC 102_Wkst'!$L$7:$L$2010,"01",'LAC 102_Wkst'!$N$7:$N$2010,"P2")+SUMIFS('LAC 102_Wkst'!$Q$7:$Q$2010,'LAC 102_Wkst'!$E$7:$E$2010,$C78,'LAC 102_Wkst'!$G$7:$G$2010,$D78,'LAC 102_Wkst'!$L$7:$L$2010,"01",'LAC 102_Wkst'!$N$7:$N$2010,"P3")+SUMIFS('LAC 102_Wkst'!$Q$7:$Q$2010,'LAC 102_Wkst'!$E$7:$E$2010,$C78,'LAC 102_Wkst'!$G$7:$G$2010,$D78,'LAC 102_Wkst'!$L$7:$L$2010,"02",'LAC 102_Wkst'!$N$7:$N$2010,"P1")+SUMIFS('LAC 102_Wkst'!$Q$7:$Q$2010,'LAC 102_Wkst'!$E$7:$E$2010,$C78,'LAC 102_Wkst'!$G$7:$G$2010,$D78,'LAC 102_Wkst'!$L$7:$L$2010,"02",'LAC 102_Wkst'!$N$7:$N$2010,"P2")+SUMIFS('LAC 102_Wkst'!$Q$7:$Q$2010,'LAC 102_Wkst'!$E$7:$E$2010,$C78,'LAC 102_Wkst'!$G$7:$G$2010,$D78,'LAC 102_Wkst'!$L$7:$L$2010,"02",'LAC 102_Wkst'!$N$7:$N$2010,"P3")</f>
        <v>0</v>
      </c>
      <c r="G78" s="409">
        <f>SUMIFS('LAC 102_Wkst'!$AE$7:$AE$2010,'LAC 102_Wkst'!$E$7:$E$2010,$C78,'LAC 102_Wkst'!$G$7:$G$2010,$D78,'LAC 102_Wkst'!$L$7:$L$2010,"01",'LAC 102_Wkst'!$N$7:$N$2010,"P1")+SUMIFS('LAC 102_Wkst'!$AE$7:$AE$2010,'LAC 102_Wkst'!$E$7:$E$2010,$C78,'LAC 102_Wkst'!$G$7:$G$2010,$D78,'LAC 102_Wkst'!$L$7:$L$2010,"01",'LAC 102_Wkst'!$N$7:$N$2010,"P2")+SUMIFS('LAC 102_Wkst'!$AE$7:$AE$2010,'LAC 102_Wkst'!$E$7:$E$2010,$C78,'LAC 102_Wkst'!$G$7:$G$2010,$D78,'LAC 102_Wkst'!$L$7:$L$2010,"01",'LAC 102_Wkst'!$N$7:$N$2010,"P3")+SUMIFS('LAC 102_Wkst'!$AE$7:$AE$2010,'LAC 102_Wkst'!$E$7:$E$2010,$C78,'LAC 102_Wkst'!$G$7:$G$2010,$D78,'LAC 102_Wkst'!$L$7:$L$2010,"02",'LAC 102_Wkst'!$N$7:$N$2010,"P1")+SUMIFS('LAC 102_Wkst'!$AE$7:$AE$2010,'LAC 102_Wkst'!$E$7:$E$2010,$C78,'LAC 102_Wkst'!$G$7:$G$2010,$D78,'LAC 102_Wkst'!$L$7:$L$2010,"02",'LAC 102_Wkst'!$N$7:$N$2010,"P2")+SUMIFS('LAC 102_Wkst'!$AE$7:$AE$2010,'LAC 102_Wkst'!$E$7:$E$2010,$C78,'LAC 102_Wkst'!$G$7:$G$2010,$D78,'LAC 102_Wkst'!$L$7:$L$2010,"02",'LAC 102_Wkst'!$N$7:$N$2010,"P3")</f>
        <v>0</v>
      </c>
      <c r="H78" s="410">
        <f>SUMIFS('LAC 102_Wkst'!$Q$7:$Q$2010,'LAC 102_Wkst'!$E$7:$E$2010,$C78,'LAC 102_Wkst'!$G$7:$G$2010,$D78,'LAC 102_Wkst'!$L$7:$L$2010,"01",'LAC 102_Wkst'!$N$7:$N$2010,"P4")+SUMIFS('LAC 102_Wkst'!$Q$7:$Q$2010,'LAC 102_Wkst'!$E$7:$E$2010,$C78,'LAC 102_Wkst'!$G$7:$G$2010,$D78,'LAC 102_Wkst'!$L$7:$L$2010,"02",'LAC 102_Wkst'!$N$7:$N$2010,"P4")</f>
        <v>0</v>
      </c>
      <c r="I78" s="411">
        <f>SUMIFS('LAC 102_Wkst'!$AE$7:$AE$2010,'LAC 102_Wkst'!$E$7:$E$2010,$C78,'LAC 102_Wkst'!$G$7:$G$2010,$D78,'LAC 102_Wkst'!$L$7:$L$2010,"01",'LAC 102_Wkst'!$N$7:$N$2010,"P4")+SUMIFS('LAC 102_Wkst'!$AE$7:$AE$2010,'LAC 102_Wkst'!$E$7:$E$2010,$C78,'LAC 102_Wkst'!$G$7:$G$2010,$D78,'LAC 102_Wkst'!$L$7:$L$2010,"02",'LAC 102_Wkst'!$N$7:$N$2010,"P4")</f>
        <v>0</v>
      </c>
      <c r="J78" s="410">
        <f>SUMIFS('LAC 102_Wkst'!$Q$7:$Q$2010,'LAC 102_Wkst'!$E$7:$E$2010,$C78,'LAC 102_Wkst'!$G$7:$G$2010,$D78,'LAC 102_Wkst'!$L$7:$L$2010,"01",'LAC 102_Wkst'!$N$7:$N$2010,"P5")+SUMIFS('LAC 102_Wkst'!$Q$7:$Q$2010,'LAC 102_Wkst'!$E$7:$E$2010,$C78,'LAC 102_Wkst'!$G$7:$G$2010,$D78,'LAC 102_Wkst'!$L$7:$L$2010,"02",'LAC 102_Wkst'!$N$7:$N$2010,"P5")</f>
        <v>0</v>
      </c>
      <c r="K78" s="411">
        <f>SUMIFS('LAC 102_Wkst'!$AE$7:$AE$2010,'LAC 102_Wkst'!$E$7:$E$2010,$C78,'LAC 102_Wkst'!$G$7:$G$2010,$D78,'LAC 102_Wkst'!$L$7:$L$2010,"01",'LAC 102_Wkst'!$N$7:$N$2010,"P5")+SUMIFS('LAC 102_Wkst'!$AE$7:$AE$2010,'LAC 102_Wkst'!$E$7:$E$2010,$C78,'LAC 102_Wkst'!$G$7:$G$2010,$D78,'LAC 102_Wkst'!$L$7:$L$2010,"02",'LAC 102_Wkst'!$N$7:$N$2010,"P5")</f>
        <v>0</v>
      </c>
      <c r="L78" s="410">
        <f>SUMIFS('LAC 102_Wkst'!$Q$7:$Q$2010,'LAC 102_Wkst'!$E$7:$E$2010,$C78,'LAC 102_Wkst'!$G$7:$G$2010,$D78,'LAC 102_Wkst'!$L$7:$L$2010,"03",'LAC 102_Wkst'!$N$7:$N$2010,"P1")+SUMIFS('LAC 102_Wkst'!$Q$7:$Q$2010,'LAC 102_Wkst'!$E$7:$E$2010,$C78,'LAC 102_Wkst'!$G$7:$G$2010,$D78,'LAC 102_Wkst'!$L$7:$L$2010,"03",'LAC 102_Wkst'!$N$7:$N$2010,"P2")+SUMIFS('LAC 102_Wkst'!$Q$7:$Q$2010,'LAC 102_Wkst'!$E$7:$E$2010,$C78,'LAC 102_Wkst'!$G$7:$G$2010,$D78,'LAC 102_Wkst'!$L$7:$L$2010,"03",'LAC 102_Wkst'!$N$7:$N$2010,"P3")+SUMIFS('LAC 102_Wkst'!$Q$7:$Q$2010,'LAC 102_Wkst'!$E$7:$E$2010,$C78,'LAC 102_Wkst'!$G$7:$G$2010,$D78,'LAC 102_Wkst'!$L$7:$L$2010,"04",'LAC 102_Wkst'!$N$7:$N$2010,"P1")+SUMIFS('LAC 102_Wkst'!$Q$7:$Q$2010,'LAC 102_Wkst'!$E$7:$E$2010,$C78,'LAC 102_Wkst'!$G$7:$G$2010,$D78,'LAC 102_Wkst'!$L$7:$L$2010,"04",'LAC 102_Wkst'!$N$7:$N$2010,"P2")+SUMIFS('LAC 102_Wkst'!$Q$7:$Q$2010,'LAC 102_Wkst'!$E$7:$E$2010,$C78,'LAC 102_Wkst'!$G$7:$G$2010,$D78,'LAC 102_Wkst'!$L$7:$L$2010,"04",'LAC 102_Wkst'!$N$7:$N$2010,"P3")</f>
        <v>0</v>
      </c>
      <c r="M78" s="411">
        <f>SUMIFS('LAC 102_Wkst'!$AE$7:$AE$2010,'LAC 102_Wkst'!$E$7:$E$2010,$C78,'LAC 102_Wkst'!$G$7:$G$2010,$D78,'LAC 102_Wkst'!$L$7:$L$2010,"03",'LAC 102_Wkst'!$N$7:$N$2010,"P1")+SUMIFS('LAC 102_Wkst'!$AE$7:$AE$2010,'LAC 102_Wkst'!$E$7:$E$2010,$C78,'LAC 102_Wkst'!$G$7:$G$2010,$D78,'LAC 102_Wkst'!$L$7:$L$2010,"03",'LAC 102_Wkst'!$N$7:$N$2010,"P2")+SUMIFS('LAC 102_Wkst'!$AE$7:$AE$2010,'LAC 102_Wkst'!$E$7:$E$2010,$C78,'LAC 102_Wkst'!$G$7:$G$2010,$D78,'LAC 102_Wkst'!$L$7:$L$2010,"03",'LAC 102_Wkst'!$N$7:$N$2010,"P3")+SUMIFS('LAC 102_Wkst'!$AE$7:$AE$2010,'LAC 102_Wkst'!$E$7:$E$2010,$C78,'LAC 102_Wkst'!$G$7:$G$2010,$D78,'LAC 102_Wkst'!$L$7:$L$2010,"04",'LAC 102_Wkst'!$N$7:$N$2010,"P1")+SUMIFS('LAC 102_Wkst'!$AE$7:$AE$2010,'LAC 102_Wkst'!$E$7:$E$2010,$C78,'LAC 102_Wkst'!$G$7:$G$2010,$D78,'LAC 102_Wkst'!$L$7:$L$2010,"04",'LAC 102_Wkst'!$N$7:$N$2010,"P2")+SUMIFS('LAC 102_Wkst'!$AE$7:$AE$2010,'LAC 102_Wkst'!$E$7:$E$2010,$C78,'LAC 102_Wkst'!$G$7:$G$2010,$D78,'LAC 102_Wkst'!$L$7:$L$2010,"04",'LAC 102_Wkst'!$N$7:$N$2010,"P3")</f>
        <v>0</v>
      </c>
      <c r="N78" s="410">
        <f>SUMIFS('LAC 102_Wkst'!$Q$7:$Q$2010,'LAC 102_Wkst'!$E$7:$E$2010,$C78,'LAC 102_Wkst'!$G$7:$G$2010,$D78,'LAC 102_Wkst'!$L$7:$L$2010,"03",'LAC 102_Wkst'!$N$7:$N$2010,"P4")+SUMIFS('LAC 102_Wkst'!$Q$7:$Q$2010,'LAC 102_Wkst'!$E$7:$E$2010,$C78,'LAC 102_Wkst'!$G$7:$G$2010,$D78,'LAC 102_Wkst'!$L$7:$L$2010,"04",'LAC 102_Wkst'!$N$7:$N$2010,"P4")</f>
        <v>0</v>
      </c>
      <c r="O78" s="411">
        <f>SUMIFS('LAC 102_Wkst'!$AE$7:$AE$2010,'LAC 102_Wkst'!$E$7:$E$2010,$C78,'LAC 102_Wkst'!$G$7:$G$2010,$D78,'LAC 102_Wkst'!$L$7:$L$2010,"03",'LAC 102_Wkst'!$N$7:$N$2010,"P4")+SUMIFS('LAC 102_Wkst'!$AE$7:$AE$2010,'LAC 102_Wkst'!$E$7:$E$2010,$C78,'LAC 102_Wkst'!$G$7:$G$2010,$D78,'LAC 102_Wkst'!$L$7:$L$2010,"04",'LAC 102_Wkst'!$N$7:$N$2010,"P4")</f>
        <v>0</v>
      </c>
      <c r="P78" s="410">
        <f>SUMIFS('LAC 102_Wkst'!$Q$7:$Q$2010,'LAC 102_Wkst'!$E$7:$E$2010,$C78,'LAC 102_Wkst'!$G$7:$G$2010,$D78,'LAC 102_Wkst'!$L$7:$L$2010,"03",'LAC 102_Wkst'!$N$7:$N$2010,"P5")+SUMIFS('LAC 102_Wkst'!$Q$7:$Q$2010,'LAC 102_Wkst'!$E$7:$E$2010,$C78,'LAC 102_Wkst'!$G$7:$G$2010,$D78,'LAC 102_Wkst'!$L$7:$L$2010,"04",'LAC 102_Wkst'!$N$7:$N$2010,"P5")</f>
        <v>0</v>
      </c>
      <c r="Q78" s="411">
        <f>SUMIFS('LAC 102_Wkst'!$AE$7:$AE$2010,'LAC 102_Wkst'!$E$7:$E$2010,$C78,'LAC 102_Wkst'!$G$7:$G$2010,$D78,'LAC 102_Wkst'!$L$7:$L$2010,"03",'LAC 102_Wkst'!$N$7:$N$2010,"P5")+SUMIFS('LAC 102_Wkst'!$AE$7:$AE$2010,'LAC 102_Wkst'!$E$7:$E$2010,$C78,'LAC 102_Wkst'!$G$7:$G$2010,$D78,'LAC 102_Wkst'!$L$7:$L$2010,"04",'LAC 102_Wkst'!$N$7:$N$2010,"P5")</f>
        <v>0</v>
      </c>
      <c r="R78" s="412">
        <f>SUMIFS('LAC 102_Wkst'!$Q$7:$Q$2010,'LAC 102_Wkst'!$E$7:$E$2010,$C78,'LAC 102_Wkst'!$G$7:$G$2010,$D78,'LAC 102_Wkst'!$L$7:$L$2010,"05",'LAC 102_Wkst'!$N$7:$N$2010,"P1")+SUMIFS('LAC 102_Wkst'!$Q$7:$Q$2010,'LAC 102_Wkst'!$E$7:$E$2010,$C78,'LAC 102_Wkst'!$G$7:$G$2010,$D78,'LAC 102_Wkst'!$L$7:$L$2010,"06",'LAC 102_Wkst'!$N$7:$N$2010,"P1")</f>
        <v>0</v>
      </c>
      <c r="S78" s="411">
        <f>SUMIFS('LAC 102_Wkst'!$AE$7:$AE$2010,'LAC 102_Wkst'!$E$7:$E$2010,$C78,'LAC 102_Wkst'!$G$7:$G$2010,$D78,'LAC 102_Wkst'!$L$7:$L$2010,"05",'LAC 102_Wkst'!$N$7:$N$2010,"P1")+SUMIFS('LAC 102_Wkst'!$AE$7:$AE$2010,'LAC 102_Wkst'!$E$7:$E$2010,$C78,'LAC 102_Wkst'!$G$7:$G$2010,$D78,'LAC 102_Wkst'!$L$7:$L$2010,"06",'LAC 102_Wkst'!$N$7:$N$2010,"P1")</f>
        <v>0</v>
      </c>
      <c r="T78" s="410">
        <f>SUMIFS('LAC 102_Wkst'!$Q$7:$Q$2010,'LAC 102_Wkst'!$E$7:$E$2010,$C78,'LAC 102_Wkst'!$G$7:$G$2010,$D78,'LAC 102_Wkst'!$L$7:$L$2010,"05",'LAC 102_Wkst'!$N$7:$N$2010,"P2")+SUMIFS('LAC 102_Wkst'!$Q$7:$Q$2010,'LAC 102_Wkst'!$E$7:$E$2010,$C78,'LAC 102_Wkst'!$G$7:$G$2010,$D78,'LAC 102_Wkst'!$L$7:$L$2010,"05",'LAC 102_Wkst'!$N$7:$N$2010,"P3")+SUMIFS('LAC 102_Wkst'!$Q$7:$Q$2010,'LAC 102_Wkst'!$E$7:$E$2010,$C78,'LAC 102_Wkst'!$G$7:$G$2010,$D78,'LAC 102_Wkst'!$L$7:$L$2010,"06",'LAC 102_Wkst'!$N$7:$N$2010,"P2")+SUMIFS('LAC 102_Wkst'!$Q$7:$Q$2010,'LAC 102_Wkst'!$E$7:$E$2010,$C78,'LAC 102_Wkst'!$G$7:$G$2010,$D78,'LAC 102_Wkst'!$L$7:$L$2010,"06",'LAC 102_Wkst'!$N$7:$N$2010,"P3")</f>
        <v>0</v>
      </c>
      <c r="U78" s="411">
        <f>SUMIFS('LAC 102_Wkst'!$AE$7:$AE$2010,'LAC 102_Wkst'!$E$7:$E$2010,$C78,'LAC 102_Wkst'!$G$7:$G$2010,$D78,'LAC 102_Wkst'!$L$7:$L$2010,"05",'LAC 102_Wkst'!$N$7:$N$2010,"P2")+SUMIFS('LAC 102_Wkst'!$AE$7:$AE$2010,'LAC 102_Wkst'!$E$7:$E$2010,$C78,'LAC 102_Wkst'!$G$7:$G$2010,$D78,'LAC 102_Wkst'!$L$7:$L$2010,"06",'LAC 102_Wkst'!$N$7:$N$2010,"P3")+SUMIFS('LAC 102_Wkst'!$AE$7:$AE$2010,'LAC 102_Wkst'!$E$7:$E$2010,$C78,'LAC 102_Wkst'!$G$7:$G$2010,$D78,'LAC 102_Wkst'!$L$7:$L$2010,"05",'LAC 102_Wkst'!$N$7:$N$2010,"P2")+SUMIFS('LAC 102_Wkst'!$AE$7:$AE$2010,'LAC 102_Wkst'!$E$7:$E$2010,$C78,'LAC 102_Wkst'!$G$7:$G$2010,$D78,'LAC 102_Wkst'!$L$7:$L$2010,"06",'LAC 102_Wkst'!$N$7:$N$2010,"P3")</f>
        <v>0</v>
      </c>
      <c r="V78" s="410">
        <f>SUMIFS('LAC 102_Wkst'!$Q$7:$Q$2010,'LAC 102_Wkst'!$E$7:$E$2010,$C78,'LAC 102_Wkst'!$G$7:$G$2010,$D78,'LAC 102_Wkst'!$L$7:$L$2010,"05",'LAC 102_Wkst'!$N$7:$N$2010,"P4")+SUMIFS('LAC 102_Wkst'!$Q$7:$Q$2010,'LAC 102_Wkst'!$E$7:$E$2010,$C78,'LAC 102_Wkst'!$G$7:$G$2010,$D78,'LAC 102_Wkst'!$L$7:$L$2010,"06",'LAC 102_Wkst'!$N$7:$N$2010,"P4")</f>
        <v>0</v>
      </c>
      <c r="W78" s="411">
        <f>SUMIFS('LAC 102_Wkst'!$AE$7:$AE$2010,'LAC 102_Wkst'!$E$7:$E$2010,$C78,'LAC 102_Wkst'!$G$7:$G$2010,$D78,'LAC 102_Wkst'!$L$7:$L$2010,"05",'LAC 102_Wkst'!$N$7:$N$2010,"P4")+SUMIFS('LAC 102_Wkst'!$AE$7:$AE$2010,'LAC 102_Wkst'!$E$7:$E$2010,$C78,'LAC 102_Wkst'!$G$7:$G$2010,$D78,'LAC 102_Wkst'!$L$7:$L$2010,"06",'LAC 102_Wkst'!$N$7:$N$2010,"P4")</f>
        <v>0</v>
      </c>
      <c r="X78" s="410">
        <f>SUMIFS('LAC 102_Wkst'!$Q$7:$Q$2010,'LAC 102_Wkst'!$E$7:$E$2010,$C78,'LAC 102_Wkst'!$G$7:$G$2010,$D78,'LAC 102_Wkst'!$L$7:$L$2010,"05",'LAC 102_Wkst'!$N$7:$N$2010,"P5")+SUMIFS('LAC 102_Wkst'!$Q$7:$Q$2010,'LAC 102_Wkst'!$E$7:$E$2010,$C78,'LAC 102_Wkst'!$G$7:$G$2010,$D78,'LAC 102_Wkst'!$L$7:$L$2010,"06",'LAC 102_Wkst'!$N$7:$N$2010,"P5")</f>
        <v>0</v>
      </c>
      <c r="Y78" s="411">
        <f>SUMIFS('LAC 102_Wkst'!$AE$7:$AE$2010,'LAC 102_Wkst'!$E$7:$E$2010,$C78,'LAC 102_Wkst'!$G$7:$G$2010,$D78,'LAC 102_Wkst'!$L$7:$L$2010,"05",'LAC 102_Wkst'!$N$7:$N$2010,"P5")+SUMIFS('LAC 102_Wkst'!$AE$7:$AE$2010,'LAC 102_Wkst'!$E$7:$E$2010,$C78,'LAC 102_Wkst'!$G$7:$G$2010,$D78,'LAC 102_Wkst'!$L$7:$L$2010,"06",'LAC 102_Wkst'!$N$7:$N$2010,"P5")</f>
        <v>0</v>
      </c>
      <c r="Z78" s="410">
        <f>SUMIFS('LAC 102_Wkst'!$Q$7:$Q$2010,'LAC 102_Wkst'!$E$7:$E$2010,$C78,'LAC 102_Wkst'!$G$7:$G$2010,$D78,'LAC 102_Wkst'!$L$7:$L$2010,"07",'LAC 102_Wkst'!$N$7:$N$2010,"P1")+SUMIFS('LAC 102_Wkst'!$Q$7:$Q$2010,'LAC 102_Wkst'!$E$7:$E$2010,$C78,'LAC 102_Wkst'!$G$7:$G$2010,$D78,'LAC 102_Wkst'!$L$7:$L$2010,"07",'LAC 102_Wkst'!$N$7:$N$2010,"P2")+SUMIFS('LAC 102_Wkst'!$Q$7:$Q$2010,'LAC 102_Wkst'!$E$7:$E$2010,$C78,'LAC 102_Wkst'!$G$7:$G$2010,$D78,'LAC 102_Wkst'!$L$7:$L$2010,"07",'LAC 102_Wkst'!$N$7:$N$2010,"P3")</f>
        <v>0</v>
      </c>
      <c r="AA78" s="411">
        <f>SUMIFS('LAC 102_Wkst'!$AE$7:$AE$2010,'LAC 102_Wkst'!$E$7:$E$2010,$C78,'LAC 102_Wkst'!$G$7:$G$2010,$D78,'LAC 102_Wkst'!$L$7:$L$2010,"07",'LAC 102_Wkst'!$N$7:$N$2010,"P1")+SUMIFS('LAC 102_Wkst'!$AE$7:$AE$2010,'LAC 102_Wkst'!$E$7:$E$2010,$C78,'LAC 102_Wkst'!$G$7:$G$2010,$D78,'LAC 102_Wkst'!$L$7:$L$2010,"07",'LAC 102_Wkst'!$N$7:$N$2010,"P2")+SUMIFS('LAC 102_Wkst'!$AE$7:$AE$2010,'LAC 102_Wkst'!$E$7:$E$2010,$C78,'LAC 102_Wkst'!$G$7:$G$2010,$D78,'LAC 102_Wkst'!$L$7:$L$2010,"07",'LAC 102_Wkst'!$N$7:$N$2010,"P3")</f>
        <v>0</v>
      </c>
      <c r="AB78" s="410">
        <f>SUMIFS('LAC 102_Wkst'!$Q$7:$Q$2010,'LAC 102_Wkst'!$E$7:$E$2010,$C78,'LAC 102_Wkst'!$G$7:$G$2010,$D78,'LAC 102_Wkst'!$L$7:$L$2010,"07",'LAC 102_Wkst'!$N$7:$N$2010,"P4")</f>
        <v>0</v>
      </c>
      <c r="AC78" s="411">
        <f>SUMIFS('LAC 102_Wkst'!$AE$7:$AE$2010,'LAC 102_Wkst'!$E$7:$E$2010,$C78,'LAC 102_Wkst'!$G$7:$G$2010,$D78,'LAC 102_Wkst'!$L$7:$L$2010,"07",'LAC 102_Wkst'!$N$7:$N$2010,"P4")</f>
        <v>0</v>
      </c>
      <c r="AD78" s="410">
        <f>SUMIFS('LAC 102_Wkst'!$Q$7:$Q$2010,'LAC 102_Wkst'!$E$7:$E$2010,$C78,'LAC 102_Wkst'!$G$7:$G$2010,$D78,'LAC 102_Wkst'!$L$7:$L$2010,"07",'LAC 102_Wkst'!$N$7:$N$2010,"P5")</f>
        <v>0</v>
      </c>
      <c r="AE78" s="411">
        <f>SUMIFS('LAC 102_Wkst'!$AE$7:$AE$2010,'LAC 102_Wkst'!$E$7:$E$2010,$C78,'LAC 102_Wkst'!$G$7:$G$2010,$D78,'LAC 102_Wkst'!$L$7:$L$2010,"07",'LAC 102_Wkst'!$N$7:$N$2010,"P5")</f>
        <v>0</v>
      </c>
      <c r="AF78" s="410">
        <f>SUMIFS('LAC 102_Wkst'!$Q$7:$Q$2010,'LAC 102_Wkst'!$E$7:$E$2010,$C78,'LAC 102_Wkst'!$G$7:$G$2010,$D78,'LAC 102_Wkst'!$L$7:$L$2010,"08",'LAC 102_Wkst'!$N$7:$N$2010,"P1")+SUMIFS('LAC 102_Wkst'!$Q$7:$Q$2010,'LAC 102_Wkst'!$E$7:$E$2010,$C78,'LAC 102_Wkst'!$G$7:$G$2010,$D78,'LAC 102_Wkst'!$L$7:$L$2010,"08",'LAC 102_Wkst'!$N$7:$N$2010,"P2")+SUMIFS('LAC 102_Wkst'!$Q$7:$Q$2010,'LAC 102_Wkst'!$E$7:$E$2010,$C78,'LAC 102_Wkst'!$G$7:$G$2010,$D78,'LAC 102_Wkst'!$L$7:$L$2010,"08",'LAC 102_Wkst'!$N$7:$N$2010,"P3")</f>
        <v>0</v>
      </c>
      <c r="AG78" s="411">
        <f>SUMIFS('LAC 102_Wkst'!$AE$7:$AE$2010,'LAC 102_Wkst'!$E$7:$E$2010,$C78,'LAC 102_Wkst'!$G$7:$G$2010,$D78,'LAC 102_Wkst'!$L$7:$L$2010,"08",'LAC 102_Wkst'!$N$7:$N$2010,"P1")+SUMIFS('LAC 102_Wkst'!$AE$7:$AE$2010,'LAC 102_Wkst'!$E$7:$E$2010,$C78,'LAC 102_Wkst'!$G$7:$G$2010,$D78,'LAC 102_Wkst'!$L$7:$L$2010,"08",'LAC 102_Wkst'!$N$7:$N$2010,"P2")+SUMIFS('LAC 102_Wkst'!$AE$7:$AE$2010,'LAC 102_Wkst'!$E$7:$E$2010,$C78,'LAC 102_Wkst'!$G$7:$G$2010,$D78,'LAC 102_Wkst'!$L$7:$L$2010,"08",'LAC 102_Wkst'!$N$7:$N$2010,"P3")</f>
        <v>0</v>
      </c>
      <c r="AH78" s="410">
        <f>SUMIFS('LAC 102_Wkst'!$Q$7:$Q$2010,'LAC 102_Wkst'!$E$7:$E$2010,$C78,'LAC 102_Wkst'!$G$7:$G$2010,$D78,'LAC 102_Wkst'!$L$7:$L$2010,"08",'LAC 102_Wkst'!$N$7:$N$2010,"P4")</f>
        <v>0</v>
      </c>
      <c r="AI78" s="411">
        <f>SUMIFS('LAC 102_Wkst'!$AE$7:$AE$2010,'LAC 102_Wkst'!$E$7:$E$2010,$C78,'LAC 102_Wkst'!$G$7:$G$2010,$D78,'LAC 102_Wkst'!$L$7:$L$2010,"08",'LAC 102_Wkst'!$N$7:$N$2010,"P4")</f>
        <v>0</v>
      </c>
      <c r="AJ78" s="410">
        <f>SUMIFS('LAC 102_Wkst'!$Q$7:$Q$2010,'LAC 102_Wkst'!$E$7:$E$2010,$C78,'LAC 102_Wkst'!$G$7:$G$2010,$D78,'LAC 102_Wkst'!$L$7:$L$2010,"08",'LAC 102_Wkst'!$N$7:$N$2010,"P5")</f>
        <v>0</v>
      </c>
      <c r="AK78" s="411">
        <f>SUMIFS('LAC 102_Wkst'!$AE$7:$AE$2010,'LAC 102_Wkst'!$E$7:$E$2010,$C78,'LAC 102_Wkst'!$G$7:$G$2010,$D78,'LAC 102_Wkst'!$L$7:$L$2010,"08",'LAC 102_Wkst'!$N$7:$N$2010,"P5")</f>
        <v>0</v>
      </c>
      <c r="AL78" s="410">
        <f>SUMIFS('LAC 102_Wkst'!$Q$7:$Q$2010,'LAC 102_Wkst'!$E$7:$E$2010,$C78,'LAC 102_Wkst'!$G$7:$G$2010,$D78,'LAC 102_Wkst'!$L$7:$L$2010,"09",'LAC 102_Wkst'!$N$7:$N$2010,"P1")+SUMIFS('LAC 102_Wkst'!$Q$7:$Q$2010,'LAC 102_Wkst'!$E$7:$E$2010,$C78,'LAC 102_Wkst'!$G$7:$G$2010,$D78,'LAC 102_Wkst'!$L$7:$L$2010,"09",'LAC 102_Wkst'!$N$7:$N$2010,"P2")+SUMIFS('LAC 102_Wkst'!$Q$7:$Q$2010,'LAC 102_Wkst'!$E$7:$E$2010,$C78,'LAC 102_Wkst'!$G$7:$G$2010,$D78,'LAC 102_Wkst'!$L$7:$L$2010,"09",'LAC 102_Wkst'!$N$7:$N$2010,"P3")+SUMIFS('LAC 102_Wkst'!$Q$7:$Q$2010,'LAC 102_Wkst'!$E$7:$E$2010,$C78,'LAC 102_Wkst'!$G$7:$G$2010,$D78,'LAC 102_Wkst'!$L$7:$L$2010,"09",'LAC 102_Wkst'!$N$7:$N$2010,"P4")</f>
        <v>0</v>
      </c>
      <c r="AM78" s="411">
        <f>SUMIFS('LAC 102_Wkst'!$AE$7:$AE$2010,'LAC 102_Wkst'!$E$7:$E$2010,$C78,'LAC 102_Wkst'!$G$7:$G$2010,$D78,'LAC 102_Wkst'!$L$7:$L$2010,"09",'LAC 102_Wkst'!$N$7:$N$2010,"P1")+SUMIFS('LAC 102_Wkst'!$AE$7:$AE$2010,'LAC 102_Wkst'!$E$7:$E$2010,$C78,'LAC 102_Wkst'!$G$7:$G$2010,$D78,'LAC 102_Wkst'!$L$7:$L$2010,"09",'LAC 102_Wkst'!$N$7:$N$2010,"P2")+SUMIFS('LAC 102_Wkst'!$AE$7:$AE$2010,'LAC 102_Wkst'!$E$7:$E$2010,$C78,'LAC 102_Wkst'!$G$7:$G$2010,$D78,'LAC 102_Wkst'!$L$7:$L$2010,"09",'LAC 102_Wkst'!$N$7:$N$2010,"P3")+SUMIFS('LAC 102_Wkst'!$AE$7:$AE$2010,'LAC 102_Wkst'!$E$7:$E$2010,$C78,'LAC 102_Wkst'!$G$7:$G$2010,$D78,'LAC 102_Wkst'!$L$7:$L$2010,"09",'LAC 102_Wkst'!$N$7:$N$2010,"P4")</f>
        <v>0</v>
      </c>
      <c r="AN78" s="410">
        <f>SUMIFS('LAC 102_Wkst'!$Q$7:$Q$2010,'LAC 102_Wkst'!$E$7:$E$2010,$C78,'LAC 102_Wkst'!$G$7:$G$2010,$D78,'LAC 102_Wkst'!$L$7:$L$2010,"09",'LAC 102_Wkst'!$N$7:$N$2010,"P5")</f>
        <v>0</v>
      </c>
      <c r="AO78" s="411">
        <f>SUMIFS('LAC 102_Wkst'!$AE$7:$AE$2010,'LAC 102_Wkst'!$E$7:$E$2010,$C78,'LAC 102_Wkst'!$G$7:$G$2010,$D78,'LAC 102_Wkst'!$L$7:$L$2010,"09",'LAC 102_Wkst'!$N$7:$N$2010,"P5")</f>
        <v>0</v>
      </c>
      <c r="AP78" s="410">
        <f>SUMIFS('LAC 102_Wkst'!$Q$7:$Q$2010,'LAC 102_Wkst'!$E$7:$E$2010,$C78,'LAC 102_Wkst'!$G$7:$G$2010,$D78,'LAC 102_Wkst'!$L$7:$L$2010,"10",'LAC 102_Wkst'!$N$7:$N$2010,"P1")+SUMIFS('LAC 102_Wkst'!$Q$7:$Q$2010,'LAC 102_Wkst'!$E$7:$E$2010,$C78,'LAC 102_Wkst'!$G$7:$G$2010,$D78,'LAC 102_Wkst'!$L$7:$L$2010,"10",'LAC 102_Wkst'!$N$7:$N$2010,"P2")+SUMIFS('LAC 102_Wkst'!$Q$7:$Q$2010,'LAC 102_Wkst'!$E$7:$E$2010,$C78,'LAC 102_Wkst'!$G$7:$G$2010,$D78,'LAC 102_Wkst'!$L$7:$L$2010,"10",'LAC 102_Wkst'!$N$7:$N$2010,"P3")+SUMIFS('LAC 102_Wkst'!$Q$7:$Q$2010,'LAC 102_Wkst'!$E$7:$E$2010,$C78,'LAC 102_Wkst'!$G$7:$G$2010,$D78,'LAC 102_Wkst'!$L$7:$L$2010,"10",'LAC 102_Wkst'!$N$7:$N$2010,"P4")</f>
        <v>0</v>
      </c>
      <c r="AQ78" s="411">
        <f>SUMIFS('LAC 102_Wkst'!$AE$7:$AE$2010,'LAC 102_Wkst'!$E$7:$E$2010,$C78,'LAC 102_Wkst'!$G$7:$G$2010,$D78,'LAC 102_Wkst'!$L$7:$L$2010,"10",'LAC 102_Wkst'!$N$7:$N$2010,"P1")+SUMIFS('LAC 102_Wkst'!$AE$7:$AE$2010,'LAC 102_Wkst'!$E$7:$E$2010,$C78,'LAC 102_Wkst'!$G$7:$G$2010,$D78,'LAC 102_Wkst'!$L$7:$L$2010,"10",'LAC 102_Wkst'!$N$7:$N$2010,"P2")+SUMIFS('LAC 102_Wkst'!$AE$7:$AE$2010,'LAC 102_Wkst'!$E$7:$E$2010,$C78,'LAC 102_Wkst'!$G$7:$G$2010,$D78,'LAC 102_Wkst'!$L$7:$L$2010,"10",'LAC 102_Wkst'!$N$7:$N$2010,"P3")+SUMIFS('LAC 102_Wkst'!$AE$7:$AE$2010,'LAC 102_Wkst'!$E$7:$E$2010,$C78,'LAC 102_Wkst'!$G$7:$G$2010,$D78,'LAC 102_Wkst'!$L$7:$L$2010,"10",'LAC 102_Wkst'!$N$7:$N$2010,"P4")</f>
        <v>0</v>
      </c>
      <c r="AR78" s="410">
        <f>SUMIFS('LAC 102_Wkst'!$Q$7:$Q$2010,'LAC 102_Wkst'!$E$7:$E$2010,$C78,'LAC 102_Wkst'!$G$7:$G$2010,$D78,'LAC 102_Wkst'!$L$7:$L$2010,"10",'LAC 102_Wkst'!$N$7:$N$2010,"P5")</f>
        <v>0</v>
      </c>
      <c r="AS78" s="411">
        <f>SUMIFS('LAC 102_Wkst'!$AE$7:$AE$2010,'LAC 102_Wkst'!$E$7:$E$2010,$C78,'LAC 102_Wkst'!$G$7:$G$2010,$D78,'LAC 102_Wkst'!$L$7:$L$2010,"10",'LAC 102_Wkst'!$N$7:$N$2010,"P5")</f>
        <v>0</v>
      </c>
      <c r="AT78" s="410">
        <f>SUMIFS('LAC 102_Wkst'!$Q$7:$Q$2010,'LAC 102_Wkst'!$E$7:$E$2010,$C78,'LAC 102_Wkst'!$G$7:$G$2010,$D78,'LAC 102_Wkst'!$L$7:$L$2010,"11",'LAC 102_Wkst'!$N$7:$N$2010,"P1")+SUMIFS('LAC 102_Wkst'!$Q$7:$Q$2010,'LAC 102_Wkst'!$E$7:$E$2010,$C78,'LAC 102_Wkst'!$G$7:$G$2010,$D78,'LAC 102_Wkst'!$L$7:$L$2010,"12",'LAC 102_Wkst'!$N$7:$N$2010,"P1")</f>
        <v>0</v>
      </c>
      <c r="AU78" s="411">
        <f>SUMIFS('LAC 102_Wkst'!$AE$7:$AE$2010,'LAC 102_Wkst'!$E$7:$E$2010,$C78,'LAC 102_Wkst'!$G$7:$G$2010,$D78,'LAC 102_Wkst'!$L$7:$L$2010,"11",'LAC 102_Wkst'!$N$7:$N$2010,"P1")+SUMIFS('LAC 102_Wkst'!$AE$7:$AE$2010,'LAC 102_Wkst'!$E$7:$E$2010,$C78,'LAC 102_Wkst'!$G$7:$G$2010,$D78,'LAC 102_Wkst'!$L$7:$L$2010,"12",'LAC 102_Wkst'!$N$7:$N$2010,"P1")</f>
        <v>0</v>
      </c>
      <c r="AV78" s="410">
        <f>SUMIFS('LAC 102_Wkst'!$Q$7:$Q$2010,'LAC 102_Wkst'!$E$7:$E$2010,$C78,'LAC 102_Wkst'!$G$7:$G$2010,$D78,'LAC 102_Wkst'!$L$7:$L$2010,"11",'LAC 102_Wkst'!$N$7:$N$2010,"P2")+SUMIFS('LAC 102_Wkst'!$Q$7:$Q$2010,'LAC 102_Wkst'!$E$7:$E$2010,$C78,'LAC 102_Wkst'!$G$7:$G$2010,$D78,'LAC 102_Wkst'!$L$7:$L$2010,"12",'LAC 102_Wkst'!$N$7:$N$2010,"P3")+SUMIFS('LAC 102_Wkst'!$Q$7:$Q$2010,'LAC 102_Wkst'!$E$7:$E$2010,$C78,'LAC 102_Wkst'!$G$7:$G$2010,$D78,'LAC 102_Wkst'!$L$7:$L$2010,"11",'LAC 102_Wkst'!$N$7:$N$2010,"P2")+SUMIFS('LAC 102_Wkst'!$Q$7:$Q$2010,'LAC 102_Wkst'!$E$7:$E$2010,$C78,'LAC 102_Wkst'!$G$7:$G$2010,$D78,'LAC 102_Wkst'!$L$7:$L$2010,"12",'LAC 102_Wkst'!$N$7:$N$2010,"P3")</f>
        <v>0</v>
      </c>
      <c r="AW78" s="411">
        <f>SUMIFS('LAC 102_Wkst'!$AE$7:$AE$2010,'LAC 102_Wkst'!$E$7:$E$2010,$C78,'LAC 102_Wkst'!$G$7:$G$2010,$D78,'LAC 102_Wkst'!$L$7:$L$2010,"11",'LAC 102_Wkst'!$N$7:$N$2010,"P2")+SUMIFS('LAC 102_Wkst'!$AE$7:$AE$2010,'LAC 102_Wkst'!$E$7:$E$2010,$C78,'LAC 102_Wkst'!$G$7:$G$2010,$D78,'LAC 102_Wkst'!$L$7:$L$2010,"12",'LAC 102_Wkst'!$N$7:$N$2010,"P3")+SUMIFS('LAC 102_Wkst'!$AE$7:$AE$2010,'LAC 102_Wkst'!$E$7:$E$2010,$C78,'LAC 102_Wkst'!$G$7:$G$2010,$D78,'LAC 102_Wkst'!$L$7:$L$2010,"11",'LAC 102_Wkst'!$N$7:$N$2010,"P2")+SUMIFS('LAC 102_Wkst'!$AE$7:$AE$2010,'LAC 102_Wkst'!$E$7:$E$2010,$C78,'LAC 102_Wkst'!$G$7:$G$2010,$D78,'LAC 102_Wkst'!$L$7:$L$2010,"12",'LAC 102_Wkst'!$N$7:$N$2010,"P3")</f>
        <v>0</v>
      </c>
      <c r="AX78" s="410">
        <f>SUMIFS('LAC 102_Wkst'!$Q$7:$Q$2010,'LAC 102_Wkst'!$E$7:$E$2010,$C78,'LAC 102_Wkst'!$G$7:$G$2010,$D78,'LAC 102_Wkst'!$L$7:$L$2010,"11",'LAC 102_Wkst'!$N$7:$N$2010,"P4")+SUMIFS('LAC 102_Wkst'!$Q$7:$Q$2010,'LAC 102_Wkst'!$E$7:$E$2010,$C78,'LAC 102_Wkst'!$G$7:$G$2010,$D78,'LAC 102_Wkst'!$L$7:$L$2010,"12",'LAC 102_Wkst'!$N$7:$N$2010,"P4")</f>
        <v>0</v>
      </c>
      <c r="AY78" s="411">
        <f>SUMIFS('LAC 102_Wkst'!$AE$7:$AE$2010,'LAC 102_Wkst'!$E$7:$E$2010,$C78,'LAC 102_Wkst'!$G$7:$G$2010,$D78,'LAC 102_Wkst'!$L$7:$L$2010,"11",'LAC 102_Wkst'!$N$7:$N$2010,"P4")+SUMIFS('LAC 102_Wkst'!$AE$7:$AE$2010,'LAC 102_Wkst'!$E$7:$E$2010,$C78,'LAC 102_Wkst'!$G$7:$G$2010,$D78,'LAC 102_Wkst'!$L$7:$L$2010,"12",'LAC 102_Wkst'!$N$7:$N$2010,"P4")</f>
        <v>0</v>
      </c>
      <c r="AZ78" s="410">
        <f>SUMIFS('LAC 102_Wkst'!$Q$7:$Q$2010,'LAC 102_Wkst'!$E$7:$E$2010,$C78,'LAC 102_Wkst'!$G$7:$G$2010,$D78,'LAC 102_Wkst'!$L$7:$L$2010,"11",'LAC 102_Wkst'!$N$7:$N$2010,"P5")+SUMIFS('LAC 102_Wkst'!$Q$7:$Q$2010,'LAC 102_Wkst'!$E$7:$E$2010,$C78,'LAC 102_Wkst'!$G$7:$G$2010,$D78,'LAC 102_Wkst'!$L$7:$L$2010,"12",'LAC 102_Wkst'!$N$7:$N$2010,"P5")</f>
        <v>0</v>
      </c>
      <c r="BA78" s="411">
        <f>SUMIFS('LAC 102_Wkst'!$AE$7:$AE$2010,'LAC 102_Wkst'!$E$7:$E$2010,$C78,'LAC 102_Wkst'!$G$7:$G$2010,$D78,'LAC 102_Wkst'!$L$7:$L$2010,"11",'LAC 102_Wkst'!$N$7:$N$2010,"P5")+SUMIFS('LAC 102_Wkst'!$AE$7:$AE$2010,'LAC 102_Wkst'!$E$7:$E$2010,$C78,'LAC 102_Wkst'!$G$7:$G$2010,$D78,'LAC 102_Wkst'!$L$7:$L$2010,"12",'LAC 102_Wkst'!$N$7:$N$2010,"P5")</f>
        <v>0</v>
      </c>
      <c r="BB78" s="410">
        <f>SUMIFS('LAC 102_Wkst'!$Q$7:$Q$2010,'LAC 102_Wkst'!$E$7:$E$2010,$C78,'LAC 102_Wkst'!$G$7:$G$2010,$D78,'LAC 102_Wkst'!$L$7:$L$2010,"13",'LAC 102_Wkst'!$N$7:$N$2010,"P1")+SUMIFS('LAC 102_Wkst'!$Q$7:$Q$2010,'LAC 102_Wkst'!$E$7:$E$2010,$C78,'LAC 102_Wkst'!$G$7:$G$2010,$D78,'LAC 102_Wkst'!$L$7:$L$2010,"13",'LAC 102_Wkst'!$N$7:$N$2010,"P2")+SUMIFS('LAC 102_Wkst'!$Q$7:$Q$2010,'LAC 102_Wkst'!$E$7:$E$2010,$C78,'LAC 102_Wkst'!$G$7:$G$2010,$D78,'LAC 102_Wkst'!$L$7:$L$2010,"13",'LAC 102_Wkst'!$N$7:$N$2010,"P3")+SUMIFS('LAC 102_Wkst'!$Q$7:$Q$2010,'LAC 102_Wkst'!$E$7:$E$2010,$C78,'LAC 102_Wkst'!$G$7:$G$2010,$D78,'LAC 102_Wkst'!$L$7:$L$2010,"13",'LAC 102_Wkst'!$N$7:$N$2010,"P4")</f>
        <v>0</v>
      </c>
      <c r="BC78" s="411">
        <f>SUMIFS('LAC 102_Wkst'!$AE$7:$AE$2010,'LAC 102_Wkst'!$E$7:$E$2010,$C78,'LAC 102_Wkst'!$G$7:$G$2010,$D78,'LAC 102_Wkst'!$L$7:$L$2010,"13",'LAC 102_Wkst'!$N$7:$N$2010,"P1")+SUMIFS('LAC 102_Wkst'!$AE$7:$AE$2010,'LAC 102_Wkst'!$E$7:$E$2010,$C78,'LAC 102_Wkst'!$G$7:$G$2010,$D78,'LAC 102_Wkst'!$L$7:$L$2010,"13",'LAC 102_Wkst'!$N$7:$N$2010,"P2")+SUMIFS('LAC 102_Wkst'!$AE$7:$AE$2010,'LAC 102_Wkst'!$E$7:$E$2010,$C78,'LAC 102_Wkst'!$G$7:$G$2010,$D78,'LAC 102_Wkst'!$L$7:$L$2010,"13",'LAC 102_Wkst'!$N$7:$N$2010,"P3")+SUMIFS('LAC 102_Wkst'!$AE$7:$AE$2010,'LAC 102_Wkst'!$E$7:$E$2010,$C78,'LAC 102_Wkst'!$G$7:$G$2010,$D78,'LAC 102_Wkst'!$L$7:$L$2010,"13",'LAC 102_Wkst'!$N$7:$N$2010,"P4")</f>
        <v>0</v>
      </c>
      <c r="BD78" s="410">
        <f>SUMIFS('LAC 102_Wkst'!$Q$7:$Q$2010,'LAC 102_Wkst'!$E$7:$E$2010,$C78,'LAC 102_Wkst'!$G$7:$G$2010,$D78,'LAC 102_Wkst'!$L$7:$L$2010,"13",'LAC 102_Wkst'!$N$7:$N$2010,"P5")</f>
        <v>0</v>
      </c>
      <c r="BE78" s="411">
        <f>SUMIFS('LAC 102_Wkst'!$AE$7:$AE$2010,'LAC 102_Wkst'!$E$7:$E$2010,$C78,'LAC 102_Wkst'!$G$7:$G$2010,$D78,'LAC 102_Wkst'!$L$7:$L$2010,"13",'LAC 102_Wkst'!$N$7:$N$2010,"P5")</f>
        <v>0</v>
      </c>
      <c r="BF78" s="407">
        <f t="shared" si="0"/>
        <v>0</v>
      </c>
    </row>
    <row r="79" spans="1:58" x14ac:dyDescent="0.2">
      <c r="A79" s="401">
        <v>60</v>
      </c>
      <c r="B79" s="1236"/>
      <c r="C79" s="1235"/>
      <c r="D79" s="1237"/>
      <c r="E79" s="1222">
        <f>IF(CONCATENATE(C79,D79)&gt;"6069",1,SUMIFS('LAC 102_Wkst'!$Q$7:$Q$2010,'LAC 102_Wkst'!$E$7:$E$2010,Schedule_B!$C79,'LAC 102_Wkst'!$G$7:$G$2010,Schedule_B!$D79))</f>
        <v>0</v>
      </c>
      <c r="F79" s="408">
        <f>SUMIFS('LAC 102_Wkst'!$Q$7:$Q$2010,'LAC 102_Wkst'!$E$7:$E$2010,$C79,'LAC 102_Wkst'!$G$7:$G$2010,$D79,'LAC 102_Wkst'!$L$7:$L$2010,"01",'LAC 102_Wkst'!$N$7:$N$2010,"P1")+SUMIFS('LAC 102_Wkst'!$Q$7:$Q$2010,'LAC 102_Wkst'!$E$7:$E$2010,$C79,'LAC 102_Wkst'!$G$7:$G$2010,$D79,'LAC 102_Wkst'!$L$7:$L$2010,"01",'LAC 102_Wkst'!$N$7:$N$2010,"P2")+SUMIFS('LAC 102_Wkst'!$Q$7:$Q$2010,'LAC 102_Wkst'!$E$7:$E$2010,$C79,'LAC 102_Wkst'!$G$7:$G$2010,$D79,'LAC 102_Wkst'!$L$7:$L$2010,"01",'LAC 102_Wkst'!$N$7:$N$2010,"P3")+SUMIFS('LAC 102_Wkst'!$Q$7:$Q$2010,'LAC 102_Wkst'!$E$7:$E$2010,$C79,'LAC 102_Wkst'!$G$7:$G$2010,$D79,'LAC 102_Wkst'!$L$7:$L$2010,"02",'LAC 102_Wkst'!$N$7:$N$2010,"P1")+SUMIFS('LAC 102_Wkst'!$Q$7:$Q$2010,'LAC 102_Wkst'!$E$7:$E$2010,$C79,'LAC 102_Wkst'!$G$7:$G$2010,$D79,'LAC 102_Wkst'!$L$7:$L$2010,"02",'LAC 102_Wkst'!$N$7:$N$2010,"P2")+SUMIFS('LAC 102_Wkst'!$Q$7:$Q$2010,'LAC 102_Wkst'!$E$7:$E$2010,$C79,'LAC 102_Wkst'!$G$7:$G$2010,$D79,'LAC 102_Wkst'!$L$7:$L$2010,"02",'LAC 102_Wkst'!$N$7:$N$2010,"P3")</f>
        <v>0</v>
      </c>
      <c r="G79" s="409">
        <f>SUMIFS('LAC 102_Wkst'!$AE$7:$AE$2010,'LAC 102_Wkst'!$E$7:$E$2010,$C79,'LAC 102_Wkst'!$G$7:$G$2010,$D79,'LAC 102_Wkst'!$L$7:$L$2010,"01",'LAC 102_Wkst'!$N$7:$N$2010,"P1")+SUMIFS('LAC 102_Wkst'!$AE$7:$AE$2010,'LAC 102_Wkst'!$E$7:$E$2010,$C79,'LAC 102_Wkst'!$G$7:$G$2010,$D79,'LAC 102_Wkst'!$L$7:$L$2010,"01",'LAC 102_Wkst'!$N$7:$N$2010,"P2")+SUMIFS('LAC 102_Wkst'!$AE$7:$AE$2010,'LAC 102_Wkst'!$E$7:$E$2010,$C79,'LAC 102_Wkst'!$G$7:$G$2010,$D79,'LAC 102_Wkst'!$L$7:$L$2010,"01",'LAC 102_Wkst'!$N$7:$N$2010,"P3")+SUMIFS('LAC 102_Wkst'!$AE$7:$AE$2010,'LAC 102_Wkst'!$E$7:$E$2010,$C79,'LAC 102_Wkst'!$G$7:$G$2010,$D79,'LAC 102_Wkst'!$L$7:$L$2010,"02",'LAC 102_Wkst'!$N$7:$N$2010,"P1")+SUMIFS('LAC 102_Wkst'!$AE$7:$AE$2010,'LAC 102_Wkst'!$E$7:$E$2010,$C79,'LAC 102_Wkst'!$G$7:$G$2010,$D79,'LAC 102_Wkst'!$L$7:$L$2010,"02",'LAC 102_Wkst'!$N$7:$N$2010,"P2")+SUMIFS('LAC 102_Wkst'!$AE$7:$AE$2010,'LAC 102_Wkst'!$E$7:$E$2010,$C79,'LAC 102_Wkst'!$G$7:$G$2010,$D79,'LAC 102_Wkst'!$L$7:$L$2010,"02",'LAC 102_Wkst'!$N$7:$N$2010,"P3")</f>
        <v>0</v>
      </c>
      <c r="H79" s="410">
        <f>SUMIFS('LAC 102_Wkst'!$Q$7:$Q$2010,'LAC 102_Wkst'!$E$7:$E$2010,$C79,'LAC 102_Wkst'!$G$7:$G$2010,$D79,'LAC 102_Wkst'!$L$7:$L$2010,"01",'LAC 102_Wkst'!$N$7:$N$2010,"P4")+SUMIFS('LAC 102_Wkst'!$Q$7:$Q$2010,'LAC 102_Wkst'!$E$7:$E$2010,$C79,'LAC 102_Wkst'!$G$7:$G$2010,$D79,'LAC 102_Wkst'!$L$7:$L$2010,"02",'LAC 102_Wkst'!$N$7:$N$2010,"P4")</f>
        <v>0</v>
      </c>
      <c r="I79" s="411">
        <f>SUMIFS('LAC 102_Wkst'!$AE$7:$AE$2010,'LAC 102_Wkst'!$E$7:$E$2010,$C79,'LAC 102_Wkst'!$G$7:$G$2010,$D79,'LAC 102_Wkst'!$L$7:$L$2010,"01",'LAC 102_Wkst'!$N$7:$N$2010,"P4")+SUMIFS('LAC 102_Wkst'!$AE$7:$AE$2010,'LAC 102_Wkst'!$E$7:$E$2010,$C79,'LAC 102_Wkst'!$G$7:$G$2010,$D79,'LAC 102_Wkst'!$L$7:$L$2010,"02",'LAC 102_Wkst'!$N$7:$N$2010,"P4")</f>
        <v>0</v>
      </c>
      <c r="J79" s="410">
        <f>SUMIFS('LAC 102_Wkst'!$Q$7:$Q$2010,'LAC 102_Wkst'!$E$7:$E$2010,$C79,'LAC 102_Wkst'!$G$7:$G$2010,$D79,'LAC 102_Wkst'!$L$7:$L$2010,"01",'LAC 102_Wkst'!$N$7:$N$2010,"P5")+SUMIFS('LAC 102_Wkst'!$Q$7:$Q$2010,'LAC 102_Wkst'!$E$7:$E$2010,$C79,'LAC 102_Wkst'!$G$7:$G$2010,$D79,'LAC 102_Wkst'!$L$7:$L$2010,"02",'LAC 102_Wkst'!$N$7:$N$2010,"P5")</f>
        <v>0</v>
      </c>
      <c r="K79" s="411">
        <f>SUMIFS('LAC 102_Wkst'!$AE$7:$AE$2010,'LAC 102_Wkst'!$E$7:$E$2010,$C79,'LAC 102_Wkst'!$G$7:$G$2010,$D79,'LAC 102_Wkst'!$L$7:$L$2010,"01",'LAC 102_Wkst'!$N$7:$N$2010,"P5")+SUMIFS('LAC 102_Wkst'!$AE$7:$AE$2010,'LAC 102_Wkst'!$E$7:$E$2010,$C79,'LAC 102_Wkst'!$G$7:$G$2010,$D79,'LAC 102_Wkst'!$L$7:$L$2010,"02",'LAC 102_Wkst'!$N$7:$N$2010,"P5")</f>
        <v>0</v>
      </c>
      <c r="L79" s="410">
        <f>SUMIFS('LAC 102_Wkst'!$Q$7:$Q$2010,'LAC 102_Wkst'!$E$7:$E$2010,$C79,'LAC 102_Wkst'!$G$7:$G$2010,$D79,'LAC 102_Wkst'!$L$7:$L$2010,"03",'LAC 102_Wkst'!$N$7:$N$2010,"P1")+SUMIFS('LAC 102_Wkst'!$Q$7:$Q$2010,'LAC 102_Wkst'!$E$7:$E$2010,$C79,'LAC 102_Wkst'!$G$7:$G$2010,$D79,'LAC 102_Wkst'!$L$7:$L$2010,"03",'LAC 102_Wkst'!$N$7:$N$2010,"P2")+SUMIFS('LAC 102_Wkst'!$Q$7:$Q$2010,'LAC 102_Wkst'!$E$7:$E$2010,$C79,'LAC 102_Wkst'!$G$7:$G$2010,$D79,'LAC 102_Wkst'!$L$7:$L$2010,"03",'LAC 102_Wkst'!$N$7:$N$2010,"P3")+SUMIFS('LAC 102_Wkst'!$Q$7:$Q$2010,'LAC 102_Wkst'!$E$7:$E$2010,$C79,'LAC 102_Wkst'!$G$7:$G$2010,$D79,'LAC 102_Wkst'!$L$7:$L$2010,"04",'LAC 102_Wkst'!$N$7:$N$2010,"P1")+SUMIFS('LAC 102_Wkst'!$Q$7:$Q$2010,'LAC 102_Wkst'!$E$7:$E$2010,$C79,'LAC 102_Wkst'!$G$7:$G$2010,$D79,'LAC 102_Wkst'!$L$7:$L$2010,"04",'LAC 102_Wkst'!$N$7:$N$2010,"P2")+SUMIFS('LAC 102_Wkst'!$Q$7:$Q$2010,'LAC 102_Wkst'!$E$7:$E$2010,$C79,'LAC 102_Wkst'!$G$7:$G$2010,$D79,'LAC 102_Wkst'!$L$7:$L$2010,"04",'LAC 102_Wkst'!$N$7:$N$2010,"P3")</f>
        <v>0</v>
      </c>
      <c r="M79" s="411">
        <f>SUMIFS('LAC 102_Wkst'!$AE$7:$AE$2010,'LAC 102_Wkst'!$E$7:$E$2010,$C79,'LAC 102_Wkst'!$G$7:$G$2010,$D79,'LAC 102_Wkst'!$L$7:$L$2010,"03",'LAC 102_Wkst'!$N$7:$N$2010,"P1")+SUMIFS('LAC 102_Wkst'!$AE$7:$AE$2010,'LAC 102_Wkst'!$E$7:$E$2010,$C79,'LAC 102_Wkst'!$G$7:$G$2010,$D79,'LAC 102_Wkst'!$L$7:$L$2010,"03",'LAC 102_Wkst'!$N$7:$N$2010,"P2")+SUMIFS('LAC 102_Wkst'!$AE$7:$AE$2010,'LAC 102_Wkst'!$E$7:$E$2010,$C79,'LAC 102_Wkst'!$G$7:$G$2010,$D79,'LAC 102_Wkst'!$L$7:$L$2010,"03",'LAC 102_Wkst'!$N$7:$N$2010,"P3")+SUMIFS('LAC 102_Wkst'!$AE$7:$AE$2010,'LAC 102_Wkst'!$E$7:$E$2010,$C79,'LAC 102_Wkst'!$G$7:$G$2010,$D79,'LAC 102_Wkst'!$L$7:$L$2010,"04",'LAC 102_Wkst'!$N$7:$N$2010,"P1")+SUMIFS('LAC 102_Wkst'!$AE$7:$AE$2010,'LAC 102_Wkst'!$E$7:$E$2010,$C79,'LAC 102_Wkst'!$G$7:$G$2010,$D79,'LAC 102_Wkst'!$L$7:$L$2010,"04",'LAC 102_Wkst'!$N$7:$N$2010,"P2")+SUMIFS('LAC 102_Wkst'!$AE$7:$AE$2010,'LAC 102_Wkst'!$E$7:$E$2010,$C79,'LAC 102_Wkst'!$G$7:$G$2010,$D79,'LAC 102_Wkst'!$L$7:$L$2010,"04",'LAC 102_Wkst'!$N$7:$N$2010,"P3")</f>
        <v>0</v>
      </c>
      <c r="N79" s="410">
        <f>SUMIFS('LAC 102_Wkst'!$Q$7:$Q$2010,'LAC 102_Wkst'!$E$7:$E$2010,$C79,'LAC 102_Wkst'!$G$7:$G$2010,$D79,'LAC 102_Wkst'!$L$7:$L$2010,"03",'LAC 102_Wkst'!$N$7:$N$2010,"P4")+SUMIFS('LAC 102_Wkst'!$Q$7:$Q$2010,'LAC 102_Wkst'!$E$7:$E$2010,$C79,'LAC 102_Wkst'!$G$7:$G$2010,$D79,'LAC 102_Wkst'!$L$7:$L$2010,"04",'LAC 102_Wkst'!$N$7:$N$2010,"P4")</f>
        <v>0</v>
      </c>
      <c r="O79" s="411">
        <f>SUMIFS('LAC 102_Wkst'!$AE$7:$AE$2010,'LAC 102_Wkst'!$E$7:$E$2010,$C79,'LAC 102_Wkst'!$G$7:$G$2010,$D79,'LAC 102_Wkst'!$L$7:$L$2010,"03",'LAC 102_Wkst'!$N$7:$N$2010,"P4")+SUMIFS('LAC 102_Wkst'!$AE$7:$AE$2010,'LAC 102_Wkst'!$E$7:$E$2010,$C79,'LAC 102_Wkst'!$G$7:$G$2010,$D79,'LAC 102_Wkst'!$L$7:$L$2010,"04",'LAC 102_Wkst'!$N$7:$N$2010,"P4")</f>
        <v>0</v>
      </c>
      <c r="P79" s="410">
        <f>SUMIFS('LAC 102_Wkst'!$Q$7:$Q$2010,'LAC 102_Wkst'!$E$7:$E$2010,$C79,'LAC 102_Wkst'!$G$7:$G$2010,$D79,'LAC 102_Wkst'!$L$7:$L$2010,"03",'LAC 102_Wkst'!$N$7:$N$2010,"P5")+SUMIFS('LAC 102_Wkst'!$Q$7:$Q$2010,'LAC 102_Wkst'!$E$7:$E$2010,$C79,'LAC 102_Wkst'!$G$7:$G$2010,$D79,'LAC 102_Wkst'!$L$7:$L$2010,"04",'LAC 102_Wkst'!$N$7:$N$2010,"P5")</f>
        <v>0</v>
      </c>
      <c r="Q79" s="411">
        <f>SUMIFS('LAC 102_Wkst'!$AE$7:$AE$2010,'LAC 102_Wkst'!$E$7:$E$2010,$C79,'LAC 102_Wkst'!$G$7:$G$2010,$D79,'LAC 102_Wkst'!$L$7:$L$2010,"03",'LAC 102_Wkst'!$N$7:$N$2010,"P5")+SUMIFS('LAC 102_Wkst'!$AE$7:$AE$2010,'LAC 102_Wkst'!$E$7:$E$2010,$C79,'LAC 102_Wkst'!$G$7:$G$2010,$D79,'LAC 102_Wkst'!$L$7:$L$2010,"04",'LAC 102_Wkst'!$N$7:$N$2010,"P5")</f>
        <v>0</v>
      </c>
      <c r="R79" s="412">
        <f>SUMIFS('LAC 102_Wkst'!$Q$7:$Q$2010,'LAC 102_Wkst'!$E$7:$E$2010,$C79,'LAC 102_Wkst'!$G$7:$G$2010,$D79,'LAC 102_Wkst'!$L$7:$L$2010,"05",'LAC 102_Wkst'!$N$7:$N$2010,"P1")+SUMIFS('LAC 102_Wkst'!$Q$7:$Q$2010,'LAC 102_Wkst'!$E$7:$E$2010,$C79,'LAC 102_Wkst'!$G$7:$G$2010,$D79,'LAC 102_Wkst'!$L$7:$L$2010,"06",'LAC 102_Wkst'!$N$7:$N$2010,"P1")</f>
        <v>0</v>
      </c>
      <c r="S79" s="411">
        <f>SUMIFS('LAC 102_Wkst'!$AE$7:$AE$2010,'LAC 102_Wkst'!$E$7:$E$2010,$C79,'LAC 102_Wkst'!$G$7:$G$2010,$D79,'LAC 102_Wkst'!$L$7:$L$2010,"05",'LAC 102_Wkst'!$N$7:$N$2010,"P1")+SUMIFS('LAC 102_Wkst'!$AE$7:$AE$2010,'LAC 102_Wkst'!$E$7:$E$2010,$C79,'LAC 102_Wkst'!$G$7:$G$2010,$D79,'LAC 102_Wkst'!$L$7:$L$2010,"06",'LAC 102_Wkst'!$N$7:$N$2010,"P1")</f>
        <v>0</v>
      </c>
      <c r="T79" s="410">
        <f>SUMIFS('LAC 102_Wkst'!$Q$7:$Q$2010,'LAC 102_Wkst'!$E$7:$E$2010,$C79,'LAC 102_Wkst'!$G$7:$G$2010,$D79,'LAC 102_Wkst'!$L$7:$L$2010,"05",'LAC 102_Wkst'!$N$7:$N$2010,"P2")+SUMIFS('LAC 102_Wkst'!$Q$7:$Q$2010,'LAC 102_Wkst'!$E$7:$E$2010,$C79,'LAC 102_Wkst'!$G$7:$G$2010,$D79,'LAC 102_Wkst'!$L$7:$L$2010,"05",'LAC 102_Wkst'!$N$7:$N$2010,"P3")+SUMIFS('LAC 102_Wkst'!$Q$7:$Q$2010,'LAC 102_Wkst'!$E$7:$E$2010,$C79,'LAC 102_Wkst'!$G$7:$G$2010,$D79,'LAC 102_Wkst'!$L$7:$L$2010,"06",'LAC 102_Wkst'!$N$7:$N$2010,"P2")+SUMIFS('LAC 102_Wkst'!$Q$7:$Q$2010,'LAC 102_Wkst'!$E$7:$E$2010,$C79,'LAC 102_Wkst'!$G$7:$G$2010,$D79,'LAC 102_Wkst'!$L$7:$L$2010,"06",'LAC 102_Wkst'!$N$7:$N$2010,"P3")</f>
        <v>0</v>
      </c>
      <c r="U79" s="411">
        <f>SUMIFS('LAC 102_Wkst'!$AE$7:$AE$2010,'LAC 102_Wkst'!$E$7:$E$2010,$C79,'LAC 102_Wkst'!$G$7:$G$2010,$D79,'LAC 102_Wkst'!$L$7:$L$2010,"05",'LAC 102_Wkst'!$N$7:$N$2010,"P2")+SUMIFS('LAC 102_Wkst'!$AE$7:$AE$2010,'LAC 102_Wkst'!$E$7:$E$2010,$C79,'LAC 102_Wkst'!$G$7:$G$2010,$D79,'LAC 102_Wkst'!$L$7:$L$2010,"06",'LAC 102_Wkst'!$N$7:$N$2010,"P3")+SUMIFS('LAC 102_Wkst'!$AE$7:$AE$2010,'LAC 102_Wkst'!$E$7:$E$2010,$C79,'LAC 102_Wkst'!$G$7:$G$2010,$D79,'LAC 102_Wkst'!$L$7:$L$2010,"05",'LAC 102_Wkst'!$N$7:$N$2010,"P2")+SUMIFS('LAC 102_Wkst'!$AE$7:$AE$2010,'LAC 102_Wkst'!$E$7:$E$2010,$C79,'LAC 102_Wkst'!$G$7:$G$2010,$D79,'LAC 102_Wkst'!$L$7:$L$2010,"06",'LAC 102_Wkst'!$N$7:$N$2010,"P3")</f>
        <v>0</v>
      </c>
      <c r="V79" s="410">
        <f>SUMIFS('LAC 102_Wkst'!$Q$7:$Q$2010,'LAC 102_Wkst'!$E$7:$E$2010,$C79,'LAC 102_Wkst'!$G$7:$G$2010,$D79,'LAC 102_Wkst'!$L$7:$L$2010,"05",'LAC 102_Wkst'!$N$7:$N$2010,"P4")+SUMIFS('LAC 102_Wkst'!$Q$7:$Q$2010,'LAC 102_Wkst'!$E$7:$E$2010,$C79,'LAC 102_Wkst'!$G$7:$G$2010,$D79,'LAC 102_Wkst'!$L$7:$L$2010,"06",'LAC 102_Wkst'!$N$7:$N$2010,"P4")</f>
        <v>0</v>
      </c>
      <c r="W79" s="411">
        <f>SUMIFS('LAC 102_Wkst'!$AE$7:$AE$2010,'LAC 102_Wkst'!$E$7:$E$2010,$C79,'LAC 102_Wkst'!$G$7:$G$2010,$D79,'LAC 102_Wkst'!$L$7:$L$2010,"05",'LAC 102_Wkst'!$N$7:$N$2010,"P4")+SUMIFS('LAC 102_Wkst'!$AE$7:$AE$2010,'LAC 102_Wkst'!$E$7:$E$2010,$C79,'LAC 102_Wkst'!$G$7:$G$2010,$D79,'LAC 102_Wkst'!$L$7:$L$2010,"06",'LAC 102_Wkst'!$N$7:$N$2010,"P4")</f>
        <v>0</v>
      </c>
      <c r="X79" s="410">
        <f>SUMIFS('LAC 102_Wkst'!$Q$7:$Q$2010,'LAC 102_Wkst'!$E$7:$E$2010,$C79,'LAC 102_Wkst'!$G$7:$G$2010,$D79,'LAC 102_Wkst'!$L$7:$L$2010,"05",'LAC 102_Wkst'!$N$7:$N$2010,"P5")+SUMIFS('LAC 102_Wkst'!$Q$7:$Q$2010,'LAC 102_Wkst'!$E$7:$E$2010,$C79,'LAC 102_Wkst'!$G$7:$G$2010,$D79,'LAC 102_Wkst'!$L$7:$L$2010,"06",'LAC 102_Wkst'!$N$7:$N$2010,"P5")</f>
        <v>0</v>
      </c>
      <c r="Y79" s="411">
        <f>SUMIFS('LAC 102_Wkst'!$AE$7:$AE$2010,'LAC 102_Wkst'!$E$7:$E$2010,$C79,'LAC 102_Wkst'!$G$7:$G$2010,$D79,'LAC 102_Wkst'!$L$7:$L$2010,"05",'LAC 102_Wkst'!$N$7:$N$2010,"P5")+SUMIFS('LAC 102_Wkst'!$AE$7:$AE$2010,'LAC 102_Wkst'!$E$7:$E$2010,$C79,'LAC 102_Wkst'!$G$7:$G$2010,$D79,'LAC 102_Wkst'!$L$7:$L$2010,"06",'LAC 102_Wkst'!$N$7:$N$2010,"P5")</f>
        <v>0</v>
      </c>
      <c r="Z79" s="410">
        <f>SUMIFS('LAC 102_Wkst'!$Q$7:$Q$2010,'LAC 102_Wkst'!$E$7:$E$2010,$C79,'LAC 102_Wkst'!$G$7:$G$2010,$D79,'LAC 102_Wkst'!$L$7:$L$2010,"07",'LAC 102_Wkst'!$N$7:$N$2010,"P1")+SUMIFS('LAC 102_Wkst'!$Q$7:$Q$2010,'LAC 102_Wkst'!$E$7:$E$2010,$C79,'LAC 102_Wkst'!$G$7:$G$2010,$D79,'LAC 102_Wkst'!$L$7:$L$2010,"07",'LAC 102_Wkst'!$N$7:$N$2010,"P2")+SUMIFS('LAC 102_Wkst'!$Q$7:$Q$2010,'LAC 102_Wkst'!$E$7:$E$2010,$C79,'LAC 102_Wkst'!$G$7:$G$2010,$D79,'LAC 102_Wkst'!$L$7:$L$2010,"07",'LAC 102_Wkst'!$N$7:$N$2010,"P3")</f>
        <v>0</v>
      </c>
      <c r="AA79" s="411">
        <f>SUMIFS('LAC 102_Wkst'!$AE$7:$AE$2010,'LAC 102_Wkst'!$E$7:$E$2010,$C79,'LAC 102_Wkst'!$G$7:$G$2010,$D79,'LAC 102_Wkst'!$L$7:$L$2010,"07",'LAC 102_Wkst'!$N$7:$N$2010,"P1")+SUMIFS('LAC 102_Wkst'!$AE$7:$AE$2010,'LAC 102_Wkst'!$E$7:$E$2010,$C79,'LAC 102_Wkst'!$G$7:$G$2010,$D79,'LAC 102_Wkst'!$L$7:$L$2010,"07",'LAC 102_Wkst'!$N$7:$N$2010,"P2")+SUMIFS('LAC 102_Wkst'!$AE$7:$AE$2010,'LAC 102_Wkst'!$E$7:$E$2010,$C79,'LAC 102_Wkst'!$G$7:$G$2010,$D79,'LAC 102_Wkst'!$L$7:$L$2010,"07",'LAC 102_Wkst'!$N$7:$N$2010,"P3")</f>
        <v>0</v>
      </c>
      <c r="AB79" s="410">
        <f>SUMIFS('LAC 102_Wkst'!$Q$7:$Q$2010,'LAC 102_Wkst'!$E$7:$E$2010,$C79,'LAC 102_Wkst'!$G$7:$G$2010,$D79,'LAC 102_Wkst'!$L$7:$L$2010,"07",'LAC 102_Wkst'!$N$7:$N$2010,"P4")</f>
        <v>0</v>
      </c>
      <c r="AC79" s="411">
        <f>SUMIFS('LAC 102_Wkst'!$AE$7:$AE$2010,'LAC 102_Wkst'!$E$7:$E$2010,$C79,'LAC 102_Wkst'!$G$7:$G$2010,$D79,'LAC 102_Wkst'!$L$7:$L$2010,"07",'LAC 102_Wkst'!$N$7:$N$2010,"P4")</f>
        <v>0</v>
      </c>
      <c r="AD79" s="410">
        <f>SUMIFS('LAC 102_Wkst'!$Q$7:$Q$2010,'LAC 102_Wkst'!$E$7:$E$2010,$C79,'LAC 102_Wkst'!$G$7:$G$2010,$D79,'LAC 102_Wkst'!$L$7:$L$2010,"07",'LAC 102_Wkst'!$N$7:$N$2010,"P5")</f>
        <v>0</v>
      </c>
      <c r="AE79" s="411">
        <f>SUMIFS('LAC 102_Wkst'!$AE$7:$AE$2010,'LAC 102_Wkst'!$E$7:$E$2010,$C79,'LAC 102_Wkst'!$G$7:$G$2010,$D79,'LAC 102_Wkst'!$L$7:$L$2010,"07",'LAC 102_Wkst'!$N$7:$N$2010,"P5")</f>
        <v>0</v>
      </c>
      <c r="AF79" s="410">
        <f>SUMIFS('LAC 102_Wkst'!$Q$7:$Q$2010,'LAC 102_Wkst'!$E$7:$E$2010,$C79,'LAC 102_Wkst'!$G$7:$G$2010,$D79,'LAC 102_Wkst'!$L$7:$L$2010,"08",'LAC 102_Wkst'!$N$7:$N$2010,"P1")+SUMIFS('LAC 102_Wkst'!$Q$7:$Q$2010,'LAC 102_Wkst'!$E$7:$E$2010,$C79,'LAC 102_Wkst'!$G$7:$G$2010,$D79,'LAC 102_Wkst'!$L$7:$L$2010,"08",'LAC 102_Wkst'!$N$7:$N$2010,"P2")+SUMIFS('LAC 102_Wkst'!$Q$7:$Q$2010,'LAC 102_Wkst'!$E$7:$E$2010,$C79,'LAC 102_Wkst'!$G$7:$G$2010,$D79,'LAC 102_Wkst'!$L$7:$L$2010,"08",'LAC 102_Wkst'!$N$7:$N$2010,"P3")</f>
        <v>0</v>
      </c>
      <c r="AG79" s="411">
        <f>SUMIFS('LAC 102_Wkst'!$AE$7:$AE$2010,'LAC 102_Wkst'!$E$7:$E$2010,$C79,'LAC 102_Wkst'!$G$7:$G$2010,$D79,'LAC 102_Wkst'!$L$7:$L$2010,"08",'LAC 102_Wkst'!$N$7:$N$2010,"P1")+SUMIFS('LAC 102_Wkst'!$AE$7:$AE$2010,'LAC 102_Wkst'!$E$7:$E$2010,$C79,'LAC 102_Wkst'!$G$7:$G$2010,$D79,'LAC 102_Wkst'!$L$7:$L$2010,"08",'LAC 102_Wkst'!$N$7:$N$2010,"P2")+SUMIFS('LAC 102_Wkst'!$AE$7:$AE$2010,'LAC 102_Wkst'!$E$7:$E$2010,$C79,'LAC 102_Wkst'!$G$7:$G$2010,$D79,'LAC 102_Wkst'!$L$7:$L$2010,"08",'LAC 102_Wkst'!$N$7:$N$2010,"P3")</f>
        <v>0</v>
      </c>
      <c r="AH79" s="410">
        <f>SUMIFS('LAC 102_Wkst'!$Q$7:$Q$2010,'LAC 102_Wkst'!$E$7:$E$2010,$C79,'LAC 102_Wkst'!$G$7:$G$2010,$D79,'LAC 102_Wkst'!$L$7:$L$2010,"08",'LAC 102_Wkst'!$N$7:$N$2010,"P4")</f>
        <v>0</v>
      </c>
      <c r="AI79" s="411">
        <f>SUMIFS('LAC 102_Wkst'!$AE$7:$AE$2010,'LAC 102_Wkst'!$E$7:$E$2010,$C79,'LAC 102_Wkst'!$G$7:$G$2010,$D79,'LAC 102_Wkst'!$L$7:$L$2010,"08",'LAC 102_Wkst'!$N$7:$N$2010,"P4")</f>
        <v>0</v>
      </c>
      <c r="AJ79" s="410">
        <f>SUMIFS('LAC 102_Wkst'!$Q$7:$Q$2010,'LAC 102_Wkst'!$E$7:$E$2010,$C79,'LAC 102_Wkst'!$G$7:$G$2010,$D79,'LAC 102_Wkst'!$L$7:$L$2010,"08",'LAC 102_Wkst'!$N$7:$N$2010,"P5")</f>
        <v>0</v>
      </c>
      <c r="AK79" s="411">
        <f>SUMIFS('LAC 102_Wkst'!$AE$7:$AE$2010,'LAC 102_Wkst'!$E$7:$E$2010,$C79,'LAC 102_Wkst'!$G$7:$G$2010,$D79,'LAC 102_Wkst'!$L$7:$L$2010,"08",'LAC 102_Wkst'!$N$7:$N$2010,"P5")</f>
        <v>0</v>
      </c>
      <c r="AL79" s="410">
        <f>SUMIFS('LAC 102_Wkst'!$Q$7:$Q$2010,'LAC 102_Wkst'!$E$7:$E$2010,$C79,'LAC 102_Wkst'!$G$7:$G$2010,$D79,'LAC 102_Wkst'!$L$7:$L$2010,"09",'LAC 102_Wkst'!$N$7:$N$2010,"P1")+SUMIFS('LAC 102_Wkst'!$Q$7:$Q$2010,'LAC 102_Wkst'!$E$7:$E$2010,$C79,'LAC 102_Wkst'!$G$7:$G$2010,$D79,'LAC 102_Wkst'!$L$7:$L$2010,"09",'LAC 102_Wkst'!$N$7:$N$2010,"P2")+SUMIFS('LAC 102_Wkst'!$Q$7:$Q$2010,'LAC 102_Wkst'!$E$7:$E$2010,$C79,'LAC 102_Wkst'!$G$7:$G$2010,$D79,'LAC 102_Wkst'!$L$7:$L$2010,"09",'LAC 102_Wkst'!$N$7:$N$2010,"P3")+SUMIFS('LAC 102_Wkst'!$Q$7:$Q$2010,'LAC 102_Wkst'!$E$7:$E$2010,$C79,'LAC 102_Wkst'!$G$7:$G$2010,$D79,'LAC 102_Wkst'!$L$7:$L$2010,"09",'LAC 102_Wkst'!$N$7:$N$2010,"P4")</f>
        <v>0</v>
      </c>
      <c r="AM79" s="411">
        <f>SUMIFS('LAC 102_Wkst'!$AE$7:$AE$2010,'LAC 102_Wkst'!$E$7:$E$2010,$C79,'LAC 102_Wkst'!$G$7:$G$2010,$D79,'LAC 102_Wkst'!$L$7:$L$2010,"09",'LAC 102_Wkst'!$N$7:$N$2010,"P1")+SUMIFS('LAC 102_Wkst'!$AE$7:$AE$2010,'LAC 102_Wkst'!$E$7:$E$2010,$C79,'LAC 102_Wkst'!$G$7:$G$2010,$D79,'LAC 102_Wkst'!$L$7:$L$2010,"09",'LAC 102_Wkst'!$N$7:$N$2010,"P2")+SUMIFS('LAC 102_Wkst'!$AE$7:$AE$2010,'LAC 102_Wkst'!$E$7:$E$2010,$C79,'LAC 102_Wkst'!$G$7:$G$2010,$D79,'LAC 102_Wkst'!$L$7:$L$2010,"09",'LAC 102_Wkst'!$N$7:$N$2010,"P3")+SUMIFS('LAC 102_Wkst'!$AE$7:$AE$2010,'LAC 102_Wkst'!$E$7:$E$2010,$C79,'LAC 102_Wkst'!$G$7:$G$2010,$D79,'LAC 102_Wkst'!$L$7:$L$2010,"09",'LAC 102_Wkst'!$N$7:$N$2010,"P4")</f>
        <v>0</v>
      </c>
      <c r="AN79" s="410">
        <f>SUMIFS('LAC 102_Wkst'!$Q$7:$Q$2010,'LAC 102_Wkst'!$E$7:$E$2010,$C79,'LAC 102_Wkst'!$G$7:$G$2010,$D79,'LAC 102_Wkst'!$L$7:$L$2010,"09",'LAC 102_Wkst'!$N$7:$N$2010,"P5")</f>
        <v>0</v>
      </c>
      <c r="AO79" s="411">
        <f>SUMIFS('LAC 102_Wkst'!$AE$7:$AE$2010,'LAC 102_Wkst'!$E$7:$E$2010,$C79,'LAC 102_Wkst'!$G$7:$G$2010,$D79,'LAC 102_Wkst'!$L$7:$L$2010,"09",'LAC 102_Wkst'!$N$7:$N$2010,"P5")</f>
        <v>0</v>
      </c>
      <c r="AP79" s="410">
        <f>SUMIFS('LAC 102_Wkst'!$Q$7:$Q$2010,'LAC 102_Wkst'!$E$7:$E$2010,$C79,'LAC 102_Wkst'!$G$7:$G$2010,$D79,'LAC 102_Wkst'!$L$7:$L$2010,"10",'LAC 102_Wkst'!$N$7:$N$2010,"P1")+SUMIFS('LAC 102_Wkst'!$Q$7:$Q$2010,'LAC 102_Wkst'!$E$7:$E$2010,$C79,'LAC 102_Wkst'!$G$7:$G$2010,$D79,'LAC 102_Wkst'!$L$7:$L$2010,"10",'LAC 102_Wkst'!$N$7:$N$2010,"P2")+SUMIFS('LAC 102_Wkst'!$Q$7:$Q$2010,'LAC 102_Wkst'!$E$7:$E$2010,$C79,'LAC 102_Wkst'!$G$7:$G$2010,$D79,'LAC 102_Wkst'!$L$7:$L$2010,"10",'LAC 102_Wkst'!$N$7:$N$2010,"P3")+SUMIFS('LAC 102_Wkst'!$Q$7:$Q$2010,'LAC 102_Wkst'!$E$7:$E$2010,$C79,'LAC 102_Wkst'!$G$7:$G$2010,$D79,'LAC 102_Wkst'!$L$7:$L$2010,"10",'LAC 102_Wkst'!$N$7:$N$2010,"P4")</f>
        <v>0</v>
      </c>
      <c r="AQ79" s="411">
        <f>SUMIFS('LAC 102_Wkst'!$AE$7:$AE$2010,'LAC 102_Wkst'!$E$7:$E$2010,$C79,'LAC 102_Wkst'!$G$7:$G$2010,$D79,'LAC 102_Wkst'!$L$7:$L$2010,"10",'LAC 102_Wkst'!$N$7:$N$2010,"P1")+SUMIFS('LAC 102_Wkst'!$AE$7:$AE$2010,'LAC 102_Wkst'!$E$7:$E$2010,$C79,'LAC 102_Wkst'!$G$7:$G$2010,$D79,'LAC 102_Wkst'!$L$7:$L$2010,"10",'LAC 102_Wkst'!$N$7:$N$2010,"P2")+SUMIFS('LAC 102_Wkst'!$AE$7:$AE$2010,'LAC 102_Wkst'!$E$7:$E$2010,$C79,'LAC 102_Wkst'!$G$7:$G$2010,$D79,'LAC 102_Wkst'!$L$7:$L$2010,"10",'LAC 102_Wkst'!$N$7:$N$2010,"P3")+SUMIFS('LAC 102_Wkst'!$AE$7:$AE$2010,'LAC 102_Wkst'!$E$7:$E$2010,$C79,'LAC 102_Wkst'!$G$7:$G$2010,$D79,'LAC 102_Wkst'!$L$7:$L$2010,"10",'LAC 102_Wkst'!$N$7:$N$2010,"P4")</f>
        <v>0</v>
      </c>
      <c r="AR79" s="410">
        <f>SUMIFS('LAC 102_Wkst'!$Q$7:$Q$2010,'LAC 102_Wkst'!$E$7:$E$2010,$C79,'LAC 102_Wkst'!$G$7:$G$2010,$D79,'LAC 102_Wkst'!$L$7:$L$2010,"10",'LAC 102_Wkst'!$N$7:$N$2010,"P5")</f>
        <v>0</v>
      </c>
      <c r="AS79" s="411">
        <f>SUMIFS('LAC 102_Wkst'!$AE$7:$AE$2010,'LAC 102_Wkst'!$E$7:$E$2010,$C79,'LAC 102_Wkst'!$G$7:$G$2010,$D79,'LAC 102_Wkst'!$L$7:$L$2010,"10",'LAC 102_Wkst'!$N$7:$N$2010,"P5")</f>
        <v>0</v>
      </c>
      <c r="AT79" s="410">
        <f>SUMIFS('LAC 102_Wkst'!$Q$7:$Q$2010,'LAC 102_Wkst'!$E$7:$E$2010,$C79,'LAC 102_Wkst'!$G$7:$G$2010,$D79,'LAC 102_Wkst'!$L$7:$L$2010,"11",'LAC 102_Wkst'!$N$7:$N$2010,"P1")+SUMIFS('LAC 102_Wkst'!$Q$7:$Q$2010,'LAC 102_Wkst'!$E$7:$E$2010,$C79,'LAC 102_Wkst'!$G$7:$G$2010,$D79,'LAC 102_Wkst'!$L$7:$L$2010,"12",'LAC 102_Wkst'!$N$7:$N$2010,"P1")</f>
        <v>0</v>
      </c>
      <c r="AU79" s="411">
        <f>SUMIFS('LAC 102_Wkst'!$AE$7:$AE$2010,'LAC 102_Wkst'!$E$7:$E$2010,$C79,'LAC 102_Wkst'!$G$7:$G$2010,$D79,'LAC 102_Wkst'!$L$7:$L$2010,"11",'LAC 102_Wkst'!$N$7:$N$2010,"P1")+SUMIFS('LAC 102_Wkst'!$AE$7:$AE$2010,'LAC 102_Wkst'!$E$7:$E$2010,$C79,'LAC 102_Wkst'!$G$7:$G$2010,$D79,'LAC 102_Wkst'!$L$7:$L$2010,"12",'LAC 102_Wkst'!$N$7:$N$2010,"P1")</f>
        <v>0</v>
      </c>
      <c r="AV79" s="410">
        <f>SUMIFS('LAC 102_Wkst'!$Q$7:$Q$2010,'LAC 102_Wkst'!$E$7:$E$2010,$C79,'LAC 102_Wkst'!$G$7:$G$2010,$D79,'LAC 102_Wkst'!$L$7:$L$2010,"11",'LAC 102_Wkst'!$N$7:$N$2010,"P2")+SUMIFS('LAC 102_Wkst'!$Q$7:$Q$2010,'LAC 102_Wkst'!$E$7:$E$2010,$C79,'LAC 102_Wkst'!$G$7:$G$2010,$D79,'LAC 102_Wkst'!$L$7:$L$2010,"12",'LAC 102_Wkst'!$N$7:$N$2010,"P3")+SUMIFS('LAC 102_Wkst'!$Q$7:$Q$2010,'LAC 102_Wkst'!$E$7:$E$2010,$C79,'LAC 102_Wkst'!$G$7:$G$2010,$D79,'LAC 102_Wkst'!$L$7:$L$2010,"11",'LAC 102_Wkst'!$N$7:$N$2010,"P2")+SUMIFS('LAC 102_Wkst'!$Q$7:$Q$2010,'LAC 102_Wkst'!$E$7:$E$2010,$C79,'LAC 102_Wkst'!$G$7:$G$2010,$D79,'LAC 102_Wkst'!$L$7:$L$2010,"12",'LAC 102_Wkst'!$N$7:$N$2010,"P3")</f>
        <v>0</v>
      </c>
      <c r="AW79" s="411">
        <f>SUMIFS('LAC 102_Wkst'!$AE$7:$AE$2010,'LAC 102_Wkst'!$E$7:$E$2010,$C79,'LAC 102_Wkst'!$G$7:$G$2010,$D79,'LAC 102_Wkst'!$L$7:$L$2010,"11",'LAC 102_Wkst'!$N$7:$N$2010,"P2")+SUMIFS('LAC 102_Wkst'!$AE$7:$AE$2010,'LAC 102_Wkst'!$E$7:$E$2010,$C79,'LAC 102_Wkst'!$G$7:$G$2010,$D79,'LAC 102_Wkst'!$L$7:$L$2010,"12",'LAC 102_Wkst'!$N$7:$N$2010,"P3")+SUMIFS('LAC 102_Wkst'!$AE$7:$AE$2010,'LAC 102_Wkst'!$E$7:$E$2010,$C79,'LAC 102_Wkst'!$G$7:$G$2010,$D79,'LAC 102_Wkst'!$L$7:$L$2010,"11",'LAC 102_Wkst'!$N$7:$N$2010,"P2")+SUMIFS('LAC 102_Wkst'!$AE$7:$AE$2010,'LAC 102_Wkst'!$E$7:$E$2010,$C79,'LAC 102_Wkst'!$G$7:$G$2010,$D79,'LAC 102_Wkst'!$L$7:$L$2010,"12",'LAC 102_Wkst'!$N$7:$N$2010,"P3")</f>
        <v>0</v>
      </c>
      <c r="AX79" s="410">
        <f>SUMIFS('LAC 102_Wkst'!$Q$7:$Q$2010,'LAC 102_Wkst'!$E$7:$E$2010,$C79,'LAC 102_Wkst'!$G$7:$G$2010,$D79,'LAC 102_Wkst'!$L$7:$L$2010,"11",'LAC 102_Wkst'!$N$7:$N$2010,"P4")+SUMIFS('LAC 102_Wkst'!$Q$7:$Q$2010,'LAC 102_Wkst'!$E$7:$E$2010,$C79,'LAC 102_Wkst'!$G$7:$G$2010,$D79,'LAC 102_Wkst'!$L$7:$L$2010,"12",'LAC 102_Wkst'!$N$7:$N$2010,"P4")</f>
        <v>0</v>
      </c>
      <c r="AY79" s="411">
        <f>SUMIFS('LAC 102_Wkst'!$AE$7:$AE$2010,'LAC 102_Wkst'!$E$7:$E$2010,$C79,'LAC 102_Wkst'!$G$7:$G$2010,$D79,'LAC 102_Wkst'!$L$7:$L$2010,"11",'LAC 102_Wkst'!$N$7:$N$2010,"P4")+SUMIFS('LAC 102_Wkst'!$AE$7:$AE$2010,'LAC 102_Wkst'!$E$7:$E$2010,$C79,'LAC 102_Wkst'!$G$7:$G$2010,$D79,'LAC 102_Wkst'!$L$7:$L$2010,"12",'LAC 102_Wkst'!$N$7:$N$2010,"P4")</f>
        <v>0</v>
      </c>
      <c r="AZ79" s="410">
        <f>SUMIFS('LAC 102_Wkst'!$Q$7:$Q$2010,'LAC 102_Wkst'!$E$7:$E$2010,$C79,'LAC 102_Wkst'!$G$7:$G$2010,$D79,'LAC 102_Wkst'!$L$7:$L$2010,"11",'LAC 102_Wkst'!$N$7:$N$2010,"P5")+SUMIFS('LAC 102_Wkst'!$Q$7:$Q$2010,'LAC 102_Wkst'!$E$7:$E$2010,$C79,'LAC 102_Wkst'!$G$7:$G$2010,$D79,'LAC 102_Wkst'!$L$7:$L$2010,"12",'LAC 102_Wkst'!$N$7:$N$2010,"P5")</f>
        <v>0</v>
      </c>
      <c r="BA79" s="411">
        <f>SUMIFS('LAC 102_Wkst'!$AE$7:$AE$2010,'LAC 102_Wkst'!$E$7:$E$2010,$C79,'LAC 102_Wkst'!$G$7:$G$2010,$D79,'LAC 102_Wkst'!$L$7:$L$2010,"11",'LAC 102_Wkst'!$N$7:$N$2010,"P5")+SUMIFS('LAC 102_Wkst'!$AE$7:$AE$2010,'LAC 102_Wkst'!$E$7:$E$2010,$C79,'LAC 102_Wkst'!$G$7:$G$2010,$D79,'LAC 102_Wkst'!$L$7:$L$2010,"12",'LAC 102_Wkst'!$N$7:$N$2010,"P5")</f>
        <v>0</v>
      </c>
      <c r="BB79" s="410">
        <f>SUMIFS('LAC 102_Wkst'!$Q$7:$Q$2010,'LAC 102_Wkst'!$E$7:$E$2010,$C79,'LAC 102_Wkst'!$G$7:$G$2010,$D79,'LAC 102_Wkst'!$L$7:$L$2010,"13",'LAC 102_Wkst'!$N$7:$N$2010,"P1")+SUMIFS('LAC 102_Wkst'!$Q$7:$Q$2010,'LAC 102_Wkst'!$E$7:$E$2010,$C79,'LAC 102_Wkst'!$G$7:$G$2010,$D79,'LAC 102_Wkst'!$L$7:$L$2010,"13",'LAC 102_Wkst'!$N$7:$N$2010,"P2")+SUMIFS('LAC 102_Wkst'!$Q$7:$Q$2010,'LAC 102_Wkst'!$E$7:$E$2010,$C79,'LAC 102_Wkst'!$G$7:$G$2010,$D79,'LAC 102_Wkst'!$L$7:$L$2010,"13",'LAC 102_Wkst'!$N$7:$N$2010,"P3")+SUMIFS('LAC 102_Wkst'!$Q$7:$Q$2010,'LAC 102_Wkst'!$E$7:$E$2010,$C79,'LAC 102_Wkst'!$G$7:$G$2010,$D79,'LAC 102_Wkst'!$L$7:$L$2010,"13",'LAC 102_Wkst'!$N$7:$N$2010,"P4")</f>
        <v>0</v>
      </c>
      <c r="BC79" s="411">
        <f>SUMIFS('LAC 102_Wkst'!$AE$7:$AE$2010,'LAC 102_Wkst'!$E$7:$E$2010,$C79,'LAC 102_Wkst'!$G$7:$G$2010,$D79,'LAC 102_Wkst'!$L$7:$L$2010,"13",'LAC 102_Wkst'!$N$7:$N$2010,"P1")+SUMIFS('LAC 102_Wkst'!$AE$7:$AE$2010,'LAC 102_Wkst'!$E$7:$E$2010,$C79,'LAC 102_Wkst'!$G$7:$G$2010,$D79,'LAC 102_Wkst'!$L$7:$L$2010,"13",'LAC 102_Wkst'!$N$7:$N$2010,"P2")+SUMIFS('LAC 102_Wkst'!$AE$7:$AE$2010,'LAC 102_Wkst'!$E$7:$E$2010,$C79,'LAC 102_Wkst'!$G$7:$G$2010,$D79,'LAC 102_Wkst'!$L$7:$L$2010,"13",'LAC 102_Wkst'!$N$7:$N$2010,"P3")+SUMIFS('LAC 102_Wkst'!$AE$7:$AE$2010,'LAC 102_Wkst'!$E$7:$E$2010,$C79,'LAC 102_Wkst'!$G$7:$G$2010,$D79,'LAC 102_Wkst'!$L$7:$L$2010,"13",'LAC 102_Wkst'!$N$7:$N$2010,"P4")</f>
        <v>0</v>
      </c>
      <c r="BD79" s="410">
        <f>SUMIFS('LAC 102_Wkst'!$Q$7:$Q$2010,'LAC 102_Wkst'!$E$7:$E$2010,$C79,'LAC 102_Wkst'!$G$7:$G$2010,$D79,'LAC 102_Wkst'!$L$7:$L$2010,"13",'LAC 102_Wkst'!$N$7:$N$2010,"P5")</f>
        <v>0</v>
      </c>
      <c r="BE79" s="411">
        <f>SUMIFS('LAC 102_Wkst'!$AE$7:$AE$2010,'LAC 102_Wkst'!$E$7:$E$2010,$C79,'LAC 102_Wkst'!$G$7:$G$2010,$D79,'LAC 102_Wkst'!$L$7:$L$2010,"13",'LAC 102_Wkst'!$N$7:$N$2010,"P5")</f>
        <v>0</v>
      </c>
      <c r="BF79" s="407">
        <f t="shared" si="0"/>
        <v>0</v>
      </c>
    </row>
    <row r="80" spans="1:58" x14ac:dyDescent="0.2">
      <c r="A80" s="401">
        <v>61</v>
      </c>
      <c r="B80" s="1236"/>
      <c r="C80" s="1235"/>
      <c r="D80" s="1237"/>
      <c r="E80" s="1222">
        <f>IF(CONCATENATE(C80,D80)&gt;"6069",1,SUMIFS('LAC 102_Wkst'!$Q$7:$Q$2010,'LAC 102_Wkst'!$E$7:$E$2010,Schedule_B!$C80,'LAC 102_Wkst'!$G$7:$G$2010,Schedule_B!$D80))</f>
        <v>0</v>
      </c>
      <c r="F80" s="408">
        <f>SUMIFS('LAC 102_Wkst'!$Q$7:$Q$2010,'LAC 102_Wkst'!$E$7:$E$2010,$C80,'LAC 102_Wkst'!$G$7:$G$2010,$D80,'LAC 102_Wkst'!$L$7:$L$2010,"01",'LAC 102_Wkst'!$N$7:$N$2010,"P1")+SUMIFS('LAC 102_Wkst'!$Q$7:$Q$2010,'LAC 102_Wkst'!$E$7:$E$2010,$C80,'LAC 102_Wkst'!$G$7:$G$2010,$D80,'LAC 102_Wkst'!$L$7:$L$2010,"01",'LAC 102_Wkst'!$N$7:$N$2010,"P2")+SUMIFS('LAC 102_Wkst'!$Q$7:$Q$2010,'LAC 102_Wkst'!$E$7:$E$2010,$C80,'LAC 102_Wkst'!$G$7:$G$2010,$D80,'LAC 102_Wkst'!$L$7:$L$2010,"01",'LAC 102_Wkst'!$N$7:$N$2010,"P3")+SUMIFS('LAC 102_Wkst'!$Q$7:$Q$2010,'LAC 102_Wkst'!$E$7:$E$2010,$C80,'LAC 102_Wkst'!$G$7:$G$2010,$D80,'LAC 102_Wkst'!$L$7:$L$2010,"02",'LAC 102_Wkst'!$N$7:$N$2010,"P1")+SUMIFS('LAC 102_Wkst'!$Q$7:$Q$2010,'LAC 102_Wkst'!$E$7:$E$2010,$C80,'LAC 102_Wkst'!$G$7:$G$2010,$D80,'LAC 102_Wkst'!$L$7:$L$2010,"02",'LAC 102_Wkst'!$N$7:$N$2010,"P2")+SUMIFS('LAC 102_Wkst'!$Q$7:$Q$2010,'LAC 102_Wkst'!$E$7:$E$2010,$C80,'LAC 102_Wkst'!$G$7:$G$2010,$D80,'LAC 102_Wkst'!$L$7:$L$2010,"02",'LAC 102_Wkst'!$N$7:$N$2010,"P3")</f>
        <v>0</v>
      </c>
      <c r="G80" s="409">
        <f>SUMIFS('LAC 102_Wkst'!$AE$7:$AE$2010,'LAC 102_Wkst'!$E$7:$E$2010,$C80,'LAC 102_Wkst'!$G$7:$G$2010,$D80,'LAC 102_Wkst'!$L$7:$L$2010,"01",'LAC 102_Wkst'!$N$7:$N$2010,"P1")+SUMIFS('LAC 102_Wkst'!$AE$7:$AE$2010,'LAC 102_Wkst'!$E$7:$E$2010,$C80,'LAC 102_Wkst'!$G$7:$G$2010,$D80,'LAC 102_Wkst'!$L$7:$L$2010,"01",'LAC 102_Wkst'!$N$7:$N$2010,"P2")+SUMIFS('LAC 102_Wkst'!$AE$7:$AE$2010,'LAC 102_Wkst'!$E$7:$E$2010,$C80,'LAC 102_Wkst'!$G$7:$G$2010,$D80,'LAC 102_Wkst'!$L$7:$L$2010,"01",'LAC 102_Wkst'!$N$7:$N$2010,"P3")+SUMIFS('LAC 102_Wkst'!$AE$7:$AE$2010,'LAC 102_Wkst'!$E$7:$E$2010,$C80,'LAC 102_Wkst'!$G$7:$G$2010,$D80,'LAC 102_Wkst'!$L$7:$L$2010,"02",'LAC 102_Wkst'!$N$7:$N$2010,"P1")+SUMIFS('LAC 102_Wkst'!$AE$7:$AE$2010,'LAC 102_Wkst'!$E$7:$E$2010,$C80,'LAC 102_Wkst'!$G$7:$G$2010,$D80,'LAC 102_Wkst'!$L$7:$L$2010,"02",'LAC 102_Wkst'!$N$7:$N$2010,"P2")+SUMIFS('LAC 102_Wkst'!$AE$7:$AE$2010,'LAC 102_Wkst'!$E$7:$E$2010,$C80,'LAC 102_Wkst'!$G$7:$G$2010,$D80,'LAC 102_Wkst'!$L$7:$L$2010,"02",'LAC 102_Wkst'!$N$7:$N$2010,"P3")</f>
        <v>0</v>
      </c>
      <c r="H80" s="410">
        <f>SUMIFS('LAC 102_Wkst'!$Q$7:$Q$2010,'LAC 102_Wkst'!$E$7:$E$2010,$C80,'LAC 102_Wkst'!$G$7:$G$2010,$D80,'LAC 102_Wkst'!$L$7:$L$2010,"01",'LAC 102_Wkst'!$N$7:$N$2010,"P4")+SUMIFS('LAC 102_Wkst'!$Q$7:$Q$2010,'LAC 102_Wkst'!$E$7:$E$2010,$C80,'LAC 102_Wkst'!$G$7:$G$2010,$D80,'LAC 102_Wkst'!$L$7:$L$2010,"02",'LAC 102_Wkst'!$N$7:$N$2010,"P4")</f>
        <v>0</v>
      </c>
      <c r="I80" s="411">
        <f>SUMIFS('LAC 102_Wkst'!$AE$7:$AE$2010,'LAC 102_Wkst'!$E$7:$E$2010,$C80,'LAC 102_Wkst'!$G$7:$G$2010,$D80,'LAC 102_Wkst'!$L$7:$L$2010,"01",'LAC 102_Wkst'!$N$7:$N$2010,"P4")+SUMIFS('LAC 102_Wkst'!$AE$7:$AE$2010,'LAC 102_Wkst'!$E$7:$E$2010,$C80,'LAC 102_Wkst'!$G$7:$G$2010,$D80,'LAC 102_Wkst'!$L$7:$L$2010,"02",'LAC 102_Wkst'!$N$7:$N$2010,"P4")</f>
        <v>0</v>
      </c>
      <c r="J80" s="410">
        <f>SUMIFS('LAC 102_Wkst'!$Q$7:$Q$2010,'LAC 102_Wkst'!$E$7:$E$2010,$C80,'LAC 102_Wkst'!$G$7:$G$2010,$D80,'LAC 102_Wkst'!$L$7:$L$2010,"01",'LAC 102_Wkst'!$N$7:$N$2010,"P5")+SUMIFS('LAC 102_Wkst'!$Q$7:$Q$2010,'LAC 102_Wkst'!$E$7:$E$2010,$C80,'LAC 102_Wkst'!$G$7:$G$2010,$D80,'LAC 102_Wkst'!$L$7:$L$2010,"02",'LAC 102_Wkst'!$N$7:$N$2010,"P5")</f>
        <v>0</v>
      </c>
      <c r="K80" s="411">
        <f>SUMIFS('LAC 102_Wkst'!$AE$7:$AE$2010,'LAC 102_Wkst'!$E$7:$E$2010,$C80,'LAC 102_Wkst'!$G$7:$G$2010,$D80,'LAC 102_Wkst'!$L$7:$L$2010,"01",'LAC 102_Wkst'!$N$7:$N$2010,"P5")+SUMIFS('LAC 102_Wkst'!$AE$7:$AE$2010,'LAC 102_Wkst'!$E$7:$E$2010,$C80,'LAC 102_Wkst'!$G$7:$G$2010,$D80,'LAC 102_Wkst'!$L$7:$L$2010,"02",'LAC 102_Wkst'!$N$7:$N$2010,"P5")</f>
        <v>0</v>
      </c>
      <c r="L80" s="410">
        <f>SUMIFS('LAC 102_Wkst'!$Q$7:$Q$2010,'LAC 102_Wkst'!$E$7:$E$2010,$C80,'LAC 102_Wkst'!$G$7:$G$2010,$D80,'LAC 102_Wkst'!$L$7:$L$2010,"03",'LAC 102_Wkst'!$N$7:$N$2010,"P1")+SUMIFS('LAC 102_Wkst'!$Q$7:$Q$2010,'LAC 102_Wkst'!$E$7:$E$2010,$C80,'LAC 102_Wkst'!$G$7:$G$2010,$D80,'LAC 102_Wkst'!$L$7:$L$2010,"03",'LAC 102_Wkst'!$N$7:$N$2010,"P2")+SUMIFS('LAC 102_Wkst'!$Q$7:$Q$2010,'LAC 102_Wkst'!$E$7:$E$2010,$C80,'LAC 102_Wkst'!$G$7:$G$2010,$D80,'LAC 102_Wkst'!$L$7:$L$2010,"03",'LAC 102_Wkst'!$N$7:$N$2010,"P3")+SUMIFS('LAC 102_Wkst'!$Q$7:$Q$2010,'LAC 102_Wkst'!$E$7:$E$2010,$C80,'LAC 102_Wkst'!$G$7:$G$2010,$D80,'LAC 102_Wkst'!$L$7:$L$2010,"04",'LAC 102_Wkst'!$N$7:$N$2010,"P1")+SUMIFS('LAC 102_Wkst'!$Q$7:$Q$2010,'LAC 102_Wkst'!$E$7:$E$2010,$C80,'LAC 102_Wkst'!$G$7:$G$2010,$D80,'LAC 102_Wkst'!$L$7:$L$2010,"04",'LAC 102_Wkst'!$N$7:$N$2010,"P2")+SUMIFS('LAC 102_Wkst'!$Q$7:$Q$2010,'LAC 102_Wkst'!$E$7:$E$2010,$C80,'LAC 102_Wkst'!$G$7:$G$2010,$D80,'LAC 102_Wkst'!$L$7:$L$2010,"04",'LAC 102_Wkst'!$N$7:$N$2010,"P3")</f>
        <v>0</v>
      </c>
      <c r="M80" s="411">
        <f>SUMIFS('LAC 102_Wkst'!$AE$7:$AE$2010,'LAC 102_Wkst'!$E$7:$E$2010,$C80,'LAC 102_Wkst'!$G$7:$G$2010,$D80,'LAC 102_Wkst'!$L$7:$L$2010,"03",'LAC 102_Wkst'!$N$7:$N$2010,"P1")+SUMIFS('LAC 102_Wkst'!$AE$7:$AE$2010,'LAC 102_Wkst'!$E$7:$E$2010,$C80,'LAC 102_Wkst'!$G$7:$G$2010,$D80,'LAC 102_Wkst'!$L$7:$L$2010,"03",'LAC 102_Wkst'!$N$7:$N$2010,"P2")+SUMIFS('LAC 102_Wkst'!$AE$7:$AE$2010,'LAC 102_Wkst'!$E$7:$E$2010,$C80,'LAC 102_Wkst'!$G$7:$G$2010,$D80,'LAC 102_Wkst'!$L$7:$L$2010,"03",'LAC 102_Wkst'!$N$7:$N$2010,"P3")+SUMIFS('LAC 102_Wkst'!$AE$7:$AE$2010,'LAC 102_Wkst'!$E$7:$E$2010,$C80,'LAC 102_Wkst'!$G$7:$G$2010,$D80,'LAC 102_Wkst'!$L$7:$L$2010,"04",'LAC 102_Wkst'!$N$7:$N$2010,"P1")+SUMIFS('LAC 102_Wkst'!$AE$7:$AE$2010,'LAC 102_Wkst'!$E$7:$E$2010,$C80,'LAC 102_Wkst'!$G$7:$G$2010,$D80,'LAC 102_Wkst'!$L$7:$L$2010,"04",'LAC 102_Wkst'!$N$7:$N$2010,"P2")+SUMIFS('LAC 102_Wkst'!$AE$7:$AE$2010,'LAC 102_Wkst'!$E$7:$E$2010,$C80,'LAC 102_Wkst'!$G$7:$G$2010,$D80,'LAC 102_Wkst'!$L$7:$L$2010,"04",'LAC 102_Wkst'!$N$7:$N$2010,"P3")</f>
        <v>0</v>
      </c>
      <c r="N80" s="410">
        <f>SUMIFS('LAC 102_Wkst'!$Q$7:$Q$2010,'LAC 102_Wkst'!$E$7:$E$2010,$C80,'LAC 102_Wkst'!$G$7:$G$2010,$D80,'LAC 102_Wkst'!$L$7:$L$2010,"03",'LAC 102_Wkst'!$N$7:$N$2010,"P4")+SUMIFS('LAC 102_Wkst'!$Q$7:$Q$2010,'LAC 102_Wkst'!$E$7:$E$2010,$C80,'LAC 102_Wkst'!$G$7:$G$2010,$D80,'LAC 102_Wkst'!$L$7:$L$2010,"04",'LAC 102_Wkst'!$N$7:$N$2010,"P4")</f>
        <v>0</v>
      </c>
      <c r="O80" s="411">
        <f>SUMIFS('LAC 102_Wkst'!$AE$7:$AE$2010,'LAC 102_Wkst'!$E$7:$E$2010,$C80,'LAC 102_Wkst'!$G$7:$G$2010,$D80,'LAC 102_Wkst'!$L$7:$L$2010,"03",'LAC 102_Wkst'!$N$7:$N$2010,"P4")+SUMIFS('LAC 102_Wkst'!$AE$7:$AE$2010,'LAC 102_Wkst'!$E$7:$E$2010,$C80,'LAC 102_Wkst'!$G$7:$G$2010,$D80,'LAC 102_Wkst'!$L$7:$L$2010,"04",'LAC 102_Wkst'!$N$7:$N$2010,"P4")</f>
        <v>0</v>
      </c>
      <c r="P80" s="410">
        <f>SUMIFS('LAC 102_Wkst'!$Q$7:$Q$2010,'LAC 102_Wkst'!$E$7:$E$2010,$C80,'LAC 102_Wkst'!$G$7:$G$2010,$D80,'LAC 102_Wkst'!$L$7:$L$2010,"03",'LAC 102_Wkst'!$N$7:$N$2010,"P5")+SUMIFS('LAC 102_Wkst'!$Q$7:$Q$2010,'LAC 102_Wkst'!$E$7:$E$2010,$C80,'LAC 102_Wkst'!$G$7:$G$2010,$D80,'LAC 102_Wkst'!$L$7:$L$2010,"04",'LAC 102_Wkst'!$N$7:$N$2010,"P5")</f>
        <v>0</v>
      </c>
      <c r="Q80" s="411">
        <f>SUMIFS('LAC 102_Wkst'!$AE$7:$AE$2010,'LAC 102_Wkst'!$E$7:$E$2010,$C80,'LAC 102_Wkst'!$G$7:$G$2010,$D80,'LAC 102_Wkst'!$L$7:$L$2010,"03",'LAC 102_Wkst'!$N$7:$N$2010,"P5")+SUMIFS('LAC 102_Wkst'!$AE$7:$AE$2010,'LAC 102_Wkst'!$E$7:$E$2010,$C80,'LAC 102_Wkst'!$G$7:$G$2010,$D80,'LAC 102_Wkst'!$L$7:$L$2010,"04",'LAC 102_Wkst'!$N$7:$N$2010,"P5")</f>
        <v>0</v>
      </c>
      <c r="R80" s="412">
        <f>SUMIFS('LAC 102_Wkst'!$Q$7:$Q$2010,'LAC 102_Wkst'!$E$7:$E$2010,$C80,'LAC 102_Wkst'!$G$7:$G$2010,$D80,'LAC 102_Wkst'!$L$7:$L$2010,"05",'LAC 102_Wkst'!$N$7:$N$2010,"P1")+SUMIFS('LAC 102_Wkst'!$Q$7:$Q$2010,'LAC 102_Wkst'!$E$7:$E$2010,$C80,'LAC 102_Wkst'!$G$7:$G$2010,$D80,'LAC 102_Wkst'!$L$7:$L$2010,"06",'LAC 102_Wkst'!$N$7:$N$2010,"P1")</f>
        <v>0</v>
      </c>
      <c r="S80" s="411">
        <f>SUMIFS('LAC 102_Wkst'!$AE$7:$AE$2010,'LAC 102_Wkst'!$E$7:$E$2010,$C80,'LAC 102_Wkst'!$G$7:$G$2010,$D80,'LAC 102_Wkst'!$L$7:$L$2010,"05",'LAC 102_Wkst'!$N$7:$N$2010,"P1")+SUMIFS('LAC 102_Wkst'!$AE$7:$AE$2010,'LAC 102_Wkst'!$E$7:$E$2010,$C80,'LAC 102_Wkst'!$G$7:$G$2010,$D80,'LAC 102_Wkst'!$L$7:$L$2010,"06",'LAC 102_Wkst'!$N$7:$N$2010,"P1")</f>
        <v>0</v>
      </c>
      <c r="T80" s="410">
        <f>SUMIFS('LAC 102_Wkst'!$Q$7:$Q$2010,'LAC 102_Wkst'!$E$7:$E$2010,$C80,'LAC 102_Wkst'!$G$7:$G$2010,$D80,'LAC 102_Wkst'!$L$7:$L$2010,"05",'LAC 102_Wkst'!$N$7:$N$2010,"P2")+SUMIFS('LAC 102_Wkst'!$Q$7:$Q$2010,'LAC 102_Wkst'!$E$7:$E$2010,$C80,'LAC 102_Wkst'!$G$7:$G$2010,$D80,'LAC 102_Wkst'!$L$7:$L$2010,"05",'LAC 102_Wkst'!$N$7:$N$2010,"P3")+SUMIFS('LAC 102_Wkst'!$Q$7:$Q$2010,'LAC 102_Wkst'!$E$7:$E$2010,$C80,'LAC 102_Wkst'!$G$7:$G$2010,$D80,'LAC 102_Wkst'!$L$7:$L$2010,"06",'LAC 102_Wkst'!$N$7:$N$2010,"P2")+SUMIFS('LAC 102_Wkst'!$Q$7:$Q$2010,'LAC 102_Wkst'!$E$7:$E$2010,$C80,'LAC 102_Wkst'!$G$7:$G$2010,$D80,'LAC 102_Wkst'!$L$7:$L$2010,"06",'LAC 102_Wkst'!$N$7:$N$2010,"P3")</f>
        <v>0</v>
      </c>
      <c r="U80" s="411">
        <f>SUMIFS('LAC 102_Wkst'!$AE$7:$AE$2010,'LAC 102_Wkst'!$E$7:$E$2010,$C80,'LAC 102_Wkst'!$G$7:$G$2010,$D80,'LAC 102_Wkst'!$L$7:$L$2010,"05",'LAC 102_Wkst'!$N$7:$N$2010,"P2")+SUMIFS('LAC 102_Wkst'!$AE$7:$AE$2010,'LAC 102_Wkst'!$E$7:$E$2010,$C80,'LAC 102_Wkst'!$G$7:$G$2010,$D80,'LAC 102_Wkst'!$L$7:$L$2010,"06",'LAC 102_Wkst'!$N$7:$N$2010,"P3")+SUMIFS('LAC 102_Wkst'!$AE$7:$AE$2010,'LAC 102_Wkst'!$E$7:$E$2010,$C80,'LAC 102_Wkst'!$G$7:$G$2010,$D80,'LAC 102_Wkst'!$L$7:$L$2010,"05",'LAC 102_Wkst'!$N$7:$N$2010,"P2")+SUMIFS('LAC 102_Wkst'!$AE$7:$AE$2010,'LAC 102_Wkst'!$E$7:$E$2010,$C80,'LAC 102_Wkst'!$G$7:$G$2010,$D80,'LAC 102_Wkst'!$L$7:$L$2010,"06",'LAC 102_Wkst'!$N$7:$N$2010,"P3")</f>
        <v>0</v>
      </c>
      <c r="V80" s="410">
        <f>SUMIFS('LAC 102_Wkst'!$Q$7:$Q$2010,'LAC 102_Wkst'!$E$7:$E$2010,$C80,'LAC 102_Wkst'!$G$7:$G$2010,$D80,'LAC 102_Wkst'!$L$7:$L$2010,"05",'LAC 102_Wkst'!$N$7:$N$2010,"P4")+SUMIFS('LAC 102_Wkst'!$Q$7:$Q$2010,'LAC 102_Wkst'!$E$7:$E$2010,$C80,'LAC 102_Wkst'!$G$7:$G$2010,$D80,'LAC 102_Wkst'!$L$7:$L$2010,"06",'LAC 102_Wkst'!$N$7:$N$2010,"P4")</f>
        <v>0</v>
      </c>
      <c r="W80" s="411">
        <f>SUMIFS('LAC 102_Wkst'!$AE$7:$AE$2010,'LAC 102_Wkst'!$E$7:$E$2010,$C80,'LAC 102_Wkst'!$G$7:$G$2010,$D80,'LAC 102_Wkst'!$L$7:$L$2010,"05",'LAC 102_Wkst'!$N$7:$N$2010,"P4")+SUMIFS('LAC 102_Wkst'!$AE$7:$AE$2010,'LAC 102_Wkst'!$E$7:$E$2010,$C80,'LAC 102_Wkst'!$G$7:$G$2010,$D80,'LAC 102_Wkst'!$L$7:$L$2010,"06",'LAC 102_Wkst'!$N$7:$N$2010,"P4")</f>
        <v>0</v>
      </c>
      <c r="X80" s="410">
        <f>SUMIFS('LAC 102_Wkst'!$Q$7:$Q$2010,'LAC 102_Wkst'!$E$7:$E$2010,$C80,'LAC 102_Wkst'!$G$7:$G$2010,$D80,'LAC 102_Wkst'!$L$7:$L$2010,"05",'LAC 102_Wkst'!$N$7:$N$2010,"P5")+SUMIFS('LAC 102_Wkst'!$Q$7:$Q$2010,'LAC 102_Wkst'!$E$7:$E$2010,$C80,'LAC 102_Wkst'!$G$7:$G$2010,$D80,'LAC 102_Wkst'!$L$7:$L$2010,"06",'LAC 102_Wkst'!$N$7:$N$2010,"P5")</f>
        <v>0</v>
      </c>
      <c r="Y80" s="411">
        <f>SUMIFS('LAC 102_Wkst'!$AE$7:$AE$2010,'LAC 102_Wkst'!$E$7:$E$2010,$C80,'LAC 102_Wkst'!$G$7:$G$2010,$D80,'LAC 102_Wkst'!$L$7:$L$2010,"05",'LAC 102_Wkst'!$N$7:$N$2010,"P5")+SUMIFS('LAC 102_Wkst'!$AE$7:$AE$2010,'LAC 102_Wkst'!$E$7:$E$2010,$C80,'LAC 102_Wkst'!$G$7:$G$2010,$D80,'LAC 102_Wkst'!$L$7:$L$2010,"06",'LAC 102_Wkst'!$N$7:$N$2010,"P5")</f>
        <v>0</v>
      </c>
      <c r="Z80" s="410">
        <f>SUMIFS('LAC 102_Wkst'!$Q$7:$Q$2010,'LAC 102_Wkst'!$E$7:$E$2010,$C80,'LAC 102_Wkst'!$G$7:$G$2010,$D80,'LAC 102_Wkst'!$L$7:$L$2010,"07",'LAC 102_Wkst'!$N$7:$N$2010,"P1")+SUMIFS('LAC 102_Wkst'!$Q$7:$Q$2010,'LAC 102_Wkst'!$E$7:$E$2010,$C80,'LAC 102_Wkst'!$G$7:$G$2010,$D80,'LAC 102_Wkst'!$L$7:$L$2010,"07",'LAC 102_Wkst'!$N$7:$N$2010,"P2")+SUMIFS('LAC 102_Wkst'!$Q$7:$Q$2010,'LAC 102_Wkst'!$E$7:$E$2010,$C80,'LAC 102_Wkst'!$G$7:$G$2010,$D80,'LAC 102_Wkst'!$L$7:$L$2010,"07",'LAC 102_Wkst'!$N$7:$N$2010,"P3")</f>
        <v>0</v>
      </c>
      <c r="AA80" s="411">
        <f>SUMIFS('LAC 102_Wkst'!$AE$7:$AE$2010,'LAC 102_Wkst'!$E$7:$E$2010,$C80,'LAC 102_Wkst'!$G$7:$G$2010,$D80,'LAC 102_Wkst'!$L$7:$L$2010,"07",'LAC 102_Wkst'!$N$7:$N$2010,"P1")+SUMIFS('LAC 102_Wkst'!$AE$7:$AE$2010,'LAC 102_Wkst'!$E$7:$E$2010,$C80,'LAC 102_Wkst'!$G$7:$G$2010,$D80,'LAC 102_Wkst'!$L$7:$L$2010,"07",'LAC 102_Wkst'!$N$7:$N$2010,"P2")+SUMIFS('LAC 102_Wkst'!$AE$7:$AE$2010,'LAC 102_Wkst'!$E$7:$E$2010,$C80,'LAC 102_Wkst'!$G$7:$G$2010,$D80,'LAC 102_Wkst'!$L$7:$L$2010,"07",'LAC 102_Wkst'!$N$7:$N$2010,"P3")</f>
        <v>0</v>
      </c>
      <c r="AB80" s="410">
        <f>SUMIFS('LAC 102_Wkst'!$Q$7:$Q$2010,'LAC 102_Wkst'!$E$7:$E$2010,$C80,'LAC 102_Wkst'!$G$7:$G$2010,$D80,'LAC 102_Wkst'!$L$7:$L$2010,"07",'LAC 102_Wkst'!$N$7:$N$2010,"P4")</f>
        <v>0</v>
      </c>
      <c r="AC80" s="411">
        <f>SUMIFS('LAC 102_Wkst'!$AE$7:$AE$2010,'LAC 102_Wkst'!$E$7:$E$2010,$C80,'LAC 102_Wkst'!$G$7:$G$2010,$D80,'LAC 102_Wkst'!$L$7:$L$2010,"07",'LAC 102_Wkst'!$N$7:$N$2010,"P4")</f>
        <v>0</v>
      </c>
      <c r="AD80" s="410">
        <f>SUMIFS('LAC 102_Wkst'!$Q$7:$Q$2010,'LAC 102_Wkst'!$E$7:$E$2010,$C80,'LAC 102_Wkst'!$G$7:$G$2010,$D80,'LAC 102_Wkst'!$L$7:$L$2010,"07",'LAC 102_Wkst'!$N$7:$N$2010,"P5")</f>
        <v>0</v>
      </c>
      <c r="AE80" s="411">
        <f>SUMIFS('LAC 102_Wkst'!$AE$7:$AE$2010,'LAC 102_Wkst'!$E$7:$E$2010,$C80,'LAC 102_Wkst'!$G$7:$G$2010,$D80,'LAC 102_Wkst'!$L$7:$L$2010,"07",'LAC 102_Wkst'!$N$7:$N$2010,"P5")</f>
        <v>0</v>
      </c>
      <c r="AF80" s="410">
        <f>SUMIFS('LAC 102_Wkst'!$Q$7:$Q$2010,'LAC 102_Wkst'!$E$7:$E$2010,$C80,'LAC 102_Wkst'!$G$7:$G$2010,$D80,'LAC 102_Wkst'!$L$7:$L$2010,"08",'LAC 102_Wkst'!$N$7:$N$2010,"P1")+SUMIFS('LAC 102_Wkst'!$Q$7:$Q$2010,'LAC 102_Wkst'!$E$7:$E$2010,$C80,'LAC 102_Wkst'!$G$7:$G$2010,$D80,'LAC 102_Wkst'!$L$7:$L$2010,"08",'LAC 102_Wkst'!$N$7:$N$2010,"P2")+SUMIFS('LAC 102_Wkst'!$Q$7:$Q$2010,'LAC 102_Wkst'!$E$7:$E$2010,$C80,'LAC 102_Wkst'!$G$7:$G$2010,$D80,'LAC 102_Wkst'!$L$7:$L$2010,"08",'LAC 102_Wkst'!$N$7:$N$2010,"P3")</f>
        <v>0</v>
      </c>
      <c r="AG80" s="411">
        <f>SUMIFS('LAC 102_Wkst'!$AE$7:$AE$2010,'LAC 102_Wkst'!$E$7:$E$2010,$C80,'LAC 102_Wkst'!$G$7:$G$2010,$D80,'LAC 102_Wkst'!$L$7:$L$2010,"08",'LAC 102_Wkst'!$N$7:$N$2010,"P1")+SUMIFS('LAC 102_Wkst'!$AE$7:$AE$2010,'LAC 102_Wkst'!$E$7:$E$2010,$C80,'LAC 102_Wkst'!$G$7:$G$2010,$D80,'LAC 102_Wkst'!$L$7:$L$2010,"08",'LAC 102_Wkst'!$N$7:$N$2010,"P2")+SUMIFS('LAC 102_Wkst'!$AE$7:$AE$2010,'LAC 102_Wkst'!$E$7:$E$2010,$C80,'LAC 102_Wkst'!$G$7:$G$2010,$D80,'LAC 102_Wkst'!$L$7:$L$2010,"08",'LAC 102_Wkst'!$N$7:$N$2010,"P3")</f>
        <v>0</v>
      </c>
      <c r="AH80" s="410">
        <f>SUMIFS('LAC 102_Wkst'!$Q$7:$Q$2010,'LAC 102_Wkst'!$E$7:$E$2010,$C80,'LAC 102_Wkst'!$G$7:$G$2010,$D80,'LAC 102_Wkst'!$L$7:$L$2010,"08",'LAC 102_Wkst'!$N$7:$N$2010,"P4")</f>
        <v>0</v>
      </c>
      <c r="AI80" s="411">
        <f>SUMIFS('LAC 102_Wkst'!$AE$7:$AE$2010,'LAC 102_Wkst'!$E$7:$E$2010,$C80,'LAC 102_Wkst'!$G$7:$G$2010,$D80,'LAC 102_Wkst'!$L$7:$L$2010,"08",'LAC 102_Wkst'!$N$7:$N$2010,"P4")</f>
        <v>0</v>
      </c>
      <c r="AJ80" s="410">
        <f>SUMIFS('LAC 102_Wkst'!$Q$7:$Q$2010,'LAC 102_Wkst'!$E$7:$E$2010,$C80,'LAC 102_Wkst'!$G$7:$G$2010,$D80,'LAC 102_Wkst'!$L$7:$L$2010,"08",'LAC 102_Wkst'!$N$7:$N$2010,"P5")</f>
        <v>0</v>
      </c>
      <c r="AK80" s="411">
        <f>SUMIFS('LAC 102_Wkst'!$AE$7:$AE$2010,'LAC 102_Wkst'!$E$7:$E$2010,$C80,'LAC 102_Wkst'!$G$7:$G$2010,$D80,'LAC 102_Wkst'!$L$7:$L$2010,"08",'LAC 102_Wkst'!$N$7:$N$2010,"P5")</f>
        <v>0</v>
      </c>
      <c r="AL80" s="410">
        <f>SUMIFS('LAC 102_Wkst'!$Q$7:$Q$2010,'LAC 102_Wkst'!$E$7:$E$2010,$C80,'LAC 102_Wkst'!$G$7:$G$2010,$D80,'LAC 102_Wkst'!$L$7:$L$2010,"09",'LAC 102_Wkst'!$N$7:$N$2010,"P1")+SUMIFS('LAC 102_Wkst'!$Q$7:$Q$2010,'LAC 102_Wkst'!$E$7:$E$2010,$C80,'LAC 102_Wkst'!$G$7:$G$2010,$D80,'LAC 102_Wkst'!$L$7:$L$2010,"09",'LAC 102_Wkst'!$N$7:$N$2010,"P2")+SUMIFS('LAC 102_Wkst'!$Q$7:$Q$2010,'LAC 102_Wkst'!$E$7:$E$2010,$C80,'LAC 102_Wkst'!$G$7:$G$2010,$D80,'LAC 102_Wkst'!$L$7:$L$2010,"09",'LAC 102_Wkst'!$N$7:$N$2010,"P3")+SUMIFS('LAC 102_Wkst'!$Q$7:$Q$2010,'LAC 102_Wkst'!$E$7:$E$2010,$C80,'LAC 102_Wkst'!$G$7:$G$2010,$D80,'LAC 102_Wkst'!$L$7:$L$2010,"09",'LAC 102_Wkst'!$N$7:$N$2010,"P4")</f>
        <v>0</v>
      </c>
      <c r="AM80" s="411">
        <f>SUMIFS('LAC 102_Wkst'!$AE$7:$AE$2010,'LAC 102_Wkst'!$E$7:$E$2010,$C80,'LAC 102_Wkst'!$G$7:$G$2010,$D80,'LAC 102_Wkst'!$L$7:$L$2010,"09",'LAC 102_Wkst'!$N$7:$N$2010,"P1")+SUMIFS('LAC 102_Wkst'!$AE$7:$AE$2010,'LAC 102_Wkst'!$E$7:$E$2010,$C80,'LAC 102_Wkst'!$G$7:$G$2010,$D80,'LAC 102_Wkst'!$L$7:$L$2010,"09",'LAC 102_Wkst'!$N$7:$N$2010,"P2")+SUMIFS('LAC 102_Wkst'!$AE$7:$AE$2010,'LAC 102_Wkst'!$E$7:$E$2010,$C80,'LAC 102_Wkst'!$G$7:$G$2010,$D80,'LAC 102_Wkst'!$L$7:$L$2010,"09",'LAC 102_Wkst'!$N$7:$N$2010,"P3")+SUMIFS('LAC 102_Wkst'!$AE$7:$AE$2010,'LAC 102_Wkst'!$E$7:$E$2010,$C80,'LAC 102_Wkst'!$G$7:$G$2010,$D80,'LAC 102_Wkst'!$L$7:$L$2010,"09",'LAC 102_Wkst'!$N$7:$N$2010,"P4")</f>
        <v>0</v>
      </c>
      <c r="AN80" s="410">
        <f>SUMIFS('LAC 102_Wkst'!$Q$7:$Q$2010,'LAC 102_Wkst'!$E$7:$E$2010,$C80,'LAC 102_Wkst'!$G$7:$G$2010,$D80,'LAC 102_Wkst'!$L$7:$L$2010,"09",'LAC 102_Wkst'!$N$7:$N$2010,"P5")</f>
        <v>0</v>
      </c>
      <c r="AO80" s="411">
        <f>SUMIFS('LAC 102_Wkst'!$AE$7:$AE$2010,'LAC 102_Wkst'!$E$7:$E$2010,$C80,'LAC 102_Wkst'!$G$7:$G$2010,$D80,'LAC 102_Wkst'!$L$7:$L$2010,"09",'LAC 102_Wkst'!$N$7:$N$2010,"P5")</f>
        <v>0</v>
      </c>
      <c r="AP80" s="410">
        <f>SUMIFS('LAC 102_Wkst'!$Q$7:$Q$2010,'LAC 102_Wkst'!$E$7:$E$2010,$C80,'LAC 102_Wkst'!$G$7:$G$2010,$D80,'LAC 102_Wkst'!$L$7:$L$2010,"10",'LAC 102_Wkst'!$N$7:$N$2010,"P1")+SUMIFS('LAC 102_Wkst'!$Q$7:$Q$2010,'LAC 102_Wkst'!$E$7:$E$2010,$C80,'LAC 102_Wkst'!$G$7:$G$2010,$D80,'LAC 102_Wkst'!$L$7:$L$2010,"10",'LAC 102_Wkst'!$N$7:$N$2010,"P2")+SUMIFS('LAC 102_Wkst'!$Q$7:$Q$2010,'LAC 102_Wkst'!$E$7:$E$2010,$C80,'LAC 102_Wkst'!$G$7:$G$2010,$D80,'LAC 102_Wkst'!$L$7:$L$2010,"10",'LAC 102_Wkst'!$N$7:$N$2010,"P3")+SUMIFS('LAC 102_Wkst'!$Q$7:$Q$2010,'LAC 102_Wkst'!$E$7:$E$2010,$C80,'LAC 102_Wkst'!$G$7:$G$2010,$D80,'LAC 102_Wkst'!$L$7:$L$2010,"10",'LAC 102_Wkst'!$N$7:$N$2010,"P4")</f>
        <v>0</v>
      </c>
      <c r="AQ80" s="411">
        <f>SUMIFS('LAC 102_Wkst'!$AE$7:$AE$2010,'LAC 102_Wkst'!$E$7:$E$2010,$C80,'LAC 102_Wkst'!$G$7:$G$2010,$D80,'LAC 102_Wkst'!$L$7:$L$2010,"10",'LAC 102_Wkst'!$N$7:$N$2010,"P1")+SUMIFS('LAC 102_Wkst'!$AE$7:$AE$2010,'LAC 102_Wkst'!$E$7:$E$2010,$C80,'LAC 102_Wkst'!$G$7:$G$2010,$D80,'LAC 102_Wkst'!$L$7:$L$2010,"10",'LAC 102_Wkst'!$N$7:$N$2010,"P2")+SUMIFS('LAC 102_Wkst'!$AE$7:$AE$2010,'LAC 102_Wkst'!$E$7:$E$2010,$C80,'LAC 102_Wkst'!$G$7:$G$2010,$D80,'LAC 102_Wkst'!$L$7:$L$2010,"10",'LAC 102_Wkst'!$N$7:$N$2010,"P3")+SUMIFS('LAC 102_Wkst'!$AE$7:$AE$2010,'LAC 102_Wkst'!$E$7:$E$2010,$C80,'LAC 102_Wkst'!$G$7:$G$2010,$D80,'LAC 102_Wkst'!$L$7:$L$2010,"10",'LAC 102_Wkst'!$N$7:$N$2010,"P4")</f>
        <v>0</v>
      </c>
      <c r="AR80" s="410">
        <f>SUMIFS('LAC 102_Wkst'!$Q$7:$Q$2010,'LAC 102_Wkst'!$E$7:$E$2010,$C80,'LAC 102_Wkst'!$G$7:$G$2010,$D80,'LAC 102_Wkst'!$L$7:$L$2010,"10",'LAC 102_Wkst'!$N$7:$N$2010,"P5")</f>
        <v>0</v>
      </c>
      <c r="AS80" s="411">
        <f>SUMIFS('LAC 102_Wkst'!$AE$7:$AE$2010,'LAC 102_Wkst'!$E$7:$E$2010,$C80,'LAC 102_Wkst'!$G$7:$G$2010,$D80,'LAC 102_Wkst'!$L$7:$L$2010,"10",'LAC 102_Wkst'!$N$7:$N$2010,"P5")</f>
        <v>0</v>
      </c>
      <c r="AT80" s="410">
        <f>SUMIFS('LAC 102_Wkst'!$Q$7:$Q$2010,'LAC 102_Wkst'!$E$7:$E$2010,$C80,'LAC 102_Wkst'!$G$7:$G$2010,$D80,'LAC 102_Wkst'!$L$7:$L$2010,"11",'LAC 102_Wkst'!$N$7:$N$2010,"P1")+SUMIFS('LAC 102_Wkst'!$Q$7:$Q$2010,'LAC 102_Wkst'!$E$7:$E$2010,$C80,'LAC 102_Wkst'!$G$7:$G$2010,$D80,'LAC 102_Wkst'!$L$7:$L$2010,"12",'LAC 102_Wkst'!$N$7:$N$2010,"P1")</f>
        <v>0</v>
      </c>
      <c r="AU80" s="411">
        <f>SUMIFS('LAC 102_Wkst'!$AE$7:$AE$2010,'LAC 102_Wkst'!$E$7:$E$2010,$C80,'LAC 102_Wkst'!$G$7:$G$2010,$D80,'LAC 102_Wkst'!$L$7:$L$2010,"11",'LAC 102_Wkst'!$N$7:$N$2010,"P1")+SUMIFS('LAC 102_Wkst'!$AE$7:$AE$2010,'LAC 102_Wkst'!$E$7:$E$2010,$C80,'LAC 102_Wkst'!$G$7:$G$2010,$D80,'LAC 102_Wkst'!$L$7:$L$2010,"12",'LAC 102_Wkst'!$N$7:$N$2010,"P1")</f>
        <v>0</v>
      </c>
      <c r="AV80" s="410">
        <f>SUMIFS('LAC 102_Wkst'!$Q$7:$Q$2010,'LAC 102_Wkst'!$E$7:$E$2010,$C80,'LAC 102_Wkst'!$G$7:$G$2010,$D80,'LAC 102_Wkst'!$L$7:$L$2010,"11",'LAC 102_Wkst'!$N$7:$N$2010,"P2")+SUMIFS('LAC 102_Wkst'!$Q$7:$Q$2010,'LAC 102_Wkst'!$E$7:$E$2010,$C80,'LAC 102_Wkst'!$G$7:$G$2010,$D80,'LAC 102_Wkst'!$L$7:$L$2010,"12",'LAC 102_Wkst'!$N$7:$N$2010,"P3")+SUMIFS('LAC 102_Wkst'!$Q$7:$Q$2010,'LAC 102_Wkst'!$E$7:$E$2010,$C80,'LAC 102_Wkst'!$G$7:$G$2010,$D80,'LAC 102_Wkst'!$L$7:$L$2010,"11",'LAC 102_Wkst'!$N$7:$N$2010,"P2")+SUMIFS('LAC 102_Wkst'!$Q$7:$Q$2010,'LAC 102_Wkst'!$E$7:$E$2010,$C80,'LAC 102_Wkst'!$G$7:$G$2010,$D80,'LAC 102_Wkst'!$L$7:$L$2010,"12",'LAC 102_Wkst'!$N$7:$N$2010,"P3")</f>
        <v>0</v>
      </c>
      <c r="AW80" s="411">
        <f>SUMIFS('LAC 102_Wkst'!$AE$7:$AE$2010,'LAC 102_Wkst'!$E$7:$E$2010,$C80,'LAC 102_Wkst'!$G$7:$G$2010,$D80,'LAC 102_Wkst'!$L$7:$L$2010,"11",'LAC 102_Wkst'!$N$7:$N$2010,"P2")+SUMIFS('LAC 102_Wkst'!$AE$7:$AE$2010,'LAC 102_Wkst'!$E$7:$E$2010,$C80,'LAC 102_Wkst'!$G$7:$G$2010,$D80,'LAC 102_Wkst'!$L$7:$L$2010,"12",'LAC 102_Wkst'!$N$7:$N$2010,"P3")+SUMIFS('LAC 102_Wkst'!$AE$7:$AE$2010,'LAC 102_Wkst'!$E$7:$E$2010,$C80,'LAC 102_Wkst'!$G$7:$G$2010,$D80,'LAC 102_Wkst'!$L$7:$L$2010,"11",'LAC 102_Wkst'!$N$7:$N$2010,"P2")+SUMIFS('LAC 102_Wkst'!$AE$7:$AE$2010,'LAC 102_Wkst'!$E$7:$E$2010,$C80,'LAC 102_Wkst'!$G$7:$G$2010,$D80,'LAC 102_Wkst'!$L$7:$L$2010,"12",'LAC 102_Wkst'!$N$7:$N$2010,"P3")</f>
        <v>0</v>
      </c>
      <c r="AX80" s="410">
        <f>SUMIFS('LAC 102_Wkst'!$Q$7:$Q$2010,'LAC 102_Wkst'!$E$7:$E$2010,$C80,'LAC 102_Wkst'!$G$7:$G$2010,$D80,'LAC 102_Wkst'!$L$7:$L$2010,"11",'LAC 102_Wkst'!$N$7:$N$2010,"P4")+SUMIFS('LAC 102_Wkst'!$Q$7:$Q$2010,'LAC 102_Wkst'!$E$7:$E$2010,$C80,'LAC 102_Wkst'!$G$7:$G$2010,$D80,'LAC 102_Wkst'!$L$7:$L$2010,"12",'LAC 102_Wkst'!$N$7:$N$2010,"P4")</f>
        <v>0</v>
      </c>
      <c r="AY80" s="411">
        <f>SUMIFS('LAC 102_Wkst'!$AE$7:$AE$2010,'LAC 102_Wkst'!$E$7:$E$2010,$C80,'LAC 102_Wkst'!$G$7:$G$2010,$D80,'LAC 102_Wkst'!$L$7:$L$2010,"11",'LAC 102_Wkst'!$N$7:$N$2010,"P4")+SUMIFS('LAC 102_Wkst'!$AE$7:$AE$2010,'LAC 102_Wkst'!$E$7:$E$2010,$C80,'LAC 102_Wkst'!$G$7:$G$2010,$D80,'LAC 102_Wkst'!$L$7:$L$2010,"12",'LAC 102_Wkst'!$N$7:$N$2010,"P4")</f>
        <v>0</v>
      </c>
      <c r="AZ80" s="410">
        <f>SUMIFS('LAC 102_Wkst'!$Q$7:$Q$2010,'LAC 102_Wkst'!$E$7:$E$2010,$C80,'LAC 102_Wkst'!$G$7:$G$2010,$D80,'LAC 102_Wkst'!$L$7:$L$2010,"11",'LAC 102_Wkst'!$N$7:$N$2010,"P5")+SUMIFS('LAC 102_Wkst'!$Q$7:$Q$2010,'LAC 102_Wkst'!$E$7:$E$2010,$C80,'LAC 102_Wkst'!$G$7:$G$2010,$D80,'LAC 102_Wkst'!$L$7:$L$2010,"12",'LAC 102_Wkst'!$N$7:$N$2010,"P5")</f>
        <v>0</v>
      </c>
      <c r="BA80" s="411">
        <f>SUMIFS('LAC 102_Wkst'!$AE$7:$AE$2010,'LAC 102_Wkst'!$E$7:$E$2010,$C80,'LAC 102_Wkst'!$G$7:$G$2010,$D80,'LAC 102_Wkst'!$L$7:$L$2010,"11",'LAC 102_Wkst'!$N$7:$N$2010,"P5")+SUMIFS('LAC 102_Wkst'!$AE$7:$AE$2010,'LAC 102_Wkst'!$E$7:$E$2010,$C80,'LAC 102_Wkst'!$G$7:$G$2010,$D80,'LAC 102_Wkst'!$L$7:$L$2010,"12",'LAC 102_Wkst'!$N$7:$N$2010,"P5")</f>
        <v>0</v>
      </c>
      <c r="BB80" s="410">
        <f>SUMIFS('LAC 102_Wkst'!$Q$7:$Q$2010,'LAC 102_Wkst'!$E$7:$E$2010,$C80,'LAC 102_Wkst'!$G$7:$G$2010,$D80,'LAC 102_Wkst'!$L$7:$L$2010,"13",'LAC 102_Wkst'!$N$7:$N$2010,"P1")+SUMIFS('LAC 102_Wkst'!$Q$7:$Q$2010,'LAC 102_Wkst'!$E$7:$E$2010,$C80,'LAC 102_Wkst'!$G$7:$G$2010,$D80,'LAC 102_Wkst'!$L$7:$L$2010,"13",'LAC 102_Wkst'!$N$7:$N$2010,"P2")+SUMIFS('LAC 102_Wkst'!$Q$7:$Q$2010,'LAC 102_Wkst'!$E$7:$E$2010,$C80,'LAC 102_Wkst'!$G$7:$G$2010,$D80,'LAC 102_Wkst'!$L$7:$L$2010,"13",'LAC 102_Wkst'!$N$7:$N$2010,"P3")+SUMIFS('LAC 102_Wkst'!$Q$7:$Q$2010,'LAC 102_Wkst'!$E$7:$E$2010,$C80,'LAC 102_Wkst'!$G$7:$G$2010,$D80,'LAC 102_Wkst'!$L$7:$L$2010,"13",'LAC 102_Wkst'!$N$7:$N$2010,"P4")</f>
        <v>0</v>
      </c>
      <c r="BC80" s="411">
        <f>SUMIFS('LAC 102_Wkst'!$AE$7:$AE$2010,'LAC 102_Wkst'!$E$7:$E$2010,$C80,'LAC 102_Wkst'!$G$7:$G$2010,$D80,'LAC 102_Wkst'!$L$7:$L$2010,"13",'LAC 102_Wkst'!$N$7:$N$2010,"P1")+SUMIFS('LAC 102_Wkst'!$AE$7:$AE$2010,'LAC 102_Wkst'!$E$7:$E$2010,$C80,'LAC 102_Wkst'!$G$7:$G$2010,$D80,'LAC 102_Wkst'!$L$7:$L$2010,"13",'LAC 102_Wkst'!$N$7:$N$2010,"P2")+SUMIFS('LAC 102_Wkst'!$AE$7:$AE$2010,'LAC 102_Wkst'!$E$7:$E$2010,$C80,'LAC 102_Wkst'!$G$7:$G$2010,$D80,'LAC 102_Wkst'!$L$7:$L$2010,"13",'LAC 102_Wkst'!$N$7:$N$2010,"P3")+SUMIFS('LAC 102_Wkst'!$AE$7:$AE$2010,'LAC 102_Wkst'!$E$7:$E$2010,$C80,'LAC 102_Wkst'!$G$7:$G$2010,$D80,'LAC 102_Wkst'!$L$7:$L$2010,"13",'LAC 102_Wkst'!$N$7:$N$2010,"P4")</f>
        <v>0</v>
      </c>
      <c r="BD80" s="410">
        <f>SUMIFS('LAC 102_Wkst'!$Q$7:$Q$2010,'LAC 102_Wkst'!$E$7:$E$2010,$C80,'LAC 102_Wkst'!$G$7:$G$2010,$D80,'LAC 102_Wkst'!$L$7:$L$2010,"13",'LAC 102_Wkst'!$N$7:$N$2010,"P5")</f>
        <v>0</v>
      </c>
      <c r="BE80" s="411">
        <f>SUMIFS('LAC 102_Wkst'!$AE$7:$AE$2010,'LAC 102_Wkst'!$E$7:$E$2010,$C80,'LAC 102_Wkst'!$G$7:$G$2010,$D80,'LAC 102_Wkst'!$L$7:$L$2010,"13",'LAC 102_Wkst'!$N$7:$N$2010,"P5")</f>
        <v>0</v>
      </c>
      <c r="BF80" s="407">
        <f t="shared" si="0"/>
        <v>0</v>
      </c>
    </row>
    <row r="81" spans="1:58" x14ac:dyDescent="0.2">
      <c r="A81" s="401">
        <v>62</v>
      </c>
      <c r="B81" s="1236"/>
      <c r="C81" s="1235"/>
      <c r="D81" s="1237"/>
      <c r="E81" s="1222">
        <f>IF(CONCATENATE(C81,D81)&gt;"6069",1,SUMIFS('LAC 102_Wkst'!$Q$7:$Q$2010,'LAC 102_Wkst'!$E$7:$E$2010,Schedule_B!$C81,'LAC 102_Wkst'!$G$7:$G$2010,Schedule_B!$D81))</f>
        <v>0</v>
      </c>
      <c r="F81" s="408">
        <f>SUMIFS('LAC 102_Wkst'!$Q$7:$Q$2010,'LAC 102_Wkst'!$E$7:$E$2010,$C81,'LAC 102_Wkst'!$G$7:$G$2010,$D81,'LAC 102_Wkst'!$L$7:$L$2010,"01",'LAC 102_Wkst'!$N$7:$N$2010,"P1")+SUMIFS('LAC 102_Wkst'!$Q$7:$Q$2010,'LAC 102_Wkst'!$E$7:$E$2010,$C81,'LAC 102_Wkst'!$G$7:$G$2010,$D81,'LAC 102_Wkst'!$L$7:$L$2010,"01",'LAC 102_Wkst'!$N$7:$N$2010,"P2")+SUMIFS('LAC 102_Wkst'!$Q$7:$Q$2010,'LAC 102_Wkst'!$E$7:$E$2010,$C81,'LAC 102_Wkst'!$G$7:$G$2010,$D81,'LAC 102_Wkst'!$L$7:$L$2010,"01",'LAC 102_Wkst'!$N$7:$N$2010,"P3")+SUMIFS('LAC 102_Wkst'!$Q$7:$Q$2010,'LAC 102_Wkst'!$E$7:$E$2010,$C81,'LAC 102_Wkst'!$G$7:$G$2010,$D81,'LAC 102_Wkst'!$L$7:$L$2010,"02",'LAC 102_Wkst'!$N$7:$N$2010,"P1")+SUMIFS('LAC 102_Wkst'!$Q$7:$Q$2010,'LAC 102_Wkst'!$E$7:$E$2010,$C81,'LAC 102_Wkst'!$G$7:$G$2010,$D81,'LAC 102_Wkst'!$L$7:$L$2010,"02",'LAC 102_Wkst'!$N$7:$N$2010,"P2")+SUMIFS('LAC 102_Wkst'!$Q$7:$Q$2010,'LAC 102_Wkst'!$E$7:$E$2010,$C81,'LAC 102_Wkst'!$G$7:$G$2010,$D81,'LAC 102_Wkst'!$L$7:$L$2010,"02",'LAC 102_Wkst'!$N$7:$N$2010,"P3")</f>
        <v>0</v>
      </c>
      <c r="G81" s="409">
        <f>SUMIFS('LAC 102_Wkst'!$AE$7:$AE$2010,'LAC 102_Wkst'!$E$7:$E$2010,$C81,'LAC 102_Wkst'!$G$7:$G$2010,$D81,'LAC 102_Wkst'!$L$7:$L$2010,"01",'LAC 102_Wkst'!$N$7:$N$2010,"P1")+SUMIFS('LAC 102_Wkst'!$AE$7:$AE$2010,'LAC 102_Wkst'!$E$7:$E$2010,$C81,'LAC 102_Wkst'!$G$7:$G$2010,$D81,'LAC 102_Wkst'!$L$7:$L$2010,"01",'LAC 102_Wkst'!$N$7:$N$2010,"P2")+SUMIFS('LAC 102_Wkst'!$AE$7:$AE$2010,'LAC 102_Wkst'!$E$7:$E$2010,$C81,'LAC 102_Wkst'!$G$7:$G$2010,$D81,'LAC 102_Wkst'!$L$7:$L$2010,"01",'LAC 102_Wkst'!$N$7:$N$2010,"P3")+SUMIFS('LAC 102_Wkst'!$AE$7:$AE$2010,'LAC 102_Wkst'!$E$7:$E$2010,$C81,'LAC 102_Wkst'!$G$7:$G$2010,$D81,'LAC 102_Wkst'!$L$7:$L$2010,"02",'LAC 102_Wkst'!$N$7:$N$2010,"P1")+SUMIFS('LAC 102_Wkst'!$AE$7:$AE$2010,'LAC 102_Wkst'!$E$7:$E$2010,$C81,'LAC 102_Wkst'!$G$7:$G$2010,$D81,'LAC 102_Wkst'!$L$7:$L$2010,"02",'LAC 102_Wkst'!$N$7:$N$2010,"P2")+SUMIFS('LAC 102_Wkst'!$AE$7:$AE$2010,'LAC 102_Wkst'!$E$7:$E$2010,$C81,'LAC 102_Wkst'!$G$7:$G$2010,$D81,'LAC 102_Wkst'!$L$7:$L$2010,"02",'LAC 102_Wkst'!$N$7:$N$2010,"P3")</f>
        <v>0</v>
      </c>
      <c r="H81" s="410">
        <f>SUMIFS('LAC 102_Wkst'!$Q$7:$Q$2010,'LAC 102_Wkst'!$E$7:$E$2010,$C81,'LAC 102_Wkst'!$G$7:$G$2010,$D81,'LAC 102_Wkst'!$L$7:$L$2010,"01",'LAC 102_Wkst'!$N$7:$N$2010,"P4")+SUMIFS('LAC 102_Wkst'!$Q$7:$Q$2010,'LAC 102_Wkst'!$E$7:$E$2010,$C81,'LAC 102_Wkst'!$G$7:$G$2010,$D81,'LAC 102_Wkst'!$L$7:$L$2010,"02",'LAC 102_Wkst'!$N$7:$N$2010,"P4")</f>
        <v>0</v>
      </c>
      <c r="I81" s="411">
        <f>SUMIFS('LAC 102_Wkst'!$AE$7:$AE$2010,'LAC 102_Wkst'!$E$7:$E$2010,$C81,'LAC 102_Wkst'!$G$7:$G$2010,$D81,'LAC 102_Wkst'!$L$7:$L$2010,"01",'LAC 102_Wkst'!$N$7:$N$2010,"P4")+SUMIFS('LAC 102_Wkst'!$AE$7:$AE$2010,'LAC 102_Wkst'!$E$7:$E$2010,$C81,'LAC 102_Wkst'!$G$7:$G$2010,$D81,'LAC 102_Wkst'!$L$7:$L$2010,"02",'LAC 102_Wkst'!$N$7:$N$2010,"P4")</f>
        <v>0</v>
      </c>
      <c r="J81" s="410">
        <f>SUMIFS('LAC 102_Wkst'!$Q$7:$Q$2010,'LAC 102_Wkst'!$E$7:$E$2010,$C81,'LAC 102_Wkst'!$G$7:$G$2010,$D81,'LAC 102_Wkst'!$L$7:$L$2010,"01",'LAC 102_Wkst'!$N$7:$N$2010,"P5")+SUMIFS('LAC 102_Wkst'!$Q$7:$Q$2010,'LAC 102_Wkst'!$E$7:$E$2010,$C81,'LAC 102_Wkst'!$G$7:$G$2010,$D81,'LAC 102_Wkst'!$L$7:$L$2010,"02",'LAC 102_Wkst'!$N$7:$N$2010,"P5")</f>
        <v>0</v>
      </c>
      <c r="K81" s="411">
        <f>SUMIFS('LAC 102_Wkst'!$AE$7:$AE$2010,'LAC 102_Wkst'!$E$7:$E$2010,$C81,'LAC 102_Wkst'!$G$7:$G$2010,$D81,'LAC 102_Wkst'!$L$7:$L$2010,"01",'LAC 102_Wkst'!$N$7:$N$2010,"P5")+SUMIFS('LAC 102_Wkst'!$AE$7:$AE$2010,'LAC 102_Wkst'!$E$7:$E$2010,$C81,'LAC 102_Wkst'!$G$7:$G$2010,$D81,'LAC 102_Wkst'!$L$7:$L$2010,"02",'LAC 102_Wkst'!$N$7:$N$2010,"P5")</f>
        <v>0</v>
      </c>
      <c r="L81" s="410">
        <f>SUMIFS('LAC 102_Wkst'!$Q$7:$Q$2010,'LAC 102_Wkst'!$E$7:$E$2010,$C81,'LAC 102_Wkst'!$G$7:$G$2010,$D81,'LAC 102_Wkst'!$L$7:$L$2010,"03",'LAC 102_Wkst'!$N$7:$N$2010,"P1")+SUMIFS('LAC 102_Wkst'!$Q$7:$Q$2010,'LAC 102_Wkst'!$E$7:$E$2010,$C81,'LAC 102_Wkst'!$G$7:$G$2010,$D81,'LAC 102_Wkst'!$L$7:$L$2010,"03",'LAC 102_Wkst'!$N$7:$N$2010,"P2")+SUMIFS('LAC 102_Wkst'!$Q$7:$Q$2010,'LAC 102_Wkst'!$E$7:$E$2010,$C81,'LAC 102_Wkst'!$G$7:$G$2010,$D81,'LAC 102_Wkst'!$L$7:$L$2010,"03",'LAC 102_Wkst'!$N$7:$N$2010,"P3")+SUMIFS('LAC 102_Wkst'!$Q$7:$Q$2010,'LAC 102_Wkst'!$E$7:$E$2010,$C81,'LAC 102_Wkst'!$G$7:$G$2010,$D81,'LAC 102_Wkst'!$L$7:$L$2010,"04",'LAC 102_Wkst'!$N$7:$N$2010,"P1")+SUMIFS('LAC 102_Wkst'!$Q$7:$Q$2010,'LAC 102_Wkst'!$E$7:$E$2010,$C81,'LAC 102_Wkst'!$G$7:$G$2010,$D81,'LAC 102_Wkst'!$L$7:$L$2010,"04",'LAC 102_Wkst'!$N$7:$N$2010,"P2")+SUMIFS('LAC 102_Wkst'!$Q$7:$Q$2010,'LAC 102_Wkst'!$E$7:$E$2010,$C81,'LAC 102_Wkst'!$G$7:$G$2010,$D81,'LAC 102_Wkst'!$L$7:$L$2010,"04",'LAC 102_Wkst'!$N$7:$N$2010,"P3")</f>
        <v>0</v>
      </c>
      <c r="M81" s="411">
        <f>SUMIFS('LAC 102_Wkst'!$AE$7:$AE$2010,'LAC 102_Wkst'!$E$7:$E$2010,$C81,'LAC 102_Wkst'!$G$7:$G$2010,$D81,'LAC 102_Wkst'!$L$7:$L$2010,"03",'LAC 102_Wkst'!$N$7:$N$2010,"P1")+SUMIFS('LAC 102_Wkst'!$AE$7:$AE$2010,'LAC 102_Wkst'!$E$7:$E$2010,$C81,'LAC 102_Wkst'!$G$7:$G$2010,$D81,'LAC 102_Wkst'!$L$7:$L$2010,"03",'LAC 102_Wkst'!$N$7:$N$2010,"P2")+SUMIFS('LAC 102_Wkst'!$AE$7:$AE$2010,'LAC 102_Wkst'!$E$7:$E$2010,$C81,'LAC 102_Wkst'!$G$7:$G$2010,$D81,'LAC 102_Wkst'!$L$7:$L$2010,"03",'LAC 102_Wkst'!$N$7:$N$2010,"P3")+SUMIFS('LAC 102_Wkst'!$AE$7:$AE$2010,'LAC 102_Wkst'!$E$7:$E$2010,$C81,'LAC 102_Wkst'!$G$7:$G$2010,$D81,'LAC 102_Wkst'!$L$7:$L$2010,"04",'LAC 102_Wkst'!$N$7:$N$2010,"P1")+SUMIFS('LAC 102_Wkst'!$AE$7:$AE$2010,'LAC 102_Wkst'!$E$7:$E$2010,$C81,'LAC 102_Wkst'!$G$7:$G$2010,$D81,'LAC 102_Wkst'!$L$7:$L$2010,"04",'LAC 102_Wkst'!$N$7:$N$2010,"P2")+SUMIFS('LAC 102_Wkst'!$AE$7:$AE$2010,'LAC 102_Wkst'!$E$7:$E$2010,$C81,'LAC 102_Wkst'!$G$7:$G$2010,$D81,'LAC 102_Wkst'!$L$7:$L$2010,"04",'LAC 102_Wkst'!$N$7:$N$2010,"P3")</f>
        <v>0</v>
      </c>
      <c r="N81" s="410">
        <f>SUMIFS('LAC 102_Wkst'!$Q$7:$Q$2010,'LAC 102_Wkst'!$E$7:$E$2010,$C81,'LAC 102_Wkst'!$G$7:$G$2010,$D81,'LAC 102_Wkst'!$L$7:$L$2010,"03",'LAC 102_Wkst'!$N$7:$N$2010,"P4")+SUMIFS('LAC 102_Wkst'!$Q$7:$Q$2010,'LAC 102_Wkst'!$E$7:$E$2010,$C81,'LAC 102_Wkst'!$G$7:$G$2010,$D81,'LAC 102_Wkst'!$L$7:$L$2010,"04",'LAC 102_Wkst'!$N$7:$N$2010,"P4")</f>
        <v>0</v>
      </c>
      <c r="O81" s="411">
        <f>SUMIFS('LAC 102_Wkst'!$AE$7:$AE$2010,'LAC 102_Wkst'!$E$7:$E$2010,$C81,'LAC 102_Wkst'!$G$7:$G$2010,$D81,'LAC 102_Wkst'!$L$7:$L$2010,"03",'LAC 102_Wkst'!$N$7:$N$2010,"P4")+SUMIFS('LAC 102_Wkst'!$AE$7:$AE$2010,'LAC 102_Wkst'!$E$7:$E$2010,$C81,'LAC 102_Wkst'!$G$7:$G$2010,$D81,'LAC 102_Wkst'!$L$7:$L$2010,"04",'LAC 102_Wkst'!$N$7:$N$2010,"P4")</f>
        <v>0</v>
      </c>
      <c r="P81" s="410">
        <f>SUMIFS('LAC 102_Wkst'!$Q$7:$Q$2010,'LAC 102_Wkst'!$E$7:$E$2010,$C81,'LAC 102_Wkst'!$G$7:$G$2010,$D81,'LAC 102_Wkst'!$L$7:$L$2010,"03",'LAC 102_Wkst'!$N$7:$N$2010,"P5")+SUMIFS('LAC 102_Wkst'!$Q$7:$Q$2010,'LAC 102_Wkst'!$E$7:$E$2010,$C81,'LAC 102_Wkst'!$G$7:$G$2010,$D81,'LAC 102_Wkst'!$L$7:$L$2010,"04",'LAC 102_Wkst'!$N$7:$N$2010,"P5")</f>
        <v>0</v>
      </c>
      <c r="Q81" s="411">
        <f>SUMIFS('LAC 102_Wkst'!$AE$7:$AE$2010,'LAC 102_Wkst'!$E$7:$E$2010,$C81,'LAC 102_Wkst'!$G$7:$G$2010,$D81,'LAC 102_Wkst'!$L$7:$L$2010,"03",'LAC 102_Wkst'!$N$7:$N$2010,"P5")+SUMIFS('LAC 102_Wkst'!$AE$7:$AE$2010,'LAC 102_Wkst'!$E$7:$E$2010,$C81,'LAC 102_Wkst'!$G$7:$G$2010,$D81,'LAC 102_Wkst'!$L$7:$L$2010,"04",'LAC 102_Wkst'!$N$7:$N$2010,"P5")</f>
        <v>0</v>
      </c>
      <c r="R81" s="412">
        <f>SUMIFS('LAC 102_Wkst'!$Q$7:$Q$2010,'LAC 102_Wkst'!$E$7:$E$2010,$C81,'LAC 102_Wkst'!$G$7:$G$2010,$D81,'LAC 102_Wkst'!$L$7:$L$2010,"05",'LAC 102_Wkst'!$N$7:$N$2010,"P1")+SUMIFS('LAC 102_Wkst'!$Q$7:$Q$2010,'LAC 102_Wkst'!$E$7:$E$2010,$C81,'LAC 102_Wkst'!$G$7:$G$2010,$D81,'LAC 102_Wkst'!$L$7:$L$2010,"06",'LAC 102_Wkst'!$N$7:$N$2010,"P1")</f>
        <v>0</v>
      </c>
      <c r="S81" s="411">
        <f>SUMIFS('LAC 102_Wkst'!$AE$7:$AE$2010,'LAC 102_Wkst'!$E$7:$E$2010,$C81,'LAC 102_Wkst'!$G$7:$G$2010,$D81,'LAC 102_Wkst'!$L$7:$L$2010,"05",'LAC 102_Wkst'!$N$7:$N$2010,"P1")+SUMIFS('LAC 102_Wkst'!$AE$7:$AE$2010,'LAC 102_Wkst'!$E$7:$E$2010,$C81,'LAC 102_Wkst'!$G$7:$G$2010,$D81,'LAC 102_Wkst'!$L$7:$L$2010,"06",'LAC 102_Wkst'!$N$7:$N$2010,"P1")</f>
        <v>0</v>
      </c>
      <c r="T81" s="410">
        <f>SUMIFS('LAC 102_Wkst'!$Q$7:$Q$2010,'LAC 102_Wkst'!$E$7:$E$2010,$C81,'LAC 102_Wkst'!$G$7:$G$2010,$D81,'LAC 102_Wkst'!$L$7:$L$2010,"05",'LAC 102_Wkst'!$N$7:$N$2010,"P2")+SUMIFS('LAC 102_Wkst'!$Q$7:$Q$2010,'LAC 102_Wkst'!$E$7:$E$2010,$C81,'LAC 102_Wkst'!$G$7:$G$2010,$D81,'LAC 102_Wkst'!$L$7:$L$2010,"05",'LAC 102_Wkst'!$N$7:$N$2010,"P3")+SUMIFS('LAC 102_Wkst'!$Q$7:$Q$2010,'LAC 102_Wkst'!$E$7:$E$2010,$C81,'LAC 102_Wkst'!$G$7:$G$2010,$D81,'LAC 102_Wkst'!$L$7:$L$2010,"06",'LAC 102_Wkst'!$N$7:$N$2010,"P2")+SUMIFS('LAC 102_Wkst'!$Q$7:$Q$2010,'LAC 102_Wkst'!$E$7:$E$2010,$C81,'LAC 102_Wkst'!$G$7:$G$2010,$D81,'LAC 102_Wkst'!$L$7:$L$2010,"06",'LAC 102_Wkst'!$N$7:$N$2010,"P3")</f>
        <v>0</v>
      </c>
      <c r="U81" s="411">
        <f>SUMIFS('LAC 102_Wkst'!$AE$7:$AE$2010,'LAC 102_Wkst'!$E$7:$E$2010,$C81,'LAC 102_Wkst'!$G$7:$G$2010,$D81,'LAC 102_Wkst'!$L$7:$L$2010,"05",'LAC 102_Wkst'!$N$7:$N$2010,"P2")+SUMIFS('LAC 102_Wkst'!$AE$7:$AE$2010,'LAC 102_Wkst'!$E$7:$E$2010,$C81,'LAC 102_Wkst'!$G$7:$G$2010,$D81,'LAC 102_Wkst'!$L$7:$L$2010,"06",'LAC 102_Wkst'!$N$7:$N$2010,"P3")+SUMIFS('LAC 102_Wkst'!$AE$7:$AE$2010,'LAC 102_Wkst'!$E$7:$E$2010,$C81,'LAC 102_Wkst'!$G$7:$G$2010,$D81,'LAC 102_Wkst'!$L$7:$L$2010,"05",'LAC 102_Wkst'!$N$7:$N$2010,"P2")+SUMIFS('LAC 102_Wkst'!$AE$7:$AE$2010,'LAC 102_Wkst'!$E$7:$E$2010,$C81,'LAC 102_Wkst'!$G$7:$G$2010,$D81,'LAC 102_Wkst'!$L$7:$L$2010,"06",'LAC 102_Wkst'!$N$7:$N$2010,"P3")</f>
        <v>0</v>
      </c>
      <c r="V81" s="410">
        <f>SUMIFS('LAC 102_Wkst'!$Q$7:$Q$2010,'LAC 102_Wkst'!$E$7:$E$2010,$C81,'LAC 102_Wkst'!$G$7:$G$2010,$D81,'LAC 102_Wkst'!$L$7:$L$2010,"05",'LAC 102_Wkst'!$N$7:$N$2010,"P4")+SUMIFS('LAC 102_Wkst'!$Q$7:$Q$2010,'LAC 102_Wkst'!$E$7:$E$2010,$C81,'LAC 102_Wkst'!$G$7:$G$2010,$D81,'LAC 102_Wkst'!$L$7:$L$2010,"06",'LAC 102_Wkst'!$N$7:$N$2010,"P4")</f>
        <v>0</v>
      </c>
      <c r="W81" s="411">
        <f>SUMIFS('LAC 102_Wkst'!$AE$7:$AE$2010,'LAC 102_Wkst'!$E$7:$E$2010,$C81,'LAC 102_Wkst'!$G$7:$G$2010,$D81,'LAC 102_Wkst'!$L$7:$L$2010,"05",'LAC 102_Wkst'!$N$7:$N$2010,"P4")+SUMIFS('LAC 102_Wkst'!$AE$7:$AE$2010,'LAC 102_Wkst'!$E$7:$E$2010,$C81,'LAC 102_Wkst'!$G$7:$G$2010,$D81,'LAC 102_Wkst'!$L$7:$L$2010,"06",'LAC 102_Wkst'!$N$7:$N$2010,"P4")</f>
        <v>0</v>
      </c>
      <c r="X81" s="410">
        <f>SUMIFS('LAC 102_Wkst'!$Q$7:$Q$2010,'LAC 102_Wkst'!$E$7:$E$2010,$C81,'LAC 102_Wkst'!$G$7:$G$2010,$D81,'LAC 102_Wkst'!$L$7:$L$2010,"05",'LAC 102_Wkst'!$N$7:$N$2010,"P5")+SUMIFS('LAC 102_Wkst'!$Q$7:$Q$2010,'LAC 102_Wkst'!$E$7:$E$2010,$C81,'LAC 102_Wkst'!$G$7:$G$2010,$D81,'LAC 102_Wkst'!$L$7:$L$2010,"06",'LAC 102_Wkst'!$N$7:$N$2010,"P5")</f>
        <v>0</v>
      </c>
      <c r="Y81" s="411">
        <f>SUMIFS('LAC 102_Wkst'!$AE$7:$AE$2010,'LAC 102_Wkst'!$E$7:$E$2010,$C81,'LAC 102_Wkst'!$G$7:$G$2010,$D81,'LAC 102_Wkst'!$L$7:$L$2010,"05",'LAC 102_Wkst'!$N$7:$N$2010,"P5")+SUMIFS('LAC 102_Wkst'!$AE$7:$AE$2010,'LAC 102_Wkst'!$E$7:$E$2010,$C81,'LAC 102_Wkst'!$G$7:$G$2010,$D81,'LAC 102_Wkst'!$L$7:$L$2010,"06",'LAC 102_Wkst'!$N$7:$N$2010,"P5")</f>
        <v>0</v>
      </c>
      <c r="Z81" s="410">
        <f>SUMIFS('LAC 102_Wkst'!$Q$7:$Q$2010,'LAC 102_Wkst'!$E$7:$E$2010,$C81,'LAC 102_Wkst'!$G$7:$G$2010,$D81,'LAC 102_Wkst'!$L$7:$L$2010,"07",'LAC 102_Wkst'!$N$7:$N$2010,"P1")+SUMIFS('LAC 102_Wkst'!$Q$7:$Q$2010,'LAC 102_Wkst'!$E$7:$E$2010,$C81,'LAC 102_Wkst'!$G$7:$G$2010,$D81,'LAC 102_Wkst'!$L$7:$L$2010,"07",'LAC 102_Wkst'!$N$7:$N$2010,"P2")+SUMIFS('LAC 102_Wkst'!$Q$7:$Q$2010,'LAC 102_Wkst'!$E$7:$E$2010,$C81,'LAC 102_Wkst'!$G$7:$G$2010,$D81,'LAC 102_Wkst'!$L$7:$L$2010,"07",'LAC 102_Wkst'!$N$7:$N$2010,"P3")</f>
        <v>0</v>
      </c>
      <c r="AA81" s="411">
        <f>SUMIFS('LAC 102_Wkst'!$AE$7:$AE$2010,'LAC 102_Wkst'!$E$7:$E$2010,$C81,'LAC 102_Wkst'!$G$7:$G$2010,$D81,'LAC 102_Wkst'!$L$7:$L$2010,"07",'LAC 102_Wkst'!$N$7:$N$2010,"P1")+SUMIFS('LAC 102_Wkst'!$AE$7:$AE$2010,'LAC 102_Wkst'!$E$7:$E$2010,$C81,'LAC 102_Wkst'!$G$7:$G$2010,$D81,'LAC 102_Wkst'!$L$7:$L$2010,"07",'LAC 102_Wkst'!$N$7:$N$2010,"P2")+SUMIFS('LAC 102_Wkst'!$AE$7:$AE$2010,'LAC 102_Wkst'!$E$7:$E$2010,$C81,'LAC 102_Wkst'!$G$7:$G$2010,$D81,'LAC 102_Wkst'!$L$7:$L$2010,"07",'LAC 102_Wkst'!$N$7:$N$2010,"P3")</f>
        <v>0</v>
      </c>
      <c r="AB81" s="410">
        <f>SUMIFS('LAC 102_Wkst'!$Q$7:$Q$2010,'LAC 102_Wkst'!$E$7:$E$2010,$C81,'LAC 102_Wkst'!$G$7:$G$2010,$D81,'LAC 102_Wkst'!$L$7:$L$2010,"07",'LAC 102_Wkst'!$N$7:$N$2010,"P4")</f>
        <v>0</v>
      </c>
      <c r="AC81" s="411">
        <f>SUMIFS('LAC 102_Wkst'!$AE$7:$AE$2010,'LAC 102_Wkst'!$E$7:$E$2010,$C81,'LAC 102_Wkst'!$G$7:$G$2010,$D81,'LAC 102_Wkst'!$L$7:$L$2010,"07",'LAC 102_Wkst'!$N$7:$N$2010,"P4")</f>
        <v>0</v>
      </c>
      <c r="AD81" s="410">
        <f>SUMIFS('LAC 102_Wkst'!$Q$7:$Q$2010,'LAC 102_Wkst'!$E$7:$E$2010,$C81,'LAC 102_Wkst'!$G$7:$G$2010,$D81,'LAC 102_Wkst'!$L$7:$L$2010,"07",'LAC 102_Wkst'!$N$7:$N$2010,"P5")</f>
        <v>0</v>
      </c>
      <c r="AE81" s="411">
        <f>SUMIFS('LAC 102_Wkst'!$AE$7:$AE$2010,'LAC 102_Wkst'!$E$7:$E$2010,$C81,'LAC 102_Wkst'!$G$7:$G$2010,$D81,'LAC 102_Wkst'!$L$7:$L$2010,"07",'LAC 102_Wkst'!$N$7:$N$2010,"P5")</f>
        <v>0</v>
      </c>
      <c r="AF81" s="410">
        <f>SUMIFS('LAC 102_Wkst'!$Q$7:$Q$2010,'LAC 102_Wkst'!$E$7:$E$2010,$C81,'LAC 102_Wkst'!$G$7:$G$2010,$D81,'LAC 102_Wkst'!$L$7:$L$2010,"08",'LAC 102_Wkst'!$N$7:$N$2010,"P1")+SUMIFS('LAC 102_Wkst'!$Q$7:$Q$2010,'LAC 102_Wkst'!$E$7:$E$2010,$C81,'LAC 102_Wkst'!$G$7:$G$2010,$D81,'LAC 102_Wkst'!$L$7:$L$2010,"08",'LAC 102_Wkst'!$N$7:$N$2010,"P2")+SUMIFS('LAC 102_Wkst'!$Q$7:$Q$2010,'LAC 102_Wkst'!$E$7:$E$2010,$C81,'LAC 102_Wkst'!$G$7:$G$2010,$D81,'LAC 102_Wkst'!$L$7:$L$2010,"08",'LAC 102_Wkst'!$N$7:$N$2010,"P3")</f>
        <v>0</v>
      </c>
      <c r="AG81" s="411">
        <f>SUMIFS('LAC 102_Wkst'!$AE$7:$AE$2010,'LAC 102_Wkst'!$E$7:$E$2010,$C81,'LAC 102_Wkst'!$G$7:$G$2010,$D81,'LAC 102_Wkst'!$L$7:$L$2010,"08",'LAC 102_Wkst'!$N$7:$N$2010,"P1")+SUMIFS('LAC 102_Wkst'!$AE$7:$AE$2010,'LAC 102_Wkst'!$E$7:$E$2010,$C81,'LAC 102_Wkst'!$G$7:$G$2010,$D81,'LAC 102_Wkst'!$L$7:$L$2010,"08",'LAC 102_Wkst'!$N$7:$N$2010,"P2")+SUMIFS('LAC 102_Wkst'!$AE$7:$AE$2010,'LAC 102_Wkst'!$E$7:$E$2010,$C81,'LAC 102_Wkst'!$G$7:$G$2010,$D81,'LAC 102_Wkst'!$L$7:$L$2010,"08",'LAC 102_Wkst'!$N$7:$N$2010,"P3")</f>
        <v>0</v>
      </c>
      <c r="AH81" s="410">
        <f>SUMIFS('LAC 102_Wkst'!$Q$7:$Q$2010,'LAC 102_Wkst'!$E$7:$E$2010,$C81,'LAC 102_Wkst'!$G$7:$G$2010,$D81,'LAC 102_Wkst'!$L$7:$L$2010,"08",'LAC 102_Wkst'!$N$7:$N$2010,"P4")</f>
        <v>0</v>
      </c>
      <c r="AI81" s="411">
        <f>SUMIFS('LAC 102_Wkst'!$AE$7:$AE$2010,'LAC 102_Wkst'!$E$7:$E$2010,$C81,'LAC 102_Wkst'!$G$7:$G$2010,$D81,'LAC 102_Wkst'!$L$7:$L$2010,"08",'LAC 102_Wkst'!$N$7:$N$2010,"P4")</f>
        <v>0</v>
      </c>
      <c r="AJ81" s="410">
        <f>SUMIFS('LAC 102_Wkst'!$Q$7:$Q$2010,'LAC 102_Wkst'!$E$7:$E$2010,$C81,'LAC 102_Wkst'!$G$7:$G$2010,$D81,'LAC 102_Wkst'!$L$7:$L$2010,"08",'LAC 102_Wkst'!$N$7:$N$2010,"P5")</f>
        <v>0</v>
      </c>
      <c r="AK81" s="411">
        <f>SUMIFS('LAC 102_Wkst'!$AE$7:$AE$2010,'LAC 102_Wkst'!$E$7:$E$2010,$C81,'LAC 102_Wkst'!$G$7:$G$2010,$D81,'LAC 102_Wkst'!$L$7:$L$2010,"08",'LAC 102_Wkst'!$N$7:$N$2010,"P5")</f>
        <v>0</v>
      </c>
      <c r="AL81" s="410">
        <f>SUMIFS('LAC 102_Wkst'!$Q$7:$Q$2010,'LAC 102_Wkst'!$E$7:$E$2010,$C81,'LAC 102_Wkst'!$G$7:$G$2010,$D81,'LAC 102_Wkst'!$L$7:$L$2010,"09",'LAC 102_Wkst'!$N$7:$N$2010,"P1")+SUMIFS('LAC 102_Wkst'!$Q$7:$Q$2010,'LAC 102_Wkst'!$E$7:$E$2010,$C81,'LAC 102_Wkst'!$G$7:$G$2010,$D81,'LAC 102_Wkst'!$L$7:$L$2010,"09",'LAC 102_Wkst'!$N$7:$N$2010,"P2")+SUMIFS('LAC 102_Wkst'!$Q$7:$Q$2010,'LAC 102_Wkst'!$E$7:$E$2010,$C81,'LAC 102_Wkst'!$G$7:$G$2010,$D81,'LAC 102_Wkst'!$L$7:$L$2010,"09",'LAC 102_Wkst'!$N$7:$N$2010,"P3")+SUMIFS('LAC 102_Wkst'!$Q$7:$Q$2010,'LAC 102_Wkst'!$E$7:$E$2010,$C81,'LAC 102_Wkst'!$G$7:$G$2010,$D81,'LAC 102_Wkst'!$L$7:$L$2010,"09",'LAC 102_Wkst'!$N$7:$N$2010,"P4")</f>
        <v>0</v>
      </c>
      <c r="AM81" s="411">
        <f>SUMIFS('LAC 102_Wkst'!$AE$7:$AE$2010,'LAC 102_Wkst'!$E$7:$E$2010,$C81,'LAC 102_Wkst'!$G$7:$G$2010,$D81,'LAC 102_Wkst'!$L$7:$L$2010,"09",'LAC 102_Wkst'!$N$7:$N$2010,"P1")+SUMIFS('LAC 102_Wkst'!$AE$7:$AE$2010,'LAC 102_Wkst'!$E$7:$E$2010,$C81,'LAC 102_Wkst'!$G$7:$G$2010,$D81,'LAC 102_Wkst'!$L$7:$L$2010,"09",'LAC 102_Wkst'!$N$7:$N$2010,"P2")+SUMIFS('LAC 102_Wkst'!$AE$7:$AE$2010,'LAC 102_Wkst'!$E$7:$E$2010,$C81,'LAC 102_Wkst'!$G$7:$G$2010,$D81,'LAC 102_Wkst'!$L$7:$L$2010,"09",'LAC 102_Wkst'!$N$7:$N$2010,"P3")+SUMIFS('LAC 102_Wkst'!$AE$7:$AE$2010,'LAC 102_Wkst'!$E$7:$E$2010,$C81,'LAC 102_Wkst'!$G$7:$G$2010,$D81,'LAC 102_Wkst'!$L$7:$L$2010,"09",'LAC 102_Wkst'!$N$7:$N$2010,"P4")</f>
        <v>0</v>
      </c>
      <c r="AN81" s="410">
        <f>SUMIFS('LAC 102_Wkst'!$Q$7:$Q$2010,'LAC 102_Wkst'!$E$7:$E$2010,$C81,'LAC 102_Wkst'!$G$7:$G$2010,$D81,'LAC 102_Wkst'!$L$7:$L$2010,"09",'LAC 102_Wkst'!$N$7:$N$2010,"P5")</f>
        <v>0</v>
      </c>
      <c r="AO81" s="411">
        <f>SUMIFS('LAC 102_Wkst'!$AE$7:$AE$2010,'LAC 102_Wkst'!$E$7:$E$2010,$C81,'LAC 102_Wkst'!$G$7:$G$2010,$D81,'LAC 102_Wkst'!$L$7:$L$2010,"09",'LAC 102_Wkst'!$N$7:$N$2010,"P5")</f>
        <v>0</v>
      </c>
      <c r="AP81" s="410">
        <f>SUMIFS('LAC 102_Wkst'!$Q$7:$Q$2010,'LAC 102_Wkst'!$E$7:$E$2010,$C81,'LAC 102_Wkst'!$G$7:$G$2010,$D81,'LAC 102_Wkst'!$L$7:$L$2010,"10",'LAC 102_Wkst'!$N$7:$N$2010,"P1")+SUMIFS('LAC 102_Wkst'!$Q$7:$Q$2010,'LAC 102_Wkst'!$E$7:$E$2010,$C81,'LAC 102_Wkst'!$G$7:$G$2010,$D81,'LAC 102_Wkst'!$L$7:$L$2010,"10",'LAC 102_Wkst'!$N$7:$N$2010,"P2")+SUMIFS('LAC 102_Wkst'!$Q$7:$Q$2010,'LAC 102_Wkst'!$E$7:$E$2010,$C81,'LAC 102_Wkst'!$G$7:$G$2010,$D81,'LAC 102_Wkst'!$L$7:$L$2010,"10",'LAC 102_Wkst'!$N$7:$N$2010,"P3")+SUMIFS('LAC 102_Wkst'!$Q$7:$Q$2010,'LAC 102_Wkst'!$E$7:$E$2010,$C81,'LAC 102_Wkst'!$G$7:$G$2010,$D81,'LAC 102_Wkst'!$L$7:$L$2010,"10",'LAC 102_Wkst'!$N$7:$N$2010,"P4")</f>
        <v>0</v>
      </c>
      <c r="AQ81" s="411">
        <f>SUMIFS('LAC 102_Wkst'!$AE$7:$AE$2010,'LAC 102_Wkst'!$E$7:$E$2010,$C81,'LAC 102_Wkst'!$G$7:$G$2010,$D81,'LAC 102_Wkst'!$L$7:$L$2010,"10",'LAC 102_Wkst'!$N$7:$N$2010,"P1")+SUMIFS('LAC 102_Wkst'!$AE$7:$AE$2010,'LAC 102_Wkst'!$E$7:$E$2010,$C81,'LAC 102_Wkst'!$G$7:$G$2010,$D81,'LAC 102_Wkst'!$L$7:$L$2010,"10",'LAC 102_Wkst'!$N$7:$N$2010,"P2")+SUMIFS('LAC 102_Wkst'!$AE$7:$AE$2010,'LAC 102_Wkst'!$E$7:$E$2010,$C81,'LAC 102_Wkst'!$G$7:$G$2010,$D81,'LAC 102_Wkst'!$L$7:$L$2010,"10",'LAC 102_Wkst'!$N$7:$N$2010,"P3")+SUMIFS('LAC 102_Wkst'!$AE$7:$AE$2010,'LAC 102_Wkst'!$E$7:$E$2010,$C81,'LAC 102_Wkst'!$G$7:$G$2010,$D81,'LAC 102_Wkst'!$L$7:$L$2010,"10",'LAC 102_Wkst'!$N$7:$N$2010,"P4")</f>
        <v>0</v>
      </c>
      <c r="AR81" s="410">
        <f>SUMIFS('LAC 102_Wkst'!$Q$7:$Q$2010,'LAC 102_Wkst'!$E$7:$E$2010,$C81,'LAC 102_Wkst'!$G$7:$G$2010,$D81,'LAC 102_Wkst'!$L$7:$L$2010,"10",'LAC 102_Wkst'!$N$7:$N$2010,"P5")</f>
        <v>0</v>
      </c>
      <c r="AS81" s="411">
        <f>SUMIFS('LAC 102_Wkst'!$AE$7:$AE$2010,'LAC 102_Wkst'!$E$7:$E$2010,$C81,'LAC 102_Wkst'!$G$7:$G$2010,$D81,'LAC 102_Wkst'!$L$7:$L$2010,"10",'LAC 102_Wkst'!$N$7:$N$2010,"P5")</f>
        <v>0</v>
      </c>
      <c r="AT81" s="410">
        <f>SUMIFS('LAC 102_Wkst'!$Q$7:$Q$2010,'LAC 102_Wkst'!$E$7:$E$2010,$C81,'LAC 102_Wkst'!$G$7:$G$2010,$D81,'LAC 102_Wkst'!$L$7:$L$2010,"11",'LAC 102_Wkst'!$N$7:$N$2010,"P1")+SUMIFS('LAC 102_Wkst'!$Q$7:$Q$2010,'LAC 102_Wkst'!$E$7:$E$2010,$C81,'LAC 102_Wkst'!$G$7:$G$2010,$D81,'LAC 102_Wkst'!$L$7:$L$2010,"12",'LAC 102_Wkst'!$N$7:$N$2010,"P1")</f>
        <v>0</v>
      </c>
      <c r="AU81" s="411">
        <f>SUMIFS('LAC 102_Wkst'!$AE$7:$AE$2010,'LAC 102_Wkst'!$E$7:$E$2010,$C81,'LAC 102_Wkst'!$G$7:$G$2010,$D81,'LAC 102_Wkst'!$L$7:$L$2010,"11",'LAC 102_Wkst'!$N$7:$N$2010,"P1")+SUMIFS('LAC 102_Wkst'!$AE$7:$AE$2010,'LAC 102_Wkst'!$E$7:$E$2010,$C81,'LAC 102_Wkst'!$G$7:$G$2010,$D81,'LAC 102_Wkst'!$L$7:$L$2010,"12",'LAC 102_Wkst'!$N$7:$N$2010,"P1")</f>
        <v>0</v>
      </c>
      <c r="AV81" s="410">
        <f>SUMIFS('LAC 102_Wkst'!$Q$7:$Q$2010,'LAC 102_Wkst'!$E$7:$E$2010,$C81,'LAC 102_Wkst'!$G$7:$G$2010,$D81,'LAC 102_Wkst'!$L$7:$L$2010,"11",'LAC 102_Wkst'!$N$7:$N$2010,"P2")+SUMIFS('LAC 102_Wkst'!$Q$7:$Q$2010,'LAC 102_Wkst'!$E$7:$E$2010,$C81,'LAC 102_Wkst'!$G$7:$G$2010,$D81,'LAC 102_Wkst'!$L$7:$L$2010,"12",'LAC 102_Wkst'!$N$7:$N$2010,"P3")+SUMIFS('LAC 102_Wkst'!$Q$7:$Q$2010,'LAC 102_Wkst'!$E$7:$E$2010,$C81,'LAC 102_Wkst'!$G$7:$G$2010,$D81,'LAC 102_Wkst'!$L$7:$L$2010,"11",'LAC 102_Wkst'!$N$7:$N$2010,"P2")+SUMIFS('LAC 102_Wkst'!$Q$7:$Q$2010,'LAC 102_Wkst'!$E$7:$E$2010,$C81,'LAC 102_Wkst'!$G$7:$G$2010,$D81,'LAC 102_Wkst'!$L$7:$L$2010,"12",'LAC 102_Wkst'!$N$7:$N$2010,"P3")</f>
        <v>0</v>
      </c>
      <c r="AW81" s="411">
        <f>SUMIFS('LAC 102_Wkst'!$AE$7:$AE$2010,'LAC 102_Wkst'!$E$7:$E$2010,$C81,'LAC 102_Wkst'!$G$7:$G$2010,$D81,'LAC 102_Wkst'!$L$7:$L$2010,"11",'LAC 102_Wkst'!$N$7:$N$2010,"P2")+SUMIFS('LAC 102_Wkst'!$AE$7:$AE$2010,'LAC 102_Wkst'!$E$7:$E$2010,$C81,'LAC 102_Wkst'!$G$7:$G$2010,$D81,'LAC 102_Wkst'!$L$7:$L$2010,"12",'LAC 102_Wkst'!$N$7:$N$2010,"P3")+SUMIFS('LAC 102_Wkst'!$AE$7:$AE$2010,'LAC 102_Wkst'!$E$7:$E$2010,$C81,'LAC 102_Wkst'!$G$7:$G$2010,$D81,'LAC 102_Wkst'!$L$7:$L$2010,"11",'LAC 102_Wkst'!$N$7:$N$2010,"P2")+SUMIFS('LAC 102_Wkst'!$AE$7:$AE$2010,'LAC 102_Wkst'!$E$7:$E$2010,$C81,'LAC 102_Wkst'!$G$7:$G$2010,$D81,'LAC 102_Wkst'!$L$7:$L$2010,"12",'LAC 102_Wkst'!$N$7:$N$2010,"P3")</f>
        <v>0</v>
      </c>
      <c r="AX81" s="410">
        <f>SUMIFS('LAC 102_Wkst'!$Q$7:$Q$2010,'LAC 102_Wkst'!$E$7:$E$2010,$C81,'LAC 102_Wkst'!$G$7:$G$2010,$D81,'LAC 102_Wkst'!$L$7:$L$2010,"11",'LAC 102_Wkst'!$N$7:$N$2010,"P4")+SUMIFS('LAC 102_Wkst'!$Q$7:$Q$2010,'LAC 102_Wkst'!$E$7:$E$2010,$C81,'LAC 102_Wkst'!$G$7:$G$2010,$D81,'LAC 102_Wkst'!$L$7:$L$2010,"12",'LAC 102_Wkst'!$N$7:$N$2010,"P4")</f>
        <v>0</v>
      </c>
      <c r="AY81" s="411">
        <f>SUMIFS('LAC 102_Wkst'!$AE$7:$AE$2010,'LAC 102_Wkst'!$E$7:$E$2010,$C81,'LAC 102_Wkst'!$G$7:$G$2010,$D81,'LAC 102_Wkst'!$L$7:$L$2010,"11",'LAC 102_Wkst'!$N$7:$N$2010,"P4")+SUMIFS('LAC 102_Wkst'!$AE$7:$AE$2010,'LAC 102_Wkst'!$E$7:$E$2010,$C81,'LAC 102_Wkst'!$G$7:$G$2010,$D81,'LAC 102_Wkst'!$L$7:$L$2010,"12",'LAC 102_Wkst'!$N$7:$N$2010,"P4")</f>
        <v>0</v>
      </c>
      <c r="AZ81" s="410">
        <f>SUMIFS('LAC 102_Wkst'!$Q$7:$Q$2010,'LAC 102_Wkst'!$E$7:$E$2010,$C81,'LAC 102_Wkst'!$G$7:$G$2010,$D81,'LAC 102_Wkst'!$L$7:$L$2010,"11",'LAC 102_Wkst'!$N$7:$N$2010,"P5")+SUMIFS('LAC 102_Wkst'!$Q$7:$Q$2010,'LAC 102_Wkst'!$E$7:$E$2010,$C81,'LAC 102_Wkst'!$G$7:$G$2010,$D81,'LAC 102_Wkst'!$L$7:$L$2010,"12",'LAC 102_Wkst'!$N$7:$N$2010,"P5")</f>
        <v>0</v>
      </c>
      <c r="BA81" s="411">
        <f>SUMIFS('LAC 102_Wkst'!$AE$7:$AE$2010,'LAC 102_Wkst'!$E$7:$E$2010,$C81,'LAC 102_Wkst'!$G$7:$G$2010,$D81,'LAC 102_Wkst'!$L$7:$L$2010,"11",'LAC 102_Wkst'!$N$7:$N$2010,"P5")+SUMIFS('LAC 102_Wkst'!$AE$7:$AE$2010,'LAC 102_Wkst'!$E$7:$E$2010,$C81,'LAC 102_Wkst'!$G$7:$G$2010,$D81,'LAC 102_Wkst'!$L$7:$L$2010,"12",'LAC 102_Wkst'!$N$7:$N$2010,"P5")</f>
        <v>0</v>
      </c>
      <c r="BB81" s="410">
        <f>SUMIFS('LAC 102_Wkst'!$Q$7:$Q$2010,'LAC 102_Wkst'!$E$7:$E$2010,$C81,'LAC 102_Wkst'!$G$7:$G$2010,$D81,'LAC 102_Wkst'!$L$7:$L$2010,"13",'LAC 102_Wkst'!$N$7:$N$2010,"P1")+SUMIFS('LAC 102_Wkst'!$Q$7:$Q$2010,'LAC 102_Wkst'!$E$7:$E$2010,$C81,'LAC 102_Wkst'!$G$7:$G$2010,$D81,'LAC 102_Wkst'!$L$7:$L$2010,"13",'LAC 102_Wkst'!$N$7:$N$2010,"P2")+SUMIFS('LAC 102_Wkst'!$Q$7:$Q$2010,'LAC 102_Wkst'!$E$7:$E$2010,$C81,'LAC 102_Wkst'!$G$7:$G$2010,$D81,'LAC 102_Wkst'!$L$7:$L$2010,"13",'LAC 102_Wkst'!$N$7:$N$2010,"P3")+SUMIFS('LAC 102_Wkst'!$Q$7:$Q$2010,'LAC 102_Wkst'!$E$7:$E$2010,$C81,'LAC 102_Wkst'!$G$7:$G$2010,$D81,'LAC 102_Wkst'!$L$7:$L$2010,"13",'LAC 102_Wkst'!$N$7:$N$2010,"P4")</f>
        <v>0</v>
      </c>
      <c r="BC81" s="411">
        <f>SUMIFS('LAC 102_Wkst'!$AE$7:$AE$2010,'LAC 102_Wkst'!$E$7:$E$2010,$C81,'LAC 102_Wkst'!$G$7:$G$2010,$D81,'LAC 102_Wkst'!$L$7:$L$2010,"13",'LAC 102_Wkst'!$N$7:$N$2010,"P1")+SUMIFS('LAC 102_Wkst'!$AE$7:$AE$2010,'LAC 102_Wkst'!$E$7:$E$2010,$C81,'LAC 102_Wkst'!$G$7:$G$2010,$D81,'LAC 102_Wkst'!$L$7:$L$2010,"13",'LAC 102_Wkst'!$N$7:$N$2010,"P2")+SUMIFS('LAC 102_Wkst'!$AE$7:$AE$2010,'LAC 102_Wkst'!$E$7:$E$2010,$C81,'LAC 102_Wkst'!$G$7:$G$2010,$D81,'LAC 102_Wkst'!$L$7:$L$2010,"13",'LAC 102_Wkst'!$N$7:$N$2010,"P3")+SUMIFS('LAC 102_Wkst'!$AE$7:$AE$2010,'LAC 102_Wkst'!$E$7:$E$2010,$C81,'LAC 102_Wkst'!$G$7:$G$2010,$D81,'LAC 102_Wkst'!$L$7:$L$2010,"13",'LAC 102_Wkst'!$N$7:$N$2010,"P4")</f>
        <v>0</v>
      </c>
      <c r="BD81" s="410">
        <f>SUMIFS('LAC 102_Wkst'!$Q$7:$Q$2010,'LAC 102_Wkst'!$E$7:$E$2010,$C81,'LAC 102_Wkst'!$G$7:$G$2010,$D81,'LAC 102_Wkst'!$L$7:$L$2010,"13",'LAC 102_Wkst'!$N$7:$N$2010,"P5")</f>
        <v>0</v>
      </c>
      <c r="BE81" s="411">
        <f>SUMIFS('LAC 102_Wkst'!$AE$7:$AE$2010,'LAC 102_Wkst'!$E$7:$E$2010,$C81,'LAC 102_Wkst'!$G$7:$G$2010,$D81,'LAC 102_Wkst'!$L$7:$L$2010,"13",'LAC 102_Wkst'!$N$7:$N$2010,"P5")</f>
        <v>0</v>
      </c>
      <c r="BF81" s="407">
        <f t="shared" si="0"/>
        <v>0</v>
      </c>
    </row>
    <row r="82" spans="1:58" x14ac:dyDescent="0.2">
      <c r="A82" s="401">
        <v>63</v>
      </c>
      <c r="B82" s="1236"/>
      <c r="C82" s="1235"/>
      <c r="D82" s="1237"/>
      <c r="E82" s="1222">
        <f>IF(CONCATENATE(C82,D82)&gt;"6069",1,SUMIFS('LAC 102_Wkst'!$Q$7:$Q$2010,'LAC 102_Wkst'!$E$7:$E$2010,Schedule_B!$C82,'LAC 102_Wkst'!$G$7:$G$2010,Schedule_B!$D82))</f>
        <v>0</v>
      </c>
      <c r="F82" s="408">
        <f>SUMIFS('LAC 102_Wkst'!$Q$7:$Q$2010,'LAC 102_Wkst'!$E$7:$E$2010,$C82,'LAC 102_Wkst'!$G$7:$G$2010,$D82,'LAC 102_Wkst'!$L$7:$L$2010,"01",'LAC 102_Wkst'!$N$7:$N$2010,"P1")+SUMIFS('LAC 102_Wkst'!$Q$7:$Q$2010,'LAC 102_Wkst'!$E$7:$E$2010,$C82,'LAC 102_Wkst'!$G$7:$G$2010,$D82,'LAC 102_Wkst'!$L$7:$L$2010,"01",'LAC 102_Wkst'!$N$7:$N$2010,"P2")+SUMIFS('LAC 102_Wkst'!$Q$7:$Q$2010,'LAC 102_Wkst'!$E$7:$E$2010,$C82,'LAC 102_Wkst'!$G$7:$G$2010,$D82,'LAC 102_Wkst'!$L$7:$L$2010,"01",'LAC 102_Wkst'!$N$7:$N$2010,"P3")+SUMIFS('LAC 102_Wkst'!$Q$7:$Q$2010,'LAC 102_Wkst'!$E$7:$E$2010,$C82,'LAC 102_Wkst'!$G$7:$G$2010,$D82,'LAC 102_Wkst'!$L$7:$L$2010,"02",'LAC 102_Wkst'!$N$7:$N$2010,"P1")+SUMIFS('LAC 102_Wkst'!$Q$7:$Q$2010,'LAC 102_Wkst'!$E$7:$E$2010,$C82,'LAC 102_Wkst'!$G$7:$G$2010,$D82,'LAC 102_Wkst'!$L$7:$L$2010,"02",'LAC 102_Wkst'!$N$7:$N$2010,"P2")+SUMIFS('LAC 102_Wkst'!$Q$7:$Q$2010,'LAC 102_Wkst'!$E$7:$E$2010,$C82,'LAC 102_Wkst'!$G$7:$G$2010,$D82,'LAC 102_Wkst'!$L$7:$L$2010,"02",'LAC 102_Wkst'!$N$7:$N$2010,"P3")</f>
        <v>0</v>
      </c>
      <c r="G82" s="409">
        <f>SUMIFS('LAC 102_Wkst'!$AE$7:$AE$2010,'LAC 102_Wkst'!$E$7:$E$2010,$C82,'LAC 102_Wkst'!$G$7:$G$2010,$D82,'LAC 102_Wkst'!$L$7:$L$2010,"01",'LAC 102_Wkst'!$N$7:$N$2010,"P1")+SUMIFS('LAC 102_Wkst'!$AE$7:$AE$2010,'LAC 102_Wkst'!$E$7:$E$2010,$C82,'LAC 102_Wkst'!$G$7:$G$2010,$D82,'LAC 102_Wkst'!$L$7:$L$2010,"01",'LAC 102_Wkst'!$N$7:$N$2010,"P2")+SUMIFS('LAC 102_Wkst'!$AE$7:$AE$2010,'LAC 102_Wkst'!$E$7:$E$2010,$C82,'LAC 102_Wkst'!$G$7:$G$2010,$D82,'LAC 102_Wkst'!$L$7:$L$2010,"01",'LAC 102_Wkst'!$N$7:$N$2010,"P3")+SUMIFS('LAC 102_Wkst'!$AE$7:$AE$2010,'LAC 102_Wkst'!$E$7:$E$2010,$C82,'LAC 102_Wkst'!$G$7:$G$2010,$D82,'LAC 102_Wkst'!$L$7:$L$2010,"02",'LAC 102_Wkst'!$N$7:$N$2010,"P1")+SUMIFS('LAC 102_Wkst'!$AE$7:$AE$2010,'LAC 102_Wkst'!$E$7:$E$2010,$C82,'LAC 102_Wkst'!$G$7:$G$2010,$D82,'LAC 102_Wkst'!$L$7:$L$2010,"02",'LAC 102_Wkst'!$N$7:$N$2010,"P2")+SUMIFS('LAC 102_Wkst'!$AE$7:$AE$2010,'LAC 102_Wkst'!$E$7:$E$2010,$C82,'LAC 102_Wkst'!$G$7:$G$2010,$D82,'LAC 102_Wkst'!$L$7:$L$2010,"02",'LAC 102_Wkst'!$N$7:$N$2010,"P3")</f>
        <v>0</v>
      </c>
      <c r="H82" s="410">
        <f>SUMIFS('LAC 102_Wkst'!$Q$7:$Q$2010,'LAC 102_Wkst'!$E$7:$E$2010,$C82,'LAC 102_Wkst'!$G$7:$G$2010,$D82,'LAC 102_Wkst'!$L$7:$L$2010,"01",'LAC 102_Wkst'!$N$7:$N$2010,"P4")+SUMIFS('LAC 102_Wkst'!$Q$7:$Q$2010,'LAC 102_Wkst'!$E$7:$E$2010,$C82,'LAC 102_Wkst'!$G$7:$G$2010,$D82,'LAC 102_Wkst'!$L$7:$L$2010,"02",'LAC 102_Wkst'!$N$7:$N$2010,"P4")</f>
        <v>0</v>
      </c>
      <c r="I82" s="411">
        <f>SUMIFS('LAC 102_Wkst'!$AE$7:$AE$2010,'LAC 102_Wkst'!$E$7:$E$2010,$C82,'LAC 102_Wkst'!$G$7:$G$2010,$D82,'LAC 102_Wkst'!$L$7:$L$2010,"01",'LAC 102_Wkst'!$N$7:$N$2010,"P4")+SUMIFS('LAC 102_Wkst'!$AE$7:$AE$2010,'LAC 102_Wkst'!$E$7:$E$2010,$C82,'LAC 102_Wkst'!$G$7:$G$2010,$D82,'LAC 102_Wkst'!$L$7:$L$2010,"02",'LAC 102_Wkst'!$N$7:$N$2010,"P4")</f>
        <v>0</v>
      </c>
      <c r="J82" s="410">
        <f>SUMIFS('LAC 102_Wkst'!$Q$7:$Q$2010,'LAC 102_Wkst'!$E$7:$E$2010,$C82,'LAC 102_Wkst'!$G$7:$G$2010,$D82,'LAC 102_Wkst'!$L$7:$L$2010,"01",'LAC 102_Wkst'!$N$7:$N$2010,"P5")+SUMIFS('LAC 102_Wkst'!$Q$7:$Q$2010,'LAC 102_Wkst'!$E$7:$E$2010,$C82,'LAC 102_Wkst'!$G$7:$G$2010,$D82,'LAC 102_Wkst'!$L$7:$L$2010,"02",'LAC 102_Wkst'!$N$7:$N$2010,"P5")</f>
        <v>0</v>
      </c>
      <c r="K82" s="411">
        <f>SUMIFS('LAC 102_Wkst'!$AE$7:$AE$2010,'LAC 102_Wkst'!$E$7:$E$2010,$C82,'LAC 102_Wkst'!$G$7:$G$2010,$D82,'LAC 102_Wkst'!$L$7:$L$2010,"01",'LAC 102_Wkst'!$N$7:$N$2010,"P5")+SUMIFS('LAC 102_Wkst'!$AE$7:$AE$2010,'LAC 102_Wkst'!$E$7:$E$2010,$C82,'LAC 102_Wkst'!$G$7:$G$2010,$D82,'LAC 102_Wkst'!$L$7:$L$2010,"02",'LAC 102_Wkst'!$N$7:$N$2010,"P5")</f>
        <v>0</v>
      </c>
      <c r="L82" s="410">
        <f>SUMIFS('LAC 102_Wkst'!$Q$7:$Q$2010,'LAC 102_Wkst'!$E$7:$E$2010,$C82,'LAC 102_Wkst'!$G$7:$G$2010,$D82,'LAC 102_Wkst'!$L$7:$L$2010,"03",'LAC 102_Wkst'!$N$7:$N$2010,"P1")+SUMIFS('LAC 102_Wkst'!$Q$7:$Q$2010,'LAC 102_Wkst'!$E$7:$E$2010,$C82,'LAC 102_Wkst'!$G$7:$G$2010,$D82,'LAC 102_Wkst'!$L$7:$L$2010,"03",'LAC 102_Wkst'!$N$7:$N$2010,"P2")+SUMIFS('LAC 102_Wkst'!$Q$7:$Q$2010,'LAC 102_Wkst'!$E$7:$E$2010,$C82,'LAC 102_Wkst'!$G$7:$G$2010,$D82,'LAC 102_Wkst'!$L$7:$L$2010,"03",'LAC 102_Wkst'!$N$7:$N$2010,"P3")+SUMIFS('LAC 102_Wkst'!$Q$7:$Q$2010,'LAC 102_Wkst'!$E$7:$E$2010,$C82,'LAC 102_Wkst'!$G$7:$G$2010,$D82,'LAC 102_Wkst'!$L$7:$L$2010,"04",'LAC 102_Wkst'!$N$7:$N$2010,"P1")+SUMIFS('LAC 102_Wkst'!$Q$7:$Q$2010,'LAC 102_Wkst'!$E$7:$E$2010,$C82,'LAC 102_Wkst'!$G$7:$G$2010,$D82,'LAC 102_Wkst'!$L$7:$L$2010,"04",'LAC 102_Wkst'!$N$7:$N$2010,"P2")+SUMIFS('LAC 102_Wkst'!$Q$7:$Q$2010,'LAC 102_Wkst'!$E$7:$E$2010,$C82,'LAC 102_Wkst'!$G$7:$G$2010,$D82,'LAC 102_Wkst'!$L$7:$L$2010,"04",'LAC 102_Wkst'!$N$7:$N$2010,"P3")</f>
        <v>0</v>
      </c>
      <c r="M82" s="411">
        <f>SUMIFS('LAC 102_Wkst'!$AE$7:$AE$2010,'LAC 102_Wkst'!$E$7:$E$2010,$C82,'LAC 102_Wkst'!$G$7:$G$2010,$D82,'LAC 102_Wkst'!$L$7:$L$2010,"03",'LAC 102_Wkst'!$N$7:$N$2010,"P1")+SUMIFS('LAC 102_Wkst'!$AE$7:$AE$2010,'LAC 102_Wkst'!$E$7:$E$2010,$C82,'LAC 102_Wkst'!$G$7:$G$2010,$D82,'LAC 102_Wkst'!$L$7:$L$2010,"03",'LAC 102_Wkst'!$N$7:$N$2010,"P2")+SUMIFS('LAC 102_Wkst'!$AE$7:$AE$2010,'LAC 102_Wkst'!$E$7:$E$2010,$C82,'LAC 102_Wkst'!$G$7:$G$2010,$D82,'LAC 102_Wkst'!$L$7:$L$2010,"03",'LAC 102_Wkst'!$N$7:$N$2010,"P3")+SUMIFS('LAC 102_Wkst'!$AE$7:$AE$2010,'LAC 102_Wkst'!$E$7:$E$2010,$C82,'LAC 102_Wkst'!$G$7:$G$2010,$D82,'LAC 102_Wkst'!$L$7:$L$2010,"04",'LAC 102_Wkst'!$N$7:$N$2010,"P1")+SUMIFS('LAC 102_Wkst'!$AE$7:$AE$2010,'LAC 102_Wkst'!$E$7:$E$2010,$C82,'LAC 102_Wkst'!$G$7:$G$2010,$D82,'LAC 102_Wkst'!$L$7:$L$2010,"04",'LAC 102_Wkst'!$N$7:$N$2010,"P2")+SUMIFS('LAC 102_Wkst'!$AE$7:$AE$2010,'LAC 102_Wkst'!$E$7:$E$2010,$C82,'LAC 102_Wkst'!$G$7:$G$2010,$D82,'LAC 102_Wkst'!$L$7:$L$2010,"04",'LAC 102_Wkst'!$N$7:$N$2010,"P3")</f>
        <v>0</v>
      </c>
      <c r="N82" s="410">
        <f>SUMIFS('LAC 102_Wkst'!$Q$7:$Q$2010,'LAC 102_Wkst'!$E$7:$E$2010,$C82,'LAC 102_Wkst'!$G$7:$G$2010,$D82,'LAC 102_Wkst'!$L$7:$L$2010,"03",'LAC 102_Wkst'!$N$7:$N$2010,"P4")+SUMIFS('LAC 102_Wkst'!$Q$7:$Q$2010,'LAC 102_Wkst'!$E$7:$E$2010,$C82,'LAC 102_Wkst'!$G$7:$G$2010,$D82,'LAC 102_Wkst'!$L$7:$L$2010,"04",'LAC 102_Wkst'!$N$7:$N$2010,"P4")</f>
        <v>0</v>
      </c>
      <c r="O82" s="411">
        <f>SUMIFS('LAC 102_Wkst'!$AE$7:$AE$2010,'LAC 102_Wkst'!$E$7:$E$2010,$C82,'LAC 102_Wkst'!$G$7:$G$2010,$D82,'LAC 102_Wkst'!$L$7:$L$2010,"03",'LAC 102_Wkst'!$N$7:$N$2010,"P4")+SUMIFS('LAC 102_Wkst'!$AE$7:$AE$2010,'LAC 102_Wkst'!$E$7:$E$2010,$C82,'LAC 102_Wkst'!$G$7:$G$2010,$D82,'LAC 102_Wkst'!$L$7:$L$2010,"04",'LAC 102_Wkst'!$N$7:$N$2010,"P4")</f>
        <v>0</v>
      </c>
      <c r="P82" s="410">
        <f>SUMIFS('LAC 102_Wkst'!$Q$7:$Q$2010,'LAC 102_Wkst'!$E$7:$E$2010,$C82,'LAC 102_Wkst'!$G$7:$G$2010,$D82,'LAC 102_Wkst'!$L$7:$L$2010,"03",'LAC 102_Wkst'!$N$7:$N$2010,"P5")+SUMIFS('LAC 102_Wkst'!$Q$7:$Q$2010,'LAC 102_Wkst'!$E$7:$E$2010,$C82,'LAC 102_Wkst'!$G$7:$G$2010,$D82,'LAC 102_Wkst'!$L$7:$L$2010,"04",'LAC 102_Wkst'!$N$7:$N$2010,"P5")</f>
        <v>0</v>
      </c>
      <c r="Q82" s="411">
        <f>SUMIFS('LAC 102_Wkst'!$AE$7:$AE$2010,'LAC 102_Wkst'!$E$7:$E$2010,$C82,'LAC 102_Wkst'!$G$7:$G$2010,$D82,'LAC 102_Wkst'!$L$7:$L$2010,"03",'LAC 102_Wkst'!$N$7:$N$2010,"P5")+SUMIFS('LAC 102_Wkst'!$AE$7:$AE$2010,'LAC 102_Wkst'!$E$7:$E$2010,$C82,'LAC 102_Wkst'!$G$7:$G$2010,$D82,'LAC 102_Wkst'!$L$7:$L$2010,"04",'LAC 102_Wkst'!$N$7:$N$2010,"P5")</f>
        <v>0</v>
      </c>
      <c r="R82" s="412">
        <f>SUMIFS('LAC 102_Wkst'!$Q$7:$Q$2010,'LAC 102_Wkst'!$E$7:$E$2010,$C82,'LAC 102_Wkst'!$G$7:$G$2010,$D82,'LAC 102_Wkst'!$L$7:$L$2010,"05",'LAC 102_Wkst'!$N$7:$N$2010,"P1")+SUMIFS('LAC 102_Wkst'!$Q$7:$Q$2010,'LAC 102_Wkst'!$E$7:$E$2010,$C82,'LAC 102_Wkst'!$G$7:$G$2010,$D82,'LAC 102_Wkst'!$L$7:$L$2010,"06",'LAC 102_Wkst'!$N$7:$N$2010,"P1")</f>
        <v>0</v>
      </c>
      <c r="S82" s="411">
        <f>SUMIFS('LAC 102_Wkst'!$AE$7:$AE$2010,'LAC 102_Wkst'!$E$7:$E$2010,$C82,'LAC 102_Wkst'!$G$7:$G$2010,$D82,'LAC 102_Wkst'!$L$7:$L$2010,"05",'LAC 102_Wkst'!$N$7:$N$2010,"P1")+SUMIFS('LAC 102_Wkst'!$AE$7:$AE$2010,'LAC 102_Wkst'!$E$7:$E$2010,$C82,'LAC 102_Wkst'!$G$7:$G$2010,$D82,'LAC 102_Wkst'!$L$7:$L$2010,"06",'LAC 102_Wkst'!$N$7:$N$2010,"P1")</f>
        <v>0</v>
      </c>
      <c r="T82" s="410">
        <f>SUMIFS('LAC 102_Wkst'!$Q$7:$Q$2010,'LAC 102_Wkst'!$E$7:$E$2010,$C82,'LAC 102_Wkst'!$G$7:$G$2010,$D82,'LAC 102_Wkst'!$L$7:$L$2010,"05",'LAC 102_Wkst'!$N$7:$N$2010,"P2")+SUMIFS('LAC 102_Wkst'!$Q$7:$Q$2010,'LAC 102_Wkst'!$E$7:$E$2010,$C82,'LAC 102_Wkst'!$G$7:$G$2010,$D82,'LAC 102_Wkst'!$L$7:$L$2010,"05",'LAC 102_Wkst'!$N$7:$N$2010,"P3")+SUMIFS('LAC 102_Wkst'!$Q$7:$Q$2010,'LAC 102_Wkst'!$E$7:$E$2010,$C82,'LAC 102_Wkst'!$G$7:$G$2010,$D82,'LAC 102_Wkst'!$L$7:$L$2010,"06",'LAC 102_Wkst'!$N$7:$N$2010,"P2")+SUMIFS('LAC 102_Wkst'!$Q$7:$Q$2010,'LAC 102_Wkst'!$E$7:$E$2010,$C82,'LAC 102_Wkst'!$G$7:$G$2010,$D82,'LAC 102_Wkst'!$L$7:$L$2010,"06",'LAC 102_Wkst'!$N$7:$N$2010,"P3")</f>
        <v>0</v>
      </c>
      <c r="U82" s="411">
        <f>SUMIFS('LAC 102_Wkst'!$AE$7:$AE$2010,'LAC 102_Wkst'!$E$7:$E$2010,$C82,'LAC 102_Wkst'!$G$7:$G$2010,$D82,'LAC 102_Wkst'!$L$7:$L$2010,"05",'LAC 102_Wkst'!$N$7:$N$2010,"P2")+SUMIFS('LAC 102_Wkst'!$AE$7:$AE$2010,'LAC 102_Wkst'!$E$7:$E$2010,$C82,'LAC 102_Wkst'!$G$7:$G$2010,$D82,'LAC 102_Wkst'!$L$7:$L$2010,"06",'LAC 102_Wkst'!$N$7:$N$2010,"P3")+SUMIFS('LAC 102_Wkst'!$AE$7:$AE$2010,'LAC 102_Wkst'!$E$7:$E$2010,$C82,'LAC 102_Wkst'!$G$7:$G$2010,$D82,'LAC 102_Wkst'!$L$7:$L$2010,"05",'LAC 102_Wkst'!$N$7:$N$2010,"P2")+SUMIFS('LAC 102_Wkst'!$AE$7:$AE$2010,'LAC 102_Wkst'!$E$7:$E$2010,$C82,'LAC 102_Wkst'!$G$7:$G$2010,$D82,'LAC 102_Wkst'!$L$7:$L$2010,"06",'LAC 102_Wkst'!$N$7:$N$2010,"P3")</f>
        <v>0</v>
      </c>
      <c r="V82" s="410">
        <f>SUMIFS('LAC 102_Wkst'!$Q$7:$Q$2010,'LAC 102_Wkst'!$E$7:$E$2010,$C82,'LAC 102_Wkst'!$G$7:$G$2010,$D82,'LAC 102_Wkst'!$L$7:$L$2010,"05",'LAC 102_Wkst'!$N$7:$N$2010,"P4")+SUMIFS('LAC 102_Wkst'!$Q$7:$Q$2010,'LAC 102_Wkst'!$E$7:$E$2010,$C82,'LAC 102_Wkst'!$G$7:$G$2010,$D82,'LAC 102_Wkst'!$L$7:$L$2010,"06",'LAC 102_Wkst'!$N$7:$N$2010,"P4")</f>
        <v>0</v>
      </c>
      <c r="W82" s="411">
        <f>SUMIFS('LAC 102_Wkst'!$AE$7:$AE$2010,'LAC 102_Wkst'!$E$7:$E$2010,$C82,'LAC 102_Wkst'!$G$7:$G$2010,$D82,'LAC 102_Wkst'!$L$7:$L$2010,"05",'LAC 102_Wkst'!$N$7:$N$2010,"P4")+SUMIFS('LAC 102_Wkst'!$AE$7:$AE$2010,'LAC 102_Wkst'!$E$7:$E$2010,$C82,'LAC 102_Wkst'!$G$7:$G$2010,$D82,'LAC 102_Wkst'!$L$7:$L$2010,"06",'LAC 102_Wkst'!$N$7:$N$2010,"P4")</f>
        <v>0</v>
      </c>
      <c r="X82" s="410">
        <f>SUMIFS('LAC 102_Wkst'!$Q$7:$Q$2010,'LAC 102_Wkst'!$E$7:$E$2010,$C82,'LAC 102_Wkst'!$G$7:$G$2010,$D82,'LAC 102_Wkst'!$L$7:$L$2010,"05",'LAC 102_Wkst'!$N$7:$N$2010,"P5")+SUMIFS('LAC 102_Wkst'!$Q$7:$Q$2010,'LAC 102_Wkst'!$E$7:$E$2010,$C82,'LAC 102_Wkst'!$G$7:$G$2010,$D82,'LAC 102_Wkst'!$L$7:$L$2010,"06",'LAC 102_Wkst'!$N$7:$N$2010,"P5")</f>
        <v>0</v>
      </c>
      <c r="Y82" s="411">
        <f>SUMIFS('LAC 102_Wkst'!$AE$7:$AE$2010,'LAC 102_Wkst'!$E$7:$E$2010,$C82,'LAC 102_Wkst'!$G$7:$G$2010,$D82,'LAC 102_Wkst'!$L$7:$L$2010,"05",'LAC 102_Wkst'!$N$7:$N$2010,"P5")+SUMIFS('LAC 102_Wkst'!$AE$7:$AE$2010,'LAC 102_Wkst'!$E$7:$E$2010,$C82,'LAC 102_Wkst'!$G$7:$G$2010,$D82,'LAC 102_Wkst'!$L$7:$L$2010,"06",'LAC 102_Wkst'!$N$7:$N$2010,"P5")</f>
        <v>0</v>
      </c>
      <c r="Z82" s="410">
        <f>SUMIFS('LAC 102_Wkst'!$Q$7:$Q$2010,'LAC 102_Wkst'!$E$7:$E$2010,$C82,'LAC 102_Wkst'!$G$7:$G$2010,$D82,'LAC 102_Wkst'!$L$7:$L$2010,"07",'LAC 102_Wkst'!$N$7:$N$2010,"P1")+SUMIFS('LAC 102_Wkst'!$Q$7:$Q$2010,'LAC 102_Wkst'!$E$7:$E$2010,$C82,'LAC 102_Wkst'!$G$7:$G$2010,$D82,'LAC 102_Wkst'!$L$7:$L$2010,"07",'LAC 102_Wkst'!$N$7:$N$2010,"P2")+SUMIFS('LAC 102_Wkst'!$Q$7:$Q$2010,'LAC 102_Wkst'!$E$7:$E$2010,$C82,'LAC 102_Wkst'!$G$7:$G$2010,$D82,'LAC 102_Wkst'!$L$7:$L$2010,"07",'LAC 102_Wkst'!$N$7:$N$2010,"P3")</f>
        <v>0</v>
      </c>
      <c r="AA82" s="411">
        <f>SUMIFS('LAC 102_Wkst'!$AE$7:$AE$2010,'LAC 102_Wkst'!$E$7:$E$2010,$C82,'LAC 102_Wkst'!$G$7:$G$2010,$D82,'LAC 102_Wkst'!$L$7:$L$2010,"07",'LAC 102_Wkst'!$N$7:$N$2010,"P1")+SUMIFS('LAC 102_Wkst'!$AE$7:$AE$2010,'LAC 102_Wkst'!$E$7:$E$2010,$C82,'LAC 102_Wkst'!$G$7:$G$2010,$D82,'LAC 102_Wkst'!$L$7:$L$2010,"07",'LAC 102_Wkst'!$N$7:$N$2010,"P2")+SUMIFS('LAC 102_Wkst'!$AE$7:$AE$2010,'LAC 102_Wkst'!$E$7:$E$2010,$C82,'LAC 102_Wkst'!$G$7:$G$2010,$D82,'LAC 102_Wkst'!$L$7:$L$2010,"07",'LAC 102_Wkst'!$N$7:$N$2010,"P3")</f>
        <v>0</v>
      </c>
      <c r="AB82" s="410">
        <f>SUMIFS('LAC 102_Wkst'!$Q$7:$Q$2010,'LAC 102_Wkst'!$E$7:$E$2010,$C82,'LAC 102_Wkst'!$G$7:$G$2010,$D82,'LAC 102_Wkst'!$L$7:$L$2010,"07",'LAC 102_Wkst'!$N$7:$N$2010,"P4")</f>
        <v>0</v>
      </c>
      <c r="AC82" s="411">
        <f>SUMIFS('LAC 102_Wkst'!$AE$7:$AE$2010,'LAC 102_Wkst'!$E$7:$E$2010,$C82,'LAC 102_Wkst'!$G$7:$G$2010,$D82,'LAC 102_Wkst'!$L$7:$L$2010,"07",'LAC 102_Wkst'!$N$7:$N$2010,"P4")</f>
        <v>0</v>
      </c>
      <c r="AD82" s="410">
        <f>SUMIFS('LAC 102_Wkst'!$Q$7:$Q$2010,'LAC 102_Wkst'!$E$7:$E$2010,$C82,'LAC 102_Wkst'!$G$7:$G$2010,$D82,'LAC 102_Wkst'!$L$7:$L$2010,"07",'LAC 102_Wkst'!$N$7:$N$2010,"P5")</f>
        <v>0</v>
      </c>
      <c r="AE82" s="411">
        <f>SUMIFS('LAC 102_Wkst'!$AE$7:$AE$2010,'LAC 102_Wkst'!$E$7:$E$2010,$C82,'LAC 102_Wkst'!$G$7:$G$2010,$D82,'LAC 102_Wkst'!$L$7:$L$2010,"07",'LAC 102_Wkst'!$N$7:$N$2010,"P5")</f>
        <v>0</v>
      </c>
      <c r="AF82" s="410">
        <f>SUMIFS('LAC 102_Wkst'!$Q$7:$Q$2010,'LAC 102_Wkst'!$E$7:$E$2010,$C82,'LAC 102_Wkst'!$G$7:$G$2010,$D82,'LAC 102_Wkst'!$L$7:$L$2010,"08",'LAC 102_Wkst'!$N$7:$N$2010,"P1")+SUMIFS('LAC 102_Wkst'!$Q$7:$Q$2010,'LAC 102_Wkst'!$E$7:$E$2010,$C82,'LAC 102_Wkst'!$G$7:$G$2010,$D82,'LAC 102_Wkst'!$L$7:$L$2010,"08",'LAC 102_Wkst'!$N$7:$N$2010,"P2")+SUMIFS('LAC 102_Wkst'!$Q$7:$Q$2010,'LAC 102_Wkst'!$E$7:$E$2010,$C82,'LAC 102_Wkst'!$G$7:$G$2010,$D82,'LAC 102_Wkst'!$L$7:$L$2010,"08",'LAC 102_Wkst'!$N$7:$N$2010,"P3")</f>
        <v>0</v>
      </c>
      <c r="AG82" s="411">
        <f>SUMIFS('LAC 102_Wkst'!$AE$7:$AE$2010,'LAC 102_Wkst'!$E$7:$E$2010,$C82,'LAC 102_Wkst'!$G$7:$G$2010,$D82,'LAC 102_Wkst'!$L$7:$L$2010,"08",'LAC 102_Wkst'!$N$7:$N$2010,"P1")+SUMIFS('LAC 102_Wkst'!$AE$7:$AE$2010,'LAC 102_Wkst'!$E$7:$E$2010,$C82,'LAC 102_Wkst'!$G$7:$G$2010,$D82,'LAC 102_Wkst'!$L$7:$L$2010,"08",'LAC 102_Wkst'!$N$7:$N$2010,"P2")+SUMIFS('LAC 102_Wkst'!$AE$7:$AE$2010,'LAC 102_Wkst'!$E$7:$E$2010,$C82,'LAC 102_Wkst'!$G$7:$G$2010,$D82,'LAC 102_Wkst'!$L$7:$L$2010,"08",'LAC 102_Wkst'!$N$7:$N$2010,"P3")</f>
        <v>0</v>
      </c>
      <c r="AH82" s="410">
        <f>SUMIFS('LAC 102_Wkst'!$Q$7:$Q$2010,'LAC 102_Wkst'!$E$7:$E$2010,$C82,'LAC 102_Wkst'!$G$7:$G$2010,$D82,'LAC 102_Wkst'!$L$7:$L$2010,"08",'LAC 102_Wkst'!$N$7:$N$2010,"P4")</f>
        <v>0</v>
      </c>
      <c r="AI82" s="411">
        <f>SUMIFS('LAC 102_Wkst'!$AE$7:$AE$2010,'LAC 102_Wkst'!$E$7:$E$2010,$C82,'LAC 102_Wkst'!$G$7:$G$2010,$D82,'LAC 102_Wkst'!$L$7:$L$2010,"08",'LAC 102_Wkst'!$N$7:$N$2010,"P4")</f>
        <v>0</v>
      </c>
      <c r="AJ82" s="410">
        <f>SUMIFS('LAC 102_Wkst'!$Q$7:$Q$2010,'LAC 102_Wkst'!$E$7:$E$2010,$C82,'LAC 102_Wkst'!$G$7:$G$2010,$D82,'LAC 102_Wkst'!$L$7:$L$2010,"08",'LAC 102_Wkst'!$N$7:$N$2010,"P5")</f>
        <v>0</v>
      </c>
      <c r="AK82" s="411">
        <f>SUMIFS('LAC 102_Wkst'!$AE$7:$AE$2010,'LAC 102_Wkst'!$E$7:$E$2010,$C82,'LAC 102_Wkst'!$G$7:$G$2010,$D82,'LAC 102_Wkst'!$L$7:$L$2010,"08",'LAC 102_Wkst'!$N$7:$N$2010,"P5")</f>
        <v>0</v>
      </c>
      <c r="AL82" s="410">
        <f>SUMIFS('LAC 102_Wkst'!$Q$7:$Q$2010,'LAC 102_Wkst'!$E$7:$E$2010,$C82,'LAC 102_Wkst'!$G$7:$G$2010,$D82,'LAC 102_Wkst'!$L$7:$L$2010,"09",'LAC 102_Wkst'!$N$7:$N$2010,"P1")+SUMIFS('LAC 102_Wkst'!$Q$7:$Q$2010,'LAC 102_Wkst'!$E$7:$E$2010,$C82,'LAC 102_Wkst'!$G$7:$G$2010,$D82,'LAC 102_Wkst'!$L$7:$L$2010,"09",'LAC 102_Wkst'!$N$7:$N$2010,"P2")+SUMIFS('LAC 102_Wkst'!$Q$7:$Q$2010,'LAC 102_Wkst'!$E$7:$E$2010,$C82,'LAC 102_Wkst'!$G$7:$G$2010,$D82,'LAC 102_Wkst'!$L$7:$L$2010,"09",'LAC 102_Wkst'!$N$7:$N$2010,"P3")+SUMIFS('LAC 102_Wkst'!$Q$7:$Q$2010,'LAC 102_Wkst'!$E$7:$E$2010,$C82,'LAC 102_Wkst'!$G$7:$G$2010,$D82,'LAC 102_Wkst'!$L$7:$L$2010,"09",'LAC 102_Wkst'!$N$7:$N$2010,"P4")</f>
        <v>0</v>
      </c>
      <c r="AM82" s="411">
        <f>SUMIFS('LAC 102_Wkst'!$AE$7:$AE$2010,'LAC 102_Wkst'!$E$7:$E$2010,$C82,'LAC 102_Wkst'!$G$7:$G$2010,$D82,'LAC 102_Wkst'!$L$7:$L$2010,"09",'LAC 102_Wkst'!$N$7:$N$2010,"P1")+SUMIFS('LAC 102_Wkst'!$AE$7:$AE$2010,'LAC 102_Wkst'!$E$7:$E$2010,$C82,'LAC 102_Wkst'!$G$7:$G$2010,$D82,'LAC 102_Wkst'!$L$7:$L$2010,"09",'LAC 102_Wkst'!$N$7:$N$2010,"P2")+SUMIFS('LAC 102_Wkst'!$AE$7:$AE$2010,'LAC 102_Wkst'!$E$7:$E$2010,$C82,'LAC 102_Wkst'!$G$7:$G$2010,$D82,'LAC 102_Wkst'!$L$7:$L$2010,"09",'LAC 102_Wkst'!$N$7:$N$2010,"P3")+SUMIFS('LAC 102_Wkst'!$AE$7:$AE$2010,'LAC 102_Wkst'!$E$7:$E$2010,$C82,'LAC 102_Wkst'!$G$7:$G$2010,$D82,'LAC 102_Wkst'!$L$7:$L$2010,"09",'LAC 102_Wkst'!$N$7:$N$2010,"P4")</f>
        <v>0</v>
      </c>
      <c r="AN82" s="410">
        <f>SUMIFS('LAC 102_Wkst'!$Q$7:$Q$2010,'LAC 102_Wkst'!$E$7:$E$2010,$C82,'LAC 102_Wkst'!$G$7:$G$2010,$D82,'LAC 102_Wkst'!$L$7:$L$2010,"09",'LAC 102_Wkst'!$N$7:$N$2010,"P5")</f>
        <v>0</v>
      </c>
      <c r="AO82" s="411">
        <f>SUMIFS('LAC 102_Wkst'!$AE$7:$AE$2010,'LAC 102_Wkst'!$E$7:$E$2010,$C82,'LAC 102_Wkst'!$G$7:$G$2010,$D82,'LAC 102_Wkst'!$L$7:$L$2010,"09",'LAC 102_Wkst'!$N$7:$N$2010,"P5")</f>
        <v>0</v>
      </c>
      <c r="AP82" s="410">
        <f>SUMIFS('LAC 102_Wkst'!$Q$7:$Q$2010,'LAC 102_Wkst'!$E$7:$E$2010,$C82,'LAC 102_Wkst'!$G$7:$G$2010,$D82,'LAC 102_Wkst'!$L$7:$L$2010,"10",'LAC 102_Wkst'!$N$7:$N$2010,"P1")+SUMIFS('LAC 102_Wkst'!$Q$7:$Q$2010,'LAC 102_Wkst'!$E$7:$E$2010,$C82,'LAC 102_Wkst'!$G$7:$G$2010,$D82,'LAC 102_Wkst'!$L$7:$L$2010,"10",'LAC 102_Wkst'!$N$7:$N$2010,"P2")+SUMIFS('LAC 102_Wkst'!$Q$7:$Q$2010,'LAC 102_Wkst'!$E$7:$E$2010,$C82,'LAC 102_Wkst'!$G$7:$G$2010,$D82,'LAC 102_Wkst'!$L$7:$L$2010,"10",'LAC 102_Wkst'!$N$7:$N$2010,"P3")+SUMIFS('LAC 102_Wkst'!$Q$7:$Q$2010,'LAC 102_Wkst'!$E$7:$E$2010,$C82,'LAC 102_Wkst'!$G$7:$G$2010,$D82,'LAC 102_Wkst'!$L$7:$L$2010,"10",'LAC 102_Wkst'!$N$7:$N$2010,"P4")</f>
        <v>0</v>
      </c>
      <c r="AQ82" s="411">
        <f>SUMIFS('LAC 102_Wkst'!$AE$7:$AE$2010,'LAC 102_Wkst'!$E$7:$E$2010,$C82,'LAC 102_Wkst'!$G$7:$G$2010,$D82,'LAC 102_Wkst'!$L$7:$L$2010,"10",'LAC 102_Wkst'!$N$7:$N$2010,"P1")+SUMIFS('LAC 102_Wkst'!$AE$7:$AE$2010,'LAC 102_Wkst'!$E$7:$E$2010,$C82,'LAC 102_Wkst'!$G$7:$G$2010,$D82,'LAC 102_Wkst'!$L$7:$L$2010,"10",'LAC 102_Wkst'!$N$7:$N$2010,"P2")+SUMIFS('LAC 102_Wkst'!$AE$7:$AE$2010,'LAC 102_Wkst'!$E$7:$E$2010,$C82,'LAC 102_Wkst'!$G$7:$G$2010,$D82,'LAC 102_Wkst'!$L$7:$L$2010,"10",'LAC 102_Wkst'!$N$7:$N$2010,"P3")+SUMIFS('LAC 102_Wkst'!$AE$7:$AE$2010,'LAC 102_Wkst'!$E$7:$E$2010,$C82,'LAC 102_Wkst'!$G$7:$G$2010,$D82,'LAC 102_Wkst'!$L$7:$L$2010,"10",'LAC 102_Wkst'!$N$7:$N$2010,"P4")</f>
        <v>0</v>
      </c>
      <c r="AR82" s="410">
        <f>SUMIFS('LAC 102_Wkst'!$Q$7:$Q$2010,'LAC 102_Wkst'!$E$7:$E$2010,$C82,'LAC 102_Wkst'!$G$7:$G$2010,$D82,'LAC 102_Wkst'!$L$7:$L$2010,"10",'LAC 102_Wkst'!$N$7:$N$2010,"P5")</f>
        <v>0</v>
      </c>
      <c r="AS82" s="411">
        <f>SUMIFS('LAC 102_Wkst'!$AE$7:$AE$2010,'LAC 102_Wkst'!$E$7:$E$2010,$C82,'LAC 102_Wkst'!$G$7:$G$2010,$D82,'LAC 102_Wkst'!$L$7:$L$2010,"10",'LAC 102_Wkst'!$N$7:$N$2010,"P5")</f>
        <v>0</v>
      </c>
      <c r="AT82" s="410">
        <f>SUMIFS('LAC 102_Wkst'!$Q$7:$Q$2010,'LAC 102_Wkst'!$E$7:$E$2010,$C82,'LAC 102_Wkst'!$G$7:$G$2010,$D82,'LAC 102_Wkst'!$L$7:$L$2010,"11",'LAC 102_Wkst'!$N$7:$N$2010,"P1")+SUMIFS('LAC 102_Wkst'!$Q$7:$Q$2010,'LAC 102_Wkst'!$E$7:$E$2010,$C82,'LAC 102_Wkst'!$G$7:$G$2010,$D82,'LAC 102_Wkst'!$L$7:$L$2010,"12",'LAC 102_Wkst'!$N$7:$N$2010,"P1")</f>
        <v>0</v>
      </c>
      <c r="AU82" s="411">
        <f>SUMIFS('LAC 102_Wkst'!$AE$7:$AE$2010,'LAC 102_Wkst'!$E$7:$E$2010,$C82,'LAC 102_Wkst'!$G$7:$G$2010,$D82,'LAC 102_Wkst'!$L$7:$L$2010,"11",'LAC 102_Wkst'!$N$7:$N$2010,"P1")+SUMIFS('LAC 102_Wkst'!$AE$7:$AE$2010,'LAC 102_Wkst'!$E$7:$E$2010,$C82,'LAC 102_Wkst'!$G$7:$G$2010,$D82,'LAC 102_Wkst'!$L$7:$L$2010,"12",'LAC 102_Wkst'!$N$7:$N$2010,"P1")</f>
        <v>0</v>
      </c>
      <c r="AV82" s="410">
        <f>SUMIFS('LAC 102_Wkst'!$Q$7:$Q$2010,'LAC 102_Wkst'!$E$7:$E$2010,$C82,'LAC 102_Wkst'!$G$7:$G$2010,$D82,'LAC 102_Wkst'!$L$7:$L$2010,"11",'LAC 102_Wkst'!$N$7:$N$2010,"P2")+SUMIFS('LAC 102_Wkst'!$Q$7:$Q$2010,'LAC 102_Wkst'!$E$7:$E$2010,$C82,'LAC 102_Wkst'!$G$7:$G$2010,$D82,'LAC 102_Wkst'!$L$7:$L$2010,"12",'LAC 102_Wkst'!$N$7:$N$2010,"P3")+SUMIFS('LAC 102_Wkst'!$Q$7:$Q$2010,'LAC 102_Wkst'!$E$7:$E$2010,$C82,'LAC 102_Wkst'!$G$7:$G$2010,$D82,'LAC 102_Wkst'!$L$7:$L$2010,"11",'LAC 102_Wkst'!$N$7:$N$2010,"P2")+SUMIFS('LAC 102_Wkst'!$Q$7:$Q$2010,'LAC 102_Wkst'!$E$7:$E$2010,$C82,'LAC 102_Wkst'!$G$7:$G$2010,$D82,'LAC 102_Wkst'!$L$7:$L$2010,"12",'LAC 102_Wkst'!$N$7:$N$2010,"P3")</f>
        <v>0</v>
      </c>
      <c r="AW82" s="411">
        <f>SUMIFS('LAC 102_Wkst'!$AE$7:$AE$2010,'LAC 102_Wkst'!$E$7:$E$2010,$C82,'LAC 102_Wkst'!$G$7:$G$2010,$D82,'LAC 102_Wkst'!$L$7:$L$2010,"11",'LAC 102_Wkst'!$N$7:$N$2010,"P2")+SUMIFS('LAC 102_Wkst'!$AE$7:$AE$2010,'LAC 102_Wkst'!$E$7:$E$2010,$C82,'LAC 102_Wkst'!$G$7:$G$2010,$D82,'LAC 102_Wkst'!$L$7:$L$2010,"12",'LAC 102_Wkst'!$N$7:$N$2010,"P3")+SUMIFS('LAC 102_Wkst'!$AE$7:$AE$2010,'LAC 102_Wkst'!$E$7:$E$2010,$C82,'LAC 102_Wkst'!$G$7:$G$2010,$D82,'LAC 102_Wkst'!$L$7:$L$2010,"11",'LAC 102_Wkst'!$N$7:$N$2010,"P2")+SUMIFS('LAC 102_Wkst'!$AE$7:$AE$2010,'LAC 102_Wkst'!$E$7:$E$2010,$C82,'LAC 102_Wkst'!$G$7:$G$2010,$D82,'LAC 102_Wkst'!$L$7:$L$2010,"12",'LAC 102_Wkst'!$N$7:$N$2010,"P3")</f>
        <v>0</v>
      </c>
      <c r="AX82" s="410">
        <f>SUMIFS('LAC 102_Wkst'!$Q$7:$Q$2010,'LAC 102_Wkst'!$E$7:$E$2010,$C82,'LAC 102_Wkst'!$G$7:$G$2010,$D82,'LAC 102_Wkst'!$L$7:$L$2010,"11",'LAC 102_Wkst'!$N$7:$N$2010,"P4")+SUMIFS('LAC 102_Wkst'!$Q$7:$Q$2010,'LAC 102_Wkst'!$E$7:$E$2010,$C82,'LAC 102_Wkst'!$G$7:$G$2010,$D82,'LAC 102_Wkst'!$L$7:$L$2010,"12",'LAC 102_Wkst'!$N$7:$N$2010,"P4")</f>
        <v>0</v>
      </c>
      <c r="AY82" s="411">
        <f>SUMIFS('LAC 102_Wkst'!$AE$7:$AE$2010,'LAC 102_Wkst'!$E$7:$E$2010,$C82,'LAC 102_Wkst'!$G$7:$G$2010,$D82,'LAC 102_Wkst'!$L$7:$L$2010,"11",'LAC 102_Wkst'!$N$7:$N$2010,"P4")+SUMIFS('LAC 102_Wkst'!$AE$7:$AE$2010,'LAC 102_Wkst'!$E$7:$E$2010,$C82,'LAC 102_Wkst'!$G$7:$G$2010,$D82,'LAC 102_Wkst'!$L$7:$L$2010,"12",'LAC 102_Wkst'!$N$7:$N$2010,"P4")</f>
        <v>0</v>
      </c>
      <c r="AZ82" s="410">
        <f>SUMIFS('LAC 102_Wkst'!$Q$7:$Q$2010,'LAC 102_Wkst'!$E$7:$E$2010,$C82,'LAC 102_Wkst'!$G$7:$G$2010,$D82,'LAC 102_Wkst'!$L$7:$L$2010,"11",'LAC 102_Wkst'!$N$7:$N$2010,"P5")+SUMIFS('LAC 102_Wkst'!$Q$7:$Q$2010,'LAC 102_Wkst'!$E$7:$E$2010,$C82,'LAC 102_Wkst'!$G$7:$G$2010,$D82,'LAC 102_Wkst'!$L$7:$L$2010,"12",'LAC 102_Wkst'!$N$7:$N$2010,"P5")</f>
        <v>0</v>
      </c>
      <c r="BA82" s="411">
        <f>SUMIFS('LAC 102_Wkst'!$AE$7:$AE$2010,'LAC 102_Wkst'!$E$7:$E$2010,$C82,'LAC 102_Wkst'!$G$7:$G$2010,$D82,'LAC 102_Wkst'!$L$7:$L$2010,"11",'LAC 102_Wkst'!$N$7:$N$2010,"P5")+SUMIFS('LAC 102_Wkst'!$AE$7:$AE$2010,'LAC 102_Wkst'!$E$7:$E$2010,$C82,'LAC 102_Wkst'!$G$7:$G$2010,$D82,'LAC 102_Wkst'!$L$7:$L$2010,"12",'LAC 102_Wkst'!$N$7:$N$2010,"P5")</f>
        <v>0</v>
      </c>
      <c r="BB82" s="410">
        <f>SUMIFS('LAC 102_Wkst'!$Q$7:$Q$2010,'LAC 102_Wkst'!$E$7:$E$2010,$C82,'LAC 102_Wkst'!$G$7:$G$2010,$D82,'LAC 102_Wkst'!$L$7:$L$2010,"13",'LAC 102_Wkst'!$N$7:$N$2010,"P1")+SUMIFS('LAC 102_Wkst'!$Q$7:$Q$2010,'LAC 102_Wkst'!$E$7:$E$2010,$C82,'LAC 102_Wkst'!$G$7:$G$2010,$D82,'LAC 102_Wkst'!$L$7:$L$2010,"13",'LAC 102_Wkst'!$N$7:$N$2010,"P2")+SUMIFS('LAC 102_Wkst'!$Q$7:$Q$2010,'LAC 102_Wkst'!$E$7:$E$2010,$C82,'LAC 102_Wkst'!$G$7:$G$2010,$D82,'LAC 102_Wkst'!$L$7:$L$2010,"13",'LAC 102_Wkst'!$N$7:$N$2010,"P3")+SUMIFS('LAC 102_Wkst'!$Q$7:$Q$2010,'LAC 102_Wkst'!$E$7:$E$2010,$C82,'LAC 102_Wkst'!$G$7:$G$2010,$D82,'LAC 102_Wkst'!$L$7:$L$2010,"13",'LAC 102_Wkst'!$N$7:$N$2010,"P4")</f>
        <v>0</v>
      </c>
      <c r="BC82" s="411">
        <f>SUMIFS('LAC 102_Wkst'!$AE$7:$AE$2010,'LAC 102_Wkst'!$E$7:$E$2010,$C82,'LAC 102_Wkst'!$G$7:$G$2010,$D82,'LAC 102_Wkst'!$L$7:$L$2010,"13",'LAC 102_Wkst'!$N$7:$N$2010,"P1")+SUMIFS('LAC 102_Wkst'!$AE$7:$AE$2010,'LAC 102_Wkst'!$E$7:$E$2010,$C82,'LAC 102_Wkst'!$G$7:$G$2010,$D82,'LAC 102_Wkst'!$L$7:$L$2010,"13",'LAC 102_Wkst'!$N$7:$N$2010,"P2")+SUMIFS('LAC 102_Wkst'!$AE$7:$AE$2010,'LAC 102_Wkst'!$E$7:$E$2010,$C82,'LAC 102_Wkst'!$G$7:$G$2010,$D82,'LAC 102_Wkst'!$L$7:$L$2010,"13",'LAC 102_Wkst'!$N$7:$N$2010,"P3")+SUMIFS('LAC 102_Wkst'!$AE$7:$AE$2010,'LAC 102_Wkst'!$E$7:$E$2010,$C82,'LAC 102_Wkst'!$G$7:$G$2010,$D82,'LAC 102_Wkst'!$L$7:$L$2010,"13",'LAC 102_Wkst'!$N$7:$N$2010,"P4")</f>
        <v>0</v>
      </c>
      <c r="BD82" s="410">
        <f>SUMIFS('LAC 102_Wkst'!$Q$7:$Q$2010,'LAC 102_Wkst'!$E$7:$E$2010,$C82,'LAC 102_Wkst'!$G$7:$G$2010,$D82,'LAC 102_Wkst'!$L$7:$L$2010,"13",'LAC 102_Wkst'!$N$7:$N$2010,"P5")</f>
        <v>0</v>
      </c>
      <c r="BE82" s="411">
        <f>SUMIFS('LAC 102_Wkst'!$AE$7:$AE$2010,'LAC 102_Wkst'!$E$7:$E$2010,$C82,'LAC 102_Wkst'!$G$7:$G$2010,$D82,'LAC 102_Wkst'!$L$7:$L$2010,"13",'LAC 102_Wkst'!$N$7:$N$2010,"P5")</f>
        <v>0</v>
      </c>
      <c r="BF82" s="407">
        <f t="shared" si="0"/>
        <v>0</v>
      </c>
    </row>
    <row r="83" spans="1:58" x14ac:dyDescent="0.2">
      <c r="A83" s="401">
        <v>64</v>
      </c>
      <c r="B83" s="1236"/>
      <c r="C83" s="1235"/>
      <c r="D83" s="1237"/>
      <c r="E83" s="1222">
        <f>IF(CONCATENATE(C83,D83)&gt;"6069",1,SUMIFS('LAC 102_Wkst'!$Q$7:$Q$2010,'LAC 102_Wkst'!$E$7:$E$2010,Schedule_B!$C83,'LAC 102_Wkst'!$G$7:$G$2010,Schedule_B!$D83))</f>
        <v>0</v>
      </c>
      <c r="F83" s="408">
        <f>SUMIFS('LAC 102_Wkst'!$Q$7:$Q$2010,'LAC 102_Wkst'!$E$7:$E$2010,$C83,'LAC 102_Wkst'!$G$7:$G$2010,$D83,'LAC 102_Wkst'!$L$7:$L$2010,"01",'LAC 102_Wkst'!$N$7:$N$2010,"P1")+SUMIFS('LAC 102_Wkst'!$Q$7:$Q$2010,'LAC 102_Wkst'!$E$7:$E$2010,$C83,'LAC 102_Wkst'!$G$7:$G$2010,$D83,'LAC 102_Wkst'!$L$7:$L$2010,"01",'LAC 102_Wkst'!$N$7:$N$2010,"P2")+SUMIFS('LAC 102_Wkst'!$Q$7:$Q$2010,'LAC 102_Wkst'!$E$7:$E$2010,$C83,'LAC 102_Wkst'!$G$7:$G$2010,$D83,'LAC 102_Wkst'!$L$7:$L$2010,"01",'LAC 102_Wkst'!$N$7:$N$2010,"P3")+SUMIFS('LAC 102_Wkst'!$Q$7:$Q$2010,'LAC 102_Wkst'!$E$7:$E$2010,$C83,'LAC 102_Wkst'!$G$7:$G$2010,$D83,'LAC 102_Wkst'!$L$7:$L$2010,"02",'LAC 102_Wkst'!$N$7:$N$2010,"P1")+SUMIFS('LAC 102_Wkst'!$Q$7:$Q$2010,'LAC 102_Wkst'!$E$7:$E$2010,$C83,'LAC 102_Wkst'!$G$7:$G$2010,$D83,'LAC 102_Wkst'!$L$7:$L$2010,"02",'LAC 102_Wkst'!$N$7:$N$2010,"P2")+SUMIFS('LAC 102_Wkst'!$Q$7:$Q$2010,'LAC 102_Wkst'!$E$7:$E$2010,$C83,'LAC 102_Wkst'!$G$7:$G$2010,$D83,'LAC 102_Wkst'!$L$7:$L$2010,"02",'LAC 102_Wkst'!$N$7:$N$2010,"P3")</f>
        <v>0</v>
      </c>
      <c r="G83" s="409">
        <f>SUMIFS('LAC 102_Wkst'!$AE$7:$AE$2010,'LAC 102_Wkst'!$E$7:$E$2010,$C83,'LAC 102_Wkst'!$G$7:$G$2010,$D83,'LAC 102_Wkst'!$L$7:$L$2010,"01",'LAC 102_Wkst'!$N$7:$N$2010,"P1")+SUMIFS('LAC 102_Wkst'!$AE$7:$AE$2010,'LAC 102_Wkst'!$E$7:$E$2010,$C83,'LAC 102_Wkst'!$G$7:$G$2010,$D83,'LAC 102_Wkst'!$L$7:$L$2010,"01",'LAC 102_Wkst'!$N$7:$N$2010,"P2")+SUMIFS('LAC 102_Wkst'!$AE$7:$AE$2010,'LAC 102_Wkst'!$E$7:$E$2010,$C83,'LAC 102_Wkst'!$G$7:$G$2010,$D83,'LAC 102_Wkst'!$L$7:$L$2010,"01",'LAC 102_Wkst'!$N$7:$N$2010,"P3")+SUMIFS('LAC 102_Wkst'!$AE$7:$AE$2010,'LAC 102_Wkst'!$E$7:$E$2010,$C83,'LAC 102_Wkst'!$G$7:$G$2010,$D83,'LAC 102_Wkst'!$L$7:$L$2010,"02",'LAC 102_Wkst'!$N$7:$N$2010,"P1")+SUMIFS('LAC 102_Wkst'!$AE$7:$AE$2010,'LAC 102_Wkst'!$E$7:$E$2010,$C83,'LAC 102_Wkst'!$G$7:$G$2010,$D83,'LAC 102_Wkst'!$L$7:$L$2010,"02",'LAC 102_Wkst'!$N$7:$N$2010,"P2")+SUMIFS('LAC 102_Wkst'!$AE$7:$AE$2010,'LAC 102_Wkst'!$E$7:$E$2010,$C83,'LAC 102_Wkst'!$G$7:$G$2010,$D83,'LAC 102_Wkst'!$L$7:$L$2010,"02",'LAC 102_Wkst'!$N$7:$N$2010,"P3")</f>
        <v>0</v>
      </c>
      <c r="H83" s="410">
        <f>SUMIFS('LAC 102_Wkst'!$Q$7:$Q$2010,'LAC 102_Wkst'!$E$7:$E$2010,$C83,'LAC 102_Wkst'!$G$7:$G$2010,$D83,'LAC 102_Wkst'!$L$7:$L$2010,"01",'LAC 102_Wkst'!$N$7:$N$2010,"P4")+SUMIFS('LAC 102_Wkst'!$Q$7:$Q$2010,'LAC 102_Wkst'!$E$7:$E$2010,$C83,'LAC 102_Wkst'!$G$7:$G$2010,$D83,'LAC 102_Wkst'!$L$7:$L$2010,"02",'LAC 102_Wkst'!$N$7:$N$2010,"P4")</f>
        <v>0</v>
      </c>
      <c r="I83" s="411">
        <f>SUMIFS('LAC 102_Wkst'!$AE$7:$AE$2010,'LAC 102_Wkst'!$E$7:$E$2010,$C83,'LAC 102_Wkst'!$G$7:$G$2010,$D83,'LAC 102_Wkst'!$L$7:$L$2010,"01",'LAC 102_Wkst'!$N$7:$N$2010,"P4")+SUMIFS('LAC 102_Wkst'!$AE$7:$AE$2010,'LAC 102_Wkst'!$E$7:$E$2010,$C83,'LAC 102_Wkst'!$G$7:$G$2010,$D83,'LAC 102_Wkst'!$L$7:$L$2010,"02",'LAC 102_Wkst'!$N$7:$N$2010,"P4")</f>
        <v>0</v>
      </c>
      <c r="J83" s="410">
        <f>SUMIFS('LAC 102_Wkst'!$Q$7:$Q$2010,'LAC 102_Wkst'!$E$7:$E$2010,$C83,'LAC 102_Wkst'!$G$7:$G$2010,$D83,'LAC 102_Wkst'!$L$7:$L$2010,"01",'LAC 102_Wkst'!$N$7:$N$2010,"P5")+SUMIFS('LAC 102_Wkst'!$Q$7:$Q$2010,'LAC 102_Wkst'!$E$7:$E$2010,$C83,'LAC 102_Wkst'!$G$7:$G$2010,$D83,'LAC 102_Wkst'!$L$7:$L$2010,"02",'LAC 102_Wkst'!$N$7:$N$2010,"P5")</f>
        <v>0</v>
      </c>
      <c r="K83" s="411">
        <f>SUMIFS('LAC 102_Wkst'!$AE$7:$AE$2010,'LAC 102_Wkst'!$E$7:$E$2010,$C83,'LAC 102_Wkst'!$G$7:$G$2010,$D83,'LAC 102_Wkst'!$L$7:$L$2010,"01",'LAC 102_Wkst'!$N$7:$N$2010,"P5")+SUMIFS('LAC 102_Wkst'!$AE$7:$AE$2010,'LAC 102_Wkst'!$E$7:$E$2010,$C83,'LAC 102_Wkst'!$G$7:$G$2010,$D83,'LAC 102_Wkst'!$L$7:$L$2010,"02",'LAC 102_Wkst'!$N$7:$N$2010,"P5")</f>
        <v>0</v>
      </c>
      <c r="L83" s="410">
        <f>SUMIFS('LAC 102_Wkst'!$Q$7:$Q$2010,'LAC 102_Wkst'!$E$7:$E$2010,$C83,'LAC 102_Wkst'!$G$7:$G$2010,$D83,'LAC 102_Wkst'!$L$7:$L$2010,"03",'LAC 102_Wkst'!$N$7:$N$2010,"P1")+SUMIFS('LAC 102_Wkst'!$Q$7:$Q$2010,'LAC 102_Wkst'!$E$7:$E$2010,$C83,'LAC 102_Wkst'!$G$7:$G$2010,$D83,'LAC 102_Wkst'!$L$7:$L$2010,"03",'LAC 102_Wkst'!$N$7:$N$2010,"P2")+SUMIFS('LAC 102_Wkst'!$Q$7:$Q$2010,'LAC 102_Wkst'!$E$7:$E$2010,$C83,'LAC 102_Wkst'!$G$7:$G$2010,$D83,'LAC 102_Wkst'!$L$7:$L$2010,"03",'LAC 102_Wkst'!$N$7:$N$2010,"P3")+SUMIFS('LAC 102_Wkst'!$Q$7:$Q$2010,'LAC 102_Wkst'!$E$7:$E$2010,$C83,'LAC 102_Wkst'!$G$7:$G$2010,$D83,'LAC 102_Wkst'!$L$7:$L$2010,"04",'LAC 102_Wkst'!$N$7:$N$2010,"P1")+SUMIFS('LAC 102_Wkst'!$Q$7:$Q$2010,'LAC 102_Wkst'!$E$7:$E$2010,$C83,'LAC 102_Wkst'!$G$7:$G$2010,$D83,'LAC 102_Wkst'!$L$7:$L$2010,"04",'LAC 102_Wkst'!$N$7:$N$2010,"P2")+SUMIFS('LAC 102_Wkst'!$Q$7:$Q$2010,'LAC 102_Wkst'!$E$7:$E$2010,$C83,'LAC 102_Wkst'!$G$7:$G$2010,$D83,'LAC 102_Wkst'!$L$7:$L$2010,"04",'LAC 102_Wkst'!$N$7:$N$2010,"P3")</f>
        <v>0</v>
      </c>
      <c r="M83" s="411">
        <f>SUMIFS('LAC 102_Wkst'!$AE$7:$AE$2010,'LAC 102_Wkst'!$E$7:$E$2010,$C83,'LAC 102_Wkst'!$G$7:$G$2010,$D83,'LAC 102_Wkst'!$L$7:$L$2010,"03",'LAC 102_Wkst'!$N$7:$N$2010,"P1")+SUMIFS('LAC 102_Wkst'!$AE$7:$AE$2010,'LAC 102_Wkst'!$E$7:$E$2010,$C83,'LAC 102_Wkst'!$G$7:$G$2010,$D83,'LAC 102_Wkst'!$L$7:$L$2010,"03",'LAC 102_Wkst'!$N$7:$N$2010,"P2")+SUMIFS('LAC 102_Wkst'!$AE$7:$AE$2010,'LAC 102_Wkst'!$E$7:$E$2010,$C83,'LAC 102_Wkst'!$G$7:$G$2010,$D83,'LAC 102_Wkst'!$L$7:$L$2010,"03",'LAC 102_Wkst'!$N$7:$N$2010,"P3")+SUMIFS('LAC 102_Wkst'!$AE$7:$AE$2010,'LAC 102_Wkst'!$E$7:$E$2010,$C83,'LAC 102_Wkst'!$G$7:$G$2010,$D83,'LAC 102_Wkst'!$L$7:$L$2010,"04",'LAC 102_Wkst'!$N$7:$N$2010,"P1")+SUMIFS('LAC 102_Wkst'!$AE$7:$AE$2010,'LAC 102_Wkst'!$E$7:$E$2010,$C83,'LAC 102_Wkst'!$G$7:$G$2010,$D83,'LAC 102_Wkst'!$L$7:$L$2010,"04",'LAC 102_Wkst'!$N$7:$N$2010,"P2")+SUMIFS('LAC 102_Wkst'!$AE$7:$AE$2010,'LAC 102_Wkst'!$E$7:$E$2010,$C83,'LAC 102_Wkst'!$G$7:$G$2010,$D83,'LAC 102_Wkst'!$L$7:$L$2010,"04",'LAC 102_Wkst'!$N$7:$N$2010,"P3")</f>
        <v>0</v>
      </c>
      <c r="N83" s="410">
        <f>SUMIFS('LAC 102_Wkst'!$Q$7:$Q$2010,'LAC 102_Wkst'!$E$7:$E$2010,$C83,'LAC 102_Wkst'!$G$7:$G$2010,$D83,'LAC 102_Wkst'!$L$7:$L$2010,"03",'LAC 102_Wkst'!$N$7:$N$2010,"P4")+SUMIFS('LAC 102_Wkst'!$Q$7:$Q$2010,'LAC 102_Wkst'!$E$7:$E$2010,$C83,'LAC 102_Wkst'!$G$7:$G$2010,$D83,'LAC 102_Wkst'!$L$7:$L$2010,"04",'LAC 102_Wkst'!$N$7:$N$2010,"P4")</f>
        <v>0</v>
      </c>
      <c r="O83" s="411">
        <f>SUMIFS('LAC 102_Wkst'!$AE$7:$AE$2010,'LAC 102_Wkst'!$E$7:$E$2010,$C83,'LAC 102_Wkst'!$G$7:$G$2010,$D83,'LAC 102_Wkst'!$L$7:$L$2010,"03",'LAC 102_Wkst'!$N$7:$N$2010,"P4")+SUMIFS('LAC 102_Wkst'!$AE$7:$AE$2010,'LAC 102_Wkst'!$E$7:$E$2010,$C83,'LAC 102_Wkst'!$G$7:$G$2010,$D83,'LAC 102_Wkst'!$L$7:$L$2010,"04",'LAC 102_Wkst'!$N$7:$N$2010,"P4")</f>
        <v>0</v>
      </c>
      <c r="P83" s="410">
        <f>SUMIFS('LAC 102_Wkst'!$Q$7:$Q$2010,'LAC 102_Wkst'!$E$7:$E$2010,$C83,'LAC 102_Wkst'!$G$7:$G$2010,$D83,'LAC 102_Wkst'!$L$7:$L$2010,"03",'LAC 102_Wkst'!$N$7:$N$2010,"P5")+SUMIFS('LAC 102_Wkst'!$Q$7:$Q$2010,'LAC 102_Wkst'!$E$7:$E$2010,$C83,'LAC 102_Wkst'!$G$7:$G$2010,$D83,'LAC 102_Wkst'!$L$7:$L$2010,"04",'LAC 102_Wkst'!$N$7:$N$2010,"P5")</f>
        <v>0</v>
      </c>
      <c r="Q83" s="411">
        <f>SUMIFS('LAC 102_Wkst'!$AE$7:$AE$2010,'LAC 102_Wkst'!$E$7:$E$2010,$C83,'LAC 102_Wkst'!$G$7:$G$2010,$D83,'LAC 102_Wkst'!$L$7:$L$2010,"03",'LAC 102_Wkst'!$N$7:$N$2010,"P5")+SUMIFS('LAC 102_Wkst'!$AE$7:$AE$2010,'LAC 102_Wkst'!$E$7:$E$2010,$C83,'LAC 102_Wkst'!$G$7:$G$2010,$D83,'LAC 102_Wkst'!$L$7:$L$2010,"04",'LAC 102_Wkst'!$N$7:$N$2010,"P5")</f>
        <v>0</v>
      </c>
      <c r="R83" s="412">
        <f>SUMIFS('LAC 102_Wkst'!$Q$7:$Q$2010,'LAC 102_Wkst'!$E$7:$E$2010,$C83,'LAC 102_Wkst'!$G$7:$G$2010,$D83,'LAC 102_Wkst'!$L$7:$L$2010,"05",'LAC 102_Wkst'!$N$7:$N$2010,"P1")+SUMIFS('LAC 102_Wkst'!$Q$7:$Q$2010,'LAC 102_Wkst'!$E$7:$E$2010,$C83,'LAC 102_Wkst'!$G$7:$G$2010,$D83,'LAC 102_Wkst'!$L$7:$L$2010,"06",'LAC 102_Wkst'!$N$7:$N$2010,"P1")</f>
        <v>0</v>
      </c>
      <c r="S83" s="411">
        <f>SUMIFS('LAC 102_Wkst'!$AE$7:$AE$2010,'LAC 102_Wkst'!$E$7:$E$2010,$C83,'LAC 102_Wkst'!$G$7:$G$2010,$D83,'LAC 102_Wkst'!$L$7:$L$2010,"05",'LAC 102_Wkst'!$N$7:$N$2010,"P1")+SUMIFS('LAC 102_Wkst'!$AE$7:$AE$2010,'LAC 102_Wkst'!$E$7:$E$2010,$C83,'LAC 102_Wkst'!$G$7:$G$2010,$D83,'LAC 102_Wkst'!$L$7:$L$2010,"06",'LAC 102_Wkst'!$N$7:$N$2010,"P1")</f>
        <v>0</v>
      </c>
      <c r="T83" s="410">
        <f>SUMIFS('LAC 102_Wkst'!$Q$7:$Q$2010,'LAC 102_Wkst'!$E$7:$E$2010,$C83,'LAC 102_Wkst'!$G$7:$G$2010,$D83,'LAC 102_Wkst'!$L$7:$L$2010,"05",'LAC 102_Wkst'!$N$7:$N$2010,"P2")+SUMIFS('LAC 102_Wkst'!$Q$7:$Q$2010,'LAC 102_Wkst'!$E$7:$E$2010,$C83,'LAC 102_Wkst'!$G$7:$G$2010,$D83,'LAC 102_Wkst'!$L$7:$L$2010,"05",'LAC 102_Wkst'!$N$7:$N$2010,"P3")+SUMIFS('LAC 102_Wkst'!$Q$7:$Q$2010,'LAC 102_Wkst'!$E$7:$E$2010,$C83,'LAC 102_Wkst'!$G$7:$G$2010,$D83,'LAC 102_Wkst'!$L$7:$L$2010,"06",'LAC 102_Wkst'!$N$7:$N$2010,"P2")+SUMIFS('LAC 102_Wkst'!$Q$7:$Q$2010,'LAC 102_Wkst'!$E$7:$E$2010,$C83,'LAC 102_Wkst'!$G$7:$G$2010,$D83,'LAC 102_Wkst'!$L$7:$L$2010,"06",'LAC 102_Wkst'!$N$7:$N$2010,"P3")</f>
        <v>0</v>
      </c>
      <c r="U83" s="411">
        <f>SUMIFS('LAC 102_Wkst'!$AE$7:$AE$2010,'LAC 102_Wkst'!$E$7:$E$2010,$C83,'LAC 102_Wkst'!$G$7:$G$2010,$D83,'LAC 102_Wkst'!$L$7:$L$2010,"05",'LAC 102_Wkst'!$N$7:$N$2010,"P2")+SUMIFS('LAC 102_Wkst'!$AE$7:$AE$2010,'LAC 102_Wkst'!$E$7:$E$2010,$C83,'LAC 102_Wkst'!$G$7:$G$2010,$D83,'LAC 102_Wkst'!$L$7:$L$2010,"06",'LAC 102_Wkst'!$N$7:$N$2010,"P3")+SUMIFS('LAC 102_Wkst'!$AE$7:$AE$2010,'LAC 102_Wkst'!$E$7:$E$2010,$C83,'LAC 102_Wkst'!$G$7:$G$2010,$D83,'LAC 102_Wkst'!$L$7:$L$2010,"05",'LAC 102_Wkst'!$N$7:$N$2010,"P2")+SUMIFS('LAC 102_Wkst'!$AE$7:$AE$2010,'LAC 102_Wkst'!$E$7:$E$2010,$C83,'LAC 102_Wkst'!$G$7:$G$2010,$D83,'LAC 102_Wkst'!$L$7:$L$2010,"06",'LAC 102_Wkst'!$N$7:$N$2010,"P3")</f>
        <v>0</v>
      </c>
      <c r="V83" s="410">
        <f>SUMIFS('LAC 102_Wkst'!$Q$7:$Q$2010,'LAC 102_Wkst'!$E$7:$E$2010,$C83,'LAC 102_Wkst'!$G$7:$G$2010,$D83,'LAC 102_Wkst'!$L$7:$L$2010,"05",'LAC 102_Wkst'!$N$7:$N$2010,"P4")+SUMIFS('LAC 102_Wkst'!$Q$7:$Q$2010,'LAC 102_Wkst'!$E$7:$E$2010,$C83,'LAC 102_Wkst'!$G$7:$G$2010,$D83,'LAC 102_Wkst'!$L$7:$L$2010,"06",'LAC 102_Wkst'!$N$7:$N$2010,"P4")</f>
        <v>0</v>
      </c>
      <c r="W83" s="411">
        <f>SUMIFS('LAC 102_Wkst'!$AE$7:$AE$2010,'LAC 102_Wkst'!$E$7:$E$2010,$C83,'LAC 102_Wkst'!$G$7:$G$2010,$D83,'LAC 102_Wkst'!$L$7:$L$2010,"05",'LAC 102_Wkst'!$N$7:$N$2010,"P4")+SUMIFS('LAC 102_Wkst'!$AE$7:$AE$2010,'LAC 102_Wkst'!$E$7:$E$2010,$C83,'LAC 102_Wkst'!$G$7:$G$2010,$D83,'LAC 102_Wkst'!$L$7:$L$2010,"06",'LAC 102_Wkst'!$N$7:$N$2010,"P4")</f>
        <v>0</v>
      </c>
      <c r="X83" s="410">
        <f>SUMIFS('LAC 102_Wkst'!$Q$7:$Q$2010,'LAC 102_Wkst'!$E$7:$E$2010,$C83,'LAC 102_Wkst'!$G$7:$G$2010,$D83,'LAC 102_Wkst'!$L$7:$L$2010,"05",'LAC 102_Wkst'!$N$7:$N$2010,"P5")+SUMIFS('LAC 102_Wkst'!$Q$7:$Q$2010,'LAC 102_Wkst'!$E$7:$E$2010,$C83,'LAC 102_Wkst'!$G$7:$G$2010,$D83,'LAC 102_Wkst'!$L$7:$L$2010,"06",'LAC 102_Wkst'!$N$7:$N$2010,"P5")</f>
        <v>0</v>
      </c>
      <c r="Y83" s="411">
        <f>SUMIFS('LAC 102_Wkst'!$AE$7:$AE$2010,'LAC 102_Wkst'!$E$7:$E$2010,$C83,'LAC 102_Wkst'!$G$7:$G$2010,$D83,'LAC 102_Wkst'!$L$7:$L$2010,"05",'LAC 102_Wkst'!$N$7:$N$2010,"P5")+SUMIFS('LAC 102_Wkst'!$AE$7:$AE$2010,'LAC 102_Wkst'!$E$7:$E$2010,$C83,'LAC 102_Wkst'!$G$7:$G$2010,$D83,'LAC 102_Wkst'!$L$7:$L$2010,"06",'LAC 102_Wkst'!$N$7:$N$2010,"P5")</f>
        <v>0</v>
      </c>
      <c r="Z83" s="410">
        <f>SUMIFS('LAC 102_Wkst'!$Q$7:$Q$2010,'LAC 102_Wkst'!$E$7:$E$2010,$C83,'LAC 102_Wkst'!$G$7:$G$2010,$D83,'LAC 102_Wkst'!$L$7:$L$2010,"07",'LAC 102_Wkst'!$N$7:$N$2010,"P1")+SUMIFS('LAC 102_Wkst'!$Q$7:$Q$2010,'LAC 102_Wkst'!$E$7:$E$2010,$C83,'LAC 102_Wkst'!$G$7:$G$2010,$D83,'LAC 102_Wkst'!$L$7:$L$2010,"07",'LAC 102_Wkst'!$N$7:$N$2010,"P2")+SUMIFS('LAC 102_Wkst'!$Q$7:$Q$2010,'LAC 102_Wkst'!$E$7:$E$2010,$C83,'LAC 102_Wkst'!$G$7:$G$2010,$D83,'LAC 102_Wkst'!$L$7:$L$2010,"07",'LAC 102_Wkst'!$N$7:$N$2010,"P3")</f>
        <v>0</v>
      </c>
      <c r="AA83" s="411">
        <f>SUMIFS('LAC 102_Wkst'!$AE$7:$AE$2010,'LAC 102_Wkst'!$E$7:$E$2010,$C83,'LAC 102_Wkst'!$G$7:$G$2010,$D83,'LAC 102_Wkst'!$L$7:$L$2010,"07",'LAC 102_Wkst'!$N$7:$N$2010,"P1")+SUMIFS('LAC 102_Wkst'!$AE$7:$AE$2010,'LAC 102_Wkst'!$E$7:$E$2010,$C83,'LAC 102_Wkst'!$G$7:$G$2010,$D83,'LAC 102_Wkst'!$L$7:$L$2010,"07",'LAC 102_Wkst'!$N$7:$N$2010,"P2")+SUMIFS('LAC 102_Wkst'!$AE$7:$AE$2010,'LAC 102_Wkst'!$E$7:$E$2010,$C83,'LAC 102_Wkst'!$G$7:$G$2010,$D83,'LAC 102_Wkst'!$L$7:$L$2010,"07",'LAC 102_Wkst'!$N$7:$N$2010,"P3")</f>
        <v>0</v>
      </c>
      <c r="AB83" s="410">
        <f>SUMIFS('LAC 102_Wkst'!$Q$7:$Q$2010,'LAC 102_Wkst'!$E$7:$E$2010,$C83,'LAC 102_Wkst'!$G$7:$G$2010,$D83,'LAC 102_Wkst'!$L$7:$L$2010,"07",'LAC 102_Wkst'!$N$7:$N$2010,"P4")</f>
        <v>0</v>
      </c>
      <c r="AC83" s="411">
        <f>SUMIFS('LAC 102_Wkst'!$AE$7:$AE$2010,'LAC 102_Wkst'!$E$7:$E$2010,$C83,'LAC 102_Wkst'!$G$7:$G$2010,$D83,'LAC 102_Wkst'!$L$7:$L$2010,"07",'LAC 102_Wkst'!$N$7:$N$2010,"P4")</f>
        <v>0</v>
      </c>
      <c r="AD83" s="410">
        <f>SUMIFS('LAC 102_Wkst'!$Q$7:$Q$2010,'LAC 102_Wkst'!$E$7:$E$2010,$C83,'LAC 102_Wkst'!$G$7:$G$2010,$D83,'LAC 102_Wkst'!$L$7:$L$2010,"07",'LAC 102_Wkst'!$N$7:$N$2010,"P5")</f>
        <v>0</v>
      </c>
      <c r="AE83" s="411">
        <f>SUMIFS('LAC 102_Wkst'!$AE$7:$AE$2010,'LAC 102_Wkst'!$E$7:$E$2010,$C83,'LAC 102_Wkst'!$G$7:$G$2010,$D83,'LAC 102_Wkst'!$L$7:$L$2010,"07",'LAC 102_Wkst'!$N$7:$N$2010,"P5")</f>
        <v>0</v>
      </c>
      <c r="AF83" s="410">
        <f>SUMIFS('LAC 102_Wkst'!$Q$7:$Q$2010,'LAC 102_Wkst'!$E$7:$E$2010,$C83,'LAC 102_Wkst'!$G$7:$G$2010,$D83,'LAC 102_Wkst'!$L$7:$L$2010,"08",'LAC 102_Wkst'!$N$7:$N$2010,"P1")+SUMIFS('LAC 102_Wkst'!$Q$7:$Q$2010,'LAC 102_Wkst'!$E$7:$E$2010,$C83,'LAC 102_Wkst'!$G$7:$G$2010,$D83,'LAC 102_Wkst'!$L$7:$L$2010,"08",'LAC 102_Wkst'!$N$7:$N$2010,"P2")+SUMIFS('LAC 102_Wkst'!$Q$7:$Q$2010,'LAC 102_Wkst'!$E$7:$E$2010,$C83,'LAC 102_Wkst'!$G$7:$G$2010,$D83,'LAC 102_Wkst'!$L$7:$L$2010,"08",'LAC 102_Wkst'!$N$7:$N$2010,"P3")</f>
        <v>0</v>
      </c>
      <c r="AG83" s="411">
        <f>SUMIFS('LAC 102_Wkst'!$AE$7:$AE$2010,'LAC 102_Wkst'!$E$7:$E$2010,$C83,'LAC 102_Wkst'!$G$7:$G$2010,$D83,'LAC 102_Wkst'!$L$7:$L$2010,"08",'LAC 102_Wkst'!$N$7:$N$2010,"P1")+SUMIFS('LAC 102_Wkst'!$AE$7:$AE$2010,'LAC 102_Wkst'!$E$7:$E$2010,$C83,'LAC 102_Wkst'!$G$7:$G$2010,$D83,'LAC 102_Wkst'!$L$7:$L$2010,"08",'LAC 102_Wkst'!$N$7:$N$2010,"P2")+SUMIFS('LAC 102_Wkst'!$AE$7:$AE$2010,'LAC 102_Wkst'!$E$7:$E$2010,$C83,'LAC 102_Wkst'!$G$7:$G$2010,$D83,'LAC 102_Wkst'!$L$7:$L$2010,"08",'LAC 102_Wkst'!$N$7:$N$2010,"P3")</f>
        <v>0</v>
      </c>
      <c r="AH83" s="410">
        <f>SUMIFS('LAC 102_Wkst'!$Q$7:$Q$2010,'LAC 102_Wkst'!$E$7:$E$2010,$C83,'LAC 102_Wkst'!$G$7:$G$2010,$D83,'LAC 102_Wkst'!$L$7:$L$2010,"08",'LAC 102_Wkst'!$N$7:$N$2010,"P4")</f>
        <v>0</v>
      </c>
      <c r="AI83" s="411">
        <f>SUMIFS('LAC 102_Wkst'!$AE$7:$AE$2010,'LAC 102_Wkst'!$E$7:$E$2010,$C83,'LAC 102_Wkst'!$G$7:$G$2010,$D83,'LAC 102_Wkst'!$L$7:$L$2010,"08",'LAC 102_Wkst'!$N$7:$N$2010,"P4")</f>
        <v>0</v>
      </c>
      <c r="AJ83" s="410">
        <f>SUMIFS('LAC 102_Wkst'!$Q$7:$Q$2010,'LAC 102_Wkst'!$E$7:$E$2010,$C83,'LAC 102_Wkst'!$G$7:$G$2010,$D83,'LAC 102_Wkst'!$L$7:$L$2010,"08",'LAC 102_Wkst'!$N$7:$N$2010,"P5")</f>
        <v>0</v>
      </c>
      <c r="AK83" s="411">
        <f>SUMIFS('LAC 102_Wkst'!$AE$7:$AE$2010,'LAC 102_Wkst'!$E$7:$E$2010,$C83,'LAC 102_Wkst'!$G$7:$G$2010,$D83,'LAC 102_Wkst'!$L$7:$L$2010,"08",'LAC 102_Wkst'!$N$7:$N$2010,"P5")</f>
        <v>0</v>
      </c>
      <c r="AL83" s="410">
        <f>SUMIFS('LAC 102_Wkst'!$Q$7:$Q$2010,'LAC 102_Wkst'!$E$7:$E$2010,$C83,'LAC 102_Wkst'!$G$7:$G$2010,$D83,'LAC 102_Wkst'!$L$7:$L$2010,"09",'LAC 102_Wkst'!$N$7:$N$2010,"P1")+SUMIFS('LAC 102_Wkst'!$Q$7:$Q$2010,'LAC 102_Wkst'!$E$7:$E$2010,$C83,'LAC 102_Wkst'!$G$7:$G$2010,$D83,'LAC 102_Wkst'!$L$7:$L$2010,"09",'LAC 102_Wkst'!$N$7:$N$2010,"P2")+SUMIFS('LAC 102_Wkst'!$Q$7:$Q$2010,'LAC 102_Wkst'!$E$7:$E$2010,$C83,'LAC 102_Wkst'!$G$7:$G$2010,$D83,'LAC 102_Wkst'!$L$7:$L$2010,"09",'LAC 102_Wkst'!$N$7:$N$2010,"P3")+SUMIFS('LAC 102_Wkst'!$Q$7:$Q$2010,'LAC 102_Wkst'!$E$7:$E$2010,$C83,'LAC 102_Wkst'!$G$7:$G$2010,$D83,'LAC 102_Wkst'!$L$7:$L$2010,"09",'LAC 102_Wkst'!$N$7:$N$2010,"P4")</f>
        <v>0</v>
      </c>
      <c r="AM83" s="411">
        <f>SUMIFS('LAC 102_Wkst'!$AE$7:$AE$2010,'LAC 102_Wkst'!$E$7:$E$2010,$C83,'LAC 102_Wkst'!$G$7:$G$2010,$D83,'LAC 102_Wkst'!$L$7:$L$2010,"09",'LAC 102_Wkst'!$N$7:$N$2010,"P1")+SUMIFS('LAC 102_Wkst'!$AE$7:$AE$2010,'LAC 102_Wkst'!$E$7:$E$2010,$C83,'LAC 102_Wkst'!$G$7:$G$2010,$D83,'LAC 102_Wkst'!$L$7:$L$2010,"09",'LAC 102_Wkst'!$N$7:$N$2010,"P2")+SUMIFS('LAC 102_Wkst'!$AE$7:$AE$2010,'LAC 102_Wkst'!$E$7:$E$2010,$C83,'LAC 102_Wkst'!$G$7:$G$2010,$D83,'LAC 102_Wkst'!$L$7:$L$2010,"09",'LAC 102_Wkst'!$N$7:$N$2010,"P3")+SUMIFS('LAC 102_Wkst'!$AE$7:$AE$2010,'LAC 102_Wkst'!$E$7:$E$2010,$C83,'LAC 102_Wkst'!$G$7:$G$2010,$D83,'LAC 102_Wkst'!$L$7:$L$2010,"09",'LAC 102_Wkst'!$N$7:$N$2010,"P4")</f>
        <v>0</v>
      </c>
      <c r="AN83" s="410">
        <f>SUMIFS('LAC 102_Wkst'!$Q$7:$Q$2010,'LAC 102_Wkst'!$E$7:$E$2010,$C83,'LAC 102_Wkst'!$G$7:$G$2010,$D83,'LAC 102_Wkst'!$L$7:$L$2010,"09",'LAC 102_Wkst'!$N$7:$N$2010,"P5")</f>
        <v>0</v>
      </c>
      <c r="AO83" s="411">
        <f>SUMIFS('LAC 102_Wkst'!$AE$7:$AE$2010,'LAC 102_Wkst'!$E$7:$E$2010,$C83,'LAC 102_Wkst'!$G$7:$G$2010,$D83,'LAC 102_Wkst'!$L$7:$L$2010,"09",'LAC 102_Wkst'!$N$7:$N$2010,"P5")</f>
        <v>0</v>
      </c>
      <c r="AP83" s="410">
        <f>SUMIFS('LAC 102_Wkst'!$Q$7:$Q$2010,'LAC 102_Wkst'!$E$7:$E$2010,$C83,'LAC 102_Wkst'!$G$7:$G$2010,$D83,'LAC 102_Wkst'!$L$7:$L$2010,"10",'LAC 102_Wkst'!$N$7:$N$2010,"P1")+SUMIFS('LAC 102_Wkst'!$Q$7:$Q$2010,'LAC 102_Wkst'!$E$7:$E$2010,$C83,'LAC 102_Wkst'!$G$7:$G$2010,$D83,'LAC 102_Wkst'!$L$7:$L$2010,"10",'LAC 102_Wkst'!$N$7:$N$2010,"P2")+SUMIFS('LAC 102_Wkst'!$Q$7:$Q$2010,'LAC 102_Wkst'!$E$7:$E$2010,$C83,'LAC 102_Wkst'!$G$7:$G$2010,$D83,'LAC 102_Wkst'!$L$7:$L$2010,"10",'LAC 102_Wkst'!$N$7:$N$2010,"P3")+SUMIFS('LAC 102_Wkst'!$Q$7:$Q$2010,'LAC 102_Wkst'!$E$7:$E$2010,$C83,'LAC 102_Wkst'!$G$7:$G$2010,$D83,'LAC 102_Wkst'!$L$7:$L$2010,"10",'LAC 102_Wkst'!$N$7:$N$2010,"P4")</f>
        <v>0</v>
      </c>
      <c r="AQ83" s="411">
        <f>SUMIFS('LAC 102_Wkst'!$AE$7:$AE$2010,'LAC 102_Wkst'!$E$7:$E$2010,$C83,'LAC 102_Wkst'!$G$7:$G$2010,$D83,'LAC 102_Wkst'!$L$7:$L$2010,"10",'LAC 102_Wkst'!$N$7:$N$2010,"P1")+SUMIFS('LAC 102_Wkst'!$AE$7:$AE$2010,'LAC 102_Wkst'!$E$7:$E$2010,$C83,'LAC 102_Wkst'!$G$7:$G$2010,$D83,'LAC 102_Wkst'!$L$7:$L$2010,"10",'LAC 102_Wkst'!$N$7:$N$2010,"P2")+SUMIFS('LAC 102_Wkst'!$AE$7:$AE$2010,'LAC 102_Wkst'!$E$7:$E$2010,$C83,'LAC 102_Wkst'!$G$7:$G$2010,$D83,'LAC 102_Wkst'!$L$7:$L$2010,"10",'LAC 102_Wkst'!$N$7:$N$2010,"P3")+SUMIFS('LAC 102_Wkst'!$AE$7:$AE$2010,'LAC 102_Wkst'!$E$7:$E$2010,$C83,'LAC 102_Wkst'!$G$7:$G$2010,$D83,'LAC 102_Wkst'!$L$7:$L$2010,"10",'LAC 102_Wkst'!$N$7:$N$2010,"P4")</f>
        <v>0</v>
      </c>
      <c r="AR83" s="410">
        <f>SUMIFS('LAC 102_Wkst'!$Q$7:$Q$2010,'LAC 102_Wkst'!$E$7:$E$2010,$C83,'LAC 102_Wkst'!$G$7:$G$2010,$D83,'LAC 102_Wkst'!$L$7:$L$2010,"10",'LAC 102_Wkst'!$N$7:$N$2010,"P5")</f>
        <v>0</v>
      </c>
      <c r="AS83" s="411">
        <f>SUMIFS('LAC 102_Wkst'!$AE$7:$AE$2010,'LAC 102_Wkst'!$E$7:$E$2010,$C83,'LAC 102_Wkst'!$G$7:$G$2010,$D83,'LAC 102_Wkst'!$L$7:$L$2010,"10",'LAC 102_Wkst'!$N$7:$N$2010,"P5")</f>
        <v>0</v>
      </c>
      <c r="AT83" s="410">
        <f>SUMIFS('LAC 102_Wkst'!$Q$7:$Q$2010,'LAC 102_Wkst'!$E$7:$E$2010,$C83,'LAC 102_Wkst'!$G$7:$G$2010,$D83,'LAC 102_Wkst'!$L$7:$L$2010,"11",'LAC 102_Wkst'!$N$7:$N$2010,"P1")+SUMIFS('LAC 102_Wkst'!$Q$7:$Q$2010,'LAC 102_Wkst'!$E$7:$E$2010,$C83,'LAC 102_Wkst'!$G$7:$G$2010,$D83,'LAC 102_Wkst'!$L$7:$L$2010,"12",'LAC 102_Wkst'!$N$7:$N$2010,"P1")</f>
        <v>0</v>
      </c>
      <c r="AU83" s="411">
        <f>SUMIFS('LAC 102_Wkst'!$AE$7:$AE$2010,'LAC 102_Wkst'!$E$7:$E$2010,$C83,'LAC 102_Wkst'!$G$7:$G$2010,$D83,'LAC 102_Wkst'!$L$7:$L$2010,"11",'LAC 102_Wkst'!$N$7:$N$2010,"P1")+SUMIFS('LAC 102_Wkst'!$AE$7:$AE$2010,'LAC 102_Wkst'!$E$7:$E$2010,$C83,'LAC 102_Wkst'!$G$7:$G$2010,$D83,'LAC 102_Wkst'!$L$7:$L$2010,"12",'LAC 102_Wkst'!$N$7:$N$2010,"P1")</f>
        <v>0</v>
      </c>
      <c r="AV83" s="410">
        <f>SUMIFS('LAC 102_Wkst'!$Q$7:$Q$2010,'LAC 102_Wkst'!$E$7:$E$2010,$C83,'LAC 102_Wkst'!$G$7:$G$2010,$D83,'LAC 102_Wkst'!$L$7:$L$2010,"11",'LAC 102_Wkst'!$N$7:$N$2010,"P2")+SUMIFS('LAC 102_Wkst'!$Q$7:$Q$2010,'LAC 102_Wkst'!$E$7:$E$2010,$C83,'LAC 102_Wkst'!$G$7:$G$2010,$D83,'LAC 102_Wkst'!$L$7:$L$2010,"12",'LAC 102_Wkst'!$N$7:$N$2010,"P3")+SUMIFS('LAC 102_Wkst'!$Q$7:$Q$2010,'LAC 102_Wkst'!$E$7:$E$2010,$C83,'LAC 102_Wkst'!$G$7:$G$2010,$D83,'LAC 102_Wkst'!$L$7:$L$2010,"11",'LAC 102_Wkst'!$N$7:$N$2010,"P2")+SUMIFS('LAC 102_Wkst'!$Q$7:$Q$2010,'LAC 102_Wkst'!$E$7:$E$2010,$C83,'LAC 102_Wkst'!$G$7:$G$2010,$D83,'LAC 102_Wkst'!$L$7:$L$2010,"12",'LAC 102_Wkst'!$N$7:$N$2010,"P3")</f>
        <v>0</v>
      </c>
      <c r="AW83" s="411">
        <f>SUMIFS('LAC 102_Wkst'!$AE$7:$AE$2010,'LAC 102_Wkst'!$E$7:$E$2010,$C83,'LAC 102_Wkst'!$G$7:$G$2010,$D83,'LAC 102_Wkst'!$L$7:$L$2010,"11",'LAC 102_Wkst'!$N$7:$N$2010,"P2")+SUMIFS('LAC 102_Wkst'!$AE$7:$AE$2010,'LAC 102_Wkst'!$E$7:$E$2010,$C83,'LAC 102_Wkst'!$G$7:$G$2010,$D83,'LAC 102_Wkst'!$L$7:$L$2010,"12",'LAC 102_Wkst'!$N$7:$N$2010,"P3")+SUMIFS('LAC 102_Wkst'!$AE$7:$AE$2010,'LAC 102_Wkst'!$E$7:$E$2010,$C83,'LAC 102_Wkst'!$G$7:$G$2010,$D83,'LAC 102_Wkst'!$L$7:$L$2010,"11",'LAC 102_Wkst'!$N$7:$N$2010,"P2")+SUMIFS('LAC 102_Wkst'!$AE$7:$AE$2010,'LAC 102_Wkst'!$E$7:$E$2010,$C83,'LAC 102_Wkst'!$G$7:$G$2010,$D83,'LAC 102_Wkst'!$L$7:$L$2010,"12",'LAC 102_Wkst'!$N$7:$N$2010,"P3")</f>
        <v>0</v>
      </c>
      <c r="AX83" s="410">
        <f>SUMIFS('LAC 102_Wkst'!$Q$7:$Q$2010,'LAC 102_Wkst'!$E$7:$E$2010,$C83,'LAC 102_Wkst'!$G$7:$G$2010,$D83,'LAC 102_Wkst'!$L$7:$L$2010,"11",'LAC 102_Wkst'!$N$7:$N$2010,"P4")+SUMIFS('LAC 102_Wkst'!$Q$7:$Q$2010,'LAC 102_Wkst'!$E$7:$E$2010,$C83,'LAC 102_Wkst'!$G$7:$G$2010,$D83,'LAC 102_Wkst'!$L$7:$L$2010,"12",'LAC 102_Wkst'!$N$7:$N$2010,"P4")</f>
        <v>0</v>
      </c>
      <c r="AY83" s="411">
        <f>SUMIFS('LAC 102_Wkst'!$AE$7:$AE$2010,'LAC 102_Wkst'!$E$7:$E$2010,$C83,'LAC 102_Wkst'!$G$7:$G$2010,$D83,'LAC 102_Wkst'!$L$7:$L$2010,"11",'LAC 102_Wkst'!$N$7:$N$2010,"P4")+SUMIFS('LAC 102_Wkst'!$AE$7:$AE$2010,'LAC 102_Wkst'!$E$7:$E$2010,$C83,'LAC 102_Wkst'!$G$7:$G$2010,$D83,'LAC 102_Wkst'!$L$7:$L$2010,"12",'LAC 102_Wkst'!$N$7:$N$2010,"P4")</f>
        <v>0</v>
      </c>
      <c r="AZ83" s="410">
        <f>SUMIFS('LAC 102_Wkst'!$Q$7:$Q$2010,'LAC 102_Wkst'!$E$7:$E$2010,$C83,'LAC 102_Wkst'!$G$7:$G$2010,$D83,'LAC 102_Wkst'!$L$7:$L$2010,"11",'LAC 102_Wkst'!$N$7:$N$2010,"P5")+SUMIFS('LAC 102_Wkst'!$Q$7:$Q$2010,'LAC 102_Wkst'!$E$7:$E$2010,$C83,'LAC 102_Wkst'!$G$7:$G$2010,$D83,'LAC 102_Wkst'!$L$7:$L$2010,"12",'LAC 102_Wkst'!$N$7:$N$2010,"P5")</f>
        <v>0</v>
      </c>
      <c r="BA83" s="411">
        <f>SUMIFS('LAC 102_Wkst'!$AE$7:$AE$2010,'LAC 102_Wkst'!$E$7:$E$2010,$C83,'LAC 102_Wkst'!$G$7:$G$2010,$D83,'LAC 102_Wkst'!$L$7:$L$2010,"11",'LAC 102_Wkst'!$N$7:$N$2010,"P5")+SUMIFS('LAC 102_Wkst'!$AE$7:$AE$2010,'LAC 102_Wkst'!$E$7:$E$2010,$C83,'LAC 102_Wkst'!$G$7:$G$2010,$D83,'LAC 102_Wkst'!$L$7:$L$2010,"12",'LAC 102_Wkst'!$N$7:$N$2010,"P5")</f>
        <v>0</v>
      </c>
      <c r="BB83" s="410">
        <f>SUMIFS('LAC 102_Wkst'!$Q$7:$Q$2010,'LAC 102_Wkst'!$E$7:$E$2010,$C83,'LAC 102_Wkst'!$G$7:$G$2010,$D83,'LAC 102_Wkst'!$L$7:$L$2010,"13",'LAC 102_Wkst'!$N$7:$N$2010,"P1")+SUMIFS('LAC 102_Wkst'!$Q$7:$Q$2010,'LAC 102_Wkst'!$E$7:$E$2010,$C83,'LAC 102_Wkst'!$G$7:$G$2010,$D83,'LAC 102_Wkst'!$L$7:$L$2010,"13",'LAC 102_Wkst'!$N$7:$N$2010,"P2")+SUMIFS('LAC 102_Wkst'!$Q$7:$Q$2010,'LAC 102_Wkst'!$E$7:$E$2010,$C83,'LAC 102_Wkst'!$G$7:$G$2010,$D83,'LAC 102_Wkst'!$L$7:$L$2010,"13",'LAC 102_Wkst'!$N$7:$N$2010,"P3")+SUMIFS('LAC 102_Wkst'!$Q$7:$Q$2010,'LAC 102_Wkst'!$E$7:$E$2010,$C83,'LAC 102_Wkst'!$G$7:$G$2010,$D83,'LAC 102_Wkst'!$L$7:$L$2010,"13",'LAC 102_Wkst'!$N$7:$N$2010,"P4")</f>
        <v>0</v>
      </c>
      <c r="BC83" s="411">
        <f>SUMIFS('LAC 102_Wkst'!$AE$7:$AE$2010,'LAC 102_Wkst'!$E$7:$E$2010,$C83,'LAC 102_Wkst'!$G$7:$G$2010,$D83,'LAC 102_Wkst'!$L$7:$L$2010,"13",'LAC 102_Wkst'!$N$7:$N$2010,"P1")+SUMIFS('LAC 102_Wkst'!$AE$7:$AE$2010,'LAC 102_Wkst'!$E$7:$E$2010,$C83,'LAC 102_Wkst'!$G$7:$G$2010,$D83,'LAC 102_Wkst'!$L$7:$L$2010,"13",'LAC 102_Wkst'!$N$7:$N$2010,"P2")+SUMIFS('LAC 102_Wkst'!$AE$7:$AE$2010,'LAC 102_Wkst'!$E$7:$E$2010,$C83,'LAC 102_Wkst'!$G$7:$G$2010,$D83,'LAC 102_Wkst'!$L$7:$L$2010,"13",'LAC 102_Wkst'!$N$7:$N$2010,"P3")+SUMIFS('LAC 102_Wkst'!$AE$7:$AE$2010,'LAC 102_Wkst'!$E$7:$E$2010,$C83,'LAC 102_Wkst'!$G$7:$G$2010,$D83,'LAC 102_Wkst'!$L$7:$L$2010,"13",'LAC 102_Wkst'!$N$7:$N$2010,"P4")</f>
        <v>0</v>
      </c>
      <c r="BD83" s="410">
        <f>SUMIFS('LAC 102_Wkst'!$Q$7:$Q$2010,'LAC 102_Wkst'!$E$7:$E$2010,$C83,'LAC 102_Wkst'!$G$7:$G$2010,$D83,'LAC 102_Wkst'!$L$7:$L$2010,"13",'LAC 102_Wkst'!$N$7:$N$2010,"P5")</f>
        <v>0</v>
      </c>
      <c r="BE83" s="411">
        <f>SUMIFS('LAC 102_Wkst'!$AE$7:$AE$2010,'LAC 102_Wkst'!$E$7:$E$2010,$C83,'LAC 102_Wkst'!$G$7:$G$2010,$D83,'LAC 102_Wkst'!$L$7:$L$2010,"13",'LAC 102_Wkst'!$N$7:$N$2010,"P5")</f>
        <v>0</v>
      </c>
      <c r="BF83" s="407">
        <f t="shared" si="0"/>
        <v>0</v>
      </c>
    </row>
    <row r="84" spans="1:58" x14ac:dyDescent="0.2">
      <c r="A84" s="401">
        <v>65</v>
      </c>
      <c r="B84" s="1236"/>
      <c r="C84" s="1235"/>
      <c r="D84" s="1237"/>
      <c r="E84" s="1222">
        <f>IF(CONCATENATE(C84,D84)&gt;"6069",1,SUMIFS('LAC 102_Wkst'!$Q$7:$Q$2010,'LAC 102_Wkst'!$E$7:$E$2010,Schedule_B!$C84,'LAC 102_Wkst'!$G$7:$G$2010,Schedule_B!$D84))</f>
        <v>0</v>
      </c>
      <c r="F84" s="408">
        <f>SUMIFS('LAC 102_Wkst'!$Q$7:$Q$2010,'LAC 102_Wkst'!$E$7:$E$2010,$C84,'LAC 102_Wkst'!$G$7:$G$2010,$D84,'LAC 102_Wkst'!$L$7:$L$2010,"01",'LAC 102_Wkst'!$N$7:$N$2010,"P1")+SUMIFS('LAC 102_Wkst'!$Q$7:$Q$2010,'LAC 102_Wkst'!$E$7:$E$2010,$C84,'LAC 102_Wkst'!$G$7:$G$2010,$D84,'LAC 102_Wkst'!$L$7:$L$2010,"01",'LAC 102_Wkst'!$N$7:$N$2010,"P2")+SUMIFS('LAC 102_Wkst'!$Q$7:$Q$2010,'LAC 102_Wkst'!$E$7:$E$2010,$C84,'LAC 102_Wkst'!$G$7:$G$2010,$D84,'LAC 102_Wkst'!$L$7:$L$2010,"01",'LAC 102_Wkst'!$N$7:$N$2010,"P3")+SUMIFS('LAC 102_Wkst'!$Q$7:$Q$2010,'LAC 102_Wkst'!$E$7:$E$2010,$C84,'LAC 102_Wkst'!$G$7:$G$2010,$D84,'LAC 102_Wkst'!$L$7:$L$2010,"02",'LAC 102_Wkst'!$N$7:$N$2010,"P1")+SUMIFS('LAC 102_Wkst'!$Q$7:$Q$2010,'LAC 102_Wkst'!$E$7:$E$2010,$C84,'LAC 102_Wkst'!$G$7:$G$2010,$D84,'LAC 102_Wkst'!$L$7:$L$2010,"02",'LAC 102_Wkst'!$N$7:$N$2010,"P2")+SUMIFS('LAC 102_Wkst'!$Q$7:$Q$2010,'LAC 102_Wkst'!$E$7:$E$2010,$C84,'LAC 102_Wkst'!$G$7:$G$2010,$D84,'LAC 102_Wkst'!$L$7:$L$2010,"02",'LAC 102_Wkst'!$N$7:$N$2010,"P3")</f>
        <v>0</v>
      </c>
      <c r="G84" s="409">
        <f>SUMIFS('LAC 102_Wkst'!$AE$7:$AE$2010,'LAC 102_Wkst'!$E$7:$E$2010,$C84,'LAC 102_Wkst'!$G$7:$G$2010,$D84,'LAC 102_Wkst'!$L$7:$L$2010,"01",'LAC 102_Wkst'!$N$7:$N$2010,"P1")+SUMIFS('LAC 102_Wkst'!$AE$7:$AE$2010,'LAC 102_Wkst'!$E$7:$E$2010,$C84,'LAC 102_Wkst'!$G$7:$G$2010,$D84,'LAC 102_Wkst'!$L$7:$L$2010,"01",'LAC 102_Wkst'!$N$7:$N$2010,"P2")+SUMIFS('LAC 102_Wkst'!$AE$7:$AE$2010,'LAC 102_Wkst'!$E$7:$E$2010,$C84,'LAC 102_Wkst'!$G$7:$G$2010,$D84,'LAC 102_Wkst'!$L$7:$L$2010,"01",'LAC 102_Wkst'!$N$7:$N$2010,"P3")+SUMIFS('LAC 102_Wkst'!$AE$7:$AE$2010,'LAC 102_Wkst'!$E$7:$E$2010,$C84,'LAC 102_Wkst'!$G$7:$G$2010,$D84,'LAC 102_Wkst'!$L$7:$L$2010,"02",'LAC 102_Wkst'!$N$7:$N$2010,"P1")+SUMIFS('LAC 102_Wkst'!$AE$7:$AE$2010,'LAC 102_Wkst'!$E$7:$E$2010,$C84,'LAC 102_Wkst'!$G$7:$G$2010,$D84,'LAC 102_Wkst'!$L$7:$L$2010,"02",'LAC 102_Wkst'!$N$7:$N$2010,"P2")+SUMIFS('LAC 102_Wkst'!$AE$7:$AE$2010,'LAC 102_Wkst'!$E$7:$E$2010,$C84,'LAC 102_Wkst'!$G$7:$G$2010,$D84,'LAC 102_Wkst'!$L$7:$L$2010,"02",'LAC 102_Wkst'!$N$7:$N$2010,"P3")</f>
        <v>0</v>
      </c>
      <c r="H84" s="410">
        <f>SUMIFS('LAC 102_Wkst'!$Q$7:$Q$2010,'LAC 102_Wkst'!$E$7:$E$2010,$C84,'LAC 102_Wkst'!$G$7:$G$2010,$D84,'LAC 102_Wkst'!$L$7:$L$2010,"01",'LAC 102_Wkst'!$N$7:$N$2010,"P4")+SUMIFS('LAC 102_Wkst'!$Q$7:$Q$2010,'LAC 102_Wkst'!$E$7:$E$2010,$C84,'LAC 102_Wkst'!$G$7:$G$2010,$D84,'LAC 102_Wkst'!$L$7:$L$2010,"02",'LAC 102_Wkst'!$N$7:$N$2010,"P4")</f>
        <v>0</v>
      </c>
      <c r="I84" s="411">
        <f>SUMIFS('LAC 102_Wkst'!$AE$7:$AE$2010,'LAC 102_Wkst'!$E$7:$E$2010,$C84,'LAC 102_Wkst'!$G$7:$G$2010,$D84,'LAC 102_Wkst'!$L$7:$L$2010,"01",'LAC 102_Wkst'!$N$7:$N$2010,"P4")+SUMIFS('LAC 102_Wkst'!$AE$7:$AE$2010,'LAC 102_Wkst'!$E$7:$E$2010,$C84,'LAC 102_Wkst'!$G$7:$G$2010,$D84,'LAC 102_Wkst'!$L$7:$L$2010,"02",'LAC 102_Wkst'!$N$7:$N$2010,"P4")</f>
        <v>0</v>
      </c>
      <c r="J84" s="410">
        <f>SUMIFS('LAC 102_Wkst'!$Q$7:$Q$2010,'LAC 102_Wkst'!$E$7:$E$2010,$C84,'LAC 102_Wkst'!$G$7:$G$2010,$D84,'LAC 102_Wkst'!$L$7:$L$2010,"01",'LAC 102_Wkst'!$N$7:$N$2010,"P5")+SUMIFS('LAC 102_Wkst'!$Q$7:$Q$2010,'LAC 102_Wkst'!$E$7:$E$2010,$C84,'LAC 102_Wkst'!$G$7:$G$2010,$D84,'LAC 102_Wkst'!$L$7:$L$2010,"02",'LAC 102_Wkst'!$N$7:$N$2010,"P5")</f>
        <v>0</v>
      </c>
      <c r="K84" s="411">
        <f>SUMIFS('LAC 102_Wkst'!$AE$7:$AE$2010,'LAC 102_Wkst'!$E$7:$E$2010,$C84,'LAC 102_Wkst'!$G$7:$G$2010,$D84,'LAC 102_Wkst'!$L$7:$L$2010,"01",'LAC 102_Wkst'!$N$7:$N$2010,"P5")+SUMIFS('LAC 102_Wkst'!$AE$7:$AE$2010,'LAC 102_Wkst'!$E$7:$E$2010,$C84,'LAC 102_Wkst'!$G$7:$G$2010,$D84,'LAC 102_Wkst'!$L$7:$L$2010,"02",'LAC 102_Wkst'!$N$7:$N$2010,"P5")</f>
        <v>0</v>
      </c>
      <c r="L84" s="410">
        <f>SUMIFS('LAC 102_Wkst'!$Q$7:$Q$2010,'LAC 102_Wkst'!$E$7:$E$2010,$C84,'LAC 102_Wkst'!$G$7:$G$2010,$D84,'LAC 102_Wkst'!$L$7:$L$2010,"03",'LAC 102_Wkst'!$N$7:$N$2010,"P1")+SUMIFS('LAC 102_Wkst'!$Q$7:$Q$2010,'LAC 102_Wkst'!$E$7:$E$2010,$C84,'LAC 102_Wkst'!$G$7:$G$2010,$D84,'LAC 102_Wkst'!$L$7:$L$2010,"03",'LAC 102_Wkst'!$N$7:$N$2010,"P2")+SUMIFS('LAC 102_Wkst'!$Q$7:$Q$2010,'LAC 102_Wkst'!$E$7:$E$2010,$C84,'LAC 102_Wkst'!$G$7:$G$2010,$D84,'LAC 102_Wkst'!$L$7:$L$2010,"03",'LAC 102_Wkst'!$N$7:$N$2010,"P3")+SUMIFS('LAC 102_Wkst'!$Q$7:$Q$2010,'LAC 102_Wkst'!$E$7:$E$2010,$C84,'LAC 102_Wkst'!$G$7:$G$2010,$D84,'LAC 102_Wkst'!$L$7:$L$2010,"04",'LAC 102_Wkst'!$N$7:$N$2010,"P1")+SUMIFS('LAC 102_Wkst'!$Q$7:$Q$2010,'LAC 102_Wkst'!$E$7:$E$2010,$C84,'LAC 102_Wkst'!$G$7:$G$2010,$D84,'LAC 102_Wkst'!$L$7:$L$2010,"04",'LAC 102_Wkst'!$N$7:$N$2010,"P2")+SUMIFS('LAC 102_Wkst'!$Q$7:$Q$2010,'LAC 102_Wkst'!$E$7:$E$2010,$C84,'LAC 102_Wkst'!$G$7:$G$2010,$D84,'LAC 102_Wkst'!$L$7:$L$2010,"04",'LAC 102_Wkst'!$N$7:$N$2010,"P3")</f>
        <v>0</v>
      </c>
      <c r="M84" s="411">
        <f>SUMIFS('LAC 102_Wkst'!$AE$7:$AE$2010,'LAC 102_Wkst'!$E$7:$E$2010,$C84,'LAC 102_Wkst'!$G$7:$G$2010,$D84,'LAC 102_Wkst'!$L$7:$L$2010,"03",'LAC 102_Wkst'!$N$7:$N$2010,"P1")+SUMIFS('LAC 102_Wkst'!$AE$7:$AE$2010,'LAC 102_Wkst'!$E$7:$E$2010,$C84,'LAC 102_Wkst'!$G$7:$G$2010,$D84,'LAC 102_Wkst'!$L$7:$L$2010,"03",'LAC 102_Wkst'!$N$7:$N$2010,"P2")+SUMIFS('LAC 102_Wkst'!$AE$7:$AE$2010,'LAC 102_Wkst'!$E$7:$E$2010,$C84,'LAC 102_Wkst'!$G$7:$G$2010,$D84,'LAC 102_Wkst'!$L$7:$L$2010,"03",'LAC 102_Wkst'!$N$7:$N$2010,"P3")+SUMIFS('LAC 102_Wkst'!$AE$7:$AE$2010,'LAC 102_Wkst'!$E$7:$E$2010,$C84,'LAC 102_Wkst'!$G$7:$G$2010,$D84,'LAC 102_Wkst'!$L$7:$L$2010,"04",'LAC 102_Wkst'!$N$7:$N$2010,"P1")+SUMIFS('LAC 102_Wkst'!$AE$7:$AE$2010,'LAC 102_Wkst'!$E$7:$E$2010,$C84,'LAC 102_Wkst'!$G$7:$G$2010,$D84,'LAC 102_Wkst'!$L$7:$L$2010,"04",'LAC 102_Wkst'!$N$7:$N$2010,"P2")+SUMIFS('LAC 102_Wkst'!$AE$7:$AE$2010,'LAC 102_Wkst'!$E$7:$E$2010,$C84,'LAC 102_Wkst'!$G$7:$G$2010,$D84,'LAC 102_Wkst'!$L$7:$L$2010,"04",'LAC 102_Wkst'!$N$7:$N$2010,"P3")</f>
        <v>0</v>
      </c>
      <c r="N84" s="410">
        <f>SUMIFS('LAC 102_Wkst'!$Q$7:$Q$2010,'LAC 102_Wkst'!$E$7:$E$2010,$C84,'LAC 102_Wkst'!$G$7:$G$2010,$D84,'LAC 102_Wkst'!$L$7:$L$2010,"03",'LAC 102_Wkst'!$N$7:$N$2010,"P4")+SUMIFS('LAC 102_Wkst'!$Q$7:$Q$2010,'LAC 102_Wkst'!$E$7:$E$2010,$C84,'LAC 102_Wkst'!$G$7:$G$2010,$D84,'LAC 102_Wkst'!$L$7:$L$2010,"04",'LAC 102_Wkst'!$N$7:$N$2010,"P4")</f>
        <v>0</v>
      </c>
      <c r="O84" s="411">
        <f>SUMIFS('LAC 102_Wkst'!$AE$7:$AE$2010,'LAC 102_Wkst'!$E$7:$E$2010,$C84,'LAC 102_Wkst'!$G$7:$G$2010,$D84,'LAC 102_Wkst'!$L$7:$L$2010,"03",'LAC 102_Wkst'!$N$7:$N$2010,"P4")+SUMIFS('LAC 102_Wkst'!$AE$7:$AE$2010,'LAC 102_Wkst'!$E$7:$E$2010,$C84,'LAC 102_Wkst'!$G$7:$G$2010,$D84,'LAC 102_Wkst'!$L$7:$L$2010,"04",'LAC 102_Wkst'!$N$7:$N$2010,"P4")</f>
        <v>0</v>
      </c>
      <c r="P84" s="410">
        <f>SUMIFS('LAC 102_Wkst'!$Q$7:$Q$2010,'LAC 102_Wkst'!$E$7:$E$2010,$C84,'LAC 102_Wkst'!$G$7:$G$2010,$D84,'LAC 102_Wkst'!$L$7:$L$2010,"03",'LAC 102_Wkst'!$N$7:$N$2010,"P5")+SUMIFS('LAC 102_Wkst'!$Q$7:$Q$2010,'LAC 102_Wkst'!$E$7:$E$2010,$C84,'LAC 102_Wkst'!$G$7:$G$2010,$D84,'LAC 102_Wkst'!$L$7:$L$2010,"04",'LAC 102_Wkst'!$N$7:$N$2010,"P5")</f>
        <v>0</v>
      </c>
      <c r="Q84" s="411">
        <f>SUMIFS('LAC 102_Wkst'!$AE$7:$AE$2010,'LAC 102_Wkst'!$E$7:$E$2010,$C84,'LAC 102_Wkst'!$G$7:$G$2010,$D84,'LAC 102_Wkst'!$L$7:$L$2010,"03",'LAC 102_Wkst'!$N$7:$N$2010,"P5")+SUMIFS('LAC 102_Wkst'!$AE$7:$AE$2010,'LAC 102_Wkst'!$E$7:$E$2010,$C84,'LAC 102_Wkst'!$G$7:$G$2010,$D84,'LAC 102_Wkst'!$L$7:$L$2010,"04",'LAC 102_Wkst'!$N$7:$N$2010,"P5")</f>
        <v>0</v>
      </c>
      <c r="R84" s="412">
        <f>SUMIFS('LAC 102_Wkst'!$Q$7:$Q$2010,'LAC 102_Wkst'!$E$7:$E$2010,$C84,'LAC 102_Wkst'!$G$7:$G$2010,$D84,'LAC 102_Wkst'!$L$7:$L$2010,"05",'LAC 102_Wkst'!$N$7:$N$2010,"P1")+SUMIFS('LAC 102_Wkst'!$Q$7:$Q$2010,'LAC 102_Wkst'!$E$7:$E$2010,$C84,'LAC 102_Wkst'!$G$7:$G$2010,$D84,'LAC 102_Wkst'!$L$7:$L$2010,"06",'LAC 102_Wkst'!$N$7:$N$2010,"P1")</f>
        <v>0</v>
      </c>
      <c r="S84" s="411">
        <f>SUMIFS('LAC 102_Wkst'!$AE$7:$AE$2010,'LAC 102_Wkst'!$E$7:$E$2010,$C84,'LAC 102_Wkst'!$G$7:$G$2010,$D84,'LAC 102_Wkst'!$L$7:$L$2010,"05",'LAC 102_Wkst'!$N$7:$N$2010,"P1")+SUMIFS('LAC 102_Wkst'!$AE$7:$AE$2010,'LAC 102_Wkst'!$E$7:$E$2010,$C84,'LAC 102_Wkst'!$G$7:$G$2010,$D84,'LAC 102_Wkst'!$L$7:$L$2010,"06",'LAC 102_Wkst'!$N$7:$N$2010,"P1")</f>
        <v>0</v>
      </c>
      <c r="T84" s="410">
        <f>SUMIFS('LAC 102_Wkst'!$Q$7:$Q$2010,'LAC 102_Wkst'!$E$7:$E$2010,$C84,'LAC 102_Wkst'!$G$7:$G$2010,$D84,'LAC 102_Wkst'!$L$7:$L$2010,"05",'LAC 102_Wkst'!$N$7:$N$2010,"P2")+SUMIFS('LAC 102_Wkst'!$Q$7:$Q$2010,'LAC 102_Wkst'!$E$7:$E$2010,$C84,'LAC 102_Wkst'!$G$7:$G$2010,$D84,'LAC 102_Wkst'!$L$7:$L$2010,"05",'LAC 102_Wkst'!$N$7:$N$2010,"P3")+SUMIFS('LAC 102_Wkst'!$Q$7:$Q$2010,'LAC 102_Wkst'!$E$7:$E$2010,$C84,'LAC 102_Wkst'!$G$7:$G$2010,$D84,'LAC 102_Wkst'!$L$7:$L$2010,"06",'LAC 102_Wkst'!$N$7:$N$2010,"P2")+SUMIFS('LAC 102_Wkst'!$Q$7:$Q$2010,'LAC 102_Wkst'!$E$7:$E$2010,$C84,'LAC 102_Wkst'!$G$7:$G$2010,$D84,'LAC 102_Wkst'!$L$7:$L$2010,"06",'LAC 102_Wkst'!$N$7:$N$2010,"P3")</f>
        <v>0</v>
      </c>
      <c r="U84" s="411">
        <f>SUMIFS('LAC 102_Wkst'!$AE$7:$AE$2010,'LAC 102_Wkst'!$E$7:$E$2010,$C84,'LAC 102_Wkst'!$G$7:$G$2010,$D84,'LAC 102_Wkst'!$L$7:$L$2010,"05",'LAC 102_Wkst'!$N$7:$N$2010,"P2")+SUMIFS('LAC 102_Wkst'!$AE$7:$AE$2010,'LAC 102_Wkst'!$E$7:$E$2010,$C84,'LAC 102_Wkst'!$G$7:$G$2010,$D84,'LAC 102_Wkst'!$L$7:$L$2010,"06",'LAC 102_Wkst'!$N$7:$N$2010,"P3")+SUMIFS('LAC 102_Wkst'!$AE$7:$AE$2010,'LAC 102_Wkst'!$E$7:$E$2010,$C84,'LAC 102_Wkst'!$G$7:$G$2010,$D84,'LAC 102_Wkst'!$L$7:$L$2010,"05",'LAC 102_Wkst'!$N$7:$N$2010,"P2")+SUMIFS('LAC 102_Wkst'!$AE$7:$AE$2010,'LAC 102_Wkst'!$E$7:$E$2010,$C84,'LAC 102_Wkst'!$G$7:$G$2010,$D84,'LAC 102_Wkst'!$L$7:$L$2010,"06",'LAC 102_Wkst'!$N$7:$N$2010,"P3")</f>
        <v>0</v>
      </c>
      <c r="V84" s="410">
        <f>SUMIFS('LAC 102_Wkst'!$Q$7:$Q$2010,'LAC 102_Wkst'!$E$7:$E$2010,$C84,'LAC 102_Wkst'!$G$7:$G$2010,$D84,'LAC 102_Wkst'!$L$7:$L$2010,"05",'LAC 102_Wkst'!$N$7:$N$2010,"P4")+SUMIFS('LAC 102_Wkst'!$Q$7:$Q$2010,'LAC 102_Wkst'!$E$7:$E$2010,$C84,'LAC 102_Wkst'!$G$7:$G$2010,$D84,'LAC 102_Wkst'!$L$7:$L$2010,"06",'LAC 102_Wkst'!$N$7:$N$2010,"P4")</f>
        <v>0</v>
      </c>
      <c r="W84" s="411">
        <f>SUMIFS('LAC 102_Wkst'!$AE$7:$AE$2010,'LAC 102_Wkst'!$E$7:$E$2010,$C84,'LAC 102_Wkst'!$G$7:$G$2010,$D84,'LAC 102_Wkst'!$L$7:$L$2010,"05",'LAC 102_Wkst'!$N$7:$N$2010,"P4")+SUMIFS('LAC 102_Wkst'!$AE$7:$AE$2010,'LAC 102_Wkst'!$E$7:$E$2010,$C84,'LAC 102_Wkst'!$G$7:$G$2010,$D84,'LAC 102_Wkst'!$L$7:$L$2010,"06",'LAC 102_Wkst'!$N$7:$N$2010,"P4")</f>
        <v>0</v>
      </c>
      <c r="X84" s="410">
        <f>SUMIFS('LAC 102_Wkst'!$Q$7:$Q$2010,'LAC 102_Wkst'!$E$7:$E$2010,$C84,'LAC 102_Wkst'!$G$7:$G$2010,$D84,'LAC 102_Wkst'!$L$7:$L$2010,"05",'LAC 102_Wkst'!$N$7:$N$2010,"P5")+SUMIFS('LAC 102_Wkst'!$Q$7:$Q$2010,'LAC 102_Wkst'!$E$7:$E$2010,$C84,'LAC 102_Wkst'!$G$7:$G$2010,$D84,'LAC 102_Wkst'!$L$7:$L$2010,"06",'LAC 102_Wkst'!$N$7:$N$2010,"P5")</f>
        <v>0</v>
      </c>
      <c r="Y84" s="411">
        <f>SUMIFS('LAC 102_Wkst'!$AE$7:$AE$2010,'LAC 102_Wkst'!$E$7:$E$2010,$C84,'LAC 102_Wkst'!$G$7:$G$2010,$D84,'LAC 102_Wkst'!$L$7:$L$2010,"05",'LAC 102_Wkst'!$N$7:$N$2010,"P5")+SUMIFS('LAC 102_Wkst'!$AE$7:$AE$2010,'LAC 102_Wkst'!$E$7:$E$2010,$C84,'LAC 102_Wkst'!$G$7:$G$2010,$D84,'LAC 102_Wkst'!$L$7:$L$2010,"06",'LAC 102_Wkst'!$N$7:$N$2010,"P5")</f>
        <v>0</v>
      </c>
      <c r="Z84" s="410">
        <f>SUMIFS('LAC 102_Wkst'!$Q$7:$Q$2010,'LAC 102_Wkst'!$E$7:$E$2010,$C84,'LAC 102_Wkst'!$G$7:$G$2010,$D84,'LAC 102_Wkst'!$L$7:$L$2010,"07",'LAC 102_Wkst'!$N$7:$N$2010,"P1")+SUMIFS('LAC 102_Wkst'!$Q$7:$Q$2010,'LAC 102_Wkst'!$E$7:$E$2010,$C84,'LAC 102_Wkst'!$G$7:$G$2010,$D84,'LAC 102_Wkst'!$L$7:$L$2010,"07",'LAC 102_Wkst'!$N$7:$N$2010,"P2")+SUMIFS('LAC 102_Wkst'!$Q$7:$Q$2010,'LAC 102_Wkst'!$E$7:$E$2010,$C84,'LAC 102_Wkst'!$G$7:$G$2010,$D84,'LAC 102_Wkst'!$L$7:$L$2010,"07",'LAC 102_Wkst'!$N$7:$N$2010,"P3")</f>
        <v>0</v>
      </c>
      <c r="AA84" s="411">
        <f>SUMIFS('LAC 102_Wkst'!$AE$7:$AE$2010,'LAC 102_Wkst'!$E$7:$E$2010,$C84,'LAC 102_Wkst'!$G$7:$G$2010,$D84,'LAC 102_Wkst'!$L$7:$L$2010,"07",'LAC 102_Wkst'!$N$7:$N$2010,"P1")+SUMIFS('LAC 102_Wkst'!$AE$7:$AE$2010,'LAC 102_Wkst'!$E$7:$E$2010,$C84,'LAC 102_Wkst'!$G$7:$G$2010,$D84,'LAC 102_Wkst'!$L$7:$L$2010,"07",'LAC 102_Wkst'!$N$7:$N$2010,"P2")+SUMIFS('LAC 102_Wkst'!$AE$7:$AE$2010,'LAC 102_Wkst'!$E$7:$E$2010,$C84,'LAC 102_Wkst'!$G$7:$G$2010,$D84,'LAC 102_Wkst'!$L$7:$L$2010,"07",'LAC 102_Wkst'!$N$7:$N$2010,"P3")</f>
        <v>0</v>
      </c>
      <c r="AB84" s="410">
        <f>SUMIFS('LAC 102_Wkst'!$Q$7:$Q$2010,'LAC 102_Wkst'!$E$7:$E$2010,$C84,'LAC 102_Wkst'!$G$7:$G$2010,$D84,'LAC 102_Wkst'!$L$7:$L$2010,"07",'LAC 102_Wkst'!$N$7:$N$2010,"P4")</f>
        <v>0</v>
      </c>
      <c r="AC84" s="411">
        <f>SUMIFS('LAC 102_Wkst'!$AE$7:$AE$2010,'LAC 102_Wkst'!$E$7:$E$2010,$C84,'LAC 102_Wkst'!$G$7:$G$2010,$D84,'LAC 102_Wkst'!$L$7:$L$2010,"07",'LAC 102_Wkst'!$N$7:$N$2010,"P4")</f>
        <v>0</v>
      </c>
      <c r="AD84" s="410">
        <f>SUMIFS('LAC 102_Wkst'!$Q$7:$Q$2010,'LAC 102_Wkst'!$E$7:$E$2010,$C84,'LAC 102_Wkst'!$G$7:$G$2010,$D84,'LAC 102_Wkst'!$L$7:$L$2010,"07",'LAC 102_Wkst'!$N$7:$N$2010,"P5")</f>
        <v>0</v>
      </c>
      <c r="AE84" s="411">
        <f>SUMIFS('LAC 102_Wkst'!$AE$7:$AE$2010,'LAC 102_Wkst'!$E$7:$E$2010,$C84,'LAC 102_Wkst'!$G$7:$G$2010,$D84,'LAC 102_Wkst'!$L$7:$L$2010,"07",'LAC 102_Wkst'!$N$7:$N$2010,"P5")</f>
        <v>0</v>
      </c>
      <c r="AF84" s="410">
        <f>SUMIFS('LAC 102_Wkst'!$Q$7:$Q$2010,'LAC 102_Wkst'!$E$7:$E$2010,$C84,'LAC 102_Wkst'!$G$7:$G$2010,$D84,'LAC 102_Wkst'!$L$7:$L$2010,"08",'LAC 102_Wkst'!$N$7:$N$2010,"P1")+SUMIFS('LAC 102_Wkst'!$Q$7:$Q$2010,'LAC 102_Wkst'!$E$7:$E$2010,$C84,'LAC 102_Wkst'!$G$7:$G$2010,$D84,'LAC 102_Wkst'!$L$7:$L$2010,"08",'LAC 102_Wkst'!$N$7:$N$2010,"P2")+SUMIFS('LAC 102_Wkst'!$Q$7:$Q$2010,'LAC 102_Wkst'!$E$7:$E$2010,$C84,'LAC 102_Wkst'!$G$7:$G$2010,$D84,'LAC 102_Wkst'!$L$7:$L$2010,"08",'LAC 102_Wkst'!$N$7:$N$2010,"P3")</f>
        <v>0</v>
      </c>
      <c r="AG84" s="411">
        <f>SUMIFS('LAC 102_Wkst'!$AE$7:$AE$2010,'LAC 102_Wkst'!$E$7:$E$2010,$C84,'LAC 102_Wkst'!$G$7:$G$2010,$D84,'LAC 102_Wkst'!$L$7:$L$2010,"08",'LAC 102_Wkst'!$N$7:$N$2010,"P1")+SUMIFS('LAC 102_Wkst'!$AE$7:$AE$2010,'LAC 102_Wkst'!$E$7:$E$2010,$C84,'LAC 102_Wkst'!$G$7:$G$2010,$D84,'LAC 102_Wkst'!$L$7:$L$2010,"08",'LAC 102_Wkst'!$N$7:$N$2010,"P2")+SUMIFS('LAC 102_Wkst'!$AE$7:$AE$2010,'LAC 102_Wkst'!$E$7:$E$2010,$C84,'LAC 102_Wkst'!$G$7:$G$2010,$D84,'LAC 102_Wkst'!$L$7:$L$2010,"08",'LAC 102_Wkst'!$N$7:$N$2010,"P3")</f>
        <v>0</v>
      </c>
      <c r="AH84" s="410">
        <f>SUMIFS('LAC 102_Wkst'!$Q$7:$Q$2010,'LAC 102_Wkst'!$E$7:$E$2010,$C84,'LAC 102_Wkst'!$G$7:$G$2010,$D84,'LAC 102_Wkst'!$L$7:$L$2010,"08",'LAC 102_Wkst'!$N$7:$N$2010,"P4")</f>
        <v>0</v>
      </c>
      <c r="AI84" s="411">
        <f>SUMIFS('LAC 102_Wkst'!$AE$7:$AE$2010,'LAC 102_Wkst'!$E$7:$E$2010,$C84,'LAC 102_Wkst'!$G$7:$G$2010,$D84,'LAC 102_Wkst'!$L$7:$L$2010,"08",'LAC 102_Wkst'!$N$7:$N$2010,"P4")</f>
        <v>0</v>
      </c>
      <c r="AJ84" s="410">
        <f>SUMIFS('LAC 102_Wkst'!$Q$7:$Q$2010,'LAC 102_Wkst'!$E$7:$E$2010,$C84,'LAC 102_Wkst'!$G$7:$G$2010,$D84,'LAC 102_Wkst'!$L$7:$L$2010,"08",'LAC 102_Wkst'!$N$7:$N$2010,"P5")</f>
        <v>0</v>
      </c>
      <c r="AK84" s="411">
        <f>SUMIFS('LAC 102_Wkst'!$AE$7:$AE$2010,'LAC 102_Wkst'!$E$7:$E$2010,$C84,'LAC 102_Wkst'!$G$7:$G$2010,$D84,'LAC 102_Wkst'!$L$7:$L$2010,"08",'LAC 102_Wkst'!$N$7:$N$2010,"P5")</f>
        <v>0</v>
      </c>
      <c r="AL84" s="410">
        <f>SUMIFS('LAC 102_Wkst'!$Q$7:$Q$2010,'LAC 102_Wkst'!$E$7:$E$2010,$C84,'LAC 102_Wkst'!$G$7:$G$2010,$D84,'LAC 102_Wkst'!$L$7:$L$2010,"09",'LAC 102_Wkst'!$N$7:$N$2010,"P1")+SUMIFS('LAC 102_Wkst'!$Q$7:$Q$2010,'LAC 102_Wkst'!$E$7:$E$2010,$C84,'LAC 102_Wkst'!$G$7:$G$2010,$D84,'LAC 102_Wkst'!$L$7:$L$2010,"09",'LAC 102_Wkst'!$N$7:$N$2010,"P2")+SUMIFS('LAC 102_Wkst'!$Q$7:$Q$2010,'LAC 102_Wkst'!$E$7:$E$2010,$C84,'LAC 102_Wkst'!$G$7:$G$2010,$D84,'LAC 102_Wkst'!$L$7:$L$2010,"09",'LAC 102_Wkst'!$N$7:$N$2010,"P3")+SUMIFS('LAC 102_Wkst'!$Q$7:$Q$2010,'LAC 102_Wkst'!$E$7:$E$2010,$C84,'LAC 102_Wkst'!$G$7:$G$2010,$D84,'LAC 102_Wkst'!$L$7:$L$2010,"09",'LAC 102_Wkst'!$N$7:$N$2010,"P4")</f>
        <v>0</v>
      </c>
      <c r="AM84" s="411">
        <f>SUMIFS('LAC 102_Wkst'!$AE$7:$AE$2010,'LAC 102_Wkst'!$E$7:$E$2010,$C84,'LAC 102_Wkst'!$G$7:$G$2010,$D84,'LAC 102_Wkst'!$L$7:$L$2010,"09",'LAC 102_Wkst'!$N$7:$N$2010,"P1")+SUMIFS('LAC 102_Wkst'!$AE$7:$AE$2010,'LAC 102_Wkst'!$E$7:$E$2010,$C84,'LAC 102_Wkst'!$G$7:$G$2010,$D84,'LAC 102_Wkst'!$L$7:$L$2010,"09",'LAC 102_Wkst'!$N$7:$N$2010,"P2")+SUMIFS('LAC 102_Wkst'!$AE$7:$AE$2010,'LAC 102_Wkst'!$E$7:$E$2010,$C84,'LAC 102_Wkst'!$G$7:$G$2010,$D84,'LAC 102_Wkst'!$L$7:$L$2010,"09",'LAC 102_Wkst'!$N$7:$N$2010,"P3")+SUMIFS('LAC 102_Wkst'!$AE$7:$AE$2010,'LAC 102_Wkst'!$E$7:$E$2010,$C84,'LAC 102_Wkst'!$G$7:$G$2010,$D84,'LAC 102_Wkst'!$L$7:$L$2010,"09",'LAC 102_Wkst'!$N$7:$N$2010,"P4")</f>
        <v>0</v>
      </c>
      <c r="AN84" s="410">
        <f>SUMIFS('LAC 102_Wkst'!$Q$7:$Q$2010,'LAC 102_Wkst'!$E$7:$E$2010,$C84,'LAC 102_Wkst'!$G$7:$G$2010,$D84,'LAC 102_Wkst'!$L$7:$L$2010,"09",'LAC 102_Wkst'!$N$7:$N$2010,"P5")</f>
        <v>0</v>
      </c>
      <c r="AO84" s="411">
        <f>SUMIFS('LAC 102_Wkst'!$AE$7:$AE$2010,'LAC 102_Wkst'!$E$7:$E$2010,$C84,'LAC 102_Wkst'!$G$7:$G$2010,$D84,'LAC 102_Wkst'!$L$7:$L$2010,"09",'LAC 102_Wkst'!$N$7:$N$2010,"P5")</f>
        <v>0</v>
      </c>
      <c r="AP84" s="410">
        <f>SUMIFS('LAC 102_Wkst'!$Q$7:$Q$2010,'LAC 102_Wkst'!$E$7:$E$2010,$C84,'LAC 102_Wkst'!$G$7:$G$2010,$D84,'LAC 102_Wkst'!$L$7:$L$2010,"10",'LAC 102_Wkst'!$N$7:$N$2010,"P1")+SUMIFS('LAC 102_Wkst'!$Q$7:$Q$2010,'LAC 102_Wkst'!$E$7:$E$2010,$C84,'LAC 102_Wkst'!$G$7:$G$2010,$D84,'LAC 102_Wkst'!$L$7:$L$2010,"10",'LAC 102_Wkst'!$N$7:$N$2010,"P2")+SUMIFS('LAC 102_Wkst'!$Q$7:$Q$2010,'LAC 102_Wkst'!$E$7:$E$2010,$C84,'LAC 102_Wkst'!$G$7:$G$2010,$D84,'LAC 102_Wkst'!$L$7:$L$2010,"10",'LAC 102_Wkst'!$N$7:$N$2010,"P3")+SUMIFS('LAC 102_Wkst'!$Q$7:$Q$2010,'LAC 102_Wkst'!$E$7:$E$2010,$C84,'LAC 102_Wkst'!$G$7:$G$2010,$D84,'LAC 102_Wkst'!$L$7:$L$2010,"10",'LAC 102_Wkst'!$N$7:$N$2010,"P4")</f>
        <v>0</v>
      </c>
      <c r="AQ84" s="411">
        <f>SUMIFS('LAC 102_Wkst'!$AE$7:$AE$2010,'LAC 102_Wkst'!$E$7:$E$2010,$C84,'LAC 102_Wkst'!$G$7:$G$2010,$D84,'LAC 102_Wkst'!$L$7:$L$2010,"10",'LAC 102_Wkst'!$N$7:$N$2010,"P1")+SUMIFS('LAC 102_Wkst'!$AE$7:$AE$2010,'LAC 102_Wkst'!$E$7:$E$2010,$C84,'LAC 102_Wkst'!$G$7:$G$2010,$D84,'LAC 102_Wkst'!$L$7:$L$2010,"10",'LAC 102_Wkst'!$N$7:$N$2010,"P2")+SUMIFS('LAC 102_Wkst'!$AE$7:$AE$2010,'LAC 102_Wkst'!$E$7:$E$2010,$C84,'LAC 102_Wkst'!$G$7:$G$2010,$D84,'LAC 102_Wkst'!$L$7:$L$2010,"10",'LAC 102_Wkst'!$N$7:$N$2010,"P3")+SUMIFS('LAC 102_Wkst'!$AE$7:$AE$2010,'LAC 102_Wkst'!$E$7:$E$2010,$C84,'LAC 102_Wkst'!$G$7:$G$2010,$D84,'LAC 102_Wkst'!$L$7:$L$2010,"10",'LAC 102_Wkst'!$N$7:$N$2010,"P4")</f>
        <v>0</v>
      </c>
      <c r="AR84" s="410">
        <f>SUMIFS('LAC 102_Wkst'!$Q$7:$Q$2010,'LAC 102_Wkst'!$E$7:$E$2010,$C84,'LAC 102_Wkst'!$G$7:$G$2010,$D84,'LAC 102_Wkst'!$L$7:$L$2010,"10",'LAC 102_Wkst'!$N$7:$N$2010,"P5")</f>
        <v>0</v>
      </c>
      <c r="AS84" s="411">
        <f>SUMIFS('LAC 102_Wkst'!$AE$7:$AE$2010,'LAC 102_Wkst'!$E$7:$E$2010,$C84,'LAC 102_Wkst'!$G$7:$G$2010,$D84,'LAC 102_Wkst'!$L$7:$L$2010,"10",'LAC 102_Wkst'!$N$7:$N$2010,"P5")</f>
        <v>0</v>
      </c>
      <c r="AT84" s="410">
        <f>SUMIFS('LAC 102_Wkst'!$Q$7:$Q$2010,'LAC 102_Wkst'!$E$7:$E$2010,$C84,'LAC 102_Wkst'!$G$7:$G$2010,$D84,'LAC 102_Wkst'!$L$7:$L$2010,"11",'LAC 102_Wkst'!$N$7:$N$2010,"P1")+SUMIFS('LAC 102_Wkst'!$Q$7:$Q$2010,'LAC 102_Wkst'!$E$7:$E$2010,$C84,'LAC 102_Wkst'!$G$7:$G$2010,$D84,'LAC 102_Wkst'!$L$7:$L$2010,"12",'LAC 102_Wkst'!$N$7:$N$2010,"P1")</f>
        <v>0</v>
      </c>
      <c r="AU84" s="411">
        <f>SUMIFS('LAC 102_Wkst'!$AE$7:$AE$2010,'LAC 102_Wkst'!$E$7:$E$2010,$C84,'LAC 102_Wkst'!$G$7:$G$2010,$D84,'LAC 102_Wkst'!$L$7:$L$2010,"11",'LAC 102_Wkst'!$N$7:$N$2010,"P1")+SUMIFS('LAC 102_Wkst'!$AE$7:$AE$2010,'LAC 102_Wkst'!$E$7:$E$2010,$C84,'LAC 102_Wkst'!$G$7:$G$2010,$D84,'LAC 102_Wkst'!$L$7:$L$2010,"12",'LAC 102_Wkst'!$N$7:$N$2010,"P1")</f>
        <v>0</v>
      </c>
      <c r="AV84" s="410">
        <f>SUMIFS('LAC 102_Wkst'!$Q$7:$Q$2010,'LAC 102_Wkst'!$E$7:$E$2010,$C84,'LAC 102_Wkst'!$G$7:$G$2010,$D84,'LAC 102_Wkst'!$L$7:$L$2010,"11",'LAC 102_Wkst'!$N$7:$N$2010,"P2")+SUMIFS('LAC 102_Wkst'!$Q$7:$Q$2010,'LAC 102_Wkst'!$E$7:$E$2010,$C84,'LAC 102_Wkst'!$G$7:$G$2010,$D84,'LAC 102_Wkst'!$L$7:$L$2010,"12",'LAC 102_Wkst'!$N$7:$N$2010,"P3")+SUMIFS('LAC 102_Wkst'!$Q$7:$Q$2010,'LAC 102_Wkst'!$E$7:$E$2010,$C84,'LAC 102_Wkst'!$G$7:$G$2010,$D84,'LAC 102_Wkst'!$L$7:$L$2010,"11",'LAC 102_Wkst'!$N$7:$N$2010,"P2")+SUMIFS('LAC 102_Wkst'!$Q$7:$Q$2010,'LAC 102_Wkst'!$E$7:$E$2010,$C84,'LAC 102_Wkst'!$G$7:$G$2010,$D84,'LAC 102_Wkst'!$L$7:$L$2010,"12",'LAC 102_Wkst'!$N$7:$N$2010,"P3")</f>
        <v>0</v>
      </c>
      <c r="AW84" s="411">
        <f>SUMIFS('LAC 102_Wkst'!$AE$7:$AE$2010,'LAC 102_Wkst'!$E$7:$E$2010,$C84,'LAC 102_Wkst'!$G$7:$G$2010,$D84,'LAC 102_Wkst'!$L$7:$L$2010,"11",'LAC 102_Wkst'!$N$7:$N$2010,"P2")+SUMIFS('LAC 102_Wkst'!$AE$7:$AE$2010,'LAC 102_Wkst'!$E$7:$E$2010,$C84,'LAC 102_Wkst'!$G$7:$G$2010,$D84,'LAC 102_Wkst'!$L$7:$L$2010,"12",'LAC 102_Wkst'!$N$7:$N$2010,"P3")+SUMIFS('LAC 102_Wkst'!$AE$7:$AE$2010,'LAC 102_Wkst'!$E$7:$E$2010,$C84,'LAC 102_Wkst'!$G$7:$G$2010,$D84,'LAC 102_Wkst'!$L$7:$L$2010,"11",'LAC 102_Wkst'!$N$7:$N$2010,"P2")+SUMIFS('LAC 102_Wkst'!$AE$7:$AE$2010,'LAC 102_Wkst'!$E$7:$E$2010,$C84,'LAC 102_Wkst'!$G$7:$G$2010,$D84,'LAC 102_Wkst'!$L$7:$L$2010,"12",'LAC 102_Wkst'!$N$7:$N$2010,"P3")</f>
        <v>0</v>
      </c>
      <c r="AX84" s="410">
        <f>SUMIFS('LAC 102_Wkst'!$Q$7:$Q$2010,'LAC 102_Wkst'!$E$7:$E$2010,$C84,'LAC 102_Wkst'!$G$7:$G$2010,$D84,'LAC 102_Wkst'!$L$7:$L$2010,"11",'LAC 102_Wkst'!$N$7:$N$2010,"P4")+SUMIFS('LAC 102_Wkst'!$Q$7:$Q$2010,'LAC 102_Wkst'!$E$7:$E$2010,$C84,'LAC 102_Wkst'!$G$7:$G$2010,$D84,'LAC 102_Wkst'!$L$7:$L$2010,"12",'LAC 102_Wkst'!$N$7:$N$2010,"P4")</f>
        <v>0</v>
      </c>
      <c r="AY84" s="411">
        <f>SUMIFS('LAC 102_Wkst'!$AE$7:$AE$2010,'LAC 102_Wkst'!$E$7:$E$2010,$C84,'LAC 102_Wkst'!$G$7:$G$2010,$D84,'LAC 102_Wkst'!$L$7:$L$2010,"11",'LAC 102_Wkst'!$N$7:$N$2010,"P4")+SUMIFS('LAC 102_Wkst'!$AE$7:$AE$2010,'LAC 102_Wkst'!$E$7:$E$2010,$C84,'LAC 102_Wkst'!$G$7:$G$2010,$D84,'LAC 102_Wkst'!$L$7:$L$2010,"12",'LAC 102_Wkst'!$N$7:$N$2010,"P4")</f>
        <v>0</v>
      </c>
      <c r="AZ84" s="410">
        <f>SUMIFS('LAC 102_Wkst'!$Q$7:$Q$2010,'LAC 102_Wkst'!$E$7:$E$2010,$C84,'LAC 102_Wkst'!$G$7:$G$2010,$D84,'LAC 102_Wkst'!$L$7:$L$2010,"11",'LAC 102_Wkst'!$N$7:$N$2010,"P5")+SUMIFS('LAC 102_Wkst'!$Q$7:$Q$2010,'LAC 102_Wkst'!$E$7:$E$2010,$C84,'LAC 102_Wkst'!$G$7:$G$2010,$D84,'LAC 102_Wkst'!$L$7:$L$2010,"12",'LAC 102_Wkst'!$N$7:$N$2010,"P5")</f>
        <v>0</v>
      </c>
      <c r="BA84" s="411">
        <f>SUMIFS('LAC 102_Wkst'!$AE$7:$AE$2010,'LAC 102_Wkst'!$E$7:$E$2010,$C84,'LAC 102_Wkst'!$G$7:$G$2010,$D84,'LAC 102_Wkst'!$L$7:$L$2010,"11",'LAC 102_Wkst'!$N$7:$N$2010,"P5")+SUMIFS('LAC 102_Wkst'!$AE$7:$AE$2010,'LAC 102_Wkst'!$E$7:$E$2010,$C84,'LAC 102_Wkst'!$G$7:$G$2010,$D84,'LAC 102_Wkst'!$L$7:$L$2010,"12",'LAC 102_Wkst'!$N$7:$N$2010,"P5")</f>
        <v>0</v>
      </c>
      <c r="BB84" s="410">
        <f>SUMIFS('LAC 102_Wkst'!$Q$7:$Q$2010,'LAC 102_Wkst'!$E$7:$E$2010,$C84,'LAC 102_Wkst'!$G$7:$G$2010,$D84,'LAC 102_Wkst'!$L$7:$L$2010,"13",'LAC 102_Wkst'!$N$7:$N$2010,"P1")+SUMIFS('LAC 102_Wkst'!$Q$7:$Q$2010,'LAC 102_Wkst'!$E$7:$E$2010,$C84,'LAC 102_Wkst'!$G$7:$G$2010,$D84,'LAC 102_Wkst'!$L$7:$L$2010,"13",'LAC 102_Wkst'!$N$7:$N$2010,"P2")+SUMIFS('LAC 102_Wkst'!$Q$7:$Q$2010,'LAC 102_Wkst'!$E$7:$E$2010,$C84,'LAC 102_Wkst'!$G$7:$G$2010,$D84,'LAC 102_Wkst'!$L$7:$L$2010,"13",'LAC 102_Wkst'!$N$7:$N$2010,"P3")+SUMIFS('LAC 102_Wkst'!$Q$7:$Q$2010,'LAC 102_Wkst'!$E$7:$E$2010,$C84,'LAC 102_Wkst'!$G$7:$G$2010,$D84,'LAC 102_Wkst'!$L$7:$L$2010,"13",'LAC 102_Wkst'!$N$7:$N$2010,"P4")</f>
        <v>0</v>
      </c>
      <c r="BC84" s="411">
        <f>SUMIFS('LAC 102_Wkst'!$AE$7:$AE$2010,'LAC 102_Wkst'!$E$7:$E$2010,$C84,'LAC 102_Wkst'!$G$7:$G$2010,$D84,'LAC 102_Wkst'!$L$7:$L$2010,"13",'LAC 102_Wkst'!$N$7:$N$2010,"P1")+SUMIFS('LAC 102_Wkst'!$AE$7:$AE$2010,'LAC 102_Wkst'!$E$7:$E$2010,$C84,'LAC 102_Wkst'!$G$7:$G$2010,$D84,'LAC 102_Wkst'!$L$7:$L$2010,"13",'LAC 102_Wkst'!$N$7:$N$2010,"P2")+SUMIFS('LAC 102_Wkst'!$AE$7:$AE$2010,'LAC 102_Wkst'!$E$7:$E$2010,$C84,'LAC 102_Wkst'!$G$7:$G$2010,$D84,'LAC 102_Wkst'!$L$7:$L$2010,"13",'LAC 102_Wkst'!$N$7:$N$2010,"P3")+SUMIFS('LAC 102_Wkst'!$AE$7:$AE$2010,'LAC 102_Wkst'!$E$7:$E$2010,$C84,'LAC 102_Wkst'!$G$7:$G$2010,$D84,'LAC 102_Wkst'!$L$7:$L$2010,"13",'LAC 102_Wkst'!$N$7:$N$2010,"P4")</f>
        <v>0</v>
      </c>
      <c r="BD84" s="410">
        <f>SUMIFS('LAC 102_Wkst'!$Q$7:$Q$2010,'LAC 102_Wkst'!$E$7:$E$2010,$C84,'LAC 102_Wkst'!$G$7:$G$2010,$D84,'LAC 102_Wkst'!$L$7:$L$2010,"13",'LAC 102_Wkst'!$N$7:$N$2010,"P5")</f>
        <v>0</v>
      </c>
      <c r="BE84" s="411">
        <f>SUMIFS('LAC 102_Wkst'!$AE$7:$AE$2010,'LAC 102_Wkst'!$E$7:$E$2010,$C84,'LAC 102_Wkst'!$G$7:$G$2010,$D84,'LAC 102_Wkst'!$L$7:$L$2010,"13",'LAC 102_Wkst'!$N$7:$N$2010,"P5")</f>
        <v>0</v>
      </c>
      <c r="BF84" s="407">
        <f t="shared" si="0"/>
        <v>0</v>
      </c>
    </row>
    <row r="85" spans="1:58" x14ac:dyDescent="0.2">
      <c r="A85" s="401">
        <v>66</v>
      </c>
      <c r="B85" s="1236"/>
      <c r="C85" s="1235"/>
      <c r="D85" s="1237"/>
      <c r="E85" s="1222">
        <f>IF(CONCATENATE(C85,D85)&gt;"6069",1,SUMIFS('LAC 102_Wkst'!$Q$7:$Q$2010,'LAC 102_Wkst'!$E$7:$E$2010,Schedule_B!$C85,'LAC 102_Wkst'!$G$7:$G$2010,Schedule_B!$D85))</f>
        <v>0</v>
      </c>
      <c r="F85" s="408">
        <f>SUMIFS('LAC 102_Wkst'!$Q$7:$Q$2010,'LAC 102_Wkst'!$E$7:$E$2010,$C85,'LAC 102_Wkst'!$G$7:$G$2010,$D85,'LAC 102_Wkst'!$L$7:$L$2010,"01",'LAC 102_Wkst'!$N$7:$N$2010,"P1")+SUMIFS('LAC 102_Wkst'!$Q$7:$Q$2010,'LAC 102_Wkst'!$E$7:$E$2010,$C85,'LAC 102_Wkst'!$G$7:$G$2010,$D85,'LAC 102_Wkst'!$L$7:$L$2010,"01",'LAC 102_Wkst'!$N$7:$N$2010,"P2")+SUMIFS('LAC 102_Wkst'!$Q$7:$Q$2010,'LAC 102_Wkst'!$E$7:$E$2010,$C85,'LAC 102_Wkst'!$G$7:$G$2010,$D85,'LAC 102_Wkst'!$L$7:$L$2010,"01",'LAC 102_Wkst'!$N$7:$N$2010,"P3")+SUMIFS('LAC 102_Wkst'!$Q$7:$Q$2010,'LAC 102_Wkst'!$E$7:$E$2010,$C85,'LAC 102_Wkst'!$G$7:$G$2010,$D85,'LAC 102_Wkst'!$L$7:$L$2010,"02",'LAC 102_Wkst'!$N$7:$N$2010,"P1")+SUMIFS('LAC 102_Wkst'!$Q$7:$Q$2010,'LAC 102_Wkst'!$E$7:$E$2010,$C85,'LAC 102_Wkst'!$G$7:$G$2010,$D85,'LAC 102_Wkst'!$L$7:$L$2010,"02",'LAC 102_Wkst'!$N$7:$N$2010,"P2")+SUMIFS('LAC 102_Wkst'!$Q$7:$Q$2010,'LAC 102_Wkst'!$E$7:$E$2010,$C85,'LAC 102_Wkst'!$G$7:$G$2010,$D85,'LAC 102_Wkst'!$L$7:$L$2010,"02",'LAC 102_Wkst'!$N$7:$N$2010,"P3")</f>
        <v>0</v>
      </c>
      <c r="G85" s="409">
        <f>SUMIFS('LAC 102_Wkst'!$AE$7:$AE$2010,'LAC 102_Wkst'!$E$7:$E$2010,$C85,'LAC 102_Wkst'!$G$7:$G$2010,$D85,'LAC 102_Wkst'!$L$7:$L$2010,"01",'LAC 102_Wkst'!$N$7:$N$2010,"P1")+SUMIFS('LAC 102_Wkst'!$AE$7:$AE$2010,'LAC 102_Wkst'!$E$7:$E$2010,$C85,'LAC 102_Wkst'!$G$7:$G$2010,$D85,'LAC 102_Wkst'!$L$7:$L$2010,"01",'LAC 102_Wkst'!$N$7:$N$2010,"P2")+SUMIFS('LAC 102_Wkst'!$AE$7:$AE$2010,'LAC 102_Wkst'!$E$7:$E$2010,$C85,'LAC 102_Wkst'!$G$7:$G$2010,$D85,'LAC 102_Wkst'!$L$7:$L$2010,"01",'LAC 102_Wkst'!$N$7:$N$2010,"P3")+SUMIFS('LAC 102_Wkst'!$AE$7:$AE$2010,'LAC 102_Wkst'!$E$7:$E$2010,$C85,'LAC 102_Wkst'!$G$7:$G$2010,$D85,'LAC 102_Wkst'!$L$7:$L$2010,"02",'LAC 102_Wkst'!$N$7:$N$2010,"P1")+SUMIFS('LAC 102_Wkst'!$AE$7:$AE$2010,'LAC 102_Wkst'!$E$7:$E$2010,$C85,'LAC 102_Wkst'!$G$7:$G$2010,$D85,'LAC 102_Wkst'!$L$7:$L$2010,"02",'LAC 102_Wkst'!$N$7:$N$2010,"P2")+SUMIFS('LAC 102_Wkst'!$AE$7:$AE$2010,'LAC 102_Wkst'!$E$7:$E$2010,$C85,'LAC 102_Wkst'!$G$7:$G$2010,$D85,'LAC 102_Wkst'!$L$7:$L$2010,"02",'LAC 102_Wkst'!$N$7:$N$2010,"P3")</f>
        <v>0</v>
      </c>
      <c r="H85" s="410">
        <f>SUMIFS('LAC 102_Wkst'!$Q$7:$Q$2010,'LAC 102_Wkst'!$E$7:$E$2010,$C85,'LAC 102_Wkst'!$G$7:$G$2010,$D85,'LAC 102_Wkst'!$L$7:$L$2010,"01",'LAC 102_Wkst'!$N$7:$N$2010,"P4")+SUMIFS('LAC 102_Wkst'!$Q$7:$Q$2010,'LAC 102_Wkst'!$E$7:$E$2010,$C85,'LAC 102_Wkst'!$G$7:$G$2010,$D85,'LAC 102_Wkst'!$L$7:$L$2010,"02",'LAC 102_Wkst'!$N$7:$N$2010,"P4")</f>
        <v>0</v>
      </c>
      <c r="I85" s="411">
        <f>SUMIFS('LAC 102_Wkst'!$AE$7:$AE$2010,'LAC 102_Wkst'!$E$7:$E$2010,$C85,'LAC 102_Wkst'!$G$7:$G$2010,$D85,'LAC 102_Wkst'!$L$7:$L$2010,"01",'LAC 102_Wkst'!$N$7:$N$2010,"P4")+SUMIFS('LAC 102_Wkst'!$AE$7:$AE$2010,'LAC 102_Wkst'!$E$7:$E$2010,$C85,'LAC 102_Wkst'!$G$7:$G$2010,$D85,'LAC 102_Wkst'!$L$7:$L$2010,"02",'LAC 102_Wkst'!$N$7:$N$2010,"P4")</f>
        <v>0</v>
      </c>
      <c r="J85" s="410">
        <f>SUMIFS('LAC 102_Wkst'!$Q$7:$Q$2010,'LAC 102_Wkst'!$E$7:$E$2010,$C85,'LAC 102_Wkst'!$G$7:$G$2010,$D85,'LAC 102_Wkst'!$L$7:$L$2010,"01",'LAC 102_Wkst'!$N$7:$N$2010,"P5")+SUMIFS('LAC 102_Wkst'!$Q$7:$Q$2010,'LAC 102_Wkst'!$E$7:$E$2010,$C85,'LAC 102_Wkst'!$G$7:$G$2010,$D85,'LAC 102_Wkst'!$L$7:$L$2010,"02",'LAC 102_Wkst'!$N$7:$N$2010,"P5")</f>
        <v>0</v>
      </c>
      <c r="K85" s="411">
        <f>SUMIFS('LAC 102_Wkst'!$AE$7:$AE$2010,'LAC 102_Wkst'!$E$7:$E$2010,$C85,'LAC 102_Wkst'!$G$7:$G$2010,$D85,'LAC 102_Wkst'!$L$7:$L$2010,"01",'LAC 102_Wkst'!$N$7:$N$2010,"P5")+SUMIFS('LAC 102_Wkst'!$AE$7:$AE$2010,'LAC 102_Wkst'!$E$7:$E$2010,$C85,'LAC 102_Wkst'!$G$7:$G$2010,$D85,'LAC 102_Wkst'!$L$7:$L$2010,"02",'LAC 102_Wkst'!$N$7:$N$2010,"P5")</f>
        <v>0</v>
      </c>
      <c r="L85" s="410">
        <f>SUMIFS('LAC 102_Wkst'!$Q$7:$Q$2010,'LAC 102_Wkst'!$E$7:$E$2010,$C85,'LAC 102_Wkst'!$G$7:$G$2010,$D85,'LAC 102_Wkst'!$L$7:$L$2010,"03",'LAC 102_Wkst'!$N$7:$N$2010,"P1")+SUMIFS('LAC 102_Wkst'!$Q$7:$Q$2010,'LAC 102_Wkst'!$E$7:$E$2010,$C85,'LAC 102_Wkst'!$G$7:$G$2010,$D85,'LAC 102_Wkst'!$L$7:$L$2010,"03",'LAC 102_Wkst'!$N$7:$N$2010,"P2")+SUMIFS('LAC 102_Wkst'!$Q$7:$Q$2010,'LAC 102_Wkst'!$E$7:$E$2010,$C85,'LAC 102_Wkst'!$G$7:$G$2010,$D85,'LAC 102_Wkst'!$L$7:$L$2010,"03",'LAC 102_Wkst'!$N$7:$N$2010,"P3")+SUMIFS('LAC 102_Wkst'!$Q$7:$Q$2010,'LAC 102_Wkst'!$E$7:$E$2010,$C85,'LAC 102_Wkst'!$G$7:$G$2010,$D85,'LAC 102_Wkst'!$L$7:$L$2010,"04",'LAC 102_Wkst'!$N$7:$N$2010,"P1")+SUMIFS('LAC 102_Wkst'!$Q$7:$Q$2010,'LAC 102_Wkst'!$E$7:$E$2010,$C85,'LAC 102_Wkst'!$G$7:$G$2010,$D85,'LAC 102_Wkst'!$L$7:$L$2010,"04",'LAC 102_Wkst'!$N$7:$N$2010,"P2")+SUMIFS('LAC 102_Wkst'!$Q$7:$Q$2010,'LAC 102_Wkst'!$E$7:$E$2010,$C85,'LAC 102_Wkst'!$G$7:$G$2010,$D85,'LAC 102_Wkst'!$L$7:$L$2010,"04",'LAC 102_Wkst'!$N$7:$N$2010,"P3")</f>
        <v>0</v>
      </c>
      <c r="M85" s="411">
        <f>SUMIFS('LAC 102_Wkst'!$AE$7:$AE$2010,'LAC 102_Wkst'!$E$7:$E$2010,$C85,'LAC 102_Wkst'!$G$7:$G$2010,$D85,'LAC 102_Wkst'!$L$7:$L$2010,"03",'LAC 102_Wkst'!$N$7:$N$2010,"P1")+SUMIFS('LAC 102_Wkst'!$AE$7:$AE$2010,'LAC 102_Wkst'!$E$7:$E$2010,$C85,'LAC 102_Wkst'!$G$7:$G$2010,$D85,'LAC 102_Wkst'!$L$7:$L$2010,"03",'LAC 102_Wkst'!$N$7:$N$2010,"P2")+SUMIFS('LAC 102_Wkst'!$AE$7:$AE$2010,'LAC 102_Wkst'!$E$7:$E$2010,$C85,'LAC 102_Wkst'!$G$7:$G$2010,$D85,'LAC 102_Wkst'!$L$7:$L$2010,"03",'LAC 102_Wkst'!$N$7:$N$2010,"P3")+SUMIFS('LAC 102_Wkst'!$AE$7:$AE$2010,'LAC 102_Wkst'!$E$7:$E$2010,$C85,'LAC 102_Wkst'!$G$7:$G$2010,$D85,'LAC 102_Wkst'!$L$7:$L$2010,"04",'LAC 102_Wkst'!$N$7:$N$2010,"P1")+SUMIFS('LAC 102_Wkst'!$AE$7:$AE$2010,'LAC 102_Wkst'!$E$7:$E$2010,$C85,'LAC 102_Wkst'!$G$7:$G$2010,$D85,'LAC 102_Wkst'!$L$7:$L$2010,"04",'LAC 102_Wkst'!$N$7:$N$2010,"P2")+SUMIFS('LAC 102_Wkst'!$AE$7:$AE$2010,'LAC 102_Wkst'!$E$7:$E$2010,$C85,'LAC 102_Wkst'!$G$7:$G$2010,$D85,'LAC 102_Wkst'!$L$7:$L$2010,"04",'LAC 102_Wkst'!$N$7:$N$2010,"P3")</f>
        <v>0</v>
      </c>
      <c r="N85" s="410">
        <f>SUMIFS('LAC 102_Wkst'!$Q$7:$Q$2010,'LAC 102_Wkst'!$E$7:$E$2010,$C85,'LAC 102_Wkst'!$G$7:$G$2010,$D85,'LAC 102_Wkst'!$L$7:$L$2010,"03",'LAC 102_Wkst'!$N$7:$N$2010,"P4")+SUMIFS('LAC 102_Wkst'!$Q$7:$Q$2010,'LAC 102_Wkst'!$E$7:$E$2010,$C85,'LAC 102_Wkst'!$G$7:$G$2010,$D85,'LAC 102_Wkst'!$L$7:$L$2010,"04",'LAC 102_Wkst'!$N$7:$N$2010,"P4")</f>
        <v>0</v>
      </c>
      <c r="O85" s="411">
        <f>SUMIFS('LAC 102_Wkst'!$AE$7:$AE$2010,'LAC 102_Wkst'!$E$7:$E$2010,$C85,'LAC 102_Wkst'!$G$7:$G$2010,$D85,'LAC 102_Wkst'!$L$7:$L$2010,"03",'LAC 102_Wkst'!$N$7:$N$2010,"P4")+SUMIFS('LAC 102_Wkst'!$AE$7:$AE$2010,'LAC 102_Wkst'!$E$7:$E$2010,$C85,'LAC 102_Wkst'!$G$7:$G$2010,$D85,'LAC 102_Wkst'!$L$7:$L$2010,"04",'LAC 102_Wkst'!$N$7:$N$2010,"P4")</f>
        <v>0</v>
      </c>
      <c r="P85" s="410">
        <f>SUMIFS('LAC 102_Wkst'!$Q$7:$Q$2010,'LAC 102_Wkst'!$E$7:$E$2010,$C85,'LAC 102_Wkst'!$G$7:$G$2010,$D85,'LAC 102_Wkst'!$L$7:$L$2010,"03",'LAC 102_Wkst'!$N$7:$N$2010,"P5")+SUMIFS('LAC 102_Wkst'!$Q$7:$Q$2010,'LAC 102_Wkst'!$E$7:$E$2010,$C85,'LAC 102_Wkst'!$G$7:$G$2010,$D85,'LAC 102_Wkst'!$L$7:$L$2010,"04",'LAC 102_Wkst'!$N$7:$N$2010,"P5")</f>
        <v>0</v>
      </c>
      <c r="Q85" s="411">
        <f>SUMIFS('LAC 102_Wkst'!$AE$7:$AE$2010,'LAC 102_Wkst'!$E$7:$E$2010,$C85,'LAC 102_Wkst'!$G$7:$G$2010,$D85,'LAC 102_Wkst'!$L$7:$L$2010,"03",'LAC 102_Wkst'!$N$7:$N$2010,"P5")+SUMIFS('LAC 102_Wkst'!$AE$7:$AE$2010,'LAC 102_Wkst'!$E$7:$E$2010,$C85,'LAC 102_Wkst'!$G$7:$G$2010,$D85,'LAC 102_Wkst'!$L$7:$L$2010,"04",'LAC 102_Wkst'!$N$7:$N$2010,"P5")</f>
        <v>0</v>
      </c>
      <c r="R85" s="412">
        <f>SUMIFS('LAC 102_Wkst'!$Q$7:$Q$2010,'LAC 102_Wkst'!$E$7:$E$2010,$C85,'LAC 102_Wkst'!$G$7:$G$2010,$D85,'LAC 102_Wkst'!$L$7:$L$2010,"05",'LAC 102_Wkst'!$N$7:$N$2010,"P1")+SUMIFS('LAC 102_Wkst'!$Q$7:$Q$2010,'LAC 102_Wkst'!$E$7:$E$2010,$C85,'LAC 102_Wkst'!$G$7:$G$2010,$D85,'LAC 102_Wkst'!$L$7:$L$2010,"06",'LAC 102_Wkst'!$N$7:$N$2010,"P1")</f>
        <v>0</v>
      </c>
      <c r="S85" s="411">
        <f>SUMIFS('LAC 102_Wkst'!$AE$7:$AE$2010,'LAC 102_Wkst'!$E$7:$E$2010,$C85,'LAC 102_Wkst'!$G$7:$G$2010,$D85,'LAC 102_Wkst'!$L$7:$L$2010,"05",'LAC 102_Wkst'!$N$7:$N$2010,"P1")+SUMIFS('LAC 102_Wkst'!$AE$7:$AE$2010,'LAC 102_Wkst'!$E$7:$E$2010,$C85,'LAC 102_Wkst'!$G$7:$G$2010,$D85,'LAC 102_Wkst'!$L$7:$L$2010,"06",'LAC 102_Wkst'!$N$7:$N$2010,"P1")</f>
        <v>0</v>
      </c>
      <c r="T85" s="410">
        <f>SUMIFS('LAC 102_Wkst'!$Q$7:$Q$2010,'LAC 102_Wkst'!$E$7:$E$2010,$C85,'LAC 102_Wkst'!$G$7:$G$2010,$D85,'LAC 102_Wkst'!$L$7:$L$2010,"05",'LAC 102_Wkst'!$N$7:$N$2010,"P2")+SUMIFS('LAC 102_Wkst'!$Q$7:$Q$2010,'LAC 102_Wkst'!$E$7:$E$2010,$C85,'LAC 102_Wkst'!$G$7:$G$2010,$D85,'LAC 102_Wkst'!$L$7:$L$2010,"05",'LAC 102_Wkst'!$N$7:$N$2010,"P3")+SUMIFS('LAC 102_Wkst'!$Q$7:$Q$2010,'LAC 102_Wkst'!$E$7:$E$2010,$C85,'LAC 102_Wkst'!$G$7:$G$2010,$D85,'LAC 102_Wkst'!$L$7:$L$2010,"06",'LAC 102_Wkst'!$N$7:$N$2010,"P2")+SUMIFS('LAC 102_Wkst'!$Q$7:$Q$2010,'LAC 102_Wkst'!$E$7:$E$2010,$C85,'LAC 102_Wkst'!$G$7:$G$2010,$D85,'LAC 102_Wkst'!$L$7:$L$2010,"06",'LAC 102_Wkst'!$N$7:$N$2010,"P3")</f>
        <v>0</v>
      </c>
      <c r="U85" s="411">
        <f>SUMIFS('LAC 102_Wkst'!$AE$7:$AE$2010,'LAC 102_Wkst'!$E$7:$E$2010,$C85,'LAC 102_Wkst'!$G$7:$G$2010,$D85,'LAC 102_Wkst'!$L$7:$L$2010,"05",'LAC 102_Wkst'!$N$7:$N$2010,"P2")+SUMIFS('LAC 102_Wkst'!$AE$7:$AE$2010,'LAC 102_Wkst'!$E$7:$E$2010,$C85,'LAC 102_Wkst'!$G$7:$G$2010,$D85,'LAC 102_Wkst'!$L$7:$L$2010,"06",'LAC 102_Wkst'!$N$7:$N$2010,"P3")+SUMIFS('LAC 102_Wkst'!$AE$7:$AE$2010,'LAC 102_Wkst'!$E$7:$E$2010,$C85,'LAC 102_Wkst'!$G$7:$G$2010,$D85,'LAC 102_Wkst'!$L$7:$L$2010,"05",'LAC 102_Wkst'!$N$7:$N$2010,"P2")+SUMIFS('LAC 102_Wkst'!$AE$7:$AE$2010,'LAC 102_Wkst'!$E$7:$E$2010,$C85,'LAC 102_Wkst'!$G$7:$G$2010,$D85,'LAC 102_Wkst'!$L$7:$L$2010,"06",'LAC 102_Wkst'!$N$7:$N$2010,"P3")</f>
        <v>0</v>
      </c>
      <c r="V85" s="410">
        <f>SUMIFS('LAC 102_Wkst'!$Q$7:$Q$2010,'LAC 102_Wkst'!$E$7:$E$2010,$C85,'LAC 102_Wkst'!$G$7:$G$2010,$D85,'LAC 102_Wkst'!$L$7:$L$2010,"05",'LAC 102_Wkst'!$N$7:$N$2010,"P4")+SUMIFS('LAC 102_Wkst'!$Q$7:$Q$2010,'LAC 102_Wkst'!$E$7:$E$2010,$C85,'LAC 102_Wkst'!$G$7:$G$2010,$D85,'LAC 102_Wkst'!$L$7:$L$2010,"06",'LAC 102_Wkst'!$N$7:$N$2010,"P4")</f>
        <v>0</v>
      </c>
      <c r="W85" s="411">
        <f>SUMIFS('LAC 102_Wkst'!$AE$7:$AE$2010,'LAC 102_Wkst'!$E$7:$E$2010,$C85,'LAC 102_Wkst'!$G$7:$G$2010,$D85,'LAC 102_Wkst'!$L$7:$L$2010,"05",'LAC 102_Wkst'!$N$7:$N$2010,"P4")+SUMIFS('LAC 102_Wkst'!$AE$7:$AE$2010,'LAC 102_Wkst'!$E$7:$E$2010,$C85,'LAC 102_Wkst'!$G$7:$G$2010,$D85,'LAC 102_Wkst'!$L$7:$L$2010,"06",'LAC 102_Wkst'!$N$7:$N$2010,"P4")</f>
        <v>0</v>
      </c>
      <c r="X85" s="410">
        <f>SUMIFS('LAC 102_Wkst'!$Q$7:$Q$2010,'LAC 102_Wkst'!$E$7:$E$2010,$C85,'LAC 102_Wkst'!$G$7:$G$2010,$D85,'LAC 102_Wkst'!$L$7:$L$2010,"05",'LAC 102_Wkst'!$N$7:$N$2010,"P5")+SUMIFS('LAC 102_Wkst'!$Q$7:$Q$2010,'LAC 102_Wkst'!$E$7:$E$2010,$C85,'LAC 102_Wkst'!$G$7:$G$2010,$D85,'LAC 102_Wkst'!$L$7:$L$2010,"06",'LAC 102_Wkst'!$N$7:$N$2010,"P5")</f>
        <v>0</v>
      </c>
      <c r="Y85" s="411">
        <f>SUMIFS('LAC 102_Wkst'!$AE$7:$AE$2010,'LAC 102_Wkst'!$E$7:$E$2010,$C85,'LAC 102_Wkst'!$G$7:$G$2010,$D85,'LAC 102_Wkst'!$L$7:$L$2010,"05",'LAC 102_Wkst'!$N$7:$N$2010,"P5")+SUMIFS('LAC 102_Wkst'!$AE$7:$AE$2010,'LAC 102_Wkst'!$E$7:$E$2010,$C85,'LAC 102_Wkst'!$G$7:$G$2010,$D85,'LAC 102_Wkst'!$L$7:$L$2010,"06",'LAC 102_Wkst'!$N$7:$N$2010,"P5")</f>
        <v>0</v>
      </c>
      <c r="Z85" s="410">
        <f>SUMIFS('LAC 102_Wkst'!$Q$7:$Q$2010,'LAC 102_Wkst'!$E$7:$E$2010,$C85,'LAC 102_Wkst'!$G$7:$G$2010,$D85,'LAC 102_Wkst'!$L$7:$L$2010,"07",'LAC 102_Wkst'!$N$7:$N$2010,"P1")+SUMIFS('LAC 102_Wkst'!$Q$7:$Q$2010,'LAC 102_Wkst'!$E$7:$E$2010,$C85,'LAC 102_Wkst'!$G$7:$G$2010,$D85,'LAC 102_Wkst'!$L$7:$L$2010,"07",'LAC 102_Wkst'!$N$7:$N$2010,"P2")+SUMIFS('LAC 102_Wkst'!$Q$7:$Q$2010,'LAC 102_Wkst'!$E$7:$E$2010,$C85,'LAC 102_Wkst'!$G$7:$G$2010,$D85,'LAC 102_Wkst'!$L$7:$L$2010,"07",'LAC 102_Wkst'!$N$7:$N$2010,"P3")</f>
        <v>0</v>
      </c>
      <c r="AA85" s="411">
        <f>SUMIFS('LAC 102_Wkst'!$AE$7:$AE$2010,'LAC 102_Wkst'!$E$7:$E$2010,$C85,'LAC 102_Wkst'!$G$7:$G$2010,$D85,'LAC 102_Wkst'!$L$7:$L$2010,"07",'LAC 102_Wkst'!$N$7:$N$2010,"P1")+SUMIFS('LAC 102_Wkst'!$AE$7:$AE$2010,'LAC 102_Wkst'!$E$7:$E$2010,$C85,'LAC 102_Wkst'!$G$7:$G$2010,$D85,'LAC 102_Wkst'!$L$7:$L$2010,"07",'LAC 102_Wkst'!$N$7:$N$2010,"P2")+SUMIFS('LAC 102_Wkst'!$AE$7:$AE$2010,'LAC 102_Wkst'!$E$7:$E$2010,$C85,'LAC 102_Wkst'!$G$7:$G$2010,$D85,'LAC 102_Wkst'!$L$7:$L$2010,"07",'LAC 102_Wkst'!$N$7:$N$2010,"P3")</f>
        <v>0</v>
      </c>
      <c r="AB85" s="410">
        <f>SUMIFS('LAC 102_Wkst'!$Q$7:$Q$2010,'LAC 102_Wkst'!$E$7:$E$2010,$C85,'LAC 102_Wkst'!$G$7:$G$2010,$D85,'LAC 102_Wkst'!$L$7:$L$2010,"07",'LAC 102_Wkst'!$N$7:$N$2010,"P4")</f>
        <v>0</v>
      </c>
      <c r="AC85" s="411">
        <f>SUMIFS('LAC 102_Wkst'!$AE$7:$AE$2010,'LAC 102_Wkst'!$E$7:$E$2010,$C85,'LAC 102_Wkst'!$G$7:$G$2010,$D85,'LAC 102_Wkst'!$L$7:$L$2010,"07",'LAC 102_Wkst'!$N$7:$N$2010,"P4")</f>
        <v>0</v>
      </c>
      <c r="AD85" s="410">
        <f>SUMIFS('LAC 102_Wkst'!$Q$7:$Q$2010,'LAC 102_Wkst'!$E$7:$E$2010,$C85,'LAC 102_Wkst'!$G$7:$G$2010,$D85,'LAC 102_Wkst'!$L$7:$L$2010,"07",'LAC 102_Wkst'!$N$7:$N$2010,"P5")</f>
        <v>0</v>
      </c>
      <c r="AE85" s="411">
        <f>SUMIFS('LAC 102_Wkst'!$AE$7:$AE$2010,'LAC 102_Wkst'!$E$7:$E$2010,$C85,'LAC 102_Wkst'!$G$7:$G$2010,$D85,'LAC 102_Wkst'!$L$7:$L$2010,"07",'LAC 102_Wkst'!$N$7:$N$2010,"P5")</f>
        <v>0</v>
      </c>
      <c r="AF85" s="410">
        <f>SUMIFS('LAC 102_Wkst'!$Q$7:$Q$2010,'LAC 102_Wkst'!$E$7:$E$2010,$C85,'LAC 102_Wkst'!$G$7:$G$2010,$D85,'LAC 102_Wkst'!$L$7:$L$2010,"08",'LAC 102_Wkst'!$N$7:$N$2010,"P1")+SUMIFS('LAC 102_Wkst'!$Q$7:$Q$2010,'LAC 102_Wkst'!$E$7:$E$2010,$C85,'LAC 102_Wkst'!$G$7:$G$2010,$D85,'LAC 102_Wkst'!$L$7:$L$2010,"08",'LAC 102_Wkst'!$N$7:$N$2010,"P2")+SUMIFS('LAC 102_Wkst'!$Q$7:$Q$2010,'LAC 102_Wkst'!$E$7:$E$2010,$C85,'LAC 102_Wkst'!$G$7:$G$2010,$D85,'LAC 102_Wkst'!$L$7:$L$2010,"08",'LAC 102_Wkst'!$N$7:$N$2010,"P3")</f>
        <v>0</v>
      </c>
      <c r="AG85" s="411">
        <f>SUMIFS('LAC 102_Wkst'!$AE$7:$AE$2010,'LAC 102_Wkst'!$E$7:$E$2010,$C85,'LAC 102_Wkst'!$G$7:$G$2010,$D85,'LAC 102_Wkst'!$L$7:$L$2010,"08",'LAC 102_Wkst'!$N$7:$N$2010,"P1")+SUMIFS('LAC 102_Wkst'!$AE$7:$AE$2010,'LAC 102_Wkst'!$E$7:$E$2010,$C85,'LAC 102_Wkst'!$G$7:$G$2010,$D85,'LAC 102_Wkst'!$L$7:$L$2010,"08",'LAC 102_Wkst'!$N$7:$N$2010,"P2")+SUMIFS('LAC 102_Wkst'!$AE$7:$AE$2010,'LAC 102_Wkst'!$E$7:$E$2010,$C85,'LAC 102_Wkst'!$G$7:$G$2010,$D85,'LAC 102_Wkst'!$L$7:$L$2010,"08",'LAC 102_Wkst'!$N$7:$N$2010,"P3")</f>
        <v>0</v>
      </c>
      <c r="AH85" s="410">
        <f>SUMIFS('LAC 102_Wkst'!$Q$7:$Q$2010,'LAC 102_Wkst'!$E$7:$E$2010,$C85,'LAC 102_Wkst'!$G$7:$G$2010,$D85,'LAC 102_Wkst'!$L$7:$L$2010,"08",'LAC 102_Wkst'!$N$7:$N$2010,"P4")</f>
        <v>0</v>
      </c>
      <c r="AI85" s="411">
        <f>SUMIFS('LAC 102_Wkst'!$AE$7:$AE$2010,'LAC 102_Wkst'!$E$7:$E$2010,$C85,'LAC 102_Wkst'!$G$7:$G$2010,$D85,'LAC 102_Wkst'!$L$7:$L$2010,"08",'LAC 102_Wkst'!$N$7:$N$2010,"P4")</f>
        <v>0</v>
      </c>
      <c r="AJ85" s="410">
        <f>SUMIFS('LAC 102_Wkst'!$Q$7:$Q$2010,'LAC 102_Wkst'!$E$7:$E$2010,$C85,'LAC 102_Wkst'!$G$7:$G$2010,$D85,'LAC 102_Wkst'!$L$7:$L$2010,"08",'LAC 102_Wkst'!$N$7:$N$2010,"P5")</f>
        <v>0</v>
      </c>
      <c r="AK85" s="411">
        <f>SUMIFS('LAC 102_Wkst'!$AE$7:$AE$2010,'LAC 102_Wkst'!$E$7:$E$2010,$C85,'LAC 102_Wkst'!$G$7:$G$2010,$D85,'LAC 102_Wkst'!$L$7:$L$2010,"08",'LAC 102_Wkst'!$N$7:$N$2010,"P5")</f>
        <v>0</v>
      </c>
      <c r="AL85" s="410">
        <f>SUMIFS('LAC 102_Wkst'!$Q$7:$Q$2010,'LAC 102_Wkst'!$E$7:$E$2010,$C85,'LAC 102_Wkst'!$G$7:$G$2010,$D85,'LAC 102_Wkst'!$L$7:$L$2010,"09",'LAC 102_Wkst'!$N$7:$N$2010,"P1")+SUMIFS('LAC 102_Wkst'!$Q$7:$Q$2010,'LAC 102_Wkst'!$E$7:$E$2010,$C85,'LAC 102_Wkst'!$G$7:$G$2010,$D85,'LAC 102_Wkst'!$L$7:$L$2010,"09",'LAC 102_Wkst'!$N$7:$N$2010,"P2")+SUMIFS('LAC 102_Wkst'!$Q$7:$Q$2010,'LAC 102_Wkst'!$E$7:$E$2010,$C85,'LAC 102_Wkst'!$G$7:$G$2010,$D85,'LAC 102_Wkst'!$L$7:$L$2010,"09",'LAC 102_Wkst'!$N$7:$N$2010,"P3")+SUMIFS('LAC 102_Wkst'!$Q$7:$Q$2010,'LAC 102_Wkst'!$E$7:$E$2010,$C85,'LAC 102_Wkst'!$G$7:$G$2010,$D85,'LAC 102_Wkst'!$L$7:$L$2010,"09",'LAC 102_Wkst'!$N$7:$N$2010,"P4")</f>
        <v>0</v>
      </c>
      <c r="AM85" s="411">
        <f>SUMIFS('LAC 102_Wkst'!$AE$7:$AE$2010,'LAC 102_Wkst'!$E$7:$E$2010,$C85,'LAC 102_Wkst'!$G$7:$G$2010,$D85,'LAC 102_Wkst'!$L$7:$L$2010,"09",'LAC 102_Wkst'!$N$7:$N$2010,"P1")+SUMIFS('LAC 102_Wkst'!$AE$7:$AE$2010,'LAC 102_Wkst'!$E$7:$E$2010,$C85,'LAC 102_Wkst'!$G$7:$G$2010,$D85,'LAC 102_Wkst'!$L$7:$L$2010,"09",'LAC 102_Wkst'!$N$7:$N$2010,"P2")+SUMIFS('LAC 102_Wkst'!$AE$7:$AE$2010,'LAC 102_Wkst'!$E$7:$E$2010,$C85,'LAC 102_Wkst'!$G$7:$G$2010,$D85,'LAC 102_Wkst'!$L$7:$L$2010,"09",'LAC 102_Wkst'!$N$7:$N$2010,"P3")+SUMIFS('LAC 102_Wkst'!$AE$7:$AE$2010,'LAC 102_Wkst'!$E$7:$E$2010,$C85,'LAC 102_Wkst'!$G$7:$G$2010,$D85,'LAC 102_Wkst'!$L$7:$L$2010,"09",'LAC 102_Wkst'!$N$7:$N$2010,"P4")</f>
        <v>0</v>
      </c>
      <c r="AN85" s="410">
        <f>SUMIFS('LAC 102_Wkst'!$Q$7:$Q$2010,'LAC 102_Wkst'!$E$7:$E$2010,$C85,'LAC 102_Wkst'!$G$7:$G$2010,$D85,'LAC 102_Wkst'!$L$7:$L$2010,"09",'LAC 102_Wkst'!$N$7:$N$2010,"P5")</f>
        <v>0</v>
      </c>
      <c r="AO85" s="411">
        <f>SUMIFS('LAC 102_Wkst'!$AE$7:$AE$2010,'LAC 102_Wkst'!$E$7:$E$2010,$C85,'LAC 102_Wkst'!$G$7:$G$2010,$D85,'LAC 102_Wkst'!$L$7:$L$2010,"09",'LAC 102_Wkst'!$N$7:$N$2010,"P5")</f>
        <v>0</v>
      </c>
      <c r="AP85" s="410">
        <f>SUMIFS('LAC 102_Wkst'!$Q$7:$Q$2010,'LAC 102_Wkst'!$E$7:$E$2010,$C85,'LAC 102_Wkst'!$G$7:$G$2010,$D85,'LAC 102_Wkst'!$L$7:$L$2010,"10",'LAC 102_Wkst'!$N$7:$N$2010,"P1")+SUMIFS('LAC 102_Wkst'!$Q$7:$Q$2010,'LAC 102_Wkst'!$E$7:$E$2010,$C85,'LAC 102_Wkst'!$G$7:$G$2010,$D85,'LAC 102_Wkst'!$L$7:$L$2010,"10",'LAC 102_Wkst'!$N$7:$N$2010,"P2")+SUMIFS('LAC 102_Wkst'!$Q$7:$Q$2010,'LAC 102_Wkst'!$E$7:$E$2010,$C85,'LAC 102_Wkst'!$G$7:$G$2010,$D85,'LAC 102_Wkst'!$L$7:$L$2010,"10",'LAC 102_Wkst'!$N$7:$N$2010,"P3")+SUMIFS('LAC 102_Wkst'!$Q$7:$Q$2010,'LAC 102_Wkst'!$E$7:$E$2010,$C85,'LAC 102_Wkst'!$G$7:$G$2010,$D85,'LAC 102_Wkst'!$L$7:$L$2010,"10",'LAC 102_Wkst'!$N$7:$N$2010,"P4")</f>
        <v>0</v>
      </c>
      <c r="AQ85" s="411">
        <f>SUMIFS('LAC 102_Wkst'!$AE$7:$AE$2010,'LAC 102_Wkst'!$E$7:$E$2010,$C85,'LAC 102_Wkst'!$G$7:$G$2010,$D85,'LAC 102_Wkst'!$L$7:$L$2010,"10",'LAC 102_Wkst'!$N$7:$N$2010,"P1")+SUMIFS('LAC 102_Wkst'!$AE$7:$AE$2010,'LAC 102_Wkst'!$E$7:$E$2010,$C85,'LAC 102_Wkst'!$G$7:$G$2010,$D85,'LAC 102_Wkst'!$L$7:$L$2010,"10",'LAC 102_Wkst'!$N$7:$N$2010,"P2")+SUMIFS('LAC 102_Wkst'!$AE$7:$AE$2010,'LAC 102_Wkst'!$E$7:$E$2010,$C85,'LAC 102_Wkst'!$G$7:$G$2010,$D85,'LAC 102_Wkst'!$L$7:$L$2010,"10",'LAC 102_Wkst'!$N$7:$N$2010,"P3")+SUMIFS('LAC 102_Wkst'!$AE$7:$AE$2010,'LAC 102_Wkst'!$E$7:$E$2010,$C85,'LAC 102_Wkst'!$G$7:$G$2010,$D85,'LAC 102_Wkst'!$L$7:$L$2010,"10",'LAC 102_Wkst'!$N$7:$N$2010,"P4")</f>
        <v>0</v>
      </c>
      <c r="AR85" s="410">
        <f>SUMIFS('LAC 102_Wkst'!$Q$7:$Q$2010,'LAC 102_Wkst'!$E$7:$E$2010,$C85,'LAC 102_Wkst'!$G$7:$G$2010,$D85,'LAC 102_Wkst'!$L$7:$L$2010,"10",'LAC 102_Wkst'!$N$7:$N$2010,"P5")</f>
        <v>0</v>
      </c>
      <c r="AS85" s="411">
        <f>SUMIFS('LAC 102_Wkst'!$AE$7:$AE$2010,'LAC 102_Wkst'!$E$7:$E$2010,$C85,'LAC 102_Wkst'!$G$7:$G$2010,$D85,'LAC 102_Wkst'!$L$7:$L$2010,"10",'LAC 102_Wkst'!$N$7:$N$2010,"P5")</f>
        <v>0</v>
      </c>
      <c r="AT85" s="410">
        <f>SUMIFS('LAC 102_Wkst'!$Q$7:$Q$2010,'LAC 102_Wkst'!$E$7:$E$2010,$C85,'LAC 102_Wkst'!$G$7:$G$2010,$D85,'LAC 102_Wkst'!$L$7:$L$2010,"11",'LAC 102_Wkst'!$N$7:$N$2010,"P1")+SUMIFS('LAC 102_Wkst'!$Q$7:$Q$2010,'LAC 102_Wkst'!$E$7:$E$2010,$C85,'LAC 102_Wkst'!$G$7:$G$2010,$D85,'LAC 102_Wkst'!$L$7:$L$2010,"12",'LAC 102_Wkst'!$N$7:$N$2010,"P1")</f>
        <v>0</v>
      </c>
      <c r="AU85" s="411">
        <f>SUMIFS('LAC 102_Wkst'!$AE$7:$AE$2010,'LAC 102_Wkst'!$E$7:$E$2010,$C85,'LAC 102_Wkst'!$G$7:$G$2010,$D85,'LAC 102_Wkst'!$L$7:$L$2010,"11",'LAC 102_Wkst'!$N$7:$N$2010,"P1")+SUMIFS('LAC 102_Wkst'!$AE$7:$AE$2010,'LAC 102_Wkst'!$E$7:$E$2010,$C85,'LAC 102_Wkst'!$G$7:$G$2010,$D85,'LAC 102_Wkst'!$L$7:$L$2010,"12",'LAC 102_Wkst'!$N$7:$N$2010,"P1")</f>
        <v>0</v>
      </c>
      <c r="AV85" s="410">
        <f>SUMIFS('LAC 102_Wkst'!$Q$7:$Q$2010,'LAC 102_Wkst'!$E$7:$E$2010,$C85,'LAC 102_Wkst'!$G$7:$G$2010,$D85,'LAC 102_Wkst'!$L$7:$L$2010,"11",'LAC 102_Wkst'!$N$7:$N$2010,"P2")+SUMIFS('LAC 102_Wkst'!$Q$7:$Q$2010,'LAC 102_Wkst'!$E$7:$E$2010,$C85,'LAC 102_Wkst'!$G$7:$G$2010,$D85,'LAC 102_Wkst'!$L$7:$L$2010,"12",'LAC 102_Wkst'!$N$7:$N$2010,"P3")+SUMIFS('LAC 102_Wkst'!$Q$7:$Q$2010,'LAC 102_Wkst'!$E$7:$E$2010,$C85,'LAC 102_Wkst'!$G$7:$G$2010,$D85,'LAC 102_Wkst'!$L$7:$L$2010,"11",'LAC 102_Wkst'!$N$7:$N$2010,"P2")+SUMIFS('LAC 102_Wkst'!$Q$7:$Q$2010,'LAC 102_Wkst'!$E$7:$E$2010,$C85,'LAC 102_Wkst'!$G$7:$G$2010,$D85,'LAC 102_Wkst'!$L$7:$L$2010,"12",'LAC 102_Wkst'!$N$7:$N$2010,"P3")</f>
        <v>0</v>
      </c>
      <c r="AW85" s="411">
        <f>SUMIFS('LAC 102_Wkst'!$AE$7:$AE$2010,'LAC 102_Wkst'!$E$7:$E$2010,$C85,'LAC 102_Wkst'!$G$7:$G$2010,$D85,'LAC 102_Wkst'!$L$7:$L$2010,"11",'LAC 102_Wkst'!$N$7:$N$2010,"P2")+SUMIFS('LAC 102_Wkst'!$AE$7:$AE$2010,'LAC 102_Wkst'!$E$7:$E$2010,$C85,'LAC 102_Wkst'!$G$7:$G$2010,$D85,'LAC 102_Wkst'!$L$7:$L$2010,"12",'LAC 102_Wkst'!$N$7:$N$2010,"P3")+SUMIFS('LAC 102_Wkst'!$AE$7:$AE$2010,'LAC 102_Wkst'!$E$7:$E$2010,$C85,'LAC 102_Wkst'!$G$7:$G$2010,$D85,'LAC 102_Wkst'!$L$7:$L$2010,"11",'LAC 102_Wkst'!$N$7:$N$2010,"P2")+SUMIFS('LAC 102_Wkst'!$AE$7:$AE$2010,'LAC 102_Wkst'!$E$7:$E$2010,$C85,'LAC 102_Wkst'!$G$7:$G$2010,$D85,'LAC 102_Wkst'!$L$7:$L$2010,"12",'LAC 102_Wkst'!$N$7:$N$2010,"P3")</f>
        <v>0</v>
      </c>
      <c r="AX85" s="410">
        <f>SUMIFS('LAC 102_Wkst'!$Q$7:$Q$2010,'LAC 102_Wkst'!$E$7:$E$2010,$C85,'LAC 102_Wkst'!$G$7:$G$2010,$D85,'LAC 102_Wkst'!$L$7:$L$2010,"11",'LAC 102_Wkst'!$N$7:$N$2010,"P4")+SUMIFS('LAC 102_Wkst'!$Q$7:$Q$2010,'LAC 102_Wkst'!$E$7:$E$2010,$C85,'LAC 102_Wkst'!$G$7:$G$2010,$D85,'LAC 102_Wkst'!$L$7:$L$2010,"12",'LAC 102_Wkst'!$N$7:$N$2010,"P4")</f>
        <v>0</v>
      </c>
      <c r="AY85" s="411">
        <f>SUMIFS('LAC 102_Wkst'!$AE$7:$AE$2010,'LAC 102_Wkst'!$E$7:$E$2010,$C85,'LAC 102_Wkst'!$G$7:$G$2010,$D85,'LAC 102_Wkst'!$L$7:$L$2010,"11",'LAC 102_Wkst'!$N$7:$N$2010,"P4")+SUMIFS('LAC 102_Wkst'!$AE$7:$AE$2010,'LAC 102_Wkst'!$E$7:$E$2010,$C85,'LAC 102_Wkst'!$G$7:$G$2010,$D85,'LAC 102_Wkst'!$L$7:$L$2010,"12",'LAC 102_Wkst'!$N$7:$N$2010,"P4")</f>
        <v>0</v>
      </c>
      <c r="AZ85" s="410">
        <f>SUMIFS('LAC 102_Wkst'!$Q$7:$Q$2010,'LAC 102_Wkst'!$E$7:$E$2010,$C85,'LAC 102_Wkst'!$G$7:$G$2010,$D85,'LAC 102_Wkst'!$L$7:$L$2010,"11",'LAC 102_Wkst'!$N$7:$N$2010,"P5")+SUMIFS('LAC 102_Wkst'!$Q$7:$Q$2010,'LAC 102_Wkst'!$E$7:$E$2010,$C85,'LAC 102_Wkst'!$G$7:$G$2010,$D85,'LAC 102_Wkst'!$L$7:$L$2010,"12",'LAC 102_Wkst'!$N$7:$N$2010,"P5")</f>
        <v>0</v>
      </c>
      <c r="BA85" s="411">
        <f>SUMIFS('LAC 102_Wkst'!$AE$7:$AE$2010,'LAC 102_Wkst'!$E$7:$E$2010,$C85,'LAC 102_Wkst'!$G$7:$G$2010,$D85,'LAC 102_Wkst'!$L$7:$L$2010,"11",'LAC 102_Wkst'!$N$7:$N$2010,"P5")+SUMIFS('LAC 102_Wkst'!$AE$7:$AE$2010,'LAC 102_Wkst'!$E$7:$E$2010,$C85,'LAC 102_Wkst'!$G$7:$G$2010,$D85,'LAC 102_Wkst'!$L$7:$L$2010,"12",'LAC 102_Wkst'!$N$7:$N$2010,"P5")</f>
        <v>0</v>
      </c>
      <c r="BB85" s="410">
        <f>SUMIFS('LAC 102_Wkst'!$Q$7:$Q$2010,'LAC 102_Wkst'!$E$7:$E$2010,$C85,'LAC 102_Wkst'!$G$7:$G$2010,$D85,'LAC 102_Wkst'!$L$7:$L$2010,"13",'LAC 102_Wkst'!$N$7:$N$2010,"P1")+SUMIFS('LAC 102_Wkst'!$Q$7:$Q$2010,'LAC 102_Wkst'!$E$7:$E$2010,$C85,'LAC 102_Wkst'!$G$7:$G$2010,$D85,'LAC 102_Wkst'!$L$7:$L$2010,"13",'LAC 102_Wkst'!$N$7:$N$2010,"P2")+SUMIFS('LAC 102_Wkst'!$Q$7:$Q$2010,'LAC 102_Wkst'!$E$7:$E$2010,$C85,'LAC 102_Wkst'!$G$7:$G$2010,$D85,'LAC 102_Wkst'!$L$7:$L$2010,"13",'LAC 102_Wkst'!$N$7:$N$2010,"P3")+SUMIFS('LAC 102_Wkst'!$Q$7:$Q$2010,'LAC 102_Wkst'!$E$7:$E$2010,$C85,'LAC 102_Wkst'!$G$7:$G$2010,$D85,'LAC 102_Wkst'!$L$7:$L$2010,"13",'LAC 102_Wkst'!$N$7:$N$2010,"P4")</f>
        <v>0</v>
      </c>
      <c r="BC85" s="411">
        <f>SUMIFS('LAC 102_Wkst'!$AE$7:$AE$2010,'LAC 102_Wkst'!$E$7:$E$2010,$C85,'LAC 102_Wkst'!$G$7:$G$2010,$D85,'LAC 102_Wkst'!$L$7:$L$2010,"13",'LAC 102_Wkst'!$N$7:$N$2010,"P1")+SUMIFS('LAC 102_Wkst'!$AE$7:$AE$2010,'LAC 102_Wkst'!$E$7:$E$2010,$C85,'LAC 102_Wkst'!$G$7:$G$2010,$D85,'LAC 102_Wkst'!$L$7:$L$2010,"13",'LAC 102_Wkst'!$N$7:$N$2010,"P2")+SUMIFS('LAC 102_Wkst'!$AE$7:$AE$2010,'LAC 102_Wkst'!$E$7:$E$2010,$C85,'LAC 102_Wkst'!$G$7:$G$2010,$D85,'LAC 102_Wkst'!$L$7:$L$2010,"13",'LAC 102_Wkst'!$N$7:$N$2010,"P3")+SUMIFS('LAC 102_Wkst'!$AE$7:$AE$2010,'LAC 102_Wkst'!$E$7:$E$2010,$C85,'LAC 102_Wkst'!$G$7:$G$2010,$D85,'LAC 102_Wkst'!$L$7:$L$2010,"13",'LAC 102_Wkst'!$N$7:$N$2010,"P4")</f>
        <v>0</v>
      </c>
      <c r="BD85" s="410">
        <f>SUMIFS('LAC 102_Wkst'!$Q$7:$Q$2010,'LAC 102_Wkst'!$E$7:$E$2010,$C85,'LAC 102_Wkst'!$G$7:$G$2010,$D85,'LAC 102_Wkst'!$L$7:$L$2010,"13",'LAC 102_Wkst'!$N$7:$N$2010,"P5")</f>
        <v>0</v>
      </c>
      <c r="BE85" s="411">
        <f>SUMIFS('LAC 102_Wkst'!$AE$7:$AE$2010,'LAC 102_Wkst'!$E$7:$E$2010,$C85,'LAC 102_Wkst'!$G$7:$G$2010,$D85,'LAC 102_Wkst'!$L$7:$L$2010,"13",'LAC 102_Wkst'!$N$7:$N$2010,"P5")</f>
        <v>0</v>
      </c>
      <c r="BF85" s="407">
        <f t="shared" ref="BF85:BF103" si="1">E85-F85-H85-J85-L85-N85-P85-R85-T85-V85-X85-Z85-AB85-AD85-AF85-AH85-AJ85-AL85-AN85-AP85-AR85-AV85-AX85-AZ85-BB85-BD85</f>
        <v>0</v>
      </c>
    </row>
    <row r="86" spans="1:58" x14ac:dyDescent="0.2">
      <c r="A86" s="401">
        <v>67</v>
      </c>
      <c r="B86" s="1236"/>
      <c r="C86" s="1235"/>
      <c r="D86" s="1237"/>
      <c r="E86" s="1222">
        <f>IF(CONCATENATE(C86,D86)&gt;"6069",1,SUMIFS('LAC 102_Wkst'!$Q$7:$Q$2010,'LAC 102_Wkst'!$E$7:$E$2010,Schedule_B!$C86,'LAC 102_Wkst'!$G$7:$G$2010,Schedule_B!$D86))</f>
        <v>0</v>
      </c>
      <c r="F86" s="408">
        <f>SUMIFS('LAC 102_Wkst'!$Q$7:$Q$2010,'LAC 102_Wkst'!$E$7:$E$2010,$C86,'LAC 102_Wkst'!$G$7:$G$2010,$D86,'LAC 102_Wkst'!$L$7:$L$2010,"01",'LAC 102_Wkst'!$N$7:$N$2010,"P1")+SUMIFS('LAC 102_Wkst'!$Q$7:$Q$2010,'LAC 102_Wkst'!$E$7:$E$2010,$C86,'LAC 102_Wkst'!$G$7:$G$2010,$D86,'LAC 102_Wkst'!$L$7:$L$2010,"01",'LAC 102_Wkst'!$N$7:$N$2010,"P2")+SUMIFS('LAC 102_Wkst'!$Q$7:$Q$2010,'LAC 102_Wkst'!$E$7:$E$2010,$C86,'LAC 102_Wkst'!$G$7:$G$2010,$D86,'LAC 102_Wkst'!$L$7:$L$2010,"01",'LAC 102_Wkst'!$N$7:$N$2010,"P3")+SUMIFS('LAC 102_Wkst'!$Q$7:$Q$2010,'LAC 102_Wkst'!$E$7:$E$2010,$C86,'LAC 102_Wkst'!$G$7:$G$2010,$D86,'LAC 102_Wkst'!$L$7:$L$2010,"02",'LAC 102_Wkst'!$N$7:$N$2010,"P1")+SUMIFS('LAC 102_Wkst'!$Q$7:$Q$2010,'LAC 102_Wkst'!$E$7:$E$2010,$C86,'LAC 102_Wkst'!$G$7:$G$2010,$D86,'LAC 102_Wkst'!$L$7:$L$2010,"02",'LAC 102_Wkst'!$N$7:$N$2010,"P2")+SUMIFS('LAC 102_Wkst'!$Q$7:$Q$2010,'LAC 102_Wkst'!$E$7:$E$2010,$C86,'LAC 102_Wkst'!$G$7:$G$2010,$D86,'LAC 102_Wkst'!$L$7:$L$2010,"02",'LAC 102_Wkst'!$N$7:$N$2010,"P3")</f>
        <v>0</v>
      </c>
      <c r="G86" s="409">
        <f>SUMIFS('LAC 102_Wkst'!$AE$7:$AE$2010,'LAC 102_Wkst'!$E$7:$E$2010,$C86,'LAC 102_Wkst'!$G$7:$G$2010,$D86,'LAC 102_Wkst'!$L$7:$L$2010,"01",'LAC 102_Wkst'!$N$7:$N$2010,"P1")+SUMIFS('LAC 102_Wkst'!$AE$7:$AE$2010,'LAC 102_Wkst'!$E$7:$E$2010,$C86,'LAC 102_Wkst'!$G$7:$G$2010,$D86,'LAC 102_Wkst'!$L$7:$L$2010,"01",'LAC 102_Wkst'!$N$7:$N$2010,"P2")+SUMIFS('LAC 102_Wkst'!$AE$7:$AE$2010,'LAC 102_Wkst'!$E$7:$E$2010,$C86,'LAC 102_Wkst'!$G$7:$G$2010,$D86,'LAC 102_Wkst'!$L$7:$L$2010,"01",'LAC 102_Wkst'!$N$7:$N$2010,"P3")+SUMIFS('LAC 102_Wkst'!$AE$7:$AE$2010,'LAC 102_Wkst'!$E$7:$E$2010,$C86,'LAC 102_Wkst'!$G$7:$G$2010,$D86,'LAC 102_Wkst'!$L$7:$L$2010,"02",'LAC 102_Wkst'!$N$7:$N$2010,"P1")+SUMIFS('LAC 102_Wkst'!$AE$7:$AE$2010,'LAC 102_Wkst'!$E$7:$E$2010,$C86,'LAC 102_Wkst'!$G$7:$G$2010,$D86,'LAC 102_Wkst'!$L$7:$L$2010,"02",'LAC 102_Wkst'!$N$7:$N$2010,"P2")+SUMIFS('LAC 102_Wkst'!$AE$7:$AE$2010,'LAC 102_Wkst'!$E$7:$E$2010,$C86,'LAC 102_Wkst'!$G$7:$G$2010,$D86,'LAC 102_Wkst'!$L$7:$L$2010,"02",'LAC 102_Wkst'!$N$7:$N$2010,"P3")</f>
        <v>0</v>
      </c>
      <c r="H86" s="410">
        <f>SUMIFS('LAC 102_Wkst'!$Q$7:$Q$2010,'LAC 102_Wkst'!$E$7:$E$2010,$C86,'LAC 102_Wkst'!$G$7:$G$2010,$D86,'LAC 102_Wkst'!$L$7:$L$2010,"01",'LAC 102_Wkst'!$N$7:$N$2010,"P4")+SUMIFS('LAC 102_Wkst'!$Q$7:$Q$2010,'LAC 102_Wkst'!$E$7:$E$2010,$C86,'LAC 102_Wkst'!$G$7:$G$2010,$D86,'LAC 102_Wkst'!$L$7:$L$2010,"02",'LAC 102_Wkst'!$N$7:$N$2010,"P4")</f>
        <v>0</v>
      </c>
      <c r="I86" s="411">
        <f>SUMIFS('LAC 102_Wkst'!$AE$7:$AE$2010,'LAC 102_Wkst'!$E$7:$E$2010,$C86,'LAC 102_Wkst'!$G$7:$G$2010,$D86,'LAC 102_Wkst'!$L$7:$L$2010,"01",'LAC 102_Wkst'!$N$7:$N$2010,"P4")+SUMIFS('LAC 102_Wkst'!$AE$7:$AE$2010,'LAC 102_Wkst'!$E$7:$E$2010,$C86,'LAC 102_Wkst'!$G$7:$G$2010,$D86,'LAC 102_Wkst'!$L$7:$L$2010,"02",'LAC 102_Wkst'!$N$7:$N$2010,"P4")</f>
        <v>0</v>
      </c>
      <c r="J86" s="410">
        <f>SUMIFS('LAC 102_Wkst'!$Q$7:$Q$2010,'LAC 102_Wkst'!$E$7:$E$2010,$C86,'LAC 102_Wkst'!$G$7:$G$2010,$D86,'LAC 102_Wkst'!$L$7:$L$2010,"01",'LAC 102_Wkst'!$N$7:$N$2010,"P5")+SUMIFS('LAC 102_Wkst'!$Q$7:$Q$2010,'LAC 102_Wkst'!$E$7:$E$2010,$C86,'LAC 102_Wkst'!$G$7:$G$2010,$D86,'LAC 102_Wkst'!$L$7:$L$2010,"02",'LAC 102_Wkst'!$N$7:$N$2010,"P5")</f>
        <v>0</v>
      </c>
      <c r="K86" s="411">
        <f>SUMIFS('LAC 102_Wkst'!$AE$7:$AE$2010,'LAC 102_Wkst'!$E$7:$E$2010,$C86,'LAC 102_Wkst'!$G$7:$G$2010,$D86,'LAC 102_Wkst'!$L$7:$L$2010,"01",'LAC 102_Wkst'!$N$7:$N$2010,"P5")+SUMIFS('LAC 102_Wkst'!$AE$7:$AE$2010,'LAC 102_Wkst'!$E$7:$E$2010,$C86,'LAC 102_Wkst'!$G$7:$G$2010,$D86,'LAC 102_Wkst'!$L$7:$L$2010,"02",'LAC 102_Wkst'!$N$7:$N$2010,"P5")</f>
        <v>0</v>
      </c>
      <c r="L86" s="410">
        <f>SUMIFS('LAC 102_Wkst'!$Q$7:$Q$2010,'LAC 102_Wkst'!$E$7:$E$2010,$C86,'LAC 102_Wkst'!$G$7:$G$2010,$D86,'LAC 102_Wkst'!$L$7:$L$2010,"03",'LAC 102_Wkst'!$N$7:$N$2010,"P1")+SUMIFS('LAC 102_Wkst'!$Q$7:$Q$2010,'LAC 102_Wkst'!$E$7:$E$2010,$C86,'LAC 102_Wkst'!$G$7:$G$2010,$D86,'LAC 102_Wkst'!$L$7:$L$2010,"03",'LAC 102_Wkst'!$N$7:$N$2010,"P2")+SUMIFS('LAC 102_Wkst'!$Q$7:$Q$2010,'LAC 102_Wkst'!$E$7:$E$2010,$C86,'LAC 102_Wkst'!$G$7:$G$2010,$D86,'LAC 102_Wkst'!$L$7:$L$2010,"03",'LAC 102_Wkst'!$N$7:$N$2010,"P3")+SUMIFS('LAC 102_Wkst'!$Q$7:$Q$2010,'LAC 102_Wkst'!$E$7:$E$2010,$C86,'LAC 102_Wkst'!$G$7:$G$2010,$D86,'LAC 102_Wkst'!$L$7:$L$2010,"04",'LAC 102_Wkst'!$N$7:$N$2010,"P1")+SUMIFS('LAC 102_Wkst'!$Q$7:$Q$2010,'LAC 102_Wkst'!$E$7:$E$2010,$C86,'LAC 102_Wkst'!$G$7:$G$2010,$D86,'LAC 102_Wkst'!$L$7:$L$2010,"04",'LAC 102_Wkst'!$N$7:$N$2010,"P2")+SUMIFS('LAC 102_Wkst'!$Q$7:$Q$2010,'LAC 102_Wkst'!$E$7:$E$2010,$C86,'LAC 102_Wkst'!$G$7:$G$2010,$D86,'LAC 102_Wkst'!$L$7:$L$2010,"04",'LAC 102_Wkst'!$N$7:$N$2010,"P3")</f>
        <v>0</v>
      </c>
      <c r="M86" s="411">
        <f>SUMIFS('LAC 102_Wkst'!$AE$7:$AE$2010,'LAC 102_Wkst'!$E$7:$E$2010,$C86,'LAC 102_Wkst'!$G$7:$G$2010,$D86,'LAC 102_Wkst'!$L$7:$L$2010,"03",'LAC 102_Wkst'!$N$7:$N$2010,"P1")+SUMIFS('LAC 102_Wkst'!$AE$7:$AE$2010,'LAC 102_Wkst'!$E$7:$E$2010,$C86,'LAC 102_Wkst'!$G$7:$G$2010,$D86,'LAC 102_Wkst'!$L$7:$L$2010,"03",'LAC 102_Wkst'!$N$7:$N$2010,"P2")+SUMIFS('LAC 102_Wkst'!$AE$7:$AE$2010,'LAC 102_Wkst'!$E$7:$E$2010,$C86,'LAC 102_Wkst'!$G$7:$G$2010,$D86,'LAC 102_Wkst'!$L$7:$L$2010,"03",'LAC 102_Wkst'!$N$7:$N$2010,"P3")+SUMIFS('LAC 102_Wkst'!$AE$7:$AE$2010,'LAC 102_Wkst'!$E$7:$E$2010,$C86,'LAC 102_Wkst'!$G$7:$G$2010,$D86,'LAC 102_Wkst'!$L$7:$L$2010,"04",'LAC 102_Wkst'!$N$7:$N$2010,"P1")+SUMIFS('LAC 102_Wkst'!$AE$7:$AE$2010,'LAC 102_Wkst'!$E$7:$E$2010,$C86,'LAC 102_Wkst'!$G$7:$G$2010,$D86,'LAC 102_Wkst'!$L$7:$L$2010,"04",'LAC 102_Wkst'!$N$7:$N$2010,"P2")+SUMIFS('LAC 102_Wkst'!$AE$7:$AE$2010,'LAC 102_Wkst'!$E$7:$E$2010,$C86,'LAC 102_Wkst'!$G$7:$G$2010,$D86,'LAC 102_Wkst'!$L$7:$L$2010,"04",'LAC 102_Wkst'!$N$7:$N$2010,"P3")</f>
        <v>0</v>
      </c>
      <c r="N86" s="410">
        <f>SUMIFS('LAC 102_Wkst'!$Q$7:$Q$2010,'LAC 102_Wkst'!$E$7:$E$2010,$C86,'LAC 102_Wkst'!$G$7:$G$2010,$D86,'LAC 102_Wkst'!$L$7:$L$2010,"03",'LAC 102_Wkst'!$N$7:$N$2010,"P4")+SUMIFS('LAC 102_Wkst'!$Q$7:$Q$2010,'LAC 102_Wkst'!$E$7:$E$2010,$C86,'LAC 102_Wkst'!$G$7:$G$2010,$D86,'LAC 102_Wkst'!$L$7:$L$2010,"04",'LAC 102_Wkst'!$N$7:$N$2010,"P4")</f>
        <v>0</v>
      </c>
      <c r="O86" s="411">
        <f>SUMIFS('LAC 102_Wkst'!$AE$7:$AE$2010,'LAC 102_Wkst'!$E$7:$E$2010,$C86,'LAC 102_Wkst'!$G$7:$G$2010,$D86,'LAC 102_Wkst'!$L$7:$L$2010,"03",'LAC 102_Wkst'!$N$7:$N$2010,"P4")+SUMIFS('LAC 102_Wkst'!$AE$7:$AE$2010,'LAC 102_Wkst'!$E$7:$E$2010,$C86,'LAC 102_Wkst'!$G$7:$G$2010,$D86,'LAC 102_Wkst'!$L$7:$L$2010,"04",'LAC 102_Wkst'!$N$7:$N$2010,"P4")</f>
        <v>0</v>
      </c>
      <c r="P86" s="410">
        <f>SUMIFS('LAC 102_Wkst'!$Q$7:$Q$2010,'LAC 102_Wkst'!$E$7:$E$2010,$C86,'LAC 102_Wkst'!$G$7:$G$2010,$D86,'LAC 102_Wkst'!$L$7:$L$2010,"03",'LAC 102_Wkst'!$N$7:$N$2010,"P5")+SUMIFS('LAC 102_Wkst'!$Q$7:$Q$2010,'LAC 102_Wkst'!$E$7:$E$2010,$C86,'LAC 102_Wkst'!$G$7:$G$2010,$D86,'LAC 102_Wkst'!$L$7:$L$2010,"04",'LAC 102_Wkst'!$N$7:$N$2010,"P5")</f>
        <v>0</v>
      </c>
      <c r="Q86" s="411">
        <f>SUMIFS('LAC 102_Wkst'!$AE$7:$AE$2010,'LAC 102_Wkst'!$E$7:$E$2010,$C86,'LAC 102_Wkst'!$G$7:$G$2010,$D86,'LAC 102_Wkst'!$L$7:$L$2010,"03",'LAC 102_Wkst'!$N$7:$N$2010,"P5")+SUMIFS('LAC 102_Wkst'!$AE$7:$AE$2010,'LAC 102_Wkst'!$E$7:$E$2010,$C86,'LAC 102_Wkst'!$G$7:$G$2010,$D86,'LAC 102_Wkst'!$L$7:$L$2010,"04",'LAC 102_Wkst'!$N$7:$N$2010,"P5")</f>
        <v>0</v>
      </c>
      <c r="R86" s="412">
        <f>SUMIFS('LAC 102_Wkst'!$Q$7:$Q$2010,'LAC 102_Wkst'!$E$7:$E$2010,$C86,'LAC 102_Wkst'!$G$7:$G$2010,$D86,'LAC 102_Wkst'!$L$7:$L$2010,"05",'LAC 102_Wkst'!$N$7:$N$2010,"P1")+SUMIFS('LAC 102_Wkst'!$Q$7:$Q$2010,'LAC 102_Wkst'!$E$7:$E$2010,$C86,'LAC 102_Wkst'!$G$7:$G$2010,$D86,'LAC 102_Wkst'!$L$7:$L$2010,"06",'LAC 102_Wkst'!$N$7:$N$2010,"P1")</f>
        <v>0</v>
      </c>
      <c r="S86" s="411">
        <f>SUMIFS('LAC 102_Wkst'!$AE$7:$AE$2010,'LAC 102_Wkst'!$E$7:$E$2010,$C86,'LAC 102_Wkst'!$G$7:$G$2010,$D86,'LAC 102_Wkst'!$L$7:$L$2010,"05",'LAC 102_Wkst'!$N$7:$N$2010,"P1")+SUMIFS('LAC 102_Wkst'!$AE$7:$AE$2010,'LAC 102_Wkst'!$E$7:$E$2010,$C86,'LAC 102_Wkst'!$G$7:$G$2010,$D86,'LAC 102_Wkst'!$L$7:$L$2010,"06",'LAC 102_Wkst'!$N$7:$N$2010,"P1")</f>
        <v>0</v>
      </c>
      <c r="T86" s="410">
        <f>SUMIFS('LAC 102_Wkst'!$Q$7:$Q$2010,'LAC 102_Wkst'!$E$7:$E$2010,$C86,'LAC 102_Wkst'!$G$7:$G$2010,$D86,'LAC 102_Wkst'!$L$7:$L$2010,"05",'LAC 102_Wkst'!$N$7:$N$2010,"P2")+SUMIFS('LAC 102_Wkst'!$Q$7:$Q$2010,'LAC 102_Wkst'!$E$7:$E$2010,$C86,'LAC 102_Wkst'!$G$7:$G$2010,$D86,'LAC 102_Wkst'!$L$7:$L$2010,"05",'LAC 102_Wkst'!$N$7:$N$2010,"P3")+SUMIFS('LAC 102_Wkst'!$Q$7:$Q$2010,'LAC 102_Wkst'!$E$7:$E$2010,$C86,'LAC 102_Wkst'!$G$7:$G$2010,$D86,'LAC 102_Wkst'!$L$7:$L$2010,"06",'LAC 102_Wkst'!$N$7:$N$2010,"P2")+SUMIFS('LAC 102_Wkst'!$Q$7:$Q$2010,'LAC 102_Wkst'!$E$7:$E$2010,$C86,'LAC 102_Wkst'!$G$7:$G$2010,$D86,'LAC 102_Wkst'!$L$7:$L$2010,"06",'LAC 102_Wkst'!$N$7:$N$2010,"P3")</f>
        <v>0</v>
      </c>
      <c r="U86" s="411">
        <f>SUMIFS('LAC 102_Wkst'!$AE$7:$AE$2010,'LAC 102_Wkst'!$E$7:$E$2010,$C86,'LAC 102_Wkst'!$G$7:$G$2010,$D86,'LAC 102_Wkst'!$L$7:$L$2010,"05",'LAC 102_Wkst'!$N$7:$N$2010,"P2")+SUMIFS('LAC 102_Wkst'!$AE$7:$AE$2010,'LAC 102_Wkst'!$E$7:$E$2010,$C86,'LAC 102_Wkst'!$G$7:$G$2010,$D86,'LAC 102_Wkst'!$L$7:$L$2010,"06",'LAC 102_Wkst'!$N$7:$N$2010,"P3")+SUMIFS('LAC 102_Wkst'!$AE$7:$AE$2010,'LAC 102_Wkst'!$E$7:$E$2010,$C86,'LAC 102_Wkst'!$G$7:$G$2010,$D86,'LAC 102_Wkst'!$L$7:$L$2010,"05",'LAC 102_Wkst'!$N$7:$N$2010,"P2")+SUMIFS('LAC 102_Wkst'!$AE$7:$AE$2010,'LAC 102_Wkst'!$E$7:$E$2010,$C86,'LAC 102_Wkst'!$G$7:$G$2010,$D86,'LAC 102_Wkst'!$L$7:$L$2010,"06",'LAC 102_Wkst'!$N$7:$N$2010,"P3")</f>
        <v>0</v>
      </c>
      <c r="V86" s="410">
        <f>SUMIFS('LAC 102_Wkst'!$Q$7:$Q$2010,'LAC 102_Wkst'!$E$7:$E$2010,$C86,'LAC 102_Wkst'!$G$7:$G$2010,$D86,'LAC 102_Wkst'!$L$7:$L$2010,"05",'LAC 102_Wkst'!$N$7:$N$2010,"P4")+SUMIFS('LAC 102_Wkst'!$Q$7:$Q$2010,'LAC 102_Wkst'!$E$7:$E$2010,$C86,'LAC 102_Wkst'!$G$7:$G$2010,$D86,'LAC 102_Wkst'!$L$7:$L$2010,"06",'LAC 102_Wkst'!$N$7:$N$2010,"P4")</f>
        <v>0</v>
      </c>
      <c r="W86" s="411">
        <f>SUMIFS('LAC 102_Wkst'!$AE$7:$AE$2010,'LAC 102_Wkst'!$E$7:$E$2010,$C86,'LAC 102_Wkst'!$G$7:$G$2010,$D86,'LAC 102_Wkst'!$L$7:$L$2010,"05",'LAC 102_Wkst'!$N$7:$N$2010,"P4")+SUMIFS('LAC 102_Wkst'!$AE$7:$AE$2010,'LAC 102_Wkst'!$E$7:$E$2010,$C86,'LAC 102_Wkst'!$G$7:$G$2010,$D86,'LAC 102_Wkst'!$L$7:$L$2010,"06",'LAC 102_Wkst'!$N$7:$N$2010,"P4")</f>
        <v>0</v>
      </c>
      <c r="X86" s="410">
        <f>SUMIFS('LAC 102_Wkst'!$Q$7:$Q$2010,'LAC 102_Wkst'!$E$7:$E$2010,$C86,'LAC 102_Wkst'!$G$7:$G$2010,$D86,'LAC 102_Wkst'!$L$7:$L$2010,"05",'LAC 102_Wkst'!$N$7:$N$2010,"P5")+SUMIFS('LAC 102_Wkst'!$Q$7:$Q$2010,'LAC 102_Wkst'!$E$7:$E$2010,$C86,'LAC 102_Wkst'!$G$7:$G$2010,$D86,'LAC 102_Wkst'!$L$7:$L$2010,"06",'LAC 102_Wkst'!$N$7:$N$2010,"P5")</f>
        <v>0</v>
      </c>
      <c r="Y86" s="411">
        <f>SUMIFS('LAC 102_Wkst'!$AE$7:$AE$2010,'LAC 102_Wkst'!$E$7:$E$2010,$C86,'LAC 102_Wkst'!$G$7:$G$2010,$D86,'LAC 102_Wkst'!$L$7:$L$2010,"05",'LAC 102_Wkst'!$N$7:$N$2010,"P5")+SUMIFS('LAC 102_Wkst'!$AE$7:$AE$2010,'LAC 102_Wkst'!$E$7:$E$2010,$C86,'LAC 102_Wkst'!$G$7:$G$2010,$D86,'LAC 102_Wkst'!$L$7:$L$2010,"06",'LAC 102_Wkst'!$N$7:$N$2010,"P5")</f>
        <v>0</v>
      </c>
      <c r="Z86" s="410">
        <f>SUMIFS('LAC 102_Wkst'!$Q$7:$Q$2010,'LAC 102_Wkst'!$E$7:$E$2010,$C86,'LAC 102_Wkst'!$G$7:$G$2010,$D86,'LAC 102_Wkst'!$L$7:$L$2010,"07",'LAC 102_Wkst'!$N$7:$N$2010,"P1")+SUMIFS('LAC 102_Wkst'!$Q$7:$Q$2010,'LAC 102_Wkst'!$E$7:$E$2010,$C86,'LAC 102_Wkst'!$G$7:$G$2010,$D86,'LAC 102_Wkst'!$L$7:$L$2010,"07",'LAC 102_Wkst'!$N$7:$N$2010,"P2")+SUMIFS('LAC 102_Wkst'!$Q$7:$Q$2010,'LAC 102_Wkst'!$E$7:$E$2010,$C86,'LAC 102_Wkst'!$G$7:$G$2010,$D86,'LAC 102_Wkst'!$L$7:$L$2010,"07",'LAC 102_Wkst'!$N$7:$N$2010,"P3")</f>
        <v>0</v>
      </c>
      <c r="AA86" s="411">
        <f>SUMIFS('LAC 102_Wkst'!$AE$7:$AE$2010,'LAC 102_Wkst'!$E$7:$E$2010,$C86,'LAC 102_Wkst'!$G$7:$G$2010,$D86,'LAC 102_Wkst'!$L$7:$L$2010,"07",'LAC 102_Wkst'!$N$7:$N$2010,"P1")+SUMIFS('LAC 102_Wkst'!$AE$7:$AE$2010,'LAC 102_Wkst'!$E$7:$E$2010,$C86,'LAC 102_Wkst'!$G$7:$G$2010,$D86,'LAC 102_Wkst'!$L$7:$L$2010,"07",'LAC 102_Wkst'!$N$7:$N$2010,"P2")+SUMIFS('LAC 102_Wkst'!$AE$7:$AE$2010,'LAC 102_Wkst'!$E$7:$E$2010,$C86,'LAC 102_Wkst'!$G$7:$G$2010,$D86,'LAC 102_Wkst'!$L$7:$L$2010,"07",'LAC 102_Wkst'!$N$7:$N$2010,"P3")</f>
        <v>0</v>
      </c>
      <c r="AB86" s="410">
        <f>SUMIFS('LAC 102_Wkst'!$Q$7:$Q$2010,'LAC 102_Wkst'!$E$7:$E$2010,$C86,'LAC 102_Wkst'!$G$7:$G$2010,$D86,'LAC 102_Wkst'!$L$7:$L$2010,"07",'LAC 102_Wkst'!$N$7:$N$2010,"P4")</f>
        <v>0</v>
      </c>
      <c r="AC86" s="411">
        <f>SUMIFS('LAC 102_Wkst'!$AE$7:$AE$2010,'LAC 102_Wkst'!$E$7:$E$2010,$C86,'LAC 102_Wkst'!$G$7:$G$2010,$D86,'LAC 102_Wkst'!$L$7:$L$2010,"07",'LAC 102_Wkst'!$N$7:$N$2010,"P4")</f>
        <v>0</v>
      </c>
      <c r="AD86" s="410">
        <f>SUMIFS('LAC 102_Wkst'!$Q$7:$Q$2010,'LAC 102_Wkst'!$E$7:$E$2010,$C86,'LAC 102_Wkst'!$G$7:$G$2010,$D86,'LAC 102_Wkst'!$L$7:$L$2010,"07",'LAC 102_Wkst'!$N$7:$N$2010,"P5")</f>
        <v>0</v>
      </c>
      <c r="AE86" s="411">
        <f>SUMIFS('LAC 102_Wkst'!$AE$7:$AE$2010,'LAC 102_Wkst'!$E$7:$E$2010,$C86,'LAC 102_Wkst'!$G$7:$G$2010,$D86,'LAC 102_Wkst'!$L$7:$L$2010,"07",'LAC 102_Wkst'!$N$7:$N$2010,"P5")</f>
        <v>0</v>
      </c>
      <c r="AF86" s="410">
        <f>SUMIFS('LAC 102_Wkst'!$Q$7:$Q$2010,'LAC 102_Wkst'!$E$7:$E$2010,$C86,'LAC 102_Wkst'!$G$7:$G$2010,$D86,'LAC 102_Wkst'!$L$7:$L$2010,"08",'LAC 102_Wkst'!$N$7:$N$2010,"P1")+SUMIFS('LAC 102_Wkst'!$Q$7:$Q$2010,'LAC 102_Wkst'!$E$7:$E$2010,$C86,'LAC 102_Wkst'!$G$7:$G$2010,$D86,'LAC 102_Wkst'!$L$7:$L$2010,"08",'LAC 102_Wkst'!$N$7:$N$2010,"P2")+SUMIFS('LAC 102_Wkst'!$Q$7:$Q$2010,'LAC 102_Wkst'!$E$7:$E$2010,$C86,'LAC 102_Wkst'!$G$7:$G$2010,$D86,'LAC 102_Wkst'!$L$7:$L$2010,"08",'LAC 102_Wkst'!$N$7:$N$2010,"P3")</f>
        <v>0</v>
      </c>
      <c r="AG86" s="411">
        <f>SUMIFS('LAC 102_Wkst'!$AE$7:$AE$2010,'LAC 102_Wkst'!$E$7:$E$2010,$C86,'LAC 102_Wkst'!$G$7:$G$2010,$D86,'LAC 102_Wkst'!$L$7:$L$2010,"08",'LAC 102_Wkst'!$N$7:$N$2010,"P1")+SUMIFS('LAC 102_Wkst'!$AE$7:$AE$2010,'LAC 102_Wkst'!$E$7:$E$2010,$C86,'LAC 102_Wkst'!$G$7:$G$2010,$D86,'LAC 102_Wkst'!$L$7:$L$2010,"08",'LAC 102_Wkst'!$N$7:$N$2010,"P2")+SUMIFS('LAC 102_Wkst'!$AE$7:$AE$2010,'LAC 102_Wkst'!$E$7:$E$2010,$C86,'LAC 102_Wkst'!$G$7:$G$2010,$D86,'LAC 102_Wkst'!$L$7:$L$2010,"08",'LAC 102_Wkst'!$N$7:$N$2010,"P3")</f>
        <v>0</v>
      </c>
      <c r="AH86" s="410">
        <f>SUMIFS('LAC 102_Wkst'!$Q$7:$Q$2010,'LAC 102_Wkst'!$E$7:$E$2010,$C86,'LAC 102_Wkst'!$G$7:$G$2010,$D86,'LAC 102_Wkst'!$L$7:$L$2010,"08",'LAC 102_Wkst'!$N$7:$N$2010,"P4")</f>
        <v>0</v>
      </c>
      <c r="AI86" s="411">
        <f>SUMIFS('LAC 102_Wkst'!$AE$7:$AE$2010,'LAC 102_Wkst'!$E$7:$E$2010,$C86,'LAC 102_Wkst'!$G$7:$G$2010,$D86,'LAC 102_Wkst'!$L$7:$L$2010,"08",'LAC 102_Wkst'!$N$7:$N$2010,"P4")</f>
        <v>0</v>
      </c>
      <c r="AJ86" s="410">
        <f>SUMIFS('LAC 102_Wkst'!$Q$7:$Q$2010,'LAC 102_Wkst'!$E$7:$E$2010,$C86,'LAC 102_Wkst'!$G$7:$G$2010,$D86,'LAC 102_Wkst'!$L$7:$L$2010,"08",'LAC 102_Wkst'!$N$7:$N$2010,"P5")</f>
        <v>0</v>
      </c>
      <c r="AK86" s="411">
        <f>SUMIFS('LAC 102_Wkst'!$AE$7:$AE$2010,'LAC 102_Wkst'!$E$7:$E$2010,$C86,'LAC 102_Wkst'!$G$7:$G$2010,$D86,'LAC 102_Wkst'!$L$7:$L$2010,"08",'LAC 102_Wkst'!$N$7:$N$2010,"P5")</f>
        <v>0</v>
      </c>
      <c r="AL86" s="410">
        <f>SUMIFS('LAC 102_Wkst'!$Q$7:$Q$2010,'LAC 102_Wkst'!$E$7:$E$2010,$C86,'LAC 102_Wkst'!$G$7:$G$2010,$D86,'LAC 102_Wkst'!$L$7:$L$2010,"09",'LAC 102_Wkst'!$N$7:$N$2010,"P1")+SUMIFS('LAC 102_Wkst'!$Q$7:$Q$2010,'LAC 102_Wkst'!$E$7:$E$2010,$C86,'LAC 102_Wkst'!$G$7:$G$2010,$D86,'LAC 102_Wkst'!$L$7:$L$2010,"09",'LAC 102_Wkst'!$N$7:$N$2010,"P2")+SUMIFS('LAC 102_Wkst'!$Q$7:$Q$2010,'LAC 102_Wkst'!$E$7:$E$2010,$C86,'LAC 102_Wkst'!$G$7:$G$2010,$D86,'LAC 102_Wkst'!$L$7:$L$2010,"09",'LAC 102_Wkst'!$N$7:$N$2010,"P3")+SUMIFS('LAC 102_Wkst'!$Q$7:$Q$2010,'LAC 102_Wkst'!$E$7:$E$2010,$C86,'LAC 102_Wkst'!$G$7:$G$2010,$D86,'LAC 102_Wkst'!$L$7:$L$2010,"09",'LAC 102_Wkst'!$N$7:$N$2010,"P4")</f>
        <v>0</v>
      </c>
      <c r="AM86" s="411">
        <f>SUMIFS('LAC 102_Wkst'!$AE$7:$AE$2010,'LAC 102_Wkst'!$E$7:$E$2010,$C86,'LAC 102_Wkst'!$G$7:$G$2010,$D86,'LAC 102_Wkst'!$L$7:$L$2010,"09",'LAC 102_Wkst'!$N$7:$N$2010,"P1")+SUMIFS('LAC 102_Wkst'!$AE$7:$AE$2010,'LAC 102_Wkst'!$E$7:$E$2010,$C86,'LAC 102_Wkst'!$G$7:$G$2010,$D86,'LAC 102_Wkst'!$L$7:$L$2010,"09",'LAC 102_Wkst'!$N$7:$N$2010,"P2")+SUMIFS('LAC 102_Wkst'!$AE$7:$AE$2010,'LAC 102_Wkst'!$E$7:$E$2010,$C86,'LAC 102_Wkst'!$G$7:$G$2010,$D86,'LAC 102_Wkst'!$L$7:$L$2010,"09",'LAC 102_Wkst'!$N$7:$N$2010,"P3")+SUMIFS('LAC 102_Wkst'!$AE$7:$AE$2010,'LAC 102_Wkst'!$E$7:$E$2010,$C86,'LAC 102_Wkst'!$G$7:$G$2010,$D86,'LAC 102_Wkst'!$L$7:$L$2010,"09",'LAC 102_Wkst'!$N$7:$N$2010,"P4")</f>
        <v>0</v>
      </c>
      <c r="AN86" s="410">
        <f>SUMIFS('LAC 102_Wkst'!$Q$7:$Q$2010,'LAC 102_Wkst'!$E$7:$E$2010,$C86,'LAC 102_Wkst'!$G$7:$G$2010,$D86,'LAC 102_Wkst'!$L$7:$L$2010,"09",'LAC 102_Wkst'!$N$7:$N$2010,"P5")</f>
        <v>0</v>
      </c>
      <c r="AO86" s="411">
        <f>SUMIFS('LAC 102_Wkst'!$AE$7:$AE$2010,'LAC 102_Wkst'!$E$7:$E$2010,$C86,'LAC 102_Wkst'!$G$7:$G$2010,$D86,'LAC 102_Wkst'!$L$7:$L$2010,"09",'LAC 102_Wkst'!$N$7:$N$2010,"P5")</f>
        <v>0</v>
      </c>
      <c r="AP86" s="410">
        <f>SUMIFS('LAC 102_Wkst'!$Q$7:$Q$2010,'LAC 102_Wkst'!$E$7:$E$2010,$C86,'LAC 102_Wkst'!$G$7:$G$2010,$D86,'LAC 102_Wkst'!$L$7:$L$2010,"10",'LAC 102_Wkst'!$N$7:$N$2010,"P1")+SUMIFS('LAC 102_Wkst'!$Q$7:$Q$2010,'LAC 102_Wkst'!$E$7:$E$2010,$C86,'LAC 102_Wkst'!$G$7:$G$2010,$D86,'LAC 102_Wkst'!$L$7:$L$2010,"10",'LAC 102_Wkst'!$N$7:$N$2010,"P2")+SUMIFS('LAC 102_Wkst'!$Q$7:$Q$2010,'LAC 102_Wkst'!$E$7:$E$2010,$C86,'LAC 102_Wkst'!$G$7:$G$2010,$D86,'LAC 102_Wkst'!$L$7:$L$2010,"10",'LAC 102_Wkst'!$N$7:$N$2010,"P3")+SUMIFS('LAC 102_Wkst'!$Q$7:$Q$2010,'LAC 102_Wkst'!$E$7:$E$2010,$C86,'LAC 102_Wkst'!$G$7:$G$2010,$D86,'LAC 102_Wkst'!$L$7:$L$2010,"10",'LAC 102_Wkst'!$N$7:$N$2010,"P4")</f>
        <v>0</v>
      </c>
      <c r="AQ86" s="411">
        <f>SUMIFS('LAC 102_Wkst'!$AE$7:$AE$2010,'LAC 102_Wkst'!$E$7:$E$2010,$C86,'LAC 102_Wkst'!$G$7:$G$2010,$D86,'LAC 102_Wkst'!$L$7:$L$2010,"10",'LAC 102_Wkst'!$N$7:$N$2010,"P1")+SUMIFS('LAC 102_Wkst'!$AE$7:$AE$2010,'LAC 102_Wkst'!$E$7:$E$2010,$C86,'LAC 102_Wkst'!$G$7:$G$2010,$D86,'LAC 102_Wkst'!$L$7:$L$2010,"10",'LAC 102_Wkst'!$N$7:$N$2010,"P2")+SUMIFS('LAC 102_Wkst'!$AE$7:$AE$2010,'LAC 102_Wkst'!$E$7:$E$2010,$C86,'LAC 102_Wkst'!$G$7:$G$2010,$D86,'LAC 102_Wkst'!$L$7:$L$2010,"10",'LAC 102_Wkst'!$N$7:$N$2010,"P3")+SUMIFS('LAC 102_Wkst'!$AE$7:$AE$2010,'LAC 102_Wkst'!$E$7:$E$2010,$C86,'LAC 102_Wkst'!$G$7:$G$2010,$D86,'LAC 102_Wkst'!$L$7:$L$2010,"10",'LAC 102_Wkst'!$N$7:$N$2010,"P4")</f>
        <v>0</v>
      </c>
      <c r="AR86" s="410">
        <f>SUMIFS('LAC 102_Wkst'!$Q$7:$Q$2010,'LAC 102_Wkst'!$E$7:$E$2010,$C86,'LAC 102_Wkst'!$G$7:$G$2010,$D86,'LAC 102_Wkst'!$L$7:$L$2010,"10",'LAC 102_Wkst'!$N$7:$N$2010,"P5")</f>
        <v>0</v>
      </c>
      <c r="AS86" s="411">
        <f>SUMIFS('LAC 102_Wkst'!$AE$7:$AE$2010,'LAC 102_Wkst'!$E$7:$E$2010,$C86,'LAC 102_Wkst'!$G$7:$G$2010,$D86,'LAC 102_Wkst'!$L$7:$L$2010,"10",'LAC 102_Wkst'!$N$7:$N$2010,"P5")</f>
        <v>0</v>
      </c>
      <c r="AT86" s="410">
        <f>SUMIFS('LAC 102_Wkst'!$Q$7:$Q$2010,'LAC 102_Wkst'!$E$7:$E$2010,$C86,'LAC 102_Wkst'!$G$7:$G$2010,$D86,'LAC 102_Wkst'!$L$7:$L$2010,"11",'LAC 102_Wkst'!$N$7:$N$2010,"P1")+SUMIFS('LAC 102_Wkst'!$Q$7:$Q$2010,'LAC 102_Wkst'!$E$7:$E$2010,$C86,'LAC 102_Wkst'!$G$7:$G$2010,$D86,'LAC 102_Wkst'!$L$7:$L$2010,"12",'LAC 102_Wkst'!$N$7:$N$2010,"P1")</f>
        <v>0</v>
      </c>
      <c r="AU86" s="411">
        <f>SUMIFS('LAC 102_Wkst'!$AE$7:$AE$2010,'LAC 102_Wkst'!$E$7:$E$2010,$C86,'LAC 102_Wkst'!$G$7:$G$2010,$D86,'LAC 102_Wkst'!$L$7:$L$2010,"11",'LAC 102_Wkst'!$N$7:$N$2010,"P1")+SUMIFS('LAC 102_Wkst'!$AE$7:$AE$2010,'LAC 102_Wkst'!$E$7:$E$2010,$C86,'LAC 102_Wkst'!$G$7:$G$2010,$D86,'LAC 102_Wkst'!$L$7:$L$2010,"12",'LAC 102_Wkst'!$N$7:$N$2010,"P1")</f>
        <v>0</v>
      </c>
      <c r="AV86" s="410">
        <f>SUMIFS('LAC 102_Wkst'!$Q$7:$Q$2010,'LAC 102_Wkst'!$E$7:$E$2010,$C86,'LAC 102_Wkst'!$G$7:$G$2010,$D86,'LAC 102_Wkst'!$L$7:$L$2010,"11",'LAC 102_Wkst'!$N$7:$N$2010,"P2")+SUMIFS('LAC 102_Wkst'!$Q$7:$Q$2010,'LAC 102_Wkst'!$E$7:$E$2010,$C86,'LAC 102_Wkst'!$G$7:$G$2010,$D86,'LAC 102_Wkst'!$L$7:$L$2010,"12",'LAC 102_Wkst'!$N$7:$N$2010,"P3")+SUMIFS('LAC 102_Wkst'!$Q$7:$Q$2010,'LAC 102_Wkst'!$E$7:$E$2010,$C86,'LAC 102_Wkst'!$G$7:$G$2010,$D86,'LAC 102_Wkst'!$L$7:$L$2010,"11",'LAC 102_Wkst'!$N$7:$N$2010,"P2")+SUMIFS('LAC 102_Wkst'!$Q$7:$Q$2010,'LAC 102_Wkst'!$E$7:$E$2010,$C86,'LAC 102_Wkst'!$G$7:$G$2010,$D86,'LAC 102_Wkst'!$L$7:$L$2010,"12",'LAC 102_Wkst'!$N$7:$N$2010,"P3")</f>
        <v>0</v>
      </c>
      <c r="AW86" s="411">
        <f>SUMIFS('LAC 102_Wkst'!$AE$7:$AE$2010,'LAC 102_Wkst'!$E$7:$E$2010,$C86,'LAC 102_Wkst'!$G$7:$G$2010,$D86,'LAC 102_Wkst'!$L$7:$L$2010,"11",'LAC 102_Wkst'!$N$7:$N$2010,"P2")+SUMIFS('LAC 102_Wkst'!$AE$7:$AE$2010,'LAC 102_Wkst'!$E$7:$E$2010,$C86,'LAC 102_Wkst'!$G$7:$G$2010,$D86,'LAC 102_Wkst'!$L$7:$L$2010,"12",'LAC 102_Wkst'!$N$7:$N$2010,"P3")+SUMIFS('LAC 102_Wkst'!$AE$7:$AE$2010,'LAC 102_Wkst'!$E$7:$E$2010,$C86,'LAC 102_Wkst'!$G$7:$G$2010,$D86,'LAC 102_Wkst'!$L$7:$L$2010,"11",'LAC 102_Wkst'!$N$7:$N$2010,"P2")+SUMIFS('LAC 102_Wkst'!$AE$7:$AE$2010,'LAC 102_Wkst'!$E$7:$E$2010,$C86,'LAC 102_Wkst'!$G$7:$G$2010,$D86,'LAC 102_Wkst'!$L$7:$L$2010,"12",'LAC 102_Wkst'!$N$7:$N$2010,"P3")</f>
        <v>0</v>
      </c>
      <c r="AX86" s="410">
        <f>SUMIFS('LAC 102_Wkst'!$Q$7:$Q$2010,'LAC 102_Wkst'!$E$7:$E$2010,$C86,'LAC 102_Wkst'!$G$7:$G$2010,$D86,'LAC 102_Wkst'!$L$7:$L$2010,"11",'LAC 102_Wkst'!$N$7:$N$2010,"P4")+SUMIFS('LAC 102_Wkst'!$Q$7:$Q$2010,'LAC 102_Wkst'!$E$7:$E$2010,$C86,'LAC 102_Wkst'!$G$7:$G$2010,$D86,'LAC 102_Wkst'!$L$7:$L$2010,"12",'LAC 102_Wkst'!$N$7:$N$2010,"P4")</f>
        <v>0</v>
      </c>
      <c r="AY86" s="411">
        <f>SUMIFS('LAC 102_Wkst'!$AE$7:$AE$2010,'LAC 102_Wkst'!$E$7:$E$2010,$C86,'LAC 102_Wkst'!$G$7:$G$2010,$D86,'LAC 102_Wkst'!$L$7:$L$2010,"11",'LAC 102_Wkst'!$N$7:$N$2010,"P4")+SUMIFS('LAC 102_Wkst'!$AE$7:$AE$2010,'LAC 102_Wkst'!$E$7:$E$2010,$C86,'LAC 102_Wkst'!$G$7:$G$2010,$D86,'LAC 102_Wkst'!$L$7:$L$2010,"12",'LAC 102_Wkst'!$N$7:$N$2010,"P4")</f>
        <v>0</v>
      </c>
      <c r="AZ86" s="410">
        <f>SUMIFS('LAC 102_Wkst'!$Q$7:$Q$2010,'LAC 102_Wkst'!$E$7:$E$2010,$C86,'LAC 102_Wkst'!$G$7:$G$2010,$D86,'LAC 102_Wkst'!$L$7:$L$2010,"11",'LAC 102_Wkst'!$N$7:$N$2010,"P5")+SUMIFS('LAC 102_Wkst'!$Q$7:$Q$2010,'LAC 102_Wkst'!$E$7:$E$2010,$C86,'LAC 102_Wkst'!$G$7:$G$2010,$D86,'LAC 102_Wkst'!$L$7:$L$2010,"12",'LAC 102_Wkst'!$N$7:$N$2010,"P5")</f>
        <v>0</v>
      </c>
      <c r="BA86" s="411">
        <f>SUMIFS('LAC 102_Wkst'!$AE$7:$AE$2010,'LAC 102_Wkst'!$E$7:$E$2010,$C86,'LAC 102_Wkst'!$G$7:$G$2010,$D86,'LAC 102_Wkst'!$L$7:$L$2010,"11",'LAC 102_Wkst'!$N$7:$N$2010,"P5")+SUMIFS('LAC 102_Wkst'!$AE$7:$AE$2010,'LAC 102_Wkst'!$E$7:$E$2010,$C86,'LAC 102_Wkst'!$G$7:$G$2010,$D86,'LAC 102_Wkst'!$L$7:$L$2010,"12",'LAC 102_Wkst'!$N$7:$N$2010,"P5")</f>
        <v>0</v>
      </c>
      <c r="BB86" s="410">
        <f>SUMIFS('LAC 102_Wkst'!$Q$7:$Q$2010,'LAC 102_Wkst'!$E$7:$E$2010,$C86,'LAC 102_Wkst'!$G$7:$G$2010,$D86,'LAC 102_Wkst'!$L$7:$L$2010,"13",'LAC 102_Wkst'!$N$7:$N$2010,"P1")+SUMIFS('LAC 102_Wkst'!$Q$7:$Q$2010,'LAC 102_Wkst'!$E$7:$E$2010,$C86,'LAC 102_Wkst'!$G$7:$G$2010,$D86,'LAC 102_Wkst'!$L$7:$L$2010,"13",'LAC 102_Wkst'!$N$7:$N$2010,"P2")+SUMIFS('LAC 102_Wkst'!$Q$7:$Q$2010,'LAC 102_Wkst'!$E$7:$E$2010,$C86,'LAC 102_Wkst'!$G$7:$G$2010,$D86,'LAC 102_Wkst'!$L$7:$L$2010,"13",'LAC 102_Wkst'!$N$7:$N$2010,"P3")+SUMIFS('LAC 102_Wkst'!$Q$7:$Q$2010,'LAC 102_Wkst'!$E$7:$E$2010,$C86,'LAC 102_Wkst'!$G$7:$G$2010,$D86,'LAC 102_Wkst'!$L$7:$L$2010,"13",'LAC 102_Wkst'!$N$7:$N$2010,"P4")</f>
        <v>0</v>
      </c>
      <c r="BC86" s="411">
        <f>SUMIFS('LAC 102_Wkst'!$AE$7:$AE$2010,'LAC 102_Wkst'!$E$7:$E$2010,$C86,'LAC 102_Wkst'!$G$7:$G$2010,$D86,'LAC 102_Wkst'!$L$7:$L$2010,"13",'LAC 102_Wkst'!$N$7:$N$2010,"P1")+SUMIFS('LAC 102_Wkst'!$AE$7:$AE$2010,'LAC 102_Wkst'!$E$7:$E$2010,$C86,'LAC 102_Wkst'!$G$7:$G$2010,$D86,'LAC 102_Wkst'!$L$7:$L$2010,"13",'LAC 102_Wkst'!$N$7:$N$2010,"P2")+SUMIFS('LAC 102_Wkst'!$AE$7:$AE$2010,'LAC 102_Wkst'!$E$7:$E$2010,$C86,'LAC 102_Wkst'!$G$7:$G$2010,$D86,'LAC 102_Wkst'!$L$7:$L$2010,"13",'LAC 102_Wkst'!$N$7:$N$2010,"P3")+SUMIFS('LAC 102_Wkst'!$AE$7:$AE$2010,'LAC 102_Wkst'!$E$7:$E$2010,$C86,'LAC 102_Wkst'!$G$7:$G$2010,$D86,'LAC 102_Wkst'!$L$7:$L$2010,"13",'LAC 102_Wkst'!$N$7:$N$2010,"P4")</f>
        <v>0</v>
      </c>
      <c r="BD86" s="410">
        <f>SUMIFS('LAC 102_Wkst'!$Q$7:$Q$2010,'LAC 102_Wkst'!$E$7:$E$2010,$C86,'LAC 102_Wkst'!$G$7:$G$2010,$D86,'LAC 102_Wkst'!$L$7:$L$2010,"13",'LAC 102_Wkst'!$N$7:$N$2010,"P5")</f>
        <v>0</v>
      </c>
      <c r="BE86" s="411">
        <f>SUMIFS('LAC 102_Wkst'!$AE$7:$AE$2010,'LAC 102_Wkst'!$E$7:$E$2010,$C86,'LAC 102_Wkst'!$G$7:$G$2010,$D86,'LAC 102_Wkst'!$L$7:$L$2010,"13",'LAC 102_Wkst'!$N$7:$N$2010,"P5")</f>
        <v>0</v>
      </c>
      <c r="BF86" s="407">
        <f t="shared" si="1"/>
        <v>0</v>
      </c>
    </row>
    <row r="87" spans="1:58" x14ac:dyDescent="0.2">
      <c r="A87" s="401">
        <v>68</v>
      </c>
      <c r="B87" s="1236"/>
      <c r="C87" s="1235"/>
      <c r="D87" s="1237"/>
      <c r="E87" s="1222">
        <f>IF(CONCATENATE(C87,D87)&gt;"6069",1,SUMIFS('LAC 102_Wkst'!$Q$7:$Q$2010,'LAC 102_Wkst'!$E$7:$E$2010,Schedule_B!$C87,'LAC 102_Wkst'!$G$7:$G$2010,Schedule_B!$D87))</f>
        <v>0</v>
      </c>
      <c r="F87" s="408">
        <f>SUMIFS('LAC 102_Wkst'!$Q$7:$Q$2010,'LAC 102_Wkst'!$E$7:$E$2010,$C87,'LAC 102_Wkst'!$G$7:$G$2010,$D87,'LAC 102_Wkst'!$L$7:$L$2010,"01",'LAC 102_Wkst'!$N$7:$N$2010,"P1")+SUMIFS('LAC 102_Wkst'!$Q$7:$Q$2010,'LAC 102_Wkst'!$E$7:$E$2010,$C87,'LAC 102_Wkst'!$G$7:$G$2010,$D87,'LAC 102_Wkst'!$L$7:$L$2010,"01",'LAC 102_Wkst'!$N$7:$N$2010,"P2")+SUMIFS('LAC 102_Wkst'!$Q$7:$Q$2010,'LAC 102_Wkst'!$E$7:$E$2010,$C87,'LAC 102_Wkst'!$G$7:$G$2010,$D87,'LAC 102_Wkst'!$L$7:$L$2010,"01",'LAC 102_Wkst'!$N$7:$N$2010,"P3")+SUMIFS('LAC 102_Wkst'!$Q$7:$Q$2010,'LAC 102_Wkst'!$E$7:$E$2010,$C87,'LAC 102_Wkst'!$G$7:$G$2010,$D87,'LAC 102_Wkst'!$L$7:$L$2010,"02",'LAC 102_Wkst'!$N$7:$N$2010,"P1")+SUMIFS('LAC 102_Wkst'!$Q$7:$Q$2010,'LAC 102_Wkst'!$E$7:$E$2010,$C87,'LAC 102_Wkst'!$G$7:$G$2010,$D87,'LAC 102_Wkst'!$L$7:$L$2010,"02",'LAC 102_Wkst'!$N$7:$N$2010,"P2")+SUMIFS('LAC 102_Wkst'!$Q$7:$Q$2010,'LAC 102_Wkst'!$E$7:$E$2010,$C87,'LAC 102_Wkst'!$G$7:$G$2010,$D87,'LAC 102_Wkst'!$L$7:$L$2010,"02",'LAC 102_Wkst'!$N$7:$N$2010,"P3")</f>
        <v>0</v>
      </c>
      <c r="G87" s="409">
        <f>SUMIFS('LAC 102_Wkst'!$AE$7:$AE$2010,'LAC 102_Wkst'!$E$7:$E$2010,$C87,'LAC 102_Wkst'!$G$7:$G$2010,$D87,'LAC 102_Wkst'!$L$7:$L$2010,"01",'LAC 102_Wkst'!$N$7:$N$2010,"P1")+SUMIFS('LAC 102_Wkst'!$AE$7:$AE$2010,'LAC 102_Wkst'!$E$7:$E$2010,$C87,'LAC 102_Wkst'!$G$7:$G$2010,$D87,'LAC 102_Wkst'!$L$7:$L$2010,"01",'LAC 102_Wkst'!$N$7:$N$2010,"P2")+SUMIFS('LAC 102_Wkst'!$AE$7:$AE$2010,'LAC 102_Wkst'!$E$7:$E$2010,$C87,'LAC 102_Wkst'!$G$7:$G$2010,$D87,'LAC 102_Wkst'!$L$7:$L$2010,"01",'LAC 102_Wkst'!$N$7:$N$2010,"P3")+SUMIFS('LAC 102_Wkst'!$AE$7:$AE$2010,'LAC 102_Wkst'!$E$7:$E$2010,$C87,'LAC 102_Wkst'!$G$7:$G$2010,$D87,'LAC 102_Wkst'!$L$7:$L$2010,"02",'LAC 102_Wkst'!$N$7:$N$2010,"P1")+SUMIFS('LAC 102_Wkst'!$AE$7:$AE$2010,'LAC 102_Wkst'!$E$7:$E$2010,$C87,'LAC 102_Wkst'!$G$7:$G$2010,$D87,'LAC 102_Wkst'!$L$7:$L$2010,"02",'LAC 102_Wkst'!$N$7:$N$2010,"P2")+SUMIFS('LAC 102_Wkst'!$AE$7:$AE$2010,'LAC 102_Wkst'!$E$7:$E$2010,$C87,'LAC 102_Wkst'!$G$7:$G$2010,$D87,'LAC 102_Wkst'!$L$7:$L$2010,"02",'LAC 102_Wkst'!$N$7:$N$2010,"P3")</f>
        <v>0</v>
      </c>
      <c r="H87" s="410">
        <f>SUMIFS('LAC 102_Wkst'!$Q$7:$Q$2010,'LAC 102_Wkst'!$E$7:$E$2010,$C87,'LAC 102_Wkst'!$G$7:$G$2010,$D87,'LAC 102_Wkst'!$L$7:$L$2010,"01",'LAC 102_Wkst'!$N$7:$N$2010,"P4")+SUMIFS('LAC 102_Wkst'!$Q$7:$Q$2010,'LAC 102_Wkst'!$E$7:$E$2010,$C87,'LAC 102_Wkst'!$G$7:$G$2010,$D87,'LAC 102_Wkst'!$L$7:$L$2010,"02",'LAC 102_Wkst'!$N$7:$N$2010,"P4")</f>
        <v>0</v>
      </c>
      <c r="I87" s="411">
        <f>SUMIFS('LAC 102_Wkst'!$AE$7:$AE$2010,'LAC 102_Wkst'!$E$7:$E$2010,$C87,'LAC 102_Wkst'!$G$7:$G$2010,$D87,'LAC 102_Wkst'!$L$7:$L$2010,"01",'LAC 102_Wkst'!$N$7:$N$2010,"P4")+SUMIFS('LAC 102_Wkst'!$AE$7:$AE$2010,'LAC 102_Wkst'!$E$7:$E$2010,$C87,'LAC 102_Wkst'!$G$7:$G$2010,$D87,'LAC 102_Wkst'!$L$7:$L$2010,"02",'LAC 102_Wkst'!$N$7:$N$2010,"P4")</f>
        <v>0</v>
      </c>
      <c r="J87" s="410">
        <f>SUMIFS('LAC 102_Wkst'!$Q$7:$Q$2010,'LAC 102_Wkst'!$E$7:$E$2010,$C87,'LAC 102_Wkst'!$G$7:$G$2010,$D87,'LAC 102_Wkst'!$L$7:$L$2010,"01",'LAC 102_Wkst'!$N$7:$N$2010,"P5")+SUMIFS('LAC 102_Wkst'!$Q$7:$Q$2010,'LAC 102_Wkst'!$E$7:$E$2010,$C87,'LAC 102_Wkst'!$G$7:$G$2010,$D87,'LAC 102_Wkst'!$L$7:$L$2010,"02",'LAC 102_Wkst'!$N$7:$N$2010,"P5")</f>
        <v>0</v>
      </c>
      <c r="K87" s="411">
        <f>SUMIFS('LAC 102_Wkst'!$AE$7:$AE$2010,'LAC 102_Wkst'!$E$7:$E$2010,$C87,'LAC 102_Wkst'!$G$7:$G$2010,$D87,'LAC 102_Wkst'!$L$7:$L$2010,"01",'LAC 102_Wkst'!$N$7:$N$2010,"P5")+SUMIFS('LAC 102_Wkst'!$AE$7:$AE$2010,'LAC 102_Wkst'!$E$7:$E$2010,$C87,'LAC 102_Wkst'!$G$7:$G$2010,$D87,'LAC 102_Wkst'!$L$7:$L$2010,"02",'LAC 102_Wkst'!$N$7:$N$2010,"P5")</f>
        <v>0</v>
      </c>
      <c r="L87" s="410">
        <f>SUMIFS('LAC 102_Wkst'!$Q$7:$Q$2010,'LAC 102_Wkst'!$E$7:$E$2010,$C87,'LAC 102_Wkst'!$G$7:$G$2010,$D87,'LAC 102_Wkst'!$L$7:$L$2010,"03",'LAC 102_Wkst'!$N$7:$N$2010,"P1")+SUMIFS('LAC 102_Wkst'!$Q$7:$Q$2010,'LAC 102_Wkst'!$E$7:$E$2010,$C87,'LAC 102_Wkst'!$G$7:$G$2010,$D87,'LAC 102_Wkst'!$L$7:$L$2010,"03",'LAC 102_Wkst'!$N$7:$N$2010,"P2")+SUMIFS('LAC 102_Wkst'!$Q$7:$Q$2010,'LAC 102_Wkst'!$E$7:$E$2010,$C87,'LAC 102_Wkst'!$G$7:$G$2010,$D87,'LAC 102_Wkst'!$L$7:$L$2010,"03",'LAC 102_Wkst'!$N$7:$N$2010,"P3")+SUMIFS('LAC 102_Wkst'!$Q$7:$Q$2010,'LAC 102_Wkst'!$E$7:$E$2010,$C87,'LAC 102_Wkst'!$G$7:$G$2010,$D87,'LAC 102_Wkst'!$L$7:$L$2010,"04",'LAC 102_Wkst'!$N$7:$N$2010,"P1")+SUMIFS('LAC 102_Wkst'!$Q$7:$Q$2010,'LAC 102_Wkst'!$E$7:$E$2010,$C87,'LAC 102_Wkst'!$G$7:$G$2010,$D87,'LAC 102_Wkst'!$L$7:$L$2010,"04",'LAC 102_Wkst'!$N$7:$N$2010,"P2")+SUMIFS('LAC 102_Wkst'!$Q$7:$Q$2010,'LAC 102_Wkst'!$E$7:$E$2010,$C87,'LAC 102_Wkst'!$G$7:$G$2010,$D87,'LAC 102_Wkst'!$L$7:$L$2010,"04",'LAC 102_Wkst'!$N$7:$N$2010,"P3")</f>
        <v>0</v>
      </c>
      <c r="M87" s="411">
        <f>SUMIFS('LAC 102_Wkst'!$AE$7:$AE$2010,'LAC 102_Wkst'!$E$7:$E$2010,$C87,'LAC 102_Wkst'!$G$7:$G$2010,$D87,'LAC 102_Wkst'!$L$7:$L$2010,"03",'LAC 102_Wkst'!$N$7:$N$2010,"P1")+SUMIFS('LAC 102_Wkst'!$AE$7:$AE$2010,'LAC 102_Wkst'!$E$7:$E$2010,$C87,'LAC 102_Wkst'!$G$7:$G$2010,$D87,'LAC 102_Wkst'!$L$7:$L$2010,"03",'LAC 102_Wkst'!$N$7:$N$2010,"P2")+SUMIFS('LAC 102_Wkst'!$AE$7:$AE$2010,'LAC 102_Wkst'!$E$7:$E$2010,$C87,'LAC 102_Wkst'!$G$7:$G$2010,$D87,'LAC 102_Wkst'!$L$7:$L$2010,"03",'LAC 102_Wkst'!$N$7:$N$2010,"P3")+SUMIFS('LAC 102_Wkst'!$AE$7:$AE$2010,'LAC 102_Wkst'!$E$7:$E$2010,$C87,'LAC 102_Wkst'!$G$7:$G$2010,$D87,'LAC 102_Wkst'!$L$7:$L$2010,"04",'LAC 102_Wkst'!$N$7:$N$2010,"P1")+SUMIFS('LAC 102_Wkst'!$AE$7:$AE$2010,'LAC 102_Wkst'!$E$7:$E$2010,$C87,'LAC 102_Wkst'!$G$7:$G$2010,$D87,'LAC 102_Wkst'!$L$7:$L$2010,"04",'LAC 102_Wkst'!$N$7:$N$2010,"P2")+SUMIFS('LAC 102_Wkst'!$AE$7:$AE$2010,'LAC 102_Wkst'!$E$7:$E$2010,$C87,'LAC 102_Wkst'!$G$7:$G$2010,$D87,'LAC 102_Wkst'!$L$7:$L$2010,"04",'LAC 102_Wkst'!$N$7:$N$2010,"P3")</f>
        <v>0</v>
      </c>
      <c r="N87" s="410">
        <f>SUMIFS('LAC 102_Wkst'!$Q$7:$Q$2010,'LAC 102_Wkst'!$E$7:$E$2010,$C87,'LAC 102_Wkst'!$G$7:$G$2010,$D87,'LAC 102_Wkst'!$L$7:$L$2010,"03",'LAC 102_Wkst'!$N$7:$N$2010,"P4")+SUMIFS('LAC 102_Wkst'!$Q$7:$Q$2010,'LAC 102_Wkst'!$E$7:$E$2010,$C87,'LAC 102_Wkst'!$G$7:$G$2010,$D87,'LAC 102_Wkst'!$L$7:$L$2010,"04",'LAC 102_Wkst'!$N$7:$N$2010,"P4")</f>
        <v>0</v>
      </c>
      <c r="O87" s="411">
        <f>SUMIFS('LAC 102_Wkst'!$AE$7:$AE$2010,'LAC 102_Wkst'!$E$7:$E$2010,$C87,'LAC 102_Wkst'!$G$7:$G$2010,$D87,'LAC 102_Wkst'!$L$7:$L$2010,"03",'LAC 102_Wkst'!$N$7:$N$2010,"P4")+SUMIFS('LAC 102_Wkst'!$AE$7:$AE$2010,'LAC 102_Wkst'!$E$7:$E$2010,$C87,'LAC 102_Wkst'!$G$7:$G$2010,$D87,'LAC 102_Wkst'!$L$7:$L$2010,"04",'LAC 102_Wkst'!$N$7:$N$2010,"P4")</f>
        <v>0</v>
      </c>
      <c r="P87" s="410">
        <f>SUMIFS('LAC 102_Wkst'!$Q$7:$Q$2010,'LAC 102_Wkst'!$E$7:$E$2010,$C87,'LAC 102_Wkst'!$G$7:$G$2010,$D87,'LAC 102_Wkst'!$L$7:$L$2010,"03",'LAC 102_Wkst'!$N$7:$N$2010,"P5")+SUMIFS('LAC 102_Wkst'!$Q$7:$Q$2010,'LAC 102_Wkst'!$E$7:$E$2010,$C87,'LAC 102_Wkst'!$G$7:$G$2010,$D87,'LAC 102_Wkst'!$L$7:$L$2010,"04",'LAC 102_Wkst'!$N$7:$N$2010,"P5")</f>
        <v>0</v>
      </c>
      <c r="Q87" s="411">
        <f>SUMIFS('LAC 102_Wkst'!$AE$7:$AE$2010,'LAC 102_Wkst'!$E$7:$E$2010,$C87,'LAC 102_Wkst'!$G$7:$G$2010,$D87,'LAC 102_Wkst'!$L$7:$L$2010,"03",'LAC 102_Wkst'!$N$7:$N$2010,"P5")+SUMIFS('LAC 102_Wkst'!$AE$7:$AE$2010,'LAC 102_Wkst'!$E$7:$E$2010,$C87,'LAC 102_Wkst'!$G$7:$G$2010,$D87,'LAC 102_Wkst'!$L$7:$L$2010,"04",'LAC 102_Wkst'!$N$7:$N$2010,"P5")</f>
        <v>0</v>
      </c>
      <c r="R87" s="412">
        <f>SUMIFS('LAC 102_Wkst'!$Q$7:$Q$2010,'LAC 102_Wkst'!$E$7:$E$2010,$C87,'LAC 102_Wkst'!$G$7:$G$2010,$D87,'LAC 102_Wkst'!$L$7:$L$2010,"05",'LAC 102_Wkst'!$N$7:$N$2010,"P1")+SUMIFS('LAC 102_Wkst'!$Q$7:$Q$2010,'LAC 102_Wkst'!$E$7:$E$2010,$C87,'LAC 102_Wkst'!$G$7:$G$2010,$D87,'LAC 102_Wkst'!$L$7:$L$2010,"06",'LAC 102_Wkst'!$N$7:$N$2010,"P1")</f>
        <v>0</v>
      </c>
      <c r="S87" s="411">
        <f>SUMIFS('LAC 102_Wkst'!$AE$7:$AE$2010,'LAC 102_Wkst'!$E$7:$E$2010,$C87,'LAC 102_Wkst'!$G$7:$G$2010,$D87,'LAC 102_Wkst'!$L$7:$L$2010,"05",'LAC 102_Wkst'!$N$7:$N$2010,"P1")+SUMIFS('LAC 102_Wkst'!$AE$7:$AE$2010,'LAC 102_Wkst'!$E$7:$E$2010,$C87,'LAC 102_Wkst'!$G$7:$G$2010,$D87,'LAC 102_Wkst'!$L$7:$L$2010,"06",'LAC 102_Wkst'!$N$7:$N$2010,"P1")</f>
        <v>0</v>
      </c>
      <c r="T87" s="410">
        <f>SUMIFS('LAC 102_Wkst'!$Q$7:$Q$2010,'LAC 102_Wkst'!$E$7:$E$2010,$C87,'LAC 102_Wkst'!$G$7:$G$2010,$D87,'LAC 102_Wkst'!$L$7:$L$2010,"05",'LAC 102_Wkst'!$N$7:$N$2010,"P2")+SUMIFS('LAC 102_Wkst'!$Q$7:$Q$2010,'LAC 102_Wkst'!$E$7:$E$2010,$C87,'LAC 102_Wkst'!$G$7:$G$2010,$D87,'LAC 102_Wkst'!$L$7:$L$2010,"05",'LAC 102_Wkst'!$N$7:$N$2010,"P3")+SUMIFS('LAC 102_Wkst'!$Q$7:$Q$2010,'LAC 102_Wkst'!$E$7:$E$2010,$C87,'LAC 102_Wkst'!$G$7:$G$2010,$D87,'LAC 102_Wkst'!$L$7:$L$2010,"06",'LAC 102_Wkst'!$N$7:$N$2010,"P2")+SUMIFS('LAC 102_Wkst'!$Q$7:$Q$2010,'LAC 102_Wkst'!$E$7:$E$2010,$C87,'LAC 102_Wkst'!$G$7:$G$2010,$D87,'LAC 102_Wkst'!$L$7:$L$2010,"06",'LAC 102_Wkst'!$N$7:$N$2010,"P3")</f>
        <v>0</v>
      </c>
      <c r="U87" s="411">
        <f>SUMIFS('LAC 102_Wkst'!$AE$7:$AE$2010,'LAC 102_Wkst'!$E$7:$E$2010,$C87,'LAC 102_Wkst'!$G$7:$G$2010,$D87,'LAC 102_Wkst'!$L$7:$L$2010,"05",'LAC 102_Wkst'!$N$7:$N$2010,"P2")+SUMIFS('LAC 102_Wkst'!$AE$7:$AE$2010,'LAC 102_Wkst'!$E$7:$E$2010,$C87,'LAC 102_Wkst'!$G$7:$G$2010,$D87,'LAC 102_Wkst'!$L$7:$L$2010,"06",'LAC 102_Wkst'!$N$7:$N$2010,"P3")+SUMIFS('LAC 102_Wkst'!$AE$7:$AE$2010,'LAC 102_Wkst'!$E$7:$E$2010,$C87,'LAC 102_Wkst'!$G$7:$G$2010,$D87,'LAC 102_Wkst'!$L$7:$L$2010,"05",'LAC 102_Wkst'!$N$7:$N$2010,"P2")+SUMIFS('LAC 102_Wkst'!$AE$7:$AE$2010,'LAC 102_Wkst'!$E$7:$E$2010,$C87,'LAC 102_Wkst'!$G$7:$G$2010,$D87,'LAC 102_Wkst'!$L$7:$L$2010,"06",'LAC 102_Wkst'!$N$7:$N$2010,"P3")</f>
        <v>0</v>
      </c>
      <c r="V87" s="410">
        <f>SUMIFS('LAC 102_Wkst'!$Q$7:$Q$2010,'LAC 102_Wkst'!$E$7:$E$2010,$C87,'LAC 102_Wkst'!$G$7:$G$2010,$D87,'LAC 102_Wkst'!$L$7:$L$2010,"05",'LAC 102_Wkst'!$N$7:$N$2010,"P4")+SUMIFS('LAC 102_Wkst'!$Q$7:$Q$2010,'LAC 102_Wkst'!$E$7:$E$2010,$C87,'LAC 102_Wkst'!$G$7:$G$2010,$D87,'LAC 102_Wkst'!$L$7:$L$2010,"06",'LAC 102_Wkst'!$N$7:$N$2010,"P4")</f>
        <v>0</v>
      </c>
      <c r="W87" s="411">
        <f>SUMIFS('LAC 102_Wkst'!$AE$7:$AE$2010,'LAC 102_Wkst'!$E$7:$E$2010,$C87,'LAC 102_Wkst'!$G$7:$G$2010,$D87,'LAC 102_Wkst'!$L$7:$L$2010,"05",'LAC 102_Wkst'!$N$7:$N$2010,"P4")+SUMIFS('LAC 102_Wkst'!$AE$7:$AE$2010,'LAC 102_Wkst'!$E$7:$E$2010,$C87,'LAC 102_Wkst'!$G$7:$G$2010,$D87,'LAC 102_Wkst'!$L$7:$L$2010,"06",'LAC 102_Wkst'!$N$7:$N$2010,"P4")</f>
        <v>0</v>
      </c>
      <c r="X87" s="410">
        <f>SUMIFS('LAC 102_Wkst'!$Q$7:$Q$2010,'LAC 102_Wkst'!$E$7:$E$2010,$C87,'LAC 102_Wkst'!$G$7:$G$2010,$D87,'LAC 102_Wkst'!$L$7:$L$2010,"05",'LAC 102_Wkst'!$N$7:$N$2010,"P5")+SUMIFS('LAC 102_Wkst'!$Q$7:$Q$2010,'LAC 102_Wkst'!$E$7:$E$2010,$C87,'LAC 102_Wkst'!$G$7:$G$2010,$D87,'LAC 102_Wkst'!$L$7:$L$2010,"06",'LAC 102_Wkst'!$N$7:$N$2010,"P5")</f>
        <v>0</v>
      </c>
      <c r="Y87" s="411">
        <f>SUMIFS('LAC 102_Wkst'!$AE$7:$AE$2010,'LAC 102_Wkst'!$E$7:$E$2010,$C87,'LAC 102_Wkst'!$G$7:$G$2010,$D87,'LAC 102_Wkst'!$L$7:$L$2010,"05",'LAC 102_Wkst'!$N$7:$N$2010,"P5")+SUMIFS('LAC 102_Wkst'!$AE$7:$AE$2010,'LAC 102_Wkst'!$E$7:$E$2010,$C87,'LAC 102_Wkst'!$G$7:$G$2010,$D87,'LAC 102_Wkst'!$L$7:$L$2010,"06",'LAC 102_Wkst'!$N$7:$N$2010,"P5")</f>
        <v>0</v>
      </c>
      <c r="Z87" s="410">
        <f>SUMIFS('LAC 102_Wkst'!$Q$7:$Q$2010,'LAC 102_Wkst'!$E$7:$E$2010,$C87,'LAC 102_Wkst'!$G$7:$G$2010,$D87,'LAC 102_Wkst'!$L$7:$L$2010,"07",'LAC 102_Wkst'!$N$7:$N$2010,"P1")+SUMIFS('LAC 102_Wkst'!$Q$7:$Q$2010,'LAC 102_Wkst'!$E$7:$E$2010,$C87,'LAC 102_Wkst'!$G$7:$G$2010,$D87,'LAC 102_Wkst'!$L$7:$L$2010,"07",'LAC 102_Wkst'!$N$7:$N$2010,"P2")+SUMIFS('LAC 102_Wkst'!$Q$7:$Q$2010,'LAC 102_Wkst'!$E$7:$E$2010,$C87,'LAC 102_Wkst'!$G$7:$G$2010,$D87,'LAC 102_Wkst'!$L$7:$L$2010,"07",'LAC 102_Wkst'!$N$7:$N$2010,"P3")</f>
        <v>0</v>
      </c>
      <c r="AA87" s="411">
        <f>SUMIFS('LAC 102_Wkst'!$AE$7:$AE$2010,'LAC 102_Wkst'!$E$7:$E$2010,$C87,'LAC 102_Wkst'!$G$7:$G$2010,$D87,'LAC 102_Wkst'!$L$7:$L$2010,"07",'LAC 102_Wkst'!$N$7:$N$2010,"P1")+SUMIFS('LAC 102_Wkst'!$AE$7:$AE$2010,'LAC 102_Wkst'!$E$7:$E$2010,$C87,'LAC 102_Wkst'!$G$7:$G$2010,$D87,'LAC 102_Wkst'!$L$7:$L$2010,"07",'LAC 102_Wkst'!$N$7:$N$2010,"P2")+SUMIFS('LAC 102_Wkst'!$AE$7:$AE$2010,'LAC 102_Wkst'!$E$7:$E$2010,$C87,'LAC 102_Wkst'!$G$7:$G$2010,$D87,'LAC 102_Wkst'!$L$7:$L$2010,"07",'LAC 102_Wkst'!$N$7:$N$2010,"P3")</f>
        <v>0</v>
      </c>
      <c r="AB87" s="410">
        <f>SUMIFS('LAC 102_Wkst'!$Q$7:$Q$2010,'LAC 102_Wkst'!$E$7:$E$2010,$C87,'LAC 102_Wkst'!$G$7:$G$2010,$D87,'LAC 102_Wkst'!$L$7:$L$2010,"07",'LAC 102_Wkst'!$N$7:$N$2010,"P4")</f>
        <v>0</v>
      </c>
      <c r="AC87" s="411">
        <f>SUMIFS('LAC 102_Wkst'!$AE$7:$AE$2010,'LAC 102_Wkst'!$E$7:$E$2010,$C87,'LAC 102_Wkst'!$G$7:$G$2010,$D87,'LAC 102_Wkst'!$L$7:$L$2010,"07",'LAC 102_Wkst'!$N$7:$N$2010,"P4")</f>
        <v>0</v>
      </c>
      <c r="AD87" s="410">
        <f>SUMIFS('LAC 102_Wkst'!$Q$7:$Q$2010,'LAC 102_Wkst'!$E$7:$E$2010,$C87,'LAC 102_Wkst'!$G$7:$G$2010,$D87,'LAC 102_Wkst'!$L$7:$L$2010,"07",'LAC 102_Wkst'!$N$7:$N$2010,"P5")</f>
        <v>0</v>
      </c>
      <c r="AE87" s="411">
        <f>SUMIFS('LAC 102_Wkst'!$AE$7:$AE$2010,'LAC 102_Wkst'!$E$7:$E$2010,$C87,'LAC 102_Wkst'!$G$7:$G$2010,$D87,'LAC 102_Wkst'!$L$7:$L$2010,"07",'LAC 102_Wkst'!$N$7:$N$2010,"P5")</f>
        <v>0</v>
      </c>
      <c r="AF87" s="410">
        <f>SUMIFS('LAC 102_Wkst'!$Q$7:$Q$2010,'LAC 102_Wkst'!$E$7:$E$2010,$C87,'LAC 102_Wkst'!$G$7:$G$2010,$D87,'LAC 102_Wkst'!$L$7:$L$2010,"08",'LAC 102_Wkst'!$N$7:$N$2010,"P1")+SUMIFS('LAC 102_Wkst'!$Q$7:$Q$2010,'LAC 102_Wkst'!$E$7:$E$2010,$C87,'LAC 102_Wkst'!$G$7:$G$2010,$D87,'LAC 102_Wkst'!$L$7:$L$2010,"08",'LAC 102_Wkst'!$N$7:$N$2010,"P2")+SUMIFS('LAC 102_Wkst'!$Q$7:$Q$2010,'LAC 102_Wkst'!$E$7:$E$2010,$C87,'LAC 102_Wkst'!$G$7:$G$2010,$D87,'LAC 102_Wkst'!$L$7:$L$2010,"08",'LAC 102_Wkst'!$N$7:$N$2010,"P3")</f>
        <v>0</v>
      </c>
      <c r="AG87" s="411">
        <f>SUMIFS('LAC 102_Wkst'!$AE$7:$AE$2010,'LAC 102_Wkst'!$E$7:$E$2010,$C87,'LAC 102_Wkst'!$G$7:$G$2010,$D87,'LAC 102_Wkst'!$L$7:$L$2010,"08",'LAC 102_Wkst'!$N$7:$N$2010,"P1")+SUMIFS('LAC 102_Wkst'!$AE$7:$AE$2010,'LAC 102_Wkst'!$E$7:$E$2010,$C87,'LAC 102_Wkst'!$G$7:$G$2010,$D87,'LAC 102_Wkst'!$L$7:$L$2010,"08",'LAC 102_Wkst'!$N$7:$N$2010,"P2")+SUMIFS('LAC 102_Wkst'!$AE$7:$AE$2010,'LAC 102_Wkst'!$E$7:$E$2010,$C87,'LAC 102_Wkst'!$G$7:$G$2010,$D87,'LAC 102_Wkst'!$L$7:$L$2010,"08",'LAC 102_Wkst'!$N$7:$N$2010,"P3")</f>
        <v>0</v>
      </c>
      <c r="AH87" s="410">
        <f>SUMIFS('LAC 102_Wkst'!$Q$7:$Q$2010,'LAC 102_Wkst'!$E$7:$E$2010,$C87,'LAC 102_Wkst'!$G$7:$G$2010,$D87,'LAC 102_Wkst'!$L$7:$L$2010,"08",'LAC 102_Wkst'!$N$7:$N$2010,"P4")</f>
        <v>0</v>
      </c>
      <c r="AI87" s="411">
        <f>SUMIFS('LAC 102_Wkst'!$AE$7:$AE$2010,'LAC 102_Wkst'!$E$7:$E$2010,$C87,'LAC 102_Wkst'!$G$7:$G$2010,$D87,'LAC 102_Wkst'!$L$7:$L$2010,"08",'LAC 102_Wkst'!$N$7:$N$2010,"P4")</f>
        <v>0</v>
      </c>
      <c r="AJ87" s="410">
        <f>SUMIFS('LAC 102_Wkst'!$Q$7:$Q$2010,'LAC 102_Wkst'!$E$7:$E$2010,$C87,'LAC 102_Wkst'!$G$7:$G$2010,$D87,'LAC 102_Wkst'!$L$7:$L$2010,"08",'LAC 102_Wkst'!$N$7:$N$2010,"P5")</f>
        <v>0</v>
      </c>
      <c r="AK87" s="411">
        <f>SUMIFS('LAC 102_Wkst'!$AE$7:$AE$2010,'LAC 102_Wkst'!$E$7:$E$2010,$C87,'LAC 102_Wkst'!$G$7:$G$2010,$D87,'LAC 102_Wkst'!$L$7:$L$2010,"08",'LAC 102_Wkst'!$N$7:$N$2010,"P5")</f>
        <v>0</v>
      </c>
      <c r="AL87" s="410">
        <f>SUMIFS('LAC 102_Wkst'!$Q$7:$Q$2010,'LAC 102_Wkst'!$E$7:$E$2010,$C87,'LAC 102_Wkst'!$G$7:$G$2010,$D87,'LAC 102_Wkst'!$L$7:$L$2010,"09",'LAC 102_Wkst'!$N$7:$N$2010,"P1")+SUMIFS('LAC 102_Wkst'!$Q$7:$Q$2010,'LAC 102_Wkst'!$E$7:$E$2010,$C87,'LAC 102_Wkst'!$G$7:$G$2010,$D87,'LAC 102_Wkst'!$L$7:$L$2010,"09",'LAC 102_Wkst'!$N$7:$N$2010,"P2")+SUMIFS('LAC 102_Wkst'!$Q$7:$Q$2010,'LAC 102_Wkst'!$E$7:$E$2010,$C87,'LAC 102_Wkst'!$G$7:$G$2010,$D87,'LAC 102_Wkst'!$L$7:$L$2010,"09",'LAC 102_Wkst'!$N$7:$N$2010,"P3")+SUMIFS('LAC 102_Wkst'!$Q$7:$Q$2010,'LAC 102_Wkst'!$E$7:$E$2010,$C87,'LAC 102_Wkst'!$G$7:$G$2010,$D87,'LAC 102_Wkst'!$L$7:$L$2010,"09",'LAC 102_Wkst'!$N$7:$N$2010,"P4")</f>
        <v>0</v>
      </c>
      <c r="AM87" s="411">
        <f>SUMIFS('LAC 102_Wkst'!$AE$7:$AE$2010,'LAC 102_Wkst'!$E$7:$E$2010,$C87,'LAC 102_Wkst'!$G$7:$G$2010,$D87,'LAC 102_Wkst'!$L$7:$L$2010,"09",'LAC 102_Wkst'!$N$7:$N$2010,"P1")+SUMIFS('LAC 102_Wkst'!$AE$7:$AE$2010,'LAC 102_Wkst'!$E$7:$E$2010,$C87,'LAC 102_Wkst'!$G$7:$G$2010,$D87,'LAC 102_Wkst'!$L$7:$L$2010,"09",'LAC 102_Wkst'!$N$7:$N$2010,"P2")+SUMIFS('LAC 102_Wkst'!$AE$7:$AE$2010,'LAC 102_Wkst'!$E$7:$E$2010,$C87,'LAC 102_Wkst'!$G$7:$G$2010,$D87,'LAC 102_Wkst'!$L$7:$L$2010,"09",'LAC 102_Wkst'!$N$7:$N$2010,"P3")+SUMIFS('LAC 102_Wkst'!$AE$7:$AE$2010,'LAC 102_Wkst'!$E$7:$E$2010,$C87,'LAC 102_Wkst'!$G$7:$G$2010,$D87,'LAC 102_Wkst'!$L$7:$L$2010,"09",'LAC 102_Wkst'!$N$7:$N$2010,"P4")</f>
        <v>0</v>
      </c>
      <c r="AN87" s="410">
        <f>SUMIFS('LAC 102_Wkst'!$Q$7:$Q$2010,'LAC 102_Wkst'!$E$7:$E$2010,$C87,'LAC 102_Wkst'!$G$7:$G$2010,$D87,'LAC 102_Wkst'!$L$7:$L$2010,"09",'LAC 102_Wkst'!$N$7:$N$2010,"P5")</f>
        <v>0</v>
      </c>
      <c r="AO87" s="411">
        <f>SUMIFS('LAC 102_Wkst'!$AE$7:$AE$2010,'LAC 102_Wkst'!$E$7:$E$2010,$C87,'LAC 102_Wkst'!$G$7:$G$2010,$D87,'LAC 102_Wkst'!$L$7:$L$2010,"09",'LAC 102_Wkst'!$N$7:$N$2010,"P5")</f>
        <v>0</v>
      </c>
      <c r="AP87" s="410">
        <f>SUMIFS('LAC 102_Wkst'!$Q$7:$Q$2010,'LAC 102_Wkst'!$E$7:$E$2010,$C87,'LAC 102_Wkst'!$G$7:$G$2010,$D87,'LAC 102_Wkst'!$L$7:$L$2010,"10",'LAC 102_Wkst'!$N$7:$N$2010,"P1")+SUMIFS('LAC 102_Wkst'!$Q$7:$Q$2010,'LAC 102_Wkst'!$E$7:$E$2010,$C87,'LAC 102_Wkst'!$G$7:$G$2010,$D87,'LAC 102_Wkst'!$L$7:$L$2010,"10",'LAC 102_Wkst'!$N$7:$N$2010,"P2")+SUMIFS('LAC 102_Wkst'!$Q$7:$Q$2010,'LAC 102_Wkst'!$E$7:$E$2010,$C87,'LAC 102_Wkst'!$G$7:$G$2010,$D87,'LAC 102_Wkst'!$L$7:$L$2010,"10",'LAC 102_Wkst'!$N$7:$N$2010,"P3")+SUMIFS('LAC 102_Wkst'!$Q$7:$Q$2010,'LAC 102_Wkst'!$E$7:$E$2010,$C87,'LAC 102_Wkst'!$G$7:$G$2010,$D87,'LAC 102_Wkst'!$L$7:$L$2010,"10",'LAC 102_Wkst'!$N$7:$N$2010,"P4")</f>
        <v>0</v>
      </c>
      <c r="AQ87" s="411">
        <f>SUMIFS('LAC 102_Wkst'!$AE$7:$AE$2010,'LAC 102_Wkst'!$E$7:$E$2010,$C87,'LAC 102_Wkst'!$G$7:$G$2010,$D87,'LAC 102_Wkst'!$L$7:$L$2010,"10",'LAC 102_Wkst'!$N$7:$N$2010,"P1")+SUMIFS('LAC 102_Wkst'!$AE$7:$AE$2010,'LAC 102_Wkst'!$E$7:$E$2010,$C87,'LAC 102_Wkst'!$G$7:$G$2010,$D87,'LAC 102_Wkst'!$L$7:$L$2010,"10",'LAC 102_Wkst'!$N$7:$N$2010,"P2")+SUMIFS('LAC 102_Wkst'!$AE$7:$AE$2010,'LAC 102_Wkst'!$E$7:$E$2010,$C87,'LAC 102_Wkst'!$G$7:$G$2010,$D87,'LAC 102_Wkst'!$L$7:$L$2010,"10",'LAC 102_Wkst'!$N$7:$N$2010,"P3")+SUMIFS('LAC 102_Wkst'!$AE$7:$AE$2010,'LAC 102_Wkst'!$E$7:$E$2010,$C87,'LAC 102_Wkst'!$G$7:$G$2010,$D87,'LAC 102_Wkst'!$L$7:$L$2010,"10",'LAC 102_Wkst'!$N$7:$N$2010,"P4")</f>
        <v>0</v>
      </c>
      <c r="AR87" s="410">
        <f>SUMIFS('LAC 102_Wkst'!$Q$7:$Q$2010,'LAC 102_Wkst'!$E$7:$E$2010,$C87,'LAC 102_Wkst'!$G$7:$G$2010,$D87,'LAC 102_Wkst'!$L$7:$L$2010,"10",'LAC 102_Wkst'!$N$7:$N$2010,"P5")</f>
        <v>0</v>
      </c>
      <c r="AS87" s="411">
        <f>SUMIFS('LAC 102_Wkst'!$AE$7:$AE$2010,'LAC 102_Wkst'!$E$7:$E$2010,$C87,'LAC 102_Wkst'!$G$7:$G$2010,$D87,'LAC 102_Wkst'!$L$7:$L$2010,"10",'LAC 102_Wkst'!$N$7:$N$2010,"P5")</f>
        <v>0</v>
      </c>
      <c r="AT87" s="410">
        <f>SUMIFS('LAC 102_Wkst'!$Q$7:$Q$2010,'LAC 102_Wkst'!$E$7:$E$2010,$C87,'LAC 102_Wkst'!$G$7:$G$2010,$D87,'LAC 102_Wkst'!$L$7:$L$2010,"11",'LAC 102_Wkst'!$N$7:$N$2010,"P1")+SUMIFS('LAC 102_Wkst'!$Q$7:$Q$2010,'LAC 102_Wkst'!$E$7:$E$2010,$C87,'LAC 102_Wkst'!$G$7:$G$2010,$D87,'LAC 102_Wkst'!$L$7:$L$2010,"12",'LAC 102_Wkst'!$N$7:$N$2010,"P1")</f>
        <v>0</v>
      </c>
      <c r="AU87" s="411">
        <f>SUMIFS('LAC 102_Wkst'!$AE$7:$AE$2010,'LAC 102_Wkst'!$E$7:$E$2010,$C87,'LAC 102_Wkst'!$G$7:$G$2010,$D87,'LAC 102_Wkst'!$L$7:$L$2010,"11",'LAC 102_Wkst'!$N$7:$N$2010,"P1")+SUMIFS('LAC 102_Wkst'!$AE$7:$AE$2010,'LAC 102_Wkst'!$E$7:$E$2010,$C87,'LAC 102_Wkst'!$G$7:$G$2010,$D87,'LAC 102_Wkst'!$L$7:$L$2010,"12",'LAC 102_Wkst'!$N$7:$N$2010,"P1")</f>
        <v>0</v>
      </c>
      <c r="AV87" s="410">
        <f>SUMIFS('LAC 102_Wkst'!$Q$7:$Q$2010,'LAC 102_Wkst'!$E$7:$E$2010,$C87,'LAC 102_Wkst'!$G$7:$G$2010,$D87,'LAC 102_Wkst'!$L$7:$L$2010,"11",'LAC 102_Wkst'!$N$7:$N$2010,"P2")+SUMIFS('LAC 102_Wkst'!$Q$7:$Q$2010,'LAC 102_Wkst'!$E$7:$E$2010,$C87,'LAC 102_Wkst'!$G$7:$G$2010,$D87,'LAC 102_Wkst'!$L$7:$L$2010,"12",'LAC 102_Wkst'!$N$7:$N$2010,"P3")+SUMIFS('LAC 102_Wkst'!$Q$7:$Q$2010,'LAC 102_Wkst'!$E$7:$E$2010,$C87,'LAC 102_Wkst'!$G$7:$G$2010,$D87,'LAC 102_Wkst'!$L$7:$L$2010,"11",'LAC 102_Wkst'!$N$7:$N$2010,"P2")+SUMIFS('LAC 102_Wkst'!$Q$7:$Q$2010,'LAC 102_Wkst'!$E$7:$E$2010,$C87,'LAC 102_Wkst'!$G$7:$G$2010,$D87,'LAC 102_Wkst'!$L$7:$L$2010,"12",'LAC 102_Wkst'!$N$7:$N$2010,"P3")</f>
        <v>0</v>
      </c>
      <c r="AW87" s="411">
        <f>SUMIFS('LAC 102_Wkst'!$AE$7:$AE$2010,'LAC 102_Wkst'!$E$7:$E$2010,$C87,'LAC 102_Wkst'!$G$7:$G$2010,$D87,'LAC 102_Wkst'!$L$7:$L$2010,"11",'LAC 102_Wkst'!$N$7:$N$2010,"P2")+SUMIFS('LAC 102_Wkst'!$AE$7:$AE$2010,'LAC 102_Wkst'!$E$7:$E$2010,$C87,'LAC 102_Wkst'!$G$7:$G$2010,$D87,'LAC 102_Wkst'!$L$7:$L$2010,"12",'LAC 102_Wkst'!$N$7:$N$2010,"P3")+SUMIFS('LAC 102_Wkst'!$AE$7:$AE$2010,'LAC 102_Wkst'!$E$7:$E$2010,$C87,'LAC 102_Wkst'!$G$7:$G$2010,$D87,'LAC 102_Wkst'!$L$7:$L$2010,"11",'LAC 102_Wkst'!$N$7:$N$2010,"P2")+SUMIFS('LAC 102_Wkst'!$AE$7:$AE$2010,'LAC 102_Wkst'!$E$7:$E$2010,$C87,'LAC 102_Wkst'!$G$7:$G$2010,$D87,'LAC 102_Wkst'!$L$7:$L$2010,"12",'LAC 102_Wkst'!$N$7:$N$2010,"P3")</f>
        <v>0</v>
      </c>
      <c r="AX87" s="410">
        <f>SUMIFS('LAC 102_Wkst'!$Q$7:$Q$2010,'LAC 102_Wkst'!$E$7:$E$2010,$C87,'LAC 102_Wkst'!$G$7:$G$2010,$D87,'LAC 102_Wkst'!$L$7:$L$2010,"11",'LAC 102_Wkst'!$N$7:$N$2010,"P4")+SUMIFS('LAC 102_Wkst'!$Q$7:$Q$2010,'LAC 102_Wkst'!$E$7:$E$2010,$C87,'LAC 102_Wkst'!$G$7:$G$2010,$D87,'LAC 102_Wkst'!$L$7:$L$2010,"12",'LAC 102_Wkst'!$N$7:$N$2010,"P4")</f>
        <v>0</v>
      </c>
      <c r="AY87" s="411">
        <f>SUMIFS('LAC 102_Wkst'!$AE$7:$AE$2010,'LAC 102_Wkst'!$E$7:$E$2010,$C87,'LAC 102_Wkst'!$G$7:$G$2010,$D87,'LAC 102_Wkst'!$L$7:$L$2010,"11",'LAC 102_Wkst'!$N$7:$N$2010,"P4")+SUMIFS('LAC 102_Wkst'!$AE$7:$AE$2010,'LAC 102_Wkst'!$E$7:$E$2010,$C87,'LAC 102_Wkst'!$G$7:$G$2010,$D87,'LAC 102_Wkst'!$L$7:$L$2010,"12",'LAC 102_Wkst'!$N$7:$N$2010,"P4")</f>
        <v>0</v>
      </c>
      <c r="AZ87" s="410">
        <f>SUMIFS('LAC 102_Wkst'!$Q$7:$Q$2010,'LAC 102_Wkst'!$E$7:$E$2010,$C87,'LAC 102_Wkst'!$G$7:$G$2010,$D87,'LAC 102_Wkst'!$L$7:$L$2010,"11",'LAC 102_Wkst'!$N$7:$N$2010,"P5")+SUMIFS('LAC 102_Wkst'!$Q$7:$Q$2010,'LAC 102_Wkst'!$E$7:$E$2010,$C87,'LAC 102_Wkst'!$G$7:$G$2010,$D87,'LAC 102_Wkst'!$L$7:$L$2010,"12",'LAC 102_Wkst'!$N$7:$N$2010,"P5")</f>
        <v>0</v>
      </c>
      <c r="BA87" s="411">
        <f>SUMIFS('LAC 102_Wkst'!$AE$7:$AE$2010,'LAC 102_Wkst'!$E$7:$E$2010,$C87,'LAC 102_Wkst'!$G$7:$G$2010,$D87,'LAC 102_Wkst'!$L$7:$L$2010,"11",'LAC 102_Wkst'!$N$7:$N$2010,"P5")+SUMIFS('LAC 102_Wkst'!$AE$7:$AE$2010,'LAC 102_Wkst'!$E$7:$E$2010,$C87,'LAC 102_Wkst'!$G$7:$G$2010,$D87,'LAC 102_Wkst'!$L$7:$L$2010,"12",'LAC 102_Wkst'!$N$7:$N$2010,"P5")</f>
        <v>0</v>
      </c>
      <c r="BB87" s="410">
        <f>SUMIFS('LAC 102_Wkst'!$Q$7:$Q$2010,'LAC 102_Wkst'!$E$7:$E$2010,$C87,'LAC 102_Wkst'!$G$7:$G$2010,$D87,'LAC 102_Wkst'!$L$7:$L$2010,"13",'LAC 102_Wkst'!$N$7:$N$2010,"P1")+SUMIFS('LAC 102_Wkst'!$Q$7:$Q$2010,'LAC 102_Wkst'!$E$7:$E$2010,$C87,'LAC 102_Wkst'!$G$7:$G$2010,$D87,'LAC 102_Wkst'!$L$7:$L$2010,"13",'LAC 102_Wkst'!$N$7:$N$2010,"P2")+SUMIFS('LAC 102_Wkst'!$Q$7:$Q$2010,'LAC 102_Wkst'!$E$7:$E$2010,$C87,'LAC 102_Wkst'!$G$7:$G$2010,$D87,'LAC 102_Wkst'!$L$7:$L$2010,"13",'LAC 102_Wkst'!$N$7:$N$2010,"P3")+SUMIFS('LAC 102_Wkst'!$Q$7:$Q$2010,'LAC 102_Wkst'!$E$7:$E$2010,$C87,'LAC 102_Wkst'!$G$7:$G$2010,$D87,'LAC 102_Wkst'!$L$7:$L$2010,"13",'LAC 102_Wkst'!$N$7:$N$2010,"P4")</f>
        <v>0</v>
      </c>
      <c r="BC87" s="411">
        <f>SUMIFS('LAC 102_Wkst'!$AE$7:$AE$2010,'LAC 102_Wkst'!$E$7:$E$2010,$C87,'LAC 102_Wkst'!$G$7:$G$2010,$D87,'LAC 102_Wkst'!$L$7:$L$2010,"13",'LAC 102_Wkst'!$N$7:$N$2010,"P1")+SUMIFS('LAC 102_Wkst'!$AE$7:$AE$2010,'LAC 102_Wkst'!$E$7:$E$2010,$C87,'LAC 102_Wkst'!$G$7:$G$2010,$D87,'LAC 102_Wkst'!$L$7:$L$2010,"13",'LAC 102_Wkst'!$N$7:$N$2010,"P2")+SUMIFS('LAC 102_Wkst'!$AE$7:$AE$2010,'LAC 102_Wkst'!$E$7:$E$2010,$C87,'LAC 102_Wkst'!$G$7:$G$2010,$D87,'LAC 102_Wkst'!$L$7:$L$2010,"13",'LAC 102_Wkst'!$N$7:$N$2010,"P3")+SUMIFS('LAC 102_Wkst'!$AE$7:$AE$2010,'LAC 102_Wkst'!$E$7:$E$2010,$C87,'LAC 102_Wkst'!$G$7:$G$2010,$D87,'LAC 102_Wkst'!$L$7:$L$2010,"13",'LAC 102_Wkst'!$N$7:$N$2010,"P4")</f>
        <v>0</v>
      </c>
      <c r="BD87" s="410">
        <f>SUMIFS('LAC 102_Wkst'!$Q$7:$Q$2010,'LAC 102_Wkst'!$E$7:$E$2010,$C87,'LAC 102_Wkst'!$G$7:$G$2010,$D87,'LAC 102_Wkst'!$L$7:$L$2010,"13",'LAC 102_Wkst'!$N$7:$N$2010,"P5")</f>
        <v>0</v>
      </c>
      <c r="BE87" s="411">
        <f>SUMIFS('LAC 102_Wkst'!$AE$7:$AE$2010,'LAC 102_Wkst'!$E$7:$E$2010,$C87,'LAC 102_Wkst'!$G$7:$G$2010,$D87,'LAC 102_Wkst'!$L$7:$L$2010,"13",'LAC 102_Wkst'!$N$7:$N$2010,"P5")</f>
        <v>0</v>
      </c>
      <c r="BF87" s="407">
        <f t="shared" si="1"/>
        <v>0</v>
      </c>
    </row>
    <row r="88" spans="1:58" x14ac:dyDescent="0.2">
      <c r="A88" s="401">
        <v>69</v>
      </c>
      <c r="B88" s="1236"/>
      <c r="C88" s="1235"/>
      <c r="D88" s="1237"/>
      <c r="E88" s="1222">
        <f>IF(CONCATENATE(C88,D88)&gt;"6069",1,SUMIFS('LAC 102_Wkst'!$Q$7:$Q$2010,'LAC 102_Wkst'!$E$7:$E$2010,Schedule_B!$C88,'LAC 102_Wkst'!$G$7:$G$2010,Schedule_B!$D88))</f>
        <v>0</v>
      </c>
      <c r="F88" s="408">
        <f>SUMIFS('LAC 102_Wkst'!$Q$7:$Q$2010,'LAC 102_Wkst'!$E$7:$E$2010,$C88,'LAC 102_Wkst'!$G$7:$G$2010,$D88,'LAC 102_Wkst'!$L$7:$L$2010,"01",'LAC 102_Wkst'!$N$7:$N$2010,"P1")+SUMIFS('LAC 102_Wkst'!$Q$7:$Q$2010,'LAC 102_Wkst'!$E$7:$E$2010,$C88,'LAC 102_Wkst'!$G$7:$G$2010,$D88,'LAC 102_Wkst'!$L$7:$L$2010,"01",'LAC 102_Wkst'!$N$7:$N$2010,"P2")+SUMIFS('LAC 102_Wkst'!$Q$7:$Q$2010,'LAC 102_Wkst'!$E$7:$E$2010,$C88,'LAC 102_Wkst'!$G$7:$G$2010,$D88,'LAC 102_Wkst'!$L$7:$L$2010,"01",'LAC 102_Wkst'!$N$7:$N$2010,"P3")+SUMIFS('LAC 102_Wkst'!$Q$7:$Q$2010,'LAC 102_Wkst'!$E$7:$E$2010,$C88,'LAC 102_Wkst'!$G$7:$G$2010,$D88,'LAC 102_Wkst'!$L$7:$L$2010,"02",'LAC 102_Wkst'!$N$7:$N$2010,"P1")+SUMIFS('LAC 102_Wkst'!$Q$7:$Q$2010,'LAC 102_Wkst'!$E$7:$E$2010,$C88,'LAC 102_Wkst'!$G$7:$G$2010,$D88,'LAC 102_Wkst'!$L$7:$L$2010,"02",'LAC 102_Wkst'!$N$7:$N$2010,"P2")+SUMIFS('LAC 102_Wkst'!$Q$7:$Q$2010,'LAC 102_Wkst'!$E$7:$E$2010,$C88,'LAC 102_Wkst'!$G$7:$G$2010,$D88,'LAC 102_Wkst'!$L$7:$L$2010,"02",'LAC 102_Wkst'!$N$7:$N$2010,"P3")</f>
        <v>0</v>
      </c>
      <c r="G88" s="409">
        <f>SUMIFS('LAC 102_Wkst'!$AE$7:$AE$2010,'LAC 102_Wkst'!$E$7:$E$2010,$C88,'LAC 102_Wkst'!$G$7:$G$2010,$D88,'LAC 102_Wkst'!$L$7:$L$2010,"01",'LAC 102_Wkst'!$N$7:$N$2010,"P1")+SUMIFS('LAC 102_Wkst'!$AE$7:$AE$2010,'LAC 102_Wkst'!$E$7:$E$2010,$C88,'LAC 102_Wkst'!$G$7:$G$2010,$D88,'LAC 102_Wkst'!$L$7:$L$2010,"01",'LAC 102_Wkst'!$N$7:$N$2010,"P2")+SUMIFS('LAC 102_Wkst'!$AE$7:$AE$2010,'LAC 102_Wkst'!$E$7:$E$2010,$C88,'LAC 102_Wkst'!$G$7:$G$2010,$D88,'LAC 102_Wkst'!$L$7:$L$2010,"01",'LAC 102_Wkst'!$N$7:$N$2010,"P3")+SUMIFS('LAC 102_Wkst'!$AE$7:$AE$2010,'LAC 102_Wkst'!$E$7:$E$2010,$C88,'LAC 102_Wkst'!$G$7:$G$2010,$D88,'LAC 102_Wkst'!$L$7:$L$2010,"02",'LAC 102_Wkst'!$N$7:$N$2010,"P1")+SUMIFS('LAC 102_Wkst'!$AE$7:$AE$2010,'LAC 102_Wkst'!$E$7:$E$2010,$C88,'LAC 102_Wkst'!$G$7:$G$2010,$D88,'LAC 102_Wkst'!$L$7:$L$2010,"02",'LAC 102_Wkst'!$N$7:$N$2010,"P2")+SUMIFS('LAC 102_Wkst'!$AE$7:$AE$2010,'LAC 102_Wkst'!$E$7:$E$2010,$C88,'LAC 102_Wkst'!$G$7:$G$2010,$D88,'LAC 102_Wkst'!$L$7:$L$2010,"02",'LAC 102_Wkst'!$N$7:$N$2010,"P3")</f>
        <v>0</v>
      </c>
      <c r="H88" s="410">
        <f>SUMIFS('LAC 102_Wkst'!$Q$7:$Q$2010,'LAC 102_Wkst'!$E$7:$E$2010,$C88,'LAC 102_Wkst'!$G$7:$G$2010,$D88,'LAC 102_Wkst'!$L$7:$L$2010,"01",'LAC 102_Wkst'!$N$7:$N$2010,"P4")+SUMIFS('LAC 102_Wkst'!$Q$7:$Q$2010,'LAC 102_Wkst'!$E$7:$E$2010,$C88,'LAC 102_Wkst'!$G$7:$G$2010,$D88,'LAC 102_Wkst'!$L$7:$L$2010,"02",'LAC 102_Wkst'!$N$7:$N$2010,"P4")</f>
        <v>0</v>
      </c>
      <c r="I88" s="411">
        <f>SUMIFS('LAC 102_Wkst'!$AE$7:$AE$2010,'LAC 102_Wkst'!$E$7:$E$2010,$C88,'LAC 102_Wkst'!$G$7:$G$2010,$D88,'LAC 102_Wkst'!$L$7:$L$2010,"01",'LAC 102_Wkst'!$N$7:$N$2010,"P4")+SUMIFS('LAC 102_Wkst'!$AE$7:$AE$2010,'LAC 102_Wkst'!$E$7:$E$2010,$C88,'LAC 102_Wkst'!$G$7:$G$2010,$D88,'LAC 102_Wkst'!$L$7:$L$2010,"02",'LAC 102_Wkst'!$N$7:$N$2010,"P4")</f>
        <v>0</v>
      </c>
      <c r="J88" s="410">
        <f>SUMIFS('LAC 102_Wkst'!$Q$7:$Q$2010,'LAC 102_Wkst'!$E$7:$E$2010,$C88,'LAC 102_Wkst'!$G$7:$G$2010,$D88,'LAC 102_Wkst'!$L$7:$L$2010,"01",'LAC 102_Wkst'!$N$7:$N$2010,"P5")+SUMIFS('LAC 102_Wkst'!$Q$7:$Q$2010,'LAC 102_Wkst'!$E$7:$E$2010,$C88,'LAC 102_Wkst'!$G$7:$G$2010,$D88,'LAC 102_Wkst'!$L$7:$L$2010,"02",'LAC 102_Wkst'!$N$7:$N$2010,"P5")</f>
        <v>0</v>
      </c>
      <c r="K88" s="411">
        <f>SUMIFS('LAC 102_Wkst'!$AE$7:$AE$2010,'LAC 102_Wkst'!$E$7:$E$2010,$C88,'LAC 102_Wkst'!$G$7:$G$2010,$D88,'LAC 102_Wkst'!$L$7:$L$2010,"01",'LAC 102_Wkst'!$N$7:$N$2010,"P5")+SUMIFS('LAC 102_Wkst'!$AE$7:$AE$2010,'LAC 102_Wkst'!$E$7:$E$2010,$C88,'LAC 102_Wkst'!$G$7:$G$2010,$D88,'LAC 102_Wkst'!$L$7:$L$2010,"02",'LAC 102_Wkst'!$N$7:$N$2010,"P5")</f>
        <v>0</v>
      </c>
      <c r="L88" s="410">
        <f>SUMIFS('LAC 102_Wkst'!$Q$7:$Q$2010,'LAC 102_Wkst'!$E$7:$E$2010,$C88,'LAC 102_Wkst'!$G$7:$G$2010,$D88,'LAC 102_Wkst'!$L$7:$L$2010,"03",'LAC 102_Wkst'!$N$7:$N$2010,"P1")+SUMIFS('LAC 102_Wkst'!$Q$7:$Q$2010,'LAC 102_Wkst'!$E$7:$E$2010,$C88,'LAC 102_Wkst'!$G$7:$G$2010,$D88,'LAC 102_Wkst'!$L$7:$L$2010,"03",'LAC 102_Wkst'!$N$7:$N$2010,"P2")+SUMIFS('LAC 102_Wkst'!$Q$7:$Q$2010,'LAC 102_Wkst'!$E$7:$E$2010,$C88,'LAC 102_Wkst'!$G$7:$G$2010,$D88,'LAC 102_Wkst'!$L$7:$L$2010,"03",'LAC 102_Wkst'!$N$7:$N$2010,"P3")+SUMIFS('LAC 102_Wkst'!$Q$7:$Q$2010,'LAC 102_Wkst'!$E$7:$E$2010,$C88,'LAC 102_Wkst'!$G$7:$G$2010,$D88,'LAC 102_Wkst'!$L$7:$L$2010,"04",'LAC 102_Wkst'!$N$7:$N$2010,"P1")+SUMIFS('LAC 102_Wkst'!$Q$7:$Q$2010,'LAC 102_Wkst'!$E$7:$E$2010,$C88,'LAC 102_Wkst'!$G$7:$G$2010,$D88,'LAC 102_Wkst'!$L$7:$L$2010,"04",'LAC 102_Wkst'!$N$7:$N$2010,"P2")+SUMIFS('LAC 102_Wkst'!$Q$7:$Q$2010,'LAC 102_Wkst'!$E$7:$E$2010,$C88,'LAC 102_Wkst'!$G$7:$G$2010,$D88,'LAC 102_Wkst'!$L$7:$L$2010,"04",'LAC 102_Wkst'!$N$7:$N$2010,"P3")</f>
        <v>0</v>
      </c>
      <c r="M88" s="411">
        <f>SUMIFS('LAC 102_Wkst'!$AE$7:$AE$2010,'LAC 102_Wkst'!$E$7:$E$2010,$C88,'LAC 102_Wkst'!$G$7:$G$2010,$D88,'LAC 102_Wkst'!$L$7:$L$2010,"03",'LAC 102_Wkst'!$N$7:$N$2010,"P1")+SUMIFS('LAC 102_Wkst'!$AE$7:$AE$2010,'LAC 102_Wkst'!$E$7:$E$2010,$C88,'LAC 102_Wkst'!$G$7:$G$2010,$D88,'LAC 102_Wkst'!$L$7:$L$2010,"03",'LAC 102_Wkst'!$N$7:$N$2010,"P2")+SUMIFS('LAC 102_Wkst'!$AE$7:$AE$2010,'LAC 102_Wkst'!$E$7:$E$2010,$C88,'LAC 102_Wkst'!$G$7:$G$2010,$D88,'LAC 102_Wkst'!$L$7:$L$2010,"03",'LAC 102_Wkst'!$N$7:$N$2010,"P3")+SUMIFS('LAC 102_Wkst'!$AE$7:$AE$2010,'LAC 102_Wkst'!$E$7:$E$2010,$C88,'LAC 102_Wkst'!$G$7:$G$2010,$D88,'LAC 102_Wkst'!$L$7:$L$2010,"04",'LAC 102_Wkst'!$N$7:$N$2010,"P1")+SUMIFS('LAC 102_Wkst'!$AE$7:$AE$2010,'LAC 102_Wkst'!$E$7:$E$2010,$C88,'LAC 102_Wkst'!$G$7:$G$2010,$D88,'LAC 102_Wkst'!$L$7:$L$2010,"04",'LAC 102_Wkst'!$N$7:$N$2010,"P2")+SUMIFS('LAC 102_Wkst'!$AE$7:$AE$2010,'LAC 102_Wkst'!$E$7:$E$2010,$C88,'LAC 102_Wkst'!$G$7:$G$2010,$D88,'LAC 102_Wkst'!$L$7:$L$2010,"04",'LAC 102_Wkst'!$N$7:$N$2010,"P3")</f>
        <v>0</v>
      </c>
      <c r="N88" s="410">
        <f>SUMIFS('LAC 102_Wkst'!$Q$7:$Q$2010,'LAC 102_Wkst'!$E$7:$E$2010,$C88,'LAC 102_Wkst'!$G$7:$G$2010,$D88,'LAC 102_Wkst'!$L$7:$L$2010,"03",'LAC 102_Wkst'!$N$7:$N$2010,"P4")+SUMIFS('LAC 102_Wkst'!$Q$7:$Q$2010,'LAC 102_Wkst'!$E$7:$E$2010,$C88,'LAC 102_Wkst'!$G$7:$G$2010,$D88,'LAC 102_Wkst'!$L$7:$L$2010,"04",'LAC 102_Wkst'!$N$7:$N$2010,"P4")</f>
        <v>0</v>
      </c>
      <c r="O88" s="411">
        <f>SUMIFS('LAC 102_Wkst'!$AE$7:$AE$2010,'LAC 102_Wkst'!$E$7:$E$2010,$C88,'LAC 102_Wkst'!$G$7:$G$2010,$D88,'LAC 102_Wkst'!$L$7:$L$2010,"03",'LAC 102_Wkst'!$N$7:$N$2010,"P4")+SUMIFS('LAC 102_Wkst'!$AE$7:$AE$2010,'LAC 102_Wkst'!$E$7:$E$2010,$C88,'LAC 102_Wkst'!$G$7:$G$2010,$D88,'LAC 102_Wkst'!$L$7:$L$2010,"04",'LAC 102_Wkst'!$N$7:$N$2010,"P4")</f>
        <v>0</v>
      </c>
      <c r="P88" s="410">
        <f>SUMIFS('LAC 102_Wkst'!$Q$7:$Q$2010,'LAC 102_Wkst'!$E$7:$E$2010,$C88,'LAC 102_Wkst'!$G$7:$G$2010,$D88,'LAC 102_Wkst'!$L$7:$L$2010,"03",'LAC 102_Wkst'!$N$7:$N$2010,"P5")+SUMIFS('LAC 102_Wkst'!$Q$7:$Q$2010,'LAC 102_Wkst'!$E$7:$E$2010,$C88,'LAC 102_Wkst'!$G$7:$G$2010,$D88,'LAC 102_Wkst'!$L$7:$L$2010,"04",'LAC 102_Wkst'!$N$7:$N$2010,"P5")</f>
        <v>0</v>
      </c>
      <c r="Q88" s="411">
        <f>SUMIFS('LAC 102_Wkst'!$AE$7:$AE$2010,'LAC 102_Wkst'!$E$7:$E$2010,$C88,'LAC 102_Wkst'!$G$7:$G$2010,$D88,'LAC 102_Wkst'!$L$7:$L$2010,"03",'LAC 102_Wkst'!$N$7:$N$2010,"P5")+SUMIFS('LAC 102_Wkst'!$AE$7:$AE$2010,'LAC 102_Wkst'!$E$7:$E$2010,$C88,'LAC 102_Wkst'!$G$7:$G$2010,$D88,'LAC 102_Wkst'!$L$7:$L$2010,"04",'LAC 102_Wkst'!$N$7:$N$2010,"P5")</f>
        <v>0</v>
      </c>
      <c r="R88" s="412">
        <f>SUMIFS('LAC 102_Wkst'!$Q$7:$Q$2010,'LAC 102_Wkst'!$E$7:$E$2010,$C88,'LAC 102_Wkst'!$G$7:$G$2010,$D88,'LAC 102_Wkst'!$L$7:$L$2010,"05",'LAC 102_Wkst'!$N$7:$N$2010,"P1")+SUMIFS('LAC 102_Wkst'!$Q$7:$Q$2010,'LAC 102_Wkst'!$E$7:$E$2010,$C88,'LAC 102_Wkst'!$G$7:$G$2010,$D88,'LAC 102_Wkst'!$L$7:$L$2010,"06",'LAC 102_Wkst'!$N$7:$N$2010,"P1")</f>
        <v>0</v>
      </c>
      <c r="S88" s="411">
        <f>SUMIFS('LAC 102_Wkst'!$AE$7:$AE$2010,'LAC 102_Wkst'!$E$7:$E$2010,$C88,'LAC 102_Wkst'!$G$7:$G$2010,$D88,'LAC 102_Wkst'!$L$7:$L$2010,"05",'LAC 102_Wkst'!$N$7:$N$2010,"P1")+SUMIFS('LAC 102_Wkst'!$AE$7:$AE$2010,'LAC 102_Wkst'!$E$7:$E$2010,$C88,'LAC 102_Wkst'!$G$7:$G$2010,$D88,'LAC 102_Wkst'!$L$7:$L$2010,"06",'LAC 102_Wkst'!$N$7:$N$2010,"P1")</f>
        <v>0</v>
      </c>
      <c r="T88" s="410">
        <f>SUMIFS('LAC 102_Wkst'!$Q$7:$Q$2010,'LAC 102_Wkst'!$E$7:$E$2010,$C88,'LAC 102_Wkst'!$G$7:$G$2010,$D88,'LAC 102_Wkst'!$L$7:$L$2010,"05",'LAC 102_Wkst'!$N$7:$N$2010,"P2")+SUMIFS('LAC 102_Wkst'!$Q$7:$Q$2010,'LAC 102_Wkst'!$E$7:$E$2010,$C88,'LAC 102_Wkst'!$G$7:$G$2010,$D88,'LAC 102_Wkst'!$L$7:$L$2010,"05",'LAC 102_Wkst'!$N$7:$N$2010,"P3")+SUMIFS('LAC 102_Wkst'!$Q$7:$Q$2010,'LAC 102_Wkst'!$E$7:$E$2010,$C88,'LAC 102_Wkst'!$G$7:$G$2010,$D88,'LAC 102_Wkst'!$L$7:$L$2010,"06",'LAC 102_Wkst'!$N$7:$N$2010,"P2")+SUMIFS('LAC 102_Wkst'!$Q$7:$Q$2010,'LAC 102_Wkst'!$E$7:$E$2010,$C88,'LAC 102_Wkst'!$G$7:$G$2010,$D88,'LAC 102_Wkst'!$L$7:$L$2010,"06",'LAC 102_Wkst'!$N$7:$N$2010,"P3")</f>
        <v>0</v>
      </c>
      <c r="U88" s="411">
        <f>SUMIFS('LAC 102_Wkst'!$AE$7:$AE$2010,'LAC 102_Wkst'!$E$7:$E$2010,$C88,'LAC 102_Wkst'!$G$7:$G$2010,$D88,'LAC 102_Wkst'!$L$7:$L$2010,"05",'LAC 102_Wkst'!$N$7:$N$2010,"P2")+SUMIFS('LAC 102_Wkst'!$AE$7:$AE$2010,'LAC 102_Wkst'!$E$7:$E$2010,$C88,'LAC 102_Wkst'!$G$7:$G$2010,$D88,'LAC 102_Wkst'!$L$7:$L$2010,"06",'LAC 102_Wkst'!$N$7:$N$2010,"P3")+SUMIFS('LAC 102_Wkst'!$AE$7:$AE$2010,'LAC 102_Wkst'!$E$7:$E$2010,$C88,'LAC 102_Wkst'!$G$7:$G$2010,$D88,'LAC 102_Wkst'!$L$7:$L$2010,"05",'LAC 102_Wkst'!$N$7:$N$2010,"P2")+SUMIFS('LAC 102_Wkst'!$AE$7:$AE$2010,'LAC 102_Wkst'!$E$7:$E$2010,$C88,'LAC 102_Wkst'!$G$7:$G$2010,$D88,'LAC 102_Wkst'!$L$7:$L$2010,"06",'LAC 102_Wkst'!$N$7:$N$2010,"P3")</f>
        <v>0</v>
      </c>
      <c r="V88" s="410">
        <f>SUMIFS('LAC 102_Wkst'!$Q$7:$Q$2010,'LAC 102_Wkst'!$E$7:$E$2010,$C88,'LAC 102_Wkst'!$G$7:$G$2010,$D88,'LAC 102_Wkst'!$L$7:$L$2010,"05",'LAC 102_Wkst'!$N$7:$N$2010,"P4")+SUMIFS('LAC 102_Wkst'!$Q$7:$Q$2010,'LAC 102_Wkst'!$E$7:$E$2010,$C88,'LAC 102_Wkst'!$G$7:$G$2010,$D88,'LAC 102_Wkst'!$L$7:$L$2010,"06",'LAC 102_Wkst'!$N$7:$N$2010,"P4")</f>
        <v>0</v>
      </c>
      <c r="W88" s="411">
        <f>SUMIFS('LAC 102_Wkst'!$AE$7:$AE$2010,'LAC 102_Wkst'!$E$7:$E$2010,$C88,'LAC 102_Wkst'!$G$7:$G$2010,$D88,'LAC 102_Wkst'!$L$7:$L$2010,"05",'LAC 102_Wkst'!$N$7:$N$2010,"P4")+SUMIFS('LAC 102_Wkst'!$AE$7:$AE$2010,'LAC 102_Wkst'!$E$7:$E$2010,$C88,'LAC 102_Wkst'!$G$7:$G$2010,$D88,'LAC 102_Wkst'!$L$7:$L$2010,"06",'LAC 102_Wkst'!$N$7:$N$2010,"P4")</f>
        <v>0</v>
      </c>
      <c r="X88" s="410">
        <f>SUMIFS('LAC 102_Wkst'!$Q$7:$Q$2010,'LAC 102_Wkst'!$E$7:$E$2010,$C88,'LAC 102_Wkst'!$G$7:$G$2010,$D88,'LAC 102_Wkst'!$L$7:$L$2010,"05",'LAC 102_Wkst'!$N$7:$N$2010,"P5")+SUMIFS('LAC 102_Wkst'!$Q$7:$Q$2010,'LAC 102_Wkst'!$E$7:$E$2010,$C88,'LAC 102_Wkst'!$G$7:$G$2010,$D88,'LAC 102_Wkst'!$L$7:$L$2010,"06",'LAC 102_Wkst'!$N$7:$N$2010,"P5")</f>
        <v>0</v>
      </c>
      <c r="Y88" s="411">
        <f>SUMIFS('LAC 102_Wkst'!$AE$7:$AE$2010,'LAC 102_Wkst'!$E$7:$E$2010,$C88,'LAC 102_Wkst'!$G$7:$G$2010,$D88,'LAC 102_Wkst'!$L$7:$L$2010,"05",'LAC 102_Wkst'!$N$7:$N$2010,"P5")+SUMIFS('LAC 102_Wkst'!$AE$7:$AE$2010,'LAC 102_Wkst'!$E$7:$E$2010,$C88,'LAC 102_Wkst'!$G$7:$G$2010,$D88,'LAC 102_Wkst'!$L$7:$L$2010,"06",'LAC 102_Wkst'!$N$7:$N$2010,"P5")</f>
        <v>0</v>
      </c>
      <c r="Z88" s="410">
        <f>SUMIFS('LAC 102_Wkst'!$Q$7:$Q$2010,'LAC 102_Wkst'!$E$7:$E$2010,$C88,'LAC 102_Wkst'!$G$7:$G$2010,$D88,'LAC 102_Wkst'!$L$7:$L$2010,"07",'LAC 102_Wkst'!$N$7:$N$2010,"P1")+SUMIFS('LAC 102_Wkst'!$Q$7:$Q$2010,'LAC 102_Wkst'!$E$7:$E$2010,$C88,'LAC 102_Wkst'!$G$7:$G$2010,$D88,'LAC 102_Wkst'!$L$7:$L$2010,"07",'LAC 102_Wkst'!$N$7:$N$2010,"P2")+SUMIFS('LAC 102_Wkst'!$Q$7:$Q$2010,'LAC 102_Wkst'!$E$7:$E$2010,$C88,'LAC 102_Wkst'!$G$7:$G$2010,$D88,'LAC 102_Wkst'!$L$7:$L$2010,"07",'LAC 102_Wkst'!$N$7:$N$2010,"P3")</f>
        <v>0</v>
      </c>
      <c r="AA88" s="411">
        <f>SUMIFS('LAC 102_Wkst'!$AE$7:$AE$2010,'LAC 102_Wkst'!$E$7:$E$2010,$C88,'LAC 102_Wkst'!$G$7:$G$2010,$D88,'LAC 102_Wkst'!$L$7:$L$2010,"07",'LAC 102_Wkst'!$N$7:$N$2010,"P1")+SUMIFS('LAC 102_Wkst'!$AE$7:$AE$2010,'LAC 102_Wkst'!$E$7:$E$2010,$C88,'LAC 102_Wkst'!$G$7:$G$2010,$D88,'LAC 102_Wkst'!$L$7:$L$2010,"07",'LAC 102_Wkst'!$N$7:$N$2010,"P2")+SUMIFS('LAC 102_Wkst'!$AE$7:$AE$2010,'LAC 102_Wkst'!$E$7:$E$2010,$C88,'LAC 102_Wkst'!$G$7:$G$2010,$D88,'LAC 102_Wkst'!$L$7:$L$2010,"07",'LAC 102_Wkst'!$N$7:$N$2010,"P3")</f>
        <v>0</v>
      </c>
      <c r="AB88" s="410">
        <f>SUMIFS('LAC 102_Wkst'!$Q$7:$Q$2010,'LAC 102_Wkst'!$E$7:$E$2010,$C88,'LAC 102_Wkst'!$G$7:$G$2010,$D88,'LAC 102_Wkst'!$L$7:$L$2010,"07",'LAC 102_Wkst'!$N$7:$N$2010,"P4")</f>
        <v>0</v>
      </c>
      <c r="AC88" s="411">
        <f>SUMIFS('LAC 102_Wkst'!$AE$7:$AE$2010,'LAC 102_Wkst'!$E$7:$E$2010,$C88,'LAC 102_Wkst'!$G$7:$G$2010,$D88,'LAC 102_Wkst'!$L$7:$L$2010,"07",'LAC 102_Wkst'!$N$7:$N$2010,"P4")</f>
        <v>0</v>
      </c>
      <c r="AD88" s="410">
        <f>SUMIFS('LAC 102_Wkst'!$Q$7:$Q$2010,'LAC 102_Wkst'!$E$7:$E$2010,$C88,'LAC 102_Wkst'!$G$7:$G$2010,$D88,'LAC 102_Wkst'!$L$7:$L$2010,"07",'LAC 102_Wkst'!$N$7:$N$2010,"P5")</f>
        <v>0</v>
      </c>
      <c r="AE88" s="411">
        <f>SUMIFS('LAC 102_Wkst'!$AE$7:$AE$2010,'LAC 102_Wkst'!$E$7:$E$2010,$C88,'LAC 102_Wkst'!$G$7:$G$2010,$D88,'LAC 102_Wkst'!$L$7:$L$2010,"07",'LAC 102_Wkst'!$N$7:$N$2010,"P5")</f>
        <v>0</v>
      </c>
      <c r="AF88" s="410">
        <f>SUMIFS('LAC 102_Wkst'!$Q$7:$Q$2010,'LAC 102_Wkst'!$E$7:$E$2010,$C88,'LAC 102_Wkst'!$G$7:$G$2010,$D88,'LAC 102_Wkst'!$L$7:$L$2010,"08",'LAC 102_Wkst'!$N$7:$N$2010,"P1")+SUMIFS('LAC 102_Wkst'!$Q$7:$Q$2010,'LAC 102_Wkst'!$E$7:$E$2010,$C88,'LAC 102_Wkst'!$G$7:$G$2010,$D88,'LAC 102_Wkst'!$L$7:$L$2010,"08",'LAC 102_Wkst'!$N$7:$N$2010,"P2")+SUMIFS('LAC 102_Wkst'!$Q$7:$Q$2010,'LAC 102_Wkst'!$E$7:$E$2010,$C88,'LAC 102_Wkst'!$G$7:$G$2010,$D88,'LAC 102_Wkst'!$L$7:$L$2010,"08",'LAC 102_Wkst'!$N$7:$N$2010,"P3")</f>
        <v>0</v>
      </c>
      <c r="AG88" s="411">
        <f>SUMIFS('LAC 102_Wkst'!$AE$7:$AE$2010,'LAC 102_Wkst'!$E$7:$E$2010,$C88,'LAC 102_Wkst'!$G$7:$G$2010,$D88,'LAC 102_Wkst'!$L$7:$L$2010,"08",'LAC 102_Wkst'!$N$7:$N$2010,"P1")+SUMIFS('LAC 102_Wkst'!$AE$7:$AE$2010,'LAC 102_Wkst'!$E$7:$E$2010,$C88,'LAC 102_Wkst'!$G$7:$G$2010,$D88,'LAC 102_Wkst'!$L$7:$L$2010,"08",'LAC 102_Wkst'!$N$7:$N$2010,"P2")+SUMIFS('LAC 102_Wkst'!$AE$7:$AE$2010,'LAC 102_Wkst'!$E$7:$E$2010,$C88,'LAC 102_Wkst'!$G$7:$G$2010,$D88,'LAC 102_Wkst'!$L$7:$L$2010,"08",'LAC 102_Wkst'!$N$7:$N$2010,"P3")</f>
        <v>0</v>
      </c>
      <c r="AH88" s="410">
        <f>SUMIFS('LAC 102_Wkst'!$Q$7:$Q$2010,'LAC 102_Wkst'!$E$7:$E$2010,$C88,'LAC 102_Wkst'!$G$7:$G$2010,$D88,'LAC 102_Wkst'!$L$7:$L$2010,"08",'LAC 102_Wkst'!$N$7:$N$2010,"P4")</f>
        <v>0</v>
      </c>
      <c r="AI88" s="411">
        <f>SUMIFS('LAC 102_Wkst'!$AE$7:$AE$2010,'LAC 102_Wkst'!$E$7:$E$2010,$C88,'LAC 102_Wkst'!$G$7:$G$2010,$D88,'LAC 102_Wkst'!$L$7:$L$2010,"08",'LAC 102_Wkst'!$N$7:$N$2010,"P4")</f>
        <v>0</v>
      </c>
      <c r="AJ88" s="410">
        <f>SUMIFS('LAC 102_Wkst'!$Q$7:$Q$2010,'LAC 102_Wkst'!$E$7:$E$2010,$C88,'LAC 102_Wkst'!$G$7:$G$2010,$D88,'LAC 102_Wkst'!$L$7:$L$2010,"08",'LAC 102_Wkst'!$N$7:$N$2010,"P5")</f>
        <v>0</v>
      </c>
      <c r="AK88" s="411">
        <f>SUMIFS('LAC 102_Wkst'!$AE$7:$AE$2010,'LAC 102_Wkst'!$E$7:$E$2010,$C88,'LAC 102_Wkst'!$G$7:$G$2010,$D88,'LAC 102_Wkst'!$L$7:$L$2010,"08",'LAC 102_Wkst'!$N$7:$N$2010,"P5")</f>
        <v>0</v>
      </c>
      <c r="AL88" s="410">
        <f>SUMIFS('LAC 102_Wkst'!$Q$7:$Q$2010,'LAC 102_Wkst'!$E$7:$E$2010,$C88,'LAC 102_Wkst'!$G$7:$G$2010,$D88,'LAC 102_Wkst'!$L$7:$L$2010,"09",'LAC 102_Wkst'!$N$7:$N$2010,"P1")+SUMIFS('LAC 102_Wkst'!$Q$7:$Q$2010,'LAC 102_Wkst'!$E$7:$E$2010,$C88,'LAC 102_Wkst'!$G$7:$G$2010,$D88,'LAC 102_Wkst'!$L$7:$L$2010,"09",'LAC 102_Wkst'!$N$7:$N$2010,"P2")+SUMIFS('LAC 102_Wkst'!$Q$7:$Q$2010,'LAC 102_Wkst'!$E$7:$E$2010,$C88,'LAC 102_Wkst'!$G$7:$G$2010,$D88,'LAC 102_Wkst'!$L$7:$L$2010,"09",'LAC 102_Wkst'!$N$7:$N$2010,"P3")+SUMIFS('LAC 102_Wkst'!$Q$7:$Q$2010,'LAC 102_Wkst'!$E$7:$E$2010,$C88,'LAC 102_Wkst'!$G$7:$G$2010,$D88,'LAC 102_Wkst'!$L$7:$L$2010,"09",'LAC 102_Wkst'!$N$7:$N$2010,"P4")</f>
        <v>0</v>
      </c>
      <c r="AM88" s="411">
        <f>SUMIFS('LAC 102_Wkst'!$AE$7:$AE$2010,'LAC 102_Wkst'!$E$7:$E$2010,$C88,'LAC 102_Wkst'!$G$7:$G$2010,$D88,'LAC 102_Wkst'!$L$7:$L$2010,"09",'LAC 102_Wkst'!$N$7:$N$2010,"P1")+SUMIFS('LAC 102_Wkst'!$AE$7:$AE$2010,'LAC 102_Wkst'!$E$7:$E$2010,$C88,'LAC 102_Wkst'!$G$7:$G$2010,$D88,'LAC 102_Wkst'!$L$7:$L$2010,"09",'LAC 102_Wkst'!$N$7:$N$2010,"P2")+SUMIFS('LAC 102_Wkst'!$AE$7:$AE$2010,'LAC 102_Wkst'!$E$7:$E$2010,$C88,'LAC 102_Wkst'!$G$7:$G$2010,$D88,'LAC 102_Wkst'!$L$7:$L$2010,"09",'LAC 102_Wkst'!$N$7:$N$2010,"P3")+SUMIFS('LAC 102_Wkst'!$AE$7:$AE$2010,'LAC 102_Wkst'!$E$7:$E$2010,$C88,'LAC 102_Wkst'!$G$7:$G$2010,$D88,'LAC 102_Wkst'!$L$7:$L$2010,"09",'LAC 102_Wkst'!$N$7:$N$2010,"P4")</f>
        <v>0</v>
      </c>
      <c r="AN88" s="410">
        <f>SUMIFS('LAC 102_Wkst'!$Q$7:$Q$2010,'LAC 102_Wkst'!$E$7:$E$2010,$C88,'LAC 102_Wkst'!$G$7:$G$2010,$D88,'LAC 102_Wkst'!$L$7:$L$2010,"09",'LAC 102_Wkst'!$N$7:$N$2010,"P5")</f>
        <v>0</v>
      </c>
      <c r="AO88" s="411">
        <f>SUMIFS('LAC 102_Wkst'!$AE$7:$AE$2010,'LAC 102_Wkst'!$E$7:$E$2010,$C88,'LAC 102_Wkst'!$G$7:$G$2010,$D88,'LAC 102_Wkst'!$L$7:$L$2010,"09",'LAC 102_Wkst'!$N$7:$N$2010,"P5")</f>
        <v>0</v>
      </c>
      <c r="AP88" s="410">
        <f>SUMIFS('LAC 102_Wkst'!$Q$7:$Q$2010,'LAC 102_Wkst'!$E$7:$E$2010,$C88,'LAC 102_Wkst'!$G$7:$G$2010,$D88,'LAC 102_Wkst'!$L$7:$L$2010,"10",'LAC 102_Wkst'!$N$7:$N$2010,"P1")+SUMIFS('LAC 102_Wkst'!$Q$7:$Q$2010,'LAC 102_Wkst'!$E$7:$E$2010,$C88,'LAC 102_Wkst'!$G$7:$G$2010,$D88,'LAC 102_Wkst'!$L$7:$L$2010,"10",'LAC 102_Wkst'!$N$7:$N$2010,"P2")+SUMIFS('LAC 102_Wkst'!$Q$7:$Q$2010,'LAC 102_Wkst'!$E$7:$E$2010,$C88,'LAC 102_Wkst'!$G$7:$G$2010,$D88,'LAC 102_Wkst'!$L$7:$L$2010,"10",'LAC 102_Wkst'!$N$7:$N$2010,"P3")+SUMIFS('LAC 102_Wkst'!$Q$7:$Q$2010,'LAC 102_Wkst'!$E$7:$E$2010,$C88,'LAC 102_Wkst'!$G$7:$G$2010,$D88,'LAC 102_Wkst'!$L$7:$L$2010,"10",'LAC 102_Wkst'!$N$7:$N$2010,"P4")</f>
        <v>0</v>
      </c>
      <c r="AQ88" s="411">
        <f>SUMIFS('LAC 102_Wkst'!$AE$7:$AE$2010,'LAC 102_Wkst'!$E$7:$E$2010,$C88,'LAC 102_Wkst'!$G$7:$G$2010,$D88,'LAC 102_Wkst'!$L$7:$L$2010,"10",'LAC 102_Wkst'!$N$7:$N$2010,"P1")+SUMIFS('LAC 102_Wkst'!$AE$7:$AE$2010,'LAC 102_Wkst'!$E$7:$E$2010,$C88,'LAC 102_Wkst'!$G$7:$G$2010,$D88,'LAC 102_Wkst'!$L$7:$L$2010,"10",'LAC 102_Wkst'!$N$7:$N$2010,"P2")+SUMIFS('LAC 102_Wkst'!$AE$7:$AE$2010,'LAC 102_Wkst'!$E$7:$E$2010,$C88,'LAC 102_Wkst'!$G$7:$G$2010,$D88,'LAC 102_Wkst'!$L$7:$L$2010,"10",'LAC 102_Wkst'!$N$7:$N$2010,"P3")+SUMIFS('LAC 102_Wkst'!$AE$7:$AE$2010,'LAC 102_Wkst'!$E$7:$E$2010,$C88,'LAC 102_Wkst'!$G$7:$G$2010,$D88,'LAC 102_Wkst'!$L$7:$L$2010,"10",'LAC 102_Wkst'!$N$7:$N$2010,"P4")</f>
        <v>0</v>
      </c>
      <c r="AR88" s="410">
        <f>SUMIFS('LAC 102_Wkst'!$Q$7:$Q$2010,'LAC 102_Wkst'!$E$7:$E$2010,$C88,'LAC 102_Wkst'!$G$7:$G$2010,$D88,'LAC 102_Wkst'!$L$7:$L$2010,"10",'LAC 102_Wkst'!$N$7:$N$2010,"P5")</f>
        <v>0</v>
      </c>
      <c r="AS88" s="411">
        <f>SUMIFS('LAC 102_Wkst'!$AE$7:$AE$2010,'LAC 102_Wkst'!$E$7:$E$2010,$C88,'LAC 102_Wkst'!$G$7:$G$2010,$D88,'LAC 102_Wkst'!$L$7:$L$2010,"10",'LAC 102_Wkst'!$N$7:$N$2010,"P5")</f>
        <v>0</v>
      </c>
      <c r="AT88" s="410">
        <f>SUMIFS('LAC 102_Wkst'!$Q$7:$Q$2010,'LAC 102_Wkst'!$E$7:$E$2010,$C88,'LAC 102_Wkst'!$G$7:$G$2010,$D88,'LAC 102_Wkst'!$L$7:$L$2010,"11",'LAC 102_Wkst'!$N$7:$N$2010,"P1")+SUMIFS('LAC 102_Wkst'!$Q$7:$Q$2010,'LAC 102_Wkst'!$E$7:$E$2010,$C88,'LAC 102_Wkst'!$G$7:$G$2010,$D88,'LAC 102_Wkst'!$L$7:$L$2010,"12",'LAC 102_Wkst'!$N$7:$N$2010,"P1")</f>
        <v>0</v>
      </c>
      <c r="AU88" s="411">
        <f>SUMIFS('LAC 102_Wkst'!$AE$7:$AE$2010,'LAC 102_Wkst'!$E$7:$E$2010,$C88,'LAC 102_Wkst'!$G$7:$G$2010,$D88,'LAC 102_Wkst'!$L$7:$L$2010,"11",'LAC 102_Wkst'!$N$7:$N$2010,"P1")+SUMIFS('LAC 102_Wkst'!$AE$7:$AE$2010,'LAC 102_Wkst'!$E$7:$E$2010,$C88,'LAC 102_Wkst'!$G$7:$G$2010,$D88,'LAC 102_Wkst'!$L$7:$L$2010,"12",'LAC 102_Wkst'!$N$7:$N$2010,"P1")</f>
        <v>0</v>
      </c>
      <c r="AV88" s="410">
        <f>SUMIFS('LAC 102_Wkst'!$Q$7:$Q$2010,'LAC 102_Wkst'!$E$7:$E$2010,$C88,'LAC 102_Wkst'!$G$7:$G$2010,$D88,'LAC 102_Wkst'!$L$7:$L$2010,"11",'LAC 102_Wkst'!$N$7:$N$2010,"P2")+SUMIFS('LAC 102_Wkst'!$Q$7:$Q$2010,'LAC 102_Wkst'!$E$7:$E$2010,$C88,'LAC 102_Wkst'!$G$7:$G$2010,$D88,'LAC 102_Wkst'!$L$7:$L$2010,"12",'LAC 102_Wkst'!$N$7:$N$2010,"P3")+SUMIFS('LAC 102_Wkst'!$Q$7:$Q$2010,'LAC 102_Wkst'!$E$7:$E$2010,$C88,'LAC 102_Wkst'!$G$7:$G$2010,$D88,'LAC 102_Wkst'!$L$7:$L$2010,"11",'LAC 102_Wkst'!$N$7:$N$2010,"P2")+SUMIFS('LAC 102_Wkst'!$Q$7:$Q$2010,'LAC 102_Wkst'!$E$7:$E$2010,$C88,'LAC 102_Wkst'!$G$7:$G$2010,$D88,'LAC 102_Wkst'!$L$7:$L$2010,"12",'LAC 102_Wkst'!$N$7:$N$2010,"P3")</f>
        <v>0</v>
      </c>
      <c r="AW88" s="411">
        <f>SUMIFS('LAC 102_Wkst'!$AE$7:$AE$2010,'LAC 102_Wkst'!$E$7:$E$2010,$C88,'LAC 102_Wkst'!$G$7:$G$2010,$D88,'LAC 102_Wkst'!$L$7:$L$2010,"11",'LAC 102_Wkst'!$N$7:$N$2010,"P2")+SUMIFS('LAC 102_Wkst'!$AE$7:$AE$2010,'LAC 102_Wkst'!$E$7:$E$2010,$C88,'LAC 102_Wkst'!$G$7:$G$2010,$D88,'LAC 102_Wkst'!$L$7:$L$2010,"12",'LAC 102_Wkst'!$N$7:$N$2010,"P3")+SUMIFS('LAC 102_Wkst'!$AE$7:$AE$2010,'LAC 102_Wkst'!$E$7:$E$2010,$C88,'LAC 102_Wkst'!$G$7:$G$2010,$D88,'LAC 102_Wkst'!$L$7:$L$2010,"11",'LAC 102_Wkst'!$N$7:$N$2010,"P2")+SUMIFS('LAC 102_Wkst'!$AE$7:$AE$2010,'LAC 102_Wkst'!$E$7:$E$2010,$C88,'LAC 102_Wkst'!$G$7:$G$2010,$D88,'LAC 102_Wkst'!$L$7:$L$2010,"12",'LAC 102_Wkst'!$N$7:$N$2010,"P3")</f>
        <v>0</v>
      </c>
      <c r="AX88" s="410">
        <f>SUMIFS('LAC 102_Wkst'!$Q$7:$Q$2010,'LAC 102_Wkst'!$E$7:$E$2010,$C88,'LAC 102_Wkst'!$G$7:$G$2010,$D88,'LAC 102_Wkst'!$L$7:$L$2010,"11",'LAC 102_Wkst'!$N$7:$N$2010,"P4")+SUMIFS('LAC 102_Wkst'!$Q$7:$Q$2010,'LAC 102_Wkst'!$E$7:$E$2010,$C88,'LAC 102_Wkst'!$G$7:$G$2010,$D88,'LAC 102_Wkst'!$L$7:$L$2010,"12",'LAC 102_Wkst'!$N$7:$N$2010,"P4")</f>
        <v>0</v>
      </c>
      <c r="AY88" s="411">
        <f>SUMIFS('LAC 102_Wkst'!$AE$7:$AE$2010,'LAC 102_Wkst'!$E$7:$E$2010,$C88,'LAC 102_Wkst'!$G$7:$G$2010,$D88,'LAC 102_Wkst'!$L$7:$L$2010,"11",'LAC 102_Wkst'!$N$7:$N$2010,"P4")+SUMIFS('LAC 102_Wkst'!$AE$7:$AE$2010,'LAC 102_Wkst'!$E$7:$E$2010,$C88,'LAC 102_Wkst'!$G$7:$G$2010,$D88,'LAC 102_Wkst'!$L$7:$L$2010,"12",'LAC 102_Wkst'!$N$7:$N$2010,"P4")</f>
        <v>0</v>
      </c>
      <c r="AZ88" s="410">
        <f>SUMIFS('LAC 102_Wkst'!$Q$7:$Q$2010,'LAC 102_Wkst'!$E$7:$E$2010,$C88,'LAC 102_Wkst'!$G$7:$G$2010,$D88,'LAC 102_Wkst'!$L$7:$L$2010,"11",'LAC 102_Wkst'!$N$7:$N$2010,"P5")+SUMIFS('LAC 102_Wkst'!$Q$7:$Q$2010,'LAC 102_Wkst'!$E$7:$E$2010,$C88,'LAC 102_Wkst'!$G$7:$G$2010,$D88,'LAC 102_Wkst'!$L$7:$L$2010,"12",'LAC 102_Wkst'!$N$7:$N$2010,"P5")</f>
        <v>0</v>
      </c>
      <c r="BA88" s="411">
        <f>SUMIFS('LAC 102_Wkst'!$AE$7:$AE$2010,'LAC 102_Wkst'!$E$7:$E$2010,$C88,'LAC 102_Wkst'!$G$7:$G$2010,$D88,'LAC 102_Wkst'!$L$7:$L$2010,"11",'LAC 102_Wkst'!$N$7:$N$2010,"P5")+SUMIFS('LAC 102_Wkst'!$AE$7:$AE$2010,'LAC 102_Wkst'!$E$7:$E$2010,$C88,'LAC 102_Wkst'!$G$7:$G$2010,$D88,'LAC 102_Wkst'!$L$7:$L$2010,"12",'LAC 102_Wkst'!$N$7:$N$2010,"P5")</f>
        <v>0</v>
      </c>
      <c r="BB88" s="410">
        <f>SUMIFS('LAC 102_Wkst'!$Q$7:$Q$2010,'LAC 102_Wkst'!$E$7:$E$2010,$C88,'LAC 102_Wkst'!$G$7:$G$2010,$D88,'LAC 102_Wkst'!$L$7:$L$2010,"13",'LAC 102_Wkst'!$N$7:$N$2010,"P1")+SUMIFS('LAC 102_Wkst'!$Q$7:$Q$2010,'LAC 102_Wkst'!$E$7:$E$2010,$C88,'LAC 102_Wkst'!$G$7:$G$2010,$D88,'LAC 102_Wkst'!$L$7:$L$2010,"13",'LAC 102_Wkst'!$N$7:$N$2010,"P2")+SUMIFS('LAC 102_Wkst'!$Q$7:$Q$2010,'LAC 102_Wkst'!$E$7:$E$2010,$C88,'LAC 102_Wkst'!$G$7:$G$2010,$D88,'LAC 102_Wkst'!$L$7:$L$2010,"13",'LAC 102_Wkst'!$N$7:$N$2010,"P3")+SUMIFS('LAC 102_Wkst'!$Q$7:$Q$2010,'LAC 102_Wkst'!$E$7:$E$2010,$C88,'LAC 102_Wkst'!$G$7:$G$2010,$D88,'LAC 102_Wkst'!$L$7:$L$2010,"13",'LAC 102_Wkst'!$N$7:$N$2010,"P4")</f>
        <v>0</v>
      </c>
      <c r="BC88" s="411">
        <f>SUMIFS('LAC 102_Wkst'!$AE$7:$AE$2010,'LAC 102_Wkst'!$E$7:$E$2010,$C88,'LAC 102_Wkst'!$G$7:$G$2010,$D88,'LAC 102_Wkst'!$L$7:$L$2010,"13",'LAC 102_Wkst'!$N$7:$N$2010,"P1")+SUMIFS('LAC 102_Wkst'!$AE$7:$AE$2010,'LAC 102_Wkst'!$E$7:$E$2010,$C88,'LAC 102_Wkst'!$G$7:$G$2010,$D88,'LAC 102_Wkst'!$L$7:$L$2010,"13",'LAC 102_Wkst'!$N$7:$N$2010,"P2")+SUMIFS('LAC 102_Wkst'!$AE$7:$AE$2010,'LAC 102_Wkst'!$E$7:$E$2010,$C88,'LAC 102_Wkst'!$G$7:$G$2010,$D88,'LAC 102_Wkst'!$L$7:$L$2010,"13",'LAC 102_Wkst'!$N$7:$N$2010,"P3")+SUMIFS('LAC 102_Wkst'!$AE$7:$AE$2010,'LAC 102_Wkst'!$E$7:$E$2010,$C88,'LAC 102_Wkst'!$G$7:$G$2010,$D88,'LAC 102_Wkst'!$L$7:$L$2010,"13",'LAC 102_Wkst'!$N$7:$N$2010,"P4")</f>
        <v>0</v>
      </c>
      <c r="BD88" s="410">
        <f>SUMIFS('LAC 102_Wkst'!$Q$7:$Q$2010,'LAC 102_Wkst'!$E$7:$E$2010,$C88,'LAC 102_Wkst'!$G$7:$G$2010,$D88,'LAC 102_Wkst'!$L$7:$L$2010,"13",'LAC 102_Wkst'!$N$7:$N$2010,"P5")</f>
        <v>0</v>
      </c>
      <c r="BE88" s="411">
        <f>SUMIFS('LAC 102_Wkst'!$AE$7:$AE$2010,'LAC 102_Wkst'!$E$7:$E$2010,$C88,'LAC 102_Wkst'!$G$7:$G$2010,$D88,'LAC 102_Wkst'!$L$7:$L$2010,"13",'LAC 102_Wkst'!$N$7:$N$2010,"P5")</f>
        <v>0</v>
      </c>
      <c r="BF88" s="407">
        <f t="shared" si="1"/>
        <v>0</v>
      </c>
    </row>
    <row r="89" spans="1:58" x14ac:dyDescent="0.2">
      <c r="A89" s="401">
        <v>70</v>
      </c>
      <c r="B89" s="1236"/>
      <c r="C89" s="1235"/>
      <c r="D89" s="1237"/>
      <c r="E89" s="1222">
        <f>IF(CONCATENATE(C89,D89)&gt;"6069",1,SUMIFS('LAC 102_Wkst'!$Q$7:$Q$2010,'LAC 102_Wkst'!$E$7:$E$2010,Schedule_B!$C89,'LAC 102_Wkst'!$G$7:$G$2010,Schedule_B!$D89))</f>
        <v>0</v>
      </c>
      <c r="F89" s="408">
        <f>SUMIFS('LAC 102_Wkst'!$Q$7:$Q$2010,'LAC 102_Wkst'!$E$7:$E$2010,$C89,'LAC 102_Wkst'!$G$7:$G$2010,$D89,'LAC 102_Wkst'!$L$7:$L$2010,"01",'LAC 102_Wkst'!$N$7:$N$2010,"P1")+SUMIFS('LAC 102_Wkst'!$Q$7:$Q$2010,'LAC 102_Wkst'!$E$7:$E$2010,$C89,'LAC 102_Wkst'!$G$7:$G$2010,$D89,'LAC 102_Wkst'!$L$7:$L$2010,"01",'LAC 102_Wkst'!$N$7:$N$2010,"P2")+SUMIFS('LAC 102_Wkst'!$Q$7:$Q$2010,'LAC 102_Wkst'!$E$7:$E$2010,$C89,'LAC 102_Wkst'!$G$7:$G$2010,$D89,'LAC 102_Wkst'!$L$7:$L$2010,"01",'LAC 102_Wkst'!$N$7:$N$2010,"P3")+SUMIFS('LAC 102_Wkst'!$Q$7:$Q$2010,'LAC 102_Wkst'!$E$7:$E$2010,$C89,'LAC 102_Wkst'!$G$7:$G$2010,$D89,'LAC 102_Wkst'!$L$7:$L$2010,"02",'LAC 102_Wkst'!$N$7:$N$2010,"P1")+SUMIFS('LAC 102_Wkst'!$Q$7:$Q$2010,'LAC 102_Wkst'!$E$7:$E$2010,$C89,'LAC 102_Wkst'!$G$7:$G$2010,$D89,'LAC 102_Wkst'!$L$7:$L$2010,"02",'LAC 102_Wkst'!$N$7:$N$2010,"P2")+SUMIFS('LAC 102_Wkst'!$Q$7:$Q$2010,'LAC 102_Wkst'!$E$7:$E$2010,$C89,'LAC 102_Wkst'!$G$7:$G$2010,$D89,'LAC 102_Wkst'!$L$7:$L$2010,"02",'LAC 102_Wkst'!$N$7:$N$2010,"P3")</f>
        <v>0</v>
      </c>
      <c r="G89" s="409">
        <f>SUMIFS('LAC 102_Wkst'!$AE$7:$AE$2010,'LAC 102_Wkst'!$E$7:$E$2010,$C89,'LAC 102_Wkst'!$G$7:$G$2010,$D89,'LAC 102_Wkst'!$L$7:$L$2010,"01",'LAC 102_Wkst'!$N$7:$N$2010,"P1")+SUMIFS('LAC 102_Wkst'!$AE$7:$AE$2010,'LAC 102_Wkst'!$E$7:$E$2010,$C89,'LAC 102_Wkst'!$G$7:$G$2010,$D89,'LAC 102_Wkst'!$L$7:$L$2010,"01",'LAC 102_Wkst'!$N$7:$N$2010,"P2")+SUMIFS('LAC 102_Wkst'!$AE$7:$AE$2010,'LAC 102_Wkst'!$E$7:$E$2010,$C89,'LAC 102_Wkst'!$G$7:$G$2010,$D89,'LAC 102_Wkst'!$L$7:$L$2010,"01",'LAC 102_Wkst'!$N$7:$N$2010,"P3")+SUMIFS('LAC 102_Wkst'!$AE$7:$AE$2010,'LAC 102_Wkst'!$E$7:$E$2010,$C89,'LAC 102_Wkst'!$G$7:$G$2010,$D89,'LAC 102_Wkst'!$L$7:$L$2010,"02",'LAC 102_Wkst'!$N$7:$N$2010,"P1")+SUMIFS('LAC 102_Wkst'!$AE$7:$AE$2010,'LAC 102_Wkst'!$E$7:$E$2010,$C89,'LAC 102_Wkst'!$G$7:$G$2010,$D89,'LAC 102_Wkst'!$L$7:$L$2010,"02",'LAC 102_Wkst'!$N$7:$N$2010,"P2")+SUMIFS('LAC 102_Wkst'!$AE$7:$AE$2010,'LAC 102_Wkst'!$E$7:$E$2010,$C89,'LAC 102_Wkst'!$G$7:$G$2010,$D89,'LAC 102_Wkst'!$L$7:$L$2010,"02",'LAC 102_Wkst'!$N$7:$N$2010,"P3")</f>
        <v>0</v>
      </c>
      <c r="H89" s="410">
        <f>SUMIFS('LAC 102_Wkst'!$Q$7:$Q$2010,'LAC 102_Wkst'!$E$7:$E$2010,$C89,'LAC 102_Wkst'!$G$7:$G$2010,$D89,'LAC 102_Wkst'!$L$7:$L$2010,"01",'LAC 102_Wkst'!$N$7:$N$2010,"P4")+SUMIFS('LAC 102_Wkst'!$Q$7:$Q$2010,'LAC 102_Wkst'!$E$7:$E$2010,$C89,'LAC 102_Wkst'!$G$7:$G$2010,$D89,'LAC 102_Wkst'!$L$7:$L$2010,"02",'LAC 102_Wkst'!$N$7:$N$2010,"P4")</f>
        <v>0</v>
      </c>
      <c r="I89" s="411">
        <f>SUMIFS('LAC 102_Wkst'!$AE$7:$AE$2010,'LAC 102_Wkst'!$E$7:$E$2010,$C89,'LAC 102_Wkst'!$G$7:$G$2010,$D89,'LAC 102_Wkst'!$L$7:$L$2010,"01",'LAC 102_Wkst'!$N$7:$N$2010,"P4")+SUMIFS('LAC 102_Wkst'!$AE$7:$AE$2010,'LAC 102_Wkst'!$E$7:$E$2010,$C89,'LAC 102_Wkst'!$G$7:$G$2010,$D89,'LAC 102_Wkst'!$L$7:$L$2010,"02",'LAC 102_Wkst'!$N$7:$N$2010,"P4")</f>
        <v>0</v>
      </c>
      <c r="J89" s="410">
        <f>SUMIFS('LAC 102_Wkst'!$Q$7:$Q$2010,'LAC 102_Wkst'!$E$7:$E$2010,$C89,'LAC 102_Wkst'!$G$7:$G$2010,$D89,'LAC 102_Wkst'!$L$7:$L$2010,"01",'LAC 102_Wkst'!$N$7:$N$2010,"P5")+SUMIFS('LAC 102_Wkst'!$Q$7:$Q$2010,'LAC 102_Wkst'!$E$7:$E$2010,$C89,'LAC 102_Wkst'!$G$7:$G$2010,$D89,'LAC 102_Wkst'!$L$7:$L$2010,"02",'LAC 102_Wkst'!$N$7:$N$2010,"P5")</f>
        <v>0</v>
      </c>
      <c r="K89" s="411">
        <f>SUMIFS('LAC 102_Wkst'!$AE$7:$AE$2010,'LAC 102_Wkst'!$E$7:$E$2010,$C89,'LAC 102_Wkst'!$G$7:$G$2010,$D89,'LAC 102_Wkst'!$L$7:$L$2010,"01",'LAC 102_Wkst'!$N$7:$N$2010,"P5")+SUMIFS('LAC 102_Wkst'!$AE$7:$AE$2010,'LAC 102_Wkst'!$E$7:$E$2010,$C89,'LAC 102_Wkst'!$G$7:$G$2010,$D89,'LAC 102_Wkst'!$L$7:$L$2010,"02",'LAC 102_Wkst'!$N$7:$N$2010,"P5")</f>
        <v>0</v>
      </c>
      <c r="L89" s="410">
        <f>SUMIFS('LAC 102_Wkst'!$Q$7:$Q$2010,'LAC 102_Wkst'!$E$7:$E$2010,$C89,'LAC 102_Wkst'!$G$7:$G$2010,$D89,'LAC 102_Wkst'!$L$7:$L$2010,"03",'LAC 102_Wkst'!$N$7:$N$2010,"P1")+SUMIFS('LAC 102_Wkst'!$Q$7:$Q$2010,'LAC 102_Wkst'!$E$7:$E$2010,$C89,'LAC 102_Wkst'!$G$7:$G$2010,$D89,'LAC 102_Wkst'!$L$7:$L$2010,"03",'LAC 102_Wkst'!$N$7:$N$2010,"P2")+SUMIFS('LAC 102_Wkst'!$Q$7:$Q$2010,'LAC 102_Wkst'!$E$7:$E$2010,$C89,'LAC 102_Wkst'!$G$7:$G$2010,$D89,'LAC 102_Wkst'!$L$7:$L$2010,"03",'LAC 102_Wkst'!$N$7:$N$2010,"P3")+SUMIFS('LAC 102_Wkst'!$Q$7:$Q$2010,'LAC 102_Wkst'!$E$7:$E$2010,$C89,'LAC 102_Wkst'!$G$7:$G$2010,$D89,'LAC 102_Wkst'!$L$7:$L$2010,"04",'LAC 102_Wkst'!$N$7:$N$2010,"P1")+SUMIFS('LAC 102_Wkst'!$Q$7:$Q$2010,'LAC 102_Wkst'!$E$7:$E$2010,$C89,'LAC 102_Wkst'!$G$7:$G$2010,$D89,'LAC 102_Wkst'!$L$7:$L$2010,"04",'LAC 102_Wkst'!$N$7:$N$2010,"P2")+SUMIFS('LAC 102_Wkst'!$Q$7:$Q$2010,'LAC 102_Wkst'!$E$7:$E$2010,$C89,'LAC 102_Wkst'!$G$7:$G$2010,$D89,'LAC 102_Wkst'!$L$7:$L$2010,"04",'LAC 102_Wkst'!$N$7:$N$2010,"P3")</f>
        <v>0</v>
      </c>
      <c r="M89" s="411">
        <f>SUMIFS('LAC 102_Wkst'!$AE$7:$AE$2010,'LAC 102_Wkst'!$E$7:$E$2010,$C89,'LAC 102_Wkst'!$G$7:$G$2010,$D89,'LAC 102_Wkst'!$L$7:$L$2010,"03",'LAC 102_Wkst'!$N$7:$N$2010,"P1")+SUMIFS('LAC 102_Wkst'!$AE$7:$AE$2010,'LAC 102_Wkst'!$E$7:$E$2010,$C89,'LAC 102_Wkst'!$G$7:$G$2010,$D89,'LAC 102_Wkst'!$L$7:$L$2010,"03",'LAC 102_Wkst'!$N$7:$N$2010,"P2")+SUMIFS('LAC 102_Wkst'!$AE$7:$AE$2010,'LAC 102_Wkst'!$E$7:$E$2010,$C89,'LAC 102_Wkst'!$G$7:$G$2010,$D89,'LAC 102_Wkst'!$L$7:$L$2010,"03",'LAC 102_Wkst'!$N$7:$N$2010,"P3")+SUMIFS('LAC 102_Wkst'!$AE$7:$AE$2010,'LAC 102_Wkst'!$E$7:$E$2010,$C89,'LAC 102_Wkst'!$G$7:$G$2010,$D89,'LAC 102_Wkst'!$L$7:$L$2010,"04",'LAC 102_Wkst'!$N$7:$N$2010,"P1")+SUMIFS('LAC 102_Wkst'!$AE$7:$AE$2010,'LAC 102_Wkst'!$E$7:$E$2010,$C89,'LAC 102_Wkst'!$G$7:$G$2010,$D89,'LAC 102_Wkst'!$L$7:$L$2010,"04",'LAC 102_Wkst'!$N$7:$N$2010,"P2")+SUMIFS('LAC 102_Wkst'!$AE$7:$AE$2010,'LAC 102_Wkst'!$E$7:$E$2010,$C89,'LAC 102_Wkst'!$G$7:$G$2010,$D89,'LAC 102_Wkst'!$L$7:$L$2010,"04",'LAC 102_Wkst'!$N$7:$N$2010,"P3")</f>
        <v>0</v>
      </c>
      <c r="N89" s="410">
        <f>SUMIFS('LAC 102_Wkst'!$Q$7:$Q$2010,'LAC 102_Wkst'!$E$7:$E$2010,$C89,'LAC 102_Wkst'!$G$7:$G$2010,$D89,'LAC 102_Wkst'!$L$7:$L$2010,"03",'LAC 102_Wkst'!$N$7:$N$2010,"P4")+SUMIFS('LAC 102_Wkst'!$Q$7:$Q$2010,'LAC 102_Wkst'!$E$7:$E$2010,$C89,'LAC 102_Wkst'!$G$7:$G$2010,$D89,'LAC 102_Wkst'!$L$7:$L$2010,"04",'LAC 102_Wkst'!$N$7:$N$2010,"P4")</f>
        <v>0</v>
      </c>
      <c r="O89" s="411">
        <f>SUMIFS('LAC 102_Wkst'!$AE$7:$AE$2010,'LAC 102_Wkst'!$E$7:$E$2010,$C89,'LAC 102_Wkst'!$G$7:$G$2010,$D89,'LAC 102_Wkst'!$L$7:$L$2010,"03",'LAC 102_Wkst'!$N$7:$N$2010,"P4")+SUMIFS('LAC 102_Wkst'!$AE$7:$AE$2010,'LAC 102_Wkst'!$E$7:$E$2010,$C89,'LAC 102_Wkst'!$G$7:$G$2010,$D89,'LAC 102_Wkst'!$L$7:$L$2010,"04",'LAC 102_Wkst'!$N$7:$N$2010,"P4")</f>
        <v>0</v>
      </c>
      <c r="P89" s="410">
        <f>SUMIFS('LAC 102_Wkst'!$Q$7:$Q$2010,'LAC 102_Wkst'!$E$7:$E$2010,$C89,'LAC 102_Wkst'!$G$7:$G$2010,$D89,'LAC 102_Wkst'!$L$7:$L$2010,"03",'LAC 102_Wkst'!$N$7:$N$2010,"P5")+SUMIFS('LAC 102_Wkst'!$Q$7:$Q$2010,'LAC 102_Wkst'!$E$7:$E$2010,$C89,'LAC 102_Wkst'!$G$7:$G$2010,$D89,'LAC 102_Wkst'!$L$7:$L$2010,"04",'LAC 102_Wkst'!$N$7:$N$2010,"P5")</f>
        <v>0</v>
      </c>
      <c r="Q89" s="411">
        <f>SUMIFS('LAC 102_Wkst'!$AE$7:$AE$2010,'LAC 102_Wkst'!$E$7:$E$2010,$C89,'LAC 102_Wkst'!$G$7:$G$2010,$D89,'LAC 102_Wkst'!$L$7:$L$2010,"03",'LAC 102_Wkst'!$N$7:$N$2010,"P5")+SUMIFS('LAC 102_Wkst'!$AE$7:$AE$2010,'LAC 102_Wkst'!$E$7:$E$2010,$C89,'LAC 102_Wkst'!$G$7:$G$2010,$D89,'LAC 102_Wkst'!$L$7:$L$2010,"04",'LAC 102_Wkst'!$N$7:$N$2010,"P5")</f>
        <v>0</v>
      </c>
      <c r="R89" s="412">
        <f>SUMIFS('LAC 102_Wkst'!$Q$7:$Q$2010,'LAC 102_Wkst'!$E$7:$E$2010,$C89,'LAC 102_Wkst'!$G$7:$G$2010,$D89,'LAC 102_Wkst'!$L$7:$L$2010,"05",'LAC 102_Wkst'!$N$7:$N$2010,"P1")+SUMIFS('LAC 102_Wkst'!$Q$7:$Q$2010,'LAC 102_Wkst'!$E$7:$E$2010,$C89,'LAC 102_Wkst'!$G$7:$G$2010,$D89,'LAC 102_Wkst'!$L$7:$L$2010,"06",'LAC 102_Wkst'!$N$7:$N$2010,"P1")</f>
        <v>0</v>
      </c>
      <c r="S89" s="411">
        <f>SUMIFS('LAC 102_Wkst'!$AE$7:$AE$2010,'LAC 102_Wkst'!$E$7:$E$2010,$C89,'LAC 102_Wkst'!$G$7:$G$2010,$D89,'LAC 102_Wkst'!$L$7:$L$2010,"05",'LAC 102_Wkst'!$N$7:$N$2010,"P1")+SUMIFS('LAC 102_Wkst'!$AE$7:$AE$2010,'LAC 102_Wkst'!$E$7:$E$2010,$C89,'LAC 102_Wkst'!$G$7:$G$2010,$D89,'LAC 102_Wkst'!$L$7:$L$2010,"06",'LAC 102_Wkst'!$N$7:$N$2010,"P1")</f>
        <v>0</v>
      </c>
      <c r="T89" s="410">
        <f>SUMIFS('LAC 102_Wkst'!$Q$7:$Q$2010,'LAC 102_Wkst'!$E$7:$E$2010,$C89,'LAC 102_Wkst'!$G$7:$G$2010,$D89,'LAC 102_Wkst'!$L$7:$L$2010,"05",'LAC 102_Wkst'!$N$7:$N$2010,"P2")+SUMIFS('LAC 102_Wkst'!$Q$7:$Q$2010,'LAC 102_Wkst'!$E$7:$E$2010,$C89,'LAC 102_Wkst'!$G$7:$G$2010,$D89,'LAC 102_Wkst'!$L$7:$L$2010,"05",'LAC 102_Wkst'!$N$7:$N$2010,"P3")+SUMIFS('LAC 102_Wkst'!$Q$7:$Q$2010,'LAC 102_Wkst'!$E$7:$E$2010,$C89,'LAC 102_Wkst'!$G$7:$G$2010,$D89,'LAC 102_Wkst'!$L$7:$L$2010,"06",'LAC 102_Wkst'!$N$7:$N$2010,"P2")+SUMIFS('LAC 102_Wkst'!$Q$7:$Q$2010,'LAC 102_Wkst'!$E$7:$E$2010,$C89,'LAC 102_Wkst'!$G$7:$G$2010,$D89,'LAC 102_Wkst'!$L$7:$L$2010,"06",'LAC 102_Wkst'!$N$7:$N$2010,"P3")</f>
        <v>0</v>
      </c>
      <c r="U89" s="411">
        <f>SUMIFS('LAC 102_Wkst'!$AE$7:$AE$2010,'LAC 102_Wkst'!$E$7:$E$2010,$C89,'LAC 102_Wkst'!$G$7:$G$2010,$D89,'LAC 102_Wkst'!$L$7:$L$2010,"05",'LAC 102_Wkst'!$N$7:$N$2010,"P2")+SUMIFS('LAC 102_Wkst'!$AE$7:$AE$2010,'LAC 102_Wkst'!$E$7:$E$2010,$C89,'LAC 102_Wkst'!$G$7:$G$2010,$D89,'LAC 102_Wkst'!$L$7:$L$2010,"06",'LAC 102_Wkst'!$N$7:$N$2010,"P3")+SUMIFS('LAC 102_Wkst'!$AE$7:$AE$2010,'LAC 102_Wkst'!$E$7:$E$2010,$C89,'LAC 102_Wkst'!$G$7:$G$2010,$D89,'LAC 102_Wkst'!$L$7:$L$2010,"05",'LAC 102_Wkst'!$N$7:$N$2010,"P2")+SUMIFS('LAC 102_Wkst'!$AE$7:$AE$2010,'LAC 102_Wkst'!$E$7:$E$2010,$C89,'LAC 102_Wkst'!$G$7:$G$2010,$D89,'LAC 102_Wkst'!$L$7:$L$2010,"06",'LAC 102_Wkst'!$N$7:$N$2010,"P3")</f>
        <v>0</v>
      </c>
      <c r="V89" s="410">
        <f>SUMIFS('LAC 102_Wkst'!$Q$7:$Q$2010,'LAC 102_Wkst'!$E$7:$E$2010,$C89,'LAC 102_Wkst'!$G$7:$G$2010,$D89,'LAC 102_Wkst'!$L$7:$L$2010,"05",'LAC 102_Wkst'!$N$7:$N$2010,"P4")+SUMIFS('LAC 102_Wkst'!$Q$7:$Q$2010,'LAC 102_Wkst'!$E$7:$E$2010,$C89,'LAC 102_Wkst'!$G$7:$G$2010,$D89,'LAC 102_Wkst'!$L$7:$L$2010,"06",'LAC 102_Wkst'!$N$7:$N$2010,"P4")</f>
        <v>0</v>
      </c>
      <c r="W89" s="411">
        <f>SUMIFS('LAC 102_Wkst'!$AE$7:$AE$2010,'LAC 102_Wkst'!$E$7:$E$2010,$C89,'LAC 102_Wkst'!$G$7:$G$2010,$D89,'LAC 102_Wkst'!$L$7:$L$2010,"05",'LAC 102_Wkst'!$N$7:$N$2010,"P4")+SUMIFS('LAC 102_Wkst'!$AE$7:$AE$2010,'LAC 102_Wkst'!$E$7:$E$2010,$C89,'LAC 102_Wkst'!$G$7:$G$2010,$D89,'LAC 102_Wkst'!$L$7:$L$2010,"06",'LAC 102_Wkst'!$N$7:$N$2010,"P4")</f>
        <v>0</v>
      </c>
      <c r="X89" s="410">
        <f>SUMIFS('LAC 102_Wkst'!$Q$7:$Q$2010,'LAC 102_Wkst'!$E$7:$E$2010,$C89,'LAC 102_Wkst'!$G$7:$G$2010,$D89,'LAC 102_Wkst'!$L$7:$L$2010,"05",'LAC 102_Wkst'!$N$7:$N$2010,"P5")+SUMIFS('LAC 102_Wkst'!$Q$7:$Q$2010,'LAC 102_Wkst'!$E$7:$E$2010,$C89,'LAC 102_Wkst'!$G$7:$G$2010,$D89,'LAC 102_Wkst'!$L$7:$L$2010,"06",'LAC 102_Wkst'!$N$7:$N$2010,"P5")</f>
        <v>0</v>
      </c>
      <c r="Y89" s="411">
        <f>SUMIFS('LAC 102_Wkst'!$AE$7:$AE$2010,'LAC 102_Wkst'!$E$7:$E$2010,$C89,'LAC 102_Wkst'!$G$7:$G$2010,$D89,'LAC 102_Wkst'!$L$7:$L$2010,"05",'LAC 102_Wkst'!$N$7:$N$2010,"P5")+SUMIFS('LAC 102_Wkst'!$AE$7:$AE$2010,'LAC 102_Wkst'!$E$7:$E$2010,$C89,'LAC 102_Wkst'!$G$7:$G$2010,$D89,'LAC 102_Wkst'!$L$7:$L$2010,"06",'LAC 102_Wkst'!$N$7:$N$2010,"P5")</f>
        <v>0</v>
      </c>
      <c r="Z89" s="410">
        <f>SUMIFS('LAC 102_Wkst'!$Q$7:$Q$2010,'LAC 102_Wkst'!$E$7:$E$2010,$C89,'LAC 102_Wkst'!$G$7:$G$2010,$D89,'LAC 102_Wkst'!$L$7:$L$2010,"07",'LAC 102_Wkst'!$N$7:$N$2010,"P1")+SUMIFS('LAC 102_Wkst'!$Q$7:$Q$2010,'LAC 102_Wkst'!$E$7:$E$2010,$C89,'LAC 102_Wkst'!$G$7:$G$2010,$D89,'LAC 102_Wkst'!$L$7:$L$2010,"07",'LAC 102_Wkst'!$N$7:$N$2010,"P2")+SUMIFS('LAC 102_Wkst'!$Q$7:$Q$2010,'LAC 102_Wkst'!$E$7:$E$2010,$C89,'LAC 102_Wkst'!$G$7:$G$2010,$D89,'LAC 102_Wkst'!$L$7:$L$2010,"07",'LAC 102_Wkst'!$N$7:$N$2010,"P3")</f>
        <v>0</v>
      </c>
      <c r="AA89" s="411">
        <f>SUMIFS('LAC 102_Wkst'!$AE$7:$AE$2010,'LAC 102_Wkst'!$E$7:$E$2010,$C89,'LAC 102_Wkst'!$G$7:$G$2010,$D89,'LAC 102_Wkst'!$L$7:$L$2010,"07",'LAC 102_Wkst'!$N$7:$N$2010,"P1")+SUMIFS('LAC 102_Wkst'!$AE$7:$AE$2010,'LAC 102_Wkst'!$E$7:$E$2010,$C89,'LAC 102_Wkst'!$G$7:$G$2010,$D89,'LAC 102_Wkst'!$L$7:$L$2010,"07",'LAC 102_Wkst'!$N$7:$N$2010,"P2")+SUMIFS('LAC 102_Wkst'!$AE$7:$AE$2010,'LAC 102_Wkst'!$E$7:$E$2010,$C89,'LAC 102_Wkst'!$G$7:$G$2010,$D89,'LAC 102_Wkst'!$L$7:$L$2010,"07",'LAC 102_Wkst'!$N$7:$N$2010,"P3")</f>
        <v>0</v>
      </c>
      <c r="AB89" s="410">
        <f>SUMIFS('LAC 102_Wkst'!$Q$7:$Q$2010,'LAC 102_Wkst'!$E$7:$E$2010,$C89,'LAC 102_Wkst'!$G$7:$G$2010,$D89,'LAC 102_Wkst'!$L$7:$L$2010,"07",'LAC 102_Wkst'!$N$7:$N$2010,"P4")</f>
        <v>0</v>
      </c>
      <c r="AC89" s="411">
        <f>SUMIFS('LAC 102_Wkst'!$AE$7:$AE$2010,'LAC 102_Wkst'!$E$7:$E$2010,$C89,'LAC 102_Wkst'!$G$7:$G$2010,$D89,'LAC 102_Wkst'!$L$7:$L$2010,"07",'LAC 102_Wkst'!$N$7:$N$2010,"P4")</f>
        <v>0</v>
      </c>
      <c r="AD89" s="410">
        <f>SUMIFS('LAC 102_Wkst'!$Q$7:$Q$2010,'LAC 102_Wkst'!$E$7:$E$2010,$C89,'LAC 102_Wkst'!$G$7:$G$2010,$D89,'LAC 102_Wkst'!$L$7:$L$2010,"07",'LAC 102_Wkst'!$N$7:$N$2010,"P5")</f>
        <v>0</v>
      </c>
      <c r="AE89" s="411">
        <f>SUMIFS('LAC 102_Wkst'!$AE$7:$AE$2010,'LAC 102_Wkst'!$E$7:$E$2010,$C89,'LAC 102_Wkst'!$G$7:$G$2010,$D89,'LAC 102_Wkst'!$L$7:$L$2010,"07",'LAC 102_Wkst'!$N$7:$N$2010,"P5")</f>
        <v>0</v>
      </c>
      <c r="AF89" s="410">
        <f>SUMIFS('LAC 102_Wkst'!$Q$7:$Q$2010,'LAC 102_Wkst'!$E$7:$E$2010,$C89,'LAC 102_Wkst'!$G$7:$G$2010,$D89,'LAC 102_Wkst'!$L$7:$L$2010,"08",'LAC 102_Wkst'!$N$7:$N$2010,"P1")+SUMIFS('LAC 102_Wkst'!$Q$7:$Q$2010,'LAC 102_Wkst'!$E$7:$E$2010,$C89,'LAC 102_Wkst'!$G$7:$G$2010,$D89,'LAC 102_Wkst'!$L$7:$L$2010,"08",'LAC 102_Wkst'!$N$7:$N$2010,"P2")+SUMIFS('LAC 102_Wkst'!$Q$7:$Q$2010,'LAC 102_Wkst'!$E$7:$E$2010,$C89,'LAC 102_Wkst'!$G$7:$G$2010,$D89,'LAC 102_Wkst'!$L$7:$L$2010,"08",'LAC 102_Wkst'!$N$7:$N$2010,"P3")</f>
        <v>0</v>
      </c>
      <c r="AG89" s="411">
        <f>SUMIFS('LAC 102_Wkst'!$AE$7:$AE$2010,'LAC 102_Wkst'!$E$7:$E$2010,$C89,'LAC 102_Wkst'!$G$7:$G$2010,$D89,'LAC 102_Wkst'!$L$7:$L$2010,"08",'LAC 102_Wkst'!$N$7:$N$2010,"P1")+SUMIFS('LAC 102_Wkst'!$AE$7:$AE$2010,'LAC 102_Wkst'!$E$7:$E$2010,$C89,'LAC 102_Wkst'!$G$7:$G$2010,$D89,'LAC 102_Wkst'!$L$7:$L$2010,"08",'LAC 102_Wkst'!$N$7:$N$2010,"P2")+SUMIFS('LAC 102_Wkst'!$AE$7:$AE$2010,'LAC 102_Wkst'!$E$7:$E$2010,$C89,'LAC 102_Wkst'!$G$7:$G$2010,$D89,'LAC 102_Wkst'!$L$7:$L$2010,"08",'LAC 102_Wkst'!$N$7:$N$2010,"P3")</f>
        <v>0</v>
      </c>
      <c r="AH89" s="410">
        <f>SUMIFS('LAC 102_Wkst'!$Q$7:$Q$2010,'LAC 102_Wkst'!$E$7:$E$2010,$C89,'LAC 102_Wkst'!$G$7:$G$2010,$D89,'LAC 102_Wkst'!$L$7:$L$2010,"08",'LAC 102_Wkst'!$N$7:$N$2010,"P4")</f>
        <v>0</v>
      </c>
      <c r="AI89" s="411">
        <f>SUMIFS('LAC 102_Wkst'!$AE$7:$AE$2010,'LAC 102_Wkst'!$E$7:$E$2010,$C89,'LAC 102_Wkst'!$G$7:$G$2010,$D89,'LAC 102_Wkst'!$L$7:$L$2010,"08",'LAC 102_Wkst'!$N$7:$N$2010,"P4")</f>
        <v>0</v>
      </c>
      <c r="AJ89" s="410">
        <f>SUMIFS('LAC 102_Wkst'!$Q$7:$Q$2010,'LAC 102_Wkst'!$E$7:$E$2010,$C89,'LAC 102_Wkst'!$G$7:$G$2010,$D89,'LAC 102_Wkst'!$L$7:$L$2010,"08",'LAC 102_Wkst'!$N$7:$N$2010,"P5")</f>
        <v>0</v>
      </c>
      <c r="AK89" s="411">
        <f>SUMIFS('LAC 102_Wkst'!$AE$7:$AE$2010,'LAC 102_Wkst'!$E$7:$E$2010,$C89,'LAC 102_Wkst'!$G$7:$G$2010,$D89,'LAC 102_Wkst'!$L$7:$L$2010,"08",'LAC 102_Wkst'!$N$7:$N$2010,"P5")</f>
        <v>0</v>
      </c>
      <c r="AL89" s="410">
        <f>SUMIFS('LAC 102_Wkst'!$Q$7:$Q$2010,'LAC 102_Wkst'!$E$7:$E$2010,$C89,'LAC 102_Wkst'!$G$7:$G$2010,$D89,'LAC 102_Wkst'!$L$7:$L$2010,"09",'LAC 102_Wkst'!$N$7:$N$2010,"P1")+SUMIFS('LAC 102_Wkst'!$Q$7:$Q$2010,'LAC 102_Wkst'!$E$7:$E$2010,$C89,'LAC 102_Wkst'!$G$7:$G$2010,$D89,'LAC 102_Wkst'!$L$7:$L$2010,"09",'LAC 102_Wkst'!$N$7:$N$2010,"P2")+SUMIFS('LAC 102_Wkst'!$Q$7:$Q$2010,'LAC 102_Wkst'!$E$7:$E$2010,$C89,'LAC 102_Wkst'!$G$7:$G$2010,$D89,'LAC 102_Wkst'!$L$7:$L$2010,"09",'LAC 102_Wkst'!$N$7:$N$2010,"P3")+SUMIFS('LAC 102_Wkst'!$Q$7:$Q$2010,'LAC 102_Wkst'!$E$7:$E$2010,$C89,'LAC 102_Wkst'!$G$7:$G$2010,$D89,'LAC 102_Wkst'!$L$7:$L$2010,"09",'LAC 102_Wkst'!$N$7:$N$2010,"P4")</f>
        <v>0</v>
      </c>
      <c r="AM89" s="411">
        <f>SUMIFS('LAC 102_Wkst'!$AE$7:$AE$2010,'LAC 102_Wkst'!$E$7:$E$2010,$C89,'LAC 102_Wkst'!$G$7:$G$2010,$D89,'LAC 102_Wkst'!$L$7:$L$2010,"09",'LAC 102_Wkst'!$N$7:$N$2010,"P1")+SUMIFS('LAC 102_Wkst'!$AE$7:$AE$2010,'LAC 102_Wkst'!$E$7:$E$2010,$C89,'LAC 102_Wkst'!$G$7:$G$2010,$D89,'LAC 102_Wkst'!$L$7:$L$2010,"09",'LAC 102_Wkst'!$N$7:$N$2010,"P2")+SUMIFS('LAC 102_Wkst'!$AE$7:$AE$2010,'LAC 102_Wkst'!$E$7:$E$2010,$C89,'LAC 102_Wkst'!$G$7:$G$2010,$D89,'LAC 102_Wkst'!$L$7:$L$2010,"09",'LAC 102_Wkst'!$N$7:$N$2010,"P3")+SUMIFS('LAC 102_Wkst'!$AE$7:$AE$2010,'LAC 102_Wkst'!$E$7:$E$2010,$C89,'LAC 102_Wkst'!$G$7:$G$2010,$D89,'LAC 102_Wkst'!$L$7:$L$2010,"09",'LAC 102_Wkst'!$N$7:$N$2010,"P4")</f>
        <v>0</v>
      </c>
      <c r="AN89" s="410">
        <f>SUMIFS('LAC 102_Wkst'!$Q$7:$Q$2010,'LAC 102_Wkst'!$E$7:$E$2010,$C89,'LAC 102_Wkst'!$G$7:$G$2010,$D89,'LAC 102_Wkst'!$L$7:$L$2010,"09",'LAC 102_Wkst'!$N$7:$N$2010,"P5")</f>
        <v>0</v>
      </c>
      <c r="AO89" s="411">
        <f>SUMIFS('LAC 102_Wkst'!$AE$7:$AE$2010,'LAC 102_Wkst'!$E$7:$E$2010,$C89,'LAC 102_Wkst'!$G$7:$G$2010,$D89,'LAC 102_Wkst'!$L$7:$L$2010,"09",'LAC 102_Wkst'!$N$7:$N$2010,"P5")</f>
        <v>0</v>
      </c>
      <c r="AP89" s="410">
        <f>SUMIFS('LAC 102_Wkst'!$Q$7:$Q$2010,'LAC 102_Wkst'!$E$7:$E$2010,$C89,'LAC 102_Wkst'!$G$7:$G$2010,$D89,'LAC 102_Wkst'!$L$7:$L$2010,"10",'LAC 102_Wkst'!$N$7:$N$2010,"P1")+SUMIFS('LAC 102_Wkst'!$Q$7:$Q$2010,'LAC 102_Wkst'!$E$7:$E$2010,$C89,'LAC 102_Wkst'!$G$7:$G$2010,$D89,'LAC 102_Wkst'!$L$7:$L$2010,"10",'LAC 102_Wkst'!$N$7:$N$2010,"P2")+SUMIFS('LAC 102_Wkst'!$Q$7:$Q$2010,'LAC 102_Wkst'!$E$7:$E$2010,$C89,'LAC 102_Wkst'!$G$7:$G$2010,$D89,'LAC 102_Wkst'!$L$7:$L$2010,"10",'LAC 102_Wkst'!$N$7:$N$2010,"P3")+SUMIFS('LAC 102_Wkst'!$Q$7:$Q$2010,'LAC 102_Wkst'!$E$7:$E$2010,$C89,'LAC 102_Wkst'!$G$7:$G$2010,$D89,'LAC 102_Wkst'!$L$7:$L$2010,"10",'LAC 102_Wkst'!$N$7:$N$2010,"P4")</f>
        <v>0</v>
      </c>
      <c r="AQ89" s="411">
        <f>SUMIFS('LAC 102_Wkst'!$AE$7:$AE$2010,'LAC 102_Wkst'!$E$7:$E$2010,$C89,'LAC 102_Wkst'!$G$7:$G$2010,$D89,'LAC 102_Wkst'!$L$7:$L$2010,"10",'LAC 102_Wkst'!$N$7:$N$2010,"P1")+SUMIFS('LAC 102_Wkst'!$AE$7:$AE$2010,'LAC 102_Wkst'!$E$7:$E$2010,$C89,'LAC 102_Wkst'!$G$7:$G$2010,$D89,'LAC 102_Wkst'!$L$7:$L$2010,"10",'LAC 102_Wkst'!$N$7:$N$2010,"P2")+SUMIFS('LAC 102_Wkst'!$AE$7:$AE$2010,'LAC 102_Wkst'!$E$7:$E$2010,$C89,'LAC 102_Wkst'!$G$7:$G$2010,$D89,'LAC 102_Wkst'!$L$7:$L$2010,"10",'LAC 102_Wkst'!$N$7:$N$2010,"P3")+SUMIFS('LAC 102_Wkst'!$AE$7:$AE$2010,'LAC 102_Wkst'!$E$7:$E$2010,$C89,'LAC 102_Wkst'!$G$7:$G$2010,$D89,'LAC 102_Wkst'!$L$7:$L$2010,"10",'LAC 102_Wkst'!$N$7:$N$2010,"P4")</f>
        <v>0</v>
      </c>
      <c r="AR89" s="410">
        <f>SUMIFS('LAC 102_Wkst'!$Q$7:$Q$2010,'LAC 102_Wkst'!$E$7:$E$2010,$C89,'LAC 102_Wkst'!$G$7:$G$2010,$D89,'LAC 102_Wkst'!$L$7:$L$2010,"10",'LAC 102_Wkst'!$N$7:$N$2010,"P5")</f>
        <v>0</v>
      </c>
      <c r="AS89" s="411">
        <f>SUMIFS('LAC 102_Wkst'!$AE$7:$AE$2010,'LAC 102_Wkst'!$E$7:$E$2010,$C89,'LAC 102_Wkst'!$G$7:$G$2010,$D89,'LAC 102_Wkst'!$L$7:$L$2010,"10",'LAC 102_Wkst'!$N$7:$N$2010,"P5")</f>
        <v>0</v>
      </c>
      <c r="AT89" s="410">
        <f>SUMIFS('LAC 102_Wkst'!$Q$7:$Q$2010,'LAC 102_Wkst'!$E$7:$E$2010,$C89,'LAC 102_Wkst'!$G$7:$G$2010,$D89,'LAC 102_Wkst'!$L$7:$L$2010,"11",'LAC 102_Wkst'!$N$7:$N$2010,"P1")+SUMIFS('LAC 102_Wkst'!$Q$7:$Q$2010,'LAC 102_Wkst'!$E$7:$E$2010,$C89,'LAC 102_Wkst'!$G$7:$G$2010,$D89,'LAC 102_Wkst'!$L$7:$L$2010,"12",'LAC 102_Wkst'!$N$7:$N$2010,"P1")</f>
        <v>0</v>
      </c>
      <c r="AU89" s="411">
        <f>SUMIFS('LAC 102_Wkst'!$AE$7:$AE$2010,'LAC 102_Wkst'!$E$7:$E$2010,$C89,'LAC 102_Wkst'!$G$7:$G$2010,$D89,'LAC 102_Wkst'!$L$7:$L$2010,"11",'LAC 102_Wkst'!$N$7:$N$2010,"P1")+SUMIFS('LAC 102_Wkst'!$AE$7:$AE$2010,'LAC 102_Wkst'!$E$7:$E$2010,$C89,'LAC 102_Wkst'!$G$7:$G$2010,$D89,'LAC 102_Wkst'!$L$7:$L$2010,"12",'LAC 102_Wkst'!$N$7:$N$2010,"P1")</f>
        <v>0</v>
      </c>
      <c r="AV89" s="410">
        <f>SUMIFS('LAC 102_Wkst'!$Q$7:$Q$2010,'LAC 102_Wkst'!$E$7:$E$2010,$C89,'LAC 102_Wkst'!$G$7:$G$2010,$D89,'LAC 102_Wkst'!$L$7:$L$2010,"11",'LAC 102_Wkst'!$N$7:$N$2010,"P2")+SUMIFS('LAC 102_Wkst'!$Q$7:$Q$2010,'LAC 102_Wkst'!$E$7:$E$2010,$C89,'LAC 102_Wkst'!$G$7:$G$2010,$D89,'LAC 102_Wkst'!$L$7:$L$2010,"12",'LAC 102_Wkst'!$N$7:$N$2010,"P3")+SUMIFS('LAC 102_Wkst'!$Q$7:$Q$2010,'LAC 102_Wkst'!$E$7:$E$2010,$C89,'LAC 102_Wkst'!$G$7:$G$2010,$D89,'LAC 102_Wkst'!$L$7:$L$2010,"11",'LAC 102_Wkst'!$N$7:$N$2010,"P2")+SUMIFS('LAC 102_Wkst'!$Q$7:$Q$2010,'LAC 102_Wkst'!$E$7:$E$2010,$C89,'LAC 102_Wkst'!$G$7:$G$2010,$D89,'LAC 102_Wkst'!$L$7:$L$2010,"12",'LAC 102_Wkst'!$N$7:$N$2010,"P3")</f>
        <v>0</v>
      </c>
      <c r="AW89" s="411">
        <f>SUMIFS('LAC 102_Wkst'!$AE$7:$AE$2010,'LAC 102_Wkst'!$E$7:$E$2010,$C89,'LAC 102_Wkst'!$G$7:$G$2010,$D89,'LAC 102_Wkst'!$L$7:$L$2010,"11",'LAC 102_Wkst'!$N$7:$N$2010,"P2")+SUMIFS('LAC 102_Wkst'!$AE$7:$AE$2010,'LAC 102_Wkst'!$E$7:$E$2010,$C89,'LAC 102_Wkst'!$G$7:$G$2010,$D89,'LAC 102_Wkst'!$L$7:$L$2010,"12",'LAC 102_Wkst'!$N$7:$N$2010,"P3")+SUMIFS('LAC 102_Wkst'!$AE$7:$AE$2010,'LAC 102_Wkst'!$E$7:$E$2010,$C89,'LAC 102_Wkst'!$G$7:$G$2010,$D89,'LAC 102_Wkst'!$L$7:$L$2010,"11",'LAC 102_Wkst'!$N$7:$N$2010,"P2")+SUMIFS('LAC 102_Wkst'!$AE$7:$AE$2010,'LAC 102_Wkst'!$E$7:$E$2010,$C89,'LAC 102_Wkst'!$G$7:$G$2010,$D89,'LAC 102_Wkst'!$L$7:$L$2010,"12",'LAC 102_Wkst'!$N$7:$N$2010,"P3")</f>
        <v>0</v>
      </c>
      <c r="AX89" s="410">
        <f>SUMIFS('LAC 102_Wkst'!$Q$7:$Q$2010,'LAC 102_Wkst'!$E$7:$E$2010,$C89,'LAC 102_Wkst'!$G$7:$G$2010,$D89,'LAC 102_Wkst'!$L$7:$L$2010,"11",'LAC 102_Wkst'!$N$7:$N$2010,"P4")+SUMIFS('LAC 102_Wkst'!$Q$7:$Q$2010,'LAC 102_Wkst'!$E$7:$E$2010,$C89,'LAC 102_Wkst'!$G$7:$G$2010,$D89,'LAC 102_Wkst'!$L$7:$L$2010,"12",'LAC 102_Wkst'!$N$7:$N$2010,"P4")</f>
        <v>0</v>
      </c>
      <c r="AY89" s="411">
        <f>SUMIFS('LAC 102_Wkst'!$AE$7:$AE$2010,'LAC 102_Wkst'!$E$7:$E$2010,$C89,'LAC 102_Wkst'!$G$7:$G$2010,$D89,'LAC 102_Wkst'!$L$7:$L$2010,"11",'LAC 102_Wkst'!$N$7:$N$2010,"P4")+SUMIFS('LAC 102_Wkst'!$AE$7:$AE$2010,'LAC 102_Wkst'!$E$7:$E$2010,$C89,'LAC 102_Wkst'!$G$7:$G$2010,$D89,'LAC 102_Wkst'!$L$7:$L$2010,"12",'LAC 102_Wkst'!$N$7:$N$2010,"P4")</f>
        <v>0</v>
      </c>
      <c r="AZ89" s="410">
        <f>SUMIFS('LAC 102_Wkst'!$Q$7:$Q$2010,'LAC 102_Wkst'!$E$7:$E$2010,$C89,'LAC 102_Wkst'!$G$7:$G$2010,$D89,'LAC 102_Wkst'!$L$7:$L$2010,"11",'LAC 102_Wkst'!$N$7:$N$2010,"P5")+SUMIFS('LAC 102_Wkst'!$Q$7:$Q$2010,'LAC 102_Wkst'!$E$7:$E$2010,$C89,'LAC 102_Wkst'!$G$7:$G$2010,$D89,'LAC 102_Wkst'!$L$7:$L$2010,"12",'LAC 102_Wkst'!$N$7:$N$2010,"P5")</f>
        <v>0</v>
      </c>
      <c r="BA89" s="411">
        <f>SUMIFS('LAC 102_Wkst'!$AE$7:$AE$2010,'LAC 102_Wkst'!$E$7:$E$2010,$C89,'LAC 102_Wkst'!$G$7:$G$2010,$D89,'LAC 102_Wkst'!$L$7:$L$2010,"11",'LAC 102_Wkst'!$N$7:$N$2010,"P5")+SUMIFS('LAC 102_Wkst'!$AE$7:$AE$2010,'LAC 102_Wkst'!$E$7:$E$2010,$C89,'LAC 102_Wkst'!$G$7:$G$2010,$D89,'LAC 102_Wkst'!$L$7:$L$2010,"12",'LAC 102_Wkst'!$N$7:$N$2010,"P5")</f>
        <v>0</v>
      </c>
      <c r="BB89" s="410">
        <f>SUMIFS('LAC 102_Wkst'!$Q$7:$Q$2010,'LAC 102_Wkst'!$E$7:$E$2010,$C89,'LAC 102_Wkst'!$G$7:$G$2010,$D89,'LAC 102_Wkst'!$L$7:$L$2010,"13",'LAC 102_Wkst'!$N$7:$N$2010,"P1")+SUMIFS('LAC 102_Wkst'!$Q$7:$Q$2010,'LAC 102_Wkst'!$E$7:$E$2010,$C89,'LAC 102_Wkst'!$G$7:$G$2010,$D89,'LAC 102_Wkst'!$L$7:$L$2010,"13",'LAC 102_Wkst'!$N$7:$N$2010,"P2")+SUMIFS('LAC 102_Wkst'!$Q$7:$Q$2010,'LAC 102_Wkst'!$E$7:$E$2010,$C89,'LAC 102_Wkst'!$G$7:$G$2010,$D89,'LAC 102_Wkst'!$L$7:$L$2010,"13",'LAC 102_Wkst'!$N$7:$N$2010,"P3")+SUMIFS('LAC 102_Wkst'!$Q$7:$Q$2010,'LAC 102_Wkst'!$E$7:$E$2010,$C89,'LAC 102_Wkst'!$G$7:$G$2010,$D89,'LAC 102_Wkst'!$L$7:$L$2010,"13",'LAC 102_Wkst'!$N$7:$N$2010,"P4")</f>
        <v>0</v>
      </c>
      <c r="BC89" s="411">
        <f>SUMIFS('LAC 102_Wkst'!$AE$7:$AE$2010,'LAC 102_Wkst'!$E$7:$E$2010,$C89,'LAC 102_Wkst'!$G$7:$G$2010,$D89,'LAC 102_Wkst'!$L$7:$L$2010,"13",'LAC 102_Wkst'!$N$7:$N$2010,"P1")+SUMIFS('LAC 102_Wkst'!$AE$7:$AE$2010,'LAC 102_Wkst'!$E$7:$E$2010,$C89,'LAC 102_Wkst'!$G$7:$G$2010,$D89,'LAC 102_Wkst'!$L$7:$L$2010,"13",'LAC 102_Wkst'!$N$7:$N$2010,"P2")+SUMIFS('LAC 102_Wkst'!$AE$7:$AE$2010,'LAC 102_Wkst'!$E$7:$E$2010,$C89,'LAC 102_Wkst'!$G$7:$G$2010,$D89,'LAC 102_Wkst'!$L$7:$L$2010,"13",'LAC 102_Wkst'!$N$7:$N$2010,"P3")+SUMIFS('LAC 102_Wkst'!$AE$7:$AE$2010,'LAC 102_Wkst'!$E$7:$E$2010,$C89,'LAC 102_Wkst'!$G$7:$G$2010,$D89,'LAC 102_Wkst'!$L$7:$L$2010,"13",'LAC 102_Wkst'!$N$7:$N$2010,"P4")</f>
        <v>0</v>
      </c>
      <c r="BD89" s="410">
        <f>SUMIFS('LAC 102_Wkst'!$Q$7:$Q$2010,'LAC 102_Wkst'!$E$7:$E$2010,$C89,'LAC 102_Wkst'!$G$7:$G$2010,$D89,'LAC 102_Wkst'!$L$7:$L$2010,"13",'LAC 102_Wkst'!$N$7:$N$2010,"P5")</f>
        <v>0</v>
      </c>
      <c r="BE89" s="411">
        <f>SUMIFS('LAC 102_Wkst'!$AE$7:$AE$2010,'LAC 102_Wkst'!$E$7:$E$2010,$C89,'LAC 102_Wkst'!$G$7:$G$2010,$D89,'LAC 102_Wkst'!$L$7:$L$2010,"13",'LAC 102_Wkst'!$N$7:$N$2010,"P5")</f>
        <v>0</v>
      </c>
      <c r="BF89" s="407">
        <f t="shared" si="1"/>
        <v>0</v>
      </c>
    </row>
    <row r="90" spans="1:58" x14ac:dyDescent="0.2">
      <c r="A90" s="401">
        <v>71</v>
      </c>
      <c r="B90" s="1236"/>
      <c r="C90" s="1235"/>
      <c r="D90" s="1237"/>
      <c r="E90" s="1222">
        <f>IF(CONCATENATE(C90,D90)&gt;"6069",1,SUMIFS('LAC 102_Wkst'!$Q$7:$Q$2010,'LAC 102_Wkst'!$E$7:$E$2010,Schedule_B!$C90,'LAC 102_Wkst'!$G$7:$G$2010,Schedule_B!$D90))</f>
        <v>0</v>
      </c>
      <c r="F90" s="408">
        <f>SUMIFS('LAC 102_Wkst'!$Q$7:$Q$2010,'LAC 102_Wkst'!$E$7:$E$2010,$C90,'LAC 102_Wkst'!$G$7:$G$2010,$D90,'LAC 102_Wkst'!$L$7:$L$2010,"01",'LAC 102_Wkst'!$N$7:$N$2010,"P1")+SUMIFS('LAC 102_Wkst'!$Q$7:$Q$2010,'LAC 102_Wkst'!$E$7:$E$2010,$C90,'LAC 102_Wkst'!$G$7:$G$2010,$D90,'LAC 102_Wkst'!$L$7:$L$2010,"01",'LAC 102_Wkst'!$N$7:$N$2010,"P2")+SUMIFS('LAC 102_Wkst'!$Q$7:$Q$2010,'LAC 102_Wkst'!$E$7:$E$2010,$C90,'LAC 102_Wkst'!$G$7:$G$2010,$D90,'LAC 102_Wkst'!$L$7:$L$2010,"01",'LAC 102_Wkst'!$N$7:$N$2010,"P3")+SUMIFS('LAC 102_Wkst'!$Q$7:$Q$2010,'LAC 102_Wkst'!$E$7:$E$2010,$C90,'LAC 102_Wkst'!$G$7:$G$2010,$D90,'LAC 102_Wkst'!$L$7:$L$2010,"02",'LAC 102_Wkst'!$N$7:$N$2010,"P1")+SUMIFS('LAC 102_Wkst'!$Q$7:$Q$2010,'LAC 102_Wkst'!$E$7:$E$2010,$C90,'LAC 102_Wkst'!$G$7:$G$2010,$D90,'LAC 102_Wkst'!$L$7:$L$2010,"02",'LAC 102_Wkst'!$N$7:$N$2010,"P2")+SUMIFS('LAC 102_Wkst'!$Q$7:$Q$2010,'LAC 102_Wkst'!$E$7:$E$2010,$C90,'LAC 102_Wkst'!$G$7:$G$2010,$D90,'LAC 102_Wkst'!$L$7:$L$2010,"02",'LAC 102_Wkst'!$N$7:$N$2010,"P3")</f>
        <v>0</v>
      </c>
      <c r="G90" s="409">
        <f>SUMIFS('LAC 102_Wkst'!$AE$7:$AE$2010,'LAC 102_Wkst'!$E$7:$E$2010,$C90,'LAC 102_Wkst'!$G$7:$G$2010,$D90,'LAC 102_Wkst'!$L$7:$L$2010,"01",'LAC 102_Wkst'!$N$7:$N$2010,"P1")+SUMIFS('LAC 102_Wkst'!$AE$7:$AE$2010,'LAC 102_Wkst'!$E$7:$E$2010,$C90,'LAC 102_Wkst'!$G$7:$G$2010,$D90,'LAC 102_Wkst'!$L$7:$L$2010,"01",'LAC 102_Wkst'!$N$7:$N$2010,"P2")+SUMIFS('LAC 102_Wkst'!$AE$7:$AE$2010,'LAC 102_Wkst'!$E$7:$E$2010,$C90,'LAC 102_Wkst'!$G$7:$G$2010,$D90,'LAC 102_Wkst'!$L$7:$L$2010,"01",'LAC 102_Wkst'!$N$7:$N$2010,"P3")+SUMIFS('LAC 102_Wkst'!$AE$7:$AE$2010,'LAC 102_Wkst'!$E$7:$E$2010,$C90,'LAC 102_Wkst'!$G$7:$G$2010,$D90,'LAC 102_Wkst'!$L$7:$L$2010,"02",'LAC 102_Wkst'!$N$7:$N$2010,"P1")+SUMIFS('LAC 102_Wkst'!$AE$7:$AE$2010,'LAC 102_Wkst'!$E$7:$E$2010,$C90,'LAC 102_Wkst'!$G$7:$G$2010,$D90,'LAC 102_Wkst'!$L$7:$L$2010,"02",'LAC 102_Wkst'!$N$7:$N$2010,"P2")+SUMIFS('LAC 102_Wkst'!$AE$7:$AE$2010,'LAC 102_Wkst'!$E$7:$E$2010,$C90,'LAC 102_Wkst'!$G$7:$G$2010,$D90,'LAC 102_Wkst'!$L$7:$L$2010,"02",'LAC 102_Wkst'!$N$7:$N$2010,"P3")</f>
        <v>0</v>
      </c>
      <c r="H90" s="410">
        <f>SUMIFS('LAC 102_Wkst'!$Q$7:$Q$2010,'LAC 102_Wkst'!$E$7:$E$2010,$C90,'LAC 102_Wkst'!$G$7:$G$2010,$D90,'LAC 102_Wkst'!$L$7:$L$2010,"01",'LAC 102_Wkst'!$N$7:$N$2010,"P4")+SUMIFS('LAC 102_Wkst'!$Q$7:$Q$2010,'LAC 102_Wkst'!$E$7:$E$2010,$C90,'LAC 102_Wkst'!$G$7:$G$2010,$D90,'LAC 102_Wkst'!$L$7:$L$2010,"02",'LAC 102_Wkst'!$N$7:$N$2010,"P4")</f>
        <v>0</v>
      </c>
      <c r="I90" s="411">
        <f>SUMIFS('LAC 102_Wkst'!$AE$7:$AE$2010,'LAC 102_Wkst'!$E$7:$E$2010,$C90,'LAC 102_Wkst'!$G$7:$G$2010,$D90,'LAC 102_Wkst'!$L$7:$L$2010,"01",'LAC 102_Wkst'!$N$7:$N$2010,"P4")+SUMIFS('LAC 102_Wkst'!$AE$7:$AE$2010,'LAC 102_Wkst'!$E$7:$E$2010,$C90,'LAC 102_Wkst'!$G$7:$G$2010,$D90,'LAC 102_Wkst'!$L$7:$L$2010,"02",'LAC 102_Wkst'!$N$7:$N$2010,"P4")</f>
        <v>0</v>
      </c>
      <c r="J90" s="410">
        <f>SUMIFS('LAC 102_Wkst'!$Q$7:$Q$2010,'LAC 102_Wkst'!$E$7:$E$2010,$C90,'LAC 102_Wkst'!$G$7:$G$2010,$D90,'LAC 102_Wkst'!$L$7:$L$2010,"01",'LAC 102_Wkst'!$N$7:$N$2010,"P5")+SUMIFS('LAC 102_Wkst'!$Q$7:$Q$2010,'LAC 102_Wkst'!$E$7:$E$2010,$C90,'LAC 102_Wkst'!$G$7:$G$2010,$D90,'LAC 102_Wkst'!$L$7:$L$2010,"02",'LAC 102_Wkst'!$N$7:$N$2010,"P5")</f>
        <v>0</v>
      </c>
      <c r="K90" s="411">
        <f>SUMIFS('LAC 102_Wkst'!$AE$7:$AE$2010,'LAC 102_Wkst'!$E$7:$E$2010,$C90,'LAC 102_Wkst'!$G$7:$G$2010,$D90,'LAC 102_Wkst'!$L$7:$L$2010,"01",'LAC 102_Wkst'!$N$7:$N$2010,"P5")+SUMIFS('LAC 102_Wkst'!$AE$7:$AE$2010,'LAC 102_Wkst'!$E$7:$E$2010,$C90,'LAC 102_Wkst'!$G$7:$G$2010,$D90,'LAC 102_Wkst'!$L$7:$L$2010,"02",'LAC 102_Wkst'!$N$7:$N$2010,"P5")</f>
        <v>0</v>
      </c>
      <c r="L90" s="410">
        <f>SUMIFS('LAC 102_Wkst'!$Q$7:$Q$2010,'LAC 102_Wkst'!$E$7:$E$2010,$C90,'LAC 102_Wkst'!$G$7:$G$2010,$D90,'LAC 102_Wkst'!$L$7:$L$2010,"03",'LAC 102_Wkst'!$N$7:$N$2010,"P1")+SUMIFS('LAC 102_Wkst'!$Q$7:$Q$2010,'LAC 102_Wkst'!$E$7:$E$2010,$C90,'LAC 102_Wkst'!$G$7:$G$2010,$D90,'LAC 102_Wkst'!$L$7:$L$2010,"03",'LAC 102_Wkst'!$N$7:$N$2010,"P2")+SUMIFS('LAC 102_Wkst'!$Q$7:$Q$2010,'LAC 102_Wkst'!$E$7:$E$2010,$C90,'LAC 102_Wkst'!$G$7:$G$2010,$D90,'LAC 102_Wkst'!$L$7:$L$2010,"03",'LAC 102_Wkst'!$N$7:$N$2010,"P3")+SUMIFS('LAC 102_Wkst'!$Q$7:$Q$2010,'LAC 102_Wkst'!$E$7:$E$2010,$C90,'LAC 102_Wkst'!$G$7:$G$2010,$D90,'LAC 102_Wkst'!$L$7:$L$2010,"04",'LAC 102_Wkst'!$N$7:$N$2010,"P1")+SUMIFS('LAC 102_Wkst'!$Q$7:$Q$2010,'LAC 102_Wkst'!$E$7:$E$2010,$C90,'LAC 102_Wkst'!$G$7:$G$2010,$D90,'LAC 102_Wkst'!$L$7:$L$2010,"04",'LAC 102_Wkst'!$N$7:$N$2010,"P2")+SUMIFS('LAC 102_Wkst'!$Q$7:$Q$2010,'LAC 102_Wkst'!$E$7:$E$2010,$C90,'LAC 102_Wkst'!$G$7:$G$2010,$D90,'LAC 102_Wkst'!$L$7:$L$2010,"04",'LAC 102_Wkst'!$N$7:$N$2010,"P3")</f>
        <v>0</v>
      </c>
      <c r="M90" s="411">
        <f>SUMIFS('LAC 102_Wkst'!$AE$7:$AE$2010,'LAC 102_Wkst'!$E$7:$E$2010,$C90,'LAC 102_Wkst'!$G$7:$G$2010,$D90,'LAC 102_Wkst'!$L$7:$L$2010,"03",'LAC 102_Wkst'!$N$7:$N$2010,"P1")+SUMIFS('LAC 102_Wkst'!$AE$7:$AE$2010,'LAC 102_Wkst'!$E$7:$E$2010,$C90,'LAC 102_Wkst'!$G$7:$G$2010,$D90,'LAC 102_Wkst'!$L$7:$L$2010,"03",'LAC 102_Wkst'!$N$7:$N$2010,"P2")+SUMIFS('LAC 102_Wkst'!$AE$7:$AE$2010,'LAC 102_Wkst'!$E$7:$E$2010,$C90,'LAC 102_Wkst'!$G$7:$G$2010,$D90,'LAC 102_Wkst'!$L$7:$L$2010,"03",'LAC 102_Wkst'!$N$7:$N$2010,"P3")+SUMIFS('LAC 102_Wkst'!$AE$7:$AE$2010,'LAC 102_Wkst'!$E$7:$E$2010,$C90,'LAC 102_Wkst'!$G$7:$G$2010,$D90,'LAC 102_Wkst'!$L$7:$L$2010,"04",'LAC 102_Wkst'!$N$7:$N$2010,"P1")+SUMIFS('LAC 102_Wkst'!$AE$7:$AE$2010,'LAC 102_Wkst'!$E$7:$E$2010,$C90,'LAC 102_Wkst'!$G$7:$G$2010,$D90,'LAC 102_Wkst'!$L$7:$L$2010,"04",'LAC 102_Wkst'!$N$7:$N$2010,"P2")+SUMIFS('LAC 102_Wkst'!$AE$7:$AE$2010,'LAC 102_Wkst'!$E$7:$E$2010,$C90,'LAC 102_Wkst'!$G$7:$G$2010,$D90,'LAC 102_Wkst'!$L$7:$L$2010,"04",'LAC 102_Wkst'!$N$7:$N$2010,"P3")</f>
        <v>0</v>
      </c>
      <c r="N90" s="410">
        <f>SUMIFS('LAC 102_Wkst'!$Q$7:$Q$2010,'LAC 102_Wkst'!$E$7:$E$2010,$C90,'LAC 102_Wkst'!$G$7:$G$2010,$D90,'LAC 102_Wkst'!$L$7:$L$2010,"03",'LAC 102_Wkst'!$N$7:$N$2010,"P4")+SUMIFS('LAC 102_Wkst'!$Q$7:$Q$2010,'LAC 102_Wkst'!$E$7:$E$2010,$C90,'LAC 102_Wkst'!$G$7:$G$2010,$D90,'LAC 102_Wkst'!$L$7:$L$2010,"04",'LAC 102_Wkst'!$N$7:$N$2010,"P4")</f>
        <v>0</v>
      </c>
      <c r="O90" s="411">
        <f>SUMIFS('LAC 102_Wkst'!$AE$7:$AE$2010,'LAC 102_Wkst'!$E$7:$E$2010,$C90,'LAC 102_Wkst'!$G$7:$G$2010,$D90,'LAC 102_Wkst'!$L$7:$L$2010,"03",'LAC 102_Wkst'!$N$7:$N$2010,"P4")+SUMIFS('LAC 102_Wkst'!$AE$7:$AE$2010,'LAC 102_Wkst'!$E$7:$E$2010,$C90,'LAC 102_Wkst'!$G$7:$G$2010,$D90,'LAC 102_Wkst'!$L$7:$L$2010,"04",'LAC 102_Wkst'!$N$7:$N$2010,"P4")</f>
        <v>0</v>
      </c>
      <c r="P90" s="410">
        <f>SUMIFS('LAC 102_Wkst'!$Q$7:$Q$2010,'LAC 102_Wkst'!$E$7:$E$2010,$C90,'LAC 102_Wkst'!$G$7:$G$2010,$D90,'LAC 102_Wkst'!$L$7:$L$2010,"03",'LAC 102_Wkst'!$N$7:$N$2010,"P5")+SUMIFS('LAC 102_Wkst'!$Q$7:$Q$2010,'LAC 102_Wkst'!$E$7:$E$2010,$C90,'LAC 102_Wkst'!$G$7:$G$2010,$D90,'LAC 102_Wkst'!$L$7:$L$2010,"04",'LAC 102_Wkst'!$N$7:$N$2010,"P5")</f>
        <v>0</v>
      </c>
      <c r="Q90" s="411">
        <f>SUMIFS('LAC 102_Wkst'!$AE$7:$AE$2010,'LAC 102_Wkst'!$E$7:$E$2010,$C90,'LAC 102_Wkst'!$G$7:$G$2010,$D90,'LAC 102_Wkst'!$L$7:$L$2010,"03",'LAC 102_Wkst'!$N$7:$N$2010,"P5")+SUMIFS('LAC 102_Wkst'!$AE$7:$AE$2010,'LAC 102_Wkst'!$E$7:$E$2010,$C90,'LAC 102_Wkst'!$G$7:$G$2010,$D90,'LAC 102_Wkst'!$L$7:$L$2010,"04",'LAC 102_Wkst'!$N$7:$N$2010,"P5")</f>
        <v>0</v>
      </c>
      <c r="R90" s="412">
        <f>SUMIFS('LAC 102_Wkst'!$Q$7:$Q$2010,'LAC 102_Wkst'!$E$7:$E$2010,$C90,'LAC 102_Wkst'!$G$7:$G$2010,$D90,'LAC 102_Wkst'!$L$7:$L$2010,"05",'LAC 102_Wkst'!$N$7:$N$2010,"P1")+SUMIFS('LAC 102_Wkst'!$Q$7:$Q$2010,'LAC 102_Wkst'!$E$7:$E$2010,$C90,'LAC 102_Wkst'!$G$7:$G$2010,$D90,'LAC 102_Wkst'!$L$7:$L$2010,"06",'LAC 102_Wkst'!$N$7:$N$2010,"P1")</f>
        <v>0</v>
      </c>
      <c r="S90" s="411">
        <f>SUMIFS('LAC 102_Wkst'!$AE$7:$AE$2010,'LAC 102_Wkst'!$E$7:$E$2010,$C90,'LAC 102_Wkst'!$G$7:$G$2010,$D90,'LAC 102_Wkst'!$L$7:$L$2010,"05",'LAC 102_Wkst'!$N$7:$N$2010,"P1")+SUMIFS('LAC 102_Wkst'!$AE$7:$AE$2010,'LAC 102_Wkst'!$E$7:$E$2010,$C90,'LAC 102_Wkst'!$G$7:$G$2010,$D90,'LAC 102_Wkst'!$L$7:$L$2010,"06",'LAC 102_Wkst'!$N$7:$N$2010,"P1")</f>
        <v>0</v>
      </c>
      <c r="T90" s="410">
        <f>SUMIFS('LAC 102_Wkst'!$Q$7:$Q$2010,'LAC 102_Wkst'!$E$7:$E$2010,$C90,'LAC 102_Wkst'!$G$7:$G$2010,$D90,'LAC 102_Wkst'!$L$7:$L$2010,"05",'LAC 102_Wkst'!$N$7:$N$2010,"P2")+SUMIFS('LAC 102_Wkst'!$Q$7:$Q$2010,'LAC 102_Wkst'!$E$7:$E$2010,$C90,'LAC 102_Wkst'!$G$7:$G$2010,$D90,'LAC 102_Wkst'!$L$7:$L$2010,"05",'LAC 102_Wkst'!$N$7:$N$2010,"P3")+SUMIFS('LAC 102_Wkst'!$Q$7:$Q$2010,'LAC 102_Wkst'!$E$7:$E$2010,$C90,'LAC 102_Wkst'!$G$7:$G$2010,$D90,'LAC 102_Wkst'!$L$7:$L$2010,"06",'LAC 102_Wkst'!$N$7:$N$2010,"P2")+SUMIFS('LAC 102_Wkst'!$Q$7:$Q$2010,'LAC 102_Wkst'!$E$7:$E$2010,$C90,'LAC 102_Wkst'!$G$7:$G$2010,$D90,'LAC 102_Wkst'!$L$7:$L$2010,"06",'LAC 102_Wkst'!$N$7:$N$2010,"P3")</f>
        <v>0</v>
      </c>
      <c r="U90" s="411">
        <f>SUMIFS('LAC 102_Wkst'!$AE$7:$AE$2010,'LAC 102_Wkst'!$E$7:$E$2010,$C90,'LAC 102_Wkst'!$G$7:$G$2010,$D90,'LAC 102_Wkst'!$L$7:$L$2010,"05",'LAC 102_Wkst'!$N$7:$N$2010,"P2")+SUMIFS('LAC 102_Wkst'!$AE$7:$AE$2010,'LAC 102_Wkst'!$E$7:$E$2010,$C90,'LAC 102_Wkst'!$G$7:$G$2010,$D90,'LAC 102_Wkst'!$L$7:$L$2010,"06",'LAC 102_Wkst'!$N$7:$N$2010,"P3")+SUMIFS('LAC 102_Wkst'!$AE$7:$AE$2010,'LAC 102_Wkst'!$E$7:$E$2010,$C90,'LAC 102_Wkst'!$G$7:$G$2010,$D90,'LAC 102_Wkst'!$L$7:$L$2010,"05",'LAC 102_Wkst'!$N$7:$N$2010,"P2")+SUMIFS('LAC 102_Wkst'!$AE$7:$AE$2010,'LAC 102_Wkst'!$E$7:$E$2010,$C90,'LAC 102_Wkst'!$G$7:$G$2010,$D90,'LAC 102_Wkst'!$L$7:$L$2010,"06",'LAC 102_Wkst'!$N$7:$N$2010,"P3")</f>
        <v>0</v>
      </c>
      <c r="V90" s="410">
        <f>SUMIFS('LAC 102_Wkst'!$Q$7:$Q$2010,'LAC 102_Wkst'!$E$7:$E$2010,$C90,'LAC 102_Wkst'!$G$7:$G$2010,$D90,'LAC 102_Wkst'!$L$7:$L$2010,"05",'LAC 102_Wkst'!$N$7:$N$2010,"P4")+SUMIFS('LAC 102_Wkst'!$Q$7:$Q$2010,'LAC 102_Wkst'!$E$7:$E$2010,$C90,'LAC 102_Wkst'!$G$7:$G$2010,$D90,'LAC 102_Wkst'!$L$7:$L$2010,"06",'LAC 102_Wkst'!$N$7:$N$2010,"P4")</f>
        <v>0</v>
      </c>
      <c r="W90" s="411">
        <f>SUMIFS('LAC 102_Wkst'!$AE$7:$AE$2010,'LAC 102_Wkst'!$E$7:$E$2010,$C90,'LAC 102_Wkst'!$G$7:$G$2010,$D90,'LAC 102_Wkst'!$L$7:$L$2010,"05",'LAC 102_Wkst'!$N$7:$N$2010,"P4")+SUMIFS('LAC 102_Wkst'!$AE$7:$AE$2010,'LAC 102_Wkst'!$E$7:$E$2010,$C90,'LAC 102_Wkst'!$G$7:$G$2010,$D90,'LAC 102_Wkst'!$L$7:$L$2010,"06",'LAC 102_Wkst'!$N$7:$N$2010,"P4")</f>
        <v>0</v>
      </c>
      <c r="X90" s="410">
        <f>SUMIFS('LAC 102_Wkst'!$Q$7:$Q$2010,'LAC 102_Wkst'!$E$7:$E$2010,$C90,'LAC 102_Wkst'!$G$7:$G$2010,$D90,'LAC 102_Wkst'!$L$7:$L$2010,"05",'LAC 102_Wkst'!$N$7:$N$2010,"P5")+SUMIFS('LAC 102_Wkst'!$Q$7:$Q$2010,'LAC 102_Wkst'!$E$7:$E$2010,$C90,'LAC 102_Wkst'!$G$7:$G$2010,$D90,'LAC 102_Wkst'!$L$7:$L$2010,"06",'LAC 102_Wkst'!$N$7:$N$2010,"P5")</f>
        <v>0</v>
      </c>
      <c r="Y90" s="411">
        <f>SUMIFS('LAC 102_Wkst'!$AE$7:$AE$2010,'LAC 102_Wkst'!$E$7:$E$2010,$C90,'LAC 102_Wkst'!$G$7:$G$2010,$D90,'LAC 102_Wkst'!$L$7:$L$2010,"05",'LAC 102_Wkst'!$N$7:$N$2010,"P5")+SUMIFS('LAC 102_Wkst'!$AE$7:$AE$2010,'LAC 102_Wkst'!$E$7:$E$2010,$C90,'LAC 102_Wkst'!$G$7:$G$2010,$D90,'LAC 102_Wkst'!$L$7:$L$2010,"06",'LAC 102_Wkst'!$N$7:$N$2010,"P5")</f>
        <v>0</v>
      </c>
      <c r="Z90" s="410">
        <f>SUMIFS('LAC 102_Wkst'!$Q$7:$Q$2010,'LAC 102_Wkst'!$E$7:$E$2010,$C90,'LAC 102_Wkst'!$G$7:$G$2010,$D90,'LAC 102_Wkst'!$L$7:$L$2010,"07",'LAC 102_Wkst'!$N$7:$N$2010,"P1")+SUMIFS('LAC 102_Wkst'!$Q$7:$Q$2010,'LAC 102_Wkst'!$E$7:$E$2010,$C90,'LAC 102_Wkst'!$G$7:$G$2010,$D90,'LAC 102_Wkst'!$L$7:$L$2010,"07",'LAC 102_Wkst'!$N$7:$N$2010,"P2")+SUMIFS('LAC 102_Wkst'!$Q$7:$Q$2010,'LAC 102_Wkst'!$E$7:$E$2010,$C90,'LAC 102_Wkst'!$G$7:$G$2010,$D90,'LAC 102_Wkst'!$L$7:$L$2010,"07",'LAC 102_Wkst'!$N$7:$N$2010,"P3")</f>
        <v>0</v>
      </c>
      <c r="AA90" s="411">
        <f>SUMIFS('LAC 102_Wkst'!$AE$7:$AE$2010,'LAC 102_Wkst'!$E$7:$E$2010,$C90,'LAC 102_Wkst'!$G$7:$G$2010,$D90,'LAC 102_Wkst'!$L$7:$L$2010,"07",'LAC 102_Wkst'!$N$7:$N$2010,"P1")+SUMIFS('LAC 102_Wkst'!$AE$7:$AE$2010,'LAC 102_Wkst'!$E$7:$E$2010,$C90,'LAC 102_Wkst'!$G$7:$G$2010,$D90,'LAC 102_Wkst'!$L$7:$L$2010,"07",'LAC 102_Wkst'!$N$7:$N$2010,"P2")+SUMIFS('LAC 102_Wkst'!$AE$7:$AE$2010,'LAC 102_Wkst'!$E$7:$E$2010,$C90,'LAC 102_Wkst'!$G$7:$G$2010,$D90,'LAC 102_Wkst'!$L$7:$L$2010,"07",'LAC 102_Wkst'!$N$7:$N$2010,"P3")</f>
        <v>0</v>
      </c>
      <c r="AB90" s="410">
        <f>SUMIFS('LAC 102_Wkst'!$Q$7:$Q$2010,'LAC 102_Wkst'!$E$7:$E$2010,$C90,'LAC 102_Wkst'!$G$7:$G$2010,$D90,'LAC 102_Wkst'!$L$7:$L$2010,"07",'LAC 102_Wkst'!$N$7:$N$2010,"P4")</f>
        <v>0</v>
      </c>
      <c r="AC90" s="411">
        <f>SUMIFS('LAC 102_Wkst'!$AE$7:$AE$2010,'LAC 102_Wkst'!$E$7:$E$2010,$C90,'LAC 102_Wkst'!$G$7:$G$2010,$D90,'LAC 102_Wkst'!$L$7:$L$2010,"07",'LAC 102_Wkst'!$N$7:$N$2010,"P4")</f>
        <v>0</v>
      </c>
      <c r="AD90" s="410">
        <f>SUMIFS('LAC 102_Wkst'!$Q$7:$Q$2010,'LAC 102_Wkst'!$E$7:$E$2010,$C90,'LAC 102_Wkst'!$G$7:$G$2010,$D90,'LAC 102_Wkst'!$L$7:$L$2010,"07",'LAC 102_Wkst'!$N$7:$N$2010,"P5")</f>
        <v>0</v>
      </c>
      <c r="AE90" s="411">
        <f>SUMIFS('LAC 102_Wkst'!$AE$7:$AE$2010,'LAC 102_Wkst'!$E$7:$E$2010,$C90,'LAC 102_Wkst'!$G$7:$G$2010,$D90,'LAC 102_Wkst'!$L$7:$L$2010,"07",'LAC 102_Wkst'!$N$7:$N$2010,"P5")</f>
        <v>0</v>
      </c>
      <c r="AF90" s="410">
        <f>SUMIFS('LAC 102_Wkst'!$Q$7:$Q$2010,'LAC 102_Wkst'!$E$7:$E$2010,$C90,'LAC 102_Wkst'!$G$7:$G$2010,$D90,'LAC 102_Wkst'!$L$7:$L$2010,"08",'LAC 102_Wkst'!$N$7:$N$2010,"P1")+SUMIFS('LAC 102_Wkst'!$Q$7:$Q$2010,'LAC 102_Wkst'!$E$7:$E$2010,$C90,'LAC 102_Wkst'!$G$7:$G$2010,$D90,'LAC 102_Wkst'!$L$7:$L$2010,"08",'LAC 102_Wkst'!$N$7:$N$2010,"P2")+SUMIFS('LAC 102_Wkst'!$Q$7:$Q$2010,'LAC 102_Wkst'!$E$7:$E$2010,$C90,'LAC 102_Wkst'!$G$7:$G$2010,$D90,'LAC 102_Wkst'!$L$7:$L$2010,"08",'LAC 102_Wkst'!$N$7:$N$2010,"P3")</f>
        <v>0</v>
      </c>
      <c r="AG90" s="411">
        <f>SUMIFS('LAC 102_Wkst'!$AE$7:$AE$2010,'LAC 102_Wkst'!$E$7:$E$2010,$C90,'LAC 102_Wkst'!$G$7:$G$2010,$D90,'LAC 102_Wkst'!$L$7:$L$2010,"08",'LAC 102_Wkst'!$N$7:$N$2010,"P1")+SUMIFS('LAC 102_Wkst'!$AE$7:$AE$2010,'LAC 102_Wkst'!$E$7:$E$2010,$C90,'LAC 102_Wkst'!$G$7:$G$2010,$D90,'LAC 102_Wkst'!$L$7:$L$2010,"08",'LAC 102_Wkst'!$N$7:$N$2010,"P2")+SUMIFS('LAC 102_Wkst'!$AE$7:$AE$2010,'LAC 102_Wkst'!$E$7:$E$2010,$C90,'LAC 102_Wkst'!$G$7:$G$2010,$D90,'LAC 102_Wkst'!$L$7:$L$2010,"08",'LAC 102_Wkst'!$N$7:$N$2010,"P3")</f>
        <v>0</v>
      </c>
      <c r="AH90" s="410">
        <f>SUMIFS('LAC 102_Wkst'!$Q$7:$Q$2010,'LAC 102_Wkst'!$E$7:$E$2010,$C90,'LAC 102_Wkst'!$G$7:$G$2010,$D90,'LAC 102_Wkst'!$L$7:$L$2010,"08",'LAC 102_Wkst'!$N$7:$N$2010,"P4")</f>
        <v>0</v>
      </c>
      <c r="AI90" s="411">
        <f>SUMIFS('LAC 102_Wkst'!$AE$7:$AE$2010,'LAC 102_Wkst'!$E$7:$E$2010,$C90,'LAC 102_Wkst'!$G$7:$G$2010,$D90,'LAC 102_Wkst'!$L$7:$L$2010,"08",'LAC 102_Wkst'!$N$7:$N$2010,"P4")</f>
        <v>0</v>
      </c>
      <c r="AJ90" s="410">
        <f>SUMIFS('LAC 102_Wkst'!$Q$7:$Q$2010,'LAC 102_Wkst'!$E$7:$E$2010,$C90,'LAC 102_Wkst'!$G$7:$G$2010,$D90,'LAC 102_Wkst'!$L$7:$L$2010,"08",'LAC 102_Wkst'!$N$7:$N$2010,"P5")</f>
        <v>0</v>
      </c>
      <c r="AK90" s="411">
        <f>SUMIFS('LAC 102_Wkst'!$AE$7:$AE$2010,'LAC 102_Wkst'!$E$7:$E$2010,$C90,'LAC 102_Wkst'!$G$7:$G$2010,$D90,'LAC 102_Wkst'!$L$7:$L$2010,"08",'LAC 102_Wkst'!$N$7:$N$2010,"P5")</f>
        <v>0</v>
      </c>
      <c r="AL90" s="410">
        <f>SUMIFS('LAC 102_Wkst'!$Q$7:$Q$2010,'LAC 102_Wkst'!$E$7:$E$2010,$C90,'LAC 102_Wkst'!$G$7:$G$2010,$D90,'LAC 102_Wkst'!$L$7:$L$2010,"09",'LAC 102_Wkst'!$N$7:$N$2010,"P1")+SUMIFS('LAC 102_Wkst'!$Q$7:$Q$2010,'LAC 102_Wkst'!$E$7:$E$2010,$C90,'LAC 102_Wkst'!$G$7:$G$2010,$D90,'LAC 102_Wkst'!$L$7:$L$2010,"09",'LAC 102_Wkst'!$N$7:$N$2010,"P2")+SUMIFS('LAC 102_Wkst'!$Q$7:$Q$2010,'LAC 102_Wkst'!$E$7:$E$2010,$C90,'LAC 102_Wkst'!$G$7:$G$2010,$D90,'LAC 102_Wkst'!$L$7:$L$2010,"09",'LAC 102_Wkst'!$N$7:$N$2010,"P3")+SUMIFS('LAC 102_Wkst'!$Q$7:$Q$2010,'LAC 102_Wkst'!$E$7:$E$2010,$C90,'LAC 102_Wkst'!$G$7:$G$2010,$D90,'LAC 102_Wkst'!$L$7:$L$2010,"09",'LAC 102_Wkst'!$N$7:$N$2010,"P4")</f>
        <v>0</v>
      </c>
      <c r="AM90" s="411">
        <f>SUMIFS('LAC 102_Wkst'!$AE$7:$AE$2010,'LAC 102_Wkst'!$E$7:$E$2010,$C90,'LAC 102_Wkst'!$G$7:$G$2010,$D90,'LAC 102_Wkst'!$L$7:$L$2010,"09",'LAC 102_Wkst'!$N$7:$N$2010,"P1")+SUMIFS('LAC 102_Wkst'!$AE$7:$AE$2010,'LAC 102_Wkst'!$E$7:$E$2010,$C90,'LAC 102_Wkst'!$G$7:$G$2010,$D90,'LAC 102_Wkst'!$L$7:$L$2010,"09",'LAC 102_Wkst'!$N$7:$N$2010,"P2")+SUMIFS('LAC 102_Wkst'!$AE$7:$AE$2010,'LAC 102_Wkst'!$E$7:$E$2010,$C90,'LAC 102_Wkst'!$G$7:$G$2010,$D90,'LAC 102_Wkst'!$L$7:$L$2010,"09",'LAC 102_Wkst'!$N$7:$N$2010,"P3")+SUMIFS('LAC 102_Wkst'!$AE$7:$AE$2010,'LAC 102_Wkst'!$E$7:$E$2010,$C90,'LAC 102_Wkst'!$G$7:$G$2010,$D90,'LAC 102_Wkst'!$L$7:$L$2010,"09",'LAC 102_Wkst'!$N$7:$N$2010,"P4")</f>
        <v>0</v>
      </c>
      <c r="AN90" s="410">
        <f>SUMIFS('LAC 102_Wkst'!$Q$7:$Q$2010,'LAC 102_Wkst'!$E$7:$E$2010,$C90,'LAC 102_Wkst'!$G$7:$G$2010,$D90,'LAC 102_Wkst'!$L$7:$L$2010,"09",'LAC 102_Wkst'!$N$7:$N$2010,"P5")</f>
        <v>0</v>
      </c>
      <c r="AO90" s="411">
        <f>SUMIFS('LAC 102_Wkst'!$AE$7:$AE$2010,'LAC 102_Wkst'!$E$7:$E$2010,$C90,'LAC 102_Wkst'!$G$7:$G$2010,$D90,'LAC 102_Wkst'!$L$7:$L$2010,"09",'LAC 102_Wkst'!$N$7:$N$2010,"P5")</f>
        <v>0</v>
      </c>
      <c r="AP90" s="410">
        <f>SUMIFS('LAC 102_Wkst'!$Q$7:$Q$2010,'LAC 102_Wkst'!$E$7:$E$2010,$C90,'LAC 102_Wkst'!$G$7:$G$2010,$D90,'LAC 102_Wkst'!$L$7:$L$2010,"10",'LAC 102_Wkst'!$N$7:$N$2010,"P1")+SUMIFS('LAC 102_Wkst'!$Q$7:$Q$2010,'LAC 102_Wkst'!$E$7:$E$2010,$C90,'LAC 102_Wkst'!$G$7:$G$2010,$D90,'LAC 102_Wkst'!$L$7:$L$2010,"10",'LAC 102_Wkst'!$N$7:$N$2010,"P2")+SUMIFS('LAC 102_Wkst'!$Q$7:$Q$2010,'LAC 102_Wkst'!$E$7:$E$2010,$C90,'LAC 102_Wkst'!$G$7:$G$2010,$D90,'LAC 102_Wkst'!$L$7:$L$2010,"10",'LAC 102_Wkst'!$N$7:$N$2010,"P3")+SUMIFS('LAC 102_Wkst'!$Q$7:$Q$2010,'LAC 102_Wkst'!$E$7:$E$2010,$C90,'LAC 102_Wkst'!$G$7:$G$2010,$D90,'LAC 102_Wkst'!$L$7:$L$2010,"10",'LAC 102_Wkst'!$N$7:$N$2010,"P4")</f>
        <v>0</v>
      </c>
      <c r="AQ90" s="411">
        <f>SUMIFS('LAC 102_Wkst'!$AE$7:$AE$2010,'LAC 102_Wkst'!$E$7:$E$2010,$C90,'LAC 102_Wkst'!$G$7:$G$2010,$D90,'LAC 102_Wkst'!$L$7:$L$2010,"10",'LAC 102_Wkst'!$N$7:$N$2010,"P1")+SUMIFS('LAC 102_Wkst'!$AE$7:$AE$2010,'LAC 102_Wkst'!$E$7:$E$2010,$C90,'LAC 102_Wkst'!$G$7:$G$2010,$D90,'LAC 102_Wkst'!$L$7:$L$2010,"10",'LAC 102_Wkst'!$N$7:$N$2010,"P2")+SUMIFS('LAC 102_Wkst'!$AE$7:$AE$2010,'LAC 102_Wkst'!$E$7:$E$2010,$C90,'LAC 102_Wkst'!$G$7:$G$2010,$D90,'LAC 102_Wkst'!$L$7:$L$2010,"10",'LAC 102_Wkst'!$N$7:$N$2010,"P3")+SUMIFS('LAC 102_Wkst'!$AE$7:$AE$2010,'LAC 102_Wkst'!$E$7:$E$2010,$C90,'LAC 102_Wkst'!$G$7:$G$2010,$D90,'LAC 102_Wkst'!$L$7:$L$2010,"10",'LAC 102_Wkst'!$N$7:$N$2010,"P4")</f>
        <v>0</v>
      </c>
      <c r="AR90" s="410">
        <f>SUMIFS('LAC 102_Wkst'!$Q$7:$Q$2010,'LAC 102_Wkst'!$E$7:$E$2010,$C90,'LAC 102_Wkst'!$G$7:$G$2010,$D90,'LAC 102_Wkst'!$L$7:$L$2010,"10",'LAC 102_Wkst'!$N$7:$N$2010,"P5")</f>
        <v>0</v>
      </c>
      <c r="AS90" s="411">
        <f>SUMIFS('LAC 102_Wkst'!$AE$7:$AE$2010,'LAC 102_Wkst'!$E$7:$E$2010,$C90,'LAC 102_Wkst'!$G$7:$G$2010,$D90,'LAC 102_Wkst'!$L$7:$L$2010,"10",'LAC 102_Wkst'!$N$7:$N$2010,"P5")</f>
        <v>0</v>
      </c>
      <c r="AT90" s="410">
        <f>SUMIFS('LAC 102_Wkst'!$Q$7:$Q$2010,'LAC 102_Wkst'!$E$7:$E$2010,$C90,'LAC 102_Wkst'!$G$7:$G$2010,$D90,'LAC 102_Wkst'!$L$7:$L$2010,"11",'LAC 102_Wkst'!$N$7:$N$2010,"P1")+SUMIFS('LAC 102_Wkst'!$Q$7:$Q$2010,'LAC 102_Wkst'!$E$7:$E$2010,$C90,'LAC 102_Wkst'!$G$7:$G$2010,$D90,'LAC 102_Wkst'!$L$7:$L$2010,"12",'LAC 102_Wkst'!$N$7:$N$2010,"P1")</f>
        <v>0</v>
      </c>
      <c r="AU90" s="411">
        <f>SUMIFS('LAC 102_Wkst'!$AE$7:$AE$2010,'LAC 102_Wkst'!$E$7:$E$2010,$C90,'LAC 102_Wkst'!$G$7:$G$2010,$D90,'LAC 102_Wkst'!$L$7:$L$2010,"11",'LAC 102_Wkst'!$N$7:$N$2010,"P1")+SUMIFS('LAC 102_Wkst'!$AE$7:$AE$2010,'LAC 102_Wkst'!$E$7:$E$2010,$C90,'LAC 102_Wkst'!$G$7:$G$2010,$D90,'LAC 102_Wkst'!$L$7:$L$2010,"12",'LAC 102_Wkst'!$N$7:$N$2010,"P1")</f>
        <v>0</v>
      </c>
      <c r="AV90" s="410">
        <f>SUMIFS('LAC 102_Wkst'!$Q$7:$Q$2010,'LAC 102_Wkst'!$E$7:$E$2010,$C90,'LAC 102_Wkst'!$G$7:$G$2010,$D90,'LAC 102_Wkst'!$L$7:$L$2010,"11",'LAC 102_Wkst'!$N$7:$N$2010,"P2")+SUMIFS('LAC 102_Wkst'!$Q$7:$Q$2010,'LAC 102_Wkst'!$E$7:$E$2010,$C90,'LAC 102_Wkst'!$G$7:$G$2010,$D90,'LAC 102_Wkst'!$L$7:$L$2010,"12",'LAC 102_Wkst'!$N$7:$N$2010,"P3")+SUMIFS('LAC 102_Wkst'!$Q$7:$Q$2010,'LAC 102_Wkst'!$E$7:$E$2010,$C90,'LAC 102_Wkst'!$G$7:$G$2010,$D90,'LAC 102_Wkst'!$L$7:$L$2010,"11",'LAC 102_Wkst'!$N$7:$N$2010,"P2")+SUMIFS('LAC 102_Wkst'!$Q$7:$Q$2010,'LAC 102_Wkst'!$E$7:$E$2010,$C90,'LAC 102_Wkst'!$G$7:$G$2010,$D90,'LAC 102_Wkst'!$L$7:$L$2010,"12",'LAC 102_Wkst'!$N$7:$N$2010,"P3")</f>
        <v>0</v>
      </c>
      <c r="AW90" s="411">
        <f>SUMIFS('LAC 102_Wkst'!$AE$7:$AE$2010,'LAC 102_Wkst'!$E$7:$E$2010,$C90,'LAC 102_Wkst'!$G$7:$G$2010,$D90,'LAC 102_Wkst'!$L$7:$L$2010,"11",'LAC 102_Wkst'!$N$7:$N$2010,"P2")+SUMIFS('LAC 102_Wkst'!$AE$7:$AE$2010,'LAC 102_Wkst'!$E$7:$E$2010,$C90,'LAC 102_Wkst'!$G$7:$G$2010,$D90,'LAC 102_Wkst'!$L$7:$L$2010,"12",'LAC 102_Wkst'!$N$7:$N$2010,"P3")+SUMIFS('LAC 102_Wkst'!$AE$7:$AE$2010,'LAC 102_Wkst'!$E$7:$E$2010,$C90,'LAC 102_Wkst'!$G$7:$G$2010,$D90,'LAC 102_Wkst'!$L$7:$L$2010,"11",'LAC 102_Wkst'!$N$7:$N$2010,"P2")+SUMIFS('LAC 102_Wkst'!$AE$7:$AE$2010,'LAC 102_Wkst'!$E$7:$E$2010,$C90,'LAC 102_Wkst'!$G$7:$G$2010,$D90,'LAC 102_Wkst'!$L$7:$L$2010,"12",'LAC 102_Wkst'!$N$7:$N$2010,"P3")</f>
        <v>0</v>
      </c>
      <c r="AX90" s="410">
        <f>SUMIFS('LAC 102_Wkst'!$Q$7:$Q$2010,'LAC 102_Wkst'!$E$7:$E$2010,$C90,'LAC 102_Wkst'!$G$7:$G$2010,$D90,'LAC 102_Wkst'!$L$7:$L$2010,"11",'LAC 102_Wkst'!$N$7:$N$2010,"P4")+SUMIFS('LAC 102_Wkst'!$Q$7:$Q$2010,'LAC 102_Wkst'!$E$7:$E$2010,$C90,'LAC 102_Wkst'!$G$7:$G$2010,$D90,'LAC 102_Wkst'!$L$7:$L$2010,"12",'LAC 102_Wkst'!$N$7:$N$2010,"P4")</f>
        <v>0</v>
      </c>
      <c r="AY90" s="411">
        <f>SUMIFS('LAC 102_Wkst'!$AE$7:$AE$2010,'LAC 102_Wkst'!$E$7:$E$2010,$C90,'LAC 102_Wkst'!$G$7:$G$2010,$D90,'LAC 102_Wkst'!$L$7:$L$2010,"11",'LAC 102_Wkst'!$N$7:$N$2010,"P4")+SUMIFS('LAC 102_Wkst'!$AE$7:$AE$2010,'LAC 102_Wkst'!$E$7:$E$2010,$C90,'LAC 102_Wkst'!$G$7:$G$2010,$D90,'LAC 102_Wkst'!$L$7:$L$2010,"12",'LAC 102_Wkst'!$N$7:$N$2010,"P4")</f>
        <v>0</v>
      </c>
      <c r="AZ90" s="410">
        <f>SUMIFS('LAC 102_Wkst'!$Q$7:$Q$2010,'LAC 102_Wkst'!$E$7:$E$2010,$C90,'LAC 102_Wkst'!$G$7:$G$2010,$D90,'LAC 102_Wkst'!$L$7:$L$2010,"11",'LAC 102_Wkst'!$N$7:$N$2010,"P5")+SUMIFS('LAC 102_Wkst'!$Q$7:$Q$2010,'LAC 102_Wkst'!$E$7:$E$2010,$C90,'LAC 102_Wkst'!$G$7:$G$2010,$D90,'LAC 102_Wkst'!$L$7:$L$2010,"12",'LAC 102_Wkst'!$N$7:$N$2010,"P5")</f>
        <v>0</v>
      </c>
      <c r="BA90" s="411">
        <f>SUMIFS('LAC 102_Wkst'!$AE$7:$AE$2010,'LAC 102_Wkst'!$E$7:$E$2010,$C90,'LAC 102_Wkst'!$G$7:$G$2010,$D90,'LAC 102_Wkst'!$L$7:$L$2010,"11",'LAC 102_Wkst'!$N$7:$N$2010,"P5")+SUMIFS('LAC 102_Wkst'!$AE$7:$AE$2010,'LAC 102_Wkst'!$E$7:$E$2010,$C90,'LAC 102_Wkst'!$G$7:$G$2010,$D90,'LAC 102_Wkst'!$L$7:$L$2010,"12",'LAC 102_Wkst'!$N$7:$N$2010,"P5")</f>
        <v>0</v>
      </c>
      <c r="BB90" s="410">
        <f>SUMIFS('LAC 102_Wkst'!$Q$7:$Q$2010,'LAC 102_Wkst'!$E$7:$E$2010,$C90,'LAC 102_Wkst'!$G$7:$G$2010,$D90,'LAC 102_Wkst'!$L$7:$L$2010,"13",'LAC 102_Wkst'!$N$7:$N$2010,"P1")+SUMIFS('LAC 102_Wkst'!$Q$7:$Q$2010,'LAC 102_Wkst'!$E$7:$E$2010,$C90,'LAC 102_Wkst'!$G$7:$G$2010,$D90,'LAC 102_Wkst'!$L$7:$L$2010,"13",'LAC 102_Wkst'!$N$7:$N$2010,"P2")+SUMIFS('LAC 102_Wkst'!$Q$7:$Q$2010,'LAC 102_Wkst'!$E$7:$E$2010,$C90,'LAC 102_Wkst'!$G$7:$G$2010,$D90,'LAC 102_Wkst'!$L$7:$L$2010,"13",'LAC 102_Wkst'!$N$7:$N$2010,"P3")+SUMIFS('LAC 102_Wkst'!$Q$7:$Q$2010,'LAC 102_Wkst'!$E$7:$E$2010,$C90,'LAC 102_Wkst'!$G$7:$G$2010,$D90,'LAC 102_Wkst'!$L$7:$L$2010,"13",'LAC 102_Wkst'!$N$7:$N$2010,"P4")</f>
        <v>0</v>
      </c>
      <c r="BC90" s="411">
        <f>SUMIFS('LAC 102_Wkst'!$AE$7:$AE$2010,'LAC 102_Wkst'!$E$7:$E$2010,$C90,'LAC 102_Wkst'!$G$7:$G$2010,$D90,'LAC 102_Wkst'!$L$7:$L$2010,"13",'LAC 102_Wkst'!$N$7:$N$2010,"P1")+SUMIFS('LAC 102_Wkst'!$AE$7:$AE$2010,'LAC 102_Wkst'!$E$7:$E$2010,$C90,'LAC 102_Wkst'!$G$7:$G$2010,$D90,'LAC 102_Wkst'!$L$7:$L$2010,"13",'LAC 102_Wkst'!$N$7:$N$2010,"P2")+SUMIFS('LAC 102_Wkst'!$AE$7:$AE$2010,'LAC 102_Wkst'!$E$7:$E$2010,$C90,'LAC 102_Wkst'!$G$7:$G$2010,$D90,'LAC 102_Wkst'!$L$7:$L$2010,"13",'LAC 102_Wkst'!$N$7:$N$2010,"P3")+SUMIFS('LAC 102_Wkst'!$AE$7:$AE$2010,'LAC 102_Wkst'!$E$7:$E$2010,$C90,'LAC 102_Wkst'!$G$7:$G$2010,$D90,'LAC 102_Wkst'!$L$7:$L$2010,"13",'LAC 102_Wkst'!$N$7:$N$2010,"P4")</f>
        <v>0</v>
      </c>
      <c r="BD90" s="410">
        <f>SUMIFS('LAC 102_Wkst'!$Q$7:$Q$2010,'LAC 102_Wkst'!$E$7:$E$2010,$C90,'LAC 102_Wkst'!$G$7:$G$2010,$D90,'LAC 102_Wkst'!$L$7:$L$2010,"13",'LAC 102_Wkst'!$N$7:$N$2010,"P5")</f>
        <v>0</v>
      </c>
      <c r="BE90" s="411">
        <f>SUMIFS('LAC 102_Wkst'!$AE$7:$AE$2010,'LAC 102_Wkst'!$E$7:$E$2010,$C90,'LAC 102_Wkst'!$G$7:$G$2010,$D90,'LAC 102_Wkst'!$L$7:$L$2010,"13",'LAC 102_Wkst'!$N$7:$N$2010,"P5")</f>
        <v>0</v>
      </c>
      <c r="BF90" s="407">
        <f t="shared" si="1"/>
        <v>0</v>
      </c>
    </row>
    <row r="91" spans="1:58" x14ac:dyDescent="0.2">
      <c r="A91" s="401">
        <v>72</v>
      </c>
      <c r="B91" s="1236"/>
      <c r="C91" s="1235"/>
      <c r="D91" s="1237"/>
      <c r="E91" s="1222">
        <f>IF(CONCATENATE(C91,D91)&gt;"6069",1,SUMIFS('LAC 102_Wkst'!$Q$7:$Q$2010,'LAC 102_Wkst'!$E$7:$E$2010,Schedule_B!$C91,'LAC 102_Wkst'!$G$7:$G$2010,Schedule_B!$D91))</f>
        <v>0</v>
      </c>
      <c r="F91" s="408">
        <f>SUMIFS('LAC 102_Wkst'!$Q$7:$Q$2010,'LAC 102_Wkst'!$E$7:$E$2010,$C91,'LAC 102_Wkst'!$G$7:$G$2010,$D91,'LAC 102_Wkst'!$L$7:$L$2010,"01",'LAC 102_Wkst'!$N$7:$N$2010,"P1")+SUMIFS('LAC 102_Wkst'!$Q$7:$Q$2010,'LAC 102_Wkst'!$E$7:$E$2010,$C91,'LAC 102_Wkst'!$G$7:$G$2010,$D91,'LAC 102_Wkst'!$L$7:$L$2010,"01",'LAC 102_Wkst'!$N$7:$N$2010,"P2")+SUMIFS('LAC 102_Wkst'!$Q$7:$Q$2010,'LAC 102_Wkst'!$E$7:$E$2010,$C91,'LAC 102_Wkst'!$G$7:$G$2010,$D91,'LAC 102_Wkst'!$L$7:$L$2010,"01",'LAC 102_Wkst'!$N$7:$N$2010,"P3")+SUMIFS('LAC 102_Wkst'!$Q$7:$Q$2010,'LAC 102_Wkst'!$E$7:$E$2010,$C91,'LAC 102_Wkst'!$G$7:$G$2010,$D91,'LAC 102_Wkst'!$L$7:$L$2010,"02",'LAC 102_Wkst'!$N$7:$N$2010,"P1")+SUMIFS('LAC 102_Wkst'!$Q$7:$Q$2010,'LAC 102_Wkst'!$E$7:$E$2010,$C91,'LAC 102_Wkst'!$G$7:$G$2010,$D91,'LAC 102_Wkst'!$L$7:$L$2010,"02",'LAC 102_Wkst'!$N$7:$N$2010,"P2")+SUMIFS('LAC 102_Wkst'!$Q$7:$Q$2010,'LAC 102_Wkst'!$E$7:$E$2010,$C91,'LAC 102_Wkst'!$G$7:$G$2010,$D91,'LAC 102_Wkst'!$L$7:$L$2010,"02",'LAC 102_Wkst'!$N$7:$N$2010,"P3")</f>
        <v>0</v>
      </c>
      <c r="G91" s="409">
        <f>SUMIFS('LAC 102_Wkst'!$AE$7:$AE$2010,'LAC 102_Wkst'!$E$7:$E$2010,$C91,'LAC 102_Wkst'!$G$7:$G$2010,$D91,'LAC 102_Wkst'!$L$7:$L$2010,"01",'LAC 102_Wkst'!$N$7:$N$2010,"P1")+SUMIFS('LAC 102_Wkst'!$AE$7:$AE$2010,'LAC 102_Wkst'!$E$7:$E$2010,$C91,'LAC 102_Wkst'!$G$7:$G$2010,$D91,'LAC 102_Wkst'!$L$7:$L$2010,"01",'LAC 102_Wkst'!$N$7:$N$2010,"P2")+SUMIFS('LAC 102_Wkst'!$AE$7:$AE$2010,'LAC 102_Wkst'!$E$7:$E$2010,$C91,'LAC 102_Wkst'!$G$7:$G$2010,$D91,'LAC 102_Wkst'!$L$7:$L$2010,"01",'LAC 102_Wkst'!$N$7:$N$2010,"P3")+SUMIFS('LAC 102_Wkst'!$AE$7:$AE$2010,'LAC 102_Wkst'!$E$7:$E$2010,$C91,'LAC 102_Wkst'!$G$7:$G$2010,$D91,'LAC 102_Wkst'!$L$7:$L$2010,"02",'LAC 102_Wkst'!$N$7:$N$2010,"P1")+SUMIFS('LAC 102_Wkst'!$AE$7:$AE$2010,'LAC 102_Wkst'!$E$7:$E$2010,$C91,'LAC 102_Wkst'!$G$7:$G$2010,$D91,'LAC 102_Wkst'!$L$7:$L$2010,"02",'LAC 102_Wkst'!$N$7:$N$2010,"P2")+SUMIFS('LAC 102_Wkst'!$AE$7:$AE$2010,'LAC 102_Wkst'!$E$7:$E$2010,$C91,'LAC 102_Wkst'!$G$7:$G$2010,$D91,'LAC 102_Wkst'!$L$7:$L$2010,"02",'LAC 102_Wkst'!$N$7:$N$2010,"P3")</f>
        <v>0</v>
      </c>
      <c r="H91" s="410">
        <f>SUMIFS('LAC 102_Wkst'!$Q$7:$Q$2010,'LAC 102_Wkst'!$E$7:$E$2010,$C91,'LAC 102_Wkst'!$G$7:$G$2010,$D91,'LAC 102_Wkst'!$L$7:$L$2010,"01",'LAC 102_Wkst'!$N$7:$N$2010,"P4")+SUMIFS('LAC 102_Wkst'!$Q$7:$Q$2010,'LAC 102_Wkst'!$E$7:$E$2010,$C91,'LAC 102_Wkst'!$G$7:$G$2010,$D91,'LAC 102_Wkst'!$L$7:$L$2010,"02",'LAC 102_Wkst'!$N$7:$N$2010,"P4")</f>
        <v>0</v>
      </c>
      <c r="I91" s="411">
        <f>SUMIFS('LAC 102_Wkst'!$AE$7:$AE$2010,'LAC 102_Wkst'!$E$7:$E$2010,$C91,'LAC 102_Wkst'!$G$7:$G$2010,$D91,'LAC 102_Wkst'!$L$7:$L$2010,"01",'LAC 102_Wkst'!$N$7:$N$2010,"P4")+SUMIFS('LAC 102_Wkst'!$AE$7:$AE$2010,'LAC 102_Wkst'!$E$7:$E$2010,$C91,'LAC 102_Wkst'!$G$7:$G$2010,$D91,'LAC 102_Wkst'!$L$7:$L$2010,"02",'LAC 102_Wkst'!$N$7:$N$2010,"P4")</f>
        <v>0</v>
      </c>
      <c r="J91" s="410">
        <f>SUMIFS('LAC 102_Wkst'!$Q$7:$Q$2010,'LAC 102_Wkst'!$E$7:$E$2010,$C91,'LAC 102_Wkst'!$G$7:$G$2010,$D91,'LAC 102_Wkst'!$L$7:$L$2010,"01",'LAC 102_Wkst'!$N$7:$N$2010,"P5")+SUMIFS('LAC 102_Wkst'!$Q$7:$Q$2010,'LAC 102_Wkst'!$E$7:$E$2010,$C91,'LAC 102_Wkst'!$G$7:$G$2010,$D91,'LAC 102_Wkst'!$L$7:$L$2010,"02",'LAC 102_Wkst'!$N$7:$N$2010,"P5")</f>
        <v>0</v>
      </c>
      <c r="K91" s="411">
        <f>SUMIFS('LAC 102_Wkst'!$AE$7:$AE$2010,'LAC 102_Wkst'!$E$7:$E$2010,$C91,'LAC 102_Wkst'!$G$7:$G$2010,$D91,'LAC 102_Wkst'!$L$7:$L$2010,"01",'LAC 102_Wkst'!$N$7:$N$2010,"P5")+SUMIFS('LAC 102_Wkst'!$AE$7:$AE$2010,'LAC 102_Wkst'!$E$7:$E$2010,$C91,'LAC 102_Wkst'!$G$7:$G$2010,$D91,'LAC 102_Wkst'!$L$7:$L$2010,"02",'LAC 102_Wkst'!$N$7:$N$2010,"P5")</f>
        <v>0</v>
      </c>
      <c r="L91" s="410">
        <f>SUMIFS('LAC 102_Wkst'!$Q$7:$Q$2010,'LAC 102_Wkst'!$E$7:$E$2010,$C91,'LAC 102_Wkst'!$G$7:$G$2010,$D91,'LAC 102_Wkst'!$L$7:$L$2010,"03",'LAC 102_Wkst'!$N$7:$N$2010,"P1")+SUMIFS('LAC 102_Wkst'!$Q$7:$Q$2010,'LAC 102_Wkst'!$E$7:$E$2010,$C91,'LAC 102_Wkst'!$G$7:$G$2010,$D91,'LAC 102_Wkst'!$L$7:$L$2010,"03",'LAC 102_Wkst'!$N$7:$N$2010,"P2")+SUMIFS('LAC 102_Wkst'!$Q$7:$Q$2010,'LAC 102_Wkst'!$E$7:$E$2010,$C91,'LAC 102_Wkst'!$G$7:$G$2010,$D91,'LAC 102_Wkst'!$L$7:$L$2010,"03",'LAC 102_Wkst'!$N$7:$N$2010,"P3")+SUMIFS('LAC 102_Wkst'!$Q$7:$Q$2010,'LAC 102_Wkst'!$E$7:$E$2010,$C91,'LAC 102_Wkst'!$G$7:$G$2010,$D91,'LAC 102_Wkst'!$L$7:$L$2010,"04",'LAC 102_Wkst'!$N$7:$N$2010,"P1")+SUMIFS('LAC 102_Wkst'!$Q$7:$Q$2010,'LAC 102_Wkst'!$E$7:$E$2010,$C91,'LAC 102_Wkst'!$G$7:$G$2010,$D91,'LAC 102_Wkst'!$L$7:$L$2010,"04",'LAC 102_Wkst'!$N$7:$N$2010,"P2")+SUMIFS('LAC 102_Wkst'!$Q$7:$Q$2010,'LAC 102_Wkst'!$E$7:$E$2010,$C91,'LAC 102_Wkst'!$G$7:$G$2010,$D91,'LAC 102_Wkst'!$L$7:$L$2010,"04",'LAC 102_Wkst'!$N$7:$N$2010,"P3")</f>
        <v>0</v>
      </c>
      <c r="M91" s="411">
        <f>SUMIFS('LAC 102_Wkst'!$AE$7:$AE$2010,'LAC 102_Wkst'!$E$7:$E$2010,$C91,'LAC 102_Wkst'!$G$7:$G$2010,$D91,'LAC 102_Wkst'!$L$7:$L$2010,"03",'LAC 102_Wkst'!$N$7:$N$2010,"P1")+SUMIFS('LAC 102_Wkst'!$AE$7:$AE$2010,'LAC 102_Wkst'!$E$7:$E$2010,$C91,'LAC 102_Wkst'!$G$7:$G$2010,$D91,'LAC 102_Wkst'!$L$7:$L$2010,"03",'LAC 102_Wkst'!$N$7:$N$2010,"P2")+SUMIFS('LAC 102_Wkst'!$AE$7:$AE$2010,'LAC 102_Wkst'!$E$7:$E$2010,$C91,'LAC 102_Wkst'!$G$7:$G$2010,$D91,'LAC 102_Wkst'!$L$7:$L$2010,"03",'LAC 102_Wkst'!$N$7:$N$2010,"P3")+SUMIFS('LAC 102_Wkst'!$AE$7:$AE$2010,'LAC 102_Wkst'!$E$7:$E$2010,$C91,'LAC 102_Wkst'!$G$7:$G$2010,$D91,'LAC 102_Wkst'!$L$7:$L$2010,"04",'LAC 102_Wkst'!$N$7:$N$2010,"P1")+SUMIFS('LAC 102_Wkst'!$AE$7:$AE$2010,'LAC 102_Wkst'!$E$7:$E$2010,$C91,'LAC 102_Wkst'!$G$7:$G$2010,$D91,'LAC 102_Wkst'!$L$7:$L$2010,"04",'LAC 102_Wkst'!$N$7:$N$2010,"P2")+SUMIFS('LAC 102_Wkst'!$AE$7:$AE$2010,'LAC 102_Wkst'!$E$7:$E$2010,$C91,'LAC 102_Wkst'!$G$7:$G$2010,$D91,'LAC 102_Wkst'!$L$7:$L$2010,"04",'LAC 102_Wkst'!$N$7:$N$2010,"P3")</f>
        <v>0</v>
      </c>
      <c r="N91" s="410">
        <f>SUMIFS('LAC 102_Wkst'!$Q$7:$Q$2010,'LAC 102_Wkst'!$E$7:$E$2010,$C91,'LAC 102_Wkst'!$G$7:$G$2010,$D91,'LAC 102_Wkst'!$L$7:$L$2010,"03",'LAC 102_Wkst'!$N$7:$N$2010,"P4")+SUMIFS('LAC 102_Wkst'!$Q$7:$Q$2010,'LAC 102_Wkst'!$E$7:$E$2010,$C91,'LAC 102_Wkst'!$G$7:$G$2010,$D91,'LAC 102_Wkst'!$L$7:$L$2010,"04",'LAC 102_Wkst'!$N$7:$N$2010,"P4")</f>
        <v>0</v>
      </c>
      <c r="O91" s="411">
        <f>SUMIFS('LAC 102_Wkst'!$AE$7:$AE$2010,'LAC 102_Wkst'!$E$7:$E$2010,$C91,'LAC 102_Wkst'!$G$7:$G$2010,$D91,'LAC 102_Wkst'!$L$7:$L$2010,"03",'LAC 102_Wkst'!$N$7:$N$2010,"P4")+SUMIFS('LAC 102_Wkst'!$AE$7:$AE$2010,'LAC 102_Wkst'!$E$7:$E$2010,$C91,'LAC 102_Wkst'!$G$7:$G$2010,$D91,'LAC 102_Wkst'!$L$7:$L$2010,"04",'LAC 102_Wkst'!$N$7:$N$2010,"P4")</f>
        <v>0</v>
      </c>
      <c r="P91" s="410">
        <f>SUMIFS('LAC 102_Wkst'!$Q$7:$Q$2010,'LAC 102_Wkst'!$E$7:$E$2010,$C91,'LAC 102_Wkst'!$G$7:$G$2010,$D91,'LAC 102_Wkst'!$L$7:$L$2010,"03",'LAC 102_Wkst'!$N$7:$N$2010,"P5")+SUMIFS('LAC 102_Wkst'!$Q$7:$Q$2010,'LAC 102_Wkst'!$E$7:$E$2010,$C91,'LAC 102_Wkst'!$G$7:$G$2010,$D91,'LAC 102_Wkst'!$L$7:$L$2010,"04",'LAC 102_Wkst'!$N$7:$N$2010,"P5")</f>
        <v>0</v>
      </c>
      <c r="Q91" s="411">
        <f>SUMIFS('LAC 102_Wkst'!$AE$7:$AE$2010,'LAC 102_Wkst'!$E$7:$E$2010,$C91,'LAC 102_Wkst'!$G$7:$G$2010,$D91,'LAC 102_Wkst'!$L$7:$L$2010,"03",'LAC 102_Wkst'!$N$7:$N$2010,"P5")+SUMIFS('LAC 102_Wkst'!$AE$7:$AE$2010,'LAC 102_Wkst'!$E$7:$E$2010,$C91,'LAC 102_Wkst'!$G$7:$G$2010,$D91,'LAC 102_Wkst'!$L$7:$L$2010,"04",'LAC 102_Wkst'!$N$7:$N$2010,"P5")</f>
        <v>0</v>
      </c>
      <c r="R91" s="412">
        <f>SUMIFS('LAC 102_Wkst'!$Q$7:$Q$2010,'LAC 102_Wkst'!$E$7:$E$2010,$C91,'LAC 102_Wkst'!$G$7:$G$2010,$D91,'LAC 102_Wkst'!$L$7:$L$2010,"05",'LAC 102_Wkst'!$N$7:$N$2010,"P1")+SUMIFS('LAC 102_Wkst'!$Q$7:$Q$2010,'LAC 102_Wkst'!$E$7:$E$2010,$C91,'LAC 102_Wkst'!$G$7:$G$2010,$D91,'LAC 102_Wkst'!$L$7:$L$2010,"06",'LAC 102_Wkst'!$N$7:$N$2010,"P1")</f>
        <v>0</v>
      </c>
      <c r="S91" s="411">
        <f>SUMIFS('LAC 102_Wkst'!$AE$7:$AE$2010,'LAC 102_Wkst'!$E$7:$E$2010,$C91,'LAC 102_Wkst'!$G$7:$G$2010,$D91,'LAC 102_Wkst'!$L$7:$L$2010,"05",'LAC 102_Wkst'!$N$7:$N$2010,"P1")+SUMIFS('LAC 102_Wkst'!$AE$7:$AE$2010,'LAC 102_Wkst'!$E$7:$E$2010,$C91,'LAC 102_Wkst'!$G$7:$G$2010,$D91,'LAC 102_Wkst'!$L$7:$L$2010,"06",'LAC 102_Wkst'!$N$7:$N$2010,"P1")</f>
        <v>0</v>
      </c>
      <c r="T91" s="410">
        <f>SUMIFS('LAC 102_Wkst'!$Q$7:$Q$2010,'LAC 102_Wkst'!$E$7:$E$2010,$C91,'LAC 102_Wkst'!$G$7:$G$2010,$D91,'LAC 102_Wkst'!$L$7:$L$2010,"05",'LAC 102_Wkst'!$N$7:$N$2010,"P2")+SUMIFS('LAC 102_Wkst'!$Q$7:$Q$2010,'LAC 102_Wkst'!$E$7:$E$2010,$C91,'LAC 102_Wkst'!$G$7:$G$2010,$D91,'LAC 102_Wkst'!$L$7:$L$2010,"05",'LAC 102_Wkst'!$N$7:$N$2010,"P3")+SUMIFS('LAC 102_Wkst'!$Q$7:$Q$2010,'LAC 102_Wkst'!$E$7:$E$2010,$C91,'LAC 102_Wkst'!$G$7:$G$2010,$D91,'LAC 102_Wkst'!$L$7:$L$2010,"06",'LAC 102_Wkst'!$N$7:$N$2010,"P2")+SUMIFS('LAC 102_Wkst'!$Q$7:$Q$2010,'LAC 102_Wkst'!$E$7:$E$2010,$C91,'LAC 102_Wkst'!$G$7:$G$2010,$D91,'LAC 102_Wkst'!$L$7:$L$2010,"06",'LAC 102_Wkst'!$N$7:$N$2010,"P3")</f>
        <v>0</v>
      </c>
      <c r="U91" s="411">
        <f>SUMIFS('LAC 102_Wkst'!$AE$7:$AE$2010,'LAC 102_Wkst'!$E$7:$E$2010,$C91,'LAC 102_Wkst'!$G$7:$G$2010,$D91,'LAC 102_Wkst'!$L$7:$L$2010,"05",'LAC 102_Wkst'!$N$7:$N$2010,"P2")+SUMIFS('LAC 102_Wkst'!$AE$7:$AE$2010,'LAC 102_Wkst'!$E$7:$E$2010,$C91,'LAC 102_Wkst'!$G$7:$G$2010,$D91,'LAC 102_Wkst'!$L$7:$L$2010,"06",'LAC 102_Wkst'!$N$7:$N$2010,"P3")+SUMIFS('LAC 102_Wkst'!$AE$7:$AE$2010,'LAC 102_Wkst'!$E$7:$E$2010,$C91,'LAC 102_Wkst'!$G$7:$G$2010,$D91,'LAC 102_Wkst'!$L$7:$L$2010,"05",'LAC 102_Wkst'!$N$7:$N$2010,"P2")+SUMIFS('LAC 102_Wkst'!$AE$7:$AE$2010,'LAC 102_Wkst'!$E$7:$E$2010,$C91,'LAC 102_Wkst'!$G$7:$G$2010,$D91,'LAC 102_Wkst'!$L$7:$L$2010,"06",'LAC 102_Wkst'!$N$7:$N$2010,"P3")</f>
        <v>0</v>
      </c>
      <c r="V91" s="410">
        <f>SUMIFS('LAC 102_Wkst'!$Q$7:$Q$2010,'LAC 102_Wkst'!$E$7:$E$2010,$C91,'LAC 102_Wkst'!$G$7:$G$2010,$D91,'LAC 102_Wkst'!$L$7:$L$2010,"05",'LAC 102_Wkst'!$N$7:$N$2010,"P4")+SUMIFS('LAC 102_Wkst'!$Q$7:$Q$2010,'LAC 102_Wkst'!$E$7:$E$2010,$C91,'LAC 102_Wkst'!$G$7:$G$2010,$D91,'LAC 102_Wkst'!$L$7:$L$2010,"06",'LAC 102_Wkst'!$N$7:$N$2010,"P4")</f>
        <v>0</v>
      </c>
      <c r="W91" s="411">
        <f>SUMIFS('LAC 102_Wkst'!$AE$7:$AE$2010,'LAC 102_Wkst'!$E$7:$E$2010,$C91,'LAC 102_Wkst'!$G$7:$G$2010,$D91,'LAC 102_Wkst'!$L$7:$L$2010,"05",'LAC 102_Wkst'!$N$7:$N$2010,"P4")+SUMIFS('LAC 102_Wkst'!$AE$7:$AE$2010,'LAC 102_Wkst'!$E$7:$E$2010,$C91,'LAC 102_Wkst'!$G$7:$G$2010,$D91,'LAC 102_Wkst'!$L$7:$L$2010,"06",'LAC 102_Wkst'!$N$7:$N$2010,"P4")</f>
        <v>0</v>
      </c>
      <c r="X91" s="410">
        <f>SUMIFS('LAC 102_Wkst'!$Q$7:$Q$2010,'LAC 102_Wkst'!$E$7:$E$2010,$C91,'LAC 102_Wkst'!$G$7:$G$2010,$D91,'LAC 102_Wkst'!$L$7:$L$2010,"05",'LAC 102_Wkst'!$N$7:$N$2010,"P5")+SUMIFS('LAC 102_Wkst'!$Q$7:$Q$2010,'LAC 102_Wkst'!$E$7:$E$2010,$C91,'LAC 102_Wkst'!$G$7:$G$2010,$D91,'LAC 102_Wkst'!$L$7:$L$2010,"06",'LAC 102_Wkst'!$N$7:$N$2010,"P5")</f>
        <v>0</v>
      </c>
      <c r="Y91" s="411">
        <f>SUMIFS('LAC 102_Wkst'!$AE$7:$AE$2010,'LAC 102_Wkst'!$E$7:$E$2010,$C91,'LAC 102_Wkst'!$G$7:$G$2010,$D91,'LAC 102_Wkst'!$L$7:$L$2010,"05",'LAC 102_Wkst'!$N$7:$N$2010,"P5")+SUMIFS('LAC 102_Wkst'!$AE$7:$AE$2010,'LAC 102_Wkst'!$E$7:$E$2010,$C91,'LAC 102_Wkst'!$G$7:$G$2010,$D91,'LAC 102_Wkst'!$L$7:$L$2010,"06",'LAC 102_Wkst'!$N$7:$N$2010,"P5")</f>
        <v>0</v>
      </c>
      <c r="Z91" s="410">
        <f>SUMIFS('LAC 102_Wkst'!$Q$7:$Q$2010,'LAC 102_Wkst'!$E$7:$E$2010,$C91,'LAC 102_Wkst'!$G$7:$G$2010,$D91,'LAC 102_Wkst'!$L$7:$L$2010,"07",'LAC 102_Wkst'!$N$7:$N$2010,"P1")+SUMIFS('LAC 102_Wkst'!$Q$7:$Q$2010,'LAC 102_Wkst'!$E$7:$E$2010,$C91,'LAC 102_Wkst'!$G$7:$G$2010,$D91,'LAC 102_Wkst'!$L$7:$L$2010,"07",'LAC 102_Wkst'!$N$7:$N$2010,"P2")+SUMIFS('LAC 102_Wkst'!$Q$7:$Q$2010,'LAC 102_Wkst'!$E$7:$E$2010,$C91,'LAC 102_Wkst'!$G$7:$G$2010,$D91,'LAC 102_Wkst'!$L$7:$L$2010,"07",'LAC 102_Wkst'!$N$7:$N$2010,"P3")</f>
        <v>0</v>
      </c>
      <c r="AA91" s="411">
        <f>SUMIFS('LAC 102_Wkst'!$AE$7:$AE$2010,'LAC 102_Wkst'!$E$7:$E$2010,$C91,'LAC 102_Wkst'!$G$7:$G$2010,$D91,'LAC 102_Wkst'!$L$7:$L$2010,"07",'LAC 102_Wkst'!$N$7:$N$2010,"P1")+SUMIFS('LAC 102_Wkst'!$AE$7:$AE$2010,'LAC 102_Wkst'!$E$7:$E$2010,$C91,'LAC 102_Wkst'!$G$7:$G$2010,$D91,'LAC 102_Wkst'!$L$7:$L$2010,"07",'LAC 102_Wkst'!$N$7:$N$2010,"P2")+SUMIFS('LAC 102_Wkst'!$AE$7:$AE$2010,'LAC 102_Wkst'!$E$7:$E$2010,$C91,'LAC 102_Wkst'!$G$7:$G$2010,$D91,'LAC 102_Wkst'!$L$7:$L$2010,"07",'LAC 102_Wkst'!$N$7:$N$2010,"P3")</f>
        <v>0</v>
      </c>
      <c r="AB91" s="410">
        <f>SUMIFS('LAC 102_Wkst'!$Q$7:$Q$2010,'LAC 102_Wkst'!$E$7:$E$2010,$C91,'LAC 102_Wkst'!$G$7:$G$2010,$D91,'LAC 102_Wkst'!$L$7:$L$2010,"07",'LAC 102_Wkst'!$N$7:$N$2010,"P4")</f>
        <v>0</v>
      </c>
      <c r="AC91" s="411">
        <f>SUMIFS('LAC 102_Wkst'!$AE$7:$AE$2010,'LAC 102_Wkst'!$E$7:$E$2010,$C91,'LAC 102_Wkst'!$G$7:$G$2010,$D91,'LAC 102_Wkst'!$L$7:$L$2010,"07",'LAC 102_Wkst'!$N$7:$N$2010,"P4")</f>
        <v>0</v>
      </c>
      <c r="AD91" s="410">
        <f>SUMIFS('LAC 102_Wkst'!$Q$7:$Q$2010,'LAC 102_Wkst'!$E$7:$E$2010,$C91,'LAC 102_Wkst'!$G$7:$G$2010,$D91,'LAC 102_Wkst'!$L$7:$L$2010,"07",'LAC 102_Wkst'!$N$7:$N$2010,"P5")</f>
        <v>0</v>
      </c>
      <c r="AE91" s="411">
        <f>SUMIFS('LAC 102_Wkst'!$AE$7:$AE$2010,'LAC 102_Wkst'!$E$7:$E$2010,$C91,'LAC 102_Wkst'!$G$7:$G$2010,$D91,'LAC 102_Wkst'!$L$7:$L$2010,"07",'LAC 102_Wkst'!$N$7:$N$2010,"P5")</f>
        <v>0</v>
      </c>
      <c r="AF91" s="410">
        <f>SUMIFS('LAC 102_Wkst'!$Q$7:$Q$2010,'LAC 102_Wkst'!$E$7:$E$2010,$C91,'LAC 102_Wkst'!$G$7:$G$2010,$D91,'LAC 102_Wkst'!$L$7:$L$2010,"08",'LAC 102_Wkst'!$N$7:$N$2010,"P1")+SUMIFS('LAC 102_Wkst'!$Q$7:$Q$2010,'LAC 102_Wkst'!$E$7:$E$2010,$C91,'LAC 102_Wkst'!$G$7:$G$2010,$D91,'LAC 102_Wkst'!$L$7:$L$2010,"08",'LAC 102_Wkst'!$N$7:$N$2010,"P2")+SUMIFS('LAC 102_Wkst'!$Q$7:$Q$2010,'LAC 102_Wkst'!$E$7:$E$2010,$C91,'LAC 102_Wkst'!$G$7:$G$2010,$D91,'LAC 102_Wkst'!$L$7:$L$2010,"08",'LAC 102_Wkst'!$N$7:$N$2010,"P3")</f>
        <v>0</v>
      </c>
      <c r="AG91" s="411">
        <f>SUMIFS('LAC 102_Wkst'!$AE$7:$AE$2010,'LAC 102_Wkst'!$E$7:$E$2010,$C91,'LAC 102_Wkst'!$G$7:$G$2010,$D91,'LAC 102_Wkst'!$L$7:$L$2010,"08",'LAC 102_Wkst'!$N$7:$N$2010,"P1")+SUMIFS('LAC 102_Wkst'!$AE$7:$AE$2010,'LAC 102_Wkst'!$E$7:$E$2010,$C91,'LAC 102_Wkst'!$G$7:$G$2010,$D91,'LAC 102_Wkst'!$L$7:$L$2010,"08",'LAC 102_Wkst'!$N$7:$N$2010,"P2")+SUMIFS('LAC 102_Wkst'!$AE$7:$AE$2010,'LAC 102_Wkst'!$E$7:$E$2010,$C91,'LAC 102_Wkst'!$G$7:$G$2010,$D91,'LAC 102_Wkst'!$L$7:$L$2010,"08",'LAC 102_Wkst'!$N$7:$N$2010,"P3")</f>
        <v>0</v>
      </c>
      <c r="AH91" s="410">
        <f>SUMIFS('LAC 102_Wkst'!$Q$7:$Q$2010,'LAC 102_Wkst'!$E$7:$E$2010,$C91,'LAC 102_Wkst'!$G$7:$G$2010,$D91,'LAC 102_Wkst'!$L$7:$L$2010,"08",'LAC 102_Wkst'!$N$7:$N$2010,"P4")</f>
        <v>0</v>
      </c>
      <c r="AI91" s="411">
        <f>SUMIFS('LAC 102_Wkst'!$AE$7:$AE$2010,'LAC 102_Wkst'!$E$7:$E$2010,$C91,'LAC 102_Wkst'!$G$7:$G$2010,$D91,'LAC 102_Wkst'!$L$7:$L$2010,"08",'LAC 102_Wkst'!$N$7:$N$2010,"P4")</f>
        <v>0</v>
      </c>
      <c r="AJ91" s="410">
        <f>SUMIFS('LAC 102_Wkst'!$Q$7:$Q$2010,'LAC 102_Wkst'!$E$7:$E$2010,$C91,'LAC 102_Wkst'!$G$7:$G$2010,$D91,'LAC 102_Wkst'!$L$7:$L$2010,"08",'LAC 102_Wkst'!$N$7:$N$2010,"P5")</f>
        <v>0</v>
      </c>
      <c r="AK91" s="411">
        <f>SUMIFS('LAC 102_Wkst'!$AE$7:$AE$2010,'LAC 102_Wkst'!$E$7:$E$2010,$C91,'LAC 102_Wkst'!$G$7:$G$2010,$D91,'LAC 102_Wkst'!$L$7:$L$2010,"08",'LAC 102_Wkst'!$N$7:$N$2010,"P5")</f>
        <v>0</v>
      </c>
      <c r="AL91" s="410">
        <f>SUMIFS('LAC 102_Wkst'!$Q$7:$Q$2010,'LAC 102_Wkst'!$E$7:$E$2010,$C91,'LAC 102_Wkst'!$G$7:$G$2010,$D91,'LAC 102_Wkst'!$L$7:$L$2010,"09",'LAC 102_Wkst'!$N$7:$N$2010,"P1")+SUMIFS('LAC 102_Wkst'!$Q$7:$Q$2010,'LAC 102_Wkst'!$E$7:$E$2010,$C91,'LAC 102_Wkst'!$G$7:$G$2010,$D91,'LAC 102_Wkst'!$L$7:$L$2010,"09",'LAC 102_Wkst'!$N$7:$N$2010,"P2")+SUMIFS('LAC 102_Wkst'!$Q$7:$Q$2010,'LAC 102_Wkst'!$E$7:$E$2010,$C91,'LAC 102_Wkst'!$G$7:$G$2010,$D91,'LAC 102_Wkst'!$L$7:$L$2010,"09",'LAC 102_Wkst'!$N$7:$N$2010,"P3")+SUMIFS('LAC 102_Wkst'!$Q$7:$Q$2010,'LAC 102_Wkst'!$E$7:$E$2010,$C91,'LAC 102_Wkst'!$G$7:$G$2010,$D91,'LAC 102_Wkst'!$L$7:$L$2010,"09",'LAC 102_Wkst'!$N$7:$N$2010,"P4")</f>
        <v>0</v>
      </c>
      <c r="AM91" s="411">
        <f>SUMIFS('LAC 102_Wkst'!$AE$7:$AE$2010,'LAC 102_Wkst'!$E$7:$E$2010,$C91,'LAC 102_Wkst'!$G$7:$G$2010,$D91,'LAC 102_Wkst'!$L$7:$L$2010,"09",'LAC 102_Wkst'!$N$7:$N$2010,"P1")+SUMIFS('LAC 102_Wkst'!$AE$7:$AE$2010,'LAC 102_Wkst'!$E$7:$E$2010,$C91,'LAC 102_Wkst'!$G$7:$G$2010,$D91,'LAC 102_Wkst'!$L$7:$L$2010,"09",'LAC 102_Wkst'!$N$7:$N$2010,"P2")+SUMIFS('LAC 102_Wkst'!$AE$7:$AE$2010,'LAC 102_Wkst'!$E$7:$E$2010,$C91,'LAC 102_Wkst'!$G$7:$G$2010,$D91,'LAC 102_Wkst'!$L$7:$L$2010,"09",'LAC 102_Wkst'!$N$7:$N$2010,"P3")+SUMIFS('LAC 102_Wkst'!$AE$7:$AE$2010,'LAC 102_Wkst'!$E$7:$E$2010,$C91,'LAC 102_Wkst'!$G$7:$G$2010,$D91,'LAC 102_Wkst'!$L$7:$L$2010,"09",'LAC 102_Wkst'!$N$7:$N$2010,"P4")</f>
        <v>0</v>
      </c>
      <c r="AN91" s="410">
        <f>SUMIFS('LAC 102_Wkst'!$Q$7:$Q$2010,'LAC 102_Wkst'!$E$7:$E$2010,$C91,'LAC 102_Wkst'!$G$7:$G$2010,$D91,'LAC 102_Wkst'!$L$7:$L$2010,"09",'LAC 102_Wkst'!$N$7:$N$2010,"P5")</f>
        <v>0</v>
      </c>
      <c r="AO91" s="411">
        <f>SUMIFS('LAC 102_Wkst'!$AE$7:$AE$2010,'LAC 102_Wkst'!$E$7:$E$2010,$C91,'LAC 102_Wkst'!$G$7:$G$2010,$D91,'LAC 102_Wkst'!$L$7:$L$2010,"09",'LAC 102_Wkst'!$N$7:$N$2010,"P5")</f>
        <v>0</v>
      </c>
      <c r="AP91" s="410">
        <f>SUMIFS('LAC 102_Wkst'!$Q$7:$Q$2010,'LAC 102_Wkst'!$E$7:$E$2010,$C91,'LAC 102_Wkst'!$G$7:$G$2010,$D91,'LAC 102_Wkst'!$L$7:$L$2010,"10",'LAC 102_Wkst'!$N$7:$N$2010,"P1")+SUMIFS('LAC 102_Wkst'!$Q$7:$Q$2010,'LAC 102_Wkst'!$E$7:$E$2010,$C91,'LAC 102_Wkst'!$G$7:$G$2010,$D91,'LAC 102_Wkst'!$L$7:$L$2010,"10",'LAC 102_Wkst'!$N$7:$N$2010,"P2")+SUMIFS('LAC 102_Wkst'!$Q$7:$Q$2010,'LAC 102_Wkst'!$E$7:$E$2010,$C91,'LAC 102_Wkst'!$G$7:$G$2010,$D91,'LAC 102_Wkst'!$L$7:$L$2010,"10",'LAC 102_Wkst'!$N$7:$N$2010,"P3")+SUMIFS('LAC 102_Wkst'!$Q$7:$Q$2010,'LAC 102_Wkst'!$E$7:$E$2010,$C91,'LAC 102_Wkst'!$G$7:$G$2010,$D91,'LAC 102_Wkst'!$L$7:$L$2010,"10",'LAC 102_Wkst'!$N$7:$N$2010,"P4")</f>
        <v>0</v>
      </c>
      <c r="AQ91" s="411">
        <f>SUMIFS('LAC 102_Wkst'!$AE$7:$AE$2010,'LAC 102_Wkst'!$E$7:$E$2010,$C91,'LAC 102_Wkst'!$G$7:$G$2010,$D91,'LAC 102_Wkst'!$L$7:$L$2010,"10",'LAC 102_Wkst'!$N$7:$N$2010,"P1")+SUMIFS('LAC 102_Wkst'!$AE$7:$AE$2010,'LAC 102_Wkst'!$E$7:$E$2010,$C91,'LAC 102_Wkst'!$G$7:$G$2010,$D91,'LAC 102_Wkst'!$L$7:$L$2010,"10",'LAC 102_Wkst'!$N$7:$N$2010,"P2")+SUMIFS('LAC 102_Wkst'!$AE$7:$AE$2010,'LAC 102_Wkst'!$E$7:$E$2010,$C91,'LAC 102_Wkst'!$G$7:$G$2010,$D91,'LAC 102_Wkst'!$L$7:$L$2010,"10",'LAC 102_Wkst'!$N$7:$N$2010,"P3")+SUMIFS('LAC 102_Wkst'!$AE$7:$AE$2010,'LAC 102_Wkst'!$E$7:$E$2010,$C91,'LAC 102_Wkst'!$G$7:$G$2010,$D91,'LAC 102_Wkst'!$L$7:$L$2010,"10",'LAC 102_Wkst'!$N$7:$N$2010,"P4")</f>
        <v>0</v>
      </c>
      <c r="AR91" s="410">
        <f>SUMIFS('LAC 102_Wkst'!$Q$7:$Q$2010,'LAC 102_Wkst'!$E$7:$E$2010,$C91,'LAC 102_Wkst'!$G$7:$G$2010,$D91,'LAC 102_Wkst'!$L$7:$L$2010,"10",'LAC 102_Wkst'!$N$7:$N$2010,"P5")</f>
        <v>0</v>
      </c>
      <c r="AS91" s="411">
        <f>SUMIFS('LAC 102_Wkst'!$AE$7:$AE$2010,'LAC 102_Wkst'!$E$7:$E$2010,$C91,'LAC 102_Wkst'!$G$7:$G$2010,$D91,'LAC 102_Wkst'!$L$7:$L$2010,"10",'LAC 102_Wkst'!$N$7:$N$2010,"P5")</f>
        <v>0</v>
      </c>
      <c r="AT91" s="410">
        <f>SUMIFS('LAC 102_Wkst'!$Q$7:$Q$2010,'LAC 102_Wkst'!$E$7:$E$2010,$C91,'LAC 102_Wkst'!$G$7:$G$2010,$D91,'LAC 102_Wkst'!$L$7:$L$2010,"11",'LAC 102_Wkst'!$N$7:$N$2010,"P1")+SUMIFS('LAC 102_Wkst'!$Q$7:$Q$2010,'LAC 102_Wkst'!$E$7:$E$2010,$C91,'LAC 102_Wkst'!$G$7:$G$2010,$D91,'LAC 102_Wkst'!$L$7:$L$2010,"12",'LAC 102_Wkst'!$N$7:$N$2010,"P1")</f>
        <v>0</v>
      </c>
      <c r="AU91" s="411">
        <f>SUMIFS('LAC 102_Wkst'!$AE$7:$AE$2010,'LAC 102_Wkst'!$E$7:$E$2010,$C91,'LAC 102_Wkst'!$G$7:$G$2010,$D91,'LAC 102_Wkst'!$L$7:$L$2010,"11",'LAC 102_Wkst'!$N$7:$N$2010,"P1")+SUMIFS('LAC 102_Wkst'!$AE$7:$AE$2010,'LAC 102_Wkst'!$E$7:$E$2010,$C91,'LAC 102_Wkst'!$G$7:$G$2010,$D91,'LAC 102_Wkst'!$L$7:$L$2010,"12",'LAC 102_Wkst'!$N$7:$N$2010,"P1")</f>
        <v>0</v>
      </c>
      <c r="AV91" s="410">
        <f>SUMIFS('LAC 102_Wkst'!$Q$7:$Q$2010,'LAC 102_Wkst'!$E$7:$E$2010,$C91,'LAC 102_Wkst'!$G$7:$G$2010,$D91,'LAC 102_Wkst'!$L$7:$L$2010,"11",'LAC 102_Wkst'!$N$7:$N$2010,"P2")+SUMIFS('LAC 102_Wkst'!$Q$7:$Q$2010,'LAC 102_Wkst'!$E$7:$E$2010,$C91,'LAC 102_Wkst'!$G$7:$G$2010,$D91,'LAC 102_Wkst'!$L$7:$L$2010,"12",'LAC 102_Wkst'!$N$7:$N$2010,"P3")+SUMIFS('LAC 102_Wkst'!$Q$7:$Q$2010,'LAC 102_Wkst'!$E$7:$E$2010,$C91,'LAC 102_Wkst'!$G$7:$G$2010,$D91,'LAC 102_Wkst'!$L$7:$L$2010,"11",'LAC 102_Wkst'!$N$7:$N$2010,"P2")+SUMIFS('LAC 102_Wkst'!$Q$7:$Q$2010,'LAC 102_Wkst'!$E$7:$E$2010,$C91,'LAC 102_Wkst'!$G$7:$G$2010,$D91,'LAC 102_Wkst'!$L$7:$L$2010,"12",'LAC 102_Wkst'!$N$7:$N$2010,"P3")</f>
        <v>0</v>
      </c>
      <c r="AW91" s="411">
        <f>SUMIFS('LAC 102_Wkst'!$AE$7:$AE$2010,'LAC 102_Wkst'!$E$7:$E$2010,$C91,'LAC 102_Wkst'!$G$7:$G$2010,$D91,'LAC 102_Wkst'!$L$7:$L$2010,"11",'LAC 102_Wkst'!$N$7:$N$2010,"P2")+SUMIFS('LAC 102_Wkst'!$AE$7:$AE$2010,'LAC 102_Wkst'!$E$7:$E$2010,$C91,'LAC 102_Wkst'!$G$7:$G$2010,$D91,'LAC 102_Wkst'!$L$7:$L$2010,"12",'LAC 102_Wkst'!$N$7:$N$2010,"P3")+SUMIFS('LAC 102_Wkst'!$AE$7:$AE$2010,'LAC 102_Wkst'!$E$7:$E$2010,$C91,'LAC 102_Wkst'!$G$7:$G$2010,$D91,'LAC 102_Wkst'!$L$7:$L$2010,"11",'LAC 102_Wkst'!$N$7:$N$2010,"P2")+SUMIFS('LAC 102_Wkst'!$AE$7:$AE$2010,'LAC 102_Wkst'!$E$7:$E$2010,$C91,'LAC 102_Wkst'!$G$7:$G$2010,$D91,'LAC 102_Wkst'!$L$7:$L$2010,"12",'LAC 102_Wkst'!$N$7:$N$2010,"P3")</f>
        <v>0</v>
      </c>
      <c r="AX91" s="410">
        <f>SUMIFS('LAC 102_Wkst'!$Q$7:$Q$2010,'LAC 102_Wkst'!$E$7:$E$2010,$C91,'LAC 102_Wkst'!$G$7:$G$2010,$D91,'LAC 102_Wkst'!$L$7:$L$2010,"11",'LAC 102_Wkst'!$N$7:$N$2010,"P4")+SUMIFS('LAC 102_Wkst'!$Q$7:$Q$2010,'LAC 102_Wkst'!$E$7:$E$2010,$C91,'LAC 102_Wkst'!$G$7:$G$2010,$D91,'LAC 102_Wkst'!$L$7:$L$2010,"12",'LAC 102_Wkst'!$N$7:$N$2010,"P4")</f>
        <v>0</v>
      </c>
      <c r="AY91" s="411">
        <f>SUMIFS('LAC 102_Wkst'!$AE$7:$AE$2010,'LAC 102_Wkst'!$E$7:$E$2010,$C91,'LAC 102_Wkst'!$G$7:$G$2010,$D91,'LAC 102_Wkst'!$L$7:$L$2010,"11",'LAC 102_Wkst'!$N$7:$N$2010,"P4")+SUMIFS('LAC 102_Wkst'!$AE$7:$AE$2010,'LAC 102_Wkst'!$E$7:$E$2010,$C91,'LAC 102_Wkst'!$G$7:$G$2010,$D91,'LAC 102_Wkst'!$L$7:$L$2010,"12",'LAC 102_Wkst'!$N$7:$N$2010,"P4")</f>
        <v>0</v>
      </c>
      <c r="AZ91" s="410">
        <f>SUMIFS('LAC 102_Wkst'!$Q$7:$Q$2010,'LAC 102_Wkst'!$E$7:$E$2010,$C91,'LAC 102_Wkst'!$G$7:$G$2010,$D91,'LAC 102_Wkst'!$L$7:$L$2010,"11",'LAC 102_Wkst'!$N$7:$N$2010,"P5")+SUMIFS('LAC 102_Wkst'!$Q$7:$Q$2010,'LAC 102_Wkst'!$E$7:$E$2010,$C91,'LAC 102_Wkst'!$G$7:$G$2010,$D91,'LAC 102_Wkst'!$L$7:$L$2010,"12",'LAC 102_Wkst'!$N$7:$N$2010,"P5")</f>
        <v>0</v>
      </c>
      <c r="BA91" s="411">
        <f>SUMIFS('LAC 102_Wkst'!$AE$7:$AE$2010,'LAC 102_Wkst'!$E$7:$E$2010,$C91,'LAC 102_Wkst'!$G$7:$G$2010,$D91,'LAC 102_Wkst'!$L$7:$L$2010,"11",'LAC 102_Wkst'!$N$7:$N$2010,"P5")+SUMIFS('LAC 102_Wkst'!$AE$7:$AE$2010,'LAC 102_Wkst'!$E$7:$E$2010,$C91,'LAC 102_Wkst'!$G$7:$G$2010,$D91,'LAC 102_Wkst'!$L$7:$L$2010,"12",'LAC 102_Wkst'!$N$7:$N$2010,"P5")</f>
        <v>0</v>
      </c>
      <c r="BB91" s="410">
        <f>SUMIFS('LAC 102_Wkst'!$Q$7:$Q$2010,'LAC 102_Wkst'!$E$7:$E$2010,$C91,'LAC 102_Wkst'!$G$7:$G$2010,$D91,'LAC 102_Wkst'!$L$7:$L$2010,"13",'LAC 102_Wkst'!$N$7:$N$2010,"P1")+SUMIFS('LAC 102_Wkst'!$Q$7:$Q$2010,'LAC 102_Wkst'!$E$7:$E$2010,$C91,'LAC 102_Wkst'!$G$7:$G$2010,$D91,'LAC 102_Wkst'!$L$7:$L$2010,"13",'LAC 102_Wkst'!$N$7:$N$2010,"P2")+SUMIFS('LAC 102_Wkst'!$Q$7:$Q$2010,'LAC 102_Wkst'!$E$7:$E$2010,$C91,'LAC 102_Wkst'!$G$7:$G$2010,$D91,'LAC 102_Wkst'!$L$7:$L$2010,"13",'LAC 102_Wkst'!$N$7:$N$2010,"P3")+SUMIFS('LAC 102_Wkst'!$Q$7:$Q$2010,'LAC 102_Wkst'!$E$7:$E$2010,$C91,'LAC 102_Wkst'!$G$7:$G$2010,$D91,'LAC 102_Wkst'!$L$7:$L$2010,"13",'LAC 102_Wkst'!$N$7:$N$2010,"P4")</f>
        <v>0</v>
      </c>
      <c r="BC91" s="411">
        <f>SUMIFS('LAC 102_Wkst'!$AE$7:$AE$2010,'LAC 102_Wkst'!$E$7:$E$2010,$C91,'LAC 102_Wkst'!$G$7:$G$2010,$D91,'LAC 102_Wkst'!$L$7:$L$2010,"13",'LAC 102_Wkst'!$N$7:$N$2010,"P1")+SUMIFS('LAC 102_Wkst'!$AE$7:$AE$2010,'LAC 102_Wkst'!$E$7:$E$2010,$C91,'LAC 102_Wkst'!$G$7:$G$2010,$D91,'LAC 102_Wkst'!$L$7:$L$2010,"13",'LAC 102_Wkst'!$N$7:$N$2010,"P2")+SUMIFS('LAC 102_Wkst'!$AE$7:$AE$2010,'LAC 102_Wkst'!$E$7:$E$2010,$C91,'LAC 102_Wkst'!$G$7:$G$2010,$D91,'LAC 102_Wkst'!$L$7:$L$2010,"13",'LAC 102_Wkst'!$N$7:$N$2010,"P3")+SUMIFS('LAC 102_Wkst'!$AE$7:$AE$2010,'LAC 102_Wkst'!$E$7:$E$2010,$C91,'LAC 102_Wkst'!$G$7:$G$2010,$D91,'LAC 102_Wkst'!$L$7:$L$2010,"13",'LAC 102_Wkst'!$N$7:$N$2010,"P4")</f>
        <v>0</v>
      </c>
      <c r="BD91" s="410">
        <f>SUMIFS('LAC 102_Wkst'!$Q$7:$Q$2010,'LAC 102_Wkst'!$E$7:$E$2010,$C91,'LAC 102_Wkst'!$G$7:$G$2010,$D91,'LAC 102_Wkst'!$L$7:$L$2010,"13",'LAC 102_Wkst'!$N$7:$N$2010,"P5")</f>
        <v>0</v>
      </c>
      <c r="BE91" s="411">
        <f>SUMIFS('LAC 102_Wkst'!$AE$7:$AE$2010,'LAC 102_Wkst'!$E$7:$E$2010,$C91,'LAC 102_Wkst'!$G$7:$G$2010,$D91,'LAC 102_Wkst'!$L$7:$L$2010,"13",'LAC 102_Wkst'!$N$7:$N$2010,"P5")</f>
        <v>0</v>
      </c>
      <c r="BF91" s="407">
        <f t="shared" si="1"/>
        <v>0</v>
      </c>
    </row>
    <row r="92" spans="1:58" x14ac:dyDescent="0.2">
      <c r="A92" s="401">
        <v>73</v>
      </c>
      <c r="B92" s="1236"/>
      <c r="C92" s="1235"/>
      <c r="D92" s="1237"/>
      <c r="E92" s="1222">
        <f>IF(CONCATENATE(C92,D92)&gt;"6069",1,SUMIFS('LAC 102_Wkst'!$Q$7:$Q$2010,'LAC 102_Wkst'!$E$7:$E$2010,Schedule_B!$C92,'LAC 102_Wkst'!$G$7:$G$2010,Schedule_B!$D92))</f>
        <v>0</v>
      </c>
      <c r="F92" s="408">
        <f>SUMIFS('LAC 102_Wkst'!$Q$7:$Q$2010,'LAC 102_Wkst'!$E$7:$E$2010,$C92,'LAC 102_Wkst'!$G$7:$G$2010,$D92,'LAC 102_Wkst'!$L$7:$L$2010,"01",'LAC 102_Wkst'!$N$7:$N$2010,"P1")+SUMIFS('LAC 102_Wkst'!$Q$7:$Q$2010,'LAC 102_Wkst'!$E$7:$E$2010,$C92,'LAC 102_Wkst'!$G$7:$G$2010,$D92,'LAC 102_Wkst'!$L$7:$L$2010,"01",'LAC 102_Wkst'!$N$7:$N$2010,"P2")+SUMIFS('LAC 102_Wkst'!$Q$7:$Q$2010,'LAC 102_Wkst'!$E$7:$E$2010,$C92,'LAC 102_Wkst'!$G$7:$G$2010,$D92,'LAC 102_Wkst'!$L$7:$L$2010,"01",'LAC 102_Wkst'!$N$7:$N$2010,"P3")+SUMIFS('LAC 102_Wkst'!$Q$7:$Q$2010,'LAC 102_Wkst'!$E$7:$E$2010,$C92,'LAC 102_Wkst'!$G$7:$G$2010,$D92,'LAC 102_Wkst'!$L$7:$L$2010,"02",'LAC 102_Wkst'!$N$7:$N$2010,"P1")+SUMIFS('LAC 102_Wkst'!$Q$7:$Q$2010,'LAC 102_Wkst'!$E$7:$E$2010,$C92,'LAC 102_Wkst'!$G$7:$G$2010,$D92,'LAC 102_Wkst'!$L$7:$L$2010,"02",'LAC 102_Wkst'!$N$7:$N$2010,"P2")+SUMIFS('LAC 102_Wkst'!$Q$7:$Q$2010,'LAC 102_Wkst'!$E$7:$E$2010,$C92,'LAC 102_Wkst'!$G$7:$G$2010,$D92,'LAC 102_Wkst'!$L$7:$L$2010,"02",'LAC 102_Wkst'!$N$7:$N$2010,"P3")</f>
        <v>0</v>
      </c>
      <c r="G92" s="409">
        <f>SUMIFS('LAC 102_Wkst'!$AE$7:$AE$2010,'LAC 102_Wkst'!$E$7:$E$2010,$C92,'LAC 102_Wkst'!$G$7:$G$2010,$D92,'LAC 102_Wkst'!$L$7:$L$2010,"01",'LAC 102_Wkst'!$N$7:$N$2010,"P1")+SUMIFS('LAC 102_Wkst'!$AE$7:$AE$2010,'LAC 102_Wkst'!$E$7:$E$2010,$C92,'LAC 102_Wkst'!$G$7:$G$2010,$D92,'LAC 102_Wkst'!$L$7:$L$2010,"01",'LAC 102_Wkst'!$N$7:$N$2010,"P2")+SUMIFS('LAC 102_Wkst'!$AE$7:$AE$2010,'LAC 102_Wkst'!$E$7:$E$2010,$C92,'LAC 102_Wkst'!$G$7:$G$2010,$D92,'LAC 102_Wkst'!$L$7:$L$2010,"01",'LAC 102_Wkst'!$N$7:$N$2010,"P3")+SUMIFS('LAC 102_Wkst'!$AE$7:$AE$2010,'LAC 102_Wkst'!$E$7:$E$2010,$C92,'LAC 102_Wkst'!$G$7:$G$2010,$D92,'LAC 102_Wkst'!$L$7:$L$2010,"02",'LAC 102_Wkst'!$N$7:$N$2010,"P1")+SUMIFS('LAC 102_Wkst'!$AE$7:$AE$2010,'LAC 102_Wkst'!$E$7:$E$2010,$C92,'LAC 102_Wkst'!$G$7:$G$2010,$D92,'LAC 102_Wkst'!$L$7:$L$2010,"02",'LAC 102_Wkst'!$N$7:$N$2010,"P2")+SUMIFS('LAC 102_Wkst'!$AE$7:$AE$2010,'LAC 102_Wkst'!$E$7:$E$2010,$C92,'LAC 102_Wkst'!$G$7:$G$2010,$D92,'LAC 102_Wkst'!$L$7:$L$2010,"02",'LAC 102_Wkst'!$N$7:$N$2010,"P3")</f>
        <v>0</v>
      </c>
      <c r="H92" s="410">
        <f>SUMIFS('LAC 102_Wkst'!$Q$7:$Q$2010,'LAC 102_Wkst'!$E$7:$E$2010,$C92,'LAC 102_Wkst'!$G$7:$G$2010,$D92,'LAC 102_Wkst'!$L$7:$L$2010,"01",'LAC 102_Wkst'!$N$7:$N$2010,"P4")+SUMIFS('LAC 102_Wkst'!$Q$7:$Q$2010,'LAC 102_Wkst'!$E$7:$E$2010,$C92,'LAC 102_Wkst'!$G$7:$G$2010,$D92,'LAC 102_Wkst'!$L$7:$L$2010,"02",'LAC 102_Wkst'!$N$7:$N$2010,"P4")</f>
        <v>0</v>
      </c>
      <c r="I92" s="411">
        <f>SUMIFS('LAC 102_Wkst'!$AE$7:$AE$2010,'LAC 102_Wkst'!$E$7:$E$2010,$C92,'LAC 102_Wkst'!$G$7:$G$2010,$D92,'LAC 102_Wkst'!$L$7:$L$2010,"01",'LAC 102_Wkst'!$N$7:$N$2010,"P4")+SUMIFS('LAC 102_Wkst'!$AE$7:$AE$2010,'LAC 102_Wkst'!$E$7:$E$2010,$C92,'LAC 102_Wkst'!$G$7:$G$2010,$D92,'LAC 102_Wkst'!$L$7:$L$2010,"02",'LAC 102_Wkst'!$N$7:$N$2010,"P4")</f>
        <v>0</v>
      </c>
      <c r="J92" s="410">
        <f>SUMIFS('LAC 102_Wkst'!$Q$7:$Q$2010,'LAC 102_Wkst'!$E$7:$E$2010,$C92,'LAC 102_Wkst'!$G$7:$G$2010,$D92,'LAC 102_Wkst'!$L$7:$L$2010,"01",'LAC 102_Wkst'!$N$7:$N$2010,"P5")+SUMIFS('LAC 102_Wkst'!$Q$7:$Q$2010,'LAC 102_Wkst'!$E$7:$E$2010,$C92,'LAC 102_Wkst'!$G$7:$G$2010,$D92,'LAC 102_Wkst'!$L$7:$L$2010,"02",'LAC 102_Wkst'!$N$7:$N$2010,"P5")</f>
        <v>0</v>
      </c>
      <c r="K92" s="411">
        <f>SUMIFS('LAC 102_Wkst'!$AE$7:$AE$2010,'LAC 102_Wkst'!$E$7:$E$2010,$C92,'LAC 102_Wkst'!$G$7:$G$2010,$D92,'LAC 102_Wkst'!$L$7:$L$2010,"01",'LAC 102_Wkst'!$N$7:$N$2010,"P5")+SUMIFS('LAC 102_Wkst'!$AE$7:$AE$2010,'LAC 102_Wkst'!$E$7:$E$2010,$C92,'LAC 102_Wkst'!$G$7:$G$2010,$D92,'LAC 102_Wkst'!$L$7:$L$2010,"02",'LAC 102_Wkst'!$N$7:$N$2010,"P5")</f>
        <v>0</v>
      </c>
      <c r="L92" s="410">
        <f>SUMIFS('LAC 102_Wkst'!$Q$7:$Q$2010,'LAC 102_Wkst'!$E$7:$E$2010,$C92,'LAC 102_Wkst'!$G$7:$G$2010,$D92,'LAC 102_Wkst'!$L$7:$L$2010,"03",'LAC 102_Wkst'!$N$7:$N$2010,"P1")+SUMIFS('LAC 102_Wkst'!$Q$7:$Q$2010,'LAC 102_Wkst'!$E$7:$E$2010,$C92,'LAC 102_Wkst'!$G$7:$G$2010,$D92,'LAC 102_Wkst'!$L$7:$L$2010,"03",'LAC 102_Wkst'!$N$7:$N$2010,"P2")+SUMIFS('LAC 102_Wkst'!$Q$7:$Q$2010,'LAC 102_Wkst'!$E$7:$E$2010,$C92,'LAC 102_Wkst'!$G$7:$G$2010,$D92,'LAC 102_Wkst'!$L$7:$L$2010,"03",'LAC 102_Wkst'!$N$7:$N$2010,"P3")+SUMIFS('LAC 102_Wkst'!$Q$7:$Q$2010,'LAC 102_Wkst'!$E$7:$E$2010,$C92,'LAC 102_Wkst'!$G$7:$G$2010,$D92,'LAC 102_Wkst'!$L$7:$L$2010,"04",'LAC 102_Wkst'!$N$7:$N$2010,"P1")+SUMIFS('LAC 102_Wkst'!$Q$7:$Q$2010,'LAC 102_Wkst'!$E$7:$E$2010,$C92,'LAC 102_Wkst'!$G$7:$G$2010,$D92,'LAC 102_Wkst'!$L$7:$L$2010,"04",'LAC 102_Wkst'!$N$7:$N$2010,"P2")+SUMIFS('LAC 102_Wkst'!$Q$7:$Q$2010,'LAC 102_Wkst'!$E$7:$E$2010,$C92,'LAC 102_Wkst'!$G$7:$G$2010,$D92,'LAC 102_Wkst'!$L$7:$L$2010,"04",'LAC 102_Wkst'!$N$7:$N$2010,"P3")</f>
        <v>0</v>
      </c>
      <c r="M92" s="411">
        <f>SUMIFS('LAC 102_Wkst'!$AE$7:$AE$2010,'LAC 102_Wkst'!$E$7:$E$2010,$C92,'LAC 102_Wkst'!$G$7:$G$2010,$D92,'LAC 102_Wkst'!$L$7:$L$2010,"03",'LAC 102_Wkst'!$N$7:$N$2010,"P1")+SUMIFS('LAC 102_Wkst'!$AE$7:$AE$2010,'LAC 102_Wkst'!$E$7:$E$2010,$C92,'LAC 102_Wkst'!$G$7:$G$2010,$D92,'LAC 102_Wkst'!$L$7:$L$2010,"03",'LAC 102_Wkst'!$N$7:$N$2010,"P2")+SUMIFS('LAC 102_Wkst'!$AE$7:$AE$2010,'LAC 102_Wkst'!$E$7:$E$2010,$C92,'LAC 102_Wkst'!$G$7:$G$2010,$D92,'LAC 102_Wkst'!$L$7:$L$2010,"03",'LAC 102_Wkst'!$N$7:$N$2010,"P3")+SUMIFS('LAC 102_Wkst'!$AE$7:$AE$2010,'LAC 102_Wkst'!$E$7:$E$2010,$C92,'LAC 102_Wkst'!$G$7:$G$2010,$D92,'LAC 102_Wkst'!$L$7:$L$2010,"04",'LAC 102_Wkst'!$N$7:$N$2010,"P1")+SUMIFS('LAC 102_Wkst'!$AE$7:$AE$2010,'LAC 102_Wkst'!$E$7:$E$2010,$C92,'LAC 102_Wkst'!$G$7:$G$2010,$D92,'LAC 102_Wkst'!$L$7:$L$2010,"04",'LAC 102_Wkst'!$N$7:$N$2010,"P2")+SUMIFS('LAC 102_Wkst'!$AE$7:$AE$2010,'LAC 102_Wkst'!$E$7:$E$2010,$C92,'LAC 102_Wkst'!$G$7:$G$2010,$D92,'LAC 102_Wkst'!$L$7:$L$2010,"04",'LAC 102_Wkst'!$N$7:$N$2010,"P3")</f>
        <v>0</v>
      </c>
      <c r="N92" s="410">
        <f>SUMIFS('LAC 102_Wkst'!$Q$7:$Q$2010,'LAC 102_Wkst'!$E$7:$E$2010,$C92,'LAC 102_Wkst'!$G$7:$G$2010,$D92,'LAC 102_Wkst'!$L$7:$L$2010,"03",'LAC 102_Wkst'!$N$7:$N$2010,"P4")+SUMIFS('LAC 102_Wkst'!$Q$7:$Q$2010,'LAC 102_Wkst'!$E$7:$E$2010,$C92,'LAC 102_Wkst'!$G$7:$G$2010,$D92,'LAC 102_Wkst'!$L$7:$L$2010,"04",'LAC 102_Wkst'!$N$7:$N$2010,"P4")</f>
        <v>0</v>
      </c>
      <c r="O92" s="411">
        <f>SUMIFS('LAC 102_Wkst'!$AE$7:$AE$2010,'LAC 102_Wkst'!$E$7:$E$2010,$C92,'LAC 102_Wkst'!$G$7:$G$2010,$D92,'LAC 102_Wkst'!$L$7:$L$2010,"03",'LAC 102_Wkst'!$N$7:$N$2010,"P4")+SUMIFS('LAC 102_Wkst'!$AE$7:$AE$2010,'LAC 102_Wkst'!$E$7:$E$2010,$C92,'LAC 102_Wkst'!$G$7:$G$2010,$D92,'LAC 102_Wkst'!$L$7:$L$2010,"04",'LAC 102_Wkst'!$N$7:$N$2010,"P4")</f>
        <v>0</v>
      </c>
      <c r="P92" s="410">
        <f>SUMIFS('LAC 102_Wkst'!$Q$7:$Q$2010,'LAC 102_Wkst'!$E$7:$E$2010,$C92,'LAC 102_Wkst'!$G$7:$G$2010,$D92,'LAC 102_Wkst'!$L$7:$L$2010,"03",'LAC 102_Wkst'!$N$7:$N$2010,"P5")+SUMIFS('LAC 102_Wkst'!$Q$7:$Q$2010,'LAC 102_Wkst'!$E$7:$E$2010,$C92,'LAC 102_Wkst'!$G$7:$G$2010,$D92,'LAC 102_Wkst'!$L$7:$L$2010,"04",'LAC 102_Wkst'!$N$7:$N$2010,"P5")</f>
        <v>0</v>
      </c>
      <c r="Q92" s="411">
        <f>SUMIFS('LAC 102_Wkst'!$AE$7:$AE$2010,'LAC 102_Wkst'!$E$7:$E$2010,$C92,'LAC 102_Wkst'!$G$7:$G$2010,$D92,'LAC 102_Wkst'!$L$7:$L$2010,"03",'LAC 102_Wkst'!$N$7:$N$2010,"P5")+SUMIFS('LAC 102_Wkst'!$AE$7:$AE$2010,'LAC 102_Wkst'!$E$7:$E$2010,$C92,'LAC 102_Wkst'!$G$7:$G$2010,$D92,'LAC 102_Wkst'!$L$7:$L$2010,"04",'LAC 102_Wkst'!$N$7:$N$2010,"P5")</f>
        <v>0</v>
      </c>
      <c r="R92" s="412">
        <f>SUMIFS('LAC 102_Wkst'!$Q$7:$Q$2010,'LAC 102_Wkst'!$E$7:$E$2010,$C92,'LAC 102_Wkst'!$G$7:$G$2010,$D92,'LAC 102_Wkst'!$L$7:$L$2010,"05",'LAC 102_Wkst'!$N$7:$N$2010,"P1")+SUMIFS('LAC 102_Wkst'!$Q$7:$Q$2010,'LAC 102_Wkst'!$E$7:$E$2010,$C92,'LAC 102_Wkst'!$G$7:$G$2010,$D92,'LAC 102_Wkst'!$L$7:$L$2010,"06",'LAC 102_Wkst'!$N$7:$N$2010,"P1")</f>
        <v>0</v>
      </c>
      <c r="S92" s="411">
        <f>SUMIFS('LAC 102_Wkst'!$AE$7:$AE$2010,'LAC 102_Wkst'!$E$7:$E$2010,$C92,'LAC 102_Wkst'!$G$7:$G$2010,$D92,'LAC 102_Wkst'!$L$7:$L$2010,"05",'LAC 102_Wkst'!$N$7:$N$2010,"P1")+SUMIFS('LAC 102_Wkst'!$AE$7:$AE$2010,'LAC 102_Wkst'!$E$7:$E$2010,$C92,'LAC 102_Wkst'!$G$7:$G$2010,$D92,'LAC 102_Wkst'!$L$7:$L$2010,"06",'LAC 102_Wkst'!$N$7:$N$2010,"P1")</f>
        <v>0</v>
      </c>
      <c r="T92" s="410">
        <f>SUMIFS('LAC 102_Wkst'!$Q$7:$Q$2010,'LAC 102_Wkst'!$E$7:$E$2010,$C92,'LAC 102_Wkst'!$G$7:$G$2010,$D92,'LAC 102_Wkst'!$L$7:$L$2010,"05",'LAC 102_Wkst'!$N$7:$N$2010,"P2")+SUMIFS('LAC 102_Wkst'!$Q$7:$Q$2010,'LAC 102_Wkst'!$E$7:$E$2010,$C92,'LAC 102_Wkst'!$G$7:$G$2010,$D92,'LAC 102_Wkst'!$L$7:$L$2010,"05",'LAC 102_Wkst'!$N$7:$N$2010,"P3")+SUMIFS('LAC 102_Wkst'!$Q$7:$Q$2010,'LAC 102_Wkst'!$E$7:$E$2010,$C92,'LAC 102_Wkst'!$G$7:$G$2010,$D92,'LAC 102_Wkst'!$L$7:$L$2010,"06",'LAC 102_Wkst'!$N$7:$N$2010,"P2")+SUMIFS('LAC 102_Wkst'!$Q$7:$Q$2010,'LAC 102_Wkst'!$E$7:$E$2010,$C92,'LAC 102_Wkst'!$G$7:$G$2010,$D92,'LAC 102_Wkst'!$L$7:$L$2010,"06",'LAC 102_Wkst'!$N$7:$N$2010,"P3")</f>
        <v>0</v>
      </c>
      <c r="U92" s="411">
        <f>SUMIFS('LAC 102_Wkst'!$AE$7:$AE$2010,'LAC 102_Wkst'!$E$7:$E$2010,$C92,'LAC 102_Wkst'!$G$7:$G$2010,$D92,'LAC 102_Wkst'!$L$7:$L$2010,"05",'LAC 102_Wkst'!$N$7:$N$2010,"P2")+SUMIFS('LAC 102_Wkst'!$AE$7:$AE$2010,'LAC 102_Wkst'!$E$7:$E$2010,$C92,'LAC 102_Wkst'!$G$7:$G$2010,$D92,'LAC 102_Wkst'!$L$7:$L$2010,"06",'LAC 102_Wkst'!$N$7:$N$2010,"P3")+SUMIFS('LAC 102_Wkst'!$AE$7:$AE$2010,'LAC 102_Wkst'!$E$7:$E$2010,$C92,'LAC 102_Wkst'!$G$7:$G$2010,$D92,'LAC 102_Wkst'!$L$7:$L$2010,"05",'LAC 102_Wkst'!$N$7:$N$2010,"P2")+SUMIFS('LAC 102_Wkst'!$AE$7:$AE$2010,'LAC 102_Wkst'!$E$7:$E$2010,$C92,'LAC 102_Wkst'!$G$7:$G$2010,$D92,'LAC 102_Wkst'!$L$7:$L$2010,"06",'LAC 102_Wkst'!$N$7:$N$2010,"P3")</f>
        <v>0</v>
      </c>
      <c r="V92" s="410">
        <f>SUMIFS('LAC 102_Wkst'!$Q$7:$Q$2010,'LAC 102_Wkst'!$E$7:$E$2010,$C92,'LAC 102_Wkst'!$G$7:$G$2010,$D92,'LAC 102_Wkst'!$L$7:$L$2010,"05",'LAC 102_Wkst'!$N$7:$N$2010,"P4")+SUMIFS('LAC 102_Wkst'!$Q$7:$Q$2010,'LAC 102_Wkst'!$E$7:$E$2010,$C92,'LAC 102_Wkst'!$G$7:$G$2010,$D92,'LAC 102_Wkst'!$L$7:$L$2010,"06",'LAC 102_Wkst'!$N$7:$N$2010,"P4")</f>
        <v>0</v>
      </c>
      <c r="W92" s="411">
        <f>SUMIFS('LAC 102_Wkst'!$AE$7:$AE$2010,'LAC 102_Wkst'!$E$7:$E$2010,$C92,'LAC 102_Wkst'!$G$7:$G$2010,$D92,'LAC 102_Wkst'!$L$7:$L$2010,"05",'LAC 102_Wkst'!$N$7:$N$2010,"P4")+SUMIFS('LAC 102_Wkst'!$AE$7:$AE$2010,'LAC 102_Wkst'!$E$7:$E$2010,$C92,'LAC 102_Wkst'!$G$7:$G$2010,$D92,'LAC 102_Wkst'!$L$7:$L$2010,"06",'LAC 102_Wkst'!$N$7:$N$2010,"P4")</f>
        <v>0</v>
      </c>
      <c r="X92" s="410">
        <f>SUMIFS('LAC 102_Wkst'!$Q$7:$Q$2010,'LAC 102_Wkst'!$E$7:$E$2010,$C92,'LAC 102_Wkst'!$G$7:$G$2010,$D92,'LAC 102_Wkst'!$L$7:$L$2010,"05",'LAC 102_Wkst'!$N$7:$N$2010,"P5")+SUMIFS('LAC 102_Wkst'!$Q$7:$Q$2010,'LAC 102_Wkst'!$E$7:$E$2010,$C92,'LAC 102_Wkst'!$G$7:$G$2010,$D92,'LAC 102_Wkst'!$L$7:$L$2010,"06",'LAC 102_Wkst'!$N$7:$N$2010,"P5")</f>
        <v>0</v>
      </c>
      <c r="Y92" s="411">
        <f>SUMIFS('LAC 102_Wkst'!$AE$7:$AE$2010,'LAC 102_Wkst'!$E$7:$E$2010,$C92,'LAC 102_Wkst'!$G$7:$G$2010,$D92,'LAC 102_Wkst'!$L$7:$L$2010,"05",'LAC 102_Wkst'!$N$7:$N$2010,"P5")+SUMIFS('LAC 102_Wkst'!$AE$7:$AE$2010,'LAC 102_Wkst'!$E$7:$E$2010,$C92,'LAC 102_Wkst'!$G$7:$G$2010,$D92,'LAC 102_Wkst'!$L$7:$L$2010,"06",'LAC 102_Wkst'!$N$7:$N$2010,"P5")</f>
        <v>0</v>
      </c>
      <c r="Z92" s="410">
        <f>SUMIFS('LAC 102_Wkst'!$Q$7:$Q$2010,'LAC 102_Wkst'!$E$7:$E$2010,$C92,'LAC 102_Wkst'!$G$7:$G$2010,$D92,'LAC 102_Wkst'!$L$7:$L$2010,"07",'LAC 102_Wkst'!$N$7:$N$2010,"P1")+SUMIFS('LAC 102_Wkst'!$Q$7:$Q$2010,'LAC 102_Wkst'!$E$7:$E$2010,$C92,'LAC 102_Wkst'!$G$7:$G$2010,$D92,'LAC 102_Wkst'!$L$7:$L$2010,"07",'LAC 102_Wkst'!$N$7:$N$2010,"P2")+SUMIFS('LAC 102_Wkst'!$Q$7:$Q$2010,'LAC 102_Wkst'!$E$7:$E$2010,$C92,'LAC 102_Wkst'!$G$7:$G$2010,$D92,'LAC 102_Wkst'!$L$7:$L$2010,"07",'LAC 102_Wkst'!$N$7:$N$2010,"P3")</f>
        <v>0</v>
      </c>
      <c r="AA92" s="411">
        <f>SUMIFS('LAC 102_Wkst'!$AE$7:$AE$2010,'LAC 102_Wkst'!$E$7:$E$2010,$C92,'LAC 102_Wkst'!$G$7:$G$2010,$D92,'LAC 102_Wkst'!$L$7:$L$2010,"07",'LAC 102_Wkst'!$N$7:$N$2010,"P1")+SUMIFS('LAC 102_Wkst'!$AE$7:$AE$2010,'LAC 102_Wkst'!$E$7:$E$2010,$C92,'LAC 102_Wkst'!$G$7:$G$2010,$D92,'LAC 102_Wkst'!$L$7:$L$2010,"07",'LAC 102_Wkst'!$N$7:$N$2010,"P2")+SUMIFS('LAC 102_Wkst'!$AE$7:$AE$2010,'LAC 102_Wkst'!$E$7:$E$2010,$C92,'LAC 102_Wkst'!$G$7:$G$2010,$D92,'LAC 102_Wkst'!$L$7:$L$2010,"07",'LAC 102_Wkst'!$N$7:$N$2010,"P3")</f>
        <v>0</v>
      </c>
      <c r="AB92" s="410">
        <f>SUMIFS('LAC 102_Wkst'!$Q$7:$Q$2010,'LAC 102_Wkst'!$E$7:$E$2010,$C92,'LAC 102_Wkst'!$G$7:$G$2010,$D92,'LAC 102_Wkst'!$L$7:$L$2010,"07",'LAC 102_Wkst'!$N$7:$N$2010,"P4")</f>
        <v>0</v>
      </c>
      <c r="AC92" s="411">
        <f>SUMIFS('LAC 102_Wkst'!$AE$7:$AE$2010,'LAC 102_Wkst'!$E$7:$E$2010,$C92,'LAC 102_Wkst'!$G$7:$G$2010,$D92,'LAC 102_Wkst'!$L$7:$L$2010,"07",'LAC 102_Wkst'!$N$7:$N$2010,"P4")</f>
        <v>0</v>
      </c>
      <c r="AD92" s="410">
        <f>SUMIFS('LAC 102_Wkst'!$Q$7:$Q$2010,'LAC 102_Wkst'!$E$7:$E$2010,$C92,'LAC 102_Wkst'!$G$7:$G$2010,$D92,'LAC 102_Wkst'!$L$7:$L$2010,"07",'LAC 102_Wkst'!$N$7:$N$2010,"P5")</f>
        <v>0</v>
      </c>
      <c r="AE92" s="411">
        <f>SUMIFS('LAC 102_Wkst'!$AE$7:$AE$2010,'LAC 102_Wkst'!$E$7:$E$2010,$C92,'LAC 102_Wkst'!$G$7:$G$2010,$D92,'LAC 102_Wkst'!$L$7:$L$2010,"07",'LAC 102_Wkst'!$N$7:$N$2010,"P5")</f>
        <v>0</v>
      </c>
      <c r="AF92" s="410">
        <f>SUMIFS('LAC 102_Wkst'!$Q$7:$Q$2010,'LAC 102_Wkst'!$E$7:$E$2010,$C92,'LAC 102_Wkst'!$G$7:$G$2010,$D92,'LAC 102_Wkst'!$L$7:$L$2010,"08",'LAC 102_Wkst'!$N$7:$N$2010,"P1")+SUMIFS('LAC 102_Wkst'!$Q$7:$Q$2010,'LAC 102_Wkst'!$E$7:$E$2010,$C92,'LAC 102_Wkst'!$G$7:$G$2010,$D92,'LAC 102_Wkst'!$L$7:$L$2010,"08",'LAC 102_Wkst'!$N$7:$N$2010,"P2")+SUMIFS('LAC 102_Wkst'!$Q$7:$Q$2010,'LAC 102_Wkst'!$E$7:$E$2010,$C92,'LAC 102_Wkst'!$G$7:$G$2010,$D92,'LAC 102_Wkst'!$L$7:$L$2010,"08",'LAC 102_Wkst'!$N$7:$N$2010,"P3")</f>
        <v>0</v>
      </c>
      <c r="AG92" s="411">
        <f>SUMIFS('LAC 102_Wkst'!$AE$7:$AE$2010,'LAC 102_Wkst'!$E$7:$E$2010,$C92,'LAC 102_Wkst'!$G$7:$G$2010,$D92,'LAC 102_Wkst'!$L$7:$L$2010,"08",'LAC 102_Wkst'!$N$7:$N$2010,"P1")+SUMIFS('LAC 102_Wkst'!$AE$7:$AE$2010,'LAC 102_Wkst'!$E$7:$E$2010,$C92,'LAC 102_Wkst'!$G$7:$G$2010,$D92,'LAC 102_Wkst'!$L$7:$L$2010,"08",'LAC 102_Wkst'!$N$7:$N$2010,"P2")+SUMIFS('LAC 102_Wkst'!$AE$7:$AE$2010,'LAC 102_Wkst'!$E$7:$E$2010,$C92,'LAC 102_Wkst'!$G$7:$G$2010,$D92,'LAC 102_Wkst'!$L$7:$L$2010,"08",'LAC 102_Wkst'!$N$7:$N$2010,"P3")</f>
        <v>0</v>
      </c>
      <c r="AH92" s="410">
        <f>SUMIFS('LAC 102_Wkst'!$Q$7:$Q$2010,'LAC 102_Wkst'!$E$7:$E$2010,$C92,'LAC 102_Wkst'!$G$7:$G$2010,$D92,'LAC 102_Wkst'!$L$7:$L$2010,"08",'LAC 102_Wkst'!$N$7:$N$2010,"P4")</f>
        <v>0</v>
      </c>
      <c r="AI92" s="411">
        <f>SUMIFS('LAC 102_Wkst'!$AE$7:$AE$2010,'LAC 102_Wkst'!$E$7:$E$2010,$C92,'LAC 102_Wkst'!$G$7:$G$2010,$D92,'LAC 102_Wkst'!$L$7:$L$2010,"08",'LAC 102_Wkst'!$N$7:$N$2010,"P4")</f>
        <v>0</v>
      </c>
      <c r="AJ92" s="410">
        <f>SUMIFS('LAC 102_Wkst'!$Q$7:$Q$2010,'LAC 102_Wkst'!$E$7:$E$2010,$C92,'LAC 102_Wkst'!$G$7:$G$2010,$D92,'LAC 102_Wkst'!$L$7:$L$2010,"08",'LAC 102_Wkst'!$N$7:$N$2010,"P5")</f>
        <v>0</v>
      </c>
      <c r="AK92" s="411">
        <f>SUMIFS('LAC 102_Wkst'!$AE$7:$AE$2010,'LAC 102_Wkst'!$E$7:$E$2010,$C92,'LAC 102_Wkst'!$G$7:$G$2010,$D92,'LAC 102_Wkst'!$L$7:$L$2010,"08",'LAC 102_Wkst'!$N$7:$N$2010,"P5")</f>
        <v>0</v>
      </c>
      <c r="AL92" s="410">
        <f>SUMIFS('LAC 102_Wkst'!$Q$7:$Q$2010,'LAC 102_Wkst'!$E$7:$E$2010,$C92,'LAC 102_Wkst'!$G$7:$G$2010,$D92,'LAC 102_Wkst'!$L$7:$L$2010,"09",'LAC 102_Wkst'!$N$7:$N$2010,"P1")+SUMIFS('LAC 102_Wkst'!$Q$7:$Q$2010,'LAC 102_Wkst'!$E$7:$E$2010,$C92,'LAC 102_Wkst'!$G$7:$G$2010,$D92,'LAC 102_Wkst'!$L$7:$L$2010,"09",'LAC 102_Wkst'!$N$7:$N$2010,"P2")+SUMIFS('LAC 102_Wkst'!$Q$7:$Q$2010,'LAC 102_Wkst'!$E$7:$E$2010,$C92,'LAC 102_Wkst'!$G$7:$G$2010,$D92,'LAC 102_Wkst'!$L$7:$L$2010,"09",'LAC 102_Wkst'!$N$7:$N$2010,"P3")+SUMIFS('LAC 102_Wkst'!$Q$7:$Q$2010,'LAC 102_Wkst'!$E$7:$E$2010,$C92,'LAC 102_Wkst'!$G$7:$G$2010,$D92,'LAC 102_Wkst'!$L$7:$L$2010,"09",'LAC 102_Wkst'!$N$7:$N$2010,"P4")</f>
        <v>0</v>
      </c>
      <c r="AM92" s="411">
        <f>SUMIFS('LAC 102_Wkst'!$AE$7:$AE$2010,'LAC 102_Wkst'!$E$7:$E$2010,$C92,'LAC 102_Wkst'!$G$7:$G$2010,$D92,'LAC 102_Wkst'!$L$7:$L$2010,"09",'LAC 102_Wkst'!$N$7:$N$2010,"P1")+SUMIFS('LAC 102_Wkst'!$AE$7:$AE$2010,'LAC 102_Wkst'!$E$7:$E$2010,$C92,'LAC 102_Wkst'!$G$7:$G$2010,$D92,'LAC 102_Wkst'!$L$7:$L$2010,"09",'LAC 102_Wkst'!$N$7:$N$2010,"P2")+SUMIFS('LAC 102_Wkst'!$AE$7:$AE$2010,'LAC 102_Wkst'!$E$7:$E$2010,$C92,'LAC 102_Wkst'!$G$7:$G$2010,$D92,'LAC 102_Wkst'!$L$7:$L$2010,"09",'LAC 102_Wkst'!$N$7:$N$2010,"P3")+SUMIFS('LAC 102_Wkst'!$AE$7:$AE$2010,'LAC 102_Wkst'!$E$7:$E$2010,$C92,'LAC 102_Wkst'!$G$7:$G$2010,$D92,'LAC 102_Wkst'!$L$7:$L$2010,"09",'LAC 102_Wkst'!$N$7:$N$2010,"P4")</f>
        <v>0</v>
      </c>
      <c r="AN92" s="410">
        <f>SUMIFS('LAC 102_Wkst'!$Q$7:$Q$2010,'LAC 102_Wkst'!$E$7:$E$2010,$C92,'LAC 102_Wkst'!$G$7:$G$2010,$D92,'LAC 102_Wkst'!$L$7:$L$2010,"09",'LAC 102_Wkst'!$N$7:$N$2010,"P5")</f>
        <v>0</v>
      </c>
      <c r="AO92" s="411">
        <f>SUMIFS('LAC 102_Wkst'!$AE$7:$AE$2010,'LAC 102_Wkst'!$E$7:$E$2010,$C92,'LAC 102_Wkst'!$G$7:$G$2010,$D92,'LAC 102_Wkst'!$L$7:$L$2010,"09",'LAC 102_Wkst'!$N$7:$N$2010,"P5")</f>
        <v>0</v>
      </c>
      <c r="AP92" s="410">
        <f>SUMIFS('LAC 102_Wkst'!$Q$7:$Q$2010,'LAC 102_Wkst'!$E$7:$E$2010,$C92,'LAC 102_Wkst'!$G$7:$G$2010,$D92,'LAC 102_Wkst'!$L$7:$L$2010,"10",'LAC 102_Wkst'!$N$7:$N$2010,"P1")+SUMIFS('LAC 102_Wkst'!$Q$7:$Q$2010,'LAC 102_Wkst'!$E$7:$E$2010,$C92,'LAC 102_Wkst'!$G$7:$G$2010,$D92,'LAC 102_Wkst'!$L$7:$L$2010,"10",'LAC 102_Wkst'!$N$7:$N$2010,"P2")+SUMIFS('LAC 102_Wkst'!$Q$7:$Q$2010,'LAC 102_Wkst'!$E$7:$E$2010,$C92,'LAC 102_Wkst'!$G$7:$G$2010,$D92,'LAC 102_Wkst'!$L$7:$L$2010,"10",'LAC 102_Wkst'!$N$7:$N$2010,"P3")+SUMIFS('LAC 102_Wkst'!$Q$7:$Q$2010,'LAC 102_Wkst'!$E$7:$E$2010,$C92,'LAC 102_Wkst'!$G$7:$G$2010,$D92,'LAC 102_Wkst'!$L$7:$L$2010,"10",'LAC 102_Wkst'!$N$7:$N$2010,"P4")</f>
        <v>0</v>
      </c>
      <c r="AQ92" s="411">
        <f>SUMIFS('LAC 102_Wkst'!$AE$7:$AE$2010,'LAC 102_Wkst'!$E$7:$E$2010,$C92,'LAC 102_Wkst'!$G$7:$G$2010,$D92,'LAC 102_Wkst'!$L$7:$L$2010,"10",'LAC 102_Wkst'!$N$7:$N$2010,"P1")+SUMIFS('LAC 102_Wkst'!$AE$7:$AE$2010,'LAC 102_Wkst'!$E$7:$E$2010,$C92,'LAC 102_Wkst'!$G$7:$G$2010,$D92,'LAC 102_Wkst'!$L$7:$L$2010,"10",'LAC 102_Wkst'!$N$7:$N$2010,"P2")+SUMIFS('LAC 102_Wkst'!$AE$7:$AE$2010,'LAC 102_Wkst'!$E$7:$E$2010,$C92,'LAC 102_Wkst'!$G$7:$G$2010,$D92,'LAC 102_Wkst'!$L$7:$L$2010,"10",'LAC 102_Wkst'!$N$7:$N$2010,"P3")+SUMIFS('LAC 102_Wkst'!$AE$7:$AE$2010,'LAC 102_Wkst'!$E$7:$E$2010,$C92,'LAC 102_Wkst'!$G$7:$G$2010,$D92,'LAC 102_Wkst'!$L$7:$L$2010,"10",'LAC 102_Wkst'!$N$7:$N$2010,"P4")</f>
        <v>0</v>
      </c>
      <c r="AR92" s="410">
        <f>SUMIFS('LAC 102_Wkst'!$Q$7:$Q$2010,'LAC 102_Wkst'!$E$7:$E$2010,$C92,'LAC 102_Wkst'!$G$7:$G$2010,$D92,'LAC 102_Wkst'!$L$7:$L$2010,"10",'LAC 102_Wkst'!$N$7:$N$2010,"P5")</f>
        <v>0</v>
      </c>
      <c r="AS92" s="411">
        <f>SUMIFS('LAC 102_Wkst'!$AE$7:$AE$2010,'LAC 102_Wkst'!$E$7:$E$2010,$C92,'LAC 102_Wkst'!$G$7:$G$2010,$D92,'LAC 102_Wkst'!$L$7:$L$2010,"10",'LAC 102_Wkst'!$N$7:$N$2010,"P5")</f>
        <v>0</v>
      </c>
      <c r="AT92" s="410">
        <f>SUMIFS('LAC 102_Wkst'!$Q$7:$Q$2010,'LAC 102_Wkst'!$E$7:$E$2010,$C92,'LAC 102_Wkst'!$G$7:$G$2010,$D92,'LAC 102_Wkst'!$L$7:$L$2010,"11",'LAC 102_Wkst'!$N$7:$N$2010,"P1")+SUMIFS('LAC 102_Wkst'!$Q$7:$Q$2010,'LAC 102_Wkst'!$E$7:$E$2010,$C92,'LAC 102_Wkst'!$G$7:$G$2010,$D92,'LAC 102_Wkst'!$L$7:$L$2010,"12",'LAC 102_Wkst'!$N$7:$N$2010,"P1")</f>
        <v>0</v>
      </c>
      <c r="AU92" s="411">
        <f>SUMIFS('LAC 102_Wkst'!$AE$7:$AE$2010,'LAC 102_Wkst'!$E$7:$E$2010,$C92,'LAC 102_Wkst'!$G$7:$G$2010,$D92,'LAC 102_Wkst'!$L$7:$L$2010,"11",'LAC 102_Wkst'!$N$7:$N$2010,"P1")+SUMIFS('LAC 102_Wkst'!$AE$7:$AE$2010,'LAC 102_Wkst'!$E$7:$E$2010,$C92,'LAC 102_Wkst'!$G$7:$G$2010,$D92,'LAC 102_Wkst'!$L$7:$L$2010,"12",'LAC 102_Wkst'!$N$7:$N$2010,"P1")</f>
        <v>0</v>
      </c>
      <c r="AV92" s="410">
        <f>SUMIFS('LAC 102_Wkst'!$Q$7:$Q$2010,'LAC 102_Wkst'!$E$7:$E$2010,$C92,'LAC 102_Wkst'!$G$7:$G$2010,$D92,'LAC 102_Wkst'!$L$7:$L$2010,"11",'LAC 102_Wkst'!$N$7:$N$2010,"P2")+SUMIFS('LAC 102_Wkst'!$Q$7:$Q$2010,'LAC 102_Wkst'!$E$7:$E$2010,$C92,'LAC 102_Wkst'!$G$7:$G$2010,$D92,'LAC 102_Wkst'!$L$7:$L$2010,"12",'LAC 102_Wkst'!$N$7:$N$2010,"P3")+SUMIFS('LAC 102_Wkst'!$Q$7:$Q$2010,'LAC 102_Wkst'!$E$7:$E$2010,$C92,'LAC 102_Wkst'!$G$7:$G$2010,$D92,'LAC 102_Wkst'!$L$7:$L$2010,"11",'LAC 102_Wkst'!$N$7:$N$2010,"P2")+SUMIFS('LAC 102_Wkst'!$Q$7:$Q$2010,'LAC 102_Wkst'!$E$7:$E$2010,$C92,'LAC 102_Wkst'!$G$7:$G$2010,$D92,'LAC 102_Wkst'!$L$7:$L$2010,"12",'LAC 102_Wkst'!$N$7:$N$2010,"P3")</f>
        <v>0</v>
      </c>
      <c r="AW92" s="411">
        <f>SUMIFS('LAC 102_Wkst'!$AE$7:$AE$2010,'LAC 102_Wkst'!$E$7:$E$2010,$C92,'LAC 102_Wkst'!$G$7:$G$2010,$D92,'LAC 102_Wkst'!$L$7:$L$2010,"11",'LAC 102_Wkst'!$N$7:$N$2010,"P2")+SUMIFS('LAC 102_Wkst'!$AE$7:$AE$2010,'LAC 102_Wkst'!$E$7:$E$2010,$C92,'LAC 102_Wkst'!$G$7:$G$2010,$D92,'LAC 102_Wkst'!$L$7:$L$2010,"12",'LAC 102_Wkst'!$N$7:$N$2010,"P3")+SUMIFS('LAC 102_Wkst'!$AE$7:$AE$2010,'LAC 102_Wkst'!$E$7:$E$2010,$C92,'LAC 102_Wkst'!$G$7:$G$2010,$D92,'LAC 102_Wkst'!$L$7:$L$2010,"11",'LAC 102_Wkst'!$N$7:$N$2010,"P2")+SUMIFS('LAC 102_Wkst'!$AE$7:$AE$2010,'LAC 102_Wkst'!$E$7:$E$2010,$C92,'LAC 102_Wkst'!$G$7:$G$2010,$D92,'LAC 102_Wkst'!$L$7:$L$2010,"12",'LAC 102_Wkst'!$N$7:$N$2010,"P3")</f>
        <v>0</v>
      </c>
      <c r="AX92" s="410">
        <f>SUMIFS('LAC 102_Wkst'!$Q$7:$Q$2010,'LAC 102_Wkst'!$E$7:$E$2010,$C92,'LAC 102_Wkst'!$G$7:$G$2010,$D92,'LAC 102_Wkst'!$L$7:$L$2010,"11",'LAC 102_Wkst'!$N$7:$N$2010,"P4")+SUMIFS('LAC 102_Wkst'!$Q$7:$Q$2010,'LAC 102_Wkst'!$E$7:$E$2010,$C92,'LAC 102_Wkst'!$G$7:$G$2010,$D92,'LAC 102_Wkst'!$L$7:$L$2010,"12",'LAC 102_Wkst'!$N$7:$N$2010,"P4")</f>
        <v>0</v>
      </c>
      <c r="AY92" s="411">
        <f>SUMIFS('LAC 102_Wkst'!$AE$7:$AE$2010,'LAC 102_Wkst'!$E$7:$E$2010,$C92,'LAC 102_Wkst'!$G$7:$G$2010,$D92,'LAC 102_Wkst'!$L$7:$L$2010,"11",'LAC 102_Wkst'!$N$7:$N$2010,"P4")+SUMIFS('LAC 102_Wkst'!$AE$7:$AE$2010,'LAC 102_Wkst'!$E$7:$E$2010,$C92,'LAC 102_Wkst'!$G$7:$G$2010,$D92,'LAC 102_Wkst'!$L$7:$L$2010,"12",'LAC 102_Wkst'!$N$7:$N$2010,"P4")</f>
        <v>0</v>
      </c>
      <c r="AZ92" s="410">
        <f>SUMIFS('LAC 102_Wkst'!$Q$7:$Q$2010,'LAC 102_Wkst'!$E$7:$E$2010,$C92,'LAC 102_Wkst'!$G$7:$G$2010,$D92,'LAC 102_Wkst'!$L$7:$L$2010,"11",'LAC 102_Wkst'!$N$7:$N$2010,"P5")+SUMIFS('LAC 102_Wkst'!$Q$7:$Q$2010,'LAC 102_Wkst'!$E$7:$E$2010,$C92,'LAC 102_Wkst'!$G$7:$G$2010,$D92,'LAC 102_Wkst'!$L$7:$L$2010,"12",'LAC 102_Wkst'!$N$7:$N$2010,"P5")</f>
        <v>0</v>
      </c>
      <c r="BA92" s="411">
        <f>SUMIFS('LAC 102_Wkst'!$AE$7:$AE$2010,'LAC 102_Wkst'!$E$7:$E$2010,$C92,'LAC 102_Wkst'!$G$7:$G$2010,$D92,'LAC 102_Wkst'!$L$7:$L$2010,"11",'LAC 102_Wkst'!$N$7:$N$2010,"P5")+SUMIFS('LAC 102_Wkst'!$AE$7:$AE$2010,'LAC 102_Wkst'!$E$7:$E$2010,$C92,'LAC 102_Wkst'!$G$7:$G$2010,$D92,'LAC 102_Wkst'!$L$7:$L$2010,"12",'LAC 102_Wkst'!$N$7:$N$2010,"P5")</f>
        <v>0</v>
      </c>
      <c r="BB92" s="410">
        <f>SUMIFS('LAC 102_Wkst'!$Q$7:$Q$2010,'LAC 102_Wkst'!$E$7:$E$2010,$C92,'LAC 102_Wkst'!$G$7:$G$2010,$D92,'LAC 102_Wkst'!$L$7:$L$2010,"13",'LAC 102_Wkst'!$N$7:$N$2010,"P1")+SUMIFS('LAC 102_Wkst'!$Q$7:$Q$2010,'LAC 102_Wkst'!$E$7:$E$2010,$C92,'LAC 102_Wkst'!$G$7:$G$2010,$D92,'LAC 102_Wkst'!$L$7:$L$2010,"13",'LAC 102_Wkst'!$N$7:$N$2010,"P2")+SUMIFS('LAC 102_Wkst'!$Q$7:$Q$2010,'LAC 102_Wkst'!$E$7:$E$2010,$C92,'LAC 102_Wkst'!$G$7:$G$2010,$D92,'LAC 102_Wkst'!$L$7:$L$2010,"13",'LAC 102_Wkst'!$N$7:$N$2010,"P3")+SUMIFS('LAC 102_Wkst'!$Q$7:$Q$2010,'LAC 102_Wkst'!$E$7:$E$2010,$C92,'LAC 102_Wkst'!$G$7:$G$2010,$D92,'LAC 102_Wkst'!$L$7:$L$2010,"13",'LAC 102_Wkst'!$N$7:$N$2010,"P4")</f>
        <v>0</v>
      </c>
      <c r="BC92" s="411">
        <f>SUMIFS('LAC 102_Wkst'!$AE$7:$AE$2010,'LAC 102_Wkst'!$E$7:$E$2010,$C92,'LAC 102_Wkst'!$G$7:$G$2010,$D92,'LAC 102_Wkst'!$L$7:$L$2010,"13",'LAC 102_Wkst'!$N$7:$N$2010,"P1")+SUMIFS('LAC 102_Wkst'!$AE$7:$AE$2010,'LAC 102_Wkst'!$E$7:$E$2010,$C92,'LAC 102_Wkst'!$G$7:$G$2010,$D92,'LAC 102_Wkst'!$L$7:$L$2010,"13",'LAC 102_Wkst'!$N$7:$N$2010,"P2")+SUMIFS('LAC 102_Wkst'!$AE$7:$AE$2010,'LAC 102_Wkst'!$E$7:$E$2010,$C92,'LAC 102_Wkst'!$G$7:$G$2010,$D92,'LAC 102_Wkst'!$L$7:$L$2010,"13",'LAC 102_Wkst'!$N$7:$N$2010,"P3")+SUMIFS('LAC 102_Wkst'!$AE$7:$AE$2010,'LAC 102_Wkst'!$E$7:$E$2010,$C92,'LAC 102_Wkst'!$G$7:$G$2010,$D92,'LAC 102_Wkst'!$L$7:$L$2010,"13",'LAC 102_Wkst'!$N$7:$N$2010,"P4")</f>
        <v>0</v>
      </c>
      <c r="BD92" s="410">
        <f>SUMIFS('LAC 102_Wkst'!$Q$7:$Q$2010,'LAC 102_Wkst'!$E$7:$E$2010,$C92,'LAC 102_Wkst'!$G$7:$G$2010,$D92,'LAC 102_Wkst'!$L$7:$L$2010,"13",'LAC 102_Wkst'!$N$7:$N$2010,"P5")</f>
        <v>0</v>
      </c>
      <c r="BE92" s="411">
        <f>SUMIFS('LAC 102_Wkst'!$AE$7:$AE$2010,'LAC 102_Wkst'!$E$7:$E$2010,$C92,'LAC 102_Wkst'!$G$7:$G$2010,$D92,'LAC 102_Wkst'!$L$7:$L$2010,"13",'LAC 102_Wkst'!$N$7:$N$2010,"P5")</f>
        <v>0</v>
      </c>
      <c r="BF92" s="407">
        <f t="shared" si="1"/>
        <v>0</v>
      </c>
    </row>
    <row r="93" spans="1:58" x14ac:dyDescent="0.2">
      <c r="A93" s="401">
        <v>74</v>
      </c>
      <c r="B93" s="1236"/>
      <c r="C93" s="1235"/>
      <c r="D93" s="1237"/>
      <c r="E93" s="1222">
        <f>IF(CONCATENATE(C93,D93)&gt;"6069",1,SUMIFS('LAC 102_Wkst'!$Q$7:$Q$2010,'LAC 102_Wkst'!$E$7:$E$2010,Schedule_B!$C93,'LAC 102_Wkst'!$G$7:$G$2010,Schedule_B!$D93))</f>
        <v>0</v>
      </c>
      <c r="F93" s="408">
        <f>SUMIFS('LAC 102_Wkst'!$Q$7:$Q$2010,'LAC 102_Wkst'!$E$7:$E$2010,$C93,'LAC 102_Wkst'!$G$7:$G$2010,$D93,'LAC 102_Wkst'!$L$7:$L$2010,"01",'LAC 102_Wkst'!$N$7:$N$2010,"P1")+SUMIFS('LAC 102_Wkst'!$Q$7:$Q$2010,'LAC 102_Wkst'!$E$7:$E$2010,$C93,'LAC 102_Wkst'!$G$7:$G$2010,$D93,'LAC 102_Wkst'!$L$7:$L$2010,"01",'LAC 102_Wkst'!$N$7:$N$2010,"P2")+SUMIFS('LAC 102_Wkst'!$Q$7:$Q$2010,'LAC 102_Wkst'!$E$7:$E$2010,$C93,'LAC 102_Wkst'!$G$7:$G$2010,$D93,'LAC 102_Wkst'!$L$7:$L$2010,"01",'LAC 102_Wkst'!$N$7:$N$2010,"P3")+SUMIFS('LAC 102_Wkst'!$Q$7:$Q$2010,'LAC 102_Wkst'!$E$7:$E$2010,$C93,'LAC 102_Wkst'!$G$7:$G$2010,$D93,'LAC 102_Wkst'!$L$7:$L$2010,"02",'LAC 102_Wkst'!$N$7:$N$2010,"P1")+SUMIFS('LAC 102_Wkst'!$Q$7:$Q$2010,'LAC 102_Wkst'!$E$7:$E$2010,$C93,'LAC 102_Wkst'!$G$7:$G$2010,$D93,'LAC 102_Wkst'!$L$7:$L$2010,"02",'LAC 102_Wkst'!$N$7:$N$2010,"P2")+SUMIFS('LAC 102_Wkst'!$Q$7:$Q$2010,'LAC 102_Wkst'!$E$7:$E$2010,$C93,'LAC 102_Wkst'!$G$7:$G$2010,$D93,'LAC 102_Wkst'!$L$7:$L$2010,"02",'LAC 102_Wkst'!$N$7:$N$2010,"P3")</f>
        <v>0</v>
      </c>
      <c r="G93" s="409">
        <f>SUMIFS('LAC 102_Wkst'!$AE$7:$AE$2010,'LAC 102_Wkst'!$E$7:$E$2010,$C93,'LAC 102_Wkst'!$G$7:$G$2010,$D93,'LAC 102_Wkst'!$L$7:$L$2010,"01",'LAC 102_Wkst'!$N$7:$N$2010,"P1")+SUMIFS('LAC 102_Wkst'!$AE$7:$AE$2010,'LAC 102_Wkst'!$E$7:$E$2010,$C93,'LAC 102_Wkst'!$G$7:$G$2010,$D93,'LAC 102_Wkst'!$L$7:$L$2010,"01",'LAC 102_Wkst'!$N$7:$N$2010,"P2")+SUMIFS('LAC 102_Wkst'!$AE$7:$AE$2010,'LAC 102_Wkst'!$E$7:$E$2010,$C93,'LAC 102_Wkst'!$G$7:$G$2010,$D93,'LAC 102_Wkst'!$L$7:$L$2010,"01",'LAC 102_Wkst'!$N$7:$N$2010,"P3")+SUMIFS('LAC 102_Wkst'!$AE$7:$AE$2010,'LAC 102_Wkst'!$E$7:$E$2010,$C93,'LAC 102_Wkst'!$G$7:$G$2010,$D93,'LAC 102_Wkst'!$L$7:$L$2010,"02",'LAC 102_Wkst'!$N$7:$N$2010,"P1")+SUMIFS('LAC 102_Wkst'!$AE$7:$AE$2010,'LAC 102_Wkst'!$E$7:$E$2010,$C93,'LAC 102_Wkst'!$G$7:$G$2010,$D93,'LAC 102_Wkst'!$L$7:$L$2010,"02",'LAC 102_Wkst'!$N$7:$N$2010,"P2")+SUMIFS('LAC 102_Wkst'!$AE$7:$AE$2010,'LAC 102_Wkst'!$E$7:$E$2010,$C93,'LAC 102_Wkst'!$G$7:$G$2010,$D93,'LAC 102_Wkst'!$L$7:$L$2010,"02",'LAC 102_Wkst'!$N$7:$N$2010,"P3")</f>
        <v>0</v>
      </c>
      <c r="H93" s="410">
        <f>SUMIFS('LAC 102_Wkst'!$Q$7:$Q$2010,'LAC 102_Wkst'!$E$7:$E$2010,$C93,'LAC 102_Wkst'!$G$7:$G$2010,$D93,'LAC 102_Wkst'!$L$7:$L$2010,"01",'LAC 102_Wkst'!$N$7:$N$2010,"P4")+SUMIFS('LAC 102_Wkst'!$Q$7:$Q$2010,'LAC 102_Wkst'!$E$7:$E$2010,$C93,'LAC 102_Wkst'!$G$7:$G$2010,$D93,'LAC 102_Wkst'!$L$7:$L$2010,"02",'LAC 102_Wkst'!$N$7:$N$2010,"P4")</f>
        <v>0</v>
      </c>
      <c r="I93" s="411">
        <f>SUMIFS('LAC 102_Wkst'!$AE$7:$AE$2010,'LAC 102_Wkst'!$E$7:$E$2010,$C93,'LAC 102_Wkst'!$G$7:$G$2010,$D93,'LAC 102_Wkst'!$L$7:$L$2010,"01",'LAC 102_Wkst'!$N$7:$N$2010,"P4")+SUMIFS('LAC 102_Wkst'!$AE$7:$AE$2010,'LAC 102_Wkst'!$E$7:$E$2010,$C93,'LAC 102_Wkst'!$G$7:$G$2010,$D93,'LAC 102_Wkst'!$L$7:$L$2010,"02",'LAC 102_Wkst'!$N$7:$N$2010,"P4")</f>
        <v>0</v>
      </c>
      <c r="J93" s="410">
        <f>SUMIFS('LAC 102_Wkst'!$Q$7:$Q$2010,'LAC 102_Wkst'!$E$7:$E$2010,$C93,'LAC 102_Wkst'!$G$7:$G$2010,$D93,'LAC 102_Wkst'!$L$7:$L$2010,"01",'LAC 102_Wkst'!$N$7:$N$2010,"P5")+SUMIFS('LAC 102_Wkst'!$Q$7:$Q$2010,'LAC 102_Wkst'!$E$7:$E$2010,$C93,'LAC 102_Wkst'!$G$7:$G$2010,$D93,'LAC 102_Wkst'!$L$7:$L$2010,"02",'LAC 102_Wkst'!$N$7:$N$2010,"P5")</f>
        <v>0</v>
      </c>
      <c r="K93" s="411">
        <f>SUMIFS('LAC 102_Wkst'!$AE$7:$AE$2010,'LAC 102_Wkst'!$E$7:$E$2010,$C93,'LAC 102_Wkst'!$G$7:$G$2010,$D93,'LAC 102_Wkst'!$L$7:$L$2010,"01",'LAC 102_Wkst'!$N$7:$N$2010,"P5")+SUMIFS('LAC 102_Wkst'!$AE$7:$AE$2010,'LAC 102_Wkst'!$E$7:$E$2010,$C93,'LAC 102_Wkst'!$G$7:$G$2010,$D93,'LAC 102_Wkst'!$L$7:$L$2010,"02",'LAC 102_Wkst'!$N$7:$N$2010,"P5")</f>
        <v>0</v>
      </c>
      <c r="L93" s="410">
        <f>SUMIFS('LAC 102_Wkst'!$Q$7:$Q$2010,'LAC 102_Wkst'!$E$7:$E$2010,$C93,'LAC 102_Wkst'!$G$7:$G$2010,$D93,'LAC 102_Wkst'!$L$7:$L$2010,"03",'LAC 102_Wkst'!$N$7:$N$2010,"P1")+SUMIFS('LAC 102_Wkst'!$Q$7:$Q$2010,'LAC 102_Wkst'!$E$7:$E$2010,$C93,'LAC 102_Wkst'!$G$7:$G$2010,$D93,'LAC 102_Wkst'!$L$7:$L$2010,"03",'LAC 102_Wkst'!$N$7:$N$2010,"P2")+SUMIFS('LAC 102_Wkst'!$Q$7:$Q$2010,'LAC 102_Wkst'!$E$7:$E$2010,$C93,'LAC 102_Wkst'!$G$7:$G$2010,$D93,'LAC 102_Wkst'!$L$7:$L$2010,"03",'LAC 102_Wkst'!$N$7:$N$2010,"P3")+SUMIFS('LAC 102_Wkst'!$Q$7:$Q$2010,'LAC 102_Wkst'!$E$7:$E$2010,$C93,'LAC 102_Wkst'!$G$7:$G$2010,$D93,'LAC 102_Wkst'!$L$7:$L$2010,"04",'LAC 102_Wkst'!$N$7:$N$2010,"P1")+SUMIFS('LAC 102_Wkst'!$Q$7:$Q$2010,'LAC 102_Wkst'!$E$7:$E$2010,$C93,'LAC 102_Wkst'!$G$7:$G$2010,$D93,'LAC 102_Wkst'!$L$7:$L$2010,"04",'LAC 102_Wkst'!$N$7:$N$2010,"P2")+SUMIFS('LAC 102_Wkst'!$Q$7:$Q$2010,'LAC 102_Wkst'!$E$7:$E$2010,$C93,'LAC 102_Wkst'!$G$7:$G$2010,$D93,'LAC 102_Wkst'!$L$7:$L$2010,"04",'LAC 102_Wkst'!$N$7:$N$2010,"P3")</f>
        <v>0</v>
      </c>
      <c r="M93" s="411">
        <f>SUMIFS('LAC 102_Wkst'!$AE$7:$AE$2010,'LAC 102_Wkst'!$E$7:$E$2010,$C93,'LAC 102_Wkst'!$G$7:$G$2010,$D93,'LAC 102_Wkst'!$L$7:$L$2010,"03",'LAC 102_Wkst'!$N$7:$N$2010,"P1")+SUMIFS('LAC 102_Wkst'!$AE$7:$AE$2010,'LAC 102_Wkst'!$E$7:$E$2010,$C93,'LAC 102_Wkst'!$G$7:$G$2010,$D93,'LAC 102_Wkst'!$L$7:$L$2010,"03",'LAC 102_Wkst'!$N$7:$N$2010,"P2")+SUMIFS('LAC 102_Wkst'!$AE$7:$AE$2010,'LAC 102_Wkst'!$E$7:$E$2010,$C93,'LAC 102_Wkst'!$G$7:$G$2010,$D93,'LAC 102_Wkst'!$L$7:$L$2010,"03",'LAC 102_Wkst'!$N$7:$N$2010,"P3")+SUMIFS('LAC 102_Wkst'!$AE$7:$AE$2010,'LAC 102_Wkst'!$E$7:$E$2010,$C93,'LAC 102_Wkst'!$G$7:$G$2010,$D93,'LAC 102_Wkst'!$L$7:$L$2010,"04",'LAC 102_Wkst'!$N$7:$N$2010,"P1")+SUMIFS('LAC 102_Wkst'!$AE$7:$AE$2010,'LAC 102_Wkst'!$E$7:$E$2010,$C93,'LAC 102_Wkst'!$G$7:$G$2010,$D93,'LAC 102_Wkst'!$L$7:$L$2010,"04",'LAC 102_Wkst'!$N$7:$N$2010,"P2")+SUMIFS('LAC 102_Wkst'!$AE$7:$AE$2010,'LAC 102_Wkst'!$E$7:$E$2010,$C93,'LAC 102_Wkst'!$G$7:$G$2010,$D93,'LAC 102_Wkst'!$L$7:$L$2010,"04",'LAC 102_Wkst'!$N$7:$N$2010,"P3")</f>
        <v>0</v>
      </c>
      <c r="N93" s="410">
        <f>SUMIFS('LAC 102_Wkst'!$Q$7:$Q$2010,'LAC 102_Wkst'!$E$7:$E$2010,$C93,'LAC 102_Wkst'!$G$7:$G$2010,$D93,'LAC 102_Wkst'!$L$7:$L$2010,"03",'LAC 102_Wkst'!$N$7:$N$2010,"P4")+SUMIFS('LAC 102_Wkst'!$Q$7:$Q$2010,'LAC 102_Wkst'!$E$7:$E$2010,$C93,'LAC 102_Wkst'!$G$7:$G$2010,$D93,'LAC 102_Wkst'!$L$7:$L$2010,"04",'LAC 102_Wkst'!$N$7:$N$2010,"P4")</f>
        <v>0</v>
      </c>
      <c r="O93" s="411">
        <f>SUMIFS('LAC 102_Wkst'!$AE$7:$AE$2010,'LAC 102_Wkst'!$E$7:$E$2010,$C93,'LAC 102_Wkst'!$G$7:$G$2010,$D93,'LAC 102_Wkst'!$L$7:$L$2010,"03",'LAC 102_Wkst'!$N$7:$N$2010,"P4")+SUMIFS('LAC 102_Wkst'!$AE$7:$AE$2010,'LAC 102_Wkst'!$E$7:$E$2010,$C93,'LAC 102_Wkst'!$G$7:$G$2010,$D93,'LAC 102_Wkst'!$L$7:$L$2010,"04",'LAC 102_Wkst'!$N$7:$N$2010,"P4")</f>
        <v>0</v>
      </c>
      <c r="P93" s="410">
        <f>SUMIFS('LAC 102_Wkst'!$Q$7:$Q$2010,'LAC 102_Wkst'!$E$7:$E$2010,$C93,'LAC 102_Wkst'!$G$7:$G$2010,$D93,'LAC 102_Wkst'!$L$7:$L$2010,"03",'LAC 102_Wkst'!$N$7:$N$2010,"P5")+SUMIFS('LAC 102_Wkst'!$Q$7:$Q$2010,'LAC 102_Wkst'!$E$7:$E$2010,$C93,'LAC 102_Wkst'!$G$7:$G$2010,$D93,'LAC 102_Wkst'!$L$7:$L$2010,"04",'LAC 102_Wkst'!$N$7:$N$2010,"P5")</f>
        <v>0</v>
      </c>
      <c r="Q93" s="411">
        <f>SUMIFS('LAC 102_Wkst'!$AE$7:$AE$2010,'LAC 102_Wkst'!$E$7:$E$2010,$C93,'LAC 102_Wkst'!$G$7:$G$2010,$D93,'LAC 102_Wkst'!$L$7:$L$2010,"03",'LAC 102_Wkst'!$N$7:$N$2010,"P5")+SUMIFS('LAC 102_Wkst'!$AE$7:$AE$2010,'LAC 102_Wkst'!$E$7:$E$2010,$C93,'LAC 102_Wkst'!$G$7:$G$2010,$D93,'LAC 102_Wkst'!$L$7:$L$2010,"04",'LAC 102_Wkst'!$N$7:$N$2010,"P5")</f>
        <v>0</v>
      </c>
      <c r="R93" s="412">
        <f>SUMIFS('LAC 102_Wkst'!$Q$7:$Q$2010,'LAC 102_Wkst'!$E$7:$E$2010,$C93,'LAC 102_Wkst'!$G$7:$G$2010,$D93,'LAC 102_Wkst'!$L$7:$L$2010,"05",'LAC 102_Wkst'!$N$7:$N$2010,"P1")+SUMIFS('LAC 102_Wkst'!$Q$7:$Q$2010,'LAC 102_Wkst'!$E$7:$E$2010,$C93,'LAC 102_Wkst'!$G$7:$G$2010,$D93,'LAC 102_Wkst'!$L$7:$L$2010,"06",'LAC 102_Wkst'!$N$7:$N$2010,"P1")</f>
        <v>0</v>
      </c>
      <c r="S93" s="411">
        <f>SUMIFS('LAC 102_Wkst'!$AE$7:$AE$2010,'LAC 102_Wkst'!$E$7:$E$2010,$C93,'LAC 102_Wkst'!$G$7:$G$2010,$D93,'LAC 102_Wkst'!$L$7:$L$2010,"05",'LAC 102_Wkst'!$N$7:$N$2010,"P1")+SUMIFS('LAC 102_Wkst'!$AE$7:$AE$2010,'LAC 102_Wkst'!$E$7:$E$2010,$C93,'LAC 102_Wkst'!$G$7:$G$2010,$D93,'LAC 102_Wkst'!$L$7:$L$2010,"06",'LAC 102_Wkst'!$N$7:$N$2010,"P1")</f>
        <v>0</v>
      </c>
      <c r="T93" s="410">
        <f>SUMIFS('LAC 102_Wkst'!$Q$7:$Q$2010,'LAC 102_Wkst'!$E$7:$E$2010,$C93,'LAC 102_Wkst'!$G$7:$G$2010,$D93,'LAC 102_Wkst'!$L$7:$L$2010,"05",'LAC 102_Wkst'!$N$7:$N$2010,"P2")+SUMIFS('LAC 102_Wkst'!$Q$7:$Q$2010,'LAC 102_Wkst'!$E$7:$E$2010,$C93,'LAC 102_Wkst'!$G$7:$G$2010,$D93,'LAC 102_Wkst'!$L$7:$L$2010,"05",'LAC 102_Wkst'!$N$7:$N$2010,"P3")+SUMIFS('LAC 102_Wkst'!$Q$7:$Q$2010,'LAC 102_Wkst'!$E$7:$E$2010,$C93,'LAC 102_Wkst'!$G$7:$G$2010,$D93,'LAC 102_Wkst'!$L$7:$L$2010,"06",'LAC 102_Wkst'!$N$7:$N$2010,"P2")+SUMIFS('LAC 102_Wkst'!$Q$7:$Q$2010,'LAC 102_Wkst'!$E$7:$E$2010,$C93,'LAC 102_Wkst'!$G$7:$G$2010,$D93,'LAC 102_Wkst'!$L$7:$L$2010,"06",'LAC 102_Wkst'!$N$7:$N$2010,"P3")</f>
        <v>0</v>
      </c>
      <c r="U93" s="411">
        <f>SUMIFS('LAC 102_Wkst'!$AE$7:$AE$2010,'LAC 102_Wkst'!$E$7:$E$2010,$C93,'LAC 102_Wkst'!$G$7:$G$2010,$D93,'LAC 102_Wkst'!$L$7:$L$2010,"05",'LAC 102_Wkst'!$N$7:$N$2010,"P2")+SUMIFS('LAC 102_Wkst'!$AE$7:$AE$2010,'LAC 102_Wkst'!$E$7:$E$2010,$C93,'LAC 102_Wkst'!$G$7:$G$2010,$D93,'LAC 102_Wkst'!$L$7:$L$2010,"06",'LAC 102_Wkst'!$N$7:$N$2010,"P3")+SUMIFS('LAC 102_Wkst'!$AE$7:$AE$2010,'LAC 102_Wkst'!$E$7:$E$2010,$C93,'LAC 102_Wkst'!$G$7:$G$2010,$D93,'LAC 102_Wkst'!$L$7:$L$2010,"05",'LAC 102_Wkst'!$N$7:$N$2010,"P2")+SUMIFS('LAC 102_Wkst'!$AE$7:$AE$2010,'LAC 102_Wkst'!$E$7:$E$2010,$C93,'LAC 102_Wkst'!$G$7:$G$2010,$D93,'LAC 102_Wkst'!$L$7:$L$2010,"06",'LAC 102_Wkst'!$N$7:$N$2010,"P3")</f>
        <v>0</v>
      </c>
      <c r="V93" s="410">
        <f>SUMIFS('LAC 102_Wkst'!$Q$7:$Q$2010,'LAC 102_Wkst'!$E$7:$E$2010,$C93,'LAC 102_Wkst'!$G$7:$G$2010,$D93,'LAC 102_Wkst'!$L$7:$L$2010,"05",'LAC 102_Wkst'!$N$7:$N$2010,"P4")+SUMIFS('LAC 102_Wkst'!$Q$7:$Q$2010,'LAC 102_Wkst'!$E$7:$E$2010,$C93,'LAC 102_Wkst'!$G$7:$G$2010,$D93,'LAC 102_Wkst'!$L$7:$L$2010,"06",'LAC 102_Wkst'!$N$7:$N$2010,"P4")</f>
        <v>0</v>
      </c>
      <c r="W93" s="411">
        <f>SUMIFS('LAC 102_Wkst'!$AE$7:$AE$2010,'LAC 102_Wkst'!$E$7:$E$2010,$C93,'LAC 102_Wkst'!$G$7:$G$2010,$D93,'LAC 102_Wkst'!$L$7:$L$2010,"05",'LAC 102_Wkst'!$N$7:$N$2010,"P4")+SUMIFS('LAC 102_Wkst'!$AE$7:$AE$2010,'LAC 102_Wkst'!$E$7:$E$2010,$C93,'LAC 102_Wkst'!$G$7:$G$2010,$D93,'LAC 102_Wkst'!$L$7:$L$2010,"06",'LAC 102_Wkst'!$N$7:$N$2010,"P4")</f>
        <v>0</v>
      </c>
      <c r="X93" s="410">
        <f>SUMIFS('LAC 102_Wkst'!$Q$7:$Q$2010,'LAC 102_Wkst'!$E$7:$E$2010,$C93,'LAC 102_Wkst'!$G$7:$G$2010,$D93,'LAC 102_Wkst'!$L$7:$L$2010,"05",'LAC 102_Wkst'!$N$7:$N$2010,"P5")+SUMIFS('LAC 102_Wkst'!$Q$7:$Q$2010,'LAC 102_Wkst'!$E$7:$E$2010,$C93,'LAC 102_Wkst'!$G$7:$G$2010,$D93,'LAC 102_Wkst'!$L$7:$L$2010,"06",'LAC 102_Wkst'!$N$7:$N$2010,"P5")</f>
        <v>0</v>
      </c>
      <c r="Y93" s="411">
        <f>SUMIFS('LAC 102_Wkst'!$AE$7:$AE$2010,'LAC 102_Wkst'!$E$7:$E$2010,$C93,'LAC 102_Wkst'!$G$7:$G$2010,$D93,'LAC 102_Wkst'!$L$7:$L$2010,"05",'LAC 102_Wkst'!$N$7:$N$2010,"P5")+SUMIFS('LAC 102_Wkst'!$AE$7:$AE$2010,'LAC 102_Wkst'!$E$7:$E$2010,$C93,'LAC 102_Wkst'!$G$7:$G$2010,$D93,'LAC 102_Wkst'!$L$7:$L$2010,"06",'LAC 102_Wkst'!$N$7:$N$2010,"P5")</f>
        <v>0</v>
      </c>
      <c r="Z93" s="410">
        <f>SUMIFS('LAC 102_Wkst'!$Q$7:$Q$2010,'LAC 102_Wkst'!$E$7:$E$2010,$C93,'LAC 102_Wkst'!$G$7:$G$2010,$D93,'LAC 102_Wkst'!$L$7:$L$2010,"07",'LAC 102_Wkst'!$N$7:$N$2010,"P1")+SUMIFS('LAC 102_Wkst'!$Q$7:$Q$2010,'LAC 102_Wkst'!$E$7:$E$2010,$C93,'LAC 102_Wkst'!$G$7:$G$2010,$D93,'LAC 102_Wkst'!$L$7:$L$2010,"07",'LAC 102_Wkst'!$N$7:$N$2010,"P2")+SUMIFS('LAC 102_Wkst'!$Q$7:$Q$2010,'LAC 102_Wkst'!$E$7:$E$2010,$C93,'LAC 102_Wkst'!$G$7:$G$2010,$D93,'LAC 102_Wkst'!$L$7:$L$2010,"07",'LAC 102_Wkst'!$N$7:$N$2010,"P3")</f>
        <v>0</v>
      </c>
      <c r="AA93" s="411">
        <f>SUMIFS('LAC 102_Wkst'!$AE$7:$AE$2010,'LAC 102_Wkst'!$E$7:$E$2010,$C93,'LAC 102_Wkst'!$G$7:$G$2010,$D93,'LAC 102_Wkst'!$L$7:$L$2010,"07",'LAC 102_Wkst'!$N$7:$N$2010,"P1")+SUMIFS('LAC 102_Wkst'!$AE$7:$AE$2010,'LAC 102_Wkst'!$E$7:$E$2010,$C93,'LAC 102_Wkst'!$G$7:$G$2010,$D93,'LAC 102_Wkst'!$L$7:$L$2010,"07",'LAC 102_Wkst'!$N$7:$N$2010,"P2")+SUMIFS('LAC 102_Wkst'!$AE$7:$AE$2010,'LAC 102_Wkst'!$E$7:$E$2010,$C93,'LAC 102_Wkst'!$G$7:$G$2010,$D93,'LAC 102_Wkst'!$L$7:$L$2010,"07",'LAC 102_Wkst'!$N$7:$N$2010,"P3")</f>
        <v>0</v>
      </c>
      <c r="AB93" s="410">
        <f>SUMIFS('LAC 102_Wkst'!$Q$7:$Q$2010,'LAC 102_Wkst'!$E$7:$E$2010,$C93,'LAC 102_Wkst'!$G$7:$G$2010,$D93,'LAC 102_Wkst'!$L$7:$L$2010,"07",'LAC 102_Wkst'!$N$7:$N$2010,"P4")</f>
        <v>0</v>
      </c>
      <c r="AC93" s="411">
        <f>SUMIFS('LAC 102_Wkst'!$AE$7:$AE$2010,'LAC 102_Wkst'!$E$7:$E$2010,$C93,'LAC 102_Wkst'!$G$7:$G$2010,$D93,'LAC 102_Wkst'!$L$7:$L$2010,"07",'LAC 102_Wkst'!$N$7:$N$2010,"P4")</f>
        <v>0</v>
      </c>
      <c r="AD93" s="410">
        <f>SUMIFS('LAC 102_Wkst'!$Q$7:$Q$2010,'LAC 102_Wkst'!$E$7:$E$2010,$C93,'LAC 102_Wkst'!$G$7:$G$2010,$D93,'LAC 102_Wkst'!$L$7:$L$2010,"07",'LAC 102_Wkst'!$N$7:$N$2010,"P5")</f>
        <v>0</v>
      </c>
      <c r="AE93" s="411">
        <f>SUMIFS('LAC 102_Wkst'!$AE$7:$AE$2010,'LAC 102_Wkst'!$E$7:$E$2010,$C93,'LAC 102_Wkst'!$G$7:$G$2010,$D93,'LAC 102_Wkst'!$L$7:$L$2010,"07",'LAC 102_Wkst'!$N$7:$N$2010,"P5")</f>
        <v>0</v>
      </c>
      <c r="AF93" s="410">
        <f>SUMIFS('LAC 102_Wkst'!$Q$7:$Q$2010,'LAC 102_Wkst'!$E$7:$E$2010,$C93,'LAC 102_Wkst'!$G$7:$G$2010,$D93,'LAC 102_Wkst'!$L$7:$L$2010,"08",'LAC 102_Wkst'!$N$7:$N$2010,"P1")+SUMIFS('LAC 102_Wkst'!$Q$7:$Q$2010,'LAC 102_Wkst'!$E$7:$E$2010,$C93,'LAC 102_Wkst'!$G$7:$G$2010,$D93,'LAC 102_Wkst'!$L$7:$L$2010,"08",'LAC 102_Wkst'!$N$7:$N$2010,"P2")+SUMIFS('LAC 102_Wkst'!$Q$7:$Q$2010,'LAC 102_Wkst'!$E$7:$E$2010,$C93,'LAC 102_Wkst'!$G$7:$G$2010,$D93,'LAC 102_Wkst'!$L$7:$L$2010,"08",'LAC 102_Wkst'!$N$7:$N$2010,"P3")</f>
        <v>0</v>
      </c>
      <c r="AG93" s="411">
        <f>SUMIFS('LAC 102_Wkst'!$AE$7:$AE$2010,'LAC 102_Wkst'!$E$7:$E$2010,$C93,'LAC 102_Wkst'!$G$7:$G$2010,$D93,'LAC 102_Wkst'!$L$7:$L$2010,"08",'LAC 102_Wkst'!$N$7:$N$2010,"P1")+SUMIFS('LAC 102_Wkst'!$AE$7:$AE$2010,'LAC 102_Wkst'!$E$7:$E$2010,$C93,'LAC 102_Wkst'!$G$7:$G$2010,$D93,'LAC 102_Wkst'!$L$7:$L$2010,"08",'LAC 102_Wkst'!$N$7:$N$2010,"P2")+SUMIFS('LAC 102_Wkst'!$AE$7:$AE$2010,'LAC 102_Wkst'!$E$7:$E$2010,$C93,'LAC 102_Wkst'!$G$7:$G$2010,$D93,'LAC 102_Wkst'!$L$7:$L$2010,"08",'LAC 102_Wkst'!$N$7:$N$2010,"P3")</f>
        <v>0</v>
      </c>
      <c r="AH93" s="410">
        <f>SUMIFS('LAC 102_Wkst'!$Q$7:$Q$2010,'LAC 102_Wkst'!$E$7:$E$2010,$C93,'LAC 102_Wkst'!$G$7:$G$2010,$D93,'LAC 102_Wkst'!$L$7:$L$2010,"08",'LAC 102_Wkst'!$N$7:$N$2010,"P4")</f>
        <v>0</v>
      </c>
      <c r="AI93" s="411">
        <f>SUMIFS('LAC 102_Wkst'!$AE$7:$AE$2010,'LAC 102_Wkst'!$E$7:$E$2010,$C93,'LAC 102_Wkst'!$G$7:$G$2010,$D93,'LAC 102_Wkst'!$L$7:$L$2010,"08",'LAC 102_Wkst'!$N$7:$N$2010,"P4")</f>
        <v>0</v>
      </c>
      <c r="AJ93" s="410">
        <f>SUMIFS('LAC 102_Wkst'!$Q$7:$Q$2010,'LAC 102_Wkst'!$E$7:$E$2010,$C93,'LAC 102_Wkst'!$G$7:$G$2010,$D93,'LAC 102_Wkst'!$L$7:$L$2010,"08",'LAC 102_Wkst'!$N$7:$N$2010,"P5")</f>
        <v>0</v>
      </c>
      <c r="AK93" s="411">
        <f>SUMIFS('LAC 102_Wkst'!$AE$7:$AE$2010,'LAC 102_Wkst'!$E$7:$E$2010,$C93,'LAC 102_Wkst'!$G$7:$G$2010,$D93,'LAC 102_Wkst'!$L$7:$L$2010,"08",'LAC 102_Wkst'!$N$7:$N$2010,"P5")</f>
        <v>0</v>
      </c>
      <c r="AL93" s="410">
        <f>SUMIFS('LAC 102_Wkst'!$Q$7:$Q$2010,'LAC 102_Wkst'!$E$7:$E$2010,$C93,'LAC 102_Wkst'!$G$7:$G$2010,$D93,'LAC 102_Wkst'!$L$7:$L$2010,"09",'LAC 102_Wkst'!$N$7:$N$2010,"P1")+SUMIFS('LAC 102_Wkst'!$Q$7:$Q$2010,'LAC 102_Wkst'!$E$7:$E$2010,$C93,'LAC 102_Wkst'!$G$7:$G$2010,$D93,'LAC 102_Wkst'!$L$7:$L$2010,"09",'LAC 102_Wkst'!$N$7:$N$2010,"P2")+SUMIFS('LAC 102_Wkst'!$Q$7:$Q$2010,'LAC 102_Wkst'!$E$7:$E$2010,$C93,'LAC 102_Wkst'!$G$7:$G$2010,$D93,'LAC 102_Wkst'!$L$7:$L$2010,"09",'LAC 102_Wkst'!$N$7:$N$2010,"P3")+SUMIFS('LAC 102_Wkst'!$Q$7:$Q$2010,'LAC 102_Wkst'!$E$7:$E$2010,$C93,'LAC 102_Wkst'!$G$7:$G$2010,$D93,'LAC 102_Wkst'!$L$7:$L$2010,"09",'LAC 102_Wkst'!$N$7:$N$2010,"P4")</f>
        <v>0</v>
      </c>
      <c r="AM93" s="411">
        <f>SUMIFS('LAC 102_Wkst'!$AE$7:$AE$2010,'LAC 102_Wkst'!$E$7:$E$2010,$C93,'LAC 102_Wkst'!$G$7:$G$2010,$D93,'LAC 102_Wkst'!$L$7:$L$2010,"09",'LAC 102_Wkst'!$N$7:$N$2010,"P1")+SUMIFS('LAC 102_Wkst'!$AE$7:$AE$2010,'LAC 102_Wkst'!$E$7:$E$2010,$C93,'LAC 102_Wkst'!$G$7:$G$2010,$D93,'LAC 102_Wkst'!$L$7:$L$2010,"09",'LAC 102_Wkst'!$N$7:$N$2010,"P2")+SUMIFS('LAC 102_Wkst'!$AE$7:$AE$2010,'LAC 102_Wkst'!$E$7:$E$2010,$C93,'LAC 102_Wkst'!$G$7:$G$2010,$D93,'LAC 102_Wkst'!$L$7:$L$2010,"09",'LAC 102_Wkst'!$N$7:$N$2010,"P3")+SUMIFS('LAC 102_Wkst'!$AE$7:$AE$2010,'LAC 102_Wkst'!$E$7:$E$2010,$C93,'LAC 102_Wkst'!$G$7:$G$2010,$D93,'LAC 102_Wkst'!$L$7:$L$2010,"09",'LAC 102_Wkst'!$N$7:$N$2010,"P4")</f>
        <v>0</v>
      </c>
      <c r="AN93" s="410">
        <f>SUMIFS('LAC 102_Wkst'!$Q$7:$Q$2010,'LAC 102_Wkst'!$E$7:$E$2010,$C93,'LAC 102_Wkst'!$G$7:$G$2010,$D93,'LAC 102_Wkst'!$L$7:$L$2010,"09",'LAC 102_Wkst'!$N$7:$N$2010,"P5")</f>
        <v>0</v>
      </c>
      <c r="AO93" s="411">
        <f>SUMIFS('LAC 102_Wkst'!$AE$7:$AE$2010,'LAC 102_Wkst'!$E$7:$E$2010,$C93,'LAC 102_Wkst'!$G$7:$G$2010,$D93,'LAC 102_Wkst'!$L$7:$L$2010,"09",'LAC 102_Wkst'!$N$7:$N$2010,"P5")</f>
        <v>0</v>
      </c>
      <c r="AP93" s="410">
        <f>SUMIFS('LAC 102_Wkst'!$Q$7:$Q$2010,'LAC 102_Wkst'!$E$7:$E$2010,$C93,'LAC 102_Wkst'!$G$7:$G$2010,$D93,'LAC 102_Wkst'!$L$7:$L$2010,"10",'LAC 102_Wkst'!$N$7:$N$2010,"P1")+SUMIFS('LAC 102_Wkst'!$Q$7:$Q$2010,'LAC 102_Wkst'!$E$7:$E$2010,$C93,'LAC 102_Wkst'!$G$7:$G$2010,$D93,'LAC 102_Wkst'!$L$7:$L$2010,"10",'LAC 102_Wkst'!$N$7:$N$2010,"P2")+SUMIFS('LAC 102_Wkst'!$Q$7:$Q$2010,'LAC 102_Wkst'!$E$7:$E$2010,$C93,'LAC 102_Wkst'!$G$7:$G$2010,$D93,'LAC 102_Wkst'!$L$7:$L$2010,"10",'LAC 102_Wkst'!$N$7:$N$2010,"P3")+SUMIFS('LAC 102_Wkst'!$Q$7:$Q$2010,'LAC 102_Wkst'!$E$7:$E$2010,$C93,'LAC 102_Wkst'!$G$7:$G$2010,$D93,'LAC 102_Wkst'!$L$7:$L$2010,"10",'LAC 102_Wkst'!$N$7:$N$2010,"P4")</f>
        <v>0</v>
      </c>
      <c r="AQ93" s="411">
        <f>SUMIFS('LAC 102_Wkst'!$AE$7:$AE$2010,'LAC 102_Wkst'!$E$7:$E$2010,$C93,'LAC 102_Wkst'!$G$7:$G$2010,$D93,'LAC 102_Wkst'!$L$7:$L$2010,"10",'LAC 102_Wkst'!$N$7:$N$2010,"P1")+SUMIFS('LAC 102_Wkst'!$AE$7:$AE$2010,'LAC 102_Wkst'!$E$7:$E$2010,$C93,'LAC 102_Wkst'!$G$7:$G$2010,$D93,'LAC 102_Wkst'!$L$7:$L$2010,"10",'LAC 102_Wkst'!$N$7:$N$2010,"P2")+SUMIFS('LAC 102_Wkst'!$AE$7:$AE$2010,'LAC 102_Wkst'!$E$7:$E$2010,$C93,'LAC 102_Wkst'!$G$7:$G$2010,$D93,'LAC 102_Wkst'!$L$7:$L$2010,"10",'LAC 102_Wkst'!$N$7:$N$2010,"P3")+SUMIFS('LAC 102_Wkst'!$AE$7:$AE$2010,'LAC 102_Wkst'!$E$7:$E$2010,$C93,'LAC 102_Wkst'!$G$7:$G$2010,$D93,'LAC 102_Wkst'!$L$7:$L$2010,"10",'LAC 102_Wkst'!$N$7:$N$2010,"P4")</f>
        <v>0</v>
      </c>
      <c r="AR93" s="410">
        <f>SUMIFS('LAC 102_Wkst'!$Q$7:$Q$2010,'LAC 102_Wkst'!$E$7:$E$2010,$C93,'LAC 102_Wkst'!$G$7:$G$2010,$D93,'LAC 102_Wkst'!$L$7:$L$2010,"10",'LAC 102_Wkst'!$N$7:$N$2010,"P5")</f>
        <v>0</v>
      </c>
      <c r="AS93" s="411">
        <f>SUMIFS('LAC 102_Wkst'!$AE$7:$AE$2010,'LAC 102_Wkst'!$E$7:$E$2010,$C93,'LAC 102_Wkst'!$G$7:$G$2010,$D93,'LAC 102_Wkst'!$L$7:$L$2010,"10",'LAC 102_Wkst'!$N$7:$N$2010,"P5")</f>
        <v>0</v>
      </c>
      <c r="AT93" s="410">
        <f>SUMIFS('LAC 102_Wkst'!$Q$7:$Q$2010,'LAC 102_Wkst'!$E$7:$E$2010,$C93,'LAC 102_Wkst'!$G$7:$G$2010,$D93,'LAC 102_Wkst'!$L$7:$L$2010,"11",'LAC 102_Wkst'!$N$7:$N$2010,"P1")+SUMIFS('LAC 102_Wkst'!$Q$7:$Q$2010,'LAC 102_Wkst'!$E$7:$E$2010,$C93,'LAC 102_Wkst'!$G$7:$G$2010,$D93,'LAC 102_Wkst'!$L$7:$L$2010,"12",'LAC 102_Wkst'!$N$7:$N$2010,"P1")</f>
        <v>0</v>
      </c>
      <c r="AU93" s="411">
        <f>SUMIFS('LAC 102_Wkst'!$AE$7:$AE$2010,'LAC 102_Wkst'!$E$7:$E$2010,$C93,'LAC 102_Wkst'!$G$7:$G$2010,$D93,'LAC 102_Wkst'!$L$7:$L$2010,"11",'LAC 102_Wkst'!$N$7:$N$2010,"P1")+SUMIFS('LAC 102_Wkst'!$AE$7:$AE$2010,'LAC 102_Wkst'!$E$7:$E$2010,$C93,'LAC 102_Wkst'!$G$7:$G$2010,$D93,'LAC 102_Wkst'!$L$7:$L$2010,"12",'LAC 102_Wkst'!$N$7:$N$2010,"P1")</f>
        <v>0</v>
      </c>
      <c r="AV93" s="410">
        <f>SUMIFS('LAC 102_Wkst'!$Q$7:$Q$2010,'LAC 102_Wkst'!$E$7:$E$2010,$C93,'LAC 102_Wkst'!$G$7:$G$2010,$D93,'LAC 102_Wkst'!$L$7:$L$2010,"11",'LAC 102_Wkst'!$N$7:$N$2010,"P2")+SUMIFS('LAC 102_Wkst'!$Q$7:$Q$2010,'LAC 102_Wkst'!$E$7:$E$2010,$C93,'LAC 102_Wkst'!$G$7:$G$2010,$D93,'LAC 102_Wkst'!$L$7:$L$2010,"12",'LAC 102_Wkst'!$N$7:$N$2010,"P3")+SUMIFS('LAC 102_Wkst'!$Q$7:$Q$2010,'LAC 102_Wkst'!$E$7:$E$2010,$C93,'LAC 102_Wkst'!$G$7:$G$2010,$D93,'LAC 102_Wkst'!$L$7:$L$2010,"11",'LAC 102_Wkst'!$N$7:$N$2010,"P2")+SUMIFS('LAC 102_Wkst'!$Q$7:$Q$2010,'LAC 102_Wkst'!$E$7:$E$2010,$C93,'LAC 102_Wkst'!$G$7:$G$2010,$D93,'LAC 102_Wkst'!$L$7:$L$2010,"12",'LAC 102_Wkst'!$N$7:$N$2010,"P3")</f>
        <v>0</v>
      </c>
      <c r="AW93" s="411">
        <f>SUMIFS('LAC 102_Wkst'!$AE$7:$AE$2010,'LAC 102_Wkst'!$E$7:$E$2010,$C93,'LAC 102_Wkst'!$G$7:$G$2010,$D93,'LAC 102_Wkst'!$L$7:$L$2010,"11",'LAC 102_Wkst'!$N$7:$N$2010,"P2")+SUMIFS('LAC 102_Wkst'!$AE$7:$AE$2010,'LAC 102_Wkst'!$E$7:$E$2010,$C93,'LAC 102_Wkst'!$G$7:$G$2010,$D93,'LAC 102_Wkst'!$L$7:$L$2010,"12",'LAC 102_Wkst'!$N$7:$N$2010,"P3")+SUMIFS('LAC 102_Wkst'!$AE$7:$AE$2010,'LAC 102_Wkst'!$E$7:$E$2010,$C93,'LAC 102_Wkst'!$G$7:$G$2010,$D93,'LAC 102_Wkst'!$L$7:$L$2010,"11",'LAC 102_Wkst'!$N$7:$N$2010,"P2")+SUMIFS('LAC 102_Wkst'!$AE$7:$AE$2010,'LAC 102_Wkst'!$E$7:$E$2010,$C93,'LAC 102_Wkst'!$G$7:$G$2010,$D93,'LAC 102_Wkst'!$L$7:$L$2010,"12",'LAC 102_Wkst'!$N$7:$N$2010,"P3")</f>
        <v>0</v>
      </c>
      <c r="AX93" s="410">
        <f>SUMIFS('LAC 102_Wkst'!$Q$7:$Q$2010,'LAC 102_Wkst'!$E$7:$E$2010,$C93,'LAC 102_Wkst'!$G$7:$G$2010,$D93,'LAC 102_Wkst'!$L$7:$L$2010,"11",'LAC 102_Wkst'!$N$7:$N$2010,"P4")+SUMIFS('LAC 102_Wkst'!$Q$7:$Q$2010,'LAC 102_Wkst'!$E$7:$E$2010,$C93,'LAC 102_Wkst'!$G$7:$G$2010,$D93,'LAC 102_Wkst'!$L$7:$L$2010,"12",'LAC 102_Wkst'!$N$7:$N$2010,"P4")</f>
        <v>0</v>
      </c>
      <c r="AY93" s="411">
        <f>SUMIFS('LAC 102_Wkst'!$AE$7:$AE$2010,'LAC 102_Wkst'!$E$7:$E$2010,$C93,'LAC 102_Wkst'!$G$7:$G$2010,$D93,'LAC 102_Wkst'!$L$7:$L$2010,"11",'LAC 102_Wkst'!$N$7:$N$2010,"P4")+SUMIFS('LAC 102_Wkst'!$AE$7:$AE$2010,'LAC 102_Wkst'!$E$7:$E$2010,$C93,'LAC 102_Wkst'!$G$7:$G$2010,$D93,'LAC 102_Wkst'!$L$7:$L$2010,"12",'LAC 102_Wkst'!$N$7:$N$2010,"P4")</f>
        <v>0</v>
      </c>
      <c r="AZ93" s="410">
        <f>SUMIFS('LAC 102_Wkst'!$Q$7:$Q$2010,'LAC 102_Wkst'!$E$7:$E$2010,$C93,'LAC 102_Wkst'!$G$7:$G$2010,$D93,'LAC 102_Wkst'!$L$7:$L$2010,"11",'LAC 102_Wkst'!$N$7:$N$2010,"P5")+SUMIFS('LAC 102_Wkst'!$Q$7:$Q$2010,'LAC 102_Wkst'!$E$7:$E$2010,$C93,'LAC 102_Wkst'!$G$7:$G$2010,$D93,'LAC 102_Wkst'!$L$7:$L$2010,"12",'LAC 102_Wkst'!$N$7:$N$2010,"P5")</f>
        <v>0</v>
      </c>
      <c r="BA93" s="411">
        <f>SUMIFS('LAC 102_Wkst'!$AE$7:$AE$2010,'LAC 102_Wkst'!$E$7:$E$2010,$C93,'LAC 102_Wkst'!$G$7:$G$2010,$D93,'LAC 102_Wkst'!$L$7:$L$2010,"11",'LAC 102_Wkst'!$N$7:$N$2010,"P5")+SUMIFS('LAC 102_Wkst'!$AE$7:$AE$2010,'LAC 102_Wkst'!$E$7:$E$2010,$C93,'LAC 102_Wkst'!$G$7:$G$2010,$D93,'LAC 102_Wkst'!$L$7:$L$2010,"12",'LAC 102_Wkst'!$N$7:$N$2010,"P5")</f>
        <v>0</v>
      </c>
      <c r="BB93" s="410">
        <f>SUMIFS('LAC 102_Wkst'!$Q$7:$Q$2010,'LAC 102_Wkst'!$E$7:$E$2010,$C93,'LAC 102_Wkst'!$G$7:$G$2010,$D93,'LAC 102_Wkst'!$L$7:$L$2010,"13",'LAC 102_Wkst'!$N$7:$N$2010,"P1")+SUMIFS('LAC 102_Wkst'!$Q$7:$Q$2010,'LAC 102_Wkst'!$E$7:$E$2010,$C93,'LAC 102_Wkst'!$G$7:$G$2010,$D93,'LAC 102_Wkst'!$L$7:$L$2010,"13",'LAC 102_Wkst'!$N$7:$N$2010,"P2")+SUMIFS('LAC 102_Wkst'!$Q$7:$Q$2010,'LAC 102_Wkst'!$E$7:$E$2010,$C93,'LAC 102_Wkst'!$G$7:$G$2010,$D93,'LAC 102_Wkst'!$L$7:$L$2010,"13",'LAC 102_Wkst'!$N$7:$N$2010,"P3")+SUMIFS('LAC 102_Wkst'!$Q$7:$Q$2010,'LAC 102_Wkst'!$E$7:$E$2010,$C93,'LAC 102_Wkst'!$G$7:$G$2010,$D93,'LAC 102_Wkst'!$L$7:$L$2010,"13",'LAC 102_Wkst'!$N$7:$N$2010,"P4")</f>
        <v>0</v>
      </c>
      <c r="BC93" s="411">
        <f>SUMIFS('LAC 102_Wkst'!$AE$7:$AE$2010,'LAC 102_Wkst'!$E$7:$E$2010,$C93,'LAC 102_Wkst'!$G$7:$G$2010,$D93,'LAC 102_Wkst'!$L$7:$L$2010,"13",'LAC 102_Wkst'!$N$7:$N$2010,"P1")+SUMIFS('LAC 102_Wkst'!$AE$7:$AE$2010,'LAC 102_Wkst'!$E$7:$E$2010,$C93,'LAC 102_Wkst'!$G$7:$G$2010,$D93,'LAC 102_Wkst'!$L$7:$L$2010,"13",'LAC 102_Wkst'!$N$7:$N$2010,"P2")+SUMIFS('LAC 102_Wkst'!$AE$7:$AE$2010,'LAC 102_Wkst'!$E$7:$E$2010,$C93,'LAC 102_Wkst'!$G$7:$G$2010,$D93,'LAC 102_Wkst'!$L$7:$L$2010,"13",'LAC 102_Wkst'!$N$7:$N$2010,"P3")+SUMIFS('LAC 102_Wkst'!$AE$7:$AE$2010,'LAC 102_Wkst'!$E$7:$E$2010,$C93,'LAC 102_Wkst'!$G$7:$G$2010,$D93,'LAC 102_Wkst'!$L$7:$L$2010,"13",'LAC 102_Wkst'!$N$7:$N$2010,"P4")</f>
        <v>0</v>
      </c>
      <c r="BD93" s="410">
        <f>SUMIFS('LAC 102_Wkst'!$Q$7:$Q$2010,'LAC 102_Wkst'!$E$7:$E$2010,$C93,'LAC 102_Wkst'!$G$7:$G$2010,$D93,'LAC 102_Wkst'!$L$7:$L$2010,"13",'LAC 102_Wkst'!$N$7:$N$2010,"P5")</f>
        <v>0</v>
      </c>
      <c r="BE93" s="411">
        <f>SUMIFS('LAC 102_Wkst'!$AE$7:$AE$2010,'LAC 102_Wkst'!$E$7:$E$2010,$C93,'LAC 102_Wkst'!$G$7:$G$2010,$D93,'LAC 102_Wkst'!$L$7:$L$2010,"13",'LAC 102_Wkst'!$N$7:$N$2010,"P5")</f>
        <v>0</v>
      </c>
      <c r="BF93" s="407">
        <f t="shared" si="1"/>
        <v>0</v>
      </c>
    </row>
    <row r="94" spans="1:58" x14ac:dyDescent="0.2">
      <c r="A94" s="401">
        <v>75</v>
      </c>
      <c r="B94" s="1236"/>
      <c r="C94" s="1235"/>
      <c r="D94" s="1237"/>
      <c r="E94" s="1222">
        <f>IF(CONCATENATE(C94,D94)&gt;"6069",1,SUMIFS('LAC 102_Wkst'!$Q$7:$Q$2010,'LAC 102_Wkst'!$E$7:$E$2010,Schedule_B!$C94,'LAC 102_Wkst'!$G$7:$G$2010,Schedule_B!$D94))</f>
        <v>0</v>
      </c>
      <c r="F94" s="408">
        <f>SUMIFS('LAC 102_Wkst'!$Q$7:$Q$2010,'LAC 102_Wkst'!$E$7:$E$2010,$C94,'LAC 102_Wkst'!$G$7:$G$2010,$D94,'LAC 102_Wkst'!$L$7:$L$2010,"01",'LAC 102_Wkst'!$N$7:$N$2010,"P1")+SUMIFS('LAC 102_Wkst'!$Q$7:$Q$2010,'LAC 102_Wkst'!$E$7:$E$2010,$C94,'LAC 102_Wkst'!$G$7:$G$2010,$D94,'LAC 102_Wkst'!$L$7:$L$2010,"01",'LAC 102_Wkst'!$N$7:$N$2010,"P2")+SUMIFS('LAC 102_Wkst'!$Q$7:$Q$2010,'LAC 102_Wkst'!$E$7:$E$2010,$C94,'LAC 102_Wkst'!$G$7:$G$2010,$D94,'LAC 102_Wkst'!$L$7:$L$2010,"01",'LAC 102_Wkst'!$N$7:$N$2010,"P3")+SUMIFS('LAC 102_Wkst'!$Q$7:$Q$2010,'LAC 102_Wkst'!$E$7:$E$2010,$C94,'LAC 102_Wkst'!$G$7:$G$2010,$D94,'LAC 102_Wkst'!$L$7:$L$2010,"02",'LAC 102_Wkst'!$N$7:$N$2010,"P1")+SUMIFS('LAC 102_Wkst'!$Q$7:$Q$2010,'LAC 102_Wkst'!$E$7:$E$2010,$C94,'LAC 102_Wkst'!$G$7:$G$2010,$D94,'LAC 102_Wkst'!$L$7:$L$2010,"02",'LAC 102_Wkst'!$N$7:$N$2010,"P2")+SUMIFS('LAC 102_Wkst'!$Q$7:$Q$2010,'LAC 102_Wkst'!$E$7:$E$2010,$C94,'LAC 102_Wkst'!$G$7:$G$2010,$D94,'LAC 102_Wkst'!$L$7:$L$2010,"02",'LAC 102_Wkst'!$N$7:$N$2010,"P3")</f>
        <v>0</v>
      </c>
      <c r="G94" s="409">
        <f>SUMIFS('LAC 102_Wkst'!$AE$7:$AE$2010,'LAC 102_Wkst'!$E$7:$E$2010,$C94,'LAC 102_Wkst'!$G$7:$G$2010,$D94,'LAC 102_Wkst'!$L$7:$L$2010,"01",'LAC 102_Wkst'!$N$7:$N$2010,"P1")+SUMIFS('LAC 102_Wkst'!$AE$7:$AE$2010,'LAC 102_Wkst'!$E$7:$E$2010,$C94,'LAC 102_Wkst'!$G$7:$G$2010,$D94,'LAC 102_Wkst'!$L$7:$L$2010,"01",'LAC 102_Wkst'!$N$7:$N$2010,"P2")+SUMIFS('LAC 102_Wkst'!$AE$7:$AE$2010,'LAC 102_Wkst'!$E$7:$E$2010,$C94,'LAC 102_Wkst'!$G$7:$G$2010,$D94,'LAC 102_Wkst'!$L$7:$L$2010,"01",'LAC 102_Wkst'!$N$7:$N$2010,"P3")+SUMIFS('LAC 102_Wkst'!$AE$7:$AE$2010,'LAC 102_Wkst'!$E$7:$E$2010,$C94,'LAC 102_Wkst'!$G$7:$G$2010,$D94,'LAC 102_Wkst'!$L$7:$L$2010,"02",'LAC 102_Wkst'!$N$7:$N$2010,"P1")+SUMIFS('LAC 102_Wkst'!$AE$7:$AE$2010,'LAC 102_Wkst'!$E$7:$E$2010,$C94,'LAC 102_Wkst'!$G$7:$G$2010,$D94,'LAC 102_Wkst'!$L$7:$L$2010,"02",'LAC 102_Wkst'!$N$7:$N$2010,"P2")+SUMIFS('LAC 102_Wkst'!$AE$7:$AE$2010,'LAC 102_Wkst'!$E$7:$E$2010,$C94,'LAC 102_Wkst'!$G$7:$G$2010,$D94,'LAC 102_Wkst'!$L$7:$L$2010,"02",'LAC 102_Wkst'!$N$7:$N$2010,"P3")</f>
        <v>0</v>
      </c>
      <c r="H94" s="410">
        <f>SUMIFS('LAC 102_Wkst'!$Q$7:$Q$2010,'LAC 102_Wkst'!$E$7:$E$2010,$C94,'LAC 102_Wkst'!$G$7:$G$2010,$D94,'LAC 102_Wkst'!$L$7:$L$2010,"01",'LAC 102_Wkst'!$N$7:$N$2010,"P4")+SUMIFS('LAC 102_Wkst'!$Q$7:$Q$2010,'LAC 102_Wkst'!$E$7:$E$2010,$C94,'LAC 102_Wkst'!$G$7:$G$2010,$D94,'LAC 102_Wkst'!$L$7:$L$2010,"02",'LAC 102_Wkst'!$N$7:$N$2010,"P4")</f>
        <v>0</v>
      </c>
      <c r="I94" s="411">
        <f>SUMIFS('LAC 102_Wkst'!$AE$7:$AE$2010,'LAC 102_Wkst'!$E$7:$E$2010,$C94,'LAC 102_Wkst'!$G$7:$G$2010,$D94,'LAC 102_Wkst'!$L$7:$L$2010,"01",'LAC 102_Wkst'!$N$7:$N$2010,"P4")+SUMIFS('LAC 102_Wkst'!$AE$7:$AE$2010,'LAC 102_Wkst'!$E$7:$E$2010,$C94,'LAC 102_Wkst'!$G$7:$G$2010,$D94,'LAC 102_Wkst'!$L$7:$L$2010,"02",'LAC 102_Wkst'!$N$7:$N$2010,"P4")</f>
        <v>0</v>
      </c>
      <c r="J94" s="410">
        <f>SUMIFS('LAC 102_Wkst'!$Q$7:$Q$2010,'LAC 102_Wkst'!$E$7:$E$2010,$C94,'LAC 102_Wkst'!$G$7:$G$2010,$D94,'LAC 102_Wkst'!$L$7:$L$2010,"01",'LAC 102_Wkst'!$N$7:$N$2010,"P5")+SUMIFS('LAC 102_Wkst'!$Q$7:$Q$2010,'LAC 102_Wkst'!$E$7:$E$2010,$C94,'LAC 102_Wkst'!$G$7:$G$2010,$D94,'LAC 102_Wkst'!$L$7:$L$2010,"02",'LAC 102_Wkst'!$N$7:$N$2010,"P5")</f>
        <v>0</v>
      </c>
      <c r="K94" s="411">
        <f>SUMIFS('LAC 102_Wkst'!$AE$7:$AE$2010,'LAC 102_Wkst'!$E$7:$E$2010,$C94,'LAC 102_Wkst'!$G$7:$G$2010,$D94,'LAC 102_Wkst'!$L$7:$L$2010,"01",'LAC 102_Wkst'!$N$7:$N$2010,"P5")+SUMIFS('LAC 102_Wkst'!$AE$7:$AE$2010,'LAC 102_Wkst'!$E$7:$E$2010,$C94,'LAC 102_Wkst'!$G$7:$G$2010,$D94,'LAC 102_Wkst'!$L$7:$L$2010,"02",'LAC 102_Wkst'!$N$7:$N$2010,"P5")</f>
        <v>0</v>
      </c>
      <c r="L94" s="410">
        <f>SUMIFS('LAC 102_Wkst'!$Q$7:$Q$2010,'LAC 102_Wkst'!$E$7:$E$2010,$C94,'LAC 102_Wkst'!$G$7:$G$2010,$D94,'LAC 102_Wkst'!$L$7:$L$2010,"03",'LAC 102_Wkst'!$N$7:$N$2010,"P1")+SUMIFS('LAC 102_Wkst'!$Q$7:$Q$2010,'LAC 102_Wkst'!$E$7:$E$2010,$C94,'LAC 102_Wkst'!$G$7:$G$2010,$D94,'LAC 102_Wkst'!$L$7:$L$2010,"03",'LAC 102_Wkst'!$N$7:$N$2010,"P2")+SUMIFS('LAC 102_Wkst'!$Q$7:$Q$2010,'LAC 102_Wkst'!$E$7:$E$2010,$C94,'LAC 102_Wkst'!$G$7:$G$2010,$D94,'LAC 102_Wkst'!$L$7:$L$2010,"03",'LAC 102_Wkst'!$N$7:$N$2010,"P3")+SUMIFS('LAC 102_Wkst'!$Q$7:$Q$2010,'LAC 102_Wkst'!$E$7:$E$2010,$C94,'LAC 102_Wkst'!$G$7:$G$2010,$D94,'LAC 102_Wkst'!$L$7:$L$2010,"04",'LAC 102_Wkst'!$N$7:$N$2010,"P1")+SUMIFS('LAC 102_Wkst'!$Q$7:$Q$2010,'LAC 102_Wkst'!$E$7:$E$2010,$C94,'LAC 102_Wkst'!$G$7:$G$2010,$D94,'LAC 102_Wkst'!$L$7:$L$2010,"04",'LAC 102_Wkst'!$N$7:$N$2010,"P2")+SUMIFS('LAC 102_Wkst'!$Q$7:$Q$2010,'LAC 102_Wkst'!$E$7:$E$2010,$C94,'LAC 102_Wkst'!$G$7:$G$2010,$D94,'LAC 102_Wkst'!$L$7:$L$2010,"04",'LAC 102_Wkst'!$N$7:$N$2010,"P3")</f>
        <v>0</v>
      </c>
      <c r="M94" s="411">
        <f>SUMIFS('LAC 102_Wkst'!$AE$7:$AE$2010,'LAC 102_Wkst'!$E$7:$E$2010,$C94,'LAC 102_Wkst'!$G$7:$G$2010,$D94,'LAC 102_Wkst'!$L$7:$L$2010,"03",'LAC 102_Wkst'!$N$7:$N$2010,"P1")+SUMIFS('LAC 102_Wkst'!$AE$7:$AE$2010,'LAC 102_Wkst'!$E$7:$E$2010,$C94,'LAC 102_Wkst'!$G$7:$G$2010,$D94,'LAC 102_Wkst'!$L$7:$L$2010,"03",'LAC 102_Wkst'!$N$7:$N$2010,"P2")+SUMIFS('LAC 102_Wkst'!$AE$7:$AE$2010,'LAC 102_Wkst'!$E$7:$E$2010,$C94,'LAC 102_Wkst'!$G$7:$G$2010,$D94,'LAC 102_Wkst'!$L$7:$L$2010,"03",'LAC 102_Wkst'!$N$7:$N$2010,"P3")+SUMIFS('LAC 102_Wkst'!$AE$7:$AE$2010,'LAC 102_Wkst'!$E$7:$E$2010,$C94,'LAC 102_Wkst'!$G$7:$G$2010,$D94,'LAC 102_Wkst'!$L$7:$L$2010,"04",'LAC 102_Wkst'!$N$7:$N$2010,"P1")+SUMIFS('LAC 102_Wkst'!$AE$7:$AE$2010,'LAC 102_Wkst'!$E$7:$E$2010,$C94,'LAC 102_Wkst'!$G$7:$G$2010,$D94,'LAC 102_Wkst'!$L$7:$L$2010,"04",'LAC 102_Wkst'!$N$7:$N$2010,"P2")+SUMIFS('LAC 102_Wkst'!$AE$7:$AE$2010,'LAC 102_Wkst'!$E$7:$E$2010,$C94,'LAC 102_Wkst'!$G$7:$G$2010,$D94,'LAC 102_Wkst'!$L$7:$L$2010,"04",'LAC 102_Wkst'!$N$7:$N$2010,"P3")</f>
        <v>0</v>
      </c>
      <c r="N94" s="410">
        <f>SUMIFS('LAC 102_Wkst'!$Q$7:$Q$2010,'LAC 102_Wkst'!$E$7:$E$2010,$C94,'LAC 102_Wkst'!$G$7:$G$2010,$D94,'LAC 102_Wkst'!$L$7:$L$2010,"03",'LAC 102_Wkst'!$N$7:$N$2010,"P4")+SUMIFS('LAC 102_Wkst'!$Q$7:$Q$2010,'LAC 102_Wkst'!$E$7:$E$2010,$C94,'LAC 102_Wkst'!$G$7:$G$2010,$D94,'LAC 102_Wkst'!$L$7:$L$2010,"04",'LAC 102_Wkst'!$N$7:$N$2010,"P4")</f>
        <v>0</v>
      </c>
      <c r="O94" s="411">
        <f>SUMIFS('LAC 102_Wkst'!$AE$7:$AE$2010,'LAC 102_Wkst'!$E$7:$E$2010,$C94,'LAC 102_Wkst'!$G$7:$G$2010,$D94,'LAC 102_Wkst'!$L$7:$L$2010,"03",'LAC 102_Wkst'!$N$7:$N$2010,"P4")+SUMIFS('LAC 102_Wkst'!$AE$7:$AE$2010,'LAC 102_Wkst'!$E$7:$E$2010,$C94,'LAC 102_Wkst'!$G$7:$G$2010,$D94,'LAC 102_Wkst'!$L$7:$L$2010,"04",'LAC 102_Wkst'!$N$7:$N$2010,"P4")</f>
        <v>0</v>
      </c>
      <c r="P94" s="410">
        <f>SUMIFS('LAC 102_Wkst'!$Q$7:$Q$2010,'LAC 102_Wkst'!$E$7:$E$2010,$C94,'LAC 102_Wkst'!$G$7:$G$2010,$D94,'LAC 102_Wkst'!$L$7:$L$2010,"03",'LAC 102_Wkst'!$N$7:$N$2010,"P5")+SUMIFS('LAC 102_Wkst'!$Q$7:$Q$2010,'LAC 102_Wkst'!$E$7:$E$2010,$C94,'LAC 102_Wkst'!$G$7:$G$2010,$D94,'LAC 102_Wkst'!$L$7:$L$2010,"04",'LAC 102_Wkst'!$N$7:$N$2010,"P5")</f>
        <v>0</v>
      </c>
      <c r="Q94" s="411">
        <f>SUMIFS('LAC 102_Wkst'!$AE$7:$AE$2010,'LAC 102_Wkst'!$E$7:$E$2010,$C94,'LAC 102_Wkst'!$G$7:$G$2010,$D94,'LAC 102_Wkst'!$L$7:$L$2010,"03",'LAC 102_Wkst'!$N$7:$N$2010,"P5")+SUMIFS('LAC 102_Wkst'!$AE$7:$AE$2010,'LAC 102_Wkst'!$E$7:$E$2010,$C94,'LAC 102_Wkst'!$G$7:$G$2010,$D94,'LAC 102_Wkst'!$L$7:$L$2010,"04",'LAC 102_Wkst'!$N$7:$N$2010,"P5")</f>
        <v>0</v>
      </c>
      <c r="R94" s="412">
        <f>SUMIFS('LAC 102_Wkst'!$Q$7:$Q$2010,'LAC 102_Wkst'!$E$7:$E$2010,$C94,'LAC 102_Wkst'!$G$7:$G$2010,$D94,'LAC 102_Wkst'!$L$7:$L$2010,"05",'LAC 102_Wkst'!$N$7:$N$2010,"P1")+SUMIFS('LAC 102_Wkst'!$Q$7:$Q$2010,'LAC 102_Wkst'!$E$7:$E$2010,$C94,'LAC 102_Wkst'!$G$7:$G$2010,$D94,'LAC 102_Wkst'!$L$7:$L$2010,"06",'LAC 102_Wkst'!$N$7:$N$2010,"P1")</f>
        <v>0</v>
      </c>
      <c r="S94" s="411">
        <f>SUMIFS('LAC 102_Wkst'!$AE$7:$AE$2010,'LAC 102_Wkst'!$E$7:$E$2010,$C94,'LAC 102_Wkst'!$G$7:$G$2010,$D94,'LAC 102_Wkst'!$L$7:$L$2010,"05",'LAC 102_Wkst'!$N$7:$N$2010,"P1")+SUMIFS('LAC 102_Wkst'!$AE$7:$AE$2010,'LAC 102_Wkst'!$E$7:$E$2010,$C94,'LAC 102_Wkst'!$G$7:$G$2010,$D94,'LAC 102_Wkst'!$L$7:$L$2010,"06",'LAC 102_Wkst'!$N$7:$N$2010,"P1")</f>
        <v>0</v>
      </c>
      <c r="T94" s="410">
        <f>SUMIFS('LAC 102_Wkst'!$Q$7:$Q$2010,'LAC 102_Wkst'!$E$7:$E$2010,$C94,'LAC 102_Wkst'!$G$7:$G$2010,$D94,'LAC 102_Wkst'!$L$7:$L$2010,"05",'LAC 102_Wkst'!$N$7:$N$2010,"P2")+SUMIFS('LAC 102_Wkst'!$Q$7:$Q$2010,'LAC 102_Wkst'!$E$7:$E$2010,$C94,'LAC 102_Wkst'!$G$7:$G$2010,$D94,'LAC 102_Wkst'!$L$7:$L$2010,"05",'LAC 102_Wkst'!$N$7:$N$2010,"P3")+SUMIFS('LAC 102_Wkst'!$Q$7:$Q$2010,'LAC 102_Wkst'!$E$7:$E$2010,$C94,'LAC 102_Wkst'!$G$7:$G$2010,$D94,'LAC 102_Wkst'!$L$7:$L$2010,"06",'LAC 102_Wkst'!$N$7:$N$2010,"P2")+SUMIFS('LAC 102_Wkst'!$Q$7:$Q$2010,'LAC 102_Wkst'!$E$7:$E$2010,$C94,'LAC 102_Wkst'!$G$7:$G$2010,$D94,'LAC 102_Wkst'!$L$7:$L$2010,"06",'LAC 102_Wkst'!$N$7:$N$2010,"P3")</f>
        <v>0</v>
      </c>
      <c r="U94" s="411">
        <f>SUMIFS('LAC 102_Wkst'!$AE$7:$AE$2010,'LAC 102_Wkst'!$E$7:$E$2010,$C94,'LAC 102_Wkst'!$G$7:$G$2010,$D94,'LAC 102_Wkst'!$L$7:$L$2010,"05",'LAC 102_Wkst'!$N$7:$N$2010,"P2")+SUMIFS('LAC 102_Wkst'!$AE$7:$AE$2010,'LAC 102_Wkst'!$E$7:$E$2010,$C94,'LAC 102_Wkst'!$G$7:$G$2010,$D94,'LAC 102_Wkst'!$L$7:$L$2010,"06",'LAC 102_Wkst'!$N$7:$N$2010,"P3")+SUMIFS('LAC 102_Wkst'!$AE$7:$AE$2010,'LAC 102_Wkst'!$E$7:$E$2010,$C94,'LAC 102_Wkst'!$G$7:$G$2010,$D94,'LAC 102_Wkst'!$L$7:$L$2010,"05",'LAC 102_Wkst'!$N$7:$N$2010,"P2")+SUMIFS('LAC 102_Wkst'!$AE$7:$AE$2010,'LAC 102_Wkst'!$E$7:$E$2010,$C94,'LAC 102_Wkst'!$G$7:$G$2010,$D94,'LAC 102_Wkst'!$L$7:$L$2010,"06",'LAC 102_Wkst'!$N$7:$N$2010,"P3")</f>
        <v>0</v>
      </c>
      <c r="V94" s="410">
        <f>SUMIFS('LAC 102_Wkst'!$Q$7:$Q$2010,'LAC 102_Wkst'!$E$7:$E$2010,$C94,'LAC 102_Wkst'!$G$7:$G$2010,$D94,'LAC 102_Wkst'!$L$7:$L$2010,"05",'LAC 102_Wkst'!$N$7:$N$2010,"P4")+SUMIFS('LAC 102_Wkst'!$Q$7:$Q$2010,'LAC 102_Wkst'!$E$7:$E$2010,$C94,'LAC 102_Wkst'!$G$7:$G$2010,$D94,'LAC 102_Wkst'!$L$7:$L$2010,"06",'LAC 102_Wkst'!$N$7:$N$2010,"P4")</f>
        <v>0</v>
      </c>
      <c r="W94" s="411">
        <f>SUMIFS('LAC 102_Wkst'!$AE$7:$AE$2010,'LAC 102_Wkst'!$E$7:$E$2010,$C94,'LAC 102_Wkst'!$G$7:$G$2010,$D94,'LAC 102_Wkst'!$L$7:$L$2010,"05",'LAC 102_Wkst'!$N$7:$N$2010,"P4")+SUMIFS('LAC 102_Wkst'!$AE$7:$AE$2010,'LAC 102_Wkst'!$E$7:$E$2010,$C94,'LAC 102_Wkst'!$G$7:$G$2010,$D94,'LAC 102_Wkst'!$L$7:$L$2010,"06",'LAC 102_Wkst'!$N$7:$N$2010,"P4")</f>
        <v>0</v>
      </c>
      <c r="X94" s="410">
        <f>SUMIFS('LAC 102_Wkst'!$Q$7:$Q$2010,'LAC 102_Wkst'!$E$7:$E$2010,$C94,'LAC 102_Wkst'!$G$7:$G$2010,$D94,'LAC 102_Wkst'!$L$7:$L$2010,"05",'LAC 102_Wkst'!$N$7:$N$2010,"P5")+SUMIFS('LAC 102_Wkst'!$Q$7:$Q$2010,'LAC 102_Wkst'!$E$7:$E$2010,$C94,'LAC 102_Wkst'!$G$7:$G$2010,$D94,'LAC 102_Wkst'!$L$7:$L$2010,"06",'LAC 102_Wkst'!$N$7:$N$2010,"P5")</f>
        <v>0</v>
      </c>
      <c r="Y94" s="411">
        <f>SUMIFS('LAC 102_Wkst'!$AE$7:$AE$2010,'LAC 102_Wkst'!$E$7:$E$2010,$C94,'LAC 102_Wkst'!$G$7:$G$2010,$D94,'LAC 102_Wkst'!$L$7:$L$2010,"05",'LAC 102_Wkst'!$N$7:$N$2010,"P5")+SUMIFS('LAC 102_Wkst'!$AE$7:$AE$2010,'LAC 102_Wkst'!$E$7:$E$2010,$C94,'LAC 102_Wkst'!$G$7:$G$2010,$D94,'LAC 102_Wkst'!$L$7:$L$2010,"06",'LAC 102_Wkst'!$N$7:$N$2010,"P5")</f>
        <v>0</v>
      </c>
      <c r="Z94" s="410">
        <f>SUMIFS('LAC 102_Wkst'!$Q$7:$Q$2010,'LAC 102_Wkst'!$E$7:$E$2010,$C94,'LAC 102_Wkst'!$G$7:$G$2010,$D94,'LAC 102_Wkst'!$L$7:$L$2010,"07",'LAC 102_Wkst'!$N$7:$N$2010,"P1")+SUMIFS('LAC 102_Wkst'!$Q$7:$Q$2010,'LAC 102_Wkst'!$E$7:$E$2010,$C94,'LAC 102_Wkst'!$G$7:$G$2010,$D94,'LAC 102_Wkst'!$L$7:$L$2010,"07",'LAC 102_Wkst'!$N$7:$N$2010,"P2")+SUMIFS('LAC 102_Wkst'!$Q$7:$Q$2010,'LAC 102_Wkst'!$E$7:$E$2010,$C94,'LAC 102_Wkst'!$G$7:$G$2010,$D94,'LAC 102_Wkst'!$L$7:$L$2010,"07",'LAC 102_Wkst'!$N$7:$N$2010,"P3")</f>
        <v>0</v>
      </c>
      <c r="AA94" s="411">
        <f>SUMIFS('LAC 102_Wkst'!$AE$7:$AE$2010,'LAC 102_Wkst'!$E$7:$E$2010,$C94,'LAC 102_Wkst'!$G$7:$G$2010,$D94,'LAC 102_Wkst'!$L$7:$L$2010,"07",'LAC 102_Wkst'!$N$7:$N$2010,"P1")+SUMIFS('LAC 102_Wkst'!$AE$7:$AE$2010,'LAC 102_Wkst'!$E$7:$E$2010,$C94,'LAC 102_Wkst'!$G$7:$G$2010,$D94,'LAC 102_Wkst'!$L$7:$L$2010,"07",'LAC 102_Wkst'!$N$7:$N$2010,"P2")+SUMIFS('LAC 102_Wkst'!$AE$7:$AE$2010,'LAC 102_Wkst'!$E$7:$E$2010,$C94,'LAC 102_Wkst'!$G$7:$G$2010,$D94,'LAC 102_Wkst'!$L$7:$L$2010,"07",'LAC 102_Wkst'!$N$7:$N$2010,"P3")</f>
        <v>0</v>
      </c>
      <c r="AB94" s="410">
        <f>SUMIFS('LAC 102_Wkst'!$Q$7:$Q$2010,'LAC 102_Wkst'!$E$7:$E$2010,$C94,'LAC 102_Wkst'!$G$7:$G$2010,$D94,'LAC 102_Wkst'!$L$7:$L$2010,"07",'LAC 102_Wkst'!$N$7:$N$2010,"P4")</f>
        <v>0</v>
      </c>
      <c r="AC94" s="411">
        <f>SUMIFS('LAC 102_Wkst'!$AE$7:$AE$2010,'LAC 102_Wkst'!$E$7:$E$2010,$C94,'LAC 102_Wkst'!$G$7:$G$2010,$D94,'LAC 102_Wkst'!$L$7:$L$2010,"07",'LAC 102_Wkst'!$N$7:$N$2010,"P4")</f>
        <v>0</v>
      </c>
      <c r="AD94" s="410">
        <f>SUMIFS('LAC 102_Wkst'!$Q$7:$Q$2010,'LAC 102_Wkst'!$E$7:$E$2010,$C94,'LAC 102_Wkst'!$G$7:$G$2010,$D94,'LAC 102_Wkst'!$L$7:$L$2010,"07",'LAC 102_Wkst'!$N$7:$N$2010,"P5")</f>
        <v>0</v>
      </c>
      <c r="AE94" s="411">
        <f>SUMIFS('LAC 102_Wkst'!$AE$7:$AE$2010,'LAC 102_Wkst'!$E$7:$E$2010,$C94,'LAC 102_Wkst'!$G$7:$G$2010,$D94,'LAC 102_Wkst'!$L$7:$L$2010,"07",'LAC 102_Wkst'!$N$7:$N$2010,"P5")</f>
        <v>0</v>
      </c>
      <c r="AF94" s="410">
        <f>SUMIFS('LAC 102_Wkst'!$Q$7:$Q$2010,'LAC 102_Wkst'!$E$7:$E$2010,$C94,'LAC 102_Wkst'!$G$7:$G$2010,$D94,'LAC 102_Wkst'!$L$7:$L$2010,"08",'LAC 102_Wkst'!$N$7:$N$2010,"P1")+SUMIFS('LAC 102_Wkst'!$Q$7:$Q$2010,'LAC 102_Wkst'!$E$7:$E$2010,$C94,'LAC 102_Wkst'!$G$7:$G$2010,$D94,'LAC 102_Wkst'!$L$7:$L$2010,"08",'LAC 102_Wkst'!$N$7:$N$2010,"P2")+SUMIFS('LAC 102_Wkst'!$Q$7:$Q$2010,'LAC 102_Wkst'!$E$7:$E$2010,$C94,'LAC 102_Wkst'!$G$7:$G$2010,$D94,'LAC 102_Wkst'!$L$7:$L$2010,"08",'LAC 102_Wkst'!$N$7:$N$2010,"P3")</f>
        <v>0</v>
      </c>
      <c r="AG94" s="411">
        <f>SUMIFS('LAC 102_Wkst'!$AE$7:$AE$2010,'LAC 102_Wkst'!$E$7:$E$2010,$C94,'LAC 102_Wkst'!$G$7:$G$2010,$D94,'LAC 102_Wkst'!$L$7:$L$2010,"08",'LAC 102_Wkst'!$N$7:$N$2010,"P1")+SUMIFS('LAC 102_Wkst'!$AE$7:$AE$2010,'LAC 102_Wkst'!$E$7:$E$2010,$C94,'LAC 102_Wkst'!$G$7:$G$2010,$D94,'LAC 102_Wkst'!$L$7:$L$2010,"08",'LAC 102_Wkst'!$N$7:$N$2010,"P2")+SUMIFS('LAC 102_Wkst'!$AE$7:$AE$2010,'LAC 102_Wkst'!$E$7:$E$2010,$C94,'LAC 102_Wkst'!$G$7:$G$2010,$D94,'LAC 102_Wkst'!$L$7:$L$2010,"08",'LAC 102_Wkst'!$N$7:$N$2010,"P3")</f>
        <v>0</v>
      </c>
      <c r="AH94" s="410">
        <f>SUMIFS('LAC 102_Wkst'!$Q$7:$Q$2010,'LAC 102_Wkst'!$E$7:$E$2010,$C94,'LAC 102_Wkst'!$G$7:$G$2010,$D94,'LAC 102_Wkst'!$L$7:$L$2010,"08",'LAC 102_Wkst'!$N$7:$N$2010,"P4")</f>
        <v>0</v>
      </c>
      <c r="AI94" s="411">
        <f>SUMIFS('LAC 102_Wkst'!$AE$7:$AE$2010,'LAC 102_Wkst'!$E$7:$E$2010,$C94,'LAC 102_Wkst'!$G$7:$G$2010,$D94,'LAC 102_Wkst'!$L$7:$L$2010,"08",'LAC 102_Wkst'!$N$7:$N$2010,"P4")</f>
        <v>0</v>
      </c>
      <c r="AJ94" s="410">
        <f>SUMIFS('LAC 102_Wkst'!$Q$7:$Q$2010,'LAC 102_Wkst'!$E$7:$E$2010,$C94,'LAC 102_Wkst'!$G$7:$G$2010,$D94,'LAC 102_Wkst'!$L$7:$L$2010,"08",'LAC 102_Wkst'!$N$7:$N$2010,"P5")</f>
        <v>0</v>
      </c>
      <c r="AK94" s="411">
        <f>SUMIFS('LAC 102_Wkst'!$AE$7:$AE$2010,'LAC 102_Wkst'!$E$7:$E$2010,$C94,'LAC 102_Wkst'!$G$7:$G$2010,$D94,'LAC 102_Wkst'!$L$7:$L$2010,"08",'LAC 102_Wkst'!$N$7:$N$2010,"P5")</f>
        <v>0</v>
      </c>
      <c r="AL94" s="410">
        <f>SUMIFS('LAC 102_Wkst'!$Q$7:$Q$2010,'LAC 102_Wkst'!$E$7:$E$2010,$C94,'LAC 102_Wkst'!$G$7:$G$2010,$D94,'LAC 102_Wkst'!$L$7:$L$2010,"09",'LAC 102_Wkst'!$N$7:$N$2010,"P1")+SUMIFS('LAC 102_Wkst'!$Q$7:$Q$2010,'LAC 102_Wkst'!$E$7:$E$2010,$C94,'LAC 102_Wkst'!$G$7:$G$2010,$D94,'LAC 102_Wkst'!$L$7:$L$2010,"09",'LAC 102_Wkst'!$N$7:$N$2010,"P2")+SUMIFS('LAC 102_Wkst'!$Q$7:$Q$2010,'LAC 102_Wkst'!$E$7:$E$2010,$C94,'LAC 102_Wkst'!$G$7:$G$2010,$D94,'LAC 102_Wkst'!$L$7:$L$2010,"09",'LAC 102_Wkst'!$N$7:$N$2010,"P3")+SUMIFS('LAC 102_Wkst'!$Q$7:$Q$2010,'LAC 102_Wkst'!$E$7:$E$2010,$C94,'LAC 102_Wkst'!$G$7:$G$2010,$D94,'LAC 102_Wkst'!$L$7:$L$2010,"09",'LAC 102_Wkst'!$N$7:$N$2010,"P4")</f>
        <v>0</v>
      </c>
      <c r="AM94" s="411">
        <f>SUMIFS('LAC 102_Wkst'!$AE$7:$AE$2010,'LAC 102_Wkst'!$E$7:$E$2010,$C94,'LAC 102_Wkst'!$G$7:$G$2010,$D94,'LAC 102_Wkst'!$L$7:$L$2010,"09",'LAC 102_Wkst'!$N$7:$N$2010,"P1")+SUMIFS('LAC 102_Wkst'!$AE$7:$AE$2010,'LAC 102_Wkst'!$E$7:$E$2010,$C94,'LAC 102_Wkst'!$G$7:$G$2010,$D94,'LAC 102_Wkst'!$L$7:$L$2010,"09",'LAC 102_Wkst'!$N$7:$N$2010,"P2")+SUMIFS('LAC 102_Wkst'!$AE$7:$AE$2010,'LAC 102_Wkst'!$E$7:$E$2010,$C94,'LAC 102_Wkst'!$G$7:$G$2010,$D94,'LAC 102_Wkst'!$L$7:$L$2010,"09",'LAC 102_Wkst'!$N$7:$N$2010,"P3")+SUMIFS('LAC 102_Wkst'!$AE$7:$AE$2010,'LAC 102_Wkst'!$E$7:$E$2010,$C94,'LAC 102_Wkst'!$G$7:$G$2010,$D94,'LAC 102_Wkst'!$L$7:$L$2010,"09",'LAC 102_Wkst'!$N$7:$N$2010,"P4")</f>
        <v>0</v>
      </c>
      <c r="AN94" s="410">
        <f>SUMIFS('LAC 102_Wkst'!$Q$7:$Q$2010,'LAC 102_Wkst'!$E$7:$E$2010,$C94,'LAC 102_Wkst'!$G$7:$G$2010,$D94,'LAC 102_Wkst'!$L$7:$L$2010,"09",'LAC 102_Wkst'!$N$7:$N$2010,"P5")</f>
        <v>0</v>
      </c>
      <c r="AO94" s="411">
        <f>SUMIFS('LAC 102_Wkst'!$AE$7:$AE$2010,'LAC 102_Wkst'!$E$7:$E$2010,$C94,'LAC 102_Wkst'!$G$7:$G$2010,$D94,'LAC 102_Wkst'!$L$7:$L$2010,"09",'LAC 102_Wkst'!$N$7:$N$2010,"P5")</f>
        <v>0</v>
      </c>
      <c r="AP94" s="410">
        <f>SUMIFS('LAC 102_Wkst'!$Q$7:$Q$2010,'LAC 102_Wkst'!$E$7:$E$2010,$C94,'LAC 102_Wkst'!$G$7:$G$2010,$D94,'LAC 102_Wkst'!$L$7:$L$2010,"10",'LAC 102_Wkst'!$N$7:$N$2010,"P1")+SUMIFS('LAC 102_Wkst'!$Q$7:$Q$2010,'LAC 102_Wkst'!$E$7:$E$2010,$C94,'LAC 102_Wkst'!$G$7:$G$2010,$D94,'LAC 102_Wkst'!$L$7:$L$2010,"10",'LAC 102_Wkst'!$N$7:$N$2010,"P2")+SUMIFS('LAC 102_Wkst'!$Q$7:$Q$2010,'LAC 102_Wkst'!$E$7:$E$2010,$C94,'LAC 102_Wkst'!$G$7:$G$2010,$D94,'LAC 102_Wkst'!$L$7:$L$2010,"10",'LAC 102_Wkst'!$N$7:$N$2010,"P3")+SUMIFS('LAC 102_Wkst'!$Q$7:$Q$2010,'LAC 102_Wkst'!$E$7:$E$2010,$C94,'LAC 102_Wkst'!$G$7:$G$2010,$D94,'LAC 102_Wkst'!$L$7:$L$2010,"10",'LAC 102_Wkst'!$N$7:$N$2010,"P4")</f>
        <v>0</v>
      </c>
      <c r="AQ94" s="411">
        <f>SUMIFS('LAC 102_Wkst'!$AE$7:$AE$2010,'LAC 102_Wkst'!$E$7:$E$2010,$C94,'LAC 102_Wkst'!$G$7:$G$2010,$D94,'LAC 102_Wkst'!$L$7:$L$2010,"10",'LAC 102_Wkst'!$N$7:$N$2010,"P1")+SUMIFS('LAC 102_Wkst'!$AE$7:$AE$2010,'LAC 102_Wkst'!$E$7:$E$2010,$C94,'LAC 102_Wkst'!$G$7:$G$2010,$D94,'LAC 102_Wkst'!$L$7:$L$2010,"10",'LAC 102_Wkst'!$N$7:$N$2010,"P2")+SUMIFS('LAC 102_Wkst'!$AE$7:$AE$2010,'LAC 102_Wkst'!$E$7:$E$2010,$C94,'LAC 102_Wkst'!$G$7:$G$2010,$D94,'LAC 102_Wkst'!$L$7:$L$2010,"10",'LAC 102_Wkst'!$N$7:$N$2010,"P3")+SUMIFS('LAC 102_Wkst'!$AE$7:$AE$2010,'LAC 102_Wkst'!$E$7:$E$2010,$C94,'LAC 102_Wkst'!$G$7:$G$2010,$D94,'LAC 102_Wkst'!$L$7:$L$2010,"10",'LAC 102_Wkst'!$N$7:$N$2010,"P4")</f>
        <v>0</v>
      </c>
      <c r="AR94" s="410">
        <f>SUMIFS('LAC 102_Wkst'!$Q$7:$Q$2010,'LAC 102_Wkst'!$E$7:$E$2010,$C94,'LAC 102_Wkst'!$G$7:$G$2010,$D94,'LAC 102_Wkst'!$L$7:$L$2010,"10",'LAC 102_Wkst'!$N$7:$N$2010,"P5")</f>
        <v>0</v>
      </c>
      <c r="AS94" s="411">
        <f>SUMIFS('LAC 102_Wkst'!$AE$7:$AE$2010,'LAC 102_Wkst'!$E$7:$E$2010,$C94,'LAC 102_Wkst'!$G$7:$G$2010,$D94,'LAC 102_Wkst'!$L$7:$L$2010,"10",'LAC 102_Wkst'!$N$7:$N$2010,"P5")</f>
        <v>0</v>
      </c>
      <c r="AT94" s="410">
        <f>SUMIFS('LAC 102_Wkst'!$Q$7:$Q$2010,'LAC 102_Wkst'!$E$7:$E$2010,$C94,'LAC 102_Wkst'!$G$7:$G$2010,$D94,'LAC 102_Wkst'!$L$7:$L$2010,"11",'LAC 102_Wkst'!$N$7:$N$2010,"P1")+SUMIFS('LAC 102_Wkst'!$Q$7:$Q$2010,'LAC 102_Wkst'!$E$7:$E$2010,$C94,'LAC 102_Wkst'!$G$7:$G$2010,$D94,'LAC 102_Wkst'!$L$7:$L$2010,"12",'LAC 102_Wkst'!$N$7:$N$2010,"P1")</f>
        <v>0</v>
      </c>
      <c r="AU94" s="411">
        <f>SUMIFS('LAC 102_Wkst'!$AE$7:$AE$2010,'LAC 102_Wkst'!$E$7:$E$2010,$C94,'LAC 102_Wkst'!$G$7:$G$2010,$D94,'LAC 102_Wkst'!$L$7:$L$2010,"11",'LAC 102_Wkst'!$N$7:$N$2010,"P1")+SUMIFS('LAC 102_Wkst'!$AE$7:$AE$2010,'LAC 102_Wkst'!$E$7:$E$2010,$C94,'LAC 102_Wkst'!$G$7:$G$2010,$D94,'LAC 102_Wkst'!$L$7:$L$2010,"12",'LAC 102_Wkst'!$N$7:$N$2010,"P1")</f>
        <v>0</v>
      </c>
      <c r="AV94" s="410">
        <f>SUMIFS('LAC 102_Wkst'!$Q$7:$Q$2010,'LAC 102_Wkst'!$E$7:$E$2010,$C94,'LAC 102_Wkst'!$G$7:$G$2010,$D94,'LAC 102_Wkst'!$L$7:$L$2010,"11",'LAC 102_Wkst'!$N$7:$N$2010,"P2")+SUMIFS('LAC 102_Wkst'!$Q$7:$Q$2010,'LAC 102_Wkst'!$E$7:$E$2010,$C94,'LAC 102_Wkst'!$G$7:$G$2010,$D94,'LAC 102_Wkst'!$L$7:$L$2010,"12",'LAC 102_Wkst'!$N$7:$N$2010,"P3")+SUMIFS('LAC 102_Wkst'!$Q$7:$Q$2010,'LAC 102_Wkst'!$E$7:$E$2010,$C94,'LAC 102_Wkst'!$G$7:$G$2010,$D94,'LAC 102_Wkst'!$L$7:$L$2010,"11",'LAC 102_Wkst'!$N$7:$N$2010,"P2")+SUMIFS('LAC 102_Wkst'!$Q$7:$Q$2010,'LAC 102_Wkst'!$E$7:$E$2010,$C94,'LAC 102_Wkst'!$G$7:$G$2010,$D94,'LAC 102_Wkst'!$L$7:$L$2010,"12",'LAC 102_Wkst'!$N$7:$N$2010,"P3")</f>
        <v>0</v>
      </c>
      <c r="AW94" s="411">
        <f>SUMIFS('LAC 102_Wkst'!$AE$7:$AE$2010,'LAC 102_Wkst'!$E$7:$E$2010,$C94,'LAC 102_Wkst'!$G$7:$G$2010,$D94,'LAC 102_Wkst'!$L$7:$L$2010,"11",'LAC 102_Wkst'!$N$7:$N$2010,"P2")+SUMIFS('LAC 102_Wkst'!$AE$7:$AE$2010,'LAC 102_Wkst'!$E$7:$E$2010,$C94,'LAC 102_Wkst'!$G$7:$G$2010,$D94,'LAC 102_Wkst'!$L$7:$L$2010,"12",'LAC 102_Wkst'!$N$7:$N$2010,"P3")+SUMIFS('LAC 102_Wkst'!$AE$7:$AE$2010,'LAC 102_Wkst'!$E$7:$E$2010,$C94,'LAC 102_Wkst'!$G$7:$G$2010,$D94,'LAC 102_Wkst'!$L$7:$L$2010,"11",'LAC 102_Wkst'!$N$7:$N$2010,"P2")+SUMIFS('LAC 102_Wkst'!$AE$7:$AE$2010,'LAC 102_Wkst'!$E$7:$E$2010,$C94,'LAC 102_Wkst'!$G$7:$G$2010,$D94,'LAC 102_Wkst'!$L$7:$L$2010,"12",'LAC 102_Wkst'!$N$7:$N$2010,"P3")</f>
        <v>0</v>
      </c>
      <c r="AX94" s="410">
        <f>SUMIFS('LAC 102_Wkst'!$Q$7:$Q$2010,'LAC 102_Wkst'!$E$7:$E$2010,$C94,'LAC 102_Wkst'!$G$7:$G$2010,$D94,'LAC 102_Wkst'!$L$7:$L$2010,"11",'LAC 102_Wkst'!$N$7:$N$2010,"P4")+SUMIFS('LAC 102_Wkst'!$Q$7:$Q$2010,'LAC 102_Wkst'!$E$7:$E$2010,$C94,'LAC 102_Wkst'!$G$7:$G$2010,$D94,'LAC 102_Wkst'!$L$7:$L$2010,"12",'LAC 102_Wkst'!$N$7:$N$2010,"P4")</f>
        <v>0</v>
      </c>
      <c r="AY94" s="411">
        <f>SUMIFS('LAC 102_Wkst'!$AE$7:$AE$2010,'LAC 102_Wkst'!$E$7:$E$2010,$C94,'LAC 102_Wkst'!$G$7:$G$2010,$D94,'LAC 102_Wkst'!$L$7:$L$2010,"11",'LAC 102_Wkst'!$N$7:$N$2010,"P4")+SUMIFS('LAC 102_Wkst'!$AE$7:$AE$2010,'LAC 102_Wkst'!$E$7:$E$2010,$C94,'LAC 102_Wkst'!$G$7:$G$2010,$D94,'LAC 102_Wkst'!$L$7:$L$2010,"12",'LAC 102_Wkst'!$N$7:$N$2010,"P4")</f>
        <v>0</v>
      </c>
      <c r="AZ94" s="410">
        <f>SUMIFS('LAC 102_Wkst'!$Q$7:$Q$2010,'LAC 102_Wkst'!$E$7:$E$2010,$C94,'LAC 102_Wkst'!$G$7:$G$2010,$D94,'LAC 102_Wkst'!$L$7:$L$2010,"11",'LAC 102_Wkst'!$N$7:$N$2010,"P5")+SUMIFS('LAC 102_Wkst'!$Q$7:$Q$2010,'LAC 102_Wkst'!$E$7:$E$2010,$C94,'LAC 102_Wkst'!$G$7:$G$2010,$D94,'LAC 102_Wkst'!$L$7:$L$2010,"12",'LAC 102_Wkst'!$N$7:$N$2010,"P5")</f>
        <v>0</v>
      </c>
      <c r="BA94" s="411">
        <f>SUMIFS('LAC 102_Wkst'!$AE$7:$AE$2010,'LAC 102_Wkst'!$E$7:$E$2010,$C94,'LAC 102_Wkst'!$G$7:$G$2010,$D94,'LAC 102_Wkst'!$L$7:$L$2010,"11",'LAC 102_Wkst'!$N$7:$N$2010,"P5")+SUMIFS('LAC 102_Wkst'!$AE$7:$AE$2010,'LAC 102_Wkst'!$E$7:$E$2010,$C94,'LAC 102_Wkst'!$G$7:$G$2010,$D94,'LAC 102_Wkst'!$L$7:$L$2010,"12",'LAC 102_Wkst'!$N$7:$N$2010,"P5")</f>
        <v>0</v>
      </c>
      <c r="BB94" s="410">
        <f>SUMIFS('LAC 102_Wkst'!$Q$7:$Q$2010,'LAC 102_Wkst'!$E$7:$E$2010,$C94,'LAC 102_Wkst'!$G$7:$G$2010,$D94,'LAC 102_Wkst'!$L$7:$L$2010,"13",'LAC 102_Wkst'!$N$7:$N$2010,"P1")+SUMIFS('LAC 102_Wkst'!$Q$7:$Q$2010,'LAC 102_Wkst'!$E$7:$E$2010,$C94,'LAC 102_Wkst'!$G$7:$G$2010,$D94,'LAC 102_Wkst'!$L$7:$L$2010,"13",'LAC 102_Wkst'!$N$7:$N$2010,"P2")+SUMIFS('LAC 102_Wkst'!$Q$7:$Q$2010,'LAC 102_Wkst'!$E$7:$E$2010,$C94,'LAC 102_Wkst'!$G$7:$G$2010,$D94,'LAC 102_Wkst'!$L$7:$L$2010,"13",'LAC 102_Wkst'!$N$7:$N$2010,"P3")+SUMIFS('LAC 102_Wkst'!$Q$7:$Q$2010,'LAC 102_Wkst'!$E$7:$E$2010,$C94,'LAC 102_Wkst'!$G$7:$G$2010,$D94,'LAC 102_Wkst'!$L$7:$L$2010,"13",'LAC 102_Wkst'!$N$7:$N$2010,"P4")</f>
        <v>0</v>
      </c>
      <c r="BC94" s="411">
        <f>SUMIFS('LAC 102_Wkst'!$AE$7:$AE$2010,'LAC 102_Wkst'!$E$7:$E$2010,$C94,'LAC 102_Wkst'!$G$7:$G$2010,$D94,'LAC 102_Wkst'!$L$7:$L$2010,"13",'LAC 102_Wkst'!$N$7:$N$2010,"P1")+SUMIFS('LAC 102_Wkst'!$AE$7:$AE$2010,'LAC 102_Wkst'!$E$7:$E$2010,$C94,'LAC 102_Wkst'!$G$7:$G$2010,$D94,'LAC 102_Wkst'!$L$7:$L$2010,"13",'LAC 102_Wkst'!$N$7:$N$2010,"P2")+SUMIFS('LAC 102_Wkst'!$AE$7:$AE$2010,'LAC 102_Wkst'!$E$7:$E$2010,$C94,'LAC 102_Wkst'!$G$7:$G$2010,$D94,'LAC 102_Wkst'!$L$7:$L$2010,"13",'LAC 102_Wkst'!$N$7:$N$2010,"P3")+SUMIFS('LAC 102_Wkst'!$AE$7:$AE$2010,'LAC 102_Wkst'!$E$7:$E$2010,$C94,'LAC 102_Wkst'!$G$7:$G$2010,$D94,'LAC 102_Wkst'!$L$7:$L$2010,"13",'LAC 102_Wkst'!$N$7:$N$2010,"P4")</f>
        <v>0</v>
      </c>
      <c r="BD94" s="410">
        <f>SUMIFS('LAC 102_Wkst'!$Q$7:$Q$2010,'LAC 102_Wkst'!$E$7:$E$2010,$C94,'LAC 102_Wkst'!$G$7:$G$2010,$D94,'LAC 102_Wkst'!$L$7:$L$2010,"13",'LAC 102_Wkst'!$N$7:$N$2010,"P5")</f>
        <v>0</v>
      </c>
      <c r="BE94" s="411">
        <f>SUMIFS('LAC 102_Wkst'!$AE$7:$AE$2010,'LAC 102_Wkst'!$E$7:$E$2010,$C94,'LAC 102_Wkst'!$G$7:$G$2010,$D94,'LAC 102_Wkst'!$L$7:$L$2010,"13",'LAC 102_Wkst'!$N$7:$N$2010,"P5")</f>
        <v>0</v>
      </c>
      <c r="BF94" s="407">
        <f t="shared" si="1"/>
        <v>0</v>
      </c>
    </row>
    <row r="95" spans="1:58" x14ac:dyDescent="0.2">
      <c r="A95" s="401">
        <v>76</v>
      </c>
      <c r="B95" s="1236"/>
      <c r="C95" s="1235"/>
      <c r="D95" s="1237"/>
      <c r="E95" s="1222">
        <f>IF(CONCATENATE(C95,D95)&gt;"6069",1,SUMIFS('LAC 102_Wkst'!$Q$7:$Q$2010,'LAC 102_Wkst'!$E$7:$E$2010,Schedule_B!$C95,'LAC 102_Wkst'!$G$7:$G$2010,Schedule_B!$D95))</f>
        <v>0</v>
      </c>
      <c r="F95" s="408">
        <f>SUMIFS('LAC 102_Wkst'!$Q$7:$Q$2010,'LAC 102_Wkst'!$E$7:$E$2010,$C95,'LAC 102_Wkst'!$G$7:$G$2010,$D95,'LAC 102_Wkst'!$L$7:$L$2010,"01",'LAC 102_Wkst'!$N$7:$N$2010,"P1")+SUMIFS('LAC 102_Wkst'!$Q$7:$Q$2010,'LAC 102_Wkst'!$E$7:$E$2010,$C95,'LAC 102_Wkst'!$G$7:$G$2010,$D95,'LAC 102_Wkst'!$L$7:$L$2010,"01",'LAC 102_Wkst'!$N$7:$N$2010,"P2")+SUMIFS('LAC 102_Wkst'!$Q$7:$Q$2010,'LAC 102_Wkst'!$E$7:$E$2010,$C95,'LAC 102_Wkst'!$G$7:$G$2010,$D95,'LAC 102_Wkst'!$L$7:$L$2010,"01",'LAC 102_Wkst'!$N$7:$N$2010,"P3")+SUMIFS('LAC 102_Wkst'!$Q$7:$Q$2010,'LAC 102_Wkst'!$E$7:$E$2010,$C95,'LAC 102_Wkst'!$G$7:$G$2010,$D95,'LAC 102_Wkst'!$L$7:$L$2010,"02",'LAC 102_Wkst'!$N$7:$N$2010,"P1")+SUMIFS('LAC 102_Wkst'!$Q$7:$Q$2010,'LAC 102_Wkst'!$E$7:$E$2010,$C95,'LAC 102_Wkst'!$G$7:$G$2010,$D95,'LAC 102_Wkst'!$L$7:$L$2010,"02",'LAC 102_Wkst'!$N$7:$N$2010,"P2")+SUMIFS('LAC 102_Wkst'!$Q$7:$Q$2010,'LAC 102_Wkst'!$E$7:$E$2010,$C95,'LAC 102_Wkst'!$G$7:$G$2010,$D95,'LAC 102_Wkst'!$L$7:$L$2010,"02",'LAC 102_Wkst'!$N$7:$N$2010,"P3")</f>
        <v>0</v>
      </c>
      <c r="G95" s="409">
        <f>SUMIFS('LAC 102_Wkst'!$AE$7:$AE$2010,'LAC 102_Wkst'!$E$7:$E$2010,$C95,'LAC 102_Wkst'!$G$7:$G$2010,$D95,'LAC 102_Wkst'!$L$7:$L$2010,"01",'LAC 102_Wkst'!$N$7:$N$2010,"P1")+SUMIFS('LAC 102_Wkst'!$AE$7:$AE$2010,'LAC 102_Wkst'!$E$7:$E$2010,$C95,'LAC 102_Wkst'!$G$7:$G$2010,$D95,'LAC 102_Wkst'!$L$7:$L$2010,"01",'LAC 102_Wkst'!$N$7:$N$2010,"P2")+SUMIFS('LAC 102_Wkst'!$AE$7:$AE$2010,'LAC 102_Wkst'!$E$7:$E$2010,$C95,'LAC 102_Wkst'!$G$7:$G$2010,$D95,'LAC 102_Wkst'!$L$7:$L$2010,"01",'LAC 102_Wkst'!$N$7:$N$2010,"P3")+SUMIFS('LAC 102_Wkst'!$AE$7:$AE$2010,'LAC 102_Wkst'!$E$7:$E$2010,$C95,'LAC 102_Wkst'!$G$7:$G$2010,$D95,'LAC 102_Wkst'!$L$7:$L$2010,"02",'LAC 102_Wkst'!$N$7:$N$2010,"P1")+SUMIFS('LAC 102_Wkst'!$AE$7:$AE$2010,'LAC 102_Wkst'!$E$7:$E$2010,$C95,'LAC 102_Wkst'!$G$7:$G$2010,$D95,'LAC 102_Wkst'!$L$7:$L$2010,"02",'LAC 102_Wkst'!$N$7:$N$2010,"P2")+SUMIFS('LAC 102_Wkst'!$AE$7:$AE$2010,'LAC 102_Wkst'!$E$7:$E$2010,$C95,'LAC 102_Wkst'!$G$7:$G$2010,$D95,'LAC 102_Wkst'!$L$7:$L$2010,"02",'LAC 102_Wkst'!$N$7:$N$2010,"P3")</f>
        <v>0</v>
      </c>
      <c r="H95" s="410">
        <f>SUMIFS('LAC 102_Wkst'!$Q$7:$Q$2010,'LAC 102_Wkst'!$E$7:$E$2010,$C95,'LAC 102_Wkst'!$G$7:$G$2010,$D95,'LAC 102_Wkst'!$L$7:$L$2010,"01",'LAC 102_Wkst'!$N$7:$N$2010,"P4")+SUMIFS('LAC 102_Wkst'!$Q$7:$Q$2010,'LAC 102_Wkst'!$E$7:$E$2010,$C95,'LAC 102_Wkst'!$G$7:$G$2010,$D95,'LAC 102_Wkst'!$L$7:$L$2010,"02",'LAC 102_Wkst'!$N$7:$N$2010,"P4")</f>
        <v>0</v>
      </c>
      <c r="I95" s="411">
        <f>SUMIFS('LAC 102_Wkst'!$AE$7:$AE$2010,'LAC 102_Wkst'!$E$7:$E$2010,$C95,'LAC 102_Wkst'!$G$7:$G$2010,$D95,'LAC 102_Wkst'!$L$7:$L$2010,"01",'LAC 102_Wkst'!$N$7:$N$2010,"P4")+SUMIFS('LAC 102_Wkst'!$AE$7:$AE$2010,'LAC 102_Wkst'!$E$7:$E$2010,$C95,'LAC 102_Wkst'!$G$7:$G$2010,$D95,'LAC 102_Wkst'!$L$7:$L$2010,"02",'LAC 102_Wkst'!$N$7:$N$2010,"P4")</f>
        <v>0</v>
      </c>
      <c r="J95" s="410">
        <f>SUMIFS('LAC 102_Wkst'!$Q$7:$Q$2010,'LAC 102_Wkst'!$E$7:$E$2010,$C95,'LAC 102_Wkst'!$G$7:$G$2010,$D95,'LAC 102_Wkst'!$L$7:$L$2010,"01",'LAC 102_Wkst'!$N$7:$N$2010,"P5")+SUMIFS('LAC 102_Wkst'!$Q$7:$Q$2010,'LAC 102_Wkst'!$E$7:$E$2010,$C95,'LAC 102_Wkst'!$G$7:$G$2010,$D95,'LAC 102_Wkst'!$L$7:$L$2010,"02",'LAC 102_Wkst'!$N$7:$N$2010,"P5")</f>
        <v>0</v>
      </c>
      <c r="K95" s="411">
        <f>SUMIFS('LAC 102_Wkst'!$AE$7:$AE$2010,'LAC 102_Wkst'!$E$7:$E$2010,$C95,'LAC 102_Wkst'!$G$7:$G$2010,$D95,'LAC 102_Wkst'!$L$7:$L$2010,"01",'LAC 102_Wkst'!$N$7:$N$2010,"P5")+SUMIFS('LAC 102_Wkst'!$AE$7:$AE$2010,'LAC 102_Wkst'!$E$7:$E$2010,$C95,'LAC 102_Wkst'!$G$7:$G$2010,$D95,'LAC 102_Wkst'!$L$7:$L$2010,"02",'LAC 102_Wkst'!$N$7:$N$2010,"P5")</f>
        <v>0</v>
      </c>
      <c r="L95" s="410">
        <f>SUMIFS('LAC 102_Wkst'!$Q$7:$Q$2010,'LAC 102_Wkst'!$E$7:$E$2010,$C95,'LAC 102_Wkst'!$G$7:$G$2010,$D95,'LAC 102_Wkst'!$L$7:$L$2010,"03",'LAC 102_Wkst'!$N$7:$N$2010,"P1")+SUMIFS('LAC 102_Wkst'!$Q$7:$Q$2010,'LAC 102_Wkst'!$E$7:$E$2010,$C95,'LAC 102_Wkst'!$G$7:$G$2010,$D95,'LAC 102_Wkst'!$L$7:$L$2010,"03",'LAC 102_Wkst'!$N$7:$N$2010,"P2")+SUMIFS('LAC 102_Wkst'!$Q$7:$Q$2010,'LAC 102_Wkst'!$E$7:$E$2010,$C95,'LAC 102_Wkst'!$G$7:$G$2010,$D95,'LAC 102_Wkst'!$L$7:$L$2010,"03",'LAC 102_Wkst'!$N$7:$N$2010,"P3")+SUMIFS('LAC 102_Wkst'!$Q$7:$Q$2010,'LAC 102_Wkst'!$E$7:$E$2010,$C95,'LAC 102_Wkst'!$G$7:$G$2010,$D95,'LAC 102_Wkst'!$L$7:$L$2010,"04",'LAC 102_Wkst'!$N$7:$N$2010,"P1")+SUMIFS('LAC 102_Wkst'!$Q$7:$Q$2010,'LAC 102_Wkst'!$E$7:$E$2010,$C95,'LAC 102_Wkst'!$G$7:$G$2010,$D95,'LAC 102_Wkst'!$L$7:$L$2010,"04",'LAC 102_Wkst'!$N$7:$N$2010,"P2")+SUMIFS('LAC 102_Wkst'!$Q$7:$Q$2010,'LAC 102_Wkst'!$E$7:$E$2010,$C95,'LAC 102_Wkst'!$G$7:$G$2010,$D95,'LAC 102_Wkst'!$L$7:$L$2010,"04",'LAC 102_Wkst'!$N$7:$N$2010,"P3")</f>
        <v>0</v>
      </c>
      <c r="M95" s="411">
        <f>SUMIFS('LAC 102_Wkst'!$AE$7:$AE$2010,'LAC 102_Wkst'!$E$7:$E$2010,$C95,'LAC 102_Wkst'!$G$7:$G$2010,$D95,'LAC 102_Wkst'!$L$7:$L$2010,"03",'LAC 102_Wkst'!$N$7:$N$2010,"P1")+SUMIFS('LAC 102_Wkst'!$AE$7:$AE$2010,'LAC 102_Wkst'!$E$7:$E$2010,$C95,'LAC 102_Wkst'!$G$7:$G$2010,$D95,'LAC 102_Wkst'!$L$7:$L$2010,"03",'LAC 102_Wkst'!$N$7:$N$2010,"P2")+SUMIFS('LAC 102_Wkst'!$AE$7:$AE$2010,'LAC 102_Wkst'!$E$7:$E$2010,$C95,'LAC 102_Wkst'!$G$7:$G$2010,$D95,'LAC 102_Wkst'!$L$7:$L$2010,"03",'LAC 102_Wkst'!$N$7:$N$2010,"P3")+SUMIFS('LAC 102_Wkst'!$AE$7:$AE$2010,'LAC 102_Wkst'!$E$7:$E$2010,$C95,'LAC 102_Wkst'!$G$7:$G$2010,$D95,'LAC 102_Wkst'!$L$7:$L$2010,"04",'LAC 102_Wkst'!$N$7:$N$2010,"P1")+SUMIFS('LAC 102_Wkst'!$AE$7:$AE$2010,'LAC 102_Wkst'!$E$7:$E$2010,$C95,'LAC 102_Wkst'!$G$7:$G$2010,$D95,'LAC 102_Wkst'!$L$7:$L$2010,"04",'LAC 102_Wkst'!$N$7:$N$2010,"P2")+SUMIFS('LAC 102_Wkst'!$AE$7:$AE$2010,'LAC 102_Wkst'!$E$7:$E$2010,$C95,'LAC 102_Wkst'!$G$7:$G$2010,$D95,'LAC 102_Wkst'!$L$7:$L$2010,"04",'LAC 102_Wkst'!$N$7:$N$2010,"P3")</f>
        <v>0</v>
      </c>
      <c r="N95" s="410">
        <f>SUMIFS('LAC 102_Wkst'!$Q$7:$Q$2010,'LAC 102_Wkst'!$E$7:$E$2010,$C95,'LAC 102_Wkst'!$G$7:$G$2010,$D95,'LAC 102_Wkst'!$L$7:$L$2010,"03",'LAC 102_Wkst'!$N$7:$N$2010,"P4")+SUMIFS('LAC 102_Wkst'!$Q$7:$Q$2010,'LAC 102_Wkst'!$E$7:$E$2010,$C95,'LAC 102_Wkst'!$G$7:$G$2010,$D95,'LAC 102_Wkst'!$L$7:$L$2010,"04",'LAC 102_Wkst'!$N$7:$N$2010,"P4")</f>
        <v>0</v>
      </c>
      <c r="O95" s="411">
        <f>SUMIFS('LAC 102_Wkst'!$AE$7:$AE$2010,'LAC 102_Wkst'!$E$7:$E$2010,$C95,'LAC 102_Wkst'!$G$7:$G$2010,$D95,'LAC 102_Wkst'!$L$7:$L$2010,"03",'LAC 102_Wkst'!$N$7:$N$2010,"P4")+SUMIFS('LAC 102_Wkst'!$AE$7:$AE$2010,'LAC 102_Wkst'!$E$7:$E$2010,$C95,'LAC 102_Wkst'!$G$7:$G$2010,$D95,'LAC 102_Wkst'!$L$7:$L$2010,"04",'LAC 102_Wkst'!$N$7:$N$2010,"P4")</f>
        <v>0</v>
      </c>
      <c r="P95" s="410">
        <f>SUMIFS('LAC 102_Wkst'!$Q$7:$Q$2010,'LAC 102_Wkst'!$E$7:$E$2010,$C95,'LAC 102_Wkst'!$G$7:$G$2010,$D95,'LAC 102_Wkst'!$L$7:$L$2010,"03",'LAC 102_Wkst'!$N$7:$N$2010,"P5")+SUMIFS('LAC 102_Wkst'!$Q$7:$Q$2010,'LAC 102_Wkst'!$E$7:$E$2010,$C95,'LAC 102_Wkst'!$G$7:$G$2010,$D95,'LAC 102_Wkst'!$L$7:$L$2010,"04",'LAC 102_Wkst'!$N$7:$N$2010,"P5")</f>
        <v>0</v>
      </c>
      <c r="Q95" s="411">
        <f>SUMIFS('LAC 102_Wkst'!$AE$7:$AE$2010,'LAC 102_Wkst'!$E$7:$E$2010,$C95,'LAC 102_Wkst'!$G$7:$G$2010,$D95,'LAC 102_Wkst'!$L$7:$L$2010,"03",'LAC 102_Wkst'!$N$7:$N$2010,"P5")+SUMIFS('LAC 102_Wkst'!$AE$7:$AE$2010,'LAC 102_Wkst'!$E$7:$E$2010,$C95,'LAC 102_Wkst'!$G$7:$G$2010,$D95,'LAC 102_Wkst'!$L$7:$L$2010,"04",'LAC 102_Wkst'!$N$7:$N$2010,"P5")</f>
        <v>0</v>
      </c>
      <c r="R95" s="412">
        <f>SUMIFS('LAC 102_Wkst'!$Q$7:$Q$2010,'LAC 102_Wkst'!$E$7:$E$2010,$C95,'LAC 102_Wkst'!$G$7:$G$2010,$D95,'LAC 102_Wkst'!$L$7:$L$2010,"05",'LAC 102_Wkst'!$N$7:$N$2010,"P1")+SUMIFS('LAC 102_Wkst'!$Q$7:$Q$2010,'LAC 102_Wkst'!$E$7:$E$2010,$C95,'LAC 102_Wkst'!$G$7:$G$2010,$D95,'LAC 102_Wkst'!$L$7:$L$2010,"06",'LAC 102_Wkst'!$N$7:$N$2010,"P1")</f>
        <v>0</v>
      </c>
      <c r="S95" s="411">
        <f>SUMIFS('LAC 102_Wkst'!$AE$7:$AE$2010,'LAC 102_Wkst'!$E$7:$E$2010,$C95,'LAC 102_Wkst'!$G$7:$G$2010,$D95,'LAC 102_Wkst'!$L$7:$L$2010,"05",'LAC 102_Wkst'!$N$7:$N$2010,"P1")+SUMIFS('LAC 102_Wkst'!$AE$7:$AE$2010,'LAC 102_Wkst'!$E$7:$E$2010,$C95,'LAC 102_Wkst'!$G$7:$G$2010,$D95,'LAC 102_Wkst'!$L$7:$L$2010,"06",'LAC 102_Wkst'!$N$7:$N$2010,"P1")</f>
        <v>0</v>
      </c>
      <c r="T95" s="410">
        <f>SUMIFS('LAC 102_Wkst'!$Q$7:$Q$2010,'LAC 102_Wkst'!$E$7:$E$2010,$C95,'LAC 102_Wkst'!$G$7:$G$2010,$D95,'LAC 102_Wkst'!$L$7:$L$2010,"05",'LAC 102_Wkst'!$N$7:$N$2010,"P2")+SUMIFS('LAC 102_Wkst'!$Q$7:$Q$2010,'LAC 102_Wkst'!$E$7:$E$2010,$C95,'LAC 102_Wkst'!$G$7:$G$2010,$D95,'LAC 102_Wkst'!$L$7:$L$2010,"05",'LAC 102_Wkst'!$N$7:$N$2010,"P3")+SUMIFS('LAC 102_Wkst'!$Q$7:$Q$2010,'LAC 102_Wkst'!$E$7:$E$2010,$C95,'LAC 102_Wkst'!$G$7:$G$2010,$D95,'LAC 102_Wkst'!$L$7:$L$2010,"06",'LAC 102_Wkst'!$N$7:$N$2010,"P2")+SUMIFS('LAC 102_Wkst'!$Q$7:$Q$2010,'LAC 102_Wkst'!$E$7:$E$2010,$C95,'LAC 102_Wkst'!$G$7:$G$2010,$D95,'LAC 102_Wkst'!$L$7:$L$2010,"06",'LAC 102_Wkst'!$N$7:$N$2010,"P3")</f>
        <v>0</v>
      </c>
      <c r="U95" s="411">
        <f>SUMIFS('LAC 102_Wkst'!$AE$7:$AE$2010,'LAC 102_Wkst'!$E$7:$E$2010,$C95,'LAC 102_Wkst'!$G$7:$G$2010,$D95,'LAC 102_Wkst'!$L$7:$L$2010,"05",'LAC 102_Wkst'!$N$7:$N$2010,"P2")+SUMIFS('LAC 102_Wkst'!$AE$7:$AE$2010,'LAC 102_Wkst'!$E$7:$E$2010,$C95,'LAC 102_Wkst'!$G$7:$G$2010,$D95,'LAC 102_Wkst'!$L$7:$L$2010,"06",'LAC 102_Wkst'!$N$7:$N$2010,"P3")+SUMIFS('LAC 102_Wkst'!$AE$7:$AE$2010,'LAC 102_Wkst'!$E$7:$E$2010,$C95,'LAC 102_Wkst'!$G$7:$G$2010,$D95,'LAC 102_Wkst'!$L$7:$L$2010,"05",'LAC 102_Wkst'!$N$7:$N$2010,"P2")+SUMIFS('LAC 102_Wkst'!$AE$7:$AE$2010,'LAC 102_Wkst'!$E$7:$E$2010,$C95,'LAC 102_Wkst'!$G$7:$G$2010,$D95,'LAC 102_Wkst'!$L$7:$L$2010,"06",'LAC 102_Wkst'!$N$7:$N$2010,"P3")</f>
        <v>0</v>
      </c>
      <c r="V95" s="410">
        <f>SUMIFS('LAC 102_Wkst'!$Q$7:$Q$2010,'LAC 102_Wkst'!$E$7:$E$2010,$C95,'LAC 102_Wkst'!$G$7:$G$2010,$D95,'LAC 102_Wkst'!$L$7:$L$2010,"05",'LAC 102_Wkst'!$N$7:$N$2010,"P4")+SUMIFS('LAC 102_Wkst'!$Q$7:$Q$2010,'LAC 102_Wkst'!$E$7:$E$2010,$C95,'LAC 102_Wkst'!$G$7:$G$2010,$D95,'LAC 102_Wkst'!$L$7:$L$2010,"06",'LAC 102_Wkst'!$N$7:$N$2010,"P4")</f>
        <v>0</v>
      </c>
      <c r="W95" s="411">
        <f>SUMIFS('LAC 102_Wkst'!$AE$7:$AE$2010,'LAC 102_Wkst'!$E$7:$E$2010,$C95,'LAC 102_Wkst'!$G$7:$G$2010,$D95,'LAC 102_Wkst'!$L$7:$L$2010,"05",'LAC 102_Wkst'!$N$7:$N$2010,"P4")+SUMIFS('LAC 102_Wkst'!$AE$7:$AE$2010,'LAC 102_Wkst'!$E$7:$E$2010,$C95,'LAC 102_Wkst'!$G$7:$G$2010,$D95,'LAC 102_Wkst'!$L$7:$L$2010,"06",'LAC 102_Wkst'!$N$7:$N$2010,"P4")</f>
        <v>0</v>
      </c>
      <c r="X95" s="410">
        <f>SUMIFS('LAC 102_Wkst'!$Q$7:$Q$2010,'LAC 102_Wkst'!$E$7:$E$2010,$C95,'LAC 102_Wkst'!$G$7:$G$2010,$D95,'LAC 102_Wkst'!$L$7:$L$2010,"05",'LAC 102_Wkst'!$N$7:$N$2010,"P5")+SUMIFS('LAC 102_Wkst'!$Q$7:$Q$2010,'LAC 102_Wkst'!$E$7:$E$2010,$C95,'LAC 102_Wkst'!$G$7:$G$2010,$D95,'LAC 102_Wkst'!$L$7:$L$2010,"06",'LAC 102_Wkst'!$N$7:$N$2010,"P5")</f>
        <v>0</v>
      </c>
      <c r="Y95" s="411">
        <f>SUMIFS('LAC 102_Wkst'!$AE$7:$AE$2010,'LAC 102_Wkst'!$E$7:$E$2010,$C95,'LAC 102_Wkst'!$G$7:$G$2010,$D95,'LAC 102_Wkst'!$L$7:$L$2010,"05",'LAC 102_Wkst'!$N$7:$N$2010,"P5")+SUMIFS('LAC 102_Wkst'!$AE$7:$AE$2010,'LAC 102_Wkst'!$E$7:$E$2010,$C95,'LAC 102_Wkst'!$G$7:$G$2010,$D95,'LAC 102_Wkst'!$L$7:$L$2010,"06",'LAC 102_Wkst'!$N$7:$N$2010,"P5")</f>
        <v>0</v>
      </c>
      <c r="Z95" s="410">
        <f>SUMIFS('LAC 102_Wkst'!$Q$7:$Q$2010,'LAC 102_Wkst'!$E$7:$E$2010,$C95,'LAC 102_Wkst'!$G$7:$G$2010,$D95,'LAC 102_Wkst'!$L$7:$L$2010,"07",'LAC 102_Wkst'!$N$7:$N$2010,"P1")+SUMIFS('LAC 102_Wkst'!$Q$7:$Q$2010,'LAC 102_Wkst'!$E$7:$E$2010,$C95,'LAC 102_Wkst'!$G$7:$G$2010,$D95,'LAC 102_Wkst'!$L$7:$L$2010,"07",'LAC 102_Wkst'!$N$7:$N$2010,"P2")+SUMIFS('LAC 102_Wkst'!$Q$7:$Q$2010,'LAC 102_Wkst'!$E$7:$E$2010,$C95,'LAC 102_Wkst'!$G$7:$G$2010,$D95,'LAC 102_Wkst'!$L$7:$L$2010,"07",'LAC 102_Wkst'!$N$7:$N$2010,"P3")</f>
        <v>0</v>
      </c>
      <c r="AA95" s="411">
        <f>SUMIFS('LAC 102_Wkst'!$AE$7:$AE$2010,'LAC 102_Wkst'!$E$7:$E$2010,$C95,'LAC 102_Wkst'!$G$7:$G$2010,$D95,'LAC 102_Wkst'!$L$7:$L$2010,"07",'LAC 102_Wkst'!$N$7:$N$2010,"P1")+SUMIFS('LAC 102_Wkst'!$AE$7:$AE$2010,'LAC 102_Wkst'!$E$7:$E$2010,$C95,'LAC 102_Wkst'!$G$7:$G$2010,$D95,'LAC 102_Wkst'!$L$7:$L$2010,"07",'LAC 102_Wkst'!$N$7:$N$2010,"P2")+SUMIFS('LAC 102_Wkst'!$AE$7:$AE$2010,'LAC 102_Wkst'!$E$7:$E$2010,$C95,'LAC 102_Wkst'!$G$7:$G$2010,$D95,'LAC 102_Wkst'!$L$7:$L$2010,"07",'LAC 102_Wkst'!$N$7:$N$2010,"P3")</f>
        <v>0</v>
      </c>
      <c r="AB95" s="410">
        <f>SUMIFS('LAC 102_Wkst'!$Q$7:$Q$2010,'LAC 102_Wkst'!$E$7:$E$2010,$C95,'LAC 102_Wkst'!$G$7:$G$2010,$D95,'LAC 102_Wkst'!$L$7:$L$2010,"07",'LAC 102_Wkst'!$N$7:$N$2010,"P4")</f>
        <v>0</v>
      </c>
      <c r="AC95" s="411">
        <f>SUMIFS('LAC 102_Wkst'!$AE$7:$AE$2010,'LAC 102_Wkst'!$E$7:$E$2010,$C95,'LAC 102_Wkst'!$G$7:$G$2010,$D95,'LAC 102_Wkst'!$L$7:$L$2010,"07",'LAC 102_Wkst'!$N$7:$N$2010,"P4")</f>
        <v>0</v>
      </c>
      <c r="AD95" s="410">
        <f>SUMIFS('LAC 102_Wkst'!$Q$7:$Q$2010,'LAC 102_Wkst'!$E$7:$E$2010,$C95,'LAC 102_Wkst'!$G$7:$G$2010,$D95,'LAC 102_Wkst'!$L$7:$L$2010,"07",'LAC 102_Wkst'!$N$7:$N$2010,"P5")</f>
        <v>0</v>
      </c>
      <c r="AE95" s="411">
        <f>SUMIFS('LAC 102_Wkst'!$AE$7:$AE$2010,'LAC 102_Wkst'!$E$7:$E$2010,$C95,'LAC 102_Wkst'!$G$7:$G$2010,$D95,'LAC 102_Wkst'!$L$7:$L$2010,"07",'LAC 102_Wkst'!$N$7:$N$2010,"P5")</f>
        <v>0</v>
      </c>
      <c r="AF95" s="410">
        <f>SUMIFS('LAC 102_Wkst'!$Q$7:$Q$2010,'LAC 102_Wkst'!$E$7:$E$2010,$C95,'LAC 102_Wkst'!$G$7:$G$2010,$D95,'LAC 102_Wkst'!$L$7:$L$2010,"08",'LAC 102_Wkst'!$N$7:$N$2010,"P1")+SUMIFS('LAC 102_Wkst'!$Q$7:$Q$2010,'LAC 102_Wkst'!$E$7:$E$2010,$C95,'LAC 102_Wkst'!$G$7:$G$2010,$D95,'LAC 102_Wkst'!$L$7:$L$2010,"08",'LAC 102_Wkst'!$N$7:$N$2010,"P2")+SUMIFS('LAC 102_Wkst'!$Q$7:$Q$2010,'LAC 102_Wkst'!$E$7:$E$2010,$C95,'LAC 102_Wkst'!$G$7:$G$2010,$D95,'LAC 102_Wkst'!$L$7:$L$2010,"08",'LAC 102_Wkst'!$N$7:$N$2010,"P3")</f>
        <v>0</v>
      </c>
      <c r="AG95" s="411">
        <f>SUMIFS('LAC 102_Wkst'!$AE$7:$AE$2010,'LAC 102_Wkst'!$E$7:$E$2010,$C95,'LAC 102_Wkst'!$G$7:$G$2010,$D95,'LAC 102_Wkst'!$L$7:$L$2010,"08",'LAC 102_Wkst'!$N$7:$N$2010,"P1")+SUMIFS('LAC 102_Wkst'!$AE$7:$AE$2010,'LAC 102_Wkst'!$E$7:$E$2010,$C95,'LAC 102_Wkst'!$G$7:$G$2010,$D95,'LAC 102_Wkst'!$L$7:$L$2010,"08",'LAC 102_Wkst'!$N$7:$N$2010,"P2")+SUMIFS('LAC 102_Wkst'!$AE$7:$AE$2010,'LAC 102_Wkst'!$E$7:$E$2010,$C95,'LAC 102_Wkst'!$G$7:$G$2010,$D95,'LAC 102_Wkst'!$L$7:$L$2010,"08",'LAC 102_Wkst'!$N$7:$N$2010,"P3")</f>
        <v>0</v>
      </c>
      <c r="AH95" s="410">
        <f>SUMIFS('LAC 102_Wkst'!$Q$7:$Q$2010,'LAC 102_Wkst'!$E$7:$E$2010,$C95,'LAC 102_Wkst'!$G$7:$G$2010,$D95,'LAC 102_Wkst'!$L$7:$L$2010,"08",'LAC 102_Wkst'!$N$7:$N$2010,"P4")</f>
        <v>0</v>
      </c>
      <c r="AI95" s="411">
        <f>SUMIFS('LAC 102_Wkst'!$AE$7:$AE$2010,'LAC 102_Wkst'!$E$7:$E$2010,$C95,'LAC 102_Wkst'!$G$7:$G$2010,$D95,'LAC 102_Wkst'!$L$7:$L$2010,"08",'LAC 102_Wkst'!$N$7:$N$2010,"P4")</f>
        <v>0</v>
      </c>
      <c r="AJ95" s="410">
        <f>SUMIFS('LAC 102_Wkst'!$Q$7:$Q$2010,'LAC 102_Wkst'!$E$7:$E$2010,$C95,'LAC 102_Wkst'!$G$7:$G$2010,$D95,'LAC 102_Wkst'!$L$7:$L$2010,"08",'LAC 102_Wkst'!$N$7:$N$2010,"P5")</f>
        <v>0</v>
      </c>
      <c r="AK95" s="411">
        <f>SUMIFS('LAC 102_Wkst'!$AE$7:$AE$2010,'LAC 102_Wkst'!$E$7:$E$2010,$C95,'LAC 102_Wkst'!$G$7:$G$2010,$D95,'LAC 102_Wkst'!$L$7:$L$2010,"08",'LAC 102_Wkst'!$N$7:$N$2010,"P5")</f>
        <v>0</v>
      </c>
      <c r="AL95" s="410">
        <f>SUMIFS('LAC 102_Wkst'!$Q$7:$Q$2010,'LAC 102_Wkst'!$E$7:$E$2010,$C95,'LAC 102_Wkst'!$G$7:$G$2010,$D95,'LAC 102_Wkst'!$L$7:$L$2010,"09",'LAC 102_Wkst'!$N$7:$N$2010,"P1")+SUMIFS('LAC 102_Wkst'!$Q$7:$Q$2010,'LAC 102_Wkst'!$E$7:$E$2010,$C95,'LAC 102_Wkst'!$G$7:$G$2010,$D95,'LAC 102_Wkst'!$L$7:$L$2010,"09",'LAC 102_Wkst'!$N$7:$N$2010,"P2")+SUMIFS('LAC 102_Wkst'!$Q$7:$Q$2010,'LAC 102_Wkst'!$E$7:$E$2010,$C95,'LAC 102_Wkst'!$G$7:$G$2010,$D95,'LAC 102_Wkst'!$L$7:$L$2010,"09",'LAC 102_Wkst'!$N$7:$N$2010,"P3")+SUMIFS('LAC 102_Wkst'!$Q$7:$Q$2010,'LAC 102_Wkst'!$E$7:$E$2010,$C95,'LAC 102_Wkst'!$G$7:$G$2010,$D95,'LAC 102_Wkst'!$L$7:$L$2010,"09",'LAC 102_Wkst'!$N$7:$N$2010,"P4")</f>
        <v>0</v>
      </c>
      <c r="AM95" s="411">
        <f>SUMIFS('LAC 102_Wkst'!$AE$7:$AE$2010,'LAC 102_Wkst'!$E$7:$E$2010,$C95,'LAC 102_Wkst'!$G$7:$G$2010,$D95,'LAC 102_Wkst'!$L$7:$L$2010,"09",'LAC 102_Wkst'!$N$7:$N$2010,"P1")+SUMIFS('LAC 102_Wkst'!$AE$7:$AE$2010,'LAC 102_Wkst'!$E$7:$E$2010,$C95,'LAC 102_Wkst'!$G$7:$G$2010,$D95,'LAC 102_Wkst'!$L$7:$L$2010,"09",'LAC 102_Wkst'!$N$7:$N$2010,"P2")+SUMIFS('LAC 102_Wkst'!$AE$7:$AE$2010,'LAC 102_Wkst'!$E$7:$E$2010,$C95,'LAC 102_Wkst'!$G$7:$G$2010,$D95,'LAC 102_Wkst'!$L$7:$L$2010,"09",'LAC 102_Wkst'!$N$7:$N$2010,"P3")+SUMIFS('LAC 102_Wkst'!$AE$7:$AE$2010,'LAC 102_Wkst'!$E$7:$E$2010,$C95,'LAC 102_Wkst'!$G$7:$G$2010,$D95,'LAC 102_Wkst'!$L$7:$L$2010,"09",'LAC 102_Wkst'!$N$7:$N$2010,"P4")</f>
        <v>0</v>
      </c>
      <c r="AN95" s="410">
        <f>SUMIFS('LAC 102_Wkst'!$Q$7:$Q$2010,'LAC 102_Wkst'!$E$7:$E$2010,$C95,'LAC 102_Wkst'!$G$7:$G$2010,$D95,'LAC 102_Wkst'!$L$7:$L$2010,"09",'LAC 102_Wkst'!$N$7:$N$2010,"P5")</f>
        <v>0</v>
      </c>
      <c r="AO95" s="411">
        <f>SUMIFS('LAC 102_Wkst'!$AE$7:$AE$2010,'LAC 102_Wkst'!$E$7:$E$2010,$C95,'LAC 102_Wkst'!$G$7:$G$2010,$D95,'LAC 102_Wkst'!$L$7:$L$2010,"09",'LAC 102_Wkst'!$N$7:$N$2010,"P5")</f>
        <v>0</v>
      </c>
      <c r="AP95" s="410">
        <f>SUMIFS('LAC 102_Wkst'!$Q$7:$Q$2010,'LAC 102_Wkst'!$E$7:$E$2010,$C95,'LAC 102_Wkst'!$G$7:$G$2010,$D95,'LAC 102_Wkst'!$L$7:$L$2010,"10",'LAC 102_Wkst'!$N$7:$N$2010,"P1")+SUMIFS('LAC 102_Wkst'!$Q$7:$Q$2010,'LAC 102_Wkst'!$E$7:$E$2010,$C95,'LAC 102_Wkst'!$G$7:$G$2010,$D95,'LAC 102_Wkst'!$L$7:$L$2010,"10",'LAC 102_Wkst'!$N$7:$N$2010,"P2")+SUMIFS('LAC 102_Wkst'!$Q$7:$Q$2010,'LAC 102_Wkst'!$E$7:$E$2010,$C95,'LAC 102_Wkst'!$G$7:$G$2010,$D95,'LAC 102_Wkst'!$L$7:$L$2010,"10",'LAC 102_Wkst'!$N$7:$N$2010,"P3")+SUMIFS('LAC 102_Wkst'!$Q$7:$Q$2010,'LAC 102_Wkst'!$E$7:$E$2010,$C95,'LAC 102_Wkst'!$G$7:$G$2010,$D95,'LAC 102_Wkst'!$L$7:$L$2010,"10",'LAC 102_Wkst'!$N$7:$N$2010,"P4")</f>
        <v>0</v>
      </c>
      <c r="AQ95" s="411">
        <f>SUMIFS('LAC 102_Wkst'!$AE$7:$AE$2010,'LAC 102_Wkst'!$E$7:$E$2010,$C95,'LAC 102_Wkst'!$G$7:$G$2010,$D95,'LAC 102_Wkst'!$L$7:$L$2010,"10",'LAC 102_Wkst'!$N$7:$N$2010,"P1")+SUMIFS('LAC 102_Wkst'!$AE$7:$AE$2010,'LAC 102_Wkst'!$E$7:$E$2010,$C95,'LAC 102_Wkst'!$G$7:$G$2010,$D95,'LAC 102_Wkst'!$L$7:$L$2010,"10",'LAC 102_Wkst'!$N$7:$N$2010,"P2")+SUMIFS('LAC 102_Wkst'!$AE$7:$AE$2010,'LAC 102_Wkst'!$E$7:$E$2010,$C95,'LAC 102_Wkst'!$G$7:$G$2010,$D95,'LAC 102_Wkst'!$L$7:$L$2010,"10",'LAC 102_Wkst'!$N$7:$N$2010,"P3")+SUMIFS('LAC 102_Wkst'!$AE$7:$AE$2010,'LAC 102_Wkst'!$E$7:$E$2010,$C95,'LAC 102_Wkst'!$G$7:$G$2010,$D95,'LAC 102_Wkst'!$L$7:$L$2010,"10",'LAC 102_Wkst'!$N$7:$N$2010,"P4")</f>
        <v>0</v>
      </c>
      <c r="AR95" s="410">
        <f>SUMIFS('LAC 102_Wkst'!$Q$7:$Q$2010,'LAC 102_Wkst'!$E$7:$E$2010,$C95,'LAC 102_Wkst'!$G$7:$G$2010,$D95,'LAC 102_Wkst'!$L$7:$L$2010,"10",'LAC 102_Wkst'!$N$7:$N$2010,"P5")</f>
        <v>0</v>
      </c>
      <c r="AS95" s="411">
        <f>SUMIFS('LAC 102_Wkst'!$AE$7:$AE$2010,'LAC 102_Wkst'!$E$7:$E$2010,$C95,'LAC 102_Wkst'!$G$7:$G$2010,$D95,'LAC 102_Wkst'!$L$7:$L$2010,"10",'LAC 102_Wkst'!$N$7:$N$2010,"P5")</f>
        <v>0</v>
      </c>
      <c r="AT95" s="410">
        <f>SUMIFS('LAC 102_Wkst'!$Q$7:$Q$2010,'LAC 102_Wkst'!$E$7:$E$2010,$C95,'LAC 102_Wkst'!$G$7:$G$2010,$D95,'LAC 102_Wkst'!$L$7:$L$2010,"11",'LAC 102_Wkst'!$N$7:$N$2010,"P1")+SUMIFS('LAC 102_Wkst'!$Q$7:$Q$2010,'LAC 102_Wkst'!$E$7:$E$2010,$C95,'LAC 102_Wkst'!$G$7:$G$2010,$D95,'LAC 102_Wkst'!$L$7:$L$2010,"12",'LAC 102_Wkst'!$N$7:$N$2010,"P1")</f>
        <v>0</v>
      </c>
      <c r="AU95" s="411">
        <f>SUMIFS('LAC 102_Wkst'!$AE$7:$AE$2010,'LAC 102_Wkst'!$E$7:$E$2010,$C95,'LAC 102_Wkst'!$G$7:$G$2010,$D95,'LAC 102_Wkst'!$L$7:$L$2010,"11",'LAC 102_Wkst'!$N$7:$N$2010,"P1")+SUMIFS('LAC 102_Wkst'!$AE$7:$AE$2010,'LAC 102_Wkst'!$E$7:$E$2010,$C95,'LAC 102_Wkst'!$G$7:$G$2010,$D95,'LAC 102_Wkst'!$L$7:$L$2010,"12",'LAC 102_Wkst'!$N$7:$N$2010,"P1")</f>
        <v>0</v>
      </c>
      <c r="AV95" s="410">
        <f>SUMIFS('LAC 102_Wkst'!$Q$7:$Q$2010,'LAC 102_Wkst'!$E$7:$E$2010,$C95,'LAC 102_Wkst'!$G$7:$G$2010,$D95,'LAC 102_Wkst'!$L$7:$L$2010,"11",'LAC 102_Wkst'!$N$7:$N$2010,"P2")+SUMIFS('LAC 102_Wkst'!$Q$7:$Q$2010,'LAC 102_Wkst'!$E$7:$E$2010,$C95,'LAC 102_Wkst'!$G$7:$G$2010,$D95,'LAC 102_Wkst'!$L$7:$L$2010,"12",'LAC 102_Wkst'!$N$7:$N$2010,"P3")+SUMIFS('LAC 102_Wkst'!$Q$7:$Q$2010,'LAC 102_Wkst'!$E$7:$E$2010,$C95,'LAC 102_Wkst'!$G$7:$G$2010,$D95,'LAC 102_Wkst'!$L$7:$L$2010,"11",'LAC 102_Wkst'!$N$7:$N$2010,"P2")+SUMIFS('LAC 102_Wkst'!$Q$7:$Q$2010,'LAC 102_Wkst'!$E$7:$E$2010,$C95,'LAC 102_Wkst'!$G$7:$G$2010,$D95,'LAC 102_Wkst'!$L$7:$L$2010,"12",'LAC 102_Wkst'!$N$7:$N$2010,"P3")</f>
        <v>0</v>
      </c>
      <c r="AW95" s="411">
        <f>SUMIFS('LAC 102_Wkst'!$AE$7:$AE$2010,'LAC 102_Wkst'!$E$7:$E$2010,$C95,'LAC 102_Wkst'!$G$7:$G$2010,$D95,'LAC 102_Wkst'!$L$7:$L$2010,"11",'LAC 102_Wkst'!$N$7:$N$2010,"P2")+SUMIFS('LAC 102_Wkst'!$AE$7:$AE$2010,'LAC 102_Wkst'!$E$7:$E$2010,$C95,'LAC 102_Wkst'!$G$7:$G$2010,$D95,'LAC 102_Wkst'!$L$7:$L$2010,"12",'LAC 102_Wkst'!$N$7:$N$2010,"P3")+SUMIFS('LAC 102_Wkst'!$AE$7:$AE$2010,'LAC 102_Wkst'!$E$7:$E$2010,$C95,'LAC 102_Wkst'!$G$7:$G$2010,$D95,'LAC 102_Wkst'!$L$7:$L$2010,"11",'LAC 102_Wkst'!$N$7:$N$2010,"P2")+SUMIFS('LAC 102_Wkst'!$AE$7:$AE$2010,'LAC 102_Wkst'!$E$7:$E$2010,$C95,'LAC 102_Wkst'!$G$7:$G$2010,$D95,'LAC 102_Wkst'!$L$7:$L$2010,"12",'LAC 102_Wkst'!$N$7:$N$2010,"P3")</f>
        <v>0</v>
      </c>
      <c r="AX95" s="410">
        <f>SUMIFS('LAC 102_Wkst'!$Q$7:$Q$2010,'LAC 102_Wkst'!$E$7:$E$2010,$C95,'LAC 102_Wkst'!$G$7:$G$2010,$D95,'LAC 102_Wkst'!$L$7:$L$2010,"11",'LAC 102_Wkst'!$N$7:$N$2010,"P4")+SUMIFS('LAC 102_Wkst'!$Q$7:$Q$2010,'LAC 102_Wkst'!$E$7:$E$2010,$C95,'LAC 102_Wkst'!$G$7:$G$2010,$D95,'LAC 102_Wkst'!$L$7:$L$2010,"12",'LAC 102_Wkst'!$N$7:$N$2010,"P4")</f>
        <v>0</v>
      </c>
      <c r="AY95" s="411">
        <f>SUMIFS('LAC 102_Wkst'!$AE$7:$AE$2010,'LAC 102_Wkst'!$E$7:$E$2010,$C95,'LAC 102_Wkst'!$G$7:$G$2010,$D95,'LAC 102_Wkst'!$L$7:$L$2010,"11",'LAC 102_Wkst'!$N$7:$N$2010,"P4")+SUMIFS('LAC 102_Wkst'!$AE$7:$AE$2010,'LAC 102_Wkst'!$E$7:$E$2010,$C95,'LAC 102_Wkst'!$G$7:$G$2010,$D95,'LAC 102_Wkst'!$L$7:$L$2010,"12",'LAC 102_Wkst'!$N$7:$N$2010,"P4")</f>
        <v>0</v>
      </c>
      <c r="AZ95" s="410">
        <f>SUMIFS('LAC 102_Wkst'!$Q$7:$Q$2010,'LAC 102_Wkst'!$E$7:$E$2010,$C95,'LAC 102_Wkst'!$G$7:$G$2010,$D95,'LAC 102_Wkst'!$L$7:$L$2010,"11",'LAC 102_Wkst'!$N$7:$N$2010,"P5")+SUMIFS('LAC 102_Wkst'!$Q$7:$Q$2010,'LAC 102_Wkst'!$E$7:$E$2010,$C95,'LAC 102_Wkst'!$G$7:$G$2010,$D95,'LAC 102_Wkst'!$L$7:$L$2010,"12",'LAC 102_Wkst'!$N$7:$N$2010,"P5")</f>
        <v>0</v>
      </c>
      <c r="BA95" s="411">
        <f>SUMIFS('LAC 102_Wkst'!$AE$7:$AE$2010,'LAC 102_Wkst'!$E$7:$E$2010,$C95,'LAC 102_Wkst'!$G$7:$G$2010,$D95,'LAC 102_Wkst'!$L$7:$L$2010,"11",'LAC 102_Wkst'!$N$7:$N$2010,"P5")+SUMIFS('LAC 102_Wkst'!$AE$7:$AE$2010,'LAC 102_Wkst'!$E$7:$E$2010,$C95,'LAC 102_Wkst'!$G$7:$G$2010,$D95,'LAC 102_Wkst'!$L$7:$L$2010,"12",'LAC 102_Wkst'!$N$7:$N$2010,"P5")</f>
        <v>0</v>
      </c>
      <c r="BB95" s="410">
        <f>SUMIFS('LAC 102_Wkst'!$Q$7:$Q$2010,'LAC 102_Wkst'!$E$7:$E$2010,$C95,'LAC 102_Wkst'!$G$7:$G$2010,$D95,'LAC 102_Wkst'!$L$7:$L$2010,"13",'LAC 102_Wkst'!$N$7:$N$2010,"P1")+SUMIFS('LAC 102_Wkst'!$Q$7:$Q$2010,'LAC 102_Wkst'!$E$7:$E$2010,$C95,'LAC 102_Wkst'!$G$7:$G$2010,$D95,'LAC 102_Wkst'!$L$7:$L$2010,"13",'LAC 102_Wkst'!$N$7:$N$2010,"P2")+SUMIFS('LAC 102_Wkst'!$Q$7:$Q$2010,'LAC 102_Wkst'!$E$7:$E$2010,$C95,'LAC 102_Wkst'!$G$7:$G$2010,$D95,'LAC 102_Wkst'!$L$7:$L$2010,"13",'LAC 102_Wkst'!$N$7:$N$2010,"P3")+SUMIFS('LAC 102_Wkst'!$Q$7:$Q$2010,'LAC 102_Wkst'!$E$7:$E$2010,$C95,'LAC 102_Wkst'!$G$7:$G$2010,$D95,'LAC 102_Wkst'!$L$7:$L$2010,"13",'LAC 102_Wkst'!$N$7:$N$2010,"P4")</f>
        <v>0</v>
      </c>
      <c r="BC95" s="411">
        <f>SUMIFS('LAC 102_Wkst'!$AE$7:$AE$2010,'LAC 102_Wkst'!$E$7:$E$2010,$C95,'LAC 102_Wkst'!$G$7:$G$2010,$D95,'LAC 102_Wkst'!$L$7:$L$2010,"13",'LAC 102_Wkst'!$N$7:$N$2010,"P1")+SUMIFS('LAC 102_Wkst'!$AE$7:$AE$2010,'LAC 102_Wkst'!$E$7:$E$2010,$C95,'LAC 102_Wkst'!$G$7:$G$2010,$D95,'LAC 102_Wkst'!$L$7:$L$2010,"13",'LAC 102_Wkst'!$N$7:$N$2010,"P2")+SUMIFS('LAC 102_Wkst'!$AE$7:$AE$2010,'LAC 102_Wkst'!$E$7:$E$2010,$C95,'LAC 102_Wkst'!$G$7:$G$2010,$D95,'LAC 102_Wkst'!$L$7:$L$2010,"13",'LAC 102_Wkst'!$N$7:$N$2010,"P3")+SUMIFS('LAC 102_Wkst'!$AE$7:$AE$2010,'LAC 102_Wkst'!$E$7:$E$2010,$C95,'LAC 102_Wkst'!$G$7:$G$2010,$D95,'LAC 102_Wkst'!$L$7:$L$2010,"13",'LAC 102_Wkst'!$N$7:$N$2010,"P4")</f>
        <v>0</v>
      </c>
      <c r="BD95" s="410">
        <f>SUMIFS('LAC 102_Wkst'!$Q$7:$Q$2010,'LAC 102_Wkst'!$E$7:$E$2010,$C95,'LAC 102_Wkst'!$G$7:$G$2010,$D95,'LAC 102_Wkst'!$L$7:$L$2010,"13",'LAC 102_Wkst'!$N$7:$N$2010,"P5")</f>
        <v>0</v>
      </c>
      <c r="BE95" s="411">
        <f>SUMIFS('LAC 102_Wkst'!$AE$7:$AE$2010,'LAC 102_Wkst'!$E$7:$E$2010,$C95,'LAC 102_Wkst'!$G$7:$G$2010,$D95,'LAC 102_Wkst'!$L$7:$L$2010,"13",'LAC 102_Wkst'!$N$7:$N$2010,"P5")</f>
        <v>0</v>
      </c>
      <c r="BF95" s="407">
        <f t="shared" si="1"/>
        <v>0</v>
      </c>
    </row>
    <row r="96" spans="1:58" x14ac:dyDescent="0.2">
      <c r="A96" s="401">
        <v>77</v>
      </c>
      <c r="B96" s="1236"/>
      <c r="C96" s="1235"/>
      <c r="D96" s="1237"/>
      <c r="E96" s="1222">
        <f>IF(CONCATENATE(C96,D96)&gt;"6069",1,SUMIFS('LAC 102_Wkst'!$Q$7:$Q$2010,'LAC 102_Wkst'!$E$7:$E$2010,Schedule_B!$C96,'LAC 102_Wkst'!$G$7:$G$2010,Schedule_B!$D96))</f>
        <v>0</v>
      </c>
      <c r="F96" s="408">
        <f>SUMIFS('LAC 102_Wkst'!$Q$7:$Q$2010,'LAC 102_Wkst'!$E$7:$E$2010,$C96,'LAC 102_Wkst'!$G$7:$G$2010,$D96,'LAC 102_Wkst'!$L$7:$L$2010,"01",'LAC 102_Wkst'!$N$7:$N$2010,"P1")+SUMIFS('LAC 102_Wkst'!$Q$7:$Q$2010,'LAC 102_Wkst'!$E$7:$E$2010,$C96,'LAC 102_Wkst'!$G$7:$G$2010,$D96,'LAC 102_Wkst'!$L$7:$L$2010,"01",'LAC 102_Wkst'!$N$7:$N$2010,"P2")+SUMIFS('LAC 102_Wkst'!$Q$7:$Q$2010,'LAC 102_Wkst'!$E$7:$E$2010,$C96,'LAC 102_Wkst'!$G$7:$G$2010,$D96,'LAC 102_Wkst'!$L$7:$L$2010,"01",'LAC 102_Wkst'!$N$7:$N$2010,"P3")+SUMIFS('LAC 102_Wkst'!$Q$7:$Q$2010,'LAC 102_Wkst'!$E$7:$E$2010,$C96,'LAC 102_Wkst'!$G$7:$G$2010,$D96,'LAC 102_Wkst'!$L$7:$L$2010,"02",'LAC 102_Wkst'!$N$7:$N$2010,"P1")+SUMIFS('LAC 102_Wkst'!$Q$7:$Q$2010,'LAC 102_Wkst'!$E$7:$E$2010,$C96,'LAC 102_Wkst'!$G$7:$G$2010,$D96,'LAC 102_Wkst'!$L$7:$L$2010,"02",'LAC 102_Wkst'!$N$7:$N$2010,"P2")+SUMIFS('LAC 102_Wkst'!$Q$7:$Q$2010,'LAC 102_Wkst'!$E$7:$E$2010,$C96,'LAC 102_Wkst'!$G$7:$G$2010,$D96,'LAC 102_Wkst'!$L$7:$L$2010,"02",'LAC 102_Wkst'!$N$7:$N$2010,"P3")</f>
        <v>0</v>
      </c>
      <c r="G96" s="409">
        <f>SUMIFS('LAC 102_Wkst'!$AE$7:$AE$2010,'LAC 102_Wkst'!$E$7:$E$2010,$C96,'LAC 102_Wkst'!$G$7:$G$2010,$D96,'LAC 102_Wkst'!$L$7:$L$2010,"01",'LAC 102_Wkst'!$N$7:$N$2010,"P1")+SUMIFS('LAC 102_Wkst'!$AE$7:$AE$2010,'LAC 102_Wkst'!$E$7:$E$2010,$C96,'LAC 102_Wkst'!$G$7:$G$2010,$D96,'LAC 102_Wkst'!$L$7:$L$2010,"01",'LAC 102_Wkst'!$N$7:$N$2010,"P2")+SUMIFS('LAC 102_Wkst'!$AE$7:$AE$2010,'LAC 102_Wkst'!$E$7:$E$2010,$C96,'LAC 102_Wkst'!$G$7:$G$2010,$D96,'LAC 102_Wkst'!$L$7:$L$2010,"01",'LAC 102_Wkst'!$N$7:$N$2010,"P3")+SUMIFS('LAC 102_Wkst'!$AE$7:$AE$2010,'LAC 102_Wkst'!$E$7:$E$2010,$C96,'LAC 102_Wkst'!$G$7:$G$2010,$D96,'LAC 102_Wkst'!$L$7:$L$2010,"02",'LAC 102_Wkst'!$N$7:$N$2010,"P1")+SUMIFS('LAC 102_Wkst'!$AE$7:$AE$2010,'LAC 102_Wkst'!$E$7:$E$2010,$C96,'LAC 102_Wkst'!$G$7:$G$2010,$D96,'LAC 102_Wkst'!$L$7:$L$2010,"02",'LAC 102_Wkst'!$N$7:$N$2010,"P2")+SUMIFS('LAC 102_Wkst'!$AE$7:$AE$2010,'LAC 102_Wkst'!$E$7:$E$2010,$C96,'LAC 102_Wkst'!$G$7:$G$2010,$D96,'LAC 102_Wkst'!$L$7:$L$2010,"02",'LAC 102_Wkst'!$N$7:$N$2010,"P3")</f>
        <v>0</v>
      </c>
      <c r="H96" s="410">
        <f>SUMIFS('LAC 102_Wkst'!$Q$7:$Q$2010,'LAC 102_Wkst'!$E$7:$E$2010,$C96,'LAC 102_Wkst'!$G$7:$G$2010,$D96,'LAC 102_Wkst'!$L$7:$L$2010,"01",'LAC 102_Wkst'!$N$7:$N$2010,"P4")+SUMIFS('LAC 102_Wkst'!$Q$7:$Q$2010,'LAC 102_Wkst'!$E$7:$E$2010,$C96,'LAC 102_Wkst'!$G$7:$G$2010,$D96,'LAC 102_Wkst'!$L$7:$L$2010,"02",'LAC 102_Wkst'!$N$7:$N$2010,"P4")</f>
        <v>0</v>
      </c>
      <c r="I96" s="411">
        <f>SUMIFS('LAC 102_Wkst'!$AE$7:$AE$2010,'LAC 102_Wkst'!$E$7:$E$2010,$C96,'LAC 102_Wkst'!$G$7:$G$2010,$D96,'LAC 102_Wkst'!$L$7:$L$2010,"01",'LAC 102_Wkst'!$N$7:$N$2010,"P4")+SUMIFS('LAC 102_Wkst'!$AE$7:$AE$2010,'LAC 102_Wkst'!$E$7:$E$2010,$C96,'LAC 102_Wkst'!$G$7:$G$2010,$D96,'LAC 102_Wkst'!$L$7:$L$2010,"02",'LAC 102_Wkst'!$N$7:$N$2010,"P4")</f>
        <v>0</v>
      </c>
      <c r="J96" s="410">
        <f>SUMIFS('LAC 102_Wkst'!$Q$7:$Q$2010,'LAC 102_Wkst'!$E$7:$E$2010,$C96,'LAC 102_Wkst'!$G$7:$G$2010,$D96,'LAC 102_Wkst'!$L$7:$L$2010,"01",'LAC 102_Wkst'!$N$7:$N$2010,"P5")+SUMIFS('LAC 102_Wkst'!$Q$7:$Q$2010,'LAC 102_Wkst'!$E$7:$E$2010,$C96,'LAC 102_Wkst'!$G$7:$G$2010,$D96,'LAC 102_Wkst'!$L$7:$L$2010,"02",'LAC 102_Wkst'!$N$7:$N$2010,"P5")</f>
        <v>0</v>
      </c>
      <c r="K96" s="411">
        <f>SUMIFS('LAC 102_Wkst'!$AE$7:$AE$2010,'LAC 102_Wkst'!$E$7:$E$2010,$C96,'LAC 102_Wkst'!$G$7:$G$2010,$D96,'LAC 102_Wkst'!$L$7:$L$2010,"01",'LAC 102_Wkst'!$N$7:$N$2010,"P5")+SUMIFS('LAC 102_Wkst'!$AE$7:$AE$2010,'LAC 102_Wkst'!$E$7:$E$2010,$C96,'LAC 102_Wkst'!$G$7:$G$2010,$D96,'LAC 102_Wkst'!$L$7:$L$2010,"02",'LAC 102_Wkst'!$N$7:$N$2010,"P5")</f>
        <v>0</v>
      </c>
      <c r="L96" s="410">
        <f>SUMIFS('LAC 102_Wkst'!$Q$7:$Q$2010,'LAC 102_Wkst'!$E$7:$E$2010,$C96,'LAC 102_Wkst'!$G$7:$G$2010,$D96,'LAC 102_Wkst'!$L$7:$L$2010,"03",'LAC 102_Wkst'!$N$7:$N$2010,"P1")+SUMIFS('LAC 102_Wkst'!$Q$7:$Q$2010,'LAC 102_Wkst'!$E$7:$E$2010,$C96,'LAC 102_Wkst'!$G$7:$G$2010,$D96,'LAC 102_Wkst'!$L$7:$L$2010,"03",'LAC 102_Wkst'!$N$7:$N$2010,"P2")+SUMIFS('LAC 102_Wkst'!$Q$7:$Q$2010,'LAC 102_Wkst'!$E$7:$E$2010,$C96,'LAC 102_Wkst'!$G$7:$G$2010,$D96,'LAC 102_Wkst'!$L$7:$L$2010,"03",'LAC 102_Wkst'!$N$7:$N$2010,"P3")+SUMIFS('LAC 102_Wkst'!$Q$7:$Q$2010,'LAC 102_Wkst'!$E$7:$E$2010,$C96,'LAC 102_Wkst'!$G$7:$G$2010,$D96,'LAC 102_Wkst'!$L$7:$L$2010,"04",'LAC 102_Wkst'!$N$7:$N$2010,"P1")+SUMIFS('LAC 102_Wkst'!$Q$7:$Q$2010,'LAC 102_Wkst'!$E$7:$E$2010,$C96,'LAC 102_Wkst'!$G$7:$G$2010,$D96,'LAC 102_Wkst'!$L$7:$L$2010,"04",'LAC 102_Wkst'!$N$7:$N$2010,"P2")+SUMIFS('LAC 102_Wkst'!$Q$7:$Q$2010,'LAC 102_Wkst'!$E$7:$E$2010,$C96,'LAC 102_Wkst'!$G$7:$G$2010,$D96,'LAC 102_Wkst'!$L$7:$L$2010,"04",'LAC 102_Wkst'!$N$7:$N$2010,"P3")</f>
        <v>0</v>
      </c>
      <c r="M96" s="411">
        <f>SUMIFS('LAC 102_Wkst'!$AE$7:$AE$2010,'LAC 102_Wkst'!$E$7:$E$2010,$C96,'LAC 102_Wkst'!$G$7:$G$2010,$D96,'LAC 102_Wkst'!$L$7:$L$2010,"03",'LAC 102_Wkst'!$N$7:$N$2010,"P1")+SUMIFS('LAC 102_Wkst'!$AE$7:$AE$2010,'LAC 102_Wkst'!$E$7:$E$2010,$C96,'LAC 102_Wkst'!$G$7:$G$2010,$D96,'LAC 102_Wkst'!$L$7:$L$2010,"03",'LAC 102_Wkst'!$N$7:$N$2010,"P2")+SUMIFS('LAC 102_Wkst'!$AE$7:$AE$2010,'LAC 102_Wkst'!$E$7:$E$2010,$C96,'LAC 102_Wkst'!$G$7:$G$2010,$D96,'LAC 102_Wkst'!$L$7:$L$2010,"03",'LAC 102_Wkst'!$N$7:$N$2010,"P3")+SUMIFS('LAC 102_Wkst'!$AE$7:$AE$2010,'LAC 102_Wkst'!$E$7:$E$2010,$C96,'LAC 102_Wkst'!$G$7:$G$2010,$D96,'LAC 102_Wkst'!$L$7:$L$2010,"04",'LAC 102_Wkst'!$N$7:$N$2010,"P1")+SUMIFS('LAC 102_Wkst'!$AE$7:$AE$2010,'LAC 102_Wkst'!$E$7:$E$2010,$C96,'LAC 102_Wkst'!$G$7:$G$2010,$D96,'LAC 102_Wkst'!$L$7:$L$2010,"04",'LAC 102_Wkst'!$N$7:$N$2010,"P2")+SUMIFS('LAC 102_Wkst'!$AE$7:$AE$2010,'LAC 102_Wkst'!$E$7:$E$2010,$C96,'LAC 102_Wkst'!$G$7:$G$2010,$D96,'LAC 102_Wkst'!$L$7:$L$2010,"04",'LAC 102_Wkst'!$N$7:$N$2010,"P3")</f>
        <v>0</v>
      </c>
      <c r="N96" s="410">
        <f>SUMIFS('LAC 102_Wkst'!$Q$7:$Q$2010,'LAC 102_Wkst'!$E$7:$E$2010,$C96,'LAC 102_Wkst'!$G$7:$G$2010,$D96,'LAC 102_Wkst'!$L$7:$L$2010,"03",'LAC 102_Wkst'!$N$7:$N$2010,"P4")+SUMIFS('LAC 102_Wkst'!$Q$7:$Q$2010,'LAC 102_Wkst'!$E$7:$E$2010,$C96,'LAC 102_Wkst'!$G$7:$G$2010,$D96,'LAC 102_Wkst'!$L$7:$L$2010,"04",'LAC 102_Wkst'!$N$7:$N$2010,"P4")</f>
        <v>0</v>
      </c>
      <c r="O96" s="411">
        <f>SUMIFS('LAC 102_Wkst'!$AE$7:$AE$2010,'LAC 102_Wkst'!$E$7:$E$2010,$C96,'LAC 102_Wkst'!$G$7:$G$2010,$D96,'LAC 102_Wkst'!$L$7:$L$2010,"03",'LAC 102_Wkst'!$N$7:$N$2010,"P4")+SUMIFS('LAC 102_Wkst'!$AE$7:$AE$2010,'LAC 102_Wkst'!$E$7:$E$2010,$C96,'LAC 102_Wkst'!$G$7:$G$2010,$D96,'LAC 102_Wkst'!$L$7:$L$2010,"04",'LAC 102_Wkst'!$N$7:$N$2010,"P4")</f>
        <v>0</v>
      </c>
      <c r="P96" s="410">
        <f>SUMIFS('LAC 102_Wkst'!$Q$7:$Q$2010,'LAC 102_Wkst'!$E$7:$E$2010,$C96,'LAC 102_Wkst'!$G$7:$G$2010,$D96,'LAC 102_Wkst'!$L$7:$L$2010,"03",'LAC 102_Wkst'!$N$7:$N$2010,"P5")+SUMIFS('LAC 102_Wkst'!$Q$7:$Q$2010,'LAC 102_Wkst'!$E$7:$E$2010,$C96,'LAC 102_Wkst'!$G$7:$G$2010,$D96,'LAC 102_Wkst'!$L$7:$L$2010,"04",'LAC 102_Wkst'!$N$7:$N$2010,"P5")</f>
        <v>0</v>
      </c>
      <c r="Q96" s="411">
        <f>SUMIFS('LAC 102_Wkst'!$AE$7:$AE$2010,'LAC 102_Wkst'!$E$7:$E$2010,$C96,'LAC 102_Wkst'!$G$7:$G$2010,$D96,'LAC 102_Wkst'!$L$7:$L$2010,"03",'LAC 102_Wkst'!$N$7:$N$2010,"P5")+SUMIFS('LAC 102_Wkst'!$AE$7:$AE$2010,'LAC 102_Wkst'!$E$7:$E$2010,$C96,'LAC 102_Wkst'!$G$7:$G$2010,$D96,'LAC 102_Wkst'!$L$7:$L$2010,"04",'LAC 102_Wkst'!$N$7:$N$2010,"P5")</f>
        <v>0</v>
      </c>
      <c r="R96" s="412">
        <f>SUMIFS('LAC 102_Wkst'!$Q$7:$Q$2010,'LAC 102_Wkst'!$E$7:$E$2010,$C96,'LAC 102_Wkst'!$G$7:$G$2010,$D96,'LAC 102_Wkst'!$L$7:$L$2010,"05",'LAC 102_Wkst'!$N$7:$N$2010,"P1")+SUMIFS('LAC 102_Wkst'!$Q$7:$Q$2010,'LAC 102_Wkst'!$E$7:$E$2010,$C96,'LAC 102_Wkst'!$G$7:$G$2010,$D96,'LAC 102_Wkst'!$L$7:$L$2010,"06",'LAC 102_Wkst'!$N$7:$N$2010,"P1")</f>
        <v>0</v>
      </c>
      <c r="S96" s="411">
        <f>SUMIFS('LAC 102_Wkst'!$AE$7:$AE$2010,'LAC 102_Wkst'!$E$7:$E$2010,$C96,'LAC 102_Wkst'!$G$7:$G$2010,$D96,'LAC 102_Wkst'!$L$7:$L$2010,"05",'LAC 102_Wkst'!$N$7:$N$2010,"P1")+SUMIFS('LAC 102_Wkst'!$AE$7:$AE$2010,'LAC 102_Wkst'!$E$7:$E$2010,$C96,'LAC 102_Wkst'!$G$7:$G$2010,$D96,'LAC 102_Wkst'!$L$7:$L$2010,"06",'LAC 102_Wkst'!$N$7:$N$2010,"P1")</f>
        <v>0</v>
      </c>
      <c r="T96" s="410">
        <f>SUMIFS('LAC 102_Wkst'!$Q$7:$Q$2010,'LAC 102_Wkst'!$E$7:$E$2010,$C96,'LAC 102_Wkst'!$G$7:$G$2010,$D96,'LAC 102_Wkst'!$L$7:$L$2010,"05",'LAC 102_Wkst'!$N$7:$N$2010,"P2")+SUMIFS('LAC 102_Wkst'!$Q$7:$Q$2010,'LAC 102_Wkst'!$E$7:$E$2010,$C96,'LAC 102_Wkst'!$G$7:$G$2010,$D96,'LAC 102_Wkst'!$L$7:$L$2010,"05",'LAC 102_Wkst'!$N$7:$N$2010,"P3")+SUMIFS('LAC 102_Wkst'!$Q$7:$Q$2010,'LAC 102_Wkst'!$E$7:$E$2010,$C96,'LAC 102_Wkst'!$G$7:$G$2010,$D96,'LAC 102_Wkst'!$L$7:$L$2010,"06",'LAC 102_Wkst'!$N$7:$N$2010,"P2")+SUMIFS('LAC 102_Wkst'!$Q$7:$Q$2010,'LAC 102_Wkst'!$E$7:$E$2010,$C96,'LAC 102_Wkst'!$G$7:$G$2010,$D96,'LAC 102_Wkst'!$L$7:$L$2010,"06",'LAC 102_Wkst'!$N$7:$N$2010,"P3")</f>
        <v>0</v>
      </c>
      <c r="U96" s="411">
        <f>SUMIFS('LAC 102_Wkst'!$AE$7:$AE$2010,'LAC 102_Wkst'!$E$7:$E$2010,$C96,'LAC 102_Wkst'!$G$7:$G$2010,$D96,'LAC 102_Wkst'!$L$7:$L$2010,"05",'LAC 102_Wkst'!$N$7:$N$2010,"P2")+SUMIFS('LAC 102_Wkst'!$AE$7:$AE$2010,'LAC 102_Wkst'!$E$7:$E$2010,$C96,'LAC 102_Wkst'!$G$7:$G$2010,$D96,'LAC 102_Wkst'!$L$7:$L$2010,"06",'LAC 102_Wkst'!$N$7:$N$2010,"P3")+SUMIFS('LAC 102_Wkst'!$AE$7:$AE$2010,'LAC 102_Wkst'!$E$7:$E$2010,$C96,'LAC 102_Wkst'!$G$7:$G$2010,$D96,'LAC 102_Wkst'!$L$7:$L$2010,"05",'LAC 102_Wkst'!$N$7:$N$2010,"P2")+SUMIFS('LAC 102_Wkst'!$AE$7:$AE$2010,'LAC 102_Wkst'!$E$7:$E$2010,$C96,'LAC 102_Wkst'!$G$7:$G$2010,$D96,'LAC 102_Wkst'!$L$7:$L$2010,"06",'LAC 102_Wkst'!$N$7:$N$2010,"P3")</f>
        <v>0</v>
      </c>
      <c r="V96" s="410">
        <f>SUMIFS('LAC 102_Wkst'!$Q$7:$Q$2010,'LAC 102_Wkst'!$E$7:$E$2010,$C96,'LAC 102_Wkst'!$G$7:$G$2010,$D96,'LAC 102_Wkst'!$L$7:$L$2010,"05",'LAC 102_Wkst'!$N$7:$N$2010,"P4")+SUMIFS('LAC 102_Wkst'!$Q$7:$Q$2010,'LAC 102_Wkst'!$E$7:$E$2010,$C96,'LAC 102_Wkst'!$G$7:$G$2010,$D96,'LAC 102_Wkst'!$L$7:$L$2010,"06",'LAC 102_Wkst'!$N$7:$N$2010,"P4")</f>
        <v>0</v>
      </c>
      <c r="W96" s="411">
        <f>SUMIFS('LAC 102_Wkst'!$AE$7:$AE$2010,'LAC 102_Wkst'!$E$7:$E$2010,$C96,'LAC 102_Wkst'!$G$7:$G$2010,$D96,'LAC 102_Wkst'!$L$7:$L$2010,"05",'LAC 102_Wkst'!$N$7:$N$2010,"P4")+SUMIFS('LAC 102_Wkst'!$AE$7:$AE$2010,'LAC 102_Wkst'!$E$7:$E$2010,$C96,'LAC 102_Wkst'!$G$7:$G$2010,$D96,'LAC 102_Wkst'!$L$7:$L$2010,"06",'LAC 102_Wkst'!$N$7:$N$2010,"P4")</f>
        <v>0</v>
      </c>
      <c r="X96" s="410">
        <f>SUMIFS('LAC 102_Wkst'!$Q$7:$Q$2010,'LAC 102_Wkst'!$E$7:$E$2010,$C96,'LAC 102_Wkst'!$G$7:$G$2010,$D96,'LAC 102_Wkst'!$L$7:$L$2010,"05",'LAC 102_Wkst'!$N$7:$N$2010,"P5")+SUMIFS('LAC 102_Wkst'!$Q$7:$Q$2010,'LAC 102_Wkst'!$E$7:$E$2010,$C96,'LAC 102_Wkst'!$G$7:$G$2010,$D96,'LAC 102_Wkst'!$L$7:$L$2010,"06",'LAC 102_Wkst'!$N$7:$N$2010,"P5")</f>
        <v>0</v>
      </c>
      <c r="Y96" s="411">
        <f>SUMIFS('LAC 102_Wkst'!$AE$7:$AE$2010,'LAC 102_Wkst'!$E$7:$E$2010,$C96,'LAC 102_Wkst'!$G$7:$G$2010,$D96,'LAC 102_Wkst'!$L$7:$L$2010,"05",'LAC 102_Wkst'!$N$7:$N$2010,"P5")+SUMIFS('LAC 102_Wkst'!$AE$7:$AE$2010,'LAC 102_Wkst'!$E$7:$E$2010,$C96,'LAC 102_Wkst'!$G$7:$G$2010,$D96,'LAC 102_Wkst'!$L$7:$L$2010,"06",'LAC 102_Wkst'!$N$7:$N$2010,"P5")</f>
        <v>0</v>
      </c>
      <c r="Z96" s="410">
        <f>SUMIFS('LAC 102_Wkst'!$Q$7:$Q$2010,'LAC 102_Wkst'!$E$7:$E$2010,$C96,'LAC 102_Wkst'!$G$7:$G$2010,$D96,'LAC 102_Wkst'!$L$7:$L$2010,"07",'LAC 102_Wkst'!$N$7:$N$2010,"P1")+SUMIFS('LAC 102_Wkst'!$Q$7:$Q$2010,'LAC 102_Wkst'!$E$7:$E$2010,$C96,'LAC 102_Wkst'!$G$7:$G$2010,$D96,'LAC 102_Wkst'!$L$7:$L$2010,"07",'LAC 102_Wkst'!$N$7:$N$2010,"P2")+SUMIFS('LAC 102_Wkst'!$Q$7:$Q$2010,'LAC 102_Wkst'!$E$7:$E$2010,$C96,'LAC 102_Wkst'!$G$7:$G$2010,$D96,'LAC 102_Wkst'!$L$7:$L$2010,"07",'LAC 102_Wkst'!$N$7:$N$2010,"P3")</f>
        <v>0</v>
      </c>
      <c r="AA96" s="411">
        <f>SUMIFS('LAC 102_Wkst'!$AE$7:$AE$2010,'LAC 102_Wkst'!$E$7:$E$2010,$C96,'LAC 102_Wkst'!$G$7:$G$2010,$D96,'LAC 102_Wkst'!$L$7:$L$2010,"07",'LAC 102_Wkst'!$N$7:$N$2010,"P1")+SUMIFS('LAC 102_Wkst'!$AE$7:$AE$2010,'LAC 102_Wkst'!$E$7:$E$2010,$C96,'LAC 102_Wkst'!$G$7:$G$2010,$D96,'LAC 102_Wkst'!$L$7:$L$2010,"07",'LAC 102_Wkst'!$N$7:$N$2010,"P2")+SUMIFS('LAC 102_Wkst'!$AE$7:$AE$2010,'LAC 102_Wkst'!$E$7:$E$2010,$C96,'LAC 102_Wkst'!$G$7:$G$2010,$D96,'LAC 102_Wkst'!$L$7:$L$2010,"07",'LAC 102_Wkst'!$N$7:$N$2010,"P3")</f>
        <v>0</v>
      </c>
      <c r="AB96" s="410">
        <f>SUMIFS('LAC 102_Wkst'!$Q$7:$Q$2010,'LAC 102_Wkst'!$E$7:$E$2010,$C96,'LAC 102_Wkst'!$G$7:$G$2010,$D96,'LAC 102_Wkst'!$L$7:$L$2010,"07",'LAC 102_Wkst'!$N$7:$N$2010,"P4")</f>
        <v>0</v>
      </c>
      <c r="AC96" s="411">
        <f>SUMIFS('LAC 102_Wkst'!$AE$7:$AE$2010,'LAC 102_Wkst'!$E$7:$E$2010,$C96,'LAC 102_Wkst'!$G$7:$G$2010,$D96,'LAC 102_Wkst'!$L$7:$L$2010,"07",'LAC 102_Wkst'!$N$7:$N$2010,"P4")</f>
        <v>0</v>
      </c>
      <c r="AD96" s="410">
        <f>SUMIFS('LAC 102_Wkst'!$Q$7:$Q$2010,'LAC 102_Wkst'!$E$7:$E$2010,$C96,'LAC 102_Wkst'!$G$7:$G$2010,$D96,'LAC 102_Wkst'!$L$7:$L$2010,"07",'LAC 102_Wkst'!$N$7:$N$2010,"P5")</f>
        <v>0</v>
      </c>
      <c r="AE96" s="411">
        <f>SUMIFS('LAC 102_Wkst'!$AE$7:$AE$2010,'LAC 102_Wkst'!$E$7:$E$2010,$C96,'LAC 102_Wkst'!$G$7:$G$2010,$D96,'LAC 102_Wkst'!$L$7:$L$2010,"07",'LAC 102_Wkst'!$N$7:$N$2010,"P5")</f>
        <v>0</v>
      </c>
      <c r="AF96" s="410">
        <f>SUMIFS('LAC 102_Wkst'!$Q$7:$Q$2010,'LAC 102_Wkst'!$E$7:$E$2010,$C96,'LAC 102_Wkst'!$G$7:$G$2010,$D96,'LAC 102_Wkst'!$L$7:$L$2010,"08",'LAC 102_Wkst'!$N$7:$N$2010,"P1")+SUMIFS('LAC 102_Wkst'!$Q$7:$Q$2010,'LAC 102_Wkst'!$E$7:$E$2010,$C96,'LAC 102_Wkst'!$G$7:$G$2010,$D96,'LAC 102_Wkst'!$L$7:$L$2010,"08",'LAC 102_Wkst'!$N$7:$N$2010,"P2")+SUMIFS('LAC 102_Wkst'!$Q$7:$Q$2010,'LAC 102_Wkst'!$E$7:$E$2010,$C96,'LAC 102_Wkst'!$G$7:$G$2010,$D96,'LAC 102_Wkst'!$L$7:$L$2010,"08",'LAC 102_Wkst'!$N$7:$N$2010,"P3")</f>
        <v>0</v>
      </c>
      <c r="AG96" s="411">
        <f>SUMIFS('LAC 102_Wkst'!$AE$7:$AE$2010,'LAC 102_Wkst'!$E$7:$E$2010,$C96,'LAC 102_Wkst'!$G$7:$G$2010,$D96,'LAC 102_Wkst'!$L$7:$L$2010,"08",'LAC 102_Wkst'!$N$7:$N$2010,"P1")+SUMIFS('LAC 102_Wkst'!$AE$7:$AE$2010,'LAC 102_Wkst'!$E$7:$E$2010,$C96,'LAC 102_Wkst'!$G$7:$G$2010,$D96,'LAC 102_Wkst'!$L$7:$L$2010,"08",'LAC 102_Wkst'!$N$7:$N$2010,"P2")+SUMIFS('LAC 102_Wkst'!$AE$7:$AE$2010,'LAC 102_Wkst'!$E$7:$E$2010,$C96,'LAC 102_Wkst'!$G$7:$G$2010,$D96,'LAC 102_Wkst'!$L$7:$L$2010,"08",'LAC 102_Wkst'!$N$7:$N$2010,"P3")</f>
        <v>0</v>
      </c>
      <c r="AH96" s="410">
        <f>SUMIFS('LAC 102_Wkst'!$Q$7:$Q$2010,'LAC 102_Wkst'!$E$7:$E$2010,$C96,'LAC 102_Wkst'!$G$7:$G$2010,$D96,'LAC 102_Wkst'!$L$7:$L$2010,"08",'LAC 102_Wkst'!$N$7:$N$2010,"P4")</f>
        <v>0</v>
      </c>
      <c r="AI96" s="411">
        <f>SUMIFS('LAC 102_Wkst'!$AE$7:$AE$2010,'LAC 102_Wkst'!$E$7:$E$2010,$C96,'LAC 102_Wkst'!$G$7:$G$2010,$D96,'LAC 102_Wkst'!$L$7:$L$2010,"08",'LAC 102_Wkst'!$N$7:$N$2010,"P4")</f>
        <v>0</v>
      </c>
      <c r="AJ96" s="410">
        <f>SUMIFS('LAC 102_Wkst'!$Q$7:$Q$2010,'LAC 102_Wkst'!$E$7:$E$2010,$C96,'LAC 102_Wkst'!$G$7:$G$2010,$D96,'LAC 102_Wkst'!$L$7:$L$2010,"08",'LAC 102_Wkst'!$N$7:$N$2010,"P5")</f>
        <v>0</v>
      </c>
      <c r="AK96" s="411">
        <f>SUMIFS('LAC 102_Wkst'!$AE$7:$AE$2010,'LAC 102_Wkst'!$E$7:$E$2010,$C96,'LAC 102_Wkst'!$G$7:$G$2010,$D96,'LAC 102_Wkst'!$L$7:$L$2010,"08",'LAC 102_Wkst'!$N$7:$N$2010,"P5")</f>
        <v>0</v>
      </c>
      <c r="AL96" s="410">
        <f>SUMIFS('LAC 102_Wkst'!$Q$7:$Q$2010,'LAC 102_Wkst'!$E$7:$E$2010,$C96,'LAC 102_Wkst'!$G$7:$G$2010,$D96,'LAC 102_Wkst'!$L$7:$L$2010,"09",'LAC 102_Wkst'!$N$7:$N$2010,"P1")+SUMIFS('LAC 102_Wkst'!$Q$7:$Q$2010,'LAC 102_Wkst'!$E$7:$E$2010,$C96,'LAC 102_Wkst'!$G$7:$G$2010,$D96,'LAC 102_Wkst'!$L$7:$L$2010,"09",'LAC 102_Wkst'!$N$7:$N$2010,"P2")+SUMIFS('LAC 102_Wkst'!$Q$7:$Q$2010,'LAC 102_Wkst'!$E$7:$E$2010,$C96,'LAC 102_Wkst'!$G$7:$G$2010,$D96,'LAC 102_Wkst'!$L$7:$L$2010,"09",'LAC 102_Wkst'!$N$7:$N$2010,"P3")+SUMIFS('LAC 102_Wkst'!$Q$7:$Q$2010,'LAC 102_Wkst'!$E$7:$E$2010,$C96,'LAC 102_Wkst'!$G$7:$G$2010,$D96,'LAC 102_Wkst'!$L$7:$L$2010,"09",'LAC 102_Wkst'!$N$7:$N$2010,"P4")</f>
        <v>0</v>
      </c>
      <c r="AM96" s="411">
        <f>SUMIFS('LAC 102_Wkst'!$AE$7:$AE$2010,'LAC 102_Wkst'!$E$7:$E$2010,$C96,'LAC 102_Wkst'!$G$7:$G$2010,$D96,'LAC 102_Wkst'!$L$7:$L$2010,"09",'LAC 102_Wkst'!$N$7:$N$2010,"P1")+SUMIFS('LAC 102_Wkst'!$AE$7:$AE$2010,'LAC 102_Wkst'!$E$7:$E$2010,$C96,'LAC 102_Wkst'!$G$7:$G$2010,$D96,'LAC 102_Wkst'!$L$7:$L$2010,"09",'LAC 102_Wkst'!$N$7:$N$2010,"P2")+SUMIFS('LAC 102_Wkst'!$AE$7:$AE$2010,'LAC 102_Wkst'!$E$7:$E$2010,$C96,'LAC 102_Wkst'!$G$7:$G$2010,$D96,'LAC 102_Wkst'!$L$7:$L$2010,"09",'LAC 102_Wkst'!$N$7:$N$2010,"P3")+SUMIFS('LAC 102_Wkst'!$AE$7:$AE$2010,'LAC 102_Wkst'!$E$7:$E$2010,$C96,'LAC 102_Wkst'!$G$7:$G$2010,$D96,'LAC 102_Wkst'!$L$7:$L$2010,"09",'LAC 102_Wkst'!$N$7:$N$2010,"P4")</f>
        <v>0</v>
      </c>
      <c r="AN96" s="410">
        <f>SUMIFS('LAC 102_Wkst'!$Q$7:$Q$2010,'LAC 102_Wkst'!$E$7:$E$2010,$C96,'LAC 102_Wkst'!$G$7:$G$2010,$D96,'LAC 102_Wkst'!$L$7:$L$2010,"09",'LAC 102_Wkst'!$N$7:$N$2010,"P5")</f>
        <v>0</v>
      </c>
      <c r="AO96" s="411">
        <f>SUMIFS('LAC 102_Wkst'!$AE$7:$AE$2010,'LAC 102_Wkst'!$E$7:$E$2010,$C96,'LAC 102_Wkst'!$G$7:$G$2010,$D96,'LAC 102_Wkst'!$L$7:$L$2010,"09",'LAC 102_Wkst'!$N$7:$N$2010,"P5")</f>
        <v>0</v>
      </c>
      <c r="AP96" s="410">
        <f>SUMIFS('LAC 102_Wkst'!$Q$7:$Q$2010,'LAC 102_Wkst'!$E$7:$E$2010,$C96,'LAC 102_Wkst'!$G$7:$G$2010,$D96,'LAC 102_Wkst'!$L$7:$L$2010,"10",'LAC 102_Wkst'!$N$7:$N$2010,"P1")+SUMIFS('LAC 102_Wkst'!$Q$7:$Q$2010,'LAC 102_Wkst'!$E$7:$E$2010,$C96,'LAC 102_Wkst'!$G$7:$G$2010,$D96,'LAC 102_Wkst'!$L$7:$L$2010,"10",'LAC 102_Wkst'!$N$7:$N$2010,"P2")+SUMIFS('LAC 102_Wkst'!$Q$7:$Q$2010,'LAC 102_Wkst'!$E$7:$E$2010,$C96,'LAC 102_Wkst'!$G$7:$G$2010,$D96,'LAC 102_Wkst'!$L$7:$L$2010,"10",'LAC 102_Wkst'!$N$7:$N$2010,"P3")+SUMIFS('LAC 102_Wkst'!$Q$7:$Q$2010,'LAC 102_Wkst'!$E$7:$E$2010,$C96,'LAC 102_Wkst'!$G$7:$G$2010,$D96,'LAC 102_Wkst'!$L$7:$L$2010,"10",'LAC 102_Wkst'!$N$7:$N$2010,"P4")</f>
        <v>0</v>
      </c>
      <c r="AQ96" s="411">
        <f>SUMIFS('LAC 102_Wkst'!$AE$7:$AE$2010,'LAC 102_Wkst'!$E$7:$E$2010,$C96,'LAC 102_Wkst'!$G$7:$G$2010,$D96,'LAC 102_Wkst'!$L$7:$L$2010,"10",'LAC 102_Wkst'!$N$7:$N$2010,"P1")+SUMIFS('LAC 102_Wkst'!$AE$7:$AE$2010,'LAC 102_Wkst'!$E$7:$E$2010,$C96,'LAC 102_Wkst'!$G$7:$G$2010,$D96,'LAC 102_Wkst'!$L$7:$L$2010,"10",'LAC 102_Wkst'!$N$7:$N$2010,"P2")+SUMIFS('LAC 102_Wkst'!$AE$7:$AE$2010,'LAC 102_Wkst'!$E$7:$E$2010,$C96,'LAC 102_Wkst'!$G$7:$G$2010,$D96,'LAC 102_Wkst'!$L$7:$L$2010,"10",'LAC 102_Wkst'!$N$7:$N$2010,"P3")+SUMIFS('LAC 102_Wkst'!$AE$7:$AE$2010,'LAC 102_Wkst'!$E$7:$E$2010,$C96,'LAC 102_Wkst'!$G$7:$G$2010,$D96,'LAC 102_Wkst'!$L$7:$L$2010,"10",'LAC 102_Wkst'!$N$7:$N$2010,"P4")</f>
        <v>0</v>
      </c>
      <c r="AR96" s="410">
        <f>SUMIFS('LAC 102_Wkst'!$Q$7:$Q$2010,'LAC 102_Wkst'!$E$7:$E$2010,$C96,'LAC 102_Wkst'!$G$7:$G$2010,$D96,'LAC 102_Wkst'!$L$7:$L$2010,"10",'LAC 102_Wkst'!$N$7:$N$2010,"P5")</f>
        <v>0</v>
      </c>
      <c r="AS96" s="411">
        <f>SUMIFS('LAC 102_Wkst'!$AE$7:$AE$2010,'LAC 102_Wkst'!$E$7:$E$2010,$C96,'LAC 102_Wkst'!$G$7:$G$2010,$D96,'LAC 102_Wkst'!$L$7:$L$2010,"10",'LAC 102_Wkst'!$N$7:$N$2010,"P5")</f>
        <v>0</v>
      </c>
      <c r="AT96" s="410">
        <f>SUMIFS('LAC 102_Wkst'!$Q$7:$Q$2010,'LAC 102_Wkst'!$E$7:$E$2010,$C96,'LAC 102_Wkst'!$G$7:$G$2010,$D96,'LAC 102_Wkst'!$L$7:$L$2010,"11",'LAC 102_Wkst'!$N$7:$N$2010,"P1")+SUMIFS('LAC 102_Wkst'!$Q$7:$Q$2010,'LAC 102_Wkst'!$E$7:$E$2010,$C96,'LAC 102_Wkst'!$G$7:$G$2010,$D96,'LAC 102_Wkst'!$L$7:$L$2010,"12",'LAC 102_Wkst'!$N$7:$N$2010,"P1")</f>
        <v>0</v>
      </c>
      <c r="AU96" s="411">
        <f>SUMIFS('LAC 102_Wkst'!$AE$7:$AE$2010,'LAC 102_Wkst'!$E$7:$E$2010,$C96,'LAC 102_Wkst'!$G$7:$G$2010,$D96,'LAC 102_Wkst'!$L$7:$L$2010,"11",'LAC 102_Wkst'!$N$7:$N$2010,"P1")+SUMIFS('LAC 102_Wkst'!$AE$7:$AE$2010,'LAC 102_Wkst'!$E$7:$E$2010,$C96,'LAC 102_Wkst'!$G$7:$G$2010,$D96,'LAC 102_Wkst'!$L$7:$L$2010,"12",'LAC 102_Wkst'!$N$7:$N$2010,"P1")</f>
        <v>0</v>
      </c>
      <c r="AV96" s="410">
        <f>SUMIFS('LAC 102_Wkst'!$Q$7:$Q$2010,'LAC 102_Wkst'!$E$7:$E$2010,$C96,'LAC 102_Wkst'!$G$7:$G$2010,$D96,'LAC 102_Wkst'!$L$7:$L$2010,"11",'LAC 102_Wkst'!$N$7:$N$2010,"P2")+SUMIFS('LAC 102_Wkst'!$Q$7:$Q$2010,'LAC 102_Wkst'!$E$7:$E$2010,$C96,'LAC 102_Wkst'!$G$7:$G$2010,$D96,'LAC 102_Wkst'!$L$7:$L$2010,"12",'LAC 102_Wkst'!$N$7:$N$2010,"P3")+SUMIFS('LAC 102_Wkst'!$Q$7:$Q$2010,'LAC 102_Wkst'!$E$7:$E$2010,$C96,'LAC 102_Wkst'!$G$7:$G$2010,$D96,'LAC 102_Wkst'!$L$7:$L$2010,"11",'LAC 102_Wkst'!$N$7:$N$2010,"P2")+SUMIFS('LAC 102_Wkst'!$Q$7:$Q$2010,'LAC 102_Wkst'!$E$7:$E$2010,$C96,'LAC 102_Wkst'!$G$7:$G$2010,$D96,'LAC 102_Wkst'!$L$7:$L$2010,"12",'LAC 102_Wkst'!$N$7:$N$2010,"P3")</f>
        <v>0</v>
      </c>
      <c r="AW96" s="411">
        <f>SUMIFS('LAC 102_Wkst'!$AE$7:$AE$2010,'LAC 102_Wkst'!$E$7:$E$2010,$C96,'LAC 102_Wkst'!$G$7:$G$2010,$D96,'LAC 102_Wkst'!$L$7:$L$2010,"11",'LAC 102_Wkst'!$N$7:$N$2010,"P2")+SUMIFS('LAC 102_Wkst'!$AE$7:$AE$2010,'LAC 102_Wkst'!$E$7:$E$2010,$C96,'LAC 102_Wkst'!$G$7:$G$2010,$D96,'LAC 102_Wkst'!$L$7:$L$2010,"12",'LAC 102_Wkst'!$N$7:$N$2010,"P3")+SUMIFS('LAC 102_Wkst'!$AE$7:$AE$2010,'LAC 102_Wkst'!$E$7:$E$2010,$C96,'LAC 102_Wkst'!$G$7:$G$2010,$D96,'LAC 102_Wkst'!$L$7:$L$2010,"11",'LAC 102_Wkst'!$N$7:$N$2010,"P2")+SUMIFS('LAC 102_Wkst'!$AE$7:$AE$2010,'LAC 102_Wkst'!$E$7:$E$2010,$C96,'LAC 102_Wkst'!$G$7:$G$2010,$D96,'LAC 102_Wkst'!$L$7:$L$2010,"12",'LAC 102_Wkst'!$N$7:$N$2010,"P3")</f>
        <v>0</v>
      </c>
      <c r="AX96" s="410">
        <f>SUMIFS('LAC 102_Wkst'!$Q$7:$Q$2010,'LAC 102_Wkst'!$E$7:$E$2010,$C96,'LAC 102_Wkst'!$G$7:$G$2010,$D96,'LAC 102_Wkst'!$L$7:$L$2010,"11",'LAC 102_Wkst'!$N$7:$N$2010,"P4")+SUMIFS('LAC 102_Wkst'!$Q$7:$Q$2010,'LAC 102_Wkst'!$E$7:$E$2010,$C96,'LAC 102_Wkst'!$G$7:$G$2010,$D96,'LAC 102_Wkst'!$L$7:$L$2010,"12",'LAC 102_Wkst'!$N$7:$N$2010,"P4")</f>
        <v>0</v>
      </c>
      <c r="AY96" s="411">
        <f>SUMIFS('LAC 102_Wkst'!$AE$7:$AE$2010,'LAC 102_Wkst'!$E$7:$E$2010,$C96,'LAC 102_Wkst'!$G$7:$G$2010,$D96,'LAC 102_Wkst'!$L$7:$L$2010,"11",'LAC 102_Wkst'!$N$7:$N$2010,"P4")+SUMIFS('LAC 102_Wkst'!$AE$7:$AE$2010,'LAC 102_Wkst'!$E$7:$E$2010,$C96,'LAC 102_Wkst'!$G$7:$G$2010,$D96,'LAC 102_Wkst'!$L$7:$L$2010,"12",'LAC 102_Wkst'!$N$7:$N$2010,"P4")</f>
        <v>0</v>
      </c>
      <c r="AZ96" s="410">
        <f>SUMIFS('LAC 102_Wkst'!$Q$7:$Q$2010,'LAC 102_Wkst'!$E$7:$E$2010,$C96,'LAC 102_Wkst'!$G$7:$G$2010,$D96,'LAC 102_Wkst'!$L$7:$L$2010,"11",'LAC 102_Wkst'!$N$7:$N$2010,"P5")+SUMIFS('LAC 102_Wkst'!$Q$7:$Q$2010,'LAC 102_Wkst'!$E$7:$E$2010,$C96,'LAC 102_Wkst'!$G$7:$G$2010,$D96,'LAC 102_Wkst'!$L$7:$L$2010,"12",'LAC 102_Wkst'!$N$7:$N$2010,"P5")</f>
        <v>0</v>
      </c>
      <c r="BA96" s="411">
        <f>SUMIFS('LAC 102_Wkst'!$AE$7:$AE$2010,'LAC 102_Wkst'!$E$7:$E$2010,$C96,'LAC 102_Wkst'!$G$7:$G$2010,$D96,'LAC 102_Wkst'!$L$7:$L$2010,"11",'LAC 102_Wkst'!$N$7:$N$2010,"P5")+SUMIFS('LAC 102_Wkst'!$AE$7:$AE$2010,'LAC 102_Wkst'!$E$7:$E$2010,$C96,'LAC 102_Wkst'!$G$7:$G$2010,$D96,'LAC 102_Wkst'!$L$7:$L$2010,"12",'LAC 102_Wkst'!$N$7:$N$2010,"P5")</f>
        <v>0</v>
      </c>
      <c r="BB96" s="410">
        <f>SUMIFS('LAC 102_Wkst'!$Q$7:$Q$2010,'LAC 102_Wkst'!$E$7:$E$2010,$C96,'LAC 102_Wkst'!$G$7:$G$2010,$D96,'LAC 102_Wkst'!$L$7:$L$2010,"13",'LAC 102_Wkst'!$N$7:$N$2010,"P1")+SUMIFS('LAC 102_Wkst'!$Q$7:$Q$2010,'LAC 102_Wkst'!$E$7:$E$2010,$C96,'LAC 102_Wkst'!$G$7:$G$2010,$D96,'LAC 102_Wkst'!$L$7:$L$2010,"13",'LAC 102_Wkst'!$N$7:$N$2010,"P2")+SUMIFS('LAC 102_Wkst'!$Q$7:$Q$2010,'LAC 102_Wkst'!$E$7:$E$2010,$C96,'LAC 102_Wkst'!$G$7:$G$2010,$D96,'LAC 102_Wkst'!$L$7:$L$2010,"13",'LAC 102_Wkst'!$N$7:$N$2010,"P3")+SUMIFS('LAC 102_Wkst'!$Q$7:$Q$2010,'LAC 102_Wkst'!$E$7:$E$2010,$C96,'LAC 102_Wkst'!$G$7:$G$2010,$D96,'LAC 102_Wkst'!$L$7:$L$2010,"13",'LAC 102_Wkst'!$N$7:$N$2010,"P4")</f>
        <v>0</v>
      </c>
      <c r="BC96" s="411">
        <f>SUMIFS('LAC 102_Wkst'!$AE$7:$AE$2010,'LAC 102_Wkst'!$E$7:$E$2010,$C96,'LAC 102_Wkst'!$G$7:$G$2010,$D96,'LAC 102_Wkst'!$L$7:$L$2010,"13",'LAC 102_Wkst'!$N$7:$N$2010,"P1")+SUMIFS('LAC 102_Wkst'!$AE$7:$AE$2010,'LAC 102_Wkst'!$E$7:$E$2010,$C96,'LAC 102_Wkst'!$G$7:$G$2010,$D96,'LAC 102_Wkst'!$L$7:$L$2010,"13",'LAC 102_Wkst'!$N$7:$N$2010,"P2")+SUMIFS('LAC 102_Wkst'!$AE$7:$AE$2010,'LAC 102_Wkst'!$E$7:$E$2010,$C96,'LAC 102_Wkst'!$G$7:$G$2010,$D96,'LAC 102_Wkst'!$L$7:$L$2010,"13",'LAC 102_Wkst'!$N$7:$N$2010,"P3")+SUMIFS('LAC 102_Wkst'!$AE$7:$AE$2010,'LAC 102_Wkst'!$E$7:$E$2010,$C96,'LAC 102_Wkst'!$G$7:$G$2010,$D96,'LAC 102_Wkst'!$L$7:$L$2010,"13",'LAC 102_Wkst'!$N$7:$N$2010,"P4")</f>
        <v>0</v>
      </c>
      <c r="BD96" s="410">
        <f>SUMIFS('LAC 102_Wkst'!$Q$7:$Q$2010,'LAC 102_Wkst'!$E$7:$E$2010,$C96,'LAC 102_Wkst'!$G$7:$G$2010,$D96,'LAC 102_Wkst'!$L$7:$L$2010,"13",'LAC 102_Wkst'!$N$7:$N$2010,"P5")</f>
        <v>0</v>
      </c>
      <c r="BE96" s="411">
        <f>SUMIFS('LAC 102_Wkst'!$AE$7:$AE$2010,'LAC 102_Wkst'!$E$7:$E$2010,$C96,'LAC 102_Wkst'!$G$7:$G$2010,$D96,'LAC 102_Wkst'!$L$7:$L$2010,"13",'LAC 102_Wkst'!$N$7:$N$2010,"P5")</f>
        <v>0</v>
      </c>
      <c r="BF96" s="407">
        <f t="shared" si="1"/>
        <v>0</v>
      </c>
    </row>
    <row r="97" spans="1:58" x14ac:dyDescent="0.2">
      <c r="A97" s="401">
        <v>78</v>
      </c>
      <c r="B97" s="1236"/>
      <c r="C97" s="1235"/>
      <c r="D97" s="1237"/>
      <c r="E97" s="1222">
        <f>IF(CONCATENATE(C97,D97)&gt;"6069",1,SUMIFS('LAC 102_Wkst'!$Q$7:$Q$2010,'LAC 102_Wkst'!$E$7:$E$2010,Schedule_B!$C97,'LAC 102_Wkst'!$G$7:$G$2010,Schedule_B!$D97))</f>
        <v>0</v>
      </c>
      <c r="F97" s="408">
        <f>SUMIFS('LAC 102_Wkst'!$Q$7:$Q$2010,'LAC 102_Wkst'!$E$7:$E$2010,$C97,'LAC 102_Wkst'!$G$7:$G$2010,$D97,'LAC 102_Wkst'!$L$7:$L$2010,"01",'LAC 102_Wkst'!$N$7:$N$2010,"P1")+SUMIFS('LAC 102_Wkst'!$Q$7:$Q$2010,'LAC 102_Wkst'!$E$7:$E$2010,$C97,'LAC 102_Wkst'!$G$7:$G$2010,$D97,'LAC 102_Wkst'!$L$7:$L$2010,"01",'LAC 102_Wkst'!$N$7:$N$2010,"P2")+SUMIFS('LAC 102_Wkst'!$Q$7:$Q$2010,'LAC 102_Wkst'!$E$7:$E$2010,$C97,'LAC 102_Wkst'!$G$7:$G$2010,$D97,'LAC 102_Wkst'!$L$7:$L$2010,"01",'LAC 102_Wkst'!$N$7:$N$2010,"P3")+SUMIFS('LAC 102_Wkst'!$Q$7:$Q$2010,'LAC 102_Wkst'!$E$7:$E$2010,$C97,'LAC 102_Wkst'!$G$7:$G$2010,$D97,'LAC 102_Wkst'!$L$7:$L$2010,"02",'LAC 102_Wkst'!$N$7:$N$2010,"P1")+SUMIFS('LAC 102_Wkst'!$Q$7:$Q$2010,'LAC 102_Wkst'!$E$7:$E$2010,$C97,'LAC 102_Wkst'!$G$7:$G$2010,$D97,'LAC 102_Wkst'!$L$7:$L$2010,"02",'LAC 102_Wkst'!$N$7:$N$2010,"P2")+SUMIFS('LAC 102_Wkst'!$Q$7:$Q$2010,'LAC 102_Wkst'!$E$7:$E$2010,$C97,'LAC 102_Wkst'!$G$7:$G$2010,$D97,'LAC 102_Wkst'!$L$7:$L$2010,"02",'LAC 102_Wkst'!$N$7:$N$2010,"P3")</f>
        <v>0</v>
      </c>
      <c r="G97" s="409">
        <f>SUMIFS('LAC 102_Wkst'!$AE$7:$AE$2010,'LAC 102_Wkst'!$E$7:$E$2010,$C97,'LAC 102_Wkst'!$G$7:$G$2010,$D97,'LAC 102_Wkst'!$L$7:$L$2010,"01",'LAC 102_Wkst'!$N$7:$N$2010,"P1")+SUMIFS('LAC 102_Wkst'!$AE$7:$AE$2010,'LAC 102_Wkst'!$E$7:$E$2010,$C97,'LAC 102_Wkst'!$G$7:$G$2010,$D97,'LAC 102_Wkst'!$L$7:$L$2010,"01",'LAC 102_Wkst'!$N$7:$N$2010,"P2")+SUMIFS('LAC 102_Wkst'!$AE$7:$AE$2010,'LAC 102_Wkst'!$E$7:$E$2010,$C97,'LAC 102_Wkst'!$G$7:$G$2010,$D97,'LAC 102_Wkst'!$L$7:$L$2010,"01",'LAC 102_Wkst'!$N$7:$N$2010,"P3")+SUMIFS('LAC 102_Wkst'!$AE$7:$AE$2010,'LAC 102_Wkst'!$E$7:$E$2010,$C97,'LAC 102_Wkst'!$G$7:$G$2010,$D97,'LAC 102_Wkst'!$L$7:$L$2010,"02",'LAC 102_Wkst'!$N$7:$N$2010,"P1")+SUMIFS('LAC 102_Wkst'!$AE$7:$AE$2010,'LAC 102_Wkst'!$E$7:$E$2010,$C97,'LAC 102_Wkst'!$G$7:$G$2010,$D97,'LAC 102_Wkst'!$L$7:$L$2010,"02",'LAC 102_Wkst'!$N$7:$N$2010,"P2")+SUMIFS('LAC 102_Wkst'!$AE$7:$AE$2010,'LAC 102_Wkst'!$E$7:$E$2010,$C97,'LAC 102_Wkst'!$G$7:$G$2010,$D97,'LAC 102_Wkst'!$L$7:$L$2010,"02",'LAC 102_Wkst'!$N$7:$N$2010,"P3")</f>
        <v>0</v>
      </c>
      <c r="H97" s="410">
        <f>SUMIFS('LAC 102_Wkst'!$Q$7:$Q$2010,'LAC 102_Wkst'!$E$7:$E$2010,$C97,'LAC 102_Wkst'!$G$7:$G$2010,$D97,'LAC 102_Wkst'!$L$7:$L$2010,"01",'LAC 102_Wkst'!$N$7:$N$2010,"P4")+SUMIFS('LAC 102_Wkst'!$Q$7:$Q$2010,'LAC 102_Wkst'!$E$7:$E$2010,$C97,'LAC 102_Wkst'!$G$7:$G$2010,$D97,'LAC 102_Wkst'!$L$7:$L$2010,"02",'LAC 102_Wkst'!$N$7:$N$2010,"P4")</f>
        <v>0</v>
      </c>
      <c r="I97" s="411">
        <f>SUMIFS('LAC 102_Wkst'!$AE$7:$AE$2010,'LAC 102_Wkst'!$E$7:$E$2010,$C97,'LAC 102_Wkst'!$G$7:$G$2010,$D97,'LAC 102_Wkst'!$L$7:$L$2010,"01",'LAC 102_Wkst'!$N$7:$N$2010,"P4")+SUMIFS('LAC 102_Wkst'!$AE$7:$AE$2010,'LAC 102_Wkst'!$E$7:$E$2010,$C97,'LAC 102_Wkst'!$G$7:$G$2010,$D97,'LAC 102_Wkst'!$L$7:$L$2010,"02",'LAC 102_Wkst'!$N$7:$N$2010,"P4")</f>
        <v>0</v>
      </c>
      <c r="J97" s="410">
        <f>SUMIFS('LAC 102_Wkst'!$Q$7:$Q$2010,'LAC 102_Wkst'!$E$7:$E$2010,$C97,'LAC 102_Wkst'!$G$7:$G$2010,$D97,'LAC 102_Wkst'!$L$7:$L$2010,"01",'LAC 102_Wkst'!$N$7:$N$2010,"P5")+SUMIFS('LAC 102_Wkst'!$Q$7:$Q$2010,'LAC 102_Wkst'!$E$7:$E$2010,$C97,'LAC 102_Wkst'!$G$7:$G$2010,$D97,'LAC 102_Wkst'!$L$7:$L$2010,"02",'LAC 102_Wkst'!$N$7:$N$2010,"P5")</f>
        <v>0</v>
      </c>
      <c r="K97" s="411">
        <f>SUMIFS('LAC 102_Wkst'!$AE$7:$AE$2010,'LAC 102_Wkst'!$E$7:$E$2010,$C97,'LAC 102_Wkst'!$G$7:$G$2010,$D97,'LAC 102_Wkst'!$L$7:$L$2010,"01",'LAC 102_Wkst'!$N$7:$N$2010,"P5")+SUMIFS('LAC 102_Wkst'!$AE$7:$AE$2010,'LAC 102_Wkst'!$E$7:$E$2010,$C97,'LAC 102_Wkst'!$G$7:$G$2010,$D97,'LAC 102_Wkst'!$L$7:$L$2010,"02",'LAC 102_Wkst'!$N$7:$N$2010,"P5")</f>
        <v>0</v>
      </c>
      <c r="L97" s="410">
        <f>SUMIFS('LAC 102_Wkst'!$Q$7:$Q$2010,'LAC 102_Wkst'!$E$7:$E$2010,$C97,'LAC 102_Wkst'!$G$7:$G$2010,$D97,'LAC 102_Wkst'!$L$7:$L$2010,"03",'LAC 102_Wkst'!$N$7:$N$2010,"P1")+SUMIFS('LAC 102_Wkst'!$Q$7:$Q$2010,'LAC 102_Wkst'!$E$7:$E$2010,$C97,'LAC 102_Wkst'!$G$7:$G$2010,$D97,'LAC 102_Wkst'!$L$7:$L$2010,"03",'LAC 102_Wkst'!$N$7:$N$2010,"P2")+SUMIFS('LAC 102_Wkst'!$Q$7:$Q$2010,'LAC 102_Wkst'!$E$7:$E$2010,$C97,'LAC 102_Wkst'!$G$7:$G$2010,$D97,'LAC 102_Wkst'!$L$7:$L$2010,"03",'LAC 102_Wkst'!$N$7:$N$2010,"P3")+SUMIFS('LAC 102_Wkst'!$Q$7:$Q$2010,'LAC 102_Wkst'!$E$7:$E$2010,$C97,'LAC 102_Wkst'!$G$7:$G$2010,$D97,'LAC 102_Wkst'!$L$7:$L$2010,"04",'LAC 102_Wkst'!$N$7:$N$2010,"P1")+SUMIFS('LAC 102_Wkst'!$Q$7:$Q$2010,'LAC 102_Wkst'!$E$7:$E$2010,$C97,'LAC 102_Wkst'!$G$7:$G$2010,$D97,'LAC 102_Wkst'!$L$7:$L$2010,"04",'LAC 102_Wkst'!$N$7:$N$2010,"P2")+SUMIFS('LAC 102_Wkst'!$Q$7:$Q$2010,'LAC 102_Wkst'!$E$7:$E$2010,$C97,'LAC 102_Wkst'!$G$7:$G$2010,$D97,'LAC 102_Wkst'!$L$7:$L$2010,"04",'LAC 102_Wkst'!$N$7:$N$2010,"P3")</f>
        <v>0</v>
      </c>
      <c r="M97" s="411">
        <f>SUMIFS('LAC 102_Wkst'!$AE$7:$AE$2010,'LAC 102_Wkst'!$E$7:$E$2010,$C97,'LAC 102_Wkst'!$G$7:$G$2010,$D97,'LAC 102_Wkst'!$L$7:$L$2010,"03",'LAC 102_Wkst'!$N$7:$N$2010,"P1")+SUMIFS('LAC 102_Wkst'!$AE$7:$AE$2010,'LAC 102_Wkst'!$E$7:$E$2010,$C97,'LAC 102_Wkst'!$G$7:$G$2010,$D97,'LAC 102_Wkst'!$L$7:$L$2010,"03",'LAC 102_Wkst'!$N$7:$N$2010,"P2")+SUMIFS('LAC 102_Wkst'!$AE$7:$AE$2010,'LAC 102_Wkst'!$E$7:$E$2010,$C97,'LAC 102_Wkst'!$G$7:$G$2010,$D97,'LAC 102_Wkst'!$L$7:$L$2010,"03",'LAC 102_Wkst'!$N$7:$N$2010,"P3")+SUMIFS('LAC 102_Wkst'!$AE$7:$AE$2010,'LAC 102_Wkst'!$E$7:$E$2010,$C97,'LAC 102_Wkst'!$G$7:$G$2010,$D97,'LAC 102_Wkst'!$L$7:$L$2010,"04",'LAC 102_Wkst'!$N$7:$N$2010,"P1")+SUMIFS('LAC 102_Wkst'!$AE$7:$AE$2010,'LAC 102_Wkst'!$E$7:$E$2010,$C97,'LAC 102_Wkst'!$G$7:$G$2010,$D97,'LAC 102_Wkst'!$L$7:$L$2010,"04",'LAC 102_Wkst'!$N$7:$N$2010,"P2")+SUMIFS('LAC 102_Wkst'!$AE$7:$AE$2010,'LAC 102_Wkst'!$E$7:$E$2010,$C97,'LAC 102_Wkst'!$G$7:$G$2010,$D97,'LAC 102_Wkst'!$L$7:$L$2010,"04",'LAC 102_Wkst'!$N$7:$N$2010,"P3")</f>
        <v>0</v>
      </c>
      <c r="N97" s="410">
        <f>SUMIFS('LAC 102_Wkst'!$Q$7:$Q$2010,'LAC 102_Wkst'!$E$7:$E$2010,$C97,'LAC 102_Wkst'!$G$7:$G$2010,$D97,'LAC 102_Wkst'!$L$7:$L$2010,"03",'LAC 102_Wkst'!$N$7:$N$2010,"P4")+SUMIFS('LAC 102_Wkst'!$Q$7:$Q$2010,'LAC 102_Wkst'!$E$7:$E$2010,$C97,'LAC 102_Wkst'!$G$7:$G$2010,$D97,'LAC 102_Wkst'!$L$7:$L$2010,"04",'LAC 102_Wkst'!$N$7:$N$2010,"P4")</f>
        <v>0</v>
      </c>
      <c r="O97" s="411">
        <f>SUMIFS('LAC 102_Wkst'!$AE$7:$AE$2010,'LAC 102_Wkst'!$E$7:$E$2010,$C97,'LAC 102_Wkst'!$G$7:$G$2010,$D97,'LAC 102_Wkst'!$L$7:$L$2010,"03",'LAC 102_Wkst'!$N$7:$N$2010,"P4")+SUMIFS('LAC 102_Wkst'!$AE$7:$AE$2010,'LAC 102_Wkst'!$E$7:$E$2010,$C97,'LAC 102_Wkst'!$G$7:$G$2010,$D97,'LAC 102_Wkst'!$L$7:$L$2010,"04",'LAC 102_Wkst'!$N$7:$N$2010,"P4")</f>
        <v>0</v>
      </c>
      <c r="P97" s="410">
        <f>SUMIFS('LAC 102_Wkst'!$Q$7:$Q$2010,'LAC 102_Wkst'!$E$7:$E$2010,$C97,'LAC 102_Wkst'!$G$7:$G$2010,$D97,'LAC 102_Wkst'!$L$7:$L$2010,"03",'LAC 102_Wkst'!$N$7:$N$2010,"P5")+SUMIFS('LAC 102_Wkst'!$Q$7:$Q$2010,'LAC 102_Wkst'!$E$7:$E$2010,$C97,'LAC 102_Wkst'!$G$7:$G$2010,$D97,'LAC 102_Wkst'!$L$7:$L$2010,"04",'LAC 102_Wkst'!$N$7:$N$2010,"P5")</f>
        <v>0</v>
      </c>
      <c r="Q97" s="411">
        <f>SUMIFS('LAC 102_Wkst'!$AE$7:$AE$2010,'LAC 102_Wkst'!$E$7:$E$2010,$C97,'LAC 102_Wkst'!$G$7:$G$2010,$D97,'LAC 102_Wkst'!$L$7:$L$2010,"03",'LAC 102_Wkst'!$N$7:$N$2010,"P5")+SUMIFS('LAC 102_Wkst'!$AE$7:$AE$2010,'LAC 102_Wkst'!$E$7:$E$2010,$C97,'LAC 102_Wkst'!$G$7:$G$2010,$D97,'LAC 102_Wkst'!$L$7:$L$2010,"04",'LAC 102_Wkst'!$N$7:$N$2010,"P5")</f>
        <v>0</v>
      </c>
      <c r="R97" s="412">
        <f>SUMIFS('LAC 102_Wkst'!$Q$7:$Q$2010,'LAC 102_Wkst'!$E$7:$E$2010,$C97,'LAC 102_Wkst'!$G$7:$G$2010,$D97,'LAC 102_Wkst'!$L$7:$L$2010,"05",'LAC 102_Wkst'!$N$7:$N$2010,"P1")+SUMIFS('LAC 102_Wkst'!$Q$7:$Q$2010,'LAC 102_Wkst'!$E$7:$E$2010,$C97,'LAC 102_Wkst'!$G$7:$G$2010,$D97,'LAC 102_Wkst'!$L$7:$L$2010,"06",'LAC 102_Wkst'!$N$7:$N$2010,"P1")</f>
        <v>0</v>
      </c>
      <c r="S97" s="411">
        <f>SUMIFS('LAC 102_Wkst'!$AE$7:$AE$2010,'LAC 102_Wkst'!$E$7:$E$2010,$C97,'LAC 102_Wkst'!$G$7:$G$2010,$D97,'LAC 102_Wkst'!$L$7:$L$2010,"05",'LAC 102_Wkst'!$N$7:$N$2010,"P1")+SUMIFS('LAC 102_Wkst'!$AE$7:$AE$2010,'LAC 102_Wkst'!$E$7:$E$2010,$C97,'LAC 102_Wkst'!$G$7:$G$2010,$D97,'LAC 102_Wkst'!$L$7:$L$2010,"06",'LAC 102_Wkst'!$N$7:$N$2010,"P1")</f>
        <v>0</v>
      </c>
      <c r="T97" s="410">
        <f>SUMIFS('LAC 102_Wkst'!$Q$7:$Q$2010,'LAC 102_Wkst'!$E$7:$E$2010,$C97,'LAC 102_Wkst'!$G$7:$G$2010,$D97,'LAC 102_Wkst'!$L$7:$L$2010,"05",'LAC 102_Wkst'!$N$7:$N$2010,"P2")+SUMIFS('LAC 102_Wkst'!$Q$7:$Q$2010,'LAC 102_Wkst'!$E$7:$E$2010,$C97,'LAC 102_Wkst'!$G$7:$G$2010,$D97,'LAC 102_Wkst'!$L$7:$L$2010,"05",'LAC 102_Wkst'!$N$7:$N$2010,"P3")+SUMIFS('LAC 102_Wkst'!$Q$7:$Q$2010,'LAC 102_Wkst'!$E$7:$E$2010,$C97,'LAC 102_Wkst'!$G$7:$G$2010,$D97,'LAC 102_Wkst'!$L$7:$L$2010,"06",'LAC 102_Wkst'!$N$7:$N$2010,"P2")+SUMIFS('LAC 102_Wkst'!$Q$7:$Q$2010,'LAC 102_Wkst'!$E$7:$E$2010,$C97,'LAC 102_Wkst'!$G$7:$G$2010,$D97,'LAC 102_Wkst'!$L$7:$L$2010,"06",'LAC 102_Wkst'!$N$7:$N$2010,"P3")</f>
        <v>0</v>
      </c>
      <c r="U97" s="411">
        <f>SUMIFS('LAC 102_Wkst'!$AE$7:$AE$2010,'LAC 102_Wkst'!$E$7:$E$2010,$C97,'LAC 102_Wkst'!$G$7:$G$2010,$D97,'LAC 102_Wkst'!$L$7:$L$2010,"05",'LAC 102_Wkst'!$N$7:$N$2010,"P2")+SUMIFS('LAC 102_Wkst'!$AE$7:$AE$2010,'LAC 102_Wkst'!$E$7:$E$2010,$C97,'LAC 102_Wkst'!$G$7:$G$2010,$D97,'LAC 102_Wkst'!$L$7:$L$2010,"06",'LAC 102_Wkst'!$N$7:$N$2010,"P3")+SUMIFS('LAC 102_Wkst'!$AE$7:$AE$2010,'LAC 102_Wkst'!$E$7:$E$2010,$C97,'LAC 102_Wkst'!$G$7:$G$2010,$D97,'LAC 102_Wkst'!$L$7:$L$2010,"05",'LAC 102_Wkst'!$N$7:$N$2010,"P2")+SUMIFS('LAC 102_Wkst'!$AE$7:$AE$2010,'LAC 102_Wkst'!$E$7:$E$2010,$C97,'LAC 102_Wkst'!$G$7:$G$2010,$D97,'LAC 102_Wkst'!$L$7:$L$2010,"06",'LAC 102_Wkst'!$N$7:$N$2010,"P3")</f>
        <v>0</v>
      </c>
      <c r="V97" s="410">
        <f>SUMIFS('LAC 102_Wkst'!$Q$7:$Q$2010,'LAC 102_Wkst'!$E$7:$E$2010,$C97,'LAC 102_Wkst'!$G$7:$G$2010,$D97,'LAC 102_Wkst'!$L$7:$L$2010,"05",'LAC 102_Wkst'!$N$7:$N$2010,"P4")+SUMIFS('LAC 102_Wkst'!$Q$7:$Q$2010,'LAC 102_Wkst'!$E$7:$E$2010,$C97,'LAC 102_Wkst'!$G$7:$G$2010,$D97,'LAC 102_Wkst'!$L$7:$L$2010,"06",'LAC 102_Wkst'!$N$7:$N$2010,"P4")</f>
        <v>0</v>
      </c>
      <c r="W97" s="411">
        <f>SUMIFS('LAC 102_Wkst'!$AE$7:$AE$2010,'LAC 102_Wkst'!$E$7:$E$2010,$C97,'LAC 102_Wkst'!$G$7:$G$2010,$D97,'LAC 102_Wkst'!$L$7:$L$2010,"05",'LAC 102_Wkst'!$N$7:$N$2010,"P4")+SUMIFS('LAC 102_Wkst'!$AE$7:$AE$2010,'LAC 102_Wkst'!$E$7:$E$2010,$C97,'LAC 102_Wkst'!$G$7:$G$2010,$D97,'LAC 102_Wkst'!$L$7:$L$2010,"06",'LAC 102_Wkst'!$N$7:$N$2010,"P4")</f>
        <v>0</v>
      </c>
      <c r="X97" s="410">
        <f>SUMIFS('LAC 102_Wkst'!$Q$7:$Q$2010,'LAC 102_Wkst'!$E$7:$E$2010,$C97,'LAC 102_Wkst'!$G$7:$G$2010,$D97,'LAC 102_Wkst'!$L$7:$L$2010,"05",'LAC 102_Wkst'!$N$7:$N$2010,"P5")+SUMIFS('LAC 102_Wkst'!$Q$7:$Q$2010,'LAC 102_Wkst'!$E$7:$E$2010,$C97,'LAC 102_Wkst'!$G$7:$G$2010,$D97,'LAC 102_Wkst'!$L$7:$L$2010,"06",'LAC 102_Wkst'!$N$7:$N$2010,"P5")</f>
        <v>0</v>
      </c>
      <c r="Y97" s="411">
        <f>SUMIFS('LAC 102_Wkst'!$AE$7:$AE$2010,'LAC 102_Wkst'!$E$7:$E$2010,$C97,'LAC 102_Wkst'!$G$7:$G$2010,$D97,'LAC 102_Wkst'!$L$7:$L$2010,"05",'LAC 102_Wkst'!$N$7:$N$2010,"P5")+SUMIFS('LAC 102_Wkst'!$AE$7:$AE$2010,'LAC 102_Wkst'!$E$7:$E$2010,$C97,'LAC 102_Wkst'!$G$7:$G$2010,$D97,'LAC 102_Wkst'!$L$7:$L$2010,"06",'LAC 102_Wkst'!$N$7:$N$2010,"P5")</f>
        <v>0</v>
      </c>
      <c r="Z97" s="410">
        <f>SUMIFS('LAC 102_Wkst'!$Q$7:$Q$2010,'LAC 102_Wkst'!$E$7:$E$2010,$C97,'LAC 102_Wkst'!$G$7:$G$2010,$D97,'LAC 102_Wkst'!$L$7:$L$2010,"07",'LAC 102_Wkst'!$N$7:$N$2010,"P1")+SUMIFS('LAC 102_Wkst'!$Q$7:$Q$2010,'LAC 102_Wkst'!$E$7:$E$2010,$C97,'LAC 102_Wkst'!$G$7:$G$2010,$D97,'LAC 102_Wkst'!$L$7:$L$2010,"07",'LAC 102_Wkst'!$N$7:$N$2010,"P2")+SUMIFS('LAC 102_Wkst'!$Q$7:$Q$2010,'LAC 102_Wkst'!$E$7:$E$2010,$C97,'LAC 102_Wkst'!$G$7:$G$2010,$D97,'LAC 102_Wkst'!$L$7:$L$2010,"07",'LAC 102_Wkst'!$N$7:$N$2010,"P3")</f>
        <v>0</v>
      </c>
      <c r="AA97" s="411">
        <f>SUMIFS('LAC 102_Wkst'!$AE$7:$AE$2010,'LAC 102_Wkst'!$E$7:$E$2010,$C97,'LAC 102_Wkst'!$G$7:$G$2010,$D97,'LAC 102_Wkst'!$L$7:$L$2010,"07",'LAC 102_Wkst'!$N$7:$N$2010,"P1")+SUMIFS('LAC 102_Wkst'!$AE$7:$AE$2010,'LAC 102_Wkst'!$E$7:$E$2010,$C97,'LAC 102_Wkst'!$G$7:$G$2010,$D97,'LAC 102_Wkst'!$L$7:$L$2010,"07",'LAC 102_Wkst'!$N$7:$N$2010,"P2")+SUMIFS('LAC 102_Wkst'!$AE$7:$AE$2010,'LAC 102_Wkst'!$E$7:$E$2010,$C97,'LAC 102_Wkst'!$G$7:$G$2010,$D97,'LAC 102_Wkst'!$L$7:$L$2010,"07",'LAC 102_Wkst'!$N$7:$N$2010,"P3")</f>
        <v>0</v>
      </c>
      <c r="AB97" s="410">
        <f>SUMIFS('LAC 102_Wkst'!$Q$7:$Q$2010,'LAC 102_Wkst'!$E$7:$E$2010,$C97,'LAC 102_Wkst'!$G$7:$G$2010,$D97,'LAC 102_Wkst'!$L$7:$L$2010,"07",'LAC 102_Wkst'!$N$7:$N$2010,"P4")</f>
        <v>0</v>
      </c>
      <c r="AC97" s="411">
        <f>SUMIFS('LAC 102_Wkst'!$AE$7:$AE$2010,'LAC 102_Wkst'!$E$7:$E$2010,$C97,'LAC 102_Wkst'!$G$7:$G$2010,$D97,'LAC 102_Wkst'!$L$7:$L$2010,"07",'LAC 102_Wkst'!$N$7:$N$2010,"P4")</f>
        <v>0</v>
      </c>
      <c r="AD97" s="410">
        <f>SUMIFS('LAC 102_Wkst'!$Q$7:$Q$2010,'LAC 102_Wkst'!$E$7:$E$2010,$C97,'LAC 102_Wkst'!$G$7:$G$2010,$D97,'LAC 102_Wkst'!$L$7:$L$2010,"07",'LAC 102_Wkst'!$N$7:$N$2010,"P5")</f>
        <v>0</v>
      </c>
      <c r="AE97" s="411">
        <f>SUMIFS('LAC 102_Wkst'!$AE$7:$AE$2010,'LAC 102_Wkst'!$E$7:$E$2010,$C97,'LAC 102_Wkst'!$G$7:$G$2010,$D97,'LAC 102_Wkst'!$L$7:$L$2010,"07",'LAC 102_Wkst'!$N$7:$N$2010,"P5")</f>
        <v>0</v>
      </c>
      <c r="AF97" s="410">
        <f>SUMIFS('LAC 102_Wkst'!$Q$7:$Q$2010,'LAC 102_Wkst'!$E$7:$E$2010,$C97,'LAC 102_Wkst'!$G$7:$G$2010,$D97,'LAC 102_Wkst'!$L$7:$L$2010,"08",'LAC 102_Wkst'!$N$7:$N$2010,"P1")+SUMIFS('LAC 102_Wkst'!$Q$7:$Q$2010,'LAC 102_Wkst'!$E$7:$E$2010,$C97,'LAC 102_Wkst'!$G$7:$G$2010,$D97,'LAC 102_Wkst'!$L$7:$L$2010,"08",'LAC 102_Wkst'!$N$7:$N$2010,"P2")+SUMIFS('LAC 102_Wkst'!$Q$7:$Q$2010,'LAC 102_Wkst'!$E$7:$E$2010,$C97,'LAC 102_Wkst'!$G$7:$G$2010,$D97,'LAC 102_Wkst'!$L$7:$L$2010,"08",'LAC 102_Wkst'!$N$7:$N$2010,"P3")</f>
        <v>0</v>
      </c>
      <c r="AG97" s="411">
        <f>SUMIFS('LAC 102_Wkst'!$AE$7:$AE$2010,'LAC 102_Wkst'!$E$7:$E$2010,$C97,'LAC 102_Wkst'!$G$7:$G$2010,$D97,'LAC 102_Wkst'!$L$7:$L$2010,"08",'LAC 102_Wkst'!$N$7:$N$2010,"P1")+SUMIFS('LAC 102_Wkst'!$AE$7:$AE$2010,'LAC 102_Wkst'!$E$7:$E$2010,$C97,'LAC 102_Wkst'!$G$7:$G$2010,$D97,'LAC 102_Wkst'!$L$7:$L$2010,"08",'LAC 102_Wkst'!$N$7:$N$2010,"P2")+SUMIFS('LAC 102_Wkst'!$AE$7:$AE$2010,'LAC 102_Wkst'!$E$7:$E$2010,$C97,'LAC 102_Wkst'!$G$7:$G$2010,$D97,'LAC 102_Wkst'!$L$7:$L$2010,"08",'LAC 102_Wkst'!$N$7:$N$2010,"P3")</f>
        <v>0</v>
      </c>
      <c r="AH97" s="410">
        <f>SUMIFS('LAC 102_Wkst'!$Q$7:$Q$2010,'LAC 102_Wkst'!$E$7:$E$2010,$C97,'LAC 102_Wkst'!$G$7:$G$2010,$D97,'LAC 102_Wkst'!$L$7:$L$2010,"08",'LAC 102_Wkst'!$N$7:$N$2010,"P4")</f>
        <v>0</v>
      </c>
      <c r="AI97" s="411">
        <f>SUMIFS('LAC 102_Wkst'!$AE$7:$AE$2010,'LAC 102_Wkst'!$E$7:$E$2010,$C97,'LAC 102_Wkst'!$G$7:$G$2010,$D97,'LAC 102_Wkst'!$L$7:$L$2010,"08",'LAC 102_Wkst'!$N$7:$N$2010,"P4")</f>
        <v>0</v>
      </c>
      <c r="AJ97" s="410">
        <f>SUMIFS('LAC 102_Wkst'!$Q$7:$Q$2010,'LAC 102_Wkst'!$E$7:$E$2010,$C97,'LAC 102_Wkst'!$G$7:$G$2010,$D97,'LAC 102_Wkst'!$L$7:$L$2010,"08",'LAC 102_Wkst'!$N$7:$N$2010,"P5")</f>
        <v>0</v>
      </c>
      <c r="AK97" s="411">
        <f>SUMIFS('LAC 102_Wkst'!$AE$7:$AE$2010,'LAC 102_Wkst'!$E$7:$E$2010,$C97,'LAC 102_Wkst'!$G$7:$G$2010,$D97,'LAC 102_Wkst'!$L$7:$L$2010,"08",'LAC 102_Wkst'!$N$7:$N$2010,"P5")</f>
        <v>0</v>
      </c>
      <c r="AL97" s="410">
        <f>SUMIFS('LAC 102_Wkst'!$Q$7:$Q$2010,'LAC 102_Wkst'!$E$7:$E$2010,$C97,'LAC 102_Wkst'!$G$7:$G$2010,$D97,'LAC 102_Wkst'!$L$7:$L$2010,"09",'LAC 102_Wkst'!$N$7:$N$2010,"P1")+SUMIFS('LAC 102_Wkst'!$Q$7:$Q$2010,'LAC 102_Wkst'!$E$7:$E$2010,$C97,'LAC 102_Wkst'!$G$7:$G$2010,$D97,'LAC 102_Wkst'!$L$7:$L$2010,"09",'LAC 102_Wkst'!$N$7:$N$2010,"P2")+SUMIFS('LAC 102_Wkst'!$Q$7:$Q$2010,'LAC 102_Wkst'!$E$7:$E$2010,$C97,'LAC 102_Wkst'!$G$7:$G$2010,$D97,'LAC 102_Wkst'!$L$7:$L$2010,"09",'LAC 102_Wkst'!$N$7:$N$2010,"P3")+SUMIFS('LAC 102_Wkst'!$Q$7:$Q$2010,'LAC 102_Wkst'!$E$7:$E$2010,$C97,'LAC 102_Wkst'!$G$7:$G$2010,$D97,'LAC 102_Wkst'!$L$7:$L$2010,"09",'LAC 102_Wkst'!$N$7:$N$2010,"P4")</f>
        <v>0</v>
      </c>
      <c r="AM97" s="411">
        <f>SUMIFS('LAC 102_Wkst'!$AE$7:$AE$2010,'LAC 102_Wkst'!$E$7:$E$2010,$C97,'LAC 102_Wkst'!$G$7:$G$2010,$D97,'LAC 102_Wkst'!$L$7:$L$2010,"09",'LAC 102_Wkst'!$N$7:$N$2010,"P1")+SUMIFS('LAC 102_Wkst'!$AE$7:$AE$2010,'LAC 102_Wkst'!$E$7:$E$2010,$C97,'LAC 102_Wkst'!$G$7:$G$2010,$D97,'LAC 102_Wkst'!$L$7:$L$2010,"09",'LAC 102_Wkst'!$N$7:$N$2010,"P2")+SUMIFS('LAC 102_Wkst'!$AE$7:$AE$2010,'LAC 102_Wkst'!$E$7:$E$2010,$C97,'LAC 102_Wkst'!$G$7:$G$2010,$D97,'LAC 102_Wkst'!$L$7:$L$2010,"09",'LAC 102_Wkst'!$N$7:$N$2010,"P3")+SUMIFS('LAC 102_Wkst'!$AE$7:$AE$2010,'LAC 102_Wkst'!$E$7:$E$2010,$C97,'LAC 102_Wkst'!$G$7:$G$2010,$D97,'LAC 102_Wkst'!$L$7:$L$2010,"09",'LAC 102_Wkst'!$N$7:$N$2010,"P4")</f>
        <v>0</v>
      </c>
      <c r="AN97" s="410">
        <f>SUMIFS('LAC 102_Wkst'!$Q$7:$Q$2010,'LAC 102_Wkst'!$E$7:$E$2010,$C97,'LAC 102_Wkst'!$G$7:$G$2010,$D97,'LAC 102_Wkst'!$L$7:$L$2010,"09",'LAC 102_Wkst'!$N$7:$N$2010,"P5")</f>
        <v>0</v>
      </c>
      <c r="AO97" s="411">
        <f>SUMIFS('LAC 102_Wkst'!$AE$7:$AE$2010,'LAC 102_Wkst'!$E$7:$E$2010,$C97,'LAC 102_Wkst'!$G$7:$G$2010,$D97,'LAC 102_Wkst'!$L$7:$L$2010,"09",'LAC 102_Wkst'!$N$7:$N$2010,"P5")</f>
        <v>0</v>
      </c>
      <c r="AP97" s="410">
        <f>SUMIFS('LAC 102_Wkst'!$Q$7:$Q$2010,'LAC 102_Wkst'!$E$7:$E$2010,$C97,'LAC 102_Wkst'!$G$7:$G$2010,$D97,'LAC 102_Wkst'!$L$7:$L$2010,"10",'LAC 102_Wkst'!$N$7:$N$2010,"P1")+SUMIFS('LAC 102_Wkst'!$Q$7:$Q$2010,'LAC 102_Wkst'!$E$7:$E$2010,$C97,'LAC 102_Wkst'!$G$7:$G$2010,$D97,'LAC 102_Wkst'!$L$7:$L$2010,"10",'LAC 102_Wkst'!$N$7:$N$2010,"P2")+SUMIFS('LAC 102_Wkst'!$Q$7:$Q$2010,'LAC 102_Wkst'!$E$7:$E$2010,$C97,'LAC 102_Wkst'!$G$7:$G$2010,$D97,'LAC 102_Wkst'!$L$7:$L$2010,"10",'LAC 102_Wkst'!$N$7:$N$2010,"P3")+SUMIFS('LAC 102_Wkst'!$Q$7:$Q$2010,'LAC 102_Wkst'!$E$7:$E$2010,$C97,'LAC 102_Wkst'!$G$7:$G$2010,$D97,'LAC 102_Wkst'!$L$7:$L$2010,"10",'LAC 102_Wkst'!$N$7:$N$2010,"P4")</f>
        <v>0</v>
      </c>
      <c r="AQ97" s="411">
        <f>SUMIFS('LAC 102_Wkst'!$AE$7:$AE$2010,'LAC 102_Wkst'!$E$7:$E$2010,$C97,'LAC 102_Wkst'!$G$7:$G$2010,$D97,'LAC 102_Wkst'!$L$7:$L$2010,"10",'LAC 102_Wkst'!$N$7:$N$2010,"P1")+SUMIFS('LAC 102_Wkst'!$AE$7:$AE$2010,'LAC 102_Wkst'!$E$7:$E$2010,$C97,'LAC 102_Wkst'!$G$7:$G$2010,$D97,'LAC 102_Wkst'!$L$7:$L$2010,"10",'LAC 102_Wkst'!$N$7:$N$2010,"P2")+SUMIFS('LAC 102_Wkst'!$AE$7:$AE$2010,'LAC 102_Wkst'!$E$7:$E$2010,$C97,'LAC 102_Wkst'!$G$7:$G$2010,$D97,'LAC 102_Wkst'!$L$7:$L$2010,"10",'LAC 102_Wkst'!$N$7:$N$2010,"P3")+SUMIFS('LAC 102_Wkst'!$AE$7:$AE$2010,'LAC 102_Wkst'!$E$7:$E$2010,$C97,'LAC 102_Wkst'!$G$7:$G$2010,$D97,'LAC 102_Wkst'!$L$7:$L$2010,"10",'LAC 102_Wkst'!$N$7:$N$2010,"P4")</f>
        <v>0</v>
      </c>
      <c r="AR97" s="410">
        <f>SUMIFS('LAC 102_Wkst'!$Q$7:$Q$2010,'LAC 102_Wkst'!$E$7:$E$2010,$C97,'LAC 102_Wkst'!$G$7:$G$2010,$D97,'LAC 102_Wkst'!$L$7:$L$2010,"10",'LAC 102_Wkst'!$N$7:$N$2010,"P5")</f>
        <v>0</v>
      </c>
      <c r="AS97" s="411">
        <f>SUMIFS('LAC 102_Wkst'!$AE$7:$AE$2010,'LAC 102_Wkst'!$E$7:$E$2010,$C97,'LAC 102_Wkst'!$G$7:$G$2010,$D97,'LAC 102_Wkst'!$L$7:$L$2010,"10",'LAC 102_Wkst'!$N$7:$N$2010,"P5")</f>
        <v>0</v>
      </c>
      <c r="AT97" s="410">
        <f>SUMIFS('LAC 102_Wkst'!$Q$7:$Q$2010,'LAC 102_Wkst'!$E$7:$E$2010,$C97,'LAC 102_Wkst'!$G$7:$G$2010,$D97,'LAC 102_Wkst'!$L$7:$L$2010,"11",'LAC 102_Wkst'!$N$7:$N$2010,"P1")+SUMIFS('LAC 102_Wkst'!$Q$7:$Q$2010,'LAC 102_Wkst'!$E$7:$E$2010,$C97,'LAC 102_Wkst'!$G$7:$G$2010,$D97,'LAC 102_Wkst'!$L$7:$L$2010,"12",'LAC 102_Wkst'!$N$7:$N$2010,"P1")</f>
        <v>0</v>
      </c>
      <c r="AU97" s="411">
        <f>SUMIFS('LAC 102_Wkst'!$AE$7:$AE$2010,'LAC 102_Wkst'!$E$7:$E$2010,$C97,'LAC 102_Wkst'!$G$7:$G$2010,$D97,'LAC 102_Wkst'!$L$7:$L$2010,"11",'LAC 102_Wkst'!$N$7:$N$2010,"P1")+SUMIFS('LAC 102_Wkst'!$AE$7:$AE$2010,'LAC 102_Wkst'!$E$7:$E$2010,$C97,'LAC 102_Wkst'!$G$7:$G$2010,$D97,'LAC 102_Wkst'!$L$7:$L$2010,"12",'LAC 102_Wkst'!$N$7:$N$2010,"P1")</f>
        <v>0</v>
      </c>
      <c r="AV97" s="410">
        <f>SUMIFS('LAC 102_Wkst'!$Q$7:$Q$2010,'LAC 102_Wkst'!$E$7:$E$2010,$C97,'LAC 102_Wkst'!$G$7:$G$2010,$D97,'LAC 102_Wkst'!$L$7:$L$2010,"11",'LAC 102_Wkst'!$N$7:$N$2010,"P2")+SUMIFS('LAC 102_Wkst'!$Q$7:$Q$2010,'LAC 102_Wkst'!$E$7:$E$2010,$C97,'LAC 102_Wkst'!$G$7:$G$2010,$D97,'LAC 102_Wkst'!$L$7:$L$2010,"12",'LAC 102_Wkst'!$N$7:$N$2010,"P3")+SUMIFS('LAC 102_Wkst'!$Q$7:$Q$2010,'LAC 102_Wkst'!$E$7:$E$2010,$C97,'LAC 102_Wkst'!$G$7:$G$2010,$D97,'LAC 102_Wkst'!$L$7:$L$2010,"11",'LAC 102_Wkst'!$N$7:$N$2010,"P2")+SUMIFS('LAC 102_Wkst'!$Q$7:$Q$2010,'LAC 102_Wkst'!$E$7:$E$2010,$C97,'LAC 102_Wkst'!$G$7:$G$2010,$D97,'LAC 102_Wkst'!$L$7:$L$2010,"12",'LAC 102_Wkst'!$N$7:$N$2010,"P3")</f>
        <v>0</v>
      </c>
      <c r="AW97" s="411">
        <f>SUMIFS('LAC 102_Wkst'!$AE$7:$AE$2010,'LAC 102_Wkst'!$E$7:$E$2010,$C97,'LAC 102_Wkst'!$G$7:$G$2010,$D97,'LAC 102_Wkst'!$L$7:$L$2010,"11",'LAC 102_Wkst'!$N$7:$N$2010,"P2")+SUMIFS('LAC 102_Wkst'!$AE$7:$AE$2010,'LAC 102_Wkst'!$E$7:$E$2010,$C97,'LAC 102_Wkst'!$G$7:$G$2010,$D97,'LAC 102_Wkst'!$L$7:$L$2010,"12",'LAC 102_Wkst'!$N$7:$N$2010,"P3")+SUMIFS('LAC 102_Wkst'!$AE$7:$AE$2010,'LAC 102_Wkst'!$E$7:$E$2010,$C97,'LAC 102_Wkst'!$G$7:$G$2010,$D97,'LAC 102_Wkst'!$L$7:$L$2010,"11",'LAC 102_Wkst'!$N$7:$N$2010,"P2")+SUMIFS('LAC 102_Wkst'!$AE$7:$AE$2010,'LAC 102_Wkst'!$E$7:$E$2010,$C97,'LAC 102_Wkst'!$G$7:$G$2010,$D97,'LAC 102_Wkst'!$L$7:$L$2010,"12",'LAC 102_Wkst'!$N$7:$N$2010,"P3")</f>
        <v>0</v>
      </c>
      <c r="AX97" s="410">
        <f>SUMIFS('LAC 102_Wkst'!$Q$7:$Q$2010,'LAC 102_Wkst'!$E$7:$E$2010,$C97,'LAC 102_Wkst'!$G$7:$G$2010,$D97,'LAC 102_Wkst'!$L$7:$L$2010,"11",'LAC 102_Wkst'!$N$7:$N$2010,"P4")+SUMIFS('LAC 102_Wkst'!$Q$7:$Q$2010,'LAC 102_Wkst'!$E$7:$E$2010,$C97,'LAC 102_Wkst'!$G$7:$G$2010,$D97,'LAC 102_Wkst'!$L$7:$L$2010,"12",'LAC 102_Wkst'!$N$7:$N$2010,"P4")</f>
        <v>0</v>
      </c>
      <c r="AY97" s="411">
        <f>SUMIFS('LAC 102_Wkst'!$AE$7:$AE$2010,'LAC 102_Wkst'!$E$7:$E$2010,$C97,'LAC 102_Wkst'!$G$7:$G$2010,$D97,'LAC 102_Wkst'!$L$7:$L$2010,"11",'LAC 102_Wkst'!$N$7:$N$2010,"P4")+SUMIFS('LAC 102_Wkst'!$AE$7:$AE$2010,'LAC 102_Wkst'!$E$7:$E$2010,$C97,'LAC 102_Wkst'!$G$7:$G$2010,$D97,'LAC 102_Wkst'!$L$7:$L$2010,"12",'LAC 102_Wkst'!$N$7:$N$2010,"P4")</f>
        <v>0</v>
      </c>
      <c r="AZ97" s="410">
        <f>SUMIFS('LAC 102_Wkst'!$Q$7:$Q$2010,'LAC 102_Wkst'!$E$7:$E$2010,$C97,'LAC 102_Wkst'!$G$7:$G$2010,$D97,'LAC 102_Wkst'!$L$7:$L$2010,"11",'LAC 102_Wkst'!$N$7:$N$2010,"P5")+SUMIFS('LAC 102_Wkst'!$Q$7:$Q$2010,'LAC 102_Wkst'!$E$7:$E$2010,$C97,'LAC 102_Wkst'!$G$7:$G$2010,$D97,'LAC 102_Wkst'!$L$7:$L$2010,"12",'LAC 102_Wkst'!$N$7:$N$2010,"P5")</f>
        <v>0</v>
      </c>
      <c r="BA97" s="411">
        <f>SUMIFS('LAC 102_Wkst'!$AE$7:$AE$2010,'LAC 102_Wkst'!$E$7:$E$2010,$C97,'LAC 102_Wkst'!$G$7:$G$2010,$D97,'LAC 102_Wkst'!$L$7:$L$2010,"11",'LAC 102_Wkst'!$N$7:$N$2010,"P5")+SUMIFS('LAC 102_Wkst'!$AE$7:$AE$2010,'LAC 102_Wkst'!$E$7:$E$2010,$C97,'LAC 102_Wkst'!$G$7:$G$2010,$D97,'LAC 102_Wkst'!$L$7:$L$2010,"12",'LAC 102_Wkst'!$N$7:$N$2010,"P5")</f>
        <v>0</v>
      </c>
      <c r="BB97" s="410">
        <f>SUMIFS('LAC 102_Wkst'!$Q$7:$Q$2010,'LAC 102_Wkst'!$E$7:$E$2010,$C97,'LAC 102_Wkst'!$G$7:$G$2010,$D97,'LAC 102_Wkst'!$L$7:$L$2010,"13",'LAC 102_Wkst'!$N$7:$N$2010,"P1")+SUMIFS('LAC 102_Wkst'!$Q$7:$Q$2010,'LAC 102_Wkst'!$E$7:$E$2010,$C97,'LAC 102_Wkst'!$G$7:$G$2010,$D97,'LAC 102_Wkst'!$L$7:$L$2010,"13",'LAC 102_Wkst'!$N$7:$N$2010,"P2")+SUMIFS('LAC 102_Wkst'!$Q$7:$Q$2010,'LAC 102_Wkst'!$E$7:$E$2010,$C97,'LAC 102_Wkst'!$G$7:$G$2010,$D97,'LAC 102_Wkst'!$L$7:$L$2010,"13",'LAC 102_Wkst'!$N$7:$N$2010,"P3")+SUMIFS('LAC 102_Wkst'!$Q$7:$Q$2010,'LAC 102_Wkst'!$E$7:$E$2010,$C97,'LAC 102_Wkst'!$G$7:$G$2010,$D97,'LAC 102_Wkst'!$L$7:$L$2010,"13",'LAC 102_Wkst'!$N$7:$N$2010,"P4")</f>
        <v>0</v>
      </c>
      <c r="BC97" s="411">
        <f>SUMIFS('LAC 102_Wkst'!$AE$7:$AE$2010,'LAC 102_Wkst'!$E$7:$E$2010,$C97,'LAC 102_Wkst'!$G$7:$G$2010,$D97,'LAC 102_Wkst'!$L$7:$L$2010,"13",'LAC 102_Wkst'!$N$7:$N$2010,"P1")+SUMIFS('LAC 102_Wkst'!$AE$7:$AE$2010,'LAC 102_Wkst'!$E$7:$E$2010,$C97,'LAC 102_Wkst'!$G$7:$G$2010,$D97,'LAC 102_Wkst'!$L$7:$L$2010,"13",'LAC 102_Wkst'!$N$7:$N$2010,"P2")+SUMIFS('LAC 102_Wkst'!$AE$7:$AE$2010,'LAC 102_Wkst'!$E$7:$E$2010,$C97,'LAC 102_Wkst'!$G$7:$G$2010,$D97,'LAC 102_Wkst'!$L$7:$L$2010,"13",'LAC 102_Wkst'!$N$7:$N$2010,"P3")+SUMIFS('LAC 102_Wkst'!$AE$7:$AE$2010,'LAC 102_Wkst'!$E$7:$E$2010,$C97,'LAC 102_Wkst'!$G$7:$G$2010,$D97,'LAC 102_Wkst'!$L$7:$L$2010,"13",'LAC 102_Wkst'!$N$7:$N$2010,"P4")</f>
        <v>0</v>
      </c>
      <c r="BD97" s="410">
        <f>SUMIFS('LAC 102_Wkst'!$Q$7:$Q$2010,'LAC 102_Wkst'!$E$7:$E$2010,$C97,'LAC 102_Wkst'!$G$7:$G$2010,$D97,'LAC 102_Wkst'!$L$7:$L$2010,"13",'LAC 102_Wkst'!$N$7:$N$2010,"P5")</f>
        <v>0</v>
      </c>
      <c r="BE97" s="411">
        <f>SUMIFS('LAC 102_Wkst'!$AE$7:$AE$2010,'LAC 102_Wkst'!$E$7:$E$2010,$C97,'LAC 102_Wkst'!$G$7:$G$2010,$D97,'LAC 102_Wkst'!$L$7:$L$2010,"13",'LAC 102_Wkst'!$N$7:$N$2010,"P5")</f>
        <v>0</v>
      </c>
      <c r="BF97" s="407">
        <f t="shared" si="1"/>
        <v>0</v>
      </c>
    </row>
    <row r="98" spans="1:58" x14ac:dyDescent="0.2">
      <c r="A98" s="401">
        <v>79</v>
      </c>
      <c r="B98" s="1236"/>
      <c r="C98" s="1235"/>
      <c r="D98" s="1237"/>
      <c r="E98" s="1222">
        <f>IF(CONCATENATE(C98,D98)&gt;"6069",1,SUMIFS('LAC 102_Wkst'!$Q$7:$Q$2010,'LAC 102_Wkst'!$E$7:$E$2010,Schedule_B!$C98,'LAC 102_Wkst'!$G$7:$G$2010,Schedule_B!$D98))</f>
        <v>0</v>
      </c>
      <c r="F98" s="408">
        <f>SUMIFS('LAC 102_Wkst'!$Q$7:$Q$2010,'LAC 102_Wkst'!$E$7:$E$2010,$C98,'LAC 102_Wkst'!$G$7:$G$2010,$D98,'LAC 102_Wkst'!$L$7:$L$2010,"01",'LAC 102_Wkst'!$N$7:$N$2010,"P1")+SUMIFS('LAC 102_Wkst'!$Q$7:$Q$2010,'LAC 102_Wkst'!$E$7:$E$2010,$C98,'LAC 102_Wkst'!$G$7:$G$2010,$D98,'LAC 102_Wkst'!$L$7:$L$2010,"01",'LAC 102_Wkst'!$N$7:$N$2010,"P2")+SUMIFS('LAC 102_Wkst'!$Q$7:$Q$2010,'LAC 102_Wkst'!$E$7:$E$2010,$C98,'LAC 102_Wkst'!$G$7:$G$2010,$D98,'LAC 102_Wkst'!$L$7:$L$2010,"01",'LAC 102_Wkst'!$N$7:$N$2010,"P3")+SUMIFS('LAC 102_Wkst'!$Q$7:$Q$2010,'LAC 102_Wkst'!$E$7:$E$2010,$C98,'LAC 102_Wkst'!$G$7:$G$2010,$D98,'LAC 102_Wkst'!$L$7:$L$2010,"02",'LAC 102_Wkst'!$N$7:$N$2010,"P1")+SUMIFS('LAC 102_Wkst'!$Q$7:$Q$2010,'LAC 102_Wkst'!$E$7:$E$2010,$C98,'LAC 102_Wkst'!$G$7:$G$2010,$D98,'LAC 102_Wkst'!$L$7:$L$2010,"02",'LAC 102_Wkst'!$N$7:$N$2010,"P2")+SUMIFS('LAC 102_Wkst'!$Q$7:$Q$2010,'LAC 102_Wkst'!$E$7:$E$2010,$C98,'LAC 102_Wkst'!$G$7:$G$2010,$D98,'LAC 102_Wkst'!$L$7:$L$2010,"02",'LAC 102_Wkst'!$N$7:$N$2010,"P3")</f>
        <v>0</v>
      </c>
      <c r="G98" s="409">
        <f>SUMIFS('LAC 102_Wkst'!$AE$7:$AE$2010,'LAC 102_Wkst'!$E$7:$E$2010,$C98,'LAC 102_Wkst'!$G$7:$G$2010,$D98,'LAC 102_Wkst'!$L$7:$L$2010,"01",'LAC 102_Wkst'!$N$7:$N$2010,"P1")+SUMIFS('LAC 102_Wkst'!$AE$7:$AE$2010,'LAC 102_Wkst'!$E$7:$E$2010,$C98,'LAC 102_Wkst'!$G$7:$G$2010,$D98,'LAC 102_Wkst'!$L$7:$L$2010,"01",'LAC 102_Wkst'!$N$7:$N$2010,"P2")+SUMIFS('LAC 102_Wkst'!$AE$7:$AE$2010,'LAC 102_Wkst'!$E$7:$E$2010,$C98,'LAC 102_Wkst'!$G$7:$G$2010,$D98,'LAC 102_Wkst'!$L$7:$L$2010,"01",'LAC 102_Wkst'!$N$7:$N$2010,"P3")+SUMIFS('LAC 102_Wkst'!$AE$7:$AE$2010,'LAC 102_Wkst'!$E$7:$E$2010,$C98,'LAC 102_Wkst'!$G$7:$G$2010,$D98,'LAC 102_Wkst'!$L$7:$L$2010,"02",'LAC 102_Wkst'!$N$7:$N$2010,"P1")+SUMIFS('LAC 102_Wkst'!$AE$7:$AE$2010,'LAC 102_Wkst'!$E$7:$E$2010,$C98,'LAC 102_Wkst'!$G$7:$G$2010,$D98,'LAC 102_Wkst'!$L$7:$L$2010,"02",'LAC 102_Wkst'!$N$7:$N$2010,"P2")+SUMIFS('LAC 102_Wkst'!$AE$7:$AE$2010,'LAC 102_Wkst'!$E$7:$E$2010,$C98,'LAC 102_Wkst'!$G$7:$G$2010,$D98,'LAC 102_Wkst'!$L$7:$L$2010,"02",'LAC 102_Wkst'!$N$7:$N$2010,"P3")</f>
        <v>0</v>
      </c>
      <c r="H98" s="410">
        <f>SUMIFS('LAC 102_Wkst'!$Q$7:$Q$2010,'LAC 102_Wkst'!$E$7:$E$2010,$C98,'LAC 102_Wkst'!$G$7:$G$2010,$D98,'LAC 102_Wkst'!$L$7:$L$2010,"01",'LAC 102_Wkst'!$N$7:$N$2010,"P4")+SUMIFS('LAC 102_Wkst'!$Q$7:$Q$2010,'LAC 102_Wkst'!$E$7:$E$2010,$C98,'LAC 102_Wkst'!$G$7:$G$2010,$D98,'LAC 102_Wkst'!$L$7:$L$2010,"02",'LAC 102_Wkst'!$N$7:$N$2010,"P4")</f>
        <v>0</v>
      </c>
      <c r="I98" s="411">
        <f>SUMIFS('LAC 102_Wkst'!$AE$7:$AE$2010,'LAC 102_Wkst'!$E$7:$E$2010,$C98,'LAC 102_Wkst'!$G$7:$G$2010,$D98,'LAC 102_Wkst'!$L$7:$L$2010,"01",'LAC 102_Wkst'!$N$7:$N$2010,"P4")+SUMIFS('LAC 102_Wkst'!$AE$7:$AE$2010,'LAC 102_Wkst'!$E$7:$E$2010,$C98,'LAC 102_Wkst'!$G$7:$G$2010,$D98,'LAC 102_Wkst'!$L$7:$L$2010,"02",'LAC 102_Wkst'!$N$7:$N$2010,"P4")</f>
        <v>0</v>
      </c>
      <c r="J98" s="410">
        <f>SUMIFS('LAC 102_Wkst'!$Q$7:$Q$2010,'LAC 102_Wkst'!$E$7:$E$2010,$C98,'LAC 102_Wkst'!$G$7:$G$2010,$D98,'LAC 102_Wkst'!$L$7:$L$2010,"01",'LAC 102_Wkst'!$N$7:$N$2010,"P5")+SUMIFS('LAC 102_Wkst'!$Q$7:$Q$2010,'LAC 102_Wkst'!$E$7:$E$2010,$C98,'LAC 102_Wkst'!$G$7:$G$2010,$D98,'LAC 102_Wkst'!$L$7:$L$2010,"02",'LAC 102_Wkst'!$N$7:$N$2010,"P5")</f>
        <v>0</v>
      </c>
      <c r="K98" s="411">
        <f>SUMIFS('LAC 102_Wkst'!$AE$7:$AE$2010,'LAC 102_Wkst'!$E$7:$E$2010,$C98,'LAC 102_Wkst'!$G$7:$G$2010,$D98,'LAC 102_Wkst'!$L$7:$L$2010,"01",'LAC 102_Wkst'!$N$7:$N$2010,"P5")+SUMIFS('LAC 102_Wkst'!$AE$7:$AE$2010,'LAC 102_Wkst'!$E$7:$E$2010,$C98,'LAC 102_Wkst'!$G$7:$G$2010,$D98,'LAC 102_Wkst'!$L$7:$L$2010,"02",'LAC 102_Wkst'!$N$7:$N$2010,"P5")</f>
        <v>0</v>
      </c>
      <c r="L98" s="410">
        <f>SUMIFS('LAC 102_Wkst'!$Q$7:$Q$2010,'LAC 102_Wkst'!$E$7:$E$2010,$C98,'LAC 102_Wkst'!$G$7:$G$2010,$D98,'LAC 102_Wkst'!$L$7:$L$2010,"03",'LAC 102_Wkst'!$N$7:$N$2010,"P1")+SUMIFS('LAC 102_Wkst'!$Q$7:$Q$2010,'LAC 102_Wkst'!$E$7:$E$2010,$C98,'LAC 102_Wkst'!$G$7:$G$2010,$D98,'LAC 102_Wkst'!$L$7:$L$2010,"03",'LAC 102_Wkst'!$N$7:$N$2010,"P2")+SUMIFS('LAC 102_Wkst'!$Q$7:$Q$2010,'LAC 102_Wkst'!$E$7:$E$2010,$C98,'LAC 102_Wkst'!$G$7:$G$2010,$D98,'LAC 102_Wkst'!$L$7:$L$2010,"03",'LAC 102_Wkst'!$N$7:$N$2010,"P3")+SUMIFS('LAC 102_Wkst'!$Q$7:$Q$2010,'LAC 102_Wkst'!$E$7:$E$2010,$C98,'LAC 102_Wkst'!$G$7:$G$2010,$D98,'LAC 102_Wkst'!$L$7:$L$2010,"04",'LAC 102_Wkst'!$N$7:$N$2010,"P1")+SUMIFS('LAC 102_Wkst'!$Q$7:$Q$2010,'LAC 102_Wkst'!$E$7:$E$2010,$C98,'LAC 102_Wkst'!$G$7:$G$2010,$D98,'LAC 102_Wkst'!$L$7:$L$2010,"04",'LAC 102_Wkst'!$N$7:$N$2010,"P2")+SUMIFS('LAC 102_Wkst'!$Q$7:$Q$2010,'LAC 102_Wkst'!$E$7:$E$2010,$C98,'LAC 102_Wkst'!$G$7:$G$2010,$D98,'LAC 102_Wkst'!$L$7:$L$2010,"04",'LAC 102_Wkst'!$N$7:$N$2010,"P3")</f>
        <v>0</v>
      </c>
      <c r="M98" s="411">
        <f>SUMIFS('LAC 102_Wkst'!$AE$7:$AE$2010,'LAC 102_Wkst'!$E$7:$E$2010,$C98,'LAC 102_Wkst'!$G$7:$G$2010,$D98,'LAC 102_Wkst'!$L$7:$L$2010,"03",'LAC 102_Wkst'!$N$7:$N$2010,"P1")+SUMIFS('LAC 102_Wkst'!$AE$7:$AE$2010,'LAC 102_Wkst'!$E$7:$E$2010,$C98,'LAC 102_Wkst'!$G$7:$G$2010,$D98,'LAC 102_Wkst'!$L$7:$L$2010,"03",'LAC 102_Wkst'!$N$7:$N$2010,"P2")+SUMIFS('LAC 102_Wkst'!$AE$7:$AE$2010,'LAC 102_Wkst'!$E$7:$E$2010,$C98,'LAC 102_Wkst'!$G$7:$G$2010,$D98,'LAC 102_Wkst'!$L$7:$L$2010,"03",'LAC 102_Wkst'!$N$7:$N$2010,"P3")+SUMIFS('LAC 102_Wkst'!$AE$7:$AE$2010,'LAC 102_Wkst'!$E$7:$E$2010,$C98,'LAC 102_Wkst'!$G$7:$G$2010,$D98,'LAC 102_Wkst'!$L$7:$L$2010,"04",'LAC 102_Wkst'!$N$7:$N$2010,"P1")+SUMIFS('LAC 102_Wkst'!$AE$7:$AE$2010,'LAC 102_Wkst'!$E$7:$E$2010,$C98,'LAC 102_Wkst'!$G$7:$G$2010,$D98,'LAC 102_Wkst'!$L$7:$L$2010,"04",'LAC 102_Wkst'!$N$7:$N$2010,"P2")+SUMIFS('LAC 102_Wkst'!$AE$7:$AE$2010,'LAC 102_Wkst'!$E$7:$E$2010,$C98,'LAC 102_Wkst'!$G$7:$G$2010,$D98,'LAC 102_Wkst'!$L$7:$L$2010,"04",'LAC 102_Wkst'!$N$7:$N$2010,"P3")</f>
        <v>0</v>
      </c>
      <c r="N98" s="410">
        <f>SUMIFS('LAC 102_Wkst'!$Q$7:$Q$2010,'LAC 102_Wkst'!$E$7:$E$2010,$C98,'LAC 102_Wkst'!$G$7:$G$2010,$D98,'LAC 102_Wkst'!$L$7:$L$2010,"03",'LAC 102_Wkst'!$N$7:$N$2010,"P4")+SUMIFS('LAC 102_Wkst'!$Q$7:$Q$2010,'LAC 102_Wkst'!$E$7:$E$2010,$C98,'LAC 102_Wkst'!$G$7:$G$2010,$D98,'LAC 102_Wkst'!$L$7:$L$2010,"04",'LAC 102_Wkst'!$N$7:$N$2010,"P4")</f>
        <v>0</v>
      </c>
      <c r="O98" s="411">
        <f>SUMIFS('LAC 102_Wkst'!$AE$7:$AE$2010,'LAC 102_Wkst'!$E$7:$E$2010,$C98,'LAC 102_Wkst'!$G$7:$G$2010,$D98,'LAC 102_Wkst'!$L$7:$L$2010,"03",'LAC 102_Wkst'!$N$7:$N$2010,"P4")+SUMIFS('LAC 102_Wkst'!$AE$7:$AE$2010,'LAC 102_Wkst'!$E$7:$E$2010,$C98,'LAC 102_Wkst'!$G$7:$G$2010,$D98,'LAC 102_Wkst'!$L$7:$L$2010,"04",'LAC 102_Wkst'!$N$7:$N$2010,"P4")</f>
        <v>0</v>
      </c>
      <c r="P98" s="410">
        <f>SUMIFS('LAC 102_Wkst'!$Q$7:$Q$2010,'LAC 102_Wkst'!$E$7:$E$2010,$C98,'LAC 102_Wkst'!$G$7:$G$2010,$D98,'LAC 102_Wkst'!$L$7:$L$2010,"03",'LAC 102_Wkst'!$N$7:$N$2010,"P5")+SUMIFS('LAC 102_Wkst'!$Q$7:$Q$2010,'LAC 102_Wkst'!$E$7:$E$2010,$C98,'LAC 102_Wkst'!$G$7:$G$2010,$D98,'LAC 102_Wkst'!$L$7:$L$2010,"04",'LAC 102_Wkst'!$N$7:$N$2010,"P5")</f>
        <v>0</v>
      </c>
      <c r="Q98" s="411">
        <f>SUMIFS('LAC 102_Wkst'!$AE$7:$AE$2010,'LAC 102_Wkst'!$E$7:$E$2010,$C98,'LAC 102_Wkst'!$G$7:$G$2010,$D98,'LAC 102_Wkst'!$L$7:$L$2010,"03",'LAC 102_Wkst'!$N$7:$N$2010,"P5")+SUMIFS('LAC 102_Wkst'!$AE$7:$AE$2010,'LAC 102_Wkst'!$E$7:$E$2010,$C98,'LAC 102_Wkst'!$G$7:$G$2010,$D98,'LAC 102_Wkst'!$L$7:$L$2010,"04",'LAC 102_Wkst'!$N$7:$N$2010,"P5")</f>
        <v>0</v>
      </c>
      <c r="R98" s="412">
        <f>SUMIFS('LAC 102_Wkst'!$Q$7:$Q$2010,'LAC 102_Wkst'!$E$7:$E$2010,$C98,'LAC 102_Wkst'!$G$7:$G$2010,$D98,'LAC 102_Wkst'!$L$7:$L$2010,"05",'LAC 102_Wkst'!$N$7:$N$2010,"P1")+SUMIFS('LAC 102_Wkst'!$Q$7:$Q$2010,'LAC 102_Wkst'!$E$7:$E$2010,$C98,'LAC 102_Wkst'!$G$7:$G$2010,$D98,'LAC 102_Wkst'!$L$7:$L$2010,"06",'LAC 102_Wkst'!$N$7:$N$2010,"P1")</f>
        <v>0</v>
      </c>
      <c r="S98" s="411">
        <f>SUMIFS('LAC 102_Wkst'!$AE$7:$AE$2010,'LAC 102_Wkst'!$E$7:$E$2010,$C98,'LAC 102_Wkst'!$G$7:$G$2010,$D98,'LAC 102_Wkst'!$L$7:$L$2010,"05",'LAC 102_Wkst'!$N$7:$N$2010,"P1")+SUMIFS('LAC 102_Wkst'!$AE$7:$AE$2010,'LAC 102_Wkst'!$E$7:$E$2010,$C98,'LAC 102_Wkst'!$G$7:$G$2010,$D98,'LAC 102_Wkst'!$L$7:$L$2010,"06",'LAC 102_Wkst'!$N$7:$N$2010,"P1")</f>
        <v>0</v>
      </c>
      <c r="T98" s="410">
        <f>SUMIFS('LAC 102_Wkst'!$Q$7:$Q$2010,'LAC 102_Wkst'!$E$7:$E$2010,$C98,'LAC 102_Wkst'!$G$7:$G$2010,$D98,'LAC 102_Wkst'!$L$7:$L$2010,"05",'LAC 102_Wkst'!$N$7:$N$2010,"P2")+SUMIFS('LAC 102_Wkst'!$Q$7:$Q$2010,'LAC 102_Wkst'!$E$7:$E$2010,$C98,'LAC 102_Wkst'!$G$7:$G$2010,$D98,'LAC 102_Wkst'!$L$7:$L$2010,"05",'LAC 102_Wkst'!$N$7:$N$2010,"P3")+SUMIFS('LAC 102_Wkst'!$Q$7:$Q$2010,'LAC 102_Wkst'!$E$7:$E$2010,$C98,'LAC 102_Wkst'!$G$7:$G$2010,$D98,'LAC 102_Wkst'!$L$7:$L$2010,"06",'LAC 102_Wkst'!$N$7:$N$2010,"P2")+SUMIFS('LAC 102_Wkst'!$Q$7:$Q$2010,'LAC 102_Wkst'!$E$7:$E$2010,$C98,'LAC 102_Wkst'!$G$7:$G$2010,$D98,'LAC 102_Wkst'!$L$7:$L$2010,"06",'LAC 102_Wkst'!$N$7:$N$2010,"P3")</f>
        <v>0</v>
      </c>
      <c r="U98" s="411">
        <f>SUMIFS('LAC 102_Wkst'!$AE$7:$AE$2010,'LAC 102_Wkst'!$E$7:$E$2010,$C98,'LAC 102_Wkst'!$G$7:$G$2010,$D98,'LAC 102_Wkst'!$L$7:$L$2010,"05",'LAC 102_Wkst'!$N$7:$N$2010,"P2")+SUMIFS('LAC 102_Wkst'!$AE$7:$AE$2010,'LAC 102_Wkst'!$E$7:$E$2010,$C98,'LAC 102_Wkst'!$G$7:$G$2010,$D98,'LAC 102_Wkst'!$L$7:$L$2010,"06",'LAC 102_Wkst'!$N$7:$N$2010,"P3")+SUMIFS('LAC 102_Wkst'!$AE$7:$AE$2010,'LAC 102_Wkst'!$E$7:$E$2010,$C98,'LAC 102_Wkst'!$G$7:$G$2010,$D98,'LAC 102_Wkst'!$L$7:$L$2010,"05",'LAC 102_Wkst'!$N$7:$N$2010,"P2")+SUMIFS('LAC 102_Wkst'!$AE$7:$AE$2010,'LAC 102_Wkst'!$E$7:$E$2010,$C98,'LAC 102_Wkst'!$G$7:$G$2010,$D98,'LAC 102_Wkst'!$L$7:$L$2010,"06",'LAC 102_Wkst'!$N$7:$N$2010,"P3")</f>
        <v>0</v>
      </c>
      <c r="V98" s="410">
        <f>SUMIFS('LAC 102_Wkst'!$Q$7:$Q$2010,'LAC 102_Wkst'!$E$7:$E$2010,$C98,'LAC 102_Wkst'!$G$7:$G$2010,$D98,'LAC 102_Wkst'!$L$7:$L$2010,"05",'LAC 102_Wkst'!$N$7:$N$2010,"P4")+SUMIFS('LAC 102_Wkst'!$Q$7:$Q$2010,'LAC 102_Wkst'!$E$7:$E$2010,$C98,'LAC 102_Wkst'!$G$7:$G$2010,$D98,'LAC 102_Wkst'!$L$7:$L$2010,"06",'LAC 102_Wkst'!$N$7:$N$2010,"P4")</f>
        <v>0</v>
      </c>
      <c r="W98" s="411">
        <f>SUMIFS('LAC 102_Wkst'!$AE$7:$AE$2010,'LAC 102_Wkst'!$E$7:$E$2010,$C98,'LAC 102_Wkst'!$G$7:$G$2010,$D98,'LAC 102_Wkst'!$L$7:$L$2010,"05",'LAC 102_Wkst'!$N$7:$N$2010,"P4")+SUMIFS('LAC 102_Wkst'!$AE$7:$AE$2010,'LAC 102_Wkst'!$E$7:$E$2010,$C98,'LAC 102_Wkst'!$G$7:$G$2010,$D98,'LAC 102_Wkst'!$L$7:$L$2010,"06",'LAC 102_Wkst'!$N$7:$N$2010,"P4")</f>
        <v>0</v>
      </c>
      <c r="X98" s="410">
        <f>SUMIFS('LAC 102_Wkst'!$Q$7:$Q$2010,'LAC 102_Wkst'!$E$7:$E$2010,$C98,'LAC 102_Wkst'!$G$7:$G$2010,$D98,'LAC 102_Wkst'!$L$7:$L$2010,"05",'LAC 102_Wkst'!$N$7:$N$2010,"P5")+SUMIFS('LAC 102_Wkst'!$Q$7:$Q$2010,'LAC 102_Wkst'!$E$7:$E$2010,$C98,'LAC 102_Wkst'!$G$7:$G$2010,$D98,'LAC 102_Wkst'!$L$7:$L$2010,"06",'LAC 102_Wkst'!$N$7:$N$2010,"P5")</f>
        <v>0</v>
      </c>
      <c r="Y98" s="411">
        <f>SUMIFS('LAC 102_Wkst'!$AE$7:$AE$2010,'LAC 102_Wkst'!$E$7:$E$2010,$C98,'LAC 102_Wkst'!$G$7:$G$2010,$D98,'LAC 102_Wkst'!$L$7:$L$2010,"05",'LAC 102_Wkst'!$N$7:$N$2010,"P5")+SUMIFS('LAC 102_Wkst'!$AE$7:$AE$2010,'LAC 102_Wkst'!$E$7:$E$2010,$C98,'LAC 102_Wkst'!$G$7:$G$2010,$D98,'LAC 102_Wkst'!$L$7:$L$2010,"06",'LAC 102_Wkst'!$N$7:$N$2010,"P5")</f>
        <v>0</v>
      </c>
      <c r="Z98" s="410">
        <f>SUMIFS('LAC 102_Wkst'!$Q$7:$Q$2010,'LAC 102_Wkst'!$E$7:$E$2010,$C98,'LAC 102_Wkst'!$G$7:$G$2010,$D98,'LAC 102_Wkst'!$L$7:$L$2010,"07",'LAC 102_Wkst'!$N$7:$N$2010,"P1")+SUMIFS('LAC 102_Wkst'!$Q$7:$Q$2010,'LAC 102_Wkst'!$E$7:$E$2010,$C98,'LAC 102_Wkst'!$G$7:$G$2010,$D98,'LAC 102_Wkst'!$L$7:$L$2010,"07",'LAC 102_Wkst'!$N$7:$N$2010,"P2")+SUMIFS('LAC 102_Wkst'!$Q$7:$Q$2010,'LAC 102_Wkst'!$E$7:$E$2010,$C98,'LAC 102_Wkst'!$G$7:$G$2010,$D98,'LAC 102_Wkst'!$L$7:$L$2010,"07",'LAC 102_Wkst'!$N$7:$N$2010,"P3")</f>
        <v>0</v>
      </c>
      <c r="AA98" s="411">
        <f>SUMIFS('LAC 102_Wkst'!$AE$7:$AE$2010,'LAC 102_Wkst'!$E$7:$E$2010,$C98,'LAC 102_Wkst'!$G$7:$G$2010,$D98,'LAC 102_Wkst'!$L$7:$L$2010,"07",'LAC 102_Wkst'!$N$7:$N$2010,"P1")+SUMIFS('LAC 102_Wkst'!$AE$7:$AE$2010,'LAC 102_Wkst'!$E$7:$E$2010,$C98,'LAC 102_Wkst'!$G$7:$G$2010,$D98,'LAC 102_Wkst'!$L$7:$L$2010,"07",'LAC 102_Wkst'!$N$7:$N$2010,"P2")+SUMIFS('LAC 102_Wkst'!$AE$7:$AE$2010,'LAC 102_Wkst'!$E$7:$E$2010,$C98,'LAC 102_Wkst'!$G$7:$G$2010,$D98,'LAC 102_Wkst'!$L$7:$L$2010,"07",'LAC 102_Wkst'!$N$7:$N$2010,"P3")</f>
        <v>0</v>
      </c>
      <c r="AB98" s="410">
        <f>SUMIFS('LAC 102_Wkst'!$Q$7:$Q$2010,'LAC 102_Wkst'!$E$7:$E$2010,$C98,'LAC 102_Wkst'!$G$7:$G$2010,$D98,'LAC 102_Wkst'!$L$7:$L$2010,"07",'LAC 102_Wkst'!$N$7:$N$2010,"P4")</f>
        <v>0</v>
      </c>
      <c r="AC98" s="411">
        <f>SUMIFS('LAC 102_Wkst'!$AE$7:$AE$2010,'LAC 102_Wkst'!$E$7:$E$2010,$C98,'LAC 102_Wkst'!$G$7:$G$2010,$D98,'LAC 102_Wkst'!$L$7:$L$2010,"07",'LAC 102_Wkst'!$N$7:$N$2010,"P4")</f>
        <v>0</v>
      </c>
      <c r="AD98" s="410">
        <f>SUMIFS('LAC 102_Wkst'!$Q$7:$Q$2010,'LAC 102_Wkst'!$E$7:$E$2010,$C98,'LAC 102_Wkst'!$G$7:$G$2010,$D98,'LAC 102_Wkst'!$L$7:$L$2010,"07",'LAC 102_Wkst'!$N$7:$N$2010,"P5")</f>
        <v>0</v>
      </c>
      <c r="AE98" s="411">
        <f>SUMIFS('LAC 102_Wkst'!$AE$7:$AE$2010,'LAC 102_Wkst'!$E$7:$E$2010,$C98,'LAC 102_Wkst'!$G$7:$G$2010,$D98,'LAC 102_Wkst'!$L$7:$L$2010,"07",'LAC 102_Wkst'!$N$7:$N$2010,"P5")</f>
        <v>0</v>
      </c>
      <c r="AF98" s="410">
        <f>SUMIFS('LAC 102_Wkst'!$Q$7:$Q$2010,'LAC 102_Wkst'!$E$7:$E$2010,$C98,'LAC 102_Wkst'!$G$7:$G$2010,$D98,'LAC 102_Wkst'!$L$7:$L$2010,"08",'LAC 102_Wkst'!$N$7:$N$2010,"P1")+SUMIFS('LAC 102_Wkst'!$Q$7:$Q$2010,'LAC 102_Wkst'!$E$7:$E$2010,$C98,'LAC 102_Wkst'!$G$7:$G$2010,$D98,'LAC 102_Wkst'!$L$7:$L$2010,"08",'LAC 102_Wkst'!$N$7:$N$2010,"P2")+SUMIFS('LAC 102_Wkst'!$Q$7:$Q$2010,'LAC 102_Wkst'!$E$7:$E$2010,$C98,'LAC 102_Wkst'!$G$7:$G$2010,$D98,'LAC 102_Wkst'!$L$7:$L$2010,"08",'LAC 102_Wkst'!$N$7:$N$2010,"P3")</f>
        <v>0</v>
      </c>
      <c r="AG98" s="411">
        <f>SUMIFS('LAC 102_Wkst'!$AE$7:$AE$2010,'LAC 102_Wkst'!$E$7:$E$2010,$C98,'LAC 102_Wkst'!$G$7:$G$2010,$D98,'LAC 102_Wkst'!$L$7:$L$2010,"08",'LAC 102_Wkst'!$N$7:$N$2010,"P1")+SUMIFS('LAC 102_Wkst'!$AE$7:$AE$2010,'LAC 102_Wkst'!$E$7:$E$2010,$C98,'LAC 102_Wkst'!$G$7:$G$2010,$D98,'LAC 102_Wkst'!$L$7:$L$2010,"08",'LAC 102_Wkst'!$N$7:$N$2010,"P2")+SUMIFS('LAC 102_Wkst'!$AE$7:$AE$2010,'LAC 102_Wkst'!$E$7:$E$2010,$C98,'LAC 102_Wkst'!$G$7:$G$2010,$D98,'LAC 102_Wkst'!$L$7:$L$2010,"08",'LAC 102_Wkst'!$N$7:$N$2010,"P3")</f>
        <v>0</v>
      </c>
      <c r="AH98" s="410">
        <f>SUMIFS('LAC 102_Wkst'!$Q$7:$Q$2010,'LAC 102_Wkst'!$E$7:$E$2010,$C98,'LAC 102_Wkst'!$G$7:$G$2010,$D98,'LAC 102_Wkst'!$L$7:$L$2010,"08",'LAC 102_Wkst'!$N$7:$N$2010,"P4")</f>
        <v>0</v>
      </c>
      <c r="AI98" s="411">
        <f>SUMIFS('LAC 102_Wkst'!$AE$7:$AE$2010,'LAC 102_Wkst'!$E$7:$E$2010,$C98,'LAC 102_Wkst'!$G$7:$G$2010,$D98,'LAC 102_Wkst'!$L$7:$L$2010,"08",'LAC 102_Wkst'!$N$7:$N$2010,"P4")</f>
        <v>0</v>
      </c>
      <c r="AJ98" s="410">
        <f>SUMIFS('LAC 102_Wkst'!$Q$7:$Q$2010,'LAC 102_Wkst'!$E$7:$E$2010,$C98,'LAC 102_Wkst'!$G$7:$G$2010,$D98,'LAC 102_Wkst'!$L$7:$L$2010,"08",'LAC 102_Wkst'!$N$7:$N$2010,"P5")</f>
        <v>0</v>
      </c>
      <c r="AK98" s="411">
        <f>SUMIFS('LAC 102_Wkst'!$AE$7:$AE$2010,'LAC 102_Wkst'!$E$7:$E$2010,$C98,'LAC 102_Wkst'!$G$7:$G$2010,$D98,'LAC 102_Wkst'!$L$7:$L$2010,"08",'LAC 102_Wkst'!$N$7:$N$2010,"P5")</f>
        <v>0</v>
      </c>
      <c r="AL98" s="410">
        <f>SUMIFS('LAC 102_Wkst'!$Q$7:$Q$2010,'LAC 102_Wkst'!$E$7:$E$2010,$C98,'LAC 102_Wkst'!$G$7:$G$2010,$D98,'LAC 102_Wkst'!$L$7:$L$2010,"09",'LAC 102_Wkst'!$N$7:$N$2010,"P1")+SUMIFS('LAC 102_Wkst'!$Q$7:$Q$2010,'LAC 102_Wkst'!$E$7:$E$2010,$C98,'LAC 102_Wkst'!$G$7:$G$2010,$D98,'LAC 102_Wkst'!$L$7:$L$2010,"09",'LAC 102_Wkst'!$N$7:$N$2010,"P2")+SUMIFS('LAC 102_Wkst'!$Q$7:$Q$2010,'LAC 102_Wkst'!$E$7:$E$2010,$C98,'LAC 102_Wkst'!$G$7:$G$2010,$D98,'LAC 102_Wkst'!$L$7:$L$2010,"09",'LAC 102_Wkst'!$N$7:$N$2010,"P3")+SUMIFS('LAC 102_Wkst'!$Q$7:$Q$2010,'LAC 102_Wkst'!$E$7:$E$2010,$C98,'LAC 102_Wkst'!$G$7:$G$2010,$D98,'LAC 102_Wkst'!$L$7:$L$2010,"09",'LAC 102_Wkst'!$N$7:$N$2010,"P4")</f>
        <v>0</v>
      </c>
      <c r="AM98" s="411">
        <f>SUMIFS('LAC 102_Wkst'!$AE$7:$AE$2010,'LAC 102_Wkst'!$E$7:$E$2010,$C98,'LAC 102_Wkst'!$G$7:$G$2010,$D98,'LAC 102_Wkst'!$L$7:$L$2010,"09",'LAC 102_Wkst'!$N$7:$N$2010,"P1")+SUMIFS('LAC 102_Wkst'!$AE$7:$AE$2010,'LAC 102_Wkst'!$E$7:$E$2010,$C98,'LAC 102_Wkst'!$G$7:$G$2010,$D98,'LAC 102_Wkst'!$L$7:$L$2010,"09",'LAC 102_Wkst'!$N$7:$N$2010,"P2")+SUMIFS('LAC 102_Wkst'!$AE$7:$AE$2010,'LAC 102_Wkst'!$E$7:$E$2010,$C98,'LAC 102_Wkst'!$G$7:$G$2010,$D98,'LAC 102_Wkst'!$L$7:$L$2010,"09",'LAC 102_Wkst'!$N$7:$N$2010,"P3")+SUMIFS('LAC 102_Wkst'!$AE$7:$AE$2010,'LAC 102_Wkst'!$E$7:$E$2010,$C98,'LAC 102_Wkst'!$G$7:$G$2010,$D98,'LAC 102_Wkst'!$L$7:$L$2010,"09",'LAC 102_Wkst'!$N$7:$N$2010,"P4")</f>
        <v>0</v>
      </c>
      <c r="AN98" s="410">
        <f>SUMIFS('LAC 102_Wkst'!$Q$7:$Q$2010,'LAC 102_Wkst'!$E$7:$E$2010,$C98,'LAC 102_Wkst'!$G$7:$G$2010,$D98,'LAC 102_Wkst'!$L$7:$L$2010,"09",'LAC 102_Wkst'!$N$7:$N$2010,"P5")</f>
        <v>0</v>
      </c>
      <c r="AO98" s="411">
        <f>SUMIFS('LAC 102_Wkst'!$AE$7:$AE$2010,'LAC 102_Wkst'!$E$7:$E$2010,$C98,'LAC 102_Wkst'!$G$7:$G$2010,$D98,'LAC 102_Wkst'!$L$7:$L$2010,"09",'LAC 102_Wkst'!$N$7:$N$2010,"P5")</f>
        <v>0</v>
      </c>
      <c r="AP98" s="410">
        <f>SUMIFS('LAC 102_Wkst'!$Q$7:$Q$2010,'LAC 102_Wkst'!$E$7:$E$2010,$C98,'LAC 102_Wkst'!$G$7:$G$2010,$D98,'LAC 102_Wkst'!$L$7:$L$2010,"10",'LAC 102_Wkst'!$N$7:$N$2010,"P1")+SUMIFS('LAC 102_Wkst'!$Q$7:$Q$2010,'LAC 102_Wkst'!$E$7:$E$2010,$C98,'LAC 102_Wkst'!$G$7:$G$2010,$D98,'LAC 102_Wkst'!$L$7:$L$2010,"10",'LAC 102_Wkst'!$N$7:$N$2010,"P2")+SUMIFS('LAC 102_Wkst'!$Q$7:$Q$2010,'LAC 102_Wkst'!$E$7:$E$2010,$C98,'LAC 102_Wkst'!$G$7:$G$2010,$D98,'LAC 102_Wkst'!$L$7:$L$2010,"10",'LAC 102_Wkst'!$N$7:$N$2010,"P3")+SUMIFS('LAC 102_Wkst'!$Q$7:$Q$2010,'LAC 102_Wkst'!$E$7:$E$2010,$C98,'LAC 102_Wkst'!$G$7:$G$2010,$D98,'LAC 102_Wkst'!$L$7:$L$2010,"10",'LAC 102_Wkst'!$N$7:$N$2010,"P4")</f>
        <v>0</v>
      </c>
      <c r="AQ98" s="411">
        <f>SUMIFS('LAC 102_Wkst'!$AE$7:$AE$2010,'LAC 102_Wkst'!$E$7:$E$2010,$C98,'LAC 102_Wkst'!$G$7:$G$2010,$D98,'LAC 102_Wkst'!$L$7:$L$2010,"10",'LAC 102_Wkst'!$N$7:$N$2010,"P1")+SUMIFS('LAC 102_Wkst'!$AE$7:$AE$2010,'LAC 102_Wkst'!$E$7:$E$2010,$C98,'LAC 102_Wkst'!$G$7:$G$2010,$D98,'LAC 102_Wkst'!$L$7:$L$2010,"10",'LAC 102_Wkst'!$N$7:$N$2010,"P2")+SUMIFS('LAC 102_Wkst'!$AE$7:$AE$2010,'LAC 102_Wkst'!$E$7:$E$2010,$C98,'LAC 102_Wkst'!$G$7:$G$2010,$D98,'LAC 102_Wkst'!$L$7:$L$2010,"10",'LAC 102_Wkst'!$N$7:$N$2010,"P3")+SUMIFS('LAC 102_Wkst'!$AE$7:$AE$2010,'LAC 102_Wkst'!$E$7:$E$2010,$C98,'LAC 102_Wkst'!$G$7:$G$2010,$D98,'LAC 102_Wkst'!$L$7:$L$2010,"10",'LAC 102_Wkst'!$N$7:$N$2010,"P4")</f>
        <v>0</v>
      </c>
      <c r="AR98" s="410">
        <f>SUMIFS('LAC 102_Wkst'!$Q$7:$Q$2010,'LAC 102_Wkst'!$E$7:$E$2010,$C98,'LAC 102_Wkst'!$G$7:$G$2010,$D98,'LAC 102_Wkst'!$L$7:$L$2010,"10",'LAC 102_Wkst'!$N$7:$N$2010,"P5")</f>
        <v>0</v>
      </c>
      <c r="AS98" s="411">
        <f>SUMIFS('LAC 102_Wkst'!$AE$7:$AE$2010,'LAC 102_Wkst'!$E$7:$E$2010,$C98,'LAC 102_Wkst'!$G$7:$G$2010,$D98,'LAC 102_Wkst'!$L$7:$L$2010,"10",'LAC 102_Wkst'!$N$7:$N$2010,"P5")</f>
        <v>0</v>
      </c>
      <c r="AT98" s="410">
        <f>SUMIFS('LAC 102_Wkst'!$Q$7:$Q$2010,'LAC 102_Wkst'!$E$7:$E$2010,$C98,'LAC 102_Wkst'!$G$7:$G$2010,$D98,'LAC 102_Wkst'!$L$7:$L$2010,"11",'LAC 102_Wkst'!$N$7:$N$2010,"P1")+SUMIFS('LAC 102_Wkst'!$Q$7:$Q$2010,'LAC 102_Wkst'!$E$7:$E$2010,$C98,'LAC 102_Wkst'!$G$7:$G$2010,$D98,'LAC 102_Wkst'!$L$7:$L$2010,"12",'LAC 102_Wkst'!$N$7:$N$2010,"P1")</f>
        <v>0</v>
      </c>
      <c r="AU98" s="411">
        <f>SUMIFS('LAC 102_Wkst'!$AE$7:$AE$2010,'LAC 102_Wkst'!$E$7:$E$2010,$C98,'LAC 102_Wkst'!$G$7:$G$2010,$D98,'LAC 102_Wkst'!$L$7:$L$2010,"11",'LAC 102_Wkst'!$N$7:$N$2010,"P1")+SUMIFS('LAC 102_Wkst'!$AE$7:$AE$2010,'LAC 102_Wkst'!$E$7:$E$2010,$C98,'LAC 102_Wkst'!$G$7:$G$2010,$D98,'LAC 102_Wkst'!$L$7:$L$2010,"12",'LAC 102_Wkst'!$N$7:$N$2010,"P1")</f>
        <v>0</v>
      </c>
      <c r="AV98" s="410">
        <f>SUMIFS('LAC 102_Wkst'!$Q$7:$Q$2010,'LAC 102_Wkst'!$E$7:$E$2010,$C98,'LAC 102_Wkst'!$G$7:$G$2010,$D98,'LAC 102_Wkst'!$L$7:$L$2010,"11",'LAC 102_Wkst'!$N$7:$N$2010,"P2")+SUMIFS('LAC 102_Wkst'!$Q$7:$Q$2010,'LAC 102_Wkst'!$E$7:$E$2010,$C98,'LAC 102_Wkst'!$G$7:$G$2010,$D98,'LAC 102_Wkst'!$L$7:$L$2010,"12",'LAC 102_Wkst'!$N$7:$N$2010,"P3")+SUMIFS('LAC 102_Wkst'!$Q$7:$Q$2010,'LAC 102_Wkst'!$E$7:$E$2010,$C98,'LAC 102_Wkst'!$G$7:$G$2010,$D98,'LAC 102_Wkst'!$L$7:$L$2010,"11",'LAC 102_Wkst'!$N$7:$N$2010,"P2")+SUMIFS('LAC 102_Wkst'!$Q$7:$Q$2010,'LAC 102_Wkst'!$E$7:$E$2010,$C98,'LAC 102_Wkst'!$G$7:$G$2010,$D98,'LAC 102_Wkst'!$L$7:$L$2010,"12",'LAC 102_Wkst'!$N$7:$N$2010,"P3")</f>
        <v>0</v>
      </c>
      <c r="AW98" s="411">
        <f>SUMIFS('LAC 102_Wkst'!$AE$7:$AE$2010,'LAC 102_Wkst'!$E$7:$E$2010,$C98,'LAC 102_Wkst'!$G$7:$G$2010,$D98,'LAC 102_Wkst'!$L$7:$L$2010,"11",'LAC 102_Wkst'!$N$7:$N$2010,"P2")+SUMIFS('LAC 102_Wkst'!$AE$7:$AE$2010,'LAC 102_Wkst'!$E$7:$E$2010,$C98,'LAC 102_Wkst'!$G$7:$G$2010,$D98,'LAC 102_Wkst'!$L$7:$L$2010,"12",'LAC 102_Wkst'!$N$7:$N$2010,"P3")+SUMIFS('LAC 102_Wkst'!$AE$7:$AE$2010,'LAC 102_Wkst'!$E$7:$E$2010,$C98,'LAC 102_Wkst'!$G$7:$G$2010,$D98,'LAC 102_Wkst'!$L$7:$L$2010,"11",'LAC 102_Wkst'!$N$7:$N$2010,"P2")+SUMIFS('LAC 102_Wkst'!$AE$7:$AE$2010,'LAC 102_Wkst'!$E$7:$E$2010,$C98,'LAC 102_Wkst'!$G$7:$G$2010,$D98,'LAC 102_Wkst'!$L$7:$L$2010,"12",'LAC 102_Wkst'!$N$7:$N$2010,"P3")</f>
        <v>0</v>
      </c>
      <c r="AX98" s="410">
        <f>SUMIFS('LAC 102_Wkst'!$Q$7:$Q$2010,'LAC 102_Wkst'!$E$7:$E$2010,$C98,'LAC 102_Wkst'!$G$7:$G$2010,$D98,'LAC 102_Wkst'!$L$7:$L$2010,"11",'LAC 102_Wkst'!$N$7:$N$2010,"P4")+SUMIFS('LAC 102_Wkst'!$Q$7:$Q$2010,'LAC 102_Wkst'!$E$7:$E$2010,$C98,'LAC 102_Wkst'!$G$7:$G$2010,$D98,'LAC 102_Wkst'!$L$7:$L$2010,"12",'LAC 102_Wkst'!$N$7:$N$2010,"P4")</f>
        <v>0</v>
      </c>
      <c r="AY98" s="411">
        <f>SUMIFS('LAC 102_Wkst'!$AE$7:$AE$2010,'LAC 102_Wkst'!$E$7:$E$2010,$C98,'LAC 102_Wkst'!$G$7:$G$2010,$D98,'LAC 102_Wkst'!$L$7:$L$2010,"11",'LAC 102_Wkst'!$N$7:$N$2010,"P4")+SUMIFS('LAC 102_Wkst'!$AE$7:$AE$2010,'LAC 102_Wkst'!$E$7:$E$2010,$C98,'LAC 102_Wkst'!$G$7:$G$2010,$D98,'LAC 102_Wkst'!$L$7:$L$2010,"12",'LAC 102_Wkst'!$N$7:$N$2010,"P4")</f>
        <v>0</v>
      </c>
      <c r="AZ98" s="410">
        <f>SUMIFS('LAC 102_Wkst'!$Q$7:$Q$2010,'LAC 102_Wkst'!$E$7:$E$2010,$C98,'LAC 102_Wkst'!$G$7:$G$2010,$D98,'LAC 102_Wkst'!$L$7:$L$2010,"11",'LAC 102_Wkst'!$N$7:$N$2010,"P5")+SUMIFS('LAC 102_Wkst'!$Q$7:$Q$2010,'LAC 102_Wkst'!$E$7:$E$2010,$C98,'LAC 102_Wkst'!$G$7:$G$2010,$D98,'LAC 102_Wkst'!$L$7:$L$2010,"12",'LAC 102_Wkst'!$N$7:$N$2010,"P5")</f>
        <v>0</v>
      </c>
      <c r="BA98" s="411">
        <f>SUMIFS('LAC 102_Wkst'!$AE$7:$AE$2010,'LAC 102_Wkst'!$E$7:$E$2010,$C98,'LAC 102_Wkst'!$G$7:$G$2010,$D98,'LAC 102_Wkst'!$L$7:$L$2010,"11",'LAC 102_Wkst'!$N$7:$N$2010,"P5")+SUMIFS('LAC 102_Wkst'!$AE$7:$AE$2010,'LAC 102_Wkst'!$E$7:$E$2010,$C98,'LAC 102_Wkst'!$G$7:$G$2010,$D98,'LAC 102_Wkst'!$L$7:$L$2010,"12",'LAC 102_Wkst'!$N$7:$N$2010,"P5")</f>
        <v>0</v>
      </c>
      <c r="BB98" s="410">
        <f>SUMIFS('LAC 102_Wkst'!$Q$7:$Q$2010,'LAC 102_Wkst'!$E$7:$E$2010,$C98,'LAC 102_Wkst'!$G$7:$G$2010,$D98,'LAC 102_Wkst'!$L$7:$L$2010,"13",'LAC 102_Wkst'!$N$7:$N$2010,"P1")+SUMIFS('LAC 102_Wkst'!$Q$7:$Q$2010,'LAC 102_Wkst'!$E$7:$E$2010,$C98,'LAC 102_Wkst'!$G$7:$G$2010,$D98,'LAC 102_Wkst'!$L$7:$L$2010,"13",'LAC 102_Wkst'!$N$7:$N$2010,"P2")+SUMIFS('LAC 102_Wkst'!$Q$7:$Q$2010,'LAC 102_Wkst'!$E$7:$E$2010,$C98,'LAC 102_Wkst'!$G$7:$G$2010,$D98,'LAC 102_Wkst'!$L$7:$L$2010,"13",'LAC 102_Wkst'!$N$7:$N$2010,"P3")+SUMIFS('LAC 102_Wkst'!$Q$7:$Q$2010,'LAC 102_Wkst'!$E$7:$E$2010,$C98,'LAC 102_Wkst'!$G$7:$G$2010,$D98,'LAC 102_Wkst'!$L$7:$L$2010,"13",'LAC 102_Wkst'!$N$7:$N$2010,"P4")</f>
        <v>0</v>
      </c>
      <c r="BC98" s="411">
        <f>SUMIFS('LAC 102_Wkst'!$AE$7:$AE$2010,'LAC 102_Wkst'!$E$7:$E$2010,$C98,'LAC 102_Wkst'!$G$7:$G$2010,$D98,'LAC 102_Wkst'!$L$7:$L$2010,"13",'LAC 102_Wkst'!$N$7:$N$2010,"P1")+SUMIFS('LAC 102_Wkst'!$AE$7:$AE$2010,'LAC 102_Wkst'!$E$7:$E$2010,$C98,'LAC 102_Wkst'!$G$7:$G$2010,$D98,'LAC 102_Wkst'!$L$7:$L$2010,"13",'LAC 102_Wkst'!$N$7:$N$2010,"P2")+SUMIFS('LAC 102_Wkst'!$AE$7:$AE$2010,'LAC 102_Wkst'!$E$7:$E$2010,$C98,'LAC 102_Wkst'!$G$7:$G$2010,$D98,'LAC 102_Wkst'!$L$7:$L$2010,"13",'LAC 102_Wkst'!$N$7:$N$2010,"P3")+SUMIFS('LAC 102_Wkst'!$AE$7:$AE$2010,'LAC 102_Wkst'!$E$7:$E$2010,$C98,'LAC 102_Wkst'!$G$7:$G$2010,$D98,'LAC 102_Wkst'!$L$7:$L$2010,"13",'LAC 102_Wkst'!$N$7:$N$2010,"P4")</f>
        <v>0</v>
      </c>
      <c r="BD98" s="410">
        <f>SUMIFS('LAC 102_Wkst'!$Q$7:$Q$2010,'LAC 102_Wkst'!$E$7:$E$2010,$C98,'LAC 102_Wkst'!$G$7:$G$2010,$D98,'LAC 102_Wkst'!$L$7:$L$2010,"13",'LAC 102_Wkst'!$N$7:$N$2010,"P5")</f>
        <v>0</v>
      </c>
      <c r="BE98" s="411">
        <f>SUMIFS('LAC 102_Wkst'!$AE$7:$AE$2010,'LAC 102_Wkst'!$E$7:$E$2010,$C98,'LAC 102_Wkst'!$G$7:$G$2010,$D98,'LAC 102_Wkst'!$L$7:$L$2010,"13",'LAC 102_Wkst'!$N$7:$N$2010,"P5")</f>
        <v>0</v>
      </c>
      <c r="BF98" s="407">
        <f t="shared" si="1"/>
        <v>0</v>
      </c>
    </row>
    <row r="99" spans="1:58" x14ac:dyDescent="0.2">
      <c r="A99" s="401">
        <v>80</v>
      </c>
      <c r="B99" s="1236"/>
      <c r="C99" s="1235"/>
      <c r="D99" s="1237"/>
      <c r="E99" s="1222">
        <f>IF(CONCATENATE(C99,D99)&gt;"6069",1,SUMIFS('LAC 102_Wkst'!$Q$7:$Q$2010,'LAC 102_Wkst'!$E$7:$E$2010,Schedule_B!$C99,'LAC 102_Wkst'!$G$7:$G$2010,Schedule_B!$D99))</f>
        <v>0</v>
      </c>
      <c r="F99" s="408">
        <f>SUMIFS('LAC 102_Wkst'!$Q$7:$Q$2010,'LAC 102_Wkst'!$E$7:$E$2010,$C99,'LAC 102_Wkst'!$G$7:$G$2010,$D99,'LAC 102_Wkst'!$L$7:$L$2010,"01",'LAC 102_Wkst'!$N$7:$N$2010,"P1")+SUMIFS('LAC 102_Wkst'!$Q$7:$Q$2010,'LAC 102_Wkst'!$E$7:$E$2010,$C99,'LAC 102_Wkst'!$G$7:$G$2010,$D99,'LAC 102_Wkst'!$L$7:$L$2010,"01",'LAC 102_Wkst'!$N$7:$N$2010,"P2")+SUMIFS('LAC 102_Wkst'!$Q$7:$Q$2010,'LAC 102_Wkst'!$E$7:$E$2010,$C99,'LAC 102_Wkst'!$G$7:$G$2010,$D99,'LAC 102_Wkst'!$L$7:$L$2010,"01",'LAC 102_Wkst'!$N$7:$N$2010,"P3")+SUMIFS('LAC 102_Wkst'!$Q$7:$Q$2010,'LAC 102_Wkst'!$E$7:$E$2010,$C99,'LAC 102_Wkst'!$G$7:$G$2010,$D99,'LAC 102_Wkst'!$L$7:$L$2010,"02",'LAC 102_Wkst'!$N$7:$N$2010,"P1")+SUMIFS('LAC 102_Wkst'!$Q$7:$Q$2010,'LAC 102_Wkst'!$E$7:$E$2010,$C99,'LAC 102_Wkst'!$G$7:$G$2010,$D99,'LAC 102_Wkst'!$L$7:$L$2010,"02",'LAC 102_Wkst'!$N$7:$N$2010,"P2")+SUMIFS('LAC 102_Wkst'!$Q$7:$Q$2010,'LAC 102_Wkst'!$E$7:$E$2010,$C99,'LAC 102_Wkst'!$G$7:$G$2010,$D99,'LAC 102_Wkst'!$L$7:$L$2010,"02",'LAC 102_Wkst'!$N$7:$N$2010,"P3")</f>
        <v>0</v>
      </c>
      <c r="G99" s="409">
        <f>SUMIFS('LAC 102_Wkst'!$AE$7:$AE$2010,'LAC 102_Wkst'!$E$7:$E$2010,$C99,'LAC 102_Wkst'!$G$7:$G$2010,$D99,'LAC 102_Wkst'!$L$7:$L$2010,"01",'LAC 102_Wkst'!$N$7:$N$2010,"P1")+SUMIFS('LAC 102_Wkst'!$AE$7:$AE$2010,'LAC 102_Wkst'!$E$7:$E$2010,$C99,'LAC 102_Wkst'!$G$7:$G$2010,$D99,'LAC 102_Wkst'!$L$7:$L$2010,"01",'LAC 102_Wkst'!$N$7:$N$2010,"P2")+SUMIFS('LAC 102_Wkst'!$AE$7:$AE$2010,'LAC 102_Wkst'!$E$7:$E$2010,$C99,'LAC 102_Wkst'!$G$7:$G$2010,$D99,'LAC 102_Wkst'!$L$7:$L$2010,"01",'LAC 102_Wkst'!$N$7:$N$2010,"P3")+SUMIFS('LAC 102_Wkst'!$AE$7:$AE$2010,'LAC 102_Wkst'!$E$7:$E$2010,$C99,'LAC 102_Wkst'!$G$7:$G$2010,$D99,'LAC 102_Wkst'!$L$7:$L$2010,"02",'LAC 102_Wkst'!$N$7:$N$2010,"P1")+SUMIFS('LAC 102_Wkst'!$AE$7:$AE$2010,'LAC 102_Wkst'!$E$7:$E$2010,$C99,'LAC 102_Wkst'!$G$7:$G$2010,$D99,'LAC 102_Wkst'!$L$7:$L$2010,"02",'LAC 102_Wkst'!$N$7:$N$2010,"P2")+SUMIFS('LAC 102_Wkst'!$AE$7:$AE$2010,'LAC 102_Wkst'!$E$7:$E$2010,$C99,'LAC 102_Wkst'!$G$7:$G$2010,$D99,'LAC 102_Wkst'!$L$7:$L$2010,"02",'LAC 102_Wkst'!$N$7:$N$2010,"P3")</f>
        <v>0</v>
      </c>
      <c r="H99" s="410">
        <f>SUMIFS('LAC 102_Wkst'!$Q$7:$Q$2010,'LAC 102_Wkst'!$E$7:$E$2010,$C99,'LAC 102_Wkst'!$G$7:$G$2010,$D99,'LAC 102_Wkst'!$L$7:$L$2010,"01",'LAC 102_Wkst'!$N$7:$N$2010,"P4")+SUMIFS('LAC 102_Wkst'!$Q$7:$Q$2010,'LAC 102_Wkst'!$E$7:$E$2010,$C99,'LAC 102_Wkst'!$G$7:$G$2010,$D99,'LAC 102_Wkst'!$L$7:$L$2010,"02",'LAC 102_Wkst'!$N$7:$N$2010,"P4")</f>
        <v>0</v>
      </c>
      <c r="I99" s="411">
        <f>SUMIFS('LAC 102_Wkst'!$AE$7:$AE$2010,'LAC 102_Wkst'!$E$7:$E$2010,$C99,'LAC 102_Wkst'!$G$7:$G$2010,$D99,'LAC 102_Wkst'!$L$7:$L$2010,"01",'LAC 102_Wkst'!$N$7:$N$2010,"P4")+SUMIFS('LAC 102_Wkst'!$AE$7:$AE$2010,'LAC 102_Wkst'!$E$7:$E$2010,$C99,'LAC 102_Wkst'!$G$7:$G$2010,$D99,'LAC 102_Wkst'!$L$7:$L$2010,"02",'LAC 102_Wkst'!$N$7:$N$2010,"P4")</f>
        <v>0</v>
      </c>
      <c r="J99" s="410">
        <f>SUMIFS('LAC 102_Wkst'!$Q$7:$Q$2010,'LAC 102_Wkst'!$E$7:$E$2010,$C99,'LAC 102_Wkst'!$G$7:$G$2010,$D99,'LAC 102_Wkst'!$L$7:$L$2010,"01",'LAC 102_Wkst'!$N$7:$N$2010,"P5")+SUMIFS('LAC 102_Wkst'!$Q$7:$Q$2010,'LAC 102_Wkst'!$E$7:$E$2010,$C99,'LAC 102_Wkst'!$G$7:$G$2010,$D99,'LAC 102_Wkst'!$L$7:$L$2010,"02",'LAC 102_Wkst'!$N$7:$N$2010,"P5")</f>
        <v>0</v>
      </c>
      <c r="K99" s="411">
        <f>SUMIFS('LAC 102_Wkst'!$AE$7:$AE$2010,'LAC 102_Wkst'!$E$7:$E$2010,$C99,'LAC 102_Wkst'!$G$7:$G$2010,$D99,'LAC 102_Wkst'!$L$7:$L$2010,"01",'LAC 102_Wkst'!$N$7:$N$2010,"P5")+SUMIFS('LAC 102_Wkst'!$AE$7:$AE$2010,'LAC 102_Wkst'!$E$7:$E$2010,$C99,'LAC 102_Wkst'!$G$7:$G$2010,$D99,'LAC 102_Wkst'!$L$7:$L$2010,"02",'LAC 102_Wkst'!$N$7:$N$2010,"P5")</f>
        <v>0</v>
      </c>
      <c r="L99" s="410">
        <f>SUMIFS('LAC 102_Wkst'!$Q$7:$Q$2010,'LAC 102_Wkst'!$E$7:$E$2010,$C99,'LAC 102_Wkst'!$G$7:$G$2010,$D99,'LAC 102_Wkst'!$L$7:$L$2010,"03",'LAC 102_Wkst'!$N$7:$N$2010,"P1")+SUMIFS('LAC 102_Wkst'!$Q$7:$Q$2010,'LAC 102_Wkst'!$E$7:$E$2010,$C99,'LAC 102_Wkst'!$G$7:$G$2010,$D99,'LAC 102_Wkst'!$L$7:$L$2010,"03",'LAC 102_Wkst'!$N$7:$N$2010,"P2")+SUMIFS('LAC 102_Wkst'!$Q$7:$Q$2010,'LAC 102_Wkst'!$E$7:$E$2010,$C99,'LAC 102_Wkst'!$G$7:$G$2010,$D99,'LAC 102_Wkst'!$L$7:$L$2010,"03",'LAC 102_Wkst'!$N$7:$N$2010,"P3")+SUMIFS('LAC 102_Wkst'!$Q$7:$Q$2010,'LAC 102_Wkst'!$E$7:$E$2010,$C99,'LAC 102_Wkst'!$G$7:$G$2010,$D99,'LAC 102_Wkst'!$L$7:$L$2010,"04",'LAC 102_Wkst'!$N$7:$N$2010,"P1")+SUMIFS('LAC 102_Wkst'!$Q$7:$Q$2010,'LAC 102_Wkst'!$E$7:$E$2010,$C99,'LAC 102_Wkst'!$G$7:$G$2010,$D99,'LAC 102_Wkst'!$L$7:$L$2010,"04",'LAC 102_Wkst'!$N$7:$N$2010,"P2")+SUMIFS('LAC 102_Wkst'!$Q$7:$Q$2010,'LAC 102_Wkst'!$E$7:$E$2010,$C99,'LAC 102_Wkst'!$G$7:$G$2010,$D99,'LAC 102_Wkst'!$L$7:$L$2010,"04",'LAC 102_Wkst'!$N$7:$N$2010,"P3")</f>
        <v>0</v>
      </c>
      <c r="M99" s="411">
        <f>SUMIFS('LAC 102_Wkst'!$AE$7:$AE$2010,'LAC 102_Wkst'!$E$7:$E$2010,$C99,'LAC 102_Wkst'!$G$7:$G$2010,$D99,'LAC 102_Wkst'!$L$7:$L$2010,"03",'LAC 102_Wkst'!$N$7:$N$2010,"P1")+SUMIFS('LAC 102_Wkst'!$AE$7:$AE$2010,'LAC 102_Wkst'!$E$7:$E$2010,$C99,'LAC 102_Wkst'!$G$7:$G$2010,$D99,'LAC 102_Wkst'!$L$7:$L$2010,"03",'LAC 102_Wkst'!$N$7:$N$2010,"P2")+SUMIFS('LAC 102_Wkst'!$AE$7:$AE$2010,'LAC 102_Wkst'!$E$7:$E$2010,$C99,'LAC 102_Wkst'!$G$7:$G$2010,$D99,'LAC 102_Wkst'!$L$7:$L$2010,"03",'LAC 102_Wkst'!$N$7:$N$2010,"P3")+SUMIFS('LAC 102_Wkst'!$AE$7:$AE$2010,'LAC 102_Wkst'!$E$7:$E$2010,$C99,'LAC 102_Wkst'!$G$7:$G$2010,$D99,'LAC 102_Wkst'!$L$7:$L$2010,"04",'LAC 102_Wkst'!$N$7:$N$2010,"P1")+SUMIFS('LAC 102_Wkst'!$AE$7:$AE$2010,'LAC 102_Wkst'!$E$7:$E$2010,$C99,'LAC 102_Wkst'!$G$7:$G$2010,$D99,'LAC 102_Wkst'!$L$7:$L$2010,"04",'LAC 102_Wkst'!$N$7:$N$2010,"P2")+SUMIFS('LAC 102_Wkst'!$AE$7:$AE$2010,'LAC 102_Wkst'!$E$7:$E$2010,$C99,'LAC 102_Wkst'!$G$7:$G$2010,$D99,'LAC 102_Wkst'!$L$7:$L$2010,"04",'LAC 102_Wkst'!$N$7:$N$2010,"P3")</f>
        <v>0</v>
      </c>
      <c r="N99" s="410">
        <f>SUMIFS('LAC 102_Wkst'!$Q$7:$Q$2010,'LAC 102_Wkst'!$E$7:$E$2010,$C99,'LAC 102_Wkst'!$G$7:$G$2010,$D99,'LAC 102_Wkst'!$L$7:$L$2010,"03",'LAC 102_Wkst'!$N$7:$N$2010,"P4")+SUMIFS('LAC 102_Wkst'!$Q$7:$Q$2010,'LAC 102_Wkst'!$E$7:$E$2010,$C99,'LAC 102_Wkst'!$G$7:$G$2010,$D99,'LAC 102_Wkst'!$L$7:$L$2010,"04",'LAC 102_Wkst'!$N$7:$N$2010,"P4")</f>
        <v>0</v>
      </c>
      <c r="O99" s="411">
        <f>SUMIFS('LAC 102_Wkst'!$AE$7:$AE$2010,'LAC 102_Wkst'!$E$7:$E$2010,$C99,'LAC 102_Wkst'!$G$7:$G$2010,$D99,'LAC 102_Wkst'!$L$7:$L$2010,"03",'LAC 102_Wkst'!$N$7:$N$2010,"P4")+SUMIFS('LAC 102_Wkst'!$AE$7:$AE$2010,'LAC 102_Wkst'!$E$7:$E$2010,$C99,'LAC 102_Wkst'!$G$7:$G$2010,$D99,'LAC 102_Wkst'!$L$7:$L$2010,"04",'LAC 102_Wkst'!$N$7:$N$2010,"P4")</f>
        <v>0</v>
      </c>
      <c r="P99" s="410">
        <f>SUMIFS('LAC 102_Wkst'!$Q$7:$Q$2010,'LAC 102_Wkst'!$E$7:$E$2010,$C99,'LAC 102_Wkst'!$G$7:$G$2010,$D99,'LAC 102_Wkst'!$L$7:$L$2010,"03",'LAC 102_Wkst'!$N$7:$N$2010,"P5")+SUMIFS('LAC 102_Wkst'!$Q$7:$Q$2010,'LAC 102_Wkst'!$E$7:$E$2010,$C99,'LAC 102_Wkst'!$G$7:$G$2010,$D99,'LAC 102_Wkst'!$L$7:$L$2010,"04",'LAC 102_Wkst'!$N$7:$N$2010,"P5")</f>
        <v>0</v>
      </c>
      <c r="Q99" s="411">
        <f>SUMIFS('LAC 102_Wkst'!$AE$7:$AE$2010,'LAC 102_Wkst'!$E$7:$E$2010,$C99,'LAC 102_Wkst'!$G$7:$G$2010,$D99,'LAC 102_Wkst'!$L$7:$L$2010,"03",'LAC 102_Wkst'!$N$7:$N$2010,"P5")+SUMIFS('LAC 102_Wkst'!$AE$7:$AE$2010,'LAC 102_Wkst'!$E$7:$E$2010,$C99,'LAC 102_Wkst'!$G$7:$G$2010,$D99,'LAC 102_Wkst'!$L$7:$L$2010,"04",'LAC 102_Wkst'!$N$7:$N$2010,"P5")</f>
        <v>0</v>
      </c>
      <c r="R99" s="412">
        <f>SUMIFS('LAC 102_Wkst'!$Q$7:$Q$2010,'LAC 102_Wkst'!$E$7:$E$2010,$C99,'LAC 102_Wkst'!$G$7:$G$2010,$D99,'LAC 102_Wkst'!$L$7:$L$2010,"05",'LAC 102_Wkst'!$N$7:$N$2010,"P1")+SUMIFS('LAC 102_Wkst'!$Q$7:$Q$2010,'LAC 102_Wkst'!$E$7:$E$2010,$C99,'LAC 102_Wkst'!$G$7:$G$2010,$D99,'LAC 102_Wkst'!$L$7:$L$2010,"06",'LAC 102_Wkst'!$N$7:$N$2010,"P1")</f>
        <v>0</v>
      </c>
      <c r="S99" s="411">
        <f>SUMIFS('LAC 102_Wkst'!$AE$7:$AE$2010,'LAC 102_Wkst'!$E$7:$E$2010,$C99,'LAC 102_Wkst'!$G$7:$G$2010,$D99,'LAC 102_Wkst'!$L$7:$L$2010,"05",'LAC 102_Wkst'!$N$7:$N$2010,"P1")+SUMIFS('LAC 102_Wkst'!$AE$7:$AE$2010,'LAC 102_Wkst'!$E$7:$E$2010,$C99,'LAC 102_Wkst'!$G$7:$G$2010,$D99,'LAC 102_Wkst'!$L$7:$L$2010,"06",'LAC 102_Wkst'!$N$7:$N$2010,"P1")</f>
        <v>0</v>
      </c>
      <c r="T99" s="410">
        <f>SUMIFS('LAC 102_Wkst'!$Q$7:$Q$2010,'LAC 102_Wkst'!$E$7:$E$2010,$C99,'LAC 102_Wkst'!$G$7:$G$2010,$D99,'LAC 102_Wkst'!$L$7:$L$2010,"05",'LAC 102_Wkst'!$N$7:$N$2010,"P2")+SUMIFS('LAC 102_Wkst'!$Q$7:$Q$2010,'LAC 102_Wkst'!$E$7:$E$2010,$C99,'LAC 102_Wkst'!$G$7:$G$2010,$D99,'LAC 102_Wkst'!$L$7:$L$2010,"05",'LAC 102_Wkst'!$N$7:$N$2010,"P3")+SUMIFS('LAC 102_Wkst'!$Q$7:$Q$2010,'LAC 102_Wkst'!$E$7:$E$2010,$C99,'LAC 102_Wkst'!$G$7:$G$2010,$D99,'LAC 102_Wkst'!$L$7:$L$2010,"06",'LAC 102_Wkst'!$N$7:$N$2010,"P2")+SUMIFS('LAC 102_Wkst'!$Q$7:$Q$2010,'LAC 102_Wkst'!$E$7:$E$2010,$C99,'LAC 102_Wkst'!$G$7:$G$2010,$D99,'LAC 102_Wkst'!$L$7:$L$2010,"06",'LAC 102_Wkst'!$N$7:$N$2010,"P3")</f>
        <v>0</v>
      </c>
      <c r="U99" s="411">
        <f>SUMIFS('LAC 102_Wkst'!$AE$7:$AE$2010,'LAC 102_Wkst'!$E$7:$E$2010,$C99,'LAC 102_Wkst'!$G$7:$G$2010,$D99,'LAC 102_Wkst'!$L$7:$L$2010,"05",'LAC 102_Wkst'!$N$7:$N$2010,"P2")+SUMIFS('LAC 102_Wkst'!$AE$7:$AE$2010,'LAC 102_Wkst'!$E$7:$E$2010,$C99,'LAC 102_Wkst'!$G$7:$G$2010,$D99,'LAC 102_Wkst'!$L$7:$L$2010,"06",'LAC 102_Wkst'!$N$7:$N$2010,"P3")+SUMIFS('LAC 102_Wkst'!$AE$7:$AE$2010,'LAC 102_Wkst'!$E$7:$E$2010,$C99,'LAC 102_Wkst'!$G$7:$G$2010,$D99,'LAC 102_Wkst'!$L$7:$L$2010,"05",'LAC 102_Wkst'!$N$7:$N$2010,"P2")+SUMIFS('LAC 102_Wkst'!$AE$7:$AE$2010,'LAC 102_Wkst'!$E$7:$E$2010,$C99,'LAC 102_Wkst'!$G$7:$G$2010,$D99,'LAC 102_Wkst'!$L$7:$L$2010,"06",'LAC 102_Wkst'!$N$7:$N$2010,"P3")</f>
        <v>0</v>
      </c>
      <c r="V99" s="410">
        <f>SUMIFS('LAC 102_Wkst'!$Q$7:$Q$2010,'LAC 102_Wkst'!$E$7:$E$2010,$C99,'LAC 102_Wkst'!$G$7:$G$2010,$D99,'LAC 102_Wkst'!$L$7:$L$2010,"05",'LAC 102_Wkst'!$N$7:$N$2010,"P4")+SUMIFS('LAC 102_Wkst'!$Q$7:$Q$2010,'LAC 102_Wkst'!$E$7:$E$2010,$C99,'LAC 102_Wkst'!$G$7:$G$2010,$D99,'LAC 102_Wkst'!$L$7:$L$2010,"06",'LAC 102_Wkst'!$N$7:$N$2010,"P4")</f>
        <v>0</v>
      </c>
      <c r="W99" s="411">
        <f>SUMIFS('LAC 102_Wkst'!$AE$7:$AE$2010,'LAC 102_Wkst'!$E$7:$E$2010,$C99,'LAC 102_Wkst'!$G$7:$G$2010,$D99,'LAC 102_Wkst'!$L$7:$L$2010,"05",'LAC 102_Wkst'!$N$7:$N$2010,"P4")+SUMIFS('LAC 102_Wkst'!$AE$7:$AE$2010,'LAC 102_Wkst'!$E$7:$E$2010,$C99,'LAC 102_Wkst'!$G$7:$G$2010,$D99,'LAC 102_Wkst'!$L$7:$L$2010,"06",'LAC 102_Wkst'!$N$7:$N$2010,"P4")</f>
        <v>0</v>
      </c>
      <c r="X99" s="410">
        <f>SUMIFS('LAC 102_Wkst'!$Q$7:$Q$2010,'LAC 102_Wkst'!$E$7:$E$2010,$C99,'LAC 102_Wkst'!$G$7:$G$2010,$D99,'LAC 102_Wkst'!$L$7:$L$2010,"05",'LAC 102_Wkst'!$N$7:$N$2010,"P5")+SUMIFS('LAC 102_Wkst'!$Q$7:$Q$2010,'LAC 102_Wkst'!$E$7:$E$2010,$C99,'LAC 102_Wkst'!$G$7:$G$2010,$D99,'LAC 102_Wkst'!$L$7:$L$2010,"06",'LAC 102_Wkst'!$N$7:$N$2010,"P5")</f>
        <v>0</v>
      </c>
      <c r="Y99" s="411">
        <f>SUMIFS('LAC 102_Wkst'!$AE$7:$AE$2010,'LAC 102_Wkst'!$E$7:$E$2010,$C99,'LAC 102_Wkst'!$G$7:$G$2010,$D99,'LAC 102_Wkst'!$L$7:$L$2010,"05",'LAC 102_Wkst'!$N$7:$N$2010,"P5")+SUMIFS('LAC 102_Wkst'!$AE$7:$AE$2010,'LAC 102_Wkst'!$E$7:$E$2010,$C99,'LAC 102_Wkst'!$G$7:$G$2010,$D99,'LAC 102_Wkst'!$L$7:$L$2010,"06",'LAC 102_Wkst'!$N$7:$N$2010,"P5")</f>
        <v>0</v>
      </c>
      <c r="Z99" s="410">
        <f>SUMIFS('LAC 102_Wkst'!$Q$7:$Q$2010,'LAC 102_Wkst'!$E$7:$E$2010,$C99,'LAC 102_Wkst'!$G$7:$G$2010,$D99,'LAC 102_Wkst'!$L$7:$L$2010,"07",'LAC 102_Wkst'!$N$7:$N$2010,"P1")+SUMIFS('LAC 102_Wkst'!$Q$7:$Q$2010,'LAC 102_Wkst'!$E$7:$E$2010,$C99,'LAC 102_Wkst'!$G$7:$G$2010,$D99,'LAC 102_Wkst'!$L$7:$L$2010,"07",'LAC 102_Wkst'!$N$7:$N$2010,"P2")+SUMIFS('LAC 102_Wkst'!$Q$7:$Q$2010,'LAC 102_Wkst'!$E$7:$E$2010,$C99,'LAC 102_Wkst'!$G$7:$G$2010,$D99,'LAC 102_Wkst'!$L$7:$L$2010,"07",'LAC 102_Wkst'!$N$7:$N$2010,"P3")</f>
        <v>0</v>
      </c>
      <c r="AA99" s="411">
        <f>SUMIFS('LAC 102_Wkst'!$AE$7:$AE$2010,'LAC 102_Wkst'!$E$7:$E$2010,$C99,'LAC 102_Wkst'!$G$7:$G$2010,$D99,'LAC 102_Wkst'!$L$7:$L$2010,"07",'LAC 102_Wkst'!$N$7:$N$2010,"P1")+SUMIFS('LAC 102_Wkst'!$AE$7:$AE$2010,'LAC 102_Wkst'!$E$7:$E$2010,$C99,'LAC 102_Wkst'!$G$7:$G$2010,$D99,'LAC 102_Wkst'!$L$7:$L$2010,"07",'LAC 102_Wkst'!$N$7:$N$2010,"P2")+SUMIFS('LAC 102_Wkst'!$AE$7:$AE$2010,'LAC 102_Wkst'!$E$7:$E$2010,$C99,'LAC 102_Wkst'!$G$7:$G$2010,$D99,'LAC 102_Wkst'!$L$7:$L$2010,"07",'LAC 102_Wkst'!$N$7:$N$2010,"P3")</f>
        <v>0</v>
      </c>
      <c r="AB99" s="410">
        <f>SUMIFS('LAC 102_Wkst'!$Q$7:$Q$2010,'LAC 102_Wkst'!$E$7:$E$2010,$C99,'LAC 102_Wkst'!$G$7:$G$2010,$D99,'LAC 102_Wkst'!$L$7:$L$2010,"07",'LAC 102_Wkst'!$N$7:$N$2010,"P4")</f>
        <v>0</v>
      </c>
      <c r="AC99" s="411">
        <f>SUMIFS('LAC 102_Wkst'!$AE$7:$AE$2010,'LAC 102_Wkst'!$E$7:$E$2010,$C99,'LAC 102_Wkst'!$G$7:$G$2010,$D99,'LAC 102_Wkst'!$L$7:$L$2010,"07",'LAC 102_Wkst'!$N$7:$N$2010,"P4")</f>
        <v>0</v>
      </c>
      <c r="AD99" s="410">
        <f>SUMIFS('LAC 102_Wkst'!$Q$7:$Q$2010,'LAC 102_Wkst'!$E$7:$E$2010,$C99,'LAC 102_Wkst'!$G$7:$G$2010,$D99,'LAC 102_Wkst'!$L$7:$L$2010,"07",'LAC 102_Wkst'!$N$7:$N$2010,"P5")</f>
        <v>0</v>
      </c>
      <c r="AE99" s="411">
        <f>SUMIFS('LAC 102_Wkst'!$AE$7:$AE$2010,'LAC 102_Wkst'!$E$7:$E$2010,$C99,'LAC 102_Wkst'!$G$7:$G$2010,$D99,'LAC 102_Wkst'!$L$7:$L$2010,"07",'LAC 102_Wkst'!$N$7:$N$2010,"P5")</f>
        <v>0</v>
      </c>
      <c r="AF99" s="410">
        <f>SUMIFS('LAC 102_Wkst'!$Q$7:$Q$2010,'LAC 102_Wkst'!$E$7:$E$2010,$C99,'LAC 102_Wkst'!$G$7:$G$2010,$D99,'LAC 102_Wkst'!$L$7:$L$2010,"08",'LAC 102_Wkst'!$N$7:$N$2010,"P1")+SUMIFS('LAC 102_Wkst'!$Q$7:$Q$2010,'LAC 102_Wkst'!$E$7:$E$2010,$C99,'LAC 102_Wkst'!$G$7:$G$2010,$D99,'LAC 102_Wkst'!$L$7:$L$2010,"08",'LAC 102_Wkst'!$N$7:$N$2010,"P2")+SUMIFS('LAC 102_Wkst'!$Q$7:$Q$2010,'LAC 102_Wkst'!$E$7:$E$2010,$C99,'LAC 102_Wkst'!$G$7:$G$2010,$D99,'LAC 102_Wkst'!$L$7:$L$2010,"08",'LAC 102_Wkst'!$N$7:$N$2010,"P3")</f>
        <v>0</v>
      </c>
      <c r="AG99" s="411">
        <f>SUMIFS('LAC 102_Wkst'!$AE$7:$AE$2010,'LAC 102_Wkst'!$E$7:$E$2010,$C99,'LAC 102_Wkst'!$G$7:$G$2010,$D99,'LAC 102_Wkst'!$L$7:$L$2010,"08",'LAC 102_Wkst'!$N$7:$N$2010,"P1")+SUMIFS('LAC 102_Wkst'!$AE$7:$AE$2010,'LAC 102_Wkst'!$E$7:$E$2010,$C99,'LAC 102_Wkst'!$G$7:$G$2010,$D99,'LAC 102_Wkst'!$L$7:$L$2010,"08",'LAC 102_Wkst'!$N$7:$N$2010,"P2")+SUMIFS('LAC 102_Wkst'!$AE$7:$AE$2010,'LAC 102_Wkst'!$E$7:$E$2010,$C99,'LAC 102_Wkst'!$G$7:$G$2010,$D99,'LAC 102_Wkst'!$L$7:$L$2010,"08",'LAC 102_Wkst'!$N$7:$N$2010,"P3")</f>
        <v>0</v>
      </c>
      <c r="AH99" s="410">
        <f>SUMIFS('LAC 102_Wkst'!$Q$7:$Q$2010,'LAC 102_Wkst'!$E$7:$E$2010,$C99,'LAC 102_Wkst'!$G$7:$G$2010,$D99,'LAC 102_Wkst'!$L$7:$L$2010,"08",'LAC 102_Wkst'!$N$7:$N$2010,"P4")</f>
        <v>0</v>
      </c>
      <c r="AI99" s="411">
        <f>SUMIFS('LAC 102_Wkst'!$AE$7:$AE$2010,'LAC 102_Wkst'!$E$7:$E$2010,$C99,'LAC 102_Wkst'!$G$7:$G$2010,$D99,'LAC 102_Wkst'!$L$7:$L$2010,"08",'LAC 102_Wkst'!$N$7:$N$2010,"P4")</f>
        <v>0</v>
      </c>
      <c r="AJ99" s="410">
        <f>SUMIFS('LAC 102_Wkst'!$Q$7:$Q$2010,'LAC 102_Wkst'!$E$7:$E$2010,$C99,'LAC 102_Wkst'!$G$7:$G$2010,$D99,'LAC 102_Wkst'!$L$7:$L$2010,"08",'LAC 102_Wkst'!$N$7:$N$2010,"P5")</f>
        <v>0</v>
      </c>
      <c r="AK99" s="411">
        <f>SUMIFS('LAC 102_Wkst'!$AE$7:$AE$2010,'LAC 102_Wkst'!$E$7:$E$2010,$C99,'LAC 102_Wkst'!$G$7:$G$2010,$D99,'LAC 102_Wkst'!$L$7:$L$2010,"08",'LAC 102_Wkst'!$N$7:$N$2010,"P5")</f>
        <v>0</v>
      </c>
      <c r="AL99" s="410">
        <f>SUMIFS('LAC 102_Wkst'!$Q$7:$Q$2010,'LAC 102_Wkst'!$E$7:$E$2010,$C99,'LAC 102_Wkst'!$G$7:$G$2010,$D99,'LAC 102_Wkst'!$L$7:$L$2010,"09",'LAC 102_Wkst'!$N$7:$N$2010,"P1")+SUMIFS('LAC 102_Wkst'!$Q$7:$Q$2010,'LAC 102_Wkst'!$E$7:$E$2010,$C99,'LAC 102_Wkst'!$G$7:$G$2010,$D99,'LAC 102_Wkst'!$L$7:$L$2010,"09",'LAC 102_Wkst'!$N$7:$N$2010,"P2")+SUMIFS('LAC 102_Wkst'!$Q$7:$Q$2010,'LAC 102_Wkst'!$E$7:$E$2010,$C99,'LAC 102_Wkst'!$G$7:$G$2010,$D99,'LAC 102_Wkst'!$L$7:$L$2010,"09",'LAC 102_Wkst'!$N$7:$N$2010,"P3")+SUMIFS('LAC 102_Wkst'!$Q$7:$Q$2010,'LAC 102_Wkst'!$E$7:$E$2010,$C99,'LAC 102_Wkst'!$G$7:$G$2010,$D99,'LAC 102_Wkst'!$L$7:$L$2010,"09",'LAC 102_Wkst'!$N$7:$N$2010,"P4")</f>
        <v>0</v>
      </c>
      <c r="AM99" s="411">
        <f>SUMIFS('LAC 102_Wkst'!$AE$7:$AE$2010,'LAC 102_Wkst'!$E$7:$E$2010,$C99,'LAC 102_Wkst'!$G$7:$G$2010,$D99,'LAC 102_Wkst'!$L$7:$L$2010,"09",'LAC 102_Wkst'!$N$7:$N$2010,"P1")+SUMIFS('LAC 102_Wkst'!$AE$7:$AE$2010,'LAC 102_Wkst'!$E$7:$E$2010,$C99,'LAC 102_Wkst'!$G$7:$G$2010,$D99,'LAC 102_Wkst'!$L$7:$L$2010,"09",'LAC 102_Wkst'!$N$7:$N$2010,"P2")+SUMIFS('LAC 102_Wkst'!$AE$7:$AE$2010,'LAC 102_Wkst'!$E$7:$E$2010,$C99,'LAC 102_Wkst'!$G$7:$G$2010,$D99,'LAC 102_Wkst'!$L$7:$L$2010,"09",'LAC 102_Wkst'!$N$7:$N$2010,"P3")+SUMIFS('LAC 102_Wkst'!$AE$7:$AE$2010,'LAC 102_Wkst'!$E$7:$E$2010,$C99,'LAC 102_Wkst'!$G$7:$G$2010,$D99,'LAC 102_Wkst'!$L$7:$L$2010,"09",'LAC 102_Wkst'!$N$7:$N$2010,"P4")</f>
        <v>0</v>
      </c>
      <c r="AN99" s="410">
        <f>SUMIFS('LAC 102_Wkst'!$Q$7:$Q$2010,'LAC 102_Wkst'!$E$7:$E$2010,$C99,'LAC 102_Wkst'!$G$7:$G$2010,$D99,'LAC 102_Wkst'!$L$7:$L$2010,"09",'LAC 102_Wkst'!$N$7:$N$2010,"P5")</f>
        <v>0</v>
      </c>
      <c r="AO99" s="411">
        <f>SUMIFS('LAC 102_Wkst'!$AE$7:$AE$2010,'LAC 102_Wkst'!$E$7:$E$2010,$C99,'LAC 102_Wkst'!$G$7:$G$2010,$D99,'LAC 102_Wkst'!$L$7:$L$2010,"09",'LAC 102_Wkst'!$N$7:$N$2010,"P5")</f>
        <v>0</v>
      </c>
      <c r="AP99" s="410">
        <f>SUMIFS('LAC 102_Wkst'!$Q$7:$Q$2010,'LAC 102_Wkst'!$E$7:$E$2010,$C99,'LAC 102_Wkst'!$G$7:$G$2010,$D99,'LAC 102_Wkst'!$L$7:$L$2010,"10",'LAC 102_Wkst'!$N$7:$N$2010,"P1")+SUMIFS('LAC 102_Wkst'!$Q$7:$Q$2010,'LAC 102_Wkst'!$E$7:$E$2010,$C99,'LAC 102_Wkst'!$G$7:$G$2010,$D99,'LAC 102_Wkst'!$L$7:$L$2010,"10",'LAC 102_Wkst'!$N$7:$N$2010,"P2")+SUMIFS('LAC 102_Wkst'!$Q$7:$Q$2010,'LAC 102_Wkst'!$E$7:$E$2010,$C99,'LAC 102_Wkst'!$G$7:$G$2010,$D99,'LAC 102_Wkst'!$L$7:$L$2010,"10",'LAC 102_Wkst'!$N$7:$N$2010,"P3")+SUMIFS('LAC 102_Wkst'!$Q$7:$Q$2010,'LAC 102_Wkst'!$E$7:$E$2010,$C99,'LAC 102_Wkst'!$G$7:$G$2010,$D99,'LAC 102_Wkst'!$L$7:$L$2010,"10",'LAC 102_Wkst'!$N$7:$N$2010,"P4")</f>
        <v>0</v>
      </c>
      <c r="AQ99" s="411">
        <f>SUMIFS('LAC 102_Wkst'!$AE$7:$AE$2010,'LAC 102_Wkst'!$E$7:$E$2010,$C99,'LAC 102_Wkst'!$G$7:$G$2010,$D99,'LAC 102_Wkst'!$L$7:$L$2010,"10",'LAC 102_Wkst'!$N$7:$N$2010,"P1")+SUMIFS('LAC 102_Wkst'!$AE$7:$AE$2010,'LAC 102_Wkst'!$E$7:$E$2010,$C99,'LAC 102_Wkst'!$G$7:$G$2010,$D99,'LAC 102_Wkst'!$L$7:$L$2010,"10",'LAC 102_Wkst'!$N$7:$N$2010,"P2")+SUMIFS('LAC 102_Wkst'!$AE$7:$AE$2010,'LAC 102_Wkst'!$E$7:$E$2010,$C99,'LAC 102_Wkst'!$G$7:$G$2010,$D99,'LAC 102_Wkst'!$L$7:$L$2010,"10",'LAC 102_Wkst'!$N$7:$N$2010,"P3")+SUMIFS('LAC 102_Wkst'!$AE$7:$AE$2010,'LAC 102_Wkst'!$E$7:$E$2010,$C99,'LAC 102_Wkst'!$G$7:$G$2010,$D99,'LAC 102_Wkst'!$L$7:$L$2010,"10",'LAC 102_Wkst'!$N$7:$N$2010,"P4")</f>
        <v>0</v>
      </c>
      <c r="AR99" s="410">
        <f>SUMIFS('LAC 102_Wkst'!$Q$7:$Q$2010,'LAC 102_Wkst'!$E$7:$E$2010,$C99,'LAC 102_Wkst'!$G$7:$G$2010,$D99,'LAC 102_Wkst'!$L$7:$L$2010,"10",'LAC 102_Wkst'!$N$7:$N$2010,"P5")</f>
        <v>0</v>
      </c>
      <c r="AS99" s="411">
        <f>SUMIFS('LAC 102_Wkst'!$AE$7:$AE$2010,'LAC 102_Wkst'!$E$7:$E$2010,$C99,'LAC 102_Wkst'!$G$7:$G$2010,$D99,'LAC 102_Wkst'!$L$7:$L$2010,"10",'LAC 102_Wkst'!$N$7:$N$2010,"P5")</f>
        <v>0</v>
      </c>
      <c r="AT99" s="410">
        <f>SUMIFS('LAC 102_Wkst'!$Q$7:$Q$2010,'LAC 102_Wkst'!$E$7:$E$2010,$C99,'LAC 102_Wkst'!$G$7:$G$2010,$D99,'LAC 102_Wkst'!$L$7:$L$2010,"11",'LAC 102_Wkst'!$N$7:$N$2010,"P1")+SUMIFS('LAC 102_Wkst'!$Q$7:$Q$2010,'LAC 102_Wkst'!$E$7:$E$2010,$C99,'LAC 102_Wkst'!$G$7:$G$2010,$D99,'LAC 102_Wkst'!$L$7:$L$2010,"12",'LAC 102_Wkst'!$N$7:$N$2010,"P1")</f>
        <v>0</v>
      </c>
      <c r="AU99" s="411">
        <f>SUMIFS('LAC 102_Wkst'!$AE$7:$AE$2010,'LAC 102_Wkst'!$E$7:$E$2010,$C99,'LAC 102_Wkst'!$G$7:$G$2010,$D99,'LAC 102_Wkst'!$L$7:$L$2010,"11",'LAC 102_Wkst'!$N$7:$N$2010,"P1")+SUMIFS('LAC 102_Wkst'!$AE$7:$AE$2010,'LAC 102_Wkst'!$E$7:$E$2010,$C99,'LAC 102_Wkst'!$G$7:$G$2010,$D99,'LAC 102_Wkst'!$L$7:$L$2010,"12",'LAC 102_Wkst'!$N$7:$N$2010,"P1")</f>
        <v>0</v>
      </c>
      <c r="AV99" s="410">
        <f>SUMIFS('LAC 102_Wkst'!$Q$7:$Q$2010,'LAC 102_Wkst'!$E$7:$E$2010,$C99,'LAC 102_Wkst'!$G$7:$G$2010,$D99,'LAC 102_Wkst'!$L$7:$L$2010,"11",'LAC 102_Wkst'!$N$7:$N$2010,"P2")+SUMIFS('LAC 102_Wkst'!$Q$7:$Q$2010,'LAC 102_Wkst'!$E$7:$E$2010,$C99,'LAC 102_Wkst'!$G$7:$G$2010,$D99,'LAC 102_Wkst'!$L$7:$L$2010,"12",'LAC 102_Wkst'!$N$7:$N$2010,"P3")+SUMIFS('LAC 102_Wkst'!$Q$7:$Q$2010,'LAC 102_Wkst'!$E$7:$E$2010,$C99,'LAC 102_Wkst'!$G$7:$G$2010,$D99,'LAC 102_Wkst'!$L$7:$L$2010,"11",'LAC 102_Wkst'!$N$7:$N$2010,"P2")+SUMIFS('LAC 102_Wkst'!$Q$7:$Q$2010,'LAC 102_Wkst'!$E$7:$E$2010,$C99,'LAC 102_Wkst'!$G$7:$G$2010,$D99,'LAC 102_Wkst'!$L$7:$L$2010,"12",'LAC 102_Wkst'!$N$7:$N$2010,"P3")</f>
        <v>0</v>
      </c>
      <c r="AW99" s="411">
        <f>SUMIFS('LAC 102_Wkst'!$AE$7:$AE$2010,'LAC 102_Wkst'!$E$7:$E$2010,$C99,'LAC 102_Wkst'!$G$7:$G$2010,$D99,'LAC 102_Wkst'!$L$7:$L$2010,"11",'LAC 102_Wkst'!$N$7:$N$2010,"P2")+SUMIFS('LAC 102_Wkst'!$AE$7:$AE$2010,'LAC 102_Wkst'!$E$7:$E$2010,$C99,'LAC 102_Wkst'!$G$7:$G$2010,$D99,'LAC 102_Wkst'!$L$7:$L$2010,"12",'LAC 102_Wkst'!$N$7:$N$2010,"P3")+SUMIFS('LAC 102_Wkst'!$AE$7:$AE$2010,'LAC 102_Wkst'!$E$7:$E$2010,$C99,'LAC 102_Wkst'!$G$7:$G$2010,$D99,'LAC 102_Wkst'!$L$7:$L$2010,"11",'LAC 102_Wkst'!$N$7:$N$2010,"P2")+SUMIFS('LAC 102_Wkst'!$AE$7:$AE$2010,'LAC 102_Wkst'!$E$7:$E$2010,$C99,'LAC 102_Wkst'!$G$7:$G$2010,$D99,'LAC 102_Wkst'!$L$7:$L$2010,"12",'LAC 102_Wkst'!$N$7:$N$2010,"P3")</f>
        <v>0</v>
      </c>
      <c r="AX99" s="410">
        <f>SUMIFS('LAC 102_Wkst'!$Q$7:$Q$2010,'LAC 102_Wkst'!$E$7:$E$2010,$C99,'LAC 102_Wkst'!$G$7:$G$2010,$D99,'LAC 102_Wkst'!$L$7:$L$2010,"11",'LAC 102_Wkst'!$N$7:$N$2010,"P4")+SUMIFS('LAC 102_Wkst'!$Q$7:$Q$2010,'LAC 102_Wkst'!$E$7:$E$2010,$C99,'LAC 102_Wkst'!$G$7:$G$2010,$D99,'LAC 102_Wkst'!$L$7:$L$2010,"12",'LAC 102_Wkst'!$N$7:$N$2010,"P4")</f>
        <v>0</v>
      </c>
      <c r="AY99" s="411">
        <f>SUMIFS('LAC 102_Wkst'!$AE$7:$AE$2010,'LAC 102_Wkst'!$E$7:$E$2010,$C99,'LAC 102_Wkst'!$G$7:$G$2010,$D99,'LAC 102_Wkst'!$L$7:$L$2010,"11",'LAC 102_Wkst'!$N$7:$N$2010,"P4")+SUMIFS('LAC 102_Wkst'!$AE$7:$AE$2010,'LAC 102_Wkst'!$E$7:$E$2010,$C99,'LAC 102_Wkst'!$G$7:$G$2010,$D99,'LAC 102_Wkst'!$L$7:$L$2010,"12",'LAC 102_Wkst'!$N$7:$N$2010,"P4")</f>
        <v>0</v>
      </c>
      <c r="AZ99" s="410">
        <f>SUMIFS('LAC 102_Wkst'!$Q$7:$Q$2010,'LAC 102_Wkst'!$E$7:$E$2010,$C99,'LAC 102_Wkst'!$G$7:$G$2010,$D99,'LAC 102_Wkst'!$L$7:$L$2010,"11",'LAC 102_Wkst'!$N$7:$N$2010,"P5")+SUMIFS('LAC 102_Wkst'!$Q$7:$Q$2010,'LAC 102_Wkst'!$E$7:$E$2010,$C99,'LAC 102_Wkst'!$G$7:$G$2010,$D99,'LAC 102_Wkst'!$L$7:$L$2010,"12",'LAC 102_Wkst'!$N$7:$N$2010,"P5")</f>
        <v>0</v>
      </c>
      <c r="BA99" s="411">
        <f>SUMIFS('LAC 102_Wkst'!$AE$7:$AE$2010,'LAC 102_Wkst'!$E$7:$E$2010,$C99,'LAC 102_Wkst'!$G$7:$G$2010,$D99,'LAC 102_Wkst'!$L$7:$L$2010,"11",'LAC 102_Wkst'!$N$7:$N$2010,"P5")+SUMIFS('LAC 102_Wkst'!$AE$7:$AE$2010,'LAC 102_Wkst'!$E$7:$E$2010,$C99,'LAC 102_Wkst'!$G$7:$G$2010,$D99,'LAC 102_Wkst'!$L$7:$L$2010,"12",'LAC 102_Wkst'!$N$7:$N$2010,"P5")</f>
        <v>0</v>
      </c>
      <c r="BB99" s="410">
        <f>SUMIFS('LAC 102_Wkst'!$Q$7:$Q$2010,'LAC 102_Wkst'!$E$7:$E$2010,$C99,'LAC 102_Wkst'!$G$7:$G$2010,$D99,'LAC 102_Wkst'!$L$7:$L$2010,"13",'LAC 102_Wkst'!$N$7:$N$2010,"P1")+SUMIFS('LAC 102_Wkst'!$Q$7:$Q$2010,'LAC 102_Wkst'!$E$7:$E$2010,$C99,'LAC 102_Wkst'!$G$7:$G$2010,$D99,'LAC 102_Wkst'!$L$7:$L$2010,"13",'LAC 102_Wkst'!$N$7:$N$2010,"P2")+SUMIFS('LAC 102_Wkst'!$Q$7:$Q$2010,'LAC 102_Wkst'!$E$7:$E$2010,$C99,'LAC 102_Wkst'!$G$7:$G$2010,$D99,'LAC 102_Wkst'!$L$7:$L$2010,"13",'LAC 102_Wkst'!$N$7:$N$2010,"P3")+SUMIFS('LAC 102_Wkst'!$Q$7:$Q$2010,'LAC 102_Wkst'!$E$7:$E$2010,$C99,'LAC 102_Wkst'!$G$7:$G$2010,$D99,'LAC 102_Wkst'!$L$7:$L$2010,"13",'LAC 102_Wkst'!$N$7:$N$2010,"P4")</f>
        <v>0</v>
      </c>
      <c r="BC99" s="411">
        <f>SUMIFS('LAC 102_Wkst'!$AE$7:$AE$2010,'LAC 102_Wkst'!$E$7:$E$2010,$C99,'LAC 102_Wkst'!$G$7:$G$2010,$D99,'LAC 102_Wkst'!$L$7:$L$2010,"13",'LAC 102_Wkst'!$N$7:$N$2010,"P1")+SUMIFS('LAC 102_Wkst'!$AE$7:$AE$2010,'LAC 102_Wkst'!$E$7:$E$2010,$C99,'LAC 102_Wkst'!$G$7:$G$2010,$D99,'LAC 102_Wkst'!$L$7:$L$2010,"13",'LAC 102_Wkst'!$N$7:$N$2010,"P2")+SUMIFS('LAC 102_Wkst'!$AE$7:$AE$2010,'LAC 102_Wkst'!$E$7:$E$2010,$C99,'LAC 102_Wkst'!$G$7:$G$2010,$D99,'LAC 102_Wkst'!$L$7:$L$2010,"13",'LAC 102_Wkst'!$N$7:$N$2010,"P3")+SUMIFS('LAC 102_Wkst'!$AE$7:$AE$2010,'LAC 102_Wkst'!$E$7:$E$2010,$C99,'LAC 102_Wkst'!$G$7:$G$2010,$D99,'LAC 102_Wkst'!$L$7:$L$2010,"13",'LAC 102_Wkst'!$N$7:$N$2010,"P4")</f>
        <v>0</v>
      </c>
      <c r="BD99" s="410">
        <f>SUMIFS('LAC 102_Wkst'!$Q$7:$Q$2010,'LAC 102_Wkst'!$E$7:$E$2010,$C99,'LAC 102_Wkst'!$G$7:$G$2010,$D99,'LAC 102_Wkst'!$L$7:$L$2010,"13",'LAC 102_Wkst'!$N$7:$N$2010,"P5")</f>
        <v>0</v>
      </c>
      <c r="BE99" s="411">
        <f>SUMIFS('LAC 102_Wkst'!$AE$7:$AE$2010,'LAC 102_Wkst'!$E$7:$E$2010,$C99,'LAC 102_Wkst'!$G$7:$G$2010,$D99,'LAC 102_Wkst'!$L$7:$L$2010,"13",'LAC 102_Wkst'!$N$7:$N$2010,"P5")</f>
        <v>0</v>
      </c>
      <c r="BF99" s="407">
        <f t="shared" si="1"/>
        <v>0</v>
      </c>
    </row>
    <row r="100" spans="1:58" x14ac:dyDescent="0.2">
      <c r="A100" s="401">
        <v>81</v>
      </c>
      <c r="B100" s="1236"/>
      <c r="C100" s="1235"/>
      <c r="D100" s="1237"/>
      <c r="E100" s="1222">
        <f>IF(CONCATENATE(C100,D100)&gt;"6069",1,SUMIFS('LAC 102_Wkst'!$Q$7:$Q$2010,'LAC 102_Wkst'!$E$7:$E$2010,Schedule_B!$C100,'LAC 102_Wkst'!$G$7:$G$2010,Schedule_B!$D100))</f>
        <v>0</v>
      </c>
      <c r="F100" s="408">
        <f>SUMIFS('LAC 102_Wkst'!$Q$7:$Q$2010,'LAC 102_Wkst'!$E$7:$E$2010,$C100,'LAC 102_Wkst'!$G$7:$G$2010,$D100,'LAC 102_Wkst'!$L$7:$L$2010,"01",'LAC 102_Wkst'!$N$7:$N$2010,"P1")+SUMIFS('LAC 102_Wkst'!$Q$7:$Q$2010,'LAC 102_Wkst'!$E$7:$E$2010,$C100,'LAC 102_Wkst'!$G$7:$G$2010,$D100,'LAC 102_Wkst'!$L$7:$L$2010,"01",'LAC 102_Wkst'!$N$7:$N$2010,"P2")+SUMIFS('LAC 102_Wkst'!$Q$7:$Q$2010,'LAC 102_Wkst'!$E$7:$E$2010,$C100,'LAC 102_Wkst'!$G$7:$G$2010,$D100,'LAC 102_Wkst'!$L$7:$L$2010,"01",'LAC 102_Wkst'!$N$7:$N$2010,"P3")+SUMIFS('LAC 102_Wkst'!$Q$7:$Q$2010,'LAC 102_Wkst'!$E$7:$E$2010,$C100,'LAC 102_Wkst'!$G$7:$G$2010,$D100,'LAC 102_Wkst'!$L$7:$L$2010,"02",'LAC 102_Wkst'!$N$7:$N$2010,"P1")+SUMIFS('LAC 102_Wkst'!$Q$7:$Q$2010,'LAC 102_Wkst'!$E$7:$E$2010,$C100,'LAC 102_Wkst'!$G$7:$G$2010,$D100,'LAC 102_Wkst'!$L$7:$L$2010,"02",'LAC 102_Wkst'!$N$7:$N$2010,"P2")+SUMIFS('LAC 102_Wkst'!$Q$7:$Q$2010,'LAC 102_Wkst'!$E$7:$E$2010,$C100,'LAC 102_Wkst'!$G$7:$G$2010,$D100,'LAC 102_Wkst'!$L$7:$L$2010,"02",'LAC 102_Wkst'!$N$7:$N$2010,"P3")</f>
        <v>0</v>
      </c>
      <c r="G100" s="409">
        <f>SUMIFS('LAC 102_Wkst'!$AE$7:$AE$2010,'LAC 102_Wkst'!$E$7:$E$2010,$C100,'LAC 102_Wkst'!$G$7:$G$2010,$D100,'LAC 102_Wkst'!$L$7:$L$2010,"01",'LAC 102_Wkst'!$N$7:$N$2010,"P1")+SUMIFS('LAC 102_Wkst'!$AE$7:$AE$2010,'LAC 102_Wkst'!$E$7:$E$2010,$C100,'LAC 102_Wkst'!$G$7:$G$2010,$D100,'LAC 102_Wkst'!$L$7:$L$2010,"01",'LAC 102_Wkst'!$N$7:$N$2010,"P2")+SUMIFS('LAC 102_Wkst'!$AE$7:$AE$2010,'LAC 102_Wkst'!$E$7:$E$2010,$C100,'LAC 102_Wkst'!$G$7:$G$2010,$D100,'LAC 102_Wkst'!$L$7:$L$2010,"01",'LAC 102_Wkst'!$N$7:$N$2010,"P3")+SUMIFS('LAC 102_Wkst'!$AE$7:$AE$2010,'LAC 102_Wkst'!$E$7:$E$2010,$C100,'LAC 102_Wkst'!$G$7:$G$2010,$D100,'LAC 102_Wkst'!$L$7:$L$2010,"02",'LAC 102_Wkst'!$N$7:$N$2010,"P1")+SUMIFS('LAC 102_Wkst'!$AE$7:$AE$2010,'LAC 102_Wkst'!$E$7:$E$2010,$C100,'LAC 102_Wkst'!$G$7:$G$2010,$D100,'LAC 102_Wkst'!$L$7:$L$2010,"02",'LAC 102_Wkst'!$N$7:$N$2010,"P2")+SUMIFS('LAC 102_Wkst'!$AE$7:$AE$2010,'LAC 102_Wkst'!$E$7:$E$2010,$C100,'LAC 102_Wkst'!$G$7:$G$2010,$D100,'LAC 102_Wkst'!$L$7:$L$2010,"02",'LAC 102_Wkst'!$N$7:$N$2010,"P3")</f>
        <v>0</v>
      </c>
      <c r="H100" s="410">
        <f>SUMIFS('LAC 102_Wkst'!$Q$7:$Q$2010,'LAC 102_Wkst'!$E$7:$E$2010,$C100,'LAC 102_Wkst'!$G$7:$G$2010,$D100,'LAC 102_Wkst'!$L$7:$L$2010,"01",'LAC 102_Wkst'!$N$7:$N$2010,"P4")+SUMIFS('LAC 102_Wkst'!$Q$7:$Q$2010,'LAC 102_Wkst'!$E$7:$E$2010,$C100,'LAC 102_Wkst'!$G$7:$G$2010,$D100,'LAC 102_Wkst'!$L$7:$L$2010,"02",'LAC 102_Wkst'!$N$7:$N$2010,"P4")</f>
        <v>0</v>
      </c>
      <c r="I100" s="411">
        <f>SUMIFS('LAC 102_Wkst'!$AE$7:$AE$2010,'LAC 102_Wkst'!$E$7:$E$2010,$C100,'LAC 102_Wkst'!$G$7:$G$2010,$D100,'LAC 102_Wkst'!$L$7:$L$2010,"01",'LAC 102_Wkst'!$N$7:$N$2010,"P4")+SUMIFS('LAC 102_Wkst'!$AE$7:$AE$2010,'LAC 102_Wkst'!$E$7:$E$2010,$C100,'LAC 102_Wkst'!$G$7:$G$2010,$D100,'LAC 102_Wkst'!$L$7:$L$2010,"02",'LAC 102_Wkst'!$N$7:$N$2010,"P4")</f>
        <v>0</v>
      </c>
      <c r="J100" s="410">
        <f>SUMIFS('LAC 102_Wkst'!$Q$7:$Q$2010,'LAC 102_Wkst'!$E$7:$E$2010,$C100,'LAC 102_Wkst'!$G$7:$G$2010,$D100,'LAC 102_Wkst'!$L$7:$L$2010,"01",'LAC 102_Wkst'!$N$7:$N$2010,"P5")+SUMIFS('LAC 102_Wkst'!$Q$7:$Q$2010,'LAC 102_Wkst'!$E$7:$E$2010,$C100,'LAC 102_Wkst'!$G$7:$G$2010,$D100,'LAC 102_Wkst'!$L$7:$L$2010,"02",'LAC 102_Wkst'!$N$7:$N$2010,"P5")</f>
        <v>0</v>
      </c>
      <c r="K100" s="411">
        <f>SUMIFS('LAC 102_Wkst'!$AE$7:$AE$2010,'LAC 102_Wkst'!$E$7:$E$2010,$C100,'LAC 102_Wkst'!$G$7:$G$2010,$D100,'LAC 102_Wkst'!$L$7:$L$2010,"01",'LAC 102_Wkst'!$N$7:$N$2010,"P5")+SUMIFS('LAC 102_Wkst'!$AE$7:$AE$2010,'LAC 102_Wkst'!$E$7:$E$2010,$C100,'LAC 102_Wkst'!$G$7:$G$2010,$D100,'LAC 102_Wkst'!$L$7:$L$2010,"02",'LAC 102_Wkst'!$N$7:$N$2010,"P5")</f>
        <v>0</v>
      </c>
      <c r="L100" s="410">
        <f>SUMIFS('LAC 102_Wkst'!$Q$7:$Q$2010,'LAC 102_Wkst'!$E$7:$E$2010,$C100,'LAC 102_Wkst'!$G$7:$G$2010,$D100,'LAC 102_Wkst'!$L$7:$L$2010,"03",'LAC 102_Wkst'!$N$7:$N$2010,"P1")+SUMIFS('LAC 102_Wkst'!$Q$7:$Q$2010,'LAC 102_Wkst'!$E$7:$E$2010,$C100,'LAC 102_Wkst'!$G$7:$G$2010,$D100,'LAC 102_Wkst'!$L$7:$L$2010,"03",'LAC 102_Wkst'!$N$7:$N$2010,"P2")+SUMIFS('LAC 102_Wkst'!$Q$7:$Q$2010,'LAC 102_Wkst'!$E$7:$E$2010,$C100,'LAC 102_Wkst'!$G$7:$G$2010,$D100,'LAC 102_Wkst'!$L$7:$L$2010,"03",'LAC 102_Wkst'!$N$7:$N$2010,"P3")+SUMIFS('LAC 102_Wkst'!$Q$7:$Q$2010,'LAC 102_Wkst'!$E$7:$E$2010,$C100,'LAC 102_Wkst'!$G$7:$G$2010,$D100,'LAC 102_Wkst'!$L$7:$L$2010,"04",'LAC 102_Wkst'!$N$7:$N$2010,"P1")+SUMIFS('LAC 102_Wkst'!$Q$7:$Q$2010,'LAC 102_Wkst'!$E$7:$E$2010,$C100,'LAC 102_Wkst'!$G$7:$G$2010,$D100,'LAC 102_Wkst'!$L$7:$L$2010,"04",'LAC 102_Wkst'!$N$7:$N$2010,"P2")+SUMIFS('LAC 102_Wkst'!$Q$7:$Q$2010,'LAC 102_Wkst'!$E$7:$E$2010,$C100,'LAC 102_Wkst'!$G$7:$G$2010,$D100,'LAC 102_Wkst'!$L$7:$L$2010,"04",'LAC 102_Wkst'!$N$7:$N$2010,"P3")</f>
        <v>0</v>
      </c>
      <c r="M100" s="411">
        <f>SUMIFS('LAC 102_Wkst'!$AE$7:$AE$2010,'LAC 102_Wkst'!$E$7:$E$2010,$C100,'LAC 102_Wkst'!$G$7:$G$2010,$D100,'LAC 102_Wkst'!$L$7:$L$2010,"03",'LAC 102_Wkst'!$N$7:$N$2010,"P1")+SUMIFS('LAC 102_Wkst'!$AE$7:$AE$2010,'LAC 102_Wkst'!$E$7:$E$2010,$C100,'LAC 102_Wkst'!$G$7:$G$2010,$D100,'LAC 102_Wkst'!$L$7:$L$2010,"03",'LAC 102_Wkst'!$N$7:$N$2010,"P2")+SUMIFS('LAC 102_Wkst'!$AE$7:$AE$2010,'LAC 102_Wkst'!$E$7:$E$2010,$C100,'LAC 102_Wkst'!$G$7:$G$2010,$D100,'LAC 102_Wkst'!$L$7:$L$2010,"03",'LAC 102_Wkst'!$N$7:$N$2010,"P3")+SUMIFS('LAC 102_Wkst'!$AE$7:$AE$2010,'LAC 102_Wkst'!$E$7:$E$2010,$C100,'LAC 102_Wkst'!$G$7:$G$2010,$D100,'LAC 102_Wkst'!$L$7:$L$2010,"04",'LAC 102_Wkst'!$N$7:$N$2010,"P1")+SUMIFS('LAC 102_Wkst'!$AE$7:$AE$2010,'LAC 102_Wkst'!$E$7:$E$2010,$C100,'LAC 102_Wkst'!$G$7:$G$2010,$D100,'LAC 102_Wkst'!$L$7:$L$2010,"04",'LAC 102_Wkst'!$N$7:$N$2010,"P2")+SUMIFS('LAC 102_Wkst'!$AE$7:$AE$2010,'LAC 102_Wkst'!$E$7:$E$2010,$C100,'LAC 102_Wkst'!$G$7:$G$2010,$D100,'LAC 102_Wkst'!$L$7:$L$2010,"04",'LAC 102_Wkst'!$N$7:$N$2010,"P3")</f>
        <v>0</v>
      </c>
      <c r="N100" s="410">
        <f>SUMIFS('LAC 102_Wkst'!$Q$7:$Q$2010,'LAC 102_Wkst'!$E$7:$E$2010,$C100,'LAC 102_Wkst'!$G$7:$G$2010,$D100,'LAC 102_Wkst'!$L$7:$L$2010,"03",'LAC 102_Wkst'!$N$7:$N$2010,"P4")+SUMIFS('LAC 102_Wkst'!$Q$7:$Q$2010,'LAC 102_Wkst'!$E$7:$E$2010,$C100,'LAC 102_Wkst'!$G$7:$G$2010,$D100,'LAC 102_Wkst'!$L$7:$L$2010,"04",'LAC 102_Wkst'!$N$7:$N$2010,"P4")</f>
        <v>0</v>
      </c>
      <c r="O100" s="411">
        <f>SUMIFS('LAC 102_Wkst'!$AE$7:$AE$2010,'LAC 102_Wkst'!$E$7:$E$2010,$C100,'LAC 102_Wkst'!$G$7:$G$2010,$D100,'LAC 102_Wkst'!$L$7:$L$2010,"03",'LAC 102_Wkst'!$N$7:$N$2010,"P4")+SUMIFS('LAC 102_Wkst'!$AE$7:$AE$2010,'LAC 102_Wkst'!$E$7:$E$2010,$C100,'LAC 102_Wkst'!$G$7:$G$2010,$D100,'LAC 102_Wkst'!$L$7:$L$2010,"04",'LAC 102_Wkst'!$N$7:$N$2010,"P4")</f>
        <v>0</v>
      </c>
      <c r="P100" s="410">
        <f>SUMIFS('LAC 102_Wkst'!$Q$7:$Q$2010,'LAC 102_Wkst'!$E$7:$E$2010,$C100,'LAC 102_Wkst'!$G$7:$G$2010,$D100,'LAC 102_Wkst'!$L$7:$L$2010,"03",'LAC 102_Wkst'!$N$7:$N$2010,"P5")+SUMIFS('LAC 102_Wkst'!$Q$7:$Q$2010,'LAC 102_Wkst'!$E$7:$E$2010,$C100,'LAC 102_Wkst'!$G$7:$G$2010,$D100,'LAC 102_Wkst'!$L$7:$L$2010,"04",'LAC 102_Wkst'!$N$7:$N$2010,"P5")</f>
        <v>0</v>
      </c>
      <c r="Q100" s="411">
        <f>SUMIFS('LAC 102_Wkst'!$AE$7:$AE$2010,'LAC 102_Wkst'!$E$7:$E$2010,$C100,'LAC 102_Wkst'!$G$7:$G$2010,$D100,'LAC 102_Wkst'!$L$7:$L$2010,"03",'LAC 102_Wkst'!$N$7:$N$2010,"P5")+SUMIFS('LAC 102_Wkst'!$AE$7:$AE$2010,'LAC 102_Wkst'!$E$7:$E$2010,$C100,'LAC 102_Wkst'!$G$7:$G$2010,$D100,'LAC 102_Wkst'!$L$7:$L$2010,"04",'LAC 102_Wkst'!$N$7:$N$2010,"P5")</f>
        <v>0</v>
      </c>
      <c r="R100" s="412">
        <f>SUMIFS('LAC 102_Wkst'!$Q$7:$Q$2010,'LAC 102_Wkst'!$E$7:$E$2010,$C100,'LAC 102_Wkst'!$G$7:$G$2010,$D100,'LAC 102_Wkst'!$L$7:$L$2010,"05",'LAC 102_Wkst'!$N$7:$N$2010,"P1")+SUMIFS('LAC 102_Wkst'!$Q$7:$Q$2010,'LAC 102_Wkst'!$E$7:$E$2010,$C100,'LAC 102_Wkst'!$G$7:$G$2010,$D100,'LAC 102_Wkst'!$L$7:$L$2010,"06",'LAC 102_Wkst'!$N$7:$N$2010,"P1")</f>
        <v>0</v>
      </c>
      <c r="S100" s="411">
        <f>SUMIFS('LAC 102_Wkst'!$AE$7:$AE$2010,'LAC 102_Wkst'!$E$7:$E$2010,$C100,'LAC 102_Wkst'!$G$7:$G$2010,$D100,'LAC 102_Wkst'!$L$7:$L$2010,"05",'LAC 102_Wkst'!$N$7:$N$2010,"P1")+SUMIFS('LAC 102_Wkst'!$AE$7:$AE$2010,'LAC 102_Wkst'!$E$7:$E$2010,$C100,'LAC 102_Wkst'!$G$7:$G$2010,$D100,'LAC 102_Wkst'!$L$7:$L$2010,"06",'LAC 102_Wkst'!$N$7:$N$2010,"P1")</f>
        <v>0</v>
      </c>
      <c r="T100" s="410">
        <f>SUMIFS('LAC 102_Wkst'!$Q$7:$Q$2010,'LAC 102_Wkst'!$E$7:$E$2010,$C100,'LAC 102_Wkst'!$G$7:$G$2010,$D100,'LAC 102_Wkst'!$L$7:$L$2010,"05",'LAC 102_Wkst'!$N$7:$N$2010,"P2")+SUMIFS('LAC 102_Wkst'!$Q$7:$Q$2010,'LAC 102_Wkst'!$E$7:$E$2010,$C100,'LAC 102_Wkst'!$G$7:$G$2010,$D100,'LAC 102_Wkst'!$L$7:$L$2010,"05",'LAC 102_Wkst'!$N$7:$N$2010,"P3")+SUMIFS('LAC 102_Wkst'!$Q$7:$Q$2010,'LAC 102_Wkst'!$E$7:$E$2010,$C100,'LAC 102_Wkst'!$G$7:$G$2010,$D100,'LAC 102_Wkst'!$L$7:$L$2010,"06",'LAC 102_Wkst'!$N$7:$N$2010,"P2")+SUMIFS('LAC 102_Wkst'!$Q$7:$Q$2010,'LAC 102_Wkst'!$E$7:$E$2010,$C100,'LAC 102_Wkst'!$G$7:$G$2010,$D100,'LAC 102_Wkst'!$L$7:$L$2010,"06",'LAC 102_Wkst'!$N$7:$N$2010,"P3")</f>
        <v>0</v>
      </c>
      <c r="U100" s="411">
        <f>SUMIFS('LAC 102_Wkst'!$AE$7:$AE$2010,'LAC 102_Wkst'!$E$7:$E$2010,$C100,'LAC 102_Wkst'!$G$7:$G$2010,$D100,'LAC 102_Wkst'!$L$7:$L$2010,"05",'LAC 102_Wkst'!$N$7:$N$2010,"P2")+SUMIFS('LAC 102_Wkst'!$AE$7:$AE$2010,'LAC 102_Wkst'!$E$7:$E$2010,$C100,'LAC 102_Wkst'!$G$7:$G$2010,$D100,'LAC 102_Wkst'!$L$7:$L$2010,"06",'LAC 102_Wkst'!$N$7:$N$2010,"P3")+SUMIFS('LAC 102_Wkst'!$AE$7:$AE$2010,'LAC 102_Wkst'!$E$7:$E$2010,$C100,'LAC 102_Wkst'!$G$7:$G$2010,$D100,'LAC 102_Wkst'!$L$7:$L$2010,"05",'LAC 102_Wkst'!$N$7:$N$2010,"P2")+SUMIFS('LAC 102_Wkst'!$AE$7:$AE$2010,'LAC 102_Wkst'!$E$7:$E$2010,$C100,'LAC 102_Wkst'!$G$7:$G$2010,$D100,'LAC 102_Wkst'!$L$7:$L$2010,"06",'LAC 102_Wkst'!$N$7:$N$2010,"P3")</f>
        <v>0</v>
      </c>
      <c r="V100" s="410">
        <f>SUMIFS('LAC 102_Wkst'!$Q$7:$Q$2010,'LAC 102_Wkst'!$E$7:$E$2010,$C100,'LAC 102_Wkst'!$G$7:$G$2010,$D100,'LAC 102_Wkst'!$L$7:$L$2010,"05",'LAC 102_Wkst'!$N$7:$N$2010,"P4")+SUMIFS('LAC 102_Wkst'!$Q$7:$Q$2010,'LAC 102_Wkst'!$E$7:$E$2010,$C100,'LAC 102_Wkst'!$G$7:$G$2010,$D100,'LAC 102_Wkst'!$L$7:$L$2010,"06",'LAC 102_Wkst'!$N$7:$N$2010,"P4")</f>
        <v>0</v>
      </c>
      <c r="W100" s="411">
        <f>SUMIFS('LAC 102_Wkst'!$AE$7:$AE$2010,'LAC 102_Wkst'!$E$7:$E$2010,$C100,'LAC 102_Wkst'!$G$7:$G$2010,$D100,'LAC 102_Wkst'!$L$7:$L$2010,"05",'LAC 102_Wkst'!$N$7:$N$2010,"P4")+SUMIFS('LAC 102_Wkst'!$AE$7:$AE$2010,'LAC 102_Wkst'!$E$7:$E$2010,$C100,'LAC 102_Wkst'!$G$7:$G$2010,$D100,'LAC 102_Wkst'!$L$7:$L$2010,"06",'LAC 102_Wkst'!$N$7:$N$2010,"P4")</f>
        <v>0</v>
      </c>
      <c r="X100" s="410">
        <f>SUMIFS('LAC 102_Wkst'!$Q$7:$Q$2010,'LAC 102_Wkst'!$E$7:$E$2010,$C100,'LAC 102_Wkst'!$G$7:$G$2010,$D100,'LAC 102_Wkst'!$L$7:$L$2010,"05",'LAC 102_Wkst'!$N$7:$N$2010,"P5")+SUMIFS('LAC 102_Wkst'!$Q$7:$Q$2010,'LAC 102_Wkst'!$E$7:$E$2010,$C100,'LAC 102_Wkst'!$G$7:$G$2010,$D100,'LAC 102_Wkst'!$L$7:$L$2010,"06",'LAC 102_Wkst'!$N$7:$N$2010,"P5")</f>
        <v>0</v>
      </c>
      <c r="Y100" s="411">
        <f>SUMIFS('LAC 102_Wkst'!$AE$7:$AE$2010,'LAC 102_Wkst'!$E$7:$E$2010,$C100,'LAC 102_Wkst'!$G$7:$G$2010,$D100,'LAC 102_Wkst'!$L$7:$L$2010,"05",'LAC 102_Wkst'!$N$7:$N$2010,"P5")+SUMIFS('LAC 102_Wkst'!$AE$7:$AE$2010,'LAC 102_Wkst'!$E$7:$E$2010,$C100,'LAC 102_Wkst'!$G$7:$G$2010,$D100,'LAC 102_Wkst'!$L$7:$L$2010,"06",'LAC 102_Wkst'!$N$7:$N$2010,"P5")</f>
        <v>0</v>
      </c>
      <c r="Z100" s="410">
        <f>SUMIFS('LAC 102_Wkst'!$Q$7:$Q$2010,'LAC 102_Wkst'!$E$7:$E$2010,$C100,'LAC 102_Wkst'!$G$7:$G$2010,$D100,'LAC 102_Wkst'!$L$7:$L$2010,"07",'LAC 102_Wkst'!$N$7:$N$2010,"P1")+SUMIFS('LAC 102_Wkst'!$Q$7:$Q$2010,'LAC 102_Wkst'!$E$7:$E$2010,$C100,'LAC 102_Wkst'!$G$7:$G$2010,$D100,'LAC 102_Wkst'!$L$7:$L$2010,"07",'LAC 102_Wkst'!$N$7:$N$2010,"P2")+SUMIFS('LAC 102_Wkst'!$Q$7:$Q$2010,'LAC 102_Wkst'!$E$7:$E$2010,$C100,'LAC 102_Wkst'!$G$7:$G$2010,$D100,'LAC 102_Wkst'!$L$7:$L$2010,"07",'LAC 102_Wkst'!$N$7:$N$2010,"P3")</f>
        <v>0</v>
      </c>
      <c r="AA100" s="411">
        <f>SUMIFS('LAC 102_Wkst'!$AE$7:$AE$2010,'LAC 102_Wkst'!$E$7:$E$2010,$C100,'LAC 102_Wkst'!$G$7:$G$2010,$D100,'LAC 102_Wkst'!$L$7:$L$2010,"07",'LAC 102_Wkst'!$N$7:$N$2010,"P1")+SUMIFS('LAC 102_Wkst'!$AE$7:$AE$2010,'LAC 102_Wkst'!$E$7:$E$2010,$C100,'LAC 102_Wkst'!$G$7:$G$2010,$D100,'LAC 102_Wkst'!$L$7:$L$2010,"07",'LAC 102_Wkst'!$N$7:$N$2010,"P2")+SUMIFS('LAC 102_Wkst'!$AE$7:$AE$2010,'LAC 102_Wkst'!$E$7:$E$2010,$C100,'LAC 102_Wkst'!$G$7:$G$2010,$D100,'LAC 102_Wkst'!$L$7:$L$2010,"07",'LAC 102_Wkst'!$N$7:$N$2010,"P3")</f>
        <v>0</v>
      </c>
      <c r="AB100" s="410">
        <f>SUMIFS('LAC 102_Wkst'!$Q$7:$Q$2010,'LAC 102_Wkst'!$E$7:$E$2010,$C100,'LAC 102_Wkst'!$G$7:$G$2010,$D100,'LAC 102_Wkst'!$L$7:$L$2010,"07",'LAC 102_Wkst'!$N$7:$N$2010,"P4")</f>
        <v>0</v>
      </c>
      <c r="AC100" s="411">
        <f>SUMIFS('LAC 102_Wkst'!$AE$7:$AE$2010,'LAC 102_Wkst'!$E$7:$E$2010,$C100,'LAC 102_Wkst'!$G$7:$G$2010,$D100,'LAC 102_Wkst'!$L$7:$L$2010,"07",'LAC 102_Wkst'!$N$7:$N$2010,"P4")</f>
        <v>0</v>
      </c>
      <c r="AD100" s="410">
        <f>SUMIFS('LAC 102_Wkst'!$Q$7:$Q$2010,'LAC 102_Wkst'!$E$7:$E$2010,$C100,'LAC 102_Wkst'!$G$7:$G$2010,$D100,'LAC 102_Wkst'!$L$7:$L$2010,"07",'LAC 102_Wkst'!$N$7:$N$2010,"P5")</f>
        <v>0</v>
      </c>
      <c r="AE100" s="411">
        <f>SUMIFS('LAC 102_Wkst'!$AE$7:$AE$2010,'LAC 102_Wkst'!$E$7:$E$2010,$C100,'LAC 102_Wkst'!$G$7:$G$2010,$D100,'LAC 102_Wkst'!$L$7:$L$2010,"07",'LAC 102_Wkst'!$N$7:$N$2010,"P5")</f>
        <v>0</v>
      </c>
      <c r="AF100" s="410">
        <f>SUMIFS('LAC 102_Wkst'!$Q$7:$Q$2010,'LAC 102_Wkst'!$E$7:$E$2010,$C100,'LAC 102_Wkst'!$G$7:$G$2010,$D100,'LAC 102_Wkst'!$L$7:$L$2010,"08",'LAC 102_Wkst'!$N$7:$N$2010,"P1")+SUMIFS('LAC 102_Wkst'!$Q$7:$Q$2010,'LAC 102_Wkst'!$E$7:$E$2010,$C100,'LAC 102_Wkst'!$G$7:$G$2010,$D100,'LAC 102_Wkst'!$L$7:$L$2010,"08",'LAC 102_Wkst'!$N$7:$N$2010,"P2")+SUMIFS('LAC 102_Wkst'!$Q$7:$Q$2010,'LAC 102_Wkst'!$E$7:$E$2010,$C100,'LAC 102_Wkst'!$G$7:$G$2010,$D100,'LAC 102_Wkst'!$L$7:$L$2010,"08",'LAC 102_Wkst'!$N$7:$N$2010,"P3")</f>
        <v>0</v>
      </c>
      <c r="AG100" s="411">
        <f>SUMIFS('LAC 102_Wkst'!$AE$7:$AE$2010,'LAC 102_Wkst'!$E$7:$E$2010,$C100,'LAC 102_Wkst'!$G$7:$G$2010,$D100,'LAC 102_Wkst'!$L$7:$L$2010,"08",'LAC 102_Wkst'!$N$7:$N$2010,"P1")+SUMIFS('LAC 102_Wkst'!$AE$7:$AE$2010,'LAC 102_Wkst'!$E$7:$E$2010,$C100,'LAC 102_Wkst'!$G$7:$G$2010,$D100,'LAC 102_Wkst'!$L$7:$L$2010,"08",'LAC 102_Wkst'!$N$7:$N$2010,"P2")+SUMIFS('LAC 102_Wkst'!$AE$7:$AE$2010,'LAC 102_Wkst'!$E$7:$E$2010,$C100,'LAC 102_Wkst'!$G$7:$G$2010,$D100,'LAC 102_Wkst'!$L$7:$L$2010,"08",'LAC 102_Wkst'!$N$7:$N$2010,"P3")</f>
        <v>0</v>
      </c>
      <c r="AH100" s="410">
        <f>SUMIFS('LAC 102_Wkst'!$Q$7:$Q$2010,'LAC 102_Wkst'!$E$7:$E$2010,$C100,'LAC 102_Wkst'!$G$7:$G$2010,$D100,'LAC 102_Wkst'!$L$7:$L$2010,"08",'LAC 102_Wkst'!$N$7:$N$2010,"P4")</f>
        <v>0</v>
      </c>
      <c r="AI100" s="411">
        <f>SUMIFS('LAC 102_Wkst'!$AE$7:$AE$2010,'LAC 102_Wkst'!$E$7:$E$2010,$C100,'LAC 102_Wkst'!$G$7:$G$2010,$D100,'LAC 102_Wkst'!$L$7:$L$2010,"08",'LAC 102_Wkst'!$N$7:$N$2010,"P4")</f>
        <v>0</v>
      </c>
      <c r="AJ100" s="410">
        <f>SUMIFS('LAC 102_Wkst'!$Q$7:$Q$2010,'LAC 102_Wkst'!$E$7:$E$2010,$C100,'LAC 102_Wkst'!$G$7:$G$2010,$D100,'LAC 102_Wkst'!$L$7:$L$2010,"08",'LAC 102_Wkst'!$N$7:$N$2010,"P5")</f>
        <v>0</v>
      </c>
      <c r="AK100" s="411">
        <f>SUMIFS('LAC 102_Wkst'!$AE$7:$AE$2010,'LAC 102_Wkst'!$E$7:$E$2010,$C100,'LAC 102_Wkst'!$G$7:$G$2010,$D100,'LAC 102_Wkst'!$L$7:$L$2010,"08",'LAC 102_Wkst'!$N$7:$N$2010,"P5")</f>
        <v>0</v>
      </c>
      <c r="AL100" s="410">
        <f>SUMIFS('LAC 102_Wkst'!$Q$7:$Q$2010,'LAC 102_Wkst'!$E$7:$E$2010,$C100,'LAC 102_Wkst'!$G$7:$G$2010,$D100,'LAC 102_Wkst'!$L$7:$L$2010,"09",'LAC 102_Wkst'!$N$7:$N$2010,"P1")+SUMIFS('LAC 102_Wkst'!$Q$7:$Q$2010,'LAC 102_Wkst'!$E$7:$E$2010,$C100,'LAC 102_Wkst'!$G$7:$G$2010,$D100,'LAC 102_Wkst'!$L$7:$L$2010,"09",'LAC 102_Wkst'!$N$7:$N$2010,"P2")+SUMIFS('LAC 102_Wkst'!$Q$7:$Q$2010,'LAC 102_Wkst'!$E$7:$E$2010,$C100,'LAC 102_Wkst'!$G$7:$G$2010,$D100,'LAC 102_Wkst'!$L$7:$L$2010,"09",'LAC 102_Wkst'!$N$7:$N$2010,"P3")+SUMIFS('LAC 102_Wkst'!$Q$7:$Q$2010,'LAC 102_Wkst'!$E$7:$E$2010,$C100,'LAC 102_Wkst'!$G$7:$G$2010,$D100,'LAC 102_Wkst'!$L$7:$L$2010,"09",'LAC 102_Wkst'!$N$7:$N$2010,"P4")</f>
        <v>0</v>
      </c>
      <c r="AM100" s="411">
        <f>SUMIFS('LAC 102_Wkst'!$AE$7:$AE$2010,'LAC 102_Wkst'!$E$7:$E$2010,$C100,'LAC 102_Wkst'!$G$7:$G$2010,$D100,'LAC 102_Wkst'!$L$7:$L$2010,"09",'LAC 102_Wkst'!$N$7:$N$2010,"P1")+SUMIFS('LAC 102_Wkst'!$AE$7:$AE$2010,'LAC 102_Wkst'!$E$7:$E$2010,$C100,'LAC 102_Wkst'!$G$7:$G$2010,$D100,'LAC 102_Wkst'!$L$7:$L$2010,"09",'LAC 102_Wkst'!$N$7:$N$2010,"P2")+SUMIFS('LAC 102_Wkst'!$AE$7:$AE$2010,'LAC 102_Wkst'!$E$7:$E$2010,$C100,'LAC 102_Wkst'!$G$7:$G$2010,$D100,'LAC 102_Wkst'!$L$7:$L$2010,"09",'LAC 102_Wkst'!$N$7:$N$2010,"P3")+SUMIFS('LAC 102_Wkst'!$AE$7:$AE$2010,'LAC 102_Wkst'!$E$7:$E$2010,$C100,'LAC 102_Wkst'!$G$7:$G$2010,$D100,'LAC 102_Wkst'!$L$7:$L$2010,"09",'LAC 102_Wkst'!$N$7:$N$2010,"P4")</f>
        <v>0</v>
      </c>
      <c r="AN100" s="410">
        <f>SUMIFS('LAC 102_Wkst'!$Q$7:$Q$2010,'LAC 102_Wkst'!$E$7:$E$2010,$C100,'LAC 102_Wkst'!$G$7:$G$2010,$D100,'LAC 102_Wkst'!$L$7:$L$2010,"09",'LAC 102_Wkst'!$N$7:$N$2010,"P5")</f>
        <v>0</v>
      </c>
      <c r="AO100" s="411">
        <f>SUMIFS('LAC 102_Wkst'!$AE$7:$AE$2010,'LAC 102_Wkst'!$E$7:$E$2010,$C100,'LAC 102_Wkst'!$G$7:$G$2010,$D100,'LAC 102_Wkst'!$L$7:$L$2010,"09",'LAC 102_Wkst'!$N$7:$N$2010,"P5")</f>
        <v>0</v>
      </c>
      <c r="AP100" s="410">
        <f>SUMIFS('LAC 102_Wkst'!$Q$7:$Q$2010,'LAC 102_Wkst'!$E$7:$E$2010,$C100,'LAC 102_Wkst'!$G$7:$G$2010,$D100,'LAC 102_Wkst'!$L$7:$L$2010,"10",'LAC 102_Wkst'!$N$7:$N$2010,"P1")+SUMIFS('LAC 102_Wkst'!$Q$7:$Q$2010,'LAC 102_Wkst'!$E$7:$E$2010,$C100,'LAC 102_Wkst'!$G$7:$G$2010,$D100,'LAC 102_Wkst'!$L$7:$L$2010,"10",'LAC 102_Wkst'!$N$7:$N$2010,"P2")+SUMIFS('LAC 102_Wkst'!$Q$7:$Q$2010,'LAC 102_Wkst'!$E$7:$E$2010,$C100,'LAC 102_Wkst'!$G$7:$G$2010,$D100,'LAC 102_Wkst'!$L$7:$L$2010,"10",'LAC 102_Wkst'!$N$7:$N$2010,"P3")+SUMIFS('LAC 102_Wkst'!$Q$7:$Q$2010,'LAC 102_Wkst'!$E$7:$E$2010,$C100,'LAC 102_Wkst'!$G$7:$G$2010,$D100,'LAC 102_Wkst'!$L$7:$L$2010,"10",'LAC 102_Wkst'!$N$7:$N$2010,"P4")</f>
        <v>0</v>
      </c>
      <c r="AQ100" s="411">
        <f>SUMIFS('LAC 102_Wkst'!$AE$7:$AE$2010,'LAC 102_Wkst'!$E$7:$E$2010,$C100,'LAC 102_Wkst'!$G$7:$G$2010,$D100,'LAC 102_Wkst'!$L$7:$L$2010,"10",'LAC 102_Wkst'!$N$7:$N$2010,"P1")+SUMIFS('LAC 102_Wkst'!$AE$7:$AE$2010,'LAC 102_Wkst'!$E$7:$E$2010,$C100,'LAC 102_Wkst'!$G$7:$G$2010,$D100,'LAC 102_Wkst'!$L$7:$L$2010,"10",'LAC 102_Wkst'!$N$7:$N$2010,"P2")+SUMIFS('LAC 102_Wkst'!$AE$7:$AE$2010,'LAC 102_Wkst'!$E$7:$E$2010,$C100,'LAC 102_Wkst'!$G$7:$G$2010,$D100,'LAC 102_Wkst'!$L$7:$L$2010,"10",'LAC 102_Wkst'!$N$7:$N$2010,"P3")+SUMIFS('LAC 102_Wkst'!$AE$7:$AE$2010,'LAC 102_Wkst'!$E$7:$E$2010,$C100,'LAC 102_Wkst'!$G$7:$G$2010,$D100,'LAC 102_Wkst'!$L$7:$L$2010,"10",'LAC 102_Wkst'!$N$7:$N$2010,"P4")</f>
        <v>0</v>
      </c>
      <c r="AR100" s="410">
        <f>SUMIFS('LAC 102_Wkst'!$Q$7:$Q$2010,'LAC 102_Wkst'!$E$7:$E$2010,$C100,'LAC 102_Wkst'!$G$7:$G$2010,$D100,'LAC 102_Wkst'!$L$7:$L$2010,"10",'LAC 102_Wkst'!$N$7:$N$2010,"P5")</f>
        <v>0</v>
      </c>
      <c r="AS100" s="411">
        <f>SUMIFS('LAC 102_Wkst'!$AE$7:$AE$2010,'LAC 102_Wkst'!$E$7:$E$2010,$C100,'LAC 102_Wkst'!$G$7:$G$2010,$D100,'LAC 102_Wkst'!$L$7:$L$2010,"10",'LAC 102_Wkst'!$N$7:$N$2010,"P5")</f>
        <v>0</v>
      </c>
      <c r="AT100" s="410">
        <f>SUMIFS('LAC 102_Wkst'!$Q$7:$Q$2010,'LAC 102_Wkst'!$E$7:$E$2010,$C100,'LAC 102_Wkst'!$G$7:$G$2010,$D100,'LAC 102_Wkst'!$L$7:$L$2010,"11",'LAC 102_Wkst'!$N$7:$N$2010,"P1")+SUMIFS('LAC 102_Wkst'!$Q$7:$Q$2010,'LAC 102_Wkst'!$E$7:$E$2010,$C100,'LAC 102_Wkst'!$G$7:$G$2010,$D100,'LAC 102_Wkst'!$L$7:$L$2010,"12",'LAC 102_Wkst'!$N$7:$N$2010,"P1")</f>
        <v>0</v>
      </c>
      <c r="AU100" s="411">
        <f>SUMIFS('LAC 102_Wkst'!$AE$7:$AE$2010,'LAC 102_Wkst'!$E$7:$E$2010,$C100,'LAC 102_Wkst'!$G$7:$G$2010,$D100,'LAC 102_Wkst'!$L$7:$L$2010,"11",'LAC 102_Wkst'!$N$7:$N$2010,"P1")+SUMIFS('LAC 102_Wkst'!$AE$7:$AE$2010,'LAC 102_Wkst'!$E$7:$E$2010,$C100,'LAC 102_Wkst'!$G$7:$G$2010,$D100,'LAC 102_Wkst'!$L$7:$L$2010,"12",'LAC 102_Wkst'!$N$7:$N$2010,"P1")</f>
        <v>0</v>
      </c>
      <c r="AV100" s="410">
        <f>SUMIFS('LAC 102_Wkst'!$Q$7:$Q$2010,'LAC 102_Wkst'!$E$7:$E$2010,$C100,'LAC 102_Wkst'!$G$7:$G$2010,$D100,'LAC 102_Wkst'!$L$7:$L$2010,"11",'LAC 102_Wkst'!$N$7:$N$2010,"P2")+SUMIFS('LAC 102_Wkst'!$Q$7:$Q$2010,'LAC 102_Wkst'!$E$7:$E$2010,$C100,'LAC 102_Wkst'!$G$7:$G$2010,$D100,'LAC 102_Wkst'!$L$7:$L$2010,"12",'LAC 102_Wkst'!$N$7:$N$2010,"P3")+SUMIFS('LAC 102_Wkst'!$Q$7:$Q$2010,'LAC 102_Wkst'!$E$7:$E$2010,$C100,'LAC 102_Wkst'!$G$7:$G$2010,$D100,'LAC 102_Wkst'!$L$7:$L$2010,"11",'LAC 102_Wkst'!$N$7:$N$2010,"P2")+SUMIFS('LAC 102_Wkst'!$Q$7:$Q$2010,'LAC 102_Wkst'!$E$7:$E$2010,$C100,'LAC 102_Wkst'!$G$7:$G$2010,$D100,'LAC 102_Wkst'!$L$7:$L$2010,"12",'LAC 102_Wkst'!$N$7:$N$2010,"P3")</f>
        <v>0</v>
      </c>
      <c r="AW100" s="411">
        <f>SUMIFS('LAC 102_Wkst'!$AE$7:$AE$2010,'LAC 102_Wkst'!$E$7:$E$2010,$C100,'LAC 102_Wkst'!$G$7:$G$2010,$D100,'LAC 102_Wkst'!$L$7:$L$2010,"11",'LAC 102_Wkst'!$N$7:$N$2010,"P2")+SUMIFS('LAC 102_Wkst'!$AE$7:$AE$2010,'LAC 102_Wkst'!$E$7:$E$2010,$C100,'LAC 102_Wkst'!$G$7:$G$2010,$D100,'LAC 102_Wkst'!$L$7:$L$2010,"12",'LAC 102_Wkst'!$N$7:$N$2010,"P3")+SUMIFS('LAC 102_Wkst'!$AE$7:$AE$2010,'LAC 102_Wkst'!$E$7:$E$2010,$C100,'LAC 102_Wkst'!$G$7:$G$2010,$D100,'LAC 102_Wkst'!$L$7:$L$2010,"11",'LAC 102_Wkst'!$N$7:$N$2010,"P2")+SUMIFS('LAC 102_Wkst'!$AE$7:$AE$2010,'LAC 102_Wkst'!$E$7:$E$2010,$C100,'LAC 102_Wkst'!$G$7:$G$2010,$D100,'LAC 102_Wkst'!$L$7:$L$2010,"12",'LAC 102_Wkst'!$N$7:$N$2010,"P3")</f>
        <v>0</v>
      </c>
      <c r="AX100" s="410">
        <f>SUMIFS('LAC 102_Wkst'!$Q$7:$Q$2010,'LAC 102_Wkst'!$E$7:$E$2010,$C100,'LAC 102_Wkst'!$G$7:$G$2010,$D100,'LAC 102_Wkst'!$L$7:$L$2010,"11",'LAC 102_Wkst'!$N$7:$N$2010,"P4")+SUMIFS('LAC 102_Wkst'!$Q$7:$Q$2010,'LAC 102_Wkst'!$E$7:$E$2010,$C100,'LAC 102_Wkst'!$G$7:$G$2010,$D100,'LAC 102_Wkst'!$L$7:$L$2010,"12",'LAC 102_Wkst'!$N$7:$N$2010,"P4")</f>
        <v>0</v>
      </c>
      <c r="AY100" s="411">
        <f>SUMIFS('LAC 102_Wkst'!$AE$7:$AE$2010,'LAC 102_Wkst'!$E$7:$E$2010,$C100,'LAC 102_Wkst'!$G$7:$G$2010,$D100,'LAC 102_Wkst'!$L$7:$L$2010,"11",'LAC 102_Wkst'!$N$7:$N$2010,"P4")+SUMIFS('LAC 102_Wkst'!$AE$7:$AE$2010,'LAC 102_Wkst'!$E$7:$E$2010,$C100,'LAC 102_Wkst'!$G$7:$G$2010,$D100,'LAC 102_Wkst'!$L$7:$L$2010,"12",'LAC 102_Wkst'!$N$7:$N$2010,"P4")</f>
        <v>0</v>
      </c>
      <c r="AZ100" s="410">
        <f>SUMIFS('LAC 102_Wkst'!$Q$7:$Q$2010,'LAC 102_Wkst'!$E$7:$E$2010,$C100,'LAC 102_Wkst'!$G$7:$G$2010,$D100,'LAC 102_Wkst'!$L$7:$L$2010,"11",'LAC 102_Wkst'!$N$7:$N$2010,"P5")+SUMIFS('LAC 102_Wkst'!$Q$7:$Q$2010,'LAC 102_Wkst'!$E$7:$E$2010,$C100,'LAC 102_Wkst'!$G$7:$G$2010,$D100,'LAC 102_Wkst'!$L$7:$L$2010,"12",'LAC 102_Wkst'!$N$7:$N$2010,"P5")</f>
        <v>0</v>
      </c>
      <c r="BA100" s="411">
        <f>SUMIFS('LAC 102_Wkst'!$AE$7:$AE$2010,'LAC 102_Wkst'!$E$7:$E$2010,$C100,'LAC 102_Wkst'!$G$7:$G$2010,$D100,'LAC 102_Wkst'!$L$7:$L$2010,"11",'LAC 102_Wkst'!$N$7:$N$2010,"P5")+SUMIFS('LAC 102_Wkst'!$AE$7:$AE$2010,'LAC 102_Wkst'!$E$7:$E$2010,$C100,'LAC 102_Wkst'!$G$7:$G$2010,$D100,'LAC 102_Wkst'!$L$7:$L$2010,"12",'LAC 102_Wkst'!$N$7:$N$2010,"P5")</f>
        <v>0</v>
      </c>
      <c r="BB100" s="410">
        <f>SUMIFS('LAC 102_Wkst'!$Q$7:$Q$2010,'LAC 102_Wkst'!$E$7:$E$2010,$C100,'LAC 102_Wkst'!$G$7:$G$2010,$D100,'LAC 102_Wkst'!$L$7:$L$2010,"13",'LAC 102_Wkst'!$N$7:$N$2010,"P1")+SUMIFS('LAC 102_Wkst'!$Q$7:$Q$2010,'LAC 102_Wkst'!$E$7:$E$2010,$C100,'LAC 102_Wkst'!$G$7:$G$2010,$D100,'LAC 102_Wkst'!$L$7:$L$2010,"13",'LAC 102_Wkst'!$N$7:$N$2010,"P2")+SUMIFS('LAC 102_Wkst'!$Q$7:$Q$2010,'LAC 102_Wkst'!$E$7:$E$2010,$C100,'LAC 102_Wkst'!$G$7:$G$2010,$D100,'LAC 102_Wkst'!$L$7:$L$2010,"13",'LAC 102_Wkst'!$N$7:$N$2010,"P3")+SUMIFS('LAC 102_Wkst'!$Q$7:$Q$2010,'LAC 102_Wkst'!$E$7:$E$2010,$C100,'LAC 102_Wkst'!$G$7:$G$2010,$D100,'LAC 102_Wkst'!$L$7:$L$2010,"13",'LAC 102_Wkst'!$N$7:$N$2010,"P4")</f>
        <v>0</v>
      </c>
      <c r="BC100" s="411">
        <f>SUMIFS('LAC 102_Wkst'!$AE$7:$AE$2010,'LAC 102_Wkst'!$E$7:$E$2010,$C100,'LAC 102_Wkst'!$G$7:$G$2010,$D100,'LAC 102_Wkst'!$L$7:$L$2010,"13",'LAC 102_Wkst'!$N$7:$N$2010,"P1")+SUMIFS('LAC 102_Wkst'!$AE$7:$AE$2010,'LAC 102_Wkst'!$E$7:$E$2010,$C100,'LAC 102_Wkst'!$G$7:$G$2010,$D100,'LAC 102_Wkst'!$L$7:$L$2010,"13",'LAC 102_Wkst'!$N$7:$N$2010,"P2")+SUMIFS('LAC 102_Wkst'!$AE$7:$AE$2010,'LAC 102_Wkst'!$E$7:$E$2010,$C100,'LAC 102_Wkst'!$G$7:$G$2010,$D100,'LAC 102_Wkst'!$L$7:$L$2010,"13",'LAC 102_Wkst'!$N$7:$N$2010,"P3")+SUMIFS('LAC 102_Wkst'!$AE$7:$AE$2010,'LAC 102_Wkst'!$E$7:$E$2010,$C100,'LAC 102_Wkst'!$G$7:$G$2010,$D100,'LAC 102_Wkst'!$L$7:$L$2010,"13",'LAC 102_Wkst'!$N$7:$N$2010,"P4")</f>
        <v>0</v>
      </c>
      <c r="BD100" s="410">
        <f>SUMIFS('LAC 102_Wkst'!$Q$7:$Q$2010,'LAC 102_Wkst'!$E$7:$E$2010,$C100,'LAC 102_Wkst'!$G$7:$G$2010,$D100,'LAC 102_Wkst'!$L$7:$L$2010,"13",'LAC 102_Wkst'!$N$7:$N$2010,"P5")</f>
        <v>0</v>
      </c>
      <c r="BE100" s="411">
        <f>SUMIFS('LAC 102_Wkst'!$AE$7:$AE$2010,'LAC 102_Wkst'!$E$7:$E$2010,$C100,'LAC 102_Wkst'!$G$7:$G$2010,$D100,'LAC 102_Wkst'!$L$7:$L$2010,"13",'LAC 102_Wkst'!$N$7:$N$2010,"P5")</f>
        <v>0</v>
      </c>
      <c r="BF100" s="407">
        <f t="shared" si="1"/>
        <v>0</v>
      </c>
    </row>
    <row r="101" spans="1:58" x14ac:dyDescent="0.2">
      <c r="A101" s="401">
        <v>82</v>
      </c>
      <c r="B101" s="1236"/>
      <c r="C101" s="1235"/>
      <c r="D101" s="1237"/>
      <c r="E101" s="1222">
        <f>IF(CONCATENATE(C101,D101)&gt;"6069",1,SUMIFS('LAC 102_Wkst'!$Q$7:$Q$2010,'LAC 102_Wkst'!$E$7:$E$2010,Schedule_B!$C101,'LAC 102_Wkst'!$G$7:$G$2010,Schedule_B!$D101))</f>
        <v>0</v>
      </c>
      <c r="F101" s="408">
        <f>SUMIFS('LAC 102_Wkst'!$Q$7:$Q$2010,'LAC 102_Wkst'!$E$7:$E$2010,$C101,'LAC 102_Wkst'!$G$7:$G$2010,$D101,'LAC 102_Wkst'!$L$7:$L$2010,"01",'LAC 102_Wkst'!$N$7:$N$2010,"P1")+SUMIFS('LAC 102_Wkst'!$Q$7:$Q$2010,'LAC 102_Wkst'!$E$7:$E$2010,$C101,'LAC 102_Wkst'!$G$7:$G$2010,$D101,'LAC 102_Wkst'!$L$7:$L$2010,"01",'LAC 102_Wkst'!$N$7:$N$2010,"P2")+SUMIFS('LAC 102_Wkst'!$Q$7:$Q$2010,'LAC 102_Wkst'!$E$7:$E$2010,$C101,'LAC 102_Wkst'!$G$7:$G$2010,$D101,'LAC 102_Wkst'!$L$7:$L$2010,"01",'LAC 102_Wkst'!$N$7:$N$2010,"P3")+SUMIFS('LAC 102_Wkst'!$Q$7:$Q$2010,'LAC 102_Wkst'!$E$7:$E$2010,$C101,'LAC 102_Wkst'!$G$7:$G$2010,$D101,'LAC 102_Wkst'!$L$7:$L$2010,"02",'LAC 102_Wkst'!$N$7:$N$2010,"P1")+SUMIFS('LAC 102_Wkst'!$Q$7:$Q$2010,'LAC 102_Wkst'!$E$7:$E$2010,$C101,'LAC 102_Wkst'!$G$7:$G$2010,$D101,'LAC 102_Wkst'!$L$7:$L$2010,"02",'LAC 102_Wkst'!$N$7:$N$2010,"P2")+SUMIFS('LAC 102_Wkst'!$Q$7:$Q$2010,'LAC 102_Wkst'!$E$7:$E$2010,$C101,'LAC 102_Wkst'!$G$7:$G$2010,$D101,'LAC 102_Wkst'!$L$7:$L$2010,"02",'LAC 102_Wkst'!$N$7:$N$2010,"P3")</f>
        <v>0</v>
      </c>
      <c r="G101" s="409">
        <f>SUMIFS('LAC 102_Wkst'!$AE$7:$AE$2010,'LAC 102_Wkst'!$E$7:$E$2010,$C101,'LAC 102_Wkst'!$G$7:$G$2010,$D101,'LAC 102_Wkst'!$L$7:$L$2010,"01",'LAC 102_Wkst'!$N$7:$N$2010,"P1")+SUMIFS('LAC 102_Wkst'!$AE$7:$AE$2010,'LAC 102_Wkst'!$E$7:$E$2010,$C101,'LAC 102_Wkst'!$G$7:$G$2010,$D101,'LAC 102_Wkst'!$L$7:$L$2010,"01",'LAC 102_Wkst'!$N$7:$N$2010,"P2")+SUMIFS('LAC 102_Wkst'!$AE$7:$AE$2010,'LAC 102_Wkst'!$E$7:$E$2010,$C101,'LAC 102_Wkst'!$G$7:$G$2010,$D101,'LAC 102_Wkst'!$L$7:$L$2010,"01",'LAC 102_Wkst'!$N$7:$N$2010,"P3")+SUMIFS('LAC 102_Wkst'!$AE$7:$AE$2010,'LAC 102_Wkst'!$E$7:$E$2010,$C101,'LAC 102_Wkst'!$G$7:$G$2010,$D101,'LAC 102_Wkst'!$L$7:$L$2010,"02",'LAC 102_Wkst'!$N$7:$N$2010,"P1")+SUMIFS('LAC 102_Wkst'!$AE$7:$AE$2010,'LAC 102_Wkst'!$E$7:$E$2010,$C101,'LAC 102_Wkst'!$G$7:$G$2010,$D101,'LAC 102_Wkst'!$L$7:$L$2010,"02",'LAC 102_Wkst'!$N$7:$N$2010,"P2")+SUMIFS('LAC 102_Wkst'!$AE$7:$AE$2010,'LAC 102_Wkst'!$E$7:$E$2010,$C101,'LAC 102_Wkst'!$G$7:$G$2010,$D101,'LAC 102_Wkst'!$L$7:$L$2010,"02",'LAC 102_Wkst'!$N$7:$N$2010,"P3")</f>
        <v>0</v>
      </c>
      <c r="H101" s="410">
        <f>SUMIFS('LAC 102_Wkst'!$Q$7:$Q$2010,'LAC 102_Wkst'!$E$7:$E$2010,$C101,'LAC 102_Wkst'!$G$7:$G$2010,$D101,'LAC 102_Wkst'!$L$7:$L$2010,"01",'LAC 102_Wkst'!$N$7:$N$2010,"P4")+SUMIFS('LAC 102_Wkst'!$Q$7:$Q$2010,'LAC 102_Wkst'!$E$7:$E$2010,$C101,'LAC 102_Wkst'!$G$7:$G$2010,$D101,'LAC 102_Wkst'!$L$7:$L$2010,"02",'LAC 102_Wkst'!$N$7:$N$2010,"P4")</f>
        <v>0</v>
      </c>
      <c r="I101" s="411">
        <f>SUMIFS('LAC 102_Wkst'!$AE$7:$AE$2010,'LAC 102_Wkst'!$E$7:$E$2010,$C101,'LAC 102_Wkst'!$G$7:$G$2010,$D101,'LAC 102_Wkst'!$L$7:$L$2010,"01",'LAC 102_Wkst'!$N$7:$N$2010,"P4")+SUMIFS('LAC 102_Wkst'!$AE$7:$AE$2010,'LAC 102_Wkst'!$E$7:$E$2010,$C101,'LAC 102_Wkst'!$G$7:$G$2010,$D101,'LAC 102_Wkst'!$L$7:$L$2010,"02",'LAC 102_Wkst'!$N$7:$N$2010,"P4")</f>
        <v>0</v>
      </c>
      <c r="J101" s="410">
        <f>SUMIFS('LAC 102_Wkst'!$Q$7:$Q$2010,'LAC 102_Wkst'!$E$7:$E$2010,$C101,'LAC 102_Wkst'!$G$7:$G$2010,$D101,'LAC 102_Wkst'!$L$7:$L$2010,"01",'LAC 102_Wkst'!$N$7:$N$2010,"P5")+SUMIFS('LAC 102_Wkst'!$Q$7:$Q$2010,'LAC 102_Wkst'!$E$7:$E$2010,$C101,'LAC 102_Wkst'!$G$7:$G$2010,$D101,'LAC 102_Wkst'!$L$7:$L$2010,"02",'LAC 102_Wkst'!$N$7:$N$2010,"P5")</f>
        <v>0</v>
      </c>
      <c r="K101" s="411">
        <f>SUMIFS('LAC 102_Wkst'!$AE$7:$AE$2010,'LAC 102_Wkst'!$E$7:$E$2010,$C101,'LAC 102_Wkst'!$G$7:$G$2010,$D101,'LAC 102_Wkst'!$L$7:$L$2010,"01",'LAC 102_Wkst'!$N$7:$N$2010,"P5")+SUMIFS('LAC 102_Wkst'!$AE$7:$AE$2010,'LAC 102_Wkst'!$E$7:$E$2010,$C101,'LAC 102_Wkst'!$G$7:$G$2010,$D101,'LAC 102_Wkst'!$L$7:$L$2010,"02",'LAC 102_Wkst'!$N$7:$N$2010,"P5")</f>
        <v>0</v>
      </c>
      <c r="L101" s="410">
        <f>SUMIFS('LAC 102_Wkst'!$Q$7:$Q$2010,'LAC 102_Wkst'!$E$7:$E$2010,$C101,'LAC 102_Wkst'!$G$7:$G$2010,$D101,'LAC 102_Wkst'!$L$7:$L$2010,"03",'LAC 102_Wkst'!$N$7:$N$2010,"P1")+SUMIFS('LAC 102_Wkst'!$Q$7:$Q$2010,'LAC 102_Wkst'!$E$7:$E$2010,$C101,'LAC 102_Wkst'!$G$7:$G$2010,$D101,'LAC 102_Wkst'!$L$7:$L$2010,"03",'LAC 102_Wkst'!$N$7:$N$2010,"P2")+SUMIFS('LAC 102_Wkst'!$Q$7:$Q$2010,'LAC 102_Wkst'!$E$7:$E$2010,$C101,'LAC 102_Wkst'!$G$7:$G$2010,$D101,'LAC 102_Wkst'!$L$7:$L$2010,"03",'LAC 102_Wkst'!$N$7:$N$2010,"P3")+SUMIFS('LAC 102_Wkst'!$Q$7:$Q$2010,'LAC 102_Wkst'!$E$7:$E$2010,$C101,'LAC 102_Wkst'!$G$7:$G$2010,$D101,'LAC 102_Wkst'!$L$7:$L$2010,"04",'LAC 102_Wkst'!$N$7:$N$2010,"P1")+SUMIFS('LAC 102_Wkst'!$Q$7:$Q$2010,'LAC 102_Wkst'!$E$7:$E$2010,$C101,'LAC 102_Wkst'!$G$7:$G$2010,$D101,'LAC 102_Wkst'!$L$7:$L$2010,"04",'LAC 102_Wkst'!$N$7:$N$2010,"P2")+SUMIFS('LAC 102_Wkst'!$Q$7:$Q$2010,'LAC 102_Wkst'!$E$7:$E$2010,$C101,'LAC 102_Wkst'!$G$7:$G$2010,$D101,'LAC 102_Wkst'!$L$7:$L$2010,"04",'LAC 102_Wkst'!$N$7:$N$2010,"P3")</f>
        <v>0</v>
      </c>
      <c r="M101" s="411">
        <f>SUMIFS('LAC 102_Wkst'!$AE$7:$AE$2010,'LAC 102_Wkst'!$E$7:$E$2010,$C101,'LAC 102_Wkst'!$G$7:$G$2010,$D101,'LAC 102_Wkst'!$L$7:$L$2010,"03",'LAC 102_Wkst'!$N$7:$N$2010,"P1")+SUMIFS('LAC 102_Wkst'!$AE$7:$AE$2010,'LAC 102_Wkst'!$E$7:$E$2010,$C101,'LAC 102_Wkst'!$G$7:$G$2010,$D101,'LAC 102_Wkst'!$L$7:$L$2010,"03",'LAC 102_Wkst'!$N$7:$N$2010,"P2")+SUMIFS('LAC 102_Wkst'!$AE$7:$AE$2010,'LAC 102_Wkst'!$E$7:$E$2010,$C101,'LAC 102_Wkst'!$G$7:$G$2010,$D101,'LAC 102_Wkst'!$L$7:$L$2010,"03",'LAC 102_Wkst'!$N$7:$N$2010,"P3")+SUMIFS('LAC 102_Wkst'!$AE$7:$AE$2010,'LAC 102_Wkst'!$E$7:$E$2010,$C101,'LAC 102_Wkst'!$G$7:$G$2010,$D101,'LAC 102_Wkst'!$L$7:$L$2010,"04",'LAC 102_Wkst'!$N$7:$N$2010,"P1")+SUMIFS('LAC 102_Wkst'!$AE$7:$AE$2010,'LAC 102_Wkst'!$E$7:$E$2010,$C101,'LAC 102_Wkst'!$G$7:$G$2010,$D101,'LAC 102_Wkst'!$L$7:$L$2010,"04",'LAC 102_Wkst'!$N$7:$N$2010,"P2")+SUMIFS('LAC 102_Wkst'!$AE$7:$AE$2010,'LAC 102_Wkst'!$E$7:$E$2010,$C101,'LAC 102_Wkst'!$G$7:$G$2010,$D101,'LAC 102_Wkst'!$L$7:$L$2010,"04",'LAC 102_Wkst'!$N$7:$N$2010,"P3")</f>
        <v>0</v>
      </c>
      <c r="N101" s="410">
        <f>SUMIFS('LAC 102_Wkst'!$Q$7:$Q$2010,'LAC 102_Wkst'!$E$7:$E$2010,$C101,'LAC 102_Wkst'!$G$7:$G$2010,$D101,'LAC 102_Wkst'!$L$7:$L$2010,"03",'LAC 102_Wkst'!$N$7:$N$2010,"P4")+SUMIFS('LAC 102_Wkst'!$Q$7:$Q$2010,'LAC 102_Wkst'!$E$7:$E$2010,$C101,'LAC 102_Wkst'!$G$7:$G$2010,$D101,'LAC 102_Wkst'!$L$7:$L$2010,"04",'LAC 102_Wkst'!$N$7:$N$2010,"P4")</f>
        <v>0</v>
      </c>
      <c r="O101" s="411">
        <f>SUMIFS('LAC 102_Wkst'!$AE$7:$AE$2010,'LAC 102_Wkst'!$E$7:$E$2010,$C101,'LAC 102_Wkst'!$G$7:$G$2010,$D101,'LAC 102_Wkst'!$L$7:$L$2010,"03",'LAC 102_Wkst'!$N$7:$N$2010,"P4")+SUMIFS('LAC 102_Wkst'!$AE$7:$AE$2010,'LAC 102_Wkst'!$E$7:$E$2010,$C101,'LAC 102_Wkst'!$G$7:$G$2010,$D101,'LAC 102_Wkst'!$L$7:$L$2010,"04",'LAC 102_Wkst'!$N$7:$N$2010,"P4")</f>
        <v>0</v>
      </c>
      <c r="P101" s="410">
        <f>SUMIFS('LAC 102_Wkst'!$Q$7:$Q$2010,'LAC 102_Wkst'!$E$7:$E$2010,$C101,'LAC 102_Wkst'!$G$7:$G$2010,$D101,'LAC 102_Wkst'!$L$7:$L$2010,"03",'LAC 102_Wkst'!$N$7:$N$2010,"P5")+SUMIFS('LAC 102_Wkst'!$Q$7:$Q$2010,'LAC 102_Wkst'!$E$7:$E$2010,$C101,'LAC 102_Wkst'!$G$7:$G$2010,$D101,'LAC 102_Wkst'!$L$7:$L$2010,"04",'LAC 102_Wkst'!$N$7:$N$2010,"P5")</f>
        <v>0</v>
      </c>
      <c r="Q101" s="411">
        <f>SUMIFS('LAC 102_Wkst'!$AE$7:$AE$2010,'LAC 102_Wkst'!$E$7:$E$2010,$C101,'LAC 102_Wkst'!$G$7:$G$2010,$D101,'LAC 102_Wkst'!$L$7:$L$2010,"03",'LAC 102_Wkst'!$N$7:$N$2010,"P5")+SUMIFS('LAC 102_Wkst'!$AE$7:$AE$2010,'LAC 102_Wkst'!$E$7:$E$2010,$C101,'LAC 102_Wkst'!$G$7:$G$2010,$D101,'LAC 102_Wkst'!$L$7:$L$2010,"04",'LAC 102_Wkst'!$N$7:$N$2010,"P5")</f>
        <v>0</v>
      </c>
      <c r="R101" s="412">
        <f>SUMIFS('LAC 102_Wkst'!$Q$7:$Q$2010,'LAC 102_Wkst'!$E$7:$E$2010,$C101,'LAC 102_Wkst'!$G$7:$G$2010,$D101,'LAC 102_Wkst'!$L$7:$L$2010,"05",'LAC 102_Wkst'!$N$7:$N$2010,"P1")+SUMIFS('LAC 102_Wkst'!$Q$7:$Q$2010,'LAC 102_Wkst'!$E$7:$E$2010,$C101,'LAC 102_Wkst'!$G$7:$G$2010,$D101,'LAC 102_Wkst'!$L$7:$L$2010,"06",'LAC 102_Wkst'!$N$7:$N$2010,"P1")</f>
        <v>0</v>
      </c>
      <c r="S101" s="411">
        <f>SUMIFS('LAC 102_Wkst'!$AE$7:$AE$2010,'LAC 102_Wkst'!$E$7:$E$2010,$C101,'LAC 102_Wkst'!$G$7:$G$2010,$D101,'LAC 102_Wkst'!$L$7:$L$2010,"05",'LAC 102_Wkst'!$N$7:$N$2010,"P1")+SUMIFS('LAC 102_Wkst'!$AE$7:$AE$2010,'LAC 102_Wkst'!$E$7:$E$2010,$C101,'LAC 102_Wkst'!$G$7:$G$2010,$D101,'LAC 102_Wkst'!$L$7:$L$2010,"06",'LAC 102_Wkst'!$N$7:$N$2010,"P1")</f>
        <v>0</v>
      </c>
      <c r="T101" s="410">
        <f>SUMIFS('LAC 102_Wkst'!$Q$7:$Q$2010,'LAC 102_Wkst'!$E$7:$E$2010,$C101,'LAC 102_Wkst'!$G$7:$G$2010,$D101,'LAC 102_Wkst'!$L$7:$L$2010,"05",'LAC 102_Wkst'!$N$7:$N$2010,"P2")+SUMIFS('LAC 102_Wkst'!$Q$7:$Q$2010,'LAC 102_Wkst'!$E$7:$E$2010,$C101,'LAC 102_Wkst'!$G$7:$G$2010,$D101,'LAC 102_Wkst'!$L$7:$L$2010,"05",'LAC 102_Wkst'!$N$7:$N$2010,"P3")+SUMIFS('LAC 102_Wkst'!$Q$7:$Q$2010,'LAC 102_Wkst'!$E$7:$E$2010,$C101,'LAC 102_Wkst'!$G$7:$G$2010,$D101,'LAC 102_Wkst'!$L$7:$L$2010,"06",'LAC 102_Wkst'!$N$7:$N$2010,"P2")+SUMIFS('LAC 102_Wkst'!$Q$7:$Q$2010,'LAC 102_Wkst'!$E$7:$E$2010,$C101,'LAC 102_Wkst'!$G$7:$G$2010,$D101,'LAC 102_Wkst'!$L$7:$L$2010,"06",'LAC 102_Wkst'!$N$7:$N$2010,"P3")</f>
        <v>0</v>
      </c>
      <c r="U101" s="411">
        <f>SUMIFS('LAC 102_Wkst'!$AE$7:$AE$2010,'LAC 102_Wkst'!$E$7:$E$2010,$C101,'LAC 102_Wkst'!$G$7:$G$2010,$D101,'LAC 102_Wkst'!$L$7:$L$2010,"05",'LAC 102_Wkst'!$N$7:$N$2010,"P2")+SUMIFS('LAC 102_Wkst'!$AE$7:$AE$2010,'LAC 102_Wkst'!$E$7:$E$2010,$C101,'LAC 102_Wkst'!$G$7:$G$2010,$D101,'LAC 102_Wkst'!$L$7:$L$2010,"06",'LAC 102_Wkst'!$N$7:$N$2010,"P3")+SUMIFS('LAC 102_Wkst'!$AE$7:$AE$2010,'LAC 102_Wkst'!$E$7:$E$2010,$C101,'LAC 102_Wkst'!$G$7:$G$2010,$D101,'LAC 102_Wkst'!$L$7:$L$2010,"05",'LAC 102_Wkst'!$N$7:$N$2010,"P2")+SUMIFS('LAC 102_Wkst'!$AE$7:$AE$2010,'LAC 102_Wkst'!$E$7:$E$2010,$C101,'LAC 102_Wkst'!$G$7:$G$2010,$D101,'LAC 102_Wkst'!$L$7:$L$2010,"06",'LAC 102_Wkst'!$N$7:$N$2010,"P3")</f>
        <v>0</v>
      </c>
      <c r="V101" s="410">
        <f>SUMIFS('LAC 102_Wkst'!$Q$7:$Q$2010,'LAC 102_Wkst'!$E$7:$E$2010,$C101,'LAC 102_Wkst'!$G$7:$G$2010,$D101,'LAC 102_Wkst'!$L$7:$L$2010,"05",'LAC 102_Wkst'!$N$7:$N$2010,"P4")+SUMIFS('LAC 102_Wkst'!$Q$7:$Q$2010,'LAC 102_Wkst'!$E$7:$E$2010,$C101,'LAC 102_Wkst'!$G$7:$G$2010,$D101,'LAC 102_Wkst'!$L$7:$L$2010,"06",'LAC 102_Wkst'!$N$7:$N$2010,"P4")</f>
        <v>0</v>
      </c>
      <c r="W101" s="411">
        <f>SUMIFS('LAC 102_Wkst'!$AE$7:$AE$2010,'LAC 102_Wkst'!$E$7:$E$2010,$C101,'LAC 102_Wkst'!$G$7:$G$2010,$D101,'LAC 102_Wkst'!$L$7:$L$2010,"05",'LAC 102_Wkst'!$N$7:$N$2010,"P4")+SUMIFS('LAC 102_Wkst'!$AE$7:$AE$2010,'LAC 102_Wkst'!$E$7:$E$2010,$C101,'LAC 102_Wkst'!$G$7:$G$2010,$D101,'LAC 102_Wkst'!$L$7:$L$2010,"06",'LAC 102_Wkst'!$N$7:$N$2010,"P4")</f>
        <v>0</v>
      </c>
      <c r="X101" s="410">
        <f>SUMIFS('LAC 102_Wkst'!$Q$7:$Q$2010,'LAC 102_Wkst'!$E$7:$E$2010,$C101,'LAC 102_Wkst'!$G$7:$G$2010,$D101,'LAC 102_Wkst'!$L$7:$L$2010,"05",'LAC 102_Wkst'!$N$7:$N$2010,"P5")+SUMIFS('LAC 102_Wkst'!$Q$7:$Q$2010,'LAC 102_Wkst'!$E$7:$E$2010,$C101,'LAC 102_Wkst'!$G$7:$G$2010,$D101,'LAC 102_Wkst'!$L$7:$L$2010,"06",'LAC 102_Wkst'!$N$7:$N$2010,"P5")</f>
        <v>0</v>
      </c>
      <c r="Y101" s="411">
        <f>SUMIFS('LAC 102_Wkst'!$AE$7:$AE$2010,'LAC 102_Wkst'!$E$7:$E$2010,$C101,'LAC 102_Wkst'!$G$7:$G$2010,$D101,'LAC 102_Wkst'!$L$7:$L$2010,"05",'LAC 102_Wkst'!$N$7:$N$2010,"P5")+SUMIFS('LAC 102_Wkst'!$AE$7:$AE$2010,'LAC 102_Wkst'!$E$7:$E$2010,$C101,'LAC 102_Wkst'!$G$7:$G$2010,$D101,'LAC 102_Wkst'!$L$7:$L$2010,"06",'LAC 102_Wkst'!$N$7:$N$2010,"P5")</f>
        <v>0</v>
      </c>
      <c r="Z101" s="410">
        <f>SUMIFS('LAC 102_Wkst'!$Q$7:$Q$2010,'LAC 102_Wkst'!$E$7:$E$2010,$C101,'LAC 102_Wkst'!$G$7:$G$2010,$D101,'LAC 102_Wkst'!$L$7:$L$2010,"07",'LAC 102_Wkst'!$N$7:$N$2010,"P1")+SUMIFS('LAC 102_Wkst'!$Q$7:$Q$2010,'LAC 102_Wkst'!$E$7:$E$2010,$C101,'LAC 102_Wkst'!$G$7:$G$2010,$D101,'LAC 102_Wkst'!$L$7:$L$2010,"07",'LAC 102_Wkst'!$N$7:$N$2010,"P2")+SUMIFS('LAC 102_Wkst'!$Q$7:$Q$2010,'LAC 102_Wkst'!$E$7:$E$2010,$C101,'LAC 102_Wkst'!$G$7:$G$2010,$D101,'LAC 102_Wkst'!$L$7:$L$2010,"07",'LAC 102_Wkst'!$N$7:$N$2010,"P3")</f>
        <v>0</v>
      </c>
      <c r="AA101" s="411">
        <f>SUMIFS('LAC 102_Wkst'!$AE$7:$AE$2010,'LAC 102_Wkst'!$E$7:$E$2010,$C101,'LAC 102_Wkst'!$G$7:$G$2010,$D101,'LAC 102_Wkst'!$L$7:$L$2010,"07",'LAC 102_Wkst'!$N$7:$N$2010,"P1")+SUMIFS('LAC 102_Wkst'!$AE$7:$AE$2010,'LAC 102_Wkst'!$E$7:$E$2010,$C101,'LAC 102_Wkst'!$G$7:$G$2010,$D101,'LAC 102_Wkst'!$L$7:$L$2010,"07",'LAC 102_Wkst'!$N$7:$N$2010,"P2")+SUMIFS('LAC 102_Wkst'!$AE$7:$AE$2010,'LAC 102_Wkst'!$E$7:$E$2010,$C101,'LAC 102_Wkst'!$G$7:$G$2010,$D101,'LAC 102_Wkst'!$L$7:$L$2010,"07",'LAC 102_Wkst'!$N$7:$N$2010,"P3")</f>
        <v>0</v>
      </c>
      <c r="AB101" s="410">
        <f>SUMIFS('LAC 102_Wkst'!$Q$7:$Q$2010,'LAC 102_Wkst'!$E$7:$E$2010,$C101,'LAC 102_Wkst'!$G$7:$G$2010,$D101,'LAC 102_Wkst'!$L$7:$L$2010,"07",'LAC 102_Wkst'!$N$7:$N$2010,"P4")</f>
        <v>0</v>
      </c>
      <c r="AC101" s="411">
        <f>SUMIFS('LAC 102_Wkst'!$AE$7:$AE$2010,'LAC 102_Wkst'!$E$7:$E$2010,$C101,'LAC 102_Wkst'!$G$7:$G$2010,$D101,'LAC 102_Wkst'!$L$7:$L$2010,"07",'LAC 102_Wkst'!$N$7:$N$2010,"P4")</f>
        <v>0</v>
      </c>
      <c r="AD101" s="410">
        <f>SUMIFS('LAC 102_Wkst'!$Q$7:$Q$2010,'LAC 102_Wkst'!$E$7:$E$2010,$C101,'LAC 102_Wkst'!$G$7:$G$2010,$D101,'LAC 102_Wkst'!$L$7:$L$2010,"07",'LAC 102_Wkst'!$N$7:$N$2010,"P5")</f>
        <v>0</v>
      </c>
      <c r="AE101" s="411">
        <f>SUMIFS('LAC 102_Wkst'!$AE$7:$AE$2010,'LAC 102_Wkst'!$E$7:$E$2010,$C101,'LAC 102_Wkst'!$G$7:$G$2010,$D101,'LAC 102_Wkst'!$L$7:$L$2010,"07",'LAC 102_Wkst'!$N$7:$N$2010,"P5")</f>
        <v>0</v>
      </c>
      <c r="AF101" s="410">
        <f>SUMIFS('LAC 102_Wkst'!$Q$7:$Q$2010,'LAC 102_Wkst'!$E$7:$E$2010,$C101,'LAC 102_Wkst'!$G$7:$G$2010,$D101,'LAC 102_Wkst'!$L$7:$L$2010,"08",'LAC 102_Wkst'!$N$7:$N$2010,"P1")+SUMIFS('LAC 102_Wkst'!$Q$7:$Q$2010,'LAC 102_Wkst'!$E$7:$E$2010,$C101,'LAC 102_Wkst'!$G$7:$G$2010,$D101,'LAC 102_Wkst'!$L$7:$L$2010,"08",'LAC 102_Wkst'!$N$7:$N$2010,"P2")+SUMIFS('LAC 102_Wkst'!$Q$7:$Q$2010,'LAC 102_Wkst'!$E$7:$E$2010,$C101,'LAC 102_Wkst'!$G$7:$G$2010,$D101,'LAC 102_Wkst'!$L$7:$L$2010,"08",'LAC 102_Wkst'!$N$7:$N$2010,"P3")</f>
        <v>0</v>
      </c>
      <c r="AG101" s="411">
        <f>SUMIFS('LAC 102_Wkst'!$AE$7:$AE$2010,'LAC 102_Wkst'!$E$7:$E$2010,$C101,'LAC 102_Wkst'!$G$7:$G$2010,$D101,'LAC 102_Wkst'!$L$7:$L$2010,"08",'LAC 102_Wkst'!$N$7:$N$2010,"P1")+SUMIFS('LAC 102_Wkst'!$AE$7:$AE$2010,'LAC 102_Wkst'!$E$7:$E$2010,$C101,'LAC 102_Wkst'!$G$7:$G$2010,$D101,'LAC 102_Wkst'!$L$7:$L$2010,"08",'LAC 102_Wkst'!$N$7:$N$2010,"P2")+SUMIFS('LAC 102_Wkst'!$AE$7:$AE$2010,'LAC 102_Wkst'!$E$7:$E$2010,$C101,'LAC 102_Wkst'!$G$7:$G$2010,$D101,'LAC 102_Wkst'!$L$7:$L$2010,"08",'LAC 102_Wkst'!$N$7:$N$2010,"P3")</f>
        <v>0</v>
      </c>
      <c r="AH101" s="410">
        <f>SUMIFS('LAC 102_Wkst'!$Q$7:$Q$2010,'LAC 102_Wkst'!$E$7:$E$2010,$C101,'LAC 102_Wkst'!$G$7:$G$2010,$D101,'LAC 102_Wkst'!$L$7:$L$2010,"08",'LAC 102_Wkst'!$N$7:$N$2010,"P4")</f>
        <v>0</v>
      </c>
      <c r="AI101" s="411">
        <f>SUMIFS('LAC 102_Wkst'!$AE$7:$AE$2010,'LAC 102_Wkst'!$E$7:$E$2010,$C101,'LAC 102_Wkst'!$G$7:$G$2010,$D101,'LAC 102_Wkst'!$L$7:$L$2010,"08",'LAC 102_Wkst'!$N$7:$N$2010,"P4")</f>
        <v>0</v>
      </c>
      <c r="AJ101" s="410">
        <f>SUMIFS('LAC 102_Wkst'!$Q$7:$Q$2010,'LAC 102_Wkst'!$E$7:$E$2010,$C101,'LAC 102_Wkst'!$G$7:$G$2010,$D101,'LAC 102_Wkst'!$L$7:$L$2010,"08",'LAC 102_Wkst'!$N$7:$N$2010,"P5")</f>
        <v>0</v>
      </c>
      <c r="AK101" s="411">
        <f>SUMIFS('LAC 102_Wkst'!$AE$7:$AE$2010,'LAC 102_Wkst'!$E$7:$E$2010,$C101,'LAC 102_Wkst'!$G$7:$G$2010,$D101,'LAC 102_Wkst'!$L$7:$L$2010,"08",'LAC 102_Wkst'!$N$7:$N$2010,"P5")</f>
        <v>0</v>
      </c>
      <c r="AL101" s="410">
        <f>SUMIFS('LAC 102_Wkst'!$Q$7:$Q$2010,'LAC 102_Wkst'!$E$7:$E$2010,$C101,'LAC 102_Wkst'!$G$7:$G$2010,$D101,'LAC 102_Wkst'!$L$7:$L$2010,"09",'LAC 102_Wkst'!$N$7:$N$2010,"P1")+SUMIFS('LAC 102_Wkst'!$Q$7:$Q$2010,'LAC 102_Wkst'!$E$7:$E$2010,$C101,'LAC 102_Wkst'!$G$7:$G$2010,$D101,'LAC 102_Wkst'!$L$7:$L$2010,"09",'LAC 102_Wkst'!$N$7:$N$2010,"P2")+SUMIFS('LAC 102_Wkst'!$Q$7:$Q$2010,'LAC 102_Wkst'!$E$7:$E$2010,$C101,'LAC 102_Wkst'!$G$7:$G$2010,$D101,'LAC 102_Wkst'!$L$7:$L$2010,"09",'LAC 102_Wkst'!$N$7:$N$2010,"P3")+SUMIFS('LAC 102_Wkst'!$Q$7:$Q$2010,'LAC 102_Wkst'!$E$7:$E$2010,$C101,'LAC 102_Wkst'!$G$7:$G$2010,$D101,'LAC 102_Wkst'!$L$7:$L$2010,"09",'LAC 102_Wkst'!$N$7:$N$2010,"P4")</f>
        <v>0</v>
      </c>
      <c r="AM101" s="411">
        <f>SUMIFS('LAC 102_Wkst'!$AE$7:$AE$2010,'LAC 102_Wkst'!$E$7:$E$2010,$C101,'LAC 102_Wkst'!$G$7:$G$2010,$D101,'LAC 102_Wkst'!$L$7:$L$2010,"09",'LAC 102_Wkst'!$N$7:$N$2010,"P1")+SUMIFS('LAC 102_Wkst'!$AE$7:$AE$2010,'LAC 102_Wkst'!$E$7:$E$2010,$C101,'LAC 102_Wkst'!$G$7:$G$2010,$D101,'LAC 102_Wkst'!$L$7:$L$2010,"09",'LAC 102_Wkst'!$N$7:$N$2010,"P2")+SUMIFS('LAC 102_Wkst'!$AE$7:$AE$2010,'LAC 102_Wkst'!$E$7:$E$2010,$C101,'LAC 102_Wkst'!$G$7:$G$2010,$D101,'LAC 102_Wkst'!$L$7:$L$2010,"09",'LAC 102_Wkst'!$N$7:$N$2010,"P3")+SUMIFS('LAC 102_Wkst'!$AE$7:$AE$2010,'LAC 102_Wkst'!$E$7:$E$2010,$C101,'LAC 102_Wkst'!$G$7:$G$2010,$D101,'LAC 102_Wkst'!$L$7:$L$2010,"09",'LAC 102_Wkst'!$N$7:$N$2010,"P4")</f>
        <v>0</v>
      </c>
      <c r="AN101" s="410">
        <f>SUMIFS('LAC 102_Wkst'!$Q$7:$Q$2010,'LAC 102_Wkst'!$E$7:$E$2010,$C101,'LAC 102_Wkst'!$G$7:$G$2010,$D101,'LAC 102_Wkst'!$L$7:$L$2010,"09",'LAC 102_Wkst'!$N$7:$N$2010,"P5")</f>
        <v>0</v>
      </c>
      <c r="AO101" s="411">
        <f>SUMIFS('LAC 102_Wkst'!$AE$7:$AE$2010,'LAC 102_Wkst'!$E$7:$E$2010,$C101,'LAC 102_Wkst'!$G$7:$G$2010,$D101,'LAC 102_Wkst'!$L$7:$L$2010,"09",'LAC 102_Wkst'!$N$7:$N$2010,"P5")</f>
        <v>0</v>
      </c>
      <c r="AP101" s="410">
        <f>SUMIFS('LAC 102_Wkst'!$Q$7:$Q$2010,'LAC 102_Wkst'!$E$7:$E$2010,$C101,'LAC 102_Wkst'!$G$7:$G$2010,$D101,'LAC 102_Wkst'!$L$7:$L$2010,"10",'LAC 102_Wkst'!$N$7:$N$2010,"P1")+SUMIFS('LAC 102_Wkst'!$Q$7:$Q$2010,'LAC 102_Wkst'!$E$7:$E$2010,$C101,'LAC 102_Wkst'!$G$7:$G$2010,$D101,'LAC 102_Wkst'!$L$7:$L$2010,"10",'LAC 102_Wkst'!$N$7:$N$2010,"P2")+SUMIFS('LAC 102_Wkst'!$Q$7:$Q$2010,'LAC 102_Wkst'!$E$7:$E$2010,$C101,'LAC 102_Wkst'!$G$7:$G$2010,$D101,'LAC 102_Wkst'!$L$7:$L$2010,"10",'LAC 102_Wkst'!$N$7:$N$2010,"P3")+SUMIFS('LAC 102_Wkst'!$Q$7:$Q$2010,'LAC 102_Wkst'!$E$7:$E$2010,$C101,'LAC 102_Wkst'!$G$7:$G$2010,$D101,'LAC 102_Wkst'!$L$7:$L$2010,"10",'LAC 102_Wkst'!$N$7:$N$2010,"P4")</f>
        <v>0</v>
      </c>
      <c r="AQ101" s="411">
        <f>SUMIFS('LAC 102_Wkst'!$AE$7:$AE$2010,'LAC 102_Wkst'!$E$7:$E$2010,$C101,'LAC 102_Wkst'!$G$7:$G$2010,$D101,'LAC 102_Wkst'!$L$7:$L$2010,"10",'LAC 102_Wkst'!$N$7:$N$2010,"P1")+SUMIFS('LAC 102_Wkst'!$AE$7:$AE$2010,'LAC 102_Wkst'!$E$7:$E$2010,$C101,'LAC 102_Wkst'!$G$7:$G$2010,$D101,'LAC 102_Wkst'!$L$7:$L$2010,"10",'LAC 102_Wkst'!$N$7:$N$2010,"P2")+SUMIFS('LAC 102_Wkst'!$AE$7:$AE$2010,'LAC 102_Wkst'!$E$7:$E$2010,$C101,'LAC 102_Wkst'!$G$7:$G$2010,$D101,'LAC 102_Wkst'!$L$7:$L$2010,"10",'LAC 102_Wkst'!$N$7:$N$2010,"P3")+SUMIFS('LAC 102_Wkst'!$AE$7:$AE$2010,'LAC 102_Wkst'!$E$7:$E$2010,$C101,'LAC 102_Wkst'!$G$7:$G$2010,$D101,'LAC 102_Wkst'!$L$7:$L$2010,"10",'LAC 102_Wkst'!$N$7:$N$2010,"P4")</f>
        <v>0</v>
      </c>
      <c r="AR101" s="410">
        <f>SUMIFS('LAC 102_Wkst'!$Q$7:$Q$2010,'LAC 102_Wkst'!$E$7:$E$2010,$C101,'LAC 102_Wkst'!$G$7:$G$2010,$D101,'LAC 102_Wkst'!$L$7:$L$2010,"10",'LAC 102_Wkst'!$N$7:$N$2010,"P5")</f>
        <v>0</v>
      </c>
      <c r="AS101" s="411">
        <f>SUMIFS('LAC 102_Wkst'!$AE$7:$AE$2010,'LAC 102_Wkst'!$E$7:$E$2010,$C101,'LAC 102_Wkst'!$G$7:$G$2010,$D101,'LAC 102_Wkst'!$L$7:$L$2010,"10",'LAC 102_Wkst'!$N$7:$N$2010,"P5")</f>
        <v>0</v>
      </c>
      <c r="AT101" s="410">
        <f>SUMIFS('LAC 102_Wkst'!$Q$7:$Q$2010,'LAC 102_Wkst'!$E$7:$E$2010,$C101,'LAC 102_Wkst'!$G$7:$G$2010,$D101,'LAC 102_Wkst'!$L$7:$L$2010,"11",'LAC 102_Wkst'!$N$7:$N$2010,"P1")+SUMIFS('LAC 102_Wkst'!$Q$7:$Q$2010,'LAC 102_Wkst'!$E$7:$E$2010,$C101,'LAC 102_Wkst'!$G$7:$G$2010,$D101,'LAC 102_Wkst'!$L$7:$L$2010,"12",'LAC 102_Wkst'!$N$7:$N$2010,"P1")</f>
        <v>0</v>
      </c>
      <c r="AU101" s="411">
        <f>SUMIFS('LAC 102_Wkst'!$AE$7:$AE$2010,'LAC 102_Wkst'!$E$7:$E$2010,$C101,'LAC 102_Wkst'!$G$7:$G$2010,$D101,'LAC 102_Wkst'!$L$7:$L$2010,"11",'LAC 102_Wkst'!$N$7:$N$2010,"P1")+SUMIFS('LAC 102_Wkst'!$AE$7:$AE$2010,'LAC 102_Wkst'!$E$7:$E$2010,$C101,'LAC 102_Wkst'!$G$7:$G$2010,$D101,'LAC 102_Wkst'!$L$7:$L$2010,"12",'LAC 102_Wkst'!$N$7:$N$2010,"P1")</f>
        <v>0</v>
      </c>
      <c r="AV101" s="410">
        <f>SUMIFS('LAC 102_Wkst'!$Q$7:$Q$2010,'LAC 102_Wkst'!$E$7:$E$2010,$C101,'LAC 102_Wkst'!$G$7:$G$2010,$D101,'LAC 102_Wkst'!$L$7:$L$2010,"11",'LAC 102_Wkst'!$N$7:$N$2010,"P2")+SUMIFS('LAC 102_Wkst'!$Q$7:$Q$2010,'LAC 102_Wkst'!$E$7:$E$2010,$C101,'LAC 102_Wkst'!$G$7:$G$2010,$D101,'LAC 102_Wkst'!$L$7:$L$2010,"12",'LAC 102_Wkst'!$N$7:$N$2010,"P3")+SUMIFS('LAC 102_Wkst'!$Q$7:$Q$2010,'LAC 102_Wkst'!$E$7:$E$2010,$C101,'LAC 102_Wkst'!$G$7:$G$2010,$D101,'LAC 102_Wkst'!$L$7:$L$2010,"11",'LAC 102_Wkst'!$N$7:$N$2010,"P2")+SUMIFS('LAC 102_Wkst'!$Q$7:$Q$2010,'LAC 102_Wkst'!$E$7:$E$2010,$C101,'LAC 102_Wkst'!$G$7:$G$2010,$D101,'LAC 102_Wkst'!$L$7:$L$2010,"12",'LAC 102_Wkst'!$N$7:$N$2010,"P3")</f>
        <v>0</v>
      </c>
      <c r="AW101" s="411">
        <f>SUMIFS('LAC 102_Wkst'!$AE$7:$AE$2010,'LAC 102_Wkst'!$E$7:$E$2010,$C101,'LAC 102_Wkst'!$G$7:$G$2010,$D101,'LAC 102_Wkst'!$L$7:$L$2010,"11",'LAC 102_Wkst'!$N$7:$N$2010,"P2")+SUMIFS('LAC 102_Wkst'!$AE$7:$AE$2010,'LAC 102_Wkst'!$E$7:$E$2010,$C101,'LAC 102_Wkst'!$G$7:$G$2010,$D101,'LAC 102_Wkst'!$L$7:$L$2010,"12",'LAC 102_Wkst'!$N$7:$N$2010,"P3")+SUMIFS('LAC 102_Wkst'!$AE$7:$AE$2010,'LAC 102_Wkst'!$E$7:$E$2010,$C101,'LAC 102_Wkst'!$G$7:$G$2010,$D101,'LAC 102_Wkst'!$L$7:$L$2010,"11",'LAC 102_Wkst'!$N$7:$N$2010,"P2")+SUMIFS('LAC 102_Wkst'!$AE$7:$AE$2010,'LAC 102_Wkst'!$E$7:$E$2010,$C101,'LAC 102_Wkst'!$G$7:$G$2010,$D101,'LAC 102_Wkst'!$L$7:$L$2010,"12",'LAC 102_Wkst'!$N$7:$N$2010,"P3")</f>
        <v>0</v>
      </c>
      <c r="AX101" s="410">
        <f>SUMIFS('LAC 102_Wkst'!$Q$7:$Q$2010,'LAC 102_Wkst'!$E$7:$E$2010,$C101,'LAC 102_Wkst'!$G$7:$G$2010,$D101,'LAC 102_Wkst'!$L$7:$L$2010,"11",'LAC 102_Wkst'!$N$7:$N$2010,"P4")+SUMIFS('LAC 102_Wkst'!$Q$7:$Q$2010,'LAC 102_Wkst'!$E$7:$E$2010,$C101,'LAC 102_Wkst'!$G$7:$G$2010,$D101,'LAC 102_Wkst'!$L$7:$L$2010,"12",'LAC 102_Wkst'!$N$7:$N$2010,"P4")</f>
        <v>0</v>
      </c>
      <c r="AY101" s="411">
        <f>SUMIFS('LAC 102_Wkst'!$AE$7:$AE$2010,'LAC 102_Wkst'!$E$7:$E$2010,$C101,'LAC 102_Wkst'!$G$7:$G$2010,$D101,'LAC 102_Wkst'!$L$7:$L$2010,"11",'LAC 102_Wkst'!$N$7:$N$2010,"P4")+SUMIFS('LAC 102_Wkst'!$AE$7:$AE$2010,'LAC 102_Wkst'!$E$7:$E$2010,$C101,'LAC 102_Wkst'!$G$7:$G$2010,$D101,'LAC 102_Wkst'!$L$7:$L$2010,"12",'LAC 102_Wkst'!$N$7:$N$2010,"P4")</f>
        <v>0</v>
      </c>
      <c r="AZ101" s="410">
        <f>SUMIFS('LAC 102_Wkst'!$Q$7:$Q$2010,'LAC 102_Wkst'!$E$7:$E$2010,$C101,'LAC 102_Wkst'!$G$7:$G$2010,$D101,'LAC 102_Wkst'!$L$7:$L$2010,"11",'LAC 102_Wkst'!$N$7:$N$2010,"P5")+SUMIFS('LAC 102_Wkst'!$Q$7:$Q$2010,'LAC 102_Wkst'!$E$7:$E$2010,$C101,'LAC 102_Wkst'!$G$7:$G$2010,$D101,'LAC 102_Wkst'!$L$7:$L$2010,"12",'LAC 102_Wkst'!$N$7:$N$2010,"P5")</f>
        <v>0</v>
      </c>
      <c r="BA101" s="411">
        <f>SUMIFS('LAC 102_Wkst'!$AE$7:$AE$2010,'LAC 102_Wkst'!$E$7:$E$2010,$C101,'LAC 102_Wkst'!$G$7:$G$2010,$D101,'LAC 102_Wkst'!$L$7:$L$2010,"11",'LAC 102_Wkst'!$N$7:$N$2010,"P5")+SUMIFS('LAC 102_Wkst'!$AE$7:$AE$2010,'LAC 102_Wkst'!$E$7:$E$2010,$C101,'LAC 102_Wkst'!$G$7:$G$2010,$D101,'LAC 102_Wkst'!$L$7:$L$2010,"12",'LAC 102_Wkst'!$N$7:$N$2010,"P5")</f>
        <v>0</v>
      </c>
      <c r="BB101" s="410">
        <f>SUMIFS('LAC 102_Wkst'!$Q$7:$Q$2010,'LAC 102_Wkst'!$E$7:$E$2010,$C101,'LAC 102_Wkst'!$G$7:$G$2010,$D101,'LAC 102_Wkst'!$L$7:$L$2010,"13",'LAC 102_Wkst'!$N$7:$N$2010,"P1")+SUMIFS('LAC 102_Wkst'!$Q$7:$Q$2010,'LAC 102_Wkst'!$E$7:$E$2010,$C101,'LAC 102_Wkst'!$G$7:$G$2010,$D101,'LAC 102_Wkst'!$L$7:$L$2010,"13",'LAC 102_Wkst'!$N$7:$N$2010,"P2")+SUMIFS('LAC 102_Wkst'!$Q$7:$Q$2010,'LAC 102_Wkst'!$E$7:$E$2010,$C101,'LAC 102_Wkst'!$G$7:$G$2010,$D101,'LAC 102_Wkst'!$L$7:$L$2010,"13",'LAC 102_Wkst'!$N$7:$N$2010,"P3")+SUMIFS('LAC 102_Wkst'!$Q$7:$Q$2010,'LAC 102_Wkst'!$E$7:$E$2010,$C101,'LAC 102_Wkst'!$G$7:$G$2010,$D101,'LAC 102_Wkst'!$L$7:$L$2010,"13",'LAC 102_Wkst'!$N$7:$N$2010,"P4")</f>
        <v>0</v>
      </c>
      <c r="BC101" s="411">
        <f>SUMIFS('LAC 102_Wkst'!$AE$7:$AE$2010,'LAC 102_Wkst'!$E$7:$E$2010,$C101,'LAC 102_Wkst'!$G$7:$G$2010,$D101,'LAC 102_Wkst'!$L$7:$L$2010,"13",'LAC 102_Wkst'!$N$7:$N$2010,"P1")+SUMIFS('LAC 102_Wkst'!$AE$7:$AE$2010,'LAC 102_Wkst'!$E$7:$E$2010,$C101,'LAC 102_Wkst'!$G$7:$G$2010,$D101,'LAC 102_Wkst'!$L$7:$L$2010,"13",'LAC 102_Wkst'!$N$7:$N$2010,"P2")+SUMIFS('LAC 102_Wkst'!$AE$7:$AE$2010,'LAC 102_Wkst'!$E$7:$E$2010,$C101,'LAC 102_Wkst'!$G$7:$G$2010,$D101,'LAC 102_Wkst'!$L$7:$L$2010,"13",'LAC 102_Wkst'!$N$7:$N$2010,"P3")+SUMIFS('LAC 102_Wkst'!$AE$7:$AE$2010,'LAC 102_Wkst'!$E$7:$E$2010,$C101,'LAC 102_Wkst'!$G$7:$G$2010,$D101,'LAC 102_Wkst'!$L$7:$L$2010,"13",'LAC 102_Wkst'!$N$7:$N$2010,"P4")</f>
        <v>0</v>
      </c>
      <c r="BD101" s="410">
        <f>SUMIFS('LAC 102_Wkst'!$Q$7:$Q$2010,'LAC 102_Wkst'!$E$7:$E$2010,$C101,'LAC 102_Wkst'!$G$7:$G$2010,$D101,'LAC 102_Wkst'!$L$7:$L$2010,"13",'LAC 102_Wkst'!$N$7:$N$2010,"P5")</f>
        <v>0</v>
      </c>
      <c r="BE101" s="411">
        <f>SUMIFS('LAC 102_Wkst'!$AE$7:$AE$2010,'LAC 102_Wkst'!$E$7:$E$2010,$C101,'LAC 102_Wkst'!$G$7:$G$2010,$D101,'LAC 102_Wkst'!$L$7:$L$2010,"13",'LAC 102_Wkst'!$N$7:$N$2010,"P5")</f>
        <v>0</v>
      </c>
      <c r="BF101" s="407">
        <f t="shared" si="1"/>
        <v>0</v>
      </c>
    </row>
    <row r="102" spans="1:58" x14ac:dyDescent="0.2">
      <c r="A102" s="401">
        <v>83</v>
      </c>
      <c r="B102" s="1236"/>
      <c r="C102" s="1235"/>
      <c r="D102" s="1237"/>
      <c r="E102" s="1222">
        <f>IF(CONCATENATE(C102,D102)&gt;"6069",1,SUMIFS('LAC 102_Wkst'!$Q$7:$Q$2010,'LAC 102_Wkst'!$E$7:$E$2010,Schedule_B!$C102,'LAC 102_Wkst'!$G$7:$G$2010,Schedule_B!$D102))</f>
        <v>0</v>
      </c>
      <c r="F102" s="408">
        <f>SUMIFS('LAC 102_Wkst'!$Q$7:$Q$2010,'LAC 102_Wkst'!$E$7:$E$2010,$C102,'LAC 102_Wkst'!$G$7:$G$2010,$D102,'LAC 102_Wkst'!$L$7:$L$2010,"01",'LAC 102_Wkst'!$N$7:$N$2010,"P1")+SUMIFS('LAC 102_Wkst'!$Q$7:$Q$2010,'LAC 102_Wkst'!$E$7:$E$2010,$C102,'LAC 102_Wkst'!$G$7:$G$2010,$D102,'LAC 102_Wkst'!$L$7:$L$2010,"01",'LAC 102_Wkst'!$N$7:$N$2010,"P2")+SUMIFS('LAC 102_Wkst'!$Q$7:$Q$2010,'LAC 102_Wkst'!$E$7:$E$2010,$C102,'LAC 102_Wkst'!$G$7:$G$2010,$D102,'LAC 102_Wkst'!$L$7:$L$2010,"01",'LAC 102_Wkst'!$N$7:$N$2010,"P3")+SUMIFS('LAC 102_Wkst'!$Q$7:$Q$2010,'LAC 102_Wkst'!$E$7:$E$2010,$C102,'LAC 102_Wkst'!$G$7:$G$2010,$D102,'LAC 102_Wkst'!$L$7:$L$2010,"02",'LAC 102_Wkst'!$N$7:$N$2010,"P1")+SUMIFS('LAC 102_Wkst'!$Q$7:$Q$2010,'LAC 102_Wkst'!$E$7:$E$2010,$C102,'LAC 102_Wkst'!$G$7:$G$2010,$D102,'LAC 102_Wkst'!$L$7:$L$2010,"02",'LAC 102_Wkst'!$N$7:$N$2010,"P2")+SUMIFS('LAC 102_Wkst'!$Q$7:$Q$2010,'LAC 102_Wkst'!$E$7:$E$2010,$C102,'LAC 102_Wkst'!$G$7:$G$2010,$D102,'LAC 102_Wkst'!$L$7:$L$2010,"02",'LAC 102_Wkst'!$N$7:$N$2010,"P3")</f>
        <v>0</v>
      </c>
      <c r="G102" s="409">
        <f>SUMIFS('LAC 102_Wkst'!$AE$7:$AE$2010,'LAC 102_Wkst'!$E$7:$E$2010,$C102,'LAC 102_Wkst'!$G$7:$G$2010,$D102,'LAC 102_Wkst'!$L$7:$L$2010,"01",'LAC 102_Wkst'!$N$7:$N$2010,"P1")+SUMIFS('LAC 102_Wkst'!$AE$7:$AE$2010,'LAC 102_Wkst'!$E$7:$E$2010,$C102,'LAC 102_Wkst'!$G$7:$G$2010,$D102,'LAC 102_Wkst'!$L$7:$L$2010,"01",'LAC 102_Wkst'!$N$7:$N$2010,"P2")+SUMIFS('LAC 102_Wkst'!$AE$7:$AE$2010,'LAC 102_Wkst'!$E$7:$E$2010,$C102,'LAC 102_Wkst'!$G$7:$G$2010,$D102,'LAC 102_Wkst'!$L$7:$L$2010,"01",'LAC 102_Wkst'!$N$7:$N$2010,"P3")+SUMIFS('LAC 102_Wkst'!$AE$7:$AE$2010,'LAC 102_Wkst'!$E$7:$E$2010,$C102,'LAC 102_Wkst'!$G$7:$G$2010,$D102,'LAC 102_Wkst'!$L$7:$L$2010,"02",'LAC 102_Wkst'!$N$7:$N$2010,"P1")+SUMIFS('LAC 102_Wkst'!$AE$7:$AE$2010,'LAC 102_Wkst'!$E$7:$E$2010,$C102,'LAC 102_Wkst'!$G$7:$G$2010,$D102,'LAC 102_Wkst'!$L$7:$L$2010,"02",'LAC 102_Wkst'!$N$7:$N$2010,"P2")+SUMIFS('LAC 102_Wkst'!$AE$7:$AE$2010,'LAC 102_Wkst'!$E$7:$E$2010,$C102,'LAC 102_Wkst'!$G$7:$G$2010,$D102,'LAC 102_Wkst'!$L$7:$L$2010,"02",'LAC 102_Wkst'!$N$7:$N$2010,"P3")</f>
        <v>0</v>
      </c>
      <c r="H102" s="410">
        <f>SUMIFS('LAC 102_Wkst'!$Q$7:$Q$2010,'LAC 102_Wkst'!$E$7:$E$2010,$C102,'LAC 102_Wkst'!$G$7:$G$2010,$D102,'LAC 102_Wkst'!$L$7:$L$2010,"01",'LAC 102_Wkst'!$N$7:$N$2010,"P4")+SUMIFS('LAC 102_Wkst'!$Q$7:$Q$2010,'LAC 102_Wkst'!$E$7:$E$2010,$C102,'LAC 102_Wkst'!$G$7:$G$2010,$D102,'LAC 102_Wkst'!$L$7:$L$2010,"02",'LAC 102_Wkst'!$N$7:$N$2010,"P4")</f>
        <v>0</v>
      </c>
      <c r="I102" s="411">
        <f>SUMIFS('LAC 102_Wkst'!$AE$7:$AE$2010,'LAC 102_Wkst'!$E$7:$E$2010,$C102,'LAC 102_Wkst'!$G$7:$G$2010,$D102,'LAC 102_Wkst'!$L$7:$L$2010,"01",'LAC 102_Wkst'!$N$7:$N$2010,"P4")+SUMIFS('LAC 102_Wkst'!$AE$7:$AE$2010,'LAC 102_Wkst'!$E$7:$E$2010,$C102,'LAC 102_Wkst'!$G$7:$G$2010,$D102,'LAC 102_Wkst'!$L$7:$L$2010,"02",'LAC 102_Wkst'!$N$7:$N$2010,"P4")</f>
        <v>0</v>
      </c>
      <c r="J102" s="410">
        <f>SUMIFS('LAC 102_Wkst'!$Q$7:$Q$2010,'LAC 102_Wkst'!$E$7:$E$2010,$C102,'LAC 102_Wkst'!$G$7:$G$2010,$D102,'LAC 102_Wkst'!$L$7:$L$2010,"01",'LAC 102_Wkst'!$N$7:$N$2010,"P5")+SUMIFS('LAC 102_Wkst'!$Q$7:$Q$2010,'LAC 102_Wkst'!$E$7:$E$2010,$C102,'LAC 102_Wkst'!$G$7:$G$2010,$D102,'LAC 102_Wkst'!$L$7:$L$2010,"02",'LAC 102_Wkst'!$N$7:$N$2010,"P5")</f>
        <v>0</v>
      </c>
      <c r="K102" s="411">
        <f>SUMIFS('LAC 102_Wkst'!$AE$7:$AE$2010,'LAC 102_Wkst'!$E$7:$E$2010,$C102,'LAC 102_Wkst'!$G$7:$G$2010,$D102,'LAC 102_Wkst'!$L$7:$L$2010,"01",'LAC 102_Wkst'!$N$7:$N$2010,"P5")+SUMIFS('LAC 102_Wkst'!$AE$7:$AE$2010,'LAC 102_Wkst'!$E$7:$E$2010,$C102,'LAC 102_Wkst'!$G$7:$G$2010,$D102,'LAC 102_Wkst'!$L$7:$L$2010,"02",'LAC 102_Wkst'!$N$7:$N$2010,"P5")</f>
        <v>0</v>
      </c>
      <c r="L102" s="410">
        <f>SUMIFS('LAC 102_Wkst'!$Q$7:$Q$2010,'LAC 102_Wkst'!$E$7:$E$2010,$C102,'LAC 102_Wkst'!$G$7:$G$2010,$D102,'LAC 102_Wkst'!$L$7:$L$2010,"03",'LAC 102_Wkst'!$N$7:$N$2010,"P1")+SUMIFS('LAC 102_Wkst'!$Q$7:$Q$2010,'LAC 102_Wkst'!$E$7:$E$2010,$C102,'LAC 102_Wkst'!$G$7:$G$2010,$D102,'LAC 102_Wkst'!$L$7:$L$2010,"03",'LAC 102_Wkst'!$N$7:$N$2010,"P2")+SUMIFS('LAC 102_Wkst'!$Q$7:$Q$2010,'LAC 102_Wkst'!$E$7:$E$2010,$C102,'LAC 102_Wkst'!$G$7:$G$2010,$D102,'LAC 102_Wkst'!$L$7:$L$2010,"03",'LAC 102_Wkst'!$N$7:$N$2010,"P3")+SUMIFS('LAC 102_Wkst'!$Q$7:$Q$2010,'LAC 102_Wkst'!$E$7:$E$2010,$C102,'LAC 102_Wkst'!$G$7:$G$2010,$D102,'LAC 102_Wkst'!$L$7:$L$2010,"04",'LAC 102_Wkst'!$N$7:$N$2010,"P1")+SUMIFS('LAC 102_Wkst'!$Q$7:$Q$2010,'LAC 102_Wkst'!$E$7:$E$2010,$C102,'LAC 102_Wkst'!$G$7:$G$2010,$D102,'LAC 102_Wkst'!$L$7:$L$2010,"04",'LAC 102_Wkst'!$N$7:$N$2010,"P2")+SUMIFS('LAC 102_Wkst'!$Q$7:$Q$2010,'LAC 102_Wkst'!$E$7:$E$2010,$C102,'LAC 102_Wkst'!$G$7:$G$2010,$D102,'LAC 102_Wkst'!$L$7:$L$2010,"04",'LAC 102_Wkst'!$N$7:$N$2010,"P3")</f>
        <v>0</v>
      </c>
      <c r="M102" s="411">
        <f>SUMIFS('LAC 102_Wkst'!$AE$7:$AE$2010,'LAC 102_Wkst'!$E$7:$E$2010,$C102,'LAC 102_Wkst'!$G$7:$G$2010,$D102,'LAC 102_Wkst'!$L$7:$L$2010,"03",'LAC 102_Wkst'!$N$7:$N$2010,"P1")+SUMIFS('LAC 102_Wkst'!$AE$7:$AE$2010,'LAC 102_Wkst'!$E$7:$E$2010,$C102,'LAC 102_Wkst'!$G$7:$G$2010,$D102,'LAC 102_Wkst'!$L$7:$L$2010,"03",'LAC 102_Wkst'!$N$7:$N$2010,"P2")+SUMIFS('LAC 102_Wkst'!$AE$7:$AE$2010,'LAC 102_Wkst'!$E$7:$E$2010,$C102,'LAC 102_Wkst'!$G$7:$G$2010,$D102,'LAC 102_Wkst'!$L$7:$L$2010,"03",'LAC 102_Wkst'!$N$7:$N$2010,"P3")+SUMIFS('LAC 102_Wkst'!$AE$7:$AE$2010,'LAC 102_Wkst'!$E$7:$E$2010,$C102,'LAC 102_Wkst'!$G$7:$G$2010,$D102,'LAC 102_Wkst'!$L$7:$L$2010,"04",'LAC 102_Wkst'!$N$7:$N$2010,"P1")+SUMIFS('LAC 102_Wkst'!$AE$7:$AE$2010,'LAC 102_Wkst'!$E$7:$E$2010,$C102,'LAC 102_Wkst'!$G$7:$G$2010,$D102,'LAC 102_Wkst'!$L$7:$L$2010,"04",'LAC 102_Wkst'!$N$7:$N$2010,"P2")+SUMIFS('LAC 102_Wkst'!$AE$7:$AE$2010,'LAC 102_Wkst'!$E$7:$E$2010,$C102,'LAC 102_Wkst'!$G$7:$G$2010,$D102,'LAC 102_Wkst'!$L$7:$L$2010,"04",'LAC 102_Wkst'!$N$7:$N$2010,"P3")</f>
        <v>0</v>
      </c>
      <c r="N102" s="410">
        <f>SUMIFS('LAC 102_Wkst'!$Q$7:$Q$2010,'LAC 102_Wkst'!$E$7:$E$2010,$C102,'LAC 102_Wkst'!$G$7:$G$2010,$D102,'LAC 102_Wkst'!$L$7:$L$2010,"03",'LAC 102_Wkst'!$N$7:$N$2010,"P4")+SUMIFS('LAC 102_Wkst'!$Q$7:$Q$2010,'LAC 102_Wkst'!$E$7:$E$2010,$C102,'LAC 102_Wkst'!$G$7:$G$2010,$D102,'LAC 102_Wkst'!$L$7:$L$2010,"04",'LAC 102_Wkst'!$N$7:$N$2010,"P4")</f>
        <v>0</v>
      </c>
      <c r="O102" s="411">
        <f>SUMIFS('LAC 102_Wkst'!$AE$7:$AE$2010,'LAC 102_Wkst'!$E$7:$E$2010,$C102,'LAC 102_Wkst'!$G$7:$G$2010,$D102,'LAC 102_Wkst'!$L$7:$L$2010,"03",'LAC 102_Wkst'!$N$7:$N$2010,"P4")+SUMIFS('LAC 102_Wkst'!$AE$7:$AE$2010,'LAC 102_Wkst'!$E$7:$E$2010,$C102,'LAC 102_Wkst'!$G$7:$G$2010,$D102,'LAC 102_Wkst'!$L$7:$L$2010,"04",'LAC 102_Wkst'!$N$7:$N$2010,"P4")</f>
        <v>0</v>
      </c>
      <c r="P102" s="410">
        <f>SUMIFS('LAC 102_Wkst'!$Q$7:$Q$2010,'LAC 102_Wkst'!$E$7:$E$2010,$C102,'LAC 102_Wkst'!$G$7:$G$2010,$D102,'LAC 102_Wkst'!$L$7:$L$2010,"03",'LAC 102_Wkst'!$N$7:$N$2010,"P5")+SUMIFS('LAC 102_Wkst'!$Q$7:$Q$2010,'LAC 102_Wkst'!$E$7:$E$2010,$C102,'LAC 102_Wkst'!$G$7:$G$2010,$D102,'LAC 102_Wkst'!$L$7:$L$2010,"04",'LAC 102_Wkst'!$N$7:$N$2010,"P5")</f>
        <v>0</v>
      </c>
      <c r="Q102" s="411">
        <f>SUMIFS('LAC 102_Wkst'!$AE$7:$AE$2010,'LAC 102_Wkst'!$E$7:$E$2010,$C102,'LAC 102_Wkst'!$G$7:$G$2010,$D102,'LAC 102_Wkst'!$L$7:$L$2010,"03",'LAC 102_Wkst'!$N$7:$N$2010,"P5")+SUMIFS('LAC 102_Wkst'!$AE$7:$AE$2010,'LAC 102_Wkst'!$E$7:$E$2010,$C102,'LAC 102_Wkst'!$G$7:$G$2010,$D102,'LAC 102_Wkst'!$L$7:$L$2010,"04",'LAC 102_Wkst'!$N$7:$N$2010,"P5")</f>
        <v>0</v>
      </c>
      <c r="R102" s="412">
        <f>SUMIFS('LAC 102_Wkst'!$Q$7:$Q$2010,'LAC 102_Wkst'!$E$7:$E$2010,$C102,'LAC 102_Wkst'!$G$7:$G$2010,$D102,'LAC 102_Wkst'!$L$7:$L$2010,"05",'LAC 102_Wkst'!$N$7:$N$2010,"P1")+SUMIFS('LAC 102_Wkst'!$Q$7:$Q$2010,'LAC 102_Wkst'!$E$7:$E$2010,$C102,'LAC 102_Wkst'!$G$7:$G$2010,$D102,'LAC 102_Wkst'!$L$7:$L$2010,"06",'LAC 102_Wkst'!$N$7:$N$2010,"P1")</f>
        <v>0</v>
      </c>
      <c r="S102" s="411">
        <f>SUMIFS('LAC 102_Wkst'!$AE$7:$AE$2010,'LAC 102_Wkst'!$E$7:$E$2010,$C102,'LAC 102_Wkst'!$G$7:$G$2010,$D102,'LAC 102_Wkst'!$L$7:$L$2010,"05",'LAC 102_Wkst'!$N$7:$N$2010,"P1")+SUMIFS('LAC 102_Wkst'!$AE$7:$AE$2010,'LAC 102_Wkst'!$E$7:$E$2010,$C102,'LAC 102_Wkst'!$G$7:$G$2010,$D102,'LAC 102_Wkst'!$L$7:$L$2010,"06",'LAC 102_Wkst'!$N$7:$N$2010,"P1")</f>
        <v>0</v>
      </c>
      <c r="T102" s="410">
        <f>SUMIFS('LAC 102_Wkst'!$Q$7:$Q$2010,'LAC 102_Wkst'!$E$7:$E$2010,$C102,'LAC 102_Wkst'!$G$7:$G$2010,$D102,'LAC 102_Wkst'!$L$7:$L$2010,"05",'LAC 102_Wkst'!$N$7:$N$2010,"P2")+SUMIFS('LAC 102_Wkst'!$Q$7:$Q$2010,'LAC 102_Wkst'!$E$7:$E$2010,$C102,'LAC 102_Wkst'!$G$7:$G$2010,$D102,'LAC 102_Wkst'!$L$7:$L$2010,"05",'LAC 102_Wkst'!$N$7:$N$2010,"P3")+SUMIFS('LAC 102_Wkst'!$Q$7:$Q$2010,'LAC 102_Wkst'!$E$7:$E$2010,$C102,'LAC 102_Wkst'!$G$7:$G$2010,$D102,'LAC 102_Wkst'!$L$7:$L$2010,"06",'LAC 102_Wkst'!$N$7:$N$2010,"P2")+SUMIFS('LAC 102_Wkst'!$Q$7:$Q$2010,'LAC 102_Wkst'!$E$7:$E$2010,$C102,'LAC 102_Wkst'!$G$7:$G$2010,$D102,'LAC 102_Wkst'!$L$7:$L$2010,"06",'LAC 102_Wkst'!$N$7:$N$2010,"P3")</f>
        <v>0</v>
      </c>
      <c r="U102" s="411">
        <f>SUMIFS('LAC 102_Wkst'!$AE$7:$AE$2010,'LAC 102_Wkst'!$E$7:$E$2010,$C102,'LAC 102_Wkst'!$G$7:$G$2010,$D102,'LAC 102_Wkst'!$L$7:$L$2010,"05",'LAC 102_Wkst'!$N$7:$N$2010,"P2")+SUMIFS('LAC 102_Wkst'!$AE$7:$AE$2010,'LAC 102_Wkst'!$E$7:$E$2010,$C102,'LAC 102_Wkst'!$G$7:$G$2010,$D102,'LAC 102_Wkst'!$L$7:$L$2010,"06",'LAC 102_Wkst'!$N$7:$N$2010,"P3")+SUMIFS('LAC 102_Wkst'!$AE$7:$AE$2010,'LAC 102_Wkst'!$E$7:$E$2010,$C102,'LAC 102_Wkst'!$G$7:$G$2010,$D102,'LAC 102_Wkst'!$L$7:$L$2010,"05",'LAC 102_Wkst'!$N$7:$N$2010,"P2")+SUMIFS('LAC 102_Wkst'!$AE$7:$AE$2010,'LAC 102_Wkst'!$E$7:$E$2010,$C102,'LAC 102_Wkst'!$G$7:$G$2010,$D102,'LAC 102_Wkst'!$L$7:$L$2010,"06",'LAC 102_Wkst'!$N$7:$N$2010,"P3")</f>
        <v>0</v>
      </c>
      <c r="V102" s="410">
        <f>SUMIFS('LAC 102_Wkst'!$Q$7:$Q$2010,'LAC 102_Wkst'!$E$7:$E$2010,$C102,'LAC 102_Wkst'!$G$7:$G$2010,$D102,'LAC 102_Wkst'!$L$7:$L$2010,"05",'LAC 102_Wkst'!$N$7:$N$2010,"P4")+SUMIFS('LAC 102_Wkst'!$Q$7:$Q$2010,'LAC 102_Wkst'!$E$7:$E$2010,$C102,'LAC 102_Wkst'!$G$7:$G$2010,$D102,'LAC 102_Wkst'!$L$7:$L$2010,"06",'LAC 102_Wkst'!$N$7:$N$2010,"P4")</f>
        <v>0</v>
      </c>
      <c r="W102" s="411">
        <f>SUMIFS('LAC 102_Wkst'!$AE$7:$AE$2010,'LAC 102_Wkst'!$E$7:$E$2010,$C102,'LAC 102_Wkst'!$G$7:$G$2010,$D102,'LAC 102_Wkst'!$L$7:$L$2010,"05",'LAC 102_Wkst'!$N$7:$N$2010,"P4")+SUMIFS('LAC 102_Wkst'!$AE$7:$AE$2010,'LAC 102_Wkst'!$E$7:$E$2010,$C102,'LAC 102_Wkst'!$G$7:$G$2010,$D102,'LAC 102_Wkst'!$L$7:$L$2010,"06",'LAC 102_Wkst'!$N$7:$N$2010,"P4")</f>
        <v>0</v>
      </c>
      <c r="X102" s="410">
        <f>SUMIFS('LAC 102_Wkst'!$Q$7:$Q$2010,'LAC 102_Wkst'!$E$7:$E$2010,$C102,'LAC 102_Wkst'!$G$7:$G$2010,$D102,'LAC 102_Wkst'!$L$7:$L$2010,"05",'LAC 102_Wkst'!$N$7:$N$2010,"P5")+SUMIFS('LAC 102_Wkst'!$Q$7:$Q$2010,'LAC 102_Wkst'!$E$7:$E$2010,$C102,'LAC 102_Wkst'!$G$7:$G$2010,$D102,'LAC 102_Wkst'!$L$7:$L$2010,"06",'LAC 102_Wkst'!$N$7:$N$2010,"P5")</f>
        <v>0</v>
      </c>
      <c r="Y102" s="411">
        <f>SUMIFS('LAC 102_Wkst'!$AE$7:$AE$2010,'LAC 102_Wkst'!$E$7:$E$2010,$C102,'LAC 102_Wkst'!$G$7:$G$2010,$D102,'LAC 102_Wkst'!$L$7:$L$2010,"05",'LAC 102_Wkst'!$N$7:$N$2010,"P5")+SUMIFS('LAC 102_Wkst'!$AE$7:$AE$2010,'LAC 102_Wkst'!$E$7:$E$2010,$C102,'LAC 102_Wkst'!$G$7:$G$2010,$D102,'LAC 102_Wkst'!$L$7:$L$2010,"06",'LAC 102_Wkst'!$N$7:$N$2010,"P5")</f>
        <v>0</v>
      </c>
      <c r="Z102" s="410">
        <f>SUMIFS('LAC 102_Wkst'!$Q$7:$Q$2010,'LAC 102_Wkst'!$E$7:$E$2010,$C102,'LAC 102_Wkst'!$G$7:$G$2010,$D102,'LAC 102_Wkst'!$L$7:$L$2010,"07",'LAC 102_Wkst'!$N$7:$N$2010,"P1")+SUMIFS('LAC 102_Wkst'!$Q$7:$Q$2010,'LAC 102_Wkst'!$E$7:$E$2010,$C102,'LAC 102_Wkst'!$G$7:$G$2010,$D102,'LAC 102_Wkst'!$L$7:$L$2010,"07",'LAC 102_Wkst'!$N$7:$N$2010,"P2")+SUMIFS('LAC 102_Wkst'!$Q$7:$Q$2010,'LAC 102_Wkst'!$E$7:$E$2010,$C102,'LAC 102_Wkst'!$G$7:$G$2010,$D102,'LAC 102_Wkst'!$L$7:$L$2010,"07",'LAC 102_Wkst'!$N$7:$N$2010,"P3")</f>
        <v>0</v>
      </c>
      <c r="AA102" s="411">
        <f>SUMIFS('LAC 102_Wkst'!$AE$7:$AE$2010,'LAC 102_Wkst'!$E$7:$E$2010,$C102,'LAC 102_Wkst'!$G$7:$G$2010,$D102,'LAC 102_Wkst'!$L$7:$L$2010,"07",'LAC 102_Wkst'!$N$7:$N$2010,"P1")+SUMIFS('LAC 102_Wkst'!$AE$7:$AE$2010,'LAC 102_Wkst'!$E$7:$E$2010,$C102,'LAC 102_Wkst'!$G$7:$G$2010,$D102,'LAC 102_Wkst'!$L$7:$L$2010,"07",'LAC 102_Wkst'!$N$7:$N$2010,"P2")+SUMIFS('LAC 102_Wkst'!$AE$7:$AE$2010,'LAC 102_Wkst'!$E$7:$E$2010,$C102,'LAC 102_Wkst'!$G$7:$G$2010,$D102,'LAC 102_Wkst'!$L$7:$L$2010,"07",'LAC 102_Wkst'!$N$7:$N$2010,"P3")</f>
        <v>0</v>
      </c>
      <c r="AB102" s="410">
        <f>SUMIFS('LAC 102_Wkst'!$Q$7:$Q$2010,'LAC 102_Wkst'!$E$7:$E$2010,$C102,'LAC 102_Wkst'!$G$7:$G$2010,$D102,'LAC 102_Wkst'!$L$7:$L$2010,"07",'LAC 102_Wkst'!$N$7:$N$2010,"P4")</f>
        <v>0</v>
      </c>
      <c r="AC102" s="411">
        <f>SUMIFS('LAC 102_Wkst'!$AE$7:$AE$2010,'LAC 102_Wkst'!$E$7:$E$2010,$C102,'LAC 102_Wkst'!$G$7:$G$2010,$D102,'LAC 102_Wkst'!$L$7:$L$2010,"07",'LAC 102_Wkst'!$N$7:$N$2010,"P4")</f>
        <v>0</v>
      </c>
      <c r="AD102" s="410">
        <f>SUMIFS('LAC 102_Wkst'!$Q$7:$Q$2010,'LAC 102_Wkst'!$E$7:$E$2010,$C102,'LAC 102_Wkst'!$G$7:$G$2010,$D102,'LAC 102_Wkst'!$L$7:$L$2010,"07",'LAC 102_Wkst'!$N$7:$N$2010,"P5")</f>
        <v>0</v>
      </c>
      <c r="AE102" s="411">
        <f>SUMIFS('LAC 102_Wkst'!$AE$7:$AE$2010,'LAC 102_Wkst'!$E$7:$E$2010,$C102,'LAC 102_Wkst'!$G$7:$G$2010,$D102,'LAC 102_Wkst'!$L$7:$L$2010,"07",'LAC 102_Wkst'!$N$7:$N$2010,"P5")</f>
        <v>0</v>
      </c>
      <c r="AF102" s="410">
        <f>SUMIFS('LAC 102_Wkst'!$Q$7:$Q$2010,'LAC 102_Wkst'!$E$7:$E$2010,$C102,'LAC 102_Wkst'!$G$7:$G$2010,$D102,'LAC 102_Wkst'!$L$7:$L$2010,"08",'LAC 102_Wkst'!$N$7:$N$2010,"P1")+SUMIFS('LAC 102_Wkst'!$Q$7:$Q$2010,'LAC 102_Wkst'!$E$7:$E$2010,$C102,'LAC 102_Wkst'!$G$7:$G$2010,$D102,'LAC 102_Wkst'!$L$7:$L$2010,"08",'LAC 102_Wkst'!$N$7:$N$2010,"P2")+SUMIFS('LAC 102_Wkst'!$Q$7:$Q$2010,'LAC 102_Wkst'!$E$7:$E$2010,$C102,'LAC 102_Wkst'!$G$7:$G$2010,$D102,'LAC 102_Wkst'!$L$7:$L$2010,"08",'LAC 102_Wkst'!$N$7:$N$2010,"P3")</f>
        <v>0</v>
      </c>
      <c r="AG102" s="411">
        <f>SUMIFS('LAC 102_Wkst'!$AE$7:$AE$2010,'LAC 102_Wkst'!$E$7:$E$2010,$C102,'LAC 102_Wkst'!$G$7:$G$2010,$D102,'LAC 102_Wkst'!$L$7:$L$2010,"08",'LAC 102_Wkst'!$N$7:$N$2010,"P1")+SUMIFS('LAC 102_Wkst'!$AE$7:$AE$2010,'LAC 102_Wkst'!$E$7:$E$2010,$C102,'LAC 102_Wkst'!$G$7:$G$2010,$D102,'LAC 102_Wkst'!$L$7:$L$2010,"08",'LAC 102_Wkst'!$N$7:$N$2010,"P2")+SUMIFS('LAC 102_Wkst'!$AE$7:$AE$2010,'LAC 102_Wkst'!$E$7:$E$2010,$C102,'LAC 102_Wkst'!$G$7:$G$2010,$D102,'LAC 102_Wkst'!$L$7:$L$2010,"08",'LAC 102_Wkst'!$N$7:$N$2010,"P3")</f>
        <v>0</v>
      </c>
      <c r="AH102" s="410">
        <f>SUMIFS('LAC 102_Wkst'!$Q$7:$Q$2010,'LAC 102_Wkst'!$E$7:$E$2010,$C102,'LAC 102_Wkst'!$G$7:$G$2010,$D102,'LAC 102_Wkst'!$L$7:$L$2010,"08",'LAC 102_Wkst'!$N$7:$N$2010,"P4")</f>
        <v>0</v>
      </c>
      <c r="AI102" s="411">
        <f>SUMIFS('LAC 102_Wkst'!$AE$7:$AE$2010,'LAC 102_Wkst'!$E$7:$E$2010,$C102,'LAC 102_Wkst'!$G$7:$G$2010,$D102,'LAC 102_Wkst'!$L$7:$L$2010,"08",'LAC 102_Wkst'!$N$7:$N$2010,"P4")</f>
        <v>0</v>
      </c>
      <c r="AJ102" s="410">
        <f>SUMIFS('LAC 102_Wkst'!$Q$7:$Q$2010,'LAC 102_Wkst'!$E$7:$E$2010,$C102,'LAC 102_Wkst'!$G$7:$G$2010,$D102,'LAC 102_Wkst'!$L$7:$L$2010,"08",'LAC 102_Wkst'!$N$7:$N$2010,"P5")</f>
        <v>0</v>
      </c>
      <c r="AK102" s="411">
        <f>SUMIFS('LAC 102_Wkst'!$AE$7:$AE$2010,'LAC 102_Wkst'!$E$7:$E$2010,$C102,'LAC 102_Wkst'!$G$7:$G$2010,$D102,'LAC 102_Wkst'!$L$7:$L$2010,"08",'LAC 102_Wkst'!$N$7:$N$2010,"P5")</f>
        <v>0</v>
      </c>
      <c r="AL102" s="410">
        <f>SUMIFS('LAC 102_Wkst'!$Q$7:$Q$2010,'LAC 102_Wkst'!$E$7:$E$2010,$C102,'LAC 102_Wkst'!$G$7:$G$2010,$D102,'LAC 102_Wkst'!$L$7:$L$2010,"09",'LAC 102_Wkst'!$N$7:$N$2010,"P1")+SUMIFS('LAC 102_Wkst'!$Q$7:$Q$2010,'LAC 102_Wkst'!$E$7:$E$2010,$C102,'LAC 102_Wkst'!$G$7:$G$2010,$D102,'LAC 102_Wkst'!$L$7:$L$2010,"09",'LAC 102_Wkst'!$N$7:$N$2010,"P2")+SUMIFS('LAC 102_Wkst'!$Q$7:$Q$2010,'LAC 102_Wkst'!$E$7:$E$2010,$C102,'LAC 102_Wkst'!$G$7:$G$2010,$D102,'LAC 102_Wkst'!$L$7:$L$2010,"09",'LAC 102_Wkst'!$N$7:$N$2010,"P3")+SUMIFS('LAC 102_Wkst'!$Q$7:$Q$2010,'LAC 102_Wkst'!$E$7:$E$2010,$C102,'LAC 102_Wkst'!$G$7:$G$2010,$D102,'LAC 102_Wkst'!$L$7:$L$2010,"09",'LAC 102_Wkst'!$N$7:$N$2010,"P4")</f>
        <v>0</v>
      </c>
      <c r="AM102" s="411">
        <f>SUMIFS('LAC 102_Wkst'!$AE$7:$AE$2010,'LAC 102_Wkst'!$E$7:$E$2010,$C102,'LAC 102_Wkst'!$G$7:$G$2010,$D102,'LAC 102_Wkst'!$L$7:$L$2010,"09",'LAC 102_Wkst'!$N$7:$N$2010,"P1")+SUMIFS('LAC 102_Wkst'!$AE$7:$AE$2010,'LAC 102_Wkst'!$E$7:$E$2010,$C102,'LAC 102_Wkst'!$G$7:$G$2010,$D102,'LAC 102_Wkst'!$L$7:$L$2010,"09",'LAC 102_Wkst'!$N$7:$N$2010,"P2")+SUMIFS('LAC 102_Wkst'!$AE$7:$AE$2010,'LAC 102_Wkst'!$E$7:$E$2010,$C102,'LAC 102_Wkst'!$G$7:$G$2010,$D102,'LAC 102_Wkst'!$L$7:$L$2010,"09",'LAC 102_Wkst'!$N$7:$N$2010,"P3")+SUMIFS('LAC 102_Wkst'!$AE$7:$AE$2010,'LAC 102_Wkst'!$E$7:$E$2010,$C102,'LAC 102_Wkst'!$G$7:$G$2010,$D102,'LAC 102_Wkst'!$L$7:$L$2010,"09",'LAC 102_Wkst'!$N$7:$N$2010,"P4")</f>
        <v>0</v>
      </c>
      <c r="AN102" s="410">
        <f>SUMIFS('LAC 102_Wkst'!$Q$7:$Q$2010,'LAC 102_Wkst'!$E$7:$E$2010,$C102,'LAC 102_Wkst'!$G$7:$G$2010,$D102,'LAC 102_Wkst'!$L$7:$L$2010,"09",'LAC 102_Wkst'!$N$7:$N$2010,"P5")</f>
        <v>0</v>
      </c>
      <c r="AO102" s="411">
        <f>SUMIFS('LAC 102_Wkst'!$AE$7:$AE$2010,'LAC 102_Wkst'!$E$7:$E$2010,$C102,'LAC 102_Wkst'!$G$7:$G$2010,$D102,'LAC 102_Wkst'!$L$7:$L$2010,"09",'LAC 102_Wkst'!$N$7:$N$2010,"P5")</f>
        <v>0</v>
      </c>
      <c r="AP102" s="410">
        <f>SUMIFS('LAC 102_Wkst'!$Q$7:$Q$2010,'LAC 102_Wkst'!$E$7:$E$2010,$C102,'LAC 102_Wkst'!$G$7:$G$2010,$D102,'LAC 102_Wkst'!$L$7:$L$2010,"10",'LAC 102_Wkst'!$N$7:$N$2010,"P1")+SUMIFS('LAC 102_Wkst'!$Q$7:$Q$2010,'LAC 102_Wkst'!$E$7:$E$2010,$C102,'LAC 102_Wkst'!$G$7:$G$2010,$D102,'LAC 102_Wkst'!$L$7:$L$2010,"10",'LAC 102_Wkst'!$N$7:$N$2010,"P2")+SUMIFS('LAC 102_Wkst'!$Q$7:$Q$2010,'LAC 102_Wkst'!$E$7:$E$2010,$C102,'LAC 102_Wkst'!$G$7:$G$2010,$D102,'LAC 102_Wkst'!$L$7:$L$2010,"10",'LAC 102_Wkst'!$N$7:$N$2010,"P3")+SUMIFS('LAC 102_Wkst'!$Q$7:$Q$2010,'LAC 102_Wkst'!$E$7:$E$2010,$C102,'LAC 102_Wkst'!$G$7:$G$2010,$D102,'LAC 102_Wkst'!$L$7:$L$2010,"10",'LAC 102_Wkst'!$N$7:$N$2010,"P4")</f>
        <v>0</v>
      </c>
      <c r="AQ102" s="411">
        <f>SUMIFS('LAC 102_Wkst'!$AE$7:$AE$2010,'LAC 102_Wkst'!$E$7:$E$2010,$C102,'LAC 102_Wkst'!$G$7:$G$2010,$D102,'LAC 102_Wkst'!$L$7:$L$2010,"10",'LAC 102_Wkst'!$N$7:$N$2010,"P1")+SUMIFS('LAC 102_Wkst'!$AE$7:$AE$2010,'LAC 102_Wkst'!$E$7:$E$2010,$C102,'LAC 102_Wkst'!$G$7:$G$2010,$D102,'LAC 102_Wkst'!$L$7:$L$2010,"10",'LAC 102_Wkst'!$N$7:$N$2010,"P2")+SUMIFS('LAC 102_Wkst'!$AE$7:$AE$2010,'LAC 102_Wkst'!$E$7:$E$2010,$C102,'LAC 102_Wkst'!$G$7:$G$2010,$D102,'LAC 102_Wkst'!$L$7:$L$2010,"10",'LAC 102_Wkst'!$N$7:$N$2010,"P3")+SUMIFS('LAC 102_Wkst'!$AE$7:$AE$2010,'LAC 102_Wkst'!$E$7:$E$2010,$C102,'LAC 102_Wkst'!$G$7:$G$2010,$D102,'LAC 102_Wkst'!$L$7:$L$2010,"10",'LAC 102_Wkst'!$N$7:$N$2010,"P4")</f>
        <v>0</v>
      </c>
      <c r="AR102" s="410">
        <f>SUMIFS('LAC 102_Wkst'!$Q$7:$Q$2010,'LAC 102_Wkst'!$E$7:$E$2010,$C102,'LAC 102_Wkst'!$G$7:$G$2010,$D102,'LAC 102_Wkst'!$L$7:$L$2010,"10",'LAC 102_Wkst'!$N$7:$N$2010,"P5")</f>
        <v>0</v>
      </c>
      <c r="AS102" s="411">
        <f>SUMIFS('LAC 102_Wkst'!$AE$7:$AE$2010,'LAC 102_Wkst'!$E$7:$E$2010,$C102,'LAC 102_Wkst'!$G$7:$G$2010,$D102,'LAC 102_Wkst'!$L$7:$L$2010,"10",'LAC 102_Wkst'!$N$7:$N$2010,"P5")</f>
        <v>0</v>
      </c>
      <c r="AT102" s="410">
        <f>SUMIFS('LAC 102_Wkst'!$Q$7:$Q$2010,'LAC 102_Wkst'!$E$7:$E$2010,$C102,'LAC 102_Wkst'!$G$7:$G$2010,$D102,'LAC 102_Wkst'!$L$7:$L$2010,"11",'LAC 102_Wkst'!$N$7:$N$2010,"P1")+SUMIFS('LAC 102_Wkst'!$Q$7:$Q$2010,'LAC 102_Wkst'!$E$7:$E$2010,$C102,'LAC 102_Wkst'!$G$7:$G$2010,$D102,'LAC 102_Wkst'!$L$7:$L$2010,"12",'LAC 102_Wkst'!$N$7:$N$2010,"P1")</f>
        <v>0</v>
      </c>
      <c r="AU102" s="411">
        <f>SUMIFS('LAC 102_Wkst'!$AE$7:$AE$2010,'LAC 102_Wkst'!$E$7:$E$2010,$C102,'LAC 102_Wkst'!$G$7:$G$2010,$D102,'LAC 102_Wkst'!$L$7:$L$2010,"11",'LAC 102_Wkst'!$N$7:$N$2010,"P1")+SUMIFS('LAC 102_Wkst'!$AE$7:$AE$2010,'LAC 102_Wkst'!$E$7:$E$2010,$C102,'LAC 102_Wkst'!$G$7:$G$2010,$D102,'LAC 102_Wkst'!$L$7:$L$2010,"12",'LAC 102_Wkst'!$N$7:$N$2010,"P1")</f>
        <v>0</v>
      </c>
      <c r="AV102" s="410">
        <f>SUMIFS('LAC 102_Wkst'!$Q$7:$Q$2010,'LAC 102_Wkst'!$E$7:$E$2010,$C102,'LAC 102_Wkst'!$G$7:$G$2010,$D102,'LAC 102_Wkst'!$L$7:$L$2010,"11",'LAC 102_Wkst'!$N$7:$N$2010,"P2")+SUMIFS('LAC 102_Wkst'!$Q$7:$Q$2010,'LAC 102_Wkst'!$E$7:$E$2010,$C102,'LAC 102_Wkst'!$G$7:$G$2010,$D102,'LAC 102_Wkst'!$L$7:$L$2010,"12",'LAC 102_Wkst'!$N$7:$N$2010,"P3")+SUMIFS('LAC 102_Wkst'!$Q$7:$Q$2010,'LAC 102_Wkst'!$E$7:$E$2010,$C102,'LAC 102_Wkst'!$G$7:$G$2010,$D102,'LAC 102_Wkst'!$L$7:$L$2010,"11",'LAC 102_Wkst'!$N$7:$N$2010,"P2")+SUMIFS('LAC 102_Wkst'!$Q$7:$Q$2010,'LAC 102_Wkst'!$E$7:$E$2010,$C102,'LAC 102_Wkst'!$G$7:$G$2010,$D102,'LAC 102_Wkst'!$L$7:$L$2010,"12",'LAC 102_Wkst'!$N$7:$N$2010,"P3")</f>
        <v>0</v>
      </c>
      <c r="AW102" s="411">
        <f>SUMIFS('LAC 102_Wkst'!$AE$7:$AE$2010,'LAC 102_Wkst'!$E$7:$E$2010,$C102,'LAC 102_Wkst'!$G$7:$G$2010,$D102,'LAC 102_Wkst'!$L$7:$L$2010,"11",'LAC 102_Wkst'!$N$7:$N$2010,"P2")+SUMIFS('LAC 102_Wkst'!$AE$7:$AE$2010,'LAC 102_Wkst'!$E$7:$E$2010,$C102,'LAC 102_Wkst'!$G$7:$G$2010,$D102,'LAC 102_Wkst'!$L$7:$L$2010,"12",'LAC 102_Wkst'!$N$7:$N$2010,"P3")+SUMIFS('LAC 102_Wkst'!$AE$7:$AE$2010,'LAC 102_Wkst'!$E$7:$E$2010,$C102,'LAC 102_Wkst'!$G$7:$G$2010,$D102,'LAC 102_Wkst'!$L$7:$L$2010,"11",'LAC 102_Wkst'!$N$7:$N$2010,"P2")+SUMIFS('LAC 102_Wkst'!$AE$7:$AE$2010,'LAC 102_Wkst'!$E$7:$E$2010,$C102,'LAC 102_Wkst'!$G$7:$G$2010,$D102,'LAC 102_Wkst'!$L$7:$L$2010,"12",'LAC 102_Wkst'!$N$7:$N$2010,"P3")</f>
        <v>0</v>
      </c>
      <c r="AX102" s="410">
        <f>SUMIFS('LAC 102_Wkst'!$Q$7:$Q$2010,'LAC 102_Wkst'!$E$7:$E$2010,$C102,'LAC 102_Wkst'!$G$7:$G$2010,$D102,'LAC 102_Wkst'!$L$7:$L$2010,"11",'LAC 102_Wkst'!$N$7:$N$2010,"P4")+SUMIFS('LAC 102_Wkst'!$Q$7:$Q$2010,'LAC 102_Wkst'!$E$7:$E$2010,$C102,'LAC 102_Wkst'!$G$7:$G$2010,$D102,'LAC 102_Wkst'!$L$7:$L$2010,"12",'LAC 102_Wkst'!$N$7:$N$2010,"P4")</f>
        <v>0</v>
      </c>
      <c r="AY102" s="411">
        <f>SUMIFS('LAC 102_Wkst'!$AE$7:$AE$2010,'LAC 102_Wkst'!$E$7:$E$2010,$C102,'LAC 102_Wkst'!$G$7:$G$2010,$D102,'LAC 102_Wkst'!$L$7:$L$2010,"11",'LAC 102_Wkst'!$N$7:$N$2010,"P4")+SUMIFS('LAC 102_Wkst'!$AE$7:$AE$2010,'LAC 102_Wkst'!$E$7:$E$2010,$C102,'LAC 102_Wkst'!$G$7:$G$2010,$D102,'LAC 102_Wkst'!$L$7:$L$2010,"12",'LAC 102_Wkst'!$N$7:$N$2010,"P4")</f>
        <v>0</v>
      </c>
      <c r="AZ102" s="410">
        <f>SUMIFS('LAC 102_Wkst'!$Q$7:$Q$2010,'LAC 102_Wkst'!$E$7:$E$2010,$C102,'LAC 102_Wkst'!$G$7:$G$2010,$D102,'LAC 102_Wkst'!$L$7:$L$2010,"11",'LAC 102_Wkst'!$N$7:$N$2010,"P5")+SUMIFS('LAC 102_Wkst'!$Q$7:$Q$2010,'LAC 102_Wkst'!$E$7:$E$2010,$C102,'LAC 102_Wkst'!$G$7:$G$2010,$D102,'LAC 102_Wkst'!$L$7:$L$2010,"12",'LAC 102_Wkst'!$N$7:$N$2010,"P5")</f>
        <v>0</v>
      </c>
      <c r="BA102" s="411">
        <f>SUMIFS('LAC 102_Wkst'!$AE$7:$AE$2010,'LAC 102_Wkst'!$E$7:$E$2010,$C102,'LAC 102_Wkst'!$G$7:$G$2010,$D102,'LAC 102_Wkst'!$L$7:$L$2010,"11",'LAC 102_Wkst'!$N$7:$N$2010,"P5")+SUMIFS('LAC 102_Wkst'!$AE$7:$AE$2010,'LAC 102_Wkst'!$E$7:$E$2010,$C102,'LAC 102_Wkst'!$G$7:$G$2010,$D102,'LAC 102_Wkst'!$L$7:$L$2010,"12",'LAC 102_Wkst'!$N$7:$N$2010,"P5")</f>
        <v>0</v>
      </c>
      <c r="BB102" s="410">
        <f>SUMIFS('LAC 102_Wkst'!$Q$7:$Q$2010,'LAC 102_Wkst'!$E$7:$E$2010,$C102,'LAC 102_Wkst'!$G$7:$G$2010,$D102,'LAC 102_Wkst'!$L$7:$L$2010,"13",'LAC 102_Wkst'!$N$7:$N$2010,"P1")+SUMIFS('LAC 102_Wkst'!$Q$7:$Q$2010,'LAC 102_Wkst'!$E$7:$E$2010,$C102,'LAC 102_Wkst'!$G$7:$G$2010,$D102,'LAC 102_Wkst'!$L$7:$L$2010,"13",'LAC 102_Wkst'!$N$7:$N$2010,"P2")+SUMIFS('LAC 102_Wkst'!$Q$7:$Q$2010,'LAC 102_Wkst'!$E$7:$E$2010,$C102,'LAC 102_Wkst'!$G$7:$G$2010,$D102,'LAC 102_Wkst'!$L$7:$L$2010,"13",'LAC 102_Wkst'!$N$7:$N$2010,"P3")+SUMIFS('LAC 102_Wkst'!$Q$7:$Q$2010,'LAC 102_Wkst'!$E$7:$E$2010,$C102,'LAC 102_Wkst'!$G$7:$G$2010,$D102,'LAC 102_Wkst'!$L$7:$L$2010,"13",'LAC 102_Wkst'!$N$7:$N$2010,"P4")</f>
        <v>0</v>
      </c>
      <c r="BC102" s="411">
        <f>SUMIFS('LAC 102_Wkst'!$AE$7:$AE$2010,'LAC 102_Wkst'!$E$7:$E$2010,$C102,'LAC 102_Wkst'!$G$7:$G$2010,$D102,'LAC 102_Wkst'!$L$7:$L$2010,"13",'LAC 102_Wkst'!$N$7:$N$2010,"P1")+SUMIFS('LAC 102_Wkst'!$AE$7:$AE$2010,'LAC 102_Wkst'!$E$7:$E$2010,$C102,'LAC 102_Wkst'!$G$7:$G$2010,$D102,'LAC 102_Wkst'!$L$7:$L$2010,"13",'LAC 102_Wkst'!$N$7:$N$2010,"P2")+SUMIFS('LAC 102_Wkst'!$AE$7:$AE$2010,'LAC 102_Wkst'!$E$7:$E$2010,$C102,'LAC 102_Wkst'!$G$7:$G$2010,$D102,'LAC 102_Wkst'!$L$7:$L$2010,"13",'LAC 102_Wkst'!$N$7:$N$2010,"P3")+SUMIFS('LAC 102_Wkst'!$AE$7:$AE$2010,'LAC 102_Wkst'!$E$7:$E$2010,$C102,'LAC 102_Wkst'!$G$7:$G$2010,$D102,'LAC 102_Wkst'!$L$7:$L$2010,"13",'LAC 102_Wkst'!$N$7:$N$2010,"P4")</f>
        <v>0</v>
      </c>
      <c r="BD102" s="410">
        <f>SUMIFS('LAC 102_Wkst'!$Q$7:$Q$2010,'LAC 102_Wkst'!$E$7:$E$2010,$C102,'LAC 102_Wkst'!$G$7:$G$2010,$D102,'LAC 102_Wkst'!$L$7:$L$2010,"13",'LAC 102_Wkst'!$N$7:$N$2010,"P5")</f>
        <v>0</v>
      </c>
      <c r="BE102" s="411">
        <f>SUMIFS('LAC 102_Wkst'!$AE$7:$AE$2010,'LAC 102_Wkst'!$E$7:$E$2010,$C102,'LAC 102_Wkst'!$G$7:$G$2010,$D102,'LAC 102_Wkst'!$L$7:$L$2010,"13",'LAC 102_Wkst'!$N$7:$N$2010,"P5")</f>
        <v>0</v>
      </c>
      <c r="BF102" s="407">
        <f t="shared" si="1"/>
        <v>0</v>
      </c>
    </row>
    <row r="103" spans="1:58" ht="15.75" thickBot="1" x14ac:dyDescent="0.25">
      <c r="A103" s="401">
        <v>84</v>
      </c>
      <c r="B103" s="1238"/>
      <c r="C103" s="1235"/>
      <c r="D103" s="1239"/>
      <c r="E103" s="1647">
        <f>IF(CONCATENATE(C103,D103)&gt;"6069",1,SUMIFS('LAC 102_Wkst'!$Q$7:$Q$2010,'LAC 102_Wkst'!$E$7:$E$2010,Schedule_B!$C103,'LAC 102_Wkst'!$G$7:$G$2010,Schedule_B!$D103))</f>
        <v>0</v>
      </c>
      <c r="F103" s="417">
        <f>SUMIFS('LAC 102_Wkst'!$Q$7:$Q$2010,'LAC 102_Wkst'!$E$7:$E$2010,$C103,'LAC 102_Wkst'!$G$7:$G$2010,$D103,'LAC 102_Wkst'!$L$7:$L$2010,"01",'LAC 102_Wkst'!$N$7:$N$2010,"P1")+SUMIFS('LAC 102_Wkst'!$Q$7:$Q$2010,'LAC 102_Wkst'!$E$7:$E$2010,$C103,'LAC 102_Wkst'!$G$7:$G$2010,$D103,'LAC 102_Wkst'!$L$7:$L$2010,"01",'LAC 102_Wkst'!$N$7:$N$2010,"P2")+SUMIFS('LAC 102_Wkst'!$Q$7:$Q$2010,'LAC 102_Wkst'!$E$7:$E$2010,$C103,'LAC 102_Wkst'!$G$7:$G$2010,$D103,'LAC 102_Wkst'!$L$7:$L$2010,"01",'LAC 102_Wkst'!$N$7:$N$2010,"P3")+SUMIFS('LAC 102_Wkst'!$Q$7:$Q$2010,'LAC 102_Wkst'!$E$7:$E$2010,$C103,'LAC 102_Wkst'!$G$7:$G$2010,$D103,'LAC 102_Wkst'!$L$7:$L$2010,"02",'LAC 102_Wkst'!$N$7:$N$2010,"P1")+SUMIFS('LAC 102_Wkst'!$Q$7:$Q$2010,'LAC 102_Wkst'!$E$7:$E$2010,$C103,'LAC 102_Wkst'!$G$7:$G$2010,$D103,'LAC 102_Wkst'!$L$7:$L$2010,"02",'LAC 102_Wkst'!$N$7:$N$2010,"P2")+SUMIFS('LAC 102_Wkst'!$Q$7:$Q$2010,'LAC 102_Wkst'!$E$7:$E$2010,$C103,'LAC 102_Wkst'!$G$7:$G$2010,$D103,'LAC 102_Wkst'!$L$7:$L$2010,"02",'LAC 102_Wkst'!$N$7:$N$2010,"P3")</f>
        <v>0</v>
      </c>
      <c r="G103" s="418">
        <f>SUMIFS('LAC 102_Wkst'!$AE$7:$AE$2010,'LAC 102_Wkst'!$E$7:$E$2010,$C103,'LAC 102_Wkst'!$G$7:$G$2010,$D103,'LAC 102_Wkst'!$L$7:$L$2010,"01",'LAC 102_Wkst'!$N$7:$N$2010,"P1")+SUMIFS('LAC 102_Wkst'!$AE$7:$AE$2010,'LAC 102_Wkst'!$E$7:$E$2010,$C103,'LAC 102_Wkst'!$G$7:$G$2010,$D103,'LAC 102_Wkst'!$L$7:$L$2010,"01",'LAC 102_Wkst'!$N$7:$N$2010,"P2")+SUMIFS('LAC 102_Wkst'!$AE$7:$AE$2010,'LAC 102_Wkst'!$E$7:$E$2010,$C103,'LAC 102_Wkst'!$G$7:$G$2010,$D103,'LAC 102_Wkst'!$L$7:$L$2010,"01",'LAC 102_Wkst'!$N$7:$N$2010,"P3")+SUMIFS('LAC 102_Wkst'!$AE$7:$AE$2010,'LAC 102_Wkst'!$E$7:$E$2010,$C103,'LAC 102_Wkst'!$G$7:$G$2010,$D103,'LAC 102_Wkst'!$L$7:$L$2010,"02",'LAC 102_Wkst'!$N$7:$N$2010,"P1")+SUMIFS('LAC 102_Wkst'!$AE$7:$AE$2010,'LAC 102_Wkst'!$E$7:$E$2010,$C103,'LAC 102_Wkst'!$G$7:$G$2010,$D103,'LAC 102_Wkst'!$L$7:$L$2010,"02",'LAC 102_Wkst'!$N$7:$N$2010,"P2")+SUMIFS('LAC 102_Wkst'!$AE$7:$AE$2010,'LAC 102_Wkst'!$E$7:$E$2010,$C103,'LAC 102_Wkst'!$G$7:$G$2010,$D103,'LAC 102_Wkst'!$L$7:$L$2010,"02",'LAC 102_Wkst'!$N$7:$N$2010,"P3")</f>
        <v>0</v>
      </c>
      <c r="H103" s="419">
        <f>SUMIFS('LAC 102_Wkst'!$Q$7:$Q$2010,'LAC 102_Wkst'!$E$7:$E$2010,$C103,'LAC 102_Wkst'!$G$7:$G$2010,$D103,'LAC 102_Wkst'!$L$7:$L$2010,"01",'LAC 102_Wkst'!$N$7:$N$2010,"P4")+SUMIFS('LAC 102_Wkst'!$Q$7:$Q$2010,'LAC 102_Wkst'!$E$7:$E$2010,$C103,'LAC 102_Wkst'!$G$7:$G$2010,$D103,'LAC 102_Wkst'!$L$7:$L$2010,"02",'LAC 102_Wkst'!$N$7:$N$2010,"P4")</f>
        <v>0</v>
      </c>
      <c r="I103" s="420">
        <f>SUMIFS('LAC 102_Wkst'!$AE$7:$AE$2010,'LAC 102_Wkst'!$E$7:$E$2010,$C103,'LAC 102_Wkst'!$G$7:$G$2010,$D103,'LAC 102_Wkst'!$L$7:$L$2010,"01",'LAC 102_Wkst'!$N$7:$N$2010,"P4")+SUMIFS('LAC 102_Wkst'!$AE$7:$AE$2010,'LAC 102_Wkst'!$E$7:$E$2010,$C103,'LAC 102_Wkst'!$G$7:$G$2010,$D103,'LAC 102_Wkst'!$L$7:$L$2010,"02",'LAC 102_Wkst'!$N$7:$N$2010,"P4")</f>
        <v>0</v>
      </c>
      <c r="J103" s="419">
        <f>SUMIFS('LAC 102_Wkst'!$Q$7:$Q$2010,'LAC 102_Wkst'!$E$7:$E$2010,$C103,'LAC 102_Wkst'!$G$7:$G$2010,$D103,'LAC 102_Wkst'!$L$7:$L$2010,"01",'LAC 102_Wkst'!$N$7:$N$2010,"P5")+SUMIFS('LAC 102_Wkst'!$Q$7:$Q$2010,'LAC 102_Wkst'!$E$7:$E$2010,$C103,'LAC 102_Wkst'!$G$7:$G$2010,$D103,'LAC 102_Wkst'!$L$7:$L$2010,"02",'LAC 102_Wkst'!$N$7:$N$2010,"P5")</f>
        <v>0</v>
      </c>
      <c r="K103" s="420">
        <f>SUMIFS('LAC 102_Wkst'!$AE$7:$AE$2010,'LAC 102_Wkst'!$E$7:$E$2010,$C103,'LAC 102_Wkst'!$G$7:$G$2010,$D103,'LAC 102_Wkst'!$L$7:$L$2010,"01",'LAC 102_Wkst'!$N$7:$N$2010,"P5")+SUMIFS('LAC 102_Wkst'!$AE$7:$AE$2010,'LAC 102_Wkst'!$E$7:$E$2010,$C103,'LAC 102_Wkst'!$G$7:$G$2010,$D103,'LAC 102_Wkst'!$L$7:$L$2010,"02",'LAC 102_Wkst'!$N$7:$N$2010,"P5")</f>
        <v>0</v>
      </c>
      <c r="L103" s="419">
        <f>SUMIFS('LAC 102_Wkst'!$Q$7:$Q$2010,'LAC 102_Wkst'!$E$7:$E$2010,$C103,'LAC 102_Wkst'!$G$7:$G$2010,$D103,'LAC 102_Wkst'!$L$7:$L$2010,"03",'LAC 102_Wkst'!$N$7:$N$2010,"P1")+SUMIFS('LAC 102_Wkst'!$Q$7:$Q$2010,'LAC 102_Wkst'!$E$7:$E$2010,$C103,'LAC 102_Wkst'!$G$7:$G$2010,$D103,'LAC 102_Wkst'!$L$7:$L$2010,"03",'LAC 102_Wkst'!$N$7:$N$2010,"P2")+SUMIFS('LAC 102_Wkst'!$Q$7:$Q$2010,'LAC 102_Wkst'!$E$7:$E$2010,$C103,'LAC 102_Wkst'!$G$7:$G$2010,$D103,'LAC 102_Wkst'!$L$7:$L$2010,"03",'LAC 102_Wkst'!$N$7:$N$2010,"P3")+SUMIFS('LAC 102_Wkst'!$Q$7:$Q$2010,'LAC 102_Wkst'!$E$7:$E$2010,$C103,'LAC 102_Wkst'!$G$7:$G$2010,$D103,'LAC 102_Wkst'!$L$7:$L$2010,"04",'LAC 102_Wkst'!$N$7:$N$2010,"P1")+SUMIFS('LAC 102_Wkst'!$Q$7:$Q$2010,'LAC 102_Wkst'!$E$7:$E$2010,$C103,'LAC 102_Wkst'!$G$7:$G$2010,$D103,'LAC 102_Wkst'!$L$7:$L$2010,"04",'LAC 102_Wkst'!$N$7:$N$2010,"P2")+SUMIFS('LAC 102_Wkst'!$Q$7:$Q$2010,'LAC 102_Wkst'!$E$7:$E$2010,$C103,'LAC 102_Wkst'!$G$7:$G$2010,$D103,'LAC 102_Wkst'!$L$7:$L$2010,"04",'LAC 102_Wkst'!$N$7:$N$2010,"P3")</f>
        <v>0</v>
      </c>
      <c r="M103" s="420">
        <f>SUMIFS('LAC 102_Wkst'!$AE$7:$AE$2010,'LAC 102_Wkst'!$E$7:$E$2010,$C103,'LAC 102_Wkst'!$G$7:$G$2010,$D103,'LAC 102_Wkst'!$L$7:$L$2010,"03",'LAC 102_Wkst'!$N$7:$N$2010,"P1")+SUMIFS('LAC 102_Wkst'!$AE$7:$AE$2010,'LAC 102_Wkst'!$E$7:$E$2010,$C103,'LAC 102_Wkst'!$G$7:$G$2010,$D103,'LAC 102_Wkst'!$L$7:$L$2010,"03",'LAC 102_Wkst'!$N$7:$N$2010,"P2")+SUMIFS('LAC 102_Wkst'!$AE$7:$AE$2010,'LAC 102_Wkst'!$E$7:$E$2010,$C103,'LAC 102_Wkst'!$G$7:$G$2010,$D103,'LAC 102_Wkst'!$L$7:$L$2010,"03",'LAC 102_Wkst'!$N$7:$N$2010,"P3")+SUMIFS('LAC 102_Wkst'!$AE$7:$AE$2010,'LAC 102_Wkst'!$E$7:$E$2010,$C103,'LAC 102_Wkst'!$G$7:$G$2010,$D103,'LAC 102_Wkst'!$L$7:$L$2010,"04",'LAC 102_Wkst'!$N$7:$N$2010,"P1")+SUMIFS('LAC 102_Wkst'!$AE$7:$AE$2010,'LAC 102_Wkst'!$E$7:$E$2010,$C103,'LAC 102_Wkst'!$G$7:$G$2010,$D103,'LAC 102_Wkst'!$L$7:$L$2010,"04",'LAC 102_Wkst'!$N$7:$N$2010,"P2")+SUMIFS('LAC 102_Wkst'!$AE$7:$AE$2010,'LAC 102_Wkst'!$E$7:$E$2010,$C103,'LAC 102_Wkst'!$G$7:$G$2010,$D103,'LAC 102_Wkst'!$L$7:$L$2010,"04",'LAC 102_Wkst'!$N$7:$N$2010,"P3")</f>
        <v>0</v>
      </c>
      <c r="N103" s="419">
        <f>SUMIFS('LAC 102_Wkst'!$Q$7:$Q$2010,'LAC 102_Wkst'!$E$7:$E$2010,$C103,'LAC 102_Wkst'!$G$7:$G$2010,$D103,'LAC 102_Wkst'!$L$7:$L$2010,"03",'LAC 102_Wkst'!$N$7:$N$2010,"P4")+SUMIFS('LAC 102_Wkst'!$Q$7:$Q$2010,'LAC 102_Wkst'!$E$7:$E$2010,$C103,'LAC 102_Wkst'!$G$7:$G$2010,$D103,'LAC 102_Wkst'!$L$7:$L$2010,"04",'LAC 102_Wkst'!$N$7:$N$2010,"P4")</f>
        <v>0</v>
      </c>
      <c r="O103" s="420">
        <f>SUMIFS('LAC 102_Wkst'!$AE$7:$AE$2010,'LAC 102_Wkst'!$E$7:$E$2010,$C103,'LAC 102_Wkst'!$G$7:$G$2010,$D103,'LAC 102_Wkst'!$L$7:$L$2010,"03",'LAC 102_Wkst'!$N$7:$N$2010,"P4")+SUMIFS('LAC 102_Wkst'!$AE$7:$AE$2010,'LAC 102_Wkst'!$E$7:$E$2010,$C103,'LAC 102_Wkst'!$G$7:$G$2010,$D103,'LAC 102_Wkst'!$L$7:$L$2010,"04",'LAC 102_Wkst'!$N$7:$N$2010,"P4")</f>
        <v>0</v>
      </c>
      <c r="P103" s="419">
        <f>SUMIFS('LAC 102_Wkst'!$Q$7:$Q$2010,'LAC 102_Wkst'!$E$7:$E$2010,$C103,'LAC 102_Wkst'!$G$7:$G$2010,$D103,'LAC 102_Wkst'!$L$7:$L$2010,"03",'LAC 102_Wkst'!$N$7:$N$2010,"P5")+SUMIFS('LAC 102_Wkst'!$Q$7:$Q$2010,'LAC 102_Wkst'!$E$7:$E$2010,$C103,'LAC 102_Wkst'!$G$7:$G$2010,$D103,'LAC 102_Wkst'!$L$7:$L$2010,"04",'LAC 102_Wkst'!$N$7:$N$2010,"P5")</f>
        <v>0</v>
      </c>
      <c r="Q103" s="420">
        <f>SUMIFS('LAC 102_Wkst'!$AE$7:$AE$2010,'LAC 102_Wkst'!$E$7:$E$2010,$C103,'LAC 102_Wkst'!$G$7:$G$2010,$D103,'LAC 102_Wkst'!$L$7:$L$2010,"03",'LAC 102_Wkst'!$N$7:$N$2010,"P5")+SUMIFS('LAC 102_Wkst'!$AE$7:$AE$2010,'LAC 102_Wkst'!$E$7:$E$2010,$C103,'LAC 102_Wkst'!$G$7:$G$2010,$D103,'LAC 102_Wkst'!$L$7:$L$2010,"04",'LAC 102_Wkst'!$N$7:$N$2010,"P5")</f>
        <v>0</v>
      </c>
      <c r="R103" s="421">
        <f>SUMIFS('LAC 102_Wkst'!$Q$7:$Q$2010,'LAC 102_Wkst'!$E$7:$E$2010,$C103,'LAC 102_Wkst'!$G$7:$G$2010,$D103,'LAC 102_Wkst'!$L$7:$L$2010,"05",'LAC 102_Wkst'!$N$7:$N$2010,"P1")+SUMIFS('LAC 102_Wkst'!$Q$7:$Q$2010,'LAC 102_Wkst'!$E$7:$E$2010,$C103,'LAC 102_Wkst'!$G$7:$G$2010,$D103,'LAC 102_Wkst'!$L$7:$L$2010,"06",'LAC 102_Wkst'!$N$7:$N$2010,"P1")</f>
        <v>0</v>
      </c>
      <c r="S103" s="420">
        <f>SUMIFS('LAC 102_Wkst'!$AE$7:$AE$2010,'LAC 102_Wkst'!$E$7:$E$2010,$C103,'LAC 102_Wkst'!$G$7:$G$2010,$D103,'LAC 102_Wkst'!$L$7:$L$2010,"05",'LAC 102_Wkst'!$N$7:$N$2010,"P1")+SUMIFS('LAC 102_Wkst'!$AE$7:$AE$2010,'LAC 102_Wkst'!$E$7:$E$2010,$C103,'LAC 102_Wkst'!$G$7:$G$2010,$D103,'LAC 102_Wkst'!$L$7:$L$2010,"06",'LAC 102_Wkst'!$N$7:$N$2010,"P1")</f>
        <v>0</v>
      </c>
      <c r="T103" s="419">
        <f>SUMIFS('LAC 102_Wkst'!$Q$7:$Q$2010,'LAC 102_Wkst'!$E$7:$E$2010,$C103,'LAC 102_Wkst'!$G$7:$G$2010,$D103,'LAC 102_Wkst'!$L$7:$L$2010,"05",'LAC 102_Wkst'!$N$7:$N$2010,"P2")+SUMIFS('LAC 102_Wkst'!$Q$7:$Q$2010,'LAC 102_Wkst'!$E$7:$E$2010,$C103,'LAC 102_Wkst'!$G$7:$G$2010,$D103,'LAC 102_Wkst'!$L$7:$L$2010,"05",'LAC 102_Wkst'!$N$7:$N$2010,"P3")+SUMIFS('LAC 102_Wkst'!$Q$7:$Q$2010,'LAC 102_Wkst'!$E$7:$E$2010,$C103,'LAC 102_Wkst'!$G$7:$G$2010,$D103,'LAC 102_Wkst'!$L$7:$L$2010,"06",'LAC 102_Wkst'!$N$7:$N$2010,"P2")+SUMIFS('LAC 102_Wkst'!$Q$7:$Q$2010,'LAC 102_Wkst'!$E$7:$E$2010,$C103,'LAC 102_Wkst'!$G$7:$G$2010,$D103,'LAC 102_Wkst'!$L$7:$L$2010,"06",'LAC 102_Wkst'!$N$7:$N$2010,"P3")</f>
        <v>0</v>
      </c>
      <c r="U103" s="420">
        <f>SUMIFS('LAC 102_Wkst'!$AE$7:$AE$2010,'LAC 102_Wkst'!$E$7:$E$2010,$C103,'LAC 102_Wkst'!$G$7:$G$2010,$D103,'LAC 102_Wkst'!$L$7:$L$2010,"05",'LAC 102_Wkst'!$N$7:$N$2010,"P2")+SUMIFS('LAC 102_Wkst'!$AE$7:$AE$2010,'LAC 102_Wkst'!$E$7:$E$2010,$C103,'LAC 102_Wkst'!$G$7:$G$2010,$D103,'LAC 102_Wkst'!$L$7:$L$2010,"06",'LAC 102_Wkst'!$N$7:$N$2010,"P3")+SUMIFS('LAC 102_Wkst'!$AE$7:$AE$2010,'LAC 102_Wkst'!$E$7:$E$2010,$C103,'LAC 102_Wkst'!$G$7:$G$2010,$D103,'LAC 102_Wkst'!$L$7:$L$2010,"05",'LAC 102_Wkst'!$N$7:$N$2010,"P2")+SUMIFS('LAC 102_Wkst'!$AE$7:$AE$2010,'LAC 102_Wkst'!$E$7:$E$2010,$C103,'LAC 102_Wkst'!$G$7:$G$2010,$D103,'LAC 102_Wkst'!$L$7:$L$2010,"06",'LAC 102_Wkst'!$N$7:$N$2010,"P3")</f>
        <v>0</v>
      </c>
      <c r="V103" s="419">
        <f>SUMIFS('LAC 102_Wkst'!$Q$7:$Q$2010,'LAC 102_Wkst'!$E$7:$E$2010,$C103,'LAC 102_Wkst'!$G$7:$G$2010,$D103,'LAC 102_Wkst'!$L$7:$L$2010,"05",'LAC 102_Wkst'!$N$7:$N$2010,"P4")+SUMIFS('LAC 102_Wkst'!$Q$7:$Q$2010,'LAC 102_Wkst'!$E$7:$E$2010,$C103,'LAC 102_Wkst'!$G$7:$G$2010,$D103,'LAC 102_Wkst'!$L$7:$L$2010,"06",'LAC 102_Wkst'!$N$7:$N$2010,"P4")</f>
        <v>0</v>
      </c>
      <c r="W103" s="420">
        <f>SUMIFS('LAC 102_Wkst'!$AE$7:$AE$2010,'LAC 102_Wkst'!$E$7:$E$2010,$C103,'LAC 102_Wkst'!$G$7:$G$2010,$D103,'LAC 102_Wkst'!$L$7:$L$2010,"05",'LAC 102_Wkst'!$N$7:$N$2010,"P4")+SUMIFS('LAC 102_Wkst'!$AE$7:$AE$2010,'LAC 102_Wkst'!$E$7:$E$2010,$C103,'LAC 102_Wkst'!$G$7:$G$2010,$D103,'LAC 102_Wkst'!$L$7:$L$2010,"06",'LAC 102_Wkst'!$N$7:$N$2010,"P4")</f>
        <v>0</v>
      </c>
      <c r="X103" s="419">
        <f>SUMIFS('LAC 102_Wkst'!$Q$7:$Q$2010,'LAC 102_Wkst'!$E$7:$E$2010,$C103,'LAC 102_Wkst'!$G$7:$G$2010,$D103,'LAC 102_Wkst'!$L$7:$L$2010,"05",'LAC 102_Wkst'!$N$7:$N$2010,"P5")+SUMIFS('LAC 102_Wkst'!$Q$7:$Q$2010,'LAC 102_Wkst'!$E$7:$E$2010,$C103,'LAC 102_Wkst'!$G$7:$G$2010,$D103,'LAC 102_Wkst'!$L$7:$L$2010,"06",'LAC 102_Wkst'!$N$7:$N$2010,"P5")</f>
        <v>0</v>
      </c>
      <c r="Y103" s="420">
        <f>SUMIFS('LAC 102_Wkst'!$AE$7:$AE$2010,'LAC 102_Wkst'!$E$7:$E$2010,$C103,'LAC 102_Wkst'!$G$7:$G$2010,$D103,'LAC 102_Wkst'!$L$7:$L$2010,"05",'LAC 102_Wkst'!$N$7:$N$2010,"P5")+SUMIFS('LAC 102_Wkst'!$AE$7:$AE$2010,'LAC 102_Wkst'!$E$7:$E$2010,$C103,'LAC 102_Wkst'!$G$7:$G$2010,$D103,'LAC 102_Wkst'!$L$7:$L$2010,"06",'LAC 102_Wkst'!$N$7:$N$2010,"P5")</f>
        <v>0</v>
      </c>
      <c r="Z103" s="419">
        <f>SUMIFS('LAC 102_Wkst'!$Q$7:$Q$2010,'LAC 102_Wkst'!$E$7:$E$2010,$C103,'LAC 102_Wkst'!$G$7:$G$2010,$D103,'LAC 102_Wkst'!$L$7:$L$2010,"07",'LAC 102_Wkst'!$N$7:$N$2010,"P1")+SUMIFS('LAC 102_Wkst'!$Q$7:$Q$2010,'LAC 102_Wkst'!$E$7:$E$2010,$C103,'LAC 102_Wkst'!$G$7:$G$2010,$D103,'LAC 102_Wkst'!$L$7:$L$2010,"07",'LAC 102_Wkst'!$N$7:$N$2010,"P2")+SUMIFS('LAC 102_Wkst'!$Q$7:$Q$2010,'LAC 102_Wkst'!$E$7:$E$2010,$C103,'LAC 102_Wkst'!$G$7:$G$2010,$D103,'LAC 102_Wkst'!$L$7:$L$2010,"07",'LAC 102_Wkst'!$N$7:$N$2010,"P3")</f>
        <v>0</v>
      </c>
      <c r="AA103" s="420">
        <f>SUMIFS('LAC 102_Wkst'!$AE$7:$AE$2010,'LAC 102_Wkst'!$E$7:$E$2010,$C103,'LAC 102_Wkst'!$G$7:$G$2010,$D103,'LAC 102_Wkst'!$L$7:$L$2010,"07",'LAC 102_Wkst'!$N$7:$N$2010,"P1")+SUMIFS('LAC 102_Wkst'!$AE$7:$AE$2010,'LAC 102_Wkst'!$E$7:$E$2010,$C103,'LAC 102_Wkst'!$G$7:$G$2010,$D103,'LAC 102_Wkst'!$L$7:$L$2010,"07",'LAC 102_Wkst'!$N$7:$N$2010,"P2")+SUMIFS('LAC 102_Wkst'!$AE$7:$AE$2010,'LAC 102_Wkst'!$E$7:$E$2010,$C103,'LAC 102_Wkst'!$G$7:$G$2010,$D103,'LAC 102_Wkst'!$L$7:$L$2010,"07",'LAC 102_Wkst'!$N$7:$N$2010,"P3")</f>
        <v>0</v>
      </c>
      <c r="AB103" s="419">
        <f>SUMIFS('LAC 102_Wkst'!$Q$7:$Q$2010,'LAC 102_Wkst'!$E$7:$E$2010,$C103,'LAC 102_Wkst'!$G$7:$G$2010,$D103,'LAC 102_Wkst'!$L$7:$L$2010,"07",'LAC 102_Wkst'!$N$7:$N$2010,"P4")</f>
        <v>0</v>
      </c>
      <c r="AC103" s="420">
        <f>SUMIFS('LAC 102_Wkst'!$AE$7:$AE$2010,'LAC 102_Wkst'!$E$7:$E$2010,$C103,'LAC 102_Wkst'!$G$7:$G$2010,$D103,'LAC 102_Wkst'!$L$7:$L$2010,"07",'LAC 102_Wkst'!$N$7:$N$2010,"P4")</f>
        <v>0</v>
      </c>
      <c r="AD103" s="419">
        <f>SUMIFS('LAC 102_Wkst'!$Q$7:$Q$2010,'LAC 102_Wkst'!$E$7:$E$2010,$C103,'LAC 102_Wkst'!$G$7:$G$2010,$D103,'LAC 102_Wkst'!$L$7:$L$2010,"07",'LAC 102_Wkst'!$N$7:$N$2010,"P5")</f>
        <v>0</v>
      </c>
      <c r="AE103" s="420">
        <f>SUMIFS('LAC 102_Wkst'!$AE$7:$AE$2010,'LAC 102_Wkst'!$E$7:$E$2010,$C103,'LAC 102_Wkst'!$G$7:$G$2010,$D103,'LAC 102_Wkst'!$L$7:$L$2010,"07",'LAC 102_Wkst'!$N$7:$N$2010,"P5")</f>
        <v>0</v>
      </c>
      <c r="AF103" s="419">
        <f>SUMIFS('LAC 102_Wkst'!$Q$7:$Q$2010,'LAC 102_Wkst'!$E$7:$E$2010,$C103,'LAC 102_Wkst'!$G$7:$G$2010,$D103,'LAC 102_Wkst'!$L$7:$L$2010,"08",'LAC 102_Wkst'!$N$7:$N$2010,"P1")+SUMIFS('LAC 102_Wkst'!$Q$7:$Q$2010,'LAC 102_Wkst'!$E$7:$E$2010,$C103,'LAC 102_Wkst'!$G$7:$G$2010,$D103,'LAC 102_Wkst'!$L$7:$L$2010,"08",'LAC 102_Wkst'!$N$7:$N$2010,"P2")+SUMIFS('LAC 102_Wkst'!$Q$7:$Q$2010,'LAC 102_Wkst'!$E$7:$E$2010,$C103,'LAC 102_Wkst'!$G$7:$G$2010,$D103,'LAC 102_Wkst'!$L$7:$L$2010,"08",'LAC 102_Wkst'!$N$7:$N$2010,"P3")</f>
        <v>0</v>
      </c>
      <c r="AG103" s="420">
        <f>SUMIFS('LAC 102_Wkst'!$AE$7:$AE$2010,'LAC 102_Wkst'!$E$7:$E$2010,$C103,'LAC 102_Wkst'!$G$7:$G$2010,$D103,'LAC 102_Wkst'!$L$7:$L$2010,"08",'LAC 102_Wkst'!$N$7:$N$2010,"P1")+SUMIFS('LAC 102_Wkst'!$AE$7:$AE$2010,'LAC 102_Wkst'!$E$7:$E$2010,$C103,'LAC 102_Wkst'!$G$7:$G$2010,$D103,'LAC 102_Wkst'!$L$7:$L$2010,"08",'LAC 102_Wkst'!$N$7:$N$2010,"P2")+SUMIFS('LAC 102_Wkst'!$AE$7:$AE$2010,'LAC 102_Wkst'!$E$7:$E$2010,$C103,'LAC 102_Wkst'!$G$7:$G$2010,$D103,'LAC 102_Wkst'!$L$7:$L$2010,"08",'LAC 102_Wkst'!$N$7:$N$2010,"P3")</f>
        <v>0</v>
      </c>
      <c r="AH103" s="419">
        <f>SUMIFS('LAC 102_Wkst'!$Q$7:$Q$2010,'LAC 102_Wkst'!$E$7:$E$2010,$C103,'LAC 102_Wkst'!$G$7:$G$2010,$D103,'LAC 102_Wkst'!$L$7:$L$2010,"08",'LAC 102_Wkst'!$N$7:$N$2010,"P4")</f>
        <v>0</v>
      </c>
      <c r="AI103" s="420">
        <f>SUMIFS('LAC 102_Wkst'!$AE$7:$AE$2010,'LAC 102_Wkst'!$E$7:$E$2010,$C103,'LAC 102_Wkst'!$G$7:$G$2010,$D103,'LAC 102_Wkst'!$L$7:$L$2010,"08",'LAC 102_Wkst'!$N$7:$N$2010,"P4")</f>
        <v>0</v>
      </c>
      <c r="AJ103" s="419">
        <f>SUMIFS('LAC 102_Wkst'!$Q$7:$Q$2010,'LAC 102_Wkst'!$E$7:$E$2010,$C103,'LAC 102_Wkst'!$G$7:$G$2010,$D103,'LAC 102_Wkst'!$L$7:$L$2010,"08",'LAC 102_Wkst'!$N$7:$N$2010,"P5")</f>
        <v>0</v>
      </c>
      <c r="AK103" s="420">
        <f>SUMIFS('LAC 102_Wkst'!$AE$7:$AE$2010,'LAC 102_Wkst'!$E$7:$E$2010,$C103,'LAC 102_Wkst'!$G$7:$G$2010,$D103,'LAC 102_Wkst'!$L$7:$L$2010,"08",'LAC 102_Wkst'!$N$7:$N$2010,"P5")</f>
        <v>0</v>
      </c>
      <c r="AL103" s="419">
        <f>SUMIFS('LAC 102_Wkst'!$Q$7:$Q$2010,'LAC 102_Wkst'!$E$7:$E$2010,$C103,'LAC 102_Wkst'!$G$7:$G$2010,$D103,'LAC 102_Wkst'!$L$7:$L$2010,"09",'LAC 102_Wkst'!$N$7:$N$2010,"P1")+SUMIFS('LAC 102_Wkst'!$Q$7:$Q$2010,'LAC 102_Wkst'!$E$7:$E$2010,$C103,'LAC 102_Wkst'!$G$7:$G$2010,$D103,'LAC 102_Wkst'!$L$7:$L$2010,"09",'LAC 102_Wkst'!$N$7:$N$2010,"P2")+SUMIFS('LAC 102_Wkst'!$Q$7:$Q$2010,'LAC 102_Wkst'!$E$7:$E$2010,$C103,'LAC 102_Wkst'!$G$7:$G$2010,$D103,'LAC 102_Wkst'!$L$7:$L$2010,"09",'LAC 102_Wkst'!$N$7:$N$2010,"P3")+SUMIFS('LAC 102_Wkst'!$Q$7:$Q$2010,'LAC 102_Wkst'!$E$7:$E$2010,$C103,'LAC 102_Wkst'!$G$7:$G$2010,$D103,'LAC 102_Wkst'!$L$7:$L$2010,"09",'LAC 102_Wkst'!$N$7:$N$2010,"P4")</f>
        <v>0</v>
      </c>
      <c r="AM103" s="420">
        <f>SUMIFS('LAC 102_Wkst'!$AE$7:$AE$2010,'LAC 102_Wkst'!$E$7:$E$2010,$C103,'LAC 102_Wkst'!$G$7:$G$2010,$D103,'LAC 102_Wkst'!$L$7:$L$2010,"09",'LAC 102_Wkst'!$N$7:$N$2010,"P1")+SUMIFS('LAC 102_Wkst'!$AE$7:$AE$2010,'LAC 102_Wkst'!$E$7:$E$2010,$C103,'LAC 102_Wkst'!$G$7:$G$2010,$D103,'LAC 102_Wkst'!$L$7:$L$2010,"09",'LAC 102_Wkst'!$N$7:$N$2010,"P2")+SUMIFS('LAC 102_Wkst'!$AE$7:$AE$2010,'LAC 102_Wkst'!$E$7:$E$2010,$C103,'LAC 102_Wkst'!$G$7:$G$2010,$D103,'LAC 102_Wkst'!$L$7:$L$2010,"09",'LAC 102_Wkst'!$N$7:$N$2010,"P3")+SUMIFS('LAC 102_Wkst'!$AE$7:$AE$2010,'LAC 102_Wkst'!$E$7:$E$2010,$C103,'LAC 102_Wkst'!$G$7:$G$2010,$D103,'LAC 102_Wkst'!$L$7:$L$2010,"09",'LAC 102_Wkst'!$N$7:$N$2010,"P4")</f>
        <v>0</v>
      </c>
      <c r="AN103" s="419">
        <f>SUMIFS('LAC 102_Wkst'!$Q$7:$Q$2010,'LAC 102_Wkst'!$E$7:$E$2010,$C103,'LAC 102_Wkst'!$G$7:$G$2010,$D103,'LAC 102_Wkst'!$L$7:$L$2010,"09",'LAC 102_Wkst'!$N$7:$N$2010,"P5")</f>
        <v>0</v>
      </c>
      <c r="AO103" s="420">
        <f>SUMIFS('LAC 102_Wkst'!$AE$7:$AE$2010,'LAC 102_Wkst'!$E$7:$E$2010,$C103,'LAC 102_Wkst'!$G$7:$G$2010,$D103,'LAC 102_Wkst'!$L$7:$L$2010,"09",'LAC 102_Wkst'!$N$7:$N$2010,"P5")</f>
        <v>0</v>
      </c>
      <c r="AP103" s="419">
        <f>SUMIFS('LAC 102_Wkst'!$Q$7:$Q$2010,'LAC 102_Wkst'!$E$7:$E$2010,$C103,'LAC 102_Wkst'!$G$7:$G$2010,$D103,'LAC 102_Wkst'!$L$7:$L$2010,"10",'LAC 102_Wkst'!$N$7:$N$2010,"P1")+SUMIFS('LAC 102_Wkst'!$Q$7:$Q$2010,'LAC 102_Wkst'!$E$7:$E$2010,$C103,'LAC 102_Wkst'!$G$7:$G$2010,$D103,'LAC 102_Wkst'!$L$7:$L$2010,"10",'LAC 102_Wkst'!$N$7:$N$2010,"P2")+SUMIFS('LAC 102_Wkst'!$Q$7:$Q$2010,'LAC 102_Wkst'!$E$7:$E$2010,$C103,'LAC 102_Wkst'!$G$7:$G$2010,$D103,'LAC 102_Wkst'!$L$7:$L$2010,"10",'LAC 102_Wkst'!$N$7:$N$2010,"P3")+SUMIFS('LAC 102_Wkst'!$Q$7:$Q$2010,'LAC 102_Wkst'!$E$7:$E$2010,$C103,'LAC 102_Wkst'!$G$7:$G$2010,$D103,'LAC 102_Wkst'!$L$7:$L$2010,"10",'LAC 102_Wkst'!$N$7:$N$2010,"P4")</f>
        <v>0</v>
      </c>
      <c r="AQ103" s="420">
        <f>SUMIFS('LAC 102_Wkst'!$AE$7:$AE$2010,'LAC 102_Wkst'!$E$7:$E$2010,$C103,'LAC 102_Wkst'!$G$7:$G$2010,$D103,'LAC 102_Wkst'!$L$7:$L$2010,"10",'LAC 102_Wkst'!$N$7:$N$2010,"P1")+SUMIFS('LAC 102_Wkst'!$AE$7:$AE$2010,'LAC 102_Wkst'!$E$7:$E$2010,$C103,'LAC 102_Wkst'!$G$7:$G$2010,$D103,'LAC 102_Wkst'!$L$7:$L$2010,"10",'LAC 102_Wkst'!$N$7:$N$2010,"P2")+SUMIFS('LAC 102_Wkst'!$AE$7:$AE$2010,'LAC 102_Wkst'!$E$7:$E$2010,$C103,'LAC 102_Wkst'!$G$7:$G$2010,$D103,'LAC 102_Wkst'!$L$7:$L$2010,"10",'LAC 102_Wkst'!$N$7:$N$2010,"P3")+SUMIFS('LAC 102_Wkst'!$AE$7:$AE$2010,'LAC 102_Wkst'!$E$7:$E$2010,$C103,'LAC 102_Wkst'!$G$7:$G$2010,$D103,'LAC 102_Wkst'!$L$7:$L$2010,"10",'LAC 102_Wkst'!$N$7:$N$2010,"P4")</f>
        <v>0</v>
      </c>
      <c r="AR103" s="419">
        <f>SUMIFS('LAC 102_Wkst'!$Q$7:$Q$2010,'LAC 102_Wkst'!$E$7:$E$2010,$C103,'LAC 102_Wkst'!$G$7:$G$2010,$D103,'LAC 102_Wkst'!$L$7:$L$2010,"10",'LAC 102_Wkst'!$N$7:$N$2010,"P5")</f>
        <v>0</v>
      </c>
      <c r="AS103" s="420">
        <f>SUMIFS('LAC 102_Wkst'!$AE$7:$AE$2010,'LAC 102_Wkst'!$E$7:$E$2010,$C103,'LAC 102_Wkst'!$G$7:$G$2010,$D103,'LAC 102_Wkst'!$L$7:$L$2010,"10",'LAC 102_Wkst'!$N$7:$N$2010,"P5")</f>
        <v>0</v>
      </c>
      <c r="AT103" s="419">
        <f>SUMIFS('LAC 102_Wkst'!$Q$7:$Q$2010,'LAC 102_Wkst'!$E$7:$E$2010,$C103,'LAC 102_Wkst'!$G$7:$G$2010,$D103,'LAC 102_Wkst'!$L$7:$L$2010,"11",'LAC 102_Wkst'!$N$7:$N$2010,"P1")+SUMIFS('LAC 102_Wkst'!$Q$7:$Q$2010,'LAC 102_Wkst'!$E$7:$E$2010,$C103,'LAC 102_Wkst'!$G$7:$G$2010,$D103,'LAC 102_Wkst'!$L$7:$L$2010,"12",'LAC 102_Wkst'!$N$7:$N$2010,"P1")</f>
        <v>0</v>
      </c>
      <c r="AU103" s="420">
        <f>SUMIFS('LAC 102_Wkst'!$AE$7:$AE$2010,'LAC 102_Wkst'!$E$7:$E$2010,$C103,'LAC 102_Wkst'!$G$7:$G$2010,$D103,'LAC 102_Wkst'!$L$7:$L$2010,"11",'LAC 102_Wkst'!$N$7:$N$2010,"P1")+SUMIFS('LAC 102_Wkst'!$AE$7:$AE$2010,'LAC 102_Wkst'!$E$7:$E$2010,$C103,'LAC 102_Wkst'!$G$7:$G$2010,$D103,'LAC 102_Wkst'!$L$7:$L$2010,"12",'LAC 102_Wkst'!$N$7:$N$2010,"P1")</f>
        <v>0</v>
      </c>
      <c r="AV103" s="419">
        <f>SUMIFS('LAC 102_Wkst'!$Q$7:$Q$2010,'LAC 102_Wkst'!$E$7:$E$2010,$C103,'LAC 102_Wkst'!$G$7:$G$2010,$D103,'LAC 102_Wkst'!$L$7:$L$2010,"11",'LAC 102_Wkst'!$N$7:$N$2010,"P2")+SUMIFS('LAC 102_Wkst'!$Q$7:$Q$2010,'LAC 102_Wkst'!$E$7:$E$2010,$C103,'LAC 102_Wkst'!$G$7:$G$2010,$D103,'LAC 102_Wkst'!$L$7:$L$2010,"12",'LAC 102_Wkst'!$N$7:$N$2010,"P3")+SUMIFS('LAC 102_Wkst'!$Q$7:$Q$2010,'LAC 102_Wkst'!$E$7:$E$2010,$C103,'LAC 102_Wkst'!$G$7:$G$2010,$D103,'LAC 102_Wkst'!$L$7:$L$2010,"11",'LAC 102_Wkst'!$N$7:$N$2010,"P2")+SUMIFS('LAC 102_Wkst'!$Q$7:$Q$2010,'LAC 102_Wkst'!$E$7:$E$2010,$C103,'LAC 102_Wkst'!$G$7:$G$2010,$D103,'LAC 102_Wkst'!$L$7:$L$2010,"12",'LAC 102_Wkst'!$N$7:$N$2010,"P3")</f>
        <v>0</v>
      </c>
      <c r="AW103" s="420">
        <f>SUMIFS('LAC 102_Wkst'!$AE$7:$AE$2010,'LAC 102_Wkst'!$E$7:$E$2010,$C103,'LAC 102_Wkst'!$G$7:$G$2010,$D103,'LAC 102_Wkst'!$L$7:$L$2010,"11",'LAC 102_Wkst'!$N$7:$N$2010,"P2")+SUMIFS('LAC 102_Wkst'!$AE$7:$AE$2010,'LAC 102_Wkst'!$E$7:$E$2010,$C103,'LAC 102_Wkst'!$G$7:$G$2010,$D103,'LAC 102_Wkst'!$L$7:$L$2010,"12",'LAC 102_Wkst'!$N$7:$N$2010,"P3")+SUMIFS('LAC 102_Wkst'!$AE$7:$AE$2010,'LAC 102_Wkst'!$E$7:$E$2010,$C103,'LAC 102_Wkst'!$G$7:$G$2010,$D103,'LAC 102_Wkst'!$L$7:$L$2010,"11",'LAC 102_Wkst'!$N$7:$N$2010,"P2")+SUMIFS('LAC 102_Wkst'!$AE$7:$AE$2010,'LAC 102_Wkst'!$E$7:$E$2010,$C103,'LAC 102_Wkst'!$G$7:$G$2010,$D103,'LAC 102_Wkst'!$L$7:$L$2010,"12",'LAC 102_Wkst'!$N$7:$N$2010,"P3")</f>
        <v>0</v>
      </c>
      <c r="AX103" s="419">
        <f>SUMIFS('LAC 102_Wkst'!$Q$7:$Q$2010,'LAC 102_Wkst'!$E$7:$E$2010,$C103,'LAC 102_Wkst'!$G$7:$G$2010,$D103,'LAC 102_Wkst'!$L$7:$L$2010,"11",'LAC 102_Wkst'!$N$7:$N$2010,"P4")+SUMIFS('LAC 102_Wkst'!$Q$7:$Q$2010,'LAC 102_Wkst'!$E$7:$E$2010,$C103,'LAC 102_Wkst'!$G$7:$G$2010,$D103,'LAC 102_Wkst'!$L$7:$L$2010,"12",'LAC 102_Wkst'!$N$7:$N$2010,"P4")</f>
        <v>0</v>
      </c>
      <c r="AY103" s="420">
        <f>SUMIFS('LAC 102_Wkst'!$AE$7:$AE$2010,'LAC 102_Wkst'!$E$7:$E$2010,$C103,'LAC 102_Wkst'!$G$7:$G$2010,$D103,'LAC 102_Wkst'!$L$7:$L$2010,"11",'LAC 102_Wkst'!$N$7:$N$2010,"P4")+SUMIFS('LAC 102_Wkst'!$AE$7:$AE$2010,'LAC 102_Wkst'!$E$7:$E$2010,$C103,'LAC 102_Wkst'!$G$7:$G$2010,$D103,'LAC 102_Wkst'!$L$7:$L$2010,"12",'LAC 102_Wkst'!$N$7:$N$2010,"P4")</f>
        <v>0</v>
      </c>
      <c r="AZ103" s="419">
        <f>SUMIFS('LAC 102_Wkst'!$Q$7:$Q$2010,'LAC 102_Wkst'!$E$7:$E$2010,$C103,'LAC 102_Wkst'!$G$7:$G$2010,$D103,'LAC 102_Wkst'!$L$7:$L$2010,"11",'LAC 102_Wkst'!$N$7:$N$2010,"P5")+SUMIFS('LAC 102_Wkst'!$Q$7:$Q$2010,'LAC 102_Wkst'!$E$7:$E$2010,$C103,'LAC 102_Wkst'!$G$7:$G$2010,$D103,'LAC 102_Wkst'!$L$7:$L$2010,"12",'LAC 102_Wkst'!$N$7:$N$2010,"P5")</f>
        <v>0</v>
      </c>
      <c r="BA103" s="420">
        <f>SUMIFS('LAC 102_Wkst'!$AE$7:$AE$2010,'LAC 102_Wkst'!$E$7:$E$2010,$C103,'LAC 102_Wkst'!$G$7:$G$2010,$D103,'LAC 102_Wkst'!$L$7:$L$2010,"11",'LAC 102_Wkst'!$N$7:$N$2010,"P5")+SUMIFS('LAC 102_Wkst'!$AE$7:$AE$2010,'LAC 102_Wkst'!$E$7:$E$2010,$C103,'LAC 102_Wkst'!$G$7:$G$2010,$D103,'LAC 102_Wkst'!$L$7:$L$2010,"12",'LAC 102_Wkst'!$N$7:$N$2010,"P5")</f>
        <v>0</v>
      </c>
      <c r="BB103" s="419">
        <f>SUMIFS('LAC 102_Wkst'!$Q$7:$Q$2010,'LAC 102_Wkst'!$E$7:$E$2010,$C103,'LAC 102_Wkst'!$G$7:$G$2010,$D103,'LAC 102_Wkst'!$L$7:$L$2010,"13",'LAC 102_Wkst'!$N$7:$N$2010,"P1")+SUMIFS('LAC 102_Wkst'!$Q$7:$Q$2010,'LAC 102_Wkst'!$E$7:$E$2010,$C103,'LAC 102_Wkst'!$G$7:$G$2010,$D103,'LAC 102_Wkst'!$L$7:$L$2010,"13",'LAC 102_Wkst'!$N$7:$N$2010,"P2")+SUMIFS('LAC 102_Wkst'!$Q$7:$Q$2010,'LAC 102_Wkst'!$E$7:$E$2010,$C103,'LAC 102_Wkst'!$G$7:$G$2010,$D103,'LAC 102_Wkst'!$L$7:$L$2010,"13",'LAC 102_Wkst'!$N$7:$N$2010,"P3")+SUMIFS('LAC 102_Wkst'!$Q$7:$Q$2010,'LAC 102_Wkst'!$E$7:$E$2010,$C103,'LAC 102_Wkst'!$G$7:$G$2010,$D103,'LAC 102_Wkst'!$L$7:$L$2010,"13",'LAC 102_Wkst'!$N$7:$N$2010,"P4")</f>
        <v>0</v>
      </c>
      <c r="BC103" s="420">
        <f>SUMIFS('LAC 102_Wkst'!$AE$7:$AE$2010,'LAC 102_Wkst'!$E$7:$E$2010,$C103,'LAC 102_Wkst'!$G$7:$G$2010,$D103,'LAC 102_Wkst'!$L$7:$L$2010,"13",'LAC 102_Wkst'!$N$7:$N$2010,"P1")+SUMIFS('LAC 102_Wkst'!$AE$7:$AE$2010,'LAC 102_Wkst'!$E$7:$E$2010,$C103,'LAC 102_Wkst'!$G$7:$G$2010,$D103,'LAC 102_Wkst'!$L$7:$L$2010,"13",'LAC 102_Wkst'!$N$7:$N$2010,"P2")+SUMIFS('LAC 102_Wkst'!$AE$7:$AE$2010,'LAC 102_Wkst'!$E$7:$E$2010,$C103,'LAC 102_Wkst'!$G$7:$G$2010,$D103,'LAC 102_Wkst'!$L$7:$L$2010,"13",'LAC 102_Wkst'!$N$7:$N$2010,"P3")+SUMIFS('LAC 102_Wkst'!$AE$7:$AE$2010,'LAC 102_Wkst'!$E$7:$E$2010,$C103,'LAC 102_Wkst'!$G$7:$G$2010,$D103,'LAC 102_Wkst'!$L$7:$L$2010,"13",'LAC 102_Wkst'!$N$7:$N$2010,"P4")</f>
        <v>0</v>
      </c>
      <c r="BD103" s="419">
        <f>SUMIFS('LAC 102_Wkst'!$Q$7:$Q$2010,'LAC 102_Wkst'!$E$7:$E$2010,$C103,'LAC 102_Wkst'!$G$7:$G$2010,$D103,'LAC 102_Wkst'!$L$7:$L$2010,"13",'LAC 102_Wkst'!$N$7:$N$2010,"P5")</f>
        <v>0</v>
      </c>
      <c r="BE103" s="422">
        <f>SUMIFS('LAC 102_Wkst'!$AE$7:$AE$2010,'LAC 102_Wkst'!$E$7:$E$2010,$C103,'LAC 102_Wkst'!$G$7:$G$2010,$D103,'LAC 102_Wkst'!$L$7:$L$2010,"13",'LAC 102_Wkst'!$N$7:$N$2010,"P5")</f>
        <v>0</v>
      </c>
      <c r="BF103" s="423">
        <f t="shared" si="1"/>
        <v>0</v>
      </c>
    </row>
    <row r="104" spans="1:58" ht="15.75" thickTop="1" x14ac:dyDescent="0.2">
      <c r="A104" s="424" t="s">
        <v>231</v>
      </c>
      <c r="B104" s="425" t="s">
        <v>232</v>
      </c>
      <c r="C104" s="426"/>
      <c r="D104" s="426"/>
      <c r="E104" s="427">
        <f>SUM(E20:E103)</f>
        <v>16230629.633333333</v>
      </c>
      <c r="F104" s="428">
        <f>SUM(F20:F103)</f>
        <v>6867080</v>
      </c>
      <c r="G104" s="429">
        <f t="shared" ref="G104:BF104" si="2">SUM(G20:G103)</f>
        <v>0</v>
      </c>
      <c r="H104" s="428">
        <f t="shared" si="2"/>
        <v>1042796</v>
      </c>
      <c r="I104" s="430">
        <f t="shared" si="2"/>
        <v>0</v>
      </c>
      <c r="J104" s="428">
        <f t="shared" si="2"/>
        <v>1171833</v>
      </c>
      <c r="K104" s="430">
        <f t="shared" si="2"/>
        <v>195757</v>
      </c>
      <c r="L104" s="428">
        <f t="shared" si="2"/>
        <v>0</v>
      </c>
      <c r="M104" s="430">
        <f t="shared" si="2"/>
        <v>0</v>
      </c>
      <c r="N104" s="428">
        <f t="shared" si="2"/>
        <v>0</v>
      </c>
      <c r="O104" s="430">
        <f t="shared" si="2"/>
        <v>0</v>
      </c>
      <c r="P104" s="428">
        <f t="shared" si="2"/>
        <v>0</v>
      </c>
      <c r="Q104" s="430">
        <f t="shared" si="2"/>
        <v>0</v>
      </c>
      <c r="R104" s="427">
        <f t="shared" si="2"/>
        <v>190981</v>
      </c>
      <c r="S104" s="430">
        <f t="shared" si="2"/>
        <v>0</v>
      </c>
      <c r="T104" s="428">
        <f t="shared" si="2"/>
        <v>360286</v>
      </c>
      <c r="U104" s="430">
        <f t="shared" si="2"/>
        <v>0</v>
      </c>
      <c r="V104" s="428">
        <f t="shared" si="2"/>
        <v>84341</v>
      </c>
      <c r="W104" s="430">
        <f t="shared" si="2"/>
        <v>0</v>
      </c>
      <c r="X104" s="428">
        <f t="shared" si="2"/>
        <v>101199</v>
      </c>
      <c r="Y104" s="430">
        <f t="shared" si="2"/>
        <v>0</v>
      </c>
      <c r="Z104" s="427">
        <f t="shared" si="2"/>
        <v>1330</v>
      </c>
      <c r="AA104" s="430">
        <f t="shared" si="2"/>
        <v>0</v>
      </c>
      <c r="AB104" s="428">
        <f t="shared" si="2"/>
        <v>367</v>
      </c>
      <c r="AC104" s="430">
        <f t="shared" si="2"/>
        <v>0</v>
      </c>
      <c r="AD104" s="428">
        <f t="shared" si="2"/>
        <v>259</v>
      </c>
      <c r="AE104" s="430">
        <f t="shared" si="2"/>
        <v>0</v>
      </c>
      <c r="AF104" s="428">
        <f t="shared" si="2"/>
        <v>0</v>
      </c>
      <c r="AG104" s="430">
        <f t="shared" si="2"/>
        <v>0</v>
      </c>
      <c r="AH104" s="428">
        <f t="shared" si="2"/>
        <v>0</v>
      </c>
      <c r="AI104" s="430">
        <f t="shared" si="2"/>
        <v>0</v>
      </c>
      <c r="AJ104" s="431">
        <f t="shared" si="2"/>
        <v>0</v>
      </c>
      <c r="AK104" s="430">
        <f t="shared" si="2"/>
        <v>0</v>
      </c>
      <c r="AL104" s="428">
        <f t="shared" si="2"/>
        <v>0</v>
      </c>
      <c r="AM104" s="430">
        <f t="shared" si="2"/>
        <v>0</v>
      </c>
      <c r="AN104" s="428">
        <f t="shared" si="2"/>
        <v>0</v>
      </c>
      <c r="AO104" s="430">
        <f t="shared" si="2"/>
        <v>0</v>
      </c>
      <c r="AP104" s="428">
        <f t="shared" si="2"/>
        <v>3865413</v>
      </c>
      <c r="AQ104" s="430">
        <f t="shared" si="2"/>
        <v>0</v>
      </c>
      <c r="AR104" s="428">
        <f t="shared" si="2"/>
        <v>608964</v>
      </c>
      <c r="AS104" s="430">
        <f t="shared" si="2"/>
        <v>54949</v>
      </c>
      <c r="AT104" s="428">
        <f t="shared" si="2"/>
        <v>0</v>
      </c>
      <c r="AU104" s="430">
        <f t="shared" si="2"/>
        <v>0</v>
      </c>
      <c r="AV104" s="428">
        <f t="shared" si="2"/>
        <v>0</v>
      </c>
      <c r="AW104" s="430">
        <f t="shared" si="2"/>
        <v>0</v>
      </c>
      <c r="AX104" s="428">
        <f t="shared" si="2"/>
        <v>0</v>
      </c>
      <c r="AY104" s="430">
        <f t="shared" si="2"/>
        <v>0</v>
      </c>
      <c r="AZ104" s="432">
        <f t="shared" si="2"/>
        <v>0</v>
      </c>
      <c r="BA104" s="430">
        <f t="shared" si="2"/>
        <v>0</v>
      </c>
      <c r="BB104" s="777">
        <f t="shared" si="2"/>
        <v>133731</v>
      </c>
      <c r="BC104" s="430">
        <f t="shared" si="2"/>
        <v>0</v>
      </c>
      <c r="BD104" s="428">
        <f t="shared" si="2"/>
        <v>0</v>
      </c>
      <c r="BE104" s="433">
        <f t="shared" si="2"/>
        <v>0</v>
      </c>
      <c r="BF104" s="434">
        <f t="shared" si="2"/>
        <v>1802049.6333333333</v>
      </c>
    </row>
    <row r="105" spans="1:58" s="1206" customFormat="1" x14ac:dyDescent="0.2">
      <c r="A105" s="1224"/>
      <c r="B105" s="1224"/>
      <c r="C105" s="1224"/>
      <c r="D105" s="1224"/>
      <c r="E105" s="1224">
        <f>'LAC 103'!H96</f>
        <v>16230629.633333333</v>
      </c>
      <c r="F105" s="1224">
        <f>SUMIFS('LAC 102_Wkst'!$Q$7:$Q$2010,'LAC 102_Wkst'!$L$7:$L$2010,"01",'LAC 102_Wkst'!$N$7:$N$2010,"P1")+SUMIFS('LAC 102_Wkst'!$Q$7:$Q$2010,'LAC 102_Wkst'!$L$7:$L$2010,"01",'LAC 102_Wkst'!$N$7:$N$2010,"P2")+SUMIFS('LAC 102_Wkst'!$Q$7:$Q$2010,'LAC 102_Wkst'!$L$7:$L$2010,"01",'LAC 102_Wkst'!$N$7:$N$2010,"P3")+SUMIFS('LAC 102_Wkst'!$Q$7:$Q$2010,'LAC 102_Wkst'!$L$7:$L$2010,"02",'LAC 102_Wkst'!$N$7:$N$2010,"P1")+SUMIFS('LAC 102_Wkst'!$Q$7:$Q$2010,'LAC 102_Wkst'!$L$7:$L$2010,"02",'LAC 102_Wkst'!$N$7:$N$2010,"P2")+SUMIFS('LAC 102_Wkst'!$Q$7:$Q$2010,'LAC 102_Wkst'!$L$7:$L$2010,"02",'LAC 102_Wkst'!$N$7:$N$2010,"P3")</f>
        <v>6867080</v>
      </c>
      <c r="G105" s="1225">
        <f>SUMIFS('LAC 102_Wkst'!$AE$7:$AE$2010,'LAC 102_Wkst'!$L$7:$L$2010,"01",'LAC 102_Wkst'!$N$7:$N$2010,"P1")+SUMIFS('LAC 102_Wkst'!$AE$7:$AE$2010,'LAC 102_Wkst'!$L$7:$L$2010,"01",'LAC 102_Wkst'!$N$7:$N$2010,"P2")+SUMIFS('LAC 102_Wkst'!$AE$7:$AE$2010,'LAC 102_Wkst'!$L$7:$L$2010,"01",'LAC 102_Wkst'!$N$7:$N$2010,"P3")+SUMIFS('LAC 102_Wkst'!$AE$7:$AE$2010,'LAC 102_Wkst'!$L$7:$L$2010,"02",'LAC 102_Wkst'!$N$7:$N$2010,"P1")+SUMIFS('LAC 102_Wkst'!$AE$7:$AE$2010,'LAC 102_Wkst'!$L$7:$L$2010,"02",'LAC 102_Wkst'!$N$7:$N$2010,"P2")+SUMIFS('LAC 102_Wkst'!$AE$7:$AE$2010,'LAC 102_Wkst'!$L$7:$L$2010,"02",'LAC 102_Wkst'!$N$7:$N$2010,"P3")</f>
        <v>0</v>
      </c>
      <c r="H105" s="1224">
        <f>SUMIFS('LAC 102_Wkst'!$Q$7:$Q$2010,'LAC 102_Wkst'!$L$7:$L$2010,"01",'LAC 102_Wkst'!$N$7:$N$2010,"P4")+SUMIFS('LAC 102_Wkst'!$Q$7:$Q$2010,'LAC 102_Wkst'!$L$7:$L$2010,"02",'LAC 102_Wkst'!$N$7:$N$2010,"P4")</f>
        <v>1042796</v>
      </c>
      <c r="I105" s="1225">
        <f>SUMIFS('LAC 102_Wkst'!$AE$7:$AE$2010,'LAC 102_Wkst'!$L$7:$L$2010,"01",'LAC 102_Wkst'!$N$7:$N$2010,"P4")+SUMIFS('LAC 102_Wkst'!$AE$7:$AE$2010,'LAC 102_Wkst'!$L$7:$L$2010,"02",'LAC 102_Wkst'!$N$7:$N$2010,"P4")</f>
        <v>0</v>
      </c>
      <c r="J105" s="1224">
        <f>SUMIFS('LAC 102_Wkst'!$Q$7:$Q$2010,'LAC 102_Wkst'!$L$7:$L$2010,"01",'LAC 102_Wkst'!$N$7:$N$2010,"P5")+SUMIFS('LAC 102_Wkst'!$Q$7:$Q$2010,'LAC 102_Wkst'!$L$7:$L$2010,"02",'LAC 102_Wkst'!$N$7:$N$2010,"P5")</f>
        <v>1171833</v>
      </c>
      <c r="K105" s="1225">
        <f>SUMIFS('LAC 102_Wkst'!$AE$7:$AE$2010,'LAC 102_Wkst'!$L$7:$L$2010,"01",'LAC 102_Wkst'!$N$7:$N$2010,"P5")+SUMIFS('LAC 102_Wkst'!$AE$7:$AE$2010,'LAC 102_Wkst'!$L$7:$L$2010,"02",'LAC 102_Wkst'!$N$7:$N$2010,"P5")</f>
        <v>195757</v>
      </c>
      <c r="L105" s="1224">
        <f>SUMIFS('LAC 102_Wkst'!$Q$7:$Q$2010,'LAC 102_Wkst'!$L$7:$L$2010,"03",'LAC 102_Wkst'!$N$7:$N$2010,"P1")+SUMIFS('LAC 102_Wkst'!$Q$7:$Q$2010,'LAC 102_Wkst'!$L$7:$L$2010,"03",'LAC 102_Wkst'!$N$7:$N$2010,"P2")+SUMIFS('LAC 102_Wkst'!$Q$7:$Q$2010,'LAC 102_Wkst'!$L$7:$L$2010,"03",'LAC 102_Wkst'!$N$7:$N$2010,"P3")+SUMIFS('LAC 102_Wkst'!$Q$7:$Q$2010,'LAC 102_Wkst'!$L$7:$L$2010,"04",'LAC 102_Wkst'!$N$7:$N$2010,"P1")+SUMIFS('LAC 102_Wkst'!$Q$7:$Q$2010,'LAC 102_Wkst'!$L$7:$L$2010,"04",'LAC 102_Wkst'!$N$7:$N$2010,"P2")+SUMIFS('LAC 102_Wkst'!$Q$7:$Q$2010,'LAC 102_Wkst'!$L$7:$L$2010,"04",'LAC 102_Wkst'!$N$7:$N$2010,"P3")</f>
        <v>0</v>
      </c>
      <c r="M105" s="1225">
        <f>SUMIFS('LAC 102_Wkst'!$AE$7:$AE$2010,'LAC 102_Wkst'!$L$7:$L$2010,"03",'LAC 102_Wkst'!$N$7:$N$2010,"P1")+SUMIFS('LAC 102_Wkst'!$AE$7:$AE$2010,'LAC 102_Wkst'!$L$7:$L$2010,"03",'LAC 102_Wkst'!$N$7:$N$2010,"P2")+SUMIFS('LAC 102_Wkst'!$AE$7:$AE$2010,'LAC 102_Wkst'!$L$7:$L$2010,"03",'LAC 102_Wkst'!$N$7:$N$2010,"P3")+SUMIFS('LAC 102_Wkst'!$AE$7:$AE$2010,'LAC 102_Wkst'!$L$7:$L$2010,"04",'LAC 102_Wkst'!$N$7:$N$2010,"P1")+SUMIFS('LAC 102_Wkst'!$AE$7:$AE$2010,'LAC 102_Wkst'!$L$7:$L$2010,"04",'LAC 102_Wkst'!$N$7:$N$2010,"P2")+SUMIFS('LAC 102_Wkst'!$AE$7:$AE$2010,'LAC 102_Wkst'!$L$7:$L$2010,"04",'LAC 102_Wkst'!$N$7:$N$2010,"P3")</f>
        <v>0</v>
      </c>
      <c r="N105" s="1224">
        <f>SUMIFS('LAC 102_Wkst'!$Q$7:$Q$2010,'LAC 102_Wkst'!$L$7:$L$2010,"03",'LAC 102_Wkst'!$N$7:$N$2010,"P4")+SUMIFS('LAC 102_Wkst'!$Q$7:$Q$2010,'LAC 102_Wkst'!$L$7:$L$2010,"04",'LAC 102_Wkst'!$N$7:$N$2010,"P4")</f>
        <v>0</v>
      </c>
      <c r="O105" s="1225">
        <f>SUMIFS('LAC 102_Wkst'!$AE$7:$AE$2010,'LAC 102_Wkst'!$L$7:$L$2010,"03",'LAC 102_Wkst'!$N$7:$N$2010,"P4")+SUMIFS('LAC 102_Wkst'!$AE$7:$AE$2010,'LAC 102_Wkst'!$L$7:$L$2010,"04",'LAC 102_Wkst'!$N$7:$N$2010,"P4")</f>
        <v>0</v>
      </c>
      <c r="P105" s="1224">
        <f>SUMIFS('LAC 102_Wkst'!$Q$7:$Q$2010,'LAC 102_Wkst'!$L$7:$L$2010,"03",'LAC 102_Wkst'!$N$7:$N$2010,"P5")+SUMIFS('LAC 102_Wkst'!$Q$7:$Q$2010,'LAC 102_Wkst'!$L$7:$L$2010,"04",'LAC 102_Wkst'!$N$7:$N$2010,"P5")</f>
        <v>0</v>
      </c>
      <c r="Q105" s="1225">
        <f>SUMIFS('LAC 102_Wkst'!$AE$7:$AE$2010,'LAC 102_Wkst'!$L$7:$L$2010,"03",'LAC 102_Wkst'!$N$7:$N$2010,"P5")+SUMIFS('LAC 102_Wkst'!$AE$7:$AE$2010,'LAC 102_Wkst'!$L$7:$L$2010,"04",'LAC 102_Wkst'!$N$7:$N$2010,"P5")</f>
        <v>0</v>
      </c>
      <c r="R105" s="1224">
        <f>SUMIFS('LAC 102_Wkst'!$Q$7:$Q$2010,'LAC 102_Wkst'!$L$7:$L$2010,"05",'LAC 102_Wkst'!$N$7:$N$2010,"P1")+SUMIFS('LAC 102_Wkst'!$Q$7:$Q$2010,'LAC 102_Wkst'!$L$7:$L$2010,"06",'LAC 102_Wkst'!$N$7:$N$2010,"P1")</f>
        <v>190981</v>
      </c>
      <c r="S105" s="1225">
        <f>SUMIFS('LAC 102_Wkst'!$AE$7:$AE$2010,'LAC 102_Wkst'!$L$7:$L$2010,"05",'LAC 102_Wkst'!$N$7:$N$2010,"P1")+SUMIFS('LAC 102_Wkst'!$AE$7:$AE$2010,'LAC 102_Wkst'!$L$7:$L$2010,"06",'LAC 102_Wkst'!$N$7:$N$2010,"P1")</f>
        <v>0</v>
      </c>
      <c r="T105" s="1224">
        <f>SUMIFS('LAC 102_Wkst'!$Q$7:$Q$2010,'LAC 102_Wkst'!$L$7:$L$2010,"05",'LAC 102_Wkst'!$N$7:$N$2010,"P2")+SUMIFS('LAC 102_Wkst'!$Q$7:$Q$2010,'LAC 102_Wkst'!$L$7:$L$2010,"06",'LAC 102_Wkst'!$N$7:$N$2010,"P2")+SUMIFS('LAC 102_Wkst'!$Q$7:$Q$2010,'LAC 102_Wkst'!$L$7:$L$2010,"05",'LAC 102_Wkst'!$N$7:$N$2010,"P3")+SUMIFS('LAC 102_Wkst'!$Q$7:$Q$2010,'LAC 102_Wkst'!$L$7:$L$2010,"06",'LAC 102_Wkst'!$N$7:$N$2010,"P3")</f>
        <v>360286</v>
      </c>
      <c r="U105" s="1225">
        <f>SUMIFS('LAC 102_Wkst'!$AE$7:$AE$2010,'LAC 102_Wkst'!$L$7:$L$2010,"05",'LAC 102_Wkst'!$N$7:$N$2010,"P2")+SUMIFS('LAC 102_Wkst'!$AE$7:$AE$2010,'LAC 102_Wkst'!$L$7:$L$2010,"06",'LAC 102_Wkst'!$N$7:$N$2010,"P2")+SUMIFS('LAC 102_Wkst'!$AE$7:$AE$2010,'LAC 102_Wkst'!$L$7:$L$2010,"05",'LAC 102_Wkst'!$N$7:$N$2010,"P3")+SUMIFS('LAC 102_Wkst'!$AE$7:$AE$2010,'LAC 102_Wkst'!$L$7:$L$2010,"06",'LAC 102_Wkst'!$N$7:$N$2010,"P3")</f>
        <v>0</v>
      </c>
      <c r="V105" s="1224">
        <f>SUMIFS('LAC 102_Wkst'!$Q$7:$Q$2010,'LAC 102_Wkst'!$L$7:$L$2010,"05",'LAC 102_Wkst'!$N$7:$N$2010,"P4")+SUMIFS('LAC 102_Wkst'!$Q$7:$Q$2010,'LAC 102_Wkst'!$L$7:$L$2010,"06",'LAC 102_Wkst'!$N$7:$N$2010,"P4")</f>
        <v>84341</v>
      </c>
      <c r="W105" s="1225">
        <f>SUMIFS('LAC 102_Wkst'!$AE$7:$AE$2010,'LAC 102_Wkst'!$L$7:$L$2010,"05",'LAC 102_Wkst'!$N$7:$N$2010,"P4")+SUMIFS('LAC 102_Wkst'!$AE$7:$AE$2010,'LAC 102_Wkst'!$L$7:$L$2010,"06",'LAC 102_Wkst'!$N$7:$N$2010,"P4")</f>
        <v>0</v>
      </c>
      <c r="X105" s="1224">
        <f>SUMIFS('LAC 102_Wkst'!$Q$7:$Q$2010,'LAC 102_Wkst'!$L$7:$L$2010,"05",'LAC 102_Wkst'!$N$7:$N$2010,"P5")+SUMIFS('LAC 102_Wkst'!$Q$7:$Q$2010,'LAC 102_Wkst'!$L$7:$L$2010,"06",'LAC 102_Wkst'!$N$7:$N$2010,"P5")</f>
        <v>101199</v>
      </c>
      <c r="Y105" s="1225">
        <f>SUMIFS('LAC 102_Wkst'!$AE$7:$AE$2010,'LAC 102_Wkst'!$L$7:$L$2010,"05",'LAC 102_Wkst'!$N$7:$N$2010,"P5")+SUMIFS('LAC 102_Wkst'!$AE$7:$AE$2010,'LAC 102_Wkst'!$L$7:$L$2010,"06",'LAC 102_Wkst'!$N$7:$N$2010,"P5")</f>
        <v>0</v>
      </c>
      <c r="Z105" s="1224">
        <f>SUMIFS('LAC 102_Wkst'!$Q$7:$Q$2010,'LAC 102_Wkst'!$L$7:$L$2010,"07",'LAC 102_Wkst'!$N$7:$N$2010,"P1")+SUMIFS('LAC 102_Wkst'!$Q$7:$Q$2010,'LAC 102_Wkst'!$L$7:$L$2010,"07",'LAC 102_Wkst'!$N$7:$N$2010,"P2")+SUMIFS('LAC 102_Wkst'!$Q$7:$Q$2010,'LAC 102_Wkst'!$L$7:$L$2010,"07",'LAC 102_Wkst'!$N$7:$N$2010,"P3")</f>
        <v>1330</v>
      </c>
      <c r="AA105" s="1225">
        <f>SUMIFS('LAC 102_Wkst'!$AE$7:$AE$2010,'LAC 102_Wkst'!$L$7:$L$2010,"07",'LAC 102_Wkst'!$N$7:$N$2010,"P1")+SUMIFS('LAC 102_Wkst'!$AE$7:$AE$2010,'LAC 102_Wkst'!$L$7:$L$2010,"07",'LAC 102_Wkst'!$N$7:$N$2010,"P2")+SUMIFS('LAC 102_Wkst'!$AE$7:$AE$2010,'LAC 102_Wkst'!$L$7:$L$2010,"07",'LAC 102_Wkst'!$N$7:$N$2010,"P3")</f>
        <v>0</v>
      </c>
      <c r="AB105" s="1224">
        <f>SUMIFS('LAC 102_Wkst'!$Q$7:$Q$2010,'LAC 102_Wkst'!$L$7:$L$2010,"07",'LAC 102_Wkst'!$N$7:$N$2010,"P4")</f>
        <v>367</v>
      </c>
      <c r="AC105" s="1225">
        <f>SUMIFS('LAC 102_Wkst'!$AE$7:$AE$2010,'LAC 102_Wkst'!$L$7:$L$2010,"07",'LAC 102_Wkst'!$N$7:$N$2010,"P4")</f>
        <v>0</v>
      </c>
      <c r="AD105" s="1224">
        <f>SUMIFS('LAC 102_Wkst'!$Q$7:$Q$2010,'LAC 102_Wkst'!$L$7:$L$2010,"07",'LAC 102_Wkst'!$N$7:$N$2010,"P5")</f>
        <v>259</v>
      </c>
      <c r="AE105" s="1225">
        <f>SUMIFS('LAC 102_Wkst'!$AE$7:$AE$2010,'LAC 102_Wkst'!$L$7:$L$2010,"07",'LAC 102_Wkst'!$N$7:$N$2010,"P5")</f>
        <v>0</v>
      </c>
      <c r="AF105" s="1224">
        <f>SUMIFS('LAC 102_Wkst'!$Q$7:$Q$2010,'LAC 102_Wkst'!$L$7:$L$2010,"08",'LAC 102_Wkst'!$N$7:$N$2010,"P1")+SUMIFS('LAC 102_Wkst'!$Q$7:$Q$2010,'LAC 102_Wkst'!$L$7:$L$2010,"08",'LAC 102_Wkst'!$N$7:$N$2010,"P2")+SUMIFS('LAC 102_Wkst'!$Q$7:$Q$2010,'LAC 102_Wkst'!$L$7:$L$2010,"08",'LAC 102_Wkst'!$N$7:$N$2010,"P3")</f>
        <v>0</v>
      </c>
      <c r="AG105" s="1225">
        <f>SUMIFS('LAC 102_Wkst'!$AE$7:$AE$2010,'LAC 102_Wkst'!$L$7:$L$2010,"08",'LAC 102_Wkst'!$N$7:$N$2010,"P1")+SUMIFS('LAC 102_Wkst'!$AE$7:$AE$2010,'LAC 102_Wkst'!$L$7:$L$2010,"08",'LAC 102_Wkst'!$N$7:$N$2010,"P2")+SUMIFS('LAC 102_Wkst'!$AE$7:$AE$2010,'LAC 102_Wkst'!$L$7:$L$2010,"08",'LAC 102_Wkst'!$N$7:$N$2010,"P3")</f>
        <v>0</v>
      </c>
      <c r="AH105" s="1224">
        <f>SUMIFS('LAC 102_Wkst'!$Q$7:$Q$2010,'LAC 102_Wkst'!$L$7:$L$2010,"08",'LAC 102_Wkst'!$N$7:$N$2010,"P4")</f>
        <v>0</v>
      </c>
      <c r="AI105" s="1225">
        <f>SUMIFS('LAC 102_Wkst'!$AE$7:$AE$2010,'LAC 102_Wkst'!$L$7:$L$2010,"08",'LAC 102_Wkst'!$N$7:$N$2010,"P4")</f>
        <v>0</v>
      </c>
      <c r="AJ105" s="1224">
        <f>SUMIFS('LAC 102_Wkst'!$Q$7:$Q$2010,'LAC 102_Wkst'!$L$7:$L$2010,"08",'LAC 102_Wkst'!$N$7:$N$2010,"P5")</f>
        <v>0</v>
      </c>
      <c r="AK105" s="1225">
        <f>SUMIFS('LAC 102_Wkst'!$AE$7:$AE$2010,'LAC 102_Wkst'!$L$7:$L$2010,"08",'LAC 102_Wkst'!$N$7:$N$2010,"P5")</f>
        <v>0</v>
      </c>
      <c r="AL105" s="1224">
        <f>SUMIFS('LAC 102_Wkst'!$Q$7:$Q$2010,'LAC 102_Wkst'!$L$7:$L$2010,"09",'LAC 102_Wkst'!$N$7:$N$2010,"P1")+SUMIFS('LAC 102_Wkst'!$Q$7:$Q$2010,'LAC 102_Wkst'!$L$7:$L$2010,"09",'LAC 102_Wkst'!$N$7:$N$2010,"P2")+SUMIFS('LAC 102_Wkst'!$Q$7:$Q$2010,'LAC 102_Wkst'!$L$7:$L$2010,"09",'LAC 102_Wkst'!$N$7:$N$2010,"P3")+SUMIFS('LAC 102_Wkst'!$Q$7:$Q$2010,'LAC 102_Wkst'!$L$7:$L$2010,"09",'LAC 102_Wkst'!$N$7:$N$2010,"P4")</f>
        <v>0</v>
      </c>
      <c r="AM105" s="1225">
        <f>SUMIFS('LAC 102_Wkst'!$AE$7:$AE$2010,'LAC 102_Wkst'!$L$7:$L$2010,"09",'LAC 102_Wkst'!$N$7:$N$2010,"P1")+SUMIFS('LAC 102_Wkst'!$AE$7:$AE$2010,'LAC 102_Wkst'!$L$7:$L$2010,"09",'LAC 102_Wkst'!$N$7:$N$2010,"P2")+SUMIFS('LAC 102_Wkst'!$AE$7:$AE$2010,'LAC 102_Wkst'!$L$7:$L$2010,"09",'LAC 102_Wkst'!$N$7:$N$2010,"P3")+SUMIFS('LAC 102_Wkst'!$AE$7:$AE$2010,'LAC 102_Wkst'!$L$7:$L$2010,"09",'LAC 102_Wkst'!$N$7:$N$2010,"P4")</f>
        <v>0</v>
      </c>
      <c r="AN105" s="1224">
        <f>SUMIFS('LAC 102_Wkst'!$Q$7:$Q$2010,'LAC 102_Wkst'!$L$7:$L$2010,"09",'LAC 102_Wkst'!$N$7:$N$2010,"P5")</f>
        <v>0</v>
      </c>
      <c r="AO105" s="1225">
        <f>SUMIFS('LAC 102_Wkst'!$AE$7:$AE$2010,'LAC 102_Wkst'!$L$7:$L$2010,"09",'LAC 102_Wkst'!$N$7:$N$2010,"P5")</f>
        <v>0</v>
      </c>
      <c r="AP105" s="1224">
        <f>SUMIFS('LAC 102_Wkst'!$Q$7:$Q$2010,'LAC 102_Wkst'!$L$7:$L$2010,"10",'LAC 102_Wkst'!$N$7:$N$2010,"P1")+SUMIFS('LAC 102_Wkst'!$Q$7:$Q$2010,'LAC 102_Wkst'!$L$7:$L$2010,"10",'LAC 102_Wkst'!$N$7:$N$2010,"P2")+SUMIFS('LAC 102_Wkst'!$Q$7:$Q$2010,'LAC 102_Wkst'!$L$7:$L$2010,"10",'LAC 102_Wkst'!$N$7:$N$2010,"P3")+SUMIFS('LAC 102_Wkst'!$Q$7:$Q$2010,'LAC 102_Wkst'!$L$7:$L$2010,"10",'LAC 102_Wkst'!$N$7:$N$2010,"P4")</f>
        <v>3865413</v>
      </c>
      <c r="AQ105" s="1225">
        <f>SUMIFS('LAC 102_Wkst'!$AE$7:$AE$2010,'LAC 102_Wkst'!$L$7:$L$2010,"10",'LAC 102_Wkst'!$N$7:$N$2010,"P1")+SUMIFS('LAC 102_Wkst'!$AE$7:$AE$2010,'LAC 102_Wkst'!$L$7:$L$2010,"10",'LAC 102_Wkst'!$N$7:$N$2010,"P2")+SUMIFS('LAC 102_Wkst'!$AE$7:$AE$2010,'LAC 102_Wkst'!$L$7:$L$2010,"10",'LAC 102_Wkst'!$N$7:$N$2010,"P3")+SUMIFS('LAC 102_Wkst'!$AE$7:$AE$2010,'LAC 102_Wkst'!$L$7:$L$2010,"10",'LAC 102_Wkst'!$N$7:$N$2010,"P4")</f>
        <v>0</v>
      </c>
      <c r="AR105" s="1224">
        <f>SUMIFS('LAC 102_Wkst'!$Q$7:$Q$2010,'LAC 102_Wkst'!$L$7:$L$2010,"10",'LAC 102_Wkst'!$N$7:$N$2010,"P5")</f>
        <v>608964</v>
      </c>
      <c r="AS105" s="1225">
        <f>SUMIFS('LAC 102_Wkst'!$AE$7:$AE$2010,'LAC 102_Wkst'!$L$7:$L$2010,"10",'LAC 102_Wkst'!$N$7:$N$2010,"P5")</f>
        <v>54949</v>
      </c>
      <c r="AT105" s="1224">
        <f>SUMIFS('LAC 102_Wkst'!$Q$7:$Q$2010,'LAC 102_Wkst'!$L$7:$L$2010,"11",'LAC 102_Wkst'!$N$7:$N$2010,"P1")+SUMIFS('LAC 102_Wkst'!$Q$7:$Q$2010,'LAC 102_Wkst'!$L$7:$L$2010,"12",'LAC 102_Wkst'!$N$7:$N$2010,"P1")</f>
        <v>0</v>
      </c>
      <c r="AU105" s="1225">
        <f>SUMIFS('LAC 102_Wkst'!$AE$7:$AE$2010,'LAC 102_Wkst'!$L$7:$L$2010,"13",'LAC 102_Wkst'!$N$7:$N$2010,"P5")</f>
        <v>0</v>
      </c>
      <c r="AV105" s="1224">
        <f>SUMIFS('LAC 102_Wkst'!$Q$7:$Q$2010,'LAC 102_Wkst'!$L$7:$L$2010,"11",'LAC 102_Wkst'!$N$7:$N$2010,"P2")+SUMIFS('LAC 102_Wkst'!$Q$7:$Q$2010,'LAC 102_Wkst'!$L$7:$L$2010,"12",'LAC 102_Wkst'!$N$7:$N$2010,"P2")+SUMIFS('LAC 102_Wkst'!$Q$7:$Q$2010,'LAC 102_Wkst'!$L$7:$L$2010,"11",'LAC 102_Wkst'!$N$7:$N$2010,"P3")+SUMIFS('LAC 102_Wkst'!$Q$7:$Q$2010,'LAC 102_Wkst'!$L$7:$L$2010,"12",'LAC 102_Wkst'!$N$7:$N$2010,"P3")</f>
        <v>0</v>
      </c>
      <c r="AW105" s="1225">
        <f>SUMIFS('LAC 102_Wkst'!$AE$7:$AE$2010,'LAC 102_Wkst'!$L$7:$L$2010,"11",'LAC 102_Wkst'!$N$7:$N$2010,"P2")+SUMIFS('LAC 102_Wkst'!$AE$7:$AE$2010,'LAC 102_Wkst'!$L$7:$L$2010,"12",'LAC 102_Wkst'!$N$7:$N$2010,"P2")+SUMIFS('LAC 102_Wkst'!$AE$7:$AE$2010,'LAC 102_Wkst'!$L$7:$L$2010,"11",'LAC 102_Wkst'!$N$7:$N$2010,"P3")+SUMIFS('LAC 102_Wkst'!$AE$7:$AE$2010,'LAC 102_Wkst'!$L$7:$L$2010,"12",'LAC 102_Wkst'!$N$7:$N$2010,"P3")</f>
        <v>0</v>
      </c>
      <c r="AX105" s="1224">
        <f>SUMIFS('LAC 102_Wkst'!$Q$7:$Q$2010,'LAC 102_Wkst'!$L$7:$L$2010,"11",'LAC 102_Wkst'!$N$7:$N$2010,"P4")+SUMIFS('LAC 102_Wkst'!$Q$7:$Q$2010,'LAC 102_Wkst'!$L$7:$L$2010,"12",'LAC 102_Wkst'!$N$7:$N$2010,"P4")</f>
        <v>0</v>
      </c>
      <c r="AY105" s="1225">
        <f>SUMIFS('LAC 102_Wkst'!$AE$7:$AE$2010,'LAC 102_Wkst'!$L$7:$L$2010,"11",'LAC 102_Wkst'!$N$7:$N$2010,"P4")+SUMIFS('LAC 102_Wkst'!$AE$7:$AE$2010,'LAC 102_Wkst'!$L$7:$L$2010,"12",'LAC 102_Wkst'!$N$7:$N$2010,"P4")</f>
        <v>0</v>
      </c>
      <c r="AZ105" s="1224">
        <f>SUMIFS('LAC 102_Wkst'!$Q$7:$Q$2010,'LAC 102_Wkst'!$L$7:$L$2010,"11",'LAC 102_Wkst'!$N$7:$N$2010,"P5")+SUMIFS('LAC 102_Wkst'!$Q$7:$Q$2010,'LAC 102_Wkst'!$L$7:$L$2010,"12",'LAC 102_Wkst'!$N$7:$N$2010,"P5")</f>
        <v>0</v>
      </c>
      <c r="BA105" s="1225">
        <f>SUMIFS('LAC 102_Wkst'!$AE$7:$AE$2010,'LAC 102_Wkst'!$L$7:$L$2010,"11",'LAC 102_Wkst'!$N$7:$N$2010,"P5")+SUMIFS('LAC 102_Wkst'!$AE$7:$AE$2010,'LAC 102_Wkst'!$L$7:$L$2010,"12",'LAC 102_Wkst'!$N$7:$N$2010,"P5")</f>
        <v>0</v>
      </c>
      <c r="BB105" s="1224">
        <f>SUMIFS('LAC 102_Wkst'!$Q$7:$Q$2010,'LAC 102_Wkst'!$L$7:$L$2010,"13",'LAC 102_Wkst'!$N$7:$N$2010,"P1")+SUMIFS('LAC 102_Wkst'!$Q$7:$Q$2010,'LAC 102_Wkst'!$L$7:$L$2010,"13",'LAC 102_Wkst'!$N$7:$N$2010,"P2")+SUMIFS('LAC 102_Wkst'!$Q$7:$Q$2010,'LAC 102_Wkst'!$L$7:$L$2010,"13",'LAC 102_Wkst'!$N$7:$N$2010,"P3")+SUMIFS('LAC 102_Wkst'!$Q$7:$Q$2010,'LAC 102_Wkst'!$L$7:$L$2010,"13",'LAC 102_Wkst'!$N$7:$N$2010,"P4")</f>
        <v>133731</v>
      </c>
      <c r="BC105" s="1225">
        <f>SUMIFS('LAC 102_Wkst'!$AE$7:$AE$2010,'LAC 102_Wkst'!$L$7:$L$2010,"13",'LAC 102_Wkst'!$N$7:$N$2010,"P1")+SUMIFS('LAC 102_Wkst'!$AE$7:$AE$2010,'LAC 102_Wkst'!$L$7:$L$2010,"13",'LAC 102_Wkst'!$N$7:$N$2010,"P2")+SUMIFS('LAC 102_Wkst'!$AE$7:$AE$2010,'LAC 102_Wkst'!$L$7:$L$2010,"13",'LAC 102_Wkst'!$N$7:$N$2010,"P3")+SUMIFS('LAC 102_Wkst'!$AE$7:$AE$2010,'LAC 102_Wkst'!$L$7:$L$2010,"13",'LAC 102_Wkst'!$N$7:$N$2010,"P4")</f>
        <v>0</v>
      </c>
      <c r="BD105" s="1224">
        <f>SUMIFS('LAC 102_Wkst'!$Q$7:$Q$2010,'LAC 102_Wkst'!$L$7:$L$2010,"13",'LAC 102_Wkst'!$N$7:$N$2010,"P5")</f>
        <v>0</v>
      </c>
      <c r="BE105" s="1225">
        <f>SUMIFS('LAC 102_Wkst'!$AE$7:$AE$2010,'LAC 102_Wkst'!$L$7:$L$2010,"13",'LAC 102_Wkst'!$N$7:$N$2010,"P5")</f>
        <v>0</v>
      </c>
      <c r="BF105" s="1224">
        <f>SUMIF('LAC 102_Wkst'!$L$7:$L$2010,"14",'LAC 102_Wkst'!$Q$7:$Q$2010)</f>
        <v>1802045.6333333345</v>
      </c>
    </row>
    <row r="106" spans="1:58" x14ac:dyDescent="0.2">
      <c r="A106" s="378"/>
      <c r="B106" s="1226"/>
      <c r="C106" s="782"/>
      <c r="D106" s="378"/>
      <c r="E106" s="378" t="b">
        <f>E104=E105</f>
        <v>1</v>
      </c>
      <c r="F106" s="378" t="b">
        <f t="shared" ref="F106:BE106" si="3">F104=F105</f>
        <v>1</v>
      </c>
      <c r="G106" s="378" t="b">
        <f t="shared" si="3"/>
        <v>1</v>
      </c>
      <c r="H106" s="378" t="b">
        <f t="shared" si="3"/>
        <v>1</v>
      </c>
      <c r="I106" s="378" t="b">
        <f t="shared" si="3"/>
        <v>1</v>
      </c>
      <c r="J106" s="378" t="b">
        <f t="shared" si="3"/>
        <v>1</v>
      </c>
      <c r="K106" s="378" t="b">
        <f t="shared" si="3"/>
        <v>1</v>
      </c>
      <c r="L106" s="378" t="b">
        <f t="shared" si="3"/>
        <v>1</v>
      </c>
      <c r="M106" s="378" t="b">
        <f t="shared" si="3"/>
        <v>1</v>
      </c>
      <c r="N106" s="378" t="b">
        <f t="shared" si="3"/>
        <v>1</v>
      </c>
      <c r="O106" s="378" t="b">
        <f t="shared" si="3"/>
        <v>1</v>
      </c>
      <c r="P106" s="378" t="b">
        <f t="shared" si="3"/>
        <v>1</v>
      </c>
      <c r="Q106" s="378" t="b">
        <f t="shared" si="3"/>
        <v>1</v>
      </c>
      <c r="R106" s="378" t="b">
        <f t="shared" si="3"/>
        <v>1</v>
      </c>
      <c r="S106" s="378" t="b">
        <f t="shared" si="3"/>
        <v>1</v>
      </c>
      <c r="T106" s="378" t="b">
        <f t="shared" si="3"/>
        <v>1</v>
      </c>
      <c r="U106" s="378" t="b">
        <f t="shared" si="3"/>
        <v>1</v>
      </c>
      <c r="V106" s="378" t="b">
        <f t="shared" si="3"/>
        <v>1</v>
      </c>
      <c r="W106" s="378" t="b">
        <f t="shared" si="3"/>
        <v>1</v>
      </c>
      <c r="X106" s="378" t="b">
        <f t="shared" si="3"/>
        <v>1</v>
      </c>
      <c r="Y106" s="378" t="b">
        <f t="shared" si="3"/>
        <v>1</v>
      </c>
      <c r="Z106" s="378" t="b">
        <f t="shared" si="3"/>
        <v>1</v>
      </c>
      <c r="AA106" s="378" t="b">
        <f t="shared" si="3"/>
        <v>1</v>
      </c>
      <c r="AB106" s="378" t="b">
        <f t="shared" si="3"/>
        <v>1</v>
      </c>
      <c r="AC106" s="378" t="b">
        <f t="shared" si="3"/>
        <v>1</v>
      </c>
      <c r="AD106" s="378" t="b">
        <f t="shared" si="3"/>
        <v>1</v>
      </c>
      <c r="AE106" s="378" t="b">
        <f t="shared" si="3"/>
        <v>1</v>
      </c>
      <c r="AF106" s="378" t="b">
        <f t="shared" si="3"/>
        <v>1</v>
      </c>
      <c r="AG106" s="378" t="b">
        <f t="shared" si="3"/>
        <v>1</v>
      </c>
      <c r="AH106" s="378" t="b">
        <f t="shared" si="3"/>
        <v>1</v>
      </c>
      <c r="AI106" s="378" t="b">
        <f t="shared" si="3"/>
        <v>1</v>
      </c>
      <c r="AJ106" s="378" t="b">
        <f t="shared" si="3"/>
        <v>1</v>
      </c>
      <c r="AK106" s="378" t="b">
        <f t="shared" si="3"/>
        <v>1</v>
      </c>
      <c r="AL106" s="378" t="b">
        <f t="shared" si="3"/>
        <v>1</v>
      </c>
      <c r="AM106" s="378" t="b">
        <f t="shared" si="3"/>
        <v>1</v>
      </c>
      <c r="AN106" s="378" t="b">
        <f t="shared" si="3"/>
        <v>1</v>
      </c>
      <c r="AO106" s="378" t="b">
        <f t="shared" si="3"/>
        <v>1</v>
      </c>
      <c r="AP106" s="378" t="b">
        <f t="shared" si="3"/>
        <v>1</v>
      </c>
      <c r="AQ106" s="378" t="b">
        <f t="shared" si="3"/>
        <v>1</v>
      </c>
      <c r="AR106" s="378" t="b">
        <f t="shared" si="3"/>
        <v>1</v>
      </c>
      <c r="AS106" s="378" t="b">
        <f t="shared" si="3"/>
        <v>1</v>
      </c>
      <c r="AT106" s="378" t="b">
        <f t="shared" si="3"/>
        <v>1</v>
      </c>
      <c r="AU106" s="378" t="b">
        <f t="shared" si="3"/>
        <v>1</v>
      </c>
      <c r="AV106" s="378" t="b">
        <f t="shared" si="3"/>
        <v>1</v>
      </c>
      <c r="AW106" s="378" t="b">
        <f t="shared" si="3"/>
        <v>1</v>
      </c>
      <c r="AX106" s="378" t="b">
        <f t="shared" si="3"/>
        <v>1</v>
      </c>
      <c r="AY106" s="378" t="b">
        <f t="shared" si="3"/>
        <v>1</v>
      </c>
      <c r="AZ106" s="378" t="b">
        <f t="shared" si="3"/>
        <v>1</v>
      </c>
      <c r="BA106" s="378" t="b">
        <f t="shared" si="3"/>
        <v>1</v>
      </c>
      <c r="BB106" s="378" t="b">
        <f t="shared" si="3"/>
        <v>1</v>
      </c>
      <c r="BC106" s="378" t="b">
        <f t="shared" si="3"/>
        <v>1</v>
      </c>
      <c r="BD106" s="378" t="b">
        <f t="shared" si="3"/>
        <v>1</v>
      </c>
      <c r="BE106" s="378" t="b">
        <f t="shared" si="3"/>
        <v>1</v>
      </c>
      <c r="BF106" s="1181" t="str">
        <f>IF(ABS(BF104-BF105)&lt;10,"TRUE","FALSE")</f>
        <v>TRUE</v>
      </c>
    </row>
    <row r="107" spans="1:58" x14ac:dyDescent="0.2">
      <c r="A107" s="376"/>
      <c r="B107" s="376"/>
      <c r="C107" s="376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6"/>
      <c r="T107" s="376"/>
      <c r="U107" s="376"/>
      <c r="V107" s="376"/>
      <c r="W107" s="376"/>
      <c r="X107" s="376"/>
      <c r="Y107" s="376"/>
      <c r="Z107" s="376"/>
      <c r="AA107" s="376"/>
      <c r="AB107" s="376"/>
      <c r="AC107" s="376"/>
      <c r="AD107" s="376"/>
      <c r="AE107" s="376"/>
      <c r="AF107" s="376"/>
      <c r="AG107" s="376"/>
      <c r="AH107" s="376"/>
      <c r="AI107" s="376"/>
      <c r="AJ107" s="376"/>
      <c r="AK107" s="376"/>
      <c r="AL107" s="376"/>
      <c r="AM107" s="376"/>
      <c r="AN107" s="376"/>
      <c r="AO107" s="376"/>
      <c r="AP107" s="376"/>
      <c r="AQ107" s="376"/>
      <c r="AR107" s="376"/>
      <c r="AS107" s="376"/>
      <c r="AT107" s="376"/>
      <c r="AU107" s="376"/>
      <c r="AV107" s="376"/>
      <c r="AW107" s="376"/>
      <c r="AX107" s="376"/>
      <c r="AY107" s="376"/>
      <c r="AZ107" s="376"/>
      <c r="BA107" s="376"/>
      <c r="BB107" s="376"/>
      <c r="BC107" s="376"/>
      <c r="BD107" s="376"/>
      <c r="BE107" s="376"/>
    </row>
    <row r="108" spans="1:58" x14ac:dyDescent="0.2">
      <c r="A108" s="376"/>
      <c r="B108" s="376"/>
      <c r="C108" s="376"/>
      <c r="D108" s="376"/>
      <c r="E108" s="376"/>
      <c r="F108" s="376"/>
      <c r="G108" s="376"/>
      <c r="H108" s="376"/>
      <c r="I108" s="376"/>
      <c r="J108" s="376"/>
      <c r="K108" s="376"/>
      <c r="L108" s="376"/>
      <c r="M108" s="376"/>
      <c r="N108" s="376"/>
      <c r="O108" s="376"/>
      <c r="P108" s="376"/>
      <c r="Q108" s="376"/>
      <c r="R108" s="376"/>
      <c r="S108" s="376"/>
      <c r="T108" s="376"/>
      <c r="U108" s="376"/>
      <c r="V108" s="376"/>
      <c r="W108" s="376"/>
      <c r="X108" s="376"/>
      <c r="Y108" s="376"/>
      <c r="Z108" s="376"/>
      <c r="AA108" s="376"/>
      <c r="AB108" s="376"/>
      <c r="AC108" s="376"/>
      <c r="AD108" s="376"/>
      <c r="AE108" s="376"/>
      <c r="AF108" s="376"/>
      <c r="AG108" s="376"/>
      <c r="AH108" s="376"/>
      <c r="AI108" s="376"/>
      <c r="AJ108" s="376"/>
      <c r="AK108" s="376"/>
      <c r="AL108" s="376"/>
      <c r="AM108" s="376"/>
      <c r="AN108" s="376"/>
      <c r="AO108" s="376"/>
      <c r="AP108" s="376"/>
      <c r="AQ108" s="376"/>
      <c r="AR108" s="376"/>
      <c r="AS108" s="376"/>
      <c r="AT108" s="376"/>
      <c r="AU108" s="376"/>
      <c r="AV108" s="376"/>
      <c r="AW108" s="376"/>
      <c r="AX108" s="376"/>
      <c r="AY108" s="376"/>
      <c r="AZ108" s="376"/>
      <c r="BA108" s="376"/>
      <c r="BB108" s="376"/>
      <c r="BC108" s="376"/>
      <c r="BD108" s="376"/>
      <c r="BE108" s="376"/>
    </row>
    <row r="109" spans="1:58" x14ac:dyDescent="0.2">
      <c r="A109" s="376"/>
      <c r="B109" s="376"/>
      <c r="C109" s="376"/>
      <c r="D109" s="376"/>
      <c r="E109" s="376"/>
      <c r="F109" s="376"/>
      <c r="G109" s="376"/>
      <c r="H109" s="376"/>
      <c r="I109" s="376"/>
      <c r="J109" s="376"/>
      <c r="K109" s="376"/>
      <c r="L109" s="376"/>
      <c r="M109" s="376"/>
      <c r="N109" s="376"/>
      <c r="O109" s="376"/>
      <c r="P109" s="376"/>
      <c r="Q109" s="376"/>
      <c r="R109" s="376"/>
      <c r="S109" s="376"/>
      <c r="T109" s="376"/>
      <c r="U109" s="376"/>
      <c r="V109" s="376"/>
      <c r="W109" s="376"/>
      <c r="X109" s="376"/>
      <c r="Y109" s="376"/>
      <c r="Z109" s="376"/>
      <c r="AA109" s="376"/>
      <c r="AB109" s="376"/>
      <c r="AC109" s="376"/>
      <c r="AD109" s="376"/>
      <c r="AE109" s="376"/>
      <c r="AF109" s="376"/>
      <c r="AG109" s="376"/>
      <c r="AH109" s="376"/>
      <c r="AI109" s="376"/>
      <c r="AJ109" s="376"/>
      <c r="AK109" s="376"/>
      <c r="AL109" s="376"/>
      <c r="AM109" s="376"/>
      <c r="AN109" s="376"/>
      <c r="AO109" s="376"/>
      <c r="AP109" s="376"/>
      <c r="AQ109" s="376"/>
      <c r="AR109" s="376"/>
      <c r="AS109" s="376"/>
      <c r="AT109" s="376"/>
      <c r="AU109" s="376"/>
      <c r="AV109" s="376"/>
      <c r="AW109" s="376"/>
      <c r="AX109" s="376"/>
      <c r="AY109" s="376"/>
      <c r="AZ109" s="376"/>
      <c r="BA109" s="376"/>
      <c r="BB109" s="376"/>
      <c r="BC109" s="376"/>
      <c r="BD109" s="376"/>
      <c r="BE109" s="376"/>
    </row>
    <row r="110" spans="1:58" x14ac:dyDescent="0.2">
      <c r="A110" s="376"/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6"/>
      <c r="AS110" s="376"/>
      <c r="AT110" s="376"/>
      <c r="AU110" s="376"/>
      <c r="AV110" s="376"/>
      <c r="AW110" s="376"/>
      <c r="AX110" s="376"/>
      <c r="AY110" s="376"/>
      <c r="AZ110" s="376"/>
      <c r="BA110" s="376"/>
      <c r="BB110" s="376"/>
      <c r="BC110" s="376"/>
      <c r="BD110" s="376"/>
      <c r="BE110" s="376"/>
    </row>
    <row r="111" spans="1:58" x14ac:dyDescent="0.2">
      <c r="A111" s="376"/>
      <c r="B111" s="376"/>
      <c r="C111" s="376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  <c r="AQ111" s="376"/>
      <c r="AR111" s="376"/>
      <c r="AS111" s="376"/>
      <c r="AT111" s="376"/>
      <c r="AU111" s="376"/>
      <c r="AV111" s="376"/>
      <c r="AW111" s="376"/>
      <c r="AX111" s="376"/>
      <c r="AY111" s="376"/>
      <c r="AZ111" s="376"/>
      <c r="BA111" s="376"/>
      <c r="BB111" s="376"/>
      <c r="BC111" s="376"/>
      <c r="BD111" s="376"/>
      <c r="BE111" s="376"/>
    </row>
  </sheetData>
  <sheetProtection algorithmName="SHA-512" hashValue="mfBZcA8UCX3hD5UKyDbelWKShoYb2ggtDJhFfHcfgtjIhQoAYh8JGnjtWi/4pBo+VtFN1x9uyE5WrZ3+ABZDgw==" saltValue="0Wfw0R9w2xXJr0AWBBq0hA==" spinCount="100000" sheet="1" objects="1" scenarios="1" autoFilter="0"/>
  <autoFilter ref="A19:BF19" xr:uid="{F2E74A47-D0D7-4CA7-A52D-10CDACE0DBDF}"/>
  <mergeCells count="32">
    <mergeCell ref="AX18:AY18"/>
    <mergeCell ref="AZ18:BA18"/>
    <mergeCell ref="BB18:BC18"/>
    <mergeCell ref="BD18:BE18"/>
    <mergeCell ref="AV18:AW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Z18:AA18"/>
    <mergeCell ref="B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B11:B14"/>
    <mergeCell ref="C11:F11"/>
    <mergeCell ref="C12:F12"/>
    <mergeCell ref="C13:F13"/>
    <mergeCell ref="C14:F14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BD6E2C-343B-428B-9A10-6A50F68863DF}">
          <x14:formula1>
            <xm:f>'Drop List'!$A$2:$A$9</xm:f>
          </x14:formula1>
          <xm:sqref>B20:B103</xm:sqref>
        </x14:dataValidation>
        <x14:dataValidation type="list" allowBlank="1" showInputMessage="1" showErrorMessage="1" xr:uid="{BF892CE8-168E-40BC-8719-58F0743FA361}">
          <x14:formula1>
            <xm:f>'Drop List'!$C$2:$C$7</xm:f>
          </x14:formula1>
          <xm:sqref>C20:C103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1FD45-4692-48A6-A4FF-9085B5BA9DB7}">
  <dimension ref="A1:K49"/>
  <sheetViews>
    <sheetView zoomScaleNormal="100" workbookViewId="0">
      <selection activeCell="C33" sqref="C33"/>
    </sheetView>
  </sheetViews>
  <sheetFormatPr defaultColWidth="8.77734375" defaultRowHeight="15.75" x14ac:dyDescent="0.25"/>
  <cols>
    <col min="1" max="1" width="4.109375" style="436" customWidth="1"/>
    <col min="2" max="2" width="8.77734375" style="436"/>
    <col min="3" max="3" width="16.77734375" style="436" customWidth="1"/>
    <col min="4" max="4" width="12.77734375" style="436" customWidth="1"/>
    <col min="5" max="5" width="9.77734375" style="436" customWidth="1"/>
    <col min="6" max="6" width="16.77734375" style="436" customWidth="1"/>
    <col min="7" max="8" width="14.77734375" style="436" customWidth="1"/>
    <col min="9" max="9" width="15.33203125" style="436" customWidth="1"/>
    <col min="10" max="256" width="8.77734375" style="436"/>
    <col min="257" max="257" width="4.109375" style="436" customWidth="1"/>
    <col min="258" max="258" width="8.77734375" style="436"/>
    <col min="259" max="259" width="16.77734375" style="436" customWidth="1"/>
    <col min="260" max="260" width="12.77734375" style="436" customWidth="1"/>
    <col min="261" max="261" width="9.77734375" style="436" customWidth="1"/>
    <col min="262" max="262" width="8.21875" style="436" customWidth="1"/>
    <col min="263" max="264" width="14.77734375" style="436" customWidth="1"/>
    <col min="265" max="265" width="14.109375" style="436" customWidth="1"/>
    <col min="266" max="512" width="8.77734375" style="436"/>
    <col min="513" max="513" width="4.109375" style="436" customWidth="1"/>
    <col min="514" max="514" width="8.77734375" style="436"/>
    <col min="515" max="515" width="16.77734375" style="436" customWidth="1"/>
    <col min="516" max="516" width="12.77734375" style="436" customWidth="1"/>
    <col min="517" max="517" width="9.77734375" style="436" customWidth="1"/>
    <col min="518" max="518" width="8.21875" style="436" customWidth="1"/>
    <col min="519" max="520" width="14.77734375" style="436" customWidth="1"/>
    <col min="521" max="521" width="14.109375" style="436" customWidth="1"/>
    <col min="522" max="768" width="8.77734375" style="436"/>
    <col min="769" max="769" width="4.109375" style="436" customWidth="1"/>
    <col min="770" max="770" width="8.77734375" style="436"/>
    <col min="771" max="771" width="16.77734375" style="436" customWidth="1"/>
    <col min="772" max="772" width="12.77734375" style="436" customWidth="1"/>
    <col min="773" max="773" width="9.77734375" style="436" customWidth="1"/>
    <col min="774" max="774" width="8.21875" style="436" customWidth="1"/>
    <col min="775" max="776" width="14.77734375" style="436" customWidth="1"/>
    <col min="777" max="777" width="14.109375" style="436" customWidth="1"/>
    <col min="778" max="1024" width="8.77734375" style="436"/>
    <col min="1025" max="1025" width="4.109375" style="436" customWidth="1"/>
    <col min="1026" max="1026" width="8.77734375" style="436"/>
    <col min="1027" max="1027" width="16.77734375" style="436" customWidth="1"/>
    <col min="1028" max="1028" width="12.77734375" style="436" customWidth="1"/>
    <col min="1029" max="1029" width="9.77734375" style="436" customWidth="1"/>
    <col min="1030" max="1030" width="8.21875" style="436" customWidth="1"/>
    <col min="1031" max="1032" width="14.77734375" style="436" customWidth="1"/>
    <col min="1033" max="1033" width="14.109375" style="436" customWidth="1"/>
    <col min="1034" max="1280" width="8.77734375" style="436"/>
    <col min="1281" max="1281" width="4.109375" style="436" customWidth="1"/>
    <col min="1282" max="1282" width="8.77734375" style="436"/>
    <col min="1283" max="1283" width="16.77734375" style="436" customWidth="1"/>
    <col min="1284" max="1284" width="12.77734375" style="436" customWidth="1"/>
    <col min="1285" max="1285" width="9.77734375" style="436" customWidth="1"/>
    <col min="1286" max="1286" width="8.21875" style="436" customWidth="1"/>
    <col min="1287" max="1288" width="14.77734375" style="436" customWidth="1"/>
    <col min="1289" max="1289" width="14.109375" style="436" customWidth="1"/>
    <col min="1290" max="1536" width="8.77734375" style="436"/>
    <col min="1537" max="1537" width="4.109375" style="436" customWidth="1"/>
    <col min="1538" max="1538" width="8.77734375" style="436"/>
    <col min="1539" max="1539" width="16.77734375" style="436" customWidth="1"/>
    <col min="1540" max="1540" width="12.77734375" style="436" customWidth="1"/>
    <col min="1541" max="1541" width="9.77734375" style="436" customWidth="1"/>
    <col min="1542" max="1542" width="8.21875" style="436" customWidth="1"/>
    <col min="1543" max="1544" width="14.77734375" style="436" customWidth="1"/>
    <col min="1545" max="1545" width="14.109375" style="436" customWidth="1"/>
    <col min="1546" max="1792" width="8.77734375" style="436"/>
    <col min="1793" max="1793" width="4.109375" style="436" customWidth="1"/>
    <col min="1794" max="1794" width="8.77734375" style="436"/>
    <col min="1795" max="1795" width="16.77734375" style="436" customWidth="1"/>
    <col min="1796" max="1796" width="12.77734375" style="436" customWidth="1"/>
    <col min="1797" max="1797" width="9.77734375" style="436" customWidth="1"/>
    <col min="1798" max="1798" width="8.21875" style="436" customWidth="1"/>
    <col min="1799" max="1800" width="14.77734375" style="436" customWidth="1"/>
    <col min="1801" max="1801" width="14.109375" style="436" customWidth="1"/>
    <col min="1802" max="2048" width="8.77734375" style="436"/>
    <col min="2049" max="2049" width="4.109375" style="436" customWidth="1"/>
    <col min="2050" max="2050" width="8.77734375" style="436"/>
    <col min="2051" max="2051" width="16.77734375" style="436" customWidth="1"/>
    <col min="2052" max="2052" width="12.77734375" style="436" customWidth="1"/>
    <col min="2053" max="2053" width="9.77734375" style="436" customWidth="1"/>
    <col min="2054" max="2054" width="8.21875" style="436" customWidth="1"/>
    <col min="2055" max="2056" width="14.77734375" style="436" customWidth="1"/>
    <col min="2057" max="2057" width="14.109375" style="436" customWidth="1"/>
    <col min="2058" max="2304" width="8.77734375" style="436"/>
    <col min="2305" max="2305" width="4.109375" style="436" customWidth="1"/>
    <col min="2306" max="2306" width="8.77734375" style="436"/>
    <col min="2307" max="2307" width="16.77734375" style="436" customWidth="1"/>
    <col min="2308" max="2308" width="12.77734375" style="436" customWidth="1"/>
    <col min="2309" max="2309" width="9.77734375" style="436" customWidth="1"/>
    <col min="2310" max="2310" width="8.21875" style="436" customWidth="1"/>
    <col min="2311" max="2312" width="14.77734375" style="436" customWidth="1"/>
    <col min="2313" max="2313" width="14.109375" style="436" customWidth="1"/>
    <col min="2314" max="2560" width="8.77734375" style="436"/>
    <col min="2561" max="2561" width="4.109375" style="436" customWidth="1"/>
    <col min="2562" max="2562" width="8.77734375" style="436"/>
    <col min="2563" max="2563" width="16.77734375" style="436" customWidth="1"/>
    <col min="2564" max="2564" width="12.77734375" style="436" customWidth="1"/>
    <col min="2565" max="2565" width="9.77734375" style="436" customWidth="1"/>
    <col min="2566" max="2566" width="8.21875" style="436" customWidth="1"/>
    <col min="2567" max="2568" width="14.77734375" style="436" customWidth="1"/>
    <col min="2569" max="2569" width="14.109375" style="436" customWidth="1"/>
    <col min="2570" max="2816" width="8.77734375" style="436"/>
    <col min="2817" max="2817" width="4.109375" style="436" customWidth="1"/>
    <col min="2818" max="2818" width="8.77734375" style="436"/>
    <col min="2819" max="2819" width="16.77734375" style="436" customWidth="1"/>
    <col min="2820" max="2820" width="12.77734375" style="436" customWidth="1"/>
    <col min="2821" max="2821" width="9.77734375" style="436" customWidth="1"/>
    <col min="2822" max="2822" width="8.21875" style="436" customWidth="1"/>
    <col min="2823" max="2824" width="14.77734375" style="436" customWidth="1"/>
    <col min="2825" max="2825" width="14.109375" style="436" customWidth="1"/>
    <col min="2826" max="3072" width="8.77734375" style="436"/>
    <col min="3073" max="3073" width="4.109375" style="436" customWidth="1"/>
    <col min="3074" max="3074" width="8.77734375" style="436"/>
    <col min="3075" max="3075" width="16.77734375" style="436" customWidth="1"/>
    <col min="3076" max="3076" width="12.77734375" style="436" customWidth="1"/>
    <col min="3077" max="3077" width="9.77734375" style="436" customWidth="1"/>
    <col min="3078" max="3078" width="8.21875" style="436" customWidth="1"/>
    <col min="3079" max="3080" width="14.77734375" style="436" customWidth="1"/>
    <col min="3081" max="3081" width="14.109375" style="436" customWidth="1"/>
    <col min="3082" max="3328" width="8.77734375" style="436"/>
    <col min="3329" max="3329" width="4.109375" style="436" customWidth="1"/>
    <col min="3330" max="3330" width="8.77734375" style="436"/>
    <col min="3331" max="3331" width="16.77734375" style="436" customWidth="1"/>
    <col min="3332" max="3332" width="12.77734375" style="436" customWidth="1"/>
    <col min="3333" max="3333" width="9.77734375" style="436" customWidth="1"/>
    <col min="3334" max="3334" width="8.21875" style="436" customWidth="1"/>
    <col min="3335" max="3336" width="14.77734375" style="436" customWidth="1"/>
    <col min="3337" max="3337" width="14.109375" style="436" customWidth="1"/>
    <col min="3338" max="3584" width="8.77734375" style="436"/>
    <col min="3585" max="3585" width="4.109375" style="436" customWidth="1"/>
    <col min="3586" max="3586" width="8.77734375" style="436"/>
    <col min="3587" max="3587" width="16.77734375" style="436" customWidth="1"/>
    <col min="3588" max="3588" width="12.77734375" style="436" customWidth="1"/>
    <col min="3589" max="3589" width="9.77734375" style="436" customWidth="1"/>
    <col min="3590" max="3590" width="8.21875" style="436" customWidth="1"/>
    <col min="3591" max="3592" width="14.77734375" style="436" customWidth="1"/>
    <col min="3593" max="3593" width="14.109375" style="436" customWidth="1"/>
    <col min="3594" max="3840" width="8.77734375" style="436"/>
    <col min="3841" max="3841" width="4.109375" style="436" customWidth="1"/>
    <col min="3842" max="3842" width="8.77734375" style="436"/>
    <col min="3843" max="3843" width="16.77734375" style="436" customWidth="1"/>
    <col min="3844" max="3844" width="12.77734375" style="436" customWidth="1"/>
    <col min="3845" max="3845" width="9.77734375" style="436" customWidth="1"/>
    <col min="3846" max="3846" width="8.21875" style="436" customWidth="1"/>
    <col min="3847" max="3848" width="14.77734375" style="436" customWidth="1"/>
    <col min="3849" max="3849" width="14.109375" style="436" customWidth="1"/>
    <col min="3850" max="4096" width="8.77734375" style="436"/>
    <col min="4097" max="4097" width="4.109375" style="436" customWidth="1"/>
    <col min="4098" max="4098" width="8.77734375" style="436"/>
    <col min="4099" max="4099" width="16.77734375" style="436" customWidth="1"/>
    <col min="4100" max="4100" width="12.77734375" style="436" customWidth="1"/>
    <col min="4101" max="4101" width="9.77734375" style="436" customWidth="1"/>
    <col min="4102" max="4102" width="8.21875" style="436" customWidth="1"/>
    <col min="4103" max="4104" width="14.77734375" style="436" customWidth="1"/>
    <col min="4105" max="4105" width="14.109375" style="436" customWidth="1"/>
    <col min="4106" max="4352" width="8.77734375" style="436"/>
    <col min="4353" max="4353" width="4.109375" style="436" customWidth="1"/>
    <col min="4354" max="4354" width="8.77734375" style="436"/>
    <col min="4355" max="4355" width="16.77734375" style="436" customWidth="1"/>
    <col min="4356" max="4356" width="12.77734375" style="436" customWidth="1"/>
    <col min="4357" max="4357" width="9.77734375" style="436" customWidth="1"/>
    <col min="4358" max="4358" width="8.21875" style="436" customWidth="1"/>
    <col min="4359" max="4360" width="14.77734375" style="436" customWidth="1"/>
    <col min="4361" max="4361" width="14.109375" style="436" customWidth="1"/>
    <col min="4362" max="4608" width="8.77734375" style="436"/>
    <col min="4609" max="4609" width="4.109375" style="436" customWidth="1"/>
    <col min="4610" max="4610" width="8.77734375" style="436"/>
    <col min="4611" max="4611" width="16.77734375" style="436" customWidth="1"/>
    <col min="4612" max="4612" width="12.77734375" style="436" customWidth="1"/>
    <col min="4613" max="4613" width="9.77734375" style="436" customWidth="1"/>
    <col min="4614" max="4614" width="8.21875" style="436" customWidth="1"/>
    <col min="4615" max="4616" width="14.77734375" style="436" customWidth="1"/>
    <col min="4617" max="4617" width="14.109375" style="436" customWidth="1"/>
    <col min="4618" max="4864" width="8.77734375" style="436"/>
    <col min="4865" max="4865" width="4.109375" style="436" customWidth="1"/>
    <col min="4866" max="4866" width="8.77734375" style="436"/>
    <col min="4867" max="4867" width="16.77734375" style="436" customWidth="1"/>
    <col min="4868" max="4868" width="12.77734375" style="436" customWidth="1"/>
    <col min="4869" max="4869" width="9.77734375" style="436" customWidth="1"/>
    <col min="4870" max="4870" width="8.21875" style="436" customWidth="1"/>
    <col min="4871" max="4872" width="14.77734375" style="436" customWidth="1"/>
    <col min="4873" max="4873" width="14.109375" style="436" customWidth="1"/>
    <col min="4874" max="5120" width="8.77734375" style="436"/>
    <col min="5121" max="5121" width="4.109375" style="436" customWidth="1"/>
    <col min="5122" max="5122" width="8.77734375" style="436"/>
    <col min="5123" max="5123" width="16.77734375" style="436" customWidth="1"/>
    <col min="5124" max="5124" width="12.77734375" style="436" customWidth="1"/>
    <col min="5125" max="5125" width="9.77734375" style="436" customWidth="1"/>
    <col min="5126" max="5126" width="8.21875" style="436" customWidth="1"/>
    <col min="5127" max="5128" width="14.77734375" style="436" customWidth="1"/>
    <col min="5129" max="5129" width="14.109375" style="436" customWidth="1"/>
    <col min="5130" max="5376" width="8.77734375" style="436"/>
    <col min="5377" max="5377" width="4.109375" style="436" customWidth="1"/>
    <col min="5378" max="5378" width="8.77734375" style="436"/>
    <col min="5379" max="5379" width="16.77734375" style="436" customWidth="1"/>
    <col min="5380" max="5380" width="12.77734375" style="436" customWidth="1"/>
    <col min="5381" max="5381" width="9.77734375" style="436" customWidth="1"/>
    <col min="5382" max="5382" width="8.21875" style="436" customWidth="1"/>
    <col min="5383" max="5384" width="14.77734375" style="436" customWidth="1"/>
    <col min="5385" max="5385" width="14.109375" style="436" customWidth="1"/>
    <col min="5386" max="5632" width="8.77734375" style="436"/>
    <col min="5633" max="5633" width="4.109375" style="436" customWidth="1"/>
    <col min="5634" max="5634" width="8.77734375" style="436"/>
    <col min="5635" max="5635" width="16.77734375" style="436" customWidth="1"/>
    <col min="5636" max="5636" width="12.77734375" style="436" customWidth="1"/>
    <col min="5637" max="5637" width="9.77734375" style="436" customWidth="1"/>
    <col min="5638" max="5638" width="8.21875" style="436" customWidth="1"/>
    <col min="5639" max="5640" width="14.77734375" style="436" customWidth="1"/>
    <col min="5641" max="5641" width="14.109375" style="436" customWidth="1"/>
    <col min="5642" max="5888" width="8.77734375" style="436"/>
    <col min="5889" max="5889" width="4.109375" style="436" customWidth="1"/>
    <col min="5890" max="5890" width="8.77734375" style="436"/>
    <col min="5891" max="5891" width="16.77734375" style="436" customWidth="1"/>
    <col min="5892" max="5892" width="12.77734375" style="436" customWidth="1"/>
    <col min="5893" max="5893" width="9.77734375" style="436" customWidth="1"/>
    <col min="5894" max="5894" width="8.21875" style="436" customWidth="1"/>
    <col min="5895" max="5896" width="14.77734375" style="436" customWidth="1"/>
    <col min="5897" max="5897" width="14.109375" style="436" customWidth="1"/>
    <col min="5898" max="6144" width="8.77734375" style="436"/>
    <col min="6145" max="6145" width="4.109375" style="436" customWidth="1"/>
    <col min="6146" max="6146" width="8.77734375" style="436"/>
    <col min="6147" max="6147" width="16.77734375" style="436" customWidth="1"/>
    <col min="6148" max="6148" width="12.77734375" style="436" customWidth="1"/>
    <col min="6149" max="6149" width="9.77734375" style="436" customWidth="1"/>
    <col min="6150" max="6150" width="8.21875" style="436" customWidth="1"/>
    <col min="6151" max="6152" width="14.77734375" style="436" customWidth="1"/>
    <col min="6153" max="6153" width="14.109375" style="436" customWidth="1"/>
    <col min="6154" max="6400" width="8.77734375" style="436"/>
    <col min="6401" max="6401" width="4.109375" style="436" customWidth="1"/>
    <col min="6402" max="6402" width="8.77734375" style="436"/>
    <col min="6403" max="6403" width="16.77734375" style="436" customWidth="1"/>
    <col min="6404" max="6404" width="12.77734375" style="436" customWidth="1"/>
    <col min="6405" max="6405" width="9.77734375" style="436" customWidth="1"/>
    <col min="6406" max="6406" width="8.21875" style="436" customWidth="1"/>
    <col min="6407" max="6408" width="14.77734375" style="436" customWidth="1"/>
    <col min="6409" max="6409" width="14.109375" style="436" customWidth="1"/>
    <col min="6410" max="6656" width="8.77734375" style="436"/>
    <col min="6657" max="6657" width="4.109375" style="436" customWidth="1"/>
    <col min="6658" max="6658" width="8.77734375" style="436"/>
    <col min="6659" max="6659" width="16.77734375" style="436" customWidth="1"/>
    <col min="6660" max="6660" width="12.77734375" style="436" customWidth="1"/>
    <col min="6661" max="6661" width="9.77734375" style="436" customWidth="1"/>
    <col min="6662" max="6662" width="8.21875" style="436" customWidth="1"/>
    <col min="6663" max="6664" width="14.77734375" style="436" customWidth="1"/>
    <col min="6665" max="6665" width="14.109375" style="436" customWidth="1"/>
    <col min="6666" max="6912" width="8.77734375" style="436"/>
    <col min="6913" max="6913" width="4.109375" style="436" customWidth="1"/>
    <col min="6914" max="6914" width="8.77734375" style="436"/>
    <col min="6915" max="6915" width="16.77734375" style="436" customWidth="1"/>
    <col min="6916" max="6916" width="12.77734375" style="436" customWidth="1"/>
    <col min="6917" max="6917" width="9.77734375" style="436" customWidth="1"/>
    <col min="6918" max="6918" width="8.21875" style="436" customWidth="1"/>
    <col min="6919" max="6920" width="14.77734375" style="436" customWidth="1"/>
    <col min="6921" max="6921" width="14.109375" style="436" customWidth="1"/>
    <col min="6922" max="7168" width="8.77734375" style="436"/>
    <col min="7169" max="7169" width="4.109375" style="436" customWidth="1"/>
    <col min="7170" max="7170" width="8.77734375" style="436"/>
    <col min="7171" max="7171" width="16.77734375" style="436" customWidth="1"/>
    <col min="7172" max="7172" width="12.77734375" style="436" customWidth="1"/>
    <col min="7173" max="7173" width="9.77734375" style="436" customWidth="1"/>
    <col min="7174" max="7174" width="8.21875" style="436" customWidth="1"/>
    <col min="7175" max="7176" width="14.77734375" style="436" customWidth="1"/>
    <col min="7177" max="7177" width="14.109375" style="436" customWidth="1"/>
    <col min="7178" max="7424" width="8.77734375" style="436"/>
    <col min="7425" max="7425" width="4.109375" style="436" customWidth="1"/>
    <col min="7426" max="7426" width="8.77734375" style="436"/>
    <col min="7427" max="7427" width="16.77734375" style="436" customWidth="1"/>
    <col min="7428" max="7428" width="12.77734375" style="436" customWidth="1"/>
    <col min="7429" max="7429" width="9.77734375" style="436" customWidth="1"/>
    <col min="7430" max="7430" width="8.21875" style="436" customWidth="1"/>
    <col min="7431" max="7432" width="14.77734375" style="436" customWidth="1"/>
    <col min="7433" max="7433" width="14.109375" style="436" customWidth="1"/>
    <col min="7434" max="7680" width="8.77734375" style="436"/>
    <col min="7681" max="7681" width="4.109375" style="436" customWidth="1"/>
    <col min="7682" max="7682" width="8.77734375" style="436"/>
    <col min="7683" max="7683" width="16.77734375" style="436" customWidth="1"/>
    <col min="7684" max="7684" width="12.77734375" style="436" customWidth="1"/>
    <col min="7685" max="7685" width="9.77734375" style="436" customWidth="1"/>
    <col min="7686" max="7686" width="8.21875" style="436" customWidth="1"/>
    <col min="7687" max="7688" width="14.77734375" style="436" customWidth="1"/>
    <col min="7689" max="7689" width="14.109375" style="436" customWidth="1"/>
    <col min="7690" max="7936" width="8.77734375" style="436"/>
    <col min="7937" max="7937" width="4.109375" style="436" customWidth="1"/>
    <col min="7938" max="7938" width="8.77734375" style="436"/>
    <col min="7939" max="7939" width="16.77734375" style="436" customWidth="1"/>
    <col min="7940" max="7940" width="12.77734375" style="436" customWidth="1"/>
    <col min="7941" max="7941" width="9.77734375" style="436" customWidth="1"/>
    <col min="7942" max="7942" width="8.21875" style="436" customWidth="1"/>
    <col min="7943" max="7944" width="14.77734375" style="436" customWidth="1"/>
    <col min="7945" max="7945" width="14.109375" style="436" customWidth="1"/>
    <col min="7946" max="8192" width="8.77734375" style="436"/>
    <col min="8193" max="8193" width="4.109375" style="436" customWidth="1"/>
    <col min="8194" max="8194" width="8.77734375" style="436"/>
    <col min="8195" max="8195" width="16.77734375" style="436" customWidth="1"/>
    <col min="8196" max="8196" width="12.77734375" style="436" customWidth="1"/>
    <col min="8197" max="8197" width="9.77734375" style="436" customWidth="1"/>
    <col min="8198" max="8198" width="8.21875" style="436" customWidth="1"/>
    <col min="8199" max="8200" width="14.77734375" style="436" customWidth="1"/>
    <col min="8201" max="8201" width="14.109375" style="436" customWidth="1"/>
    <col min="8202" max="8448" width="8.77734375" style="436"/>
    <col min="8449" max="8449" width="4.109375" style="436" customWidth="1"/>
    <col min="8450" max="8450" width="8.77734375" style="436"/>
    <col min="8451" max="8451" width="16.77734375" style="436" customWidth="1"/>
    <col min="8452" max="8452" width="12.77734375" style="436" customWidth="1"/>
    <col min="8453" max="8453" width="9.77734375" style="436" customWidth="1"/>
    <col min="8454" max="8454" width="8.21875" style="436" customWidth="1"/>
    <col min="8455" max="8456" width="14.77734375" style="436" customWidth="1"/>
    <col min="8457" max="8457" width="14.109375" style="436" customWidth="1"/>
    <col min="8458" max="8704" width="8.77734375" style="436"/>
    <col min="8705" max="8705" width="4.109375" style="436" customWidth="1"/>
    <col min="8706" max="8706" width="8.77734375" style="436"/>
    <col min="8707" max="8707" width="16.77734375" style="436" customWidth="1"/>
    <col min="8708" max="8708" width="12.77734375" style="436" customWidth="1"/>
    <col min="8709" max="8709" width="9.77734375" style="436" customWidth="1"/>
    <col min="8710" max="8710" width="8.21875" style="436" customWidth="1"/>
    <col min="8711" max="8712" width="14.77734375" style="436" customWidth="1"/>
    <col min="8713" max="8713" width="14.109375" style="436" customWidth="1"/>
    <col min="8714" max="8960" width="8.77734375" style="436"/>
    <col min="8961" max="8961" width="4.109375" style="436" customWidth="1"/>
    <col min="8962" max="8962" width="8.77734375" style="436"/>
    <col min="8963" max="8963" width="16.77734375" style="436" customWidth="1"/>
    <col min="8964" max="8964" width="12.77734375" style="436" customWidth="1"/>
    <col min="8965" max="8965" width="9.77734375" style="436" customWidth="1"/>
    <col min="8966" max="8966" width="8.21875" style="436" customWidth="1"/>
    <col min="8967" max="8968" width="14.77734375" style="436" customWidth="1"/>
    <col min="8969" max="8969" width="14.109375" style="436" customWidth="1"/>
    <col min="8970" max="9216" width="8.77734375" style="436"/>
    <col min="9217" max="9217" width="4.109375" style="436" customWidth="1"/>
    <col min="9218" max="9218" width="8.77734375" style="436"/>
    <col min="9219" max="9219" width="16.77734375" style="436" customWidth="1"/>
    <col min="9220" max="9220" width="12.77734375" style="436" customWidth="1"/>
    <col min="9221" max="9221" width="9.77734375" style="436" customWidth="1"/>
    <col min="9222" max="9222" width="8.21875" style="436" customWidth="1"/>
    <col min="9223" max="9224" width="14.77734375" style="436" customWidth="1"/>
    <col min="9225" max="9225" width="14.109375" style="436" customWidth="1"/>
    <col min="9226" max="9472" width="8.77734375" style="436"/>
    <col min="9473" max="9473" width="4.109375" style="436" customWidth="1"/>
    <col min="9474" max="9474" width="8.77734375" style="436"/>
    <col min="9475" max="9475" width="16.77734375" style="436" customWidth="1"/>
    <col min="9476" max="9476" width="12.77734375" style="436" customWidth="1"/>
    <col min="9477" max="9477" width="9.77734375" style="436" customWidth="1"/>
    <col min="9478" max="9478" width="8.21875" style="436" customWidth="1"/>
    <col min="9479" max="9480" width="14.77734375" style="436" customWidth="1"/>
    <col min="9481" max="9481" width="14.109375" style="436" customWidth="1"/>
    <col min="9482" max="9728" width="8.77734375" style="436"/>
    <col min="9729" max="9729" width="4.109375" style="436" customWidth="1"/>
    <col min="9730" max="9730" width="8.77734375" style="436"/>
    <col min="9731" max="9731" width="16.77734375" style="436" customWidth="1"/>
    <col min="9732" max="9732" width="12.77734375" style="436" customWidth="1"/>
    <col min="9733" max="9733" width="9.77734375" style="436" customWidth="1"/>
    <col min="9734" max="9734" width="8.21875" style="436" customWidth="1"/>
    <col min="9735" max="9736" width="14.77734375" style="436" customWidth="1"/>
    <col min="9737" max="9737" width="14.109375" style="436" customWidth="1"/>
    <col min="9738" max="9984" width="8.77734375" style="436"/>
    <col min="9985" max="9985" width="4.109375" style="436" customWidth="1"/>
    <col min="9986" max="9986" width="8.77734375" style="436"/>
    <col min="9987" max="9987" width="16.77734375" style="436" customWidth="1"/>
    <col min="9988" max="9988" width="12.77734375" style="436" customWidth="1"/>
    <col min="9989" max="9989" width="9.77734375" style="436" customWidth="1"/>
    <col min="9990" max="9990" width="8.21875" style="436" customWidth="1"/>
    <col min="9991" max="9992" width="14.77734375" style="436" customWidth="1"/>
    <col min="9993" max="9993" width="14.109375" style="436" customWidth="1"/>
    <col min="9994" max="10240" width="8.77734375" style="436"/>
    <col min="10241" max="10241" width="4.109375" style="436" customWidth="1"/>
    <col min="10242" max="10242" width="8.77734375" style="436"/>
    <col min="10243" max="10243" width="16.77734375" style="436" customWidth="1"/>
    <col min="10244" max="10244" width="12.77734375" style="436" customWidth="1"/>
    <col min="10245" max="10245" width="9.77734375" style="436" customWidth="1"/>
    <col min="10246" max="10246" width="8.21875" style="436" customWidth="1"/>
    <col min="10247" max="10248" width="14.77734375" style="436" customWidth="1"/>
    <col min="10249" max="10249" width="14.109375" style="436" customWidth="1"/>
    <col min="10250" max="10496" width="8.77734375" style="436"/>
    <col min="10497" max="10497" width="4.109375" style="436" customWidth="1"/>
    <col min="10498" max="10498" width="8.77734375" style="436"/>
    <col min="10499" max="10499" width="16.77734375" style="436" customWidth="1"/>
    <col min="10500" max="10500" width="12.77734375" style="436" customWidth="1"/>
    <col min="10501" max="10501" width="9.77734375" style="436" customWidth="1"/>
    <col min="10502" max="10502" width="8.21875" style="436" customWidth="1"/>
    <col min="10503" max="10504" width="14.77734375" style="436" customWidth="1"/>
    <col min="10505" max="10505" width="14.109375" style="436" customWidth="1"/>
    <col min="10506" max="10752" width="8.77734375" style="436"/>
    <col min="10753" max="10753" width="4.109375" style="436" customWidth="1"/>
    <col min="10754" max="10754" width="8.77734375" style="436"/>
    <col min="10755" max="10755" width="16.77734375" style="436" customWidth="1"/>
    <col min="10756" max="10756" width="12.77734375" style="436" customWidth="1"/>
    <col min="10757" max="10757" width="9.77734375" style="436" customWidth="1"/>
    <col min="10758" max="10758" width="8.21875" style="436" customWidth="1"/>
    <col min="10759" max="10760" width="14.77734375" style="436" customWidth="1"/>
    <col min="10761" max="10761" width="14.109375" style="436" customWidth="1"/>
    <col min="10762" max="11008" width="8.77734375" style="436"/>
    <col min="11009" max="11009" width="4.109375" style="436" customWidth="1"/>
    <col min="11010" max="11010" width="8.77734375" style="436"/>
    <col min="11011" max="11011" width="16.77734375" style="436" customWidth="1"/>
    <col min="11012" max="11012" width="12.77734375" style="436" customWidth="1"/>
    <col min="11013" max="11013" width="9.77734375" style="436" customWidth="1"/>
    <col min="11014" max="11014" width="8.21875" style="436" customWidth="1"/>
    <col min="11015" max="11016" width="14.77734375" style="436" customWidth="1"/>
    <col min="11017" max="11017" width="14.109375" style="436" customWidth="1"/>
    <col min="11018" max="11264" width="8.77734375" style="436"/>
    <col min="11265" max="11265" width="4.109375" style="436" customWidth="1"/>
    <col min="11266" max="11266" width="8.77734375" style="436"/>
    <col min="11267" max="11267" width="16.77734375" style="436" customWidth="1"/>
    <col min="11268" max="11268" width="12.77734375" style="436" customWidth="1"/>
    <col min="11269" max="11269" width="9.77734375" style="436" customWidth="1"/>
    <col min="11270" max="11270" width="8.21875" style="436" customWidth="1"/>
    <col min="11271" max="11272" width="14.77734375" style="436" customWidth="1"/>
    <col min="11273" max="11273" width="14.109375" style="436" customWidth="1"/>
    <col min="11274" max="11520" width="8.77734375" style="436"/>
    <col min="11521" max="11521" width="4.109375" style="436" customWidth="1"/>
    <col min="11522" max="11522" width="8.77734375" style="436"/>
    <col min="11523" max="11523" width="16.77734375" style="436" customWidth="1"/>
    <col min="11524" max="11524" width="12.77734375" style="436" customWidth="1"/>
    <col min="11525" max="11525" width="9.77734375" style="436" customWidth="1"/>
    <col min="11526" max="11526" width="8.21875" style="436" customWidth="1"/>
    <col min="11527" max="11528" width="14.77734375" style="436" customWidth="1"/>
    <col min="11529" max="11529" width="14.109375" style="436" customWidth="1"/>
    <col min="11530" max="11776" width="8.77734375" style="436"/>
    <col min="11777" max="11777" width="4.109375" style="436" customWidth="1"/>
    <col min="11778" max="11778" width="8.77734375" style="436"/>
    <col min="11779" max="11779" width="16.77734375" style="436" customWidth="1"/>
    <col min="11780" max="11780" width="12.77734375" style="436" customWidth="1"/>
    <col min="11781" max="11781" width="9.77734375" style="436" customWidth="1"/>
    <col min="11782" max="11782" width="8.21875" style="436" customWidth="1"/>
    <col min="11783" max="11784" width="14.77734375" style="436" customWidth="1"/>
    <col min="11785" max="11785" width="14.109375" style="436" customWidth="1"/>
    <col min="11786" max="12032" width="8.77734375" style="436"/>
    <col min="12033" max="12033" width="4.109375" style="436" customWidth="1"/>
    <col min="12034" max="12034" width="8.77734375" style="436"/>
    <col min="12035" max="12035" width="16.77734375" style="436" customWidth="1"/>
    <col min="12036" max="12036" width="12.77734375" style="436" customWidth="1"/>
    <col min="12037" max="12037" width="9.77734375" style="436" customWidth="1"/>
    <col min="12038" max="12038" width="8.21875" style="436" customWidth="1"/>
    <col min="12039" max="12040" width="14.77734375" style="436" customWidth="1"/>
    <col min="12041" max="12041" width="14.109375" style="436" customWidth="1"/>
    <col min="12042" max="12288" width="8.77734375" style="436"/>
    <col min="12289" max="12289" width="4.109375" style="436" customWidth="1"/>
    <col min="12290" max="12290" width="8.77734375" style="436"/>
    <col min="12291" max="12291" width="16.77734375" style="436" customWidth="1"/>
    <col min="12292" max="12292" width="12.77734375" style="436" customWidth="1"/>
    <col min="12293" max="12293" width="9.77734375" style="436" customWidth="1"/>
    <col min="12294" max="12294" width="8.21875" style="436" customWidth="1"/>
    <col min="12295" max="12296" width="14.77734375" style="436" customWidth="1"/>
    <col min="12297" max="12297" width="14.109375" style="436" customWidth="1"/>
    <col min="12298" max="12544" width="8.77734375" style="436"/>
    <col min="12545" max="12545" width="4.109375" style="436" customWidth="1"/>
    <col min="12546" max="12546" width="8.77734375" style="436"/>
    <col min="12547" max="12547" width="16.77734375" style="436" customWidth="1"/>
    <col min="12548" max="12548" width="12.77734375" style="436" customWidth="1"/>
    <col min="12549" max="12549" width="9.77734375" style="436" customWidth="1"/>
    <col min="12550" max="12550" width="8.21875" style="436" customWidth="1"/>
    <col min="12551" max="12552" width="14.77734375" style="436" customWidth="1"/>
    <col min="12553" max="12553" width="14.109375" style="436" customWidth="1"/>
    <col min="12554" max="12800" width="8.77734375" style="436"/>
    <col min="12801" max="12801" width="4.109375" style="436" customWidth="1"/>
    <col min="12802" max="12802" width="8.77734375" style="436"/>
    <col min="12803" max="12803" width="16.77734375" style="436" customWidth="1"/>
    <col min="12804" max="12804" width="12.77734375" style="436" customWidth="1"/>
    <col min="12805" max="12805" width="9.77734375" style="436" customWidth="1"/>
    <col min="12806" max="12806" width="8.21875" style="436" customWidth="1"/>
    <col min="12807" max="12808" width="14.77734375" style="436" customWidth="1"/>
    <col min="12809" max="12809" width="14.109375" style="436" customWidth="1"/>
    <col min="12810" max="13056" width="8.77734375" style="436"/>
    <col min="13057" max="13057" width="4.109375" style="436" customWidth="1"/>
    <col min="13058" max="13058" width="8.77734375" style="436"/>
    <col min="13059" max="13059" width="16.77734375" style="436" customWidth="1"/>
    <col min="13060" max="13060" width="12.77734375" style="436" customWidth="1"/>
    <col min="13061" max="13061" width="9.77734375" style="436" customWidth="1"/>
    <col min="13062" max="13062" width="8.21875" style="436" customWidth="1"/>
    <col min="13063" max="13064" width="14.77734375" style="436" customWidth="1"/>
    <col min="13065" max="13065" width="14.109375" style="436" customWidth="1"/>
    <col min="13066" max="13312" width="8.77734375" style="436"/>
    <col min="13313" max="13313" width="4.109375" style="436" customWidth="1"/>
    <col min="13314" max="13314" width="8.77734375" style="436"/>
    <col min="13315" max="13315" width="16.77734375" style="436" customWidth="1"/>
    <col min="13316" max="13316" width="12.77734375" style="436" customWidth="1"/>
    <col min="13317" max="13317" width="9.77734375" style="436" customWidth="1"/>
    <col min="13318" max="13318" width="8.21875" style="436" customWidth="1"/>
    <col min="13319" max="13320" width="14.77734375" style="436" customWidth="1"/>
    <col min="13321" max="13321" width="14.109375" style="436" customWidth="1"/>
    <col min="13322" max="13568" width="8.77734375" style="436"/>
    <col min="13569" max="13569" width="4.109375" style="436" customWidth="1"/>
    <col min="13570" max="13570" width="8.77734375" style="436"/>
    <col min="13571" max="13571" width="16.77734375" style="436" customWidth="1"/>
    <col min="13572" max="13572" width="12.77734375" style="436" customWidth="1"/>
    <col min="13573" max="13573" width="9.77734375" style="436" customWidth="1"/>
    <col min="13574" max="13574" width="8.21875" style="436" customWidth="1"/>
    <col min="13575" max="13576" width="14.77734375" style="436" customWidth="1"/>
    <col min="13577" max="13577" width="14.109375" style="436" customWidth="1"/>
    <col min="13578" max="13824" width="8.77734375" style="436"/>
    <col min="13825" max="13825" width="4.109375" style="436" customWidth="1"/>
    <col min="13826" max="13826" width="8.77734375" style="436"/>
    <col min="13827" max="13827" width="16.77734375" style="436" customWidth="1"/>
    <col min="13828" max="13828" width="12.77734375" style="436" customWidth="1"/>
    <col min="13829" max="13829" width="9.77734375" style="436" customWidth="1"/>
    <col min="13830" max="13830" width="8.21875" style="436" customWidth="1"/>
    <col min="13831" max="13832" width="14.77734375" style="436" customWidth="1"/>
    <col min="13833" max="13833" width="14.109375" style="436" customWidth="1"/>
    <col min="13834" max="14080" width="8.77734375" style="436"/>
    <col min="14081" max="14081" width="4.109375" style="436" customWidth="1"/>
    <col min="14082" max="14082" width="8.77734375" style="436"/>
    <col min="14083" max="14083" width="16.77734375" style="436" customWidth="1"/>
    <col min="14084" max="14084" width="12.77734375" style="436" customWidth="1"/>
    <col min="14085" max="14085" width="9.77734375" style="436" customWidth="1"/>
    <col min="14086" max="14086" width="8.21875" style="436" customWidth="1"/>
    <col min="14087" max="14088" width="14.77734375" style="436" customWidth="1"/>
    <col min="14089" max="14089" width="14.109375" style="436" customWidth="1"/>
    <col min="14090" max="14336" width="8.77734375" style="436"/>
    <col min="14337" max="14337" width="4.109375" style="436" customWidth="1"/>
    <col min="14338" max="14338" width="8.77734375" style="436"/>
    <col min="14339" max="14339" width="16.77734375" style="436" customWidth="1"/>
    <col min="14340" max="14340" width="12.77734375" style="436" customWidth="1"/>
    <col min="14341" max="14341" width="9.77734375" style="436" customWidth="1"/>
    <col min="14342" max="14342" width="8.21875" style="436" customWidth="1"/>
    <col min="14343" max="14344" width="14.77734375" style="436" customWidth="1"/>
    <col min="14345" max="14345" width="14.109375" style="436" customWidth="1"/>
    <col min="14346" max="14592" width="8.77734375" style="436"/>
    <col min="14593" max="14593" width="4.109375" style="436" customWidth="1"/>
    <col min="14594" max="14594" width="8.77734375" style="436"/>
    <col min="14595" max="14595" width="16.77734375" style="436" customWidth="1"/>
    <col min="14596" max="14596" width="12.77734375" style="436" customWidth="1"/>
    <col min="14597" max="14597" width="9.77734375" style="436" customWidth="1"/>
    <col min="14598" max="14598" width="8.21875" style="436" customWidth="1"/>
    <col min="14599" max="14600" width="14.77734375" style="436" customWidth="1"/>
    <col min="14601" max="14601" width="14.109375" style="436" customWidth="1"/>
    <col min="14602" max="14848" width="8.77734375" style="436"/>
    <col min="14849" max="14849" width="4.109375" style="436" customWidth="1"/>
    <col min="14850" max="14850" width="8.77734375" style="436"/>
    <col min="14851" max="14851" width="16.77734375" style="436" customWidth="1"/>
    <col min="14852" max="14852" width="12.77734375" style="436" customWidth="1"/>
    <col min="14853" max="14853" width="9.77734375" style="436" customWidth="1"/>
    <col min="14854" max="14854" width="8.21875" style="436" customWidth="1"/>
    <col min="14855" max="14856" width="14.77734375" style="436" customWidth="1"/>
    <col min="14857" max="14857" width="14.109375" style="436" customWidth="1"/>
    <col min="14858" max="15104" width="8.77734375" style="436"/>
    <col min="15105" max="15105" width="4.109375" style="436" customWidth="1"/>
    <col min="15106" max="15106" width="8.77734375" style="436"/>
    <col min="15107" max="15107" width="16.77734375" style="436" customWidth="1"/>
    <col min="15108" max="15108" width="12.77734375" style="436" customWidth="1"/>
    <col min="15109" max="15109" width="9.77734375" style="436" customWidth="1"/>
    <col min="15110" max="15110" width="8.21875" style="436" customWidth="1"/>
    <col min="15111" max="15112" width="14.77734375" style="436" customWidth="1"/>
    <col min="15113" max="15113" width="14.109375" style="436" customWidth="1"/>
    <col min="15114" max="15360" width="8.77734375" style="436"/>
    <col min="15361" max="15361" width="4.109375" style="436" customWidth="1"/>
    <col min="15362" max="15362" width="8.77734375" style="436"/>
    <col min="15363" max="15363" width="16.77734375" style="436" customWidth="1"/>
    <col min="15364" max="15364" width="12.77734375" style="436" customWidth="1"/>
    <col min="15365" max="15365" width="9.77734375" style="436" customWidth="1"/>
    <col min="15366" max="15366" width="8.21875" style="436" customWidth="1"/>
    <col min="15367" max="15368" width="14.77734375" style="436" customWidth="1"/>
    <col min="15369" max="15369" width="14.109375" style="436" customWidth="1"/>
    <col min="15370" max="15616" width="8.77734375" style="436"/>
    <col min="15617" max="15617" width="4.109375" style="436" customWidth="1"/>
    <col min="15618" max="15618" width="8.77734375" style="436"/>
    <col min="15619" max="15619" width="16.77734375" style="436" customWidth="1"/>
    <col min="15620" max="15620" width="12.77734375" style="436" customWidth="1"/>
    <col min="15621" max="15621" width="9.77734375" style="436" customWidth="1"/>
    <col min="15622" max="15622" width="8.21875" style="436" customWidth="1"/>
    <col min="15623" max="15624" width="14.77734375" style="436" customWidth="1"/>
    <col min="15625" max="15625" width="14.109375" style="436" customWidth="1"/>
    <col min="15626" max="15872" width="8.77734375" style="436"/>
    <col min="15873" max="15873" width="4.109375" style="436" customWidth="1"/>
    <col min="15874" max="15874" width="8.77734375" style="436"/>
    <col min="15875" max="15875" width="16.77734375" style="436" customWidth="1"/>
    <col min="15876" max="15876" width="12.77734375" style="436" customWidth="1"/>
    <col min="15877" max="15877" width="9.77734375" style="436" customWidth="1"/>
    <col min="15878" max="15878" width="8.21875" style="436" customWidth="1"/>
    <col min="15879" max="15880" width="14.77734375" style="436" customWidth="1"/>
    <col min="15881" max="15881" width="14.109375" style="436" customWidth="1"/>
    <col min="15882" max="16128" width="8.77734375" style="436"/>
    <col min="16129" max="16129" width="4.109375" style="436" customWidth="1"/>
    <col min="16130" max="16130" width="8.77734375" style="436"/>
    <col min="16131" max="16131" width="16.77734375" style="436" customWidth="1"/>
    <col min="16132" max="16132" width="12.77734375" style="436" customWidth="1"/>
    <col min="16133" max="16133" width="9.77734375" style="436" customWidth="1"/>
    <col min="16134" max="16134" width="8.21875" style="436" customWidth="1"/>
    <col min="16135" max="16136" width="14.77734375" style="436" customWidth="1"/>
    <col min="16137" max="16137" width="14.109375" style="436" customWidth="1"/>
    <col min="16138" max="16384" width="8.77734375" style="436"/>
  </cols>
  <sheetData>
    <row r="1" spans="1:9" x14ac:dyDescent="0.25">
      <c r="A1" s="447" t="s">
        <v>259</v>
      </c>
      <c r="B1" s="448"/>
      <c r="C1" s="448"/>
      <c r="D1" s="448"/>
      <c r="E1" s="448"/>
      <c r="F1" s="448"/>
      <c r="G1" s="448"/>
      <c r="H1" s="448"/>
      <c r="I1" s="448"/>
    </row>
    <row r="2" spans="1:9" x14ac:dyDescent="0.25">
      <c r="A2" s="449"/>
      <c r="B2" s="448"/>
      <c r="C2" s="448"/>
      <c r="D2" s="448"/>
      <c r="E2" s="448"/>
      <c r="F2" s="448"/>
      <c r="G2" s="448"/>
      <c r="H2" s="448"/>
      <c r="I2" s="448"/>
    </row>
    <row r="3" spans="1:9" x14ac:dyDescent="0.25">
      <c r="A3" s="447" t="s">
        <v>260</v>
      </c>
      <c r="B3" s="448"/>
      <c r="C3" s="448"/>
      <c r="D3" s="448"/>
      <c r="E3" s="448"/>
      <c r="F3" s="448"/>
      <c r="G3" s="448"/>
      <c r="H3" s="448"/>
      <c r="I3" s="448"/>
    </row>
    <row r="4" spans="1:9" x14ac:dyDescent="0.25">
      <c r="A4" s="450" t="s">
        <v>261</v>
      </c>
      <c r="B4" s="448"/>
      <c r="C4" s="448"/>
      <c r="D4" s="448"/>
      <c r="E4" s="448"/>
      <c r="F4" s="448"/>
      <c r="G4" s="448"/>
      <c r="H4" s="448"/>
      <c r="I4" s="448"/>
    </row>
    <row r="5" spans="1:9" x14ac:dyDescent="0.25">
      <c r="A5" s="448"/>
      <c r="B5" s="448"/>
      <c r="C5" s="448"/>
      <c r="D5" s="448"/>
      <c r="E5" s="448"/>
      <c r="F5" s="448"/>
      <c r="G5" s="448"/>
      <c r="H5" s="448"/>
      <c r="I5" s="448"/>
    </row>
    <row r="6" spans="1:9" x14ac:dyDescent="0.25">
      <c r="A6" s="448"/>
      <c r="B6" s="448"/>
      <c r="C6" s="451" t="s">
        <v>262</v>
      </c>
      <c r="D6" s="452" t="str">
        <f>IF(Info!$B$7=""," ",Info!$B$7)</f>
        <v>ABC Mental Health Center</v>
      </c>
      <c r="E6" s="453"/>
      <c r="F6" s="453"/>
      <c r="G6" s="448"/>
      <c r="H6" s="454" t="s">
        <v>263</v>
      </c>
      <c r="I6" s="455" t="s">
        <v>294</v>
      </c>
    </row>
    <row r="7" spans="1:9" x14ac:dyDescent="0.25">
      <c r="A7" s="448"/>
      <c r="B7" s="448"/>
      <c r="C7" s="456"/>
      <c r="D7" s="448"/>
      <c r="E7" s="448"/>
      <c r="F7" s="448"/>
      <c r="G7" s="448"/>
      <c r="H7" s="454"/>
      <c r="I7" s="457"/>
    </row>
    <row r="8" spans="1:9" x14ac:dyDescent="0.25">
      <c r="A8" s="448"/>
      <c r="B8" s="448"/>
      <c r="C8" s="451" t="s">
        <v>264</v>
      </c>
      <c r="D8" s="458" t="str">
        <f>IF(Info!$B$8=""," ",Info!$B$8)</f>
        <v>00100</v>
      </c>
      <c r="E8" s="459"/>
      <c r="F8" s="459"/>
      <c r="G8" s="448"/>
      <c r="H8" s="454"/>
      <c r="I8" s="457"/>
    </row>
    <row r="9" spans="1:9" x14ac:dyDescent="0.25">
      <c r="A9" s="448"/>
      <c r="B9" s="448"/>
      <c r="C9" s="456"/>
      <c r="D9" s="448"/>
      <c r="E9" s="448"/>
      <c r="F9" s="448"/>
      <c r="G9" s="448"/>
      <c r="H9" s="454"/>
      <c r="I9" s="457"/>
    </row>
    <row r="10" spans="1:9" ht="16.5" thickBot="1" x14ac:dyDescent="0.3">
      <c r="A10" s="448"/>
      <c r="B10" s="448"/>
      <c r="C10" s="448"/>
      <c r="D10" s="448"/>
      <c r="E10" s="448"/>
      <c r="F10" s="448"/>
      <c r="G10" s="448"/>
      <c r="H10" s="448"/>
      <c r="I10" s="448"/>
    </row>
    <row r="11" spans="1:9" x14ac:dyDescent="0.25">
      <c r="A11" s="460"/>
      <c r="B11" s="461"/>
      <c r="C11" s="461"/>
      <c r="D11" s="461"/>
      <c r="E11" s="461"/>
      <c r="F11" s="462"/>
      <c r="G11" s="463" t="s">
        <v>265</v>
      </c>
      <c r="H11" s="464" t="s">
        <v>266</v>
      </c>
      <c r="I11" s="464" t="s">
        <v>267</v>
      </c>
    </row>
    <row r="12" spans="1:9" x14ac:dyDescent="0.25">
      <c r="A12" s="465"/>
      <c r="B12" s="448"/>
      <c r="C12" s="448"/>
      <c r="D12" s="448"/>
      <c r="E12" s="448"/>
      <c r="F12" s="466"/>
      <c r="G12" s="467" t="s">
        <v>268</v>
      </c>
      <c r="H12" s="468"/>
      <c r="I12" s="467" t="s">
        <v>258</v>
      </c>
    </row>
    <row r="13" spans="1:9" ht="26.25" x14ac:dyDescent="0.4">
      <c r="A13" s="469"/>
      <c r="B13" s="470" t="s">
        <v>269</v>
      </c>
      <c r="C13" s="471"/>
      <c r="D13" s="472"/>
      <c r="E13" s="472"/>
      <c r="F13" s="473"/>
      <c r="G13" s="467" t="s">
        <v>270</v>
      </c>
      <c r="H13" s="467" t="s">
        <v>271</v>
      </c>
      <c r="I13" s="467" t="s">
        <v>272</v>
      </c>
    </row>
    <row r="14" spans="1:9" ht="16.5" thickBot="1" x14ac:dyDescent="0.3">
      <c r="A14" s="474"/>
      <c r="B14" s="475"/>
      <c r="C14" s="475"/>
      <c r="D14" s="475"/>
      <c r="E14" s="475"/>
      <c r="F14" s="476"/>
      <c r="G14" s="477" t="s">
        <v>273</v>
      </c>
      <c r="H14" s="476"/>
      <c r="I14" s="476"/>
    </row>
    <row r="15" spans="1:9" ht="21" thickBot="1" x14ac:dyDescent="0.35">
      <c r="A15" s="448"/>
      <c r="B15" s="478" t="s">
        <v>274</v>
      </c>
      <c r="C15" s="479"/>
      <c r="D15" s="479"/>
      <c r="E15" s="448"/>
      <c r="F15" s="448"/>
      <c r="G15" s="448"/>
      <c r="H15" s="480"/>
      <c r="I15" s="480"/>
    </row>
    <row r="16" spans="1:9" ht="28.15" customHeight="1" thickTop="1" x14ac:dyDescent="0.25">
      <c r="A16" s="481">
        <v>1</v>
      </c>
      <c r="B16" s="482" t="s">
        <v>275</v>
      </c>
      <c r="C16" s="483"/>
      <c r="D16" s="483"/>
      <c r="E16" s="483"/>
      <c r="F16" s="483"/>
      <c r="G16" s="60">
        <v>85387084</v>
      </c>
      <c r="H16" s="60">
        <v>62027375</v>
      </c>
      <c r="I16" s="484">
        <f>SUM(G16:H16)</f>
        <v>147414459</v>
      </c>
    </row>
    <row r="17" spans="1:10" ht="28.15" customHeight="1" x14ac:dyDescent="0.25">
      <c r="A17" s="485">
        <v>2</v>
      </c>
      <c r="B17" s="486" t="s">
        <v>276</v>
      </c>
      <c r="C17" s="487"/>
      <c r="D17" s="487"/>
      <c r="E17" s="487"/>
      <c r="F17" s="487"/>
      <c r="G17" s="61">
        <v>7176202</v>
      </c>
      <c r="H17" s="61">
        <v>6931222</v>
      </c>
      <c r="I17" s="488">
        <f>SUM(G17:H17)</f>
        <v>14107424</v>
      </c>
    </row>
    <row r="18" spans="1:10" ht="28.15" customHeight="1" x14ac:dyDescent="0.25">
      <c r="A18" s="485">
        <v>3</v>
      </c>
      <c r="B18" s="486" t="s">
        <v>277</v>
      </c>
      <c r="C18" s="487"/>
      <c r="D18" s="487"/>
      <c r="E18" s="487"/>
      <c r="F18" s="487"/>
      <c r="G18" s="61"/>
      <c r="H18" s="61"/>
      <c r="I18" s="488">
        <f>SUM(G18:H18)</f>
        <v>0</v>
      </c>
    </row>
    <row r="19" spans="1:10" ht="28.15" customHeight="1" x14ac:dyDescent="0.25">
      <c r="A19" s="485">
        <v>4</v>
      </c>
      <c r="B19" s="486" t="s">
        <v>278</v>
      </c>
      <c r="C19" s="487"/>
      <c r="D19" s="487"/>
      <c r="E19" s="487"/>
      <c r="F19" s="487"/>
      <c r="G19" s="61">
        <v>45401193</v>
      </c>
      <c r="H19" s="61">
        <v>43967166</v>
      </c>
      <c r="I19" s="488">
        <f>SUM(G19:H19)</f>
        <v>89368359</v>
      </c>
    </row>
    <row r="20" spans="1:10" ht="28.15" customHeight="1" thickBot="1" x14ac:dyDescent="0.3">
      <c r="A20" s="489">
        <v>5</v>
      </c>
      <c r="B20" s="490" t="s">
        <v>279</v>
      </c>
      <c r="C20" s="490"/>
      <c r="D20" s="490"/>
      <c r="E20" s="490"/>
      <c r="F20" s="491"/>
      <c r="G20" s="17">
        <f>G16-SUM(G17:G19)</f>
        <v>32809689</v>
      </c>
      <c r="H20" s="17">
        <f>H16-SUM(H17:H19)</f>
        <v>11128987</v>
      </c>
      <c r="I20" s="492">
        <f>SUM(G20:H20)</f>
        <v>43938676</v>
      </c>
    </row>
    <row r="21" spans="1:10" ht="24.75" customHeight="1" thickTop="1" thickBot="1" x14ac:dyDescent="0.35">
      <c r="A21" s="448"/>
      <c r="B21" s="478" t="s">
        <v>280</v>
      </c>
      <c r="C21" s="479"/>
      <c r="D21" s="479"/>
      <c r="E21" s="479"/>
      <c r="F21" s="479"/>
      <c r="G21" s="493"/>
      <c r="H21" s="493"/>
      <c r="I21" s="493"/>
    </row>
    <row r="22" spans="1:10" ht="28.15" customHeight="1" thickTop="1" x14ac:dyDescent="0.25">
      <c r="A22" s="481">
        <v>6</v>
      </c>
      <c r="B22" s="482" t="s">
        <v>281</v>
      </c>
      <c r="C22" s="494"/>
      <c r="D22" s="494"/>
      <c r="E22" s="494"/>
      <c r="F22" s="495"/>
      <c r="G22" s="18">
        <f>G17</f>
        <v>7176202</v>
      </c>
      <c r="H22" s="18">
        <f>H17</f>
        <v>6931222</v>
      </c>
      <c r="I22" s="496">
        <f>SUM(G22:H22)</f>
        <v>14107424</v>
      </c>
    </row>
    <row r="23" spans="1:10" ht="28.15" customHeight="1" x14ac:dyDescent="0.25">
      <c r="A23" s="497">
        <v>7</v>
      </c>
      <c r="B23" s="498" t="s">
        <v>282</v>
      </c>
      <c r="C23" s="453"/>
      <c r="D23" s="453"/>
      <c r="E23" s="453"/>
      <c r="F23" s="453"/>
      <c r="G23" s="61"/>
      <c r="H23" s="61"/>
      <c r="I23" s="488">
        <f>SUM(G23:H23)</f>
        <v>0</v>
      </c>
    </row>
    <row r="24" spans="1:10" ht="28.15" customHeight="1" x14ac:dyDescent="0.25">
      <c r="A24" s="485">
        <v>8</v>
      </c>
      <c r="B24" s="498" t="s">
        <v>283</v>
      </c>
      <c r="C24" s="453"/>
      <c r="D24" s="453"/>
      <c r="E24" s="453"/>
      <c r="F24" s="453"/>
      <c r="G24" s="61"/>
      <c r="H24" s="61"/>
      <c r="I24" s="488">
        <f>SUM(G24:H24)</f>
        <v>0</v>
      </c>
    </row>
    <row r="25" spans="1:10" ht="28.15" customHeight="1" thickBot="1" x14ac:dyDescent="0.3">
      <c r="A25" s="489">
        <v>9</v>
      </c>
      <c r="B25" s="499" t="s">
        <v>284</v>
      </c>
      <c r="C25" s="500"/>
      <c r="D25" s="500"/>
      <c r="E25" s="500"/>
      <c r="F25" s="501"/>
      <c r="G25" s="17">
        <f>G22-SUM(G23:G24)</f>
        <v>7176202</v>
      </c>
      <c r="H25" s="17">
        <f>H22-SUM(H23:H24)</f>
        <v>6931222</v>
      </c>
      <c r="I25" s="502">
        <f>SUM(G25:H25)</f>
        <v>14107424</v>
      </c>
    </row>
    <row r="26" spans="1:10" ht="24.75" customHeight="1" thickTop="1" thickBot="1" x14ac:dyDescent="0.35">
      <c r="A26" s="448"/>
      <c r="B26" s="478" t="s">
        <v>285</v>
      </c>
      <c r="C26" s="503"/>
      <c r="D26" s="503"/>
      <c r="E26" s="503"/>
      <c r="F26" s="448"/>
      <c r="G26" s="493"/>
      <c r="H26" s="493"/>
      <c r="I26" s="493"/>
    </row>
    <row r="27" spans="1:10" ht="28.15" customHeight="1" thickTop="1" x14ac:dyDescent="0.25">
      <c r="A27" s="481">
        <v>10</v>
      </c>
      <c r="B27" s="504" t="s">
        <v>286</v>
      </c>
      <c r="C27" s="494"/>
      <c r="D27" s="494"/>
      <c r="E27" s="494"/>
      <c r="F27" s="495"/>
      <c r="G27" s="505">
        <f>G16</f>
        <v>85387084</v>
      </c>
      <c r="H27" s="505">
        <f>H16</f>
        <v>62027375</v>
      </c>
      <c r="I27" s="484">
        <f t="shared" ref="I27:I32" si="0">SUM(G27:H27)</f>
        <v>147414459</v>
      </c>
    </row>
    <row r="28" spans="1:10" ht="28.15" customHeight="1" x14ac:dyDescent="0.25">
      <c r="A28" s="485">
        <v>11</v>
      </c>
      <c r="B28" s="506" t="s">
        <v>287</v>
      </c>
      <c r="C28" s="448"/>
      <c r="D28" s="448"/>
      <c r="E28" s="448"/>
      <c r="F28" s="466"/>
      <c r="G28" s="507">
        <f>G18+G23</f>
        <v>0</v>
      </c>
      <c r="H28" s="507">
        <f>H18+H23</f>
        <v>0</v>
      </c>
      <c r="I28" s="508">
        <f t="shared" si="0"/>
        <v>0</v>
      </c>
    </row>
    <row r="29" spans="1:10" ht="28.15" customHeight="1" x14ac:dyDescent="0.25">
      <c r="A29" s="497">
        <v>12</v>
      </c>
      <c r="B29" s="509" t="s">
        <v>288</v>
      </c>
      <c r="C29" s="510"/>
      <c r="D29" s="510"/>
      <c r="E29" s="510"/>
      <c r="F29" s="511"/>
      <c r="G29" s="512">
        <f>G19+G24</f>
        <v>45401193</v>
      </c>
      <c r="H29" s="512">
        <f>H19+H24</f>
        <v>43967166</v>
      </c>
      <c r="I29" s="508">
        <f t="shared" si="0"/>
        <v>89368359</v>
      </c>
    </row>
    <row r="30" spans="1:10" ht="28.15" customHeight="1" x14ac:dyDescent="0.25">
      <c r="A30" s="485">
        <v>13</v>
      </c>
      <c r="B30" s="486" t="s">
        <v>289</v>
      </c>
      <c r="C30" s="453"/>
      <c r="D30" s="453"/>
      <c r="E30" s="453"/>
      <c r="F30" s="513"/>
      <c r="G30" s="514">
        <f>G27-G28-G29</f>
        <v>39985891</v>
      </c>
      <c r="H30" s="514">
        <f>H27-H28-H29</f>
        <v>18060209</v>
      </c>
      <c r="I30" s="508">
        <f t="shared" si="0"/>
        <v>58046100</v>
      </c>
    </row>
    <row r="31" spans="1:10" ht="28.15" customHeight="1" x14ac:dyDescent="0.25">
      <c r="A31" s="497">
        <v>14</v>
      </c>
      <c r="B31" s="498" t="s">
        <v>290</v>
      </c>
      <c r="C31" s="510"/>
      <c r="D31" s="510"/>
      <c r="E31" s="510"/>
      <c r="F31" s="510"/>
      <c r="G31" s="62"/>
      <c r="H31" s="62"/>
      <c r="I31" s="508">
        <f t="shared" si="0"/>
        <v>0</v>
      </c>
      <c r="J31" s="438" t="s">
        <v>123</v>
      </c>
    </row>
    <row r="32" spans="1:10" ht="28.15" customHeight="1" x14ac:dyDescent="0.25">
      <c r="A32" s="497">
        <v>15</v>
      </c>
      <c r="B32" s="498" t="s">
        <v>309</v>
      </c>
      <c r="C32" s="510"/>
      <c r="D32" s="510"/>
      <c r="E32" s="510"/>
      <c r="F32" s="510"/>
      <c r="G32" s="62"/>
      <c r="H32" s="62"/>
      <c r="I32" s="508">
        <f t="shared" si="0"/>
        <v>0</v>
      </c>
      <c r="J32" s="438"/>
    </row>
    <row r="33" spans="1:11" ht="28.15" customHeight="1" thickBot="1" x14ac:dyDescent="0.3">
      <c r="A33" s="489">
        <v>16</v>
      </c>
      <c r="B33" s="490" t="s">
        <v>293</v>
      </c>
      <c r="C33" s="500"/>
      <c r="D33" s="500"/>
      <c r="E33" s="500"/>
      <c r="F33" s="501"/>
      <c r="G33" s="515">
        <f>G30+G31+G32</f>
        <v>39985891</v>
      </c>
      <c r="H33" s="515">
        <f>H30+H31+H32</f>
        <v>18060209</v>
      </c>
      <c r="I33" s="492">
        <f>I30+I31+I32</f>
        <v>58046100</v>
      </c>
      <c r="J33" s="438" t="s">
        <v>123</v>
      </c>
    </row>
    <row r="34" spans="1:11" ht="16.5" thickTop="1" x14ac:dyDescent="0.25">
      <c r="A34" s="448"/>
      <c r="B34" s="448"/>
      <c r="C34" s="448"/>
      <c r="D34" s="448"/>
      <c r="E34" s="448"/>
      <c r="F34" s="516"/>
      <c r="G34" s="517"/>
      <c r="H34" s="517"/>
      <c r="I34" s="518"/>
    </row>
    <row r="35" spans="1:11" x14ac:dyDescent="0.25">
      <c r="A35" s="519"/>
      <c r="B35" s="448"/>
      <c r="C35" s="448"/>
      <c r="D35" s="448"/>
      <c r="E35" s="448"/>
      <c r="F35" s="516"/>
      <c r="G35" s="19"/>
      <c r="H35" s="19"/>
      <c r="I35" s="518"/>
    </row>
    <row r="36" spans="1:11" x14ac:dyDescent="0.25">
      <c r="A36" s="450"/>
      <c r="B36" s="448"/>
      <c r="C36" s="448"/>
      <c r="D36" s="448"/>
      <c r="E36" s="448"/>
      <c r="F36" s="516"/>
      <c r="G36" s="19"/>
      <c r="H36" s="19"/>
      <c r="I36" s="480"/>
    </row>
    <row r="37" spans="1:11" ht="16.5" thickBot="1" x14ac:dyDescent="0.3">
      <c r="A37" s="520"/>
      <c r="B37" s="520"/>
      <c r="C37" s="520"/>
      <c r="D37" s="520"/>
      <c r="E37" s="520"/>
      <c r="F37" s="520"/>
      <c r="G37" s="519"/>
      <c r="H37" s="519"/>
      <c r="I37" s="520"/>
    </row>
    <row r="38" spans="1:11" x14ac:dyDescent="0.25">
      <c r="A38" s="1771" t="s">
        <v>291</v>
      </c>
      <c r="B38" s="1772"/>
      <c r="C38" s="1772"/>
      <c r="D38" s="1772"/>
      <c r="E38" s="1772"/>
      <c r="F38" s="1773"/>
      <c r="G38" s="463">
        <v>1</v>
      </c>
      <c r="H38" s="464">
        <v>2</v>
      </c>
      <c r="I38" s="521">
        <v>3</v>
      </c>
      <c r="J38" s="442"/>
      <c r="K38" s="443"/>
    </row>
    <row r="39" spans="1:11" x14ac:dyDescent="0.25">
      <c r="A39" s="1774"/>
      <c r="B39" s="1775"/>
      <c r="C39" s="1775"/>
      <c r="D39" s="1775"/>
      <c r="E39" s="1775"/>
      <c r="F39" s="1776"/>
      <c r="G39" s="467" t="s">
        <v>268</v>
      </c>
      <c r="H39" s="468"/>
      <c r="I39" s="522" t="s">
        <v>258</v>
      </c>
      <c r="J39" s="442"/>
      <c r="K39" s="443"/>
    </row>
    <row r="40" spans="1:11" x14ac:dyDescent="0.25">
      <c r="A40" s="1774"/>
      <c r="B40" s="1775"/>
      <c r="C40" s="1775"/>
      <c r="D40" s="1775"/>
      <c r="E40" s="1775"/>
      <c r="F40" s="1776"/>
      <c r="G40" s="467" t="s">
        <v>270</v>
      </c>
      <c r="H40" s="467" t="s">
        <v>271</v>
      </c>
      <c r="I40" s="522" t="s">
        <v>272</v>
      </c>
      <c r="J40" s="442"/>
      <c r="K40" s="443"/>
    </row>
    <row r="41" spans="1:11" ht="16.5" thickBot="1" x14ac:dyDescent="0.3">
      <c r="A41" s="1777"/>
      <c r="B41" s="1778"/>
      <c r="C41" s="1778"/>
      <c r="D41" s="1778"/>
      <c r="E41" s="1778"/>
      <c r="F41" s="1779"/>
      <c r="G41" s="477" t="s">
        <v>273</v>
      </c>
      <c r="H41" s="476"/>
      <c r="I41" s="523"/>
      <c r="J41" s="444"/>
      <c r="K41" s="435"/>
    </row>
    <row r="42" spans="1:11" ht="21" thickBot="1" x14ac:dyDescent="0.35">
      <c r="A42" s="524"/>
      <c r="B42" s="478"/>
      <c r="C42" s="479"/>
      <c r="D42" s="479"/>
      <c r="E42" s="448"/>
      <c r="F42" s="448"/>
      <c r="G42" s="448"/>
      <c r="H42" s="480"/>
      <c r="I42" s="525"/>
      <c r="J42" s="445"/>
      <c r="K42" s="437"/>
    </row>
    <row r="43" spans="1:11" ht="19.5" thickTop="1" thickBot="1" x14ac:dyDescent="0.3">
      <c r="A43" s="526"/>
      <c r="B43" s="527" t="s">
        <v>292</v>
      </c>
      <c r="C43" s="528"/>
      <c r="D43" s="528"/>
      <c r="E43" s="528"/>
      <c r="F43" s="528"/>
      <c r="G43" s="529"/>
      <c r="H43" s="530"/>
      <c r="I43" s="1240"/>
      <c r="J43" s="446"/>
      <c r="K43" s="437"/>
    </row>
    <row r="44" spans="1:11" ht="16.5" thickTop="1" x14ac:dyDescent="0.25"/>
    <row r="49" spans="1:9" x14ac:dyDescent="0.25">
      <c r="A49" s="440"/>
      <c r="B49" s="435"/>
      <c r="C49" s="435"/>
      <c r="D49" s="435"/>
      <c r="E49" s="435"/>
      <c r="F49" s="439"/>
      <c r="G49" s="441"/>
      <c r="H49" s="441"/>
      <c r="I49" s="437"/>
    </row>
  </sheetData>
  <sheetProtection algorithmName="SHA-512" hashValue="yRhgjcIteGvPvJDWtIY7gGzSOEUrNXaQj5BWFE21WhQzlmJTjOvWIeshxvU0VzcdVW5fsGFw2V1ciX40qRQaQw==" saltValue="55DFWhkxS5UM+WqwbKwYYA==" spinCount="100000" sheet="1" objects="1" scenarios="1"/>
  <mergeCells count="1">
    <mergeCell ref="A38:F4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FC7F2-04B1-4939-AAC9-D9D8D03A8A99}">
  <dimension ref="A1:Q118"/>
  <sheetViews>
    <sheetView topLeftCell="A5" workbookViewId="0"/>
  </sheetViews>
  <sheetFormatPr defaultColWidth="8.88671875" defaultRowHeight="15" x14ac:dyDescent="0.2"/>
  <cols>
    <col min="1" max="1" width="1.77734375" style="584" customWidth="1"/>
    <col min="2" max="2" width="1.33203125" style="375" customWidth="1"/>
    <col min="3" max="3" width="7.77734375" style="375" customWidth="1"/>
    <col min="4" max="4" width="14.33203125" style="375" bestFit="1" customWidth="1"/>
    <col min="5" max="5" width="11.33203125" style="375" bestFit="1" customWidth="1"/>
    <col min="6" max="6" width="10.77734375" style="375" customWidth="1"/>
    <col min="7" max="10" width="15.77734375" style="375" customWidth="1"/>
    <col min="11" max="11" width="12.77734375" style="375" customWidth="1"/>
    <col min="12" max="12" width="18.77734375" style="375" customWidth="1"/>
    <col min="13" max="13" width="8.88671875" style="375" customWidth="1"/>
    <col min="14" max="15" width="8.88671875" style="375"/>
    <col min="16" max="16" width="8.88671875" style="375" customWidth="1"/>
    <col min="17" max="17" width="10" style="375" bestFit="1" customWidth="1"/>
    <col min="18" max="16384" width="8.88671875" style="375"/>
  </cols>
  <sheetData>
    <row r="1" spans="1:12" s="584" customFormat="1" ht="18.75" thickBot="1" x14ac:dyDescent="0.3">
      <c r="A1" s="774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2"/>
      <c r="L1" s="775" t="s">
        <v>12</v>
      </c>
    </row>
    <row r="2" spans="1:12" ht="18.75" thickTop="1" x14ac:dyDescent="0.25">
      <c r="A2" s="784" t="s">
        <v>15</v>
      </c>
      <c r="B2" s="7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</row>
    <row r="3" spans="1:12" ht="21.75" customHeight="1" x14ac:dyDescent="0.3">
      <c r="A3" s="1783" t="s">
        <v>235</v>
      </c>
      <c r="B3" s="1784"/>
      <c r="C3" s="1784"/>
      <c r="D3" s="1784"/>
      <c r="E3" s="1784"/>
      <c r="F3" s="1784"/>
      <c r="G3" s="1784"/>
      <c r="H3" s="1784"/>
      <c r="I3" s="1784"/>
      <c r="J3" s="1784"/>
      <c r="K3" s="1784"/>
      <c r="L3" s="1182"/>
    </row>
    <row r="4" spans="1:12" ht="18" x14ac:dyDescent="0.25">
      <c r="A4" s="785" t="s">
        <v>1800</v>
      </c>
      <c r="B4" s="782"/>
      <c r="C4" s="1182"/>
      <c r="D4" s="1182"/>
      <c r="E4" s="1182"/>
      <c r="F4" s="1182"/>
      <c r="G4" s="1182"/>
      <c r="H4" s="1182"/>
      <c r="I4" s="1182"/>
      <c r="J4" s="1182"/>
      <c r="K4" s="1182"/>
      <c r="L4" s="786" t="s">
        <v>310</v>
      </c>
    </row>
    <row r="5" spans="1:12" ht="15.75" x14ac:dyDescent="0.25">
      <c r="A5" s="781"/>
      <c r="B5" s="782"/>
      <c r="C5" s="1182"/>
      <c r="D5" s="1182"/>
      <c r="E5" s="1182"/>
      <c r="F5" s="1182"/>
      <c r="G5" s="1182"/>
      <c r="H5" s="1182"/>
      <c r="I5" s="1182"/>
      <c r="J5" s="1182"/>
      <c r="K5" s="1182"/>
      <c r="L5" s="782"/>
    </row>
    <row r="6" spans="1:12" x14ac:dyDescent="0.2">
      <c r="A6" s="781"/>
      <c r="B6" s="782"/>
      <c r="C6" s="782"/>
      <c r="D6" s="782"/>
      <c r="E6" s="782"/>
      <c r="F6" s="782"/>
      <c r="G6" s="782"/>
      <c r="H6" s="782"/>
      <c r="I6" s="782"/>
      <c r="J6" s="782"/>
      <c r="K6" s="782"/>
      <c r="L6" s="782"/>
    </row>
    <row r="7" spans="1:12" x14ac:dyDescent="0.2">
      <c r="A7" s="781"/>
      <c r="B7" s="782"/>
      <c r="C7" s="787"/>
      <c r="D7" s="257" t="s">
        <v>1801</v>
      </c>
      <c r="E7" s="251" t="str">
        <f>IF(Info!$B$7=""," ",Info!$B$7)</f>
        <v>ABC Mental Health Center</v>
      </c>
      <c r="F7" s="251"/>
      <c r="G7" s="251"/>
      <c r="H7" s="782"/>
      <c r="I7" s="1785"/>
      <c r="J7" s="1785"/>
      <c r="K7" s="782"/>
      <c r="L7" s="382" t="str">
        <f>CONCATENATE("Entity Number : ",Info!$B$8)</f>
        <v>Entity Number : 00100</v>
      </c>
    </row>
    <row r="8" spans="1:12" x14ac:dyDescent="0.2">
      <c r="A8" s="781"/>
      <c r="B8" s="782"/>
      <c r="C8" s="1183"/>
      <c r="D8" s="788"/>
      <c r="E8" s="251"/>
      <c r="F8" s="251"/>
      <c r="G8" s="251"/>
      <c r="H8" s="251"/>
      <c r="I8" s="782"/>
      <c r="J8" s="782"/>
      <c r="K8" s="782"/>
      <c r="L8" s="782"/>
    </row>
    <row r="9" spans="1:12" x14ac:dyDescent="0.2">
      <c r="A9" s="781"/>
      <c r="B9" s="782"/>
      <c r="C9" s="1183" t="s">
        <v>236</v>
      </c>
      <c r="D9" s="789" t="s">
        <v>933</v>
      </c>
      <c r="E9" s="251"/>
      <c r="F9" s="251"/>
      <c r="G9" s="251"/>
      <c r="H9" s="251"/>
      <c r="I9" s="782"/>
      <c r="J9" s="782"/>
      <c r="K9" s="782"/>
      <c r="L9" s="782"/>
    </row>
    <row r="10" spans="1:12" ht="16.5" thickBot="1" x14ac:dyDescent="0.3">
      <c r="A10" s="781"/>
      <c r="B10" s="782"/>
      <c r="C10" s="782"/>
      <c r="D10" s="782"/>
      <c r="E10" s="782"/>
      <c r="F10" s="782"/>
      <c r="G10" s="782"/>
      <c r="H10" s="782"/>
      <c r="I10" s="790" t="s">
        <v>237</v>
      </c>
      <c r="J10" s="790"/>
      <c r="K10" s="790"/>
      <c r="L10" s="790"/>
    </row>
    <row r="11" spans="1:12" ht="16.5" thickTop="1" thickBot="1" x14ac:dyDescent="0.25">
      <c r="A11" s="781"/>
      <c r="B11" s="782"/>
      <c r="C11" s="782"/>
      <c r="D11" s="820" t="s">
        <v>1913</v>
      </c>
      <c r="E11" s="782"/>
      <c r="F11" s="782"/>
      <c r="G11" s="782"/>
      <c r="H11" s="782"/>
      <c r="I11" s="791" t="s">
        <v>238</v>
      </c>
      <c r="J11" s="792"/>
      <c r="K11" s="793"/>
      <c r="L11" s="3">
        <f>'LAC101'!I33</f>
        <v>58046100</v>
      </c>
    </row>
    <row r="12" spans="1:12" ht="16.5" thickTop="1" thickBot="1" x14ac:dyDescent="0.25">
      <c r="A12" s="781"/>
      <c r="B12" s="782"/>
      <c r="C12" s="782"/>
      <c r="D12" s="1227"/>
      <c r="E12" s="782" t="s">
        <v>1911</v>
      </c>
      <c r="F12" s="782"/>
      <c r="G12" s="782"/>
      <c r="H12" s="251"/>
      <c r="I12" s="795"/>
      <c r="J12" s="796"/>
      <c r="K12" s="796"/>
      <c r="L12" s="797"/>
    </row>
    <row r="13" spans="1:12" ht="15.75" thickTop="1" x14ac:dyDescent="0.2">
      <c r="A13" s="781"/>
      <c r="B13" s="782"/>
      <c r="C13" s="782"/>
      <c r="D13" s="1228" t="s">
        <v>176</v>
      </c>
      <c r="E13" s="782" t="s">
        <v>967</v>
      </c>
      <c r="F13" s="782"/>
      <c r="G13" s="782"/>
      <c r="H13" s="782"/>
      <c r="I13" s="1786" t="s">
        <v>1799</v>
      </c>
      <c r="J13" s="1786"/>
      <c r="K13" s="1786"/>
      <c r="L13" s="1786"/>
    </row>
    <row r="14" spans="1:12" x14ac:dyDescent="0.2">
      <c r="A14" s="781"/>
      <c r="B14" s="782"/>
      <c r="C14" s="782"/>
      <c r="D14" s="1229"/>
      <c r="E14" s="782" t="s">
        <v>1912</v>
      </c>
      <c r="F14" s="782"/>
      <c r="G14" s="782"/>
      <c r="H14" s="782"/>
      <c r="I14" s="782"/>
      <c r="J14" s="782"/>
      <c r="K14" s="783">
        <f>'LAC101'!I43</f>
        <v>0</v>
      </c>
      <c r="L14" s="783">
        <f>'LAC101'!I33</f>
        <v>58046100</v>
      </c>
    </row>
    <row r="15" spans="1:12" ht="15.75" x14ac:dyDescent="0.25">
      <c r="A15" s="781"/>
      <c r="B15" s="782"/>
      <c r="C15" s="782"/>
      <c r="D15" s="782"/>
      <c r="E15" s="782"/>
      <c r="F15" s="782"/>
      <c r="G15" s="782"/>
      <c r="H15" s="782"/>
      <c r="I15" s="798"/>
      <c r="J15" s="1182"/>
      <c r="K15" s="783">
        <f>H$105+I$105</f>
        <v>4258523</v>
      </c>
      <c r="L15" s="780">
        <f>H104+I104</f>
        <v>4258523</v>
      </c>
    </row>
    <row r="16" spans="1:12" x14ac:dyDescent="0.2">
      <c r="A16" s="781"/>
      <c r="B16" s="782"/>
      <c r="C16" s="782"/>
      <c r="D16" s="782"/>
      <c r="E16" s="782"/>
      <c r="F16" s="782"/>
      <c r="G16" s="782"/>
      <c r="H16" s="782"/>
      <c r="I16" s="782"/>
      <c r="J16" s="782"/>
      <c r="K16" s="783">
        <f>K14-K15</f>
        <v>-4258523</v>
      </c>
      <c r="L16" s="799">
        <f>L14-L15</f>
        <v>53787577</v>
      </c>
    </row>
    <row r="17" spans="1:17" ht="15.75" x14ac:dyDescent="0.25">
      <c r="A17" s="781"/>
      <c r="B17" s="782"/>
      <c r="C17" s="782"/>
      <c r="D17" s="800" t="s">
        <v>19</v>
      </c>
      <c r="E17" s="800" t="s">
        <v>20</v>
      </c>
      <c r="F17" s="800" t="s">
        <v>21</v>
      </c>
      <c r="G17" s="800" t="s">
        <v>22</v>
      </c>
      <c r="H17" s="800" t="s">
        <v>23</v>
      </c>
      <c r="I17" s="800" t="s">
        <v>24</v>
      </c>
      <c r="J17" s="800" t="s">
        <v>25</v>
      </c>
      <c r="K17" s="800" t="s">
        <v>160</v>
      </c>
      <c r="L17" s="800" t="s">
        <v>161</v>
      </c>
    </row>
    <row r="18" spans="1:17" ht="15.75" x14ac:dyDescent="0.25">
      <c r="A18" s="781"/>
      <c r="B18" s="782"/>
      <c r="C18" s="782"/>
      <c r="D18" s="801"/>
      <c r="E18" s="794"/>
      <c r="F18" s="794"/>
      <c r="G18" s="794"/>
      <c r="H18" s="794"/>
      <c r="I18" s="1787" t="s">
        <v>239</v>
      </c>
      <c r="J18" s="1788"/>
      <c r="K18" s="794"/>
      <c r="L18" s="802"/>
    </row>
    <row r="19" spans="1:17" ht="31.5" x14ac:dyDescent="0.25">
      <c r="A19" s="781"/>
      <c r="B19" s="782"/>
      <c r="C19" s="782"/>
      <c r="D19" s="803" t="s">
        <v>211</v>
      </c>
      <c r="E19" s="800" t="s">
        <v>212</v>
      </c>
      <c r="F19" s="800" t="s">
        <v>213</v>
      </c>
      <c r="G19" s="803" t="s">
        <v>240</v>
      </c>
      <c r="H19" s="804" t="s">
        <v>241</v>
      </c>
      <c r="I19" s="804" t="s">
        <v>242</v>
      </c>
      <c r="J19" s="803" t="s">
        <v>243</v>
      </c>
      <c r="K19" s="803" t="s">
        <v>244</v>
      </c>
      <c r="L19" s="803" t="s">
        <v>245</v>
      </c>
    </row>
    <row r="20" spans="1:17" x14ac:dyDescent="0.2">
      <c r="A20" s="805" t="str">
        <f>CONCATENATE(E20,F20)</f>
        <v>0543</v>
      </c>
      <c r="B20" s="806"/>
      <c r="C20" s="807">
        <v>1</v>
      </c>
      <c r="D20" s="808" t="str">
        <f>IF(Schedule_B!B20="","",Schedule_B!B20)</f>
        <v>CR</v>
      </c>
      <c r="E20" s="809" t="str">
        <f>IF(Schedule_B!C20="","",Schedule_B!C20)</f>
        <v>05</v>
      </c>
      <c r="F20" s="809" t="str">
        <f>IF(Schedule_B!D20="","",Schedule_B!D20)</f>
        <v>43</v>
      </c>
      <c r="G20" s="821">
        <f>IF(Schedule_B!E20="",0,Schedule_B!E20)</f>
        <v>1981</v>
      </c>
      <c r="H20" s="1230"/>
      <c r="I20" s="1231"/>
      <c r="J20" s="5">
        <f>IF(SUM(I20,H20)=0,G20*Q20,0)</f>
        <v>801730.51</v>
      </c>
      <c r="K20" s="64">
        <f>IF(J20=0,0,J20/$J$104)</f>
        <v>1.9277434773562471E-2</v>
      </c>
      <c r="L20" s="63">
        <f>IF(AND(D$13="X",D20="HOSP",K20&gt;0%),$K$16*K20,IF(AND(D$13="X",D20="CR",K20&gt;0%),$L$16*K20,SUM(H20,I20)))</f>
        <v>1036886.5072454689</v>
      </c>
      <c r="Q20" s="783">
        <f>IFERROR(VLOOKUP($A20,'LAC CMA'!$F$15:$M$325,5,FALSE),0)</f>
        <v>404.71</v>
      </c>
    </row>
    <row r="21" spans="1:17" x14ac:dyDescent="0.2">
      <c r="A21" s="805" t="str">
        <f t="shared" ref="A21:A84" si="0">CONCATENATE(E21,F21)</f>
        <v>1504</v>
      </c>
      <c r="B21" s="806"/>
      <c r="C21" s="807">
        <f>C20+1</f>
        <v>2</v>
      </c>
      <c r="D21" s="808" t="str">
        <f>IF(Schedule_B!B21="","",Schedule_B!B21)</f>
        <v>CR</v>
      </c>
      <c r="E21" s="809" t="str">
        <f>IF(Schedule_B!C21="","",Schedule_B!C21)</f>
        <v>15</v>
      </c>
      <c r="F21" s="809" t="str">
        <f>IF(Schedule_B!D21="","",Schedule_B!D21)</f>
        <v>04</v>
      </c>
      <c r="G21" s="4">
        <f>IF(Schedule_B!E21="",0,Schedule_B!E21)</f>
        <v>2027969</v>
      </c>
      <c r="H21" s="1230"/>
      <c r="I21" s="1231"/>
      <c r="J21" s="5">
        <f t="shared" ref="J21:J84" si="1">IF(SUM(I21,H21)=0,G21*Q21,0)</f>
        <v>3893700.48</v>
      </c>
      <c r="K21" s="64">
        <f t="shared" ref="K21:K84" si="2">IF(J21=0,0,J21/$J$104)</f>
        <v>9.3623176484812692E-2</v>
      </c>
      <c r="L21" s="63">
        <f t="shared" ref="L21:L84" si="3">IF(AND(D$13="X",D21="HOSP",K21&gt;0%),$K$16*K21,IF(AND(D$13="X",D21="CR",K21&gt;0%),$L$16*K21,SUM(H21,I21)))</f>
        <v>5035763.8141614525</v>
      </c>
      <c r="Q21" s="783">
        <f>IFERROR(VLOOKUP($A21,'LAC CMA'!$F$15:$M$325,5,FALSE),0)</f>
        <v>1.92</v>
      </c>
    </row>
    <row r="22" spans="1:17" x14ac:dyDescent="0.2">
      <c r="A22" s="805" t="str">
        <f t="shared" si="0"/>
        <v>1505</v>
      </c>
      <c r="B22" s="806"/>
      <c r="C22" s="807">
        <f t="shared" ref="C22:C85" si="4">C21+1</f>
        <v>3</v>
      </c>
      <c r="D22" s="808" t="str">
        <f>IF(Schedule_B!B22="","",Schedule_B!B22)</f>
        <v>CR</v>
      </c>
      <c r="E22" s="809" t="str">
        <f>IF(Schedule_B!C22="","",Schedule_B!C22)</f>
        <v>15</v>
      </c>
      <c r="F22" s="809" t="str">
        <f>IF(Schedule_B!D22="","",Schedule_B!D22)</f>
        <v>05</v>
      </c>
      <c r="G22" s="4">
        <f>IF(Schedule_B!E22="",0,Schedule_B!E22)</f>
        <v>276055</v>
      </c>
      <c r="H22" s="1230"/>
      <c r="I22" s="1231"/>
      <c r="J22" s="5">
        <f t="shared" si="1"/>
        <v>530025.6</v>
      </c>
      <c r="K22" s="64">
        <f t="shared" si="2"/>
        <v>1.2744349634789766E-2</v>
      </c>
      <c r="L22" s="63">
        <f t="shared" si="3"/>
        <v>685487.68729617645</v>
      </c>
      <c r="Q22" s="783">
        <f>IFERROR(VLOOKUP($A22,'LAC CMA'!$F$15:$M$325,5,FALSE),0)</f>
        <v>1.92</v>
      </c>
    </row>
    <row r="23" spans="1:17" x14ac:dyDescent="0.2">
      <c r="A23" s="805" t="str">
        <f t="shared" si="0"/>
        <v>1507</v>
      </c>
      <c r="B23" s="806"/>
      <c r="C23" s="807">
        <f t="shared" si="4"/>
        <v>4</v>
      </c>
      <c r="D23" s="808" t="str">
        <f>IF(Schedule_B!B23="","",Schedule_B!B23)</f>
        <v>CR</v>
      </c>
      <c r="E23" s="809" t="str">
        <f>IF(Schedule_B!C23="","",Schedule_B!C23)</f>
        <v>15</v>
      </c>
      <c r="F23" s="809" t="str">
        <f>IF(Schedule_B!D23="","",Schedule_B!D23)</f>
        <v>07</v>
      </c>
      <c r="G23" s="4">
        <f>IF(Schedule_B!E23="",0,Schedule_B!E23)</f>
        <v>414648</v>
      </c>
      <c r="H23" s="1230"/>
      <c r="I23" s="1231"/>
      <c r="J23" s="5">
        <f t="shared" si="1"/>
        <v>796124.15999999992</v>
      </c>
      <c r="K23" s="64">
        <f t="shared" si="2"/>
        <v>1.9142631313927683E-2</v>
      </c>
      <c r="L23" s="63">
        <f t="shared" si="3"/>
        <v>1029635.7557804964</v>
      </c>
      <c r="Q23" s="783">
        <f>IFERROR(VLOOKUP($A23,'LAC CMA'!$F$15:$M$325,5,FALSE),0)</f>
        <v>1.92</v>
      </c>
    </row>
    <row r="24" spans="1:17" x14ac:dyDescent="0.2">
      <c r="A24" s="805" t="str">
        <f t="shared" si="0"/>
        <v>1510</v>
      </c>
      <c r="B24" s="806"/>
      <c r="C24" s="807">
        <f t="shared" si="4"/>
        <v>5</v>
      </c>
      <c r="D24" s="808" t="str">
        <f>IF(Schedule_B!B24="","",Schedule_B!B24)</f>
        <v>CR</v>
      </c>
      <c r="E24" s="809" t="str">
        <f>IF(Schedule_B!C24="","",Schedule_B!C24)</f>
        <v>15</v>
      </c>
      <c r="F24" s="809" t="str">
        <f>IF(Schedule_B!D24="","",Schedule_B!D24)</f>
        <v>10</v>
      </c>
      <c r="G24" s="4">
        <f>IF(Schedule_B!E24="",0,Schedule_B!E24)</f>
        <v>920094</v>
      </c>
      <c r="H24" s="1230"/>
      <c r="I24" s="1231"/>
      <c r="J24" s="5">
        <f t="shared" si="1"/>
        <v>2281833.12</v>
      </c>
      <c r="K24" s="64">
        <f t="shared" si="2"/>
        <v>5.4866178330864004E-2</v>
      </c>
      <c r="L24" s="63">
        <f t="shared" si="3"/>
        <v>2951118.7916670791</v>
      </c>
      <c r="Q24" s="783">
        <f>IFERROR(VLOOKUP($A24,'LAC CMA'!$F$15:$M$325,5,FALSE),0)</f>
        <v>2.48</v>
      </c>
    </row>
    <row r="25" spans="1:17" x14ac:dyDescent="0.2">
      <c r="A25" s="805" t="str">
        <f t="shared" si="0"/>
        <v>1542</v>
      </c>
      <c r="B25" s="806"/>
      <c r="C25" s="807">
        <f t="shared" si="4"/>
        <v>6</v>
      </c>
      <c r="D25" s="808" t="str">
        <f>IF(Schedule_B!B25="","",Schedule_B!B25)</f>
        <v>CR</v>
      </c>
      <c r="E25" s="809" t="str">
        <f>IF(Schedule_B!C25="","",Schedule_B!C25)</f>
        <v>15</v>
      </c>
      <c r="F25" s="809" t="str">
        <f>IF(Schedule_B!D25="","",Schedule_B!D25)</f>
        <v>42</v>
      </c>
      <c r="G25" s="4">
        <f>IF(Schedule_B!E25="",0,Schedule_B!E25)</f>
        <v>9066720</v>
      </c>
      <c r="H25" s="1230"/>
      <c r="I25" s="1231"/>
      <c r="J25" s="5">
        <f t="shared" si="1"/>
        <v>22485465.600000001</v>
      </c>
      <c r="K25" s="64">
        <f t="shared" si="2"/>
        <v>0.54065810275473081</v>
      </c>
      <c r="L25" s="63">
        <f t="shared" si="3"/>
        <v>29080689.332593996</v>
      </c>
      <c r="Q25" s="783">
        <f>IFERROR(VLOOKUP($A25,'LAC CMA'!$F$15:$M$325,5,FALSE),0)</f>
        <v>2.48</v>
      </c>
    </row>
    <row r="26" spans="1:17" x14ac:dyDescent="0.2">
      <c r="A26" s="805" t="str">
        <f t="shared" si="0"/>
        <v>1544</v>
      </c>
      <c r="B26" s="806"/>
      <c r="C26" s="807">
        <f t="shared" si="4"/>
        <v>7</v>
      </c>
      <c r="D26" s="808" t="str">
        <f>IF(Schedule_B!B26="","",Schedule_B!B26)</f>
        <v>CR</v>
      </c>
      <c r="E26" s="809" t="str">
        <f>IF(Schedule_B!C26="","",Schedule_B!C26)</f>
        <v>15</v>
      </c>
      <c r="F26" s="809" t="str">
        <f>IF(Schedule_B!D26="","",Schedule_B!D26)</f>
        <v>44</v>
      </c>
      <c r="G26" s="4">
        <f>IF(Schedule_B!E26="",0,Schedule_B!E26)</f>
        <v>1223506</v>
      </c>
      <c r="H26" s="1230"/>
      <c r="I26" s="1231"/>
      <c r="J26" s="5">
        <f t="shared" si="1"/>
        <v>3034294.88</v>
      </c>
      <c r="K26" s="64">
        <f t="shared" si="2"/>
        <v>7.2958956785808937E-2</v>
      </c>
      <c r="L26" s="63">
        <f t="shared" si="3"/>
        <v>3924285.5059563708</v>
      </c>
      <c r="Q26" s="783">
        <f>IFERROR(VLOOKUP($A26,'LAC CMA'!$F$15:$M$325,5,FALSE),0)</f>
        <v>2.48</v>
      </c>
    </row>
    <row r="27" spans="1:17" x14ac:dyDescent="0.2">
      <c r="A27" s="805" t="str">
        <f t="shared" si="0"/>
        <v>1552</v>
      </c>
      <c r="B27" s="806"/>
      <c r="C27" s="807">
        <f t="shared" si="4"/>
        <v>8</v>
      </c>
      <c r="D27" s="808" t="str">
        <f>IF(Schedule_B!B27="","",Schedule_B!B27)</f>
        <v>CR</v>
      </c>
      <c r="E27" s="809" t="str">
        <f>IF(Schedule_B!C27="","",Schedule_B!C27)</f>
        <v>15</v>
      </c>
      <c r="F27" s="809" t="str">
        <f>IF(Schedule_B!D27="","",Schedule_B!D27)</f>
        <v>52</v>
      </c>
      <c r="G27" s="4">
        <f>IF(Schedule_B!E27="",0,Schedule_B!E27)</f>
        <v>925760</v>
      </c>
      <c r="H27" s="1230"/>
      <c r="I27" s="1231"/>
      <c r="J27" s="5">
        <f t="shared" si="1"/>
        <v>2295884.7999999998</v>
      </c>
      <c r="K27" s="64">
        <f t="shared" si="2"/>
        <v>5.520404790334537E-2</v>
      </c>
      <c r="L27" s="63">
        <f t="shared" si="3"/>
        <v>2969291.9773128778</v>
      </c>
      <c r="Q27" s="783">
        <f>IFERROR(VLOOKUP($A27,'LAC CMA'!$F$15:$M$325,5,FALSE),0)</f>
        <v>2.48</v>
      </c>
    </row>
    <row r="28" spans="1:17" x14ac:dyDescent="0.2">
      <c r="A28" s="805" t="str">
        <f t="shared" si="0"/>
        <v>1557</v>
      </c>
      <c r="B28" s="806"/>
      <c r="C28" s="807">
        <f t="shared" si="4"/>
        <v>9</v>
      </c>
      <c r="D28" s="808" t="str">
        <f>IF(Schedule_B!B28="","",Schedule_B!B28)</f>
        <v>CR</v>
      </c>
      <c r="E28" s="809" t="str">
        <f>IF(Schedule_B!C28="","",Schedule_B!C28)</f>
        <v>15</v>
      </c>
      <c r="F28" s="809" t="str">
        <f>IF(Schedule_B!D28="","",Schedule_B!D28)</f>
        <v>57</v>
      </c>
      <c r="G28" s="4">
        <f>IF(Schedule_B!E28="",0,Schedule_B!E28)</f>
        <v>327493</v>
      </c>
      <c r="H28" s="1230"/>
      <c r="I28" s="1231"/>
      <c r="J28" s="5">
        <f t="shared" si="1"/>
        <v>812182.64</v>
      </c>
      <c r="K28" s="64">
        <f t="shared" si="2"/>
        <v>1.9528753953519582E-2</v>
      </c>
      <c r="L28" s="63">
        <f t="shared" si="3"/>
        <v>1050404.356988989</v>
      </c>
      <c r="Q28" s="783">
        <f>IFERROR(VLOOKUP($A28,'LAC CMA'!$F$15:$M$325,5,FALSE),0)</f>
        <v>2.48</v>
      </c>
    </row>
    <row r="29" spans="1:17" x14ac:dyDescent="0.2">
      <c r="A29" s="805" t="str">
        <f t="shared" si="0"/>
        <v>1562</v>
      </c>
      <c r="B29" s="806"/>
      <c r="C29" s="807">
        <f t="shared" si="4"/>
        <v>10</v>
      </c>
      <c r="D29" s="808" t="str">
        <f>IF(Schedule_B!B29="","",Schedule_B!B29)</f>
        <v>CR</v>
      </c>
      <c r="E29" s="809" t="str">
        <f>IF(Schedule_B!C29="","",Schedule_B!C29)</f>
        <v>15</v>
      </c>
      <c r="F29" s="809" t="str">
        <f>IF(Schedule_B!D29="","",Schedule_B!D29)</f>
        <v>62</v>
      </c>
      <c r="G29" s="4">
        <f>IF(Schedule_B!E29="",0,Schedule_B!E29)</f>
        <v>907213</v>
      </c>
      <c r="H29" s="1230"/>
      <c r="I29" s="1231"/>
      <c r="J29" s="5">
        <f t="shared" si="1"/>
        <v>4164107.67</v>
      </c>
      <c r="K29" s="64">
        <f t="shared" si="2"/>
        <v>0.10012505822999826</v>
      </c>
      <c r="L29" s="63">
        <f t="shared" si="3"/>
        <v>5385484.2791755153</v>
      </c>
      <c r="Q29" s="783">
        <f>IFERROR(VLOOKUP($A29,'LAC CMA'!$F$15:$M$325,5,FALSE),0)</f>
        <v>4.59</v>
      </c>
    </row>
    <row r="30" spans="1:17" x14ac:dyDescent="0.2">
      <c r="A30" s="805" t="str">
        <f t="shared" si="0"/>
        <v>1563</v>
      </c>
      <c r="B30" s="806"/>
      <c r="C30" s="807">
        <f t="shared" si="4"/>
        <v>11</v>
      </c>
      <c r="D30" s="808" t="str">
        <f>IF(Schedule_B!B30="","",Schedule_B!B30)</f>
        <v>CR</v>
      </c>
      <c r="E30" s="809" t="str">
        <f>IF(Schedule_B!C30="","",Schedule_B!C30)</f>
        <v>15</v>
      </c>
      <c r="F30" s="809" t="str">
        <f>IF(Schedule_B!D30="","",Schedule_B!D30)</f>
        <v>63</v>
      </c>
      <c r="G30" s="4">
        <f>IF(Schedule_B!E30="",0,Schedule_B!E30)</f>
        <v>75471</v>
      </c>
      <c r="H30" s="1231"/>
      <c r="I30" s="1231"/>
      <c r="J30" s="5">
        <f t="shared" si="1"/>
        <v>346411.89</v>
      </c>
      <c r="K30" s="64">
        <f t="shared" si="2"/>
        <v>8.3293981343699874E-3</v>
      </c>
      <c r="L30" s="63">
        <f t="shared" si="3"/>
        <v>448018.14351608203</v>
      </c>
      <c r="Q30" s="783">
        <f>IFERROR(VLOOKUP($A30,'LAC CMA'!$F$15:$M$325,5,FALSE),0)</f>
        <v>4.59</v>
      </c>
    </row>
    <row r="31" spans="1:17" x14ac:dyDescent="0.2">
      <c r="A31" s="805" t="str">
        <f t="shared" si="0"/>
        <v>1577</v>
      </c>
      <c r="B31" s="806"/>
      <c r="C31" s="807">
        <f t="shared" si="4"/>
        <v>12</v>
      </c>
      <c r="D31" s="808" t="str">
        <f>IF(Schedule_B!B31="","",Schedule_B!B31)</f>
        <v>CR</v>
      </c>
      <c r="E31" s="809" t="str">
        <f>IF(Schedule_B!C31="","",Schedule_B!C31)</f>
        <v>15</v>
      </c>
      <c r="F31" s="809" t="str">
        <f>IF(Schedule_B!D31="","",Schedule_B!D31)</f>
        <v>77</v>
      </c>
      <c r="G31" s="4">
        <f>IF(Schedule_B!E31="",0,Schedule_B!E31)</f>
        <v>35190</v>
      </c>
      <c r="H31" s="1231"/>
      <c r="I31" s="1231"/>
      <c r="J31" s="5">
        <f t="shared" si="1"/>
        <v>129851.09999999999</v>
      </c>
      <c r="K31" s="64">
        <f t="shared" si="2"/>
        <v>3.1222413009146148E-3</v>
      </c>
      <c r="L31" s="63">
        <f t="shared" si="3"/>
        <v>167937.79438552502</v>
      </c>
      <c r="Q31" s="783">
        <f>IFERROR(VLOOKUP($A31,'LAC CMA'!$F$15:$M$325,5,FALSE),0)</f>
        <v>3.69</v>
      </c>
    </row>
    <row r="32" spans="1:17" x14ac:dyDescent="0.2">
      <c r="A32" s="805" t="str">
        <f t="shared" si="0"/>
        <v>1578</v>
      </c>
      <c r="B32" s="806"/>
      <c r="C32" s="807">
        <f t="shared" si="4"/>
        <v>13</v>
      </c>
      <c r="D32" s="808" t="str">
        <f>IF(Schedule_B!B32="","",Schedule_B!B32)</f>
        <v>CR</v>
      </c>
      <c r="E32" s="809" t="str">
        <f>IF(Schedule_B!C32="","",Schedule_B!C32)</f>
        <v>15</v>
      </c>
      <c r="F32" s="809" t="str">
        <f>IF(Schedule_B!D32="","",Schedule_B!D32)</f>
        <v>78</v>
      </c>
      <c r="G32" s="4">
        <f>IF(Schedule_B!E32="",0,Schedule_B!E32)</f>
        <v>4730</v>
      </c>
      <c r="H32" s="1230"/>
      <c r="I32" s="1231"/>
      <c r="J32" s="5">
        <f t="shared" si="1"/>
        <v>17453.7</v>
      </c>
      <c r="K32" s="64">
        <f t="shared" si="2"/>
        <v>4.1967039935567291E-4</v>
      </c>
      <c r="L32" s="63">
        <f t="shared" si="3"/>
        <v>22573.053919964008</v>
      </c>
      <c r="Q32" s="783">
        <f>IFERROR(VLOOKUP($A32,'LAC CMA'!$F$15:$M$325,5,FALSE),0)</f>
        <v>3.69</v>
      </c>
    </row>
    <row r="33" spans="1:17" x14ac:dyDescent="0.2">
      <c r="A33" s="805" t="str">
        <f t="shared" si="0"/>
        <v>4510</v>
      </c>
      <c r="B33" s="806"/>
      <c r="C33" s="807">
        <f t="shared" si="4"/>
        <v>14</v>
      </c>
      <c r="D33" s="808" t="str">
        <f>IF(Schedule_B!B33="","",Schedule_B!B33)</f>
        <v>CR</v>
      </c>
      <c r="E33" s="809" t="str">
        <f>IF(Schedule_B!C33="","",Schedule_B!C33)</f>
        <v>45</v>
      </c>
      <c r="F33" s="809" t="str">
        <f>IF(Schedule_B!D33="","",Schedule_B!D33)</f>
        <v>10</v>
      </c>
      <c r="G33" s="4">
        <f>IF(Schedule_B!E33="",0,Schedule_B!E33)</f>
        <v>3879.1333333333341</v>
      </c>
      <c r="H33" s="1230"/>
      <c r="I33" s="1230">
        <v>243195.86881066413</v>
      </c>
      <c r="J33" s="5">
        <f t="shared" si="1"/>
        <v>0</v>
      </c>
      <c r="K33" s="64">
        <f t="shared" si="2"/>
        <v>0</v>
      </c>
      <c r="L33" s="63">
        <f t="shared" si="3"/>
        <v>243195.86881066413</v>
      </c>
      <c r="Q33" s="783">
        <f>IFERROR(VLOOKUP($A33,'LAC CMA'!$F$15:$M$325,5,FALSE),0)</f>
        <v>0</v>
      </c>
    </row>
    <row r="34" spans="1:17" x14ac:dyDescent="0.2">
      <c r="A34" s="805" t="str">
        <f t="shared" si="0"/>
        <v>4520</v>
      </c>
      <c r="B34" s="806"/>
      <c r="C34" s="807">
        <f t="shared" si="4"/>
        <v>15</v>
      </c>
      <c r="D34" s="808" t="str">
        <f>IF(Schedule_B!B34="","",Schedule_B!B34)</f>
        <v>CR</v>
      </c>
      <c r="E34" s="809" t="str">
        <f>IF(Schedule_B!C34="","",Schedule_B!C34)</f>
        <v>45</v>
      </c>
      <c r="F34" s="809" t="str">
        <f>IF(Schedule_B!D34="","",Schedule_B!D34)</f>
        <v>20</v>
      </c>
      <c r="G34" s="4">
        <f>IF(Schedule_B!E34="",0,Schedule_B!E34)</f>
        <v>17871.5</v>
      </c>
      <c r="H34" s="1230"/>
      <c r="I34" s="1231">
        <v>1120424.227778486</v>
      </c>
      <c r="J34" s="5">
        <f t="shared" si="1"/>
        <v>0</v>
      </c>
      <c r="K34" s="64">
        <f t="shared" si="2"/>
        <v>0</v>
      </c>
      <c r="L34" s="63">
        <f t="shared" si="3"/>
        <v>1120424.227778486</v>
      </c>
      <c r="Q34" s="783">
        <f>IFERROR(VLOOKUP($A34,'LAC CMA'!$F$15:$M$325,5,FALSE),0)</f>
        <v>0</v>
      </c>
    </row>
    <row r="35" spans="1:17" x14ac:dyDescent="0.2">
      <c r="A35" s="805" t="str">
        <f t="shared" si="0"/>
        <v>6040</v>
      </c>
      <c r="B35" s="806"/>
      <c r="C35" s="807">
        <f t="shared" si="4"/>
        <v>16</v>
      </c>
      <c r="D35" s="808" t="str">
        <f>IF(Schedule_B!B35="","",Schedule_B!B35)</f>
        <v>CR</v>
      </c>
      <c r="E35" s="809" t="str">
        <f>IF(Schedule_B!C35="","",Schedule_B!C35)</f>
        <v>60</v>
      </c>
      <c r="F35" s="809" t="str">
        <f>IF(Schedule_B!D35="","",Schedule_B!D35)</f>
        <v>40</v>
      </c>
      <c r="G35" s="4">
        <f>IF(Schedule_B!E35="",0,Schedule_B!E35)</f>
        <v>2045</v>
      </c>
      <c r="H35" s="1232"/>
      <c r="I35" s="1231">
        <v>128207.90341084989</v>
      </c>
      <c r="J35" s="5">
        <f t="shared" si="1"/>
        <v>0</v>
      </c>
      <c r="K35" s="64">
        <f t="shared" si="2"/>
        <v>0</v>
      </c>
      <c r="L35" s="63">
        <f t="shared" si="3"/>
        <v>128207.90341084989</v>
      </c>
      <c r="Q35" s="783">
        <f>IFERROR(VLOOKUP($A35,'LAC CMA'!$F$15:$M$325,5,FALSE),0)</f>
        <v>0</v>
      </c>
    </row>
    <row r="36" spans="1:17" x14ac:dyDescent="0.2">
      <c r="A36" s="805" t="str">
        <f t="shared" si="0"/>
        <v>6070</v>
      </c>
      <c r="B36" s="806"/>
      <c r="C36" s="807">
        <f t="shared" si="4"/>
        <v>17</v>
      </c>
      <c r="D36" s="808" t="str">
        <f>IF(Schedule_B!B36="","",Schedule_B!B36)</f>
        <v>CR</v>
      </c>
      <c r="E36" s="809" t="str">
        <f>IF(Schedule_B!C36="","",Schedule_B!C36)</f>
        <v>60</v>
      </c>
      <c r="F36" s="809" t="str">
        <f>IF(Schedule_B!D36="","",Schedule_B!D36)</f>
        <v>70</v>
      </c>
      <c r="G36" s="4">
        <f>IF(Schedule_B!E36="",0,Schedule_B!E36)</f>
        <v>1</v>
      </c>
      <c r="H36" s="1232">
        <v>1859961</v>
      </c>
      <c r="I36" s="1233"/>
      <c r="J36" s="5">
        <f t="shared" si="1"/>
        <v>0</v>
      </c>
      <c r="K36" s="64">
        <f t="shared" si="2"/>
        <v>0</v>
      </c>
      <c r="L36" s="63">
        <f t="shared" si="3"/>
        <v>1859961</v>
      </c>
      <c r="Q36" s="783">
        <f>IFERROR(VLOOKUP($A36,'LAC CMA'!$F$15:$M$325,5,FALSE),0)</f>
        <v>0</v>
      </c>
    </row>
    <row r="37" spans="1:17" x14ac:dyDescent="0.2">
      <c r="A37" s="805" t="str">
        <f t="shared" si="0"/>
        <v>6071</v>
      </c>
      <c r="B37" s="806"/>
      <c r="C37" s="807">
        <f t="shared" si="4"/>
        <v>18</v>
      </c>
      <c r="D37" s="808" t="str">
        <f>IF(Schedule_B!B37="","",Schedule_B!B37)</f>
        <v>CR</v>
      </c>
      <c r="E37" s="809" t="str">
        <f>IF(Schedule_B!C37="","",Schedule_B!C37)</f>
        <v>60</v>
      </c>
      <c r="F37" s="809" t="str">
        <f>IF(Schedule_B!D37="","",Schedule_B!D37)</f>
        <v>71</v>
      </c>
      <c r="G37" s="4">
        <f>IF(Schedule_B!E37="",0,Schedule_B!E37)</f>
        <v>1</v>
      </c>
      <c r="H37" s="1232">
        <v>1050</v>
      </c>
      <c r="I37" s="1232"/>
      <c r="J37" s="5">
        <f t="shared" si="1"/>
        <v>0</v>
      </c>
      <c r="K37" s="64">
        <f t="shared" si="2"/>
        <v>0</v>
      </c>
      <c r="L37" s="63">
        <f t="shared" si="3"/>
        <v>1050</v>
      </c>
      <c r="Q37" s="783">
        <f>IFERROR(VLOOKUP($A37,'LAC CMA'!$F$15:$M$325,5,FALSE),0)</f>
        <v>0</v>
      </c>
    </row>
    <row r="38" spans="1:17" x14ac:dyDescent="0.2">
      <c r="A38" s="805" t="str">
        <f t="shared" si="0"/>
        <v>6072</v>
      </c>
      <c r="B38" s="806"/>
      <c r="C38" s="807">
        <f t="shared" si="4"/>
        <v>19</v>
      </c>
      <c r="D38" s="808" t="str">
        <f>IF(Schedule_B!B38="","",Schedule_B!B38)</f>
        <v>CR</v>
      </c>
      <c r="E38" s="809" t="str">
        <f>IF(Schedule_B!C38="","",Schedule_B!C38)</f>
        <v>60</v>
      </c>
      <c r="F38" s="809" t="str">
        <f>IF(Schedule_B!D38="","",Schedule_B!D38)</f>
        <v>72</v>
      </c>
      <c r="G38" s="4">
        <f>IF(Schedule_B!E38="",0,Schedule_B!E38)</f>
        <v>1</v>
      </c>
      <c r="H38" s="1232">
        <v>142246</v>
      </c>
      <c r="I38" s="1232"/>
      <c r="J38" s="5">
        <f t="shared" si="1"/>
        <v>0</v>
      </c>
      <c r="K38" s="64">
        <f t="shared" si="2"/>
        <v>0</v>
      </c>
      <c r="L38" s="63">
        <f t="shared" si="3"/>
        <v>142246</v>
      </c>
      <c r="Q38" s="783">
        <f>IFERROR(VLOOKUP($A38,'LAC CMA'!$F$15:$M$325,5,FALSE),0)</f>
        <v>0</v>
      </c>
    </row>
    <row r="39" spans="1:17" x14ac:dyDescent="0.2">
      <c r="A39" s="805" t="str">
        <f t="shared" si="0"/>
        <v>6078</v>
      </c>
      <c r="B39" s="806"/>
      <c r="C39" s="807">
        <f t="shared" si="4"/>
        <v>20</v>
      </c>
      <c r="D39" s="808" t="str">
        <f>IF(Schedule_B!B39="","",Schedule_B!B39)</f>
        <v>CR</v>
      </c>
      <c r="E39" s="809" t="str">
        <f>IF(Schedule_B!C39="","",Schedule_B!C39)</f>
        <v>60</v>
      </c>
      <c r="F39" s="809" t="str">
        <f>IF(Schedule_B!D39="","",Schedule_B!D39)</f>
        <v>78</v>
      </c>
      <c r="G39" s="4">
        <f>IF(Schedule_B!E39="",0,Schedule_B!E39)</f>
        <v>1</v>
      </c>
      <c r="H39" s="1232">
        <v>763438</v>
      </c>
      <c r="I39" s="1232"/>
      <c r="J39" s="5">
        <f t="shared" si="1"/>
        <v>0</v>
      </c>
      <c r="K39" s="64">
        <f t="shared" si="2"/>
        <v>0</v>
      </c>
      <c r="L39" s="63">
        <f t="shared" si="3"/>
        <v>763438</v>
      </c>
      <c r="Q39" s="783">
        <f>IFERROR(VLOOKUP($A39,'LAC CMA'!$F$15:$M$325,5,FALSE),0)</f>
        <v>0</v>
      </c>
    </row>
    <row r="40" spans="1:17" x14ac:dyDescent="0.2">
      <c r="A40" s="805" t="str">
        <f t="shared" si="0"/>
        <v/>
      </c>
      <c r="B40" s="806"/>
      <c r="C40" s="807">
        <f t="shared" si="4"/>
        <v>21</v>
      </c>
      <c r="D40" s="808" t="str">
        <f>IF(Schedule_B!B40="","",Schedule_B!B40)</f>
        <v/>
      </c>
      <c r="E40" s="809" t="str">
        <f>IF(Schedule_B!C40="","",Schedule_B!C40)</f>
        <v/>
      </c>
      <c r="F40" s="809" t="str">
        <f>IF(Schedule_B!D40="","",Schedule_B!D40)</f>
        <v/>
      </c>
      <c r="G40" s="4">
        <f>IF(Schedule_B!E40="",0,Schedule_B!E40)</f>
        <v>0</v>
      </c>
      <c r="H40" s="1232"/>
      <c r="I40" s="1232"/>
      <c r="J40" s="5">
        <f t="shared" si="1"/>
        <v>0</v>
      </c>
      <c r="K40" s="64">
        <f t="shared" si="2"/>
        <v>0</v>
      </c>
      <c r="L40" s="63">
        <f t="shared" si="3"/>
        <v>0</v>
      </c>
      <c r="Q40" s="783">
        <f>IFERROR(VLOOKUP($A40,'LAC CMA'!$F$15:$M$325,5,FALSE),0)</f>
        <v>0</v>
      </c>
    </row>
    <row r="41" spans="1:17" x14ac:dyDescent="0.2">
      <c r="A41" s="805" t="str">
        <f t="shared" si="0"/>
        <v/>
      </c>
      <c r="B41" s="806"/>
      <c r="C41" s="807">
        <f t="shared" si="4"/>
        <v>22</v>
      </c>
      <c r="D41" s="808" t="str">
        <f>IF(Schedule_B!B41="","",Schedule_B!B41)</f>
        <v/>
      </c>
      <c r="E41" s="809" t="str">
        <f>IF(Schedule_B!C41="","",Schedule_B!C41)</f>
        <v/>
      </c>
      <c r="F41" s="809" t="str">
        <f>IF(Schedule_B!D41="","",Schedule_B!D41)</f>
        <v/>
      </c>
      <c r="G41" s="4">
        <f>IF(Schedule_B!E41="",0,Schedule_B!E41)</f>
        <v>0</v>
      </c>
      <c r="H41" s="1232"/>
      <c r="I41" s="1232"/>
      <c r="J41" s="5">
        <f t="shared" si="1"/>
        <v>0</v>
      </c>
      <c r="K41" s="64">
        <f t="shared" si="2"/>
        <v>0</v>
      </c>
      <c r="L41" s="63">
        <f t="shared" si="3"/>
        <v>0</v>
      </c>
      <c r="Q41" s="783">
        <f>IFERROR(VLOOKUP($A41,'LAC CMA'!$F$15:$M$325,5,FALSE),0)</f>
        <v>0</v>
      </c>
    </row>
    <row r="42" spans="1:17" x14ac:dyDescent="0.2">
      <c r="A42" s="805" t="str">
        <f t="shared" si="0"/>
        <v/>
      </c>
      <c r="B42" s="806"/>
      <c r="C42" s="807">
        <f t="shared" si="4"/>
        <v>23</v>
      </c>
      <c r="D42" s="808" t="str">
        <f>IF(Schedule_B!B42="","",Schedule_B!B42)</f>
        <v/>
      </c>
      <c r="E42" s="809" t="str">
        <f>IF(Schedule_B!C42="","",Schedule_B!C42)</f>
        <v/>
      </c>
      <c r="F42" s="809" t="str">
        <f>IF(Schedule_B!D42="","",Schedule_B!D42)</f>
        <v/>
      </c>
      <c r="G42" s="4">
        <f>IF(Schedule_B!E42="",0,Schedule_B!E42)</f>
        <v>0</v>
      </c>
      <c r="H42" s="1232"/>
      <c r="I42" s="1232"/>
      <c r="J42" s="5">
        <f t="shared" si="1"/>
        <v>0</v>
      </c>
      <c r="K42" s="64">
        <f t="shared" si="2"/>
        <v>0</v>
      </c>
      <c r="L42" s="63">
        <f t="shared" si="3"/>
        <v>0</v>
      </c>
      <c r="Q42" s="783">
        <f>IFERROR(VLOOKUP($A42,'LAC CMA'!$F$15:$M$325,5,FALSE),0)</f>
        <v>0</v>
      </c>
    </row>
    <row r="43" spans="1:17" x14ac:dyDescent="0.2">
      <c r="A43" s="805" t="str">
        <f t="shared" si="0"/>
        <v/>
      </c>
      <c r="B43" s="806"/>
      <c r="C43" s="807">
        <f t="shared" si="4"/>
        <v>24</v>
      </c>
      <c r="D43" s="808" t="str">
        <f>IF(Schedule_B!B43="","",Schedule_B!B43)</f>
        <v/>
      </c>
      <c r="E43" s="809" t="str">
        <f>IF(Schedule_B!C43="","",Schedule_B!C43)</f>
        <v/>
      </c>
      <c r="F43" s="809" t="str">
        <f>IF(Schedule_B!D43="","",Schedule_B!D43)</f>
        <v/>
      </c>
      <c r="G43" s="4">
        <f>IF(Schedule_B!E43="",0,Schedule_B!E43)</f>
        <v>0</v>
      </c>
      <c r="H43" s="1232"/>
      <c r="I43" s="1232"/>
      <c r="J43" s="5">
        <f t="shared" si="1"/>
        <v>0</v>
      </c>
      <c r="K43" s="64">
        <f t="shared" si="2"/>
        <v>0</v>
      </c>
      <c r="L43" s="63">
        <f t="shared" si="3"/>
        <v>0</v>
      </c>
      <c r="Q43" s="783">
        <f>IFERROR(VLOOKUP($A43,'LAC CMA'!$F$15:$M$325,5,FALSE),0)</f>
        <v>0</v>
      </c>
    </row>
    <row r="44" spans="1:17" x14ac:dyDescent="0.2">
      <c r="A44" s="805" t="str">
        <f t="shared" si="0"/>
        <v/>
      </c>
      <c r="B44" s="806"/>
      <c r="C44" s="807">
        <f t="shared" si="4"/>
        <v>25</v>
      </c>
      <c r="D44" s="808" t="str">
        <f>IF(Schedule_B!B44="","",Schedule_B!B44)</f>
        <v/>
      </c>
      <c r="E44" s="809" t="str">
        <f>IF(Schedule_B!C44="","",Schedule_B!C44)</f>
        <v/>
      </c>
      <c r="F44" s="809" t="str">
        <f>IF(Schedule_B!D44="","",Schedule_B!D44)</f>
        <v/>
      </c>
      <c r="G44" s="4">
        <f>IF(Schedule_B!E44="",0,Schedule_B!E44)</f>
        <v>0</v>
      </c>
      <c r="H44" s="1232"/>
      <c r="I44" s="1232"/>
      <c r="J44" s="5">
        <f t="shared" si="1"/>
        <v>0</v>
      </c>
      <c r="K44" s="64">
        <f t="shared" si="2"/>
        <v>0</v>
      </c>
      <c r="L44" s="63">
        <f t="shared" si="3"/>
        <v>0</v>
      </c>
      <c r="Q44" s="783">
        <f>IFERROR(VLOOKUP($A44,'LAC CMA'!$F$15:$M$325,5,FALSE),0)</f>
        <v>0</v>
      </c>
    </row>
    <row r="45" spans="1:17" x14ac:dyDescent="0.2">
      <c r="A45" s="805" t="str">
        <f t="shared" si="0"/>
        <v/>
      </c>
      <c r="B45" s="806"/>
      <c r="C45" s="807">
        <f t="shared" si="4"/>
        <v>26</v>
      </c>
      <c r="D45" s="808" t="str">
        <f>IF(Schedule_B!B45="","",Schedule_B!B45)</f>
        <v/>
      </c>
      <c r="E45" s="809" t="str">
        <f>IF(Schedule_B!C45="","",Schedule_B!C45)</f>
        <v/>
      </c>
      <c r="F45" s="809" t="str">
        <f>IF(Schedule_B!D45="","",Schedule_B!D45)</f>
        <v/>
      </c>
      <c r="G45" s="4">
        <f>IF(Schedule_B!E45="",0,Schedule_B!E45)</f>
        <v>0</v>
      </c>
      <c r="H45" s="1232"/>
      <c r="I45" s="1233"/>
      <c r="J45" s="5">
        <f t="shared" si="1"/>
        <v>0</v>
      </c>
      <c r="K45" s="64">
        <f t="shared" si="2"/>
        <v>0</v>
      </c>
      <c r="L45" s="63">
        <f t="shared" si="3"/>
        <v>0</v>
      </c>
      <c r="Q45" s="783">
        <f>IFERROR(VLOOKUP($A45,'LAC CMA'!$F$15:$M$325,5,FALSE),0)</f>
        <v>0</v>
      </c>
    </row>
    <row r="46" spans="1:17" x14ac:dyDescent="0.2">
      <c r="A46" s="805" t="str">
        <f t="shared" si="0"/>
        <v/>
      </c>
      <c r="B46" s="806"/>
      <c r="C46" s="807">
        <f t="shared" si="4"/>
        <v>27</v>
      </c>
      <c r="D46" s="808" t="str">
        <f>IF(Schedule_B!B46="","",Schedule_B!B46)</f>
        <v/>
      </c>
      <c r="E46" s="809" t="str">
        <f>IF(Schedule_B!C46="","",Schedule_B!C46)</f>
        <v/>
      </c>
      <c r="F46" s="809" t="str">
        <f>IF(Schedule_B!D46="","",Schedule_B!D46)</f>
        <v/>
      </c>
      <c r="G46" s="4">
        <f>IF(Schedule_B!E46="",0,Schedule_B!E46)</f>
        <v>0</v>
      </c>
      <c r="H46" s="1232"/>
      <c r="I46" s="1233"/>
      <c r="J46" s="5">
        <f t="shared" si="1"/>
        <v>0</v>
      </c>
      <c r="K46" s="64">
        <f t="shared" si="2"/>
        <v>0</v>
      </c>
      <c r="L46" s="63">
        <f t="shared" si="3"/>
        <v>0</v>
      </c>
      <c r="Q46" s="783">
        <f>IFERROR(VLOOKUP($A46,'LAC CMA'!$F$15:$M$325,5,FALSE),0)</f>
        <v>0</v>
      </c>
    </row>
    <row r="47" spans="1:17" x14ac:dyDescent="0.2">
      <c r="A47" s="805" t="str">
        <f t="shared" si="0"/>
        <v/>
      </c>
      <c r="B47" s="806"/>
      <c r="C47" s="807">
        <f t="shared" si="4"/>
        <v>28</v>
      </c>
      <c r="D47" s="808" t="str">
        <f>IF(Schedule_B!B47="","",Schedule_B!B47)</f>
        <v/>
      </c>
      <c r="E47" s="809" t="str">
        <f>IF(Schedule_B!C47="","",Schedule_B!C47)</f>
        <v/>
      </c>
      <c r="F47" s="809" t="str">
        <f>IF(Schedule_B!D47="","",Schedule_B!D47)</f>
        <v/>
      </c>
      <c r="G47" s="4">
        <f>IF(Schedule_B!E47="",0,Schedule_B!E47)</f>
        <v>0</v>
      </c>
      <c r="H47" s="1232"/>
      <c r="I47" s="1233"/>
      <c r="J47" s="5">
        <f t="shared" si="1"/>
        <v>0</v>
      </c>
      <c r="K47" s="64">
        <f t="shared" si="2"/>
        <v>0</v>
      </c>
      <c r="L47" s="63">
        <f t="shared" si="3"/>
        <v>0</v>
      </c>
      <c r="Q47" s="783">
        <f>IFERROR(VLOOKUP($A47,'LAC CMA'!$F$15:$M$325,5,FALSE),0)</f>
        <v>0</v>
      </c>
    </row>
    <row r="48" spans="1:17" x14ac:dyDescent="0.2">
      <c r="A48" s="805" t="str">
        <f t="shared" si="0"/>
        <v/>
      </c>
      <c r="B48" s="806"/>
      <c r="C48" s="807">
        <f t="shared" si="4"/>
        <v>29</v>
      </c>
      <c r="D48" s="808" t="str">
        <f>IF(Schedule_B!B48="","",Schedule_B!B48)</f>
        <v/>
      </c>
      <c r="E48" s="809" t="str">
        <f>IF(Schedule_B!C48="","",Schedule_B!C48)</f>
        <v/>
      </c>
      <c r="F48" s="809" t="str">
        <f>IF(Schedule_B!D48="","",Schedule_B!D48)</f>
        <v/>
      </c>
      <c r="G48" s="4">
        <f>IF(Schedule_B!E48="",0,Schedule_B!E48)</f>
        <v>0</v>
      </c>
      <c r="H48" s="1232"/>
      <c r="I48" s="1233"/>
      <c r="J48" s="5">
        <f t="shared" si="1"/>
        <v>0</v>
      </c>
      <c r="K48" s="64">
        <f t="shared" si="2"/>
        <v>0</v>
      </c>
      <c r="L48" s="63">
        <f t="shared" si="3"/>
        <v>0</v>
      </c>
      <c r="Q48" s="783">
        <f>IFERROR(VLOOKUP($A48,'LAC CMA'!$F$15:$M$325,5,FALSE),0)</f>
        <v>0</v>
      </c>
    </row>
    <row r="49" spans="1:17" x14ac:dyDescent="0.2">
      <c r="A49" s="805" t="str">
        <f t="shared" si="0"/>
        <v/>
      </c>
      <c r="B49" s="806"/>
      <c r="C49" s="807">
        <f t="shared" si="4"/>
        <v>30</v>
      </c>
      <c r="D49" s="808" t="str">
        <f>IF(Schedule_B!B49="","",Schedule_B!B49)</f>
        <v/>
      </c>
      <c r="E49" s="809" t="str">
        <f>IF(Schedule_B!C49="","",Schedule_B!C49)</f>
        <v/>
      </c>
      <c r="F49" s="809" t="str">
        <f>IF(Schedule_B!D49="","",Schedule_B!D49)</f>
        <v/>
      </c>
      <c r="G49" s="4">
        <f>IF(Schedule_B!E49="",0,Schedule_B!E49)</f>
        <v>0</v>
      </c>
      <c r="H49" s="1232"/>
      <c r="I49" s="1233"/>
      <c r="J49" s="5">
        <f t="shared" si="1"/>
        <v>0</v>
      </c>
      <c r="K49" s="64">
        <f t="shared" si="2"/>
        <v>0</v>
      </c>
      <c r="L49" s="63">
        <f t="shared" si="3"/>
        <v>0</v>
      </c>
      <c r="Q49" s="783">
        <f>IFERROR(VLOOKUP($A49,'LAC CMA'!$F$15:$M$325,5,FALSE),0)</f>
        <v>0</v>
      </c>
    </row>
    <row r="50" spans="1:17" x14ac:dyDescent="0.2">
      <c r="A50" s="805" t="str">
        <f t="shared" si="0"/>
        <v/>
      </c>
      <c r="B50" s="806"/>
      <c r="C50" s="807">
        <f t="shared" si="4"/>
        <v>31</v>
      </c>
      <c r="D50" s="808" t="str">
        <f>IF(Schedule_B!B50="","",Schedule_B!B50)</f>
        <v/>
      </c>
      <c r="E50" s="809" t="str">
        <f>IF(Schedule_B!C50="","",Schedule_B!C50)</f>
        <v/>
      </c>
      <c r="F50" s="809" t="str">
        <f>IF(Schedule_B!D50="","",Schedule_B!D50)</f>
        <v/>
      </c>
      <c r="G50" s="4">
        <f>IF(Schedule_B!E50="",0,Schedule_B!E50)</f>
        <v>0</v>
      </c>
      <c r="H50" s="1232"/>
      <c r="I50" s="1233"/>
      <c r="J50" s="5">
        <f t="shared" si="1"/>
        <v>0</v>
      </c>
      <c r="K50" s="64">
        <f t="shared" si="2"/>
        <v>0</v>
      </c>
      <c r="L50" s="63">
        <f t="shared" si="3"/>
        <v>0</v>
      </c>
      <c r="Q50" s="783">
        <f>IFERROR(VLOOKUP($A50,'LAC CMA'!$F$15:$M$325,5,FALSE),0)</f>
        <v>0</v>
      </c>
    </row>
    <row r="51" spans="1:17" x14ac:dyDescent="0.2">
      <c r="A51" s="805" t="str">
        <f t="shared" si="0"/>
        <v/>
      </c>
      <c r="B51" s="806"/>
      <c r="C51" s="807">
        <f t="shared" si="4"/>
        <v>32</v>
      </c>
      <c r="D51" s="808" t="str">
        <f>IF(Schedule_B!B51="","",Schedule_B!B51)</f>
        <v/>
      </c>
      <c r="E51" s="809" t="str">
        <f>IF(Schedule_B!C51="","",Schedule_B!C51)</f>
        <v/>
      </c>
      <c r="F51" s="809" t="str">
        <f>IF(Schedule_B!D51="","",Schedule_B!D51)</f>
        <v/>
      </c>
      <c r="G51" s="4">
        <f>IF(Schedule_B!E51="",0,Schedule_B!E51)</f>
        <v>0</v>
      </c>
      <c r="H51" s="1232"/>
      <c r="I51" s="1233"/>
      <c r="J51" s="5">
        <f t="shared" si="1"/>
        <v>0</v>
      </c>
      <c r="K51" s="64">
        <f t="shared" si="2"/>
        <v>0</v>
      </c>
      <c r="L51" s="63">
        <f t="shared" si="3"/>
        <v>0</v>
      </c>
      <c r="Q51" s="783">
        <f>IFERROR(VLOOKUP($A51,'LAC CMA'!$F$15:$M$325,5,FALSE),0)</f>
        <v>0</v>
      </c>
    </row>
    <row r="52" spans="1:17" x14ac:dyDescent="0.2">
      <c r="A52" s="805" t="str">
        <f t="shared" si="0"/>
        <v/>
      </c>
      <c r="B52" s="806"/>
      <c r="C52" s="807">
        <f t="shared" si="4"/>
        <v>33</v>
      </c>
      <c r="D52" s="808" t="str">
        <f>IF(Schedule_B!B52="","",Schedule_B!B52)</f>
        <v/>
      </c>
      <c r="E52" s="809" t="str">
        <f>IF(Schedule_B!C52="","",Schedule_B!C52)</f>
        <v/>
      </c>
      <c r="F52" s="809" t="str">
        <f>IF(Schedule_B!D52="","",Schedule_B!D52)</f>
        <v/>
      </c>
      <c r="G52" s="4">
        <f>IF(Schedule_B!E52="",0,Schedule_B!E52)</f>
        <v>0</v>
      </c>
      <c r="H52" s="1232"/>
      <c r="I52" s="1233"/>
      <c r="J52" s="5">
        <f t="shared" si="1"/>
        <v>0</v>
      </c>
      <c r="K52" s="64">
        <f t="shared" si="2"/>
        <v>0</v>
      </c>
      <c r="L52" s="63">
        <f t="shared" si="3"/>
        <v>0</v>
      </c>
      <c r="Q52" s="783">
        <f>IFERROR(VLOOKUP($A52,'LAC CMA'!$F$15:$M$325,5,FALSE),0)</f>
        <v>0</v>
      </c>
    </row>
    <row r="53" spans="1:17" x14ac:dyDescent="0.2">
      <c r="A53" s="805" t="str">
        <f t="shared" si="0"/>
        <v/>
      </c>
      <c r="B53" s="806"/>
      <c r="C53" s="807">
        <f t="shared" si="4"/>
        <v>34</v>
      </c>
      <c r="D53" s="808" t="str">
        <f>IF(Schedule_B!B53="","",Schedule_B!B53)</f>
        <v/>
      </c>
      <c r="E53" s="809" t="str">
        <f>IF(Schedule_B!C53="","",Schedule_B!C53)</f>
        <v/>
      </c>
      <c r="F53" s="809" t="str">
        <f>IF(Schedule_B!D53="","",Schedule_B!D53)</f>
        <v/>
      </c>
      <c r="G53" s="4">
        <f>IF(Schedule_B!E53="",0,Schedule_B!E53)</f>
        <v>0</v>
      </c>
      <c r="H53" s="1232"/>
      <c r="I53" s="1233"/>
      <c r="J53" s="5">
        <f t="shared" si="1"/>
        <v>0</v>
      </c>
      <c r="K53" s="64">
        <f t="shared" si="2"/>
        <v>0</v>
      </c>
      <c r="L53" s="63">
        <f t="shared" si="3"/>
        <v>0</v>
      </c>
      <c r="Q53" s="783">
        <f>IFERROR(VLOOKUP($A53,'LAC CMA'!$F$15:$M$325,5,FALSE),0)</f>
        <v>0</v>
      </c>
    </row>
    <row r="54" spans="1:17" x14ac:dyDescent="0.2">
      <c r="A54" s="805" t="str">
        <f t="shared" si="0"/>
        <v/>
      </c>
      <c r="B54" s="806"/>
      <c r="C54" s="807">
        <f t="shared" si="4"/>
        <v>35</v>
      </c>
      <c r="D54" s="808" t="str">
        <f>IF(Schedule_B!B54="","",Schedule_B!B54)</f>
        <v/>
      </c>
      <c r="E54" s="809" t="str">
        <f>IF(Schedule_B!C54="","",Schedule_B!C54)</f>
        <v/>
      </c>
      <c r="F54" s="809" t="str">
        <f>IF(Schedule_B!D54="","",Schedule_B!D54)</f>
        <v/>
      </c>
      <c r="G54" s="4">
        <f>IF(Schedule_B!E54="",0,Schedule_B!E54)</f>
        <v>0</v>
      </c>
      <c r="H54" s="1232"/>
      <c r="I54" s="1233"/>
      <c r="J54" s="5">
        <f t="shared" si="1"/>
        <v>0</v>
      </c>
      <c r="K54" s="64">
        <f t="shared" si="2"/>
        <v>0</v>
      </c>
      <c r="L54" s="63">
        <f t="shared" si="3"/>
        <v>0</v>
      </c>
      <c r="Q54" s="783">
        <f>IFERROR(VLOOKUP($A54,'LAC CMA'!$F$15:$M$325,5,FALSE),0)</f>
        <v>0</v>
      </c>
    </row>
    <row r="55" spans="1:17" x14ac:dyDescent="0.2">
      <c r="A55" s="805" t="str">
        <f t="shared" si="0"/>
        <v/>
      </c>
      <c r="B55" s="806"/>
      <c r="C55" s="807">
        <f t="shared" si="4"/>
        <v>36</v>
      </c>
      <c r="D55" s="808" t="str">
        <f>IF(Schedule_B!B55="","",Schedule_B!B55)</f>
        <v/>
      </c>
      <c r="E55" s="809" t="str">
        <f>IF(Schedule_B!C55="","",Schedule_B!C55)</f>
        <v/>
      </c>
      <c r="F55" s="809" t="str">
        <f>IF(Schedule_B!D55="","",Schedule_B!D55)</f>
        <v/>
      </c>
      <c r="G55" s="4">
        <f>IF(Schedule_B!E55="",0,Schedule_B!E55)</f>
        <v>0</v>
      </c>
      <c r="H55" s="1232"/>
      <c r="I55" s="1233"/>
      <c r="J55" s="5">
        <f t="shared" si="1"/>
        <v>0</v>
      </c>
      <c r="K55" s="64">
        <f t="shared" si="2"/>
        <v>0</v>
      </c>
      <c r="L55" s="63">
        <f t="shared" si="3"/>
        <v>0</v>
      </c>
      <c r="Q55" s="783">
        <f>IFERROR(VLOOKUP($A55,'LAC CMA'!$F$15:$M$325,5,FALSE),0)</f>
        <v>0</v>
      </c>
    </row>
    <row r="56" spans="1:17" x14ac:dyDescent="0.2">
      <c r="A56" s="805" t="str">
        <f t="shared" si="0"/>
        <v/>
      </c>
      <c r="B56" s="806"/>
      <c r="C56" s="807">
        <f t="shared" si="4"/>
        <v>37</v>
      </c>
      <c r="D56" s="808" t="str">
        <f>IF(Schedule_B!B56="","",Schedule_B!B56)</f>
        <v/>
      </c>
      <c r="E56" s="809" t="str">
        <f>IF(Schedule_B!C56="","",Schedule_B!C56)</f>
        <v/>
      </c>
      <c r="F56" s="809" t="str">
        <f>IF(Schedule_B!D56="","",Schedule_B!D56)</f>
        <v/>
      </c>
      <c r="G56" s="4">
        <f>IF(Schedule_B!E56="",0,Schedule_B!E56)</f>
        <v>0</v>
      </c>
      <c r="H56" s="1232"/>
      <c r="I56" s="1233"/>
      <c r="J56" s="5">
        <f t="shared" si="1"/>
        <v>0</v>
      </c>
      <c r="K56" s="64">
        <f t="shared" si="2"/>
        <v>0</v>
      </c>
      <c r="L56" s="63">
        <f t="shared" si="3"/>
        <v>0</v>
      </c>
      <c r="Q56" s="783">
        <f>IFERROR(VLOOKUP($A56,'LAC CMA'!$F$15:$M$325,5,FALSE),0)</f>
        <v>0</v>
      </c>
    </row>
    <row r="57" spans="1:17" x14ac:dyDescent="0.2">
      <c r="A57" s="805" t="str">
        <f t="shared" si="0"/>
        <v/>
      </c>
      <c r="B57" s="806"/>
      <c r="C57" s="807">
        <f t="shared" si="4"/>
        <v>38</v>
      </c>
      <c r="D57" s="808" t="str">
        <f>IF(Schedule_B!B57="","",Schedule_B!B57)</f>
        <v/>
      </c>
      <c r="E57" s="809" t="str">
        <f>IF(Schedule_B!C57="","",Schedule_B!C57)</f>
        <v/>
      </c>
      <c r="F57" s="809" t="str">
        <f>IF(Schedule_B!D57="","",Schedule_B!D57)</f>
        <v/>
      </c>
      <c r="G57" s="4">
        <f>IF(Schedule_B!E57="",0,Schedule_B!E57)</f>
        <v>0</v>
      </c>
      <c r="H57" s="1232"/>
      <c r="I57" s="1233"/>
      <c r="J57" s="5">
        <f t="shared" si="1"/>
        <v>0</v>
      </c>
      <c r="K57" s="64">
        <f t="shared" si="2"/>
        <v>0</v>
      </c>
      <c r="L57" s="63">
        <f t="shared" si="3"/>
        <v>0</v>
      </c>
      <c r="Q57" s="783">
        <f>IFERROR(VLOOKUP($A57,'LAC CMA'!$F$15:$M$325,5,FALSE),0)</f>
        <v>0</v>
      </c>
    </row>
    <row r="58" spans="1:17" x14ac:dyDescent="0.2">
      <c r="A58" s="805" t="str">
        <f t="shared" si="0"/>
        <v/>
      </c>
      <c r="B58" s="806"/>
      <c r="C58" s="807">
        <f t="shared" si="4"/>
        <v>39</v>
      </c>
      <c r="D58" s="808" t="str">
        <f>IF(Schedule_B!B58="","",Schedule_B!B58)</f>
        <v/>
      </c>
      <c r="E58" s="809" t="str">
        <f>IF(Schedule_B!C58="","",Schedule_B!C58)</f>
        <v/>
      </c>
      <c r="F58" s="809" t="str">
        <f>IF(Schedule_B!D58="","",Schedule_B!D58)</f>
        <v/>
      </c>
      <c r="G58" s="4">
        <f>IF(Schedule_B!E58="",0,Schedule_B!E58)</f>
        <v>0</v>
      </c>
      <c r="H58" s="1232"/>
      <c r="I58" s="1233"/>
      <c r="J58" s="5">
        <f t="shared" si="1"/>
        <v>0</v>
      </c>
      <c r="K58" s="64">
        <f t="shared" si="2"/>
        <v>0</v>
      </c>
      <c r="L58" s="63">
        <f t="shared" si="3"/>
        <v>0</v>
      </c>
      <c r="Q58" s="783">
        <f>IFERROR(VLOOKUP($A58,'LAC CMA'!$F$15:$M$325,5,FALSE),0)</f>
        <v>0</v>
      </c>
    </row>
    <row r="59" spans="1:17" x14ac:dyDescent="0.2">
      <c r="A59" s="805" t="str">
        <f t="shared" si="0"/>
        <v/>
      </c>
      <c r="B59" s="806"/>
      <c r="C59" s="807">
        <f t="shared" si="4"/>
        <v>40</v>
      </c>
      <c r="D59" s="808" t="str">
        <f>IF(Schedule_B!B59="","",Schedule_B!B59)</f>
        <v/>
      </c>
      <c r="E59" s="809" t="str">
        <f>IF(Schedule_B!C59="","",Schedule_B!C59)</f>
        <v/>
      </c>
      <c r="F59" s="809" t="str">
        <f>IF(Schedule_B!D59="","",Schedule_B!D59)</f>
        <v/>
      </c>
      <c r="G59" s="4">
        <f>IF(Schedule_B!E59="",0,Schedule_B!E59)</f>
        <v>0</v>
      </c>
      <c r="H59" s="1232"/>
      <c r="I59" s="1233"/>
      <c r="J59" s="5">
        <f t="shared" si="1"/>
        <v>0</v>
      </c>
      <c r="K59" s="64">
        <f t="shared" si="2"/>
        <v>0</v>
      </c>
      <c r="L59" s="63">
        <f t="shared" si="3"/>
        <v>0</v>
      </c>
      <c r="Q59" s="783">
        <f>IFERROR(VLOOKUP($A59,'LAC CMA'!$F$15:$M$325,5,FALSE),0)</f>
        <v>0</v>
      </c>
    </row>
    <row r="60" spans="1:17" x14ac:dyDescent="0.2">
      <c r="A60" s="805" t="str">
        <f t="shared" si="0"/>
        <v/>
      </c>
      <c r="B60" s="806"/>
      <c r="C60" s="807">
        <f t="shared" si="4"/>
        <v>41</v>
      </c>
      <c r="D60" s="808" t="str">
        <f>IF(Schedule_B!B60="","",Schedule_B!B60)</f>
        <v/>
      </c>
      <c r="E60" s="809" t="str">
        <f>IF(Schedule_B!C60="","",Schedule_B!C60)</f>
        <v/>
      </c>
      <c r="F60" s="809" t="str">
        <f>IF(Schedule_B!D60="","",Schedule_B!D60)</f>
        <v/>
      </c>
      <c r="G60" s="4">
        <f>IF(Schedule_B!E60="",0,Schedule_B!E60)</f>
        <v>0</v>
      </c>
      <c r="H60" s="1232"/>
      <c r="I60" s="1233"/>
      <c r="J60" s="5">
        <f t="shared" si="1"/>
        <v>0</v>
      </c>
      <c r="K60" s="64">
        <f t="shared" si="2"/>
        <v>0</v>
      </c>
      <c r="L60" s="63">
        <f t="shared" si="3"/>
        <v>0</v>
      </c>
      <c r="Q60" s="783">
        <f>IFERROR(VLOOKUP($A60,'LAC CMA'!$F$15:$M$325,5,FALSE),0)</f>
        <v>0</v>
      </c>
    </row>
    <row r="61" spans="1:17" x14ac:dyDescent="0.2">
      <c r="A61" s="805" t="str">
        <f t="shared" si="0"/>
        <v/>
      </c>
      <c r="B61" s="806"/>
      <c r="C61" s="807">
        <f t="shared" si="4"/>
        <v>42</v>
      </c>
      <c r="D61" s="808" t="str">
        <f>IF(Schedule_B!B61="","",Schedule_B!B61)</f>
        <v/>
      </c>
      <c r="E61" s="809" t="str">
        <f>IF(Schedule_B!C61="","",Schedule_B!C61)</f>
        <v/>
      </c>
      <c r="F61" s="809" t="str">
        <f>IF(Schedule_B!D61="","",Schedule_B!D61)</f>
        <v/>
      </c>
      <c r="G61" s="4">
        <f>IF(Schedule_B!E61="",0,Schedule_B!E61)</f>
        <v>0</v>
      </c>
      <c r="H61" s="1232"/>
      <c r="I61" s="1233"/>
      <c r="J61" s="5">
        <f t="shared" si="1"/>
        <v>0</v>
      </c>
      <c r="K61" s="64">
        <f t="shared" si="2"/>
        <v>0</v>
      </c>
      <c r="L61" s="63">
        <f t="shared" si="3"/>
        <v>0</v>
      </c>
      <c r="Q61" s="783">
        <f>IFERROR(VLOOKUP($A61,'LAC CMA'!$F$15:$M$325,5,FALSE),0)</f>
        <v>0</v>
      </c>
    </row>
    <row r="62" spans="1:17" x14ac:dyDescent="0.2">
      <c r="A62" s="805" t="str">
        <f t="shared" si="0"/>
        <v/>
      </c>
      <c r="B62" s="806"/>
      <c r="C62" s="807">
        <f t="shared" si="4"/>
        <v>43</v>
      </c>
      <c r="D62" s="808" t="str">
        <f>IF(Schedule_B!B62="","",Schedule_B!B62)</f>
        <v/>
      </c>
      <c r="E62" s="809" t="str">
        <f>IF(Schedule_B!C62="","",Schedule_B!C62)</f>
        <v/>
      </c>
      <c r="F62" s="809" t="str">
        <f>IF(Schedule_B!D62="","",Schedule_B!D62)</f>
        <v/>
      </c>
      <c r="G62" s="4">
        <f>IF(Schedule_B!E62="",0,Schedule_B!E62)</f>
        <v>0</v>
      </c>
      <c r="H62" s="1232"/>
      <c r="I62" s="1233"/>
      <c r="J62" s="5">
        <f t="shared" si="1"/>
        <v>0</v>
      </c>
      <c r="K62" s="64">
        <f t="shared" si="2"/>
        <v>0</v>
      </c>
      <c r="L62" s="63">
        <f t="shared" si="3"/>
        <v>0</v>
      </c>
      <c r="Q62" s="783">
        <f>IFERROR(VLOOKUP($A62,'LAC CMA'!$F$15:$M$325,5,FALSE),0)</f>
        <v>0</v>
      </c>
    </row>
    <row r="63" spans="1:17" x14ac:dyDescent="0.2">
      <c r="A63" s="805" t="str">
        <f t="shared" si="0"/>
        <v/>
      </c>
      <c r="B63" s="806"/>
      <c r="C63" s="807">
        <f t="shared" si="4"/>
        <v>44</v>
      </c>
      <c r="D63" s="808" t="str">
        <f>IF(Schedule_B!B63="","",Schedule_B!B63)</f>
        <v/>
      </c>
      <c r="E63" s="809" t="str">
        <f>IF(Schedule_B!C63="","",Schedule_B!C63)</f>
        <v/>
      </c>
      <c r="F63" s="809" t="str">
        <f>IF(Schedule_B!D63="","",Schedule_B!D63)</f>
        <v/>
      </c>
      <c r="G63" s="4">
        <f>IF(Schedule_B!E63="",0,Schedule_B!E63)</f>
        <v>0</v>
      </c>
      <c r="H63" s="1232"/>
      <c r="I63" s="1233"/>
      <c r="J63" s="5">
        <f t="shared" si="1"/>
        <v>0</v>
      </c>
      <c r="K63" s="64">
        <f t="shared" si="2"/>
        <v>0</v>
      </c>
      <c r="L63" s="63">
        <f t="shared" si="3"/>
        <v>0</v>
      </c>
      <c r="Q63" s="783">
        <f>IFERROR(VLOOKUP($A63,'LAC CMA'!$F$15:$M$325,5,FALSE),0)</f>
        <v>0</v>
      </c>
    </row>
    <row r="64" spans="1:17" x14ac:dyDescent="0.2">
      <c r="A64" s="805" t="str">
        <f t="shared" si="0"/>
        <v/>
      </c>
      <c r="B64" s="806"/>
      <c r="C64" s="807">
        <f t="shared" si="4"/>
        <v>45</v>
      </c>
      <c r="D64" s="808" t="str">
        <f>IF(Schedule_B!B64="","",Schedule_B!B64)</f>
        <v/>
      </c>
      <c r="E64" s="809" t="str">
        <f>IF(Schedule_B!C64="","",Schedule_B!C64)</f>
        <v/>
      </c>
      <c r="F64" s="809" t="str">
        <f>IF(Schedule_B!D64="","",Schedule_B!D64)</f>
        <v/>
      </c>
      <c r="G64" s="4">
        <f>IF(Schedule_B!E64="",0,Schedule_B!E64)</f>
        <v>0</v>
      </c>
      <c r="H64" s="1232"/>
      <c r="I64" s="1233"/>
      <c r="J64" s="5">
        <f t="shared" si="1"/>
        <v>0</v>
      </c>
      <c r="K64" s="64">
        <f t="shared" si="2"/>
        <v>0</v>
      </c>
      <c r="L64" s="63">
        <f t="shared" si="3"/>
        <v>0</v>
      </c>
      <c r="Q64" s="783">
        <f>IFERROR(VLOOKUP($A64,'LAC CMA'!$F$15:$M$325,5,FALSE),0)</f>
        <v>0</v>
      </c>
    </row>
    <row r="65" spans="1:17" x14ac:dyDescent="0.2">
      <c r="A65" s="805" t="str">
        <f t="shared" si="0"/>
        <v/>
      </c>
      <c r="B65" s="806"/>
      <c r="C65" s="807">
        <f t="shared" si="4"/>
        <v>46</v>
      </c>
      <c r="D65" s="808" t="str">
        <f>IF(Schedule_B!B65="","",Schedule_B!B65)</f>
        <v/>
      </c>
      <c r="E65" s="809" t="str">
        <f>IF(Schedule_B!C65="","",Schedule_B!C65)</f>
        <v/>
      </c>
      <c r="F65" s="809" t="str">
        <f>IF(Schedule_B!D65="","",Schedule_B!D65)</f>
        <v/>
      </c>
      <c r="G65" s="4">
        <f>IF(Schedule_B!E65="",0,Schedule_B!E65)</f>
        <v>0</v>
      </c>
      <c r="H65" s="1232"/>
      <c r="I65" s="1233"/>
      <c r="J65" s="5">
        <f t="shared" si="1"/>
        <v>0</v>
      </c>
      <c r="K65" s="64">
        <f t="shared" si="2"/>
        <v>0</v>
      </c>
      <c r="L65" s="63">
        <f t="shared" si="3"/>
        <v>0</v>
      </c>
      <c r="Q65" s="783">
        <f>IFERROR(VLOOKUP($A65,'LAC CMA'!$F$15:$M$325,5,FALSE),0)</f>
        <v>0</v>
      </c>
    </row>
    <row r="66" spans="1:17" x14ac:dyDescent="0.2">
      <c r="A66" s="805" t="str">
        <f t="shared" si="0"/>
        <v/>
      </c>
      <c r="B66" s="806"/>
      <c r="C66" s="807">
        <f t="shared" si="4"/>
        <v>47</v>
      </c>
      <c r="D66" s="808" t="str">
        <f>IF(Schedule_B!B66="","",Schedule_B!B66)</f>
        <v/>
      </c>
      <c r="E66" s="809" t="str">
        <f>IF(Schedule_B!C66="","",Schedule_B!C66)</f>
        <v/>
      </c>
      <c r="F66" s="809" t="str">
        <f>IF(Schedule_B!D66="","",Schedule_B!D66)</f>
        <v/>
      </c>
      <c r="G66" s="4">
        <f>IF(Schedule_B!E66="",0,Schedule_B!E66)</f>
        <v>0</v>
      </c>
      <c r="H66" s="1232"/>
      <c r="I66" s="1233"/>
      <c r="J66" s="5">
        <f t="shared" si="1"/>
        <v>0</v>
      </c>
      <c r="K66" s="64">
        <f t="shared" si="2"/>
        <v>0</v>
      </c>
      <c r="L66" s="63">
        <f t="shared" si="3"/>
        <v>0</v>
      </c>
      <c r="Q66" s="783">
        <f>IFERROR(VLOOKUP($A66,'LAC CMA'!$F$15:$M$325,5,FALSE),0)</f>
        <v>0</v>
      </c>
    </row>
    <row r="67" spans="1:17" x14ac:dyDescent="0.2">
      <c r="A67" s="805" t="str">
        <f t="shared" si="0"/>
        <v/>
      </c>
      <c r="B67" s="806"/>
      <c r="C67" s="807">
        <f t="shared" si="4"/>
        <v>48</v>
      </c>
      <c r="D67" s="808" t="str">
        <f>IF(Schedule_B!B67="","",Schedule_B!B67)</f>
        <v/>
      </c>
      <c r="E67" s="809" t="str">
        <f>IF(Schedule_B!C67="","",Schedule_B!C67)</f>
        <v/>
      </c>
      <c r="F67" s="809" t="str">
        <f>IF(Schedule_B!D67="","",Schedule_B!D67)</f>
        <v/>
      </c>
      <c r="G67" s="4">
        <f>IF(Schedule_B!E67="",0,Schedule_B!E67)</f>
        <v>0</v>
      </c>
      <c r="H67" s="1232"/>
      <c r="I67" s="1233"/>
      <c r="J67" s="5">
        <f t="shared" si="1"/>
        <v>0</v>
      </c>
      <c r="K67" s="64">
        <f t="shared" si="2"/>
        <v>0</v>
      </c>
      <c r="L67" s="63">
        <f t="shared" si="3"/>
        <v>0</v>
      </c>
      <c r="Q67" s="783">
        <f>IFERROR(VLOOKUP($A67,'LAC CMA'!$F$15:$M$325,5,FALSE),0)</f>
        <v>0</v>
      </c>
    </row>
    <row r="68" spans="1:17" x14ac:dyDescent="0.2">
      <c r="A68" s="805" t="str">
        <f t="shared" si="0"/>
        <v/>
      </c>
      <c r="B68" s="806"/>
      <c r="C68" s="807">
        <f t="shared" si="4"/>
        <v>49</v>
      </c>
      <c r="D68" s="808" t="str">
        <f>IF(Schedule_B!B68="","",Schedule_B!B68)</f>
        <v/>
      </c>
      <c r="E68" s="809" t="str">
        <f>IF(Schedule_B!C68="","",Schedule_B!C68)</f>
        <v/>
      </c>
      <c r="F68" s="809" t="str">
        <f>IF(Schedule_B!D68="","",Schedule_B!D68)</f>
        <v/>
      </c>
      <c r="G68" s="4">
        <f>IF(Schedule_B!E68="",0,Schedule_B!E68)</f>
        <v>0</v>
      </c>
      <c r="H68" s="1232"/>
      <c r="I68" s="1233"/>
      <c r="J68" s="5">
        <f t="shared" si="1"/>
        <v>0</v>
      </c>
      <c r="K68" s="64">
        <f t="shared" si="2"/>
        <v>0</v>
      </c>
      <c r="L68" s="63">
        <f t="shared" si="3"/>
        <v>0</v>
      </c>
      <c r="Q68" s="783">
        <f>IFERROR(VLOOKUP($A68,'LAC CMA'!$F$15:$M$325,5,FALSE),0)</f>
        <v>0</v>
      </c>
    </row>
    <row r="69" spans="1:17" x14ac:dyDescent="0.2">
      <c r="A69" s="805" t="str">
        <f t="shared" si="0"/>
        <v/>
      </c>
      <c r="B69" s="806"/>
      <c r="C69" s="807">
        <f t="shared" si="4"/>
        <v>50</v>
      </c>
      <c r="D69" s="808" t="str">
        <f>IF(Schedule_B!B69="","",Schedule_B!B69)</f>
        <v/>
      </c>
      <c r="E69" s="809" t="str">
        <f>IF(Schedule_B!C69="","",Schedule_B!C69)</f>
        <v/>
      </c>
      <c r="F69" s="809" t="str">
        <f>IF(Schedule_B!D69="","",Schedule_B!D69)</f>
        <v/>
      </c>
      <c r="G69" s="4">
        <f>IF(Schedule_B!E69="",0,Schedule_B!E69)</f>
        <v>0</v>
      </c>
      <c r="H69" s="1232"/>
      <c r="I69" s="1233"/>
      <c r="J69" s="5">
        <f t="shared" si="1"/>
        <v>0</v>
      </c>
      <c r="K69" s="64">
        <f t="shared" si="2"/>
        <v>0</v>
      </c>
      <c r="L69" s="63">
        <f t="shared" si="3"/>
        <v>0</v>
      </c>
      <c r="Q69" s="783">
        <f>IFERROR(VLOOKUP($A69,'LAC CMA'!$F$15:$M$325,5,FALSE),0)</f>
        <v>0</v>
      </c>
    </row>
    <row r="70" spans="1:17" x14ac:dyDescent="0.2">
      <c r="A70" s="805" t="str">
        <f t="shared" si="0"/>
        <v/>
      </c>
      <c r="B70" s="806"/>
      <c r="C70" s="807">
        <f t="shared" si="4"/>
        <v>51</v>
      </c>
      <c r="D70" s="808" t="str">
        <f>IF(Schedule_B!B70="","",Schedule_B!B70)</f>
        <v/>
      </c>
      <c r="E70" s="809" t="str">
        <f>IF(Schedule_B!C70="","",Schedule_B!C70)</f>
        <v/>
      </c>
      <c r="F70" s="809" t="str">
        <f>IF(Schedule_B!D70="","",Schedule_B!D70)</f>
        <v/>
      </c>
      <c r="G70" s="4">
        <f>IF(Schedule_B!E70="",0,Schedule_B!E70)</f>
        <v>0</v>
      </c>
      <c r="H70" s="1232"/>
      <c r="I70" s="1233"/>
      <c r="J70" s="5">
        <f t="shared" si="1"/>
        <v>0</v>
      </c>
      <c r="K70" s="64">
        <f t="shared" si="2"/>
        <v>0</v>
      </c>
      <c r="L70" s="63">
        <f t="shared" si="3"/>
        <v>0</v>
      </c>
      <c r="Q70" s="783">
        <f>IFERROR(VLOOKUP($A70,'LAC CMA'!$F$15:$M$325,5,FALSE),0)</f>
        <v>0</v>
      </c>
    </row>
    <row r="71" spans="1:17" x14ac:dyDescent="0.2">
      <c r="A71" s="805" t="str">
        <f t="shared" si="0"/>
        <v/>
      </c>
      <c r="B71" s="806"/>
      <c r="C71" s="807">
        <f t="shared" si="4"/>
        <v>52</v>
      </c>
      <c r="D71" s="808" t="str">
        <f>IF(Schedule_B!B71="","",Schedule_B!B71)</f>
        <v/>
      </c>
      <c r="E71" s="809" t="str">
        <f>IF(Schedule_B!C71="","",Schedule_B!C71)</f>
        <v/>
      </c>
      <c r="F71" s="809" t="str">
        <f>IF(Schedule_B!D71="","",Schedule_B!D71)</f>
        <v/>
      </c>
      <c r="G71" s="4">
        <f>IF(Schedule_B!E71="",0,Schedule_B!E71)</f>
        <v>0</v>
      </c>
      <c r="H71" s="1232"/>
      <c r="I71" s="1233"/>
      <c r="J71" s="5">
        <f t="shared" si="1"/>
        <v>0</v>
      </c>
      <c r="K71" s="64">
        <f t="shared" si="2"/>
        <v>0</v>
      </c>
      <c r="L71" s="63">
        <f t="shared" si="3"/>
        <v>0</v>
      </c>
      <c r="Q71" s="783">
        <f>IFERROR(VLOOKUP($A71,'LAC CMA'!$F$15:$M$325,5,FALSE),0)</f>
        <v>0</v>
      </c>
    </row>
    <row r="72" spans="1:17" x14ac:dyDescent="0.2">
      <c r="A72" s="805" t="str">
        <f t="shared" si="0"/>
        <v/>
      </c>
      <c r="B72" s="806"/>
      <c r="C72" s="807">
        <f t="shared" si="4"/>
        <v>53</v>
      </c>
      <c r="D72" s="808" t="str">
        <f>IF(Schedule_B!B72="","",Schedule_B!B72)</f>
        <v/>
      </c>
      <c r="E72" s="809" t="str">
        <f>IF(Schedule_B!C72="","",Schedule_B!C72)</f>
        <v/>
      </c>
      <c r="F72" s="809" t="str">
        <f>IF(Schedule_B!D72="","",Schedule_B!D72)</f>
        <v/>
      </c>
      <c r="G72" s="4">
        <f>IF(Schedule_B!E72="",0,Schedule_B!E72)</f>
        <v>0</v>
      </c>
      <c r="H72" s="1232"/>
      <c r="I72" s="1233"/>
      <c r="J72" s="5">
        <f t="shared" si="1"/>
        <v>0</v>
      </c>
      <c r="K72" s="64">
        <f t="shared" si="2"/>
        <v>0</v>
      </c>
      <c r="L72" s="63">
        <f t="shared" si="3"/>
        <v>0</v>
      </c>
      <c r="Q72" s="783">
        <f>IFERROR(VLOOKUP($A72,'LAC CMA'!$F$15:$M$325,5,FALSE),0)</f>
        <v>0</v>
      </c>
    </row>
    <row r="73" spans="1:17" x14ac:dyDescent="0.2">
      <c r="A73" s="805" t="str">
        <f t="shared" si="0"/>
        <v/>
      </c>
      <c r="B73" s="806"/>
      <c r="C73" s="807">
        <f t="shared" si="4"/>
        <v>54</v>
      </c>
      <c r="D73" s="808" t="str">
        <f>IF(Schedule_B!B73="","",Schedule_B!B73)</f>
        <v/>
      </c>
      <c r="E73" s="809" t="str">
        <f>IF(Schedule_B!C73="","",Schedule_B!C73)</f>
        <v/>
      </c>
      <c r="F73" s="809" t="str">
        <f>IF(Schedule_B!D73="","",Schedule_B!D73)</f>
        <v/>
      </c>
      <c r="G73" s="4">
        <f>IF(Schedule_B!E73="",0,Schedule_B!E73)</f>
        <v>0</v>
      </c>
      <c r="H73" s="1232"/>
      <c r="I73" s="1233"/>
      <c r="J73" s="5">
        <f t="shared" si="1"/>
        <v>0</v>
      </c>
      <c r="K73" s="64">
        <f t="shared" si="2"/>
        <v>0</v>
      </c>
      <c r="L73" s="63">
        <f t="shared" si="3"/>
        <v>0</v>
      </c>
      <c r="Q73" s="783">
        <f>IFERROR(VLOOKUP($A73,'LAC CMA'!$F$15:$M$325,5,FALSE),0)</f>
        <v>0</v>
      </c>
    </row>
    <row r="74" spans="1:17" x14ac:dyDescent="0.2">
      <c r="A74" s="805" t="str">
        <f t="shared" si="0"/>
        <v/>
      </c>
      <c r="B74" s="806"/>
      <c r="C74" s="807">
        <f t="shared" si="4"/>
        <v>55</v>
      </c>
      <c r="D74" s="808" t="str">
        <f>IF(Schedule_B!B74="","",Schedule_B!B74)</f>
        <v/>
      </c>
      <c r="E74" s="809" t="str">
        <f>IF(Schedule_B!C74="","",Schedule_B!C74)</f>
        <v/>
      </c>
      <c r="F74" s="809" t="str">
        <f>IF(Schedule_B!D74="","",Schedule_B!D74)</f>
        <v/>
      </c>
      <c r="G74" s="4">
        <f>IF(Schedule_B!E74="",0,Schedule_B!E74)</f>
        <v>0</v>
      </c>
      <c r="H74" s="1232"/>
      <c r="I74" s="1233"/>
      <c r="J74" s="5">
        <f t="shared" si="1"/>
        <v>0</v>
      </c>
      <c r="K74" s="64">
        <f t="shared" si="2"/>
        <v>0</v>
      </c>
      <c r="L74" s="63">
        <f t="shared" si="3"/>
        <v>0</v>
      </c>
      <c r="Q74" s="783">
        <f>IFERROR(VLOOKUP($A74,'LAC CMA'!$F$15:$M$325,5,FALSE),0)</f>
        <v>0</v>
      </c>
    </row>
    <row r="75" spans="1:17" x14ac:dyDescent="0.2">
      <c r="A75" s="805" t="str">
        <f t="shared" si="0"/>
        <v/>
      </c>
      <c r="B75" s="806"/>
      <c r="C75" s="807">
        <f t="shared" si="4"/>
        <v>56</v>
      </c>
      <c r="D75" s="808" t="str">
        <f>IF(Schedule_B!B75="","",Schedule_B!B75)</f>
        <v/>
      </c>
      <c r="E75" s="809" t="str">
        <f>IF(Schedule_B!C75="","",Schedule_B!C75)</f>
        <v/>
      </c>
      <c r="F75" s="809" t="str">
        <f>IF(Schedule_B!D75="","",Schedule_B!D75)</f>
        <v/>
      </c>
      <c r="G75" s="4">
        <f>IF(Schedule_B!E75="",0,Schedule_B!E75)</f>
        <v>0</v>
      </c>
      <c r="H75" s="1232"/>
      <c r="I75" s="1233"/>
      <c r="J75" s="5">
        <f t="shared" si="1"/>
        <v>0</v>
      </c>
      <c r="K75" s="64">
        <f t="shared" si="2"/>
        <v>0</v>
      </c>
      <c r="L75" s="63">
        <f t="shared" si="3"/>
        <v>0</v>
      </c>
      <c r="Q75" s="783">
        <f>IFERROR(VLOOKUP($A75,'LAC CMA'!$F$15:$M$325,5,FALSE),0)</f>
        <v>0</v>
      </c>
    </row>
    <row r="76" spans="1:17" x14ac:dyDescent="0.2">
      <c r="A76" s="805" t="str">
        <f t="shared" si="0"/>
        <v/>
      </c>
      <c r="B76" s="806"/>
      <c r="C76" s="807">
        <f t="shared" si="4"/>
        <v>57</v>
      </c>
      <c r="D76" s="808" t="str">
        <f>IF(Schedule_B!B76="","",Schedule_B!B76)</f>
        <v/>
      </c>
      <c r="E76" s="809" t="str">
        <f>IF(Schedule_B!C76="","",Schedule_B!C76)</f>
        <v/>
      </c>
      <c r="F76" s="809" t="str">
        <f>IF(Schedule_B!D76="","",Schedule_B!D76)</f>
        <v/>
      </c>
      <c r="G76" s="4">
        <f>IF(Schedule_B!E76="",0,Schedule_B!E76)</f>
        <v>0</v>
      </c>
      <c r="H76" s="1232"/>
      <c r="I76" s="1233"/>
      <c r="J76" s="5">
        <f t="shared" si="1"/>
        <v>0</v>
      </c>
      <c r="K76" s="64">
        <f t="shared" si="2"/>
        <v>0</v>
      </c>
      <c r="L76" s="63">
        <f t="shared" si="3"/>
        <v>0</v>
      </c>
      <c r="Q76" s="783">
        <f>IFERROR(VLOOKUP($A76,'LAC CMA'!$F$15:$M$325,5,FALSE),0)</f>
        <v>0</v>
      </c>
    </row>
    <row r="77" spans="1:17" x14ac:dyDescent="0.2">
      <c r="A77" s="805" t="str">
        <f t="shared" si="0"/>
        <v/>
      </c>
      <c r="B77" s="806"/>
      <c r="C77" s="807">
        <f t="shared" si="4"/>
        <v>58</v>
      </c>
      <c r="D77" s="808" t="str">
        <f>IF(Schedule_B!B77="","",Schedule_B!B77)</f>
        <v/>
      </c>
      <c r="E77" s="809" t="str">
        <f>IF(Schedule_B!C77="","",Schedule_B!C77)</f>
        <v/>
      </c>
      <c r="F77" s="809" t="str">
        <f>IF(Schedule_B!D77="","",Schedule_B!D77)</f>
        <v/>
      </c>
      <c r="G77" s="4">
        <f>IF(Schedule_B!E77="",0,Schedule_B!E77)</f>
        <v>0</v>
      </c>
      <c r="H77" s="1232"/>
      <c r="I77" s="1233"/>
      <c r="J77" s="5">
        <f t="shared" si="1"/>
        <v>0</v>
      </c>
      <c r="K77" s="64">
        <f t="shared" si="2"/>
        <v>0</v>
      </c>
      <c r="L77" s="63">
        <f t="shared" si="3"/>
        <v>0</v>
      </c>
      <c r="Q77" s="783">
        <f>IFERROR(VLOOKUP($A77,'LAC CMA'!$F$15:$M$325,5,FALSE),0)</f>
        <v>0</v>
      </c>
    </row>
    <row r="78" spans="1:17" x14ac:dyDescent="0.2">
      <c r="A78" s="805" t="str">
        <f t="shared" si="0"/>
        <v/>
      </c>
      <c r="B78" s="806"/>
      <c r="C78" s="807">
        <f t="shared" si="4"/>
        <v>59</v>
      </c>
      <c r="D78" s="808" t="str">
        <f>IF(Schedule_B!B78="","",Schedule_B!B78)</f>
        <v/>
      </c>
      <c r="E78" s="809" t="str">
        <f>IF(Schedule_B!C78="","",Schedule_B!C78)</f>
        <v/>
      </c>
      <c r="F78" s="809" t="str">
        <f>IF(Schedule_B!D78="","",Schedule_B!D78)</f>
        <v/>
      </c>
      <c r="G78" s="4">
        <f>IF(Schedule_B!E78="",0,Schedule_B!E78)</f>
        <v>0</v>
      </c>
      <c r="H78" s="1232"/>
      <c r="I78" s="1233"/>
      <c r="J78" s="5">
        <f t="shared" si="1"/>
        <v>0</v>
      </c>
      <c r="K78" s="64">
        <f t="shared" si="2"/>
        <v>0</v>
      </c>
      <c r="L78" s="63">
        <f t="shared" si="3"/>
        <v>0</v>
      </c>
      <c r="Q78" s="783">
        <f>IFERROR(VLOOKUP($A78,'LAC CMA'!$F$15:$M$325,5,FALSE),0)</f>
        <v>0</v>
      </c>
    </row>
    <row r="79" spans="1:17" x14ac:dyDescent="0.2">
      <c r="A79" s="805" t="str">
        <f t="shared" si="0"/>
        <v/>
      </c>
      <c r="B79" s="806"/>
      <c r="C79" s="807">
        <f t="shared" si="4"/>
        <v>60</v>
      </c>
      <c r="D79" s="808" t="str">
        <f>IF(Schedule_B!B79="","",Schedule_B!B79)</f>
        <v/>
      </c>
      <c r="E79" s="809" t="str">
        <f>IF(Schedule_B!C79="","",Schedule_B!C79)</f>
        <v/>
      </c>
      <c r="F79" s="809" t="str">
        <f>IF(Schedule_B!D79="","",Schedule_B!D79)</f>
        <v/>
      </c>
      <c r="G79" s="4">
        <f>IF(Schedule_B!E79="",0,Schedule_B!E79)</f>
        <v>0</v>
      </c>
      <c r="H79" s="1232"/>
      <c r="I79" s="1233"/>
      <c r="J79" s="5">
        <f t="shared" si="1"/>
        <v>0</v>
      </c>
      <c r="K79" s="64">
        <f t="shared" si="2"/>
        <v>0</v>
      </c>
      <c r="L79" s="63">
        <f t="shared" si="3"/>
        <v>0</v>
      </c>
      <c r="Q79" s="783">
        <f>IFERROR(VLOOKUP($A79,'LAC CMA'!$F$15:$M$325,5,FALSE),0)</f>
        <v>0</v>
      </c>
    </row>
    <row r="80" spans="1:17" x14ac:dyDescent="0.2">
      <c r="A80" s="805" t="str">
        <f t="shared" si="0"/>
        <v/>
      </c>
      <c r="B80" s="806"/>
      <c r="C80" s="807">
        <f t="shared" si="4"/>
        <v>61</v>
      </c>
      <c r="D80" s="808" t="str">
        <f>IF(Schedule_B!B80="","",Schedule_B!B80)</f>
        <v/>
      </c>
      <c r="E80" s="809" t="str">
        <f>IF(Schedule_B!C80="","",Schedule_B!C80)</f>
        <v/>
      </c>
      <c r="F80" s="809" t="str">
        <f>IF(Schedule_B!D80="","",Schedule_B!D80)</f>
        <v/>
      </c>
      <c r="G80" s="4">
        <f>IF(Schedule_B!E80="",0,Schedule_B!E80)</f>
        <v>0</v>
      </c>
      <c r="H80" s="1232"/>
      <c r="I80" s="1233"/>
      <c r="J80" s="5">
        <f t="shared" si="1"/>
        <v>0</v>
      </c>
      <c r="K80" s="64">
        <f t="shared" si="2"/>
        <v>0</v>
      </c>
      <c r="L80" s="63">
        <f t="shared" si="3"/>
        <v>0</v>
      </c>
      <c r="Q80" s="783">
        <f>IFERROR(VLOOKUP($A80,'LAC CMA'!$F$15:$M$325,5,FALSE),0)</f>
        <v>0</v>
      </c>
    </row>
    <row r="81" spans="1:17" x14ac:dyDescent="0.2">
      <c r="A81" s="805" t="str">
        <f t="shared" si="0"/>
        <v/>
      </c>
      <c r="B81" s="806"/>
      <c r="C81" s="807">
        <f t="shared" si="4"/>
        <v>62</v>
      </c>
      <c r="D81" s="808" t="str">
        <f>IF(Schedule_B!B81="","",Schedule_B!B81)</f>
        <v/>
      </c>
      <c r="E81" s="809" t="str">
        <f>IF(Schedule_B!C81="","",Schedule_B!C81)</f>
        <v/>
      </c>
      <c r="F81" s="809" t="str">
        <f>IF(Schedule_B!D81="","",Schedule_B!D81)</f>
        <v/>
      </c>
      <c r="G81" s="4">
        <f>IF(Schedule_B!E81="",0,Schedule_B!E81)</f>
        <v>0</v>
      </c>
      <c r="H81" s="1232"/>
      <c r="I81" s="1233"/>
      <c r="J81" s="5">
        <f t="shared" si="1"/>
        <v>0</v>
      </c>
      <c r="K81" s="64">
        <f t="shared" si="2"/>
        <v>0</v>
      </c>
      <c r="L81" s="63">
        <f t="shared" si="3"/>
        <v>0</v>
      </c>
      <c r="Q81" s="783">
        <f>IFERROR(VLOOKUP($A81,'LAC CMA'!$F$15:$M$325,5,FALSE),0)</f>
        <v>0</v>
      </c>
    </row>
    <row r="82" spans="1:17" x14ac:dyDescent="0.2">
      <c r="A82" s="805" t="str">
        <f t="shared" si="0"/>
        <v/>
      </c>
      <c r="B82" s="806"/>
      <c r="C82" s="807">
        <f t="shared" si="4"/>
        <v>63</v>
      </c>
      <c r="D82" s="808" t="str">
        <f>IF(Schedule_B!B82="","",Schedule_B!B82)</f>
        <v/>
      </c>
      <c r="E82" s="809" t="str">
        <f>IF(Schedule_B!C82="","",Schedule_B!C82)</f>
        <v/>
      </c>
      <c r="F82" s="809" t="str">
        <f>IF(Schedule_B!D82="","",Schedule_B!D82)</f>
        <v/>
      </c>
      <c r="G82" s="4">
        <f>IF(Schedule_B!E82="",0,Schedule_B!E82)</f>
        <v>0</v>
      </c>
      <c r="H82" s="1232"/>
      <c r="I82" s="1233"/>
      <c r="J82" s="5">
        <f t="shared" si="1"/>
        <v>0</v>
      </c>
      <c r="K82" s="64">
        <f t="shared" si="2"/>
        <v>0</v>
      </c>
      <c r="L82" s="63">
        <f t="shared" si="3"/>
        <v>0</v>
      </c>
      <c r="Q82" s="783">
        <f>IFERROR(VLOOKUP($A82,'LAC CMA'!$F$15:$M$325,5,FALSE),0)</f>
        <v>0</v>
      </c>
    </row>
    <row r="83" spans="1:17" x14ac:dyDescent="0.2">
      <c r="A83" s="805" t="str">
        <f t="shared" si="0"/>
        <v/>
      </c>
      <c r="B83" s="806"/>
      <c r="C83" s="807">
        <f t="shared" si="4"/>
        <v>64</v>
      </c>
      <c r="D83" s="808" t="str">
        <f>IF(Schedule_B!B83="","",Schedule_B!B83)</f>
        <v/>
      </c>
      <c r="E83" s="809" t="str">
        <f>IF(Schedule_B!C83="","",Schedule_B!C83)</f>
        <v/>
      </c>
      <c r="F83" s="809" t="str">
        <f>IF(Schedule_B!D83="","",Schedule_B!D83)</f>
        <v/>
      </c>
      <c r="G83" s="4">
        <f>IF(Schedule_B!E83="",0,Schedule_B!E83)</f>
        <v>0</v>
      </c>
      <c r="H83" s="1232"/>
      <c r="I83" s="1233"/>
      <c r="J83" s="5">
        <f t="shared" si="1"/>
        <v>0</v>
      </c>
      <c r="K83" s="64">
        <f t="shared" si="2"/>
        <v>0</v>
      </c>
      <c r="L83" s="63">
        <f t="shared" si="3"/>
        <v>0</v>
      </c>
      <c r="Q83" s="783">
        <f>IFERROR(VLOOKUP($A83,'LAC CMA'!$F$15:$M$325,5,FALSE),0)</f>
        <v>0</v>
      </c>
    </row>
    <row r="84" spans="1:17" x14ac:dyDescent="0.2">
      <c r="A84" s="805" t="str">
        <f t="shared" si="0"/>
        <v/>
      </c>
      <c r="B84" s="806"/>
      <c r="C84" s="807">
        <f t="shared" si="4"/>
        <v>65</v>
      </c>
      <c r="D84" s="808" t="str">
        <f>IF(Schedule_B!B84="","",Schedule_B!B84)</f>
        <v/>
      </c>
      <c r="E84" s="809" t="str">
        <f>IF(Schedule_B!C84="","",Schedule_B!C84)</f>
        <v/>
      </c>
      <c r="F84" s="809" t="str">
        <f>IF(Schedule_B!D84="","",Schedule_B!D84)</f>
        <v/>
      </c>
      <c r="G84" s="4">
        <f>IF(Schedule_B!E84="",0,Schedule_B!E84)</f>
        <v>0</v>
      </c>
      <c r="H84" s="1232"/>
      <c r="I84" s="1233"/>
      <c r="J84" s="5">
        <f t="shared" si="1"/>
        <v>0</v>
      </c>
      <c r="K84" s="64">
        <f t="shared" si="2"/>
        <v>0</v>
      </c>
      <c r="L84" s="63">
        <f t="shared" si="3"/>
        <v>0</v>
      </c>
      <c r="Q84" s="783">
        <f>IFERROR(VLOOKUP($A84,'LAC CMA'!$F$15:$M$325,5,FALSE),0)</f>
        <v>0</v>
      </c>
    </row>
    <row r="85" spans="1:17" x14ac:dyDescent="0.2">
      <c r="A85" s="805" t="str">
        <f t="shared" ref="A85:A103" si="5">CONCATENATE(E85,F85)</f>
        <v/>
      </c>
      <c r="B85" s="806"/>
      <c r="C85" s="807">
        <f t="shared" si="4"/>
        <v>66</v>
      </c>
      <c r="D85" s="808" t="str">
        <f>IF(Schedule_B!B85="","",Schedule_B!B85)</f>
        <v/>
      </c>
      <c r="E85" s="809" t="str">
        <f>IF(Schedule_B!C85="","",Schedule_B!C85)</f>
        <v/>
      </c>
      <c r="F85" s="809" t="str">
        <f>IF(Schedule_B!D85="","",Schedule_B!D85)</f>
        <v/>
      </c>
      <c r="G85" s="4">
        <f>IF(Schedule_B!E85="",0,Schedule_B!E85)</f>
        <v>0</v>
      </c>
      <c r="H85" s="1232"/>
      <c r="I85" s="1233"/>
      <c r="J85" s="5">
        <f t="shared" ref="J85:J103" si="6">IF(SUM(I85,H85)=0,G85*Q85,0)</f>
        <v>0</v>
      </c>
      <c r="K85" s="64">
        <f t="shared" ref="K85:K103" si="7">IF(J85=0,0,J85/$J$104)</f>
        <v>0</v>
      </c>
      <c r="L85" s="63">
        <f t="shared" ref="L85:L103" si="8">IF(AND(D$13="X",D85="HOSP",K85&gt;0%),$K$16*K85,IF(AND(D$13="X",D85="CR",K85&gt;0%),$L$16*K85,SUM(H85,I85)))</f>
        <v>0</v>
      </c>
      <c r="Q85" s="783">
        <f>IFERROR(VLOOKUP($A85,'LAC CMA'!$F$15:$M$325,5,FALSE),0)</f>
        <v>0</v>
      </c>
    </row>
    <row r="86" spans="1:17" x14ac:dyDescent="0.2">
      <c r="A86" s="805" t="str">
        <f t="shared" si="5"/>
        <v/>
      </c>
      <c r="B86" s="806"/>
      <c r="C86" s="807">
        <f t="shared" ref="C86:C103" si="9">C85+1</f>
        <v>67</v>
      </c>
      <c r="D86" s="808" t="str">
        <f>IF(Schedule_B!B86="","",Schedule_B!B86)</f>
        <v/>
      </c>
      <c r="E86" s="809" t="str">
        <f>IF(Schedule_B!C86="","",Schedule_B!C86)</f>
        <v/>
      </c>
      <c r="F86" s="809" t="str">
        <f>IF(Schedule_B!D86="","",Schedule_B!D86)</f>
        <v/>
      </c>
      <c r="G86" s="4">
        <f>IF(Schedule_B!E86="",0,Schedule_B!E86)</f>
        <v>0</v>
      </c>
      <c r="H86" s="1232"/>
      <c r="I86" s="1233"/>
      <c r="J86" s="5">
        <f t="shared" si="6"/>
        <v>0</v>
      </c>
      <c r="K86" s="64">
        <f t="shared" si="7"/>
        <v>0</v>
      </c>
      <c r="L86" s="63">
        <f t="shared" si="8"/>
        <v>0</v>
      </c>
      <c r="Q86" s="783">
        <f>IFERROR(VLOOKUP($A86,'LAC CMA'!$F$15:$M$325,5,FALSE),0)</f>
        <v>0</v>
      </c>
    </row>
    <row r="87" spans="1:17" x14ac:dyDescent="0.2">
      <c r="A87" s="805" t="str">
        <f t="shared" si="5"/>
        <v/>
      </c>
      <c r="B87" s="806"/>
      <c r="C87" s="807">
        <f t="shared" si="9"/>
        <v>68</v>
      </c>
      <c r="D87" s="808" t="str">
        <f>IF(Schedule_B!B87="","",Schedule_B!B87)</f>
        <v/>
      </c>
      <c r="E87" s="809" t="str">
        <f>IF(Schedule_B!C87="","",Schedule_B!C87)</f>
        <v/>
      </c>
      <c r="F87" s="809" t="str">
        <f>IF(Schedule_B!D87="","",Schedule_B!D87)</f>
        <v/>
      </c>
      <c r="G87" s="4">
        <f>IF(Schedule_B!E87="",0,Schedule_B!E87)</f>
        <v>0</v>
      </c>
      <c r="H87" s="1232"/>
      <c r="I87" s="1233"/>
      <c r="J87" s="5">
        <f t="shared" si="6"/>
        <v>0</v>
      </c>
      <c r="K87" s="64">
        <f t="shared" si="7"/>
        <v>0</v>
      </c>
      <c r="L87" s="63">
        <f t="shared" si="8"/>
        <v>0</v>
      </c>
      <c r="Q87" s="783">
        <f>IFERROR(VLOOKUP($A87,'LAC CMA'!$F$15:$M$325,5,FALSE),0)</f>
        <v>0</v>
      </c>
    </row>
    <row r="88" spans="1:17" x14ac:dyDescent="0.2">
      <c r="A88" s="805" t="str">
        <f t="shared" si="5"/>
        <v/>
      </c>
      <c r="B88" s="806"/>
      <c r="C88" s="807">
        <f t="shared" si="9"/>
        <v>69</v>
      </c>
      <c r="D88" s="808" t="str">
        <f>IF(Schedule_B!B88="","",Schedule_B!B88)</f>
        <v/>
      </c>
      <c r="E88" s="809" t="str">
        <f>IF(Schedule_B!C88="","",Schedule_B!C88)</f>
        <v/>
      </c>
      <c r="F88" s="809" t="str">
        <f>IF(Schedule_B!D88="","",Schedule_B!D88)</f>
        <v/>
      </c>
      <c r="G88" s="4">
        <f>IF(Schedule_B!E88="",0,Schedule_B!E88)</f>
        <v>0</v>
      </c>
      <c r="H88" s="1232"/>
      <c r="I88" s="1233"/>
      <c r="J88" s="5">
        <f t="shared" si="6"/>
        <v>0</v>
      </c>
      <c r="K88" s="64">
        <f t="shared" si="7"/>
        <v>0</v>
      </c>
      <c r="L88" s="63">
        <f t="shared" si="8"/>
        <v>0</v>
      </c>
      <c r="Q88" s="783">
        <f>IFERROR(VLOOKUP($A88,'LAC CMA'!$F$15:$M$325,5,FALSE),0)</f>
        <v>0</v>
      </c>
    </row>
    <row r="89" spans="1:17" x14ac:dyDescent="0.2">
      <c r="A89" s="805" t="str">
        <f t="shared" si="5"/>
        <v/>
      </c>
      <c r="B89" s="806"/>
      <c r="C89" s="807">
        <f t="shared" si="9"/>
        <v>70</v>
      </c>
      <c r="D89" s="808" t="str">
        <f>IF(Schedule_B!B89="","",Schedule_B!B89)</f>
        <v/>
      </c>
      <c r="E89" s="809" t="str">
        <f>IF(Schedule_B!C89="","",Schedule_B!C89)</f>
        <v/>
      </c>
      <c r="F89" s="809" t="str">
        <f>IF(Schedule_B!D89="","",Schedule_B!D89)</f>
        <v/>
      </c>
      <c r="G89" s="4">
        <f>IF(Schedule_B!E89="",0,Schedule_B!E89)</f>
        <v>0</v>
      </c>
      <c r="H89" s="1232"/>
      <c r="I89" s="1233"/>
      <c r="J89" s="5">
        <f t="shared" si="6"/>
        <v>0</v>
      </c>
      <c r="K89" s="64">
        <f t="shared" si="7"/>
        <v>0</v>
      </c>
      <c r="L89" s="63">
        <f t="shared" si="8"/>
        <v>0</v>
      </c>
      <c r="Q89" s="783">
        <f>IFERROR(VLOOKUP($A89,'LAC CMA'!$F$15:$M$325,5,FALSE),0)</f>
        <v>0</v>
      </c>
    </row>
    <row r="90" spans="1:17" x14ac:dyDescent="0.2">
      <c r="A90" s="805" t="str">
        <f t="shared" si="5"/>
        <v/>
      </c>
      <c r="B90" s="806"/>
      <c r="C90" s="807">
        <f t="shared" si="9"/>
        <v>71</v>
      </c>
      <c r="D90" s="808" t="str">
        <f>IF(Schedule_B!B90="","",Schedule_B!B90)</f>
        <v/>
      </c>
      <c r="E90" s="809" t="str">
        <f>IF(Schedule_B!C90="","",Schedule_B!C90)</f>
        <v/>
      </c>
      <c r="F90" s="809" t="str">
        <f>IF(Schedule_B!D90="","",Schedule_B!D90)</f>
        <v/>
      </c>
      <c r="G90" s="4">
        <f>IF(Schedule_B!E90="",0,Schedule_B!E90)</f>
        <v>0</v>
      </c>
      <c r="H90" s="1232"/>
      <c r="I90" s="1233"/>
      <c r="J90" s="5">
        <f t="shared" si="6"/>
        <v>0</v>
      </c>
      <c r="K90" s="64">
        <f t="shared" si="7"/>
        <v>0</v>
      </c>
      <c r="L90" s="63">
        <f t="shared" si="8"/>
        <v>0</v>
      </c>
      <c r="Q90" s="783">
        <f>IFERROR(VLOOKUP($A90,'LAC CMA'!$F$15:$M$325,5,FALSE),0)</f>
        <v>0</v>
      </c>
    </row>
    <row r="91" spans="1:17" x14ac:dyDescent="0.2">
      <c r="A91" s="805" t="str">
        <f t="shared" si="5"/>
        <v/>
      </c>
      <c r="B91" s="806"/>
      <c r="C91" s="807">
        <f t="shared" si="9"/>
        <v>72</v>
      </c>
      <c r="D91" s="808" t="str">
        <f>IF(Schedule_B!B91="","",Schedule_B!B91)</f>
        <v/>
      </c>
      <c r="E91" s="809" t="str">
        <f>IF(Schedule_B!C91="","",Schedule_B!C91)</f>
        <v/>
      </c>
      <c r="F91" s="809" t="str">
        <f>IF(Schedule_B!D91="","",Schedule_B!D91)</f>
        <v/>
      </c>
      <c r="G91" s="4">
        <f>IF(Schedule_B!E91="",0,Schedule_B!E91)</f>
        <v>0</v>
      </c>
      <c r="H91" s="1232"/>
      <c r="I91" s="1233"/>
      <c r="J91" s="5">
        <f t="shared" si="6"/>
        <v>0</v>
      </c>
      <c r="K91" s="64">
        <f t="shared" si="7"/>
        <v>0</v>
      </c>
      <c r="L91" s="63">
        <f t="shared" si="8"/>
        <v>0</v>
      </c>
      <c r="Q91" s="783">
        <f>IFERROR(VLOOKUP($A91,'LAC CMA'!$F$15:$M$325,5,FALSE),0)</f>
        <v>0</v>
      </c>
    </row>
    <row r="92" spans="1:17" x14ac:dyDescent="0.2">
      <c r="A92" s="805" t="str">
        <f t="shared" si="5"/>
        <v/>
      </c>
      <c r="B92" s="806"/>
      <c r="C92" s="807">
        <f t="shared" si="9"/>
        <v>73</v>
      </c>
      <c r="D92" s="808" t="str">
        <f>IF(Schedule_B!B92="","",Schedule_B!B92)</f>
        <v/>
      </c>
      <c r="E92" s="809" t="str">
        <f>IF(Schedule_B!C92="","",Schedule_B!C92)</f>
        <v/>
      </c>
      <c r="F92" s="809" t="str">
        <f>IF(Schedule_B!D92="","",Schedule_B!D92)</f>
        <v/>
      </c>
      <c r="G92" s="4">
        <f>IF(Schedule_B!E92="",0,Schedule_B!E92)</f>
        <v>0</v>
      </c>
      <c r="H92" s="1232"/>
      <c r="I92" s="1233"/>
      <c r="J92" s="5">
        <f t="shared" si="6"/>
        <v>0</v>
      </c>
      <c r="K92" s="64">
        <f t="shared" si="7"/>
        <v>0</v>
      </c>
      <c r="L92" s="63">
        <f t="shared" si="8"/>
        <v>0</v>
      </c>
      <c r="Q92" s="783">
        <f>IFERROR(VLOOKUP($A92,'LAC CMA'!$F$15:$M$325,5,FALSE),0)</f>
        <v>0</v>
      </c>
    </row>
    <row r="93" spans="1:17" x14ac:dyDescent="0.2">
      <c r="A93" s="805" t="str">
        <f t="shared" si="5"/>
        <v/>
      </c>
      <c r="B93" s="806"/>
      <c r="C93" s="807">
        <f t="shared" si="9"/>
        <v>74</v>
      </c>
      <c r="D93" s="808" t="str">
        <f>IF(Schedule_B!B93="","",Schedule_B!B93)</f>
        <v/>
      </c>
      <c r="E93" s="809" t="str">
        <f>IF(Schedule_B!C93="","",Schedule_B!C93)</f>
        <v/>
      </c>
      <c r="F93" s="809" t="str">
        <f>IF(Schedule_B!D93="","",Schedule_B!D93)</f>
        <v/>
      </c>
      <c r="G93" s="4">
        <f>IF(Schedule_B!E93="",0,Schedule_B!E93)</f>
        <v>0</v>
      </c>
      <c r="H93" s="1232"/>
      <c r="I93" s="1233"/>
      <c r="J93" s="5">
        <f t="shared" si="6"/>
        <v>0</v>
      </c>
      <c r="K93" s="64">
        <f t="shared" si="7"/>
        <v>0</v>
      </c>
      <c r="L93" s="63">
        <f t="shared" si="8"/>
        <v>0</v>
      </c>
      <c r="Q93" s="783">
        <f>IFERROR(VLOOKUP($A93,'LAC CMA'!$F$15:$M$325,5,FALSE),0)</f>
        <v>0</v>
      </c>
    </row>
    <row r="94" spans="1:17" x14ac:dyDescent="0.2">
      <c r="A94" s="805" t="str">
        <f t="shared" si="5"/>
        <v/>
      </c>
      <c r="B94" s="806"/>
      <c r="C94" s="807">
        <f t="shared" si="9"/>
        <v>75</v>
      </c>
      <c r="D94" s="808" t="str">
        <f>IF(Schedule_B!B94="","",Schedule_B!B94)</f>
        <v/>
      </c>
      <c r="E94" s="809" t="str">
        <f>IF(Schedule_B!C94="","",Schedule_B!C94)</f>
        <v/>
      </c>
      <c r="F94" s="809" t="str">
        <f>IF(Schedule_B!D94="","",Schedule_B!D94)</f>
        <v/>
      </c>
      <c r="G94" s="4">
        <f>IF(Schedule_B!E94="",0,Schedule_B!E94)</f>
        <v>0</v>
      </c>
      <c r="H94" s="1232"/>
      <c r="I94" s="1233"/>
      <c r="J94" s="5">
        <f t="shared" si="6"/>
        <v>0</v>
      </c>
      <c r="K94" s="64">
        <f t="shared" si="7"/>
        <v>0</v>
      </c>
      <c r="L94" s="63">
        <f t="shared" si="8"/>
        <v>0</v>
      </c>
      <c r="Q94" s="783">
        <f>IFERROR(VLOOKUP($A94,'LAC CMA'!$F$15:$M$325,5,FALSE),0)</f>
        <v>0</v>
      </c>
    </row>
    <row r="95" spans="1:17" x14ac:dyDescent="0.2">
      <c r="A95" s="805" t="str">
        <f t="shared" si="5"/>
        <v/>
      </c>
      <c r="B95" s="806"/>
      <c r="C95" s="807">
        <f t="shared" si="9"/>
        <v>76</v>
      </c>
      <c r="D95" s="808" t="str">
        <f>IF(Schedule_B!B95="","",Schedule_B!B95)</f>
        <v/>
      </c>
      <c r="E95" s="809" t="str">
        <f>IF(Schedule_B!C95="","",Schedule_B!C95)</f>
        <v/>
      </c>
      <c r="F95" s="809" t="str">
        <f>IF(Schedule_B!D95="","",Schedule_B!D95)</f>
        <v/>
      </c>
      <c r="G95" s="4">
        <f>IF(Schedule_B!E95="",0,Schedule_B!E95)</f>
        <v>0</v>
      </c>
      <c r="H95" s="1232"/>
      <c r="I95" s="1233"/>
      <c r="J95" s="5">
        <f t="shared" si="6"/>
        <v>0</v>
      </c>
      <c r="K95" s="64">
        <f t="shared" si="7"/>
        <v>0</v>
      </c>
      <c r="L95" s="63">
        <f t="shared" si="8"/>
        <v>0</v>
      </c>
      <c r="Q95" s="783">
        <f>IFERROR(VLOOKUP($A95,'LAC CMA'!$F$15:$M$325,5,FALSE),0)</f>
        <v>0</v>
      </c>
    </row>
    <row r="96" spans="1:17" x14ac:dyDescent="0.2">
      <c r="A96" s="805" t="str">
        <f t="shared" si="5"/>
        <v/>
      </c>
      <c r="B96" s="806"/>
      <c r="C96" s="807">
        <f t="shared" si="9"/>
        <v>77</v>
      </c>
      <c r="D96" s="808" t="str">
        <f>IF(Schedule_B!B96="","",Schedule_B!B96)</f>
        <v/>
      </c>
      <c r="E96" s="809" t="str">
        <f>IF(Schedule_B!C96="","",Schedule_B!C96)</f>
        <v/>
      </c>
      <c r="F96" s="809" t="str">
        <f>IF(Schedule_B!D96="","",Schedule_B!D96)</f>
        <v/>
      </c>
      <c r="G96" s="4">
        <f>IF(Schedule_B!E96="",0,Schedule_B!E96)</f>
        <v>0</v>
      </c>
      <c r="H96" s="1232"/>
      <c r="I96" s="1233"/>
      <c r="J96" s="5">
        <f t="shared" si="6"/>
        <v>0</v>
      </c>
      <c r="K96" s="64">
        <f t="shared" si="7"/>
        <v>0</v>
      </c>
      <c r="L96" s="63">
        <f t="shared" si="8"/>
        <v>0</v>
      </c>
      <c r="Q96" s="783">
        <f>IFERROR(VLOOKUP($A96,'LAC CMA'!$F$15:$M$325,5,FALSE),0)</f>
        <v>0</v>
      </c>
    </row>
    <row r="97" spans="1:17" x14ac:dyDescent="0.2">
      <c r="A97" s="805" t="str">
        <f t="shared" si="5"/>
        <v/>
      </c>
      <c r="B97" s="806"/>
      <c r="C97" s="807">
        <f t="shared" si="9"/>
        <v>78</v>
      </c>
      <c r="D97" s="808" t="str">
        <f>IF(Schedule_B!B97="","",Schedule_B!B97)</f>
        <v/>
      </c>
      <c r="E97" s="809" t="str">
        <f>IF(Schedule_B!C97="","",Schedule_B!C97)</f>
        <v/>
      </c>
      <c r="F97" s="809" t="str">
        <f>IF(Schedule_B!D97="","",Schedule_B!D97)</f>
        <v/>
      </c>
      <c r="G97" s="4">
        <f>IF(Schedule_B!E97="",0,Schedule_B!E97)</f>
        <v>0</v>
      </c>
      <c r="H97" s="1232"/>
      <c r="I97" s="1233"/>
      <c r="J97" s="5">
        <f t="shared" si="6"/>
        <v>0</v>
      </c>
      <c r="K97" s="64">
        <f t="shared" si="7"/>
        <v>0</v>
      </c>
      <c r="L97" s="63">
        <f t="shared" si="8"/>
        <v>0</v>
      </c>
      <c r="Q97" s="783">
        <f>IFERROR(VLOOKUP($A97,'LAC CMA'!$F$15:$M$325,5,FALSE),0)</f>
        <v>0</v>
      </c>
    </row>
    <row r="98" spans="1:17" x14ac:dyDescent="0.2">
      <c r="A98" s="805" t="str">
        <f t="shared" si="5"/>
        <v/>
      </c>
      <c r="B98" s="806"/>
      <c r="C98" s="807">
        <f t="shared" si="9"/>
        <v>79</v>
      </c>
      <c r="D98" s="808" t="str">
        <f>IF(Schedule_B!B98="","",Schedule_B!B98)</f>
        <v/>
      </c>
      <c r="E98" s="809" t="str">
        <f>IF(Schedule_B!C98="","",Schedule_B!C98)</f>
        <v/>
      </c>
      <c r="F98" s="809" t="str">
        <f>IF(Schedule_B!D98="","",Schedule_B!D98)</f>
        <v/>
      </c>
      <c r="G98" s="4">
        <f>IF(Schedule_B!E98="",0,Schedule_B!E98)</f>
        <v>0</v>
      </c>
      <c r="H98" s="1232"/>
      <c r="I98" s="1233"/>
      <c r="J98" s="5">
        <f t="shared" si="6"/>
        <v>0</v>
      </c>
      <c r="K98" s="64">
        <f t="shared" si="7"/>
        <v>0</v>
      </c>
      <c r="L98" s="63">
        <f t="shared" si="8"/>
        <v>0</v>
      </c>
      <c r="Q98" s="783">
        <f>IFERROR(VLOOKUP($A98,'LAC CMA'!$F$15:$M$325,5,FALSE),0)</f>
        <v>0</v>
      </c>
    </row>
    <row r="99" spans="1:17" x14ac:dyDescent="0.2">
      <c r="A99" s="805" t="str">
        <f t="shared" si="5"/>
        <v/>
      </c>
      <c r="B99" s="806"/>
      <c r="C99" s="807">
        <f t="shared" si="9"/>
        <v>80</v>
      </c>
      <c r="D99" s="808" t="str">
        <f>IF(Schedule_B!B99="","",Schedule_B!B99)</f>
        <v/>
      </c>
      <c r="E99" s="809" t="str">
        <f>IF(Schedule_B!C99="","",Schedule_B!C99)</f>
        <v/>
      </c>
      <c r="F99" s="809" t="str">
        <f>IF(Schedule_B!D99="","",Schedule_B!D99)</f>
        <v/>
      </c>
      <c r="G99" s="4">
        <f>IF(Schedule_B!E99="",0,Schedule_B!E99)</f>
        <v>0</v>
      </c>
      <c r="H99" s="1232"/>
      <c r="I99" s="1233"/>
      <c r="J99" s="5">
        <f t="shared" si="6"/>
        <v>0</v>
      </c>
      <c r="K99" s="64">
        <f t="shared" si="7"/>
        <v>0</v>
      </c>
      <c r="L99" s="63">
        <f t="shared" si="8"/>
        <v>0</v>
      </c>
      <c r="Q99" s="783">
        <f>IFERROR(VLOOKUP($A99,'LAC CMA'!$F$15:$M$325,5,FALSE),0)</f>
        <v>0</v>
      </c>
    </row>
    <row r="100" spans="1:17" x14ac:dyDescent="0.2">
      <c r="A100" s="805" t="str">
        <f t="shared" si="5"/>
        <v/>
      </c>
      <c r="B100" s="806"/>
      <c r="C100" s="807">
        <f t="shared" si="9"/>
        <v>81</v>
      </c>
      <c r="D100" s="808" t="str">
        <f>IF(Schedule_B!B100="","",Schedule_B!B100)</f>
        <v/>
      </c>
      <c r="E100" s="809" t="str">
        <f>IF(Schedule_B!C100="","",Schedule_B!C100)</f>
        <v/>
      </c>
      <c r="F100" s="809" t="str">
        <f>IF(Schedule_B!D100="","",Schedule_B!D100)</f>
        <v/>
      </c>
      <c r="G100" s="4">
        <f>IF(Schedule_B!E100="",0,Schedule_B!E100)</f>
        <v>0</v>
      </c>
      <c r="H100" s="1232"/>
      <c r="I100" s="1233"/>
      <c r="J100" s="5">
        <f t="shared" si="6"/>
        <v>0</v>
      </c>
      <c r="K100" s="64">
        <f t="shared" si="7"/>
        <v>0</v>
      </c>
      <c r="L100" s="63">
        <f t="shared" si="8"/>
        <v>0</v>
      </c>
      <c r="Q100" s="783">
        <f>IFERROR(VLOOKUP($A100,'LAC CMA'!$F$15:$M$325,5,FALSE),0)</f>
        <v>0</v>
      </c>
    </row>
    <row r="101" spans="1:17" x14ac:dyDescent="0.2">
      <c r="A101" s="805" t="str">
        <f t="shared" si="5"/>
        <v/>
      </c>
      <c r="B101" s="806"/>
      <c r="C101" s="807">
        <f t="shared" si="9"/>
        <v>82</v>
      </c>
      <c r="D101" s="808" t="str">
        <f>IF(Schedule_B!B101="","",Schedule_B!B101)</f>
        <v/>
      </c>
      <c r="E101" s="809" t="str">
        <f>IF(Schedule_B!C101="","",Schedule_B!C101)</f>
        <v/>
      </c>
      <c r="F101" s="809" t="str">
        <f>IF(Schedule_B!D101="","",Schedule_B!D101)</f>
        <v/>
      </c>
      <c r="G101" s="4">
        <f>IF(Schedule_B!E101="",0,Schedule_B!E101)</f>
        <v>0</v>
      </c>
      <c r="H101" s="1232"/>
      <c r="I101" s="1233"/>
      <c r="J101" s="5">
        <f t="shared" si="6"/>
        <v>0</v>
      </c>
      <c r="K101" s="64">
        <f t="shared" si="7"/>
        <v>0</v>
      </c>
      <c r="L101" s="63">
        <f t="shared" si="8"/>
        <v>0</v>
      </c>
      <c r="Q101" s="783">
        <f>IFERROR(VLOOKUP($A101,'LAC CMA'!$F$15:$M$325,5,FALSE),0)</f>
        <v>0</v>
      </c>
    </row>
    <row r="102" spans="1:17" x14ac:dyDescent="0.2">
      <c r="A102" s="805" t="str">
        <f t="shared" si="5"/>
        <v/>
      </c>
      <c r="B102" s="806"/>
      <c r="C102" s="807">
        <f t="shared" si="9"/>
        <v>83</v>
      </c>
      <c r="D102" s="808" t="str">
        <f>IF(Schedule_B!B102="","",Schedule_B!B102)</f>
        <v/>
      </c>
      <c r="E102" s="809" t="str">
        <f>IF(Schedule_B!C102="","",Schedule_B!C102)</f>
        <v/>
      </c>
      <c r="F102" s="809" t="str">
        <f>IF(Schedule_B!D102="","",Schedule_B!D102)</f>
        <v/>
      </c>
      <c r="G102" s="4">
        <f>IF(Schedule_B!E102="",0,Schedule_B!E102)</f>
        <v>0</v>
      </c>
      <c r="H102" s="1232"/>
      <c r="I102" s="1233"/>
      <c r="J102" s="5">
        <f t="shared" si="6"/>
        <v>0</v>
      </c>
      <c r="K102" s="64">
        <f t="shared" si="7"/>
        <v>0</v>
      </c>
      <c r="L102" s="63">
        <f t="shared" si="8"/>
        <v>0</v>
      </c>
      <c r="Q102" s="783">
        <f>IFERROR(VLOOKUP($A102,'LAC CMA'!$F$15:$M$325,5,FALSE),0)</f>
        <v>0</v>
      </c>
    </row>
    <row r="103" spans="1:17" ht="15.75" thickBot="1" x14ac:dyDescent="0.25">
      <c r="A103" s="805" t="str">
        <f t="shared" si="5"/>
        <v/>
      </c>
      <c r="B103" s="806"/>
      <c r="C103" s="807">
        <f t="shared" si="9"/>
        <v>84</v>
      </c>
      <c r="D103" s="808" t="str">
        <f>IF(Schedule_B!B103="","",Schedule_B!B103)</f>
        <v/>
      </c>
      <c r="E103" s="809" t="str">
        <f>IF(Schedule_B!C103="","",Schedule_B!C103)</f>
        <v/>
      </c>
      <c r="F103" s="809" t="str">
        <f>IF(Schedule_B!D103="","",Schedule_B!D103)</f>
        <v/>
      </c>
      <c r="G103" s="4">
        <f>IF(Schedule_B!E103="",0,Schedule_B!E103)</f>
        <v>0</v>
      </c>
      <c r="H103" s="1232"/>
      <c r="I103" s="1233"/>
      <c r="J103" s="5">
        <f t="shared" si="6"/>
        <v>0</v>
      </c>
      <c r="K103" s="64">
        <f t="shared" si="7"/>
        <v>0</v>
      </c>
      <c r="L103" s="63">
        <f t="shared" si="8"/>
        <v>0</v>
      </c>
      <c r="Q103" s="783">
        <f>IFERROR(VLOOKUP($A103,'LAC CMA'!$F$15:$M$325,5,FALSE),0)</f>
        <v>0</v>
      </c>
    </row>
    <row r="104" spans="1:17" ht="15.75" thickTop="1" x14ac:dyDescent="0.2">
      <c r="A104" s="781"/>
      <c r="B104" s="810" t="str">
        <f>TRIM(D104&amp;"_" &amp; E104 &amp; "_" &amp;F104&amp; "_" &amp;RIGHT(C104,1))</f>
        <v>___</v>
      </c>
      <c r="C104" s="811"/>
      <c r="D104" s="811"/>
      <c r="E104" s="812"/>
      <c r="F104" s="812"/>
      <c r="G104" s="6">
        <f t="shared" ref="G104:L104" si="10">SUM(G20:G103)</f>
        <v>16230629.633333333</v>
      </c>
      <c r="H104" s="778">
        <f t="shared" si="10"/>
        <v>2766695</v>
      </c>
      <c r="I104" s="778">
        <f t="shared" si="10"/>
        <v>1491828</v>
      </c>
      <c r="J104" s="779">
        <f t="shared" si="10"/>
        <v>41589066.150000006</v>
      </c>
      <c r="K104" s="7">
        <f t="shared" si="10"/>
        <v>0.99999999999999978</v>
      </c>
      <c r="L104" s="6">
        <f t="shared" si="10"/>
        <v>58046099.999999985</v>
      </c>
    </row>
    <row r="105" spans="1:17" x14ac:dyDescent="0.2">
      <c r="A105" s="781"/>
      <c r="B105" s="782"/>
      <c r="C105" s="782"/>
      <c r="D105" s="782"/>
      <c r="E105" s="782"/>
      <c r="F105" s="782"/>
      <c r="G105" s="782"/>
      <c r="H105" s="783">
        <f>H104-SUMIF($D$20:$D$103,"=HOSP",H20:H103)</f>
        <v>2766695</v>
      </c>
      <c r="I105" s="783">
        <f>I104-SUMIF($D$20:$D$103,"=HOSP",I20:I103)</f>
        <v>1491828</v>
      </c>
      <c r="J105" s="783">
        <f>J104-SUMIF($D$20:$D$103,"=HOSP",J20:J103)</f>
        <v>41589066.150000006</v>
      </c>
      <c r="K105" s="782"/>
      <c r="L105" s="782"/>
    </row>
    <row r="106" spans="1:17" x14ac:dyDescent="0.2">
      <c r="A106" s="781"/>
      <c r="B106" s="782"/>
      <c r="C106" s="782"/>
      <c r="D106" s="782"/>
      <c r="E106" s="782"/>
      <c r="F106" s="782"/>
      <c r="G106" s="782"/>
      <c r="H106" s="782"/>
      <c r="I106" s="782"/>
      <c r="J106" s="782"/>
      <c r="K106" s="782"/>
      <c r="L106" s="782"/>
    </row>
    <row r="107" spans="1:17" x14ac:dyDescent="0.2">
      <c r="A107" s="781"/>
      <c r="B107" s="782"/>
      <c r="C107" s="782"/>
      <c r="D107" s="782" t="s">
        <v>246</v>
      </c>
      <c r="E107" s="782"/>
      <c r="F107" s="782"/>
      <c r="G107" s="782"/>
      <c r="H107" s="782"/>
      <c r="I107" s="782"/>
      <c r="J107" s="782"/>
      <c r="K107" s="782"/>
      <c r="L107" s="782"/>
    </row>
    <row r="108" spans="1:17" x14ac:dyDescent="0.2">
      <c r="A108" s="781"/>
      <c r="B108" s="782"/>
      <c r="C108" s="782"/>
      <c r="D108" s="782" t="s">
        <v>247</v>
      </c>
      <c r="E108" s="782"/>
      <c r="F108" s="782"/>
      <c r="G108" s="782"/>
      <c r="H108" s="1789"/>
      <c r="I108" s="1789"/>
      <c r="J108" s="782"/>
      <c r="K108" s="782"/>
      <c r="L108" s="782"/>
    </row>
    <row r="109" spans="1:17" ht="16.5" thickBot="1" x14ac:dyDescent="0.3">
      <c r="A109" s="781"/>
      <c r="B109" s="782"/>
      <c r="C109" s="782"/>
      <c r="D109" s="782" t="s">
        <v>247</v>
      </c>
      <c r="E109" s="1790" t="s">
        <v>248</v>
      </c>
      <c r="F109" s="1791"/>
      <c r="G109" s="782"/>
      <c r="H109" s="1790" t="s">
        <v>248</v>
      </c>
      <c r="I109" s="1791"/>
      <c r="J109" s="782"/>
      <c r="K109" s="1790" t="s">
        <v>249</v>
      </c>
      <c r="L109" s="1791"/>
    </row>
    <row r="110" spans="1:17" ht="15.75" thickBot="1" x14ac:dyDescent="0.25">
      <c r="A110" s="781"/>
      <c r="B110" s="782"/>
      <c r="C110" s="782"/>
      <c r="D110" s="813" t="s">
        <v>212</v>
      </c>
      <c r="E110" s="813" t="s">
        <v>245</v>
      </c>
      <c r="F110" s="813" t="s">
        <v>250</v>
      </c>
      <c r="G110" s="782"/>
      <c r="H110" s="813" t="s">
        <v>211</v>
      </c>
      <c r="I110" s="813" t="s">
        <v>245</v>
      </c>
      <c r="J110" s="782"/>
      <c r="K110" s="813" t="s">
        <v>245</v>
      </c>
      <c r="L110" s="813" t="s">
        <v>250</v>
      </c>
    </row>
    <row r="111" spans="1:17" x14ac:dyDescent="0.2">
      <c r="A111" s="781"/>
      <c r="B111" s="782"/>
      <c r="C111" s="782"/>
      <c r="D111" s="814" t="s">
        <v>251</v>
      </c>
      <c r="E111" s="8"/>
      <c r="F111" s="9">
        <f t="shared" ref="F111:F117" si="11">IF($E$118=0,0,E111/$E$118)</f>
        <v>0</v>
      </c>
      <c r="G111" s="1780" t="s">
        <v>252</v>
      </c>
      <c r="H111" s="815" t="s">
        <v>253</v>
      </c>
      <c r="I111" s="10">
        <f t="array" ref="I111">SUM(IF(UPPER($D$20:$D$103)=H111,$L$20:$L$103,0))</f>
        <v>0</v>
      </c>
      <c r="J111" s="816" t="str">
        <f t="shared" ref="J111:J118" si="12">D111</f>
        <v>5 10-19</v>
      </c>
      <c r="K111" s="8">
        <f t="array" ref="K111">SUM(IF($D$20:$D$103="HOSP",IF($E$20:$E$103="05",IF($F$20:$F$103&gt;="10",IF($F$20:$F$103&lt;="19",$L$20:$L$103,0),0),0),0))</f>
        <v>0</v>
      </c>
      <c r="L111" s="11">
        <f>IF($K$118=0,0,K111/$K$118)</f>
        <v>0</v>
      </c>
    </row>
    <row r="112" spans="1:17" x14ac:dyDescent="0.2">
      <c r="A112" s="781"/>
      <c r="B112" s="782"/>
      <c r="C112" s="782"/>
      <c r="D112" s="817" t="s">
        <v>254</v>
      </c>
      <c r="E112" s="8">
        <f t="array" ref="E112">SUM(IF($D$20:$D$103&lt;&gt;"HOSP",IF($E$20:$E$103="05",IF($F$20:$F$103&gt;"19",$L$20:$L$103,0),0),0))</f>
        <v>1036886.5072454689</v>
      </c>
      <c r="F112" s="9">
        <f t="shared" si="11"/>
        <v>1.7863155444473776E-2</v>
      </c>
      <c r="G112" s="1781"/>
      <c r="H112" s="818" t="s">
        <v>255</v>
      </c>
      <c r="I112" s="12">
        <f t="array" ref="I112">SUM(IF(UPPER($D$20:$D$103)=H112,$L$20:$L$103,0))</f>
        <v>0</v>
      </c>
      <c r="J112" s="816" t="str">
        <f t="shared" si="12"/>
        <v>5 Other</v>
      </c>
      <c r="K112" s="8">
        <f t="array" ref="K112">SUM(IF($D$20:$D$103="HOSP",IF($E$20:$E$103="05",IF($F$20:$F$103&gt;"19",$L$20:$L$103,0),0),0))</f>
        <v>0</v>
      </c>
      <c r="L112" s="11">
        <f t="shared" ref="L112:L117" si="13">IF($K$118=0,0,K112/$K$118)</f>
        <v>0</v>
      </c>
    </row>
    <row r="113" spans="1:12" x14ac:dyDescent="0.2">
      <c r="A113" s="781"/>
      <c r="B113" s="782"/>
      <c r="C113" s="782"/>
      <c r="D113" s="817">
        <v>10</v>
      </c>
      <c r="E113" s="8">
        <f t="array" ref="E113">SUM(IF($D$20:$D$103&lt;&gt;"HOSP",IF($E$20:$E$103="10",$L$20:$L$103,0),0))</f>
        <v>0</v>
      </c>
      <c r="F113" s="9">
        <f t="shared" si="11"/>
        <v>0</v>
      </c>
      <c r="G113" s="1781"/>
      <c r="H113" s="818" t="s">
        <v>256</v>
      </c>
      <c r="I113" s="12">
        <f t="array" ref="I113">SUM(IF(UPPER($D$20:$D$103)=H113,$L$20:$L$103,0))</f>
        <v>0</v>
      </c>
      <c r="J113" s="816">
        <f t="shared" si="12"/>
        <v>10</v>
      </c>
      <c r="K113" s="8">
        <f t="array" ref="K113">SUM(IF($D$20:$D$103="HOSP",IF($E$20:$E$103="10",$L$20:$L$103,0),0))</f>
        <v>0</v>
      </c>
      <c r="L113" s="11">
        <f t="shared" si="13"/>
        <v>0</v>
      </c>
    </row>
    <row r="114" spans="1:12" ht="15.75" x14ac:dyDescent="0.25">
      <c r="A114" s="781"/>
      <c r="B114" s="782"/>
      <c r="C114" s="782"/>
      <c r="D114" s="817" t="s">
        <v>257</v>
      </c>
      <c r="E114" s="8">
        <f t="array" ref="E114">SUM(IF($D$20:$D$103&lt;&gt;"HOSP",IF($E$20:$E$103="15",IF($D$20:$D$103&lt;&gt;"TBS",IF($D$20:$D$103&lt;&gt;"ASO",IF($D$20:$D$103&lt;&gt;"MHS",$L$20:$L$103,0),0),0),0),0))</f>
        <v>52750690.492754519</v>
      </c>
      <c r="F114" s="9">
        <f t="shared" si="11"/>
        <v>0.90877234633773041</v>
      </c>
      <c r="G114" s="1782"/>
      <c r="H114" s="819" t="s">
        <v>258</v>
      </c>
      <c r="I114" s="13">
        <f>SUM(I111:I113)</f>
        <v>0</v>
      </c>
      <c r="J114" s="816" t="str">
        <f t="shared" si="12"/>
        <v>15 Program_1</v>
      </c>
      <c r="K114" s="8">
        <f t="array" ref="K114">SUM(IF($D$20:$D$103="HOSP",IF($E$20:$E$103="15",IF($D$20:$D$103&lt;&gt;"TBS",IF($D$20:$D$103&lt;&gt;"ASO",IF($D$20:$D$103&lt;&gt;"MHS",$L$20:$L$103,0),0),0),0),0))</f>
        <v>0</v>
      </c>
      <c r="L114" s="11">
        <f t="shared" si="13"/>
        <v>0</v>
      </c>
    </row>
    <row r="115" spans="1:12" x14ac:dyDescent="0.2">
      <c r="A115" s="781"/>
      <c r="B115" s="782"/>
      <c r="C115" s="782"/>
      <c r="D115" s="817">
        <v>45</v>
      </c>
      <c r="E115" s="8">
        <f t="array" ref="E115">SUM(IF($D$20:$D$103&lt;&gt;"HOSP",IF($E$20:$E$103="45",$L$20:$L$103,0),0))</f>
        <v>1363620.0965891501</v>
      </c>
      <c r="F115" s="11">
        <f t="shared" si="11"/>
        <v>2.3492019215574353E-2</v>
      </c>
      <c r="G115" s="782"/>
      <c r="H115" s="782"/>
      <c r="I115" s="782"/>
      <c r="J115" s="816">
        <f t="shared" si="12"/>
        <v>45</v>
      </c>
      <c r="K115" s="8">
        <f t="array" ref="K115">SUM(IF($D$20:$D$103="HOSP",IF($E$20:$E$103="45",$L$20:$L$103,0),0))</f>
        <v>0</v>
      </c>
      <c r="L115" s="11">
        <f t="shared" si="13"/>
        <v>0</v>
      </c>
    </row>
    <row r="116" spans="1:12" x14ac:dyDescent="0.2">
      <c r="A116" s="781"/>
      <c r="B116" s="782"/>
      <c r="C116" s="782"/>
      <c r="D116" s="817">
        <v>55</v>
      </c>
      <c r="E116" s="8">
        <f t="array" ref="E116">SUM(IF($D$20:$D$103&lt;&gt;"HOSP",IF($E$20:$E$103="55",$L$20:$L$103,0),0))</f>
        <v>0</v>
      </c>
      <c r="F116" s="11">
        <f t="shared" si="11"/>
        <v>0</v>
      </c>
      <c r="G116" s="782"/>
      <c r="H116" s="782"/>
      <c r="I116" s="782"/>
      <c r="J116" s="816">
        <f t="shared" si="12"/>
        <v>55</v>
      </c>
      <c r="K116" s="8">
        <f t="array" ref="K116">SUM(IF($D$20:$D$103="HOSP",IF($E$20:$E$103="55",$L$20:$L$103,0),0))</f>
        <v>0</v>
      </c>
      <c r="L116" s="11">
        <f t="shared" si="13"/>
        <v>0</v>
      </c>
    </row>
    <row r="117" spans="1:12" ht="15.75" thickBot="1" x14ac:dyDescent="0.25">
      <c r="A117" s="781"/>
      <c r="B117" s="782"/>
      <c r="C117" s="782"/>
      <c r="D117" s="817">
        <v>60</v>
      </c>
      <c r="E117" s="240">
        <f t="array" ref="E117">SUM(IF($D$20:$D$103&lt;&gt;"HOSP",IF($E$20:$E$103="60",$L$20:$L$103,0),0))</f>
        <v>2894902.9034108501</v>
      </c>
      <c r="F117" s="241">
        <f t="shared" si="11"/>
        <v>4.9872479002221526E-2</v>
      </c>
      <c r="G117" s="782"/>
      <c r="H117" s="782"/>
      <c r="I117" s="782"/>
      <c r="J117" s="816">
        <f t="shared" si="12"/>
        <v>60</v>
      </c>
      <c r="K117" s="14">
        <f t="array" ref="K117">SUM(IF($D$20:$D$103="HOSP",IF($E$20:$E$103="60",$L$20:$L$103,0),0))</f>
        <v>0</v>
      </c>
      <c r="L117" s="11">
        <f t="shared" si="13"/>
        <v>0</v>
      </c>
    </row>
    <row r="118" spans="1:12" ht="15.75" thickTop="1" x14ac:dyDescent="0.2">
      <c r="A118" s="781"/>
      <c r="B118" s="782"/>
      <c r="C118" s="782"/>
      <c r="D118" s="817" t="s">
        <v>258</v>
      </c>
      <c r="E118" s="242">
        <f>SUM(E111:E117)</f>
        <v>58046099.999999985</v>
      </c>
      <c r="F118" s="16">
        <f>SUM(F111:F117)</f>
        <v>1</v>
      </c>
      <c r="G118" s="782"/>
      <c r="H118" s="782"/>
      <c r="I118" s="782"/>
      <c r="J118" s="816" t="str">
        <f t="shared" si="12"/>
        <v>Total</v>
      </c>
      <c r="K118" s="15">
        <f>SUM(K111:K117)</f>
        <v>0</v>
      </c>
      <c r="L118" s="16">
        <f>SUM(L111:L117)</f>
        <v>0</v>
      </c>
    </row>
  </sheetData>
  <sheetProtection algorithmName="SHA-512" hashValue="cn/eeBHA4xSrW0vLJqiYyWUsZCP7lC0rcr/5+CcqXbEtFwSyvX7UIuYNmZTqYKz78lYdxTI6lvCplYMgNkzBfA==" saltValue="pBfgFVJTnO/8qQI3U/p3/w==" spinCount="100000" sheet="1" objects="1" scenarios="1" autoFilter="0"/>
  <autoFilter ref="A19:L105" xr:uid="{841FC7F2-04B1-4939-AAC9-D9D8D03A8A99}"/>
  <mergeCells count="9">
    <mergeCell ref="G111:G114"/>
    <mergeCell ref="A3:K3"/>
    <mergeCell ref="I7:J7"/>
    <mergeCell ref="I13:L13"/>
    <mergeCell ref="I18:J18"/>
    <mergeCell ref="H108:I108"/>
    <mergeCell ref="E109:F109"/>
    <mergeCell ref="H109:I109"/>
    <mergeCell ref="K109:L109"/>
  </mergeCells>
  <conditionalFormatting sqref="I13:L13">
    <cfRule type="expression" dxfId="1" priority="1" stopIfTrue="1">
      <formula>(I13&lt;&gt;"OK")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A195-65B0-4D4B-ACF5-0D37AEC8E0C2}">
  <sheetPr filterMode="1"/>
  <dimension ref="A1:AQ103"/>
  <sheetViews>
    <sheetView topLeftCell="D1" zoomScaleNormal="100" workbookViewId="0">
      <selection activeCell="D1" sqref="D1"/>
    </sheetView>
  </sheetViews>
  <sheetFormatPr defaultRowHeight="15" x14ac:dyDescent="0.2"/>
  <cols>
    <col min="1" max="1" width="8.21875" style="642" hidden="1" customWidth="1"/>
    <col min="2" max="2" width="12.109375" style="642" hidden="1" customWidth="1"/>
    <col min="3" max="3" width="11.77734375" style="642" hidden="1" customWidth="1"/>
    <col min="4" max="4" width="12.77734375" style="642" customWidth="1"/>
    <col min="5" max="6" width="7.77734375" style="642" customWidth="1"/>
    <col min="7" max="7" width="14.77734375" style="374" customWidth="1"/>
    <col min="8" max="10" width="15.77734375" style="374" customWidth="1"/>
    <col min="11" max="28" width="14.77734375" style="374" customWidth="1"/>
    <col min="29" max="29" width="15" style="1205" customWidth="1"/>
    <col min="30" max="31" width="13" style="1243" customWidth="1"/>
    <col min="32" max="32" width="1.77734375" style="1243" customWidth="1"/>
    <col min="33" max="33" width="8.88671875" style="639" hidden="1" customWidth="1"/>
    <col min="34" max="34" width="8.88671875" style="640" hidden="1" customWidth="1"/>
    <col min="35" max="35" width="8.88671875" style="639" hidden="1" customWidth="1"/>
    <col min="36" max="40" width="14.77734375" style="1244" hidden="1" customWidth="1"/>
    <col min="41" max="41" width="13.109375" style="1126" hidden="1" customWidth="1"/>
    <col min="42" max="43" width="13.77734375" style="1126" hidden="1" customWidth="1"/>
    <col min="44" max="16384" width="8.88671875" style="374"/>
  </cols>
  <sheetData>
    <row r="1" spans="1:43" s="1242" customFormat="1" ht="20.100000000000001" customHeight="1" x14ac:dyDescent="0.25">
      <c r="A1" s="1241"/>
      <c r="B1" s="1241"/>
      <c r="C1" s="1241"/>
      <c r="D1" s="1259" t="s">
        <v>259</v>
      </c>
      <c r="E1" s="1184"/>
      <c r="F1" s="1184"/>
      <c r="G1" s="1260"/>
      <c r="H1" s="1260"/>
      <c r="I1" s="1260"/>
      <c r="J1" s="1260"/>
      <c r="K1" s="1260"/>
      <c r="L1" s="1260"/>
      <c r="M1" s="1260"/>
      <c r="N1" s="1260"/>
      <c r="O1" s="1260"/>
      <c r="P1" s="1260"/>
      <c r="Q1" s="1260"/>
      <c r="R1" s="1260"/>
      <c r="S1" s="1260"/>
      <c r="T1" s="1260"/>
      <c r="U1" s="1260"/>
      <c r="V1" s="1260"/>
      <c r="W1" s="1260"/>
      <c r="X1" s="1260"/>
      <c r="Y1" s="1260"/>
      <c r="Z1" s="1260" t="s">
        <v>768</v>
      </c>
      <c r="AA1" s="1260"/>
      <c r="AB1" s="1261" t="s">
        <v>294</v>
      </c>
      <c r="AC1" s="1262"/>
      <c r="AD1" s="1263"/>
      <c r="AE1" s="1263"/>
      <c r="AF1" s="1263"/>
      <c r="AG1" s="1264"/>
      <c r="AH1" s="1265"/>
      <c r="AI1" s="1264"/>
      <c r="AJ1" s="1266"/>
      <c r="AK1" s="1266"/>
      <c r="AL1" s="1266"/>
      <c r="AM1" s="1266"/>
      <c r="AN1" s="1266"/>
      <c r="AO1" s="637"/>
      <c r="AP1" s="637"/>
      <c r="AQ1" s="637"/>
    </row>
    <row r="2" spans="1:43" s="1242" customFormat="1" ht="20.100000000000001" customHeight="1" x14ac:dyDescent="0.25">
      <c r="A2" s="1241"/>
      <c r="B2" s="1241"/>
      <c r="C2" s="1241"/>
      <c r="D2" s="1259" t="s">
        <v>769</v>
      </c>
      <c r="E2" s="1184"/>
      <c r="F2" s="1184"/>
      <c r="G2" s="1260"/>
      <c r="H2" s="1260"/>
      <c r="I2" s="1260"/>
      <c r="J2" s="1260"/>
      <c r="K2" s="1260"/>
      <c r="L2" s="1260"/>
      <c r="M2" s="1260"/>
      <c r="N2" s="1260"/>
      <c r="O2" s="1260"/>
      <c r="P2" s="1260"/>
      <c r="Q2" s="1260"/>
      <c r="R2" s="1260"/>
      <c r="S2" s="1260"/>
      <c r="T2" s="1260"/>
      <c r="U2" s="1260"/>
      <c r="V2" s="1260"/>
      <c r="W2" s="1260"/>
      <c r="X2" s="1260"/>
      <c r="Y2" s="1260"/>
      <c r="Z2" s="1260"/>
      <c r="AA2" s="1260"/>
      <c r="AB2" s="1184"/>
      <c r="AC2" s="1262"/>
      <c r="AD2" s="1263"/>
      <c r="AE2" s="1263"/>
      <c r="AF2" s="1263"/>
      <c r="AG2" s="1264"/>
      <c r="AH2" s="1265"/>
      <c r="AI2" s="1264"/>
      <c r="AJ2" s="1266"/>
      <c r="AK2" s="1266"/>
      <c r="AL2" s="1266"/>
      <c r="AM2" s="1266"/>
      <c r="AN2" s="1266"/>
      <c r="AO2" s="637"/>
      <c r="AP2" s="637"/>
      <c r="AQ2" s="637"/>
    </row>
    <row r="3" spans="1:43" s="1242" customFormat="1" ht="20.100000000000001" customHeight="1" x14ac:dyDescent="0.25">
      <c r="A3" s="1241"/>
      <c r="B3" s="1241"/>
      <c r="C3" s="1241"/>
      <c r="D3" s="1259" t="s">
        <v>968</v>
      </c>
      <c r="E3" s="1184"/>
      <c r="F3" s="1184"/>
      <c r="G3" s="1260"/>
      <c r="H3" s="1260"/>
      <c r="I3" s="1260"/>
      <c r="J3" s="1267"/>
      <c r="K3" s="1260"/>
      <c r="L3" s="1260"/>
      <c r="M3" s="1260"/>
      <c r="N3" s="1260"/>
      <c r="O3" s="1260"/>
      <c r="P3" s="1260"/>
      <c r="Q3" s="1260"/>
      <c r="R3" s="1260"/>
      <c r="S3" s="1260"/>
      <c r="T3" s="1260"/>
      <c r="U3" s="1260"/>
      <c r="V3" s="1260"/>
      <c r="W3" s="1260"/>
      <c r="X3" s="1260"/>
      <c r="Y3" s="1260"/>
      <c r="Z3" s="1260" t="s">
        <v>1973</v>
      </c>
      <c r="AA3" s="1260"/>
      <c r="AB3" s="1268">
        <v>45107</v>
      </c>
      <c r="AC3" s="1262"/>
      <c r="AD3" s="1263"/>
      <c r="AE3" s="1263"/>
      <c r="AF3" s="1263"/>
      <c r="AG3" s="1264"/>
      <c r="AH3" s="1265"/>
      <c r="AI3" s="1264"/>
      <c r="AJ3" s="1266"/>
      <c r="AK3" s="1266"/>
      <c r="AL3" s="1266"/>
      <c r="AM3" s="1266"/>
      <c r="AN3" s="1266"/>
      <c r="AO3" s="637"/>
      <c r="AP3" s="637"/>
      <c r="AQ3" s="637"/>
    </row>
    <row r="4" spans="1:43" s="1242" customFormat="1" ht="20.100000000000001" customHeight="1" x14ac:dyDescent="0.2">
      <c r="A4" s="1241"/>
      <c r="B4" s="1241"/>
      <c r="C4" s="1241"/>
      <c r="D4" s="1260"/>
      <c r="E4" s="1260"/>
      <c r="F4" s="1184"/>
      <c r="G4" s="1260"/>
      <c r="H4" s="1260"/>
      <c r="I4" s="1260"/>
      <c r="J4" s="1260"/>
      <c r="K4" s="1260"/>
      <c r="L4" s="1260"/>
      <c r="M4" s="1260"/>
      <c r="N4" s="1260"/>
      <c r="O4" s="1260"/>
      <c r="P4" s="1260"/>
      <c r="Q4" s="1260" t="str">
        <f>AQ16</f>
        <v/>
      </c>
      <c r="R4" s="1260"/>
      <c r="S4" s="1260"/>
      <c r="T4" s="1260"/>
      <c r="U4" s="1260"/>
      <c r="V4" s="1260"/>
      <c r="W4" s="1260"/>
      <c r="X4" s="1260"/>
      <c r="Y4" s="1260"/>
      <c r="Z4" s="378"/>
      <c r="AA4" s="378"/>
      <c r="AB4" s="1184"/>
      <c r="AC4" s="1262"/>
      <c r="AD4" s="1263"/>
      <c r="AE4" s="1263"/>
      <c r="AF4" s="1263"/>
      <c r="AG4" s="1264"/>
      <c r="AH4" s="1265"/>
      <c r="AI4" s="1264"/>
      <c r="AJ4" s="1266"/>
      <c r="AK4" s="1266"/>
      <c r="AL4" s="1266"/>
      <c r="AM4" s="1266"/>
      <c r="AN4" s="1266"/>
      <c r="AO4" s="637"/>
      <c r="AP4" s="637"/>
      <c r="AQ4" s="637"/>
    </row>
    <row r="5" spans="1:43" s="1242" customFormat="1" ht="20.100000000000001" customHeight="1" x14ac:dyDescent="0.2">
      <c r="A5" s="1241"/>
      <c r="B5" s="1241"/>
      <c r="C5" s="1241"/>
      <c r="D5" s="1260" t="s">
        <v>262</v>
      </c>
      <c r="E5" s="1269" t="str">
        <f>IF(Info!$B$7=""," ",Info!$B$7)</f>
        <v>ABC Mental Health Center</v>
      </c>
      <c r="F5" s="1261"/>
      <c r="G5" s="1270"/>
      <c r="H5" s="1270"/>
      <c r="I5" s="1271"/>
      <c r="J5" s="1271"/>
      <c r="K5" s="1260"/>
      <c r="L5" s="1260"/>
      <c r="M5" s="1260"/>
      <c r="N5" s="1260"/>
      <c r="O5" s="1260"/>
      <c r="P5" s="1260"/>
      <c r="Q5" s="1260" t="str">
        <f>AQ21</f>
        <v/>
      </c>
      <c r="R5" s="1260"/>
      <c r="S5" s="1260"/>
      <c r="T5" s="1260"/>
      <c r="U5" s="1260"/>
      <c r="V5" s="1260"/>
      <c r="W5" s="1260"/>
      <c r="X5" s="1260"/>
      <c r="Y5" s="1260"/>
      <c r="Z5" s="378" t="s">
        <v>1974</v>
      </c>
      <c r="AA5" s="378"/>
      <c r="AB5" s="1184"/>
      <c r="AC5" s="1262"/>
      <c r="AD5" s="1263"/>
      <c r="AE5" s="1263"/>
      <c r="AF5" s="1263"/>
      <c r="AG5" s="1264"/>
      <c r="AH5" s="1265"/>
      <c r="AI5" s="1264"/>
      <c r="AJ5" s="1266"/>
      <c r="AK5" s="1266"/>
      <c r="AL5" s="1266"/>
      <c r="AM5" s="1266"/>
      <c r="AN5" s="1266"/>
      <c r="AO5" s="637"/>
      <c r="AP5" s="637"/>
      <c r="AQ5" s="637"/>
    </row>
    <row r="6" spans="1:43" x14ac:dyDescent="0.2">
      <c r="D6" s="1260" t="s">
        <v>264</v>
      </c>
      <c r="E6" s="1269" t="str">
        <f>IF(Info!$B$8=""," ",Info!$B$8)</f>
        <v>00100</v>
      </c>
      <c r="F6" s="1181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1260"/>
      <c r="R6" s="378"/>
      <c r="S6" s="378"/>
      <c r="T6" s="378"/>
      <c r="U6" s="378"/>
      <c r="V6" s="378"/>
      <c r="W6" s="378"/>
      <c r="X6" s="378"/>
      <c r="Y6" s="378"/>
      <c r="Z6" s="1272" t="s">
        <v>770</v>
      </c>
      <c r="AA6" s="378"/>
      <c r="AB6" s="1273">
        <v>0</v>
      </c>
      <c r="AC6" s="1274"/>
      <c r="AD6" s="1275"/>
      <c r="AE6" s="1275"/>
      <c r="AF6" s="1275"/>
      <c r="AG6" s="644"/>
      <c r="AH6" s="653"/>
      <c r="AI6" s="644"/>
      <c r="AJ6" s="1276"/>
      <c r="AK6" s="1276"/>
      <c r="AL6" s="1276"/>
      <c r="AM6" s="1276"/>
      <c r="AN6" s="1276"/>
      <c r="AO6" s="1277"/>
      <c r="AP6" s="1277"/>
      <c r="AQ6" s="1277"/>
    </row>
    <row r="7" spans="1:43" x14ac:dyDescent="0.2">
      <c r="D7" s="1181"/>
      <c r="E7" s="1181"/>
      <c r="F7" s="1181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  <c r="AA7" s="378"/>
      <c r="AB7" s="1181"/>
      <c r="AC7" s="1274"/>
      <c r="AD7" s="1275"/>
      <c r="AE7" s="1275"/>
      <c r="AF7" s="1275"/>
      <c r="AG7" s="644"/>
      <c r="AH7" s="653"/>
      <c r="AI7" s="644"/>
      <c r="AJ7" s="1276"/>
      <c r="AK7" s="1276"/>
      <c r="AL7" s="1276"/>
      <c r="AM7" s="1276"/>
      <c r="AN7" s="1276"/>
      <c r="AO7" s="1277"/>
      <c r="AP7" s="1277"/>
      <c r="AQ7" s="1277"/>
    </row>
    <row r="8" spans="1:43" s="642" customFormat="1" ht="15.75" thickBot="1" x14ac:dyDescent="0.25">
      <c r="D8" s="1181">
        <v>1</v>
      </c>
      <c r="E8" s="1181">
        <v>2</v>
      </c>
      <c r="F8" s="1181">
        <v>3</v>
      </c>
      <c r="G8" s="1181">
        <v>4</v>
      </c>
      <c r="H8" s="1181">
        <v>5</v>
      </c>
      <c r="I8" s="1181">
        <v>6</v>
      </c>
      <c r="J8" s="1181">
        <v>7</v>
      </c>
      <c r="K8" s="1181">
        <v>8</v>
      </c>
      <c r="L8" s="1181">
        <v>9</v>
      </c>
      <c r="M8" s="1181">
        <v>10</v>
      </c>
      <c r="N8" s="1181">
        <v>11</v>
      </c>
      <c r="O8" s="1181">
        <v>12</v>
      </c>
      <c r="P8" s="1181">
        <v>13</v>
      </c>
      <c r="Q8" s="1181">
        <v>14</v>
      </c>
      <c r="R8" s="1181">
        <v>15</v>
      </c>
      <c r="S8" s="1181">
        <v>16</v>
      </c>
      <c r="T8" s="1181">
        <v>17</v>
      </c>
      <c r="U8" s="1181">
        <v>18</v>
      </c>
      <c r="V8" s="1181">
        <v>19</v>
      </c>
      <c r="W8" s="1181">
        <v>20</v>
      </c>
      <c r="X8" s="1181">
        <v>21</v>
      </c>
      <c r="Y8" s="1181">
        <v>22</v>
      </c>
      <c r="Z8" s="1181">
        <v>23</v>
      </c>
      <c r="AA8" s="1181">
        <v>24</v>
      </c>
      <c r="AB8" s="1181">
        <v>25</v>
      </c>
      <c r="AC8" s="1278"/>
      <c r="AD8" s="1275"/>
      <c r="AE8" s="1275"/>
      <c r="AF8" s="1275"/>
      <c r="AG8" s="653"/>
      <c r="AH8" s="653"/>
      <c r="AI8" s="653"/>
      <c r="AJ8" s="1279"/>
      <c r="AK8" s="1279"/>
      <c r="AL8" s="1279"/>
      <c r="AM8" s="1279"/>
      <c r="AN8" s="1279"/>
      <c r="AO8" s="1280"/>
      <c r="AP8" s="1280"/>
      <c r="AQ8" s="1280"/>
    </row>
    <row r="9" spans="1:43" ht="15.95" customHeight="1" x14ac:dyDescent="0.2">
      <c r="A9" s="1245"/>
      <c r="B9" s="1246"/>
      <c r="C9" s="1246"/>
      <c r="D9" s="1281"/>
      <c r="E9" s="1281"/>
      <c r="F9" s="1282"/>
      <c r="G9" s="1283"/>
      <c r="H9" s="1284"/>
      <c r="I9" s="1285"/>
      <c r="J9" s="1285"/>
      <c r="K9" s="1286"/>
      <c r="L9" s="1287"/>
      <c r="M9" s="1288"/>
      <c r="N9" s="1289"/>
      <c r="O9" s="1290"/>
      <c r="P9" s="1291" t="s">
        <v>1918</v>
      </c>
      <c r="Q9" s="1292" t="s">
        <v>840</v>
      </c>
      <c r="R9" s="1293"/>
      <c r="S9" s="1414"/>
      <c r="T9" s="1415"/>
      <c r="U9" s="1795" t="s">
        <v>771</v>
      </c>
      <c r="V9" s="1795"/>
      <c r="W9" s="1795"/>
      <c r="X9" s="1795"/>
      <c r="Y9" s="1795"/>
      <c r="Z9" s="1795"/>
      <c r="AA9" s="1796"/>
      <c r="AB9" s="1293"/>
      <c r="AC9" s="1274"/>
      <c r="AD9" s="1275"/>
      <c r="AE9" s="1275"/>
      <c r="AF9" s="1275"/>
      <c r="AG9" s="644"/>
      <c r="AH9" s="653"/>
      <c r="AI9" s="644"/>
      <c r="AJ9" s="1276"/>
      <c r="AK9" s="1276"/>
      <c r="AL9" s="1276"/>
      <c r="AM9" s="1276"/>
      <c r="AN9" s="1276"/>
      <c r="AO9" s="1277"/>
      <c r="AP9" s="1277"/>
      <c r="AQ9" s="1277"/>
    </row>
    <row r="10" spans="1:43" ht="15.95" customHeight="1" thickBot="1" x14ac:dyDescent="0.25">
      <c r="A10" s="1247"/>
      <c r="B10" s="1248"/>
      <c r="C10" s="1248"/>
      <c r="D10" s="1294"/>
      <c r="E10" s="1294"/>
      <c r="F10" s="1295"/>
      <c r="G10" s="1296"/>
      <c r="H10" s="1417" t="s">
        <v>1917</v>
      </c>
      <c r="I10" s="1418" t="s">
        <v>1918</v>
      </c>
      <c r="J10" s="1417" t="s">
        <v>840</v>
      </c>
      <c r="K10" s="1297"/>
      <c r="L10" s="1298"/>
      <c r="M10" s="1299"/>
      <c r="N10" s="1300"/>
      <c r="O10" s="1301"/>
      <c r="P10" s="1302"/>
      <c r="Q10" s="1303" t="str">
        <f>AQ26</f>
        <v>P.C.</v>
      </c>
      <c r="R10" s="1416"/>
      <c r="S10" s="1305"/>
      <c r="T10" s="1306"/>
      <c r="U10" s="1306"/>
      <c r="V10" s="1307"/>
      <c r="W10" s="1307"/>
      <c r="X10" s="1792" t="s">
        <v>774</v>
      </c>
      <c r="Y10" s="1793"/>
      <c r="Z10" s="1794"/>
      <c r="AA10" s="1307"/>
      <c r="AB10" s="1304"/>
      <c r="AC10" s="1274"/>
      <c r="AD10" s="1275"/>
      <c r="AE10" s="1275"/>
      <c r="AF10" s="1275"/>
      <c r="AG10" s="644"/>
      <c r="AH10" s="653"/>
      <c r="AI10" s="644"/>
      <c r="AJ10" s="1276"/>
      <c r="AK10" s="1276"/>
      <c r="AL10" s="1276"/>
      <c r="AM10" s="1276"/>
      <c r="AN10" s="1276"/>
      <c r="AO10" s="1277"/>
      <c r="AP10" s="1277"/>
      <c r="AQ10" s="1277"/>
    </row>
    <row r="11" spans="1:43" ht="82.5" customHeight="1" x14ac:dyDescent="0.35">
      <c r="A11" s="1249" t="s">
        <v>1797</v>
      </c>
      <c r="B11" s="1250" t="s">
        <v>843</v>
      </c>
      <c r="C11" s="1250" t="s">
        <v>1703</v>
      </c>
      <c r="D11" s="1308" t="s">
        <v>211</v>
      </c>
      <c r="E11" s="1308" t="s">
        <v>212</v>
      </c>
      <c r="F11" s="1309" t="s">
        <v>213</v>
      </c>
      <c r="G11" s="1310" t="s">
        <v>775</v>
      </c>
      <c r="H11" s="1311" t="s">
        <v>776</v>
      </c>
      <c r="I11" s="1311" t="s">
        <v>776</v>
      </c>
      <c r="J11" s="1311" t="s">
        <v>776</v>
      </c>
      <c r="K11" s="1312" t="s">
        <v>777</v>
      </c>
      <c r="L11" s="1313" t="s">
        <v>1915</v>
      </c>
      <c r="M11" s="1314" t="s">
        <v>1914</v>
      </c>
      <c r="N11" s="1315" t="s">
        <v>38</v>
      </c>
      <c r="O11" s="1316" t="s">
        <v>778</v>
      </c>
      <c r="P11" s="1317" t="s">
        <v>773</v>
      </c>
      <c r="Q11" s="1318" t="s">
        <v>773</v>
      </c>
      <c r="R11" s="1318" t="s">
        <v>779</v>
      </c>
      <c r="S11" s="1319" t="s">
        <v>1788</v>
      </c>
      <c r="T11" s="1320" t="s">
        <v>1985</v>
      </c>
      <c r="U11" s="1320" t="s">
        <v>780</v>
      </c>
      <c r="V11" s="1308" t="s">
        <v>781</v>
      </c>
      <c r="W11" s="1308" t="s">
        <v>782</v>
      </c>
      <c r="X11" s="1413"/>
      <c r="Y11" s="1413"/>
      <c r="Z11" s="1413"/>
      <c r="AA11" s="1308" t="s">
        <v>771</v>
      </c>
      <c r="AB11" s="1318" t="s">
        <v>772</v>
      </c>
      <c r="AC11" s="1321" t="s">
        <v>2005</v>
      </c>
      <c r="AD11" s="1322" t="s">
        <v>2006</v>
      </c>
      <c r="AE11" s="1322" t="s">
        <v>2007</v>
      </c>
      <c r="AF11" s="1323"/>
      <c r="AG11" s="1324" t="s">
        <v>1703</v>
      </c>
      <c r="AH11" s="1325" t="s">
        <v>838</v>
      </c>
      <c r="AI11" s="1324" t="s">
        <v>1976</v>
      </c>
      <c r="AJ11" s="1326" t="s">
        <v>777</v>
      </c>
      <c r="AK11" s="1326" t="s">
        <v>1915</v>
      </c>
      <c r="AL11" s="1326" t="s">
        <v>1914</v>
      </c>
      <c r="AM11" s="1326" t="s">
        <v>38</v>
      </c>
      <c r="AN11" s="1327" t="s">
        <v>778</v>
      </c>
      <c r="AO11" s="1328" t="s">
        <v>1959</v>
      </c>
      <c r="AP11" s="1328" t="s">
        <v>1975</v>
      </c>
      <c r="AQ11" s="1329" t="s">
        <v>1986</v>
      </c>
    </row>
    <row r="12" spans="1:43" s="1242" customFormat="1" ht="15.95" customHeight="1" x14ac:dyDescent="0.25">
      <c r="A12" s="1251" t="str">
        <f>CONCATENATE($E12,$F12)</f>
        <v>0543</v>
      </c>
      <c r="B12" s="1252">
        <v>1</v>
      </c>
      <c r="C12" s="1252" t="str">
        <f>IFERROR(VLOOKUP(A12,'LAC CMA'!F:G,2,FALSE),"")</f>
        <v>OP</v>
      </c>
      <c r="D12" s="1330" t="str">
        <f>Schedule_C!D20</f>
        <v>CR</v>
      </c>
      <c r="E12" s="1330" t="str">
        <f>Schedule_C!E20</f>
        <v>05</v>
      </c>
      <c r="F12" s="1331" t="str">
        <f>Schedule_C!F20</f>
        <v>43</v>
      </c>
      <c r="G12" s="1332">
        <f>Schedule_C!L20</f>
        <v>1036886.5072454689</v>
      </c>
      <c r="H12" s="1333">
        <f>Schedule_C!G20</f>
        <v>1981</v>
      </c>
      <c r="I12" s="1334">
        <f>H12-J12</f>
        <v>1654</v>
      </c>
      <c r="J12" s="1334">
        <f>SUMIFS('LAC 102_Wkst'!$Q$7:$Q$2010,'LAC 102_Wkst'!$A$7:$A$2010,'LAC 103'!$A12,'LAC 102_Wkst'!$N$7:$N$2010,"P5")</f>
        <v>327</v>
      </c>
      <c r="K12" s="1335">
        <f>IFERROR(IF(C12="INV",G12,G12/H12),0)</f>
        <v>523.41570279932807</v>
      </c>
      <c r="L12" s="1336">
        <f>IFERROR(VLOOKUP($A12,'LAC CMA'!$F$14:$L$325,3,FALSE),0)</f>
        <v>487.59</v>
      </c>
      <c r="M12" s="1336">
        <f>IFERROR(VLOOKUP($A12,'LAC CMA'!$F$14:$L$325,5,FALSE),0)</f>
        <v>404.71</v>
      </c>
      <c r="N12" s="1336">
        <f>IFERROR(VLOOKUP($A12,'LAC CMA'!$F$14:$L$325,7,FALSE),0)</f>
        <v>0</v>
      </c>
      <c r="O12" s="1337">
        <f>IFERROR(VLOOKUP($A12,'LAC CMA'!$F$14:$L$325,6,FALSE),0)</f>
        <v>0</v>
      </c>
      <c r="P12" s="1337">
        <f>IF(C12="IMD",O12,K12)</f>
        <v>523.41570279932807</v>
      </c>
      <c r="Q12" s="1338">
        <f>IF(C12="",0,IF(C12="INV",0,IF(C12="IMD",O12,IF(C12="COS",K12,IF(C12="LS",K12,IF(C12="CMS",K12,IF(AND(C12="OP",$Q$10="Costs"),K12,IF(AND(C12="OP",$Q$10="p.c."),M12,IF(AND(C12="OP",$Q$10="CMA"),L12,IF(AND(C12="IP",$Q$4="Costs"),K12,IF(AND(C12="IP",$Q$4="P.C."),M12,IF(AND(C12="IPADM",$Q$5="Costs"),K12,IF(AND(C12="IPADM",$Q$5="P.C."),M12,IF(AND(C12="IPADM",$Q$5="SMA"),N12,L12))))))))))))))</f>
        <v>404.71</v>
      </c>
      <c r="R12" s="1335">
        <f>I12*P12+J12*Q12</f>
        <v>998069.74243008858</v>
      </c>
      <c r="S12" s="1404"/>
      <c r="T12" s="1339">
        <f>R12+S12</f>
        <v>998069.74243008858</v>
      </c>
      <c r="U12" s="1407"/>
      <c r="V12" s="1408"/>
      <c r="W12" s="1408"/>
      <c r="X12" s="1408"/>
      <c r="Y12" s="1408"/>
      <c r="Z12" s="1408"/>
      <c r="AA12" s="1340">
        <f>SUM(U12:Z12)</f>
        <v>0</v>
      </c>
      <c r="AB12" s="1335">
        <f>T12-AA12</f>
        <v>998069.74243008858</v>
      </c>
      <c r="AC12" s="1262">
        <f>IF($C12="INV",0,SUMIF('LAC 102_Wkst'!$A$7:$A$2010,$A12,'LAC 102_Wkst'!$AR$7:$AR$2010))</f>
        <v>998069.74243008869</v>
      </c>
      <c r="AD12" s="1341">
        <f>IF($C12="INV",0,ROUND(AB12-AC12,2))</f>
        <v>0</v>
      </c>
      <c r="AE12" s="1341">
        <f>G12-T12</f>
        <v>38816.764815380331</v>
      </c>
      <c r="AF12" s="1341"/>
      <c r="AG12" s="1342" t="s">
        <v>325</v>
      </c>
      <c r="AH12" s="1343" t="s">
        <v>1692</v>
      </c>
      <c r="AI12" s="1342" t="s">
        <v>1919</v>
      </c>
      <c r="AJ12" s="1344">
        <f>SUMIFS('LAC 102_Wkst'!$Y$7:$Y$1501,'LAC 102_Wkst'!$B$7:$B$1501,$AG12,'LAC 102_Wkst'!$N$7:$N$1501,$AH12)</f>
        <v>0</v>
      </c>
      <c r="AK12" s="1344">
        <f>SUMIFS('LAC 102_Wkst'!$Z$7:$Z$1501,'LAC 102_Wkst'!$B$7:$B$1501,$AG12,'LAC 102_Wkst'!$N$7:$N$1501,$AH12)</f>
        <v>0</v>
      </c>
      <c r="AL12" s="1344">
        <f>SUMIFS('LAC 102_Wkst'!$AA$7:$AA$1501,'LAC 102_Wkst'!$B$7:$B$1501,$AG12,'LAC 102_Wkst'!$N$7:$N$1501,$AH12)</f>
        <v>0</v>
      </c>
      <c r="AM12" s="1345"/>
      <c r="AN12" s="1346"/>
      <c r="AO12" s="1347" t="str">
        <f>IF(AJ12=0,"",IF(AJ12&lt;MIN(AK12,AL12),"Costs",IF(AK12&lt;MIN(AJ12,AL12),"CMA","P.C.")))</f>
        <v/>
      </c>
      <c r="AP12" s="1347"/>
      <c r="AQ12" s="1348" t="str">
        <f t="shared" ref="AQ12:AQ25" si="0">IF(AP12="",AO12,IF(AP12="Not Exempt",AO12,IF(AJ12&lt;AK12,"Costs","CMA")))</f>
        <v/>
      </c>
    </row>
    <row r="13" spans="1:43" s="1242" customFormat="1" ht="15.95" customHeight="1" x14ac:dyDescent="0.25">
      <c r="A13" s="1253" t="str">
        <f t="shared" ref="A13:A76" si="1">CONCATENATE($E13,$F13)</f>
        <v>1504</v>
      </c>
      <c r="B13" s="1254">
        <v>2</v>
      </c>
      <c r="C13" s="1254" t="str">
        <f>IFERROR(VLOOKUP(A13,'LAC CMA'!F:G,2,FALSE),"")</f>
        <v>OP</v>
      </c>
      <c r="D13" s="1349" t="str">
        <f>Schedule_C!D21</f>
        <v>CR</v>
      </c>
      <c r="E13" s="1349" t="str">
        <f>Schedule_C!E21</f>
        <v>15</v>
      </c>
      <c r="F13" s="1350" t="str">
        <f>Schedule_C!F21</f>
        <v>04</v>
      </c>
      <c r="G13" s="1351">
        <f>Schedule_C!L21</f>
        <v>5035763.8141614525</v>
      </c>
      <c r="H13" s="1352">
        <f>Schedule_C!G21</f>
        <v>2027969</v>
      </c>
      <c r="I13" s="1353">
        <f t="shared" ref="I13:I76" si="2">H13-J13</f>
        <v>1770631</v>
      </c>
      <c r="J13" s="1353">
        <f>SUMIFS('LAC 102_Wkst'!$Q$7:$Q$2010,'LAC 102_Wkst'!$A$7:$A$2010,'LAC 103'!$A13,'LAC 102_Wkst'!$N$7:$N$2010,"P5")</f>
        <v>257338</v>
      </c>
      <c r="K13" s="1354">
        <f t="shared" ref="K13:K76" si="3">IFERROR(IF(C13="INV",G13,G13/H13),0)</f>
        <v>2.483156209074918</v>
      </c>
      <c r="L13" s="1355">
        <f>IFERROR(VLOOKUP($A13,'LAC CMA'!$F$14:$L$325,3,FALSE),0)</f>
        <v>3.07</v>
      </c>
      <c r="M13" s="1355">
        <f>IFERROR(VLOOKUP($A13,'LAC CMA'!$F$14:$L$325,5,FALSE),0)</f>
        <v>1.92</v>
      </c>
      <c r="N13" s="1355">
        <f>IFERROR(VLOOKUP($A13,'LAC CMA'!$F$14:$L$325,7,FALSE),0)</f>
        <v>0</v>
      </c>
      <c r="O13" s="1356">
        <f>IFERROR(VLOOKUP($A13,'LAC CMA'!$F$14:$L$325,6,FALSE),0)</f>
        <v>0</v>
      </c>
      <c r="P13" s="1356">
        <f t="shared" ref="P13:P76" si="4">IF(C13="IMD",O13,K13)</f>
        <v>2.483156209074918</v>
      </c>
      <c r="Q13" s="1357">
        <f t="shared" ref="Q13:Q76" si="5">IF(C13="",0,IF(C13="INV",0,IF(C13="IMD",O13,IF(C13="COS",K13,IF(C13="LS",K13,IF(C13="CMS",K13,IF(AND(C13="OP",$Q$10="Costs"),K13,IF(AND(C13="OP",$Q$10="p.c."),M13,IF(AND(C13="OP",$Q$10="CMA"),L13,IF(AND(C13="IP",$Q$4="Costs"),K13,IF(AND(C13="IP",$Q$4="P.C."),M13,IF(AND(C13="IPADM",$Q$5="Costs"),K13,IF(AND(C13="IPADM",$Q$5="P.C."),M13,IF(AND(C13="IPADM",$Q$5="SMA"),N13,L13))))))))))))))</f>
        <v>1.92</v>
      </c>
      <c r="R13" s="1354">
        <f t="shared" ref="R13:R76" si="6">I13*P13+J13*Q13</f>
        <v>4890842.321630531</v>
      </c>
      <c r="S13" s="1405"/>
      <c r="T13" s="1358">
        <f t="shared" ref="T13:T76" si="7">R13+S13</f>
        <v>4890842.321630531</v>
      </c>
      <c r="U13" s="1409"/>
      <c r="V13" s="1410"/>
      <c r="W13" s="1410"/>
      <c r="X13" s="1410"/>
      <c r="Y13" s="1410"/>
      <c r="Z13" s="1410"/>
      <c r="AA13" s="1359">
        <f t="shared" ref="AA13:AA76" si="8">SUM(U13:Z13)</f>
        <v>0</v>
      </c>
      <c r="AB13" s="1354">
        <f t="shared" ref="AB13:AB76" si="9">T13-AA13</f>
        <v>4890842.321630531</v>
      </c>
      <c r="AC13" s="1262">
        <f>IF($C13="INV",0,SUMIF('LAC 102_Wkst'!$A$7:$A$2010,$A13,'LAC 102_Wkst'!$AR$7:$AR$2010))</f>
        <v>4890842.3216305347</v>
      </c>
      <c r="AD13" s="1341">
        <f t="shared" ref="AD13:AD76" si="10">IF($C13="INV",0,ROUND(AB13-AC13,2))</f>
        <v>0</v>
      </c>
      <c r="AE13" s="1341">
        <f t="shared" ref="AE13:AE76" si="11">G13-T13</f>
        <v>144921.49253092147</v>
      </c>
      <c r="AF13" s="1341"/>
      <c r="AG13" s="1342" t="s">
        <v>325</v>
      </c>
      <c r="AH13" s="1343" t="s">
        <v>1693</v>
      </c>
      <c r="AI13" s="1342" t="s">
        <v>1920</v>
      </c>
      <c r="AJ13" s="1344">
        <f>SUMIFS('LAC 102_Wkst'!$Y$7:$Y$1501,'LAC 102_Wkst'!$B$7:$B$1501,$AG13,'LAC 102_Wkst'!$N$7:$N$1501,$AH13)</f>
        <v>0</v>
      </c>
      <c r="AK13" s="1344">
        <f>SUMIFS('LAC 102_Wkst'!$Z$7:$Z$1501,'LAC 102_Wkst'!$B$7:$B$1501,$AG13,'LAC 102_Wkst'!$N$7:$N$1501,$AH13)</f>
        <v>0</v>
      </c>
      <c r="AL13" s="1344">
        <f>SUMIFS('LAC 102_Wkst'!$AA$7:$AA$1501,'LAC 102_Wkst'!$B$7:$B$1501,$AG13,'LAC 102_Wkst'!$N$7:$N$1501,$AH13)</f>
        <v>0</v>
      </c>
      <c r="AM13" s="1345"/>
      <c r="AN13" s="1346"/>
      <c r="AO13" s="1347" t="str">
        <f>IF(AJ13=0,"",IF(AJ13&lt;MIN(AK13,AL13),"Costs",IF(AK13&lt;MIN(AJ13,AL13),"CMA","P.C.")))</f>
        <v/>
      </c>
      <c r="AP13" s="1347"/>
      <c r="AQ13" s="1348" t="str">
        <f t="shared" si="0"/>
        <v/>
      </c>
    </row>
    <row r="14" spans="1:43" s="1242" customFormat="1" ht="15.95" customHeight="1" x14ac:dyDescent="0.25">
      <c r="A14" s="1253" t="str">
        <f t="shared" si="1"/>
        <v>1505</v>
      </c>
      <c r="B14" s="1254">
        <v>3</v>
      </c>
      <c r="C14" s="1254" t="str">
        <f>IFERROR(VLOOKUP(A14,'LAC CMA'!F:G,2,FALSE),"")</f>
        <v>OP</v>
      </c>
      <c r="D14" s="1349" t="str">
        <f>Schedule_C!D22</f>
        <v>CR</v>
      </c>
      <c r="E14" s="1349" t="str">
        <f>Schedule_C!E22</f>
        <v>15</v>
      </c>
      <c r="F14" s="1350" t="str">
        <f>Schedule_C!F22</f>
        <v>05</v>
      </c>
      <c r="G14" s="1351">
        <f>Schedule_C!L22</f>
        <v>685487.68729617645</v>
      </c>
      <c r="H14" s="1352">
        <f>Schedule_C!G22</f>
        <v>276055</v>
      </c>
      <c r="I14" s="1353">
        <f t="shared" si="2"/>
        <v>245139</v>
      </c>
      <c r="J14" s="1353">
        <f>SUMIFS('LAC 102_Wkst'!$Q$7:$Q$2010,'LAC 102_Wkst'!$A$7:$A$2010,'LAC 103'!$A14,'LAC 102_Wkst'!$N$7:$N$2010,"P5")</f>
        <v>30916</v>
      </c>
      <c r="K14" s="1354">
        <f t="shared" si="3"/>
        <v>2.483156209074918</v>
      </c>
      <c r="L14" s="1355">
        <f>IFERROR(VLOOKUP($A14,'LAC CMA'!$F$14:$L$325,3,FALSE),0)</f>
        <v>3.07</v>
      </c>
      <c r="M14" s="1355">
        <f>IFERROR(VLOOKUP($A14,'LAC CMA'!$F$14:$L$325,5,FALSE),0)</f>
        <v>1.92</v>
      </c>
      <c r="N14" s="1355">
        <f>IFERROR(VLOOKUP($A14,'LAC CMA'!$F$14:$L$325,7,FALSE),0)</f>
        <v>0</v>
      </c>
      <c r="O14" s="1356">
        <f>IFERROR(VLOOKUP($A14,'LAC CMA'!$F$14:$L$325,6,FALSE),0)</f>
        <v>0</v>
      </c>
      <c r="P14" s="1356">
        <f t="shared" si="4"/>
        <v>2.483156209074918</v>
      </c>
      <c r="Q14" s="1357">
        <f t="shared" si="5"/>
        <v>1.92</v>
      </c>
      <c r="R14" s="1354">
        <f t="shared" si="6"/>
        <v>668077.1499364163</v>
      </c>
      <c r="S14" s="1405"/>
      <c r="T14" s="1358">
        <f t="shared" si="7"/>
        <v>668077.1499364163</v>
      </c>
      <c r="U14" s="1409"/>
      <c r="V14" s="1410"/>
      <c r="W14" s="1410"/>
      <c r="X14" s="1410"/>
      <c r="Y14" s="1410"/>
      <c r="Z14" s="1410"/>
      <c r="AA14" s="1359">
        <f t="shared" si="8"/>
        <v>0</v>
      </c>
      <c r="AB14" s="1354">
        <f t="shared" si="9"/>
        <v>668077.1499364163</v>
      </c>
      <c r="AC14" s="1262">
        <f>IF($C14="INV",0,SUMIF('LAC 102_Wkst'!$A$7:$A$2010,$A14,'LAC 102_Wkst'!$AR$7:$AR$2010))</f>
        <v>668077.14993641654</v>
      </c>
      <c r="AD14" s="1341">
        <f t="shared" si="10"/>
        <v>0</v>
      </c>
      <c r="AE14" s="1341">
        <f t="shared" si="11"/>
        <v>17410.537359760143</v>
      </c>
      <c r="AF14" s="1341"/>
      <c r="AG14" s="1342" t="s">
        <v>325</v>
      </c>
      <c r="AH14" s="1343" t="s">
        <v>1694</v>
      </c>
      <c r="AI14" s="1342" t="s">
        <v>1921</v>
      </c>
      <c r="AJ14" s="1344">
        <f>SUMIFS('LAC 102_Wkst'!$Y$7:$Y$1501,'LAC 102_Wkst'!$B$7:$B$1501,$AG14,'LAC 102_Wkst'!$N$7:$N$1501,$AH14)</f>
        <v>0</v>
      </c>
      <c r="AK14" s="1344">
        <f>SUMIFS('LAC 102_Wkst'!$Z$7:$Z$1501,'LAC 102_Wkst'!$B$7:$B$1501,$AG14,'LAC 102_Wkst'!$N$7:$N$1501,$AH14)</f>
        <v>0</v>
      </c>
      <c r="AL14" s="1344">
        <f>SUMIFS('LAC 102_Wkst'!$AA$7:$AA$1501,'LAC 102_Wkst'!$B$7:$B$1501,$AG14,'LAC 102_Wkst'!$N$7:$N$1501,$AH14)</f>
        <v>0</v>
      </c>
      <c r="AM14" s="1345"/>
      <c r="AN14" s="1346"/>
      <c r="AO14" s="1347" t="str">
        <f>IF(AJ14=0,"",IF(AJ14&lt;MIN(AK14,AL14),"Costs",IF(AK14&lt;MIN(AJ14,AL14),"CMA","P.C.")))</f>
        <v/>
      </c>
      <c r="AP14" s="1347"/>
      <c r="AQ14" s="1348" t="str">
        <f t="shared" si="0"/>
        <v/>
      </c>
    </row>
    <row r="15" spans="1:43" s="1242" customFormat="1" ht="15.95" customHeight="1" x14ac:dyDescent="0.25">
      <c r="A15" s="1253" t="str">
        <f t="shared" si="1"/>
        <v>1507</v>
      </c>
      <c r="B15" s="1254">
        <v>4</v>
      </c>
      <c r="C15" s="1254" t="str">
        <f>IFERROR(VLOOKUP(A15,'LAC CMA'!F:G,2,FALSE),"")</f>
        <v>OP</v>
      </c>
      <c r="D15" s="1349" t="str">
        <f>Schedule_C!D23</f>
        <v>CR</v>
      </c>
      <c r="E15" s="1349" t="str">
        <f>Schedule_C!E23</f>
        <v>15</v>
      </c>
      <c r="F15" s="1350" t="str">
        <f>Schedule_C!F23</f>
        <v>07</v>
      </c>
      <c r="G15" s="1351">
        <f>Schedule_C!L23</f>
        <v>1029635.7557804964</v>
      </c>
      <c r="H15" s="1352">
        <f>Schedule_C!G23</f>
        <v>414648</v>
      </c>
      <c r="I15" s="1353">
        <f t="shared" si="2"/>
        <v>369443</v>
      </c>
      <c r="J15" s="1353">
        <f>SUMIFS('LAC 102_Wkst'!$Q$7:$Q$2010,'LAC 102_Wkst'!$A$7:$A$2010,'LAC 103'!$A15,'LAC 102_Wkst'!$N$7:$N$2010,"P5")</f>
        <v>45205</v>
      </c>
      <c r="K15" s="1354">
        <f t="shared" si="3"/>
        <v>2.4831562090749175</v>
      </c>
      <c r="L15" s="1355">
        <f>IFERROR(VLOOKUP($A15,'LAC CMA'!$F$14:$L$325,3,FALSE),0)</f>
        <v>3.07</v>
      </c>
      <c r="M15" s="1355">
        <f>IFERROR(VLOOKUP($A15,'LAC CMA'!$F$14:$L$325,5,FALSE),0)</f>
        <v>1.92</v>
      </c>
      <c r="N15" s="1355">
        <f>IFERROR(VLOOKUP($A15,'LAC CMA'!$F$14:$L$325,7,FALSE),0)</f>
        <v>0</v>
      </c>
      <c r="O15" s="1356">
        <f>IFERROR(VLOOKUP($A15,'LAC CMA'!$F$14:$L$325,6,FALSE),0)</f>
        <v>0</v>
      </c>
      <c r="P15" s="1356">
        <f t="shared" si="4"/>
        <v>2.4831562090749175</v>
      </c>
      <c r="Q15" s="1357">
        <f t="shared" si="5"/>
        <v>1.92</v>
      </c>
      <c r="R15" s="1354">
        <f t="shared" si="6"/>
        <v>1004178.2793492647</v>
      </c>
      <c r="S15" s="1405"/>
      <c r="T15" s="1358">
        <f t="shared" si="7"/>
        <v>1004178.2793492647</v>
      </c>
      <c r="U15" s="1409"/>
      <c r="V15" s="1410"/>
      <c r="W15" s="1410"/>
      <c r="X15" s="1410"/>
      <c r="Y15" s="1410"/>
      <c r="Z15" s="1410"/>
      <c r="AA15" s="1359">
        <f t="shared" si="8"/>
        <v>0</v>
      </c>
      <c r="AB15" s="1354">
        <f t="shared" si="9"/>
        <v>1004178.2793492647</v>
      </c>
      <c r="AC15" s="1262">
        <f>IF($C15="INV",0,SUMIF('LAC 102_Wkst'!$A$7:$A$2010,$A15,'LAC 102_Wkst'!$AR$7:$AR$2010))</f>
        <v>1004178.2793492646</v>
      </c>
      <c r="AD15" s="1341">
        <f t="shared" si="10"/>
        <v>0</v>
      </c>
      <c r="AE15" s="1341">
        <f t="shared" si="11"/>
        <v>25457.476431231713</v>
      </c>
      <c r="AF15" s="1341"/>
      <c r="AG15" s="1342" t="s">
        <v>325</v>
      </c>
      <c r="AH15" s="1343" t="s">
        <v>1695</v>
      </c>
      <c r="AI15" s="1342" t="s">
        <v>1922</v>
      </c>
      <c r="AJ15" s="1344">
        <f>SUMIFS('LAC 102_Wkst'!$Y$7:$Y$1501,'LAC 102_Wkst'!$B$7:$B$1501,$AG15,'LAC 102_Wkst'!$N$7:$N$1501,$AH15)</f>
        <v>0</v>
      </c>
      <c r="AK15" s="1344">
        <f>SUMIFS('LAC 102_Wkst'!$Z$7:$Z$1501,'LAC 102_Wkst'!$B$7:$B$1501,$AG15,'LAC 102_Wkst'!$N$7:$N$1501,$AH15)</f>
        <v>0</v>
      </c>
      <c r="AL15" s="1344">
        <f>SUMIFS('LAC 102_Wkst'!$AA$7:$AA$1501,'LAC 102_Wkst'!$B$7:$B$1501,$AG15,'LAC 102_Wkst'!$N$7:$N$1501,$AH15)</f>
        <v>0</v>
      </c>
      <c r="AM15" s="1345"/>
      <c r="AN15" s="1346"/>
      <c r="AO15" s="1347" t="str">
        <f>IF(AJ15=0,"",IF(AJ15&lt;MIN(AK15,AL15),"Costs",IF(AK15&lt;MIN(AJ15,AL15),"CMA","P.C.")))</f>
        <v/>
      </c>
      <c r="AP15" s="1347"/>
      <c r="AQ15" s="1348" t="str">
        <f t="shared" si="0"/>
        <v/>
      </c>
    </row>
    <row r="16" spans="1:43" s="1242" customFormat="1" ht="15.95" customHeight="1" x14ac:dyDescent="0.25">
      <c r="A16" s="1253" t="str">
        <f t="shared" si="1"/>
        <v>1510</v>
      </c>
      <c r="B16" s="1254">
        <v>5</v>
      </c>
      <c r="C16" s="1254" t="str">
        <f>IFERROR(VLOOKUP(A16,'LAC CMA'!F:G,2,FALSE),"")</f>
        <v>OP</v>
      </c>
      <c r="D16" s="1349" t="str">
        <f>Schedule_C!D24</f>
        <v>CR</v>
      </c>
      <c r="E16" s="1349" t="str">
        <f>Schedule_C!E24</f>
        <v>15</v>
      </c>
      <c r="F16" s="1350" t="str">
        <f>Schedule_C!F24</f>
        <v>10</v>
      </c>
      <c r="G16" s="1351">
        <f>Schedule_C!L24</f>
        <v>2951118.7916670791</v>
      </c>
      <c r="H16" s="1352">
        <f>Schedule_C!G24</f>
        <v>920094</v>
      </c>
      <c r="I16" s="1353">
        <f t="shared" si="2"/>
        <v>809798</v>
      </c>
      <c r="J16" s="1353">
        <f>SUMIFS('LAC 102_Wkst'!$Q$7:$Q$2010,'LAC 102_Wkst'!$A$7:$A$2010,'LAC 103'!$A16,'LAC 102_Wkst'!$N$7:$N$2010,"P5")</f>
        <v>110296</v>
      </c>
      <c r="K16" s="1354">
        <f t="shared" si="3"/>
        <v>3.2074101033884355</v>
      </c>
      <c r="L16" s="1355">
        <f>IFERROR(VLOOKUP($A16,'LAC CMA'!$F$14:$L$325,3,FALSE),0)</f>
        <v>3.99</v>
      </c>
      <c r="M16" s="1355">
        <f>IFERROR(VLOOKUP($A16,'LAC CMA'!$F$14:$L$325,5,FALSE),0)</f>
        <v>2.48</v>
      </c>
      <c r="N16" s="1355">
        <f>IFERROR(VLOOKUP($A16,'LAC CMA'!$F$14:$L$325,7,FALSE),0)</f>
        <v>0</v>
      </c>
      <c r="O16" s="1356">
        <f>IFERROR(VLOOKUP($A16,'LAC CMA'!$F$14:$L$325,6,FALSE),0)</f>
        <v>0</v>
      </c>
      <c r="P16" s="1356">
        <f t="shared" si="4"/>
        <v>3.2074101033884355</v>
      </c>
      <c r="Q16" s="1357">
        <f t="shared" si="5"/>
        <v>2.48</v>
      </c>
      <c r="R16" s="1354">
        <f t="shared" si="6"/>
        <v>2870888.3669037484</v>
      </c>
      <c r="S16" s="1405"/>
      <c r="T16" s="1358">
        <f t="shared" si="7"/>
        <v>2870888.3669037484</v>
      </c>
      <c r="U16" s="1409"/>
      <c r="V16" s="1410"/>
      <c r="W16" s="1410"/>
      <c r="X16" s="1410"/>
      <c r="Y16" s="1410"/>
      <c r="Z16" s="1410"/>
      <c r="AA16" s="1359">
        <f t="shared" si="8"/>
        <v>0</v>
      </c>
      <c r="AB16" s="1354">
        <f t="shared" si="9"/>
        <v>2870888.3669037484</v>
      </c>
      <c r="AC16" s="1262">
        <f>IF($C16="INV",0,SUMIF('LAC 102_Wkst'!$A$7:$A$2010,$A16,'LAC 102_Wkst'!$AR$7:$AR$2010))</f>
        <v>2870888.3669037493</v>
      </c>
      <c r="AD16" s="1341">
        <f t="shared" si="10"/>
        <v>0</v>
      </c>
      <c r="AE16" s="1341">
        <f t="shared" si="11"/>
        <v>80230.424763330724</v>
      </c>
      <c r="AF16" s="1341"/>
      <c r="AG16" s="1360" t="s">
        <v>325</v>
      </c>
      <c r="AH16" s="1361" t="s">
        <v>1700</v>
      </c>
      <c r="AI16" s="1362" t="s">
        <v>1923</v>
      </c>
      <c r="AJ16" s="1363">
        <f>SUMIFS('LAC 102_Wkst'!$Y$7:$Y$1501,'LAC 102_Wkst'!$B$7:$B$1501,$AG16,'LAC 102_Wkst'!$N$7:$N$1501,$AH16)</f>
        <v>0</v>
      </c>
      <c r="AK16" s="1363">
        <f>SUMIFS('LAC 102_Wkst'!$Z$7:$Z$1501,'LAC 102_Wkst'!$B$7:$B$1501,$AG16,'LAC 102_Wkst'!$N$7:$N$1501,$AH16)</f>
        <v>0</v>
      </c>
      <c r="AL16" s="1363">
        <f>SUMIFS('LAC 102_Wkst'!$AA$7:$AA$1501,'LAC 102_Wkst'!$B$7:$B$1501,$AG16,'LAC 102_Wkst'!$N$7:$N$1501,$AH16)</f>
        <v>0</v>
      </c>
      <c r="AM16" s="1363"/>
      <c r="AN16" s="1364"/>
      <c r="AO16" s="1365" t="str">
        <f>IF(AJ16=0,"",IF(AJ16&lt;MIN(AK16,AL16),"Costs",IF(AK16&lt;MIN(AJ16,AL16),"CMA","P.C.")))</f>
        <v/>
      </c>
      <c r="AP16" s="1365" t="str">
        <f>IF(AO16="","",IF(AND(AO16="P.C.",'1969 (Optional)'!E30=" "),"P.C.","Costs"))</f>
        <v/>
      </c>
      <c r="AQ16" s="1366" t="str">
        <f>IF(AO16="","",IF(AP16="P.C.","P.C.",IF(AJ16&lt;AK16,"Costs","CMA")))</f>
        <v/>
      </c>
    </row>
    <row r="17" spans="1:43" s="1242" customFormat="1" ht="15.95" customHeight="1" x14ac:dyDescent="0.25">
      <c r="A17" s="1253" t="str">
        <f t="shared" si="1"/>
        <v>1542</v>
      </c>
      <c r="B17" s="1254">
        <v>6</v>
      </c>
      <c r="C17" s="1254" t="str">
        <f>IFERROR(VLOOKUP(A17,'LAC CMA'!F:G,2,FALSE),"")</f>
        <v>OP</v>
      </c>
      <c r="D17" s="1349" t="str">
        <f>Schedule_C!D25</f>
        <v>CR</v>
      </c>
      <c r="E17" s="1349" t="str">
        <f>Schedule_C!E25</f>
        <v>15</v>
      </c>
      <c r="F17" s="1350" t="str">
        <f>Schedule_C!F25</f>
        <v>42</v>
      </c>
      <c r="G17" s="1351">
        <f>Schedule_C!L25</f>
        <v>29080689.332593996</v>
      </c>
      <c r="H17" s="1352">
        <f>Schedule_C!G25</f>
        <v>9066720</v>
      </c>
      <c r="I17" s="1353">
        <f t="shared" si="2"/>
        <v>7897096</v>
      </c>
      <c r="J17" s="1353">
        <f>SUMIFS('LAC 102_Wkst'!$Q$7:$Q$2010,'LAC 102_Wkst'!$A$7:$A$2010,'LAC 103'!$A17,'LAC 102_Wkst'!$N$7:$N$2010,"P5")</f>
        <v>1169624</v>
      </c>
      <c r="K17" s="1354">
        <f t="shared" si="3"/>
        <v>3.2074101033884355</v>
      </c>
      <c r="L17" s="1355">
        <f>IFERROR(VLOOKUP($A17,'LAC CMA'!$F$14:$L$325,3,FALSE),0)</f>
        <v>3.99</v>
      </c>
      <c r="M17" s="1355">
        <f>IFERROR(VLOOKUP($A17,'LAC CMA'!$F$14:$L$325,5,FALSE),0)</f>
        <v>2.48</v>
      </c>
      <c r="N17" s="1355">
        <f>IFERROR(VLOOKUP($A17,'LAC CMA'!$F$14:$L$325,7,FALSE),0)</f>
        <v>0</v>
      </c>
      <c r="O17" s="1356">
        <f>IFERROR(VLOOKUP($A17,'LAC CMA'!$F$14:$L$325,6,FALSE),0)</f>
        <v>0</v>
      </c>
      <c r="P17" s="1356">
        <f t="shared" si="4"/>
        <v>3.2074101033884355</v>
      </c>
      <c r="Q17" s="1357">
        <f t="shared" si="5"/>
        <v>2.48</v>
      </c>
      <c r="R17" s="1354">
        <f t="shared" si="6"/>
        <v>28229893.017828401</v>
      </c>
      <c r="S17" s="1405"/>
      <c r="T17" s="1358">
        <f t="shared" si="7"/>
        <v>28229893.017828401</v>
      </c>
      <c r="U17" s="1409">
        <v>17515</v>
      </c>
      <c r="V17" s="1410">
        <v>84058</v>
      </c>
      <c r="W17" s="1410">
        <v>114790</v>
      </c>
      <c r="X17" s="1410"/>
      <c r="Y17" s="1410"/>
      <c r="Z17" s="1410"/>
      <c r="AA17" s="1359">
        <f t="shared" si="8"/>
        <v>216363</v>
      </c>
      <c r="AB17" s="1354">
        <f t="shared" si="9"/>
        <v>28013530.017828401</v>
      </c>
      <c r="AC17" s="1262">
        <f>IF($C17="INV",0,SUMIF('LAC 102_Wkst'!$A$7:$A$2010,$A17,'LAC 102_Wkst'!$AR$7:$AR$2010))</f>
        <v>28013530.017828409</v>
      </c>
      <c r="AD17" s="1341">
        <f t="shared" si="10"/>
        <v>0</v>
      </c>
      <c r="AE17" s="1341">
        <f t="shared" si="11"/>
        <v>850796.3147655949</v>
      </c>
      <c r="AF17" s="1341"/>
      <c r="AG17" s="1342" t="s">
        <v>342</v>
      </c>
      <c r="AH17" s="1343" t="s">
        <v>1692</v>
      </c>
      <c r="AI17" s="1342" t="s">
        <v>1924</v>
      </c>
      <c r="AJ17" s="1344">
        <f>SUMIFS('LAC 102_Wkst'!$Y$7:$Y$1501,'LAC 102_Wkst'!$B$7:$B$1501,$AG17,'LAC 102_Wkst'!$N$7:$N$1501,$AH17)</f>
        <v>0</v>
      </c>
      <c r="AK17" s="1344">
        <f>SUMIFS('LAC 102_Wkst'!$Z$7:$Z$1501,'LAC 102_Wkst'!$B$7:$B$1501,$AG17,'LAC 102_Wkst'!$N$7:$N$1501,$AH17)</f>
        <v>0</v>
      </c>
      <c r="AL17" s="1344">
        <f>SUMIFS('LAC 102_Wkst'!$AA$7:$AA$1501,'LAC 102_Wkst'!$B$7:$B$1501,$AG17,'LAC 102_Wkst'!$N$7:$N$1501,$AH17)</f>
        <v>0</v>
      </c>
      <c r="AM17" s="1344">
        <f>SUMIFS('LAC 102_Wkst'!$AB$7:$AB$1501,'LAC 102_Wkst'!$B$7:$B$1501,$AG17,'LAC 102_Wkst'!$N$7:$N$1501,$AH17)</f>
        <v>0</v>
      </c>
      <c r="AN17" s="1346"/>
      <c r="AO17" s="1347" t="str">
        <f>IF(AJ17=0,"",IF(AJ17&lt;MIN(AK17,AL17,AM17),"Costs",IF(AK17&lt;MIN(AJ17,AL17,AM17),"CMA",IF(AL17&lt;MIN(AJ17,AK17,AL17),"P.C.","SMA"))))</f>
        <v/>
      </c>
      <c r="AP17" s="1347"/>
      <c r="AQ17" s="1348" t="str">
        <f t="shared" si="0"/>
        <v/>
      </c>
    </row>
    <row r="18" spans="1:43" s="1242" customFormat="1" ht="15.95" customHeight="1" x14ac:dyDescent="0.25">
      <c r="A18" s="1253" t="str">
        <f t="shared" si="1"/>
        <v>1544</v>
      </c>
      <c r="B18" s="1254">
        <v>7</v>
      </c>
      <c r="C18" s="1254" t="str">
        <f>IFERROR(VLOOKUP(A18,'LAC CMA'!F:G,2,FALSE),"")</f>
        <v>OP</v>
      </c>
      <c r="D18" s="1349" t="str">
        <f>Schedule_C!D26</f>
        <v>CR</v>
      </c>
      <c r="E18" s="1349" t="str">
        <f>Schedule_C!E26</f>
        <v>15</v>
      </c>
      <c r="F18" s="1350" t="str">
        <f>Schedule_C!F26</f>
        <v>44</v>
      </c>
      <c r="G18" s="1351">
        <f>Schedule_C!L26</f>
        <v>3924285.5059563708</v>
      </c>
      <c r="H18" s="1352">
        <f>Schedule_C!G26</f>
        <v>1223506</v>
      </c>
      <c r="I18" s="1353">
        <f t="shared" si="2"/>
        <v>1080983</v>
      </c>
      <c r="J18" s="1353">
        <f>SUMIFS('LAC 102_Wkst'!$Q$7:$Q$2010,'LAC 102_Wkst'!$A$7:$A$2010,'LAC 103'!$A18,'LAC 102_Wkst'!$N$7:$N$2010,"P5")</f>
        <v>142523</v>
      </c>
      <c r="K18" s="1354">
        <f t="shared" si="3"/>
        <v>3.2074101033884355</v>
      </c>
      <c r="L18" s="1355">
        <f>IFERROR(VLOOKUP($A18,'LAC CMA'!$F$14:$L$325,3,FALSE),0)</f>
        <v>3.99</v>
      </c>
      <c r="M18" s="1355">
        <f>IFERROR(VLOOKUP($A18,'LAC CMA'!$F$14:$L$325,5,FALSE),0)</f>
        <v>2.48</v>
      </c>
      <c r="N18" s="1355">
        <f>IFERROR(VLOOKUP($A18,'LAC CMA'!$F$14:$L$325,7,FALSE),0)</f>
        <v>0</v>
      </c>
      <c r="O18" s="1356">
        <f>IFERROR(VLOOKUP($A18,'LAC CMA'!$F$14:$L$325,6,FALSE),0)</f>
        <v>0</v>
      </c>
      <c r="P18" s="1356">
        <f t="shared" si="4"/>
        <v>3.2074101033884355</v>
      </c>
      <c r="Q18" s="1357">
        <f t="shared" si="5"/>
        <v>2.48</v>
      </c>
      <c r="R18" s="1354">
        <f t="shared" si="6"/>
        <v>3820612.8357911413</v>
      </c>
      <c r="S18" s="1405"/>
      <c r="T18" s="1358">
        <f t="shared" si="7"/>
        <v>3820612.8357911413</v>
      </c>
      <c r="U18" s="1409"/>
      <c r="V18" s="1410"/>
      <c r="W18" s="1410"/>
      <c r="X18" s="1410"/>
      <c r="Y18" s="1410"/>
      <c r="Z18" s="1410"/>
      <c r="AA18" s="1359">
        <f t="shared" si="8"/>
        <v>0</v>
      </c>
      <c r="AB18" s="1354">
        <f t="shared" si="9"/>
        <v>3820612.8357911413</v>
      </c>
      <c r="AC18" s="1262">
        <f>IF($C18="INV",0,SUMIF('LAC 102_Wkst'!$A$7:$A$2010,$A18,'LAC 102_Wkst'!$AR$7:$AR$2010))</f>
        <v>3820612.8357911422</v>
      </c>
      <c r="AD18" s="1341">
        <f t="shared" si="10"/>
        <v>0</v>
      </c>
      <c r="AE18" s="1341">
        <f t="shared" si="11"/>
        <v>103672.67016522959</v>
      </c>
      <c r="AF18" s="1341"/>
      <c r="AG18" s="1342" t="s">
        <v>342</v>
      </c>
      <c r="AH18" s="1343" t="s">
        <v>1693</v>
      </c>
      <c r="AI18" s="1342" t="s">
        <v>1931</v>
      </c>
      <c r="AJ18" s="1344">
        <f>SUMIFS('LAC 102_Wkst'!$Y$7:$Y$1501,'LAC 102_Wkst'!$B$7:$B$1501,$AG18,'LAC 102_Wkst'!$N$7:$N$1501,$AH18)</f>
        <v>0</v>
      </c>
      <c r="AK18" s="1344">
        <f>SUMIFS('LAC 102_Wkst'!$Z$7:$Z$1501,'LAC 102_Wkst'!$B$7:$B$1501,$AG18,'LAC 102_Wkst'!$N$7:$N$1501,$AH18)</f>
        <v>0</v>
      </c>
      <c r="AL18" s="1344">
        <f>SUMIFS('LAC 102_Wkst'!$AA$7:$AA$1501,'LAC 102_Wkst'!$B$7:$B$1501,$AG18,'LAC 102_Wkst'!$N$7:$N$1501,$AH18)</f>
        <v>0</v>
      </c>
      <c r="AM18" s="1344">
        <f>SUMIFS('LAC 102_Wkst'!$AB$7:$AB$1501,'LAC 102_Wkst'!$B$7:$B$1501,$AG18,'LAC 102_Wkst'!$N$7:$N$1501,$AH18)</f>
        <v>0</v>
      </c>
      <c r="AN18" s="1346"/>
      <c r="AO18" s="1347" t="str">
        <f>IF(AJ18=0,"",IF(AJ18&lt;MIN(AK18,AL18,AM18),"Costs",IF(AK18&lt;MIN(AJ18,AL18,AM18),"CMA",IF(AL18&lt;MIN(AJ18,AK18,AL18),"P.C.","SMA"))))</f>
        <v/>
      </c>
      <c r="AP18" s="1347"/>
      <c r="AQ18" s="1348" t="str">
        <f t="shared" si="0"/>
        <v/>
      </c>
    </row>
    <row r="19" spans="1:43" s="1242" customFormat="1" ht="15.95" customHeight="1" x14ac:dyDescent="0.25">
      <c r="A19" s="1253" t="str">
        <f t="shared" si="1"/>
        <v>1552</v>
      </c>
      <c r="B19" s="1254">
        <v>8</v>
      </c>
      <c r="C19" s="1254" t="str">
        <f>IFERROR(VLOOKUP(A19,'LAC CMA'!F:G,2,FALSE),"")</f>
        <v>OP</v>
      </c>
      <c r="D19" s="1349" t="str">
        <f>Schedule_C!D27</f>
        <v>CR</v>
      </c>
      <c r="E19" s="1349" t="str">
        <f>Schedule_C!E27</f>
        <v>15</v>
      </c>
      <c r="F19" s="1350" t="str">
        <f>Schedule_C!F27</f>
        <v>52</v>
      </c>
      <c r="G19" s="1351">
        <f>Schedule_C!L27</f>
        <v>2969291.9773128778</v>
      </c>
      <c r="H19" s="1352">
        <f>Schedule_C!G27</f>
        <v>925760</v>
      </c>
      <c r="I19" s="1353">
        <f t="shared" si="2"/>
        <v>796654</v>
      </c>
      <c r="J19" s="1353">
        <f>SUMIFS('LAC 102_Wkst'!$Q$7:$Q$2010,'LAC 102_Wkst'!$A$7:$A$2010,'LAC 103'!$A19,'LAC 102_Wkst'!$N$7:$N$2010,"P5")</f>
        <v>129106</v>
      </c>
      <c r="K19" s="1354">
        <f t="shared" si="3"/>
        <v>3.207410103388435</v>
      </c>
      <c r="L19" s="1355">
        <f>IFERROR(VLOOKUP($A19,'LAC CMA'!$F$14:$L$325,3,FALSE),0)</f>
        <v>3.99</v>
      </c>
      <c r="M19" s="1355">
        <f>IFERROR(VLOOKUP($A19,'LAC CMA'!$F$14:$L$325,5,FALSE),0)</f>
        <v>2.48</v>
      </c>
      <c r="N19" s="1355">
        <f>IFERROR(VLOOKUP($A19,'LAC CMA'!$F$14:$L$325,7,FALSE),0)</f>
        <v>0</v>
      </c>
      <c r="O19" s="1356">
        <f>IFERROR(VLOOKUP($A19,'LAC CMA'!$F$14:$L$325,6,FALSE),0)</f>
        <v>0</v>
      </c>
      <c r="P19" s="1356">
        <f t="shared" si="4"/>
        <v>3.207410103388435</v>
      </c>
      <c r="Q19" s="1357">
        <f t="shared" si="5"/>
        <v>2.48</v>
      </c>
      <c r="R19" s="1354">
        <f t="shared" si="6"/>
        <v>2875378.9685048102</v>
      </c>
      <c r="S19" s="1405"/>
      <c r="T19" s="1358">
        <f t="shared" si="7"/>
        <v>2875378.9685048102</v>
      </c>
      <c r="U19" s="1409"/>
      <c r="V19" s="1410"/>
      <c r="W19" s="1410"/>
      <c r="X19" s="1410"/>
      <c r="Y19" s="1410"/>
      <c r="Z19" s="1410"/>
      <c r="AA19" s="1359">
        <f t="shared" si="8"/>
        <v>0</v>
      </c>
      <c r="AB19" s="1354">
        <f t="shared" si="9"/>
        <v>2875378.9685048102</v>
      </c>
      <c r="AC19" s="1262">
        <f>IF($C19="INV",0,SUMIF('LAC 102_Wkst'!$A$7:$A$2010,$A19,'LAC 102_Wkst'!$AR$7:$AR$2010))</f>
        <v>2875378.9685048084</v>
      </c>
      <c r="AD19" s="1341">
        <f t="shared" si="10"/>
        <v>0</v>
      </c>
      <c r="AE19" s="1341">
        <f t="shared" si="11"/>
        <v>93913.008808067534</v>
      </c>
      <c r="AF19" s="1341"/>
      <c r="AG19" s="1342" t="s">
        <v>342</v>
      </c>
      <c r="AH19" s="1343" t="s">
        <v>1694</v>
      </c>
      <c r="AI19" s="1342" t="s">
        <v>1937</v>
      </c>
      <c r="AJ19" s="1344">
        <f>SUMIFS('LAC 102_Wkst'!$Y$7:$Y$1501,'LAC 102_Wkst'!$B$7:$B$1501,$AG19,'LAC 102_Wkst'!$N$7:$N$1501,$AH19)</f>
        <v>0</v>
      </c>
      <c r="AK19" s="1344">
        <f>SUMIFS('LAC 102_Wkst'!$Z$7:$Z$1501,'LAC 102_Wkst'!$B$7:$B$1501,$AG19,'LAC 102_Wkst'!$N$7:$N$1501,$AH19)</f>
        <v>0</v>
      </c>
      <c r="AL19" s="1344">
        <f>SUMIFS('LAC 102_Wkst'!$AA$7:$AA$1501,'LAC 102_Wkst'!$B$7:$B$1501,$AG19,'LAC 102_Wkst'!$N$7:$N$1501,$AH19)</f>
        <v>0</v>
      </c>
      <c r="AM19" s="1344">
        <f>SUMIFS('LAC 102_Wkst'!$AB$7:$AB$1501,'LAC 102_Wkst'!$B$7:$B$1501,$AG19,'LAC 102_Wkst'!$N$7:$N$1501,$AH19)</f>
        <v>0</v>
      </c>
      <c r="AN19" s="1346"/>
      <c r="AO19" s="1347" t="str">
        <f>IF(AJ19=0,"",IF(AJ19&lt;MIN(AK19,AL19,AM19),"Costs",IF(AK19&lt;MIN(AJ19,AL19,AM19),"CMA",IF(AL19&lt;MIN(AJ19,AK19,AL19),"P.C.","SMA"))))</f>
        <v/>
      </c>
      <c r="AP19" s="1347"/>
      <c r="AQ19" s="1348" t="str">
        <f t="shared" si="0"/>
        <v/>
      </c>
    </row>
    <row r="20" spans="1:43" s="1242" customFormat="1" ht="15.95" customHeight="1" x14ac:dyDescent="0.25">
      <c r="A20" s="1253" t="str">
        <f t="shared" si="1"/>
        <v>1557</v>
      </c>
      <c r="B20" s="1254">
        <v>9</v>
      </c>
      <c r="C20" s="1254" t="str">
        <f>IFERROR(VLOOKUP(A20,'LAC CMA'!F:G,2,FALSE),"")</f>
        <v>OP</v>
      </c>
      <c r="D20" s="1349" t="str">
        <f>Schedule_C!D28</f>
        <v>CR</v>
      </c>
      <c r="E20" s="1349" t="str">
        <f>Schedule_C!E28</f>
        <v>15</v>
      </c>
      <c r="F20" s="1350" t="str">
        <f>Schedule_C!F28</f>
        <v>57</v>
      </c>
      <c r="G20" s="1351">
        <f>Schedule_C!L28</f>
        <v>1050404.356988989</v>
      </c>
      <c r="H20" s="1352">
        <f>Schedule_C!G28</f>
        <v>327493</v>
      </c>
      <c r="I20" s="1353">
        <f t="shared" si="2"/>
        <v>275981</v>
      </c>
      <c r="J20" s="1353">
        <f>SUMIFS('LAC 102_Wkst'!$Q$7:$Q$2010,'LAC 102_Wkst'!$A$7:$A$2010,'LAC 103'!$A20,'LAC 102_Wkst'!$N$7:$N$2010,"P5")</f>
        <v>51512</v>
      </c>
      <c r="K20" s="1354">
        <f t="shared" si="3"/>
        <v>3.2074101033884359</v>
      </c>
      <c r="L20" s="1355">
        <f>IFERROR(VLOOKUP($A20,'LAC CMA'!$F$14:$L$325,3,FALSE),0)</f>
        <v>3.99</v>
      </c>
      <c r="M20" s="1355">
        <f>IFERROR(VLOOKUP($A20,'LAC CMA'!$F$14:$L$325,5,FALSE),0)</f>
        <v>2.48</v>
      </c>
      <c r="N20" s="1355">
        <f>IFERROR(VLOOKUP($A20,'LAC CMA'!$F$14:$L$325,7,FALSE),0)</f>
        <v>0</v>
      </c>
      <c r="O20" s="1356">
        <f>IFERROR(VLOOKUP($A20,'LAC CMA'!$F$14:$L$325,6,FALSE),0)</f>
        <v>0</v>
      </c>
      <c r="P20" s="1356">
        <f t="shared" si="4"/>
        <v>3.2074101033884359</v>
      </c>
      <c r="Q20" s="1357">
        <f t="shared" si="5"/>
        <v>2.48</v>
      </c>
      <c r="R20" s="1354">
        <f t="shared" si="6"/>
        <v>1012934.0077432439</v>
      </c>
      <c r="S20" s="1405"/>
      <c r="T20" s="1358">
        <f t="shared" si="7"/>
        <v>1012934.0077432439</v>
      </c>
      <c r="U20" s="1409"/>
      <c r="V20" s="1410"/>
      <c r="W20" s="1410"/>
      <c r="X20" s="1410"/>
      <c r="Y20" s="1410"/>
      <c r="Z20" s="1410"/>
      <c r="AA20" s="1359">
        <f t="shared" si="8"/>
        <v>0</v>
      </c>
      <c r="AB20" s="1354">
        <f t="shared" si="9"/>
        <v>1012934.0077432439</v>
      </c>
      <c r="AC20" s="1262">
        <f>IF($C20="INV",0,SUMIF('LAC 102_Wkst'!$A$7:$A$2010,$A20,'LAC 102_Wkst'!$AR$7:$AR$2010))</f>
        <v>1012934.0077432439</v>
      </c>
      <c r="AD20" s="1341">
        <f t="shared" si="10"/>
        <v>0</v>
      </c>
      <c r="AE20" s="1341">
        <f t="shared" si="11"/>
        <v>37470.349245745107</v>
      </c>
      <c r="AF20" s="1341"/>
      <c r="AG20" s="1342" t="s">
        <v>342</v>
      </c>
      <c r="AH20" s="1343" t="s">
        <v>1695</v>
      </c>
      <c r="AI20" s="1342" t="s">
        <v>1943</v>
      </c>
      <c r="AJ20" s="1344">
        <f>SUMIFS('LAC 102_Wkst'!$Y$7:$Y$1501,'LAC 102_Wkst'!$B$7:$B$1501,$AG20,'LAC 102_Wkst'!$N$7:$N$1501,$AH20)</f>
        <v>0</v>
      </c>
      <c r="AK20" s="1344">
        <f>SUMIFS('LAC 102_Wkst'!$Z$7:$Z$1501,'LAC 102_Wkst'!$B$7:$B$1501,$AG20,'LAC 102_Wkst'!$N$7:$N$1501,$AH20)</f>
        <v>0</v>
      </c>
      <c r="AL20" s="1344">
        <f>SUMIFS('LAC 102_Wkst'!$AA$7:$AA$1501,'LAC 102_Wkst'!$B$7:$B$1501,$AG20,'LAC 102_Wkst'!$N$7:$N$1501,$AH20)</f>
        <v>0</v>
      </c>
      <c r="AM20" s="1344">
        <f>SUMIFS('LAC 102_Wkst'!$AB$7:$AB$1501,'LAC 102_Wkst'!$B$7:$B$1501,$AG20,'LAC 102_Wkst'!$N$7:$N$1501,$AH20)</f>
        <v>0</v>
      </c>
      <c r="AN20" s="1346"/>
      <c r="AO20" s="1347" t="str">
        <f>IF(AJ20=0,"",IF(AJ20&lt;MIN(AK20,AL20,AM20),"Costs",IF(AK20&lt;MIN(AJ20,AL20,AM20),"CMA",IF(AL20&lt;MIN(AJ20,AK20,AL20),"P.C.","SMA"))))</f>
        <v/>
      </c>
      <c r="AP20" s="1347"/>
      <c r="AQ20" s="1348" t="str">
        <f t="shared" si="0"/>
        <v/>
      </c>
    </row>
    <row r="21" spans="1:43" s="1242" customFormat="1" ht="15.95" customHeight="1" x14ac:dyDescent="0.25">
      <c r="A21" s="1253" t="str">
        <f t="shared" si="1"/>
        <v>1562</v>
      </c>
      <c r="B21" s="1254">
        <v>10</v>
      </c>
      <c r="C21" s="1254" t="str">
        <f>IFERROR(VLOOKUP(A21,'LAC CMA'!F:G,2,FALSE),"")</f>
        <v>OP</v>
      </c>
      <c r="D21" s="1349" t="str">
        <f>Schedule_C!D29</f>
        <v>CR</v>
      </c>
      <c r="E21" s="1349" t="str">
        <f>Schedule_C!E29</f>
        <v>15</v>
      </c>
      <c r="F21" s="1350" t="str">
        <f>Schedule_C!F29</f>
        <v>62</v>
      </c>
      <c r="G21" s="1351">
        <f>Schedule_C!L29</f>
        <v>5385484.2791755153</v>
      </c>
      <c r="H21" s="1352">
        <f>Schedule_C!G29</f>
        <v>907213</v>
      </c>
      <c r="I21" s="1353">
        <f t="shared" si="2"/>
        <v>784679</v>
      </c>
      <c r="J21" s="1353">
        <f>SUMIFS('LAC 102_Wkst'!$Q$7:$Q$2010,'LAC 102_Wkst'!$A$7:$A$2010,'LAC 103'!$A21,'LAC 102_Wkst'!$N$7:$N$2010,"P5")</f>
        <v>122534</v>
      </c>
      <c r="K21" s="1354">
        <f t="shared" si="3"/>
        <v>5.936295312319726</v>
      </c>
      <c r="L21" s="1355">
        <f>IFERROR(VLOOKUP($A21,'LAC CMA'!$F$14:$L$325,3,FALSE),0)</f>
        <v>7.34</v>
      </c>
      <c r="M21" s="1355">
        <f>IFERROR(VLOOKUP($A21,'LAC CMA'!$F$14:$L$325,5,FALSE),0)</f>
        <v>4.59</v>
      </c>
      <c r="N21" s="1355">
        <f>IFERROR(VLOOKUP($A21,'LAC CMA'!$F$14:$L$325,7,FALSE),0)</f>
        <v>0</v>
      </c>
      <c r="O21" s="1356">
        <f>IFERROR(VLOOKUP($A21,'LAC CMA'!$F$14:$L$325,6,FALSE),0)</f>
        <v>0</v>
      </c>
      <c r="P21" s="1356">
        <f t="shared" si="4"/>
        <v>5.936295312319726</v>
      </c>
      <c r="Q21" s="1357">
        <f t="shared" si="5"/>
        <v>4.59</v>
      </c>
      <c r="R21" s="1354">
        <f t="shared" si="6"/>
        <v>5220517.3293757299</v>
      </c>
      <c r="S21" s="1405"/>
      <c r="T21" s="1358">
        <f t="shared" si="7"/>
        <v>5220517.3293757299</v>
      </c>
      <c r="U21" s="1409">
        <v>13737</v>
      </c>
      <c r="V21" s="1410">
        <v>41212</v>
      </c>
      <c r="W21" s="1410">
        <v>72121</v>
      </c>
      <c r="X21" s="1410"/>
      <c r="Y21" s="1410"/>
      <c r="Z21" s="1410"/>
      <c r="AA21" s="1359">
        <f t="shared" si="8"/>
        <v>127070</v>
      </c>
      <c r="AB21" s="1354">
        <f t="shared" si="9"/>
        <v>5093447.3293757299</v>
      </c>
      <c r="AC21" s="1262">
        <f>IF($C21="INV",0,SUMIF('LAC 102_Wkst'!$A$7:$A$2010,$A21,'LAC 102_Wkst'!$AR$7:$AR$2010))</f>
        <v>5093447.3293757355</v>
      </c>
      <c r="AD21" s="1341">
        <f t="shared" si="10"/>
        <v>0</v>
      </c>
      <c r="AE21" s="1341">
        <f t="shared" si="11"/>
        <v>164966.94979978539</v>
      </c>
      <c r="AF21" s="1341"/>
      <c r="AG21" s="1360" t="s">
        <v>342</v>
      </c>
      <c r="AH21" s="1361" t="s">
        <v>1700</v>
      </c>
      <c r="AI21" s="1362" t="s">
        <v>1949</v>
      </c>
      <c r="AJ21" s="1363">
        <f>SUMIFS('LAC 102_Wkst'!$Y$7:$Y$1501,'LAC 102_Wkst'!$B$7:$B$1501,$AG21,'LAC 102_Wkst'!$N$7:$N$1501,$AH21)</f>
        <v>0</v>
      </c>
      <c r="AK21" s="1363">
        <f>SUMIFS('LAC 102_Wkst'!$Z$7:$Z$1501,'LAC 102_Wkst'!$B$7:$B$1501,$AG21,'LAC 102_Wkst'!$N$7:$N$1501,$AH21)</f>
        <v>0</v>
      </c>
      <c r="AL21" s="1363">
        <f>SUMIFS('LAC 102_Wkst'!$AA$7:$AA$1501,'LAC 102_Wkst'!$B$7:$B$1501,$AG21,'LAC 102_Wkst'!$N$7:$N$1501,$AH21)</f>
        <v>0</v>
      </c>
      <c r="AM21" s="1363">
        <f>SUMIFS('LAC 102_Wkst'!$AB$7:$AB$1501,'LAC 102_Wkst'!$B$7:$B$1501,$AG21,'LAC 102_Wkst'!$N$7:$N$1501,$AH21)</f>
        <v>0</v>
      </c>
      <c r="AN21" s="1364"/>
      <c r="AO21" s="1365" t="str">
        <f>IF(AJ21=0,"",IF(AJ21&lt;MIN(AK21,AL21,AM21),"Costs",IF(AK21&lt;MIN(AJ21,AL21,AM21),"CMA",IF(AL21&lt;MIN(AJ21,AK21,AL21),"P.C.","SMA"))))</f>
        <v/>
      </c>
      <c r="AP21" s="1365"/>
      <c r="AQ21" s="1366" t="str">
        <f t="shared" si="0"/>
        <v/>
      </c>
    </row>
    <row r="22" spans="1:43" s="1242" customFormat="1" ht="15.95" customHeight="1" x14ac:dyDescent="0.25">
      <c r="A22" s="1253" t="str">
        <f t="shared" si="1"/>
        <v>1563</v>
      </c>
      <c r="B22" s="1254">
        <v>11</v>
      </c>
      <c r="C22" s="1254" t="str">
        <f>IFERROR(VLOOKUP(A22,'LAC CMA'!F:G,2,FALSE),"")</f>
        <v>OP</v>
      </c>
      <c r="D22" s="1349" t="str">
        <f>Schedule_C!D30</f>
        <v>CR</v>
      </c>
      <c r="E22" s="1349" t="str">
        <f>Schedule_C!E30</f>
        <v>15</v>
      </c>
      <c r="F22" s="1350" t="str">
        <f>Schedule_C!F30</f>
        <v>63</v>
      </c>
      <c r="G22" s="1351">
        <f>Schedule_C!L30</f>
        <v>448018.14351608203</v>
      </c>
      <c r="H22" s="1352">
        <f>Schedule_C!G30</f>
        <v>75471</v>
      </c>
      <c r="I22" s="1353">
        <f t="shared" si="2"/>
        <v>66559</v>
      </c>
      <c r="J22" s="1353">
        <f>SUMIFS('LAC 102_Wkst'!$Q$7:$Q$2010,'LAC 102_Wkst'!$A$7:$A$2010,'LAC 103'!$A22,'LAC 102_Wkst'!$N$7:$N$2010,"P5")</f>
        <v>8912</v>
      </c>
      <c r="K22" s="1354">
        <f t="shared" si="3"/>
        <v>5.936295312319726</v>
      </c>
      <c r="L22" s="1355">
        <f>IFERROR(VLOOKUP($A22,'LAC CMA'!$F$14:$L$325,3,FALSE),0)</f>
        <v>7.34</v>
      </c>
      <c r="M22" s="1355">
        <f>IFERROR(VLOOKUP($A22,'LAC CMA'!$F$14:$L$325,5,FALSE),0)</f>
        <v>4.59</v>
      </c>
      <c r="N22" s="1355">
        <f>IFERROR(VLOOKUP($A22,'LAC CMA'!$F$14:$L$325,7,FALSE),0)</f>
        <v>0</v>
      </c>
      <c r="O22" s="1356">
        <f>IFERROR(VLOOKUP($A22,'LAC CMA'!$F$14:$L$325,6,FALSE),0)</f>
        <v>0</v>
      </c>
      <c r="P22" s="1356">
        <f t="shared" si="4"/>
        <v>5.936295312319726</v>
      </c>
      <c r="Q22" s="1357">
        <f t="shared" si="5"/>
        <v>4.59</v>
      </c>
      <c r="R22" s="1354">
        <f t="shared" si="6"/>
        <v>436019.95969268866</v>
      </c>
      <c r="S22" s="1405"/>
      <c r="T22" s="1358">
        <f t="shared" si="7"/>
        <v>436019.95969268866</v>
      </c>
      <c r="U22" s="1409"/>
      <c r="V22" s="1410"/>
      <c r="W22" s="1410"/>
      <c r="X22" s="1410"/>
      <c r="Y22" s="1410"/>
      <c r="Z22" s="1410"/>
      <c r="AA22" s="1359">
        <f t="shared" si="8"/>
        <v>0</v>
      </c>
      <c r="AB22" s="1354">
        <f t="shared" si="9"/>
        <v>436019.95969268866</v>
      </c>
      <c r="AC22" s="1262">
        <f>IF($C22="INV",0,SUMIF('LAC 102_Wkst'!$A$7:$A$2010,$A22,'LAC 102_Wkst'!$AR$7:$AR$2010))</f>
        <v>436019.95969268883</v>
      </c>
      <c r="AD22" s="1341">
        <f t="shared" si="10"/>
        <v>0</v>
      </c>
      <c r="AE22" s="1341">
        <f t="shared" si="11"/>
        <v>11998.183823393367</v>
      </c>
      <c r="AF22" s="1341"/>
      <c r="AG22" s="1342" t="s">
        <v>346</v>
      </c>
      <c r="AH22" s="1343" t="s">
        <v>1692</v>
      </c>
      <c r="AI22" s="1342" t="s">
        <v>1925</v>
      </c>
      <c r="AJ22" s="1344">
        <f>SUMIFS('LAC 102_Wkst'!$Y$7:$Y$1501,'LAC 102_Wkst'!$B$7:$B$1501,$AG22,'LAC 102_Wkst'!$N$7:$N$1501,$AH22)</f>
        <v>13301259.327265831</v>
      </c>
      <c r="AK22" s="1345"/>
      <c r="AL22" s="1345"/>
      <c r="AM22" s="1345"/>
      <c r="AN22" s="1346"/>
      <c r="AO22" s="1347" t="str">
        <f>IF(AJ22=0,"","Costs")</f>
        <v>Costs</v>
      </c>
      <c r="AP22" s="1347"/>
      <c r="AQ22" s="1348" t="str">
        <f t="shared" si="0"/>
        <v>Costs</v>
      </c>
    </row>
    <row r="23" spans="1:43" s="1242" customFormat="1" ht="15.95" customHeight="1" x14ac:dyDescent="0.25">
      <c r="A23" s="1253" t="str">
        <f t="shared" si="1"/>
        <v>1577</v>
      </c>
      <c r="B23" s="1254">
        <v>12</v>
      </c>
      <c r="C23" s="1254" t="str">
        <f>IFERROR(VLOOKUP(A23,'LAC CMA'!F:G,2,FALSE),"")</f>
        <v>OP</v>
      </c>
      <c r="D23" s="1349" t="str">
        <f>Schedule_C!D31</f>
        <v>CR</v>
      </c>
      <c r="E23" s="1349" t="str">
        <f>Schedule_C!E31</f>
        <v>15</v>
      </c>
      <c r="F23" s="1350" t="str">
        <f>Schedule_C!F31</f>
        <v>77</v>
      </c>
      <c r="G23" s="1351">
        <f>Schedule_C!L31</f>
        <v>167937.79438552502</v>
      </c>
      <c r="H23" s="1352">
        <f>Schedule_C!G31</f>
        <v>35190</v>
      </c>
      <c r="I23" s="1353">
        <f t="shared" si="2"/>
        <v>32267</v>
      </c>
      <c r="J23" s="1353">
        <f>SUMIFS('LAC 102_Wkst'!$Q$7:$Q$2010,'LAC 102_Wkst'!$A$7:$A$2010,'LAC 103'!$A23,'LAC 102_Wkst'!$N$7:$N$2010,"P5")</f>
        <v>2923</v>
      </c>
      <c r="K23" s="1354">
        <f t="shared" si="3"/>
        <v>4.7723158393158576</v>
      </c>
      <c r="L23" s="1355">
        <f>IFERROR(VLOOKUP($A23,'LAC CMA'!$F$14:$L$325,3,FALSE),0)</f>
        <v>5.91</v>
      </c>
      <c r="M23" s="1355">
        <f>IFERROR(VLOOKUP($A23,'LAC CMA'!$F$14:$L$325,5,FALSE),0)</f>
        <v>3.69</v>
      </c>
      <c r="N23" s="1355">
        <f>IFERROR(VLOOKUP($A23,'LAC CMA'!$F$14:$L$325,7,FALSE),0)</f>
        <v>0</v>
      </c>
      <c r="O23" s="1356">
        <f>IFERROR(VLOOKUP($A23,'LAC CMA'!$F$14:$L$325,6,FALSE),0)</f>
        <v>0</v>
      </c>
      <c r="P23" s="1356">
        <f t="shared" si="4"/>
        <v>4.7723158393158576</v>
      </c>
      <c r="Q23" s="1357">
        <f t="shared" si="5"/>
        <v>3.69</v>
      </c>
      <c r="R23" s="1354">
        <f t="shared" si="6"/>
        <v>164774.18518720477</v>
      </c>
      <c r="S23" s="1405"/>
      <c r="T23" s="1358">
        <f t="shared" si="7"/>
        <v>164774.18518720477</v>
      </c>
      <c r="U23" s="1409"/>
      <c r="V23" s="1410"/>
      <c r="W23" s="1410"/>
      <c r="X23" s="1410"/>
      <c r="Y23" s="1410"/>
      <c r="Z23" s="1410"/>
      <c r="AA23" s="1359">
        <f t="shared" si="8"/>
        <v>0</v>
      </c>
      <c r="AB23" s="1354">
        <f t="shared" si="9"/>
        <v>164774.18518720477</v>
      </c>
      <c r="AC23" s="1262">
        <f>IF($C23="INV",0,SUMIF('LAC 102_Wkst'!$A$7:$A$2010,$A23,'LAC 102_Wkst'!$AR$7:$AR$2010))</f>
        <v>164774.18518720471</v>
      </c>
      <c r="AD23" s="1341">
        <f t="shared" si="10"/>
        <v>0</v>
      </c>
      <c r="AE23" s="1341">
        <f t="shared" si="11"/>
        <v>3163.6091983202496</v>
      </c>
      <c r="AF23" s="1341"/>
      <c r="AG23" s="1342" t="s">
        <v>346</v>
      </c>
      <c r="AH23" s="1343" t="s">
        <v>1693</v>
      </c>
      <c r="AI23" s="1342" t="s">
        <v>1932</v>
      </c>
      <c r="AJ23" s="1344">
        <f>SUMIFS('LAC 102_Wkst'!$Y$7:$Y$1501,'LAC 102_Wkst'!$B$7:$B$1501,$AG23,'LAC 102_Wkst'!$N$7:$N$1501,$AH23)</f>
        <v>13683926.347661203</v>
      </c>
      <c r="AK23" s="1345"/>
      <c r="AL23" s="1345"/>
      <c r="AM23" s="1345"/>
      <c r="AN23" s="1346"/>
      <c r="AO23" s="1347" t="str">
        <f>IF(AJ23=0,"","Costs")</f>
        <v>Costs</v>
      </c>
      <c r="AP23" s="1347"/>
      <c r="AQ23" s="1348" t="str">
        <f t="shared" si="0"/>
        <v>Costs</v>
      </c>
    </row>
    <row r="24" spans="1:43" s="1242" customFormat="1" ht="15.95" customHeight="1" x14ac:dyDescent="0.25">
      <c r="A24" s="1253" t="str">
        <f t="shared" si="1"/>
        <v>1578</v>
      </c>
      <c r="B24" s="1254">
        <v>13</v>
      </c>
      <c r="C24" s="1254" t="str">
        <f>IFERROR(VLOOKUP(A24,'LAC CMA'!F:G,2,FALSE),"")</f>
        <v>OP</v>
      </c>
      <c r="D24" s="1349" t="str">
        <f>Schedule_C!D32</f>
        <v>CR</v>
      </c>
      <c r="E24" s="1349" t="str">
        <f>Schedule_C!E32</f>
        <v>15</v>
      </c>
      <c r="F24" s="1350" t="str">
        <f>Schedule_C!F32</f>
        <v>78</v>
      </c>
      <c r="G24" s="1351">
        <f>Schedule_C!L32</f>
        <v>22573.053919964008</v>
      </c>
      <c r="H24" s="1352">
        <f>Schedule_C!G32</f>
        <v>4730</v>
      </c>
      <c r="I24" s="1353">
        <f t="shared" si="2"/>
        <v>4265</v>
      </c>
      <c r="J24" s="1353">
        <f>SUMIFS('LAC 102_Wkst'!$Q$7:$Q$2010,'LAC 102_Wkst'!$A$7:$A$2010,'LAC 103'!$A24,'LAC 102_Wkst'!$N$7:$N$2010,"P5")</f>
        <v>465</v>
      </c>
      <c r="K24" s="1354">
        <f t="shared" si="3"/>
        <v>4.7723158393158576</v>
      </c>
      <c r="L24" s="1355">
        <f>IFERROR(VLOOKUP($A24,'LAC CMA'!$F$14:$L$325,3,FALSE),0)</f>
        <v>5.91</v>
      </c>
      <c r="M24" s="1355">
        <f>IFERROR(VLOOKUP($A24,'LAC CMA'!$F$14:$L$325,5,FALSE),0)</f>
        <v>3.69</v>
      </c>
      <c r="N24" s="1355">
        <f>IFERROR(VLOOKUP($A24,'LAC CMA'!$F$14:$L$325,7,FALSE),0)</f>
        <v>0</v>
      </c>
      <c r="O24" s="1356">
        <f>IFERROR(VLOOKUP($A24,'LAC CMA'!$F$14:$L$325,6,FALSE),0)</f>
        <v>0</v>
      </c>
      <c r="P24" s="1356">
        <f t="shared" si="4"/>
        <v>4.7723158393158576</v>
      </c>
      <c r="Q24" s="1357">
        <f t="shared" si="5"/>
        <v>3.69</v>
      </c>
      <c r="R24" s="1354">
        <f t="shared" si="6"/>
        <v>22069.77705468213</v>
      </c>
      <c r="S24" s="1405"/>
      <c r="T24" s="1358">
        <f t="shared" si="7"/>
        <v>22069.77705468213</v>
      </c>
      <c r="U24" s="1409"/>
      <c r="V24" s="1410"/>
      <c r="W24" s="1410"/>
      <c r="X24" s="1410"/>
      <c r="Y24" s="1410"/>
      <c r="Z24" s="1410"/>
      <c r="AA24" s="1359">
        <f t="shared" si="8"/>
        <v>0</v>
      </c>
      <c r="AB24" s="1354">
        <f t="shared" si="9"/>
        <v>22069.77705468213</v>
      </c>
      <c r="AC24" s="1262">
        <f>IF($C24="INV",0,SUMIF('LAC 102_Wkst'!$A$7:$A$2010,$A24,'LAC 102_Wkst'!$AR$7:$AR$2010))</f>
        <v>22069.777054682134</v>
      </c>
      <c r="AD24" s="1341">
        <f t="shared" si="10"/>
        <v>0</v>
      </c>
      <c r="AE24" s="1341">
        <f t="shared" si="11"/>
        <v>503.27686528187769</v>
      </c>
      <c r="AF24" s="1341"/>
      <c r="AG24" s="1342" t="s">
        <v>346</v>
      </c>
      <c r="AH24" s="1343" t="s">
        <v>1694</v>
      </c>
      <c r="AI24" s="1342" t="s">
        <v>1938</v>
      </c>
      <c r="AJ24" s="1344">
        <f>SUMIFS('LAC 102_Wkst'!$Y$7:$Y$1501,'LAC 102_Wkst'!$B$7:$B$1501,$AG24,'LAC 102_Wkst'!$N$7:$N$1501,$AH24)</f>
        <v>13680239.287483208</v>
      </c>
      <c r="AK24" s="1345"/>
      <c r="AL24" s="1345"/>
      <c r="AM24" s="1345"/>
      <c r="AN24" s="1346"/>
      <c r="AO24" s="1347" t="str">
        <f>IF(AJ24=0,"","Costs")</f>
        <v>Costs</v>
      </c>
      <c r="AP24" s="1347"/>
      <c r="AQ24" s="1348" t="str">
        <f t="shared" si="0"/>
        <v>Costs</v>
      </c>
    </row>
    <row r="25" spans="1:43" s="1242" customFormat="1" ht="15.95" customHeight="1" x14ac:dyDescent="0.25">
      <c r="A25" s="1253" t="str">
        <f t="shared" si="1"/>
        <v>4510</v>
      </c>
      <c r="B25" s="1254">
        <v>14</v>
      </c>
      <c r="C25" s="1254" t="str">
        <f>IFERROR(VLOOKUP(A25,'LAC CMA'!F:G,2,FALSE),"")</f>
        <v>COS</v>
      </c>
      <c r="D25" s="1349" t="str">
        <f>Schedule_C!D33</f>
        <v>CR</v>
      </c>
      <c r="E25" s="1349" t="str">
        <f>Schedule_C!E33</f>
        <v>45</v>
      </c>
      <c r="F25" s="1350" t="str">
        <f>Schedule_C!F33</f>
        <v>10</v>
      </c>
      <c r="G25" s="1351">
        <f>Schedule_C!L33</f>
        <v>243195.86881066413</v>
      </c>
      <c r="H25" s="1352">
        <f>Schedule_C!G33</f>
        <v>3879.1333333333341</v>
      </c>
      <c r="I25" s="1353">
        <f t="shared" si="2"/>
        <v>3417.4666666666672</v>
      </c>
      <c r="J25" s="1353">
        <f>SUMIFS('LAC 102_Wkst'!$Q$7:$Q$2010,'LAC 102_Wkst'!$A$7:$A$2010,'LAC 103'!$A25,'LAC 102_Wkst'!$N$7:$N$2010,"P5")</f>
        <v>461.66666666666674</v>
      </c>
      <c r="K25" s="1354">
        <f t="shared" si="3"/>
        <v>62.693351301149079</v>
      </c>
      <c r="L25" s="1355">
        <f>IFERROR(VLOOKUP($A25,'LAC CMA'!$F$14:$L$325,3,FALSE),0)</f>
        <v>0</v>
      </c>
      <c r="M25" s="1355">
        <f>IFERROR(VLOOKUP($A25,'LAC CMA'!$F$14:$L$325,5,FALSE),0)</f>
        <v>0</v>
      </c>
      <c r="N25" s="1355">
        <f>IFERROR(VLOOKUP($A25,'LAC CMA'!$F$14:$L$325,7,FALSE),0)</f>
        <v>0</v>
      </c>
      <c r="O25" s="1356">
        <f>IFERROR(VLOOKUP($A25,'LAC CMA'!$F$14:$L$325,6,FALSE),0)</f>
        <v>0</v>
      </c>
      <c r="P25" s="1356">
        <f t="shared" si="4"/>
        <v>62.693351301149079</v>
      </c>
      <c r="Q25" s="1357">
        <f t="shared" si="5"/>
        <v>62.693351301149079</v>
      </c>
      <c r="R25" s="1354">
        <f t="shared" si="6"/>
        <v>243195.86881066413</v>
      </c>
      <c r="S25" s="1405"/>
      <c r="T25" s="1358">
        <f t="shared" si="7"/>
        <v>243195.86881066413</v>
      </c>
      <c r="U25" s="1409"/>
      <c r="V25" s="1410"/>
      <c r="W25" s="1410"/>
      <c r="X25" s="1410"/>
      <c r="Y25" s="1410"/>
      <c r="Z25" s="1410"/>
      <c r="AA25" s="1359">
        <f t="shared" si="8"/>
        <v>0</v>
      </c>
      <c r="AB25" s="1354">
        <f t="shared" si="9"/>
        <v>243195.86881066413</v>
      </c>
      <c r="AC25" s="1262">
        <f>IF($C25="INV",0,SUMIF('LAC 102_Wkst'!$A$7:$A$2010,$A25,'LAC 102_Wkst'!$AR$7:$AR$2010))</f>
        <v>243195.86881066419</v>
      </c>
      <c r="AD25" s="1341">
        <f t="shared" si="10"/>
        <v>0</v>
      </c>
      <c r="AE25" s="1341">
        <f t="shared" si="11"/>
        <v>0</v>
      </c>
      <c r="AF25" s="1341"/>
      <c r="AG25" s="1342" t="s">
        <v>346</v>
      </c>
      <c r="AH25" s="1343" t="s">
        <v>1695</v>
      </c>
      <c r="AI25" s="1342" t="s">
        <v>1944</v>
      </c>
      <c r="AJ25" s="1344">
        <f>SUMIFS('LAC 102_Wkst'!$Y$7:$Y$1501,'LAC 102_Wkst'!$B$7:$B$1501,$AG25,'LAC 102_Wkst'!$N$7:$N$1501,$AH25)</f>
        <v>6126955.0594660239</v>
      </c>
      <c r="AK25" s="1345"/>
      <c r="AL25" s="1345"/>
      <c r="AM25" s="1345"/>
      <c r="AN25" s="1346"/>
      <c r="AO25" s="1347" t="str">
        <f>IF(AJ25=0,"","Costs")</f>
        <v>Costs</v>
      </c>
      <c r="AP25" s="1347"/>
      <c r="AQ25" s="1348" t="str">
        <f t="shared" si="0"/>
        <v>Costs</v>
      </c>
    </row>
    <row r="26" spans="1:43" s="1242" customFormat="1" ht="15.95" customHeight="1" x14ac:dyDescent="0.25">
      <c r="A26" s="1253" t="str">
        <f t="shared" si="1"/>
        <v>4520</v>
      </c>
      <c r="B26" s="1254">
        <v>15</v>
      </c>
      <c r="C26" s="1254" t="str">
        <f>IFERROR(VLOOKUP(A26,'LAC CMA'!F:G,2,FALSE),"")</f>
        <v>COS</v>
      </c>
      <c r="D26" s="1349" t="str">
        <f>Schedule_C!D34</f>
        <v>CR</v>
      </c>
      <c r="E26" s="1349" t="str">
        <f>Schedule_C!E34</f>
        <v>45</v>
      </c>
      <c r="F26" s="1350" t="str">
        <f>Schedule_C!F34</f>
        <v>20</v>
      </c>
      <c r="G26" s="1351">
        <f>Schedule_C!L34</f>
        <v>1120424.227778486</v>
      </c>
      <c r="H26" s="1352">
        <f>Schedule_C!G34</f>
        <v>17871.5</v>
      </c>
      <c r="I26" s="1353">
        <f t="shared" si="2"/>
        <v>15271.783333333333</v>
      </c>
      <c r="J26" s="1353">
        <f>SUMIFS('LAC 102_Wkst'!$Q$7:$Q$2010,'LAC 102_Wkst'!$A$7:$A$2010,'LAC 103'!$A26,'LAC 102_Wkst'!$N$7:$N$2010,"P5")</f>
        <v>2599.7166666666667</v>
      </c>
      <c r="K26" s="1354">
        <f t="shared" si="3"/>
        <v>62.693351301149093</v>
      </c>
      <c r="L26" s="1355">
        <f>IFERROR(VLOOKUP($A26,'LAC CMA'!$F$14:$L$325,3,FALSE),0)</f>
        <v>0</v>
      </c>
      <c r="M26" s="1355">
        <f>IFERROR(VLOOKUP($A26,'LAC CMA'!$F$14:$L$325,5,FALSE),0)</f>
        <v>0</v>
      </c>
      <c r="N26" s="1355">
        <f>IFERROR(VLOOKUP($A26,'LAC CMA'!$F$14:$L$325,7,FALSE),0)</f>
        <v>0</v>
      </c>
      <c r="O26" s="1356">
        <f>IFERROR(VLOOKUP($A26,'LAC CMA'!$F$14:$L$325,6,FALSE),0)</f>
        <v>0</v>
      </c>
      <c r="P26" s="1356">
        <f t="shared" si="4"/>
        <v>62.693351301149093</v>
      </c>
      <c r="Q26" s="1357">
        <f t="shared" si="5"/>
        <v>62.693351301149093</v>
      </c>
      <c r="R26" s="1354">
        <f t="shared" si="6"/>
        <v>1120424.227778486</v>
      </c>
      <c r="S26" s="1405"/>
      <c r="T26" s="1358">
        <f t="shared" si="7"/>
        <v>1120424.227778486</v>
      </c>
      <c r="U26" s="1409"/>
      <c r="V26" s="1410"/>
      <c r="W26" s="1410"/>
      <c r="X26" s="1410"/>
      <c r="Y26" s="1410"/>
      <c r="Z26" s="1410"/>
      <c r="AA26" s="1359">
        <f t="shared" si="8"/>
        <v>0</v>
      </c>
      <c r="AB26" s="1354">
        <f t="shared" si="9"/>
        <v>1120424.227778486</v>
      </c>
      <c r="AC26" s="1262">
        <f>IF($C26="INV",0,SUMIF('LAC 102_Wkst'!$A$7:$A$2010,$A26,'LAC 102_Wkst'!$AR$7:$AR$2010))</f>
        <v>1120424.2277784857</v>
      </c>
      <c r="AD26" s="1341">
        <f t="shared" si="10"/>
        <v>0</v>
      </c>
      <c r="AE26" s="1341">
        <f t="shared" si="11"/>
        <v>0</v>
      </c>
      <c r="AF26" s="1341"/>
      <c r="AG26" s="1360" t="s">
        <v>346</v>
      </c>
      <c r="AH26" s="1361" t="s">
        <v>1700</v>
      </c>
      <c r="AI26" s="1362" t="s">
        <v>1916</v>
      </c>
      <c r="AJ26" s="1363">
        <f>SUMIFS('LAC 102_Wkst'!$Y$7:$Y$1501,'LAC 102_Wkst'!$B$7:$B$1501,$AG26,'LAC 102_Wkst'!$N$7:$N$1501,$AH26)</f>
        <v>6932918.2564206766</v>
      </c>
      <c r="AK26" s="1363">
        <f>SUMIFS('LAC 102_Wkst'!$Z$7:$Z$1501,'LAC 102_Wkst'!$B$7:$B$1501,$AG26,'LAC 102_Wkst'!$N$7:$N$1501,$AH26)</f>
        <v>8558744.4200000018</v>
      </c>
      <c r="AL26" s="1363">
        <f>SUMIFS('LAC 102_Wkst'!$AA$7:$AA$1501,'LAC 102_Wkst'!$B$7:$B$1501,$AG26,'LAC 102_Wkst'!$N$7:$N$1501,$AH26)</f>
        <v>5360598.3400000036</v>
      </c>
      <c r="AM26" s="1363"/>
      <c r="AN26" s="1364"/>
      <c r="AO26" s="1365" t="str">
        <f>IF(AJ26=0,"",IF(AJ26&lt;MIN(AK26,AL26),"Costs",IF(AK26&lt;MIN(AJ26,AL26),"CMA","P.C.")))</f>
        <v>P.C.</v>
      </c>
      <c r="AP26" s="1365" t="str">
        <f>IF(AND(AO26="P.C.",'1969 (Optional)'!I30=" "),"P.C.","Costs")</f>
        <v>P.C.</v>
      </c>
      <c r="AQ26" s="1366" t="str">
        <f>IF(AP26="P.C.","P.C.",IF(AJ26&lt;AK26,"Costs","CMA"))</f>
        <v>P.C.</v>
      </c>
    </row>
    <row r="27" spans="1:43" s="1242" customFormat="1" ht="15.95" customHeight="1" x14ac:dyDescent="0.25">
      <c r="A27" s="1253" t="str">
        <f t="shared" si="1"/>
        <v>6040</v>
      </c>
      <c r="B27" s="1254">
        <v>16</v>
      </c>
      <c r="C27" s="1254" t="str">
        <f>IFERROR(VLOOKUP(A27,'LAC CMA'!F:G,2,FALSE),"")</f>
        <v>LS</v>
      </c>
      <c r="D27" s="1349" t="str">
        <f>Schedule_C!D35</f>
        <v>CR</v>
      </c>
      <c r="E27" s="1349" t="str">
        <f>Schedule_C!E35</f>
        <v>60</v>
      </c>
      <c r="F27" s="1350" t="str">
        <f>Schedule_C!F35</f>
        <v>40</v>
      </c>
      <c r="G27" s="1351">
        <f>Schedule_C!L35</f>
        <v>128207.90341084989</v>
      </c>
      <c r="H27" s="1352">
        <f>Schedule_C!G35</f>
        <v>2045</v>
      </c>
      <c r="I27" s="1353">
        <f t="shared" si="2"/>
        <v>1713</v>
      </c>
      <c r="J27" s="1353">
        <f>SUMIFS('LAC 102_Wkst'!$Q$7:$Q$2010,'LAC 102_Wkst'!$A$7:$A$2010,'LAC 103'!$A27,'LAC 102_Wkst'!$N$7:$N$2010,"P5")</f>
        <v>332</v>
      </c>
      <c r="K27" s="1354">
        <f t="shared" si="3"/>
        <v>62.693351301149093</v>
      </c>
      <c r="L27" s="1355">
        <f>IFERROR(VLOOKUP($A27,'LAC CMA'!$F$14:$L$325,3,FALSE),0)</f>
        <v>0</v>
      </c>
      <c r="M27" s="1355">
        <f>IFERROR(VLOOKUP($A27,'LAC CMA'!$F$14:$L$325,5,FALSE),0)</f>
        <v>0</v>
      </c>
      <c r="N27" s="1355">
        <f>IFERROR(VLOOKUP($A27,'LAC CMA'!$F$14:$L$325,7,FALSE),0)</f>
        <v>0</v>
      </c>
      <c r="O27" s="1356">
        <f>IFERROR(VLOOKUP($A27,'LAC CMA'!$F$14:$L$325,6,FALSE),0)</f>
        <v>0</v>
      </c>
      <c r="P27" s="1356">
        <f t="shared" si="4"/>
        <v>62.693351301149093</v>
      </c>
      <c r="Q27" s="1357">
        <f t="shared" si="5"/>
        <v>62.693351301149093</v>
      </c>
      <c r="R27" s="1354">
        <f t="shared" si="6"/>
        <v>128207.90341084989</v>
      </c>
      <c r="S27" s="1405"/>
      <c r="T27" s="1358">
        <f t="shared" si="7"/>
        <v>128207.90341084989</v>
      </c>
      <c r="U27" s="1409"/>
      <c r="V27" s="1410"/>
      <c r="W27" s="1410"/>
      <c r="X27" s="1410"/>
      <c r="Y27" s="1410"/>
      <c r="Z27" s="1410"/>
      <c r="AA27" s="1359">
        <f t="shared" si="8"/>
        <v>0</v>
      </c>
      <c r="AB27" s="1354">
        <f t="shared" si="9"/>
        <v>128207.90341084989</v>
      </c>
      <c r="AC27" s="1262">
        <f>IF($C27="INV",0,SUMIF('LAC 102_Wkst'!$A$7:$A$2010,$A27,'LAC 102_Wkst'!$AR$7:$AR$2010))</f>
        <v>128207.9034108499</v>
      </c>
      <c r="AD27" s="1341">
        <f t="shared" si="10"/>
        <v>0</v>
      </c>
      <c r="AE27" s="1341">
        <f t="shared" si="11"/>
        <v>0</v>
      </c>
      <c r="AF27" s="1341"/>
      <c r="AG27" s="1342" t="s">
        <v>518</v>
      </c>
      <c r="AH27" s="1343" t="s">
        <v>1692</v>
      </c>
      <c r="AI27" s="1342" t="s">
        <v>1926</v>
      </c>
      <c r="AJ27" s="1344">
        <f>SUMIFS('LAC 102_Wkst'!$Y$7:$Y$1501,'LAC 102_Wkst'!$B$7:$B$1501,$AG27,'LAC 102_Wkst'!$N$7:$N$1501,$AH27)</f>
        <v>0</v>
      </c>
      <c r="AK27" s="1345"/>
      <c r="AL27" s="1345"/>
      <c r="AM27" s="1345"/>
      <c r="AN27" s="1346"/>
      <c r="AO27" s="1347" t="str">
        <f>IF(AJ27=0,"","Costs")</f>
        <v/>
      </c>
      <c r="AP27" s="1347"/>
      <c r="AQ27" s="1348" t="str">
        <f t="shared" ref="AQ27:AQ32" si="12">AO27</f>
        <v/>
      </c>
    </row>
    <row r="28" spans="1:43" s="1242" customFormat="1" ht="15.95" customHeight="1" x14ac:dyDescent="0.25">
      <c r="A28" s="1253" t="str">
        <f t="shared" si="1"/>
        <v>6070</v>
      </c>
      <c r="B28" s="1254">
        <v>17</v>
      </c>
      <c r="C28" s="1254" t="str">
        <f>IFERROR(VLOOKUP(A28,'LAC CMA'!F:G,2,FALSE),"")</f>
        <v>INV</v>
      </c>
      <c r="D28" s="1349" t="str">
        <f>Schedule_C!D36</f>
        <v>CR</v>
      </c>
      <c r="E28" s="1349" t="str">
        <f>Schedule_C!E36</f>
        <v>60</v>
      </c>
      <c r="F28" s="1350" t="str">
        <f>Schedule_C!F36</f>
        <v>70</v>
      </c>
      <c r="G28" s="1351">
        <f>Schedule_C!L36</f>
        <v>1859961</v>
      </c>
      <c r="H28" s="1352">
        <f>Schedule_C!G36</f>
        <v>1</v>
      </c>
      <c r="I28" s="1353">
        <f t="shared" si="2"/>
        <v>1</v>
      </c>
      <c r="J28" s="1353">
        <f>SUMIFS('LAC 102_Wkst'!$Q$7:$Q$2010,'LAC 102_Wkst'!$A$7:$A$2010,'LAC 103'!$A28,'LAC 102_Wkst'!$N$7:$N$2010,"P5")</f>
        <v>0</v>
      </c>
      <c r="K28" s="1354">
        <f t="shared" si="3"/>
        <v>1859961</v>
      </c>
      <c r="L28" s="1355">
        <f>IFERROR(VLOOKUP($A28,'LAC CMA'!$F$14:$L$325,3,FALSE),0)</f>
        <v>0</v>
      </c>
      <c r="M28" s="1355">
        <f>IFERROR(VLOOKUP($A28,'LAC CMA'!$F$14:$L$325,5,FALSE),0)</f>
        <v>0</v>
      </c>
      <c r="N28" s="1355">
        <f>IFERROR(VLOOKUP($A28,'LAC CMA'!$F$14:$L$325,7,FALSE),0)</f>
        <v>0</v>
      </c>
      <c r="O28" s="1356">
        <f>IFERROR(VLOOKUP($A28,'LAC CMA'!$F$14:$L$325,6,FALSE),0)</f>
        <v>0</v>
      </c>
      <c r="P28" s="1356">
        <f t="shared" si="4"/>
        <v>1859961</v>
      </c>
      <c r="Q28" s="1357">
        <f t="shared" si="5"/>
        <v>0</v>
      </c>
      <c r="R28" s="1354">
        <f t="shared" si="6"/>
        <v>1859961</v>
      </c>
      <c r="S28" s="1405"/>
      <c r="T28" s="1358">
        <f t="shared" si="7"/>
        <v>1859961</v>
      </c>
      <c r="U28" s="1409"/>
      <c r="V28" s="1410"/>
      <c r="W28" s="1410"/>
      <c r="X28" s="1410"/>
      <c r="Y28" s="1410"/>
      <c r="Z28" s="1410"/>
      <c r="AA28" s="1359">
        <f t="shared" si="8"/>
        <v>0</v>
      </c>
      <c r="AB28" s="1354">
        <f t="shared" si="9"/>
        <v>1859961</v>
      </c>
      <c r="AC28" s="1262">
        <f>IF($C28="INV",0,SUMIF('LAC 102_Wkst'!$A$7:$A$2010,$A28,'LAC 102_Wkst'!$AR$7:$AR$2010))</f>
        <v>0</v>
      </c>
      <c r="AD28" s="1341">
        <f t="shared" si="10"/>
        <v>0</v>
      </c>
      <c r="AE28" s="1341">
        <f t="shared" si="11"/>
        <v>0</v>
      </c>
      <c r="AF28" s="1341"/>
      <c r="AG28" s="1342" t="s">
        <v>518</v>
      </c>
      <c r="AH28" s="1343" t="s">
        <v>1693</v>
      </c>
      <c r="AI28" s="1342" t="s">
        <v>1933</v>
      </c>
      <c r="AJ28" s="1344">
        <f>SUMIFS('LAC 102_Wkst'!$Y$7:$Y$1501,'LAC 102_Wkst'!$B$7:$B$1501,$AG28,'LAC 102_Wkst'!$N$7:$N$1501,$AH28)</f>
        <v>0</v>
      </c>
      <c r="AK28" s="1345"/>
      <c r="AL28" s="1345"/>
      <c r="AM28" s="1345"/>
      <c r="AN28" s="1346"/>
      <c r="AO28" s="1347" t="str">
        <f>IF(AJ28=0,"","Costs")</f>
        <v/>
      </c>
      <c r="AP28" s="1347"/>
      <c r="AQ28" s="1348" t="str">
        <f t="shared" si="12"/>
        <v/>
      </c>
    </row>
    <row r="29" spans="1:43" s="1242" customFormat="1" ht="15.95" customHeight="1" x14ac:dyDescent="0.25">
      <c r="A29" s="1253" t="str">
        <f t="shared" si="1"/>
        <v>6071</v>
      </c>
      <c r="B29" s="1254">
        <v>18</v>
      </c>
      <c r="C29" s="1254" t="str">
        <f>IFERROR(VLOOKUP(A29,'LAC CMA'!F:G,2,FALSE),"")</f>
        <v>INV</v>
      </c>
      <c r="D29" s="1349" t="str">
        <f>Schedule_C!D37</f>
        <v>CR</v>
      </c>
      <c r="E29" s="1349" t="str">
        <f>Schedule_C!E37</f>
        <v>60</v>
      </c>
      <c r="F29" s="1350" t="str">
        <f>Schedule_C!F37</f>
        <v>71</v>
      </c>
      <c r="G29" s="1351">
        <f>Schedule_C!L37</f>
        <v>1050</v>
      </c>
      <c r="H29" s="1352">
        <f>Schedule_C!G37</f>
        <v>1</v>
      </c>
      <c r="I29" s="1353">
        <f t="shared" si="2"/>
        <v>1</v>
      </c>
      <c r="J29" s="1353">
        <f>SUMIFS('LAC 102_Wkst'!$Q$7:$Q$2010,'LAC 102_Wkst'!$A$7:$A$2010,'LAC 103'!$A29,'LAC 102_Wkst'!$N$7:$N$2010,"P5")</f>
        <v>0</v>
      </c>
      <c r="K29" s="1354">
        <f t="shared" si="3"/>
        <v>1050</v>
      </c>
      <c r="L29" s="1355">
        <f>IFERROR(VLOOKUP($A29,'LAC CMA'!$F$14:$L$325,3,FALSE),0)</f>
        <v>0</v>
      </c>
      <c r="M29" s="1355">
        <f>IFERROR(VLOOKUP($A29,'LAC CMA'!$F$14:$L$325,5,FALSE),0)</f>
        <v>0</v>
      </c>
      <c r="N29" s="1355">
        <f>IFERROR(VLOOKUP($A29,'LAC CMA'!$F$14:$L$325,7,FALSE),0)</f>
        <v>0</v>
      </c>
      <c r="O29" s="1356">
        <f>IFERROR(VLOOKUP($A29,'LAC CMA'!$F$14:$L$325,6,FALSE),0)</f>
        <v>0</v>
      </c>
      <c r="P29" s="1356">
        <f t="shared" si="4"/>
        <v>1050</v>
      </c>
      <c r="Q29" s="1357">
        <f t="shared" si="5"/>
        <v>0</v>
      </c>
      <c r="R29" s="1354">
        <f t="shared" si="6"/>
        <v>1050</v>
      </c>
      <c r="S29" s="1405"/>
      <c r="T29" s="1358">
        <f t="shared" si="7"/>
        <v>1050</v>
      </c>
      <c r="U29" s="1409"/>
      <c r="V29" s="1410"/>
      <c r="W29" s="1410"/>
      <c r="X29" s="1410"/>
      <c r="Y29" s="1410"/>
      <c r="Z29" s="1410"/>
      <c r="AA29" s="1359">
        <f t="shared" si="8"/>
        <v>0</v>
      </c>
      <c r="AB29" s="1354">
        <f t="shared" si="9"/>
        <v>1050</v>
      </c>
      <c r="AC29" s="1262">
        <f>IF($C29="INV",0,SUMIF('LAC 102_Wkst'!$A$7:$A$2010,$A29,'LAC 102_Wkst'!$AR$7:$AR$2010))</f>
        <v>0</v>
      </c>
      <c r="AD29" s="1341">
        <f t="shared" si="10"/>
        <v>0</v>
      </c>
      <c r="AE29" s="1341">
        <f t="shared" si="11"/>
        <v>0</v>
      </c>
      <c r="AF29" s="1341"/>
      <c r="AG29" s="1342" t="s">
        <v>518</v>
      </c>
      <c r="AH29" s="1343" t="s">
        <v>1694</v>
      </c>
      <c r="AI29" s="1342" t="s">
        <v>1939</v>
      </c>
      <c r="AJ29" s="1344">
        <f>SUMIFS('LAC 102_Wkst'!$Y$7:$Y$1501,'LAC 102_Wkst'!$B$7:$B$1501,$AG29,'LAC 102_Wkst'!$N$7:$N$1501,$AH29)</f>
        <v>0</v>
      </c>
      <c r="AK29" s="1345"/>
      <c r="AL29" s="1345"/>
      <c r="AM29" s="1345"/>
      <c r="AN29" s="1346"/>
      <c r="AO29" s="1347" t="str">
        <f>IF(AJ29=0,"","Costs")</f>
        <v/>
      </c>
      <c r="AP29" s="1347"/>
      <c r="AQ29" s="1348" t="str">
        <f t="shared" si="12"/>
        <v/>
      </c>
    </row>
    <row r="30" spans="1:43" s="1242" customFormat="1" ht="15.95" customHeight="1" x14ac:dyDescent="0.25">
      <c r="A30" s="1253" t="str">
        <f t="shared" si="1"/>
        <v>6072</v>
      </c>
      <c r="B30" s="1254">
        <v>19</v>
      </c>
      <c r="C30" s="1254" t="str">
        <f>IFERROR(VLOOKUP(A30,'LAC CMA'!F:G,2,FALSE),"")</f>
        <v>INV</v>
      </c>
      <c r="D30" s="1349" t="str">
        <f>Schedule_C!D38</f>
        <v>CR</v>
      </c>
      <c r="E30" s="1349" t="str">
        <f>Schedule_C!E38</f>
        <v>60</v>
      </c>
      <c r="F30" s="1350" t="str">
        <f>Schedule_C!F38</f>
        <v>72</v>
      </c>
      <c r="G30" s="1351">
        <f>Schedule_C!L38</f>
        <v>142246</v>
      </c>
      <c r="H30" s="1352">
        <f>Schedule_C!G38</f>
        <v>1</v>
      </c>
      <c r="I30" s="1353">
        <f t="shared" si="2"/>
        <v>1</v>
      </c>
      <c r="J30" s="1353">
        <f>SUMIFS('LAC 102_Wkst'!$Q$7:$Q$2010,'LAC 102_Wkst'!$A$7:$A$2010,'LAC 103'!$A30,'LAC 102_Wkst'!$N$7:$N$2010,"P5")</f>
        <v>0</v>
      </c>
      <c r="K30" s="1354">
        <f t="shared" si="3"/>
        <v>142246</v>
      </c>
      <c r="L30" s="1355">
        <f>IFERROR(VLOOKUP($A30,'LAC CMA'!$F$14:$L$325,3,FALSE),0)</f>
        <v>0</v>
      </c>
      <c r="M30" s="1355">
        <f>IFERROR(VLOOKUP($A30,'LAC CMA'!$F$14:$L$325,5,FALSE),0)</f>
        <v>0</v>
      </c>
      <c r="N30" s="1355">
        <f>IFERROR(VLOOKUP($A30,'LAC CMA'!$F$14:$L$325,7,FALSE),0)</f>
        <v>0</v>
      </c>
      <c r="O30" s="1356">
        <f>IFERROR(VLOOKUP($A30,'LAC CMA'!$F$14:$L$325,6,FALSE),0)</f>
        <v>0</v>
      </c>
      <c r="P30" s="1356">
        <f t="shared" si="4"/>
        <v>142246</v>
      </c>
      <c r="Q30" s="1357">
        <f t="shared" si="5"/>
        <v>0</v>
      </c>
      <c r="R30" s="1354">
        <f t="shared" si="6"/>
        <v>142246</v>
      </c>
      <c r="S30" s="1405"/>
      <c r="T30" s="1358">
        <f t="shared" si="7"/>
        <v>142246</v>
      </c>
      <c r="U30" s="1409"/>
      <c r="V30" s="1410"/>
      <c r="W30" s="1410"/>
      <c r="X30" s="1410"/>
      <c r="Y30" s="1410"/>
      <c r="Z30" s="1410"/>
      <c r="AA30" s="1359">
        <f t="shared" si="8"/>
        <v>0</v>
      </c>
      <c r="AB30" s="1354">
        <f t="shared" si="9"/>
        <v>142246</v>
      </c>
      <c r="AC30" s="1262">
        <f>IF($C30="INV",0,SUMIF('LAC 102_Wkst'!$A$7:$A$2010,$A30,'LAC 102_Wkst'!$AR$7:$AR$2010))</f>
        <v>0</v>
      </c>
      <c r="AD30" s="1341">
        <f t="shared" si="10"/>
        <v>0</v>
      </c>
      <c r="AE30" s="1341">
        <f t="shared" si="11"/>
        <v>0</v>
      </c>
      <c r="AF30" s="1341"/>
      <c r="AG30" s="1342" t="s">
        <v>518</v>
      </c>
      <c r="AH30" s="1343" t="s">
        <v>1695</v>
      </c>
      <c r="AI30" s="1342" t="s">
        <v>1945</v>
      </c>
      <c r="AJ30" s="1344">
        <f>SUMIFS('LAC 102_Wkst'!$Y$7:$Y$1501,'LAC 102_Wkst'!$B$7:$B$1501,$AG30,'LAC 102_Wkst'!$N$7:$N$1501,$AH30)</f>
        <v>0</v>
      </c>
      <c r="AK30" s="1345"/>
      <c r="AL30" s="1345"/>
      <c r="AM30" s="1345"/>
      <c r="AN30" s="1346"/>
      <c r="AO30" s="1347" t="str">
        <f>IF(AJ30=0,"","Costs")</f>
        <v/>
      </c>
      <c r="AP30" s="1347"/>
      <c r="AQ30" s="1348" t="str">
        <f t="shared" si="12"/>
        <v/>
      </c>
    </row>
    <row r="31" spans="1:43" s="1242" customFormat="1" ht="15.95" customHeight="1" thickBot="1" x14ac:dyDescent="0.3">
      <c r="A31" s="1253" t="str">
        <f t="shared" si="1"/>
        <v>6078</v>
      </c>
      <c r="B31" s="1254">
        <v>20</v>
      </c>
      <c r="C31" s="1254" t="str">
        <f>IFERROR(VLOOKUP(A31,'LAC CMA'!F:G,2,FALSE),"")</f>
        <v>INV</v>
      </c>
      <c r="D31" s="1349" t="str">
        <f>Schedule_C!D39</f>
        <v>CR</v>
      </c>
      <c r="E31" s="1349" t="str">
        <f>Schedule_C!E39</f>
        <v>60</v>
      </c>
      <c r="F31" s="1350" t="str">
        <f>Schedule_C!F39</f>
        <v>78</v>
      </c>
      <c r="G31" s="1351">
        <f>Schedule_C!L39</f>
        <v>763438</v>
      </c>
      <c r="H31" s="1352">
        <f>Schedule_C!G39</f>
        <v>1</v>
      </c>
      <c r="I31" s="1353">
        <f t="shared" si="2"/>
        <v>1</v>
      </c>
      <c r="J31" s="1353">
        <f>SUMIFS('LAC 102_Wkst'!$Q$7:$Q$2010,'LAC 102_Wkst'!$A$7:$A$2010,'LAC 103'!$A31,'LAC 102_Wkst'!$N$7:$N$2010,"P5")</f>
        <v>0</v>
      </c>
      <c r="K31" s="1354">
        <f t="shared" si="3"/>
        <v>763438</v>
      </c>
      <c r="L31" s="1355">
        <f>IFERROR(VLOOKUP($A31,'LAC CMA'!$F$14:$L$325,3,FALSE),0)</f>
        <v>0</v>
      </c>
      <c r="M31" s="1355">
        <f>IFERROR(VLOOKUP($A31,'LAC CMA'!$F$14:$L$325,5,FALSE),0)</f>
        <v>0</v>
      </c>
      <c r="N31" s="1355">
        <f>IFERROR(VLOOKUP($A31,'LAC CMA'!$F$14:$L$325,7,FALSE),0)</f>
        <v>0</v>
      </c>
      <c r="O31" s="1356">
        <f>IFERROR(VLOOKUP($A31,'LAC CMA'!$F$14:$L$325,6,FALSE),0)</f>
        <v>0</v>
      </c>
      <c r="P31" s="1356">
        <f t="shared" si="4"/>
        <v>763438</v>
      </c>
      <c r="Q31" s="1357">
        <f t="shared" si="5"/>
        <v>0</v>
      </c>
      <c r="R31" s="1354">
        <f t="shared" si="6"/>
        <v>763438</v>
      </c>
      <c r="S31" s="1405"/>
      <c r="T31" s="1358">
        <f t="shared" si="7"/>
        <v>763438</v>
      </c>
      <c r="U31" s="1409"/>
      <c r="V31" s="1410"/>
      <c r="W31" s="1410"/>
      <c r="X31" s="1410"/>
      <c r="Y31" s="1410"/>
      <c r="Z31" s="1410"/>
      <c r="AA31" s="1359">
        <f t="shared" si="8"/>
        <v>0</v>
      </c>
      <c r="AB31" s="1354">
        <f t="shared" si="9"/>
        <v>763438</v>
      </c>
      <c r="AC31" s="1262">
        <f>IF($C31="INV",0,SUMIF('LAC 102_Wkst'!$A$7:$A$2010,$A31,'LAC 102_Wkst'!$AR$7:$AR$2010))</f>
        <v>0</v>
      </c>
      <c r="AD31" s="1341">
        <f t="shared" si="10"/>
        <v>0</v>
      </c>
      <c r="AE31" s="1341">
        <f t="shared" si="11"/>
        <v>0</v>
      </c>
      <c r="AF31" s="1341"/>
      <c r="AG31" s="1342" t="s">
        <v>518</v>
      </c>
      <c r="AH31" s="1343" t="s">
        <v>1700</v>
      </c>
      <c r="AI31" s="1342" t="s">
        <v>1950</v>
      </c>
      <c r="AJ31" s="1344">
        <f>SUMIFS('LAC 102_Wkst'!$Y$7:$Y$1501,'LAC 102_Wkst'!$B$7:$B$1501,$AG31,'LAC 102_Wkst'!$N$7:$N$1501,$AH31)</f>
        <v>0</v>
      </c>
      <c r="AK31" s="1345"/>
      <c r="AL31" s="1344">
        <f>SUMIFS('LAC 102_Wkst'!$AA$7:$AA$1501,'LAC 102_Wkst'!$B$7:$B$1501,$AG31,'LAC 102_Wkst'!$N$7:$N$1501,$AH31)</f>
        <v>0</v>
      </c>
      <c r="AM31" s="1345"/>
      <c r="AN31" s="1346"/>
      <c r="AO31" s="1347" t="str">
        <f>IF(AJ31=0,"",IF(AJ31&lt;AL31,"Costs","P.C."))</f>
        <v/>
      </c>
      <c r="AP31" s="1347"/>
      <c r="AQ31" s="1348" t="str">
        <f t="shared" si="12"/>
        <v/>
      </c>
    </row>
    <row r="32" spans="1:43" s="1242" customFormat="1" ht="15.95" hidden="1" customHeight="1" x14ac:dyDescent="0.25">
      <c r="A32" s="1253" t="str">
        <f t="shared" si="1"/>
        <v/>
      </c>
      <c r="B32" s="1254">
        <v>21</v>
      </c>
      <c r="C32" s="1254" t="str">
        <f>IFERROR(VLOOKUP(A32,'LAC CMA'!F:G,2,FALSE),"")</f>
        <v/>
      </c>
      <c r="D32" s="1349" t="str">
        <f>Schedule_C!D40</f>
        <v/>
      </c>
      <c r="E32" s="1349" t="str">
        <f>Schedule_C!E40</f>
        <v/>
      </c>
      <c r="F32" s="1350" t="str">
        <f>Schedule_C!F40</f>
        <v/>
      </c>
      <c r="G32" s="1351">
        <f>Schedule_C!L40</f>
        <v>0</v>
      </c>
      <c r="H32" s="1352">
        <f>Schedule_C!G40</f>
        <v>0</v>
      </c>
      <c r="I32" s="1353">
        <f t="shared" si="2"/>
        <v>0</v>
      </c>
      <c r="J32" s="1353">
        <f>SUMIFS('LAC 102_Wkst'!$Q$7:$Q$2010,'LAC 102_Wkst'!$A$7:$A$2010,'LAC 103'!$A32,'LAC 102_Wkst'!$N$7:$N$2010,"P5")</f>
        <v>0</v>
      </c>
      <c r="K32" s="1354">
        <f t="shared" si="3"/>
        <v>0</v>
      </c>
      <c r="L32" s="1355">
        <f>IFERROR(VLOOKUP($A32,'LAC CMA'!$F$14:$L$325,3,FALSE),0)</f>
        <v>0</v>
      </c>
      <c r="M32" s="1355">
        <f>IFERROR(VLOOKUP($A32,'LAC CMA'!$F$14:$L$325,5,FALSE),0)</f>
        <v>0</v>
      </c>
      <c r="N32" s="1355">
        <f>IFERROR(VLOOKUP($A32,'LAC CMA'!$F$14:$L$325,7,FALSE),0)</f>
        <v>0</v>
      </c>
      <c r="O32" s="1356">
        <f>IFERROR(VLOOKUP($A32,'LAC CMA'!$F$14:$L$325,6,FALSE),0)</f>
        <v>0</v>
      </c>
      <c r="P32" s="1356">
        <f t="shared" si="4"/>
        <v>0</v>
      </c>
      <c r="Q32" s="1357">
        <f t="shared" si="5"/>
        <v>0</v>
      </c>
      <c r="R32" s="1354">
        <f t="shared" si="6"/>
        <v>0</v>
      </c>
      <c r="S32" s="1405"/>
      <c r="T32" s="1358">
        <f t="shared" si="7"/>
        <v>0</v>
      </c>
      <c r="U32" s="1409"/>
      <c r="V32" s="1410"/>
      <c r="W32" s="1410"/>
      <c r="X32" s="1410"/>
      <c r="Y32" s="1410"/>
      <c r="Z32" s="1410"/>
      <c r="AA32" s="1359">
        <f t="shared" si="8"/>
        <v>0</v>
      </c>
      <c r="AB32" s="1354">
        <f t="shared" si="9"/>
        <v>0</v>
      </c>
      <c r="AC32" s="1262">
        <f>IF($C32="INV",0,SUMIF('LAC 102_Wkst'!$A$7:$A$2010,$A32,'LAC 102_Wkst'!$AR$7:$AR$2010))</f>
        <v>0</v>
      </c>
      <c r="AD32" s="1341">
        <f t="shared" si="10"/>
        <v>0</v>
      </c>
      <c r="AE32" s="1341">
        <f t="shared" si="11"/>
        <v>0</v>
      </c>
      <c r="AF32" s="1341"/>
      <c r="AG32" s="1342" t="s">
        <v>368</v>
      </c>
      <c r="AH32" s="1343" t="s">
        <v>1692</v>
      </c>
      <c r="AI32" s="1342" t="s">
        <v>1927</v>
      </c>
      <c r="AJ32" s="1345"/>
      <c r="AK32" s="1345"/>
      <c r="AL32" s="1345"/>
      <c r="AM32" s="1345"/>
      <c r="AN32" s="1367">
        <f>SUMIFS('LAC 102_Wkst'!$AC$7:$AC$1501,'LAC 102_Wkst'!$B$7:$B$1501,$AG32,'LAC 102_Wkst'!$N$7:$N$1501,$AH32)</f>
        <v>0</v>
      </c>
      <c r="AO32" s="1347" t="str">
        <f>IF(AN32=0,"","County Contracted")</f>
        <v/>
      </c>
      <c r="AP32" s="1347"/>
      <c r="AQ32" s="1348" t="str">
        <f t="shared" si="12"/>
        <v/>
      </c>
    </row>
    <row r="33" spans="1:43" s="1242" customFormat="1" ht="15.95" hidden="1" customHeight="1" x14ac:dyDescent="0.25">
      <c r="A33" s="1253" t="str">
        <f t="shared" si="1"/>
        <v/>
      </c>
      <c r="B33" s="1254">
        <v>22</v>
      </c>
      <c r="C33" s="1254" t="str">
        <f>IFERROR(VLOOKUP(A33,'LAC CMA'!F:G,2,FALSE),"")</f>
        <v/>
      </c>
      <c r="D33" s="1349" t="str">
        <f>Schedule_C!D41</f>
        <v/>
      </c>
      <c r="E33" s="1349" t="str">
        <f>Schedule_C!E41</f>
        <v/>
      </c>
      <c r="F33" s="1350" t="str">
        <f>Schedule_C!F41</f>
        <v/>
      </c>
      <c r="G33" s="1351">
        <f>Schedule_C!L41</f>
        <v>0</v>
      </c>
      <c r="H33" s="1352">
        <f>Schedule_C!G41</f>
        <v>0</v>
      </c>
      <c r="I33" s="1353">
        <f t="shared" si="2"/>
        <v>0</v>
      </c>
      <c r="J33" s="1353">
        <f>SUMIFS('LAC 102_Wkst'!$Q$7:$Q$2010,'LAC 102_Wkst'!$A$7:$A$2010,'LAC 103'!$A33,'LAC 102_Wkst'!$N$7:$N$2010,"P5")</f>
        <v>0</v>
      </c>
      <c r="K33" s="1354">
        <f t="shared" si="3"/>
        <v>0</v>
      </c>
      <c r="L33" s="1355">
        <f>IFERROR(VLOOKUP($A33,'LAC CMA'!$F$14:$L$325,3,FALSE),0)</f>
        <v>0</v>
      </c>
      <c r="M33" s="1355">
        <f>IFERROR(VLOOKUP($A33,'LAC CMA'!$F$14:$L$325,5,FALSE),0)</f>
        <v>0</v>
      </c>
      <c r="N33" s="1355">
        <f>IFERROR(VLOOKUP($A33,'LAC CMA'!$F$14:$L$325,7,FALSE),0)</f>
        <v>0</v>
      </c>
      <c r="O33" s="1356">
        <f>IFERROR(VLOOKUP($A33,'LAC CMA'!$F$14:$L$325,6,FALSE),0)</f>
        <v>0</v>
      </c>
      <c r="P33" s="1356">
        <f t="shared" si="4"/>
        <v>0</v>
      </c>
      <c r="Q33" s="1357">
        <f t="shared" si="5"/>
        <v>0</v>
      </c>
      <c r="R33" s="1354">
        <f t="shared" si="6"/>
        <v>0</v>
      </c>
      <c r="S33" s="1405"/>
      <c r="T33" s="1358">
        <f t="shared" si="7"/>
        <v>0</v>
      </c>
      <c r="U33" s="1409"/>
      <c r="V33" s="1410"/>
      <c r="W33" s="1410"/>
      <c r="X33" s="1410"/>
      <c r="Y33" s="1410"/>
      <c r="Z33" s="1410"/>
      <c r="AA33" s="1359">
        <f t="shared" si="8"/>
        <v>0</v>
      </c>
      <c r="AB33" s="1354">
        <f t="shared" si="9"/>
        <v>0</v>
      </c>
      <c r="AC33" s="1262">
        <f>IF($C33="INV",0,SUMIF('LAC 102_Wkst'!$A$7:$A$2010,$A33,'LAC 102_Wkst'!$AR$7:$AR$2010))</f>
        <v>0</v>
      </c>
      <c r="AD33" s="1341">
        <f t="shared" si="10"/>
        <v>0</v>
      </c>
      <c r="AE33" s="1341">
        <f t="shared" si="11"/>
        <v>0</v>
      </c>
      <c r="AF33" s="1341"/>
      <c r="AG33" s="1342" t="s">
        <v>368</v>
      </c>
      <c r="AH33" s="1343" t="s">
        <v>1693</v>
      </c>
      <c r="AI33" s="1342" t="s">
        <v>1954</v>
      </c>
      <c r="AJ33" s="1345"/>
      <c r="AK33" s="1345"/>
      <c r="AL33" s="1345"/>
      <c r="AM33" s="1345"/>
      <c r="AN33" s="1367">
        <f>SUMIFS('LAC 102_Wkst'!$AC$7:$AC$1501,'LAC 102_Wkst'!$B$7:$B$1501,$AG33,'LAC 102_Wkst'!$N$7:$N$1501,$AH33)</f>
        <v>0</v>
      </c>
      <c r="AO33" s="1347" t="str">
        <f>IF(AN33=0,"","County Contracted")</f>
        <v/>
      </c>
      <c r="AP33" s="1347"/>
      <c r="AQ33" s="1348" t="str">
        <f t="shared" ref="AQ33:AQ51" si="13">AO33</f>
        <v/>
      </c>
    </row>
    <row r="34" spans="1:43" s="1242" customFormat="1" ht="15.95" hidden="1" customHeight="1" x14ac:dyDescent="0.25">
      <c r="A34" s="1253" t="str">
        <f t="shared" si="1"/>
        <v/>
      </c>
      <c r="B34" s="1254">
        <v>23</v>
      </c>
      <c r="C34" s="1254" t="str">
        <f>IFERROR(VLOOKUP(A34,'LAC CMA'!F:G,2,FALSE),"")</f>
        <v/>
      </c>
      <c r="D34" s="1349" t="str">
        <f>Schedule_C!D42</f>
        <v/>
      </c>
      <c r="E34" s="1349" t="str">
        <f>Schedule_C!E42</f>
        <v/>
      </c>
      <c r="F34" s="1350" t="str">
        <f>Schedule_C!F42</f>
        <v/>
      </c>
      <c r="G34" s="1351">
        <f>Schedule_C!L42</f>
        <v>0</v>
      </c>
      <c r="H34" s="1352">
        <f>Schedule_C!G42</f>
        <v>0</v>
      </c>
      <c r="I34" s="1353">
        <f t="shared" si="2"/>
        <v>0</v>
      </c>
      <c r="J34" s="1353">
        <f>SUMIFS('LAC 102_Wkst'!$Q$7:$Q$2010,'LAC 102_Wkst'!$A$7:$A$2010,'LAC 103'!$A34,'LAC 102_Wkst'!$N$7:$N$2010,"P5")</f>
        <v>0</v>
      </c>
      <c r="K34" s="1354">
        <f t="shared" si="3"/>
        <v>0</v>
      </c>
      <c r="L34" s="1355">
        <f>IFERROR(VLOOKUP($A34,'LAC CMA'!$F$14:$L$325,3,FALSE),0)</f>
        <v>0</v>
      </c>
      <c r="M34" s="1355">
        <f>IFERROR(VLOOKUP($A34,'LAC CMA'!$F$14:$L$325,5,FALSE),0)</f>
        <v>0</v>
      </c>
      <c r="N34" s="1355">
        <f>IFERROR(VLOOKUP($A34,'LAC CMA'!$F$14:$L$325,7,FALSE),0)</f>
        <v>0</v>
      </c>
      <c r="O34" s="1356">
        <f>IFERROR(VLOOKUP($A34,'LAC CMA'!$F$14:$L$325,6,FALSE),0)</f>
        <v>0</v>
      </c>
      <c r="P34" s="1356">
        <f t="shared" si="4"/>
        <v>0</v>
      </c>
      <c r="Q34" s="1357">
        <f t="shared" si="5"/>
        <v>0</v>
      </c>
      <c r="R34" s="1354">
        <f t="shared" si="6"/>
        <v>0</v>
      </c>
      <c r="S34" s="1405"/>
      <c r="T34" s="1358">
        <f t="shared" si="7"/>
        <v>0</v>
      </c>
      <c r="U34" s="1409"/>
      <c r="V34" s="1410"/>
      <c r="W34" s="1410"/>
      <c r="X34" s="1410"/>
      <c r="Y34" s="1410"/>
      <c r="Z34" s="1410"/>
      <c r="AA34" s="1359">
        <f t="shared" si="8"/>
        <v>0</v>
      </c>
      <c r="AB34" s="1354">
        <f t="shared" si="9"/>
        <v>0</v>
      </c>
      <c r="AC34" s="1262">
        <f>IF($C34="INV",0,SUMIF('LAC 102_Wkst'!$A$7:$A$2010,$A34,'LAC 102_Wkst'!$AR$7:$AR$2010))</f>
        <v>0</v>
      </c>
      <c r="AD34" s="1341">
        <f t="shared" si="10"/>
        <v>0</v>
      </c>
      <c r="AE34" s="1341">
        <f t="shared" si="11"/>
        <v>0</v>
      </c>
      <c r="AF34" s="1341"/>
      <c r="AG34" s="1342" t="s">
        <v>368</v>
      </c>
      <c r="AH34" s="1343" t="s">
        <v>1694</v>
      </c>
      <c r="AI34" s="1342" t="s">
        <v>1955</v>
      </c>
      <c r="AJ34" s="1345"/>
      <c r="AK34" s="1345"/>
      <c r="AL34" s="1345"/>
      <c r="AM34" s="1345"/>
      <c r="AN34" s="1367">
        <f>SUMIFS('LAC 102_Wkst'!$AC$7:$AC$1501,'LAC 102_Wkst'!$B$7:$B$1501,$AG34,'LAC 102_Wkst'!$N$7:$N$1501,$AH34)</f>
        <v>0</v>
      </c>
      <c r="AO34" s="1347" t="str">
        <f>IF(AN34=0,"","County Contracted")</f>
        <v/>
      </c>
      <c r="AP34" s="1347"/>
      <c r="AQ34" s="1348" t="str">
        <f t="shared" si="13"/>
        <v/>
      </c>
    </row>
    <row r="35" spans="1:43" s="1242" customFormat="1" ht="15.95" hidden="1" customHeight="1" x14ac:dyDescent="0.25">
      <c r="A35" s="1253" t="str">
        <f t="shared" si="1"/>
        <v/>
      </c>
      <c r="B35" s="1254">
        <v>24</v>
      </c>
      <c r="C35" s="1254" t="str">
        <f>IFERROR(VLOOKUP(A35,'LAC CMA'!F:G,2,FALSE),"")</f>
        <v/>
      </c>
      <c r="D35" s="1349" t="str">
        <f>Schedule_C!D43</f>
        <v/>
      </c>
      <c r="E35" s="1349" t="str">
        <f>Schedule_C!E43</f>
        <v/>
      </c>
      <c r="F35" s="1350" t="str">
        <f>Schedule_C!F43</f>
        <v/>
      </c>
      <c r="G35" s="1351">
        <f>Schedule_C!L43</f>
        <v>0</v>
      </c>
      <c r="H35" s="1352">
        <f>Schedule_C!G43</f>
        <v>0</v>
      </c>
      <c r="I35" s="1353">
        <f t="shared" si="2"/>
        <v>0</v>
      </c>
      <c r="J35" s="1353">
        <f>SUMIFS('LAC 102_Wkst'!$Q$7:$Q$2010,'LAC 102_Wkst'!$A$7:$A$2010,'LAC 103'!$A35,'LAC 102_Wkst'!$N$7:$N$2010,"P5")</f>
        <v>0</v>
      </c>
      <c r="K35" s="1354">
        <f t="shared" si="3"/>
        <v>0</v>
      </c>
      <c r="L35" s="1355">
        <f>IFERROR(VLOOKUP($A35,'LAC CMA'!$F$14:$L$325,3,FALSE),0)</f>
        <v>0</v>
      </c>
      <c r="M35" s="1355">
        <f>IFERROR(VLOOKUP($A35,'LAC CMA'!$F$14:$L$325,5,FALSE),0)</f>
        <v>0</v>
      </c>
      <c r="N35" s="1355">
        <f>IFERROR(VLOOKUP($A35,'LAC CMA'!$F$14:$L$325,7,FALSE),0)</f>
        <v>0</v>
      </c>
      <c r="O35" s="1356">
        <f>IFERROR(VLOOKUP($A35,'LAC CMA'!$F$14:$L$325,6,FALSE),0)</f>
        <v>0</v>
      </c>
      <c r="P35" s="1356">
        <f t="shared" si="4"/>
        <v>0</v>
      </c>
      <c r="Q35" s="1357">
        <f t="shared" si="5"/>
        <v>0</v>
      </c>
      <c r="R35" s="1354">
        <f t="shared" si="6"/>
        <v>0</v>
      </c>
      <c r="S35" s="1405"/>
      <c r="T35" s="1358">
        <f t="shared" si="7"/>
        <v>0</v>
      </c>
      <c r="U35" s="1409"/>
      <c r="V35" s="1410"/>
      <c r="W35" s="1410"/>
      <c r="X35" s="1410"/>
      <c r="Y35" s="1410"/>
      <c r="Z35" s="1410"/>
      <c r="AA35" s="1359">
        <f t="shared" si="8"/>
        <v>0</v>
      </c>
      <c r="AB35" s="1354">
        <f t="shared" si="9"/>
        <v>0</v>
      </c>
      <c r="AC35" s="1262">
        <f>IF($C35="INV",0,SUMIF('LAC 102_Wkst'!$A$7:$A$2010,$A35,'LAC 102_Wkst'!$AR$7:$AR$2010))</f>
        <v>0</v>
      </c>
      <c r="AD35" s="1341">
        <f t="shared" si="10"/>
        <v>0</v>
      </c>
      <c r="AE35" s="1341">
        <f t="shared" si="11"/>
        <v>0</v>
      </c>
      <c r="AF35" s="1341"/>
      <c r="AG35" s="1342" t="s">
        <v>368</v>
      </c>
      <c r="AH35" s="1343" t="s">
        <v>1695</v>
      </c>
      <c r="AI35" s="1342" t="s">
        <v>1956</v>
      </c>
      <c r="AJ35" s="1345"/>
      <c r="AK35" s="1345"/>
      <c r="AL35" s="1345"/>
      <c r="AM35" s="1345"/>
      <c r="AN35" s="1367">
        <f>SUMIFS('LAC 102_Wkst'!$AC$7:$AC$1501,'LAC 102_Wkst'!$B$7:$B$1501,$AG35,'LAC 102_Wkst'!$N$7:$N$1501,$AH35)</f>
        <v>0</v>
      </c>
      <c r="AO35" s="1347" t="str">
        <f>IF(AN35=0,"","County Contracted")</f>
        <v/>
      </c>
      <c r="AP35" s="1347"/>
      <c r="AQ35" s="1348" t="str">
        <f t="shared" si="13"/>
        <v/>
      </c>
    </row>
    <row r="36" spans="1:43" s="1242" customFormat="1" ht="15.95" hidden="1" customHeight="1" x14ac:dyDescent="0.25">
      <c r="A36" s="1253" t="str">
        <f t="shared" si="1"/>
        <v/>
      </c>
      <c r="B36" s="1254">
        <v>25</v>
      </c>
      <c r="C36" s="1254" t="str">
        <f>IFERROR(VLOOKUP(A36,'LAC CMA'!F:G,2,FALSE),"")</f>
        <v/>
      </c>
      <c r="D36" s="1349" t="str">
        <f>Schedule_C!D44</f>
        <v/>
      </c>
      <c r="E36" s="1349" t="str">
        <f>Schedule_C!E44</f>
        <v/>
      </c>
      <c r="F36" s="1350" t="str">
        <f>Schedule_C!F44</f>
        <v/>
      </c>
      <c r="G36" s="1351">
        <f>Schedule_C!L44</f>
        <v>0</v>
      </c>
      <c r="H36" s="1352">
        <f>Schedule_C!G44</f>
        <v>0</v>
      </c>
      <c r="I36" s="1353">
        <f t="shared" si="2"/>
        <v>0</v>
      </c>
      <c r="J36" s="1353">
        <f>SUMIFS('LAC 102_Wkst'!$Q$7:$Q$2010,'LAC 102_Wkst'!$A$7:$A$2010,'LAC 103'!$A36,'LAC 102_Wkst'!$N$7:$N$2010,"P5")</f>
        <v>0</v>
      </c>
      <c r="K36" s="1354">
        <f t="shared" si="3"/>
        <v>0</v>
      </c>
      <c r="L36" s="1355">
        <f>IFERROR(VLOOKUP($A36,'LAC CMA'!$F$14:$L$325,3,FALSE),0)</f>
        <v>0</v>
      </c>
      <c r="M36" s="1355">
        <f>IFERROR(VLOOKUP($A36,'LAC CMA'!$F$14:$L$325,5,FALSE),0)</f>
        <v>0</v>
      </c>
      <c r="N36" s="1355">
        <f>IFERROR(VLOOKUP($A36,'LAC CMA'!$F$14:$L$325,7,FALSE),0)</f>
        <v>0</v>
      </c>
      <c r="O36" s="1356">
        <f>IFERROR(VLOOKUP($A36,'LAC CMA'!$F$14:$L$325,6,FALSE),0)</f>
        <v>0</v>
      </c>
      <c r="P36" s="1356">
        <f t="shared" si="4"/>
        <v>0</v>
      </c>
      <c r="Q36" s="1357">
        <f t="shared" si="5"/>
        <v>0</v>
      </c>
      <c r="R36" s="1354">
        <f t="shared" si="6"/>
        <v>0</v>
      </c>
      <c r="S36" s="1405"/>
      <c r="T36" s="1358">
        <f t="shared" si="7"/>
        <v>0</v>
      </c>
      <c r="U36" s="1409"/>
      <c r="V36" s="1410"/>
      <c r="W36" s="1410"/>
      <c r="X36" s="1410"/>
      <c r="Y36" s="1410"/>
      <c r="Z36" s="1410"/>
      <c r="AA36" s="1359">
        <f t="shared" si="8"/>
        <v>0</v>
      </c>
      <c r="AB36" s="1354">
        <f t="shared" si="9"/>
        <v>0</v>
      </c>
      <c r="AC36" s="1262">
        <f>IF($C36="INV",0,SUMIF('LAC 102_Wkst'!$A$7:$A$2010,$A36,'LAC 102_Wkst'!$AR$7:$AR$2010))</f>
        <v>0</v>
      </c>
      <c r="AD36" s="1341">
        <f t="shared" si="10"/>
        <v>0</v>
      </c>
      <c r="AE36" s="1341">
        <f t="shared" si="11"/>
        <v>0</v>
      </c>
      <c r="AF36" s="1341"/>
      <c r="AG36" s="1342" t="s">
        <v>368</v>
      </c>
      <c r="AH36" s="1343" t="s">
        <v>1700</v>
      </c>
      <c r="AI36" s="1342" t="s">
        <v>1957</v>
      </c>
      <c r="AJ36" s="1345"/>
      <c r="AK36" s="1345"/>
      <c r="AL36" s="1345"/>
      <c r="AM36" s="1345"/>
      <c r="AN36" s="1367">
        <f>SUMIFS('LAC 102_Wkst'!$AC$7:$AC$1501,'LAC 102_Wkst'!$B$7:$B$1501,$AG36,'LAC 102_Wkst'!$N$7:$N$1501,$AH36)</f>
        <v>0</v>
      </c>
      <c r="AO36" s="1347" t="str">
        <f>IF(AN36=0,"","County Contracted")</f>
        <v/>
      </c>
      <c r="AP36" s="1347"/>
      <c r="AQ36" s="1348" t="str">
        <f t="shared" si="13"/>
        <v/>
      </c>
    </row>
    <row r="37" spans="1:43" s="1242" customFormat="1" ht="15.95" hidden="1" customHeight="1" x14ac:dyDescent="0.25">
      <c r="A37" s="1253" t="str">
        <f t="shared" si="1"/>
        <v/>
      </c>
      <c r="B37" s="1254">
        <v>26</v>
      </c>
      <c r="C37" s="1254" t="str">
        <f>IFERROR(VLOOKUP(A37,'LAC CMA'!F:G,2,FALSE),"")</f>
        <v/>
      </c>
      <c r="D37" s="1349" t="str">
        <f>Schedule_C!D45</f>
        <v/>
      </c>
      <c r="E37" s="1349" t="str">
        <f>Schedule_C!E45</f>
        <v/>
      </c>
      <c r="F37" s="1350" t="str">
        <f>Schedule_C!F45</f>
        <v/>
      </c>
      <c r="G37" s="1351">
        <f>Schedule_C!L45</f>
        <v>0</v>
      </c>
      <c r="H37" s="1352">
        <f>Schedule_C!G45</f>
        <v>0</v>
      </c>
      <c r="I37" s="1353">
        <f t="shared" si="2"/>
        <v>0</v>
      </c>
      <c r="J37" s="1353">
        <f>SUMIFS('LAC 102_Wkst'!$Q$7:$Q$2010,'LAC 102_Wkst'!$A$7:$A$2010,'LAC 103'!$A37,'LAC 102_Wkst'!$N$7:$N$2010,"P5")</f>
        <v>0</v>
      </c>
      <c r="K37" s="1354">
        <f t="shared" si="3"/>
        <v>0</v>
      </c>
      <c r="L37" s="1355">
        <f>IFERROR(VLOOKUP($A37,'LAC CMA'!$F$14:$L$325,3,FALSE),0)</f>
        <v>0</v>
      </c>
      <c r="M37" s="1355">
        <f>IFERROR(VLOOKUP($A37,'LAC CMA'!$F$14:$L$325,5,FALSE),0)</f>
        <v>0</v>
      </c>
      <c r="N37" s="1355">
        <f>IFERROR(VLOOKUP($A37,'LAC CMA'!$F$14:$L$325,7,FALSE),0)</f>
        <v>0</v>
      </c>
      <c r="O37" s="1356">
        <f>IFERROR(VLOOKUP($A37,'LAC CMA'!$F$14:$L$325,6,FALSE),0)</f>
        <v>0</v>
      </c>
      <c r="P37" s="1356">
        <f t="shared" si="4"/>
        <v>0</v>
      </c>
      <c r="Q37" s="1357">
        <f t="shared" si="5"/>
        <v>0</v>
      </c>
      <c r="R37" s="1354">
        <f t="shared" si="6"/>
        <v>0</v>
      </c>
      <c r="S37" s="1405"/>
      <c r="T37" s="1358">
        <f t="shared" si="7"/>
        <v>0</v>
      </c>
      <c r="U37" s="1409"/>
      <c r="V37" s="1410"/>
      <c r="W37" s="1410"/>
      <c r="X37" s="1410"/>
      <c r="Y37" s="1410"/>
      <c r="Z37" s="1410"/>
      <c r="AA37" s="1359">
        <f t="shared" si="8"/>
        <v>0</v>
      </c>
      <c r="AB37" s="1354">
        <f t="shared" si="9"/>
        <v>0</v>
      </c>
      <c r="AC37" s="1262">
        <f>IF($C37="INV",0,SUMIF('LAC 102_Wkst'!$A$7:$A$2010,$A37,'LAC 102_Wkst'!$AR$7:$AR$2010))</f>
        <v>0</v>
      </c>
      <c r="AD37" s="1341">
        <f t="shared" si="10"/>
        <v>0</v>
      </c>
      <c r="AE37" s="1341">
        <f t="shared" si="11"/>
        <v>0</v>
      </c>
      <c r="AF37" s="1341"/>
      <c r="AG37" s="1342" t="s">
        <v>711</v>
      </c>
      <c r="AH37" s="1343" t="s">
        <v>1692</v>
      </c>
      <c r="AI37" s="1342" t="s">
        <v>1929</v>
      </c>
      <c r="AJ37" s="1344">
        <f>SUMIFS('LAC 102_Wkst'!$Y$7:$Y$1501,'LAC 102_Wkst'!$B$7:$B$1501,$AG37,'LAC 102_Wkst'!$N$7:$N$1501,$AH37)</f>
        <v>8777.0691821608725</v>
      </c>
      <c r="AK37" s="1345"/>
      <c r="AL37" s="1345"/>
      <c r="AM37" s="1345"/>
      <c r="AN37" s="1346"/>
      <c r="AO37" s="1347" t="str">
        <f t="shared" ref="AO37:AO51" si="14">IF(AJ37=0,"","Costs")</f>
        <v>Costs</v>
      </c>
      <c r="AP37" s="1347"/>
      <c r="AQ37" s="1348" t="str">
        <f t="shared" si="13"/>
        <v>Costs</v>
      </c>
    </row>
    <row r="38" spans="1:43" s="1242" customFormat="1" ht="15.95" hidden="1" customHeight="1" x14ac:dyDescent="0.25">
      <c r="A38" s="1253" t="str">
        <f t="shared" si="1"/>
        <v/>
      </c>
      <c r="B38" s="1254">
        <v>27</v>
      </c>
      <c r="C38" s="1254" t="str">
        <f>IFERROR(VLOOKUP(A38,'LAC CMA'!F:G,2,FALSE),"")</f>
        <v/>
      </c>
      <c r="D38" s="1349" t="str">
        <f>Schedule_C!D46</f>
        <v/>
      </c>
      <c r="E38" s="1349" t="str">
        <f>Schedule_C!E46</f>
        <v/>
      </c>
      <c r="F38" s="1350" t="str">
        <f>Schedule_C!F46</f>
        <v/>
      </c>
      <c r="G38" s="1351">
        <f>Schedule_C!L46</f>
        <v>0</v>
      </c>
      <c r="H38" s="1352">
        <f>Schedule_C!G46</f>
        <v>0</v>
      </c>
      <c r="I38" s="1353">
        <f t="shared" si="2"/>
        <v>0</v>
      </c>
      <c r="J38" s="1353">
        <f>SUMIFS('LAC 102_Wkst'!$Q$7:$Q$2010,'LAC 102_Wkst'!$A$7:$A$2010,'LAC 103'!$A38,'LAC 102_Wkst'!$N$7:$N$2010,"P5")</f>
        <v>0</v>
      </c>
      <c r="K38" s="1354">
        <f t="shared" si="3"/>
        <v>0</v>
      </c>
      <c r="L38" s="1355">
        <f>IFERROR(VLOOKUP($A38,'LAC CMA'!$F$14:$L$325,3,FALSE),0)</f>
        <v>0</v>
      </c>
      <c r="M38" s="1355">
        <f>IFERROR(VLOOKUP($A38,'LAC CMA'!$F$14:$L$325,5,FALSE),0)</f>
        <v>0</v>
      </c>
      <c r="N38" s="1355">
        <f>IFERROR(VLOOKUP($A38,'LAC CMA'!$F$14:$L$325,7,FALSE),0)</f>
        <v>0</v>
      </c>
      <c r="O38" s="1356">
        <f>IFERROR(VLOOKUP($A38,'LAC CMA'!$F$14:$L$325,6,FALSE),0)</f>
        <v>0</v>
      </c>
      <c r="P38" s="1356">
        <f t="shared" si="4"/>
        <v>0</v>
      </c>
      <c r="Q38" s="1357">
        <f t="shared" si="5"/>
        <v>0</v>
      </c>
      <c r="R38" s="1354">
        <f t="shared" si="6"/>
        <v>0</v>
      </c>
      <c r="S38" s="1405"/>
      <c r="T38" s="1358">
        <f t="shared" si="7"/>
        <v>0</v>
      </c>
      <c r="U38" s="1409"/>
      <c r="V38" s="1410"/>
      <c r="W38" s="1410"/>
      <c r="X38" s="1410"/>
      <c r="Y38" s="1410"/>
      <c r="Z38" s="1410"/>
      <c r="AA38" s="1359">
        <f t="shared" si="8"/>
        <v>0</v>
      </c>
      <c r="AB38" s="1354">
        <f t="shared" si="9"/>
        <v>0</v>
      </c>
      <c r="AC38" s="1262">
        <f>IF($C38="INV",0,SUMIF('LAC 102_Wkst'!$A$7:$A$2010,$A38,'LAC 102_Wkst'!$AR$7:$AR$2010))</f>
        <v>0</v>
      </c>
      <c r="AD38" s="1341">
        <f t="shared" si="10"/>
        <v>0</v>
      </c>
      <c r="AE38" s="1341">
        <f t="shared" si="11"/>
        <v>0</v>
      </c>
      <c r="AF38" s="1341"/>
      <c r="AG38" s="1342" t="s">
        <v>711</v>
      </c>
      <c r="AH38" s="1343" t="s">
        <v>1693</v>
      </c>
      <c r="AI38" s="1342" t="s">
        <v>1935</v>
      </c>
      <c r="AJ38" s="1344">
        <f>SUMIFS('LAC 102_Wkst'!$Y$7:$Y$1501,'LAC 102_Wkst'!$B$7:$B$1501,$AG38,'LAC 102_Wkst'!$N$7:$N$1501,$AH38)</f>
        <v>47145.400178464115</v>
      </c>
      <c r="AK38" s="1345"/>
      <c r="AL38" s="1345"/>
      <c r="AM38" s="1345"/>
      <c r="AN38" s="1346"/>
      <c r="AO38" s="1347" t="str">
        <f t="shared" si="14"/>
        <v>Costs</v>
      </c>
      <c r="AP38" s="1347"/>
      <c r="AQ38" s="1348" t="str">
        <f t="shared" si="13"/>
        <v>Costs</v>
      </c>
    </row>
    <row r="39" spans="1:43" s="1242" customFormat="1" ht="15.95" hidden="1" customHeight="1" x14ac:dyDescent="0.25">
      <c r="A39" s="1253" t="str">
        <f t="shared" si="1"/>
        <v/>
      </c>
      <c r="B39" s="1254">
        <v>28</v>
      </c>
      <c r="C39" s="1254" t="str">
        <f>IFERROR(VLOOKUP(A39,'LAC CMA'!F:G,2,FALSE),"")</f>
        <v/>
      </c>
      <c r="D39" s="1349" t="str">
        <f>Schedule_C!D47</f>
        <v/>
      </c>
      <c r="E39" s="1349" t="str">
        <f>Schedule_C!E47</f>
        <v/>
      </c>
      <c r="F39" s="1350" t="str">
        <f>Schedule_C!F47</f>
        <v/>
      </c>
      <c r="G39" s="1351">
        <f>Schedule_C!L47</f>
        <v>0</v>
      </c>
      <c r="H39" s="1352">
        <f>Schedule_C!G47</f>
        <v>0</v>
      </c>
      <c r="I39" s="1353">
        <f t="shared" si="2"/>
        <v>0</v>
      </c>
      <c r="J39" s="1353">
        <f>SUMIFS('LAC 102_Wkst'!$Q$7:$Q$2010,'LAC 102_Wkst'!$A$7:$A$2010,'LAC 103'!$A39,'LAC 102_Wkst'!$N$7:$N$2010,"P5")</f>
        <v>0</v>
      </c>
      <c r="K39" s="1354">
        <f t="shared" si="3"/>
        <v>0</v>
      </c>
      <c r="L39" s="1355">
        <f>IFERROR(VLOOKUP($A39,'LAC CMA'!$F$14:$L$325,3,FALSE),0)</f>
        <v>0</v>
      </c>
      <c r="M39" s="1355">
        <f>IFERROR(VLOOKUP($A39,'LAC CMA'!$F$14:$L$325,5,FALSE),0)</f>
        <v>0</v>
      </c>
      <c r="N39" s="1355">
        <f>IFERROR(VLOOKUP($A39,'LAC CMA'!$F$14:$L$325,7,FALSE),0)</f>
        <v>0</v>
      </c>
      <c r="O39" s="1356">
        <f>IFERROR(VLOOKUP($A39,'LAC CMA'!$F$14:$L$325,6,FALSE),0)</f>
        <v>0</v>
      </c>
      <c r="P39" s="1356">
        <f t="shared" si="4"/>
        <v>0</v>
      </c>
      <c r="Q39" s="1357">
        <f t="shared" si="5"/>
        <v>0</v>
      </c>
      <c r="R39" s="1354">
        <f t="shared" si="6"/>
        <v>0</v>
      </c>
      <c r="S39" s="1405"/>
      <c r="T39" s="1358">
        <f t="shared" si="7"/>
        <v>0</v>
      </c>
      <c r="U39" s="1409"/>
      <c r="V39" s="1410"/>
      <c r="W39" s="1410"/>
      <c r="X39" s="1410"/>
      <c r="Y39" s="1410"/>
      <c r="Z39" s="1410"/>
      <c r="AA39" s="1359">
        <f t="shared" si="8"/>
        <v>0</v>
      </c>
      <c r="AB39" s="1354">
        <f t="shared" si="9"/>
        <v>0</v>
      </c>
      <c r="AC39" s="1262">
        <f>IF($C39="INV",0,SUMIF('LAC 102_Wkst'!$A$7:$A$2010,$A39,'LAC 102_Wkst'!$AR$7:$AR$2010))</f>
        <v>0</v>
      </c>
      <c r="AD39" s="1341">
        <f t="shared" si="10"/>
        <v>0</v>
      </c>
      <c r="AE39" s="1341">
        <f t="shared" si="11"/>
        <v>0</v>
      </c>
      <c r="AF39" s="1341"/>
      <c r="AG39" s="1342" t="s">
        <v>711</v>
      </c>
      <c r="AH39" s="1343" t="s">
        <v>1694</v>
      </c>
      <c r="AI39" s="1342" t="s">
        <v>1941</v>
      </c>
      <c r="AJ39" s="1344">
        <f>SUMIFS('LAC 102_Wkst'!$Y$7:$Y$1501,'LAC 102_Wkst'!$B$7:$B$1501,$AG39,'LAC 102_Wkst'!$N$7:$N$1501,$AH39)</f>
        <v>33352.86289221132</v>
      </c>
      <c r="AK39" s="1345"/>
      <c r="AL39" s="1345"/>
      <c r="AM39" s="1345"/>
      <c r="AN39" s="1346"/>
      <c r="AO39" s="1347" t="str">
        <f t="shared" si="14"/>
        <v>Costs</v>
      </c>
      <c r="AP39" s="1347"/>
      <c r="AQ39" s="1348" t="str">
        <f t="shared" si="13"/>
        <v>Costs</v>
      </c>
    </row>
    <row r="40" spans="1:43" s="1242" customFormat="1" ht="15.95" hidden="1" customHeight="1" x14ac:dyDescent="0.25">
      <c r="A40" s="1253" t="str">
        <f t="shared" si="1"/>
        <v/>
      </c>
      <c r="B40" s="1254">
        <v>29</v>
      </c>
      <c r="C40" s="1254" t="str">
        <f>IFERROR(VLOOKUP(A40,'LAC CMA'!F:G,2,FALSE),"")</f>
        <v/>
      </c>
      <c r="D40" s="1349" t="str">
        <f>Schedule_C!D48</f>
        <v/>
      </c>
      <c r="E40" s="1349" t="str">
        <f>Schedule_C!E48</f>
        <v/>
      </c>
      <c r="F40" s="1350" t="str">
        <f>Schedule_C!F48</f>
        <v/>
      </c>
      <c r="G40" s="1351">
        <f>Schedule_C!L48</f>
        <v>0</v>
      </c>
      <c r="H40" s="1352">
        <f>Schedule_C!G48</f>
        <v>0</v>
      </c>
      <c r="I40" s="1353">
        <f t="shared" si="2"/>
        <v>0</v>
      </c>
      <c r="J40" s="1353">
        <f>SUMIFS('LAC 102_Wkst'!$Q$7:$Q$2010,'LAC 102_Wkst'!$A$7:$A$2010,'LAC 103'!$A40,'LAC 102_Wkst'!$N$7:$N$2010,"P5")</f>
        <v>0</v>
      </c>
      <c r="K40" s="1354">
        <f t="shared" si="3"/>
        <v>0</v>
      </c>
      <c r="L40" s="1355">
        <f>IFERROR(VLOOKUP($A40,'LAC CMA'!$F$14:$L$325,3,FALSE),0)</f>
        <v>0</v>
      </c>
      <c r="M40" s="1355">
        <f>IFERROR(VLOOKUP($A40,'LAC CMA'!$F$14:$L$325,5,FALSE),0)</f>
        <v>0</v>
      </c>
      <c r="N40" s="1355">
        <f>IFERROR(VLOOKUP($A40,'LAC CMA'!$F$14:$L$325,7,FALSE),0)</f>
        <v>0</v>
      </c>
      <c r="O40" s="1356">
        <f>IFERROR(VLOOKUP($A40,'LAC CMA'!$F$14:$L$325,6,FALSE),0)</f>
        <v>0</v>
      </c>
      <c r="P40" s="1356">
        <f t="shared" si="4"/>
        <v>0</v>
      </c>
      <c r="Q40" s="1357">
        <f t="shared" si="5"/>
        <v>0</v>
      </c>
      <c r="R40" s="1354">
        <f t="shared" si="6"/>
        <v>0</v>
      </c>
      <c r="S40" s="1405"/>
      <c r="T40" s="1358">
        <f t="shared" si="7"/>
        <v>0</v>
      </c>
      <c r="U40" s="1409"/>
      <c r="V40" s="1410"/>
      <c r="W40" s="1410"/>
      <c r="X40" s="1410"/>
      <c r="Y40" s="1410"/>
      <c r="Z40" s="1410"/>
      <c r="AA40" s="1359">
        <f t="shared" si="8"/>
        <v>0</v>
      </c>
      <c r="AB40" s="1354">
        <f t="shared" si="9"/>
        <v>0</v>
      </c>
      <c r="AC40" s="1262">
        <f>IF($C40="INV",0,SUMIF('LAC 102_Wkst'!$A$7:$A$2010,$A40,'LAC 102_Wkst'!$AR$7:$AR$2010))</f>
        <v>0</v>
      </c>
      <c r="AD40" s="1341">
        <f t="shared" si="10"/>
        <v>0</v>
      </c>
      <c r="AE40" s="1341">
        <f t="shared" si="11"/>
        <v>0</v>
      </c>
      <c r="AF40" s="1341"/>
      <c r="AG40" s="1342" t="s">
        <v>711</v>
      </c>
      <c r="AH40" s="1343" t="s">
        <v>1695</v>
      </c>
      <c r="AI40" s="1342" t="s">
        <v>1947</v>
      </c>
      <c r="AJ40" s="1344">
        <f>SUMIFS('LAC 102_Wkst'!$Y$7:$Y$1501,'LAC 102_Wkst'!$B$7:$B$1501,$AG40,'LAC 102_Wkst'!$N$7:$N$1501,$AH40)</f>
        <v>18118.378526032087</v>
      </c>
      <c r="AK40" s="1345"/>
      <c r="AL40" s="1345"/>
      <c r="AM40" s="1345"/>
      <c r="AN40" s="1346"/>
      <c r="AO40" s="1347" t="str">
        <f t="shared" si="14"/>
        <v>Costs</v>
      </c>
      <c r="AP40" s="1347"/>
      <c r="AQ40" s="1348" t="str">
        <f t="shared" si="13"/>
        <v>Costs</v>
      </c>
    </row>
    <row r="41" spans="1:43" s="1242" customFormat="1" ht="15.95" hidden="1" customHeight="1" x14ac:dyDescent="0.25">
      <c r="A41" s="1253" t="str">
        <f t="shared" si="1"/>
        <v/>
      </c>
      <c r="B41" s="1254">
        <v>30</v>
      </c>
      <c r="C41" s="1254" t="str">
        <f>IFERROR(VLOOKUP(A41,'LAC CMA'!F:G,2,FALSE),"")</f>
        <v/>
      </c>
      <c r="D41" s="1349" t="str">
        <f>Schedule_C!D49</f>
        <v/>
      </c>
      <c r="E41" s="1349" t="str">
        <f>Schedule_C!E49</f>
        <v/>
      </c>
      <c r="F41" s="1350" t="str">
        <f>Schedule_C!F49</f>
        <v/>
      </c>
      <c r="G41" s="1351">
        <f>Schedule_C!L49</f>
        <v>0</v>
      </c>
      <c r="H41" s="1352">
        <f>Schedule_C!G49</f>
        <v>0</v>
      </c>
      <c r="I41" s="1353">
        <f t="shared" si="2"/>
        <v>0</v>
      </c>
      <c r="J41" s="1353">
        <f>SUMIFS('LAC 102_Wkst'!$Q$7:$Q$2010,'LAC 102_Wkst'!$A$7:$A$2010,'LAC 103'!$A41,'LAC 102_Wkst'!$N$7:$N$2010,"P5")</f>
        <v>0</v>
      </c>
      <c r="K41" s="1354">
        <f t="shared" si="3"/>
        <v>0</v>
      </c>
      <c r="L41" s="1355">
        <f>IFERROR(VLOOKUP($A41,'LAC CMA'!$F$14:$L$325,3,FALSE),0)</f>
        <v>0</v>
      </c>
      <c r="M41" s="1355">
        <f>IFERROR(VLOOKUP($A41,'LAC CMA'!$F$14:$L$325,5,FALSE),0)</f>
        <v>0</v>
      </c>
      <c r="N41" s="1355">
        <f>IFERROR(VLOOKUP($A41,'LAC CMA'!$F$14:$L$325,7,FALSE),0)</f>
        <v>0</v>
      </c>
      <c r="O41" s="1356">
        <f>IFERROR(VLOOKUP($A41,'LAC CMA'!$F$14:$L$325,6,FALSE),0)</f>
        <v>0</v>
      </c>
      <c r="P41" s="1356">
        <f t="shared" si="4"/>
        <v>0</v>
      </c>
      <c r="Q41" s="1357">
        <f t="shared" si="5"/>
        <v>0</v>
      </c>
      <c r="R41" s="1354">
        <f t="shared" si="6"/>
        <v>0</v>
      </c>
      <c r="S41" s="1405"/>
      <c r="T41" s="1358">
        <f t="shared" si="7"/>
        <v>0</v>
      </c>
      <c r="U41" s="1409"/>
      <c r="V41" s="1410"/>
      <c r="W41" s="1410"/>
      <c r="X41" s="1410"/>
      <c r="Y41" s="1410"/>
      <c r="Z41" s="1410"/>
      <c r="AA41" s="1359">
        <f t="shared" si="8"/>
        <v>0</v>
      </c>
      <c r="AB41" s="1354">
        <f t="shared" si="9"/>
        <v>0</v>
      </c>
      <c r="AC41" s="1262">
        <f>IF($C41="INV",0,SUMIF('LAC 102_Wkst'!$A$7:$A$2010,$A41,'LAC 102_Wkst'!$AR$7:$AR$2010))</f>
        <v>0</v>
      </c>
      <c r="AD41" s="1341">
        <f t="shared" si="10"/>
        <v>0</v>
      </c>
      <c r="AE41" s="1341">
        <f t="shared" si="11"/>
        <v>0</v>
      </c>
      <c r="AF41" s="1341"/>
      <c r="AG41" s="1342" t="s">
        <v>711</v>
      </c>
      <c r="AH41" s="1343" t="s">
        <v>1700</v>
      </c>
      <c r="AI41" s="1342" t="s">
        <v>1952</v>
      </c>
      <c r="AJ41" s="1344">
        <f>SUMIFS('LAC 102_Wkst'!$Y$7:$Y$1501,'LAC 102_Wkst'!$B$7:$B$1501,$AG41,'LAC 102_Wkst'!$N$7:$N$1501,$AH41)</f>
        <v>20814.192631981499</v>
      </c>
      <c r="AK41" s="1345"/>
      <c r="AL41" s="1345"/>
      <c r="AM41" s="1345"/>
      <c r="AN41" s="1346"/>
      <c r="AO41" s="1347" t="str">
        <f t="shared" si="14"/>
        <v>Costs</v>
      </c>
      <c r="AP41" s="1347"/>
      <c r="AQ41" s="1348" t="str">
        <f t="shared" si="13"/>
        <v>Costs</v>
      </c>
    </row>
    <row r="42" spans="1:43" s="1242" customFormat="1" ht="15.95" hidden="1" customHeight="1" x14ac:dyDescent="0.25">
      <c r="A42" s="1253" t="str">
        <f t="shared" si="1"/>
        <v/>
      </c>
      <c r="B42" s="1254">
        <v>31</v>
      </c>
      <c r="C42" s="1254" t="str">
        <f>IFERROR(VLOOKUP(A42,'LAC CMA'!F:G,2,FALSE),"")</f>
        <v/>
      </c>
      <c r="D42" s="1349" t="str">
        <f>Schedule_C!D50</f>
        <v/>
      </c>
      <c r="E42" s="1349" t="str">
        <f>Schedule_C!E50</f>
        <v/>
      </c>
      <c r="F42" s="1350" t="str">
        <f>Schedule_C!F50</f>
        <v/>
      </c>
      <c r="G42" s="1351">
        <f>Schedule_C!L50</f>
        <v>0</v>
      </c>
      <c r="H42" s="1352">
        <f>Schedule_C!G50</f>
        <v>0</v>
      </c>
      <c r="I42" s="1353">
        <f t="shared" si="2"/>
        <v>0</v>
      </c>
      <c r="J42" s="1353">
        <f>SUMIFS('LAC 102_Wkst'!$Q$7:$Q$2010,'LAC 102_Wkst'!$A$7:$A$2010,'LAC 103'!$A42,'LAC 102_Wkst'!$N$7:$N$2010,"P5")</f>
        <v>0</v>
      </c>
      <c r="K42" s="1354">
        <f t="shared" si="3"/>
        <v>0</v>
      </c>
      <c r="L42" s="1355">
        <f>IFERROR(VLOOKUP($A42,'LAC CMA'!$F$14:$L$325,3,FALSE),0)</f>
        <v>0</v>
      </c>
      <c r="M42" s="1355">
        <f>IFERROR(VLOOKUP($A42,'LAC CMA'!$F$14:$L$325,5,FALSE),0)</f>
        <v>0</v>
      </c>
      <c r="N42" s="1355">
        <f>IFERROR(VLOOKUP($A42,'LAC CMA'!$F$14:$L$325,7,FALSE),0)</f>
        <v>0</v>
      </c>
      <c r="O42" s="1356">
        <f>IFERROR(VLOOKUP($A42,'LAC CMA'!$F$14:$L$325,6,FALSE),0)</f>
        <v>0</v>
      </c>
      <c r="P42" s="1356">
        <f t="shared" si="4"/>
        <v>0</v>
      </c>
      <c r="Q42" s="1357">
        <f t="shared" si="5"/>
        <v>0</v>
      </c>
      <c r="R42" s="1354">
        <f t="shared" si="6"/>
        <v>0</v>
      </c>
      <c r="S42" s="1405"/>
      <c r="T42" s="1358">
        <f t="shared" si="7"/>
        <v>0</v>
      </c>
      <c r="U42" s="1409"/>
      <c r="V42" s="1410"/>
      <c r="W42" s="1410"/>
      <c r="X42" s="1410"/>
      <c r="Y42" s="1410"/>
      <c r="Z42" s="1410"/>
      <c r="AA42" s="1359">
        <f t="shared" si="8"/>
        <v>0</v>
      </c>
      <c r="AB42" s="1354">
        <f t="shared" si="9"/>
        <v>0</v>
      </c>
      <c r="AC42" s="1262">
        <f>IF($C42="INV",0,SUMIF('LAC 102_Wkst'!$A$7:$A$2010,$A42,'LAC 102_Wkst'!$AR$7:$AR$2010))</f>
        <v>0</v>
      </c>
      <c r="AD42" s="1341">
        <f t="shared" si="10"/>
        <v>0</v>
      </c>
      <c r="AE42" s="1341">
        <f t="shared" si="11"/>
        <v>0</v>
      </c>
      <c r="AF42" s="1341"/>
      <c r="AG42" s="1342" t="s">
        <v>663</v>
      </c>
      <c r="AH42" s="1343" t="s">
        <v>1692</v>
      </c>
      <c r="AI42" s="1342" t="s">
        <v>1928</v>
      </c>
      <c r="AJ42" s="1344">
        <f>SUMIFS('LAC 102_Wkst'!$Y$7:$Y$1501,'LAC 102_Wkst'!$B$7:$B$1501,$AG42,'LAC 102_Wkst'!$N$7:$N$1501,$AH42)</f>
        <v>600.8112833026787</v>
      </c>
      <c r="AK42" s="1345"/>
      <c r="AL42" s="1345"/>
      <c r="AM42" s="1345"/>
      <c r="AN42" s="1346"/>
      <c r="AO42" s="1347" t="str">
        <f t="shared" si="14"/>
        <v>Costs</v>
      </c>
      <c r="AP42" s="1347"/>
      <c r="AQ42" s="1348" t="str">
        <f t="shared" si="13"/>
        <v>Costs</v>
      </c>
    </row>
    <row r="43" spans="1:43" s="1242" customFormat="1" ht="15.95" hidden="1" customHeight="1" x14ac:dyDescent="0.25">
      <c r="A43" s="1253" t="str">
        <f t="shared" si="1"/>
        <v/>
      </c>
      <c r="B43" s="1254">
        <v>32</v>
      </c>
      <c r="C43" s="1254" t="str">
        <f>IFERROR(VLOOKUP(A43,'LAC CMA'!F:G,2,FALSE),"")</f>
        <v/>
      </c>
      <c r="D43" s="1349" t="str">
        <f>Schedule_C!D51</f>
        <v/>
      </c>
      <c r="E43" s="1349" t="str">
        <f>Schedule_C!E51</f>
        <v/>
      </c>
      <c r="F43" s="1350" t="str">
        <f>Schedule_C!F51</f>
        <v/>
      </c>
      <c r="G43" s="1351">
        <f>Schedule_C!L51</f>
        <v>0</v>
      </c>
      <c r="H43" s="1352">
        <f>Schedule_C!G51</f>
        <v>0</v>
      </c>
      <c r="I43" s="1353">
        <f t="shared" si="2"/>
        <v>0</v>
      </c>
      <c r="J43" s="1353">
        <f>SUMIFS('LAC 102_Wkst'!$Q$7:$Q$2010,'LAC 102_Wkst'!$A$7:$A$2010,'LAC 103'!$A43,'LAC 102_Wkst'!$N$7:$N$2010,"P5")</f>
        <v>0</v>
      </c>
      <c r="K43" s="1354">
        <f t="shared" si="3"/>
        <v>0</v>
      </c>
      <c r="L43" s="1355">
        <f>IFERROR(VLOOKUP($A43,'LAC CMA'!$F$14:$L$325,3,FALSE),0)</f>
        <v>0</v>
      </c>
      <c r="M43" s="1355">
        <f>IFERROR(VLOOKUP($A43,'LAC CMA'!$F$14:$L$325,5,FALSE),0)</f>
        <v>0</v>
      </c>
      <c r="N43" s="1355">
        <f>IFERROR(VLOOKUP($A43,'LAC CMA'!$F$14:$L$325,7,FALSE),0)</f>
        <v>0</v>
      </c>
      <c r="O43" s="1356">
        <f>IFERROR(VLOOKUP($A43,'LAC CMA'!$F$14:$L$325,6,FALSE),0)</f>
        <v>0</v>
      </c>
      <c r="P43" s="1356">
        <f t="shared" si="4"/>
        <v>0</v>
      </c>
      <c r="Q43" s="1357">
        <f t="shared" si="5"/>
        <v>0</v>
      </c>
      <c r="R43" s="1354">
        <f t="shared" si="6"/>
        <v>0</v>
      </c>
      <c r="S43" s="1405"/>
      <c r="T43" s="1358">
        <f t="shared" si="7"/>
        <v>0</v>
      </c>
      <c r="U43" s="1409"/>
      <c r="V43" s="1410"/>
      <c r="W43" s="1410"/>
      <c r="X43" s="1410"/>
      <c r="Y43" s="1410"/>
      <c r="Z43" s="1410"/>
      <c r="AA43" s="1359">
        <f t="shared" si="8"/>
        <v>0</v>
      </c>
      <c r="AB43" s="1354">
        <f t="shared" si="9"/>
        <v>0</v>
      </c>
      <c r="AC43" s="1262">
        <f>IF($C43="INV",0,SUMIF('LAC 102_Wkst'!$A$7:$A$2010,$A43,'LAC 102_Wkst'!$AR$7:$AR$2010))</f>
        <v>0</v>
      </c>
      <c r="AD43" s="1341">
        <f t="shared" si="10"/>
        <v>0</v>
      </c>
      <c r="AE43" s="1341">
        <f t="shared" si="11"/>
        <v>0</v>
      </c>
      <c r="AF43" s="1341"/>
      <c r="AG43" s="1342" t="s">
        <v>663</v>
      </c>
      <c r="AH43" s="1343" t="s">
        <v>1693</v>
      </c>
      <c r="AI43" s="1342" t="s">
        <v>1934</v>
      </c>
      <c r="AJ43" s="1344">
        <f>SUMIFS('LAC 102_Wkst'!$Y$7:$Y$1501,'LAC 102_Wkst'!$B$7:$B$1501,$AG43,'LAC 102_Wkst'!$N$7:$N$1501,$AH43)</f>
        <v>3123.1737839855782</v>
      </c>
      <c r="AK43" s="1345"/>
      <c r="AL43" s="1345"/>
      <c r="AM43" s="1345"/>
      <c r="AN43" s="1346"/>
      <c r="AO43" s="1347" t="str">
        <f t="shared" si="14"/>
        <v>Costs</v>
      </c>
      <c r="AP43" s="1347"/>
      <c r="AQ43" s="1348" t="str">
        <f t="shared" si="13"/>
        <v>Costs</v>
      </c>
    </row>
    <row r="44" spans="1:43" s="1242" customFormat="1" ht="15.95" hidden="1" customHeight="1" x14ac:dyDescent="0.25">
      <c r="A44" s="1253" t="str">
        <f t="shared" si="1"/>
        <v/>
      </c>
      <c r="B44" s="1254">
        <v>33</v>
      </c>
      <c r="C44" s="1254" t="str">
        <f>IFERROR(VLOOKUP(A44,'LAC CMA'!F:G,2,FALSE),"")</f>
        <v/>
      </c>
      <c r="D44" s="1349" t="str">
        <f>Schedule_C!D52</f>
        <v/>
      </c>
      <c r="E44" s="1349" t="str">
        <f>Schedule_C!E52</f>
        <v/>
      </c>
      <c r="F44" s="1350" t="str">
        <f>Schedule_C!F52</f>
        <v/>
      </c>
      <c r="G44" s="1351">
        <f>Schedule_C!L52</f>
        <v>0</v>
      </c>
      <c r="H44" s="1352">
        <f>Schedule_C!G52</f>
        <v>0</v>
      </c>
      <c r="I44" s="1353">
        <f t="shared" si="2"/>
        <v>0</v>
      </c>
      <c r="J44" s="1353">
        <f>SUMIFS('LAC 102_Wkst'!$Q$7:$Q$2010,'LAC 102_Wkst'!$A$7:$A$2010,'LAC 103'!$A44,'LAC 102_Wkst'!$N$7:$N$2010,"P5")</f>
        <v>0</v>
      </c>
      <c r="K44" s="1354">
        <f t="shared" si="3"/>
        <v>0</v>
      </c>
      <c r="L44" s="1355">
        <f>IFERROR(VLOOKUP($A44,'LAC CMA'!$F$14:$L$325,3,FALSE),0)</f>
        <v>0</v>
      </c>
      <c r="M44" s="1355">
        <f>IFERROR(VLOOKUP($A44,'LAC CMA'!$F$14:$L$325,5,FALSE),0)</f>
        <v>0</v>
      </c>
      <c r="N44" s="1355">
        <f>IFERROR(VLOOKUP($A44,'LAC CMA'!$F$14:$L$325,7,FALSE),0)</f>
        <v>0</v>
      </c>
      <c r="O44" s="1356">
        <f>IFERROR(VLOOKUP($A44,'LAC CMA'!$F$14:$L$325,6,FALSE),0)</f>
        <v>0</v>
      </c>
      <c r="P44" s="1356">
        <f t="shared" si="4"/>
        <v>0</v>
      </c>
      <c r="Q44" s="1357">
        <f t="shared" si="5"/>
        <v>0</v>
      </c>
      <c r="R44" s="1354">
        <f t="shared" si="6"/>
        <v>0</v>
      </c>
      <c r="S44" s="1405"/>
      <c r="T44" s="1358">
        <f t="shared" si="7"/>
        <v>0</v>
      </c>
      <c r="U44" s="1409"/>
      <c r="V44" s="1410"/>
      <c r="W44" s="1410"/>
      <c r="X44" s="1410"/>
      <c r="Y44" s="1410"/>
      <c r="Z44" s="1410"/>
      <c r="AA44" s="1359">
        <f t="shared" si="8"/>
        <v>0</v>
      </c>
      <c r="AB44" s="1354">
        <f t="shared" si="9"/>
        <v>0</v>
      </c>
      <c r="AC44" s="1262">
        <f>IF($C44="INV",0,SUMIF('LAC 102_Wkst'!$A$7:$A$2010,$A44,'LAC 102_Wkst'!$AR$7:$AR$2010))</f>
        <v>0</v>
      </c>
      <c r="AD44" s="1341">
        <f t="shared" si="10"/>
        <v>0</v>
      </c>
      <c r="AE44" s="1341">
        <f t="shared" si="11"/>
        <v>0</v>
      </c>
      <c r="AF44" s="1341"/>
      <c r="AG44" s="1342" t="s">
        <v>663</v>
      </c>
      <c r="AH44" s="1343" t="s">
        <v>1694</v>
      </c>
      <c r="AI44" s="1342" t="s">
        <v>1940</v>
      </c>
      <c r="AJ44" s="1344">
        <f>SUMIFS('LAC 102_Wkst'!$Y$7:$Y$1501,'LAC 102_Wkst'!$B$7:$B$1501,$AG44,'LAC 102_Wkst'!$N$7:$N$1501,$AH44)</f>
        <v>2260.0953144064256</v>
      </c>
      <c r="AK44" s="1345"/>
      <c r="AL44" s="1345"/>
      <c r="AM44" s="1345"/>
      <c r="AN44" s="1346"/>
      <c r="AO44" s="1347" t="str">
        <f t="shared" si="14"/>
        <v>Costs</v>
      </c>
      <c r="AP44" s="1347"/>
      <c r="AQ44" s="1348" t="str">
        <f t="shared" si="13"/>
        <v>Costs</v>
      </c>
    </row>
    <row r="45" spans="1:43" s="1242" customFormat="1" ht="15.95" hidden="1" customHeight="1" x14ac:dyDescent="0.25">
      <c r="A45" s="1253" t="str">
        <f t="shared" si="1"/>
        <v/>
      </c>
      <c r="B45" s="1254">
        <v>34</v>
      </c>
      <c r="C45" s="1254" t="str">
        <f>IFERROR(VLOOKUP(A45,'LAC CMA'!F:G,2,FALSE),"")</f>
        <v/>
      </c>
      <c r="D45" s="1349" t="str">
        <f>Schedule_C!D53</f>
        <v/>
      </c>
      <c r="E45" s="1349" t="str">
        <f>Schedule_C!E53</f>
        <v/>
      </c>
      <c r="F45" s="1350" t="str">
        <f>Schedule_C!F53</f>
        <v/>
      </c>
      <c r="G45" s="1351">
        <f>Schedule_C!L53</f>
        <v>0</v>
      </c>
      <c r="H45" s="1352">
        <f>Schedule_C!G53</f>
        <v>0</v>
      </c>
      <c r="I45" s="1353">
        <f t="shared" si="2"/>
        <v>0</v>
      </c>
      <c r="J45" s="1353">
        <f>SUMIFS('LAC 102_Wkst'!$Q$7:$Q$2010,'LAC 102_Wkst'!$A$7:$A$2010,'LAC 103'!$A45,'LAC 102_Wkst'!$N$7:$N$2010,"P5")</f>
        <v>0</v>
      </c>
      <c r="K45" s="1354">
        <f t="shared" si="3"/>
        <v>0</v>
      </c>
      <c r="L45" s="1355">
        <f>IFERROR(VLOOKUP($A45,'LAC CMA'!$F$14:$L$325,3,FALSE),0)</f>
        <v>0</v>
      </c>
      <c r="M45" s="1355">
        <f>IFERROR(VLOOKUP($A45,'LAC CMA'!$F$14:$L$325,5,FALSE),0)</f>
        <v>0</v>
      </c>
      <c r="N45" s="1355">
        <f>IFERROR(VLOOKUP($A45,'LAC CMA'!$F$14:$L$325,7,FALSE),0)</f>
        <v>0</v>
      </c>
      <c r="O45" s="1356">
        <f>IFERROR(VLOOKUP($A45,'LAC CMA'!$F$14:$L$325,6,FALSE),0)</f>
        <v>0</v>
      </c>
      <c r="P45" s="1356">
        <f t="shared" si="4"/>
        <v>0</v>
      </c>
      <c r="Q45" s="1357">
        <f t="shared" si="5"/>
        <v>0</v>
      </c>
      <c r="R45" s="1354">
        <f t="shared" si="6"/>
        <v>0</v>
      </c>
      <c r="S45" s="1405"/>
      <c r="T45" s="1358">
        <f t="shared" si="7"/>
        <v>0</v>
      </c>
      <c r="U45" s="1409"/>
      <c r="V45" s="1410"/>
      <c r="W45" s="1410"/>
      <c r="X45" s="1410"/>
      <c r="Y45" s="1410"/>
      <c r="Z45" s="1410"/>
      <c r="AA45" s="1359">
        <f t="shared" si="8"/>
        <v>0</v>
      </c>
      <c r="AB45" s="1354">
        <f t="shared" si="9"/>
        <v>0</v>
      </c>
      <c r="AC45" s="1262">
        <f>IF($C45="INV",0,SUMIF('LAC 102_Wkst'!$A$7:$A$2010,$A45,'LAC 102_Wkst'!$AR$7:$AR$2010))</f>
        <v>0</v>
      </c>
      <c r="AD45" s="1341">
        <f t="shared" si="10"/>
        <v>0</v>
      </c>
      <c r="AE45" s="1341">
        <f t="shared" si="11"/>
        <v>0</v>
      </c>
      <c r="AF45" s="1341"/>
      <c r="AG45" s="1342" t="s">
        <v>663</v>
      </c>
      <c r="AH45" s="1343" t="s">
        <v>1695</v>
      </c>
      <c r="AI45" s="1342" t="s">
        <v>1946</v>
      </c>
      <c r="AJ45" s="1344">
        <f>SUMIFS('LAC 102_Wkst'!$Y$7:$Y$1501,'LAC 102_Wkst'!$B$7:$B$1501,$AG45,'LAC 102_Wkst'!$N$7:$N$1501,$AH45)</f>
        <v>1677.0471473057387</v>
      </c>
      <c r="AK45" s="1345"/>
      <c r="AL45" s="1345"/>
      <c r="AM45" s="1345"/>
      <c r="AN45" s="1346"/>
      <c r="AO45" s="1347" t="str">
        <f t="shared" si="14"/>
        <v>Costs</v>
      </c>
      <c r="AP45" s="1347"/>
      <c r="AQ45" s="1348" t="str">
        <f t="shared" si="13"/>
        <v>Costs</v>
      </c>
    </row>
    <row r="46" spans="1:43" s="1242" customFormat="1" ht="15.95" hidden="1" customHeight="1" x14ac:dyDescent="0.25">
      <c r="A46" s="1253" t="str">
        <f t="shared" si="1"/>
        <v/>
      </c>
      <c r="B46" s="1254">
        <v>35</v>
      </c>
      <c r="C46" s="1254" t="str">
        <f>IFERROR(VLOOKUP(A46,'LAC CMA'!F:G,2,FALSE),"")</f>
        <v/>
      </c>
      <c r="D46" s="1349" t="str">
        <f>Schedule_C!D54</f>
        <v/>
      </c>
      <c r="E46" s="1349" t="str">
        <f>Schedule_C!E54</f>
        <v/>
      </c>
      <c r="F46" s="1350" t="str">
        <f>Schedule_C!F54</f>
        <v/>
      </c>
      <c r="G46" s="1351">
        <f>Schedule_C!L54</f>
        <v>0</v>
      </c>
      <c r="H46" s="1352">
        <f>Schedule_C!G54</f>
        <v>0</v>
      </c>
      <c r="I46" s="1353">
        <f t="shared" si="2"/>
        <v>0</v>
      </c>
      <c r="J46" s="1353">
        <f>SUMIFS('LAC 102_Wkst'!$Q$7:$Q$2010,'LAC 102_Wkst'!$A$7:$A$2010,'LAC 103'!$A46,'LAC 102_Wkst'!$N$7:$N$2010,"P5")</f>
        <v>0</v>
      </c>
      <c r="K46" s="1354">
        <f t="shared" si="3"/>
        <v>0</v>
      </c>
      <c r="L46" s="1355">
        <f>IFERROR(VLOOKUP($A46,'LAC CMA'!$F$14:$L$325,3,FALSE),0)</f>
        <v>0</v>
      </c>
      <c r="M46" s="1355">
        <f>IFERROR(VLOOKUP($A46,'LAC CMA'!$F$14:$L$325,5,FALSE),0)</f>
        <v>0</v>
      </c>
      <c r="N46" s="1355">
        <f>IFERROR(VLOOKUP($A46,'LAC CMA'!$F$14:$L$325,7,FALSE),0)</f>
        <v>0</v>
      </c>
      <c r="O46" s="1356">
        <f>IFERROR(VLOOKUP($A46,'LAC CMA'!$F$14:$L$325,6,FALSE),0)</f>
        <v>0</v>
      </c>
      <c r="P46" s="1356">
        <f t="shared" si="4"/>
        <v>0</v>
      </c>
      <c r="Q46" s="1357">
        <f t="shared" si="5"/>
        <v>0</v>
      </c>
      <c r="R46" s="1354">
        <f t="shared" si="6"/>
        <v>0</v>
      </c>
      <c r="S46" s="1405"/>
      <c r="T46" s="1358">
        <f t="shared" si="7"/>
        <v>0</v>
      </c>
      <c r="U46" s="1409"/>
      <c r="V46" s="1410"/>
      <c r="W46" s="1410"/>
      <c r="X46" s="1410"/>
      <c r="Y46" s="1410"/>
      <c r="Z46" s="1410"/>
      <c r="AA46" s="1359">
        <f t="shared" si="8"/>
        <v>0</v>
      </c>
      <c r="AB46" s="1354">
        <f t="shared" si="9"/>
        <v>0</v>
      </c>
      <c r="AC46" s="1262">
        <f>IF($C46="INV",0,SUMIF('LAC 102_Wkst'!$A$7:$A$2010,$A46,'LAC 102_Wkst'!$AR$7:$AR$2010))</f>
        <v>0</v>
      </c>
      <c r="AD46" s="1341">
        <f t="shared" si="10"/>
        <v>0</v>
      </c>
      <c r="AE46" s="1341">
        <f t="shared" si="11"/>
        <v>0</v>
      </c>
      <c r="AF46" s="1341"/>
      <c r="AG46" s="1342" t="s">
        <v>663</v>
      </c>
      <c r="AH46" s="1343" t="s">
        <v>1700</v>
      </c>
      <c r="AI46" s="1342" t="s">
        <v>1951</v>
      </c>
      <c r="AJ46" s="1344">
        <f>SUMIFS('LAC 102_Wkst'!$Y$7:$Y$1501,'LAC 102_Wkst'!$B$7:$B$1501,$AG46,'LAC 102_Wkst'!$N$7:$N$1501,$AH46)</f>
        <v>1949.7632254657374</v>
      </c>
      <c r="AK46" s="1345"/>
      <c r="AL46" s="1345"/>
      <c r="AM46" s="1345"/>
      <c r="AN46" s="1346"/>
      <c r="AO46" s="1347" t="str">
        <f t="shared" si="14"/>
        <v>Costs</v>
      </c>
      <c r="AP46" s="1347"/>
      <c r="AQ46" s="1348" t="str">
        <f t="shared" si="13"/>
        <v>Costs</v>
      </c>
    </row>
    <row r="47" spans="1:43" s="1242" customFormat="1" ht="15.95" hidden="1" customHeight="1" x14ac:dyDescent="0.25">
      <c r="A47" s="1253" t="str">
        <f t="shared" si="1"/>
        <v/>
      </c>
      <c r="B47" s="1254">
        <v>36</v>
      </c>
      <c r="C47" s="1254" t="str">
        <f>IFERROR(VLOOKUP(A47,'LAC CMA'!F:G,2,FALSE),"")</f>
        <v/>
      </c>
      <c r="D47" s="1349" t="str">
        <f>Schedule_C!D55</f>
        <v/>
      </c>
      <c r="E47" s="1349" t="str">
        <f>Schedule_C!E55</f>
        <v/>
      </c>
      <c r="F47" s="1350" t="str">
        <f>Schedule_C!F55</f>
        <v/>
      </c>
      <c r="G47" s="1351">
        <f>Schedule_C!L55</f>
        <v>0</v>
      </c>
      <c r="H47" s="1352">
        <f>Schedule_C!G55</f>
        <v>0</v>
      </c>
      <c r="I47" s="1353">
        <f t="shared" si="2"/>
        <v>0</v>
      </c>
      <c r="J47" s="1353">
        <f>SUMIFS('LAC 102_Wkst'!$Q$7:$Q$2010,'LAC 102_Wkst'!$A$7:$A$2010,'LAC 103'!$A47,'LAC 102_Wkst'!$N$7:$N$2010,"P5")</f>
        <v>0</v>
      </c>
      <c r="K47" s="1354">
        <f t="shared" si="3"/>
        <v>0</v>
      </c>
      <c r="L47" s="1355">
        <f>IFERROR(VLOOKUP($A47,'LAC CMA'!$F$14:$L$325,3,FALSE),0)</f>
        <v>0</v>
      </c>
      <c r="M47" s="1355">
        <f>IFERROR(VLOOKUP($A47,'LAC CMA'!$F$14:$L$325,5,FALSE),0)</f>
        <v>0</v>
      </c>
      <c r="N47" s="1355">
        <f>IFERROR(VLOOKUP($A47,'LAC CMA'!$F$14:$L$325,7,FALSE),0)</f>
        <v>0</v>
      </c>
      <c r="O47" s="1356">
        <f>IFERROR(VLOOKUP($A47,'LAC CMA'!$F$14:$L$325,6,FALSE),0)</f>
        <v>0</v>
      </c>
      <c r="P47" s="1356">
        <f t="shared" si="4"/>
        <v>0</v>
      </c>
      <c r="Q47" s="1357">
        <f t="shared" si="5"/>
        <v>0</v>
      </c>
      <c r="R47" s="1354">
        <f t="shared" si="6"/>
        <v>0</v>
      </c>
      <c r="S47" s="1405"/>
      <c r="T47" s="1358">
        <f t="shared" si="7"/>
        <v>0</v>
      </c>
      <c r="U47" s="1409"/>
      <c r="V47" s="1410"/>
      <c r="W47" s="1410"/>
      <c r="X47" s="1410"/>
      <c r="Y47" s="1410"/>
      <c r="Z47" s="1410"/>
      <c r="AA47" s="1359">
        <f t="shared" si="8"/>
        <v>0</v>
      </c>
      <c r="AB47" s="1354">
        <f t="shared" si="9"/>
        <v>0</v>
      </c>
      <c r="AC47" s="1262">
        <f>IF($C47="INV",0,SUMIF('LAC 102_Wkst'!$A$7:$A$2010,$A47,'LAC 102_Wkst'!$AR$7:$AR$2010))</f>
        <v>0</v>
      </c>
      <c r="AD47" s="1341">
        <f t="shared" si="10"/>
        <v>0</v>
      </c>
      <c r="AE47" s="1341">
        <f t="shared" si="11"/>
        <v>0</v>
      </c>
      <c r="AF47" s="1341"/>
      <c r="AG47" s="1342" t="s">
        <v>722</v>
      </c>
      <c r="AH47" s="1343" t="s">
        <v>1692</v>
      </c>
      <c r="AI47" s="1342" t="s">
        <v>1930</v>
      </c>
      <c r="AJ47" s="1344">
        <f>SUMIFS('LAC 102_Wkst'!$Y$7:$Y$1501,'LAC 102_Wkst'!$B$7:$B$1501,$AG47,'LAC 102_Wkst'!$N$7:$N$1501,$AH47)</f>
        <v>0</v>
      </c>
      <c r="AK47" s="1345"/>
      <c r="AL47" s="1345"/>
      <c r="AM47" s="1345"/>
      <c r="AN47" s="1346"/>
      <c r="AO47" s="1347" t="str">
        <f t="shared" si="14"/>
        <v/>
      </c>
      <c r="AP47" s="1347"/>
      <c r="AQ47" s="1348" t="str">
        <f t="shared" si="13"/>
        <v/>
      </c>
    </row>
    <row r="48" spans="1:43" s="1242" customFormat="1" ht="15.95" hidden="1" customHeight="1" x14ac:dyDescent="0.25">
      <c r="A48" s="1253" t="str">
        <f t="shared" si="1"/>
        <v/>
      </c>
      <c r="B48" s="1254">
        <v>37</v>
      </c>
      <c r="C48" s="1254" t="str">
        <f>IFERROR(VLOOKUP(A48,'LAC CMA'!F:G,2,FALSE),"")</f>
        <v/>
      </c>
      <c r="D48" s="1349" t="str">
        <f>Schedule_C!D56</f>
        <v/>
      </c>
      <c r="E48" s="1349" t="str">
        <f>Schedule_C!E56</f>
        <v/>
      </c>
      <c r="F48" s="1350" t="str">
        <f>Schedule_C!F56</f>
        <v/>
      </c>
      <c r="G48" s="1351">
        <f>Schedule_C!L56</f>
        <v>0</v>
      </c>
      <c r="H48" s="1352">
        <f>Schedule_C!G56</f>
        <v>0</v>
      </c>
      <c r="I48" s="1353">
        <f t="shared" si="2"/>
        <v>0</v>
      </c>
      <c r="J48" s="1353">
        <f>SUMIFS('LAC 102_Wkst'!$Q$7:$Q$2010,'LAC 102_Wkst'!$A$7:$A$2010,'LAC 103'!$A48,'LAC 102_Wkst'!$N$7:$N$2010,"P5")</f>
        <v>0</v>
      </c>
      <c r="K48" s="1354">
        <f t="shared" si="3"/>
        <v>0</v>
      </c>
      <c r="L48" s="1355">
        <f>IFERROR(VLOOKUP($A48,'LAC CMA'!$F$14:$L$325,3,FALSE),0)</f>
        <v>0</v>
      </c>
      <c r="M48" s="1355">
        <f>IFERROR(VLOOKUP($A48,'LAC CMA'!$F$14:$L$325,5,FALSE),0)</f>
        <v>0</v>
      </c>
      <c r="N48" s="1355">
        <f>IFERROR(VLOOKUP($A48,'LAC CMA'!$F$14:$L$325,7,FALSE),0)</f>
        <v>0</v>
      </c>
      <c r="O48" s="1356">
        <f>IFERROR(VLOOKUP($A48,'LAC CMA'!$F$14:$L$325,6,FALSE),0)</f>
        <v>0</v>
      </c>
      <c r="P48" s="1356">
        <f t="shared" si="4"/>
        <v>0</v>
      </c>
      <c r="Q48" s="1357">
        <f t="shared" si="5"/>
        <v>0</v>
      </c>
      <c r="R48" s="1354">
        <f t="shared" si="6"/>
        <v>0</v>
      </c>
      <c r="S48" s="1405"/>
      <c r="T48" s="1358">
        <f t="shared" si="7"/>
        <v>0</v>
      </c>
      <c r="U48" s="1409"/>
      <c r="V48" s="1410"/>
      <c r="W48" s="1410"/>
      <c r="X48" s="1410"/>
      <c r="Y48" s="1410"/>
      <c r="Z48" s="1410"/>
      <c r="AA48" s="1359">
        <f t="shared" si="8"/>
        <v>0</v>
      </c>
      <c r="AB48" s="1354">
        <f t="shared" si="9"/>
        <v>0</v>
      </c>
      <c r="AC48" s="1262">
        <f>IF($C48="INV",0,SUMIF('LAC 102_Wkst'!$A$7:$A$2010,$A48,'LAC 102_Wkst'!$AR$7:$AR$2010))</f>
        <v>0</v>
      </c>
      <c r="AD48" s="1341">
        <f t="shared" si="10"/>
        <v>0</v>
      </c>
      <c r="AE48" s="1341">
        <f t="shared" si="11"/>
        <v>0</v>
      </c>
      <c r="AF48" s="1341"/>
      <c r="AG48" s="1342" t="s">
        <v>722</v>
      </c>
      <c r="AH48" s="1343" t="s">
        <v>1693</v>
      </c>
      <c r="AI48" s="1342" t="s">
        <v>1936</v>
      </c>
      <c r="AJ48" s="1344">
        <f>SUMIFS('LAC 102_Wkst'!$Y$7:$Y$1501,'LAC 102_Wkst'!$B$7:$B$1501,$AG48,'LAC 102_Wkst'!$N$7:$N$1501,$AH48)</f>
        <v>0</v>
      </c>
      <c r="AK48" s="1345"/>
      <c r="AL48" s="1345"/>
      <c r="AM48" s="1345"/>
      <c r="AN48" s="1346"/>
      <c r="AO48" s="1347" t="str">
        <f t="shared" si="14"/>
        <v/>
      </c>
      <c r="AP48" s="1347"/>
      <c r="AQ48" s="1348" t="str">
        <f t="shared" si="13"/>
        <v/>
      </c>
    </row>
    <row r="49" spans="1:43" s="1242" customFormat="1" ht="15.95" hidden="1" customHeight="1" x14ac:dyDescent="0.25">
      <c r="A49" s="1253" t="str">
        <f t="shared" si="1"/>
        <v/>
      </c>
      <c r="B49" s="1254">
        <v>38</v>
      </c>
      <c r="C49" s="1254" t="str">
        <f>IFERROR(VLOOKUP(A49,'LAC CMA'!F:G,2,FALSE),"")</f>
        <v/>
      </c>
      <c r="D49" s="1349" t="str">
        <f>Schedule_C!D57</f>
        <v/>
      </c>
      <c r="E49" s="1349" t="str">
        <f>Schedule_C!E57</f>
        <v/>
      </c>
      <c r="F49" s="1350" t="str">
        <f>Schedule_C!F57</f>
        <v/>
      </c>
      <c r="G49" s="1351">
        <f>Schedule_C!L57</f>
        <v>0</v>
      </c>
      <c r="H49" s="1352">
        <f>Schedule_C!G57</f>
        <v>0</v>
      </c>
      <c r="I49" s="1353">
        <f t="shared" si="2"/>
        <v>0</v>
      </c>
      <c r="J49" s="1353">
        <f>SUMIFS('LAC 102_Wkst'!$Q$7:$Q$2010,'LAC 102_Wkst'!$A$7:$A$2010,'LAC 103'!$A49,'LAC 102_Wkst'!$N$7:$N$2010,"P5")</f>
        <v>0</v>
      </c>
      <c r="K49" s="1354">
        <f t="shared" si="3"/>
        <v>0</v>
      </c>
      <c r="L49" s="1355">
        <f>IFERROR(VLOOKUP($A49,'LAC CMA'!$F$14:$L$325,3,FALSE),0)</f>
        <v>0</v>
      </c>
      <c r="M49" s="1355">
        <f>IFERROR(VLOOKUP($A49,'LAC CMA'!$F$14:$L$325,5,FALSE),0)</f>
        <v>0</v>
      </c>
      <c r="N49" s="1355">
        <f>IFERROR(VLOOKUP($A49,'LAC CMA'!$F$14:$L$325,7,FALSE),0)</f>
        <v>0</v>
      </c>
      <c r="O49" s="1356">
        <f>IFERROR(VLOOKUP($A49,'LAC CMA'!$F$14:$L$325,6,FALSE),0)</f>
        <v>0</v>
      </c>
      <c r="P49" s="1356">
        <f t="shared" si="4"/>
        <v>0</v>
      </c>
      <c r="Q49" s="1357">
        <f t="shared" si="5"/>
        <v>0</v>
      </c>
      <c r="R49" s="1354">
        <f t="shared" si="6"/>
        <v>0</v>
      </c>
      <c r="S49" s="1405"/>
      <c r="T49" s="1358">
        <f t="shared" si="7"/>
        <v>0</v>
      </c>
      <c r="U49" s="1409"/>
      <c r="V49" s="1410"/>
      <c r="W49" s="1410"/>
      <c r="X49" s="1410"/>
      <c r="Y49" s="1410"/>
      <c r="Z49" s="1410"/>
      <c r="AA49" s="1359">
        <f t="shared" si="8"/>
        <v>0</v>
      </c>
      <c r="AB49" s="1354">
        <f t="shared" si="9"/>
        <v>0</v>
      </c>
      <c r="AC49" s="1262">
        <f>IF($C49="INV",0,SUMIF('LAC 102_Wkst'!$A$7:$A$2010,$A49,'LAC 102_Wkst'!$AR$7:$AR$2010))</f>
        <v>0</v>
      </c>
      <c r="AD49" s="1341">
        <f t="shared" si="10"/>
        <v>0</v>
      </c>
      <c r="AE49" s="1341">
        <f t="shared" si="11"/>
        <v>0</v>
      </c>
      <c r="AF49" s="1341"/>
      <c r="AG49" s="1342" t="s">
        <v>722</v>
      </c>
      <c r="AH49" s="1343" t="s">
        <v>1694</v>
      </c>
      <c r="AI49" s="1342" t="s">
        <v>1942</v>
      </c>
      <c r="AJ49" s="1344">
        <f>SUMIFS('LAC 102_Wkst'!$Y$7:$Y$1501,'LAC 102_Wkst'!$B$7:$B$1501,$AG49,'LAC 102_Wkst'!$N$7:$N$1501,$AH49)</f>
        <v>0</v>
      </c>
      <c r="AK49" s="1345"/>
      <c r="AL49" s="1345"/>
      <c r="AM49" s="1345"/>
      <c r="AN49" s="1346"/>
      <c r="AO49" s="1347" t="str">
        <f t="shared" si="14"/>
        <v/>
      </c>
      <c r="AP49" s="1347"/>
      <c r="AQ49" s="1348" t="str">
        <f t="shared" si="13"/>
        <v/>
      </c>
    </row>
    <row r="50" spans="1:43" s="1242" customFormat="1" ht="15.95" hidden="1" customHeight="1" x14ac:dyDescent="0.25">
      <c r="A50" s="1253" t="str">
        <f t="shared" si="1"/>
        <v/>
      </c>
      <c r="B50" s="1254">
        <v>39</v>
      </c>
      <c r="C50" s="1254" t="str">
        <f>IFERROR(VLOOKUP(A50,'LAC CMA'!F:G,2,FALSE),"")</f>
        <v/>
      </c>
      <c r="D50" s="1349" t="str">
        <f>Schedule_C!D58</f>
        <v/>
      </c>
      <c r="E50" s="1349" t="str">
        <f>Schedule_C!E58</f>
        <v/>
      </c>
      <c r="F50" s="1350" t="str">
        <f>Schedule_C!F58</f>
        <v/>
      </c>
      <c r="G50" s="1351">
        <f>Schedule_C!L58</f>
        <v>0</v>
      </c>
      <c r="H50" s="1352">
        <f>Schedule_C!G58</f>
        <v>0</v>
      </c>
      <c r="I50" s="1353">
        <f t="shared" si="2"/>
        <v>0</v>
      </c>
      <c r="J50" s="1353">
        <f>SUMIFS('LAC 102_Wkst'!$Q$7:$Q$2010,'LAC 102_Wkst'!$A$7:$A$2010,'LAC 103'!$A50,'LAC 102_Wkst'!$N$7:$N$2010,"P5")</f>
        <v>0</v>
      </c>
      <c r="K50" s="1354">
        <f t="shared" si="3"/>
        <v>0</v>
      </c>
      <c r="L50" s="1355">
        <f>IFERROR(VLOOKUP($A50,'LAC CMA'!$F$14:$L$325,3,FALSE),0)</f>
        <v>0</v>
      </c>
      <c r="M50" s="1355">
        <f>IFERROR(VLOOKUP($A50,'LAC CMA'!$F$14:$L$325,5,FALSE),0)</f>
        <v>0</v>
      </c>
      <c r="N50" s="1355">
        <f>IFERROR(VLOOKUP($A50,'LAC CMA'!$F$14:$L$325,7,FALSE),0)</f>
        <v>0</v>
      </c>
      <c r="O50" s="1356">
        <f>IFERROR(VLOOKUP($A50,'LAC CMA'!$F$14:$L$325,6,FALSE),0)</f>
        <v>0</v>
      </c>
      <c r="P50" s="1356">
        <f t="shared" si="4"/>
        <v>0</v>
      </c>
      <c r="Q50" s="1357">
        <f t="shared" si="5"/>
        <v>0</v>
      </c>
      <c r="R50" s="1354">
        <f t="shared" si="6"/>
        <v>0</v>
      </c>
      <c r="S50" s="1405"/>
      <c r="T50" s="1358">
        <f t="shared" si="7"/>
        <v>0</v>
      </c>
      <c r="U50" s="1409"/>
      <c r="V50" s="1410"/>
      <c r="W50" s="1410"/>
      <c r="X50" s="1410"/>
      <c r="Y50" s="1410"/>
      <c r="Z50" s="1410"/>
      <c r="AA50" s="1359">
        <f t="shared" si="8"/>
        <v>0</v>
      </c>
      <c r="AB50" s="1354">
        <f t="shared" si="9"/>
        <v>0</v>
      </c>
      <c r="AC50" s="1262">
        <f>IF($C50="INV",0,SUMIF('LAC 102_Wkst'!$A$7:$A$2010,$A50,'LAC 102_Wkst'!$AR$7:$AR$2010))</f>
        <v>0</v>
      </c>
      <c r="AD50" s="1341">
        <f t="shared" si="10"/>
        <v>0</v>
      </c>
      <c r="AE50" s="1341">
        <f t="shared" si="11"/>
        <v>0</v>
      </c>
      <c r="AF50" s="1341"/>
      <c r="AG50" s="1342" t="s">
        <v>722</v>
      </c>
      <c r="AH50" s="1343" t="s">
        <v>1695</v>
      </c>
      <c r="AI50" s="1342" t="s">
        <v>1948</v>
      </c>
      <c r="AJ50" s="1344">
        <f>SUMIFS('LAC 102_Wkst'!$Y$7:$Y$1501,'LAC 102_Wkst'!$B$7:$B$1501,$AG50,'LAC 102_Wkst'!$N$7:$N$1501,$AH50)</f>
        <v>0</v>
      </c>
      <c r="AK50" s="1345"/>
      <c r="AL50" s="1345"/>
      <c r="AM50" s="1345"/>
      <c r="AN50" s="1346"/>
      <c r="AO50" s="1347" t="str">
        <f t="shared" si="14"/>
        <v/>
      </c>
      <c r="AP50" s="1347"/>
      <c r="AQ50" s="1348" t="str">
        <f t="shared" si="13"/>
        <v/>
      </c>
    </row>
    <row r="51" spans="1:43" s="1242" customFormat="1" ht="15.95" hidden="1" customHeight="1" thickBot="1" x14ac:dyDescent="0.3">
      <c r="A51" s="1253" t="str">
        <f t="shared" si="1"/>
        <v/>
      </c>
      <c r="B51" s="1254">
        <v>40</v>
      </c>
      <c r="C51" s="1254" t="str">
        <f>IFERROR(VLOOKUP(A51,'LAC CMA'!F:G,2,FALSE),"")</f>
        <v/>
      </c>
      <c r="D51" s="1349" t="str">
        <f>Schedule_C!D59</f>
        <v/>
      </c>
      <c r="E51" s="1349" t="str">
        <f>Schedule_C!E59</f>
        <v/>
      </c>
      <c r="F51" s="1350" t="str">
        <f>Schedule_C!F59</f>
        <v/>
      </c>
      <c r="G51" s="1351">
        <f>Schedule_C!L59</f>
        <v>0</v>
      </c>
      <c r="H51" s="1352">
        <f>Schedule_C!G59</f>
        <v>0</v>
      </c>
      <c r="I51" s="1353">
        <f t="shared" si="2"/>
        <v>0</v>
      </c>
      <c r="J51" s="1353">
        <f>SUMIFS('LAC 102_Wkst'!$Q$7:$Q$2010,'LAC 102_Wkst'!$A$7:$A$2010,'LAC 103'!$A51,'LAC 102_Wkst'!$N$7:$N$2010,"P5")</f>
        <v>0</v>
      </c>
      <c r="K51" s="1354">
        <f t="shared" si="3"/>
        <v>0</v>
      </c>
      <c r="L51" s="1355">
        <f>IFERROR(VLOOKUP($A51,'LAC CMA'!$F$14:$L$325,3,FALSE),0)</f>
        <v>0</v>
      </c>
      <c r="M51" s="1355">
        <f>IFERROR(VLOOKUP($A51,'LAC CMA'!$F$14:$L$325,5,FALSE),0)</f>
        <v>0</v>
      </c>
      <c r="N51" s="1355">
        <f>IFERROR(VLOOKUP($A51,'LAC CMA'!$F$14:$L$325,7,FALSE),0)</f>
        <v>0</v>
      </c>
      <c r="O51" s="1356">
        <f>IFERROR(VLOOKUP($A51,'LAC CMA'!$F$14:$L$325,6,FALSE),0)</f>
        <v>0</v>
      </c>
      <c r="P51" s="1356">
        <f t="shared" si="4"/>
        <v>0</v>
      </c>
      <c r="Q51" s="1357">
        <f t="shared" si="5"/>
        <v>0</v>
      </c>
      <c r="R51" s="1354">
        <f t="shared" si="6"/>
        <v>0</v>
      </c>
      <c r="S51" s="1405"/>
      <c r="T51" s="1358">
        <f t="shared" si="7"/>
        <v>0</v>
      </c>
      <c r="U51" s="1409"/>
      <c r="V51" s="1410"/>
      <c r="W51" s="1410"/>
      <c r="X51" s="1410"/>
      <c r="Y51" s="1410"/>
      <c r="Z51" s="1410"/>
      <c r="AA51" s="1359">
        <f t="shared" si="8"/>
        <v>0</v>
      </c>
      <c r="AB51" s="1354">
        <f t="shared" si="9"/>
        <v>0</v>
      </c>
      <c r="AC51" s="1262">
        <f>IF($C51="INV",0,SUMIF('LAC 102_Wkst'!$A$7:$A$2010,$A51,'LAC 102_Wkst'!$AR$7:$AR$2010))</f>
        <v>0</v>
      </c>
      <c r="AD51" s="1341">
        <f t="shared" si="10"/>
        <v>0</v>
      </c>
      <c r="AE51" s="1341">
        <f t="shared" si="11"/>
        <v>0</v>
      </c>
      <c r="AF51" s="1341"/>
      <c r="AG51" s="1368" t="s">
        <v>722</v>
      </c>
      <c r="AH51" s="1369" t="s">
        <v>1700</v>
      </c>
      <c r="AI51" s="1368" t="s">
        <v>1953</v>
      </c>
      <c r="AJ51" s="1370">
        <f>SUMIFS('LAC 102_Wkst'!$Y$7:$Y$1501,'LAC 102_Wkst'!$B$7:$B$1501,$AG51,'LAC 102_Wkst'!$N$7:$N$1501,$AH51)</f>
        <v>0</v>
      </c>
      <c r="AK51" s="1371"/>
      <c r="AL51" s="1371"/>
      <c r="AM51" s="1371"/>
      <c r="AN51" s="1372"/>
      <c r="AO51" s="1373" t="str">
        <f t="shared" si="14"/>
        <v/>
      </c>
      <c r="AP51" s="1373"/>
      <c r="AQ51" s="1374" t="str">
        <f t="shared" si="13"/>
        <v/>
      </c>
    </row>
    <row r="52" spans="1:43" s="1242" customFormat="1" ht="15.95" hidden="1" customHeight="1" x14ac:dyDescent="0.25">
      <c r="A52" s="1253" t="str">
        <f t="shared" si="1"/>
        <v/>
      </c>
      <c r="B52" s="1254">
        <v>41</v>
      </c>
      <c r="C52" s="1254" t="str">
        <f>IFERROR(VLOOKUP(A52,'LAC CMA'!F:G,2,FALSE),"")</f>
        <v/>
      </c>
      <c r="D52" s="1349" t="str">
        <f>Schedule_C!D60</f>
        <v/>
      </c>
      <c r="E52" s="1349" t="str">
        <f>Schedule_C!E60</f>
        <v/>
      </c>
      <c r="F52" s="1350" t="str">
        <f>Schedule_C!F60</f>
        <v/>
      </c>
      <c r="G52" s="1351">
        <f>Schedule_C!L60</f>
        <v>0</v>
      </c>
      <c r="H52" s="1352">
        <f>Schedule_C!G60</f>
        <v>0</v>
      </c>
      <c r="I52" s="1353">
        <f t="shared" si="2"/>
        <v>0</v>
      </c>
      <c r="J52" s="1353">
        <f>SUMIFS('LAC 102_Wkst'!$Q$7:$Q$2010,'LAC 102_Wkst'!$A$7:$A$2010,'LAC 103'!$A52,'LAC 102_Wkst'!$N$7:$N$2010,"P5")</f>
        <v>0</v>
      </c>
      <c r="K52" s="1354">
        <f t="shared" si="3"/>
        <v>0</v>
      </c>
      <c r="L52" s="1355">
        <f>IFERROR(VLOOKUP($A52,'LAC CMA'!$F$14:$L$325,3,FALSE),0)</f>
        <v>0</v>
      </c>
      <c r="M52" s="1355">
        <f>IFERROR(VLOOKUP($A52,'LAC CMA'!$F$14:$L$325,5,FALSE),0)</f>
        <v>0</v>
      </c>
      <c r="N52" s="1355">
        <f>IFERROR(VLOOKUP($A52,'LAC CMA'!$F$14:$L$325,7,FALSE),0)</f>
        <v>0</v>
      </c>
      <c r="O52" s="1356">
        <f>IFERROR(VLOOKUP($A52,'LAC CMA'!$F$14:$L$325,6,FALSE),0)</f>
        <v>0</v>
      </c>
      <c r="P52" s="1356">
        <f t="shared" si="4"/>
        <v>0</v>
      </c>
      <c r="Q52" s="1357">
        <f t="shared" si="5"/>
        <v>0</v>
      </c>
      <c r="R52" s="1354">
        <f t="shared" si="6"/>
        <v>0</v>
      </c>
      <c r="S52" s="1405"/>
      <c r="T52" s="1358">
        <f t="shared" si="7"/>
        <v>0</v>
      </c>
      <c r="U52" s="1409"/>
      <c r="V52" s="1410"/>
      <c r="W52" s="1410"/>
      <c r="X52" s="1410"/>
      <c r="Y52" s="1410"/>
      <c r="Z52" s="1410"/>
      <c r="AA52" s="1359">
        <f t="shared" si="8"/>
        <v>0</v>
      </c>
      <c r="AB52" s="1354">
        <f t="shared" si="9"/>
        <v>0</v>
      </c>
      <c r="AC52" s="1262">
        <f>IF($C52="INV",0,SUMIF('LAC 102_Wkst'!$A$7:$A$2010,$A52,'LAC 102_Wkst'!$AR$7:$AR$2010))</f>
        <v>0</v>
      </c>
      <c r="AD52" s="1341">
        <f t="shared" si="10"/>
        <v>0</v>
      </c>
      <c r="AE52" s="1341">
        <f t="shared" si="11"/>
        <v>0</v>
      </c>
      <c r="AF52" s="1341"/>
      <c r="AG52" s="1264"/>
      <c r="AH52" s="1265"/>
      <c r="AI52" s="1264"/>
      <c r="AJ52" s="1266"/>
      <c r="AK52" s="1266"/>
      <c r="AL52" s="1266"/>
      <c r="AM52" s="1266"/>
      <c r="AN52" s="1266"/>
      <c r="AO52" s="637"/>
      <c r="AP52" s="637"/>
      <c r="AQ52" s="637"/>
    </row>
    <row r="53" spans="1:43" s="1242" customFormat="1" ht="15.95" hidden="1" customHeight="1" x14ac:dyDescent="0.25">
      <c r="A53" s="1253" t="str">
        <f t="shared" si="1"/>
        <v/>
      </c>
      <c r="B53" s="1254">
        <v>42</v>
      </c>
      <c r="C53" s="1254" t="str">
        <f>IFERROR(VLOOKUP(A53,'LAC CMA'!F:G,2,FALSE),"")</f>
        <v/>
      </c>
      <c r="D53" s="1349" t="str">
        <f>Schedule_C!D61</f>
        <v/>
      </c>
      <c r="E53" s="1349" t="str">
        <f>Schedule_C!E61</f>
        <v/>
      </c>
      <c r="F53" s="1350" t="str">
        <f>Schedule_C!F61</f>
        <v/>
      </c>
      <c r="G53" s="1351">
        <f>Schedule_C!L61</f>
        <v>0</v>
      </c>
      <c r="H53" s="1352">
        <f>Schedule_C!G61</f>
        <v>0</v>
      </c>
      <c r="I53" s="1353">
        <f t="shared" si="2"/>
        <v>0</v>
      </c>
      <c r="J53" s="1353">
        <f>SUMIFS('LAC 102_Wkst'!$Q$7:$Q$2010,'LAC 102_Wkst'!$A$7:$A$2010,'LAC 103'!$A53,'LAC 102_Wkst'!$N$7:$N$2010,"P5")</f>
        <v>0</v>
      </c>
      <c r="K53" s="1354">
        <f t="shared" si="3"/>
        <v>0</v>
      </c>
      <c r="L53" s="1355">
        <f>IFERROR(VLOOKUP($A53,'LAC CMA'!$F$14:$L$325,3,FALSE),0)</f>
        <v>0</v>
      </c>
      <c r="M53" s="1355">
        <f>IFERROR(VLOOKUP($A53,'LAC CMA'!$F$14:$L$325,5,FALSE),0)</f>
        <v>0</v>
      </c>
      <c r="N53" s="1355">
        <f>IFERROR(VLOOKUP($A53,'LAC CMA'!$F$14:$L$325,7,FALSE),0)</f>
        <v>0</v>
      </c>
      <c r="O53" s="1356">
        <f>IFERROR(VLOOKUP($A53,'LAC CMA'!$F$14:$L$325,6,FALSE),0)</f>
        <v>0</v>
      </c>
      <c r="P53" s="1356">
        <f t="shared" si="4"/>
        <v>0</v>
      </c>
      <c r="Q53" s="1357">
        <f t="shared" si="5"/>
        <v>0</v>
      </c>
      <c r="R53" s="1354">
        <f t="shared" si="6"/>
        <v>0</v>
      </c>
      <c r="S53" s="1405"/>
      <c r="T53" s="1358">
        <f t="shared" si="7"/>
        <v>0</v>
      </c>
      <c r="U53" s="1409"/>
      <c r="V53" s="1410"/>
      <c r="W53" s="1410"/>
      <c r="X53" s="1410"/>
      <c r="Y53" s="1410"/>
      <c r="Z53" s="1410"/>
      <c r="AA53" s="1359">
        <f t="shared" si="8"/>
        <v>0</v>
      </c>
      <c r="AB53" s="1354">
        <f t="shared" si="9"/>
        <v>0</v>
      </c>
      <c r="AC53" s="1262">
        <f>IF($C53="INV",0,SUMIF('LAC 102_Wkst'!$A$7:$A$2010,$A53,'LAC 102_Wkst'!$AR$7:$AR$2010))</f>
        <v>0</v>
      </c>
      <c r="AD53" s="1341">
        <f t="shared" si="10"/>
        <v>0</v>
      </c>
      <c r="AE53" s="1341">
        <f t="shared" si="11"/>
        <v>0</v>
      </c>
      <c r="AF53" s="1341"/>
      <c r="AG53" s="1264"/>
      <c r="AH53" s="1265"/>
      <c r="AI53" s="1264"/>
      <c r="AJ53" s="1266"/>
      <c r="AK53" s="1266"/>
      <c r="AL53" s="1266"/>
      <c r="AM53" s="1266"/>
      <c r="AN53" s="1266"/>
      <c r="AO53" s="637"/>
      <c r="AP53" s="637"/>
      <c r="AQ53" s="637"/>
    </row>
    <row r="54" spans="1:43" s="1242" customFormat="1" ht="15.95" hidden="1" customHeight="1" x14ac:dyDescent="0.25">
      <c r="A54" s="1253" t="str">
        <f t="shared" si="1"/>
        <v/>
      </c>
      <c r="B54" s="1254">
        <v>43</v>
      </c>
      <c r="C54" s="1254" t="str">
        <f>IFERROR(VLOOKUP(A54,'LAC CMA'!F:G,2,FALSE),"")</f>
        <v/>
      </c>
      <c r="D54" s="1349" t="str">
        <f>Schedule_C!D62</f>
        <v/>
      </c>
      <c r="E54" s="1349" t="str">
        <f>Schedule_C!E62</f>
        <v/>
      </c>
      <c r="F54" s="1350" t="str">
        <f>Schedule_C!F62</f>
        <v/>
      </c>
      <c r="G54" s="1351">
        <f>Schedule_C!L62</f>
        <v>0</v>
      </c>
      <c r="H54" s="1352">
        <f>Schedule_C!G62</f>
        <v>0</v>
      </c>
      <c r="I54" s="1353">
        <f t="shared" si="2"/>
        <v>0</v>
      </c>
      <c r="J54" s="1353">
        <f>SUMIFS('LAC 102_Wkst'!$Q$7:$Q$2010,'LAC 102_Wkst'!$A$7:$A$2010,'LAC 103'!$A54,'LAC 102_Wkst'!$N$7:$N$2010,"P5")</f>
        <v>0</v>
      </c>
      <c r="K54" s="1354">
        <f t="shared" si="3"/>
        <v>0</v>
      </c>
      <c r="L54" s="1355">
        <f>IFERROR(VLOOKUP($A54,'LAC CMA'!$F$14:$L$325,3,FALSE),0)</f>
        <v>0</v>
      </c>
      <c r="M54" s="1355">
        <f>IFERROR(VLOOKUP($A54,'LAC CMA'!$F$14:$L$325,5,FALSE),0)</f>
        <v>0</v>
      </c>
      <c r="N54" s="1355">
        <f>IFERROR(VLOOKUP($A54,'LAC CMA'!$F$14:$L$325,7,FALSE),0)</f>
        <v>0</v>
      </c>
      <c r="O54" s="1356">
        <f>IFERROR(VLOOKUP($A54,'LAC CMA'!$F$14:$L$325,6,FALSE),0)</f>
        <v>0</v>
      </c>
      <c r="P54" s="1356">
        <f t="shared" si="4"/>
        <v>0</v>
      </c>
      <c r="Q54" s="1357">
        <f t="shared" si="5"/>
        <v>0</v>
      </c>
      <c r="R54" s="1354">
        <f t="shared" si="6"/>
        <v>0</v>
      </c>
      <c r="S54" s="1405"/>
      <c r="T54" s="1358">
        <f t="shared" si="7"/>
        <v>0</v>
      </c>
      <c r="U54" s="1409"/>
      <c r="V54" s="1410"/>
      <c r="W54" s="1410"/>
      <c r="X54" s="1410"/>
      <c r="Y54" s="1410"/>
      <c r="Z54" s="1410"/>
      <c r="AA54" s="1359">
        <f t="shared" si="8"/>
        <v>0</v>
      </c>
      <c r="AB54" s="1354">
        <f t="shared" si="9"/>
        <v>0</v>
      </c>
      <c r="AC54" s="1262">
        <f>IF($C54="INV",0,SUMIF('LAC 102_Wkst'!$A$7:$A$2010,$A54,'LAC 102_Wkst'!$AR$7:$AR$2010))</f>
        <v>0</v>
      </c>
      <c r="AD54" s="1341">
        <f t="shared" si="10"/>
        <v>0</v>
      </c>
      <c r="AE54" s="1341">
        <f t="shared" si="11"/>
        <v>0</v>
      </c>
      <c r="AF54" s="1341"/>
      <c r="AG54" s="1264"/>
      <c r="AH54" s="1265"/>
      <c r="AI54" s="1264"/>
      <c r="AJ54" s="1266"/>
      <c r="AK54" s="1266"/>
      <c r="AL54" s="1266"/>
      <c r="AM54" s="1266"/>
      <c r="AN54" s="1266"/>
      <c r="AO54" s="637"/>
      <c r="AP54" s="637"/>
      <c r="AQ54" s="637"/>
    </row>
    <row r="55" spans="1:43" s="1242" customFormat="1" ht="15.95" hidden="1" customHeight="1" x14ac:dyDescent="0.25">
      <c r="A55" s="1253" t="str">
        <f t="shared" si="1"/>
        <v/>
      </c>
      <c r="B55" s="1254">
        <v>44</v>
      </c>
      <c r="C55" s="1254" t="str">
        <f>IFERROR(VLOOKUP(A55,'LAC CMA'!F:G,2,FALSE),"")</f>
        <v/>
      </c>
      <c r="D55" s="1349" t="str">
        <f>Schedule_C!D63</f>
        <v/>
      </c>
      <c r="E55" s="1349" t="str">
        <f>Schedule_C!E63</f>
        <v/>
      </c>
      <c r="F55" s="1350" t="str">
        <f>Schedule_C!F63</f>
        <v/>
      </c>
      <c r="G55" s="1351">
        <f>Schedule_C!L63</f>
        <v>0</v>
      </c>
      <c r="H55" s="1352">
        <f>Schedule_C!G63</f>
        <v>0</v>
      </c>
      <c r="I55" s="1353">
        <f t="shared" si="2"/>
        <v>0</v>
      </c>
      <c r="J55" s="1353">
        <f>SUMIFS('LAC 102_Wkst'!$Q$7:$Q$2010,'LAC 102_Wkst'!$A$7:$A$2010,'LAC 103'!$A55,'LAC 102_Wkst'!$N$7:$N$2010,"P5")</f>
        <v>0</v>
      </c>
      <c r="K55" s="1354">
        <f t="shared" si="3"/>
        <v>0</v>
      </c>
      <c r="L55" s="1355">
        <f>IFERROR(VLOOKUP($A55,'LAC CMA'!$F$14:$L$325,3,FALSE),0)</f>
        <v>0</v>
      </c>
      <c r="M55" s="1355">
        <f>IFERROR(VLOOKUP($A55,'LAC CMA'!$F$14:$L$325,5,FALSE),0)</f>
        <v>0</v>
      </c>
      <c r="N55" s="1355">
        <f>IFERROR(VLOOKUP($A55,'LAC CMA'!$F$14:$L$325,7,FALSE),0)</f>
        <v>0</v>
      </c>
      <c r="O55" s="1356">
        <f>IFERROR(VLOOKUP($A55,'LAC CMA'!$F$14:$L$325,6,FALSE),0)</f>
        <v>0</v>
      </c>
      <c r="P55" s="1356">
        <f t="shared" si="4"/>
        <v>0</v>
      </c>
      <c r="Q55" s="1357">
        <f t="shared" si="5"/>
        <v>0</v>
      </c>
      <c r="R55" s="1354">
        <f t="shared" si="6"/>
        <v>0</v>
      </c>
      <c r="S55" s="1405"/>
      <c r="T55" s="1358">
        <f t="shared" si="7"/>
        <v>0</v>
      </c>
      <c r="U55" s="1409"/>
      <c r="V55" s="1410"/>
      <c r="W55" s="1410"/>
      <c r="X55" s="1410"/>
      <c r="Y55" s="1410"/>
      <c r="Z55" s="1410"/>
      <c r="AA55" s="1359">
        <f t="shared" si="8"/>
        <v>0</v>
      </c>
      <c r="AB55" s="1354">
        <f t="shared" si="9"/>
        <v>0</v>
      </c>
      <c r="AC55" s="1262">
        <f>IF($C55="INV",0,SUMIF('LAC 102_Wkst'!$A$7:$A$2010,$A55,'LAC 102_Wkst'!$AR$7:$AR$2010))</f>
        <v>0</v>
      </c>
      <c r="AD55" s="1341">
        <f t="shared" si="10"/>
        <v>0</v>
      </c>
      <c r="AE55" s="1341">
        <f t="shared" si="11"/>
        <v>0</v>
      </c>
      <c r="AF55" s="1341"/>
      <c r="AG55" s="1264"/>
      <c r="AH55" s="1265"/>
      <c r="AI55" s="1264"/>
      <c r="AJ55" s="1266"/>
      <c r="AK55" s="1266"/>
      <c r="AL55" s="1266"/>
      <c r="AM55" s="1266"/>
      <c r="AN55" s="1266"/>
      <c r="AO55" s="637"/>
      <c r="AP55" s="637"/>
      <c r="AQ55" s="637"/>
    </row>
    <row r="56" spans="1:43" s="1242" customFormat="1" ht="15.95" hidden="1" customHeight="1" x14ac:dyDescent="0.25">
      <c r="A56" s="1253" t="str">
        <f t="shared" si="1"/>
        <v/>
      </c>
      <c r="B56" s="1254">
        <v>45</v>
      </c>
      <c r="C56" s="1254" t="str">
        <f>IFERROR(VLOOKUP(A56,'LAC CMA'!F:G,2,FALSE),"")</f>
        <v/>
      </c>
      <c r="D56" s="1349" t="str">
        <f>Schedule_C!D64</f>
        <v/>
      </c>
      <c r="E56" s="1349" t="str">
        <f>Schedule_C!E64</f>
        <v/>
      </c>
      <c r="F56" s="1350" t="str">
        <f>Schedule_C!F64</f>
        <v/>
      </c>
      <c r="G56" s="1351">
        <f>Schedule_C!L64</f>
        <v>0</v>
      </c>
      <c r="H56" s="1352">
        <f>Schedule_C!G64</f>
        <v>0</v>
      </c>
      <c r="I56" s="1353">
        <f t="shared" si="2"/>
        <v>0</v>
      </c>
      <c r="J56" s="1353">
        <f>SUMIFS('LAC 102_Wkst'!$Q$7:$Q$2010,'LAC 102_Wkst'!$A$7:$A$2010,'LAC 103'!$A56,'LAC 102_Wkst'!$N$7:$N$2010,"P5")</f>
        <v>0</v>
      </c>
      <c r="K56" s="1354">
        <f t="shared" si="3"/>
        <v>0</v>
      </c>
      <c r="L56" s="1355">
        <f>IFERROR(VLOOKUP($A56,'LAC CMA'!$F$14:$L$325,3,FALSE),0)</f>
        <v>0</v>
      </c>
      <c r="M56" s="1355">
        <f>IFERROR(VLOOKUP($A56,'LAC CMA'!$F$14:$L$325,5,FALSE),0)</f>
        <v>0</v>
      </c>
      <c r="N56" s="1355">
        <f>IFERROR(VLOOKUP($A56,'LAC CMA'!$F$14:$L$325,7,FALSE),0)</f>
        <v>0</v>
      </c>
      <c r="O56" s="1356">
        <f>IFERROR(VLOOKUP($A56,'LAC CMA'!$F$14:$L$325,6,FALSE),0)</f>
        <v>0</v>
      </c>
      <c r="P56" s="1356">
        <f t="shared" si="4"/>
        <v>0</v>
      </c>
      <c r="Q56" s="1357">
        <f t="shared" si="5"/>
        <v>0</v>
      </c>
      <c r="R56" s="1354">
        <f t="shared" si="6"/>
        <v>0</v>
      </c>
      <c r="S56" s="1405"/>
      <c r="T56" s="1358">
        <f t="shared" si="7"/>
        <v>0</v>
      </c>
      <c r="U56" s="1409"/>
      <c r="V56" s="1410"/>
      <c r="W56" s="1410"/>
      <c r="X56" s="1410"/>
      <c r="Y56" s="1410"/>
      <c r="Z56" s="1410"/>
      <c r="AA56" s="1359">
        <f t="shared" si="8"/>
        <v>0</v>
      </c>
      <c r="AB56" s="1354">
        <f t="shared" si="9"/>
        <v>0</v>
      </c>
      <c r="AC56" s="1262">
        <f>IF($C56="INV",0,SUMIF('LAC 102_Wkst'!$A$7:$A$2010,$A56,'LAC 102_Wkst'!$AR$7:$AR$2010))</f>
        <v>0</v>
      </c>
      <c r="AD56" s="1341">
        <f t="shared" si="10"/>
        <v>0</v>
      </c>
      <c r="AE56" s="1341">
        <f t="shared" si="11"/>
        <v>0</v>
      </c>
      <c r="AF56" s="1341"/>
      <c r="AG56" s="1264"/>
      <c r="AH56" s="1265"/>
      <c r="AI56" s="1264"/>
      <c r="AJ56" s="1266"/>
      <c r="AK56" s="1266"/>
      <c r="AL56" s="1266"/>
      <c r="AM56" s="1266"/>
      <c r="AN56" s="1266"/>
      <c r="AO56" s="637"/>
      <c r="AP56" s="637"/>
      <c r="AQ56" s="637"/>
    </row>
    <row r="57" spans="1:43" s="1242" customFormat="1" ht="15.95" hidden="1" customHeight="1" x14ac:dyDescent="0.25">
      <c r="A57" s="1253" t="str">
        <f t="shared" si="1"/>
        <v/>
      </c>
      <c r="B57" s="1254">
        <v>46</v>
      </c>
      <c r="C57" s="1254" t="str">
        <f>IFERROR(VLOOKUP(A57,'LAC CMA'!F:G,2,FALSE),"")</f>
        <v/>
      </c>
      <c r="D57" s="1349" t="str">
        <f>Schedule_C!D65</f>
        <v/>
      </c>
      <c r="E57" s="1349" t="str">
        <f>Schedule_C!E65</f>
        <v/>
      </c>
      <c r="F57" s="1350" t="str">
        <f>Schedule_C!F65</f>
        <v/>
      </c>
      <c r="G57" s="1351">
        <f>Schedule_C!L65</f>
        <v>0</v>
      </c>
      <c r="H57" s="1352">
        <f>Schedule_C!G65</f>
        <v>0</v>
      </c>
      <c r="I57" s="1353">
        <f t="shared" si="2"/>
        <v>0</v>
      </c>
      <c r="J57" s="1353">
        <f>SUMIFS('LAC 102_Wkst'!$Q$7:$Q$2010,'LAC 102_Wkst'!$A$7:$A$2010,'LAC 103'!$A57,'LAC 102_Wkst'!$N$7:$N$2010,"P5")</f>
        <v>0</v>
      </c>
      <c r="K57" s="1354">
        <f t="shared" si="3"/>
        <v>0</v>
      </c>
      <c r="L57" s="1355">
        <f>IFERROR(VLOOKUP($A57,'LAC CMA'!$F$14:$L$325,3,FALSE),0)</f>
        <v>0</v>
      </c>
      <c r="M57" s="1355">
        <f>IFERROR(VLOOKUP($A57,'LAC CMA'!$F$14:$L$325,5,FALSE),0)</f>
        <v>0</v>
      </c>
      <c r="N57" s="1355">
        <f>IFERROR(VLOOKUP($A57,'LAC CMA'!$F$14:$L$325,7,FALSE),0)</f>
        <v>0</v>
      </c>
      <c r="O57" s="1356">
        <f>IFERROR(VLOOKUP($A57,'LAC CMA'!$F$14:$L$325,6,FALSE),0)</f>
        <v>0</v>
      </c>
      <c r="P57" s="1356">
        <f t="shared" si="4"/>
        <v>0</v>
      </c>
      <c r="Q57" s="1357">
        <f t="shared" si="5"/>
        <v>0</v>
      </c>
      <c r="R57" s="1354">
        <f t="shared" si="6"/>
        <v>0</v>
      </c>
      <c r="S57" s="1405"/>
      <c r="T57" s="1358">
        <f t="shared" si="7"/>
        <v>0</v>
      </c>
      <c r="U57" s="1409"/>
      <c r="V57" s="1410"/>
      <c r="W57" s="1410"/>
      <c r="X57" s="1410"/>
      <c r="Y57" s="1410"/>
      <c r="Z57" s="1410"/>
      <c r="AA57" s="1359">
        <f t="shared" si="8"/>
        <v>0</v>
      </c>
      <c r="AB57" s="1354">
        <f t="shared" si="9"/>
        <v>0</v>
      </c>
      <c r="AC57" s="1262">
        <f>IF($C57="INV",0,SUMIF('LAC 102_Wkst'!$A$7:$A$2010,$A57,'LAC 102_Wkst'!$AR$7:$AR$2010))</f>
        <v>0</v>
      </c>
      <c r="AD57" s="1341">
        <f t="shared" si="10"/>
        <v>0</v>
      </c>
      <c r="AE57" s="1341">
        <f t="shared" si="11"/>
        <v>0</v>
      </c>
      <c r="AF57" s="1341"/>
      <c r="AG57" s="1264"/>
      <c r="AH57" s="1265"/>
      <c r="AI57" s="1264"/>
      <c r="AJ57" s="1266"/>
      <c r="AK57" s="1266"/>
      <c r="AL57" s="1266"/>
      <c r="AM57" s="1266"/>
      <c r="AN57" s="1266"/>
      <c r="AO57" s="637"/>
      <c r="AP57" s="637"/>
      <c r="AQ57" s="637"/>
    </row>
    <row r="58" spans="1:43" s="1242" customFormat="1" ht="15.95" hidden="1" customHeight="1" x14ac:dyDescent="0.25">
      <c r="A58" s="1253" t="str">
        <f t="shared" si="1"/>
        <v/>
      </c>
      <c r="B58" s="1254">
        <v>47</v>
      </c>
      <c r="C58" s="1254" t="str">
        <f>IFERROR(VLOOKUP(A58,'LAC CMA'!F:G,2,FALSE),"")</f>
        <v/>
      </c>
      <c r="D58" s="1349" t="str">
        <f>Schedule_C!D66</f>
        <v/>
      </c>
      <c r="E58" s="1349" t="str">
        <f>Schedule_C!E66</f>
        <v/>
      </c>
      <c r="F58" s="1350" t="str">
        <f>Schedule_C!F66</f>
        <v/>
      </c>
      <c r="G58" s="1351">
        <f>Schedule_C!L66</f>
        <v>0</v>
      </c>
      <c r="H58" s="1352">
        <f>Schedule_C!G66</f>
        <v>0</v>
      </c>
      <c r="I58" s="1353">
        <f t="shared" si="2"/>
        <v>0</v>
      </c>
      <c r="J58" s="1353">
        <f>SUMIFS('LAC 102_Wkst'!$Q$7:$Q$2010,'LAC 102_Wkst'!$A$7:$A$2010,'LAC 103'!$A58,'LAC 102_Wkst'!$N$7:$N$2010,"P5")</f>
        <v>0</v>
      </c>
      <c r="K58" s="1354">
        <f t="shared" si="3"/>
        <v>0</v>
      </c>
      <c r="L58" s="1355">
        <f>IFERROR(VLOOKUP($A58,'LAC CMA'!$F$14:$L$325,3,FALSE),0)</f>
        <v>0</v>
      </c>
      <c r="M58" s="1355">
        <f>IFERROR(VLOOKUP($A58,'LAC CMA'!$F$14:$L$325,5,FALSE),0)</f>
        <v>0</v>
      </c>
      <c r="N58" s="1355">
        <f>IFERROR(VLOOKUP($A58,'LAC CMA'!$F$14:$L$325,7,FALSE),0)</f>
        <v>0</v>
      </c>
      <c r="O58" s="1356">
        <f>IFERROR(VLOOKUP($A58,'LAC CMA'!$F$14:$L$325,6,FALSE),0)</f>
        <v>0</v>
      </c>
      <c r="P58" s="1356">
        <f t="shared" si="4"/>
        <v>0</v>
      </c>
      <c r="Q58" s="1357">
        <f t="shared" si="5"/>
        <v>0</v>
      </c>
      <c r="R58" s="1354">
        <f t="shared" si="6"/>
        <v>0</v>
      </c>
      <c r="S58" s="1405"/>
      <c r="T58" s="1358">
        <f t="shared" si="7"/>
        <v>0</v>
      </c>
      <c r="U58" s="1409"/>
      <c r="V58" s="1410"/>
      <c r="W58" s="1410"/>
      <c r="X58" s="1410"/>
      <c r="Y58" s="1410"/>
      <c r="Z58" s="1410"/>
      <c r="AA58" s="1359">
        <f t="shared" si="8"/>
        <v>0</v>
      </c>
      <c r="AB58" s="1354">
        <f t="shared" si="9"/>
        <v>0</v>
      </c>
      <c r="AC58" s="1262">
        <f>IF($C58="INV",0,SUMIF('LAC 102_Wkst'!$A$7:$A$2010,$A58,'LAC 102_Wkst'!$AR$7:$AR$2010))</f>
        <v>0</v>
      </c>
      <c r="AD58" s="1341">
        <f t="shared" si="10"/>
        <v>0</v>
      </c>
      <c r="AE58" s="1341">
        <f t="shared" si="11"/>
        <v>0</v>
      </c>
      <c r="AF58" s="1341"/>
      <c r="AG58" s="1264"/>
      <c r="AH58" s="1265"/>
      <c r="AI58" s="1264"/>
      <c r="AJ58" s="1266"/>
      <c r="AK58" s="1266"/>
      <c r="AL58" s="1266"/>
      <c r="AM58" s="1266"/>
      <c r="AN58" s="1266"/>
      <c r="AO58" s="637"/>
      <c r="AP58" s="637"/>
      <c r="AQ58" s="637"/>
    </row>
    <row r="59" spans="1:43" s="1242" customFormat="1" ht="15.95" hidden="1" customHeight="1" x14ac:dyDescent="0.25">
      <c r="A59" s="1253" t="str">
        <f t="shared" si="1"/>
        <v/>
      </c>
      <c r="B59" s="1254">
        <v>48</v>
      </c>
      <c r="C59" s="1254" t="str">
        <f>IFERROR(VLOOKUP(A59,'LAC CMA'!F:G,2,FALSE),"")</f>
        <v/>
      </c>
      <c r="D59" s="1349" t="str">
        <f>Schedule_C!D67</f>
        <v/>
      </c>
      <c r="E59" s="1349" t="str">
        <f>Schedule_C!E67</f>
        <v/>
      </c>
      <c r="F59" s="1350" t="str">
        <f>Schedule_C!F67</f>
        <v/>
      </c>
      <c r="G59" s="1351">
        <f>Schedule_C!L67</f>
        <v>0</v>
      </c>
      <c r="H59" s="1352">
        <f>Schedule_C!G67</f>
        <v>0</v>
      </c>
      <c r="I59" s="1353">
        <f t="shared" si="2"/>
        <v>0</v>
      </c>
      <c r="J59" s="1353">
        <f>SUMIFS('LAC 102_Wkst'!$Q$7:$Q$2010,'LAC 102_Wkst'!$A$7:$A$2010,'LAC 103'!$A59,'LAC 102_Wkst'!$N$7:$N$2010,"P5")</f>
        <v>0</v>
      </c>
      <c r="K59" s="1354">
        <f t="shared" si="3"/>
        <v>0</v>
      </c>
      <c r="L59" s="1355">
        <f>IFERROR(VLOOKUP($A59,'LAC CMA'!$F$14:$L$325,3,FALSE),0)</f>
        <v>0</v>
      </c>
      <c r="M59" s="1355">
        <f>IFERROR(VLOOKUP($A59,'LAC CMA'!$F$14:$L$325,5,FALSE),0)</f>
        <v>0</v>
      </c>
      <c r="N59" s="1355">
        <f>IFERROR(VLOOKUP($A59,'LAC CMA'!$F$14:$L$325,7,FALSE),0)</f>
        <v>0</v>
      </c>
      <c r="O59" s="1356">
        <f>IFERROR(VLOOKUP($A59,'LAC CMA'!$F$14:$L$325,6,FALSE),0)</f>
        <v>0</v>
      </c>
      <c r="P59" s="1356">
        <f t="shared" si="4"/>
        <v>0</v>
      </c>
      <c r="Q59" s="1357">
        <f t="shared" si="5"/>
        <v>0</v>
      </c>
      <c r="R59" s="1354">
        <f t="shared" si="6"/>
        <v>0</v>
      </c>
      <c r="S59" s="1405"/>
      <c r="T59" s="1358">
        <f t="shared" si="7"/>
        <v>0</v>
      </c>
      <c r="U59" s="1409"/>
      <c r="V59" s="1410"/>
      <c r="W59" s="1410"/>
      <c r="X59" s="1410"/>
      <c r="Y59" s="1410"/>
      <c r="Z59" s="1410"/>
      <c r="AA59" s="1359">
        <f t="shared" si="8"/>
        <v>0</v>
      </c>
      <c r="AB59" s="1354">
        <f t="shared" si="9"/>
        <v>0</v>
      </c>
      <c r="AC59" s="1262">
        <f>IF($C59="INV",0,SUMIF('LAC 102_Wkst'!$A$7:$A$2010,$A59,'LAC 102_Wkst'!$AR$7:$AR$2010))</f>
        <v>0</v>
      </c>
      <c r="AD59" s="1341">
        <f t="shared" si="10"/>
        <v>0</v>
      </c>
      <c r="AE59" s="1341">
        <f t="shared" si="11"/>
        <v>0</v>
      </c>
      <c r="AF59" s="1341"/>
      <c r="AG59" s="1264"/>
      <c r="AH59" s="1265"/>
      <c r="AI59" s="1264"/>
      <c r="AJ59" s="1266"/>
      <c r="AK59" s="1266"/>
      <c r="AL59" s="1266"/>
      <c r="AM59" s="1266"/>
      <c r="AN59" s="1266"/>
      <c r="AO59" s="637"/>
      <c r="AP59" s="637"/>
      <c r="AQ59" s="637"/>
    </row>
    <row r="60" spans="1:43" s="1242" customFormat="1" ht="15.95" hidden="1" customHeight="1" x14ac:dyDescent="0.25">
      <c r="A60" s="1253" t="str">
        <f t="shared" si="1"/>
        <v/>
      </c>
      <c r="B60" s="1254">
        <v>49</v>
      </c>
      <c r="C60" s="1254" t="str">
        <f>IFERROR(VLOOKUP(A60,'LAC CMA'!F:G,2,FALSE),"")</f>
        <v/>
      </c>
      <c r="D60" s="1349" t="str">
        <f>Schedule_C!D68</f>
        <v/>
      </c>
      <c r="E60" s="1349" t="str">
        <f>Schedule_C!E68</f>
        <v/>
      </c>
      <c r="F60" s="1350" t="str">
        <f>Schedule_C!F68</f>
        <v/>
      </c>
      <c r="G60" s="1351">
        <f>Schedule_C!L68</f>
        <v>0</v>
      </c>
      <c r="H60" s="1352">
        <f>Schedule_C!G68</f>
        <v>0</v>
      </c>
      <c r="I60" s="1353">
        <f t="shared" si="2"/>
        <v>0</v>
      </c>
      <c r="J60" s="1353">
        <f>SUMIFS('LAC 102_Wkst'!$Q$7:$Q$2010,'LAC 102_Wkst'!$A$7:$A$2010,'LAC 103'!$A60,'LAC 102_Wkst'!$N$7:$N$2010,"P5")</f>
        <v>0</v>
      </c>
      <c r="K60" s="1354">
        <f t="shared" si="3"/>
        <v>0</v>
      </c>
      <c r="L60" s="1355">
        <f>IFERROR(VLOOKUP($A60,'LAC CMA'!$F$14:$L$325,3,FALSE),0)</f>
        <v>0</v>
      </c>
      <c r="M60" s="1355">
        <f>IFERROR(VLOOKUP($A60,'LAC CMA'!$F$14:$L$325,5,FALSE),0)</f>
        <v>0</v>
      </c>
      <c r="N60" s="1355">
        <f>IFERROR(VLOOKUP($A60,'LAC CMA'!$F$14:$L$325,7,FALSE),0)</f>
        <v>0</v>
      </c>
      <c r="O60" s="1356">
        <f>IFERROR(VLOOKUP($A60,'LAC CMA'!$F$14:$L$325,6,FALSE),0)</f>
        <v>0</v>
      </c>
      <c r="P60" s="1356">
        <f t="shared" si="4"/>
        <v>0</v>
      </c>
      <c r="Q60" s="1357">
        <f t="shared" si="5"/>
        <v>0</v>
      </c>
      <c r="R60" s="1354">
        <f t="shared" si="6"/>
        <v>0</v>
      </c>
      <c r="S60" s="1405"/>
      <c r="T60" s="1358">
        <f t="shared" si="7"/>
        <v>0</v>
      </c>
      <c r="U60" s="1409"/>
      <c r="V60" s="1410"/>
      <c r="W60" s="1410"/>
      <c r="X60" s="1410"/>
      <c r="Y60" s="1410"/>
      <c r="Z60" s="1410"/>
      <c r="AA60" s="1359">
        <f t="shared" si="8"/>
        <v>0</v>
      </c>
      <c r="AB60" s="1354">
        <f t="shared" si="9"/>
        <v>0</v>
      </c>
      <c r="AC60" s="1262">
        <f>IF($C60="INV",0,SUMIF('LAC 102_Wkst'!$A$7:$A$2010,$A60,'LAC 102_Wkst'!$AR$7:$AR$2010))</f>
        <v>0</v>
      </c>
      <c r="AD60" s="1341">
        <f t="shared" si="10"/>
        <v>0</v>
      </c>
      <c r="AE60" s="1341">
        <f t="shared" si="11"/>
        <v>0</v>
      </c>
      <c r="AF60" s="1341"/>
      <c r="AG60" s="1264"/>
      <c r="AH60" s="1265"/>
      <c r="AI60" s="1264"/>
      <c r="AJ60" s="1266"/>
      <c r="AK60" s="1266"/>
      <c r="AL60" s="1266"/>
      <c r="AM60" s="1266"/>
      <c r="AN60" s="1266"/>
      <c r="AO60" s="637"/>
      <c r="AP60" s="637"/>
      <c r="AQ60" s="637"/>
    </row>
    <row r="61" spans="1:43" s="1242" customFormat="1" ht="15.95" hidden="1" customHeight="1" x14ac:dyDescent="0.25">
      <c r="A61" s="1253" t="str">
        <f t="shared" si="1"/>
        <v/>
      </c>
      <c r="B61" s="1254">
        <v>50</v>
      </c>
      <c r="C61" s="1254" t="str">
        <f>IFERROR(VLOOKUP(A61,'LAC CMA'!F:G,2,FALSE),"")</f>
        <v/>
      </c>
      <c r="D61" s="1349" t="str">
        <f>Schedule_C!D69</f>
        <v/>
      </c>
      <c r="E61" s="1349" t="str">
        <f>Schedule_C!E69</f>
        <v/>
      </c>
      <c r="F61" s="1350" t="str">
        <f>Schedule_C!F69</f>
        <v/>
      </c>
      <c r="G61" s="1351">
        <f>Schedule_C!L69</f>
        <v>0</v>
      </c>
      <c r="H61" s="1352">
        <f>Schedule_C!G69</f>
        <v>0</v>
      </c>
      <c r="I61" s="1353">
        <f t="shared" si="2"/>
        <v>0</v>
      </c>
      <c r="J61" s="1353">
        <f>SUMIFS('LAC 102_Wkst'!$Q$7:$Q$2010,'LAC 102_Wkst'!$A$7:$A$2010,'LAC 103'!$A61,'LAC 102_Wkst'!$N$7:$N$2010,"P5")</f>
        <v>0</v>
      </c>
      <c r="K61" s="1354">
        <f t="shared" si="3"/>
        <v>0</v>
      </c>
      <c r="L61" s="1355">
        <f>IFERROR(VLOOKUP($A61,'LAC CMA'!$F$14:$L$325,3,FALSE),0)</f>
        <v>0</v>
      </c>
      <c r="M61" s="1355">
        <f>IFERROR(VLOOKUP($A61,'LAC CMA'!$F$14:$L$325,5,FALSE),0)</f>
        <v>0</v>
      </c>
      <c r="N61" s="1355">
        <f>IFERROR(VLOOKUP($A61,'LAC CMA'!$F$14:$L$325,7,FALSE),0)</f>
        <v>0</v>
      </c>
      <c r="O61" s="1356">
        <f>IFERROR(VLOOKUP($A61,'LAC CMA'!$F$14:$L$325,6,FALSE),0)</f>
        <v>0</v>
      </c>
      <c r="P61" s="1356">
        <f t="shared" si="4"/>
        <v>0</v>
      </c>
      <c r="Q61" s="1357">
        <f t="shared" si="5"/>
        <v>0</v>
      </c>
      <c r="R61" s="1354">
        <f t="shared" si="6"/>
        <v>0</v>
      </c>
      <c r="S61" s="1405"/>
      <c r="T61" s="1358">
        <f t="shared" si="7"/>
        <v>0</v>
      </c>
      <c r="U61" s="1409"/>
      <c r="V61" s="1410"/>
      <c r="W61" s="1410"/>
      <c r="X61" s="1410"/>
      <c r="Y61" s="1410"/>
      <c r="Z61" s="1410"/>
      <c r="AA61" s="1359">
        <f t="shared" si="8"/>
        <v>0</v>
      </c>
      <c r="AB61" s="1354">
        <f t="shared" si="9"/>
        <v>0</v>
      </c>
      <c r="AC61" s="1262">
        <f>IF($C61="INV",0,SUMIF('LAC 102_Wkst'!$A$7:$A$2010,$A61,'LAC 102_Wkst'!$AR$7:$AR$2010))</f>
        <v>0</v>
      </c>
      <c r="AD61" s="1341">
        <f t="shared" si="10"/>
        <v>0</v>
      </c>
      <c r="AE61" s="1341">
        <f t="shared" si="11"/>
        <v>0</v>
      </c>
      <c r="AF61" s="1341"/>
      <c r="AG61" s="1264"/>
      <c r="AH61" s="1265"/>
      <c r="AI61" s="1264"/>
      <c r="AJ61" s="1266"/>
      <c r="AK61" s="1266"/>
      <c r="AL61" s="1266"/>
      <c r="AM61" s="1266"/>
      <c r="AN61" s="1266"/>
      <c r="AO61" s="637"/>
      <c r="AP61" s="637"/>
      <c r="AQ61" s="637"/>
    </row>
    <row r="62" spans="1:43" s="1242" customFormat="1" ht="15.95" hidden="1" customHeight="1" x14ac:dyDescent="0.25">
      <c r="A62" s="1253" t="str">
        <f t="shared" si="1"/>
        <v/>
      </c>
      <c r="B62" s="1254">
        <v>51</v>
      </c>
      <c r="C62" s="1254" t="str">
        <f>IFERROR(VLOOKUP(A62,'LAC CMA'!F:G,2,FALSE),"")</f>
        <v/>
      </c>
      <c r="D62" s="1349" t="str">
        <f>Schedule_C!D70</f>
        <v/>
      </c>
      <c r="E62" s="1349" t="str">
        <f>Schedule_C!E70</f>
        <v/>
      </c>
      <c r="F62" s="1350" t="str">
        <f>Schedule_C!F70</f>
        <v/>
      </c>
      <c r="G62" s="1351">
        <f>Schedule_C!L70</f>
        <v>0</v>
      </c>
      <c r="H62" s="1352">
        <f>Schedule_C!G70</f>
        <v>0</v>
      </c>
      <c r="I62" s="1353">
        <f t="shared" si="2"/>
        <v>0</v>
      </c>
      <c r="J62" s="1353">
        <f>SUMIFS('LAC 102_Wkst'!$Q$7:$Q$2010,'LAC 102_Wkst'!$A$7:$A$2010,'LAC 103'!$A62,'LAC 102_Wkst'!$N$7:$N$2010,"P5")</f>
        <v>0</v>
      </c>
      <c r="K62" s="1354">
        <f t="shared" si="3"/>
        <v>0</v>
      </c>
      <c r="L62" s="1355">
        <f>IFERROR(VLOOKUP($A62,'LAC CMA'!$F$14:$L$325,3,FALSE),0)</f>
        <v>0</v>
      </c>
      <c r="M62" s="1355">
        <f>IFERROR(VLOOKUP($A62,'LAC CMA'!$F$14:$L$325,5,FALSE),0)</f>
        <v>0</v>
      </c>
      <c r="N62" s="1355">
        <f>IFERROR(VLOOKUP($A62,'LAC CMA'!$F$14:$L$325,7,FALSE),0)</f>
        <v>0</v>
      </c>
      <c r="O62" s="1356">
        <f>IFERROR(VLOOKUP($A62,'LAC CMA'!$F$14:$L$325,6,FALSE),0)</f>
        <v>0</v>
      </c>
      <c r="P62" s="1356">
        <f t="shared" si="4"/>
        <v>0</v>
      </c>
      <c r="Q62" s="1357">
        <f t="shared" si="5"/>
        <v>0</v>
      </c>
      <c r="R62" s="1354">
        <f t="shared" si="6"/>
        <v>0</v>
      </c>
      <c r="S62" s="1405"/>
      <c r="T62" s="1358">
        <f t="shared" si="7"/>
        <v>0</v>
      </c>
      <c r="U62" s="1409"/>
      <c r="V62" s="1410"/>
      <c r="W62" s="1410"/>
      <c r="X62" s="1410"/>
      <c r="Y62" s="1410"/>
      <c r="Z62" s="1410"/>
      <c r="AA62" s="1359">
        <f t="shared" si="8"/>
        <v>0</v>
      </c>
      <c r="AB62" s="1354">
        <f t="shared" si="9"/>
        <v>0</v>
      </c>
      <c r="AC62" s="1262">
        <f>IF($C62="INV",0,SUMIF('LAC 102_Wkst'!$A$7:$A$2010,$A62,'LAC 102_Wkst'!$AR$7:$AR$2010))</f>
        <v>0</v>
      </c>
      <c r="AD62" s="1341">
        <f t="shared" si="10"/>
        <v>0</v>
      </c>
      <c r="AE62" s="1341">
        <f t="shared" si="11"/>
        <v>0</v>
      </c>
      <c r="AF62" s="1341"/>
      <c r="AG62" s="1264"/>
      <c r="AH62" s="1265"/>
      <c r="AI62" s="1264"/>
      <c r="AJ62" s="1266"/>
      <c r="AK62" s="1266"/>
      <c r="AL62" s="1266"/>
      <c r="AM62" s="1266"/>
      <c r="AN62" s="1266"/>
      <c r="AO62" s="637"/>
      <c r="AP62" s="637"/>
      <c r="AQ62" s="637"/>
    </row>
    <row r="63" spans="1:43" s="1242" customFormat="1" ht="15.95" hidden="1" customHeight="1" x14ac:dyDescent="0.25">
      <c r="A63" s="1253" t="str">
        <f t="shared" si="1"/>
        <v/>
      </c>
      <c r="B63" s="1254">
        <v>52</v>
      </c>
      <c r="C63" s="1254" t="str">
        <f>IFERROR(VLOOKUP(A63,'LAC CMA'!F:G,2,FALSE),"")</f>
        <v/>
      </c>
      <c r="D63" s="1349" t="str">
        <f>Schedule_C!D71</f>
        <v/>
      </c>
      <c r="E63" s="1349" t="str">
        <f>Schedule_C!E71</f>
        <v/>
      </c>
      <c r="F63" s="1350" t="str">
        <f>Schedule_C!F71</f>
        <v/>
      </c>
      <c r="G63" s="1351">
        <f>Schedule_C!L71</f>
        <v>0</v>
      </c>
      <c r="H63" s="1352">
        <f>Schedule_C!G71</f>
        <v>0</v>
      </c>
      <c r="I63" s="1353">
        <f t="shared" si="2"/>
        <v>0</v>
      </c>
      <c r="J63" s="1353">
        <f>SUMIFS('LAC 102_Wkst'!$Q$7:$Q$2010,'LAC 102_Wkst'!$A$7:$A$2010,'LAC 103'!$A63,'LAC 102_Wkst'!$N$7:$N$2010,"P5")</f>
        <v>0</v>
      </c>
      <c r="K63" s="1354">
        <f t="shared" si="3"/>
        <v>0</v>
      </c>
      <c r="L63" s="1355">
        <f>IFERROR(VLOOKUP($A63,'LAC CMA'!$F$14:$L$325,3,FALSE),0)</f>
        <v>0</v>
      </c>
      <c r="M63" s="1355">
        <f>IFERROR(VLOOKUP($A63,'LAC CMA'!$F$14:$L$325,5,FALSE),0)</f>
        <v>0</v>
      </c>
      <c r="N63" s="1355">
        <f>IFERROR(VLOOKUP($A63,'LAC CMA'!$F$14:$L$325,7,FALSE),0)</f>
        <v>0</v>
      </c>
      <c r="O63" s="1356">
        <f>IFERROR(VLOOKUP($A63,'LAC CMA'!$F$14:$L$325,6,FALSE),0)</f>
        <v>0</v>
      </c>
      <c r="P63" s="1356">
        <f t="shared" si="4"/>
        <v>0</v>
      </c>
      <c r="Q63" s="1357">
        <f t="shared" si="5"/>
        <v>0</v>
      </c>
      <c r="R63" s="1354">
        <f t="shared" si="6"/>
        <v>0</v>
      </c>
      <c r="S63" s="1405"/>
      <c r="T63" s="1358">
        <f t="shared" si="7"/>
        <v>0</v>
      </c>
      <c r="U63" s="1409"/>
      <c r="V63" s="1410"/>
      <c r="W63" s="1410"/>
      <c r="X63" s="1410"/>
      <c r="Y63" s="1410"/>
      <c r="Z63" s="1410"/>
      <c r="AA63" s="1359">
        <f t="shared" si="8"/>
        <v>0</v>
      </c>
      <c r="AB63" s="1354">
        <f t="shared" si="9"/>
        <v>0</v>
      </c>
      <c r="AC63" s="1262">
        <f>IF($C63="INV",0,SUMIF('LAC 102_Wkst'!$A$7:$A$2010,$A63,'LAC 102_Wkst'!$AR$7:$AR$2010))</f>
        <v>0</v>
      </c>
      <c r="AD63" s="1341">
        <f t="shared" si="10"/>
        <v>0</v>
      </c>
      <c r="AE63" s="1341">
        <f t="shared" si="11"/>
        <v>0</v>
      </c>
      <c r="AF63" s="1341"/>
      <c r="AG63" s="1264"/>
      <c r="AH63" s="1265"/>
      <c r="AI63" s="1264"/>
      <c r="AJ63" s="1266"/>
      <c r="AK63" s="1266"/>
      <c r="AL63" s="1266"/>
      <c r="AM63" s="1266"/>
      <c r="AN63" s="1266"/>
      <c r="AO63" s="637"/>
      <c r="AP63" s="637"/>
      <c r="AQ63" s="637"/>
    </row>
    <row r="64" spans="1:43" s="1242" customFormat="1" ht="15.95" hidden="1" customHeight="1" x14ac:dyDescent="0.25">
      <c r="A64" s="1253" t="str">
        <f t="shared" si="1"/>
        <v/>
      </c>
      <c r="B64" s="1254">
        <v>53</v>
      </c>
      <c r="C64" s="1254" t="str">
        <f>IFERROR(VLOOKUP(A64,'LAC CMA'!F:G,2,FALSE),"")</f>
        <v/>
      </c>
      <c r="D64" s="1349" t="str">
        <f>Schedule_C!D72</f>
        <v/>
      </c>
      <c r="E64" s="1349" t="str">
        <f>Schedule_C!E72</f>
        <v/>
      </c>
      <c r="F64" s="1350" t="str">
        <f>Schedule_C!F72</f>
        <v/>
      </c>
      <c r="G64" s="1351">
        <f>Schedule_C!L72</f>
        <v>0</v>
      </c>
      <c r="H64" s="1352">
        <f>Schedule_C!G72</f>
        <v>0</v>
      </c>
      <c r="I64" s="1353">
        <f t="shared" si="2"/>
        <v>0</v>
      </c>
      <c r="J64" s="1353">
        <f>SUMIFS('LAC 102_Wkst'!$Q$7:$Q$2010,'LAC 102_Wkst'!$A$7:$A$2010,'LAC 103'!$A64,'LAC 102_Wkst'!$N$7:$N$2010,"P5")</f>
        <v>0</v>
      </c>
      <c r="K64" s="1354">
        <f t="shared" si="3"/>
        <v>0</v>
      </c>
      <c r="L64" s="1355">
        <f>IFERROR(VLOOKUP($A64,'LAC CMA'!$F$14:$L$325,3,FALSE),0)</f>
        <v>0</v>
      </c>
      <c r="M64" s="1355">
        <f>IFERROR(VLOOKUP($A64,'LAC CMA'!$F$14:$L$325,5,FALSE),0)</f>
        <v>0</v>
      </c>
      <c r="N64" s="1355">
        <f>IFERROR(VLOOKUP($A64,'LAC CMA'!$F$14:$L$325,7,FALSE),0)</f>
        <v>0</v>
      </c>
      <c r="O64" s="1356">
        <f>IFERROR(VLOOKUP($A64,'LAC CMA'!$F$14:$L$325,6,FALSE),0)</f>
        <v>0</v>
      </c>
      <c r="P64" s="1356">
        <f t="shared" si="4"/>
        <v>0</v>
      </c>
      <c r="Q64" s="1357">
        <f t="shared" si="5"/>
        <v>0</v>
      </c>
      <c r="R64" s="1354">
        <f t="shared" si="6"/>
        <v>0</v>
      </c>
      <c r="S64" s="1405"/>
      <c r="T64" s="1358">
        <f t="shared" si="7"/>
        <v>0</v>
      </c>
      <c r="U64" s="1409"/>
      <c r="V64" s="1410"/>
      <c r="W64" s="1410"/>
      <c r="X64" s="1410"/>
      <c r="Y64" s="1410"/>
      <c r="Z64" s="1410"/>
      <c r="AA64" s="1359">
        <f t="shared" si="8"/>
        <v>0</v>
      </c>
      <c r="AB64" s="1354">
        <f t="shared" si="9"/>
        <v>0</v>
      </c>
      <c r="AC64" s="1262">
        <f>IF($C64="INV",0,SUMIF('LAC 102_Wkst'!$A$7:$A$2010,$A64,'LAC 102_Wkst'!$AR$7:$AR$2010))</f>
        <v>0</v>
      </c>
      <c r="AD64" s="1341">
        <f t="shared" si="10"/>
        <v>0</v>
      </c>
      <c r="AE64" s="1341">
        <f t="shared" si="11"/>
        <v>0</v>
      </c>
      <c r="AF64" s="1341"/>
      <c r="AG64" s="1264"/>
      <c r="AH64" s="1265"/>
      <c r="AI64" s="1264"/>
      <c r="AJ64" s="1266"/>
      <c r="AK64" s="1266"/>
      <c r="AL64" s="1266"/>
      <c r="AM64" s="1266"/>
      <c r="AN64" s="1266"/>
      <c r="AO64" s="637"/>
      <c r="AP64" s="637"/>
      <c r="AQ64" s="637"/>
    </row>
    <row r="65" spans="1:43" s="1242" customFormat="1" ht="15.95" hidden="1" customHeight="1" x14ac:dyDescent="0.25">
      <c r="A65" s="1253" t="str">
        <f t="shared" si="1"/>
        <v/>
      </c>
      <c r="B65" s="1254">
        <v>54</v>
      </c>
      <c r="C65" s="1254" t="str">
        <f>IFERROR(VLOOKUP(A65,'LAC CMA'!F:G,2,FALSE),"")</f>
        <v/>
      </c>
      <c r="D65" s="1349" t="str">
        <f>Schedule_C!D73</f>
        <v/>
      </c>
      <c r="E65" s="1349" t="str">
        <f>Schedule_C!E73</f>
        <v/>
      </c>
      <c r="F65" s="1350" t="str">
        <f>Schedule_C!F73</f>
        <v/>
      </c>
      <c r="G65" s="1351">
        <f>Schedule_C!L73</f>
        <v>0</v>
      </c>
      <c r="H65" s="1352">
        <f>Schedule_C!G73</f>
        <v>0</v>
      </c>
      <c r="I65" s="1353">
        <f t="shared" si="2"/>
        <v>0</v>
      </c>
      <c r="J65" s="1353">
        <f>SUMIFS('LAC 102_Wkst'!$Q$7:$Q$2010,'LAC 102_Wkst'!$A$7:$A$2010,'LAC 103'!$A65,'LAC 102_Wkst'!$N$7:$N$2010,"P5")</f>
        <v>0</v>
      </c>
      <c r="K65" s="1354">
        <f t="shared" si="3"/>
        <v>0</v>
      </c>
      <c r="L65" s="1355">
        <f>IFERROR(VLOOKUP($A65,'LAC CMA'!$F$14:$L$325,3,FALSE),0)</f>
        <v>0</v>
      </c>
      <c r="M65" s="1355">
        <f>IFERROR(VLOOKUP($A65,'LAC CMA'!$F$14:$L$325,5,FALSE),0)</f>
        <v>0</v>
      </c>
      <c r="N65" s="1355">
        <f>IFERROR(VLOOKUP($A65,'LAC CMA'!$F$14:$L$325,7,FALSE),0)</f>
        <v>0</v>
      </c>
      <c r="O65" s="1356">
        <f>IFERROR(VLOOKUP($A65,'LAC CMA'!$F$14:$L$325,6,FALSE),0)</f>
        <v>0</v>
      </c>
      <c r="P65" s="1356">
        <f t="shared" si="4"/>
        <v>0</v>
      </c>
      <c r="Q65" s="1357">
        <f t="shared" si="5"/>
        <v>0</v>
      </c>
      <c r="R65" s="1354">
        <f t="shared" si="6"/>
        <v>0</v>
      </c>
      <c r="S65" s="1405"/>
      <c r="T65" s="1358">
        <f t="shared" si="7"/>
        <v>0</v>
      </c>
      <c r="U65" s="1409"/>
      <c r="V65" s="1410"/>
      <c r="W65" s="1410"/>
      <c r="X65" s="1410"/>
      <c r="Y65" s="1410"/>
      <c r="Z65" s="1410"/>
      <c r="AA65" s="1359">
        <f t="shared" si="8"/>
        <v>0</v>
      </c>
      <c r="AB65" s="1354">
        <f t="shared" si="9"/>
        <v>0</v>
      </c>
      <c r="AC65" s="1262">
        <f>IF($C65="INV",0,SUMIF('LAC 102_Wkst'!$A$7:$A$2010,$A65,'LAC 102_Wkst'!$AR$7:$AR$2010))</f>
        <v>0</v>
      </c>
      <c r="AD65" s="1341">
        <f t="shared" si="10"/>
        <v>0</v>
      </c>
      <c r="AE65" s="1341">
        <f t="shared" si="11"/>
        <v>0</v>
      </c>
      <c r="AF65" s="1341"/>
      <c r="AG65" s="1264"/>
      <c r="AH65" s="1265"/>
      <c r="AI65" s="1264"/>
      <c r="AJ65" s="1266"/>
      <c r="AK65" s="1266"/>
      <c r="AL65" s="1266"/>
      <c r="AM65" s="1266"/>
      <c r="AN65" s="1266"/>
      <c r="AO65" s="637"/>
      <c r="AP65" s="637"/>
      <c r="AQ65" s="637"/>
    </row>
    <row r="66" spans="1:43" s="1242" customFormat="1" ht="15.95" hidden="1" customHeight="1" x14ac:dyDescent="0.25">
      <c r="A66" s="1253" t="str">
        <f t="shared" si="1"/>
        <v/>
      </c>
      <c r="B66" s="1254">
        <v>55</v>
      </c>
      <c r="C66" s="1254" t="str">
        <f>IFERROR(VLOOKUP(A66,'LAC CMA'!F:G,2,FALSE),"")</f>
        <v/>
      </c>
      <c r="D66" s="1349" t="str">
        <f>Schedule_C!D74</f>
        <v/>
      </c>
      <c r="E66" s="1349" t="str">
        <f>Schedule_C!E74</f>
        <v/>
      </c>
      <c r="F66" s="1350" t="str">
        <f>Schedule_C!F74</f>
        <v/>
      </c>
      <c r="G66" s="1351">
        <f>Schedule_C!L74</f>
        <v>0</v>
      </c>
      <c r="H66" s="1352">
        <f>Schedule_C!G74</f>
        <v>0</v>
      </c>
      <c r="I66" s="1353">
        <f t="shared" si="2"/>
        <v>0</v>
      </c>
      <c r="J66" s="1353">
        <f>SUMIFS('LAC 102_Wkst'!$Q$7:$Q$2010,'LAC 102_Wkst'!$A$7:$A$2010,'LAC 103'!$A66,'LAC 102_Wkst'!$N$7:$N$2010,"P5")</f>
        <v>0</v>
      </c>
      <c r="K66" s="1354">
        <f t="shared" si="3"/>
        <v>0</v>
      </c>
      <c r="L66" s="1355">
        <f>IFERROR(VLOOKUP($A66,'LAC CMA'!$F$14:$L$325,3,FALSE),0)</f>
        <v>0</v>
      </c>
      <c r="M66" s="1355">
        <f>IFERROR(VLOOKUP($A66,'LAC CMA'!$F$14:$L$325,5,FALSE),0)</f>
        <v>0</v>
      </c>
      <c r="N66" s="1355">
        <f>IFERROR(VLOOKUP($A66,'LAC CMA'!$F$14:$L$325,7,FALSE),0)</f>
        <v>0</v>
      </c>
      <c r="O66" s="1356">
        <f>IFERROR(VLOOKUP($A66,'LAC CMA'!$F$14:$L$325,6,FALSE),0)</f>
        <v>0</v>
      </c>
      <c r="P66" s="1356">
        <f t="shared" si="4"/>
        <v>0</v>
      </c>
      <c r="Q66" s="1357">
        <f t="shared" si="5"/>
        <v>0</v>
      </c>
      <c r="R66" s="1354">
        <f t="shared" si="6"/>
        <v>0</v>
      </c>
      <c r="S66" s="1405"/>
      <c r="T66" s="1358">
        <f t="shared" si="7"/>
        <v>0</v>
      </c>
      <c r="U66" s="1409"/>
      <c r="V66" s="1410"/>
      <c r="W66" s="1410"/>
      <c r="X66" s="1410"/>
      <c r="Y66" s="1410"/>
      <c r="Z66" s="1410"/>
      <c r="AA66" s="1359">
        <f t="shared" si="8"/>
        <v>0</v>
      </c>
      <c r="AB66" s="1354">
        <f t="shared" si="9"/>
        <v>0</v>
      </c>
      <c r="AC66" s="1262">
        <f>IF($C66="INV",0,SUMIF('LAC 102_Wkst'!$A$7:$A$2010,$A66,'LAC 102_Wkst'!$AR$7:$AR$2010))</f>
        <v>0</v>
      </c>
      <c r="AD66" s="1341">
        <f t="shared" si="10"/>
        <v>0</v>
      </c>
      <c r="AE66" s="1341">
        <f t="shared" si="11"/>
        <v>0</v>
      </c>
      <c r="AF66" s="1341"/>
      <c r="AG66" s="1264"/>
      <c r="AH66" s="1265"/>
      <c r="AI66" s="1264"/>
      <c r="AJ66" s="1266"/>
      <c r="AK66" s="1266"/>
      <c r="AL66" s="1266"/>
      <c r="AM66" s="1266"/>
      <c r="AN66" s="1266"/>
      <c r="AO66" s="637"/>
      <c r="AP66" s="637"/>
      <c r="AQ66" s="637"/>
    </row>
    <row r="67" spans="1:43" s="1242" customFormat="1" ht="15.95" hidden="1" customHeight="1" x14ac:dyDescent="0.25">
      <c r="A67" s="1253" t="str">
        <f t="shared" si="1"/>
        <v/>
      </c>
      <c r="B67" s="1254">
        <v>56</v>
      </c>
      <c r="C67" s="1254" t="str">
        <f>IFERROR(VLOOKUP(A67,'LAC CMA'!F:G,2,FALSE),"")</f>
        <v/>
      </c>
      <c r="D67" s="1349" t="str">
        <f>Schedule_C!D75</f>
        <v/>
      </c>
      <c r="E67" s="1349" t="str">
        <f>Schedule_C!E75</f>
        <v/>
      </c>
      <c r="F67" s="1350" t="str">
        <f>Schedule_C!F75</f>
        <v/>
      </c>
      <c r="G67" s="1351">
        <f>Schedule_C!L75</f>
        <v>0</v>
      </c>
      <c r="H67" s="1352">
        <f>Schedule_C!G75</f>
        <v>0</v>
      </c>
      <c r="I67" s="1353">
        <f t="shared" si="2"/>
        <v>0</v>
      </c>
      <c r="J67" s="1353">
        <f>SUMIFS('LAC 102_Wkst'!$Q$7:$Q$2010,'LAC 102_Wkst'!$A$7:$A$2010,'LAC 103'!$A67,'LAC 102_Wkst'!$N$7:$N$2010,"P5")</f>
        <v>0</v>
      </c>
      <c r="K67" s="1354">
        <f t="shared" si="3"/>
        <v>0</v>
      </c>
      <c r="L67" s="1355">
        <f>IFERROR(VLOOKUP($A67,'LAC CMA'!$F$14:$L$325,3,FALSE),0)</f>
        <v>0</v>
      </c>
      <c r="M67" s="1355">
        <f>IFERROR(VLOOKUP($A67,'LAC CMA'!$F$14:$L$325,5,FALSE),0)</f>
        <v>0</v>
      </c>
      <c r="N67" s="1355">
        <f>IFERROR(VLOOKUP($A67,'LAC CMA'!$F$14:$L$325,7,FALSE),0)</f>
        <v>0</v>
      </c>
      <c r="O67" s="1356">
        <f>IFERROR(VLOOKUP($A67,'LAC CMA'!$F$14:$L$325,6,FALSE),0)</f>
        <v>0</v>
      </c>
      <c r="P67" s="1356">
        <f t="shared" si="4"/>
        <v>0</v>
      </c>
      <c r="Q67" s="1357">
        <f t="shared" si="5"/>
        <v>0</v>
      </c>
      <c r="R67" s="1354">
        <f t="shared" si="6"/>
        <v>0</v>
      </c>
      <c r="S67" s="1405"/>
      <c r="T67" s="1358">
        <f t="shared" si="7"/>
        <v>0</v>
      </c>
      <c r="U67" s="1409"/>
      <c r="V67" s="1410"/>
      <c r="W67" s="1410"/>
      <c r="X67" s="1410"/>
      <c r="Y67" s="1410"/>
      <c r="Z67" s="1410"/>
      <c r="AA67" s="1359">
        <f t="shared" si="8"/>
        <v>0</v>
      </c>
      <c r="AB67" s="1354">
        <f t="shared" si="9"/>
        <v>0</v>
      </c>
      <c r="AC67" s="1262">
        <f>IF($C67="INV",0,SUMIF('LAC 102_Wkst'!$A$7:$A$2010,$A67,'LAC 102_Wkst'!$AR$7:$AR$2010))</f>
        <v>0</v>
      </c>
      <c r="AD67" s="1341">
        <f t="shared" si="10"/>
        <v>0</v>
      </c>
      <c r="AE67" s="1341">
        <f t="shared" si="11"/>
        <v>0</v>
      </c>
      <c r="AF67" s="1341"/>
      <c r="AG67" s="1264"/>
      <c r="AH67" s="1265"/>
      <c r="AI67" s="1264"/>
      <c r="AJ67" s="1266"/>
      <c r="AK67" s="1266"/>
      <c r="AL67" s="1266"/>
      <c r="AM67" s="1266"/>
      <c r="AN67" s="1266"/>
      <c r="AO67" s="637"/>
      <c r="AP67" s="637"/>
      <c r="AQ67" s="637"/>
    </row>
    <row r="68" spans="1:43" s="1242" customFormat="1" ht="15.95" hidden="1" customHeight="1" x14ac:dyDescent="0.25">
      <c r="A68" s="1253" t="str">
        <f t="shared" si="1"/>
        <v/>
      </c>
      <c r="B68" s="1254">
        <v>57</v>
      </c>
      <c r="C68" s="1254" t="str">
        <f>IFERROR(VLOOKUP(A68,'LAC CMA'!F:G,2,FALSE),"")</f>
        <v/>
      </c>
      <c r="D68" s="1349" t="str">
        <f>Schedule_C!D76</f>
        <v/>
      </c>
      <c r="E68" s="1349" t="str">
        <f>Schedule_C!E76</f>
        <v/>
      </c>
      <c r="F68" s="1350" t="str">
        <f>Schedule_C!F76</f>
        <v/>
      </c>
      <c r="G68" s="1351">
        <f>Schedule_C!L76</f>
        <v>0</v>
      </c>
      <c r="H68" s="1352">
        <f>Schedule_C!G76</f>
        <v>0</v>
      </c>
      <c r="I68" s="1353">
        <f t="shared" si="2"/>
        <v>0</v>
      </c>
      <c r="J68" s="1353">
        <f>SUMIFS('LAC 102_Wkst'!$Q$7:$Q$2010,'LAC 102_Wkst'!$A$7:$A$2010,'LAC 103'!$A68,'LAC 102_Wkst'!$N$7:$N$2010,"P5")</f>
        <v>0</v>
      </c>
      <c r="K68" s="1354">
        <f t="shared" si="3"/>
        <v>0</v>
      </c>
      <c r="L68" s="1355">
        <f>IFERROR(VLOOKUP($A68,'LAC CMA'!$F$14:$L$325,3,FALSE),0)</f>
        <v>0</v>
      </c>
      <c r="M68" s="1355">
        <f>IFERROR(VLOOKUP($A68,'LAC CMA'!$F$14:$L$325,5,FALSE),0)</f>
        <v>0</v>
      </c>
      <c r="N68" s="1355">
        <f>IFERROR(VLOOKUP($A68,'LAC CMA'!$F$14:$L$325,7,FALSE),0)</f>
        <v>0</v>
      </c>
      <c r="O68" s="1356">
        <f>IFERROR(VLOOKUP($A68,'LAC CMA'!$F$14:$L$325,6,FALSE),0)</f>
        <v>0</v>
      </c>
      <c r="P68" s="1356">
        <f t="shared" si="4"/>
        <v>0</v>
      </c>
      <c r="Q68" s="1357">
        <f t="shared" si="5"/>
        <v>0</v>
      </c>
      <c r="R68" s="1354">
        <f t="shared" si="6"/>
        <v>0</v>
      </c>
      <c r="S68" s="1405"/>
      <c r="T68" s="1358">
        <f t="shared" si="7"/>
        <v>0</v>
      </c>
      <c r="U68" s="1409"/>
      <c r="V68" s="1410"/>
      <c r="W68" s="1410"/>
      <c r="X68" s="1410"/>
      <c r="Y68" s="1410"/>
      <c r="Z68" s="1410"/>
      <c r="AA68" s="1359">
        <f t="shared" si="8"/>
        <v>0</v>
      </c>
      <c r="AB68" s="1354">
        <f t="shared" si="9"/>
        <v>0</v>
      </c>
      <c r="AC68" s="1262">
        <f>IF($C68="INV",0,SUMIF('LAC 102_Wkst'!$A$7:$A$2010,$A68,'LAC 102_Wkst'!$AR$7:$AR$2010))</f>
        <v>0</v>
      </c>
      <c r="AD68" s="1341">
        <f t="shared" si="10"/>
        <v>0</v>
      </c>
      <c r="AE68" s="1341">
        <f t="shared" si="11"/>
        <v>0</v>
      </c>
      <c r="AF68" s="1341"/>
      <c r="AG68" s="1264"/>
      <c r="AH68" s="1265"/>
      <c r="AI68" s="1264"/>
      <c r="AJ68" s="1266"/>
      <c r="AK68" s="1266"/>
      <c r="AL68" s="1266"/>
      <c r="AM68" s="1266"/>
      <c r="AN68" s="1266"/>
      <c r="AO68" s="637"/>
      <c r="AP68" s="637"/>
      <c r="AQ68" s="637"/>
    </row>
    <row r="69" spans="1:43" s="1242" customFormat="1" ht="15.95" hidden="1" customHeight="1" x14ac:dyDescent="0.25">
      <c r="A69" s="1253" t="str">
        <f t="shared" si="1"/>
        <v/>
      </c>
      <c r="B69" s="1254">
        <v>58</v>
      </c>
      <c r="C69" s="1254" t="str">
        <f>IFERROR(VLOOKUP(A69,'LAC CMA'!F:G,2,FALSE),"")</f>
        <v/>
      </c>
      <c r="D69" s="1349" t="str">
        <f>Schedule_C!D77</f>
        <v/>
      </c>
      <c r="E69" s="1349" t="str">
        <f>Schedule_C!E77</f>
        <v/>
      </c>
      <c r="F69" s="1350" t="str">
        <f>Schedule_C!F77</f>
        <v/>
      </c>
      <c r="G69" s="1351">
        <f>Schedule_C!L77</f>
        <v>0</v>
      </c>
      <c r="H69" s="1352">
        <f>Schedule_C!G77</f>
        <v>0</v>
      </c>
      <c r="I69" s="1353">
        <f t="shared" si="2"/>
        <v>0</v>
      </c>
      <c r="J69" s="1353">
        <f>SUMIFS('LAC 102_Wkst'!$Q$7:$Q$2010,'LAC 102_Wkst'!$A$7:$A$2010,'LAC 103'!$A69,'LAC 102_Wkst'!$N$7:$N$2010,"P5")</f>
        <v>0</v>
      </c>
      <c r="K69" s="1354">
        <f t="shared" si="3"/>
        <v>0</v>
      </c>
      <c r="L69" s="1355">
        <f>IFERROR(VLOOKUP($A69,'LAC CMA'!$F$14:$L$325,3,FALSE),0)</f>
        <v>0</v>
      </c>
      <c r="M69" s="1355">
        <f>IFERROR(VLOOKUP($A69,'LAC CMA'!$F$14:$L$325,5,FALSE),0)</f>
        <v>0</v>
      </c>
      <c r="N69" s="1355">
        <f>IFERROR(VLOOKUP($A69,'LAC CMA'!$F$14:$L$325,7,FALSE),0)</f>
        <v>0</v>
      </c>
      <c r="O69" s="1356">
        <f>IFERROR(VLOOKUP($A69,'LAC CMA'!$F$14:$L$325,6,FALSE),0)</f>
        <v>0</v>
      </c>
      <c r="P69" s="1356">
        <f t="shared" si="4"/>
        <v>0</v>
      </c>
      <c r="Q69" s="1357">
        <f t="shared" si="5"/>
        <v>0</v>
      </c>
      <c r="R69" s="1354">
        <f t="shared" si="6"/>
        <v>0</v>
      </c>
      <c r="S69" s="1405"/>
      <c r="T69" s="1358">
        <f t="shared" si="7"/>
        <v>0</v>
      </c>
      <c r="U69" s="1409"/>
      <c r="V69" s="1410"/>
      <c r="W69" s="1410"/>
      <c r="X69" s="1410"/>
      <c r="Y69" s="1410"/>
      <c r="Z69" s="1410"/>
      <c r="AA69" s="1359">
        <f t="shared" si="8"/>
        <v>0</v>
      </c>
      <c r="AB69" s="1354">
        <f t="shared" si="9"/>
        <v>0</v>
      </c>
      <c r="AC69" s="1262">
        <f>IF($C69="INV",0,SUMIF('LAC 102_Wkst'!$A$7:$A$2010,$A69,'LAC 102_Wkst'!$AR$7:$AR$2010))</f>
        <v>0</v>
      </c>
      <c r="AD69" s="1341">
        <f t="shared" si="10"/>
        <v>0</v>
      </c>
      <c r="AE69" s="1341">
        <f t="shared" si="11"/>
        <v>0</v>
      </c>
      <c r="AF69" s="1341"/>
      <c r="AG69" s="1264"/>
      <c r="AH69" s="1265"/>
      <c r="AI69" s="1264"/>
      <c r="AJ69" s="1266"/>
      <c r="AK69" s="1266"/>
      <c r="AL69" s="1266"/>
      <c r="AM69" s="1266"/>
      <c r="AN69" s="1266"/>
      <c r="AO69" s="637"/>
      <c r="AP69" s="637"/>
      <c r="AQ69" s="637"/>
    </row>
    <row r="70" spans="1:43" s="1242" customFormat="1" ht="15.95" hidden="1" customHeight="1" x14ac:dyDescent="0.25">
      <c r="A70" s="1253" t="str">
        <f t="shared" si="1"/>
        <v/>
      </c>
      <c r="B70" s="1254">
        <v>59</v>
      </c>
      <c r="C70" s="1254" t="str">
        <f>IFERROR(VLOOKUP(A70,'LAC CMA'!F:G,2,FALSE),"")</f>
        <v/>
      </c>
      <c r="D70" s="1349" t="str">
        <f>Schedule_C!D78</f>
        <v/>
      </c>
      <c r="E70" s="1349" t="str">
        <f>Schedule_C!E78</f>
        <v/>
      </c>
      <c r="F70" s="1350" t="str">
        <f>Schedule_C!F78</f>
        <v/>
      </c>
      <c r="G70" s="1351">
        <f>Schedule_C!L78</f>
        <v>0</v>
      </c>
      <c r="H70" s="1352">
        <f>Schedule_C!G78</f>
        <v>0</v>
      </c>
      <c r="I70" s="1353">
        <f t="shared" si="2"/>
        <v>0</v>
      </c>
      <c r="J70" s="1353">
        <f>SUMIFS('LAC 102_Wkst'!$Q$7:$Q$2010,'LAC 102_Wkst'!$A$7:$A$2010,'LAC 103'!$A70,'LAC 102_Wkst'!$N$7:$N$2010,"P5")</f>
        <v>0</v>
      </c>
      <c r="K70" s="1354">
        <f t="shared" si="3"/>
        <v>0</v>
      </c>
      <c r="L70" s="1355">
        <f>IFERROR(VLOOKUP($A70,'LAC CMA'!$F$14:$L$325,3,FALSE),0)</f>
        <v>0</v>
      </c>
      <c r="M70" s="1355">
        <f>IFERROR(VLOOKUP($A70,'LAC CMA'!$F$14:$L$325,5,FALSE),0)</f>
        <v>0</v>
      </c>
      <c r="N70" s="1355">
        <f>IFERROR(VLOOKUP($A70,'LAC CMA'!$F$14:$L$325,7,FALSE),0)</f>
        <v>0</v>
      </c>
      <c r="O70" s="1356">
        <f>IFERROR(VLOOKUP($A70,'LAC CMA'!$F$14:$L$325,6,FALSE),0)</f>
        <v>0</v>
      </c>
      <c r="P70" s="1356">
        <f t="shared" si="4"/>
        <v>0</v>
      </c>
      <c r="Q70" s="1357">
        <f t="shared" si="5"/>
        <v>0</v>
      </c>
      <c r="R70" s="1354">
        <f t="shared" si="6"/>
        <v>0</v>
      </c>
      <c r="S70" s="1405"/>
      <c r="T70" s="1358">
        <f t="shared" si="7"/>
        <v>0</v>
      </c>
      <c r="U70" s="1409"/>
      <c r="V70" s="1410"/>
      <c r="W70" s="1410"/>
      <c r="X70" s="1410"/>
      <c r="Y70" s="1410"/>
      <c r="Z70" s="1410"/>
      <c r="AA70" s="1359">
        <f t="shared" si="8"/>
        <v>0</v>
      </c>
      <c r="AB70" s="1354">
        <f t="shared" si="9"/>
        <v>0</v>
      </c>
      <c r="AC70" s="1262">
        <f>IF($C70="INV",0,SUMIF('LAC 102_Wkst'!$A$7:$A$2010,$A70,'LAC 102_Wkst'!$AR$7:$AR$2010))</f>
        <v>0</v>
      </c>
      <c r="AD70" s="1341">
        <f t="shared" si="10"/>
        <v>0</v>
      </c>
      <c r="AE70" s="1341">
        <f t="shared" si="11"/>
        <v>0</v>
      </c>
      <c r="AF70" s="1341"/>
      <c r="AG70" s="1264"/>
      <c r="AH70" s="1265"/>
      <c r="AI70" s="1264"/>
      <c r="AJ70" s="1266"/>
      <c r="AK70" s="1266"/>
      <c r="AL70" s="1266"/>
      <c r="AM70" s="1266"/>
      <c r="AN70" s="1266"/>
      <c r="AO70" s="637"/>
      <c r="AP70" s="637"/>
      <c r="AQ70" s="637"/>
    </row>
    <row r="71" spans="1:43" s="1242" customFormat="1" ht="15.95" hidden="1" customHeight="1" x14ac:dyDescent="0.25">
      <c r="A71" s="1253" t="str">
        <f t="shared" si="1"/>
        <v/>
      </c>
      <c r="B71" s="1254">
        <v>60</v>
      </c>
      <c r="C71" s="1254" t="str">
        <f>IFERROR(VLOOKUP(A71,'LAC CMA'!F:G,2,FALSE),"")</f>
        <v/>
      </c>
      <c r="D71" s="1349" t="str">
        <f>Schedule_C!D79</f>
        <v/>
      </c>
      <c r="E71" s="1349" t="str">
        <f>Schedule_C!E79</f>
        <v/>
      </c>
      <c r="F71" s="1350" t="str">
        <f>Schedule_C!F79</f>
        <v/>
      </c>
      <c r="G71" s="1351">
        <f>Schedule_C!L79</f>
        <v>0</v>
      </c>
      <c r="H71" s="1352">
        <f>Schedule_C!G79</f>
        <v>0</v>
      </c>
      <c r="I71" s="1353">
        <f t="shared" si="2"/>
        <v>0</v>
      </c>
      <c r="J71" s="1353">
        <f>SUMIFS('LAC 102_Wkst'!$Q$7:$Q$2010,'LAC 102_Wkst'!$A$7:$A$2010,'LAC 103'!$A71,'LAC 102_Wkst'!$N$7:$N$2010,"P5")</f>
        <v>0</v>
      </c>
      <c r="K71" s="1354">
        <f t="shared" si="3"/>
        <v>0</v>
      </c>
      <c r="L71" s="1355">
        <f>IFERROR(VLOOKUP($A71,'LAC CMA'!$F$14:$L$325,3,FALSE),0)</f>
        <v>0</v>
      </c>
      <c r="M71" s="1355">
        <f>IFERROR(VLOOKUP($A71,'LAC CMA'!$F$14:$L$325,5,FALSE),0)</f>
        <v>0</v>
      </c>
      <c r="N71" s="1355">
        <f>IFERROR(VLOOKUP($A71,'LAC CMA'!$F$14:$L$325,7,FALSE),0)</f>
        <v>0</v>
      </c>
      <c r="O71" s="1356">
        <f>IFERROR(VLOOKUP($A71,'LAC CMA'!$F$14:$L$325,6,FALSE),0)</f>
        <v>0</v>
      </c>
      <c r="P71" s="1356">
        <f t="shared" si="4"/>
        <v>0</v>
      </c>
      <c r="Q71" s="1357">
        <f t="shared" si="5"/>
        <v>0</v>
      </c>
      <c r="R71" s="1354">
        <f t="shared" si="6"/>
        <v>0</v>
      </c>
      <c r="S71" s="1405"/>
      <c r="T71" s="1358">
        <f t="shared" si="7"/>
        <v>0</v>
      </c>
      <c r="U71" s="1409"/>
      <c r="V71" s="1410"/>
      <c r="W71" s="1410"/>
      <c r="X71" s="1410"/>
      <c r="Y71" s="1410"/>
      <c r="Z71" s="1410"/>
      <c r="AA71" s="1359">
        <f t="shared" si="8"/>
        <v>0</v>
      </c>
      <c r="AB71" s="1354">
        <f t="shared" si="9"/>
        <v>0</v>
      </c>
      <c r="AC71" s="1262">
        <f>IF($C71="INV",0,SUMIF('LAC 102_Wkst'!$A$7:$A$2010,$A71,'LAC 102_Wkst'!$AR$7:$AR$2010))</f>
        <v>0</v>
      </c>
      <c r="AD71" s="1341">
        <f t="shared" si="10"/>
        <v>0</v>
      </c>
      <c r="AE71" s="1341">
        <f t="shared" si="11"/>
        <v>0</v>
      </c>
      <c r="AF71" s="1341"/>
      <c r="AG71" s="1264"/>
      <c r="AH71" s="1265"/>
      <c r="AI71" s="1264"/>
      <c r="AJ71" s="1266"/>
      <c r="AK71" s="1266"/>
      <c r="AL71" s="1266"/>
      <c r="AM71" s="1266"/>
      <c r="AN71" s="1266"/>
      <c r="AO71" s="637"/>
      <c r="AP71" s="637"/>
      <c r="AQ71" s="637"/>
    </row>
    <row r="72" spans="1:43" s="1242" customFormat="1" ht="15.95" hidden="1" customHeight="1" x14ac:dyDescent="0.25">
      <c r="A72" s="1253" t="str">
        <f t="shared" si="1"/>
        <v/>
      </c>
      <c r="B72" s="1254">
        <v>61</v>
      </c>
      <c r="C72" s="1254" t="str">
        <f>IFERROR(VLOOKUP(A72,'LAC CMA'!F:G,2,FALSE),"")</f>
        <v/>
      </c>
      <c r="D72" s="1349" t="str">
        <f>Schedule_C!D80</f>
        <v/>
      </c>
      <c r="E72" s="1349" t="str">
        <f>Schedule_C!E80</f>
        <v/>
      </c>
      <c r="F72" s="1350" t="str">
        <f>Schedule_C!F80</f>
        <v/>
      </c>
      <c r="G72" s="1351">
        <f>Schedule_C!L80</f>
        <v>0</v>
      </c>
      <c r="H72" s="1352">
        <f>Schedule_C!G80</f>
        <v>0</v>
      </c>
      <c r="I72" s="1353">
        <f t="shared" si="2"/>
        <v>0</v>
      </c>
      <c r="J72" s="1353">
        <f>SUMIFS('LAC 102_Wkst'!$Q$7:$Q$2010,'LAC 102_Wkst'!$A$7:$A$2010,'LAC 103'!$A72,'LAC 102_Wkst'!$N$7:$N$2010,"P5")</f>
        <v>0</v>
      </c>
      <c r="K72" s="1354">
        <f t="shared" si="3"/>
        <v>0</v>
      </c>
      <c r="L72" s="1355">
        <f>IFERROR(VLOOKUP($A72,'LAC CMA'!$F$14:$L$325,3,FALSE),0)</f>
        <v>0</v>
      </c>
      <c r="M72" s="1355">
        <f>IFERROR(VLOOKUP($A72,'LAC CMA'!$F$14:$L$325,5,FALSE),0)</f>
        <v>0</v>
      </c>
      <c r="N72" s="1355">
        <f>IFERROR(VLOOKUP($A72,'LAC CMA'!$F$14:$L$325,7,FALSE),0)</f>
        <v>0</v>
      </c>
      <c r="O72" s="1356">
        <f>IFERROR(VLOOKUP($A72,'LAC CMA'!$F$14:$L$325,6,FALSE),0)</f>
        <v>0</v>
      </c>
      <c r="P72" s="1356">
        <f t="shared" si="4"/>
        <v>0</v>
      </c>
      <c r="Q72" s="1357">
        <f t="shared" si="5"/>
        <v>0</v>
      </c>
      <c r="R72" s="1354">
        <f t="shared" si="6"/>
        <v>0</v>
      </c>
      <c r="S72" s="1405"/>
      <c r="T72" s="1358">
        <f t="shared" si="7"/>
        <v>0</v>
      </c>
      <c r="U72" s="1409"/>
      <c r="V72" s="1410"/>
      <c r="W72" s="1410"/>
      <c r="X72" s="1410"/>
      <c r="Y72" s="1410"/>
      <c r="Z72" s="1410"/>
      <c r="AA72" s="1359">
        <f t="shared" si="8"/>
        <v>0</v>
      </c>
      <c r="AB72" s="1354">
        <f t="shared" si="9"/>
        <v>0</v>
      </c>
      <c r="AC72" s="1262">
        <f>IF($C72="INV",0,SUMIF('LAC 102_Wkst'!$A$7:$A$2010,$A72,'LAC 102_Wkst'!$AR$7:$AR$2010))</f>
        <v>0</v>
      </c>
      <c r="AD72" s="1341">
        <f t="shared" si="10"/>
        <v>0</v>
      </c>
      <c r="AE72" s="1341">
        <f t="shared" si="11"/>
        <v>0</v>
      </c>
      <c r="AF72" s="1341"/>
      <c r="AG72" s="1264"/>
      <c r="AH72" s="1265"/>
      <c r="AI72" s="1264"/>
      <c r="AJ72" s="1266"/>
      <c r="AK72" s="1266"/>
      <c r="AL72" s="1266"/>
      <c r="AM72" s="1266"/>
      <c r="AN72" s="1266"/>
      <c r="AO72" s="637"/>
      <c r="AP72" s="637"/>
      <c r="AQ72" s="637"/>
    </row>
    <row r="73" spans="1:43" s="1242" customFormat="1" ht="15.95" hidden="1" customHeight="1" x14ac:dyDescent="0.25">
      <c r="A73" s="1253" t="str">
        <f t="shared" si="1"/>
        <v/>
      </c>
      <c r="B73" s="1254">
        <v>62</v>
      </c>
      <c r="C73" s="1254" t="str">
        <f>IFERROR(VLOOKUP(A73,'LAC CMA'!F:G,2,FALSE),"")</f>
        <v/>
      </c>
      <c r="D73" s="1349" t="str">
        <f>Schedule_C!D81</f>
        <v/>
      </c>
      <c r="E73" s="1349" t="str">
        <f>Schedule_C!E81</f>
        <v/>
      </c>
      <c r="F73" s="1350" t="str">
        <f>Schedule_C!F81</f>
        <v/>
      </c>
      <c r="G73" s="1351">
        <f>Schedule_C!L81</f>
        <v>0</v>
      </c>
      <c r="H73" s="1352">
        <f>Schedule_C!G81</f>
        <v>0</v>
      </c>
      <c r="I73" s="1353">
        <f t="shared" si="2"/>
        <v>0</v>
      </c>
      <c r="J73" s="1353">
        <f>SUMIFS('LAC 102_Wkst'!$Q$7:$Q$2010,'LAC 102_Wkst'!$A$7:$A$2010,'LAC 103'!$A73,'LAC 102_Wkst'!$N$7:$N$2010,"P5")</f>
        <v>0</v>
      </c>
      <c r="K73" s="1354">
        <f t="shared" si="3"/>
        <v>0</v>
      </c>
      <c r="L73" s="1355">
        <f>IFERROR(VLOOKUP($A73,'LAC CMA'!$F$14:$L$325,3,FALSE),0)</f>
        <v>0</v>
      </c>
      <c r="M73" s="1355">
        <f>IFERROR(VLOOKUP($A73,'LAC CMA'!$F$14:$L$325,5,FALSE),0)</f>
        <v>0</v>
      </c>
      <c r="N73" s="1355">
        <f>IFERROR(VLOOKUP($A73,'LAC CMA'!$F$14:$L$325,7,FALSE),0)</f>
        <v>0</v>
      </c>
      <c r="O73" s="1356">
        <f>IFERROR(VLOOKUP($A73,'LAC CMA'!$F$14:$L$325,6,FALSE),0)</f>
        <v>0</v>
      </c>
      <c r="P73" s="1356">
        <f t="shared" si="4"/>
        <v>0</v>
      </c>
      <c r="Q73" s="1357">
        <f t="shared" si="5"/>
        <v>0</v>
      </c>
      <c r="R73" s="1354">
        <f t="shared" si="6"/>
        <v>0</v>
      </c>
      <c r="S73" s="1405"/>
      <c r="T73" s="1358">
        <f t="shared" si="7"/>
        <v>0</v>
      </c>
      <c r="U73" s="1409"/>
      <c r="V73" s="1410"/>
      <c r="W73" s="1410"/>
      <c r="X73" s="1410"/>
      <c r="Y73" s="1410"/>
      <c r="Z73" s="1410"/>
      <c r="AA73" s="1359">
        <f t="shared" si="8"/>
        <v>0</v>
      </c>
      <c r="AB73" s="1354">
        <f t="shared" si="9"/>
        <v>0</v>
      </c>
      <c r="AC73" s="1262">
        <f>IF($C73="INV",0,SUMIF('LAC 102_Wkst'!$A$7:$A$2010,$A73,'LAC 102_Wkst'!$AR$7:$AR$2010))</f>
        <v>0</v>
      </c>
      <c r="AD73" s="1341">
        <f t="shared" si="10"/>
        <v>0</v>
      </c>
      <c r="AE73" s="1341">
        <f t="shared" si="11"/>
        <v>0</v>
      </c>
      <c r="AF73" s="1341"/>
      <c r="AG73" s="1264"/>
      <c r="AH73" s="1265"/>
      <c r="AI73" s="1264"/>
      <c r="AJ73" s="1266"/>
      <c r="AK73" s="1266"/>
      <c r="AL73" s="1266"/>
      <c r="AM73" s="1266"/>
      <c r="AN73" s="1266"/>
      <c r="AO73" s="637"/>
      <c r="AP73" s="637"/>
      <c r="AQ73" s="637"/>
    </row>
    <row r="74" spans="1:43" s="1242" customFormat="1" ht="15.95" hidden="1" customHeight="1" x14ac:dyDescent="0.25">
      <c r="A74" s="1253" t="str">
        <f t="shared" si="1"/>
        <v/>
      </c>
      <c r="B74" s="1254">
        <v>63</v>
      </c>
      <c r="C74" s="1254" t="str">
        <f>IFERROR(VLOOKUP(A74,'LAC CMA'!F:G,2,FALSE),"")</f>
        <v/>
      </c>
      <c r="D74" s="1349" t="str">
        <f>Schedule_C!D82</f>
        <v/>
      </c>
      <c r="E74" s="1349" t="str">
        <f>Schedule_C!E82</f>
        <v/>
      </c>
      <c r="F74" s="1350" t="str">
        <f>Schedule_C!F82</f>
        <v/>
      </c>
      <c r="G74" s="1351">
        <f>Schedule_C!L82</f>
        <v>0</v>
      </c>
      <c r="H74" s="1352">
        <f>Schedule_C!G82</f>
        <v>0</v>
      </c>
      <c r="I74" s="1353">
        <f t="shared" si="2"/>
        <v>0</v>
      </c>
      <c r="J74" s="1353">
        <f>SUMIFS('LAC 102_Wkst'!$Q$7:$Q$2010,'LAC 102_Wkst'!$A$7:$A$2010,'LAC 103'!$A74,'LAC 102_Wkst'!$N$7:$N$2010,"P5")</f>
        <v>0</v>
      </c>
      <c r="K74" s="1354">
        <f t="shared" si="3"/>
        <v>0</v>
      </c>
      <c r="L74" s="1355">
        <f>IFERROR(VLOOKUP($A74,'LAC CMA'!$F$14:$L$325,3,FALSE),0)</f>
        <v>0</v>
      </c>
      <c r="M74" s="1355">
        <f>IFERROR(VLOOKUP($A74,'LAC CMA'!$F$14:$L$325,5,FALSE),0)</f>
        <v>0</v>
      </c>
      <c r="N74" s="1355">
        <f>IFERROR(VLOOKUP($A74,'LAC CMA'!$F$14:$L$325,7,FALSE),0)</f>
        <v>0</v>
      </c>
      <c r="O74" s="1356">
        <f>IFERROR(VLOOKUP($A74,'LAC CMA'!$F$14:$L$325,6,FALSE),0)</f>
        <v>0</v>
      </c>
      <c r="P74" s="1356">
        <f t="shared" si="4"/>
        <v>0</v>
      </c>
      <c r="Q74" s="1357">
        <f t="shared" si="5"/>
        <v>0</v>
      </c>
      <c r="R74" s="1354">
        <f t="shared" si="6"/>
        <v>0</v>
      </c>
      <c r="S74" s="1405"/>
      <c r="T74" s="1358">
        <f t="shared" si="7"/>
        <v>0</v>
      </c>
      <c r="U74" s="1409"/>
      <c r="V74" s="1410"/>
      <c r="W74" s="1410"/>
      <c r="X74" s="1410"/>
      <c r="Y74" s="1410"/>
      <c r="Z74" s="1410"/>
      <c r="AA74" s="1359">
        <f t="shared" si="8"/>
        <v>0</v>
      </c>
      <c r="AB74" s="1354">
        <f t="shared" si="9"/>
        <v>0</v>
      </c>
      <c r="AC74" s="1262">
        <f>IF($C74="INV",0,SUMIF('LAC 102_Wkst'!$A$7:$A$2010,$A74,'LAC 102_Wkst'!$AR$7:$AR$2010))</f>
        <v>0</v>
      </c>
      <c r="AD74" s="1341">
        <f t="shared" si="10"/>
        <v>0</v>
      </c>
      <c r="AE74" s="1341">
        <f t="shared" si="11"/>
        <v>0</v>
      </c>
      <c r="AF74" s="1341"/>
      <c r="AG74" s="1264"/>
      <c r="AH74" s="1265"/>
      <c r="AI74" s="1264"/>
      <c r="AJ74" s="1266"/>
      <c r="AK74" s="1266"/>
      <c r="AL74" s="1266"/>
      <c r="AM74" s="1266"/>
      <c r="AN74" s="1266"/>
      <c r="AO74" s="637"/>
      <c r="AP74" s="637"/>
      <c r="AQ74" s="637"/>
    </row>
    <row r="75" spans="1:43" s="1242" customFormat="1" ht="15.95" hidden="1" customHeight="1" x14ac:dyDescent="0.25">
      <c r="A75" s="1253" t="str">
        <f t="shared" si="1"/>
        <v/>
      </c>
      <c r="B75" s="1254">
        <v>64</v>
      </c>
      <c r="C75" s="1254" t="str">
        <f>IFERROR(VLOOKUP(A75,'LAC CMA'!F:G,2,FALSE),"")</f>
        <v/>
      </c>
      <c r="D75" s="1349" t="str">
        <f>Schedule_C!D83</f>
        <v/>
      </c>
      <c r="E75" s="1349" t="str">
        <f>Schedule_C!E83</f>
        <v/>
      </c>
      <c r="F75" s="1350" t="str">
        <f>Schedule_C!F83</f>
        <v/>
      </c>
      <c r="G75" s="1351">
        <f>Schedule_C!L83</f>
        <v>0</v>
      </c>
      <c r="H75" s="1352">
        <f>Schedule_C!G83</f>
        <v>0</v>
      </c>
      <c r="I75" s="1353">
        <f t="shared" si="2"/>
        <v>0</v>
      </c>
      <c r="J75" s="1353">
        <f>SUMIFS('LAC 102_Wkst'!$Q$7:$Q$2010,'LAC 102_Wkst'!$A$7:$A$2010,'LAC 103'!$A75,'LAC 102_Wkst'!$N$7:$N$2010,"P5")</f>
        <v>0</v>
      </c>
      <c r="K75" s="1354">
        <f t="shared" si="3"/>
        <v>0</v>
      </c>
      <c r="L75" s="1355">
        <f>IFERROR(VLOOKUP($A75,'LAC CMA'!$F$14:$L$325,3,FALSE),0)</f>
        <v>0</v>
      </c>
      <c r="M75" s="1355">
        <f>IFERROR(VLOOKUP($A75,'LAC CMA'!$F$14:$L$325,5,FALSE),0)</f>
        <v>0</v>
      </c>
      <c r="N75" s="1355">
        <f>IFERROR(VLOOKUP($A75,'LAC CMA'!$F$14:$L$325,7,FALSE),0)</f>
        <v>0</v>
      </c>
      <c r="O75" s="1356">
        <f>IFERROR(VLOOKUP($A75,'LAC CMA'!$F$14:$L$325,6,FALSE),0)</f>
        <v>0</v>
      </c>
      <c r="P75" s="1356">
        <f t="shared" si="4"/>
        <v>0</v>
      </c>
      <c r="Q75" s="1357">
        <f t="shared" si="5"/>
        <v>0</v>
      </c>
      <c r="R75" s="1354">
        <f t="shared" si="6"/>
        <v>0</v>
      </c>
      <c r="S75" s="1405"/>
      <c r="T75" s="1358">
        <f t="shared" si="7"/>
        <v>0</v>
      </c>
      <c r="U75" s="1409"/>
      <c r="V75" s="1410"/>
      <c r="W75" s="1410"/>
      <c r="X75" s="1410"/>
      <c r="Y75" s="1410"/>
      <c r="Z75" s="1410"/>
      <c r="AA75" s="1359">
        <f t="shared" si="8"/>
        <v>0</v>
      </c>
      <c r="AB75" s="1354">
        <f t="shared" si="9"/>
        <v>0</v>
      </c>
      <c r="AC75" s="1262">
        <f>IF($C75="INV",0,SUMIF('LAC 102_Wkst'!$A$7:$A$2010,$A75,'LAC 102_Wkst'!$AR$7:$AR$2010))</f>
        <v>0</v>
      </c>
      <c r="AD75" s="1341">
        <f t="shared" si="10"/>
        <v>0</v>
      </c>
      <c r="AE75" s="1341">
        <f t="shared" si="11"/>
        <v>0</v>
      </c>
      <c r="AF75" s="1341"/>
      <c r="AG75" s="1264"/>
      <c r="AH75" s="1265"/>
      <c r="AI75" s="1264"/>
      <c r="AJ75" s="1266"/>
      <c r="AK75" s="1266"/>
      <c r="AL75" s="1266"/>
      <c r="AM75" s="1266"/>
      <c r="AN75" s="1266"/>
      <c r="AO75" s="637"/>
      <c r="AP75" s="637"/>
      <c r="AQ75" s="637"/>
    </row>
    <row r="76" spans="1:43" s="1242" customFormat="1" ht="15.95" hidden="1" customHeight="1" x14ac:dyDescent="0.25">
      <c r="A76" s="1253" t="str">
        <f t="shared" si="1"/>
        <v/>
      </c>
      <c r="B76" s="1254">
        <v>65</v>
      </c>
      <c r="C76" s="1254" t="str">
        <f>IFERROR(VLOOKUP(A76,'LAC CMA'!F:G,2,FALSE),"")</f>
        <v/>
      </c>
      <c r="D76" s="1349" t="str">
        <f>Schedule_C!D84</f>
        <v/>
      </c>
      <c r="E76" s="1349" t="str">
        <f>Schedule_C!E84</f>
        <v/>
      </c>
      <c r="F76" s="1350" t="str">
        <f>Schedule_C!F84</f>
        <v/>
      </c>
      <c r="G76" s="1351">
        <f>Schedule_C!L84</f>
        <v>0</v>
      </c>
      <c r="H76" s="1352">
        <f>Schedule_C!G84</f>
        <v>0</v>
      </c>
      <c r="I76" s="1353">
        <f t="shared" si="2"/>
        <v>0</v>
      </c>
      <c r="J76" s="1353">
        <f>SUMIFS('LAC 102_Wkst'!$Q$7:$Q$2010,'LAC 102_Wkst'!$A$7:$A$2010,'LAC 103'!$A76,'LAC 102_Wkst'!$N$7:$N$2010,"P5")</f>
        <v>0</v>
      </c>
      <c r="K76" s="1354">
        <f t="shared" si="3"/>
        <v>0</v>
      </c>
      <c r="L76" s="1355">
        <f>IFERROR(VLOOKUP($A76,'LAC CMA'!$F$14:$L$325,3,FALSE),0)</f>
        <v>0</v>
      </c>
      <c r="M76" s="1355">
        <f>IFERROR(VLOOKUP($A76,'LAC CMA'!$F$14:$L$325,5,FALSE),0)</f>
        <v>0</v>
      </c>
      <c r="N76" s="1355">
        <f>IFERROR(VLOOKUP($A76,'LAC CMA'!$F$14:$L$325,7,FALSE),0)</f>
        <v>0</v>
      </c>
      <c r="O76" s="1356">
        <f>IFERROR(VLOOKUP($A76,'LAC CMA'!$F$14:$L$325,6,FALSE),0)</f>
        <v>0</v>
      </c>
      <c r="P76" s="1356">
        <f t="shared" si="4"/>
        <v>0</v>
      </c>
      <c r="Q76" s="1357">
        <f t="shared" si="5"/>
        <v>0</v>
      </c>
      <c r="R76" s="1354">
        <f t="shared" si="6"/>
        <v>0</v>
      </c>
      <c r="S76" s="1405"/>
      <c r="T76" s="1358">
        <f t="shared" si="7"/>
        <v>0</v>
      </c>
      <c r="U76" s="1409"/>
      <c r="V76" s="1410"/>
      <c r="W76" s="1410"/>
      <c r="X76" s="1410"/>
      <c r="Y76" s="1410"/>
      <c r="Z76" s="1410"/>
      <c r="AA76" s="1359">
        <f t="shared" si="8"/>
        <v>0</v>
      </c>
      <c r="AB76" s="1354">
        <f t="shared" si="9"/>
        <v>0</v>
      </c>
      <c r="AC76" s="1262">
        <f>IF($C76="INV",0,SUMIF('LAC 102_Wkst'!$A$7:$A$2010,$A76,'LAC 102_Wkst'!$AR$7:$AR$2010))</f>
        <v>0</v>
      </c>
      <c r="AD76" s="1341">
        <f t="shared" si="10"/>
        <v>0</v>
      </c>
      <c r="AE76" s="1341">
        <f t="shared" si="11"/>
        <v>0</v>
      </c>
      <c r="AF76" s="1341"/>
      <c r="AG76" s="1264"/>
      <c r="AH76" s="1265"/>
      <c r="AI76" s="1264"/>
      <c r="AJ76" s="1266"/>
      <c r="AK76" s="1266"/>
      <c r="AL76" s="1266"/>
      <c r="AM76" s="1266"/>
      <c r="AN76" s="1266"/>
      <c r="AO76" s="637"/>
      <c r="AP76" s="637"/>
      <c r="AQ76" s="637"/>
    </row>
    <row r="77" spans="1:43" s="1242" customFormat="1" ht="15.95" hidden="1" customHeight="1" x14ac:dyDescent="0.25">
      <c r="A77" s="1253" t="str">
        <f t="shared" ref="A77:A95" si="15">CONCATENATE($E77,$F77)</f>
        <v/>
      </c>
      <c r="B77" s="1254">
        <v>66</v>
      </c>
      <c r="C77" s="1254" t="str">
        <f>IFERROR(VLOOKUP(A77,'LAC CMA'!F:G,2,FALSE),"")</f>
        <v/>
      </c>
      <c r="D77" s="1349" t="str">
        <f>Schedule_C!D85</f>
        <v/>
      </c>
      <c r="E77" s="1349" t="str">
        <f>Schedule_C!E85</f>
        <v/>
      </c>
      <c r="F77" s="1350" t="str">
        <f>Schedule_C!F85</f>
        <v/>
      </c>
      <c r="G77" s="1351">
        <f>Schedule_C!L85</f>
        <v>0</v>
      </c>
      <c r="H77" s="1352">
        <f>Schedule_C!G85</f>
        <v>0</v>
      </c>
      <c r="I77" s="1353">
        <f t="shared" ref="I77:I95" si="16">H77-J77</f>
        <v>0</v>
      </c>
      <c r="J77" s="1353">
        <f>SUMIFS('LAC 102_Wkst'!$Q$7:$Q$2010,'LAC 102_Wkst'!$A$7:$A$2010,'LAC 103'!$A77,'LAC 102_Wkst'!$N$7:$N$2010,"P5")</f>
        <v>0</v>
      </c>
      <c r="K77" s="1354">
        <f t="shared" ref="K77:K95" si="17">IFERROR(IF(C77="INV",G77,G77/H77),0)</f>
        <v>0</v>
      </c>
      <c r="L77" s="1355">
        <f>IFERROR(VLOOKUP($A77,'LAC CMA'!$F$14:$L$325,3,FALSE),0)</f>
        <v>0</v>
      </c>
      <c r="M77" s="1355">
        <f>IFERROR(VLOOKUP($A77,'LAC CMA'!$F$14:$L$325,5,FALSE),0)</f>
        <v>0</v>
      </c>
      <c r="N77" s="1355">
        <f>IFERROR(VLOOKUP($A77,'LAC CMA'!$F$14:$L$325,7,FALSE),0)</f>
        <v>0</v>
      </c>
      <c r="O77" s="1356">
        <f>IFERROR(VLOOKUP($A77,'LAC CMA'!$F$14:$L$325,6,FALSE),0)</f>
        <v>0</v>
      </c>
      <c r="P77" s="1356">
        <f t="shared" ref="P77:P95" si="18">IF(C77="IMD",O77,K77)</f>
        <v>0</v>
      </c>
      <c r="Q77" s="1357">
        <f t="shared" ref="Q77:Q95" si="19">IF(C77="",0,IF(C77="INV",0,IF(C77="IMD",O77,IF(C77="COS",K77,IF(C77="LS",K77,IF(C77="CMS",K77,IF(AND(C77="OP",$Q$10="Costs"),K77,IF(AND(C77="OP",$Q$10="p.c."),M77,IF(AND(C77="OP",$Q$10="CMA"),L77,IF(AND(C77="IP",$Q$4="Costs"),K77,IF(AND(C77="IP",$Q$4="P.C."),M77,IF(AND(C77="IPADM",$Q$5="Costs"),K77,IF(AND(C77="IPADM",$Q$5="P.C."),M77,IF(AND(C77="IPADM",$Q$5="SMA"),N77,L77))))))))))))))</f>
        <v>0</v>
      </c>
      <c r="R77" s="1354">
        <f t="shared" ref="R77:R95" si="20">I77*P77+J77*Q77</f>
        <v>0</v>
      </c>
      <c r="S77" s="1405"/>
      <c r="T77" s="1358">
        <f t="shared" ref="T77:T95" si="21">R77+S77</f>
        <v>0</v>
      </c>
      <c r="U77" s="1409"/>
      <c r="V77" s="1410"/>
      <c r="W77" s="1410"/>
      <c r="X77" s="1410"/>
      <c r="Y77" s="1410"/>
      <c r="Z77" s="1410"/>
      <c r="AA77" s="1359">
        <f t="shared" ref="AA77:AA95" si="22">SUM(U77:Z77)</f>
        <v>0</v>
      </c>
      <c r="AB77" s="1354">
        <f t="shared" ref="AB77:AB95" si="23">T77-AA77</f>
        <v>0</v>
      </c>
      <c r="AC77" s="1262">
        <f>IF($C77="INV",0,SUMIF('LAC 102_Wkst'!$A$7:$A$2010,$A77,'LAC 102_Wkst'!$AR$7:$AR$2010))</f>
        <v>0</v>
      </c>
      <c r="AD77" s="1341">
        <f t="shared" ref="AD77:AD95" si="24">IF($C77="INV",0,ROUND(AB77-AC77,2))</f>
        <v>0</v>
      </c>
      <c r="AE77" s="1341">
        <f t="shared" ref="AE77:AE95" si="25">G77-T77</f>
        <v>0</v>
      </c>
      <c r="AF77" s="1341"/>
      <c r="AG77" s="1264"/>
      <c r="AH77" s="1265"/>
      <c r="AI77" s="1264"/>
      <c r="AJ77" s="1266"/>
      <c r="AK77" s="1266"/>
      <c r="AL77" s="1266"/>
      <c r="AM77" s="1266"/>
      <c r="AN77" s="1266"/>
      <c r="AO77" s="637"/>
      <c r="AP77" s="637"/>
      <c r="AQ77" s="637"/>
    </row>
    <row r="78" spans="1:43" s="1242" customFormat="1" ht="15.95" hidden="1" customHeight="1" x14ac:dyDescent="0.25">
      <c r="A78" s="1253" t="str">
        <f t="shared" si="15"/>
        <v/>
      </c>
      <c r="B78" s="1254">
        <v>67</v>
      </c>
      <c r="C78" s="1254" t="str">
        <f>IFERROR(VLOOKUP(A78,'LAC CMA'!F:G,2,FALSE),"")</f>
        <v/>
      </c>
      <c r="D78" s="1349" t="str">
        <f>Schedule_C!D86</f>
        <v/>
      </c>
      <c r="E78" s="1349" t="str">
        <f>Schedule_C!E86</f>
        <v/>
      </c>
      <c r="F78" s="1350" t="str">
        <f>Schedule_C!F86</f>
        <v/>
      </c>
      <c r="G78" s="1351">
        <f>Schedule_C!L86</f>
        <v>0</v>
      </c>
      <c r="H78" s="1352">
        <f>Schedule_C!G86</f>
        <v>0</v>
      </c>
      <c r="I78" s="1353">
        <f t="shared" si="16"/>
        <v>0</v>
      </c>
      <c r="J78" s="1353">
        <f>SUMIFS('LAC 102_Wkst'!$Q$7:$Q$2010,'LAC 102_Wkst'!$A$7:$A$2010,'LAC 103'!$A78,'LAC 102_Wkst'!$N$7:$N$2010,"P5")</f>
        <v>0</v>
      </c>
      <c r="K78" s="1354">
        <f t="shared" si="17"/>
        <v>0</v>
      </c>
      <c r="L78" s="1355">
        <f>IFERROR(VLOOKUP($A78,'LAC CMA'!$F$14:$L$325,3,FALSE),0)</f>
        <v>0</v>
      </c>
      <c r="M78" s="1355">
        <f>IFERROR(VLOOKUP($A78,'LAC CMA'!$F$14:$L$325,5,FALSE),0)</f>
        <v>0</v>
      </c>
      <c r="N78" s="1355">
        <f>IFERROR(VLOOKUP($A78,'LAC CMA'!$F$14:$L$325,7,FALSE),0)</f>
        <v>0</v>
      </c>
      <c r="O78" s="1356">
        <f>IFERROR(VLOOKUP($A78,'LAC CMA'!$F$14:$L$325,6,FALSE),0)</f>
        <v>0</v>
      </c>
      <c r="P78" s="1356">
        <f t="shared" si="18"/>
        <v>0</v>
      </c>
      <c r="Q78" s="1357">
        <f t="shared" si="19"/>
        <v>0</v>
      </c>
      <c r="R78" s="1354">
        <f t="shared" si="20"/>
        <v>0</v>
      </c>
      <c r="S78" s="1405"/>
      <c r="T78" s="1358">
        <f t="shared" si="21"/>
        <v>0</v>
      </c>
      <c r="U78" s="1409"/>
      <c r="V78" s="1410"/>
      <c r="W78" s="1410"/>
      <c r="X78" s="1410"/>
      <c r="Y78" s="1410"/>
      <c r="Z78" s="1410"/>
      <c r="AA78" s="1359">
        <f t="shared" si="22"/>
        <v>0</v>
      </c>
      <c r="AB78" s="1354">
        <f t="shared" si="23"/>
        <v>0</v>
      </c>
      <c r="AC78" s="1262">
        <f>IF($C78="INV",0,SUMIF('LAC 102_Wkst'!$A$7:$A$2010,$A78,'LAC 102_Wkst'!$AR$7:$AR$2010))</f>
        <v>0</v>
      </c>
      <c r="AD78" s="1341">
        <f t="shared" si="24"/>
        <v>0</v>
      </c>
      <c r="AE78" s="1341">
        <f t="shared" si="25"/>
        <v>0</v>
      </c>
      <c r="AF78" s="1341"/>
      <c r="AG78" s="1264"/>
      <c r="AH78" s="1265"/>
      <c r="AI78" s="1264"/>
      <c r="AJ78" s="1266"/>
      <c r="AK78" s="1266"/>
      <c r="AL78" s="1266"/>
      <c r="AM78" s="1266"/>
      <c r="AN78" s="1266"/>
      <c r="AO78" s="637"/>
      <c r="AP78" s="637"/>
      <c r="AQ78" s="637"/>
    </row>
    <row r="79" spans="1:43" s="1242" customFormat="1" ht="15.95" hidden="1" customHeight="1" x14ac:dyDescent="0.25">
      <c r="A79" s="1253" t="str">
        <f t="shared" si="15"/>
        <v/>
      </c>
      <c r="B79" s="1254">
        <v>68</v>
      </c>
      <c r="C79" s="1254" t="str">
        <f>IFERROR(VLOOKUP(A79,'LAC CMA'!F:G,2,FALSE),"")</f>
        <v/>
      </c>
      <c r="D79" s="1349" t="str">
        <f>Schedule_C!D87</f>
        <v/>
      </c>
      <c r="E79" s="1349" t="str">
        <f>Schedule_C!E87</f>
        <v/>
      </c>
      <c r="F79" s="1350" t="str">
        <f>Schedule_C!F87</f>
        <v/>
      </c>
      <c r="G79" s="1351">
        <f>Schedule_C!L87</f>
        <v>0</v>
      </c>
      <c r="H79" s="1352">
        <f>Schedule_C!G87</f>
        <v>0</v>
      </c>
      <c r="I79" s="1353">
        <f t="shared" si="16"/>
        <v>0</v>
      </c>
      <c r="J79" s="1353">
        <f>SUMIFS('LAC 102_Wkst'!$Q$7:$Q$2010,'LAC 102_Wkst'!$A$7:$A$2010,'LAC 103'!$A79,'LAC 102_Wkst'!$N$7:$N$2010,"P5")</f>
        <v>0</v>
      </c>
      <c r="K79" s="1354">
        <f t="shared" si="17"/>
        <v>0</v>
      </c>
      <c r="L79" s="1355">
        <f>IFERROR(VLOOKUP($A79,'LAC CMA'!$F$14:$L$325,3,FALSE),0)</f>
        <v>0</v>
      </c>
      <c r="M79" s="1355">
        <f>IFERROR(VLOOKUP($A79,'LAC CMA'!$F$14:$L$325,5,FALSE),0)</f>
        <v>0</v>
      </c>
      <c r="N79" s="1355">
        <f>IFERROR(VLOOKUP($A79,'LAC CMA'!$F$14:$L$325,7,FALSE),0)</f>
        <v>0</v>
      </c>
      <c r="O79" s="1356">
        <f>IFERROR(VLOOKUP($A79,'LAC CMA'!$F$14:$L$325,6,FALSE),0)</f>
        <v>0</v>
      </c>
      <c r="P79" s="1356">
        <f t="shared" si="18"/>
        <v>0</v>
      </c>
      <c r="Q79" s="1357">
        <f t="shared" si="19"/>
        <v>0</v>
      </c>
      <c r="R79" s="1354">
        <f t="shared" si="20"/>
        <v>0</v>
      </c>
      <c r="S79" s="1405"/>
      <c r="T79" s="1358">
        <f t="shared" si="21"/>
        <v>0</v>
      </c>
      <c r="U79" s="1409"/>
      <c r="V79" s="1410"/>
      <c r="W79" s="1410"/>
      <c r="X79" s="1410"/>
      <c r="Y79" s="1410"/>
      <c r="Z79" s="1410"/>
      <c r="AA79" s="1359">
        <f t="shared" si="22"/>
        <v>0</v>
      </c>
      <c r="AB79" s="1354">
        <f t="shared" si="23"/>
        <v>0</v>
      </c>
      <c r="AC79" s="1262">
        <f>IF($C79="INV",0,SUMIF('LAC 102_Wkst'!$A$7:$A$2010,$A79,'LAC 102_Wkst'!$AR$7:$AR$2010))</f>
        <v>0</v>
      </c>
      <c r="AD79" s="1341">
        <f t="shared" si="24"/>
        <v>0</v>
      </c>
      <c r="AE79" s="1341">
        <f t="shared" si="25"/>
        <v>0</v>
      </c>
      <c r="AF79" s="1341"/>
      <c r="AG79" s="1264"/>
      <c r="AH79" s="1265"/>
      <c r="AI79" s="1264"/>
      <c r="AJ79" s="1266"/>
      <c r="AK79" s="1266"/>
      <c r="AL79" s="1266"/>
      <c r="AM79" s="1266"/>
      <c r="AN79" s="1266"/>
      <c r="AO79" s="637"/>
      <c r="AP79" s="637"/>
      <c r="AQ79" s="637"/>
    </row>
    <row r="80" spans="1:43" s="1242" customFormat="1" ht="15.95" hidden="1" customHeight="1" x14ac:dyDescent="0.25">
      <c r="A80" s="1253" t="str">
        <f t="shared" si="15"/>
        <v/>
      </c>
      <c r="B80" s="1254">
        <v>69</v>
      </c>
      <c r="C80" s="1254" t="str">
        <f>IFERROR(VLOOKUP(A80,'LAC CMA'!F:G,2,FALSE),"")</f>
        <v/>
      </c>
      <c r="D80" s="1349" t="str">
        <f>Schedule_C!D88</f>
        <v/>
      </c>
      <c r="E80" s="1349" t="str">
        <f>Schedule_C!E88</f>
        <v/>
      </c>
      <c r="F80" s="1350" t="str">
        <f>Schedule_C!F88</f>
        <v/>
      </c>
      <c r="G80" s="1351">
        <f>Schedule_C!L88</f>
        <v>0</v>
      </c>
      <c r="H80" s="1352">
        <f>Schedule_C!G88</f>
        <v>0</v>
      </c>
      <c r="I80" s="1353">
        <f t="shared" si="16"/>
        <v>0</v>
      </c>
      <c r="J80" s="1353">
        <f>SUMIFS('LAC 102_Wkst'!$Q$7:$Q$2010,'LAC 102_Wkst'!$A$7:$A$2010,'LAC 103'!$A80,'LAC 102_Wkst'!$N$7:$N$2010,"P5")</f>
        <v>0</v>
      </c>
      <c r="K80" s="1354">
        <f t="shared" si="17"/>
        <v>0</v>
      </c>
      <c r="L80" s="1355">
        <f>IFERROR(VLOOKUP($A80,'LAC CMA'!$F$14:$L$325,3,FALSE),0)</f>
        <v>0</v>
      </c>
      <c r="M80" s="1355">
        <f>IFERROR(VLOOKUP($A80,'LAC CMA'!$F$14:$L$325,5,FALSE),0)</f>
        <v>0</v>
      </c>
      <c r="N80" s="1355">
        <f>IFERROR(VLOOKUP($A80,'LAC CMA'!$F$14:$L$325,7,FALSE),0)</f>
        <v>0</v>
      </c>
      <c r="O80" s="1356">
        <f>IFERROR(VLOOKUP($A80,'LAC CMA'!$F$14:$L$325,6,FALSE),0)</f>
        <v>0</v>
      </c>
      <c r="P80" s="1356">
        <f t="shared" si="18"/>
        <v>0</v>
      </c>
      <c r="Q80" s="1357">
        <f t="shared" si="19"/>
        <v>0</v>
      </c>
      <c r="R80" s="1354">
        <f t="shared" si="20"/>
        <v>0</v>
      </c>
      <c r="S80" s="1405"/>
      <c r="T80" s="1358">
        <f t="shared" si="21"/>
        <v>0</v>
      </c>
      <c r="U80" s="1409"/>
      <c r="V80" s="1410"/>
      <c r="W80" s="1410"/>
      <c r="X80" s="1410"/>
      <c r="Y80" s="1410"/>
      <c r="Z80" s="1410"/>
      <c r="AA80" s="1359">
        <f t="shared" si="22"/>
        <v>0</v>
      </c>
      <c r="AB80" s="1354">
        <f t="shared" si="23"/>
        <v>0</v>
      </c>
      <c r="AC80" s="1262">
        <f>IF($C80="INV",0,SUMIF('LAC 102_Wkst'!$A$7:$A$2010,$A80,'LAC 102_Wkst'!$AR$7:$AR$2010))</f>
        <v>0</v>
      </c>
      <c r="AD80" s="1341">
        <f t="shared" si="24"/>
        <v>0</v>
      </c>
      <c r="AE80" s="1341">
        <f t="shared" si="25"/>
        <v>0</v>
      </c>
      <c r="AF80" s="1341"/>
      <c r="AG80" s="1264"/>
      <c r="AH80" s="1265"/>
      <c r="AI80" s="1264"/>
      <c r="AJ80" s="1266"/>
      <c r="AK80" s="1266"/>
      <c r="AL80" s="1266"/>
      <c r="AM80" s="1266"/>
      <c r="AN80" s="1266"/>
      <c r="AO80" s="637"/>
      <c r="AP80" s="637"/>
      <c r="AQ80" s="637"/>
    </row>
    <row r="81" spans="1:43" s="1242" customFormat="1" ht="15.95" hidden="1" customHeight="1" x14ac:dyDescent="0.25">
      <c r="A81" s="1253" t="str">
        <f t="shared" si="15"/>
        <v/>
      </c>
      <c r="B81" s="1254">
        <v>70</v>
      </c>
      <c r="C81" s="1254" t="str">
        <f>IFERROR(VLOOKUP(A81,'LAC CMA'!F:G,2,FALSE),"")</f>
        <v/>
      </c>
      <c r="D81" s="1349" t="str">
        <f>Schedule_C!D89</f>
        <v/>
      </c>
      <c r="E81" s="1349" t="str">
        <f>Schedule_C!E89</f>
        <v/>
      </c>
      <c r="F81" s="1350" t="str">
        <f>Schedule_C!F89</f>
        <v/>
      </c>
      <c r="G81" s="1351">
        <f>Schedule_C!L89</f>
        <v>0</v>
      </c>
      <c r="H81" s="1352">
        <f>Schedule_C!G89</f>
        <v>0</v>
      </c>
      <c r="I81" s="1353">
        <f t="shared" si="16"/>
        <v>0</v>
      </c>
      <c r="J81" s="1353">
        <f>SUMIFS('LAC 102_Wkst'!$Q$7:$Q$2010,'LAC 102_Wkst'!$A$7:$A$2010,'LAC 103'!$A81,'LAC 102_Wkst'!$N$7:$N$2010,"P5")</f>
        <v>0</v>
      </c>
      <c r="K81" s="1354">
        <f t="shared" si="17"/>
        <v>0</v>
      </c>
      <c r="L81" s="1355">
        <f>IFERROR(VLOOKUP($A81,'LAC CMA'!$F$14:$L$325,3,FALSE),0)</f>
        <v>0</v>
      </c>
      <c r="M81" s="1355">
        <f>IFERROR(VLOOKUP($A81,'LAC CMA'!$F$14:$L$325,5,FALSE),0)</f>
        <v>0</v>
      </c>
      <c r="N81" s="1355">
        <f>IFERROR(VLOOKUP($A81,'LAC CMA'!$F$14:$L$325,7,FALSE),0)</f>
        <v>0</v>
      </c>
      <c r="O81" s="1356">
        <f>IFERROR(VLOOKUP($A81,'LAC CMA'!$F$14:$L$325,6,FALSE),0)</f>
        <v>0</v>
      </c>
      <c r="P81" s="1356">
        <f t="shared" si="18"/>
        <v>0</v>
      </c>
      <c r="Q81" s="1357">
        <f t="shared" si="19"/>
        <v>0</v>
      </c>
      <c r="R81" s="1354">
        <f t="shared" si="20"/>
        <v>0</v>
      </c>
      <c r="S81" s="1405"/>
      <c r="T81" s="1358">
        <f t="shared" si="21"/>
        <v>0</v>
      </c>
      <c r="U81" s="1409"/>
      <c r="V81" s="1410"/>
      <c r="W81" s="1410"/>
      <c r="X81" s="1410"/>
      <c r="Y81" s="1410"/>
      <c r="Z81" s="1410"/>
      <c r="AA81" s="1359">
        <f t="shared" si="22"/>
        <v>0</v>
      </c>
      <c r="AB81" s="1354">
        <f t="shared" si="23"/>
        <v>0</v>
      </c>
      <c r="AC81" s="1262">
        <f>IF($C81="INV",0,SUMIF('LAC 102_Wkst'!$A$7:$A$2010,$A81,'LAC 102_Wkst'!$AR$7:$AR$2010))</f>
        <v>0</v>
      </c>
      <c r="AD81" s="1341">
        <f t="shared" si="24"/>
        <v>0</v>
      </c>
      <c r="AE81" s="1341">
        <f t="shared" si="25"/>
        <v>0</v>
      </c>
      <c r="AF81" s="1341"/>
      <c r="AG81" s="1264"/>
      <c r="AH81" s="1265"/>
      <c r="AI81" s="1264"/>
      <c r="AJ81" s="1266"/>
      <c r="AK81" s="1266"/>
      <c r="AL81" s="1266"/>
      <c r="AM81" s="1266"/>
      <c r="AN81" s="1266"/>
      <c r="AO81" s="637"/>
      <c r="AP81" s="637"/>
      <c r="AQ81" s="637"/>
    </row>
    <row r="82" spans="1:43" s="1242" customFormat="1" ht="15.95" hidden="1" customHeight="1" x14ac:dyDescent="0.25">
      <c r="A82" s="1253" t="str">
        <f t="shared" si="15"/>
        <v/>
      </c>
      <c r="B82" s="1254">
        <v>71</v>
      </c>
      <c r="C82" s="1254" t="str">
        <f>IFERROR(VLOOKUP(A82,'LAC CMA'!F:G,2,FALSE),"")</f>
        <v/>
      </c>
      <c r="D82" s="1349" t="str">
        <f>Schedule_C!D90</f>
        <v/>
      </c>
      <c r="E82" s="1349" t="str">
        <f>Schedule_C!E90</f>
        <v/>
      </c>
      <c r="F82" s="1350" t="str">
        <f>Schedule_C!F90</f>
        <v/>
      </c>
      <c r="G82" s="1351">
        <f>Schedule_C!L90</f>
        <v>0</v>
      </c>
      <c r="H82" s="1352">
        <f>Schedule_C!G90</f>
        <v>0</v>
      </c>
      <c r="I82" s="1353">
        <f t="shared" si="16"/>
        <v>0</v>
      </c>
      <c r="J82" s="1353">
        <f>SUMIFS('LAC 102_Wkst'!$Q$7:$Q$2010,'LAC 102_Wkst'!$A$7:$A$2010,'LAC 103'!$A82,'LAC 102_Wkst'!$N$7:$N$2010,"P5")</f>
        <v>0</v>
      </c>
      <c r="K82" s="1354">
        <f t="shared" si="17"/>
        <v>0</v>
      </c>
      <c r="L82" s="1355">
        <f>IFERROR(VLOOKUP($A82,'LAC CMA'!$F$14:$L$325,3,FALSE),0)</f>
        <v>0</v>
      </c>
      <c r="M82" s="1355">
        <f>IFERROR(VLOOKUP($A82,'LAC CMA'!$F$14:$L$325,5,FALSE),0)</f>
        <v>0</v>
      </c>
      <c r="N82" s="1355">
        <f>IFERROR(VLOOKUP($A82,'LAC CMA'!$F$14:$L$325,7,FALSE),0)</f>
        <v>0</v>
      </c>
      <c r="O82" s="1356">
        <f>IFERROR(VLOOKUP($A82,'LAC CMA'!$F$14:$L$325,6,FALSE),0)</f>
        <v>0</v>
      </c>
      <c r="P82" s="1356">
        <f t="shared" si="18"/>
        <v>0</v>
      </c>
      <c r="Q82" s="1357">
        <f t="shared" si="19"/>
        <v>0</v>
      </c>
      <c r="R82" s="1354">
        <f t="shared" si="20"/>
        <v>0</v>
      </c>
      <c r="S82" s="1405"/>
      <c r="T82" s="1358">
        <f t="shared" si="21"/>
        <v>0</v>
      </c>
      <c r="U82" s="1409"/>
      <c r="V82" s="1410"/>
      <c r="W82" s="1410"/>
      <c r="X82" s="1410"/>
      <c r="Y82" s="1410"/>
      <c r="Z82" s="1410"/>
      <c r="AA82" s="1359">
        <f t="shared" si="22"/>
        <v>0</v>
      </c>
      <c r="AB82" s="1354">
        <f t="shared" si="23"/>
        <v>0</v>
      </c>
      <c r="AC82" s="1262">
        <f>IF($C82="INV",0,SUMIF('LAC 102_Wkst'!$A$7:$A$2010,$A82,'LAC 102_Wkst'!$AR$7:$AR$2010))</f>
        <v>0</v>
      </c>
      <c r="AD82" s="1341">
        <f t="shared" si="24"/>
        <v>0</v>
      </c>
      <c r="AE82" s="1341">
        <f t="shared" si="25"/>
        <v>0</v>
      </c>
      <c r="AF82" s="1341"/>
      <c r="AG82" s="1264"/>
      <c r="AH82" s="1265"/>
      <c r="AI82" s="1264"/>
      <c r="AJ82" s="1266"/>
      <c r="AK82" s="1266"/>
      <c r="AL82" s="1266"/>
      <c r="AM82" s="1266"/>
      <c r="AN82" s="1266"/>
      <c r="AO82" s="637"/>
      <c r="AP82" s="637"/>
      <c r="AQ82" s="637"/>
    </row>
    <row r="83" spans="1:43" s="1242" customFormat="1" ht="15.95" hidden="1" customHeight="1" x14ac:dyDescent="0.25">
      <c r="A83" s="1253" t="str">
        <f t="shared" si="15"/>
        <v/>
      </c>
      <c r="B83" s="1254">
        <v>72</v>
      </c>
      <c r="C83" s="1254" t="str">
        <f>IFERROR(VLOOKUP(A83,'LAC CMA'!F:G,2,FALSE),"")</f>
        <v/>
      </c>
      <c r="D83" s="1349" t="str">
        <f>Schedule_C!D91</f>
        <v/>
      </c>
      <c r="E83" s="1349" t="str">
        <f>Schedule_C!E91</f>
        <v/>
      </c>
      <c r="F83" s="1350" t="str">
        <f>Schedule_C!F91</f>
        <v/>
      </c>
      <c r="G83" s="1351">
        <f>Schedule_C!L91</f>
        <v>0</v>
      </c>
      <c r="H83" s="1352">
        <f>Schedule_C!G91</f>
        <v>0</v>
      </c>
      <c r="I83" s="1353">
        <f t="shared" si="16"/>
        <v>0</v>
      </c>
      <c r="J83" s="1353">
        <f>SUMIFS('LAC 102_Wkst'!$Q$7:$Q$2010,'LAC 102_Wkst'!$A$7:$A$2010,'LAC 103'!$A83,'LAC 102_Wkst'!$N$7:$N$2010,"P5")</f>
        <v>0</v>
      </c>
      <c r="K83" s="1354">
        <f t="shared" si="17"/>
        <v>0</v>
      </c>
      <c r="L83" s="1355">
        <f>IFERROR(VLOOKUP($A83,'LAC CMA'!$F$14:$L$325,3,FALSE),0)</f>
        <v>0</v>
      </c>
      <c r="M83" s="1355">
        <f>IFERROR(VLOOKUP($A83,'LAC CMA'!$F$14:$L$325,5,FALSE),0)</f>
        <v>0</v>
      </c>
      <c r="N83" s="1355">
        <f>IFERROR(VLOOKUP($A83,'LAC CMA'!$F$14:$L$325,7,FALSE),0)</f>
        <v>0</v>
      </c>
      <c r="O83" s="1356">
        <f>IFERROR(VLOOKUP($A83,'LAC CMA'!$F$14:$L$325,6,FALSE),0)</f>
        <v>0</v>
      </c>
      <c r="P83" s="1356">
        <f t="shared" si="18"/>
        <v>0</v>
      </c>
      <c r="Q83" s="1357">
        <f t="shared" si="19"/>
        <v>0</v>
      </c>
      <c r="R83" s="1354">
        <f t="shared" si="20"/>
        <v>0</v>
      </c>
      <c r="S83" s="1405"/>
      <c r="T83" s="1358">
        <f t="shared" si="21"/>
        <v>0</v>
      </c>
      <c r="U83" s="1409"/>
      <c r="V83" s="1410"/>
      <c r="W83" s="1410"/>
      <c r="X83" s="1410"/>
      <c r="Y83" s="1410"/>
      <c r="Z83" s="1410"/>
      <c r="AA83" s="1359">
        <f t="shared" si="22"/>
        <v>0</v>
      </c>
      <c r="AB83" s="1354">
        <f t="shared" si="23"/>
        <v>0</v>
      </c>
      <c r="AC83" s="1262">
        <f>IF($C83="INV",0,SUMIF('LAC 102_Wkst'!$A$7:$A$2010,$A83,'LAC 102_Wkst'!$AR$7:$AR$2010))</f>
        <v>0</v>
      </c>
      <c r="AD83" s="1341">
        <f t="shared" si="24"/>
        <v>0</v>
      </c>
      <c r="AE83" s="1341">
        <f t="shared" si="25"/>
        <v>0</v>
      </c>
      <c r="AF83" s="1341"/>
      <c r="AG83" s="1264"/>
      <c r="AH83" s="1265"/>
      <c r="AI83" s="1264"/>
      <c r="AJ83" s="1266"/>
      <c r="AK83" s="1266"/>
      <c r="AL83" s="1266"/>
      <c r="AM83" s="1266"/>
      <c r="AN83" s="1266"/>
      <c r="AO83" s="637"/>
      <c r="AP83" s="637"/>
      <c r="AQ83" s="637"/>
    </row>
    <row r="84" spans="1:43" s="1242" customFormat="1" ht="15.95" hidden="1" customHeight="1" x14ac:dyDescent="0.25">
      <c r="A84" s="1253" t="str">
        <f t="shared" si="15"/>
        <v/>
      </c>
      <c r="B84" s="1254">
        <v>73</v>
      </c>
      <c r="C84" s="1254" t="str">
        <f>IFERROR(VLOOKUP(A84,'LAC CMA'!F:G,2,FALSE),"")</f>
        <v/>
      </c>
      <c r="D84" s="1349" t="str">
        <f>Schedule_C!D92</f>
        <v/>
      </c>
      <c r="E84" s="1349" t="str">
        <f>Schedule_C!E92</f>
        <v/>
      </c>
      <c r="F84" s="1350" t="str">
        <f>Schedule_C!F92</f>
        <v/>
      </c>
      <c r="G84" s="1351">
        <f>Schedule_C!L92</f>
        <v>0</v>
      </c>
      <c r="H84" s="1352">
        <f>Schedule_C!G92</f>
        <v>0</v>
      </c>
      <c r="I84" s="1353">
        <f t="shared" si="16"/>
        <v>0</v>
      </c>
      <c r="J84" s="1353">
        <f>SUMIFS('LAC 102_Wkst'!$Q$7:$Q$2010,'LAC 102_Wkst'!$A$7:$A$2010,'LAC 103'!$A84,'LAC 102_Wkst'!$N$7:$N$2010,"P5")</f>
        <v>0</v>
      </c>
      <c r="K84" s="1354">
        <f t="shared" si="17"/>
        <v>0</v>
      </c>
      <c r="L84" s="1355">
        <f>IFERROR(VLOOKUP($A84,'LAC CMA'!$F$14:$L$325,3,FALSE),0)</f>
        <v>0</v>
      </c>
      <c r="M84" s="1355">
        <f>IFERROR(VLOOKUP($A84,'LAC CMA'!$F$14:$L$325,5,FALSE),0)</f>
        <v>0</v>
      </c>
      <c r="N84" s="1355">
        <f>IFERROR(VLOOKUP($A84,'LAC CMA'!$F$14:$L$325,7,FALSE),0)</f>
        <v>0</v>
      </c>
      <c r="O84" s="1356">
        <f>IFERROR(VLOOKUP($A84,'LAC CMA'!$F$14:$L$325,6,FALSE),0)</f>
        <v>0</v>
      </c>
      <c r="P84" s="1356">
        <f t="shared" si="18"/>
        <v>0</v>
      </c>
      <c r="Q84" s="1357">
        <f t="shared" si="19"/>
        <v>0</v>
      </c>
      <c r="R84" s="1354">
        <f t="shared" si="20"/>
        <v>0</v>
      </c>
      <c r="S84" s="1405"/>
      <c r="T84" s="1358">
        <f t="shared" si="21"/>
        <v>0</v>
      </c>
      <c r="U84" s="1409"/>
      <c r="V84" s="1410"/>
      <c r="W84" s="1410"/>
      <c r="X84" s="1410"/>
      <c r="Y84" s="1410"/>
      <c r="Z84" s="1410"/>
      <c r="AA84" s="1359">
        <f t="shared" si="22"/>
        <v>0</v>
      </c>
      <c r="AB84" s="1354">
        <f t="shared" si="23"/>
        <v>0</v>
      </c>
      <c r="AC84" s="1262">
        <f>IF($C84="INV",0,SUMIF('LAC 102_Wkst'!$A$7:$A$2010,$A84,'LAC 102_Wkst'!$AR$7:$AR$2010))</f>
        <v>0</v>
      </c>
      <c r="AD84" s="1341">
        <f t="shared" si="24"/>
        <v>0</v>
      </c>
      <c r="AE84" s="1341">
        <f t="shared" si="25"/>
        <v>0</v>
      </c>
      <c r="AF84" s="1341"/>
      <c r="AG84" s="1264"/>
      <c r="AH84" s="1265"/>
      <c r="AI84" s="1264"/>
      <c r="AJ84" s="1266"/>
      <c r="AK84" s="1266"/>
      <c r="AL84" s="1266"/>
      <c r="AM84" s="1266"/>
      <c r="AN84" s="1266"/>
      <c r="AO84" s="637"/>
      <c r="AP84" s="637"/>
      <c r="AQ84" s="637"/>
    </row>
    <row r="85" spans="1:43" s="1242" customFormat="1" ht="15.95" hidden="1" customHeight="1" x14ac:dyDescent="0.25">
      <c r="A85" s="1253" t="str">
        <f t="shared" si="15"/>
        <v/>
      </c>
      <c r="B85" s="1254">
        <v>74</v>
      </c>
      <c r="C85" s="1254" t="str">
        <f>IFERROR(VLOOKUP(A85,'LAC CMA'!F:G,2,FALSE),"")</f>
        <v/>
      </c>
      <c r="D85" s="1349" t="str">
        <f>Schedule_C!D93</f>
        <v/>
      </c>
      <c r="E85" s="1349" t="str">
        <f>Schedule_C!E93</f>
        <v/>
      </c>
      <c r="F85" s="1350" t="str">
        <f>Schedule_C!F93</f>
        <v/>
      </c>
      <c r="G85" s="1351">
        <f>Schedule_C!L93</f>
        <v>0</v>
      </c>
      <c r="H85" s="1352">
        <f>Schedule_C!G93</f>
        <v>0</v>
      </c>
      <c r="I85" s="1353">
        <f t="shared" si="16"/>
        <v>0</v>
      </c>
      <c r="J85" s="1353">
        <f>SUMIFS('LAC 102_Wkst'!$Q$7:$Q$2010,'LAC 102_Wkst'!$A$7:$A$2010,'LAC 103'!$A85,'LAC 102_Wkst'!$N$7:$N$2010,"P5")</f>
        <v>0</v>
      </c>
      <c r="K85" s="1354">
        <f t="shared" si="17"/>
        <v>0</v>
      </c>
      <c r="L85" s="1355">
        <f>IFERROR(VLOOKUP($A85,'LAC CMA'!$F$14:$L$325,3,FALSE),0)</f>
        <v>0</v>
      </c>
      <c r="M85" s="1355">
        <f>IFERROR(VLOOKUP($A85,'LAC CMA'!$F$14:$L$325,5,FALSE),0)</f>
        <v>0</v>
      </c>
      <c r="N85" s="1355">
        <f>IFERROR(VLOOKUP($A85,'LAC CMA'!$F$14:$L$325,7,FALSE),0)</f>
        <v>0</v>
      </c>
      <c r="O85" s="1356">
        <f>IFERROR(VLOOKUP($A85,'LAC CMA'!$F$14:$L$325,6,FALSE),0)</f>
        <v>0</v>
      </c>
      <c r="P85" s="1356">
        <f t="shared" si="18"/>
        <v>0</v>
      </c>
      <c r="Q85" s="1357">
        <f t="shared" si="19"/>
        <v>0</v>
      </c>
      <c r="R85" s="1354">
        <f t="shared" si="20"/>
        <v>0</v>
      </c>
      <c r="S85" s="1405"/>
      <c r="T85" s="1358">
        <f t="shared" si="21"/>
        <v>0</v>
      </c>
      <c r="U85" s="1409"/>
      <c r="V85" s="1410"/>
      <c r="W85" s="1410"/>
      <c r="X85" s="1410"/>
      <c r="Y85" s="1410"/>
      <c r="Z85" s="1410"/>
      <c r="AA85" s="1359">
        <f t="shared" si="22"/>
        <v>0</v>
      </c>
      <c r="AB85" s="1354">
        <f t="shared" si="23"/>
        <v>0</v>
      </c>
      <c r="AC85" s="1262">
        <f>IF($C85="INV",0,SUMIF('LAC 102_Wkst'!$A$7:$A$2010,$A85,'LAC 102_Wkst'!$AR$7:$AR$2010))</f>
        <v>0</v>
      </c>
      <c r="AD85" s="1341">
        <f t="shared" si="24"/>
        <v>0</v>
      </c>
      <c r="AE85" s="1341">
        <f t="shared" si="25"/>
        <v>0</v>
      </c>
      <c r="AF85" s="1341"/>
      <c r="AG85" s="1264"/>
      <c r="AH85" s="1265"/>
      <c r="AI85" s="1264"/>
      <c r="AJ85" s="1266"/>
      <c r="AK85" s="1266"/>
      <c r="AL85" s="1266"/>
      <c r="AM85" s="1266"/>
      <c r="AN85" s="1266"/>
      <c r="AO85" s="637"/>
      <c r="AP85" s="637"/>
      <c r="AQ85" s="637"/>
    </row>
    <row r="86" spans="1:43" s="1242" customFormat="1" ht="15.95" hidden="1" customHeight="1" x14ac:dyDescent="0.25">
      <c r="A86" s="1253" t="str">
        <f t="shared" si="15"/>
        <v/>
      </c>
      <c r="B86" s="1254">
        <v>75</v>
      </c>
      <c r="C86" s="1254" t="str">
        <f>IFERROR(VLOOKUP(A86,'LAC CMA'!F:G,2,FALSE),"")</f>
        <v/>
      </c>
      <c r="D86" s="1349" t="str">
        <f>Schedule_C!D94</f>
        <v/>
      </c>
      <c r="E86" s="1349" t="str">
        <f>Schedule_C!E94</f>
        <v/>
      </c>
      <c r="F86" s="1350" t="str">
        <f>Schedule_C!F94</f>
        <v/>
      </c>
      <c r="G86" s="1351">
        <f>Schedule_C!L94</f>
        <v>0</v>
      </c>
      <c r="H86" s="1352">
        <f>Schedule_C!G94</f>
        <v>0</v>
      </c>
      <c r="I86" s="1353">
        <f t="shared" si="16"/>
        <v>0</v>
      </c>
      <c r="J86" s="1353">
        <f>SUMIFS('LAC 102_Wkst'!$Q$7:$Q$2010,'LAC 102_Wkst'!$A$7:$A$2010,'LAC 103'!$A86,'LAC 102_Wkst'!$N$7:$N$2010,"P5")</f>
        <v>0</v>
      </c>
      <c r="K86" s="1354">
        <f t="shared" si="17"/>
        <v>0</v>
      </c>
      <c r="L86" s="1355">
        <f>IFERROR(VLOOKUP($A86,'LAC CMA'!$F$14:$L$325,3,FALSE),0)</f>
        <v>0</v>
      </c>
      <c r="M86" s="1355">
        <f>IFERROR(VLOOKUP($A86,'LAC CMA'!$F$14:$L$325,5,FALSE),0)</f>
        <v>0</v>
      </c>
      <c r="N86" s="1355">
        <f>IFERROR(VLOOKUP($A86,'LAC CMA'!$F$14:$L$325,7,FALSE),0)</f>
        <v>0</v>
      </c>
      <c r="O86" s="1356">
        <f>IFERROR(VLOOKUP($A86,'LAC CMA'!$F$14:$L$325,6,FALSE),0)</f>
        <v>0</v>
      </c>
      <c r="P86" s="1356">
        <f t="shared" si="18"/>
        <v>0</v>
      </c>
      <c r="Q86" s="1357">
        <f t="shared" si="19"/>
        <v>0</v>
      </c>
      <c r="R86" s="1354">
        <f t="shared" si="20"/>
        <v>0</v>
      </c>
      <c r="S86" s="1405"/>
      <c r="T86" s="1358">
        <f t="shared" si="21"/>
        <v>0</v>
      </c>
      <c r="U86" s="1409"/>
      <c r="V86" s="1410"/>
      <c r="W86" s="1410"/>
      <c r="X86" s="1410"/>
      <c r="Y86" s="1410"/>
      <c r="Z86" s="1410"/>
      <c r="AA86" s="1359">
        <f t="shared" si="22"/>
        <v>0</v>
      </c>
      <c r="AB86" s="1354">
        <f t="shared" si="23"/>
        <v>0</v>
      </c>
      <c r="AC86" s="1262">
        <f>IF($C86="INV",0,SUMIF('LAC 102_Wkst'!$A$7:$A$2010,$A86,'LAC 102_Wkst'!$AR$7:$AR$2010))</f>
        <v>0</v>
      </c>
      <c r="AD86" s="1341">
        <f t="shared" si="24"/>
        <v>0</v>
      </c>
      <c r="AE86" s="1341">
        <f t="shared" si="25"/>
        <v>0</v>
      </c>
      <c r="AF86" s="1341"/>
      <c r="AG86" s="1264"/>
      <c r="AH86" s="1265"/>
      <c r="AI86" s="1264"/>
      <c r="AJ86" s="1266"/>
      <c r="AK86" s="1266"/>
      <c r="AL86" s="1266"/>
      <c r="AM86" s="1266"/>
      <c r="AN86" s="1266"/>
      <c r="AO86" s="637"/>
      <c r="AP86" s="637"/>
      <c r="AQ86" s="637"/>
    </row>
    <row r="87" spans="1:43" s="1242" customFormat="1" ht="15.95" hidden="1" customHeight="1" x14ac:dyDescent="0.25">
      <c r="A87" s="1253" t="str">
        <f t="shared" si="15"/>
        <v/>
      </c>
      <c r="B87" s="1254">
        <v>76</v>
      </c>
      <c r="C87" s="1254" t="str">
        <f>IFERROR(VLOOKUP(A87,'LAC CMA'!F:G,2,FALSE),"")</f>
        <v/>
      </c>
      <c r="D87" s="1349" t="str">
        <f>Schedule_C!D95</f>
        <v/>
      </c>
      <c r="E87" s="1349" t="str">
        <f>Schedule_C!E95</f>
        <v/>
      </c>
      <c r="F87" s="1350" t="str">
        <f>Schedule_C!F95</f>
        <v/>
      </c>
      <c r="G87" s="1351">
        <f>Schedule_C!L95</f>
        <v>0</v>
      </c>
      <c r="H87" s="1352">
        <f>Schedule_C!G95</f>
        <v>0</v>
      </c>
      <c r="I87" s="1353">
        <f t="shared" si="16"/>
        <v>0</v>
      </c>
      <c r="J87" s="1353">
        <f>SUMIFS('LAC 102_Wkst'!$Q$7:$Q$2010,'LAC 102_Wkst'!$A$7:$A$2010,'LAC 103'!$A87,'LAC 102_Wkst'!$N$7:$N$2010,"P5")</f>
        <v>0</v>
      </c>
      <c r="K87" s="1354">
        <f t="shared" si="17"/>
        <v>0</v>
      </c>
      <c r="L87" s="1355">
        <f>IFERROR(VLOOKUP($A87,'LAC CMA'!$F$14:$L$325,3,FALSE),0)</f>
        <v>0</v>
      </c>
      <c r="M87" s="1355">
        <f>IFERROR(VLOOKUP($A87,'LAC CMA'!$F$14:$L$325,5,FALSE),0)</f>
        <v>0</v>
      </c>
      <c r="N87" s="1355">
        <f>IFERROR(VLOOKUP($A87,'LAC CMA'!$F$14:$L$325,7,FALSE),0)</f>
        <v>0</v>
      </c>
      <c r="O87" s="1356">
        <f>IFERROR(VLOOKUP($A87,'LAC CMA'!$F$14:$L$325,6,FALSE),0)</f>
        <v>0</v>
      </c>
      <c r="P87" s="1356">
        <f t="shared" si="18"/>
        <v>0</v>
      </c>
      <c r="Q87" s="1357">
        <f t="shared" si="19"/>
        <v>0</v>
      </c>
      <c r="R87" s="1354">
        <f t="shared" si="20"/>
        <v>0</v>
      </c>
      <c r="S87" s="1405"/>
      <c r="T87" s="1358">
        <f t="shared" si="21"/>
        <v>0</v>
      </c>
      <c r="U87" s="1409"/>
      <c r="V87" s="1410"/>
      <c r="W87" s="1410"/>
      <c r="X87" s="1410"/>
      <c r="Y87" s="1410"/>
      <c r="Z87" s="1410"/>
      <c r="AA87" s="1359">
        <f t="shared" si="22"/>
        <v>0</v>
      </c>
      <c r="AB87" s="1354">
        <f t="shared" si="23"/>
        <v>0</v>
      </c>
      <c r="AC87" s="1262">
        <f>IF($C87="INV",0,SUMIF('LAC 102_Wkst'!$A$7:$A$2010,$A87,'LAC 102_Wkst'!$AR$7:$AR$2010))</f>
        <v>0</v>
      </c>
      <c r="AD87" s="1341">
        <f t="shared" si="24"/>
        <v>0</v>
      </c>
      <c r="AE87" s="1341">
        <f t="shared" si="25"/>
        <v>0</v>
      </c>
      <c r="AF87" s="1341"/>
      <c r="AG87" s="1264"/>
      <c r="AH87" s="1265"/>
      <c r="AI87" s="1264"/>
      <c r="AJ87" s="1266"/>
      <c r="AK87" s="1266"/>
      <c r="AL87" s="1266"/>
      <c r="AM87" s="1266"/>
      <c r="AN87" s="1266"/>
      <c r="AO87" s="637"/>
      <c r="AP87" s="637"/>
      <c r="AQ87" s="637"/>
    </row>
    <row r="88" spans="1:43" s="1242" customFormat="1" ht="15.95" hidden="1" customHeight="1" x14ac:dyDescent="0.25">
      <c r="A88" s="1253" t="str">
        <f t="shared" si="15"/>
        <v/>
      </c>
      <c r="B88" s="1254">
        <v>77</v>
      </c>
      <c r="C88" s="1254" t="str">
        <f>IFERROR(VLOOKUP(A88,'LAC CMA'!F:G,2,FALSE),"")</f>
        <v/>
      </c>
      <c r="D88" s="1349" t="str">
        <f>Schedule_C!D96</f>
        <v/>
      </c>
      <c r="E88" s="1349" t="str">
        <f>Schedule_C!E96</f>
        <v/>
      </c>
      <c r="F88" s="1350" t="str">
        <f>Schedule_C!F96</f>
        <v/>
      </c>
      <c r="G88" s="1351">
        <f>Schedule_C!L96</f>
        <v>0</v>
      </c>
      <c r="H88" s="1352">
        <f>Schedule_C!G96</f>
        <v>0</v>
      </c>
      <c r="I88" s="1353">
        <f t="shared" si="16"/>
        <v>0</v>
      </c>
      <c r="J88" s="1353">
        <f>SUMIFS('LAC 102_Wkst'!$Q$7:$Q$2010,'LAC 102_Wkst'!$A$7:$A$2010,'LAC 103'!$A88,'LAC 102_Wkst'!$N$7:$N$2010,"P5")</f>
        <v>0</v>
      </c>
      <c r="K88" s="1354">
        <f t="shared" si="17"/>
        <v>0</v>
      </c>
      <c r="L88" s="1355">
        <f>IFERROR(VLOOKUP($A88,'LAC CMA'!$F$14:$L$325,3,FALSE),0)</f>
        <v>0</v>
      </c>
      <c r="M88" s="1355">
        <f>IFERROR(VLOOKUP($A88,'LAC CMA'!$F$14:$L$325,5,FALSE),0)</f>
        <v>0</v>
      </c>
      <c r="N88" s="1355">
        <f>IFERROR(VLOOKUP($A88,'LAC CMA'!$F$14:$L$325,7,FALSE),0)</f>
        <v>0</v>
      </c>
      <c r="O88" s="1356">
        <f>IFERROR(VLOOKUP($A88,'LAC CMA'!$F$14:$L$325,6,FALSE),0)</f>
        <v>0</v>
      </c>
      <c r="P88" s="1356">
        <f t="shared" si="18"/>
        <v>0</v>
      </c>
      <c r="Q88" s="1357">
        <f t="shared" si="19"/>
        <v>0</v>
      </c>
      <c r="R88" s="1354">
        <f t="shared" si="20"/>
        <v>0</v>
      </c>
      <c r="S88" s="1405"/>
      <c r="T88" s="1358">
        <f t="shared" si="21"/>
        <v>0</v>
      </c>
      <c r="U88" s="1409"/>
      <c r="V88" s="1410"/>
      <c r="W88" s="1410"/>
      <c r="X88" s="1410"/>
      <c r="Y88" s="1410"/>
      <c r="Z88" s="1410"/>
      <c r="AA88" s="1359">
        <f t="shared" si="22"/>
        <v>0</v>
      </c>
      <c r="AB88" s="1354">
        <f t="shared" si="23"/>
        <v>0</v>
      </c>
      <c r="AC88" s="1262">
        <f>IF($C88="INV",0,SUMIF('LAC 102_Wkst'!$A$7:$A$2010,$A88,'LAC 102_Wkst'!$AR$7:$AR$2010))</f>
        <v>0</v>
      </c>
      <c r="AD88" s="1341">
        <f t="shared" si="24"/>
        <v>0</v>
      </c>
      <c r="AE88" s="1341">
        <f t="shared" si="25"/>
        <v>0</v>
      </c>
      <c r="AF88" s="1341"/>
      <c r="AG88" s="1264"/>
      <c r="AH88" s="1265"/>
      <c r="AI88" s="1264"/>
      <c r="AJ88" s="1266"/>
      <c r="AK88" s="1266"/>
      <c r="AL88" s="1266"/>
      <c r="AM88" s="1266"/>
      <c r="AN88" s="1266"/>
      <c r="AO88" s="637"/>
      <c r="AP88" s="637"/>
      <c r="AQ88" s="637"/>
    </row>
    <row r="89" spans="1:43" s="1242" customFormat="1" ht="15.95" hidden="1" customHeight="1" x14ac:dyDescent="0.25">
      <c r="A89" s="1253" t="str">
        <f t="shared" si="15"/>
        <v/>
      </c>
      <c r="B89" s="1254">
        <v>78</v>
      </c>
      <c r="C89" s="1254" t="str">
        <f>IFERROR(VLOOKUP(A89,'LAC CMA'!F:G,2,FALSE),"")</f>
        <v/>
      </c>
      <c r="D89" s="1349" t="str">
        <f>Schedule_C!D97</f>
        <v/>
      </c>
      <c r="E89" s="1349" t="str">
        <f>Schedule_C!E97</f>
        <v/>
      </c>
      <c r="F89" s="1350" t="str">
        <f>Schedule_C!F97</f>
        <v/>
      </c>
      <c r="G89" s="1351">
        <f>Schedule_C!L97</f>
        <v>0</v>
      </c>
      <c r="H89" s="1352">
        <f>Schedule_C!G97</f>
        <v>0</v>
      </c>
      <c r="I89" s="1353">
        <f t="shared" si="16"/>
        <v>0</v>
      </c>
      <c r="J89" s="1353">
        <f>SUMIFS('LAC 102_Wkst'!$Q$7:$Q$2010,'LAC 102_Wkst'!$A$7:$A$2010,'LAC 103'!$A89,'LAC 102_Wkst'!$N$7:$N$2010,"P5")</f>
        <v>0</v>
      </c>
      <c r="K89" s="1354">
        <f t="shared" si="17"/>
        <v>0</v>
      </c>
      <c r="L89" s="1355">
        <f>IFERROR(VLOOKUP($A89,'LAC CMA'!$F$14:$L$325,3,FALSE),0)</f>
        <v>0</v>
      </c>
      <c r="M89" s="1355">
        <f>IFERROR(VLOOKUP($A89,'LAC CMA'!$F$14:$L$325,5,FALSE),0)</f>
        <v>0</v>
      </c>
      <c r="N89" s="1355">
        <f>IFERROR(VLOOKUP($A89,'LAC CMA'!$F$14:$L$325,7,FALSE),0)</f>
        <v>0</v>
      </c>
      <c r="O89" s="1356">
        <f>IFERROR(VLOOKUP($A89,'LAC CMA'!$F$14:$L$325,6,FALSE),0)</f>
        <v>0</v>
      </c>
      <c r="P89" s="1356">
        <f t="shared" si="18"/>
        <v>0</v>
      </c>
      <c r="Q89" s="1357">
        <f t="shared" si="19"/>
        <v>0</v>
      </c>
      <c r="R89" s="1354">
        <f t="shared" si="20"/>
        <v>0</v>
      </c>
      <c r="S89" s="1405"/>
      <c r="T89" s="1358">
        <f t="shared" si="21"/>
        <v>0</v>
      </c>
      <c r="U89" s="1409"/>
      <c r="V89" s="1410"/>
      <c r="W89" s="1410"/>
      <c r="X89" s="1410"/>
      <c r="Y89" s="1410"/>
      <c r="Z89" s="1410"/>
      <c r="AA89" s="1359">
        <f t="shared" si="22"/>
        <v>0</v>
      </c>
      <c r="AB89" s="1354">
        <f t="shared" si="23"/>
        <v>0</v>
      </c>
      <c r="AC89" s="1262">
        <f>IF($C89="INV",0,SUMIF('LAC 102_Wkst'!$A$7:$A$2010,$A89,'LAC 102_Wkst'!$AR$7:$AR$2010))</f>
        <v>0</v>
      </c>
      <c r="AD89" s="1341">
        <f t="shared" si="24"/>
        <v>0</v>
      </c>
      <c r="AE89" s="1341">
        <f t="shared" si="25"/>
        <v>0</v>
      </c>
      <c r="AF89" s="1341"/>
      <c r="AG89" s="1264"/>
      <c r="AH89" s="1265"/>
      <c r="AI89" s="1264"/>
      <c r="AJ89" s="1266"/>
      <c r="AK89" s="1266"/>
      <c r="AL89" s="1266"/>
      <c r="AM89" s="1266"/>
      <c r="AN89" s="1266"/>
      <c r="AO89" s="637"/>
      <c r="AP89" s="637"/>
      <c r="AQ89" s="637"/>
    </row>
    <row r="90" spans="1:43" s="1242" customFormat="1" ht="15.95" hidden="1" customHeight="1" x14ac:dyDescent="0.25">
      <c r="A90" s="1253" t="str">
        <f t="shared" si="15"/>
        <v/>
      </c>
      <c r="B90" s="1254">
        <v>79</v>
      </c>
      <c r="C90" s="1254" t="str">
        <f>IFERROR(VLOOKUP(A90,'LAC CMA'!F:G,2,FALSE),"")</f>
        <v/>
      </c>
      <c r="D90" s="1349" t="str">
        <f>Schedule_C!D98</f>
        <v/>
      </c>
      <c r="E90" s="1349" t="str">
        <f>Schedule_C!E98</f>
        <v/>
      </c>
      <c r="F90" s="1350" t="str">
        <f>Schedule_C!F98</f>
        <v/>
      </c>
      <c r="G90" s="1351">
        <f>Schedule_C!L98</f>
        <v>0</v>
      </c>
      <c r="H90" s="1352">
        <f>Schedule_C!G98</f>
        <v>0</v>
      </c>
      <c r="I90" s="1353">
        <f t="shared" si="16"/>
        <v>0</v>
      </c>
      <c r="J90" s="1353">
        <f>SUMIFS('LAC 102_Wkst'!$Q$7:$Q$2010,'LAC 102_Wkst'!$A$7:$A$2010,'LAC 103'!$A90,'LAC 102_Wkst'!$N$7:$N$2010,"P5")</f>
        <v>0</v>
      </c>
      <c r="K90" s="1354">
        <f t="shared" si="17"/>
        <v>0</v>
      </c>
      <c r="L90" s="1355">
        <f>IFERROR(VLOOKUP($A90,'LAC CMA'!$F$14:$L$325,3,FALSE),0)</f>
        <v>0</v>
      </c>
      <c r="M90" s="1355">
        <f>IFERROR(VLOOKUP($A90,'LAC CMA'!$F$14:$L$325,5,FALSE),0)</f>
        <v>0</v>
      </c>
      <c r="N90" s="1355">
        <f>IFERROR(VLOOKUP($A90,'LAC CMA'!$F$14:$L$325,7,FALSE),0)</f>
        <v>0</v>
      </c>
      <c r="O90" s="1356">
        <f>IFERROR(VLOOKUP($A90,'LAC CMA'!$F$14:$L$325,6,FALSE),0)</f>
        <v>0</v>
      </c>
      <c r="P90" s="1356">
        <f t="shared" si="18"/>
        <v>0</v>
      </c>
      <c r="Q90" s="1357">
        <f t="shared" si="19"/>
        <v>0</v>
      </c>
      <c r="R90" s="1354">
        <f t="shared" si="20"/>
        <v>0</v>
      </c>
      <c r="S90" s="1405"/>
      <c r="T90" s="1358">
        <f t="shared" si="21"/>
        <v>0</v>
      </c>
      <c r="U90" s="1409"/>
      <c r="V90" s="1410"/>
      <c r="W90" s="1410"/>
      <c r="X90" s="1410"/>
      <c r="Y90" s="1410"/>
      <c r="Z90" s="1410"/>
      <c r="AA90" s="1359">
        <f t="shared" si="22"/>
        <v>0</v>
      </c>
      <c r="AB90" s="1354">
        <f t="shared" si="23"/>
        <v>0</v>
      </c>
      <c r="AC90" s="1262">
        <f>IF($C90="INV",0,SUMIF('LAC 102_Wkst'!$A$7:$A$2010,$A90,'LAC 102_Wkst'!$AR$7:$AR$2010))</f>
        <v>0</v>
      </c>
      <c r="AD90" s="1341">
        <f t="shared" si="24"/>
        <v>0</v>
      </c>
      <c r="AE90" s="1341">
        <f t="shared" si="25"/>
        <v>0</v>
      </c>
      <c r="AF90" s="1341"/>
      <c r="AG90" s="1264"/>
      <c r="AH90" s="1265"/>
      <c r="AI90" s="1264"/>
      <c r="AJ90" s="1266"/>
      <c r="AK90" s="1266"/>
      <c r="AL90" s="1266"/>
      <c r="AM90" s="1266"/>
      <c r="AN90" s="1266"/>
      <c r="AO90" s="637"/>
      <c r="AP90" s="637"/>
      <c r="AQ90" s="637"/>
    </row>
    <row r="91" spans="1:43" s="1242" customFormat="1" ht="15.95" hidden="1" customHeight="1" x14ac:dyDescent="0.25">
      <c r="A91" s="1253" t="str">
        <f t="shared" si="15"/>
        <v/>
      </c>
      <c r="B91" s="1254">
        <v>80</v>
      </c>
      <c r="C91" s="1254" t="str">
        <f>IFERROR(VLOOKUP(A91,'LAC CMA'!F:G,2,FALSE),"")</f>
        <v/>
      </c>
      <c r="D91" s="1349" t="str">
        <f>Schedule_C!D99</f>
        <v/>
      </c>
      <c r="E91" s="1349" t="str">
        <f>Schedule_C!E99</f>
        <v/>
      </c>
      <c r="F91" s="1350" t="str">
        <f>Schedule_C!F99</f>
        <v/>
      </c>
      <c r="G91" s="1351">
        <f>Schedule_C!L99</f>
        <v>0</v>
      </c>
      <c r="H91" s="1352">
        <f>Schedule_C!G99</f>
        <v>0</v>
      </c>
      <c r="I91" s="1353">
        <f t="shared" si="16"/>
        <v>0</v>
      </c>
      <c r="J91" s="1353">
        <f>SUMIFS('LAC 102_Wkst'!$Q$7:$Q$2010,'LAC 102_Wkst'!$A$7:$A$2010,'LAC 103'!$A91,'LAC 102_Wkst'!$N$7:$N$2010,"P5")</f>
        <v>0</v>
      </c>
      <c r="K91" s="1354">
        <f t="shared" si="17"/>
        <v>0</v>
      </c>
      <c r="L91" s="1355">
        <f>IFERROR(VLOOKUP($A91,'LAC CMA'!$F$14:$L$325,3,FALSE),0)</f>
        <v>0</v>
      </c>
      <c r="M91" s="1355">
        <f>IFERROR(VLOOKUP($A91,'LAC CMA'!$F$14:$L$325,5,FALSE),0)</f>
        <v>0</v>
      </c>
      <c r="N91" s="1355">
        <f>IFERROR(VLOOKUP($A91,'LAC CMA'!$F$14:$L$325,7,FALSE),0)</f>
        <v>0</v>
      </c>
      <c r="O91" s="1356">
        <f>IFERROR(VLOOKUP($A91,'LAC CMA'!$F$14:$L$325,6,FALSE),0)</f>
        <v>0</v>
      </c>
      <c r="P91" s="1356">
        <f t="shared" si="18"/>
        <v>0</v>
      </c>
      <c r="Q91" s="1357">
        <f t="shared" si="19"/>
        <v>0</v>
      </c>
      <c r="R91" s="1354">
        <f t="shared" si="20"/>
        <v>0</v>
      </c>
      <c r="S91" s="1405"/>
      <c r="T91" s="1358">
        <f t="shared" si="21"/>
        <v>0</v>
      </c>
      <c r="U91" s="1409"/>
      <c r="V91" s="1410"/>
      <c r="W91" s="1410"/>
      <c r="X91" s="1410"/>
      <c r="Y91" s="1410"/>
      <c r="Z91" s="1410"/>
      <c r="AA91" s="1359">
        <f t="shared" si="22"/>
        <v>0</v>
      </c>
      <c r="AB91" s="1354">
        <f t="shared" si="23"/>
        <v>0</v>
      </c>
      <c r="AC91" s="1262">
        <f>IF($C91="INV",0,SUMIF('LAC 102_Wkst'!$A$7:$A$2010,$A91,'LAC 102_Wkst'!$AR$7:$AR$2010))</f>
        <v>0</v>
      </c>
      <c r="AD91" s="1341">
        <f t="shared" si="24"/>
        <v>0</v>
      </c>
      <c r="AE91" s="1341">
        <f t="shared" si="25"/>
        <v>0</v>
      </c>
      <c r="AF91" s="1341"/>
      <c r="AG91" s="1264"/>
      <c r="AH91" s="1265"/>
      <c r="AI91" s="1264"/>
      <c r="AJ91" s="1266"/>
      <c r="AK91" s="1266"/>
      <c r="AL91" s="1266"/>
      <c r="AM91" s="1266"/>
      <c r="AN91" s="1266"/>
      <c r="AO91" s="637"/>
      <c r="AP91" s="637"/>
      <c r="AQ91" s="637"/>
    </row>
    <row r="92" spans="1:43" s="1242" customFormat="1" ht="15.95" hidden="1" customHeight="1" x14ac:dyDescent="0.25">
      <c r="A92" s="1253" t="str">
        <f t="shared" si="15"/>
        <v/>
      </c>
      <c r="B92" s="1254">
        <v>81</v>
      </c>
      <c r="C92" s="1254" t="str">
        <f>IFERROR(VLOOKUP(A92,'LAC CMA'!F:G,2,FALSE),"")</f>
        <v/>
      </c>
      <c r="D92" s="1349" t="str">
        <f>Schedule_C!D100</f>
        <v/>
      </c>
      <c r="E92" s="1349" t="str">
        <f>Schedule_C!E100</f>
        <v/>
      </c>
      <c r="F92" s="1350" t="str">
        <f>Schedule_C!F100</f>
        <v/>
      </c>
      <c r="G92" s="1351">
        <f>Schedule_C!L100</f>
        <v>0</v>
      </c>
      <c r="H92" s="1352">
        <f>Schedule_C!G100</f>
        <v>0</v>
      </c>
      <c r="I92" s="1353">
        <f t="shared" si="16"/>
        <v>0</v>
      </c>
      <c r="J92" s="1353">
        <f>SUMIFS('LAC 102_Wkst'!$Q$7:$Q$2010,'LAC 102_Wkst'!$A$7:$A$2010,'LAC 103'!$A92,'LAC 102_Wkst'!$N$7:$N$2010,"P5")</f>
        <v>0</v>
      </c>
      <c r="K92" s="1354">
        <f t="shared" si="17"/>
        <v>0</v>
      </c>
      <c r="L92" s="1355">
        <f>IFERROR(VLOOKUP($A92,'LAC CMA'!$F$14:$L$325,3,FALSE),0)</f>
        <v>0</v>
      </c>
      <c r="M92" s="1355">
        <f>IFERROR(VLOOKUP($A92,'LAC CMA'!$F$14:$L$325,5,FALSE),0)</f>
        <v>0</v>
      </c>
      <c r="N92" s="1355">
        <f>IFERROR(VLOOKUP($A92,'LAC CMA'!$F$14:$L$325,7,FALSE),0)</f>
        <v>0</v>
      </c>
      <c r="O92" s="1356">
        <f>IFERROR(VLOOKUP($A92,'LAC CMA'!$F$14:$L$325,6,FALSE),0)</f>
        <v>0</v>
      </c>
      <c r="P92" s="1356">
        <f t="shared" si="18"/>
        <v>0</v>
      </c>
      <c r="Q92" s="1357">
        <f t="shared" si="19"/>
        <v>0</v>
      </c>
      <c r="R92" s="1354">
        <f t="shared" si="20"/>
        <v>0</v>
      </c>
      <c r="S92" s="1405"/>
      <c r="T92" s="1358">
        <f t="shared" si="21"/>
        <v>0</v>
      </c>
      <c r="U92" s="1409"/>
      <c r="V92" s="1410"/>
      <c r="W92" s="1410"/>
      <c r="X92" s="1410"/>
      <c r="Y92" s="1410"/>
      <c r="Z92" s="1410"/>
      <c r="AA92" s="1359">
        <f t="shared" si="22"/>
        <v>0</v>
      </c>
      <c r="AB92" s="1354">
        <f t="shared" si="23"/>
        <v>0</v>
      </c>
      <c r="AC92" s="1262">
        <f>IF($C92="INV",0,SUMIF('LAC 102_Wkst'!$A$7:$A$2010,$A92,'LAC 102_Wkst'!$AR$7:$AR$2010))</f>
        <v>0</v>
      </c>
      <c r="AD92" s="1341">
        <f t="shared" si="24"/>
        <v>0</v>
      </c>
      <c r="AE92" s="1341">
        <f t="shared" si="25"/>
        <v>0</v>
      </c>
      <c r="AF92" s="1341"/>
      <c r="AG92" s="1264"/>
      <c r="AH92" s="1265"/>
      <c r="AI92" s="1264"/>
      <c r="AJ92" s="1266"/>
      <c r="AK92" s="1266"/>
      <c r="AL92" s="1266"/>
      <c r="AM92" s="1266"/>
      <c r="AN92" s="1266"/>
      <c r="AO92" s="637"/>
      <c r="AP92" s="637"/>
      <c r="AQ92" s="637"/>
    </row>
    <row r="93" spans="1:43" s="1242" customFormat="1" ht="15.95" hidden="1" customHeight="1" x14ac:dyDescent="0.25">
      <c r="A93" s="1253" t="str">
        <f t="shared" si="15"/>
        <v/>
      </c>
      <c r="B93" s="1254">
        <v>82</v>
      </c>
      <c r="C93" s="1254" t="str">
        <f>IFERROR(VLOOKUP(A93,'LAC CMA'!F:G,2,FALSE),"")</f>
        <v/>
      </c>
      <c r="D93" s="1349" t="str">
        <f>Schedule_C!D101</f>
        <v/>
      </c>
      <c r="E93" s="1349" t="str">
        <f>Schedule_C!E101</f>
        <v/>
      </c>
      <c r="F93" s="1350" t="str">
        <f>Schedule_C!F101</f>
        <v/>
      </c>
      <c r="G93" s="1351">
        <f>Schedule_C!L101</f>
        <v>0</v>
      </c>
      <c r="H93" s="1352">
        <f>Schedule_C!G101</f>
        <v>0</v>
      </c>
      <c r="I93" s="1353">
        <f t="shared" si="16"/>
        <v>0</v>
      </c>
      <c r="J93" s="1353">
        <f>SUMIFS('LAC 102_Wkst'!$Q$7:$Q$2010,'LAC 102_Wkst'!$A$7:$A$2010,'LAC 103'!$A93,'LAC 102_Wkst'!$N$7:$N$2010,"P5")</f>
        <v>0</v>
      </c>
      <c r="K93" s="1354">
        <f t="shared" si="17"/>
        <v>0</v>
      </c>
      <c r="L93" s="1355">
        <f>IFERROR(VLOOKUP($A93,'LAC CMA'!$F$14:$L$325,3,FALSE),0)</f>
        <v>0</v>
      </c>
      <c r="M93" s="1355">
        <f>IFERROR(VLOOKUP($A93,'LAC CMA'!$F$14:$L$325,5,FALSE),0)</f>
        <v>0</v>
      </c>
      <c r="N93" s="1355">
        <f>IFERROR(VLOOKUP($A93,'LAC CMA'!$F$14:$L$325,7,FALSE),0)</f>
        <v>0</v>
      </c>
      <c r="O93" s="1356">
        <f>IFERROR(VLOOKUP($A93,'LAC CMA'!$F$14:$L$325,6,FALSE),0)</f>
        <v>0</v>
      </c>
      <c r="P93" s="1356">
        <f t="shared" si="18"/>
        <v>0</v>
      </c>
      <c r="Q93" s="1357">
        <f t="shared" si="19"/>
        <v>0</v>
      </c>
      <c r="R93" s="1354">
        <f t="shared" si="20"/>
        <v>0</v>
      </c>
      <c r="S93" s="1405"/>
      <c r="T93" s="1358">
        <f t="shared" si="21"/>
        <v>0</v>
      </c>
      <c r="U93" s="1409"/>
      <c r="V93" s="1410"/>
      <c r="W93" s="1410"/>
      <c r="X93" s="1410"/>
      <c r="Y93" s="1410"/>
      <c r="Z93" s="1410"/>
      <c r="AA93" s="1359">
        <f t="shared" si="22"/>
        <v>0</v>
      </c>
      <c r="AB93" s="1354">
        <f t="shared" si="23"/>
        <v>0</v>
      </c>
      <c r="AC93" s="1262">
        <f>IF($C93="INV",0,SUMIF('LAC 102_Wkst'!$A$7:$A$2010,$A93,'LAC 102_Wkst'!$AR$7:$AR$2010))</f>
        <v>0</v>
      </c>
      <c r="AD93" s="1341">
        <f t="shared" si="24"/>
        <v>0</v>
      </c>
      <c r="AE93" s="1341">
        <f t="shared" si="25"/>
        <v>0</v>
      </c>
      <c r="AF93" s="1341"/>
      <c r="AG93" s="1264"/>
      <c r="AH93" s="1265"/>
      <c r="AI93" s="1264"/>
      <c r="AJ93" s="1266"/>
      <c r="AK93" s="1266"/>
      <c r="AL93" s="1266"/>
      <c r="AM93" s="1266"/>
      <c r="AN93" s="1266"/>
      <c r="AO93" s="637"/>
      <c r="AP93" s="637"/>
      <c r="AQ93" s="637"/>
    </row>
    <row r="94" spans="1:43" s="1242" customFormat="1" ht="15.95" hidden="1" customHeight="1" x14ac:dyDescent="0.25">
      <c r="A94" s="1253" t="str">
        <f t="shared" si="15"/>
        <v/>
      </c>
      <c r="B94" s="1254">
        <v>83</v>
      </c>
      <c r="C94" s="1254" t="str">
        <f>IFERROR(VLOOKUP(A94,'LAC CMA'!F:G,2,FALSE),"")</f>
        <v/>
      </c>
      <c r="D94" s="1349" t="str">
        <f>Schedule_C!D102</f>
        <v/>
      </c>
      <c r="E94" s="1349" t="str">
        <f>Schedule_C!E102</f>
        <v/>
      </c>
      <c r="F94" s="1350" t="str">
        <f>Schedule_C!F102</f>
        <v/>
      </c>
      <c r="G94" s="1351">
        <f>Schedule_C!L102</f>
        <v>0</v>
      </c>
      <c r="H94" s="1352">
        <f>Schedule_C!G102</f>
        <v>0</v>
      </c>
      <c r="I94" s="1353">
        <f t="shared" si="16"/>
        <v>0</v>
      </c>
      <c r="J94" s="1353">
        <f>SUMIFS('LAC 102_Wkst'!$Q$7:$Q$2010,'LAC 102_Wkst'!$A$7:$A$2010,'LAC 103'!$A94,'LAC 102_Wkst'!$N$7:$N$2010,"P5")</f>
        <v>0</v>
      </c>
      <c r="K94" s="1354">
        <f t="shared" si="17"/>
        <v>0</v>
      </c>
      <c r="L94" s="1355">
        <f>IFERROR(VLOOKUP($A94,'LAC CMA'!$F$14:$L$325,3,FALSE),0)</f>
        <v>0</v>
      </c>
      <c r="M94" s="1355">
        <f>IFERROR(VLOOKUP($A94,'LAC CMA'!$F$14:$L$325,5,FALSE),0)</f>
        <v>0</v>
      </c>
      <c r="N94" s="1355">
        <f>IFERROR(VLOOKUP($A94,'LAC CMA'!$F$14:$L$325,7,FALSE),0)</f>
        <v>0</v>
      </c>
      <c r="O94" s="1356">
        <f>IFERROR(VLOOKUP($A94,'LAC CMA'!$F$14:$L$325,6,FALSE),0)</f>
        <v>0</v>
      </c>
      <c r="P94" s="1356">
        <f t="shared" si="18"/>
        <v>0</v>
      </c>
      <c r="Q94" s="1357">
        <f t="shared" si="19"/>
        <v>0</v>
      </c>
      <c r="R94" s="1354">
        <f t="shared" si="20"/>
        <v>0</v>
      </c>
      <c r="S94" s="1405"/>
      <c r="T94" s="1358">
        <f t="shared" si="21"/>
        <v>0</v>
      </c>
      <c r="U94" s="1409"/>
      <c r="V94" s="1410"/>
      <c r="W94" s="1410"/>
      <c r="X94" s="1410"/>
      <c r="Y94" s="1410"/>
      <c r="Z94" s="1410"/>
      <c r="AA94" s="1359">
        <f t="shared" si="22"/>
        <v>0</v>
      </c>
      <c r="AB94" s="1354">
        <f t="shared" si="23"/>
        <v>0</v>
      </c>
      <c r="AC94" s="1262">
        <f>IF($C94="INV",0,SUMIF('LAC 102_Wkst'!$A$7:$A$2010,$A94,'LAC 102_Wkst'!$AR$7:$AR$2010))</f>
        <v>0</v>
      </c>
      <c r="AD94" s="1341">
        <f t="shared" si="24"/>
        <v>0</v>
      </c>
      <c r="AE94" s="1341">
        <f t="shared" si="25"/>
        <v>0</v>
      </c>
      <c r="AF94" s="1341"/>
      <c r="AG94" s="1264"/>
      <c r="AH94" s="1265"/>
      <c r="AI94" s="1264"/>
      <c r="AJ94" s="1266"/>
      <c r="AK94" s="1266"/>
      <c r="AL94" s="1266"/>
      <c r="AM94" s="1266"/>
      <c r="AN94" s="1266"/>
      <c r="AO94" s="637"/>
      <c r="AP94" s="637"/>
      <c r="AQ94" s="637"/>
    </row>
    <row r="95" spans="1:43" s="1242" customFormat="1" ht="15.95" hidden="1" customHeight="1" thickBot="1" x14ac:dyDescent="0.3">
      <c r="A95" s="1255" t="str">
        <f t="shared" si="15"/>
        <v/>
      </c>
      <c r="B95" s="1256">
        <v>84</v>
      </c>
      <c r="C95" s="1256" t="str">
        <f>IFERROR(VLOOKUP(A95,'LAC CMA'!F:G,2,FALSE),"")</f>
        <v/>
      </c>
      <c r="D95" s="1375" t="str">
        <f>Schedule_C!D103</f>
        <v/>
      </c>
      <c r="E95" s="1375" t="str">
        <f>Schedule_C!E103</f>
        <v/>
      </c>
      <c r="F95" s="1376" t="str">
        <f>Schedule_C!F103</f>
        <v/>
      </c>
      <c r="G95" s="1377">
        <f>Schedule_C!L103</f>
        <v>0</v>
      </c>
      <c r="H95" s="1378">
        <f>Schedule_C!G103</f>
        <v>0</v>
      </c>
      <c r="I95" s="1379">
        <f t="shared" si="16"/>
        <v>0</v>
      </c>
      <c r="J95" s="1379">
        <f>SUMIFS('LAC 102_Wkst'!$Q$7:$Q$2010,'LAC 102_Wkst'!$A$7:$A$2010,'LAC 103'!$A95,'LAC 102_Wkst'!$N$7:$N$2010,"P5")</f>
        <v>0</v>
      </c>
      <c r="K95" s="1380">
        <f t="shared" si="17"/>
        <v>0</v>
      </c>
      <c r="L95" s="1381">
        <f>IFERROR(VLOOKUP($A95,'LAC CMA'!$F$14:$L$325,3,FALSE),0)</f>
        <v>0</v>
      </c>
      <c r="M95" s="1381">
        <f>IFERROR(VLOOKUP($A95,'LAC CMA'!$F$14:$L$325,5,FALSE),0)</f>
        <v>0</v>
      </c>
      <c r="N95" s="1381">
        <f>IFERROR(VLOOKUP($A95,'LAC CMA'!$F$14:$L$325,7,FALSE),0)</f>
        <v>0</v>
      </c>
      <c r="O95" s="1382">
        <f>IFERROR(VLOOKUP($A95,'LAC CMA'!$F$14:$L$325,6,FALSE),0)</f>
        <v>0</v>
      </c>
      <c r="P95" s="1382">
        <f t="shared" si="18"/>
        <v>0</v>
      </c>
      <c r="Q95" s="1383">
        <f t="shared" si="19"/>
        <v>0</v>
      </c>
      <c r="R95" s="1380">
        <f t="shared" si="20"/>
        <v>0</v>
      </c>
      <c r="S95" s="1406"/>
      <c r="T95" s="1384">
        <f t="shared" si="21"/>
        <v>0</v>
      </c>
      <c r="U95" s="1411"/>
      <c r="V95" s="1412"/>
      <c r="W95" s="1412"/>
      <c r="X95" s="1412"/>
      <c r="Y95" s="1412"/>
      <c r="Z95" s="1412"/>
      <c r="AA95" s="1385">
        <f t="shared" si="22"/>
        <v>0</v>
      </c>
      <c r="AB95" s="1380">
        <f t="shared" si="23"/>
        <v>0</v>
      </c>
      <c r="AC95" s="1262">
        <f>IF($C95="INV",0,SUMIF('LAC 102_Wkst'!$A$7:$A$2010,$A95,'LAC 102_Wkst'!$AR$7:$AR$2010))</f>
        <v>0</v>
      </c>
      <c r="AD95" s="1341">
        <f t="shared" si="24"/>
        <v>0</v>
      </c>
      <c r="AE95" s="1341">
        <f t="shared" si="25"/>
        <v>0</v>
      </c>
      <c r="AF95" s="1341"/>
      <c r="AG95" s="1264"/>
      <c r="AH95" s="1265"/>
      <c r="AI95" s="1264"/>
      <c r="AJ95" s="1266"/>
      <c r="AK95" s="1266"/>
      <c r="AL95" s="1266"/>
      <c r="AM95" s="1266"/>
      <c r="AN95" s="1266"/>
      <c r="AO95" s="637"/>
      <c r="AP95" s="637"/>
      <c r="AQ95" s="637"/>
    </row>
    <row r="96" spans="1:43" s="1242" customFormat="1" ht="15.95" customHeight="1" thickBot="1" x14ac:dyDescent="0.25">
      <c r="A96" s="1257"/>
      <c r="B96" s="1258"/>
      <c r="C96" s="1258"/>
      <c r="D96" s="1386" t="s">
        <v>1798</v>
      </c>
      <c r="E96" s="1386"/>
      <c r="F96" s="1387"/>
      <c r="G96" s="1388">
        <f>SUM(G12:G95)</f>
        <v>58046099.999999985</v>
      </c>
      <c r="H96" s="1389">
        <f>SUM(H12:H95)</f>
        <v>16230629.633333333</v>
      </c>
      <c r="I96" s="1390">
        <f>SUM(I12:I95)</f>
        <v>14155555.25</v>
      </c>
      <c r="J96" s="1390">
        <f>SUM(J12:J95)</f>
        <v>2075074.3833333333</v>
      </c>
      <c r="K96" s="1391"/>
      <c r="L96" s="1392"/>
      <c r="M96" s="1392"/>
      <c r="N96" s="1392"/>
      <c r="O96" s="1393"/>
      <c r="P96" s="1393"/>
      <c r="Q96" s="1394"/>
      <c r="R96" s="1395">
        <f t="shared" ref="R96:AE96" si="26">SUM(R12:R95)</f>
        <v>56472778.941427946</v>
      </c>
      <c r="S96" s="1396">
        <f>SUM(S12:S95)</f>
        <v>0</v>
      </c>
      <c r="T96" s="1396">
        <f>SUM(T12:T95)</f>
        <v>56472778.941427946</v>
      </c>
      <c r="U96" s="1397">
        <f t="shared" si="26"/>
        <v>31252</v>
      </c>
      <c r="V96" s="1398">
        <f t="shared" si="26"/>
        <v>125270</v>
      </c>
      <c r="W96" s="1398">
        <f t="shared" si="26"/>
        <v>186911</v>
      </c>
      <c r="X96" s="1398">
        <f t="shared" si="26"/>
        <v>0</v>
      </c>
      <c r="Y96" s="1398">
        <f t="shared" si="26"/>
        <v>0</v>
      </c>
      <c r="Z96" s="1398">
        <f t="shared" si="26"/>
        <v>0</v>
      </c>
      <c r="AA96" s="1398">
        <f t="shared" si="26"/>
        <v>343433</v>
      </c>
      <c r="AB96" s="1395">
        <f t="shared" si="26"/>
        <v>56129345.941427946</v>
      </c>
      <c r="AC96" s="1399">
        <f t="shared" si="26"/>
        <v>53362650.941427968</v>
      </c>
      <c r="AD96" s="1400">
        <f t="shared" si="26"/>
        <v>0</v>
      </c>
      <c r="AE96" s="1401">
        <f t="shared" si="26"/>
        <v>1573321.0585720423</v>
      </c>
      <c r="AF96" s="1341"/>
      <c r="AG96" s="1264"/>
      <c r="AH96" s="1265"/>
      <c r="AI96" s="1264"/>
      <c r="AJ96" s="1266"/>
      <c r="AK96" s="1266"/>
      <c r="AL96" s="1266"/>
      <c r="AM96" s="1266"/>
      <c r="AN96" s="1266"/>
      <c r="AO96" s="637"/>
      <c r="AP96" s="637"/>
      <c r="AQ96" s="637"/>
    </row>
    <row r="97" spans="4:43" x14ac:dyDescent="0.2">
      <c r="D97" s="1181"/>
      <c r="E97" s="1181"/>
      <c r="F97" s="1181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1274">
        <f>G96-R96</f>
        <v>1573321.058572039</v>
      </c>
      <c r="S97" s="378"/>
      <c r="T97" s="378"/>
      <c r="U97" s="378"/>
      <c r="V97" s="378"/>
      <c r="W97" s="378"/>
      <c r="X97" s="378"/>
      <c r="Y97" s="378"/>
      <c r="Z97" s="383" t="s">
        <v>2004</v>
      </c>
      <c r="AA97" s="1274">
        <f>'LAC 102_Wkst'!AE2011</f>
        <v>343433</v>
      </c>
      <c r="AB97" s="1274">
        <f>'LAC 102_Wkst'!AR2013</f>
        <v>56129345.941427812</v>
      </c>
      <c r="AC97" s="1274"/>
      <c r="AD97" s="1275"/>
      <c r="AE97" s="1275"/>
      <c r="AF97" s="1275"/>
      <c r="AG97" s="644"/>
      <c r="AH97" s="653"/>
      <c r="AI97" s="644"/>
      <c r="AJ97" s="1276"/>
      <c r="AK97" s="1276"/>
      <c r="AL97" s="1276"/>
      <c r="AM97" s="1276"/>
      <c r="AN97" s="1276"/>
      <c r="AO97" s="1277"/>
      <c r="AP97" s="1277"/>
      <c r="AQ97" s="1277"/>
    </row>
    <row r="98" spans="4:43" x14ac:dyDescent="0.2">
      <c r="D98" s="1181"/>
      <c r="E98" s="1181"/>
      <c r="F98" s="1181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  <c r="Y98" s="378"/>
      <c r="Z98" s="378"/>
      <c r="AA98" s="1181" t="str">
        <f>IF(ABS(AA96-AA97)&lt;2,"OK","Error")</f>
        <v>OK</v>
      </c>
      <c r="AB98" s="1181" t="str">
        <f>IF(ABS(AB96-AB97)&lt;2,"OK","Error")</f>
        <v>OK</v>
      </c>
      <c r="AC98" s="1274"/>
      <c r="AD98" s="1275" t="s">
        <v>2008</v>
      </c>
      <c r="AE98" s="1402">
        <f>SUMIF($C$12:$C$95,"IP",$AE$12:$AE$95)+SUMIF($C$12:$C$95,"IPadm",$AE$12:$AE$95)</f>
        <v>0</v>
      </c>
      <c r="AF98" s="1275"/>
      <c r="AG98" s="644"/>
      <c r="AH98" s="653"/>
      <c r="AI98" s="644"/>
      <c r="AJ98" s="1276"/>
      <c r="AK98" s="1276"/>
      <c r="AL98" s="1276"/>
      <c r="AM98" s="1276"/>
      <c r="AN98" s="1276"/>
      <c r="AO98" s="1277"/>
      <c r="AP98" s="1277"/>
      <c r="AQ98" s="1277"/>
    </row>
    <row r="99" spans="4:43" x14ac:dyDescent="0.2">
      <c r="D99" s="1181"/>
      <c r="E99" s="1181"/>
      <c r="F99" s="1181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  <c r="Y99" s="378"/>
      <c r="Z99" s="378"/>
      <c r="AA99" s="378"/>
      <c r="AB99" s="378"/>
      <c r="AC99" s="1274"/>
      <c r="AD99" s="1275" t="s">
        <v>2009</v>
      </c>
      <c r="AE99" s="1402">
        <f>SUMIFS($AE$12:$AE$95,$C$12:$C$95,"OP",$E$12:$E$95,"05")</f>
        <v>38816.764815380331</v>
      </c>
      <c r="AF99" s="1275"/>
      <c r="AG99" s="644"/>
      <c r="AH99" s="653"/>
      <c r="AI99" s="644"/>
      <c r="AJ99" s="1276"/>
      <c r="AK99" s="1276"/>
      <c r="AL99" s="1276"/>
      <c r="AM99" s="1276"/>
      <c r="AN99" s="1276"/>
      <c r="AO99" s="1277"/>
      <c r="AP99" s="1277"/>
      <c r="AQ99" s="1277"/>
    </row>
    <row r="100" spans="4:43" x14ac:dyDescent="0.2">
      <c r="D100" s="1181"/>
      <c r="E100" s="1181"/>
      <c r="F100" s="1181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8"/>
      <c r="Z100" s="378"/>
      <c r="AA100" s="378"/>
      <c r="AB100" s="378"/>
      <c r="AC100" s="1274"/>
      <c r="AD100" s="1275" t="s">
        <v>1978</v>
      </c>
      <c r="AE100" s="1402">
        <f>SUMIFS($AE$12:$AE$95,$C$12:$C$95,"OP",$E$12:$E$95,"10")</f>
        <v>0</v>
      </c>
      <c r="AF100" s="1275"/>
      <c r="AG100" s="644"/>
      <c r="AH100" s="653"/>
      <c r="AI100" s="644"/>
      <c r="AJ100" s="1276"/>
      <c r="AK100" s="1276"/>
      <c r="AL100" s="1276"/>
      <c r="AM100" s="1276"/>
      <c r="AN100" s="1276"/>
      <c r="AO100" s="1277"/>
      <c r="AP100" s="1277"/>
      <c r="AQ100" s="1277"/>
    </row>
    <row r="101" spans="4:43" ht="15.75" thickBot="1" x14ac:dyDescent="0.25">
      <c r="D101" s="1181"/>
      <c r="E101" s="1181"/>
      <c r="F101" s="1181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8"/>
      <c r="Z101" s="378"/>
      <c r="AA101" s="378"/>
      <c r="AB101" s="378"/>
      <c r="AC101" s="1274"/>
      <c r="AD101" s="1275" t="s">
        <v>1979</v>
      </c>
      <c r="AE101" s="1402">
        <f>SUMIFS($AE$12:$AE$95,$C$12:$C$95,"OP",$E$12:$E$95,"15")</f>
        <v>1534504.2937566619</v>
      </c>
      <c r="AF101" s="1275"/>
      <c r="AG101" s="644"/>
      <c r="AH101" s="653"/>
      <c r="AI101" s="644"/>
      <c r="AJ101" s="1276"/>
      <c r="AK101" s="1276"/>
      <c r="AL101" s="1276"/>
      <c r="AM101" s="1276"/>
      <c r="AN101" s="1276"/>
      <c r="AO101" s="1277"/>
      <c r="AP101" s="1277"/>
      <c r="AQ101" s="1277"/>
    </row>
    <row r="102" spans="4:43" ht="15.75" thickBot="1" x14ac:dyDescent="0.25">
      <c r="D102" s="1181"/>
      <c r="E102" s="1181"/>
      <c r="F102" s="1181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8"/>
      <c r="Z102" s="378"/>
      <c r="AA102" s="378"/>
      <c r="AB102" s="378"/>
      <c r="AC102" s="1274"/>
      <c r="AD102" s="1275" t="s">
        <v>258</v>
      </c>
      <c r="AE102" s="1403">
        <f>SUM(AE98:AE101)</f>
        <v>1573321.0585720423</v>
      </c>
      <c r="AF102" s="1275"/>
      <c r="AG102" s="644"/>
      <c r="AH102" s="653"/>
      <c r="AI102" s="644"/>
      <c r="AJ102" s="1276"/>
      <c r="AK102" s="1276"/>
      <c r="AL102" s="1276"/>
      <c r="AM102" s="1276"/>
      <c r="AN102" s="1276"/>
      <c r="AO102" s="1277"/>
      <c r="AP102" s="1277"/>
      <c r="AQ102" s="1277"/>
    </row>
    <row r="103" spans="4:43" x14ac:dyDescent="0.2">
      <c r="D103" s="1181"/>
      <c r="E103" s="1181"/>
      <c r="F103" s="1181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8"/>
      <c r="Z103" s="378"/>
      <c r="AA103" s="378"/>
      <c r="AB103" s="378"/>
      <c r="AC103" s="1274"/>
      <c r="AD103" s="1275"/>
      <c r="AE103" s="1275" t="str">
        <f>IF(ABS(AE102-AE96)&lt;3,"OK","Error")</f>
        <v>OK</v>
      </c>
      <c r="AF103" s="1275"/>
      <c r="AG103" s="644"/>
      <c r="AH103" s="653"/>
      <c r="AI103" s="644"/>
      <c r="AJ103" s="1276"/>
      <c r="AK103" s="1276"/>
      <c r="AL103" s="1276"/>
      <c r="AM103" s="1276"/>
      <c r="AN103" s="1276"/>
      <c r="AO103" s="1277"/>
      <c r="AP103" s="1277"/>
      <c r="AQ103" s="1277"/>
    </row>
  </sheetData>
  <sheetProtection algorithmName="SHA-512" hashValue="sefS1iZ0wVzGxdII+SSCgEBkBav6ABT+E47nECWTwZq1rtmz0G2LUr7BwBigtJUH6Maqmi6CuCI7js/iIPFMxw==" saltValue="fTZj5q2O+kjE2GMMv0uYbQ==" spinCount="100000" sheet="1" objects="1" scenarios="1" autoFilter="0"/>
  <autoFilter ref="A11:AQ103" xr:uid="{8619A195-65B0-4D4B-ACF5-0D37AEC8E0C2}">
    <filterColumn colId="27">
      <filters blank="1">
        <filter val="$1,004,178.28"/>
        <filter val="$1,012,934.01"/>
        <filter val="$1,050,438.00"/>
        <filter val="$1,050.00"/>
        <filter val="$1,120,424.23"/>
        <filter val="$128,207.90"/>
        <filter val="$142,246.00"/>
        <filter val="$164,774.19"/>
        <filter val="$2,271,461.00"/>
        <filter val="$2,870,888.37"/>
        <filter val="$2,875,378.97"/>
        <filter val="$22,069.78"/>
        <filter val="$243,195.87"/>
        <filter val="$28,013,530.02"/>
        <filter val="$3,820,612.84"/>
        <filter val="$4,890,842.32"/>
        <filter val="$436,019.96"/>
        <filter val="$5,093,447.33"/>
        <filter val="$56,827,845.94"/>
        <filter val="$668,077.15"/>
        <filter val="$998,069.74"/>
        <filter val="OK"/>
      </filters>
    </filterColumn>
  </autoFilter>
  <mergeCells count="2">
    <mergeCell ref="X10:Z10"/>
    <mergeCell ref="U9:AA9"/>
  </mergeCells>
  <phoneticPr fontId="48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3528-9429-40F8-B336-34B61734C82E}">
  <dimension ref="A1:AT2033"/>
  <sheetViews>
    <sheetView topLeftCell="AE1" zoomScaleNormal="100" workbookViewId="0">
      <pane ySplit="6" topLeftCell="A1996" activePane="bottomLeft" state="frozen"/>
      <selection activeCell="C1" sqref="C1"/>
      <selection pane="bottomLeft" activeCell="AK2027" sqref="AK2027"/>
    </sheetView>
  </sheetViews>
  <sheetFormatPr defaultRowHeight="14.25" x14ac:dyDescent="0.2"/>
  <cols>
    <col min="1" max="1" width="5.6640625" style="639" hidden="1" customWidth="1"/>
    <col min="2" max="2" width="5.21875" style="639" hidden="1" customWidth="1"/>
    <col min="3" max="7" width="7.77734375" style="640" customWidth="1"/>
    <col min="8" max="8" width="33.88671875" style="640" bestFit="1" customWidth="1"/>
    <col min="9" max="9" width="7.77734375" style="640" customWidth="1"/>
    <col min="10" max="10" width="12.77734375" style="640" customWidth="1"/>
    <col min="11" max="11" width="31.6640625" style="639" bestFit="1" customWidth="1"/>
    <col min="12" max="12" width="7.77734375" style="640" customWidth="1"/>
    <col min="13" max="13" width="14.77734375" style="639" customWidth="1"/>
    <col min="14" max="14" width="7.77734375" style="640" customWidth="1"/>
    <col min="15" max="17" width="12.77734375" style="1124" customWidth="1"/>
    <col min="18" max="22" width="9.77734375" style="639" customWidth="1"/>
    <col min="23" max="23" width="12.21875" style="639" customWidth="1"/>
    <col min="24" max="24" width="10.77734375" style="639" customWidth="1"/>
    <col min="25" max="29" width="12.77734375" style="639" customWidth="1"/>
    <col min="30" max="30" width="15.77734375" style="639" customWidth="1"/>
    <col min="31" max="36" width="12.77734375" style="639" customWidth="1"/>
    <col min="37" max="44" width="13.77734375" style="639" customWidth="1"/>
    <col min="45" max="16384" width="8.88671875" style="639"/>
  </cols>
  <sheetData>
    <row r="1" spans="1:46" ht="24.95" customHeight="1" x14ac:dyDescent="0.3">
      <c r="A1" s="644"/>
      <c r="B1" s="644"/>
      <c r="C1" s="1422" t="s">
        <v>1958</v>
      </c>
      <c r="D1" s="653"/>
      <c r="E1" s="653"/>
      <c r="F1" s="653"/>
      <c r="G1" s="653"/>
      <c r="H1" s="653"/>
      <c r="I1" s="653"/>
      <c r="J1" s="653"/>
      <c r="K1" s="644"/>
      <c r="L1" s="653"/>
      <c r="M1" s="644"/>
      <c r="N1" s="653"/>
      <c r="O1" s="1423"/>
      <c r="P1" s="1423"/>
      <c r="Q1" s="1423"/>
      <c r="R1" s="644"/>
      <c r="S1" s="644"/>
      <c r="T1" s="644"/>
      <c r="U1" s="644"/>
      <c r="V1" s="644"/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</row>
    <row r="2" spans="1:46" ht="24.95" customHeight="1" x14ac:dyDescent="0.3">
      <c r="A2" s="644"/>
      <c r="B2" s="644"/>
      <c r="C2" s="1422" t="s">
        <v>310</v>
      </c>
      <c r="D2" s="653"/>
      <c r="E2" s="653"/>
      <c r="F2" s="653"/>
      <c r="G2" s="653"/>
      <c r="H2" s="653"/>
      <c r="I2" s="653"/>
      <c r="J2" s="653"/>
      <c r="K2" s="644"/>
      <c r="L2" s="653"/>
      <c r="M2" s="644"/>
      <c r="N2" s="653"/>
      <c r="O2" s="1423"/>
      <c r="P2" s="1423"/>
      <c r="Q2" s="1424" t="str">
        <f>IF(ABS(Q2011-Schedule_C!G104)&lt;5,"OK","ERROR")</f>
        <v>OK</v>
      </c>
      <c r="R2" s="1425"/>
      <c r="S2" s="1425"/>
      <c r="T2" s="1425"/>
      <c r="U2" s="1425"/>
      <c r="V2" s="1425"/>
      <c r="W2" s="1425"/>
      <c r="X2" s="1425"/>
      <c r="Y2" s="1426" t="str">
        <f>IF(ABS(Y2011-Schedule_C!E118-Schedule_C!K118+AR2012)&lt;5,"OK","Error")</f>
        <v>OK</v>
      </c>
      <c r="Z2" s="1425"/>
      <c r="AA2" s="1425"/>
      <c r="AB2" s="1425"/>
      <c r="AC2" s="1425"/>
      <c r="AD2" s="1425"/>
      <c r="AE2" s="1427" t="str">
        <f>IF(ABS(AE2011-Schedule_C!K118-'LAC 103'!AA96)&lt;2,"OK","Error")</f>
        <v>OK</v>
      </c>
      <c r="AF2" s="1427" t="str">
        <f>IF(ABS(AF2013-'LAC 103'!$AB$96)&lt;5,"OK","Error")</f>
        <v>OK</v>
      </c>
      <c r="AG2" s="1425"/>
      <c r="AH2" s="1425"/>
      <c r="AI2" s="1425"/>
      <c r="AJ2" s="1425"/>
      <c r="AK2" s="1425"/>
      <c r="AL2" s="1425"/>
      <c r="AM2" s="1425"/>
      <c r="AN2" s="1425"/>
      <c r="AO2" s="1425"/>
      <c r="AP2" s="1425"/>
      <c r="AQ2" s="1425"/>
      <c r="AR2" s="1426" t="str">
        <f>IF(ABS(AR2013-'LAC 103'!$AB$96)&lt;5,"OK","Error")</f>
        <v>OK</v>
      </c>
    </row>
    <row r="3" spans="1:46" s="1204" customFormat="1" ht="15.75" customHeight="1" x14ac:dyDescent="0.2">
      <c r="A3" s="1428"/>
      <c r="B3" s="1428"/>
      <c r="C3" s="1429"/>
      <c r="D3" s="1429"/>
      <c r="E3" s="1429"/>
      <c r="F3" s="1429"/>
      <c r="G3" s="1429"/>
      <c r="H3" s="1429"/>
      <c r="I3" s="1429"/>
      <c r="J3" s="1429"/>
      <c r="K3" s="1428"/>
      <c r="L3" s="1429"/>
      <c r="M3" s="1428"/>
      <c r="N3" s="1429"/>
      <c r="O3" s="1430"/>
      <c r="P3" s="1430"/>
      <c r="Q3" s="1431"/>
      <c r="R3" s="1428"/>
      <c r="S3" s="1428"/>
      <c r="T3" s="1428"/>
      <c r="U3" s="1428"/>
      <c r="V3" s="1428"/>
      <c r="W3" s="1428"/>
      <c r="X3" s="1428"/>
      <c r="Y3" s="1428"/>
      <c r="Z3" s="1428"/>
      <c r="AA3" s="1428"/>
      <c r="AB3" s="1428"/>
      <c r="AC3" s="1428"/>
      <c r="AD3" s="1428"/>
      <c r="AE3" s="1428"/>
      <c r="AF3" s="1428"/>
      <c r="AG3" s="1428"/>
      <c r="AH3" s="1428"/>
      <c r="AI3" s="1428"/>
      <c r="AJ3" s="1428"/>
      <c r="AK3" s="1428"/>
      <c r="AL3" s="1428"/>
      <c r="AM3" s="1428"/>
      <c r="AN3" s="1428"/>
      <c r="AO3" s="1428"/>
      <c r="AP3" s="1428"/>
      <c r="AQ3" s="1428"/>
      <c r="AR3" s="1428"/>
    </row>
    <row r="4" spans="1:46" ht="15.75" customHeight="1" thickBot="1" x14ac:dyDescent="0.25">
      <c r="A4" s="644"/>
      <c r="B4" s="644"/>
      <c r="C4" s="653">
        <v>1</v>
      </c>
      <c r="D4" s="653">
        <v>2</v>
      </c>
      <c r="E4" s="653">
        <v>3</v>
      </c>
      <c r="F4" s="653">
        <v>4</v>
      </c>
      <c r="G4" s="653">
        <v>5</v>
      </c>
      <c r="H4" s="653">
        <v>6</v>
      </c>
      <c r="I4" s="653">
        <v>7</v>
      </c>
      <c r="J4" s="653">
        <v>8</v>
      </c>
      <c r="K4" s="653">
        <v>9</v>
      </c>
      <c r="L4" s="653">
        <v>10</v>
      </c>
      <c r="M4" s="653">
        <v>11</v>
      </c>
      <c r="N4" s="653">
        <v>12</v>
      </c>
      <c r="O4" s="653">
        <v>13</v>
      </c>
      <c r="P4" s="653">
        <v>14</v>
      </c>
      <c r="Q4" s="653" t="s">
        <v>1960</v>
      </c>
      <c r="R4" s="653">
        <v>16</v>
      </c>
      <c r="S4" s="653">
        <v>17</v>
      </c>
      <c r="T4" s="653">
        <v>18</v>
      </c>
      <c r="U4" s="653">
        <v>19</v>
      </c>
      <c r="V4" s="653">
        <v>20</v>
      </c>
      <c r="W4" s="653">
        <v>21</v>
      </c>
      <c r="X4" s="653">
        <v>22</v>
      </c>
      <c r="Y4" s="653" t="s">
        <v>1961</v>
      </c>
      <c r="Z4" s="653" t="s">
        <v>1962</v>
      </c>
      <c r="AA4" s="653" t="s">
        <v>1963</v>
      </c>
      <c r="AB4" s="653" t="s">
        <v>1964</v>
      </c>
      <c r="AC4" s="653" t="s">
        <v>1965</v>
      </c>
      <c r="AD4" s="653" t="s">
        <v>1966</v>
      </c>
      <c r="AE4" s="653">
        <v>29</v>
      </c>
      <c r="AF4" s="653" t="s">
        <v>2131</v>
      </c>
      <c r="AG4" s="653">
        <v>31</v>
      </c>
      <c r="AH4" s="653">
        <v>32</v>
      </c>
      <c r="AI4" s="653">
        <v>33</v>
      </c>
      <c r="AJ4" s="653">
        <v>34</v>
      </c>
      <c r="AK4" s="653" t="s">
        <v>1967</v>
      </c>
      <c r="AL4" s="653" t="s">
        <v>1968</v>
      </c>
      <c r="AM4" s="653" t="s">
        <v>1969</v>
      </c>
      <c r="AN4" s="653" t="s">
        <v>1970</v>
      </c>
      <c r="AO4" s="653" t="s">
        <v>1971</v>
      </c>
      <c r="AP4" s="653">
        <v>40</v>
      </c>
      <c r="AQ4" s="653">
        <v>41</v>
      </c>
      <c r="AR4" s="653" t="s">
        <v>1972</v>
      </c>
      <c r="AS4" s="640"/>
      <c r="AT4" s="640"/>
    </row>
    <row r="5" spans="1:46" ht="16.5" customHeight="1" thickBot="1" x14ac:dyDescent="0.25">
      <c r="A5" s="644"/>
      <c r="B5" s="644"/>
      <c r="C5" s="653"/>
      <c r="D5" s="653"/>
      <c r="E5" s="653"/>
      <c r="F5" s="653"/>
      <c r="G5" s="653"/>
      <c r="H5" s="653"/>
      <c r="I5" s="653"/>
      <c r="J5" s="653"/>
      <c r="K5" s="644"/>
      <c r="L5" s="653"/>
      <c r="M5" s="644"/>
      <c r="N5" s="653"/>
      <c r="O5" s="1423"/>
      <c r="P5" s="1423"/>
      <c r="Q5" s="1423"/>
      <c r="R5" s="1797" t="s">
        <v>1785</v>
      </c>
      <c r="S5" s="1798"/>
      <c r="T5" s="1798"/>
      <c r="U5" s="1798"/>
      <c r="V5" s="1798"/>
      <c r="W5" s="1798"/>
      <c r="X5" s="1799"/>
      <c r="Y5" s="1800" t="s">
        <v>1910</v>
      </c>
      <c r="Z5" s="1801"/>
      <c r="AA5" s="1801"/>
      <c r="AB5" s="1801"/>
      <c r="AC5" s="1801"/>
      <c r="AD5" s="1802"/>
      <c r="AE5" s="644"/>
      <c r="AF5" s="644"/>
      <c r="AG5" s="1797" t="s">
        <v>1786</v>
      </c>
      <c r="AH5" s="1798"/>
      <c r="AI5" s="1798"/>
      <c r="AJ5" s="1799"/>
      <c r="AK5" s="644"/>
      <c r="AL5" s="644"/>
      <c r="AM5" s="644"/>
      <c r="AN5" s="644"/>
      <c r="AO5" s="644"/>
      <c r="AP5" s="644"/>
      <c r="AQ5" s="644"/>
      <c r="AR5" s="644"/>
    </row>
    <row r="6" spans="1:46" s="1125" customFormat="1" ht="42.75" customHeight="1" thickBot="1" x14ac:dyDescent="0.25">
      <c r="A6" s="1432" t="s">
        <v>1797</v>
      </c>
      <c r="B6" s="1432" t="s">
        <v>1703</v>
      </c>
      <c r="C6" s="1432" t="s">
        <v>1702</v>
      </c>
      <c r="D6" s="1432" t="s">
        <v>844</v>
      </c>
      <c r="E6" s="1432" t="s">
        <v>212</v>
      </c>
      <c r="F6" s="1432" t="s">
        <v>1652</v>
      </c>
      <c r="G6" s="1432" t="s">
        <v>1701</v>
      </c>
      <c r="H6" s="1432" t="s">
        <v>1651</v>
      </c>
      <c r="I6" s="1432" t="s">
        <v>932</v>
      </c>
      <c r="J6" s="1432" t="s">
        <v>1704</v>
      </c>
      <c r="K6" s="1432" t="s">
        <v>1691</v>
      </c>
      <c r="L6" s="1432" t="s">
        <v>845</v>
      </c>
      <c r="M6" s="1432" t="s">
        <v>838</v>
      </c>
      <c r="N6" s="1432" t="s">
        <v>1697</v>
      </c>
      <c r="O6" s="1433" t="s">
        <v>1783</v>
      </c>
      <c r="P6" s="1433" t="s">
        <v>1696</v>
      </c>
      <c r="Q6" s="1434" t="s">
        <v>1784</v>
      </c>
      <c r="R6" s="1435" t="s">
        <v>1781</v>
      </c>
      <c r="S6" s="1436" t="s">
        <v>319</v>
      </c>
      <c r="T6" s="1436" t="s">
        <v>1782</v>
      </c>
      <c r="U6" s="1436" t="s">
        <v>38</v>
      </c>
      <c r="V6" s="1436" t="s">
        <v>778</v>
      </c>
      <c r="W6" s="1437" t="s">
        <v>1959</v>
      </c>
      <c r="X6" s="1438" t="s">
        <v>1707</v>
      </c>
      <c r="Y6" s="1439" t="s">
        <v>272</v>
      </c>
      <c r="Z6" s="1440" t="s">
        <v>319</v>
      </c>
      <c r="AA6" s="1432" t="s">
        <v>1782</v>
      </c>
      <c r="AB6" s="1432" t="s">
        <v>38</v>
      </c>
      <c r="AC6" s="1432" t="s">
        <v>778</v>
      </c>
      <c r="AD6" s="1441" t="s">
        <v>1709</v>
      </c>
      <c r="AE6" s="1440" t="s">
        <v>1708</v>
      </c>
      <c r="AF6" s="1442" t="s">
        <v>1037</v>
      </c>
      <c r="AG6" s="1443" t="s">
        <v>1710</v>
      </c>
      <c r="AH6" s="1444" t="s">
        <v>1711</v>
      </c>
      <c r="AI6" s="1444" t="s">
        <v>1712</v>
      </c>
      <c r="AJ6" s="1445" t="s">
        <v>1040</v>
      </c>
      <c r="AK6" s="1443" t="s">
        <v>1710</v>
      </c>
      <c r="AL6" s="1444" t="s">
        <v>1711</v>
      </c>
      <c r="AM6" s="1444" t="s">
        <v>1712</v>
      </c>
      <c r="AN6" s="1446" t="s">
        <v>1040</v>
      </c>
      <c r="AO6" s="1447" t="s">
        <v>1787</v>
      </c>
      <c r="AP6" s="1448" t="s">
        <v>1780</v>
      </c>
      <c r="AQ6" s="1444" t="s">
        <v>1706</v>
      </c>
      <c r="AR6" s="1445" t="s">
        <v>1117</v>
      </c>
    </row>
    <row r="7" spans="1:46" ht="15" thickTop="1" x14ac:dyDescent="0.2">
      <c r="A7" s="1127" t="str">
        <f>IF(CONCATENATE(E7,G7)="","",CONCATENATE(E7,G7))</f>
        <v>0543</v>
      </c>
      <c r="B7" s="1127" t="str">
        <f>IFERROR(VLOOKUP(A7,'LAC 103'!A:C,3,FALSE),"")</f>
        <v>OP</v>
      </c>
      <c r="C7" s="1474" t="str">
        <f>Info!$B$8</f>
        <v>00100</v>
      </c>
      <c r="D7" s="1474" t="s">
        <v>1100</v>
      </c>
      <c r="E7" s="1474" t="s">
        <v>45</v>
      </c>
      <c r="F7" s="1474" t="s">
        <v>394</v>
      </c>
      <c r="G7" s="1474" t="s">
        <v>394</v>
      </c>
      <c r="H7" s="1474" t="s">
        <v>970</v>
      </c>
      <c r="I7" s="1474" t="s">
        <v>817</v>
      </c>
      <c r="J7" s="1474" t="s">
        <v>123</v>
      </c>
      <c r="K7" s="1475" t="s">
        <v>849</v>
      </c>
      <c r="L7" s="1474" t="s">
        <v>77</v>
      </c>
      <c r="M7" s="1476" t="s">
        <v>1699</v>
      </c>
      <c r="N7" s="1477" t="s">
        <v>1694</v>
      </c>
      <c r="O7" s="1476">
        <v>187</v>
      </c>
      <c r="P7" s="1476"/>
      <c r="Q7" s="1128">
        <f>O7+P7</f>
        <v>187</v>
      </c>
      <c r="R7" s="1129">
        <f>IFERROR(VLOOKUP(CONCATENATE($E7,$G7),'LAC 103'!$A$12:$O$95,11,FALSE),0)</f>
        <v>523.41570279932807</v>
      </c>
      <c r="S7" s="1130">
        <f>IFERROR(VLOOKUP(CONCATENATE($E7,$G7),'LAC 103'!$A$12:$O$95,12,FALSE),0)</f>
        <v>487.59</v>
      </c>
      <c r="T7" s="1130">
        <f>IFERROR(VLOOKUP(CONCATENATE($E7,$G7),'LAC 103'!$A$12:$O$95,13,FALSE),0)</f>
        <v>404.71</v>
      </c>
      <c r="U7" s="1130">
        <f>IFERROR(VLOOKUP(CONCATENATE($E7,$G7),'LAC 103'!$A$12:$O$95,14,FALSE),0)</f>
        <v>0</v>
      </c>
      <c r="V7" s="1130">
        <f>IFERROR(VLOOKUP(CONCATENATE($E7,$G7),'LAC 103'!$A$12:$O$95,15,FALSE),0)</f>
        <v>0</v>
      </c>
      <c r="W7" s="1131" t="str">
        <f>IFERROR(VLOOKUP(CONCATENATE($B7,$N7),'LAC 103'!$AI:$AQ,9,FALSE),"")</f>
        <v>Costs</v>
      </c>
      <c r="X7" s="1132">
        <f>IF($W7="Costs",$R7,IF($W7="CMA",$S7,IF($W7="P.C.",$T7,IF($W7="SMA",$U7,$V7))))</f>
        <v>523.41570279932807</v>
      </c>
      <c r="Y7" s="1129">
        <f>$Q7*R7</f>
        <v>97878.736423474344</v>
      </c>
      <c r="Z7" s="1133">
        <f>IF(S7=0,Y7,$Q7*S7)</f>
        <v>91179.33</v>
      </c>
      <c r="AA7" s="1130">
        <f>IF(T7=0,Y7,$Q7*T7)</f>
        <v>75680.76999999999</v>
      </c>
      <c r="AB7" s="1130">
        <f>$Q7*U7</f>
        <v>0</v>
      </c>
      <c r="AC7" s="1130">
        <f>$Q7*V7</f>
        <v>0</v>
      </c>
      <c r="AD7" s="1134">
        <f t="shared" ref="AD7:AD70" si="0">Q7*X7</f>
        <v>97878.736423474344</v>
      </c>
      <c r="AE7" s="1486">
        <v>0</v>
      </c>
      <c r="AF7" s="1131">
        <f>AD7-AE7</f>
        <v>97878.736423474344</v>
      </c>
      <c r="AG7" s="1135">
        <f>IFERROR(VLOOKUP(CONCATENATE($L7,$N7),'Drop List'!$G$23:$K$87,2,FALSE),0)</f>
        <v>0.9</v>
      </c>
      <c r="AH7" s="1136">
        <f>IFERROR(VLOOKUP(CONCATENATE($L7,$N7),'Drop List'!$G$23:$K$87,3,FALSE),0)</f>
        <v>0</v>
      </c>
      <c r="AI7" s="1136">
        <f>IFERROR(VLOOKUP(CONCATENATE($L7,$N7),'Drop List'!$G$23:$K$87,4,FALSE),0)</f>
        <v>0.1</v>
      </c>
      <c r="AJ7" s="1137">
        <f>IFERROR(VLOOKUP(CONCATENATE($L7,$N7),'Drop List'!$G$23:$K$87,5,FALSE),0)</f>
        <v>0</v>
      </c>
      <c r="AK7" s="1138">
        <f>IFERROR($AF7*AG7,0)</f>
        <v>88090.862781126911</v>
      </c>
      <c r="AL7" s="1139">
        <f>IFERROR($AF7*AH7,0)</f>
        <v>0</v>
      </c>
      <c r="AM7" s="1139">
        <f>IFERROR($AF7*AI7,0)</f>
        <v>9787.8736423474347</v>
      </c>
      <c r="AN7" s="1131">
        <f>IFERROR($AF7*AJ7,0)</f>
        <v>0</v>
      </c>
      <c r="AO7" s="1140">
        <f>SUM(AK7:AN7)</f>
        <v>97878.736423474344</v>
      </c>
      <c r="AP7" s="1133">
        <f t="shared" ref="AP7:AP70" si="1">IF($L7="14",$AF7,0)</f>
        <v>0</v>
      </c>
      <c r="AQ7" s="1130">
        <f t="shared" ref="AQ7:AQ70" si="2">IF($L7="15",$AF7,0)</f>
        <v>0</v>
      </c>
      <c r="AR7" s="1132">
        <f t="shared" ref="AR7:AR70" si="3">AO7+AP7+AQ7</f>
        <v>97878.736423474344</v>
      </c>
    </row>
    <row r="8" spans="1:46" x14ac:dyDescent="0.2">
      <c r="A8" s="1141" t="str">
        <f t="shared" ref="A8:A69" si="4">IF(CONCATENATE(E8,G8)="","",CONCATENATE(E8,G8))</f>
        <v>0543</v>
      </c>
      <c r="B8" s="1141" t="str">
        <f>IFERROR(VLOOKUP(A8,'LAC 103'!A:C,3,FALSE),"")</f>
        <v>OP</v>
      </c>
      <c r="C8" s="1478" t="str">
        <f>Info!$B$8</f>
        <v>00100</v>
      </c>
      <c r="D8" s="1474" t="s">
        <v>1100</v>
      </c>
      <c r="E8" s="1474" t="s">
        <v>45</v>
      </c>
      <c r="F8" s="1478" t="s">
        <v>394</v>
      </c>
      <c r="G8" s="1478" t="s">
        <v>394</v>
      </c>
      <c r="H8" s="1474" t="s">
        <v>970</v>
      </c>
      <c r="I8" s="1478" t="s">
        <v>817</v>
      </c>
      <c r="J8" s="1478"/>
      <c r="K8" s="1475" t="s">
        <v>849</v>
      </c>
      <c r="L8" s="1474" t="s">
        <v>77</v>
      </c>
      <c r="M8" s="1476" t="s">
        <v>841</v>
      </c>
      <c r="N8" s="1477" t="s">
        <v>1695</v>
      </c>
      <c r="O8" s="1479">
        <v>208</v>
      </c>
      <c r="P8" s="1479"/>
      <c r="Q8" s="1142">
        <f t="shared" ref="Q8:Q69" si="5">O8+P8</f>
        <v>208</v>
      </c>
      <c r="R8" s="1143">
        <f>IFERROR(VLOOKUP(CONCATENATE(E8,G8),'LAC 103'!$A$12:$O$95,11,FALSE),0)</f>
        <v>523.41570279932807</v>
      </c>
      <c r="S8" s="1144">
        <f>IFERROR(VLOOKUP(CONCATENATE($E8,$G8),'LAC 103'!$A$12:$O$95,12,FALSE),0)</f>
        <v>487.59</v>
      </c>
      <c r="T8" s="1144">
        <f>IFERROR(VLOOKUP(CONCATENATE($E8,$G8),'LAC 103'!$A$12:$O$95,13,FALSE),0)</f>
        <v>404.71</v>
      </c>
      <c r="U8" s="1144">
        <f>IFERROR(VLOOKUP(CONCATENATE($E8,$G8),'LAC 103'!$A$12:$O$95,14,FALSE),0)</f>
        <v>0</v>
      </c>
      <c r="V8" s="1144">
        <f>IFERROR(VLOOKUP(CONCATENATE($E8,$G8),'LAC 103'!$A$12:$O$95,15,FALSE),0)</f>
        <v>0</v>
      </c>
      <c r="W8" s="1145" t="str">
        <f>IFERROR(VLOOKUP(CONCATENATE($B8,$N8),'LAC 103'!$AI:$AQ,9,FALSE),"")</f>
        <v>Costs</v>
      </c>
      <c r="X8" s="1146">
        <f t="shared" ref="X8:X71" si="6">IF($W8="Costs",$R8,IF($W8="CMA",$S8,IF($W8="P.C.",$T8,IF($W8="SMA",$U8,$V8))))</f>
        <v>523.41570279932807</v>
      </c>
      <c r="Y8" s="1143">
        <f t="shared" ref="Y8:Y71" si="7">$Q8*R8</f>
        <v>108870.46618226024</v>
      </c>
      <c r="Z8" s="1147">
        <f t="shared" ref="Z8:Z71" si="8">IF(S8=0,Y8,$Q8*S8)</f>
        <v>101418.72</v>
      </c>
      <c r="AA8" s="1144">
        <f t="shared" ref="AA8:AA71" si="9">IF(T8=0,Y8,$Q8*T8)</f>
        <v>84179.68</v>
      </c>
      <c r="AB8" s="1144">
        <f t="shared" ref="AB8:AB71" si="10">$Q8*U8</f>
        <v>0</v>
      </c>
      <c r="AC8" s="1144">
        <f t="shared" ref="AC8:AC71" si="11">$Q8*V8</f>
        <v>0</v>
      </c>
      <c r="AD8" s="1148">
        <f t="shared" si="0"/>
        <v>108870.46618226024</v>
      </c>
      <c r="AE8" s="1487">
        <v>0</v>
      </c>
      <c r="AF8" s="1145">
        <f t="shared" ref="AF8:AF71" si="12">AD8-AE8</f>
        <v>108870.46618226024</v>
      </c>
      <c r="AG8" s="1149">
        <f>IFERROR(VLOOKUP(CONCATENATE($L8,$N8),'Drop List'!$G$23:$K$87,2,FALSE),0)</f>
        <v>0.9</v>
      </c>
      <c r="AH8" s="1150">
        <f>IFERROR(VLOOKUP(CONCATENATE($L8,$N8),'Drop List'!$G$23:$K$87,3,FALSE),0)</f>
        <v>0</v>
      </c>
      <c r="AI8" s="1150">
        <f>IFERROR(VLOOKUP(CONCATENATE($L8,$N8),'Drop List'!$G$23:$K$87,4,FALSE),0)</f>
        <v>0.1</v>
      </c>
      <c r="AJ8" s="1151">
        <f>IFERROR(VLOOKUP(CONCATENATE($L8,$N8),'Drop List'!$G$23:$K$87,5,FALSE),0)</f>
        <v>0</v>
      </c>
      <c r="AK8" s="1152">
        <f t="shared" ref="AK8:AK71" si="13">IFERROR($AF8*AG8,0)</f>
        <v>97983.419564034208</v>
      </c>
      <c r="AL8" s="1153">
        <f t="shared" ref="AL8:AL71" si="14">IFERROR($AF8*AH8,0)</f>
        <v>0</v>
      </c>
      <c r="AM8" s="1153">
        <f t="shared" ref="AM8:AM71" si="15">IFERROR($AF8*AI8,0)</f>
        <v>10887.046618226024</v>
      </c>
      <c r="AN8" s="1145">
        <f t="shared" ref="AN8:AN71" si="16">IFERROR($AF8*AJ8,0)</f>
        <v>0</v>
      </c>
      <c r="AO8" s="1154">
        <f t="shared" ref="AO8:AO71" si="17">SUM(AK8:AN8)</f>
        <v>108870.46618226024</v>
      </c>
      <c r="AP8" s="1147">
        <f t="shared" si="1"/>
        <v>0</v>
      </c>
      <c r="AQ8" s="1144">
        <f t="shared" si="2"/>
        <v>0</v>
      </c>
      <c r="AR8" s="1146">
        <f t="shared" si="3"/>
        <v>108870.46618226024</v>
      </c>
    </row>
    <row r="9" spans="1:46" x14ac:dyDescent="0.2">
      <c r="A9" s="1141" t="str">
        <f t="shared" si="4"/>
        <v>0543</v>
      </c>
      <c r="B9" s="1141" t="str">
        <f>IFERROR(VLOOKUP(A9,'LAC 103'!A:C,3,FALSE),"")</f>
        <v>OP</v>
      </c>
      <c r="C9" s="1478" t="str">
        <f>Info!$B$8</f>
        <v>00100</v>
      </c>
      <c r="D9" s="1474" t="s">
        <v>1100</v>
      </c>
      <c r="E9" s="1474" t="s">
        <v>45</v>
      </c>
      <c r="F9" s="1478" t="s">
        <v>394</v>
      </c>
      <c r="G9" s="1478" t="s">
        <v>394</v>
      </c>
      <c r="H9" s="1474" t="s">
        <v>970</v>
      </c>
      <c r="I9" s="1478" t="s">
        <v>817</v>
      </c>
      <c r="J9" s="1478"/>
      <c r="K9" s="1475" t="s">
        <v>849</v>
      </c>
      <c r="L9" s="1474" t="s">
        <v>77</v>
      </c>
      <c r="M9" s="1476" t="s">
        <v>840</v>
      </c>
      <c r="N9" s="1477" t="s">
        <v>1700</v>
      </c>
      <c r="O9" s="1479">
        <v>202</v>
      </c>
      <c r="P9" s="1479"/>
      <c r="Q9" s="1142">
        <f t="shared" si="5"/>
        <v>202</v>
      </c>
      <c r="R9" s="1143">
        <f>IFERROR(VLOOKUP(CONCATENATE(E9,G9),'LAC 103'!$A$12:$O$95,11,FALSE),0)</f>
        <v>523.41570279932807</v>
      </c>
      <c r="S9" s="1144">
        <f>IFERROR(VLOOKUP(CONCATENATE($E9,$G9),'LAC 103'!$A$12:$O$95,12,FALSE),0)</f>
        <v>487.59</v>
      </c>
      <c r="T9" s="1144">
        <f>IFERROR(VLOOKUP(CONCATENATE($E9,$G9),'LAC 103'!$A$12:$O$95,13,FALSE),0)</f>
        <v>404.71</v>
      </c>
      <c r="U9" s="1144">
        <f>IFERROR(VLOOKUP(CONCATENATE($E9,$G9),'LAC 103'!$A$12:$O$95,14,FALSE),0)</f>
        <v>0</v>
      </c>
      <c r="V9" s="1144">
        <f>IFERROR(VLOOKUP(CONCATENATE($E9,$G9),'LAC 103'!$A$12:$O$95,15,FALSE),0)</f>
        <v>0</v>
      </c>
      <c r="W9" s="1145" t="str">
        <f>IFERROR(VLOOKUP(CONCATENATE($B9,$N9),'LAC 103'!$AI:$AQ,9,FALSE),"")</f>
        <v>P.C.</v>
      </c>
      <c r="X9" s="1146">
        <f t="shared" si="6"/>
        <v>404.71</v>
      </c>
      <c r="Y9" s="1143">
        <f t="shared" si="7"/>
        <v>105729.97196546427</v>
      </c>
      <c r="Z9" s="1147">
        <f t="shared" si="8"/>
        <v>98493.18</v>
      </c>
      <c r="AA9" s="1144">
        <f t="shared" si="9"/>
        <v>81751.42</v>
      </c>
      <c r="AB9" s="1144">
        <f t="shared" si="10"/>
        <v>0</v>
      </c>
      <c r="AC9" s="1144">
        <f t="shared" si="11"/>
        <v>0</v>
      </c>
      <c r="AD9" s="1148">
        <f t="shared" si="0"/>
        <v>81751.42</v>
      </c>
      <c r="AE9" s="1487">
        <v>0</v>
      </c>
      <c r="AF9" s="1145">
        <f t="shared" si="12"/>
        <v>81751.42</v>
      </c>
      <c r="AG9" s="1149">
        <f>IFERROR(VLOOKUP(CONCATENATE($L9,$N9),'Drop List'!$G$23:$K$87,2,FALSE),0)</f>
        <v>0.9</v>
      </c>
      <c r="AH9" s="1150">
        <f>IFERROR(VLOOKUP(CONCATENATE($L9,$N9),'Drop List'!$G$23:$K$87,3,FALSE),0)</f>
        <v>0</v>
      </c>
      <c r="AI9" s="1150">
        <f>IFERROR(VLOOKUP(CONCATENATE($L9,$N9),'Drop List'!$G$23:$K$87,4,FALSE),0)</f>
        <v>0.1</v>
      </c>
      <c r="AJ9" s="1151">
        <f>IFERROR(VLOOKUP(CONCATENATE($L9,$N9),'Drop List'!$G$23:$K$87,5,FALSE),0)</f>
        <v>0</v>
      </c>
      <c r="AK9" s="1152">
        <f t="shared" si="13"/>
        <v>73576.278000000006</v>
      </c>
      <c r="AL9" s="1153">
        <f t="shared" si="14"/>
        <v>0</v>
      </c>
      <c r="AM9" s="1153">
        <f t="shared" si="15"/>
        <v>8175.1419999999998</v>
      </c>
      <c r="AN9" s="1145">
        <f t="shared" si="16"/>
        <v>0</v>
      </c>
      <c r="AO9" s="1154">
        <f t="shared" si="17"/>
        <v>81751.420000000013</v>
      </c>
      <c r="AP9" s="1147">
        <f t="shared" si="1"/>
        <v>0</v>
      </c>
      <c r="AQ9" s="1144">
        <f t="shared" si="2"/>
        <v>0</v>
      </c>
      <c r="AR9" s="1146">
        <f t="shared" si="3"/>
        <v>81751.420000000013</v>
      </c>
    </row>
    <row r="10" spans="1:46" x14ac:dyDescent="0.2">
      <c r="A10" s="1141" t="str">
        <f t="shared" si="4"/>
        <v>0543</v>
      </c>
      <c r="B10" s="1141" t="str">
        <f>IFERROR(VLOOKUP(A10,'LAC 103'!A:C,3,FALSE),"")</f>
        <v>OP</v>
      </c>
      <c r="C10" s="1478" t="str">
        <f>Info!$B$8</f>
        <v>00100</v>
      </c>
      <c r="D10" s="1474" t="s">
        <v>1100</v>
      </c>
      <c r="E10" s="1474" t="s">
        <v>45</v>
      </c>
      <c r="F10" s="1478" t="s">
        <v>394</v>
      </c>
      <c r="G10" s="1478" t="s">
        <v>394</v>
      </c>
      <c r="H10" s="1474" t="s">
        <v>970</v>
      </c>
      <c r="I10" s="1478" t="s">
        <v>817</v>
      </c>
      <c r="J10" s="1478"/>
      <c r="K10" s="1475" t="s">
        <v>849</v>
      </c>
      <c r="L10" s="1474" t="s">
        <v>77</v>
      </c>
      <c r="M10" s="1476" t="s">
        <v>842</v>
      </c>
      <c r="N10" s="1477" t="s">
        <v>1692</v>
      </c>
      <c r="O10" s="1479">
        <v>95</v>
      </c>
      <c r="P10" s="1479"/>
      <c r="Q10" s="1142">
        <f t="shared" si="5"/>
        <v>95</v>
      </c>
      <c r="R10" s="1143">
        <f>IFERROR(VLOOKUP(CONCATENATE(E10,G10),'LAC 103'!$A$12:$O$95,11,FALSE),0)</f>
        <v>523.41570279932807</v>
      </c>
      <c r="S10" s="1144">
        <f>IFERROR(VLOOKUP(CONCATENATE($E10,$G10),'LAC 103'!$A$12:$O$95,12,FALSE),0)</f>
        <v>487.59</v>
      </c>
      <c r="T10" s="1144">
        <f>IFERROR(VLOOKUP(CONCATENATE($E10,$G10),'LAC 103'!$A$12:$O$95,13,FALSE),0)</f>
        <v>404.71</v>
      </c>
      <c r="U10" s="1144">
        <f>IFERROR(VLOOKUP(CONCATENATE($E10,$G10),'LAC 103'!$A$12:$O$95,14,FALSE),0)</f>
        <v>0</v>
      </c>
      <c r="V10" s="1144">
        <f>IFERROR(VLOOKUP(CONCATENATE($E10,$G10),'LAC 103'!$A$12:$O$95,15,FALSE),0)</f>
        <v>0</v>
      </c>
      <c r="W10" s="1145" t="str">
        <f>IFERROR(VLOOKUP(CONCATENATE($B10,$N10),'LAC 103'!$AI:$AQ,9,FALSE),"")</f>
        <v>Costs</v>
      </c>
      <c r="X10" s="1146">
        <f t="shared" si="6"/>
        <v>523.41570279932807</v>
      </c>
      <c r="Y10" s="1143">
        <f t="shared" si="7"/>
        <v>49724.491765936167</v>
      </c>
      <c r="Z10" s="1147">
        <f t="shared" si="8"/>
        <v>46321.049999999996</v>
      </c>
      <c r="AA10" s="1144">
        <f t="shared" si="9"/>
        <v>38447.449999999997</v>
      </c>
      <c r="AB10" s="1144">
        <f t="shared" si="10"/>
        <v>0</v>
      </c>
      <c r="AC10" s="1144">
        <f t="shared" si="11"/>
        <v>0</v>
      </c>
      <c r="AD10" s="1148">
        <f t="shared" si="0"/>
        <v>49724.491765936167</v>
      </c>
      <c r="AE10" s="1487">
        <v>0</v>
      </c>
      <c r="AF10" s="1145">
        <f t="shared" si="12"/>
        <v>49724.491765936167</v>
      </c>
      <c r="AG10" s="1149">
        <f>IFERROR(VLOOKUP(CONCATENATE($L10,$N10),'Drop List'!$G$23:$K$87,2,FALSE),0)</f>
        <v>0.9</v>
      </c>
      <c r="AH10" s="1150">
        <f>IFERROR(VLOOKUP(CONCATENATE($L10,$N10),'Drop List'!$G$23:$K$87,3,FALSE),0)</f>
        <v>0</v>
      </c>
      <c r="AI10" s="1150">
        <f>IFERROR(VLOOKUP(CONCATENATE($L10,$N10),'Drop List'!$G$23:$K$87,4,FALSE),0)</f>
        <v>0.1</v>
      </c>
      <c r="AJ10" s="1151">
        <f>IFERROR(VLOOKUP(CONCATENATE($L10,$N10),'Drop List'!$G$23:$K$87,5,FALSE),0)</f>
        <v>0</v>
      </c>
      <c r="AK10" s="1152">
        <f t="shared" si="13"/>
        <v>44752.042589342549</v>
      </c>
      <c r="AL10" s="1153">
        <f t="shared" si="14"/>
        <v>0</v>
      </c>
      <c r="AM10" s="1153">
        <f t="shared" si="15"/>
        <v>4972.4491765936173</v>
      </c>
      <c r="AN10" s="1145">
        <f t="shared" si="16"/>
        <v>0</v>
      </c>
      <c r="AO10" s="1154">
        <f t="shared" si="17"/>
        <v>49724.491765936167</v>
      </c>
      <c r="AP10" s="1147">
        <f t="shared" si="1"/>
        <v>0</v>
      </c>
      <c r="AQ10" s="1144">
        <f t="shared" si="2"/>
        <v>0</v>
      </c>
      <c r="AR10" s="1146">
        <f t="shared" si="3"/>
        <v>49724.491765936167</v>
      </c>
    </row>
    <row r="11" spans="1:46" x14ac:dyDescent="0.2">
      <c r="A11" s="1141" t="str">
        <f t="shared" si="4"/>
        <v>0543</v>
      </c>
      <c r="B11" s="1141" t="str">
        <f>IFERROR(VLOOKUP(A11,'LAC 103'!A:C,3,FALSE),"")</f>
        <v>OP</v>
      </c>
      <c r="C11" s="1478" t="str">
        <f>Info!$B$8</f>
        <v>00100</v>
      </c>
      <c r="D11" s="1474" t="s">
        <v>1100</v>
      </c>
      <c r="E11" s="1474" t="s">
        <v>45</v>
      </c>
      <c r="F11" s="1478" t="s">
        <v>394</v>
      </c>
      <c r="G11" s="1478" t="s">
        <v>394</v>
      </c>
      <c r="H11" s="1474" t="s">
        <v>970</v>
      </c>
      <c r="I11" s="1478" t="s">
        <v>817</v>
      </c>
      <c r="J11" s="1478"/>
      <c r="K11" s="1475" t="s">
        <v>849</v>
      </c>
      <c r="L11" s="1474" t="s">
        <v>77</v>
      </c>
      <c r="M11" s="1476" t="s">
        <v>1698</v>
      </c>
      <c r="N11" s="1477" t="s">
        <v>1693</v>
      </c>
      <c r="O11" s="1479">
        <v>499</v>
      </c>
      <c r="P11" s="1479"/>
      <c r="Q11" s="1142">
        <f t="shared" si="5"/>
        <v>499</v>
      </c>
      <c r="R11" s="1143">
        <f>IFERROR(VLOOKUP(CONCATENATE(E11,G11),'LAC 103'!$A$12:$O$95,11,FALSE),0)</f>
        <v>523.41570279932807</v>
      </c>
      <c r="S11" s="1144">
        <f>IFERROR(VLOOKUP(CONCATENATE($E11,$G11),'LAC 103'!$A$12:$O$95,12,FALSE),0)</f>
        <v>487.59</v>
      </c>
      <c r="T11" s="1144">
        <f>IFERROR(VLOOKUP(CONCATENATE($E11,$G11),'LAC 103'!$A$12:$O$95,13,FALSE),0)</f>
        <v>404.71</v>
      </c>
      <c r="U11" s="1144">
        <f>IFERROR(VLOOKUP(CONCATENATE($E11,$G11),'LAC 103'!$A$12:$O$95,14,FALSE),0)</f>
        <v>0</v>
      </c>
      <c r="V11" s="1144">
        <f>IFERROR(VLOOKUP(CONCATENATE($E11,$G11),'LAC 103'!$A$12:$O$95,15,FALSE),0)</f>
        <v>0</v>
      </c>
      <c r="W11" s="1145" t="str">
        <f>IFERROR(VLOOKUP(CONCATENATE($B11,$N11),'LAC 103'!$AI:$AQ,9,FALSE),"")</f>
        <v>Costs</v>
      </c>
      <c r="X11" s="1146">
        <f t="shared" si="6"/>
        <v>523.41570279932807</v>
      </c>
      <c r="Y11" s="1143">
        <f t="shared" si="7"/>
        <v>261184.4356968647</v>
      </c>
      <c r="Z11" s="1147">
        <f t="shared" si="8"/>
        <v>243307.40999999997</v>
      </c>
      <c r="AA11" s="1144">
        <f t="shared" si="9"/>
        <v>201950.28999999998</v>
      </c>
      <c r="AB11" s="1144">
        <f t="shared" si="10"/>
        <v>0</v>
      </c>
      <c r="AC11" s="1144">
        <f t="shared" si="11"/>
        <v>0</v>
      </c>
      <c r="AD11" s="1148">
        <f t="shared" si="0"/>
        <v>261184.4356968647</v>
      </c>
      <c r="AE11" s="1487">
        <v>0</v>
      </c>
      <c r="AF11" s="1145">
        <f t="shared" si="12"/>
        <v>261184.4356968647</v>
      </c>
      <c r="AG11" s="1149">
        <f>IFERROR(VLOOKUP(CONCATENATE($L11,$N11),'Drop List'!$G$23:$K$87,2,FALSE),0)</f>
        <v>0.9</v>
      </c>
      <c r="AH11" s="1150">
        <f>IFERROR(VLOOKUP(CONCATENATE($L11,$N11),'Drop List'!$G$23:$K$87,3,FALSE),0)</f>
        <v>0</v>
      </c>
      <c r="AI11" s="1150">
        <f>IFERROR(VLOOKUP(CONCATENATE($L11,$N11),'Drop List'!$G$23:$K$87,4,FALSE),0)</f>
        <v>0.1</v>
      </c>
      <c r="AJ11" s="1151">
        <f>IFERROR(VLOOKUP(CONCATENATE($L11,$N11),'Drop List'!$G$23:$K$87,5,FALSE),0)</f>
        <v>0</v>
      </c>
      <c r="AK11" s="1152">
        <f t="shared" si="13"/>
        <v>235065.99212717824</v>
      </c>
      <c r="AL11" s="1153">
        <f t="shared" si="14"/>
        <v>0</v>
      </c>
      <c r="AM11" s="1153">
        <f t="shared" si="15"/>
        <v>26118.443569686471</v>
      </c>
      <c r="AN11" s="1145">
        <f t="shared" si="16"/>
        <v>0</v>
      </c>
      <c r="AO11" s="1154">
        <f t="shared" si="17"/>
        <v>261184.4356968647</v>
      </c>
      <c r="AP11" s="1147">
        <f t="shared" si="1"/>
        <v>0</v>
      </c>
      <c r="AQ11" s="1144">
        <f t="shared" si="2"/>
        <v>0</v>
      </c>
      <c r="AR11" s="1146">
        <f t="shared" si="3"/>
        <v>261184.4356968647</v>
      </c>
    </row>
    <row r="12" spans="1:46" x14ac:dyDescent="0.2">
      <c r="A12" s="1141" t="str">
        <f t="shared" si="4"/>
        <v>0543</v>
      </c>
      <c r="B12" s="1141" t="str">
        <f>IFERROR(VLOOKUP(A12,'LAC 103'!A:C,3,FALSE),"")</f>
        <v>OP</v>
      </c>
      <c r="C12" s="1478" t="str">
        <f>Info!$B$8</f>
        <v>00100</v>
      </c>
      <c r="D12" s="1474" t="s">
        <v>1100</v>
      </c>
      <c r="E12" s="1474" t="s">
        <v>45</v>
      </c>
      <c r="F12" s="1478" t="s">
        <v>394</v>
      </c>
      <c r="G12" s="1478" t="s">
        <v>394</v>
      </c>
      <c r="H12" s="1474" t="s">
        <v>970</v>
      </c>
      <c r="I12" s="1478" t="s">
        <v>817</v>
      </c>
      <c r="J12" s="1478"/>
      <c r="K12" s="1475" t="s">
        <v>851</v>
      </c>
      <c r="L12" s="1474" t="s">
        <v>584</v>
      </c>
      <c r="M12" s="1476" t="s">
        <v>1699</v>
      </c>
      <c r="N12" s="1477" t="s">
        <v>1694</v>
      </c>
      <c r="O12" s="1479">
        <v>135</v>
      </c>
      <c r="P12" s="1479"/>
      <c r="Q12" s="1142">
        <f t="shared" si="5"/>
        <v>135</v>
      </c>
      <c r="R12" s="1143">
        <f>IFERROR(VLOOKUP(CONCATENATE(E12,G12),'LAC 103'!$A$12:$O$95,11,FALSE),0)</f>
        <v>523.41570279932807</v>
      </c>
      <c r="S12" s="1144">
        <f>IFERROR(VLOOKUP(CONCATENATE($E12,$G12),'LAC 103'!$A$12:$O$95,12,FALSE),0)</f>
        <v>487.59</v>
      </c>
      <c r="T12" s="1144">
        <f>IFERROR(VLOOKUP(CONCATENATE($E12,$G12),'LAC 103'!$A$12:$O$95,13,FALSE),0)</f>
        <v>404.71</v>
      </c>
      <c r="U12" s="1144">
        <f>IFERROR(VLOOKUP(CONCATENATE($E12,$G12),'LAC 103'!$A$12:$O$95,14,FALSE),0)</f>
        <v>0</v>
      </c>
      <c r="V12" s="1144">
        <f>IFERROR(VLOOKUP(CONCATENATE($E12,$G12),'LAC 103'!$A$12:$O$95,15,FALSE),0)</f>
        <v>0</v>
      </c>
      <c r="W12" s="1145" t="str">
        <f>IFERROR(VLOOKUP(CONCATENATE($B12,$N12),'LAC 103'!$AI:$AQ,9,FALSE),"")</f>
        <v>Costs</v>
      </c>
      <c r="X12" s="1146">
        <f t="shared" si="6"/>
        <v>523.41570279932807</v>
      </c>
      <c r="Y12" s="1143">
        <f t="shared" si="7"/>
        <v>70661.119877909296</v>
      </c>
      <c r="Z12" s="1147">
        <f t="shared" si="8"/>
        <v>65824.649999999994</v>
      </c>
      <c r="AA12" s="1144">
        <f t="shared" si="9"/>
        <v>54635.85</v>
      </c>
      <c r="AB12" s="1144">
        <f t="shared" si="10"/>
        <v>0</v>
      </c>
      <c r="AC12" s="1144">
        <f t="shared" si="11"/>
        <v>0</v>
      </c>
      <c r="AD12" s="1148">
        <f t="shared" si="0"/>
        <v>70661.119877909296</v>
      </c>
      <c r="AE12" s="1487">
        <v>0</v>
      </c>
      <c r="AF12" s="1145">
        <f t="shared" si="12"/>
        <v>70661.119877909296</v>
      </c>
      <c r="AG12" s="1149">
        <f>IFERROR(VLOOKUP(CONCATENATE($L12,$N12),'Drop List'!$G$23:$K$87,2,FALSE),0)</f>
        <v>0.56200000000000006</v>
      </c>
      <c r="AH12" s="1150">
        <f>IFERROR(VLOOKUP(CONCATENATE($L12,$N12),'Drop List'!$G$23:$K$87,3,FALSE),0)</f>
        <v>0</v>
      </c>
      <c r="AI12" s="1150">
        <f>IFERROR(VLOOKUP(CONCATENATE($L12,$N12),'Drop List'!$G$23:$K$87,4,FALSE),0)</f>
        <v>0</v>
      </c>
      <c r="AJ12" s="1151">
        <f>IFERROR(VLOOKUP(CONCATENATE($L12,$N12),'Drop List'!$G$23:$K$87,5,FALSE),0)</f>
        <v>0.43799999999999994</v>
      </c>
      <c r="AK12" s="1152">
        <f t="shared" si="13"/>
        <v>39711.54937138503</v>
      </c>
      <c r="AL12" s="1153">
        <f t="shared" si="14"/>
        <v>0</v>
      </c>
      <c r="AM12" s="1153">
        <f t="shared" si="15"/>
        <v>0</v>
      </c>
      <c r="AN12" s="1145">
        <f t="shared" si="16"/>
        <v>30949.570506524269</v>
      </c>
      <c r="AO12" s="1154">
        <f t="shared" si="17"/>
        <v>70661.119877909296</v>
      </c>
      <c r="AP12" s="1147">
        <f t="shared" si="1"/>
        <v>0</v>
      </c>
      <c r="AQ12" s="1144">
        <f t="shared" si="2"/>
        <v>0</v>
      </c>
      <c r="AR12" s="1146">
        <f t="shared" si="3"/>
        <v>70661.119877909296</v>
      </c>
    </row>
    <row r="13" spans="1:46" x14ac:dyDescent="0.2">
      <c r="A13" s="1141" t="str">
        <f t="shared" si="4"/>
        <v>0543</v>
      </c>
      <c r="B13" s="1141" t="str">
        <f>IFERROR(VLOOKUP(A13,'LAC 103'!A:C,3,FALSE),"")</f>
        <v>OP</v>
      </c>
      <c r="C13" s="1478" t="str">
        <f>Info!$B$8</f>
        <v>00100</v>
      </c>
      <c r="D13" s="1474" t="s">
        <v>1100</v>
      </c>
      <c r="E13" s="1474" t="s">
        <v>45</v>
      </c>
      <c r="F13" s="1478" t="s">
        <v>394</v>
      </c>
      <c r="G13" s="1478" t="s">
        <v>394</v>
      </c>
      <c r="H13" s="1474" t="s">
        <v>970</v>
      </c>
      <c r="I13" s="1478" t="s">
        <v>817</v>
      </c>
      <c r="J13" s="1478"/>
      <c r="K13" s="1475" t="s">
        <v>851</v>
      </c>
      <c r="L13" s="1474" t="s">
        <v>584</v>
      </c>
      <c r="M13" s="1476" t="s">
        <v>841</v>
      </c>
      <c r="N13" s="1477" t="s">
        <v>1695</v>
      </c>
      <c r="O13" s="1479">
        <v>14</v>
      </c>
      <c r="P13" s="1479"/>
      <c r="Q13" s="1142">
        <f t="shared" si="5"/>
        <v>14</v>
      </c>
      <c r="R13" s="1143">
        <f>IFERROR(VLOOKUP(CONCATENATE(E13,G13),'LAC 103'!$A$12:$O$95,11,FALSE),0)</f>
        <v>523.41570279932807</v>
      </c>
      <c r="S13" s="1144">
        <f>IFERROR(VLOOKUP(CONCATENATE($E13,$G13),'LAC 103'!$A$12:$O$95,12,FALSE),0)</f>
        <v>487.59</v>
      </c>
      <c r="T13" s="1144">
        <f>IFERROR(VLOOKUP(CONCATENATE($E13,$G13),'LAC 103'!$A$12:$O$95,13,FALSE),0)</f>
        <v>404.71</v>
      </c>
      <c r="U13" s="1144">
        <f>IFERROR(VLOOKUP(CONCATENATE($E13,$G13),'LAC 103'!$A$12:$O$95,14,FALSE),0)</f>
        <v>0</v>
      </c>
      <c r="V13" s="1144">
        <f>IFERROR(VLOOKUP(CONCATENATE($E13,$G13),'LAC 103'!$A$12:$O$95,15,FALSE),0)</f>
        <v>0</v>
      </c>
      <c r="W13" s="1145" t="str">
        <f>IFERROR(VLOOKUP(CONCATENATE($B13,$N13),'LAC 103'!$AI:$AQ,9,FALSE),"")</f>
        <v>Costs</v>
      </c>
      <c r="X13" s="1146">
        <f t="shared" si="6"/>
        <v>523.41570279932807</v>
      </c>
      <c r="Y13" s="1143">
        <f t="shared" si="7"/>
        <v>7327.8198391905935</v>
      </c>
      <c r="Z13" s="1147">
        <f t="shared" si="8"/>
        <v>6826.2599999999993</v>
      </c>
      <c r="AA13" s="1144">
        <f t="shared" si="9"/>
        <v>5665.94</v>
      </c>
      <c r="AB13" s="1144">
        <f t="shared" si="10"/>
        <v>0</v>
      </c>
      <c r="AC13" s="1144">
        <f t="shared" si="11"/>
        <v>0</v>
      </c>
      <c r="AD13" s="1148">
        <f t="shared" si="0"/>
        <v>7327.8198391905935</v>
      </c>
      <c r="AE13" s="1487">
        <v>0</v>
      </c>
      <c r="AF13" s="1145">
        <f t="shared" si="12"/>
        <v>7327.8198391905935</v>
      </c>
      <c r="AG13" s="1149">
        <f>IFERROR(VLOOKUP(CONCATENATE($L13,$N13),'Drop List'!$G$23:$K$87,2,FALSE),0)</f>
        <v>0.55000000000000004</v>
      </c>
      <c r="AH13" s="1150">
        <f>IFERROR(VLOOKUP(CONCATENATE($L13,$N13),'Drop List'!$G$23:$K$87,3,FALSE),0)</f>
        <v>0</v>
      </c>
      <c r="AI13" s="1150">
        <f>IFERROR(VLOOKUP(CONCATENATE($L13,$N13),'Drop List'!$G$23:$K$87,4,FALSE),0)</f>
        <v>0</v>
      </c>
      <c r="AJ13" s="1151">
        <f>IFERROR(VLOOKUP(CONCATENATE($L13,$N13),'Drop List'!$G$23:$K$87,5,FALSE),0)</f>
        <v>0.44999999999999996</v>
      </c>
      <c r="AK13" s="1152">
        <f t="shared" si="13"/>
        <v>4030.3009115548266</v>
      </c>
      <c r="AL13" s="1153">
        <f t="shared" si="14"/>
        <v>0</v>
      </c>
      <c r="AM13" s="1153">
        <f t="shared" si="15"/>
        <v>0</v>
      </c>
      <c r="AN13" s="1145">
        <f t="shared" si="16"/>
        <v>3297.5189276357669</v>
      </c>
      <c r="AO13" s="1154">
        <f t="shared" si="17"/>
        <v>7327.8198391905935</v>
      </c>
      <c r="AP13" s="1147">
        <f t="shared" si="1"/>
        <v>0</v>
      </c>
      <c r="AQ13" s="1144">
        <f t="shared" si="2"/>
        <v>0</v>
      </c>
      <c r="AR13" s="1146">
        <f t="shared" si="3"/>
        <v>7327.8198391905935</v>
      </c>
    </row>
    <row r="14" spans="1:46" x14ac:dyDescent="0.2">
      <c r="A14" s="1141" t="str">
        <f t="shared" si="4"/>
        <v>0543</v>
      </c>
      <c r="B14" s="1141" t="str">
        <f>IFERROR(VLOOKUP(A14,'LAC 103'!A:C,3,FALSE),"")</f>
        <v>OP</v>
      </c>
      <c r="C14" s="1478" t="str">
        <f>Info!$B$8</f>
        <v>00100</v>
      </c>
      <c r="D14" s="1474" t="s">
        <v>1100</v>
      </c>
      <c r="E14" s="1474" t="s">
        <v>45</v>
      </c>
      <c r="F14" s="1478" t="s">
        <v>394</v>
      </c>
      <c r="G14" s="1478" t="s">
        <v>394</v>
      </c>
      <c r="H14" s="1474" t="s">
        <v>970</v>
      </c>
      <c r="I14" s="1478" t="s">
        <v>817</v>
      </c>
      <c r="J14" s="1478"/>
      <c r="K14" s="1475" t="s">
        <v>851</v>
      </c>
      <c r="L14" s="1474" t="s">
        <v>584</v>
      </c>
      <c r="M14" s="1476" t="s">
        <v>840</v>
      </c>
      <c r="N14" s="1477" t="s">
        <v>1700</v>
      </c>
      <c r="O14" s="1479">
        <v>48</v>
      </c>
      <c r="P14" s="1479"/>
      <c r="Q14" s="1142">
        <f t="shared" si="5"/>
        <v>48</v>
      </c>
      <c r="R14" s="1143">
        <f>IFERROR(VLOOKUP(CONCATENATE(E14,G14),'LAC 103'!$A$12:$O$95,11,FALSE),0)</f>
        <v>523.41570279932807</v>
      </c>
      <c r="S14" s="1144">
        <f>IFERROR(VLOOKUP(CONCATENATE($E14,$G14),'LAC 103'!$A$12:$O$95,12,FALSE),0)</f>
        <v>487.59</v>
      </c>
      <c r="T14" s="1144">
        <f>IFERROR(VLOOKUP(CONCATENATE($E14,$G14),'LAC 103'!$A$12:$O$95,13,FALSE),0)</f>
        <v>404.71</v>
      </c>
      <c r="U14" s="1144">
        <f>IFERROR(VLOOKUP(CONCATENATE($E14,$G14),'LAC 103'!$A$12:$O$95,14,FALSE),0)</f>
        <v>0</v>
      </c>
      <c r="V14" s="1144">
        <f>IFERROR(VLOOKUP(CONCATENATE($E14,$G14),'LAC 103'!$A$12:$O$95,15,FALSE),0)</f>
        <v>0</v>
      </c>
      <c r="W14" s="1145" t="str">
        <f>IFERROR(VLOOKUP(CONCATENATE($B14,$N14),'LAC 103'!$AI:$AQ,9,FALSE),"")</f>
        <v>P.C.</v>
      </c>
      <c r="X14" s="1146">
        <f t="shared" si="6"/>
        <v>404.71</v>
      </c>
      <c r="Y14" s="1143">
        <f t="shared" si="7"/>
        <v>25123.953734367748</v>
      </c>
      <c r="Z14" s="1147">
        <f t="shared" si="8"/>
        <v>23404.32</v>
      </c>
      <c r="AA14" s="1144">
        <f t="shared" si="9"/>
        <v>19426.079999999998</v>
      </c>
      <c r="AB14" s="1144">
        <f t="shared" si="10"/>
        <v>0</v>
      </c>
      <c r="AC14" s="1144">
        <f t="shared" si="11"/>
        <v>0</v>
      </c>
      <c r="AD14" s="1148">
        <f t="shared" si="0"/>
        <v>19426.079999999998</v>
      </c>
      <c r="AE14" s="1487">
        <v>0</v>
      </c>
      <c r="AF14" s="1145">
        <f t="shared" si="12"/>
        <v>19426.079999999998</v>
      </c>
      <c r="AG14" s="1149">
        <f>IFERROR(VLOOKUP(CONCATENATE($L14,$N14),'Drop List'!$G$23:$K$87,2,FALSE),0)</f>
        <v>0.55000000000000004</v>
      </c>
      <c r="AH14" s="1150">
        <f>IFERROR(VLOOKUP(CONCATENATE($L14,$N14),'Drop List'!$G$23:$K$87,3,FALSE),0)</f>
        <v>0</v>
      </c>
      <c r="AI14" s="1150">
        <f>IFERROR(VLOOKUP(CONCATENATE($L14,$N14),'Drop List'!$G$23:$K$87,4,FALSE),0)</f>
        <v>0</v>
      </c>
      <c r="AJ14" s="1151">
        <f>IFERROR(VLOOKUP(CONCATENATE($L14,$N14),'Drop List'!$G$23:$K$87,5,FALSE),0)</f>
        <v>0.44999999999999996</v>
      </c>
      <c r="AK14" s="1152">
        <f t="shared" si="13"/>
        <v>10684.343999999999</v>
      </c>
      <c r="AL14" s="1153">
        <f t="shared" si="14"/>
        <v>0</v>
      </c>
      <c r="AM14" s="1153">
        <f t="shared" si="15"/>
        <v>0</v>
      </c>
      <c r="AN14" s="1145">
        <f t="shared" si="16"/>
        <v>8741.735999999999</v>
      </c>
      <c r="AO14" s="1154">
        <f t="shared" si="17"/>
        <v>19426.079999999998</v>
      </c>
      <c r="AP14" s="1147">
        <f t="shared" si="1"/>
        <v>0</v>
      </c>
      <c r="AQ14" s="1144">
        <f t="shared" si="2"/>
        <v>0</v>
      </c>
      <c r="AR14" s="1146">
        <f t="shared" si="3"/>
        <v>19426.079999999998</v>
      </c>
    </row>
    <row r="15" spans="1:46" x14ac:dyDescent="0.2">
      <c r="A15" s="1141" t="str">
        <f t="shared" si="4"/>
        <v>0543</v>
      </c>
      <c r="B15" s="1141" t="str">
        <f>IFERROR(VLOOKUP(A15,'LAC 103'!A:C,3,FALSE),"")</f>
        <v>OP</v>
      </c>
      <c r="C15" s="1478" t="str">
        <f>Info!$B$8</f>
        <v>00100</v>
      </c>
      <c r="D15" s="1474" t="s">
        <v>1100</v>
      </c>
      <c r="E15" s="1474" t="s">
        <v>45</v>
      </c>
      <c r="F15" s="1478" t="s">
        <v>394</v>
      </c>
      <c r="G15" s="1478" t="s">
        <v>394</v>
      </c>
      <c r="H15" s="1474" t="s">
        <v>970</v>
      </c>
      <c r="I15" s="1478" t="s">
        <v>817</v>
      </c>
      <c r="J15" s="1478"/>
      <c r="K15" s="1475" t="s">
        <v>851</v>
      </c>
      <c r="L15" s="1474" t="s">
        <v>584</v>
      </c>
      <c r="M15" s="1476" t="s">
        <v>842</v>
      </c>
      <c r="N15" s="1477" t="s">
        <v>1692</v>
      </c>
      <c r="O15" s="1479">
        <v>26</v>
      </c>
      <c r="P15" s="1479"/>
      <c r="Q15" s="1142">
        <f t="shared" si="5"/>
        <v>26</v>
      </c>
      <c r="R15" s="1143">
        <f>IFERROR(VLOOKUP(CONCATENATE(E15,G15),'LAC 103'!$A$12:$O$95,11,FALSE),0)</f>
        <v>523.41570279932807</v>
      </c>
      <c r="S15" s="1144">
        <f>IFERROR(VLOOKUP(CONCATENATE($E15,$G15),'LAC 103'!$A$12:$O$95,12,FALSE),0)</f>
        <v>487.59</v>
      </c>
      <c r="T15" s="1144">
        <f>IFERROR(VLOOKUP(CONCATENATE($E15,$G15),'LAC 103'!$A$12:$O$95,13,FALSE),0)</f>
        <v>404.71</v>
      </c>
      <c r="U15" s="1144">
        <f>IFERROR(VLOOKUP(CONCATENATE($E15,$G15),'LAC 103'!$A$12:$O$95,14,FALSE),0)</f>
        <v>0</v>
      </c>
      <c r="V15" s="1144">
        <f>IFERROR(VLOOKUP(CONCATENATE($E15,$G15),'LAC 103'!$A$12:$O$95,15,FALSE),0)</f>
        <v>0</v>
      </c>
      <c r="W15" s="1145" t="str">
        <f>IFERROR(VLOOKUP(CONCATENATE($B15,$N15),'LAC 103'!$AI:$AQ,9,FALSE),"")</f>
        <v>Costs</v>
      </c>
      <c r="X15" s="1146">
        <f t="shared" si="6"/>
        <v>523.41570279932807</v>
      </c>
      <c r="Y15" s="1143">
        <f t="shared" si="7"/>
        <v>13608.808272782529</v>
      </c>
      <c r="Z15" s="1147">
        <f t="shared" si="8"/>
        <v>12677.34</v>
      </c>
      <c r="AA15" s="1144">
        <f t="shared" si="9"/>
        <v>10522.46</v>
      </c>
      <c r="AB15" s="1144">
        <f t="shared" si="10"/>
        <v>0</v>
      </c>
      <c r="AC15" s="1144">
        <f t="shared" si="11"/>
        <v>0</v>
      </c>
      <c r="AD15" s="1148">
        <f t="shared" si="0"/>
        <v>13608.808272782529</v>
      </c>
      <c r="AE15" s="1487">
        <v>0</v>
      </c>
      <c r="AF15" s="1145">
        <f t="shared" si="12"/>
        <v>13608.808272782529</v>
      </c>
      <c r="AG15" s="1149">
        <f>IFERROR(VLOOKUP(CONCATENATE($L15,$N15),'Drop List'!$G$23:$K$87,2,FALSE),0)</f>
        <v>0.56200000000000006</v>
      </c>
      <c r="AH15" s="1150">
        <f>IFERROR(VLOOKUP(CONCATENATE($L15,$N15),'Drop List'!$G$23:$K$87,3,FALSE),0)</f>
        <v>0</v>
      </c>
      <c r="AI15" s="1150">
        <f>IFERROR(VLOOKUP(CONCATENATE($L15,$N15),'Drop List'!$G$23:$K$87,4,FALSE),0)</f>
        <v>0</v>
      </c>
      <c r="AJ15" s="1151">
        <f>IFERROR(VLOOKUP(CONCATENATE($L15,$N15),'Drop List'!$G$23:$K$87,5,FALSE),0)</f>
        <v>0.43799999999999994</v>
      </c>
      <c r="AK15" s="1152">
        <f t="shared" si="13"/>
        <v>7648.1502493037824</v>
      </c>
      <c r="AL15" s="1153">
        <f t="shared" si="14"/>
        <v>0</v>
      </c>
      <c r="AM15" s="1153">
        <f t="shared" si="15"/>
        <v>0</v>
      </c>
      <c r="AN15" s="1145">
        <f t="shared" si="16"/>
        <v>5960.6580234787471</v>
      </c>
      <c r="AO15" s="1154">
        <f t="shared" si="17"/>
        <v>13608.808272782529</v>
      </c>
      <c r="AP15" s="1147">
        <f t="shared" si="1"/>
        <v>0</v>
      </c>
      <c r="AQ15" s="1144">
        <f t="shared" si="2"/>
        <v>0</v>
      </c>
      <c r="AR15" s="1146">
        <f t="shared" si="3"/>
        <v>13608.808272782529</v>
      </c>
    </row>
    <row r="16" spans="1:46" x14ac:dyDescent="0.2">
      <c r="A16" s="1141" t="str">
        <f t="shared" si="4"/>
        <v>0543</v>
      </c>
      <c r="B16" s="1141" t="str">
        <f>IFERROR(VLOOKUP(A16,'LAC 103'!A:C,3,FALSE),"")</f>
        <v>OP</v>
      </c>
      <c r="C16" s="1478" t="str">
        <f>Info!$B$8</f>
        <v>00100</v>
      </c>
      <c r="D16" s="1474" t="s">
        <v>1100</v>
      </c>
      <c r="E16" s="1474" t="s">
        <v>45</v>
      </c>
      <c r="F16" s="1478" t="s">
        <v>394</v>
      </c>
      <c r="G16" s="1478" t="s">
        <v>394</v>
      </c>
      <c r="H16" s="1474" t="s">
        <v>970</v>
      </c>
      <c r="I16" s="1478" t="s">
        <v>817</v>
      </c>
      <c r="J16" s="1478"/>
      <c r="K16" s="1475" t="s">
        <v>851</v>
      </c>
      <c r="L16" s="1474" t="s">
        <v>584</v>
      </c>
      <c r="M16" s="1476" t="s">
        <v>1698</v>
      </c>
      <c r="N16" s="1477" t="s">
        <v>1693</v>
      </c>
      <c r="O16" s="1479">
        <v>205</v>
      </c>
      <c r="P16" s="1479"/>
      <c r="Q16" s="1142">
        <f t="shared" si="5"/>
        <v>205</v>
      </c>
      <c r="R16" s="1143">
        <f>IFERROR(VLOOKUP(CONCATENATE(E16,G16),'LAC 103'!$A$12:$O$95,11,FALSE),0)</f>
        <v>523.41570279932807</v>
      </c>
      <c r="S16" s="1144">
        <f>IFERROR(VLOOKUP(CONCATENATE($E16,$G16),'LAC 103'!$A$12:$O$95,12,FALSE),0)</f>
        <v>487.59</v>
      </c>
      <c r="T16" s="1144">
        <f>IFERROR(VLOOKUP(CONCATENATE($E16,$G16),'LAC 103'!$A$12:$O$95,13,FALSE),0)</f>
        <v>404.71</v>
      </c>
      <c r="U16" s="1144">
        <f>IFERROR(VLOOKUP(CONCATENATE($E16,$G16),'LAC 103'!$A$12:$O$95,14,FALSE),0)</f>
        <v>0</v>
      </c>
      <c r="V16" s="1144">
        <f>IFERROR(VLOOKUP(CONCATENATE($E16,$G16),'LAC 103'!$A$12:$O$95,15,FALSE),0)</f>
        <v>0</v>
      </c>
      <c r="W16" s="1145" t="str">
        <f>IFERROR(VLOOKUP(CONCATENATE($B16,$N16),'LAC 103'!$AI:$AQ,9,FALSE),"")</f>
        <v>Costs</v>
      </c>
      <c r="X16" s="1146">
        <f t="shared" si="6"/>
        <v>523.41570279932807</v>
      </c>
      <c r="Y16" s="1143">
        <f t="shared" si="7"/>
        <v>107300.21907386226</v>
      </c>
      <c r="Z16" s="1147">
        <f t="shared" si="8"/>
        <v>99955.95</v>
      </c>
      <c r="AA16" s="1144">
        <f t="shared" si="9"/>
        <v>82965.55</v>
      </c>
      <c r="AB16" s="1144">
        <f t="shared" si="10"/>
        <v>0</v>
      </c>
      <c r="AC16" s="1144">
        <f t="shared" si="11"/>
        <v>0</v>
      </c>
      <c r="AD16" s="1148">
        <f t="shared" si="0"/>
        <v>107300.21907386226</v>
      </c>
      <c r="AE16" s="1487">
        <v>0</v>
      </c>
      <c r="AF16" s="1145">
        <f t="shared" si="12"/>
        <v>107300.21907386226</v>
      </c>
      <c r="AG16" s="1149">
        <f>IFERROR(VLOOKUP(CONCATENATE($L16,$N16),'Drop List'!$G$23:$K$87,2,FALSE),0)</f>
        <v>0.56200000000000006</v>
      </c>
      <c r="AH16" s="1150">
        <f>IFERROR(VLOOKUP(CONCATENATE($L16,$N16),'Drop List'!$G$23:$K$87,3,FALSE),0)</f>
        <v>0</v>
      </c>
      <c r="AI16" s="1150">
        <f>IFERROR(VLOOKUP(CONCATENATE($L16,$N16),'Drop List'!$G$23:$K$87,4,FALSE),0)</f>
        <v>0</v>
      </c>
      <c r="AJ16" s="1151">
        <f>IFERROR(VLOOKUP(CONCATENATE($L16,$N16),'Drop List'!$G$23:$K$87,5,FALSE),0)</f>
        <v>0.43799999999999994</v>
      </c>
      <c r="AK16" s="1152">
        <f t="shared" si="13"/>
        <v>60302.723119510592</v>
      </c>
      <c r="AL16" s="1153">
        <f t="shared" si="14"/>
        <v>0</v>
      </c>
      <c r="AM16" s="1153">
        <f t="shared" si="15"/>
        <v>0</v>
      </c>
      <c r="AN16" s="1145">
        <f t="shared" si="16"/>
        <v>46997.495954351667</v>
      </c>
      <c r="AO16" s="1154">
        <f t="shared" si="17"/>
        <v>107300.21907386226</v>
      </c>
      <c r="AP16" s="1147">
        <f t="shared" si="1"/>
        <v>0</v>
      </c>
      <c r="AQ16" s="1144">
        <f t="shared" si="2"/>
        <v>0</v>
      </c>
      <c r="AR16" s="1146">
        <f t="shared" si="3"/>
        <v>107300.21907386226</v>
      </c>
    </row>
    <row r="17" spans="1:44" x14ac:dyDescent="0.2">
      <c r="A17" s="1141" t="str">
        <f t="shared" si="4"/>
        <v>0543</v>
      </c>
      <c r="B17" s="1141" t="str">
        <f>IFERROR(VLOOKUP(A17,'LAC 103'!A:C,3,FALSE),"")</f>
        <v>OP</v>
      </c>
      <c r="C17" s="1478" t="str">
        <f>Info!$B$8</f>
        <v>00100</v>
      </c>
      <c r="D17" s="1474" t="s">
        <v>1100</v>
      </c>
      <c r="E17" s="1474" t="s">
        <v>45</v>
      </c>
      <c r="F17" s="1478" t="s">
        <v>394</v>
      </c>
      <c r="G17" s="1478" t="s">
        <v>394</v>
      </c>
      <c r="H17" s="1474" t="s">
        <v>1660</v>
      </c>
      <c r="I17" s="1478" t="s">
        <v>817</v>
      </c>
      <c r="J17" s="1478" t="s">
        <v>123</v>
      </c>
      <c r="K17" s="1475" t="s">
        <v>846</v>
      </c>
      <c r="L17" s="1474" t="s">
        <v>332</v>
      </c>
      <c r="M17" s="1476" t="s">
        <v>1699</v>
      </c>
      <c r="N17" s="1477" t="s">
        <v>1694</v>
      </c>
      <c r="O17" s="1479">
        <v>172</v>
      </c>
      <c r="P17" s="1479"/>
      <c r="Q17" s="1142">
        <f t="shared" si="5"/>
        <v>172</v>
      </c>
      <c r="R17" s="1143">
        <f>IFERROR(VLOOKUP(CONCATENATE(E17,G17),'LAC 103'!$A$12:$O$95,11,FALSE),0)</f>
        <v>523.41570279932807</v>
      </c>
      <c r="S17" s="1144">
        <f>IFERROR(VLOOKUP(CONCATENATE($E17,$G17),'LAC 103'!$A$12:$O$95,12,FALSE),0)</f>
        <v>487.59</v>
      </c>
      <c r="T17" s="1144">
        <f>IFERROR(VLOOKUP(CONCATENATE($E17,$G17),'LAC 103'!$A$12:$O$95,13,FALSE),0)</f>
        <v>404.71</v>
      </c>
      <c r="U17" s="1144">
        <f>IFERROR(VLOOKUP(CONCATENATE($E17,$G17),'LAC 103'!$A$12:$O$95,14,FALSE),0)</f>
        <v>0</v>
      </c>
      <c r="V17" s="1144">
        <f>IFERROR(VLOOKUP(CONCATENATE($E17,$G17),'LAC 103'!$A$12:$O$95,15,FALSE),0)</f>
        <v>0</v>
      </c>
      <c r="W17" s="1145" t="str">
        <f>IFERROR(VLOOKUP(CONCATENATE($B17,$N17),'LAC 103'!$AI:$AQ,9,FALSE),"")</f>
        <v>Costs</v>
      </c>
      <c r="X17" s="1146">
        <f t="shared" si="6"/>
        <v>523.41570279932807</v>
      </c>
      <c r="Y17" s="1143">
        <f t="shared" si="7"/>
        <v>90027.500881484433</v>
      </c>
      <c r="Z17" s="1147">
        <f t="shared" si="8"/>
        <v>83865.48</v>
      </c>
      <c r="AA17" s="1144">
        <f t="shared" si="9"/>
        <v>69610.12</v>
      </c>
      <c r="AB17" s="1144">
        <f t="shared" si="10"/>
        <v>0</v>
      </c>
      <c r="AC17" s="1144">
        <f t="shared" si="11"/>
        <v>0</v>
      </c>
      <c r="AD17" s="1148">
        <f t="shared" si="0"/>
        <v>90027.500881484433</v>
      </c>
      <c r="AE17" s="1487">
        <v>0</v>
      </c>
      <c r="AF17" s="1145">
        <f t="shared" si="12"/>
        <v>90027.500881484433</v>
      </c>
      <c r="AG17" s="1149">
        <f>IFERROR(VLOOKUP(CONCATENATE($L17,$N17),'Drop List'!$G$23:$K$87,2,FALSE),0)</f>
        <v>0</v>
      </c>
      <c r="AH17" s="1150">
        <f>IFERROR(VLOOKUP(CONCATENATE($L17,$N17),'Drop List'!$G$23:$K$87,3,FALSE),0)</f>
        <v>0</v>
      </c>
      <c r="AI17" s="1150">
        <f>IFERROR(VLOOKUP(CONCATENATE($L17,$N17),'Drop List'!$G$23:$K$87,4,FALSE),0)</f>
        <v>0</v>
      </c>
      <c r="AJ17" s="1151">
        <f>IFERROR(VLOOKUP(CONCATENATE($L17,$N17),'Drop List'!$G$23:$K$87,5,FALSE),0)</f>
        <v>0</v>
      </c>
      <c r="AK17" s="1152">
        <f t="shared" si="13"/>
        <v>0</v>
      </c>
      <c r="AL17" s="1153">
        <f t="shared" si="14"/>
        <v>0</v>
      </c>
      <c r="AM17" s="1153">
        <f t="shared" si="15"/>
        <v>0</v>
      </c>
      <c r="AN17" s="1145">
        <f t="shared" si="16"/>
        <v>0</v>
      </c>
      <c r="AO17" s="1154">
        <f t="shared" si="17"/>
        <v>0</v>
      </c>
      <c r="AP17" s="1147">
        <f t="shared" si="1"/>
        <v>90027.500881484433</v>
      </c>
      <c r="AQ17" s="1144">
        <f t="shared" si="2"/>
        <v>0</v>
      </c>
      <c r="AR17" s="1146">
        <f t="shared" si="3"/>
        <v>90027.500881484433</v>
      </c>
    </row>
    <row r="18" spans="1:44" x14ac:dyDescent="0.2">
      <c r="A18" s="1141" t="str">
        <f t="shared" si="4"/>
        <v>0543</v>
      </c>
      <c r="B18" s="1141" t="str">
        <f>IFERROR(VLOOKUP(A18,'LAC 103'!A:C,3,FALSE),"")</f>
        <v>OP</v>
      </c>
      <c r="C18" s="1478" t="str">
        <f>Info!$B$8</f>
        <v>00100</v>
      </c>
      <c r="D18" s="1474" t="s">
        <v>1100</v>
      </c>
      <c r="E18" s="1474" t="s">
        <v>45</v>
      </c>
      <c r="F18" s="1478" t="s">
        <v>394</v>
      </c>
      <c r="G18" s="1478" t="s">
        <v>394</v>
      </c>
      <c r="H18" s="1474" t="s">
        <v>1660</v>
      </c>
      <c r="I18" s="1478" t="s">
        <v>817</v>
      </c>
      <c r="J18" s="1478"/>
      <c r="K18" s="1475" t="s">
        <v>846</v>
      </c>
      <c r="L18" s="1474" t="s">
        <v>332</v>
      </c>
      <c r="M18" s="1476" t="s">
        <v>841</v>
      </c>
      <c r="N18" s="1477" t="s">
        <v>1695</v>
      </c>
      <c r="O18" s="1479">
        <v>59</v>
      </c>
      <c r="P18" s="1479"/>
      <c r="Q18" s="1142">
        <f t="shared" si="5"/>
        <v>59</v>
      </c>
      <c r="R18" s="1143">
        <f>IFERROR(VLOOKUP(CONCATENATE(E18,G18),'LAC 103'!$A$12:$O$95,11,FALSE),0)</f>
        <v>523.41570279932807</v>
      </c>
      <c r="S18" s="1144">
        <f>IFERROR(VLOOKUP(CONCATENATE($E18,$G18),'LAC 103'!$A$12:$O$95,12,FALSE),0)</f>
        <v>487.59</v>
      </c>
      <c r="T18" s="1144">
        <f>IFERROR(VLOOKUP(CONCATENATE($E18,$G18),'LAC 103'!$A$12:$O$95,13,FALSE),0)</f>
        <v>404.71</v>
      </c>
      <c r="U18" s="1144">
        <f>IFERROR(VLOOKUP(CONCATENATE($E18,$G18),'LAC 103'!$A$12:$O$95,14,FALSE),0)</f>
        <v>0</v>
      </c>
      <c r="V18" s="1144">
        <f>IFERROR(VLOOKUP(CONCATENATE($E18,$G18),'LAC 103'!$A$12:$O$95,15,FALSE),0)</f>
        <v>0</v>
      </c>
      <c r="W18" s="1145" t="str">
        <f>IFERROR(VLOOKUP(CONCATENATE($B18,$N18),'LAC 103'!$AI:$AQ,9,FALSE),"")</f>
        <v>Costs</v>
      </c>
      <c r="X18" s="1146">
        <f t="shared" si="6"/>
        <v>523.41570279932807</v>
      </c>
      <c r="Y18" s="1143">
        <f t="shared" si="7"/>
        <v>30881.526465160357</v>
      </c>
      <c r="Z18" s="1147">
        <f t="shared" si="8"/>
        <v>28767.809999999998</v>
      </c>
      <c r="AA18" s="1144">
        <f t="shared" si="9"/>
        <v>23877.89</v>
      </c>
      <c r="AB18" s="1144">
        <f t="shared" si="10"/>
        <v>0</v>
      </c>
      <c r="AC18" s="1144">
        <f t="shared" si="11"/>
        <v>0</v>
      </c>
      <c r="AD18" s="1148">
        <f t="shared" si="0"/>
        <v>30881.526465160357</v>
      </c>
      <c r="AE18" s="1487">
        <v>0</v>
      </c>
      <c r="AF18" s="1145">
        <f t="shared" si="12"/>
        <v>30881.526465160357</v>
      </c>
      <c r="AG18" s="1149">
        <f>IFERROR(VLOOKUP(CONCATENATE($L18,$N18),'Drop List'!$G$23:$K$87,2,FALSE),0)</f>
        <v>0</v>
      </c>
      <c r="AH18" s="1150">
        <f>IFERROR(VLOOKUP(CONCATENATE($L18,$N18),'Drop List'!$G$23:$K$87,3,FALSE),0)</f>
        <v>0</v>
      </c>
      <c r="AI18" s="1150">
        <f>IFERROR(VLOOKUP(CONCATENATE($L18,$N18),'Drop List'!$G$23:$K$87,4,FALSE),0)</f>
        <v>0</v>
      </c>
      <c r="AJ18" s="1151">
        <f>IFERROR(VLOOKUP(CONCATENATE($L18,$N18),'Drop List'!$G$23:$K$87,5,FALSE),0)</f>
        <v>0</v>
      </c>
      <c r="AK18" s="1152">
        <f t="shared" si="13"/>
        <v>0</v>
      </c>
      <c r="AL18" s="1153">
        <f t="shared" si="14"/>
        <v>0</v>
      </c>
      <c r="AM18" s="1153">
        <f t="shared" si="15"/>
        <v>0</v>
      </c>
      <c r="AN18" s="1145">
        <f t="shared" si="16"/>
        <v>0</v>
      </c>
      <c r="AO18" s="1154">
        <f t="shared" si="17"/>
        <v>0</v>
      </c>
      <c r="AP18" s="1147">
        <f t="shared" si="1"/>
        <v>30881.526465160357</v>
      </c>
      <c r="AQ18" s="1144">
        <f t="shared" si="2"/>
        <v>0</v>
      </c>
      <c r="AR18" s="1146">
        <f t="shared" si="3"/>
        <v>30881.526465160357</v>
      </c>
    </row>
    <row r="19" spans="1:44" x14ac:dyDescent="0.2">
      <c r="A19" s="1141" t="str">
        <f t="shared" si="4"/>
        <v>0543</v>
      </c>
      <c r="B19" s="1141" t="str">
        <f>IFERROR(VLOOKUP(A19,'LAC 103'!A:C,3,FALSE),"")</f>
        <v>OP</v>
      </c>
      <c r="C19" s="1478" t="str">
        <f>Info!$B$8</f>
        <v>00100</v>
      </c>
      <c r="D19" s="1474" t="s">
        <v>1100</v>
      </c>
      <c r="E19" s="1474" t="s">
        <v>45</v>
      </c>
      <c r="F19" s="1478" t="s">
        <v>394</v>
      </c>
      <c r="G19" s="1478" t="s">
        <v>394</v>
      </c>
      <c r="H19" s="1474" t="s">
        <v>1660</v>
      </c>
      <c r="I19" s="1478" t="s">
        <v>817</v>
      </c>
      <c r="J19" s="1478"/>
      <c r="K19" s="1475" t="s">
        <v>846</v>
      </c>
      <c r="L19" s="1474" t="s">
        <v>332</v>
      </c>
      <c r="M19" s="1476" t="s">
        <v>840</v>
      </c>
      <c r="N19" s="1477" t="s">
        <v>1700</v>
      </c>
      <c r="O19" s="1479">
        <v>77</v>
      </c>
      <c r="P19" s="1479"/>
      <c r="Q19" s="1142">
        <f t="shared" si="5"/>
        <v>77</v>
      </c>
      <c r="R19" s="1143">
        <f>IFERROR(VLOOKUP(CONCATENATE(E19,G19),'LAC 103'!$A$12:$O$95,11,FALSE),0)</f>
        <v>523.41570279932807</v>
      </c>
      <c r="S19" s="1144">
        <f>IFERROR(VLOOKUP(CONCATENATE($E19,$G19),'LAC 103'!$A$12:$O$95,12,FALSE),0)</f>
        <v>487.59</v>
      </c>
      <c r="T19" s="1144">
        <f>IFERROR(VLOOKUP(CONCATENATE($E19,$G19),'LAC 103'!$A$12:$O$95,13,FALSE),0)</f>
        <v>404.71</v>
      </c>
      <c r="U19" s="1144">
        <f>IFERROR(VLOOKUP(CONCATENATE($E19,$G19),'LAC 103'!$A$12:$O$95,14,FALSE),0)</f>
        <v>0</v>
      </c>
      <c r="V19" s="1144">
        <f>IFERROR(VLOOKUP(CONCATENATE($E19,$G19),'LAC 103'!$A$12:$O$95,15,FALSE),0)</f>
        <v>0</v>
      </c>
      <c r="W19" s="1145" t="str">
        <f>IFERROR(VLOOKUP(CONCATENATE($B19,$N19),'LAC 103'!$AI:$AQ,9,FALSE),"")</f>
        <v>P.C.</v>
      </c>
      <c r="X19" s="1146">
        <f t="shared" si="6"/>
        <v>404.71</v>
      </c>
      <c r="Y19" s="1143">
        <f t="shared" si="7"/>
        <v>40303.009115548259</v>
      </c>
      <c r="Z19" s="1147">
        <f t="shared" si="8"/>
        <v>37544.43</v>
      </c>
      <c r="AA19" s="1144">
        <f t="shared" si="9"/>
        <v>31162.67</v>
      </c>
      <c r="AB19" s="1144">
        <f t="shared" si="10"/>
        <v>0</v>
      </c>
      <c r="AC19" s="1144">
        <f t="shared" si="11"/>
        <v>0</v>
      </c>
      <c r="AD19" s="1148">
        <f t="shared" si="0"/>
        <v>31162.67</v>
      </c>
      <c r="AE19" s="1487">
        <v>0</v>
      </c>
      <c r="AF19" s="1145">
        <f t="shared" si="12"/>
        <v>31162.67</v>
      </c>
      <c r="AG19" s="1149">
        <f>IFERROR(VLOOKUP(CONCATENATE($L19,$N19),'Drop List'!$G$23:$K$87,2,FALSE),0)</f>
        <v>0</v>
      </c>
      <c r="AH19" s="1150">
        <f>IFERROR(VLOOKUP(CONCATENATE($L19,$N19),'Drop List'!$G$23:$K$87,3,FALSE),0)</f>
        <v>0</v>
      </c>
      <c r="AI19" s="1150">
        <f>IFERROR(VLOOKUP(CONCATENATE($L19,$N19),'Drop List'!$G$23:$K$87,4,FALSE),0)</f>
        <v>0</v>
      </c>
      <c r="AJ19" s="1151">
        <f>IFERROR(VLOOKUP(CONCATENATE($L19,$N19),'Drop List'!$G$23:$K$87,5,FALSE),0)</f>
        <v>0</v>
      </c>
      <c r="AK19" s="1152">
        <f t="shared" si="13"/>
        <v>0</v>
      </c>
      <c r="AL19" s="1153">
        <f t="shared" si="14"/>
        <v>0</v>
      </c>
      <c r="AM19" s="1153">
        <f t="shared" si="15"/>
        <v>0</v>
      </c>
      <c r="AN19" s="1145">
        <f t="shared" si="16"/>
        <v>0</v>
      </c>
      <c r="AO19" s="1154">
        <f t="shared" si="17"/>
        <v>0</v>
      </c>
      <c r="AP19" s="1147">
        <f t="shared" si="1"/>
        <v>31162.67</v>
      </c>
      <c r="AQ19" s="1144">
        <f t="shared" si="2"/>
        <v>0</v>
      </c>
      <c r="AR19" s="1146">
        <f t="shared" si="3"/>
        <v>31162.67</v>
      </c>
    </row>
    <row r="20" spans="1:44" x14ac:dyDescent="0.2">
      <c r="A20" s="1141" t="str">
        <f t="shared" si="4"/>
        <v>0543</v>
      </c>
      <c r="B20" s="1141" t="str">
        <f>IFERROR(VLOOKUP(A20,'LAC 103'!A:C,3,FALSE),"")</f>
        <v>OP</v>
      </c>
      <c r="C20" s="1478" t="str">
        <f>Info!$B$8</f>
        <v>00100</v>
      </c>
      <c r="D20" s="1474" t="s">
        <v>1100</v>
      </c>
      <c r="E20" s="1474" t="s">
        <v>45</v>
      </c>
      <c r="F20" s="1478" t="s">
        <v>394</v>
      </c>
      <c r="G20" s="1478" t="s">
        <v>394</v>
      </c>
      <c r="H20" s="1474" t="s">
        <v>1660</v>
      </c>
      <c r="I20" s="1478" t="s">
        <v>817</v>
      </c>
      <c r="J20" s="1478"/>
      <c r="K20" s="1475" t="s">
        <v>846</v>
      </c>
      <c r="L20" s="1474" t="s">
        <v>332</v>
      </c>
      <c r="M20" s="1476" t="s">
        <v>842</v>
      </c>
      <c r="N20" s="1477" t="s">
        <v>1692</v>
      </c>
      <c r="O20" s="1479">
        <v>18</v>
      </c>
      <c r="P20" s="1479"/>
      <c r="Q20" s="1142">
        <f t="shared" si="5"/>
        <v>18</v>
      </c>
      <c r="R20" s="1143">
        <f>IFERROR(VLOOKUP(CONCATENATE(E20,G20),'LAC 103'!$A$12:$O$95,11,FALSE),0)</f>
        <v>523.41570279932807</v>
      </c>
      <c r="S20" s="1144">
        <f>IFERROR(VLOOKUP(CONCATENATE($E20,$G20),'LAC 103'!$A$12:$O$95,12,FALSE),0)</f>
        <v>487.59</v>
      </c>
      <c r="T20" s="1144">
        <f>IFERROR(VLOOKUP(CONCATENATE($E20,$G20),'LAC 103'!$A$12:$O$95,13,FALSE),0)</f>
        <v>404.71</v>
      </c>
      <c r="U20" s="1144">
        <f>IFERROR(VLOOKUP(CONCATENATE($E20,$G20),'LAC 103'!$A$12:$O$95,14,FALSE),0)</f>
        <v>0</v>
      </c>
      <c r="V20" s="1144">
        <f>IFERROR(VLOOKUP(CONCATENATE($E20,$G20),'LAC 103'!$A$12:$O$95,15,FALSE),0)</f>
        <v>0</v>
      </c>
      <c r="W20" s="1145" t="str">
        <f>IFERROR(VLOOKUP(CONCATENATE($B20,$N20),'LAC 103'!$AI:$AQ,9,FALSE),"")</f>
        <v>Costs</v>
      </c>
      <c r="X20" s="1146">
        <f t="shared" si="6"/>
        <v>523.41570279932807</v>
      </c>
      <c r="Y20" s="1143">
        <f t="shared" si="7"/>
        <v>9421.4826503879049</v>
      </c>
      <c r="Z20" s="1147">
        <f t="shared" si="8"/>
        <v>8776.619999999999</v>
      </c>
      <c r="AA20" s="1144">
        <f t="shared" si="9"/>
        <v>7284.78</v>
      </c>
      <c r="AB20" s="1144">
        <f t="shared" si="10"/>
        <v>0</v>
      </c>
      <c r="AC20" s="1144">
        <f t="shared" si="11"/>
        <v>0</v>
      </c>
      <c r="AD20" s="1148">
        <f t="shared" si="0"/>
        <v>9421.4826503879049</v>
      </c>
      <c r="AE20" s="1487">
        <v>0</v>
      </c>
      <c r="AF20" s="1145">
        <f t="shared" si="12"/>
        <v>9421.4826503879049</v>
      </c>
      <c r="AG20" s="1149">
        <f>IFERROR(VLOOKUP(CONCATENATE($L20,$N20),'Drop List'!$G$23:$K$87,2,FALSE),0)</f>
        <v>0</v>
      </c>
      <c r="AH20" s="1150">
        <f>IFERROR(VLOOKUP(CONCATENATE($L20,$N20),'Drop List'!$G$23:$K$87,3,FALSE),0)</f>
        <v>0</v>
      </c>
      <c r="AI20" s="1150">
        <f>IFERROR(VLOOKUP(CONCATENATE($L20,$N20),'Drop List'!$G$23:$K$87,4,FALSE),0)</f>
        <v>0</v>
      </c>
      <c r="AJ20" s="1151">
        <f>IFERROR(VLOOKUP(CONCATENATE($L20,$N20),'Drop List'!$G$23:$K$87,5,FALSE),0)</f>
        <v>0</v>
      </c>
      <c r="AK20" s="1152">
        <f t="shared" si="13"/>
        <v>0</v>
      </c>
      <c r="AL20" s="1153">
        <f t="shared" si="14"/>
        <v>0</v>
      </c>
      <c r="AM20" s="1153">
        <f t="shared" si="15"/>
        <v>0</v>
      </c>
      <c r="AN20" s="1145">
        <f t="shared" si="16"/>
        <v>0</v>
      </c>
      <c r="AO20" s="1154">
        <f t="shared" si="17"/>
        <v>0</v>
      </c>
      <c r="AP20" s="1147">
        <f t="shared" si="1"/>
        <v>9421.4826503879049</v>
      </c>
      <c r="AQ20" s="1144">
        <f t="shared" si="2"/>
        <v>0</v>
      </c>
      <c r="AR20" s="1146">
        <f t="shared" si="3"/>
        <v>9421.4826503879049</v>
      </c>
    </row>
    <row r="21" spans="1:44" x14ac:dyDescent="0.2">
      <c r="A21" s="1141" t="str">
        <f t="shared" si="4"/>
        <v>0543</v>
      </c>
      <c r="B21" s="1141" t="str">
        <f>IFERROR(VLOOKUP(A21,'LAC 103'!A:C,3,FALSE),"")</f>
        <v>OP</v>
      </c>
      <c r="C21" s="1478" t="str">
        <f>Info!$B$8</f>
        <v>00100</v>
      </c>
      <c r="D21" s="1474" t="s">
        <v>1100</v>
      </c>
      <c r="E21" s="1474" t="s">
        <v>45</v>
      </c>
      <c r="F21" s="1478" t="s">
        <v>394</v>
      </c>
      <c r="G21" s="1478" t="s">
        <v>394</v>
      </c>
      <c r="H21" s="1474" t="s">
        <v>1660</v>
      </c>
      <c r="I21" s="1478" t="s">
        <v>817</v>
      </c>
      <c r="J21" s="1478"/>
      <c r="K21" s="1475" t="s">
        <v>846</v>
      </c>
      <c r="L21" s="1474" t="s">
        <v>332</v>
      </c>
      <c r="M21" s="1476" t="s">
        <v>1698</v>
      </c>
      <c r="N21" s="1477" t="s">
        <v>1693</v>
      </c>
      <c r="O21" s="1479">
        <v>36</v>
      </c>
      <c r="P21" s="1479"/>
      <c r="Q21" s="1142">
        <f t="shared" si="5"/>
        <v>36</v>
      </c>
      <c r="R21" s="1143">
        <f>IFERROR(VLOOKUP(CONCATENATE(E21,G21),'LAC 103'!$A$12:$O$95,11,FALSE),0)</f>
        <v>523.41570279932807</v>
      </c>
      <c r="S21" s="1144">
        <f>IFERROR(VLOOKUP(CONCATENATE($E21,$G21),'LAC 103'!$A$12:$O$95,12,FALSE),0)</f>
        <v>487.59</v>
      </c>
      <c r="T21" s="1144">
        <f>IFERROR(VLOOKUP(CONCATENATE($E21,$G21),'LAC 103'!$A$12:$O$95,13,FALSE),0)</f>
        <v>404.71</v>
      </c>
      <c r="U21" s="1144">
        <f>IFERROR(VLOOKUP(CONCATENATE($E21,$G21),'LAC 103'!$A$12:$O$95,14,FALSE),0)</f>
        <v>0</v>
      </c>
      <c r="V21" s="1144">
        <f>IFERROR(VLOOKUP(CONCATENATE($E21,$G21),'LAC 103'!$A$12:$O$95,15,FALSE),0)</f>
        <v>0</v>
      </c>
      <c r="W21" s="1145" t="str">
        <f>IFERROR(VLOOKUP(CONCATENATE($B21,$N21),'LAC 103'!$AI:$AQ,9,FALSE),"")</f>
        <v>Costs</v>
      </c>
      <c r="X21" s="1146">
        <f t="shared" si="6"/>
        <v>523.41570279932807</v>
      </c>
      <c r="Y21" s="1143">
        <f t="shared" si="7"/>
        <v>18842.96530077581</v>
      </c>
      <c r="Z21" s="1147">
        <f t="shared" si="8"/>
        <v>17553.239999999998</v>
      </c>
      <c r="AA21" s="1144">
        <f t="shared" si="9"/>
        <v>14569.56</v>
      </c>
      <c r="AB21" s="1144">
        <f t="shared" si="10"/>
        <v>0</v>
      </c>
      <c r="AC21" s="1144">
        <f t="shared" si="11"/>
        <v>0</v>
      </c>
      <c r="AD21" s="1148">
        <f t="shared" si="0"/>
        <v>18842.96530077581</v>
      </c>
      <c r="AE21" s="1487">
        <v>0</v>
      </c>
      <c r="AF21" s="1145">
        <f t="shared" si="12"/>
        <v>18842.96530077581</v>
      </c>
      <c r="AG21" s="1149">
        <f>IFERROR(VLOOKUP(CONCATENATE($L21,$N21),'Drop List'!$G$23:$K$87,2,FALSE),0)</f>
        <v>0</v>
      </c>
      <c r="AH21" s="1150">
        <f>IFERROR(VLOOKUP(CONCATENATE($L21,$N21),'Drop List'!$G$23:$K$87,3,FALSE),0)</f>
        <v>0</v>
      </c>
      <c r="AI21" s="1150">
        <f>IFERROR(VLOOKUP(CONCATENATE($L21,$N21),'Drop List'!$G$23:$K$87,4,FALSE),0)</f>
        <v>0</v>
      </c>
      <c r="AJ21" s="1151">
        <f>IFERROR(VLOOKUP(CONCATENATE($L21,$N21),'Drop List'!$G$23:$K$87,5,FALSE),0)</f>
        <v>0</v>
      </c>
      <c r="AK21" s="1152">
        <f t="shared" si="13"/>
        <v>0</v>
      </c>
      <c r="AL21" s="1153">
        <f t="shared" si="14"/>
        <v>0</v>
      </c>
      <c r="AM21" s="1153">
        <f t="shared" si="15"/>
        <v>0</v>
      </c>
      <c r="AN21" s="1145">
        <f t="shared" si="16"/>
        <v>0</v>
      </c>
      <c r="AO21" s="1154">
        <f t="shared" si="17"/>
        <v>0</v>
      </c>
      <c r="AP21" s="1147">
        <f t="shared" si="1"/>
        <v>18842.96530077581</v>
      </c>
      <c r="AQ21" s="1144">
        <f t="shared" si="2"/>
        <v>0</v>
      </c>
      <c r="AR21" s="1146">
        <f t="shared" si="3"/>
        <v>18842.96530077581</v>
      </c>
    </row>
    <row r="22" spans="1:44" x14ac:dyDescent="0.2">
      <c r="A22" s="1141" t="str">
        <f t="shared" si="4"/>
        <v>1504</v>
      </c>
      <c r="B22" s="1141" t="str">
        <f>IFERROR(VLOOKUP(A22,'LAC 103'!A:C,3,FALSE),"")</f>
        <v>OP</v>
      </c>
      <c r="C22" s="1478" t="str">
        <f>Info!$B$8</f>
        <v>00100</v>
      </c>
      <c r="D22" s="1474" t="s">
        <v>1100</v>
      </c>
      <c r="E22" s="1474" t="s">
        <v>95</v>
      </c>
      <c r="F22" s="1478" t="s">
        <v>588</v>
      </c>
      <c r="G22" s="1478" t="s">
        <v>588</v>
      </c>
      <c r="H22" s="1474" t="s">
        <v>1009</v>
      </c>
      <c r="I22" s="1478" t="s">
        <v>826</v>
      </c>
      <c r="J22" s="1478" t="s">
        <v>123</v>
      </c>
      <c r="K22" s="1475" t="s">
        <v>849</v>
      </c>
      <c r="L22" s="1474" t="s">
        <v>77</v>
      </c>
      <c r="M22" s="1476" t="s">
        <v>1699</v>
      </c>
      <c r="N22" s="1477" t="s">
        <v>1694</v>
      </c>
      <c r="O22" s="1479">
        <v>2611</v>
      </c>
      <c r="P22" s="1479"/>
      <c r="Q22" s="1142">
        <f t="shared" si="5"/>
        <v>2611</v>
      </c>
      <c r="R22" s="1143">
        <f>IFERROR(VLOOKUP(CONCATENATE(E22,G22),'LAC 103'!$A$12:$O$95,11,FALSE),0)</f>
        <v>2.483156209074918</v>
      </c>
      <c r="S22" s="1144">
        <f>IFERROR(VLOOKUP(CONCATENATE($E22,$G22),'LAC 103'!$A$12:$O$95,12,FALSE),0)</f>
        <v>3.07</v>
      </c>
      <c r="T22" s="1144">
        <f>IFERROR(VLOOKUP(CONCATENATE($E22,$G22),'LAC 103'!$A$12:$O$95,13,FALSE),0)</f>
        <v>1.92</v>
      </c>
      <c r="U22" s="1144">
        <f>IFERROR(VLOOKUP(CONCATENATE($E22,$G22),'LAC 103'!$A$12:$O$95,14,FALSE),0)</f>
        <v>0</v>
      </c>
      <c r="V22" s="1144">
        <f>IFERROR(VLOOKUP(CONCATENATE($E22,$G22),'LAC 103'!$A$12:$O$95,15,FALSE),0)</f>
        <v>0</v>
      </c>
      <c r="W22" s="1145" t="str">
        <f>IFERROR(VLOOKUP(CONCATENATE($B22,$N22),'LAC 103'!$AI:$AQ,9,FALSE),"")</f>
        <v>Costs</v>
      </c>
      <c r="X22" s="1146">
        <f t="shared" si="6"/>
        <v>2.483156209074918</v>
      </c>
      <c r="Y22" s="1143">
        <f t="shared" si="7"/>
        <v>6483.5208618946108</v>
      </c>
      <c r="Z22" s="1147">
        <f t="shared" si="8"/>
        <v>8015.7699999999995</v>
      </c>
      <c r="AA22" s="1144">
        <f t="shared" si="9"/>
        <v>5013.12</v>
      </c>
      <c r="AB22" s="1144">
        <f t="shared" si="10"/>
        <v>0</v>
      </c>
      <c r="AC22" s="1144">
        <f t="shared" si="11"/>
        <v>0</v>
      </c>
      <c r="AD22" s="1148">
        <f t="shared" si="0"/>
        <v>6483.5208618946108</v>
      </c>
      <c r="AE22" s="1487">
        <v>0</v>
      </c>
      <c r="AF22" s="1145">
        <f t="shared" si="12"/>
        <v>6483.5208618946108</v>
      </c>
      <c r="AG22" s="1149">
        <f>IFERROR(VLOOKUP(CONCATENATE($L22,$N22),'Drop List'!$G$23:$K$87,2,FALSE),0)</f>
        <v>0.9</v>
      </c>
      <c r="AH22" s="1150">
        <f>IFERROR(VLOOKUP(CONCATENATE($L22,$N22),'Drop List'!$G$23:$K$87,3,FALSE),0)</f>
        <v>0</v>
      </c>
      <c r="AI22" s="1150">
        <f>IFERROR(VLOOKUP(CONCATENATE($L22,$N22),'Drop List'!$G$23:$K$87,4,FALSE),0)</f>
        <v>0.1</v>
      </c>
      <c r="AJ22" s="1151">
        <f>IFERROR(VLOOKUP(CONCATENATE($L22,$N22),'Drop List'!$G$23:$K$87,5,FALSE),0)</f>
        <v>0</v>
      </c>
      <c r="AK22" s="1152">
        <f t="shared" si="13"/>
        <v>5835.1687757051495</v>
      </c>
      <c r="AL22" s="1153">
        <f t="shared" si="14"/>
        <v>0</v>
      </c>
      <c r="AM22" s="1153">
        <f t="shared" si="15"/>
        <v>648.35208618946115</v>
      </c>
      <c r="AN22" s="1145">
        <f t="shared" si="16"/>
        <v>0</v>
      </c>
      <c r="AO22" s="1154">
        <f t="shared" si="17"/>
        <v>6483.5208618946108</v>
      </c>
      <c r="AP22" s="1147">
        <f t="shared" si="1"/>
        <v>0</v>
      </c>
      <c r="AQ22" s="1144">
        <f t="shared" si="2"/>
        <v>0</v>
      </c>
      <c r="AR22" s="1146">
        <f t="shared" si="3"/>
        <v>6483.5208618946108</v>
      </c>
    </row>
    <row r="23" spans="1:44" x14ac:dyDescent="0.2">
      <c r="A23" s="1141" t="str">
        <f t="shared" si="4"/>
        <v>1504</v>
      </c>
      <c r="B23" s="1141" t="str">
        <f>IFERROR(VLOOKUP(A23,'LAC 103'!A:C,3,FALSE),"")</f>
        <v>OP</v>
      </c>
      <c r="C23" s="1478" t="str">
        <f>Info!$B$8</f>
        <v>00100</v>
      </c>
      <c r="D23" s="1474" t="s">
        <v>1100</v>
      </c>
      <c r="E23" s="1474" t="s">
        <v>95</v>
      </c>
      <c r="F23" s="1478" t="s">
        <v>588</v>
      </c>
      <c r="G23" s="1478" t="s">
        <v>588</v>
      </c>
      <c r="H23" s="1474" t="s">
        <v>1009</v>
      </c>
      <c r="I23" s="1478" t="s">
        <v>826</v>
      </c>
      <c r="J23" s="1478"/>
      <c r="K23" s="1475" t="s">
        <v>849</v>
      </c>
      <c r="L23" s="1474" t="s">
        <v>77</v>
      </c>
      <c r="M23" s="1476" t="s">
        <v>842</v>
      </c>
      <c r="N23" s="1477" t="s">
        <v>1692</v>
      </c>
      <c r="O23" s="1479">
        <v>5950</v>
      </c>
      <c r="P23" s="1479"/>
      <c r="Q23" s="1142">
        <f t="shared" si="5"/>
        <v>5950</v>
      </c>
      <c r="R23" s="1143">
        <f>IFERROR(VLOOKUP(CONCATENATE(E23,G23),'LAC 103'!$A$12:$O$95,11,FALSE),0)</f>
        <v>2.483156209074918</v>
      </c>
      <c r="S23" s="1144">
        <f>IFERROR(VLOOKUP(CONCATENATE($E23,$G23),'LAC 103'!$A$12:$O$95,12,FALSE),0)</f>
        <v>3.07</v>
      </c>
      <c r="T23" s="1144">
        <f>IFERROR(VLOOKUP(CONCATENATE($E23,$G23),'LAC 103'!$A$12:$O$95,13,FALSE),0)</f>
        <v>1.92</v>
      </c>
      <c r="U23" s="1144">
        <f>IFERROR(VLOOKUP(CONCATENATE($E23,$G23),'LAC 103'!$A$12:$O$95,14,FALSE),0)</f>
        <v>0</v>
      </c>
      <c r="V23" s="1144">
        <f>IFERROR(VLOOKUP(CONCATENATE($E23,$G23),'LAC 103'!$A$12:$O$95,15,FALSE),0)</f>
        <v>0</v>
      </c>
      <c r="W23" s="1145" t="str">
        <f>IFERROR(VLOOKUP(CONCATENATE($B23,$N23),'LAC 103'!$AI:$AQ,9,FALSE),"")</f>
        <v>Costs</v>
      </c>
      <c r="X23" s="1146">
        <f t="shared" si="6"/>
        <v>2.483156209074918</v>
      </c>
      <c r="Y23" s="1143">
        <f t="shared" si="7"/>
        <v>14774.779443995762</v>
      </c>
      <c r="Z23" s="1147">
        <f t="shared" si="8"/>
        <v>18266.5</v>
      </c>
      <c r="AA23" s="1144">
        <f t="shared" si="9"/>
        <v>11424</v>
      </c>
      <c r="AB23" s="1144">
        <f t="shared" si="10"/>
        <v>0</v>
      </c>
      <c r="AC23" s="1144">
        <f t="shared" si="11"/>
        <v>0</v>
      </c>
      <c r="AD23" s="1148">
        <f t="shared" si="0"/>
        <v>14774.779443995762</v>
      </c>
      <c r="AE23" s="1487">
        <v>0</v>
      </c>
      <c r="AF23" s="1145">
        <f t="shared" si="12"/>
        <v>14774.779443995762</v>
      </c>
      <c r="AG23" s="1149">
        <f>IFERROR(VLOOKUP(CONCATENATE($L23,$N23),'Drop List'!$G$23:$K$87,2,FALSE),0)</f>
        <v>0.9</v>
      </c>
      <c r="AH23" s="1150">
        <f>IFERROR(VLOOKUP(CONCATENATE($L23,$N23),'Drop List'!$G$23:$K$87,3,FALSE),0)</f>
        <v>0</v>
      </c>
      <c r="AI23" s="1150">
        <f>IFERROR(VLOOKUP(CONCATENATE($L23,$N23),'Drop List'!$G$23:$K$87,4,FALSE),0)</f>
        <v>0.1</v>
      </c>
      <c r="AJ23" s="1151">
        <f>IFERROR(VLOOKUP(CONCATENATE($L23,$N23),'Drop List'!$G$23:$K$87,5,FALSE),0)</f>
        <v>0</v>
      </c>
      <c r="AK23" s="1152">
        <f t="shared" si="13"/>
        <v>13297.301499596186</v>
      </c>
      <c r="AL23" s="1153">
        <f t="shared" si="14"/>
        <v>0</v>
      </c>
      <c r="AM23" s="1153">
        <f t="shared" si="15"/>
        <v>1477.4779443995762</v>
      </c>
      <c r="AN23" s="1145">
        <f t="shared" si="16"/>
        <v>0</v>
      </c>
      <c r="AO23" s="1154">
        <f t="shared" si="17"/>
        <v>14774.779443995762</v>
      </c>
      <c r="AP23" s="1147">
        <f t="shared" si="1"/>
        <v>0</v>
      </c>
      <c r="AQ23" s="1144">
        <f t="shared" si="2"/>
        <v>0</v>
      </c>
      <c r="AR23" s="1146">
        <f t="shared" si="3"/>
        <v>14774.779443995762</v>
      </c>
    </row>
    <row r="24" spans="1:44" x14ac:dyDescent="0.2">
      <c r="A24" s="1141" t="str">
        <f t="shared" si="4"/>
        <v>1504</v>
      </c>
      <c r="B24" s="1141" t="str">
        <f>IFERROR(VLOOKUP(A24,'LAC 103'!A:C,3,FALSE),"")</f>
        <v>OP</v>
      </c>
      <c r="C24" s="1478" t="str">
        <f>Info!$B$8</f>
        <v>00100</v>
      </c>
      <c r="D24" s="1474" t="s">
        <v>1100</v>
      </c>
      <c r="E24" s="1474" t="s">
        <v>95</v>
      </c>
      <c r="F24" s="1478" t="s">
        <v>588</v>
      </c>
      <c r="G24" s="1478" t="s">
        <v>588</v>
      </c>
      <c r="H24" s="1474" t="s">
        <v>1009</v>
      </c>
      <c r="I24" s="1478" t="s">
        <v>826</v>
      </c>
      <c r="J24" s="1478"/>
      <c r="K24" s="1475" t="s">
        <v>849</v>
      </c>
      <c r="L24" s="1474" t="s">
        <v>77</v>
      </c>
      <c r="M24" s="1476" t="s">
        <v>1698</v>
      </c>
      <c r="N24" s="1477" t="s">
        <v>1693</v>
      </c>
      <c r="O24" s="1479">
        <v>5165</v>
      </c>
      <c r="P24" s="1479"/>
      <c r="Q24" s="1142">
        <f t="shared" si="5"/>
        <v>5165</v>
      </c>
      <c r="R24" s="1143">
        <f>IFERROR(VLOOKUP(CONCATENATE(E24,G24),'LAC 103'!$A$12:$O$95,11,FALSE),0)</f>
        <v>2.483156209074918</v>
      </c>
      <c r="S24" s="1144">
        <f>IFERROR(VLOOKUP(CONCATENATE($E24,$G24),'LAC 103'!$A$12:$O$95,12,FALSE),0)</f>
        <v>3.07</v>
      </c>
      <c r="T24" s="1144">
        <f>IFERROR(VLOOKUP(CONCATENATE($E24,$G24),'LAC 103'!$A$12:$O$95,13,FALSE),0)</f>
        <v>1.92</v>
      </c>
      <c r="U24" s="1144">
        <f>IFERROR(VLOOKUP(CONCATENATE($E24,$G24),'LAC 103'!$A$12:$O$95,14,FALSE),0)</f>
        <v>0</v>
      </c>
      <c r="V24" s="1144">
        <f>IFERROR(VLOOKUP(CONCATENATE($E24,$G24),'LAC 103'!$A$12:$O$95,15,FALSE),0)</f>
        <v>0</v>
      </c>
      <c r="W24" s="1145" t="str">
        <f>IFERROR(VLOOKUP(CONCATENATE($B24,$N24),'LAC 103'!$AI:$AQ,9,FALSE),"")</f>
        <v>Costs</v>
      </c>
      <c r="X24" s="1146">
        <f t="shared" si="6"/>
        <v>2.483156209074918</v>
      </c>
      <c r="Y24" s="1143">
        <f t="shared" si="7"/>
        <v>12825.501819871952</v>
      </c>
      <c r="Z24" s="1147">
        <f t="shared" si="8"/>
        <v>15856.55</v>
      </c>
      <c r="AA24" s="1144">
        <f t="shared" si="9"/>
        <v>9916.7999999999993</v>
      </c>
      <c r="AB24" s="1144">
        <f t="shared" si="10"/>
        <v>0</v>
      </c>
      <c r="AC24" s="1144">
        <f t="shared" si="11"/>
        <v>0</v>
      </c>
      <c r="AD24" s="1148">
        <f t="shared" si="0"/>
        <v>12825.501819871952</v>
      </c>
      <c r="AE24" s="1487">
        <v>0</v>
      </c>
      <c r="AF24" s="1145">
        <f t="shared" si="12"/>
        <v>12825.501819871952</v>
      </c>
      <c r="AG24" s="1149">
        <f>IFERROR(VLOOKUP(CONCATENATE($L24,$N24),'Drop List'!$G$23:$K$87,2,FALSE),0)</f>
        <v>0.9</v>
      </c>
      <c r="AH24" s="1150">
        <f>IFERROR(VLOOKUP(CONCATENATE($L24,$N24),'Drop List'!$G$23:$K$87,3,FALSE),0)</f>
        <v>0</v>
      </c>
      <c r="AI24" s="1150">
        <f>IFERROR(VLOOKUP(CONCATENATE($L24,$N24),'Drop List'!$G$23:$K$87,4,FALSE),0)</f>
        <v>0.1</v>
      </c>
      <c r="AJ24" s="1151">
        <f>IFERROR(VLOOKUP(CONCATENATE($L24,$N24),'Drop List'!$G$23:$K$87,5,FALSE),0)</f>
        <v>0</v>
      </c>
      <c r="AK24" s="1152">
        <f t="shared" si="13"/>
        <v>11542.951637884757</v>
      </c>
      <c r="AL24" s="1153">
        <f t="shared" si="14"/>
        <v>0</v>
      </c>
      <c r="AM24" s="1153">
        <f t="shared" si="15"/>
        <v>1282.5501819871952</v>
      </c>
      <c r="AN24" s="1145">
        <f t="shared" si="16"/>
        <v>0</v>
      </c>
      <c r="AO24" s="1154">
        <f t="shared" si="17"/>
        <v>12825.501819871952</v>
      </c>
      <c r="AP24" s="1147">
        <f t="shared" si="1"/>
        <v>0</v>
      </c>
      <c r="AQ24" s="1144">
        <f t="shared" si="2"/>
        <v>0</v>
      </c>
      <c r="AR24" s="1146">
        <f t="shared" si="3"/>
        <v>12825.501819871952</v>
      </c>
    </row>
    <row r="25" spans="1:44" x14ac:dyDescent="0.2">
      <c r="A25" s="1141" t="str">
        <f t="shared" si="4"/>
        <v>1504</v>
      </c>
      <c r="B25" s="1141" t="str">
        <f>IFERROR(VLOOKUP(A25,'LAC 103'!A:C,3,FALSE),"")</f>
        <v>OP</v>
      </c>
      <c r="C25" s="1478" t="str">
        <f>Info!$B$8</f>
        <v>00100</v>
      </c>
      <c r="D25" s="1474" t="s">
        <v>1100</v>
      </c>
      <c r="E25" s="1474" t="s">
        <v>95</v>
      </c>
      <c r="F25" s="1478" t="s">
        <v>588</v>
      </c>
      <c r="G25" s="1478" t="s">
        <v>588</v>
      </c>
      <c r="H25" s="1474" t="s">
        <v>1009</v>
      </c>
      <c r="I25" s="1478" t="s">
        <v>826</v>
      </c>
      <c r="J25" s="1478"/>
      <c r="K25" s="1475" t="s">
        <v>971</v>
      </c>
      <c r="L25" s="1474" t="s">
        <v>332</v>
      </c>
      <c r="M25" s="1476" t="s">
        <v>842</v>
      </c>
      <c r="N25" s="1477" t="s">
        <v>1692</v>
      </c>
      <c r="O25" s="1479">
        <v>445</v>
      </c>
      <c r="P25" s="1479"/>
      <c r="Q25" s="1142">
        <f t="shared" si="5"/>
        <v>445</v>
      </c>
      <c r="R25" s="1143">
        <f>IFERROR(VLOOKUP(CONCATENATE(E25,G25),'LAC 103'!$A$12:$O$95,11,FALSE),0)</f>
        <v>2.483156209074918</v>
      </c>
      <c r="S25" s="1144">
        <f>IFERROR(VLOOKUP(CONCATENATE($E25,$G25),'LAC 103'!$A$12:$O$95,12,FALSE),0)</f>
        <v>3.07</v>
      </c>
      <c r="T25" s="1144">
        <f>IFERROR(VLOOKUP(CONCATENATE($E25,$G25),'LAC 103'!$A$12:$O$95,13,FALSE),0)</f>
        <v>1.92</v>
      </c>
      <c r="U25" s="1144">
        <f>IFERROR(VLOOKUP(CONCATENATE($E25,$G25),'LAC 103'!$A$12:$O$95,14,FALSE),0)</f>
        <v>0</v>
      </c>
      <c r="V25" s="1144">
        <f>IFERROR(VLOOKUP(CONCATENATE($E25,$G25),'LAC 103'!$A$12:$O$95,15,FALSE),0)</f>
        <v>0</v>
      </c>
      <c r="W25" s="1145" t="str">
        <f>IFERROR(VLOOKUP(CONCATENATE($B25,$N25),'LAC 103'!$AI:$AQ,9,FALSE),"")</f>
        <v>Costs</v>
      </c>
      <c r="X25" s="1146">
        <f t="shared" si="6"/>
        <v>2.483156209074918</v>
      </c>
      <c r="Y25" s="1143">
        <f t="shared" si="7"/>
        <v>1105.0045130383385</v>
      </c>
      <c r="Z25" s="1147">
        <f t="shared" si="8"/>
        <v>1366.1499999999999</v>
      </c>
      <c r="AA25" s="1144">
        <f t="shared" si="9"/>
        <v>854.4</v>
      </c>
      <c r="AB25" s="1144">
        <f t="shared" si="10"/>
        <v>0</v>
      </c>
      <c r="AC25" s="1144">
        <f t="shared" si="11"/>
        <v>0</v>
      </c>
      <c r="AD25" s="1148">
        <f t="shared" si="0"/>
        <v>1105.0045130383385</v>
      </c>
      <c r="AE25" s="1487">
        <v>0</v>
      </c>
      <c r="AF25" s="1145">
        <f t="shared" si="12"/>
        <v>1105.0045130383385</v>
      </c>
      <c r="AG25" s="1149">
        <f>IFERROR(VLOOKUP(CONCATENATE($L25,$N25),'Drop List'!$G$23:$K$87,2,FALSE),0)</f>
        <v>0</v>
      </c>
      <c r="AH25" s="1150">
        <f>IFERROR(VLOOKUP(CONCATENATE($L25,$N25),'Drop List'!$G$23:$K$87,3,FALSE),0)</f>
        <v>0</v>
      </c>
      <c r="AI25" s="1150">
        <f>IFERROR(VLOOKUP(CONCATENATE($L25,$N25),'Drop List'!$G$23:$K$87,4,FALSE),0)</f>
        <v>0</v>
      </c>
      <c r="AJ25" s="1151">
        <f>IFERROR(VLOOKUP(CONCATENATE($L25,$N25),'Drop List'!$G$23:$K$87,5,FALSE),0)</f>
        <v>0</v>
      </c>
      <c r="AK25" s="1152">
        <f t="shared" si="13"/>
        <v>0</v>
      </c>
      <c r="AL25" s="1153">
        <f t="shared" si="14"/>
        <v>0</v>
      </c>
      <c r="AM25" s="1153">
        <f t="shared" si="15"/>
        <v>0</v>
      </c>
      <c r="AN25" s="1145">
        <f t="shared" si="16"/>
        <v>0</v>
      </c>
      <c r="AO25" s="1154">
        <f t="shared" si="17"/>
        <v>0</v>
      </c>
      <c r="AP25" s="1147">
        <f t="shared" si="1"/>
        <v>1105.0045130383385</v>
      </c>
      <c r="AQ25" s="1144">
        <f t="shared" si="2"/>
        <v>0</v>
      </c>
      <c r="AR25" s="1146">
        <f t="shared" si="3"/>
        <v>1105.0045130383385</v>
      </c>
    </row>
    <row r="26" spans="1:44" x14ac:dyDescent="0.2">
      <c r="A26" s="1141" t="str">
        <f t="shared" si="4"/>
        <v>1504</v>
      </c>
      <c r="B26" s="1141" t="str">
        <f>IFERROR(VLOOKUP(A26,'LAC 103'!A:C,3,FALSE),"")</f>
        <v>OP</v>
      </c>
      <c r="C26" s="1478" t="str">
        <f>Info!$B$8</f>
        <v>00100</v>
      </c>
      <c r="D26" s="1474" t="s">
        <v>1100</v>
      </c>
      <c r="E26" s="1474" t="s">
        <v>95</v>
      </c>
      <c r="F26" s="1478" t="s">
        <v>588</v>
      </c>
      <c r="G26" s="1478" t="s">
        <v>588</v>
      </c>
      <c r="H26" s="1474" t="s">
        <v>1009</v>
      </c>
      <c r="I26" s="1478" t="s">
        <v>826</v>
      </c>
      <c r="J26" s="1478"/>
      <c r="K26" s="1475" t="s">
        <v>850</v>
      </c>
      <c r="L26" s="1474" t="s">
        <v>330</v>
      </c>
      <c r="M26" s="1476" t="s">
        <v>1699</v>
      </c>
      <c r="N26" s="1477" t="s">
        <v>1694</v>
      </c>
      <c r="O26" s="1479">
        <v>97</v>
      </c>
      <c r="P26" s="1479"/>
      <c r="Q26" s="1142">
        <f t="shared" si="5"/>
        <v>97</v>
      </c>
      <c r="R26" s="1143">
        <f>IFERROR(VLOOKUP(CONCATENATE(E26,G26),'LAC 103'!$A$12:$O$95,11,FALSE),0)</f>
        <v>2.483156209074918</v>
      </c>
      <c r="S26" s="1144">
        <f>IFERROR(VLOOKUP(CONCATENATE($E26,$G26),'LAC 103'!$A$12:$O$95,12,FALSE),0)</f>
        <v>3.07</v>
      </c>
      <c r="T26" s="1144">
        <f>IFERROR(VLOOKUP(CONCATENATE($E26,$G26),'LAC 103'!$A$12:$O$95,13,FALSE),0)</f>
        <v>1.92</v>
      </c>
      <c r="U26" s="1144">
        <f>IFERROR(VLOOKUP(CONCATENATE($E26,$G26),'LAC 103'!$A$12:$O$95,14,FALSE),0)</f>
        <v>0</v>
      </c>
      <c r="V26" s="1144">
        <f>IFERROR(VLOOKUP(CONCATENATE($E26,$G26),'LAC 103'!$A$12:$O$95,15,FALSE),0)</f>
        <v>0</v>
      </c>
      <c r="W26" s="1145" t="str">
        <f>IFERROR(VLOOKUP(CONCATENATE($B26,$N26),'LAC 103'!$AI:$AQ,9,FALSE),"")</f>
        <v>Costs</v>
      </c>
      <c r="X26" s="1146">
        <f t="shared" si="6"/>
        <v>2.483156209074918</v>
      </c>
      <c r="Y26" s="1143">
        <f t="shared" si="7"/>
        <v>240.86615228026704</v>
      </c>
      <c r="Z26" s="1147">
        <f t="shared" si="8"/>
        <v>297.78999999999996</v>
      </c>
      <c r="AA26" s="1144">
        <f t="shared" si="9"/>
        <v>186.23999999999998</v>
      </c>
      <c r="AB26" s="1144">
        <f t="shared" si="10"/>
        <v>0</v>
      </c>
      <c r="AC26" s="1144">
        <f t="shared" si="11"/>
        <v>0</v>
      </c>
      <c r="AD26" s="1148">
        <f t="shared" si="0"/>
        <v>240.86615228026704</v>
      </c>
      <c r="AE26" s="1487">
        <v>0</v>
      </c>
      <c r="AF26" s="1145">
        <f t="shared" si="12"/>
        <v>240.86615228026704</v>
      </c>
      <c r="AG26" s="1149">
        <f>IFERROR(VLOOKUP(CONCATENATE($L26,$N26),'Drop List'!$G$23:$K$87,2,FALSE),0)</f>
        <v>0</v>
      </c>
      <c r="AH26" s="1150">
        <f>IFERROR(VLOOKUP(CONCATENATE($L26,$N26),'Drop List'!$G$23:$K$87,3,FALSE),0)</f>
        <v>0</v>
      </c>
      <c r="AI26" s="1150">
        <f>IFERROR(VLOOKUP(CONCATENATE($L26,$N26),'Drop List'!$G$23:$K$87,4,FALSE),0)</f>
        <v>1</v>
      </c>
      <c r="AJ26" s="1151">
        <f>IFERROR(VLOOKUP(CONCATENATE($L26,$N26),'Drop List'!$G$23:$K$87,5,FALSE),0)</f>
        <v>0</v>
      </c>
      <c r="AK26" s="1152">
        <f t="shared" si="13"/>
        <v>0</v>
      </c>
      <c r="AL26" s="1153">
        <f t="shared" si="14"/>
        <v>0</v>
      </c>
      <c r="AM26" s="1153">
        <f t="shared" si="15"/>
        <v>240.86615228026704</v>
      </c>
      <c r="AN26" s="1145">
        <f t="shared" si="16"/>
        <v>0</v>
      </c>
      <c r="AO26" s="1154">
        <f t="shared" si="17"/>
        <v>240.86615228026704</v>
      </c>
      <c r="AP26" s="1147">
        <f t="shared" si="1"/>
        <v>0</v>
      </c>
      <c r="AQ26" s="1144">
        <f t="shared" si="2"/>
        <v>0</v>
      </c>
      <c r="AR26" s="1146">
        <f t="shared" si="3"/>
        <v>240.86615228026704</v>
      </c>
    </row>
    <row r="27" spans="1:44" x14ac:dyDescent="0.2">
      <c r="A27" s="1141" t="str">
        <f t="shared" si="4"/>
        <v>1504</v>
      </c>
      <c r="B27" s="1141" t="str">
        <f>IFERROR(VLOOKUP(A27,'LAC 103'!A:C,3,FALSE),"")</f>
        <v>OP</v>
      </c>
      <c r="C27" s="1478" t="str">
        <f>Info!$B$8</f>
        <v>00100</v>
      </c>
      <c r="D27" s="1474" t="s">
        <v>1100</v>
      </c>
      <c r="E27" s="1474" t="s">
        <v>95</v>
      </c>
      <c r="F27" s="1478" t="s">
        <v>588</v>
      </c>
      <c r="G27" s="1478" t="s">
        <v>588</v>
      </c>
      <c r="H27" s="1474" t="s">
        <v>1009</v>
      </c>
      <c r="I27" s="1478" t="s">
        <v>826</v>
      </c>
      <c r="J27" s="1478"/>
      <c r="K27" s="1475" t="s">
        <v>850</v>
      </c>
      <c r="L27" s="1474" t="s">
        <v>330</v>
      </c>
      <c r="M27" s="1476" t="s">
        <v>842</v>
      </c>
      <c r="N27" s="1477" t="s">
        <v>1692</v>
      </c>
      <c r="O27" s="1479">
        <v>2104</v>
      </c>
      <c r="P27" s="1479"/>
      <c r="Q27" s="1142">
        <f t="shared" si="5"/>
        <v>2104</v>
      </c>
      <c r="R27" s="1143">
        <f>IFERROR(VLOOKUP(CONCATENATE(E27,G27),'LAC 103'!$A$12:$O$95,11,FALSE),0)</f>
        <v>2.483156209074918</v>
      </c>
      <c r="S27" s="1144">
        <f>IFERROR(VLOOKUP(CONCATENATE($E27,$G27),'LAC 103'!$A$12:$O$95,12,FALSE),0)</f>
        <v>3.07</v>
      </c>
      <c r="T27" s="1144">
        <f>IFERROR(VLOOKUP(CONCATENATE($E27,$G27),'LAC 103'!$A$12:$O$95,13,FALSE),0)</f>
        <v>1.92</v>
      </c>
      <c r="U27" s="1144">
        <f>IFERROR(VLOOKUP(CONCATENATE($E27,$G27),'LAC 103'!$A$12:$O$95,14,FALSE),0)</f>
        <v>0</v>
      </c>
      <c r="V27" s="1144">
        <f>IFERROR(VLOOKUP(CONCATENATE($E27,$G27),'LAC 103'!$A$12:$O$95,15,FALSE),0)</f>
        <v>0</v>
      </c>
      <c r="W27" s="1145" t="str">
        <f>IFERROR(VLOOKUP(CONCATENATE($B27,$N27),'LAC 103'!$AI:$AQ,9,FALSE),"")</f>
        <v>Costs</v>
      </c>
      <c r="X27" s="1146">
        <f t="shared" si="6"/>
        <v>2.483156209074918</v>
      </c>
      <c r="Y27" s="1143">
        <f t="shared" si="7"/>
        <v>5224.560663893627</v>
      </c>
      <c r="Z27" s="1147">
        <f t="shared" si="8"/>
        <v>6459.28</v>
      </c>
      <c r="AA27" s="1144">
        <f t="shared" si="9"/>
        <v>4039.68</v>
      </c>
      <c r="AB27" s="1144">
        <f t="shared" si="10"/>
        <v>0</v>
      </c>
      <c r="AC27" s="1144">
        <f t="shared" si="11"/>
        <v>0</v>
      </c>
      <c r="AD27" s="1148">
        <f t="shared" si="0"/>
        <v>5224.560663893627</v>
      </c>
      <c r="AE27" s="1487">
        <v>0</v>
      </c>
      <c r="AF27" s="1145">
        <f t="shared" si="12"/>
        <v>5224.560663893627</v>
      </c>
      <c r="AG27" s="1149">
        <f>IFERROR(VLOOKUP(CONCATENATE($L27,$N27),'Drop List'!$G$23:$K$87,2,FALSE),0)</f>
        <v>0</v>
      </c>
      <c r="AH27" s="1150">
        <f>IFERROR(VLOOKUP(CONCATENATE($L27,$N27),'Drop List'!$G$23:$K$87,3,FALSE),0)</f>
        <v>0</v>
      </c>
      <c r="AI27" s="1150">
        <f>IFERROR(VLOOKUP(CONCATENATE($L27,$N27),'Drop List'!$G$23:$K$87,4,FALSE),0)</f>
        <v>1</v>
      </c>
      <c r="AJ27" s="1151">
        <f>IFERROR(VLOOKUP(CONCATENATE($L27,$N27),'Drop List'!$G$23:$K$87,5,FALSE),0)</f>
        <v>0</v>
      </c>
      <c r="AK27" s="1152">
        <f t="shared" si="13"/>
        <v>0</v>
      </c>
      <c r="AL27" s="1153">
        <f t="shared" si="14"/>
        <v>0</v>
      </c>
      <c r="AM27" s="1153">
        <f t="shared" si="15"/>
        <v>5224.560663893627</v>
      </c>
      <c r="AN27" s="1145">
        <f t="shared" si="16"/>
        <v>0</v>
      </c>
      <c r="AO27" s="1154">
        <f t="shared" si="17"/>
        <v>5224.560663893627</v>
      </c>
      <c r="AP27" s="1147">
        <f t="shared" si="1"/>
        <v>0</v>
      </c>
      <c r="AQ27" s="1144">
        <f t="shared" si="2"/>
        <v>0</v>
      </c>
      <c r="AR27" s="1146">
        <f t="shared" si="3"/>
        <v>5224.560663893627</v>
      </c>
    </row>
    <row r="28" spans="1:44" x14ac:dyDescent="0.2">
      <c r="A28" s="1141" t="str">
        <f t="shared" si="4"/>
        <v>1504</v>
      </c>
      <c r="B28" s="1141" t="str">
        <f>IFERROR(VLOOKUP(A28,'LAC 103'!A:C,3,FALSE),"")</f>
        <v>OP</v>
      </c>
      <c r="C28" s="1478" t="str">
        <f>Info!$B$8</f>
        <v>00100</v>
      </c>
      <c r="D28" s="1474" t="s">
        <v>1100</v>
      </c>
      <c r="E28" s="1474" t="s">
        <v>95</v>
      </c>
      <c r="F28" s="1478" t="s">
        <v>588</v>
      </c>
      <c r="G28" s="1478" t="s">
        <v>588</v>
      </c>
      <c r="H28" s="1474" t="s">
        <v>1009</v>
      </c>
      <c r="I28" s="1478" t="s">
        <v>826</v>
      </c>
      <c r="J28" s="1478"/>
      <c r="K28" s="1475" t="s">
        <v>850</v>
      </c>
      <c r="L28" s="1474" t="s">
        <v>330</v>
      </c>
      <c r="M28" s="1476" t="s">
        <v>1698</v>
      </c>
      <c r="N28" s="1477" t="s">
        <v>1693</v>
      </c>
      <c r="O28" s="1479">
        <v>2596</v>
      </c>
      <c r="P28" s="1479"/>
      <c r="Q28" s="1142">
        <f t="shared" si="5"/>
        <v>2596</v>
      </c>
      <c r="R28" s="1143">
        <f>IFERROR(VLOOKUP(CONCATENATE(E28,G28),'LAC 103'!$A$12:$O$95,11,FALSE),0)</f>
        <v>2.483156209074918</v>
      </c>
      <c r="S28" s="1144">
        <f>IFERROR(VLOOKUP(CONCATENATE($E28,$G28),'LAC 103'!$A$12:$O$95,12,FALSE),0)</f>
        <v>3.07</v>
      </c>
      <c r="T28" s="1144">
        <f>IFERROR(VLOOKUP(CONCATENATE($E28,$G28),'LAC 103'!$A$12:$O$95,13,FALSE),0)</f>
        <v>1.92</v>
      </c>
      <c r="U28" s="1144">
        <f>IFERROR(VLOOKUP(CONCATENATE($E28,$G28),'LAC 103'!$A$12:$O$95,14,FALSE),0)</f>
        <v>0</v>
      </c>
      <c r="V28" s="1144">
        <f>IFERROR(VLOOKUP(CONCATENATE($E28,$G28),'LAC 103'!$A$12:$O$95,15,FALSE),0)</f>
        <v>0</v>
      </c>
      <c r="W28" s="1145" t="str">
        <f>IFERROR(VLOOKUP(CONCATENATE($B28,$N28),'LAC 103'!$AI:$AQ,9,FALSE),"")</f>
        <v>Costs</v>
      </c>
      <c r="X28" s="1146">
        <f t="shared" si="6"/>
        <v>2.483156209074918</v>
      </c>
      <c r="Y28" s="1143">
        <f t="shared" si="7"/>
        <v>6446.2735187584867</v>
      </c>
      <c r="Z28" s="1147">
        <f t="shared" si="8"/>
        <v>7969.7199999999993</v>
      </c>
      <c r="AA28" s="1144">
        <f t="shared" si="9"/>
        <v>4984.32</v>
      </c>
      <c r="AB28" s="1144">
        <f t="shared" si="10"/>
        <v>0</v>
      </c>
      <c r="AC28" s="1144">
        <f t="shared" si="11"/>
        <v>0</v>
      </c>
      <c r="AD28" s="1148">
        <f t="shared" si="0"/>
        <v>6446.2735187584867</v>
      </c>
      <c r="AE28" s="1487">
        <v>0</v>
      </c>
      <c r="AF28" s="1145">
        <f t="shared" si="12"/>
        <v>6446.2735187584867</v>
      </c>
      <c r="AG28" s="1149">
        <f>IFERROR(VLOOKUP(CONCATENATE($L28,$N28),'Drop List'!$G$23:$K$87,2,FALSE),0)</f>
        <v>0</v>
      </c>
      <c r="AH28" s="1150">
        <f>IFERROR(VLOOKUP(CONCATENATE($L28,$N28),'Drop List'!$G$23:$K$87,3,FALSE),0)</f>
        <v>0</v>
      </c>
      <c r="AI28" s="1150">
        <f>IFERROR(VLOOKUP(CONCATENATE($L28,$N28),'Drop List'!$G$23:$K$87,4,FALSE),0)</f>
        <v>1</v>
      </c>
      <c r="AJ28" s="1151">
        <f>IFERROR(VLOOKUP(CONCATENATE($L28,$N28),'Drop List'!$G$23:$K$87,5,FALSE),0)</f>
        <v>0</v>
      </c>
      <c r="AK28" s="1152">
        <f t="shared" si="13"/>
        <v>0</v>
      </c>
      <c r="AL28" s="1153">
        <f t="shared" si="14"/>
        <v>0</v>
      </c>
      <c r="AM28" s="1153">
        <f t="shared" si="15"/>
        <v>6446.2735187584867</v>
      </c>
      <c r="AN28" s="1145">
        <f t="shared" si="16"/>
        <v>0</v>
      </c>
      <c r="AO28" s="1154">
        <f t="shared" si="17"/>
        <v>6446.2735187584867</v>
      </c>
      <c r="AP28" s="1147">
        <f t="shared" si="1"/>
        <v>0</v>
      </c>
      <c r="AQ28" s="1144">
        <f t="shared" si="2"/>
        <v>0</v>
      </c>
      <c r="AR28" s="1146">
        <f t="shared" si="3"/>
        <v>6446.2735187584867</v>
      </c>
    </row>
    <row r="29" spans="1:44" x14ac:dyDescent="0.2">
      <c r="A29" s="1141" t="str">
        <f t="shared" si="4"/>
        <v>1504</v>
      </c>
      <c r="B29" s="1141" t="str">
        <f>IFERROR(VLOOKUP(A29,'LAC 103'!A:C,3,FALSE),"")</f>
        <v>OP</v>
      </c>
      <c r="C29" s="1478" t="str">
        <f>Info!$B$8</f>
        <v>00100</v>
      </c>
      <c r="D29" s="1474" t="s">
        <v>1100</v>
      </c>
      <c r="E29" s="1474" t="s">
        <v>95</v>
      </c>
      <c r="F29" s="1478" t="s">
        <v>588</v>
      </c>
      <c r="G29" s="1478" t="s">
        <v>588</v>
      </c>
      <c r="H29" s="1474" t="s">
        <v>1009</v>
      </c>
      <c r="I29" s="1478" t="s">
        <v>826</v>
      </c>
      <c r="J29" s="1478"/>
      <c r="K29" s="1475" t="s">
        <v>851</v>
      </c>
      <c r="L29" s="1474" t="s">
        <v>584</v>
      </c>
      <c r="M29" s="1476" t="s">
        <v>1699</v>
      </c>
      <c r="N29" s="1477" t="s">
        <v>1694</v>
      </c>
      <c r="O29" s="1479">
        <v>21423</v>
      </c>
      <c r="P29" s="1479"/>
      <c r="Q29" s="1142">
        <f t="shared" si="5"/>
        <v>21423</v>
      </c>
      <c r="R29" s="1143">
        <f>IFERROR(VLOOKUP(CONCATENATE(E29,G29),'LAC 103'!$A$12:$O$95,11,FALSE),0)</f>
        <v>2.483156209074918</v>
      </c>
      <c r="S29" s="1144">
        <f>IFERROR(VLOOKUP(CONCATENATE($E29,$G29),'LAC 103'!$A$12:$O$95,12,FALSE),0)</f>
        <v>3.07</v>
      </c>
      <c r="T29" s="1144">
        <f>IFERROR(VLOOKUP(CONCATENATE($E29,$G29),'LAC 103'!$A$12:$O$95,13,FALSE),0)</f>
        <v>1.92</v>
      </c>
      <c r="U29" s="1144">
        <f>IFERROR(VLOOKUP(CONCATENATE($E29,$G29),'LAC 103'!$A$12:$O$95,14,FALSE),0)</f>
        <v>0</v>
      </c>
      <c r="V29" s="1144">
        <f>IFERROR(VLOOKUP(CONCATENATE($E29,$G29),'LAC 103'!$A$12:$O$95,15,FALSE),0)</f>
        <v>0</v>
      </c>
      <c r="W29" s="1145" t="str">
        <f>IFERROR(VLOOKUP(CONCATENATE($B29,$N29),'LAC 103'!$AI:$AQ,9,FALSE),"")</f>
        <v>Costs</v>
      </c>
      <c r="X29" s="1146">
        <f t="shared" si="6"/>
        <v>2.483156209074918</v>
      </c>
      <c r="Y29" s="1143">
        <f t="shared" si="7"/>
        <v>53196.655467011966</v>
      </c>
      <c r="Z29" s="1147">
        <f t="shared" si="8"/>
        <v>65768.61</v>
      </c>
      <c r="AA29" s="1144">
        <f t="shared" si="9"/>
        <v>41132.159999999996</v>
      </c>
      <c r="AB29" s="1144">
        <f t="shared" si="10"/>
        <v>0</v>
      </c>
      <c r="AC29" s="1144">
        <f t="shared" si="11"/>
        <v>0</v>
      </c>
      <c r="AD29" s="1148">
        <f t="shared" si="0"/>
        <v>53196.655467011966</v>
      </c>
      <c r="AE29" s="1487">
        <v>0</v>
      </c>
      <c r="AF29" s="1145">
        <f t="shared" si="12"/>
        <v>53196.655467011966</v>
      </c>
      <c r="AG29" s="1149">
        <f>IFERROR(VLOOKUP(CONCATENATE($L29,$N29),'Drop List'!$G$23:$K$87,2,FALSE),0)</f>
        <v>0.56200000000000006</v>
      </c>
      <c r="AH29" s="1150">
        <f>IFERROR(VLOOKUP(CONCATENATE($L29,$N29),'Drop List'!$G$23:$K$87,3,FALSE),0)</f>
        <v>0</v>
      </c>
      <c r="AI29" s="1150">
        <f>IFERROR(VLOOKUP(CONCATENATE($L29,$N29),'Drop List'!$G$23:$K$87,4,FALSE),0)</f>
        <v>0</v>
      </c>
      <c r="AJ29" s="1151">
        <f>IFERROR(VLOOKUP(CONCATENATE($L29,$N29),'Drop List'!$G$23:$K$87,5,FALSE),0)</f>
        <v>0.43799999999999994</v>
      </c>
      <c r="AK29" s="1152">
        <f t="shared" si="13"/>
        <v>29896.520372460727</v>
      </c>
      <c r="AL29" s="1153">
        <f t="shared" si="14"/>
        <v>0</v>
      </c>
      <c r="AM29" s="1153">
        <f t="shared" si="15"/>
        <v>0</v>
      </c>
      <c r="AN29" s="1145">
        <f t="shared" si="16"/>
        <v>23300.135094551239</v>
      </c>
      <c r="AO29" s="1154">
        <f t="shared" si="17"/>
        <v>53196.655467011966</v>
      </c>
      <c r="AP29" s="1147">
        <f t="shared" si="1"/>
        <v>0</v>
      </c>
      <c r="AQ29" s="1144">
        <f t="shared" si="2"/>
        <v>0</v>
      </c>
      <c r="AR29" s="1146">
        <f t="shared" si="3"/>
        <v>53196.655467011966</v>
      </c>
    </row>
    <row r="30" spans="1:44" x14ac:dyDescent="0.2">
      <c r="A30" s="1141" t="str">
        <f t="shared" si="4"/>
        <v>1504</v>
      </c>
      <c r="B30" s="1141" t="str">
        <f>IFERROR(VLOOKUP(A30,'LAC 103'!A:C,3,FALSE),"")</f>
        <v>OP</v>
      </c>
      <c r="C30" s="1478" t="str">
        <f>Info!$B$8</f>
        <v>00100</v>
      </c>
      <c r="D30" s="1474" t="s">
        <v>1100</v>
      </c>
      <c r="E30" s="1474" t="s">
        <v>95</v>
      </c>
      <c r="F30" s="1478" t="s">
        <v>588</v>
      </c>
      <c r="G30" s="1478" t="s">
        <v>588</v>
      </c>
      <c r="H30" s="1474" t="s">
        <v>1009</v>
      </c>
      <c r="I30" s="1478" t="s">
        <v>826</v>
      </c>
      <c r="J30" s="1478"/>
      <c r="K30" s="1475" t="s">
        <v>851</v>
      </c>
      <c r="L30" s="1474" t="s">
        <v>584</v>
      </c>
      <c r="M30" s="1476" t="s">
        <v>842</v>
      </c>
      <c r="N30" s="1477" t="s">
        <v>1692</v>
      </c>
      <c r="O30" s="1479">
        <v>52619</v>
      </c>
      <c r="P30" s="1479"/>
      <c r="Q30" s="1142">
        <f t="shared" si="5"/>
        <v>52619</v>
      </c>
      <c r="R30" s="1143">
        <f>IFERROR(VLOOKUP(CONCATENATE(E30,G30),'LAC 103'!$A$12:$O$95,11,FALSE),0)</f>
        <v>2.483156209074918</v>
      </c>
      <c r="S30" s="1144">
        <f>IFERROR(VLOOKUP(CONCATENATE($E30,$G30),'LAC 103'!$A$12:$O$95,12,FALSE),0)</f>
        <v>3.07</v>
      </c>
      <c r="T30" s="1144">
        <f>IFERROR(VLOOKUP(CONCATENATE($E30,$G30),'LAC 103'!$A$12:$O$95,13,FALSE),0)</f>
        <v>1.92</v>
      </c>
      <c r="U30" s="1144">
        <f>IFERROR(VLOOKUP(CONCATENATE($E30,$G30),'LAC 103'!$A$12:$O$95,14,FALSE),0)</f>
        <v>0</v>
      </c>
      <c r="V30" s="1144">
        <f>IFERROR(VLOOKUP(CONCATENATE($E30,$G30),'LAC 103'!$A$12:$O$95,15,FALSE),0)</f>
        <v>0</v>
      </c>
      <c r="W30" s="1145" t="str">
        <f>IFERROR(VLOOKUP(CONCATENATE($B30,$N30),'LAC 103'!$AI:$AQ,9,FALSE),"")</f>
        <v>Costs</v>
      </c>
      <c r="X30" s="1146">
        <f t="shared" si="6"/>
        <v>2.483156209074918</v>
      </c>
      <c r="Y30" s="1143">
        <f t="shared" si="7"/>
        <v>130661.1965653131</v>
      </c>
      <c r="Z30" s="1147">
        <f t="shared" si="8"/>
        <v>161540.32999999999</v>
      </c>
      <c r="AA30" s="1144">
        <f t="shared" si="9"/>
        <v>101028.48</v>
      </c>
      <c r="AB30" s="1144">
        <f t="shared" si="10"/>
        <v>0</v>
      </c>
      <c r="AC30" s="1144">
        <f t="shared" si="11"/>
        <v>0</v>
      </c>
      <c r="AD30" s="1148">
        <f t="shared" si="0"/>
        <v>130661.1965653131</v>
      </c>
      <c r="AE30" s="1487">
        <v>0</v>
      </c>
      <c r="AF30" s="1145">
        <f t="shared" si="12"/>
        <v>130661.1965653131</v>
      </c>
      <c r="AG30" s="1149">
        <f>IFERROR(VLOOKUP(CONCATENATE($L30,$N30),'Drop List'!$G$23:$K$87,2,FALSE),0)</f>
        <v>0.56200000000000006</v>
      </c>
      <c r="AH30" s="1150">
        <f>IFERROR(VLOOKUP(CONCATENATE($L30,$N30),'Drop List'!$G$23:$K$87,3,FALSE),0)</f>
        <v>0</v>
      </c>
      <c r="AI30" s="1150">
        <f>IFERROR(VLOOKUP(CONCATENATE($L30,$N30),'Drop List'!$G$23:$K$87,4,FALSE),0)</f>
        <v>0</v>
      </c>
      <c r="AJ30" s="1151">
        <f>IFERROR(VLOOKUP(CONCATENATE($L30,$N30),'Drop List'!$G$23:$K$87,5,FALSE),0)</f>
        <v>0.43799999999999994</v>
      </c>
      <c r="AK30" s="1152">
        <f t="shared" si="13"/>
        <v>73431.592469705967</v>
      </c>
      <c r="AL30" s="1153">
        <f t="shared" si="14"/>
        <v>0</v>
      </c>
      <c r="AM30" s="1153">
        <f t="shared" si="15"/>
        <v>0</v>
      </c>
      <c r="AN30" s="1145">
        <f t="shared" si="16"/>
        <v>57229.60409560713</v>
      </c>
      <c r="AO30" s="1154">
        <f t="shared" si="17"/>
        <v>130661.19656531309</v>
      </c>
      <c r="AP30" s="1147">
        <f t="shared" si="1"/>
        <v>0</v>
      </c>
      <c r="AQ30" s="1144">
        <f t="shared" si="2"/>
        <v>0</v>
      </c>
      <c r="AR30" s="1146">
        <f t="shared" si="3"/>
        <v>130661.19656531309</v>
      </c>
    </row>
    <row r="31" spans="1:44" x14ac:dyDescent="0.2">
      <c r="A31" s="1141" t="str">
        <f t="shared" si="4"/>
        <v>1504</v>
      </c>
      <c r="B31" s="1141" t="str">
        <f>IFERROR(VLOOKUP(A31,'LAC 103'!A:C,3,FALSE),"")</f>
        <v>OP</v>
      </c>
      <c r="C31" s="1478" t="str">
        <f>Info!$B$8</f>
        <v>00100</v>
      </c>
      <c r="D31" s="1474" t="s">
        <v>1100</v>
      </c>
      <c r="E31" s="1474" t="s">
        <v>95</v>
      </c>
      <c r="F31" s="1478" t="s">
        <v>588</v>
      </c>
      <c r="G31" s="1478" t="s">
        <v>588</v>
      </c>
      <c r="H31" s="1474" t="s">
        <v>1009</v>
      </c>
      <c r="I31" s="1478" t="s">
        <v>826</v>
      </c>
      <c r="J31" s="1478"/>
      <c r="K31" s="1475" t="s">
        <v>851</v>
      </c>
      <c r="L31" s="1474" t="s">
        <v>584</v>
      </c>
      <c r="M31" s="1476" t="s">
        <v>1698</v>
      </c>
      <c r="N31" s="1477" t="s">
        <v>1693</v>
      </c>
      <c r="O31" s="1479">
        <v>48372</v>
      </c>
      <c r="P31" s="1479"/>
      <c r="Q31" s="1142">
        <f t="shared" si="5"/>
        <v>48372</v>
      </c>
      <c r="R31" s="1143">
        <f>IFERROR(VLOOKUP(CONCATENATE(E31,G31),'LAC 103'!$A$12:$O$95,11,FALSE),0)</f>
        <v>2.483156209074918</v>
      </c>
      <c r="S31" s="1144">
        <f>IFERROR(VLOOKUP(CONCATENATE($E31,$G31),'LAC 103'!$A$12:$O$95,12,FALSE),0)</f>
        <v>3.07</v>
      </c>
      <c r="T31" s="1144">
        <f>IFERROR(VLOOKUP(CONCATENATE($E31,$G31),'LAC 103'!$A$12:$O$95,13,FALSE),0)</f>
        <v>1.92</v>
      </c>
      <c r="U31" s="1144">
        <f>IFERROR(VLOOKUP(CONCATENATE($E31,$G31),'LAC 103'!$A$12:$O$95,14,FALSE),0)</f>
        <v>0</v>
      </c>
      <c r="V31" s="1144">
        <f>IFERROR(VLOOKUP(CONCATENATE($E31,$G31),'LAC 103'!$A$12:$O$95,15,FALSE),0)</f>
        <v>0</v>
      </c>
      <c r="W31" s="1145" t="str">
        <f>IFERROR(VLOOKUP(CONCATENATE($B31,$N31),'LAC 103'!$AI:$AQ,9,FALSE),"")</f>
        <v>Costs</v>
      </c>
      <c r="X31" s="1146">
        <f t="shared" si="6"/>
        <v>2.483156209074918</v>
      </c>
      <c r="Y31" s="1143">
        <f t="shared" si="7"/>
        <v>120115.23214537193</v>
      </c>
      <c r="Z31" s="1147">
        <f t="shared" si="8"/>
        <v>148502.03999999998</v>
      </c>
      <c r="AA31" s="1144">
        <f t="shared" si="9"/>
        <v>92874.239999999991</v>
      </c>
      <c r="AB31" s="1144">
        <f t="shared" si="10"/>
        <v>0</v>
      </c>
      <c r="AC31" s="1144">
        <f t="shared" si="11"/>
        <v>0</v>
      </c>
      <c r="AD31" s="1148">
        <f t="shared" si="0"/>
        <v>120115.23214537193</v>
      </c>
      <c r="AE31" s="1487">
        <v>0</v>
      </c>
      <c r="AF31" s="1145">
        <f t="shared" si="12"/>
        <v>120115.23214537193</v>
      </c>
      <c r="AG31" s="1149">
        <f>IFERROR(VLOOKUP(CONCATENATE($L31,$N31),'Drop List'!$G$23:$K$87,2,FALSE),0)</f>
        <v>0.56200000000000006</v>
      </c>
      <c r="AH31" s="1150">
        <f>IFERROR(VLOOKUP(CONCATENATE($L31,$N31),'Drop List'!$G$23:$K$87,3,FALSE),0)</f>
        <v>0</v>
      </c>
      <c r="AI31" s="1150">
        <f>IFERROR(VLOOKUP(CONCATENATE($L31,$N31),'Drop List'!$G$23:$K$87,4,FALSE),0)</f>
        <v>0</v>
      </c>
      <c r="AJ31" s="1151">
        <f>IFERROR(VLOOKUP(CONCATENATE($L31,$N31),'Drop List'!$G$23:$K$87,5,FALSE),0)</f>
        <v>0.43799999999999994</v>
      </c>
      <c r="AK31" s="1152">
        <f t="shared" si="13"/>
        <v>67504.76046569903</v>
      </c>
      <c r="AL31" s="1153">
        <f t="shared" si="14"/>
        <v>0</v>
      </c>
      <c r="AM31" s="1153">
        <f t="shared" si="15"/>
        <v>0</v>
      </c>
      <c r="AN31" s="1145">
        <f t="shared" si="16"/>
        <v>52610.471679672897</v>
      </c>
      <c r="AO31" s="1154">
        <f t="shared" si="17"/>
        <v>120115.23214537193</v>
      </c>
      <c r="AP31" s="1147">
        <f t="shared" si="1"/>
        <v>0</v>
      </c>
      <c r="AQ31" s="1144">
        <f t="shared" si="2"/>
        <v>0</v>
      </c>
      <c r="AR31" s="1146">
        <f t="shared" si="3"/>
        <v>120115.23214537193</v>
      </c>
    </row>
    <row r="32" spans="1:44" x14ac:dyDescent="0.2">
      <c r="A32" s="1141" t="str">
        <f t="shared" si="4"/>
        <v>1504</v>
      </c>
      <c r="B32" s="1141" t="str">
        <f>IFERROR(VLOOKUP(A32,'LAC 103'!A:C,3,FALSE),"")</f>
        <v>OP</v>
      </c>
      <c r="C32" s="1478" t="str">
        <f>Info!$B$8</f>
        <v>00100</v>
      </c>
      <c r="D32" s="1474" t="s">
        <v>1100</v>
      </c>
      <c r="E32" s="1474" t="s">
        <v>95</v>
      </c>
      <c r="F32" s="1478" t="s">
        <v>588</v>
      </c>
      <c r="G32" s="1478" t="s">
        <v>588</v>
      </c>
      <c r="H32" s="1474" t="s">
        <v>970</v>
      </c>
      <c r="I32" s="1478" t="s">
        <v>817</v>
      </c>
      <c r="J32" s="1478" t="s">
        <v>123</v>
      </c>
      <c r="K32" s="1475" t="s">
        <v>849</v>
      </c>
      <c r="L32" s="1474" t="s">
        <v>77</v>
      </c>
      <c r="M32" s="1476" t="s">
        <v>1699</v>
      </c>
      <c r="N32" s="1477" t="s">
        <v>1694</v>
      </c>
      <c r="O32" s="1479">
        <v>47343</v>
      </c>
      <c r="P32" s="1479"/>
      <c r="Q32" s="1142">
        <f t="shared" si="5"/>
        <v>47343</v>
      </c>
      <c r="R32" s="1143">
        <f>IFERROR(VLOOKUP(CONCATENATE(E32,G32),'LAC 103'!$A$12:$O$95,11,FALSE),0)</f>
        <v>2.483156209074918</v>
      </c>
      <c r="S32" s="1144">
        <f>IFERROR(VLOOKUP(CONCATENATE($E32,$G32),'LAC 103'!$A$12:$O$95,12,FALSE),0)</f>
        <v>3.07</v>
      </c>
      <c r="T32" s="1144">
        <f>IFERROR(VLOOKUP(CONCATENATE($E32,$G32),'LAC 103'!$A$12:$O$95,13,FALSE),0)</f>
        <v>1.92</v>
      </c>
      <c r="U32" s="1144">
        <f>IFERROR(VLOOKUP(CONCATENATE($E32,$G32),'LAC 103'!$A$12:$O$95,14,FALSE),0)</f>
        <v>0</v>
      </c>
      <c r="V32" s="1144">
        <f>IFERROR(VLOOKUP(CONCATENATE($E32,$G32),'LAC 103'!$A$12:$O$95,15,FALSE),0)</f>
        <v>0</v>
      </c>
      <c r="W32" s="1145" t="str">
        <f>IFERROR(VLOOKUP(CONCATENATE($B32,$N32),'LAC 103'!$AI:$AQ,9,FALSE),"")</f>
        <v>Costs</v>
      </c>
      <c r="X32" s="1146">
        <f t="shared" si="6"/>
        <v>2.483156209074918</v>
      </c>
      <c r="Y32" s="1143">
        <f t="shared" si="7"/>
        <v>117560.06440623384</v>
      </c>
      <c r="Z32" s="1147">
        <f t="shared" si="8"/>
        <v>145343.00999999998</v>
      </c>
      <c r="AA32" s="1144">
        <f t="shared" si="9"/>
        <v>90898.559999999998</v>
      </c>
      <c r="AB32" s="1144">
        <f t="shared" si="10"/>
        <v>0</v>
      </c>
      <c r="AC32" s="1144">
        <f t="shared" si="11"/>
        <v>0</v>
      </c>
      <c r="AD32" s="1148">
        <f t="shared" si="0"/>
        <v>117560.06440623384</v>
      </c>
      <c r="AE32" s="1487">
        <v>0</v>
      </c>
      <c r="AF32" s="1145">
        <f t="shared" si="12"/>
        <v>117560.06440623384</v>
      </c>
      <c r="AG32" s="1149">
        <f>IFERROR(VLOOKUP(CONCATENATE($L32,$N32),'Drop List'!$G$23:$K$87,2,FALSE),0)</f>
        <v>0.9</v>
      </c>
      <c r="AH32" s="1150">
        <f>IFERROR(VLOOKUP(CONCATENATE($L32,$N32),'Drop List'!$G$23:$K$87,3,FALSE),0)</f>
        <v>0</v>
      </c>
      <c r="AI32" s="1150">
        <f>IFERROR(VLOOKUP(CONCATENATE($L32,$N32),'Drop List'!$G$23:$K$87,4,FALSE),0)</f>
        <v>0.1</v>
      </c>
      <c r="AJ32" s="1151">
        <f>IFERROR(VLOOKUP(CONCATENATE($L32,$N32),'Drop List'!$G$23:$K$87,5,FALSE),0)</f>
        <v>0</v>
      </c>
      <c r="AK32" s="1152">
        <f t="shared" si="13"/>
        <v>105804.05796561045</v>
      </c>
      <c r="AL32" s="1153">
        <f t="shared" si="14"/>
        <v>0</v>
      </c>
      <c r="AM32" s="1153">
        <f t="shared" si="15"/>
        <v>11756.006440623385</v>
      </c>
      <c r="AN32" s="1145">
        <f t="shared" si="16"/>
        <v>0</v>
      </c>
      <c r="AO32" s="1154">
        <f t="shared" si="17"/>
        <v>117560.06440623384</v>
      </c>
      <c r="AP32" s="1147">
        <f t="shared" si="1"/>
        <v>0</v>
      </c>
      <c r="AQ32" s="1144">
        <f t="shared" si="2"/>
        <v>0</v>
      </c>
      <c r="AR32" s="1146">
        <f t="shared" si="3"/>
        <v>117560.06440623384</v>
      </c>
    </row>
    <row r="33" spans="1:44" x14ac:dyDescent="0.2">
      <c r="A33" s="1141" t="str">
        <f t="shared" si="4"/>
        <v>1504</v>
      </c>
      <c r="B33" s="1141" t="str">
        <f>IFERROR(VLOOKUP(A33,'LAC 103'!A:C,3,FALSE),"")</f>
        <v>OP</v>
      </c>
      <c r="C33" s="1478" t="str">
        <f>Info!$B$8</f>
        <v>00100</v>
      </c>
      <c r="D33" s="1474" t="s">
        <v>1100</v>
      </c>
      <c r="E33" s="1474" t="s">
        <v>95</v>
      </c>
      <c r="F33" s="1478" t="s">
        <v>588</v>
      </c>
      <c r="G33" s="1478" t="s">
        <v>588</v>
      </c>
      <c r="H33" s="1474" t="s">
        <v>970</v>
      </c>
      <c r="I33" s="1478" t="s">
        <v>817</v>
      </c>
      <c r="J33" s="1478"/>
      <c r="K33" s="1475" t="s">
        <v>849</v>
      </c>
      <c r="L33" s="1474" t="s">
        <v>77</v>
      </c>
      <c r="M33" s="1476" t="s">
        <v>841</v>
      </c>
      <c r="N33" s="1477" t="s">
        <v>1695</v>
      </c>
      <c r="O33" s="1479">
        <v>28679</v>
      </c>
      <c r="P33" s="1479"/>
      <c r="Q33" s="1142">
        <f t="shared" si="5"/>
        <v>28679</v>
      </c>
      <c r="R33" s="1143">
        <f>IFERROR(VLOOKUP(CONCATENATE(E33,G33),'LAC 103'!$A$12:$O$95,11,FALSE),0)</f>
        <v>2.483156209074918</v>
      </c>
      <c r="S33" s="1144">
        <f>IFERROR(VLOOKUP(CONCATENATE($E33,$G33),'LAC 103'!$A$12:$O$95,12,FALSE),0)</f>
        <v>3.07</v>
      </c>
      <c r="T33" s="1144">
        <f>IFERROR(VLOOKUP(CONCATENATE($E33,$G33),'LAC 103'!$A$12:$O$95,13,FALSE),0)</f>
        <v>1.92</v>
      </c>
      <c r="U33" s="1144">
        <f>IFERROR(VLOOKUP(CONCATENATE($E33,$G33),'LAC 103'!$A$12:$O$95,14,FALSE),0)</f>
        <v>0</v>
      </c>
      <c r="V33" s="1144">
        <f>IFERROR(VLOOKUP(CONCATENATE($E33,$G33),'LAC 103'!$A$12:$O$95,15,FALSE),0)</f>
        <v>0</v>
      </c>
      <c r="W33" s="1145" t="str">
        <f>IFERROR(VLOOKUP(CONCATENATE($B33,$N33),'LAC 103'!$AI:$AQ,9,FALSE),"")</f>
        <v>Costs</v>
      </c>
      <c r="X33" s="1146">
        <f t="shared" si="6"/>
        <v>2.483156209074918</v>
      </c>
      <c r="Y33" s="1143">
        <f t="shared" si="7"/>
        <v>71214.436920059568</v>
      </c>
      <c r="Z33" s="1147">
        <f t="shared" si="8"/>
        <v>88044.53</v>
      </c>
      <c r="AA33" s="1144">
        <f t="shared" si="9"/>
        <v>55063.68</v>
      </c>
      <c r="AB33" s="1144">
        <f t="shared" si="10"/>
        <v>0</v>
      </c>
      <c r="AC33" s="1144">
        <f t="shared" si="11"/>
        <v>0</v>
      </c>
      <c r="AD33" s="1148">
        <f t="shared" si="0"/>
        <v>71214.436920059568</v>
      </c>
      <c r="AE33" s="1487">
        <v>0</v>
      </c>
      <c r="AF33" s="1145">
        <f t="shared" si="12"/>
        <v>71214.436920059568</v>
      </c>
      <c r="AG33" s="1149">
        <f>IFERROR(VLOOKUP(CONCATENATE($L33,$N33),'Drop List'!$G$23:$K$87,2,FALSE),0)</f>
        <v>0.9</v>
      </c>
      <c r="AH33" s="1150">
        <f>IFERROR(VLOOKUP(CONCATENATE($L33,$N33),'Drop List'!$G$23:$K$87,3,FALSE),0)</f>
        <v>0</v>
      </c>
      <c r="AI33" s="1150">
        <f>IFERROR(VLOOKUP(CONCATENATE($L33,$N33),'Drop List'!$G$23:$K$87,4,FALSE),0)</f>
        <v>0.1</v>
      </c>
      <c r="AJ33" s="1151">
        <f>IFERROR(VLOOKUP(CONCATENATE($L33,$N33),'Drop List'!$G$23:$K$87,5,FALSE),0)</f>
        <v>0</v>
      </c>
      <c r="AK33" s="1152">
        <f t="shared" si="13"/>
        <v>64092.993228053616</v>
      </c>
      <c r="AL33" s="1153">
        <f t="shared" si="14"/>
        <v>0</v>
      </c>
      <c r="AM33" s="1153">
        <f t="shared" si="15"/>
        <v>7121.443692005957</v>
      </c>
      <c r="AN33" s="1145">
        <f t="shared" si="16"/>
        <v>0</v>
      </c>
      <c r="AO33" s="1154">
        <f t="shared" si="17"/>
        <v>71214.436920059568</v>
      </c>
      <c r="AP33" s="1147">
        <f t="shared" si="1"/>
        <v>0</v>
      </c>
      <c r="AQ33" s="1144">
        <f t="shared" si="2"/>
        <v>0</v>
      </c>
      <c r="AR33" s="1146">
        <f t="shared" si="3"/>
        <v>71214.436920059568</v>
      </c>
    </row>
    <row r="34" spans="1:44" x14ac:dyDescent="0.2">
      <c r="A34" s="1141" t="str">
        <f t="shared" si="4"/>
        <v>1504</v>
      </c>
      <c r="B34" s="1141" t="str">
        <f>IFERROR(VLOOKUP(A34,'LAC 103'!A:C,3,FALSE),"")</f>
        <v>OP</v>
      </c>
      <c r="C34" s="1478" t="str">
        <f>Info!$B$8</f>
        <v>00100</v>
      </c>
      <c r="D34" s="1474" t="s">
        <v>1100</v>
      </c>
      <c r="E34" s="1474" t="s">
        <v>95</v>
      </c>
      <c r="F34" s="1478" t="s">
        <v>588</v>
      </c>
      <c r="G34" s="1478" t="s">
        <v>588</v>
      </c>
      <c r="H34" s="1474" t="s">
        <v>970</v>
      </c>
      <c r="I34" s="1478" t="s">
        <v>817</v>
      </c>
      <c r="J34" s="1478"/>
      <c r="K34" s="1475" t="s">
        <v>849</v>
      </c>
      <c r="L34" s="1474" t="s">
        <v>77</v>
      </c>
      <c r="M34" s="1476" t="s">
        <v>840</v>
      </c>
      <c r="N34" s="1477" t="s">
        <v>1700</v>
      </c>
      <c r="O34" s="1479">
        <v>26704</v>
      </c>
      <c r="P34" s="1479"/>
      <c r="Q34" s="1142">
        <f t="shared" si="5"/>
        <v>26704</v>
      </c>
      <c r="R34" s="1143">
        <f>IFERROR(VLOOKUP(CONCATENATE(E34,G34),'LAC 103'!$A$12:$O$95,11,FALSE),0)</f>
        <v>2.483156209074918</v>
      </c>
      <c r="S34" s="1144">
        <f>IFERROR(VLOOKUP(CONCATENATE($E34,$G34),'LAC 103'!$A$12:$O$95,12,FALSE),0)</f>
        <v>3.07</v>
      </c>
      <c r="T34" s="1144">
        <f>IFERROR(VLOOKUP(CONCATENATE($E34,$G34),'LAC 103'!$A$12:$O$95,13,FALSE),0)</f>
        <v>1.92</v>
      </c>
      <c r="U34" s="1144">
        <f>IFERROR(VLOOKUP(CONCATENATE($E34,$G34),'LAC 103'!$A$12:$O$95,14,FALSE),0)</f>
        <v>0</v>
      </c>
      <c r="V34" s="1144">
        <f>IFERROR(VLOOKUP(CONCATENATE($E34,$G34),'LAC 103'!$A$12:$O$95,15,FALSE),0)</f>
        <v>0</v>
      </c>
      <c r="W34" s="1145" t="str">
        <f>IFERROR(VLOOKUP(CONCATENATE($B34,$N34),'LAC 103'!$AI:$AQ,9,FALSE),"")</f>
        <v>P.C.</v>
      </c>
      <c r="X34" s="1146">
        <f t="shared" si="6"/>
        <v>1.92</v>
      </c>
      <c r="Y34" s="1143">
        <f t="shared" si="7"/>
        <v>66310.203407136607</v>
      </c>
      <c r="Z34" s="1147">
        <f t="shared" si="8"/>
        <v>81981.279999999999</v>
      </c>
      <c r="AA34" s="1144">
        <f t="shared" si="9"/>
        <v>51271.68</v>
      </c>
      <c r="AB34" s="1144">
        <f t="shared" si="10"/>
        <v>0</v>
      </c>
      <c r="AC34" s="1144">
        <f t="shared" si="11"/>
        <v>0</v>
      </c>
      <c r="AD34" s="1148">
        <f t="shared" si="0"/>
        <v>51271.68</v>
      </c>
      <c r="AE34" s="1487">
        <v>0</v>
      </c>
      <c r="AF34" s="1145">
        <f t="shared" si="12"/>
        <v>51271.68</v>
      </c>
      <c r="AG34" s="1149">
        <f>IFERROR(VLOOKUP(CONCATENATE($L34,$N34),'Drop List'!$G$23:$K$87,2,FALSE),0)</f>
        <v>0.9</v>
      </c>
      <c r="AH34" s="1150">
        <f>IFERROR(VLOOKUP(CONCATENATE($L34,$N34),'Drop List'!$G$23:$K$87,3,FALSE),0)</f>
        <v>0</v>
      </c>
      <c r="AI34" s="1150">
        <f>IFERROR(VLOOKUP(CONCATENATE($L34,$N34),'Drop List'!$G$23:$K$87,4,FALSE),0)</f>
        <v>0.1</v>
      </c>
      <c r="AJ34" s="1151">
        <f>IFERROR(VLOOKUP(CONCATENATE($L34,$N34),'Drop List'!$G$23:$K$87,5,FALSE),0)</f>
        <v>0</v>
      </c>
      <c r="AK34" s="1152">
        <f t="shared" si="13"/>
        <v>46144.512000000002</v>
      </c>
      <c r="AL34" s="1153">
        <f t="shared" si="14"/>
        <v>0</v>
      </c>
      <c r="AM34" s="1153">
        <f t="shared" si="15"/>
        <v>5127.1680000000006</v>
      </c>
      <c r="AN34" s="1145">
        <f t="shared" si="16"/>
        <v>0</v>
      </c>
      <c r="AO34" s="1154">
        <f t="shared" si="17"/>
        <v>51271.68</v>
      </c>
      <c r="AP34" s="1147">
        <f t="shared" si="1"/>
        <v>0</v>
      </c>
      <c r="AQ34" s="1144">
        <f t="shared" si="2"/>
        <v>0</v>
      </c>
      <c r="AR34" s="1146">
        <f t="shared" si="3"/>
        <v>51271.68</v>
      </c>
    </row>
    <row r="35" spans="1:44" x14ac:dyDescent="0.2">
      <c r="A35" s="1141" t="str">
        <f t="shared" si="4"/>
        <v>1504</v>
      </c>
      <c r="B35" s="1141" t="str">
        <f>IFERROR(VLOOKUP(A35,'LAC 103'!A:C,3,FALSE),"")</f>
        <v>OP</v>
      </c>
      <c r="C35" s="1478" t="str">
        <f>Info!$B$8</f>
        <v>00100</v>
      </c>
      <c r="D35" s="1474" t="s">
        <v>1100</v>
      </c>
      <c r="E35" s="1474" t="s">
        <v>95</v>
      </c>
      <c r="F35" s="1478" t="s">
        <v>588</v>
      </c>
      <c r="G35" s="1478" t="s">
        <v>588</v>
      </c>
      <c r="H35" s="1474" t="s">
        <v>970</v>
      </c>
      <c r="I35" s="1478" t="s">
        <v>817</v>
      </c>
      <c r="J35" s="1478"/>
      <c r="K35" s="1475" t="s">
        <v>849</v>
      </c>
      <c r="L35" s="1474" t="s">
        <v>77</v>
      </c>
      <c r="M35" s="1476" t="s">
        <v>842</v>
      </c>
      <c r="N35" s="1477" t="s">
        <v>1692</v>
      </c>
      <c r="O35" s="1479">
        <v>23390</v>
      </c>
      <c r="P35" s="1479"/>
      <c r="Q35" s="1142">
        <f t="shared" si="5"/>
        <v>23390</v>
      </c>
      <c r="R35" s="1143">
        <f>IFERROR(VLOOKUP(CONCATENATE(E35,G35),'LAC 103'!$A$12:$O$95,11,FALSE),0)</f>
        <v>2.483156209074918</v>
      </c>
      <c r="S35" s="1144">
        <f>IFERROR(VLOOKUP(CONCATENATE($E35,$G35),'LAC 103'!$A$12:$O$95,12,FALSE),0)</f>
        <v>3.07</v>
      </c>
      <c r="T35" s="1144">
        <f>IFERROR(VLOOKUP(CONCATENATE($E35,$G35),'LAC 103'!$A$12:$O$95,13,FALSE),0)</f>
        <v>1.92</v>
      </c>
      <c r="U35" s="1144">
        <f>IFERROR(VLOOKUP(CONCATENATE($E35,$G35),'LAC 103'!$A$12:$O$95,14,FALSE),0)</f>
        <v>0</v>
      </c>
      <c r="V35" s="1144">
        <f>IFERROR(VLOOKUP(CONCATENATE($E35,$G35),'LAC 103'!$A$12:$O$95,15,FALSE),0)</f>
        <v>0</v>
      </c>
      <c r="W35" s="1145" t="str">
        <f>IFERROR(VLOOKUP(CONCATENATE($B35,$N35),'LAC 103'!$AI:$AQ,9,FALSE),"")</f>
        <v>Costs</v>
      </c>
      <c r="X35" s="1146">
        <f t="shared" si="6"/>
        <v>2.483156209074918</v>
      </c>
      <c r="Y35" s="1143">
        <f t="shared" si="7"/>
        <v>58081.023730262328</v>
      </c>
      <c r="Z35" s="1147">
        <f t="shared" si="8"/>
        <v>71807.3</v>
      </c>
      <c r="AA35" s="1144">
        <f t="shared" si="9"/>
        <v>44908.799999999996</v>
      </c>
      <c r="AB35" s="1144">
        <f t="shared" si="10"/>
        <v>0</v>
      </c>
      <c r="AC35" s="1144">
        <f t="shared" si="11"/>
        <v>0</v>
      </c>
      <c r="AD35" s="1148">
        <f t="shared" si="0"/>
        <v>58081.023730262328</v>
      </c>
      <c r="AE35" s="1487">
        <v>0</v>
      </c>
      <c r="AF35" s="1145">
        <f t="shared" si="12"/>
        <v>58081.023730262328</v>
      </c>
      <c r="AG35" s="1149">
        <f>IFERROR(VLOOKUP(CONCATENATE($L35,$N35),'Drop List'!$G$23:$K$87,2,FALSE),0)</f>
        <v>0.9</v>
      </c>
      <c r="AH35" s="1150">
        <f>IFERROR(VLOOKUP(CONCATENATE($L35,$N35),'Drop List'!$G$23:$K$87,3,FALSE),0)</f>
        <v>0</v>
      </c>
      <c r="AI35" s="1150">
        <f>IFERROR(VLOOKUP(CONCATENATE($L35,$N35),'Drop List'!$G$23:$K$87,4,FALSE),0)</f>
        <v>0.1</v>
      </c>
      <c r="AJ35" s="1151">
        <f>IFERROR(VLOOKUP(CONCATENATE($L35,$N35),'Drop List'!$G$23:$K$87,5,FALSE),0)</f>
        <v>0</v>
      </c>
      <c r="AK35" s="1152">
        <f t="shared" si="13"/>
        <v>52272.921357236097</v>
      </c>
      <c r="AL35" s="1153">
        <f t="shared" si="14"/>
        <v>0</v>
      </c>
      <c r="AM35" s="1153">
        <f t="shared" si="15"/>
        <v>5808.1023730262332</v>
      </c>
      <c r="AN35" s="1145">
        <f t="shared" si="16"/>
        <v>0</v>
      </c>
      <c r="AO35" s="1154">
        <f t="shared" si="17"/>
        <v>58081.023730262328</v>
      </c>
      <c r="AP35" s="1147">
        <f t="shared" si="1"/>
        <v>0</v>
      </c>
      <c r="AQ35" s="1144">
        <f t="shared" si="2"/>
        <v>0</v>
      </c>
      <c r="AR35" s="1146">
        <f t="shared" si="3"/>
        <v>58081.023730262328</v>
      </c>
    </row>
    <row r="36" spans="1:44" x14ac:dyDescent="0.2">
      <c r="A36" s="1141" t="str">
        <f t="shared" si="4"/>
        <v>1504</v>
      </c>
      <c r="B36" s="1141" t="str">
        <f>IFERROR(VLOOKUP(A36,'LAC 103'!A:C,3,FALSE),"")</f>
        <v>OP</v>
      </c>
      <c r="C36" s="1478" t="str">
        <f>Info!$B$8</f>
        <v>00100</v>
      </c>
      <c r="D36" s="1474" t="s">
        <v>1100</v>
      </c>
      <c r="E36" s="1474" t="s">
        <v>95</v>
      </c>
      <c r="F36" s="1478" t="s">
        <v>588</v>
      </c>
      <c r="G36" s="1478" t="s">
        <v>588</v>
      </c>
      <c r="H36" s="1474" t="s">
        <v>970</v>
      </c>
      <c r="I36" s="1478" t="s">
        <v>817</v>
      </c>
      <c r="J36" s="1478"/>
      <c r="K36" s="1475" t="s">
        <v>849</v>
      </c>
      <c r="L36" s="1474" t="s">
        <v>77</v>
      </c>
      <c r="M36" s="1476" t="s">
        <v>1698</v>
      </c>
      <c r="N36" s="1477" t="s">
        <v>1693</v>
      </c>
      <c r="O36" s="1479">
        <v>50415</v>
      </c>
      <c r="P36" s="1479"/>
      <c r="Q36" s="1142">
        <f t="shared" si="5"/>
        <v>50415</v>
      </c>
      <c r="R36" s="1143">
        <f>IFERROR(VLOOKUP(CONCATENATE(E36,G36),'LAC 103'!$A$12:$O$95,11,FALSE),0)</f>
        <v>2.483156209074918</v>
      </c>
      <c r="S36" s="1144">
        <f>IFERROR(VLOOKUP(CONCATENATE($E36,$G36),'LAC 103'!$A$12:$O$95,12,FALSE),0)</f>
        <v>3.07</v>
      </c>
      <c r="T36" s="1144">
        <f>IFERROR(VLOOKUP(CONCATENATE($E36,$G36),'LAC 103'!$A$12:$O$95,13,FALSE),0)</f>
        <v>1.92</v>
      </c>
      <c r="U36" s="1144">
        <f>IFERROR(VLOOKUP(CONCATENATE($E36,$G36),'LAC 103'!$A$12:$O$95,14,FALSE),0)</f>
        <v>0</v>
      </c>
      <c r="V36" s="1144">
        <f>IFERROR(VLOOKUP(CONCATENATE($E36,$G36),'LAC 103'!$A$12:$O$95,15,FALSE),0)</f>
        <v>0</v>
      </c>
      <c r="W36" s="1145" t="str">
        <f>IFERROR(VLOOKUP(CONCATENATE($B36,$N36),'LAC 103'!$AI:$AQ,9,FALSE),"")</f>
        <v>Costs</v>
      </c>
      <c r="X36" s="1146">
        <f t="shared" si="6"/>
        <v>2.483156209074918</v>
      </c>
      <c r="Y36" s="1143">
        <f t="shared" si="7"/>
        <v>125188.32028051199</v>
      </c>
      <c r="Z36" s="1147">
        <f t="shared" si="8"/>
        <v>154774.04999999999</v>
      </c>
      <c r="AA36" s="1144">
        <f t="shared" si="9"/>
        <v>96796.800000000003</v>
      </c>
      <c r="AB36" s="1144">
        <f t="shared" si="10"/>
        <v>0</v>
      </c>
      <c r="AC36" s="1144">
        <f t="shared" si="11"/>
        <v>0</v>
      </c>
      <c r="AD36" s="1148">
        <f t="shared" si="0"/>
        <v>125188.32028051199</v>
      </c>
      <c r="AE36" s="1487">
        <v>0</v>
      </c>
      <c r="AF36" s="1145">
        <f t="shared" si="12"/>
        <v>125188.32028051199</v>
      </c>
      <c r="AG36" s="1149">
        <f>IFERROR(VLOOKUP(CONCATENATE($L36,$N36),'Drop List'!$G$23:$K$87,2,FALSE),0)</f>
        <v>0.9</v>
      </c>
      <c r="AH36" s="1150">
        <f>IFERROR(VLOOKUP(CONCATENATE($L36,$N36),'Drop List'!$G$23:$K$87,3,FALSE),0)</f>
        <v>0</v>
      </c>
      <c r="AI36" s="1150">
        <f>IFERROR(VLOOKUP(CONCATENATE($L36,$N36),'Drop List'!$G$23:$K$87,4,FALSE),0)</f>
        <v>0.1</v>
      </c>
      <c r="AJ36" s="1151">
        <f>IFERROR(VLOOKUP(CONCATENATE($L36,$N36),'Drop List'!$G$23:$K$87,5,FALSE),0)</f>
        <v>0</v>
      </c>
      <c r="AK36" s="1152">
        <f t="shared" si="13"/>
        <v>112669.4882524608</v>
      </c>
      <c r="AL36" s="1153">
        <f t="shared" si="14"/>
        <v>0</v>
      </c>
      <c r="AM36" s="1153">
        <f t="shared" si="15"/>
        <v>12518.8320280512</v>
      </c>
      <c r="AN36" s="1145">
        <f t="shared" si="16"/>
        <v>0</v>
      </c>
      <c r="AO36" s="1154">
        <f t="shared" si="17"/>
        <v>125188.32028051199</v>
      </c>
      <c r="AP36" s="1147">
        <f t="shared" si="1"/>
        <v>0</v>
      </c>
      <c r="AQ36" s="1144">
        <f t="shared" si="2"/>
        <v>0</v>
      </c>
      <c r="AR36" s="1146">
        <f t="shared" si="3"/>
        <v>125188.32028051199</v>
      </c>
    </row>
    <row r="37" spans="1:44" x14ac:dyDescent="0.2">
      <c r="A37" s="1141" t="str">
        <f t="shared" si="4"/>
        <v>1504</v>
      </c>
      <c r="B37" s="1141" t="str">
        <f>IFERROR(VLOOKUP(A37,'LAC 103'!A:C,3,FALSE),"")</f>
        <v>OP</v>
      </c>
      <c r="C37" s="1478" t="str">
        <f>Info!$B$8</f>
        <v>00100</v>
      </c>
      <c r="D37" s="1474" t="s">
        <v>1100</v>
      </c>
      <c r="E37" s="1474" t="s">
        <v>95</v>
      </c>
      <c r="F37" s="1478" t="s">
        <v>588</v>
      </c>
      <c r="G37" s="1478" t="s">
        <v>588</v>
      </c>
      <c r="H37" s="1474" t="s">
        <v>970</v>
      </c>
      <c r="I37" s="1478" t="s">
        <v>817</v>
      </c>
      <c r="J37" s="1478"/>
      <c r="K37" s="1475" t="s">
        <v>850</v>
      </c>
      <c r="L37" s="1474" t="s">
        <v>330</v>
      </c>
      <c r="M37" s="1476" t="s">
        <v>1699</v>
      </c>
      <c r="N37" s="1477" t="s">
        <v>1694</v>
      </c>
      <c r="O37" s="1479">
        <v>569</v>
      </c>
      <c r="P37" s="1479"/>
      <c r="Q37" s="1142">
        <f t="shared" si="5"/>
        <v>569</v>
      </c>
      <c r="R37" s="1143">
        <f>IFERROR(VLOOKUP(CONCATENATE(E37,G37),'LAC 103'!$A$12:$O$95,11,FALSE),0)</f>
        <v>2.483156209074918</v>
      </c>
      <c r="S37" s="1144">
        <f>IFERROR(VLOOKUP(CONCATENATE($E37,$G37),'LAC 103'!$A$12:$O$95,12,FALSE),0)</f>
        <v>3.07</v>
      </c>
      <c r="T37" s="1144">
        <f>IFERROR(VLOOKUP(CONCATENATE($E37,$G37),'LAC 103'!$A$12:$O$95,13,FALSE),0)</f>
        <v>1.92</v>
      </c>
      <c r="U37" s="1144">
        <f>IFERROR(VLOOKUP(CONCATENATE($E37,$G37),'LAC 103'!$A$12:$O$95,14,FALSE),0)</f>
        <v>0</v>
      </c>
      <c r="V37" s="1144">
        <f>IFERROR(VLOOKUP(CONCATENATE($E37,$G37),'LAC 103'!$A$12:$O$95,15,FALSE),0)</f>
        <v>0</v>
      </c>
      <c r="W37" s="1145" t="str">
        <f>IFERROR(VLOOKUP(CONCATENATE($B37,$N37),'LAC 103'!$AI:$AQ,9,FALSE),"")</f>
        <v>Costs</v>
      </c>
      <c r="X37" s="1146">
        <f t="shared" si="6"/>
        <v>2.483156209074918</v>
      </c>
      <c r="Y37" s="1143">
        <f t="shared" si="7"/>
        <v>1412.9158829636283</v>
      </c>
      <c r="Z37" s="1147">
        <f t="shared" si="8"/>
        <v>1746.83</v>
      </c>
      <c r="AA37" s="1144">
        <f t="shared" si="9"/>
        <v>1092.48</v>
      </c>
      <c r="AB37" s="1144">
        <f t="shared" si="10"/>
        <v>0</v>
      </c>
      <c r="AC37" s="1144">
        <f t="shared" si="11"/>
        <v>0</v>
      </c>
      <c r="AD37" s="1148">
        <f t="shared" si="0"/>
        <v>1412.9158829636283</v>
      </c>
      <c r="AE37" s="1487">
        <v>0</v>
      </c>
      <c r="AF37" s="1145">
        <f t="shared" si="12"/>
        <v>1412.9158829636283</v>
      </c>
      <c r="AG37" s="1149">
        <f>IFERROR(VLOOKUP(CONCATENATE($L37,$N37),'Drop List'!$G$23:$K$87,2,FALSE),0)</f>
        <v>0</v>
      </c>
      <c r="AH37" s="1150">
        <f>IFERROR(VLOOKUP(CONCATENATE($L37,$N37),'Drop List'!$G$23:$K$87,3,FALSE),0)</f>
        <v>0</v>
      </c>
      <c r="AI37" s="1150">
        <f>IFERROR(VLOOKUP(CONCATENATE($L37,$N37),'Drop List'!$G$23:$K$87,4,FALSE),0)</f>
        <v>1</v>
      </c>
      <c r="AJ37" s="1151">
        <f>IFERROR(VLOOKUP(CONCATENATE($L37,$N37),'Drop List'!$G$23:$K$87,5,FALSE),0)</f>
        <v>0</v>
      </c>
      <c r="AK37" s="1152">
        <f t="shared" si="13"/>
        <v>0</v>
      </c>
      <c r="AL37" s="1153">
        <f t="shared" si="14"/>
        <v>0</v>
      </c>
      <c r="AM37" s="1153">
        <f t="shared" si="15"/>
        <v>1412.9158829636283</v>
      </c>
      <c r="AN37" s="1145">
        <f t="shared" si="16"/>
        <v>0</v>
      </c>
      <c r="AO37" s="1154">
        <f t="shared" si="17"/>
        <v>1412.9158829636283</v>
      </c>
      <c r="AP37" s="1147">
        <f t="shared" si="1"/>
        <v>0</v>
      </c>
      <c r="AQ37" s="1144">
        <f t="shared" si="2"/>
        <v>0</v>
      </c>
      <c r="AR37" s="1146">
        <f t="shared" si="3"/>
        <v>1412.9158829636283</v>
      </c>
    </row>
    <row r="38" spans="1:44" x14ac:dyDescent="0.2">
      <c r="A38" s="1141" t="str">
        <f t="shared" si="4"/>
        <v>1504</v>
      </c>
      <c r="B38" s="1141" t="str">
        <f>IFERROR(VLOOKUP(A38,'LAC 103'!A:C,3,FALSE),"")</f>
        <v>OP</v>
      </c>
      <c r="C38" s="1478" t="str">
        <f>Info!$B$8</f>
        <v>00100</v>
      </c>
      <c r="D38" s="1474" t="s">
        <v>1100</v>
      </c>
      <c r="E38" s="1474" t="s">
        <v>95</v>
      </c>
      <c r="F38" s="1478" t="s">
        <v>588</v>
      </c>
      <c r="G38" s="1478" t="s">
        <v>588</v>
      </c>
      <c r="H38" s="1474" t="s">
        <v>970</v>
      </c>
      <c r="I38" s="1478" t="s">
        <v>817</v>
      </c>
      <c r="J38" s="1478"/>
      <c r="K38" s="1475" t="s">
        <v>850</v>
      </c>
      <c r="L38" s="1474" t="s">
        <v>330</v>
      </c>
      <c r="M38" s="1476" t="s">
        <v>842</v>
      </c>
      <c r="N38" s="1477" t="s">
        <v>1692</v>
      </c>
      <c r="O38" s="1479">
        <v>186</v>
      </c>
      <c r="P38" s="1479"/>
      <c r="Q38" s="1142">
        <f t="shared" si="5"/>
        <v>186</v>
      </c>
      <c r="R38" s="1143">
        <f>IFERROR(VLOOKUP(CONCATENATE(E38,G38),'LAC 103'!$A$12:$O$95,11,FALSE),0)</f>
        <v>2.483156209074918</v>
      </c>
      <c r="S38" s="1144">
        <f>IFERROR(VLOOKUP(CONCATENATE($E38,$G38),'LAC 103'!$A$12:$O$95,12,FALSE),0)</f>
        <v>3.07</v>
      </c>
      <c r="T38" s="1144">
        <f>IFERROR(VLOOKUP(CONCATENATE($E38,$G38),'LAC 103'!$A$12:$O$95,13,FALSE),0)</f>
        <v>1.92</v>
      </c>
      <c r="U38" s="1144">
        <f>IFERROR(VLOOKUP(CONCATENATE($E38,$G38),'LAC 103'!$A$12:$O$95,14,FALSE),0)</f>
        <v>0</v>
      </c>
      <c r="V38" s="1144">
        <f>IFERROR(VLOOKUP(CONCATENATE($E38,$G38),'LAC 103'!$A$12:$O$95,15,FALSE),0)</f>
        <v>0</v>
      </c>
      <c r="W38" s="1145" t="str">
        <f>IFERROR(VLOOKUP(CONCATENATE($B38,$N38),'LAC 103'!$AI:$AQ,9,FALSE),"")</f>
        <v>Costs</v>
      </c>
      <c r="X38" s="1146">
        <f t="shared" si="6"/>
        <v>2.483156209074918</v>
      </c>
      <c r="Y38" s="1143">
        <f t="shared" si="7"/>
        <v>461.86705488793473</v>
      </c>
      <c r="Z38" s="1147">
        <f t="shared" si="8"/>
        <v>571.02</v>
      </c>
      <c r="AA38" s="1144">
        <f t="shared" si="9"/>
        <v>357.12</v>
      </c>
      <c r="AB38" s="1144">
        <f t="shared" si="10"/>
        <v>0</v>
      </c>
      <c r="AC38" s="1144">
        <f t="shared" si="11"/>
        <v>0</v>
      </c>
      <c r="AD38" s="1148">
        <f t="shared" si="0"/>
        <v>461.86705488793473</v>
      </c>
      <c r="AE38" s="1487">
        <v>0</v>
      </c>
      <c r="AF38" s="1145">
        <f t="shared" si="12"/>
        <v>461.86705488793473</v>
      </c>
      <c r="AG38" s="1149">
        <f>IFERROR(VLOOKUP(CONCATENATE($L38,$N38),'Drop List'!$G$23:$K$87,2,FALSE),0)</f>
        <v>0</v>
      </c>
      <c r="AH38" s="1150">
        <f>IFERROR(VLOOKUP(CONCATENATE($L38,$N38),'Drop List'!$G$23:$K$87,3,FALSE),0)</f>
        <v>0</v>
      </c>
      <c r="AI38" s="1150">
        <f>IFERROR(VLOOKUP(CONCATENATE($L38,$N38),'Drop List'!$G$23:$K$87,4,FALSE),0)</f>
        <v>1</v>
      </c>
      <c r="AJ38" s="1151">
        <f>IFERROR(VLOOKUP(CONCATENATE($L38,$N38),'Drop List'!$G$23:$K$87,5,FALSE),0)</f>
        <v>0</v>
      </c>
      <c r="AK38" s="1152">
        <f t="shared" si="13"/>
        <v>0</v>
      </c>
      <c r="AL38" s="1153">
        <f t="shared" si="14"/>
        <v>0</v>
      </c>
      <c r="AM38" s="1153">
        <f t="shared" si="15"/>
        <v>461.86705488793473</v>
      </c>
      <c r="AN38" s="1145">
        <f t="shared" si="16"/>
        <v>0</v>
      </c>
      <c r="AO38" s="1154">
        <f t="shared" si="17"/>
        <v>461.86705488793473</v>
      </c>
      <c r="AP38" s="1147">
        <f t="shared" si="1"/>
        <v>0</v>
      </c>
      <c r="AQ38" s="1144">
        <f t="shared" si="2"/>
        <v>0</v>
      </c>
      <c r="AR38" s="1146">
        <f t="shared" si="3"/>
        <v>461.86705488793473</v>
      </c>
    </row>
    <row r="39" spans="1:44" x14ac:dyDescent="0.2">
      <c r="A39" s="1141" t="str">
        <f t="shared" si="4"/>
        <v>1504</v>
      </c>
      <c r="B39" s="1141" t="str">
        <f>IFERROR(VLOOKUP(A39,'LAC 103'!A:C,3,FALSE),"")</f>
        <v>OP</v>
      </c>
      <c r="C39" s="1478" t="str">
        <f>Info!$B$8</f>
        <v>00100</v>
      </c>
      <c r="D39" s="1474" t="s">
        <v>1100</v>
      </c>
      <c r="E39" s="1474" t="s">
        <v>95</v>
      </c>
      <c r="F39" s="1478" t="s">
        <v>588</v>
      </c>
      <c r="G39" s="1478" t="s">
        <v>588</v>
      </c>
      <c r="H39" s="1474" t="s">
        <v>970</v>
      </c>
      <c r="I39" s="1478" t="s">
        <v>817</v>
      </c>
      <c r="J39" s="1478"/>
      <c r="K39" s="1475" t="s">
        <v>850</v>
      </c>
      <c r="L39" s="1474" t="s">
        <v>330</v>
      </c>
      <c r="M39" s="1476" t="s">
        <v>1698</v>
      </c>
      <c r="N39" s="1477" t="s">
        <v>1693</v>
      </c>
      <c r="O39" s="1479">
        <v>486</v>
      </c>
      <c r="P39" s="1479"/>
      <c r="Q39" s="1142">
        <f t="shared" si="5"/>
        <v>486</v>
      </c>
      <c r="R39" s="1143">
        <f>IFERROR(VLOOKUP(CONCATENATE(E39,G39),'LAC 103'!$A$12:$O$95,11,FALSE),0)</f>
        <v>2.483156209074918</v>
      </c>
      <c r="S39" s="1144">
        <f>IFERROR(VLOOKUP(CONCATENATE($E39,$G39),'LAC 103'!$A$12:$O$95,12,FALSE),0)</f>
        <v>3.07</v>
      </c>
      <c r="T39" s="1144">
        <f>IFERROR(VLOOKUP(CONCATENATE($E39,$G39),'LAC 103'!$A$12:$O$95,13,FALSE),0)</f>
        <v>1.92</v>
      </c>
      <c r="U39" s="1144">
        <f>IFERROR(VLOOKUP(CONCATENATE($E39,$G39),'LAC 103'!$A$12:$O$95,14,FALSE),0)</f>
        <v>0</v>
      </c>
      <c r="V39" s="1144">
        <f>IFERROR(VLOOKUP(CONCATENATE($E39,$G39),'LAC 103'!$A$12:$O$95,15,FALSE),0)</f>
        <v>0</v>
      </c>
      <c r="W39" s="1145" t="str">
        <f>IFERROR(VLOOKUP(CONCATENATE($B39,$N39),'LAC 103'!$AI:$AQ,9,FALSE),"")</f>
        <v>Costs</v>
      </c>
      <c r="X39" s="1146">
        <f t="shared" si="6"/>
        <v>2.483156209074918</v>
      </c>
      <c r="Y39" s="1143">
        <f t="shared" si="7"/>
        <v>1206.81391761041</v>
      </c>
      <c r="Z39" s="1147">
        <f t="shared" si="8"/>
        <v>1492.02</v>
      </c>
      <c r="AA39" s="1144">
        <f t="shared" si="9"/>
        <v>933.12</v>
      </c>
      <c r="AB39" s="1144">
        <f t="shared" si="10"/>
        <v>0</v>
      </c>
      <c r="AC39" s="1144">
        <f t="shared" si="11"/>
        <v>0</v>
      </c>
      <c r="AD39" s="1148">
        <f t="shared" si="0"/>
        <v>1206.81391761041</v>
      </c>
      <c r="AE39" s="1487">
        <v>0</v>
      </c>
      <c r="AF39" s="1145">
        <f t="shared" si="12"/>
        <v>1206.81391761041</v>
      </c>
      <c r="AG39" s="1149">
        <f>IFERROR(VLOOKUP(CONCATENATE($L39,$N39),'Drop List'!$G$23:$K$87,2,FALSE),0)</f>
        <v>0</v>
      </c>
      <c r="AH39" s="1150">
        <f>IFERROR(VLOOKUP(CONCATENATE($L39,$N39),'Drop List'!$G$23:$K$87,3,FALSE),0)</f>
        <v>0</v>
      </c>
      <c r="AI39" s="1150">
        <f>IFERROR(VLOOKUP(CONCATENATE($L39,$N39),'Drop List'!$G$23:$K$87,4,FALSE),0)</f>
        <v>1</v>
      </c>
      <c r="AJ39" s="1151">
        <f>IFERROR(VLOOKUP(CONCATENATE($L39,$N39),'Drop List'!$G$23:$K$87,5,FALSE),0)</f>
        <v>0</v>
      </c>
      <c r="AK39" s="1152">
        <f t="shared" si="13"/>
        <v>0</v>
      </c>
      <c r="AL39" s="1153">
        <f t="shared" si="14"/>
        <v>0</v>
      </c>
      <c r="AM39" s="1153">
        <f t="shared" si="15"/>
        <v>1206.81391761041</v>
      </c>
      <c r="AN39" s="1145">
        <f t="shared" si="16"/>
        <v>0</v>
      </c>
      <c r="AO39" s="1154">
        <f t="shared" si="17"/>
        <v>1206.81391761041</v>
      </c>
      <c r="AP39" s="1147">
        <f t="shared" si="1"/>
        <v>0</v>
      </c>
      <c r="AQ39" s="1144">
        <f t="shared" si="2"/>
        <v>0</v>
      </c>
      <c r="AR39" s="1146">
        <f t="shared" si="3"/>
        <v>1206.81391761041</v>
      </c>
    </row>
    <row r="40" spans="1:44" x14ac:dyDescent="0.2">
      <c r="A40" s="1141" t="str">
        <f t="shared" si="4"/>
        <v>1504</v>
      </c>
      <c r="B40" s="1141" t="str">
        <f>IFERROR(VLOOKUP(A40,'LAC 103'!A:C,3,FALSE),"")</f>
        <v>OP</v>
      </c>
      <c r="C40" s="1478" t="str">
        <f>Info!$B$8</f>
        <v>00100</v>
      </c>
      <c r="D40" s="1474" t="s">
        <v>1100</v>
      </c>
      <c r="E40" s="1474" t="s">
        <v>95</v>
      </c>
      <c r="F40" s="1478" t="s">
        <v>588</v>
      </c>
      <c r="G40" s="1478" t="s">
        <v>588</v>
      </c>
      <c r="H40" s="1474" t="s">
        <v>970</v>
      </c>
      <c r="I40" s="1478" t="s">
        <v>817</v>
      </c>
      <c r="J40" s="1478"/>
      <c r="K40" s="1475" t="s">
        <v>851</v>
      </c>
      <c r="L40" s="1474" t="s">
        <v>584</v>
      </c>
      <c r="M40" s="1476" t="s">
        <v>1699</v>
      </c>
      <c r="N40" s="1477" t="s">
        <v>1694</v>
      </c>
      <c r="O40" s="1479">
        <v>67099</v>
      </c>
      <c r="P40" s="1479"/>
      <c r="Q40" s="1142">
        <f t="shared" si="5"/>
        <v>67099</v>
      </c>
      <c r="R40" s="1143">
        <f>IFERROR(VLOOKUP(CONCATENATE(E40,G40),'LAC 103'!$A$12:$O$95,11,FALSE),0)</f>
        <v>2.483156209074918</v>
      </c>
      <c r="S40" s="1144">
        <f>IFERROR(VLOOKUP(CONCATENATE($E40,$G40),'LAC 103'!$A$12:$O$95,12,FALSE),0)</f>
        <v>3.07</v>
      </c>
      <c r="T40" s="1144">
        <f>IFERROR(VLOOKUP(CONCATENATE($E40,$G40),'LAC 103'!$A$12:$O$95,13,FALSE),0)</f>
        <v>1.92</v>
      </c>
      <c r="U40" s="1144">
        <f>IFERROR(VLOOKUP(CONCATENATE($E40,$G40),'LAC 103'!$A$12:$O$95,14,FALSE),0)</f>
        <v>0</v>
      </c>
      <c r="V40" s="1144">
        <f>IFERROR(VLOOKUP(CONCATENATE($E40,$G40),'LAC 103'!$A$12:$O$95,15,FALSE),0)</f>
        <v>0</v>
      </c>
      <c r="W40" s="1145" t="str">
        <f>IFERROR(VLOOKUP(CONCATENATE($B40,$N40),'LAC 103'!$AI:$AQ,9,FALSE),"")</f>
        <v>Costs</v>
      </c>
      <c r="X40" s="1146">
        <f t="shared" si="6"/>
        <v>2.483156209074918</v>
      </c>
      <c r="Y40" s="1143">
        <f t="shared" si="7"/>
        <v>166617.29847271793</v>
      </c>
      <c r="Z40" s="1147">
        <f t="shared" si="8"/>
        <v>205993.93</v>
      </c>
      <c r="AA40" s="1144">
        <f t="shared" si="9"/>
        <v>128830.08</v>
      </c>
      <c r="AB40" s="1144">
        <f t="shared" si="10"/>
        <v>0</v>
      </c>
      <c r="AC40" s="1144">
        <f t="shared" si="11"/>
        <v>0</v>
      </c>
      <c r="AD40" s="1148">
        <f t="shared" si="0"/>
        <v>166617.29847271793</v>
      </c>
      <c r="AE40" s="1487">
        <v>0</v>
      </c>
      <c r="AF40" s="1145">
        <f t="shared" si="12"/>
        <v>166617.29847271793</v>
      </c>
      <c r="AG40" s="1149">
        <f>IFERROR(VLOOKUP(CONCATENATE($L40,$N40),'Drop List'!$G$23:$K$87,2,FALSE),0)</f>
        <v>0.56200000000000006</v>
      </c>
      <c r="AH40" s="1150">
        <f>IFERROR(VLOOKUP(CONCATENATE($L40,$N40),'Drop List'!$G$23:$K$87,3,FALSE),0)</f>
        <v>0</v>
      </c>
      <c r="AI40" s="1150">
        <f>IFERROR(VLOOKUP(CONCATENATE($L40,$N40),'Drop List'!$G$23:$K$87,4,FALSE),0)</f>
        <v>0</v>
      </c>
      <c r="AJ40" s="1151">
        <f>IFERROR(VLOOKUP(CONCATENATE($L40,$N40),'Drop List'!$G$23:$K$87,5,FALSE),0)</f>
        <v>0.43799999999999994</v>
      </c>
      <c r="AK40" s="1152">
        <f t="shared" si="13"/>
        <v>93638.92174166748</v>
      </c>
      <c r="AL40" s="1153">
        <f t="shared" si="14"/>
        <v>0</v>
      </c>
      <c r="AM40" s="1153">
        <f t="shared" si="15"/>
        <v>0</v>
      </c>
      <c r="AN40" s="1145">
        <f t="shared" si="16"/>
        <v>72978.376731050448</v>
      </c>
      <c r="AO40" s="1154">
        <f t="shared" si="17"/>
        <v>166617.29847271793</v>
      </c>
      <c r="AP40" s="1147">
        <f t="shared" si="1"/>
        <v>0</v>
      </c>
      <c r="AQ40" s="1144">
        <f t="shared" si="2"/>
        <v>0</v>
      </c>
      <c r="AR40" s="1146">
        <f t="shared" si="3"/>
        <v>166617.29847271793</v>
      </c>
    </row>
    <row r="41" spans="1:44" x14ac:dyDescent="0.2">
      <c r="A41" s="1141" t="str">
        <f t="shared" si="4"/>
        <v>1504</v>
      </c>
      <c r="B41" s="1141" t="str">
        <f>IFERROR(VLOOKUP(A41,'LAC 103'!A:C,3,FALSE),"")</f>
        <v>OP</v>
      </c>
      <c r="C41" s="1478" t="str">
        <f>Info!$B$8</f>
        <v>00100</v>
      </c>
      <c r="D41" s="1474" t="s">
        <v>1100</v>
      </c>
      <c r="E41" s="1474" t="s">
        <v>95</v>
      </c>
      <c r="F41" s="1478" t="s">
        <v>588</v>
      </c>
      <c r="G41" s="1478" t="s">
        <v>588</v>
      </c>
      <c r="H41" s="1474" t="s">
        <v>970</v>
      </c>
      <c r="I41" s="1478" t="s">
        <v>817</v>
      </c>
      <c r="J41" s="1478"/>
      <c r="K41" s="1475" t="s">
        <v>851</v>
      </c>
      <c r="L41" s="1474" t="s">
        <v>584</v>
      </c>
      <c r="M41" s="1476" t="s">
        <v>841</v>
      </c>
      <c r="N41" s="1477" t="s">
        <v>1695</v>
      </c>
      <c r="O41" s="1479">
        <v>40198</v>
      </c>
      <c r="P41" s="1479"/>
      <c r="Q41" s="1142">
        <f t="shared" si="5"/>
        <v>40198</v>
      </c>
      <c r="R41" s="1143">
        <f>IFERROR(VLOOKUP(CONCATENATE(E41,G41),'LAC 103'!$A$12:$O$95,11,FALSE),0)</f>
        <v>2.483156209074918</v>
      </c>
      <c r="S41" s="1144">
        <f>IFERROR(VLOOKUP(CONCATENATE($E41,$G41),'LAC 103'!$A$12:$O$95,12,FALSE),0)</f>
        <v>3.07</v>
      </c>
      <c r="T41" s="1144">
        <f>IFERROR(VLOOKUP(CONCATENATE($E41,$G41),'LAC 103'!$A$12:$O$95,13,FALSE),0)</f>
        <v>1.92</v>
      </c>
      <c r="U41" s="1144">
        <f>IFERROR(VLOOKUP(CONCATENATE($E41,$G41),'LAC 103'!$A$12:$O$95,14,FALSE),0)</f>
        <v>0</v>
      </c>
      <c r="V41" s="1144">
        <f>IFERROR(VLOOKUP(CONCATENATE($E41,$G41),'LAC 103'!$A$12:$O$95,15,FALSE),0)</f>
        <v>0</v>
      </c>
      <c r="W41" s="1145" t="str">
        <f>IFERROR(VLOOKUP(CONCATENATE($B41,$N41),'LAC 103'!$AI:$AQ,9,FALSE),"")</f>
        <v>Costs</v>
      </c>
      <c r="X41" s="1146">
        <f t="shared" si="6"/>
        <v>2.483156209074918</v>
      </c>
      <c r="Y41" s="1143">
        <f t="shared" si="7"/>
        <v>99817.913292393554</v>
      </c>
      <c r="Z41" s="1147">
        <f t="shared" si="8"/>
        <v>123407.86</v>
      </c>
      <c r="AA41" s="1144">
        <f t="shared" si="9"/>
        <v>77180.160000000003</v>
      </c>
      <c r="AB41" s="1144">
        <f t="shared" si="10"/>
        <v>0</v>
      </c>
      <c r="AC41" s="1144">
        <f t="shared" si="11"/>
        <v>0</v>
      </c>
      <c r="AD41" s="1148">
        <f t="shared" si="0"/>
        <v>99817.913292393554</v>
      </c>
      <c r="AE41" s="1487">
        <v>0</v>
      </c>
      <c r="AF41" s="1145">
        <f t="shared" si="12"/>
        <v>99817.913292393554</v>
      </c>
      <c r="AG41" s="1149">
        <f>IFERROR(VLOOKUP(CONCATENATE($L41,$N41),'Drop List'!$G$23:$K$87,2,FALSE),0)</f>
        <v>0.55000000000000004</v>
      </c>
      <c r="AH41" s="1150">
        <f>IFERROR(VLOOKUP(CONCATENATE($L41,$N41),'Drop List'!$G$23:$K$87,3,FALSE),0)</f>
        <v>0</v>
      </c>
      <c r="AI41" s="1150">
        <f>IFERROR(VLOOKUP(CONCATENATE($L41,$N41),'Drop List'!$G$23:$K$87,4,FALSE),0)</f>
        <v>0</v>
      </c>
      <c r="AJ41" s="1151">
        <f>IFERROR(VLOOKUP(CONCATENATE($L41,$N41),'Drop List'!$G$23:$K$87,5,FALSE),0)</f>
        <v>0.44999999999999996</v>
      </c>
      <c r="AK41" s="1152">
        <f t="shared" si="13"/>
        <v>54899.852310816459</v>
      </c>
      <c r="AL41" s="1153">
        <f t="shared" si="14"/>
        <v>0</v>
      </c>
      <c r="AM41" s="1153">
        <f t="shared" si="15"/>
        <v>0</v>
      </c>
      <c r="AN41" s="1145">
        <f t="shared" si="16"/>
        <v>44918.060981577095</v>
      </c>
      <c r="AO41" s="1154">
        <f t="shared" si="17"/>
        <v>99817.913292393554</v>
      </c>
      <c r="AP41" s="1147">
        <f t="shared" si="1"/>
        <v>0</v>
      </c>
      <c r="AQ41" s="1144">
        <f t="shared" si="2"/>
        <v>0</v>
      </c>
      <c r="AR41" s="1146">
        <f t="shared" si="3"/>
        <v>99817.913292393554</v>
      </c>
    </row>
    <row r="42" spans="1:44" x14ac:dyDescent="0.2">
      <c r="A42" s="1141" t="str">
        <f t="shared" si="4"/>
        <v>1504</v>
      </c>
      <c r="B42" s="1141" t="str">
        <f>IFERROR(VLOOKUP(A42,'LAC 103'!A:C,3,FALSE),"")</f>
        <v>OP</v>
      </c>
      <c r="C42" s="1478" t="str">
        <f>Info!$B$8</f>
        <v>00100</v>
      </c>
      <c r="D42" s="1474" t="s">
        <v>1100</v>
      </c>
      <c r="E42" s="1474" t="s">
        <v>95</v>
      </c>
      <c r="F42" s="1478" t="s">
        <v>588</v>
      </c>
      <c r="G42" s="1478" t="s">
        <v>588</v>
      </c>
      <c r="H42" s="1474" t="s">
        <v>970</v>
      </c>
      <c r="I42" s="1478" t="s">
        <v>817</v>
      </c>
      <c r="J42" s="1478"/>
      <c r="K42" s="1475" t="s">
        <v>851</v>
      </c>
      <c r="L42" s="1474" t="s">
        <v>584</v>
      </c>
      <c r="M42" s="1476" t="s">
        <v>840</v>
      </c>
      <c r="N42" s="1477" t="s">
        <v>1700</v>
      </c>
      <c r="O42" s="1479">
        <v>45780</v>
      </c>
      <c r="P42" s="1479"/>
      <c r="Q42" s="1142">
        <f t="shared" si="5"/>
        <v>45780</v>
      </c>
      <c r="R42" s="1143">
        <f>IFERROR(VLOOKUP(CONCATENATE(E42,G42),'LAC 103'!$A$12:$O$95,11,FALSE),0)</f>
        <v>2.483156209074918</v>
      </c>
      <c r="S42" s="1144">
        <f>IFERROR(VLOOKUP(CONCATENATE($E42,$G42),'LAC 103'!$A$12:$O$95,12,FALSE),0)</f>
        <v>3.07</v>
      </c>
      <c r="T42" s="1144">
        <f>IFERROR(VLOOKUP(CONCATENATE($E42,$G42),'LAC 103'!$A$12:$O$95,13,FALSE),0)</f>
        <v>1.92</v>
      </c>
      <c r="U42" s="1144">
        <f>IFERROR(VLOOKUP(CONCATENATE($E42,$G42),'LAC 103'!$A$12:$O$95,14,FALSE),0)</f>
        <v>0</v>
      </c>
      <c r="V42" s="1144">
        <f>IFERROR(VLOOKUP(CONCATENATE($E42,$G42),'LAC 103'!$A$12:$O$95,15,FALSE),0)</f>
        <v>0</v>
      </c>
      <c r="W42" s="1145" t="str">
        <f>IFERROR(VLOOKUP(CONCATENATE($B42,$N42),'LAC 103'!$AI:$AQ,9,FALSE),"")</f>
        <v>P.C.</v>
      </c>
      <c r="X42" s="1146">
        <f t="shared" si="6"/>
        <v>1.92</v>
      </c>
      <c r="Y42" s="1143">
        <f t="shared" si="7"/>
        <v>113678.89125144975</v>
      </c>
      <c r="Z42" s="1147">
        <f t="shared" si="8"/>
        <v>140544.6</v>
      </c>
      <c r="AA42" s="1144">
        <f t="shared" si="9"/>
        <v>87897.599999999991</v>
      </c>
      <c r="AB42" s="1144">
        <f t="shared" si="10"/>
        <v>0</v>
      </c>
      <c r="AC42" s="1144">
        <f t="shared" si="11"/>
        <v>0</v>
      </c>
      <c r="AD42" s="1148">
        <f t="shared" si="0"/>
        <v>87897.599999999991</v>
      </c>
      <c r="AE42" s="1487">
        <v>0</v>
      </c>
      <c r="AF42" s="1145">
        <f t="shared" si="12"/>
        <v>87897.599999999991</v>
      </c>
      <c r="AG42" s="1149">
        <f>IFERROR(VLOOKUP(CONCATENATE($L42,$N42),'Drop List'!$G$23:$K$87,2,FALSE),0)</f>
        <v>0.55000000000000004</v>
      </c>
      <c r="AH42" s="1150">
        <f>IFERROR(VLOOKUP(CONCATENATE($L42,$N42),'Drop List'!$G$23:$K$87,3,FALSE),0)</f>
        <v>0</v>
      </c>
      <c r="AI42" s="1150">
        <f>IFERROR(VLOOKUP(CONCATENATE($L42,$N42),'Drop List'!$G$23:$K$87,4,FALSE),0)</f>
        <v>0</v>
      </c>
      <c r="AJ42" s="1151">
        <f>IFERROR(VLOOKUP(CONCATENATE($L42,$N42),'Drop List'!$G$23:$K$87,5,FALSE),0)</f>
        <v>0.44999999999999996</v>
      </c>
      <c r="AK42" s="1152">
        <f t="shared" si="13"/>
        <v>48343.68</v>
      </c>
      <c r="AL42" s="1153">
        <f t="shared" si="14"/>
        <v>0</v>
      </c>
      <c r="AM42" s="1153">
        <f t="shared" si="15"/>
        <v>0</v>
      </c>
      <c r="AN42" s="1145">
        <f t="shared" si="16"/>
        <v>39553.919999999991</v>
      </c>
      <c r="AO42" s="1154">
        <f t="shared" si="17"/>
        <v>87897.599999999991</v>
      </c>
      <c r="AP42" s="1147">
        <f t="shared" si="1"/>
        <v>0</v>
      </c>
      <c r="AQ42" s="1144">
        <f t="shared" si="2"/>
        <v>0</v>
      </c>
      <c r="AR42" s="1146">
        <f t="shared" si="3"/>
        <v>87897.599999999991</v>
      </c>
    </row>
    <row r="43" spans="1:44" x14ac:dyDescent="0.2">
      <c r="A43" s="1141" t="str">
        <f t="shared" si="4"/>
        <v>1504</v>
      </c>
      <c r="B43" s="1141" t="str">
        <f>IFERROR(VLOOKUP(A43,'LAC 103'!A:C,3,FALSE),"")</f>
        <v>OP</v>
      </c>
      <c r="C43" s="1478" t="str">
        <f>Info!$B$8</f>
        <v>00100</v>
      </c>
      <c r="D43" s="1474" t="s">
        <v>1100</v>
      </c>
      <c r="E43" s="1474" t="s">
        <v>95</v>
      </c>
      <c r="F43" s="1478" t="s">
        <v>588</v>
      </c>
      <c r="G43" s="1478" t="s">
        <v>588</v>
      </c>
      <c r="H43" s="1474" t="s">
        <v>970</v>
      </c>
      <c r="I43" s="1478" t="s">
        <v>817</v>
      </c>
      <c r="J43" s="1478"/>
      <c r="K43" s="1475" t="s">
        <v>851</v>
      </c>
      <c r="L43" s="1474" t="s">
        <v>584</v>
      </c>
      <c r="M43" s="1476" t="s">
        <v>842</v>
      </c>
      <c r="N43" s="1477" t="s">
        <v>1692</v>
      </c>
      <c r="O43" s="1479">
        <v>27073</v>
      </c>
      <c r="P43" s="1479"/>
      <c r="Q43" s="1142">
        <f t="shared" si="5"/>
        <v>27073</v>
      </c>
      <c r="R43" s="1143">
        <f>IFERROR(VLOOKUP(CONCATENATE(E43,G43),'LAC 103'!$A$12:$O$95,11,FALSE),0)</f>
        <v>2.483156209074918</v>
      </c>
      <c r="S43" s="1144">
        <f>IFERROR(VLOOKUP(CONCATENATE($E43,$G43),'LAC 103'!$A$12:$O$95,12,FALSE),0)</f>
        <v>3.07</v>
      </c>
      <c r="T43" s="1144">
        <f>IFERROR(VLOOKUP(CONCATENATE($E43,$G43),'LAC 103'!$A$12:$O$95,13,FALSE),0)</f>
        <v>1.92</v>
      </c>
      <c r="U43" s="1144">
        <f>IFERROR(VLOOKUP(CONCATENATE($E43,$G43),'LAC 103'!$A$12:$O$95,14,FALSE),0)</f>
        <v>0</v>
      </c>
      <c r="V43" s="1144">
        <f>IFERROR(VLOOKUP(CONCATENATE($E43,$G43),'LAC 103'!$A$12:$O$95,15,FALSE),0)</f>
        <v>0</v>
      </c>
      <c r="W43" s="1145" t="str">
        <f>IFERROR(VLOOKUP(CONCATENATE($B43,$N43),'LAC 103'!$AI:$AQ,9,FALSE),"")</f>
        <v>Costs</v>
      </c>
      <c r="X43" s="1146">
        <f t="shared" si="6"/>
        <v>2.483156209074918</v>
      </c>
      <c r="Y43" s="1143">
        <f t="shared" si="7"/>
        <v>67226.48804828526</v>
      </c>
      <c r="Z43" s="1147">
        <f t="shared" si="8"/>
        <v>83114.11</v>
      </c>
      <c r="AA43" s="1144">
        <f t="shared" si="9"/>
        <v>51980.159999999996</v>
      </c>
      <c r="AB43" s="1144">
        <f t="shared" si="10"/>
        <v>0</v>
      </c>
      <c r="AC43" s="1144">
        <f t="shared" si="11"/>
        <v>0</v>
      </c>
      <c r="AD43" s="1148">
        <f t="shared" si="0"/>
        <v>67226.48804828526</v>
      </c>
      <c r="AE43" s="1487">
        <v>0</v>
      </c>
      <c r="AF43" s="1145">
        <f t="shared" si="12"/>
        <v>67226.48804828526</v>
      </c>
      <c r="AG43" s="1149">
        <f>IFERROR(VLOOKUP(CONCATENATE($L43,$N43),'Drop List'!$G$23:$K$87,2,FALSE),0)</f>
        <v>0.56200000000000006</v>
      </c>
      <c r="AH43" s="1150">
        <f>IFERROR(VLOOKUP(CONCATENATE($L43,$N43),'Drop List'!$G$23:$K$87,3,FALSE),0)</f>
        <v>0</v>
      </c>
      <c r="AI43" s="1150">
        <f>IFERROR(VLOOKUP(CONCATENATE($L43,$N43),'Drop List'!$G$23:$K$87,4,FALSE),0)</f>
        <v>0</v>
      </c>
      <c r="AJ43" s="1151">
        <f>IFERROR(VLOOKUP(CONCATENATE($L43,$N43),'Drop List'!$G$23:$K$87,5,FALSE),0)</f>
        <v>0.43799999999999994</v>
      </c>
      <c r="AK43" s="1152">
        <f t="shared" si="13"/>
        <v>37781.286283136324</v>
      </c>
      <c r="AL43" s="1153">
        <f t="shared" si="14"/>
        <v>0</v>
      </c>
      <c r="AM43" s="1153">
        <f t="shared" si="15"/>
        <v>0</v>
      </c>
      <c r="AN43" s="1145">
        <f t="shared" si="16"/>
        <v>29445.20176514894</v>
      </c>
      <c r="AO43" s="1154">
        <f t="shared" si="17"/>
        <v>67226.48804828526</v>
      </c>
      <c r="AP43" s="1147">
        <f t="shared" si="1"/>
        <v>0</v>
      </c>
      <c r="AQ43" s="1144">
        <f t="shared" si="2"/>
        <v>0</v>
      </c>
      <c r="AR43" s="1146">
        <f t="shared" si="3"/>
        <v>67226.48804828526</v>
      </c>
    </row>
    <row r="44" spans="1:44" x14ac:dyDescent="0.2">
      <c r="A44" s="1141" t="str">
        <f t="shared" si="4"/>
        <v>1504</v>
      </c>
      <c r="B44" s="1141" t="str">
        <f>IFERROR(VLOOKUP(A44,'LAC 103'!A:C,3,FALSE),"")</f>
        <v>OP</v>
      </c>
      <c r="C44" s="1478" t="str">
        <f>Info!$B$8</f>
        <v>00100</v>
      </c>
      <c r="D44" s="1474" t="s">
        <v>1100</v>
      </c>
      <c r="E44" s="1474" t="s">
        <v>95</v>
      </c>
      <c r="F44" s="1478" t="s">
        <v>588</v>
      </c>
      <c r="G44" s="1478" t="s">
        <v>588</v>
      </c>
      <c r="H44" s="1474" t="s">
        <v>970</v>
      </c>
      <c r="I44" s="1478" t="s">
        <v>817</v>
      </c>
      <c r="J44" s="1478"/>
      <c r="K44" s="1475" t="s">
        <v>851</v>
      </c>
      <c r="L44" s="1474" t="s">
        <v>584</v>
      </c>
      <c r="M44" s="1476" t="s">
        <v>1698</v>
      </c>
      <c r="N44" s="1477" t="s">
        <v>1693</v>
      </c>
      <c r="O44" s="1479">
        <v>33294</v>
      </c>
      <c r="P44" s="1479"/>
      <c r="Q44" s="1142">
        <f t="shared" si="5"/>
        <v>33294</v>
      </c>
      <c r="R44" s="1143">
        <f>IFERROR(VLOOKUP(CONCATENATE(E44,G44),'LAC 103'!$A$12:$O$95,11,FALSE),0)</f>
        <v>2.483156209074918</v>
      </c>
      <c r="S44" s="1144">
        <f>IFERROR(VLOOKUP(CONCATENATE($E44,$G44),'LAC 103'!$A$12:$O$95,12,FALSE),0)</f>
        <v>3.07</v>
      </c>
      <c r="T44" s="1144">
        <f>IFERROR(VLOOKUP(CONCATENATE($E44,$G44),'LAC 103'!$A$12:$O$95,13,FALSE),0)</f>
        <v>1.92</v>
      </c>
      <c r="U44" s="1144">
        <f>IFERROR(VLOOKUP(CONCATENATE($E44,$G44),'LAC 103'!$A$12:$O$95,14,FALSE),0)</f>
        <v>0</v>
      </c>
      <c r="V44" s="1144">
        <f>IFERROR(VLOOKUP(CONCATENATE($E44,$G44),'LAC 103'!$A$12:$O$95,15,FALSE),0)</f>
        <v>0</v>
      </c>
      <c r="W44" s="1145" t="str">
        <f>IFERROR(VLOOKUP(CONCATENATE($B44,$N44),'LAC 103'!$AI:$AQ,9,FALSE),"")</f>
        <v>Costs</v>
      </c>
      <c r="X44" s="1146">
        <f t="shared" si="6"/>
        <v>2.483156209074918</v>
      </c>
      <c r="Y44" s="1143">
        <f t="shared" si="7"/>
        <v>82674.202824940323</v>
      </c>
      <c r="Z44" s="1147">
        <f t="shared" si="8"/>
        <v>102212.58</v>
      </c>
      <c r="AA44" s="1144">
        <f t="shared" si="9"/>
        <v>63924.479999999996</v>
      </c>
      <c r="AB44" s="1144">
        <f t="shared" si="10"/>
        <v>0</v>
      </c>
      <c r="AC44" s="1144">
        <f t="shared" si="11"/>
        <v>0</v>
      </c>
      <c r="AD44" s="1148">
        <f t="shared" si="0"/>
        <v>82674.202824940323</v>
      </c>
      <c r="AE44" s="1487">
        <v>0</v>
      </c>
      <c r="AF44" s="1145">
        <f t="shared" si="12"/>
        <v>82674.202824940323</v>
      </c>
      <c r="AG44" s="1149">
        <f>IFERROR(VLOOKUP(CONCATENATE($L44,$N44),'Drop List'!$G$23:$K$87,2,FALSE),0)</f>
        <v>0.56200000000000006</v>
      </c>
      <c r="AH44" s="1150">
        <f>IFERROR(VLOOKUP(CONCATENATE($L44,$N44),'Drop List'!$G$23:$K$87,3,FALSE),0)</f>
        <v>0</v>
      </c>
      <c r="AI44" s="1150">
        <f>IFERROR(VLOOKUP(CONCATENATE($L44,$N44),'Drop List'!$G$23:$K$87,4,FALSE),0)</f>
        <v>0</v>
      </c>
      <c r="AJ44" s="1151">
        <f>IFERROR(VLOOKUP(CONCATENATE($L44,$N44),'Drop List'!$G$23:$K$87,5,FALSE),0)</f>
        <v>0.43799999999999994</v>
      </c>
      <c r="AK44" s="1152">
        <f t="shared" si="13"/>
        <v>46462.901987616468</v>
      </c>
      <c r="AL44" s="1153">
        <f t="shared" si="14"/>
        <v>0</v>
      </c>
      <c r="AM44" s="1153">
        <f t="shared" si="15"/>
        <v>0</v>
      </c>
      <c r="AN44" s="1145">
        <f t="shared" si="16"/>
        <v>36211.300837323855</v>
      </c>
      <c r="AO44" s="1154">
        <f t="shared" si="17"/>
        <v>82674.202824940323</v>
      </c>
      <c r="AP44" s="1147">
        <f t="shared" si="1"/>
        <v>0</v>
      </c>
      <c r="AQ44" s="1144">
        <f t="shared" si="2"/>
        <v>0</v>
      </c>
      <c r="AR44" s="1146">
        <f t="shared" si="3"/>
        <v>82674.202824940323</v>
      </c>
    </row>
    <row r="45" spans="1:44" x14ac:dyDescent="0.2">
      <c r="A45" s="1141" t="str">
        <f t="shared" si="4"/>
        <v>1505</v>
      </c>
      <c r="B45" s="1141" t="str">
        <f>IFERROR(VLOOKUP(A45,'LAC 103'!A:C,3,FALSE),"")</f>
        <v>OP</v>
      </c>
      <c r="C45" s="1478" t="str">
        <f>Info!$B$8</f>
        <v>00100</v>
      </c>
      <c r="D45" s="1474" t="s">
        <v>1100</v>
      </c>
      <c r="E45" s="1474" t="s">
        <v>95</v>
      </c>
      <c r="F45" s="1478" t="s">
        <v>45</v>
      </c>
      <c r="G45" s="1478" t="s">
        <v>45</v>
      </c>
      <c r="H45" s="1474" t="s">
        <v>1008</v>
      </c>
      <c r="I45" s="1478" t="s">
        <v>826</v>
      </c>
      <c r="J45" s="1478" t="s">
        <v>123</v>
      </c>
      <c r="K45" s="1475" t="s">
        <v>846</v>
      </c>
      <c r="L45" s="1474" t="s">
        <v>332</v>
      </c>
      <c r="M45" s="1476" t="s">
        <v>1699</v>
      </c>
      <c r="N45" s="1477" t="s">
        <v>1694</v>
      </c>
      <c r="O45" s="1479">
        <v>1410</v>
      </c>
      <c r="P45" s="1479"/>
      <c r="Q45" s="1142">
        <f t="shared" si="5"/>
        <v>1410</v>
      </c>
      <c r="R45" s="1143">
        <f>IFERROR(VLOOKUP(CONCATENATE(E45,G45),'LAC 103'!$A$12:$O$95,11,FALSE),0)</f>
        <v>2.483156209074918</v>
      </c>
      <c r="S45" s="1144">
        <f>IFERROR(VLOOKUP(CONCATENATE($E45,$G45),'LAC 103'!$A$12:$O$95,12,FALSE),0)</f>
        <v>3.07</v>
      </c>
      <c r="T45" s="1144">
        <f>IFERROR(VLOOKUP(CONCATENATE($E45,$G45),'LAC 103'!$A$12:$O$95,13,FALSE),0)</f>
        <v>1.92</v>
      </c>
      <c r="U45" s="1144">
        <f>IFERROR(VLOOKUP(CONCATENATE($E45,$G45),'LAC 103'!$A$12:$O$95,14,FALSE),0)</f>
        <v>0</v>
      </c>
      <c r="V45" s="1144">
        <f>IFERROR(VLOOKUP(CONCATENATE($E45,$G45),'LAC 103'!$A$12:$O$95,15,FALSE),0)</f>
        <v>0</v>
      </c>
      <c r="W45" s="1145" t="str">
        <f>IFERROR(VLOOKUP(CONCATENATE($B45,$N45),'LAC 103'!$AI:$AQ,9,FALSE),"")</f>
        <v>Costs</v>
      </c>
      <c r="X45" s="1146">
        <f t="shared" si="6"/>
        <v>2.483156209074918</v>
      </c>
      <c r="Y45" s="1143">
        <f t="shared" si="7"/>
        <v>3501.2502547956342</v>
      </c>
      <c r="Z45" s="1147">
        <f t="shared" si="8"/>
        <v>4328.7</v>
      </c>
      <c r="AA45" s="1144">
        <f t="shared" si="9"/>
        <v>2707.2</v>
      </c>
      <c r="AB45" s="1144">
        <f t="shared" si="10"/>
        <v>0</v>
      </c>
      <c r="AC45" s="1144">
        <f t="shared" si="11"/>
        <v>0</v>
      </c>
      <c r="AD45" s="1148">
        <f t="shared" si="0"/>
        <v>3501.2502547956342</v>
      </c>
      <c r="AE45" s="1487">
        <v>0</v>
      </c>
      <c r="AF45" s="1145">
        <f t="shared" si="12"/>
        <v>3501.2502547956342</v>
      </c>
      <c r="AG45" s="1149">
        <f>IFERROR(VLOOKUP(CONCATENATE($L45,$N45),'Drop List'!$G$23:$K$87,2,FALSE),0)</f>
        <v>0</v>
      </c>
      <c r="AH45" s="1150">
        <f>IFERROR(VLOOKUP(CONCATENATE($L45,$N45),'Drop List'!$G$23:$K$87,3,FALSE),0)</f>
        <v>0</v>
      </c>
      <c r="AI45" s="1150">
        <f>IFERROR(VLOOKUP(CONCATENATE($L45,$N45),'Drop List'!$G$23:$K$87,4,FALSE),0)</f>
        <v>0</v>
      </c>
      <c r="AJ45" s="1151">
        <f>IFERROR(VLOOKUP(CONCATENATE($L45,$N45),'Drop List'!$G$23:$K$87,5,FALSE),0)</f>
        <v>0</v>
      </c>
      <c r="AK45" s="1152">
        <f t="shared" si="13"/>
        <v>0</v>
      </c>
      <c r="AL45" s="1153">
        <f t="shared" si="14"/>
        <v>0</v>
      </c>
      <c r="AM45" s="1153">
        <f t="shared" si="15"/>
        <v>0</v>
      </c>
      <c r="AN45" s="1145">
        <f t="shared" si="16"/>
        <v>0</v>
      </c>
      <c r="AO45" s="1154">
        <f t="shared" si="17"/>
        <v>0</v>
      </c>
      <c r="AP45" s="1147">
        <f t="shared" si="1"/>
        <v>3501.2502547956342</v>
      </c>
      <c r="AQ45" s="1144">
        <f t="shared" si="2"/>
        <v>0</v>
      </c>
      <c r="AR45" s="1146">
        <f t="shared" si="3"/>
        <v>3501.2502547956342</v>
      </c>
    </row>
    <row r="46" spans="1:44" x14ac:dyDescent="0.2">
      <c r="A46" s="1141" t="str">
        <f t="shared" si="4"/>
        <v>1505</v>
      </c>
      <c r="B46" s="1141" t="str">
        <f>IFERROR(VLOOKUP(A46,'LAC 103'!A:C,3,FALSE),"")</f>
        <v>OP</v>
      </c>
      <c r="C46" s="1478" t="str">
        <f>Info!$B$8</f>
        <v>00100</v>
      </c>
      <c r="D46" s="1474" t="s">
        <v>1100</v>
      </c>
      <c r="E46" s="1474" t="s">
        <v>95</v>
      </c>
      <c r="F46" s="1478" t="s">
        <v>45</v>
      </c>
      <c r="G46" s="1478" t="s">
        <v>45</v>
      </c>
      <c r="H46" s="1474" t="s">
        <v>1008</v>
      </c>
      <c r="I46" s="1478" t="s">
        <v>826</v>
      </c>
      <c r="J46" s="1478"/>
      <c r="K46" s="1475" t="s">
        <v>846</v>
      </c>
      <c r="L46" s="1474" t="s">
        <v>332</v>
      </c>
      <c r="M46" s="1476" t="s">
        <v>841</v>
      </c>
      <c r="N46" s="1477" t="s">
        <v>1695</v>
      </c>
      <c r="O46" s="1479">
        <v>566</v>
      </c>
      <c r="P46" s="1479"/>
      <c r="Q46" s="1142">
        <f t="shared" si="5"/>
        <v>566</v>
      </c>
      <c r="R46" s="1143">
        <f>IFERROR(VLOOKUP(CONCATENATE(E46,G46),'LAC 103'!$A$12:$O$95,11,FALSE),0)</f>
        <v>2.483156209074918</v>
      </c>
      <c r="S46" s="1144">
        <f>IFERROR(VLOOKUP(CONCATENATE($E46,$G46),'LAC 103'!$A$12:$O$95,12,FALSE),0)</f>
        <v>3.07</v>
      </c>
      <c r="T46" s="1144">
        <f>IFERROR(VLOOKUP(CONCATENATE($E46,$G46),'LAC 103'!$A$12:$O$95,13,FALSE),0)</f>
        <v>1.92</v>
      </c>
      <c r="U46" s="1144">
        <f>IFERROR(VLOOKUP(CONCATENATE($E46,$G46),'LAC 103'!$A$12:$O$95,14,FALSE),0)</f>
        <v>0</v>
      </c>
      <c r="V46" s="1144">
        <f>IFERROR(VLOOKUP(CONCATENATE($E46,$G46),'LAC 103'!$A$12:$O$95,15,FALSE),0)</f>
        <v>0</v>
      </c>
      <c r="W46" s="1145" t="str">
        <f>IFERROR(VLOOKUP(CONCATENATE($B46,$N46),'LAC 103'!$AI:$AQ,9,FALSE),"")</f>
        <v>Costs</v>
      </c>
      <c r="X46" s="1146">
        <f t="shared" si="6"/>
        <v>2.483156209074918</v>
      </c>
      <c r="Y46" s="1143">
        <f t="shared" si="7"/>
        <v>1405.4664143364037</v>
      </c>
      <c r="Z46" s="1147">
        <f t="shared" si="8"/>
        <v>1737.62</v>
      </c>
      <c r="AA46" s="1144">
        <f t="shared" si="9"/>
        <v>1086.72</v>
      </c>
      <c r="AB46" s="1144">
        <f t="shared" si="10"/>
        <v>0</v>
      </c>
      <c r="AC46" s="1144">
        <f t="shared" si="11"/>
        <v>0</v>
      </c>
      <c r="AD46" s="1148">
        <f t="shared" si="0"/>
        <v>1405.4664143364037</v>
      </c>
      <c r="AE46" s="1487">
        <v>0</v>
      </c>
      <c r="AF46" s="1145">
        <f t="shared" si="12"/>
        <v>1405.4664143364037</v>
      </c>
      <c r="AG46" s="1149">
        <f>IFERROR(VLOOKUP(CONCATENATE($L46,$N46),'Drop List'!$G$23:$K$87,2,FALSE),0)</f>
        <v>0</v>
      </c>
      <c r="AH46" s="1150">
        <f>IFERROR(VLOOKUP(CONCATENATE($L46,$N46),'Drop List'!$G$23:$K$87,3,FALSE),0)</f>
        <v>0</v>
      </c>
      <c r="AI46" s="1150">
        <f>IFERROR(VLOOKUP(CONCATENATE($L46,$N46),'Drop List'!$G$23:$K$87,4,FALSE),0)</f>
        <v>0</v>
      </c>
      <c r="AJ46" s="1151">
        <f>IFERROR(VLOOKUP(CONCATENATE($L46,$N46),'Drop List'!$G$23:$K$87,5,FALSE),0)</f>
        <v>0</v>
      </c>
      <c r="AK46" s="1152">
        <f t="shared" si="13"/>
        <v>0</v>
      </c>
      <c r="AL46" s="1153">
        <f t="shared" si="14"/>
        <v>0</v>
      </c>
      <c r="AM46" s="1153">
        <f t="shared" si="15"/>
        <v>0</v>
      </c>
      <c r="AN46" s="1145">
        <f t="shared" si="16"/>
        <v>0</v>
      </c>
      <c r="AO46" s="1154">
        <f t="shared" si="17"/>
        <v>0</v>
      </c>
      <c r="AP46" s="1147">
        <f t="shared" si="1"/>
        <v>1405.4664143364037</v>
      </c>
      <c r="AQ46" s="1144">
        <f t="shared" si="2"/>
        <v>0</v>
      </c>
      <c r="AR46" s="1146">
        <f t="shared" si="3"/>
        <v>1405.4664143364037</v>
      </c>
    </row>
    <row r="47" spans="1:44" x14ac:dyDescent="0.2">
      <c r="A47" s="1141" t="str">
        <f t="shared" si="4"/>
        <v>1505</v>
      </c>
      <c r="B47" s="1141" t="str">
        <f>IFERROR(VLOOKUP(A47,'LAC 103'!A:C,3,FALSE),"")</f>
        <v>OP</v>
      </c>
      <c r="C47" s="1478" t="str">
        <f>Info!$B$8</f>
        <v>00100</v>
      </c>
      <c r="D47" s="1474" t="s">
        <v>1100</v>
      </c>
      <c r="E47" s="1474" t="s">
        <v>95</v>
      </c>
      <c r="F47" s="1478" t="s">
        <v>45</v>
      </c>
      <c r="G47" s="1478" t="s">
        <v>45</v>
      </c>
      <c r="H47" s="1474" t="s">
        <v>1008</v>
      </c>
      <c r="I47" s="1478" t="s">
        <v>826</v>
      </c>
      <c r="J47" s="1478"/>
      <c r="K47" s="1475" t="s">
        <v>846</v>
      </c>
      <c r="L47" s="1474" t="s">
        <v>332</v>
      </c>
      <c r="M47" s="1476" t="s">
        <v>842</v>
      </c>
      <c r="N47" s="1477" t="s">
        <v>1692</v>
      </c>
      <c r="O47" s="1479">
        <v>4497</v>
      </c>
      <c r="P47" s="1479"/>
      <c r="Q47" s="1142">
        <f t="shared" si="5"/>
        <v>4497</v>
      </c>
      <c r="R47" s="1143">
        <f>IFERROR(VLOOKUP(CONCATENATE(E47,G47),'LAC 103'!$A$12:$O$95,11,FALSE),0)</f>
        <v>2.483156209074918</v>
      </c>
      <c r="S47" s="1144">
        <f>IFERROR(VLOOKUP(CONCATENATE($E47,$G47),'LAC 103'!$A$12:$O$95,12,FALSE),0)</f>
        <v>3.07</v>
      </c>
      <c r="T47" s="1144">
        <f>IFERROR(VLOOKUP(CONCATENATE($E47,$G47),'LAC 103'!$A$12:$O$95,13,FALSE),0)</f>
        <v>1.92</v>
      </c>
      <c r="U47" s="1144">
        <f>IFERROR(VLOOKUP(CONCATENATE($E47,$G47),'LAC 103'!$A$12:$O$95,14,FALSE),0)</f>
        <v>0</v>
      </c>
      <c r="V47" s="1144">
        <f>IFERROR(VLOOKUP(CONCATENATE($E47,$G47),'LAC 103'!$A$12:$O$95,15,FALSE),0)</f>
        <v>0</v>
      </c>
      <c r="W47" s="1145" t="str">
        <f>IFERROR(VLOOKUP(CONCATENATE($B47,$N47),'LAC 103'!$AI:$AQ,9,FALSE),"")</f>
        <v>Costs</v>
      </c>
      <c r="X47" s="1146">
        <f t="shared" si="6"/>
        <v>2.483156209074918</v>
      </c>
      <c r="Y47" s="1143">
        <f t="shared" si="7"/>
        <v>11166.753472209906</v>
      </c>
      <c r="Z47" s="1147">
        <f t="shared" si="8"/>
        <v>13805.789999999999</v>
      </c>
      <c r="AA47" s="1144">
        <f t="shared" si="9"/>
        <v>8634.24</v>
      </c>
      <c r="AB47" s="1144">
        <f t="shared" si="10"/>
        <v>0</v>
      </c>
      <c r="AC47" s="1144">
        <f t="shared" si="11"/>
        <v>0</v>
      </c>
      <c r="AD47" s="1148">
        <f t="shared" si="0"/>
        <v>11166.753472209906</v>
      </c>
      <c r="AE47" s="1487">
        <v>0</v>
      </c>
      <c r="AF47" s="1145">
        <f t="shared" si="12"/>
        <v>11166.753472209906</v>
      </c>
      <c r="AG47" s="1149">
        <f>IFERROR(VLOOKUP(CONCATENATE($L47,$N47),'Drop List'!$G$23:$K$87,2,FALSE),0)</f>
        <v>0</v>
      </c>
      <c r="AH47" s="1150">
        <f>IFERROR(VLOOKUP(CONCATENATE($L47,$N47),'Drop List'!$G$23:$K$87,3,FALSE),0)</f>
        <v>0</v>
      </c>
      <c r="AI47" s="1150">
        <f>IFERROR(VLOOKUP(CONCATENATE($L47,$N47),'Drop List'!$G$23:$K$87,4,FALSE),0)</f>
        <v>0</v>
      </c>
      <c r="AJ47" s="1151">
        <f>IFERROR(VLOOKUP(CONCATENATE($L47,$N47),'Drop List'!$G$23:$K$87,5,FALSE),0)</f>
        <v>0</v>
      </c>
      <c r="AK47" s="1152">
        <f t="shared" si="13"/>
        <v>0</v>
      </c>
      <c r="AL47" s="1153">
        <f t="shared" si="14"/>
        <v>0</v>
      </c>
      <c r="AM47" s="1153">
        <f t="shared" si="15"/>
        <v>0</v>
      </c>
      <c r="AN47" s="1145">
        <f t="shared" si="16"/>
        <v>0</v>
      </c>
      <c r="AO47" s="1154">
        <f t="shared" si="17"/>
        <v>0</v>
      </c>
      <c r="AP47" s="1147">
        <f t="shared" si="1"/>
        <v>11166.753472209906</v>
      </c>
      <c r="AQ47" s="1144">
        <f t="shared" si="2"/>
        <v>0</v>
      </c>
      <c r="AR47" s="1146">
        <f t="shared" si="3"/>
        <v>11166.753472209906</v>
      </c>
    </row>
    <row r="48" spans="1:44" x14ac:dyDescent="0.2">
      <c r="A48" s="1141" t="str">
        <f t="shared" si="4"/>
        <v>1505</v>
      </c>
      <c r="B48" s="1141" t="str">
        <f>IFERROR(VLOOKUP(A48,'LAC 103'!A:C,3,FALSE),"")</f>
        <v>OP</v>
      </c>
      <c r="C48" s="1478" t="str">
        <f>Info!$B$8</f>
        <v>00100</v>
      </c>
      <c r="D48" s="1474" t="s">
        <v>1100</v>
      </c>
      <c r="E48" s="1474" t="s">
        <v>95</v>
      </c>
      <c r="F48" s="1478" t="s">
        <v>45</v>
      </c>
      <c r="G48" s="1478" t="s">
        <v>45</v>
      </c>
      <c r="H48" s="1474" t="s">
        <v>1008</v>
      </c>
      <c r="I48" s="1478" t="s">
        <v>826</v>
      </c>
      <c r="J48" s="1478"/>
      <c r="K48" s="1475" t="s">
        <v>846</v>
      </c>
      <c r="L48" s="1474" t="s">
        <v>332</v>
      </c>
      <c r="M48" s="1476" t="s">
        <v>1698</v>
      </c>
      <c r="N48" s="1477" t="s">
        <v>1693</v>
      </c>
      <c r="O48" s="1479">
        <v>3428</v>
      </c>
      <c r="P48" s="1479"/>
      <c r="Q48" s="1142">
        <f t="shared" si="5"/>
        <v>3428</v>
      </c>
      <c r="R48" s="1143">
        <f>IFERROR(VLOOKUP(CONCATENATE(E48,G48),'LAC 103'!$A$12:$O$95,11,FALSE),0)</f>
        <v>2.483156209074918</v>
      </c>
      <c r="S48" s="1144">
        <f>IFERROR(VLOOKUP(CONCATENATE($E48,$G48),'LAC 103'!$A$12:$O$95,12,FALSE),0)</f>
        <v>3.07</v>
      </c>
      <c r="T48" s="1144">
        <f>IFERROR(VLOOKUP(CONCATENATE($E48,$G48),'LAC 103'!$A$12:$O$95,13,FALSE),0)</f>
        <v>1.92</v>
      </c>
      <c r="U48" s="1144">
        <f>IFERROR(VLOOKUP(CONCATENATE($E48,$G48),'LAC 103'!$A$12:$O$95,14,FALSE),0)</f>
        <v>0</v>
      </c>
      <c r="V48" s="1144">
        <f>IFERROR(VLOOKUP(CONCATENATE($E48,$G48),'LAC 103'!$A$12:$O$95,15,FALSE),0)</f>
        <v>0</v>
      </c>
      <c r="W48" s="1145" t="str">
        <f>IFERROR(VLOOKUP(CONCATENATE($B48,$N48),'LAC 103'!$AI:$AQ,9,FALSE),"")</f>
        <v>Costs</v>
      </c>
      <c r="X48" s="1146">
        <f t="shared" si="6"/>
        <v>2.483156209074918</v>
      </c>
      <c r="Y48" s="1143">
        <f t="shared" si="7"/>
        <v>8512.2594847088185</v>
      </c>
      <c r="Z48" s="1147">
        <f t="shared" si="8"/>
        <v>10523.96</v>
      </c>
      <c r="AA48" s="1144">
        <f t="shared" si="9"/>
        <v>6581.7599999999993</v>
      </c>
      <c r="AB48" s="1144">
        <f t="shared" si="10"/>
        <v>0</v>
      </c>
      <c r="AC48" s="1144">
        <f t="shared" si="11"/>
        <v>0</v>
      </c>
      <c r="AD48" s="1148">
        <f t="shared" si="0"/>
        <v>8512.2594847088185</v>
      </c>
      <c r="AE48" s="1487">
        <v>0</v>
      </c>
      <c r="AF48" s="1145">
        <f t="shared" si="12"/>
        <v>8512.2594847088185</v>
      </c>
      <c r="AG48" s="1149">
        <f>IFERROR(VLOOKUP(CONCATENATE($L48,$N48),'Drop List'!$G$23:$K$87,2,FALSE),0)</f>
        <v>0</v>
      </c>
      <c r="AH48" s="1150">
        <f>IFERROR(VLOOKUP(CONCATENATE($L48,$N48),'Drop List'!$G$23:$K$87,3,FALSE),0)</f>
        <v>0</v>
      </c>
      <c r="AI48" s="1150">
        <f>IFERROR(VLOOKUP(CONCATENATE($L48,$N48),'Drop List'!$G$23:$K$87,4,FALSE),0)</f>
        <v>0</v>
      </c>
      <c r="AJ48" s="1151">
        <f>IFERROR(VLOOKUP(CONCATENATE($L48,$N48),'Drop List'!$G$23:$K$87,5,FALSE),0)</f>
        <v>0</v>
      </c>
      <c r="AK48" s="1152">
        <f t="shared" si="13"/>
        <v>0</v>
      </c>
      <c r="AL48" s="1153">
        <f t="shared" si="14"/>
        <v>0</v>
      </c>
      <c r="AM48" s="1153">
        <f t="shared" si="15"/>
        <v>0</v>
      </c>
      <c r="AN48" s="1145">
        <f t="shared" si="16"/>
        <v>0</v>
      </c>
      <c r="AO48" s="1154">
        <f t="shared" si="17"/>
        <v>0</v>
      </c>
      <c r="AP48" s="1147">
        <f t="shared" si="1"/>
        <v>8512.2594847088185</v>
      </c>
      <c r="AQ48" s="1144">
        <f t="shared" si="2"/>
        <v>0</v>
      </c>
      <c r="AR48" s="1146">
        <f t="shared" si="3"/>
        <v>8512.2594847088185</v>
      </c>
    </row>
    <row r="49" spans="1:44" x14ac:dyDescent="0.2">
      <c r="A49" s="1141" t="str">
        <f t="shared" si="4"/>
        <v>1505</v>
      </c>
      <c r="B49" s="1141" t="str">
        <f>IFERROR(VLOOKUP(A49,'LAC 103'!A:C,3,FALSE),"")</f>
        <v>OP</v>
      </c>
      <c r="C49" s="1478" t="str">
        <f>Info!$B$8</f>
        <v>00100</v>
      </c>
      <c r="D49" s="1474" t="s">
        <v>1100</v>
      </c>
      <c r="E49" s="1474" t="s">
        <v>95</v>
      </c>
      <c r="F49" s="1478" t="s">
        <v>45</v>
      </c>
      <c r="G49" s="1478" t="s">
        <v>45</v>
      </c>
      <c r="H49" s="1474" t="s">
        <v>1660</v>
      </c>
      <c r="I49" s="1478" t="s">
        <v>817</v>
      </c>
      <c r="J49" s="1478" t="s">
        <v>123</v>
      </c>
      <c r="K49" s="1475" t="s">
        <v>846</v>
      </c>
      <c r="L49" s="1474" t="s">
        <v>332</v>
      </c>
      <c r="M49" s="1476" t="s">
        <v>1699</v>
      </c>
      <c r="N49" s="1477" t="s">
        <v>1694</v>
      </c>
      <c r="O49" s="1479">
        <v>6697</v>
      </c>
      <c r="P49" s="1479"/>
      <c r="Q49" s="1142">
        <f t="shared" si="5"/>
        <v>6697</v>
      </c>
      <c r="R49" s="1143">
        <f>IFERROR(VLOOKUP(CONCATENATE(E49,G49),'LAC 103'!$A$12:$O$95,11,FALSE),0)</f>
        <v>2.483156209074918</v>
      </c>
      <c r="S49" s="1144">
        <f>IFERROR(VLOOKUP(CONCATENATE($E49,$G49),'LAC 103'!$A$12:$O$95,12,FALSE),0)</f>
        <v>3.07</v>
      </c>
      <c r="T49" s="1144">
        <f>IFERROR(VLOOKUP(CONCATENATE($E49,$G49),'LAC 103'!$A$12:$O$95,13,FALSE),0)</f>
        <v>1.92</v>
      </c>
      <c r="U49" s="1144">
        <f>IFERROR(VLOOKUP(CONCATENATE($E49,$G49),'LAC 103'!$A$12:$O$95,14,FALSE),0)</f>
        <v>0</v>
      </c>
      <c r="V49" s="1144">
        <f>IFERROR(VLOOKUP(CONCATENATE($E49,$G49),'LAC 103'!$A$12:$O$95,15,FALSE),0)</f>
        <v>0</v>
      </c>
      <c r="W49" s="1145" t="str">
        <f>IFERROR(VLOOKUP(CONCATENATE($B49,$N49),'LAC 103'!$AI:$AQ,9,FALSE),"")</f>
        <v>Costs</v>
      </c>
      <c r="X49" s="1146">
        <f t="shared" si="6"/>
        <v>2.483156209074918</v>
      </c>
      <c r="Y49" s="1143">
        <f t="shared" si="7"/>
        <v>16629.697132174726</v>
      </c>
      <c r="Z49" s="1147">
        <f t="shared" si="8"/>
        <v>20559.789999999997</v>
      </c>
      <c r="AA49" s="1144">
        <f t="shared" si="9"/>
        <v>12858.24</v>
      </c>
      <c r="AB49" s="1144">
        <f t="shared" si="10"/>
        <v>0</v>
      </c>
      <c r="AC49" s="1144">
        <f t="shared" si="11"/>
        <v>0</v>
      </c>
      <c r="AD49" s="1148">
        <f t="shared" si="0"/>
        <v>16629.697132174726</v>
      </c>
      <c r="AE49" s="1487">
        <v>0</v>
      </c>
      <c r="AF49" s="1145">
        <f t="shared" si="12"/>
        <v>16629.697132174726</v>
      </c>
      <c r="AG49" s="1149">
        <f>IFERROR(VLOOKUP(CONCATENATE($L49,$N49),'Drop List'!$G$23:$K$87,2,FALSE),0)</f>
        <v>0</v>
      </c>
      <c r="AH49" s="1150">
        <f>IFERROR(VLOOKUP(CONCATENATE($L49,$N49),'Drop List'!$G$23:$K$87,3,FALSE),0)</f>
        <v>0</v>
      </c>
      <c r="AI49" s="1150">
        <f>IFERROR(VLOOKUP(CONCATENATE($L49,$N49),'Drop List'!$G$23:$K$87,4,FALSE),0)</f>
        <v>0</v>
      </c>
      <c r="AJ49" s="1151">
        <f>IFERROR(VLOOKUP(CONCATENATE($L49,$N49),'Drop List'!$G$23:$K$87,5,FALSE),0)</f>
        <v>0</v>
      </c>
      <c r="AK49" s="1152">
        <f t="shared" si="13"/>
        <v>0</v>
      </c>
      <c r="AL49" s="1153">
        <f t="shared" si="14"/>
        <v>0</v>
      </c>
      <c r="AM49" s="1153">
        <f t="shared" si="15"/>
        <v>0</v>
      </c>
      <c r="AN49" s="1145">
        <f t="shared" si="16"/>
        <v>0</v>
      </c>
      <c r="AO49" s="1154">
        <f t="shared" si="17"/>
        <v>0</v>
      </c>
      <c r="AP49" s="1147">
        <f t="shared" si="1"/>
        <v>16629.697132174726</v>
      </c>
      <c r="AQ49" s="1144">
        <f t="shared" si="2"/>
        <v>0</v>
      </c>
      <c r="AR49" s="1146">
        <f t="shared" si="3"/>
        <v>16629.697132174726</v>
      </c>
    </row>
    <row r="50" spans="1:44" x14ac:dyDescent="0.2">
      <c r="A50" s="1141" t="str">
        <f t="shared" si="4"/>
        <v>1505</v>
      </c>
      <c r="B50" s="1141" t="str">
        <f>IFERROR(VLOOKUP(A50,'LAC 103'!A:C,3,FALSE),"")</f>
        <v>OP</v>
      </c>
      <c r="C50" s="1478" t="str">
        <f>Info!$B$8</f>
        <v>00100</v>
      </c>
      <c r="D50" s="1474" t="s">
        <v>1100</v>
      </c>
      <c r="E50" s="1474" t="s">
        <v>95</v>
      </c>
      <c r="F50" s="1478" t="s">
        <v>45</v>
      </c>
      <c r="G50" s="1478" t="s">
        <v>45</v>
      </c>
      <c r="H50" s="1474" t="s">
        <v>1660</v>
      </c>
      <c r="I50" s="1478" t="s">
        <v>817</v>
      </c>
      <c r="J50" s="1478"/>
      <c r="K50" s="1475" t="s">
        <v>846</v>
      </c>
      <c r="L50" s="1474" t="s">
        <v>332</v>
      </c>
      <c r="M50" s="1476" t="s">
        <v>841</v>
      </c>
      <c r="N50" s="1477" t="s">
        <v>1695</v>
      </c>
      <c r="O50" s="1479">
        <v>2619</v>
      </c>
      <c r="P50" s="1479"/>
      <c r="Q50" s="1142">
        <f t="shared" si="5"/>
        <v>2619</v>
      </c>
      <c r="R50" s="1143">
        <f>IFERROR(VLOOKUP(CONCATENATE(E50,G50),'LAC 103'!$A$12:$O$95,11,FALSE),0)</f>
        <v>2.483156209074918</v>
      </c>
      <c r="S50" s="1144">
        <f>IFERROR(VLOOKUP(CONCATENATE($E50,$G50),'LAC 103'!$A$12:$O$95,12,FALSE),0)</f>
        <v>3.07</v>
      </c>
      <c r="T50" s="1144">
        <f>IFERROR(VLOOKUP(CONCATENATE($E50,$G50),'LAC 103'!$A$12:$O$95,13,FALSE),0)</f>
        <v>1.92</v>
      </c>
      <c r="U50" s="1144">
        <f>IFERROR(VLOOKUP(CONCATENATE($E50,$G50),'LAC 103'!$A$12:$O$95,14,FALSE),0)</f>
        <v>0</v>
      </c>
      <c r="V50" s="1144">
        <f>IFERROR(VLOOKUP(CONCATENATE($E50,$G50),'LAC 103'!$A$12:$O$95,15,FALSE),0)</f>
        <v>0</v>
      </c>
      <c r="W50" s="1145" t="str">
        <f>IFERROR(VLOOKUP(CONCATENATE($B50,$N50),'LAC 103'!$AI:$AQ,9,FALSE),"")</f>
        <v>Costs</v>
      </c>
      <c r="X50" s="1146">
        <f t="shared" si="6"/>
        <v>2.483156209074918</v>
      </c>
      <c r="Y50" s="1143">
        <f t="shared" si="7"/>
        <v>6503.3861115672098</v>
      </c>
      <c r="Z50" s="1147">
        <f t="shared" si="8"/>
        <v>8040.33</v>
      </c>
      <c r="AA50" s="1144">
        <f t="shared" si="9"/>
        <v>5028.4799999999996</v>
      </c>
      <c r="AB50" s="1144">
        <f t="shared" si="10"/>
        <v>0</v>
      </c>
      <c r="AC50" s="1144">
        <f t="shared" si="11"/>
        <v>0</v>
      </c>
      <c r="AD50" s="1148">
        <f t="shared" si="0"/>
        <v>6503.3861115672098</v>
      </c>
      <c r="AE50" s="1487">
        <v>0</v>
      </c>
      <c r="AF50" s="1145">
        <f t="shared" si="12"/>
        <v>6503.3861115672098</v>
      </c>
      <c r="AG50" s="1149">
        <f>IFERROR(VLOOKUP(CONCATENATE($L50,$N50),'Drop List'!$G$23:$K$87,2,FALSE),0)</f>
        <v>0</v>
      </c>
      <c r="AH50" s="1150">
        <f>IFERROR(VLOOKUP(CONCATENATE($L50,$N50),'Drop List'!$G$23:$K$87,3,FALSE),0)</f>
        <v>0</v>
      </c>
      <c r="AI50" s="1150">
        <f>IFERROR(VLOOKUP(CONCATENATE($L50,$N50),'Drop List'!$G$23:$K$87,4,FALSE),0)</f>
        <v>0</v>
      </c>
      <c r="AJ50" s="1151">
        <f>IFERROR(VLOOKUP(CONCATENATE($L50,$N50),'Drop List'!$G$23:$K$87,5,FALSE),0)</f>
        <v>0</v>
      </c>
      <c r="AK50" s="1152">
        <f t="shared" si="13"/>
        <v>0</v>
      </c>
      <c r="AL50" s="1153">
        <f t="shared" si="14"/>
        <v>0</v>
      </c>
      <c r="AM50" s="1153">
        <f t="shared" si="15"/>
        <v>0</v>
      </c>
      <c r="AN50" s="1145">
        <f t="shared" si="16"/>
        <v>0</v>
      </c>
      <c r="AO50" s="1154">
        <f t="shared" si="17"/>
        <v>0</v>
      </c>
      <c r="AP50" s="1147">
        <f t="shared" si="1"/>
        <v>6503.3861115672098</v>
      </c>
      <c r="AQ50" s="1144">
        <f t="shared" si="2"/>
        <v>0</v>
      </c>
      <c r="AR50" s="1146">
        <f t="shared" si="3"/>
        <v>6503.3861115672098</v>
      </c>
    </row>
    <row r="51" spans="1:44" x14ac:dyDescent="0.2">
      <c r="A51" s="1141" t="str">
        <f t="shared" si="4"/>
        <v>1505</v>
      </c>
      <c r="B51" s="1141" t="str">
        <f>IFERROR(VLOOKUP(A51,'LAC 103'!A:C,3,FALSE),"")</f>
        <v>OP</v>
      </c>
      <c r="C51" s="1478" t="str">
        <f>Info!$B$8</f>
        <v>00100</v>
      </c>
      <c r="D51" s="1474" t="s">
        <v>1100</v>
      </c>
      <c r="E51" s="1474" t="s">
        <v>95</v>
      </c>
      <c r="F51" s="1478" t="s">
        <v>45</v>
      </c>
      <c r="G51" s="1478" t="s">
        <v>45</v>
      </c>
      <c r="H51" s="1474" t="s">
        <v>1660</v>
      </c>
      <c r="I51" s="1478" t="s">
        <v>817</v>
      </c>
      <c r="J51" s="1478"/>
      <c r="K51" s="1475" t="s">
        <v>846</v>
      </c>
      <c r="L51" s="1474" t="s">
        <v>332</v>
      </c>
      <c r="M51" s="1476" t="s">
        <v>840</v>
      </c>
      <c r="N51" s="1477" t="s">
        <v>1700</v>
      </c>
      <c r="O51" s="1479">
        <v>3288</v>
      </c>
      <c r="P51" s="1479"/>
      <c r="Q51" s="1142">
        <f t="shared" si="5"/>
        <v>3288</v>
      </c>
      <c r="R51" s="1143">
        <f>IFERROR(VLOOKUP(CONCATENATE(E51,G51),'LAC 103'!$A$12:$O$95,11,FALSE),0)</f>
        <v>2.483156209074918</v>
      </c>
      <c r="S51" s="1144">
        <f>IFERROR(VLOOKUP(CONCATENATE($E51,$G51),'LAC 103'!$A$12:$O$95,12,FALSE),0)</f>
        <v>3.07</v>
      </c>
      <c r="T51" s="1144">
        <f>IFERROR(VLOOKUP(CONCATENATE($E51,$G51),'LAC 103'!$A$12:$O$95,13,FALSE),0)</f>
        <v>1.92</v>
      </c>
      <c r="U51" s="1144">
        <f>IFERROR(VLOOKUP(CONCATENATE($E51,$G51),'LAC 103'!$A$12:$O$95,14,FALSE),0)</f>
        <v>0</v>
      </c>
      <c r="V51" s="1144">
        <f>IFERROR(VLOOKUP(CONCATENATE($E51,$G51),'LAC 103'!$A$12:$O$95,15,FALSE),0)</f>
        <v>0</v>
      </c>
      <c r="W51" s="1145" t="str">
        <f>IFERROR(VLOOKUP(CONCATENATE($B51,$N51),'LAC 103'!$AI:$AQ,9,FALSE),"")</f>
        <v>P.C.</v>
      </c>
      <c r="X51" s="1146">
        <f t="shared" si="6"/>
        <v>1.92</v>
      </c>
      <c r="Y51" s="1143">
        <f t="shared" si="7"/>
        <v>8164.6176154383302</v>
      </c>
      <c r="Z51" s="1147">
        <f t="shared" si="8"/>
        <v>10094.16</v>
      </c>
      <c r="AA51" s="1144">
        <f t="shared" si="9"/>
        <v>6312.96</v>
      </c>
      <c r="AB51" s="1144">
        <f t="shared" si="10"/>
        <v>0</v>
      </c>
      <c r="AC51" s="1144">
        <f t="shared" si="11"/>
        <v>0</v>
      </c>
      <c r="AD51" s="1148">
        <f t="shared" si="0"/>
        <v>6312.96</v>
      </c>
      <c r="AE51" s="1487">
        <v>0</v>
      </c>
      <c r="AF51" s="1145">
        <f t="shared" si="12"/>
        <v>6312.96</v>
      </c>
      <c r="AG51" s="1149">
        <f>IFERROR(VLOOKUP(CONCATENATE($L51,$N51),'Drop List'!$G$23:$K$87,2,FALSE),0)</f>
        <v>0</v>
      </c>
      <c r="AH51" s="1150">
        <f>IFERROR(VLOOKUP(CONCATENATE($L51,$N51),'Drop List'!$G$23:$K$87,3,FALSE),0)</f>
        <v>0</v>
      </c>
      <c r="AI51" s="1150">
        <f>IFERROR(VLOOKUP(CONCATENATE($L51,$N51),'Drop List'!$G$23:$K$87,4,FALSE),0)</f>
        <v>0</v>
      </c>
      <c r="AJ51" s="1151">
        <f>IFERROR(VLOOKUP(CONCATENATE($L51,$N51),'Drop List'!$G$23:$K$87,5,FALSE),0)</f>
        <v>0</v>
      </c>
      <c r="AK51" s="1152">
        <f t="shared" si="13"/>
        <v>0</v>
      </c>
      <c r="AL51" s="1153">
        <f t="shared" si="14"/>
        <v>0</v>
      </c>
      <c r="AM51" s="1153">
        <f t="shared" si="15"/>
        <v>0</v>
      </c>
      <c r="AN51" s="1145">
        <f t="shared" si="16"/>
        <v>0</v>
      </c>
      <c r="AO51" s="1154">
        <f t="shared" si="17"/>
        <v>0</v>
      </c>
      <c r="AP51" s="1147">
        <f t="shared" si="1"/>
        <v>6312.96</v>
      </c>
      <c r="AQ51" s="1144">
        <f t="shared" si="2"/>
        <v>0</v>
      </c>
      <c r="AR51" s="1146">
        <f t="shared" si="3"/>
        <v>6312.96</v>
      </c>
    </row>
    <row r="52" spans="1:44" x14ac:dyDescent="0.2">
      <c r="A52" s="1141" t="str">
        <f t="shared" si="4"/>
        <v>1505</v>
      </c>
      <c r="B52" s="1141" t="str">
        <f>IFERROR(VLOOKUP(A52,'LAC 103'!A:C,3,FALSE),"")</f>
        <v>OP</v>
      </c>
      <c r="C52" s="1478" t="str">
        <f>Info!$B$8</f>
        <v>00100</v>
      </c>
      <c r="D52" s="1474" t="s">
        <v>1100</v>
      </c>
      <c r="E52" s="1474" t="s">
        <v>95</v>
      </c>
      <c r="F52" s="1478" t="s">
        <v>45</v>
      </c>
      <c r="G52" s="1478" t="s">
        <v>45</v>
      </c>
      <c r="H52" s="1474" t="s">
        <v>1660</v>
      </c>
      <c r="I52" s="1478" t="s">
        <v>817</v>
      </c>
      <c r="J52" s="1478"/>
      <c r="K52" s="1475" t="s">
        <v>846</v>
      </c>
      <c r="L52" s="1474" t="s">
        <v>332</v>
      </c>
      <c r="M52" s="1476" t="s">
        <v>842</v>
      </c>
      <c r="N52" s="1477" t="s">
        <v>1692</v>
      </c>
      <c r="O52" s="1479">
        <v>6972</v>
      </c>
      <c r="P52" s="1479"/>
      <c r="Q52" s="1142">
        <f t="shared" si="5"/>
        <v>6972</v>
      </c>
      <c r="R52" s="1143">
        <f>IFERROR(VLOOKUP(CONCATENATE(E52,G52),'LAC 103'!$A$12:$O$95,11,FALSE),0)</f>
        <v>2.483156209074918</v>
      </c>
      <c r="S52" s="1144">
        <f>IFERROR(VLOOKUP(CONCATENATE($E52,$G52),'LAC 103'!$A$12:$O$95,12,FALSE),0)</f>
        <v>3.07</v>
      </c>
      <c r="T52" s="1144">
        <f>IFERROR(VLOOKUP(CONCATENATE($E52,$G52),'LAC 103'!$A$12:$O$95,13,FALSE),0)</f>
        <v>1.92</v>
      </c>
      <c r="U52" s="1144">
        <f>IFERROR(VLOOKUP(CONCATENATE($E52,$G52),'LAC 103'!$A$12:$O$95,14,FALSE),0)</f>
        <v>0</v>
      </c>
      <c r="V52" s="1144">
        <f>IFERROR(VLOOKUP(CONCATENATE($E52,$G52),'LAC 103'!$A$12:$O$95,15,FALSE),0)</f>
        <v>0</v>
      </c>
      <c r="W52" s="1145" t="str">
        <f>IFERROR(VLOOKUP(CONCATENATE($B52,$N52),'LAC 103'!$AI:$AQ,9,FALSE),"")</f>
        <v>Costs</v>
      </c>
      <c r="X52" s="1146">
        <f t="shared" si="6"/>
        <v>2.483156209074918</v>
      </c>
      <c r="Y52" s="1143">
        <f t="shared" si="7"/>
        <v>17312.565089670326</v>
      </c>
      <c r="Z52" s="1147">
        <f t="shared" si="8"/>
        <v>21404.039999999997</v>
      </c>
      <c r="AA52" s="1144">
        <f t="shared" si="9"/>
        <v>13386.24</v>
      </c>
      <c r="AB52" s="1144">
        <f t="shared" si="10"/>
        <v>0</v>
      </c>
      <c r="AC52" s="1144">
        <f t="shared" si="11"/>
        <v>0</v>
      </c>
      <c r="AD52" s="1148">
        <f t="shared" si="0"/>
        <v>17312.565089670326</v>
      </c>
      <c r="AE52" s="1487">
        <v>0</v>
      </c>
      <c r="AF52" s="1145">
        <f t="shared" si="12"/>
        <v>17312.565089670326</v>
      </c>
      <c r="AG52" s="1149">
        <f>IFERROR(VLOOKUP(CONCATENATE($L52,$N52),'Drop List'!$G$23:$K$87,2,FALSE),0)</f>
        <v>0</v>
      </c>
      <c r="AH52" s="1150">
        <f>IFERROR(VLOOKUP(CONCATENATE($L52,$N52),'Drop List'!$G$23:$K$87,3,FALSE),0)</f>
        <v>0</v>
      </c>
      <c r="AI52" s="1150">
        <f>IFERROR(VLOOKUP(CONCATENATE($L52,$N52),'Drop List'!$G$23:$K$87,4,FALSE),0)</f>
        <v>0</v>
      </c>
      <c r="AJ52" s="1151">
        <f>IFERROR(VLOOKUP(CONCATENATE($L52,$N52),'Drop List'!$G$23:$K$87,5,FALSE),0)</f>
        <v>0</v>
      </c>
      <c r="AK52" s="1152">
        <f t="shared" si="13"/>
        <v>0</v>
      </c>
      <c r="AL52" s="1153">
        <f t="shared" si="14"/>
        <v>0</v>
      </c>
      <c r="AM52" s="1153">
        <f t="shared" si="15"/>
        <v>0</v>
      </c>
      <c r="AN52" s="1145">
        <f t="shared" si="16"/>
        <v>0</v>
      </c>
      <c r="AO52" s="1154">
        <f t="shared" si="17"/>
        <v>0</v>
      </c>
      <c r="AP52" s="1147">
        <f t="shared" si="1"/>
        <v>17312.565089670326</v>
      </c>
      <c r="AQ52" s="1144">
        <f t="shared" si="2"/>
        <v>0</v>
      </c>
      <c r="AR52" s="1146">
        <f t="shared" si="3"/>
        <v>17312.565089670326</v>
      </c>
    </row>
    <row r="53" spans="1:44" x14ac:dyDescent="0.2">
      <c r="A53" s="1141" t="str">
        <f t="shared" si="4"/>
        <v>1505</v>
      </c>
      <c r="B53" s="1141" t="str">
        <f>IFERROR(VLOOKUP(A53,'LAC 103'!A:C,3,FALSE),"")</f>
        <v>OP</v>
      </c>
      <c r="C53" s="1478" t="str">
        <f>Info!$B$8</f>
        <v>00100</v>
      </c>
      <c r="D53" s="1474" t="s">
        <v>1100</v>
      </c>
      <c r="E53" s="1474" t="s">
        <v>95</v>
      </c>
      <c r="F53" s="1478" t="s">
        <v>45</v>
      </c>
      <c r="G53" s="1478" t="s">
        <v>45</v>
      </c>
      <c r="H53" s="1474" t="s">
        <v>1660</v>
      </c>
      <c r="I53" s="1478" t="s">
        <v>817</v>
      </c>
      <c r="J53" s="1478"/>
      <c r="K53" s="1475" t="s">
        <v>846</v>
      </c>
      <c r="L53" s="1474" t="s">
        <v>332</v>
      </c>
      <c r="M53" s="1476" t="s">
        <v>1698</v>
      </c>
      <c r="N53" s="1477" t="s">
        <v>1693</v>
      </c>
      <c r="O53" s="1479">
        <v>4434</v>
      </c>
      <c r="P53" s="1479"/>
      <c r="Q53" s="1142">
        <f t="shared" si="5"/>
        <v>4434</v>
      </c>
      <c r="R53" s="1143">
        <f>IFERROR(VLOOKUP(CONCATENATE(E53,G53),'LAC 103'!$A$12:$O$95,11,FALSE),0)</f>
        <v>2.483156209074918</v>
      </c>
      <c r="S53" s="1144">
        <f>IFERROR(VLOOKUP(CONCATENATE($E53,$G53),'LAC 103'!$A$12:$O$95,12,FALSE),0)</f>
        <v>3.07</v>
      </c>
      <c r="T53" s="1144">
        <f>IFERROR(VLOOKUP(CONCATENATE($E53,$G53),'LAC 103'!$A$12:$O$95,13,FALSE),0)</f>
        <v>1.92</v>
      </c>
      <c r="U53" s="1144">
        <f>IFERROR(VLOOKUP(CONCATENATE($E53,$G53),'LAC 103'!$A$12:$O$95,14,FALSE),0)</f>
        <v>0</v>
      </c>
      <c r="V53" s="1144">
        <f>IFERROR(VLOOKUP(CONCATENATE($E53,$G53),'LAC 103'!$A$12:$O$95,15,FALSE),0)</f>
        <v>0</v>
      </c>
      <c r="W53" s="1145" t="str">
        <f>IFERROR(VLOOKUP(CONCATENATE($B53,$N53),'LAC 103'!$AI:$AQ,9,FALSE),"")</f>
        <v>Costs</v>
      </c>
      <c r="X53" s="1146">
        <f t="shared" si="6"/>
        <v>2.483156209074918</v>
      </c>
      <c r="Y53" s="1143">
        <f t="shared" si="7"/>
        <v>11010.314631038187</v>
      </c>
      <c r="Z53" s="1147">
        <f t="shared" si="8"/>
        <v>13612.38</v>
      </c>
      <c r="AA53" s="1144">
        <f t="shared" si="9"/>
        <v>8513.2799999999988</v>
      </c>
      <c r="AB53" s="1144">
        <f t="shared" si="10"/>
        <v>0</v>
      </c>
      <c r="AC53" s="1144">
        <f t="shared" si="11"/>
        <v>0</v>
      </c>
      <c r="AD53" s="1148">
        <f t="shared" si="0"/>
        <v>11010.314631038187</v>
      </c>
      <c r="AE53" s="1487">
        <v>0</v>
      </c>
      <c r="AF53" s="1145">
        <f t="shared" si="12"/>
        <v>11010.314631038187</v>
      </c>
      <c r="AG53" s="1149">
        <f>IFERROR(VLOOKUP(CONCATENATE($L53,$N53),'Drop List'!$G$23:$K$87,2,FALSE),0)</f>
        <v>0</v>
      </c>
      <c r="AH53" s="1150">
        <f>IFERROR(VLOOKUP(CONCATENATE($L53,$N53),'Drop List'!$G$23:$K$87,3,FALSE),0)</f>
        <v>0</v>
      </c>
      <c r="AI53" s="1150">
        <f>IFERROR(VLOOKUP(CONCATENATE($L53,$N53),'Drop List'!$G$23:$K$87,4,FALSE),0)</f>
        <v>0</v>
      </c>
      <c r="AJ53" s="1151">
        <f>IFERROR(VLOOKUP(CONCATENATE($L53,$N53),'Drop List'!$G$23:$K$87,5,FALSE),0)</f>
        <v>0</v>
      </c>
      <c r="AK53" s="1152">
        <f t="shared" si="13"/>
        <v>0</v>
      </c>
      <c r="AL53" s="1153">
        <f t="shared" si="14"/>
        <v>0</v>
      </c>
      <c r="AM53" s="1153">
        <f t="shared" si="15"/>
        <v>0</v>
      </c>
      <c r="AN53" s="1145">
        <f t="shared" si="16"/>
        <v>0</v>
      </c>
      <c r="AO53" s="1154">
        <f t="shared" si="17"/>
        <v>0</v>
      </c>
      <c r="AP53" s="1147">
        <f t="shared" si="1"/>
        <v>11010.314631038187</v>
      </c>
      <c r="AQ53" s="1144">
        <f t="shared" si="2"/>
        <v>0</v>
      </c>
      <c r="AR53" s="1146">
        <f t="shared" si="3"/>
        <v>11010.314631038187</v>
      </c>
    </row>
    <row r="54" spans="1:44" x14ac:dyDescent="0.2">
      <c r="A54" s="1141" t="str">
        <f t="shared" si="4"/>
        <v>1510</v>
      </c>
      <c r="B54" s="1141" t="str">
        <f>IFERROR(VLOOKUP(A54,'LAC 103'!A:C,3,FALSE),"")</f>
        <v>OP</v>
      </c>
      <c r="C54" s="1478" t="str">
        <f>Info!$B$8</f>
        <v>00100</v>
      </c>
      <c r="D54" s="1474" t="s">
        <v>1100</v>
      </c>
      <c r="E54" s="1474" t="s">
        <v>95</v>
      </c>
      <c r="F54" s="1478" t="s">
        <v>77</v>
      </c>
      <c r="G54" s="1478" t="s">
        <v>77</v>
      </c>
      <c r="H54" s="1474" t="s">
        <v>1009</v>
      </c>
      <c r="I54" s="1478" t="s">
        <v>826</v>
      </c>
      <c r="J54" s="1478" t="s">
        <v>123</v>
      </c>
      <c r="K54" s="1475" t="s">
        <v>849</v>
      </c>
      <c r="L54" s="1474" t="s">
        <v>77</v>
      </c>
      <c r="M54" s="1476" t="s">
        <v>1699</v>
      </c>
      <c r="N54" s="1477" t="s">
        <v>1694</v>
      </c>
      <c r="O54" s="1479">
        <v>189</v>
      </c>
      <c r="P54" s="1479"/>
      <c r="Q54" s="1142">
        <f t="shared" si="5"/>
        <v>189</v>
      </c>
      <c r="R54" s="1143">
        <f>IFERROR(VLOOKUP(CONCATENATE(E54,G54),'LAC 103'!$A$12:$O$95,11,FALSE),0)</f>
        <v>3.2074101033884355</v>
      </c>
      <c r="S54" s="1144">
        <f>IFERROR(VLOOKUP(CONCATENATE($E54,$G54),'LAC 103'!$A$12:$O$95,12,FALSE),0)</f>
        <v>3.99</v>
      </c>
      <c r="T54" s="1144">
        <f>IFERROR(VLOOKUP(CONCATENATE($E54,$G54),'LAC 103'!$A$12:$O$95,13,FALSE),0)</f>
        <v>2.48</v>
      </c>
      <c r="U54" s="1144">
        <f>IFERROR(VLOOKUP(CONCATENATE($E54,$G54),'LAC 103'!$A$12:$O$95,14,FALSE),0)</f>
        <v>0</v>
      </c>
      <c r="V54" s="1144">
        <f>IFERROR(VLOOKUP(CONCATENATE($E54,$G54),'LAC 103'!$A$12:$O$95,15,FALSE),0)</f>
        <v>0</v>
      </c>
      <c r="W54" s="1145" t="str">
        <f>IFERROR(VLOOKUP(CONCATENATE($B54,$N54),'LAC 103'!$AI:$AQ,9,FALSE),"")</f>
        <v>Costs</v>
      </c>
      <c r="X54" s="1146">
        <f t="shared" si="6"/>
        <v>3.2074101033884355</v>
      </c>
      <c r="Y54" s="1143">
        <f t="shared" si="7"/>
        <v>606.20050954041426</v>
      </c>
      <c r="Z54" s="1147">
        <f t="shared" si="8"/>
        <v>754.11</v>
      </c>
      <c r="AA54" s="1144">
        <f t="shared" si="9"/>
        <v>468.71999999999997</v>
      </c>
      <c r="AB54" s="1144">
        <f t="shared" si="10"/>
        <v>0</v>
      </c>
      <c r="AC54" s="1144">
        <f t="shared" si="11"/>
        <v>0</v>
      </c>
      <c r="AD54" s="1148">
        <f t="shared" si="0"/>
        <v>606.20050954041426</v>
      </c>
      <c r="AE54" s="1487">
        <v>0</v>
      </c>
      <c r="AF54" s="1145">
        <f t="shared" si="12"/>
        <v>606.20050954041426</v>
      </c>
      <c r="AG54" s="1149">
        <f>IFERROR(VLOOKUP(CONCATENATE($L54,$N54),'Drop List'!$G$23:$K$87,2,FALSE),0)</f>
        <v>0.9</v>
      </c>
      <c r="AH54" s="1150">
        <f>IFERROR(VLOOKUP(CONCATENATE($L54,$N54),'Drop List'!$G$23:$K$87,3,FALSE),0)</f>
        <v>0</v>
      </c>
      <c r="AI54" s="1150">
        <f>IFERROR(VLOOKUP(CONCATENATE($L54,$N54),'Drop List'!$G$23:$K$87,4,FALSE),0)</f>
        <v>0.1</v>
      </c>
      <c r="AJ54" s="1151">
        <f>IFERROR(VLOOKUP(CONCATENATE($L54,$N54),'Drop List'!$G$23:$K$87,5,FALSE),0)</f>
        <v>0</v>
      </c>
      <c r="AK54" s="1152">
        <f t="shared" si="13"/>
        <v>545.58045858637286</v>
      </c>
      <c r="AL54" s="1153">
        <f t="shared" si="14"/>
        <v>0</v>
      </c>
      <c r="AM54" s="1153">
        <f t="shared" si="15"/>
        <v>60.620050954041432</v>
      </c>
      <c r="AN54" s="1145">
        <f t="shared" si="16"/>
        <v>0</v>
      </c>
      <c r="AO54" s="1154">
        <f t="shared" si="17"/>
        <v>606.20050954041426</v>
      </c>
      <c r="AP54" s="1147">
        <f t="shared" si="1"/>
        <v>0</v>
      </c>
      <c r="AQ54" s="1144">
        <f t="shared" si="2"/>
        <v>0</v>
      </c>
      <c r="AR54" s="1146">
        <f t="shared" si="3"/>
        <v>606.20050954041426</v>
      </c>
    </row>
    <row r="55" spans="1:44" x14ac:dyDescent="0.2">
      <c r="A55" s="1141" t="str">
        <f t="shared" si="4"/>
        <v>1510</v>
      </c>
      <c r="B55" s="1141" t="str">
        <f>IFERROR(VLOOKUP(A55,'LAC 103'!A:C,3,FALSE),"")</f>
        <v>OP</v>
      </c>
      <c r="C55" s="1478" t="str">
        <f>Info!$B$8</f>
        <v>00100</v>
      </c>
      <c r="D55" s="1474" t="s">
        <v>1100</v>
      </c>
      <c r="E55" s="1474" t="s">
        <v>95</v>
      </c>
      <c r="F55" s="1478" t="s">
        <v>77</v>
      </c>
      <c r="G55" s="1478" t="s">
        <v>77</v>
      </c>
      <c r="H55" s="1474" t="s">
        <v>1009</v>
      </c>
      <c r="I55" s="1478" t="s">
        <v>826</v>
      </c>
      <c r="J55" s="1478"/>
      <c r="K55" s="1475" t="s">
        <v>849</v>
      </c>
      <c r="L55" s="1474" t="s">
        <v>77</v>
      </c>
      <c r="M55" s="1476" t="s">
        <v>842</v>
      </c>
      <c r="N55" s="1477" t="s">
        <v>1692</v>
      </c>
      <c r="O55" s="1479">
        <v>417</v>
      </c>
      <c r="P55" s="1479"/>
      <c r="Q55" s="1142">
        <f t="shared" si="5"/>
        <v>417</v>
      </c>
      <c r="R55" s="1143">
        <f>IFERROR(VLOOKUP(CONCATENATE(E55,G55),'LAC 103'!$A$12:$O$95,11,FALSE),0)</f>
        <v>3.2074101033884355</v>
      </c>
      <c r="S55" s="1144">
        <f>IFERROR(VLOOKUP(CONCATENATE($E55,$G55),'LAC 103'!$A$12:$O$95,12,FALSE),0)</f>
        <v>3.99</v>
      </c>
      <c r="T55" s="1144">
        <f>IFERROR(VLOOKUP(CONCATENATE($E55,$G55),'LAC 103'!$A$12:$O$95,13,FALSE),0)</f>
        <v>2.48</v>
      </c>
      <c r="U55" s="1144">
        <f>IFERROR(VLOOKUP(CONCATENATE($E55,$G55),'LAC 103'!$A$12:$O$95,14,FALSE),0)</f>
        <v>0</v>
      </c>
      <c r="V55" s="1144">
        <f>IFERROR(VLOOKUP(CONCATENATE($E55,$G55),'LAC 103'!$A$12:$O$95,15,FALSE),0)</f>
        <v>0</v>
      </c>
      <c r="W55" s="1145" t="str">
        <f>IFERROR(VLOOKUP(CONCATENATE($B55,$N55),'LAC 103'!$AI:$AQ,9,FALSE),"")</f>
        <v>Costs</v>
      </c>
      <c r="X55" s="1146">
        <f t="shared" si="6"/>
        <v>3.2074101033884355</v>
      </c>
      <c r="Y55" s="1143">
        <f t="shared" si="7"/>
        <v>1337.4900131129775</v>
      </c>
      <c r="Z55" s="1147">
        <f t="shared" si="8"/>
        <v>1663.8300000000002</v>
      </c>
      <c r="AA55" s="1144">
        <f t="shared" si="9"/>
        <v>1034.1600000000001</v>
      </c>
      <c r="AB55" s="1144">
        <f t="shared" si="10"/>
        <v>0</v>
      </c>
      <c r="AC55" s="1144">
        <f t="shared" si="11"/>
        <v>0</v>
      </c>
      <c r="AD55" s="1148">
        <f t="shared" si="0"/>
        <v>1337.4900131129775</v>
      </c>
      <c r="AE55" s="1487">
        <v>0</v>
      </c>
      <c r="AF55" s="1145">
        <f t="shared" si="12"/>
        <v>1337.4900131129775</v>
      </c>
      <c r="AG55" s="1149">
        <f>IFERROR(VLOOKUP(CONCATENATE($L55,$N55),'Drop List'!$G$23:$K$87,2,FALSE),0)</f>
        <v>0.9</v>
      </c>
      <c r="AH55" s="1150">
        <f>IFERROR(VLOOKUP(CONCATENATE($L55,$N55),'Drop List'!$G$23:$K$87,3,FALSE),0)</f>
        <v>0</v>
      </c>
      <c r="AI55" s="1150">
        <f>IFERROR(VLOOKUP(CONCATENATE($L55,$N55),'Drop List'!$G$23:$K$87,4,FALSE),0)</f>
        <v>0.1</v>
      </c>
      <c r="AJ55" s="1151">
        <f>IFERROR(VLOOKUP(CONCATENATE($L55,$N55),'Drop List'!$G$23:$K$87,5,FALSE),0)</f>
        <v>0</v>
      </c>
      <c r="AK55" s="1152">
        <f t="shared" si="13"/>
        <v>1203.7410118016799</v>
      </c>
      <c r="AL55" s="1153">
        <f t="shared" si="14"/>
        <v>0</v>
      </c>
      <c r="AM55" s="1153">
        <f t="shared" si="15"/>
        <v>133.74900131129775</v>
      </c>
      <c r="AN55" s="1145">
        <f t="shared" si="16"/>
        <v>0</v>
      </c>
      <c r="AO55" s="1154">
        <f t="shared" si="17"/>
        <v>1337.4900131129775</v>
      </c>
      <c r="AP55" s="1147">
        <f t="shared" si="1"/>
        <v>0</v>
      </c>
      <c r="AQ55" s="1144">
        <f t="shared" si="2"/>
        <v>0</v>
      </c>
      <c r="AR55" s="1146">
        <f t="shared" si="3"/>
        <v>1337.4900131129775</v>
      </c>
    </row>
    <row r="56" spans="1:44" x14ac:dyDescent="0.2">
      <c r="A56" s="1141" t="str">
        <f t="shared" si="4"/>
        <v>1510</v>
      </c>
      <c r="B56" s="1141" t="str">
        <f>IFERROR(VLOOKUP(A56,'LAC 103'!A:C,3,FALSE),"")</f>
        <v>OP</v>
      </c>
      <c r="C56" s="1478" t="str">
        <f>Info!$B$8</f>
        <v>00100</v>
      </c>
      <c r="D56" s="1474" t="s">
        <v>1100</v>
      </c>
      <c r="E56" s="1474" t="s">
        <v>95</v>
      </c>
      <c r="F56" s="1478" t="s">
        <v>77</v>
      </c>
      <c r="G56" s="1478" t="s">
        <v>77</v>
      </c>
      <c r="H56" s="1474" t="s">
        <v>1009</v>
      </c>
      <c r="I56" s="1478" t="s">
        <v>826</v>
      </c>
      <c r="J56" s="1478"/>
      <c r="K56" s="1475" t="s">
        <v>849</v>
      </c>
      <c r="L56" s="1474" t="s">
        <v>77</v>
      </c>
      <c r="M56" s="1476" t="s">
        <v>1698</v>
      </c>
      <c r="N56" s="1477" t="s">
        <v>1693</v>
      </c>
      <c r="O56" s="1479">
        <v>71</v>
      </c>
      <c r="P56" s="1479"/>
      <c r="Q56" s="1142">
        <f t="shared" si="5"/>
        <v>71</v>
      </c>
      <c r="R56" s="1143">
        <f>IFERROR(VLOOKUP(CONCATENATE(E56,G56),'LAC 103'!$A$12:$O$95,11,FALSE),0)</f>
        <v>3.2074101033884355</v>
      </c>
      <c r="S56" s="1144">
        <f>IFERROR(VLOOKUP(CONCATENATE($E56,$G56),'LAC 103'!$A$12:$O$95,12,FALSE),0)</f>
        <v>3.99</v>
      </c>
      <c r="T56" s="1144">
        <f>IFERROR(VLOOKUP(CONCATENATE($E56,$G56),'LAC 103'!$A$12:$O$95,13,FALSE),0)</f>
        <v>2.48</v>
      </c>
      <c r="U56" s="1144">
        <f>IFERROR(VLOOKUP(CONCATENATE($E56,$G56),'LAC 103'!$A$12:$O$95,14,FALSE),0)</f>
        <v>0</v>
      </c>
      <c r="V56" s="1144">
        <f>IFERROR(VLOOKUP(CONCATENATE($E56,$G56),'LAC 103'!$A$12:$O$95,15,FALSE),0)</f>
        <v>0</v>
      </c>
      <c r="W56" s="1145" t="str">
        <f>IFERROR(VLOOKUP(CONCATENATE($B56,$N56),'LAC 103'!$AI:$AQ,9,FALSE),"")</f>
        <v>Costs</v>
      </c>
      <c r="X56" s="1146">
        <f t="shared" si="6"/>
        <v>3.2074101033884355</v>
      </c>
      <c r="Y56" s="1143">
        <f t="shared" si="7"/>
        <v>227.72611734057892</v>
      </c>
      <c r="Z56" s="1147">
        <f t="shared" si="8"/>
        <v>283.29000000000002</v>
      </c>
      <c r="AA56" s="1144">
        <f t="shared" si="9"/>
        <v>176.08</v>
      </c>
      <c r="AB56" s="1144">
        <f t="shared" si="10"/>
        <v>0</v>
      </c>
      <c r="AC56" s="1144">
        <f t="shared" si="11"/>
        <v>0</v>
      </c>
      <c r="AD56" s="1148">
        <f t="shared" si="0"/>
        <v>227.72611734057892</v>
      </c>
      <c r="AE56" s="1487">
        <v>0</v>
      </c>
      <c r="AF56" s="1145">
        <f t="shared" si="12"/>
        <v>227.72611734057892</v>
      </c>
      <c r="AG56" s="1149">
        <f>IFERROR(VLOOKUP(CONCATENATE($L56,$N56),'Drop List'!$G$23:$K$87,2,FALSE),0)</f>
        <v>0.9</v>
      </c>
      <c r="AH56" s="1150">
        <f>IFERROR(VLOOKUP(CONCATENATE($L56,$N56),'Drop List'!$G$23:$K$87,3,FALSE),0)</f>
        <v>0</v>
      </c>
      <c r="AI56" s="1150">
        <f>IFERROR(VLOOKUP(CONCATENATE($L56,$N56),'Drop List'!$G$23:$K$87,4,FALSE),0)</f>
        <v>0.1</v>
      </c>
      <c r="AJ56" s="1151">
        <f>IFERROR(VLOOKUP(CONCATENATE($L56,$N56),'Drop List'!$G$23:$K$87,5,FALSE),0)</f>
        <v>0</v>
      </c>
      <c r="AK56" s="1152">
        <f t="shared" si="13"/>
        <v>204.95350560652105</v>
      </c>
      <c r="AL56" s="1153">
        <f t="shared" si="14"/>
        <v>0</v>
      </c>
      <c r="AM56" s="1153">
        <f t="shared" si="15"/>
        <v>22.772611734057893</v>
      </c>
      <c r="AN56" s="1145">
        <f t="shared" si="16"/>
        <v>0</v>
      </c>
      <c r="AO56" s="1154">
        <f t="shared" si="17"/>
        <v>227.72611734057895</v>
      </c>
      <c r="AP56" s="1147">
        <f t="shared" si="1"/>
        <v>0</v>
      </c>
      <c r="AQ56" s="1144">
        <f t="shared" si="2"/>
        <v>0</v>
      </c>
      <c r="AR56" s="1146">
        <f t="shared" si="3"/>
        <v>227.72611734057895</v>
      </c>
    </row>
    <row r="57" spans="1:44" x14ac:dyDescent="0.2">
      <c r="A57" s="1141" t="str">
        <f t="shared" si="4"/>
        <v>1510</v>
      </c>
      <c r="B57" s="1141" t="str">
        <f>IFERROR(VLOOKUP(A57,'LAC 103'!A:C,3,FALSE),"")</f>
        <v>OP</v>
      </c>
      <c r="C57" s="1478" t="str">
        <f>Info!$B$8</f>
        <v>00100</v>
      </c>
      <c r="D57" s="1474" t="s">
        <v>1100</v>
      </c>
      <c r="E57" s="1474" t="s">
        <v>95</v>
      </c>
      <c r="F57" s="1478" t="s">
        <v>77</v>
      </c>
      <c r="G57" s="1478" t="s">
        <v>77</v>
      </c>
      <c r="H57" s="1474" t="s">
        <v>1009</v>
      </c>
      <c r="I57" s="1478" t="s">
        <v>826</v>
      </c>
      <c r="J57" s="1478"/>
      <c r="K57" s="1475" t="s">
        <v>971</v>
      </c>
      <c r="L57" s="1474" t="s">
        <v>332</v>
      </c>
      <c r="M57" s="1476" t="s">
        <v>842</v>
      </c>
      <c r="N57" s="1477" t="s">
        <v>1692</v>
      </c>
      <c r="O57" s="1479">
        <v>58</v>
      </c>
      <c r="P57" s="1479"/>
      <c r="Q57" s="1142">
        <f t="shared" si="5"/>
        <v>58</v>
      </c>
      <c r="R57" s="1143">
        <f>IFERROR(VLOOKUP(CONCATENATE(E57,G57),'LAC 103'!$A$12:$O$95,11,FALSE),0)</f>
        <v>3.2074101033884355</v>
      </c>
      <c r="S57" s="1144">
        <f>IFERROR(VLOOKUP(CONCATENATE($E57,$G57),'LAC 103'!$A$12:$O$95,12,FALSE),0)</f>
        <v>3.99</v>
      </c>
      <c r="T57" s="1144">
        <f>IFERROR(VLOOKUP(CONCATENATE($E57,$G57),'LAC 103'!$A$12:$O$95,13,FALSE),0)</f>
        <v>2.48</v>
      </c>
      <c r="U57" s="1144">
        <f>IFERROR(VLOOKUP(CONCATENATE($E57,$G57),'LAC 103'!$A$12:$O$95,14,FALSE),0)</f>
        <v>0</v>
      </c>
      <c r="V57" s="1144">
        <f>IFERROR(VLOOKUP(CONCATENATE($E57,$G57),'LAC 103'!$A$12:$O$95,15,FALSE),0)</f>
        <v>0</v>
      </c>
      <c r="W57" s="1145" t="str">
        <f>IFERROR(VLOOKUP(CONCATENATE($B57,$N57),'LAC 103'!$AI:$AQ,9,FALSE),"")</f>
        <v>Costs</v>
      </c>
      <c r="X57" s="1146">
        <f t="shared" si="6"/>
        <v>3.2074101033884355</v>
      </c>
      <c r="Y57" s="1143">
        <f t="shared" si="7"/>
        <v>186.02978599652926</v>
      </c>
      <c r="Z57" s="1147">
        <f t="shared" si="8"/>
        <v>231.42000000000002</v>
      </c>
      <c r="AA57" s="1144">
        <f t="shared" si="9"/>
        <v>143.84</v>
      </c>
      <c r="AB57" s="1144">
        <f t="shared" si="10"/>
        <v>0</v>
      </c>
      <c r="AC57" s="1144">
        <f t="shared" si="11"/>
        <v>0</v>
      </c>
      <c r="AD57" s="1148">
        <f t="shared" si="0"/>
        <v>186.02978599652926</v>
      </c>
      <c r="AE57" s="1487">
        <v>0</v>
      </c>
      <c r="AF57" s="1145">
        <f t="shared" si="12"/>
        <v>186.02978599652926</v>
      </c>
      <c r="AG57" s="1149">
        <f>IFERROR(VLOOKUP(CONCATENATE($L57,$N57),'Drop List'!$G$23:$K$87,2,FALSE),0)</f>
        <v>0</v>
      </c>
      <c r="AH57" s="1150">
        <f>IFERROR(VLOOKUP(CONCATENATE($L57,$N57),'Drop List'!$G$23:$K$87,3,FALSE),0)</f>
        <v>0</v>
      </c>
      <c r="AI57" s="1150">
        <f>IFERROR(VLOOKUP(CONCATENATE($L57,$N57),'Drop List'!$G$23:$K$87,4,FALSE),0)</f>
        <v>0</v>
      </c>
      <c r="AJ57" s="1151">
        <f>IFERROR(VLOOKUP(CONCATENATE($L57,$N57),'Drop List'!$G$23:$K$87,5,FALSE),0)</f>
        <v>0</v>
      </c>
      <c r="AK57" s="1152">
        <f t="shared" si="13"/>
        <v>0</v>
      </c>
      <c r="AL57" s="1153">
        <f t="shared" si="14"/>
        <v>0</v>
      </c>
      <c r="AM57" s="1153">
        <f t="shared" si="15"/>
        <v>0</v>
      </c>
      <c r="AN57" s="1145">
        <f t="shared" si="16"/>
        <v>0</v>
      </c>
      <c r="AO57" s="1154">
        <f t="shared" si="17"/>
        <v>0</v>
      </c>
      <c r="AP57" s="1147">
        <f t="shared" si="1"/>
        <v>186.02978599652926</v>
      </c>
      <c r="AQ57" s="1144">
        <f t="shared" si="2"/>
        <v>0</v>
      </c>
      <c r="AR57" s="1146">
        <f t="shared" si="3"/>
        <v>186.02978599652926</v>
      </c>
    </row>
    <row r="58" spans="1:44" x14ac:dyDescent="0.2">
      <c r="A58" s="1141" t="str">
        <f t="shared" si="4"/>
        <v>1510</v>
      </c>
      <c r="B58" s="1141" t="str">
        <f>IFERROR(VLOOKUP(A58,'LAC 103'!A:C,3,FALSE),"")</f>
        <v>OP</v>
      </c>
      <c r="C58" s="1478" t="str">
        <f>Info!$B$8</f>
        <v>00100</v>
      </c>
      <c r="D58" s="1474" t="s">
        <v>1100</v>
      </c>
      <c r="E58" s="1474" t="s">
        <v>95</v>
      </c>
      <c r="F58" s="1478" t="s">
        <v>77</v>
      </c>
      <c r="G58" s="1478" t="s">
        <v>77</v>
      </c>
      <c r="H58" s="1474" t="s">
        <v>1009</v>
      </c>
      <c r="I58" s="1478" t="s">
        <v>826</v>
      </c>
      <c r="J58" s="1478"/>
      <c r="K58" s="1475" t="s">
        <v>850</v>
      </c>
      <c r="L58" s="1474" t="s">
        <v>330</v>
      </c>
      <c r="M58" s="1476" t="s">
        <v>1699</v>
      </c>
      <c r="N58" s="1477" t="s">
        <v>1694</v>
      </c>
      <c r="O58" s="1479">
        <v>48</v>
      </c>
      <c r="P58" s="1479"/>
      <c r="Q58" s="1142">
        <f t="shared" si="5"/>
        <v>48</v>
      </c>
      <c r="R58" s="1143">
        <f>IFERROR(VLOOKUP(CONCATENATE(E58,G58),'LAC 103'!$A$12:$O$95,11,FALSE),0)</f>
        <v>3.2074101033884355</v>
      </c>
      <c r="S58" s="1144">
        <f>IFERROR(VLOOKUP(CONCATENATE($E58,$G58),'LAC 103'!$A$12:$O$95,12,FALSE),0)</f>
        <v>3.99</v>
      </c>
      <c r="T58" s="1144">
        <f>IFERROR(VLOOKUP(CONCATENATE($E58,$G58),'LAC 103'!$A$12:$O$95,13,FALSE),0)</f>
        <v>2.48</v>
      </c>
      <c r="U58" s="1144">
        <f>IFERROR(VLOOKUP(CONCATENATE($E58,$G58),'LAC 103'!$A$12:$O$95,14,FALSE),0)</f>
        <v>0</v>
      </c>
      <c r="V58" s="1144">
        <f>IFERROR(VLOOKUP(CONCATENATE($E58,$G58),'LAC 103'!$A$12:$O$95,15,FALSE),0)</f>
        <v>0</v>
      </c>
      <c r="W58" s="1145" t="str">
        <f>IFERROR(VLOOKUP(CONCATENATE($B58,$N58),'LAC 103'!$AI:$AQ,9,FALSE),"")</f>
        <v>Costs</v>
      </c>
      <c r="X58" s="1146">
        <f t="shared" si="6"/>
        <v>3.2074101033884355</v>
      </c>
      <c r="Y58" s="1143">
        <f t="shared" si="7"/>
        <v>153.95568496264491</v>
      </c>
      <c r="Z58" s="1147">
        <f t="shared" si="8"/>
        <v>191.52</v>
      </c>
      <c r="AA58" s="1144">
        <f t="shared" si="9"/>
        <v>119.03999999999999</v>
      </c>
      <c r="AB58" s="1144">
        <f t="shared" si="10"/>
        <v>0</v>
      </c>
      <c r="AC58" s="1144">
        <f t="shared" si="11"/>
        <v>0</v>
      </c>
      <c r="AD58" s="1148">
        <f t="shared" si="0"/>
        <v>153.95568496264491</v>
      </c>
      <c r="AE58" s="1487">
        <v>0</v>
      </c>
      <c r="AF58" s="1145">
        <f t="shared" si="12"/>
        <v>153.95568496264491</v>
      </c>
      <c r="AG58" s="1149">
        <f>IFERROR(VLOOKUP(CONCATENATE($L58,$N58),'Drop List'!$G$23:$K$87,2,FALSE),0)</f>
        <v>0</v>
      </c>
      <c r="AH58" s="1150">
        <f>IFERROR(VLOOKUP(CONCATENATE($L58,$N58),'Drop List'!$G$23:$K$87,3,FALSE),0)</f>
        <v>0</v>
      </c>
      <c r="AI58" s="1150">
        <f>IFERROR(VLOOKUP(CONCATENATE($L58,$N58),'Drop List'!$G$23:$K$87,4,FALSE),0)</f>
        <v>1</v>
      </c>
      <c r="AJ58" s="1151">
        <f>IFERROR(VLOOKUP(CONCATENATE($L58,$N58),'Drop List'!$G$23:$K$87,5,FALSE),0)</f>
        <v>0</v>
      </c>
      <c r="AK58" s="1152">
        <f t="shared" si="13"/>
        <v>0</v>
      </c>
      <c r="AL58" s="1153">
        <f t="shared" si="14"/>
        <v>0</v>
      </c>
      <c r="AM58" s="1153">
        <f t="shared" si="15"/>
        <v>153.95568496264491</v>
      </c>
      <c r="AN58" s="1145">
        <f t="shared" si="16"/>
        <v>0</v>
      </c>
      <c r="AO58" s="1154">
        <f t="shared" si="17"/>
        <v>153.95568496264491</v>
      </c>
      <c r="AP58" s="1147">
        <f t="shared" si="1"/>
        <v>0</v>
      </c>
      <c r="AQ58" s="1144">
        <f t="shared" si="2"/>
        <v>0</v>
      </c>
      <c r="AR58" s="1146">
        <f t="shared" si="3"/>
        <v>153.95568496264491</v>
      </c>
    </row>
    <row r="59" spans="1:44" x14ac:dyDescent="0.2">
      <c r="A59" s="1141" t="str">
        <f t="shared" si="4"/>
        <v>1510</v>
      </c>
      <c r="B59" s="1141" t="str">
        <f>IFERROR(VLOOKUP(A59,'LAC 103'!A:C,3,FALSE),"")</f>
        <v>OP</v>
      </c>
      <c r="C59" s="1478" t="str">
        <f>Info!$B$8</f>
        <v>00100</v>
      </c>
      <c r="D59" s="1474" t="s">
        <v>1100</v>
      </c>
      <c r="E59" s="1474" t="s">
        <v>95</v>
      </c>
      <c r="F59" s="1478" t="s">
        <v>77</v>
      </c>
      <c r="G59" s="1478" t="s">
        <v>77</v>
      </c>
      <c r="H59" s="1474" t="s">
        <v>1009</v>
      </c>
      <c r="I59" s="1478" t="s">
        <v>826</v>
      </c>
      <c r="J59" s="1478"/>
      <c r="K59" s="1475" t="s">
        <v>850</v>
      </c>
      <c r="L59" s="1474" t="s">
        <v>330</v>
      </c>
      <c r="M59" s="1476" t="s">
        <v>842</v>
      </c>
      <c r="N59" s="1477" t="s">
        <v>1692</v>
      </c>
      <c r="O59" s="1479">
        <v>420</v>
      </c>
      <c r="P59" s="1479"/>
      <c r="Q59" s="1142">
        <f t="shared" si="5"/>
        <v>420</v>
      </c>
      <c r="R59" s="1143">
        <f>IFERROR(VLOOKUP(CONCATENATE(E59,G59),'LAC 103'!$A$12:$O$95,11,FALSE),0)</f>
        <v>3.2074101033884355</v>
      </c>
      <c r="S59" s="1144">
        <f>IFERROR(VLOOKUP(CONCATENATE($E59,$G59),'LAC 103'!$A$12:$O$95,12,FALSE),0)</f>
        <v>3.99</v>
      </c>
      <c r="T59" s="1144">
        <f>IFERROR(VLOOKUP(CONCATENATE($E59,$G59),'LAC 103'!$A$12:$O$95,13,FALSE),0)</f>
        <v>2.48</v>
      </c>
      <c r="U59" s="1144">
        <f>IFERROR(VLOOKUP(CONCATENATE($E59,$G59),'LAC 103'!$A$12:$O$95,14,FALSE),0)</f>
        <v>0</v>
      </c>
      <c r="V59" s="1144">
        <f>IFERROR(VLOOKUP(CONCATENATE($E59,$G59),'LAC 103'!$A$12:$O$95,15,FALSE),0)</f>
        <v>0</v>
      </c>
      <c r="W59" s="1145" t="str">
        <f>IFERROR(VLOOKUP(CONCATENATE($B59,$N59),'LAC 103'!$AI:$AQ,9,FALSE),"")</f>
        <v>Costs</v>
      </c>
      <c r="X59" s="1146">
        <f t="shared" si="6"/>
        <v>3.2074101033884355</v>
      </c>
      <c r="Y59" s="1143">
        <f t="shared" si="7"/>
        <v>1347.1122434231429</v>
      </c>
      <c r="Z59" s="1147">
        <f t="shared" si="8"/>
        <v>1675.8000000000002</v>
      </c>
      <c r="AA59" s="1144">
        <f t="shared" si="9"/>
        <v>1041.5999999999999</v>
      </c>
      <c r="AB59" s="1144">
        <f t="shared" si="10"/>
        <v>0</v>
      </c>
      <c r="AC59" s="1144">
        <f t="shared" si="11"/>
        <v>0</v>
      </c>
      <c r="AD59" s="1148">
        <f t="shared" si="0"/>
        <v>1347.1122434231429</v>
      </c>
      <c r="AE59" s="1487">
        <v>0</v>
      </c>
      <c r="AF59" s="1145">
        <f t="shared" si="12"/>
        <v>1347.1122434231429</v>
      </c>
      <c r="AG59" s="1149">
        <f>IFERROR(VLOOKUP(CONCATENATE($L59,$N59),'Drop List'!$G$23:$K$87,2,FALSE),0)</f>
        <v>0</v>
      </c>
      <c r="AH59" s="1150">
        <f>IFERROR(VLOOKUP(CONCATENATE($L59,$N59),'Drop List'!$G$23:$K$87,3,FALSE),0)</f>
        <v>0</v>
      </c>
      <c r="AI59" s="1150">
        <f>IFERROR(VLOOKUP(CONCATENATE($L59,$N59),'Drop List'!$G$23:$K$87,4,FALSE),0)</f>
        <v>1</v>
      </c>
      <c r="AJ59" s="1151">
        <f>IFERROR(VLOOKUP(CONCATENATE($L59,$N59),'Drop List'!$G$23:$K$87,5,FALSE),0)</f>
        <v>0</v>
      </c>
      <c r="AK59" s="1152">
        <f t="shared" si="13"/>
        <v>0</v>
      </c>
      <c r="AL59" s="1153">
        <f t="shared" si="14"/>
        <v>0</v>
      </c>
      <c r="AM59" s="1153">
        <f t="shared" si="15"/>
        <v>1347.1122434231429</v>
      </c>
      <c r="AN59" s="1145">
        <f t="shared" si="16"/>
        <v>0</v>
      </c>
      <c r="AO59" s="1154">
        <f t="shared" si="17"/>
        <v>1347.1122434231429</v>
      </c>
      <c r="AP59" s="1147">
        <f t="shared" si="1"/>
        <v>0</v>
      </c>
      <c r="AQ59" s="1144">
        <f t="shared" si="2"/>
        <v>0</v>
      </c>
      <c r="AR59" s="1146">
        <f t="shared" si="3"/>
        <v>1347.1122434231429</v>
      </c>
    </row>
    <row r="60" spans="1:44" x14ac:dyDescent="0.2">
      <c r="A60" s="1141" t="str">
        <f t="shared" si="4"/>
        <v>1510</v>
      </c>
      <c r="B60" s="1141" t="str">
        <f>IFERROR(VLOOKUP(A60,'LAC 103'!A:C,3,FALSE),"")</f>
        <v>OP</v>
      </c>
      <c r="C60" s="1478" t="str">
        <f>Info!$B$8</f>
        <v>00100</v>
      </c>
      <c r="D60" s="1474" t="s">
        <v>1100</v>
      </c>
      <c r="E60" s="1474" t="s">
        <v>95</v>
      </c>
      <c r="F60" s="1478" t="s">
        <v>77</v>
      </c>
      <c r="G60" s="1478" t="s">
        <v>77</v>
      </c>
      <c r="H60" s="1474" t="s">
        <v>1009</v>
      </c>
      <c r="I60" s="1478" t="s">
        <v>826</v>
      </c>
      <c r="J60" s="1478"/>
      <c r="K60" s="1475" t="s">
        <v>850</v>
      </c>
      <c r="L60" s="1474" t="s">
        <v>330</v>
      </c>
      <c r="M60" s="1476" t="s">
        <v>1698</v>
      </c>
      <c r="N60" s="1477" t="s">
        <v>1693</v>
      </c>
      <c r="O60" s="1479">
        <v>262</v>
      </c>
      <c r="P60" s="1479"/>
      <c r="Q60" s="1142">
        <f t="shared" si="5"/>
        <v>262</v>
      </c>
      <c r="R60" s="1143">
        <f>IFERROR(VLOOKUP(CONCATENATE(E60,G60),'LAC 103'!$A$12:$O$95,11,FALSE),0)</f>
        <v>3.2074101033884355</v>
      </c>
      <c r="S60" s="1144">
        <f>IFERROR(VLOOKUP(CONCATENATE($E60,$G60),'LAC 103'!$A$12:$O$95,12,FALSE),0)</f>
        <v>3.99</v>
      </c>
      <c r="T60" s="1144">
        <f>IFERROR(VLOOKUP(CONCATENATE($E60,$G60),'LAC 103'!$A$12:$O$95,13,FALSE),0)</f>
        <v>2.48</v>
      </c>
      <c r="U60" s="1144">
        <f>IFERROR(VLOOKUP(CONCATENATE($E60,$G60),'LAC 103'!$A$12:$O$95,14,FALSE),0)</f>
        <v>0</v>
      </c>
      <c r="V60" s="1144">
        <f>IFERROR(VLOOKUP(CONCATENATE($E60,$G60),'LAC 103'!$A$12:$O$95,15,FALSE),0)</f>
        <v>0</v>
      </c>
      <c r="W60" s="1145" t="str">
        <f>IFERROR(VLOOKUP(CONCATENATE($B60,$N60),'LAC 103'!$AI:$AQ,9,FALSE),"")</f>
        <v>Costs</v>
      </c>
      <c r="X60" s="1146">
        <f t="shared" si="6"/>
        <v>3.2074101033884355</v>
      </c>
      <c r="Y60" s="1143">
        <f t="shared" si="7"/>
        <v>840.34144708777012</v>
      </c>
      <c r="Z60" s="1147">
        <f t="shared" si="8"/>
        <v>1045.3800000000001</v>
      </c>
      <c r="AA60" s="1144">
        <f t="shared" si="9"/>
        <v>649.76</v>
      </c>
      <c r="AB60" s="1144">
        <f t="shared" si="10"/>
        <v>0</v>
      </c>
      <c r="AC60" s="1144">
        <f t="shared" si="11"/>
        <v>0</v>
      </c>
      <c r="AD60" s="1148">
        <f t="shared" si="0"/>
        <v>840.34144708777012</v>
      </c>
      <c r="AE60" s="1487">
        <v>0</v>
      </c>
      <c r="AF60" s="1145">
        <f t="shared" si="12"/>
        <v>840.34144708777012</v>
      </c>
      <c r="AG60" s="1149">
        <f>IFERROR(VLOOKUP(CONCATENATE($L60,$N60),'Drop List'!$G$23:$K$87,2,FALSE),0)</f>
        <v>0</v>
      </c>
      <c r="AH60" s="1150">
        <f>IFERROR(VLOOKUP(CONCATENATE($L60,$N60),'Drop List'!$G$23:$K$87,3,FALSE),0)</f>
        <v>0</v>
      </c>
      <c r="AI60" s="1150">
        <f>IFERROR(VLOOKUP(CONCATENATE($L60,$N60),'Drop List'!$G$23:$K$87,4,FALSE),0)</f>
        <v>1</v>
      </c>
      <c r="AJ60" s="1151">
        <f>IFERROR(VLOOKUP(CONCATENATE($L60,$N60),'Drop List'!$G$23:$K$87,5,FALSE),0)</f>
        <v>0</v>
      </c>
      <c r="AK60" s="1152">
        <f t="shared" si="13"/>
        <v>0</v>
      </c>
      <c r="AL60" s="1153">
        <f t="shared" si="14"/>
        <v>0</v>
      </c>
      <c r="AM60" s="1153">
        <f t="shared" si="15"/>
        <v>840.34144708777012</v>
      </c>
      <c r="AN60" s="1145">
        <f t="shared" si="16"/>
        <v>0</v>
      </c>
      <c r="AO60" s="1154">
        <f t="shared" si="17"/>
        <v>840.34144708777012</v>
      </c>
      <c r="AP60" s="1147">
        <f t="shared" si="1"/>
        <v>0</v>
      </c>
      <c r="AQ60" s="1144">
        <f t="shared" si="2"/>
        <v>0</v>
      </c>
      <c r="AR60" s="1146">
        <f t="shared" si="3"/>
        <v>840.34144708777012</v>
      </c>
    </row>
    <row r="61" spans="1:44" x14ac:dyDescent="0.2">
      <c r="A61" s="1141" t="str">
        <f t="shared" si="4"/>
        <v>1510</v>
      </c>
      <c r="B61" s="1141" t="str">
        <f>IFERROR(VLOOKUP(A61,'LAC 103'!A:C,3,FALSE),"")</f>
        <v>OP</v>
      </c>
      <c r="C61" s="1478" t="str">
        <f>Info!$B$8</f>
        <v>00100</v>
      </c>
      <c r="D61" s="1474" t="s">
        <v>1100</v>
      </c>
      <c r="E61" s="1474" t="s">
        <v>95</v>
      </c>
      <c r="F61" s="1478" t="s">
        <v>77</v>
      </c>
      <c r="G61" s="1478" t="s">
        <v>77</v>
      </c>
      <c r="H61" s="1474" t="s">
        <v>1009</v>
      </c>
      <c r="I61" s="1478" t="s">
        <v>826</v>
      </c>
      <c r="J61" s="1478"/>
      <c r="K61" s="1475" t="s">
        <v>851</v>
      </c>
      <c r="L61" s="1474" t="s">
        <v>584</v>
      </c>
      <c r="M61" s="1476" t="s">
        <v>1699</v>
      </c>
      <c r="N61" s="1477" t="s">
        <v>1694</v>
      </c>
      <c r="O61" s="1479">
        <v>3719</v>
      </c>
      <c r="P61" s="1479"/>
      <c r="Q61" s="1142">
        <f t="shared" si="5"/>
        <v>3719</v>
      </c>
      <c r="R61" s="1143">
        <f>IFERROR(VLOOKUP(CONCATENATE(E61,G61),'LAC 103'!$A$12:$O$95,11,FALSE),0)</f>
        <v>3.2074101033884355</v>
      </c>
      <c r="S61" s="1144">
        <f>IFERROR(VLOOKUP(CONCATENATE($E61,$G61),'LAC 103'!$A$12:$O$95,12,FALSE),0)</f>
        <v>3.99</v>
      </c>
      <c r="T61" s="1144">
        <f>IFERROR(VLOOKUP(CONCATENATE($E61,$G61),'LAC 103'!$A$12:$O$95,13,FALSE),0)</f>
        <v>2.48</v>
      </c>
      <c r="U61" s="1144">
        <f>IFERROR(VLOOKUP(CONCATENATE($E61,$G61),'LAC 103'!$A$12:$O$95,14,FALSE),0)</f>
        <v>0</v>
      </c>
      <c r="V61" s="1144">
        <f>IFERROR(VLOOKUP(CONCATENATE($E61,$G61),'LAC 103'!$A$12:$O$95,15,FALSE),0)</f>
        <v>0</v>
      </c>
      <c r="W61" s="1145" t="str">
        <f>IFERROR(VLOOKUP(CONCATENATE($B61,$N61),'LAC 103'!$AI:$AQ,9,FALSE),"")</f>
        <v>Costs</v>
      </c>
      <c r="X61" s="1146">
        <f t="shared" si="6"/>
        <v>3.2074101033884355</v>
      </c>
      <c r="Y61" s="1143">
        <f t="shared" si="7"/>
        <v>11928.358174501591</v>
      </c>
      <c r="Z61" s="1147">
        <f t="shared" si="8"/>
        <v>14838.810000000001</v>
      </c>
      <c r="AA61" s="1144">
        <f t="shared" si="9"/>
        <v>9223.1200000000008</v>
      </c>
      <c r="AB61" s="1144">
        <f t="shared" si="10"/>
        <v>0</v>
      </c>
      <c r="AC61" s="1144">
        <f t="shared" si="11"/>
        <v>0</v>
      </c>
      <c r="AD61" s="1148">
        <f t="shared" si="0"/>
        <v>11928.358174501591</v>
      </c>
      <c r="AE61" s="1487">
        <v>0</v>
      </c>
      <c r="AF61" s="1145">
        <f t="shared" si="12"/>
        <v>11928.358174501591</v>
      </c>
      <c r="AG61" s="1149">
        <f>IFERROR(VLOOKUP(CONCATENATE($L61,$N61),'Drop List'!$G$23:$K$87,2,FALSE),0)</f>
        <v>0.56200000000000006</v>
      </c>
      <c r="AH61" s="1150">
        <f>IFERROR(VLOOKUP(CONCATENATE($L61,$N61),'Drop List'!$G$23:$K$87,3,FALSE),0)</f>
        <v>0</v>
      </c>
      <c r="AI61" s="1150">
        <f>IFERROR(VLOOKUP(CONCATENATE($L61,$N61),'Drop List'!$G$23:$K$87,4,FALSE),0)</f>
        <v>0</v>
      </c>
      <c r="AJ61" s="1151">
        <f>IFERROR(VLOOKUP(CONCATENATE($L61,$N61),'Drop List'!$G$23:$K$87,5,FALSE),0)</f>
        <v>0.43799999999999994</v>
      </c>
      <c r="AK61" s="1152">
        <f t="shared" si="13"/>
        <v>6703.7372940698951</v>
      </c>
      <c r="AL61" s="1153">
        <f t="shared" si="14"/>
        <v>0</v>
      </c>
      <c r="AM61" s="1153">
        <f t="shared" si="15"/>
        <v>0</v>
      </c>
      <c r="AN61" s="1145">
        <f t="shared" si="16"/>
        <v>5224.6208804316957</v>
      </c>
      <c r="AO61" s="1154">
        <f t="shared" si="17"/>
        <v>11928.358174501591</v>
      </c>
      <c r="AP61" s="1147">
        <f t="shared" si="1"/>
        <v>0</v>
      </c>
      <c r="AQ61" s="1144">
        <f t="shared" si="2"/>
        <v>0</v>
      </c>
      <c r="AR61" s="1146">
        <f t="shared" si="3"/>
        <v>11928.358174501591</v>
      </c>
    </row>
    <row r="62" spans="1:44" x14ac:dyDescent="0.2">
      <c r="A62" s="1141" t="str">
        <f t="shared" si="4"/>
        <v>1510</v>
      </c>
      <c r="B62" s="1141" t="str">
        <f>IFERROR(VLOOKUP(A62,'LAC 103'!A:C,3,FALSE),"")</f>
        <v>OP</v>
      </c>
      <c r="C62" s="1478" t="str">
        <f>Info!$B$8</f>
        <v>00100</v>
      </c>
      <c r="D62" s="1474" t="s">
        <v>1100</v>
      </c>
      <c r="E62" s="1474" t="s">
        <v>95</v>
      </c>
      <c r="F62" s="1478" t="s">
        <v>77</v>
      </c>
      <c r="G62" s="1478" t="s">
        <v>77</v>
      </c>
      <c r="H62" s="1474" t="s">
        <v>1009</v>
      </c>
      <c r="I62" s="1478" t="s">
        <v>826</v>
      </c>
      <c r="J62" s="1478"/>
      <c r="K62" s="1475" t="s">
        <v>851</v>
      </c>
      <c r="L62" s="1474" t="s">
        <v>584</v>
      </c>
      <c r="M62" s="1476" t="s">
        <v>842</v>
      </c>
      <c r="N62" s="1477" t="s">
        <v>1692</v>
      </c>
      <c r="O62" s="1479">
        <v>7363</v>
      </c>
      <c r="P62" s="1479"/>
      <c r="Q62" s="1142">
        <f t="shared" si="5"/>
        <v>7363</v>
      </c>
      <c r="R62" s="1143">
        <f>IFERROR(VLOOKUP(CONCATENATE(E62,G62),'LAC 103'!$A$12:$O$95,11,FALSE),0)</f>
        <v>3.2074101033884355</v>
      </c>
      <c r="S62" s="1144">
        <f>IFERROR(VLOOKUP(CONCATENATE($E62,$G62),'LAC 103'!$A$12:$O$95,12,FALSE),0)</f>
        <v>3.99</v>
      </c>
      <c r="T62" s="1144">
        <f>IFERROR(VLOOKUP(CONCATENATE($E62,$G62),'LAC 103'!$A$12:$O$95,13,FALSE),0)</f>
        <v>2.48</v>
      </c>
      <c r="U62" s="1144">
        <f>IFERROR(VLOOKUP(CONCATENATE($E62,$G62),'LAC 103'!$A$12:$O$95,14,FALSE),0)</f>
        <v>0</v>
      </c>
      <c r="V62" s="1144">
        <f>IFERROR(VLOOKUP(CONCATENATE($E62,$G62),'LAC 103'!$A$12:$O$95,15,FALSE),0)</f>
        <v>0</v>
      </c>
      <c r="W62" s="1145" t="str">
        <f>IFERROR(VLOOKUP(CONCATENATE($B62,$N62),'LAC 103'!$AI:$AQ,9,FALSE),"")</f>
        <v>Costs</v>
      </c>
      <c r="X62" s="1146">
        <f t="shared" si="6"/>
        <v>3.2074101033884355</v>
      </c>
      <c r="Y62" s="1143">
        <f t="shared" si="7"/>
        <v>23616.160591249049</v>
      </c>
      <c r="Z62" s="1147">
        <f t="shared" si="8"/>
        <v>29378.370000000003</v>
      </c>
      <c r="AA62" s="1144">
        <f t="shared" si="9"/>
        <v>18260.240000000002</v>
      </c>
      <c r="AB62" s="1144">
        <f t="shared" si="10"/>
        <v>0</v>
      </c>
      <c r="AC62" s="1144">
        <f t="shared" si="11"/>
        <v>0</v>
      </c>
      <c r="AD62" s="1148">
        <f t="shared" si="0"/>
        <v>23616.160591249049</v>
      </c>
      <c r="AE62" s="1487">
        <v>0</v>
      </c>
      <c r="AF62" s="1145">
        <f t="shared" si="12"/>
        <v>23616.160591249049</v>
      </c>
      <c r="AG62" s="1149">
        <f>IFERROR(VLOOKUP(CONCATENATE($L62,$N62),'Drop List'!$G$23:$K$87,2,FALSE),0)</f>
        <v>0.56200000000000006</v>
      </c>
      <c r="AH62" s="1150">
        <f>IFERROR(VLOOKUP(CONCATENATE($L62,$N62),'Drop List'!$G$23:$K$87,3,FALSE),0)</f>
        <v>0</v>
      </c>
      <c r="AI62" s="1150">
        <f>IFERROR(VLOOKUP(CONCATENATE($L62,$N62),'Drop List'!$G$23:$K$87,4,FALSE),0)</f>
        <v>0</v>
      </c>
      <c r="AJ62" s="1151">
        <f>IFERROR(VLOOKUP(CONCATENATE($L62,$N62),'Drop List'!$G$23:$K$87,5,FALSE),0)</f>
        <v>0.43799999999999994</v>
      </c>
      <c r="AK62" s="1152">
        <f t="shared" si="13"/>
        <v>13272.282252281966</v>
      </c>
      <c r="AL62" s="1153">
        <f t="shared" si="14"/>
        <v>0</v>
      </c>
      <c r="AM62" s="1153">
        <f t="shared" si="15"/>
        <v>0</v>
      </c>
      <c r="AN62" s="1145">
        <f t="shared" si="16"/>
        <v>10343.878338967083</v>
      </c>
      <c r="AO62" s="1154">
        <f t="shared" si="17"/>
        <v>23616.160591249049</v>
      </c>
      <c r="AP62" s="1147">
        <f t="shared" si="1"/>
        <v>0</v>
      </c>
      <c r="AQ62" s="1144">
        <f t="shared" si="2"/>
        <v>0</v>
      </c>
      <c r="AR62" s="1146">
        <f t="shared" si="3"/>
        <v>23616.160591249049</v>
      </c>
    </row>
    <row r="63" spans="1:44" x14ac:dyDescent="0.2">
      <c r="A63" s="1141" t="str">
        <f t="shared" si="4"/>
        <v>1510</v>
      </c>
      <c r="B63" s="1141" t="str">
        <f>IFERROR(VLOOKUP(A63,'LAC 103'!A:C,3,FALSE),"")</f>
        <v>OP</v>
      </c>
      <c r="C63" s="1478" t="str">
        <f>Info!$B$8</f>
        <v>00100</v>
      </c>
      <c r="D63" s="1474" t="s">
        <v>1100</v>
      </c>
      <c r="E63" s="1474" t="s">
        <v>95</v>
      </c>
      <c r="F63" s="1478" t="s">
        <v>77</v>
      </c>
      <c r="G63" s="1478" t="s">
        <v>77</v>
      </c>
      <c r="H63" s="1474" t="s">
        <v>1009</v>
      </c>
      <c r="I63" s="1478" t="s">
        <v>826</v>
      </c>
      <c r="J63" s="1478"/>
      <c r="K63" s="1475" t="s">
        <v>851</v>
      </c>
      <c r="L63" s="1474" t="s">
        <v>584</v>
      </c>
      <c r="M63" s="1476" t="s">
        <v>1698</v>
      </c>
      <c r="N63" s="1477" t="s">
        <v>1693</v>
      </c>
      <c r="O63" s="1479">
        <v>5284</v>
      </c>
      <c r="P63" s="1479"/>
      <c r="Q63" s="1142">
        <f t="shared" si="5"/>
        <v>5284</v>
      </c>
      <c r="R63" s="1143">
        <f>IFERROR(VLOOKUP(CONCATENATE(E63,G63),'LAC 103'!$A$12:$O$95,11,FALSE),0)</f>
        <v>3.2074101033884355</v>
      </c>
      <c r="S63" s="1144">
        <f>IFERROR(VLOOKUP(CONCATENATE($E63,$G63),'LAC 103'!$A$12:$O$95,12,FALSE),0)</f>
        <v>3.99</v>
      </c>
      <c r="T63" s="1144">
        <f>IFERROR(VLOOKUP(CONCATENATE($E63,$G63),'LAC 103'!$A$12:$O$95,13,FALSE),0)</f>
        <v>2.48</v>
      </c>
      <c r="U63" s="1144">
        <f>IFERROR(VLOOKUP(CONCATENATE($E63,$G63),'LAC 103'!$A$12:$O$95,14,FALSE),0)</f>
        <v>0</v>
      </c>
      <c r="V63" s="1144">
        <f>IFERROR(VLOOKUP(CONCATENATE($E63,$G63),'LAC 103'!$A$12:$O$95,15,FALSE),0)</f>
        <v>0</v>
      </c>
      <c r="W63" s="1145" t="str">
        <f>IFERROR(VLOOKUP(CONCATENATE($B63,$N63),'LAC 103'!$AI:$AQ,9,FALSE),"")</f>
        <v>Costs</v>
      </c>
      <c r="X63" s="1146">
        <f t="shared" si="6"/>
        <v>3.2074101033884355</v>
      </c>
      <c r="Y63" s="1143">
        <f t="shared" si="7"/>
        <v>16947.954986304492</v>
      </c>
      <c r="Z63" s="1147">
        <f t="shared" si="8"/>
        <v>21083.16</v>
      </c>
      <c r="AA63" s="1144">
        <f t="shared" si="9"/>
        <v>13104.32</v>
      </c>
      <c r="AB63" s="1144">
        <f t="shared" si="10"/>
        <v>0</v>
      </c>
      <c r="AC63" s="1144">
        <f t="shared" si="11"/>
        <v>0</v>
      </c>
      <c r="AD63" s="1148">
        <f t="shared" si="0"/>
        <v>16947.954986304492</v>
      </c>
      <c r="AE63" s="1487">
        <v>0</v>
      </c>
      <c r="AF63" s="1145">
        <f t="shared" si="12"/>
        <v>16947.954986304492</v>
      </c>
      <c r="AG63" s="1149">
        <f>IFERROR(VLOOKUP(CONCATENATE($L63,$N63),'Drop List'!$G$23:$K$87,2,FALSE),0)</f>
        <v>0.56200000000000006</v>
      </c>
      <c r="AH63" s="1150">
        <f>IFERROR(VLOOKUP(CONCATENATE($L63,$N63),'Drop List'!$G$23:$K$87,3,FALSE),0)</f>
        <v>0</v>
      </c>
      <c r="AI63" s="1150">
        <f>IFERROR(VLOOKUP(CONCATENATE($L63,$N63),'Drop List'!$G$23:$K$87,4,FALSE),0)</f>
        <v>0</v>
      </c>
      <c r="AJ63" s="1151">
        <f>IFERROR(VLOOKUP(CONCATENATE($L63,$N63),'Drop List'!$G$23:$K$87,5,FALSE),0)</f>
        <v>0.43799999999999994</v>
      </c>
      <c r="AK63" s="1152">
        <f t="shared" si="13"/>
        <v>9524.7507023031249</v>
      </c>
      <c r="AL63" s="1153">
        <f t="shared" si="14"/>
        <v>0</v>
      </c>
      <c r="AM63" s="1153">
        <f t="shared" si="15"/>
        <v>0</v>
      </c>
      <c r="AN63" s="1145">
        <f t="shared" si="16"/>
        <v>7423.2042840013664</v>
      </c>
      <c r="AO63" s="1154">
        <f t="shared" si="17"/>
        <v>16947.954986304492</v>
      </c>
      <c r="AP63" s="1147">
        <f t="shared" si="1"/>
        <v>0</v>
      </c>
      <c r="AQ63" s="1144">
        <f t="shared" si="2"/>
        <v>0</v>
      </c>
      <c r="AR63" s="1146">
        <f t="shared" si="3"/>
        <v>16947.954986304492</v>
      </c>
    </row>
    <row r="64" spans="1:44" x14ac:dyDescent="0.2">
      <c r="A64" s="1141" t="str">
        <f t="shared" si="4"/>
        <v>1510</v>
      </c>
      <c r="B64" s="1141" t="str">
        <f>IFERROR(VLOOKUP(A64,'LAC 103'!A:C,3,FALSE),"")</f>
        <v>OP</v>
      </c>
      <c r="C64" s="1478" t="str">
        <f>Info!$B$8</f>
        <v>00100</v>
      </c>
      <c r="D64" s="1474" t="s">
        <v>1100</v>
      </c>
      <c r="E64" s="1474" t="s">
        <v>95</v>
      </c>
      <c r="F64" s="1478" t="s">
        <v>77</v>
      </c>
      <c r="G64" s="1478" t="s">
        <v>77</v>
      </c>
      <c r="H64" s="1474" t="s">
        <v>970</v>
      </c>
      <c r="I64" s="1478" t="s">
        <v>817</v>
      </c>
      <c r="J64" s="1478" t="s">
        <v>123</v>
      </c>
      <c r="K64" s="1475" t="s">
        <v>849</v>
      </c>
      <c r="L64" s="1474" t="s">
        <v>77</v>
      </c>
      <c r="M64" s="1476" t="s">
        <v>1699</v>
      </c>
      <c r="N64" s="1477" t="s">
        <v>1694</v>
      </c>
      <c r="O64" s="1479">
        <v>3308</v>
      </c>
      <c r="P64" s="1479"/>
      <c r="Q64" s="1142">
        <f t="shared" si="5"/>
        <v>3308</v>
      </c>
      <c r="R64" s="1143">
        <f>IFERROR(VLOOKUP(CONCATENATE(E64,G64),'LAC 103'!$A$12:$O$95,11,FALSE),0)</f>
        <v>3.2074101033884355</v>
      </c>
      <c r="S64" s="1144">
        <f>IFERROR(VLOOKUP(CONCATENATE($E64,$G64),'LAC 103'!$A$12:$O$95,12,FALSE),0)</f>
        <v>3.99</v>
      </c>
      <c r="T64" s="1144">
        <f>IFERROR(VLOOKUP(CONCATENATE($E64,$G64),'LAC 103'!$A$12:$O$95,13,FALSE),0)</f>
        <v>2.48</v>
      </c>
      <c r="U64" s="1144">
        <f>IFERROR(VLOOKUP(CONCATENATE($E64,$G64),'LAC 103'!$A$12:$O$95,14,FALSE),0)</f>
        <v>0</v>
      </c>
      <c r="V64" s="1144">
        <f>IFERROR(VLOOKUP(CONCATENATE($E64,$G64),'LAC 103'!$A$12:$O$95,15,FALSE),0)</f>
        <v>0</v>
      </c>
      <c r="W64" s="1145" t="str">
        <f>IFERROR(VLOOKUP(CONCATENATE($B64,$N64),'LAC 103'!$AI:$AQ,9,FALSE),"")</f>
        <v>Costs</v>
      </c>
      <c r="X64" s="1146">
        <f t="shared" si="6"/>
        <v>3.2074101033884355</v>
      </c>
      <c r="Y64" s="1143">
        <f t="shared" si="7"/>
        <v>10610.112622008945</v>
      </c>
      <c r="Z64" s="1147">
        <f t="shared" si="8"/>
        <v>13198.92</v>
      </c>
      <c r="AA64" s="1144">
        <f t="shared" si="9"/>
        <v>8203.84</v>
      </c>
      <c r="AB64" s="1144">
        <f t="shared" si="10"/>
        <v>0</v>
      </c>
      <c r="AC64" s="1144">
        <f t="shared" si="11"/>
        <v>0</v>
      </c>
      <c r="AD64" s="1148">
        <f t="shared" si="0"/>
        <v>10610.112622008945</v>
      </c>
      <c r="AE64" s="1487">
        <v>0</v>
      </c>
      <c r="AF64" s="1145">
        <f t="shared" si="12"/>
        <v>10610.112622008945</v>
      </c>
      <c r="AG64" s="1149">
        <f>IFERROR(VLOOKUP(CONCATENATE($L64,$N64),'Drop List'!$G$23:$K$87,2,FALSE),0)</f>
        <v>0.9</v>
      </c>
      <c r="AH64" s="1150">
        <f>IFERROR(VLOOKUP(CONCATENATE($L64,$N64),'Drop List'!$G$23:$K$87,3,FALSE),0)</f>
        <v>0</v>
      </c>
      <c r="AI64" s="1150">
        <f>IFERROR(VLOOKUP(CONCATENATE($L64,$N64),'Drop List'!$G$23:$K$87,4,FALSE),0)</f>
        <v>0.1</v>
      </c>
      <c r="AJ64" s="1151">
        <f>IFERROR(VLOOKUP(CONCATENATE($L64,$N64),'Drop List'!$G$23:$K$87,5,FALSE),0)</f>
        <v>0</v>
      </c>
      <c r="AK64" s="1152">
        <f t="shared" si="13"/>
        <v>9549.1013598080499</v>
      </c>
      <c r="AL64" s="1153">
        <f t="shared" si="14"/>
        <v>0</v>
      </c>
      <c r="AM64" s="1153">
        <f t="shared" si="15"/>
        <v>1061.0112622008944</v>
      </c>
      <c r="AN64" s="1145">
        <f t="shared" si="16"/>
        <v>0</v>
      </c>
      <c r="AO64" s="1154">
        <f t="shared" si="17"/>
        <v>10610.112622008945</v>
      </c>
      <c r="AP64" s="1147">
        <f t="shared" si="1"/>
        <v>0</v>
      </c>
      <c r="AQ64" s="1144">
        <f t="shared" si="2"/>
        <v>0</v>
      </c>
      <c r="AR64" s="1146">
        <f t="shared" si="3"/>
        <v>10610.112622008945</v>
      </c>
    </row>
    <row r="65" spans="1:44" x14ac:dyDescent="0.2">
      <c r="A65" s="1141" t="str">
        <f t="shared" si="4"/>
        <v>1510</v>
      </c>
      <c r="B65" s="1141" t="str">
        <f>IFERROR(VLOOKUP(A65,'LAC 103'!A:C,3,FALSE),"")</f>
        <v>OP</v>
      </c>
      <c r="C65" s="1478" t="str">
        <f>Info!$B$8</f>
        <v>00100</v>
      </c>
      <c r="D65" s="1474" t="s">
        <v>1100</v>
      </c>
      <c r="E65" s="1474" t="s">
        <v>95</v>
      </c>
      <c r="F65" s="1478" t="s">
        <v>77</v>
      </c>
      <c r="G65" s="1478" t="s">
        <v>77</v>
      </c>
      <c r="H65" s="1474" t="s">
        <v>970</v>
      </c>
      <c r="I65" s="1478" t="s">
        <v>817</v>
      </c>
      <c r="J65" s="1478"/>
      <c r="K65" s="1475" t="s">
        <v>849</v>
      </c>
      <c r="L65" s="1474" t="s">
        <v>77</v>
      </c>
      <c r="M65" s="1476" t="s">
        <v>841</v>
      </c>
      <c r="N65" s="1477" t="s">
        <v>1695</v>
      </c>
      <c r="O65" s="1479">
        <v>1392</v>
      </c>
      <c r="P65" s="1479"/>
      <c r="Q65" s="1142">
        <f t="shared" si="5"/>
        <v>1392</v>
      </c>
      <c r="R65" s="1143">
        <f>IFERROR(VLOOKUP(CONCATENATE(E65,G65),'LAC 103'!$A$12:$O$95,11,FALSE),0)</f>
        <v>3.2074101033884355</v>
      </c>
      <c r="S65" s="1144">
        <f>IFERROR(VLOOKUP(CONCATENATE($E65,$G65),'LAC 103'!$A$12:$O$95,12,FALSE),0)</f>
        <v>3.99</v>
      </c>
      <c r="T65" s="1144">
        <f>IFERROR(VLOOKUP(CONCATENATE($E65,$G65),'LAC 103'!$A$12:$O$95,13,FALSE),0)</f>
        <v>2.48</v>
      </c>
      <c r="U65" s="1144">
        <f>IFERROR(VLOOKUP(CONCATENATE($E65,$G65),'LAC 103'!$A$12:$O$95,14,FALSE),0)</f>
        <v>0</v>
      </c>
      <c r="V65" s="1144">
        <f>IFERROR(VLOOKUP(CONCATENATE($E65,$G65),'LAC 103'!$A$12:$O$95,15,FALSE),0)</f>
        <v>0</v>
      </c>
      <c r="W65" s="1145" t="str">
        <f>IFERROR(VLOOKUP(CONCATENATE($B65,$N65),'LAC 103'!$AI:$AQ,9,FALSE),"")</f>
        <v>Costs</v>
      </c>
      <c r="X65" s="1146">
        <f t="shared" si="6"/>
        <v>3.2074101033884355</v>
      </c>
      <c r="Y65" s="1143">
        <f t="shared" si="7"/>
        <v>4464.7148639167026</v>
      </c>
      <c r="Z65" s="1147">
        <f t="shared" si="8"/>
        <v>5554.08</v>
      </c>
      <c r="AA65" s="1144">
        <f t="shared" si="9"/>
        <v>3452.16</v>
      </c>
      <c r="AB65" s="1144">
        <f t="shared" si="10"/>
        <v>0</v>
      </c>
      <c r="AC65" s="1144">
        <f t="shared" si="11"/>
        <v>0</v>
      </c>
      <c r="AD65" s="1148">
        <f t="shared" si="0"/>
        <v>4464.7148639167026</v>
      </c>
      <c r="AE65" s="1487">
        <v>0</v>
      </c>
      <c r="AF65" s="1145">
        <f t="shared" si="12"/>
        <v>4464.7148639167026</v>
      </c>
      <c r="AG65" s="1149">
        <f>IFERROR(VLOOKUP(CONCATENATE($L65,$N65),'Drop List'!$G$23:$K$87,2,FALSE),0)</f>
        <v>0.9</v>
      </c>
      <c r="AH65" s="1150">
        <f>IFERROR(VLOOKUP(CONCATENATE($L65,$N65),'Drop List'!$G$23:$K$87,3,FALSE),0)</f>
        <v>0</v>
      </c>
      <c r="AI65" s="1150">
        <f>IFERROR(VLOOKUP(CONCATENATE($L65,$N65),'Drop List'!$G$23:$K$87,4,FALSE),0)</f>
        <v>0.1</v>
      </c>
      <c r="AJ65" s="1151">
        <f>IFERROR(VLOOKUP(CONCATENATE($L65,$N65),'Drop List'!$G$23:$K$87,5,FALSE),0)</f>
        <v>0</v>
      </c>
      <c r="AK65" s="1152">
        <f t="shared" si="13"/>
        <v>4018.2433775250324</v>
      </c>
      <c r="AL65" s="1153">
        <f t="shared" si="14"/>
        <v>0</v>
      </c>
      <c r="AM65" s="1153">
        <f t="shared" si="15"/>
        <v>446.47148639167028</v>
      </c>
      <c r="AN65" s="1145">
        <f t="shared" si="16"/>
        <v>0</v>
      </c>
      <c r="AO65" s="1154">
        <f t="shared" si="17"/>
        <v>4464.7148639167026</v>
      </c>
      <c r="AP65" s="1147">
        <f t="shared" si="1"/>
        <v>0</v>
      </c>
      <c r="AQ65" s="1144">
        <f t="shared" si="2"/>
        <v>0</v>
      </c>
      <c r="AR65" s="1146">
        <f t="shared" si="3"/>
        <v>4464.7148639167026</v>
      </c>
    </row>
    <row r="66" spans="1:44" x14ac:dyDescent="0.2">
      <c r="A66" s="1141" t="str">
        <f t="shared" si="4"/>
        <v>1510</v>
      </c>
      <c r="B66" s="1141" t="str">
        <f>IFERROR(VLOOKUP(A66,'LAC 103'!A:C,3,FALSE),"")</f>
        <v>OP</v>
      </c>
      <c r="C66" s="1478" t="str">
        <f>Info!$B$8</f>
        <v>00100</v>
      </c>
      <c r="D66" s="1474" t="s">
        <v>1100</v>
      </c>
      <c r="E66" s="1474" t="s">
        <v>95</v>
      </c>
      <c r="F66" s="1478" t="s">
        <v>77</v>
      </c>
      <c r="G66" s="1478" t="s">
        <v>77</v>
      </c>
      <c r="H66" s="1474" t="s">
        <v>970</v>
      </c>
      <c r="I66" s="1478" t="s">
        <v>817</v>
      </c>
      <c r="J66" s="1478"/>
      <c r="K66" s="1475" t="s">
        <v>849</v>
      </c>
      <c r="L66" s="1474" t="s">
        <v>77</v>
      </c>
      <c r="M66" s="1476" t="s">
        <v>840</v>
      </c>
      <c r="N66" s="1477" t="s">
        <v>1700</v>
      </c>
      <c r="O66" s="1479">
        <v>1638</v>
      </c>
      <c r="P66" s="1479"/>
      <c r="Q66" s="1142">
        <f t="shared" si="5"/>
        <v>1638</v>
      </c>
      <c r="R66" s="1143">
        <f>IFERROR(VLOOKUP(CONCATENATE(E66,G66),'LAC 103'!$A$12:$O$95,11,FALSE),0)</f>
        <v>3.2074101033884355</v>
      </c>
      <c r="S66" s="1144">
        <f>IFERROR(VLOOKUP(CONCATENATE($E66,$G66),'LAC 103'!$A$12:$O$95,12,FALSE),0)</f>
        <v>3.99</v>
      </c>
      <c r="T66" s="1144">
        <f>IFERROR(VLOOKUP(CONCATENATE($E66,$G66),'LAC 103'!$A$12:$O$95,13,FALSE),0)</f>
        <v>2.48</v>
      </c>
      <c r="U66" s="1144">
        <f>IFERROR(VLOOKUP(CONCATENATE($E66,$G66),'LAC 103'!$A$12:$O$95,14,FALSE),0)</f>
        <v>0</v>
      </c>
      <c r="V66" s="1144">
        <f>IFERROR(VLOOKUP(CONCATENATE($E66,$G66),'LAC 103'!$A$12:$O$95,15,FALSE),0)</f>
        <v>0</v>
      </c>
      <c r="W66" s="1145" t="str">
        <f>IFERROR(VLOOKUP(CONCATENATE($B66,$N66),'LAC 103'!$AI:$AQ,9,FALSE),"")</f>
        <v>P.C.</v>
      </c>
      <c r="X66" s="1146">
        <f t="shared" si="6"/>
        <v>2.48</v>
      </c>
      <c r="Y66" s="1143">
        <f t="shared" si="7"/>
        <v>5253.7377493502572</v>
      </c>
      <c r="Z66" s="1147">
        <f t="shared" si="8"/>
        <v>6535.6200000000008</v>
      </c>
      <c r="AA66" s="1144">
        <f t="shared" si="9"/>
        <v>4062.24</v>
      </c>
      <c r="AB66" s="1144">
        <f t="shared" si="10"/>
        <v>0</v>
      </c>
      <c r="AC66" s="1144">
        <f t="shared" si="11"/>
        <v>0</v>
      </c>
      <c r="AD66" s="1148">
        <f t="shared" si="0"/>
        <v>4062.24</v>
      </c>
      <c r="AE66" s="1487">
        <v>0</v>
      </c>
      <c r="AF66" s="1145">
        <f t="shared" si="12"/>
        <v>4062.24</v>
      </c>
      <c r="AG66" s="1149">
        <f>IFERROR(VLOOKUP(CONCATENATE($L66,$N66),'Drop List'!$G$23:$K$87,2,FALSE),0)</f>
        <v>0.9</v>
      </c>
      <c r="AH66" s="1150">
        <f>IFERROR(VLOOKUP(CONCATENATE($L66,$N66),'Drop List'!$G$23:$K$87,3,FALSE),0)</f>
        <v>0</v>
      </c>
      <c r="AI66" s="1150">
        <f>IFERROR(VLOOKUP(CONCATENATE($L66,$N66),'Drop List'!$G$23:$K$87,4,FALSE),0)</f>
        <v>0.1</v>
      </c>
      <c r="AJ66" s="1151">
        <f>IFERROR(VLOOKUP(CONCATENATE($L66,$N66),'Drop List'!$G$23:$K$87,5,FALSE),0)</f>
        <v>0</v>
      </c>
      <c r="AK66" s="1152">
        <f t="shared" si="13"/>
        <v>3656.0160000000001</v>
      </c>
      <c r="AL66" s="1153">
        <f t="shared" si="14"/>
        <v>0</v>
      </c>
      <c r="AM66" s="1153">
        <f t="shared" si="15"/>
        <v>406.22399999999999</v>
      </c>
      <c r="AN66" s="1145">
        <f t="shared" si="16"/>
        <v>0</v>
      </c>
      <c r="AO66" s="1154">
        <f t="shared" si="17"/>
        <v>4062.2400000000002</v>
      </c>
      <c r="AP66" s="1147">
        <f t="shared" si="1"/>
        <v>0</v>
      </c>
      <c r="AQ66" s="1144">
        <f t="shared" si="2"/>
        <v>0</v>
      </c>
      <c r="AR66" s="1146">
        <f t="shared" si="3"/>
        <v>4062.2400000000002</v>
      </c>
    </row>
    <row r="67" spans="1:44" x14ac:dyDescent="0.2">
      <c r="A67" s="1141" t="str">
        <f t="shared" si="4"/>
        <v>1510</v>
      </c>
      <c r="B67" s="1141" t="str">
        <f>IFERROR(VLOOKUP(A67,'LAC 103'!A:C,3,FALSE),"")</f>
        <v>OP</v>
      </c>
      <c r="C67" s="1478" t="str">
        <f>Info!$B$8</f>
        <v>00100</v>
      </c>
      <c r="D67" s="1474" t="s">
        <v>1100</v>
      </c>
      <c r="E67" s="1474" t="s">
        <v>95</v>
      </c>
      <c r="F67" s="1478" t="s">
        <v>77</v>
      </c>
      <c r="G67" s="1478" t="s">
        <v>77</v>
      </c>
      <c r="H67" s="1474" t="s">
        <v>970</v>
      </c>
      <c r="I67" s="1478" t="s">
        <v>817</v>
      </c>
      <c r="J67" s="1478"/>
      <c r="K67" s="1475" t="s">
        <v>849</v>
      </c>
      <c r="L67" s="1474" t="s">
        <v>77</v>
      </c>
      <c r="M67" s="1476" t="s">
        <v>842</v>
      </c>
      <c r="N67" s="1477" t="s">
        <v>1692</v>
      </c>
      <c r="O67" s="1479">
        <v>1922</v>
      </c>
      <c r="P67" s="1479"/>
      <c r="Q67" s="1142">
        <f t="shared" si="5"/>
        <v>1922</v>
      </c>
      <c r="R67" s="1143">
        <f>IFERROR(VLOOKUP(CONCATENATE(E67,G67),'LAC 103'!$A$12:$O$95,11,FALSE),0)</f>
        <v>3.2074101033884355</v>
      </c>
      <c r="S67" s="1144">
        <f>IFERROR(VLOOKUP(CONCATENATE($E67,$G67),'LAC 103'!$A$12:$O$95,12,FALSE),0)</f>
        <v>3.99</v>
      </c>
      <c r="T67" s="1144">
        <f>IFERROR(VLOOKUP(CONCATENATE($E67,$G67),'LAC 103'!$A$12:$O$95,13,FALSE),0)</f>
        <v>2.48</v>
      </c>
      <c r="U67" s="1144">
        <f>IFERROR(VLOOKUP(CONCATENATE($E67,$G67),'LAC 103'!$A$12:$O$95,14,FALSE),0)</f>
        <v>0</v>
      </c>
      <c r="V67" s="1144">
        <f>IFERROR(VLOOKUP(CONCATENATE($E67,$G67),'LAC 103'!$A$12:$O$95,15,FALSE),0)</f>
        <v>0</v>
      </c>
      <c r="W67" s="1145" t="str">
        <f>IFERROR(VLOOKUP(CONCATENATE($B67,$N67),'LAC 103'!$AI:$AQ,9,FALSE),"")</f>
        <v>Costs</v>
      </c>
      <c r="X67" s="1146">
        <f t="shared" si="6"/>
        <v>3.2074101033884355</v>
      </c>
      <c r="Y67" s="1143">
        <f t="shared" si="7"/>
        <v>6164.6422187125727</v>
      </c>
      <c r="Z67" s="1147">
        <f t="shared" si="8"/>
        <v>7668.7800000000007</v>
      </c>
      <c r="AA67" s="1144">
        <f t="shared" si="9"/>
        <v>4766.5600000000004</v>
      </c>
      <c r="AB67" s="1144">
        <f t="shared" si="10"/>
        <v>0</v>
      </c>
      <c r="AC67" s="1144">
        <f t="shared" si="11"/>
        <v>0</v>
      </c>
      <c r="AD67" s="1148">
        <f t="shared" si="0"/>
        <v>6164.6422187125727</v>
      </c>
      <c r="AE67" s="1487">
        <v>0</v>
      </c>
      <c r="AF67" s="1145">
        <f t="shared" si="12"/>
        <v>6164.6422187125727</v>
      </c>
      <c r="AG67" s="1149">
        <f>IFERROR(VLOOKUP(CONCATENATE($L67,$N67),'Drop List'!$G$23:$K$87,2,FALSE),0)</f>
        <v>0.9</v>
      </c>
      <c r="AH67" s="1150">
        <f>IFERROR(VLOOKUP(CONCATENATE($L67,$N67),'Drop List'!$G$23:$K$87,3,FALSE),0)</f>
        <v>0</v>
      </c>
      <c r="AI67" s="1150">
        <f>IFERROR(VLOOKUP(CONCATENATE($L67,$N67),'Drop List'!$G$23:$K$87,4,FALSE),0)</f>
        <v>0.1</v>
      </c>
      <c r="AJ67" s="1151">
        <f>IFERROR(VLOOKUP(CONCATENATE($L67,$N67),'Drop List'!$G$23:$K$87,5,FALSE),0)</f>
        <v>0</v>
      </c>
      <c r="AK67" s="1152">
        <f t="shared" si="13"/>
        <v>5548.1779968413157</v>
      </c>
      <c r="AL67" s="1153">
        <f t="shared" si="14"/>
        <v>0</v>
      </c>
      <c r="AM67" s="1153">
        <f t="shared" si="15"/>
        <v>616.46422187125734</v>
      </c>
      <c r="AN67" s="1145">
        <f t="shared" si="16"/>
        <v>0</v>
      </c>
      <c r="AO67" s="1154">
        <f t="shared" si="17"/>
        <v>6164.6422187125727</v>
      </c>
      <c r="AP67" s="1147">
        <f t="shared" si="1"/>
        <v>0</v>
      </c>
      <c r="AQ67" s="1144">
        <f t="shared" si="2"/>
        <v>0</v>
      </c>
      <c r="AR67" s="1146">
        <f t="shared" si="3"/>
        <v>6164.6422187125727</v>
      </c>
    </row>
    <row r="68" spans="1:44" x14ac:dyDescent="0.2">
      <c r="A68" s="1141" t="str">
        <f t="shared" si="4"/>
        <v>1510</v>
      </c>
      <c r="B68" s="1141" t="str">
        <f>IFERROR(VLOOKUP(A68,'LAC 103'!A:C,3,FALSE),"")</f>
        <v>OP</v>
      </c>
      <c r="C68" s="1478" t="str">
        <f>Info!$B$8</f>
        <v>00100</v>
      </c>
      <c r="D68" s="1474" t="s">
        <v>1100</v>
      </c>
      <c r="E68" s="1474" t="s">
        <v>95</v>
      </c>
      <c r="F68" s="1478" t="s">
        <v>77</v>
      </c>
      <c r="G68" s="1478" t="s">
        <v>77</v>
      </c>
      <c r="H68" s="1474" t="s">
        <v>970</v>
      </c>
      <c r="I68" s="1478" t="s">
        <v>817</v>
      </c>
      <c r="J68" s="1478"/>
      <c r="K68" s="1475" t="s">
        <v>849</v>
      </c>
      <c r="L68" s="1474" t="s">
        <v>77</v>
      </c>
      <c r="M68" s="1476" t="s">
        <v>1698</v>
      </c>
      <c r="N68" s="1477" t="s">
        <v>1693</v>
      </c>
      <c r="O68" s="1479">
        <v>1843</v>
      </c>
      <c r="P68" s="1479"/>
      <c r="Q68" s="1142">
        <f t="shared" si="5"/>
        <v>1843</v>
      </c>
      <c r="R68" s="1143">
        <f>IFERROR(VLOOKUP(CONCATENATE(E68,G68),'LAC 103'!$A$12:$O$95,11,FALSE),0)</f>
        <v>3.2074101033884355</v>
      </c>
      <c r="S68" s="1144">
        <f>IFERROR(VLOOKUP(CONCATENATE($E68,$G68),'LAC 103'!$A$12:$O$95,12,FALSE),0)</f>
        <v>3.99</v>
      </c>
      <c r="T68" s="1144">
        <f>IFERROR(VLOOKUP(CONCATENATE($E68,$G68),'LAC 103'!$A$12:$O$95,13,FALSE),0)</f>
        <v>2.48</v>
      </c>
      <c r="U68" s="1144">
        <f>IFERROR(VLOOKUP(CONCATENATE($E68,$G68),'LAC 103'!$A$12:$O$95,14,FALSE),0)</f>
        <v>0</v>
      </c>
      <c r="V68" s="1144">
        <f>IFERROR(VLOOKUP(CONCATENATE($E68,$G68),'LAC 103'!$A$12:$O$95,15,FALSE),0)</f>
        <v>0</v>
      </c>
      <c r="W68" s="1145" t="str">
        <f>IFERROR(VLOOKUP(CONCATENATE($B68,$N68),'LAC 103'!$AI:$AQ,9,FALSE),"")</f>
        <v>Costs</v>
      </c>
      <c r="X68" s="1146">
        <f t="shared" si="6"/>
        <v>3.2074101033884355</v>
      </c>
      <c r="Y68" s="1143">
        <f t="shared" si="7"/>
        <v>5911.256820544887</v>
      </c>
      <c r="Z68" s="1147">
        <f t="shared" si="8"/>
        <v>7353.5700000000006</v>
      </c>
      <c r="AA68" s="1144">
        <f t="shared" si="9"/>
        <v>4570.6400000000003</v>
      </c>
      <c r="AB68" s="1144">
        <f t="shared" si="10"/>
        <v>0</v>
      </c>
      <c r="AC68" s="1144">
        <f t="shared" si="11"/>
        <v>0</v>
      </c>
      <c r="AD68" s="1148">
        <f t="shared" si="0"/>
        <v>5911.256820544887</v>
      </c>
      <c r="AE68" s="1487">
        <v>0</v>
      </c>
      <c r="AF68" s="1145">
        <f t="shared" si="12"/>
        <v>5911.256820544887</v>
      </c>
      <c r="AG68" s="1149">
        <f>IFERROR(VLOOKUP(CONCATENATE($L68,$N68),'Drop List'!$G$23:$K$87,2,FALSE),0)</f>
        <v>0.9</v>
      </c>
      <c r="AH68" s="1150">
        <f>IFERROR(VLOOKUP(CONCATENATE($L68,$N68),'Drop List'!$G$23:$K$87,3,FALSE),0)</f>
        <v>0</v>
      </c>
      <c r="AI68" s="1150">
        <f>IFERROR(VLOOKUP(CONCATENATE($L68,$N68),'Drop List'!$G$23:$K$87,4,FALSE),0)</f>
        <v>0.1</v>
      </c>
      <c r="AJ68" s="1151">
        <f>IFERROR(VLOOKUP(CONCATENATE($L68,$N68),'Drop List'!$G$23:$K$87,5,FALSE),0)</f>
        <v>0</v>
      </c>
      <c r="AK68" s="1152">
        <f t="shared" si="13"/>
        <v>5320.1311384903984</v>
      </c>
      <c r="AL68" s="1153">
        <f t="shared" si="14"/>
        <v>0</v>
      </c>
      <c r="AM68" s="1153">
        <f t="shared" si="15"/>
        <v>591.12568205448872</v>
      </c>
      <c r="AN68" s="1145">
        <f t="shared" si="16"/>
        <v>0</v>
      </c>
      <c r="AO68" s="1154">
        <f t="shared" si="17"/>
        <v>5911.256820544887</v>
      </c>
      <c r="AP68" s="1147">
        <f t="shared" si="1"/>
        <v>0</v>
      </c>
      <c r="AQ68" s="1144">
        <f t="shared" si="2"/>
        <v>0</v>
      </c>
      <c r="AR68" s="1146">
        <f t="shared" si="3"/>
        <v>5911.256820544887</v>
      </c>
    </row>
    <row r="69" spans="1:44" x14ac:dyDescent="0.2">
      <c r="A69" s="1141" t="str">
        <f t="shared" si="4"/>
        <v>1510</v>
      </c>
      <c r="B69" s="1141" t="str">
        <f>IFERROR(VLOOKUP(A69,'LAC 103'!A:C,3,FALSE),"")</f>
        <v>OP</v>
      </c>
      <c r="C69" s="1478" t="str">
        <f>Info!$B$8</f>
        <v>00100</v>
      </c>
      <c r="D69" s="1474" t="s">
        <v>1100</v>
      </c>
      <c r="E69" s="1474" t="s">
        <v>95</v>
      </c>
      <c r="F69" s="1478" t="s">
        <v>77</v>
      </c>
      <c r="G69" s="1478" t="s">
        <v>77</v>
      </c>
      <c r="H69" s="1474" t="s">
        <v>970</v>
      </c>
      <c r="I69" s="1478" t="s">
        <v>817</v>
      </c>
      <c r="J69" s="1478"/>
      <c r="K69" s="1475" t="s">
        <v>850</v>
      </c>
      <c r="L69" s="1474" t="s">
        <v>330</v>
      </c>
      <c r="M69" s="1476" t="s">
        <v>1699</v>
      </c>
      <c r="N69" s="1477" t="s">
        <v>1694</v>
      </c>
      <c r="O69" s="1479">
        <v>39</v>
      </c>
      <c r="P69" s="1479"/>
      <c r="Q69" s="1142">
        <f t="shared" si="5"/>
        <v>39</v>
      </c>
      <c r="R69" s="1143">
        <f>IFERROR(VLOOKUP(CONCATENATE(E69,G69),'LAC 103'!$A$12:$O$95,11,FALSE),0)</f>
        <v>3.2074101033884355</v>
      </c>
      <c r="S69" s="1144">
        <f>IFERROR(VLOOKUP(CONCATENATE($E69,$G69),'LAC 103'!$A$12:$O$95,12,FALSE),0)</f>
        <v>3.99</v>
      </c>
      <c r="T69" s="1144">
        <f>IFERROR(VLOOKUP(CONCATENATE($E69,$G69),'LAC 103'!$A$12:$O$95,13,FALSE),0)</f>
        <v>2.48</v>
      </c>
      <c r="U69" s="1144">
        <f>IFERROR(VLOOKUP(CONCATENATE($E69,$G69),'LAC 103'!$A$12:$O$95,14,FALSE),0)</f>
        <v>0</v>
      </c>
      <c r="V69" s="1144">
        <f>IFERROR(VLOOKUP(CONCATENATE($E69,$G69),'LAC 103'!$A$12:$O$95,15,FALSE),0)</f>
        <v>0</v>
      </c>
      <c r="W69" s="1145" t="str">
        <f>IFERROR(VLOOKUP(CONCATENATE($B69,$N69),'LAC 103'!$AI:$AQ,9,FALSE),"")</f>
        <v>Costs</v>
      </c>
      <c r="X69" s="1146">
        <f t="shared" si="6"/>
        <v>3.2074101033884355</v>
      </c>
      <c r="Y69" s="1143">
        <f t="shared" si="7"/>
        <v>125.08899403214899</v>
      </c>
      <c r="Z69" s="1147">
        <f t="shared" si="8"/>
        <v>155.61000000000001</v>
      </c>
      <c r="AA69" s="1144">
        <f t="shared" si="9"/>
        <v>96.72</v>
      </c>
      <c r="AB69" s="1144">
        <f t="shared" si="10"/>
        <v>0</v>
      </c>
      <c r="AC69" s="1144">
        <f t="shared" si="11"/>
        <v>0</v>
      </c>
      <c r="AD69" s="1148">
        <f t="shared" si="0"/>
        <v>125.08899403214899</v>
      </c>
      <c r="AE69" s="1487">
        <v>0</v>
      </c>
      <c r="AF69" s="1145">
        <f t="shared" si="12"/>
        <v>125.08899403214899</v>
      </c>
      <c r="AG69" s="1149">
        <f>IFERROR(VLOOKUP(CONCATENATE($L69,$N69),'Drop List'!$G$23:$K$87,2,FALSE),0)</f>
        <v>0</v>
      </c>
      <c r="AH69" s="1150">
        <f>IFERROR(VLOOKUP(CONCATENATE($L69,$N69),'Drop List'!$G$23:$K$87,3,FALSE),0)</f>
        <v>0</v>
      </c>
      <c r="AI69" s="1150">
        <f>IFERROR(VLOOKUP(CONCATENATE($L69,$N69),'Drop List'!$G$23:$K$87,4,FALSE),0)</f>
        <v>1</v>
      </c>
      <c r="AJ69" s="1151">
        <f>IFERROR(VLOOKUP(CONCATENATE($L69,$N69),'Drop List'!$G$23:$K$87,5,FALSE),0)</f>
        <v>0</v>
      </c>
      <c r="AK69" s="1152">
        <f t="shared" si="13"/>
        <v>0</v>
      </c>
      <c r="AL69" s="1153">
        <f t="shared" si="14"/>
        <v>0</v>
      </c>
      <c r="AM69" s="1153">
        <f t="shared" si="15"/>
        <v>125.08899403214899</v>
      </c>
      <c r="AN69" s="1145">
        <f t="shared" si="16"/>
        <v>0</v>
      </c>
      <c r="AO69" s="1154">
        <f t="shared" si="17"/>
        <v>125.08899403214899</v>
      </c>
      <c r="AP69" s="1147">
        <f t="shared" si="1"/>
        <v>0</v>
      </c>
      <c r="AQ69" s="1144">
        <f t="shared" si="2"/>
        <v>0</v>
      </c>
      <c r="AR69" s="1146">
        <f t="shared" si="3"/>
        <v>125.08899403214899</v>
      </c>
    </row>
    <row r="70" spans="1:44" x14ac:dyDescent="0.2">
      <c r="A70" s="1141" t="str">
        <f t="shared" ref="A70:A133" si="18">IF(CONCATENATE(E70,G70)="","",CONCATENATE(E70,G70))</f>
        <v>1510</v>
      </c>
      <c r="B70" s="1141" t="str">
        <f>IFERROR(VLOOKUP(A70,'LAC 103'!A:C,3,FALSE),"")</f>
        <v>OP</v>
      </c>
      <c r="C70" s="1478" t="str">
        <f>Info!$B$8</f>
        <v>00100</v>
      </c>
      <c r="D70" s="1474" t="s">
        <v>1100</v>
      </c>
      <c r="E70" s="1474" t="s">
        <v>95</v>
      </c>
      <c r="F70" s="1478" t="s">
        <v>77</v>
      </c>
      <c r="G70" s="1478" t="s">
        <v>77</v>
      </c>
      <c r="H70" s="1474" t="s">
        <v>970</v>
      </c>
      <c r="I70" s="1478" t="s">
        <v>817</v>
      </c>
      <c r="J70" s="1478"/>
      <c r="K70" s="1475" t="s">
        <v>850</v>
      </c>
      <c r="L70" s="1474" t="s">
        <v>330</v>
      </c>
      <c r="M70" s="1476" t="s">
        <v>842</v>
      </c>
      <c r="N70" s="1477" t="s">
        <v>1692</v>
      </c>
      <c r="O70" s="1479">
        <v>303</v>
      </c>
      <c r="P70" s="1479"/>
      <c r="Q70" s="1142">
        <f t="shared" ref="Q70:Q133" si="19">O70+P70</f>
        <v>303</v>
      </c>
      <c r="R70" s="1143">
        <f>IFERROR(VLOOKUP(CONCATENATE(E70,G70),'LAC 103'!$A$12:$O$95,11,FALSE),0)</f>
        <v>3.2074101033884355</v>
      </c>
      <c r="S70" s="1144">
        <f>IFERROR(VLOOKUP(CONCATENATE($E70,$G70),'LAC 103'!$A$12:$O$95,12,FALSE),0)</f>
        <v>3.99</v>
      </c>
      <c r="T70" s="1144">
        <f>IFERROR(VLOOKUP(CONCATENATE($E70,$G70),'LAC 103'!$A$12:$O$95,13,FALSE),0)</f>
        <v>2.48</v>
      </c>
      <c r="U70" s="1144">
        <f>IFERROR(VLOOKUP(CONCATENATE($E70,$G70),'LAC 103'!$A$12:$O$95,14,FALSE),0)</f>
        <v>0</v>
      </c>
      <c r="V70" s="1144">
        <f>IFERROR(VLOOKUP(CONCATENATE($E70,$G70),'LAC 103'!$A$12:$O$95,15,FALSE),0)</f>
        <v>0</v>
      </c>
      <c r="W70" s="1145" t="str">
        <f>IFERROR(VLOOKUP(CONCATENATE($B70,$N70),'LAC 103'!$AI:$AQ,9,FALSE),"")</f>
        <v>Costs</v>
      </c>
      <c r="X70" s="1146">
        <f t="shared" si="6"/>
        <v>3.2074101033884355</v>
      </c>
      <c r="Y70" s="1143">
        <f t="shared" si="7"/>
        <v>971.84526132669589</v>
      </c>
      <c r="Z70" s="1147">
        <f t="shared" si="8"/>
        <v>1208.97</v>
      </c>
      <c r="AA70" s="1144">
        <f t="shared" si="9"/>
        <v>751.43999999999994</v>
      </c>
      <c r="AB70" s="1144">
        <f t="shared" si="10"/>
        <v>0</v>
      </c>
      <c r="AC70" s="1144">
        <f t="shared" si="11"/>
        <v>0</v>
      </c>
      <c r="AD70" s="1148">
        <f t="shared" si="0"/>
        <v>971.84526132669589</v>
      </c>
      <c r="AE70" s="1487">
        <v>0</v>
      </c>
      <c r="AF70" s="1145">
        <f t="shared" si="12"/>
        <v>971.84526132669589</v>
      </c>
      <c r="AG70" s="1149">
        <f>IFERROR(VLOOKUP(CONCATENATE($L70,$N70),'Drop List'!$G$23:$K$87,2,FALSE),0)</f>
        <v>0</v>
      </c>
      <c r="AH70" s="1150">
        <f>IFERROR(VLOOKUP(CONCATENATE($L70,$N70),'Drop List'!$G$23:$K$87,3,FALSE),0)</f>
        <v>0</v>
      </c>
      <c r="AI70" s="1150">
        <f>IFERROR(VLOOKUP(CONCATENATE($L70,$N70),'Drop List'!$G$23:$K$87,4,FALSE),0)</f>
        <v>1</v>
      </c>
      <c r="AJ70" s="1151">
        <f>IFERROR(VLOOKUP(CONCATENATE($L70,$N70),'Drop List'!$G$23:$K$87,5,FALSE),0)</f>
        <v>0</v>
      </c>
      <c r="AK70" s="1152">
        <f t="shared" si="13"/>
        <v>0</v>
      </c>
      <c r="AL70" s="1153">
        <f t="shared" si="14"/>
        <v>0</v>
      </c>
      <c r="AM70" s="1153">
        <f t="shared" si="15"/>
        <v>971.84526132669589</v>
      </c>
      <c r="AN70" s="1145">
        <f t="shared" si="16"/>
        <v>0</v>
      </c>
      <c r="AO70" s="1154">
        <f t="shared" si="17"/>
        <v>971.84526132669589</v>
      </c>
      <c r="AP70" s="1147">
        <f t="shared" si="1"/>
        <v>0</v>
      </c>
      <c r="AQ70" s="1144">
        <f t="shared" si="2"/>
        <v>0</v>
      </c>
      <c r="AR70" s="1146">
        <f t="shared" si="3"/>
        <v>971.84526132669589</v>
      </c>
    </row>
    <row r="71" spans="1:44" x14ac:dyDescent="0.2">
      <c r="A71" s="1141" t="str">
        <f t="shared" si="18"/>
        <v>1510</v>
      </c>
      <c r="B71" s="1141" t="str">
        <f>IFERROR(VLOOKUP(A71,'LAC 103'!A:C,3,FALSE),"")</f>
        <v>OP</v>
      </c>
      <c r="C71" s="1478" t="str">
        <f>Info!$B$8</f>
        <v>00100</v>
      </c>
      <c r="D71" s="1474" t="s">
        <v>1100</v>
      </c>
      <c r="E71" s="1474" t="s">
        <v>95</v>
      </c>
      <c r="F71" s="1478" t="s">
        <v>77</v>
      </c>
      <c r="G71" s="1478" t="s">
        <v>77</v>
      </c>
      <c r="H71" s="1474" t="s">
        <v>970</v>
      </c>
      <c r="I71" s="1478" t="s">
        <v>817</v>
      </c>
      <c r="J71" s="1478"/>
      <c r="K71" s="1475" t="s">
        <v>850</v>
      </c>
      <c r="L71" s="1474" t="s">
        <v>330</v>
      </c>
      <c r="M71" s="1476" t="s">
        <v>1698</v>
      </c>
      <c r="N71" s="1477" t="s">
        <v>1693</v>
      </c>
      <c r="O71" s="1479">
        <v>59</v>
      </c>
      <c r="P71" s="1479"/>
      <c r="Q71" s="1142">
        <f t="shared" si="19"/>
        <v>59</v>
      </c>
      <c r="R71" s="1143">
        <f>IFERROR(VLOOKUP(CONCATENATE(E71,G71),'LAC 103'!$A$12:$O$95,11,FALSE),0)</f>
        <v>3.2074101033884355</v>
      </c>
      <c r="S71" s="1144">
        <f>IFERROR(VLOOKUP(CONCATENATE($E71,$G71),'LAC 103'!$A$12:$O$95,12,FALSE),0)</f>
        <v>3.99</v>
      </c>
      <c r="T71" s="1144">
        <f>IFERROR(VLOOKUP(CONCATENATE($E71,$G71),'LAC 103'!$A$12:$O$95,13,FALSE),0)</f>
        <v>2.48</v>
      </c>
      <c r="U71" s="1144">
        <f>IFERROR(VLOOKUP(CONCATENATE($E71,$G71),'LAC 103'!$A$12:$O$95,14,FALSE),0)</f>
        <v>0</v>
      </c>
      <c r="V71" s="1144">
        <f>IFERROR(VLOOKUP(CONCATENATE($E71,$G71),'LAC 103'!$A$12:$O$95,15,FALSE),0)</f>
        <v>0</v>
      </c>
      <c r="W71" s="1145" t="str">
        <f>IFERROR(VLOOKUP(CONCATENATE($B71,$N71),'LAC 103'!$AI:$AQ,9,FALSE),"")</f>
        <v>Costs</v>
      </c>
      <c r="X71" s="1146">
        <f t="shared" si="6"/>
        <v>3.2074101033884355</v>
      </c>
      <c r="Y71" s="1143">
        <f t="shared" si="7"/>
        <v>189.2371960999177</v>
      </c>
      <c r="Z71" s="1147">
        <f t="shared" si="8"/>
        <v>235.41000000000003</v>
      </c>
      <c r="AA71" s="1144">
        <f t="shared" si="9"/>
        <v>146.32</v>
      </c>
      <c r="AB71" s="1144">
        <f t="shared" si="10"/>
        <v>0</v>
      </c>
      <c r="AC71" s="1144">
        <f t="shared" si="11"/>
        <v>0</v>
      </c>
      <c r="AD71" s="1148">
        <f t="shared" ref="AD71:AD134" si="20">Q71*X71</f>
        <v>189.2371960999177</v>
      </c>
      <c r="AE71" s="1487">
        <v>0</v>
      </c>
      <c r="AF71" s="1145">
        <f t="shared" si="12"/>
        <v>189.2371960999177</v>
      </c>
      <c r="AG71" s="1149">
        <f>IFERROR(VLOOKUP(CONCATENATE($L71,$N71),'Drop List'!$G$23:$K$87,2,FALSE),0)</f>
        <v>0</v>
      </c>
      <c r="AH71" s="1150">
        <f>IFERROR(VLOOKUP(CONCATENATE($L71,$N71),'Drop List'!$G$23:$K$87,3,FALSE),0)</f>
        <v>0</v>
      </c>
      <c r="AI71" s="1150">
        <f>IFERROR(VLOOKUP(CONCATENATE($L71,$N71),'Drop List'!$G$23:$K$87,4,FALSE),0)</f>
        <v>1</v>
      </c>
      <c r="AJ71" s="1151">
        <f>IFERROR(VLOOKUP(CONCATENATE($L71,$N71),'Drop List'!$G$23:$K$87,5,FALSE),0)</f>
        <v>0</v>
      </c>
      <c r="AK71" s="1152">
        <f t="shared" si="13"/>
        <v>0</v>
      </c>
      <c r="AL71" s="1153">
        <f t="shared" si="14"/>
        <v>0</v>
      </c>
      <c r="AM71" s="1153">
        <f t="shared" si="15"/>
        <v>189.2371960999177</v>
      </c>
      <c r="AN71" s="1145">
        <f t="shared" si="16"/>
        <v>0</v>
      </c>
      <c r="AO71" s="1154">
        <f t="shared" si="17"/>
        <v>189.2371960999177</v>
      </c>
      <c r="AP71" s="1147">
        <f t="shared" ref="AP71:AP134" si="21">IF($L71="14",$AF71,0)</f>
        <v>0</v>
      </c>
      <c r="AQ71" s="1144">
        <f t="shared" ref="AQ71:AQ134" si="22">IF($L71="15",$AF71,0)</f>
        <v>0</v>
      </c>
      <c r="AR71" s="1146">
        <f t="shared" ref="AR71:AR134" si="23">AO71+AP71+AQ71</f>
        <v>189.2371960999177</v>
      </c>
    </row>
    <row r="72" spans="1:44" x14ac:dyDescent="0.2">
      <c r="A72" s="1141" t="str">
        <f t="shared" si="18"/>
        <v>1510</v>
      </c>
      <c r="B72" s="1141" t="str">
        <f>IFERROR(VLOOKUP(A72,'LAC 103'!A:C,3,FALSE),"")</f>
        <v>OP</v>
      </c>
      <c r="C72" s="1478" t="str">
        <f>Info!$B$8</f>
        <v>00100</v>
      </c>
      <c r="D72" s="1474" t="s">
        <v>1100</v>
      </c>
      <c r="E72" s="1474" t="s">
        <v>95</v>
      </c>
      <c r="F72" s="1478" t="s">
        <v>77</v>
      </c>
      <c r="G72" s="1478" t="s">
        <v>77</v>
      </c>
      <c r="H72" s="1474" t="s">
        <v>970</v>
      </c>
      <c r="I72" s="1478" t="s">
        <v>817</v>
      </c>
      <c r="J72" s="1478"/>
      <c r="K72" s="1475" t="s">
        <v>851</v>
      </c>
      <c r="L72" s="1474" t="s">
        <v>584</v>
      </c>
      <c r="M72" s="1476" t="s">
        <v>1699</v>
      </c>
      <c r="N72" s="1477" t="s">
        <v>1694</v>
      </c>
      <c r="O72" s="1479">
        <v>5447</v>
      </c>
      <c r="P72" s="1479"/>
      <c r="Q72" s="1142">
        <f t="shared" si="19"/>
        <v>5447</v>
      </c>
      <c r="R72" s="1143">
        <f>IFERROR(VLOOKUP(CONCATENATE(E72,G72),'LAC 103'!$A$12:$O$95,11,FALSE),0)</f>
        <v>3.2074101033884355</v>
      </c>
      <c r="S72" s="1144">
        <f>IFERROR(VLOOKUP(CONCATENATE($E72,$G72),'LAC 103'!$A$12:$O$95,12,FALSE),0)</f>
        <v>3.99</v>
      </c>
      <c r="T72" s="1144">
        <f>IFERROR(VLOOKUP(CONCATENATE($E72,$G72),'LAC 103'!$A$12:$O$95,13,FALSE),0)</f>
        <v>2.48</v>
      </c>
      <c r="U72" s="1144">
        <f>IFERROR(VLOOKUP(CONCATENATE($E72,$G72),'LAC 103'!$A$12:$O$95,14,FALSE),0)</f>
        <v>0</v>
      </c>
      <c r="V72" s="1144">
        <f>IFERROR(VLOOKUP(CONCATENATE($E72,$G72),'LAC 103'!$A$12:$O$95,15,FALSE),0)</f>
        <v>0</v>
      </c>
      <c r="W72" s="1145" t="str">
        <f>IFERROR(VLOOKUP(CONCATENATE($B72,$N72),'LAC 103'!$AI:$AQ,9,FALSE),"")</f>
        <v>Costs</v>
      </c>
      <c r="X72" s="1146">
        <f t="shared" ref="X72:X135" si="24">IF($W72="Costs",$R72,IF($W72="CMA",$S72,IF($W72="P.C.",$T72,IF($W72="SMA",$U72,$V72))))</f>
        <v>3.2074101033884355</v>
      </c>
      <c r="Y72" s="1143">
        <f t="shared" ref="Y72:Y135" si="25">$Q72*R72</f>
        <v>17470.762833156808</v>
      </c>
      <c r="Z72" s="1147">
        <f t="shared" ref="Z72:Z135" si="26">IF(S72=0,Y72,$Q72*S72)</f>
        <v>21733.530000000002</v>
      </c>
      <c r="AA72" s="1144">
        <f t="shared" ref="AA72:AA135" si="27">IF(T72=0,Y72,$Q72*T72)</f>
        <v>13508.56</v>
      </c>
      <c r="AB72" s="1144">
        <f t="shared" ref="AB72:AB135" si="28">$Q72*U72</f>
        <v>0</v>
      </c>
      <c r="AC72" s="1144">
        <f t="shared" ref="AC72:AC135" si="29">$Q72*V72</f>
        <v>0</v>
      </c>
      <c r="AD72" s="1148">
        <f t="shared" si="20"/>
        <v>17470.762833156808</v>
      </c>
      <c r="AE72" s="1487">
        <v>0</v>
      </c>
      <c r="AF72" s="1145">
        <f t="shared" ref="AF72:AF135" si="30">AD72-AE72</f>
        <v>17470.762833156808</v>
      </c>
      <c r="AG72" s="1149">
        <f>IFERROR(VLOOKUP(CONCATENATE($L72,$N72),'Drop List'!$G$23:$K$87,2,FALSE),0)</f>
        <v>0.56200000000000006</v>
      </c>
      <c r="AH72" s="1150">
        <f>IFERROR(VLOOKUP(CONCATENATE($L72,$N72),'Drop List'!$G$23:$K$87,3,FALSE),0)</f>
        <v>0</v>
      </c>
      <c r="AI72" s="1150">
        <f>IFERROR(VLOOKUP(CONCATENATE($L72,$N72),'Drop List'!$G$23:$K$87,4,FALSE),0)</f>
        <v>0</v>
      </c>
      <c r="AJ72" s="1151">
        <f>IFERROR(VLOOKUP(CONCATENATE($L72,$N72),'Drop List'!$G$23:$K$87,5,FALSE),0)</f>
        <v>0.43799999999999994</v>
      </c>
      <c r="AK72" s="1152">
        <f t="shared" ref="AK72:AK135" si="31">IFERROR($AF72*AG72,0)</f>
        <v>9818.5687122341278</v>
      </c>
      <c r="AL72" s="1153">
        <f t="shared" ref="AL72:AL135" si="32">IFERROR($AF72*AH72,0)</f>
        <v>0</v>
      </c>
      <c r="AM72" s="1153">
        <f t="shared" ref="AM72:AM135" si="33">IFERROR($AF72*AI72,0)</f>
        <v>0</v>
      </c>
      <c r="AN72" s="1145">
        <f t="shared" ref="AN72:AN135" si="34">IFERROR($AF72*AJ72,0)</f>
        <v>7652.1941209226816</v>
      </c>
      <c r="AO72" s="1154">
        <f t="shared" ref="AO72:AO135" si="35">SUM(AK72:AN72)</f>
        <v>17470.762833156808</v>
      </c>
      <c r="AP72" s="1147">
        <f t="shared" si="21"/>
        <v>0</v>
      </c>
      <c r="AQ72" s="1144">
        <f t="shared" si="22"/>
        <v>0</v>
      </c>
      <c r="AR72" s="1146">
        <f t="shared" si="23"/>
        <v>17470.762833156808</v>
      </c>
    </row>
    <row r="73" spans="1:44" x14ac:dyDescent="0.2">
      <c r="A73" s="1141" t="str">
        <f t="shared" si="18"/>
        <v>1510</v>
      </c>
      <c r="B73" s="1141" t="str">
        <f>IFERROR(VLOOKUP(A73,'LAC 103'!A:C,3,FALSE),"")</f>
        <v>OP</v>
      </c>
      <c r="C73" s="1478" t="str">
        <f>Info!$B$8</f>
        <v>00100</v>
      </c>
      <c r="D73" s="1474" t="s">
        <v>1100</v>
      </c>
      <c r="E73" s="1474" t="s">
        <v>95</v>
      </c>
      <c r="F73" s="1478" t="s">
        <v>77</v>
      </c>
      <c r="G73" s="1478" t="s">
        <v>77</v>
      </c>
      <c r="H73" s="1474" t="s">
        <v>970</v>
      </c>
      <c r="I73" s="1478" t="s">
        <v>817</v>
      </c>
      <c r="J73" s="1478"/>
      <c r="K73" s="1475" t="s">
        <v>851</v>
      </c>
      <c r="L73" s="1474" t="s">
        <v>584</v>
      </c>
      <c r="M73" s="1476" t="s">
        <v>841</v>
      </c>
      <c r="N73" s="1477" t="s">
        <v>1695</v>
      </c>
      <c r="O73" s="1479">
        <v>3908</v>
      </c>
      <c r="P73" s="1479"/>
      <c r="Q73" s="1142">
        <f t="shared" si="19"/>
        <v>3908</v>
      </c>
      <c r="R73" s="1143">
        <f>IFERROR(VLOOKUP(CONCATENATE(E73,G73),'LAC 103'!$A$12:$O$95,11,FALSE),0)</f>
        <v>3.2074101033884355</v>
      </c>
      <c r="S73" s="1144">
        <f>IFERROR(VLOOKUP(CONCATENATE($E73,$G73),'LAC 103'!$A$12:$O$95,12,FALSE),0)</f>
        <v>3.99</v>
      </c>
      <c r="T73" s="1144">
        <f>IFERROR(VLOOKUP(CONCATENATE($E73,$G73),'LAC 103'!$A$12:$O$95,13,FALSE),0)</f>
        <v>2.48</v>
      </c>
      <c r="U73" s="1144">
        <f>IFERROR(VLOOKUP(CONCATENATE($E73,$G73),'LAC 103'!$A$12:$O$95,14,FALSE),0)</f>
        <v>0</v>
      </c>
      <c r="V73" s="1144">
        <f>IFERROR(VLOOKUP(CONCATENATE($E73,$G73),'LAC 103'!$A$12:$O$95,15,FALSE),0)</f>
        <v>0</v>
      </c>
      <c r="W73" s="1145" t="str">
        <f>IFERROR(VLOOKUP(CONCATENATE($B73,$N73),'LAC 103'!$AI:$AQ,9,FALSE),"")</f>
        <v>Costs</v>
      </c>
      <c r="X73" s="1146">
        <f t="shared" si="24"/>
        <v>3.2074101033884355</v>
      </c>
      <c r="Y73" s="1143">
        <f t="shared" si="25"/>
        <v>12534.558684042006</v>
      </c>
      <c r="Z73" s="1147">
        <f t="shared" si="26"/>
        <v>15592.92</v>
      </c>
      <c r="AA73" s="1144">
        <f t="shared" si="27"/>
        <v>9691.84</v>
      </c>
      <c r="AB73" s="1144">
        <f t="shared" si="28"/>
        <v>0</v>
      </c>
      <c r="AC73" s="1144">
        <f t="shared" si="29"/>
        <v>0</v>
      </c>
      <c r="AD73" s="1148">
        <f t="shared" si="20"/>
        <v>12534.558684042006</v>
      </c>
      <c r="AE73" s="1487">
        <v>0</v>
      </c>
      <c r="AF73" s="1145">
        <f t="shared" si="30"/>
        <v>12534.558684042006</v>
      </c>
      <c r="AG73" s="1149">
        <f>IFERROR(VLOOKUP(CONCATENATE($L73,$N73),'Drop List'!$G$23:$K$87,2,FALSE),0)</f>
        <v>0.55000000000000004</v>
      </c>
      <c r="AH73" s="1150">
        <f>IFERROR(VLOOKUP(CONCATENATE($L73,$N73),'Drop List'!$G$23:$K$87,3,FALSE),0)</f>
        <v>0</v>
      </c>
      <c r="AI73" s="1150">
        <f>IFERROR(VLOOKUP(CONCATENATE($L73,$N73),'Drop List'!$G$23:$K$87,4,FALSE),0)</f>
        <v>0</v>
      </c>
      <c r="AJ73" s="1151">
        <f>IFERROR(VLOOKUP(CONCATENATE($L73,$N73),'Drop List'!$G$23:$K$87,5,FALSE),0)</f>
        <v>0.44999999999999996</v>
      </c>
      <c r="AK73" s="1152">
        <f t="shared" si="31"/>
        <v>6894.0072762231039</v>
      </c>
      <c r="AL73" s="1153">
        <f t="shared" si="32"/>
        <v>0</v>
      </c>
      <c r="AM73" s="1153">
        <f t="shared" si="33"/>
        <v>0</v>
      </c>
      <c r="AN73" s="1145">
        <f t="shared" si="34"/>
        <v>5640.5514078189017</v>
      </c>
      <c r="AO73" s="1154">
        <f t="shared" si="35"/>
        <v>12534.558684042006</v>
      </c>
      <c r="AP73" s="1147">
        <f t="shared" si="21"/>
        <v>0</v>
      </c>
      <c r="AQ73" s="1144">
        <f t="shared" si="22"/>
        <v>0</v>
      </c>
      <c r="AR73" s="1146">
        <f t="shared" si="23"/>
        <v>12534.558684042006</v>
      </c>
    </row>
    <row r="74" spans="1:44" x14ac:dyDescent="0.2">
      <c r="A74" s="1141" t="str">
        <f t="shared" si="18"/>
        <v>1510</v>
      </c>
      <c r="B74" s="1141" t="str">
        <f>IFERROR(VLOOKUP(A74,'LAC 103'!A:C,3,FALSE),"")</f>
        <v>OP</v>
      </c>
      <c r="C74" s="1478" t="str">
        <f>Info!$B$8</f>
        <v>00100</v>
      </c>
      <c r="D74" s="1474" t="s">
        <v>1100</v>
      </c>
      <c r="E74" s="1474" t="s">
        <v>95</v>
      </c>
      <c r="F74" s="1478" t="s">
        <v>77</v>
      </c>
      <c r="G74" s="1478" t="s">
        <v>77</v>
      </c>
      <c r="H74" s="1474" t="s">
        <v>970</v>
      </c>
      <c r="I74" s="1478" t="s">
        <v>817</v>
      </c>
      <c r="J74" s="1478"/>
      <c r="K74" s="1475" t="s">
        <v>851</v>
      </c>
      <c r="L74" s="1474" t="s">
        <v>584</v>
      </c>
      <c r="M74" s="1476" t="s">
        <v>840</v>
      </c>
      <c r="N74" s="1477" t="s">
        <v>1700</v>
      </c>
      <c r="O74" s="1479">
        <v>3214</v>
      </c>
      <c r="P74" s="1479"/>
      <c r="Q74" s="1142">
        <f t="shared" si="19"/>
        <v>3214</v>
      </c>
      <c r="R74" s="1143">
        <f>IFERROR(VLOOKUP(CONCATENATE(E74,G74),'LAC 103'!$A$12:$O$95,11,FALSE),0)</f>
        <v>3.2074101033884355</v>
      </c>
      <c r="S74" s="1144">
        <f>IFERROR(VLOOKUP(CONCATENATE($E74,$G74),'LAC 103'!$A$12:$O$95,12,FALSE),0)</f>
        <v>3.99</v>
      </c>
      <c r="T74" s="1144">
        <f>IFERROR(VLOOKUP(CONCATENATE($E74,$G74),'LAC 103'!$A$12:$O$95,13,FALSE),0)</f>
        <v>2.48</v>
      </c>
      <c r="U74" s="1144">
        <f>IFERROR(VLOOKUP(CONCATENATE($E74,$G74),'LAC 103'!$A$12:$O$95,14,FALSE),0)</f>
        <v>0</v>
      </c>
      <c r="V74" s="1144">
        <f>IFERROR(VLOOKUP(CONCATENATE($E74,$G74),'LAC 103'!$A$12:$O$95,15,FALSE),0)</f>
        <v>0</v>
      </c>
      <c r="W74" s="1145" t="str">
        <f>IFERROR(VLOOKUP(CONCATENATE($B74,$N74),'LAC 103'!$AI:$AQ,9,FALSE),"")</f>
        <v>P.C.</v>
      </c>
      <c r="X74" s="1146">
        <f t="shared" si="24"/>
        <v>2.48</v>
      </c>
      <c r="Y74" s="1143">
        <f t="shared" si="25"/>
        <v>10308.616072290431</v>
      </c>
      <c r="Z74" s="1147">
        <f t="shared" si="26"/>
        <v>12823.86</v>
      </c>
      <c r="AA74" s="1144">
        <f t="shared" si="27"/>
        <v>7970.72</v>
      </c>
      <c r="AB74" s="1144">
        <f t="shared" si="28"/>
        <v>0</v>
      </c>
      <c r="AC74" s="1144">
        <f t="shared" si="29"/>
        <v>0</v>
      </c>
      <c r="AD74" s="1148">
        <f t="shared" si="20"/>
        <v>7970.72</v>
      </c>
      <c r="AE74" s="1487">
        <v>0</v>
      </c>
      <c r="AF74" s="1145">
        <f t="shared" si="30"/>
        <v>7970.72</v>
      </c>
      <c r="AG74" s="1149">
        <f>IFERROR(VLOOKUP(CONCATENATE($L74,$N74),'Drop List'!$G$23:$K$87,2,FALSE),0)</f>
        <v>0.55000000000000004</v>
      </c>
      <c r="AH74" s="1150">
        <f>IFERROR(VLOOKUP(CONCATENATE($L74,$N74),'Drop List'!$G$23:$K$87,3,FALSE),0)</f>
        <v>0</v>
      </c>
      <c r="AI74" s="1150">
        <f>IFERROR(VLOOKUP(CONCATENATE($L74,$N74),'Drop List'!$G$23:$K$87,4,FALSE),0)</f>
        <v>0</v>
      </c>
      <c r="AJ74" s="1151">
        <f>IFERROR(VLOOKUP(CONCATENATE($L74,$N74),'Drop List'!$G$23:$K$87,5,FALSE),0)</f>
        <v>0.44999999999999996</v>
      </c>
      <c r="AK74" s="1152">
        <f t="shared" si="31"/>
        <v>4383.8960000000006</v>
      </c>
      <c r="AL74" s="1153">
        <f t="shared" si="32"/>
        <v>0</v>
      </c>
      <c r="AM74" s="1153">
        <f t="shared" si="33"/>
        <v>0</v>
      </c>
      <c r="AN74" s="1145">
        <f t="shared" si="34"/>
        <v>3586.8239999999996</v>
      </c>
      <c r="AO74" s="1154">
        <f t="shared" si="35"/>
        <v>7970.72</v>
      </c>
      <c r="AP74" s="1147">
        <f t="shared" si="21"/>
        <v>0</v>
      </c>
      <c r="AQ74" s="1144">
        <f t="shared" si="22"/>
        <v>0</v>
      </c>
      <c r="AR74" s="1146">
        <f t="shared" si="23"/>
        <v>7970.72</v>
      </c>
    </row>
    <row r="75" spans="1:44" x14ac:dyDescent="0.2">
      <c r="A75" s="1141" t="str">
        <f t="shared" si="18"/>
        <v>1510</v>
      </c>
      <c r="B75" s="1141" t="str">
        <f>IFERROR(VLOOKUP(A75,'LAC 103'!A:C,3,FALSE),"")</f>
        <v>OP</v>
      </c>
      <c r="C75" s="1478" t="str">
        <f>Info!$B$8</f>
        <v>00100</v>
      </c>
      <c r="D75" s="1474" t="s">
        <v>1100</v>
      </c>
      <c r="E75" s="1474" t="s">
        <v>95</v>
      </c>
      <c r="F75" s="1478" t="s">
        <v>77</v>
      </c>
      <c r="G75" s="1478" t="s">
        <v>77</v>
      </c>
      <c r="H75" s="1474" t="s">
        <v>970</v>
      </c>
      <c r="I75" s="1478" t="s">
        <v>817</v>
      </c>
      <c r="J75" s="1478"/>
      <c r="K75" s="1475" t="s">
        <v>851</v>
      </c>
      <c r="L75" s="1474" t="s">
        <v>584</v>
      </c>
      <c r="M75" s="1476" t="s">
        <v>842</v>
      </c>
      <c r="N75" s="1477" t="s">
        <v>1692</v>
      </c>
      <c r="O75" s="1479">
        <v>3794</v>
      </c>
      <c r="P75" s="1479"/>
      <c r="Q75" s="1142">
        <f t="shared" si="19"/>
        <v>3794</v>
      </c>
      <c r="R75" s="1143">
        <f>IFERROR(VLOOKUP(CONCATENATE(E75,G75),'LAC 103'!$A$12:$O$95,11,FALSE),0)</f>
        <v>3.2074101033884355</v>
      </c>
      <c r="S75" s="1144">
        <f>IFERROR(VLOOKUP(CONCATENATE($E75,$G75),'LAC 103'!$A$12:$O$95,12,FALSE),0)</f>
        <v>3.99</v>
      </c>
      <c r="T75" s="1144">
        <f>IFERROR(VLOOKUP(CONCATENATE($E75,$G75),'LAC 103'!$A$12:$O$95,13,FALSE),0)</f>
        <v>2.48</v>
      </c>
      <c r="U75" s="1144">
        <f>IFERROR(VLOOKUP(CONCATENATE($E75,$G75),'LAC 103'!$A$12:$O$95,14,FALSE),0)</f>
        <v>0</v>
      </c>
      <c r="V75" s="1144">
        <f>IFERROR(VLOOKUP(CONCATENATE($E75,$G75),'LAC 103'!$A$12:$O$95,15,FALSE),0)</f>
        <v>0</v>
      </c>
      <c r="W75" s="1145" t="str">
        <f>IFERROR(VLOOKUP(CONCATENATE($B75,$N75),'LAC 103'!$AI:$AQ,9,FALSE),"")</f>
        <v>Costs</v>
      </c>
      <c r="X75" s="1146">
        <f t="shared" si="24"/>
        <v>3.2074101033884355</v>
      </c>
      <c r="Y75" s="1143">
        <f t="shared" si="25"/>
        <v>12168.913932255724</v>
      </c>
      <c r="Z75" s="1147">
        <f t="shared" si="26"/>
        <v>15138.060000000001</v>
      </c>
      <c r="AA75" s="1144">
        <f t="shared" si="27"/>
        <v>9409.1200000000008</v>
      </c>
      <c r="AB75" s="1144">
        <f t="shared" si="28"/>
        <v>0</v>
      </c>
      <c r="AC75" s="1144">
        <f t="shared" si="29"/>
        <v>0</v>
      </c>
      <c r="AD75" s="1148">
        <f t="shared" si="20"/>
        <v>12168.913932255724</v>
      </c>
      <c r="AE75" s="1487">
        <v>0</v>
      </c>
      <c r="AF75" s="1145">
        <f t="shared" si="30"/>
        <v>12168.913932255724</v>
      </c>
      <c r="AG75" s="1149">
        <f>IFERROR(VLOOKUP(CONCATENATE($L75,$N75),'Drop List'!$G$23:$K$87,2,FALSE),0)</f>
        <v>0.56200000000000006</v>
      </c>
      <c r="AH75" s="1150">
        <f>IFERROR(VLOOKUP(CONCATENATE($L75,$N75),'Drop List'!$G$23:$K$87,3,FALSE),0)</f>
        <v>0</v>
      </c>
      <c r="AI75" s="1150">
        <f>IFERROR(VLOOKUP(CONCATENATE($L75,$N75),'Drop List'!$G$23:$K$87,4,FALSE),0)</f>
        <v>0</v>
      </c>
      <c r="AJ75" s="1151">
        <f>IFERROR(VLOOKUP(CONCATENATE($L75,$N75),'Drop List'!$G$23:$K$87,5,FALSE),0)</f>
        <v>0.43799999999999994</v>
      </c>
      <c r="AK75" s="1152">
        <f t="shared" si="31"/>
        <v>6838.9296299277175</v>
      </c>
      <c r="AL75" s="1153">
        <f t="shared" si="32"/>
        <v>0</v>
      </c>
      <c r="AM75" s="1153">
        <f t="shared" si="33"/>
        <v>0</v>
      </c>
      <c r="AN75" s="1145">
        <f t="shared" si="34"/>
        <v>5329.9843023280064</v>
      </c>
      <c r="AO75" s="1154">
        <f t="shared" si="35"/>
        <v>12168.913932255724</v>
      </c>
      <c r="AP75" s="1147">
        <f t="shared" si="21"/>
        <v>0</v>
      </c>
      <c r="AQ75" s="1144">
        <f t="shared" si="22"/>
        <v>0</v>
      </c>
      <c r="AR75" s="1146">
        <f t="shared" si="23"/>
        <v>12168.913932255724</v>
      </c>
    </row>
    <row r="76" spans="1:44" x14ac:dyDescent="0.2">
      <c r="A76" s="1141" t="str">
        <f t="shared" si="18"/>
        <v>1510</v>
      </c>
      <c r="B76" s="1141" t="str">
        <f>IFERROR(VLOOKUP(A76,'LAC 103'!A:C,3,FALSE),"")</f>
        <v>OP</v>
      </c>
      <c r="C76" s="1478" t="str">
        <f>Info!$B$8</f>
        <v>00100</v>
      </c>
      <c r="D76" s="1474" t="s">
        <v>1100</v>
      </c>
      <c r="E76" s="1474" t="s">
        <v>95</v>
      </c>
      <c r="F76" s="1478" t="s">
        <v>77</v>
      </c>
      <c r="G76" s="1478" t="s">
        <v>77</v>
      </c>
      <c r="H76" s="1474" t="s">
        <v>970</v>
      </c>
      <c r="I76" s="1478" t="s">
        <v>817</v>
      </c>
      <c r="J76" s="1478"/>
      <c r="K76" s="1475" t="s">
        <v>851</v>
      </c>
      <c r="L76" s="1474" t="s">
        <v>584</v>
      </c>
      <c r="M76" s="1476" t="s">
        <v>1698</v>
      </c>
      <c r="N76" s="1477" t="s">
        <v>1693</v>
      </c>
      <c r="O76" s="1479">
        <v>2556</v>
      </c>
      <c r="P76" s="1479"/>
      <c r="Q76" s="1142">
        <f t="shared" si="19"/>
        <v>2556</v>
      </c>
      <c r="R76" s="1143">
        <f>IFERROR(VLOOKUP(CONCATENATE(E76,G76),'LAC 103'!$A$12:$O$95,11,FALSE),0)</f>
        <v>3.2074101033884355</v>
      </c>
      <c r="S76" s="1144">
        <f>IFERROR(VLOOKUP(CONCATENATE($E76,$G76),'LAC 103'!$A$12:$O$95,12,FALSE),0)</f>
        <v>3.99</v>
      </c>
      <c r="T76" s="1144">
        <f>IFERROR(VLOOKUP(CONCATENATE($E76,$G76),'LAC 103'!$A$12:$O$95,13,FALSE),0)</f>
        <v>2.48</v>
      </c>
      <c r="U76" s="1144">
        <f>IFERROR(VLOOKUP(CONCATENATE($E76,$G76),'LAC 103'!$A$12:$O$95,14,FALSE),0)</f>
        <v>0</v>
      </c>
      <c r="V76" s="1144">
        <f>IFERROR(VLOOKUP(CONCATENATE($E76,$G76),'LAC 103'!$A$12:$O$95,15,FALSE),0)</f>
        <v>0</v>
      </c>
      <c r="W76" s="1145" t="str">
        <f>IFERROR(VLOOKUP(CONCATENATE($B76,$N76),'LAC 103'!$AI:$AQ,9,FALSE),"")</f>
        <v>Costs</v>
      </c>
      <c r="X76" s="1146">
        <f t="shared" si="24"/>
        <v>3.2074101033884355</v>
      </c>
      <c r="Y76" s="1143">
        <f t="shared" si="25"/>
        <v>8198.1402242608419</v>
      </c>
      <c r="Z76" s="1147">
        <f t="shared" si="26"/>
        <v>10198.44</v>
      </c>
      <c r="AA76" s="1144">
        <f t="shared" si="27"/>
        <v>6338.88</v>
      </c>
      <c r="AB76" s="1144">
        <f t="shared" si="28"/>
        <v>0</v>
      </c>
      <c r="AC76" s="1144">
        <f t="shared" si="29"/>
        <v>0</v>
      </c>
      <c r="AD76" s="1148">
        <f t="shared" si="20"/>
        <v>8198.1402242608419</v>
      </c>
      <c r="AE76" s="1487">
        <v>0</v>
      </c>
      <c r="AF76" s="1145">
        <f t="shared" si="30"/>
        <v>8198.1402242608419</v>
      </c>
      <c r="AG76" s="1149">
        <f>IFERROR(VLOOKUP(CONCATENATE($L76,$N76),'Drop List'!$G$23:$K$87,2,FALSE),0)</f>
        <v>0.56200000000000006</v>
      </c>
      <c r="AH76" s="1150">
        <f>IFERROR(VLOOKUP(CONCATENATE($L76,$N76),'Drop List'!$G$23:$K$87,3,FALSE),0)</f>
        <v>0</v>
      </c>
      <c r="AI76" s="1150">
        <f>IFERROR(VLOOKUP(CONCATENATE($L76,$N76),'Drop List'!$G$23:$K$87,4,FALSE),0)</f>
        <v>0</v>
      </c>
      <c r="AJ76" s="1151">
        <f>IFERROR(VLOOKUP(CONCATENATE($L76,$N76),'Drop List'!$G$23:$K$87,5,FALSE),0)</f>
        <v>0.43799999999999994</v>
      </c>
      <c r="AK76" s="1152">
        <f t="shared" si="31"/>
        <v>4607.3548060345938</v>
      </c>
      <c r="AL76" s="1153">
        <f t="shared" si="32"/>
        <v>0</v>
      </c>
      <c r="AM76" s="1153">
        <f t="shared" si="33"/>
        <v>0</v>
      </c>
      <c r="AN76" s="1145">
        <f t="shared" si="34"/>
        <v>3590.7854182262481</v>
      </c>
      <c r="AO76" s="1154">
        <f t="shared" si="35"/>
        <v>8198.1402242608419</v>
      </c>
      <c r="AP76" s="1147">
        <f t="shared" si="21"/>
        <v>0</v>
      </c>
      <c r="AQ76" s="1144">
        <f t="shared" si="22"/>
        <v>0</v>
      </c>
      <c r="AR76" s="1146">
        <f t="shared" si="23"/>
        <v>8198.1402242608419</v>
      </c>
    </row>
    <row r="77" spans="1:44" x14ac:dyDescent="0.2">
      <c r="A77" s="1141" t="str">
        <f t="shared" si="18"/>
        <v>1542</v>
      </c>
      <c r="B77" s="1141" t="str">
        <f>IFERROR(VLOOKUP(A77,'LAC 103'!A:C,3,FALSE),"")</f>
        <v>OP</v>
      </c>
      <c r="C77" s="1478" t="str">
        <f>Info!$B$8</f>
        <v>00100</v>
      </c>
      <c r="D77" s="1474" t="s">
        <v>1100</v>
      </c>
      <c r="E77" s="1474" t="s">
        <v>95</v>
      </c>
      <c r="F77" s="1478" t="s">
        <v>392</v>
      </c>
      <c r="G77" s="1478" t="s">
        <v>392</v>
      </c>
      <c r="H77" s="1474" t="s">
        <v>1009</v>
      </c>
      <c r="I77" s="1478" t="s">
        <v>826</v>
      </c>
      <c r="J77" s="1478" t="s">
        <v>123</v>
      </c>
      <c r="K77" s="1475" t="s">
        <v>852</v>
      </c>
      <c r="L77" s="1474" t="s">
        <v>591</v>
      </c>
      <c r="M77" s="1476" t="s">
        <v>842</v>
      </c>
      <c r="N77" s="1477" t="s">
        <v>1692</v>
      </c>
      <c r="O77" s="1479">
        <v>517</v>
      </c>
      <c r="P77" s="1479"/>
      <c r="Q77" s="1142">
        <f t="shared" si="19"/>
        <v>517</v>
      </c>
      <c r="R77" s="1143">
        <f>IFERROR(VLOOKUP(CONCATENATE(E77,G77),'LAC 103'!$A$12:$O$95,11,FALSE),0)</f>
        <v>3.2074101033884355</v>
      </c>
      <c r="S77" s="1144">
        <f>IFERROR(VLOOKUP(CONCATENATE($E77,$G77),'LAC 103'!$A$12:$O$95,12,FALSE),0)</f>
        <v>3.99</v>
      </c>
      <c r="T77" s="1144">
        <f>IFERROR(VLOOKUP(CONCATENATE($E77,$G77),'LAC 103'!$A$12:$O$95,13,FALSE),0)</f>
        <v>2.48</v>
      </c>
      <c r="U77" s="1144">
        <f>IFERROR(VLOOKUP(CONCATENATE($E77,$G77),'LAC 103'!$A$12:$O$95,14,FALSE),0)</f>
        <v>0</v>
      </c>
      <c r="V77" s="1144">
        <f>IFERROR(VLOOKUP(CONCATENATE($E77,$G77),'LAC 103'!$A$12:$O$95,15,FALSE),0)</f>
        <v>0</v>
      </c>
      <c r="W77" s="1145" t="str">
        <f>IFERROR(VLOOKUP(CONCATENATE($B77,$N77),'LAC 103'!$AI:$AQ,9,FALSE),"")</f>
        <v>Costs</v>
      </c>
      <c r="X77" s="1146">
        <f t="shared" si="24"/>
        <v>3.2074101033884355</v>
      </c>
      <c r="Y77" s="1143">
        <f t="shared" si="25"/>
        <v>1658.2310234518211</v>
      </c>
      <c r="Z77" s="1147">
        <f t="shared" si="26"/>
        <v>2062.83</v>
      </c>
      <c r="AA77" s="1144">
        <f t="shared" si="27"/>
        <v>1282.1600000000001</v>
      </c>
      <c r="AB77" s="1144">
        <f t="shared" si="28"/>
        <v>0</v>
      </c>
      <c r="AC77" s="1144">
        <f t="shared" si="29"/>
        <v>0</v>
      </c>
      <c r="AD77" s="1148">
        <f t="shared" si="20"/>
        <v>1658.2310234518211</v>
      </c>
      <c r="AE77" s="1487">
        <v>0</v>
      </c>
      <c r="AF77" s="1145">
        <f t="shared" si="30"/>
        <v>1658.2310234518211</v>
      </c>
      <c r="AG77" s="1149">
        <f>IFERROR(VLOOKUP(CONCATENATE($L77,$N77),'Drop List'!$G$23:$K$87,2,FALSE),0)</f>
        <v>0.69340000000000002</v>
      </c>
      <c r="AH77" s="1150">
        <f>IFERROR(VLOOKUP(CONCATENATE($L77,$N77),'Drop List'!$G$23:$K$87,3,FALSE),0)</f>
        <v>0</v>
      </c>
      <c r="AI77" s="1150">
        <f>IFERROR(VLOOKUP(CONCATENATE($L77,$N77),'Drop List'!$G$23:$K$87,4,FALSE),0)</f>
        <v>0</v>
      </c>
      <c r="AJ77" s="1151">
        <f>IFERROR(VLOOKUP(CONCATENATE($L77,$N77),'Drop List'!$G$23:$K$87,5,FALSE),0)</f>
        <v>0.30659999999999998</v>
      </c>
      <c r="AK77" s="1152">
        <f t="shared" si="31"/>
        <v>1149.8173916614928</v>
      </c>
      <c r="AL77" s="1153">
        <f t="shared" si="32"/>
        <v>0</v>
      </c>
      <c r="AM77" s="1153">
        <f t="shared" si="33"/>
        <v>0</v>
      </c>
      <c r="AN77" s="1145">
        <f t="shared" si="34"/>
        <v>508.41363179032834</v>
      </c>
      <c r="AO77" s="1154">
        <f t="shared" si="35"/>
        <v>1658.2310234518211</v>
      </c>
      <c r="AP77" s="1147">
        <f t="shared" si="21"/>
        <v>0</v>
      </c>
      <c r="AQ77" s="1144">
        <f t="shared" si="22"/>
        <v>0</v>
      </c>
      <c r="AR77" s="1146">
        <f t="shared" si="23"/>
        <v>1658.2310234518211</v>
      </c>
    </row>
    <row r="78" spans="1:44" x14ac:dyDescent="0.2">
      <c r="A78" s="1141" t="str">
        <f t="shared" si="18"/>
        <v>1542</v>
      </c>
      <c r="B78" s="1141" t="str">
        <f>IFERROR(VLOOKUP(A78,'LAC 103'!A:C,3,FALSE),"")</f>
        <v>OP</v>
      </c>
      <c r="C78" s="1478" t="str">
        <f>Info!$B$8</f>
        <v>00100</v>
      </c>
      <c r="D78" s="1474" t="s">
        <v>1100</v>
      </c>
      <c r="E78" s="1474" t="s">
        <v>95</v>
      </c>
      <c r="F78" s="1478" t="s">
        <v>392</v>
      </c>
      <c r="G78" s="1478" t="s">
        <v>392</v>
      </c>
      <c r="H78" s="1474" t="s">
        <v>1009</v>
      </c>
      <c r="I78" s="1478" t="s">
        <v>826</v>
      </c>
      <c r="J78" s="1478"/>
      <c r="K78" s="1475" t="s">
        <v>849</v>
      </c>
      <c r="L78" s="1474" t="s">
        <v>77</v>
      </c>
      <c r="M78" s="1476" t="s">
        <v>1699</v>
      </c>
      <c r="N78" s="1477" t="s">
        <v>1694</v>
      </c>
      <c r="O78" s="1479">
        <v>4546</v>
      </c>
      <c r="P78" s="1479"/>
      <c r="Q78" s="1142">
        <f t="shared" si="19"/>
        <v>4546</v>
      </c>
      <c r="R78" s="1143">
        <f>IFERROR(VLOOKUP(CONCATENATE(E78,G78),'LAC 103'!$A$12:$O$95,11,FALSE),0)</f>
        <v>3.2074101033884355</v>
      </c>
      <c r="S78" s="1144">
        <f>IFERROR(VLOOKUP(CONCATENATE($E78,$G78),'LAC 103'!$A$12:$O$95,12,FALSE),0)</f>
        <v>3.99</v>
      </c>
      <c r="T78" s="1144">
        <f>IFERROR(VLOOKUP(CONCATENATE($E78,$G78),'LAC 103'!$A$12:$O$95,13,FALSE),0)</f>
        <v>2.48</v>
      </c>
      <c r="U78" s="1144">
        <f>IFERROR(VLOOKUP(CONCATENATE($E78,$G78),'LAC 103'!$A$12:$O$95,14,FALSE),0)</f>
        <v>0</v>
      </c>
      <c r="V78" s="1144">
        <f>IFERROR(VLOOKUP(CONCATENATE($E78,$G78),'LAC 103'!$A$12:$O$95,15,FALSE),0)</f>
        <v>0</v>
      </c>
      <c r="W78" s="1145" t="str">
        <f>IFERROR(VLOOKUP(CONCATENATE($B78,$N78),'LAC 103'!$AI:$AQ,9,FALSE),"")</f>
        <v>Costs</v>
      </c>
      <c r="X78" s="1146">
        <f t="shared" si="24"/>
        <v>3.2074101033884355</v>
      </c>
      <c r="Y78" s="1143">
        <f t="shared" si="25"/>
        <v>14580.886330003828</v>
      </c>
      <c r="Z78" s="1147">
        <f t="shared" si="26"/>
        <v>18138.54</v>
      </c>
      <c r="AA78" s="1144">
        <f t="shared" si="27"/>
        <v>11274.08</v>
      </c>
      <c r="AB78" s="1144">
        <f t="shared" si="28"/>
        <v>0</v>
      </c>
      <c r="AC78" s="1144">
        <f t="shared" si="29"/>
        <v>0</v>
      </c>
      <c r="AD78" s="1148">
        <f t="shared" si="20"/>
        <v>14580.886330003828</v>
      </c>
      <c r="AE78" s="1487">
        <v>0</v>
      </c>
      <c r="AF78" s="1145">
        <f t="shared" si="30"/>
        <v>14580.886330003828</v>
      </c>
      <c r="AG78" s="1149">
        <f>IFERROR(VLOOKUP(CONCATENATE($L78,$N78),'Drop List'!$G$23:$K$87,2,FALSE),0)</f>
        <v>0.9</v>
      </c>
      <c r="AH78" s="1150">
        <f>IFERROR(VLOOKUP(CONCATENATE($L78,$N78),'Drop List'!$G$23:$K$87,3,FALSE),0)</f>
        <v>0</v>
      </c>
      <c r="AI78" s="1150">
        <f>IFERROR(VLOOKUP(CONCATENATE($L78,$N78),'Drop List'!$G$23:$K$87,4,FALSE),0)</f>
        <v>0.1</v>
      </c>
      <c r="AJ78" s="1151">
        <f>IFERROR(VLOOKUP(CONCATENATE($L78,$N78),'Drop List'!$G$23:$K$87,5,FALSE),0)</f>
        <v>0</v>
      </c>
      <c r="AK78" s="1152">
        <f t="shared" si="31"/>
        <v>13122.797697003445</v>
      </c>
      <c r="AL78" s="1153">
        <f t="shared" si="32"/>
        <v>0</v>
      </c>
      <c r="AM78" s="1153">
        <f t="shared" si="33"/>
        <v>1458.088633000383</v>
      </c>
      <c r="AN78" s="1145">
        <f t="shared" si="34"/>
        <v>0</v>
      </c>
      <c r="AO78" s="1154">
        <f t="shared" si="35"/>
        <v>14580.886330003828</v>
      </c>
      <c r="AP78" s="1147">
        <f t="shared" si="21"/>
        <v>0</v>
      </c>
      <c r="AQ78" s="1144">
        <f t="shared" si="22"/>
        <v>0</v>
      </c>
      <c r="AR78" s="1146">
        <f t="shared" si="23"/>
        <v>14580.886330003828</v>
      </c>
    </row>
    <row r="79" spans="1:44" x14ac:dyDescent="0.2">
      <c r="A79" s="1141" t="str">
        <f t="shared" si="18"/>
        <v>1542</v>
      </c>
      <c r="B79" s="1141" t="str">
        <f>IFERROR(VLOOKUP(A79,'LAC 103'!A:C,3,FALSE),"")</f>
        <v>OP</v>
      </c>
      <c r="C79" s="1478" t="str">
        <f>Info!$B$8</f>
        <v>00100</v>
      </c>
      <c r="D79" s="1474" t="s">
        <v>1100</v>
      </c>
      <c r="E79" s="1474" t="s">
        <v>95</v>
      </c>
      <c r="F79" s="1478" t="s">
        <v>392</v>
      </c>
      <c r="G79" s="1478" t="s">
        <v>392</v>
      </c>
      <c r="H79" s="1474" t="s">
        <v>1009</v>
      </c>
      <c r="I79" s="1478" t="s">
        <v>826</v>
      </c>
      <c r="J79" s="1478"/>
      <c r="K79" s="1475" t="s">
        <v>849</v>
      </c>
      <c r="L79" s="1474" t="s">
        <v>77</v>
      </c>
      <c r="M79" s="1476" t="s">
        <v>842</v>
      </c>
      <c r="N79" s="1477" t="s">
        <v>1692</v>
      </c>
      <c r="O79" s="1479">
        <v>7942</v>
      </c>
      <c r="P79" s="1479"/>
      <c r="Q79" s="1142">
        <f t="shared" si="19"/>
        <v>7942</v>
      </c>
      <c r="R79" s="1143">
        <f>IFERROR(VLOOKUP(CONCATENATE(E79,G79),'LAC 103'!$A$12:$O$95,11,FALSE),0)</f>
        <v>3.2074101033884355</v>
      </c>
      <c r="S79" s="1144">
        <f>IFERROR(VLOOKUP(CONCATENATE($E79,$G79),'LAC 103'!$A$12:$O$95,12,FALSE),0)</f>
        <v>3.99</v>
      </c>
      <c r="T79" s="1144">
        <f>IFERROR(VLOOKUP(CONCATENATE($E79,$G79),'LAC 103'!$A$12:$O$95,13,FALSE),0)</f>
        <v>2.48</v>
      </c>
      <c r="U79" s="1144">
        <f>IFERROR(VLOOKUP(CONCATENATE($E79,$G79),'LAC 103'!$A$12:$O$95,14,FALSE),0)</f>
        <v>0</v>
      </c>
      <c r="V79" s="1144">
        <f>IFERROR(VLOOKUP(CONCATENATE($E79,$G79),'LAC 103'!$A$12:$O$95,15,FALSE),0)</f>
        <v>0</v>
      </c>
      <c r="W79" s="1145" t="str">
        <f>IFERROR(VLOOKUP(CONCATENATE($B79,$N79),'LAC 103'!$AI:$AQ,9,FALSE),"")</f>
        <v>Costs</v>
      </c>
      <c r="X79" s="1146">
        <f t="shared" si="24"/>
        <v>3.2074101033884355</v>
      </c>
      <c r="Y79" s="1143">
        <f t="shared" si="25"/>
        <v>25473.251041110954</v>
      </c>
      <c r="Z79" s="1147">
        <f t="shared" si="26"/>
        <v>31688.58</v>
      </c>
      <c r="AA79" s="1144">
        <f t="shared" si="27"/>
        <v>19696.16</v>
      </c>
      <c r="AB79" s="1144">
        <f t="shared" si="28"/>
        <v>0</v>
      </c>
      <c r="AC79" s="1144">
        <f t="shared" si="29"/>
        <v>0</v>
      </c>
      <c r="AD79" s="1148">
        <f t="shared" si="20"/>
        <v>25473.251041110954</v>
      </c>
      <c r="AE79" s="1487">
        <v>0</v>
      </c>
      <c r="AF79" s="1145">
        <f t="shared" si="30"/>
        <v>25473.251041110954</v>
      </c>
      <c r="AG79" s="1149">
        <f>IFERROR(VLOOKUP(CONCATENATE($L79,$N79),'Drop List'!$G$23:$K$87,2,FALSE),0)</f>
        <v>0.9</v>
      </c>
      <c r="AH79" s="1150">
        <f>IFERROR(VLOOKUP(CONCATENATE($L79,$N79),'Drop List'!$G$23:$K$87,3,FALSE),0)</f>
        <v>0</v>
      </c>
      <c r="AI79" s="1150">
        <f>IFERROR(VLOOKUP(CONCATENATE($L79,$N79),'Drop List'!$G$23:$K$87,4,FALSE),0)</f>
        <v>0.1</v>
      </c>
      <c r="AJ79" s="1151">
        <f>IFERROR(VLOOKUP(CONCATENATE($L79,$N79),'Drop List'!$G$23:$K$87,5,FALSE),0)</f>
        <v>0</v>
      </c>
      <c r="AK79" s="1152">
        <f t="shared" si="31"/>
        <v>22925.925936999858</v>
      </c>
      <c r="AL79" s="1153">
        <f t="shared" si="32"/>
        <v>0</v>
      </c>
      <c r="AM79" s="1153">
        <f t="shared" si="33"/>
        <v>2547.3251041110957</v>
      </c>
      <c r="AN79" s="1145">
        <f t="shared" si="34"/>
        <v>0</v>
      </c>
      <c r="AO79" s="1154">
        <f t="shared" si="35"/>
        <v>25473.251041110954</v>
      </c>
      <c r="AP79" s="1147">
        <f t="shared" si="21"/>
        <v>0</v>
      </c>
      <c r="AQ79" s="1144">
        <f t="shared" si="22"/>
        <v>0</v>
      </c>
      <c r="AR79" s="1146">
        <f t="shared" si="23"/>
        <v>25473.251041110954</v>
      </c>
    </row>
    <row r="80" spans="1:44" x14ac:dyDescent="0.2">
      <c r="A80" s="1141" t="str">
        <f t="shared" si="18"/>
        <v>1542</v>
      </c>
      <c r="B80" s="1141" t="str">
        <f>IFERROR(VLOOKUP(A80,'LAC 103'!A:C,3,FALSE),"")</f>
        <v>OP</v>
      </c>
      <c r="C80" s="1478" t="str">
        <f>Info!$B$8</f>
        <v>00100</v>
      </c>
      <c r="D80" s="1474" t="s">
        <v>1100</v>
      </c>
      <c r="E80" s="1474" t="s">
        <v>95</v>
      </c>
      <c r="F80" s="1478" t="s">
        <v>392</v>
      </c>
      <c r="G80" s="1478" t="s">
        <v>392</v>
      </c>
      <c r="H80" s="1474" t="s">
        <v>1009</v>
      </c>
      <c r="I80" s="1478" t="s">
        <v>826</v>
      </c>
      <c r="J80" s="1478"/>
      <c r="K80" s="1475" t="s">
        <v>849</v>
      </c>
      <c r="L80" s="1474" t="s">
        <v>77</v>
      </c>
      <c r="M80" s="1476" t="s">
        <v>1698</v>
      </c>
      <c r="N80" s="1477" t="s">
        <v>1693</v>
      </c>
      <c r="O80" s="1479">
        <v>6697</v>
      </c>
      <c r="P80" s="1479"/>
      <c r="Q80" s="1142">
        <f t="shared" si="19"/>
        <v>6697</v>
      </c>
      <c r="R80" s="1143">
        <f>IFERROR(VLOOKUP(CONCATENATE(E80,G80),'LAC 103'!$A$12:$O$95,11,FALSE),0)</f>
        <v>3.2074101033884355</v>
      </c>
      <c r="S80" s="1144">
        <f>IFERROR(VLOOKUP(CONCATENATE($E80,$G80),'LAC 103'!$A$12:$O$95,12,FALSE),0)</f>
        <v>3.99</v>
      </c>
      <c r="T80" s="1144">
        <f>IFERROR(VLOOKUP(CONCATENATE($E80,$G80),'LAC 103'!$A$12:$O$95,13,FALSE),0)</f>
        <v>2.48</v>
      </c>
      <c r="U80" s="1144">
        <f>IFERROR(VLOOKUP(CONCATENATE($E80,$G80),'LAC 103'!$A$12:$O$95,14,FALSE),0)</f>
        <v>0</v>
      </c>
      <c r="V80" s="1144">
        <f>IFERROR(VLOOKUP(CONCATENATE($E80,$G80),'LAC 103'!$A$12:$O$95,15,FALSE),0)</f>
        <v>0</v>
      </c>
      <c r="W80" s="1145" t="str">
        <f>IFERROR(VLOOKUP(CONCATENATE($B80,$N80),'LAC 103'!$AI:$AQ,9,FALSE),"")</f>
        <v>Costs</v>
      </c>
      <c r="X80" s="1146">
        <f t="shared" si="24"/>
        <v>3.2074101033884355</v>
      </c>
      <c r="Y80" s="1143">
        <f t="shared" si="25"/>
        <v>21480.025462392354</v>
      </c>
      <c r="Z80" s="1147">
        <f t="shared" si="26"/>
        <v>26721.030000000002</v>
      </c>
      <c r="AA80" s="1144">
        <f t="shared" si="27"/>
        <v>16608.560000000001</v>
      </c>
      <c r="AB80" s="1144">
        <f t="shared" si="28"/>
        <v>0</v>
      </c>
      <c r="AC80" s="1144">
        <f t="shared" si="29"/>
        <v>0</v>
      </c>
      <c r="AD80" s="1148">
        <f t="shared" si="20"/>
        <v>21480.025462392354</v>
      </c>
      <c r="AE80" s="1487">
        <v>0</v>
      </c>
      <c r="AF80" s="1145">
        <f t="shared" si="30"/>
        <v>21480.025462392354</v>
      </c>
      <c r="AG80" s="1149">
        <f>IFERROR(VLOOKUP(CONCATENATE($L80,$N80),'Drop List'!$G$23:$K$87,2,FALSE),0)</f>
        <v>0.9</v>
      </c>
      <c r="AH80" s="1150">
        <f>IFERROR(VLOOKUP(CONCATENATE($L80,$N80),'Drop List'!$G$23:$K$87,3,FALSE),0)</f>
        <v>0</v>
      </c>
      <c r="AI80" s="1150">
        <f>IFERROR(VLOOKUP(CONCATENATE($L80,$N80),'Drop List'!$G$23:$K$87,4,FALSE),0)</f>
        <v>0.1</v>
      </c>
      <c r="AJ80" s="1151">
        <f>IFERROR(VLOOKUP(CONCATENATE($L80,$N80),'Drop List'!$G$23:$K$87,5,FALSE),0)</f>
        <v>0</v>
      </c>
      <c r="AK80" s="1152">
        <f t="shared" si="31"/>
        <v>19332.022916153121</v>
      </c>
      <c r="AL80" s="1153">
        <f t="shared" si="32"/>
        <v>0</v>
      </c>
      <c r="AM80" s="1153">
        <f t="shared" si="33"/>
        <v>2148.0025462392355</v>
      </c>
      <c r="AN80" s="1145">
        <f t="shared" si="34"/>
        <v>0</v>
      </c>
      <c r="AO80" s="1154">
        <f t="shared" si="35"/>
        <v>21480.025462392357</v>
      </c>
      <c r="AP80" s="1147">
        <f t="shared" si="21"/>
        <v>0</v>
      </c>
      <c r="AQ80" s="1144">
        <f t="shared" si="22"/>
        <v>0</v>
      </c>
      <c r="AR80" s="1146">
        <f t="shared" si="23"/>
        <v>21480.025462392357</v>
      </c>
    </row>
    <row r="81" spans="1:44" x14ac:dyDescent="0.2">
      <c r="A81" s="1141" t="str">
        <f t="shared" si="18"/>
        <v>1542</v>
      </c>
      <c r="B81" s="1141" t="str">
        <f>IFERROR(VLOOKUP(A81,'LAC 103'!A:C,3,FALSE),"")</f>
        <v>OP</v>
      </c>
      <c r="C81" s="1478" t="str">
        <f>Info!$B$8</f>
        <v>00100</v>
      </c>
      <c r="D81" s="1474" t="s">
        <v>1100</v>
      </c>
      <c r="E81" s="1474" t="s">
        <v>95</v>
      </c>
      <c r="F81" s="1478" t="s">
        <v>392</v>
      </c>
      <c r="G81" s="1478" t="s">
        <v>392</v>
      </c>
      <c r="H81" s="1474" t="s">
        <v>1009</v>
      </c>
      <c r="I81" s="1478" t="s">
        <v>826</v>
      </c>
      <c r="J81" s="1478"/>
      <c r="K81" s="1475" t="s">
        <v>971</v>
      </c>
      <c r="L81" s="1474" t="s">
        <v>332</v>
      </c>
      <c r="M81" s="1476" t="s">
        <v>1699</v>
      </c>
      <c r="N81" s="1477" t="s">
        <v>1694</v>
      </c>
      <c r="O81" s="1479">
        <v>454</v>
      </c>
      <c r="P81" s="1479"/>
      <c r="Q81" s="1142">
        <f t="shared" si="19"/>
        <v>454</v>
      </c>
      <c r="R81" s="1143">
        <f>IFERROR(VLOOKUP(CONCATENATE(E81,G81),'LAC 103'!$A$12:$O$95,11,FALSE),0)</f>
        <v>3.2074101033884355</v>
      </c>
      <c r="S81" s="1144">
        <f>IFERROR(VLOOKUP(CONCATENATE($E81,$G81),'LAC 103'!$A$12:$O$95,12,FALSE),0)</f>
        <v>3.99</v>
      </c>
      <c r="T81" s="1144">
        <f>IFERROR(VLOOKUP(CONCATENATE($E81,$G81),'LAC 103'!$A$12:$O$95,13,FALSE),0)</f>
        <v>2.48</v>
      </c>
      <c r="U81" s="1144">
        <f>IFERROR(VLOOKUP(CONCATENATE($E81,$G81),'LAC 103'!$A$12:$O$95,14,FALSE),0)</f>
        <v>0</v>
      </c>
      <c r="V81" s="1144">
        <f>IFERROR(VLOOKUP(CONCATENATE($E81,$G81),'LAC 103'!$A$12:$O$95,15,FALSE),0)</f>
        <v>0</v>
      </c>
      <c r="W81" s="1145" t="str">
        <f>IFERROR(VLOOKUP(CONCATENATE($B81,$N81),'LAC 103'!$AI:$AQ,9,FALSE),"")</f>
        <v>Costs</v>
      </c>
      <c r="X81" s="1146">
        <f t="shared" si="24"/>
        <v>3.2074101033884355</v>
      </c>
      <c r="Y81" s="1143">
        <f t="shared" si="25"/>
        <v>1456.1641869383498</v>
      </c>
      <c r="Z81" s="1147">
        <f t="shared" si="26"/>
        <v>1811.46</v>
      </c>
      <c r="AA81" s="1144">
        <f t="shared" si="27"/>
        <v>1125.92</v>
      </c>
      <c r="AB81" s="1144">
        <f t="shared" si="28"/>
        <v>0</v>
      </c>
      <c r="AC81" s="1144">
        <f t="shared" si="29"/>
        <v>0</v>
      </c>
      <c r="AD81" s="1148">
        <f t="shared" si="20"/>
        <v>1456.1641869383498</v>
      </c>
      <c r="AE81" s="1487">
        <v>0</v>
      </c>
      <c r="AF81" s="1145">
        <f t="shared" si="30"/>
        <v>1456.1641869383498</v>
      </c>
      <c r="AG81" s="1149">
        <f>IFERROR(VLOOKUP(CONCATENATE($L81,$N81),'Drop List'!$G$23:$K$87,2,FALSE),0)</f>
        <v>0</v>
      </c>
      <c r="AH81" s="1150">
        <f>IFERROR(VLOOKUP(CONCATENATE($L81,$N81),'Drop List'!$G$23:$K$87,3,FALSE),0)</f>
        <v>0</v>
      </c>
      <c r="AI81" s="1150">
        <f>IFERROR(VLOOKUP(CONCATENATE($L81,$N81),'Drop List'!$G$23:$K$87,4,FALSE),0)</f>
        <v>0</v>
      </c>
      <c r="AJ81" s="1151">
        <f>IFERROR(VLOOKUP(CONCATENATE($L81,$N81),'Drop List'!$G$23:$K$87,5,FALSE),0)</f>
        <v>0</v>
      </c>
      <c r="AK81" s="1152">
        <f t="shared" si="31"/>
        <v>0</v>
      </c>
      <c r="AL81" s="1153">
        <f t="shared" si="32"/>
        <v>0</v>
      </c>
      <c r="AM81" s="1153">
        <f t="shared" si="33"/>
        <v>0</v>
      </c>
      <c r="AN81" s="1145">
        <f t="shared" si="34"/>
        <v>0</v>
      </c>
      <c r="AO81" s="1154">
        <f t="shared" si="35"/>
        <v>0</v>
      </c>
      <c r="AP81" s="1147">
        <f t="shared" si="21"/>
        <v>1456.1641869383498</v>
      </c>
      <c r="AQ81" s="1144">
        <f t="shared" si="22"/>
        <v>0</v>
      </c>
      <c r="AR81" s="1146">
        <f t="shared" si="23"/>
        <v>1456.1641869383498</v>
      </c>
    </row>
    <row r="82" spans="1:44" x14ac:dyDescent="0.2">
      <c r="A82" s="1141" t="str">
        <f t="shared" si="18"/>
        <v>1542</v>
      </c>
      <c r="B82" s="1141" t="str">
        <f>IFERROR(VLOOKUP(A82,'LAC 103'!A:C,3,FALSE),"")</f>
        <v>OP</v>
      </c>
      <c r="C82" s="1478" t="str">
        <f>Info!$B$8</f>
        <v>00100</v>
      </c>
      <c r="D82" s="1474" t="s">
        <v>1100</v>
      </c>
      <c r="E82" s="1474" t="s">
        <v>95</v>
      </c>
      <c r="F82" s="1478" t="s">
        <v>392</v>
      </c>
      <c r="G82" s="1478" t="s">
        <v>392</v>
      </c>
      <c r="H82" s="1474" t="s">
        <v>1009</v>
      </c>
      <c r="I82" s="1478" t="s">
        <v>826</v>
      </c>
      <c r="J82" s="1478"/>
      <c r="K82" s="1475" t="s">
        <v>971</v>
      </c>
      <c r="L82" s="1474" t="s">
        <v>332</v>
      </c>
      <c r="M82" s="1476" t="s">
        <v>842</v>
      </c>
      <c r="N82" s="1477" t="s">
        <v>1692</v>
      </c>
      <c r="O82" s="1479">
        <v>366</v>
      </c>
      <c r="P82" s="1479"/>
      <c r="Q82" s="1142">
        <f t="shared" si="19"/>
        <v>366</v>
      </c>
      <c r="R82" s="1143">
        <f>IFERROR(VLOOKUP(CONCATENATE(E82,G82),'LAC 103'!$A$12:$O$95,11,FALSE),0)</f>
        <v>3.2074101033884355</v>
      </c>
      <c r="S82" s="1144">
        <f>IFERROR(VLOOKUP(CONCATENATE($E82,$G82),'LAC 103'!$A$12:$O$95,12,FALSE),0)</f>
        <v>3.99</v>
      </c>
      <c r="T82" s="1144">
        <f>IFERROR(VLOOKUP(CONCATENATE($E82,$G82),'LAC 103'!$A$12:$O$95,13,FALSE),0)</f>
        <v>2.48</v>
      </c>
      <c r="U82" s="1144">
        <f>IFERROR(VLOOKUP(CONCATENATE($E82,$G82),'LAC 103'!$A$12:$O$95,14,FALSE),0)</f>
        <v>0</v>
      </c>
      <c r="V82" s="1144">
        <f>IFERROR(VLOOKUP(CONCATENATE($E82,$G82),'LAC 103'!$A$12:$O$95,15,FALSE),0)</f>
        <v>0</v>
      </c>
      <c r="W82" s="1145" t="str">
        <f>IFERROR(VLOOKUP(CONCATENATE($B82,$N82),'LAC 103'!$AI:$AQ,9,FALSE),"")</f>
        <v>Costs</v>
      </c>
      <c r="X82" s="1146">
        <f t="shared" si="24"/>
        <v>3.2074101033884355</v>
      </c>
      <c r="Y82" s="1143">
        <f t="shared" si="25"/>
        <v>1173.9120978401675</v>
      </c>
      <c r="Z82" s="1147">
        <f t="shared" si="26"/>
        <v>1460.3400000000001</v>
      </c>
      <c r="AA82" s="1144">
        <f t="shared" si="27"/>
        <v>907.68</v>
      </c>
      <c r="AB82" s="1144">
        <f t="shared" si="28"/>
        <v>0</v>
      </c>
      <c r="AC82" s="1144">
        <f t="shared" si="29"/>
        <v>0</v>
      </c>
      <c r="AD82" s="1148">
        <f t="shared" si="20"/>
        <v>1173.9120978401675</v>
      </c>
      <c r="AE82" s="1487">
        <v>0</v>
      </c>
      <c r="AF82" s="1145">
        <f t="shared" si="30"/>
        <v>1173.9120978401675</v>
      </c>
      <c r="AG82" s="1149">
        <f>IFERROR(VLOOKUP(CONCATENATE($L82,$N82),'Drop List'!$G$23:$K$87,2,FALSE),0)</f>
        <v>0</v>
      </c>
      <c r="AH82" s="1150">
        <f>IFERROR(VLOOKUP(CONCATENATE($L82,$N82),'Drop List'!$G$23:$K$87,3,FALSE),0)</f>
        <v>0</v>
      </c>
      <c r="AI82" s="1150">
        <f>IFERROR(VLOOKUP(CONCATENATE($L82,$N82),'Drop List'!$G$23:$K$87,4,FALSE),0)</f>
        <v>0</v>
      </c>
      <c r="AJ82" s="1151">
        <f>IFERROR(VLOOKUP(CONCATENATE($L82,$N82),'Drop List'!$G$23:$K$87,5,FALSE),0)</f>
        <v>0</v>
      </c>
      <c r="AK82" s="1152">
        <f t="shared" si="31"/>
        <v>0</v>
      </c>
      <c r="AL82" s="1153">
        <f t="shared" si="32"/>
        <v>0</v>
      </c>
      <c r="AM82" s="1153">
        <f t="shared" si="33"/>
        <v>0</v>
      </c>
      <c r="AN82" s="1145">
        <f t="shared" si="34"/>
        <v>0</v>
      </c>
      <c r="AO82" s="1154">
        <f t="shared" si="35"/>
        <v>0</v>
      </c>
      <c r="AP82" s="1147">
        <f t="shared" si="21"/>
        <v>1173.9120978401675</v>
      </c>
      <c r="AQ82" s="1144">
        <f t="shared" si="22"/>
        <v>0</v>
      </c>
      <c r="AR82" s="1146">
        <f t="shared" si="23"/>
        <v>1173.9120978401675</v>
      </c>
    </row>
    <row r="83" spans="1:44" x14ac:dyDescent="0.2">
      <c r="A83" s="1141" t="str">
        <f t="shared" si="18"/>
        <v>1542</v>
      </c>
      <c r="B83" s="1141" t="str">
        <f>IFERROR(VLOOKUP(A83,'LAC 103'!A:C,3,FALSE),"")</f>
        <v>OP</v>
      </c>
      <c r="C83" s="1478" t="str">
        <f>Info!$B$8</f>
        <v>00100</v>
      </c>
      <c r="D83" s="1474" t="s">
        <v>1100</v>
      </c>
      <c r="E83" s="1474" t="s">
        <v>95</v>
      </c>
      <c r="F83" s="1478" t="s">
        <v>392</v>
      </c>
      <c r="G83" s="1478" t="s">
        <v>392</v>
      </c>
      <c r="H83" s="1474" t="s">
        <v>1009</v>
      </c>
      <c r="I83" s="1478" t="s">
        <v>826</v>
      </c>
      <c r="J83" s="1478"/>
      <c r="K83" s="1475" t="s">
        <v>971</v>
      </c>
      <c r="L83" s="1474" t="s">
        <v>332</v>
      </c>
      <c r="M83" s="1476" t="s">
        <v>1698</v>
      </c>
      <c r="N83" s="1477" t="s">
        <v>1693</v>
      </c>
      <c r="O83" s="1479">
        <v>83</v>
      </c>
      <c r="P83" s="1479"/>
      <c r="Q83" s="1142">
        <f t="shared" si="19"/>
        <v>83</v>
      </c>
      <c r="R83" s="1143">
        <f>IFERROR(VLOOKUP(CONCATENATE(E83,G83),'LAC 103'!$A$12:$O$95,11,FALSE),0)</f>
        <v>3.2074101033884355</v>
      </c>
      <c r="S83" s="1144">
        <f>IFERROR(VLOOKUP(CONCATENATE($E83,$G83),'LAC 103'!$A$12:$O$95,12,FALSE),0)</f>
        <v>3.99</v>
      </c>
      <c r="T83" s="1144">
        <f>IFERROR(VLOOKUP(CONCATENATE($E83,$G83),'LAC 103'!$A$12:$O$95,13,FALSE),0)</f>
        <v>2.48</v>
      </c>
      <c r="U83" s="1144">
        <f>IFERROR(VLOOKUP(CONCATENATE($E83,$G83),'LAC 103'!$A$12:$O$95,14,FALSE),0)</f>
        <v>0</v>
      </c>
      <c r="V83" s="1144">
        <f>IFERROR(VLOOKUP(CONCATENATE($E83,$G83),'LAC 103'!$A$12:$O$95,15,FALSE),0)</f>
        <v>0</v>
      </c>
      <c r="W83" s="1145" t="str">
        <f>IFERROR(VLOOKUP(CONCATENATE($B83,$N83),'LAC 103'!$AI:$AQ,9,FALSE),"")</f>
        <v>Costs</v>
      </c>
      <c r="X83" s="1146">
        <f t="shared" si="24"/>
        <v>3.2074101033884355</v>
      </c>
      <c r="Y83" s="1143">
        <f t="shared" si="25"/>
        <v>266.21503858124015</v>
      </c>
      <c r="Z83" s="1147">
        <f t="shared" si="26"/>
        <v>331.17</v>
      </c>
      <c r="AA83" s="1144">
        <f t="shared" si="27"/>
        <v>205.84</v>
      </c>
      <c r="AB83" s="1144">
        <f t="shared" si="28"/>
        <v>0</v>
      </c>
      <c r="AC83" s="1144">
        <f t="shared" si="29"/>
        <v>0</v>
      </c>
      <c r="AD83" s="1148">
        <f t="shared" si="20"/>
        <v>266.21503858124015</v>
      </c>
      <c r="AE83" s="1487">
        <v>0</v>
      </c>
      <c r="AF83" s="1145">
        <f t="shared" si="30"/>
        <v>266.21503858124015</v>
      </c>
      <c r="AG83" s="1149">
        <f>IFERROR(VLOOKUP(CONCATENATE($L83,$N83),'Drop List'!$G$23:$K$87,2,FALSE),0)</f>
        <v>0</v>
      </c>
      <c r="AH83" s="1150">
        <f>IFERROR(VLOOKUP(CONCATENATE($L83,$N83),'Drop List'!$G$23:$K$87,3,FALSE),0)</f>
        <v>0</v>
      </c>
      <c r="AI83" s="1150">
        <f>IFERROR(VLOOKUP(CONCATENATE($L83,$N83),'Drop List'!$G$23:$K$87,4,FALSE),0)</f>
        <v>0</v>
      </c>
      <c r="AJ83" s="1151">
        <f>IFERROR(VLOOKUP(CONCATENATE($L83,$N83),'Drop List'!$G$23:$K$87,5,FALSE),0)</f>
        <v>0</v>
      </c>
      <c r="AK83" s="1152">
        <f t="shared" si="31"/>
        <v>0</v>
      </c>
      <c r="AL83" s="1153">
        <f t="shared" si="32"/>
        <v>0</v>
      </c>
      <c r="AM83" s="1153">
        <f t="shared" si="33"/>
        <v>0</v>
      </c>
      <c r="AN83" s="1145">
        <f t="shared" si="34"/>
        <v>0</v>
      </c>
      <c r="AO83" s="1154">
        <f t="shared" si="35"/>
        <v>0</v>
      </c>
      <c r="AP83" s="1147">
        <f t="shared" si="21"/>
        <v>266.21503858124015</v>
      </c>
      <c r="AQ83" s="1144">
        <f t="shared" si="22"/>
        <v>0</v>
      </c>
      <c r="AR83" s="1146">
        <f t="shared" si="23"/>
        <v>266.21503858124015</v>
      </c>
    </row>
    <row r="84" spans="1:44" x14ac:dyDescent="0.2">
      <c r="A84" s="1141" t="str">
        <f t="shared" si="18"/>
        <v>1542</v>
      </c>
      <c r="B84" s="1141" t="str">
        <f>IFERROR(VLOOKUP(A84,'LAC 103'!A:C,3,FALSE),"")</f>
        <v>OP</v>
      </c>
      <c r="C84" s="1478" t="str">
        <f>Info!$B$8</f>
        <v>00100</v>
      </c>
      <c r="D84" s="1474" t="s">
        <v>1100</v>
      </c>
      <c r="E84" s="1474" t="s">
        <v>95</v>
      </c>
      <c r="F84" s="1478" t="s">
        <v>392</v>
      </c>
      <c r="G84" s="1478" t="s">
        <v>392</v>
      </c>
      <c r="H84" s="1474" t="s">
        <v>1009</v>
      </c>
      <c r="I84" s="1478" t="s">
        <v>826</v>
      </c>
      <c r="J84" s="1478"/>
      <c r="K84" s="1475" t="s">
        <v>850</v>
      </c>
      <c r="L84" s="1474" t="s">
        <v>330</v>
      </c>
      <c r="M84" s="1476" t="s">
        <v>1699</v>
      </c>
      <c r="N84" s="1477" t="s">
        <v>1694</v>
      </c>
      <c r="O84" s="1479">
        <v>379</v>
      </c>
      <c r="P84" s="1479"/>
      <c r="Q84" s="1142">
        <f t="shared" si="19"/>
        <v>379</v>
      </c>
      <c r="R84" s="1143">
        <f>IFERROR(VLOOKUP(CONCATENATE(E84,G84),'LAC 103'!$A$12:$O$95,11,FALSE),0)</f>
        <v>3.2074101033884355</v>
      </c>
      <c r="S84" s="1144">
        <f>IFERROR(VLOOKUP(CONCATENATE($E84,$G84),'LAC 103'!$A$12:$O$95,12,FALSE),0)</f>
        <v>3.99</v>
      </c>
      <c r="T84" s="1144">
        <f>IFERROR(VLOOKUP(CONCATENATE($E84,$G84),'LAC 103'!$A$12:$O$95,13,FALSE),0)</f>
        <v>2.48</v>
      </c>
      <c r="U84" s="1144">
        <f>IFERROR(VLOOKUP(CONCATENATE($E84,$G84),'LAC 103'!$A$12:$O$95,14,FALSE),0)</f>
        <v>0</v>
      </c>
      <c r="V84" s="1144">
        <f>IFERROR(VLOOKUP(CONCATENATE($E84,$G84),'LAC 103'!$A$12:$O$95,15,FALSE),0)</f>
        <v>0</v>
      </c>
      <c r="W84" s="1145" t="str">
        <f>IFERROR(VLOOKUP(CONCATENATE($B84,$N84),'LAC 103'!$AI:$AQ,9,FALSE),"")</f>
        <v>Costs</v>
      </c>
      <c r="X84" s="1146">
        <f t="shared" si="24"/>
        <v>3.2074101033884355</v>
      </c>
      <c r="Y84" s="1143">
        <f t="shared" si="25"/>
        <v>1215.6084291842171</v>
      </c>
      <c r="Z84" s="1147">
        <f t="shared" si="26"/>
        <v>1512.21</v>
      </c>
      <c r="AA84" s="1144">
        <f t="shared" si="27"/>
        <v>939.92</v>
      </c>
      <c r="AB84" s="1144">
        <f t="shared" si="28"/>
        <v>0</v>
      </c>
      <c r="AC84" s="1144">
        <f t="shared" si="29"/>
        <v>0</v>
      </c>
      <c r="AD84" s="1148">
        <f t="shared" si="20"/>
        <v>1215.6084291842171</v>
      </c>
      <c r="AE84" s="1487">
        <v>0</v>
      </c>
      <c r="AF84" s="1145">
        <f t="shared" si="30"/>
        <v>1215.6084291842171</v>
      </c>
      <c r="AG84" s="1149">
        <f>IFERROR(VLOOKUP(CONCATENATE($L84,$N84),'Drop List'!$G$23:$K$87,2,FALSE),0)</f>
        <v>0</v>
      </c>
      <c r="AH84" s="1150">
        <f>IFERROR(VLOOKUP(CONCATENATE($L84,$N84),'Drop List'!$G$23:$K$87,3,FALSE),0)</f>
        <v>0</v>
      </c>
      <c r="AI84" s="1150">
        <f>IFERROR(VLOOKUP(CONCATENATE($L84,$N84),'Drop List'!$G$23:$K$87,4,FALSE),0)</f>
        <v>1</v>
      </c>
      <c r="AJ84" s="1151">
        <f>IFERROR(VLOOKUP(CONCATENATE($L84,$N84),'Drop List'!$G$23:$K$87,5,FALSE),0)</f>
        <v>0</v>
      </c>
      <c r="AK84" s="1152">
        <f t="shared" si="31"/>
        <v>0</v>
      </c>
      <c r="AL84" s="1153">
        <f t="shared" si="32"/>
        <v>0</v>
      </c>
      <c r="AM84" s="1153">
        <f t="shared" si="33"/>
        <v>1215.6084291842171</v>
      </c>
      <c r="AN84" s="1145">
        <f t="shared" si="34"/>
        <v>0</v>
      </c>
      <c r="AO84" s="1154">
        <f t="shared" si="35"/>
        <v>1215.6084291842171</v>
      </c>
      <c r="AP84" s="1147">
        <f t="shared" si="21"/>
        <v>0</v>
      </c>
      <c r="AQ84" s="1144">
        <f t="shared" si="22"/>
        <v>0</v>
      </c>
      <c r="AR84" s="1146">
        <f t="shared" si="23"/>
        <v>1215.6084291842171</v>
      </c>
    </row>
    <row r="85" spans="1:44" x14ac:dyDescent="0.2">
      <c r="A85" s="1141" t="str">
        <f t="shared" si="18"/>
        <v>1542</v>
      </c>
      <c r="B85" s="1141" t="str">
        <f>IFERROR(VLOOKUP(A85,'LAC 103'!A:C,3,FALSE),"")</f>
        <v>OP</v>
      </c>
      <c r="C85" s="1478" t="str">
        <f>Info!$B$8</f>
        <v>00100</v>
      </c>
      <c r="D85" s="1474" t="s">
        <v>1100</v>
      </c>
      <c r="E85" s="1474" t="s">
        <v>95</v>
      </c>
      <c r="F85" s="1478" t="s">
        <v>392</v>
      </c>
      <c r="G85" s="1478" t="s">
        <v>392</v>
      </c>
      <c r="H85" s="1474" t="s">
        <v>1009</v>
      </c>
      <c r="I85" s="1478" t="s">
        <v>826</v>
      </c>
      <c r="J85" s="1478"/>
      <c r="K85" s="1475" t="s">
        <v>850</v>
      </c>
      <c r="L85" s="1474" t="s">
        <v>330</v>
      </c>
      <c r="M85" s="1476" t="s">
        <v>842</v>
      </c>
      <c r="N85" s="1477" t="s">
        <v>1692</v>
      </c>
      <c r="O85" s="1479">
        <v>4193</v>
      </c>
      <c r="P85" s="1479"/>
      <c r="Q85" s="1142">
        <f t="shared" si="19"/>
        <v>4193</v>
      </c>
      <c r="R85" s="1143">
        <f>IFERROR(VLOOKUP(CONCATENATE(E85,G85),'LAC 103'!$A$12:$O$95,11,FALSE),0)</f>
        <v>3.2074101033884355</v>
      </c>
      <c r="S85" s="1144">
        <f>IFERROR(VLOOKUP(CONCATENATE($E85,$G85),'LAC 103'!$A$12:$O$95,12,FALSE),0)</f>
        <v>3.99</v>
      </c>
      <c r="T85" s="1144">
        <f>IFERROR(VLOOKUP(CONCATENATE($E85,$G85),'LAC 103'!$A$12:$O$95,13,FALSE),0)</f>
        <v>2.48</v>
      </c>
      <c r="U85" s="1144">
        <f>IFERROR(VLOOKUP(CONCATENATE($E85,$G85),'LAC 103'!$A$12:$O$95,14,FALSE),0)</f>
        <v>0</v>
      </c>
      <c r="V85" s="1144">
        <f>IFERROR(VLOOKUP(CONCATENATE($E85,$G85),'LAC 103'!$A$12:$O$95,15,FALSE),0)</f>
        <v>0</v>
      </c>
      <c r="W85" s="1145" t="str">
        <f>IFERROR(VLOOKUP(CONCATENATE($B85,$N85),'LAC 103'!$AI:$AQ,9,FALSE),"")</f>
        <v>Costs</v>
      </c>
      <c r="X85" s="1146">
        <f t="shared" si="24"/>
        <v>3.2074101033884355</v>
      </c>
      <c r="Y85" s="1143">
        <f t="shared" si="25"/>
        <v>13448.670563507711</v>
      </c>
      <c r="Z85" s="1147">
        <f t="shared" si="26"/>
        <v>16730.07</v>
      </c>
      <c r="AA85" s="1144">
        <f t="shared" si="27"/>
        <v>10398.64</v>
      </c>
      <c r="AB85" s="1144">
        <f t="shared" si="28"/>
        <v>0</v>
      </c>
      <c r="AC85" s="1144">
        <f t="shared" si="29"/>
        <v>0</v>
      </c>
      <c r="AD85" s="1148">
        <f t="shared" si="20"/>
        <v>13448.670563507711</v>
      </c>
      <c r="AE85" s="1487">
        <v>0</v>
      </c>
      <c r="AF85" s="1145">
        <f t="shared" si="30"/>
        <v>13448.670563507711</v>
      </c>
      <c r="AG85" s="1149">
        <f>IFERROR(VLOOKUP(CONCATENATE($L85,$N85),'Drop List'!$G$23:$K$87,2,FALSE),0)</f>
        <v>0</v>
      </c>
      <c r="AH85" s="1150">
        <f>IFERROR(VLOOKUP(CONCATENATE($L85,$N85),'Drop List'!$G$23:$K$87,3,FALSE),0)</f>
        <v>0</v>
      </c>
      <c r="AI85" s="1150">
        <f>IFERROR(VLOOKUP(CONCATENATE($L85,$N85),'Drop List'!$G$23:$K$87,4,FALSE),0)</f>
        <v>1</v>
      </c>
      <c r="AJ85" s="1151">
        <f>IFERROR(VLOOKUP(CONCATENATE($L85,$N85),'Drop List'!$G$23:$K$87,5,FALSE),0)</f>
        <v>0</v>
      </c>
      <c r="AK85" s="1152">
        <f t="shared" si="31"/>
        <v>0</v>
      </c>
      <c r="AL85" s="1153">
        <f t="shared" si="32"/>
        <v>0</v>
      </c>
      <c r="AM85" s="1153">
        <f t="shared" si="33"/>
        <v>13448.670563507711</v>
      </c>
      <c r="AN85" s="1145">
        <f t="shared" si="34"/>
        <v>0</v>
      </c>
      <c r="AO85" s="1154">
        <f t="shared" si="35"/>
        <v>13448.670563507711</v>
      </c>
      <c r="AP85" s="1147">
        <f t="shared" si="21"/>
        <v>0</v>
      </c>
      <c r="AQ85" s="1144">
        <f t="shared" si="22"/>
        <v>0</v>
      </c>
      <c r="AR85" s="1146">
        <f t="shared" si="23"/>
        <v>13448.670563507711</v>
      </c>
    </row>
    <row r="86" spans="1:44" x14ac:dyDescent="0.2">
      <c r="A86" s="1141" t="str">
        <f t="shared" si="18"/>
        <v>1542</v>
      </c>
      <c r="B86" s="1141" t="str">
        <f>IFERROR(VLOOKUP(A86,'LAC 103'!A:C,3,FALSE),"")</f>
        <v>OP</v>
      </c>
      <c r="C86" s="1478" t="str">
        <f>Info!$B$8</f>
        <v>00100</v>
      </c>
      <c r="D86" s="1474" t="s">
        <v>1100</v>
      </c>
      <c r="E86" s="1474" t="s">
        <v>95</v>
      </c>
      <c r="F86" s="1478" t="s">
        <v>392</v>
      </c>
      <c r="G86" s="1478" t="s">
        <v>392</v>
      </c>
      <c r="H86" s="1474" t="s">
        <v>1009</v>
      </c>
      <c r="I86" s="1478" t="s">
        <v>826</v>
      </c>
      <c r="J86" s="1478"/>
      <c r="K86" s="1475" t="s">
        <v>850</v>
      </c>
      <c r="L86" s="1474" t="s">
        <v>330</v>
      </c>
      <c r="M86" s="1476" t="s">
        <v>1698</v>
      </c>
      <c r="N86" s="1477" t="s">
        <v>1693</v>
      </c>
      <c r="O86" s="1479">
        <v>4152</v>
      </c>
      <c r="P86" s="1479"/>
      <c r="Q86" s="1142">
        <f t="shared" si="19"/>
        <v>4152</v>
      </c>
      <c r="R86" s="1143">
        <f>IFERROR(VLOOKUP(CONCATENATE(E86,G86),'LAC 103'!$A$12:$O$95,11,FALSE),0)</f>
        <v>3.2074101033884355</v>
      </c>
      <c r="S86" s="1144">
        <f>IFERROR(VLOOKUP(CONCATENATE($E86,$G86),'LAC 103'!$A$12:$O$95,12,FALSE),0)</f>
        <v>3.99</v>
      </c>
      <c r="T86" s="1144">
        <f>IFERROR(VLOOKUP(CONCATENATE($E86,$G86),'LAC 103'!$A$12:$O$95,13,FALSE),0)</f>
        <v>2.48</v>
      </c>
      <c r="U86" s="1144">
        <f>IFERROR(VLOOKUP(CONCATENATE($E86,$G86),'LAC 103'!$A$12:$O$95,14,FALSE),0)</f>
        <v>0</v>
      </c>
      <c r="V86" s="1144">
        <f>IFERROR(VLOOKUP(CONCATENATE($E86,$G86),'LAC 103'!$A$12:$O$95,15,FALSE),0)</f>
        <v>0</v>
      </c>
      <c r="W86" s="1145" t="str">
        <f>IFERROR(VLOOKUP(CONCATENATE($B86,$N86),'LAC 103'!$AI:$AQ,9,FALSE),"")</f>
        <v>Costs</v>
      </c>
      <c r="X86" s="1146">
        <f t="shared" si="24"/>
        <v>3.2074101033884355</v>
      </c>
      <c r="Y86" s="1143">
        <f t="shared" si="25"/>
        <v>13317.166749268785</v>
      </c>
      <c r="Z86" s="1147">
        <f t="shared" si="26"/>
        <v>16566.48</v>
      </c>
      <c r="AA86" s="1144">
        <f t="shared" si="27"/>
        <v>10296.959999999999</v>
      </c>
      <c r="AB86" s="1144">
        <f t="shared" si="28"/>
        <v>0</v>
      </c>
      <c r="AC86" s="1144">
        <f t="shared" si="29"/>
        <v>0</v>
      </c>
      <c r="AD86" s="1148">
        <f t="shared" si="20"/>
        <v>13317.166749268785</v>
      </c>
      <c r="AE86" s="1487">
        <v>0</v>
      </c>
      <c r="AF86" s="1145">
        <f t="shared" si="30"/>
        <v>13317.166749268785</v>
      </c>
      <c r="AG86" s="1149">
        <f>IFERROR(VLOOKUP(CONCATENATE($L86,$N86),'Drop List'!$G$23:$K$87,2,FALSE),0)</f>
        <v>0</v>
      </c>
      <c r="AH86" s="1150">
        <f>IFERROR(VLOOKUP(CONCATENATE($L86,$N86),'Drop List'!$G$23:$K$87,3,FALSE),0)</f>
        <v>0</v>
      </c>
      <c r="AI86" s="1150">
        <f>IFERROR(VLOOKUP(CONCATENATE($L86,$N86),'Drop List'!$G$23:$K$87,4,FALSE),0)</f>
        <v>1</v>
      </c>
      <c r="AJ86" s="1151">
        <f>IFERROR(VLOOKUP(CONCATENATE($L86,$N86),'Drop List'!$G$23:$K$87,5,FALSE),0)</f>
        <v>0</v>
      </c>
      <c r="AK86" s="1152">
        <f t="shared" si="31"/>
        <v>0</v>
      </c>
      <c r="AL86" s="1153">
        <f t="shared" si="32"/>
        <v>0</v>
      </c>
      <c r="AM86" s="1153">
        <f t="shared" si="33"/>
        <v>13317.166749268785</v>
      </c>
      <c r="AN86" s="1145">
        <f t="shared" si="34"/>
        <v>0</v>
      </c>
      <c r="AO86" s="1154">
        <f t="shared" si="35"/>
        <v>13317.166749268785</v>
      </c>
      <c r="AP86" s="1147">
        <f t="shared" si="21"/>
        <v>0</v>
      </c>
      <c r="AQ86" s="1144">
        <f t="shared" si="22"/>
        <v>0</v>
      </c>
      <c r="AR86" s="1146">
        <f t="shared" si="23"/>
        <v>13317.166749268785</v>
      </c>
    </row>
    <row r="87" spans="1:44" x14ac:dyDescent="0.2">
      <c r="A87" s="1141" t="str">
        <f t="shared" si="18"/>
        <v>1542</v>
      </c>
      <c r="B87" s="1141" t="str">
        <f>IFERROR(VLOOKUP(A87,'LAC 103'!A:C,3,FALSE),"")</f>
        <v>OP</v>
      </c>
      <c r="C87" s="1478" t="str">
        <f>Info!$B$8</f>
        <v>00100</v>
      </c>
      <c r="D87" s="1474" t="s">
        <v>1100</v>
      </c>
      <c r="E87" s="1474" t="s">
        <v>95</v>
      </c>
      <c r="F87" s="1478" t="s">
        <v>392</v>
      </c>
      <c r="G87" s="1478" t="s">
        <v>392</v>
      </c>
      <c r="H87" s="1474" t="s">
        <v>1009</v>
      </c>
      <c r="I87" s="1478" t="s">
        <v>826</v>
      </c>
      <c r="J87" s="1478"/>
      <c r="K87" s="1475" t="s">
        <v>851</v>
      </c>
      <c r="L87" s="1474" t="s">
        <v>584</v>
      </c>
      <c r="M87" s="1476" t="s">
        <v>1699</v>
      </c>
      <c r="N87" s="1477" t="s">
        <v>1694</v>
      </c>
      <c r="O87" s="1479">
        <v>33264</v>
      </c>
      <c r="P87" s="1479"/>
      <c r="Q87" s="1142">
        <f t="shared" si="19"/>
        <v>33264</v>
      </c>
      <c r="R87" s="1143">
        <f>IFERROR(VLOOKUP(CONCATENATE(E87,G87),'LAC 103'!$A$12:$O$95,11,FALSE),0)</f>
        <v>3.2074101033884355</v>
      </c>
      <c r="S87" s="1144">
        <f>IFERROR(VLOOKUP(CONCATENATE($E87,$G87),'LAC 103'!$A$12:$O$95,12,FALSE),0)</f>
        <v>3.99</v>
      </c>
      <c r="T87" s="1144">
        <f>IFERROR(VLOOKUP(CONCATENATE($E87,$G87),'LAC 103'!$A$12:$O$95,13,FALSE),0)</f>
        <v>2.48</v>
      </c>
      <c r="U87" s="1144">
        <f>IFERROR(VLOOKUP(CONCATENATE($E87,$G87),'LAC 103'!$A$12:$O$95,14,FALSE),0)</f>
        <v>0</v>
      </c>
      <c r="V87" s="1144">
        <f>IFERROR(VLOOKUP(CONCATENATE($E87,$G87),'LAC 103'!$A$12:$O$95,15,FALSE),0)</f>
        <v>0</v>
      </c>
      <c r="W87" s="1145" t="str">
        <f>IFERROR(VLOOKUP(CONCATENATE($B87,$N87),'LAC 103'!$AI:$AQ,9,FALSE),"")</f>
        <v>Costs</v>
      </c>
      <c r="X87" s="1146">
        <f t="shared" si="24"/>
        <v>3.2074101033884355</v>
      </c>
      <c r="Y87" s="1143">
        <f t="shared" si="25"/>
        <v>106691.28967911292</v>
      </c>
      <c r="Z87" s="1147">
        <f t="shared" si="26"/>
        <v>132723.36000000002</v>
      </c>
      <c r="AA87" s="1144">
        <f t="shared" si="27"/>
        <v>82494.720000000001</v>
      </c>
      <c r="AB87" s="1144">
        <f t="shared" si="28"/>
        <v>0</v>
      </c>
      <c r="AC87" s="1144">
        <f t="shared" si="29"/>
        <v>0</v>
      </c>
      <c r="AD87" s="1148">
        <f t="shared" si="20"/>
        <v>106691.28967911292</v>
      </c>
      <c r="AE87" s="1487">
        <v>0</v>
      </c>
      <c r="AF87" s="1145">
        <f t="shared" si="30"/>
        <v>106691.28967911292</v>
      </c>
      <c r="AG87" s="1149">
        <f>IFERROR(VLOOKUP(CONCATENATE($L87,$N87),'Drop List'!$G$23:$K$87,2,FALSE),0)</f>
        <v>0.56200000000000006</v>
      </c>
      <c r="AH87" s="1150">
        <f>IFERROR(VLOOKUP(CONCATENATE($L87,$N87),'Drop List'!$G$23:$K$87,3,FALSE),0)</f>
        <v>0</v>
      </c>
      <c r="AI87" s="1150">
        <f>IFERROR(VLOOKUP(CONCATENATE($L87,$N87),'Drop List'!$G$23:$K$87,4,FALSE),0)</f>
        <v>0</v>
      </c>
      <c r="AJ87" s="1151">
        <f>IFERROR(VLOOKUP(CONCATENATE($L87,$N87),'Drop List'!$G$23:$K$87,5,FALSE),0)</f>
        <v>0.43799999999999994</v>
      </c>
      <c r="AK87" s="1152">
        <f t="shared" si="31"/>
        <v>59960.504799661467</v>
      </c>
      <c r="AL87" s="1153">
        <f t="shared" si="32"/>
        <v>0</v>
      </c>
      <c r="AM87" s="1153">
        <f t="shared" si="33"/>
        <v>0</v>
      </c>
      <c r="AN87" s="1145">
        <f t="shared" si="34"/>
        <v>46730.78487945145</v>
      </c>
      <c r="AO87" s="1154">
        <f t="shared" si="35"/>
        <v>106691.28967911292</v>
      </c>
      <c r="AP87" s="1147">
        <f t="shared" si="21"/>
        <v>0</v>
      </c>
      <c r="AQ87" s="1144">
        <f t="shared" si="22"/>
        <v>0</v>
      </c>
      <c r="AR87" s="1146">
        <f t="shared" si="23"/>
        <v>106691.28967911292</v>
      </c>
    </row>
    <row r="88" spans="1:44" x14ac:dyDescent="0.2">
      <c r="A88" s="1141" t="str">
        <f t="shared" si="18"/>
        <v>1542</v>
      </c>
      <c r="B88" s="1141" t="str">
        <f>IFERROR(VLOOKUP(A88,'LAC 103'!A:C,3,FALSE),"")</f>
        <v>OP</v>
      </c>
      <c r="C88" s="1478" t="str">
        <f>Info!$B$8</f>
        <v>00100</v>
      </c>
      <c r="D88" s="1474" t="s">
        <v>1100</v>
      </c>
      <c r="E88" s="1474" t="s">
        <v>95</v>
      </c>
      <c r="F88" s="1478" t="s">
        <v>392</v>
      </c>
      <c r="G88" s="1478" t="s">
        <v>392</v>
      </c>
      <c r="H88" s="1474" t="s">
        <v>1009</v>
      </c>
      <c r="I88" s="1478" t="s">
        <v>826</v>
      </c>
      <c r="J88" s="1478"/>
      <c r="K88" s="1475" t="s">
        <v>851</v>
      </c>
      <c r="L88" s="1474" t="s">
        <v>584</v>
      </c>
      <c r="M88" s="1476" t="s">
        <v>842</v>
      </c>
      <c r="N88" s="1477" t="s">
        <v>1692</v>
      </c>
      <c r="O88" s="1479">
        <v>104024</v>
      </c>
      <c r="P88" s="1479"/>
      <c r="Q88" s="1142">
        <f t="shared" si="19"/>
        <v>104024</v>
      </c>
      <c r="R88" s="1143">
        <f>IFERROR(VLOOKUP(CONCATENATE(E88,G88),'LAC 103'!$A$12:$O$95,11,FALSE),0)</f>
        <v>3.2074101033884355</v>
      </c>
      <c r="S88" s="1144">
        <f>IFERROR(VLOOKUP(CONCATENATE($E88,$G88),'LAC 103'!$A$12:$O$95,12,FALSE),0)</f>
        <v>3.99</v>
      </c>
      <c r="T88" s="1144">
        <f>IFERROR(VLOOKUP(CONCATENATE($E88,$G88),'LAC 103'!$A$12:$O$95,13,FALSE),0)</f>
        <v>2.48</v>
      </c>
      <c r="U88" s="1144">
        <f>IFERROR(VLOOKUP(CONCATENATE($E88,$G88),'LAC 103'!$A$12:$O$95,14,FALSE),0)</f>
        <v>0</v>
      </c>
      <c r="V88" s="1144">
        <f>IFERROR(VLOOKUP(CONCATENATE($E88,$G88),'LAC 103'!$A$12:$O$95,15,FALSE),0)</f>
        <v>0</v>
      </c>
      <c r="W88" s="1145" t="str">
        <f>IFERROR(VLOOKUP(CONCATENATE($B88,$N88),'LAC 103'!$AI:$AQ,9,FALSE),"")</f>
        <v>Costs</v>
      </c>
      <c r="X88" s="1146">
        <f t="shared" si="24"/>
        <v>3.2074101033884355</v>
      </c>
      <c r="Y88" s="1143">
        <f t="shared" si="25"/>
        <v>333647.6285948786</v>
      </c>
      <c r="Z88" s="1147">
        <f t="shared" si="26"/>
        <v>415055.76</v>
      </c>
      <c r="AA88" s="1144">
        <f t="shared" si="27"/>
        <v>257979.51999999999</v>
      </c>
      <c r="AB88" s="1144">
        <f t="shared" si="28"/>
        <v>0</v>
      </c>
      <c r="AC88" s="1144">
        <f t="shared" si="29"/>
        <v>0</v>
      </c>
      <c r="AD88" s="1148">
        <f t="shared" si="20"/>
        <v>333647.6285948786</v>
      </c>
      <c r="AE88" s="1487">
        <v>0</v>
      </c>
      <c r="AF88" s="1145">
        <f t="shared" si="30"/>
        <v>333647.6285948786</v>
      </c>
      <c r="AG88" s="1149">
        <f>IFERROR(VLOOKUP(CONCATENATE($L88,$N88),'Drop List'!$G$23:$K$87,2,FALSE),0)</f>
        <v>0.56200000000000006</v>
      </c>
      <c r="AH88" s="1150">
        <f>IFERROR(VLOOKUP(CONCATENATE($L88,$N88),'Drop List'!$G$23:$K$87,3,FALSE),0)</f>
        <v>0</v>
      </c>
      <c r="AI88" s="1150">
        <f>IFERROR(VLOOKUP(CONCATENATE($L88,$N88),'Drop List'!$G$23:$K$87,4,FALSE),0)</f>
        <v>0</v>
      </c>
      <c r="AJ88" s="1151">
        <f>IFERROR(VLOOKUP(CONCATENATE($L88,$N88),'Drop List'!$G$23:$K$87,5,FALSE),0)</f>
        <v>0.43799999999999994</v>
      </c>
      <c r="AK88" s="1152">
        <f t="shared" si="31"/>
        <v>187509.96727032179</v>
      </c>
      <c r="AL88" s="1153">
        <f t="shared" si="32"/>
        <v>0</v>
      </c>
      <c r="AM88" s="1153">
        <f t="shared" si="33"/>
        <v>0</v>
      </c>
      <c r="AN88" s="1145">
        <f t="shared" si="34"/>
        <v>146137.6613245568</v>
      </c>
      <c r="AO88" s="1154">
        <f t="shared" si="35"/>
        <v>333647.6285948786</v>
      </c>
      <c r="AP88" s="1147">
        <f t="shared" si="21"/>
        <v>0</v>
      </c>
      <c r="AQ88" s="1144">
        <f t="shared" si="22"/>
        <v>0</v>
      </c>
      <c r="AR88" s="1146">
        <f t="shared" si="23"/>
        <v>333647.6285948786</v>
      </c>
    </row>
    <row r="89" spans="1:44" x14ac:dyDescent="0.2">
      <c r="A89" s="1141" t="str">
        <f t="shared" si="18"/>
        <v>1542</v>
      </c>
      <c r="B89" s="1141" t="str">
        <f>IFERROR(VLOOKUP(A89,'LAC 103'!A:C,3,FALSE),"")</f>
        <v>OP</v>
      </c>
      <c r="C89" s="1478" t="str">
        <f>Info!$B$8</f>
        <v>00100</v>
      </c>
      <c r="D89" s="1474" t="s">
        <v>1100</v>
      </c>
      <c r="E89" s="1474" t="s">
        <v>95</v>
      </c>
      <c r="F89" s="1478" t="s">
        <v>392</v>
      </c>
      <c r="G89" s="1478" t="s">
        <v>392</v>
      </c>
      <c r="H89" s="1474" t="s">
        <v>1009</v>
      </c>
      <c r="I89" s="1478" t="s">
        <v>826</v>
      </c>
      <c r="J89" s="1478"/>
      <c r="K89" s="1475" t="s">
        <v>851</v>
      </c>
      <c r="L89" s="1474" t="s">
        <v>584</v>
      </c>
      <c r="M89" s="1476" t="s">
        <v>1698</v>
      </c>
      <c r="N89" s="1477" t="s">
        <v>1693</v>
      </c>
      <c r="O89" s="1479">
        <v>82546</v>
      </c>
      <c r="P89" s="1479"/>
      <c r="Q89" s="1142">
        <f t="shared" si="19"/>
        <v>82546</v>
      </c>
      <c r="R89" s="1143">
        <f>IFERROR(VLOOKUP(CONCATENATE(E89,G89),'LAC 103'!$A$12:$O$95,11,FALSE),0)</f>
        <v>3.2074101033884355</v>
      </c>
      <c r="S89" s="1144">
        <f>IFERROR(VLOOKUP(CONCATENATE($E89,$G89),'LAC 103'!$A$12:$O$95,12,FALSE),0)</f>
        <v>3.99</v>
      </c>
      <c r="T89" s="1144">
        <f>IFERROR(VLOOKUP(CONCATENATE($E89,$G89),'LAC 103'!$A$12:$O$95,13,FALSE),0)</f>
        <v>2.48</v>
      </c>
      <c r="U89" s="1144">
        <f>IFERROR(VLOOKUP(CONCATENATE($E89,$G89),'LAC 103'!$A$12:$O$95,14,FALSE),0)</f>
        <v>0</v>
      </c>
      <c r="V89" s="1144">
        <f>IFERROR(VLOOKUP(CONCATENATE($E89,$G89),'LAC 103'!$A$12:$O$95,15,FALSE),0)</f>
        <v>0</v>
      </c>
      <c r="W89" s="1145" t="str">
        <f>IFERROR(VLOOKUP(CONCATENATE($B89,$N89),'LAC 103'!$AI:$AQ,9,FALSE),"")</f>
        <v>Costs</v>
      </c>
      <c r="X89" s="1146">
        <f t="shared" si="24"/>
        <v>3.2074101033884355</v>
      </c>
      <c r="Y89" s="1143">
        <f t="shared" si="25"/>
        <v>264758.87439430179</v>
      </c>
      <c r="Z89" s="1147">
        <f t="shared" si="26"/>
        <v>329358.54000000004</v>
      </c>
      <c r="AA89" s="1144">
        <f t="shared" si="27"/>
        <v>204714.08</v>
      </c>
      <c r="AB89" s="1144">
        <f t="shared" si="28"/>
        <v>0</v>
      </c>
      <c r="AC89" s="1144">
        <f t="shared" si="29"/>
        <v>0</v>
      </c>
      <c r="AD89" s="1148">
        <f t="shared" si="20"/>
        <v>264758.87439430179</v>
      </c>
      <c r="AE89" s="1487">
        <v>0</v>
      </c>
      <c r="AF89" s="1145">
        <f t="shared" si="30"/>
        <v>264758.87439430179</v>
      </c>
      <c r="AG89" s="1149">
        <f>IFERROR(VLOOKUP(CONCATENATE($L89,$N89),'Drop List'!$G$23:$K$87,2,FALSE),0)</f>
        <v>0.56200000000000006</v>
      </c>
      <c r="AH89" s="1150">
        <f>IFERROR(VLOOKUP(CONCATENATE($L89,$N89),'Drop List'!$G$23:$K$87,3,FALSE),0)</f>
        <v>0</v>
      </c>
      <c r="AI89" s="1150">
        <f>IFERROR(VLOOKUP(CONCATENATE($L89,$N89),'Drop List'!$G$23:$K$87,4,FALSE),0)</f>
        <v>0</v>
      </c>
      <c r="AJ89" s="1151">
        <f>IFERROR(VLOOKUP(CONCATENATE($L89,$N89),'Drop List'!$G$23:$K$87,5,FALSE),0)</f>
        <v>0.43799999999999994</v>
      </c>
      <c r="AK89" s="1152">
        <f t="shared" si="31"/>
        <v>148794.48740959761</v>
      </c>
      <c r="AL89" s="1153">
        <f t="shared" si="32"/>
        <v>0</v>
      </c>
      <c r="AM89" s="1153">
        <f t="shared" si="33"/>
        <v>0</v>
      </c>
      <c r="AN89" s="1145">
        <f t="shared" si="34"/>
        <v>115964.38698470416</v>
      </c>
      <c r="AO89" s="1154">
        <f t="shared" si="35"/>
        <v>264758.87439430179</v>
      </c>
      <c r="AP89" s="1147">
        <f t="shared" si="21"/>
        <v>0</v>
      </c>
      <c r="AQ89" s="1144">
        <f t="shared" si="22"/>
        <v>0</v>
      </c>
      <c r="AR89" s="1146">
        <f t="shared" si="23"/>
        <v>264758.87439430179</v>
      </c>
    </row>
    <row r="90" spans="1:44" x14ac:dyDescent="0.2">
      <c r="A90" s="1141" t="str">
        <f t="shared" si="18"/>
        <v>1542</v>
      </c>
      <c r="B90" s="1141" t="str">
        <f>IFERROR(VLOOKUP(A90,'LAC 103'!A:C,3,FALSE),"")</f>
        <v>OP</v>
      </c>
      <c r="C90" s="1478" t="str">
        <f>Info!$B$8</f>
        <v>00100</v>
      </c>
      <c r="D90" s="1474" t="s">
        <v>1100</v>
      </c>
      <c r="E90" s="1474" t="s">
        <v>95</v>
      </c>
      <c r="F90" s="1478" t="s">
        <v>392</v>
      </c>
      <c r="G90" s="1478" t="s">
        <v>392</v>
      </c>
      <c r="H90" s="1474" t="s">
        <v>970</v>
      </c>
      <c r="I90" s="1478" t="s">
        <v>817</v>
      </c>
      <c r="J90" s="1478" t="s">
        <v>123</v>
      </c>
      <c r="K90" s="1475" t="s">
        <v>849</v>
      </c>
      <c r="L90" s="1474" t="s">
        <v>77</v>
      </c>
      <c r="M90" s="1476" t="s">
        <v>1699</v>
      </c>
      <c r="N90" s="1477" t="s">
        <v>1694</v>
      </c>
      <c r="O90" s="1479">
        <v>40357</v>
      </c>
      <c r="P90" s="1479"/>
      <c r="Q90" s="1142">
        <f t="shared" si="19"/>
        <v>40357</v>
      </c>
      <c r="R90" s="1143">
        <f>IFERROR(VLOOKUP(CONCATENATE(E90,G90),'LAC 103'!$A$12:$O$95,11,FALSE),0)</f>
        <v>3.2074101033884355</v>
      </c>
      <c r="S90" s="1144">
        <f>IFERROR(VLOOKUP(CONCATENATE($E90,$G90),'LAC 103'!$A$12:$O$95,12,FALSE),0)</f>
        <v>3.99</v>
      </c>
      <c r="T90" s="1144">
        <f>IFERROR(VLOOKUP(CONCATENATE($E90,$G90),'LAC 103'!$A$12:$O$95,13,FALSE),0)</f>
        <v>2.48</v>
      </c>
      <c r="U90" s="1144">
        <f>IFERROR(VLOOKUP(CONCATENATE($E90,$G90),'LAC 103'!$A$12:$O$95,14,FALSE),0)</f>
        <v>0</v>
      </c>
      <c r="V90" s="1144">
        <f>IFERROR(VLOOKUP(CONCATENATE($E90,$G90),'LAC 103'!$A$12:$O$95,15,FALSE),0)</f>
        <v>0</v>
      </c>
      <c r="W90" s="1145" t="str">
        <f>IFERROR(VLOOKUP(CONCATENATE($B90,$N90),'LAC 103'!$AI:$AQ,9,FALSE),"")</f>
        <v>Costs</v>
      </c>
      <c r="X90" s="1146">
        <f t="shared" si="24"/>
        <v>3.2074101033884355</v>
      </c>
      <c r="Y90" s="1143">
        <f t="shared" si="25"/>
        <v>129441.4495424471</v>
      </c>
      <c r="Z90" s="1147">
        <f t="shared" si="26"/>
        <v>161024.43000000002</v>
      </c>
      <c r="AA90" s="1144">
        <f t="shared" si="27"/>
        <v>100085.36</v>
      </c>
      <c r="AB90" s="1144">
        <f t="shared" si="28"/>
        <v>0</v>
      </c>
      <c r="AC90" s="1144">
        <f t="shared" si="29"/>
        <v>0</v>
      </c>
      <c r="AD90" s="1148">
        <f t="shared" si="20"/>
        <v>129441.4495424471</v>
      </c>
      <c r="AE90" s="1487">
        <v>0</v>
      </c>
      <c r="AF90" s="1145">
        <f t="shared" si="30"/>
        <v>129441.4495424471</v>
      </c>
      <c r="AG90" s="1149">
        <f>IFERROR(VLOOKUP(CONCATENATE($L90,$N90),'Drop List'!$G$23:$K$87,2,FALSE),0)</f>
        <v>0.9</v>
      </c>
      <c r="AH90" s="1150">
        <f>IFERROR(VLOOKUP(CONCATENATE($L90,$N90),'Drop List'!$G$23:$K$87,3,FALSE),0)</f>
        <v>0</v>
      </c>
      <c r="AI90" s="1150">
        <f>IFERROR(VLOOKUP(CONCATENATE($L90,$N90),'Drop List'!$G$23:$K$87,4,FALSE),0)</f>
        <v>0.1</v>
      </c>
      <c r="AJ90" s="1151">
        <f>IFERROR(VLOOKUP(CONCATENATE($L90,$N90),'Drop List'!$G$23:$K$87,5,FALSE),0)</f>
        <v>0</v>
      </c>
      <c r="AK90" s="1152">
        <f t="shared" si="31"/>
        <v>116497.30458820239</v>
      </c>
      <c r="AL90" s="1153">
        <f t="shared" si="32"/>
        <v>0</v>
      </c>
      <c r="AM90" s="1153">
        <f t="shared" si="33"/>
        <v>12944.14495424471</v>
      </c>
      <c r="AN90" s="1145">
        <f t="shared" si="34"/>
        <v>0</v>
      </c>
      <c r="AO90" s="1154">
        <f t="shared" si="35"/>
        <v>129441.4495424471</v>
      </c>
      <c r="AP90" s="1147">
        <f t="shared" si="21"/>
        <v>0</v>
      </c>
      <c r="AQ90" s="1144">
        <f t="shared" si="22"/>
        <v>0</v>
      </c>
      <c r="AR90" s="1146">
        <f t="shared" si="23"/>
        <v>129441.4495424471</v>
      </c>
    </row>
    <row r="91" spans="1:44" x14ac:dyDescent="0.2">
      <c r="A91" s="1141" t="str">
        <f t="shared" si="18"/>
        <v>1542</v>
      </c>
      <c r="B91" s="1141" t="str">
        <f>IFERROR(VLOOKUP(A91,'LAC 103'!A:C,3,FALSE),"")</f>
        <v>OP</v>
      </c>
      <c r="C91" s="1478" t="str">
        <f>Info!$B$8</f>
        <v>00100</v>
      </c>
      <c r="D91" s="1474" t="s">
        <v>1100</v>
      </c>
      <c r="E91" s="1474" t="s">
        <v>95</v>
      </c>
      <c r="F91" s="1478" t="s">
        <v>392</v>
      </c>
      <c r="G91" s="1478" t="s">
        <v>392</v>
      </c>
      <c r="H91" s="1474" t="s">
        <v>970</v>
      </c>
      <c r="I91" s="1478" t="s">
        <v>817</v>
      </c>
      <c r="J91" s="1478"/>
      <c r="K91" s="1475" t="s">
        <v>849</v>
      </c>
      <c r="L91" s="1474" t="s">
        <v>77</v>
      </c>
      <c r="M91" s="1476" t="s">
        <v>841</v>
      </c>
      <c r="N91" s="1477" t="s">
        <v>1695</v>
      </c>
      <c r="O91" s="1479">
        <v>23170</v>
      </c>
      <c r="P91" s="1479"/>
      <c r="Q91" s="1142">
        <f t="shared" si="19"/>
        <v>23170</v>
      </c>
      <c r="R91" s="1143">
        <f>IFERROR(VLOOKUP(CONCATENATE(E91,G91),'LAC 103'!$A$12:$O$95,11,FALSE),0)</f>
        <v>3.2074101033884355</v>
      </c>
      <c r="S91" s="1144">
        <f>IFERROR(VLOOKUP(CONCATENATE($E91,$G91),'LAC 103'!$A$12:$O$95,12,FALSE),0)</f>
        <v>3.99</v>
      </c>
      <c r="T91" s="1144">
        <f>IFERROR(VLOOKUP(CONCATENATE($E91,$G91),'LAC 103'!$A$12:$O$95,13,FALSE),0)</f>
        <v>2.48</v>
      </c>
      <c r="U91" s="1144">
        <f>IFERROR(VLOOKUP(CONCATENATE($E91,$G91),'LAC 103'!$A$12:$O$95,14,FALSE),0)</f>
        <v>0</v>
      </c>
      <c r="V91" s="1144">
        <f>IFERROR(VLOOKUP(CONCATENATE($E91,$G91),'LAC 103'!$A$12:$O$95,15,FALSE),0)</f>
        <v>0</v>
      </c>
      <c r="W91" s="1145" t="str">
        <f>IFERROR(VLOOKUP(CONCATENATE($B91,$N91),'LAC 103'!$AI:$AQ,9,FALSE),"")</f>
        <v>Costs</v>
      </c>
      <c r="X91" s="1146">
        <f t="shared" si="24"/>
        <v>3.2074101033884355</v>
      </c>
      <c r="Y91" s="1143">
        <f t="shared" si="25"/>
        <v>74315.69209551005</v>
      </c>
      <c r="Z91" s="1147">
        <f t="shared" si="26"/>
        <v>92448.3</v>
      </c>
      <c r="AA91" s="1144">
        <f t="shared" si="27"/>
        <v>57461.599999999999</v>
      </c>
      <c r="AB91" s="1144">
        <f t="shared" si="28"/>
        <v>0</v>
      </c>
      <c r="AC91" s="1144">
        <f t="shared" si="29"/>
        <v>0</v>
      </c>
      <c r="AD91" s="1148">
        <f t="shared" si="20"/>
        <v>74315.69209551005</v>
      </c>
      <c r="AE91" s="1487">
        <v>0</v>
      </c>
      <c r="AF91" s="1145">
        <f t="shared" si="30"/>
        <v>74315.69209551005</v>
      </c>
      <c r="AG91" s="1149">
        <f>IFERROR(VLOOKUP(CONCATENATE($L91,$N91),'Drop List'!$G$23:$K$87,2,FALSE),0)</f>
        <v>0.9</v>
      </c>
      <c r="AH91" s="1150">
        <f>IFERROR(VLOOKUP(CONCATENATE($L91,$N91),'Drop List'!$G$23:$K$87,3,FALSE),0)</f>
        <v>0</v>
      </c>
      <c r="AI91" s="1150">
        <f>IFERROR(VLOOKUP(CONCATENATE($L91,$N91),'Drop List'!$G$23:$K$87,4,FALSE),0)</f>
        <v>0.1</v>
      </c>
      <c r="AJ91" s="1151">
        <f>IFERROR(VLOOKUP(CONCATENATE($L91,$N91),'Drop List'!$G$23:$K$87,5,FALSE),0)</f>
        <v>0</v>
      </c>
      <c r="AK91" s="1152">
        <f t="shared" si="31"/>
        <v>66884.122885959048</v>
      </c>
      <c r="AL91" s="1153">
        <f t="shared" si="32"/>
        <v>0</v>
      </c>
      <c r="AM91" s="1153">
        <f t="shared" si="33"/>
        <v>7431.5692095510058</v>
      </c>
      <c r="AN91" s="1145">
        <f t="shared" si="34"/>
        <v>0</v>
      </c>
      <c r="AO91" s="1154">
        <f t="shared" si="35"/>
        <v>74315.69209551005</v>
      </c>
      <c r="AP91" s="1147">
        <f t="shared" si="21"/>
        <v>0</v>
      </c>
      <c r="AQ91" s="1144">
        <f t="shared" si="22"/>
        <v>0</v>
      </c>
      <c r="AR91" s="1146">
        <f t="shared" si="23"/>
        <v>74315.69209551005</v>
      </c>
    </row>
    <row r="92" spans="1:44" x14ac:dyDescent="0.2">
      <c r="A92" s="1141" t="str">
        <f t="shared" si="18"/>
        <v>1542</v>
      </c>
      <c r="B92" s="1141" t="str">
        <f>IFERROR(VLOOKUP(A92,'LAC 103'!A:C,3,FALSE),"")</f>
        <v>OP</v>
      </c>
      <c r="C92" s="1478" t="str">
        <f>Info!$B$8</f>
        <v>00100</v>
      </c>
      <c r="D92" s="1474" t="s">
        <v>1100</v>
      </c>
      <c r="E92" s="1474" t="s">
        <v>95</v>
      </c>
      <c r="F92" s="1478" t="s">
        <v>392</v>
      </c>
      <c r="G92" s="1478" t="s">
        <v>392</v>
      </c>
      <c r="H92" s="1474" t="s">
        <v>970</v>
      </c>
      <c r="I92" s="1478" t="s">
        <v>817</v>
      </c>
      <c r="J92" s="1478"/>
      <c r="K92" s="1475" t="s">
        <v>849</v>
      </c>
      <c r="L92" s="1474" t="s">
        <v>77</v>
      </c>
      <c r="M92" s="1476" t="s">
        <v>840</v>
      </c>
      <c r="N92" s="1477" t="s">
        <v>1700</v>
      </c>
      <c r="O92" s="1479">
        <v>24841</v>
      </c>
      <c r="P92" s="1479"/>
      <c r="Q92" s="1142">
        <f t="shared" si="19"/>
        <v>24841</v>
      </c>
      <c r="R92" s="1143">
        <f>IFERROR(VLOOKUP(CONCATENATE(E92,G92),'LAC 103'!$A$12:$O$95,11,FALSE),0)</f>
        <v>3.2074101033884355</v>
      </c>
      <c r="S92" s="1144">
        <f>IFERROR(VLOOKUP(CONCATENATE($E92,$G92),'LAC 103'!$A$12:$O$95,12,FALSE),0)</f>
        <v>3.99</v>
      </c>
      <c r="T92" s="1144">
        <f>IFERROR(VLOOKUP(CONCATENATE($E92,$G92),'LAC 103'!$A$12:$O$95,13,FALSE),0)</f>
        <v>2.48</v>
      </c>
      <c r="U92" s="1144">
        <f>IFERROR(VLOOKUP(CONCATENATE($E92,$G92),'LAC 103'!$A$12:$O$95,14,FALSE),0)</f>
        <v>0</v>
      </c>
      <c r="V92" s="1144">
        <f>IFERROR(VLOOKUP(CONCATENATE($E92,$G92),'LAC 103'!$A$12:$O$95,15,FALSE),0)</f>
        <v>0</v>
      </c>
      <c r="W92" s="1145" t="str">
        <f>IFERROR(VLOOKUP(CONCATENATE($B92,$N92),'LAC 103'!$AI:$AQ,9,FALSE),"")</f>
        <v>P.C.</v>
      </c>
      <c r="X92" s="1146">
        <f t="shared" si="24"/>
        <v>2.48</v>
      </c>
      <c r="Y92" s="1143">
        <f t="shared" si="25"/>
        <v>79675.274378272123</v>
      </c>
      <c r="Z92" s="1147">
        <f t="shared" si="26"/>
        <v>99115.590000000011</v>
      </c>
      <c r="AA92" s="1144">
        <f t="shared" si="27"/>
        <v>61605.68</v>
      </c>
      <c r="AB92" s="1144">
        <f t="shared" si="28"/>
        <v>0</v>
      </c>
      <c r="AC92" s="1144">
        <f t="shared" si="29"/>
        <v>0</v>
      </c>
      <c r="AD92" s="1148">
        <f t="shared" si="20"/>
        <v>61605.68</v>
      </c>
      <c r="AE92" s="1487">
        <v>0</v>
      </c>
      <c r="AF92" s="1145">
        <f t="shared" si="30"/>
        <v>61605.68</v>
      </c>
      <c r="AG92" s="1149">
        <f>IFERROR(VLOOKUP(CONCATENATE($L92,$N92),'Drop List'!$G$23:$K$87,2,FALSE),0)</f>
        <v>0.9</v>
      </c>
      <c r="AH92" s="1150">
        <f>IFERROR(VLOOKUP(CONCATENATE($L92,$N92),'Drop List'!$G$23:$K$87,3,FALSE),0)</f>
        <v>0</v>
      </c>
      <c r="AI92" s="1150">
        <f>IFERROR(VLOOKUP(CONCATENATE($L92,$N92),'Drop List'!$G$23:$K$87,4,FALSE),0)</f>
        <v>0.1</v>
      </c>
      <c r="AJ92" s="1151">
        <f>IFERROR(VLOOKUP(CONCATENATE($L92,$N92),'Drop List'!$G$23:$K$87,5,FALSE),0)</f>
        <v>0</v>
      </c>
      <c r="AK92" s="1152">
        <f t="shared" si="31"/>
        <v>55445.112000000001</v>
      </c>
      <c r="AL92" s="1153">
        <f t="shared" si="32"/>
        <v>0</v>
      </c>
      <c r="AM92" s="1153">
        <f t="shared" si="33"/>
        <v>6160.5680000000002</v>
      </c>
      <c r="AN92" s="1145">
        <f t="shared" si="34"/>
        <v>0</v>
      </c>
      <c r="AO92" s="1154">
        <f t="shared" si="35"/>
        <v>61605.68</v>
      </c>
      <c r="AP92" s="1147">
        <f t="shared" si="21"/>
        <v>0</v>
      </c>
      <c r="AQ92" s="1144">
        <f t="shared" si="22"/>
        <v>0</v>
      </c>
      <c r="AR92" s="1146">
        <f t="shared" si="23"/>
        <v>61605.68</v>
      </c>
    </row>
    <row r="93" spans="1:44" x14ac:dyDescent="0.2">
      <c r="A93" s="1141" t="str">
        <f t="shared" si="18"/>
        <v>1542</v>
      </c>
      <c r="B93" s="1141" t="str">
        <f>IFERROR(VLOOKUP(A93,'LAC 103'!A:C,3,FALSE),"")</f>
        <v>OP</v>
      </c>
      <c r="C93" s="1478" t="str">
        <f>Info!$B$8</f>
        <v>00100</v>
      </c>
      <c r="D93" s="1474" t="s">
        <v>1100</v>
      </c>
      <c r="E93" s="1474" t="s">
        <v>95</v>
      </c>
      <c r="F93" s="1478" t="s">
        <v>392</v>
      </c>
      <c r="G93" s="1478" t="s">
        <v>392</v>
      </c>
      <c r="H93" s="1474" t="s">
        <v>970</v>
      </c>
      <c r="I93" s="1478" t="s">
        <v>817</v>
      </c>
      <c r="J93" s="1478"/>
      <c r="K93" s="1475" t="s">
        <v>849</v>
      </c>
      <c r="L93" s="1474" t="s">
        <v>77</v>
      </c>
      <c r="M93" s="1476" t="s">
        <v>842</v>
      </c>
      <c r="N93" s="1477" t="s">
        <v>1692</v>
      </c>
      <c r="O93" s="1479">
        <v>27475</v>
      </c>
      <c r="P93" s="1479"/>
      <c r="Q93" s="1142">
        <f t="shared" si="19"/>
        <v>27475</v>
      </c>
      <c r="R93" s="1143">
        <f>IFERROR(VLOOKUP(CONCATENATE(E93,G93),'LAC 103'!$A$12:$O$95,11,FALSE),0)</f>
        <v>3.2074101033884355</v>
      </c>
      <c r="S93" s="1144">
        <f>IFERROR(VLOOKUP(CONCATENATE($E93,$G93),'LAC 103'!$A$12:$O$95,12,FALSE),0)</f>
        <v>3.99</v>
      </c>
      <c r="T93" s="1144">
        <f>IFERROR(VLOOKUP(CONCATENATE($E93,$G93),'LAC 103'!$A$12:$O$95,13,FALSE),0)</f>
        <v>2.48</v>
      </c>
      <c r="U93" s="1144">
        <f>IFERROR(VLOOKUP(CONCATENATE($E93,$G93),'LAC 103'!$A$12:$O$95,14,FALSE),0)</f>
        <v>0</v>
      </c>
      <c r="V93" s="1144">
        <f>IFERROR(VLOOKUP(CONCATENATE($E93,$G93),'LAC 103'!$A$12:$O$95,15,FALSE),0)</f>
        <v>0</v>
      </c>
      <c r="W93" s="1145" t="str">
        <f>IFERROR(VLOOKUP(CONCATENATE($B93,$N93),'LAC 103'!$AI:$AQ,9,FALSE),"")</f>
        <v>Costs</v>
      </c>
      <c r="X93" s="1146">
        <f t="shared" si="24"/>
        <v>3.2074101033884355</v>
      </c>
      <c r="Y93" s="1143">
        <f t="shared" si="25"/>
        <v>88123.592590597269</v>
      </c>
      <c r="Z93" s="1147">
        <f t="shared" si="26"/>
        <v>109625.25</v>
      </c>
      <c r="AA93" s="1144">
        <f t="shared" si="27"/>
        <v>68138</v>
      </c>
      <c r="AB93" s="1144">
        <f t="shared" si="28"/>
        <v>0</v>
      </c>
      <c r="AC93" s="1144">
        <f t="shared" si="29"/>
        <v>0</v>
      </c>
      <c r="AD93" s="1148">
        <f t="shared" si="20"/>
        <v>88123.592590597269</v>
      </c>
      <c r="AE93" s="1487">
        <v>0</v>
      </c>
      <c r="AF93" s="1145">
        <f t="shared" si="30"/>
        <v>88123.592590597269</v>
      </c>
      <c r="AG93" s="1149">
        <f>IFERROR(VLOOKUP(CONCATENATE($L93,$N93),'Drop List'!$G$23:$K$87,2,FALSE),0)</f>
        <v>0.9</v>
      </c>
      <c r="AH93" s="1150">
        <f>IFERROR(VLOOKUP(CONCATENATE($L93,$N93),'Drop List'!$G$23:$K$87,3,FALSE),0)</f>
        <v>0</v>
      </c>
      <c r="AI93" s="1150">
        <f>IFERROR(VLOOKUP(CONCATENATE($L93,$N93),'Drop List'!$G$23:$K$87,4,FALSE),0)</f>
        <v>0.1</v>
      </c>
      <c r="AJ93" s="1151">
        <f>IFERROR(VLOOKUP(CONCATENATE($L93,$N93),'Drop List'!$G$23:$K$87,5,FALSE),0)</f>
        <v>0</v>
      </c>
      <c r="AK93" s="1152">
        <f t="shared" si="31"/>
        <v>79311.233331537544</v>
      </c>
      <c r="AL93" s="1153">
        <f t="shared" si="32"/>
        <v>0</v>
      </c>
      <c r="AM93" s="1153">
        <f t="shared" si="33"/>
        <v>8812.3592590597273</v>
      </c>
      <c r="AN93" s="1145">
        <f t="shared" si="34"/>
        <v>0</v>
      </c>
      <c r="AO93" s="1154">
        <f t="shared" si="35"/>
        <v>88123.592590597269</v>
      </c>
      <c r="AP93" s="1147">
        <f t="shared" si="21"/>
        <v>0</v>
      </c>
      <c r="AQ93" s="1144">
        <f t="shared" si="22"/>
        <v>0</v>
      </c>
      <c r="AR93" s="1146">
        <f t="shared" si="23"/>
        <v>88123.592590597269</v>
      </c>
    </row>
    <row r="94" spans="1:44" x14ac:dyDescent="0.2">
      <c r="A94" s="1141" t="str">
        <f t="shared" si="18"/>
        <v>1542</v>
      </c>
      <c r="B94" s="1141" t="str">
        <f>IFERROR(VLOOKUP(A94,'LAC 103'!A:C,3,FALSE),"")</f>
        <v>OP</v>
      </c>
      <c r="C94" s="1478" t="str">
        <f>Info!$B$8</f>
        <v>00100</v>
      </c>
      <c r="D94" s="1474" t="s">
        <v>1100</v>
      </c>
      <c r="E94" s="1474" t="s">
        <v>95</v>
      </c>
      <c r="F94" s="1478" t="s">
        <v>392</v>
      </c>
      <c r="G94" s="1478" t="s">
        <v>392</v>
      </c>
      <c r="H94" s="1474" t="s">
        <v>970</v>
      </c>
      <c r="I94" s="1478" t="s">
        <v>817</v>
      </c>
      <c r="J94" s="1478"/>
      <c r="K94" s="1475" t="s">
        <v>849</v>
      </c>
      <c r="L94" s="1474" t="s">
        <v>77</v>
      </c>
      <c r="M94" s="1476" t="s">
        <v>1698</v>
      </c>
      <c r="N94" s="1477" t="s">
        <v>1693</v>
      </c>
      <c r="O94" s="1479">
        <v>28575</v>
      </c>
      <c r="P94" s="1479"/>
      <c r="Q94" s="1142">
        <f t="shared" si="19"/>
        <v>28575</v>
      </c>
      <c r="R94" s="1143">
        <f>IFERROR(VLOOKUP(CONCATENATE(E94,G94),'LAC 103'!$A$12:$O$95,11,FALSE),0)</f>
        <v>3.2074101033884355</v>
      </c>
      <c r="S94" s="1144">
        <f>IFERROR(VLOOKUP(CONCATENATE($E94,$G94),'LAC 103'!$A$12:$O$95,12,FALSE),0)</f>
        <v>3.99</v>
      </c>
      <c r="T94" s="1144">
        <f>IFERROR(VLOOKUP(CONCATENATE($E94,$G94),'LAC 103'!$A$12:$O$95,13,FALSE),0)</f>
        <v>2.48</v>
      </c>
      <c r="U94" s="1144">
        <f>IFERROR(VLOOKUP(CONCATENATE($E94,$G94),'LAC 103'!$A$12:$O$95,14,FALSE),0)</f>
        <v>0</v>
      </c>
      <c r="V94" s="1144">
        <f>IFERROR(VLOOKUP(CONCATENATE($E94,$G94),'LAC 103'!$A$12:$O$95,15,FALSE),0)</f>
        <v>0</v>
      </c>
      <c r="W94" s="1145" t="str">
        <f>IFERROR(VLOOKUP(CONCATENATE($B94,$N94),'LAC 103'!$AI:$AQ,9,FALSE),"")</f>
        <v>Costs</v>
      </c>
      <c r="X94" s="1146">
        <f t="shared" si="24"/>
        <v>3.2074101033884355</v>
      </c>
      <c r="Y94" s="1143">
        <f t="shared" si="25"/>
        <v>91651.743704324545</v>
      </c>
      <c r="Z94" s="1147">
        <f t="shared" si="26"/>
        <v>114014.25</v>
      </c>
      <c r="AA94" s="1144">
        <f t="shared" si="27"/>
        <v>70866</v>
      </c>
      <c r="AB94" s="1144">
        <f t="shared" si="28"/>
        <v>0</v>
      </c>
      <c r="AC94" s="1144">
        <f t="shared" si="29"/>
        <v>0</v>
      </c>
      <c r="AD94" s="1148">
        <f t="shared" si="20"/>
        <v>91651.743704324545</v>
      </c>
      <c r="AE94" s="1487">
        <v>0</v>
      </c>
      <c r="AF94" s="1145">
        <f t="shared" si="30"/>
        <v>91651.743704324545</v>
      </c>
      <c r="AG94" s="1149">
        <f>IFERROR(VLOOKUP(CONCATENATE($L94,$N94),'Drop List'!$G$23:$K$87,2,FALSE),0)</f>
        <v>0.9</v>
      </c>
      <c r="AH94" s="1150">
        <f>IFERROR(VLOOKUP(CONCATENATE($L94,$N94),'Drop List'!$G$23:$K$87,3,FALSE),0)</f>
        <v>0</v>
      </c>
      <c r="AI94" s="1150">
        <f>IFERROR(VLOOKUP(CONCATENATE($L94,$N94),'Drop List'!$G$23:$K$87,4,FALSE),0)</f>
        <v>0.1</v>
      </c>
      <c r="AJ94" s="1151">
        <f>IFERROR(VLOOKUP(CONCATENATE($L94,$N94),'Drop List'!$G$23:$K$87,5,FALSE),0)</f>
        <v>0</v>
      </c>
      <c r="AK94" s="1152">
        <f t="shared" si="31"/>
        <v>82486.569333892097</v>
      </c>
      <c r="AL94" s="1153">
        <f t="shared" si="32"/>
        <v>0</v>
      </c>
      <c r="AM94" s="1153">
        <f t="shared" si="33"/>
        <v>9165.1743704324545</v>
      </c>
      <c r="AN94" s="1145">
        <f t="shared" si="34"/>
        <v>0</v>
      </c>
      <c r="AO94" s="1154">
        <f t="shared" si="35"/>
        <v>91651.743704324559</v>
      </c>
      <c r="AP94" s="1147">
        <f t="shared" si="21"/>
        <v>0</v>
      </c>
      <c r="AQ94" s="1144">
        <f t="shared" si="22"/>
        <v>0</v>
      </c>
      <c r="AR94" s="1146">
        <f t="shared" si="23"/>
        <v>91651.743704324559</v>
      </c>
    </row>
    <row r="95" spans="1:44" x14ac:dyDescent="0.2">
      <c r="A95" s="1141" t="str">
        <f t="shared" si="18"/>
        <v>1542</v>
      </c>
      <c r="B95" s="1141" t="str">
        <f>IFERROR(VLOOKUP(A95,'LAC 103'!A:C,3,FALSE),"")</f>
        <v>OP</v>
      </c>
      <c r="C95" s="1478" t="str">
        <f>Info!$B$8</f>
        <v>00100</v>
      </c>
      <c r="D95" s="1474" t="s">
        <v>1100</v>
      </c>
      <c r="E95" s="1474" t="s">
        <v>95</v>
      </c>
      <c r="F95" s="1478" t="s">
        <v>392</v>
      </c>
      <c r="G95" s="1478" t="s">
        <v>392</v>
      </c>
      <c r="H95" s="1474" t="s">
        <v>970</v>
      </c>
      <c r="I95" s="1478" t="s">
        <v>817</v>
      </c>
      <c r="J95" s="1478"/>
      <c r="K95" s="1475" t="s">
        <v>850</v>
      </c>
      <c r="L95" s="1474" t="s">
        <v>330</v>
      </c>
      <c r="M95" s="1476" t="s">
        <v>1699</v>
      </c>
      <c r="N95" s="1477" t="s">
        <v>1694</v>
      </c>
      <c r="O95" s="1479">
        <v>525</v>
      </c>
      <c r="P95" s="1479"/>
      <c r="Q95" s="1142">
        <f t="shared" si="19"/>
        <v>525</v>
      </c>
      <c r="R95" s="1143">
        <f>IFERROR(VLOOKUP(CONCATENATE(E95,G95),'LAC 103'!$A$12:$O$95,11,FALSE),0)</f>
        <v>3.2074101033884355</v>
      </c>
      <c r="S95" s="1144">
        <f>IFERROR(VLOOKUP(CONCATENATE($E95,$G95),'LAC 103'!$A$12:$O$95,12,FALSE),0)</f>
        <v>3.99</v>
      </c>
      <c r="T95" s="1144">
        <f>IFERROR(VLOOKUP(CONCATENATE($E95,$G95),'LAC 103'!$A$12:$O$95,13,FALSE),0)</f>
        <v>2.48</v>
      </c>
      <c r="U95" s="1144">
        <f>IFERROR(VLOOKUP(CONCATENATE($E95,$G95),'LAC 103'!$A$12:$O$95,14,FALSE),0)</f>
        <v>0</v>
      </c>
      <c r="V95" s="1144">
        <f>IFERROR(VLOOKUP(CONCATENATE($E95,$G95),'LAC 103'!$A$12:$O$95,15,FALSE),0)</f>
        <v>0</v>
      </c>
      <c r="W95" s="1145" t="str">
        <f>IFERROR(VLOOKUP(CONCATENATE($B95,$N95),'LAC 103'!$AI:$AQ,9,FALSE),"")</f>
        <v>Costs</v>
      </c>
      <c r="X95" s="1146">
        <f t="shared" si="24"/>
        <v>3.2074101033884355</v>
      </c>
      <c r="Y95" s="1143">
        <f t="shared" si="25"/>
        <v>1683.8903042789286</v>
      </c>
      <c r="Z95" s="1147">
        <f t="shared" si="26"/>
        <v>2094.75</v>
      </c>
      <c r="AA95" s="1144">
        <f t="shared" si="27"/>
        <v>1302</v>
      </c>
      <c r="AB95" s="1144">
        <f t="shared" si="28"/>
        <v>0</v>
      </c>
      <c r="AC95" s="1144">
        <f t="shared" si="29"/>
        <v>0</v>
      </c>
      <c r="AD95" s="1148">
        <f t="shared" si="20"/>
        <v>1683.8903042789286</v>
      </c>
      <c r="AE95" s="1487">
        <v>0</v>
      </c>
      <c r="AF95" s="1145">
        <f t="shared" si="30"/>
        <v>1683.8903042789286</v>
      </c>
      <c r="AG95" s="1149">
        <f>IFERROR(VLOOKUP(CONCATENATE($L95,$N95),'Drop List'!$G$23:$K$87,2,FALSE),0)</f>
        <v>0</v>
      </c>
      <c r="AH95" s="1150">
        <f>IFERROR(VLOOKUP(CONCATENATE($L95,$N95),'Drop List'!$G$23:$K$87,3,FALSE),0)</f>
        <v>0</v>
      </c>
      <c r="AI95" s="1150">
        <f>IFERROR(VLOOKUP(CONCATENATE($L95,$N95),'Drop List'!$G$23:$K$87,4,FALSE),0)</f>
        <v>1</v>
      </c>
      <c r="AJ95" s="1151">
        <f>IFERROR(VLOOKUP(CONCATENATE($L95,$N95),'Drop List'!$G$23:$K$87,5,FALSE),0)</f>
        <v>0</v>
      </c>
      <c r="AK95" s="1152">
        <f t="shared" si="31"/>
        <v>0</v>
      </c>
      <c r="AL95" s="1153">
        <f t="shared" si="32"/>
        <v>0</v>
      </c>
      <c r="AM95" s="1153">
        <f t="shared" si="33"/>
        <v>1683.8903042789286</v>
      </c>
      <c r="AN95" s="1145">
        <f t="shared" si="34"/>
        <v>0</v>
      </c>
      <c r="AO95" s="1154">
        <f t="shared" si="35"/>
        <v>1683.8903042789286</v>
      </c>
      <c r="AP95" s="1147">
        <f t="shared" si="21"/>
        <v>0</v>
      </c>
      <c r="AQ95" s="1144">
        <f t="shared" si="22"/>
        <v>0</v>
      </c>
      <c r="AR95" s="1146">
        <f t="shared" si="23"/>
        <v>1683.8903042789286</v>
      </c>
    </row>
    <row r="96" spans="1:44" x14ac:dyDescent="0.2">
      <c r="A96" s="1141" t="str">
        <f t="shared" si="18"/>
        <v>1542</v>
      </c>
      <c r="B96" s="1141" t="str">
        <f>IFERROR(VLOOKUP(A96,'LAC 103'!A:C,3,FALSE),"")</f>
        <v>OP</v>
      </c>
      <c r="C96" s="1478" t="str">
        <f>Info!$B$8</f>
        <v>00100</v>
      </c>
      <c r="D96" s="1474" t="s">
        <v>1100</v>
      </c>
      <c r="E96" s="1474" t="s">
        <v>95</v>
      </c>
      <c r="F96" s="1478" t="s">
        <v>392</v>
      </c>
      <c r="G96" s="1478" t="s">
        <v>392</v>
      </c>
      <c r="H96" s="1474" t="s">
        <v>970</v>
      </c>
      <c r="I96" s="1478" t="s">
        <v>817</v>
      </c>
      <c r="J96" s="1478"/>
      <c r="K96" s="1475" t="s">
        <v>850</v>
      </c>
      <c r="L96" s="1474" t="s">
        <v>330</v>
      </c>
      <c r="M96" s="1476" t="s">
        <v>842</v>
      </c>
      <c r="N96" s="1477" t="s">
        <v>1692</v>
      </c>
      <c r="O96" s="1479">
        <v>2427</v>
      </c>
      <c r="P96" s="1479"/>
      <c r="Q96" s="1142">
        <f t="shared" si="19"/>
        <v>2427</v>
      </c>
      <c r="R96" s="1143">
        <f>IFERROR(VLOOKUP(CONCATENATE(E96,G96),'LAC 103'!$A$12:$O$95,11,FALSE),0)</f>
        <v>3.2074101033884355</v>
      </c>
      <c r="S96" s="1144">
        <f>IFERROR(VLOOKUP(CONCATENATE($E96,$G96),'LAC 103'!$A$12:$O$95,12,FALSE),0)</f>
        <v>3.99</v>
      </c>
      <c r="T96" s="1144">
        <f>IFERROR(VLOOKUP(CONCATENATE($E96,$G96),'LAC 103'!$A$12:$O$95,13,FALSE),0)</f>
        <v>2.48</v>
      </c>
      <c r="U96" s="1144">
        <f>IFERROR(VLOOKUP(CONCATENATE($E96,$G96),'LAC 103'!$A$12:$O$95,14,FALSE),0)</f>
        <v>0</v>
      </c>
      <c r="V96" s="1144">
        <f>IFERROR(VLOOKUP(CONCATENATE($E96,$G96),'LAC 103'!$A$12:$O$95,15,FALSE),0)</f>
        <v>0</v>
      </c>
      <c r="W96" s="1145" t="str">
        <f>IFERROR(VLOOKUP(CONCATENATE($B96,$N96),'LAC 103'!$AI:$AQ,9,FALSE),"")</f>
        <v>Costs</v>
      </c>
      <c r="X96" s="1146">
        <f t="shared" si="24"/>
        <v>3.2074101033884355</v>
      </c>
      <c r="Y96" s="1143">
        <f t="shared" si="25"/>
        <v>7784.384320923733</v>
      </c>
      <c r="Z96" s="1147">
        <f t="shared" si="26"/>
        <v>9683.7300000000014</v>
      </c>
      <c r="AA96" s="1144">
        <f t="shared" si="27"/>
        <v>6018.96</v>
      </c>
      <c r="AB96" s="1144">
        <f t="shared" si="28"/>
        <v>0</v>
      </c>
      <c r="AC96" s="1144">
        <f t="shared" si="29"/>
        <v>0</v>
      </c>
      <c r="AD96" s="1148">
        <f t="shared" si="20"/>
        <v>7784.384320923733</v>
      </c>
      <c r="AE96" s="1487">
        <v>0</v>
      </c>
      <c r="AF96" s="1145">
        <f t="shared" si="30"/>
        <v>7784.384320923733</v>
      </c>
      <c r="AG96" s="1149">
        <f>IFERROR(VLOOKUP(CONCATENATE($L96,$N96),'Drop List'!$G$23:$K$87,2,FALSE),0)</f>
        <v>0</v>
      </c>
      <c r="AH96" s="1150">
        <f>IFERROR(VLOOKUP(CONCATENATE($L96,$N96),'Drop List'!$G$23:$K$87,3,FALSE),0)</f>
        <v>0</v>
      </c>
      <c r="AI96" s="1150">
        <f>IFERROR(VLOOKUP(CONCATENATE($L96,$N96),'Drop List'!$G$23:$K$87,4,FALSE),0)</f>
        <v>1</v>
      </c>
      <c r="AJ96" s="1151">
        <f>IFERROR(VLOOKUP(CONCATENATE($L96,$N96),'Drop List'!$G$23:$K$87,5,FALSE),0)</f>
        <v>0</v>
      </c>
      <c r="AK96" s="1152">
        <f t="shared" si="31"/>
        <v>0</v>
      </c>
      <c r="AL96" s="1153">
        <f t="shared" si="32"/>
        <v>0</v>
      </c>
      <c r="AM96" s="1153">
        <f t="shared" si="33"/>
        <v>7784.384320923733</v>
      </c>
      <c r="AN96" s="1145">
        <f t="shared" si="34"/>
        <v>0</v>
      </c>
      <c r="AO96" s="1154">
        <f t="shared" si="35"/>
        <v>7784.384320923733</v>
      </c>
      <c r="AP96" s="1147">
        <f t="shared" si="21"/>
        <v>0</v>
      </c>
      <c r="AQ96" s="1144">
        <f t="shared" si="22"/>
        <v>0</v>
      </c>
      <c r="AR96" s="1146">
        <f t="shared" si="23"/>
        <v>7784.384320923733</v>
      </c>
    </row>
    <row r="97" spans="1:44" x14ac:dyDescent="0.2">
      <c r="A97" s="1141" t="str">
        <f t="shared" si="18"/>
        <v>1542</v>
      </c>
      <c r="B97" s="1141" t="str">
        <f>IFERROR(VLOOKUP(A97,'LAC 103'!A:C,3,FALSE),"")</f>
        <v>OP</v>
      </c>
      <c r="C97" s="1478" t="str">
        <f>Info!$B$8</f>
        <v>00100</v>
      </c>
      <c r="D97" s="1474" t="s">
        <v>1100</v>
      </c>
      <c r="E97" s="1474" t="s">
        <v>95</v>
      </c>
      <c r="F97" s="1478" t="s">
        <v>392</v>
      </c>
      <c r="G97" s="1478" t="s">
        <v>392</v>
      </c>
      <c r="H97" s="1474" t="s">
        <v>970</v>
      </c>
      <c r="I97" s="1478" t="s">
        <v>817</v>
      </c>
      <c r="J97" s="1478"/>
      <c r="K97" s="1475" t="s">
        <v>850</v>
      </c>
      <c r="L97" s="1474" t="s">
        <v>330</v>
      </c>
      <c r="M97" s="1476" t="s">
        <v>1698</v>
      </c>
      <c r="N97" s="1477" t="s">
        <v>1693</v>
      </c>
      <c r="O97" s="1479">
        <v>712</v>
      </c>
      <c r="P97" s="1479"/>
      <c r="Q97" s="1142">
        <f t="shared" si="19"/>
        <v>712</v>
      </c>
      <c r="R97" s="1143">
        <f>IFERROR(VLOOKUP(CONCATENATE(E97,G97),'LAC 103'!$A$12:$O$95,11,FALSE),0)</f>
        <v>3.2074101033884355</v>
      </c>
      <c r="S97" s="1144">
        <f>IFERROR(VLOOKUP(CONCATENATE($E97,$G97),'LAC 103'!$A$12:$O$95,12,FALSE),0)</f>
        <v>3.99</v>
      </c>
      <c r="T97" s="1144">
        <f>IFERROR(VLOOKUP(CONCATENATE($E97,$G97),'LAC 103'!$A$12:$O$95,13,FALSE),0)</f>
        <v>2.48</v>
      </c>
      <c r="U97" s="1144">
        <f>IFERROR(VLOOKUP(CONCATENATE($E97,$G97),'LAC 103'!$A$12:$O$95,14,FALSE),0)</f>
        <v>0</v>
      </c>
      <c r="V97" s="1144">
        <f>IFERROR(VLOOKUP(CONCATENATE($E97,$G97),'LAC 103'!$A$12:$O$95,15,FALSE),0)</f>
        <v>0</v>
      </c>
      <c r="W97" s="1145" t="str">
        <f>IFERROR(VLOOKUP(CONCATENATE($B97,$N97),'LAC 103'!$AI:$AQ,9,FALSE),"")</f>
        <v>Costs</v>
      </c>
      <c r="X97" s="1146">
        <f t="shared" si="24"/>
        <v>3.2074101033884355</v>
      </c>
      <c r="Y97" s="1143">
        <f t="shared" si="25"/>
        <v>2283.6759936125659</v>
      </c>
      <c r="Z97" s="1147">
        <f t="shared" si="26"/>
        <v>2840.88</v>
      </c>
      <c r="AA97" s="1144">
        <f t="shared" si="27"/>
        <v>1765.76</v>
      </c>
      <c r="AB97" s="1144">
        <f t="shared" si="28"/>
        <v>0</v>
      </c>
      <c r="AC97" s="1144">
        <f t="shared" si="29"/>
        <v>0</v>
      </c>
      <c r="AD97" s="1148">
        <f t="shared" si="20"/>
        <v>2283.6759936125659</v>
      </c>
      <c r="AE97" s="1487">
        <v>0</v>
      </c>
      <c r="AF97" s="1145">
        <f t="shared" si="30"/>
        <v>2283.6759936125659</v>
      </c>
      <c r="AG97" s="1149">
        <f>IFERROR(VLOOKUP(CONCATENATE($L97,$N97),'Drop List'!$G$23:$K$87,2,FALSE),0)</f>
        <v>0</v>
      </c>
      <c r="AH97" s="1150">
        <f>IFERROR(VLOOKUP(CONCATENATE($L97,$N97),'Drop List'!$G$23:$K$87,3,FALSE),0)</f>
        <v>0</v>
      </c>
      <c r="AI97" s="1150">
        <f>IFERROR(VLOOKUP(CONCATENATE($L97,$N97),'Drop List'!$G$23:$K$87,4,FALSE),0)</f>
        <v>1</v>
      </c>
      <c r="AJ97" s="1151">
        <f>IFERROR(VLOOKUP(CONCATENATE($L97,$N97),'Drop List'!$G$23:$K$87,5,FALSE),0)</f>
        <v>0</v>
      </c>
      <c r="AK97" s="1152">
        <f t="shared" si="31"/>
        <v>0</v>
      </c>
      <c r="AL97" s="1153">
        <f t="shared" si="32"/>
        <v>0</v>
      </c>
      <c r="AM97" s="1153">
        <f t="shared" si="33"/>
        <v>2283.6759936125659</v>
      </c>
      <c r="AN97" s="1145">
        <f t="shared" si="34"/>
        <v>0</v>
      </c>
      <c r="AO97" s="1154">
        <f t="shared" si="35"/>
        <v>2283.6759936125659</v>
      </c>
      <c r="AP97" s="1147">
        <f t="shared" si="21"/>
        <v>0</v>
      </c>
      <c r="AQ97" s="1144">
        <f t="shared" si="22"/>
        <v>0</v>
      </c>
      <c r="AR97" s="1146">
        <f t="shared" si="23"/>
        <v>2283.6759936125659</v>
      </c>
    </row>
    <row r="98" spans="1:44" x14ac:dyDescent="0.2">
      <c r="A98" s="1141" t="str">
        <f t="shared" si="18"/>
        <v>1542</v>
      </c>
      <c r="B98" s="1141" t="str">
        <f>IFERROR(VLOOKUP(A98,'LAC 103'!A:C,3,FALSE),"")</f>
        <v>OP</v>
      </c>
      <c r="C98" s="1478" t="str">
        <f>Info!$B$8</f>
        <v>00100</v>
      </c>
      <c r="D98" s="1474" t="s">
        <v>1100</v>
      </c>
      <c r="E98" s="1474" t="s">
        <v>95</v>
      </c>
      <c r="F98" s="1478" t="s">
        <v>392</v>
      </c>
      <c r="G98" s="1478" t="s">
        <v>392</v>
      </c>
      <c r="H98" s="1474" t="s">
        <v>970</v>
      </c>
      <c r="I98" s="1478" t="s">
        <v>817</v>
      </c>
      <c r="J98" s="1478"/>
      <c r="K98" s="1475" t="s">
        <v>851</v>
      </c>
      <c r="L98" s="1474" t="s">
        <v>584</v>
      </c>
      <c r="M98" s="1476" t="s">
        <v>1699</v>
      </c>
      <c r="N98" s="1477" t="s">
        <v>1694</v>
      </c>
      <c r="O98" s="1479">
        <v>90750</v>
      </c>
      <c r="P98" s="1479"/>
      <c r="Q98" s="1142">
        <f t="shared" si="19"/>
        <v>90750</v>
      </c>
      <c r="R98" s="1143">
        <f>IFERROR(VLOOKUP(CONCATENATE(E98,G98),'LAC 103'!$A$12:$O$95,11,FALSE),0)</f>
        <v>3.2074101033884355</v>
      </c>
      <c r="S98" s="1144">
        <f>IFERROR(VLOOKUP(CONCATENATE($E98,$G98),'LAC 103'!$A$12:$O$95,12,FALSE),0)</f>
        <v>3.99</v>
      </c>
      <c r="T98" s="1144">
        <f>IFERROR(VLOOKUP(CONCATENATE($E98,$G98),'LAC 103'!$A$12:$O$95,13,FALSE),0)</f>
        <v>2.48</v>
      </c>
      <c r="U98" s="1144">
        <f>IFERROR(VLOOKUP(CONCATENATE($E98,$G98),'LAC 103'!$A$12:$O$95,14,FALSE),0)</f>
        <v>0</v>
      </c>
      <c r="V98" s="1144">
        <f>IFERROR(VLOOKUP(CONCATENATE($E98,$G98),'LAC 103'!$A$12:$O$95,15,FALSE),0)</f>
        <v>0</v>
      </c>
      <c r="W98" s="1145" t="str">
        <f>IFERROR(VLOOKUP(CONCATENATE($B98,$N98),'LAC 103'!$AI:$AQ,9,FALSE),"")</f>
        <v>Costs</v>
      </c>
      <c r="X98" s="1146">
        <f t="shared" si="24"/>
        <v>3.2074101033884355</v>
      </c>
      <c r="Y98" s="1143">
        <f t="shared" si="25"/>
        <v>291072.46688250051</v>
      </c>
      <c r="Z98" s="1147">
        <f t="shared" si="26"/>
        <v>362092.5</v>
      </c>
      <c r="AA98" s="1144">
        <f t="shared" si="27"/>
        <v>225060</v>
      </c>
      <c r="AB98" s="1144">
        <f t="shared" si="28"/>
        <v>0</v>
      </c>
      <c r="AC98" s="1144">
        <f t="shared" si="29"/>
        <v>0</v>
      </c>
      <c r="AD98" s="1148">
        <f t="shared" si="20"/>
        <v>291072.46688250051</v>
      </c>
      <c r="AE98" s="1487">
        <v>0</v>
      </c>
      <c r="AF98" s="1145">
        <f t="shared" si="30"/>
        <v>291072.46688250051</v>
      </c>
      <c r="AG98" s="1149">
        <f>IFERROR(VLOOKUP(CONCATENATE($L98,$N98),'Drop List'!$G$23:$K$87,2,FALSE),0)</f>
        <v>0.56200000000000006</v>
      </c>
      <c r="AH98" s="1150">
        <f>IFERROR(VLOOKUP(CONCATENATE($L98,$N98),'Drop List'!$G$23:$K$87,3,FALSE),0)</f>
        <v>0</v>
      </c>
      <c r="AI98" s="1150">
        <f>IFERROR(VLOOKUP(CONCATENATE($L98,$N98),'Drop List'!$G$23:$K$87,4,FALSE),0)</f>
        <v>0</v>
      </c>
      <c r="AJ98" s="1151">
        <f>IFERROR(VLOOKUP(CONCATENATE($L98,$N98),'Drop List'!$G$23:$K$87,5,FALSE),0)</f>
        <v>0.43799999999999994</v>
      </c>
      <c r="AK98" s="1152">
        <f t="shared" si="31"/>
        <v>163582.72638796529</v>
      </c>
      <c r="AL98" s="1153">
        <f t="shared" si="32"/>
        <v>0</v>
      </c>
      <c r="AM98" s="1153">
        <f t="shared" si="33"/>
        <v>0</v>
      </c>
      <c r="AN98" s="1145">
        <f t="shared" si="34"/>
        <v>127489.7404945352</v>
      </c>
      <c r="AO98" s="1154">
        <f t="shared" si="35"/>
        <v>291072.46688250051</v>
      </c>
      <c r="AP98" s="1147">
        <f t="shared" si="21"/>
        <v>0</v>
      </c>
      <c r="AQ98" s="1144">
        <f t="shared" si="22"/>
        <v>0</v>
      </c>
      <c r="AR98" s="1146">
        <f t="shared" si="23"/>
        <v>291072.46688250051</v>
      </c>
    </row>
    <row r="99" spans="1:44" x14ac:dyDescent="0.2">
      <c r="A99" s="1141" t="str">
        <f t="shared" si="18"/>
        <v>1542</v>
      </c>
      <c r="B99" s="1141" t="str">
        <f>IFERROR(VLOOKUP(A99,'LAC 103'!A:C,3,FALSE),"")</f>
        <v>OP</v>
      </c>
      <c r="C99" s="1478" t="str">
        <f>Info!$B$8</f>
        <v>00100</v>
      </c>
      <c r="D99" s="1474" t="s">
        <v>1100</v>
      </c>
      <c r="E99" s="1474" t="s">
        <v>95</v>
      </c>
      <c r="F99" s="1478" t="s">
        <v>392</v>
      </c>
      <c r="G99" s="1478" t="s">
        <v>392</v>
      </c>
      <c r="H99" s="1474" t="s">
        <v>970</v>
      </c>
      <c r="I99" s="1478" t="s">
        <v>817</v>
      </c>
      <c r="J99" s="1478"/>
      <c r="K99" s="1475" t="s">
        <v>851</v>
      </c>
      <c r="L99" s="1474" t="s">
        <v>584</v>
      </c>
      <c r="M99" s="1476" t="s">
        <v>841</v>
      </c>
      <c r="N99" s="1477" t="s">
        <v>1695</v>
      </c>
      <c r="O99" s="1479">
        <v>63294</v>
      </c>
      <c r="P99" s="1479"/>
      <c r="Q99" s="1142">
        <f t="shared" si="19"/>
        <v>63294</v>
      </c>
      <c r="R99" s="1143">
        <f>IFERROR(VLOOKUP(CONCATENATE(E99,G99),'LAC 103'!$A$12:$O$95,11,FALSE),0)</f>
        <v>3.2074101033884355</v>
      </c>
      <c r="S99" s="1144">
        <f>IFERROR(VLOOKUP(CONCATENATE($E99,$G99),'LAC 103'!$A$12:$O$95,12,FALSE),0)</f>
        <v>3.99</v>
      </c>
      <c r="T99" s="1144">
        <f>IFERROR(VLOOKUP(CONCATENATE($E99,$G99),'LAC 103'!$A$12:$O$95,13,FALSE),0)</f>
        <v>2.48</v>
      </c>
      <c r="U99" s="1144">
        <f>IFERROR(VLOOKUP(CONCATENATE($E99,$G99),'LAC 103'!$A$12:$O$95,14,FALSE),0)</f>
        <v>0</v>
      </c>
      <c r="V99" s="1144">
        <f>IFERROR(VLOOKUP(CONCATENATE($E99,$G99),'LAC 103'!$A$12:$O$95,15,FALSE),0)</f>
        <v>0</v>
      </c>
      <c r="W99" s="1145" t="str">
        <f>IFERROR(VLOOKUP(CONCATENATE($B99,$N99),'LAC 103'!$AI:$AQ,9,FALSE),"")</f>
        <v>Costs</v>
      </c>
      <c r="X99" s="1146">
        <f t="shared" si="24"/>
        <v>3.2074101033884355</v>
      </c>
      <c r="Y99" s="1143">
        <f t="shared" si="25"/>
        <v>203009.81508386764</v>
      </c>
      <c r="Z99" s="1147">
        <f t="shared" si="26"/>
        <v>252543.06000000003</v>
      </c>
      <c r="AA99" s="1144">
        <f t="shared" si="27"/>
        <v>156969.12</v>
      </c>
      <c r="AB99" s="1144">
        <f t="shared" si="28"/>
        <v>0</v>
      </c>
      <c r="AC99" s="1144">
        <f t="shared" si="29"/>
        <v>0</v>
      </c>
      <c r="AD99" s="1148">
        <f t="shared" si="20"/>
        <v>203009.81508386764</v>
      </c>
      <c r="AE99" s="1487">
        <v>0</v>
      </c>
      <c r="AF99" s="1145">
        <f t="shared" si="30"/>
        <v>203009.81508386764</v>
      </c>
      <c r="AG99" s="1149">
        <f>IFERROR(VLOOKUP(CONCATENATE($L99,$N99),'Drop List'!$G$23:$K$87,2,FALSE),0)</f>
        <v>0.55000000000000004</v>
      </c>
      <c r="AH99" s="1150">
        <f>IFERROR(VLOOKUP(CONCATENATE($L99,$N99),'Drop List'!$G$23:$K$87,3,FALSE),0)</f>
        <v>0</v>
      </c>
      <c r="AI99" s="1150">
        <f>IFERROR(VLOOKUP(CONCATENATE($L99,$N99),'Drop List'!$G$23:$K$87,4,FALSE),0)</f>
        <v>0</v>
      </c>
      <c r="AJ99" s="1151">
        <f>IFERROR(VLOOKUP(CONCATENATE($L99,$N99),'Drop List'!$G$23:$K$87,5,FALSE),0)</f>
        <v>0.44999999999999996</v>
      </c>
      <c r="AK99" s="1152">
        <f t="shared" si="31"/>
        <v>111655.39829612721</v>
      </c>
      <c r="AL99" s="1153">
        <f t="shared" si="32"/>
        <v>0</v>
      </c>
      <c r="AM99" s="1153">
        <f t="shared" si="33"/>
        <v>0</v>
      </c>
      <c r="AN99" s="1145">
        <f t="shared" si="34"/>
        <v>91354.416787740425</v>
      </c>
      <c r="AO99" s="1154">
        <f t="shared" si="35"/>
        <v>203009.81508386764</v>
      </c>
      <c r="AP99" s="1147">
        <f t="shared" si="21"/>
        <v>0</v>
      </c>
      <c r="AQ99" s="1144">
        <f t="shared" si="22"/>
        <v>0</v>
      </c>
      <c r="AR99" s="1146">
        <f t="shared" si="23"/>
        <v>203009.81508386764</v>
      </c>
    </row>
    <row r="100" spans="1:44" x14ac:dyDescent="0.2">
      <c r="A100" s="1141" t="str">
        <f t="shared" si="18"/>
        <v>1542</v>
      </c>
      <c r="B100" s="1141" t="str">
        <f>IFERROR(VLOOKUP(A100,'LAC 103'!A:C,3,FALSE),"")</f>
        <v>OP</v>
      </c>
      <c r="C100" s="1478" t="str">
        <f>Info!$B$8</f>
        <v>00100</v>
      </c>
      <c r="D100" s="1474" t="s">
        <v>1100</v>
      </c>
      <c r="E100" s="1474" t="s">
        <v>95</v>
      </c>
      <c r="F100" s="1478" t="s">
        <v>392</v>
      </c>
      <c r="G100" s="1478" t="s">
        <v>392</v>
      </c>
      <c r="H100" s="1474" t="s">
        <v>970</v>
      </c>
      <c r="I100" s="1478" t="s">
        <v>817</v>
      </c>
      <c r="J100" s="1478"/>
      <c r="K100" s="1475" t="s">
        <v>851</v>
      </c>
      <c r="L100" s="1474" t="s">
        <v>584</v>
      </c>
      <c r="M100" s="1476" t="s">
        <v>840</v>
      </c>
      <c r="N100" s="1477" t="s">
        <v>1700</v>
      </c>
      <c r="O100" s="1479">
        <v>62787</v>
      </c>
      <c r="P100" s="1479"/>
      <c r="Q100" s="1142">
        <f t="shared" si="19"/>
        <v>62787</v>
      </c>
      <c r="R100" s="1143">
        <f>IFERROR(VLOOKUP(CONCATENATE(E100,G100),'LAC 103'!$A$12:$O$95,11,FALSE),0)</f>
        <v>3.2074101033884355</v>
      </c>
      <c r="S100" s="1144">
        <f>IFERROR(VLOOKUP(CONCATENATE($E100,$G100),'LAC 103'!$A$12:$O$95,12,FALSE),0)</f>
        <v>3.99</v>
      </c>
      <c r="T100" s="1144">
        <f>IFERROR(VLOOKUP(CONCATENATE($E100,$G100),'LAC 103'!$A$12:$O$95,13,FALSE),0)</f>
        <v>2.48</v>
      </c>
      <c r="U100" s="1144">
        <f>IFERROR(VLOOKUP(CONCATENATE($E100,$G100),'LAC 103'!$A$12:$O$95,14,FALSE),0)</f>
        <v>0</v>
      </c>
      <c r="V100" s="1144">
        <f>IFERROR(VLOOKUP(CONCATENATE($E100,$G100),'LAC 103'!$A$12:$O$95,15,FALSE),0)</f>
        <v>0</v>
      </c>
      <c r="W100" s="1145" t="str">
        <f>IFERROR(VLOOKUP(CONCATENATE($B100,$N100),'LAC 103'!$AI:$AQ,9,FALSE),"")</f>
        <v>P.C.</v>
      </c>
      <c r="X100" s="1146">
        <f t="shared" si="24"/>
        <v>2.48</v>
      </c>
      <c r="Y100" s="1143">
        <f t="shared" si="25"/>
        <v>201383.65816144971</v>
      </c>
      <c r="Z100" s="1147">
        <f t="shared" si="26"/>
        <v>250520.13</v>
      </c>
      <c r="AA100" s="1144">
        <f t="shared" si="27"/>
        <v>155711.76</v>
      </c>
      <c r="AB100" s="1144">
        <f t="shared" si="28"/>
        <v>0</v>
      </c>
      <c r="AC100" s="1144">
        <f t="shared" si="29"/>
        <v>0</v>
      </c>
      <c r="AD100" s="1148">
        <f t="shared" si="20"/>
        <v>155711.76</v>
      </c>
      <c r="AE100" s="1487">
        <v>0</v>
      </c>
      <c r="AF100" s="1145">
        <f t="shared" si="30"/>
        <v>155711.76</v>
      </c>
      <c r="AG100" s="1149">
        <f>IFERROR(VLOOKUP(CONCATENATE($L100,$N100),'Drop List'!$G$23:$K$87,2,FALSE),0)</f>
        <v>0.55000000000000004</v>
      </c>
      <c r="AH100" s="1150">
        <f>IFERROR(VLOOKUP(CONCATENATE($L100,$N100),'Drop List'!$G$23:$K$87,3,FALSE),0)</f>
        <v>0</v>
      </c>
      <c r="AI100" s="1150">
        <f>IFERROR(VLOOKUP(CONCATENATE($L100,$N100),'Drop List'!$G$23:$K$87,4,FALSE),0)</f>
        <v>0</v>
      </c>
      <c r="AJ100" s="1151">
        <f>IFERROR(VLOOKUP(CONCATENATE($L100,$N100),'Drop List'!$G$23:$K$87,5,FALSE),0)</f>
        <v>0.44999999999999996</v>
      </c>
      <c r="AK100" s="1152">
        <f t="shared" si="31"/>
        <v>85641.468000000008</v>
      </c>
      <c r="AL100" s="1153">
        <f t="shared" si="32"/>
        <v>0</v>
      </c>
      <c r="AM100" s="1153">
        <f t="shared" si="33"/>
        <v>0</v>
      </c>
      <c r="AN100" s="1145">
        <f t="shared" si="34"/>
        <v>70070.292000000001</v>
      </c>
      <c r="AO100" s="1154">
        <f t="shared" si="35"/>
        <v>155711.76</v>
      </c>
      <c r="AP100" s="1147">
        <f t="shared" si="21"/>
        <v>0</v>
      </c>
      <c r="AQ100" s="1144">
        <f t="shared" si="22"/>
        <v>0</v>
      </c>
      <c r="AR100" s="1146">
        <f t="shared" si="23"/>
        <v>155711.76</v>
      </c>
    </row>
    <row r="101" spans="1:44" x14ac:dyDescent="0.2">
      <c r="A101" s="1141" t="str">
        <f t="shared" si="18"/>
        <v>1542</v>
      </c>
      <c r="B101" s="1141" t="str">
        <f>IFERROR(VLOOKUP(A101,'LAC 103'!A:C,3,FALSE),"")</f>
        <v>OP</v>
      </c>
      <c r="C101" s="1478" t="str">
        <f>Info!$B$8</f>
        <v>00100</v>
      </c>
      <c r="D101" s="1474" t="s">
        <v>1100</v>
      </c>
      <c r="E101" s="1474" t="s">
        <v>95</v>
      </c>
      <c r="F101" s="1478" t="s">
        <v>392</v>
      </c>
      <c r="G101" s="1478" t="s">
        <v>392</v>
      </c>
      <c r="H101" s="1474" t="s">
        <v>970</v>
      </c>
      <c r="I101" s="1478" t="s">
        <v>817</v>
      </c>
      <c r="J101" s="1478"/>
      <c r="K101" s="1475" t="s">
        <v>851</v>
      </c>
      <c r="L101" s="1474" t="s">
        <v>584</v>
      </c>
      <c r="M101" s="1476" t="s">
        <v>842</v>
      </c>
      <c r="N101" s="1477" t="s">
        <v>1692</v>
      </c>
      <c r="O101" s="1479">
        <v>41142</v>
      </c>
      <c r="P101" s="1479"/>
      <c r="Q101" s="1142">
        <f t="shared" si="19"/>
        <v>41142</v>
      </c>
      <c r="R101" s="1143">
        <f>IFERROR(VLOOKUP(CONCATENATE(E101,G101),'LAC 103'!$A$12:$O$95,11,FALSE),0)</f>
        <v>3.2074101033884355</v>
      </c>
      <c r="S101" s="1144">
        <f>IFERROR(VLOOKUP(CONCATENATE($E101,$G101),'LAC 103'!$A$12:$O$95,12,FALSE),0)</f>
        <v>3.99</v>
      </c>
      <c r="T101" s="1144">
        <f>IFERROR(VLOOKUP(CONCATENATE($E101,$G101),'LAC 103'!$A$12:$O$95,13,FALSE),0)</f>
        <v>2.48</v>
      </c>
      <c r="U101" s="1144">
        <f>IFERROR(VLOOKUP(CONCATENATE($E101,$G101),'LAC 103'!$A$12:$O$95,14,FALSE),0)</f>
        <v>0</v>
      </c>
      <c r="V101" s="1144">
        <f>IFERROR(VLOOKUP(CONCATENATE($E101,$G101),'LAC 103'!$A$12:$O$95,15,FALSE),0)</f>
        <v>0</v>
      </c>
      <c r="W101" s="1145" t="str">
        <f>IFERROR(VLOOKUP(CONCATENATE($B101,$N101),'LAC 103'!$AI:$AQ,9,FALSE),"")</f>
        <v>Costs</v>
      </c>
      <c r="X101" s="1146">
        <f t="shared" si="24"/>
        <v>3.2074101033884355</v>
      </c>
      <c r="Y101" s="1143">
        <f t="shared" si="25"/>
        <v>131959.26647360701</v>
      </c>
      <c r="Z101" s="1147">
        <f t="shared" si="26"/>
        <v>164156.58000000002</v>
      </c>
      <c r="AA101" s="1144">
        <f t="shared" si="27"/>
        <v>102032.16</v>
      </c>
      <c r="AB101" s="1144">
        <f t="shared" si="28"/>
        <v>0</v>
      </c>
      <c r="AC101" s="1144">
        <f t="shared" si="29"/>
        <v>0</v>
      </c>
      <c r="AD101" s="1148">
        <f t="shared" si="20"/>
        <v>131959.26647360701</v>
      </c>
      <c r="AE101" s="1487">
        <v>0</v>
      </c>
      <c r="AF101" s="1145">
        <f t="shared" si="30"/>
        <v>131959.26647360701</v>
      </c>
      <c r="AG101" s="1149">
        <f>IFERROR(VLOOKUP(CONCATENATE($L101,$N101),'Drop List'!$G$23:$K$87,2,FALSE),0)</f>
        <v>0.56200000000000006</v>
      </c>
      <c r="AH101" s="1150">
        <f>IFERROR(VLOOKUP(CONCATENATE($L101,$N101),'Drop List'!$G$23:$K$87,3,FALSE),0)</f>
        <v>0</v>
      </c>
      <c r="AI101" s="1150">
        <f>IFERROR(VLOOKUP(CONCATENATE($L101,$N101),'Drop List'!$G$23:$K$87,4,FALSE),0)</f>
        <v>0</v>
      </c>
      <c r="AJ101" s="1151">
        <f>IFERROR(VLOOKUP(CONCATENATE($L101,$N101),'Drop List'!$G$23:$K$87,5,FALSE),0)</f>
        <v>0.43799999999999994</v>
      </c>
      <c r="AK101" s="1152">
        <f t="shared" si="31"/>
        <v>74161.107758167156</v>
      </c>
      <c r="AL101" s="1153">
        <f t="shared" si="32"/>
        <v>0</v>
      </c>
      <c r="AM101" s="1153">
        <f t="shared" si="33"/>
        <v>0</v>
      </c>
      <c r="AN101" s="1145">
        <f t="shared" si="34"/>
        <v>57798.158715439866</v>
      </c>
      <c r="AO101" s="1154">
        <f t="shared" si="35"/>
        <v>131959.26647360701</v>
      </c>
      <c r="AP101" s="1147">
        <f t="shared" si="21"/>
        <v>0</v>
      </c>
      <c r="AQ101" s="1144">
        <f t="shared" si="22"/>
        <v>0</v>
      </c>
      <c r="AR101" s="1146">
        <f t="shared" si="23"/>
        <v>131959.26647360701</v>
      </c>
    </row>
    <row r="102" spans="1:44" x14ac:dyDescent="0.2">
      <c r="A102" s="1141" t="str">
        <f t="shared" si="18"/>
        <v>1542</v>
      </c>
      <c r="B102" s="1141" t="str">
        <f>IFERROR(VLOOKUP(A102,'LAC 103'!A:C,3,FALSE),"")</f>
        <v>OP</v>
      </c>
      <c r="C102" s="1478" t="str">
        <f>Info!$B$8</f>
        <v>00100</v>
      </c>
      <c r="D102" s="1474" t="s">
        <v>1100</v>
      </c>
      <c r="E102" s="1474" t="s">
        <v>95</v>
      </c>
      <c r="F102" s="1478" t="s">
        <v>392</v>
      </c>
      <c r="G102" s="1478" t="s">
        <v>392</v>
      </c>
      <c r="H102" s="1474" t="s">
        <v>970</v>
      </c>
      <c r="I102" s="1478" t="s">
        <v>817</v>
      </c>
      <c r="J102" s="1478"/>
      <c r="K102" s="1475" t="s">
        <v>851</v>
      </c>
      <c r="L102" s="1474" t="s">
        <v>584</v>
      </c>
      <c r="M102" s="1476" t="s">
        <v>1698</v>
      </c>
      <c r="N102" s="1477" t="s">
        <v>1693</v>
      </c>
      <c r="O102" s="1479">
        <v>33193</v>
      </c>
      <c r="P102" s="1479"/>
      <c r="Q102" s="1142">
        <f t="shared" si="19"/>
        <v>33193</v>
      </c>
      <c r="R102" s="1143">
        <f>IFERROR(VLOOKUP(CONCATENATE(E102,G102),'LAC 103'!$A$12:$O$95,11,FALSE),0)</f>
        <v>3.2074101033884355</v>
      </c>
      <c r="S102" s="1144">
        <f>IFERROR(VLOOKUP(CONCATENATE($E102,$G102),'LAC 103'!$A$12:$O$95,12,FALSE),0)</f>
        <v>3.99</v>
      </c>
      <c r="T102" s="1144">
        <f>IFERROR(VLOOKUP(CONCATENATE($E102,$G102),'LAC 103'!$A$12:$O$95,13,FALSE),0)</f>
        <v>2.48</v>
      </c>
      <c r="U102" s="1144">
        <f>IFERROR(VLOOKUP(CONCATENATE($E102,$G102),'LAC 103'!$A$12:$O$95,14,FALSE),0)</f>
        <v>0</v>
      </c>
      <c r="V102" s="1144">
        <f>IFERROR(VLOOKUP(CONCATENATE($E102,$G102),'LAC 103'!$A$12:$O$95,15,FALSE),0)</f>
        <v>0</v>
      </c>
      <c r="W102" s="1145" t="str">
        <f>IFERROR(VLOOKUP(CONCATENATE($B102,$N102),'LAC 103'!$AI:$AQ,9,FALSE),"")</f>
        <v>Costs</v>
      </c>
      <c r="X102" s="1146">
        <f t="shared" si="24"/>
        <v>3.2074101033884355</v>
      </c>
      <c r="Y102" s="1143">
        <f t="shared" si="25"/>
        <v>106463.56356177235</v>
      </c>
      <c r="Z102" s="1147">
        <f t="shared" si="26"/>
        <v>132440.07</v>
      </c>
      <c r="AA102" s="1144">
        <f t="shared" si="27"/>
        <v>82318.64</v>
      </c>
      <c r="AB102" s="1144">
        <f t="shared" si="28"/>
        <v>0</v>
      </c>
      <c r="AC102" s="1144">
        <f t="shared" si="29"/>
        <v>0</v>
      </c>
      <c r="AD102" s="1148">
        <f t="shared" si="20"/>
        <v>106463.56356177235</v>
      </c>
      <c r="AE102" s="1487">
        <v>0</v>
      </c>
      <c r="AF102" s="1145">
        <f t="shared" si="30"/>
        <v>106463.56356177235</v>
      </c>
      <c r="AG102" s="1149">
        <f>IFERROR(VLOOKUP(CONCATENATE($L102,$N102),'Drop List'!$G$23:$K$87,2,FALSE),0)</f>
        <v>0.56200000000000006</v>
      </c>
      <c r="AH102" s="1150">
        <f>IFERROR(VLOOKUP(CONCATENATE($L102,$N102),'Drop List'!$G$23:$K$87,3,FALSE),0)</f>
        <v>0</v>
      </c>
      <c r="AI102" s="1150">
        <f>IFERROR(VLOOKUP(CONCATENATE($L102,$N102),'Drop List'!$G$23:$K$87,4,FALSE),0)</f>
        <v>0</v>
      </c>
      <c r="AJ102" s="1151">
        <f>IFERROR(VLOOKUP(CONCATENATE($L102,$N102),'Drop List'!$G$23:$K$87,5,FALSE),0)</f>
        <v>0.43799999999999994</v>
      </c>
      <c r="AK102" s="1152">
        <f t="shared" si="31"/>
        <v>59832.522721716065</v>
      </c>
      <c r="AL102" s="1153">
        <f t="shared" si="32"/>
        <v>0</v>
      </c>
      <c r="AM102" s="1153">
        <f t="shared" si="33"/>
        <v>0</v>
      </c>
      <c r="AN102" s="1145">
        <f t="shared" si="34"/>
        <v>46631.040840056281</v>
      </c>
      <c r="AO102" s="1154">
        <f t="shared" si="35"/>
        <v>106463.56356177235</v>
      </c>
      <c r="AP102" s="1147">
        <f t="shared" si="21"/>
        <v>0</v>
      </c>
      <c r="AQ102" s="1144">
        <f t="shared" si="22"/>
        <v>0</v>
      </c>
      <c r="AR102" s="1146">
        <f t="shared" si="23"/>
        <v>106463.56356177235</v>
      </c>
    </row>
    <row r="103" spans="1:44" x14ac:dyDescent="0.2">
      <c r="A103" s="1141" t="str">
        <f t="shared" si="18"/>
        <v>1544</v>
      </c>
      <c r="B103" s="1141" t="str">
        <f>IFERROR(VLOOKUP(A103,'LAC 103'!A:C,3,FALSE),"")</f>
        <v>OP</v>
      </c>
      <c r="C103" s="1478" t="str">
        <f>Info!$B$8</f>
        <v>00100</v>
      </c>
      <c r="D103" s="1474" t="s">
        <v>1100</v>
      </c>
      <c r="E103" s="1474" t="s">
        <v>95</v>
      </c>
      <c r="F103" s="1478" t="s">
        <v>396</v>
      </c>
      <c r="G103" s="1478" t="s">
        <v>396</v>
      </c>
      <c r="H103" s="1474" t="s">
        <v>1008</v>
      </c>
      <c r="I103" s="1478" t="s">
        <v>826</v>
      </c>
      <c r="J103" s="1478" t="s">
        <v>123</v>
      </c>
      <c r="K103" s="1475" t="s">
        <v>846</v>
      </c>
      <c r="L103" s="1474" t="s">
        <v>332</v>
      </c>
      <c r="M103" s="1476" t="s">
        <v>1699</v>
      </c>
      <c r="N103" s="1477" t="s">
        <v>1694</v>
      </c>
      <c r="O103" s="1479">
        <v>4206</v>
      </c>
      <c r="P103" s="1479"/>
      <c r="Q103" s="1142">
        <f t="shared" si="19"/>
        <v>4206</v>
      </c>
      <c r="R103" s="1143">
        <f>IFERROR(VLOOKUP(CONCATENATE(E103,G103),'LAC 103'!$A$12:$O$95,11,FALSE),0)</f>
        <v>3.2074101033884355</v>
      </c>
      <c r="S103" s="1144">
        <f>IFERROR(VLOOKUP(CONCATENATE($E103,$G103),'LAC 103'!$A$12:$O$95,12,FALSE),0)</f>
        <v>3.99</v>
      </c>
      <c r="T103" s="1144">
        <f>IFERROR(VLOOKUP(CONCATENATE($E103,$G103),'LAC 103'!$A$12:$O$95,13,FALSE),0)</f>
        <v>2.48</v>
      </c>
      <c r="U103" s="1144">
        <f>IFERROR(VLOOKUP(CONCATENATE($E103,$G103),'LAC 103'!$A$12:$O$95,14,FALSE),0)</f>
        <v>0</v>
      </c>
      <c r="V103" s="1144">
        <f>IFERROR(VLOOKUP(CONCATENATE($E103,$G103),'LAC 103'!$A$12:$O$95,15,FALSE),0)</f>
        <v>0</v>
      </c>
      <c r="W103" s="1145" t="str">
        <f>IFERROR(VLOOKUP(CONCATENATE($B103,$N103),'LAC 103'!$AI:$AQ,9,FALSE),"")</f>
        <v>Costs</v>
      </c>
      <c r="X103" s="1146">
        <f t="shared" si="24"/>
        <v>3.2074101033884355</v>
      </c>
      <c r="Y103" s="1143">
        <f t="shared" si="25"/>
        <v>13490.366894851759</v>
      </c>
      <c r="Z103" s="1147">
        <f t="shared" si="26"/>
        <v>16781.940000000002</v>
      </c>
      <c r="AA103" s="1144">
        <f t="shared" si="27"/>
        <v>10430.879999999999</v>
      </c>
      <c r="AB103" s="1144">
        <f t="shared" si="28"/>
        <v>0</v>
      </c>
      <c r="AC103" s="1144">
        <f t="shared" si="29"/>
        <v>0</v>
      </c>
      <c r="AD103" s="1148">
        <f t="shared" si="20"/>
        <v>13490.366894851759</v>
      </c>
      <c r="AE103" s="1487">
        <v>0</v>
      </c>
      <c r="AF103" s="1145">
        <f t="shared" si="30"/>
        <v>13490.366894851759</v>
      </c>
      <c r="AG103" s="1149">
        <f>IFERROR(VLOOKUP(CONCATENATE($L103,$N103),'Drop List'!$G$23:$K$87,2,FALSE),0)</f>
        <v>0</v>
      </c>
      <c r="AH103" s="1150">
        <f>IFERROR(VLOOKUP(CONCATENATE($L103,$N103),'Drop List'!$G$23:$K$87,3,FALSE),0)</f>
        <v>0</v>
      </c>
      <c r="AI103" s="1150">
        <f>IFERROR(VLOOKUP(CONCATENATE($L103,$N103),'Drop List'!$G$23:$K$87,4,FALSE),0)</f>
        <v>0</v>
      </c>
      <c r="AJ103" s="1151">
        <f>IFERROR(VLOOKUP(CONCATENATE($L103,$N103),'Drop List'!$G$23:$K$87,5,FALSE),0)</f>
        <v>0</v>
      </c>
      <c r="AK103" s="1152">
        <f t="shared" si="31"/>
        <v>0</v>
      </c>
      <c r="AL103" s="1153">
        <f t="shared" si="32"/>
        <v>0</v>
      </c>
      <c r="AM103" s="1153">
        <f t="shared" si="33"/>
        <v>0</v>
      </c>
      <c r="AN103" s="1145">
        <f t="shared" si="34"/>
        <v>0</v>
      </c>
      <c r="AO103" s="1154">
        <f t="shared" si="35"/>
        <v>0</v>
      </c>
      <c r="AP103" s="1147">
        <f t="shared" si="21"/>
        <v>13490.366894851759</v>
      </c>
      <c r="AQ103" s="1144">
        <f t="shared" si="22"/>
        <v>0</v>
      </c>
      <c r="AR103" s="1146">
        <f t="shared" si="23"/>
        <v>13490.366894851759</v>
      </c>
    </row>
    <row r="104" spans="1:44" x14ac:dyDescent="0.2">
      <c r="A104" s="1141" t="str">
        <f t="shared" si="18"/>
        <v>1544</v>
      </c>
      <c r="B104" s="1141" t="str">
        <f>IFERROR(VLOOKUP(A104,'LAC 103'!A:C,3,FALSE),"")</f>
        <v>OP</v>
      </c>
      <c r="C104" s="1478" t="str">
        <f>Info!$B$8</f>
        <v>00100</v>
      </c>
      <c r="D104" s="1474" t="s">
        <v>1100</v>
      </c>
      <c r="E104" s="1474" t="s">
        <v>95</v>
      </c>
      <c r="F104" s="1478" t="s">
        <v>396</v>
      </c>
      <c r="G104" s="1478" t="s">
        <v>396</v>
      </c>
      <c r="H104" s="1474" t="s">
        <v>1008</v>
      </c>
      <c r="I104" s="1478" t="s">
        <v>826</v>
      </c>
      <c r="J104" s="1478"/>
      <c r="K104" s="1475" t="s">
        <v>846</v>
      </c>
      <c r="L104" s="1474" t="s">
        <v>332</v>
      </c>
      <c r="M104" s="1476" t="s">
        <v>841</v>
      </c>
      <c r="N104" s="1477" t="s">
        <v>1695</v>
      </c>
      <c r="O104" s="1479">
        <v>681</v>
      </c>
      <c r="P104" s="1479"/>
      <c r="Q104" s="1142">
        <f t="shared" si="19"/>
        <v>681</v>
      </c>
      <c r="R104" s="1143">
        <f>IFERROR(VLOOKUP(CONCATENATE(E104,G104),'LAC 103'!$A$12:$O$95,11,FALSE),0)</f>
        <v>3.2074101033884355</v>
      </c>
      <c r="S104" s="1144">
        <f>IFERROR(VLOOKUP(CONCATENATE($E104,$G104),'LAC 103'!$A$12:$O$95,12,FALSE),0)</f>
        <v>3.99</v>
      </c>
      <c r="T104" s="1144">
        <f>IFERROR(VLOOKUP(CONCATENATE($E104,$G104),'LAC 103'!$A$12:$O$95,13,FALSE),0)</f>
        <v>2.48</v>
      </c>
      <c r="U104" s="1144">
        <f>IFERROR(VLOOKUP(CONCATENATE($E104,$G104),'LAC 103'!$A$12:$O$95,14,FALSE),0)</f>
        <v>0</v>
      </c>
      <c r="V104" s="1144">
        <f>IFERROR(VLOOKUP(CONCATENATE($E104,$G104),'LAC 103'!$A$12:$O$95,15,FALSE),0)</f>
        <v>0</v>
      </c>
      <c r="W104" s="1145" t="str">
        <f>IFERROR(VLOOKUP(CONCATENATE($B104,$N104),'LAC 103'!$AI:$AQ,9,FALSE),"")</f>
        <v>Costs</v>
      </c>
      <c r="X104" s="1146">
        <f t="shared" si="24"/>
        <v>3.2074101033884355</v>
      </c>
      <c r="Y104" s="1143">
        <f t="shared" si="25"/>
        <v>2184.2462804075244</v>
      </c>
      <c r="Z104" s="1147">
        <f t="shared" si="26"/>
        <v>2717.19</v>
      </c>
      <c r="AA104" s="1144">
        <f t="shared" si="27"/>
        <v>1688.8799999999999</v>
      </c>
      <c r="AB104" s="1144">
        <f t="shared" si="28"/>
        <v>0</v>
      </c>
      <c r="AC104" s="1144">
        <f t="shared" si="29"/>
        <v>0</v>
      </c>
      <c r="AD104" s="1148">
        <f t="shared" si="20"/>
        <v>2184.2462804075244</v>
      </c>
      <c r="AE104" s="1487">
        <v>0</v>
      </c>
      <c r="AF104" s="1145">
        <f t="shared" si="30"/>
        <v>2184.2462804075244</v>
      </c>
      <c r="AG104" s="1149">
        <f>IFERROR(VLOOKUP(CONCATENATE($L104,$N104),'Drop List'!$G$23:$K$87,2,FALSE),0)</f>
        <v>0</v>
      </c>
      <c r="AH104" s="1150">
        <f>IFERROR(VLOOKUP(CONCATENATE($L104,$N104),'Drop List'!$G$23:$K$87,3,FALSE),0)</f>
        <v>0</v>
      </c>
      <c r="AI104" s="1150">
        <f>IFERROR(VLOOKUP(CONCATENATE($L104,$N104),'Drop List'!$G$23:$K$87,4,FALSE),0)</f>
        <v>0</v>
      </c>
      <c r="AJ104" s="1151">
        <f>IFERROR(VLOOKUP(CONCATENATE($L104,$N104),'Drop List'!$G$23:$K$87,5,FALSE),0)</f>
        <v>0</v>
      </c>
      <c r="AK104" s="1152">
        <f t="shared" si="31"/>
        <v>0</v>
      </c>
      <c r="AL104" s="1153">
        <f t="shared" si="32"/>
        <v>0</v>
      </c>
      <c r="AM104" s="1153">
        <f t="shared" si="33"/>
        <v>0</v>
      </c>
      <c r="AN104" s="1145">
        <f t="shared" si="34"/>
        <v>0</v>
      </c>
      <c r="AO104" s="1154">
        <f t="shared" si="35"/>
        <v>0</v>
      </c>
      <c r="AP104" s="1147">
        <f t="shared" si="21"/>
        <v>2184.2462804075244</v>
      </c>
      <c r="AQ104" s="1144">
        <f t="shared" si="22"/>
        <v>0</v>
      </c>
      <c r="AR104" s="1146">
        <f t="shared" si="23"/>
        <v>2184.2462804075244</v>
      </c>
    </row>
    <row r="105" spans="1:44" x14ac:dyDescent="0.2">
      <c r="A105" s="1141" t="str">
        <f t="shared" si="18"/>
        <v>1544</v>
      </c>
      <c r="B105" s="1141" t="str">
        <f>IFERROR(VLOOKUP(A105,'LAC 103'!A:C,3,FALSE),"")</f>
        <v>OP</v>
      </c>
      <c r="C105" s="1478" t="str">
        <f>Info!$B$8</f>
        <v>00100</v>
      </c>
      <c r="D105" s="1474" t="s">
        <v>1100</v>
      </c>
      <c r="E105" s="1474" t="s">
        <v>95</v>
      </c>
      <c r="F105" s="1478" t="s">
        <v>396</v>
      </c>
      <c r="G105" s="1478" t="s">
        <v>396</v>
      </c>
      <c r="H105" s="1474" t="s">
        <v>1008</v>
      </c>
      <c r="I105" s="1478" t="s">
        <v>826</v>
      </c>
      <c r="J105" s="1478"/>
      <c r="K105" s="1475" t="s">
        <v>846</v>
      </c>
      <c r="L105" s="1474" t="s">
        <v>332</v>
      </c>
      <c r="M105" s="1476" t="s">
        <v>842</v>
      </c>
      <c r="N105" s="1477" t="s">
        <v>1692</v>
      </c>
      <c r="O105" s="1479">
        <v>11090</v>
      </c>
      <c r="P105" s="1479"/>
      <c r="Q105" s="1142">
        <f t="shared" si="19"/>
        <v>11090</v>
      </c>
      <c r="R105" s="1143">
        <f>IFERROR(VLOOKUP(CONCATENATE(E105,G105),'LAC 103'!$A$12:$O$95,11,FALSE),0)</f>
        <v>3.2074101033884355</v>
      </c>
      <c r="S105" s="1144">
        <f>IFERROR(VLOOKUP(CONCATENATE($E105,$G105),'LAC 103'!$A$12:$O$95,12,FALSE),0)</f>
        <v>3.99</v>
      </c>
      <c r="T105" s="1144">
        <f>IFERROR(VLOOKUP(CONCATENATE($E105,$G105),'LAC 103'!$A$12:$O$95,13,FALSE),0)</f>
        <v>2.48</v>
      </c>
      <c r="U105" s="1144">
        <f>IFERROR(VLOOKUP(CONCATENATE($E105,$G105),'LAC 103'!$A$12:$O$95,14,FALSE),0)</f>
        <v>0</v>
      </c>
      <c r="V105" s="1144">
        <f>IFERROR(VLOOKUP(CONCATENATE($E105,$G105),'LAC 103'!$A$12:$O$95,15,FALSE),0)</f>
        <v>0</v>
      </c>
      <c r="W105" s="1145" t="str">
        <f>IFERROR(VLOOKUP(CONCATENATE($B105,$N105),'LAC 103'!$AI:$AQ,9,FALSE),"")</f>
        <v>Costs</v>
      </c>
      <c r="X105" s="1146">
        <f t="shared" si="24"/>
        <v>3.2074101033884355</v>
      </c>
      <c r="Y105" s="1143">
        <f t="shared" si="25"/>
        <v>35570.178046577748</v>
      </c>
      <c r="Z105" s="1147">
        <f t="shared" si="26"/>
        <v>44249.100000000006</v>
      </c>
      <c r="AA105" s="1144">
        <f t="shared" si="27"/>
        <v>27503.200000000001</v>
      </c>
      <c r="AB105" s="1144">
        <f t="shared" si="28"/>
        <v>0</v>
      </c>
      <c r="AC105" s="1144">
        <f t="shared" si="29"/>
        <v>0</v>
      </c>
      <c r="AD105" s="1148">
        <f t="shared" si="20"/>
        <v>35570.178046577748</v>
      </c>
      <c r="AE105" s="1487">
        <v>0</v>
      </c>
      <c r="AF105" s="1145">
        <f t="shared" si="30"/>
        <v>35570.178046577748</v>
      </c>
      <c r="AG105" s="1149">
        <f>IFERROR(VLOOKUP(CONCATENATE($L105,$N105),'Drop List'!$G$23:$K$87,2,FALSE),0)</f>
        <v>0</v>
      </c>
      <c r="AH105" s="1150">
        <f>IFERROR(VLOOKUP(CONCATENATE($L105,$N105),'Drop List'!$G$23:$K$87,3,FALSE),0)</f>
        <v>0</v>
      </c>
      <c r="AI105" s="1150">
        <f>IFERROR(VLOOKUP(CONCATENATE($L105,$N105),'Drop List'!$G$23:$K$87,4,FALSE),0)</f>
        <v>0</v>
      </c>
      <c r="AJ105" s="1151">
        <f>IFERROR(VLOOKUP(CONCATENATE($L105,$N105),'Drop List'!$G$23:$K$87,5,FALSE),0)</f>
        <v>0</v>
      </c>
      <c r="AK105" s="1152">
        <f t="shared" si="31"/>
        <v>0</v>
      </c>
      <c r="AL105" s="1153">
        <f t="shared" si="32"/>
        <v>0</v>
      </c>
      <c r="AM105" s="1153">
        <f t="shared" si="33"/>
        <v>0</v>
      </c>
      <c r="AN105" s="1145">
        <f t="shared" si="34"/>
        <v>0</v>
      </c>
      <c r="AO105" s="1154">
        <f t="shared" si="35"/>
        <v>0</v>
      </c>
      <c r="AP105" s="1147">
        <f t="shared" si="21"/>
        <v>35570.178046577748</v>
      </c>
      <c r="AQ105" s="1144">
        <f t="shared" si="22"/>
        <v>0</v>
      </c>
      <c r="AR105" s="1146">
        <f t="shared" si="23"/>
        <v>35570.178046577748</v>
      </c>
    </row>
    <row r="106" spans="1:44" x14ac:dyDescent="0.2">
      <c r="A106" s="1141" t="str">
        <f t="shared" si="18"/>
        <v>1544</v>
      </c>
      <c r="B106" s="1141" t="str">
        <f>IFERROR(VLOOKUP(A106,'LAC 103'!A:C,3,FALSE),"")</f>
        <v>OP</v>
      </c>
      <c r="C106" s="1478" t="str">
        <f>Info!$B$8</f>
        <v>00100</v>
      </c>
      <c r="D106" s="1474" t="s">
        <v>1100</v>
      </c>
      <c r="E106" s="1474" t="s">
        <v>95</v>
      </c>
      <c r="F106" s="1478" t="s">
        <v>396</v>
      </c>
      <c r="G106" s="1478" t="s">
        <v>396</v>
      </c>
      <c r="H106" s="1474" t="s">
        <v>1008</v>
      </c>
      <c r="I106" s="1478" t="s">
        <v>826</v>
      </c>
      <c r="J106" s="1478"/>
      <c r="K106" s="1475" t="s">
        <v>846</v>
      </c>
      <c r="L106" s="1474" t="s">
        <v>332</v>
      </c>
      <c r="M106" s="1476" t="s">
        <v>1698</v>
      </c>
      <c r="N106" s="1477" t="s">
        <v>1693</v>
      </c>
      <c r="O106" s="1479">
        <v>9568</v>
      </c>
      <c r="P106" s="1479"/>
      <c r="Q106" s="1142">
        <f t="shared" si="19"/>
        <v>9568</v>
      </c>
      <c r="R106" s="1143">
        <f>IFERROR(VLOOKUP(CONCATENATE(E106,G106),'LAC 103'!$A$12:$O$95,11,FALSE),0)</f>
        <v>3.2074101033884355</v>
      </c>
      <c r="S106" s="1144">
        <f>IFERROR(VLOOKUP(CONCATENATE($E106,$G106),'LAC 103'!$A$12:$O$95,12,FALSE),0)</f>
        <v>3.99</v>
      </c>
      <c r="T106" s="1144">
        <f>IFERROR(VLOOKUP(CONCATENATE($E106,$G106),'LAC 103'!$A$12:$O$95,13,FALSE),0)</f>
        <v>2.48</v>
      </c>
      <c r="U106" s="1144">
        <f>IFERROR(VLOOKUP(CONCATENATE($E106,$G106),'LAC 103'!$A$12:$O$95,14,FALSE),0)</f>
        <v>0</v>
      </c>
      <c r="V106" s="1144">
        <f>IFERROR(VLOOKUP(CONCATENATE($E106,$G106),'LAC 103'!$A$12:$O$95,15,FALSE),0)</f>
        <v>0</v>
      </c>
      <c r="W106" s="1145" t="str">
        <f>IFERROR(VLOOKUP(CONCATENATE($B106,$N106),'LAC 103'!$AI:$AQ,9,FALSE),"")</f>
        <v>Costs</v>
      </c>
      <c r="X106" s="1146">
        <f t="shared" si="24"/>
        <v>3.2074101033884355</v>
      </c>
      <c r="Y106" s="1143">
        <f t="shared" si="25"/>
        <v>30688.499869220552</v>
      </c>
      <c r="Z106" s="1147">
        <f t="shared" si="26"/>
        <v>38176.32</v>
      </c>
      <c r="AA106" s="1144">
        <f t="shared" si="27"/>
        <v>23728.639999999999</v>
      </c>
      <c r="AB106" s="1144">
        <f t="shared" si="28"/>
        <v>0</v>
      </c>
      <c r="AC106" s="1144">
        <f t="shared" si="29"/>
        <v>0</v>
      </c>
      <c r="AD106" s="1148">
        <f t="shared" si="20"/>
        <v>30688.499869220552</v>
      </c>
      <c r="AE106" s="1487">
        <v>0</v>
      </c>
      <c r="AF106" s="1145">
        <f t="shared" si="30"/>
        <v>30688.499869220552</v>
      </c>
      <c r="AG106" s="1149">
        <f>IFERROR(VLOOKUP(CONCATENATE($L106,$N106),'Drop List'!$G$23:$K$87,2,FALSE),0)</f>
        <v>0</v>
      </c>
      <c r="AH106" s="1150">
        <f>IFERROR(VLOOKUP(CONCATENATE($L106,$N106),'Drop List'!$G$23:$K$87,3,FALSE),0)</f>
        <v>0</v>
      </c>
      <c r="AI106" s="1150">
        <f>IFERROR(VLOOKUP(CONCATENATE($L106,$N106),'Drop List'!$G$23:$K$87,4,FALSE),0)</f>
        <v>0</v>
      </c>
      <c r="AJ106" s="1151">
        <f>IFERROR(VLOOKUP(CONCATENATE($L106,$N106),'Drop List'!$G$23:$K$87,5,FALSE),0)</f>
        <v>0</v>
      </c>
      <c r="AK106" s="1152">
        <f t="shared" si="31"/>
        <v>0</v>
      </c>
      <c r="AL106" s="1153">
        <f t="shared" si="32"/>
        <v>0</v>
      </c>
      <c r="AM106" s="1153">
        <f t="shared" si="33"/>
        <v>0</v>
      </c>
      <c r="AN106" s="1145">
        <f t="shared" si="34"/>
        <v>0</v>
      </c>
      <c r="AO106" s="1154">
        <f t="shared" si="35"/>
        <v>0</v>
      </c>
      <c r="AP106" s="1147">
        <f t="shared" si="21"/>
        <v>30688.499869220552</v>
      </c>
      <c r="AQ106" s="1144">
        <f t="shared" si="22"/>
        <v>0</v>
      </c>
      <c r="AR106" s="1146">
        <f t="shared" si="23"/>
        <v>30688.499869220552</v>
      </c>
    </row>
    <row r="107" spans="1:44" x14ac:dyDescent="0.2">
      <c r="A107" s="1141" t="str">
        <f t="shared" si="18"/>
        <v>1544</v>
      </c>
      <c r="B107" s="1141" t="str">
        <f>IFERROR(VLOOKUP(A107,'LAC 103'!A:C,3,FALSE),"")</f>
        <v>OP</v>
      </c>
      <c r="C107" s="1478" t="str">
        <f>Info!$B$8</f>
        <v>00100</v>
      </c>
      <c r="D107" s="1474" t="s">
        <v>1100</v>
      </c>
      <c r="E107" s="1474" t="s">
        <v>95</v>
      </c>
      <c r="F107" s="1478" t="s">
        <v>396</v>
      </c>
      <c r="G107" s="1478" t="s">
        <v>396</v>
      </c>
      <c r="H107" s="1474" t="s">
        <v>1660</v>
      </c>
      <c r="I107" s="1478" t="s">
        <v>817</v>
      </c>
      <c r="J107" s="1478" t="s">
        <v>123</v>
      </c>
      <c r="K107" s="1475" t="s">
        <v>846</v>
      </c>
      <c r="L107" s="1474" t="s">
        <v>332</v>
      </c>
      <c r="M107" s="1476" t="s">
        <v>1699</v>
      </c>
      <c r="N107" s="1477" t="s">
        <v>1694</v>
      </c>
      <c r="O107" s="1479">
        <v>6210</v>
      </c>
      <c r="P107" s="1479"/>
      <c r="Q107" s="1142">
        <f t="shared" si="19"/>
        <v>6210</v>
      </c>
      <c r="R107" s="1143">
        <f>IFERROR(VLOOKUP(CONCATENATE(E107,G107),'LAC 103'!$A$12:$O$95,11,FALSE),0)</f>
        <v>3.2074101033884355</v>
      </c>
      <c r="S107" s="1144">
        <f>IFERROR(VLOOKUP(CONCATENATE($E107,$G107),'LAC 103'!$A$12:$O$95,12,FALSE),0)</f>
        <v>3.99</v>
      </c>
      <c r="T107" s="1144">
        <f>IFERROR(VLOOKUP(CONCATENATE($E107,$G107),'LAC 103'!$A$12:$O$95,13,FALSE),0)</f>
        <v>2.48</v>
      </c>
      <c r="U107" s="1144">
        <f>IFERROR(VLOOKUP(CONCATENATE($E107,$G107),'LAC 103'!$A$12:$O$95,14,FALSE),0)</f>
        <v>0</v>
      </c>
      <c r="V107" s="1144">
        <f>IFERROR(VLOOKUP(CONCATENATE($E107,$G107),'LAC 103'!$A$12:$O$95,15,FALSE),0)</f>
        <v>0</v>
      </c>
      <c r="W107" s="1145" t="str">
        <f>IFERROR(VLOOKUP(CONCATENATE($B107,$N107),'LAC 103'!$AI:$AQ,9,FALSE),"")</f>
        <v>Costs</v>
      </c>
      <c r="X107" s="1146">
        <f t="shared" si="24"/>
        <v>3.2074101033884355</v>
      </c>
      <c r="Y107" s="1143">
        <f t="shared" si="25"/>
        <v>19918.016742042186</v>
      </c>
      <c r="Z107" s="1147">
        <f t="shared" si="26"/>
        <v>24777.9</v>
      </c>
      <c r="AA107" s="1144">
        <f t="shared" si="27"/>
        <v>15400.8</v>
      </c>
      <c r="AB107" s="1144">
        <f t="shared" si="28"/>
        <v>0</v>
      </c>
      <c r="AC107" s="1144">
        <f t="shared" si="29"/>
        <v>0</v>
      </c>
      <c r="AD107" s="1148">
        <f t="shared" si="20"/>
        <v>19918.016742042186</v>
      </c>
      <c r="AE107" s="1487">
        <v>0</v>
      </c>
      <c r="AF107" s="1145">
        <f t="shared" si="30"/>
        <v>19918.016742042186</v>
      </c>
      <c r="AG107" s="1149">
        <f>IFERROR(VLOOKUP(CONCATENATE($L107,$N107),'Drop List'!$G$23:$K$87,2,FALSE),0)</f>
        <v>0</v>
      </c>
      <c r="AH107" s="1150">
        <f>IFERROR(VLOOKUP(CONCATENATE($L107,$N107),'Drop List'!$G$23:$K$87,3,FALSE),0)</f>
        <v>0</v>
      </c>
      <c r="AI107" s="1150">
        <f>IFERROR(VLOOKUP(CONCATENATE($L107,$N107),'Drop List'!$G$23:$K$87,4,FALSE),0)</f>
        <v>0</v>
      </c>
      <c r="AJ107" s="1151">
        <f>IFERROR(VLOOKUP(CONCATENATE($L107,$N107),'Drop List'!$G$23:$K$87,5,FALSE),0)</f>
        <v>0</v>
      </c>
      <c r="AK107" s="1152">
        <f t="shared" si="31"/>
        <v>0</v>
      </c>
      <c r="AL107" s="1153">
        <f t="shared" si="32"/>
        <v>0</v>
      </c>
      <c r="AM107" s="1153">
        <f t="shared" si="33"/>
        <v>0</v>
      </c>
      <c r="AN107" s="1145">
        <f t="shared" si="34"/>
        <v>0</v>
      </c>
      <c r="AO107" s="1154">
        <f t="shared" si="35"/>
        <v>0</v>
      </c>
      <c r="AP107" s="1147">
        <f t="shared" si="21"/>
        <v>19918.016742042186</v>
      </c>
      <c r="AQ107" s="1144">
        <f t="shared" si="22"/>
        <v>0</v>
      </c>
      <c r="AR107" s="1146">
        <f t="shared" si="23"/>
        <v>19918.016742042186</v>
      </c>
    </row>
    <row r="108" spans="1:44" x14ac:dyDescent="0.2">
      <c r="A108" s="1141" t="str">
        <f t="shared" si="18"/>
        <v>1544</v>
      </c>
      <c r="B108" s="1141" t="str">
        <f>IFERROR(VLOOKUP(A108,'LAC 103'!A:C,3,FALSE),"")</f>
        <v>OP</v>
      </c>
      <c r="C108" s="1478" t="str">
        <f>Info!$B$8</f>
        <v>00100</v>
      </c>
      <c r="D108" s="1474" t="s">
        <v>1100</v>
      </c>
      <c r="E108" s="1474" t="s">
        <v>95</v>
      </c>
      <c r="F108" s="1478" t="s">
        <v>396</v>
      </c>
      <c r="G108" s="1478" t="s">
        <v>396</v>
      </c>
      <c r="H108" s="1474" t="s">
        <v>1660</v>
      </c>
      <c r="I108" s="1478" t="s">
        <v>817</v>
      </c>
      <c r="J108" s="1478"/>
      <c r="K108" s="1475" t="s">
        <v>846</v>
      </c>
      <c r="L108" s="1474" t="s">
        <v>332</v>
      </c>
      <c r="M108" s="1476" t="s">
        <v>841</v>
      </c>
      <c r="N108" s="1477" t="s">
        <v>1695</v>
      </c>
      <c r="O108" s="1479">
        <v>1134</v>
      </c>
      <c r="P108" s="1479"/>
      <c r="Q108" s="1142">
        <f t="shared" si="19"/>
        <v>1134</v>
      </c>
      <c r="R108" s="1143">
        <f>IFERROR(VLOOKUP(CONCATENATE(E108,G108),'LAC 103'!$A$12:$O$95,11,FALSE),0)</f>
        <v>3.2074101033884355</v>
      </c>
      <c r="S108" s="1144">
        <f>IFERROR(VLOOKUP(CONCATENATE($E108,$G108),'LAC 103'!$A$12:$O$95,12,FALSE),0)</f>
        <v>3.99</v>
      </c>
      <c r="T108" s="1144">
        <f>IFERROR(VLOOKUP(CONCATENATE($E108,$G108),'LAC 103'!$A$12:$O$95,13,FALSE),0)</f>
        <v>2.48</v>
      </c>
      <c r="U108" s="1144">
        <f>IFERROR(VLOOKUP(CONCATENATE($E108,$G108),'LAC 103'!$A$12:$O$95,14,FALSE),0)</f>
        <v>0</v>
      </c>
      <c r="V108" s="1144">
        <f>IFERROR(VLOOKUP(CONCATENATE($E108,$G108),'LAC 103'!$A$12:$O$95,15,FALSE),0)</f>
        <v>0</v>
      </c>
      <c r="W108" s="1145" t="str">
        <f>IFERROR(VLOOKUP(CONCATENATE($B108,$N108),'LAC 103'!$AI:$AQ,9,FALSE),"")</f>
        <v>Costs</v>
      </c>
      <c r="X108" s="1146">
        <f t="shared" si="24"/>
        <v>3.2074101033884355</v>
      </c>
      <c r="Y108" s="1143">
        <f t="shared" si="25"/>
        <v>3637.203057242486</v>
      </c>
      <c r="Z108" s="1147">
        <f t="shared" si="26"/>
        <v>4524.66</v>
      </c>
      <c r="AA108" s="1144">
        <f t="shared" si="27"/>
        <v>2812.32</v>
      </c>
      <c r="AB108" s="1144">
        <f t="shared" si="28"/>
        <v>0</v>
      </c>
      <c r="AC108" s="1144">
        <f t="shared" si="29"/>
        <v>0</v>
      </c>
      <c r="AD108" s="1148">
        <f t="shared" si="20"/>
        <v>3637.203057242486</v>
      </c>
      <c r="AE108" s="1487">
        <v>0</v>
      </c>
      <c r="AF108" s="1145">
        <f t="shared" si="30"/>
        <v>3637.203057242486</v>
      </c>
      <c r="AG108" s="1149">
        <f>IFERROR(VLOOKUP(CONCATENATE($L108,$N108),'Drop List'!$G$23:$K$87,2,FALSE),0)</f>
        <v>0</v>
      </c>
      <c r="AH108" s="1150">
        <f>IFERROR(VLOOKUP(CONCATENATE($L108,$N108),'Drop List'!$G$23:$K$87,3,FALSE),0)</f>
        <v>0</v>
      </c>
      <c r="AI108" s="1150">
        <f>IFERROR(VLOOKUP(CONCATENATE($L108,$N108),'Drop List'!$G$23:$K$87,4,FALSE),0)</f>
        <v>0</v>
      </c>
      <c r="AJ108" s="1151">
        <f>IFERROR(VLOOKUP(CONCATENATE($L108,$N108),'Drop List'!$G$23:$K$87,5,FALSE),0)</f>
        <v>0</v>
      </c>
      <c r="AK108" s="1152">
        <f t="shared" si="31"/>
        <v>0</v>
      </c>
      <c r="AL108" s="1153">
        <f t="shared" si="32"/>
        <v>0</v>
      </c>
      <c r="AM108" s="1153">
        <f t="shared" si="33"/>
        <v>0</v>
      </c>
      <c r="AN108" s="1145">
        <f t="shared" si="34"/>
        <v>0</v>
      </c>
      <c r="AO108" s="1154">
        <f t="shared" si="35"/>
        <v>0</v>
      </c>
      <c r="AP108" s="1147">
        <f t="shared" si="21"/>
        <v>3637.203057242486</v>
      </c>
      <c r="AQ108" s="1144">
        <f t="shared" si="22"/>
        <v>0</v>
      </c>
      <c r="AR108" s="1146">
        <f t="shared" si="23"/>
        <v>3637.203057242486</v>
      </c>
    </row>
    <row r="109" spans="1:44" x14ac:dyDescent="0.2">
      <c r="A109" s="1141" t="str">
        <f t="shared" si="18"/>
        <v>1544</v>
      </c>
      <c r="B109" s="1141" t="str">
        <f>IFERROR(VLOOKUP(A109,'LAC 103'!A:C,3,FALSE),"")</f>
        <v>OP</v>
      </c>
      <c r="C109" s="1478" t="str">
        <f>Info!$B$8</f>
        <v>00100</v>
      </c>
      <c r="D109" s="1474" t="s">
        <v>1100</v>
      </c>
      <c r="E109" s="1474" t="s">
        <v>95</v>
      </c>
      <c r="F109" s="1478" t="s">
        <v>396</v>
      </c>
      <c r="G109" s="1478" t="s">
        <v>396</v>
      </c>
      <c r="H109" s="1474" t="s">
        <v>1660</v>
      </c>
      <c r="I109" s="1478" t="s">
        <v>817</v>
      </c>
      <c r="J109" s="1478"/>
      <c r="K109" s="1475" t="s">
        <v>846</v>
      </c>
      <c r="L109" s="1474" t="s">
        <v>332</v>
      </c>
      <c r="M109" s="1476" t="s">
        <v>840</v>
      </c>
      <c r="N109" s="1477" t="s">
        <v>1700</v>
      </c>
      <c r="O109" s="1479">
        <v>6810</v>
      </c>
      <c r="P109" s="1479"/>
      <c r="Q109" s="1142">
        <f t="shared" si="19"/>
        <v>6810</v>
      </c>
      <c r="R109" s="1143">
        <f>IFERROR(VLOOKUP(CONCATENATE(E109,G109),'LAC 103'!$A$12:$O$95,11,FALSE),0)</f>
        <v>3.2074101033884355</v>
      </c>
      <c r="S109" s="1144">
        <f>IFERROR(VLOOKUP(CONCATENATE($E109,$G109),'LAC 103'!$A$12:$O$95,12,FALSE),0)</f>
        <v>3.99</v>
      </c>
      <c r="T109" s="1144">
        <f>IFERROR(VLOOKUP(CONCATENATE($E109,$G109),'LAC 103'!$A$12:$O$95,13,FALSE),0)</f>
        <v>2.48</v>
      </c>
      <c r="U109" s="1144">
        <f>IFERROR(VLOOKUP(CONCATENATE($E109,$G109),'LAC 103'!$A$12:$O$95,14,FALSE),0)</f>
        <v>0</v>
      </c>
      <c r="V109" s="1144">
        <f>IFERROR(VLOOKUP(CONCATENATE($E109,$G109),'LAC 103'!$A$12:$O$95,15,FALSE),0)</f>
        <v>0</v>
      </c>
      <c r="W109" s="1145" t="str">
        <f>IFERROR(VLOOKUP(CONCATENATE($B109,$N109),'LAC 103'!$AI:$AQ,9,FALSE),"")</f>
        <v>P.C.</v>
      </c>
      <c r="X109" s="1146">
        <f t="shared" si="24"/>
        <v>2.48</v>
      </c>
      <c r="Y109" s="1143">
        <f t="shared" si="25"/>
        <v>21842.462804075247</v>
      </c>
      <c r="Z109" s="1147">
        <f t="shared" si="26"/>
        <v>27171.9</v>
      </c>
      <c r="AA109" s="1144">
        <f t="shared" si="27"/>
        <v>16888.8</v>
      </c>
      <c r="AB109" s="1144">
        <f t="shared" si="28"/>
        <v>0</v>
      </c>
      <c r="AC109" s="1144">
        <f t="shared" si="29"/>
        <v>0</v>
      </c>
      <c r="AD109" s="1148">
        <f t="shared" si="20"/>
        <v>16888.8</v>
      </c>
      <c r="AE109" s="1487">
        <v>0</v>
      </c>
      <c r="AF109" s="1145">
        <f t="shared" si="30"/>
        <v>16888.8</v>
      </c>
      <c r="AG109" s="1149">
        <f>IFERROR(VLOOKUP(CONCATENATE($L109,$N109),'Drop List'!$G$23:$K$87,2,FALSE),0)</f>
        <v>0</v>
      </c>
      <c r="AH109" s="1150">
        <f>IFERROR(VLOOKUP(CONCATENATE($L109,$N109),'Drop List'!$G$23:$K$87,3,FALSE),0)</f>
        <v>0</v>
      </c>
      <c r="AI109" s="1150">
        <f>IFERROR(VLOOKUP(CONCATENATE($L109,$N109),'Drop List'!$G$23:$K$87,4,FALSE),0)</f>
        <v>0</v>
      </c>
      <c r="AJ109" s="1151">
        <f>IFERROR(VLOOKUP(CONCATENATE($L109,$N109),'Drop List'!$G$23:$K$87,5,FALSE),0)</f>
        <v>0</v>
      </c>
      <c r="AK109" s="1152">
        <f t="shared" si="31"/>
        <v>0</v>
      </c>
      <c r="AL109" s="1153">
        <f t="shared" si="32"/>
        <v>0</v>
      </c>
      <c r="AM109" s="1153">
        <f t="shared" si="33"/>
        <v>0</v>
      </c>
      <c r="AN109" s="1145">
        <f t="shared" si="34"/>
        <v>0</v>
      </c>
      <c r="AO109" s="1154">
        <f t="shared" si="35"/>
        <v>0</v>
      </c>
      <c r="AP109" s="1147">
        <f t="shared" si="21"/>
        <v>16888.8</v>
      </c>
      <c r="AQ109" s="1144">
        <f t="shared" si="22"/>
        <v>0</v>
      </c>
      <c r="AR109" s="1146">
        <f t="shared" si="23"/>
        <v>16888.8</v>
      </c>
    </row>
    <row r="110" spans="1:44" x14ac:dyDescent="0.2">
      <c r="A110" s="1141" t="str">
        <f t="shared" si="18"/>
        <v>1544</v>
      </c>
      <c r="B110" s="1141" t="str">
        <f>IFERROR(VLOOKUP(A110,'LAC 103'!A:C,3,FALSE),"")</f>
        <v>OP</v>
      </c>
      <c r="C110" s="1478" t="str">
        <f>Info!$B$8</f>
        <v>00100</v>
      </c>
      <c r="D110" s="1474" t="s">
        <v>1100</v>
      </c>
      <c r="E110" s="1474" t="s">
        <v>95</v>
      </c>
      <c r="F110" s="1478" t="s">
        <v>396</v>
      </c>
      <c r="G110" s="1478" t="s">
        <v>396</v>
      </c>
      <c r="H110" s="1474" t="s">
        <v>1660</v>
      </c>
      <c r="I110" s="1478" t="s">
        <v>817</v>
      </c>
      <c r="J110" s="1478"/>
      <c r="K110" s="1475" t="s">
        <v>846</v>
      </c>
      <c r="L110" s="1474" t="s">
        <v>332</v>
      </c>
      <c r="M110" s="1476" t="s">
        <v>842</v>
      </c>
      <c r="N110" s="1477" t="s">
        <v>1692</v>
      </c>
      <c r="O110" s="1479">
        <v>13599</v>
      </c>
      <c r="P110" s="1479"/>
      <c r="Q110" s="1142">
        <f t="shared" si="19"/>
        <v>13599</v>
      </c>
      <c r="R110" s="1143">
        <f>IFERROR(VLOOKUP(CONCATENATE(E110,G110),'LAC 103'!$A$12:$O$95,11,FALSE),0)</f>
        <v>3.2074101033884355</v>
      </c>
      <c r="S110" s="1144">
        <f>IFERROR(VLOOKUP(CONCATENATE($E110,$G110),'LAC 103'!$A$12:$O$95,12,FALSE),0)</f>
        <v>3.99</v>
      </c>
      <c r="T110" s="1144">
        <f>IFERROR(VLOOKUP(CONCATENATE($E110,$G110),'LAC 103'!$A$12:$O$95,13,FALSE),0)</f>
        <v>2.48</v>
      </c>
      <c r="U110" s="1144">
        <f>IFERROR(VLOOKUP(CONCATENATE($E110,$G110),'LAC 103'!$A$12:$O$95,14,FALSE),0)</f>
        <v>0</v>
      </c>
      <c r="V110" s="1144">
        <f>IFERROR(VLOOKUP(CONCATENATE($E110,$G110),'LAC 103'!$A$12:$O$95,15,FALSE),0)</f>
        <v>0</v>
      </c>
      <c r="W110" s="1145" t="str">
        <f>IFERROR(VLOOKUP(CONCATENATE($B110,$N110),'LAC 103'!$AI:$AQ,9,FALSE),"")</f>
        <v>Costs</v>
      </c>
      <c r="X110" s="1146">
        <f t="shared" si="24"/>
        <v>3.2074101033884355</v>
      </c>
      <c r="Y110" s="1143">
        <f t="shared" si="25"/>
        <v>43617.569995979335</v>
      </c>
      <c r="Z110" s="1147">
        <f t="shared" si="26"/>
        <v>54260.01</v>
      </c>
      <c r="AA110" s="1144">
        <f t="shared" si="27"/>
        <v>33725.519999999997</v>
      </c>
      <c r="AB110" s="1144">
        <f t="shared" si="28"/>
        <v>0</v>
      </c>
      <c r="AC110" s="1144">
        <f t="shared" si="29"/>
        <v>0</v>
      </c>
      <c r="AD110" s="1148">
        <f t="shared" si="20"/>
        <v>43617.569995979335</v>
      </c>
      <c r="AE110" s="1487">
        <v>0</v>
      </c>
      <c r="AF110" s="1145">
        <f t="shared" si="30"/>
        <v>43617.569995979335</v>
      </c>
      <c r="AG110" s="1149">
        <f>IFERROR(VLOOKUP(CONCATENATE($L110,$N110),'Drop List'!$G$23:$K$87,2,FALSE),0)</f>
        <v>0</v>
      </c>
      <c r="AH110" s="1150">
        <f>IFERROR(VLOOKUP(CONCATENATE($L110,$N110),'Drop List'!$G$23:$K$87,3,FALSE),0)</f>
        <v>0</v>
      </c>
      <c r="AI110" s="1150">
        <f>IFERROR(VLOOKUP(CONCATENATE($L110,$N110),'Drop List'!$G$23:$K$87,4,FALSE),0)</f>
        <v>0</v>
      </c>
      <c r="AJ110" s="1151">
        <f>IFERROR(VLOOKUP(CONCATENATE($L110,$N110),'Drop List'!$G$23:$K$87,5,FALSE),0)</f>
        <v>0</v>
      </c>
      <c r="AK110" s="1152">
        <f t="shared" si="31"/>
        <v>0</v>
      </c>
      <c r="AL110" s="1153">
        <f t="shared" si="32"/>
        <v>0</v>
      </c>
      <c r="AM110" s="1153">
        <f t="shared" si="33"/>
        <v>0</v>
      </c>
      <c r="AN110" s="1145">
        <f t="shared" si="34"/>
        <v>0</v>
      </c>
      <c r="AO110" s="1154">
        <f t="shared" si="35"/>
        <v>0</v>
      </c>
      <c r="AP110" s="1147">
        <f t="shared" si="21"/>
        <v>43617.569995979335</v>
      </c>
      <c r="AQ110" s="1144">
        <f t="shared" si="22"/>
        <v>0</v>
      </c>
      <c r="AR110" s="1146">
        <f t="shared" si="23"/>
        <v>43617.569995979335</v>
      </c>
    </row>
    <row r="111" spans="1:44" x14ac:dyDescent="0.2">
      <c r="A111" s="1141" t="str">
        <f t="shared" si="18"/>
        <v>1544</v>
      </c>
      <c r="B111" s="1141" t="str">
        <f>IFERROR(VLOOKUP(A111,'LAC 103'!A:C,3,FALSE),"")</f>
        <v>OP</v>
      </c>
      <c r="C111" s="1478" t="str">
        <f>Info!$B$8</f>
        <v>00100</v>
      </c>
      <c r="D111" s="1474" t="s">
        <v>1100</v>
      </c>
      <c r="E111" s="1474" t="s">
        <v>95</v>
      </c>
      <c r="F111" s="1478" t="s">
        <v>396</v>
      </c>
      <c r="G111" s="1478" t="s">
        <v>396</v>
      </c>
      <c r="H111" s="1474" t="s">
        <v>1660</v>
      </c>
      <c r="I111" s="1478" t="s">
        <v>817</v>
      </c>
      <c r="J111" s="1478"/>
      <c r="K111" s="1475" t="s">
        <v>846</v>
      </c>
      <c r="L111" s="1474" t="s">
        <v>332</v>
      </c>
      <c r="M111" s="1476" t="s">
        <v>1698</v>
      </c>
      <c r="N111" s="1477" t="s">
        <v>1693</v>
      </c>
      <c r="O111" s="1479">
        <v>7324</v>
      </c>
      <c r="P111" s="1479"/>
      <c r="Q111" s="1142">
        <f t="shared" si="19"/>
        <v>7324</v>
      </c>
      <c r="R111" s="1143">
        <f>IFERROR(VLOOKUP(CONCATENATE(E111,G111),'LAC 103'!$A$12:$O$95,11,FALSE),0)</f>
        <v>3.2074101033884355</v>
      </c>
      <c r="S111" s="1144">
        <f>IFERROR(VLOOKUP(CONCATENATE($E111,$G111),'LAC 103'!$A$12:$O$95,12,FALSE),0)</f>
        <v>3.99</v>
      </c>
      <c r="T111" s="1144">
        <f>IFERROR(VLOOKUP(CONCATENATE($E111,$G111),'LAC 103'!$A$12:$O$95,13,FALSE),0)</f>
        <v>2.48</v>
      </c>
      <c r="U111" s="1144">
        <f>IFERROR(VLOOKUP(CONCATENATE($E111,$G111),'LAC 103'!$A$12:$O$95,14,FALSE),0)</f>
        <v>0</v>
      </c>
      <c r="V111" s="1144">
        <f>IFERROR(VLOOKUP(CONCATENATE($E111,$G111),'LAC 103'!$A$12:$O$95,15,FALSE),0)</f>
        <v>0</v>
      </c>
      <c r="W111" s="1145" t="str">
        <f>IFERROR(VLOOKUP(CONCATENATE($B111,$N111),'LAC 103'!$AI:$AQ,9,FALSE),"")</f>
        <v>Costs</v>
      </c>
      <c r="X111" s="1146">
        <f t="shared" si="24"/>
        <v>3.2074101033884355</v>
      </c>
      <c r="Y111" s="1143">
        <f t="shared" si="25"/>
        <v>23491.071597216902</v>
      </c>
      <c r="Z111" s="1147">
        <f t="shared" si="26"/>
        <v>29222.760000000002</v>
      </c>
      <c r="AA111" s="1144">
        <f t="shared" si="27"/>
        <v>18163.52</v>
      </c>
      <c r="AB111" s="1144">
        <f t="shared" si="28"/>
        <v>0</v>
      </c>
      <c r="AC111" s="1144">
        <f t="shared" si="29"/>
        <v>0</v>
      </c>
      <c r="AD111" s="1148">
        <f t="shared" si="20"/>
        <v>23491.071597216902</v>
      </c>
      <c r="AE111" s="1487">
        <v>0</v>
      </c>
      <c r="AF111" s="1145">
        <f t="shared" si="30"/>
        <v>23491.071597216902</v>
      </c>
      <c r="AG111" s="1149">
        <f>IFERROR(VLOOKUP(CONCATENATE($L111,$N111),'Drop List'!$G$23:$K$87,2,FALSE),0)</f>
        <v>0</v>
      </c>
      <c r="AH111" s="1150">
        <f>IFERROR(VLOOKUP(CONCATENATE($L111,$N111),'Drop List'!$G$23:$K$87,3,FALSE),0)</f>
        <v>0</v>
      </c>
      <c r="AI111" s="1150">
        <f>IFERROR(VLOOKUP(CONCATENATE($L111,$N111),'Drop List'!$G$23:$K$87,4,FALSE),0)</f>
        <v>0</v>
      </c>
      <c r="AJ111" s="1151">
        <f>IFERROR(VLOOKUP(CONCATENATE($L111,$N111),'Drop List'!$G$23:$K$87,5,FALSE),0)</f>
        <v>0</v>
      </c>
      <c r="AK111" s="1152">
        <f t="shared" si="31"/>
        <v>0</v>
      </c>
      <c r="AL111" s="1153">
        <f t="shared" si="32"/>
        <v>0</v>
      </c>
      <c r="AM111" s="1153">
        <f t="shared" si="33"/>
        <v>0</v>
      </c>
      <c r="AN111" s="1145">
        <f t="shared" si="34"/>
        <v>0</v>
      </c>
      <c r="AO111" s="1154">
        <f t="shared" si="35"/>
        <v>0</v>
      </c>
      <c r="AP111" s="1147">
        <f t="shared" si="21"/>
        <v>23491.071597216902</v>
      </c>
      <c r="AQ111" s="1144">
        <f t="shared" si="22"/>
        <v>0</v>
      </c>
      <c r="AR111" s="1146">
        <f t="shared" si="23"/>
        <v>23491.071597216902</v>
      </c>
    </row>
    <row r="112" spans="1:44" x14ac:dyDescent="0.2">
      <c r="A112" s="1141" t="str">
        <f t="shared" si="18"/>
        <v>1552</v>
      </c>
      <c r="B112" s="1141" t="str">
        <f>IFERROR(VLOOKUP(A112,'LAC 103'!A:C,3,FALSE),"")</f>
        <v>OP</v>
      </c>
      <c r="C112" s="1478" t="str">
        <f>Info!$B$8</f>
        <v>00100</v>
      </c>
      <c r="D112" s="1474" t="s">
        <v>1100</v>
      </c>
      <c r="E112" s="1474" t="s">
        <v>95</v>
      </c>
      <c r="F112" s="1478" t="s">
        <v>412</v>
      </c>
      <c r="G112" s="1478" t="s">
        <v>412</v>
      </c>
      <c r="H112" s="1474" t="s">
        <v>1009</v>
      </c>
      <c r="I112" s="1478" t="s">
        <v>826</v>
      </c>
      <c r="J112" s="1478" t="s">
        <v>123</v>
      </c>
      <c r="K112" s="1475" t="s">
        <v>849</v>
      </c>
      <c r="L112" s="1474" t="s">
        <v>77</v>
      </c>
      <c r="M112" s="1476" t="s">
        <v>1699</v>
      </c>
      <c r="N112" s="1477" t="s">
        <v>1694</v>
      </c>
      <c r="O112" s="1479">
        <v>2297</v>
      </c>
      <c r="P112" s="1479"/>
      <c r="Q112" s="1142">
        <f t="shared" si="19"/>
        <v>2297</v>
      </c>
      <c r="R112" s="1143">
        <f>IFERROR(VLOOKUP(CONCATENATE(E112,G112),'LAC 103'!$A$12:$O$95,11,FALSE),0)</f>
        <v>3.207410103388435</v>
      </c>
      <c r="S112" s="1144">
        <f>IFERROR(VLOOKUP(CONCATENATE($E112,$G112),'LAC 103'!$A$12:$O$95,12,FALSE),0)</f>
        <v>3.99</v>
      </c>
      <c r="T112" s="1144">
        <f>IFERROR(VLOOKUP(CONCATENATE($E112,$G112),'LAC 103'!$A$12:$O$95,13,FALSE),0)</f>
        <v>2.48</v>
      </c>
      <c r="U112" s="1144">
        <f>IFERROR(VLOOKUP(CONCATENATE($E112,$G112),'LAC 103'!$A$12:$O$95,14,FALSE),0)</f>
        <v>0</v>
      </c>
      <c r="V112" s="1144">
        <f>IFERROR(VLOOKUP(CONCATENATE($E112,$G112),'LAC 103'!$A$12:$O$95,15,FALSE),0)</f>
        <v>0</v>
      </c>
      <c r="W112" s="1145" t="str">
        <f>IFERROR(VLOOKUP(CONCATENATE($B112,$N112),'LAC 103'!$AI:$AQ,9,FALSE),"")</f>
        <v>Costs</v>
      </c>
      <c r="X112" s="1146">
        <f t="shared" si="24"/>
        <v>3.207410103388435</v>
      </c>
      <c r="Y112" s="1143">
        <f t="shared" si="25"/>
        <v>7367.4210074832354</v>
      </c>
      <c r="Z112" s="1147">
        <f t="shared" si="26"/>
        <v>9165.0300000000007</v>
      </c>
      <c r="AA112" s="1144">
        <f t="shared" si="27"/>
        <v>5696.56</v>
      </c>
      <c r="AB112" s="1144">
        <f t="shared" si="28"/>
        <v>0</v>
      </c>
      <c r="AC112" s="1144">
        <f t="shared" si="29"/>
        <v>0</v>
      </c>
      <c r="AD112" s="1148">
        <f t="shared" si="20"/>
        <v>7367.4210074832354</v>
      </c>
      <c r="AE112" s="1487">
        <v>0</v>
      </c>
      <c r="AF112" s="1145">
        <f t="shared" si="30"/>
        <v>7367.4210074832354</v>
      </c>
      <c r="AG112" s="1149">
        <f>IFERROR(VLOOKUP(CONCATENATE($L112,$N112),'Drop List'!$G$23:$K$87,2,FALSE),0)</f>
        <v>0.9</v>
      </c>
      <c r="AH112" s="1150">
        <f>IFERROR(VLOOKUP(CONCATENATE($L112,$N112),'Drop List'!$G$23:$K$87,3,FALSE),0)</f>
        <v>0</v>
      </c>
      <c r="AI112" s="1150">
        <f>IFERROR(VLOOKUP(CONCATENATE($L112,$N112),'Drop List'!$G$23:$K$87,4,FALSE),0)</f>
        <v>0.1</v>
      </c>
      <c r="AJ112" s="1151">
        <f>IFERROR(VLOOKUP(CONCATENATE($L112,$N112),'Drop List'!$G$23:$K$87,5,FALSE),0)</f>
        <v>0</v>
      </c>
      <c r="AK112" s="1152">
        <f t="shared" si="31"/>
        <v>6630.6789067349118</v>
      </c>
      <c r="AL112" s="1153">
        <f t="shared" si="32"/>
        <v>0</v>
      </c>
      <c r="AM112" s="1153">
        <f t="shared" si="33"/>
        <v>736.74210074832354</v>
      </c>
      <c r="AN112" s="1145">
        <f t="shared" si="34"/>
        <v>0</v>
      </c>
      <c r="AO112" s="1154">
        <f t="shared" si="35"/>
        <v>7367.4210074832354</v>
      </c>
      <c r="AP112" s="1147">
        <f t="shared" si="21"/>
        <v>0</v>
      </c>
      <c r="AQ112" s="1144">
        <f t="shared" si="22"/>
        <v>0</v>
      </c>
      <c r="AR112" s="1146">
        <f t="shared" si="23"/>
        <v>7367.4210074832354</v>
      </c>
    </row>
    <row r="113" spans="1:44" x14ac:dyDescent="0.2">
      <c r="A113" s="1141" t="str">
        <f t="shared" si="18"/>
        <v>1552</v>
      </c>
      <c r="B113" s="1141" t="str">
        <f>IFERROR(VLOOKUP(A113,'LAC 103'!A:C,3,FALSE),"")</f>
        <v>OP</v>
      </c>
      <c r="C113" s="1478" t="str">
        <f>Info!$B$8</f>
        <v>00100</v>
      </c>
      <c r="D113" s="1474" t="s">
        <v>1100</v>
      </c>
      <c r="E113" s="1474" t="s">
        <v>95</v>
      </c>
      <c r="F113" s="1478" t="s">
        <v>412</v>
      </c>
      <c r="G113" s="1478" t="s">
        <v>412</v>
      </c>
      <c r="H113" s="1474" t="s">
        <v>1009</v>
      </c>
      <c r="I113" s="1478" t="s">
        <v>826</v>
      </c>
      <c r="J113" s="1478"/>
      <c r="K113" s="1475" t="s">
        <v>849</v>
      </c>
      <c r="L113" s="1474" t="s">
        <v>77</v>
      </c>
      <c r="M113" s="1476" t="s">
        <v>842</v>
      </c>
      <c r="N113" s="1477" t="s">
        <v>1692</v>
      </c>
      <c r="O113" s="1479">
        <v>2707</v>
      </c>
      <c r="P113" s="1479"/>
      <c r="Q113" s="1142">
        <f t="shared" si="19"/>
        <v>2707</v>
      </c>
      <c r="R113" s="1143">
        <f>IFERROR(VLOOKUP(CONCATENATE(E113,G113),'LAC 103'!$A$12:$O$95,11,FALSE),0)</f>
        <v>3.207410103388435</v>
      </c>
      <c r="S113" s="1144">
        <f>IFERROR(VLOOKUP(CONCATENATE($E113,$G113),'LAC 103'!$A$12:$O$95,12,FALSE),0)</f>
        <v>3.99</v>
      </c>
      <c r="T113" s="1144">
        <f>IFERROR(VLOOKUP(CONCATENATE($E113,$G113),'LAC 103'!$A$12:$O$95,13,FALSE),0)</f>
        <v>2.48</v>
      </c>
      <c r="U113" s="1144">
        <f>IFERROR(VLOOKUP(CONCATENATE($E113,$G113),'LAC 103'!$A$12:$O$95,14,FALSE),0)</f>
        <v>0</v>
      </c>
      <c r="V113" s="1144">
        <f>IFERROR(VLOOKUP(CONCATENATE($E113,$G113),'LAC 103'!$A$12:$O$95,15,FALSE),0)</f>
        <v>0</v>
      </c>
      <c r="W113" s="1145" t="str">
        <f>IFERROR(VLOOKUP(CONCATENATE($B113,$N113),'LAC 103'!$AI:$AQ,9,FALSE),"")</f>
        <v>Costs</v>
      </c>
      <c r="X113" s="1146">
        <f t="shared" si="24"/>
        <v>3.207410103388435</v>
      </c>
      <c r="Y113" s="1143">
        <f t="shared" si="25"/>
        <v>8682.4591498724931</v>
      </c>
      <c r="Z113" s="1147">
        <f t="shared" si="26"/>
        <v>10800.93</v>
      </c>
      <c r="AA113" s="1144">
        <f t="shared" si="27"/>
        <v>6713.36</v>
      </c>
      <c r="AB113" s="1144">
        <f t="shared" si="28"/>
        <v>0</v>
      </c>
      <c r="AC113" s="1144">
        <f t="shared" si="29"/>
        <v>0</v>
      </c>
      <c r="AD113" s="1148">
        <f t="shared" si="20"/>
        <v>8682.4591498724931</v>
      </c>
      <c r="AE113" s="1487">
        <v>0</v>
      </c>
      <c r="AF113" s="1145">
        <f t="shared" si="30"/>
        <v>8682.4591498724931</v>
      </c>
      <c r="AG113" s="1149">
        <f>IFERROR(VLOOKUP(CONCATENATE($L113,$N113),'Drop List'!$G$23:$K$87,2,FALSE),0)</f>
        <v>0.9</v>
      </c>
      <c r="AH113" s="1150">
        <f>IFERROR(VLOOKUP(CONCATENATE($L113,$N113),'Drop List'!$G$23:$K$87,3,FALSE),0)</f>
        <v>0</v>
      </c>
      <c r="AI113" s="1150">
        <f>IFERROR(VLOOKUP(CONCATENATE($L113,$N113),'Drop List'!$G$23:$K$87,4,FALSE),0)</f>
        <v>0.1</v>
      </c>
      <c r="AJ113" s="1151">
        <f>IFERROR(VLOOKUP(CONCATENATE($L113,$N113),'Drop List'!$G$23:$K$87,5,FALSE),0)</f>
        <v>0</v>
      </c>
      <c r="AK113" s="1152">
        <f t="shared" si="31"/>
        <v>7814.2132348852438</v>
      </c>
      <c r="AL113" s="1153">
        <f t="shared" si="32"/>
        <v>0</v>
      </c>
      <c r="AM113" s="1153">
        <f t="shared" si="33"/>
        <v>868.24591498724931</v>
      </c>
      <c r="AN113" s="1145">
        <f t="shared" si="34"/>
        <v>0</v>
      </c>
      <c r="AO113" s="1154">
        <f t="shared" si="35"/>
        <v>8682.4591498724931</v>
      </c>
      <c r="AP113" s="1147">
        <f t="shared" si="21"/>
        <v>0</v>
      </c>
      <c r="AQ113" s="1144">
        <f t="shared" si="22"/>
        <v>0</v>
      </c>
      <c r="AR113" s="1146">
        <f t="shared" si="23"/>
        <v>8682.4591498724931</v>
      </c>
    </row>
    <row r="114" spans="1:44" x14ac:dyDescent="0.2">
      <c r="A114" s="1141" t="str">
        <f t="shared" si="18"/>
        <v>1552</v>
      </c>
      <c r="B114" s="1141" t="str">
        <f>IFERROR(VLOOKUP(A114,'LAC 103'!A:C,3,FALSE),"")</f>
        <v>OP</v>
      </c>
      <c r="C114" s="1478" t="str">
        <f>Info!$B$8</f>
        <v>00100</v>
      </c>
      <c r="D114" s="1474" t="s">
        <v>1100</v>
      </c>
      <c r="E114" s="1474" t="s">
        <v>95</v>
      </c>
      <c r="F114" s="1478" t="s">
        <v>412</v>
      </c>
      <c r="G114" s="1478" t="s">
        <v>412</v>
      </c>
      <c r="H114" s="1474" t="s">
        <v>1009</v>
      </c>
      <c r="I114" s="1478" t="s">
        <v>826</v>
      </c>
      <c r="J114" s="1478"/>
      <c r="K114" s="1475" t="s">
        <v>849</v>
      </c>
      <c r="L114" s="1474" t="s">
        <v>77</v>
      </c>
      <c r="M114" s="1476" t="s">
        <v>1698</v>
      </c>
      <c r="N114" s="1477" t="s">
        <v>1693</v>
      </c>
      <c r="O114" s="1479">
        <v>5502</v>
      </c>
      <c r="P114" s="1479"/>
      <c r="Q114" s="1142">
        <f t="shared" si="19"/>
        <v>5502</v>
      </c>
      <c r="R114" s="1143">
        <f>IFERROR(VLOOKUP(CONCATENATE(E114,G114),'LAC 103'!$A$12:$O$95,11,FALSE),0)</f>
        <v>3.207410103388435</v>
      </c>
      <c r="S114" s="1144">
        <f>IFERROR(VLOOKUP(CONCATENATE($E114,$G114),'LAC 103'!$A$12:$O$95,12,FALSE),0)</f>
        <v>3.99</v>
      </c>
      <c r="T114" s="1144">
        <f>IFERROR(VLOOKUP(CONCATENATE($E114,$G114),'LAC 103'!$A$12:$O$95,13,FALSE),0)</f>
        <v>2.48</v>
      </c>
      <c r="U114" s="1144">
        <f>IFERROR(VLOOKUP(CONCATENATE($E114,$G114),'LAC 103'!$A$12:$O$95,14,FALSE),0)</f>
        <v>0</v>
      </c>
      <c r="V114" s="1144">
        <f>IFERROR(VLOOKUP(CONCATENATE($E114,$G114),'LAC 103'!$A$12:$O$95,15,FALSE),0)</f>
        <v>0</v>
      </c>
      <c r="W114" s="1145" t="str">
        <f>IFERROR(VLOOKUP(CONCATENATE($B114,$N114),'LAC 103'!$AI:$AQ,9,FALSE),"")</f>
        <v>Costs</v>
      </c>
      <c r="X114" s="1146">
        <f t="shared" si="24"/>
        <v>3.207410103388435</v>
      </c>
      <c r="Y114" s="1143">
        <f t="shared" si="25"/>
        <v>17647.170388843169</v>
      </c>
      <c r="Z114" s="1147">
        <f t="shared" si="26"/>
        <v>21952.98</v>
      </c>
      <c r="AA114" s="1144">
        <f t="shared" si="27"/>
        <v>13644.96</v>
      </c>
      <c r="AB114" s="1144">
        <f t="shared" si="28"/>
        <v>0</v>
      </c>
      <c r="AC114" s="1144">
        <f t="shared" si="29"/>
        <v>0</v>
      </c>
      <c r="AD114" s="1148">
        <f t="shared" si="20"/>
        <v>17647.170388843169</v>
      </c>
      <c r="AE114" s="1487">
        <v>0</v>
      </c>
      <c r="AF114" s="1145">
        <f t="shared" si="30"/>
        <v>17647.170388843169</v>
      </c>
      <c r="AG114" s="1149">
        <f>IFERROR(VLOOKUP(CONCATENATE($L114,$N114),'Drop List'!$G$23:$K$87,2,FALSE),0)</f>
        <v>0.9</v>
      </c>
      <c r="AH114" s="1150">
        <f>IFERROR(VLOOKUP(CONCATENATE($L114,$N114),'Drop List'!$G$23:$K$87,3,FALSE),0)</f>
        <v>0</v>
      </c>
      <c r="AI114" s="1150">
        <f>IFERROR(VLOOKUP(CONCATENATE($L114,$N114),'Drop List'!$G$23:$K$87,4,FALSE),0)</f>
        <v>0.1</v>
      </c>
      <c r="AJ114" s="1151">
        <f>IFERROR(VLOOKUP(CONCATENATE($L114,$N114),'Drop List'!$G$23:$K$87,5,FALSE),0)</f>
        <v>0</v>
      </c>
      <c r="AK114" s="1152">
        <f t="shared" si="31"/>
        <v>15882.453349958852</v>
      </c>
      <c r="AL114" s="1153">
        <f t="shared" si="32"/>
        <v>0</v>
      </c>
      <c r="AM114" s="1153">
        <f t="shared" si="33"/>
        <v>1764.7170388843169</v>
      </c>
      <c r="AN114" s="1145">
        <f t="shared" si="34"/>
        <v>0</v>
      </c>
      <c r="AO114" s="1154">
        <f t="shared" si="35"/>
        <v>17647.170388843169</v>
      </c>
      <c r="AP114" s="1147">
        <f t="shared" si="21"/>
        <v>0</v>
      </c>
      <c r="AQ114" s="1144">
        <f t="shared" si="22"/>
        <v>0</v>
      </c>
      <c r="AR114" s="1146">
        <f t="shared" si="23"/>
        <v>17647.170388843169</v>
      </c>
    </row>
    <row r="115" spans="1:44" x14ac:dyDescent="0.2">
      <c r="A115" s="1141" t="str">
        <f t="shared" si="18"/>
        <v>1552</v>
      </c>
      <c r="B115" s="1141" t="str">
        <f>IFERROR(VLOOKUP(A115,'LAC 103'!A:C,3,FALSE),"")</f>
        <v>OP</v>
      </c>
      <c r="C115" s="1478" t="str">
        <f>Info!$B$8</f>
        <v>00100</v>
      </c>
      <c r="D115" s="1474" t="s">
        <v>1100</v>
      </c>
      <c r="E115" s="1474" t="s">
        <v>95</v>
      </c>
      <c r="F115" s="1478" t="s">
        <v>412</v>
      </c>
      <c r="G115" s="1478" t="s">
        <v>412</v>
      </c>
      <c r="H115" s="1474" t="s">
        <v>1009</v>
      </c>
      <c r="I115" s="1478" t="s">
        <v>826</v>
      </c>
      <c r="J115" s="1478"/>
      <c r="K115" s="1475" t="s">
        <v>971</v>
      </c>
      <c r="L115" s="1474" t="s">
        <v>332</v>
      </c>
      <c r="M115" s="1476" t="s">
        <v>1699</v>
      </c>
      <c r="N115" s="1477" t="s">
        <v>1694</v>
      </c>
      <c r="O115" s="1479">
        <v>35</v>
      </c>
      <c r="P115" s="1479"/>
      <c r="Q115" s="1142">
        <f t="shared" si="19"/>
        <v>35</v>
      </c>
      <c r="R115" s="1143">
        <f>IFERROR(VLOOKUP(CONCATENATE(E115,G115),'LAC 103'!$A$12:$O$95,11,FALSE),0)</f>
        <v>3.207410103388435</v>
      </c>
      <c r="S115" s="1144">
        <f>IFERROR(VLOOKUP(CONCATENATE($E115,$G115),'LAC 103'!$A$12:$O$95,12,FALSE),0)</f>
        <v>3.99</v>
      </c>
      <c r="T115" s="1144">
        <f>IFERROR(VLOOKUP(CONCATENATE($E115,$G115),'LAC 103'!$A$12:$O$95,13,FALSE),0)</f>
        <v>2.48</v>
      </c>
      <c r="U115" s="1144">
        <f>IFERROR(VLOOKUP(CONCATENATE($E115,$G115),'LAC 103'!$A$12:$O$95,14,FALSE),0)</f>
        <v>0</v>
      </c>
      <c r="V115" s="1144">
        <f>IFERROR(VLOOKUP(CONCATENATE($E115,$G115),'LAC 103'!$A$12:$O$95,15,FALSE),0)</f>
        <v>0</v>
      </c>
      <c r="W115" s="1145" t="str">
        <f>IFERROR(VLOOKUP(CONCATENATE($B115,$N115),'LAC 103'!$AI:$AQ,9,FALSE),"")</f>
        <v>Costs</v>
      </c>
      <c r="X115" s="1146">
        <f t="shared" si="24"/>
        <v>3.207410103388435</v>
      </c>
      <c r="Y115" s="1143">
        <f t="shared" si="25"/>
        <v>112.25935361859523</v>
      </c>
      <c r="Z115" s="1147">
        <f t="shared" si="26"/>
        <v>139.65</v>
      </c>
      <c r="AA115" s="1144">
        <f t="shared" si="27"/>
        <v>86.8</v>
      </c>
      <c r="AB115" s="1144">
        <f t="shared" si="28"/>
        <v>0</v>
      </c>
      <c r="AC115" s="1144">
        <f t="shared" si="29"/>
        <v>0</v>
      </c>
      <c r="AD115" s="1148">
        <f t="shared" si="20"/>
        <v>112.25935361859523</v>
      </c>
      <c r="AE115" s="1487">
        <v>0</v>
      </c>
      <c r="AF115" s="1145">
        <f t="shared" si="30"/>
        <v>112.25935361859523</v>
      </c>
      <c r="AG115" s="1149">
        <f>IFERROR(VLOOKUP(CONCATENATE($L115,$N115),'Drop List'!$G$23:$K$87,2,FALSE),0)</f>
        <v>0</v>
      </c>
      <c r="AH115" s="1150">
        <f>IFERROR(VLOOKUP(CONCATENATE($L115,$N115),'Drop List'!$G$23:$K$87,3,FALSE),0)</f>
        <v>0</v>
      </c>
      <c r="AI115" s="1150">
        <f>IFERROR(VLOOKUP(CONCATENATE($L115,$N115),'Drop List'!$G$23:$K$87,4,FALSE),0)</f>
        <v>0</v>
      </c>
      <c r="AJ115" s="1151">
        <f>IFERROR(VLOOKUP(CONCATENATE($L115,$N115),'Drop List'!$G$23:$K$87,5,FALSE),0)</f>
        <v>0</v>
      </c>
      <c r="AK115" s="1152">
        <f t="shared" si="31"/>
        <v>0</v>
      </c>
      <c r="AL115" s="1153">
        <f t="shared" si="32"/>
        <v>0</v>
      </c>
      <c r="AM115" s="1153">
        <f t="shared" si="33"/>
        <v>0</v>
      </c>
      <c r="AN115" s="1145">
        <f t="shared" si="34"/>
        <v>0</v>
      </c>
      <c r="AO115" s="1154">
        <f t="shared" si="35"/>
        <v>0</v>
      </c>
      <c r="AP115" s="1147">
        <f t="shared" si="21"/>
        <v>112.25935361859523</v>
      </c>
      <c r="AQ115" s="1144">
        <f t="shared" si="22"/>
        <v>0</v>
      </c>
      <c r="AR115" s="1146">
        <f t="shared" si="23"/>
        <v>112.25935361859523</v>
      </c>
    </row>
    <row r="116" spans="1:44" x14ac:dyDescent="0.2">
      <c r="A116" s="1141" t="str">
        <f t="shared" si="18"/>
        <v>1552</v>
      </c>
      <c r="B116" s="1141" t="str">
        <f>IFERROR(VLOOKUP(A116,'LAC 103'!A:C,3,FALSE),"")</f>
        <v>OP</v>
      </c>
      <c r="C116" s="1478" t="str">
        <f>Info!$B$8</f>
        <v>00100</v>
      </c>
      <c r="D116" s="1474" t="s">
        <v>1100</v>
      </c>
      <c r="E116" s="1474" t="s">
        <v>95</v>
      </c>
      <c r="F116" s="1478" t="s">
        <v>412</v>
      </c>
      <c r="G116" s="1478" t="s">
        <v>412</v>
      </c>
      <c r="H116" s="1474" t="s">
        <v>1009</v>
      </c>
      <c r="I116" s="1478" t="s">
        <v>826</v>
      </c>
      <c r="J116" s="1478"/>
      <c r="K116" s="1475" t="s">
        <v>850</v>
      </c>
      <c r="L116" s="1474" t="s">
        <v>330</v>
      </c>
      <c r="M116" s="1476" t="s">
        <v>842</v>
      </c>
      <c r="N116" s="1477" t="s">
        <v>1692</v>
      </c>
      <c r="O116" s="1479">
        <v>1662</v>
      </c>
      <c r="P116" s="1479"/>
      <c r="Q116" s="1142">
        <f t="shared" si="19"/>
        <v>1662</v>
      </c>
      <c r="R116" s="1143">
        <f>IFERROR(VLOOKUP(CONCATENATE(E116,G116),'LAC 103'!$A$12:$O$95,11,FALSE),0)</f>
        <v>3.207410103388435</v>
      </c>
      <c r="S116" s="1144">
        <f>IFERROR(VLOOKUP(CONCATENATE($E116,$G116),'LAC 103'!$A$12:$O$95,12,FALSE),0)</f>
        <v>3.99</v>
      </c>
      <c r="T116" s="1144">
        <f>IFERROR(VLOOKUP(CONCATENATE($E116,$G116),'LAC 103'!$A$12:$O$95,13,FALSE),0)</f>
        <v>2.48</v>
      </c>
      <c r="U116" s="1144">
        <f>IFERROR(VLOOKUP(CONCATENATE($E116,$G116),'LAC 103'!$A$12:$O$95,14,FALSE),0)</f>
        <v>0</v>
      </c>
      <c r="V116" s="1144">
        <f>IFERROR(VLOOKUP(CONCATENATE($E116,$G116),'LAC 103'!$A$12:$O$95,15,FALSE),0)</f>
        <v>0</v>
      </c>
      <c r="W116" s="1145" t="str">
        <f>IFERROR(VLOOKUP(CONCATENATE($B116,$N116),'LAC 103'!$AI:$AQ,9,FALSE),"")</f>
        <v>Costs</v>
      </c>
      <c r="X116" s="1146">
        <f t="shared" si="24"/>
        <v>3.207410103388435</v>
      </c>
      <c r="Y116" s="1143">
        <f t="shared" si="25"/>
        <v>5330.7155918315793</v>
      </c>
      <c r="Z116" s="1147">
        <f t="shared" si="26"/>
        <v>6631.38</v>
      </c>
      <c r="AA116" s="1144">
        <f t="shared" si="27"/>
        <v>4121.76</v>
      </c>
      <c r="AB116" s="1144">
        <f t="shared" si="28"/>
        <v>0</v>
      </c>
      <c r="AC116" s="1144">
        <f t="shared" si="29"/>
        <v>0</v>
      </c>
      <c r="AD116" s="1148">
        <f t="shared" si="20"/>
        <v>5330.7155918315793</v>
      </c>
      <c r="AE116" s="1487">
        <v>0</v>
      </c>
      <c r="AF116" s="1145">
        <f t="shared" si="30"/>
        <v>5330.7155918315793</v>
      </c>
      <c r="AG116" s="1149">
        <f>IFERROR(VLOOKUP(CONCATENATE($L116,$N116),'Drop List'!$G$23:$K$87,2,FALSE),0)</f>
        <v>0</v>
      </c>
      <c r="AH116" s="1150">
        <f>IFERROR(VLOOKUP(CONCATENATE($L116,$N116),'Drop List'!$G$23:$K$87,3,FALSE),0)</f>
        <v>0</v>
      </c>
      <c r="AI116" s="1150">
        <f>IFERROR(VLOOKUP(CONCATENATE($L116,$N116),'Drop List'!$G$23:$K$87,4,FALSE),0)</f>
        <v>1</v>
      </c>
      <c r="AJ116" s="1151">
        <f>IFERROR(VLOOKUP(CONCATENATE($L116,$N116),'Drop List'!$G$23:$K$87,5,FALSE),0)</f>
        <v>0</v>
      </c>
      <c r="AK116" s="1152">
        <f t="shared" si="31"/>
        <v>0</v>
      </c>
      <c r="AL116" s="1153">
        <f t="shared" si="32"/>
        <v>0</v>
      </c>
      <c r="AM116" s="1153">
        <f t="shared" si="33"/>
        <v>5330.7155918315793</v>
      </c>
      <c r="AN116" s="1145">
        <f t="shared" si="34"/>
        <v>0</v>
      </c>
      <c r="AO116" s="1154">
        <f t="shared" si="35"/>
        <v>5330.7155918315793</v>
      </c>
      <c r="AP116" s="1147">
        <f t="shared" si="21"/>
        <v>0</v>
      </c>
      <c r="AQ116" s="1144">
        <f t="shared" si="22"/>
        <v>0</v>
      </c>
      <c r="AR116" s="1146">
        <f t="shared" si="23"/>
        <v>5330.7155918315793</v>
      </c>
    </row>
    <row r="117" spans="1:44" x14ac:dyDescent="0.2">
      <c r="A117" s="1141" t="str">
        <f t="shared" si="18"/>
        <v>1552</v>
      </c>
      <c r="B117" s="1141" t="str">
        <f>IFERROR(VLOOKUP(A117,'LAC 103'!A:C,3,FALSE),"")</f>
        <v>OP</v>
      </c>
      <c r="C117" s="1478" t="str">
        <f>Info!$B$8</f>
        <v>00100</v>
      </c>
      <c r="D117" s="1474" t="s">
        <v>1100</v>
      </c>
      <c r="E117" s="1474" t="s">
        <v>95</v>
      </c>
      <c r="F117" s="1478" t="s">
        <v>412</v>
      </c>
      <c r="G117" s="1478" t="s">
        <v>412</v>
      </c>
      <c r="H117" s="1474" t="s">
        <v>1009</v>
      </c>
      <c r="I117" s="1478" t="s">
        <v>826</v>
      </c>
      <c r="J117" s="1478"/>
      <c r="K117" s="1475" t="s">
        <v>850</v>
      </c>
      <c r="L117" s="1474" t="s">
        <v>330</v>
      </c>
      <c r="M117" s="1476" t="s">
        <v>1698</v>
      </c>
      <c r="N117" s="1477" t="s">
        <v>1693</v>
      </c>
      <c r="O117" s="1479">
        <v>2229</v>
      </c>
      <c r="P117" s="1479"/>
      <c r="Q117" s="1142">
        <f t="shared" si="19"/>
        <v>2229</v>
      </c>
      <c r="R117" s="1143">
        <f>IFERROR(VLOOKUP(CONCATENATE(E117,G117),'LAC 103'!$A$12:$O$95,11,FALSE),0)</f>
        <v>3.207410103388435</v>
      </c>
      <c r="S117" s="1144">
        <f>IFERROR(VLOOKUP(CONCATENATE($E117,$G117),'LAC 103'!$A$12:$O$95,12,FALSE),0)</f>
        <v>3.99</v>
      </c>
      <c r="T117" s="1144">
        <f>IFERROR(VLOOKUP(CONCATENATE($E117,$G117),'LAC 103'!$A$12:$O$95,13,FALSE),0)</f>
        <v>2.48</v>
      </c>
      <c r="U117" s="1144">
        <f>IFERROR(VLOOKUP(CONCATENATE($E117,$G117),'LAC 103'!$A$12:$O$95,14,FALSE),0)</f>
        <v>0</v>
      </c>
      <c r="V117" s="1144">
        <f>IFERROR(VLOOKUP(CONCATENATE($E117,$G117),'LAC 103'!$A$12:$O$95,15,FALSE),0)</f>
        <v>0</v>
      </c>
      <c r="W117" s="1145" t="str">
        <f>IFERROR(VLOOKUP(CONCATENATE($B117,$N117),'LAC 103'!$AI:$AQ,9,FALSE),"")</f>
        <v>Costs</v>
      </c>
      <c r="X117" s="1146">
        <f t="shared" si="24"/>
        <v>3.207410103388435</v>
      </c>
      <c r="Y117" s="1143">
        <f t="shared" si="25"/>
        <v>7149.3171204528217</v>
      </c>
      <c r="Z117" s="1147">
        <f t="shared" si="26"/>
        <v>8893.7100000000009</v>
      </c>
      <c r="AA117" s="1144">
        <f t="shared" si="27"/>
        <v>5527.92</v>
      </c>
      <c r="AB117" s="1144">
        <f t="shared" si="28"/>
        <v>0</v>
      </c>
      <c r="AC117" s="1144">
        <f t="shared" si="29"/>
        <v>0</v>
      </c>
      <c r="AD117" s="1148">
        <f t="shared" si="20"/>
        <v>7149.3171204528217</v>
      </c>
      <c r="AE117" s="1487">
        <v>0</v>
      </c>
      <c r="AF117" s="1145">
        <f t="shared" si="30"/>
        <v>7149.3171204528217</v>
      </c>
      <c r="AG117" s="1149">
        <f>IFERROR(VLOOKUP(CONCATENATE($L117,$N117),'Drop List'!$G$23:$K$87,2,FALSE),0)</f>
        <v>0</v>
      </c>
      <c r="AH117" s="1150">
        <f>IFERROR(VLOOKUP(CONCATENATE($L117,$N117),'Drop List'!$G$23:$K$87,3,FALSE),0)</f>
        <v>0</v>
      </c>
      <c r="AI117" s="1150">
        <f>IFERROR(VLOOKUP(CONCATENATE($L117,$N117),'Drop List'!$G$23:$K$87,4,FALSE),0)</f>
        <v>1</v>
      </c>
      <c r="AJ117" s="1151">
        <f>IFERROR(VLOOKUP(CONCATENATE($L117,$N117),'Drop List'!$G$23:$K$87,5,FALSE),0)</f>
        <v>0</v>
      </c>
      <c r="AK117" s="1152">
        <f t="shared" si="31"/>
        <v>0</v>
      </c>
      <c r="AL117" s="1153">
        <f t="shared" si="32"/>
        <v>0</v>
      </c>
      <c r="AM117" s="1153">
        <f t="shared" si="33"/>
        <v>7149.3171204528217</v>
      </c>
      <c r="AN117" s="1145">
        <f t="shared" si="34"/>
        <v>0</v>
      </c>
      <c r="AO117" s="1154">
        <f t="shared" si="35"/>
        <v>7149.3171204528217</v>
      </c>
      <c r="AP117" s="1147">
        <f t="shared" si="21"/>
        <v>0</v>
      </c>
      <c r="AQ117" s="1144">
        <f t="shared" si="22"/>
        <v>0</v>
      </c>
      <c r="AR117" s="1146">
        <f t="shared" si="23"/>
        <v>7149.3171204528217</v>
      </c>
    </row>
    <row r="118" spans="1:44" x14ac:dyDescent="0.2">
      <c r="A118" s="1141" t="str">
        <f t="shared" si="18"/>
        <v>1552</v>
      </c>
      <c r="B118" s="1141" t="str">
        <f>IFERROR(VLOOKUP(A118,'LAC 103'!A:C,3,FALSE),"")</f>
        <v>OP</v>
      </c>
      <c r="C118" s="1478" t="str">
        <f>Info!$B$8</f>
        <v>00100</v>
      </c>
      <c r="D118" s="1474" t="s">
        <v>1100</v>
      </c>
      <c r="E118" s="1474" t="s">
        <v>95</v>
      </c>
      <c r="F118" s="1478" t="s">
        <v>412</v>
      </c>
      <c r="G118" s="1478" t="s">
        <v>412</v>
      </c>
      <c r="H118" s="1474" t="s">
        <v>1009</v>
      </c>
      <c r="I118" s="1478" t="s">
        <v>826</v>
      </c>
      <c r="J118" s="1478"/>
      <c r="K118" s="1475" t="s">
        <v>851</v>
      </c>
      <c r="L118" s="1474" t="s">
        <v>584</v>
      </c>
      <c r="M118" s="1476" t="s">
        <v>1699</v>
      </c>
      <c r="N118" s="1477" t="s">
        <v>1694</v>
      </c>
      <c r="O118" s="1479">
        <v>18206</v>
      </c>
      <c r="P118" s="1479"/>
      <c r="Q118" s="1142">
        <f t="shared" si="19"/>
        <v>18206</v>
      </c>
      <c r="R118" s="1143">
        <f>IFERROR(VLOOKUP(CONCATENATE(E118,G118),'LAC 103'!$A$12:$O$95,11,FALSE),0)</f>
        <v>3.207410103388435</v>
      </c>
      <c r="S118" s="1144">
        <f>IFERROR(VLOOKUP(CONCATENATE($E118,$G118),'LAC 103'!$A$12:$O$95,12,FALSE),0)</f>
        <v>3.99</v>
      </c>
      <c r="T118" s="1144">
        <f>IFERROR(VLOOKUP(CONCATENATE($E118,$G118),'LAC 103'!$A$12:$O$95,13,FALSE),0)</f>
        <v>2.48</v>
      </c>
      <c r="U118" s="1144">
        <f>IFERROR(VLOOKUP(CONCATENATE($E118,$G118),'LAC 103'!$A$12:$O$95,14,FALSE),0)</f>
        <v>0</v>
      </c>
      <c r="V118" s="1144">
        <f>IFERROR(VLOOKUP(CONCATENATE($E118,$G118),'LAC 103'!$A$12:$O$95,15,FALSE),0)</f>
        <v>0</v>
      </c>
      <c r="W118" s="1145" t="str">
        <f>IFERROR(VLOOKUP(CONCATENATE($B118,$N118),'LAC 103'!$AI:$AQ,9,FALSE),"")</f>
        <v>Costs</v>
      </c>
      <c r="X118" s="1146">
        <f t="shared" si="24"/>
        <v>3.207410103388435</v>
      </c>
      <c r="Y118" s="1143">
        <f t="shared" si="25"/>
        <v>58394.108342289845</v>
      </c>
      <c r="Z118" s="1147">
        <f t="shared" si="26"/>
        <v>72641.94</v>
      </c>
      <c r="AA118" s="1144">
        <f t="shared" si="27"/>
        <v>45150.879999999997</v>
      </c>
      <c r="AB118" s="1144">
        <f t="shared" si="28"/>
        <v>0</v>
      </c>
      <c r="AC118" s="1144">
        <f t="shared" si="29"/>
        <v>0</v>
      </c>
      <c r="AD118" s="1148">
        <f t="shared" si="20"/>
        <v>58394.108342289845</v>
      </c>
      <c r="AE118" s="1487">
        <v>0</v>
      </c>
      <c r="AF118" s="1145">
        <f t="shared" si="30"/>
        <v>58394.108342289845</v>
      </c>
      <c r="AG118" s="1149">
        <f>IFERROR(VLOOKUP(CONCATENATE($L118,$N118),'Drop List'!$G$23:$K$87,2,FALSE),0)</f>
        <v>0.56200000000000006</v>
      </c>
      <c r="AH118" s="1150">
        <f>IFERROR(VLOOKUP(CONCATENATE($L118,$N118),'Drop List'!$G$23:$K$87,3,FALSE),0)</f>
        <v>0</v>
      </c>
      <c r="AI118" s="1150">
        <f>IFERROR(VLOOKUP(CONCATENATE($L118,$N118),'Drop List'!$G$23:$K$87,4,FALSE),0)</f>
        <v>0</v>
      </c>
      <c r="AJ118" s="1151">
        <f>IFERROR(VLOOKUP(CONCATENATE($L118,$N118),'Drop List'!$G$23:$K$87,5,FALSE),0)</f>
        <v>0.43799999999999994</v>
      </c>
      <c r="AK118" s="1152">
        <f t="shared" si="31"/>
        <v>32817.488888366897</v>
      </c>
      <c r="AL118" s="1153">
        <f t="shared" si="32"/>
        <v>0</v>
      </c>
      <c r="AM118" s="1153">
        <f t="shared" si="33"/>
        <v>0</v>
      </c>
      <c r="AN118" s="1145">
        <f t="shared" si="34"/>
        <v>25576.619453922947</v>
      </c>
      <c r="AO118" s="1154">
        <f t="shared" si="35"/>
        <v>58394.108342289845</v>
      </c>
      <c r="AP118" s="1147">
        <f t="shared" si="21"/>
        <v>0</v>
      </c>
      <c r="AQ118" s="1144">
        <f t="shared" si="22"/>
        <v>0</v>
      </c>
      <c r="AR118" s="1146">
        <f t="shared" si="23"/>
        <v>58394.108342289845</v>
      </c>
    </row>
    <row r="119" spans="1:44" x14ac:dyDescent="0.2">
      <c r="A119" s="1141" t="str">
        <f t="shared" si="18"/>
        <v>1552</v>
      </c>
      <c r="B119" s="1141" t="str">
        <f>IFERROR(VLOOKUP(A119,'LAC 103'!A:C,3,FALSE),"")</f>
        <v>OP</v>
      </c>
      <c r="C119" s="1478" t="str">
        <f>Info!$B$8</f>
        <v>00100</v>
      </c>
      <c r="D119" s="1474" t="s">
        <v>1100</v>
      </c>
      <c r="E119" s="1474" t="s">
        <v>95</v>
      </c>
      <c r="F119" s="1478" t="s">
        <v>412</v>
      </c>
      <c r="G119" s="1478" t="s">
        <v>412</v>
      </c>
      <c r="H119" s="1474" t="s">
        <v>1009</v>
      </c>
      <c r="I119" s="1478" t="s">
        <v>826</v>
      </c>
      <c r="J119" s="1478"/>
      <c r="K119" s="1475" t="s">
        <v>851</v>
      </c>
      <c r="L119" s="1474" t="s">
        <v>584</v>
      </c>
      <c r="M119" s="1476" t="s">
        <v>842</v>
      </c>
      <c r="N119" s="1477" t="s">
        <v>1692</v>
      </c>
      <c r="O119" s="1479">
        <v>31019</v>
      </c>
      <c r="P119" s="1479"/>
      <c r="Q119" s="1142">
        <f t="shared" si="19"/>
        <v>31019</v>
      </c>
      <c r="R119" s="1143">
        <f>IFERROR(VLOOKUP(CONCATENATE(E119,G119),'LAC 103'!$A$12:$O$95,11,FALSE),0)</f>
        <v>3.207410103388435</v>
      </c>
      <c r="S119" s="1144">
        <f>IFERROR(VLOOKUP(CONCATENATE($E119,$G119),'LAC 103'!$A$12:$O$95,12,FALSE),0)</f>
        <v>3.99</v>
      </c>
      <c r="T119" s="1144">
        <f>IFERROR(VLOOKUP(CONCATENATE($E119,$G119),'LAC 103'!$A$12:$O$95,13,FALSE),0)</f>
        <v>2.48</v>
      </c>
      <c r="U119" s="1144">
        <f>IFERROR(VLOOKUP(CONCATENATE($E119,$G119),'LAC 103'!$A$12:$O$95,14,FALSE),0)</f>
        <v>0</v>
      </c>
      <c r="V119" s="1144">
        <f>IFERROR(VLOOKUP(CONCATENATE($E119,$G119),'LAC 103'!$A$12:$O$95,15,FALSE),0)</f>
        <v>0</v>
      </c>
      <c r="W119" s="1145" t="str">
        <f>IFERROR(VLOOKUP(CONCATENATE($B119,$N119),'LAC 103'!$AI:$AQ,9,FALSE),"")</f>
        <v>Costs</v>
      </c>
      <c r="X119" s="1146">
        <f t="shared" si="24"/>
        <v>3.207410103388435</v>
      </c>
      <c r="Y119" s="1143">
        <f t="shared" si="25"/>
        <v>99490.653997005866</v>
      </c>
      <c r="Z119" s="1147">
        <f t="shared" si="26"/>
        <v>123765.81000000001</v>
      </c>
      <c r="AA119" s="1144">
        <f t="shared" si="27"/>
        <v>76927.12</v>
      </c>
      <c r="AB119" s="1144">
        <f t="shared" si="28"/>
        <v>0</v>
      </c>
      <c r="AC119" s="1144">
        <f t="shared" si="29"/>
        <v>0</v>
      </c>
      <c r="AD119" s="1148">
        <f t="shared" si="20"/>
        <v>99490.653997005866</v>
      </c>
      <c r="AE119" s="1487">
        <v>0</v>
      </c>
      <c r="AF119" s="1145">
        <f t="shared" si="30"/>
        <v>99490.653997005866</v>
      </c>
      <c r="AG119" s="1149">
        <f>IFERROR(VLOOKUP(CONCATENATE($L119,$N119),'Drop List'!$G$23:$K$87,2,FALSE),0)</f>
        <v>0.56200000000000006</v>
      </c>
      <c r="AH119" s="1150">
        <f>IFERROR(VLOOKUP(CONCATENATE($L119,$N119),'Drop List'!$G$23:$K$87,3,FALSE),0)</f>
        <v>0</v>
      </c>
      <c r="AI119" s="1150">
        <f>IFERROR(VLOOKUP(CONCATENATE($L119,$N119),'Drop List'!$G$23:$K$87,4,FALSE),0)</f>
        <v>0</v>
      </c>
      <c r="AJ119" s="1151">
        <f>IFERROR(VLOOKUP(CONCATENATE($L119,$N119),'Drop List'!$G$23:$K$87,5,FALSE),0)</f>
        <v>0.43799999999999994</v>
      </c>
      <c r="AK119" s="1152">
        <f t="shared" si="31"/>
        <v>55913.747546317303</v>
      </c>
      <c r="AL119" s="1153">
        <f t="shared" si="32"/>
        <v>0</v>
      </c>
      <c r="AM119" s="1153">
        <f t="shared" si="33"/>
        <v>0</v>
      </c>
      <c r="AN119" s="1145">
        <f t="shared" si="34"/>
        <v>43576.906450688562</v>
      </c>
      <c r="AO119" s="1154">
        <f t="shared" si="35"/>
        <v>99490.653997005866</v>
      </c>
      <c r="AP119" s="1147">
        <f t="shared" si="21"/>
        <v>0</v>
      </c>
      <c r="AQ119" s="1144">
        <f t="shared" si="22"/>
        <v>0</v>
      </c>
      <c r="AR119" s="1146">
        <f t="shared" si="23"/>
        <v>99490.653997005866</v>
      </c>
    </row>
    <row r="120" spans="1:44" x14ac:dyDescent="0.2">
      <c r="A120" s="1141" t="str">
        <f t="shared" si="18"/>
        <v>1552</v>
      </c>
      <c r="B120" s="1141" t="str">
        <f>IFERROR(VLOOKUP(A120,'LAC 103'!A:C,3,FALSE),"")</f>
        <v>OP</v>
      </c>
      <c r="C120" s="1478" t="str">
        <f>Info!$B$8</f>
        <v>00100</v>
      </c>
      <c r="D120" s="1474" t="s">
        <v>1100</v>
      </c>
      <c r="E120" s="1474" t="s">
        <v>95</v>
      </c>
      <c r="F120" s="1478" t="s">
        <v>412</v>
      </c>
      <c r="G120" s="1478" t="s">
        <v>412</v>
      </c>
      <c r="H120" s="1474" t="s">
        <v>1009</v>
      </c>
      <c r="I120" s="1478" t="s">
        <v>826</v>
      </c>
      <c r="J120" s="1478"/>
      <c r="K120" s="1475" t="s">
        <v>851</v>
      </c>
      <c r="L120" s="1474" t="s">
        <v>584</v>
      </c>
      <c r="M120" s="1476" t="s">
        <v>1698</v>
      </c>
      <c r="N120" s="1477" t="s">
        <v>1693</v>
      </c>
      <c r="O120" s="1479">
        <v>34098</v>
      </c>
      <c r="P120" s="1479"/>
      <c r="Q120" s="1142">
        <f t="shared" si="19"/>
        <v>34098</v>
      </c>
      <c r="R120" s="1143">
        <f>IFERROR(VLOOKUP(CONCATENATE(E120,G120),'LAC 103'!$A$12:$O$95,11,FALSE),0)</f>
        <v>3.207410103388435</v>
      </c>
      <c r="S120" s="1144">
        <f>IFERROR(VLOOKUP(CONCATENATE($E120,$G120),'LAC 103'!$A$12:$O$95,12,FALSE),0)</f>
        <v>3.99</v>
      </c>
      <c r="T120" s="1144">
        <f>IFERROR(VLOOKUP(CONCATENATE($E120,$G120),'LAC 103'!$A$12:$O$95,13,FALSE),0)</f>
        <v>2.48</v>
      </c>
      <c r="U120" s="1144">
        <f>IFERROR(VLOOKUP(CONCATENATE($E120,$G120),'LAC 103'!$A$12:$O$95,14,FALSE),0)</f>
        <v>0</v>
      </c>
      <c r="V120" s="1144">
        <f>IFERROR(VLOOKUP(CONCATENATE($E120,$G120),'LAC 103'!$A$12:$O$95,15,FALSE),0)</f>
        <v>0</v>
      </c>
      <c r="W120" s="1145" t="str">
        <f>IFERROR(VLOOKUP(CONCATENATE($B120,$N120),'LAC 103'!$AI:$AQ,9,FALSE),"")</f>
        <v>Costs</v>
      </c>
      <c r="X120" s="1146">
        <f t="shared" si="24"/>
        <v>3.207410103388435</v>
      </c>
      <c r="Y120" s="1143">
        <f t="shared" si="25"/>
        <v>109366.26970533885</v>
      </c>
      <c r="Z120" s="1147">
        <f t="shared" si="26"/>
        <v>136051.02000000002</v>
      </c>
      <c r="AA120" s="1144">
        <f t="shared" si="27"/>
        <v>84563.04</v>
      </c>
      <c r="AB120" s="1144">
        <f t="shared" si="28"/>
        <v>0</v>
      </c>
      <c r="AC120" s="1144">
        <f t="shared" si="29"/>
        <v>0</v>
      </c>
      <c r="AD120" s="1148">
        <f t="shared" si="20"/>
        <v>109366.26970533885</v>
      </c>
      <c r="AE120" s="1487">
        <v>0</v>
      </c>
      <c r="AF120" s="1145">
        <f t="shared" si="30"/>
        <v>109366.26970533885</v>
      </c>
      <c r="AG120" s="1149">
        <f>IFERROR(VLOOKUP(CONCATENATE($L120,$N120),'Drop List'!$G$23:$K$87,2,FALSE),0)</f>
        <v>0.56200000000000006</v>
      </c>
      <c r="AH120" s="1150">
        <f>IFERROR(VLOOKUP(CONCATENATE($L120,$N120),'Drop List'!$G$23:$K$87,3,FALSE),0)</f>
        <v>0</v>
      </c>
      <c r="AI120" s="1150">
        <f>IFERROR(VLOOKUP(CONCATENATE($L120,$N120),'Drop List'!$G$23:$K$87,4,FALSE),0)</f>
        <v>0</v>
      </c>
      <c r="AJ120" s="1151">
        <f>IFERROR(VLOOKUP(CONCATENATE($L120,$N120),'Drop List'!$G$23:$K$87,5,FALSE),0)</f>
        <v>0.43799999999999994</v>
      </c>
      <c r="AK120" s="1152">
        <f t="shared" si="31"/>
        <v>61463.843574400446</v>
      </c>
      <c r="AL120" s="1153">
        <f t="shared" si="32"/>
        <v>0</v>
      </c>
      <c r="AM120" s="1153">
        <f t="shared" si="33"/>
        <v>0</v>
      </c>
      <c r="AN120" s="1145">
        <f t="shared" si="34"/>
        <v>47902.426130938409</v>
      </c>
      <c r="AO120" s="1154">
        <f t="shared" si="35"/>
        <v>109366.26970533885</v>
      </c>
      <c r="AP120" s="1147">
        <f t="shared" si="21"/>
        <v>0</v>
      </c>
      <c r="AQ120" s="1144">
        <f t="shared" si="22"/>
        <v>0</v>
      </c>
      <c r="AR120" s="1146">
        <f t="shared" si="23"/>
        <v>109366.26970533885</v>
      </c>
    </row>
    <row r="121" spans="1:44" x14ac:dyDescent="0.2">
      <c r="A121" s="1141" t="str">
        <f t="shared" si="18"/>
        <v>1552</v>
      </c>
      <c r="B121" s="1141" t="str">
        <f>IFERROR(VLOOKUP(A121,'LAC 103'!A:C,3,FALSE),"")</f>
        <v>OP</v>
      </c>
      <c r="C121" s="1478" t="str">
        <f>Info!$B$8</f>
        <v>00100</v>
      </c>
      <c r="D121" s="1474" t="s">
        <v>1100</v>
      </c>
      <c r="E121" s="1474" t="s">
        <v>95</v>
      </c>
      <c r="F121" s="1478" t="s">
        <v>412</v>
      </c>
      <c r="G121" s="1478" t="s">
        <v>412</v>
      </c>
      <c r="H121" s="1474" t="s">
        <v>970</v>
      </c>
      <c r="I121" s="1478" t="s">
        <v>817</v>
      </c>
      <c r="J121" s="1478" t="s">
        <v>123</v>
      </c>
      <c r="K121" s="1475" t="s">
        <v>849</v>
      </c>
      <c r="L121" s="1474" t="s">
        <v>77</v>
      </c>
      <c r="M121" s="1476" t="s">
        <v>1699</v>
      </c>
      <c r="N121" s="1477" t="s">
        <v>1694</v>
      </c>
      <c r="O121" s="1479">
        <v>65561</v>
      </c>
      <c r="P121" s="1479"/>
      <c r="Q121" s="1142">
        <f t="shared" si="19"/>
        <v>65561</v>
      </c>
      <c r="R121" s="1143">
        <f>IFERROR(VLOOKUP(CONCATENATE(E121,G121),'LAC 103'!$A$12:$O$95,11,FALSE),0)</f>
        <v>3.207410103388435</v>
      </c>
      <c r="S121" s="1144">
        <f>IFERROR(VLOOKUP(CONCATENATE($E121,$G121),'LAC 103'!$A$12:$O$95,12,FALSE),0)</f>
        <v>3.99</v>
      </c>
      <c r="T121" s="1144">
        <f>IFERROR(VLOOKUP(CONCATENATE($E121,$G121),'LAC 103'!$A$12:$O$95,13,FALSE),0)</f>
        <v>2.48</v>
      </c>
      <c r="U121" s="1144">
        <f>IFERROR(VLOOKUP(CONCATENATE($E121,$G121),'LAC 103'!$A$12:$O$95,14,FALSE),0)</f>
        <v>0</v>
      </c>
      <c r="V121" s="1144">
        <f>IFERROR(VLOOKUP(CONCATENATE($E121,$G121),'LAC 103'!$A$12:$O$95,15,FALSE),0)</f>
        <v>0</v>
      </c>
      <c r="W121" s="1145" t="str">
        <f>IFERROR(VLOOKUP(CONCATENATE($B121,$N121),'LAC 103'!$AI:$AQ,9,FALSE),"")</f>
        <v>Costs</v>
      </c>
      <c r="X121" s="1146">
        <f t="shared" si="24"/>
        <v>3.207410103388435</v>
      </c>
      <c r="Y121" s="1143">
        <f t="shared" si="25"/>
        <v>210281.0137882492</v>
      </c>
      <c r="Z121" s="1147">
        <f t="shared" si="26"/>
        <v>261588.39</v>
      </c>
      <c r="AA121" s="1144">
        <f t="shared" si="27"/>
        <v>162591.28</v>
      </c>
      <c r="AB121" s="1144">
        <f t="shared" si="28"/>
        <v>0</v>
      </c>
      <c r="AC121" s="1144">
        <f t="shared" si="29"/>
        <v>0</v>
      </c>
      <c r="AD121" s="1148">
        <f t="shared" si="20"/>
        <v>210281.0137882492</v>
      </c>
      <c r="AE121" s="1487">
        <v>0</v>
      </c>
      <c r="AF121" s="1145">
        <f t="shared" si="30"/>
        <v>210281.0137882492</v>
      </c>
      <c r="AG121" s="1149">
        <f>IFERROR(VLOOKUP(CONCATENATE($L121,$N121),'Drop List'!$G$23:$K$87,2,FALSE),0)</f>
        <v>0.9</v>
      </c>
      <c r="AH121" s="1150">
        <f>IFERROR(VLOOKUP(CONCATENATE($L121,$N121),'Drop List'!$G$23:$K$87,3,FALSE),0)</f>
        <v>0</v>
      </c>
      <c r="AI121" s="1150">
        <f>IFERROR(VLOOKUP(CONCATENATE($L121,$N121),'Drop List'!$G$23:$K$87,4,FALSE),0)</f>
        <v>0.1</v>
      </c>
      <c r="AJ121" s="1151">
        <f>IFERROR(VLOOKUP(CONCATENATE($L121,$N121),'Drop List'!$G$23:$K$87,5,FALSE),0)</f>
        <v>0</v>
      </c>
      <c r="AK121" s="1152">
        <f t="shared" si="31"/>
        <v>189252.91240942429</v>
      </c>
      <c r="AL121" s="1153">
        <f t="shared" si="32"/>
        <v>0</v>
      </c>
      <c r="AM121" s="1153">
        <f t="shared" si="33"/>
        <v>21028.101378824922</v>
      </c>
      <c r="AN121" s="1145">
        <f t="shared" si="34"/>
        <v>0</v>
      </c>
      <c r="AO121" s="1154">
        <f t="shared" si="35"/>
        <v>210281.0137882492</v>
      </c>
      <c r="AP121" s="1147">
        <f t="shared" si="21"/>
        <v>0</v>
      </c>
      <c r="AQ121" s="1144">
        <f t="shared" si="22"/>
        <v>0</v>
      </c>
      <c r="AR121" s="1146">
        <f t="shared" si="23"/>
        <v>210281.0137882492</v>
      </c>
    </row>
    <row r="122" spans="1:44" x14ac:dyDescent="0.2">
      <c r="A122" s="1141" t="str">
        <f t="shared" si="18"/>
        <v>1552</v>
      </c>
      <c r="B122" s="1141" t="str">
        <f>IFERROR(VLOOKUP(A122,'LAC 103'!A:C,3,FALSE),"")</f>
        <v>OP</v>
      </c>
      <c r="C122" s="1478" t="str">
        <f>Info!$B$8</f>
        <v>00100</v>
      </c>
      <c r="D122" s="1474" t="s">
        <v>1100</v>
      </c>
      <c r="E122" s="1474" t="s">
        <v>95</v>
      </c>
      <c r="F122" s="1478" t="s">
        <v>412</v>
      </c>
      <c r="G122" s="1478" t="s">
        <v>412</v>
      </c>
      <c r="H122" s="1474" t="s">
        <v>970</v>
      </c>
      <c r="I122" s="1478" t="s">
        <v>817</v>
      </c>
      <c r="J122" s="1478"/>
      <c r="K122" s="1475" t="s">
        <v>849</v>
      </c>
      <c r="L122" s="1474" t="s">
        <v>77</v>
      </c>
      <c r="M122" s="1476" t="s">
        <v>841</v>
      </c>
      <c r="N122" s="1477" t="s">
        <v>1695</v>
      </c>
      <c r="O122" s="1479">
        <v>28380</v>
      </c>
      <c r="P122" s="1479"/>
      <c r="Q122" s="1142">
        <f t="shared" si="19"/>
        <v>28380</v>
      </c>
      <c r="R122" s="1143">
        <f>IFERROR(VLOOKUP(CONCATENATE(E122,G122),'LAC 103'!$A$12:$O$95,11,FALSE),0)</f>
        <v>3.207410103388435</v>
      </c>
      <c r="S122" s="1144">
        <f>IFERROR(VLOOKUP(CONCATENATE($E122,$G122),'LAC 103'!$A$12:$O$95,12,FALSE),0)</f>
        <v>3.99</v>
      </c>
      <c r="T122" s="1144">
        <f>IFERROR(VLOOKUP(CONCATENATE($E122,$G122),'LAC 103'!$A$12:$O$95,13,FALSE),0)</f>
        <v>2.48</v>
      </c>
      <c r="U122" s="1144">
        <f>IFERROR(VLOOKUP(CONCATENATE($E122,$G122),'LAC 103'!$A$12:$O$95,14,FALSE),0)</f>
        <v>0</v>
      </c>
      <c r="V122" s="1144">
        <f>IFERROR(VLOOKUP(CONCATENATE($E122,$G122),'LAC 103'!$A$12:$O$95,15,FALSE),0)</f>
        <v>0</v>
      </c>
      <c r="W122" s="1145" t="str">
        <f>IFERROR(VLOOKUP(CONCATENATE($B122,$N122),'LAC 103'!$AI:$AQ,9,FALSE),"")</f>
        <v>Costs</v>
      </c>
      <c r="X122" s="1146">
        <f t="shared" si="24"/>
        <v>3.207410103388435</v>
      </c>
      <c r="Y122" s="1143">
        <f t="shared" si="25"/>
        <v>91026.298734163793</v>
      </c>
      <c r="Z122" s="1147">
        <f t="shared" si="26"/>
        <v>113236.20000000001</v>
      </c>
      <c r="AA122" s="1144">
        <f t="shared" si="27"/>
        <v>70382.399999999994</v>
      </c>
      <c r="AB122" s="1144">
        <f t="shared" si="28"/>
        <v>0</v>
      </c>
      <c r="AC122" s="1144">
        <f t="shared" si="29"/>
        <v>0</v>
      </c>
      <c r="AD122" s="1148">
        <f t="shared" si="20"/>
        <v>91026.298734163793</v>
      </c>
      <c r="AE122" s="1487">
        <v>0</v>
      </c>
      <c r="AF122" s="1145">
        <f t="shared" si="30"/>
        <v>91026.298734163793</v>
      </c>
      <c r="AG122" s="1149">
        <f>IFERROR(VLOOKUP(CONCATENATE($L122,$N122),'Drop List'!$G$23:$K$87,2,FALSE),0)</f>
        <v>0.9</v>
      </c>
      <c r="AH122" s="1150">
        <f>IFERROR(VLOOKUP(CONCATENATE($L122,$N122),'Drop List'!$G$23:$K$87,3,FALSE),0)</f>
        <v>0</v>
      </c>
      <c r="AI122" s="1150">
        <f>IFERROR(VLOOKUP(CONCATENATE($L122,$N122),'Drop List'!$G$23:$K$87,4,FALSE),0)</f>
        <v>0.1</v>
      </c>
      <c r="AJ122" s="1151">
        <f>IFERROR(VLOOKUP(CONCATENATE($L122,$N122),'Drop List'!$G$23:$K$87,5,FALSE),0)</f>
        <v>0</v>
      </c>
      <c r="AK122" s="1152">
        <f t="shared" si="31"/>
        <v>81923.668860747421</v>
      </c>
      <c r="AL122" s="1153">
        <f t="shared" si="32"/>
        <v>0</v>
      </c>
      <c r="AM122" s="1153">
        <f t="shared" si="33"/>
        <v>9102.6298734163793</v>
      </c>
      <c r="AN122" s="1145">
        <f t="shared" si="34"/>
        <v>0</v>
      </c>
      <c r="AO122" s="1154">
        <f t="shared" si="35"/>
        <v>91026.298734163807</v>
      </c>
      <c r="AP122" s="1147">
        <f t="shared" si="21"/>
        <v>0</v>
      </c>
      <c r="AQ122" s="1144">
        <f t="shared" si="22"/>
        <v>0</v>
      </c>
      <c r="AR122" s="1146">
        <f t="shared" si="23"/>
        <v>91026.298734163807</v>
      </c>
    </row>
    <row r="123" spans="1:44" x14ac:dyDescent="0.2">
      <c r="A123" s="1141" t="str">
        <f t="shared" si="18"/>
        <v>1552</v>
      </c>
      <c r="B123" s="1141" t="str">
        <f>IFERROR(VLOOKUP(A123,'LAC 103'!A:C,3,FALSE),"")</f>
        <v>OP</v>
      </c>
      <c r="C123" s="1478" t="str">
        <f>Info!$B$8</f>
        <v>00100</v>
      </c>
      <c r="D123" s="1474" t="s">
        <v>1100</v>
      </c>
      <c r="E123" s="1474" t="s">
        <v>95</v>
      </c>
      <c r="F123" s="1478" t="s">
        <v>412</v>
      </c>
      <c r="G123" s="1478" t="s">
        <v>412</v>
      </c>
      <c r="H123" s="1474" t="s">
        <v>970</v>
      </c>
      <c r="I123" s="1478" t="s">
        <v>817</v>
      </c>
      <c r="J123" s="1478"/>
      <c r="K123" s="1475" t="s">
        <v>849</v>
      </c>
      <c r="L123" s="1474" t="s">
        <v>77</v>
      </c>
      <c r="M123" s="1476" t="s">
        <v>840</v>
      </c>
      <c r="N123" s="1477" t="s">
        <v>1700</v>
      </c>
      <c r="O123" s="1479">
        <v>33459</v>
      </c>
      <c r="P123" s="1479"/>
      <c r="Q123" s="1142">
        <f t="shared" si="19"/>
        <v>33459</v>
      </c>
      <c r="R123" s="1143">
        <f>IFERROR(VLOOKUP(CONCATENATE(E123,G123),'LAC 103'!$A$12:$O$95,11,FALSE),0)</f>
        <v>3.207410103388435</v>
      </c>
      <c r="S123" s="1144">
        <f>IFERROR(VLOOKUP(CONCATENATE($E123,$G123),'LAC 103'!$A$12:$O$95,12,FALSE),0)</f>
        <v>3.99</v>
      </c>
      <c r="T123" s="1144">
        <f>IFERROR(VLOOKUP(CONCATENATE($E123,$G123),'LAC 103'!$A$12:$O$95,13,FALSE),0)</f>
        <v>2.48</v>
      </c>
      <c r="U123" s="1144">
        <f>IFERROR(VLOOKUP(CONCATENATE($E123,$G123),'LAC 103'!$A$12:$O$95,14,FALSE),0)</f>
        <v>0</v>
      </c>
      <c r="V123" s="1144">
        <f>IFERROR(VLOOKUP(CONCATENATE($E123,$G123),'LAC 103'!$A$12:$O$95,15,FALSE),0)</f>
        <v>0</v>
      </c>
      <c r="W123" s="1145" t="str">
        <f>IFERROR(VLOOKUP(CONCATENATE($B123,$N123),'LAC 103'!$AI:$AQ,9,FALSE),"")</f>
        <v>P.C.</v>
      </c>
      <c r="X123" s="1146">
        <f t="shared" si="24"/>
        <v>2.48</v>
      </c>
      <c r="Y123" s="1143">
        <f t="shared" si="25"/>
        <v>107316.73464927365</v>
      </c>
      <c r="Z123" s="1147">
        <f t="shared" si="26"/>
        <v>133501.41</v>
      </c>
      <c r="AA123" s="1144">
        <f t="shared" si="27"/>
        <v>82978.319999999992</v>
      </c>
      <c r="AB123" s="1144">
        <f t="shared" si="28"/>
        <v>0</v>
      </c>
      <c r="AC123" s="1144">
        <f t="shared" si="29"/>
        <v>0</v>
      </c>
      <c r="AD123" s="1148">
        <f t="shared" si="20"/>
        <v>82978.319999999992</v>
      </c>
      <c r="AE123" s="1487">
        <v>0</v>
      </c>
      <c r="AF123" s="1145">
        <f t="shared" si="30"/>
        <v>82978.319999999992</v>
      </c>
      <c r="AG123" s="1149">
        <f>IFERROR(VLOOKUP(CONCATENATE($L123,$N123),'Drop List'!$G$23:$K$87,2,FALSE),0)</f>
        <v>0.9</v>
      </c>
      <c r="AH123" s="1150">
        <f>IFERROR(VLOOKUP(CONCATENATE($L123,$N123),'Drop List'!$G$23:$K$87,3,FALSE),0)</f>
        <v>0</v>
      </c>
      <c r="AI123" s="1150">
        <f>IFERROR(VLOOKUP(CONCATENATE($L123,$N123),'Drop List'!$G$23:$K$87,4,FALSE),0)</f>
        <v>0.1</v>
      </c>
      <c r="AJ123" s="1151">
        <f>IFERROR(VLOOKUP(CONCATENATE($L123,$N123),'Drop List'!$G$23:$K$87,5,FALSE),0)</f>
        <v>0</v>
      </c>
      <c r="AK123" s="1152">
        <f t="shared" si="31"/>
        <v>74680.487999999998</v>
      </c>
      <c r="AL123" s="1153">
        <f t="shared" si="32"/>
        <v>0</v>
      </c>
      <c r="AM123" s="1153">
        <f t="shared" si="33"/>
        <v>8297.8320000000003</v>
      </c>
      <c r="AN123" s="1145">
        <f t="shared" si="34"/>
        <v>0</v>
      </c>
      <c r="AO123" s="1154">
        <f t="shared" si="35"/>
        <v>82978.319999999992</v>
      </c>
      <c r="AP123" s="1147">
        <f t="shared" si="21"/>
        <v>0</v>
      </c>
      <c r="AQ123" s="1144">
        <f t="shared" si="22"/>
        <v>0</v>
      </c>
      <c r="AR123" s="1146">
        <f t="shared" si="23"/>
        <v>82978.319999999992</v>
      </c>
    </row>
    <row r="124" spans="1:44" x14ac:dyDescent="0.2">
      <c r="A124" s="1141" t="str">
        <f t="shared" si="18"/>
        <v>1552</v>
      </c>
      <c r="B124" s="1141" t="str">
        <f>IFERROR(VLOOKUP(A124,'LAC 103'!A:C,3,FALSE),"")</f>
        <v>OP</v>
      </c>
      <c r="C124" s="1478" t="str">
        <f>Info!$B$8</f>
        <v>00100</v>
      </c>
      <c r="D124" s="1474" t="s">
        <v>1100</v>
      </c>
      <c r="E124" s="1474" t="s">
        <v>95</v>
      </c>
      <c r="F124" s="1478" t="s">
        <v>412</v>
      </c>
      <c r="G124" s="1478" t="s">
        <v>412</v>
      </c>
      <c r="H124" s="1474" t="s">
        <v>970</v>
      </c>
      <c r="I124" s="1478" t="s">
        <v>817</v>
      </c>
      <c r="J124" s="1478"/>
      <c r="K124" s="1475" t="s">
        <v>849</v>
      </c>
      <c r="L124" s="1474" t="s">
        <v>77</v>
      </c>
      <c r="M124" s="1476" t="s">
        <v>842</v>
      </c>
      <c r="N124" s="1477" t="s">
        <v>1692</v>
      </c>
      <c r="O124" s="1479">
        <v>43576</v>
      </c>
      <c r="P124" s="1479"/>
      <c r="Q124" s="1142">
        <f t="shared" si="19"/>
        <v>43576</v>
      </c>
      <c r="R124" s="1143">
        <f>IFERROR(VLOOKUP(CONCATENATE(E124,G124),'LAC 103'!$A$12:$O$95,11,FALSE),0)</f>
        <v>3.207410103388435</v>
      </c>
      <c r="S124" s="1144">
        <f>IFERROR(VLOOKUP(CONCATENATE($E124,$G124),'LAC 103'!$A$12:$O$95,12,FALSE),0)</f>
        <v>3.99</v>
      </c>
      <c r="T124" s="1144">
        <f>IFERROR(VLOOKUP(CONCATENATE($E124,$G124),'LAC 103'!$A$12:$O$95,13,FALSE),0)</f>
        <v>2.48</v>
      </c>
      <c r="U124" s="1144">
        <f>IFERROR(VLOOKUP(CONCATENATE($E124,$G124),'LAC 103'!$A$12:$O$95,14,FALSE),0)</f>
        <v>0</v>
      </c>
      <c r="V124" s="1144">
        <f>IFERROR(VLOOKUP(CONCATENATE($E124,$G124),'LAC 103'!$A$12:$O$95,15,FALSE),0)</f>
        <v>0</v>
      </c>
      <c r="W124" s="1145" t="str">
        <f>IFERROR(VLOOKUP(CONCATENATE($B124,$N124),'LAC 103'!$AI:$AQ,9,FALSE),"")</f>
        <v>Costs</v>
      </c>
      <c r="X124" s="1146">
        <f t="shared" si="24"/>
        <v>3.207410103388435</v>
      </c>
      <c r="Y124" s="1143">
        <f t="shared" si="25"/>
        <v>139766.10266525444</v>
      </c>
      <c r="Z124" s="1147">
        <f t="shared" si="26"/>
        <v>173868.24000000002</v>
      </c>
      <c r="AA124" s="1144">
        <f t="shared" si="27"/>
        <v>108068.48</v>
      </c>
      <c r="AB124" s="1144">
        <f t="shared" si="28"/>
        <v>0</v>
      </c>
      <c r="AC124" s="1144">
        <f t="shared" si="29"/>
        <v>0</v>
      </c>
      <c r="AD124" s="1148">
        <f t="shared" si="20"/>
        <v>139766.10266525444</v>
      </c>
      <c r="AE124" s="1487">
        <v>0</v>
      </c>
      <c r="AF124" s="1145">
        <f t="shared" si="30"/>
        <v>139766.10266525444</v>
      </c>
      <c r="AG124" s="1149">
        <f>IFERROR(VLOOKUP(CONCATENATE($L124,$N124),'Drop List'!$G$23:$K$87,2,FALSE),0)</f>
        <v>0.9</v>
      </c>
      <c r="AH124" s="1150">
        <f>IFERROR(VLOOKUP(CONCATENATE($L124,$N124),'Drop List'!$G$23:$K$87,3,FALSE),0)</f>
        <v>0</v>
      </c>
      <c r="AI124" s="1150">
        <f>IFERROR(VLOOKUP(CONCATENATE($L124,$N124),'Drop List'!$G$23:$K$87,4,FALSE),0)</f>
        <v>0.1</v>
      </c>
      <c r="AJ124" s="1151">
        <f>IFERROR(VLOOKUP(CONCATENATE($L124,$N124),'Drop List'!$G$23:$K$87,5,FALSE),0)</f>
        <v>0</v>
      </c>
      <c r="AK124" s="1152">
        <f t="shared" si="31"/>
        <v>125789.49239872899</v>
      </c>
      <c r="AL124" s="1153">
        <f t="shared" si="32"/>
        <v>0</v>
      </c>
      <c r="AM124" s="1153">
        <f t="shared" si="33"/>
        <v>13976.610266525444</v>
      </c>
      <c r="AN124" s="1145">
        <f t="shared" si="34"/>
        <v>0</v>
      </c>
      <c r="AO124" s="1154">
        <f t="shared" si="35"/>
        <v>139766.10266525444</v>
      </c>
      <c r="AP124" s="1147">
        <f t="shared" si="21"/>
        <v>0</v>
      </c>
      <c r="AQ124" s="1144">
        <f t="shared" si="22"/>
        <v>0</v>
      </c>
      <c r="AR124" s="1146">
        <f t="shared" si="23"/>
        <v>139766.10266525444</v>
      </c>
    </row>
    <row r="125" spans="1:44" x14ac:dyDescent="0.2">
      <c r="A125" s="1141" t="str">
        <f t="shared" si="18"/>
        <v>1552</v>
      </c>
      <c r="B125" s="1141" t="str">
        <f>IFERROR(VLOOKUP(A125,'LAC 103'!A:C,3,FALSE),"")</f>
        <v>OP</v>
      </c>
      <c r="C125" s="1478" t="str">
        <f>Info!$B$8</f>
        <v>00100</v>
      </c>
      <c r="D125" s="1474" t="s">
        <v>1100</v>
      </c>
      <c r="E125" s="1474" t="s">
        <v>95</v>
      </c>
      <c r="F125" s="1478" t="s">
        <v>412</v>
      </c>
      <c r="G125" s="1478" t="s">
        <v>412</v>
      </c>
      <c r="H125" s="1474" t="s">
        <v>970</v>
      </c>
      <c r="I125" s="1478" t="s">
        <v>817</v>
      </c>
      <c r="J125" s="1478"/>
      <c r="K125" s="1475" t="s">
        <v>849</v>
      </c>
      <c r="L125" s="1474" t="s">
        <v>77</v>
      </c>
      <c r="M125" s="1476" t="s">
        <v>1698</v>
      </c>
      <c r="N125" s="1477" t="s">
        <v>1693</v>
      </c>
      <c r="O125" s="1479">
        <v>61839</v>
      </c>
      <c r="P125" s="1479"/>
      <c r="Q125" s="1142">
        <f t="shared" si="19"/>
        <v>61839</v>
      </c>
      <c r="R125" s="1143">
        <f>IFERROR(VLOOKUP(CONCATENATE(E125,G125),'LAC 103'!$A$12:$O$95,11,FALSE),0)</f>
        <v>3.207410103388435</v>
      </c>
      <c r="S125" s="1144">
        <f>IFERROR(VLOOKUP(CONCATENATE($E125,$G125),'LAC 103'!$A$12:$O$95,12,FALSE),0)</f>
        <v>3.99</v>
      </c>
      <c r="T125" s="1144">
        <f>IFERROR(VLOOKUP(CONCATENATE($E125,$G125),'LAC 103'!$A$12:$O$95,13,FALSE),0)</f>
        <v>2.48</v>
      </c>
      <c r="U125" s="1144">
        <f>IFERROR(VLOOKUP(CONCATENATE($E125,$G125),'LAC 103'!$A$12:$O$95,14,FALSE),0)</f>
        <v>0</v>
      </c>
      <c r="V125" s="1144">
        <f>IFERROR(VLOOKUP(CONCATENATE($E125,$G125),'LAC 103'!$A$12:$O$95,15,FALSE),0)</f>
        <v>0</v>
      </c>
      <c r="W125" s="1145" t="str">
        <f>IFERROR(VLOOKUP(CONCATENATE($B125,$N125),'LAC 103'!$AI:$AQ,9,FALSE),"")</f>
        <v>Costs</v>
      </c>
      <c r="X125" s="1146">
        <f t="shared" si="24"/>
        <v>3.207410103388435</v>
      </c>
      <c r="Y125" s="1143">
        <f t="shared" si="25"/>
        <v>198343.03338343743</v>
      </c>
      <c r="Z125" s="1147">
        <f t="shared" si="26"/>
        <v>246737.61000000002</v>
      </c>
      <c r="AA125" s="1144">
        <f t="shared" si="27"/>
        <v>153360.72</v>
      </c>
      <c r="AB125" s="1144">
        <f t="shared" si="28"/>
        <v>0</v>
      </c>
      <c r="AC125" s="1144">
        <f t="shared" si="29"/>
        <v>0</v>
      </c>
      <c r="AD125" s="1148">
        <f t="shared" si="20"/>
        <v>198343.03338343743</v>
      </c>
      <c r="AE125" s="1487">
        <v>0</v>
      </c>
      <c r="AF125" s="1145">
        <f t="shared" si="30"/>
        <v>198343.03338343743</v>
      </c>
      <c r="AG125" s="1149">
        <f>IFERROR(VLOOKUP(CONCATENATE($L125,$N125),'Drop List'!$G$23:$K$87,2,FALSE),0)</f>
        <v>0.9</v>
      </c>
      <c r="AH125" s="1150">
        <f>IFERROR(VLOOKUP(CONCATENATE($L125,$N125),'Drop List'!$G$23:$K$87,3,FALSE),0)</f>
        <v>0</v>
      </c>
      <c r="AI125" s="1150">
        <f>IFERROR(VLOOKUP(CONCATENATE($L125,$N125),'Drop List'!$G$23:$K$87,4,FALSE),0)</f>
        <v>0.1</v>
      </c>
      <c r="AJ125" s="1151">
        <f>IFERROR(VLOOKUP(CONCATENATE($L125,$N125),'Drop List'!$G$23:$K$87,5,FALSE),0)</f>
        <v>0</v>
      </c>
      <c r="AK125" s="1152">
        <f t="shared" si="31"/>
        <v>178508.73004509369</v>
      </c>
      <c r="AL125" s="1153">
        <f t="shared" si="32"/>
        <v>0</v>
      </c>
      <c r="AM125" s="1153">
        <f t="shared" si="33"/>
        <v>19834.303338343743</v>
      </c>
      <c r="AN125" s="1145">
        <f t="shared" si="34"/>
        <v>0</v>
      </c>
      <c r="AO125" s="1154">
        <f t="shared" si="35"/>
        <v>198343.03338343743</v>
      </c>
      <c r="AP125" s="1147">
        <f t="shared" si="21"/>
        <v>0</v>
      </c>
      <c r="AQ125" s="1144">
        <f t="shared" si="22"/>
        <v>0</v>
      </c>
      <c r="AR125" s="1146">
        <f t="shared" si="23"/>
        <v>198343.03338343743</v>
      </c>
    </row>
    <row r="126" spans="1:44" x14ac:dyDescent="0.2">
      <c r="A126" s="1141" t="str">
        <f t="shared" si="18"/>
        <v>1552</v>
      </c>
      <c r="B126" s="1141" t="str">
        <f>IFERROR(VLOOKUP(A126,'LAC 103'!A:C,3,FALSE),"")</f>
        <v>OP</v>
      </c>
      <c r="C126" s="1478" t="str">
        <f>Info!$B$8</f>
        <v>00100</v>
      </c>
      <c r="D126" s="1474" t="s">
        <v>1100</v>
      </c>
      <c r="E126" s="1474" t="s">
        <v>95</v>
      </c>
      <c r="F126" s="1478" t="s">
        <v>412</v>
      </c>
      <c r="G126" s="1478" t="s">
        <v>412</v>
      </c>
      <c r="H126" s="1474" t="s">
        <v>970</v>
      </c>
      <c r="I126" s="1478" t="s">
        <v>817</v>
      </c>
      <c r="J126" s="1478"/>
      <c r="K126" s="1475" t="s">
        <v>850</v>
      </c>
      <c r="L126" s="1474" t="s">
        <v>330</v>
      </c>
      <c r="M126" s="1476" t="s">
        <v>1699</v>
      </c>
      <c r="N126" s="1477" t="s">
        <v>1694</v>
      </c>
      <c r="O126" s="1479">
        <v>494</v>
      </c>
      <c r="P126" s="1479"/>
      <c r="Q126" s="1142">
        <f t="shared" si="19"/>
        <v>494</v>
      </c>
      <c r="R126" s="1143">
        <f>IFERROR(VLOOKUP(CONCATENATE(E126,G126),'LAC 103'!$A$12:$O$95,11,FALSE),0)</f>
        <v>3.207410103388435</v>
      </c>
      <c r="S126" s="1144">
        <f>IFERROR(VLOOKUP(CONCATENATE($E126,$G126),'LAC 103'!$A$12:$O$95,12,FALSE),0)</f>
        <v>3.99</v>
      </c>
      <c r="T126" s="1144">
        <f>IFERROR(VLOOKUP(CONCATENATE($E126,$G126),'LAC 103'!$A$12:$O$95,13,FALSE),0)</f>
        <v>2.48</v>
      </c>
      <c r="U126" s="1144">
        <f>IFERROR(VLOOKUP(CONCATENATE($E126,$G126),'LAC 103'!$A$12:$O$95,14,FALSE),0)</f>
        <v>0</v>
      </c>
      <c r="V126" s="1144">
        <f>IFERROR(VLOOKUP(CONCATENATE($E126,$G126),'LAC 103'!$A$12:$O$95,15,FALSE),0)</f>
        <v>0</v>
      </c>
      <c r="W126" s="1145" t="str">
        <f>IFERROR(VLOOKUP(CONCATENATE($B126,$N126),'LAC 103'!$AI:$AQ,9,FALSE),"")</f>
        <v>Costs</v>
      </c>
      <c r="X126" s="1146">
        <f t="shared" si="24"/>
        <v>3.207410103388435</v>
      </c>
      <c r="Y126" s="1143">
        <f t="shared" si="25"/>
        <v>1584.4605910738869</v>
      </c>
      <c r="Z126" s="1147">
        <f t="shared" si="26"/>
        <v>1971.0600000000002</v>
      </c>
      <c r="AA126" s="1144">
        <f t="shared" si="27"/>
        <v>1225.1199999999999</v>
      </c>
      <c r="AB126" s="1144">
        <f t="shared" si="28"/>
        <v>0</v>
      </c>
      <c r="AC126" s="1144">
        <f t="shared" si="29"/>
        <v>0</v>
      </c>
      <c r="AD126" s="1148">
        <f t="shared" si="20"/>
        <v>1584.4605910738869</v>
      </c>
      <c r="AE126" s="1487">
        <v>0</v>
      </c>
      <c r="AF126" s="1145">
        <f t="shared" si="30"/>
        <v>1584.4605910738869</v>
      </c>
      <c r="AG126" s="1149">
        <f>IFERROR(VLOOKUP(CONCATENATE($L126,$N126),'Drop List'!$G$23:$K$87,2,FALSE),0)</f>
        <v>0</v>
      </c>
      <c r="AH126" s="1150">
        <f>IFERROR(VLOOKUP(CONCATENATE($L126,$N126),'Drop List'!$G$23:$K$87,3,FALSE),0)</f>
        <v>0</v>
      </c>
      <c r="AI126" s="1150">
        <f>IFERROR(VLOOKUP(CONCATENATE($L126,$N126),'Drop List'!$G$23:$K$87,4,FALSE),0)</f>
        <v>1</v>
      </c>
      <c r="AJ126" s="1151">
        <f>IFERROR(VLOOKUP(CONCATENATE($L126,$N126),'Drop List'!$G$23:$K$87,5,FALSE),0)</f>
        <v>0</v>
      </c>
      <c r="AK126" s="1152">
        <f t="shared" si="31"/>
        <v>0</v>
      </c>
      <c r="AL126" s="1153">
        <f t="shared" si="32"/>
        <v>0</v>
      </c>
      <c r="AM126" s="1153">
        <f t="shared" si="33"/>
        <v>1584.4605910738869</v>
      </c>
      <c r="AN126" s="1145">
        <f t="shared" si="34"/>
        <v>0</v>
      </c>
      <c r="AO126" s="1154">
        <f t="shared" si="35"/>
        <v>1584.4605910738869</v>
      </c>
      <c r="AP126" s="1147">
        <f t="shared" si="21"/>
        <v>0</v>
      </c>
      <c r="AQ126" s="1144">
        <f t="shared" si="22"/>
        <v>0</v>
      </c>
      <c r="AR126" s="1146">
        <f t="shared" si="23"/>
        <v>1584.4605910738869</v>
      </c>
    </row>
    <row r="127" spans="1:44" x14ac:dyDescent="0.2">
      <c r="A127" s="1141" t="str">
        <f t="shared" si="18"/>
        <v>1552</v>
      </c>
      <c r="B127" s="1141" t="str">
        <f>IFERROR(VLOOKUP(A127,'LAC 103'!A:C,3,FALSE),"")</f>
        <v>OP</v>
      </c>
      <c r="C127" s="1478" t="str">
        <f>Info!$B$8</f>
        <v>00100</v>
      </c>
      <c r="D127" s="1474" t="s">
        <v>1100</v>
      </c>
      <c r="E127" s="1474" t="s">
        <v>95</v>
      </c>
      <c r="F127" s="1478" t="s">
        <v>412</v>
      </c>
      <c r="G127" s="1478" t="s">
        <v>412</v>
      </c>
      <c r="H127" s="1474" t="s">
        <v>970</v>
      </c>
      <c r="I127" s="1478" t="s">
        <v>817</v>
      </c>
      <c r="J127" s="1478"/>
      <c r="K127" s="1475" t="s">
        <v>850</v>
      </c>
      <c r="L127" s="1474" t="s">
        <v>330</v>
      </c>
      <c r="M127" s="1476" t="s">
        <v>842</v>
      </c>
      <c r="N127" s="1477" t="s">
        <v>1692</v>
      </c>
      <c r="O127" s="1479">
        <v>1699</v>
      </c>
      <c r="P127" s="1479"/>
      <c r="Q127" s="1142">
        <f t="shared" si="19"/>
        <v>1699</v>
      </c>
      <c r="R127" s="1143">
        <f>IFERROR(VLOOKUP(CONCATENATE(E127,G127),'LAC 103'!$A$12:$O$95,11,FALSE),0)</f>
        <v>3.207410103388435</v>
      </c>
      <c r="S127" s="1144">
        <f>IFERROR(VLOOKUP(CONCATENATE($E127,$G127),'LAC 103'!$A$12:$O$95,12,FALSE),0)</f>
        <v>3.99</v>
      </c>
      <c r="T127" s="1144">
        <f>IFERROR(VLOOKUP(CONCATENATE($E127,$G127),'LAC 103'!$A$12:$O$95,13,FALSE),0)</f>
        <v>2.48</v>
      </c>
      <c r="U127" s="1144">
        <f>IFERROR(VLOOKUP(CONCATENATE($E127,$G127),'LAC 103'!$A$12:$O$95,14,FALSE),0)</f>
        <v>0</v>
      </c>
      <c r="V127" s="1144">
        <f>IFERROR(VLOOKUP(CONCATENATE($E127,$G127),'LAC 103'!$A$12:$O$95,15,FALSE),0)</f>
        <v>0</v>
      </c>
      <c r="W127" s="1145" t="str">
        <f>IFERROR(VLOOKUP(CONCATENATE($B127,$N127),'LAC 103'!$AI:$AQ,9,FALSE),"")</f>
        <v>Costs</v>
      </c>
      <c r="X127" s="1146">
        <f t="shared" si="24"/>
        <v>3.207410103388435</v>
      </c>
      <c r="Y127" s="1143">
        <f t="shared" si="25"/>
        <v>5449.3897656569507</v>
      </c>
      <c r="Z127" s="1147">
        <f t="shared" si="26"/>
        <v>6779.01</v>
      </c>
      <c r="AA127" s="1144">
        <f t="shared" si="27"/>
        <v>4213.5199999999995</v>
      </c>
      <c r="AB127" s="1144">
        <f t="shared" si="28"/>
        <v>0</v>
      </c>
      <c r="AC127" s="1144">
        <f t="shared" si="29"/>
        <v>0</v>
      </c>
      <c r="AD127" s="1148">
        <f t="shared" si="20"/>
        <v>5449.3897656569507</v>
      </c>
      <c r="AE127" s="1487">
        <v>0</v>
      </c>
      <c r="AF127" s="1145">
        <f t="shared" si="30"/>
        <v>5449.3897656569507</v>
      </c>
      <c r="AG127" s="1149">
        <f>IFERROR(VLOOKUP(CONCATENATE($L127,$N127),'Drop List'!$G$23:$K$87,2,FALSE),0)</f>
        <v>0</v>
      </c>
      <c r="AH127" s="1150">
        <f>IFERROR(VLOOKUP(CONCATENATE($L127,$N127),'Drop List'!$G$23:$K$87,3,FALSE),0)</f>
        <v>0</v>
      </c>
      <c r="AI127" s="1150">
        <f>IFERROR(VLOOKUP(CONCATENATE($L127,$N127),'Drop List'!$G$23:$K$87,4,FALSE),0)</f>
        <v>1</v>
      </c>
      <c r="AJ127" s="1151">
        <f>IFERROR(VLOOKUP(CONCATENATE($L127,$N127),'Drop List'!$G$23:$K$87,5,FALSE),0)</f>
        <v>0</v>
      </c>
      <c r="AK127" s="1152">
        <f t="shared" si="31"/>
        <v>0</v>
      </c>
      <c r="AL127" s="1153">
        <f t="shared" si="32"/>
        <v>0</v>
      </c>
      <c r="AM127" s="1153">
        <f t="shared" si="33"/>
        <v>5449.3897656569507</v>
      </c>
      <c r="AN127" s="1145">
        <f t="shared" si="34"/>
        <v>0</v>
      </c>
      <c r="AO127" s="1154">
        <f t="shared" si="35"/>
        <v>5449.3897656569507</v>
      </c>
      <c r="AP127" s="1147">
        <f t="shared" si="21"/>
        <v>0</v>
      </c>
      <c r="AQ127" s="1144">
        <f t="shared" si="22"/>
        <v>0</v>
      </c>
      <c r="AR127" s="1146">
        <f t="shared" si="23"/>
        <v>5449.3897656569507</v>
      </c>
    </row>
    <row r="128" spans="1:44" x14ac:dyDescent="0.2">
      <c r="A128" s="1141" t="str">
        <f t="shared" si="18"/>
        <v>1552</v>
      </c>
      <c r="B128" s="1141" t="str">
        <f>IFERROR(VLOOKUP(A128,'LAC 103'!A:C,3,FALSE),"")</f>
        <v>OP</v>
      </c>
      <c r="C128" s="1478" t="str">
        <f>Info!$B$8</f>
        <v>00100</v>
      </c>
      <c r="D128" s="1474" t="s">
        <v>1100</v>
      </c>
      <c r="E128" s="1474" t="s">
        <v>95</v>
      </c>
      <c r="F128" s="1478" t="s">
        <v>412</v>
      </c>
      <c r="G128" s="1478" t="s">
        <v>412</v>
      </c>
      <c r="H128" s="1474" t="s">
        <v>970</v>
      </c>
      <c r="I128" s="1478" t="s">
        <v>817</v>
      </c>
      <c r="J128" s="1478"/>
      <c r="K128" s="1475" t="s">
        <v>850</v>
      </c>
      <c r="L128" s="1474" t="s">
        <v>330</v>
      </c>
      <c r="M128" s="1476" t="s">
        <v>1698</v>
      </c>
      <c r="N128" s="1477" t="s">
        <v>1693</v>
      </c>
      <c r="O128" s="1479">
        <v>1553</v>
      </c>
      <c r="P128" s="1479"/>
      <c r="Q128" s="1142">
        <f t="shared" si="19"/>
        <v>1553</v>
      </c>
      <c r="R128" s="1143">
        <f>IFERROR(VLOOKUP(CONCATENATE(E128,G128),'LAC 103'!$A$12:$O$95,11,FALSE),0)</f>
        <v>3.207410103388435</v>
      </c>
      <c r="S128" s="1144">
        <f>IFERROR(VLOOKUP(CONCATENATE($E128,$G128),'LAC 103'!$A$12:$O$95,12,FALSE),0)</f>
        <v>3.99</v>
      </c>
      <c r="T128" s="1144">
        <f>IFERROR(VLOOKUP(CONCATENATE($E128,$G128),'LAC 103'!$A$12:$O$95,13,FALSE),0)</f>
        <v>2.48</v>
      </c>
      <c r="U128" s="1144">
        <f>IFERROR(VLOOKUP(CONCATENATE($E128,$G128),'LAC 103'!$A$12:$O$95,14,FALSE),0)</f>
        <v>0</v>
      </c>
      <c r="V128" s="1144">
        <f>IFERROR(VLOOKUP(CONCATENATE($E128,$G128),'LAC 103'!$A$12:$O$95,15,FALSE),0)</f>
        <v>0</v>
      </c>
      <c r="W128" s="1145" t="str">
        <f>IFERROR(VLOOKUP(CONCATENATE($B128,$N128),'LAC 103'!$AI:$AQ,9,FALSE),"")</f>
        <v>Costs</v>
      </c>
      <c r="X128" s="1146">
        <f t="shared" si="24"/>
        <v>3.207410103388435</v>
      </c>
      <c r="Y128" s="1143">
        <f t="shared" si="25"/>
        <v>4981.1078905622398</v>
      </c>
      <c r="Z128" s="1147">
        <f t="shared" si="26"/>
        <v>6196.47</v>
      </c>
      <c r="AA128" s="1144">
        <f t="shared" si="27"/>
        <v>3851.44</v>
      </c>
      <c r="AB128" s="1144">
        <f t="shared" si="28"/>
        <v>0</v>
      </c>
      <c r="AC128" s="1144">
        <f t="shared" si="29"/>
        <v>0</v>
      </c>
      <c r="AD128" s="1148">
        <f t="shared" si="20"/>
        <v>4981.1078905622398</v>
      </c>
      <c r="AE128" s="1487">
        <v>0</v>
      </c>
      <c r="AF128" s="1145">
        <f t="shared" si="30"/>
        <v>4981.1078905622398</v>
      </c>
      <c r="AG128" s="1149">
        <f>IFERROR(VLOOKUP(CONCATENATE($L128,$N128),'Drop List'!$G$23:$K$87,2,FALSE),0)</f>
        <v>0</v>
      </c>
      <c r="AH128" s="1150">
        <f>IFERROR(VLOOKUP(CONCATENATE($L128,$N128),'Drop List'!$G$23:$K$87,3,FALSE),0)</f>
        <v>0</v>
      </c>
      <c r="AI128" s="1150">
        <f>IFERROR(VLOOKUP(CONCATENATE($L128,$N128),'Drop List'!$G$23:$K$87,4,FALSE),0)</f>
        <v>1</v>
      </c>
      <c r="AJ128" s="1151">
        <f>IFERROR(VLOOKUP(CONCATENATE($L128,$N128),'Drop List'!$G$23:$K$87,5,FALSE),0)</f>
        <v>0</v>
      </c>
      <c r="AK128" s="1152">
        <f t="shared" si="31"/>
        <v>0</v>
      </c>
      <c r="AL128" s="1153">
        <f t="shared" si="32"/>
        <v>0</v>
      </c>
      <c r="AM128" s="1153">
        <f t="shared" si="33"/>
        <v>4981.1078905622398</v>
      </c>
      <c r="AN128" s="1145">
        <f t="shared" si="34"/>
        <v>0</v>
      </c>
      <c r="AO128" s="1154">
        <f t="shared" si="35"/>
        <v>4981.1078905622398</v>
      </c>
      <c r="AP128" s="1147">
        <f t="shared" si="21"/>
        <v>0</v>
      </c>
      <c r="AQ128" s="1144">
        <f t="shared" si="22"/>
        <v>0</v>
      </c>
      <c r="AR128" s="1146">
        <f t="shared" si="23"/>
        <v>4981.1078905622398</v>
      </c>
    </row>
    <row r="129" spans="1:44" x14ac:dyDescent="0.2">
      <c r="A129" s="1141" t="str">
        <f t="shared" si="18"/>
        <v>1552</v>
      </c>
      <c r="B129" s="1141" t="str">
        <f>IFERROR(VLOOKUP(A129,'LAC 103'!A:C,3,FALSE),"")</f>
        <v>OP</v>
      </c>
      <c r="C129" s="1478" t="str">
        <f>Info!$B$8</f>
        <v>00100</v>
      </c>
      <c r="D129" s="1474" t="s">
        <v>1100</v>
      </c>
      <c r="E129" s="1474" t="s">
        <v>95</v>
      </c>
      <c r="F129" s="1478" t="s">
        <v>412</v>
      </c>
      <c r="G129" s="1478" t="s">
        <v>412</v>
      </c>
      <c r="H129" s="1474" t="s">
        <v>970</v>
      </c>
      <c r="I129" s="1478" t="s">
        <v>817</v>
      </c>
      <c r="J129" s="1478"/>
      <c r="K129" s="1475" t="s">
        <v>851</v>
      </c>
      <c r="L129" s="1474" t="s">
        <v>584</v>
      </c>
      <c r="M129" s="1476" t="s">
        <v>1699</v>
      </c>
      <c r="N129" s="1477" t="s">
        <v>1694</v>
      </c>
      <c r="O129" s="1479">
        <v>74875</v>
      </c>
      <c r="P129" s="1479"/>
      <c r="Q129" s="1142">
        <f t="shared" si="19"/>
        <v>74875</v>
      </c>
      <c r="R129" s="1143">
        <f>IFERROR(VLOOKUP(CONCATENATE(E129,G129),'LAC 103'!$A$12:$O$95,11,FALSE),0)</f>
        <v>3.207410103388435</v>
      </c>
      <c r="S129" s="1144">
        <f>IFERROR(VLOOKUP(CONCATENATE($E129,$G129),'LAC 103'!$A$12:$O$95,12,FALSE),0)</f>
        <v>3.99</v>
      </c>
      <c r="T129" s="1144">
        <f>IFERROR(VLOOKUP(CONCATENATE($E129,$G129),'LAC 103'!$A$12:$O$95,13,FALSE),0)</f>
        <v>2.48</v>
      </c>
      <c r="U129" s="1144">
        <f>IFERROR(VLOOKUP(CONCATENATE($E129,$G129),'LAC 103'!$A$12:$O$95,14,FALSE),0)</f>
        <v>0</v>
      </c>
      <c r="V129" s="1144">
        <f>IFERROR(VLOOKUP(CONCATENATE($E129,$G129),'LAC 103'!$A$12:$O$95,15,FALSE),0)</f>
        <v>0</v>
      </c>
      <c r="W129" s="1145" t="str">
        <f>IFERROR(VLOOKUP(CONCATENATE($B129,$N129),'LAC 103'!$AI:$AQ,9,FALSE),"")</f>
        <v>Costs</v>
      </c>
      <c r="X129" s="1146">
        <f t="shared" si="24"/>
        <v>3.207410103388435</v>
      </c>
      <c r="Y129" s="1143">
        <f t="shared" si="25"/>
        <v>240154.83149120907</v>
      </c>
      <c r="Z129" s="1147">
        <f t="shared" si="26"/>
        <v>298751.25</v>
      </c>
      <c r="AA129" s="1144">
        <f t="shared" si="27"/>
        <v>185690</v>
      </c>
      <c r="AB129" s="1144">
        <f t="shared" si="28"/>
        <v>0</v>
      </c>
      <c r="AC129" s="1144">
        <f t="shared" si="29"/>
        <v>0</v>
      </c>
      <c r="AD129" s="1148">
        <f t="shared" si="20"/>
        <v>240154.83149120907</v>
      </c>
      <c r="AE129" s="1487">
        <v>0</v>
      </c>
      <c r="AF129" s="1145">
        <f t="shared" si="30"/>
        <v>240154.83149120907</v>
      </c>
      <c r="AG129" s="1149">
        <f>IFERROR(VLOOKUP(CONCATENATE($L129,$N129),'Drop List'!$G$23:$K$87,2,FALSE),0)</f>
        <v>0.56200000000000006</v>
      </c>
      <c r="AH129" s="1150">
        <f>IFERROR(VLOOKUP(CONCATENATE($L129,$N129),'Drop List'!$G$23:$K$87,3,FALSE),0)</f>
        <v>0</v>
      </c>
      <c r="AI129" s="1150">
        <f>IFERROR(VLOOKUP(CONCATENATE($L129,$N129),'Drop List'!$G$23:$K$87,4,FALSE),0)</f>
        <v>0</v>
      </c>
      <c r="AJ129" s="1151">
        <f>IFERROR(VLOOKUP(CONCATENATE($L129,$N129),'Drop List'!$G$23:$K$87,5,FALSE),0)</f>
        <v>0.43799999999999994</v>
      </c>
      <c r="AK129" s="1152">
        <f t="shared" si="31"/>
        <v>134967.0152980595</v>
      </c>
      <c r="AL129" s="1153">
        <f t="shared" si="32"/>
        <v>0</v>
      </c>
      <c r="AM129" s="1153">
        <f t="shared" si="33"/>
        <v>0</v>
      </c>
      <c r="AN129" s="1145">
        <f t="shared" si="34"/>
        <v>105187.81619314956</v>
      </c>
      <c r="AO129" s="1154">
        <f t="shared" si="35"/>
        <v>240154.83149120904</v>
      </c>
      <c r="AP129" s="1147">
        <f t="shared" si="21"/>
        <v>0</v>
      </c>
      <c r="AQ129" s="1144">
        <f t="shared" si="22"/>
        <v>0</v>
      </c>
      <c r="AR129" s="1146">
        <f t="shared" si="23"/>
        <v>240154.83149120904</v>
      </c>
    </row>
    <row r="130" spans="1:44" x14ac:dyDescent="0.2">
      <c r="A130" s="1141" t="str">
        <f t="shared" si="18"/>
        <v>1552</v>
      </c>
      <c r="B130" s="1141" t="str">
        <f>IFERROR(VLOOKUP(A130,'LAC 103'!A:C,3,FALSE),"")</f>
        <v>OP</v>
      </c>
      <c r="C130" s="1478" t="str">
        <f>Info!$B$8</f>
        <v>00100</v>
      </c>
      <c r="D130" s="1474" t="s">
        <v>1100</v>
      </c>
      <c r="E130" s="1474" t="s">
        <v>95</v>
      </c>
      <c r="F130" s="1478" t="s">
        <v>412</v>
      </c>
      <c r="G130" s="1478" t="s">
        <v>412</v>
      </c>
      <c r="H130" s="1474" t="s">
        <v>970</v>
      </c>
      <c r="I130" s="1478" t="s">
        <v>817</v>
      </c>
      <c r="J130" s="1478"/>
      <c r="K130" s="1475" t="s">
        <v>851</v>
      </c>
      <c r="L130" s="1474" t="s">
        <v>584</v>
      </c>
      <c r="M130" s="1476" t="s">
        <v>841</v>
      </c>
      <c r="N130" s="1477" t="s">
        <v>1695</v>
      </c>
      <c r="O130" s="1479">
        <v>46631</v>
      </c>
      <c r="P130" s="1479"/>
      <c r="Q130" s="1142">
        <f t="shared" si="19"/>
        <v>46631</v>
      </c>
      <c r="R130" s="1143">
        <f>IFERROR(VLOOKUP(CONCATENATE(E130,G130),'LAC 103'!$A$12:$O$95,11,FALSE),0)</f>
        <v>3.207410103388435</v>
      </c>
      <c r="S130" s="1144">
        <f>IFERROR(VLOOKUP(CONCATENATE($E130,$G130),'LAC 103'!$A$12:$O$95,12,FALSE),0)</f>
        <v>3.99</v>
      </c>
      <c r="T130" s="1144">
        <f>IFERROR(VLOOKUP(CONCATENATE($E130,$G130),'LAC 103'!$A$12:$O$95,13,FALSE),0)</f>
        <v>2.48</v>
      </c>
      <c r="U130" s="1144">
        <f>IFERROR(VLOOKUP(CONCATENATE($E130,$G130),'LAC 103'!$A$12:$O$95,14,FALSE),0)</f>
        <v>0</v>
      </c>
      <c r="V130" s="1144">
        <f>IFERROR(VLOOKUP(CONCATENATE($E130,$G130),'LAC 103'!$A$12:$O$95,15,FALSE),0)</f>
        <v>0</v>
      </c>
      <c r="W130" s="1145" t="str">
        <f>IFERROR(VLOOKUP(CONCATENATE($B130,$N130),'LAC 103'!$AI:$AQ,9,FALSE),"")</f>
        <v>Costs</v>
      </c>
      <c r="X130" s="1146">
        <f t="shared" si="24"/>
        <v>3.207410103388435</v>
      </c>
      <c r="Y130" s="1143">
        <f t="shared" si="25"/>
        <v>149564.7405311061</v>
      </c>
      <c r="Z130" s="1147">
        <f t="shared" si="26"/>
        <v>186057.69</v>
      </c>
      <c r="AA130" s="1144">
        <f t="shared" si="27"/>
        <v>115644.88</v>
      </c>
      <c r="AB130" s="1144">
        <f t="shared" si="28"/>
        <v>0</v>
      </c>
      <c r="AC130" s="1144">
        <f t="shared" si="29"/>
        <v>0</v>
      </c>
      <c r="AD130" s="1148">
        <f t="shared" si="20"/>
        <v>149564.7405311061</v>
      </c>
      <c r="AE130" s="1487">
        <v>0</v>
      </c>
      <c r="AF130" s="1145">
        <f t="shared" si="30"/>
        <v>149564.7405311061</v>
      </c>
      <c r="AG130" s="1149">
        <f>IFERROR(VLOOKUP(CONCATENATE($L130,$N130),'Drop List'!$G$23:$K$87,2,FALSE),0)</f>
        <v>0.55000000000000004</v>
      </c>
      <c r="AH130" s="1150">
        <f>IFERROR(VLOOKUP(CONCATENATE($L130,$N130),'Drop List'!$G$23:$K$87,3,FALSE),0)</f>
        <v>0</v>
      </c>
      <c r="AI130" s="1150">
        <f>IFERROR(VLOOKUP(CONCATENATE($L130,$N130),'Drop List'!$G$23:$K$87,4,FALSE),0)</f>
        <v>0</v>
      </c>
      <c r="AJ130" s="1151">
        <f>IFERROR(VLOOKUP(CONCATENATE($L130,$N130),'Drop List'!$G$23:$K$87,5,FALSE),0)</f>
        <v>0.44999999999999996</v>
      </c>
      <c r="AK130" s="1152">
        <f t="shared" si="31"/>
        <v>82260.607292108369</v>
      </c>
      <c r="AL130" s="1153">
        <f t="shared" si="32"/>
        <v>0</v>
      </c>
      <c r="AM130" s="1153">
        <f t="shared" si="33"/>
        <v>0</v>
      </c>
      <c r="AN130" s="1145">
        <f t="shared" si="34"/>
        <v>67304.133238997732</v>
      </c>
      <c r="AO130" s="1154">
        <f t="shared" si="35"/>
        <v>149564.7405311061</v>
      </c>
      <c r="AP130" s="1147">
        <f t="shared" si="21"/>
        <v>0</v>
      </c>
      <c r="AQ130" s="1144">
        <f t="shared" si="22"/>
        <v>0</v>
      </c>
      <c r="AR130" s="1146">
        <f t="shared" si="23"/>
        <v>149564.7405311061</v>
      </c>
    </row>
    <row r="131" spans="1:44" x14ac:dyDescent="0.2">
      <c r="A131" s="1141" t="str">
        <f t="shared" si="18"/>
        <v>1552</v>
      </c>
      <c r="B131" s="1141" t="str">
        <f>IFERROR(VLOOKUP(A131,'LAC 103'!A:C,3,FALSE),"")</f>
        <v>OP</v>
      </c>
      <c r="C131" s="1478" t="str">
        <f>Info!$B$8</f>
        <v>00100</v>
      </c>
      <c r="D131" s="1474" t="s">
        <v>1100</v>
      </c>
      <c r="E131" s="1474" t="s">
        <v>95</v>
      </c>
      <c r="F131" s="1478" t="s">
        <v>412</v>
      </c>
      <c r="G131" s="1478" t="s">
        <v>412</v>
      </c>
      <c r="H131" s="1474" t="s">
        <v>970</v>
      </c>
      <c r="I131" s="1478" t="s">
        <v>817</v>
      </c>
      <c r="J131" s="1478"/>
      <c r="K131" s="1475" t="s">
        <v>851</v>
      </c>
      <c r="L131" s="1474" t="s">
        <v>584</v>
      </c>
      <c r="M131" s="1476" t="s">
        <v>840</v>
      </c>
      <c r="N131" s="1477" t="s">
        <v>1700</v>
      </c>
      <c r="O131" s="1479">
        <v>50392</v>
      </c>
      <c r="P131" s="1479"/>
      <c r="Q131" s="1142">
        <f t="shared" si="19"/>
        <v>50392</v>
      </c>
      <c r="R131" s="1143">
        <f>IFERROR(VLOOKUP(CONCATENATE(E131,G131),'LAC 103'!$A$12:$O$95,11,FALSE),0)</f>
        <v>3.207410103388435</v>
      </c>
      <c r="S131" s="1144">
        <f>IFERROR(VLOOKUP(CONCATENATE($E131,$G131),'LAC 103'!$A$12:$O$95,12,FALSE),0)</f>
        <v>3.99</v>
      </c>
      <c r="T131" s="1144">
        <f>IFERROR(VLOOKUP(CONCATENATE($E131,$G131),'LAC 103'!$A$12:$O$95,13,FALSE),0)</f>
        <v>2.48</v>
      </c>
      <c r="U131" s="1144">
        <f>IFERROR(VLOOKUP(CONCATENATE($E131,$G131),'LAC 103'!$A$12:$O$95,14,FALSE),0)</f>
        <v>0</v>
      </c>
      <c r="V131" s="1144">
        <f>IFERROR(VLOOKUP(CONCATENATE($E131,$G131),'LAC 103'!$A$12:$O$95,15,FALSE),0)</f>
        <v>0</v>
      </c>
      <c r="W131" s="1145" t="str">
        <f>IFERROR(VLOOKUP(CONCATENATE($B131,$N131),'LAC 103'!$AI:$AQ,9,FALSE),"")</f>
        <v>P.C.</v>
      </c>
      <c r="X131" s="1146">
        <f t="shared" si="24"/>
        <v>2.48</v>
      </c>
      <c r="Y131" s="1143">
        <f t="shared" si="25"/>
        <v>161627.80992995002</v>
      </c>
      <c r="Z131" s="1147">
        <f t="shared" si="26"/>
        <v>201064.08000000002</v>
      </c>
      <c r="AA131" s="1144">
        <f t="shared" si="27"/>
        <v>124972.16</v>
      </c>
      <c r="AB131" s="1144">
        <f t="shared" si="28"/>
        <v>0</v>
      </c>
      <c r="AC131" s="1144">
        <f t="shared" si="29"/>
        <v>0</v>
      </c>
      <c r="AD131" s="1148">
        <f t="shared" si="20"/>
        <v>124972.16</v>
      </c>
      <c r="AE131" s="1487">
        <v>0</v>
      </c>
      <c r="AF131" s="1145">
        <f t="shared" si="30"/>
        <v>124972.16</v>
      </c>
      <c r="AG131" s="1149">
        <f>IFERROR(VLOOKUP(CONCATENATE($L131,$N131),'Drop List'!$G$23:$K$87,2,FALSE),0)</f>
        <v>0.55000000000000004</v>
      </c>
      <c r="AH131" s="1150">
        <f>IFERROR(VLOOKUP(CONCATENATE($L131,$N131),'Drop List'!$G$23:$K$87,3,FALSE),0)</f>
        <v>0</v>
      </c>
      <c r="AI131" s="1150">
        <f>IFERROR(VLOOKUP(CONCATENATE($L131,$N131),'Drop List'!$G$23:$K$87,4,FALSE),0)</f>
        <v>0</v>
      </c>
      <c r="AJ131" s="1151">
        <f>IFERROR(VLOOKUP(CONCATENATE($L131,$N131),'Drop List'!$G$23:$K$87,5,FALSE),0)</f>
        <v>0.44999999999999996</v>
      </c>
      <c r="AK131" s="1152">
        <f t="shared" si="31"/>
        <v>68734.688000000009</v>
      </c>
      <c r="AL131" s="1153">
        <f t="shared" si="32"/>
        <v>0</v>
      </c>
      <c r="AM131" s="1153">
        <f t="shared" si="33"/>
        <v>0</v>
      </c>
      <c r="AN131" s="1145">
        <f t="shared" si="34"/>
        <v>56237.471999999994</v>
      </c>
      <c r="AO131" s="1154">
        <f t="shared" si="35"/>
        <v>124972.16</v>
      </c>
      <c r="AP131" s="1147">
        <f t="shared" si="21"/>
        <v>0</v>
      </c>
      <c r="AQ131" s="1144">
        <f t="shared" si="22"/>
        <v>0</v>
      </c>
      <c r="AR131" s="1146">
        <f t="shared" si="23"/>
        <v>124972.16</v>
      </c>
    </row>
    <row r="132" spans="1:44" x14ac:dyDescent="0.2">
      <c r="A132" s="1141" t="str">
        <f t="shared" si="18"/>
        <v>1552</v>
      </c>
      <c r="B132" s="1141" t="str">
        <f>IFERROR(VLOOKUP(A132,'LAC 103'!A:C,3,FALSE),"")</f>
        <v>OP</v>
      </c>
      <c r="C132" s="1478" t="str">
        <f>Info!$B$8</f>
        <v>00100</v>
      </c>
      <c r="D132" s="1474" t="s">
        <v>1100</v>
      </c>
      <c r="E132" s="1474" t="s">
        <v>95</v>
      </c>
      <c r="F132" s="1478" t="s">
        <v>412</v>
      </c>
      <c r="G132" s="1478" t="s">
        <v>412</v>
      </c>
      <c r="H132" s="1474" t="s">
        <v>970</v>
      </c>
      <c r="I132" s="1478" t="s">
        <v>817</v>
      </c>
      <c r="J132" s="1478"/>
      <c r="K132" s="1475" t="s">
        <v>851</v>
      </c>
      <c r="L132" s="1474" t="s">
        <v>584</v>
      </c>
      <c r="M132" s="1476" t="s">
        <v>842</v>
      </c>
      <c r="N132" s="1477" t="s">
        <v>1692</v>
      </c>
      <c r="O132" s="1479">
        <v>47689</v>
      </c>
      <c r="P132" s="1479"/>
      <c r="Q132" s="1142">
        <f t="shared" si="19"/>
        <v>47689</v>
      </c>
      <c r="R132" s="1143">
        <f>IFERROR(VLOOKUP(CONCATENATE(E132,G132),'LAC 103'!$A$12:$O$95,11,FALSE),0)</f>
        <v>3.207410103388435</v>
      </c>
      <c r="S132" s="1144">
        <f>IFERROR(VLOOKUP(CONCATENATE($E132,$G132),'LAC 103'!$A$12:$O$95,12,FALSE),0)</f>
        <v>3.99</v>
      </c>
      <c r="T132" s="1144">
        <f>IFERROR(VLOOKUP(CONCATENATE($E132,$G132),'LAC 103'!$A$12:$O$95,13,FALSE),0)</f>
        <v>2.48</v>
      </c>
      <c r="U132" s="1144">
        <f>IFERROR(VLOOKUP(CONCATENATE($E132,$G132),'LAC 103'!$A$12:$O$95,14,FALSE),0)</f>
        <v>0</v>
      </c>
      <c r="V132" s="1144">
        <f>IFERROR(VLOOKUP(CONCATENATE($E132,$G132),'LAC 103'!$A$12:$O$95,15,FALSE),0)</f>
        <v>0</v>
      </c>
      <c r="W132" s="1145" t="str">
        <f>IFERROR(VLOOKUP(CONCATENATE($B132,$N132),'LAC 103'!$AI:$AQ,9,FALSE),"")</f>
        <v>Costs</v>
      </c>
      <c r="X132" s="1146">
        <f t="shared" si="24"/>
        <v>3.207410103388435</v>
      </c>
      <c r="Y132" s="1143">
        <f t="shared" si="25"/>
        <v>152958.18042049109</v>
      </c>
      <c r="Z132" s="1147">
        <f t="shared" si="26"/>
        <v>190279.11000000002</v>
      </c>
      <c r="AA132" s="1144">
        <f t="shared" si="27"/>
        <v>118268.72</v>
      </c>
      <c r="AB132" s="1144">
        <f t="shared" si="28"/>
        <v>0</v>
      </c>
      <c r="AC132" s="1144">
        <f t="shared" si="29"/>
        <v>0</v>
      </c>
      <c r="AD132" s="1148">
        <f t="shared" si="20"/>
        <v>152958.18042049109</v>
      </c>
      <c r="AE132" s="1487">
        <v>0</v>
      </c>
      <c r="AF132" s="1145">
        <f t="shared" si="30"/>
        <v>152958.18042049109</v>
      </c>
      <c r="AG132" s="1149">
        <f>IFERROR(VLOOKUP(CONCATENATE($L132,$N132),'Drop List'!$G$23:$K$87,2,FALSE),0)</f>
        <v>0.56200000000000006</v>
      </c>
      <c r="AH132" s="1150">
        <f>IFERROR(VLOOKUP(CONCATENATE($L132,$N132),'Drop List'!$G$23:$K$87,3,FALSE),0)</f>
        <v>0</v>
      </c>
      <c r="AI132" s="1150">
        <f>IFERROR(VLOOKUP(CONCATENATE($L132,$N132),'Drop List'!$G$23:$K$87,4,FALSE),0)</f>
        <v>0</v>
      </c>
      <c r="AJ132" s="1151">
        <f>IFERROR(VLOOKUP(CONCATENATE($L132,$N132),'Drop List'!$G$23:$K$87,5,FALSE),0)</f>
        <v>0.43799999999999994</v>
      </c>
      <c r="AK132" s="1152">
        <f t="shared" si="31"/>
        <v>85962.497396316001</v>
      </c>
      <c r="AL132" s="1153">
        <f t="shared" si="32"/>
        <v>0</v>
      </c>
      <c r="AM132" s="1153">
        <f t="shared" si="33"/>
        <v>0</v>
      </c>
      <c r="AN132" s="1145">
        <f t="shared" si="34"/>
        <v>66995.683024175087</v>
      </c>
      <c r="AO132" s="1154">
        <f t="shared" si="35"/>
        <v>152958.18042049109</v>
      </c>
      <c r="AP132" s="1147">
        <f t="shared" si="21"/>
        <v>0</v>
      </c>
      <c r="AQ132" s="1144">
        <f t="shared" si="22"/>
        <v>0</v>
      </c>
      <c r="AR132" s="1146">
        <f t="shared" si="23"/>
        <v>152958.18042049109</v>
      </c>
    </row>
    <row r="133" spans="1:44" x14ac:dyDescent="0.2">
      <c r="A133" s="1141" t="str">
        <f t="shared" si="18"/>
        <v>1552</v>
      </c>
      <c r="B133" s="1141" t="str">
        <f>IFERROR(VLOOKUP(A133,'LAC 103'!A:C,3,FALSE),"")</f>
        <v>OP</v>
      </c>
      <c r="C133" s="1478" t="str">
        <f>Info!$B$8</f>
        <v>00100</v>
      </c>
      <c r="D133" s="1474" t="s">
        <v>1100</v>
      </c>
      <c r="E133" s="1474" t="s">
        <v>95</v>
      </c>
      <c r="F133" s="1478" t="s">
        <v>412</v>
      </c>
      <c r="G133" s="1478" t="s">
        <v>412</v>
      </c>
      <c r="H133" s="1474" t="s">
        <v>970</v>
      </c>
      <c r="I133" s="1478" t="s">
        <v>817</v>
      </c>
      <c r="J133" s="1478"/>
      <c r="K133" s="1475" t="s">
        <v>851</v>
      </c>
      <c r="L133" s="1474" t="s">
        <v>584</v>
      </c>
      <c r="M133" s="1476" t="s">
        <v>1698</v>
      </c>
      <c r="N133" s="1477" t="s">
        <v>1693</v>
      </c>
      <c r="O133" s="1479">
        <v>46160</v>
      </c>
      <c r="P133" s="1479"/>
      <c r="Q133" s="1142">
        <f t="shared" si="19"/>
        <v>46160</v>
      </c>
      <c r="R133" s="1143">
        <f>IFERROR(VLOOKUP(CONCATENATE(E133,G133),'LAC 103'!$A$12:$O$95,11,FALSE),0)</f>
        <v>3.207410103388435</v>
      </c>
      <c r="S133" s="1144">
        <f>IFERROR(VLOOKUP(CONCATENATE($E133,$G133),'LAC 103'!$A$12:$O$95,12,FALSE),0)</f>
        <v>3.99</v>
      </c>
      <c r="T133" s="1144">
        <f>IFERROR(VLOOKUP(CONCATENATE($E133,$G133),'LAC 103'!$A$12:$O$95,13,FALSE),0)</f>
        <v>2.48</v>
      </c>
      <c r="U133" s="1144">
        <f>IFERROR(VLOOKUP(CONCATENATE($E133,$G133),'LAC 103'!$A$12:$O$95,14,FALSE),0)</f>
        <v>0</v>
      </c>
      <c r="V133" s="1144">
        <f>IFERROR(VLOOKUP(CONCATENATE($E133,$G133),'LAC 103'!$A$12:$O$95,15,FALSE),0)</f>
        <v>0</v>
      </c>
      <c r="W133" s="1145" t="str">
        <f>IFERROR(VLOOKUP(CONCATENATE($B133,$N133),'LAC 103'!$AI:$AQ,9,FALSE),"")</f>
        <v>Costs</v>
      </c>
      <c r="X133" s="1146">
        <f t="shared" si="24"/>
        <v>3.207410103388435</v>
      </c>
      <c r="Y133" s="1143">
        <f t="shared" si="25"/>
        <v>148054.05037241016</v>
      </c>
      <c r="Z133" s="1147">
        <f t="shared" si="26"/>
        <v>184178.40000000002</v>
      </c>
      <c r="AA133" s="1144">
        <f t="shared" si="27"/>
        <v>114476.8</v>
      </c>
      <c r="AB133" s="1144">
        <f t="shared" si="28"/>
        <v>0</v>
      </c>
      <c r="AC133" s="1144">
        <f t="shared" si="29"/>
        <v>0</v>
      </c>
      <c r="AD133" s="1148">
        <f t="shared" si="20"/>
        <v>148054.05037241016</v>
      </c>
      <c r="AE133" s="1487">
        <v>0</v>
      </c>
      <c r="AF133" s="1145">
        <f t="shared" si="30"/>
        <v>148054.05037241016</v>
      </c>
      <c r="AG133" s="1149">
        <f>IFERROR(VLOOKUP(CONCATENATE($L133,$N133),'Drop List'!$G$23:$K$87,2,FALSE),0)</f>
        <v>0.56200000000000006</v>
      </c>
      <c r="AH133" s="1150">
        <f>IFERROR(VLOOKUP(CONCATENATE($L133,$N133),'Drop List'!$G$23:$K$87,3,FALSE),0)</f>
        <v>0</v>
      </c>
      <c r="AI133" s="1150">
        <f>IFERROR(VLOOKUP(CONCATENATE($L133,$N133),'Drop List'!$G$23:$K$87,4,FALSE),0)</f>
        <v>0</v>
      </c>
      <c r="AJ133" s="1151">
        <f>IFERROR(VLOOKUP(CONCATENATE($L133,$N133),'Drop List'!$G$23:$K$87,5,FALSE),0)</f>
        <v>0.43799999999999994</v>
      </c>
      <c r="AK133" s="1152">
        <f t="shared" si="31"/>
        <v>83206.376309294516</v>
      </c>
      <c r="AL133" s="1153">
        <f t="shared" si="32"/>
        <v>0</v>
      </c>
      <c r="AM133" s="1153">
        <f t="shared" si="33"/>
        <v>0</v>
      </c>
      <c r="AN133" s="1145">
        <f t="shared" si="34"/>
        <v>64847.674063115643</v>
      </c>
      <c r="AO133" s="1154">
        <f t="shared" si="35"/>
        <v>148054.05037241016</v>
      </c>
      <c r="AP133" s="1147">
        <f t="shared" si="21"/>
        <v>0</v>
      </c>
      <c r="AQ133" s="1144">
        <f t="shared" si="22"/>
        <v>0</v>
      </c>
      <c r="AR133" s="1146">
        <f t="shared" si="23"/>
        <v>148054.05037241016</v>
      </c>
    </row>
    <row r="134" spans="1:44" x14ac:dyDescent="0.2">
      <c r="A134" s="1141" t="str">
        <f t="shared" ref="A134:A197" si="36">IF(CONCATENATE(E134,G134)="","",CONCATENATE(E134,G134))</f>
        <v>1562</v>
      </c>
      <c r="B134" s="1141" t="str">
        <f>IFERROR(VLOOKUP(A134,'LAC 103'!A:C,3,FALSE),"")</f>
        <v>OP</v>
      </c>
      <c r="C134" s="1478" t="str">
        <f>Info!$B$8</f>
        <v>00100</v>
      </c>
      <c r="D134" s="1474" t="s">
        <v>1100</v>
      </c>
      <c r="E134" s="1474" t="s">
        <v>95</v>
      </c>
      <c r="F134" s="1478" t="s">
        <v>432</v>
      </c>
      <c r="G134" s="1478" t="s">
        <v>432</v>
      </c>
      <c r="H134" s="1474" t="s">
        <v>1009</v>
      </c>
      <c r="I134" s="1478" t="s">
        <v>826</v>
      </c>
      <c r="J134" s="1478" t="s">
        <v>123</v>
      </c>
      <c r="K134" s="1475" t="s">
        <v>849</v>
      </c>
      <c r="L134" s="1474" t="s">
        <v>77</v>
      </c>
      <c r="M134" s="1476" t="s">
        <v>1699</v>
      </c>
      <c r="N134" s="1477" t="s">
        <v>1694</v>
      </c>
      <c r="O134" s="1479">
        <v>229</v>
      </c>
      <c r="P134" s="1479"/>
      <c r="Q134" s="1142">
        <f t="shared" ref="Q134:Q197" si="37">O134+P134</f>
        <v>229</v>
      </c>
      <c r="R134" s="1143">
        <f>IFERROR(VLOOKUP(CONCATENATE(E134,G134),'LAC 103'!$A$12:$O$95,11,FALSE),0)</f>
        <v>5.936295312319726</v>
      </c>
      <c r="S134" s="1144">
        <f>IFERROR(VLOOKUP(CONCATENATE($E134,$G134),'LAC 103'!$A$12:$O$95,12,FALSE),0)</f>
        <v>7.34</v>
      </c>
      <c r="T134" s="1144">
        <f>IFERROR(VLOOKUP(CONCATENATE($E134,$G134),'LAC 103'!$A$12:$O$95,13,FALSE),0)</f>
        <v>4.59</v>
      </c>
      <c r="U134" s="1144">
        <f>IFERROR(VLOOKUP(CONCATENATE($E134,$G134),'LAC 103'!$A$12:$O$95,14,FALSE),0)</f>
        <v>0</v>
      </c>
      <c r="V134" s="1144">
        <f>IFERROR(VLOOKUP(CONCATENATE($E134,$G134),'LAC 103'!$A$12:$O$95,15,FALSE),0)</f>
        <v>0</v>
      </c>
      <c r="W134" s="1145" t="str">
        <f>IFERROR(VLOOKUP(CONCATENATE($B134,$N134),'LAC 103'!$AI:$AQ,9,FALSE),"")</f>
        <v>Costs</v>
      </c>
      <c r="X134" s="1146">
        <f t="shared" si="24"/>
        <v>5.936295312319726</v>
      </c>
      <c r="Y134" s="1143">
        <f t="shared" si="25"/>
        <v>1359.4116265212172</v>
      </c>
      <c r="Z134" s="1147">
        <f t="shared" si="26"/>
        <v>1680.86</v>
      </c>
      <c r="AA134" s="1144">
        <f t="shared" si="27"/>
        <v>1051.1099999999999</v>
      </c>
      <c r="AB134" s="1144">
        <f t="shared" si="28"/>
        <v>0</v>
      </c>
      <c r="AC134" s="1144">
        <f t="shared" si="29"/>
        <v>0</v>
      </c>
      <c r="AD134" s="1148">
        <f t="shared" si="20"/>
        <v>1359.4116265212172</v>
      </c>
      <c r="AE134" s="1487">
        <v>0</v>
      </c>
      <c r="AF134" s="1145">
        <f t="shared" si="30"/>
        <v>1359.4116265212172</v>
      </c>
      <c r="AG134" s="1149">
        <f>IFERROR(VLOOKUP(CONCATENATE($L134,$N134),'Drop List'!$G$23:$K$87,2,FALSE),0)</f>
        <v>0.9</v>
      </c>
      <c r="AH134" s="1150">
        <f>IFERROR(VLOOKUP(CONCATENATE($L134,$N134),'Drop List'!$G$23:$K$87,3,FALSE),0)</f>
        <v>0</v>
      </c>
      <c r="AI134" s="1150">
        <f>IFERROR(VLOOKUP(CONCATENATE($L134,$N134),'Drop List'!$G$23:$K$87,4,FALSE),0)</f>
        <v>0.1</v>
      </c>
      <c r="AJ134" s="1151">
        <f>IFERROR(VLOOKUP(CONCATENATE($L134,$N134),'Drop List'!$G$23:$K$87,5,FALSE),0)</f>
        <v>0</v>
      </c>
      <c r="AK134" s="1152">
        <f t="shared" si="31"/>
        <v>1223.4704638690955</v>
      </c>
      <c r="AL134" s="1153">
        <f t="shared" si="32"/>
        <v>0</v>
      </c>
      <c r="AM134" s="1153">
        <f t="shared" si="33"/>
        <v>135.94116265212173</v>
      </c>
      <c r="AN134" s="1145">
        <f t="shared" si="34"/>
        <v>0</v>
      </c>
      <c r="AO134" s="1154">
        <f t="shared" si="35"/>
        <v>1359.4116265212172</v>
      </c>
      <c r="AP134" s="1147">
        <f t="shared" si="21"/>
        <v>0</v>
      </c>
      <c r="AQ134" s="1144">
        <f t="shared" si="22"/>
        <v>0</v>
      </c>
      <c r="AR134" s="1146">
        <f t="shared" si="23"/>
        <v>1359.4116265212172</v>
      </c>
    </row>
    <row r="135" spans="1:44" x14ac:dyDescent="0.2">
      <c r="A135" s="1141" t="str">
        <f t="shared" si="36"/>
        <v>1562</v>
      </c>
      <c r="B135" s="1141" t="str">
        <f>IFERROR(VLOOKUP(A135,'LAC 103'!A:C,3,FALSE),"")</f>
        <v>OP</v>
      </c>
      <c r="C135" s="1478" t="str">
        <f>Info!$B$8</f>
        <v>00100</v>
      </c>
      <c r="D135" s="1474" t="s">
        <v>1100</v>
      </c>
      <c r="E135" s="1474" t="s">
        <v>95</v>
      </c>
      <c r="F135" s="1478" t="s">
        <v>432</v>
      </c>
      <c r="G135" s="1478" t="s">
        <v>432</v>
      </c>
      <c r="H135" s="1474" t="s">
        <v>1009</v>
      </c>
      <c r="I135" s="1478" t="s">
        <v>826</v>
      </c>
      <c r="J135" s="1478"/>
      <c r="K135" s="1475" t="s">
        <v>849</v>
      </c>
      <c r="L135" s="1474" t="s">
        <v>77</v>
      </c>
      <c r="M135" s="1476" t="s">
        <v>842</v>
      </c>
      <c r="N135" s="1477" t="s">
        <v>1692</v>
      </c>
      <c r="O135" s="1479">
        <v>452</v>
      </c>
      <c r="P135" s="1479"/>
      <c r="Q135" s="1142">
        <f t="shared" si="37"/>
        <v>452</v>
      </c>
      <c r="R135" s="1143">
        <f>IFERROR(VLOOKUP(CONCATENATE(E135,G135),'LAC 103'!$A$12:$O$95,11,FALSE),0)</f>
        <v>5.936295312319726</v>
      </c>
      <c r="S135" s="1144">
        <f>IFERROR(VLOOKUP(CONCATENATE($E135,$G135),'LAC 103'!$A$12:$O$95,12,FALSE),0)</f>
        <v>7.34</v>
      </c>
      <c r="T135" s="1144">
        <f>IFERROR(VLOOKUP(CONCATENATE($E135,$G135),'LAC 103'!$A$12:$O$95,13,FALSE),0)</f>
        <v>4.59</v>
      </c>
      <c r="U135" s="1144">
        <f>IFERROR(VLOOKUP(CONCATENATE($E135,$G135),'LAC 103'!$A$12:$O$95,14,FALSE),0)</f>
        <v>0</v>
      </c>
      <c r="V135" s="1144">
        <f>IFERROR(VLOOKUP(CONCATENATE($E135,$G135),'LAC 103'!$A$12:$O$95,15,FALSE),0)</f>
        <v>0</v>
      </c>
      <c r="W135" s="1145" t="str">
        <f>IFERROR(VLOOKUP(CONCATENATE($B135,$N135),'LAC 103'!$AI:$AQ,9,FALSE),"")</f>
        <v>Costs</v>
      </c>
      <c r="X135" s="1146">
        <f t="shared" si="24"/>
        <v>5.936295312319726</v>
      </c>
      <c r="Y135" s="1143">
        <f t="shared" si="25"/>
        <v>2683.2054811685161</v>
      </c>
      <c r="Z135" s="1147">
        <f t="shared" si="26"/>
        <v>3317.68</v>
      </c>
      <c r="AA135" s="1144">
        <f t="shared" si="27"/>
        <v>2074.6799999999998</v>
      </c>
      <c r="AB135" s="1144">
        <f t="shared" si="28"/>
        <v>0</v>
      </c>
      <c r="AC135" s="1144">
        <f t="shared" si="29"/>
        <v>0</v>
      </c>
      <c r="AD135" s="1148">
        <f t="shared" ref="AD135:AD198" si="38">Q135*X135</f>
        <v>2683.2054811685161</v>
      </c>
      <c r="AE135" s="1487">
        <v>0</v>
      </c>
      <c r="AF135" s="1145">
        <f t="shared" si="30"/>
        <v>2683.2054811685161</v>
      </c>
      <c r="AG135" s="1149">
        <f>IFERROR(VLOOKUP(CONCATENATE($L135,$N135),'Drop List'!$G$23:$K$87,2,FALSE),0)</f>
        <v>0.9</v>
      </c>
      <c r="AH135" s="1150">
        <f>IFERROR(VLOOKUP(CONCATENATE($L135,$N135),'Drop List'!$G$23:$K$87,3,FALSE),0)</f>
        <v>0</v>
      </c>
      <c r="AI135" s="1150">
        <f>IFERROR(VLOOKUP(CONCATENATE($L135,$N135),'Drop List'!$G$23:$K$87,4,FALSE),0)</f>
        <v>0.1</v>
      </c>
      <c r="AJ135" s="1151">
        <f>IFERROR(VLOOKUP(CONCATENATE($L135,$N135),'Drop List'!$G$23:$K$87,5,FALSE),0)</f>
        <v>0</v>
      </c>
      <c r="AK135" s="1152">
        <f t="shared" si="31"/>
        <v>2414.8849330516646</v>
      </c>
      <c r="AL135" s="1153">
        <f t="shared" si="32"/>
        <v>0</v>
      </c>
      <c r="AM135" s="1153">
        <f t="shared" si="33"/>
        <v>268.32054811685163</v>
      </c>
      <c r="AN135" s="1145">
        <f t="shared" si="34"/>
        <v>0</v>
      </c>
      <c r="AO135" s="1154">
        <f t="shared" si="35"/>
        <v>2683.2054811685161</v>
      </c>
      <c r="AP135" s="1147">
        <f t="shared" ref="AP135:AP198" si="39">IF($L135="14",$AF135,0)</f>
        <v>0</v>
      </c>
      <c r="AQ135" s="1144">
        <f t="shared" ref="AQ135:AQ198" si="40">IF($L135="15",$AF135,0)</f>
        <v>0</v>
      </c>
      <c r="AR135" s="1146">
        <f t="shared" ref="AR135:AR198" si="41">AO135+AP135+AQ135</f>
        <v>2683.2054811685161</v>
      </c>
    </row>
    <row r="136" spans="1:44" x14ac:dyDescent="0.2">
      <c r="A136" s="1141" t="str">
        <f t="shared" si="36"/>
        <v>1562</v>
      </c>
      <c r="B136" s="1141" t="str">
        <f>IFERROR(VLOOKUP(A136,'LAC 103'!A:C,3,FALSE),"")</f>
        <v>OP</v>
      </c>
      <c r="C136" s="1478" t="str">
        <f>Info!$B$8</f>
        <v>00100</v>
      </c>
      <c r="D136" s="1474" t="s">
        <v>1100</v>
      </c>
      <c r="E136" s="1474" t="s">
        <v>95</v>
      </c>
      <c r="F136" s="1478" t="s">
        <v>432</v>
      </c>
      <c r="G136" s="1478" t="s">
        <v>432</v>
      </c>
      <c r="H136" s="1474" t="s">
        <v>1009</v>
      </c>
      <c r="I136" s="1478" t="s">
        <v>826</v>
      </c>
      <c r="J136" s="1478"/>
      <c r="K136" s="1475" t="s">
        <v>849</v>
      </c>
      <c r="L136" s="1474" t="s">
        <v>77</v>
      </c>
      <c r="M136" s="1476" t="s">
        <v>1698</v>
      </c>
      <c r="N136" s="1477" t="s">
        <v>1693</v>
      </c>
      <c r="O136" s="1479">
        <v>466</v>
      </c>
      <c r="P136" s="1479"/>
      <c r="Q136" s="1142">
        <f t="shared" si="37"/>
        <v>466</v>
      </c>
      <c r="R136" s="1143">
        <f>IFERROR(VLOOKUP(CONCATENATE(E136,G136),'LAC 103'!$A$12:$O$95,11,FALSE),0)</f>
        <v>5.936295312319726</v>
      </c>
      <c r="S136" s="1144">
        <f>IFERROR(VLOOKUP(CONCATENATE($E136,$G136),'LAC 103'!$A$12:$O$95,12,FALSE),0)</f>
        <v>7.34</v>
      </c>
      <c r="T136" s="1144">
        <f>IFERROR(VLOOKUP(CONCATENATE($E136,$G136),'LAC 103'!$A$12:$O$95,13,FALSE),0)</f>
        <v>4.59</v>
      </c>
      <c r="U136" s="1144">
        <f>IFERROR(VLOOKUP(CONCATENATE($E136,$G136),'LAC 103'!$A$12:$O$95,14,FALSE),0)</f>
        <v>0</v>
      </c>
      <c r="V136" s="1144">
        <f>IFERROR(VLOOKUP(CONCATENATE($E136,$G136),'LAC 103'!$A$12:$O$95,15,FALSE),0)</f>
        <v>0</v>
      </c>
      <c r="W136" s="1145" t="str">
        <f>IFERROR(VLOOKUP(CONCATENATE($B136,$N136),'LAC 103'!$AI:$AQ,9,FALSE),"")</f>
        <v>Costs</v>
      </c>
      <c r="X136" s="1146">
        <f t="shared" ref="X136:X199" si="42">IF($W136="Costs",$R136,IF($W136="CMA",$S136,IF($W136="P.C.",$T136,IF($W136="SMA",$U136,$V136))))</f>
        <v>5.936295312319726</v>
      </c>
      <c r="Y136" s="1143">
        <f t="shared" ref="Y136:Y199" si="43">$Q136*R136</f>
        <v>2766.3136155409925</v>
      </c>
      <c r="Z136" s="1147">
        <f t="shared" ref="Z136:Z199" si="44">IF(S136=0,Y136,$Q136*S136)</f>
        <v>3420.44</v>
      </c>
      <c r="AA136" s="1144">
        <f t="shared" ref="AA136:AA199" si="45">IF(T136=0,Y136,$Q136*T136)</f>
        <v>2138.94</v>
      </c>
      <c r="AB136" s="1144">
        <f t="shared" ref="AB136:AB199" si="46">$Q136*U136</f>
        <v>0</v>
      </c>
      <c r="AC136" s="1144">
        <f t="shared" ref="AC136:AC199" si="47">$Q136*V136</f>
        <v>0</v>
      </c>
      <c r="AD136" s="1148">
        <f t="shared" si="38"/>
        <v>2766.3136155409925</v>
      </c>
      <c r="AE136" s="1487">
        <v>0</v>
      </c>
      <c r="AF136" s="1145">
        <f t="shared" ref="AF136:AF199" si="48">AD136-AE136</f>
        <v>2766.3136155409925</v>
      </c>
      <c r="AG136" s="1149">
        <f>IFERROR(VLOOKUP(CONCATENATE($L136,$N136),'Drop List'!$G$23:$K$87,2,FALSE),0)</f>
        <v>0.9</v>
      </c>
      <c r="AH136" s="1150">
        <f>IFERROR(VLOOKUP(CONCATENATE($L136,$N136),'Drop List'!$G$23:$K$87,3,FALSE),0)</f>
        <v>0</v>
      </c>
      <c r="AI136" s="1150">
        <f>IFERROR(VLOOKUP(CONCATENATE($L136,$N136),'Drop List'!$G$23:$K$87,4,FALSE),0)</f>
        <v>0.1</v>
      </c>
      <c r="AJ136" s="1151">
        <f>IFERROR(VLOOKUP(CONCATENATE($L136,$N136),'Drop List'!$G$23:$K$87,5,FALSE),0)</f>
        <v>0</v>
      </c>
      <c r="AK136" s="1152">
        <f t="shared" ref="AK136:AK199" si="49">IFERROR($AF136*AG136,0)</f>
        <v>2489.6822539868931</v>
      </c>
      <c r="AL136" s="1153">
        <f t="shared" ref="AL136:AL199" si="50">IFERROR($AF136*AH136,0)</f>
        <v>0</v>
      </c>
      <c r="AM136" s="1153">
        <f t="shared" ref="AM136:AM199" si="51">IFERROR($AF136*AI136,0)</f>
        <v>276.63136155409927</v>
      </c>
      <c r="AN136" s="1145">
        <f t="shared" ref="AN136:AN199" si="52">IFERROR($AF136*AJ136,0)</f>
        <v>0</v>
      </c>
      <c r="AO136" s="1154">
        <f t="shared" ref="AO136:AO199" si="53">SUM(AK136:AN136)</f>
        <v>2766.3136155409925</v>
      </c>
      <c r="AP136" s="1147">
        <f t="shared" si="39"/>
        <v>0</v>
      </c>
      <c r="AQ136" s="1144">
        <f t="shared" si="40"/>
        <v>0</v>
      </c>
      <c r="AR136" s="1146">
        <f t="shared" si="41"/>
        <v>2766.3136155409925</v>
      </c>
    </row>
    <row r="137" spans="1:44" x14ac:dyDescent="0.2">
      <c r="A137" s="1141" t="str">
        <f t="shared" si="36"/>
        <v>1562</v>
      </c>
      <c r="B137" s="1141" t="str">
        <f>IFERROR(VLOOKUP(A137,'LAC 103'!A:C,3,FALSE),"")</f>
        <v>OP</v>
      </c>
      <c r="C137" s="1478" t="str">
        <f>Info!$B$8</f>
        <v>00100</v>
      </c>
      <c r="D137" s="1474" t="s">
        <v>1100</v>
      </c>
      <c r="E137" s="1474" t="s">
        <v>95</v>
      </c>
      <c r="F137" s="1478" t="s">
        <v>432</v>
      </c>
      <c r="G137" s="1478" t="s">
        <v>432</v>
      </c>
      <c r="H137" s="1474" t="s">
        <v>1009</v>
      </c>
      <c r="I137" s="1478" t="s">
        <v>826</v>
      </c>
      <c r="J137" s="1478"/>
      <c r="K137" s="1475" t="s">
        <v>971</v>
      </c>
      <c r="L137" s="1474" t="s">
        <v>332</v>
      </c>
      <c r="M137" s="1476" t="s">
        <v>842</v>
      </c>
      <c r="N137" s="1477" t="s">
        <v>1692</v>
      </c>
      <c r="O137" s="1479">
        <v>200</v>
      </c>
      <c r="P137" s="1479"/>
      <c r="Q137" s="1142">
        <f t="shared" si="37"/>
        <v>200</v>
      </c>
      <c r="R137" s="1143">
        <f>IFERROR(VLOOKUP(CONCATENATE(E137,G137),'LAC 103'!$A$12:$O$95,11,FALSE),0)</f>
        <v>5.936295312319726</v>
      </c>
      <c r="S137" s="1144">
        <f>IFERROR(VLOOKUP(CONCATENATE($E137,$G137),'LAC 103'!$A$12:$O$95,12,FALSE),0)</f>
        <v>7.34</v>
      </c>
      <c r="T137" s="1144">
        <f>IFERROR(VLOOKUP(CONCATENATE($E137,$G137),'LAC 103'!$A$12:$O$95,13,FALSE),0)</f>
        <v>4.59</v>
      </c>
      <c r="U137" s="1144">
        <f>IFERROR(VLOOKUP(CONCATENATE($E137,$G137),'LAC 103'!$A$12:$O$95,14,FALSE),0)</f>
        <v>0</v>
      </c>
      <c r="V137" s="1144">
        <f>IFERROR(VLOOKUP(CONCATENATE($E137,$G137),'LAC 103'!$A$12:$O$95,15,FALSE),0)</f>
        <v>0</v>
      </c>
      <c r="W137" s="1145" t="str">
        <f>IFERROR(VLOOKUP(CONCATENATE($B137,$N137),'LAC 103'!$AI:$AQ,9,FALSE),"")</f>
        <v>Costs</v>
      </c>
      <c r="X137" s="1146">
        <f t="shared" si="42"/>
        <v>5.936295312319726</v>
      </c>
      <c r="Y137" s="1143">
        <f t="shared" si="43"/>
        <v>1187.2590624639452</v>
      </c>
      <c r="Z137" s="1147">
        <f t="shared" si="44"/>
        <v>1468</v>
      </c>
      <c r="AA137" s="1144">
        <f t="shared" si="45"/>
        <v>918</v>
      </c>
      <c r="AB137" s="1144">
        <f t="shared" si="46"/>
        <v>0</v>
      </c>
      <c r="AC137" s="1144">
        <f t="shared" si="47"/>
        <v>0</v>
      </c>
      <c r="AD137" s="1148">
        <f t="shared" si="38"/>
        <v>1187.2590624639452</v>
      </c>
      <c r="AE137" s="1487">
        <v>0</v>
      </c>
      <c r="AF137" s="1145">
        <f t="shared" si="48"/>
        <v>1187.2590624639452</v>
      </c>
      <c r="AG137" s="1149">
        <f>IFERROR(VLOOKUP(CONCATENATE($L137,$N137),'Drop List'!$G$23:$K$87,2,FALSE),0)</f>
        <v>0</v>
      </c>
      <c r="AH137" s="1150">
        <f>IFERROR(VLOOKUP(CONCATENATE($L137,$N137),'Drop List'!$G$23:$K$87,3,FALSE),0)</f>
        <v>0</v>
      </c>
      <c r="AI137" s="1150">
        <f>IFERROR(VLOOKUP(CONCATENATE($L137,$N137),'Drop List'!$G$23:$K$87,4,FALSE),0)</f>
        <v>0</v>
      </c>
      <c r="AJ137" s="1151">
        <f>IFERROR(VLOOKUP(CONCATENATE($L137,$N137),'Drop List'!$G$23:$K$87,5,FALSE),0)</f>
        <v>0</v>
      </c>
      <c r="AK137" s="1152">
        <f t="shared" si="49"/>
        <v>0</v>
      </c>
      <c r="AL137" s="1153">
        <f t="shared" si="50"/>
        <v>0</v>
      </c>
      <c r="AM137" s="1153">
        <f t="shared" si="51"/>
        <v>0</v>
      </c>
      <c r="AN137" s="1145">
        <f t="shared" si="52"/>
        <v>0</v>
      </c>
      <c r="AO137" s="1154">
        <f t="shared" si="53"/>
        <v>0</v>
      </c>
      <c r="AP137" s="1147">
        <f t="shared" si="39"/>
        <v>1187.2590624639452</v>
      </c>
      <c r="AQ137" s="1144">
        <f t="shared" si="40"/>
        <v>0</v>
      </c>
      <c r="AR137" s="1146">
        <f t="shared" si="41"/>
        <v>1187.2590624639452</v>
      </c>
    </row>
    <row r="138" spans="1:44" x14ac:dyDescent="0.2">
      <c r="A138" s="1141" t="str">
        <f t="shared" si="36"/>
        <v>1562</v>
      </c>
      <c r="B138" s="1141" t="str">
        <f>IFERROR(VLOOKUP(A138,'LAC 103'!A:C,3,FALSE),"")</f>
        <v>OP</v>
      </c>
      <c r="C138" s="1478" t="str">
        <f>Info!$B$8</f>
        <v>00100</v>
      </c>
      <c r="D138" s="1474" t="s">
        <v>1100</v>
      </c>
      <c r="E138" s="1474" t="s">
        <v>95</v>
      </c>
      <c r="F138" s="1478" t="s">
        <v>432</v>
      </c>
      <c r="G138" s="1478" t="s">
        <v>432</v>
      </c>
      <c r="H138" s="1474" t="s">
        <v>1009</v>
      </c>
      <c r="I138" s="1478" t="s">
        <v>826</v>
      </c>
      <c r="J138" s="1478"/>
      <c r="K138" s="1475" t="s">
        <v>850</v>
      </c>
      <c r="L138" s="1474" t="s">
        <v>330</v>
      </c>
      <c r="M138" s="1476" t="s">
        <v>842</v>
      </c>
      <c r="N138" s="1477" t="s">
        <v>1692</v>
      </c>
      <c r="O138" s="1479">
        <v>188</v>
      </c>
      <c r="P138" s="1479"/>
      <c r="Q138" s="1142">
        <f t="shared" si="37"/>
        <v>188</v>
      </c>
      <c r="R138" s="1143">
        <f>IFERROR(VLOOKUP(CONCATENATE(E138,G138),'LAC 103'!$A$12:$O$95,11,FALSE),0)</f>
        <v>5.936295312319726</v>
      </c>
      <c r="S138" s="1144">
        <f>IFERROR(VLOOKUP(CONCATENATE($E138,$G138),'LAC 103'!$A$12:$O$95,12,FALSE),0)</f>
        <v>7.34</v>
      </c>
      <c r="T138" s="1144">
        <f>IFERROR(VLOOKUP(CONCATENATE($E138,$G138),'LAC 103'!$A$12:$O$95,13,FALSE),0)</f>
        <v>4.59</v>
      </c>
      <c r="U138" s="1144">
        <f>IFERROR(VLOOKUP(CONCATENATE($E138,$G138),'LAC 103'!$A$12:$O$95,14,FALSE),0)</f>
        <v>0</v>
      </c>
      <c r="V138" s="1144">
        <f>IFERROR(VLOOKUP(CONCATENATE($E138,$G138),'LAC 103'!$A$12:$O$95,15,FALSE),0)</f>
        <v>0</v>
      </c>
      <c r="W138" s="1145" t="str">
        <f>IFERROR(VLOOKUP(CONCATENATE($B138,$N138),'LAC 103'!$AI:$AQ,9,FALSE),"")</f>
        <v>Costs</v>
      </c>
      <c r="X138" s="1146">
        <f t="shared" si="42"/>
        <v>5.936295312319726</v>
      </c>
      <c r="Y138" s="1143">
        <f t="shared" si="43"/>
        <v>1116.0235187161086</v>
      </c>
      <c r="Z138" s="1147">
        <f t="shared" si="44"/>
        <v>1379.92</v>
      </c>
      <c r="AA138" s="1144">
        <f t="shared" si="45"/>
        <v>862.92</v>
      </c>
      <c r="AB138" s="1144">
        <f t="shared" si="46"/>
        <v>0</v>
      </c>
      <c r="AC138" s="1144">
        <f t="shared" si="47"/>
        <v>0</v>
      </c>
      <c r="AD138" s="1148">
        <f t="shared" si="38"/>
        <v>1116.0235187161086</v>
      </c>
      <c r="AE138" s="1487">
        <v>0</v>
      </c>
      <c r="AF138" s="1145">
        <f t="shared" si="48"/>
        <v>1116.0235187161086</v>
      </c>
      <c r="AG138" s="1149">
        <f>IFERROR(VLOOKUP(CONCATENATE($L138,$N138),'Drop List'!$G$23:$K$87,2,FALSE),0)</f>
        <v>0</v>
      </c>
      <c r="AH138" s="1150">
        <f>IFERROR(VLOOKUP(CONCATENATE($L138,$N138),'Drop List'!$G$23:$K$87,3,FALSE),0)</f>
        <v>0</v>
      </c>
      <c r="AI138" s="1150">
        <f>IFERROR(VLOOKUP(CONCATENATE($L138,$N138),'Drop List'!$G$23:$K$87,4,FALSE),0)</f>
        <v>1</v>
      </c>
      <c r="AJ138" s="1151">
        <f>IFERROR(VLOOKUP(CONCATENATE($L138,$N138),'Drop List'!$G$23:$K$87,5,FALSE),0)</f>
        <v>0</v>
      </c>
      <c r="AK138" s="1152">
        <f t="shared" si="49"/>
        <v>0</v>
      </c>
      <c r="AL138" s="1153">
        <f t="shared" si="50"/>
        <v>0</v>
      </c>
      <c r="AM138" s="1153">
        <f t="shared" si="51"/>
        <v>1116.0235187161086</v>
      </c>
      <c r="AN138" s="1145">
        <f t="shared" si="52"/>
        <v>0</v>
      </c>
      <c r="AO138" s="1154">
        <f t="shared" si="53"/>
        <v>1116.0235187161086</v>
      </c>
      <c r="AP138" s="1147">
        <f t="shared" si="39"/>
        <v>0</v>
      </c>
      <c r="AQ138" s="1144">
        <f t="shared" si="40"/>
        <v>0</v>
      </c>
      <c r="AR138" s="1146">
        <f t="shared" si="41"/>
        <v>1116.0235187161086</v>
      </c>
    </row>
    <row r="139" spans="1:44" x14ac:dyDescent="0.2">
      <c r="A139" s="1141" t="str">
        <f t="shared" si="36"/>
        <v>1562</v>
      </c>
      <c r="B139" s="1141" t="str">
        <f>IFERROR(VLOOKUP(A139,'LAC 103'!A:C,3,FALSE),"")</f>
        <v>OP</v>
      </c>
      <c r="C139" s="1478" t="str">
        <f>Info!$B$8</f>
        <v>00100</v>
      </c>
      <c r="D139" s="1474" t="s">
        <v>1100</v>
      </c>
      <c r="E139" s="1474" t="s">
        <v>95</v>
      </c>
      <c r="F139" s="1478" t="s">
        <v>432</v>
      </c>
      <c r="G139" s="1478" t="s">
        <v>432</v>
      </c>
      <c r="H139" s="1474" t="s">
        <v>1009</v>
      </c>
      <c r="I139" s="1478" t="s">
        <v>826</v>
      </c>
      <c r="J139" s="1478"/>
      <c r="K139" s="1475" t="s">
        <v>850</v>
      </c>
      <c r="L139" s="1474" t="s">
        <v>330</v>
      </c>
      <c r="M139" s="1476" t="s">
        <v>1698</v>
      </c>
      <c r="N139" s="1477" t="s">
        <v>1693</v>
      </c>
      <c r="O139" s="1479">
        <v>281</v>
      </c>
      <c r="P139" s="1479"/>
      <c r="Q139" s="1142">
        <f t="shared" si="37"/>
        <v>281</v>
      </c>
      <c r="R139" s="1143">
        <f>IFERROR(VLOOKUP(CONCATENATE(E139,G139),'LAC 103'!$A$12:$O$95,11,FALSE),0)</f>
        <v>5.936295312319726</v>
      </c>
      <c r="S139" s="1144">
        <f>IFERROR(VLOOKUP(CONCATENATE($E139,$G139),'LAC 103'!$A$12:$O$95,12,FALSE),0)</f>
        <v>7.34</v>
      </c>
      <c r="T139" s="1144">
        <f>IFERROR(VLOOKUP(CONCATENATE($E139,$G139),'LAC 103'!$A$12:$O$95,13,FALSE),0)</f>
        <v>4.59</v>
      </c>
      <c r="U139" s="1144">
        <f>IFERROR(VLOOKUP(CONCATENATE($E139,$G139),'LAC 103'!$A$12:$O$95,14,FALSE),0)</f>
        <v>0</v>
      </c>
      <c r="V139" s="1144">
        <f>IFERROR(VLOOKUP(CONCATENATE($E139,$G139),'LAC 103'!$A$12:$O$95,15,FALSE),0)</f>
        <v>0</v>
      </c>
      <c r="W139" s="1145" t="str">
        <f>IFERROR(VLOOKUP(CONCATENATE($B139,$N139),'LAC 103'!$AI:$AQ,9,FALSE),"")</f>
        <v>Costs</v>
      </c>
      <c r="X139" s="1146">
        <f t="shared" si="42"/>
        <v>5.936295312319726</v>
      </c>
      <c r="Y139" s="1143">
        <f t="shared" si="43"/>
        <v>1668.098982761843</v>
      </c>
      <c r="Z139" s="1147">
        <f t="shared" si="44"/>
        <v>2062.54</v>
      </c>
      <c r="AA139" s="1144">
        <f t="shared" si="45"/>
        <v>1289.79</v>
      </c>
      <c r="AB139" s="1144">
        <f t="shared" si="46"/>
        <v>0</v>
      </c>
      <c r="AC139" s="1144">
        <f t="shared" si="47"/>
        <v>0</v>
      </c>
      <c r="AD139" s="1148">
        <f t="shared" si="38"/>
        <v>1668.098982761843</v>
      </c>
      <c r="AE139" s="1487">
        <v>0</v>
      </c>
      <c r="AF139" s="1145">
        <f t="shared" si="48"/>
        <v>1668.098982761843</v>
      </c>
      <c r="AG139" s="1149">
        <f>IFERROR(VLOOKUP(CONCATENATE($L139,$N139),'Drop List'!$G$23:$K$87,2,FALSE),0)</f>
        <v>0</v>
      </c>
      <c r="AH139" s="1150">
        <f>IFERROR(VLOOKUP(CONCATENATE($L139,$N139),'Drop List'!$G$23:$K$87,3,FALSE),0)</f>
        <v>0</v>
      </c>
      <c r="AI139" s="1150">
        <f>IFERROR(VLOOKUP(CONCATENATE($L139,$N139),'Drop List'!$G$23:$K$87,4,FALSE),0)</f>
        <v>1</v>
      </c>
      <c r="AJ139" s="1151">
        <f>IFERROR(VLOOKUP(CONCATENATE($L139,$N139),'Drop List'!$G$23:$K$87,5,FALSE),0)</f>
        <v>0</v>
      </c>
      <c r="AK139" s="1152">
        <f t="shared" si="49"/>
        <v>0</v>
      </c>
      <c r="AL139" s="1153">
        <f t="shared" si="50"/>
        <v>0</v>
      </c>
      <c r="AM139" s="1153">
        <f t="shared" si="51"/>
        <v>1668.098982761843</v>
      </c>
      <c r="AN139" s="1145">
        <f t="shared" si="52"/>
        <v>0</v>
      </c>
      <c r="AO139" s="1154">
        <f t="shared" si="53"/>
        <v>1668.098982761843</v>
      </c>
      <c r="AP139" s="1147">
        <f t="shared" si="39"/>
        <v>0</v>
      </c>
      <c r="AQ139" s="1144">
        <f t="shared" si="40"/>
        <v>0</v>
      </c>
      <c r="AR139" s="1146">
        <f t="shared" si="41"/>
        <v>1668.098982761843</v>
      </c>
    </row>
    <row r="140" spans="1:44" x14ac:dyDescent="0.2">
      <c r="A140" s="1141" t="str">
        <f t="shared" si="36"/>
        <v>1562</v>
      </c>
      <c r="B140" s="1141" t="str">
        <f>IFERROR(VLOOKUP(A140,'LAC 103'!A:C,3,FALSE),"")</f>
        <v>OP</v>
      </c>
      <c r="C140" s="1478" t="str">
        <f>Info!$B$8</f>
        <v>00100</v>
      </c>
      <c r="D140" s="1474" t="s">
        <v>1100</v>
      </c>
      <c r="E140" s="1474" t="s">
        <v>95</v>
      </c>
      <c r="F140" s="1478" t="s">
        <v>432</v>
      </c>
      <c r="G140" s="1478" t="s">
        <v>432</v>
      </c>
      <c r="H140" s="1474" t="s">
        <v>1009</v>
      </c>
      <c r="I140" s="1478" t="s">
        <v>826</v>
      </c>
      <c r="J140" s="1478"/>
      <c r="K140" s="1475" t="s">
        <v>851</v>
      </c>
      <c r="L140" s="1474" t="s">
        <v>584</v>
      </c>
      <c r="M140" s="1476" t="s">
        <v>1699</v>
      </c>
      <c r="N140" s="1477" t="s">
        <v>1694</v>
      </c>
      <c r="O140" s="1479">
        <v>2881</v>
      </c>
      <c r="P140" s="1479"/>
      <c r="Q140" s="1142">
        <f t="shared" si="37"/>
        <v>2881</v>
      </c>
      <c r="R140" s="1143">
        <f>IFERROR(VLOOKUP(CONCATENATE(E140,G140),'LAC 103'!$A$12:$O$95,11,FALSE),0)</f>
        <v>5.936295312319726</v>
      </c>
      <c r="S140" s="1144">
        <f>IFERROR(VLOOKUP(CONCATENATE($E140,$G140),'LAC 103'!$A$12:$O$95,12,FALSE),0)</f>
        <v>7.34</v>
      </c>
      <c r="T140" s="1144">
        <f>IFERROR(VLOOKUP(CONCATENATE($E140,$G140),'LAC 103'!$A$12:$O$95,13,FALSE),0)</f>
        <v>4.59</v>
      </c>
      <c r="U140" s="1144">
        <f>IFERROR(VLOOKUP(CONCATENATE($E140,$G140),'LAC 103'!$A$12:$O$95,14,FALSE),0)</f>
        <v>0</v>
      </c>
      <c r="V140" s="1144">
        <f>IFERROR(VLOOKUP(CONCATENATE($E140,$G140),'LAC 103'!$A$12:$O$95,15,FALSE),0)</f>
        <v>0</v>
      </c>
      <c r="W140" s="1145" t="str">
        <f>IFERROR(VLOOKUP(CONCATENATE($B140,$N140),'LAC 103'!$AI:$AQ,9,FALSE),"")</f>
        <v>Costs</v>
      </c>
      <c r="X140" s="1146">
        <f t="shared" si="42"/>
        <v>5.936295312319726</v>
      </c>
      <c r="Y140" s="1143">
        <f t="shared" si="43"/>
        <v>17102.46679479313</v>
      </c>
      <c r="Z140" s="1147">
        <f t="shared" si="44"/>
        <v>21146.54</v>
      </c>
      <c r="AA140" s="1144">
        <f t="shared" si="45"/>
        <v>13223.789999999999</v>
      </c>
      <c r="AB140" s="1144">
        <f t="shared" si="46"/>
        <v>0</v>
      </c>
      <c r="AC140" s="1144">
        <f t="shared" si="47"/>
        <v>0</v>
      </c>
      <c r="AD140" s="1148">
        <f t="shared" si="38"/>
        <v>17102.46679479313</v>
      </c>
      <c r="AE140" s="1487">
        <v>0</v>
      </c>
      <c r="AF140" s="1145">
        <f t="shared" si="48"/>
        <v>17102.46679479313</v>
      </c>
      <c r="AG140" s="1149">
        <f>IFERROR(VLOOKUP(CONCATENATE($L140,$N140),'Drop List'!$G$23:$K$87,2,FALSE),0)</f>
        <v>0.56200000000000006</v>
      </c>
      <c r="AH140" s="1150">
        <f>IFERROR(VLOOKUP(CONCATENATE($L140,$N140),'Drop List'!$G$23:$K$87,3,FALSE),0)</f>
        <v>0</v>
      </c>
      <c r="AI140" s="1150">
        <f>IFERROR(VLOOKUP(CONCATENATE($L140,$N140),'Drop List'!$G$23:$K$87,4,FALSE),0)</f>
        <v>0</v>
      </c>
      <c r="AJ140" s="1151">
        <f>IFERROR(VLOOKUP(CONCATENATE($L140,$N140),'Drop List'!$G$23:$K$87,5,FALSE),0)</f>
        <v>0.43799999999999994</v>
      </c>
      <c r="AK140" s="1152">
        <f t="shared" si="49"/>
        <v>9611.5863386737401</v>
      </c>
      <c r="AL140" s="1153">
        <f t="shared" si="50"/>
        <v>0</v>
      </c>
      <c r="AM140" s="1153">
        <f t="shared" si="51"/>
        <v>0</v>
      </c>
      <c r="AN140" s="1145">
        <f t="shared" si="52"/>
        <v>7490.8804561193901</v>
      </c>
      <c r="AO140" s="1154">
        <f t="shared" si="53"/>
        <v>17102.46679479313</v>
      </c>
      <c r="AP140" s="1147">
        <f t="shared" si="39"/>
        <v>0</v>
      </c>
      <c r="AQ140" s="1144">
        <f t="shared" si="40"/>
        <v>0</v>
      </c>
      <c r="AR140" s="1146">
        <f t="shared" si="41"/>
        <v>17102.46679479313</v>
      </c>
    </row>
    <row r="141" spans="1:44" x14ac:dyDescent="0.2">
      <c r="A141" s="1141" t="str">
        <f t="shared" si="36"/>
        <v>1562</v>
      </c>
      <c r="B141" s="1141" t="str">
        <f>IFERROR(VLOOKUP(A141,'LAC 103'!A:C,3,FALSE),"")</f>
        <v>OP</v>
      </c>
      <c r="C141" s="1478" t="str">
        <f>Info!$B$8</f>
        <v>00100</v>
      </c>
      <c r="D141" s="1474" t="s">
        <v>1100</v>
      </c>
      <c r="E141" s="1474" t="s">
        <v>95</v>
      </c>
      <c r="F141" s="1478" t="s">
        <v>432</v>
      </c>
      <c r="G141" s="1478" t="s">
        <v>432</v>
      </c>
      <c r="H141" s="1474" t="s">
        <v>1009</v>
      </c>
      <c r="I141" s="1478" t="s">
        <v>826</v>
      </c>
      <c r="J141" s="1478"/>
      <c r="K141" s="1475" t="s">
        <v>851</v>
      </c>
      <c r="L141" s="1474" t="s">
        <v>584</v>
      </c>
      <c r="M141" s="1476" t="s">
        <v>842</v>
      </c>
      <c r="N141" s="1477" t="s">
        <v>1692</v>
      </c>
      <c r="O141" s="1479">
        <v>6083</v>
      </c>
      <c r="P141" s="1479"/>
      <c r="Q141" s="1142">
        <f t="shared" si="37"/>
        <v>6083</v>
      </c>
      <c r="R141" s="1143">
        <f>IFERROR(VLOOKUP(CONCATENATE(E141,G141),'LAC 103'!$A$12:$O$95,11,FALSE),0)</f>
        <v>5.936295312319726</v>
      </c>
      <c r="S141" s="1144">
        <f>IFERROR(VLOOKUP(CONCATENATE($E141,$G141),'LAC 103'!$A$12:$O$95,12,FALSE),0)</f>
        <v>7.34</v>
      </c>
      <c r="T141" s="1144">
        <f>IFERROR(VLOOKUP(CONCATENATE($E141,$G141),'LAC 103'!$A$12:$O$95,13,FALSE),0)</f>
        <v>4.59</v>
      </c>
      <c r="U141" s="1144">
        <f>IFERROR(VLOOKUP(CONCATENATE($E141,$G141),'LAC 103'!$A$12:$O$95,14,FALSE),0)</f>
        <v>0</v>
      </c>
      <c r="V141" s="1144">
        <f>IFERROR(VLOOKUP(CONCATENATE($E141,$G141),'LAC 103'!$A$12:$O$95,15,FALSE),0)</f>
        <v>0</v>
      </c>
      <c r="W141" s="1145" t="str">
        <f>IFERROR(VLOOKUP(CONCATENATE($B141,$N141),'LAC 103'!$AI:$AQ,9,FALSE),"")</f>
        <v>Costs</v>
      </c>
      <c r="X141" s="1146">
        <f t="shared" si="42"/>
        <v>5.936295312319726</v>
      </c>
      <c r="Y141" s="1143">
        <f t="shared" si="43"/>
        <v>36110.484384840893</v>
      </c>
      <c r="Z141" s="1147">
        <f t="shared" si="44"/>
        <v>44649.22</v>
      </c>
      <c r="AA141" s="1144">
        <f t="shared" si="45"/>
        <v>27920.969999999998</v>
      </c>
      <c r="AB141" s="1144">
        <f t="shared" si="46"/>
        <v>0</v>
      </c>
      <c r="AC141" s="1144">
        <f t="shared" si="47"/>
        <v>0</v>
      </c>
      <c r="AD141" s="1148">
        <f t="shared" si="38"/>
        <v>36110.484384840893</v>
      </c>
      <c r="AE141" s="1487">
        <v>0</v>
      </c>
      <c r="AF141" s="1145">
        <f t="shared" si="48"/>
        <v>36110.484384840893</v>
      </c>
      <c r="AG141" s="1149">
        <f>IFERROR(VLOOKUP(CONCATENATE($L141,$N141),'Drop List'!$G$23:$K$87,2,FALSE),0)</f>
        <v>0.56200000000000006</v>
      </c>
      <c r="AH141" s="1150">
        <f>IFERROR(VLOOKUP(CONCATENATE($L141,$N141),'Drop List'!$G$23:$K$87,3,FALSE),0)</f>
        <v>0</v>
      </c>
      <c r="AI141" s="1150">
        <f>IFERROR(VLOOKUP(CONCATENATE($L141,$N141),'Drop List'!$G$23:$K$87,4,FALSE),0)</f>
        <v>0</v>
      </c>
      <c r="AJ141" s="1151">
        <f>IFERROR(VLOOKUP(CONCATENATE($L141,$N141),'Drop List'!$G$23:$K$87,5,FALSE),0)</f>
        <v>0.43799999999999994</v>
      </c>
      <c r="AK141" s="1152">
        <f t="shared" si="49"/>
        <v>20294.092224280583</v>
      </c>
      <c r="AL141" s="1153">
        <f t="shared" si="50"/>
        <v>0</v>
      </c>
      <c r="AM141" s="1153">
        <f t="shared" si="51"/>
        <v>0</v>
      </c>
      <c r="AN141" s="1145">
        <f t="shared" si="52"/>
        <v>15816.392160560308</v>
      </c>
      <c r="AO141" s="1154">
        <f t="shared" si="53"/>
        <v>36110.484384840893</v>
      </c>
      <c r="AP141" s="1147">
        <f t="shared" si="39"/>
        <v>0</v>
      </c>
      <c r="AQ141" s="1144">
        <f t="shared" si="40"/>
        <v>0</v>
      </c>
      <c r="AR141" s="1146">
        <f t="shared" si="41"/>
        <v>36110.484384840893</v>
      </c>
    </row>
    <row r="142" spans="1:44" x14ac:dyDescent="0.2">
      <c r="A142" s="1141" t="str">
        <f t="shared" si="36"/>
        <v>1562</v>
      </c>
      <c r="B142" s="1141" t="str">
        <f>IFERROR(VLOOKUP(A142,'LAC 103'!A:C,3,FALSE),"")</f>
        <v>OP</v>
      </c>
      <c r="C142" s="1478" t="str">
        <f>Info!$B$8</f>
        <v>00100</v>
      </c>
      <c r="D142" s="1474" t="s">
        <v>1100</v>
      </c>
      <c r="E142" s="1474" t="s">
        <v>95</v>
      </c>
      <c r="F142" s="1478" t="s">
        <v>432</v>
      </c>
      <c r="G142" s="1478" t="s">
        <v>432</v>
      </c>
      <c r="H142" s="1474" t="s">
        <v>1009</v>
      </c>
      <c r="I142" s="1478" t="s">
        <v>826</v>
      </c>
      <c r="J142" s="1478"/>
      <c r="K142" s="1475" t="s">
        <v>851</v>
      </c>
      <c r="L142" s="1474" t="s">
        <v>584</v>
      </c>
      <c r="M142" s="1476" t="s">
        <v>1698</v>
      </c>
      <c r="N142" s="1477" t="s">
        <v>1693</v>
      </c>
      <c r="O142" s="1479">
        <v>5724</v>
      </c>
      <c r="P142" s="1479"/>
      <c r="Q142" s="1142">
        <f t="shared" si="37"/>
        <v>5724</v>
      </c>
      <c r="R142" s="1143">
        <f>IFERROR(VLOOKUP(CONCATENATE(E142,G142),'LAC 103'!$A$12:$O$95,11,FALSE),0)</f>
        <v>5.936295312319726</v>
      </c>
      <c r="S142" s="1144">
        <f>IFERROR(VLOOKUP(CONCATENATE($E142,$G142),'LAC 103'!$A$12:$O$95,12,FALSE),0)</f>
        <v>7.34</v>
      </c>
      <c r="T142" s="1144">
        <f>IFERROR(VLOOKUP(CONCATENATE($E142,$G142),'LAC 103'!$A$12:$O$95,13,FALSE),0)</f>
        <v>4.59</v>
      </c>
      <c r="U142" s="1144">
        <f>IFERROR(VLOOKUP(CONCATENATE($E142,$G142),'LAC 103'!$A$12:$O$95,14,FALSE),0)</f>
        <v>0</v>
      </c>
      <c r="V142" s="1144">
        <f>IFERROR(VLOOKUP(CONCATENATE($E142,$G142),'LAC 103'!$A$12:$O$95,15,FALSE),0)</f>
        <v>0</v>
      </c>
      <c r="W142" s="1145" t="str">
        <f>IFERROR(VLOOKUP(CONCATENATE($B142,$N142),'LAC 103'!$AI:$AQ,9,FALSE),"")</f>
        <v>Costs</v>
      </c>
      <c r="X142" s="1146">
        <f t="shared" si="42"/>
        <v>5.936295312319726</v>
      </c>
      <c r="Y142" s="1143">
        <f t="shared" si="43"/>
        <v>33979.354367718108</v>
      </c>
      <c r="Z142" s="1147">
        <f t="shared" si="44"/>
        <v>42014.159999999996</v>
      </c>
      <c r="AA142" s="1144">
        <f t="shared" si="45"/>
        <v>26273.16</v>
      </c>
      <c r="AB142" s="1144">
        <f t="shared" si="46"/>
        <v>0</v>
      </c>
      <c r="AC142" s="1144">
        <f t="shared" si="47"/>
        <v>0</v>
      </c>
      <c r="AD142" s="1148">
        <f t="shared" si="38"/>
        <v>33979.354367718108</v>
      </c>
      <c r="AE142" s="1487">
        <v>0</v>
      </c>
      <c r="AF142" s="1145">
        <f t="shared" si="48"/>
        <v>33979.354367718108</v>
      </c>
      <c r="AG142" s="1149">
        <f>IFERROR(VLOOKUP(CONCATENATE($L142,$N142),'Drop List'!$G$23:$K$87,2,FALSE),0)</f>
        <v>0.56200000000000006</v>
      </c>
      <c r="AH142" s="1150">
        <f>IFERROR(VLOOKUP(CONCATENATE($L142,$N142),'Drop List'!$G$23:$K$87,3,FALSE),0)</f>
        <v>0</v>
      </c>
      <c r="AI142" s="1150">
        <f>IFERROR(VLOOKUP(CONCATENATE($L142,$N142),'Drop List'!$G$23:$K$87,4,FALSE),0)</f>
        <v>0</v>
      </c>
      <c r="AJ142" s="1151">
        <f>IFERROR(VLOOKUP(CONCATENATE($L142,$N142),'Drop List'!$G$23:$K$87,5,FALSE),0)</f>
        <v>0.43799999999999994</v>
      </c>
      <c r="AK142" s="1152">
        <f t="shared" si="49"/>
        <v>19096.397154657578</v>
      </c>
      <c r="AL142" s="1153">
        <f t="shared" si="50"/>
        <v>0</v>
      </c>
      <c r="AM142" s="1153">
        <f t="shared" si="51"/>
        <v>0</v>
      </c>
      <c r="AN142" s="1145">
        <f t="shared" si="52"/>
        <v>14882.95721306053</v>
      </c>
      <c r="AO142" s="1154">
        <f t="shared" si="53"/>
        <v>33979.354367718108</v>
      </c>
      <c r="AP142" s="1147">
        <f t="shared" si="39"/>
        <v>0</v>
      </c>
      <c r="AQ142" s="1144">
        <f t="shared" si="40"/>
        <v>0</v>
      </c>
      <c r="AR142" s="1146">
        <f t="shared" si="41"/>
        <v>33979.354367718108</v>
      </c>
    </row>
    <row r="143" spans="1:44" x14ac:dyDescent="0.2">
      <c r="A143" s="1141" t="str">
        <f t="shared" si="36"/>
        <v>1562</v>
      </c>
      <c r="B143" s="1141" t="str">
        <f>IFERROR(VLOOKUP(A143,'LAC 103'!A:C,3,FALSE),"")</f>
        <v>OP</v>
      </c>
      <c r="C143" s="1478" t="str">
        <f>Info!$B$8</f>
        <v>00100</v>
      </c>
      <c r="D143" s="1474" t="s">
        <v>1100</v>
      </c>
      <c r="E143" s="1474" t="s">
        <v>95</v>
      </c>
      <c r="F143" s="1478" t="s">
        <v>432</v>
      </c>
      <c r="G143" s="1478" t="s">
        <v>432</v>
      </c>
      <c r="H143" s="1474" t="s">
        <v>970</v>
      </c>
      <c r="I143" s="1478" t="s">
        <v>817</v>
      </c>
      <c r="J143" s="1478" t="s">
        <v>123</v>
      </c>
      <c r="K143" s="1475" t="s">
        <v>849</v>
      </c>
      <c r="L143" s="1474" t="s">
        <v>77</v>
      </c>
      <c r="M143" s="1476" t="s">
        <v>1699</v>
      </c>
      <c r="N143" s="1477" t="s">
        <v>1694</v>
      </c>
      <c r="O143" s="1479">
        <v>7678</v>
      </c>
      <c r="P143" s="1479"/>
      <c r="Q143" s="1142">
        <f t="shared" si="37"/>
        <v>7678</v>
      </c>
      <c r="R143" s="1143">
        <f>IFERROR(VLOOKUP(CONCATENATE(E143,G143),'LAC 103'!$A$12:$O$95,11,FALSE),0)</f>
        <v>5.936295312319726</v>
      </c>
      <c r="S143" s="1144">
        <f>IFERROR(VLOOKUP(CONCATENATE($E143,$G143),'LAC 103'!$A$12:$O$95,12,FALSE),0)</f>
        <v>7.34</v>
      </c>
      <c r="T143" s="1144">
        <f>IFERROR(VLOOKUP(CONCATENATE($E143,$G143),'LAC 103'!$A$12:$O$95,13,FALSE),0)</f>
        <v>4.59</v>
      </c>
      <c r="U143" s="1144">
        <f>IFERROR(VLOOKUP(CONCATENATE($E143,$G143),'LAC 103'!$A$12:$O$95,14,FALSE),0)</f>
        <v>0</v>
      </c>
      <c r="V143" s="1144">
        <f>IFERROR(VLOOKUP(CONCATENATE($E143,$G143),'LAC 103'!$A$12:$O$95,15,FALSE),0)</f>
        <v>0</v>
      </c>
      <c r="W143" s="1145" t="str">
        <f>IFERROR(VLOOKUP(CONCATENATE($B143,$N143),'LAC 103'!$AI:$AQ,9,FALSE),"")</f>
        <v>Costs</v>
      </c>
      <c r="X143" s="1146">
        <f t="shared" si="42"/>
        <v>5.936295312319726</v>
      </c>
      <c r="Y143" s="1143">
        <f t="shared" si="43"/>
        <v>45578.875407990854</v>
      </c>
      <c r="Z143" s="1147">
        <f t="shared" si="44"/>
        <v>56356.52</v>
      </c>
      <c r="AA143" s="1144">
        <f t="shared" si="45"/>
        <v>35242.019999999997</v>
      </c>
      <c r="AB143" s="1144">
        <f t="shared" si="46"/>
        <v>0</v>
      </c>
      <c r="AC143" s="1144">
        <f t="shared" si="47"/>
        <v>0</v>
      </c>
      <c r="AD143" s="1148">
        <f t="shared" si="38"/>
        <v>45578.875407990854</v>
      </c>
      <c r="AE143" s="1487">
        <v>0</v>
      </c>
      <c r="AF143" s="1145">
        <f t="shared" si="48"/>
        <v>45578.875407990854</v>
      </c>
      <c r="AG143" s="1149">
        <f>IFERROR(VLOOKUP(CONCATENATE($L143,$N143),'Drop List'!$G$23:$K$87,2,FALSE),0)</f>
        <v>0.9</v>
      </c>
      <c r="AH143" s="1150">
        <f>IFERROR(VLOOKUP(CONCATENATE($L143,$N143),'Drop List'!$G$23:$K$87,3,FALSE),0)</f>
        <v>0</v>
      </c>
      <c r="AI143" s="1150">
        <f>IFERROR(VLOOKUP(CONCATENATE($L143,$N143),'Drop List'!$G$23:$K$87,4,FALSE),0)</f>
        <v>0.1</v>
      </c>
      <c r="AJ143" s="1151">
        <f>IFERROR(VLOOKUP(CONCATENATE($L143,$N143),'Drop List'!$G$23:$K$87,5,FALSE),0)</f>
        <v>0</v>
      </c>
      <c r="AK143" s="1152">
        <f t="shared" si="49"/>
        <v>41020.987867191769</v>
      </c>
      <c r="AL143" s="1153">
        <f t="shared" si="50"/>
        <v>0</v>
      </c>
      <c r="AM143" s="1153">
        <f t="shared" si="51"/>
        <v>4557.8875407990854</v>
      </c>
      <c r="AN143" s="1145">
        <f t="shared" si="52"/>
        <v>0</v>
      </c>
      <c r="AO143" s="1154">
        <f t="shared" si="53"/>
        <v>45578.875407990854</v>
      </c>
      <c r="AP143" s="1147">
        <f t="shared" si="39"/>
        <v>0</v>
      </c>
      <c r="AQ143" s="1144">
        <f t="shared" si="40"/>
        <v>0</v>
      </c>
      <c r="AR143" s="1146">
        <f t="shared" si="41"/>
        <v>45578.875407990854</v>
      </c>
    </row>
    <row r="144" spans="1:44" x14ac:dyDescent="0.2">
      <c r="A144" s="1141" t="str">
        <f t="shared" si="36"/>
        <v>1562</v>
      </c>
      <c r="B144" s="1141" t="str">
        <f>IFERROR(VLOOKUP(A144,'LAC 103'!A:C,3,FALSE),"")</f>
        <v>OP</v>
      </c>
      <c r="C144" s="1478" t="str">
        <f>Info!$B$8</f>
        <v>00100</v>
      </c>
      <c r="D144" s="1474" t="s">
        <v>1100</v>
      </c>
      <c r="E144" s="1474" t="s">
        <v>95</v>
      </c>
      <c r="F144" s="1478" t="s">
        <v>432</v>
      </c>
      <c r="G144" s="1478" t="s">
        <v>432</v>
      </c>
      <c r="H144" s="1474" t="s">
        <v>970</v>
      </c>
      <c r="I144" s="1478" t="s">
        <v>817</v>
      </c>
      <c r="J144" s="1478"/>
      <c r="K144" s="1475" t="s">
        <v>849</v>
      </c>
      <c r="L144" s="1474" t="s">
        <v>77</v>
      </c>
      <c r="M144" s="1476" t="s">
        <v>841</v>
      </c>
      <c r="N144" s="1477" t="s">
        <v>1695</v>
      </c>
      <c r="O144" s="1479">
        <v>5372</v>
      </c>
      <c r="P144" s="1479"/>
      <c r="Q144" s="1142">
        <f t="shared" si="37"/>
        <v>5372</v>
      </c>
      <c r="R144" s="1143">
        <f>IFERROR(VLOOKUP(CONCATENATE(E144,G144),'LAC 103'!$A$12:$O$95,11,FALSE),0)</f>
        <v>5.936295312319726</v>
      </c>
      <c r="S144" s="1144">
        <f>IFERROR(VLOOKUP(CONCATENATE($E144,$G144),'LAC 103'!$A$12:$O$95,12,FALSE),0)</f>
        <v>7.34</v>
      </c>
      <c r="T144" s="1144">
        <f>IFERROR(VLOOKUP(CONCATENATE($E144,$G144),'LAC 103'!$A$12:$O$95,13,FALSE),0)</f>
        <v>4.59</v>
      </c>
      <c r="U144" s="1144">
        <f>IFERROR(VLOOKUP(CONCATENATE($E144,$G144),'LAC 103'!$A$12:$O$95,14,FALSE),0)</f>
        <v>0</v>
      </c>
      <c r="V144" s="1144">
        <f>IFERROR(VLOOKUP(CONCATENATE($E144,$G144),'LAC 103'!$A$12:$O$95,15,FALSE),0)</f>
        <v>0</v>
      </c>
      <c r="W144" s="1145" t="str">
        <f>IFERROR(VLOOKUP(CONCATENATE($B144,$N144),'LAC 103'!$AI:$AQ,9,FALSE),"")</f>
        <v>Costs</v>
      </c>
      <c r="X144" s="1146">
        <f t="shared" si="42"/>
        <v>5.936295312319726</v>
      </c>
      <c r="Y144" s="1143">
        <f t="shared" si="43"/>
        <v>31889.778417781567</v>
      </c>
      <c r="Z144" s="1147">
        <f t="shared" si="44"/>
        <v>39430.479999999996</v>
      </c>
      <c r="AA144" s="1144">
        <f t="shared" si="45"/>
        <v>24657.48</v>
      </c>
      <c r="AB144" s="1144">
        <f t="shared" si="46"/>
        <v>0</v>
      </c>
      <c r="AC144" s="1144">
        <f t="shared" si="47"/>
        <v>0</v>
      </c>
      <c r="AD144" s="1148">
        <f t="shared" si="38"/>
        <v>31889.778417781567</v>
      </c>
      <c r="AE144" s="1487">
        <v>0</v>
      </c>
      <c r="AF144" s="1145">
        <f t="shared" si="48"/>
        <v>31889.778417781567</v>
      </c>
      <c r="AG144" s="1149">
        <f>IFERROR(VLOOKUP(CONCATENATE($L144,$N144),'Drop List'!$G$23:$K$87,2,FALSE),0)</f>
        <v>0.9</v>
      </c>
      <c r="AH144" s="1150">
        <f>IFERROR(VLOOKUP(CONCATENATE($L144,$N144),'Drop List'!$G$23:$K$87,3,FALSE),0)</f>
        <v>0</v>
      </c>
      <c r="AI144" s="1150">
        <f>IFERROR(VLOOKUP(CONCATENATE($L144,$N144),'Drop List'!$G$23:$K$87,4,FALSE),0)</f>
        <v>0.1</v>
      </c>
      <c r="AJ144" s="1151">
        <f>IFERROR(VLOOKUP(CONCATENATE($L144,$N144),'Drop List'!$G$23:$K$87,5,FALSE),0)</f>
        <v>0</v>
      </c>
      <c r="AK144" s="1152">
        <f t="shared" si="49"/>
        <v>28700.80057600341</v>
      </c>
      <c r="AL144" s="1153">
        <f t="shared" si="50"/>
        <v>0</v>
      </c>
      <c r="AM144" s="1153">
        <f t="shared" si="51"/>
        <v>3188.9778417781567</v>
      </c>
      <c r="AN144" s="1145">
        <f t="shared" si="52"/>
        <v>0</v>
      </c>
      <c r="AO144" s="1154">
        <f t="shared" si="53"/>
        <v>31889.778417781567</v>
      </c>
      <c r="AP144" s="1147">
        <f t="shared" si="39"/>
        <v>0</v>
      </c>
      <c r="AQ144" s="1144">
        <f t="shared" si="40"/>
        <v>0</v>
      </c>
      <c r="AR144" s="1146">
        <f t="shared" si="41"/>
        <v>31889.778417781567</v>
      </c>
    </row>
    <row r="145" spans="1:44" x14ac:dyDescent="0.2">
      <c r="A145" s="1141" t="str">
        <f t="shared" si="36"/>
        <v>1562</v>
      </c>
      <c r="B145" s="1141" t="str">
        <f>IFERROR(VLOOKUP(A145,'LAC 103'!A:C,3,FALSE),"")</f>
        <v>OP</v>
      </c>
      <c r="C145" s="1478" t="str">
        <f>Info!$B$8</f>
        <v>00100</v>
      </c>
      <c r="D145" s="1474" t="s">
        <v>1100</v>
      </c>
      <c r="E145" s="1474" t="s">
        <v>95</v>
      </c>
      <c r="F145" s="1478" t="s">
        <v>432</v>
      </c>
      <c r="G145" s="1478" t="s">
        <v>432</v>
      </c>
      <c r="H145" s="1474" t="s">
        <v>970</v>
      </c>
      <c r="I145" s="1478" t="s">
        <v>817</v>
      </c>
      <c r="J145" s="1478"/>
      <c r="K145" s="1475" t="s">
        <v>849</v>
      </c>
      <c r="L145" s="1474" t="s">
        <v>77</v>
      </c>
      <c r="M145" s="1476" t="s">
        <v>840</v>
      </c>
      <c r="N145" s="1477" t="s">
        <v>1700</v>
      </c>
      <c r="O145" s="1479">
        <v>5836</v>
      </c>
      <c r="P145" s="1479"/>
      <c r="Q145" s="1142">
        <f t="shared" si="37"/>
        <v>5836</v>
      </c>
      <c r="R145" s="1143">
        <f>IFERROR(VLOOKUP(CONCATENATE(E145,G145),'LAC 103'!$A$12:$O$95,11,FALSE),0)</f>
        <v>5.936295312319726</v>
      </c>
      <c r="S145" s="1144">
        <f>IFERROR(VLOOKUP(CONCATENATE($E145,$G145),'LAC 103'!$A$12:$O$95,12,FALSE),0)</f>
        <v>7.34</v>
      </c>
      <c r="T145" s="1144">
        <f>IFERROR(VLOOKUP(CONCATENATE($E145,$G145),'LAC 103'!$A$12:$O$95,13,FALSE),0)</f>
        <v>4.59</v>
      </c>
      <c r="U145" s="1144">
        <f>IFERROR(VLOOKUP(CONCATENATE($E145,$G145),'LAC 103'!$A$12:$O$95,14,FALSE),0)</f>
        <v>0</v>
      </c>
      <c r="V145" s="1144">
        <f>IFERROR(VLOOKUP(CONCATENATE($E145,$G145),'LAC 103'!$A$12:$O$95,15,FALSE),0)</f>
        <v>0</v>
      </c>
      <c r="W145" s="1145" t="str">
        <f>IFERROR(VLOOKUP(CONCATENATE($B145,$N145),'LAC 103'!$AI:$AQ,9,FALSE),"")</f>
        <v>P.C.</v>
      </c>
      <c r="X145" s="1146">
        <f t="shared" si="42"/>
        <v>4.59</v>
      </c>
      <c r="Y145" s="1143">
        <f t="shared" si="43"/>
        <v>34644.219442697919</v>
      </c>
      <c r="Z145" s="1147">
        <f t="shared" si="44"/>
        <v>42836.24</v>
      </c>
      <c r="AA145" s="1144">
        <f t="shared" si="45"/>
        <v>26787.239999999998</v>
      </c>
      <c r="AB145" s="1144">
        <f t="shared" si="46"/>
        <v>0</v>
      </c>
      <c r="AC145" s="1144">
        <f t="shared" si="47"/>
        <v>0</v>
      </c>
      <c r="AD145" s="1148">
        <f t="shared" si="38"/>
        <v>26787.239999999998</v>
      </c>
      <c r="AE145" s="1487">
        <v>0</v>
      </c>
      <c r="AF145" s="1145">
        <f t="shared" si="48"/>
        <v>26787.239999999998</v>
      </c>
      <c r="AG145" s="1149">
        <f>IFERROR(VLOOKUP(CONCATENATE($L145,$N145),'Drop List'!$G$23:$K$87,2,FALSE),0)</f>
        <v>0.9</v>
      </c>
      <c r="AH145" s="1150">
        <f>IFERROR(VLOOKUP(CONCATENATE($L145,$N145),'Drop List'!$G$23:$K$87,3,FALSE),0)</f>
        <v>0</v>
      </c>
      <c r="AI145" s="1150">
        <f>IFERROR(VLOOKUP(CONCATENATE($L145,$N145),'Drop List'!$G$23:$K$87,4,FALSE),0)</f>
        <v>0.1</v>
      </c>
      <c r="AJ145" s="1151">
        <f>IFERROR(VLOOKUP(CONCATENATE($L145,$N145),'Drop List'!$G$23:$K$87,5,FALSE),0)</f>
        <v>0</v>
      </c>
      <c r="AK145" s="1152">
        <f t="shared" si="49"/>
        <v>24108.516</v>
      </c>
      <c r="AL145" s="1153">
        <f t="shared" si="50"/>
        <v>0</v>
      </c>
      <c r="AM145" s="1153">
        <f t="shared" si="51"/>
        <v>2678.7240000000002</v>
      </c>
      <c r="AN145" s="1145">
        <f t="shared" si="52"/>
        <v>0</v>
      </c>
      <c r="AO145" s="1154">
        <f t="shared" si="53"/>
        <v>26787.239999999998</v>
      </c>
      <c r="AP145" s="1147">
        <f t="shared" si="39"/>
        <v>0</v>
      </c>
      <c r="AQ145" s="1144">
        <f t="shared" si="40"/>
        <v>0</v>
      </c>
      <c r="AR145" s="1146">
        <f t="shared" si="41"/>
        <v>26787.239999999998</v>
      </c>
    </row>
    <row r="146" spans="1:44" x14ac:dyDescent="0.2">
      <c r="A146" s="1141" t="str">
        <f t="shared" si="36"/>
        <v>1562</v>
      </c>
      <c r="B146" s="1141" t="str">
        <f>IFERROR(VLOOKUP(A146,'LAC 103'!A:C,3,FALSE),"")</f>
        <v>OP</v>
      </c>
      <c r="C146" s="1478" t="str">
        <f>Info!$B$8</f>
        <v>00100</v>
      </c>
      <c r="D146" s="1474" t="s">
        <v>1100</v>
      </c>
      <c r="E146" s="1474" t="s">
        <v>95</v>
      </c>
      <c r="F146" s="1478" t="s">
        <v>432</v>
      </c>
      <c r="G146" s="1478" t="s">
        <v>432</v>
      </c>
      <c r="H146" s="1474" t="s">
        <v>970</v>
      </c>
      <c r="I146" s="1478" t="s">
        <v>817</v>
      </c>
      <c r="J146" s="1478"/>
      <c r="K146" s="1475" t="s">
        <v>849</v>
      </c>
      <c r="L146" s="1474" t="s">
        <v>77</v>
      </c>
      <c r="M146" s="1476" t="s">
        <v>842</v>
      </c>
      <c r="N146" s="1477" t="s">
        <v>1692</v>
      </c>
      <c r="O146" s="1479">
        <v>3011</v>
      </c>
      <c r="P146" s="1479"/>
      <c r="Q146" s="1142">
        <f t="shared" si="37"/>
        <v>3011</v>
      </c>
      <c r="R146" s="1143">
        <f>IFERROR(VLOOKUP(CONCATENATE(E146,G146),'LAC 103'!$A$12:$O$95,11,FALSE),0)</f>
        <v>5.936295312319726</v>
      </c>
      <c r="S146" s="1144">
        <f>IFERROR(VLOOKUP(CONCATENATE($E146,$G146),'LAC 103'!$A$12:$O$95,12,FALSE),0)</f>
        <v>7.34</v>
      </c>
      <c r="T146" s="1144">
        <f>IFERROR(VLOOKUP(CONCATENATE($E146,$G146),'LAC 103'!$A$12:$O$95,13,FALSE),0)</f>
        <v>4.59</v>
      </c>
      <c r="U146" s="1144">
        <f>IFERROR(VLOOKUP(CONCATENATE($E146,$G146),'LAC 103'!$A$12:$O$95,14,FALSE),0)</f>
        <v>0</v>
      </c>
      <c r="V146" s="1144">
        <f>IFERROR(VLOOKUP(CONCATENATE($E146,$G146),'LAC 103'!$A$12:$O$95,15,FALSE),0)</f>
        <v>0</v>
      </c>
      <c r="W146" s="1145" t="str">
        <f>IFERROR(VLOOKUP(CONCATENATE($B146,$N146),'LAC 103'!$AI:$AQ,9,FALSE),"")</f>
        <v>Costs</v>
      </c>
      <c r="X146" s="1146">
        <f t="shared" si="42"/>
        <v>5.936295312319726</v>
      </c>
      <c r="Y146" s="1143">
        <f t="shared" si="43"/>
        <v>17874.185185394694</v>
      </c>
      <c r="Z146" s="1147">
        <f t="shared" si="44"/>
        <v>22100.739999999998</v>
      </c>
      <c r="AA146" s="1144">
        <f t="shared" si="45"/>
        <v>13820.49</v>
      </c>
      <c r="AB146" s="1144">
        <f t="shared" si="46"/>
        <v>0</v>
      </c>
      <c r="AC146" s="1144">
        <f t="shared" si="47"/>
        <v>0</v>
      </c>
      <c r="AD146" s="1148">
        <f t="shared" si="38"/>
        <v>17874.185185394694</v>
      </c>
      <c r="AE146" s="1487">
        <v>0</v>
      </c>
      <c r="AF146" s="1145">
        <f t="shared" si="48"/>
        <v>17874.185185394694</v>
      </c>
      <c r="AG146" s="1149">
        <f>IFERROR(VLOOKUP(CONCATENATE($L146,$N146),'Drop List'!$G$23:$K$87,2,FALSE),0)</f>
        <v>0.9</v>
      </c>
      <c r="AH146" s="1150">
        <f>IFERROR(VLOOKUP(CONCATENATE($L146,$N146),'Drop List'!$G$23:$K$87,3,FALSE),0)</f>
        <v>0</v>
      </c>
      <c r="AI146" s="1150">
        <f>IFERROR(VLOOKUP(CONCATENATE($L146,$N146),'Drop List'!$G$23:$K$87,4,FALSE),0)</f>
        <v>0.1</v>
      </c>
      <c r="AJ146" s="1151">
        <f>IFERROR(VLOOKUP(CONCATENATE($L146,$N146),'Drop List'!$G$23:$K$87,5,FALSE),0)</f>
        <v>0</v>
      </c>
      <c r="AK146" s="1152">
        <f t="shared" si="49"/>
        <v>16086.766666855225</v>
      </c>
      <c r="AL146" s="1153">
        <f t="shared" si="50"/>
        <v>0</v>
      </c>
      <c r="AM146" s="1153">
        <f t="shared" si="51"/>
        <v>1787.4185185394695</v>
      </c>
      <c r="AN146" s="1145">
        <f t="shared" si="52"/>
        <v>0</v>
      </c>
      <c r="AO146" s="1154">
        <f t="shared" si="53"/>
        <v>17874.185185394694</v>
      </c>
      <c r="AP146" s="1147">
        <f t="shared" si="39"/>
        <v>0</v>
      </c>
      <c r="AQ146" s="1144">
        <f t="shared" si="40"/>
        <v>0</v>
      </c>
      <c r="AR146" s="1146">
        <f t="shared" si="41"/>
        <v>17874.185185394694</v>
      </c>
    </row>
    <row r="147" spans="1:44" x14ac:dyDescent="0.2">
      <c r="A147" s="1141" t="str">
        <f t="shared" si="36"/>
        <v>1562</v>
      </c>
      <c r="B147" s="1141" t="str">
        <f>IFERROR(VLOOKUP(A147,'LAC 103'!A:C,3,FALSE),"")</f>
        <v>OP</v>
      </c>
      <c r="C147" s="1478" t="str">
        <f>Info!$B$8</f>
        <v>00100</v>
      </c>
      <c r="D147" s="1474" t="s">
        <v>1100</v>
      </c>
      <c r="E147" s="1474" t="s">
        <v>95</v>
      </c>
      <c r="F147" s="1478" t="s">
        <v>432</v>
      </c>
      <c r="G147" s="1478" t="s">
        <v>432</v>
      </c>
      <c r="H147" s="1474" t="s">
        <v>970</v>
      </c>
      <c r="I147" s="1478" t="s">
        <v>817</v>
      </c>
      <c r="J147" s="1478"/>
      <c r="K147" s="1475" t="s">
        <v>849</v>
      </c>
      <c r="L147" s="1474" t="s">
        <v>77</v>
      </c>
      <c r="M147" s="1476" t="s">
        <v>1698</v>
      </c>
      <c r="N147" s="1477" t="s">
        <v>1693</v>
      </c>
      <c r="O147" s="1479">
        <v>7510</v>
      </c>
      <c r="P147" s="1479"/>
      <c r="Q147" s="1142">
        <f t="shared" si="37"/>
        <v>7510</v>
      </c>
      <c r="R147" s="1143">
        <f>IFERROR(VLOOKUP(CONCATENATE(E147,G147),'LAC 103'!$A$12:$O$95,11,FALSE),0)</f>
        <v>5.936295312319726</v>
      </c>
      <c r="S147" s="1144">
        <f>IFERROR(VLOOKUP(CONCATENATE($E147,$G147),'LAC 103'!$A$12:$O$95,12,FALSE),0)</f>
        <v>7.34</v>
      </c>
      <c r="T147" s="1144">
        <f>IFERROR(VLOOKUP(CONCATENATE($E147,$G147),'LAC 103'!$A$12:$O$95,13,FALSE),0)</f>
        <v>4.59</v>
      </c>
      <c r="U147" s="1144">
        <f>IFERROR(VLOOKUP(CONCATENATE($E147,$G147),'LAC 103'!$A$12:$O$95,14,FALSE),0)</f>
        <v>0</v>
      </c>
      <c r="V147" s="1144">
        <f>IFERROR(VLOOKUP(CONCATENATE($E147,$G147),'LAC 103'!$A$12:$O$95,15,FALSE),0)</f>
        <v>0</v>
      </c>
      <c r="W147" s="1145" t="str">
        <f>IFERROR(VLOOKUP(CONCATENATE($B147,$N147),'LAC 103'!$AI:$AQ,9,FALSE),"")</f>
        <v>Costs</v>
      </c>
      <c r="X147" s="1146">
        <f t="shared" si="42"/>
        <v>5.936295312319726</v>
      </c>
      <c r="Y147" s="1143">
        <f t="shared" si="43"/>
        <v>44581.577795521145</v>
      </c>
      <c r="Z147" s="1147">
        <f t="shared" si="44"/>
        <v>55123.4</v>
      </c>
      <c r="AA147" s="1144">
        <f t="shared" si="45"/>
        <v>34470.9</v>
      </c>
      <c r="AB147" s="1144">
        <f t="shared" si="46"/>
        <v>0</v>
      </c>
      <c r="AC147" s="1144">
        <f t="shared" si="47"/>
        <v>0</v>
      </c>
      <c r="AD147" s="1148">
        <f t="shared" si="38"/>
        <v>44581.577795521145</v>
      </c>
      <c r="AE147" s="1487">
        <v>0</v>
      </c>
      <c r="AF147" s="1145">
        <f t="shared" si="48"/>
        <v>44581.577795521145</v>
      </c>
      <c r="AG147" s="1149">
        <f>IFERROR(VLOOKUP(CONCATENATE($L147,$N147),'Drop List'!$G$23:$K$87,2,FALSE),0)</f>
        <v>0.9</v>
      </c>
      <c r="AH147" s="1150">
        <f>IFERROR(VLOOKUP(CONCATENATE($L147,$N147),'Drop List'!$G$23:$K$87,3,FALSE),0)</f>
        <v>0</v>
      </c>
      <c r="AI147" s="1150">
        <f>IFERROR(VLOOKUP(CONCATENATE($L147,$N147),'Drop List'!$G$23:$K$87,4,FALSE),0)</f>
        <v>0.1</v>
      </c>
      <c r="AJ147" s="1151">
        <f>IFERROR(VLOOKUP(CONCATENATE($L147,$N147),'Drop List'!$G$23:$K$87,5,FALSE),0)</f>
        <v>0</v>
      </c>
      <c r="AK147" s="1152">
        <f t="shared" si="49"/>
        <v>40123.42001596903</v>
      </c>
      <c r="AL147" s="1153">
        <f t="shared" si="50"/>
        <v>0</v>
      </c>
      <c r="AM147" s="1153">
        <f t="shared" si="51"/>
        <v>4458.1577795521143</v>
      </c>
      <c r="AN147" s="1145">
        <f t="shared" si="52"/>
        <v>0</v>
      </c>
      <c r="AO147" s="1154">
        <f t="shared" si="53"/>
        <v>44581.577795521145</v>
      </c>
      <c r="AP147" s="1147">
        <f t="shared" si="39"/>
        <v>0</v>
      </c>
      <c r="AQ147" s="1144">
        <f t="shared" si="40"/>
        <v>0</v>
      </c>
      <c r="AR147" s="1146">
        <f t="shared" si="41"/>
        <v>44581.577795521145</v>
      </c>
    </row>
    <row r="148" spans="1:44" x14ac:dyDescent="0.2">
      <c r="A148" s="1141" t="str">
        <f t="shared" si="36"/>
        <v>1562</v>
      </c>
      <c r="B148" s="1141" t="str">
        <f>IFERROR(VLOOKUP(A148,'LAC 103'!A:C,3,FALSE),"")</f>
        <v>OP</v>
      </c>
      <c r="C148" s="1478" t="str">
        <f>Info!$B$8</f>
        <v>00100</v>
      </c>
      <c r="D148" s="1474" t="s">
        <v>1100</v>
      </c>
      <c r="E148" s="1474" t="s">
        <v>95</v>
      </c>
      <c r="F148" s="1478" t="s">
        <v>432</v>
      </c>
      <c r="G148" s="1478" t="s">
        <v>432</v>
      </c>
      <c r="H148" s="1474" t="s">
        <v>970</v>
      </c>
      <c r="I148" s="1478" t="s">
        <v>817</v>
      </c>
      <c r="J148" s="1478"/>
      <c r="K148" s="1475" t="s">
        <v>850</v>
      </c>
      <c r="L148" s="1474" t="s">
        <v>330</v>
      </c>
      <c r="M148" s="1476" t="s">
        <v>1699</v>
      </c>
      <c r="N148" s="1477" t="s">
        <v>1694</v>
      </c>
      <c r="O148" s="1479">
        <v>162</v>
      </c>
      <c r="P148" s="1479"/>
      <c r="Q148" s="1142">
        <f t="shared" si="37"/>
        <v>162</v>
      </c>
      <c r="R148" s="1143">
        <f>IFERROR(VLOOKUP(CONCATENATE(E148,G148),'LAC 103'!$A$12:$O$95,11,FALSE),0)</f>
        <v>5.936295312319726</v>
      </c>
      <c r="S148" s="1144">
        <f>IFERROR(VLOOKUP(CONCATENATE($E148,$G148),'LAC 103'!$A$12:$O$95,12,FALSE),0)</f>
        <v>7.34</v>
      </c>
      <c r="T148" s="1144">
        <f>IFERROR(VLOOKUP(CONCATENATE($E148,$G148),'LAC 103'!$A$12:$O$95,13,FALSE),0)</f>
        <v>4.59</v>
      </c>
      <c r="U148" s="1144">
        <f>IFERROR(VLOOKUP(CONCATENATE($E148,$G148),'LAC 103'!$A$12:$O$95,14,FALSE),0)</f>
        <v>0</v>
      </c>
      <c r="V148" s="1144">
        <f>IFERROR(VLOOKUP(CONCATENATE($E148,$G148),'LAC 103'!$A$12:$O$95,15,FALSE),0)</f>
        <v>0</v>
      </c>
      <c r="W148" s="1145" t="str">
        <f>IFERROR(VLOOKUP(CONCATENATE($B148,$N148),'LAC 103'!$AI:$AQ,9,FALSE),"")</f>
        <v>Costs</v>
      </c>
      <c r="X148" s="1146">
        <f t="shared" si="42"/>
        <v>5.936295312319726</v>
      </c>
      <c r="Y148" s="1143">
        <f t="shared" si="43"/>
        <v>961.67984059579555</v>
      </c>
      <c r="Z148" s="1147">
        <f t="shared" si="44"/>
        <v>1189.08</v>
      </c>
      <c r="AA148" s="1144">
        <f t="shared" si="45"/>
        <v>743.57999999999993</v>
      </c>
      <c r="AB148" s="1144">
        <f t="shared" si="46"/>
        <v>0</v>
      </c>
      <c r="AC148" s="1144">
        <f t="shared" si="47"/>
        <v>0</v>
      </c>
      <c r="AD148" s="1148">
        <f t="shared" si="38"/>
        <v>961.67984059579555</v>
      </c>
      <c r="AE148" s="1487">
        <v>0</v>
      </c>
      <c r="AF148" s="1145">
        <f t="shared" si="48"/>
        <v>961.67984059579555</v>
      </c>
      <c r="AG148" s="1149">
        <f>IFERROR(VLOOKUP(CONCATENATE($L148,$N148),'Drop List'!$G$23:$K$87,2,FALSE),0)</f>
        <v>0</v>
      </c>
      <c r="AH148" s="1150">
        <f>IFERROR(VLOOKUP(CONCATENATE($L148,$N148),'Drop List'!$G$23:$K$87,3,FALSE),0)</f>
        <v>0</v>
      </c>
      <c r="AI148" s="1150">
        <f>IFERROR(VLOOKUP(CONCATENATE($L148,$N148),'Drop List'!$G$23:$K$87,4,FALSE),0)</f>
        <v>1</v>
      </c>
      <c r="AJ148" s="1151">
        <f>IFERROR(VLOOKUP(CONCATENATE($L148,$N148),'Drop List'!$G$23:$K$87,5,FALSE),0)</f>
        <v>0</v>
      </c>
      <c r="AK148" s="1152">
        <f t="shared" si="49"/>
        <v>0</v>
      </c>
      <c r="AL148" s="1153">
        <f t="shared" si="50"/>
        <v>0</v>
      </c>
      <c r="AM148" s="1153">
        <f t="shared" si="51"/>
        <v>961.67984059579555</v>
      </c>
      <c r="AN148" s="1145">
        <f t="shared" si="52"/>
        <v>0</v>
      </c>
      <c r="AO148" s="1154">
        <f t="shared" si="53"/>
        <v>961.67984059579555</v>
      </c>
      <c r="AP148" s="1147">
        <f t="shared" si="39"/>
        <v>0</v>
      </c>
      <c r="AQ148" s="1144">
        <f t="shared" si="40"/>
        <v>0</v>
      </c>
      <c r="AR148" s="1146">
        <f t="shared" si="41"/>
        <v>961.67984059579555</v>
      </c>
    </row>
    <row r="149" spans="1:44" x14ac:dyDescent="0.2">
      <c r="A149" s="1141" t="str">
        <f t="shared" si="36"/>
        <v>1562</v>
      </c>
      <c r="B149" s="1141" t="str">
        <f>IFERROR(VLOOKUP(A149,'LAC 103'!A:C,3,FALSE),"")</f>
        <v>OP</v>
      </c>
      <c r="C149" s="1478" t="str">
        <f>Info!$B$8</f>
        <v>00100</v>
      </c>
      <c r="D149" s="1474" t="s">
        <v>1100</v>
      </c>
      <c r="E149" s="1474" t="s">
        <v>95</v>
      </c>
      <c r="F149" s="1478" t="s">
        <v>432</v>
      </c>
      <c r="G149" s="1478" t="s">
        <v>432</v>
      </c>
      <c r="H149" s="1474" t="s">
        <v>970</v>
      </c>
      <c r="I149" s="1478" t="s">
        <v>817</v>
      </c>
      <c r="J149" s="1478"/>
      <c r="K149" s="1475" t="s">
        <v>850</v>
      </c>
      <c r="L149" s="1474" t="s">
        <v>330</v>
      </c>
      <c r="M149" s="1476" t="s">
        <v>842</v>
      </c>
      <c r="N149" s="1477" t="s">
        <v>1692</v>
      </c>
      <c r="O149" s="1479">
        <v>10</v>
      </c>
      <c r="P149" s="1479"/>
      <c r="Q149" s="1142">
        <f t="shared" si="37"/>
        <v>10</v>
      </c>
      <c r="R149" s="1143">
        <f>IFERROR(VLOOKUP(CONCATENATE(E149,G149),'LAC 103'!$A$12:$O$95,11,FALSE),0)</f>
        <v>5.936295312319726</v>
      </c>
      <c r="S149" s="1144">
        <f>IFERROR(VLOOKUP(CONCATENATE($E149,$G149),'LAC 103'!$A$12:$O$95,12,FALSE),0)</f>
        <v>7.34</v>
      </c>
      <c r="T149" s="1144">
        <f>IFERROR(VLOOKUP(CONCATENATE($E149,$G149),'LAC 103'!$A$12:$O$95,13,FALSE),0)</f>
        <v>4.59</v>
      </c>
      <c r="U149" s="1144">
        <f>IFERROR(VLOOKUP(CONCATENATE($E149,$G149),'LAC 103'!$A$12:$O$95,14,FALSE),0)</f>
        <v>0</v>
      </c>
      <c r="V149" s="1144">
        <f>IFERROR(VLOOKUP(CONCATENATE($E149,$G149),'LAC 103'!$A$12:$O$95,15,FALSE),0)</f>
        <v>0</v>
      </c>
      <c r="W149" s="1145" t="str">
        <f>IFERROR(VLOOKUP(CONCATENATE($B149,$N149),'LAC 103'!$AI:$AQ,9,FALSE),"")</f>
        <v>Costs</v>
      </c>
      <c r="X149" s="1146">
        <f t="shared" si="42"/>
        <v>5.936295312319726</v>
      </c>
      <c r="Y149" s="1143">
        <f t="shared" si="43"/>
        <v>59.362953123197258</v>
      </c>
      <c r="Z149" s="1147">
        <f t="shared" si="44"/>
        <v>73.400000000000006</v>
      </c>
      <c r="AA149" s="1144">
        <f t="shared" si="45"/>
        <v>45.9</v>
      </c>
      <c r="AB149" s="1144">
        <f t="shared" si="46"/>
        <v>0</v>
      </c>
      <c r="AC149" s="1144">
        <f t="shared" si="47"/>
        <v>0</v>
      </c>
      <c r="AD149" s="1148">
        <f t="shared" si="38"/>
        <v>59.362953123197258</v>
      </c>
      <c r="AE149" s="1487">
        <v>0</v>
      </c>
      <c r="AF149" s="1145">
        <f t="shared" si="48"/>
        <v>59.362953123197258</v>
      </c>
      <c r="AG149" s="1149">
        <f>IFERROR(VLOOKUP(CONCATENATE($L149,$N149),'Drop List'!$G$23:$K$87,2,FALSE),0)</f>
        <v>0</v>
      </c>
      <c r="AH149" s="1150">
        <f>IFERROR(VLOOKUP(CONCATENATE($L149,$N149),'Drop List'!$G$23:$K$87,3,FALSE),0)</f>
        <v>0</v>
      </c>
      <c r="AI149" s="1150">
        <f>IFERROR(VLOOKUP(CONCATENATE($L149,$N149),'Drop List'!$G$23:$K$87,4,FALSE),0)</f>
        <v>1</v>
      </c>
      <c r="AJ149" s="1151">
        <f>IFERROR(VLOOKUP(CONCATENATE($L149,$N149),'Drop List'!$G$23:$K$87,5,FALSE),0)</f>
        <v>0</v>
      </c>
      <c r="AK149" s="1152">
        <f t="shared" si="49"/>
        <v>0</v>
      </c>
      <c r="AL149" s="1153">
        <f t="shared" si="50"/>
        <v>0</v>
      </c>
      <c r="AM149" s="1153">
        <f t="shared" si="51"/>
        <v>59.362953123197258</v>
      </c>
      <c r="AN149" s="1145">
        <f t="shared" si="52"/>
        <v>0</v>
      </c>
      <c r="AO149" s="1154">
        <f t="shared" si="53"/>
        <v>59.362953123197258</v>
      </c>
      <c r="AP149" s="1147">
        <f t="shared" si="39"/>
        <v>0</v>
      </c>
      <c r="AQ149" s="1144">
        <f t="shared" si="40"/>
        <v>0</v>
      </c>
      <c r="AR149" s="1146">
        <f t="shared" si="41"/>
        <v>59.362953123197258</v>
      </c>
    </row>
    <row r="150" spans="1:44" x14ac:dyDescent="0.2">
      <c r="A150" s="1141" t="str">
        <f t="shared" si="36"/>
        <v>1562</v>
      </c>
      <c r="B150" s="1141" t="str">
        <f>IFERROR(VLOOKUP(A150,'LAC 103'!A:C,3,FALSE),"")</f>
        <v>OP</v>
      </c>
      <c r="C150" s="1478" t="str">
        <f>Info!$B$8</f>
        <v>00100</v>
      </c>
      <c r="D150" s="1474" t="s">
        <v>1100</v>
      </c>
      <c r="E150" s="1474" t="s">
        <v>95</v>
      </c>
      <c r="F150" s="1478" t="s">
        <v>432</v>
      </c>
      <c r="G150" s="1478" t="s">
        <v>432</v>
      </c>
      <c r="H150" s="1474" t="s">
        <v>970</v>
      </c>
      <c r="I150" s="1478" t="s">
        <v>817</v>
      </c>
      <c r="J150" s="1478"/>
      <c r="K150" s="1475" t="s">
        <v>850</v>
      </c>
      <c r="L150" s="1474" t="s">
        <v>330</v>
      </c>
      <c r="M150" s="1476" t="s">
        <v>1698</v>
      </c>
      <c r="N150" s="1477" t="s">
        <v>1693</v>
      </c>
      <c r="O150" s="1479">
        <v>62</v>
      </c>
      <c r="P150" s="1479"/>
      <c r="Q150" s="1142">
        <f t="shared" si="37"/>
        <v>62</v>
      </c>
      <c r="R150" s="1143">
        <f>IFERROR(VLOOKUP(CONCATENATE(E150,G150),'LAC 103'!$A$12:$O$95,11,FALSE),0)</f>
        <v>5.936295312319726</v>
      </c>
      <c r="S150" s="1144">
        <f>IFERROR(VLOOKUP(CONCATENATE($E150,$G150),'LAC 103'!$A$12:$O$95,12,FALSE),0)</f>
        <v>7.34</v>
      </c>
      <c r="T150" s="1144">
        <f>IFERROR(VLOOKUP(CONCATENATE($E150,$G150),'LAC 103'!$A$12:$O$95,13,FALSE),0)</f>
        <v>4.59</v>
      </c>
      <c r="U150" s="1144">
        <f>IFERROR(VLOOKUP(CONCATENATE($E150,$G150),'LAC 103'!$A$12:$O$95,14,FALSE),0)</f>
        <v>0</v>
      </c>
      <c r="V150" s="1144">
        <f>IFERROR(VLOOKUP(CONCATENATE($E150,$G150),'LAC 103'!$A$12:$O$95,15,FALSE),0)</f>
        <v>0</v>
      </c>
      <c r="W150" s="1145" t="str">
        <f>IFERROR(VLOOKUP(CONCATENATE($B150,$N150),'LAC 103'!$AI:$AQ,9,FALSE),"")</f>
        <v>Costs</v>
      </c>
      <c r="X150" s="1146">
        <f t="shared" si="42"/>
        <v>5.936295312319726</v>
      </c>
      <c r="Y150" s="1143">
        <f t="shared" si="43"/>
        <v>368.05030936382303</v>
      </c>
      <c r="Z150" s="1147">
        <f t="shared" si="44"/>
        <v>455.08</v>
      </c>
      <c r="AA150" s="1144">
        <f t="shared" si="45"/>
        <v>284.58</v>
      </c>
      <c r="AB150" s="1144">
        <f t="shared" si="46"/>
        <v>0</v>
      </c>
      <c r="AC150" s="1144">
        <f t="shared" si="47"/>
        <v>0</v>
      </c>
      <c r="AD150" s="1148">
        <f t="shared" si="38"/>
        <v>368.05030936382303</v>
      </c>
      <c r="AE150" s="1487">
        <v>0</v>
      </c>
      <c r="AF150" s="1145">
        <f t="shared" si="48"/>
        <v>368.05030936382303</v>
      </c>
      <c r="AG150" s="1149">
        <f>IFERROR(VLOOKUP(CONCATENATE($L150,$N150),'Drop List'!$G$23:$K$87,2,FALSE),0)</f>
        <v>0</v>
      </c>
      <c r="AH150" s="1150">
        <f>IFERROR(VLOOKUP(CONCATENATE($L150,$N150),'Drop List'!$G$23:$K$87,3,FALSE),0)</f>
        <v>0</v>
      </c>
      <c r="AI150" s="1150">
        <f>IFERROR(VLOOKUP(CONCATENATE($L150,$N150),'Drop List'!$G$23:$K$87,4,FALSE),0)</f>
        <v>1</v>
      </c>
      <c r="AJ150" s="1151">
        <f>IFERROR(VLOOKUP(CONCATENATE($L150,$N150),'Drop List'!$G$23:$K$87,5,FALSE),0)</f>
        <v>0</v>
      </c>
      <c r="AK150" s="1152">
        <f t="shared" si="49"/>
        <v>0</v>
      </c>
      <c r="AL150" s="1153">
        <f t="shared" si="50"/>
        <v>0</v>
      </c>
      <c r="AM150" s="1153">
        <f t="shared" si="51"/>
        <v>368.05030936382303</v>
      </c>
      <c r="AN150" s="1145">
        <f t="shared" si="52"/>
        <v>0</v>
      </c>
      <c r="AO150" s="1154">
        <f t="shared" si="53"/>
        <v>368.05030936382303</v>
      </c>
      <c r="AP150" s="1147">
        <f t="shared" si="39"/>
        <v>0</v>
      </c>
      <c r="AQ150" s="1144">
        <f t="shared" si="40"/>
        <v>0</v>
      </c>
      <c r="AR150" s="1146">
        <f t="shared" si="41"/>
        <v>368.05030936382303</v>
      </c>
    </row>
    <row r="151" spans="1:44" x14ac:dyDescent="0.2">
      <c r="A151" s="1141" t="str">
        <f t="shared" si="36"/>
        <v>1562</v>
      </c>
      <c r="B151" s="1141" t="str">
        <f>IFERROR(VLOOKUP(A151,'LAC 103'!A:C,3,FALSE),"")</f>
        <v>OP</v>
      </c>
      <c r="C151" s="1478" t="str">
        <f>Info!$B$8</f>
        <v>00100</v>
      </c>
      <c r="D151" s="1474" t="s">
        <v>1100</v>
      </c>
      <c r="E151" s="1474" t="s">
        <v>95</v>
      </c>
      <c r="F151" s="1478" t="s">
        <v>432</v>
      </c>
      <c r="G151" s="1478" t="s">
        <v>432</v>
      </c>
      <c r="H151" s="1474" t="s">
        <v>970</v>
      </c>
      <c r="I151" s="1478" t="s">
        <v>817</v>
      </c>
      <c r="J151" s="1478"/>
      <c r="K151" s="1475" t="s">
        <v>851</v>
      </c>
      <c r="L151" s="1474" t="s">
        <v>584</v>
      </c>
      <c r="M151" s="1476" t="s">
        <v>1699</v>
      </c>
      <c r="N151" s="1477" t="s">
        <v>1694</v>
      </c>
      <c r="O151" s="1479">
        <v>8960</v>
      </c>
      <c r="P151" s="1479"/>
      <c r="Q151" s="1142">
        <f t="shared" si="37"/>
        <v>8960</v>
      </c>
      <c r="R151" s="1143">
        <f>IFERROR(VLOOKUP(CONCATENATE(E151,G151),'LAC 103'!$A$12:$O$95,11,FALSE),0)</f>
        <v>5.936295312319726</v>
      </c>
      <c r="S151" s="1144">
        <f>IFERROR(VLOOKUP(CONCATENATE($E151,$G151),'LAC 103'!$A$12:$O$95,12,FALSE),0)</f>
        <v>7.34</v>
      </c>
      <c r="T151" s="1144">
        <f>IFERROR(VLOOKUP(CONCATENATE($E151,$G151),'LAC 103'!$A$12:$O$95,13,FALSE),0)</f>
        <v>4.59</v>
      </c>
      <c r="U151" s="1144">
        <f>IFERROR(VLOOKUP(CONCATENATE($E151,$G151),'LAC 103'!$A$12:$O$95,14,FALSE),0)</f>
        <v>0</v>
      </c>
      <c r="V151" s="1144">
        <f>IFERROR(VLOOKUP(CONCATENATE($E151,$G151),'LAC 103'!$A$12:$O$95,15,FALSE),0)</f>
        <v>0</v>
      </c>
      <c r="W151" s="1145" t="str">
        <f>IFERROR(VLOOKUP(CONCATENATE($B151,$N151),'LAC 103'!$AI:$AQ,9,FALSE),"")</f>
        <v>Costs</v>
      </c>
      <c r="X151" s="1146">
        <f t="shared" si="42"/>
        <v>5.936295312319726</v>
      </c>
      <c r="Y151" s="1143">
        <f t="shared" si="43"/>
        <v>53189.205998384743</v>
      </c>
      <c r="Z151" s="1147">
        <f t="shared" si="44"/>
        <v>65766.399999999994</v>
      </c>
      <c r="AA151" s="1144">
        <f t="shared" si="45"/>
        <v>41126.400000000001</v>
      </c>
      <c r="AB151" s="1144">
        <f t="shared" si="46"/>
        <v>0</v>
      </c>
      <c r="AC151" s="1144">
        <f t="shared" si="47"/>
        <v>0</v>
      </c>
      <c r="AD151" s="1148">
        <f t="shared" si="38"/>
        <v>53189.205998384743</v>
      </c>
      <c r="AE151" s="1487">
        <v>0</v>
      </c>
      <c r="AF151" s="1145">
        <f t="shared" si="48"/>
        <v>53189.205998384743</v>
      </c>
      <c r="AG151" s="1149">
        <f>IFERROR(VLOOKUP(CONCATENATE($L151,$N151),'Drop List'!$G$23:$K$87,2,FALSE),0)</f>
        <v>0.56200000000000006</v>
      </c>
      <c r="AH151" s="1150">
        <f>IFERROR(VLOOKUP(CONCATENATE($L151,$N151),'Drop List'!$G$23:$K$87,3,FALSE),0)</f>
        <v>0</v>
      </c>
      <c r="AI151" s="1150">
        <f>IFERROR(VLOOKUP(CONCATENATE($L151,$N151),'Drop List'!$G$23:$K$87,4,FALSE),0)</f>
        <v>0</v>
      </c>
      <c r="AJ151" s="1151">
        <f>IFERROR(VLOOKUP(CONCATENATE($L151,$N151),'Drop List'!$G$23:$K$87,5,FALSE),0)</f>
        <v>0.43799999999999994</v>
      </c>
      <c r="AK151" s="1152">
        <f t="shared" si="49"/>
        <v>29892.333771092228</v>
      </c>
      <c r="AL151" s="1153">
        <f t="shared" si="50"/>
        <v>0</v>
      </c>
      <c r="AM151" s="1153">
        <f t="shared" si="51"/>
        <v>0</v>
      </c>
      <c r="AN151" s="1145">
        <f t="shared" si="52"/>
        <v>23296.872227292515</v>
      </c>
      <c r="AO151" s="1154">
        <f t="shared" si="53"/>
        <v>53189.205998384743</v>
      </c>
      <c r="AP151" s="1147">
        <f t="shared" si="39"/>
        <v>0</v>
      </c>
      <c r="AQ151" s="1144">
        <f t="shared" si="40"/>
        <v>0</v>
      </c>
      <c r="AR151" s="1146">
        <f t="shared" si="41"/>
        <v>53189.205998384743</v>
      </c>
    </row>
    <row r="152" spans="1:44" x14ac:dyDescent="0.2">
      <c r="A152" s="1141" t="str">
        <f t="shared" si="36"/>
        <v>1562</v>
      </c>
      <c r="B152" s="1141" t="str">
        <f>IFERROR(VLOOKUP(A152,'LAC 103'!A:C,3,FALSE),"")</f>
        <v>OP</v>
      </c>
      <c r="C152" s="1478" t="str">
        <f>Info!$B$8</f>
        <v>00100</v>
      </c>
      <c r="D152" s="1474" t="s">
        <v>1100</v>
      </c>
      <c r="E152" s="1474" t="s">
        <v>95</v>
      </c>
      <c r="F152" s="1478" t="s">
        <v>432</v>
      </c>
      <c r="G152" s="1478" t="s">
        <v>432</v>
      </c>
      <c r="H152" s="1474" t="s">
        <v>970</v>
      </c>
      <c r="I152" s="1478" t="s">
        <v>817</v>
      </c>
      <c r="J152" s="1478"/>
      <c r="K152" s="1475" t="s">
        <v>851</v>
      </c>
      <c r="L152" s="1474" t="s">
        <v>584</v>
      </c>
      <c r="M152" s="1476" t="s">
        <v>841</v>
      </c>
      <c r="N152" s="1477" t="s">
        <v>1695</v>
      </c>
      <c r="O152" s="1479">
        <v>5632</v>
      </c>
      <c r="P152" s="1479"/>
      <c r="Q152" s="1142">
        <f t="shared" si="37"/>
        <v>5632</v>
      </c>
      <c r="R152" s="1143">
        <f>IFERROR(VLOOKUP(CONCATENATE(E152,G152),'LAC 103'!$A$12:$O$95,11,FALSE),0)</f>
        <v>5.936295312319726</v>
      </c>
      <c r="S152" s="1144">
        <f>IFERROR(VLOOKUP(CONCATENATE($E152,$G152),'LAC 103'!$A$12:$O$95,12,FALSE),0)</f>
        <v>7.34</v>
      </c>
      <c r="T152" s="1144">
        <f>IFERROR(VLOOKUP(CONCATENATE($E152,$G152),'LAC 103'!$A$12:$O$95,13,FALSE),0)</f>
        <v>4.59</v>
      </c>
      <c r="U152" s="1144">
        <f>IFERROR(VLOOKUP(CONCATENATE($E152,$G152),'LAC 103'!$A$12:$O$95,14,FALSE),0)</f>
        <v>0</v>
      </c>
      <c r="V152" s="1144">
        <f>IFERROR(VLOOKUP(CONCATENATE($E152,$G152),'LAC 103'!$A$12:$O$95,15,FALSE),0)</f>
        <v>0</v>
      </c>
      <c r="W152" s="1145" t="str">
        <f>IFERROR(VLOOKUP(CONCATENATE($B152,$N152),'LAC 103'!$AI:$AQ,9,FALSE),"")</f>
        <v>Costs</v>
      </c>
      <c r="X152" s="1146">
        <f t="shared" si="42"/>
        <v>5.936295312319726</v>
      </c>
      <c r="Y152" s="1143">
        <f t="shared" si="43"/>
        <v>33433.215198984697</v>
      </c>
      <c r="Z152" s="1147">
        <f t="shared" si="44"/>
        <v>41338.879999999997</v>
      </c>
      <c r="AA152" s="1144">
        <f t="shared" si="45"/>
        <v>25850.879999999997</v>
      </c>
      <c r="AB152" s="1144">
        <f t="shared" si="46"/>
        <v>0</v>
      </c>
      <c r="AC152" s="1144">
        <f t="shared" si="47"/>
        <v>0</v>
      </c>
      <c r="AD152" s="1148">
        <f t="shared" si="38"/>
        <v>33433.215198984697</v>
      </c>
      <c r="AE152" s="1487">
        <v>0</v>
      </c>
      <c r="AF152" s="1145">
        <f t="shared" si="48"/>
        <v>33433.215198984697</v>
      </c>
      <c r="AG152" s="1149">
        <f>IFERROR(VLOOKUP(CONCATENATE($L152,$N152),'Drop List'!$G$23:$K$87,2,FALSE),0)</f>
        <v>0.55000000000000004</v>
      </c>
      <c r="AH152" s="1150">
        <f>IFERROR(VLOOKUP(CONCATENATE($L152,$N152),'Drop List'!$G$23:$K$87,3,FALSE),0)</f>
        <v>0</v>
      </c>
      <c r="AI152" s="1150">
        <f>IFERROR(VLOOKUP(CONCATENATE($L152,$N152),'Drop List'!$G$23:$K$87,4,FALSE),0)</f>
        <v>0</v>
      </c>
      <c r="AJ152" s="1151">
        <f>IFERROR(VLOOKUP(CONCATENATE($L152,$N152),'Drop List'!$G$23:$K$87,5,FALSE),0)</f>
        <v>0.44999999999999996</v>
      </c>
      <c r="AK152" s="1152">
        <f t="shared" si="49"/>
        <v>18388.268359441587</v>
      </c>
      <c r="AL152" s="1153">
        <f t="shared" si="50"/>
        <v>0</v>
      </c>
      <c r="AM152" s="1153">
        <f t="shared" si="51"/>
        <v>0</v>
      </c>
      <c r="AN152" s="1145">
        <f t="shared" si="52"/>
        <v>15044.946839543112</v>
      </c>
      <c r="AO152" s="1154">
        <f t="shared" si="53"/>
        <v>33433.215198984697</v>
      </c>
      <c r="AP152" s="1147">
        <f t="shared" si="39"/>
        <v>0</v>
      </c>
      <c r="AQ152" s="1144">
        <f t="shared" si="40"/>
        <v>0</v>
      </c>
      <c r="AR152" s="1146">
        <f t="shared" si="41"/>
        <v>33433.215198984697</v>
      </c>
    </row>
    <row r="153" spans="1:44" x14ac:dyDescent="0.2">
      <c r="A153" s="1141" t="str">
        <f t="shared" si="36"/>
        <v>1562</v>
      </c>
      <c r="B153" s="1141" t="str">
        <f>IFERROR(VLOOKUP(A153,'LAC 103'!A:C,3,FALSE),"")</f>
        <v>OP</v>
      </c>
      <c r="C153" s="1478" t="str">
        <f>Info!$B$8</f>
        <v>00100</v>
      </c>
      <c r="D153" s="1474" t="s">
        <v>1100</v>
      </c>
      <c r="E153" s="1474" t="s">
        <v>95</v>
      </c>
      <c r="F153" s="1478" t="s">
        <v>432</v>
      </c>
      <c r="G153" s="1478" t="s">
        <v>432</v>
      </c>
      <c r="H153" s="1474" t="s">
        <v>970</v>
      </c>
      <c r="I153" s="1478" t="s">
        <v>817</v>
      </c>
      <c r="J153" s="1478"/>
      <c r="K153" s="1475" t="s">
        <v>851</v>
      </c>
      <c r="L153" s="1474" t="s">
        <v>584</v>
      </c>
      <c r="M153" s="1476" t="s">
        <v>840</v>
      </c>
      <c r="N153" s="1477" t="s">
        <v>1700</v>
      </c>
      <c r="O153" s="1479">
        <v>7449</v>
      </c>
      <c r="P153" s="1479"/>
      <c r="Q153" s="1142">
        <f t="shared" si="37"/>
        <v>7449</v>
      </c>
      <c r="R153" s="1143">
        <f>IFERROR(VLOOKUP(CONCATENATE(E153,G153),'LAC 103'!$A$12:$O$95,11,FALSE),0)</f>
        <v>5.936295312319726</v>
      </c>
      <c r="S153" s="1144">
        <f>IFERROR(VLOOKUP(CONCATENATE($E153,$G153),'LAC 103'!$A$12:$O$95,12,FALSE),0)</f>
        <v>7.34</v>
      </c>
      <c r="T153" s="1144">
        <f>IFERROR(VLOOKUP(CONCATENATE($E153,$G153),'LAC 103'!$A$12:$O$95,13,FALSE),0)</f>
        <v>4.59</v>
      </c>
      <c r="U153" s="1144">
        <f>IFERROR(VLOOKUP(CONCATENATE($E153,$G153),'LAC 103'!$A$12:$O$95,14,FALSE),0)</f>
        <v>0</v>
      </c>
      <c r="V153" s="1144">
        <f>IFERROR(VLOOKUP(CONCATENATE($E153,$G153),'LAC 103'!$A$12:$O$95,15,FALSE),0)</f>
        <v>0</v>
      </c>
      <c r="W153" s="1145" t="str">
        <f>IFERROR(VLOOKUP(CONCATENATE($B153,$N153),'LAC 103'!$AI:$AQ,9,FALSE),"")</f>
        <v>P.C.</v>
      </c>
      <c r="X153" s="1146">
        <f t="shared" si="42"/>
        <v>4.59</v>
      </c>
      <c r="Y153" s="1143">
        <f t="shared" si="43"/>
        <v>44219.46378146964</v>
      </c>
      <c r="Z153" s="1147">
        <f t="shared" si="44"/>
        <v>54675.659999999996</v>
      </c>
      <c r="AA153" s="1144">
        <f t="shared" si="45"/>
        <v>34190.909999999996</v>
      </c>
      <c r="AB153" s="1144">
        <f t="shared" si="46"/>
        <v>0</v>
      </c>
      <c r="AC153" s="1144">
        <f t="shared" si="47"/>
        <v>0</v>
      </c>
      <c r="AD153" s="1148">
        <f t="shared" si="38"/>
        <v>34190.909999999996</v>
      </c>
      <c r="AE153" s="1487">
        <v>0</v>
      </c>
      <c r="AF153" s="1145">
        <f t="shared" si="48"/>
        <v>34190.909999999996</v>
      </c>
      <c r="AG153" s="1149">
        <f>IFERROR(VLOOKUP(CONCATENATE($L153,$N153),'Drop List'!$G$23:$K$87,2,FALSE),0)</f>
        <v>0.55000000000000004</v>
      </c>
      <c r="AH153" s="1150">
        <f>IFERROR(VLOOKUP(CONCATENATE($L153,$N153),'Drop List'!$G$23:$K$87,3,FALSE),0)</f>
        <v>0</v>
      </c>
      <c r="AI153" s="1150">
        <f>IFERROR(VLOOKUP(CONCATENATE($L153,$N153),'Drop List'!$G$23:$K$87,4,FALSE),0)</f>
        <v>0</v>
      </c>
      <c r="AJ153" s="1151">
        <f>IFERROR(VLOOKUP(CONCATENATE($L153,$N153),'Drop List'!$G$23:$K$87,5,FALSE),0)</f>
        <v>0.44999999999999996</v>
      </c>
      <c r="AK153" s="1152">
        <f t="shared" si="49"/>
        <v>18805.000499999998</v>
      </c>
      <c r="AL153" s="1153">
        <f t="shared" si="50"/>
        <v>0</v>
      </c>
      <c r="AM153" s="1153">
        <f t="shared" si="51"/>
        <v>0</v>
      </c>
      <c r="AN153" s="1145">
        <f t="shared" si="52"/>
        <v>15385.909499999996</v>
      </c>
      <c r="AO153" s="1154">
        <f t="shared" si="53"/>
        <v>34190.909999999996</v>
      </c>
      <c r="AP153" s="1147">
        <f t="shared" si="39"/>
        <v>0</v>
      </c>
      <c r="AQ153" s="1144">
        <f t="shared" si="40"/>
        <v>0</v>
      </c>
      <c r="AR153" s="1146">
        <f t="shared" si="41"/>
        <v>34190.909999999996</v>
      </c>
    </row>
    <row r="154" spans="1:44" x14ac:dyDescent="0.2">
      <c r="A154" s="1141" t="str">
        <f t="shared" si="36"/>
        <v>1562</v>
      </c>
      <c r="B154" s="1141" t="str">
        <f>IFERROR(VLOOKUP(A154,'LAC 103'!A:C,3,FALSE),"")</f>
        <v>OP</v>
      </c>
      <c r="C154" s="1478" t="str">
        <f>Info!$B$8</f>
        <v>00100</v>
      </c>
      <c r="D154" s="1474" t="s">
        <v>1100</v>
      </c>
      <c r="E154" s="1474" t="s">
        <v>95</v>
      </c>
      <c r="F154" s="1478" t="s">
        <v>432</v>
      </c>
      <c r="G154" s="1478" t="s">
        <v>432</v>
      </c>
      <c r="H154" s="1474" t="s">
        <v>970</v>
      </c>
      <c r="I154" s="1478" t="s">
        <v>817</v>
      </c>
      <c r="J154" s="1478"/>
      <c r="K154" s="1475" t="s">
        <v>851</v>
      </c>
      <c r="L154" s="1474" t="s">
        <v>584</v>
      </c>
      <c r="M154" s="1476" t="s">
        <v>842</v>
      </c>
      <c r="N154" s="1477" t="s">
        <v>1692</v>
      </c>
      <c r="O154" s="1479">
        <v>3753</v>
      </c>
      <c r="P154" s="1479"/>
      <c r="Q154" s="1142">
        <f t="shared" si="37"/>
        <v>3753</v>
      </c>
      <c r="R154" s="1143">
        <f>IFERROR(VLOOKUP(CONCATENATE(E154,G154),'LAC 103'!$A$12:$O$95,11,FALSE),0)</f>
        <v>5.936295312319726</v>
      </c>
      <c r="S154" s="1144">
        <f>IFERROR(VLOOKUP(CONCATENATE($E154,$G154),'LAC 103'!$A$12:$O$95,12,FALSE),0)</f>
        <v>7.34</v>
      </c>
      <c r="T154" s="1144">
        <f>IFERROR(VLOOKUP(CONCATENATE($E154,$G154),'LAC 103'!$A$12:$O$95,13,FALSE),0)</f>
        <v>4.59</v>
      </c>
      <c r="U154" s="1144">
        <f>IFERROR(VLOOKUP(CONCATENATE($E154,$G154),'LAC 103'!$A$12:$O$95,14,FALSE),0)</f>
        <v>0</v>
      </c>
      <c r="V154" s="1144">
        <f>IFERROR(VLOOKUP(CONCATENATE($E154,$G154),'LAC 103'!$A$12:$O$95,15,FALSE),0)</f>
        <v>0</v>
      </c>
      <c r="W154" s="1145" t="str">
        <f>IFERROR(VLOOKUP(CONCATENATE($B154,$N154),'LAC 103'!$AI:$AQ,9,FALSE),"")</f>
        <v>Costs</v>
      </c>
      <c r="X154" s="1146">
        <f t="shared" si="42"/>
        <v>5.936295312319726</v>
      </c>
      <c r="Y154" s="1143">
        <f t="shared" si="43"/>
        <v>22278.916307135933</v>
      </c>
      <c r="Z154" s="1147">
        <f t="shared" si="44"/>
        <v>27547.02</v>
      </c>
      <c r="AA154" s="1144">
        <f t="shared" si="45"/>
        <v>17226.27</v>
      </c>
      <c r="AB154" s="1144">
        <f t="shared" si="46"/>
        <v>0</v>
      </c>
      <c r="AC154" s="1144">
        <f t="shared" si="47"/>
        <v>0</v>
      </c>
      <c r="AD154" s="1148">
        <f t="shared" si="38"/>
        <v>22278.916307135933</v>
      </c>
      <c r="AE154" s="1487">
        <v>0</v>
      </c>
      <c r="AF154" s="1145">
        <f t="shared" si="48"/>
        <v>22278.916307135933</v>
      </c>
      <c r="AG154" s="1149">
        <f>IFERROR(VLOOKUP(CONCATENATE($L154,$N154),'Drop List'!$G$23:$K$87,2,FALSE),0)</f>
        <v>0.56200000000000006</v>
      </c>
      <c r="AH154" s="1150">
        <f>IFERROR(VLOOKUP(CONCATENATE($L154,$N154),'Drop List'!$G$23:$K$87,3,FALSE),0)</f>
        <v>0</v>
      </c>
      <c r="AI154" s="1150">
        <f>IFERROR(VLOOKUP(CONCATENATE($L154,$N154),'Drop List'!$G$23:$K$87,4,FALSE),0)</f>
        <v>0</v>
      </c>
      <c r="AJ154" s="1151">
        <f>IFERROR(VLOOKUP(CONCATENATE($L154,$N154),'Drop List'!$G$23:$K$87,5,FALSE),0)</f>
        <v>0.43799999999999994</v>
      </c>
      <c r="AK154" s="1152">
        <f t="shared" si="49"/>
        <v>12520.750964610395</v>
      </c>
      <c r="AL154" s="1153">
        <f t="shared" si="50"/>
        <v>0</v>
      </c>
      <c r="AM154" s="1153">
        <f t="shared" si="51"/>
        <v>0</v>
      </c>
      <c r="AN154" s="1145">
        <f t="shared" si="52"/>
        <v>9758.1653425255372</v>
      </c>
      <c r="AO154" s="1154">
        <f t="shared" si="53"/>
        <v>22278.916307135933</v>
      </c>
      <c r="AP154" s="1147">
        <f t="shared" si="39"/>
        <v>0</v>
      </c>
      <c r="AQ154" s="1144">
        <f t="shared" si="40"/>
        <v>0</v>
      </c>
      <c r="AR154" s="1146">
        <f t="shared" si="41"/>
        <v>22278.916307135933</v>
      </c>
    </row>
    <row r="155" spans="1:44" x14ac:dyDescent="0.2">
      <c r="A155" s="1141" t="str">
        <f t="shared" si="36"/>
        <v>1562</v>
      </c>
      <c r="B155" s="1141" t="str">
        <f>IFERROR(VLOOKUP(A155,'LAC 103'!A:C,3,FALSE),"")</f>
        <v>OP</v>
      </c>
      <c r="C155" s="1478" t="str">
        <f>Info!$B$8</f>
        <v>00100</v>
      </c>
      <c r="D155" s="1474" t="s">
        <v>1100</v>
      </c>
      <c r="E155" s="1474" t="s">
        <v>95</v>
      </c>
      <c r="F155" s="1478" t="s">
        <v>432</v>
      </c>
      <c r="G155" s="1478" t="s">
        <v>432</v>
      </c>
      <c r="H155" s="1474" t="s">
        <v>970</v>
      </c>
      <c r="I155" s="1478" t="s">
        <v>817</v>
      </c>
      <c r="J155" s="1478"/>
      <c r="K155" s="1475" t="s">
        <v>851</v>
      </c>
      <c r="L155" s="1474" t="s">
        <v>584</v>
      </c>
      <c r="M155" s="1476" t="s">
        <v>1698</v>
      </c>
      <c r="N155" s="1477" t="s">
        <v>1693</v>
      </c>
      <c r="O155" s="1479">
        <v>4932</v>
      </c>
      <c r="P155" s="1479"/>
      <c r="Q155" s="1142">
        <f t="shared" si="37"/>
        <v>4932</v>
      </c>
      <c r="R155" s="1143">
        <f>IFERROR(VLOOKUP(CONCATENATE(E155,G155),'LAC 103'!$A$12:$O$95,11,FALSE),0)</f>
        <v>5.936295312319726</v>
      </c>
      <c r="S155" s="1144">
        <f>IFERROR(VLOOKUP(CONCATENATE($E155,$G155),'LAC 103'!$A$12:$O$95,12,FALSE),0)</f>
        <v>7.34</v>
      </c>
      <c r="T155" s="1144">
        <f>IFERROR(VLOOKUP(CONCATENATE($E155,$G155),'LAC 103'!$A$12:$O$95,13,FALSE),0)</f>
        <v>4.59</v>
      </c>
      <c r="U155" s="1144">
        <f>IFERROR(VLOOKUP(CONCATENATE($E155,$G155),'LAC 103'!$A$12:$O$95,14,FALSE),0)</f>
        <v>0</v>
      </c>
      <c r="V155" s="1144">
        <f>IFERROR(VLOOKUP(CONCATENATE($E155,$G155),'LAC 103'!$A$12:$O$95,15,FALSE),0)</f>
        <v>0</v>
      </c>
      <c r="W155" s="1145" t="str">
        <f>IFERROR(VLOOKUP(CONCATENATE($B155,$N155),'LAC 103'!$AI:$AQ,9,FALSE),"")</f>
        <v>Costs</v>
      </c>
      <c r="X155" s="1146">
        <f t="shared" si="42"/>
        <v>5.936295312319726</v>
      </c>
      <c r="Y155" s="1143">
        <f t="shared" si="43"/>
        <v>29277.808480360887</v>
      </c>
      <c r="Z155" s="1147">
        <f t="shared" si="44"/>
        <v>36200.879999999997</v>
      </c>
      <c r="AA155" s="1144">
        <f t="shared" si="45"/>
        <v>22637.88</v>
      </c>
      <c r="AB155" s="1144">
        <f t="shared" si="46"/>
        <v>0</v>
      </c>
      <c r="AC155" s="1144">
        <f t="shared" si="47"/>
        <v>0</v>
      </c>
      <c r="AD155" s="1148">
        <f t="shared" si="38"/>
        <v>29277.808480360887</v>
      </c>
      <c r="AE155" s="1487">
        <v>0</v>
      </c>
      <c r="AF155" s="1145">
        <f t="shared" si="48"/>
        <v>29277.808480360887</v>
      </c>
      <c r="AG155" s="1149">
        <f>IFERROR(VLOOKUP(CONCATENATE($L155,$N155),'Drop List'!$G$23:$K$87,2,FALSE),0)</f>
        <v>0.56200000000000006</v>
      </c>
      <c r="AH155" s="1150">
        <f>IFERROR(VLOOKUP(CONCATENATE($L155,$N155),'Drop List'!$G$23:$K$87,3,FALSE),0)</f>
        <v>0</v>
      </c>
      <c r="AI155" s="1150">
        <f>IFERROR(VLOOKUP(CONCATENATE($L155,$N155),'Drop List'!$G$23:$K$87,4,FALSE),0)</f>
        <v>0</v>
      </c>
      <c r="AJ155" s="1151">
        <f>IFERROR(VLOOKUP(CONCATENATE($L155,$N155),'Drop List'!$G$23:$K$87,5,FALSE),0)</f>
        <v>0.43799999999999994</v>
      </c>
      <c r="AK155" s="1152">
        <f t="shared" si="49"/>
        <v>16454.128365962821</v>
      </c>
      <c r="AL155" s="1153">
        <f t="shared" si="50"/>
        <v>0</v>
      </c>
      <c r="AM155" s="1153">
        <f t="shared" si="51"/>
        <v>0</v>
      </c>
      <c r="AN155" s="1145">
        <f t="shared" si="52"/>
        <v>12823.680114398067</v>
      </c>
      <c r="AO155" s="1154">
        <f t="shared" si="53"/>
        <v>29277.808480360887</v>
      </c>
      <c r="AP155" s="1147">
        <f t="shared" si="39"/>
        <v>0</v>
      </c>
      <c r="AQ155" s="1144">
        <f t="shared" si="40"/>
        <v>0</v>
      </c>
      <c r="AR155" s="1146">
        <f t="shared" si="41"/>
        <v>29277.808480360887</v>
      </c>
    </row>
    <row r="156" spans="1:44" x14ac:dyDescent="0.2">
      <c r="A156" s="1141" t="str">
        <f t="shared" si="36"/>
        <v>1563</v>
      </c>
      <c r="B156" s="1141" t="str">
        <f>IFERROR(VLOOKUP(A156,'LAC 103'!A:C,3,FALSE),"")</f>
        <v>OP</v>
      </c>
      <c r="C156" s="1478" t="str">
        <f>Info!$B$8</f>
        <v>00100</v>
      </c>
      <c r="D156" s="1474" t="s">
        <v>1100</v>
      </c>
      <c r="E156" s="1474" t="s">
        <v>95</v>
      </c>
      <c r="F156" s="1478" t="s">
        <v>434</v>
      </c>
      <c r="G156" s="1478" t="s">
        <v>434</v>
      </c>
      <c r="H156" s="1474" t="s">
        <v>1008</v>
      </c>
      <c r="I156" s="1478" t="s">
        <v>826</v>
      </c>
      <c r="J156" s="1478" t="s">
        <v>123</v>
      </c>
      <c r="K156" s="1475" t="s">
        <v>846</v>
      </c>
      <c r="L156" s="1474" t="s">
        <v>332</v>
      </c>
      <c r="M156" s="1476" t="s">
        <v>1699</v>
      </c>
      <c r="N156" s="1477" t="s">
        <v>1694</v>
      </c>
      <c r="O156" s="1479">
        <v>360</v>
      </c>
      <c r="P156" s="1479"/>
      <c r="Q156" s="1142">
        <f t="shared" si="37"/>
        <v>360</v>
      </c>
      <c r="R156" s="1143">
        <f>IFERROR(VLOOKUP(CONCATENATE(E156,G156),'LAC 103'!$A$12:$O$95,11,FALSE),0)</f>
        <v>5.936295312319726</v>
      </c>
      <c r="S156" s="1144">
        <f>IFERROR(VLOOKUP(CONCATENATE($E156,$G156),'LAC 103'!$A$12:$O$95,12,FALSE),0)</f>
        <v>7.34</v>
      </c>
      <c r="T156" s="1144">
        <f>IFERROR(VLOOKUP(CONCATENATE($E156,$G156),'LAC 103'!$A$12:$O$95,13,FALSE),0)</f>
        <v>4.59</v>
      </c>
      <c r="U156" s="1144">
        <f>IFERROR(VLOOKUP(CONCATENATE($E156,$G156),'LAC 103'!$A$12:$O$95,14,FALSE),0)</f>
        <v>0</v>
      </c>
      <c r="V156" s="1144">
        <f>IFERROR(VLOOKUP(CONCATENATE($E156,$G156),'LAC 103'!$A$12:$O$95,15,FALSE),0)</f>
        <v>0</v>
      </c>
      <c r="W156" s="1145" t="str">
        <f>IFERROR(VLOOKUP(CONCATENATE($B156,$N156),'LAC 103'!$AI:$AQ,9,FALSE),"")</f>
        <v>Costs</v>
      </c>
      <c r="X156" s="1146">
        <f t="shared" si="42"/>
        <v>5.936295312319726</v>
      </c>
      <c r="Y156" s="1143">
        <f t="shared" si="43"/>
        <v>2137.0663124351013</v>
      </c>
      <c r="Z156" s="1147">
        <f t="shared" si="44"/>
        <v>2642.4</v>
      </c>
      <c r="AA156" s="1144">
        <f t="shared" si="45"/>
        <v>1652.3999999999999</v>
      </c>
      <c r="AB156" s="1144">
        <f t="shared" si="46"/>
        <v>0</v>
      </c>
      <c r="AC156" s="1144">
        <f t="shared" si="47"/>
        <v>0</v>
      </c>
      <c r="AD156" s="1148">
        <f t="shared" si="38"/>
        <v>2137.0663124351013</v>
      </c>
      <c r="AE156" s="1487">
        <v>0</v>
      </c>
      <c r="AF156" s="1145">
        <f t="shared" si="48"/>
        <v>2137.0663124351013</v>
      </c>
      <c r="AG156" s="1149">
        <f>IFERROR(VLOOKUP(CONCATENATE($L156,$N156),'Drop List'!$G$23:$K$87,2,FALSE),0)</f>
        <v>0</v>
      </c>
      <c r="AH156" s="1150">
        <f>IFERROR(VLOOKUP(CONCATENATE($L156,$N156),'Drop List'!$G$23:$K$87,3,FALSE),0)</f>
        <v>0</v>
      </c>
      <c r="AI156" s="1150">
        <f>IFERROR(VLOOKUP(CONCATENATE($L156,$N156),'Drop List'!$G$23:$K$87,4,FALSE),0)</f>
        <v>0</v>
      </c>
      <c r="AJ156" s="1151">
        <f>IFERROR(VLOOKUP(CONCATENATE($L156,$N156),'Drop List'!$G$23:$K$87,5,FALSE),0)</f>
        <v>0</v>
      </c>
      <c r="AK156" s="1152">
        <f t="shared" si="49"/>
        <v>0</v>
      </c>
      <c r="AL156" s="1153">
        <f t="shared" si="50"/>
        <v>0</v>
      </c>
      <c r="AM156" s="1153">
        <f t="shared" si="51"/>
        <v>0</v>
      </c>
      <c r="AN156" s="1145">
        <f t="shared" si="52"/>
        <v>0</v>
      </c>
      <c r="AO156" s="1154">
        <f t="shared" si="53"/>
        <v>0</v>
      </c>
      <c r="AP156" s="1147">
        <f t="shared" si="39"/>
        <v>2137.0663124351013</v>
      </c>
      <c r="AQ156" s="1144">
        <f t="shared" si="40"/>
        <v>0</v>
      </c>
      <c r="AR156" s="1146">
        <f t="shared" si="41"/>
        <v>2137.0663124351013</v>
      </c>
    </row>
    <row r="157" spans="1:44" x14ac:dyDescent="0.2">
      <c r="A157" s="1141" t="str">
        <f t="shared" si="36"/>
        <v>1563</v>
      </c>
      <c r="B157" s="1141" t="str">
        <f>IFERROR(VLOOKUP(A157,'LAC 103'!A:C,3,FALSE),"")</f>
        <v>OP</v>
      </c>
      <c r="C157" s="1478" t="str">
        <f>Info!$B$8</f>
        <v>00100</v>
      </c>
      <c r="D157" s="1474" t="s">
        <v>1100</v>
      </c>
      <c r="E157" s="1474" t="s">
        <v>95</v>
      </c>
      <c r="F157" s="1478" t="s">
        <v>434</v>
      </c>
      <c r="G157" s="1478" t="s">
        <v>434</v>
      </c>
      <c r="H157" s="1474" t="s">
        <v>1008</v>
      </c>
      <c r="I157" s="1478" t="s">
        <v>826</v>
      </c>
      <c r="J157" s="1478"/>
      <c r="K157" s="1475" t="s">
        <v>846</v>
      </c>
      <c r="L157" s="1474" t="s">
        <v>332</v>
      </c>
      <c r="M157" s="1476" t="s">
        <v>841</v>
      </c>
      <c r="N157" s="1477" t="s">
        <v>1695</v>
      </c>
      <c r="O157" s="1479">
        <v>112</v>
      </c>
      <c r="P157" s="1479"/>
      <c r="Q157" s="1142">
        <f t="shared" si="37"/>
        <v>112</v>
      </c>
      <c r="R157" s="1143">
        <f>IFERROR(VLOOKUP(CONCATENATE(E157,G157),'LAC 103'!$A$12:$O$95,11,FALSE),0)</f>
        <v>5.936295312319726</v>
      </c>
      <c r="S157" s="1144">
        <f>IFERROR(VLOOKUP(CONCATENATE($E157,$G157),'LAC 103'!$A$12:$O$95,12,FALSE),0)</f>
        <v>7.34</v>
      </c>
      <c r="T157" s="1144">
        <f>IFERROR(VLOOKUP(CONCATENATE($E157,$G157),'LAC 103'!$A$12:$O$95,13,FALSE),0)</f>
        <v>4.59</v>
      </c>
      <c r="U157" s="1144">
        <f>IFERROR(VLOOKUP(CONCATENATE($E157,$G157),'LAC 103'!$A$12:$O$95,14,FALSE),0)</f>
        <v>0</v>
      </c>
      <c r="V157" s="1144">
        <f>IFERROR(VLOOKUP(CONCATENATE($E157,$G157),'LAC 103'!$A$12:$O$95,15,FALSE),0)</f>
        <v>0</v>
      </c>
      <c r="W157" s="1145" t="str">
        <f>IFERROR(VLOOKUP(CONCATENATE($B157,$N157),'LAC 103'!$AI:$AQ,9,FALSE),"")</f>
        <v>Costs</v>
      </c>
      <c r="X157" s="1146">
        <f t="shared" si="42"/>
        <v>5.936295312319726</v>
      </c>
      <c r="Y157" s="1143">
        <f t="shared" si="43"/>
        <v>664.86507497980926</v>
      </c>
      <c r="Z157" s="1147">
        <f t="shared" si="44"/>
        <v>822.07999999999993</v>
      </c>
      <c r="AA157" s="1144">
        <f t="shared" si="45"/>
        <v>514.07999999999993</v>
      </c>
      <c r="AB157" s="1144">
        <f t="shared" si="46"/>
        <v>0</v>
      </c>
      <c r="AC157" s="1144">
        <f t="shared" si="47"/>
        <v>0</v>
      </c>
      <c r="AD157" s="1148">
        <f t="shared" si="38"/>
        <v>664.86507497980926</v>
      </c>
      <c r="AE157" s="1487">
        <v>0</v>
      </c>
      <c r="AF157" s="1145">
        <f t="shared" si="48"/>
        <v>664.86507497980926</v>
      </c>
      <c r="AG157" s="1149">
        <f>IFERROR(VLOOKUP(CONCATENATE($L157,$N157),'Drop List'!$G$23:$K$87,2,FALSE),0)</f>
        <v>0</v>
      </c>
      <c r="AH157" s="1150">
        <f>IFERROR(VLOOKUP(CONCATENATE($L157,$N157),'Drop List'!$G$23:$K$87,3,FALSE),0)</f>
        <v>0</v>
      </c>
      <c r="AI157" s="1150">
        <f>IFERROR(VLOOKUP(CONCATENATE($L157,$N157),'Drop List'!$G$23:$K$87,4,FALSE),0)</f>
        <v>0</v>
      </c>
      <c r="AJ157" s="1151">
        <f>IFERROR(VLOOKUP(CONCATENATE($L157,$N157),'Drop List'!$G$23:$K$87,5,FALSE),0)</f>
        <v>0</v>
      </c>
      <c r="AK157" s="1152">
        <f t="shared" si="49"/>
        <v>0</v>
      </c>
      <c r="AL157" s="1153">
        <f t="shared" si="50"/>
        <v>0</v>
      </c>
      <c r="AM157" s="1153">
        <f t="shared" si="51"/>
        <v>0</v>
      </c>
      <c r="AN157" s="1145">
        <f t="shared" si="52"/>
        <v>0</v>
      </c>
      <c r="AO157" s="1154">
        <f t="shared" si="53"/>
        <v>0</v>
      </c>
      <c r="AP157" s="1147">
        <f t="shared" si="39"/>
        <v>664.86507497980926</v>
      </c>
      <c r="AQ157" s="1144">
        <f t="shared" si="40"/>
        <v>0</v>
      </c>
      <c r="AR157" s="1146">
        <f t="shared" si="41"/>
        <v>664.86507497980926</v>
      </c>
    </row>
    <row r="158" spans="1:44" x14ac:dyDescent="0.2">
      <c r="A158" s="1141" t="str">
        <f t="shared" si="36"/>
        <v>1563</v>
      </c>
      <c r="B158" s="1141" t="str">
        <f>IFERROR(VLOOKUP(A158,'LAC 103'!A:C,3,FALSE),"")</f>
        <v>OP</v>
      </c>
      <c r="C158" s="1478" t="str">
        <f>Info!$B$8</f>
        <v>00100</v>
      </c>
      <c r="D158" s="1474" t="s">
        <v>1100</v>
      </c>
      <c r="E158" s="1474" t="s">
        <v>95</v>
      </c>
      <c r="F158" s="1478" t="s">
        <v>434</v>
      </c>
      <c r="G158" s="1478" t="s">
        <v>434</v>
      </c>
      <c r="H158" s="1474" t="s">
        <v>1008</v>
      </c>
      <c r="I158" s="1478" t="s">
        <v>826</v>
      </c>
      <c r="J158" s="1478"/>
      <c r="K158" s="1475" t="s">
        <v>846</v>
      </c>
      <c r="L158" s="1474" t="s">
        <v>332</v>
      </c>
      <c r="M158" s="1476" t="s">
        <v>842</v>
      </c>
      <c r="N158" s="1477" t="s">
        <v>1692</v>
      </c>
      <c r="O158" s="1479">
        <v>890</v>
      </c>
      <c r="P158" s="1479"/>
      <c r="Q158" s="1142">
        <f t="shared" si="37"/>
        <v>890</v>
      </c>
      <c r="R158" s="1143">
        <f>IFERROR(VLOOKUP(CONCATENATE(E158,G158),'LAC 103'!$A$12:$O$95,11,FALSE),0)</f>
        <v>5.936295312319726</v>
      </c>
      <c r="S158" s="1144">
        <f>IFERROR(VLOOKUP(CONCATENATE($E158,$G158),'LAC 103'!$A$12:$O$95,12,FALSE),0)</f>
        <v>7.34</v>
      </c>
      <c r="T158" s="1144">
        <f>IFERROR(VLOOKUP(CONCATENATE($E158,$G158),'LAC 103'!$A$12:$O$95,13,FALSE),0)</f>
        <v>4.59</v>
      </c>
      <c r="U158" s="1144">
        <f>IFERROR(VLOOKUP(CONCATENATE($E158,$G158),'LAC 103'!$A$12:$O$95,14,FALSE),0)</f>
        <v>0</v>
      </c>
      <c r="V158" s="1144">
        <f>IFERROR(VLOOKUP(CONCATENATE($E158,$G158),'LAC 103'!$A$12:$O$95,15,FALSE),0)</f>
        <v>0</v>
      </c>
      <c r="W158" s="1145" t="str">
        <f>IFERROR(VLOOKUP(CONCATENATE($B158,$N158),'LAC 103'!$AI:$AQ,9,FALSE),"")</f>
        <v>Costs</v>
      </c>
      <c r="X158" s="1146">
        <f t="shared" si="42"/>
        <v>5.936295312319726</v>
      </c>
      <c r="Y158" s="1143">
        <f t="shared" si="43"/>
        <v>5283.3028279645559</v>
      </c>
      <c r="Z158" s="1147">
        <f t="shared" si="44"/>
        <v>6532.5999999999995</v>
      </c>
      <c r="AA158" s="1144">
        <f t="shared" si="45"/>
        <v>4085.1</v>
      </c>
      <c r="AB158" s="1144">
        <f t="shared" si="46"/>
        <v>0</v>
      </c>
      <c r="AC158" s="1144">
        <f t="shared" si="47"/>
        <v>0</v>
      </c>
      <c r="AD158" s="1148">
        <f t="shared" si="38"/>
        <v>5283.3028279645559</v>
      </c>
      <c r="AE158" s="1487">
        <v>0</v>
      </c>
      <c r="AF158" s="1145">
        <f t="shared" si="48"/>
        <v>5283.3028279645559</v>
      </c>
      <c r="AG158" s="1149">
        <f>IFERROR(VLOOKUP(CONCATENATE($L158,$N158),'Drop List'!$G$23:$K$87,2,FALSE),0)</f>
        <v>0</v>
      </c>
      <c r="AH158" s="1150">
        <f>IFERROR(VLOOKUP(CONCATENATE($L158,$N158),'Drop List'!$G$23:$K$87,3,FALSE),0)</f>
        <v>0</v>
      </c>
      <c r="AI158" s="1150">
        <f>IFERROR(VLOOKUP(CONCATENATE($L158,$N158),'Drop List'!$G$23:$K$87,4,FALSE),0)</f>
        <v>0</v>
      </c>
      <c r="AJ158" s="1151">
        <f>IFERROR(VLOOKUP(CONCATENATE($L158,$N158),'Drop List'!$G$23:$K$87,5,FALSE),0)</f>
        <v>0</v>
      </c>
      <c r="AK158" s="1152">
        <f t="shared" si="49"/>
        <v>0</v>
      </c>
      <c r="AL158" s="1153">
        <f t="shared" si="50"/>
        <v>0</v>
      </c>
      <c r="AM158" s="1153">
        <f t="shared" si="51"/>
        <v>0</v>
      </c>
      <c r="AN158" s="1145">
        <f t="shared" si="52"/>
        <v>0</v>
      </c>
      <c r="AO158" s="1154">
        <f t="shared" si="53"/>
        <v>0</v>
      </c>
      <c r="AP158" s="1147">
        <f t="shared" si="39"/>
        <v>5283.3028279645559</v>
      </c>
      <c r="AQ158" s="1144">
        <f t="shared" si="40"/>
        <v>0</v>
      </c>
      <c r="AR158" s="1146">
        <f t="shared" si="41"/>
        <v>5283.3028279645559</v>
      </c>
    </row>
    <row r="159" spans="1:44" x14ac:dyDescent="0.2">
      <c r="A159" s="1141" t="str">
        <f t="shared" si="36"/>
        <v>1563</v>
      </c>
      <c r="B159" s="1141" t="str">
        <f>IFERROR(VLOOKUP(A159,'LAC 103'!A:C,3,FALSE),"")</f>
        <v>OP</v>
      </c>
      <c r="C159" s="1478" t="str">
        <f>Info!$B$8</f>
        <v>00100</v>
      </c>
      <c r="D159" s="1474" t="s">
        <v>1100</v>
      </c>
      <c r="E159" s="1474" t="s">
        <v>95</v>
      </c>
      <c r="F159" s="1478" t="s">
        <v>434</v>
      </c>
      <c r="G159" s="1478" t="s">
        <v>434</v>
      </c>
      <c r="H159" s="1474" t="s">
        <v>1008</v>
      </c>
      <c r="I159" s="1478" t="s">
        <v>826</v>
      </c>
      <c r="J159" s="1478"/>
      <c r="K159" s="1475" t="s">
        <v>846</v>
      </c>
      <c r="L159" s="1474" t="s">
        <v>332</v>
      </c>
      <c r="M159" s="1476" t="s">
        <v>1698</v>
      </c>
      <c r="N159" s="1477" t="s">
        <v>1693</v>
      </c>
      <c r="O159" s="1479">
        <v>531</v>
      </c>
      <c r="P159" s="1479"/>
      <c r="Q159" s="1142">
        <f t="shared" si="37"/>
        <v>531</v>
      </c>
      <c r="R159" s="1143">
        <f>IFERROR(VLOOKUP(CONCATENATE(E159,G159),'LAC 103'!$A$12:$O$95,11,FALSE),0)</f>
        <v>5.936295312319726</v>
      </c>
      <c r="S159" s="1144">
        <f>IFERROR(VLOOKUP(CONCATENATE($E159,$G159),'LAC 103'!$A$12:$O$95,12,FALSE),0)</f>
        <v>7.34</v>
      </c>
      <c r="T159" s="1144">
        <f>IFERROR(VLOOKUP(CONCATENATE($E159,$G159),'LAC 103'!$A$12:$O$95,13,FALSE),0)</f>
        <v>4.59</v>
      </c>
      <c r="U159" s="1144">
        <f>IFERROR(VLOOKUP(CONCATENATE($E159,$G159),'LAC 103'!$A$12:$O$95,14,FALSE),0)</f>
        <v>0</v>
      </c>
      <c r="V159" s="1144">
        <f>IFERROR(VLOOKUP(CONCATENATE($E159,$G159),'LAC 103'!$A$12:$O$95,15,FALSE),0)</f>
        <v>0</v>
      </c>
      <c r="W159" s="1145" t="str">
        <f>IFERROR(VLOOKUP(CONCATENATE($B159,$N159),'LAC 103'!$AI:$AQ,9,FALSE),"")</f>
        <v>Costs</v>
      </c>
      <c r="X159" s="1146">
        <f t="shared" si="42"/>
        <v>5.936295312319726</v>
      </c>
      <c r="Y159" s="1143">
        <f t="shared" si="43"/>
        <v>3152.1728108417747</v>
      </c>
      <c r="Z159" s="1147">
        <f t="shared" si="44"/>
        <v>3897.54</v>
      </c>
      <c r="AA159" s="1144">
        <f t="shared" si="45"/>
        <v>2437.29</v>
      </c>
      <c r="AB159" s="1144">
        <f t="shared" si="46"/>
        <v>0</v>
      </c>
      <c r="AC159" s="1144">
        <f t="shared" si="47"/>
        <v>0</v>
      </c>
      <c r="AD159" s="1148">
        <f t="shared" si="38"/>
        <v>3152.1728108417747</v>
      </c>
      <c r="AE159" s="1487">
        <v>0</v>
      </c>
      <c r="AF159" s="1145">
        <f t="shared" si="48"/>
        <v>3152.1728108417747</v>
      </c>
      <c r="AG159" s="1149">
        <f>IFERROR(VLOOKUP(CONCATENATE($L159,$N159),'Drop List'!$G$23:$K$87,2,FALSE),0)</f>
        <v>0</v>
      </c>
      <c r="AH159" s="1150">
        <f>IFERROR(VLOOKUP(CONCATENATE($L159,$N159),'Drop List'!$G$23:$K$87,3,FALSE),0)</f>
        <v>0</v>
      </c>
      <c r="AI159" s="1150">
        <f>IFERROR(VLOOKUP(CONCATENATE($L159,$N159),'Drop List'!$G$23:$K$87,4,FALSE),0)</f>
        <v>0</v>
      </c>
      <c r="AJ159" s="1151">
        <f>IFERROR(VLOOKUP(CONCATENATE($L159,$N159),'Drop List'!$G$23:$K$87,5,FALSE),0)</f>
        <v>0</v>
      </c>
      <c r="AK159" s="1152">
        <f t="shared" si="49"/>
        <v>0</v>
      </c>
      <c r="AL159" s="1153">
        <f t="shared" si="50"/>
        <v>0</v>
      </c>
      <c r="AM159" s="1153">
        <f t="shared" si="51"/>
        <v>0</v>
      </c>
      <c r="AN159" s="1145">
        <f t="shared" si="52"/>
        <v>0</v>
      </c>
      <c r="AO159" s="1154">
        <f t="shared" si="53"/>
        <v>0</v>
      </c>
      <c r="AP159" s="1147">
        <f t="shared" si="39"/>
        <v>3152.1728108417747</v>
      </c>
      <c r="AQ159" s="1144">
        <f t="shared" si="40"/>
        <v>0</v>
      </c>
      <c r="AR159" s="1146">
        <f t="shared" si="41"/>
        <v>3152.1728108417747</v>
      </c>
    </row>
    <row r="160" spans="1:44" x14ac:dyDescent="0.2">
      <c r="A160" s="1141" t="str">
        <f t="shared" si="36"/>
        <v>1563</v>
      </c>
      <c r="B160" s="1141" t="str">
        <f>IFERROR(VLOOKUP(A160,'LAC 103'!A:C,3,FALSE),"")</f>
        <v>OP</v>
      </c>
      <c r="C160" s="1478" t="str">
        <f>Info!$B$8</f>
        <v>00100</v>
      </c>
      <c r="D160" s="1474" t="s">
        <v>1100</v>
      </c>
      <c r="E160" s="1474" t="s">
        <v>95</v>
      </c>
      <c r="F160" s="1478" t="s">
        <v>434</v>
      </c>
      <c r="G160" s="1478" t="s">
        <v>434</v>
      </c>
      <c r="H160" s="1474" t="s">
        <v>1660</v>
      </c>
      <c r="I160" s="1478" t="s">
        <v>817</v>
      </c>
      <c r="J160" s="1478" t="s">
        <v>123</v>
      </c>
      <c r="K160" s="1475" t="s">
        <v>846</v>
      </c>
      <c r="L160" s="1474" t="s">
        <v>332</v>
      </c>
      <c r="M160" s="1476" t="s">
        <v>1699</v>
      </c>
      <c r="N160" s="1477" t="s">
        <v>1694</v>
      </c>
      <c r="O160" s="1479">
        <v>2318</v>
      </c>
      <c r="P160" s="1479"/>
      <c r="Q160" s="1142">
        <f t="shared" si="37"/>
        <v>2318</v>
      </c>
      <c r="R160" s="1143">
        <f>IFERROR(VLOOKUP(CONCATENATE(E160,G160),'LAC 103'!$A$12:$O$95,11,FALSE),0)</f>
        <v>5.936295312319726</v>
      </c>
      <c r="S160" s="1144">
        <f>IFERROR(VLOOKUP(CONCATENATE($E160,$G160),'LAC 103'!$A$12:$O$95,12,FALSE),0)</f>
        <v>7.34</v>
      </c>
      <c r="T160" s="1144">
        <f>IFERROR(VLOOKUP(CONCATENATE($E160,$G160),'LAC 103'!$A$12:$O$95,13,FALSE),0)</f>
        <v>4.59</v>
      </c>
      <c r="U160" s="1144">
        <f>IFERROR(VLOOKUP(CONCATENATE($E160,$G160),'LAC 103'!$A$12:$O$95,14,FALSE),0)</f>
        <v>0</v>
      </c>
      <c r="V160" s="1144">
        <f>IFERROR(VLOOKUP(CONCATENATE($E160,$G160),'LAC 103'!$A$12:$O$95,15,FALSE),0)</f>
        <v>0</v>
      </c>
      <c r="W160" s="1145" t="str">
        <f>IFERROR(VLOOKUP(CONCATENATE($B160,$N160),'LAC 103'!$AI:$AQ,9,FALSE),"")</f>
        <v>Costs</v>
      </c>
      <c r="X160" s="1146">
        <f t="shared" si="42"/>
        <v>5.936295312319726</v>
      </c>
      <c r="Y160" s="1143">
        <f t="shared" si="43"/>
        <v>13760.332533957126</v>
      </c>
      <c r="Z160" s="1147">
        <f t="shared" si="44"/>
        <v>17014.12</v>
      </c>
      <c r="AA160" s="1144">
        <f t="shared" si="45"/>
        <v>10639.619999999999</v>
      </c>
      <c r="AB160" s="1144">
        <f t="shared" si="46"/>
        <v>0</v>
      </c>
      <c r="AC160" s="1144">
        <f t="shared" si="47"/>
        <v>0</v>
      </c>
      <c r="AD160" s="1148">
        <f t="shared" si="38"/>
        <v>13760.332533957126</v>
      </c>
      <c r="AE160" s="1487">
        <v>0</v>
      </c>
      <c r="AF160" s="1145">
        <f t="shared" si="48"/>
        <v>13760.332533957126</v>
      </c>
      <c r="AG160" s="1149">
        <f>IFERROR(VLOOKUP(CONCATENATE($L160,$N160),'Drop List'!$G$23:$K$87,2,FALSE),0)</f>
        <v>0</v>
      </c>
      <c r="AH160" s="1150">
        <f>IFERROR(VLOOKUP(CONCATENATE($L160,$N160),'Drop List'!$G$23:$K$87,3,FALSE),0)</f>
        <v>0</v>
      </c>
      <c r="AI160" s="1150">
        <f>IFERROR(VLOOKUP(CONCATENATE($L160,$N160),'Drop List'!$G$23:$K$87,4,FALSE),0)</f>
        <v>0</v>
      </c>
      <c r="AJ160" s="1151">
        <f>IFERROR(VLOOKUP(CONCATENATE($L160,$N160),'Drop List'!$G$23:$K$87,5,FALSE),0)</f>
        <v>0</v>
      </c>
      <c r="AK160" s="1152">
        <f t="shared" si="49"/>
        <v>0</v>
      </c>
      <c r="AL160" s="1153">
        <f t="shared" si="50"/>
        <v>0</v>
      </c>
      <c r="AM160" s="1153">
        <f t="shared" si="51"/>
        <v>0</v>
      </c>
      <c r="AN160" s="1145">
        <f t="shared" si="52"/>
        <v>0</v>
      </c>
      <c r="AO160" s="1154">
        <f t="shared" si="53"/>
        <v>0</v>
      </c>
      <c r="AP160" s="1147">
        <f t="shared" si="39"/>
        <v>13760.332533957126</v>
      </c>
      <c r="AQ160" s="1144">
        <f t="shared" si="40"/>
        <v>0</v>
      </c>
      <c r="AR160" s="1146">
        <f t="shared" si="41"/>
        <v>13760.332533957126</v>
      </c>
    </row>
    <row r="161" spans="1:44" x14ac:dyDescent="0.2">
      <c r="A161" s="1141" t="str">
        <f t="shared" si="36"/>
        <v>1563</v>
      </c>
      <c r="B161" s="1141" t="str">
        <f>IFERROR(VLOOKUP(A161,'LAC 103'!A:C,3,FALSE),"")</f>
        <v>OP</v>
      </c>
      <c r="C161" s="1478" t="str">
        <f>Info!$B$8</f>
        <v>00100</v>
      </c>
      <c r="D161" s="1474" t="s">
        <v>1100</v>
      </c>
      <c r="E161" s="1474" t="s">
        <v>95</v>
      </c>
      <c r="F161" s="1478" t="s">
        <v>434</v>
      </c>
      <c r="G161" s="1478" t="s">
        <v>434</v>
      </c>
      <c r="H161" s="1474" t="s">
        <v>1660</v>
      </c>
      <c r="I161" s="1478" t="s">
        <v>817</v>
      </c>
      <c r="J161" s="1478"/>
      <c r="K161" s="1475" t="s">
        <v>846</v>
      </c>
      <c r="L161" s="1474" t="s">
        <v>332</v>
      </c>
      <c r="M161" s="1476" t="s">
        <v>841</v>
      </c>
      <c r="N161" s="1477" t="s">
        <v>1695</v>
      </c>
      <c r="O161" s="1479">
        <v>673</v>
      </c>
      <c r="P161" s="1479"/>
      <c r="Q161" s="1142">
        <f t="shared" si="37"/>
        <v>673</v>
      </c>
      <c r="R161" s="1143">
        <f>IFERROR(VLOOKUP(CONCATENATE(E161,G161),'LAC 103'!$A$12:$O$95,11,FALSE),0)</f>
        <v>5.936295312319726</v>
      </c>
      <c r="S161" s="1144">
        <f>IFERROR(VLOOKUP(CONCATENATE($E161,$G161),'LAC 103'!$A$12:$O$95,12,FALSE),0)</f>
        <v>7.34</v>
      </c>
      <c r="T161" s="1144">
        <f>IFERROR(VLOOKUP(CONCATENATE($E161,$G161),'LAC 103'!$A$12:$O$95,13,FALSE),0)</f>
        <v>4.59</v>
      </c>
      <c r="U161" s="1144">
        <f>IFERROR(VLOOKUP(CONCATENATE($E161,$G161),'LAC 103'!$A$12:$O$95,14,FALSE),0)</f>
        <v>0</v>
      </c>
      <c r="V161" s="1144">
        <f>IFERROR(VLOOKUP(CONCATENATE($E161,$G161),'LAC 103'!$A$12:$O$95,15,FALSE),0)</f>
        <v>0</v>
      </c>
      <c r="W161" s="1145" t="str">
        <f>IFERROR(VLOOKUP(CONCATENATE($B161,$N161),'LAC 103'!$AI:$AQ,9,FALSE),"")</f>
        <v>Costs</v>
      </c>
      <c r="X161" s="1146">
        <f t="shared" si="42"/>
        <v>5.936295312319726</v>
      </c>
      <c r="Y161" s="1143">
        <f t="shared" si="43"/>
        <v>3995.1267451911754</v>
      </c>
      <c r="Z161" s="1147">
        <f t="shared" si="44"/>
        <v>4939.82</v>
      </c>
      <c r="AA161" s="1144">
        <f t="shared" si="45"/>
        <v>3089.0699999999997</v>
      </c>
      <c r="AB161" s="1144">
        <f t="shared" si="46"/>
        <v>0</v>
      </c>
      <c r="AC161" s="1144">
        <f t="shared" si="47"/>
        <v>0</v>
      </c>
      <c r="AD161" s="1148">
        <f t="shared" si="38"/>
        <v>3995.1267451911754</v>
      </c>
      <c r="AE161" s="1487">
        <v>0</v>
      </c>
      <c r="AF161" s="1145">
        <f t="shared" si="48"/>
        <v>3995.1267451911754</v>
      </c>
      <c r="AG161" s="1149">
        <f>IFERROR(VLOOKUP(CONCATENATE($L161,$N161),'Drop List'!$G$23:$K$87,2,FALSE),0)</f>
        <v>0</v>
      </c>
      <c r="AH161" s="1150">
        <f>IFERROR(VLOOKUP(CONCATENATE($L161,$N161),'Drop List'!$G$23:$K$87,3,FALSE),0)</f>
        <v>0</v>
      </c>
      <c r="AI161" s="1150">
        <f>IFERROR(VLOOKUP(CONCATENATE($L161,$N161),'Drop List'!$G$23:$K$87,4,FALSE),0)</f>
        <v>0</v>
      </c>
      <c r="AJ161" s="1151">
        <f>IFERROR(VLOOKUP(CONCATENATE($L161,$N161),'Drop List'!$G$23:$K$87,5,FALSE),0)</f>
        <v>0</v>
      </c>
      <c r="AK161" s="1152">
        <f t="shared" si="49"/>
        <v>0</v>
      </c>
      <c r="AL161" s="1153">
        <f t="shared" si="50"/>
        <v>0</v>
      </c>
      <c r="AM161" s="1153">
        <f t="shared" si="51"/>
        <v>0</v>
      </c>
      <c r="AN161" s="1145">
        <f t="shared" si="52"/>
        <v>0</v>
      </c>
      <c r="AO161" s="1154">
        <f t="shared" si="53"/>
        <v>0</v>
      </c>
      <c r="AP161" s="1147">
        <f t="shared" si="39"/>
        <v>3995.1267451911754</v>
      </c>
      <c r="AQ161" s="1144">
        <f t="shared" si="40"/>
        <v>0</v>
      </c>
      <c r="AR161" s="1146">
        <f t="shared" si="41"/>
        <v>3995.1267451911754</v>
      </c>
    </row>
    <row r="162" spans="1:44" x14ac:dyDescent="0.2">
      <c r="A162" s="1141" t="str">
        <f t="shared" si="36"/>
        <v>1563</v>
      </c>
      <c r="B162" s="1141" t="str">
        <f>IFERROR(VLOOKUP(A162,'LAC 103'!A:C,3,FALSE),"")</f>
        <v>OP</v>
      </c>
      <c r="C162" s="1478" t="str">
        <f>Info!$B$8</f>
        <v>00100</v>
      </c>
      <c r="D162" s="1474" t="s">
        <v>1100</v>
      </c>
      <c r="E162" s="1474" t="s">
        <v>95</v>
      </c>
      <c r="F162" s="1478" t="s">
        <v>434</v>
      </c>
      <c r="G162" s="1478" t="s">
        <v>434</v>
      </c>
      <c r="H162" s="1474" t="s">
        <v>1660</v>
      </c>
      <c r="I162" s="1478" t="s">
        <v>817</v>
      </c>
      <c r="J162" s="1478"/>
      <c r="K162" s="1475" t="s">
        <v>846</v>
      </c>
      <c r="L162" s="1474" t="s">
        <v>332</v>
      </c>
      <c r="M162" s="1476" t="s">
        <v>840</v>
      </c>
      <c r="N162" s="1477" t="s">
        <v>1700</v>
      </c>
      <c r="O162" s="1479">
        <v>1106</v>
      </c>
      <c r="P162" s="1479"/>
      <c r="Q162" s="1142">
        <f t="shared" si="37"/>
        <v>1106</v>
      </c>
      <c r="R162" s="1143">
        <f>IFERROR(VLOOKUP(CONCATENATE(E162,G162),'LAC 103'!$A$12:$O$95,11,FALSE),0)</f>
        <v>5.936295312319726</v>
      </c>
      <c r="S162" s="1144">
        <f>IFERROR(VLOOKUP(CONCATENATE($E162,$G162),'LAC 103'!$A$12:$O$95,12,FALSE),0)</f>
        <v>7.34</v>
      </c>
      <c r="T162" s="1144">
        <f>IFERROR(VLOOKUP(CONCATENATE($E162,$G162),'LAC 103'!$A$12:$O$95,13,FALSE),0)</f>
        <v>4.59</v>
      </c>
      <c r="U162" s="1144">
        <f>IFERROR(VLOOKUP(CONCATENATE($E162,$G162),'LAC 103'!$A$12:$O$95,14,FALSE),0)</f>
        <v>0</v>
      </c>
      <c r="V162" s="1144">
        <f>IFERROR(VLOOKUP(CONCATENATE($E162,$G162),'LAC 103'!$A$12:$O$95,15,FALSE),0)</f>
        <v>0</v>
      </c>
      <c r="W162" s="1145" t="str">
        <f>IFERROR(VLOOKUP(CONCATENATE($B162,$N162),'LAC 103'!$AI:$AQ,9,FALSE),"")</f>
        <v>P.C.</v>
      </c>
      <c r="X162" s="1146">
        <f t="shared" si="42"/>
        <v>4.59</v>
      </c>
      <c r="Y162" s="1143">
        <f t="shared" si="43"/>
        <v>6565.5426154256165</v>
      </c>
      <c r="Z162" s="1147">
        <f t="shared" si="44"/>
        <v>8118.04</v>
      </c>
      <c r="AA162" s="1144">
        <f t="shared" si="45"/>
        <v>5076.54</v>
      </c>
      <c r="AB162" s="1144">
        <f t="shared" si="46"/>
        <v>0</v>
      </c>
      <c r="AC162" s="1144">
        <f t="shared" si="47"/>
        <v>0</v>
      </c>
      <c r="AD162" s="1148">
        <f t="shared" si="38"/>
        <v>5076.54</v>
      </c>
      <c r="AE162" s="1487">
        <v>0</v>
      </c>
      <c r="AF162" s="1145">
        <f t="shared" si="48"/>
        <v>5076.54</v>
      </c>
      <c r="AG162" s="1149">
        <f>IFERROR(VLOOKUP(CONCATENATE($L162,$N162),'Drop List'!$G$23:$K$87,2,FALSE),0)</f>
        <v>0</v>
      </c>
      <c r="AH162" s="1150">
        <f>IFERROR(VLOOKUP(CONCATENATE($L162,$N162),'Drop List'!$G$23:$K$87,3,FALSE),0)</f>
        <v>0</v>
      </c>
      <c r="AI162" s="1150">
        <f>IFERROR(VLOOKUP(CONCATENATE($L162,$N162),'Drop List'!$G$23:$K$87,4,FALSE),0)</f>
        <v>0</v>
      </c>
      <c r="AJ162" s="1151">
        <f>IFERROR(VLOOKUP(CONCATENATE($L162,$N162),'Drop List'!$G$23:$K$87,5,FALSE),0)</f>
        <v>0</v>
      </c>
      <c r="AK162" s="1152">
        <f t="shared" si="49"/>
        <v>0</v>
      </c>
      <c r="AL162" s="1153">
        <f t="shared" si="50"/>
        <v>0</v>
      </c>
      <c r="AM162" s="1153">
        <f t="shared" si="51"/>
        <v>0</v>
      </c>
      <c r="AN162" s="1145">
        <f t="shared" si="52"/>
        <v>0</v>
      </c>
      <c r="AO162" s="1154">
        <f t="shared" si="53"/>
        <v>0</v>
      </c>
      <c r="AP162" s="1147">
        <f t="shared" si="39"/>
        <v>5076.54</v>
      </c>
      <c r="AQ162" s="1144">
        <f t="shared" si="40"/>
        <v>0</v>
      </c>
      <c r="AR162" s="1146">
        <f t="shared" si="41"/>
        <v>5076.54</v>
      </c>
    </row>
    <row r="163" spans="1:44" x14ac:dyDescent="0.2">
      <c r="A163" s="1141" t="str">
        <f t="shared" si="36"/>
        <v>1563</v>
      </c>
      <c r="B163" s="1141" t="str">
        <f>IFERROR(VLOOKUP(A163,'LAC 103'!A:C,3,FALSE),"")</f>
        <v>OP</v>
      </c>
      <c r="C163" s="1478" t="str">
        <f>Info!$B$8</f>
        <v>00100</v>
      </c>
      <c r="D163" s="1474" t="s">
        <v>1100</v>
      </c>
      <c r="E163" s="1474" t="s">
        <v>95</v>
      </c>
      <c r="F163" s="1478" t="s">
        <v>434</v>
      </c>
      <c r="G163" s="1478" t="s">
        <v>434</v>
      </c>
      <c r="H163" s="1474" t="s">
        <v>1660</v>
      </c>
      <c r="I163" s="1478" t="s">
        <v>817</v>
      </c>
      <c r="J163" s="1478"/>
      <c r="K163" s="1475" t="s">
        <v>846</v>
      </c>
      <c r="L163" s="1474" t="s">
        <v>332</v>
      </c>
      <c r="M163" s="1476" t="s">
        <v>842</v>
      </c>
      <c r="N163" s="1477" t="s">
        <v>1692</v>
      </c>
      <c r="O163" s="1479">
        <v>1048</v>
      </c>
      <c r="P163" s="1479"/>
      <c r="Q163" s="1142">
        <f t="shared" si="37"/>
        <v>1048</v>
      </c>
      <c r="R163" s="1143">
        <f>IFERROR(VLOOKUP(CONCATENATE(E163,G163),'LAC 103'!$A$12:$O$95,11,FALSE),0)</f>
        <v>5.936295312319726</v>
      </c>
      <c r="S163" s="1144">
        <f>IFERROR(VLOOKUP(CONCATENATE($E163,$G163),'LAC 103'!$A$12:$O$95,12,FALSE),0)</f>
        <v>7.34</v>
      </c>
      <c r="T163" s="1144">
        <f>IFERROR(VLOOKUP(CONCATENATE($E163,$G163),'LAC 103'!$A$12:$O$95,13,FALSE),0)</f>
        <v>4.59</v>
      </c>
      <c r="U163" s="1144">
        <f>IFERROR(VLOOKUP(CONCATENATE($E163,$G163),'LAC 103'!$A$12:$O$95,14,FALSE),0)</f>
        <v>0</v>
      </c>
      <c r="V163" s="1144">
        <f>IFERROR(VLOOKUP(CONCATENATE($E163,$G163),'LAC 103'!$A$12:$O$95,15,FALSE),0)</f>
        <v>0</v>
      </c>
      <c r="W163" s="1145" t="str">
        <f>IFERROR(VLOOKUP(CONCATENATE($B163,$N163),'LAC 103'!$AI:$AQ,9,FALSE),"")</f>
        <v>Costs</v>
      </c>
      <c r="X163" s="1146">
        <f t="shared" si="42"/>
        <v>5.936295312319726</v>
      </c>
      <c r="Y163" s="1143">
        <f t="shared" si="43"/>
        <v>6221.237487311073</v>
      </c>
      <c r="Z163" s="1147">
        <f t="shared" si="44"/>
        <v>7692.32</v>
      </c>
      <c r="AA163" s="1144">
        <f t="shared" si="45"/>
        <v>4810.32</v>
      </c>
      <c r="AB163" s="1144">
        <f t="shared" si="46"/>
        <v>0</v>
      </c>
      <c r="AC163" s="1144">
        <f t="shared" si="47"/>
        <v>0</v>
      </c>
      <c r="AD163" s="1148">
        <f t="shared" si="38"/>
        <v>6221.237487311073</v>
      </c>
      <c r="AE163" s="1487">
        <v>0</v>
      </c>
      <c r="AF163" s="1145">
        <f t="shared" si="48"/>
        <v>6221.237487311073</v>
      </c>
      <c r="AG163" s="1149">
        <f>IFERROR(VLOOKUP(CONCATENATE($L163,$N163),'Drop List'!$G$23:$K$87,2,FALSE),0)</f>
        <v>0</v>
      </c>
      <c r="AH163" s="1150">
        <f>IFERROR(VLOOKUP(CONCATENATE($L163,$N163),'Drop List'!$G$23:$K$87,3,FALSE),0)</f>
        <v>0</v>
      </c>
      <c r="AI163" s="1150">
        <f>IFERROR(VLOOKUP(CONCATENATE($L163,$N163),'Drop List'!$G$23:$K$87,4,FALSE),0)</f>
        <v>0</v>
      </c>
      <c r="AJ163" s="1151">
        <f>IFERROR(VLOOKUP(CONCATENATE($L163,$N163),'Drop List'!$G$23:$K$87,5,FALSE),0)</f>
        <v>0</v>
      </c>
      <c r="AK163" s="1152">
        <f t="shared" si="49"/>
        <v>0</v>
      </c>
      <c r="AL163" s="1153">
        <f t="shared" si="50"/>
        <v>0</v>
      </c>
      <c r="AM163" s="1153">
        <f t="shared" si="51"/>
        <v>0</v>
      </c>
      <c r="AN163" s="1145">
        <f t="shared" si="52"/>
        <v>0</v>
      </c>
      <c r="AO163" s="1154">
        <f t="shared" si="53"/>
        <v>0</v>
      </c>
      <c r="AP163" s="1147">
        <f t="shared" si="39"/>
        <v>6221.237487311073</v>
      </c>
      <c r="AQ163" s="1144">
        <f t="shared" si="40"/>
        <v>0</v>
      </c>
      <c r="AR163" s="1146">
        <f t="shared" si="41"/>
        <v>6221.237487311073</v>
      </c>
    </row>
    <row r="164" spans="1:44" x14ac:dyDescent="0.2">
      <c r="A164" s="1141" t="str">
        <f t="shared" si="36"/>
        <v>1563</v>
      </c>
      <c r="B164" s="1141" t="str">
        <f>IFERROR(VLOOKUP(A164,'LAC 103'!A:C,3,FALSE),"")</f>
        <v>OP</v>
      </c>
      <c r="C164" s="1478" t="str">
        <f>Info!$B$8</f>
        <v>00100</v>
      </c>
      <c r="D164" s="1474" t="s">
        <v>1100</v>
      </c>
      <c r="E164" s="1474" t="s">
        <v>95</v>
      </c>
      <c r="F164" s="1478" t="s">
        <v>434</v>
      </c>
      <c r="G164" s="1478" t="s">
        <v>434</v>
      </c>
      <c r="H164" s="1474" t="s">
        <v>1660</v>
      </c>
      <c r="I164" s="1478" t="s">
        <v>817</v>
      </c>
      <c r="J164" s="1478"/>
      <c r="K164" s="1475" t="s">
        <v>846</v>
      </c>
      <c r="L164" s="1474" t="s">
        <v>332</v>
      </c>
      <c r="M164" s="1476" t="s">
        <v>1698</v>
      </c>
      <c r="N164" s="1477" t="s">
        <v>1693</v>
      </c>
      <c r="O164" s="1479">
        <v>995</v>
      </c>
      <c r="P164" s="1479"/>
      <c r="Q164" s="1142">
        <f t="shared" si="37"/>
        <v>995</v>
      </c>
      <c r="R164" s="1143">
        <f>IFERROR(VLOOKUP(CONCATENATE(E164,G164),'LAC 103'!$A$12:$O$95,11,FALSE),0)</f>
        <v>5.936295312319726</v>
      </c>
      <c r="S164" s="1144">
        <f>IFERROR(VLOOKUP(CONCATENATE($E164,$G164),'LAC 103'!$A$12:$O$95,12,FALSE),0)</f>
        <v>7.34</v>
      </c>
      <c r="T164" s="1144">
        <f>IFERROR(VLOOKUP(CONCATENATE($E164,$G164),'LAC 103'!$A$12:$O$95,13,FALSE),0)</f>
        <v>4.59</v>
      </c>
      <c r="U164" s="1144">
        <f>IFERROR(VLOOKUP(CONCATENATE($E164,$G164),'LAC 103'!$A$12:$O$95,14,FALSE),0)</f>
        <v>0</v>
      </c>
      <c r="V164" s="1144">
        <f>IFERROR(VLOOKUP(CONCATENATE($E164,$G164),'LAC 103'!$A$12:$O$95,15,FALSE),0)</f>
        <v>0</v>
      </c>
      <c r="W164" s="1145" t="str">
        <f>IFERROR(VLOOKUP(CONCATENATE($B164,$N164),'LAC 103'!$AI:$AQ,9,FALSE),"")</f>
        <v>Costs</v>
      </c>
      <c r="X164" s="1146">
        <f t="shared" si="42"/>
        <v>5.936295312319726</v>
      </c>
      <c r="Y164" s="1143">
        <f t="shared" si="43"/>
        <v>5906.6138357581276</v>
      </c>
      <c r="Z164" s="1147">
        <f t="shared" si="44"/>
        <v>7303.3</v>
      </c>
      <c r="AA164" s="1144">
        <f t="shared" si="45"/>
        <v>4567.05</v>
      </c>
      <c r="AB164" s="1144">
        <f t="shared" si="46"/>
        <v>0</v>
      </c>
      <c r="AC164" s="1144">
        <f t="shared" si="47"/>
        <v>0</v>
      </c>
      <c r="AD164" s="1148">
        <f t="shared" si="38"/>
        <v>5906.6138357581276</v>
      </c>
      <c r="AE164" s="1487">
        <v>0</v>
      </c>
      <c r="AF164" s="1145">
        <f t="shared" si="48"/>
        <v>5906.6138357581276</v>
      </c>
      <c r="AG164" s="1149">
        <f>IFERROR(VLOOKUP(CONCATENATE($L164,$N164),'Drop List'!$G$23:$K$87,2,FALSE),0)</f>
        <v>0</v>
      </c>
      <c r="AH164" s="1150">
        <f>IFERROR(VLOOKUP(CONCATENATE($L164,$N164),'Drop List'!$G$23:$K$87,3,FALSE),0)</f>
        <v>0</v>
      </c>
      <c r="AI164" s="1150">
        <f>IFERROR(VLOOKUP(CONCATENATE($L164,$N164),'Drop List'!$G$23:$K$87,4,FALSE),0)</f>
        <v>0</v>
      </c>
      <c r="AJ164" s="1151">
        <f>IFERROR(VLOOKUP(CONCATENATE($L164,$N164),'Drop List'!$G$23:$K$87,5,FALSE),0)</f>
        <v>0</v>
      </c>
      <c r="AK164" s="1152">
        <f t="shared" si="49"/>
        <v>0</v>
      </c>
      <c r="AL164" s="1153">
        <f t="shared" si="50"/>
        <v>0</v>
      </c>
      <c r="AM164" s="1153">
        <f t="shared" si="51"/>
        <v>0</v>
      </c>
      <c r="AN164" s="1145">
        <f t="shared" si="52"/>
        <v>0</v>
      </c>
      <c r="AO164" s="1154">
        <f t="shared" si="53"/>
        <v>0</v>
      </c>
      <c r="AP164" s="1147">
        <f t="shared" si="39"/>
        <v>5906.6138357581276</v>
      </c>
      <c r="AQ164" s="1144">
        <f t="shared" si="40"/>
        <v>0</v>
      </c>
      <c r="AR164" s="1146">
        <f t="shared" si="41"/>
        <v>5906.6138357581276</v>
      </c>
    </row>
    <row r="165" spans="1:44" x14ac:dyDescent="0.2">
      <c r="A165" s="1141" t="str">
        <f t="shared" si="36"/>
        <v>1577</v>
      </c>
      <c r="B165" s="1141" t="str">
        <f>IFERROR(VLOOKUP(A165,'LAC 103'!A:C,3,FALSE),"")</f>
        <v>OP</v>
      </c>
      <c r="C165" s="1478" t="str">
        <f>Info!$B$8</f>
        <v>00100</v>
      </c>
      <c r="D165" s="1474" t="s">
        <v>1100</v>
      </c>
      <c r="E165" s="1474" t="s">
        <v>95</v>
      </c>
      <c r="F165" s="1478" t="s">
        <v>459</v>
      </c>
      <c r="G165" s="1478" t="s">
        <v>459</v>
      </c>
      <c r="H165" s="1474" t="s">
        <v>1009</v>
      </c>
      <c r="I165" s="1478" t="s">
        <v>826</v>
      </c>
      <c r="J165" s="1478" t="s">
        <v>123</v>
      </c>
      <c r="K165" s="1475" t="s">
        <v>851</v>
      </c>
      <c r="L165" s="1474" t="s">
        <v>584</v>
      </c>
      <c r="M165" s="1476" t="s">
        <v>1699</v>
      </c>
      <c r="N165" s="1477" t="s">
        <v>1694</v>
      </c>
      <c r="O165" s="1479">
        <v>228</v>
      </c>
      <c r="P165" s="1479"/>
      <c r="Q165" s="1142">
        <f t="shared" si="37"/>
        <v>228</v>
      </c>
      <c r="R165" s="1143">
        <f>IFERROR(VLOOKUP(CONCATENATE(E165,G165),'LAC 103'!$A$12:$O$95,11,FALSE),0)</f>
        <v>4.7723158393158576</v>
      </c>
      <c r="S165" s="1144">
        <f>IFERROR(VLOOKUP(CONCATENATE($E165,$G165),'LAC 103'!$A$12:$O$95,12,FALSE),0)</f>
        <v>5.91</v>
      </c>
      <c r="T165" s="1144">
        <f>IFERROR(VLOOKUP(CONCATENATE($E165,$G165),'LAC 103'!$A$12:$O$95,13,FALSE),0)</f>
        <v>3.69</v>
      </c>
      <c r="U165" s="1144">
        <f>IFERROR(VLOOKUP(CONCATENATE($E165,$G165),'LAC 103'!$A$12:$O$95,14,FALSE),0)</f>
        <v>0</v>
      </c>
      <c r="V165" s="1144">
        <f>IFERROR(VLOOKUP(CONCATENATE($E165,$G165),'LAC 103'!$A$12:$O$95,15,FALSE),0)</f>
        <v>0</v>
      </c>
      <c r="W165" s="1145" t="str">
        <f>IFERROR(VLOOKUP(CONCATENATE($B165,$N165),'LAC 103'!$AI:$AQ,9,FALSE),"")</f>
        <v>Costs</v>
      </c>
      <c r="X165" s="1146">
        <f t="shared" si="42"/>
        <v>4.7723158393158576</v>
      </c>
      <c r="Y165" s="1143">
        <f t="shared" si="43"/>
        <v>1088.0880113640155</v>
      </c>
      <c r="Z165" s="1147">
        <f t="shared" si="44"/>
        <v>1347.48</v>
      </c>
      <c r="AA165" s="1144">
        <f t="shared" si="45"/>
        <v>841.31999999999994</v>
      </c>
      <c r="AB165" s="1144">
        <f t="shared" si="46"/>
        <v>0</v>
      </c>
      <c r="AC165" s="1144">
        <f t="shared" si="47"/>
        <v>0</v>
      </c>
      <c r="AD165" s="1148">
        <f t="shared" si="38"/>
        <v>1088.0880113640155</v>
      </c>
      <c r="AE165" s="1487">
        <v>0</v>
      </c>
      <c r="AF165" s="1145">
        <f t="shared" si="48"/>
        <v>1088.0880113640155</v>
      </c>
      <c r="AG165" s="1149">
        <f>IFERROR(VLOOKUP(CONCATENATE($L165,$N165),'Drop List'!$G$23:$K$87,2,FALSE),0)</f>
        <v>0.56200000000000006</v>
      </c>
      <c r="AH165" s="1150">
        <f>IFERROR(VLOOKUP(CONCATENATE($L165,$N165),'Drop List'!$G$23:$K$87,3,FALSE),0)</f>
        <v>0</v>
      </c>
      <c r="AI165" s="1150">
        <f>IFERROR(VLOOKUP(CONCATENATE($L165,$N165),'Drop List'!$G$23:$K$87,4,FALSE),0)</f>
        <v>0</v>
      </c>
      <c r="AJ165" s="1151">
        <f>IFERROR(VLOOKUP(CONCATENATE($L165,$N165),'Drop List'!$G$23:$K$87,5,FALSE),0)</f>
        <v>0.43799999999999994</v>
      </c>
      <c r="AK165" s="1152">
        <f t="shared" si="49"/>
        <v>611.50546238657682</v>
      </c>
      <c r="AL165" s="1153">
        <f t="shared" si="50"/>
        <v>0</v>
      </c>
      <c r="AM165" s="1153">
        <f t="shared" si="51"/>
        <v>0</v>
      </c>
      <c r="AN165" s="1145">
        <f t="shared" si="52"/>
        <v>476.58254897743876</v>
      </c>
      <c r="AO165" s="1154">
        <f t="shared" si="53"/>
        <v>1088.0880113640155</v>
      </c>
      <c r="AP165" s="1147">
        <f t="shared" si="39"/>
        <v>0</v>
      </c>
      <c r="AQ165" s="1144">
        <f t="shared" si="40"/>
        <v>0</v>
      </c>
      <c r="AR165" s="1146">
        <f t="shared" si="41"/>
        <v>1088.0880113640155</v>
      </c>
    </row>
    <row r="166" spans="1:44" x14ac:dyDescent="0.2">
      <c r="A166" s="1141" t="str">
        <f t="shared" si="36"/>
        <v>1577</v>
      </c>
      <c r="B166" s="1141" t="str">
        <f>IFERROR(VLOOKUP(A166,'LAC 103'!A:C,3,FALSE),"")</f>
        <v>OP</v>
      </c>
      <c r="C166" s="1478" t="str">
        <f>Info!$B$8</f>
        <v>00100</v>
      </c>
      <c r="D166" s="1474" t="s">
        <v>1100</v>
      </c>
      <c r="E166" s="1474" t="s">
        <v>95</v>
      </c>
      <c r="F166" s="1478" t="s">
        <v>459</v>
      </c>
      <c r="G166" s="1478" t="s">
        <v>459</v>
      </c>
      <c r="H166" s="1474" t="s">
        <v>1009</v>
      </c>
      <c r="I166" s="1478" t="s">
        <v>826</v>
      </c>
      <c r="J166" s="1478"/>
      <c r="K166" s="1475" t="s">
        <v>851</v>
      </c>
      <c r="L166" s="1474" t="s">
        <v>584</v>
      </c>
      <c r="M166" s="1476" t="s">
        <v>842</v>
      </c>
      <c r="N166" s="1477" t="s">
        <v>1692</v>
      </c>
      <c r="O166" s="1479">
        <v>208</v>
      </c>
      <c r="P166" s="1479"/>
      <c r="Q166" s="1142">
        <f t="shared" si="37"/>
        <v>208</v>
      </c>
      <c r="R166" s="1143">
        <f>IFERROR(VLOOKUP(CONCATENATE(E166,G166),'LAC 103'!$A$12:$O$95,11,FALSE),0)</f>
        <v>4.7723158393158576</v>
      </c>
      <c r="S166" s="1144">
        <f>IFERROR(VLOOKUP(CONCATENATE($E166,$G166),'LAC 103'!$A$12:$O$95,12,FALSE),0)</f>
        <v>5.91</v>
      </c>
      <c r="T166" s="1144">
        <f>IFERROR(VLOOKUP(CONCATENATE($E166,$G166),'LAC 103'!$A$12:$O$95,13,FALSE),0)</f>
        <v>3.69</v>
      </c>
      <c r="U166" s="1144">
        <f>IFERROR(VLOOKUP(CONCATENATE($E166,$G166),'LAC 103'!$A$12:$O$95,14,FALSE),0)</f>
        <v>0</v>
      </c>
      <c r="V166" s="1144">
        <f>IFERROR(VLOOKUP(CONCATENATE($E166,$G166),'LAC 103'!$A$12:$O$95,15,FALSE),0)</f>
        <v>0</v>
      </c>
      <c r="W166" s="1145" t="str">
        <f>IFERROR(VLOOKUP(CONCATENATE($B166,$N166),'LAC 103'!$AI:$AQ,9,FALSE),"")</f>
        <v>Costs</v>
      </c>
      <c r="X166" s="1146">
        <f t="shared" si="42"/>
        <v>4.7723158393158576</v>
      </c>
      <c r="Y166" s="1143">
        <f t="shared" si="43"/>
        <v>992.64169457769833</v>
      </c>
      <c r="Z166" s="1147">
        <f t="shared" si="44"/>
        <v>1229.28</v>
      </c>
      <c r="AA166" s="1144">
        <f t="shared" si="45"/>
        <v>767.52</v>
      </c>
      <c r="AB166" s="1144">
        <f t="shared" si="46"/>
        <v>0</v>
      </c>
      <c r="AC166" s="1144">
        <f t="shared" si="47"/>
        <v>0</v>
      </c>
      <c r="AD166" s="1148">
        <f t="shared" si="38"/>
        <v>992.64169457769833</v>
      </c>
      <c r="AE166" s="1487">
        <v>0</v>
      </c>
      <c r="AF166" s="1145">
        <f t="shared" si="48"/>
        <v>992.64169457769833</v>
      </c>
      <c r="AG166" s="1149">
        <f>IFERROR(VLOOKUP(CONCATENATE($L166,$N166),'Drop List'!$G$23:$K$87,2,FALSE),0)</f>
        <v>0.56200000000000006</v>
      </c>
      <c r="AH166" s="1150">
        <f>IFERROR(VLOOKUP(CONCATENATE($L166,$N166),'Drop List'!$G$23:$K$87,3,FALSE),0)</f>
        <v>0</v>
      </c>
      <c r="AI166" s="1150">
        <f>IFERROR(VLOOKUP(CONCATENATE($L166,$N166),'Drop List'!$G$23:$K$87,4,FALSE),0)</f>
        <v>0</v>
      </c>
      <c r="AJ166" s="1151">
        <f>IFERROR(VLOOKUP(CONCATENATE($L166,$N166),'Drop List'!$G$23:$K$87,5,FALSE),0)</f>
        <v>0.43799999999999994</v>
      </c>
      <c r="AK166" s="1152">
        <f t="shared" si="49"/>
        <v>557.86463235266649</v>
      </c>
      <c r="AL166" s="1153">
        <f t="shared" si="50"/>
        <v>0</v>
      </c>
      <c r="AM166" s="1153">
        <f t="shared" si="51"/>
        <v>0</v>
      </c>
      <c r="AN166" s="1145">
        <f t="shared" si="52"/>
        <v>434.77706222503184</v>
      </c>
      <c r="AO166" s="1154">
        <f t="shared" si="53"/>
        <v>992.64169457769833</v>
      </c>
      <c r="AP166" s="1147">
        <f t="shared" si="39"/>
        <v>0</v>
      </c>
      <c r="AQ166" s="1144">
        <f t="shared" si="40"/>
        <v>0</v>
      </c>
      <c r="AR166" s="1146">
        <f t="shared" si="41"/>
        <v>992.64169457769833</v>
      </c>
    </row>
    <row r="167" spans="1:44" x14ac:dyDescent="0.2">
      <c r="A167" s="1141" t="str">
        <f t="shared" si="36"/>
        <v>1577</v>
      </c>
      <c r="B167" s="1141" t="str">
        <f>IFERROR(VLOOKUP(A167,'LAC 103'!A:C,3,FALSE),"")</f>
        <v>OP</v>
      </c>
      <c r="C167" s="1478" t="str">
        <f>Info!$B$8</f>
        <v>00100</v>
      </c>
      <c r="D167" s="1474" t="s">
        <v>1100</v>
      </c>
      <c r="E167" s="1474" t="s">
        <v>95</v>
      </c>
      <c r="F167" s="1478" t="s">
        <v>459</v>
      </c>
      <c r="G167" s="1478" t="s">
        <v>459</v>
      </c>
      <c r="H167" s="1474" t="s">
        <v>970</v>
      </c>
      <c r="I167" s="1478" t="s">
        <v>817</v>
      </c>
      <c r="J167" s="1478" t="s">
        <v>123</v>
      </c>
      <c r="K167" s="1475" t="s">
        <v>849</v>
      </c>
      <c r="L167" s="1474" t="s">
        <v>77</v>
      </c>
      <c r="M167" s="1476" t="s">
        <v>1699</v>
      </c>
      <c r="N167" s="1477" t="s">
        <v>1694</v>
      </c>
      <c r="O167" s="1479">
        <v>281</v>
      </c>
      <c r="P167" s="1479"/>
      <c r="Q167" s="1142">
        <f t="shared" si="37"/>
        <v>281</v>
      </c>
      <c r="R167" s="1143">
        <f>IFERROR(VLOOKUP(CONCATENATE(E167,G167),'LAC 103'!$A$12:$O$95,11,FALSE),0)</f>
        <v>4.7723158393158576</v>
      </c>
      <c r="S167" s="1144">
        <f>IFERROR(VLOOKUP(CONCATENATE($E167,$G167),'LAC 103'!$A$12:$O$95,12,FALSE),0)</f>
        <v>5.91</v>
      </c>
      <c r="T167" s="1144">
        <f>IFERROR(VLOOKUP(CONCATENATE($E167,$G167),'LAC 103'!$A$12:$O$95,13,FALSE),0)</f>
        <v>3.69</v>
      </c>
      <c r="U167" s="1144">
        <f>IFERROR(VLOOKUP(CONCATENATE($E167,$G167),'LAC 103'!$A$12:$O$95,14,FALSE),0)</f>
        <v>0</v>
      </c>
      <c r="V167" s="1144">
        <f>IFERROR(VLOOKUP(CONCATENATE($E167,$G167),'LAC 103'!$A$12:$O$95,15,FALSE),0)</f>
        <v>0</v>
      </c>
      <c r="W167" s="1145" t="str">
        <f>IFERROR(VLOOKUP(CONCATENATE($B167,$N167),'LAC 103'!$AI:$AQ,9,FALSE),"")</f>
        <v>Costs</v>
      </c>
      <c r="X167" s="1146">
        <f t="shared" si="42"/>
        <v>4.7723158393158576</v>
      </c>
      <c r="Y167" s="1143">
        <f t="shared" si="43"/>
        <v>1341.0207508477561</v>
      </c>
      <c r="Z167" s="1147">
        <f t="shared" si="44"/>
        <v>1660.71</v>
      </c>
      <c r="AA167" s="1144">
        <f t="shared" si="45"/>
        <v>1036.8899999999999</v>
      </c>
      <c r="AB167" s="1144">
        <f t="shared" si="46"/>
        <v>0</v>
      </c>
      <c r="AC167" s="1144">
        <f t="shared" si="47"/>
        <v>0</v>
      </c>
      <c r="AD167" s="1148">
        <f t="shared" si="38"/>
        <v>1341.0207508477561</v>
      </c>
      <c r="AE167" s="1487">
        <v>0</v>
      </c>
      <c r="AF167" s="1145">
        <f t="shared" si="48"/>
        <v>1341.0207508477561</v>
      </c>
      <c r="AG167" s="1149">
        <f>IFERROR(VLOOKUP(CONCATENATE($L167,$N167),'Drop List'!$G$23:$K$87,2,FALSE),0)</f>
        <v>0.9</v>
      </c>
      <c r="AH167" s="1150">
        <f>IFERROR(VLOOKUP(CONCATENATE($L167,$N167),'Drop List'!$G$23:$K$87,3,FALSE),0)</f>
        <v>0</v>
      </c>
      <c r="AI167" s="1150">
        <f>IFERROR(VLOOKUP(CONCATENATE($L167,$N167),'Drop List'!$G$23:$K$87,4,FALSE),0)</f>
        <v>0.1</v>
      </c>
      <c r="AJ167" s="1151">
        <f>IFERROR(VLOOKUP(CONCATENATE($L167,$N167),'Drop List'!$G$23:$K$87,5,FALSE),0)</f>
        <v>0</v>
      </c>
      <c r="AK167" s="1152">
        <f t="shared" si="49"/>
        <v>1206.9186757629805</v>
      </c>
      <c r="AL167" s="1153">
        <f t="shared" si="50"/>
        <v>0</v>
      </c>
      <c r="AM167" s="1153">
        <f t="shared" si="51"/>
        <v>134.10207508477561</v>
      </c>
      <c r="AN167" s="1145">
        <f t="shared" si="52"/>
        <v>0</v>
      </c>
      <c r="AO167" s="1154">
        <f t="shared" si="53"/>
        <v>1341.0207508477561</v>
      </c>
      <c r="AP167" s="1147">
        <f t="shared" si="39"/>
        <v>0</v>
      </c>
      <c r="AQ167" s="1144">
        <f t="shared" si="40"/>
        <v>0</v>
      </c>
      <c r="AR167" s="1146">
        <f t="shared" si="41"/>
        <v>1341.0207508477561</v>
      </c>
    </row>
    <row r="168" spans="1:44" x14ac:dyDescent="0.2">
      <c r="A168" s="1141" t="str">
        <f t="shared" si="36"/>
        <v>1577</v>
      </c>
      <c r="B168" s="1141" t="str">
        <f>IFERROR(VLOOKUP(A168,'LAC 103'!A:C,3,FALSE),"")</f>
        <v>OP</v>
      </c>
      <c r="C168" s="1478" t="str">
        <f>Info!$B$8</f>
        <v>00100</v>
      </c>
      <c r="D168" s="1474" t="s">
        <v>1100</v>
      </c>
      <c r="E168" s="1474" t="s">
        <v>95</v>
      </c>
      <c r="F168" s="1478" t="s">
        <v>459</v>
      </c>
      <c r="G168" s="1478" t="s">
        <v>459</v>
      </c>
      <c r="H168" s="1474" t="s">
        <v>970</v>
      </c>
      <c r="I168" s="1478" t="s">
        <v>817</v>
      </c>
      <c r="J168" s="1478"/>
      <c r="K168" s="1475" t="s">
        <v>851</v>
      </c>
      <c r="L168" s="1474" t="s">
        <v>584</v>
      </c>
      <c r="M168" s="1476" t="s">
        <v>1699</v>
      </c>
      <c r="N168" s="1477" t="s">
        <v>1694</v>
      </c>
      <c r="O168" s="1479">
        <v>506</v>
      </c>
      <c r="P168" s="1479"/>
      <c r="Q168" s="1142">
        <f t="shared" si="37"/>
        <v>506</v>
      </c>
      <c r="R168" s="1143">
        <f>IFERROR(VLOOKUP(CONCATENATE(E168,G168),'LAC 103'!$A$12:$O$95,11,FALSE),0)</f>
        <v>4.7723158393158576</v>
      </c>
      <c r="S168" s="1144">
        <f>IFERROR(VLOOKUP(CONCATENATE($E168,$G168),'LAC 103'!$A$12:$O$95,12,FALSE),0)</f>
        <v>5.91</v>
      </c>
      <c r="T168" s="1144">
        <f>IFERROR(VLOOKUP(CONCATENATE($E168,$G168),'LAC 103'!$A$12:$O$95,13,FALSE),0)</f>
        <v>3.69</v>
      </c>
      <c r="U168" s="1144">
        <f>IFERROR(VLOOKUP(CONCATENATE($E168,$G168),'LAC 103'!$A$12:$O$95,14,FALSE),0)</f>
        <v>0</v>
      </c>
      <c r="V168" s="1144">
        <f>IFERROR(VLOOKUP(CONCATENATE($E168,$G168),'LAC 103'!$A$12:$O$95,15,FALSE),0)</f>
        <v>0</v>
      </c>
      <c r="W168" s="1145" t="str">
        <f>IFERROR(VLOOKUP(CONCATENATE($B168,$N168),'LAC 103'!$AI:$AQ,9,FALSE),"")</f>
        <v>Costs</v>
      </c>
      <c r="X168" s="1146">
        <f t="shared" si="42"/>
        <v>4.7723158393158576</v>
      </c>
      <c r="Y168" s="1143">
        <f t="shared" si="43"/>
        <v>2414.7918146938241</v>
      </c>
      <c r="Z168" s="1147">
        <f t="shared" si="44"/>
        <v>2990.46</v>
      </c>
      <c r="AA168" s="1144">
        <f t="shared" si="45"/>
        <v>1867.1399999999999</v>
      </c>
      <c r="AB168" s="1144">
        <f t="shared" si="46"/>
        <v>0</v>
      </c>
      <c r="AC168" s="1144">
        <f t="shared" si="47"/>
        <v>0</v>
      </c>
      <c r="AD168" s="1148">
        <f t="shared" si="38"/>
        <v>2414.7918146938241</v>
      </c>
      <c r="AE168" s="1487">
        <v>0</v>
      </c>
      <c r="AF168" s="1145">
        <f t="shared" si="48"/>
        <v>2414.7918146938241</v>
      </c>
      <c r="AG168" s="1149">
        <f>IFERROR(VLOOKUP(CONCATENATE($L168,$N168),'Drop List'!$G$23:$K$87,2,FALSE),0)</f>
        <v>0.56200000000000006</v>
      </c>
      <c r="AH168" s="1150">
        <f>IFERROR(VLOOKUP(CONCATENATE($L168,$N168),'Drop List'!$G$23:$K$87,3,FALSE),0)</f>
        <v>0</v>
      </c>
      <c r="AI168" s="1150">
        <f>IFERROR(VLOOKUP(CONCATENATE($L168,$N168),'Drop List'!$G$23:$K$87,4,FALSE),0)</f>
        <v>0</v>
      </c>
      <c r="AJ168" s="1151">
        <f>IFERROR(VLOOKUP(CONCATENATE($L168,$N168),'Drop List'!$G$23:$K$87,5,FALSE),0)</f>
        <v>0.43799999999999994</v>
      </c>
      <c r="AK168" s="1152">
        <f t="shared" si="49"/>
        <v>1357.1129998579293</v>
      </c>
      <c r="AL168" s="1153">
        <f t="shared" si="50"/>
        <v>0</v>
      </c>
      <c r="AM168" s="1153">
        <f t="shared" si="51"/>
        <v>0</v>
      </c>
      <c r="AN168" s="1145">
        <f t="shared" si="52"/>
        <v>1057.6788148358949</v>
      </c>
      <c r="AO168" s="1154">
        <f t="shared" si="53"/>
        <v>2414.7918146938241</v>
      </c>
      <c r="AP168" s="1147">
        <f t="shared" si="39"/>
        <v>0</v>
      </c>
      <c r="AQ168" s="1144">
        <f t="shared" si="40"/>
        <v>0</v>
      </c>
      <c r="AR168" s="1146">
        <f t="shared" si="41"/>
        <v>2414.7918146938241</v>
      </c>
    </row>
    <row r="169" spans="1:44" x14ac:dyDescent="0.2">
      <c r="A169" s="1141" t="str">
        <f t="shared" si="36"/>
        <v>1577</v>
      </c>
      <c r="B169" s="1141" t="str">
        <f>IFERROR(VLOOKUP(A169,'LAC 103'!A:C,3,FALSE),"")</f>
        <v>OP</v>
      </c>
      <c r="C169" s="1478" t="str">
        <f>Info!$B$8</f>
        <v>00100</v>
      </c>
      <c r="D169" s="1474" t="s">
        <v>1100</v>
      </c>
      <c r="E169" s="1474" t="s">
        <v>95</v>
      </c>
      <c r="F169" s="1478" t="s">
        <v>459</v>
      </c>
      <c r="G169" s="1478" t="s">
        <v>459</v>
      </c>
      <c r="H169" s="1474" t="s">
        <v>970</v>
      </c>
      <c r="I169" s="1478" t="s">
        <v>817</v>
      </c>
      <c r="J169" s="1478"/>
      <c r="K169" s="1475" t="s">
        <v>851</v>
      </c>
      <c r="L169" s="1474" t="s">
        <v>584</v>
      </c>
      <c r="M169" s="1476" t="s">
        <v>841</v>
      </c>
      <c r="N169" s="1477" t="s">
        <v>1695</v>
      </c>
      <c r="O169" s="1479">
        <v>377</v>
      </c>
      <c r="P169" s="1479"/>
      <c r="Q169" s="1142">
        <f t="shared" si="37"/>
        <v>377</v>
      </c>
      <c r="R169" s="1143">
        <f>IFERROR(VLOOKUP(CONCATENATE(E169,G169),'LAC 103'!$A$12:$O$95,11,FALSE),0)</f>
        <v>4.7723158393158576</v>
      </c>
      <c r="S169" s="1144">
        <f>IFERROR(VLOOKUP(CONCATENATE($E169,$G169),'LAC 103'!$A$12:$O$95,12,FALSE),0)</f>
        <v>5.91</v>
      </c>
      <c r="T169" s="1144">
        <f>IFERROR(VLOOKUP(CONCATENATE($E169,$G169),'LAC 103'!$A$12:$O$95,13,FALSE),0)</f>
        <v>3.69</v>
      </c>
      <c r="U169" s="1144">
        <f>IFERROR(VLOOKUP(CONCATENATE($E169,$G169),'LAC 103'!$A$12:$O$95,14,FALSE),0)</f>
        <v>0</v>
      </c>
      <c r="V169" s="1144">
        <f>IFERROR(VLOOKUP(CONCATENATE($E169,$G169),'LAC 103'!$A$12:$O$95,15,FALSE),0)</f>
        <v>0</v>
      </c>
      <c r="W169" s="1145" t="str">
        <f>IFERROR(VLOOKUP(CONCATENATE($B169,$N169),'LAC 103'!$AI:$AQ,9,FALSE),"")</f>
        <v>Costs</v>
      </c>
      <c r="X169" s="1146">
        <f t="shared" si="42"/>
        <v>4.7723158393158576</v>
      </c>
      <c r="Y169" s="1143">
        <f t="shared" si="43"/>
        <v>1799.1630714220782</v>
      </c>
      <c r="Z169" s="1147">
        <f t="shared" si="44"/>
        <v>2228.0700000000002</v>
      </c>
      <c r="AA169" s="1144">
        <f t="shared" si="45"/>
        <v>1391.1299999999999</v>
      </c>
      <c r="AB169" s="1144">
        <f t="shared" si="46"/>
        <v>0</v>
      </c>
      <c r="AC169" s="1144">
        <f t="shared" si="47"/>
        <v>0</v>
      </c>
      <c r="AD169" s="1148">
        <f t="shared" si="38"/>
        <v>1799.1630714220782</v>
      </c>
      <c r="AE169" s="1487">
        <v>0</v>
      </c>
      <c r="AF169" s="1145">
        <f t="shared" si="48"/>
        <v>1799.1630714220782</v>
      </c>
      <c r="AG169" s="1149">
        <f>IFERROR(VLOOKUP(CONCATENATE($L169,$N169),'Drop List'!$G$23:$K$87,2,FALSE),0)</f>
        <v>0.55000000000000004</v>
      </c>
      <c r="AH169" s="1150">
        <f>IFERROR(VLOOKUP(CONCATENATE($L169,$N169),'Drop List'!$G$23:$K$87,3,FALSE),0)</f>
        <v>0</v>
      </c>
      <c r="AI169" s="1150">
        <f>IFERROR(VLOOKUP(CONCATENATE($L169,$N169),'Drop List'!$G$23:$K$87,4,FALSE),0)</f>
        <v>0</v>
      </c>
      <c r="AJ169" s="1151">
        <f>IFERROR(VLOOKUP(CONCATENATE($L169,$N169),'Drop List'!$G$23:$K$87,5,FALSE),0)</f>
        <v>0.44999999999999996</v>
      </c>
      <c r="AK169" s="1152">
        <f t="shared" si="49"/>
        <v>989.53968928214317</v>
      </c>
      <c r="AL169" s="1153">
        <f t="shared" si="50"/>
        <v>0</v>
      </c>
      <c r="AM169" s="1153">
        <f t="shared" si="51"/>
        <v>0</v>
      </c>
      <c r="AN169" s="1145">
        <f t="shared" si="52"/>
        <v>809.62338213993507</v>
      </c>
      <c r="AO169" s="1154">
        <f t="shared" si="53"/>
        <v>1799.1630714220782</v>
      </c>
      <c r="AP169" s="1147">
        <f t="shared" si="39"/>
        <v>0</v>
      </c>
      <c r="AQ169" s="1144">
        <f t="shared" si="40"/>
        <v>0</v>
      </c>
      <c r="AR169" s="1146">
        <f t="shared" si="41"/>
        <v>1799.1630714220782</v>
      </c>
    </row>
    <row r="170" spans="1:44" x14ac:dyDescent="0.2">
      <c r="A170" s="1141" t="str">
        <f t="shared" si="36"/>
        <v>1577</v>
      </c>
      <c r="B170" s="1141" t="str">
        <f>IFERROR(VLOOKUP(A170,'LAC 103'!A:C,3,FALSE),"")</f>
        <v>OP</v>
      </c>
      <c r="C170" s="1478" t="str">
        <f>Info!$B$8</f>
        <v>00100</v>
      </c>
      <c r="D170" s="1474" t="s">
        <v>1100</v>
      </c>
      <c r="E170" s="1474" t="s">
        <v>95</v>
      </c>
      <c r="F170" s="1478" t="s">
        <v>459</v>
      </c>
      <c r="G170" s="1478" t="s">
        <v>459</v>
      </c>
      <c r="H170" s="1474" t="s">
        <v>970</v>
      </c>
      <c r="I170" s="1478" t="s">
        <v>817</v>
      </c>
      <c r="J170" s="1478"/>
      <c r="K170" s="1475" t="s">
        <v>851</v>
      </c>
      <c r="L170" s="1474" t="s">
        <v>584</v>
      </c>
      <c r="M170" s="1476" t="s">
        <v>840</v>
      </c>
      <c r="N170" s="1477" t="s">
        <v>1700</v>
      </c>
      <c r="O170" s="1479">
        <v>293</v>
      </c>
      <c r="P170" s="1479"/>
      <c r="Q170" s="1142">
        <f t="shared" si="37"/>
        <v>293</v>
      </c>
      <c r="R170" s="1143">
        <f>IFERROR(VLOOKUP(CONCATENATE(E170,G170),'LAC 103'!$A$12:$O$95,11,FALSE),0)</f>
        <v>4.7723158393158576</v>
      </c>
      <c r="S170" s="1144">
        <f>IFERROR(VLOOKUP(CONCATENATE($E170,$G170),'LAC 103'!$A$12:$O$95,12,FALSE),0)</f>
        <v>5.91</v>
      </c>
      <c r="T170" s="1144">
        <f>IFERROR(VLOOKUP(CONCATENATE($E170,$G170),'LAC 103'!$A$12:$O$95,13,FALSE),0)</f>
        <v>3.69</v>
      </c>
      <c r="U170" s="1144">
        <f>IFERROR(VLOOKUP(CONCATENATE($E170,$G170),'LAC 103'!$A$12:$O$95,14,FALSE),0)</f>
        <v>0</v>
      </c>
      <c r="V170" s="1144">
        <f>IFERROR(VLOOKUP(CONCATENATE($E170,$G170),'LAC 103'!$A$12:$O$95,15,FALSE),0)</f>
        <v>0</v>
      </c>
      <c r="W170" s="1145" t="str">
        <f>IFERROR(VLOOKUP(CONCATENATE($B170,$N170),'LAC 103'!$AI:$AQ,9,FALSE),"")</f>
        <v>P.C.</v>
      </c>
      <c r="X170" s="1146">
        <f t="shared" si="42"/>
        <v>3.69</v>
      </c>
      <c r="Y170" s="1143">
        <f t="shared" si="43"/>
        <v>1398.2885409195462</v>
      </c>
      <c r="Z170" s="1147">
        <f t="shared" si="44"/>
        <v>1731.63</v>
      </c>
      <c r="AA170" s="1144">
        <f t="shared" si="45"/>
        <v>1081.17</v>
      </c>
      <c r="AB170" s="1144">
        <f t="shared" si="46"/>
        <v>0</v>
      </c>
      <c r="AC170" s="1144">
        <f t="shared" si="47"/>
        <v>0</v>
      </c>
      <c r="AD170" s="1148">
        <f t="shared" si="38"/>
        <v>1081.17</v>
      </c>
      <c r="AE170" s="1487">
        <v>0</v>
      </c>
      <c r="AF170" s="1145">
        <f t="shared" si="48"/>
        <v>1081.17</v>
      </c>
      <c r="AG170" s="1149">
        <f>IFERROR(VLOOKUP(CONCATENATE($L170,$N170),'Drop List'!$G$23:$K$87,2,FALSE),0)</f>
        <v>0.55000000000000004</v>
      </c>
      <c r="AH170" s="1150">
        <f>IFERROR(VLOOKUP(CONCATENATE($L170,$N170),'Drop List'!$G$23:$K$87,3,FALSE),0)</f>
        <v>0</v>
      </c>
      <c r="AI170" s="1150">
        <f>IFERROR(VLOOKUP(CONCATENATE($L170,$N170),'Drop List'!$G$23:$K$87,4,FALSE),0)</f>
        <v>0</v>
      </c>
      <c r="AJ170" s="1151">
        <f>IFERROR(VLOOKUP(CONCATENATE($L170,$N170),'Drop List'!$G$23:$K$87,5,FALSE),0)</f>
        <v>0.44999999999999996</v>
      </c>
      <c r="AK170" s="1152">
        <f t="shared" si="49"/>
        <v>594.64350000000013</v>
      </c>
      <c r="AL170" s="1153">
        <f t="shared" si="50"/>
        <v>0</v>
      </c>
      <c r="AM170" s="1153">
        <f t="shared" si="51"/>
        <v>0</v>
      </c>
      <c r="AN170" s="1145">
        <f t="shared" si="52"/>
        <v>486.5265</v>
      </c>
      <c r="AO170" s="1154">
        <f t="shared" si="53"/>
        <v>1081.17</v>
      </c>
      <c r="AP170" s="1147">
        <f t="shared" si="39"/>
        <v>0</v>
      </c>
      <c r="AQ170" s="1144">
        <f t="shared" si="40"/>
        <v>0</v>
      </c>
      <c r="AR170" s="1146">
        <f t="shared" si="41"/>
        <v>1081.17</v>
      </c>
    </row>
    <row r="171" spans="1:44" x14ac:dyDescent="0.2">
      <c r="A171" s="1141" t="str">
        <f t="shared" si="36"/>
        <v>4520</v>
      </c>
      <c r="B171" s="1141" t="str">
        <f>IFERROR(VLOOKUP(A171,'LAC 103'!A:C,3,FALSE),"")</f>
        <v>COS</v>
      </c>
      <c r="C171" s="1478" t="str">
        <f>Info!$B$8</f>
        <v>00100</v>
      </c>
      <c r="D171" s="1474" t="s">
        <v>1100</v>
      </c>
      <c r="E171" s="1474" t="s">
        <v>104</v>
      </c>
      <c r="F171" s="1478" t="s">
        <v>344</v>
      </c>
      <c r="G171" s="1478" t="s">
        <v>344</v>
      </c>
      <c r="H171" s="1474" t="s">
        <v>1660</v>
      </c>
      <c r="I171" s="1478" t="s">
        <v>817</v>
      </c>
      <c r="J171" s="1478" t="s">
        <v>123</v>
      </c>
      <c r="K171" s="1475" t="s">
        <v>846</v>
      </c>
      <c r="L171" s="1474" t="s">
        <v>332</v>
      </c>
      <c r="M171" s="1476" t="s">
        <v>1699</v>
      </c>
      <c r="N171" s="1477" t="s">
        <v>1694</v>
      </c>
      <c r="O171" s="1479">
        <v>36.050000000000011</v>
      </c>
      <c r="P171" s="1479"/>
      <c r="Q171" s="1142">
        <f t="shared" si="37"/>
        <v>36.050000000000011</v>
      </c>
      <c r="R171" s="1143">
        <f>IFERROR(VLOOKUP(CONCATENATE(E171,G171),'LAC 103'!$A$12:$O$95,11,FALSE),0)</f>
        <v>62.693351301149093</v>
      </c>
      <c r="S171" s="1144">
        <f>IFERROR(VLOOKUP(CONCATENATE($E171,$G171),'LAC 103'!$A$12:$O$95,12,FALSE),0)</f>
        <v>0</v>
      </c>
      <c r="T171" s="1144">
        <f>IFERROR(VLOOKUP(CONCATENATE($E171,$G171),'LAC 103'!$A$12:$O$95,13,FALSE),0)</f>
        <v>0</v>
      </c>
      <c r="U171" s="1144">
        <f>IFERROR(VLOOKUP(CONCATENATE($E171,$G171),'LAC 103'!$A$12:$O$95,14,FALSE),0)</f>
        <v>0</v>
      </c>
      <c r="V171" s="1144">
        <f>IFERROR(VLOOKUP(CONCATENATE($E171,$G171),'LAC 103'!$A$12:$O$95,15,FALSE),0)</f>
        <v>0</v>
      </c>
      <c r="W171" s="1145" t="str">
        <f>IFERROR(VLOOKUP(CONCATENATE($B171,$N171),'LAC 103'!$AI:$AQ,9,FALSE),"")</f>
        <v>Costs</v>
      </c>
      <c r="X171" s="1146">
        <f t="shared" si="42"/>
        <v>62.693351301149093</v>
      </c>
      <c r="Y171" s="1143">
        <f t="shared" si="43"/>
        <v>2260.0953144064256</v>
      </c>
      <c r="Z171" s="1147">
        <f t="shared" si="44"/>
        <v>2260.0953144064256</v>
      </c>
      <c r="AA171" s="1144">
        <f t="shared" si="45"/>
        <v>2260.0953144064256</v>
      </c>
      <c r="AB171" s="1144">
        <f t="shared" si="46"/>
        <v>0</v>
      </c>
      <c r="AC171" s="1144">
        <f t="shared" si="47"/>
        <v>0</v>
      </c>
      <c r="AD171" s="1148">
        <f t="shared" si="38"/>
        <v>2260.0953144064256</v>
      </c>
      <c r="AE171" s="1487">
        <v>0</v>
      </c>
      <c r="AF171" s="1145">
        <f t="shared" si="48"/>
        <v>2260.0953144064256</v>
      </c>
      <c r="AG171" s="1149">
        <f>IFERROR(VLOOKUP(CONCATENATE($L171,$N171),'Drop List'!$G$23:$K$87,2,FALSE),0)</f>
        <v>0</v>
      </c>
      <c r="AH171" s="1150">
        <f>IFERROR(VLOOKUP(CONCATENATE($L171,$N171),'Drop List'!$G$23:$K$87,3,FALSE),0)</f>
        <v>0</v>
      </c>
      <c r="AI171" s="1150">
        <f>IFERROR(VLOOKUP(CONCATENATE($L171,$N171),'Drop List'!$G$23:$K$87,4,FALSE),0)</f>
        <v>0</v>
      </c>
      <c r="AJ171" s="1151">
        <f>IFERROR(VLOOKUP(CONCATENATE($L171,$N171),'Drop List'!$G$23:$K$87,5,FALSE),0)</f>
        <v>0</v>
      </c>
      <c r="AK171" s="1152">
        <f t="shared" si="49"/>
        <v>0</v>
      </c>
      <c r="AL171" s="1153">
        <f t="shared" si="50"/>
        <v>0</v>
      </c>
      <c r="AM171" s="1153">
        <f t="shared" si="51"/>
        <v>0</v>
      </c>
      <c r="AN171" s="1145">
        <f t="shared" si="52"/>
        <v>0</v>
      </c>
      <c r="AO171" s="1154">
        <f t="shared" si="53"/>
        <v>0</v>
      </c>
      <c r="AP171" s="1147">
        <f t="shared" si="39"/>
        <v>2260.0953144064256</v>
      </c>
      <c r="AQ171" s="1144">
        <f t="shared" si="40"/>
        <v>0</v>
      </c>
      <c r="AR171" s="1146">
        <f t="shared" si="41"/>
        <v>2260.0953144064256</v>
      </c>
    </row>
    <row r="172" spans="1:44" x14ac:dyDescent="0.2">
      <c r="A172" s="1141" t="str">
        <f t="shared" si="36"/>
        <v>4520</v>
      </c>
      <c r="B172" s="1141" t="str">
        <f>IFERROR(VLOOKUP(A172,'LAC 103'!A:C,3,FALSE),"")</f>
        <v>COS</v>
      </c>
      <c r="C172" s="1478" t="str">
        <f>Info!$B$8</f>
        <v>00100</v>
      </c>
      <c r="D172" s="1474" t="s">
        <v>1100</v>
      </c>
      <c r="E172" s="1474" t="s">
        <v>104</v>
      </c>
      <c r="F172" s="1478" t="s">
        <v>344</v>
      </c>
      <c r="G172" s="1478" t="s">
        <v>344</v>
      </c>
      <c r="H172" s="1474" t="s">
        <v>1660</v>
      </c>
      <c r="I172" s="1478" t="s">
        <v>817</v>
      </c>
      <c r="J172" s="1478"/>
      <c r="K172" s="1475" t="s">
        <v>846</v>
      </c>
      <c r="L172" s="1474" t="s">
        <v>332</v>
      </c>
      <c r="M172" s="1476" t="s">
        <v>841</v>
      </c>
      <c r="N172" s="1477" t="s">
        <v>1695</v>
      </c>
      <c r="O172" s="1479">
        <v>26.750000000000007</v>
      </c>
      <c r="P172" s="1479"/>
      <c r="Q172" s="1142">
        <f t="shared" si="37"/>
        <v>26.750000000000007</v>
      </c>
      <c r="R172" s="1143">
        <f>IFERROR(VLOOKUP(CONCATENATE(E172,G172),'LAC 103'!$A$12:$O$95,11,FALSE),0)</f>
        <v>62.693351301149093</v>
      </c>
      <c r="S172" s="1144">
        <f>IFERROR(VLOOKUP(CONCATENATE($E172,$G172),'LAC 103'!$A$12:$O$95,12,FALSE),0)</f>
        <v>0</v>
      </c>
      <c r="T172" s="1144">
        <f>IFERROR(VLOOKUP(CONCATENATE($E172,$G172),'LAC 103'!$A$12:$O$95,13,FALSE),0)</f>
        <v>0</v>
      </c>
      <c r="U172" s="1144">
        <f>IFERROR(VLOOKUP(CONCATENATE($E172,$G172),'LAC 103'!$A$12:$O$95,14,FALSE),0)</f>
        <v>0</v>
      </c>
      <c r="V172" s="1144">
        <f>IFERROR(VLOOKUP(CONCATENATE($E172,$G172),'LAC 103'!$A$12:$O$95,15,FALSE),0)</f>
        <v>0</v>
      </c>
      <c r="W172" s="1145" t="str">
        <f>IFERROR(VLOOKUP(CONCATENATE($B172,$N172),'LAC 103'!$AI:$AQ,9,FALSE),"")</f>
        <v>Costs</v>
      </c>
      <c r="X172" s="1146">
        <f t="shared" si="42"/>
        <v>62.693351301149093</v>
      </c>
      <c r="Y172" s="1143">
        <f t="shared" si="43"/>
        <v>1677.0471473057387</v>
      </c>
      <c r="Z172" s="1147">
        <f t="shared" si="44"/>
        <v>1677.0471473057387</v>
      </c>
      <c r="AA172" s="1144">
        <f t="shared" si="45"/>
        <v>1677.0471473057387</v>
      </c>
      <c r="AB172" s="1144">
        <f t="shared" si="46"/>
        <v>0</v>
      </c>
      <c r="AC172" s="1144">
        <f t="shared" si="47"/>
        <v>0</v>
      </c>
      <c r="AD172" s="1148">
        <f t="shared" si="38"/>
        <v>1677.0471473057387</v>
      </c>
      <c r="AE172" s="1487">
        <v>0</v>
      </c>
      <c r="AF172" s="1145">
        <f t="shared" si="48"/>
        <v>1677.0471473057387</v>
      </c>
      <c r="AG172" s="1149">
        <f>IFERROR(VLOOKUP(CONCATENATE($L172,$N172),'Drop List'!$G$23:$K$87,2,FALSE),0)</f>
        <v>0</v>
      </c>
      <c r="AH172" s="1150">
        <f>IFERROR(VLOOKUP(CONCATENATE($L172,$N172),'Drop List'!$G$23:$K$87,3,FALSE),0)</f>
        <v>0</v>
      </c>
      <c r="AI172" s="1150">
        <f>IFERROR(VLOOKUP(CONCATENATE($L172,$N172),'Drop List'!$G$23:$K$87,4,FALSE),0)</f>
        <v>0</v>
      </c>
      <c r="AJ172" s="1151">
        <f>IFERROR(VLOOKUP(CONCATENATE($L172,$N172),'Drop List'!$G$23:$K$87,5,FALSE),0)</f>
        <v>0</v>
      </c>
      <c r="AK172" s="1152">
        <f t="shared" si="49"/>
        <v>0</v>
      </c>
      <c r="AL172" s="1153">
        <f t="shared" si="50"/>
        <v>0</v>
      </c>
      <c r="AM172" s="1153">
        <f t="shared" si="51"/>
        <v>0</v>
      </c>
      <c r="AN172" s="1145">
        <f t="shared" si="52"/>
        <v>0</v>
      </c>
      <c r="AO172" s="1154">
        <f t="shared" si="53"/>
        <v>0</v>
      </c>
      <c r="AP172" s="1147">
        <f t="shared" si="39"/>
        <v>1677.0471473057387</v>
      </c>
      <c r="AQ172" s="1144">
        <f t="shared" si="40"/>
        <v>0</v>
      </c>
      <c r="AR172" s="1146">
        <f t="shared" si="41"/>
        <v>1677.0471473057387</v>
      </c>
    </row>
    <row r="173" spans="1:44" x14ac:dyDescent="0.2">
      <c r="A173" s="1141" t="str">
        <f t="shared" si="36"/>
        <v>4520</v>
      </c>
      <c r="B173" s="1141" t="str">
        <f>IFERROR(VLOOKUP(A173,'LAC 103'!A:C,3,FALSE),"")</f>
        <v>COS</v>
      </c>
      <c r="C173" s="1478" t="str">
        <f>Info!$B$8</f>
        <v>00100</v>
      </c>
      <c r="D173" s="1474" t="s">
        <v>1100</v>
      </c>
      <c r="E173" s="1474" t="s">
        <v>104</v>
      </c>
      <c r="F173" s="1478" t="s">
        <v>344</v>
      </c>
      <c r="G173" s="1478" t="s">
        <v>344</v>
      </c>
      <c r="H173" s="1474" t="s">
        <v>1660</v>
      </c>
      <c r="I173" s="1478" t="s">
        <v>817</v>
      </c>
      <c r="J173" s="1478"/>
      <c r="K173" s="1475" t="s">
        <v>846</v>
      </c>
      <c r="L173" s="1474" t="s">
        <v>332</v>
      </c>
      <c r="M173" s="1476" t="s">
        <v>840</v>
      </c>
      <c r="N173" s="1477" t="s">
        <v>1700</v>
      </c>
      <c r="O173" s="1479">
        <v>31.100000000000009</v>
      </c>
      <c r="P173" s="1479"/>
      <c r="Q173" s="1142">
        <f t="shared" si="37"/>
        <v>31.100000000000009</v>
      </c>
      <c r="R173" s="1143">
        <f>IFERROR(VLOOKUP(CONCATENATE(E173,G173),'LAC 103'!$A$12:$O$95,11,FALSE),0)</f>
        <v>62.693351301149093</v>
      </c>
      <c r="S173" s="1144">
        <f>IFERROR(VLOOKUP(CONCATENATE($E173,$G173),'LAC 103'!$A$12:$O$95,12,FALSE),0)</f>
        <v>0</v>
      </c>
      <c r="T173" s="1144">
        <f>IFERROR(VLOOKUP(CONCATENATE($E173,$G173),'LAC 103'!$A$12:$O$95,13,FALSE),0)</f>
        <v>0</v>
      </c>
      <c r="U173" s="1144">
        <f>IFERROR(VLOOKUP(CONCATENATE($E173,$G173),'LAC 103'!$A$12:$O$95,14,FALSE),0)</f>
        <v>0</v>
      </c>
      <c r="V173" s="1144">
        <f>IFERROR(VLOOKUP(CONCATENATE($E173,$G173),'LAC 103'!$A$12:$O$95,15,FALSE),0)</f>
        <v>0</v>
      </c>
      <c r="W173" s="1145" t="str">
        <f>IFERROR(VLOOKUP(CONCATENATE($B173,$N173),'LAC 103'!$AI:$AQ,9,FALSE),"")</f>
        <v>Costs</v>
      </c>
      <c r="X173" s="1146">
        <f t="shared" si="42"/>
        <v>62.693351301149093</v>
      </c>
      <c r="Y173" s="1143">
        <f t="shared" si="43"/>
        <v>1949.7632254657374</v>
      </c>
      <c r="Z173" s="1147">
        <f t="shared" si="44"/>
        <v>1949.7632254657374</v>
      </c>
      <c r="AA173" s="1144">
        <f t="shared" si="45"/>
        <v>1949.7632254657374</v>
      </c>
      <c r="AB173" s="1144">
        <f t="shared" si="46"/>
        <v>0</v>
      </c>
      <c r="AC173" s="1144">
        <f t="shared" si="47"/>
        <v>0</v>
      </c>
      <c r="AD173" s="1148">
        <f t="shared" si="38"/>
        <v>1949.7632254657374</v>
      </c>
      <c r="AE173" s="1487">
        <v>0</v>
      </c>
      <c r="AF173" s="1145">
        <f t="shared" si="48"/>
        <v>1949.7632254657374</v>
      </c>
      <c r="AG173" s="1149">
        <f>IFERROR(VLOOKUP(CONCATENATE($L173,$N173),'Drop List'!$G$23:$K$87,2,FALSE),0)</f>
        <v>0</v>
      </c>
      <c r="AH173" s="1150">
        <f>IFERROR(VLOOKUP(CONCATENATE($L173,$N173),'Drop List'!$G$23:$K$87,3,FALSE),0)</f>
        <v>0</v>
      </c>
      <c r="AI173" s="1150">
        <f>IFERROR(VLOOKUP(CONCATENATE($L173,$N173),'Drop List'!$G$23:$K$87,4,FALSE),0)</f>
        <v>0</v>
      </c>
      <c r="AJ173" s="1151">
        <f>IFERROR(VLOOKUP(CONCATENATE($L173,$N173),'Drop List'!$G$23:$K$87,5,FALSE),0)</f>
        <v>0</v>
      </c>
      <c r="AK173" s="1152">
        <f t="shared" si="49"/>
        <v>0</v>
      </c>
      <c r="AL173" s="1153">
        <f t="shared" si="50"/>
        <v>0</v>
      </c>
      <c r="AM173" s="1153">
        <f t="shared" si="51"/>
        <v>0</v>
      </c>
      <c r="AN173" s="1145">
        <f t="shared" si="52"/>
        <v>0</v>
      </c>
      <c r="AO173" s="1154">
        <f t="shared" si="53"/>
        <v>0</v>
      </c>
      <c r="AP173" s="1147">
        <f t="shared" si="39"/>
        <v>1949.7632254657374</v>
      </c>
      <c r="AQ173" s="1144">
        <f t="shared" si="40"/>
        <v>0</v>
      </c>
      <c r="AR173" s="1146">
        <f t="shared" si="41"/>
        <v>1949.7632254657374</v>
      </c>
    </row>
    <row r="174" spans="1:44" x14ac:dyDescent="0.2">
      <c r="A174" s="1141" t="str">
        <f t="shared" si="36"/>
        <v>4520</v>
      </c>
      <c r="B174" s="1141" t="str">
        <f>IFERROR(VLOOKUP(A174,'LAC 103'!A:C,3,FALSE),"")</f>
        <v>COS</v>
      </c>
      <c r="C174" s="1478" t="str">
        <f>Info!$B$8</f>
        <v>00100</v>
      </c>
      <c r="D174" s="1474" t="s">
        <v>1100</v>
      </c>
      <c r="E174" s="1474" t="s">
        <v>104</v>
      </c>
      <c r="F174" s="1478" t="s">
        <v>344</v>
      </c>
      <c r="G174" s="1478" t="s">
        <v>344</v>
      </c>
      <c r="H174" s="1474" t="s">
        <v>1660</v>
      </c>
      <c r="I174" s="1478" t="s">
        <v>817</v>
      </c>
      <c r="J174" s="1478"/>
      <c r="K174" s="1475" t="s">
        <v>846</v>
      </c>
      <c r="L174" s="1474" t="s">
        <v>332</v>
      </c>
      <c r="M174" s="1476" t="s">
        <v>842</v>
      </c>
      <c r="N174" s="1477" t="s">
        <v>1692</v>
      </c>
      <c r="O174" s="1479">
        <v>9.5833333333333321</v>
      </c>
      <c r="P174" s="1479"/>
      <c r="Q174" s="1142">
        <f t="shared" si="37"/>
        <v>9.5833333333333321</v>
      </c>
      <c r="R174" s="1143">
        <f>IFERROR(VLOOKUP(CONCATENATE(E174,G174),'LAC 103'!$A$12:$O$95,11,FALSE),0)</f>
        <v>62.693351301149093</v>
      </c>
      <c r="S174" s="1144">
        <f>IFERROR(VLOOKUP(CONCATENATE($E174,$G174),'LAC 103'!$A$12:$O$95,12,FALSE),0)</f>
        <v>0</v>
      </c>
      <c r="T174" s="1144">
        <f>IFERROR(VLOOKUP(CONCATENATE($E174,$G174),'LAC 103'!$A$12:$O$95,13,FALSE),0)</f>
        <v>0</v>
      </c>
      <c r="U174" s="1144">
        <f>IFERROR(VLOOKUP(CONCATENATE($E174,$G174),'LAC 103'!$A$12:$O$95,14,FALSE),0)</f>
        <v>0</v>
      </c>
      <c r="V174" s="1144">
        <f>IFERROR(VLOOKUP(CONCATENATE($E174,$G174),'LAC 103'!$A$12:$O$95,15,FALSE),0)</f>
        <v>0</v>
      </c>
      <c r="W174" s="1145" t="str">
        <f>IFERROR(VLOOKUP(CONCATENATE($B174,$N174),'LAC 103'!$AI:$AQ,9,FALSE),"")</f>
        <v>Costs</v>
      </c>
      <c r="X174" s="1146">
        <f t="shared" si="42"/>
        <v>62.693351301149093</v>
      </c>
      <c r="Y174" s="1143">
        <f t="shared" si="43"/>
        <v>600.8112833026787</v>
      </c>
      <c r="Z174" s="1147">
        <f t="shared" si="44"/>
        <v>600.8112833026787</v>
      </c>
      <c r="AA174" s="1144">
        <f t="shared" si="45"/>
        <v>600.8112833026787</v>
      </c>
      <c r="AB174" s="1144">
        <f t="shared" si="46"/>
        <v>0</v>
      </c>
      <c r="AC174" s="1144">
        <f t="shared" si="47"/>
        <v>0</v>
      </c>
      <c r="AD174" s="1148">
        <f t="shared" si="38"/>
        <v>600.8112833026787</v>
      </c>
      <c r="AE174" s="1487">
        <v>0</v>
      </c>
      <c r="AF174" s="1145">
        <f t="shared" si="48"/>
        <v>600.8112833026787</v>
      </c>
      <c r="AG174" s="1149">
        <f>IFERROR(VLOOKUP(CONCATENATE($L174,$N174),'Drop List'!$G$23:$K$87,2,FALSE),0)</f>
        <v>0</v>
      </c>
      <c r="AH174" s="1150">
        <f>IFERROR(VLOOKUP(CONCATENATE($L174,$N174),'Drop List'!$G$23:$K$87,3,FALSE),0)</f>
        <v>0</v>
      </c>
      <c r="AI174" s="1150">
        <f>IFERROR(VLOOKUP(CONCATENATE($L174,$N174),'Drop List'!$G$23:$K$87,4,FALSE),0)</f>
        <v>0</v>
      </c>
      <c r="AJ174" s="1151">
        <f>IFERROR(VLOOKUP(CONCATENATE($L174,$N174),'Drop List'!$G$23:$K$87,5,FALSE),0)</f>
        <v>0</v>
      </c>
      <c r="AK174" s="1152">
        <f t="shared" si="49"/>
        <v>0</v>
      </c>
      <c r="AL174" s="1153">
        <f t="shared" si="50"/>
        <v>0</v>
      </c>
      <c r="AM174" s="1153">
        <f t="shared" si="51"/>
        <v>0</v>
      </c>
      <c r="AN174" s="1145">
        <f t="shared" si="52"/>
        <v>0</v>
      </c>
      <c r="AO174" s="1154">
        <f t="shared" si="53"/>
        <v>0</v>
      </c>
      <c r="AP174" s="1147">
        <f t="shared" si="39"/>
        <v>600.8112833026787</v>
      </c>
      <c r="AQ174" s="1144">
        <f t="shared" si="40"/>
        <v>0</v>
      </c>
      <c r="AR174" s="1146">
        <f t="shared" si="41"/>
        <v>600.8112833026787</v>
      </c>
    </row>
    <row r="175" spans="1:44" x14ac:dyDescent="0.2">
      <c r="A175" s="1141" t="str">
        <f t="shared" si="36"/>
        <v>4520</v>
      </c>
      <c r="B175" s="1141" t="str">
        <f>IFERROR(VLOOKUP(A175,'LAC 103'!A:C,3,FALSE),"")</f>
        <v>COS</v>
      </c>
      <c r="C175" s="1478" t="str">
        <f>Info!$B$8</f>
        <v>00100</v>
      </c>
      <c r="D175" s="1474" t="s">
        <v>1100</v>
      </c>
      <c r="E175" s="1474" t="s">
        <v>104</v>
      </c>
      <c r="F175" s="1478" t="s">
        <v>344</v>
      </c>
      <c r="G175" s="1478" t="s">
        <v>344</v>
      </c>
      <c r="H175" s="1474" t="s">
        <v>1660</v>
      </c>
      <c r="I175" s="1478" t="s">
        <v>817</v>
      </c>
      <c r="J175" s="1478"/>
      <c r="K175" s="1475" t="s">
        <v>846</v>
      </c>
      <c r="L175" s="1474" t="s">
        <v>332</v>
      </c>
      <c r="M175" s="1476" t="s">
        <v>1698</v>
      </c>
      <c r="N175" s="1477" t="s">
        <v>1693</v>
      </c>
      <c r="O175" s="1479">
        <v>49.816666666666684</v>
      </c>
      <c r="P175" s="1479"/>
      <c r="Q175" s="1142">
        <f t="shared" si="37"/>
        <v>49.816666666666684</v>
      </c>
      <c r="R175" s="1143">
        <f>IFERROR(VLOOKUP(CONCATENATE(E175,G175),'LAC 103'!$A$12:$O$95,11,FALSE),0)</f>
        <v>62.693351301149093</v>
      </c>
      <c r="S175" s="1144">
        <f>IFERROR(VLOOKUP(CONCATENATE($E175,$G175),'LAC 103'!$A$12:$O$95,12,FALSE),0)</f>
        <v>0</v>
      </c>
      <c r="T175" s="1144">
        <f>IFERROR(VLOOKUP(CONCATENATE($E175,$G175),'LAC 103'!$A$12:$O$95,13,FALSE),0)</f>
        <v>0</v>
      </c>
      <c r="U175" s="1144">
        <f>IFERROR(VLOOKUP(CONCATENATE($E175,$G175),'LAC 103'!$A$12:$O$95,14,FALSE),0)</f>
        <v>0</v>
      </c>
      <c r="V175" s="1144">
        <f>IFERROR(VLOOKUP(CONCATENATE($E175,$G175),'LAC 103'!$A$12:$O$95,15,FALSE),0)</f>
        <v>0</v>
      </c>
      <c r="W175" s="1145" t="str">
        <f>IFERROR(VLOOKUP(CONCATENATE($B175,$N175),'LAC 103'!$AI:$AQ,9,FALSE),"")</f>
        <v>Costs</v>
      </c>
      <c r="X175" s="1146">
        <f t="shared" si="42"/>
        <v>62.693351301149093</v>
      </c>
      <c r="Y175" s="1143">
        <f t="shared" si="43"/>
        <v>3123.1737839855782</v>
      </c>
      <c r="Z175" s="1147">
        <f t="shared" si="44"/>
        <v>3123.1737839855782</v>
      </c>
      <c r="AA175" s="1144">
        <f t="shared" si="45"/>
        <v>3123.1737839855782</v>
      </c>
      <c r="AB175" s="1144">
        <f t="shared" si="46"/>
        <v>0</v>
      </c>
      <c r="AC175" s="1144">
        <f t="shared" si="47"/>
        <v>0</v>
      </c>
      <c r="AD175" s="1148">
        <f t="shared" si="38"/>
        <v>3123.1737839855782</v>
      </c>
      <c r="AE175" s="1487">
        <v>0</v>
      </c>
      <c r="AF175" s="1145">
        <f t="shared" si="48"/>
        <v>3123.1737839855782</v>
      </c>
      <c r="AG175" s="1149">
        <f>IFERROR(VLOOKUP(CONCATENATE($L175,$N175),'Drop List'!$G$23:$K$87,2,FALSE),0)</f>
        <v>0</v>
      </c>
      <c r="AH175" s="1150">
        <f>IFERROR(VLOOKUP(CONCATENATE($L175,$N175),'Drop List'!$G$23:$K$87,3,FALSE),0)</f>
        <v>0</v>
      </c>
      <c r="AI175" s="1150">
        <f>IFERROR(VLOOKUP(CONCATENATE($L175,$N175),'Drop List'!$G$23:$K$87,4,FALSE),0)</f>
        <v>0</v>
      </c>
      <c r="AJ175" s="1151">
        <f>IFERROR(VLOOKUP(CONCATENATE($L175,$N175),'Drop List'!$G$23:$K$87,5,FALSE),0)</f>
        <v>0</v>
      </c>
      <c r="AK175" s="1152">
        <f t="shared" si="49"/>
        <v>0</v>
      </c>
      <c r="AL175" s="1153">
        <f t="shared" si="50"/>
        <v>0</v>
      </c>
      <c r="AM175" s="1153">
        <f t="shared" si="51"/>
        <v>0</v>
      </c>
      <c r="AN175" s="1145">
        <f t="shared" si="52"/>
        <v>0</v>
      </c>
      <c r="AO175" s="1154">
        <f t="shared" si="53"/>
        <v>0</v>
      </c>
      <c r="AP175" s="1147">
        <f t="shared" si="39"/>
        <v>3123.1737839855782</v>
      </c>
      <c r="AQ175" s="1144">
        <f t="shared" si="40"/>
        <v>0</v>
      </c>
      <c r="AR175" s="1146">
        <f t="shared" si="41"/>
        <v>3123.1737839855782</v>
      </c>
    </row>
    <row r="176" spans="1:44" x14ac:dyDescent="0.2">
      <c r="A176" s="1141" t="str">
        <f t="shared" si="36"/>
        <v>6040</v>
      </c>
      <c r="B176" s="1141" t="str">
        <f>IFERROR(VLOOKUP(A176,'LAC 103'!A:C,3,FALSE),"")</f>
        <v>LS</v>
      </c>
      <c r="C176" s="1478" t="str">
        <f>Info!$B$8</f>
        <v>00100</v>
      </c>
      <c r="D176" s="1474" t="s">
        <v>1100</v>
      </c>
      <c r="E176" s="1474" t="s">
        <v>136</v>
      </c>
      <c r="F176" s="1478" t="s">
        <v>388</v>
      </c>
      <c r="G176" s="1478" t="s">
        <v>388</v>
      </c>
      <c r="H176" s="1474" t="s">
        <v>1660</v>
      </c>
      <c r="I176" s="1478" t="s">
        <v>817</v>
      </c>
      <c r="J176" s="1478" t="s">
        <v>123</v>
      </c>
      <c r="K176" s="1475" t="s">
        <v>846</v>
      </c>
      <c r="L176" s="1474" t="s">
        <v>332</v>
      </c>
      <c r="M176" s="1476" t="s">
        <v>1699</v>
      </c>
      <c r="N176" s="1477" t="s">
        <v>1694</v>
      </c>
      <c r="O176" s="1479">
        <v>532</v>
      </c>
      <c r="P176" s="1479"/>
      <c r="Q176" s="1142">
        <f t="shared" si="37"/>
        <v>532</v>
      </c>
      <c r="R176" s="1143">
        <f>IFERROR(VLOOKUP(CONCATENATE(E176,G176),'LAC 103'!$A$12:$O$95,11,FALSE),0)</f>
        <v>62.693351301149093</v>
      </c>
      <c r="S176" s="1144">
        <f>IFERROR(VLOOKUP(CONCATENATE($E176,$G176),'LAC 103'!$A$12:$O$95,12,FALSE),0)</f>
        <v>0</v>
      </c>
      <c r="T176" s="1144">
        <f>IFERROR(VLOOKUP(CONCATENATE($E176,$G176),'LAC 103'!$A$12:$O$95,13,FALSE),0)</f>
        <v>0</v>
      </c>
      <c r="U176" s="1144">
        <f>IFERROR(VLOOKUP(CONCATENATE($E176,$G176),'LAC 103'!$A$12:$O$95,14,FALSE),0)</f>
        <v>0</v>
      </c>
      <c r="V176" s="1144">
        <f>IFERROR(VLOOKUP(CONCATENATE($E176,$G176),'LAC 103'!$A$12:$O$95,15,FALSE),0)</f>
        <v>0</v>
      </c>
      <c r="W176" s="1145" t="str">
        <f>IFERROR(VLOOKUP(CONCATENATE($B176,$N176),'LAC 103'!$AI:$AQ,9,FALSE),"")</f>
        <v>Costs</v>
      </c>
      <c r="X176" s="1146">
        <f t="shared" si="42"/>
        <v>62.693351301149093</v>
      </c>
      <c r="Y176" s="1143">
        <f t="shared" si="43"/>
        <v>33352.86289221132</v>
      </c>
      <c r="Z176" s="1147">
        <f t="shared" si="44"/>
        <v>33352.86289221132</v>
      </c>
      <c r="AA176" s="1144">
        <f t="shared" si="45"/>
        <v>33352.86289221132</v>
      </c>
      <c r="AB176" s="1144">
        <f t="shared" si="46"/>
        <v>0</v>
      </c>
      <c r="AC176" s="1144">
        <f t="shared" si="47"/>
        <v>0</v>
      </c>
      <c r="AD176" s="1148">
        <f t="shared" si="38"/>
        <v>33352.86289221132</v>
      </c>
      <c r="AE176" s="1487">
        <v>0</v>
      </c>
      <c r="AF176" s="1145">
        <f t="shared" si="48"/>
        <v>33352.86289221132</v>
      </c>
      <c r="AG176" s="1149">
        <f>IFERROR(VLOOKUP(CONCATENATE($L176,$N176),'Drop List'!$G$23:$K$87,2,FALSE),0)</f>
        <v>0</v>
      </c>
      <c r="AH176" s="1150">
        <f>IFERROR(VLOOKUP(CONCATENATE($L176,$N176),'Drop List'!$G$23:$K$87,3,FALSE),0)</f>
        <v>0</v>
      </c>
      <c r="AI176" s="1150">
        <f>IFERROR(VLOOKUP(CONCATENATE($L176,$N176),'Drop List'!$G$23:$K$87,4,FALSE),0)</f>
        <v>0</v>
      </c>
      <c r="AJ176" s="1151">
        <f>IFERROR(VLOOKUP(CONCATENATE($L176,$N176),'Drop List'!$G$23:$K$87,5,FALSE),0)</f>
        <v>0</v>
      </c>
      <c r="AK176" s="1152">
        <f t="shared" si="49"/>
        <v>0</v>
      </c>
      <c r="AL176" s="1153">
        <f t="shared" si="50"/>
        <v>0</v>
      </c>
      <c r="AM176" s="1153">
        <f t="shared" si="51"/>
        <v>0</v>
      </c>
      <c r="AN176" s="1145">
        <f t="shared" si="52"/>
        <v>0</v>
      </c>
      <c r="AO176" s="1154">
        <f t="shared" si="53"/>
        <v>0</v>
      </c>
      <c r="AP176" s="1147">
        <f t="shared" si="39"/>
        <v>33352.86289221132</v>
      </c>
      <c r="AQ176" s="1144">
        <f t="shared" si="40"/>
        <v>0</v>
      </c>
      <c r="AR176" s="1146">
        <f t="shared" si="41"/>
        <v>33352.86289221132</v>
      </c>
    </row>
    <row r="177" spans="1:44" x14ac:dyDescent="0.2">
      <c r="A177" s="1141" t="str">
        <f t="shared" si="36"/>
        <v>6040</v>
      </c>
      <c r="B177" s="1141" t="str">
        <f>IFERROR(VLOOKUP(A177,'LAC 103'!A:C,3,FALSE),"")</f>
        <v>LS</v>
      </c>
      <c r="C177" s="1478" t="str">
        <f>Info!$B$8</f>
        <v>00100</v>
      </c>
      <c r="D177" s="1474" t="s">
        <v>1100</v>
      </c>
      <c r="E177" s="1474" t="s">
        <v>136</v>
      </c>
      <c r="F177" s="1478" t="s">
        <v>388</v>
      </c>
      <c r="G177" s="1478" t="s">
        <v>388</v>
      </c>
      <c r="H177" s="1474" t="s">
        <v>1660</v>
      </c>
      <c r="I177" s="1478" t="s">
        <v>817</v>
      </c>
      <c r="J177" s="1478"/>
      <c r="K177" s="1475" t="s">
        <v>846</v>
      </c>
      <c r="L177" s="1474" t="s">
        <v>332</v>
      </c>
      <c r="M177" s="1476" t="s">
        <v>841</v>
      </c>
      <c r="N177" s="1477" t="s">
        <v>1695</v>
      </c>
      <c r="O177" s="1479">
        <v>289</v>
      </c>
      <c r="P177" s="1479"/>
      <c r="Q177" s="1142">
        <f t="shared" si="37"/>
        <v>289</v>
      </c>
      <c r="R177" s="1143">
        <f>IFERROR(VLOOKUP(CONCATENATE(E177,G177),'LAC 103'!$A$12:$O$95,11,FALSE),0)</f>
        <v>62.693351301149093</v>
      </c>
      <c r="S177" s="1144">
        <f>IFERROR(VLOOKUP(CONCATENATE($E177,$G177),'LAC 103'!$A$12:$O$95,12,FALSE),0)</f>
        <v>0</v>
      </c>
      <c r="T177" s="1144">
        <f>IFERROR(VLOOKUP(CONCATENATE($E177,$G177),'LAC 103'!$A$12:$O$95,13,FALSE),0)</f>
        <v>0</v>
      </c>
      <c r="U177" s="1144">
        <f>IFERROR(VLOOKUP(CONCATENATE($E177,$G177),'LAC 103'!$A$12:$O$95,14,FALSE),0)</f>
        <v>0</v>
      </c>
      <c r="V177" s="1144">
        <f>IFERROR(VLOOKUP(CONCATENATE($E177,$G177),'LAC 103'!$A$12:$O$95,15,FALSE),0)</f>
        <v>0</v>
      </c>
      <c r="W177" s="1145" t="str">
        <f>IFERROR(VLOOKUP(CONCATENATE($B177,$N177),'LAC 103'!$AI:$AQ,9,FALSE),"")</f>
        <v>Costs</v>
      </c>
      <c r="X177" s="1146">
        <f t="shared" si="42"/>
        <v>62.693351301149093</v>
      </c>
      <c r="Y177" s="1143">
        <f t="shared" si="43"/>
        <v>18118.378526032087</v>
      </c>
      <c r="Z177" s="1147">
        <f t="shared" si="44"/>
        <v>18118.378526032087</v>
      </c>
      <c r="AA177" s="1144">
        <f t="shared" si="45"/>
        <v>18118.378526032087</v>
      </c>
      <c r="AB177" s="1144">
        <f t="shared" si="46"/>
        <v>0</v>
      </c>
      <c r="AC177" s="1144">
        <f t="shared" si="47"/>
        <v>0</v>
      </c>
      <c r="AD177" s="1148">
        <f t="shared" si="38"/>
        <v>18118.378526032087</v>
      </c>
      <c r="AE177" s="1487">
        <v>0</v>
      </c>
      <c r="AF177" s="1145">
        <f t="shared" si="48"/>
        <v>18118.378526032087</v>
      </c>
      <c r="AG177" s="1149">
        <f>IFERROR(VLOOKUP(CONCATENATE($L177,$N177),'Drop List'!$G$23:$K$87,2,FALSE),0)</f>
        <v>0</v>
      </c>
      <c r="AH177" s="1150">
        <f>IFERROR(VLOOKUP(CONCATENATE($L177,$N177),'Drop List'!$G$23:$K$87,3,FALSE),0)</f>
        <v>0</v>
      </c>
      <c r="AI177" s="1150">
        <f>IFERROR(VLOOKUP(CONCATENATE($L177,$N177),'Drop List'!$G$23:$K$87,4,FALSE),0)</f>
        <v>0</v>
      </c>
      <c r="AJ177" s="1151">
        <f>IFERROR(VLOOKUP(CONCATENATE($L177,$N177),'Drop List'!$G$23:$K$87,5,FALSE),0)</f>
        <v>0</v>
      </c>
      <c r="AK177" s="1152">
        <f t="shared" si="49"/>
        <v>0</v>
      </c>
      <c r="AL177" s="1153">
        <f t="shared" si="50"/>
        <v>0</v>
      </c>
      <c r="AM177" s="1153">
        <f t="shared" si="51"/>
        <v>0</v>
      </c>
      <c r="AN177" s="1145">
        <f t="shared" si="52"/>
        <v>0</v>
      </c>
      <c r="AO177" s="1154">
        <f t="shared" si="53"/>
        <v>0</v>
      </c>
      <c r="AP177" s="1147">
        <f t="shared" si="39"/>
        <v>18118.378526032087</v>
      </c>
      <c r="AQ177" s="1144">
        <f t="shared" si="40"/>
        <v>0</v>
      </c>
      <c r="AR177" s="1146">
        <f t="shared" si="41"/>
        <v>18118.378526032087</v>
      </c>
    </row>
    <row r="178" spans="1:44" x14ac:dyDescent="0.2">
      <c r="A178" s="1141" t="str">
        <f t="shared" si="36"/>
        <v>6040</v>
      </c>
      <c r="B178" s="1141" t="str">
        <f>IFERROR(VLOOKUP(A178,'LAC 103'!A:C,3,FALSE),"")</f>
        <v>LS</v>
      </c>
      <c r="C178" s="1478" t="str">
        <f>Info!$B$8</f>
        <v>00100</v>
      </c>
      <c r="D178" s="1474" t="s">
        <v>1100</v>
      </c>
      <c r="E178" s="1474" t="s">
        <v>136</v>
      </c>
      <c r="F178" s="1478" t="s">
        <v>388</v>
      </c>
      <c r="G178" s="1478" t="s">
        <v>388</v>
      </c>
      <c r="H178" s="1474" t="s">
        <v>1660</v>
      </c>
      <c r="I178" s="1478" t="s">
        <v>817</v>
      </c>
      <c r="J178" s="1478"/>
      <c r="K178" s="1475" t="s">
        <v>846</v>
      </c>
      <c r="L178" s="1474" t="s">
        <v>332</v>
      </c>
      <c r="M178" s="1476" t="s">
        <v>840</v>
      </c>
      <c r="N178" s="1477" t="s">
        <v>1700</v>
      </c>
      <c r="O178" s="1479">
        <v>332</v>
      </c>
      <c r="P178" s="1479"/>
      <c r="Q178" s="1142">
        <f t="shared" si="37"/>
        <v>332</v>
      </c>
      <c r="R178" s="1143">
        <f>IFERROR(VLOOKUP(CONCATENATE(E178,G178),'LAC 103'!$A$12:$O$95,11,FALSE),0)</f>
        <v>62.693351301149093</v>
      </c>
      <c r="S178" s="1144">
        <f>IFERROR(VLOOKUP(CONCATENATE($E178,$G178),'LAC 103'!$A$12:$O$95,12,FALSE),0)</f>
        <v>0</v>
      </c>
      <c r="T178" s="1144">
        <f>IFERROR(VLOOKUP(CONCATENATE($E178,$G178),'LAC 103'!$A$12:$O$95,13,FALSE),0)</f>
        <v>0</v>
      </c>
      <c r="U178" s="1144">
        <f>IFERROR(VLOOKUP(CONCATENATE($E178,$G178),'LAC 103'!$A$12:$O$95,14,FALSE),0)</f>
        <v>0</v>
      </c>
      <c r="V178" s="1144">
        <f>IFERROR(VLOOKUP(CONCATENATE($E178,$G178),'LAC 103'!$A$12:$O$95,15,FALSE),0)</f>
        <v>0</v>
      </c>
      <c r="W178" s="1145" t="str">
        <f>IFERROR(VLOOKUP(CONCATENATE($B178,$N178),'LAC 103'!$AI:$AQ,9,FALSE),"")</f>
        <v>Costs</v>
      </c>
      <c r="X178" s="1146">
        <f t="shared" si="42"/>
        <v>62.693351301149093</v>
      </c>
      <c r="Y178" s="1143">
        <f t="shared" si="43"/>
        <v>20814.192631981499</v>
      </c>
      <c r="Z178" s="1147">
        <f t="shared" si="44"/>
        <v>20814.192631981499</v>
      </c>
      <c r="AA178" s="1144">
        <f t="shared" si="45"/>
        <v>20814.192631981499</v>
      </c>
      <c r="AB178" s="1144">
        <f t="shared" si="46"/>
        <v>0</v>
      </c>
      <c r="AC178" s="1144">
        <f t="shared" si="47"/>
        <v>0</v>
      </c>
      <c r="AD178" s="1148">
        <f t="shared" si="38"/>
        <v>20814.192631981499</v>
      </c>
      <c r="AE178" s="1487">
        <v>0</v>
      </c>
      <c r="AF178" s="1145">
        <f t="shared" si="48"/>
        <v>20814.192631981499</v>
      </c>
      <c r="AG178" s="1149">
        <f>IFERROR(VLOOKUP(CONCATENATE($L178,$N178),'Drop List'!$G$23:$K$87,2,FALSE),0)</f>
        <v>0</v>
      </c>
      <c r="AH178" s="1150">
        <f>IFERROR(VLOOKUP(CONCATENATE($L178,$N178),'Drop List'!$G$23:$K$87,3,FALSE),0)</f>
        <v>0</v>
      </c>
      <c r="AI178" s="1150">
        <f>IFERROR(VLOOKUP(CONCATENATE($L178,$N178),'Drop List'!$G$23:$K$87,4,FALSE),0)</f>
        <v>0</v>
      </c>
      <c r="AJ178" s="1151">
        <f>IFERROR(VLOOKUP(CONCATENATE($L178,$N178),'Drop List'!$G$23:$K$87,5,FALSE),0)</f>
        <v>0</v>
      </c>
      <c r="AK178" s="1152">
        <f t="shared" si="49"/>
        <v>0</v>
      </c>
      <c r="AL178" s="1153">
        <f t="shared" si="50"/>
        <v>0</v>
      </c>
      <c r="AM178" s="1153">
        <f t="shared" si="51"/>
        <v>0</v>
      </c>
      <c r="AN178" s="1145">
        <f t="shared" si="52"/>
        <v>0</v>
      </c>
      <c r="AO178" s="1154">
        <f t="shared" si="53"/>
        <v>0</v>
      </c>
      <c r="AP178" s="1147">
        <f t="shared" si="39"/>
        <v>20814.192631981499</v>
      </c>
      <c r="AQ178" s="1144">
        <f t="shared" si="40"/>
        <v>0</v>
      </c>
      <c r="AR178" s="1146">
        <f t="shared" si="41"/>
        <v>20814.192631981499</v>
      </c>
    </row>
    <row r="179" spans="1:44" x14ac:dyDescent="0.2">
      <c r="A179" s="1141" t="str">
        <f t="shared" si="36"/>
        <v>6040</v>
      </c>
      <c r="B179" s="1141" t="str">
        <f>IFERROR(VLOOKUP(A179,'LAC 103'!A:C,3,FALSE),"")</f>
        <v>LS</v>
      </c>
      <c r="C179" s="1478" t="str">
        <f>Info!$B$8</f>
        <v>00100</v>
      </c>
      <c r="D179" s="1474" t="s">
        <v>1100</v>
      </c>
      <c r="E179" s="1474" t="s">
        <v>136</v>
      </c>
      <c r="F179" s="1478" t="s">
        <v>388</v>
      </c>
      <c r="G179" s="1478" t="s">
        <v>388</v>
      </c>
      <c r="H179" s="1474" t="s">
        <v>1660</v>
      </c>
      <c r="I179" s="1478" t="s">
        <v>817</v>
      </c>
      <c r="J179" s="1478"/>
      <c r="K179" s="1475" t="s">
        <v>846</v>
      </c>
      <c r="L179" s="1474" t="s">
        <v>332</v>
      </c>
      <c r="M179" s="1476" t="s">
        <v>842</v>
      </c>
      <c r="N179" s="1477" t="s">
        <v>1692</v>
      </c>
      <c r="O179" s="1479">
        <v>140</v>
      </c>
      <c r="P179" s="1479"/>
      <c r="Q179" s="1142">
        <f t="shared" si="37"/>
        <v>140</v>
      </c>
      <c r="R179" s="1143">
        <f>IFERROR(VLOOKUP(CONCATENATE(E179,G179),'LAC 103'!$A$12:$O$95,11,FALSE),0)</f>
        <v>62.693351301149093</v>
      </c>
      <c r="S179" s="1144">
        <f>IFERROR(VLOOKUP(CONCATENATE($E179,$G179),'LAC 103'!$A$12:$O$95,12,FALSE),0)</f>
        <v>0</v>
      </c>
      <c r="T179" s="1144">
        <f>IFERROR(VLOOKUP(CONCATENATE($E179,$G179),'LAC 103'!$A$12:$O$95,13,FALSE),0)</f>
        <v>0</v>
      </c>
      <c r="U179" s="1144">
        <f>IFERROR(VLOOKUP(CONCATENATE($E179,$G179),'LAC 103'!$A$12:$O$95,14,FALSE),0)</f>
        <v>0</v>
      </c>
      <c r="V179" s="1144">
        <f>IFERROR(VLOOKUP(CONCATENATE($E179,$G179),'LAC 103'!$A$12:$O$95,15,FALSE),0)</f>
        <v>0</v>
      </c>
      <c r="W179" s="1145" t="str">
        <f>IFERROR(VLOOKUP(CONCATENATE($B179,$N179),'LAC 103'!$AI:$AQ,9,FALSE),"")</f>
        <v>Costs</v>
      </c>
      <c r="X179" s="1146">
        <f t="shared" si="42"/>
        <v>62.693351301149093</v>
      </c>
      <c r="Y179" s="1143">
        <f t="shared" si="43"/>
        <v>8777.0691821608725</v>
      </c>
      <c r="Z179" s="1147">
        <f t="shared" si="44"/>
        <v>8777.0691821608725</v>
      </c>
      <c r="AA179" s="1144">
        <f t="shared" si="45"/>
        <v>8777.0691821608725</v>
      </c>
      <c r="AB179" s="1144">
        <f t="shared" si="46"/>
        <v>0</v>
      </c>
      <c r="AC179" s="1144">
        <f t="shared" si="47"/>
        <v>0</v>
      </c>
      <c r="AD179" s="1148">
        <f t="shared" si="38"/>
        <v>8777.0691821608725</v>
      </c>
      <c r="AE179" s="1487">
        <v>0</v>
      </c>
      <c r="AF179" s="1145">
        <f t="shared" si="48"/>
        <v>8777.0691821608725</v>
      </c>
      <c r="AG179" s="1149">
        <f>IFERROR(VLOOKUP(CONCATENATE($L179,$N179),'Drop List'!$G$23:$K$87,2,FALSE),0)</f>
        <v>0</v>
      </c>
      <c r="AH179" s="1150">
        <f>IFERROR(VLOOKUP(CONCATENATE($L179,$N179),'Drop List'!$G$23:$K$87,3,FALSE),0)</f>
        <v>0</v>
      </c>
      <c r="AI179" s="1150">
        <f>IFERROR(VLOOKUP(CONCATENATE($L179,$N179),'Drop List'!$G$23:$K$87,4,FALSE),0)</f>
        <v>0</v>
      </c>
      <c r="AJ179" s="1151">
        <f>IFERROR(VLOOKUP(CONCATENATE($L179,$N179),'Drop List'!$G$23:$K$87,5,FALSE),0)</f>
        <v>0</v>
      </c>
      <c r="AK179" s="1152">
        <f t="shared" si="49"/>
        <v>0</v>
      </c>
      <c r="AL179" s="1153">
        <f t="shared" si="50"/>
        <v>0</v>
      </c>
      <c r="AM179" s="1153">
        <f t="shared" si="51"/>
        <v>0</v>
      </c>
      <c r="AN179" s="1145">
        <f t="shared" si="52"/>
        <v>0</v>
      </c>
      <c r="AO179" s="1154">
        <f t="shared" si="53"/>
        <v>0</v>
      </c>
      <c r="AP179" s="1147">
        <f t="shared" si="39"/>
        <v>8777.0691821608725</v>
      </c>
      <c r="AQ179" s="1144">
        <f t="shared" si="40"/>
        <v>0</v>
      </c>
      <c r="AR179" s="1146">
        <f t="shared" si="41"/>
        <v>8777.0691821608725</v>
      </c>
    </row>
    <row r="180" spans="1:44" x14ac:dyDescent="0.2">
      <c r="A180" s="1141" t="str">
        <f t="shared" si="36"/>
        <v>6040</v>
      </c>
      <c r="B180" s="1141" t="str">
        <f>IFERROR(VLOOKUP(A180,'LAC 103'!A:C,3,FALSE),"")</f>
        <v>LS</v>
      </c>
      <c r="C180" s="1478" t="str">
        <f>Info!$B$8</f>
        <v>00100</v>
      </c>
      <c r="D180" s="1474" t="s">
        <v>1100</v>
      </c>
      <c r="E180" s="1474" t="s">
        <v>136</v>
      </c>
      <c r="F180" s="1478" t="s">
        <v>388</v>
      </c>
      <c r="G180" s="1478" t="s">
        <v>388</v>
      </c>
      <c r="H180" s="1474" t="s">
        <v>1660</v>
      </c>
      <c r="I180" s="1478" t="s">
        <v>817</v>
      </c>
      <c r="J180" s="1478"/>
      <c r="K180" s="1475" t="s">
        <v>846</v>
      </c>
      <c r="L180" s="1474" t="s">
        <v>332</v>
      </c>
      <c r="M180" s="1476" t="s">
        <v>1698</v>
      </c>
      <c r="N180" s="1477" t="s">
        <v>1693</v>
      </c>
      <c r="O180" s="1479">
        <v>752</v>
      </c>
      <c r="P180" s="1479"/>
      <c r="Q180" s="1142">
        <f t="shared" si="37"/>
        <v>752</v>
      </c>
      <c r="R180" s="1143">
        <f>IFERROR(VLOOKUP(CONCATENATE(E180,G180),'LAC 103'!$A$12:$O$95,11,FALSE),0)</f>
        <v>62.693351301149093</v>
      </c>
      <c r="S180" s="1144">
        <f>IFERROR(VLOOKUP(CONCATENATE($E180,$G180),'LAC 103'!$A$12:$O$95,12,FALSE),0)</f>
        <v>0</v>
      </c>
      <c r="T180" s="1144">
        <f>IFERROR(VLOOKUP(CONCATENATE($E180,$G180),'LAC 103'!$A$12:$O$95,13,FALSE),0)</f>
        <v>0</v>
      </c>
      <c r="U180" s="1144">
        <f>IFERROR(VLOOKUP(CONCATENATE($E180,$G180),'LAC 103'!$A$12:$O$95,14,FALSE),0)</f>
        <v>0</v>
      </c>
      <c r="V180" s="1144">
        <f>IFERROR(VLOOKUP(CONCATENATE($E180,$G180),'LAC 103'!$A$12:$O$95,15,FALSE),0)</f>
        <v>0</v>
      </c>
      <c r="W180" s="1145" t="str">
        <f>IFERROR(VLOOKUP(CONCATENATE($B180,$N180),'LAC 103'!$AI:$AQ,9,FALSE),"")</f>
        <v>Costs</v>
      </c>
      <c r="X180" s="1146">
        <f t="shared" si="42"/>
        <v>62.693351301149093</v>
      </c>
      <c r="Y180" s="1143">
        <f t="shared" si="43"/>
        <v>47145.400178464115</v>
      </c>
      <c r="Z180" s="1147">
        <f t="shared" si="44"/>
        <v>47145.400178464115</v>
      </c>
      <c r="AA180" s="1144">
        <f t="shared" si="45"/>
        <v>47145.400178464115</v>
      </c>
      <c r="AB180" s="1144">
        <f t="shared" si="46"/>
        <v>0</v>
      </c>
      <c r="AC180" s="1144">
        <f t="shared" si="47"/>
        <v>0</v>
      </c>
      <c r="AD180" s="1148">
        <f t="shared" si="38"/>
        <v>47145.400178464115</v>
      </c>
      <c r="AE180" s="1487">
        <v>0</v>
      </c>
      <c r="AF180" s="1145">
        <f t="shared" si="48"/>
        <v>47145.400178464115</v>
      </c>
      <c r="AG180" s="1149">
        <f>IFERROR(VLOOKUP(CONCATENATE($L180,$N180),'Drop List'!$G$23:$K$87,2,FALSE),0)</f>
        <v>0</v>
      </c>
      <c r="AH180" s="1150">
        <f>IFERROR(VLOOKUP(CONCATENATE($L180,$N180),'Drop List'!$G$23:$K$87,3,FALSE),0)</f>
        <v>0</v>
      </c>
      <c r="AI180" s="1150">
        <f>IFERROR(VLOOKUP(CONCATENATE($L180,$N180),'Drop List'!$G$23:$K$87,4,FALSE),0)</f>
        <v>0</v>
      </c>
      <c r="AJ180" s="1151">
        <f>IFERROR(VLOOKUP(CONCATENATE($L180,$N180),'Drop List'!$G$23:$K$87,5,FALSE),0)</f>
        <v>0</v>
      </c>
      <c r="AK180" s="1152">
        <f t="shared" si="49"/>
        <v>0</v>
      </c>
      <c r="AL180" s="1153">
        <f t="shared" si="50"/>
        <v>0</v>
      </c>
      <c r="AM180" s="1153">
        <f t="shared" si="51"/>
        <v>0</v>
      </c>
      <c r="AN180" s="1145">
        <f t="shared" si="52"/>
        <v>0</v>
      </c>
      <c r="AO180" s="1154">
        <f t="shared" si="53"/>
        <v>0</v>
      </c>
      <c r="AP180" s="1147">
        <f t="shared" si="39"/>
        <v>47145.400178464115</v>
      </c>
      <c r="AQ180" s="1144">
        <f t="shared" si="40"/>
        <v>0</v>
      </c>
      <c r="AR180" s="1146">
        <f t="shared" si="41"/>
        <v>47145.400178464115</v>
      </c>
    </row>
    <row r="181" spans="1:44" x14ac:dyDescent="0.2">
      <c r="A181" s="1141" t="str">
        <f t="shared" si="36"/>
        <v>1504</v>
      </c>
      <c r="B181" s="1141" t="str">
        <f>IFERROR(VLOOKUP(A181,'LAC 103'!A:C,3,FALSE),"")</f>
        <v>OP</v>
      </c>
      <c r="C181" s="1478" t="str">
        <f>Info!$B$8</f>
        <v>00100</v>
      </c>
      <c r="D181" s="1474" t="s">
        <v>256</v>
      </c>
      <c r="E181" s="1474" t="s">
        <v>95</v>
      </c>
      <c r="F181" s="1478" t="s">
        <v>588</v>
      </c>
      <c r="G181" s="1478" t="s">
        <v>588</v>
      </c>
      <c r="H181" s="1474" t="s">
        <v>1653</v>
      </c>
      <c r="I181" s="1478" t="s">
        <v>913</v>
      </c>
      <c r="J181" s="1478" t="s">
        <v>123</v>
      </c>
      <c r="K181" s="1475" t="s">
        <v>847</v>
      </c>
      <c r="L181" s="1474" t="s">
        <v>582</v>
      </c>
      <c r="M181" s="1476" t="s">
        <v>1699</v>
      </c>
      <c r="N181" s="1477" t="s">
        <v>1694</v>
      </c>
      <c r="O181" s="1479">
        <v>4364</v>
      </c>
      <c r="P181" s="1479"/>
      <c r="Q181" s="1142">
        <f t="shared" si="37"/>
        <v>4364</v>
      </c>
      <c r="R181" s="1143">
        <f>IFERROR(VLOOKUP(CONCATENATE(E181,G181),'LAC 103'!$A$12:$O$95,11,FALSE),0)</f>
        <v>2.483156209074918</v>
      </c>
      <c r="S181" s="1144">
        <f>IFERROR(VLOOKUP(CONCATENATE($E181,$G181),'LAC 103'!$A$12:$O$95,12,FALSE),0)</f>
        <v>3.07</v>
      </c>
      <c r="T181" s="1144">
        <f>IFERROR(VLOOKUP(CONCATENATE($E181,$G181),'LAC 103'!$A$12:$O$95,13,FALSE),0)</f>
        <v>1.92</v>
      </c>
      <c r="U181" s="1144">
        <f>IFERROR(VLOOKUP(CONCATENATE($E181,$G181),'LAC 103'!$A$12:$O$95,14,FALSE),0)</f>
        <v>0</v>
      </c>
      <c r="V181" s="1144">
        <f>IFERROR(VLOOKUP(CONCATENATE($E181,$G181),'LAC 103'!$A$12:$O$95,15,FALSE),0)</f>
        <v>0</v>
      </c>
      <c r="W181" s="1145" t="str">
        <f>IFERROR(VLOOKUP(CONCATENATE($B181,$N181),'LAC 103'!$AI:$AQ,9,FALSE),"")</f>
        <v>Costs</v>
      </c>
      <c r="X181" s="1146">
        <f t="shared" si="42"/>
        <v>2.483156209074918</v>
      </c>
      <c r="Y181" s="1143">
        <f t="shared" si="43"/>
        <v>10836.493696402942</v>
      </c>
      <c r="Z181" s="1147">
        <f t="shared" si="44"/>
        <v>13397.48</v>
      </c>
      <c r="AA181" s="1144">
        <f t="shared" si="45"/>
        <v>8378.8799999999992</v>
      </c>
      <c r="AB181" s="1144">
        <f t="shared" si="46"/>
        <v>0</v>
      </c>
      <c r="AC181" s="1144">
        <f t="shared" si="47"/>
        <v>0</v>
      </c>
      <c r="AD181" s="1148">
        <f t="shared" si="38"/>
        <v>10836.493696402942</v>
      </c>
      <c r="AE181" s="1487">
        <v>0</v>
      </c>
      <c r="AF181" s="1145">
        <f t="shared" si="48"/>
        <v>10836.493696402942</v>
      </c>
      <c r="AG181" s="1149">
        <f>IFERROR(VLOOKUP(CONCATENATE($L181,$N181),'Drop List'!$G$23:$K$87,2,FALSE),0)</f>
        <v>0.56200000000000006</v>
      </c>
      <c r="AH181" s="1150">
        <f>IFERROR(VLOOKUP(CONCATENATE($L181,$N181),'Drop List'!$G$23:$K$87,3,FALSE),0)</f>
        <v>0.43799999999999994</v>
      </c>
      <c r="AI181" s="1150">
        <f>IFERROR(VLOOKUP(CONCATENATE($L181,$N181),'Drop List'!$G$23:$K$87,4,FALSE),0)</f>
        <v>0</v>
      </c>
      <c r="AJ181" s="1151">
        <f>IFERROR(VLOOKUP(CONCATENATE($L181,$N181),'Drop List'!$G$23:$K$87,5,FALSE),0)</f>
        <v>0</v>
      </c>
      <c r="AK181" s="1152">
        <f t="shared" si="49"/>
        <v>6090.109457378454</v>
      </c>
      <c r="AL181" s="1153">
        <f t="shared" si="50"/>
        <v>4746.3842390244881</v>
      </c>
      <c r="AM181" s="1153">
        <f t="shared" si="51"/>
        <v>0</v>
      </c>
      <c r="AN181" s="1145">
        <f t="shared" si="52"/>
        <v>0</v>
      </c>
      <c r="AO181" s="1154">
        <f t="shared" si="53"/>
        <v>10836.493696402942</v>
      </c>
      <c r="AP181" s="1147">
        <f t="shared" si="39"/>
        <v>0</v>
      </c>
      <c r="AQ181" s="1144">
        <f t="shared" si="40"/>
        <v>0</v>
      </c>
      <c r="AR181" s="1146">
        <f t="shared" si="41"/>
        <v>10836.493696402942</v>
      </c>
    </row>
    <row r="182" spans="1:44" x14ac:dyDescent="0.2">
      <c r="A182" s="1141" t="str">
        <f t="shared" si="36"/>
        <v>1504</v>
      </c>
      <c r="B182" s="1141" t="str">
        <f>IFERROR(VLOOKUP(A182,'LAC 103'!A:C,3,FALSE),"")</f>
        <v>OP</v>
      </c>
      <c r="C182" s="1478" t="str">
        <f>Info!$B$8</f>
        <v>00100</v>
      </c>
      <c r="D182" s="1474" t="s">
        <v>256</v>
      </c>
      <c r="E182" s="1474" t="s">
        <v>95</v>
      </c>
      <c r="F182" s="1478" t="s">
        <v>588</v>
      </c>
      <c r="G182" s="1478" t="s">
        <v>588</v>
      </c>
      <c r="H182" s="1474" t="s">
        <v>1653</v>
      </c>
      <c r="I182" s="1478" t="s">
        <v>913</v>
      </c>
      <c r="J182" s="1478"/>
      <c r="K182" s="1475" t="s">
        <v>847</v>
      </c>
      <c r="L182" s="1474" t="s">
        <v>582</v>
      </c>
      <c r="M182" s="1476" t="s">
        <v>841</v>
      </c>
      <c r="N182" s="1477" t="s">
        <v>1695</v>
      </c>
      <c r="O182" s="1479">
        <v>2287</v>
      </c>
      <c r="P182" s="1479"/>
      <c r="Q182" s="1142">
        <f t="shared" si="37"/>
        <v>2287</v>
      </c>
      <c r="R182" s="1143">
        <f>IFERROR(VLOOKUP(CONCATENATE(E182,G182),'LAC 103'!$A$12:$O$95,11,FALSE),0)</f>
        <v>2.483156209074918</v>
      </c>
      <c r="S182" s="1144">
        <f>IFERROR(VLOOKUP(CONCATENATE($E182,$G182),'LAC 103'!$A$12:$O$95,12,FALSE),0)</f>
        <v>3.07</v>
      </c>
      <c r="T182" s="1144">
        <f>IFERROR(VLOOKUP(CONCATENATE($E182,$G182),'LAC 103'!$A$12:$O$95,13,FALSE),0)</f>
        <v>1.92</v>
      </c>
      <c r="U182" s="1144">
        <f>IFERROR(VLOOKUP(CONCATENATE($E182,$G182),'LAC 103'!$A$12:$O$95,14,FALSE),0)</f>
        <v>0</v>
      </c>
      <c r="V182" s="1144">
        <f>IFERROR(VLOOKUP(CONCATENATE($E182,$G182),'LAC 103'!$A$12:$O$95,15,FALSE),0)</f>
        <v>0</v>
      </c>
      <c r="W182" s="1145" t="str">
        <f>IFERROR(VLOOKUP(CONCATENATE($B182,$N182),'LAC 103'!$AI:$AQ,9,FALSE),"")</f>
        <v>Costs</v>
      </c>
      <c r="X182" s="1146">
        <f t="shared" si="42"/>
        <v>2.483156209074918</v>
      </c>
      <c r="Y182" s="1143">
        <f t="shared" si="43"/>
        <v>5678.9782501543377</v>
      </c>
      <c r="Z182" s="1147">
        <f t="shared" si="44"/>
        <v>7021.0899999999992</v>
      </c>
      <c r="AA182" s="1144">
        <f t="shared" si="45"/>
        <v>4391.04</v>
      </c>
      <c r="AB182" s="1144">
        <f t="shared" si="46"/>
        <v>0</v>
      </c>
      <c r="AC182" s="1144">
        <f t="shared" si="47"/>
        <v>0</v>
      </c>
      <c r="AD182" s="1148">
        <f t="shared" si="38"/>
        <v>5678.9782501543377</v>
      </c>
      <c r="AE182" s="1487">
        <v>0</v>
      </c>
      <c r="AF182" s="1145">
        <f t="shared" si="48"/>
        <v>5678.9782501543377</v>
      </c>
      <c r="AG182" s="1149">
        <f>IFERROR(VLOOKUP(CONCATENATE($L182,$N182),'Drop List'!$G$23:$K$87,2,FALSE),0)</f>
        <v>0.55000000000000004</v>
      </c>
      <c r="AH182" s="1150">
        <f>IFERROR(VLOOKUP(CONCATENATE($L182,$N182),'Drop List'!$G$23:$K$87,3,FALSE),0)</f>
        <v>0.44999999999999996</v>
      </c>
      <c r="AI182" s="1150">
        <f>IFERROR(VLOOKUP(CONCATENATE($L182,$N182),'Drop List'!$G$23:$K$87,4,FALSE),0)</f>
        <v>0</v>
      </c>
      <c r="AJ182" s="1151">
        <f>IFERROR(VLOOKUP(CONCATENATE($L182,$N182),'Drop List'!$G$23:$K$87,5,FALSE),0)</f>
        <v>0</v>
      </c>
      <c r="AK182" s="1152">
        <f t="shared" si="49"/>
        <v>3123.4380375848859</v>
      </c>
      <c r="AL182" s="1153">
        <f t="shared" si="50"/>
        <v>2555.5402125694518</v>
      </c>
      <c r="AM182" s="1153">
        <f t="shared" si="51"/>
        <v>0</v>
      </c>
      <c r="AN182" s="1145">
        <f t="shared" si="52"/>
        <v>0</v>
      </c>
      <c r="AO182" s="1154">
        <f t="shared" si="53"/>
        <v>5678.9782501543377</v>
      </c>
      <c r="AP182" s="1147">
        <f t="shared" si="39"/>
        <v>0</v>
      </c>
      <c r="AQ182" s="1144">
        <f t="shared" si="40"/>
        <v>0</v>
      </c>
      <c r="AR182" s="1146">
        <f t="shared" si="41"/>
        <v>5678.9782501543377</v>
      </c>
    </row>
    <row r="183" spans="1:44" x14ac:dyDescent="0.2">
      <c r="A183" s="1141" t="str">
        <f t="shared" si="36"/>
        <v>1504</v>
      </c>
      <c r="B183" s="1141" t="str">
        <f>IFERROR(VLOOKUP(A183,'LAC 103'!A:C,3,FALSE),"")</f>
        <v>OP</v>
      </c>
      <c r="C183" s="1478" t="str">
        <f>Info!$B$8</f>
        <v>00100</v>
      </c>
      <c r="D183" s="1474" t="s">
        <v>256</v>
      </c>
      <c r="E183" s="1474" t="s">
        <v>95</v>
      </c>
      <c r="F183" s="1478" t="s">
        <v>588</v>
      </c>
      <c r="G183" s="1478" t="s">
        <v>588</v>
      </c>
      <c r="H183" s="1474" t="s">
        <v>1653</v>
      </c>
      <c r="I183" s="1478" t="s">
        <v>913</v>
      </c>
      <c r="J183" s="1478"/>
      <c r="K183" s="1475" t="s">
        <v>847</v>
      </c>
      <c r="L183" s="1474" t="s">
        <v>582</v>
      </c>
      <c r="M183" s="1476" t="s">
        <v>840</v>
      </c>
      <c r="N183" s="1477" t="s">
        <v>1700</v>
      </c>
      <c r="O183" s="1479">
        <v>1087</v>
      </c>
      <c r="P183" s="1479"/>
      <c r="Q183" s="1142">
        <f t="shared" si="37"/>
        <v>1087</v>
      </c>
      <c r="R183" s="1143">
        <f>IFERROR(VLOOKUP(CONCATENATE(E183,G183),'LAC 103'!$A$12:$O$95,11,FALSE),0)</f>
        <v>2.483156209074918</v>
      </c>
      <c r="S183" s="1144">
        <f>IFERROR(VLOOKUP(CONCATENATE($E183,$G183),'LAC 103'!$A$12:$O$95,12,FALSE),0)</f>
        <v>3.07</v>
      </c>
      <c r="T183" s="1144">
        <f>IFERROR(VLOOKUP(CONCATENATE($E183,$G183),'LAC 103'!$A$12:$O$95,13,FALSE),0)</f>
        <v>1.92</v>
      </c>
      <c r="U183" s="1144">
        <f>IFERROR(VLOOKUP(CONCATENATE($E183,$G183),'LAC 103'!$A$12:$O$95,14,FALSE),0)</f>
        <v>0</v>
      </c>
      <c r="V183" s="1144">
        <f>IFERROR(VLOOKUP(CONCATENATE($E183,$G183),'LAC 103'!$A$12:$O$95,15,FALSE),0)</f>
        <v>0</v>
      </c>
      <c r="W183" s="1145" t="str">
        <f>IFERROR(VLOOKUP(CONCATENATE($B183,$N183),'LAC 103'!$AI:$AQ,9,FALSE),"")</f>
        <v>P.C.</v>
      </c>
      <c r="X183" s="1146">
        <f t="shared" si="42"/>
        <v>1.92</v>
      </c>
      <c r="Y183" s="1143">
        <f t="shared" si="43"/>
        <v>2699.190799264436</v>
      </c>
      <c r="Z183" s="1147">
        <f t="shared" si="44"/>
        <v>3337.0899999999997</v>
      </c>
      <c r="AA183" s="1144">
        <f t="shared" si="45"/>
        <v>2087.04</v>
      </c>
      <c r="AB183" s="1144">
        <f t="shared" si="46"/>
        <v>0</v>
      </c>
      <c r="AC183" s="1144">
        <f t="shared" si="47"/>
        <v>0</v>
      </c>
      <c r="AD183" s="1148">
        <f t="shared" si="38"/>
        <v>2087.04</v>
      </c>
      <c r="AE183" s="1487">
        <v>0</v>
      </c>
      <c r="AF183" s="1145">
        <f t="shared" si="48"/>
        <v>2087.04</v>
      </c>
      <c r="AG183" s="1149">
        <f>IFERROR(VLOOKUP(CONCATENATE($L183,$N183),'Drop List'!$G$23:$K$87,2,FALSE),0)</f>
        <v>0.55000000000000004</v>
      </c>
      <c r="AH183" s="1150">
        <f>IFERROR(VLOOKUP(CONCATENATE($L183,$N183),'Drop List'!$G$23:$K$87,3,FALSE),0)</f>
        <v>0.44999999999999996</v>
      </c>
      <c r="AI183" s="1150">
        <f>IFERROR(VLOOKUP(CONCATENATE($L183,$N183),'Drop List'!$G$23:$K$87,4,FALSE),0)</f>
        <v>0</v>
      </c>
      <c r="AJ183" s="1151">
        <f>IFERROR(VLOOKUP(CONCATENATE($L183,$N183),'Drop List'!$G$23:$K$87,5,FALSE),0)</f>
        <v>0</v>
      </c>
      <c r="AK183" s="1152">
        <f t="shared" si="49"/>
        <v>1147.8720000000001</v>
      </c>
      <c r="AL183" s="1153">
        <f t="shared" si="50"/>
        <v>939.16799999999989</v>
      </c>
      <c r="AM183" s="1153">
        <f t="shared" si="51"/>
        <v>0</v>
      </c>
      <c r="AN183" s="1145">
        <f t="shared" si="52"/>
        <v>0</v>
      </c>
      <c r="AO183" s="1154">
        <f t="shared" si="53"/>
        <v>2087.04</v>
      </c>
      <c r="AP183" s="1147">
        <f t="shared" si="39"/>
        <v>0</v>
      </c>
      <c r="AQ183" s="1144">
        <f t="shared" si="40"/>
        <v>0</v>
      </c>
      <c r="AR183" s="1146">
        <f t="shared" si="41"/>
        <v>2087.04</v>
      </c>
    </row>
    <row r="184" spans="1:44" x14ac:dyDescent="0.2">
      <c r="A184" s="1141" t="str">
        <f t="shared" si="36"/>
        <v>1504</v>
      </c>
      <c r="B184" s="1141" t="str">
        <f>IFERROR(VLOOKUP(A184,'LAC 103'!A:C,3,FALSE),"")</f>
        <v>OP</v>
      </c>
      <c r="C184" s="1478" t="str">
        <f>Info!$B$8</f>
        <v>00100</v>
      </c>
      <c r="D184" s="1474" t="s">
        <v>256</v>
      </c>
      <c r="E184" s="1474" t="s">
        <v>95</v>
      </c>
      <c r="F184" s="1478" t="s">
        <v>588</v>
      </c>
      <c r="G184" s="1478" t="s">
        <v>588</v>
      </c>
      <c r="H184" s="1474" t="s">
        <v>1653</v>
      </c>
      <c r="I184" s="1478" t="s">
        <v>913</v>
      </c>
      <c r="J184" s="1478"/>
      <c r="K184" s="1475" t="s">
        <v>847</v>
      </c>
      <c r="L184" s="1474" t="s">
        <v>582</v>
      </c>
      <c r="M184" s="1476" t="s">
        <v>842</v>
      </c>
      <c r="N184" s="1477" t="s">
        <v>1692</v>
      </c>
      <c r="O184" s="1479">
        <v>5351</v>
      </c>
      <c r="P184" s="1479"/>
      <c r="Q184" s="1142">
        <f t="shared" si="37"/>
        <v>5351</v>
      </c>
      <c r="R184" s="1143">
        <f>IFERROR(VLOOKUP(CONCATENATE(E184,G184),'LAC 103'!$A$12:$O$95,11,FALSE),0)</f>
        <v>2.483156209074918</v>
      </c>
      <c r="S184" s="1144">
        <f>IFERROR(VLOOKUP(CONCATENATE($E184,$G184),'LAC 103'!$A$12:$O$95,12,FALSE),0)</f>
        <v>3.07</v>
      </c>
      <c r="T184" s="1144">
        <f>IFERROR(VLOOKUP(CONCATENATE($E184,$G184),'LAC 103'!$A$12:$O$95,13,FALSE),0)</f>
        <v>1.92</v>
      </c>
      <c r="U184" s="1144">
        <f>IFERROR(VLOOKUP(CONCATENATE($E184,$G184),'LAC 103'!$A$12:$O$95,14,FALSE),0)</f>
        <v>0</v>
      </c>
      <c r="V184" s="1144">
        <f>IFERROR(VLOOKUP(CONCATENATE($E184,$G184),'LAC 103'!$A$12:$O$95,15,FALSE),0)</f>
        <v>0</v>
      </c>
      <c r="W184" s="1145" t="str">
        <f>IFERROR(VLOOKUP(CONCATENATE($B184,$N184),'LAC 103'!$AI:$AQ,9,FALSE),"")</f>
        <v>Costs</v>
      </c>
      <c r="X184" s="1146">
        <f t="shared" si="42"/>
        <v>2.483156209074918</v>
      </c>
      <c r="Y184" s="1143">
        <f t="shared" si="43"/>
        <v>13287.368874759886</v>
      </c>
      <c r="Z184" s="1147">
        <f t="shared" si="44"/>
        <v>16427.57</v>
      </c>
      <c r="AA184" s="1144">
        <f t="shared" si="45"/>
        <v>10273.92</v>
      </c>
      <c r="AB184" s="1144">
        <f t="shared" si="46"/>
        <v>0</v>
      </c>
      <c r="AC184" s="1144">
        <f t="shared" si="47"/>
        <v>0</v>
      </c>
      <c r="AD184" s="1148">
        <f t="shared" si="38"/>
        <v>13287.368874759886</v>
      </c>
      <c r="AE184" s="1487">
        <v>0</v>
      </c>
      <c r="AF184" s="1145">
        <f t="shared" si="48"/>
        <v>13287.368874759886</v>
      </c>
      <c r="AG184" s="1149">
        <f>IFERROR(VLOOKUP(CONCATENATE($L184,$N184),'Drop List'!$G$23:$K$87,2,FALSE),0)</f>
        <v>0.56200000000000006</v>
      </c>
      <c r="AH184" s="1150">
        <f>IFERROR(VLOOKUP(CONCATENATE($L184,$N184),'Drop List'!$G$23:$K$87,3,FALSE),0)</f>
        <v>0.43799999999999994</v>
      </c>
      <c r="AI184" s="1150">
        <f>IFERROR(VLOOKUP(CONCATENATE($L184,$N184),'Drop List'!$G$23:$K$87,4,FALSE),0)</f>
        <v>0</v>
      </c>
      <c r="AJ184" s="1151">
        <f>IFERROR(VLOOKUP(CONCATENATE($L184,$N184),'Drop List'!$G$23:$K$87,5,FALSE),0)</f>
        <v>0</v>
      </c>
      <c r="AK184" s="1152">
        <f t="shared" si="49"/>
        <v>7467.5013076150572</v>
      </c>
      <c r="AL184" s="1153">
        <f t="shared" si="50"/>
        <v>5819.8675671448291</v>
      </c>
      <c r="AM184" s="1153">
        <f t="shared" si="51"/>
        <v>0</v>
      </c>
      <c r="AN184" s="1145">
        <f t="shared" si="52"/>
        <v>0</v>
      </c>
      <c r="AO184" s="1154">
        <f t="shared" si="53"/>
        <v>13287.368874759886</v>
      </c>
      <c r="AP184" s="1147">
        <f t="shared" si="39"/>
        <v>0</v>
      </c>
      <c r="AQ184" s="1144">
        <f t="shared" si="40"/>
        <v>0</v>
      </c>
      <c r="AR184" s="1146">
        <f t="shared" si="41"/>
        <v>13287.368874759886</v>
      </c>
    </row>
    <row r="185" spans="1:44" x14ac:dyDescent="0.2">
      <c r="A185" s="1141" t="str">
        <f t="shared" si="36"/>
        <v>1504</v>
      </c>
      <c r="B185" s="1141" t="str">
        <f>IFERROR(VLOOKUP(A185,'LAC 103'!A:C,3,FALSE),"")</f>
        <v>OP</v>
      </c>
      <c r="C185" s="1478" t="str">
        <f>Info!$B$8</f>
        <v>00100</v>
      </c>
      <c r="D185" s="1474" t="s">
        <v>256</v>
      </c>
      <c r="E185" s="1474" t="s">
        <v>95</v>
      </c>
      <c r="F185" s="1478" t="s">
        <v>588</v>
      </c>
      <c r="G185" s="1478" t="s">
        <v>588</v>
      </c>
      <c r="H185" s="1474" t="s">
        <v>1653</v>
      </c>
      <c r="I185" s="1478" t="s">
        <v>913</v>
      </c>
      <c r="J185" s="1478"/>
      <c r="K185" s="1475" t="s">
        <v>847</v>
      </c>
      <c r="L185" s="1474" t="s">
        <v>582</v>
      </c>
      <c r="M185" s="1476" t="s">
        <v>1698</v>
      </c>
      <c r="N185" s="1477" t="s">
        <v>1693</v>
      </c>
      <c r="O185" s="1479">
        <v>10275</v>
      </c>
      <c r="P185" s="1479"/>
      <c r="Q185" s="1142">
        <f t="shared" si="37"/>
        <v>10275</v>
      </c>
      <c r="R185" s="1143">
        <f>IFERROR(VLOOKUP(CONCATENATE(E185,G185),'LAC 103'!$A$12:$O$95,11,FALSE),0)</f>
        <v>2.483156209074918</v>
      </c>
      <c r="S185" s="1144">
        <f>IFERROR(VLOOKUP(CONCATENATE($E185,$G185),'LAC 103'!$A$12:$O$95,12,FALSE),0)</f>
        <v>3.07</v>
      </c>
      <c r="T185" s="1144">
        <f>IFERROR(VLOOKUP(CONCATENATE($E185,$G185),'LAC 103'!$A$12:$O$95,13,FALSE),0)</f>
        <v>1.92</v>
      </c>
      <c r="U185" s="1144">
        <f>IFERROR(VLOOKUP(CONCATENATE($E185,$G185),'LAC 103'!$A$12:$O$95,14,FALSE),0)</f>
        <v>0</v>
      </c>
      <c r="V185" s="1144">
        <f>IFERROR(VLOOKUP(CONCATENATE($E185,$G185),'LAC 103'!$A$12:$O$95,15,FALSE),0)</f>
        <v>0</v>
      </c>
      <c r="W185" s="1145" t="str">
        <f>IFERROR(VLOOKUP(CONCATENATE($B185,$N185),'LAC 103'!$AI:$AQ,9,FALSE),"")</f>
        <v>Costs</v>
      </c>
      <c r="X185" s="1146">
        <f t="shared" si="42"/>
        <v>2.483156209074918</v>
      </c>
      <c r="Y185" s="1143">
        <f t="shared" si="43"/>
        <v>25514.430048244783</v>
      </c>
      <c r="Z185" s="1147">
        <f t="shared" si="44"/>
        <v>31544.25</v>
      </c>
      <c r="AA185" s="1144">
        <f t="shared" si="45"/>
        <v>19728</v>
      </c>
      <c r="AB185" s="1144">
        <f t="shared" si="46"/>
        <v>0</v>
      </c>
      <c r="AC185" s="1144">
        <f t="shared" si="47"/>
        <v>0</v>
      </c>
      <c r="AD185" s="1148">
        <f t="shared" si="38"/>
        <v>25514.430048244783</v>
      </c>
      <c r="AE185" s="1487">
        <v>0</v>
      </c>
      <c r="AF185" s="1145">
        <f t="shared" si="48"/>
        <v>25514.430048244783</v>
      </c>
      <c r="AG185" s="1149">
        <f>IFERROR(VLOOKUP(CONCATENATE($L185,$N185),'Drop List'!$G$23:$K$87,2,FALSE),0)</f>
        <v>0.56200000000000006</v>
      </c>
      <c r="AH185" s="1150">
        <f>IFERROR(VLOOKUP(CONCATENATE($L185,$N185),'Drop List'!$G$23:$K$87,3,FALSE),0)</f>
        <v>0.43799999999999994</v>
      </c>
      <c r="AI185" s="1150">
        <f>IFERROR(VLOOKUP(CONCATENATE($L185,$N185),'Drop List'!$G$23:$K$87,4,FALSE),0)</f>
        <v>0</v>
      </c>
      <c r="AJ185" s="1151">
        <f>IFERROR(VLOOKUP(CONCATENATE($L185,$N185),'Drop List'!$G$23:$K$87,5,FALSE),0)</f>
        <v>0</v>
      </c>
      <c r="AK185" s="1152">
        <f t="shared" si="49"/>
        <v>14339.109687113571</v>
      </c>
      <c r="AL185" s="1153">
        <f t="shared" si="50"/>
        <v>11175.320361131213</v>
      </c>
      <c r="AM185" s="1153">
        <f t="shared" si="51"/>
        <v>0</v>
      </c>
      <c r="AN185" s="1145">
        <f t="shared" si="52"/>
        <v>0</v>
      </c>
      <c r="AO185" s="1154">
        <f t="shared" si="53"/>
        <v>25514.430048244783</v>
      </c>
      <c r="AP185" s="1147">
        <f t="shared" si="39"/>
        <v>0</v>
      </c>
      <c r="AQ185" s="1144">
        <f t="shared" si="40"/>
        <v>0</v>
      </c>
      <c r="AR185" s="1146">
        <f t="shared" si="41"/>
        <v>25514.430048244783</v>
      </c>
    </row>
    <row r="186" spans="1:44" x14ac:dyDescent="0.2">
      <c r="A186" s="1141" t="str">
        <f t="shared" si="36"/>
        <v>1504</v>
      </c>
      <c r="B186" s="1141" t="str">
        <f>IFERROR(VLOOKUP(A186,'LAC 103'!A:C,3,FALSE),"")</f>
        <v>OP</v>
      </c>
      <c r="C186" s="1478" t="str">
        <f>Info!$B$8</f>
        <v>00100</v>
      </c>
      <c r="D186" s="1474" t="s">
        <v>256</v>
      </c>
      <c r="E186" s="1474" t="s">
        <v>95</v>
      </c>
      <c r="F186" s="1478" t="s">
        <v>588</v>
      </c>
      <c r="G186" s="1478" t="s">
        <v>588</v>
      </c>
      <c r="H186" s="1474" t="s">
        <v>1653</v>
      </c>
      <c r="I186" s="1478" t="s">
        <v>913</v>
      </c>
      <c r="J186" s="1478"/>
      <c r="K186" s="1475" t="s">
        <v>848</v>
      </c>
      <c r="L186" s="1474" t="s">
        <v>45</v>
      </c>
      <c r="M186" s="1476" t="s">
        <v>1699</v>
      </c>
      <c r="N186" s="1477" t="s">
        <v>1694</v>
      </c>
      <c r="O186" s="1479">
        <v>2631</v>
      </c>
      <c r="P186" s="1479"/>
      <c r="Q186" s="1142">
        <f t="shared" si="37"/>
        <v>2631</v>
      </c>
      <c r="R186" s="1143">
        <f>IFERROR(VLOOKUP(CONCATENATE(E186,G186),'LAC 103'!$A$12:$O$95,11,FALSE),0)</f>
        <v>2.483156209074918</v>
      </c>
      <c r="S186" s="1144">
        <f>IFERROR(VLOOKUP(CONCATENATE($E186,$G186),'LAC 103'!$A$12:$O$95,12,FALSE),0)</f>
        <v>3.07</v>
      </c>
      <c r="T186" s="1144">
        <f>IFERROR(VLOOKUP(CONCATENATE($E186,$G186),'LAC 103'!$A$12:$O$95,13,FALSE),0)</f>
        <v>1.92</v>
      </c>
      <c r="U186" s="1144">
        <f>IFERROR(VLOOKUP(CONCATENATE($E186,$G186),'LAC 103'!$A$12:$O$95,14,FALSE),0)</f>
        <v>0</v>
      </c>
      <c r="V186" s="1144">
        <f>IFERROR(VLOOKUP(CONCATENATE($E186,$G186),'LAC 103'!$A$12:$O$95,15,FALSE),0)</f>
        <v>0</v>
      </c>
      <c r="W186" s="1145" t="str">
        <f>IFERROR(VLOOKUP(CONCATENATE($B186,$N186),'LAC 103'!$AI:$AQ,9,FALSE),"")</f>
        <v>Costs</v>
      </c>
      <c r="X186" s="1146">
        <f t="shared" si="42"/>
        <v>2.483156209074918</v>
      </c>
      <c r="Y186" s="1143">
        <f t="shared" si="43"/>
        <v>6533.1839860761092</v>
      </c>
      <c r="Z186" s="1147">
        <f t="shared" si="44"/>
        <v>8077.1699999999992</v>
      </c>
      <c r="AA186" s="1144">
        <f t="shared" si="45"/>
        <v>5051.5199999999995</v>
      </c>
      <c r="AB186" s="1144">
        <f t="shared" si="46"/>
        <v>0</v>
      </c>
      <c r="AC186" s="1144">
        <f t="shared" si="47"/>
        <v>0</v>
      </c>
      <c r="AD186" s="1148">
        <f t="shared" si="38"/>
        <v>6533.1839860761092</v>
      </c>
      <c r="AE186" s="1487">
        <v>0</v>
      </c>
      <c r="AF186" s="1145">
        <f t="shared" si="48"/>
        <v>6533.1839860761092</v>
      </c>
      <c r="AG186" s="1149">
        <f>IFERROR(VLOOKUP(CONCATENATE($L186,$N186),'Drop List'!$G$23:$K$87,2,FALSE),0)</f>
        <v>0.69340000000000002</v>
      </c>
      <c r="AH186" s="1150">
        <f>IFERROR(VLOOKUP(CONCATENATE($L186,$N186),'Drop List'!$G$23:$K$87,3,FALSE),0)</f>
        <v>0.30659999999999998</v>
      </c>
      <c r="AI186" s="1150">
        <f>IFERROR(VLOOKUP(CONCATENATE($L186,$N186),'Drop List'!$G$23:$K$87,4,FALSE),0)</f>
        <v>0</v>
      </c>
      <c r="AJ186" s="1151">
        <f>IFERROR(VLOOKUP(CONCATENATE($L186,$N186),'Drop List'!$G$23:$K$87,5,FALSE),0)</f>
        <v>0</v>
      </c>
      <c r="AK186" s="1152">
        <f t="shared" si="49"/>
        <v>4530.1097759451741</v>
      </c>
      <c r="AL186" s="1153">
        <f t="shared" si="50"/>
        <v>2003.0742101309349</v>
      </c>
      <c r="AM186" s="1153">
        <f t="shared" si="51"/>
        <v>0</v>
      </c>
      <c r="AN186" s="1145">
        <f t="shared" si="52"/>
        <v>0</v>
      </c>
      <c r="AO186" s="1154">
        <f t="shared" si="53"/>
        <v>6533.1839860761092</v>
      </c>
      <c r="AP186" s="1147">
        <f t="shared" si="39"/>
        <v>0</v>
      </c>
      <c r="AQ186" s="1144">
        <f t="shared" si="40"/>
        <v>0</v>
      </c>
      <c r="AR186" s="1146">
        <f t="shared" si="41"/>
        <v>6533.1839860761092</v>
      </c>
    </row>
    <row r="187" spans="1:44" x14ac:dyDescent="0.2">
      <c r="A187" s="1141" t="str">
        <f t="shared" si="36"/>
        <v>1504</v>
      </c>
      <c r="B187" s="1141" t="str">
        <f>IFERROR(VLOOKUP(A187,'LAC 103'!A:C,3,FALSE),"")</f>
        <v>OP</v>
      </c>
      <c r="C187" s="1478" t="str">
        <f>Info!$B$8</f>
        <v>00100</v>
      </c>
      <c r="D187" s="1474" t="s">
        <v>256</v>
      </c>
      <c r="E187" s="1474" t="s">
        <v>95</v>
      </c>
      <c r="F187" s="1478" t="s">
        <v>588</v>
      </c>
      <c r="G187" s="1478" t="s">
        <v>588</v>
      </c>
      <c r="H187" s="1474" t="s">
        <v>1653</v>
      </c>
      <c r="I187" s="1478" t="s">
        <v>913</v>
      </c>
      <c r="J187" s="1478"/>
      <c r="K187" s="1475" t="s">
        <v>848</v>
      </c>
      <c r="L187" s="1474" t="s">
        <v>45</v>
      </c>
      <c r="M187" s="1476" t="s">
        <v>841</v>
      </c>
      <c r="N187" s="1477" t="s">
        <v>1695</v>
      </c>
      <c r="O187" s="1479">
        <v>2650</v>
      </c>
      <c r="P187" s="1479"/>
      <c r="Q187" s="1142">
        <f t="shared" si="37"/>
        <v>2650</v>
      </c>
      <c r="R187" s="1143">
        <f>IFERROR(VLOOKUP(CONCATENATE(E187,G187),'LAC 103'!$A$12:$O$95,11,FALSE),0)</f>
        <v>2.483156209074918</v>
      </c>
      <c r="S187" s="1144">
        <f>IFERROR(VLOOKUP(CONCATENATE($E187,$G187),'LAC 103'!$A$12:$O$95,12,FALSE),0)</f>
        <v>3.07</v>
      </c>
      <c r="T187" s="1144">
        <f>IFERROR(VLOOKUP(CONCATENATE($E187,$G187),'LAC 103'!$A$12:$O$95,13,FALSE),0)</f>
        <v>1.92</v>
      </c>
      <c r="U187" s="1144">
        <f>IFERROR(VLOOKUP(CONCATENATE($E187,$G187),'LAC 103'!$A$12:$O$95,14,FALSE),0)</f>
        <v>0</v>
      </c>
      <c r="V187" s="1144">
        <f>IFERROR(VLOOKUP(CONCATENATE($E187,$G187),'LAC 103'!$A$12:$O$95,15,FALSE),0)</f>
        <v>0</v>
      </c>
      <c r="W187" s="1145" t="str">
        <f>IFERROR(VLOOKUP(CONCATENATE($B187,$N187),'LAC 103'!$AI:$AQ,9,FALSE),"")</f>
        <v>Costs</v>
      </c>
      <c r="X187" s="1146">
        <f t="shared" si="42"/>
        <v>2.483156209074918</v>
      </c>
      <c r="Y187" s="1143">
        <f t="shared" si="43"/>
        <v>6580.3639540485328</v>
      </c>
      <c r="Z187" s="1147">
        <f t="shared" si="44"/>
        <v>8135.5</v>
      </c>
      <c r="AA187" s="1144">
        <f t="shared" si="45"/>
        <v>5088</v>
      </c>
      <c r="AB187" s="1144">
        <f t="shared" si="46"/>
        <v>0</v>
      </c>
      <c r="AC187" s="1144">
        <f t="shared" si="47"/>
        <v>0</v>
      </c>
      <c r="AD187" s="1148">
        <f t="shared" si="38"/>
        <v>6580.3639540485328</v>
      </c>
      <c r="AE187" s="1487">
        <v>0</v>
      </c>
      <c r="AF187" s="1145">
        <f t="shared" si="48"/>
        <v>6580.3639540485328</v>
      </c>
      <c r="AG187" s="1149">
        <f>IFERROR(VLOOKUP(CONCATENATE($L187,$N187),'Drop List'!$G$23:$K$87,2,FALSE),0)</f>
        <v>0.68500000000000005</v>
      </c>
      <c r="AH187" s="1150">
        <f>IFERROR(VLOOKUP(CONCATENATE($L187,$N187),'Drop List'!$G$23:$K$87,3,FALSE),0)</f>
        <v>0.31499999999999995</v>
      </c>
      <c r="AI187" s="1150">
        <f>IFERROR(VLOOKUP(CONCATENATE($L187,$N187),'Drop List'!$G$23:$K$87,4,FALSE),0)</f>
        <v>0</v>
      </c>
      <c r="AJ187" s="1151">
        <f>IFERROR(VLOOKUP(CONCATENATE($L187,$N187),'Drop List'!$G$23:$K$87,5,FALSE),0)</f>
        <v>0</v>
      </c>
      <c r="AK187" s="1152">
        <f t="shared" si="49"/>
        <v>4507.5493085232456</v>
      </c>
      <c r="AL187" s="1153">
        <f t="shared" si="50"/>
        <v>2072.8146455252877</v>
      </c>
      <c r="AM187" s="1153">
        <f t="shared" si="51"/>
        <v>0</v>
      </c>
      <c r="AN187" s="1145">
        <f t="shared" si="52"/>
        <v>0</v>
      </c>
      <c r="AO187" s="1154">
        <f t="shared" si="53"/>
        <v>6580.3639540485328</v>
      </c>
      <c r="AP187" s="1147">
        <f t="shared" si="39"/>
        <v>0</v>
      </c>
      <c r="AQ187" s="1144">
        <f t="shared" si="40"/>
        <v>0</v>
      </c>
      <c r="AR187" s="1146">
        <f t="shared" si="41"/>
        <v>6580.3639540485328</v>
      </c>
    </row>
    <row r="188" spans="1:44" x14ac:dyDescent="0.2">
      <c r="A188" s="1141" t="str">
        <f t="shared" si="36"/>
        <v>1504</v>
      </c>
      <c r="B188" s="1141" t="str">
        <f>IFERROR(VLOOKUP(A188,'LAC 103'!A:C,3,FALSE),"")</f>
        <v>OP</v>
      </c>
      <c r="C188" s="1478" t="str">
        <f>Info!$B$8</f>
        <v>00100</v>
      </c>
      <c r="D188" s="1474" t="s">
        <v>256</v>
      </c>
      <c r="E188" s="1474" t="s">
        <v>95</v>
      </c>
      <c r="F188" s="1478" t="s">
        <v>588</v>
      </c>
      <c r="G188" s="1478" t="s">
        <v>588</v>
      </c>
      <c r="H188" s="1474" t="s">
        <v>1653</v>
      </c>
      <c r="I188" s="1478" t="s">
        <v>913</v>
      </c>
      <c r="J188" s="1478"/>
      <c r="K188" s="1475" t="s">
        <v>848</v>
      </c>
      <c r="L188" s="1474" t="s">
        <v>45</v>
      </c>
      <c r="M188" s="1476" t="s">
        <v>840</v>
      </c>
      <c r="N188" s="1477" t="s">
        <v>1700</v>
      </c>
      <c r="O188" s="1479">
        <v>1427</v>
      </c>
      <c r="P188" s="1479"/>
      <c r="Q188" s="1142">
        <f t="shared" si="37"/>
        <v>1427</v>
      </c>
      <c r="R188" s="1143">
        <f>IFERROR(VLOOKUP(CONCATENATE(E188,G188),'LAC 103'!$A$12:$O$95,11,FALSE),0)</f>
        <v>2.483156209074918</v>
      </c>
      <c r="S188" s="1144">
        <f>IFERROR(VLOOKUP(CONCATENATE($E188,$G188),'LAC 103'!$A$12:$O$95,12,FALSE),0)</f>
        <v>3.07</v>
      </c>
      <c r="T188" s="1144">
        <f>IFERROR(VLOOKUP(CONCATENATE($E188,$G188),'LAC 103'!$A$12:$O$95,13,FALSE),0)</f>
        <v>1.92</v>
      </c>
      <c r="U188" s="1144">
        <f>IFERROR(VLOOKUP(CONCATENATE($E188,$G188),'LAC 103'!$A$12:$O$95,14,FALSE),0)</f>
        <v>0</v>
      </c>
      <c r="V188" s="1144">
        <f>IFERROR(VLOOKUP(CONCATENATE($E188,$G188),'LAC 103'!$A$12:$O$95,15,FALSE),0)</f>
        <v>0</v>
      </c>
      <c r="W188" s="1145" t="str">
        <f>IFERROR(VLOOKUP(CONCATENATE($B188,$N188),'LAC 103'!$AI:$AQ,9,FALSE),"")</f>
        <v>P.C.</v>
      </c>
      <c r="X188" s="1146">
        <f t="shared" si="42"/>
        <v>1.92</v>
      </c>
      <c r="Y188" s="1143">
        <f t="shared" si="43"/>
        <v>3543.463910349908</v>
      </c>
      <c r="Z188" s="1147">
        <f t="shared" si="44"/>
        <v>4380.8899999999994</v>
      </c>
      <c r="AA188" s="1144">
        <f t="shared" si="45"/>
        <v>2739.8399999999997</v>
      </c>
      <c r="AB188" s="1144">
        <f t="shared" si="46"/>
        <v>0</v>
      </c>
      <c r="AC188" s="1144">
        <f t="shared" si="47"/>
        <v>0</v>
      </c>
      <c r="AD188" s="1148">
        <f t="shared" si="38"/>
        <v>2739.8399999999997</v>
      </c>
      <c r="AE188" s="1487">
        <v>0</v>
      </c>
      <c r="AF188" s="1145">
        <f t="shared" si="48"/>
        <v>2739.8399999999997</v>
      </c>
      <c r="AG188" s="1149">
        <f>IFERROR(VLOOKUP(CONCATENATE($L188,$N188),'Drop List'!$G$23:$K$87,2,FALSE),0)</f>
        <v>0.68500000000000005</v>
      </c>
      <c r="AH188" s="1150">
        <f>IFERROR(VLOOKUP(CONCATENATE($L188,$N188),'Drop List'!$G$23:$K$87,3,FALSE),0)</f>
        <v>0.31499999999999995</v>
      </c>
      <c r="AI188" s="1150">
        <f>IFERROR(VLOOKUP(CONCATENATE($L188,$N188),'Drop List'!$G$23:$K$87,4,FALSE),0)</f>
        <v>0</v>
      </c>
      <c r="AJ188" s="1151">
        <f>IFERROR(VLOOKUP(CONCATENATE($L188,$N188),'Drop List'!$G$23:$K$87,5,FALSE),0)</f>
        <v>0</v>
      </c>
      <c r="AK188" s="1152">
        <f t="shared" si="49"/>
        <v>1876.7903999999999</v>
      </c>
      <c r="AL188" s="1153">
        <f t="shared" si="50"/>
        <v>863.04959999999971</v>
      </c>
      <c r="AM188" s="1153">
        <f t="shared" si="51"/>
        <v>0</v>
      </c>
      <c r="AN188" s="1145">
        <f t="shared" si="52"/>
        <v>0</v>
      </c>
      <c r="AO188" s="1154">
        <f t="shared" si="53"/>
        <v>2739.8399999999997</v>
      </c>
      <c r="AP188" s="1147">
        <f t="shared" si="39"/>
        <v>0</v>
      </c>
      <c r="AQ188" s="1144">
        <f t="shared" si="40"/>
        <v>0</v>
      </c>
      <c r="AR188" s="1146">
        <f t="shared" si="41"/>
        <v>2739.8399999999997</v>
      </c>
    </row>
    <row r="189" spans="1:44" x14ac:dyDescent="0.2">
      <c r="A189" s="1141" t="str">
        <f t="shared" si="36"/>
        <v>1504</v>
      </c>
      <c r="B189" s="1141" t="str">
        <f>IFERROR(VLOOKUP(A189,'LAC 103'!A:C,3,FALSE),"")</f>
        <v>OP</v>
      </c>
      <c r="C189" s="1478" t="str">
        <f>Info!$B$8</f>
        <v>00100</v>
      </c>
      <c r="D189" s="1474" t="s">
        <v>256</v>
      </c>
      <c r="E189" s="1474" t="s">
        <v>95</v>
      </c>
      <c r="F189" s="1478" t="s">
        <v>588</v>
      </c>
      <c r="G189" s="1478" t="s">
        <v>588</v>
      </c>
      <c r="H189" s="1474" t="s">
        <v>1653</v>
      </c>
      <c r="I189" s="1478" t="s">
        <v>913</v>
      </c>
      <c r="J189" s="1478"/>
      <c r="K189" s="1475" t="s">
        <v>848</v>
      </c>
      <c r="L189" s="1474" t="s">
        <v>45</v>
      </c>
      <c r="M189" s="1476" t="s">
        <v>842</v>
      </c>
      <c r="N189" s="1477" t="s">
        <v>1692</v>
      </c>
      <c r="O189" s="1479">
        <v>2201</v>
      </c>
      <c r="P189" s="1479"/>
      <c r="Q189" s="1142">
        <f t="shared" si="37"/>
        <v>2201</v>
      </c>
      <c r="R189" s="1143">
        <f>IFERROR(VLOOKUP(CONCATENATE(E189,G189),'LAC 103'!$A$12:$O$95,11,FALSE),0)</f>
        <v>2.483156209074918</v>
      </c>
      <c r="S189" s="1144">
        <f>IFERROR(VLOOKUP(CONCATENATE($E189,$G189),'LAC 103'!$A$12:$O$95,12,FALSE),0)</f>
        <v>3.07</v>
      </c>
      <c r="T189" s="1144">
        <f>IFERROR(VLOOKUP(CONCATENATE($E189,$G189),'LAC 103'!$A$12:$O$95,13,FALSE),0)</f>
        <v>1.92</v>
      </c>
      <c r="U189" s="1144">
        <f>IFERROR(VLOOKUP(CONCATENATE($E189,$G189),'LAC 103'!$A$12:$O$95,14,FALSE),0)</f>
        <v>0</v>
      </c>
      <c r="V189" s="1144">
        <f>IFERROR(VLOOKUP(CONCATENATE($E189,$G189),'LAC 103'!$A$12:$O$95,15,FALSE),0)</f>
        <v>0</v>
      </c>
      <c r="W189" s="1145" t="str">
        <f>IFERROR(VLOOKUP(CONCATENATE($B189,$N189),'LAC 103'!$AI:$AQ,9,FALSE),"")</f>
        <v>Costs</v>
      </c>
      <c r="X189" s="1146">
        <f t="shared" si="42"/>
        <v>2.483156209074918</v>
      </c>
      <c r="Y189" s="1143">
        <f t="shared" si="43"/>
        <v>5465.4268161738946</v>
      </c>
      <c r="Z189" s="1147">
        <f t="shared" si="44"/>
        <v>6757.07</v>
      </c>
      <c r="AA189" s="1144">
        <f t="shared" si="45"/>
        <v>4225.92</v>
      </c>
      <c r="AB189" s="1144">
        <f t="shared" si="46"/>
        <v>0</v>
      </c>
      <c r="AC189" s="1144">
        <f t="shared" si="47"/>
        <v>0</v>
      </c>
      <c r="AD189" s="1148">
        <f t="shared" si="38"/>
        <v>5465.4268161738946</v>
      </c>
      <c r="AE189" s="1487">
        <v>0</v>
      </c>
      <c r="AF189" s="1145">
        <f t="shared" si="48"/>
        <v>5465.4268161738946</v>
      </c>
      <c r="AG189" s="1149">
        <f>IFERROR(VLOOKUP(CONCATENATE($L189,$N189),'Drop List'!$G$23:$K$87,2,FALSE),0)</f>
        <v>0.69340000000000002</v>
      </c>
      <c r="AH189" s="1150">
        <f>IFERROR(VLOOKUP(CONCATENATE($L189,$N189),'Drop List'!$G$23:$K$87,3,FALSE),0)</f>
        <v>0.30659999999999998</v>
      </c>
      <c r="AI189" s="1150">
        <f>IFERROR(VLOOKUP(CONCATENATE($L189,$N189),'Drop List'!$G$23:$K$87,4,FALSE),0)</f>
        <v>0</v>
      </c>
      <c r="AJ189" s="1151">
        <f>IFERROR(VLOOKUP(CONCATENATE($L189,$N189),'Drop List'!$G$23:$K$87,5,FALSE),0)</f>
        <v>0</v>
      </c>
      <c r="AK189" s="1152">
        <f t="shared" si="49"/>
        <v>3789.7269543349785</v>
      </c>
      <c r="AL189" s="1153">
        <f t="shared" si="50"/>
        <v>1675.6998618389159</v>
      </c>
      <c r="AM189" s="1153">
        <f t="shared" si="51"/>
        <v>0</v>
      </c>
      <c r="AN189" s="1145">
        <f t="shared" si="52"/>
        <v>0</v>
      </c>
      <c r="AO189" s="1154">
        <f t="shared" si="53"/>
        <v>5465.4268161738946</v>
      </c>
      <c r="AP189" s="1147">
        <f t="shared" si="39"/>
        <v>0</v>
      </c>
      <c r="AQ189" s="1144">
        <f t="shared" si="40"/>
        <v>0</v>
      </c>
      <c r="AR189" s="1146">
        <f t="shared" si="41"/>
        <v>5465.4268161738946</v>
      </c>
    </row>
    <row r="190" spans="1:44" x14ac:dyDescent="0.2">
      <c r="A190" s="1141" t="str">
        <f t="shared" si="36"/>
        <v>1504</v>
      </c>
      <c r="B190" s="1141" t="str">
        <f>IFERROR(VLOOKUP(A190,'LAC 103'!A:C,3,FALSE),"")</f>
        <v>OP</v>
      </c>
      <c r="C190" s="1478" t="str">
        <f>Info!$B$8</f>
        <v>00100</v>
      </c>
      <c r="D190" s="1474" t="s">
        <v>256</v>
      </c>
      <c r="E190" s="1474" t="s">
        <v>95</v>
      </c>
      <c r="F190" s="1478" t="s">
        <v>588</v>
      </c>
      <c r="G190" s="1478" t="s">
        <v>588</v>
      </c>
      <c r="H190" s="1474" t="s">
        <v>1653</v>
      </c>
      <c r="I190" s="1478" t="s">
        <v>913</v>
      </c>
      <c r="J190" s="1478"/>
      <c r="K190" s="1475" t="s">
        <v>848</v>
      </c>
      <c r="L190" s="1474" t="s">
        <v>45</v>
      </c>
      <c r="M190" s="1476" t="s">
        <v>1698</v>
      </c>
      <c r="N190" s="1477" t="s">
        <v>1693</v>
      </c>
      <c r="O190" s="1479">
        <v>2562</v>
      </c>
      <c r="P190" s="1479"/>
      <c r="Q190" s="1142">
        <f t="shared" si="37"/>
        <v>2562</v>
      </c>
      <c r="R190" s="1143">
        <f>IFERROR(VLOOKUP(CONCATENATE(E190,G190),'LAC 103'!$A$12:$O$95,11,FALSE),0)</f>
        <v>2.483156209074918</v>
      </c>
      <c r="S190" s="1144">
        <f>IFERROR(VLOOKUP(CONCATENATE($E190,$G190),'LAC 103'!$A$12:$O$95,12,FALSE),0)</f>
        <v>3.07</v>
      </c>
      <c r="T190" s="1144">
        <f>IFERROR(VLOOKUP(CONCATENATE($E190,$G190),'LAC 103'!$A$12:$O$95,13,FALSE),0)</f>
        <v>1.92</v>
      </c>
      <c r="U190" s="1144">
        <f>IFERROR(VLOOKUP(CONCATENATE($E190,$G190),'LAC 103'!$A$12:$O$95,14,FALSE),0)</f>
        <v>0</v>
      </c>
      <c r="V190" s="1144">
        <f>IFERROR(VLOOKUP(CONCATENATE($E190,$G190),'LAC 103'!$A$12:$O$95,15,FALSE),0)</f>
        <v>0</v>
      </c>
      <c r="W190" s="1145" t="str">
        <f>IFERROR(VLOOKUP(CONCATENATE($B190,$N190),'LAC 103'!$AI:$AQ,9,FALSE),"")</f>
        <v>Costs</v>
      </c>
      <c r="X190" s="1146">
        <f t="shared" si="42"/>
        <v>2.483156209074918</v>
      </c>
      <c r="Y190" s="1143">
        <f t="shared" si="43"/>
        <v>6361.84620764994</v>
      </c>
      <c r="Z190" s="1147">
        <f t="shared" si="44"/>
        <v>7865.3399999999992</v>
      </c>
      <c r="AA190" s="1144">
        <f t="shared" si="45"/>
        <v>4919.04</v>
      </c>
      <c r="AB190" s="1144">
        <f t="shared" si="46"/>
        <v>0</v>
      </c>
      <c r="AC190" s="1144">
        <f t="shared" si="47"/>
        <v>0</v>
      </c>
      <c r="AD190" s="1148">
        <f t="shared" si="38"/>
        <v>6361.84620764994</v>
      </c>
      <c r="AE190" s="1487">
        <v>0</v>
      </c>
      <c r="AF190" s="1145">
        <f t="shared" si="48"/>
        <v>6361.84620764994</v>
      </c>
      <c r="AG190" s="1149">
        <f>IFERROR(VLOOKUP(CONCATENATE($L190,$N190),'Drop List'!$G$23:$K$87,2,FALSE),0)</f>
        <v>0.69340000000000002</v>
      </c>
      <c r="AH190" s="1150">
        <f>IFERROR(VLOOKUP(CONCATENATE($L190,$N190),'Drop List'!$G$23:$K$87,3,FALSE),0)</f>
        <v>0.30659999999999998</v>
      </c>
      <c r="AI190" s="1150">
        <f>IFERROR(VLOOKUP(CONCATENATE($L190,$N190),'Drop List'!$G$23:$K$87,4,FALSE),0)</f>
        <v>0</v>
      </c>
      <c r="AJ190" s="1151">
        <f>IFERROR(VLOOKUP(CONCATENATE($L190,$N190),'Drop List'!$G$23:$K$87,5,FALSE),0)</f>
        <v>0</v>
      </c>
      <c r="AK190" s="1152">
        <f t="shared" si="49"/>
        <v>4411.3041603844686</v>
      </c>
      <c r="AL190" s="1153">
        <f t="shared" si="50"/>
        <v>1950.5420472654714</v>
      </c>
      <c r="AM190" s="1153">
        <f t="shared" si="51"/>
        <v>0</v>
      </c>
      <c r="AN190" s="1145">
        <f t="shared" si="52"/>
        <v>0</v>
      </c>
      <c r="AO190" s="1154">
        <f t="shared" si="53"/>
        <v>6361.84620764994</v>
      </c>
      <c r="AP190" s="1147">
        <f t="shared" si="39"/>
        <v>0</v>
      </c>
      <c r="AQ190" s="1144">
        <f t="shared" si="40"/>
        <v>0</v>
      </c>
      <c r="AR190" s="1146">
        <f t="shared" si="41"/>
        <v>6361.84620764994</v>
      </c>
    </row>
    <row r="191" spans="1:44" x14ac:dyDescent="0.2">
      <c r="A191" s="1141" t="str">
        <f t="shared" si="36"/>
        <v>1504</v>
      </c>
      <c r="B191" s="1141" t="str">
        <f>IFERROR(VLOOKUP(A191,'LAC 103'!A:C,3,FALSE),"")</f>
        <v>OP</v>
      </c>
      <c r="C191" s="1478" t="str">
        <f>Info!$B$8</f>
        <v>00100</v>
      </c>
      <c r="D191" s="1474" t="s">
        <v>256</v>
      </c>
      <c r="E191" s="1474" t="s">
        <v>95</v>
      </c>
      <c r="F191" s="1478" t="s">
        <v>588</v>
      </c>
      <c r="G191" s="1478" t="s">
        <v>588</v>
      </c>
      <c r="H191" s="1474" t="s">
        <v>1653</v>
      </c>
      <c r="I191" s="1478" t="s">
        <v>913</v>
      </c>
      <c r="J191" s="1478"/>
      <c r="K191" s="1475" t="s">
        <v>971</v>
      </c>
      <c r="L191" s="1474" t="s">
        <v>332</v>
      </c>
      <c r="M191" s="1476" t="s">
        <v>1698</v>
      </c>
      <c r="N191" s="1477" t="s">
        <v>1693</v>
      </c>
      <c r="O191" s="1479">
        <v>108</v>
      </c>
      <c r="P191" s="1479"/>
      <c r="Q191" s="1142">
        <f t="shared" si="37"/>
        <v>108</v>
      </c>
      <c r="R191" s="1143">
        <f>IFERROR(VLOOKUP(CONCATENATE(E191,G191),'LAC 103'!$A$12:$O$95,11,FALSE),0)</f>
        <v>2.483156209074918</v>
      </c>
      <c r="S191" s="1144">
        <f>IFERROR(VLOOKUP(CONCATENATE($E191,$G191),'LAC 103'!$A$12:$O$95,12,FALSE),0)</f>
        <v>3.07</v>
      </c>
      <c r="T191" s="1144">
        <f>IFERROR(VLOOKUP(CONCATENATE($E191,$G191),'LAC 103'!$A$12:$O$95,13,FALSE),0)</f>
        <v>1.92</v>
      </c>
      <c r="U191" s="1144">
        <f>IFERROR(VLOOKUP(CONCATENATE($E191,$G191),'LAC 103'!$A$12:$O$95,14,FALSE),0)</f>
        <v>0</v>
      </c>
      <c r="V191" s="1144">
        <f>IFERROR(VLOOKUP(CONCATENATE($E191,$G191),'LAC 103'!$A$12:$O$95,15,FALSE),0)</f>
        <v>0</v>
      </c>
      <c r="W191" s="1145" t="str">
        <f>IFERROR(VLOOKUP(CONCATENATE($B191,$N191),'LAC 103'!$AI:$AQ,9,FALSE),"")</f>
        <v>Costs</v>
      </c>
      <c r="X191" s="1146">
        <f t="shared" si="42"/>
        <v>2.483156209074918</v>
      </c>
      <c r="Y191" s="1143">
        <f t="shared" si="43"/>
        <v>268.18087058009115</v>
      </c>
      <c r="Z191" s="1147">
        <f t="shared" si="44"/>
        <v>331.56</v>
      </c>
      <c r="AA191" s="1144">
        <f t="shared" si="45"/>
        <v>207.35999999999999</v>
      </c>
      <c r="AB191" s="1144">
        <f t="shared" si="46"/>
        <v>0</v>
      </c>
      <c r="AC191" s="1144">
        <f t="shared" si="47"/>
        <v>0</v>
      </c>
      <c r="AD191" s="1148">
        <f t="shared" si="38"/>
        <v>268.18087058009115</v>
      </c>
      <c r="AE191" s="1487">
        <v>0</v>
      </c>
      <c r="AF191" s="1145">
        <f t="shared" si="48"/>
        <v>268.18087058009115</v>
      </c>
      <c r="AG191" s="1149">
        <f>IFERROR(VLOOKUP(CONCATENATE($L191,$N191),'Drop List'!$G$23:$K$87,2,FALSE),0)</f>
        <v>0</v>
      </c>
      <c r="AH191" s="1150">
        <f>IFERROR(VLOOKUP(CONCATENATE($L191,$N191),'Drop List'!$G$23:$K$87,3,FALSE),0)</f>
        <v>0</v>
      </c>
      <c r="AI191" s="1150">
        <f>IFERROR(VLOOKUP(CONCATENATE($L191,$N191),'Drop List'!$G$23:$K$87,4,FALSE),0)</f>
        <v>0</v>
      </c>
      <c r="AJ191" s="1151">
        <f>IFERROR(VLOOKUP(CONCATENATE($L191,$N191),'Drop List'!$G$23:$K$87,5,FALSE),0)</f>
        <v>0</v>
      </c>
      <c r="AK191" s="1152">
        <f t="shared" si="49"/>
        <v>0</v>
      </c>
      <c r="AL191" s="1153">
        <f t="shared" si="50"/>
        <v>0</v>
      </c>
      <c r="AM191" s="1153">
        <f t="shared" si="51"/>
        <v>0</v>
      </c>
      <c r="AN191" s="1145">
        <f t="shared" si="52"/>
        <v>0</v>
      </c>
      <c r="AO191" s="1154">
        <f t="shared" si="53"/>
        <v>0</v>
      </c>
      <c r="AP191" s="1147">
        <f t="shared" si="39"/>
        <v>268.18087058009115</v>
      </c>
      <c r="AQ191" s="1144">
        <f t="shared" si="40"/>
        <v>0</v>
      </c>
      <c r="AR191" s="1146">
        <f t="shared" si="41"/>
        <v>268.18087058009115</v>
      </c>
    </row>
    <row r="192" spans="1:44" x14ac:dyDescent="0.2">
      <c r="A192" s="1141" t="str">
        <f t="shared" si="36"/>
        <v>1504</v>
      </c>
      <c r="B192" s="1141" t="str">
        <f>IFERROR(VLOOKUP(A192,'LAC 103'!A:C,3,FALSE),"")</f>
        <v>OP</v>
      </c>
      <c r="C192" s="1478" t="str">
        <f>Info!$B$8</f>
        <v>00100</v>
      </c>
      <c r="D192" s="1474" t="s">
        <v>256</v>
      </c>
      <c r="E192" s="1474" t="s">
        <v>95</v>
      </c>
      <c r="F192" s="1478" t="s">
        <v>588</v>
      </c>
      <c r="G192" s="1478" t="s">
        <v>588</v>
      </c>
      <c r="H192" s="1474" t="s">
        <v>1656</v>
      </c>
      <c r="I192" s="1478" t="s">
        <v>809</v>
      </c>
      <c r="J192" s="1478" t="s">
        <v>123</v>
      </c>
      <c r="K192" s="1475" t="s">
        <v>1654</v>
      </c>
      <c r="L192" s="1474" t="s">
        <v>332</v>
      </c>
      <c r="M192" s="1476" t="s">
        <v>840</v>
      </c>
      <c r="N192" s="1477" t="s">
        <v>1700</v>
      </c>
      <c r="O192" s="1479">
        <v>45</v>
      </c>
      <c r="P192" s="1479"/>
      <c r="Q192" s="1142">
        <f t="shared" si="37"/>
        <v>45</v>
      </c>
      <c r="R192" s="1143">
        <f>IFERROR(VLOOKUP(CONCATENATE(E192,G192),'LAC 103'!$A$12:$O$95,11,FALSE),0)</f>
        <v>2.483156209074918</v>
      </c>
      <c r="S192" s="1144">
        <f>IFERROR(VLOOKUP(CONCATENATE($E192,$G192),'LAC 103'!$A$12:$O$95,12,FALSE),0)</f>
        <v>3.07</v>
      </c>
      <c r="T192" s="1144">
        <f>IFERROR(VLOOKUP(CONCATENATE($E192,$G192),'LAC 103'!$A$12:$O$95,13,FALSE),0)</f>
        <v>1.92</v>
      </c>
      <c r="U192" s="1144">
        <f>IFERROR(VLOOKUP(CONCATENATE($E192,$G192),'LAC 103'!$A$12:$O$95,14,FALSE),0)</f>
        <v>0</v>
      </c>
      <c r="V192" s="1144">
        <f>IFERROR(VLOOKUP(CONCATENATE($E192,$G192),'LAC 103'!$A$12:$O$95,15,FALSE),0)</f>
        <v>0</v>
      </c>
      <c r="W192" s="1145" t="str">
        <f>IFERROR(VLOOKUP(CONCATENATE($B192,$N192),'LAC 103'!$AI:$AQ,9,FALSE),"")</f>
        <v>P.C.</v>
      </c>
      <c r="X192" s="1146">
        <f t="shared" si="42"/>
        <v>1.92</v>
      </c>
      <c r="Y192" s="1143">
        <f t="shared" si="43"/>
        <v>111.74202940837131</v>
      </c>
      <c r="Z192" s="1147">
        <f t="shared" si="44"/>
        <v>138.15</v>
      </c>
      <c r="AA192" s="1144">
        <f t="shared" si="45"/>
        <v>86.399999999999991</v>
      </c>
      <c r="AB192" s="1144">
        <f t="shared" si="46"/>
        <v>0</v>
      </c>
      <c r="AC192" s="1144">
        <f t="shared" si="47"/>
        <v>0</v>
      </c>
      <c r="AD192" s="1148">
        <f t="shared" si="38"/>
        <v>86.399999999999991</v>
      </c>
      <c r="AE192" s="1487">
        <v>0</v>
      </c>
      <c r="AF192" s="1145">
        <f t="shared" si="48"/>
        <v>86.399999999999991</v>
      </c>
      <c r="AG192" s="1149">
        <f>IFERROR(VLOOKUP(CONCATENATE($L192,$N192),'Drop List'!$G$23:$K$87,2,FALSE),0)</f>
        <v>0</v>
      </c>
      <c r="AH192" s="1150">
        <f>IFERROR(VLOOKUP(CONCATENATE($L192,$N192),'Drop List'!$G$23:$K$87,3,FALSE),0)</f>
        <v>0</v>
      </c>
      <c r="AI192" s="1150">
        <f>IFERROR(VLOOKUP(CONCATENATE($L192,$N192),'Drop List'!$G$23:$K$87,4,FALSE),0)</f>
        <v>0</v>
      </c>
      <c r="AJ192" s="1151">
        <f>IFERROR(VLOOKUP(CONCATENATE($L192,$N192),'Drop List'!$G$23:$K$87,5,FALSE),0)</f>
        <v>0</v>
      </c>
      <c r="AK192" s="1152">
        <f t="shared" si="49"/>
        <v>0</v>
      </c>
      <c r="AL192" s="1153">
        <f t="shared" si="50"/>
        <v>0</v>
      </c>
      <c r="AM192" s="1153">
        <f t="shared" si="51"/>
        <v>0</v>
      </c>
      <c r="AN192" s="1145">
        <f t="shared" si="52"/>
        <v>0</v>
      </c>
      <c r="AO192" s="1154">
        <f t="shared" si="53"/>
        <v>0</v>
      </c>
      <c r="AP192" s="1147">
        <f t="shared" si="39"/>
        <v>86.399999999999991</v>
      </c>
      <c r="AQ192" s="1144">
        <f t="shared" si="40"/>
        <v>0</v>
      </c>
      <c r="AR192" s="1146">
        <f t="shared" si="41"/>
        <v>86.399999999999991</v>
      </c>
    </row>
    <row r="193" spans="1:44" x14ac:dyDescent="0.2">
      <c r="A193" s="1141" t="str">
        <f t="shared" si="36"/>
        <v>1504</v>
      </c>
      <c r="B193" s="1141" t="str">
        <f>IFERROR(VLOOKUP(A193,'LAC 103'!A:C,3,FALSE),"")</f>
        <v>OP</v>
      </c>
      <c r="C193" s="1478" t="str">
        <f>Info!$B$8</f>
        <v>00100</v>
      </c>
      <c r="D193" s="1474" t="s">
        <v>256</v>
      </c>
      <c r="E193" s="1474" t="s">
        <v>95</v>
      </c>
      <c r="F193" s="1478" t="s">
        <v>588</v>
      </c>
      <c r="G193" s="1478" t="s">
        <v>588</v>
      </c>
      <c r="H193" s="1474" t="s">
        <v>1656</v>
      </c>
      <c r="I193" s="1478" t="s">
        <v>809</v>
      </c>
      <c r="J193" s="1478"/>
      <c r="K193" s="1475" t="s">
        <v>847</v>
      </c>
      <c r="L193" s="1474" t="s">
        <v>582</v>
      </c>
      <c r="M193" s="1476" t="s">
        <v>1699</v>
      </c>
      <c r="N193" s="1477" t="s">
        <v>1694</v>
      </c>
      <c r="O193" s="1479">
        <v>1741</v>
      </c>
      <c r="P193" s="1479"/>
      <c r="Q193" s="1142">
        <f t="shared" si="37"/>
        <v>1741</v>
      </c>
      <c r="R193" s="1143">
        <f>IFERROR(VLOOKUP(CONCATENATE(E193,G193),'LAC 103'!$A$12:$O$95,11,FALSE),0)</f>
        <v>2.483156209074918</v>
      </c>
      <c r="S193" s="1144">
        <f>IFERROR(VLOOKUP(CONCATENATE($E193,$G193),'LAC 103'!$A$12:$O$95,12,FALSE),0)</f>
        <v>3.07</v>
      </c>
      <c r="T193" s="1144">
        <f>IFERROR(VLOOKUP(CONCATENATE($E193,$G193),'LAC 103'!$A$12:$O$95,13,FALSE),0)</f>
        <v>1.92</v>
      </c>
      <c r="U193" s="1144">
        <f>IFERROR(VLOOKUP(CONCATENATE($E193,$G193),'LAC 103'!$A$12:$O$95,14,FALSE),0)</f>
        <v>0</v>
      </c>
      <c r="V193" s="1144">
        <f>IFERROR(VLOOKUP(CONCATENATE($E193,$G193),'LAC 103'!$A$12:$O$95,15,FALSE),0)</f>
        <v>0</v>
      </c>
      <c r="W193" s="1145" t="str">
        <f>IFERROR(VLOOKUP(CONCATENATE($B193,$N193),'LAC 103'!$AI:$AQ,9,FALSE),"")</f>
        <v>Costs</v>
      </c>
      <c r="X193" s="1146">
        <f t="shared" si="42"/>
        <v>2.483156209074918</v>
      </c>
      <c r="Y193" s="1143">
        <f t="shared" si="43"/>
        <v>4323.1749599994318</v>
      </c>
      <c r="Z193" s="1147">
        <f t="shared" si="44"/>
        <v>5344.87</v>
      </c>
      <c r="AA193" s="1144">
        <f t="shared" si="45"/>
        <v>3342.72</v>
      </c>
      <c r="AB193" s="1144">
        <f t="shared" si="46"/>
        <v>0</v>
      </c>
      <c r="AC193" s="1144">
        <f t="shared" si="47"/>
        <v>0</v>
      </c>
      <c r="AD193" s="1148">
        <f t="shared" si="38"/>
        <v>4323.1749599994318</v>
      </c>
      <c r="AE193" s="1487">
        <v>0</v>
      </c>
      <c r="AF193" s="1145">
        <f t="shared" si="48"/>
        <v>4323.1749599994318</v>
      </c>
      <c r="AG193" s="1149">
        <f>IFERROR(VLOOKUP(CONCATENATE($L193,$N193),'Drop List'!$G$23:$K$87,2,FALSE),0)</f>
        <v>0.56200000000000006</v>
      </c>
      <c r="AH193" s="1150">
        <f>IFERROR(VLOOKUP(CONCATENATE($L193,$N193),'Drop List'!$G$23:$K$87,3,FALSE),0)</f>
        <v>0.43799999999999994</v>
      </c>
      <c r="AI193" s="1150">
        <f>IFERROR(VLOOKUP(CONCATENATE($L193,$N193),'Drop List'!$G$23:$K$87,4,FALSE),0)</f>
        <v>0</v>
      </c>
      <c r="AJ193" s="1151">
        <f>IFERROR(VLOOKUP(CONCATENATE($L193,$N193),'Drop List'!$G$23:$K$87,5,FALSE),0)</f>
        <v>0</v>
      </c>
      <c r="AK193" s="1152">
        <f t="shared" si="49"/>
        <v>2429.6243275196807</v>
      </c>
      <c r="AL193" s="1153">
        <f t="shared" si="50"/>
        <v>1893.5506324797509</v>
      </c>
      <c r="AM193" s="1153">
        <f t="shared" si="51"/>
        <v>0</v>
      </c>
      <c r="AN193" s="1145">
        <f t="shared" si="52"/>
        <v>0</v>
      </c>
      <c r="AO193" s="1154">
        <f t="shared" si="53"/>
        <v>4323.1749599994318</v>
      </c>
      <c r="AP193" s="1147">
        <f t="shared" si="39"/>
        <v>0</v>
      </c>
      <c r="AQ193" s="1144">
        <f t="shared" si="40"/>
        <v>0</v>
      </c>
      <c r="AR193" s="1146">
        <f t="shared" si="41"/>
        <v>4323.1749599994318</v>
      </c>
    </row>
    <row r="194" spans="1:44" x14ac:dyDescent="0.2">
      <c r="A194" s="1141" t="str">
        <f t="shared" si="36"/>
        <v>1504</v>
      </c>
      <c r="B194" s="1141" t="str">
        <f>IFERROR(VLOOKUP(A194,'LAC 103'!A:C,3,FALSE),"")</f>
        <v>OP</v>
      </c>
      <c r="C194" s="1478" t="str">
        <f>Info!$B$8</f>
        <v>00100</v>
      </c>
      <c r="D194" s="1474" t="s">
        <v>256</v>
      </c>
      <c r="E194" s="1474" t="s">
        <v>95</v>
      </c>
      <c r="F194" s="1478" t="s">
        <v>588</v>
      </c>
      <c r="G194" s="1478" t="s">
        <v>588</v>
      </c>
      <c r="H194" s="1474" t="s">
        <v>1656</v>
      </c>
      <c r="I194" s="1478" t="s">
        <v>809</v>
      </c>
      <c r="J194" s="1478"/>
      <c r="K194" s="1475" t="s">
        <v>847</v>
      </c>
      <c r="L194" s="1474" t="s">
        <v>582</v>
      </c>
      <c r="M194" s="1476" t="s">
        <v>841</v>
      </c>
      <c r="N194" s="1477" t="s">
        <v>1695</v>
      </c>
      <c r="O194" s="1479">
        <v>834</v>
      </c>
      <c r="P194" s="1479"/>
      <c r="Q194" s="1142">
        <f t="shared" si="37"/>
        <v>834</v>
      </c>
      <c r="R194" s="1143">
        <f>IFERROR(VLOOKUP(CONCATENATE(E194,G194),'LAC 103'!$A$12:$O$95,11,FALSE),0)</f>
        <v>2.483156209074918</v>
      </c>
      <c r="S194" s="1144">
        <f>IFERROR(VLOOKUP(CONCATENATE($E194,$G194),'LAC 103'!$A$12:$O$95,12,FALSE),0)</f>
        <v>3.07</v>
      </c>
      <c r="T194" s="1144">
        <f>IFERROR(VLOOKUP(CONCATENATE($E194,$G194),'LAC 103'!$A$12:$O$95,13,FALSE),0)</f>
        <v>1.92</v>
      </c>
      <c r="U194" s="1144">
        <f>IFERROR(VLOOKUP(CONCATENATE($E194,$G194),'LAC 103'!$A$12:$O$95,14,FALSE),0)</f>
        <v>0</v>
      </c>
      <c r="V194" s="1144">
        <f>IFERROR(VLOOKUP(CONCATENATE($E194,$G194),'LAC 103'!$A$12:$O$95,15,FALSE),0)</f>
        <v>0</v>
      </c>
      <c r="W194" s="1145" t="str">
        <f>IFERROR(VLOOKUP(CONCATENATE($B194,$N194),'LAC 103'!$AI:$AQ,9,FALSE),"")</f>
        <v>Costs</v>
      </c>
      <c r="X194" s="1146">
        <f t="shared" si="42"/>
        <v>2.483156209074918</v>
      </c>
      <c r="Y194" s="1143">
        <f t="shared" si="43"/>
        <v>2070.9522783684815</v>
      </c>
      <c r="Z194" s="1147">
        <f t="shared" si="44"/>
        <v>2560.3799999999997</v>
      </c>
      <c r="AA194" s="1144">
        <f t="shared" si="45"/>
        <v>1601.28</v>
      </c>
      <c r="AB194" s="1144">
        <f t="shared" si="46"/>
        <v>0</v>
      </c>
      <c r="AC194" s="1144">
        <f t="shared" si="47"/>
        <v>0</v>
      </c>
      <c r="AD194" s="1148">
        <f t="shared" si="38"/>
        <v>2070.9522783684815</v>
      </c>
      <c r="AE194" s="1487">
        <v>0</v>
      </c>
      <c r="AF194" s="1145">
        <f t="shared" si="48"/>
        <v>2070.9522783684815</v>
      </c>
      <c r="AG194" s="1149">
        <f>IFERROR(VLOOKUP(CONCATENATE($L194,$N194),'Drop List'!$G$23:$K$87,2,FALSE),0)</f>
        <v>0.55000000000000004</v>
      </c>
      <c r="AH194" s="1150">
        <f>IFERROR(VLOOKUP(CONCATENATE($L194,$N194),'Drop List'!$G$23:$K$87,3,FALSE),0)</f>
        <v>0.44999999999999996</v>
      </c>
      <c r="AI194" s="1150">
        <f>IFERROR(VLOOKUP(CONCATENATE($L194,$N194),'Drop List'!$G$23:$K$87,4,FALSE),0)</f>
        <v>0</v>
      </c>
      <c r="AJ194" s="1151">
        <f>IFERROR(VLOOKUP(CONCATENATE($L194,$N194),'Drop List'!$G$23:$K$87,5,FALSE),0)</f>
        <v>0</v>
      </c>
      <c r="AK194" s="1152">
        <f t="shared" si="49"/>
        <v>1139.0237531026648</v>
      </c>
      <c r="AL194" s="1153">
        <f t="shared" si="50"/>
        <v>931.92852526581657</v>
      </c>
      <c r="AM194" s="1153">
        <f t="shared" si="51"/>
        <v>0</v>
      </c>
      <c r="AN194" s="1145">
        <f t="shared" si="52"/>
        <v>0</v>
      </c>
      <c r="AO194" s="1154">
        <f t="shared" si="53"/>
        <v>2070.9522783684815</v>
      </c>
      <c r="AP194" s="1147">
        <f t="shared" si="39"/>
        <v>0</v>
      </c>
      <c r="AQ194" s="1144">
        <f t="shared" si="40"/>
        <v>0</v>
      </c>
      <c r="AR194" s="1146">
        <f t="shared" si="41"/>
        <v>2070.9522783684815</v>
      </c>
    </row>
    <row r="195" spans="1:44" x14ac:dyDescent="0.2">
      <c r="A195" s="1141" t="str">
        <f t="shared" si="36"/>
        <v>1504</v>
      </c>
      <c r="B195" s="1141" t="str">
        <f>IFERROR(VLOOKUP(A195,'LAC 103'!A:C,3,FALSE),"")</f>
        <v>OP</v>
      </c>
      <c r="C195" s="1478" t="str">
        <f>Info!$B$8</f>
        <v>00100</v>
      </c>
      <c r="D195" s="1474" t="s">
        <v>256</v>
      </c>
      <c r="E195" s="1474" t="s">
        <v>95</v>
      </c>
      <c r="F195" s="1478" t="s">
        <v>588</v>
      </c>
      <c r="G195" s="1478" t="s">
        <v>588</v>
      </c>
      <c r="H195" s="1474" t="s">
        <v>1656</v>
      </c>
      <c r="I195" s="1478" t="s">
        <v>809</v>
      </c>
      <c r="J195" s="1478"/>
      <c r="K195" s="1475" t="s">
        <v>847</v>
      </c>
      <c r="L195" s="1474" t="s">
        <v>582</v>
      </c>
      <c r="M195" s="1476" t="s">
        <v>840</v>
      </c>
      <c r="N195" s="1477" t="s">
        <v>1700</v>
      </c>
      <c r="O195" s="1479">
        <v>2825</v>
      </c>
      <c r="P195" s="1479"/>
      <c r="Q195" s="1142">
        <f t="shared" si="37"/>
        <v>2825</v>
      </c>
      <c r="R195" s="1143">
        <f>IFERROR(VLOOKUP(CONCATENATE(E195,G195),'LAC 103'!$A$12:$O$95,11,FALSE),0)</f>
        <v>2.483156209074918</v>
      </c>
      <c r="S195" s="1144">
        <f>IFERROR(VLOOKUP(CONCATENATE($E195,$G195),'LAC 103'!$A$12:$O$95,12,FALSE),0)</f>
        <v>3.07</v>
      </c>
      <c r="T195" s="1144">
        <f>IFERROR(VLOOKUP(CONCATENATE($E195,$G195),'LAC 103'!$A$12:$O$95,13,FALSE),0)</f>
        <v>1.92</v>
      </c>
      <c r="U195" s="1144">
        <f>IFERROR(VLOOKUP(CONCATENATE($E195,$G195),'LAC 103'!$A$12:$O$95,14,FALSE),0)</f>
        <v>0</v>
      </c>
      <c r="V195" s="1144">
        <f>IFERROR(VLOOKUP(CONCATENATE($E195,$G195),'LAC 103'!$A$12:$O$95,15,FALSE),0)</f>
        <v>0</v>
      </c>
      <c r="W195" s="1145" t="str">
        <f>IFERROR(VLOOKUP(CONCATENATE($B195,$N195),'LAC 103'!$AI:$AQ,9,FALSE),"")</f>
        <v>P.C.</v>
      </c>
      <c r="X195" s="1146">
        <f t="shared" si="42"/>
        <v>1.92</v>
      </c>
      <c r="Y195" s="1143">
        <f t="shared" si="43"/>
        <v>7014.9162906366437</v>
      </c>
      <c r="Z195" s="1147">
        <f t="shared" si="44"/>
        <v>8672.75</v>
      </c>
      <c r="AA195" s="1144">
        <f t="shared" si="45"/>
        <v>5424</v>
      </c>
      <c r="AB195" s="1144">
        <f t="shared" si="46"/>
        <v>0</v>
      </c>
      <c r="AC195" s="1144">
        <f t="shared" si="47"/>
        <v>0</v>
      </c>
      <c r="AD195" s="1148">
        <f t="shared" si="38"/>
        <v>5424</v>
      </c>
      <c r="AE195" s="1487">
        <v>0</v>
      </c>
      <c r="AF195" s="1145">
        <f t="shared" si="48"/>
        <v>5424</v>
      </c>
      <c r="AG195" s="1149">
        <f>IFERROR(VLOOKUP(CONCATENATE($L195,$N195),'Drop List'!$G$23:$K$87,2,FALSE),0)</f>
        <v>0.55000000000000004</v>
      </c>
      <c r="AH195" s="1150">
        <f>IFERROR(VLOOKUP(CONCATENATE($L195,$N195),'Drop List'!$G$23:$K$87,3,FALSE),0)</f>
        <v>0.44999999999999996</v>
      </c>
      <c r="AI195" s="1150">
        <f>IFERROR(VLOOKUP(CONCATENATE($L195,$N195),'Drop List'!$G$23:$K$87,4,FALSE),0)</f>
        <v>0</v>
      </c>
      <c r="AJ195" s="1151">
        <f>IFERROR(VLOOKUP(CONCATENATE($L195,$N195),'Drop List'!$G$23:$K$87,5,FALSE),0)</f>
        <v>0</v>
      </c>
      <c r="AK195" s="1152">
        <f t="shared" si="49"/>
        <v>2983.2000000000003</v>
      </c>
      <c r="AL195" s="1153">
        <f t="shared" si="50"/>
        <v>2440.7999999999997</v>
      </c>
      <c r="AM195" s="1153">
        <f t="shared" si="51"/>
        <v>0</v>
      </c>
      <c r="AN195" s="1145">
        <f t="shared" si="52"/>
        <v>0</v>
      </c>
      <c r="AO195" s="1154">
        <f t="shared" si="53"/>
        <v>5424</v>
      </c>
      <c r="AP195" s="1147">
        <f t="shared" si="39"/>
        <v>0</v>
      </c>
      <c r="AQ195" s="1144">
        <f t="shared" si="40"/>
        <v>0</v>
      </c>
      <c r="AR195" s="1146">
        <f t="shared" si="41"/>
        <v>5424</v>
      </c>
    </row>
    <row r="196" spans="1:44" x14ac:dyDescent="0.2">
      <c r="A196" s="1141" t="str">
        <f t="shared" si="36"/>
        <v>1504</v>
      </c>
      <c r="B196" s="1141" t="str">
        <f>IFERROR(VLOOKUP(A196,'LAC 103'!A:C,3,FALSE),"")</f>
        <v>OP</v>
      </c>
      <c r="C196" s="1478" t="str">
        <f>Info!$B$8</f>
        <v>00100</v>
      </c>
      <c r="D196" s="1474" t="s">
        <v>256</v>
      </c>
      <c r="E196" s="1474" t="s">
        <v>95</v>
      </c>
      <c r="F196" s="1478" t="s">
        <v>588</v>
      </c>
      <c r="G196" s="1478" t="s">
        <v>588</v>
      </c>
      <c r="H196" s="1474" t="s">
        <v>1656</v>
      </c>
      <c r="I196" s="1478" t="s">
        <v>809</v>
      </c>
      <c r="J196" s="1478"/>
      <c r="K196" s="1475" t="s">
        <v>847</v>
      </c>
      <c r="L196" s="1474" t="s">
        <v>582</v>
      </c>
      <c r="M196" s="1476" t="s">
        <v>842</v>
      </c>
      <c r="N196" s="1477" t="s">
        <v>1692</v>
      </c>
      <c r="O196" s="1479">
        <v>2053</v>
      </c>
      <c r="P196" s="1479"/>
      <c r="Q196" s="1142">
        <f t="shared" si="37"/>
        <v>2053</v>
      </c>
      <c r="R196" s="1143">
        <f>IFERROR(VLOOKUP(CONCATENATE(E196,G196),'LAC 103'!$A$12:$O$95,11,FALSE),0)</f>
        <v>2.483156209074918</v>
      </c>
      <c r="S196" s="1144">
        <f>IFERROR(VLOOKUP(CONCATENATE($E196,$G196),'LAC 103'!$A$12:$O$95,12,FALSE),0)</f>
        <v>3.07</v>
      </c>
      <c r="T196" s="1144">
        <f>IFERROR(VLOOKUP(CONCATENATE($E196,$G196),'LAC 103'!$A$12:$O$95,13,FALSE),0)</f>
        <v>1.92</v>
      </c>
      <c r="U196" s="1144">
        <f>IFERROR(VLOOKUP(CONCATENATE($E196,$G196),'LAC 103'!$A$12:$O$95,14,FALSE),0)</f>
        <v>0</v>
      </c>
      <c r="V196" s="1144">
        <f>IFERROR(VLOOKUP(CONCATENATE($E196,$G196),'LAC 103'!$A$12:$O$95,15,FALSE),0)</f>
        <v>0</v>
      </c>
      <c r="W196" s="1145" t="str">
        <f>IFERROR(VLOOKUP(CONCATENATE($B196,$N196),'LAC 103'!$AI:$AQ,9,FALSE),"")</f>
        <v>Costs</v>
      </c>
      <c r="X196" s="1146">
        <f t="shared" si="42"/>
        <v>2.483156209074918</v>
      </c>
      <c r="Y196" s="1143">
        <f t="shared" si="43"/>
        <v>5097.9196972308064</v>
      </c>
      <c r="Z196" s="1147">
        <f t="shared" si="44"/>
        <v>6302.71</v>
      </c>
      <c r="AA196" s="1144">
        <f t="shared" si="45"/>
        <v>3941.7599999999998</v>
      </c>
      <c r="AB196" s="1144">
        <f t="shared" si="46"/>
        <v>0</v>
      </c>
      <c r="AC196" s="1144">
        <f t="shared" si="47"/>
        <v>0</v>
      </c>
      <c r="AD196" s="1148">
        <f t="shared" si="38"/>
        <v>5097.9196972308064</v>
      </c>
      <c r="AE196" s="1487">
        <v>0</v>
      </c>
      <c r="AF196" s="1145">
        <f t="shared" si="48"/>
        <v>5097.9196972308064</v>
      </c>
      <c r="AG196" s="1149">
        <f>IFERROR(VLOOKUP(CONCATENATE($L196,$N196),'Drop List'!$G$23:$K$87,2,FALSE),0)</f>
        <v>0.56200000000000006</v>
      </c>
      <c r="AH196" s="1150">
        <f>IFERROR(VLOOKUP(CONCATENATE($L196,$N196),'Drop List'!$G$23:$K$87,3,FALSE),0)</f>
        <v>0.43799999999999994</v>
      </c>
      <c r="AI196" s="1150">
        <f>IFERROR(VLOOKUP(CONCATENATE($L196,$N196),'Drop List'!$G$23:$K$87,4,FALSE),0)</f>
        <v>0</v>
      </c>
      <c r="AJ196" s="1151">
        <f>IFERROR(VLOOKUP(CONCATENATE($L196,$N196),'Drop List'!$G$23:$K$87,5,FALSE),0)</f>
        <v>0</v>
      </c>
      <c r="AK196" s="1152">
        <f t="shared" si="49"/>
        <v>2865.0308698437134</v>
      </c>
      <c r="AL196" s="1153">
        <f t="shared" si="50"/>
        <v>2232.888827387093</v>
      </c>
      <c r="AM196" s="1153">
        <f t="shared" si="51"/>
        <v>0</v>
      </c>
      <c r="AN196" s="1145">
        <f t="shared" si="52"/>
        <v>0</v>
      </c>
      <c r="AO196" s="1154">
        <f t="shared" si="53"/>
        <v>5097.9196972308064</v>
      </c>
      <c r="AP196" s="1147">
        <f t="shared" si="39"/>
        <v>0</v>
      </c>
      <c r="AQ196" s="1144">
        <f t="shared" si="40"/>
        <v>0</v>
      </c>
      <c r="AR196" s="1146">
        <f t="shared" si="41"/>
        <v>5097.9196972308064</v>
      </c>
    </row>
    <row r="197" spans="1:44" x14ac:dyDescent="0.2">
      <c r="A197" s="1141" t="str">
        <f t="shared" si="36"/>
        <v>1504</v>
      </c>
      <c r="B197" s="1141" t="str">
        <f>IFERROR(VLOOKUP(A197,'LAC 103'!A:C,3,FALSE),"")</f>
        <v>OP</v>
      </c>
      <c r="C197" s="1478" t="str">
        <f>Info!$B$8</f>
        <v>00100</v>
      </c>
      <c r="D197" s="1474" t="s">
        <v>256</v>
      </c>
      <c r="E197" s="1474" t="s">
        <v>95</v>
      </c>
      <c r="F197" s="1478" t="s">
        <v>588</v>
      </c>
      <c r="G197" s="1478" t="s">
        <v>588</v>
      </c>
      <c r="H197" s="1474" t="s">
        <v>1656</v>
      </c>
      <c r="I197" s="1478" t="s">
        <v>809</v>
      </c>
      <c r="J197" s="1478"/>
      <c r="K197" s="1475" t="s">
        <v>847</v>
      </c>
      <c r="L197" s="1474" t="s">
        <v>582</v>
      </c>
      <c r="M197" s="1476" t="s">
        <v>1698</v>
      </c>
      <c r="N197" s="1477" t="s">
        <v>1693</v>
      </c>
      <c r="O197" s="1479">
        <v>2865</v>
      </c>
      <c r="P197" s="1479"/>
      <c r="Q197" s="1142">
        <f t="shared" si="37"/>
        <v>2865</v>
      </c>
      <c r="R197" s="1143">
        <f>IFERROR(VLOOKUP(CONCATENATE(E197,G197),'LAC 103'!$A$12:$O$95,11,FALSE),0)</f>
        <v>2.483156209074918</v>
      </c>
      <c r="S197" s="1144">
        <f>IFERROR(VLOOKUP(CONCATENATE($E197,$G197),'LAC 103'!$A$12:$O$95,12,FALSE),0)</f>
        <v>3.07</v>
      </c>
      <c r="T197" s="1144">
        <f>IFERROR(VLOOKUP(CONCATENATE($E197,$G197),'LAC 103'!$A$12:$O$95,13,FALSE),0)</f>
        <v>1.92</v>
      </c>
      <c r="U197" s="1144">
        <f>IFERROR(VLOOKUP(CONCATENATE($E197,$G197),'LAC 103'!$A$12:$O$95,14,FALSE),0)</f>
        <v>0</v>
      </c>
      <c r="V197" s="1144">
        <f>IFERROR(VLOOKUP(CONCATENATE($E197,$G197),'LAC 103'!$A$12:$O$95,15,FALSE),0)</f>
        <v>0</v>
      </c>
      <c r="W197" s="1145" t="str">
        <f>IFERROR(VLOOKUP(CONCATENATE($B197,$N197),'LAC 103'!$AI:$AQ,9,FALSE),"")</f>
        <v>Costs</v>
      </c>
      <c r="X197" s="1146">
        <f t="shared" si="42"/>
        <v>2.483156209074918</v>
      </c>
      <c r="Y197" s="1143">
        <f t="shared" si="43"/>
        <v>7114.2425389996397</v>
      </c>
      <c r="Z197" s="1147">
        <f t="shared" si="44"/>
        <v>8795.5499999999993</v>
      </c>
      <c r="AA197" s="1144">
        <f t="shared" si="45"/>
        <v>5500.8</v>
      </c>
      <c r="AB197" s="1144">
        <f t="shared" si="46"/>
        <v>0</v>
      </c>
      <c r="AC197" s="1144">
        <f t="shared" si="47"/>
        <v>0</v>
      </c>
      <c r="AD197" s="1148">
        <f t="shared" si="38"/>
        <v>7114.2425389996397</v>
      </c>
      <c r="AE197" s="1487">
        <v>0</v>
      </c>
      <c r="AF197" s="1145">
        <f t="shared" si="48"/>
        <v>7114.2425389996397</v>
      </c>
      <c r="AG197" s="1149">
        <f>IFERROR(VLOOKUP(CONCATENATE($L197,$N197),'Drop List'!$G$23:$K$87,2,FALSE),0)</f>
        <v>0.56200000000000006</v>
      </c>
      <c r="AH197" s="1150">
        <f>IFERROR(VLOOKUP(CONCATENATE($L197,$N197),'Drop List'!$G$23:$K$87,3,FALSE),0)</f>
        <v>0.43799999999999994</v>
      </c>
      <c r="AI197" s="1150">
        <f>IFERROR(VLOOKUP(CONCATENATE($L197,$N197),'Drop List'!$G$23:$K$87,4,FALSE),0)</f>
        <v>0</v>
      </c>
      <c r="AJ197" s="1151">
        <f>IFERROR(VLOOKUP(CONCATENATE($L197,$N197),'Drop List'!$G$23:$K$87,5,FALSE),0)</f>
        <v>0</v>
      </c>
      <c r="AK197" s="1152">
        <f t="shared" si="49"/>
        <v>3998.204306917798</v>
      </c>
      <c r="AL197" s="1153">
        <f t="shared" si="50"/>
        <v>3116.0382320818417</v>
      </c>
      <c r="AM197" s="1153">
        <f t="shared" si="51"/>
        <v>0</v>
      </c>
      <c r="AN197" s="1145">
        <f t="shared" si="52"/>
        <v>0</v>
      </c>
      <c r="AO197" s="1154">
        <f t="shared" si="53"/>
        <v>7114.2425389996397</v>
      </c>
      <c r="AP197" s="1147">
        <f t="shared" si="39"/>
        <v>0</v>
      </c>
      <c r="AQ197" s="1144">
        <f t="shared" si="40"/>
        <v>0</v>
      </c>
      <c r="AR197" s="1146">
        <f t="shared" si="41"/>
        <v>7114.2425389996397</v>
      </c>
    </row>
    <row r="198" spans="1:44" x14ac:dyDescent="0.2">
      <c r="A198" s="1141" t="str">
        <f t="shared" ref="A198:A261" si="54">IF(CONCATENATE(E198,G198)="","",CONCATENATE(E198,G198))</f>
        <v>1504</v>
      </c>
      <c r="B198" s="1141" t="str">
        <f>IFERROR(VLOOKUP(A198,'LAC 103'!A:C,3,FALSE),"")</f>
        <v>OP</v>
      </c>
      <c r="C198" s="1478" t="str">
        <f>Info!$B$8</f>
        <v>00100</v>
      </c>
      <c r="D198" s="1474" t="s">
        <v>256</v>
      </c>
      <c r="E198" s="1474" t="s">
        <v>95</v>
      </c>
      <c r="F198" s="1478" t="s">
        <v>588</v>
      </c>
      <c r="G198" s="1478" t="s">
        <v>588</v>
      </c>
      <c r="H198" s="1474" t="s">
        <v>1656</v>
      </c>
      <c r="I198" s="1478" t="s">
        <v>809</v>
      </c>
      <c r="J198" s="1478"/>
      <c r="K198" s="1475" t="s">
        <v>852</v>
      </c>
      <c r="L198" s="1474" t="s">
        <v>591</v>
      </c>
      <c r="M198" s="1476" t="s">
        <v>1699</v>
      </c>
      <c r="N198" s="1477" t="s">
        <v>1694</v>
      </c>
      <c r="O198" s="1479">
        <v>41</v>
      </c>
      <c r="P198" s="1479"/>
      <c r="Q198" s="1142">
        <f t="shared" ref="Q198:Q261" si="55">O198+P198</f>
        <v>41</v>
      </c>
      <c r="R198" s="1143">
        <f>IFERROR(VLOOKUP(CONCATENATE(E198,G198),'LAC 103'!$A$12:$O$95,11,FALSE),0)</f>
        <v>2.483156209074918</v>
      </c>
      <c r="S198" s="1144">
        <f>IFERROR(VLOOKUP(CONCATENATE($E198,$G198),'LAC 103'!$A$12:$O$95,12,FALSE),0)</f>
        <v>3.07</v>
      </c>
      <c r="T198" s="1144">
        <f>IFERROR(VLOOKUP(CONCATENATE($E198,$G198),'LAC 103'!$A$12:$O$95,13,FALSE),0)</f>
        <v>1.92</v>
      </c>
      <c r="U198" s="1144">
        <f>IFERROR(VLOOKUP(CONCATENATE($E198,$G198),'LAC 103'!$A$12:$O$95,14,FALSE),0)</f>
        <v>0</v>
      </c>
      <c r="V198" s="1144">
        <f>IFERROR(VLOOKUP(CONCATENATE($E198,$G198),'LAC 103'!$A$12:$O$95,15,FALSE),0)</f>
        <v>0</v>
      </c>
      <c r="W198" s="1145" t="str">
        <f>IFERROR(VLOOKUP(CONCATENATE($B198,$N198),'LAC 103'!$AI:$AQ,9,FALSE),"")</f>
        <v>Costs</v>
      </c>
      <c r="X198" s="1146">
        <f t="shared" si="42"/>
        <v>2.483156209074918</v>
      </c>
      <c r="Y198" s="1143">
        <f t="shared" si="43"/>
        <v>101.80940457207164</v>
      </c>
      <c r="Z198" s="1147">
        <f t="shared" si="44"/>
        <v>125.86999999999999</v>
      </c>
      <c r="AA198" s="1144">
        <f t="shared" si="45"/>
        <v>78.72</v>
      </c>
      <c r="AB198" s="1144">
        <f t="shared" si="46"/>
        <v>0</v>
      </c>
      <c r="AC198" s="1144">
        <f t="shared" si="47"/>
        <v>0</v>
      </c>
      <c r="AD198" s="1148">
        <f t="shared" si="38"/>
        <v>101.80940457207164</v>
      </c>
      <c r="AE198" s="1487">
        <v>0</v>
      </c>
      <c r="AF198" s="1145">
        <f t="shared" si="48"/>
        <v>101.80940457207164</v>
      </c>
      <c r="AG198" s="1149">
        <f>IFERROR(VLOOKUP(CONCATENATE($L198,$N198),'Drop List'!$G$23:$K$87,2,FALSE),0)</f>
        <v>0.69340000000000002</v>
      </c>
      <c r="AH198" s="1150">
        <f>IFERROR(VLOOKUP(CONCATENATE($L198,$N198),'Drop List'!$G$23:$K$87,3,FALSE),0)</f>
        <v>0</v>
      </c>
      <c r="AI198" s="1150">
        <f>IFERROR(VLOOKUP(CONCATENATE($L198,$N198),'Drop List'!$G$23:$K$87,4,FALSE),0)</f>
        <v>0</v>
      </c>
      <c r="AJ198" s="1151">
        <f>IFERROR(VLOOKUP(CONCATENATE($L198,$N198),'Drop List'!$G$23:$K$87,5,FALSE),0)</f>
        <v>0.30659999999999998</v>
      </c>
      <c r="AK198" s="1152">
        <f t="shared" si="49"/>
        <v>70.594641130274482</v>
      </c>
      <c r="AL198" s="1153">
        <f t="shared" si="50"/>
        <v>0</v>
      </c>
      <c r="AM198" s="1153">
        <f t="shared" si="51"/>
        <v>0</v>
      </c>
      <c r="AN198" s="1145">
        <f t="shared" si="52"/>
        <v>31.214763441797164</v>
      </c>
      <c r="AO198" s="1154">
        <f t="shared" si="53"/>
        <v>101.80940457207164</v>
      </c>
      <c r="AP198" s="1147">
        <f t="shared" si="39"/>
        <v>0</v>
      </c>
      <c r="AQ198" s="1144">
        <f t="shared" si="40"/>
        <v>0</v>
      </c>
      <c r="AR198" s="1146">
        <f t="shared" si="41"/>
        <v>101.80940457207164</v>
      </c>
    </row>
    <row r="199" spans="1:44" x14ac:dyDescent="0.2">
      <c r="A199" s="1141" t="str">
        <f t="shared" si="54"/>
        <v>1504</v>
      </c>
      <c r="B199" s="1141" t="str">
        <f>IFERROR(VLOOKUP(A199,'LAC 103'!A:C,3,FALSE),"")</f>
        <v>OP</v>
      </c>
      <c r="C199" s="1478" t="str">
        <f>Info!$B$8</f>
        <v>00100</v>
      </c>
      <c r="D199" s="1474" t="s">
        <v>256</v>
      </c>
      <c r="E199" s="1474" t="s">
        <v>95</v>
      </c>
      <c r="F199" s="1478" t="s">
        <v>588</v>
      </c>
      <c r="G199" s="1478" t="s">
        <v>588</v>
      </c>
      <c r="H199" s="1474" t="s">
        <v>1656</v>
      </c>
      <c r="I199" s="1478" t="s">
        <v>809</v>
      </c>
      <c r="J199" s="1478"/>
      <c r="K199" s="1475" t="s">
        <v>848</v>
      </c>
      <c r="L199" s="1474" t="s">
        <v>45</v>
      </c>
      <c r="M199" s="1476" t="s">
        <v>1699</v>
      </c>
      <c r="N199" s="1477" t="s">
        <v>1694</v>
      </c>
      <c r="O199" s="1479">
        <v>850</v>
      </c>
      <c r="P199" s="1479"/>
      <c r="Q199" s="1142">
        <f t="shared" si="55"/>
        <v>850</v>
      </c>
      <c r="R199" s="1143">
        <f>IFERROR(VLOOKUP(CONCATENATE(E199,G199),'LAC 103'!$A$12:$O$95,11,FALSE),0)</f>
        <v>2.483156209074918</v>
      </c>
      <c r="S199" s="1144">
        <f>IFERROR(VLOOKUP(CONCATENATE($E199,$G199),'LAC 103'!$A$12:$O$95,12,FALSE),0)</f>
        <v>3.07</v>
      </c>
      <c r="T199" s="1144">
        <f>IFERROR(VLOOKUP(CONCATENATE($E199,$G199),'LAC 103'!$A$12:$O$95,13,FALSE),0)</f>
        <v>1.92</v>
      </c>
      <c r="U199" s="1144">
        <f>IFERROR(VLOOKUP(CONCATENATE($E199,$G199),'LAC 103'!$A$12:$O$95,14,FALSE),0)</f>
        <v>0</v>
      </c>
      <c r="V199" s="1144">
        <f>IFERROR(VLOOKUP(CONCATENATE($E199,$G199),'LAC 103'!$A$12:$O$95,15,FALSE),0)</f>
        <v>0</v>
      </c>
      <c r="W199" s="1145" t="str">
        <f>IFERROR(VLOOKUP(CONCATENATE($B199,$N199),'LAC 103'!$AI:$AQ,9,FALSE),"")</f>
        <v>Costs</v>
      </c>
      <c r="X199" s="1146">
        <f t="shared" si="42"/>
        <v>2.483156209074918</v>
      </c>
      <c r="Y199" s="1143">
        <f t="shared" si="43"/>
        <v>2110.6827777136805</v>
      </c>
      <c r="Z199" s="1147">
        <f t="shared" si="44"/>
        <v>2609.5</v>
      </c>
      <c r="AA199" s="1144">
        <f t="shared" si="45"/>
        <v>1632</v>
      </c>
      <c r="AB199" s="1144">
        <f t="shared" si="46"/>
        <v>0</v>
      </c>
      <c r="AC199" s="1144">
        <f t="shared" si="47"/>
        <v>0</v>
      </c>
      <c r="AD199" s="1148">
        <f t="shared" ref="AD199:AD262" si="56">Q199*X199</f>
        <v>2110.6827777136805</v>
      </c>
      <c r="AE199" s="1487">
        <v>0</v>
      </c>
      <c r="AF199" s="1145">
        <f t="shared" si="48"/>
        <v>2110.6827777136805</v>
      </c>
      <c r="AG199" s="1149">
        <f>IFERROR(VLOOKUP(CONCATENATE($L199,$N199),'Drop List'!$G$23:$K$87,2,FALSE),0)</f>
        <v>0.69340000000000002</v>
      </c>
      <c r="AH199" s="1150">
        <f>IFERROR(VLOOKUP(CONCATENATE($L199,$N199),'Drop List'!$G$23:$K$87,3,FALSE),0)</f>
        <v>0.30659999999999998</v>
      </c>
      <c r="AI199" s="1150">
        <f>IFERROR(VLOOKUP(CONCATENATE($L199,$N199),'Drop List'!$G$23:$K$87,4,FALSE),0)</f>
        <v>0</v>
      </c>
      <c r="AJ199" s="1151">
        <f>IFERROR(VLOOKUP(CONCATENATE($L199,$N199),'Drop List'!$G$23:$K$87,5,FALSE),0)</f>
        <v>0</v>
      </c>
      <c r="AK199" s="1152">
        <f t="shared" si="49"/>
        <v>1463.547438066666</v>
      </c>
      <c r="AL199" s="1153">
        <f t="shared" si="50"/>
        <v>647.13533964701435</v>
      </c>
      <c r="AM199" s="1153">
        <f t="shared" si="51"/>
        <v>0</v>
      </c>
      <c r="AN199" s="1145">
        <f t="shared" si="52"/>
        <v>0</v>
      </c>
      <c r="AO199" s="1154">
        <f t="shared" si="53"/>
        <v>2110.6827777136805</v>
      </c>
      <c r="AP199" s="1147">
        <f t="shared" ref="AP199:AP262" si="57">IF($L199="14",$AF199,0)</f>
        <v>0</v>
      </c>
      <c r="AQ199" s="1144">
        <f t="shared" ref="AQ199:AQ262" si="58">IF($L199="15",$AF199,0)</f>
        <v>0</v>
      </c>
      <c r="AR199" s="1146">
        <f t="shared" ref="AR199:AR262" si="59">AO199+AP199+AQ199</f>
        <v>2110.6827777136805</v>
      </c>
    </row>
    <row r="200" spans="1:44" x14ac:dyDescent="0.2">
      <c r="A200" s="1141" t="str">
        <f t="shared" si="54"/>
        <v>1504</v>
      </c>
      <c r="B200" s="1141" t="str">
        <f>IFERROR(VLOOKUP(A200,'LAC 103'!A:C,3,FALSE),"")</f>
        <v>OP</v>
      </c>
      <c r="C200" s="1478" t="str">
        <f>Info!$B$8</f>
        <v>00100</v>
      </c>
      <c r="D200" s="1474" t="s">
        <v>256</v>
      </c>
      <c r="E200" s="1474" t="s">
        <v>95</v>
      </c>
      <c r="F200" s="1478" t="s">
        <v>588</v>
      </c>
      <c r="G200" s="1478" t="s">
        <v>588</v>
      </c>
      <c r="H200" s="1474" t="s">
        <v>1656</v>
      </c>
      <c r="I200" s="1478" t="s">
        <v>809</v>
      </c>
      <c r="J200" s="1478"/>
      <c r="K200" s="1475" t="s">
        <v>848</v>
      </c>
      <c r="L200" s="1474" t="s">
        <v>45</v>
      </c>
      <c r="M200" s="1476" t="s">
        <v>841</v>
      </c>
      <c r="N200" s="1477" t="s">
        <v>1695</v>
      </c>
      <c r="O200" s="1479">
        <v>520</v>
      </c>
      <c r="P200" s="1479"/>
      <c r="Q200" s="1142">
        <f t="shared" si="55"/>
        <v>520</v>
      </c>
      <c r="R200" s="1143">
        <f>IFERROR(VLOOKUP(CONCATENATE(E200,G200),'LAC 103'!$A$12:$O$95,11,FALSE),0)</f>
        <v>2.483156209074918</v>
      </c>
      <c r="S200" s="1144">
        <f>IFERROR(VLOOKUP(CONCATENATE($E200,$G200),'LAC 103'!$A$12:$O$95,12,FALSE),0)</f>
        <v>3.07</v>
      </c>
      <c r="T200" s="1144">
        <f>IFERROR(VLOOKUP(CONCATENATE($E200,$G200),'LAC 103'!$A$12:$O$95,13,FALSE),0)</f>
        <v>1.92</v>
      </c>
      <c r="U200" s="1144">
        <f>IFERROR(VLOOKUP(CONCATENATE($E200,$G200),'LAC 103'!$A$12:$O$95,14,FALSE),0)</f>
        <v>0</v>
      </c>
      <c r="V200" s="1144">
        <f>IFERROR(VLOOKUP(CONCATENATE($E200,$G200),'LAC 103'!$A$12:$O$95,15,FALSE),0)</f>
        <v>0</v>
      </c>
      <c r="W200" s="1145" t="str">
        <f>IFERROR(VLOOKUP(CONCATENATE($B200,$N200),'LAC 103'!$AI:$AQ,9,FALSE),"")</f>
        <v>Costs</v>
      </c>
      <c r="X200" s="1146">
        <f t="shared" ref="X200:X263" si="60">IF($W200="Costs",$R200,IF($W200="CMA",$S200,IF($W200="P.C.",$T200,IF($W200="SMA",$U200,$V200))))</f>
        <v>2.483156209074918</v>
      </c>
      <c r="Y200" s="1143">
        <f t="shared" ref="Y200:Y263" si="61">$Q200*R200</f>
        <v>1291.2412287189572</v>
      </c>
      <c r="Z200" s="1147">
        <f t="shared" ref="Z200:Z263" si="62">IF(S200=0,Y200,$Q200*S200)</f>
        <v>1596.3999999999999</v>
      </c>
      <c r="AA200" s="1144">
        <f t="shared" ref="AA200:AA263" si="63">IF(T200=0,Y200,$Q200*T200)</f>
        <v>998.4</v>
      </c>
      <c r="AB200" s="1144">
        <f t="shared" ref="AB200:AB263" si="64">$Q200*U200</f>
        <v>0</v>
      </c>
      <c r="AC200" s="1144">
        <f t="shared" ref="AC200:AC263" si="65">$Q200*V200</f>
        <v>0</v>
      </c>
      <c r="AD200" s="1148">
        <f t="shared" si="56"/>
        <v>1291.2412287189572</v>
      </c>
      <c r="AE200" s="1487">
        <v>0</v>
      </c>
      <c r="AF200" s="1145">
        <f t="shared" ref="AF200:AF263" si="66">AD200-AE200</f>
        <v>1291.2412287189572</v>
      </c>
      <c r="AG200" s="1149">
        <f>IFERROR(VLOOKUP(CONCATENATE($L200,$N200),'Drop List'!$G$23:$K$87,2,FALSE),0)</f>
        <v>0.68500000000000005</v>
      </c>
      <c r="AH200" s="1150">
        <f>IFERROR(VLOOKUP(CONCATENATE($L200,$N200),'Drop List'!$G$23:$K$87,3,FALSE),0)</f>
        <v>0.31499999999999995</v>
      </c>
      <c r="AI200" s="1150">
        <f>IFERROR(VLOOKUP(CONCATENATE($L200,$N200),'Drop List'!$G$23:$K$87,4,FALSE),0)</f>
        <v>0</v>
      </c>
      <c r="AJ200" s="1151">
        <f>IFERROR(VLOOKUP(CONCATENATE($L200,$N200),'Drop List'!$G$23:$K$87,5,FALSE),0)</f>
        <v>0</v>
      </c>
      <c r="AK200" s="1152">
        <f t="shared" ref="AK200:AK263" si="67">IFERROR($AF200*AG200,0)</f>
        <v>884.5002416724858</v>
      </c>
      <c r="AL200" s="1153">
        <f t="shared" ref="AL200:AL263" si="68">IFERROR($AF200*AH200,0)</f>
        <v>406.74098704647145</v>
      </c>
      <c r="AM200" s="1153">
        <f t="shared" ref="AM200:AM263" si="69">IFERROR($AF200*AI200,0)</f>
        <v>0</v>
      </c>
      <c r="AN200" s="1145">
        <f t="shared" ref="AN200:AN263" si="70">IFERROR($AF200*AJ200,0)</f>
        <v>0</v>
      </c>
      <c r="AO200" s="1154">
        <f t="shared" ref="AO200:AO263" si="71">SUM(AK200:AN200)</f>
        <v>1291.2412287189572</v>
      </c>
      <c r="AP200" s="1147">
        <f t="shared" si="57"/>
        <v>0</v>
      </c>
      <c r="AQ200" s="1144">
        <f t="shared" si="58"/>
        <v>0</v>
      </c>
      <c r="AR200" s="1146">
        <f t="shared" si="59"/>
        <v>1291.2412287189572</v>
      </c>
    </row>
    <row r="201" spans="1:44" x14ac:dyDescent="0.2">
      <c r="A201" s="1141" t="str">
        <f t="shared" si="54"/>
        <v>1504</v>
      </c>
      <c r="B201" s="1141" t="str">
        <f>IFERROR(VLOOKUP(A201,'LAC 103'!A:C,3,FALSE),"")</f>
        <v>OP</v>
      </c>
      <c r="C201" s="1478" t="str">
        <f>Info!$B$8</f>
        <v>00100</v>
      </c>
      <c r="D201" s="1474" t="s">
        <v>256</v>
      </c>
      <c r="E201" s="1474" t="s">
        <v>95</v>
      </c>
      <c r="F201" s="1478" t="s">
        <v>588</v>
      </c>
      <c r="G201" s="1478" t="s">
        <v>588</v>
      </c>
      <c r="H201" s="1474" t="s">
        <v>1656</v>
      </c>
      <c r="I201" s="1478" t="s">
        <v>809</v>
      </c>
      <c r="J201" s="1478"/>
      <c r="K201" s="1475" t="s">
        <v>848</v>
      </c>
      <c r="L201" s="1474" t="s">
        <v>45</v>
      </c>
      <c r="M201" s="1476" t="s">
        <v>840</v>
      </c>
      <c r="N201" s="1477" t="s">
        <v>1700</v>
      </c>
      <c r="O201" s="1479">
        <v>1330</v>
      </c>
      <c r="P201" s="1479"/>
      <c r="Q201" s="1142">
        <f t="shared" si="55"/>
        <v>1330</v>
      </c>
      <c r="R201" s="1143">
        <f>IFERROR(VLOOKUP(CONCATENATE(E201,G201),'LAC 103'!$A$12:$O$95,11,FALSE),0)</f>
        <v>2.483156209074918</v>
      </c>
      <c r="S201" s="1144">
        <f>IFERROR(VLOOKUP(CONCATENATE($E201,$G201),'LAC 103'!$A$12:$O$95,12,FALSE),0)</f>
        <v>3.07</v>
      </c>
      <c r="T201" s="1144">
        <f>IFERROR(VLOOKUP(CONCATENATE($E201,$G201),'LAC 103'!$A$12:$O$95,13,FALSE),0)</f>
        <v>1.92</v>
      </c>
      <c r="U201" s="1144">
        <f>IFERROR(VLOOKUP(CONCATENATE($E201,$G201),'LAC 103'!$A$12:$O$95,14,FALSE),0)</f>
        <v>0</v>
      </c>
      <c r="V201" s="1144">
        <f>IFERROR(VLOOKUP(CONCATENATE($E201,$G201),'LAC 103'!$A$12:$O$95,15,FALSE),0)</f>
        <v>0</v>
      </c>
      <c r="W201" s="1145" t="str">
        <f>IFERROR(VLOOKUP(CONCATENATE($B201,$N201),'LAC 103'!$AI:$AQ,9,FALSE),"")</f>
        <v>P.C.</v>
      </c>
      <c r="X201" s="1146">
        <f t="shared" si="60"/>
        <v>1.92</v>
      </c>
      <c r="Y201" s="1143">
        <f t="shared" si="61"/>
        <v>3302.5977580696408</v>
      </c>
      <c r="Z201" s="1147">
        <f t="shared" si="62"/>
        <v>4083.1</v>
      </c>
      <c r="AA201" s="1144">
        <f t="shared" si="63"/>
        <v>2553.6</v>
      </c>
      <c r="AB201" s="1144">
        <f t="shared" si="64"/>
        <v>0</v>
      </c>
      <c r="AC201" s="1144">
        <f t="shared" si="65"/>
        <v>0</v>
      </c>
      <c r="AD201" s="1148">
        <f t="shared" si="56"/>
        <v>2553.6</v>
      </c>
      <c r="AE201" s="1487">
        <v>0</v>
      </c>
      <c r="AF201" s="1145">
        <f t="shared" si="66"/>
        <v>2553.6</v>
      </c>
      <c r="AG201" s="1149">
        <f>IFERROR(VLOOKUP(CONCATENATE($L201,$N201),'Drop List'!$G$23:$K$87,2,FALSE),0)</f>
        <v>0.68500000000000005</v>
      </c>
      <c r="AH201" s="1150">
        <f>IFERROR(VLOOKUP(CONCATENATE($L201,$N201),'Drop List'!$G$23:$K$87,3,FALSE),0)</f>
        <v>0.31499999999999995</v>
      </c>
      <c r="AI201" s="1150">
        <f>IFERROR(VLOOKUP(CONCATENATE($L201,$N201),'Drop List'!$G$23:$K$87,4,FALSE),0)</f>
        <v>0</v>
      </c>
      <c r="AJ201" s="1151">
        <f>IFERROR(VLOOKUP(CONCATENATE($L201,$N201),'Drop List'!$G$23:$K$87,5,FALSE),0)</f>
        <v>0</v>
      </c>
      <c r="AK201" s="1152">
        <f t="shared" si="67"/>
        <v>1749.2160000000001</v>
      </c>
      <c r="AL201" s="1153">
        <f t="shared" si="68"/>
        <v>804.38399999999979</v>
      </c>
      <c r="AM201" s="1153">
        <f t="shared" si="69"/>
        <v>0</v>
      </c>
      <c r="AN201" s="1145">
        <f t="shared" si="70"/>
        <v>0</v>
      </c>
      <c r="AO201" s="1154">
        <f t="shared" si="71"/>
        <v>2553.6</v>
      </c>
      <c r="AP201" s="1147">
        <f t="shared" si="57"/>
        <v>0</v>
      </c>
      <c r="AQ201" s="1144">
        <f t="shared" si="58"/>
        <v>0</v>
      </c>
      <c r="AR201" s="1146">
        <f t="shared" si="59"/>
        <v>2553.6</v>
      </c>
    </row>
    <row r="202" spans="1:44" x14ac:dyDescent="0.2">
      <c r="A202" s="1141" t="str">
        <f t="shared" si="54"/>
        <v>1504</v>
      </c>
      <c r="B202" s="1141" t="str">
        <f>IFERROR(VLOOKUP(A202,'LAC 103'!A:C,3,FALSE),"")</f>
        <v>OP</v>
      </c>
      <c r="C202" s="1478" t="str">
        <f>Info!$B$8</f>
        <v>00100</v>
      </c>
      <c r="D202" s="1474" t="s">
        <v>256</v>
      </c>
      <c r="E202" s="1474" t="s">
        <v>95</v>
      </c>
      <c r="F202" s="1478" t="s">
        <v>588</v>
      </c>
      <c r="G202" s="1478" t="s">
        <v>588</v>
      </c>
      <c r="H202" s="1474" t="s">
        <v>1656</v>
      </c>
      <c r="I202" s="1478" t="s">
        <v>809</v>
      </c>
      <c r="J202" s="1478"/>
      <c r="K202" s="1475" t="s">
        <v>848</v>
      </c>
      <c r="L202" s="1474" t="s">
        <v>45</v>
      </c>
      <c r="M202" s="1476" t="s">
        <v>842</v>
      </c>
      <c r="N202" s="1477" t="s">
        <v>1692</v>
      </c>
      <c r="O202" s="1479">
        <v>1023</v>
      </c>
      <c r="P202" s="1479"/>
      <c r="Q202" s="1142">
        <f t="shared" si="55"/>
        <v>1023</v>
      </c>
      <c r="R202" s="1143">
        <f>IFERROR(VLOOKUP(CONCATENATE(E202,G202),'LAC 103'!$A$12:$O$95,11,FALSE),0)</f>
        <v>2.483156209074918</v>
      </c>
      <c r="S202" s="1144">
        <f>IFERROR(VLOOKUP(CONCATENATE($E202,$G202),'LAC 103'!$A$12:$O$95,12,FALSE),0)</f>
        <v>3.07</v>
      </c>
      <c r="T202" s="1144">
        <f>IFERROR(VLOOKUP(CONCATENATE($E202,$G202),'LAC 103'!$A$12:$O$95,13,FALSE),0)</f>
        <v>1.92</v>
      </c>
      <c r="U202" s="1144">
        <f>IFERROR(VLOOKUP(CONCATENATE($E202,$G202),'LAC 103'!$A$12:$O$95,14,FALSE),0)</f>
        <v>0</v>
      </c>
      <c r="V202" s="1144">
        <f>IFERROR(VLOOKUP(CONCATENATE($E202,$G202),'LAC 103'!$A$12:$O$95,15,FALSE),0)</f>
        <v>0</v>
      </c>
      <c r="W202" s="1145" t="str">
        <f>IFERROR(VLOOKUP(CONCATENATE($B202,$N202),'LAC 103'!$AI:$AQ,9,FALSE),"")</f>
        <v>Costs</v>
      </c>
      <c r="X202" s="1146">
        <f t="shared" si="60"/>
        <v>2.483156209074918</v>
      </c>
      <c r="Y202" s="1143">
        <f t="shared" si="61"/>
        <v>2540.2688018836411</v>
      </c>
      <c r="Z202" s="1147">
        <f t="shared" si="62"/>
        <v>3140.6099999999997</v>
      </c>
      <c r="AA202" s="1144">
        <f t="shared" si="63"/>
        <v>1964.1599999999999</v>
      </c>
      <c r="AB202" s="1144">
        <f t="shared" si="64"/>
        <v>0</v>
      </c>
      <c r="AC202" s="1144">
        <f t="shared" si="65"/>
        <v>0</v>
      </c>
      <c r="AD202" s="1148">
        <f t="shared" si="56"/>
        <v>2540.2688018836411</v>
      </c>
      <c r="AE202" s="1487">
        <v>0</v>
      </c>
      <c r="AF202" s="1145">
        <f t="shared" si="66"/>
        <v>2540.2688018836411</v>
      </c>
      <c r="AG202" s="1149">
        <f>IFERROR(VLOOKUP(CONCATENATE($L202,$N202),'Drop List'!$G$23:$K$87,2,FALSE),0)</f>
        <v>0.69340000000000002</v>
      </c>
      <c r="AH202" s="1150">
        <f>IFERROR(VLOOKUP(CONCATENATE($L202,$N202),'Drop List'!$G$23:$K$87,3,FALSE),0)</f>
        <v>0.30659999999999998</v>
      </c>
      <c r="AI202" s="1150">
        <f>IFERROR(VLOOKUP(CONCATENATE($L202,$N202),'Drop List'!$G$23:$K$87,4,FALSE),0)</f>
        <v>0</v>
      </c>
      <c r="AJ202" s="1151">
        <f>IFERROR(VLOOKUP(CONCATENATE($L202,$N202),'Drop List'!$G$23:$K$87,5,FALSE),0)</f>
        <v>0</v>
      </c>
      <c r="AK202" s="1152">
        <f t="shared" si="67"/>
        <v>1761.4223872261168</v>
      </c>
      <c r="AL202" s="1153">
        <f t="shared" si="68"/>
        <v>778.84641465752429</v>
      </c>
      <c r="AM202" s="1153">
        <f t="shared" si="69"/>
        <v>0</v>
      </c>
      <c r="AN202" s="1145">
        <f t="shared" si="70"/>
        <v>0</v>
      </c>
      <c r="AO202" s="1154">
        <f t="shared" si="71"/>
        <v>2540.2688018836411</v>
      </c>
      <c r="AP202" s="1147">
        <f t="shared" si="57"/>
        <v>0</v>
      </c>
      <c r="AQ202" s="1144">
        <f t="shared" si="58"/>
        <v>0</v>
      </c>
      <c r="AR202" s="1146">
        <f t="shared" si="59"/>
        <v>2540.2688018836411</v>
      </c>
    </row>
    <row r="203" spans="1:44" x14ac:dyDescent="0.2">
      <c r="A203" s="1141" t="str">
        <f t="shared" si="54"/>
        <v>1504</v>
      </c>
      <c r="B203" s="1141" t="str">
        <f>IFERROR(VLOOKUP(A203,'LAC 103'!A:C,3,FALSE),"")</f>
        <v>OP</v>
      </c>
      <c r="C203" s="1478" t="str">
        <f>Info!$B$8</f>
        <v>00100</v>
      </c>
      <c r="D203" s="1474" t="s">
        <v>256</v>
      </c>
      <c r="E203" s="1474" t="s">
        <v>95</v>
      </c>
      <c r="F203" s="1478" t="s">
        <v>588</v>
      </c>
      <c r="G203" s="1478" t="s">
        <v>588</v>
      </c>
      <c r="H203" s="1474" t="s">
        <v>1656</v>
      </c>
      <c r="I203" s="1478" t="s">
        <v>809</v>
      </c>
      <c r="J203" s="1478"/>
      <c r="K203" s="1475" t="s">
        <v>848</v>
      </c>
      <c r="L203" s="1474" t="s">
        <v>45</v>
      </c>
      <c r="M203" s="1476" t="s">
        <v>1698</v>
      </c>
      <c r="N203" s="1477" t="s">
        <v>1693</v>
      </c>
      <c r="O203" s="1479">
        <v>813</v>
      </c>
      <c r="P203" s="1479"/>
      <c r="Q203" s="1142">
        <f t="shared" si="55"/>
        <v>813</v>
      </c>
      <c r="R203" s="1143">
        <f>IFERROR(VLOOKUP(CONCATENATE(E203,G203),'LAC 103'!$A$12:$O$95,11,FALSE),0)</f>
        <v>2.483156209074918</v>
      </c>
      <c r="S203" s="1144">
        <f>IFERROR(VLOOKUP(CONCATENATE($E203,$G203),'LAC 103'!$A$12:$O$95,12,FALSE),0)</f>
        <v>3.07</v>
      </c>
      <c r="T203" s="1144">
        <f>IFERROR(VLOOKUP(CONCATENATE($E203,$G203),'LAC 103'!$A$12:$O$95,13,FALSE),0)</f>
        <v>1.92</v>
      </c>
      <c r="U203" s="1144">
        <f>IFERROR(VLOOKUP(CONCATENATE($E203,$G203),'LAC 103'!$A$12:$O$95,14,FALSE),0)</f>
        <v>0</v>
      </c>
      <c r="V203" s="1144">
        <f>IFERROR(VLOOKUP(CONCATENATE($E203,$G203),'LAC 103'!$A$12:$O$95,15,FALSE),0)</f>
        <v>0</v>
      </c>
      <c r="W203" s="1145" t="str">
        <f>IFERROR(VLOOKUP(CONCATENATE($B203,$N203),'LAC 103'!$AI:$AQ,9,FALSE),"")</f>
        <v>Costs</v>
      </c>
      <c r="X203" s="1146">
        <f t="shared" si="60"/>
        <v>2.483156209074918</v>
      </c>
      <c r="Y203" s="1143">
        <f t="shared" si="61"/>
        <v>2018.8059979779082</v>
      </c>
      <c r="Z203" s="1147">
        <f t="shared" si="62"/>
        <v>2495.91</v>
      </c>
      <c r="AA203" s="1144">
        <f t="shared" si="63"/>
        <v>1560.96</v>
      </c>
      <c r="AB203" s="1144">
        <f t="shared" si="64"/>
        <v>0</v>
      </c>
      <c r="AC203" s="1144">
        <f t="shared" si="65"/>
        <v>0</v>
      </c>
      <c r="AD203" s="1148">
        <f t="shared" si="56"/>
        <v>2018.8059979779082</v>
      </c>
      <c r="AE203" s="1487">
        <v>0</v>
      </c>
      <c r="AF203" s="1145">
        <f t="shared" si="66"/>
        <v>2018.8059979779082</v>
      </c>
      <c r="AG203" s="1149">
        <f>IFERROR(VLOOKUP(CONCATENATE($L203,$N203),'Drop List'!$G$23:$K$87,2,FALSE),0)</f>
        <v>0.69340000000000002</v>
      </c>
      <c r="AH203" s="1150">
        <f>IFERROR(VLOOKUP(CONCATENATE($L203,$N203),'Drop List'!$G$23:$K$87,3,FALSE),0)</f>
        <v>0.30659999999999998</v>
      </c>
      <c r="AI203" s="1150">
        <f>IFERROR(VLOOKUP(CONCATENATE($L203,$N203),'Drop List'!$G$23:$K$87,4,FALSE),0)</f>
        <v>0</v>
      </c>
      <c r="AJ203" s="1151">
        <f>IFERROR(VLOOKUP(CONCATENATE($L203,$N203),'Drop List'!$G$23:$K$87,5,FALSE),0)</f>
        <v>0</v>
      </c>
      <c r="AK203" s="1152">
        <f t="shared" si="67"/>
        <v>1399.8400789978816</v>
      </c>
      <c r="AL203" s="1153">
        <f t="shared" si="68"/>
        <v>618.96591898002657</v>
      </c>
      <c r="AM203" s="1153">
        <f t="shared" si="69"/>
        <v>0</v>
      </c>
      <c r="AN203" s="1145">
        <f t="shared" si="70"/>
        <v>0</v>
      </c>
      <c r="AO203" s="1154">
        <f t="shared" si="71"/>
        <v>2018.8059979779082</v>
      </c>
      <c r="AP203" s="1147">
        <f t="shared" si="57"/>
        <v>0</v>
      </c>
      <c r="AQ203" s="1144">
        <f t="shared" si="58"/>
        <v>0</v>
      </c>
      <c r="AR203" s="1146">
        <f t="shared" si="59"/>
        <v>2018.8059979779082</v>
      </c>
    </row>
    <row r="204" spans="1:44" x14ac:dyDescent="0.2">
      <c r="A204" s="1141" t="str">
        <f t="shared" si="54"/>
        <v>1504</v>
      </c>
      <c r="B204" s="1141" t="str">
        <f>IFERROR(VLOOKUP(A204,'LAC 103'!A:C,3,FALSE),"")</f>
        <v>OP</v>
      </c>
      <c r="C204" s="1478" t="str">
        <f>Info!$B$8</f>
        <v>00100</v>
      </c>
      <c r="D204" s="1474" t="s">
        <v>256</v>
      </c>
      <c r="E204" s="1474" t="s">
        <v>95</v>
      </c>
      <c r="F204" s="1478" t="s">
        <v>588</v>
      </c>
      <c r="G204" s="1478" t="s">
        <v>588</v>
      </c>
      <c r="H204" s="1474" t="s">
        <v>1656</v>
      </c>
      <c r="I204" s="1478" t="s">
        <v>809</v>
      </c>
      <c r="J204" s="1478"/>
      <c r="K204" s="1475" t="s">
        <v>849</v>
      </c>
      <c r="L204" s="1474" t="s">
        <v>77</v>
      </c>
      <c r="M204" s="1476" t="s">
        <v>1699</v>
      </c>
      <c r="N204" s="1477" t="s">
        <v>1694</v>
      </c>
      <c r="O204" s="1479">
        <v>6246</v>
      </c>
      <c r="P204" s="1479"/>
      <c r="Q204" s="1142">
        <f t="shared" si="55"/>
        <v>6246</v>
      </c>
      <c r="R204" s="1143">
        <f>IFERROR(VLOOKUP(CONCATENATE(E204,G204),'LAC 103'!$A$12:$O$95,11,FALSE),0)</f>
        <v>2.483156209074918</v>
      </c>
      <c r="S204" s="1144">
        <f>IFERROR(VLOOKUP(CONCATENATE($E204,$G204),'LAC 103'!$A$12:$O$95,12,FALSE),0)</f>
        <v>3.07</v>
      </c>
      <c r="T204" s="1144">
        <f>IFERROR(VLOOKUP(CONCATENATE($E204,$G204),'LAC 103'!$A$12:$O$95,13,FALSE),0)</f>
        <v>1.92</v>
      </c>
      <c r="U204" s="1144">
        <f>IFERROR(VLOOKUP(CONCATENATE($E204,$G204),'LAC 103'!$A$12:$O$95,14,FALSE),0)</f>
        <v>0</v>
      </c>
      <c r="V204" s="1144">
        <f>IFERROR(VLOOKUP(CONCATENATE($E204,$G204),'LAC 103'!$A$12:$O$95,15,FALSE),0)</f>
        <v>0</v>
      </c>
      <c r="W204" s="1145" t="str">
        <f>IFERROR(VLOOKUP(CONCATENATE($B204,$N204),'LAC 103'!$AI:$AQ,9,FALSE),"")</f>
        <v>Costs</v>
      </c>
      <c r="X204" s="1146">
        <f t="shared" si="60"/>
        <v>2.483156209074918</v>
      </c>
      <c r="Y204" s="1143">
        <f t="shared" si="61"/>
        <v>15509.793681881938</v>
      </c>
      <c r="Z204" s="1147">
        <f t="shared" si="62"/>
        <v>19175.219999999998</v>
      </c>
      <c r="AA204" s="1144">
        <f t="shared" si="63"/>
        <v>11992.32</v>
      </c>
      <c r="AB204" s="1144">
        <f t="shared" si="64"/>
        <v>0</v>
      </c>
      <c r="AC204" s="1144">
        <f t="shared" si="65"/>
        <v>0</v>
      </c>
      <c r="AD204" s="1148">
        <f t="shared" si="56"/>
        <v>15509.793681881938</v>
      </c>
      <c r="AE204" s="1487">
        <v>0</v>
      </c>
      <c r="AF204" s="1145">
        <f t="shared" si="66"/>
        <v>15509.793681881938</v>
      </c>
      <c r="AG204" s="1149">
        <f>IFERROR(VLOOKUP(CONCATENATE($L204,$N204),'Drop List'!$G$23:$K$87,2,FALSE),0)</f>
        <v>0.9</v>
      </c>
      <c r="AH204" s="1150">
        <f>IFERROR(VLOOKUP(CONCATENATE($L204,$N204),'Drop List'!$G$23:$K$87,3,FALSE),0)</f>
        <v>0</v>
      </c>
      <c r="AI204" s="1150">
        <f>IFERROR(VLOOKUP(CONCATENATE($L204,$N204),'Drop List'!$G$23:$K$87,4,FALSE),0)</f>
        <v>0.1</v>
      </c>
      <c r="AJ204" s="1151">
        <f>IFERROR(VLOOKUP(CONCATENATE($L204,$N204),'Drop List'!$G$23:$K$87,5,FALSE),0)</f>
        <v>0</v>
      </c>
      <c r="AK204" s="1152">
        <f t="shared" si="67"/>
        <v>13958.814313693745</v>
      </c>
      <c r="AL204" s="1153">
        <f t="shared" si="68"/>
        <v>0</v>
      </c>
      <c r="AM204" s="1153">
        <f t="shared" si="69"/>
        <v>1550.9793681881938</v>
      </c>
      <c r="AN204" s="1145">
        <f t="shared" si="70"/>
        <v>0</v>
      </c>
      <c r="AO204" s="1154">
        <f t="shared" si="71"/>
        <v>15509.79368188194</v>
      </c>
      <c r="AP204" s="1147">
        <f t="shared" si="57"/>
        <v>0</v>
      </c>
      <c r="AQ204" s="1144">
        <f t="shared" si="58"/>
        <v>0</v>
      </c>
      <c r="AR204" s="1146">
        <f t="shared" si="59"/>
        <v>15509.79368188194</v>
      </c>
    </row>
    <row r="205" spans="1:44" x14ac:dyDescent="0.2">
      <c r="A205" s="1141" t="str">
        <f t="shared" si="54"/>
        <v>1504</v>
      </c>
      <c r="B205" s="1141" t="str">
        <f>IFERROR(VLOOKUP(A205,'LAC 103'!A:C,3,FALSE),"")</f>
        <v>OP</v>
      </c>
      <c r="C205" s="1478" t="str">
        <f>Info!$B$8</f>
        <v>00100</v>
      </c>
      <c r="D205" s="1474" t="s">
        <v>256</v>
      </c>
      <c r="E205" s="1474" t="s">
        <v>95</v>
      </c>
      <c r="F205" s="1478" t="s">
        <v>588</v>
      </c>
      <c r="G205" s="1478" t="s">
        <v>588</v>
      </c>
      <c r="H205" s="1474" t="s">
        <v>1656</v>
      </c>
      <c r="I205" s="1478" t="s">
        <v>809</v>
      </c>
      <c r="J205" s="1478"/>
      <c r="K205" s="1475" t="s">
        <v>849</v>
      </c>
      <c r="L205" s="1474" t="s">
        <v>77</v>
      </c>
      <c r="M205" s="1476" t="s">
        <v>841</v>
      </c>
      <c r="N205" s="1477" t="s">
        <v>1695</v>
      </c>
      <c r="O205" s="1479">
        <v>2173</v>
      </c>
      <c r="P205" s="1479"/>
      <c r="Q205" s="1142">
        <f t="shared" si="55"/>
        <v>2173</v>
      </c>
      <c r="R205" s="1143">
        <f>IFERROR(VLOOKUP(CONCATENATE(E205,G205),'LAC 103'!$A$12:$O$95,11,FALSE),0)</f>
        <v>2.483156209074918</v>
      </c>
      <c r="S205" s="1144">
        <f>IFERROR(VLOOKUP(CONCATENATE($E205,$G205),'LAC 103'!$A$12:$O$95,12,FALSE),0)</f>
        <v>3.07</v>
      </c>
      <c r="T205" s="1144">
        <f>IFERROR(VLOOKUP(CONCATENATE($E205,$G205),'LAC 103'!$A$12:$O$95,13,FALSE),0)</f>
        <v>1.92</v>
      </c>
      <c r="U205" s="1144">
        <f>IFERROR(VLOOKUP(CONCATENATE($E205,$G205),'LAC 103'!$A$12:$O$95,14,FALSE),0)</f>
        <v>0</v>
      </c>
      <c r="V205" s="1144">
        <f>IFERROR(VLOOKUP(CONCATENATE($E205,$G205),'LAC 103'!$A$12:$O$95,15,FALSE),0)</f>
        <v>0</v>
      </c>
      <c r="W205" s="1145" t="str">
        <f>IFERROR(VLOOKUP(CONCATENATE($B205,$N205),'LAC 103'!$AI:$AQ,9,FALSE),"")</f>
        <v>Costs</v>
      </c>
      <c r="X205" s="1146">
        <f t="shared" si="60"/>
        <v>2.483156209074918</v>
      </c>
      <c r="Y205" s="1143">
        <f t="shared" si="61"/>
        <v>5395.8984423197971</v>
      </c>
      <c r="Z205" s="1147">
        <f t="shared" si="62"/>
        <v>6671.11</v>
      </c>
      <c r="AA205" s="1144">
        <f t="shared" si="63"/>
        <v>4172.16</v>
      </c>
      <c r="AB205" s="1144">
        <f t="shared" si="64"/>
        <v>0</v>
      </c>
      <c r="AC205" s="1144">
        <f t="shared" si="65"/>
        <v>0</v>
      </c>
      <c r="AD205" s="1148">
        <f t="shared" si="56"/>
        <v>5395.8984423197971</v>
      </c>
      <c r="AE205" s="1487">
        <v>0</v>
      </c>
      <c r="AF205" s="1145">
        <f t="shared" si="66"/>
        <v>5395.8984423197971</v>
      </c>
      <c r="AG205" s="1149">
        <f>IFERROR(VLOOKUP(CONCATENATE($L205,$N205),'Drop List'!$G$23:$K$87,2,FALSE),0)</f>
        <v>0.9</v>
      </c>
      <c r="AH205" s="1150">
        <f>IFERROR(VLOOKUP(CONCATENATE($L205,$N205),'Drop List'!$G$23:$K$87,3,FALSE),0)</f>
        <v>0</v>
      </c>
      <c r="AI205" s="1150">
        <f>IFERROR(VLOOKUP(CONCATENATE($L205,$N205),'Drop List'!$G$23:$K$87,4,FALSE),0)</f>
        <v>0.1</v>
      </c>
      <c r="AJ205" s="1151">
        <f>IFERROR(VLOOKUP(CONCATENATE($L205,$N205),'Drop List'!$G$23:$K$87,5,FALSE),0)</f>
        <v>0</v>
      </c>
      <c r="AK205" s="1152">
        <f t="shared" si="67"/>
        <v>4856.3085980878177</v>
      </c>
      <c r="AL205" s="1153">
        <f t="shared" si="68"/>
        <v>0</v>
      </c>
      <c r="AM205" s="1153">
        <f t="shared" si="69"/>
        <v>539.58984423197978</v>
      </c>
      <c r="AN205" s="1145">
        <f t="shared" si="70"/>
        <v>0</v>
      </c>
      <c r="AO205" s="1154">
        <f t="shared" si="71"/>
        <v>5395.8984423197971</v>
      </c>
      <c r="AP205" s="1147">
        <f t="shared" si="57"/>
        <v>0</v>
      </c>
      <c r="AQ205" s="1144">
        <f t="shared" si="58"/>
        <v>0</v>
      </c>
      <c r="AR205" s="1146">
        <f t="shared" si="59"/>
        <v>5395.8984423197971</v>
      </c>
    </row>
    <row r="206" spans="1:44" x14ac:dyDescent="0.2">
      <c r="A206" s="1141" t="str">
        <f t="shared" si="54"/>
        <v>1504</v>
      </c>
      <c r="B206" s="1141" t="str">
        <f>IFERROR(VLOOKUP(A206,'LAC 103'!A:C,3,FALSE),"")</f>
        <v>OP</v>
      </c>
      <c r="C206" s="1478" t="str">
        <f>Info!$B$8</f>
        <v>00100</v>
      </c>
      <c r="D206" s="1474" t="s">
        <v>256</v>
      </c>
      <c r="E206" s="1474" t="s">
        <v>95</v>
      </c>
      <c r="F206" s="1478" t="s">
        <v>588</v>
      </c>
      <c r="G206" s="1478" t="s">
        <v>588</v>
      </c>
      <c r="H206" s="1474" t="s">
        <v>1656</v>
      </c>
      <c r="I206" s="1478" t="s">
        <v>809</v>
      </c>
      <c r="J206" s="1478"/>
      <c r="K206" s="1475" t="s">
        <v>849</v>
      </c>
      <c r="L206" s="1474" t="s">
        <v>77</v>
      </c>
      <c r="M206" s="1476" t="s">
        <v>840</v>
      </c>
      <c r="N206" s="1477" t="s">
        <v>1700</v>
      </c>
      <c r="O206" s="1479">
        <v>2464</v>
      </c>
      <c r="P206" s="1479"/>
      <c r="Q206" s="1142">
        <f t="shared" si="55"/>
        <v>2464</v>
      </c>
      <c r="R206" s="1143">
        <f>IFERROR(VLOOKUP(CONCATENATE(E206,G206),'LAC 103'!$A$12:$O$95,11,FALSE),0)</f>
        <v>2.483156209074918</v>
      </c>
      <c r="S206" s="1144">
        <f>IFERROR(VLOOKUP(CONCATENATE($E206,$G206),'LAC 103'!$A$12:$O$95,12,FALSE),0)</f>
        <v>3.07</v>
      </c>
      <c r="T206" s="1144">
        <f>IFERROR(VLOOKUP(CONCATENATE($E206,$G206),'LAC 103'!$A$12:$O$95,13,FALSE),0)</f>
        <v>1.92</v>
      </c>
      <c r="U206" s="1144">
        <f>IFERROR(VLOOKUP(CONCATENATE($E206,$G206),'LAC 103'!$A$12:$O$95,14,FALSE),0)</f>
        <v>0</v>
      </c>
      <c r="V206" s="1144">
        <f>IFERROR(VLOOKUP(CONCATENATE($E206,$G206),'LAC 103'!$A$12:$O$95,15,FALSE),0)</f>
        <v>0</v>
      </c>
      <c r="W206" s="1145" t="str">
        <f>IFERROR(VLOOKUP(CONCATENATE($B206,$N206),'LAC 103'!$AI:$AQ,9,FALSE),"")</f>
        <v>P.C.</v>
      </c>
      <c r="X206" s="1146">
        <f t="shared" si="60"/>
        <v>1.92</v>
      </c>
      <c r="Y206" s="1143">
        <f t="shared" si="61"/>
        <v>6118.4968991605974</v>
      </c>
      <c r="Z206" s="1147">
        <f t="shared" si="62"/>
        <v>7564.48</v>
      </c>
      <c r="AA206" s="1144">
        <f t="shared" si="63"/>
        <v>4730.88</v>
      </c>
      <c r="AB206" s="1144">
        <f t="shared" si="64"/>
        <v>0</v>
      </c>
      <c r="AC206" s="1144">
        <f t="shared" si="65"/>
        <v>0</v>
      </c>
      <c r="AD206" s="1148">
        <f t="shared" si="56"/>
        <v>4730.88</v>
      </c>
      <c r="AE206" s="1487">
        <v>0</v>
      </c>
      <c r="AF206" s="1145">
        <f t="shared" si="66"/>
        <v>4730.88</v>
      </c>
      <c r="AG206" s="1149">
        <f>IFERROR(VLOOKUP(CONCATENATE($L206,$N206),'Drop List'!$G$23:$K$87,2,FALSE),0)</f>
        <v>0.9</v>
      </c>
      <c r="AH206" s="1150">
        <f>IFERROR(VLOOKUP(CONCATENATE($L206,$N206),'Drop List'!$G$23:$K$87,3,FALSE),0)</f>
        <v>0</v>
      </c>
      <c r="AI206" s="1150">
        <f>IFERROR(VLOOKUP(CONCATENATE($L206,$N206),'Drop List'!$G$23:$K$87,4,FALSE),0)</f>
        <v>0.1</v>
      </c>
      <c r="AJ206" s="1151">
        <f>IFERROR(VLOOKUP(CONCATENATE($L206,$N206),'Drop List'!$G$23:$K$87,5,FALSE),0)</f>
        <v>0</v>
      </c>
      <c r="AK206" s="1152">
        <f t="shared" si="67"/>
        <v>4257.7920000000004</v>
      </c>
      <c r="AL206" s="1153">
        <f t="shared" si="68"/>
        <v>0</v>
      </c>
      <c r="AM206" s="1153">
        <f t="shared" si="69"/>
        <v>473.08800000000002</v>
      </c>
      <c r="AN206" s="1145">
        <f t="shared" si="70"/>
        <v>0</v>
      </c>
      <c r="AO206" s="1154">
        <f t="shared" si="71"/>
        <v>4730.88</v>
      </c>
      <c r="AP206" s="1147">
        <f t="shared" si="57"/>
        <v>0</v>
      </c>
      <c r="AQ206" s="1144">
        <f t="shared" si="58"/>
        <v>0</v>
      </c>
      <c r="AR206" s="1146">
        <f t="shared" si="59"/>
        <v>4730.88</v>
      </c>
    </row>
    <row r="207" spans="1:44" x14ac:dyDescent="0.2">
      <c r="A207" s="1141" t="str">
        <f t="shared" si="54"/>
        <v>1504</v>
      </c>
      <c r="B207" s="1141" t="str">
        <f>IFERROR(VLOOKUP(A207,'LAC 103'!A:C,3,FALSE),"")</f>
        <v>OP</v>
      </c>
      <c r="C207" s="1478" t="str">
        <f>Info!$B$8</f>
        <v>00100</v>
      </c>
      <c r="D207" s="1474" t="s">
        <v>256</v>
      </c>
      <c r="E207" s="1474" t="s">
        <v>95</v>
      </c>
      <c r="F207" s="1478" t="s">
        <v>588</v>
      </c>
      <c r="G207" s="1478" t="s">
        <v>588</v>
      </c>
      <c r="H207" s="1474" t="s">
        <v>1656</v>
      </c>
      <c r="I207" s="1478" t="s">
        <v>809</v>
      </c>
      <c r="J207" s="1478"/>
      <c r="K207" s="1475" t="s">
        <v>849</v>
      </c>
      <c r="L207" s="1474" t="s">
        <v>77</v>
      </c>
      <c r="M207" s="1476" t="s">
        <v>842</v>
      </c>
      <c r="N207" s="1477" t="s">
        <v>1692</v>
      </c>
      <c r="O207" s="1479">
        <v>5969</v>
      </c>
      <c r="P207" s="1479"/>
      <c r="Q207" s="1142">
        <f t="shared" si="55"/>
        <v>5969</v>
      </c>
      <c r="R207" s="1143">
        <f>IFERROR(VLOOKUP(CONCATENATE(E207,G207),'LAC 103'!$A$12:$O$95,11,FALSE),0)</f>
        <v>2.483156209074918</v>
      </c>
      <c r="S207" s="1144">
        <f>IFERROR(VLOOKUP(CONCATENATE($E207,$G207),'LAC 103'!$A$12:$O$95,12,FALSE),0)</f>
        <v>3.07</v>
      </c>
      <c r="T207" s="1144">
        <f>IFERROR(VLOOKUP(CONCATENATE($E207,$G207),'LAC 103'!$A$12:$O$95,13,FALSE),0)</f>
        <v>1.92</v>
      </c>
      <c r="U207" s="1144">
        <f>IFERROR(VLOOKUP(CONCATENATE($E207,$G207),'LAC 103'!$A$12:$O$95,14,FALSE),0)</f>
        <v>0</v>
      </c>
      <c r="V207" s="1144">
        <f>IFERROR(VLOOKUP(CONCATENATE($E207,$G207),'LAC 103'!$A$12:$O$95,15,FALSE),0)</f>
        <v>0</v>
      </c>
      <c r="W207" s="1145" t="str">
        <f>IFERROR(VLOOKUP(CONCATENATE($B207,$N207),'LAC 103'!$AI:$AQ,9,FALSE),"")</f>
        <v>Costs</v>
      </c>
      <c r="X207" s="1146">
        <f t="shared" si="60"/>
        <v>2.483156209074918</v>
      </c>
      <c r="Y207" s="1143">
        <f t="shared" si="61"/>
        <v>14821.959411968186</v>
      </c>
      <c r="Z207" s="1147">
        <f t="shared" si="62"/>
        <v>18324.829999999998</v>
      </c>
      <c r="AA207" s="1144">
        <f t="shared" si="63"/>
        <v>11460.48</v>
      </c>
      <c r="AB207" s="1144">
        <f t="shared" si="64"/>
        <v>0</v>
      </c>
      <c r="AC207" s="1144">
        <f t="shared" si="65"/>
        <v>0</v>
      </c>
      <c r="AD207" s="1148">
        <f t="shared" si="56"/>
        <v>14821.959411968186</v>
      </c>
      <c r="AE207" s="1487">
        <v>0</v>
      </c>
      <c r="AF207" s="1145">
        <f t="shared" si="66"/>
        <v>14821.959411968186</v>
      </c>
      <c r="AG207" s="1149">
        <f>IFERROR(VLOOKUP(CONCATENATE($L207,$N207),'Drop List'!$G$23:$K$87,2,FALSE),0)</f>
        <v>0.9</v>
      </c>
      <c r="AH207" s="1150">
        <f>IFERROR(VLOOKUP(CONCATENATE($L207,$N207),'Drop List'!$G$23:$K$87,3,FALSE),0)</f>
        <v>0</v>
      </c>
      <c r="AI207" s="1150">
        <f>IFERROR(VLOOKUP(CONCATENATE($L207,$N207),'Drop List'!$G$23:$K$87,4,FALSE),0)</f>
        <v>0.1</v>
      </c>
      <c r="AJ207" s="1151">
        <f>IFERROR(VLOOKUP(CONCATENATE($L207,$N207),'Drop List'!$G$23:$K$87,5,FALSE),0)</f>
        <v>0</v>
      </c>
      <c r="AK207" s="1152">
        <f t="shared" si="67"/>
        <v>13339.763470771368</v>
      </c>
      <c r="AL207" s="1153">
        <f t="shared" si="68"/>
        <v>0</v>
      </c>
      <c r="AM207" s="1153">
        <f t="shared" si="69"/>
        <v>1482.1959411968187</v>
      </c>
      <c r="AN207" s="1145">
        <f t="shared" si="70"/>
        <v>0</v>
      </c>
      <c r="AO207" s="1154">
        <f t="shared" si="71"/>
        <v>14821.959411968186</v>
      </c>
      <c r="AP207" s="1147">
        <f t="shared" si="57"/>
        <v>0</v>
      </c>
      <c r="AQ207" s="1144">
        <f t="shared" si="58"/>
        <v>0</v>
      </c>
      <c r="AR207" s="1146">
        <f t="shared" si="59"/>
        <v>14821.959411968186</v>
      </c>
    </row>
    <row r="208" spans="1:44" x14ac:dyDescent="0.2">
      <c r="A208" s="1141" t="str">
        <f t="shared" si="54"/>
        <v>1504</v>
      </c>
      <c r="B208" s="1141" t="str">
        <f>IFERROR(VLOOKUP(A208,'LAC 103'!A:C,3,FALSE),"")</f>
        <v>OP</v>
      </c>
      <c r="C208" s="1478" t="str">
        <f>Info!$B$8</f>
        <v>00100</v>
      </c>
      <c r="D208" s="1474" t="s">
        <v>256</v>
      </c>
      <c r="E208" s="1474" t="s">
        <v>95</v>
      </c>
      <c r="F208" s="1478" t="s">
        <v>588</v>
      </c>
      <c r="G208" s="1478" t="s">
        <v>588</v>
      </c>
      <c r="H208" s="1474" t="s">
        <v>1656</v>
      </c>
      <c r="I208" s="1478" t="s">
        <v>809</v>
      </c>
      <c r="J208" s="1478"/>
      <c r="K208" s="1475" t="s">
        <v>849</v>
      </c>
      <c r="L208" s="1474" t="s">
        <v>77</v>
      </c>
      <c r="M208" s="1476" t="s">
        <v>1698</v>
      </c>
      <c r="N208" s="1477" t="s">
        <v>1693</v>
      </c>
      <c r="O208" s="1479">
        <v>5688</v>
      </c>
      <c r="P208" s="1479"/>
      <c r="Q208" s="1142">
        <f t="shared" si="55"/>
        <v>5688</v>
      </c>
      <c r="R208" s="1143">
        <f>IFERROR(VLOOKUP(CONCATENATE(E208,G208),'LAC 103'!$A$12:$O$95,11,FALSE),0)</f>
        <v>2.483156209074918</v>
      </c>
      <c r="S208" s="1144">
        <f>IFERROR(VLOOKUP(CONCATENATE($E208,$G208),'LAC 103'!$A$12:$O$95,12,FALSE),0)</f>
        <v>3.07</v>
      </c>
      <c r="T208" s="1144">
        <f>IFERROR(VLOOKUP(CONCATENATE($E208,$G208),'LAC 103'!$A$12:$O$95,13,FALSE),0)</f>
        <v>1.92</v>
      </c>
      <c r="U208" s="1144">
        <f>IFERROR(VLOOKUP(CONCATENATE($E208,$G208),'LAC 103'!$A$12:$O$95,14,FALSE),0)</f>
        <v>0</v>
      </c>
      <c r="V208" s="1144">
        <f>IFERROR(VLOOKUP(CONCATENATE($E208,$G208),'LAC 103'!$A$12:$O$95,15,FALSE),0)</f>
        <v>0</v>
      </c>
      <c r="W208" s="1145" t="str">
        <f>IFERROR(VLOOKUP(CONCATENATE($B208,$N208),'LAC 103'!$AI:$AQ,9,FALSE),"")</f>
        <v>Costs</v>
      </c>
      <c r="X208" s="1146">
        <f t="shared" si="60"/>
        <v>2.483156209074918</v>
      </c>
      <c r="Y208" s="1143">
        <f t="shared" si="61"/>
        <v>14124.192517218133</v>
      </c>
      <c r="Z208" s="1147">
        <f t="shared" si="62"/>
        <v>17462.16</v>
      </c>
      <c r="AA208" s="1144">
        <f t="shared" si="63"/>
        <v>10920.96</v>
      </c>
      <c r="AB208" s="1144">
        <f t="shared" si="64"/>
        <v>0</v>
      </c>
      <c r="AC208" s="1144">
        <f t="shared" si="65"/>
        <v>0</v>
      </c>
      <c r="AD208" s="1148">
        <f t="shared" si="56"/>
        <v>14124.192517218133</v>
      </c>
      <c r="AE208" s="1487">
        <v>0</v>
      </c>
      <c r="AF208" s="1145">
        <f t="shared" si="66"/>
        <v>14124.192517218133</v>
      </c>
      <c r="AG208" s="1149">
        <f>IFERROR(VLOOKUP(CONCATENATE($L208,$N208),'Drop List'!$G$23:$K$87,2,FALSE),0)</f>
        <v>0.9</v>
      </c>
      <c r="AH208" s="1150">
        <f>IFERROR(VLOOKUP(CONCATENATE($L208,$N208),'Drop List'!$G$23:$K$87,3,FALSE),0)</f>
        <v>0</v>
      </c>
      <c r="AI208" s="1150">
        <f>IFERROR(VLOOKUP(CONCATENATE($L208,$N208),'Drop List'!$G$23:$K$87,4,FALSE),0)</f>
        <v>0.1</v>
      </c>
      <c r="AJ208" s="1151">
        <f>IFERROR(VLOOKUP(CONCATENATE($L208,$N208),'Drop List'!$G$23:$K$87,5,FALSE),0)</f>
        <v>0</v>
      </c>
      <c r="AK208" s="1152">
        <f t="shared" si="67"/>
        <v>12711.77326549632</v>
      </c>
      <c r="AL208" s="1153">
        <f t="shared" si="68"/>
        <v>0</v>
      </c>
      <c r="AM208" s="1153">
        <f t="shared" si="69"/>
        <v>1412.4192517218135</v>
      </c>
      <c r="AN208" s="1145">
        <f t="shared" si="70"/>
        <v>0</v>
      </c>
      <c r="AO208" s="1154">
        <f t="shared" si="71"/>
        <v>14124.192517218133</v>
      </c>
      <c r="AP208" s="1147">
        <f t="shared" si="57"/>
        <v>0</v>
      </c>
      <c r="AQ208" s="1144">
        <f t="shared" si="58"/>
        <v>0</v>
      </c>
      <c r="AR208" s="1146">
        <f t="shared" si="59"/>
        <v>14124.192517218133</v>
      </c>
    </row>
    <row r="209" spans="1:44" x14ac:dyDescent="0.2">
      <c r="A209" s="1141" t="str">
        <f t="shared" si="54"/>
        <v>1504</v>
      </c>
      <c r="B209" s="1141" t="str">
        <f>IFERROR(VLOOKUP(A209,'LAC 103'!A:C,3,FALSE),"")</f>
        <v>OP</v>
      </c>
      <c r="C209" s="1478" t="str">
        <f>Info!$B$8</f>
        <v>00100</v>
      </c>
      <c r="D209" s="1474" t="s">
        <v>256</v>
      </c>
      <c r="E209" s="1474" t="s">
        <v>95</v>
      </c>
      <c r="F209" s="1478" t="s">
        <v>588</v>
      </c>
      <c r="G209" s="1478" t="s">
        <v>588</v>
      </c>
      <c r="H209" s="1474" t="s">
        <v>1656</v>
      </c>
      <c r="I209" s="1478" t="s">
        <v>809</v>
      </c>
      <c r="J209" s="1478"/>
      <c r="K209" s="1475" t="s">
        <v>971</v>
      </c>
      <c r="L209" s="1474" t="s">
        <v>332</v>
      </c>
      <c r="M209" s="1476" t="s">
        <v>1699</v>
      </c>
      <c r="N209" s="1477" t="s">
        <v>1694</v>
      </c>
      <c r="O209" s="1479">
        <v>187</v>
      </c>
      <c r="P209" s="1479"/>
      <c r="Q209" s="1142">
        <f t="shared" si="55"/>
        <v>187</v>
      </c>
      <c r="R209" s="1143">
        <f>IFERROR(VLOOKUP(CONCATENATE(E209,G209),'LAC 103'!$A$12:$O$95,11,FALSE),0)</f>
        <v>2.483156209074918</v>
      </c>
      <c r="S209" s="1144">
        <f>IFERROR(VLOOKUP(CONCATENATE($E209,$G209),'LAC 103'!$A$12:$O$95,12,FALSE),0)</f>
        <v>3.07</v>
      </c>
      <c r="T209" s="1144">
        <f>IFERROR(VLOOKUP(CONCATENATE($E209,$G209),'LAC 103'!$A$12:$O$95,13,FALSE),0)</f>
        <v>1.92</v>
      </c>
      <c r="U209" s="1144">
        <f>IFERROR(VLOOKUP(CONCATENATE($E209,$G209),'LAC 103'!$A$12:$O$95,14,FALSE),0)</f>
        <v>0</v>
      </c>
      <c r="V209" s="1144">
        <f>IFERROR(VLOOKUP(CONCATENATE($E209,$G209),'LAC 103'!$A$12:$O$95,15,FALSE),0)</f>
        <v>0</v>
      </c>
      <c r="W209" s="1145" t="str">
        <f>IFERROR(VLOOKUP(CONCATENATE($B209,$N209),'LAC 103'!$AI:$AQ,9,FALSE),"")</f>
        <v>Costs</v>
      </c>
      <c r="X209" s="1146">
        <f t="shared" si="60"/>
        <v>2.483156209074918</v>
      </c>
      <c r="Y209" s="1143">
        <f t="shared" si="61"/>
        <v>464.35021109700966</v>
      </c>
      <c r="Z209" s="1147">
        <f t="shared" si="62"/>
        <v>574.08999999999992</v>
      </c>
      <c r="AA209" s="1144">
        <f t="shared" si="63"/>
        <v>359.03999999999996</v>
      </c>
      <c r="AB209" s="1144">
        <f t="shared" si="64"/>
        <v>0</v>
      </c>
      <c r="AC209" s="1144">
        <f t="shared" si="65"/>
        <v>0</v>
      </c>
      <c r="AD209" s="1148">
        <f t="shared" si="56"/>
        <v>464.35021109700966</v>
      </c>
      <c r="AE209" s="1487">
        <v>0</v>
      </c>
      <c r="AF209" s="1145">
        <f t="shared" si="66"/>
        <v>464.35021109700966</v>
      </c>
      <c r="AG209" s="1149">
        <f>IFERROR(VLOOKUP(CONCATENATE($L209,$N209),'Drop List'!$G$23:$K$87,2,FALSE),0)</f>
        <v>0</v>
      </c>
      <c r="AH209" s="1150">
        <f>IFERROR(VLOOKUP(CONCATENATE($L209,$N209),'Drop List'!$G$23:$K$87,3,FALSE),0)</f>
        <v>0</v>
      </c>
      <c r="AI209" s="1150">
        <f>IFERROR(VLOOKUP(CONCATENATE($L209,$N209),'Drop List'!$G$23:$K$87,4,FALSE),0)</f>
        <v>0</v>
      </c>
      <c r="AJ209" s="1151">
        <f>IFERROR(VLOOKUP(CONCATENATE($L209,$N209),'Drop List'!$G$23:$K$87,5,FALSE),0)</f>
        <v>0</v>
      </c>
      <c r="AK209" s="1152">
        <f t="shared" si="67"/>
        <v>0</v>
      </c>
      <c r="AL209" s="1153">
        <f t="shared" si="68"/>
        <v>0</v>
      </c>
      <c r="AM209" s="1153">
        <f t="shared" si="69"/>
        <v>0</v>
      </c>
      <c r="AN209" s="1145">
        <f t="shared" si="70"/>
        <v>0</v>
      </c>
      <c r="AO209" s="1154">
        <f t="shared" si="71"/>
        <v>0</v>
      </c>
      <c r="AP209" s="1147">
        <f t="shared" si="57"/>
        <v>464.35021109700966</v>
      </c>
      <c r="AQ209" s="1144">
        <f t="shared" si="58"/>
        <v>0</v>
      </c>
      <c r="AR209" s="1146">
        <f t="shared" si="59"/>
        <v>464.35021109700966</v>
      </c>
    </row>
    <row r="210" spans="1:44" x14ac:dyDescent="0.2">
      <c r="A210" s="1141" t="str">
        <f t="shared" si="54"/>
        <v>1504</v>
      </c>
      <c r="B210" s="1141" t="str">
        <f>IFERROR(VLOOKUP(A210,'LAC 103'!A:C,3,FALSE),"")</f>
        <v>OP</v>
      </c>
      <c r="C210" s="1478" t="str">
        <f>Info!$B$8</f>
        <v>00100</v>
      </c>
      <c r="D210" s="1474" t="s">
        <v>256</v>
      </c>
      <c r="E210" s="1474" t="s">
        <v>95</v>
      </c>
      <c r="F210" s="1478" t="s">
        <v>588</v>
      </c>
      <c r="G210" s="1478" t="s">
        <v>588</v>
      </c>
      <c r="H210" s="1474" t="s">
        <v>1656</v>
      </c>
      <c r="I210" s="1478" t="s">
        <v>809</v>
      </c>
      <c r="J210" s="1478"/>
      <c r="K210" s="1475" t="s">
        <v>971</v>
      </c>
      <c r="L210" s="1474" t="s">
        <v>332</v>
      </c>
      <c r="M210" s="1476" t="s">
        <v>1698</v>
      </c>
      <c r="N210" s="1477" t="s">
        <v>1693</v>
      </c>
      <c r="O210" s="1479">
        <v>115</v>
      </c>
      <c r="P210" s="1479"/>
      <c r="Q210" s="1142">
        <f t="shared" si="55"/>
        <v>115</v>
      </c>
      <c r="R210" s="1143">
        <f>IFERROR(VLOOKUP(CONCATENATE(E210,G210),'LAC 103'!$A$12:$O$95,11,FALSE),0)</f>
        <v>2.483156209074918</v>
      </c>
      <c r="S210" s="1144">
        <f>IFERROR(VLOOKUP(CONCATENATE($E210,$G210),'LAC 103'!$A$12:$O$95,12,FALSE),0)</f>
        <v>3.07</v>
      </c>
      <c r="T210" s="1144">
        <f>IFERROR(VLOOKUP(CONCATENATE($E210,$G210),'LAC 103'!$A$12:$O$95,13,FALSE),0)</f>
        <v>1.92</v>
      </c>
      <c r="U210" s="1144">
        <f>IFERROR(VLOOKUP(CONCATENATE($E210,$G210),'LAC 103'!$A$12:$O$95,14,FALSE),0)</f>
        <v>0</v>
      </c>
      <c r="V210" s="1144">
        <f>IFERROR(VLOOKUP(CONCATENATE($E210,$G210),'LAC 103'!$A$12:$O$95,15,FALSE),0)</f>
        <v>0</v>
      </c>
      <c r="W210" s="1145" t="str">
        <f>IFERROR(VLOOKUP(CONCATENATE($B210,$N210),'LAC 103'!$AI:$AQ,9,FALSE),"")</f>
        <v>Costs</v>
      </c>
      <c r="X210" s="1146">
        <f t="shared" si="60"/>
        <v>2.483156209074918</v>
      </c>
      <c r="Y210" s="1143">
        <f t="shared" si="61"/>
        <v>285.56296404361558</v>
      </c>
      <c r="Z210" s="1147">
        <f t="shared" si="62"/>
        <v>353.04999999999995</v>
      </c>
      <c r="AA210" s="1144">
        <f t="shared" si="63"/>
        <v>220.79999999999998</v>
      </c>
      <c r="AB210" s="1144">
        <f t="shared" si="64"/>
        <v>0</v>
      </c>
      <c r="AC210" s="1144">
        <f t="shared" si="65"/>
        <v>0</v>
      </c>
      <c r="AD210" s="1148">
        <f t="shared" si="56"/>
        <v>285.56296404361558</v>
      </c>
      <c r="AE210" s="1487">
        <v>0</v>
      </c>
      <c r="AF210" s="1145">
        <f t="shared" si="66"/>
        <v>285.56296404361558</v>
      </c>
      <c r="AG210" s="1149">
        <f>IFERROR(VLOOKUP(CONCATENATE($L210,$N210),'Drop List'!$G$23:$K$87,2,FALSE),0)</f>
        <v>0</v>
      </c>
      <c r="AH210" s="1150">
        <f>IFERROR(VLOOKUP(CONCATENATE($L210,$N210),'Drop List'!$G$23:$K$87,3,FALSE),0)</f>
        <v>0</v>
      </c>
      <c r="AI210" s="1150">
        <f>IFERROR(VLOOKUP(CONCATENATE($L210,$N210),'Drop List'!$G$23:$K$87,4,FALSE),0)</f>
        <v>0</v>
      </c>
      <c r="AJ210" s="1151">
        <f>IFERROR(VLOOKUP(CONCATENATE($L210,$N210),'Drop List'!$G$23:$K$87,5,FALSE),0)</f>
        <v>0</v>
      </c>
      <c r="AK210" s="1152">
        <f t="shared" si="67"/>
        <v>0</v>
      </c>
      <c r="AL210" s="1153">
        <f t="shared" si="68"/>
        <v>0</v>
      </c>
      <c r="AM210" s="1153">
        <f t="shared" si="69"/>
        <v>0</v>
      </c>
      <c r="AN210" s="1145">
        <f t="shared" si="70"/>
        <v>0</v>
      </c>
      <c r="AO210" s="1154">
        <f t="shared" si="71"/>
        <v>0</v>
      </c>
      <c r="AP210" s="1147">
        <f t="shared" si="57"/>
        <v>285.56296404361558</v>
      </c>
      <c r="AQ210" s="1144">
        <f t="shared" si="58"/>
        <v>0</v>
      </c>
      <c r="AR210" s="1146">
        <f t="shared" si="59"/>
        <v>285.56296404361558</v>
      </c>
    </row>
    <row r="211" spans="1:44" x14ac:dyDescent="0.2">
      <c r="A211" s="1141" t="str">
        <f t="shared" si="54"/>
        <v>1504</v>
      </c>
      <c r="B211" s="1141" t="str">
        <f>IFERROR(VLOOKUP(A211,'LAC 103'!A:C,3,FALSE),"")</f>
        <v>OP</v>
      </c>
      <c r="C211" s="1478" t="str">
        <f>Info!$B$8</f>
        <v>00100</v>
      </c>
      <c r="D211" s="1474" t="s">
        <v>256</v>
      </c>
      <c r="E211" s="1474" t="s">
        <v>95</v>
      </c>
      <c r="F211" s="1478" t="s">
        <v>588</v>
      </c>
      <c r="G211" s="1478" t="s">
        <v>588</v>
      </c>
      <c r="H211" s="1474" t="s">
        <v>1656</v>
      </c>
      <c r="I211" s="1478" t="s">
        <v>809</v>
      </c>
      <c r="J211" s="1478"/>
      <c r="K211" s="1475" t="s">
        <v>854</v>
      </c>
      <c r="L211" s="1474" t="s">
        <v>593</v>
      </c>
      <c r="M211" s="1476" t="s">
        <v>1699</v>
      </c>
      <c r="N211" s="1477" t="s">
        <v>1694</v>
      </c>
      <c r="O211" s="1479">
        <v>38</v>
      </c>
      <c r="P211" s="1479"/>
      <c r="Q211" s="1142">
        <f t="shared" si="55"/>
        <v>38</v>
      </c>
      <c r="R211" s="1143">
        <f>IFERROR(VLOOKUP(CONCATENATE(E211,G211),'LAC 103'!$A$12:$O$95,11,FALSE),0)</f>
        <v>2.483156209074918</v>
      </c>
      <c r="S211" s="1144">
        <f>IFERROR(VLOOKUP(CONCATENATE($E211,$G211),'LAC 103'!$A$12:$O$95,12,FALSE),0)</f>
        <v>3.07</v>
      </c>
      <c r="T211" s="1144">
        <f>IFERROR(VLOOKUP(CONCATENATE($E211,$G211),'LAC 103'!$A$12:$O$95,13,FALSE),0)</f>
        <v>1.92</v>
      </c>
      <c r="U211" s="1144">
        <f>IFERROR(VLOOKUP(CONCATENATE($E211,$G211),'LAC 103'!$A$12:$O$95,14,FALSE),0)</f>
        <v>0</v>
      </c>
      <c r="V211" s="1144">
        <f>IFERROR(VLOOKUP(CONCATENATE($E211,$G211),'LAC 103'!$A$12:$O$95,15,FALSE),0)</f>
        <v>0</v>
      </c>
      <c r="W211" s="1145" t="str">
        <f>IFERROR(VLOOKUP(CONCATENATE($B211,$N211),'LAC 103'!$AI:$AQ,9,FALSE),"")</f>
        <v>Costs</v>
      </c>
      <c r="X211" s="1146">
        <f t="shared" si="60"/>
        <v>2.483156209074918</v>
      </c>
      <c r="Y211" s="1143">
        <f t="shared" si="61"/>
        <v>94.359935944846882</v>
      </c>
      <c r="Z211" s="1147">
        <f t="shared" si="62"/>
        <v>116.66</v>
      </c>
      <c r="AA211" s="1144">
        <f t="shared" si="63"/>
        <v>72.959999999999994</v>
      </c>
      <c r="AB211" s="1144">
        <f t="shared" si="64"/>
        <v>0</v>
      </c>
      <c r="AC211" s="1144">
        <f t="shared" si="65"/>
        <v>0</v>
      </c>
      <c r="AD211" s="1148">
        <f t="shared" si="56"/>
        <v>94.359935944846882</v>
      </c>
      <c r="AE211" s="1487">
        <v>0</v>
      </c>
      <c r="AF211" s="1145">
        <f t="shared" si="66"/>
        <v>94.359935944846882</v>
      </c>
      <c r="AG211" s="1149">
        <f>IFERROR(VLOOKUP(CONCATENATE($L211,$N211),'Drop List'!$G$23:$K$87,2,FALSE),0)</f>
        <v>0.69340000000000002</v>
      </c>
      <c r="AH211" s="1150">
        <f>IFERROR(VLOOKUP(CONCATENATE($L211,$N211),'Drop List'!$G$23:$K$87,3,FALSE),0)</f>
        <v>0</v>
      </c>
      <c r="AI211" s="1150">
        <f>IFERROR(VLOOKUP(CONCATENATE($L211,$N211),'Drop List'!$G$23:$K$87,4,FALSE),0)</f>
        <v>0</v>
      </c>
      <c r="AJ211" s="1151">
        <f>IFERROR(VLOOKUP(CONCATENATE($L211,$N211),'Drop List'!$G$23:$K$87,5,FALSE),0)</f>
        <v>0.30659999999999998</v>
      </c>
      <c r="AK211" s="1152">
        <f t="shared" si="67"/>
        <v>65.429179584156827</v>
      </c>
      <c r="AL211" s="1153">
        <f t="shared" si="68"/>
        <v>0</v>
      </c>
      <c r="AM211" s="1153">
        <f t="shared" si="69"/>
        <v>0</v>
      </c>
      <c r="AN211" s="1145">
        <f t="shared" si="70"/>
        <v>28.930756360690051</v>
      </c>
      <c r="AO211" s="1154">
        <f t="shared" si="71"/>
        <v>94.359935944846882</v>
      </c>
      <c r="AP211" s="1147">
        <f t="shared" si="57"/>
        <v>0</v>
      </c>
      <c r="AQ211" s="1144">
        <f t="shared" si="58"/>
        <v>0</v>
      </c>
      <c r="AR211" s="1146">
        <f t="shared" si="59"/>
        <v>94.359935944846882</v>
      </c>
    </row>
    <row r="212" spans="1:44" x14ac:dyDescent="0.2">
      <c r="A212" s="1141" t="str">
        <f t="shared" si="54"/>
        <v>1504</v>
      </c>
      <c r="B212" s="1141" t="str">
        <f>IFERROR(VLOOKUP(A212,'LAC 103'!A:C,3,FALSE),"")</f>
        <v>OP</v>
      </c>
      <c r="C212" s="1478" t="str">
        <f>Info!$B$8</f>
        <v>00100</v>
      </c>
      <c r="D212" s="1474" t="s">
        <v>256</v>
      </c>
      <c r="E212" s="1474" t="s">
        <v>95</v>
      </c>
      <c r="F212" s="1478" t="s">
        <v>588</v>
      </c>
      <c r="G212" s="1478" t="s">
        <v>588</v>
      </c>
      <c r="H212" s="1474" t="s">
        <v>1656</v>
      </c>
      <c r="I212" s="1478" t="s">
        <v>809</v>
      </c>
      <c r="J212" s="1478"/>
      <c r="K212" s="1475" t="s">
        <v>854</v>
      </c>
      <c r="L212" s="1474" t="s">
        <v>593</v>
      </c>
      <c r="M212" s="1476" t="s">
        <v>841</v>
      </c>
      <c r="N212" s="1477" t="s">
        <v>1695</v>
      </c>
      <c r="O212" s="1479">
        <v>48</v>
      </c>
      <c r="P212" s="1479"/>
      <c r="Q212" s="1142">
        <f t="shared" si="55"/>
        <v>48</v>
      </c>
      <c r="R212" s="1143">
        <f>IFERROR(VLOOKUP(CONCATENATE(E212,G212),'LAC 103'!$A$12:$O$95,11,FALSE),0)</f>
        <v>2.483156209074918</v>
      </c>
      <c r="S212" s="1144">
        <f>IFERROR(VLOOKUP(CONCATENATE($E212,$G212),'LAC 103'!$A$12:$O$95,12,FALSE),0)</f>
        <v>3.07</v>
      </c>
      <c r="T212" s="1144">
        <f>IFERROR(VLOOKUP(CONCATENATE($E212,$G212),'LAC 103'!$A$12:$O$95,13,FALSE),0)</f>
        <v>1.92</v>
      </c>
      <c r="U212" s="1144">
        <f>IFERROR(VLOOKUP(CONCATENATE($E212,$G212),'LAC 103'!$A$12:$O$95,14,FALSE),0)</f>
        <v>0</v>
      </c>
      <c r="V212" s="1144">
        <f>IFERROR(VLOOKUP(CONCATENATE($E212,$G212),'LAC 103'!$A$12:$O$95,15,FALSE),0)</f>
        <v>0</v>
      </c>
      <c r="W212" s="1145" t="str">
        <f>IFERROR(VLOOKUP(CONCATENATE($B212,$N212),'LAC 103'!$AI:$AQ,9,FALSE),"")</f>
        <v>Costs</v>
      </c>
      <c r="X212" s="1146">
        <f t="shared" si="60"/>
        <v>2.483156209074918</v>
      </c>
      <c r="Y212" s="1143">
        <f t="shared" si="61"/>
        <v>119.19149803559606</v>
      </c>
      <c r="Z212" s="1147">
        <f t="shared" si="62"/>
        <v>147.35999999999999</v>
      </c>
      <c r="AA212" s="1144">
        <f t="shared" si="63"/>
        <v>92.16</v>
      </c>
      <c r="AB212" s="1144">
        <f t="shared" si="64"/>
        <v>0</v>
      </c>
      <c r="AC212" s="1144">
        <f t="shared" si="65"/>
        <v>0</v>
      </c>
      <c r="AD212" s="1148">
        <f t="shared" si="56"/>
        <v>119.19149803559606</v>
      </c>
      <c r="AE212" s="1487">
        <v>0</v>
      </c>
      <c r="AF212" s="1145">
        <f t="shared" si="66"/>
        <v>119.19149803559606</v>
      </c>
      <c r="AG212" s="1149">
        <f>IFERROR(VLOOKUP(CONCATENATE($L212,$N212),'Drop List'!$G$23:$K$87,2,FALSE),0)</f>
        <v>0.68500000000000005</v>
      </c>
      <c r="AH212" s="1150">
        <f>IFERROR(VLOOKUP(CONCATENATE($L212,$N212),'Drop List'!$G$23:$K$87,3,FALSE),0)</f>
        <v>0</v>
      </c>
      <c r="AI212" s="1150">
        <f>IFERROR(VLOOKUP(CONCATENATE($L212,$N212),'Drop List'!$G$23:$K$87,4,FALSE),0)</f>
        <v>0</v>
      </c>
      <c r="AJ212" s="1151">
        <f>IFERROR(VLOOKUP(CONCATENATE($L212,$N212),'Drop List'!$G$23:$K$87,5,FALSE),0)</f>
        <v>0.31499999999999995</v>
      </c>
      <c r="AK212" s="1152">
        <f t="shared" si="67"/>
        <v>81.646176154383298</v>
      </c>
      <c r="AL212" s="1153">
        <f t="shared" si="68"/>
        <v>0</v>
      </c>
      <c r="AM212" s="1153">
        <f t="shared" si="69"/>
        <v>0</v>
      </c>
      <c r="AN212" s="1145">
        <f t="shared" si="70"/>
        <v>37.54532188121275</v>
      </c>
      <c r="AO212" s="1154">
        <f t="shared" si="71"/>
        <v>119.19149803559606</v>
      </c>
      <c r="AP212" s="1147">
        <f t="shared" si="57"/>
        <v>0</v>
      </c>
      <c r="AQ212" s="1144">
        <f t="shared" si="58"/>
        <v>0</v>
      </c>
      <c r="AR212" s="1146">
        <f t="shared" si="59"/>
        <v>119.19149803559606</v>
      </c>
    </row>
    <row r="213" spans="1:44" x14ac:dyDescent="0.2">
      <c r="A213" s="1141" t="str">
        <f t="shared" si="54"/>
        <v>1504</v>
      </c>
      <c r="B213" s="1141" t="str">
        <f>IFERROR(VLOOKUP(A213,'LAC 103'!A:C,3,FALSE),"")</f>
        <v>OP</v>
      </c>
      <c r="C213" s="1478" t="str">
        <f>Info!$B$8</f>
        <v>00100</v>
      </c>
      <c r="D213" s="1474" t="s">
        <v>256</v>
      </c>
      <c r="E213" s="1474" t="s">
        <v>95</v>
      </c>
      <c r="F213" s="1478" t="s">
        <v>588</v>
      </c>
      <c r="G213" s="1478" t="s">
        <v>588</v>
      </c>
      <c r="H213" s="1474" t="s">
        <v>1656</v>
      </c>
      <c r="I213" s="1478" t="s">
        <v>809</v>
      </c>
      <c r="J213" s="1478"/>
      <c r="K213" s="1475" t="s">
        <v>854</v>
      </c>
      <c r="L213" s="1474" t="s">
        <v>593</v>
      </c>
      <c r="M213" s="1476" t="s">
        <v>840</v>
      </c>
      <c r="N213" s="1477" t="s">
        <v>1700</v>
      </c>
      <c r="O213" s="1479">
        <v>71</v>
      </c>
      <c r="P213" s="1479"/>
      <c r="Q213" s="1142">
        <f t="shared" si="55"/>
        <v>71</v>
      </c>
      <c r="R213" s="1143">
        <f>IFERROR(VLOOKUP(CONCATENATE(E213,G213),'LAC 103'!$A$12:$O$95,11,FALSE),0)</f>
        <v>2.483156209074918</v>
      </c>
      <c r="S213" s="1144">
        <f>IFERROR(VLOOKUP(CONCATENATE($E213,$G213),'LAC 103'!$A$12:$O$95,12,FALSE),0)</f>
        <v>3.07</v>
      </c>
      <c r="T213" s="1144">
        <f>IFERROR(VLOOKUP(CONCATENATE($E213,$G213),'LAC 103'!$A$12:$O$95,13,FALSE),0)</f>
        <v>1.92</v>
      </c>
      <c r="U213" s="1144">
        <f>IFERROR(VLOOKUP(CONCATENATE($E213,$G213),'LAC 103'!$A$12:$O$95,14,FALSE),0)</f>
        <v>0</v>
      </c>
      <c r="V213" s="1144">
        <f>IFERROR(VLOOKUP(CONCATENATE($E213,$G213),'LAC 103'!$A$12:$O$95,15,FALSE),0)</f>
        <v>0</v>
      </c>
      <c r="W213" s="1145" t="str">
        <f>IFERROR(VLOOKUP(CONCATENATE($B213,$N213),'LAC 103'!$AI:$AQ,9,FALSE),"")</f>
        <v>P.C.</v>
      </c>
      <c r="X213" s="1146">
        <f t="shared" si="60"/>
        <v>1.92</v>
      </c>
      <c r="Y213" s="1143">
        <f t="shared" si="61"/>
        <v>176.30409084431918</v>
      </c>
      <c r="Z213" s="1147">
        <f t="shared" si="62"/>
        <v>217.97</v>
      </c>
      <c r="AA213" s="1144">
        <f t="shared" si="63"/>
        <v>136.32</v>
      </c>
      <c r="AB213" s="1144">
        <f t="shared" si="64"/>
        <v>0</v>
      </c>
      <c r="AC213" s="1144">
        <f t="shared" si="65"/>
        <v>0</v>
      </c>
      <c r="AD213" s="1148">
        <f t="shared" si="56"/>
        <v>136.32</v>
      </c>
      <c r="AE213" s="1487">
        <v>0</v>
      </c>
      <c r="AF213" s="1145">
        <f t="shared" si="66"/>
        <v>136.32</v>
      </c>
      <c r="AG213" s="1149">
        <f>IFERROR(VLOOKUP(CONCATENATE($L213,$N213),'Drop List'!$G$23:$K$87,2,FALSE),0)</f>
        <v>0.68500000000000005</v>
      </c>
      <c r="AH213" s="1150">
        <f>IFERROR(VLOOKUP(CONCATENATE($L213,$N213),'Drop List'!$G$23:$K$87,3,FALSE),0)</f>
        <v>0</v>
      </c>
      <c r="AI213" s="1150">
        <f>IFERROR(VLOOKUP(CONCATENATE($L213,$N213),'Drop List'!$G$23:$K$87,4,FALSE),0)</f>
        <v>0</v>
      </c>
      <c r="AJ213" s="1151">
        <f>IFERROR(VLOOKUP(CONCATENATE($L213,$N213),'Drop List'!$G$23:$K$87,5,FALSE),0)</f>
        <v>0.31499999999999995</v>
      </c>
      <c r="AK213" s="1152">
        <f t="shared" si="67"/>
        <v>93.379199999999997</v>
      </c>
      <c r="AL213" s="1153">
        <f t="shared" si="68"/>
        <v>0</v>
      </c>
      <c r="AM213" s="1153">
        <f t="shared" si="69"/>
        <v>0</v>
      </c>
      <c r="AN213" s="1145">
        <f t="shared" si="70"/>
        <v>42.940799999999989</v>
      </c>
      <c r="AO213" s="1154">
        <f t="shared" si="71"/>
        <v>136.32</v>
      </c>
      <c r="AP213" s="1147">
        <f t="shared" si="57"/>
        <v>0</v>
      </c>
      <c r="AQ213" s="1144">
        <f t="shared" si="58"/>
        <v>0</v>
      </c>
      <c r="AR213" s="1146">
        <f t="shared" si="59"/>
        <v>136.32</v>
      </c>
    </row>
    <row r="214" spans="1:44" x14ac:dyDescent="0.2">
      <c r="A214" s="1141" t="str">
        <f t="shared" si="54"/>
        <v>1504</v>
      </c>
      <c r="B214" s="1141" t="str">
        <f>IFERROR(VLOOKUP(A214,'LAC 103'!A:C,3,FALSE),"")</f>
        <v>OP</v>
      </c>
      <c r="C214" s="1478" t="str">
        <f>Info!$B$8</f>
        <v>00100</v>
      </c>
      <c r="D214" s="1474" t="s">
        <v>256</v>
      </c>
      <c r="E214" s="1474" t="s">
        <v>95</v>
      </c>
      <c r="F214" s="1478" t="s">
        <v>588</v>
      </c>
      <c r="G214" s="1478" t="s">
        <v>588</v>
      </c>
      <c r="H214" s="1474" t="s">
        <v>1656</v>
      </c>
      <c r="I214" s="1478" t="s">
        <v>809</v>
      </c>
      <c r="J214" s="1478"/>
      <c r="K214" s="1475" t="s">
        <v>854</v>
      </c>
      <c r="L214" s="1474" t="s">
        <v>593</v>
      </c>
      <c r="M214" s="1476" t="s">
        <v>842</v>
      </c>
      <c r="N214" s="1477" t="s">
        <v>1692</v>
      </c>
      <c r="O214" s="1479">
        <v>179</v>
      </c>
      <c r="P214" s="1479"/>
      <c r="Q214" s="1142">
        <f t="shared" si="55"/>
        <v>179</v>
      </c>
      <c r="R214" s="1143">
        <f>IFERROR(VLOOKUP(CONCATENATE(E214,G214),'LAC 103'!$A$12:$O$95,11,FALSE),0)</f>
        <v>2.483156209074918</v>
      </c>
      <c r="S214" s="1144">
        <f>IFERROR(VLOOKUP(CONCATENATE($E214,$G214),'LAC 103'!$A$12:$O$95,12,FALSE),0)</f>
        <v>3.07</v>
      </c>
      <c r="T214" s="1144">
        <f>IFERROR(VLOOKUP(CONCATENATE($E214,$G214),'LAC 103'!$A$12:$O$95,13,FALSE),0)</f>
        <v>1.92</v>
      </c>
      <c r="U214" s="1144">
        <f>IFERROR(VLOOKUP(CONCATENATE($E214,$G214),'LAC 103'!$A$12:$O$95,14,FALSE),0)</f>
        <v>0</v>
      </c>
      <c r="V214" s="1144">
        <f>IFERROR(VLOOKUP(CONCATENATE($E214,$G214),'LAC 103'!$A$12:$O$95,15,FALSE),0)</f>
        <v>0</v>
      </c>
      <c r="W214" s="1145" t="str">
        <f>IFERROR(VLOOKUP(CONCATENATE($B214,$N214),'LAC 103'!$AI:$AQ,9,FALSE),"")</f>
        <v>Costs</v>
      </c>
      <c r="X214" s="1146">
        <f t="shared" si="60"/>
        <v>2.483156209074918</v>
      </c>
      <c r="Y214" s="1143">
        <f t="shared" si="61"/>
        <v>444.4849614244103</v>
      </c>
      <c r="Z214" s="1147">
        <f t="shared" si="62"/>
        <v>549.53</v>
      </c>
      <c r="AA214" s="1144">
        <f t="shared" si="63"/>
        <v>343.68</v>
      </c>
      <c r="AB214" s="1144">
        <f t="shared" si="64"/>
        <v>0</v>
      </c>
      <c r="AC214" s="1144">
        <f t="shared" si="65"/>
        <v>0</v>
      </c>
      <c r="AD214" s="1148">
        <f t="shared" si="56"/>
        <v>444.4849614244103</v>
      </c>
      <c r="AE214" s="1487">
        <v>0</v>
      </c>
      <c r="AF214" s="1145">
        <f t="shared" si="66"/>
        <v>444.4849614244103</v>
      </c>
      <c r="AG214" s="1149">
        <f>IFERROR(VLOOKUP(CONCATENATE($L214,$N214),'Drop List'!$G$23:$K$87,2,FALSE),0)</f>
        <v>0.69340000000000002</v>
      </c>
      <c r="AH214" s="1150">
        <f>IFERROR(VLOOKUP(CONCATENATE($L214,$N214),'Drop List'!$G$23:$K$87,3,FALSE),0)</f>
        <v>0</v>
      </c>
      <c r="AI214" s="1150">
        <f>IFERROR(VLOOKUP(CONCATENATE($L214,$N214),'Drop List'!$G$23:$K$87,4,FALSE),0)</f>
        <v>0</v>
      </c>
      <c r="AJ214" s="1151">
        <f>IFERROR(VLOOKUP(CONCATENATE($L214,$N214),'Drop List'!$G$23:$K$87,5,FALSE),0)</f>
        <v>0.30659999999999998</v>
      </c>
      <c r="AK214" s="1152">
        <f t="shared" si="67"/>
        <v>308.20587225168612</v>
      </c>
      <c r="AL214" s="1153">
        <f t="shared" si="68"/>
        <v>0</v>
      </c>
      <c r="AM214" s="1153">
        <f t="shared" si="69"/>
        <v>0</v>
      </c>
      <c r="AN214" s="1145">
        <f t="shared" si="70"/>
        <v>136.27908917272418</v>
      </c>
      <c r="AO214" s="1154">
        <f t="shared" si="71"/>
        <v>444.4849614244103</v>
      </c>
      <c r="AP214" s="1147">
        <f t="shared" si="57"/>
        <v>0</v>
      </c>
      <c r="AQ214" s="1144">
        <f t="shared" si="58"/>
        <v>0</v>
      </c>
      <c r="AR214" s="1146">
        <f t="shared" si="59"/>
        <v>444.4849614244103</v>
      </c>
    </row>
    <row r="215" spans="1:44" x14ac:dyDescent="0.2">
      <c r="A215" s="1141" t="str">
        <f t="shared" si="54"/>
        <v>1504</v>
      </c>
      <c r="B215" s="1141" t="str">
        <f>IFERROR(VLOOKUP(A215,'LAC 103'!A:C,3,FALSE),"")</f>
        <v>OP</v>
      </c>
      <c r="C215" s="1478" t="str">
        <f>Info!$B$8</f>
        <v>00100</v>
      </c>
      <c r="D215" s="1474" t="s">
        <v>256</v>
      </c>
      <c r="E215" s="1474" t="s">
        <v>95</v>
      </c>
      <c r="F215" s="1478" t="s">
        <v>588</v>
      </c>
      <c r="G215" s="1478" t="s">
        <v>588</v>
      </c>
      <c r="H215" s="1474" t="s">
        <v>1656</v>
      </c>
      <c r="I215" s="1478" t="s">
        <v>809</v>
      </c>
      <c r="J215" s="1478"/>
      <c r="K215" s="1475" t="s">
        <v>854</v>
      </c>
      <c r="L215" s="1474" t="s">
        <v>593</v>
      </c>
      <c r="M215" s="1476" t="s">
        <v>1698</v>
      </c>
      <c r="N215" s="1477" t="s">
        <v>1693</v>
      </c>
      <c r="O215" s="1479">
        <v>77</v>
      </c>
      <c r="P215" s="1479"/>
      <c r="Q215" s="1142">
        <f t="shared" si="55"/>
        <v>77</v>
      </c>
      <c r="R215" s="1143">
        <f>IFERROR(VLOOKUP(CONCATENATE(E215,G215),'LAC 103'!$A$12:$O$95,11,FALSE),0)</f>
        <v>2.483156209074918</v>
      </c>
      <c r="S215" s="1144">
        <f>IFERROR(VLOOKUP(CONCATENATE($E215,$G215),'LAC 103'!$A$12:$O$95,12,FALSE),0)</f>
        <v>3.07</v>
      </c>
      <c r="T215" s="1144">
        <f>IFERROR(VLOOKUP(CONCATENATE($E215,$G215),'LAC 103'!$A$12:$O$95,13,FALSE),0)</f>
        <v>1.92</v>
      </c>
      <c r="U215" s="1144">
        <f>IFERROR(VLOOKUP(CONCATENATE($E215,$G215),'LAC 103'!$A$12:$O$95,14,FALSE),0)</f>
        <v>0</v>
      </c>
      <c r="V215" s="1144">
        <f>IFERROR(VLOOKUP(CONCATENATE($E215,$G215),'LAC 103'!$A$12:$O$95,15,FALSE),0)</f>
        <v>0</v>
      </c>
      <c r="W215" s="1145" t="str">
        <f>IFERROR(VLOOKUP(CONCATENATE($B215,$N215),'LAC 103'!$AI:$AQ,9,FALSE),"")</f>
        <v>Costs</v>
      </c>
      <c r="X215" s="1146">
        <f t="shared" si="60"/>
        <v>2.483156209074918</v>
      </c>
      <c r="Y215" s="1143">
        <f t="shared" si="61"/>
        <v>191.20302809876867</v>
      </c>
      <c r="Z215" s="1147">
        <f t="shared" si="62"/>
        <v>236.39</v>
      </c>
      <c r="AA215" s="1144">
        <f t="shared" si="63"/>
        <v>147.84</v>
      </c>
      <c r="AB215" s="1144">
        <f t="shared" si="64"/>
        <v>0</v>
      </c>
      <c r="AC215" s="1144">
        <f t="shared" si="65"/>
        <v>0</v>
      </c>
      <c r="AD215" s="1148">
        <f t="shared" si="56"/>
        <v>191.20302809876867</v>
      </c>
      <c r="AE215" s="1487">
        <v>0</v>
      </c>
      <c r="AF215" s="1145">
        <f t="shared" si="66"/>
        <v>191.20302809876867</v>
      </c>
      <c r="AG215" s="1149">
        <f>IFERROR(VLOOKUP(CONCATENATE($L215,$N215),'Drop List'!$G$23:$K$87,2,FALSE),0)</f>
        <v>0.69340000000000002</v>
      </c>
      <c r="AH215" s="1150">
        <f>IFERROR(VLOOKUP(CONCATENATE($L215,$N215),'Drop List'!$G$23:$K$87,3,FALSE),0)</f>
        <v>0</v>
      </c>
      <c r="AI215" s="1150">
        <f>IFERROR(VLOOKUP(CONCATENATE($L215,$N215),'Drop List'!$G$23:$K$87,4,FALSE),0)</f>
        <v>0</v>
      </c>
      <c r="AJ215" s="1151">
        <f>IFERROR(VLOOKUP(CONCATENATE($L215,$N215),'Drop List'!$G$23:$K$87,5,FALSE),0)</f>
        <v>0.30659999999999998</v>
      </c>
      <c r="AK215" s="1152">
        <f t="shared" si="67"/>
        <v>132.5801796836862</v>
      </c>
      <c r="AL215" s="1153">
        <f t="shared" si="68"/>
        <v>0</v>
      </c>
      <c r="AM215" s="1153">
        <f t="shared" si="69"/>
        <v>0</v>
      </c>
      <c r="AN215" s="1145">
        <f t="shared" si="70"/>
        <v>58.622848415082473</v>
      </c>
      <c r="AO215" s="1154">
        <f t="shared" si="71"/>
        <v>191.20302809876867</v>
      </c>
      <c r="AP215" s="1147">
        <f t="shared" si="57"/>
        <v>0</v>
      </c>
      <c r="AQ215" s="1144">
        <f t="shared" si="58"/>
        <v>0</v>
      </c>
      <c r="AR215" s="1146">
        <f t="shared" si="59"/>
        <v>191.20302809876867</v>
      </c>
    </row>
    <row r="216" spans="1:44" x14ac:dyDescent="0.2">
      <c r="A216" s="1141" t="str">
        <f t="shared" si="54"/>
        <v>1504</v>
      </c>
      <c r="B216" s="1141" t="str">
        <f>IFERROR(VLOOKUP(A216,'LAC 103'!A:C,3,FALSE),"")</f>
        <v>OP</v>
      </c>
      <c r="C216" s="1478" t="str">
        <f>Info!$B$8</f>
        <v>00100</v>
      </c>
      <c r="D216" s="1474" t="s">
        <v>256</v>
      </c>
      <c r="E216" s="1474" t="s">
        <v>95</v>
      </c>
      <c r="F216" s="1478" t="s">
        <v>588</v>
      </c>
      <c r="G216" s="1478" t="s">
        <v>588</v>
      </c>
      <c r="H216" s="1474" t="s">
        <v>1656</v>
      </c>
      <c r="I216" s="1478" t="s">
        <v>809</v>
      </c>
      <c r="J216" s="1478"/>
      <c r="K216" s="1475" t="s">
        <v>850</v>
      </c>
      <c r="L216" s="1474" t="s">
        <v>330</v>
      </c>
      <c r="M216" s="1476" t="s">
        <v>1698</v>
      </c>
      <c r="N216" s="1477" t="s">
        <v>1693</v>
      </c>
      <c r="O216" s="1479">
        <v>69</v>
      </c>
      <c r="P216" s="1479"/>
      <c r="Q216" s="1142">
        <f t="shared" si="55"/>
        <v>69</v>
      </c>
      <c r="R216" s="1143">
        <f>IFERROR(VLOOKUP(CONCATENATE(E216,G216),'LAC 103'!$A$12:$O$95,11,FALSE),0)</f>
        <v>2.483156209074918</v>
      </c>
      <c r="S216" s="1144">
        <f>IFERROR(VLOOKUP(CONCATENATE($E216,$G216),'LAC 103'!$A$12:$O$95,12,FALSE),0)</f>
        <v>3.07</v>
      </c>
      <c r="T216" s="1144">
        <f>IFERROR(VLOOKUP(CONCATENATE($E216,$G216),'LAC 103'!$A$12:$O$95,13,FALSE),0)</f>
        <v>1.92</v>
      </c>
      <c r="U216" s="1144">
        <f>IFERROR(VLOOKUP(CONCATENATE($E216,$G216),'LAC 103'!$A$12:$O$95,14,FALSE),0)</f>
        <v>0</v>
      </c>
      <c r="V216" s="1144">
        <f>IFERROR(VLOOKUP(CONCATENATE($E216,$G216),'LAC 103'!$A$12:$O$95,15,FALSE),0)</f>
        <v>0</v>
      </c>
      <c r="W216" s="1145" t="str">
        <f>IFERROR(VLOOKUP(CONCATENATE($B216,$N216),'LAC 103'!$AI:$AQ,9,FALSE),"")</f>
        <v>Costs</v>
      </c>
      <c r="X216" s="1146">
        <f t="shared" si="60"/>
        <v>2.483156209074918</v>
      </c>
      <c r="Y216" s="1143">
        <f t="shared" si="61"/>
        <v>171.33777842616934</v>
      </c>
      <c r="Z216" s="1147">
        <f t="shared" si="62"/>
        <v>211.82999999999998</v>
      </c>
      <c r="AA216" s="1144">
        <f t="shared" si="63"/>
        <v>132.47999999999999</v>
      </c>
      <c r="AB216" s="1144">
        <f t="shared" si="64"/>
        <v>0</v>
      </c>
      <c r="AC216" s="1144">
        <f t="shared" si="65"/>
        <v>0</v>
      </c>
      <c r="AD216" s="1148">
        <f t="shared" si="56"/>
        <v>171.33777842616934</v>
      </c>
      <c r="AE216" s="1487">
        <v>0</v>
      </c>
      <c r="AF216" s="1145">
        <f t="shared" si="66"/>
        <v>171.33777842616934</v>
      </c>
      <c r="AG216" s="1149">
        <f>IFERROR(VLOOKUP(CONCATENATE($L216,$N216),'Drop List'!$G$23:$K$87,2,FALSE),0)</f>
        <v>0</v>
      </c>
      <c r="AH216" s="1150">
        <f>IFERROR(VLOOKUP(CONCATENATE($L216,$N216),'Drop List'!$G$23:$K$87,3,FALSE),0)</f>
        <v>0</v>
      </c>
      <c r="AI216" s="1150">
        <f>IFERROR(VLOOKUP(CONCATENATE($L216,$N216),'Drop List'!$G$23:$K$87,4,FALSE),0)</f>
        <v>1</v>
      </c>
      <c r="AJ216" s="1151">
        <f>IFERROR(VLOOKUP(CONCATENATE($L216,$N216),'Drop List'!$G$23:$K$87,5,FALSE),0)</f>
        <v>0</v>
      </c>
      <c r="AK216" s="1152">
        <f t="shared" si="67"/>
        <v>0</v>
      </c>
      <c r="AL216" s="1153">
        <f t="shared" si="68"/>
        <v>0</v>
      </c>
      <c r="AM216" s="1153">
        <f t="shared" si="69"/>
        <v>171.33777842616934</v>
      </c>
      <c r="AN216" s="1145">
        <f t="shared" si="70"/>
        <v>0</v>
      </c>
      <c r="AO216" s="1154">
        <f t="shared" si="71"/>
        <v>171.33777842616934</v>
      </c>
      <c r="AP216" s="1147">
        <f t="shared" si="57"/>
        <v>0</v>
      </c>
      <c r="AQ216" s="1144">
        <f t="shared" si="58"/>
        <v>0</v>
      </c>
      <c r="AR216" s="1146">
        <f t="shared" si="59"/>
        <v>171.33777842616934</v>
      </c>
    </row>
    <row r="217" spans="1:44" x14ac:dyDescent="0.2">
      <c r="A217" s="1141" t="str">
        <f t="shared" si="54"/>
        <v>1504</v>
      </c>
      <c r="B217" s="1141" t="str">
        <f>IFERROR(VLOOKUP(A217,'LAC 103'!A:C,3,FALSE),"")</f>
        <v>OP</v>
      </c>
      <c r="C217" s="1478" t="str">
        <f>Info!$B$8</f>
        <v>00100</v>
      </c>
      <c r="D217" s="1474" t="s">
        <v>256</v>
      </c>
      <c r="E217" s="1474" t="s">
        <v>95</v>
      </c>
      <c r="F217" s="1478" t="s">
        <v>588</v>
      </c>
      <c r="G217" s="1478" t="s">
        <v>588</v>
      </c>
      <c r="H217" s="1474" t="s">
        <v>1656</v>
      </c>
      <c r="I217" s="1478" t="s">
        <v>809</v>
      </c>
      <c r="J217" s="1478"/>
      <c r="K217" s="1475" t="s">
        <v>851</v>
      </c>
      <c r="L217" s="1474" t="s">
        <v>584</v>
      </c>
      <c r="M217" s="1476" t="s">
        <v>1699</v>
      </c>
      <c r="N217" s="1477" t="s">
        <v>1694</v>
      </c>
      <c r="O217" s="1479">
        <v>12754</v>
      </c>
      <c r="P217" s="1479"/>
      <c r="Q217" s="1142">
        <f t="shared" si="55"/>
        <v>12754</v>
      </c>
      <c r="R217" s="1143">
        <f>IFERROR(VLOOKUP(CONCATENATE(E217,G217),'LAC 103'!$A$12:$O$95,11,FALSE),0)</f>
        <v>2.483156209074918</v>
      </c>
      <c r="S217" s="1144">
        <f>IFERROR(VLOOKUP(CONCATENATE($E217,$G217),'LAC 103'!$A$12:$O$95,12,FALSE),0)</f>
        <v>3.07</v>
      </c>
      <c r="T217" s="1144">
        <f>IFERROR(VLOOKUP(CONCATENATE($E217,$G217),'LAC 103'!$A$12:$O$95,13,FALSE),0)</f>
        <v>1.92</v>
      </c>
      <c r="U217" s="1144">
        <f>IFERROR(VLOOKUP(CONCATENATE($E217,$G217),'LAC 103'!$A$12:$O$95,14,FALSE),0)</f>
        <v>0</v>
      </c>
      <c r="V217" s="1144">
        <f>IFERROR(VLOOKUP(CONCATENATE($E217,$G217),'LAC 103'!$A$12:$O$95,15,FALSE),0)</f>
        <v>0</v>
      </c>
      <c r="W217" s="1145" t="str">
        <f>IFERROR(VLOOKUP(CONCATENATE($B217,$N217),'LAC 103'!$AI:$AQ,9,FALSE),"")</f>
        <v>Costs</v>
      </c>
      <c r="X217" s="1146">
        <f t="shared" si="60"/>
        <v>2.483156209074918</v>
      </c>
      <c r="Y217" s="1143">
        <f t="shared" si="61"/>
        <v>31670.174290541505</v>
      </c>
      <c r="Z217" s="1147">
        <f t="shared" si="62"/>
        <v>39154.78</v>
      </c>
      <c r="AA217" s="1144">
        <f t="shared" si="63"/>
        <v>24487.68</v>
      </c>
      <c r="AB217" s="1144">
        <f t="shared" si="64"/>
        <v>0</v>
      </c>
      <c r="AC217" s="1144">
        <f t="shared" si="65"/>
        <v>0</v>
      </c>
      <c r="AD217" s="1148">
        <f t="shared" si="56"/>
        <v>31670.174290541505</v>
      </c>
      <c r="AE217" s="1487">
        <v>0</v>
      </c>
      <c r="AF217" s="1145">
        <f t="shared" si="66"/>
        <v>31670.174290541505</v>
      </c>
      <c r="AG217" s="1149">
        <f>IFERROR(VLOOKUP(CONCATENATE($L217,$N217),'Drop List'!$G$23:$K$87,2,FALSE),0)</f>
        <v>0.56200000000000006</v>
      </c>
      <c r="AH217" s="1150">
        <f>IFERROR(VLOOKUP(CONCATENATE($L217,$N217),'Drop List'!$G$23:$K$87,3,FALSE),0)</f>
        <v>0</v>
      </c>
      <c r="AI217" s="1150">
        <f>IFERROR(VLOOKUP(CONCATENATE($L217,$N217),'Drop List'!$G$23:$K$87,4,FALSE),0)</f>
        <v>0</v>
      </c>
      <c r="AJ217" s="1151">
        <f>IFERROR(VLOOKUP(CONCATENATE($L217,$N217),'Drop List'!$G$23:$K$87,5,FALSE),0)</f>
        <v>0.43799999999999994</v>
      </c>
      <c r="AK217" s="1152">
        <f t="shared" si="67"/>
        <v>17798.637951284327</v>
      </c>
      <c r="AL217" s="1153">
        <f t="shared" si="68"/>
        <v>0</v>
      </c>
      <c r="AM217" s="1153">
        <f t="shared" si="69"/>
        <v>0</v>
      </c>
      <c r="AN217" s="1145">
        <f t="shared" si="70"/>
        <v>13871.536339257178</v>
      </c>
      <c r="AO217" s="1154">
        <f t="shared" si="71"/>
        <v>31670.174290541505</v>
      </c>
      <c r="AP217" s="1147">
        <f t="shared" si="57"/>
        <v>0</v>
      </c>
      <c r="AQ217" s="1144">
        <f t="shared" si="58"/>
        <v>0</v>
      </c>
      <c r="AR217" s="1146">
        <f t="shared" si="59"/>
        <v>31670.174290541505</v>
      </c>
    </row>
    <row r="218" spans="1:44" x14ac:dyDescent="0.2">
      <c r="A218" s="1141" t="str">
        <f t="shared" si="54"/>
        <v>1504</v>
      </c>
      <c r="B218" s="1141" t="str">
        <f>IFERROR(VLOOKUP(A218,'LAC 103'!A:C,3,FALSE),"")</f>
        <v>OP</v>
      </c>
      <c r="C218" s="1478" t="str">
        <f>Info!$B$8</f>
        <v>00100</v>
      </c>
      <c r="D218" s="1474" t="s">
        <v>256</v>
      </c>
      <c r="E218" s="1474" t="s">
        <v>95</v>
      </c>
      <c r="F218" s="1478" t="s">
        <v>588</v>
      </c>
      <c r="G218" s="1478" t="s">
        <v>588</v>
      </c>
      <c r="H218" s="1474" t="s">
        <v>1656</v>
      </c>
      <c r="I218" s="1478" t="s">
        <v>809</v>
      </c>
      <c r="J218" s="1478"/>
      <c r="K218" s="1475" t="s">
        <v>851</v>
      </c>
      <c r="L218" s="1474" t="s">
        <v>584</v>
      </c>
      <c r="M218" s="1476" t="s">
        <v>841</v>
      </c>
      <c r="N218" s="1477" t="s">
        <v>1695</v>
      </c>
      <c r="O218" s="1479">
        <v>5758</v>
      </c>
      <c r="P218" s="1479"/>
      <c r="Q218" s="1142">
        <f t="shared" si="55"/>
        <v>5758</v>
      </c>
      <c r="R218" s="1143">
        <f>IFERROR(VLOOKUP(CONCATENATE(E218,G218),'LAC 103'!$A$12:$O$95,11,FALSE),0)</f>
        <v>2.483156209074918</v>
      </c>
      <c r="S218" s="1144">
        <f>IFERROR(VLOOKUP(CONCATENATE($E218,$G218),'LAC 103'!$A$12:$O$95,12,FALSE),0)</f>
        <v>3.07</v>
      </c>
      <c r="T218" s="1144">
        <f>IFERROR(VLOOKUP(CONCATENATE($E218,$G218),'LAC 103'!$A$12:$O$95,13,FALSE),0)</f>
        <v>1.92</v>
      </c>
      <c r="U218" s="1144">
        <f>IFERROR(VLOOKUP(CONCATENATE($E218,$G218),'LAC 103'!$A$12:$O$95,14,FALSE),0)</f>
        <v>0</v>
      </c>
      <c r="V218" s="1144">
        <f>IFERROR(VLOOKUP(CONCATENATE($E218,$G218),'LAC 103'!$A$12:$O$95,15,FALSE),0)</f>
        <v>0</v>
      </c>
      <c r="W218" s="1145" t="str">
        <f>IFERROR(VLOOKUP(CONCATENATE($B218,$N218),'LAC 103'!$AI:$AQ,9,FALSE),"")</f>
        <v>Costs</v>
      </c>
      <c r="X218" s="1146">
        <f t="shared" si="60"/>
        <v>2.483156209074918</v>
      </c>
      <c r="Y218" s="1143">
        <f t="shared" si="61"/>
        <v>14298.013451853378</v>
      </c>
      <c r="Z218" s="1147">
        <f t="shared" si="62"/>
        <v>17677.059999999998</v>
      </c>
      <c r="AA218" s="1144">
        <f t="shared" si="63"/>
        <v>11055.359999999999</v>
      </c>
      <c r="AB218" s="1144">
        <f t="shared" si="64"/>
        <v>0</v>
      </c>
      <c r="AC218" s="1144">
        <f t="shared" si="65"/>
        <v>0</v>
      </c>
      <c r="AD218" s="1148">
        <f t="shared" si="56"/>
        <v>14298.013451853378</v>
      </c>
      <c r="AE218" s="1487">
        <v>0</v>
      </c>
      <c r="AF218" s="1145">
        <f t="shared" si="66"/>
        <v>14298.013451853378</v>
      </c>
      <c r="AG218" s="1149">
        <f>IFERROR(VLOOKUP(CONCATENATE($L218,$N218),'Drop List'!$G$23:$K$87,2,FALSE),0)</f>
        <v>0.55000000000000004</v>
      </c>
      <c r="AH218" s="1150">
        <f>IFERROR(VLOOKUP(CONCATENATE($L218,$N218),'Drop List'!$G$23:$K$87,3,FALSE),0)</f>
        <v>0</v>
      </c>
      <c r="AI218" s="1150">
        <f>IFERROR(VLOOKUP(CONCATENATE($L218,$N218),'Drop List'!$G$23:$K$87,4,FALSE),0)</f>
        <v>0</v>
      </c>
      <c r="AJ218" s="1151">
        <f>IFERROR(VLOOKUP(CONCATENATE($L218,$N218),'Drop List'!$G$23:$K$87,5,FALSE),0)</f>
        <v>0.44999999999999996</v>
      </c>
      <c r="AK218" s="1152">
        <f t="shared" si="67"/>
        <v>7863.9073985193581</v>
      </c>
      <c r="AL218" s="1153">
        <f t="shared" si="68"/>
        <v>0</v>
      </c>
      <c r="AM218" s="1153">
        <f t="shared" si="69"/>
        <v>0</v>
      </c>
      <c r="AN218" s="1145">
        <f t="shared" si="70"/>
        <v>6434.1060533340196</v>
      </c>
      <c r="AO218" s="1154">
        <f t="shared" si="71"/>
        <v>14298.013451853378</v>
      </c>
      <c r="AP218" s="1147">
        <f t="shared" si="57"/>
        <v>0</v>
      </c>
      <c r="AQ218" s="1144">
        <f t="shared" si="58"/>
        <v>0</v>
      </c>
      <c r="AR218" s="1146">
        <f t="shared" si="59"/>
        <v>14298.013451853378</v>
      </c>
    </row>
    <row r="219" spans="1:44" x14ac:dyDescent="0.2">
      <c r="A219" s="1141" t="str">
        <f t="shared" si="54"/>
        <v>1504</v>
      </c>
      <c r="B219" s="1141" t="str">
        <f>IFERROR(VLOOKUP(A219,'LAC 103'!A:C,3,FALSE),"")</f>
        <v>OP</v>
      </c>
      <c r="C219" s="1478" t="str">
        <f>Info!$B$8</f>
        <v>00100</v>
      </c>
      <c r="D219" s="1474" t="s">
        <v>256</v>
      </c>
      <c r="E219" s="1474" t="s">
        <v>95</v>
      </c>
      <c r="F219" s="1478" t="s">
        <v>588</v>
      </c>
      <c r="G219" s="1478" t="s">
        <v>588</v>
      </c>
      <c r="H219" s="1474" t="s">
        <v>1656</v>
      </c>
      <c r="I219" s="1478" t="s">
        <v>809</v>
      </c>
      <c r="J219" s="1478"/>
      <c r="K219" s="1475" t="s">
        <v>851</v>
      </c>
      <c r="L219" s="1474" t="s">
        <v>584</v>
      </c>
      <c r="M219" s="1476" t="s">
        <v>840</v>
      </c>
      <c r="N219" s="1477" t="s">
        <v>1700</v>
      </c>
      <c r="O219" s="1479">
        <v>7651</v>
      </c>
      <c r="P219" s="1479"/>
      <c r="Q219" s="1142">
        <f t="shared" si="55"/>
        <v>7651</v>
      </c>
      <c r="R219" s="1143">
        <f>IFERROR(VLOOKUP(CONCATENATE(E219,G219),'LAC 103'!$A$12:$O$95,11,FALSE),0)</f>
        <v>2.483156209074918</v>
      </c>
      <c r="S219" s="1144">
        <f>IFERROR(VLOOKUP(CONCATENATE($E219,$G219),'LAC 103'!$A$12:$O$95,12,FALSE),0)</f>
        <v>3.07</v>
      </c>
      <c r="T219" s="1144">
        <f>IFERROR(VLOOKUP(CONCATENATE($E219,$G219),'LAC 103'!$A$12:$O$95,13,FALSE),0)</f>
        <v>1.92</v>
      </c>
      <c r="U219" s="1144">
        <f>IFERROR(VLOOKUP(CONCATENATE($E219,$G219),'LAC 103'!$A$12:$O$95,14,FALSE),0)</f>
        <v>0</v>
      </c>
      <c r="V219" s="1144">
        <f>IFERROR(VLOOKUP(CONCATENATE($E219,$G219),'LAC 103'!$A$12:$O$95,15,FALSE),0)</f>
        <v>0</v>
      </c>
      <c r="W219" s="1145" t="str">
        <f>IFERROR(VLOOKUP(CONCATENATE($B219,$N219),'LAC 103'!$AI:$AQ,9,FALSE),"")</f>
        <v>P.C.</v>
      </c>
      <c r="X219" s="1146">
        <f t="shared" si="60"/>
        <v>1.92</v>
      </c>
      <c r="Y219" s="1143">
        <f t="shared" si="61"/>
        <v>18998.628155632196</v>
      </c>
      <c r="Z219" s="1147">
        <f t="shared" si="62"/>
        <v>23488.57</v>
      </c>
      <c r="AA219" s="1144">
        <f t="shared" si="63"/>
        <v>14689.92</v>
      </c>
      <c r="AB219" s="1144">
        <f t="shared" si="64"/>
        <v>0</v>
      </c>
      <c r="AC219" s="1144">
        <f t="shared" si="65"/>
        <v>0</v>
      </c>
      <c r="AD219" s="1148">
        <f t="shared" si="56"/>
        <v>14689.92</v>
      </c>
      <c r="AE219" s="1487">
        <v>0</v>
      </c>
      <c r="AF219" s="1145">
        <f t="shared" si="66"/>
        <v>14689.92</v>
      </c>
      <c r="AG219" s="1149">
        <f>IFERROR(VLOOKUP(CONCATENATE($L219,$N219),'Drop List'!$G$23:$K$87,2,FALSE),0)</f>
        <v>0.55000000000000004</v>
      </c>
      <c r="AH219" s="1150">
        <f>IFERROR(VLOOKUP(CONCATENATE($L219,$N219),'Drop List'!$G$23:$K$87,3,FALSE),0)</f>
        <v>0</v>
      </c>
      <c r="AI219" s="1150">
        <f>IFERROR(VLOOKUP(CONCATENATE($L219,$N219),'Drop List'!$G$23:$K$87,4,FALSE),0)</f>
        <v>0</v>
      </c>
      <c r="AJ219" s="1151">
        <f>IFERROR(VLOOKUP(CONCATENATE($L219,$N219),'Drop List'!$G$23:$K$87,5,FALSE),0)</f>
        <v>0.44999999999999996</v>
      </c>
      <c r="AK219" s="1152">
        <f t="shared" si="67"/>
        <v>8079.456000000001</v>
      </c>
      <c r="AL219" s="1153">
        <f t="shared" si="68"/>
        <v>0</v>
      </c>
      <c r="AM219" s="1153">
        <f t="shared" si="69"/>
        <v>0</v>
      </c>
      <c r="AN219" s="1145">
        <f t="shared" si="70"/>
        <v>6610.463999999999</v>
      </c>
      <c r="AO219" s="1154">
        <f t="shared" si="71"/>
        <v>14689.92</v>
      </c>
      <c r="AP219" s="1147">
        <f t="shared" si="57"/>
        <v>0</v>
      </c>
      <c r="AQ219" s="1144">
        <f t="shared" si="58"/>
        <v>0</v>
      </c>
      <c r="AR219" s="1146">
        <f t="shared" si="59"/>
        <v>14689.92</v>
      </c>
    </row>
    <row r="220" spans="1:44" x14ac:dyDescent="0.2">
      <c r="A220" s="1141" t="str">
        <f t="shared" si="54"/>
        <v>1504</v>
      </c>
      <c r="B220" s="1141" t="str">
        <f>IFERROR(VLOOKUP(A220,'LAC 103'!A:C,3,FALSE),"")</f>
        <v>OP</v>
      </c>
      <c r="C220" s="1478" t="str">
        <f>Info!$B$8</f>
        <v>00100</v>
      </c>
      <c r="D220" s="1474" t="s">
        <v>256</v>
      </c>
      <c r="E220" s="1474" t="s">
        <v>95</v>
      </c>
      <c r="F220" s="1478" t="s">
        <v>588</v>
      </c>
      <c r="G220" s="1478" t="s">
        <v>588</v>
      </c>
      <c r="H220" s="1474" t="s">
        <v>1656</v>
      </c>
      <c r="I220" s="1478" t="s">
        <v>809</v>
      </c>
      <c r="J220" s="1478"/>
      <c r="K220" s="1475" t="s">
        <v>851</v>
      </c>
      <c r="L220" s="1474" t="s">
        <v>584</v>
      </c>
      <c r="M220" s="1476" t="s">
        <v>842</v>
      </c>
      <c r="N220" s="1477" t="s">
        <v>1692</v>
      </c>
      <c r="O220" s="1479">
        <v>20207</v>
      </c>
      <c r="P220" s="1479"/>
      <c r="Q220" s="1142">
        <f t="shared" si="55"/>
        <v>20207</v>
      </c>
      <c r="R220" s="1143">
        <f>IFERROR(VLOOKUP(CONCATENATE(E220,G220),'LAC 103'!$A$12:$O$95,11,FALSE),0)</f>
        <v>2.483156209074918</v>
      </c>
      <c r="S220" s="1144">
        <f>IFERROR(VLOOKUP(CONCATENATE($E220,$G220),'LAC 103'!$A$12:$O$95,12,FALSE),0)</f>
        <v>3.07</v>
      </c>
      <c r="T220" s="1144">
        <f>IFERROR(VLOOKUP(CONCATENATE($E220,$G220),'LAC 103'!$A$12:$O$95,13,FALSE),0)</f>
        <v>1.92</v>
      </c>
      <c r="U220" s="1144">
        <f>IFERROR(VLOOKUP(CONCATENATE($E220,$G220),'LAC 103'!$A$12:$O$95,14,FALSE),0)</f>
        <v>0</v>
      </c>
      <c r="V220" s="1144">
        <f>IFERROR(VLOOKUP(CONCATENATE($E220,$G220),'LAC 103'!$A$12:$O$95,15,FALSE),0)</f>
        <v>0</v>
      </c>
      <c r="W220" s="1145" t="str">
        <f>IFERROR(VLOOKUP(CONCATENATE($B220,$N220),'LAC 103'!$AI:$AQ,9,FALSE),"")</f>
        <v>Costs</v>
      </c>
      <c r="X220" s="1146">
        <f t="shared" si="60"/>
        <v>2.483156209074918</v>
      </c>
      <c r="Y220" s="1143">
        <f t="shared" si="61"/>
        <v>50177.137516776864</v>
      </c>
      <c r="Z220" s="1147">
        <f t="shared" si="62"/>
        <v>62035.49</v>
      </c>
      <c r="AA220" s="1144">
        <f t="shared" si="63"/>
        <v>38797.439999999995</v>
      </c>
      <c r="AB220" s="1144">
        <f t="shared" si="64"/>
        <v>0</v>
      </c>
      <c r="AC220" s="1144">
        <f t="shared" si="65"/>
        <v>0</v>
      </c>
      <c r="AD220" s="1148">
        <f t="shared" si="56"/>
        <v>50177.137516776864</v>
      </c>
      <c r="AE220" s="1487">
        <v>0</v>
      </c>
      <c r="AF220" s="1145">
        <f t="shared" si="66"/>
        <v>50177.137516776864</v>
      </c>
      <c r="AG220" s="1149">
        <f>IFERROR(VLOOKUP(CONCATENATE($L220,$N220),'Drop List'!$G$23:$K$87,2,FALSE),0)</f>
        <v>0.56200000000000006</v>
      </c>
      <c r="AH220" s="1150">
        <f>IFERROR(VLOOKUP(CONCATENATE($L220,$N220),'Drop List'!$G$23:$K$87,3,FALSE),0)</f>
        <v>0</v>
      </c>
      <c r="AI220" s="1150">
        <f>IFERROR(VLOOKUP(CONCATENATE($L220,$N220),'Drop List'!$G$23:$K$87,4,FALSE),0)</f>
        <v>0</v>
      </c>
      <c r="AJ220" s="1151">
        <f>IFERROR(VLOOKUP(CONCATENATE($L220,$N220),'Drop List'!$G$23:$K$87,5,FALSE),0)</f>
        <v>0.43799999999999994</v>
      </c>
      <c r="AK220" s="1152">
        <f t="shared" si="67"/>
        <v>28199.551284428599</v>
      </c>
      <c r="AL220" s="1153">
        <f t="shared" si="68"/>
        <v>0</v>
      </c>
      <c r="AM220" s="1153">
        <f t="shared" si="69"/>
        <v>0</v>
      </c>
      <c r="AN220" s="1145">
        <f t="shared" si="70"/>
        <v>21977.586232348265</v>
      </c>
      <c r="AO220" s="1154">
        <f t="shared" si="71"/>
        <v>50177.137516776864</v>
      </c>
      <c r="AP220" s="1147">
        <f t="shared" si="57"/>
        <v>0</v>
      </c>
      <c r="AQ220" s="1144">
        <f t="shared" si="58"/>
        <v>0</v>
      </c>
      <c r="AR220" s="1146">
        <f t="shared" si="59"/>
        <v>50177.137516776864</v>
      </c>
    </row>
    <row r="221" spans="1:44" x14ac:dyDescent="0.2">
      <c r="A221" s="1141" t="str">
        <f t="shared" si="54"/>
        <v>1504</v>
      </c>
      <c r="B221" s="1141" t="str">
        <f>IFERROR(VLOOKUP(A221,'LAC 103'!A:C,3,FALSE),"")</f>
        <v>OP</v>
      </c>
      <c r="C221" s="1478" t="str">
        <f>Info!$B$8</f>
        <v>00100</v>
      </c>
      <c r="D221" s="1474" t="s">
        <v>256</v>
      </c>
      <c r="E221" s="1474" t="s">
        <v>95</v>
      </c>
      <c r="F221" s="1478" t="s">
        <v>588</v>
      </c>
      <c r="G221" s="1478" t="s">
        <v>588</v>
      </c>
      <c r="H221" s="1474" t="s">
        <v>1656</v>
      </c>
      <c r="I221" s="1478" t="s">
        <v>809</v>
      </c>
      <c r="J221" s="1478"/>
      <c r="K221" s="1475" t="s">
        <v>851</v>
      </c>
      <c r="L221" s="1474" t="s">
        <v>584</v>
      </c>
      <c r="M221" s="1476" t="s">
        <v>1698</v>
      </c>
      <c r="N221" s="1477" t="s">
        <v>1693</v>
      </c>
      <c r="O221" s="1479">
        <v>18137</v>
      </c>
      <c r="P221" s="1479"/>
      <c r="Q221" s="1142">
        <f t="shared" si="55"/>
        <v>18137</v>
      </c>
      <c r="R221" s="1143">
        <f>IFERROR(VLOOKUP(CONCATENATE(E221,G221),'LAC 103'!$A$12:$O$95,11,FALSE),0)</f>
        <v>2.483156209074918</v>
      </c>
      <c r="S221" s="1144">
        <f>IFERROR(VLOOKUP(CONCATENATE($E221,$G221),'LAC 103'!$A$12:$O$95,12,FALSE),0)</f>
        <v>3.07</v>
      </c>
      <c r="T221" s="1144">
        <f>IFERROR(VLOOKUP(CONCATENATE($E221,$G221),'LAC 103'!$A$12:$O$95,13,FALSE),0)</f>
        <v>1.92</v>
      </c>
      <c r="U221" s="1144">
        <f>IFERROR(VLOOKUP(CONCATENATE($E221,$G221),'LAC 103'!$A$12:$O$95,14,FALSE),0)</f>
        <v>0</v>
      </c>
      <c r="V221" s="1144">
        <f>IFERROR(VLOOKUP(CONCATENATE($E221,$G221),'LAC 103'!$A$12:$O$95,15,FALSE),0)</f>
        <v>0</v>
      </c>
      <c r="W221" s="1145" t="str">
        <f>IFERROR(VLOOKUP(CONCATENATE($B221,$N221),'LAC 103'!$AI:$AQ,9,FALSE),"")</f>
        <v>Costs</v>
      </c>
      <c r="X221" s="1146">
        <f t="shared" si="60"/>
        <v>2.483156209074918</v>
      </c>
      <c r="Y221" s="1143">
        <f t="shared" si="61"/>
        <v>45037.004163991784</v>
      </c>
      <c r="Z221" s="1147">
        <f t="shared" si="62"/>
        <v>55680.59</v>
      </c>
      <c r="AA221" s="1144">
        <f t="shared" si="63"/>
        <v>34823.040000000001</v>
      </c>
      <c r="AB221" s="1144">
        <f t="shared" si="64"/>
        <v>0</v>
      </c>
      <c r="AC221" s="1144">
        <f t="shared" si="65"/>
        <v>0</v>
      </c>
      <c r="AD221" s="1148">
        <f t="shared" si="56"/>
        <v>45037.004163991784</v>
      </c>
      <c r="AE221" s="1487">
        <v>0</v>
      </c>
      <c r="AF221" s="1145">
        <f t="shared" si="66"/>
        <v>45037.004163991784</v>
      </c>
      <c r="AG221" s="1149">
        <f>IFERROR(VLOOKUP(CONCATENATE($L221,$N221),'Drop List'!$G$23:$K$87,2,FALSE),0)</f>
        <v>0.56200000000000006</v>
      </c>
      <c r="AH221" s="1150">
        <f>IFERROR(VLOOKUP(CONCATENATE($L221,$N221),'Drop List'!$G$23:$K$87,3,FALSE),0)</f>
        <v>0</v>
      </c>
      <c r="AI221" s="1150">
        <f>IFERROR(VLOOKUP(CONCATENATE($L221,$N221),'Drop List'!$G$23:$K$87,4,FALSE),0)</f>
        <v>0</v>
      </c>
      <c r="AJ221" s="1151">
        <f>IFERROR(VLOOKUP(CONCATENATE($L221,$N221),'Drop List'!$G$23:$K$87,5,FALSE),0)</f>
        <v>0.43799999999999994</v>
      </c>
      <c r="AK221" s="1152">
        <f t="shared" si="67"/>
        <v>25310.796340163386</v>
      </c>
      <c r="AL221" s="1153">
        <f t="shared" si="68"/>
        <v>0</v>
      </c>
      <c r="AM221" s="1153">
        <f t="shared" si="69"/>
        <v>0</v>
      </c>
      <c r="AN221" s="1145">
        <f t="shared" si="70"/>
        <v>19726.207823828398</v>
      </c>
      <c r="AO221" s="1154">
        <f t="shared" si="71"/>
        <v>45037.004163991784</v>
      </c>
      <c r="AP221" s="1147">
        <f t="shared" si="57"/>
        <v>0</v>
      </c>
      <c r="AQ221" s="1144">
        <f t="shared" si="58"/>
        <v>0</v>
      </c>
      <c r="AR221" s="1146">
        <f t="shared" si="59"/>
        <v>45037.004163991784</v>
      </c>
    </row>
    <row r="222" spans="1:44" x14ac:dyDescent="0.2">
      <c r="A222" s="1141" t="str">
        <f t="shared" si="54"/>
        <v>1504</v>
      </c>
      <c r="B222" s="1141" t="str">
        <f>IFERROR(VLOOKUP(A222,'LAC 103'!A:C,3,FALSE),"")</f>
        <v>OP</v>
      </c>
      <c r="C222" s="1478" t="str">
        <f>Info!$B$8</f>
        <v>00100</v>
      </c>
      <c r="D222" s="1474" t="s">
        <v>256</v>
      </c>
      <c r="E222" s="1474" t="s">
        <v>95</v>
      </c>
      <c r="F222" s="1478" t="s">
        <v>588</v>
      </c>
      <c r="G222" s="1478" t="s">
        <v>588</v>
      </c>
      <c r="H222" s="1474" t="s">
        <v>1658</v>
      </c>
      <c r="I222" s="1478" t="s">
        <v>807</v>
      </c>
      <c r="J222" s="1478" t="s">
        <v>123</v>
      </c>
      <c r="K222" s="1475" t="s">
        <v>849</v>
      </c>
      <c r="L222" s="1474" t="s">
        <v>77</v>
      </c>
      <c r="M222" s="1476" t="s">
        <v>1699</v>
      </c>
      <c r="N222" s="1477" t="s">
        <v>1694</v>
      </c>
      <c r="O222" s="1479">
        <v>3098</v>
      </c>
      <c r="P222" s="1479"/>
      <c r="Q222" s="1142">
        <f t="shared" si="55"/>
        <v>3098</v>
      </c>
      <c r="R222" s="1143">
        <f>IFERROR(VLOOKUP(CONCATENATE(E222,G222),'LAC 103'!$A$12:$O$95,11,FALSE),0)</f>
        <v>2.483156209074918</v>
      </c>
      <c r="S222" s="1144">
        <f>IFERROR(VLOOKUP(CONCATENATE($E222,$G222),'LAC 103'!$A$12:$O$95,12,FALSE),0)</f>
        <v>3.07</v>
      </c>
      <c r="T222" s="1144">
        <f>IFERROR(VLOOKUP(CONCATENATE($E222,$G222),'LAC 103'!$A$12:$O$95,13,FALSE),0)</f>
        <v>1.92</v>
      </c>
      <c r="U222" s="1144">
        <f>IFERROR(VLOOKUP(CONCATENATE($E222,$G222),'LAC 103'!$A$12:$O$95,14,FALSE),0)</f>
        <v>0</v>
      </c>
      <c r="V222" s="1144">
        <f>IFERROR(VLOOKUP(CONCATENATE($E222,$G222),'LAC 103'!$A$12:$O$95,15,FALSE),0)</f>
        <v>0</v>
      </c>
      <c r="W222" s="1145" t="str">
        <f>IFERROR(VLOOKUP(CONCATENATE($B222,$N222),'LAC 103'!$AI:$AQ,9,FALSE),"")</f>
        <v>Costs</v>
      </c>
      <c r="X222" s="1146">
        <f t="shared" si="60"/>
        <v>2.483156209074918</v>
      </c>
      <c r="Y222" s="1143">
        <f t="shared" si="61"/>
        <v>7692.8179357140962</v>
      </c>
      <c r="Z222" s="1147">
        <f t="shared" si="62"/>
        <v>9510.8599999999988</v>
      </c>
      <c r="AA222" s="1144">
        <f t="shared" si="63"/>
        <v>5948.16</v>
      </c>
      <c r="AB222" s="1144">
        <f t="shared" si="64"/>
        <v>0</v>
      </c>
      <c r="AC222" s="1144">
        <f t="shared" si="65"/>
        <v>0</v>
      </c>
      <c r="AD222" s="1148">
        <f t="shared" si="56"/>
        <v>7692.8179357140962</v>
      </c>
      <c r="AE222" s="1487">
        <v>0</v>
      </c>
      <c r="AF222" s="1145">
        <f t="shared" si="66"/>
        <v>7692.8179357140962</v>
      </c>
      <c r="AG222" s="1149">
        <f>IFERROR(VLOOKUP(CONCATENATE($L222,$N222),'Drop List'!$G$23:$K$87,2,FALSE),0)</f>
        <v>0.9</v>
      </c>
      <c r="AH222" s="1150">
        <f>IFERROR(VLOOKUP(CONCATENATE($L222,$N222),'Drop List'!$G$23:$K$87,3,FALSE),0)</f>
        <v>0</v>
      </c>
      <c r="AI222" s="1150">
        <f>IFERROR(VLOOKUP(CONCATENATE($L222,$N222),'Drop List'!$G$23:$K$87,4,FALSE),0)</f>
        <v>0.1</v>
      </c>
      <c r="AJ222" s="1151">
        <f>IFERROR(VLOOKUP(CONCATENATE($L222,$N222),'Drop List'!$G$23:$K$87,5,FALSE),0)</f>
        <v>0</v>
      </c>
      <c r="AK222" s="1152">
        <f t="shared" si="67"/>
        <v>6923.5361421426869</v>
      </c>
      <c r="AL222" s="1153">
        <f t="shared" si="68"/>
        <v>0</v>
      </c>
      <c r="AM222" s="1153">
        <f t="shared" si="69"/>
        <v>769.28179357140971</v>
      </c>
      <c r="AN222" s="1145">
        <f t="shared" si="70"/>
        <v>0</v>
      </c>
      <c r="AO222" s="1154">
        <f t="shared" si="71"/>
        <v>7692.8179357140962</v>
      </c>
      <c r="AP222" s="1147">
        <f t="shared" si="57"/>
        <v>0</v>
      </c>
      <c r="AQ222" s="1144">
        <f t="shared" si="58"/>
        <v>0</v>
      </c>
      <c r="AR222" s="1146">
        <f t="shared" si="59"/>
        <v>7692.8179357140962</v>
      </c>
    </row>
    <row r="223" spans="1:44" x14ac:dyDescent="0.2">
      <c r="A223" s="1141" t="str">
        <f t="shared" si="54"/>
        <v>1504</v>
      </c>
      <c r="B223" s="1141" t="str">
        <f>IFERROR(VLOOKUP(A223,'LAC 103'!A:C,3,FALSE),"")</f>
        <v>OP</v>
      </c>
      <c r="C223" s="1478" t="str">
        <f>Info!$B$8</f>
        <v>00100</v>
      </c>
      <c r="D223" s="1474" t="s">
        <v>256</v>
      </c>
      <c r="E223" s="1474" t="s">
        <v>95</v>
      </c>
      <c r="F223" s="1478" t="s">
        <v>588</v>
      </c>
      <c r="G223" s="1478" t="s">
        <v>588</v>
      </c>
      <c r="H223" s="1474" t="s">
        <v>1658</v>
      </c>
      <c r="I223" s="1478" t="s">
        <v>807</v>
      </c>
      <c r="J223" s="1478"/>
      <c r="K223" s="1475" t="s">
        <v>849</v>
      </c>
      <c r="L223" s="1474" t="s">
        <v>77</v>
      </c>
      <c r="M223" s="1476" t="s">
        <v>841</v>
      </c>
      <c r="N223" s="1477" t="s">
        <v>1695</v>
      </c>
      <c r="O223" s="1479">
        <v>914</v>
      </c>
      <c r="P223" s="1479"/>
      <c r="Q223" s="1142">
        <f t="shared" si="55"/>
        <v>914</v>
      </c>
      <c r="R223" s="1143">
        <f>IFERROR(VLOOKUP(CONCATENATE(E223,G223),'LAC 103'!$A$12:$O$95,11,FALSE),0)</f>
        <v>2.483156209074918</v>
      </c>
      <c r="S223" s="1144">
        <f>IFERROR(VLOOKUP(CONCATENATE($E223,$G223),'LAC 103'!$A$12:$O$95,12,FALSE),0)</f>
        <v>3.07</v>
      </c>
      <c r="T223" s="1144">
        <f>IFERROR(VLOOKUP(CONCATENATE($E223,$G223),'LAC 103'!$A$12:$O$95,13,FALSE),0)</f>
        <v>1.92</v>
      </c>
      <c r="U223" s="1144">
        <f>IFERROR(VLOOKUP(CONCATENATE($E223,$G223),'LAC 103'!$A$12:$O$95,14,FALSE),0)</f>
        <v>0</v>
      </c>
      <c r="V223" s="1144">
        <f>IFERROR(VLOOKUP(CONCATENATE($E223,$G223),'LAC 103'!$A$12:$O$95,15,FALSE),0)</f>
        <v>0</v>
      </c>
      <c r="W223" s="1145" t="str">
        <f>IFERROR(VLOOKUP(CONCATENATE($B223,$N223),'LAC 103'!$AI:$AQ,9,FALSE),"")</f>
        <v>Costs</v>
      </c>
      <c r="X223" s="1146">
        <f t="shared" si="60"/>
        <v>2.483156209074918</v>
      </c>
      <c r="Y223" s="1143">
        <f t="shared" si="61"/>
        <v>2269.6047750944749</v>
      </c>
      <c r="Z223" s="1147">
        <f t="shared" si="62"/>
        <v>2805.98</v>
      </c>
      <c r="AA223" s="1144">
        <f t="shared" si="63"/>
        <v>1754.8799999999999</v>
      </c>
      <c r="AB223" s="1144">
        <f t="shared" si="64"/>
        <v>0</v>
      </c>
      <c r="AC223" s="1144">
        <f t="shared" si="65"/>
        <v>0</v>
      </c>
      <c r="AD223" s="1148">
        <f t="shared" si="56"/>
        <v>2269.6047750944749</v>
      </c>
      <c r="AE223" s="1487">
        <v>0</v>
      </c>
      <c r="AF223" s="1145">
        <f t="shared" si="66"/>
        <v>2269.6047750944749</v>
      </c>
      <c r="AG223" s="1149">
        <f>IFERROR(VLOOKUP(CONCATENATE($L223,$N223),'Drop List'!$G$23:$K$87,2,FALSE),0)</f>
        <v>0.9</v>
      </c>
      <c r="AH223" s="1150">
        <f>IFERROR(VLOOKUP(CONCATENATE($L223,$N223),'Drop List'!$G$23:$K$87,3,FALSE),0)</f>
        <v>0</v>
      </c>
      <c r="AI223" s="1150">
        <f>IFERROR(VLOOKUP(CONCATENATE($L223,$N223),'Drop List'!$G$23:$K$87,4,FALSE),0)</f>
        <v>0.1</v>
      </c>
      <c r="AJ223" s="1151">
        <f>IFERROR(VLOOKUP(CONCATENATE($L223,$N223),'Drop List'!$G$23:$K$87,5,FALSE),0)</f>
        <v>0</v>
      </c>
      <c r="AK223" s="1152">
        <f t="shared" si="67"/>
        <v>2042.6442975850275</v>
      </c>
      <c r="AL223" s="1153">
        <f t="shared" si="68"/>
        <v>0</v>
      </c>
      <c r="AM223" s="1153">
        <f t="shared" si="69"/>
        <v>226.96047750944751</v>
      </c>
      <c r="AN223" s="1145">
        <f t="shared" si="70"/>
        <v>0</v>
      </c>
      <c r="AO223" s="1154">
        <f t="shared" si="71"/>
        <v>2269.6047750944749</v>
      </c>
      <c r="AP223" s="1147">
        <f t="shared" si="57"/>
        <v>0</v>
      </c>
      <c r="AQ223" s="1144">
        <f t="shared" si="58"/>
        <v>0</v>
      </c>
      <c r="AR223" s="1146">
        <f t="shared" si="59"/>
        <v>2269.6047750944749</v>
      </c>
    </row>
    <row r="224" spans="1:44" x14ac:dyDescent="0.2">
      <c r="A224" s="1141" t="str">
        <f t="shared" si="54"/>
        <v>1504</v>
      </c>
      <c r="B224" s="1141" t="str">
        <f>IFERROR(VLOOKUP(A224,'LAC 103'!A:C,3,FALSE),"")</f>
        <v>OP</v>
      </c>
      <c r="C224" s="1478" t="str">
        <f>Info!$B$8</f>
        <v>00100</v>
      </c>
      <c r="D224" s="1474" t="s">
        <v>256</v>
      </c>
      <c r="E224" s="1474" t="s">
        <v>95</v>
      </c>
      <c r="F224" s="1478" t="s">
        <v>588</v>
      </c>
      <c r="G224" s="1478" t="s">
        <v>588</v>
      </c>
      <c r="H224" s="1474" t="s">
        <v>1658</v>
      </c>
      <c r="I224" s="1478" t="s">
        <v>807</v>
      </c>
      <c r="J224" s="1478"/>
      <c r="K224" s="1475" t="s">
        <v>849</v>
      </c>
      <c r="L224" s="1474" t="s">
        <v>77</v>
      </c>
      <c r="M224" s="1476" t="s">
        <v>840</v>
      </c>
      <c r="N224" s="1477" t="s">
        <v>1700</v>
      </c>
      <c r="O224" s="1479">
        <v>672</v>
      </c>
      <c r="P224" s="1479"/>
      <c r="Q224" s="1142">
        <f t="shared" si="55"/>
        <v>672</v>
      </c>
      <c r="R224" s="1143">
        <f>IFERROR(VLOOKUP(CONCATENATE(E224,G224),'LAC 103'!$A$12:$O$95,11,FALSE),0)</f>
        <v>2.483156209074918</v>
      </c>
      <c r="S224" s="1144">
        <f>IFERROR(VLOOKUP(CONCATENATE($E224,$G224),'LAC 103'!$A$12:$O$95,12,FALSE),0)</f>
        <v>3.07</v>
      </c>
      <c r="T224" s="1144">
        <f>IFERROR(VLOOKUP(CONCATENATE($E224,$G224),'LAC 103'!$A$12:$O$95,13,FALSE),0)</f>
        <v>1.92</v>
      </c>
      <c r="U224" s="1144">
        <f>IFERROR(VLOOKUP(CONCATENATE($E224,$G224),'LAC 103'!$A$12:$O$95,14,FALSE),0)</f>
        <v>0</v>
      </c>
      <c r="V224" s="1144">
        <f>IFERROR(VLOOKUP(CONCATENATE($E224,$G224),'LAC 103'!$A$12:$O$95,15,FALSE),0)</f>
        <v>0</v>
      </c>
      <c r="W224" s="1145" t="str">
        <f>IFERROR(VLOOKUP(CONCATENATE($B224,$N224),'LAC 103'!$AI:$AQ,9,FALSE),"")</f>
        <v>P.C.</v>
      </c>
      <c r="X224" s="1146">
        <f t="shared" si="60"/>
        <v>1.92</v>
      </c>
      <c r="Y224" s="1143">
        <f t="shared" si="61"/>
        <v>1668.6809724983448</v>
      </c>
      <c r="Z224" s="1147">
        <f t="shared" si="62"/>
        <v>2063.04</v>
      </c>
      <c r="AA224" s="1144">
        <f t="shared" si="63"/>
        <v>1290.24</v>
      </c>
      <c r="AB224" s="1144">
        <f t="shared" si="64"/>
        <v>0</v>
      </c>
      <c r="AC224" s="1144">
        <f t="shared" si="65"/>
        <v>0</v>
      </c>
      <c r="AD224" s="1148">
        <f t="shared" si="56"/>
        <v>1290.24</v>
      </c>
      <c r="AE224" s="1487">
        <v>0</v>
      </c>
      <c r="AF224" s="1145">
        <f t="shared" si="66"/>
        <v>1290.24</v>
      </c>
      <c r="AG224" s="1149">
        <f>IFERROR(VLOOKUP(CONCATENATE($L224,$N224),'Drop List'!$G$23:$K$87,2,FALSE),0)</f>
        <v>0.9</v>
      </c>
      <c r="AH224" s="1150">
        <f>IFERROR(VLOOKUP(CONCATENATE($L224,$N224),'Drop List'!$G$23:$K$87,3,FALSE),0)</f>
        <v>0</v>
      </c>
      <c r="AI224" s="1150">
        <f>IFERROR(VLOOKUP(CONCATENATE($L224,$N224),'Drop List'!$G$23:$K$87,4,FALSE),0)</f>
        <v>0.1</v>
      </c>
      <c r="AJ224" s="1151">
        <f>IFERROR(VLOOKUP(CONCATENATE($L224,$N224),'Drop List'!$G$23:$K$87,5,FALSE),0)</f>
        <v>0</v>
      </c>
      <c r="AK224" s="1152">
        <f t="shared" si="67"/>
        <v>1161.2160000000001</v>
      </c>
      <c r="AL224" s="1153">
        <f t="shared" si="68"/>
        <v>0</v>
      </c>
      <c r="AM224" s="1153">
        <f t="shared" si="69"/>
        <v>129.024</v>
      </c>
      <c r="AN224" s="1145">
        <f t="shared" si="70"/>
        <v>0</v>
      </c>
      <c r="AO224" s="1154">
        <f t="shared" si="71"/>
        <v>1290.2400000000002</v>
      </c>
      <c r="AP224" s="1147">
        <f t="shared" si="57"/>
        <v>0</v>
      </c>
      <c r="AQ224" s="1144">
        <f t="shared" si="58"/>
        <v>0</v>
      </c>
      <c r="AR224" s="1146">
        <f t="shared" si="59"/>
        <v>1290.2400000000002</v>
      </c>
    </row>
    <row r="225" spans="1:44" x14ac:dyDescent="0.2">
      <c r="A225" s="1141" t="str">
        <f t="shared" si="54"/>
        <v>1504</v>
      </c>
      <c r="B225" s="1141" t="str">
        <f>IFERROR(VLOOKUP(A225,'LAC 103'!A:C,3,FALSE),"")</f>
        <v>OP</v>
      </c>
      <c r="C225" s="1478" t="str">
        <f>Info!$B$8</f>
        <v>00100</v>
      </c>
      <c r="D225" s="1474" t="s">
        <v>256</v>
      </c>
      <c r="E225" s="1474" t="s">
        <v>95</v>
      </c>
      <c r="F225" s="1478" t="s">
        <v>588</v>
      </c>
      <c r="G225" s="1478" t="s">
        <v>588</v>
      </c>
      <c r="H225" s="1474" t="s">
        <v>1658</v>
      </c>
      <c r="I225" s="1478" t="s">
        <v>807</v>
      </c>
      <c r="J225" s="1478"/>
      <c r="K225" s="1475" t="s">
        <v>849</v>
      </c>
      <c r="L225" s="1474" t="s">
        <v>77</v>
      </c>
      <c r="M225" s="1476" t="s">
        <v>842</v>
      </c>
      <c r="N225" s="1477" t="s">
        <v>1692</v>
      </c>
      <c r="O225" s="1479">
        <v>2397</v>
      </c>
      <c r="P225" s="1479"/>
      <c r="Q225" s="1142">
        <f t="shared" si="55"/>
        <v>2397</v>
      </c>
      <c r="R225" s="1143">
        <f>IFERROR(VLOOKUP(CONCATENATE(E225,G225),'LAC 103'!$A$12:$O$95,11,FALSE),0)</f>
        <v>2.483156209074918</v>
      </c>
      <c r="S225" s="1144">
        <f>IFERROR(VLOOKUP(CONCATENATE($E225,$G225),'LAC 103'!$A$12:$O$95,12,FALSE),0)</f>
        <v>3.07</v>
      </c>
      <c r="T225" s="1144">
        <f>IFERROR(VLOOKUP(CONCATENATE($E225,$G225),'LAC 103'!$A$12:$O$95,13,FALSE),0)</f>
        <v>1.92</v>
      </c>
      <c r="U225" s="1144">
        <f>IFERROR(VLOOKUP(CONCATENATE($E225,$G225),'LAC 103'!$A$12:$O$95,14,FALSE),0)</f>
        <v>0</v>
      </c>
      <c r="V225" s="1144">
        <f>IFERROR(VLOOKUP(CONCATENATE($E225,$G225),'LAC 103'!$A$12:$O$95,15,FALSE),0)</f>
        <v>0</v>
      </c>
      <c r="W225" s="1145" t="str">
        <f>IFERROR(VLOOKUP(CONCATENATE($B225,$N225),'LAC 103'!$AI:$AQ,9,FALSE),"")</f>
        <v>Costs</v>
      </c>
      <c r="X225" s="1146">
        <f t="shared" si="60"/>
        <v>2.483156209074918</v>
      </c>
      <c r="Y225" s="1143">
        <f t="shared" si="61"/>
        <v>5952.1254331525788</v>
      </c>
      <c r="Z225" s="1147">
        <f t="shared" si="62"/>
        <v>7358.79</v>
      </c>
      <c r="AA225" s="1144">
        <f t="shared" si="63"/>
        <v>4602.24</v>
      </c>
      <c r="AB225" s="1144">
        <f t="shared" si="64"/>
        <v>0</v>
      </c>
      <c r="AC225" s="1144">
        <f t="shared" si="65"/>
        <v>0</v>
      </c>
      <c r="AD225" s="1148">
        <f t="shared" si="56"/>
        <v>5952.1254331525788</v>
      </c>
      <c r="AE225" s="1487">
        <v>0</v>
      </c>
      <c r="AF225" s="1145">
        <f t="shared" si="66"/>
        <v>5952.1254331525788</v>
      </c>
      <c r="AG225" s="1149">
        <f>IFERROR(VLOOKUP(CONCATENATE($L225,$N225),'Drop List'!$G$23:$K$87,2,FALSE),0)</f>
        <v>0.9</v>
      </c>
      <c r="AH225" s="1150">
        <f>IFERROR(VLOOKUP(CONCATENATE($L225,$N225),'Drop List'!$G$23:$K$87,3,FALSE),0)</f>
        <v>0</v>
      </c>
      <c r="AI225" s="1150">
        <f>IFERROR(VLOOKUP(CONCATENATE($L225,$N225),'Drop List'!$G$23:$K$87,4,FALSE),0)</f>
        <v>0.1</v>
      </c>
      <c r="AJ225" s="1151">
        <f>IFERROR(VLOOKUP(CONCATENATE($L225,$N225),'Drop List'!$G$23:$K$87,5,FALSE),0)</f>
        <v>0</v>
      </c>
      <c r="AK225" s="1152">
        <f t="shared" si="67"/>
        <v>5356.912889837321</v>
      </c>
      <c r="AL225" s="1153">
        <f t="shared" si="68"/>
        <v>0</v>
      </c>
      <c r="AM225" s="1153">
        <f t="shared" si="69"/>
        <v>595.2125433152579</v>
      </c>
      <c r="AN225" s="1145">
        <f t="shared" si="70"/>
        <v>0</v>
      </c>
      <c r="AO225" s="1154">
        <f t="shared" si="71"/>
        <v>5952.1254331525788</v>
      </c>
      <c r="AP225" s="1147">
        <f t="shared" si="57"/>
        <v>0</v>
      </c>
      <c r="AQ225" s="1144">
        <f t="shared" si="58"/>
        <v>0</v>
      </c>
      <c r="AR225" s="1146">
        <f t="shared" si="59"/>
        <v>5952.1254331525788</v>
      </c>
    </row>
    <row r="226" spans="1:44" x14ac:dyDescent="0.2">
      <c r="A226" s="1141" t="str">
        <f t="shared" si="54"/>
        <v>1504</v>
      </c>
      <c r="B226" s="1141" t="str">
        <f>IFERROR(VLOOKUP(A226,'LAC 103'!A:C,3,FALSE),"")</f>
        <v>OP</v>
      </c>
      <c r="C226" s="1478" t="str">
        <f>Info!$B$8</f>
        <v>00100</v>
      </c>
      <c r="D226" s="1474" t="s">
        <v>256</v>
      </c>
      <c r="E226" s="1474" t="s">
        <v>95</v>
      </c>
      <c r="F226" s="1478" t="s">
        <v>588</v>
      </c>
      <c r="G226" s="1478" t="s">
        <v>588</v>
      </c>
      <c r="H226" s="1474" t="s">
        <v>1658</v>
      </c>
      <c r="I226" s="1478" t="s">
        <v>807</v>
      </c>
      <c r="J226" s="1478"/>
      <c r="K226" s="1475" t="s">
        <v>849</v>
      </c>
      <c r="L226" s="1474" t="s">
        <v>77</v>
      </c>
      <c r="M226" s="1476" t="s">
        <v>1698</v>
      </c>
      <c r="N226" s="1477" t="s">
        <v>1693</v>
      </c>
      <c r="O226" s="1479">
        <v>2412</v>
      </c>
      <c r="P226" s="1479"/>
      <c r="Q226" s="1142">
        <f t="shared" si="55"/>
        <v>2412</v>
      </c>
      <c r="R226" s="1143">
        <f>IFERROR(VLOOKUP(CONCATENATE(E226,G226),'LAC 103'!$A$12:$O$95,11,FALSE),0)</f>
        <v>2.483156209074918</v>
      </c>
      <c r="S226" s="1144">
        <f>IFERROR(VLOOKUP(CONCATENATE($E226,$G226),'LAC 103'!$A$12:$O$95,12,FALSE),0)</f>
        <v>3.07</v>
      </c>
      <c r="T226" s="1144">
        <f>IFERROR(VLOOKUP(CONCATENATE($E226,$G226),'LAC 103'!$A$12:$O$95,13,FALSE),0)</f>
        <v>1.92</v>
      </c>
      <c r="U226" s="1144">
        <f>IFERROR(VLOOKUP(CONCATENATE($E226,$G226),'LAC 103'!$A$12:$O$95,14,FALSE),0)</f>
        <v>0</v>
      </c>
      <c r="V226" s="1144">
        <f>IFERROR(VLOOKUP(CONCATENATE($E226,$G226),'LAC 103'!$A$12:$O$95,15,FALSE),0)</f>
        <v>0</v>
      </c>
      <c r="W226" s="1145" t="str">
        <f>IFERROR(VLOOKUP(CONCATENATE($B226,$N226),'LAC 103'!$AI:$AQ,9,FALSE),"")</f>
        <v>Costs</v>
      </c>
      <c r="X226" s="1146">
        <f t="shared" si="60"/>
        <v>2.483156209074918</v>
      </c>
      <c r="Y226" s="1143">
        <f t="shared" si="61"/>
        <v>5989.372776288702</v>
      </c>
      <c r="Z226" s="1147">
        <f t="shared" si="62"/>
        <v>7404.8399999999992</v>
      </c>
      <c r="AA226" s="1144">
        <f t="shared" si="63"/>
        <v>4631.04</v>
      </c>
      <c r="AB226" s="1144">
        <f t="shared" si="64"/>
        <v>0</v>
      </c>
      <c r="AC226" s="1144">
        <f t="shared" si="65"/>
        <v>0</v>
      </c>
      <c r="AD226" s="1148">
        <f t="shared" si="56"/>
        <v>5989.372776288702</v>
      </c>
      <c r="AE226" s="1487">
        <v>0</v>
      </c>
      <c r="AF226" s="1145">
        <f t="shared" si="66"/>
        <v>5989.372776288702</v>
      </c>
      <c r="AG226" s="1149">
        <f>IFERROR(VLOOKUP(CONCATENATE($L226,$N226),'Drop List'!$G$23:$K$87,2,FALSE),0)</f>
        <v>0.9</v>
      </c>
      <c r="AH226" s="1150">
        <f>IFERROR(VLOOKUP(CONCATENATE($L226,$N226),'Drop List'!$G$23:$K$87,3,FALSE),0)</f>
        <v>0</v>
      </c>
      <c r="AI226" s="1150">
        <f>IFERROR(VLOOKUP(CONCATENATE($L226,$N226),'Drop List'!$G$23:$K$87,4,FALSE),0)</f>
        <v>0.1</v>
      </c>
      <c r="AJ226" s="1151">
        <f>IFERROR(VLOOKUP(CONCATENATE($L226,$N226),'Drop List'!$G$23:$K$87,5,FALSE),0)</f>
        <v>0</v>
      </c>
      <c r="AK226" s="1152">
        <f t="shared" si="67"/>
        <v>5390.4354986598319</v>
      </c>
      <c r="AL226" s="1153">
        <f t="shared" si="68"/>
        <v>0</v>
      </c>
      <c r="AM226" s="1153">
        <f t="shared" si="69"/>
        <v>598.93727762887022</v>
      </c>
      <c r="AN226" s="1145">
        <f t="shared" si="70"/>
        <v>0</v>
      </c>
      <c r="AO226" s="1154">
        <f t="shared" si="71"/>
        <v>5989.372776288702</v>
      </c>
      <c r="AP226" s="1147">
        <f t="shared" si="57"/>
        <v>0</v>
      </c>
      <c r="AQ226" s="1144">
        <f t="shared" si="58"/>
        <v>0</v>
      </c>
      <c r="AR226" s="1146">
        <f t="shared" si="59"/>
        <v>5989.372776288702</v>
      </c>
    </row>
    <row r="227" spans="1:44" x14ac:dyDescent="0.2">
      <c r="A227" s="1141" t="str">
        <f t="shared" si="54"/>
        <v>1504</v>
      </c>
      <c r="B227" s="1141" t="str">
        <f>IFERROR(VLOOKUP(A227,'LAC 103'!A:C,3,FALSE),"")</f>
        <v>OP</v>
      </c>
      <c r="C227" s="1478" t="str">
        <f>Info!$B$8</f>
        <v>00100</v>
      </c>
      <c r="D227" s="1474" t="s">
        <v>256</v>
      </c>
      <c r="E227" s="1474" t="s">
        <v>95</v>
      </c>
      <c r="F227" s="1478" t="s">
        <v>588</v>
      </c>
      <c r="G227" s="1478" t="s">
        <v>588</v>
      </c>
      <c r="H227" s="1474" t="s">
        <v>1658</v>
      </c>
      <c r="I227" s="1478" t="s">
        <v>807</v>
      </c>
      <c r="J227" s="1478"/>
      <c r="K227" s="1475" t="s">
        <v>971</v>
      </c>
      <c r="L227" s="1474" t="s">
        <v>332</v>
      </c>
      <c r="M227" s="1476" t="s">
        <v>1699</v>
      </c>
      <c r="N227" s="1477" t="s">
        <v>1694</v>
      </c>
      <c r="O227" s="1479">
        <v>101</v>
      </c>
      <c r="P227" s="1479"/>
      <c r="Q227" s="1142">
        <f t="shared" si="55"/>
        <v>101</v>
      </c>
      <c r="R227" s="1143">
        <f>IFERROR(VLOOKUP(CONCATENATE(E227,G227),'LAC 103'!$A$12:$O$95,11,FALSE),0)</f>
        <v>2.483156209074918</v>
      </c>
      <c r="S227" s="1144">
        <f>IFERROR(VLOOKUP(CONCATENATE($E227,$G227),'LAC 103'!$A$12:$O$95,12,FALSE),0)</f>
        <v>3.07</v>
      </c>
      <c r="T227" s="1144">
        <f>IFERROR(VLOOKUP(CONCATENATE($E227,$G227),'LAC 103'!$A$12:$O$95,13,FALSE),0)</f>
        <v>1.92</v>
      </c>
      <c r="U227" s="1144">
        <f>IFERROR(VLOOKUP(CONCATENATE($E227,$G227),'LAC 103'!$A$12:$O$95,14,FALSE),0)</f>
        <v>0</v>
      </c>
      <c r="V227" s="1144">
        <f>IFERROR(VLOOKUP(CONCATENATE($E227,$G227),'LAC 103'!$A$12:$O$95,15,FALSE),0)</f>
        <v>0</v>
      </c>
      <c r="W227" s="1145" t="str">
        <f>IFERROR(VLOOKUP(CONCATENATE($B227,$N227),'LAC 103'!$AI:$AQ,9,FALSE),"")</f>
        <v>Costs</v>
      </c>
      <c r="X227" s="1146">
        <f t="shared" si="60"/>
        <v>2.483156209074918</v>
      </c>
      <c r="Y227" s="1143">
        <f t="shared" si="61"/>
        <v>250.79877711656673</v>
      </c>
      <c r="Z227" s="1147">
        <f t="shared" si="62"/>
        <v>310.07</v>
      </c>
      <c r="AA227" s="1144">
        <f t="shared" si="63"/>
        <v>193.92</v>
      </c>
      <c r="AB227" s="1144">
        <f t="shared" si="64"/>
        <v>0</v>
      </c>
      <c r="AC227" s="1144">
        <f t="shared" si="65"/>
        <v>0</v>
      </c>
      <c r="AD227" s="1148">
        <f t="shared" si="56"/>
        <v>250.79877711656673</v>
      </c>
      <c r="AE227" s="1487">
        <v>0</v>
      </c>
      <c r="AF227" s="1145">
        <f t="shared" si="66"/>
        <v>250.79877711656673</v>
      </c>
      <c r="AG227" s="1149">
        <f>IFERROR(VLOOKUP(CONCATENATE($L227,$N227),'Drop List'!$G$23:$K$87,2,FALSE),0)</f>
        <v>0</v>
      </c>
      <c r="AH227" s="1150">
        <f>IFERROR(VLOOKUP(CONCATENATE($L227,$N227),'Drop List'!$G$23:$K$87,3,FALSE),0)</f>
        <v>0</v>
      </c>
      <c r="AI227" s="1150">
        <f>IFERROR(VLOOKUP(CONCATENATE($L227,$N227),'Drop List'!$G$23:$K$87,4,FALSE),0)</f>
        <v>0</v>
      </c>
      <c r="AJ227" s="1151">
        <f>IFERROR(VLOOKUP(CONCATENATE($L227,$N227),'Drop List'!$G$23:$K$87,5,FALSE),0)</f>
        <v>0</v>
      </c>
      <c r="AK227" s="1152">
        <f t="shared" si="67"/>
        <v>0</v>
      </c>
      <c r="AL227" s="1153">
        <f t="shared" si="68"/>
        <v>0</v>
      </c>
      <c r="AM227" s="1153">
        <f t="shared" si="69"/>
        <v>0</v>
      </c>
      <c r="AN227" s="1145">
        <f t="shared" si="70"/>
        <v>0</v>
      </c>
      <c r="AO227" s="1154">
        <f t="shared" si="71"/>
        <v>0</v>
      </c>
      <c r="AP227" s="1147">
        <f t="shared" si="57"/>
        <v>250.79877711656673</v>
      </c>
      <c r="AQ227" s="1144">
        <f t="shared" si="58"/>
        <v>0</v>
      </c>
      <c r="AR227" s="1146">
        <f t="shared" si="59"/>
        <v>250.79877711656673</v>
      </c>
    </row>
    <row r="228" spans="1:44" x14ac:dyDescent="0.2">
      <c r="A228" s="1141" t="str">
        <f t="shared" si="54"/>
        <v>1504</v>
      </c>
      <c r="B228" s="1141" t="str">
        <f>IFERROR(VLOOKUP(A228,'LAC 103'!A:C,3,FALSE),"")</f>
        <v>OP</v>
      </c>
      <c r="C228" s="1478" t="str">
        <f>Info!$B$8</f>
        <v>00100</v>
      </c>
      <c r="D228" s="1474" t="s">
        <v>256</v>
      </c>
      <c r="E228" s="1474" t="s">
        <v>95</v>
      </c>
      <c r="F228" s="1478" t="s">
        <v>588</v>
      </c>
      <c r="G228" s="1478" t="s">
        <v>588</v>
      </c>
      <c r="H228" s="1474" t="s">
        <v>1658</v>
      </c>
      <c r="I228" s="1478" t="s">
        <v>807</v>
      </c>
      <c r="J228" s="1478"/>
      <c r="K228" s="1475" t="s">
        <v>971</v>
      </c>
      <c r="L228" s="1474" t="s">
        <v>332</v>
      </c>
      <c r="M228" s="1476" t="s">
        <v>1698</v>
      </c>
      <c r="N228" s="1477" t="s">
        <v>1693</v>
      </c>
      <c r="O228" s="1479">
        <v>28</v>
      </c>
      <c r="P228" s="1479"/>
      <c r="Q228" s="1142">
        <f t="shared" si="55"/>
        <v>28</v>
      </c>
      <c r="R228" s="1143">
        <f>IFERROR(VLOOKUP(CONCATENATE(E228,G228),'LAC 103'!$A$12:$O$95,11,FALSE),0)</f>
        <v>2.483156209074918</v>
      </c>
      <c r="S228" s="1144">
        <f>IFERROR(VLOOKUP(CONCATENATE($E228,$G228),'LAC 103'!$A$12:$O$95,12,FALSE),0)</f>
        <v>3.07</v>
      </c>
      <c r="T228" s="1144">
        <f>IFERROR(VLOOKUP(CONCATENATE($E228,$G228),'LAC 103'!$A$12:$O$95,13,FALSE),0)</f>
        <v>1.92</v>
      </c>
      <c r="U228" s="1144">
        <f>IFERROR(VLOOKUP(CONCATENATE($E228,$G228),'LAC 103'!$A$12:$O$95,14,FALSE),0)</f>
        <v>0</v>
      </c>
      <c r="V228" s="1144">
        <f>IFERROR(VLOOKUP(CONCATENATE($E228,$G228),'LAC 103'!$A$12:$O$95,15,FALSE),0)</f>
        <v>0</v>
      </c>
      <c r="W228" s="1145" t="str">
        <f>IFERROR(VLOOKUP(CONCATENATE($B228,$N228),'LAC 103'!$AI:$AQ,9,FALSE),"")</f>
        <v>Costs</v>
      </c>
      <c r="X228" s="1146">
        <f t="shared" si="60"/>
        <v>2.483156209074918</v>
      </c>
      <c r="Y228" s="1143">
        <f t="shared" si="61"/>
        <v>69.528373854097708</v>
      </c>
      <c r="Z228" s="1147">
        <f t="shared" si="62"/>
        <v>85.96</v>
      </c>
      <c r="AA228" s="1144">
        <f t="shared" si="63"/>
        <v>53.76</v>
      </c>
      <c r="AB228" s="1144">
        <f t="shared" si="64"/>
        <v>0</v>
      </c>
      <c r="AC228" s="1144">
        <f t="shared" si="65"/>
        <v>0</v>
      </c>
      <c r="AD228" s="1148">
        <f t="shared" si="56"/>
        <v>69.528373854097708</v>
      </c>
      <c r="AE228" s="1487">
        <v>0</v>
      </c>
      <c r="AF228" s="1145">
        <f t="shared" si="66"/>
        <v>69.528373854097708</v>
      </c>
      <c r="AG228" s="1149">
        <f>IFERROR(VLOOKUP(CONCATENATE($L228,$N228),'Drop List'!$G$23:$K$87,2,FALSE),0)</f>
        <v>0</v>
      </c>
      <c r="AH228" s="1150">
        <f>IFERROR(VLOOKUP(CONCATENATE($L228,$N228),'Drop List'!$G$23:$K$87,3,FALSE),0)</f>
        <v>0</v>
      </c>
      <c r="AI228" s="1150">
        <f>IFERROR(VLOOKUP(CONCATENATE($L228,$N228),'Drop List'!$G$23:$K$87,4,FALSE),0)</f>
        <v>0</v>
      </c>
      <c r="AJ228" s="1151">
        <f>IFERROR(VLOOKUP(CONCATENATE($L228,$N228),'Drop List'!$G$23:$K$87,5,FALSE),0)</f>
        <v>0</v>
      </c>
      <c r="AK228" s="1152">
        <f t="shared" si="67"/>
        <v>0</v>
      </c>
      <c r="AL228" s="1153">
        <f t="shared" si="68"/>
        <v>0</v>
      </c>
      <c r="AM228" s="1153">
        <f t="shared" si="69"/>
        <v>0</v>
      </c>
      <c r="AN228" s="1145">
        <f t="shared" si="70"/>
        <v>0</v>
      </c>
      <c r="AO228" s="1154">
        <f t="shared" si="71"/>
        <v>0</v>
      </c>
      <c r="AP228" s="1147">
        <f t="shared" si="57"/>
        <v>69.528373854097708</v>
      </c>
      <c r="AQ228" s="1144">
        <f t="shared" si="58"/>
        <v>0</v>
      </c>
      <c r="AR228" s="1146">
        <f t="shared" si="59"/>
        <v>69.528373854097708</v>
      </c>
    </row>
    <row r="229" spans="1:44" x14ac:dyDescent="0.2">
      <c r="A229" s="1141" t="str">
        <f t="shared" si="54"/>
        <v>1504</v>
      </c>
      <c r="B229" s="1141" t="str">
        <f>IFERROR(VLOOKUP(A229,'LAC 103'!A:C,3,FALSE),"")</f>
        <v>OP</v>
      </c>
      <c r="C229" s="1478" t="str">
        <f>Info!$B$8</f>
        <v>00100</v>
      </c>
      <c r="D229" s="1474" t="s">
        <v>256</v>
      </c>
      <c r="E229" s="1474" t="s">
        <v>95</v>
      </c>
      <c r="F229" s="1478" t="s">
        <v>588</v>
      </c>
      <c r="G229" s="1478" t="s">
        <v>588</v>
      </c>
      <c r="H229" s="1474" t="s">
        <v>1658</v>
      </c>
      <c r="I229" s="1478" t="s">
        <v>807</v>
      </c>
      <c r="J229" s="1478"/>
      <c r="K229" s="1475" t="s">
        <v>851</v>
      </c>
      <c r="L229" s="1474" t="s">
        <v>584</v>
      </c>
      <c r="M229" s="1476" t="s">
        <v>1699</v>
      </c>
      <c r="N229" s="1477" t="s">
        <v>1694</v>
      </c>
      <c r="O229" s="1479">
        <v>3244</v>
      </c>
      <c r="P229" s="1479"/>
      <c r="Q229" s="1142">
        <f t="shared" si="55"/>
        <v>3244</v>
      </c>
      <c r="R229" s="1143">
        <f>IFERROR(VLOOKUP(CONCATENATE(E229,G229),'LAC 103'!$A$12:$O$95,11,FALSE),0)</f>
        <v>2.483156209074918</v>
      </c>
      <c r="S229" s="1144">
        <f>IFERROR(VLOOKUP(CONCATENATE($E229,$G229),'LAC 103'!$A$12:$O$95,12,FALSE),0)</f>
        <v>3.07</v>
      </c>
      <c r="T229" s="1144">
        <f>IFERROR(VLOOKUP(CONCATENATE($E229,$G229),'LAC 103'!$A$12:$O$95,13,FALSE),0)</f>
        <v>1.92</v>
      </c>
      <c r="U229" s="1144">
        <f>IFERROR(VLOOKUP(CONCATENATE($E229,$G229),'LAC 103'!$A$12:$O$95,14,FALSE),0)</f>
        <v>0</v>
      </c>
      <c r="V229" s="1144">
        <f>IFERROR(VLOOKUP(CONCATENATE($E229,$G229),'LAC 103'!$A$12:$O$95,15,FALSE),0)</f>
        <v>0</v>
      </c>
      <c r="W229" s="1145" t="str">
        <f>IFERROR(VLOOKUP(CONCATENATE($B229,$N229),'LAC 103'!$AI:$AQ,9,FALSE),"")</f>
        <v>Costs</v>
      </c>
      <c r="X229" s="1146">
        <f t="shared" si="60"/>
        <v>2.483156209074918</v>
      </c>
      <c r="Y229" s="1143">
        <f t="shared" si="61"/>
        <v>8055.3587422390337</v>
      </c>
      <c r="Z229" s="1147">
        <f t="shared" si="62"/>
        <v>9959.08</v>
      </c>
      <c r="AA229" s="1144">
        <f t="shared" si="63"/>
        <v>6228.48</v>
      </c>
      <c r="AB229" s="1144">
        <f t="shared" si="64"/>
        <v>0</v>
      </c>
      <c r="AC229" s="1144">
        <f t="shared" si="65"/>
        <v>0</v>
      </c>
      <c r="AD229" s="1148">
        <f t="shared" si="56"/>
        <v>8055.3587422390337</v>
      </c>
      <c r="AE229" s="1487">
        <v>0</v>
      </c>
      <c r="AF229" s="1145">
        <f t="shared" si="66"/>
        <v>8055.3587422390337</v>
      </c>
      <c r="AG229" s="1149">
        <f>IFERROR(VLOOKUP(CONCATENATE($L229,$N229),'Drop List'!$G$23:$K$87,2,FALSE),0)</f>
        <v>0.56200000000000006</v>
      </c>
      <c r="AH229" s="1150">
        <f>IFERROR(VLOOKUP(CONCATENATE($L229,$N229),'Drop List'!$G$23:$K$87,3,FALSE),0)</f>
        <v>0</v>
      </c>
      <c r="AI229" s="1150">
        <f>IFERROR(VLOOKUP(CONCATENATE($L229,$N229),'Drop List'!$G$23:$K$87,4,FALSE),0)</f>
        <v>0</v>
      </c>
      <c r="AJ229" s="1151">
        <f>IFERROR(VLOOKUP(CONCATENATE($L229,$N229),'Drop List'!$G$23:$K$87,5,FALSE),0)</f>
        <v>0.43799999999999994</v>
      </c>
      <c r="AK229" s="1152">
        <f t="shared" si="67"/>
        <v>4527.1116131383378</v>
      </c>
      <c r="AL229" s="1153">
        <f t="shared" si="68"/>
        <v>0</v>
      </c>
      <c r="AM229" s="1153">
        <f t="shared" si="69"/>
        <v>0</v>
      </c>
      <c r="AN229" s="1145">
        <f t="shared" si="70"/>
        <v>3528.2471291006964</v>
      </c>
      <c r="AO229" s="1154">
        <f t="shared" si="71"/>
        <v>8055.3587422390337</v>
      </c>
      <c r="AP229" s="1147">
        <f t="shared" si="57"/>
        <v>0</v>
      </c>
      <c r="AQ229" s="1144">
        <f t="shared" si="58"/>
        <v>0</v>
      </c>
      <c r="AR229" s="1146">
        <f t="shared" si="59"/>
        <v>8055.3587422390337</v>
      </c>
    </row>
    <row r="230" spans="1:44" x14ac:dyDescent="0.2">
      <c r="A230" s="1141" t="str">
        <f t="shared" si="54"/>
        <v>1504</v>
      </c>
      <c r="B230" s="1141" t="str">
        <f>IFERROR(VLOOKUP(A230,'LAC 103'!A:C,3,FALSE),"")</f>
        <v>OP</v>
      </c>
      <c r="C230" s="1478" t="str">
        <f>Info!$B$8</f>
        <v>00100</v>
      </c>
      <c r="D230" s="1474" t="s">
        <v>256</v>
      </c>
      <c r="E230" s="1474" t="s">
        <v>95</v>
      </c>
      <c r="F230" s="1478" t="s">
        <v>588</v>
      </c>
      <c r="G230" s="1478" t="s">
        <v>588</v>
      </c>
      <c r="H230" s="1474" t="s">
        <v>1658</v>
      </c>
      <c r="I230" s="1478" t="s">
        <v>807</v>
      </c>
      <c r="J230" s="1478"/>
      <c r="K230" s="1475" t="s">
        <v>851</v>
      </c>
      <c r="L230" s="1474" t="s">
        <v>584</v>
      </c>
      <c r="M230" s="1476" t="s">
        <v>841</v>
      </c>
      <c r="N230" s="1477" t="s">
        <v>1695</v>
      </c>
      <c r="O230" s="1479">
        <v>806</v>
      </c>
      <c r="P230" s="1479"/>
      <c r="Q230" s="1142">
        <f t="shared" si="55"/>
        <v>806</v>
      </c>
      <c r="R230" s="1143">
        <f>IFERROR(VLOOKUP(CONCATENATE(E230,G230),'LAC 103'!$A$12:$O$95,11,FALSE),0)</f>
        <v>2.483156209074918</v>
      </c>
      <c r="S230" s="1144">
        <f>IFERROR(VLOOKUP(CONCATENATE($E230,$G230),'LAC 103'!$A$12:$O$95,12,FALSE),0)</f>
        <v>3.07</v>
      </c>
      <c r="T230" s="1144">
        <f>IFERROR(VLOOKUP(CONCATENATE($E230,$G230),'LAC 103'!$A$12:$O$95,13,FALSE),0)</f>
        <v>1.92</v>
      </c>
      <c r="U230" s="1144">
        <f>IFERROR(VLOOKUP(CONCATENATE($E230,$G230),'LAC 103'!$A$12:$O$95,14,FALSE),0)</f>
        <v>0</v>
      </c>
      <c r="V230" s="1144">
        <f>IFERROR(VLOOKUP(CONCATENATE($E230,$G230),'LAC 103'!$A$12:$O$95,15,FALSE),0)</f>
        <v>0</v>
      </c>
      <c r="W230" s="1145" t="str">
        <f>IFERROR(VLOOKUP(CONCATENATE($B230,$N230),'LAC 103'!$AI:$AQ,9,FALSE),"")</f>
        <v>Costs</v>
      </c>
      <c r="X230" s="1146">
        <f t="shared" si="60"/>
        <v>2.483156209074918</v>
      </c>
      <c r="Y230" s="1143">
        <f t="shared" si="61"/>
        <v>2001.4239045143838</v>
      </c>
      <c r="Z230" s="1147">
        <f t="shared" si="62"/>
        <v>2474.42</v>
      </c>
      <c r="AA230" s="1144">
        <f t="shared" si="63"/>
        <v>1547.52</v>
      </c>
      <c r="AB230" s="1144">
        <f t="shared" si="64"/>
        <v>0</v>
      </c>
      <c r="AC230" s="1144">
        <f t="shared" si="65"/>
        <v>0</v>
      </c>
      <c r="AD230" s="1148">
        <f t="shared" si="56"/>
        <v>2001.4239045143838</v>
      </c>
      <c r="AE230" s="1487">
        <v>0</v>
      </c>
      <c r="AF230" s="1145">
        <f t="shared" si="66"/>
        <v>2001.4239045143838</v>
      </c>
      <c r="AG230" s="1149">
        <f>IFERROR(VLOOKUP(CONCATENATE($L230,$N230),'Drop List'!$G$23:$K$87,2,FALSE),0)</f>
        <v>0.55000000000000004</v>
      </c>
      <c r="AH230" s="1150">
        <f>IFERROR(VLOOKUP(CONCATENATE($L230,$N230),'Drop List'!$G$23:$K$87,3,FALSE),0)</f>
        <v>0</v>
      </c>
      <c r="AI230" s="1150">
        <f>IFERROR(VLOOKUP(CONCATENATE($L230,$N230),'Drop List'!$G$23:$K$87,4,FALSE),0)</f>
        <v>0</v>
      </c>
      <c r="AJ230" s="1151">
        <f>IFERROR(VLOOKUP(CONCATENATE($L230,$N230),'Drop List'!$G$23:$K$87,5,FALSE),0)</f>
        <v>0.44999999999999996</v>
      </c>
      <c r="AK230" s="1152">
        <f t="shared" si="67"/>
        <v>1100.7831474829111</v>
      </c>
      <c r="AL230" s="1153">
        <f t="shared" si="68"/>
        <v>0</v>
      </c>
      <c r="AM230" s="1153">
        <f t="shared" si="69"/>
        <v>0</v>
      </c>
      <c r="AN230" s="1145">
        <f t="shared" si="70"/>
        <v>900.64075703147262</v>
      </c>
      <c r="AO230" s="1154">
        <f t="shared" si="71"/>
        <v>2001.4239045143836</v>
      </c>
      <c r="AP230" s="1147">
        <f t="shared" si="57"/>
        <v>0</v>
      </c>
      <c r="AQ230" s="1144">
        <f t="shared" si="58"/>
        <v>0</v>
      </c>
      <c r="AR230" s="1146">
        <f t="shared" si="59"/>
        <v>2001.4239045143836</v>
      </c>
    </row>
    <row r="231" spans="1:44" x14ac:dyDescent="0.2">
      <c r="A231" s="1141" t="str">
        <f t="shared" si="54"/>
        <v>1504</v>
      </c>
      <c r="B231" s="1141" t="str">
        <f>IFERROR(VLOOKUP(A231,'LAC 103'!A:C,3,FALSE),"")</f>
        <v>OP</v>
      </c>
      <c r="C231" s="1478" t="str">
        <f>Info!$B$8</f>
        <v>00100</v>
      </c>
      <c r="D231" s="1474" t="s">
        <v>256</v>
      </c>
      <c r="E231" s="1474" t="s">
        <v>95</v>
      </c>
      <c r="F231" s="1478" t="s">
        <v>588</v>
      </c>
      <c r="G231" s="1478" t="s">
        <v>588</v>
      </c>
      <c r="H231" s="1474" t="s">
        <v>1658</v>
      </c>
      <c r="I231" s="1478" t="s">
        <v>807</v>
      </c>
      <c r="J231" s="1478"/>
      <c r="K231" s="1475" t="s">
        <v>851</v>
      </c>
      <c r="L231" s="1474" t="s">
        <v>584</v>
      </c>
      <c r="M231" s="1476" t="s">
        <v>840</v>
      </c>
      <c r="N231" s="1477" t="s">
        <v>1700</v>
      </c>
      <c r="O231" s="1479">
        <v>1032</v>
      </c>
      <c r="P231" s="1479"/>
      <c r="Q231" s="1142">
        <f t="shared" si="55"/>
        <v>1032</v>
      </c>
      <c r="R231" s="1143">
        <f>IFERROR(VLOOKUP(CONCATENATE(E231,G231),'LAC 103'!$A$12:$O$95,11,FALSE),0)</f>
        <v>2.483156209074918</v>
      </c>
      <c r="S231" s="1144">
        <f>IFERROR(VLOOKUP(CONCATENATE($E231,$G231),'LAC 103'!$A$12:$O$95,12,FALSE),0)</f>
        <v>3.07</v>
      </c>
      <c r="T231" s="1144">
        <f>IFERROR(VLOOKUP(CONCATENATE($E231,$G231),'LAC 103'!$A$12:$O$95,13,FALSE),0)</f>
        <v>1.92</v>
      </c>
      <c r="U231" s="1144">
        <f>IFERROR(VLOOKUP(CONCATENATE($E231,$G231),'LAC 103'!$A$12:$O$95,14,FALSE),0)</f>
        <v>0</v>
      </c>
      <c r="V231" s="1144">
        <f>IFERROR(VLOOKUP(CONCATENATE($E231,$G231),'LAC 103'!$A$12:$O$95,15,FALSE),0)</f>
        <v>0</v>
      </c>
      <c r="W231" s="1145" t="str">
        <f>IFERROR(VLOOKUP(CONCATENATE($B231,$N231),'LAC 103'!$AI:$AQ,9,FALSE),"")</f>
        <v>P.C.</v>
      </c>
      <c r="X231" s="1146">
        <f t="shared" si="60"/>
        <v>1.92</v>
      </c>
      <c r="Y231" s="1143">
        <f t="shared" si="61"/>
        <v>2562.6172077653155</v>
      </c>
      <c r="Z231" s="1147">
        <f t="shared" si="62"/>
        <v>3168.24</v>
      </c>
      <c r="AA231" s="1144">
        <f t="shared" si="63"/>
        <v>1981.4399999999998</v>
      </c>
      <c r="AB231" s="1144">
        <f t="shared" si="64"/>
        <v>0</v>
      </c>
      <c r="AC231" s="1144">
        <f t="shared" si="65"/>
        <v>0</v>
      </c>
      <c r="AD231" s="1148">
        <f t="shared" si="56"/>
        <v>1981.4399999999998</v>
      </c>
      <c r="AE231" s="1487">
        <v>0</v>
      </c>
      <c r="AF231" s="1145">
        <f t="shared" si="66"/>
        <v>1981.4399999999998</v>
      </c>
      <c r="AG231" s="1149">
        <f>IFERROR(VLOOKUP(CONCATENATE($L231,$N231),'Drop List'!$G$23:$K$87,2,FALSE),0)</f>
        <v>0.55000000000000004</v>
      </c>
      <c r="AH231" s="1150">
        <f>IFERROR(VLOOKUP(CONCATENATE($L231,$N231),'Drop List'!$G$23:$K$87,3,FALSE),0)</f>
        <v>0</v>
      </c>
      <c r="AI231" s="1150">
        <f>IFERROR(VLOOKUP(CONCATENATE($L231,$N231),'Drop List'!$G$23:$K$87,4,FALSE),0)</f>
        <v>0</v>
      </c>
      <c r="AJ231" s="1151">
        <f>IFERROR(VLOOKUP(CONCATENATE($L231,$N231),'Drop List'!$G$23:$K$87,5,FALSE),0)</f>
        <v>0.44999999999999996</v>
      </c>
      <c r="AK231" s="1152">
        <f t="shared" si="67"/>
        <v>1089.7919999999999</v>
      </c>
      <c r="AL231" s="1153">
        <f t="shared" si="68"/>
        <v>0</v>
      </c>
      <c r="AM231" s="1153">
        <f t="shared" si="69"/>
        <v>0</v>
      </c>
      <c r="AN231" s="1145">
        <f t="shared" si="70"/>
        <v>891.6479999999998</v>
      </c>
      <c r="AO231" s="1154">
        <f t="shared" si="71"/>
        <v>1981.4399999999996</v>
      </c>
      <c r="AP231" s="1147">
        <f t="shared" si="57"/>
        <v>0</v>
      </c>
      <c r="AQ231" s="1144">
        <f t="shared" si="58"/>
        <v>0</v>
      </c>
      <c r="AR231" s="1146">
        <f t="shared" si="59"/>
        <v>1981.4399999999996</v>
      </c>
    </row>
    <row r="232" spans="1:44" x14ac:dyDescent="0.2">
      <c r="A232" s="1141" t="str">
        <f t="shared" si="54"/>
        <v>1504</v>
      </c>
      <c r="B232" s="1141" t="str">
        <f>IFERROR(VLOOKUP(A232,'LAC 103'!A:C,3,FALSE),"")</f>
        <v>OP</v>
      </c>
      <c r="C232" s="1478" t="str">
        <f>Info!$B$8</f>
        <v>00100</v>
      </c>
      <c r="D232" s="1474" t="s">
        <v>256</v>
      </c>
      <c r="E232" s="1474" t="s">
        <v>95</v>
      </c>
      <c r="F232" s="1478" t="s">
        <v>588</v>
      </c>
      <c r="G232" s="1478" t="s">
        <v>588</v>
      </c>
      <c r="H232" s="1474" t="s">
        <v>1658</v>
      </c>
      <c r="I232" s="1478" t="s">
        <v>807</v>
      </c>
      <c r="J232" s="1478"/>
      <c r="K232" s="1475" t="s">
        <v>851</v>
      </c>
      <c r="L232" s="1474" t="s">
        <v>584</v>
      </c>
      <c r="M232" s="1476" t="s">
        <v>842</v>
      </c>
      <c r="N232" s="1477" t="s">
        <v>1692</v>
      </c>
      <c r="O232" s="1479">
        <v>8151</v>
      </c>
      <c r="P232" s="1479"/>
      <c r="Q232" s="1142">
        <f t="shared" si="55"/>
        <v>8151</v>
      </c>
      <c r="R232" s="1143">
        <f>IFERROR(VLOOKUP(CONCATENATE(E232,G232),'LAC 103'!$A$12:$O$95,11,FALSE),0)</f>
        <v>2.483156209074918</v>
      </c>
      <c r="S232" s="1144">
        <f>IFERROR(VLOOKUP(CONCATENATE($E232,$G232),'LAC 103'!$A$12:$O$95,12,FALSE),0)</f>
        <v>3.07</v>
      </c>
      <c r="T232" s="1144">
        <f>IFERROR(VLOOKUP(CONCATENATE($E232,$G232),'LAC 103'!$A$12:$O$95,13,FALSE),0)</f>
        <v>1.92</v>
      </c>
      <c r="U232" s="1144">
        <f>IFERROR(VLOOKUP(CONCATENATE($E232,$G232),'LAC 103'!$A$12:$O$95,14,FALSE),0)</f>
        <v>0</v>
      </c>
      <c r="V232" s="1144">
        <f>IFERROR(VLOOKUP(CONCATENATE($E232,$G232),'LAC 103'!$A$12:$O$95,15,FALSE),0)</f>
        <v>0</v>
      </c>
      <c r="W232" s="1145" t="str">
        <f>IFERROR(VLOOKUP(CONCATENATE($B232,$N232),'LAC 103'!$AI:$AQ,9,FALSE),"")</f>
        <v>Costs</v>
      </c>
      <c r="X232" s="1146">
        <f t="shared" si="60"/>
        <v>2.483156209074918</v>
      </c>
      <c r="Y232" s="1143">
        <f t="shared" si="61"/>
        <v>20240.206260169656</v>
      </c>
      <c r="Z232" s="1147">
        <f t="shared" si="62"/>
        <v>25023.57</v>
      </c>
      <c r="AA232" s="1144">
        <f t="shared" si="63"/>
        <v>15649.92</v>
      </c>
      <c r="AB232" s="1144">
        <f t="shared" si="64"/>
        <v>0</v>
      </c>
      <c r="AC232" s="1144">
        <f t="shared" si="65"/>
        <v>0</v>
      </c>
      <c r="AD232" s="1148">
        <f t="shared" si="56"/>
        <v>20240.206260169656</v>
      </c>
      <c r="AE232" s="1487">
        <v>0</v>
      </c>
      <c r="AF232" s="1145">
        <f t="shared" si="66"/>
        <v>20240.206260169656</v>
      </c>
      <c r="AG232" s="1149">
        <f>IFERROR(VLOOKUP(CONCATENATE($L232,$N232),'Drop List'!$G$23:$K$87,2,FALSE),0)</f>
        <v>0.56200000000000006</v>
      </c>
      <c r="AH232" s="1150">
        <f>IFERROR(VLOOKUP(CONCATENATE($L232,$N232),'Drop List'!$G$23:$K$87,3,FALSE),0)</f>
        <v>0</v>
      </c>
      <c r="AI232" s="1150">
        <f>IFERROR(VLOOKUP(CONCATENATE($L232,$N232),'Drop List'!$G$23:$K$87,4,FALSE),0)</f>
        <v>0</v>
      </c>
      <c r="AJ232" s="1151">
        <f>IFERROR(VLOOKUP(CONCATENATE($L232,$N232),'Drop List'!$G$23:$K$87,5,FALSE),0)</f>
        <v>0.43799999999999994</v>
      </c>
      <c r="AK232" s="1152">
        <f t="shared" si="67"/>
        <v>11374.995918215347</v>
      </c>
      <c r="AL232" s="1153">
        <f t="shared" si="68"/>
        <v>0</v>
      </c>
      <c r="AM232" s="1153">
        <f t="shared" si="69"/>
        <v>0</v>
      </c>
      <c r="AN232" s="1145">
        <f t="shared" si="70"/>
        <v>8865.2103419543091</v>
      </c>
      <c r="AO232" s="1154">
        <f t="shared" si="71"/>
        <v>20240.206260169656</v>
      </c>
      <c r="AP232" s="1147">
        <f t="shared" si="57"/>
        <v>0</v>
      </c>
      <c r="AQ232" s="1144">
        <f t="shared" si="58"/>
        <v>0</v>
      </c>
      <c r="AR232" s="1146">
        <f t="shared" si="59"/>
        <v>20240.206260169656</v>
      </c>
    </row>
    <row r="233" spans="1:44" x14ac:dyDescent="0.2">
      <c r="A233" s="1141" t="str">
        <f t="shared" si="54"/>
        <v>1504</v>
      </c>
      <c r="B233" s="1141" t="str">
        <f>IFERROR(VLOOKUP(A233,'LAC 103'!A:C,3,FALSE),"")</f>
        <v>OP</v>
      </c>
      <c r="C233" s="1478" t="str">
        <f>Info!$B$8</f>
        <v>00100</v>
      </c>
      <c r="D233" s="1474" t="s">
        <v>256</v>
      </c>
      <c r="E233" s="1474" t="s">
        <v>95</v>
      </c>
      <c r="F233" s="1478" t="s">
        <v>588</v>
      </c>
      <c r="G233" s="1478" t="s">
        <v>588</v>
      </c>
      <c r="H233" s="1474" t="s">
        <v>1658</v>
      </c>
      <c r="I233" s="1478" t="s">
        <v>807</v>
      </c>
      <c r="J233" s="1478"/>
      <c r="K233" s="1475" t="s">
        <v>851</v>
      </c>
      <c r="L233" s="1474" t="s">
        <v>584</v>
      </c>
      <c r="M233" s="1476" t="s">
        <v>1698</v>
      </c>
      <c r="N233" s="1477" t="s">
        <v>1693</v>
      </c>
      <c r="O233" s="1479">
        <v>8753</v>
      </c>
      <c r="P233" s="1479"/>
      <c r="Q233" s="1142">
        <f t="shared" si="55"/>
        <v>8753</v>
      </c>
      <c r="R233" s="1143">
        <f>IFERROR(VLOOKUP(CONCATENATE(E233,G233),'LAC 103'!$A$12:$O$95,11,FALSE),0)</f>
        <v>2.483156209074918</v>
      </c>
      <c r="S233" s="1144">
        <f>IFERROR(VLOOKUP(CONCATENATE($E233,$G233),'LAC 103'!$A$12:$O$95,12,FALSE),0)</f>
        <v>3.07</v>
      </c>
      <c r="T233" s="1144">
        <f>IFERROR(VLOOKUP(CONCATENATE($E233,$G233),'LAC 103'!$A$12:$O$95,13,FALSE),0)</f>
        <v>1.92</v>
      </c>
      <c r="U233" s="1144">
        <f>IFERROR(VLOOKUP(CONCATENATE($E233,$G233),'LAC 103'!$A$12:$O$95,14,FALSE),0)</f>
        <v>0</v>
      </c>
      <c r="V233" s="1144">
        <f>IFERROR(VLOOKUP(CONCATENATE($E233,$G233),'LAC 103'!$A$12:$O$95,15,FALSE),0)</f>
        <v>0</v>
      </c>
      <c r="W233" s="1145" t="str">
        <f>IFERROR(VLOOKUP(CONCATENATE($B233,$N233),'LAC 103'!$AI:$AQ,9,FALSE),"")</f>
        <v>Costs</v>
      </c>
      <c r="X233" s="1146">
        <f t="shared" si="60"/>
        <v>2.483156209074918</v>
      </c>
      <c r="Y233" s="1143">
        <f t="shared" si="61"/>
        <v>21735.066298032758</v>
      </c>
      <c r="Z233" s="1147">
        <f t="shared" si="62"/>
        <v>26871.71</v>
      </c>
      <c r="AA233" s="1144">
        <f t="shared" si="63"/>
        <v>16805.759999999998</v>
      </c>
      <c r="AB233" s="1144">
        <f t="shared" si="64"/>
        <v>0</v>
      </c>
      <c r="AC233" s="1144">
        <f t="shared" si="65"/>
        <v>0</v>
      </c>
      <c r="AD233" s="1148">
        <f t="shared" si="56"/>
        <v>21735.066298032758</v>
      </c>
      <c r="AE233" s="1487">
        <v>0</v>
      </c>
      <c r="AF233" s="1145">
        <f t="shared" si="66"/>
        <v>21735.066298032758</v>
      </c>
      <c r="AG233" s="1149">
        <f>IFERROR(VLOOKUP(CONCATENATE($L233,$N233),'Drop List'!$G$23:$K$87,2,FALSE),0)</f>
        <v>0.56200000000000006</v>
      </c>
      <c r="AH233" s="1150">
        <f>IFERROR(VLOOKUP(CONCATENATE($L233,$N233),'Drop List'!$G$23:$K$87,3,FALSE),0)</f>
        <v>0</v>
      </c>
      <c r="AI233" s="1150">
        <f>IFERROR(VLOOKUP(CONCATENATE($L233,$N233),'Drop List'!$G$23:$K$87,4,FALSE),0)</f>
        <v>0</v>
      </c>
      <c r="AJ233" s="1151">
        <f>IFERROR(VLOOKUP(CONCATENATE($L233,$N233),'Drop List'!$G$23:$K$87,5,FALSE),0)</f>
        <v>0.43799999999999994</v>
      </c>
      <c r="AK233" s="1152">
        <f t="shared" si="67"/>
        <v>12215.107259494411</v>
      </c>
      <c r="AL233" s="1153">
        <f t="shared" si="68"/>
        <v>0</v>
      </c>
      <c r="AM233" s="1153">
        <f t="shared" si="69"/>
        <v>0</v>
      </c>
      <c r="AN233" s="1145">
        <f t="shared" si="70"/>
        <v>9519.9590385383472</v>
      </c>
      <c r="AO233" s="1154">
        <f t="shared" si="71"/>
        <v>21735.066298032758</v>
      </c>
      <c r="AP233" s="1147">
        <f t="shared" si="57"/>
        <v>0</v>
      </c>
      <c r="AQ233" s="1144">
        <f t="shared" si="58"/>
        <v>0</v>
      </c>
      <c r="AR233" s="1146">
        <f t="shared" si="59"/>
        <v>21735.066298032758</v>
      </c>
    </row>
    <row r="234" spans="1:44" x14ac:dyDescent="0.2">
      <c r="A234" s="1141" t="str">
        <f t="shared" si="54"/>
        <v>1504</v>
      </c>
      <c r="B234" s="1141" t="str">
        <f>IFERROR(VLOOKUP(A234,'LAC 103'!A:C,3,FALSE),"")</f>
        <v>OP</v>
      </c>
      <c r="C234" s="1478" t="str">
        <f>Info!$B$8</f>
        <v>00100</v>
      </c>
      <c r="D234" s="1474" t="s">
        <v>256</v>
      </c>
      <c r="E234" s="1474" t="s">
        <v>95</v>
      </c>
      <c r="F234" s="1478" t="s">
        <v>588</v>
      </c>
      <c r="G234" s="1478" t="s">
        <v>588</v>
      </c>
      <c r="H234" s="1474" t="s">
        <v>970</v>
      </c>
      <c r="I234" s="1478" t="s">
        <v>817</v>
      </c>
      <c r="J234" s="1478" t="s">
        <v>123</v>
      </c>
      <c r="K234" s="1475" t="s">
        <v>851</v>
      </c>
      <c r="L234" s="1474" t="s">
        <v>584</v>
      </c>
      <c r="M234" s="1476" t="s">
        <v>1699</v>
      </c>
      <c r="N234" s="1477" t="s">
        <v>1694</v>
      </c>
      <c r="O234" s="1479">
        <v>64</v>
      </c>
      <c r="P234" s="1479"/>
      <c r="Q234" s="1142">
        <f t="shared" si="55"/>
        <v>64</v>
      </c>
      <c r="R234" s="1143">
        <f>IFERROR(VLOOKUP(CONCATENATE(E234,G234),'LAC 103'!$A$12:$O$95,11,FALSE),0)</f>
        <v>2.483156209074918</v>
      </c>
      <c r="S234" s="1144">
        <f>IFERROR(VLOOKUP(CONCATENATE($E234,$G234),'LAC 103'!$A$12:$O$95,12,FALSE),0)</f>
        <v>3.07</v>
      </c>
      <c r="T234" s="1144">
        <f>IFERROR(VLOOKUP(CONCATENATE($E234,$G234),'LAC 103'!$A$12:$O$95,13,FALSE),0)</f>
        <v>1.92</v>
      </c>
      <c r="U234" s="1144">
        <f>IFERROR(VLOOKUP(CONCATENATE($E234,$G234),'LAC 103'!$A$12:$O$95,14,FALSE),0)</f>
        <v>0</v>
      </c>
      <c r="V234" s="1144">
        <f>IFERROR(VLOOKUP(CONCATENATE($E234,$G234),'LAC 103'!$A$12:$O$95,15,FALSE),0)</f>
        <v>0</v>
      </c>
      <c r="W234" s="1145" t="str">
        <f>IFERROR(VLOOKUP(CONCATENATE($B234,$N234),'LAC 103'!$AI:$AQ,9,FALSE),"")</f>
        <v>Costs</v>
      </c>
      <c r="X234" s="1146">
        <f t="shared" si="60"/>
        <v>2.483156209074918</v>
      </c>
      <c r="Y234" s="1143">
        <f t="shared" si="61"/>
        <v>158.92199738079475</v>
      </c>
      <c r="Z234" s="1147">
        <f t="shared" si="62"/>
        <v>196.48</v>
      </c>
      <c r="AA234" s="1144">
        <f t="shared" si="63"/>
        <v>122.88</v>
      </c>
      <c r="AB234" s="1144">
        <f t="shared" si="64"/>
        <v>0</v>
      </c>
      <c r="AC234" s="1144">
        <f t="shared" si="65"/>
        <v>0</v>
      </c>
      <c r="AD234" s="1148">
        <f t="shared" si="56"/>
        <v>158.92199738079475</v>
      </c>
      <c r="AE234" s="1487">
        <v>0</v>
      </c>
      <c r="AF234" s="1145">
        <f t="shared" si="66"/>
        <v>158.92199738079475</v>
      </c>
      <c r="AG234" s="1149">
        <f>IFERROR(VLOOKUP(CONCATENATE($L234,$N234),'Drop List'!$G$23:$K$87,2,FALSE),0)</f>
        <v>0.56200000000000006</v>
      </c>
      <c r="AH234" s="1150">
        <f>IFERROR(VLOOKUP(CONCATENATE($L234,$N234),'Drop List'!$G$23:$K$87,3,FALSE),0)</f>
        <v>0</v>
      </c>
      <c r="AI234" s="1150">
        <f>IFERROR(VLOOKUP(CONCATENATE($L234,$N234),'Drop List'!$G$23:$K$87,4,FALSE),0)</f>
        <v>0</v>
      </c>
      <c r="AJ234" s="1151">
        <f>IFERROR(VLOOKUP(CONCATENATE($L234,$N234),'Drop List'!$G$23:$K$87,5,FALSE),0)</f>
        <v>0.43799999999999994</v>
      </c>
      <c r="AK234" s="1152">
        <f t="shared" si="67"/>
        <v>89.314162528006662</v>
      </c>
      <c r="AL234" s="1153">
        <f t="shared" si="68"/>
        <v>0</v>
      </c>
      <c r="AM234" s="1153">
        <f t="shared" si="69"/>
        <v>0</v>
      </c>
      <c r="AN234" s="1145">
        <f t="shared" si="70"/>
        <v>69.607834852788088</v>
      </c>
      <c r="AO234" s="1154">
        <f t="shared" si="71"/>
        <v>158.92199738079475</v>
      </c>
      <c r="AP234" s="1147">
        <f t="shared" si="57"/>
        <v>0</v>
      </c>
      <c r="AQ234" s="1144">
        <f t="shared" si="58"/>
        <v>0</v>
      </c>
      <c r="AR234" s="1146">
        <f t="shared" si="59"/>
        <v>158.92199738079475</v>
      </c>
    </row>
    <row r="235" spans="1:44" x14ac:dyDescent="0.2">
      <c r="A235" s="1141" t="str">
        <f t="shared" si="54"/>
        <v>1504</v>
      </c>
      <c r="B235" s="1141" t="str">
        <f>IFERROR(VLOOKUP(A235,'LAC 103'!A:C,3,FALSE),"")</f>
        <v>OP</v>
      </c>
      <c r="C235" s="1478" t="str">
        <f>Info!$B$8</f>
        <v>00100</v>
      </c>
      <c r="D235" s="1474" t="s">
        <v>256</v>
      </c>
      <c r="E235" s="1474" t="s">
        <v>95</v>
      </c>
      <c r="F235" s="1478" t="s">
        <v>588</v>
      </c>
      <c r="G235" s="1478" t="s">
        <v>588</v>
      </c>
      <c r="H235" s="1474" t="s">
        <v>988</v>
      </c>
      <c r="I235" s="1478" t="s">
        <v>811</v>
      </c>
      <c r="J235" s="1478" t="s">
        <v>123</v>
      </c>
      <c r="K235" s="1475" t="s">
        <v>1654</v>
      </c>
      <c r="L235" s="1474" t="s">
        <v>332</v>
      </c>
      <c r="M235" s="1476" t="s">
        <v>1699</v>
      </c>
      <c r="N235" s="1477" t="s">
        <v>1694</v>
      </c>
      <c r="O235" s="1479">
        <v>502</v>
      </c>
      <c r="P235" s="1479"/>
      <c r="Q235" s="1142">
        <f t="shared" si="55"/>
        <v>502</v>
      </c>
      <c r="R235" s="1143">
        <f>IFERROR(VLOOKUP(CONCATENATE(E235,G235),'LAC 103'!$A$12:$O$95,11,FALSE),0)</f>
        <v>2.483156209074918</v>
      </c>
      <c r="S235" s="1144">
        <f>IFERROR(VLOOKUP(CONCATENATE($E235,$G235),'LAC 103'!$A$12:$O$95,12,FALSE),0)</f>
        <v>3.07</v>
      </c>
      <c r="T235" s="1144">
        <f>IFERROR(VLOOKUP(CONCATENATE($E235,$G235),'LAC 103'!$A$12:$O$95,13,FALSE),0)</f>
        <v>1.92</v>
      </c>
      <c r="U235" s="1144">
        <f>IFERROR(VLOOKUP(CONCATENATE($E235,$G235),'LAC 103'!$A$12:$O$95,14,FALSE),0)</f>
        <v>0</v>
      </c>
      <c r="V235" s="1144">
        <f>IFERROR(VLOOKUP(CONCATENATE($E235,$G235),'LAC 103'!$A$12:$O$95,15,FALSE),0)</f>
        <v>0</v>
      </c>
      <c r="W235" s="1145" t="str">
        <f>IFERROR(VLOOKUP(CONCATENATE($B235,$N235),'LAC 103'!$AI:$AQ,9,FALSE),"")</f>
        <v>Costs</v>
      </c>
      <c r="X235" s="1146">
        <f t="shared" si="60"/>
        <v>2.483156209074918</v>
      </c>
      <c r="Y235" s="1143">
        <f t="shared" si="61"/>
        <v>1246.5444169556088</v>
      </c>
      <c r="Z235" s="1147">
        <f t="shared" si="62"/>
        <v>1541.1399999999999</v>
      </c>
      <c r="AA235" s="1144">
        <f t="shared" si="63"/>
        <v>963.83999999999992</v>
      </c>
      <c r="AB235" s="1144">
        <f t="shared" si="64"/>
        <v>0</v>
      </c>
      <c r="AC235" s="1144">
        <f t="shared" si="65"/>
        <v>0</v>
      </c>
      <c r="AD235" s="1148">
        <f t="shared" si="56"/>
        <v>1246.5444169556088</v>
      </c>
      <c r="AE235" s="1487">
        <v>0</v>
      </c>
      <c r="AF235" s="1145">
        <f t="shared" si="66"/>
        <v>1246.5444169556088</v>
      </c>
      <c r="AG235" s="1149">
        <f>IFERROR(VLOOKUP(CONCATENATE($L235,$N235),'Drop List'!$G$23:$K$87,2,FALSE),0)</f>
        <v>0</v>
      </c>
      <c r="AH235" s="1150">
        <f>IFERROR(VLOOKUP(CONCATENATE($L235,$N235),'Drop List'!$G$23:$K$87,3,FALSE),0)</f>
        <v>0</v>
      </c>
      <c r="AI235" s="1150">
        <f>IFERROR(VLOOKUP(CONCATENATE($L235,$N235),'Drop List'!$G$23:$K$87,4,FALSE),0)</f>
        <v>0</v>
      </c>
      <c r="AJ235" s="1151">
        <f>IFERROR(VLOOKUP(CONCATENATE($L235,$N235),'Drop List'!$G$23:$K$87,5,FALSE),0)</f>
        <v>0</v>
      </c>
      <c r="AK235" s="1152">
        <f t="shared" si="67"/>
        <v>0</v>
      </c>
      <c r="AL235" s="1153">
        <f t="shared" si="68"/>
        <v>0</v>
      </c>
      <c r="AM235" s="1153">
        <f t="shared" si="69"/>
        <v>0</v>
      </c>
      <c r="AN235" s="1145">
        <f t="shared" si="70"/>
        <v>0</v>
      </c>
      <c r="AO235" s="1154">
        <f t="shared" si="71"/>
        <v>0</v>
      </c>
      <c r="AP235" s="1147">
        <f t="shared" si="57"/>
        <v>1246.5444169556088</v>
      </c>
      <c r="AQ235" s="1144">
        <f t="shared" si="58"/>
        <v>0</v>
      </c>
      <c r="AR235" s="1146">
        <f t="shared" si="59"/>
        <v>1246.5444169556088</v>
      </c>
    </row>
    <row r="236" spans="1:44" x14ac:dyDescent="0.2">
      <c r="A236" s="1141" t="str">
        <f t="shared" si="54"/>
        <v>1504</v>
      </c>
      <c r="B236" s="1141" t="str">
        <f>IFERROR(VLOOKUP(A236,'LAC 103'!A:C,3,FALSE),"")</f>
        <v>OP</v>
      </c>
      <c r="C236" s="1478" t="str">
        <f>Info!$B$8</f>
        <v>00100</v>
      </c>
      <c r="D236" s="1474" t="s">
        <v>256</v>
      </c>
      <c r="E236" s="1474" t="s">
        <v>95</v>
      </c>
      <c r="F236" s="1478" t="s">
        <v>588</v>
      </c>
      <c r="G236" s="1478" t="s">
        <v>588</v>
      </c>
      <c r="H236" s="1474" t="s">
        <v>988</v>
      </c>
      <c r="I236" s="1478" t="s">
        <v>811</v>
      </c>
      <c r="J236" s="1478"/>
      <c r="K236" s="1475" t="s">
        <v>1654</v>
      </c>
      <c r="L236" s="1474" t="s">
        <v>332</v>
      </c>
      <c r="M236" s="1476" t="s">
        <v>841</v>
      </c>
      <c r="N236" s="1477" t="s">
        <v>1695</v>
      </c>
      <c r="O236" s="1479">
        <v>818</v>
      </c>
      <c r="P236" s="1479"/>
      <c r="Q236" s="1142">
        <f t="shared" si="55"/>
        <v>818</v>
      </c>
      <c r="R236" s="1143">
        <f>IFERROR(VLOOKUP(CONCATENATE(E236,G236),'LAC 103'!$A$12:$O$95,11,FALSE),0)</f>
        <v>2.483156209074918</v>
      </c>
      <c r="S236" s="1144">
        <f>IFERROR(VLOOKUP(CONCATENATE($E236,$G236),'LAC 103'!$A$12:$O$95,12,FALSE),0)</f>
        <v>3.07</v>
      </c>
      <c r="T236" s="1144">
        <f>IFERROR(VLOOKUP(CONCATENATE($E236,$G236),'LAC 103'!$A$12:$O$95,13,FALSE),0)</f>
        <v>1.92</v>
      </c>
      <c r="U236" s="1144">
        <f>IFERROR(VLOOKUP(CONCATENATE($E236,$G236),'LAC 103'!$A$12:$O$95,14,FALSE),0)</f>
        <v>0</v>
      </c>
      <c r="V236" s="1144">
        <f>IFERROR(VLOOKUP(CONCATENATE($E236,$G236),'LAC 103'!$A$12:$O$95,15,FALSE),0)</f>
        <v>0</v>
      </c>
      <c r="W236" s="1145" t="str">
        <f>IFERROR(VLOOKUP(CONCATENATE($B236,$N236),'LAC 103'!$AI:$AQ,9,FALSE),"")</f>
        <v>Costs</v>
      </c>
      <c r="X236" s="1146">
        <f t="shared" si="60"/>
        <v>2.483156209074918</v>
      </c>
      <c r="Y236" s="1143">
        <f t="shared" si="61"/>
        <v>2031.2217790232828</v>
      </c>
      <c r="Z236" s="1147">
        <f t="shared" si="62"/>
        <v>2511.2599999999998</v>
      </c>
      <c r="AA236" s="1144">
        <f t="shared" si="63"/>
        <v>1570.56</v>
      </c>
      <c r="AB236" s="1144">
        <f t="shared" si="64"/>
        <v>0</v>
      </c>
      <c r="AC236" s="1144">
        <f t="shared" si="65"/>
        <v>0</v>
      </c>
      <c r="AD236" s="1148">
        <f t="shared" si="56"/>
        <v>2031.2217790232828</v>
      </c>
      <c r="AE236" s="1487">
        <v>0</v>
      </c>
      <c r="AF236" s="1145">
        <f t="shared" si="66"/>
        <v>2031.2217790232828</v>
      </c>
      <c r="AG236" s="1149">
        <f>IFERROR(VLOOKUP(CONCATENATE($L236,$N236),'Drop List'!$G$23:$K$87,2,FALSE),0)</f>
        <v>0</v>
      </c>
      <c r="AH236" s="1150">
        <f>IFERROR(VLOOKUP(CONCATENATE($L236,$N236),'Drop List'!$G$23:$K$87,3,FALSE),0)</f>
        <v>0</v>
      </c>
      <c r="AI236" s="1150">
        <f>IFERROR(VLOOKUP(CONCATENATE($L236,$N236),'Drop List'!$G$23:$K$87,4,FALSE),0)</f>
        <v>0</v>
      </c>
      <c r="AJ236" s="1151">
        <f>IFERROR(VLOOKUP(CONCATENATE($L236,$N236),'Drop List'!$G$23:$K$87,5,FALSE),0)</f>
        <v>0</v>
      </c>
      <c r="AK236" s="1152">
        <f t="shared" si="67"/>
        <v>0</v>
      </c>
      <c r="AL236" s="1153">
        <f t="shared" si="68"/>
        <v>0</v>
      </c>
      <c r="AM236" s="1153">
        <f t="shared" si="69"/>
        <v>0</v>
      </c>
      <c r="AN236" s="1145">
        <f t="shared" si="70"/>
        <v>0</v>
      </c>
      <c r="AO236" s="1154">
        <f t="shared" si="71"/>
        <v>0</v>
      </c>
      <c r="AP236" s="1147">
        <f t="shared" si="57"/>
        <v>2031.2217790232828</v>
      </c>
      <c r="AQ236" s="1144">
        <f t="shared" si="58"/>
        <v>0</v>
      </c>
      <c r="AR236" s="1146">
        <f t="shared" si="59"/>
        <v>2031.2217790232828</v>
      </c>
    </row>
    <row r="237" spans="1:44" x14ac:dyDescent="0.2">
      <c r="A237" s="1141" t="str">
        <f t="shared" si="54"/>
        <v>1504</v>
      </c>
      <c r="B237" s="1141" t="str">
        <f>IFERROR(VLOOKUP(A237,'LAC 103'!A:C,3,FALSE),"")</f>
        <v>OP</v>
      </c>
      <c r="C237" s="1478" t="str">
        <f>Info!$B$8</f>
        <v>00100</v>
      </c>
      <c r="D237" s="1474" t="s">
        <v>256</v>
      </c>
      <c r="E237" s="1474" t="s">
        <v>95</v>
      </c>
      <c r="F237" s="1478" t="s">
        <v>588</v>
      </c>
      <c r="G237" s="1478" t="s">
        <v>588</v>
      </c>
      <c r="H237" s="1474" t="s">
        <v>988</v>
      </c>
      <c r="I237" s="1478" t="s">
        <v>811</v>
      </c>
      <c r="J237" s="1478"/>
      <c r="K237" s="1475" t="s">
        <v>1654</v>
      </c>
      <c r="L237" s="1474" t="s">
        <v>332</v>
      </c>
      <c r="M237" s="1476" t="s">
        <v>840</v>
      </c>
      <c r="N237" s="1477" t="s">
        <v>1700</v>
      </c>
      <c r="O237" s="1479">
        <v>287</v>
      </c>
      <c r="P237" s="1479"/>
      <c r="Q237" s="1142">
        <f t="shared" si="55"/>
        <v>287</v>
      </c>
      <c r="R237" s="1143">
        <f>IFERROR(VLOOKUP(CONCATENATE(E237,G237),'LAC 103'!$A$12:$O$95,11,FALSE),0)</f>
        <v>2.483156209074918</v>
      </c>
      <c r="S237" s="1144">
        <f>IFERROR(VLOOKUP(CONCATENATE($E237,$G237),'LAC 103'!$A$12:$O$95,12,FALSE),0)</f>
        <v>3.07</v>
      </c>
      <c r="T237" s="1144">
        <f>IFERROR(VLOOKUP(CONCATENATE($E237,$G237),'LAC 103'!$A$12:$O$95,13,FALSE),0)</f>
        <v>1.92</v>
      </c>
      <c r="U237" s="1144">
        <f>IFERROR(VLOOKUP(CONCATENATE($E237,$G237),'LAC 103'!$A$12:$O$95,14,FALSE),0)</f>
        <v>0</v>
      </c>
      <c r="V237" s="1144">
        <f>IFERROR(VLOOKUP(CONCATENATE($E237,$G237),'LAC 103'!$A$12:$O$95,15,FALSE),0)</f>
        <v>0</v>
      </c>
      <c r="W237" s="1145" t="str">
        <f>IFERROR(VLOOKUP(CONCATENATE($B237,$N237),'LAC 103'!$AI:$AQ,9,FALSE),"")</f>
        <v>P.C.</v>
      </c>
      <c r="X237" s="1146">
        <f t="shared" si="60"/>
        <v>1.92</v>
      </c>
      <c r="Y237" s="1143">
        <f t="shared" si="61"/>
        <v>712.66583200450145</v>
      </c>
      <c r="Z237" s="1147">
        <f t="shared" si="62"/>
        <v>881.08999999999992</v>
      </c>
      <c r="AA237" s="1144">
        <f t="shared" si="63"/>
        <v>551.04</v>
      </c>
      <c r="AB237" s="1144">
        <f t="shared" si="64"/>
        <v>0</v>
      </c>
      <c r="AC237" s="1144">
        <f t="shared" si="65"/>
        <v>0</v>
      </c>
      <c r="AD237" s="1148">
        <f t="shared" si="56"/>
        <v>551.04</v>
      </c>
      <c r="AE237" s="1487">
        <v>0</v>
      </c>
      <c r="AF237" s="1145">
        <f t="shared" si="66"/>
        <v>551.04</v>
      </c>
      <c r="AG237" s="1149">
        <f>IFERROR(VLOOKUP(CONCATENATE($L237,$N237),'Drop List'!$G$23:$K$87,2,FALSE),0)</f>
        <v>0</v>
      </c>
      <c r="AH237" s="1150">
        <f>IFERROR(VLOOKUP(CONCATENATE($L237,$N237),'Drop List'!$G$23:$K$87,3,FALSE),0)</f>
        <v>0</v>
      </c>
      <c r="AI237" s="1150">
        <f>IFERROR(VLOOKUP(CONCATENATE($L237,$N237),'Drop List'!$G$23:$K$87,4,FALSE),0)</f>
        <v>0</v>
      </c>
      <c r="AJ237" s="1151">
        <f>IFERROR(VLOOKUP(CONCATENATE($L237,$N237),'Drop List'!$G$23:$K$87,5,FALSE),0)</f>
        <v>0</v>
      </c>
      <c r="AK237" s="1152">
        <f t="shared" si="67"/>
        <v>0</v>
      </c>
      <c r="AL237" s="1153">
        <f t="shared" si="68"/>
        <v>0</v>
      </c>
      <c r="AM237" s="1153">
        <f t="shared" si="69"/>
        <v>0</v>
      </c>
      <c r="AN237" s="1145">
        <f t="shared" si="70"/>
        <v>0</v>
      </c>
      <c r="AO237" s="1154">
        <f t="shared" si="71"/>
        <v>0</v>
      </c>
      <c r="AP237" s="1147">
        <f t="shared" si="57"/>
        <v>551.04</v>
      </c>
      <c r="AQ237" s="1144">
        <f t="shared" si="58"/>
        <v>0</v>
      </c>
      <c r="AR237" s="1146">
        <f t="shared" si="59"/>
        <v>551.04</v>
      </c>
    </row>
    <row r="238" spans="1:44" x14ac:dyDescent="0.2">
      <c r="A238" s="1141" t="str">
        <f t="shared" si="54"/>
        <v>1504</v>
      </c>
      <c r="B238" s="1141" t="str">
        <f>IFERROR(VLOOKUP(A238,'LAC 103'!A:C,3,FALSE),"")</f>
        <v>OP</v>
      </c>
      <c r="C238" s="1478" t="str">
        <f>Info!$B$8</f>
        <v>00100</v>
      </c>
      <c r="D238" s="1474" t="s">
        <v>256</v>
      </c>
      <c r="E238" s="1474" t="s">
        <v>95</v>
      </c>
      <c r="F238" s="1478" t="s">
        <v>588</v>
      </c>
      <c r="G238" s="1478" t="s">
        <v>588</v>
      </c>
      <c r="H238" s="1474" t="s">
        <v>988</v>
      </c>
      <c r="I238" s="1478" t="s">
        <v>811</v>
      </c>
      <c r="J238" s="1478"/>
      <c r="K238" s="1475" t="s">
        <v>1654</v>
      </c>
      <c r="L238" s="1474" t="s">
        <v>332</v>
      </c>
      <c r="M238" s="1476" t="s">
        <v>842</v>
      </c>
      <c r="N238" s="1477" t="s">
        <v>1692</v>
      </c>
      <c r="O238" s="1479">
        <v>1353</v>
      </c>
      <c r="P238" s="1479"/>
      <c r="Q238" s="1142">
        <f t="shared" si="55"/>
        <v>1353</v>
      </c>
      <c r="R238" s="1143">
        <f>IFERROR(VLOOKUP(CONCATENATE(E238,G238),'LAC 103'!$A$12:$O$95,11,FALSE),0)</f>
        <v>2.483156209074918</v>
      </c>
      <c r="S238" s="1144">
        <f>IFERROR(VLOOKUP(CONCATENATE($E238,$G238),'LAC 103'!$A$12:$O$95,12,FALSE),0)</f>
        <v>3.07</v>
      </c>
      <c r="T238" s="1144">
        <f>IFERROR(VLOOKUP(CONCATENATE($E238,$G238),'LAC 103'!$A$12:$O$95,13,FALSE),0)</f>
        <v>1.92</v>
      </c>
      <c r="U238" s="1144">
        <f>IFERROR(VLOOKUP(CONCATENATE($E238,$G238),'LAC 103'!$A$12:$O$95,14,FALSE),0)</f>
        <v>0</v>
      </c>
      <c r="V238" s="1144">
        <f>IFERROR(VLOOKUP(CONCATENATE($E238,$G238),'LAC 103'!$A$12:$O$95,15,FALSE),0)</f>
        <v>0</v>
      </c>
      <c r="W238" s="1145" t="str">
        <f>IFERROR(VLOOKUP(CONCATENATE($B238,$N238),'LAC 103'!$AI:$AQ,9,FALSE),"")</f>
        <v>Costs</v>
      </c>
      <c r="X238" s="1146">
        <f t="shared" si="60"/>
        <v>2.483156209074918</v>
      </c>
      <c r="Y238" s="1143">
        <f t="shared" si="61"/>
        <v>3359.7103508783639</v>
      </c>
      <c r="Z238" s="1147">
        <f t="shared" si="62"/>
        <v>4153.71</v>
      </c>
      <c r="AA238" s="1144">
        <f t="shared" si="63"/>
        <v>2597.7599999999998</v>
      </c>
      <c r="AB238" s="1144">
        <f t="shared" si="64"/>
        <v>0</v>
      </c>
      <c r="AC238" s="1144">
        <f t="shared" si="65"/>
        <v>0</v>
      </c>
      <c r="AD238" s="1148">
        <f t="shared" si="56"/>
        <v>3359.7103508783639</v>
      </c>
      <c r="AE238" s="1487">
        <v>0</v>
      </c>
      <c r="AF238" s="1145">
        <f t="shared" si="66"/>
        <v>3359.7103508783639</v>
      </c>
      <c r="AG238" s="1149">
        <f>IFERROR(VLOOKUP(CONCATENATE($L238,$N238),'Drop List'!$G$23:$K$87,2,FALSE),0)</f>
        <v>0</v>
      </c>
      <c r="AH238" s="1150">
        <f>IFERROR(VLOOKUP(CONCATENATE($L238,$N238),'Drop List'!$G$23:$K$87,3,FALSE),0)</f>
        <v>0</v>
      </c>
      <c r="AI238" s="1150">
        <f>IFERROR(VLOOKUP(CONCATENATE($L238,$N238),'Drop List'!$G$23:$K$87,4,FALSE),0)</f>
        <v>0</v>
      </c>
      <c r="AJ238" s="1151">
        <f>IFERROR(VLOOKUP(CONCATENATE($L238,$N238),'Drop List'!$G$23:$K$87,5,FALSE),0)</f>
        <v>0</v>
      </c>
      <c r="AK238" s="1152">
        <f t="shared" si="67"/>
        <v>0</v>
      </c>
      <c r="AL238" s="1153">
        <f t="shared" si="68"/>
        <v>0</v>
      </c>
      <c r="AM238" s="1153">
        <f t="shared" si="69"/>
        <v>0</v>
      </c>
      <c r="AN238" s="1145">
        <f t="shared" si="70"/>
        <v>0</v>
      </c>
      <c r="AO238" s="1154">
        <f t="shared" si="71"/>
        <v>0</v>
      </c>
      <c r="AP238" s="1147">
        <f t="shared" si="57"/>
        <v>3359.7103508783639</v>
      </c>
      <c r="AQ238" s="1144">
        <f t="shared" si="58"/>
        <v>0</v>
      </c>
      <c r="AR238" s="1146">
        <f t="shared" si="59"/>
        <v>3359.7103508783639</v>
      </c>
    </row>
    <row r="239" spans="1:44" x14ac:dyDescent="0.2">
      <c r="A239" s="1141" t="str">
        <f t="shared" si="54"/>
        <v>1504</v>
      </c>
      <c r="B239" s="1141" t="str">
        <f>IFERROR(VLOOKUP(A239,'LAC 103'!A:C,3,FALSE),"")</f>
        <v>OP</v>
      </c>
      <c r="C239" s="1478" t="str">
        <f>Info!$B$8</f>
        <v>00100</v>
      </c>
      <c r="D239" s="1474" t="s">
        <v>256</v>
      </c>
      <c r="E239" s="1474" t="s">
        <v>95</v>
      </c>
      <c r="F239" s="1478" t="s">
        <v>588</v>
      </c>
      <c r="G239" s="1478" t="s">
        <v>588</v>
      </c>
      <c r="H239" s="1474" t="s">
        <v>988</v>
      </c>
      <c r="I239" s="1478" t="s">
        <v>811</v>
      </c>
      <c r="J239" s="1478"/>
      <c r="K239" s="1475" t="s">
        <v>1654</v>
      </c>
      <c r="L239" s="1474" t="s">
        <v>332</v>
      </c>
      <c r="M239" s="1476" t="s">
        <v>1698</v>
      </c>
      <c r="N239" s="1477" t="s">
        <v>1693</v>
      </c>
      <c r="O239" s="1479">
        <v>363</v>
      </c>
      <c r="P239" s="1479"/>
      <c r="Q239" s="1142">
        <f t="shared" si="55"/>
        <v>363</v>
      </c>
      <c r="R239" s="1143">
        <f>IFERROR(VLOOKUP(CONCATENATE(E239,G239),'LAC 103'!$A$12:$O$95,11,FALSE),0)</f>
        <v>2.483156209074918</v>
      </c>
      <c r="S239" s="1144">
        <f>IFERROR(VLOOKUP(CONCATENATE($E239,$G239),'LAC 103'!$A$12:$O$95,12,FALSE),0)</f>
        <v>3.07</v>
      </c>
      <c r="T239" s="1144">
        <f>IFERROR(VLOOKUP(CONCATENATE($E239,$G239),'LAC 103'!$A$12:$O$95,13,FALSE),0)</f>
        <v>1.92</v>
      </c>
      <c r="U239" s="1144">
        <f>IFERROR(VLOOKUP(CONCATENATE($E239,$G239),'LAC 103'!$A$12:$O$95,14,FALSE),0)</f>
        <v>0</v>
      </c>
      <c r="V239" s="1144">
        <f>IFERROR(VLOOKUP(CONCATENATE($E239,$G239),'LAC 103'!$A$12:$O$95,15,FALSE),0)</f>
        <v>0</v>
      </c>
      <c r="W239" s="1145" t="str">
        <f>IFERROR(VLOOKUP(CONCATENATE($B239,$N239),'LAC 103'!$AI:$AQ,9,FALSE),"")</f>
        <v>Costs</v>
      </c>
      <c r="X239" s="1146">
        <f t="shared" si="60"/>
        <v>2.483156209074918</v>
      </c>
      <c r="Y239" s="1143">
        <f t="shared" si="61"/>
        <v>901.38570389419522</v>
      </c>
      <c r="Z239" s="1147">
        <f t="shared" si="62"/>
        <v>1114.4099999999999</v>
      </c>
      <c r="AA239" s="1144">
        <f t="shared" si="63"/>
        <v>696.95999999999992</v>
      </c>
      <c r="AB239" s="1144">
        <f t="shared" si="64"/>
        <v>0</v>
      </c>
      <c r="AC239" s="1144">
        <f t="shared" si="65"/>
        <v>0</v>
      </c>
      <c r="AD239" s="1148">
        <f t="shared" si="56"/>
        <v>901.38570389419522</v>
      </c>
      <c r="AE239" s="1487">
        <v>0</v>
      </c>
      <c r="AF239" s="1145">
        <f t="shared" si="66"/>
        <v>901.38570389419522</v>
      </c>
      <c r="AG239" s="1149">
        <f>IFERROR(VLOOKUP(CONCATENATE($L239,$N239),'Drop List'!$G$23:$K$87,2,FALSE),0)</f>
        <v>0</v>
      </c>
      <c r="AH239" s="1150">
        <f>IFERROR(VLOOKUP(CONCATENATE($L239,$N239),'Drop List'!$G$23:$K$87,3,FALSE),0)</f>
        <v>0</v>
      </c>
      <c r="AI239" s="1150">
        <f>IFERROR(VLOOKUP(CONCATENATE($L239,$N239),'Drop List'!$G$23:$K$87,4,FALSE),0)</f>
        <v>0</v>
      </c>
      <c r="AJ239" s="1151">
        <f>IFERROR(VLOOKUP(CONCATENATE($L239,$N239),'Drop List'!$G$23:$K$87,5,FALSE),0)</f>
        <v>0</v>
      </c>
      <c r="AK239" s="1152">
        <f t="shared" si="67"/>
        <v>0</v>
      </c>
      <c r="AL239" s="1153">
        <f t="shared" si="68"/>
        <v>0</v>
      </c>
      <c r="AM239" s="1153">
        <f t="shared" si="69"/>
        <v>0</v>
      </c>
      <c r="AN239" s="1145">
        <f t="shared" si="70"/>
        <v>0</v>
      </c>
      <c r="AO239" s="1154">
        <f t="shared" si="71"/>
        <v>0</v>
      </c>
      <c r="AP239" s="1147">
        <f t="shared" si="57"/>
        <v>901.38570389419522</v>
      </c>
      <c r="AQ239" s="1144">
        <f t="shared" si="58"/>
        <v>0</v>
      </c>
      <c r="AR239" s="1146">
        <f t="shared" si="59"/>
        <v>901.38570389419522</v>
      </c>
    </row>
    <row r="240" spans="1:44" x14ac:dyDescent="0.2">
      <c r="A240" s="1141" t="str">
        <f t="shared" si="54"/>
        <v>1504</v>
      </c>
      <c r="B240" s="1141" t="str">
        <f>IFERROR(VLOOKUP(A240,'LAC 103'!A:C,3,FALSE),"")</f>
        <v>OP</v>
      </c>
      <c r="C240" s="1478" t="str">
        <f>Info!$B$8</f>
        <v>00100</v>
      </c>
      <c r="D240" s="1474" t="s">
        <v>256</v>
      </c>
      <c r="E240" s="1474" t="s">
        <v>95</v>
      </c>
      <c r="F240" s="1478" t="s">
        <v>588</v>
      </c>
      <c r="G240" s="1478" t="s">
        <v>588</v>
      </c>
      <c r="H240" s="1474" t="s">
        <v>988</v>
      </c>
      <c r="I240" s="1478" t="s">
        <v>811</v>
      </c>
      <c r="J240" s="1478"/>
      <c r="K240" s="1475" t="s">
        <v>847</v>
      </c>
      <c r="L240" s="1474" t="s">
        <v>582</v>
      </c>
      <c r="M240" s="1476" t="s">
        <v>1699</v>
      </c>
      <c r="N240" s="1477" t="s">
        <v>1694</v>
      </c>
      <c r="O240" s="1479">
        <v>12766</v>
      </c>
      <c r="P240" s="1479"/>
      <c r="Q240" s="1142">
        <f t="shared" si="55"/>
        <v>12766</v>
      </c>
      <c r="R240" s="1143">
        <f>IFERROR(VLOOKUP(CONCATENATE(E240,G240),'LAC 103'!$A$12:$O$95,11,FALSE),0)</f>
        <v>2.483156209074918</v>
      </c>
      <c r="S240" s="1144">
        <f>IFERROR(VLOOKUP(CONCATENATE($E240,$G240),'LAC 103'!$A$12:$O$95,12,FALSE),0)</f>
        <v>3.07</v>
      </c>
      <c r="T240" s="1144">
        <f>IFERROR(VLOOKUP(CONCATENATE($E240,$G240),'LAC 103'!$A$12:$O$95,13,FALSE),0)</f>
        <v>1.92</v>
      </c>
      <c r="U240" s="1144">
        <f>IFERROR(VLOOKUP(CONCATENATE($E240,$G240),'LAC 103'!$A$12:$O$95,14,FALSE),0)</f>
        <v>0</v>
      </c>
      <c r="V240" s="1144">
        <f>IFERROR(VLOOKUP(CONCATENATE($E240,$G240),'LAC 103'!$A$12:$O$95,15,FALSE),0)</f>
        <v>0</v>
      </c>
      <c r="W240" s="1145" t="str">
        <f>IFERROR(VLOOKUP(CONCATENATE($B240,$N240),'LAC 103'!$AI:$AQ,9,FALSE),"")</f>
        <v>Costs</v>
      </c>
      <c r="X240" s="1146">
        <f t="shared" si="60"/>
        <v>2.483156209074918</v>
      </c>
      <c r="Y240" s="1143">
        <f t="shared" si="61"/>
        <v>31699.972165050403</v>
      </c>
      <c r="Z240" s="1147">
        <f t="shared" si="62"/>
        <v>39191.619999999995</v>
      </c>
      <c r="AA240" s="1144">
        <f t="shared" si="63"/>
        <v>24510.719999999998</v>
      </c>
      <c r="AB240" s="1144">
        <f t="shared" si="64"/>
        <v>0</v>
      </c>
      <c r="AC240" s="1144">
        <f t="shared" si="65"/>
        <v>0</v>
      </c>
      <c r="AD240" s="1148">
        <f t="shared" si="56"/>
        <v>31699.972165050403</v>
      </c>
      <c r="AE240" s="1487">
        <v>0</v>
      </c>
      <c r="AF240" s="1145">
        <f t="shared" si="66"/>
        <v>31699.972165050403</v>
      </c>
      <c r="AG240" s="1149">
        <f>IFERROR(VLOOKUP(CONCATENATE($L240,$N240),'Drop List'!$G$23:$K$87,2,FALSE),0)</f>
        <v>0.56200000000000006</v>
      </c>
      <c r="AH240" s="1150">
        <f>IFERROR(VLOOKUP(CONCATENATE($L240,$N240),'Drop List'!$G$23:$K$87,3,FALSE),0)</f>
        <v>0.43799999999999994</v>
      </c>
      <c r="AI240" s="1150">
        <f>IFERROR(VLOOKUP(CONCATENATE($L240,$N240),'Drop List'!$G$23:$K$87,4,FALSE),0)</f>
        <v>0</v>
      </c>
      <c r="AJ240" s="1151">
        <f>IFERROR(VLOOKUP(CONCATENATE($L240,$N240),'Drop List'!$G$23:$K$87,5,FALSE),0)</f>
        <v>0</v>
      </c>
      <c r="AK240" s="1152">
        <f t="shared" si="67"/>
        <v>17815.384356758328</v>
      </c>
      <c r="AL240" s="1153">
        <f t="shared" si="68"/>
        <v>13884.587808292075</v>
      </c>
      <c r="AM240" s="1153">
        <f t="shared" si="69"/>
        <v>0</v>
      </c>
      <c r="AN240" s="1145">
        <f t="shared" si="70"/>
        <v>0</v>
      </c>
      <c r="AO240" s="1154">
        <f t="shared" si="71"/>
        <v>31699.972165050403</v>
      </c>
      <c r="AP240" s="1147">
        <f t="shared" si="57"/>
        <v>0</v>
      </c>
      <c r="AQ240" s="1144">
        <f t="shared" si="58"/>
        <v>0</v>
      </c>
      <c r="AR240" s="1146">
        <f t="shared" si="59"/>
        <v>31699.972165050403</v>
      </c>
    </row>
    <row r="241" spans="1:44" x14ac:dyDescent="0.2">
      <c r="A241" s="1141" t="str">
        <f t="shared" si="54"/>
        <v>1504</v>
      </c>
      <c r="B241" s="1141" t="str">
        <f>IFERROR(VLOOKUP(A241,'LAC 103'!A:C,3,FALSE),"")</f>
        <v>OP</v>
      </c>
      <c r="C241" s="1478" t="str">
        <f>Info!$B$8</f>
        <v>00100</v>
      </c>
      <c r="D241" s="1474" t="s">
        <v>256</v>
      </c>
      <c r="E241" s="1474" t="s">
        <v>95</v>
      </c>
      <c r="F241" s="1478" t="s">
        <v>588</v>
      </c>
      <c r="G241" s="1478" t="s">
        <v>588</v>
      </c>
      <c r="H241" s="1474" t="s">
        <v>988</v>
      </c>
      <c r="I241" s="1478" t="s">
        <v>811</v>
      </c>
      <c r="J241" s="1478"/>
      <c r="K241" s="1475" t="s">
        <v>847</v>
      </c>
      <c r="L241" s="1474" t="s">
        <v>582</v>
      </c>
      <c r="M241" s="1476" t="s">
        <v>841</v>
      </c>
      <c r="N241" s="1477" t="s">
        <v>1695</v>
      </c>
      <c r="O241" s="1479">
        <v>5291</v>
      </c>
      <c r="P241" s="1479"/>
      <c r="Q241" s="1142">
        <f t="shared" si="55"/>
        <v>5291</v>
      </c>
      <c r="R241" s="1143">
        <f>IFERROR(VLOOKUP(CONCATENATE(E241,G241),'LAC 103'!$A$12:$O$95,11,FALSE),0)</f>
        <v>2.483156209074918</v>
      </c>
      <c r="S241" s="1144">
        <f>IFERROR(VLOOKUP(CONCATENATE($E241,$G241),'LAC 103'!$A$12:$O$95,12,FALSE),0)</f>
        <v>3.07</v>
      </c>
      <c r="T241" s="1144">
        <f>IFERROR(VLOOKUP(CONCATENATE($E241,$G241),'LAC 103'!$A$12:$O$95,13,FALSE),0)</f>
        <v>1.92</v>
      </c>
      <c r="U241" s="1144">
        <f>IFERROR(VLOOKUP(CONCATENATE($E241,$G241),'LAC 103'!$A$12:$O$95,14,FALSE),0)</f>
        <v>0</v>
      </c>
      <c r="V241" s="1144">
        <f>IFERROR(VLOOKUP(CONCATENATE($E241,$G241),'LAC 103'!$A$12:$O$95,15,FALSE),0)</f>
        <v>0</v>
      </c>
      <c r="W241" s="1145" t="str">
        <f>IFERROR(VLOOKUP(CONCATENATE($B241,$N241),'LAC 103'!$AI:$AQ,9,FALSE),"")</f>
        <v>Costs</v>
      </c>
      <c r="X241" s="1146">
        <f t="shared" si="60"/>
        <v>2.483156209074918</v>
      </c>
      <c r="Y241" s="1143">
        <f t="shared" si="61"/>
        <v>13138.379502215392</v>
      </c>
      <c r="Z241" s="1147">
        <f t="shared" si="62"/>
        <v>16243.369999999999</v>
      </c>
      <c r="AA241" s="1144">
        <f t="shared" si="63"/>
        <v>10158.719999999999</v>
      </c>
      <c r="AB241" s="1144">
        <f t="shared" si="64"/>
        <v>0</v>
      </c>
      <c r="AC241" s="1144">
        <f t="shared" si="65"/>
        <v>0</v>
      </c>
      <c r="AD241" s="1148">
        <f t="shared" si="56"/>
        <v>13138.379502215392</v>
      </c>
      <c r="AE241" s="1487">
        <v>0</v>
      </c>
      <c r="AF241" s="1145">
        <f t="shared" si="66"/>
        <v>13138.379502215392</v>
      </c>
      <c r="AG241" s="1149">
        <f>IFERROR(VLOOKUP(CONCATENATE($L241,$N241),'Drop List'!$G$23:$K$87,2,FALSE),0)</f>
        <v>0.55000000000000004</v>
      </c>
      <c r="AH241" s="1150">
        <f>IFERROR(VLOOKUP(CONCATENATE($L241,$N241),'Drop List'!$G$23:$K$87,3,FALSE),0)</f>
        <v>0.44999999999999996</v>
      </c>
      <c r="AI241" s="1150">
        <f>IFERROR(VLOOKUP(CONCATENATE($L241,$N241),'Drop List'!$G$23:$K$87,4,FALSE),0)</f>
        <v>0</v>
      </c>
      <c r="AJ241" s="1151">
        <f>IFERROR(VLOOKUP(CONCATENATE($L241,$N241),'Drop List'!$G$23:$K$87,5,FALSE),0)</f>
        <v>0</v>
      </c>
      <c r="AK241" s="1152">
        <f t="shared" si="67"/>
        <v>7226.1087262184665</v>
      </c>
      <c r="AL241" s="1153">
        <f t="shared" si="68"/>
        <v>5912.2707759969253</v>
      </c>
      <c r="AM241" s="1153">
        <f t="shared" si="69"/>
        <v>0</v>
      </c>
      <c r="AN241" s="1145">
        <f t="shared" si="70"/>
        <v>0</v>
      </c>
      <c r="AO241" s="1154">
        <f t="shared" si="71"/>
        <v>13138.379502215392</v>
      </c>
      <c r="AP241" s="1147">
        <f t="shared" si="57"/>
        <v>0</v>
      </c>
      <c r="AQ241" s="1144">
        <f t="shared" si="58"/>
        <v>0</v>
      </c>
      <c r="AR241" s="1146">
        <f t="shared" si="59"/>
        <v>13138.379502215392</v>
      </c>
    </row>
    <row r="242" spans="1:44" x14ac:dyDescent="0.2">
      <c r="A242" s="1141" t="str">
        <f t="shared" si="54"/>
        <v>1504</v>
      </c>
      <c r="B242" s="1141" t="str">
        <f>IFERROR(VLOOKUP(A242,'LAC 103'!A:C,3,FALSE),"")</f>
        <v>OP</v>
      </c>
      <c r="C242" s="1478" t="str">
        <f>Info!$B$8</f>
        <v>00100</v>
      </c>
      <c r="D242" s="1474" t="s">
        <v>256</v>
      </c>
      <c r="E242" s="1474" t="s">
        <v>95</v>
      </c>
      <c r="F242" s="1478" t="s">
        <v>588</v>
      </c>
      <c r="G242" s="1478" t="s">
        <v>588</v>
      </c>
      <c r="H242" s="1474" t="s">
        <v>988</v>
      </c>
      <c r="I242" s="1478" t="s">
        <v>811</v>
      </c>
      <c r="J242" s="1478"/>
      <c r="K242" s="1475" t="s">
        <v>847</v>
      </c>
      <c r="L242" s="1474" t="s">
        <v>582</v>
      </c>
      <c r="M242" s="1476" t="s">
        <v>840</v>
      </c>
      <c r="N242" s="1477" t="s">
        <v>1700</v>
      </c>
      <c r="O242" s="1479">
        <v>7736</v>
      </c>
      <c r="P242" s="1479"/>
      <c r="Q242" s="1142">
        <f t="shared" si="55"/>
        <v>7736</v>
      </c>
      <c r="R242" s="1143">
        <f>IFERROR(VLOOKUP(CONCATENATE(E242,G242),'LAC 103'!$A$12:$O$95,11,FALSE),0)</f>
        <v>2.483156209074918</v>
      </c>
      <c r="S242" s="1144">
        <f>IFERROR(VLOOKUP(CONCATENATE($E242,$G242),'LAC 103'!$A$12:$O$95,12,FALSE),0)</f>
        <v>3.07</v>
      </c>
      <c r="T242" s="1144">
        <f>IFERROR(VLOOKUP(CONCATENATE($E242,$G242),'LAC 103'!$A$12:$O$95,13,FALSE),0)</f>
        <v>1.92</v>
      </c>
      <c r="U242" s="1144">
        <f>IFERROR(VLOOKUP(CONCATENATE($E242,$G242),'LAC 103'!$A$12:$O$95,14,FALSE),0)</f>
        <v>0</v>
      </c>
      <c r="V242" s="1144">
        <f>IFERROR(VLOOKUP(CONCATENATE($E242,$G242),'LAC 103'!$A$12:$O$95,15,FALSE),0)</f>
        <v>0</v>
      </c>
      <c r="W242" s="1145" t="str">
        <f>IFERROR(VLOOKUP(CONCATENATE($B242,$N242),'LAC 103'!$AI:$AQ,9,FALSE),"")</f>
        <v>P.C.</v>
      </c>
      <c r="X242" s="1146">
        <f t="shared" si="60"/>
        <v>1.92</v>
      </c>
      <c r="Y242" s="1143">
        <f t="shared" si="61"/>
        <v>19209.696433403566</v>
      </c>
      <c r="Z242" s="1147">
        <f t="shared" si="62"/>
        <v>23749.52</v>
      </c>
      <c r="AA242" s="1144">
        <f t="shared" si="63"/>
        <v>14853.119999999999</v>
      </c>
      <c r="AB242" s="1144">
        <f t="shared" si="64"/>
        <v>0</v>
      </c>
      <c r="AC242" s="1144">
        <f t="shared" si="65"/>
        <v>0</v>
      </c>
      <c r="AD242" s="1148">
        <f t="shared" si="56"/>
        <v>14853.119999999999</v>
      </c>
      <c r="AE242" s="1487">
        <v>0</v>
      </c>
      <c r="AF242" s="1145">
        <f t="shared" si="66"/>
        <v>14853.119999999999</v>
      </c>
      <c r="AG242" s="1149">
        <f>IFERROR(VLOOKUP(CONCATENATE($L242,$N242),'Drop List'!$G$23:$K$87,2,FALSE),0)</f>
        <v>0.55000000000000004</v>
      </c>
      <c r="AH242" s="1150">
        <f>IFERROR(VLOOKUP(CONCATENATE($L242,$N242),'Drop List'!$G$23:$K$87,3,FALSE),0)</f>
        <v>0.44999999999999996</v>
      </c>
      <c r="AI242" s="1150">
        <f>IFERROR(VLOOKUP(CONCATENATE($L242,$N242),'Drop List'!$G$23:$K$87,4,FALSE),0)</f>
        <v>0</v>
      </c>
      <c r="AJ242" s="1151">
        <f>IFERROR(VLOOKUP(CONCATENATE($L242,$N242),'Drop List'!$G$23:$K$87,5,FALSE),0)</f>
        <v>0</v>
      </c>
      <c r="AK242" s="1152">
        <f t="shared" si="67"/>
        <v>8169.2160000000003</v>
      </c>
      <c r="AL242" s="1153">
        <f t="shared" si="68"/>
        <v>6683.9039999999986</v>
      </c>
      <c r="AM242" s="1153">
        <f t="shared" si="69"/>
        <v>0</v>
      </c>
      <c r="AN242" s="1145">
        <f t="shared" si="70"/>
        <v>0</v>
      </c>
      <c r="AO242" s="1154">
        <f t="shared" si="71"/>
        <v>14853.119999999999</v>
      </c>
      <c r="AP242" s="1147">
        <f t="shared" si="57"/>
        <v>0</v>
      </c>
      <c r="AQ242" s="1144">
        <f t="shared" si="58"/>
        <v>0</v>
      </c>
      <c r="AR242" s="1146">
        <f t="shared" si="59"/>
        <v>14853.119999999999</v>
      </c>
    </row>
    <row r="243" spans="1:44" x14ac:dyDescent="0.2">
      <c r="A243" s="1141" t="str">
        <f t="shared" si="54"/>
        <v>1504</v>
      </c>
      <c r="B243" s="1141" t="str">
        <f>IFERROR(VLOOKUP(A243,'LAC 103'!A:C,3,FALSE),"")</f>
        <v>OP</v>
      </c>
      <c r="C243" s="1478" t="str">
        <f>Info!$B$8</f>
        <v>00100</v>
      </c>
      <c r="D243" s="1474" t="s">
        <v>256</v>
      </c>
      <c r="E243" s="1474" t="s">
        <v>95</v>
      </c>
      <c r="F243" s="1478" t="s">
        <v>588</v>
      </c>
      <c r="G243" s="1478" t="s">
        <v>588</v>
      </c>
      <c r="H243" s="1474" t="s">
        <v>988</v>
      </c>
      <c r="I243" s="1478" t="s">
        <v>811</v>
      </c>
      <c r="J243" s="1478"/>
      <c r="K243" s="1475" t="s">
        <v>847</v>
      </c>
      <c r="L243" s="1474" t="s">
        <v>582</v>
      </c>
      <c r="M243" s="1476" t="s">
        <v>842</v>
      </c>
      <c r="N243" s="1477" t="s">
        <v>1692</v>
      </c>
      <c r="O243" s="1479">
        <v>11213</v>
      </c>
      <c r="P243" s="1479"/>
      <c r="Q243" s="1142">
        <f t="shared" si="55"/>
        <v>11213</v>
      </c>
      <c r="R243" s="1143">
        <f>IFERROR(VLOOKUP(CONCATENATE(E243,G243),'LAC 103'!$A$12:$O$95,11,FALSE),0)</f>
        <v>2.483156209074918</v>
      </c>
      <c r="S243" s="1144">
        <f>IFERROR(VLOOKUP(CONCATENATE($E243,$G243),'LAC 103'!$A$12:$O$95,12,FALSE),0)</f>
        <v>3.07</v>
      </c>
      <c r="T243" s="1144">
        <f>IFERROR(VLOOKUP(CONCATENATE($E243,$G243),'LAC 103'!$A$12:$O$95,13,FALSE),0)</f>
        <v>1.92</v>
      </c>
      <c r="U243" s="1144">
        <f>IFERROR(VLOOKUP(CONCATENATE($E243,$G243),'LAC 103'!$A$12:$O$95,14,FALSE),0)</f>
        <v>0</v>
      </c>
      <c r="V243" s="1144">
        <f>IFERROR(VLOOKUP(CONCATENATE($E243,$G243),'LAC 103'!$A$12:$O$95,15,FALSE),0)</f>
        <v>0</v>
      </c>
      <c r="W243" s="1145" t="str">
        <f>IFERROR(VLOOKUP(CONCATENATE($B243,$N243),'LAC 103'!$AI:$AQ,9,FALSE),"")</f>
        <v>Costs</v>
      </c>
      <c r="X243" s="1146">
        <f t="shared" si="60"/>
        <v>2.483156209074918</v>
      </c>
      <c r="Y243" s="1143">
        <f t="shared" si="61"/>
        <v>27843.630572357055</v>
      </c>
      <c r="Z243" s="1147">
        <f t="shared" si="62"/>
        <v>34423.909999999996</v>
      </c>
      <c r="AA243" s="1144">
        <f t="shared" si="63"/>
        <v>21528.959999999999</v>
      </c>
      <c r="AB243" s="1144">
        <f t="shared" si="64"/>
        <v>0</v>
      </c>
      <c r="AC243" s="1144">
        <f t="shared" si="65"/>
        <v>0</v>
      </c>
      <c r="AD243" s="1148">
        <f t="shared" si="56"/>
        <v>27843.630572357055</v>
      </c>
      <c r="AE243" s="1487">
        <v>0</v>
      </c>
      <c r="AF243" s="1145">
        <f t="shared" si="66"/>
        <v>27843.630572357055</v>
      </c>
      <c r="AG243" s="1149">
        <f>IFERROR(VLOOKUP(CONCATENATE($L243,$N243),'Drop List'!$G$23:$K$87,2,FALSE),0)</f>
        <v>0.56200000000000006</v>
      </c>
      <c r="AH243" s="1150">
        <f>IFERROR(VLOOKUP(CONCATENATE($L243,$N243),'Drop List'!$G$23:$K$87,3,FALSE),0)</f>
        <v>0.43799999999999994</v>
      </c>
      <c r="AI243" s="1150">
        <f>IFERROR(VLOOKUP(CONCATENATE($L243,$N243),'Drop List'!$G$23:$K$87,4,FALSE),0)</f>
        <v>0</v>
      </c>
      <c r="AJ243" s="1151">
        <f>IFERROR(VLOOKUP(CONCATENATE($L243,$N243),'Drop List'!$G$23:$K$87,5,FALSE),0)</f>
        <v>0</v>
      </c>
      <c r="AK243" s="1152">
        <f t="shared" si="67"/>
        <v>15648.120381664667</v>
      </c>
      <c r="AL243" s="1153">
        <f t="shared" si="68"/>
        <v>12195.510190692388</v>
      </c>
      <c r="AM243" s="1153">
        <f t="shared" si="69"/>
        <v>0</v>
      </c>
      <c r="AN243" s="1145">
        <f t="shared" si="70"/>
        <v>0</v>
      </c>
      <c r="AO243" s="1154">
        <f t="shared" si="71"/>
        <v>27843.630572357055</v>
      </c>
      <c r="AP243" s="1147">
        <f t="shared" si="57"/>
        <v>0</v>
      </c>
      <c r="AQ243" s="1144">
        <f t="shared" si="58"/>
        <v>0</v>
      </c>
      <c r="AR243" s="1146">
        <f t="shared" si="59"/>
        <v>27843.630572357055</v>
      </c>
    </row>
    <row r="244" spans="1:44" x14ac:dyDescent="0.2">
      <c r="A244" s="1141" t="str">
        <f t="shared" si="54"/>
        <v>1504</v>
      </c>
      <c r="B244" s="1141" t="str">
        <f>IFERROR(VLOOKUP(A244,'LAC 103'!A:C,3,FALSE),"")</f>
        <v>OP</v>
      </c>
      <c r="C244" s="1478" t="str">
        <f>Info!$B$8</f>
        <v>00100</v>
      </c>
      <c r="D244" s="1474" t="s">
        <v>256</v>
      </c>
      <c r="E244" s="1474" t="s">
        <v>95</v>
      </c>
      <c r="F244" s="1478" t="s">
        <v>588</v>
      </c>
      <c r="G244" s="1478" t="s">
        <v>588</v>
      </c>
      <c r="H244" s="1474" t="s">
        <v>988</v>
      </c>
      <c r="I244" s="1478" t="s">
        <v>811</v>
      </c>
      <c r="J244" s="1478"/>
      <c r="K244" s="1475" t="s">
        <v>847</v>
      </c>
      <c r="L244" s="1474" t="s">
        <v>582</v>
      </c>
      <c r="M244" s="1476" t="s">
        <v>1698</v>
      </c>
      <c r="N244" s="1477" t="s">
        <v>1693</v>
      </c>
      <c r="O244" s="1479">
        <v>9274</v>
      </c>
      <c r="P244" s="1479"/>
      <c r="Q244" s="1142">
        <f t="shared" si="55"/>
        <v>9274</v>
      </c>
      <c r="R244" s="1143">
        <f>IFERROR(VLOOKUP(CONCATENATE(E244,G244),'LAC 103'!$A$12:$O$95,11,FALSE),0)</f>
        <v>2.483156209074918</v>
      </c>
      <c r="S244" s="1144">
        <f>IFERROR(VLOOKUP(CONCATENATE($E244,$G244),'LAC 103'!$A$12:$O$95,12,FALSE),0)</f>
        <v>3.07</v>
      </c>
      <c r="T244" s="1144">
        <f>IFERROR(VLOOKUP(CONCATENATE($E244,$G244),'LAC 103'!$A$12:$O$95,13,FALSE),0)</f>
        <v>1.92</v>
      </c>
      <c r="U244" s="1144">
        <f>IFERROR(VLOOKUP(CONCATENATE($E244,$G244),'LAC 103'!$A$12:$O$95,14,FALSE),0)</f>
        <v>0</v>
      </c>
      <c r="V244" s="1144">
        <f>IFERROR(VLOOKUP(CONCATENATE($E244,$G244),'LAC 103'!$A$12:$O$95,15,FALSE),0)</f>
        <v>0</v>
      </c>
      <c r="W244" s="1145" t="str">
        <f>IFERROR(VLOOKUP(CONCATENATE($B244,$N244),'LAC 103'!$AI:$AQ,9,FALSE),"")</f>
        <v>Costs</v>
      </c>
      <c r="X244" s="1146">
        <f t="shared" si="60"/>
        <v>2.483156209074918</v>
      </c>
      <c r="Y244" s="1143">
        <f t="shared" si="61"/>
        <v>23028.790682960789</v>
      </c>
      <c r="Z244" s="1147">
        <f t="shared" si="62"/>
        <v>28471.18</v>
      </c>
      <c r="AA244" s="1144">
        <f t="shared" si="63"/>
        <v>17806.079999999998</v>
      </c>
      <c r="AB244" s="1144">
        <f t="shared" si="64"/>
        <v>0</v>
      </c>
      <c r="AC244" s="1144">
        <f t="shared" si="65"/>
        <v>0</v>
      </c>
      <c r="AD244" s="1148">
        <f t="shared" si="56"/>
        <v>23028.790682960789</v>
      </c>
      <c r="AE244" s="1487">
        <v>0</v>
      </c>
      <c r="AF244" s="1145">
        <f t="shared" si="66"/>
        <v>23028.790682960789</v>
      </c>
      <c r="AG244" s="1149">
        <f>IFERROR(VLOOKUP(CONCATENATE($L244,$N244),'Drop List'!$G$23:$K$87,2,FALSE),0)</f>
        <v>0.56200000000000006</v>
      </c>
      <c r="AH244" s="1150">
        <f>IFERROR(VLOOKUP(CONCATENATE($L244,$N244),'Drop List'!$G$23:$K$87,3,FALSE),0)</f>
        <v>0.43799999999999994</v>
      </c>
      <c r="AI244" s="1150">
        <f>IFERROR(VLOOKUP(CONCATENATE($L244,$N244),'Drop List'!$G$23:$K$87,4,FALSE),0)</f>
        <v>0</v>
      </c>
      <c r="AJ244" s="1151">
        <f>IFERROR(VLOOKUP(CONCATENATE($L244,$N244),'Drop List'!$G$23:$K$87,5,FALSE),0)</f>
        <v>0</v>
      </c>
      <c r="AK244" s="1152">
        <f t="shared" si="67"/>
        <v>12942.180363823965</v>
      </c>
      <c r="AL244" s="1153">
        <f t="shared" si="68"/>
        <v>10086.610319136824</v>
      </c>
      <c r="AM244" s="1153">
        <f t="shared" si="69"/>
        <v>0</v>
      </c>
      <c r="AN244" s="1145">
        <f t="shared" si="70"/>
        <v>0</v>
      </c>
      <c r="AO244" s="1154">
        <f t="shared" si="71"/>
        <v>23028.790682960789</v>
      </c>
      <c r="AP244" s="1147">
        <f t="shared" si="57"/>
        <v>0</v>
      </c>
      <c r="AQ244" s="1144">
        <f t="shared" si="58"/>
        <v>0</v>
      </c>
      <c r="AR244" s="1146">
        <f t="shared" si="59"/>
        <v>23028.790682960789</v>
      </c>
    </row>
    <row r="245" spans="1:44" x14ac:dyDescent="0.2">
      <c r="A245" s="1141" t="str">
        <f t="shared" si="54"/>
        <v>1504</v>
      </c>
      <c r="B245" s="1141" t="str">
        <f>IFERROR(VLOOKUP(A245,'LAC 103'!A:C,3,FALSE),"")</f>
        <v>OP</v>
      </c>
      <c r="C245" s="1478" t="str">
        <f>Info!$B$8</f>
        <v>00100</v>
      </c>
      <c r="D245" s="1474" t="s">
        <v>256</v>
      </c>
      <c r="E245" s="1474" t="s">
        <v>95</v>
      </c>
      <c r="F245" s="1478" t="s">
        <v>588</v>
      </c>
      <c r="G245" s="1478" t="s">
        <v>588</v>
      </c>
      <c r="H245" s="1474" t="s">
        <v>988</v>
      </c>
      <c r="I245" s="1478" t="s">
        <v>811</v>
      </c>
      <c r="J245" s="1478"/>
      <c r="K245" s="1475" t="s">
        <v>852</v>
      </c>
      <c r="L245" s="1474" t="s">
        <v>591</v>
      </c>
      <c r="M245" s="1476" t="s">
        <v>1699</v>
      </c>
      <c r="N245" s="1477" t="s">
        <v>1694</v>
      </c>
      <c r="O245" s="1479">
        <v>146</v>
      </c>
      <c r="P245" s="1479"/>
      <c r="Q245" s="1142">
        <f t="shared" si="55"/>
        <v>146</v>
      </c>
      <c r="R245" s="1143">
        <f>IFERROR(VLOOKUP(CONCATENATE(E245,G245),'LAC 103'!$A$12:$O$95,11,FALSE),0)</f>
        <v>2.483156209074918</v>
      </c>
      <c r="S245" s="1144">
        <f>IFERROR(VLOOKUP(CONCATENATE($E245,$G245),'LAC 103'!$A$12:$O$95,12,FALSE),0)</f>
        <v>3.07</v>
      </c>
      <c r="T245" s="1144">
        <f>IFERROR(VLOOKUP(CONCATENATE($E245,$G245),'LAC 103'!$A$12:$O$95,13,FALSE),0)</f>
        <v>1.92</v>
      </c>
      <c r="U245" s="1144">
        <f>IFERROR(VLOOKUP(CONCATENATE($E245,$G245),'LAC 103'!$A$12:$O$95,14,FALSE),0)</f>
        <v>0</v>
      </c>
      <c r="V245" s="1144">
        <f>IFERROR(VLOOKUP(CONCATENATE($E245,$G245),'LAC 103'!$A$12:$O$95,15,FALSE),0)</f>
        <v>0</v>
      </c>
      <c r="W245" s="1145" t="str">
        <f>IFERROR(VLOOKUP(CONCATENATE($B245,$N245),'LAC 103'!$AI:$AQ,9,FALSE),"")</f>
        <v>Costs</v>
      </c>
      <c r="X245" s="1146">
        <f t="shared" si="60"/>
        <v>2.483156209074918</v>
      </c>
      <c r="Y245" s="1143">
        <f t="shared" si="61"/>
        <v>362.54080652493803</v>
      </c>
      <c r="Z245" s="1147">
        <f t="shared" si="62"/>
        <v>448.21999999999997</v>
      </c>
      <c r="AA245" s="1144">
        <f t="shared" si="63"/>
        <v>280.32</v>
      </c>
      <c r="AB245" s="1144">
        <f t="shared" si="64"/>
        <v>0</v>
      </c>
      <c r="AC245" s="1144">
        <f t="shared" si="65"/>
        <v>0</v>
      </c>
      <c r="AD245" s="1148">
        <f t="shared" si="56"/>
        <v>362.54080652493803</v>
      </c>
      <c r="AE245" s="1487">
        <v>0</v>
      </c>
      <c r="AF245" s="1145">
        <f t="shared" si="66"/>
        <v>362.54080652493803</v>
      </c>
      <c r="AG245" s="1149">
        <f>IFERROR(VLOOKUP(CONCATENATE($L245,$N245),'Drop List'!$G$23:$K$87,2,FALSE),0)</f>
        <v>0.69340000000000002</v>
      </c>
      <c r="AH245" s="1150">
        <f>IFERROR(VLOOKUP(CONCATENATE($L245,$N245),'Drop List'!$G$23:$K$87,3,FALSE),0)</f>
        <v>0</v>
      </c>
      <c r="AI245" s="1150">
        <f>IFERROR(VLOOKUP(CONCATENATE($L245,$N245),'Drop List'!$G$23:$K$87,4,FALSE),0)</f>
        <v>0</v>
      </c>
      <c r="AJ245" s="1151">
        <f>IFERROR(VLOOKUP(CONCATENATE($L245,$N245),'Drop List'!$G$23:$K$87,5,FALSE),0)</f>
        <v>0.30659999999999998</v>
      </c>
      <c r="AK245" s="1152">
        <f t="shared" si="67"/>
        <v>251.38579524439203</v>
      </c>
      <c r="AL245" s="1153">
        <f t="shared" si="68"/>
        <v>0</v>
      </c>
      <c r="AM245" s="1153">
        <f t="shared" si="69"/>
        <v>0</v>
      </c>
      <c r="AN245" s="1145">
        <f t="shared" si="70"/>
        <v>111.15501128054599</v>
      </c>
      <c r="AO245" s="1154">
        <f t="shared" si="71"/>
        <v>362.54080652493803</v>
      </c>
      <c r="AP245" s="1147">
        <f t="shared" si="57"/>
        <v>0</v>
      </c>
      <c r="AQ245" s="1144">
        <f t="shared" si="58"/>
        <v>0</v>
      </c>
      <c r="AR245" s="1146">
        <f t="shared" si="59"/>
        <v>362.54080652493803</v>
      </c>
    </row>
    <row r="246" spans="1:44" x14ac:dyDescent="0.2">
      <c r="A246" s="1141" t="str">
        <f t="shared" si="54"/>
        <v>1504</v>
      </c>
      <c r="B246" s="1141" t="str">
        <f>IFERROR(VLOOKUP(A246,'LAC 103'!A:C,3,FALSE),"")</f>
        <v>OP</v>
      </c>
      <c r="C246" s="1478" t="str">
        <f>Info!$B$8</f>
        <v>00100</v>
      </c>
      <c r="D246" s="1474" t="s">
        <v>256</v>
      </c>
      <c r="E246" s="1474" t="s">
        <v>95</v>
      </c>
      <c r="F246" s="1478" t="s">
        <v>588</v>
      </c>
      <c r="G246" s="1478" t="s">
        <v>588</v>
      </c>
      <c r="H246" s="1474" t="s">
        <v>988</v>
      </c>
      <c r="I246" s="1478" t="s">
        <v>811</v>
      </c>
      <c r="J246" s="1478"/>
      <c r="K246" s="1475" t="s">
        <v>852</v>
      </c>
      <c r="L246" s="1474" t="s">
        <v>591</v>
      </c>
      <c r="M246" s="1476" t="s">
        <v>841</v>
      </c>
      <c r="N246" s="1477" t="s">
        <v>1695</v>
      </c>
      <c r="O246" s="1479">
        <v>94</v>
      </c>
      <c r="P246" s="1479"/>
      <c r="Q246" s="1142">
        <f t="shared" si="55"/>
        <v>94</v>
      </c>
      <c r="R246" s="1143">
        <f>IFERROR(VLOOKUP(CONCATENATE(E246,G246),'LAC 103'!$A$12:$O$95,11,FALSE),0)</f>
        <v>2.483156209074918</v>
      </c>
      <c r="S246" s="1144">
        <f>IFERROR(VLOOKUP(CONCATENATE($E246,$G246),'LAC 103'!$A$12:$O$95,12,FALSE),0)</f>
        <v>3.07</v>
      </c>
      <c r="T246" s="1144">
        <f>IFERROR(VLOOKUP(CONCATENATE($E246,$G246),'LAC 103'!$A$12:$O$95,13,FALSE),0)</f>
        <v>1.92</v>
      </c>
      <c r="U246" s="1144">
        <f>IFERROR(VLOOKUP(CONCATENATE($E246,$G246),'LAC 103'!$A$12:$O$95,14,FALSE),0)</f>
        <v>0</v>
      </c>
      <c r="V246" s="1144">
        <f>IFERROR(VLOOKUP(CONCATENATE($E246,$G246),'LAC 103'!$A$12:$O$95,15,FALSE),0)</f>
        <v>0</v>
      </c>
      <c r="W246" s="1145" t="str">
        <f>IFERROR(VLOOKUP(CONCATENATE($B246,$N246),'LAC 103'!$AI:$AQ,9,FALSE),"")</f>
        <v>Costs</v>
      </c>
      <c r="X246" s="1146">
        <f t="shared" si="60"/>
        <v>2.483156209074918</v>
      </c>
      <c r="Y246" s="1143">
        <f t="shared" si="61"/>
        <v>233.4166836530423</v>
      </c>
      <c r="Z246" s="1147">
        <f t="shared" si="62"/>
        <v>288.58</v>
      </c>
      <c r="AA246" s="1144">
        <f t="shared" si="63"/>
        <v>180.48</v>
      </c>
      <c r="AB246" s="1144">
        <f t="shared" si="64"/>
        <v>0</v>
      </c>
      <c r="AC246" s="1144">
        <f t="shared" si="65"/>
        <v>0</v>
      </c>
      <c r="AD246" s="1148">
        <f t="shared" si="56"/>
        <v>233.4166836530423</v>
      </c>
      <c r="AE246" s="1487">
        <v>0</v>
      </c>
      <c r="AF246" s="1145">
        <f t="shared" si="66"/>
        <v>233.4166836530423</v>
      </c>
      <c r="AG246" s="1149">
        <f>IFERROR(VLOOKUP(CONCATENATE($L246,$N246),'Drop List'!$G$23:$K$87,2,FALSE),0)</f>
        <v>0.68500000000000005</v>
      </c>
      <c r="AH246" s="1150">
        <f>IFERROR(VLOOKUP(CONCATENATE($L246,$N246),'Drop List'!$G$23:$K$87,3,FALSE),0)</f>
        <v>0</v>
      </c>
      <c r="AI246" s="1150">
        <f>IFERROR(VLOOKUP(CONCATENATE($L246,$N246),'Drop List'!$G$23:$K$87,4,FALSE),0)</f>
        <v>0</v>
      </c>
      <c r="AJ246" s="1151">
        <f>IFERROR(VLOOKUP(CONCATENATE($L246,$N246),'Drop List'!$G$23:$K$87,5,FALSE),0)</f>
        <v>0.31499999999999995</v>
      </c>
      <c r="AK246" s="1152">
        <f t="shared" si="67"/>
        <v>159.89042830233399</v>
      </c>
      <c r="AL246" s="1153">
        <f t="shared" si="68"/>
        <v>0</v>
      </c>
      <c r="AM246" s="1153">
        <f t="shared" si="69"/>
        <v>0</v>
      </c>
      <c r="AN246" s="1145">
        <f t="shared" si="70"/>
        <v>73.526255350708311</v>
      </c>
      <c r="AO246" s="1154">
        <f t="shared" si="71"/>
        <v>233.4166836530423</v>
      </c>
      <c r="AP246" s="1147">
        <f t="shared" si="57"/>
        <v>0</v>
      </c>
      <c r="AQ246" s="1144">
        <f t="shared" si="58"/>
        <v>0</v>
      </c>
      <c r="AR246" s="1146">
        <f t="shared" si="59"/>
        <v>233.4166836530423</v>
      </c>
    </row>
    <row r="247" spans="1:44" x14ac:dyDescent="0.2">
      <c r="A247" s="1141" t="str">
        <f t="shared" si="54"/>
        <v>1504</v>
      </c>
      <c r="B247" s="1141" t="str">
        <f>IFERROR(VLOOKUP(A247,'LAC 103'!A:C,3,FALSE),"")</f>
        <v>OP</v>
      </c>
      <c r="C247" s="1478" t="str">
        <f>Info!$B$8</f>
        <v>00100</v>
      </c>
      <c r="D247" s="1474" t="s">
        <v>256</v>
      </c>
      <c r="E247" s="1474" t="s">
        <v>95</v>
      </c>
      <c r="F247" s="1478" t="s">
        <v>588</v>
      </c>
      <c r="G247" s="1478" t="s">
        <v>588</v>
      </c>
      <c r="H247" s="1474" t="s">
        <v>988</v>
      </c>
      <c r="I247" s="1478" t="s">
        <v>811</v>
      </c>
      <c r="J247" s="1478"/>
      <c r="K247" s="1475" t="s">
        <v>852</v>
      </c>
      <c r="L247" s="1474" t="s">
        <v>591</v>
      </c>
      <c r="M247" s="1476" t="s">
        <v>842</v>
      </c>
      <c r="N247" s="1477" t="s">
        <v>1692</v>
      </c>
      <c r="O247" s="1479">
        <v>411</v>
      </c>
      <c r="P247" s="1479"/>
      <c r="Q247" s="1142">
        <f t="shared" si="55"/>
        <v>411</v>
      </c>
      <c r="R247" s="1143">
        <f>IFERROR(VLOOKUP(CONCATENATE(E247,G247),'LAC 103'!$A$12:$O$95,11,FALSE),0)</f>
        <v>2.483156209074918</v>
      </c>
      <c r="S247" s="1144">
        <f>IFERROR(VLOOKUP(CONCATENATE($E247,$G247),'LAC 103'!$A$12:$O$95,12,FALSE),0)</f>
        <v>3.07</v>
      </c>
      <c r="T247" s="1144">
        <f>IFERROR(VLOOKUP(CONCATENATE($E247,$G247),'LAC 103'!$A$12:$O$95,13,FALSE),0)</f>
        <v>1.92</v>
      </c>
      <c r="U247" s="1144">
        <f>IFERROR(VLOOKUP(CONCATENATE($E247,$G247),'LAC 103'!$A$12:$O$95,14,FALSE),0)</f>
        <v>0</v>
      </c>
      <c r="V247" s="1144">
        <f>IFERROR(VLOOKUP(CONCATENATE($E247,$G247),'LAC 103'!$A$12:$O$95,15,FALSE),0)</f>
        <v>0</v>
      </c>
      <c r="W247" s="1145" t="str">
        <f>IFERROR(VLOOKUP(CONCATENATE($B247,$N247),'LAC 103'!$AI:$AQ,9,FALSE),"")</f>
        <v>Costs</v>
      </c>
      <c r="X247" s="1146">
        <f t="shared" si="60"/>
        <v>2.483156209074918</v>
      </c>
      <c r="Y247" s="1143">
        <f t="shared" si="61"/>
        <v>1020.5772019297913</v>
      </c>
      <c r="Z247" s="1147">
        <f t="shared" si="62"/>
        <v>1261.77</v>
      </c>
      <c r="AA247" s="1144">
        <f t="shared" si="63"/>
        <v>789.12</v>
      </c>
      <c r="AB247" s="1144">
        <f t="shared" si="64"/>
        <v>0</v>
      </c>
      <c r="AC247" s="1144">
        <f t="shared" si="65"/>
        <v>0</v>
      </c>
      <c r="AD247" s="1148">
        <f t="shared" si="56"/>
        <v>1020.5772019297913</v>
      </c>
      <c r="AE247" s="1487">
        <v>0</v>
      </c>
      <c r="AF247" s="1145">
        <f t="shared" si="66"/>
        <v>1020.5772019297913</v>
      </c>
      <c r="AG247" s="1149">
        <f>IFERROR(VLOOKUP(CONCATENATE($L247,$N247),'Drop List'!$G$23:$K$87,2,FALSE),0)</f>
        <v>0.69340000000000002</v>
      </c>
      <c r="AH247" s="1150">
        <f>IFERROR(VLOOKUP(CONCATENATE($L247,$N247),'Drop List'!$G$23:$K$87,3,FALSE),0)</f>
        <v>0</v>
      </c>
      <c r="AI247" s="1150">
        <f>IFERROR(VLOOKUP(CONCATENATE($L247,$N247),'Drop List'!$G$23:$K$87,4,FALSE),0)</f>
        <v>0</v>
      </c>
      <c r="AJ247" s="1151">
        <f>IFERROR(VLOOKUP(CONCATENATE($L247,$N247),'Drop List'!$G$23:$K$87,5,FALSE),0)</f>
        <v>0.30659999999999998</v>
      </c>
      <c r="AK247" s="1152">
        <f t="shared" si="67"/>
        <v>707.66823181811731</v>
      </c>
      <c r="AL247" s="1153">
        <f t="shared" si="68"/>
        <v>0</v>
      </c>
      <c r="AM247" s="1153">
        <f t="shared" si="69"/>
        <v>0</v>
      </c>
      <c r="AN247" s="1145">
        <f t="shared" si="70"/>
        <v>312.90897011167397</v>
      </c>
      <c r="AO247" s="1154">
        <f t="shared" si="71"/>
        <v>1020.5772019297913</v>
      </c>
      <c r="AP247" s="1147">
        <f t="shared" si="57"/>
        <v>0</v>
      </c>
      <c r="AQ247" s="1144">
        <f t="shared" si="58"/>
        <v>0</v>
      </c>
      <c r="AR247" s="1146">
        <f t="shared" si="59"/>
        <v>1020.5772019297913</v>
      </c>
    </row>
    <row r="248" spans="1:44" x14ac:dyDescent="0.2">
      <c r="A248" s="1141" t="str">
        <f t="shared" si="54"/>
        <v>1504</v>
      </c>
      <c r="B248" s="1141" t="str">
        <f>IFERROR(VLOOKUP(A248,'LAC 103'!A:C,3,FALSE),"")</f>
        <v>OP</v>
      </c>
      <c r="C248" s="1478" t="str">
        <f>Info!$B$8</f>
        <v>00100</v>
      </c>
      <c r="D248" s="1474" t="s">
        <v>256</v>
      </c>
      <c r="E248" s="1474" t="s">
        <v>95</v>
      </c>
      <c r="F248" s="1478" t="s">
        <v>588</v>
      </c>
      <c r="G248" s="1478" t="s">
        <v>588</v>
      </c>
      <c r="H248" s="1474" t="s">
        <v>988</v>
      </c>
      <c r="I248" s="1478" t="s">
        <v>811</v>
      </c>
      <c r="J248" s="1478"/>
      <c r="K248" s="1475" t="s">
        <v>852</v>
      </c>
      <c r="L248" s="1474" t="s">
        <v>591</v>
      </c>
      <c r="M248" s="1476" t="s">
        <v>1698</v>
      </c>
      <c r="N248" s="1477" t="s">
        <v>1693</v>
      </c>
      <c r="O248" s="1479">
        <v>393</v>
      </c>
      <c r="P248" s="1479"/>
      <c r="Q248" s="1142">
        <f t="shared" si="55"/>
        <v>393</v>
      </c>
      <c r="R248" s="1143">
        <f>IFERROR(VLOOKUP(CONCATENATE(E248,G248),'LAC 103'!$A$12:$O$95,11,FALSE),0)</f>
        <v>2.483156209074918</v>
      </c>
      <c r="S248" s="1144">
        <f>IFERROR(VLOOKUP(CONCATENATE($E248,$G248),'LAC 103'!$A$12:$O$95,12,FALSE),0)</f>
        <v>3.07</v>
      </c>
      <c r="T248" s="1144">
        <f>IFERROR(VLOOKUP(CONCATENATE($E248,$G248),'LAC 103'!$A$12:$O$95,13,FALSE),0)</f>
        <v>1.92</v>
      </c>
      <c r="U248" s="1144">
        <f>IFERROR(VLOOKUP(CONCATENATE($E248,$G248),'LAC 103'!$A$12:$O$95,14,FALSE),0)</f>
        <v>0</v>
      </c>
      <c r="V248" s="1144">
        <f>IFERROR(VLOOKUP(CONCATENATE($E248,$G248),'LAC 103'!$A$12:$O$95,15,FALSE),0)</f>
        <v>0</v>
      </c>
      <c r="W248" s="1145" t="str">
        <f>IFERROR(VLOOKUP(CONCATENATE($B248,$N248),'LAC 103'!$AI:$AQ,9,FALSE),"")</f>
        <v>Costs</v>
      </c>
      <c r="X248" s="1146">
        <f t="shared" si="60"/>
        <v>2.483156209074918</v>
      </c>
      <c r="Y248" s="1143">
        <f t="shared" si="61"/>
        <v>975.88039016644279</v>
      </c>
      <c r="Z248" s="1147">
        <f t="shared" si="62"/>
        <v>1206.51</v>
      </c>
      <c r="AA248" s="1144">
        <f t="shared" si="63"/>
        <v>754.56</v>
      </c>
      <c r="AB248" s="1144">
        <f t="shared" si="64"/>
        <v>0</v>
      </c>
      <c r="AC248" s="1144">
        <f t="shared" si="65"/>
        <v>0</v>
      </c>
      <c r="AD248" s="1148">
        <f t="shared" si="56"/>
        <v>975.88039016644279</v>
      </c>
      <c r="AE248" s="1487">
        <v>0</v>
      </c>
      <c r="AF248" s="1145">
        <f t="shared" si="66"/>
        <v>975.88039016644279</v>
      </c>
      <c r="AG248" s="1149">
        <f>IFERROR(VLOOKUP(CONCATENATE($L248,$N248),'Drop List'!$G$23:$K$87,2,FALSE),0)</f>
        <v>0.69340000000000002</v>
      </c>
      <c r="AH248" s="1150">
        <f>IFERROR(VLOOKUP(CONCATENATE($L248,$N248),'Drop List'!$G$23:$K$87,3,FALSE),0)</f>
        <v>0</v>
      </c>
      <c r="AI248" s="1150">
        <f>IFERROR(VLOOKUP(CONCATENATE($L248,$N248),'Drop List'!$G$23:$K$87,4,FALSE),0)</f>
        <v>0</v>
      </c>
      <c r="AJ248" s="1151">
        <f>IFERROR(VLOOKUP(CONCATENATE($L248,$N248),'Drop List'!$G$23:$K$87,5,FALSE),0)</f>
        <v>0.30659999999999998</v>
      </c>
      <c r="AK248" s="1152">
        <f t="shared" si="67"/>
        <v>676.67546254141143</v>
      </c>
      <c r="AL248" s="1153">
        <f t="shared" si="68"/>
        <v>0</v>
      </c>
      <c r="AM248" s="1153">
        <f t="shared" si="69"/>
        <v>0</v>
      </c>
      <c r="AN248" s="1145">
        <f t="shared" si="70"/>
        <v>299.20492762503136</v>
      </c>
      <c r="AO248" s="1154">
        <f t="shared" si="71"/>
        <v>975.88039016644279</v>
      </c>
      <c r="AP248" s="1147">
        <f t="shared" si="57"/>
        <v>0</v>
      </c>
      <c r="AQ248" s="1144">
        <f t="shared" si="58"/>
        <v>0</v>
      </c>
      <c r="AR248" s="1146">
        <f t="shared" si="59"/>
        <v>975.88039016644279</v>
      </c>
    </row>
    <row r="249" spans="1:44" x14ac:dyDescent="0.2">
      <c r="A249" s="1141" t="str">
        <f t="shared" si="54"/>
        <v>1504</v>
      </c>
      <c r="B249" s="1141" t="str">
        <f>IFERROR(VLOOKUP(A249,'LAC 103'!A:C,3,FALSE),"")</f>
        <v>OP</v>
      </c>
      <c r="C249" s="1478" t="str">
        <f>Info!$B$8</f>
        <v>00100</v>
      </c>
      <c r="D249" s="1474" t="s">
        <v>256</v>
      </c>
      <c r="E249" s="1474" t="s">
        <v>95</v>
      </c>
      <c r="F249" s="1478" t="s">
        <v>588</v>
      </c>
      <c r="G249" s="1478" t="s">
        <v>588</v>
      </c>
      <c r="H249" s="1474" t="s">
        <v>988</v>
      </c>
      <c r="I249" s="1478" t="s">
        <v>811</v>
      </c>
      <c r="J249" s="1478"/>
      <c r="K249" s="1475" t="s">
        <v>848</v>
      </c>
      <c r="L249" s="1474" t="s">
        <v>45</v>
      </c>
      <c r="M249" s="1476" t="s">
        <v>1699</v>
      </c>
      <c r="N249" s="1477" t="s">
        <v>1694</v>
      </c>
      <c r="O249" s="1479">
        <v>1637</v>
      </c>
      <c r="P249" s="1479"/>
      <c r="Q249" s="1142">
        <f t="shared" si="55"/>
        <v>1637</v>
      </c>
      <c r="R249" s="1143">
        <f>IFERROR(VLOOKUP(CONCATENATE(E249,G249),'LAC 103'!$A$12:$O$95,11,FALSE),0)</f>
        <v>2.483156209074918</v>
      </c>
      <c r="S249" s="1144">
        <f>IFERROR(VLOOKUP(CONCATENATE($E249,$G249),'LAC 103'!$A$12:$O$95,12,FALSE),0)</f>
        <v>3.07</v>
      </c>
      <c r="T249" s="1144">
        <f>IFERROR(VLOOKUP(CONCATENATE($E249,$G249),'LAC 103'!$A$12:$O$95,13,FALSE),0)</f>
        <v>1.92</v>
      </c>
      <c r="U249" s="1144">
        <f>IFERROR(VLOOKUP(CONCATENATE($E249,$G249),'LAC 103'!$A$12:$O$95,14,FALSE),0)</f>
        <v>0</v>
      </c>
      <c r="V249" s="1144">
        <f>IFERROR(VLOOKUP(CONCATENATE($E249,$G249),'LAC 103'!$A$12:$O$95,15,FALSE),0)</f>
        <v>0</v>
      </c>
      <c r="W249" s="1145" t="str">
        <f>IFERROR(VLOOKUP(CONCATENATE($B249,$N249),'LAC 103'!$AI:$AQ,9,FALSE),"")</f>
        <v>Costs</v>
      </c>
      <c r="X249" s="1146">
        <f t="shared" si="60"/>
        <v>2.483156209074918</v>
      </c>
      <c r="Y249" s="1143">
        <f t="shared" si="61"/>
        <v>4064.9267142556405</v>
      </c>
      <c r="Z249" s="1147">
        <f t="shared" si="62"/>
        <v>5025.59</v>
      </c>
      <c r="AA249" s="1144">
        <f t="shared" si="63"/>
        <v>3143.04</v>
      </c>
      <c r="AB249" s="1144">
        <f t="shared" si="64"/>
        <v>0</v>
      </c>
      <c r="AC249" s="1144">
        <f t="shared" si="65"/>
        <v>0</v>
      </c>
      <c r="AD249" s="1148">
        <f t="shared" si="56"/>
        <v>4064.9267142556405</v>
      </c>
      <c r="AE249" s="1487">
        <v>0</v>
      </c>
      <c r="AF249" s="1145">
        <f t="shared" si="66"/>
        <v>4064.9267142556405</v>
      </c>
      <c r="AG249" s="1149">
        <f>IFERROR(VLOOKUP(CONCATENATE($L249,$N249),'Drop List'!$G$23:$K$87,2,FALSE),0)</f>
        <v>0.69340000000000002</v>
      </c>
      <c r="AH249" s="1150">
        <f>IFERROR(VLOOKUP(CONCATENATE($L249,$N249),'Drop List'!$G$23:$K$87,3,FALSE),0)</f>
        <v>0.30659999999999998</v>
      </c>
      <c r="AI249" s="1150">
        <f>IFERROR(VLOOKUP(CONCATENATE($L249,$N249),'Drop List'!$G$23:$K$87,4,FALSE),0)</f>
        <v>0</v>
      </c>
      <c r="AJ249" s="1151">
        <f>IFERROR(VLOOKUP(CONCATENATE($L249,$N249),'Drop List'!$G$23:$K$87,5,FALSE),0)</f>
        <v>0</v>
      </c>
      <c r="AK249" s="1152">
        <f t="shared" si="67"/>
        <v>2818.6201836648611</v>
      </c>
      <c r="AL249" s="1153">
        <f t="shared" si="68"/>
        <v>1246.3065305907794</v>
      </c>
      <c r="AM249" s="1153">
        <f t="shared" si="69"/>
        <v>0</v>
      </c>
      <c r="AN249" s="1145">
        <f t="shared" si="70"/>
        <v>0</v>
      </c>
      <c r="AO249" s="1154">
        <f t="shared" si="71"/>
        <v>4064.9267142556405</v>
      </c>
      <c r="AP249" s="1147">
        <f t="shared" si="57"/>
        <v>0</v>
      </c>
      <c r="AQ249" s="1144">
        <f t="shared" si="58"/>
        <v>0</v>
      </c>
      <c r="AR249" s="1146">
        <f t="shared" si="59"/>
        <v>4064.9267142556405</v>
      </c>
    </row>
    <row r="250" spans="1:44" x14ac:dyDescent="0.2">
      <c r="A250" s="1141" t="str">
        <f t="shared" si="54"/>
        <v>1504</v>
      </c>
      <c r="B250" s="1141" t="str">
        <f>IFERROR(VLOOKUP(A250,'LAC 103'!A:C,3,FALSE),"")</f>
        <v>OP</v>
      </c>
      <c r="C250" s="1478" t="str">
        <f>Info!$B$8</f>
        <v>00100</v>
      </c>
      <c r="D250" s="1474" t="s">
        <v>256</v>
      </c>
      <c r="E250" s="1474" t="s">
        <v>95</v>
      </c>
      <c r="F250" s="1478" t="s">
        <v>588</v>
      </c>
      <c r="G250" s="1478" t="s">
        <v>588</v>
      </c>
      <c r="H250" s="1474" t="s">
        <v>988</v>
      </c>
      <c r="I250" s="1478" t="s">
        <v>811</v>
      </c>
      <c r="J250" s="1478"/>
      <c r="K250" s="1475" t="s">
        <v>848</v>
      </c>
      <c r="L250" s="1474" t="s">
        <v>45</v>
      </c>
      <c r="M250" s="1476" t="s">
        <v>841</v>
      </c>
      <c r="N250" s="1477" t="s">
        <v>1695</v>
      </c>
      <c r="O250" s="1479">
        <v>740</v>
      </c>
      <c r="P250" s="1479"/>
      <c r="Q250" s="1142">
        <f t="shared" si="55"/>
        <v>740</v>
      </c>
      <c r="R250" s="1143">
        <f>IFERROR(VLOOKUP(CONCATENATE(E250,G250),'LAC 103'!$A$12:$O$95,11,FALSE),0)</f>
        <v>2.483156209074918</v>
      </c>
      <c r="S250" s="1144">
        <f>IFERROR(VLOOKUP(CONCATENATE($E250,$G250),'LAC 103'!$A$12:$O$95,12,FALSE),0)</f>
        <v>3.07</v>
      </c>
      <c r="T250" s="1144">
        <f>IFERROR(VLOOKUP(CONCATENATE($E250,$G250),'LAC 103'!$A$12:$O$95,13,FALSE),0)</f>
        <v>1.92</v>
      </c>
      <c r="U250" s="1144">
        <f>IFERROR(VLOOKUP(CONCATENATE($E250,$G250),'LAC 103'!$A$12:$O$95,14,FALSE),0)</f>
        <v>0</v>
      </c>
      <c r="V250" s="1144">
        <f>IFERROR(VLOOKUP(CONCATENATE($E250,$G250),'LAC 103'!$A$12:$O$95,15,FALSE),0)</f>
        <v>0</v>
      </c>
      <c r="W250" s="1145" t="str">
        <f>IFERROR(VLOOKUP(CONCATENATE($B250,$N250),'LAC 103'!$AI:$AQ,9,FALSE),"")</f>
        <v>Costs</v>
      </c>
      <c r="X250" s="1146">
        <f t="shared" si="60"/>
        <v>2.483156209074918</v>
      </c>
      <c r="Y250" s="1143">
        <f t="shared" si="61"/>
        <v>1837.5355947154394</v>
      </c>
      <c r="Z250" s="1147">
        <f t="shared" si="62"/>
        <v>2271.7999999999997</v>
      </c>
      <c r="AA250" s="1144">
        <f t="shared" si="63"/>
        <v>1420.8</v>
      </c>
      <c r="AB250" s="1144">
        <f t="shared" si="64"/>
        <v>0</v>
      </c>
      <c r="AC250" s="1144">
        <f t="shared" si="65"/>
        <v>0</v>
      </c>
      <c r="AD250" s="1148">
        <f t="shared" si="56"/>
        <v>1837.5355947154394</v>
      </c>
      <c r="AE250" s="1487">
        <v>0</v>
      </c>
      <c r="AF250" s="1145">
        <f t="shared" si="66"/>
        <v>1837.5355947154394</v>
      </c>
      <c r="AG250" s="1149">
        <f>IFERROR(VLOOKUP(CONCATENATE($L250,$N250),'Drop List'!$G$23:$K$87,2,FALSE),0)</f>
        <v>0.68500000000000005</v>
      </c>
      <c r="AH250" s="1150">
        <f>IFERROR(VLOOKUP(CONCATENATE($L250,$N250),'Drop List'!$G$23:$K$87,3,FALSE),0)</f>
        <v>0.31499999999999995</v>
      </c>
      <c r="AI250" s="1150">
        <f>IFERROR(VLOOKUP(CONCATENATE($L250,$N250),'Drop List'!$G$23:$K$87,4,FALSE),0)</f>
        <v>0</v>
      </c>
      <c r="AJ250" s="1151">
        <f>IFERROR(VLOOKUP(CONCATENATE($L250,$N250),'Drop List'!$G$23:$K$87,5,FALSE),0)</f>
        <v>0</v>
      </c>
      <c r="AK250" s="1152">
        <f t="shared" si="67"/>
        <v>1258.7118823800761</v>
      </c>
      <c r="AL250" s="1153">
        <f t="shared" si="68"/>
        <v>578.82371233536333</v>
      </c>
      <c r="AM250" s="1153">
        <f t="shared" si="69"/>
        <v>0</v>
      </c>
      <c r="AN250" s="1145">
        <f t="shared" si="70"/>
        <v>0</v>
      </c>
      <c r="AO250" s="1154">
        <f t="shared" si="71"/>
        <v>1837.5355947154394</v>
      </c>
      <c r="AP250" s="1147">
        <f t="shared" si="57"/>
        <v>0</v>
      </c>
      <c r="AQ250" s="1144">
        <f t="shared" si="58"/>
        <v>0</v>
      </c>
      <c r="AR250" s="1146">
        <f t="shared" si="59"/>
        <v>1837.5355947154394</v>
      </c>
    </row>
    <row r="251" spans="1:44" x14ac:dyDescent="0.2">
      <c r="A251" s="1141" t="str">
        <f t="shared" si="54"/>
        <v>1504</v>
      </c>
      <c r="B251" s="1141" t="str">
        <f>IFERROR(VLOOKUP(A251,'LAC 103'!A:C,3,FALSE),"")</f>
        <v>OP</v>
      </c>
      <c r="C251" s="1478" t="str">
        <f>Info!$B$8</f>
        <v>00100</v>
      </c>
      <c r="D251" s="1474" t="s">
        <v>256</v>
      </c>
      <c r="E251" s="1474" t="s">
        <v>95</v>
      </c>
      <c r="F251" s="1478" t="s">
        <v>588</v>
      </c>
      <c r="G251" s="1478" t="s">
        <v>588</v>
      </c>
      <c r="H251" s="1474" t="s">
        <v>988</v>
      </c>
      <c r="I251" s="1478" t="s">
        <v>811</v>
      </c>
      <c r="J251" s="1478"/>
      <c r="K251" s="1475" t="s">
        <v>848</v>
      </c>
      <c r="L251" s="1474" t="s">
        <v>45</v>
      </c>
      <c r="M251" s="1476" t="s">
        <v>840</v>
      </c>
      <c r="N251" s="1477" t="s">
        <v>1700</v>
      </c>
      <c r="O251" s="1479">
        <v>1821</v>
      </c>
      <c r="P251" s="1479"/>
      <c r="Q251" s="1142">
        <f t="shared" si="55"/>
        <v>1821</v>
      </c>
      <c r="R251" s="1143">
        <f>IFERROR(VLOOKUP(CONCATENATE(E251,G251),'LAC 103'!$A$12:$O$95,11,FALSE),0)</f>
        <v>2.483156209074918</v>
      </c>
      <c r="S251" s="1144">
        <f>IFERROR(VLOOKUP(CONCATENATE($E251,$G251),'LAC 103'!$A$12:$O$95,12,FALSE),0)</f>
        <v>3.07</v>
      </c>
      <c r="T251" s="1144">
        <f>IFERROR(VLOOKUP(CONCATENATE($E251,$G251),'LAC 103'!$A$12:$O$95,13,FALSE),0)</f>
        <v>1.92</v>
      </c>
      <c r="U251" s="1144">
        <f>IFERROR(VLOOKUP(CONCATENATE($E251,$G251),'LAC 103'!$A$12:$O$95,14,FALSE),0)</f>
        <v>0</v>
      </c>
      <c r="V251" s="1144">
        <f>IFERROR(VLOOKUP(CONCATENATE($E251,$G251),'LAC 103'!$A$12:$O$95,15,FALSE),0)</f>
        <v>0</v>
      </c>
      <c r="W251" s="1145" t="str">
        <f>IFERROR(VLOOKUP(CONCATENATE($B251,$N251),'LAC 103'!$AI:$AQ,9,FALSE),"")</f>
        <v>P.C.</v>
      </c>
      <c r="X251" s="1146">
        <f t="shared" si="60"/>
        <v>1.92</v>
      </c>
      <c r="Y251" s="1143">
        <f t="shared" si="61"/>
        <v>4521.8274567254257</v>
      </c>
      <c r="Z251" s="1147">
        <f t="shared" si="62"/>
        <v>5590.4699999999993</v>
      </c>
      <c r="AA251" s="1144">
        <f t="shared" si="63"/>
        <v>3496.3199999999997</v>
      </c>
      <c r="AB251" s="1144">
        <f t="shared" si="64"/>
        <v>0</v>
      </c>
      <c r="AC251" s="1144">
        <f t="shared" si="65"/>
        <v>0</v>
      </c>
      <c r="AD251" s="1148">
        <f t="shared" si="56"/>
        <v>3496.3199999999997</v>
      </c>
      <c r="AE251" s="1487">
        <v>0</v>
      </c>
      <c r="AF251" s="1145">
        <f t="shared" si="66"/>
        <v>3496.3199999999997</v>
      </c>
      <c r="AG251" s="1149">
        <f>IFERROR(VLOOKUP(CONCATENATE($L251,$N251),'Drop List'!$G$23:$K$87,2,FALSE),0)</f>
        <v>0.68500000000000005</v>
      </c>
      <c r="AH251" s="1150">
        <f>IFERROR(VLOOKUP(CONCATENATE($L251,$N251),'Drop List'!$G$23:$K$87,3,FALSE),0)</f>
        <v>0.31499999999999995</v>
      </c>
      <c r="AI251" s="1150">
        <f>IFERROR(VLOOKUP(CONCATENATE($L251,$N251),'Drop List'!$G$23:$K$87,4,FALSE),0)</f>
        <v>0</v>
      </c>
      <c r="AJ251" s="1151">
        <f>IFERROR(VLOOKUP(CONCATENATE($L251,$N251),'Drop List'!$G$23:$K$87,5,FALSE),0)</f>
        <v>0</v>
      </c>
      <c r="AK251" s="1152">
        <f t="shared" si="67"/>
        <v>2394.9791999999998</v>
      </c>
      <c r="AL251" s="1153">
        <f t="shared" si="68"/>
        <v>1101.3407999999997</v>
      </c>
      <c r="AM251" s="1153">
        <f t="shared" si="69"/>
        <v>0</v>
      </c>
      <c r="AN251" s="1145">
        <f t="shared" si="70"/>
        <v>0</v>
      </c>
      <c r="AO251" s="1154">
        <f t="shared" si="71"/>
        <v>3496.3199999999997</v>
      </c>
      <c r="AP251" s="1147">
        <f t="shared" si="57"/>
        <v>0</v>
      </c>
      <c r="AQ251" s="1144">
        <f t="shared" si="58"/>
        <v>0</v>
      </c>
      <c r="AR251" s="1146">
        <f t="shared" si="59"/>
        <v>3496.3199999999997</v>
      </c>
    </row>
    <row r="252" spans="1:44" x14ac:dyDescent="0.2">
      <c r="A252" s="1141" t="str">
        <f t="shared" si="54"/>
        <v>1504</v>
      </c>
      <c r="B252" s="1141" t="str">
        <f>IFERROR(VLOOKUP(A252,'LAC 103'!A:C,3,FALSE),"")</f>
        <v>OP</v>
      </c>
      <c r="C252" s="1478" t="str">
        <f>Info!$B$8</f>
        <v>00100</v>
      </c>
      <c r="D252" s="1474" t="s">
        <v>256</v>
      </c>
      <c r="E252" s="1474" t="s">
        <v>95</v>
      </c>
      <c r="F252" s="1478" t="s">
        <v>588</v>
      </c>
      <c r="G252" s="1478" t="s">
        <v>588</v>
      </c>
      <c r="H252" s="1474" t="s">
        <v>988</v>
      </c>
      <c r="I252" s="1478" t="s">
        <v>811</v>
      </c>
      <c r="J252" s="1478"/>
      <c r="K252" s="1475" t="s">
        <v>848</v>
      </c>
      <c r="L252" s="1474" t="s">
        <v>45</v>
      </c>
      <c r="M252" s="1476" t="s">
        <v>842</v>
      </c>
      <c r="N252" s="1477" t="s">
        <v>1692</v>
      </c>
      <c r="O252" s="1479">
        <v>1481</v>
      </c>
      <c r="P252" s="1479"/>
      <c r="Q252" s="1142">
        <f t="shared" si="55"/>
        <v>1481</v>
      </c>
      <c r="R252" s="1143">
        <f>IFERROR(VLOOKUP(CONCATENATE(E252,G252),'LAC 103'!$A$12:$O$95,11,FALSE),0)</f>
        <v>2.483156209074918</v>
      </c>
      <c r="S252" s="1144">
        <f>IFERROR(VLOOKUP(CONCATENATE($E252,$G252),'LAC 103'!$A$12:$O$95,12,FALSE),0)</f>
        <v>3.07</v>
      </c>
      <c r="T252" s="1144">
        <f>IFERROR(VLOOKUP(CONCATENATE($E252,$G252),'LAC 103'!$A$12:$O$95,13,FALSE),0)</f>
        <v>1.92</v>
      </c>
      <c r="U252" s="1144">
        <f>IFERROR(VLOOKUP(CONCATENATE($E252,$G252),'LAC 103'!$A$12:$O$95,14,FALSE),0)</f>
        <v>0</v>
      </c>
      <c r="V252" s="1144">
        <f>IFERROR(VLOOKUP(CONCATENATE($E252,$G252),'LAC 103'!$A$12:$O$95,15,FALSE),0)</f>
        <v>0</v>
      </c>
      <c r="W252" s="1145" t="str">
        <f>IFERROR(VLOOKUP(CONCATENATE($B252,$N252),'LAC 103'!$AI:$AQ,9,FALSE),"")</f>
        <v>Costs</v>
      </c>
      <c r="X252" s="1146">
        <f t="shared" si="60"/>
        <v>2.483156209074918</v>
      </c>
      <c r="Y252" s="1143">
        <f t="shared" si="61"/>
        <v>3677.5543456399537</v>
      </c>
      <c r="Z252" s="1147">
        <f t="shared" si="62"/>
        <v>4546.67</v>
      </c>
      <c r="AA252" s="1144">
        <f t="shared" si="63"/>
        <v>2843.52</v>
      </c>
      <c r="AB252" s="1144">
        <f t="shared" si="64"/>
        <v>0</v>
      </c>
      <c r="AC252" s="1144">
        <f t="shared" si="65"/>
        <v>0</v>
      </c>
      <c r="AD252" s="1148">
        <f t="shared" si="56"/>
        <v>3677.5543456399537</v>
      </c>
      <c r="AE252" s="1487">
        <v>0</v>
      </c>
      <c r="AF252" s="1145">
        <f t="shared" si="66"/>
        <v>3677.5543456399537</v>
      </c>
      <c r="AG252" s="1149">
        <f>IFERROR(VLOOKUP(CONCATENATE($L252,$N252),'Drop List'!$G$23:$K$87,2,FALSE),0)</f>
        <v>0.69340000000000002</v>
      </c>
      <c r="AH252" s="1150">
        <f>IFERROR(VLOOKUP(CONCATENATE($L252,$N252),'Drop List'!$G$23:$K$87,3,FALSE),0)</f>
        <v>0.30659999999999998</v>
      </c>
      <c r="AI252" s="1150">
        <f>IFERROR(VLOOKUP(CONCATENATE($L252,$N252),'Drop List'!$G$23:$K$87,4,FALSE),0)</f>
        <v>0</v>
      </c>
      <c r="AJ252" s="1151">
        <f>IFERROR(VLOOKUP(CONCATENATE($L252,$N252),'Drop List'!$G$23:$K$87,5,FALSE),0)</f>
        <v>0</v>
      </c>
      <c r="AK252" s="1152">
        <f t="shared" si="67"/>
        <v>2550.0161832667441</v>
      </c>
      <c r="AL252" s="1153">
        <f t="shared" si="68"/>
        <v>1127.5381623732098</v>
      </c>
      <c r="AM252" s="1153">
        <f t="shared" si="69"/>
        <v>0</v>
      </c>
      <c r="AN252" s="1145">
        <f t="shared" si="70"/>
        <v>0</v>
      </c>
      <c r="AO252" s="1154">
        <f t="shared" si="71"/>
        <v>3677.5543456399537</v>
      </c>
      <c r="AP252" s="1147">
        <f t="shared" si="57"/>
        <v>0</v>
      </c>
      <c r="AQ252" s="1144">
        <f t="shared" si="58"/>
        <v>0</v>
      </c>
      <c r="AR252" s="1146">
        <f t="shared" si="59"/>
        <v>3677.5543456399537</v>
      </c>
    </row>
    <row r="253" spans="1:44" x14ac:dyDescent="0.2">
      <c r="A253" s="1141" t="str">
        <f t="shared" si="54"/>
        <v>1504</v>
      </c>
      <c r="B253" s="1141" t="str">
        <f>IFERROR(VLOOKUP(A253,'LAC 103'!A:C,3,FALSE),"")</f>
        <v>OP</v>
      </c>
      <c r="C253" s="1478" t="str">
        <f>Info!$B$8</f>
        <v>00100</v>
      </c>
      <c r="D253" s="1474" t="s">
        <v>256</v>
      </c>
      <c r="E253" s="1474" t="s">
        <v>95</v>
      </c>
      <c r="F253" s="1478" t="s">
        <v>588</v>
      </c>
      <c r="G253" s="1478" t="s">
        <v>588</v>
      </c>
      <c r="H253" s="1474" t="s">
        <v>988</v>
      </c>
      <c r="I253" s="1478" t="s">
        <v>811</v>
      </c>
      <c r="J253" s="1478"/>
      <c r="K253" s="1475" t="s">
        <v>848</v>
      </c>
      <c r="L253" s="1474" t="s">
        <v>45</v>
      </c>
      <c r="M253" s="1476" t="s">
        <v>1698</v>
      </c>
      <c r="N253" s="1477" t="s">
        <v>1693</v>
      </c>
      <c r="O253" s="1479">
        <v>2899</v>
      </c>
      <c r="P253" s="1479"/>
      <c r="Q253" s="1142">
        <f t="shared" si="55"/>
        <v>2899</v>
      </c>
      <c r="R253" s="1143">
        <f>IFERROR(VLOOKUP(CONCATENATE(E253,G253),'LAC 103'!$A$12:$O$95,11,FALSE),0)</f>
        <v>2.483156209074918</v>
      </c>
      <c r="S253" s="1144">
        <f>IFERROR(VLOOKUP(CONCATENATE($E253,$G253),'LAC 103'!$A$12:$O$95,12,FALSE),0)</f>
        <v>3.07</v>
      </c>
      <c r="T253" s="1144">
        <f>IFERROR(VLOOKUP(CONCATENATE($E253,$G253),'LAC 103'!$A$12:$O$95,13,FALSE),0)</f>
        <v>1.92</v>
      </c>
      <c r="U253" s="1144">
        <f>IFERROR(VLOOKUP(CONCATENATE($E253,$G253),'LAC 103'!$A$12:$O$95,14,FALSE),0)</f>
        <v>0</v>
      </c>
      <c r="V253" s="1144">
        <f>IFERROR(VLOOKUP(CONCATENATE($E253,$G253),'LAC 103'!$A$12:$O$95,15,FALSE),0)</f>
        <v>0</v>
      </c>
      <c r="W253" s="1145" t="str">
        <f>IFERROR(VLOOKUP(CONCATENATE($B253,$N253),'LAC 103'!$AI:$AQ,9,FALSE),"")</f>
        <v>Costs</v>
      </c>
      <c r="X253" s="1146">
        <f t="shared" si="60"/>
        <v>2.483156209074918</v>
      </c>
      <c r="Y253" s="1143">
        <f t="shared" si="61"/>
        <v>7198.6698501081873</v>
      </c>
      <c r="Z253" s="1147">
        <f t="shared" si="62"/>
        <v>8899.93</v>
      </c>
      <c r="AA253" s="1144">
        <f t="shared" si="63"/>
        <v>5566.08</v>
      </c>
      <c r="AB253" s="1144">
        <f t="shared" si="64"/>
        <v>0</v>
      </c>
      <c r="AC253" s="1144">
        <f t="shared" si="65"/>
        <v>0</v>
      </c>
      <c r="AD253" s="1148">
        <f t="shared" si="56"/>
        <v>7198.6698501081873</v>
      </c>
      <c r="AE253" s="1487">
        <v>0</v>
      </c>
      <c r="AF253" s="1145">
        <f t="shared" si="66"/>
        <v>7198.6698501081873</v>
      </c>
      <c r="AG253" s="1149">
        <f>IFERROR(VLOOKUP(CONCATENATE($L253,$N253),'Drop List'!$G$23:$K$87,2,FALSE),0)</f>
        <v>0.69340000000000002</v>
      </c>
      <c r="AH253" s="1150">
        <f>IFERROR(VLOOKUP(CONCATENATE($L253,$N253),'Drop List'!$G$23:$K$87,3,FALSE),0)</f>
        <v>0.30659999999999998</v>
      </c>
      <c r="AI253" s="1150">
        <f>IFERROR(VLOOKUP(CONCATENATE($L253,$N253),'Drop List'!$G$23:$K$87,4,FALSE),0)</f>
        <v>0</v>
      </c>
      <c r="AJ253" s="1151">
        <f>IFERROR(VLOOKUP(CONCATENATE($L253,$N253),'Drop List'!$G$23:$K$87,5,FALSE),0)</f>
        <v>0</v>
      </c>
      <c r="AK253" s="1152">
        <f t="shared" si="67"/>
        <v>4991.5576740650176</v>
      </c>
      <c r="AL253" s="1153">
        <f t="shared" si="68"/>
        <v>2207.1121760431702</v>
      </c>
      <c r="AM253" s="1153">
        <f t="shared" si="69"/>
        <v>0</v>
      </c>
      <c r="AN253" s="1145">
        <f t="shared" si="70"/>
        <v>0</v>
      </c>
      <c r="AO253" s="1154">
        <f t="shared" si="71"/>
        <v>7198.6698501081883</v>
      </c>
      <c r="AP253" s="1147">
        <f t="shared" si="57"/>
        <v>0</v>
      </c>
      <c r="AQ253" s="1144">
        <f t="shared" si="58"/>
        <v>0</v>
      </c>
      <c r="AR253" s="1146">
        <f t="shared" si="59"/>
        <v>7198.6698501081883</v>
      </c>
    </row>
    <row r="254" spans="1:44" x14ac:dyDescent="0.2">
      <c r="A254" s="1141" t="str">
        <f t="shared" si="54"/>
        <v>1504</v>
      </c>
      <c r="B254" s="1141" t="str">
        <f>IFERROR(VLOOKUP(A254,'LAC 103'!A:C,3,FALSE),"")</f>
        <v>OP</v>
      </c>
      <c r="C254" s="1478" t="str">
        <f>Info!$B$8</f>
        <v>00100</v>
      </c>
      <c r="D254" s="1474" t="s">
        <v>256</v>
      </c>
      <c r="E254" s="1474" t="s">
        <v>95</v>
      </c>
      <c r="F254" s="1478" t="s">
        <v>588</v>
      </c>
      <c r="G254" s="1478" t="s">
        <v>588</v>
      </c>
      <c r="H254" s="1474" t="s">
        <v>988</v>
      </c>
      <c r="I254" s="1478" t="s">
        <v>811</v>
      </c>
      <c r="J254" s="1478"/>
      <c r="K254" s="1475" t="s">
        <v>849</v>
      </c>
      <c r="L254" s="1474" t="s">
        <v>77</v>
      </c>
      <c r="M254" s="1476" t="s">
        <v>1699</v>
      </c>
      <c r="N254" s="1477" t="s">
        <v>1694</v>
      </c>
      <c r="O254" s="1479">
        <v>62773</v>
      </c>
      <c r="P254" s="1479"/>
      <c r="Q254" s="1142">
        <f t="shared" si="55"/>
        <v>62773</v>
      </c>
      <c r="R254" s="1143">
        <f>IFERROR(VLOOKUP(CONCATENATE(E254,G254),'LAC 103'!$A$12:$O$95,11,FALSE),0)</f>
        <v>2.483156209074918</v>
      </c>
      <c r="S254" s="1144">
        <f>IFERROR(VLOOKUP(CONCATENATE($E254,$G254),'LAC 103'!$A$12:$O$95,12,FALSE),0)</f>
        <v>3.07</v>
      </c>
      <c r="T254" s="1144">
        <f>IFERROR(VLOOKUP(CONCATENATE($E254,$G254),'LAC 103'!$A$12:$O$95,13,FALSE),0)</f>
        <v>1.92</v>
      </c>
      <c r="U254" s="1144">
        <f>IFERROR(VLOOKUP(CONCATENATE($E254,$G254),'LAC 103'!$A$12:$O$95,14,FALSE),0)</f>
        <v>0</v>
      </c>
      <c r="V254" s="1144">
        <f>IFERROR(VLOOKUP(CONCATENATE($E254,$G254),'LAC 103'!$A$12:$O$95,15,FALSE),0)</f>
        <v>0</v>
      </c>
      <c r="W254" s="1145" t="str">
        <f>IFERROR(VLOOKUP(CONCATENATE($B254,$N254),'LAC 103'!$AI:$AQ,9,FALSE),"")</f>
        <v>Costs</v>
      </c>
      <c r="X254" s="1146">
        <f t="shared" si="60"/>
        <v>2.483156209074918</v>
      </c>
      <c r="Y254" s="1143">
        <f t="shared" si="61"/>
        <v>155875.16471225984</v>
      </c>
      <c r="Z254" s="1147">
        <f t="shared" si="62"/>
        <v>192713.11</v>
      </c>
      <c r="AA254" s="1144">
        <f t="shared" si="63"/>
        <v>120524.15999999999</v>
      </c>
      <c r="AB254" s="1144">
        <f t="shared" si="64"/>
        <v>0</v>
      </c>
      <c r="AC254" s="1144">
        <f t="shared" si="65"/>
        <v>0</v>
      </c>
      <c r="AD254" s="1148">
        <f t="shared" si="56"/>
        <v>155875.16471225984</v>
      </c>
      <c r="AE254" s="1487">
        <v>0</v>
      </c>
      <c r="AF254" s="1145">
        <f t="shared" si="66"/>
        <v>155875.16471225984</v>
      </c>
      <c r="AG254" s="1149">
        <f>IFERROR(VLOOKUP(CONCATENATE($L254,$N254),'Drop List'!$G$23:$K$87,2,FALSE),0)</f>
        <v>0.9</v>
      </c>
      <c r="AH254" s="1150">
        <f>IFERROR(VLOOKUP(CONCATENATE($L254,$N254),'Drop List'!$G$23:$K$87,3,FALSE),0)</f>
        <v>0</v>
      </c>
      <c r="AI254" s="1150">
        <f>IFERROR(VLOOKUP(CONCATENATE($L254,$N254),'Drop List'!$G$23:$K$87,4,FALSE),0)</f>
        <v>0.1</v>
      </c>
      <c r="AJ254" s="1151">
        <f>IFERROR(VLOOKUP(CONCATENATE($L254,$N254),'Drop List'!$G$23:$K$87,5,FALSE),0)</f>
        <v>0</v>
      </c>
      <c r="AK254" s="1152">
        <f t="shared" si="67"/>
        <v>140287.64824103386</v>
      </c>
      <c r="AL254" s="1153">
        <f t="shared" si="68"/>
        <v>0</v>
      </c>
      <c r="AM254" s="1153">
        <f t="shared" si="69"/>
        <v>15587.516471225985</v>
      </c>
      <c r="AN254" s="1145">
        <f t="shared" si="70"/>
        <v>0</v>
      </c>
      <c r="AO254" s="1154">
        <f t="shared" si="71"/>
        <v>155875.16471225984</v>
      </c>
      <c r="AP254" s="1147">
        <f t="shared" si="57"/>
        <v>0</v>
      </c>
      <c r="AQ254" s="1144">
        <f t="shared" si="58"/>
        <v>0</v>
      </c>
      <c r="AR254" s="1146">
        <f t="shared" si="59"/>
        <v>155875.16471225984</v>
      </c>
    </row>
    <row r="255" spans="1:44" x14ac:dyDescent="0.2">
      <c r="A255" s="1141" t="str">
        <f t="shared" si="54"/>
        <v>1504</v>
      </c>
      <c r="B255" s="1141" t="str">
        <f>IFERROR(VLOOKUP(A255,'LAC 103'!A:C,3,FALSE),"")</f>
        <v>OP</v>
      </c>
      <c r="C255" s="1478" t="str">
        <f>Info!$B$8</f>
        <v>00100</v>
      </c>
      <c r="D255" s="1474" t="s">
        <v>256</v>
      </c>
      <c r="E255" s="1474" t="s">
        <v>95</v>
      </c>
      <c r="F255" s="1478" t="s">
        <v>588</v>
      </c>
      <c r="G255" s="1478" t="s">
        <v>588</v>
      </c>
      <c r="H255" s="1474" t="s">
        <v>988</v>
      </c>
      <c r="I255" s="1478" t="s">
        <v>811</v>
      </c>
      <c r="J255" s="1478"/>
      <c r="K255" s="1475" t="s">
        <v>849</v>
      </c>
      <c r="L255" s="1474" t="s">
        <v>77</v>
      </c>
      <c r="M255" s="1476" t="s">
        <v>841</v>
      </c>
      <c r="N255" s="1477" t="s">
        <v>1695</v>
      </c>
      <c r="O255" s="1479">
        <v>28345</v>
      </c>
      <c r="P255" s="1479"/>
      <c r="Q255" s="1142">
        <f t="shared" si="55"/>
        <v>28345</v>
      </c>
      <c r="R255" s="1143">
        <f>IFERROR(VLOOKUP(CONCATENATE(E255,G255),'LAC 103'!$A$12:$O$95,11,FALSE),0)</f>
        <v>2.483156209074918</v>
      </c>
      <c r="S255" s="1144">
        <f>IFERROR(VLOOKUP(CONCATENATE($E255,$G255),'LAC 103'!$A$12:$O$95,12,FALSE),0)</f>
        <v>3.07</v>
      </c>
      <c r="T255" s="1144">
        <f>IFERROR(VLOOKUP(CONCATENATE($E255,$G255),'LAC 103'!$A$12:$O$95,13,FALSE),0)</f>
        <v>1.92</v>
      </c>
      <c r="U255" s="1144">
        <f>IFERROR(VLOOKUP(CONCATENATE($E255,$G255),'LAC 103'!$A$12:$O$95,14,FALSE),0)</f>
        <v>0</v>
      </c>
      <c r="V255" s="1144">
        <f>IFERROR(VLOOKUP(CONCATENATE($E255,$G255),'LAC 103'!$A$12:$O$95,15,FALSE),0)</f>
        <v>0</v>
      </c>
      <c r="W255" s="1145" t="str">
        <f>IFERROR(VLOOKUP(CONCATENATE($B255,$N255),'LAC 103'!$AI:$AQ,9,FALSE),"")</f>
        <v>Costs</v>
      </c>
      <c r="X255" s="1146">
        <f t="shared" si="60"/>
        <v>2.483156209074918</v>
      </c>
      <c r="Y255" s="1143">
        <f t="shared" si="61"/>
        <v>70385.062746228548</v>
      </c>
      <c r="Z255" s="1147">
        <f t="shared" si="62"/>
        <v>87019.15</v>
      </c>
      <c r="AA255" s="1144">
        <f t="shared" si="63"/>
        <v>54422.400000000001</v>
      </c>
      <c r="AB255" s="1144">
        <f t="shared" si="64"/>
        <v>0</v>
      </c>
      <c r="AC255" s="1144">
        <f t="shared" si="65"/>
        <v>0</v>
      </c>
      <c r="AD255" s="1148">
        <f t="shared" si="56"/>
        <v>70385.062746228548</v>
      </c>
      <c r="AE255" s="1487">
        <v>0</v>
      </c>
      <c r="AF255" s="1145">
        <f t="shared" si="66"/>
        <v>70385.062746228548</v>
      </c>
      <c r="AG255" s="1149">
        <f>IFERROR(VLOOKUP(CONCATENATE($L255,$N255),'Drop List'!$G$23:$K$87,2,FALSE),0)</f>
        <v>0.9</v>
      </c>
      <c r="AH255" s="1150">
        <f>IFERROR(VLOOKUP(CONCATENATE($L255,$N255),'Drop List'!$G$23:$K$87,3,FALSE),0)</f>
        <v>0</v>
      </c>
      <c r="AI255" s="1150">
        <f>IFERROR(VLOOKUP(CONCATENATE($L255,$N255),'Drop List'!$G$23:$K$87,4,FALSE),0)</f>
        <v>0.1</v>
      </c>
      <c r="AJ255" s="1151">
        <f>IFERROR(VLOOKUP(CONCATENATE($L255,$N255),'Drop List'!$G$23:$K$87,5,FALSE),0)</f>
        <v>0</v>
      </c>
      <c r="AK255" s="1152">
        <f t="shared" si="67"/>
        <v>63346.556471605698</v>
      </c>
      <c r="AL255" s="1153">
        <f t="shared" si="68"/>
        <v>0</v>
      </c>
      <c r="AM255" s="1153">
        <f t="shared" si="69"/>
        <v>7038.506274622855</v>
      </c>
      <c r="AN255" s="1145">
        <f t="shared" si="70"/>
        <v>0</v>
      </c>
      <c r="AO255" s="1154">
        <f t="shared" si="71"/>
        <v>70385.062746228548</v>
      </c>
      <c r="AP255" s="1147">
        <f t="shared" si="57"/>
        <v>0</v>
      </c>
      <c r="AQ255" s="1144">
        <f t="shared" si="58"/>
        <v>0</v>
      </c>
      <c r="AR255" s="1146">
        <f t="shared" si="59"/>
        <v>70385.062746228548</v>
      </c>
    </row>
    <row r="256" spans="1:44" x14ac:dyDescent="0.2">
      <c r="A256" s="1141" t="str">
        <f t="shared" si="54"/>
        <v>1504</v>
      </c>
      <c r="B256" s="1141" t="str">
        <f>IFERROR(VLOOKUP(A256,'LAC 103'!A:C,3,FALSE),"")</f>
        <v>OP</v>
      </c>
      <c r="C256" s="1478" t="str">
        <f>Info!$B$8</f>
        <v>00100</v>
      </c>
      <c r="D256" s="1474" t="s">
        <v>256</v>
      </c>
      <c r="E256" s="1474" t="s">
        <v>95</v>
      </c>
      <c r="F256" s="1478" t="s">
        <v>588</v>
      </c>
      <c r="G256" s="1478" t="s">
        <v>588</v>
      </c>
      <c r="H256" s="1474" t="s">
        <v>988</v>
      </c>
      <c r="I256" s="1478" t="s">
        <v>811</v>
      </c>
      <c r="J256" s="1478"/>
      <c r="K256" s="1475" t="s">
        <v>849</v>
      </c>
      <c r="L256" s="1474" t="s">
        <v>77</v>
      </c>
      <c r="M256" s="1476" t="s">
        <v>840</v>
      </c>
      <c r="N256" s="1477" t="s">
        <v>1700</v>
      </c>
      <c r="O256" s="1479">
        <v>33202</v>
      </c>
      <c r="P256" s="1479"/>
      <c r="Q256" s="1142">
        <f t="shared" si="55"/>
        <v>33202</v>
      </c>
      <c r="R256" s="1143">
        <f>IFERROR(VLOOKUP(CONCATENATE(E256,G256),'LAC 103'!$A$12:$O$95,11,FALSE),0)</f>
        <v>2.483156209074918</v>
      </c>
      <c r="S256" s="1144">
        <f>IFERROR(VLOOKUP(CONCATENATE($E256,$G256),'LAC 103'!$A$12:$O$95,12,FALSE),0)</f>
        <v>3.07</v>
      </c>
      <c r="T256" s="1144">
        <f>IFERROR(VLOOKUP(CONCATENATE($E256,$G256),'LAC 103'!$A$12:$O$95,13,FALSE),0)</f>
        <v>1.92</v>
      </c>
      <c r="U256" s="1144">
        <f>IFERROR(VLOOKUP(CONCATENATE($E256,$G256),'LAC 103'!$A$12:$O$95,14,FALSE),0)</f>
        <v>0</v>
      </c>
      <c r="V256" s="1144">
        <f>IFERROR(VLOOKUP(CONCATENATE($E256,$G256),'LAC 103'!$A$12:$O$95,15,FALSE),0)</f>
        <v>0</v>
      </c>
      <c r="W256" s="1145" t="str">
        <f>IFERROR(VLOOKUP(CONCATENATE($B256,$N256),'LAC 103'!$AI:$AQ,9,FALSE),"")</f>
        <v>P.C.</v>
      </c>
      <c r="X256" s="1146">
        <f t="shared" si="60"/>
        <v>1.92</v>
      </c>
      <c r="Y256" s="1143">
        <f t="shared" si="61"/>
        <v>82445.752453705427</v>
      </c>
      <c r="Z256" s="1147">
        <f t="shared" si="62"/>
        <v>101930.14</v>
      </c>
      <c r="AA256" s="1144">
        <f t="shared" si="63"/>
        <v>63747.839999999997</v>
      </c>
      <c r="AB256" s="1144">
        <f t="shared" si="64"/>
        <v>0</v>
      </c>
      <c r="AC256" s="1144">
        <f t="shared" si="65"/>
        <v>0</v>
      </c>
      <c r="AD256" s="1148">
        <f t="shared" si="56"/>
        <v>63747.839999999997</v>
      </c>
      <c r="AE256" s="1487">
        <v>0</v>
      </c>
      <c r="AF256" s="1145">
        <f t="shared" si="66"/>
        <v>63747.839999999997</v>
      </c>
      <c r="AG256" s="1149">
        <f>IFERROR(VLOOKUP(CONCATENATE($L256,$N256),'Drop List'!$G$23:$K$87,2,FALSE),0)</f>
        <v>0.9</v>
      </c>
      <c r="AH256" s="1150">
        <f>IFERROR(VLOOKUP(CONCATENATE($L256,$N256),'Drop List'!$G$23:$K$87,3,FALSE),0)</f>
        <v>0</v>
      </c>
      <c r="AI256" s="1150">
        <f>IFERROR(VLOOKUP(CONCATENATE($L256,$N256),'Drop List'!$G$23:$K$87,4,FALSE),0)</f>
        <v>0.1</v>
      </c>
      <c r="AJ256" s="1151">
        <f>IFERROR(VLOOKUP(CONCATENATE($L256,$N256),'Drop List'!$G$23:$K$87,5,FALSE),0)</f>
        <v>0</v>
      </c>
      <c r="AK256" s="1152">
        <f t="shared" si="67"/>
        <v>57373.055999999997</v>
      </c>
      <c r="AL256" s="1153">
        <f t="shared" si="68"/>
        <v>0</v>
      </c>
      <c r="AM256" s="1153">
        <f t="shared" si="69"/>
        <v>6374.7839999999997</v>
      </c>
      <c r="AN256" s="1145">
        <f t="shared" si="70"/>
        <v>0</v>
      </c>
      <c r="AO256" s="1154">
        <f t="shared" si="71"/>
        <v>63747.839999999997</v>
      </c>
      <c r="AP256" s="1147">
        <f t="shared" si="57"/>
        <v>0</v>
      </c>
      <c r="AQ256" s="1144">
        <f t="shared" si="58"/>
        <v>0</v>
      </c>
      <c r="AR256" s="1146">
        <f t="shared" si="59"/>
        <v>63747.839999999997</v>
      </c>
    </row>
    <row r="257" spans="1:44" x14ac:dyDescent="0.2">
      <c r="A257" s="1141" t="str">
        <f t="shared" si="54"/>
        <v>1504</v>
      </c>
      <c r="B257" s="1141" t="str">
        <f>IFERROR(VLOOKUP(A257,'LAC 103'!A:C,3,FALSE),"")</f>
        <v>OP</v>
      </c>
      <c r="C257" s="1478" t="str">
        <f>Info!$B$8</f>
        <v>00100</v>
      </c>
      <c r="D257" s="1474" t="s">
        <v>256</v>
      </c>
      <c r="E257" s="1474" t="s">
        <v>95</v>
      </c>
      <c r="F257" s="1478" t="s">
        <v>588</v>
      </c>
      <c r="G257" s="1478" t="s">
        <v>588</v>
      </c>
      <c r="H257" s="1474" t="s">
        <v>988</v>
      </c>
      <c r="I257" s="1478" t="s">
        <v>811</v>
      </c>
      <c r="J257" s="1478"/>
      <c r="K257" s="1475" t="s">
        <v>849</v>
      </c>
      <c r="L257" s="1474" t="s">
        <v>77</v>
      </c>
      <c r="M257" s="1476" t="s">
        <v>842</v>
      </c>
      <c r="N257" s="1477" t="s">
        <v>1692</v>
      </c>
      <c r="O257" s="1479">
        <v>35451</v>
      </c>
      <c r="P257" s="1479"/>
      <c r="Q257" s="1142">
        <f t="shared" si="55"/>
        <v>35451</v>
      </c>
      <c r="R257" s="1143">
        <f>IFERROR(VLOOKUP(CONCATENATE(E257,G257),'LAC 103'!$A$12:$O$95,11,FALSE),0)</f>
        <v>2.483156209074918</v>
      </c>
      <c r="S257" s="1144">
        <f>IFERROR(VLOOKUP(CONCATENATE($E257,$G257),'LAC 103'!$A$12:$O$95,12,FALSE),0)</f>
        <v>3.07</v>
      </c>
      <c r="T257" s="1144">
        <f>IFERROR(VLOOKUP(CONCATENATE($E257,$G257),'LAC 103'!$A$12:$O$95,13,FALSE),0)</f>
        <v>1.92</v>
      </c>
      <c r="U257" s="1144">
        <f>IFERROR(VLOOKUP(CONCATENATE($E257,$G257),'LAC 103'!$A$12:$O$95,14,FALSE),0)</f>
        <v>0</v>
      </c>
      <c r="V257" s="1144">
        <f>IFERROR(VLOOKUP(CONCATENATE($E257,$G257),'LAC 103'!$A$12:$O$95,15,FALSE),0)</f>
        <v>0</v>
      </c>
      <c r="W257" s="1145" t="str">
        <f>IFERROR(VLOOKUP(CONCATENATE($B257,$N257),'LAC 103'!$AI:$AQ,9,FALSE),"")</f>
        <v>Costs</v>
      </c>
      <c r="X257" s="1146">
        <f t="shared" si="60"/>
        <v>2.483156209074918</v>
      </c>
      <c r="Y257" s="1143">
        <f t="shared" si="61"/>
        <v>88030.370767914923</v>
      </c>
      <c r="Z257" s="1147">
        <f t="shared" si="62"/>
        <v>108834.56999999999</v>
      </c>
      <c r="AA257" s="1144">
        <f t="shared" si="63"/>
        <v>68065.919999999998</v>
      </c>
      <c r="AB257" s="1144">
        <f t="shared" si="64"/>
        <v>0</v>
      </c>
      <c r="AC257" s="1144">
        <f t="shared" si="65"/>
        <v>0</v>
      </c>
      <c r="AD257" s="1148">
        <f t="shared" si="56"/>
        <v>88030.370767914923</v>
      </c>
      <c r="AE257" s="1487">
        <v>0</v>
      </c>
      <c r="AF257" s="1145">
        <f t="shared" si="66"/>
        <v>88030.370767914923</v>
      </c>
      <c r="AG257" s="1149">
        <f>IFERROR(VLOOKUP(CONCATENATE($L257,$N257),'Drop List'!$G$23:$K$87,2,FALSE),0)</f>
        <v>0.9</v>
      </c>
      <c r="AH257" s="1150">
        <f>IFERROR(VLOOKUP(CONCATENATE($L257,$N257),'Drop List'!$G$23:$K$87,3,FALSE),0)</f>
        <v>0</v>
      </c>
      <c r="AI257" s="1150">
        <f>IFERROR(VLOOKUP(CONCATENATE($L257,$N257),'Drop List'!$G$23:$K$87,4,FALSE),0)</f>
        <v>0.1</v>
      </c>
      <c r="AJ257" s="1151">
        <f>IFERROR(VLOOKUP(CONCATENATE($L257,$N257),'Drop List'!$G$23:$K$87,5,FALSE),0)</f>
        <v>0</v>
      </c>
      <c r="AK257" s="1152">
        <f t="shared" si="67"/>
        <v>79227.333691123436</v>
      </c>
      <c r="AL257" s="1153">
        <f t="shared" si="68"/>
        <v>0</v>
      </c>
      <c r="AM257" s="1153">
        <f t="shared" si="69"/>
        <v>8803.0370767914919</v>
      </c>
      <c r="AN257" s="1145">
        <f t="shared" si="70"/>
        <v>0</v>
      </c>
      <c r="AO257" s="1154">
        <f t="shared" si="71"/>
        <v>88030.370767914923</v>
      </c>
      <c r="AP257" s="1147">
        <f t="shared" si="57"/>
        <v>0</v>
      </c>
      <c r="AQ257" s="1144">
        <f t="shared" si="58"/>
        <v>0</v>
      </c>
      <c r="AR257" s="1146">
        <f t="shared" si="59"/>
        <v>88030.370767914923</v>
      </c>
    </row>
    <row r="258" spans="1:44" x14ac:dyDescent="0.2">
      <c r="A258" s="1141" t="str">
        <f t="shared" si="54"/>
        <v>1504</v>
      </c>
      <c r="B258" s="1141" t="str">
        <f>IFERROR(VLOOKUP(A258,'LAC 103'!A:C,3,FALSE),"")</f>
        <v>OP</v>
      </c>
      <c r="C258" s="1478" t="str">
        <f>Info!$B$8</f>
        <v>00100</v>
      </c>
      <c r="D258" s="1474" t="s">
        <v>256</v>
      </c>
      <c r="E258" s="1474" t="s">
        <v>95</v>
      </c>
      <c r="F258" s="1478" t="s">
        <v>588</v>
      </c>
      <c r="G258" s="1478" t="s">
        <v>588</v>
      </c>
      <c r="H258" s="1474" t="s">
        <v>988</v>
      </c>
      <c r="I258" s="1478" t="s">
        <v>811</v>
      </c>
      <c r="J258" s="1478"/>
      <c r="K258" s="1475" t="s">
        <v>849</v>
      </c>
      <c r="L258" s="1474" t="s">
        <v>77</v>
      </c>
      <c r="M258" s="1476" t="s">
        <v>1698</v>
      </c>
      <c r="N258" s="1477" t="s">
        <v>1693</v>
      </c>
      <c r="O258" s="1479">
        <v>51155</v>
      </c>
      <c r="P258" s="1479"/>
      <c r="Q258" s="1142">
        <f t="shared" si="55"/>
        <v>51155</v>
      </c>
      <c r="R258" s="1143">
        <f>IFERROR(VLOOKUP(CONCATENATE(E258,G258),'LAC 103'!$A$12:$O$95,11,FALSE),0)</f>
        <v>2.483156209074918</v>
      </c>
      <c r="S258" s="1144">
        <f>IFERROR(VLOOKUP(CONCATENATE($E258,$G258),'LAC 103'!$A$12:$O$95,12,FALSE),0)</f>
        <v>3.07</v>
      </c>
      <c r="T258" s="1144">
        <f>IFERROR(VLOOKUP(CONCATENATE($E258,$G258),'LAC 103'!$A$12:$O$95,13,FALSE),0)</f>
        <v>1.92</v>
      </c>
      <c r="U258" s="1144">
        <f>IFERROR(VLOOKUP(CONCATENATE($E258,$G258),'LAC 103'!$A$12:$O$95,14,FALSE),0)</f>
        <v>0</v>
      </c>
      <c r="V258" s="1144">
        <f>IFERROR(VLOOKUP(CONCATENATE($E258,$G258),'LAC 103'!$A$12:$O$95,15,FALSE),0)</f>
        <v>0</v>
      </c>
      <c r="W258" s="1145" t="str">
        <f>IFERROR(VLOOKUP(CONCATENATE($B258,$N258),'LAC 103'!$AI:$AQ,9,FALSE),"")</f>
        <v>Costs</v>
      </c>
      <c r="X258" s="1146">
        <f t="shared" si="60"/>
        <v>2.483156209074918</v>
      </c>
      <c r="Y258" s="1143">
        <f t="shared" si="61"/>
        <v>127025.85587522743</v>
      </c>
      <c r="Z258" s="1147">
        <f t="shared" si="62"/>
        <v>157045.85</v>
      </c>
      <c r="AA258" s="1144">
        <f t="shared" si="63"/>
        <v>98217.599999999991</v>
      </c>
      <c r="AB258" s="1144">
        <f t="shared" si="64"/>
        <v>0</v>
      </c>
      <c r="AC258" s="1144">
        <f t="shared" si="65"/>
        <v>0</v>
      </c>
      <c r="AD258" s="1148">
        <f t="shared" si="56"/>
        <v>127025.85587522743</v>
      </c>
      <c r="AE258" s="1487">
        <v>0</v>
      </c>
      <c r="AF258" s="1145">
        <f t="shared" si="66"/>
        <v>127025.85587522743</v>
      </c>
      <c r="AG258" s="1149">
        <f>IFERROR(VLOOKUP(CONCATENATE($L258,$N258),'Drop List'!$G$23:$K$87,2,FALSE),0)</f>
        <v>0.9</v>
      </c>
      <c r="AH258" s="1150">
        <f>IFERROR(VLOOKUP(CONCATENATE($L258,$N258),'Drop List'!$G$23:$K$87,3,FALSE),0)</f>
        <v>0</v>
      </c>
      <c r="AI258" s="1150">
        <f>IFERROR(VLOOKUP(CONCATENATE($L258,$N258),'Drop List'!$G$23:$K$87,4,FALSE),0)</f>
        <v>0.1</v>
      </c>
      <c r="AJ258" s="1151">
        <f>IFERROR(VLOOKUP(CONCATENATE($L258,$N258),'Drop List'!$G$23:$K$87,5,FALSE),0)</f>
        <v>0</v>
      </c>
      <c r="AK258" s="1152">
        <f t="shared" si="67"/>
        <v>114323.27028770468</v>
      </c>
      <c r="AL258" s="1153">
        <f t="shared" si="68"/>
        <v>0</v>
      </c>
      <c r="AM258" s="1153">
        <f t="shared" si="69"/>
        <v>12702.585587522743</v>
      </c>
      <c r="AN258" s="1145">
        <f t="shared" si="70"/>
        <v>0</v>
      </c>
      <c r="AO258" s="1154">
        <f t="shared" si="71"/>
        <v>127025.85587522743</v>
      </c>
      <c r="AP258" s="1147">
        <f t="shared" si="57"/>
        <v>0</v>
      </c>
      <c r="AQ258" s="1144">
        <f t="shared" si="58"/>
        <v>0</v>
      </c>
      <c r="AR258" s="1146">
        <f t="shared" si="59"/>
        <v>127025.85587522743</v>
      </c>
    </row>
    <row r="259" spans="1:44" x14ac:dyDescent="0.2">
      <c r="A259" s="1141" t="str">
        <f t="shared" si="54"/>
        <v>1504</v>
      </c>
      <c r="B259" s="1141" t="str">
        <f>IFERROR(VLOOKUP(A259,'LAC 103'!A:C,3,FALSE),"")</f>
        <v>OP</v>
      </c>
      <c r="C259" s="1478" t="str">
        <f>Info!$B$8</f>
        <v>00100</v>
      </c>
      <c r="D259" s="1474" t="s">
        <v>256</v>
      </c>
      <c r="E259" s="1474" t="s">
        <v>95</v>
      </c>
      <c r="F259" s="1478" t="s">
        <v>588</v>
      </c>
      <c r="G259" s="1478" t="s">
        <v>588</v>
      </c>
      <c r="H259" s="1474" t="s">
        <v>988</v>
      </c>
      <c r="I259" s="1478" t="s">
        <v>811</v>
      </c>
      <c r="J259" s="1478"/>
      <c r="K259" s="1475" t="s">
        <v>971</v>
      </c>
      <c r="L259" s="1474" t="s">
        <v>332</v>
      </c>
      <c r="M259" s="1476" t="s">
        <v>1699</v>
      </c>
      <c r="N259" s="1477" t="s">
        <v>1694</v>
      </c>
      <c r="O259" s="1479">
        <v>1815</v>
      </c>
      <c r="P259" s="1479"/>
      <c r="Q259" s="1142">
        <f t="shared" si="55"/>
        <v>1815</v>
      </c>
      <c r="R259" s="1143">
        <f>IFERROR(VLOOKUP(CONCATENATE(E259,G259),'LAC 103'!$A$12:$O$95,11,FALSE),0)</f>
        <v>2.483156209074918</v>
      </c>
      <c r="S259" s="1144">
        <f>IFERROR(VLOOKUP(CONCATENATE($E259,$G259),'LAC 103'!$A$12:$O$95,12,FALSE),0)</f>
        <v>3.07</v>
      </c>
      <c r="T259" s="1144">
        <f>IFERROR(VLOOKUP(CONCATENATE($E259,$G259),'LAC 103'!$A$12:$O$95,13,FALSE),0)</f>
        <v>1.92</v>
      </c>
      <c r="U259" s="1144">
        <f>IFERROR(VLOOKUP(CONCATENATE($E259,$G259),'LAC 103'!$A$12:$O$95,14,FALSE),0)</f>
        <v>0</v>
      </c>
      <c r="V259" s="1144">
        <f>IFERROR(VLOOKUP(CONCATENATE($E259,$G259),'LAC 103'!$A$12:$O$95,15,FALSE),0)</f>
        <v>0</v>
      </c>
      <c r="W259" s="1145" t="str">
        <f>IFERROR(VLOOKUP(CONCATENATE($B259,$N259),'LAC 103'!$AI:$AQ,9,FALSE),"")</f>
        <v>Costs</v>
      </c>
      <c r="X259" s="1146">
        <f t="shared" si="60"/>
        <v>2.483156209074918</v>
      </c>
      <c r="Y259" s="1143">
        <f t="shared" si="61"/>
        <v>4506.9285194709764</v>
      </c>
      <c r="Z259" s="1147">
        <f t="shared" si="62"/>
        <v>5572.0499999999993</v>
      </c>
      <c r="AA259" s="1144">
        <f t="shared" si="63"/>
        <v>3484.7999999999997</v>
      </c>
      <c r="AB259" s="1144">
        <f t="shared" si="64"/>
        <v>0</v>
      </c>
      <c r="AC259" s="1144">
        <f t="shared" si="65"/>
        <v>0</v>
      </c>
      <c r="AD259" s="1148">
        <f t="shared" si="56"/>
        <v>4506.9285194709764</v>
      </c>
      <c r="AE259" s="1487">
        <v>0</v>
      </c>
      <c r="AF259" s="1145">
        <f t="shared" si="66"/>
        <v>4506.9285194709764</v>
      </c>
      <c r="AG259" s="1149">
        <f>IFERROR(VLOOKUP(CONCATENATE($L259,$N259),'Drop List'!$G$23:$K$87,2,FALSE),0)</f>
        <v>0</v>
      </c>
      <c r="AH259" s="1150">
        <f>IFERROR(VLOOKUP(CONCATENATE($L259,$N259),'Drop List'!$G$23:$K$87,3,FALSE),0)</f>
        <v>0</v>
      </c>
      <c r="AI259" s="1150">
        <f>IFERROR(VLOOKUP(CONCATENATE($L259,$N259),'Drop List'!$G$23:$K$87,4,FALSE),0)</f>
        <v>0</v>
      </c>
      <c r="AJ259" s="1151">
        <f>IFERROR(VLOOKUP(CONCATENATE($L259,$N259),'Drop List'!$G$23:$K$87,5,FALSE),0)</f>
        <v>0</v>
      </c>
      <c r="AK259" s="1152">
        <f t="shared" si="67"/>
        <v>0</v>
      </c>
      <c r="AL259" s="1153">
        <f t="shared" si="68"/>
        <v>0</v>
      </c>
      <c r="AM259" s="1153">
        <f t="shared" si="69"/>
        <v>0</v>
      </c>
      <c r="AN259" s="1145">
        <f t="shared" si="70"/>
        <v>0</v>
      </c>
      <c r="AO259" s="1154">
        <f t="shared" si="71"/>
        <v>0</v>
      </c>
      <c r="AP259" s="1147">
        <f t="shared" si="57"/>
        <v>4506.9285194709764</v>
      </c>
      <c r="AQ259" s="1144">
        <f t="shared" si="58"/>
        <v>0</v>
      </c>
      <c r="AR259" s="1146">
        <f t="shared" si="59"/>
        <v>4506.9285194709764</v>
      </c>
    </row>
    <row r="260" spans="1:44" x14ac:dyDescent="0.2">
      <c r="A260" s="1141" t="str">
        <f t="shared" si="54"/>
        <v>1504</v>
      </c>
      <c r="B260" s="1141" t="str">
        <f>IFERROR(VLOOKUP(A260,'LAC 103'!A:C,3,FALSE),"")</f>
        <v>OP</v>
      </c>
      <c r="C260" s="1478" t="str">
        <f>Info!$B$8</f>
        <v>00100</v>
      </c>
      <c r="D260" s="1474" t="s">
        <v>256</v>
      </c>
      <c r="E260" s="1474" t="s">
        <v>95</v>
      </c>
      <c r="F260" s="1478" t="s">
        <v>588</v>
      </c>
      <c r="G260" s="1478" t="s">
        <v>588</v>
      </c>
      <c r="H260" s="1474" t="s">
        <v>988</v>
      </c>
      <c r="I260" s="1478" t="s">
        <v>811</v>
      </c>
      <c r="J260" s="1478"/>
      <c r="K260" s="1475" t="s">
        <v>971</v>
      </c>
      <c r="L260" s="1474" t="s">
        <v>332</v>
      </c>
      <c r="M260" s="1476" t="s">
        <v>841</v>
      </c>
      <c r="N260" s="1477" t="s">
        <v>1695</v>
      </c>
      <c r="O260" s="1479">
        <v>254</v>
      </c>
      <c r="P260" s="1479"/>
      <c r="Q260" s="1142">
        <f t="shared" si="55"/>
        <v>254</v>
      </c>
      <c r="R260" s="1143">
        <f>IFERROR(VLOOKUP(CONCATENATE(E260,G260),'LAC 103'!$A$12:$O$95,11,FALSE),0)</f>
        <v>2.483156209074918</v>
      </c>
      <c r="S260" s="1144">
        <f>IFERROR(VLOOKUP(CONCATENATE($E260,$G260),'LAC 103'!$A$12:$O$95,12,FALSE),0)</f>
        <v>3.07</v>
      </c>
      <c r="T260" s="1144">
        <f>IFERROR(VLOOKUP(CONCATENATE($E260,$G260),'LAC 103'!$A$12:$O$95,13,FALSE),0)</f>
        <v>1.92</v>
      </c>
      <c r="U260" s="1144">
        <f>IFERROR(VLOOKUP(CONCATENATE($E260,$G260),'LAC 103'!$A$12:$O$95,14,FALSE),0)</f>
        <v>0</v>
      </c>
      <c r="V260" s="1144">
        <f>IFERROR(VLOOKUP(CONCATENATE($E260,$G260),'LAC 103'!$A$12:$O$95,15,FALSE),0)</f>
        <v>0</v>
      </c>
      <c r="W260" s="1145" t="str">
        <f>IFERROR(VLOOKUP(CONCATENATE($B260,$N260),'LAC 103'!$AI:$AQ,9,FALSE),"")</f>
        <v>Costs</v>
      </c>
      <c r="X260" s="1146">
        <f t="shared" si="60"/>
        <v>2.483156209074918</v>
      </c>
      <c r="Y260" s="1143">
        <f t="shared" si="61"/>
        <v>630.72167710502913</v>
      </c>
      <c r="Z260" s="1147">
        <f t="shared" si="62"/>
        <v>779.78</v>
      </c>
      <c r="AA260" s="1144">
        <f t="shared" si="63"/>
        <v>487.68</v>
      </c>
      <c r="AB260" s="1144">
        <f t="shared" si="64"/>
        <v>0</v>
      </c>
      <c r="AC260" s="1144">
        <f t="shared" si="65"/>
        <v>0</v>
      </c>
      <c r="AD260" s="1148">
        <f t="shared" si="56"/>
        <v>630.72167710502913</v>
      </c>
      <c r="AE260" s="1487">
        <v>0</v>
      </c>
      <c r="AF260" s="1145">
        <f t="shared" si="66"/>
        <v>630.72167710502913</v>
      </c>
      <c r="AG260" s="1149">
        <f>IFERROR(VLOOKUP(CONCATENATE($L260,$N260),'Drop List'!$G$23:$K$87,2,FALSE),0)</f>
        <v>0</v>
      </c>
      <c r="AH260" s="1150">
        <f>IFERROR(VLOOKUP(CONCATENATE($L260,$N260),'Drop List'!$G$23:$K$87,3,FALSE),0)</f>
        <v>0</v>
      </c>
      <c r="AI260" s="1150">
        <f>IFERROR(VLOOKUP(CONCATENATE($L260,$N260),'Drop List'!$G$23:$K$87,4,FALSE),0)</f>
        <v>0</v>
      </c>
      <c r="AJ260" s="1151">
        <f>IFERROR(VLOOKUP(CONCATENATE($L260,$N260),'Drop List'!$G$23:$K$87,5,FALSE),0)</f>
        <v>0</v>
      </c>
      <c r="AK260" s="1152">
        <f t="shared" si="67"/>
        <v>0</v>
      </c>
      <c r="AL260" s="1153">
        <f t="shared" si="68"/>
        <v>0</v>
      </c>
      <c r="AM260" s="1153">
        <f t="shared" si="69"/>
        <v>0</v>
      </c>
      <c r="AN260" s="1145">
        <f t="shared" si="70"/>
        <v>0</v>
      </c>
      <c r="AO260" s="1154">
        <f t="shared" si="71"/>
        <v>0</v>
      </c>
      <c r="AP260" s="1147">
        <f t="shared" si="57"/>
        <v>630.72167710502913</v>
      </c>
      <c r="AQ260" s="1144">
        <f t="shared" si="58"/>
        <v>0</v>
      </c>
      <c r="AR260" s="1146">
        <f t="shared" si="59"/>
        <v>630.72167710502913</v>
      </c>
    </row>
    <row r="261" spans="1:44" x14ac:dyDescent="0.2">
      <c r="A261" s="1141" t="str">
        <f t="shared" si="54"/>
        <v>1504</v>
      </c>
      <c r="B261" s="1141" t="str">
        <f>IFERROR(VLOOKUP(A261,'LAC 103'!A:C,3,FALSE),"")</f>
        <v>OP</v>
      </c>
      <c r="C261" s="1478" t="str">
        <f>Info!$B$8</f>
        <v>00100</v>
      </c>
      <c r="D261" s="1474" t="s">
        <v>256</v>
      </c>
      <c r="E261" s="1474" t="s">
        <v>95</v>
      </c>
      <c r="F261" s="1478" t="s">
        <v>588</v>
      </c>
      <c r="G261" s="1478" t="s">
        <v>588</v>
      </c>
      <c r="H261" s="1474" t="s">
        <v>988</v>
      </c>
      <c r="I261" s="1478" t="s">
        <v>811</v>
      </c>
      <c r="J261" s="1478"/>
      <c r="K261" s="1475" t="s">
        <v>971</v>
      </c>
      <c r="L261" s="1474" t="s">
        <v>332</v>
      </c>
      <c r="M261" s="1476" t="s">
        <v>842</v>
      </c>
      <c r="N261" s="1477" t="s">
        <v>1692</v>
      </c>
      <c r="O261" s="1479">
        <v>7215</v>
      </c>
      <c r="P261" s="1479"/>
      <c r="Q261" s="1142">
        <f t="shared" si="55"/>
        <v>7215</v>
      </c>
      <c r="R261" s="1143">
        <f>IFERROR(VLOOKUP(CONCATENATE(E261,G261),'LAC 103'!$A$12:$O$95,11,FALSE),0)</f>
        <v>2.483156209074918</v>
      </c>
      <c r="S261" s="1144">
        <f>IFERROR(VLOOKUP(CONCATENATE($E261,$G261),'LAC 103'!$A$12:$O$95,12,FALSE),0)</f>
        <v>3.07</v>
      </c>
      <c r="T261" s="1144">
        <f>IFERROR(VLOOKUP(CONCATENATE($E261,$G261),'LAC 103'!$A$12:$O$95,13,FALSE),0)</f>
        <v>1.92</v>
      </c>
      <c r="U261" s="1144">
        <f>IFERROR(VLOOKUP(CONCATENATE($E261,$G261),'LAC 103'!$A$12:$O$95,14,FALSE),0)</f>
        <v>0</v>
      </c>
      <c r="V261" s="1144">
        <f>IFERROR(VLOOKUP(CONCATENATE($E261,$G261),'LAC 103'!$A$12:$O$95,15,FALSE),0)</f>
        <v>0</v>
      </c>
      <c r="W261" s="1145" t="str">
        <f>IFERROR(VLOOKUP(CONCATENATE($B261,$N261),'LAC 103'!$AI:$AQ,9,FALSE),"")</f>
        <v>Costs</v>
      </c>
      <c r="X261" s="1146">
        <f t="shared" si="60"/>
        <v>2.483156209074918</v>
      </c>
      <c r="Y261" s="1143">
        <f t="shared" si="61"/>
        <v>17915.972048475534</v>
      </c>
      <c r="Z261" s="1147">
        <f t="shared" si="62"/>
        <v>22150.05</v>
      </c>
      <c r="AA261" s="1144">
        <f t="shared" si="63"/>
        <v>13852.8</v>
      </c>
      <c r="AB261" s="1144">
        <f t="shared" si="64"/>
        <v>0</v>
      </c>
      <c r="AC261" s="1144">
        <f t="shared" si="65"/>
        <v>0</v>
      </c>
      <c r="AD261" s="1148">
        <f t="shared" si="56"/>
        <v>17915.972048475534</v>
      </c>
      <c r="AE261" s="1487">
        <v>0</v>
      </c>
      <c r="AF261" s="1145">
        <f t="shared" si="66"/>
        <v>17915.972048475534</v>
      </c>
      <c r="AG261" s="1149">
        <f>IFERROR(VLOOKUP(CONCATENATE($L261,$N261),'Drop List'!$G$23:$K$87,2,FALSE),0)</f>
        <v>0</v>
      </c>
      <c r="AH261" s="1150">
        <f>IFERROR(VLOOKUP(CONCATENATE($L261,$N261),'Drop List'!$G$23:$K$87,3,FALSE),0)</f>
        <v>0</v>
      </c>
      <c r="AI261" s="1150">
        <f>IFERROR(VLOOKUP(CONCATENATE($L261,$N261),'Drop List'!$G$23:$K$87,4,FALSE),0)</f>
        <v>0</v>
      </c>
      <c r="AJ261" s="1151">
        <f>IFERROR(VLOOKUP(CONCATENATE($L261,$N261),'Drop List'!$G$23:$K$87,5,FALSE),0)</f>
        <v>0</v>
      </c>
      <c r="AK261" s="1152">
        <f t="shared" si="67"/>
        <v>0</v>
      </c>
      <c r="AL261" s="1153">
        <f t="shared" si="68"/>
        <v>0</v>
      </c>
      <c r="AM261" s="1153">
        <f t="shared" si="69"/>
        <v>0</v>
      </c>
      <c r="AN261" s="1145">
        <f t="shared" si="70"/>
        <v>0</v>
      </c>
      <c r="AO261" s="1154">
        <f t="shared" si="71"/>
        <v>0</v>
      </c>
      <c r="AP261" s="1147">
        <f t="shared" si="57"/>
        <v>17915.972048475534</v>
      </c>
      <c r="AQ261" s="1144">
        <f t="shared" si="58"/>
        <v>0</v>
      </c>
      <c r="AR261" s="1146">
        <f t="shared" si="59"/>
        <v>17915.972048475534</v>
      </c>
    </row>
    <row r="262" spans="1:44" x14ac:dyDescent="0.2">
      <c r="A262" s="1141" t="str">
        <f t="shared" ref="A262:A325" si="72">IF(CONCATENATE(E262,G262)="","",CONCATENATE(E262,G262))</f>
        <v>1504</v>
      </c>
      <c r="B262" s="1141" t="str">
        <f>IFERROR(VLOOKUP(A262,'LAC 103'!A:C,3,FALSE),"")</f>
        <v>OP</v>
      </c>
      <c r="C262" s="1478" t="str">
        <f>Info!$B$8</f>
        <v>00100</v>
      </c>
      <c r="D262" s="1474" t="s">
        <v>256</v>
      </c>
      <c r="E262" s="1474" t="s">
        <v>95</v>
      </c>
      <c r="F262" s="1478" t="s">
        <v>588</v>
      </c>
      <c r="G262" s="1478" t="s">
        <v>588</v>
      </c>
      <c r="H262" s="1474" t="s">
        <v>988</v>
      </c>
      <c r="I262" s="1478" t="s">
        <v>811</v>
      </c>
      <c r="J262" s="1478"/>
      <c r="K262" s="1475" t="s">
        <v>971</v>
      </c>
      <c r="L262" s="1474" t="s">
        <v>332</v>
      </c>
      <c r="M262" s="1476" t="s">
        <v>1698</v>
      </c>
      <c r="N262" s="1477" t="s">
        <v>1693</v>
      </c>
      <c r="O262" s="1479">
        <v>2084</v>
      </c>
      <c r="P262" s="1479"/>
      <c r="Q262" s="1142">
        <f t="shared" ref="Q262:Q325" si="73">O262+P262</f>
        <v>2084</v>
      </c>
      <c r="R262" s="1143">
        <f>IFERROR(VLOOKUP(CONCATENATE(E262,G262),'LAC 103'!$A$12:$O$95,11,FALSE),0)</f>
        <v>2.483156209074918</v>
      </c>
      <c r="S262" s="1144">
        <f>IFERROR(VLOOKUP(CONCATENATE($E262,$G262),'LAC 103'!$A$12:$O$95,12,FALSE),0)</f>
        <v>3.07</v>
      </c>
      <c r="T262" s="1144">
        <f>IFERROR(VLOOKUP(CONCATENATE($E262,$G262),'LAC 103'!$A$12:$O$95,13,FALSE),0)</f>
        <v>1.92</v>
      </c>
      <c r="U262" s="1144">
        <f>IFERROR(VLOOKUP(CONCATENATE($E262,$G262),'LAC 103'!$A$12:$O$95,14,FALSE),0)</f>
        <v>0</v>
      </c>
      <c r="V262" s="1144">
        <f>IFERROR(VLOOKUP(CONCATENATE($E262,$G262),'LAC 103'!$A$12:$O$95,15,FALSE),0)</f>
        <v>0</v>
      </c>
      <c r="W262" s="1145" t="str">
        <f>IFERROR(VLOOKUP(CONCATENATE($B262,$N262),'LAC 103'!$AI:$AQ,9,FALSE),"")</f>
        <v>Costs</v>
      </c>
      <c r="X262" s="1146">
        <f t="shared" si="60"/>
        <v>2.483156209074918</v>
      </c>
      <c r="Y262" s="1143">
        <f t="shared" si="61"/>
        <v>5174.8975397121294</v>
      </c>
      <c r="Z262" s="1147">
        <f t="shared" si="62"/>
        <v>6397.88</v>
      </c>
      <c r="AA262" s="1144">
        <f t="shared" si="63"/>
        <v>4001.2799999999997</v>
      </c>
      <c r="AB262" s="1144">
        <f t="shared" si="64"/>
        <v>0</v>
      </c>
      <c r="AC262" s="1144">
        <f t="shared" si="65"/>
        <v>0</v>
      </c>
      <c r="AD262" s="1148">
        <f t="shared" si="56"/>
        <v>5174.8975397121294</v>
      </c>
      <c r="AE262" s="1487">
        <v>0</v>
      </c>
      <c r="AF262" s="1145">
        <f t="shared" si="66"/>
        <v>5174.8975397121294</v>
      </c>
      <c r="AG262" s="1149">
        <f>IFERROR(VLOOKUP(CONCATENATE($L262,$N262),'Drop List'!$G$23:$K$87,2,FALSE),0)</f>
        <v>0</v>
      </c>
      <c r="AH262" s="1150">
        <f>IFERROR(VLOOKUP(CONCATENATE($L262,$N262),'Drop List'!$G$23:$K$87,3,FALSE),0)</f>
        <v>0</v>
      </c>
      <c r="AI262" s="1150">
        <f>IFERROR(VLOOKUP(CONCATENATE($L262,$N262),'Drop List'!$G$23:$K$87,4,FALSE),0)</f>
        <v>0</v>
      </c>
      <c r="AJ262" s="1151">
        <f>IFERROR(VLOOKUP(CONCATENATE($L262,$N262),'Drop List'!$G$23:$K$87,5,FALSE),0)</f>
        <v>0</v>
      </c>
      <c r="AK262" s="1152">
        <f t="shared" si="67"/>
        <v>0</v>
      </c>
      <c r="AL262" s="1153">
        <f t="shared" si="68"/>
        <v>0</v>
      </c>
      <c r="AM262" s="1153">
        <f t="shared" si="69"/>
        <v>0</v>
      </c>
      <c r="AN262" s="1145">
        <f t="shared" si="70"/>
        <v>0</v>
      </c>
      <c r="AO262" s="1154">
        <f t="shared" si="71"/>
        <v>0</v>
      </c>
      <c r="AP262" s="1147">
        <f t="shared" si="57"/>
        <v>5174.8975397121294</v>
      </c>
      <c r="AQ262" s="1144">
        <f t="shared" si="58"/>
        <v>0</v>
      </c>
      <c r="AR262" s="1146">
        <f t="shared" si="59"/>
        <v>5174.8975397121294</v>
      </c>
    </row>
    <row r="263" spans="1:44" x14ac:dyDescent="0.2">
      <c r="A263" s="1141" t="str">
        <f t="shared" si="72"/>
        <v>1504</v>
      </c>
      <c r="B263" s="1141" t="str">
        <f>IFERROR(VLOOKUP(A263,'LAC 103'!A:C,3,FALSE),"")</f>
        <v>OP</v>
      </c>
      <c r="C263" s="1478" t="str">
        <f>Info!$B$8</f>
        <v>00100</v>
      </c>
      <c r="D263" s="1474" t="s">
        <v>256</v>
      </c>
      <c r="E263" s="1474" t="s">
        <v>95</v>
      </c>
      <c r="F263" s="1478" t="s">
        <v>588</v>
      </c>
      <c r="G263" s="1478" t="s">
        <v>588</v>
      </c>
      <c r="H263" s="1474" t="s">
        <v>988</v>
      </c>
      <c r="I263" s="1478" t="s">
        <v>811</v>
      </c>
      <c r="J263" s="1478"/>
      <c r="K263" s="1475" t="s">
        <v>850</v>
      </c>
      <c r="L263" s="1474" t="s">
        <v>330</v>
      </c>
      <c r="M263" s="1476" t="s">
        <v>1699</v>
      </c>
      <c r="N263" s="1477" t="s">
        <v>1694</v>
      </c>
      <c r="O263" s="1479">
        <v>260</v>
      </c>
      <c r="P263" s="1479"/>
      <c r="Q263" s="1142">
        <f t="shared" si="73"/>
        <v>260</v>
      </c>
      <c r="R263" s="1143">
        <f>IFERROR(VLOOKUP(CONCATENATE(E263,G263),'LAC 103'!$A$12:$O$95,11,FALSE),0)</f>
        <v>2.483156209074918</v>
      </c>
      <c r="S263" s="1144">
        <f>IFERROR(VLOOKUP(CONCATENATE($E263,$G263),'LAC 103'!$A$12:$O$95,12,FALSE),0)</f>
        <v>3.07</v>
      </c>
      <c r="T263" s="1144">
        <f>IFERROR(VLOOKUP(CONCATENATE($E263,$G263),'LAC 103'!$A$12:$O$95,13,FALSE),0)</f>
        <v>1.92</v>
      </c>
      <c r="U263" s="1144">
        <f>IFERROR(VLOOKUP(CONCATENATE($E263,$G263),'LAC 103'!$A$12:$O$95,14,FALSE),0)</f>
        <v>0</v>
      </c>
      <c r="V263" s="1144">
        <f>IFERROR(VLOOKUP(CONCATENATE($E263,$G263),'LAC 103'!$A$12:$O$95,15,FALSE),0)</f>
        <v>0</v>
      </c>
      <c r="W263" s="1145" t="str">
        <f>IFERROR(VLOOKUP(CONCATENATE($B263,$N263),'LAC 103'!$AI:$AQ,9,FALSE),"")</f>
        <v>Costs</v>
      </c>
      <c r="X263" s="1146">
        <f t="shared" si="60"/>
        <v>2.483156209074918</v>
      </c>
      <c r="Y263" s="1143">
        <f t="shared" si="61"/>
        <v>645.62061435947862</v>
      </c>
      <c r="Z263" s="1147">
        <f t="shared" si="62"/>
        <v>798.19999999999993</v>
      </c>
      <c r="AA263" s="1144">
        <f t="shared" si="63"/>
        <v>499.2</v>
      </c>
      <c r="AB263" s="1144">
        <f t="shared" si="64"/>
        <v>0</v>
      </c>
      <c r="AC263" s="1144">
        <f t="shared" si="65"/>
        <v>0</v>
      </c>
      <c r="AD263" s="1148">
        <f t="shared" ref="AD263:AD326" si="74">Q263*X263</f>
        <v>645.62061435947862</v>
      </c>
      <c r="AE263" s="1487">
        <v>0</v>
      </c>
      <c r="AF263" s="1145">
        <f t="shared" si="66"/>
        <v>645.62061435947862</v>
      </c>
      <c r="AG263" s="1149">
        <f>IFERROR(VLOOKUP(CONCATENATE($L263,$N263),'Drop List'!$G$23:$K$87,2,FALSE),0)</f>
        <v>0</v>
      </c>
      <c r="AH263" s="1150">
        <f>IFERROR(VLOOKUP(CONCATENATE($L263,$N263),'Drop List'!$G$23:$K$87,3,FALSE),0)</f>
        <v>0</v>
      </c>
      <c r="AI263" s="1150">
        <f>IFERROR(VLOOKUP(CONCATENATE($L263,$N263),'Drop List'!$G$23:$K$87,4,FALSE),0)</f>
        <v>1</v>
      </c>
      <c r="AJ263" s="1151">
        <f>IFERROR(VLOOKUP(CONCATENATE($L263,$N263),'Drop List'!$G$23:$K$87,5,FALSE),0)</f>
        <v>0</v>
      </c>
      <c r="AK263" s="1152">
        <f t="shared" si="67"/>
        <v>0</v>
      </c>
      <c r="AL263" s="1153">
        <f t="shared" si="68"/>
        <v>0</v>
      </c>
      <c r="AM263" s="1153">
        <f t="shared" si="69"/>
        <v>645.62061435947862</v>
      </c>
      <c r="AN263" s="1145">
        <f t="shared" si="70"/>
        <v>0</v>
      </c>
      <c r="AO263" s="1154">
        <f t="shared" si="71"/>
        <v>645.62061435947862</v>
      </c>
      <c r="AP263" s="1147">
        <f t="shared" ref="AP263:AP326" si="75">IF($L263="14",$AF263,0)</f>
        <v>0</v>
      </c>
      <c r="AQ263" s="1144">
        <f t="shared" ref="AQ263:AQ326" si="76">IF($L263="15",$AF263,0)</f>
        <v>0</v>
      </c>
      <c r="AR263" s="1146">
        <f t="shared" ref="AR263:AR326" si="77">AO263+AP263+AQ263</f>
        <v>645.62061435947862</v>
      </c>
    </row>
    <row r="264" spans="1:44" x14ac:dyDescent="0.2">
      <c r="A264" s="1141" t="str">
        <f t="shared" si="72"/>
        <v>1504</v>
      </c>
      <c r="B264" s="1141" t="str">
        <f>IFERROR(VLOOKUP(A264,'LAC 103'!A:C,3,FALSE),"")</f>
        <v>OP</v>
      </c>
      <c r="C264" s="1478" t="str">
        <f>Info!$B$8</f>
        <v>00100</v>
      </c>
      <c r="D264" s="1474" t="s">
        <v>256</v>
      </c>
      <c r="E264" s="1474" t="s">
        <v>95</v>
      </c>
      <c r="F264" s="1478" t="s">
        <v>588</v>
      </c>
      <c r="G264" s="1478" t="s">
        <v>588</v>
      </c>
      <c r="H264" s="1474" t="s">
        <v>988</v>
      </c>
      <c r="I264" s="1478" t="s">
        <v>811</v>
      </c>
      <c r="J264" s="1478"/>
      <c r="K264" s="1475" t="s">
        <v>850</v>
      </c>
      <c r="L264" s="1474" t="s">
        <v>330</v>
      </c>
      <c r="M264" s="1476" t="s">
        <v>842</v>
      </c>
      <c r="N264" s="1477" t="s">
        <v>1692</v>
      </c>
      <c r="O264" s="1479">
        <v>3886</v>
      </c>
      <c r="P264" s="1479"/>
      <c r="Q264" s="1142">
        <f t="shared" si="73"/>
        <v>3886</v>
      </c>
      <c r="R264" s="1143">
        <f>IFERROR(VLOOKUP(CONCATENATE(E264,G264),'LAC 103'!$A$12:$O$95,11,FALSE),0)</f>
        <v>2.483156209074918</v>
      </c>
      <c r="S264" s="1144">
        <f>IFERROR(VLOOKUP(CONCATENATE($E264,$G264),'LAC 103'!$A$12:$O$95,12,FALSE),0)</f>
        <v>3.07</v>
      </c>
      <c r="T264" s="1144">
        <f>IFERROR(VLOOKUP(CONCATENATE($E264,$G264),'LAC 103'!$A$12:$O$95,13,FALSE),0)</f>
        <v>1.92</v>
      </c>
      <c r="U264" s="1144">
        <f>IFERROR(VLOOKUP(CONCATENATE($E264,$G264),'LAC 103'!$A$12:$O$95,14,FALSE),0)</f>
        <v>0</v>
      </c>
      <c r="V264" s="1144">
        <f>IFERROR(VLOOKUP(CONCATENATE($E264,$G264),'LAC 103'!$A$12:$O$95,15,FALSE),0)</f>
        <v>0</v>
      </c>
      <c r="W264" s="1145" t="str">
        <f>IFERROR(VLOOKUP(CONCATENATE($B264,$N264),'LAC 103'!$AI:$AQ,9,FALSE),"")</f>
        <v>Costs</v>
      </c>
      <c r="X264" s="1146">
        <f t="shared" ref="X264:X327" si="78">IF($W264="Costs",$R264,IF($W264="CMA",$S264,IF($W264="P.C.",$T264,IF($W264="SMA",$U264,$V264))))</f>
        <v>2.483156209074918</v>
      </c>
      <c r="Y264" s="1143">
        <f t="shared" ref="Y264:Y327" si="79">$Q264*R264</f>
        <v>9649.5450284651306</v>
      </c>
      <c r="Z264" s="1147">
        <f t="shared" ref="Z264:Z327" si="80">IF(S264=0,Y264,$Q264*S264)</f>
        <v>11930.019999999999</v>
      </c>
      <c r="AA264" s="1144">
        <f t="shared" ref="AA264:AA327" si="81">IF(T264=0,Y264,$Q264*T264)</f>
        <v>7461.12</v>
      </c>
      <c r="AB264" s="1144">
        <f t="shared" ref="AB264:AB327" si="82">$Q264*U264</f>
        <v>0</v>
      </c>
      <c r="AC264" s="1144">
        <f t="shared" ref="AC264:AC327" si="83">$Q264*V264</f>
        <v>0</v>
      </c>
      <c r="AD264" s="1148">
        <f t="shared" si="74"/>
        <v>9649.5450284651306</v>
      </c>
      <c r="AE264" s="1487">
        <v>0</v>
      </c>
      <c r="AF264" s="1145">
        <f t="shared" ref="AF264:AF327" si="84">AD264-AE264</f>
        <v>9649.5450284651306</v>
      </c>
      <c r="AG264" s="1149">
        <f>IFERROR(VLOOKUP(CONCATENATE($L264,$N264),'Drop List'!$G$23:$K$87,2,FALSE),0)</f>
        <v>0</v>
      </c>
      <c r="AH264" s="1150">
        <f>IFERROR(VLOOKUP(CONCATENATE($L264,$N264),'Drop List'!$G$23:$K$87,3,FALSE),0)</f>
        <v>0</v>
      </c>
      <c r="AI264" s="1150">
        <f>IFERROR(VLOOKUP(CONCATENATE($L264,$N264),'Drop List'!$G$23:$K$87,4,FALSE),0)</f>
        <v>1</v>
      </c>
      <c r="AJ264" s="1151">
        <f>IFERROR(VLOOKUP(CONCATENATE($L264,$N264),'Drop List'!$G$23:$K$87,5,FALSE),0)</f>
        <v>0</v>
      </c>
      <c r="AK264" s="1152">
        <f t="shared" ref="AK264:AK327" si="85">IFERROR($AF264*AG264,0)</f>
        <v>0</v>
      </c>
      <c r="AL264" s="1153">
        <f t="shared" ref="AL264:AL327" si="86">IFERROR($AF264*AH264,0)</f>
        <v>0</v>
      </c>
      <c r="AM264" s="1153">
        <f t="shared" ref="AM264:AM327" si="87">IFERROR($AF264*AI264,0)</f>
        <v>9649.5450284651306</v>
      </c>
      <c r="AN264" s="1145">
        <f t="shared" ref="AN264:AN327" si="88">IFERROR($AF264*AJ264,0)</f>
        <v>0</v>
      </c>
      <c r="AO264" s="1154">
        <f t="shared" ref="AO264:AO327" si="89">SUM(AK264:AN264)</f>
        <v>9649.5450284651306</v>
      </c>
      <c r="AP264" s="1147">
        <f t="shared" si="75"/>
        <v>0</v>
      </c>
      <c r="AQ264" s="1144">
        <f t="shared" si="76"/>
        <v>0</v>
      </c>
      <c r="AR264" s="1146">
        <f t="shared" si="77"/>
        <v>9649.5450284651306</v>
      </c>
    </row>
    <row r="265" spans="1:44" x14ac:dyDescent="0.2">
      <c r="A265" s="1141" t="str">
        <f t="shared" si="72"/>
        <v>1504</v>
      </c>
      <c r="B265" s="1141" t="str">
        <f>IFERROR(VLOOKUP(A265,'LAC 103'!A:C,3,FALSE),"")</f>
        <v>OP</v>
      </c>
      <c r="C265" s="1478" t="str">
        <f>Info!$B$8</f>
        <v>00100</v>
      </c>
      <c r="D265" s="1474" t="s">
        <v>256</v>
      </c>
      <c r="E265" s="1474" t="s">
        <v>95</v>
      </c>
      <c r="F265" s="1478" t="s">
        <v>588</v>
      </c>
      <c r="G265" s="1478" t="s">
        <v>588</v>
      </c>
      <c r="H265" s="1474" t="s">
        <v>988</v>
      </c>
      <c r="I265" s="1478" t="s">
        <v>811</v>
      </c>
      <c r="J265" s="1478"/>
      <c r="K265" s="1475" t="s">
        <v>850</v>
      </c>
      <c r="L265" s="1474" t="s">
        <v>330</v>
      </c>
      <c r="M265" s="1476" t="s">
        <v>1698</v>
      </c>
      <c r="N265" s="1477" t="s">
        <v>1693</v>
      </c>
      <c r="O265" s="1479">
        <v>3418</v>
      </c>
      <c r="P265" s="1479"/>
      <c r="Q265" s="1142">
        <f t="shared" si="73"/>
        <v>3418</v>
      </c>
      <c r="R265" s="1143">
        <f>IFERROR(VLOOKUP(CONCATENATE(E265,G265),'LAC 103'!$A$12:$O$95,11,FALSE),0)</f>
        <v>2.483156209074918</v>
      </c>
      <c r="S265" s="1144">
        <f>IFERROR(VLOOKUP(CONCATENATE($E265,$G265),'LAC 103'!$A$12:$O$95,12,FALSE),0)</f>
        <v>3.07</v>
      </c>
      <c r="T265" s="1144">
        <f>IFERROR(VLOOKUP(CONCATENATE($E265,$G265),'LAC 103'!$A$12:$O$95,13,FALSE),0)</f>
        <v>1.92</v>
      </c>
      <c r="U265" s="1144">
        <f>IFERROR(VLOOKUP(CONCATENATE($E265,$G265),'LAC 103'!$A$12:$O$95,14,FALSE),0)</f>
        <v>0</v>
      </c>
      <c r="V265" s="1144">
        <f>IFERROR(VLOOKUP(CONCATENATE($E265,$G265),'LAC 103'!$A$12:$O$95,15,FALSE),0)</f>
        <v>0</v>
      </c>
      <c r="W265" s="1145" t="str">
        <f>IFERROR(VLOOKUP(CONCATENATE($B265,$N265),'LAC 103'!$AI:$AQ,9,FALSE),"")</f>
        <v>Costs</v>
      </c>
      <c r="X265" s="1146">
        <f t="shared" si="78"/>
        <v>2.483156209074918</v>
      </c>
      <c r="Y265" s="1143">
        <f t="shared" si="79"/>
        <v>8487.4279226180697</v>
      </c>
      <c r="Z265" s="1147">
        <f t="shared" si="80"/>
        <v>10493.26</v>
      </c>
      <c r="AA265" s="1144">
        <f t="shared" si="81"/>
        <v>6562.5599999999995</v>
      </c>
      <c r="AB265" s="1144">
        <f t="shared" si="82"/>
        <v>0</v>
      </c>
      <c r="AC265" s="1144">
        <f t="shared" si="83"/>
        <v>0</v>
      </c>
      <c r="AD265" s="1148">
        <f t="shared" si="74"/>
        <v>8487.4279226180697</v>
      </c>
      <c r="AE265" s="1487">
        <v>0</v>
      </c>
      <c r="AF265" s="1145">
        <f t="shared" si="84"/>
        <v>8487.4279226180697</v>
      </c>
      <c r="AG265" s="1149">
        <f>IFERROR(VLOOKUP(CONCATENATE($L265,$N265),'Drop List'!$G$23:$K$87,2,FALSE),0)</f>
        <v>0</v>
      </c>
      <c r="AH265" s="1150">
        <f>IFERROR(VLOOKUP(CONCATENATE($L265,$N265),'Drop List'!$G$23:$K$87,3,FALSE),0)</f>
        <v>0</v>
      </c>
      <c r="AI265" s="1150">
        <f>IFERROR(VLOOKUP(CONCATENATE($L265,$N265),'Drop List'!$G$23:$K$87,4,FALSE),0)</f>
        <v>1</v>
      </c>
      <c r="AJ265" s="1151">
        <f>IFERROR(VLOOKUP(CONCATENATE($L265,$N265),'Drop List'!$G$23:$K$87,5,FALSE),0)</f>
        <v>0</v>
      </c>
      <c r="AK265" s="1152">
        <f t="shared" si="85"/>
        <v>0</v>
      </c>
      <c r="AL265" s="1153">
        <f t="shared" si="86"/>
        <v>0</v>
      </c>
      <c r="AM265" s="1153">
        <f t="shared" si="87"/>
        <v>8487.4279226180697</v>
      </c>
      <c r="AN265" s="1145">
        <f t="shared" si="88"/>
        <v>0</v>
      </c>
      <c r="AO265" s="1154">
        <f t="shared" si="89"/>
        <v>8487.4279226180697</v>
      </c>
      <c r="AP265" s="1147">
        <f t="shared" si="75"/>
        <v>0</v>
      </c>
      <c r="AQ265" s="1144">
        <f t="shared" si="76"/>
        <v>0</v>
      </c>
      <c r="AR265" s="1146">
        <f t="shared" si="77"/>
        <v>8487.4279226180697</v>
      </c>
    </row>
    <row r="266" spans="1:44" x14ac:dyDescent="0.2">
      <c r="A266" s="1141" t="str">
        <f t="shared" si="72"/>
        <v>1504</v>
      </c>
      <c r="B266" s="1141" t="str">
        <f>IFERROR(VLOOKUP(A266,'LAC 103'!A:C,3,FALSE),"")</f>
        <v>OP</v>
      </c>
      <c r="C266" s="1478" t="str">
        <f>Info!$B$8</f>
        <v>00100</v>
      </c>
      <c r="D266" s="1474" t="s">
        <v>256</v>
      </c>
      <c r="E266" s="1474" t="s">
        <v>95</v>
      </c>
      <c r="F266" s="1478" t="s">
        <v>588</v>
      </c>
      <c r="G266" s="1478" t="s">
        <v>588</v>
      </c>
      <c r="H266" s="1474" t="s">
        <v>988</v>
      </c>
      <c r="I266" s="1478" t="s">
        <v>811</v>
      </c>
      <c r="J266" s="1478"/>
      <c r="K266" s="1475" t="s">
        <v>851</v>
      </c>
      <c r="L266" s="1474" t="s">
        <v>584</v>
      </c>
      <c r="M266" s="1476" t="s">
        <v>1699</v>
      </c>
      <c r="N266" s="1477" t="s">
        <v>1694</v>
      </c>
      <c r="O266" s="1479">
        <v>64001</v>
      </c>
      <c r="P266" s="1479"/>
      <c r="Q266" s="1142">
        <f t="shared" si="73"/>
        <v>64001</v>
      </c>
      <c r="R266" s="1143">
        <f>IFERROR(VLOOKUP(CONCATENATE(E266,G266),'LAC 103'!$A$12:$O$95,11,FALSE),0)</f>
        <v>2.483156209074918</v>
      </c>
      <c r="S266" s="1144">
        <f>IFERROR(VLOOKUP(CONCATENATE($E266,$G266),'LAC 103'!$A$12:$O$95,12,FALSE),0)</f>
        <v>3.07</v>
      </c>
      <c r="T266" s="1144">
        <f>IFERROR(VLOOKUP(CONCATENATE($E266,$G266),'LAC 103'!$A$12:$O$95,13,FALSE),0)</f>
        <v>1.92</v>
      </c>
      <c r="U266" s="1144">
        <f>IFERROR(VLOOKUP(CONCATENATE($E266,$G266),'LAC 103'!$A$12:$O$95,14,FALSE),0)</f>
        <v>0</v>
      </c>
      <c r="V266" s="1144">
        <f>IFERROR(VLOOKUP(CONCATENATE($E266,$G266),'LAC 103'!$A$12:$O$95,15,FALSE),0)</f>
        <v>0</v>
      </c>
      <c r="W266" s="1145" t="str">
        <f>IFERROR(VLOOKUP(CONCATENATE($B266,$N266),'LAC 103'!$AI:$AQ,9,FALSE),"")</f>
        <v>Costs</v>
      </c>
      <c r="X266" s="1146">
        <f t="shared" si="78"/>
        <v>2.483156209074918</v>
      </c>
      <c r="Y266" s="1143">
        <f t="shared" si="79"/>
        <v>158924.48053700384</v>
      </c>
      <c r="Z266" s="1147">
        <f t="shared" si="80"/>
        <v>196483.06999999998</v>
      </c>
      <c r="AA266" s="1144">
        <f t="shared" si="81"/>
        <v>122881.92</v>
      </c>
      <c r="AB266" s="1144">
        <f t="shared" si="82"/>
        <v>0</v>
      </c>
      <c r="AC266" s="1144">
        <f t="shared" si="83"/>
        <v>0</v>
      </c>
      <c r="AD266" s="1148">
        <f t="shared" si="74"/>
        <v>158924.48053700384</v>
      </c>
      <c r="AE266" s="1487">
        <v>0</v>
      </c>
      <c r="AF266" s="1145">
        <f t="shared" si="84"/>
        <v>158924.48053700384</v>
      </c>
      <c r="AG266" s="1149">
        <f>IFERROR(VLOOKUP(CONCATENATE($L266,$N266),'Drop List'!$G$23:$K$87,2,FALSE),0)</f>
        <v>0.56200000000000006</v>
      </c>
      <c r="AH266" s="1150">
        <f>IFERROR(VLOOKUP(CONCATENATE($L266,$N266),'Drop List'!$G$23:$K$87,3,FALSE),0)</f>
        <v>0</v>
      </c>
      <c r="AI266" s="1150">
        <f>IFERROR(VLOOKUP(CONCATENATE($L266,$N266),'Drop List'!$G$23:$K$87,4,FALSE),0)</f>
        <v>0</v>
      </c>
      <c r="AJ266" s="1151">
        <f>IFERROR(VLOOKUP(CONCATENATE($L266,$N266),'Drop List'!$G$23:$K$87,5,FALSE),0)</f>
        <v>0.43799999999999994</v>
      </c>
      <c r="AK266" s="1152">
        <f t="shared" si="85"/>
        <v>89315.558061796168</v>
      </c>
      <c r="AL266" s="1153">
        <f t="shared" si="86"/>
        <v>0</v>
      </c>
      <c r="AM266" s="1153">
        <f t="shared" si="87"/>
        <v>0</v>
      </c>
      <c r="AN266" s="1145">
        <f t="shared" si="88"/>
        <v>69608.92247520767</v>
      </c>
      <c r="AO266" s="1154">
        <f t="shared" si="89"/>
        <v>158924.48053700384</v>
      </c>
      <c r="AP266" s="1147">
        <f t="shared" si="75"/>
        <v>0</v>
      </c>
      <c r="AQ266" s="1144">
        <f t="shared" si="76"/>
        <v>0</v>
      </c>
      <c r="AR266" s="1146">
        <f t="shared" si="77"/>
        <v>158924.48053700384</v>
      </c>
    </row>
    <row r="267" spans="1:44" x14ac:dyDescent="0.2">
      <c r="A267" s="1141" t="str">
        <f t="shared" si="72"/>
        <v>1504</v>
      </c>
      <c r="B267" s="1141" t="str">
        <f>IFERROR(VLOOKUP(A267,'LAC 103'!A:C,3,FALSE),"")</f>
        <v>OP</v>
      </c>
      <c r="C267" s="1478" t="str">
        <f>Info!$B$8</f>
        <v>00100</v>
      </c>
      <c r="D267" s="1474" t="s">
        <v>256</v>
      </c>
      <c r="E267" s="1474" t="s">
        <v>95</v>
      </c>
      <c r="F267" s="1478" t="s">
        <v>588</v>
      </c>
      <c r="G267" s="1478" t="s">
        <v>588</v>
      </c>
      <c r="H267" s="1474" t="s">
        <v>988</v>
      </c>
      <c r="I267" s="1478" t="s">
        <v>811</v>
      </c>
      <c r="J267" s="1478"/>
      <c r="K267" s="1475" t="s">
        <v>851</v>
      </c>
      <c r="L267" s="1474" t="s">
        <v>584</v>
      </c>
      <c r="M267" s="1476" t="s">
        <v>841</v>
      </c>
      <c r="N267" s="1477" t="s">
        <v>1695</v>
      </c>
      <c r="O267" s="1479">
        <v>31919</v>
      </c>
      <c r="P267" s="1479"/>
      <c r="Q267" s="1142">
        <f t="shared" si="73"/>
        <v>31919</v>
      </c>
      <c r="R267" s="1143">
        <f>IFERROR(VLOOKUP(CONCATENATE(E267,G267),'LAC 103'!$A$12:$O$95,11,FALSE),0)</f>
        <v>2.483156209074918</v>
      </c>
      <c r="S267" s="1144">
        <f>IFERROR(VLOOKUP(CONCATENATE($E267,$G267),'LAC 103'!$A$12:$O$95,12,FALSE),0)</f>
        <v>3.07</v>
      </c>
      <c r="T267" s="1144">
        <f>IFERROR(VLOOKUP(CONCATENATE($E267,$G267),'LAC 103'!$A$12:$O$95,13,FALSE),0)</f>
        <v>1.92</v>
      </c>
      <c r="U267" s="1144">
        <f>IFERROR(VLOOKUP(CONCATENATE($E267,$G267),'LAC 103'!$A$12:$O$95,14,FALSE),0)</f>
        <v>0</v>
      </c>
      <c r="V267" s="1144">
        <f>IFERROR(VLOOKUP(CONCATENATE($E267,$G267),'LAC 103'!$A$12:$O$95,15,FALSE),0)</f>
        <v>0</v>
      </c>
      <c r="W267" s="1145" t="str">
        <f>IFERROR(VLOOKUP(CONCATENATE($B267,$N267),'LAC 103'!$AI:$AQ,9,FALSE),"")</f>
        <v>Costs</v>
      </c>
      <c r="X267" s="1146">
        <f t="shared" si="78"/>
        <v>2.483156209074918</v>
      </c>
      <c r="Y267" s="1143">
        <f t="shared" si="79"/>
        <v>79259.863037462303</v>
      </c>
      <c r="Z267" s="1147">
        <f t="shared" si="80"/>
        <v>97991.33</v>
      </c>
      <c r="AA267" s="1144">
        <f t="shared" si="81"/>
        <v>61284.479999999996</v>
      </c>
      <c r="AB267" s="1144">
        <f t="shared" si="82"/>
        <v>0</v>
      </c>
      <c r="AC267" s="1144">
        <f t="shared" si="83"/>
        <v>0</v>
      </c>
      <c r="AD267" s="1148">
        <f t="shared" si="74"/>
        <v>79259.863037462303</v>
      </c>
      <c r="AE267" s="1487">
        <v>0</v>
      </c>
      <c r="AF267" s="1145">
        <f t="shared" si="84"/>
        <v>79259.863037462303</v>
      </c>
      <c r="AG267" s="1149">
        <f>IFERROR(VLOOKUP(CONCATENATE($L267,$N267),'Drop List'!$G$23:$K$87,2,FALSE),0)</f>
        <v>0.55000000000000004</v>
      </c>
      <c r="AH267" s="1150">
        <f>IFERROR(VLOOKUP(CONCATENATE($L267,$N267),'Drop List'!$G$23:$K$87,3,FALSE),0)</f>
        <v>0</v>
      </c>
      <c r="AI267" s="1150">
        <f>IFERROR(VLOOKUP(CONCATENATE($L267,$N267),'Drop List'!$G$23:$K$87,4,FALSE),0)</f>
        <v>0</v>
      </c>
      <c r="AJ267" s="1151">
        <f>IFERROR(VLOOKUP(CONCATENATE($L267,$N267),'Drop List'!$G$23:$K$87,5,FALSE),0)</f>
        <v>0.44999999999999996</v>
      </c>
      <c r="AK267" s="1152">
        <f t="shared" si="85"/>
        <v>43592.924670604269</v>
      </c>
      <c r="AL267" s="1153">
        <f t="shared" si="86"/>
        <v>0</v>
      </c>
      <c r="AM267" s="1153">
        <f t="shared" si="87"/>
        <v>0</v>
      </c>
      <c r="AN267" s="1145">
        <f t="shared" si="88"/>
        <v>35666.938366858034</v>
      </c>
      <c r="AO267" s="1154">
        <f t="shared" si="89"/>
        <v>79259.863037462303</v>
      </c>
      <c r="AP267" s="1147">
        <f t="shared" si="75"/>
        <v>0</v>
      </c>
      <c r="AQ267" s="1144">
        <f t="shared" si="76"/>
        <v>0</v>
      </c>
      <c r="AR267" s="1146">
        <f t="shared" si="77"/>
        <v>79259.863037462303</v>
      </c>
    </row>
    <row r="268" spans="1:44" x14ac:dyDescent="0.2">
      <c r="A268" s="1141" t="str">
        <f t="shared" si="72"/>
        <v>1504</v>
      </c>
      <c r="B268" s="1141" t="str">
        <f>IFERROR(VLOOKUP(A268,'LAC 103'!A:C,3,FALSE),"")</f>
        <v>OP</v>
      </c>
      <c r="C268" s="1478" t="str">
        <f>Info!$B$8</f>
        <v>00100</v>
      </c>
      <c r="D268" s="1474" t="s">
        <v>256</v>
      </c>
      <c r="E268" s="1474" t="s">
        <v>95</v>
      </c>
      <c r="F268" s="1478" t="s">
        <v>588</v>
      </c>
      <c r="G268" s="1478" t="s">
        <v>588</v>
      </c>
      <c r="H268" s="1474" t="s">
        <v>988</v>
      </c>
      <c r="I268" s="1478" t="s">
        <v>811</v>
      </c>
      <c r="J268" s="1478"/>
      <c r="K268" s="1475" t="s">
        <v>851</v>
      </c>
      <c r="L268" s="1474" t="s">
        <v>584</v>
      </c>
      <c r="M268" s="1476" t="s">
        <v>840</v>
      </c>
      <c r="N268" s="1477" t="s">
        <v>1700</v>
      </c>
      <c r="O268" s="1479">
        <v>33584</v>
      </c>
      <c r="P268" s="1479"/>
      <c r="Q268" s="1142">
        <f t="shared" si="73"/>
        <v>33584</v>
      </c>
      <c r="R268" s="1143">
        <f>IFERROR(VLOOKUP(CONCATENATE(E268,G268),'LAC 103'!$A$12:$O$95,11,FALSE),0)</f>
        <v>2.483156209074918</v>
      </c>
      <c r="S268" s="1144">
        <f>IFERROR(VLOOKUP(CONCATENATE($E268,$G268),'LAC 103'!$A$12:$O$95,12,FALSE),0)</f>
        <v>3.07</v>
      </c>
      <c r="T268" s="1144">
        <f>IFERROR(VLOOKUP(CONCATENATE($E268,$G268),'LAC 103'!$A$12:$O$95,13,FALSE),0)</f>
        <v>1.92</v>
      </c>
      <c r="U268" s="1144">
        <f>IFERROR(VLOOKUP(CONCATENATE($E268,$G268),'LAC 103'!$A$12:$O$95,14,FALSE),0)</f>
        <v>0</v>
      </c>
      <c r="V268" s="1144">
        <f>IFERROR(VLOOKUP(CONCATENATE($E268,$G268),'LAC 103'!$A$12:$O$95,15,FALSE),0)</f>
        <v>0</v>
      </c>
      <c r="W268" s="1145" t="str">
        <f>IFERROR(VLOOKUP(CONCATENATE($B268,$N268),'LAC 103'!$AI:$AQ,9,FALSE),"")</f>
        <v>P.C.</v>
      </c>
      <c r="X268" s="1146">
        <f t="shared" si="78"/>
        <v>1.92</v>
      </c>
      <c r="Y268" s="1143">
        <f t="shared" si="79"/>
        <v>83394.318125572041</v>
      </c>
      <c r="Z268" s="1147">
        <f t="shared" si="80"/>
        <v>103102.87999999999</v>
      </c>
      <c r="AA268" s="1144">
        <f t="shared" si="81"/>
        <v>64481.279999999999</v>
      </c>
      <c r="AB268" s="1144">
        <f t="shared" si="82"/>
        <v>0</v>
      </c>
      <c r="AC268" s="1144">
        <f t="shared" si="83"/>
        <v>0</v>
      </c>
      <c r="AD268" s="1148">
        <f t="shared" si="74"/>
        <v>64481.279999999999</v>
      </c>
      <c r="AE268" s="1487">
        <v>0</v>
      </c>
      <c r="AF268" s="1145">
        <f t="shared" si="84"/>
        <v>64481.279999999999</v>
      </c>
      <c r="AG268" s="1149">
        <f>IFERROR(VLOOKUP(CONCATENATE($L268,$N268),'Drop List'!$G$23:$K$87,2,FALSE),0)</f>
        <v>0.55000000000000004</v>
      </c>
      <c r="AH268" s="1150">
        <f>IFERROR(VLOOKUP(CONCATENATE($L268,$N268),'Drop List'!$G$23:$K$87,3,FALSE),0)</f>
        <v>0</v>
      </c>
      <c r="AI268" s="1150">
        <f>IFERROR(VLOOKUP(CONCATENATE($L268,$N268),'Drop List'!$G$23:$K$87,4,FALSE),0)</f>
        <v>0</v>
      </c>
      <c r="AJ268" s="1151">
        <f>IFERROR(VLOOKUP(CONCATENATE($L268,$N268),'Drop List'!$G$23:$K$87,5,FALSE),0)</f>
        <v>0.44999999999999996</v>
      </c>
      <c r="AK268" s="1152">
        <f t="shared" si="85"/>
        <v>35464.704000000005</v>
      </c>
      <c r="AL268" s="1153">
        <f t="shared" si="86"/>
        <v>0</v>
      </c>
      <c r="AM268" s="1153">
        <f t="shared" si="87"/>
        <v>0</v>
      </c>
      <c r="AN268" s="1145">
        <f t="shared" si="88"/>
        <v>29016.575999999997</v>
      </c>
      <c r="AO268" s="1154">
        <f t="shared" si="89"/>
        <v>64481.279999999999</v>
      </c>
      <c r="AP268" s="1147">
        <f t="shared" si="75"/>
        <v>0</v>
      </c>
      <c r="AQ268" s="1144">
        <f t="shared" si="76"/>
        <v>0</v>
      </c>
      <c r="AR268" s="1146">
        <f t="shared" si="77"/>
        <v>64481.279999999999</v>
      </c>
    </row>
    <row r="269" spans="1:44" x14ac:dyDescent="0.2">
      <c r="A269" s="1141" t="str">
        <f t="shared" si="72"/>
        <v>1504</v>
      </c>
      <c r="B269" s="1141" t="str">
        <f>IFERROR(VLOOKUP(A269,'LAC 103'!A:C,3,FALSE),"")</f>
        <v>OP</v>
      </c>
      <c r="C269" s="1478" t="str">
        <f>Info!$B$8</f>
        <v>00100</v>
      </c>
      <c r="D269" s="1474" t="s">
        <v>256</v>
      </c>
      <c r="E269" s="1474" t="s">
        <v>95</v>
      </c>
      <c r="F269" s="1478" t="s">
        <v>588</v>
      </c>
      <c r="G269" s="1478" t="s">
        <v>588</v>
      </c>
      <c r="H269" s="1474" t="s">
        <v>988</v>
      </c>
      <c r="I269" s="1478" t="s">
        <v>811</v>
      </c>
      <c r="J269" s="1478"/>
      <c r="K269" s="1475" t="s">
        <v>851</v>
      </c>
      <c r="L269" s="1474" t="s">
        <v>584</v>
      </c>
      <c r="M269" s="1476" t="s">
        <v>842</v>
      </c>
      <c r="N269" s="1477" t="s">
        <v>1692</v>
      </c>
      <c r="O269" s="1479">
        <v>67809</v>
      </c>
      <c r="P269" s="1479"/>
      <c r="Q269" s="1142">
        <f t="shared" si="73"/>
        <v>67809</v>
      </c>
      <c r="R269" s="1143">
        <f>IFERROR(VLOOKUP(CONCATENATE(E269,G269),'LAC 103'!$A$12:$O$95,11,FALSE),0)</f>
        <v>2.483156209074918</v>
      </c>
      <c r="S269" s="1144">
        <f>IFERROR(VLOOKUP(CONCATENATE($E269,$G269),'LAC 103'!$A$12:$O$95,12,FALSE),0)</f>
        <v>3.07</v>
      </c>
      <c r="T269" s="1144">
        <f>IFERROR(VLOOKUP(CONCATENATE($E269,$G269),'LAC 103'!$A$12:$O$95,13,FALSE),0)</f>
        <v>1.92</v>
      </c>
      <c r="U269" s="1144">
        <f>IFERROR(VLOOKUP(CONCATENATE($E269,$G269),'LAC 103'!$A$12:$O$95,14,FALSE),0)</f>
        <v>0</v>
      </c>
      <c r="V269" s="1144">
        <f>IFERROR(VLOOKUP(CONCATENATE($E269,$G269),'LAC 103'!$A$12:$O$95,15,FALSE),0)</f>
        <v>0</v>
      </c>
      <c r="W269" s="1145" t="str">
        <f>IFERROR(VLOOKUP(CONCATENATE($B269,$N269),'LAC 103'!$AI:$AQ,9,FALSE),"")</f>
        <v>Costs</v>
      </c>
      <c r="X269" s="1146">
        <f t="shared" si="78"/>
        <v>2.483156209074918</v>
      </c>
      <c r="Y269" s="1143">
        <f t="shared" si="79"/>
        <v>168380.33938116112</v>
      </c>
      <c r="Z269" s="1147">
        <f t="shared" si="80"/>
        <v>208173.62999999998</v>
      </c>
      <c r="AA269" s="1144">
        <f t="shared" si="81"/>
        <v>130193.28</v>
      </c>
      <c r="AB269" s="1144">
        <f t="shared" si="82"/>
        <v>0</v>
      </c>
      <c r="AC269" s="1144">
        <f t="shared" si="83"/>
        <v>0</v>
      </c>
      <c r="AD269" s="1148">
        <f t="shared" si="74"/>
        <v>168380.33938116112</v>
      </c>
      <c r="AE269" s="1487">
        <v>0</v>
      </c>
      <c r="AF269" s="1145">
        <f t="shared" si="84"/>
        <v>168380.33938116112</v>
      </c>
      <c r="AG269" s="1149">
        <f>IFERROR(VLOOKUP(CONCATENATE($L269,$N269),'Drop List'!$G$23:$K$87,2,FALSE),0)</f>
        <v>0.56200000000000006</v>
      </c>
      <c r="AH269" s="1150">
        <f>IFERROR(VLOOKUP(CONCATENATE($L269,$N269),'Drop List'!$G$23:$K$87,3,FALSE),0)</f>
        <v>0</v>
      </c>
      <c r="AI269" s="1150">
        <f>IFERROR(VLOOKUP(CONCATENATE($L269,$N269),'Drop List'!$G$23:$K$87,4,FALSE),0)</f>
        <v>0</v>
      </c>
      <c r="AJ269" s="1151">
        <f>IFERROR(VLOOKUP(CONCATENATE($L269,$N269),'Drop List'!$G$23:$K$87,5,FALSE),0)</f>
        <v>0.43799999999999994</v>
      </c>
      <c r="AK269" s="1152">
        <f t="shared" si="85"/>
        <v>94629.75073221256</v>
      </c>
      <c r="AL269" s="1153">
        <f t="shared" si="86"/>
        <v>0</v>
      </c>
      <c r="AM269" s="1153">
        <f t="shared" si="87"/>
        <v>0</v>
      </c>
      <c r="AN269" s="1145">
        <f t="shared" si="88"/>
        <v>73750.588648948557</v>
      </c>
      <c r="AO269" s="1154">
        <f t="shared" si="89"/>
        <v>168380.33938116112</v>
      </c>
      <c r="AP269" s="1147">
        <f t="shared" si="75"/>
        <v>0</v>
      </c>
      <c r="AQ269" s="1144">
        <f t="shared" si="76"/>
        <v>0</v>
      </c>
      <c r="AR269" s="1146">
        <f t="shared" si="77"/>
        <v>168380.33938116112</v>
      </c>
    </row>
    <row r="270" spans="1:44" x14ac:dyDescent="0.2">
      <c r="A270" s="1141" t="str">
        <f t="shared" si="72"/>
        <v>1504</v>
      </c>
      <c r="B270" s="1141" t="str">
        <f>IFERROR(VLOOKUP(A270,'LAC 103'!A:C,3,FALSE),"")</f>
        <v>OP</v>
      </c>
      <c r="C270" s="1478" t="str">
        <f>Info!$B$8</f>
        <v>00100</v>
      </c>
      <c r="D270" s="1474" t="s">
        <v>256</v>
      </c>
      <c r="E270" s="1474" t="s">
        <v>95</v>
      </c>
      <c r="F270" s="1478" t="s">
        <v>588</v>
      </c>
      <c r="G270" s="1478" t="s">
        <v>588</v>
      </c>
      <c r="H270" s="1474" t="s">
        <v>988</v>
      </c>
      <c r="I270" s="1478" t="s">
        <v>811</v>
      </c>
      <c r="J270" s="1478"/>
      <c r="K270" s="1475" t="s">
        <v>851</v>
      </c>
      <c r="L270" s="1474" t="s">
        <v>584</v>
      </c>
      <c r="M270" s="1476" t="s">
        <v>1698</v>
      </c>
      <c r="N270" s="1477" t="s">
        <v>1693</v>
      </c>
      <c r="O270" s="1479">
        <v>61837</v>
      </c>
      <c r="P270" s="1479"/>
      <c r="Q270" s="1142">
        <f t="shared" si="73"/>
        <v>61837</v>
      </c>
      <c r="R270" s="1143">
        <f>IFERROR(VLOOKUP(CONCATENATE(E270,G270),'LAC 103'!$A$12:$O$95,11,FALSE),0)</f>
        <v>2.483156209074918</v>
      </c>
      <c r="S270" s="1144">
        <f>IFERROR(VLOOKUP(CONCATENATE($E270,$G270),'LAC 103'!$A$12:$O$95,12,FALSE),0)</f>
        <v>3.07</v>
      </c>
      <c r="T270" s="1144">
        <f>IFERROR(VLOOKUP(CONCATENATE($E270,$G270),'LAC 103'!$A$12:$O$95,13,FALSE),0)</f>
        <v>1.92</v>
      </c>
      <c r="U270" s="1144">
        <f>IFERROR(VLOOKUP(CONCATENATE($E270,$G270),'LAC 103'!$A$12:$O$95,14,FALSE),0)</f>
        <v>0</v>
      </c>
      <c r="V270" s="1144">
        <f>IFERROR(VLOOKUP(CONCATENATE($E270,$G270),'LAC 103'!$A$12:$O$95,15,FALSE),0)</f>
        <v>0</v>
      </c>
      <c r="W270" s="1145" t="str">
        <f>IFERROR(VLOOKUP(CONCATENATE($B270,$N270),'LAC 103'!$AI:$AQ,9,FALSE),"")</f>
        <v>Costs</v>
      </c>
      <c r="X270" s="1146">
        <f t="shared" si="78"/>
        <v>2.483156209074918</v>
      </c>
      <c r="Y270" s="1143">
        <f t="shared" si="79"/>
        <v>153550.93050056571</v>
      </c>
      <c r="Z270" s="1147">
        <f t="shared" si="80"/>
        <v>189839.59</v>
      </c>
      <c r="AA270" s="1144">
        <f t="shared" si="81"/>
        <v>118727.03999999999</v>
      </c>
      <c r="AB270" s="1144">
        <f t="shared" si="82"/>
        <v>0</v>
      </c>
      <c r="AC270" s="1144">
        <f t="shared" si="83"/>
        <v>0</v>
      </c>
      <c r="AD270" s="1148">
        <f t="shared" si="74"/>
        <v>153550.93050056571</v>
      </c>
      <c r="AE270" s="1487">
        <v>0</v>
      </c>
      <c r="AF270" s="1145">
        <f t="shared" si="84"/>
        <v>153550.93050056571</v>
      </c>
      <c r="AG270" s="1149">
        <f>IFERROR(VLOOKUP(CONCATENATE($L270,$N270),'Drop List'!$G$23:$K$87,2,FALSE),0)</f>
        <v>0.56200000000000006</v>
      </c>
      <c r="AH270" s="1150">
        <f>IFERROR(VLOOKUP(CONCATENATE($L270,$N270),'Drop List'!$G$23:$K$87,3,FALSE),0)</f>
        <v>0</v>
      </c>
      <c r="AI270" s="1150">
        <f>IFERROR(VLOOKUP(CONCATENATE($L270,$N270),'Drop List'!$G$23:$K$87,4,FALSE),0)</f>
        <v>0</v>
      </c>
      <c r="AJ270" s="1151">
        <f>IFERROR(VLOOKUP(CONCATENATE($L270,$N270),'Drop List'!$G$23:$K$87,5,FALSE),0)</f>
        <v>0.43799999999999994</v>
      </c>
      <c r="AK270" s="1152">
        <f t="shared" si="85"/>
        <v>86295.622941317939</v>
      </c>
      <c r="AL270" s="1153">
        <f t="shared" si="86"/>
        <v>0</v>
      </c>
      <c r="AM270" s="1153">
        <f t="shared" si="87"/>
        <v>0</v>
      </c>
      <c r="AN270" s="1145">
        <f t="shared" si="88"/>
        <v>67255.307559247769</v>
      </c>
      <c r="AO270" s="1154">
        <f t="shared" si="89"/>
        <v>153550.93050056571</v>
      </c>
      <c r="AP270" s="1147">
        <f t="shared" si="75"/>
        <v>0</v>
      </c>
      <c r="AQ270" s="1144">
        <f t="shared" si="76"/>
        <v>0</v>
      </c>
      <c r="AR270" s="1146">
        <f t="shared" si="77"/>
        <v>153550.93050056571</v>
      </c>
    </row>
    <row r="271" spans="1:44" x14ac:dyDescent="0.2">
      <c r="A271" s="1141" t="str">
        <f t="shared" si="72"/>
        <v>1504</v>
      </c>
      <c r="B271" s="1141" t="str">
        <f>IFERROR(VLOOKUP(A271,'LAC 103'!A:C,3,FALSE),"")</f>
        <v>OP</v>
      </c>
      <c r="C271" s="1478" t="str">
        <f>Info!$B$8</f>
        <v>00100</v>
      </c>
      <c r="D271" s="1474" t="s">
        <v>256</v>
      </c>
      <c r="E271" s="1474" t="s">
        <v>95</v>
      </c>
      <c r="F271" s="1478" t="s">
        <v>588</v>
      </c>
      <c r="G271" s="1478" t="s">
        <v>588</v>
      </c>
      <c r="H271" s="1474" t="s">
        <v>1661</v>
      </c>
      <c r="I271" s="1478" t="s">
        <v>819</v>
      </c>
      <c r="J271" s="1478" t="s">
        <v>123</v>
      </c>
      <c r="K271" s="1475" t="s">
        <v>849</v>
      </c>
      <c r="L271" s="1474" t="s">
        <v>77</v>
      </c>
      <c r="M271" s="1476" t="s">
        <v>1699</v>
      </c>
      <c r="N271" s="1477" t="s">
        <v>1694</v>
      </c>
      <c r="O271" s="1479">
        <v>895</v>
      </c>
      <c r="P271" s="1479"/>
      <c r="Q271" s="1142">
        <f t="shared" si="73"/>
        <v>895</v>
      </c>
      <c r="R271" s="1143">
        <f>IFERROR(VLOOKUP(CONCATENATE(E271,G271),'LAC 103'!$A$12:$O$95,11,FALSE),0)</f>
        <v>2.483156209074918</v>
      </c>
      <c r="S271" s="1144">
        <f>IFERROR(VLOOKUP(CONCATENATE($E271,$G271),'LAC 103'!$A$12:$O$95,12,FALSE),0)</f>
        <v>3.07</v>
      </c>
      <c r="T271" s="1144">
        <f>IFERROR(VLOOKUP(CONCATENATE($E271,$G271),'LAC 103'!$A$12:$O$95,13,FALSE),0)</f>
        <v>1.92</v>
      </c>
      <c r="U271" s="1144">
        <f>IFERROR(VLOOKUP(CONCATENATE($E271,$G271),'LAC 103'!$A$12:$O$95,14,FALSE),0)</f>
        <v>0</v>
      </c>
      <c r="V271" s="1144">
        <f>IFERROR(VLOOKUP(CONCATENATE($E271,$G271),'LAC 103'!$A$12:$O$95,15,FALSE),0)</f>
        <v>0</v>
      </c>
      <c r="W271" s="1145" t="str">
        <f>IFERROR(VLOOKUP(CONCATENATE($B271,$N271),'LAC 103'!$AI:$AQ,9,FALSE),"")</f>
        <v>Costs</v>
      </c>
      <c r="X271" s="1146">
        <f t="shared" si="78"/>
        <v>2.483156209074918</v>
      </c>
      <c r="Y271" s="1143">
        <f t="shared" si="79"/>
        <v>2222.4248071220518</v>
      </c>
      <c r="Z271" s="1147">
        <f t="shared" si="80"/>
        <v>2747.6499999999996</v>
      </c>
      <c r="AA271" s="1144">
        <f t="shared" si="81"/>
        <v>1718.3999999999999</v>
      </c>
      <c r="AB271" s="1144">
        <f t="shared" si="82"/>
        <v>0</v>
      </c>
      <c r="AC271" s="1144">
        <f t="shared" si="83"/>
        <v>0</v>
      </c>
      <c r="AD271" s="1148">
        <f t="shared" si="74"/>
        <v>2222.4248071220518</v>
      </c>
      <c r="AE271" s="1487">
        <v>0</v>
      </c>
      <c r="AF271" s="1145">
        <f t="shared" si="84"/>
        <v>2222.4248071220518</v>
      </c>
      <c r="AG271" s="1149">
        <f>IFERROR(VLOOKUP(CONCATENATE($L271,$N271),'Drop List'!$G$23:$K$87,2,FALSE),0)</f>
        <v>0.9</v>
      </c>
      <c r="AH271" s="1150">
        <f>IFERROR(VLOOKUP(CONCATENATE($L271,$N271),'Drop List'!$G$23:$K$87,3,FALSE),0)</f>
        <v>0</v>
      </c>
      <c r="AI271" s="1150">
        <f>IFERROR(VLOOKUP(CONCATENATE($L271,$N271),'Drop List'!$G$23:$K$87,4,FALSE),0)</f>
        <v>0.1</v>
      </c>
      <c r="AJ271" s="1151">
        <f>IFERROR(VLOOKUP(CONCATENATE($L271,$N271),'Drop List'!$G$23:$K$87,5,FALSE),0)</f>
        <v>0</v>
      </c>
      <c r="AK271" s="1152">
        <f t="shared" si="85"/>
        <v>2000.1823264098466</v>
      </c>
      <c r="AL271" s="1153">
        <f t="shared" si="86"/>
        <v>0</v>
      </c>
      <c r="AM271" s="1153">
        <f t="shared" si="87"/>
        <v>222.24248071220518</v>
      </c>
      <c r="AN271" s="1145">
        <f t="shared" si="88"/>
        <v>0</v>
      </c>
      <c r="AO271" s="1154">
        <f t="shared" si="89"/>
        <v>2222.4248071220518</v>
      </c>
      <c r="AP271" s="1147">
        <f t="shared" si="75"/>
        <v>0</v>
      </c>
      <c r="AQ271" s="1144">
        <f t="shared" si="76"/>
        <v>0</v>
      </c>
      <c r="AR271" s="1146">
        <f t="shared" si="77"/>
        <v>2222.4248071220518</v>
      </c>
    </row>
    <row r="272" spans="1:44" x14ac:dyDescent="0.2">
      <c r="A272" s="1141" t="str">
        <f t="shared" si="72"/>
        <v>1504</v>
      </c>
      <c r="B272" s="1141" t="str">
        <f>IFERROR(VLOOKUP(A272,'LAC 103'!A:C,3,FALSE),"")</f>
        <v>OP</v>
      </c>
      <c r="C272" s="1478" t="str">
        <f>Info!$B$8</f>
        <v>00100</v>
      </c>
      <c r="D272" s="1474" t="s">
        <v>256</v>
      </c>
      <c r="E272" s="1474" t="s">
        <v>95</v>
      </c>
      <c r="F272" s="1478" t="s">
        <v>588</v>
      </c>
      <c r="G272" s="1478" t="s">
        <v>588</v>
      </c>
      <c r="H272" s="1474" t="s">
        <v>1661</v>
      </c>
      <c r="I272" s="1478" t="s">
        <v>819</v>
      </c>
      <c r="J272" s="1478"/>
      <c r="K272" s="1475" t="s">
        <v>849</v>
      </c>
      <c r="L272" s="1474" t="s">
        <v>77</v>
      </c>
      <c r="M272" s="1476" t="s">
        <v>841</v>
      </c>
      <c r="N272" s="1477" t="s">
        <v>1695</v>
      </c>
      <c r="O272" s="1479">
        <v>282</v>
      </c>
      <c r="P272" s="1479"/>
      <c r="Q272" s="1142">
        <f t="shared" si="73"/>
        <v>282</v>
      </c>
      <c r="R272" s="1143">
        <f>IFERROR(VLOOKUP(CONCATENATE(E272,G272),'LAC 103'!$A$12:$O$95,11,FALSE),0)</f>
        <v>2.483156209074918</v>
      </c>
      <c r="S272" s="1144">
        <f>IFERROR(VLOOKUP(CONCATENATE($E272,$G272),'LAC 103'!$A$12:$O$95,12,FALSE),0)</f>
        <v>3.07</v>
      </c>
      <c r="T272" s="1144">
        <f>IFERROR(VLOOKUP(CONCATENATE($E272,$G272),'LAC 103'!$A$12:$O$95,13,FALSE),0)</f>
        <v>1.92</v>
      </c>
      <c r="U272" s="1144">
        <f>IFERROR(VLOOKUP(CONCATENATE($E272,$G272),'LAC 103'!$A$12:$O$95,14,FALSE),0)</f>
        <v>0</v>
      </c>
      <c r="V272" s="1144">
        <f>IFERROR(VLOOKUP(CONCATENATE($E272,$G272),'LAC 103'!$A$12:$O$95,15,FALSE),0)</f>
        <v>0</v>
      </c>
      <c r="W272" s="1145" t="str">
        <f>IFERROR(VLOOKUP(CONCATENATE($B272,$N272),'LAC 103'!$AI:$AQ,9,FALSE),"")</f>
        <v>Costs</v>
      </c>
      <c r="X272" s="1146">
        <f t="shared" si="78"/>
        <v>2.483156209074918</v>
      </c>
      <c r="Y272" s="1143">
        <f t="shared" si="79"/>
        <v>700.25005095912684</v>
      </c>
      <c r="Z272" s="1147">
        <f t="shared" si="80"/>
        <v>865.74</v>
      </c>
      <c r="AA272" s="1144">
        <f t="shared" si="81"/>
        <v>541.43999999999994</v>
      </c>
      <c r="AB272" s="1144">
        <f t="shared" si="82"/>
        <v>0</v>
      </c>
      <c r="AC272" s="1144">
        <f t="shared" si="83"/>
        <v>0</v>
      </c>
      <c r="AD272" s="1148">
        <f t="shared" si="74"/>
        <v>700.25005095912684</v>
      </c>
      <c r="AE272" s="1487">
        <v>0</v>
      </c>
      <c r="AF272" s="1145">
        <f t="shared" si="84"/>
        <v>700.25005095912684</v>
      </c>
      <c r="AG272" s="1149">
        <f>IFERROR(VLOOKUP(CONCATENATE($L272,$N272),'Drop List'!$G$23:$K$87,2,FALSE),0)</f>
        <v>0.9</v>
      </c>
      <c r="AH272" s="1150">
        <f>IFERROR(VLOOKUP(CONCATENATE($L272,$N272),'Drop List'!$G$23:$K$87,3,FALSE),0)</f>
        <v>0</v>
      </c>
      <c r="AI272" s="1150">
        <f>IFERROR(VLOOKUP(CONCATENATE($L272,$N272),'Drop List'!$G$23:$K$87,4,FALSE),0)</f>
        <v>0.1</v>
      </c>
      <c r="AJ272" s="1151">
        <f>IFERROR(VLOOKUP(CONCATENATE($L272,$N272),'Drop List'!$G$23:$K$87,5,FALSE),0)</f>
        <v>0</v>
      </c>
      <c r="AK272" s="1152">
        <f t="shared" si="85"/>
        <v>630.22504586321418</v>
      </c>
      <c r="AL272" s="1153">
        <f t="shared" si="86"/>
        <v>0</v>
      </c>
      <c r="AM272" s="1153">
        <f t="shared" si="87"/>
        <v>70.02500509591269</v>
      </c>
      <c r="AN272" s="1145">
        <f t="shared" si="88"/>
        <v>0</v>
      </c>
      <c r="AO272" s="1154">
        <f t="shared" si="89"/>
        <v>700.25005095912684</v>
      </c>
      <c r="AP272" s="1147">
        <f t="shared" si="75"/>
        <v>0</v>
      </c>
      <c r="AQ272" s="1144">
        <f t="shared" si="76"/>
        <v>0</v>
      </c>
      <c r="AR272" s="1146">
        <f t="shared" si="77"/>
        <v>700.25005095912684</v>
      </c>
    </row>
    <row r="273" spans="1:44" x14ac:dyDescent="0.2">
      <c r="A273" s="1141" t="str">
        <f t="shared" si="72"/>
        <v>1504</v>
      </c>
      <c r="B273" s="1141" t="str">
        <f>IFERROR(VLOOKUP(A273,'LAC 103'!A:C,3,FALSE),"")</f>
        <v>OP</v>
      </c>
      <c r="C273" s="1478" t="str">
        <f>Info!$B$8</f>
        <v>00100</v>
      </c>
      <c r="D273" s="1474" t="s">
        <v>256</v>
      </c>
      <c r="E273" s="1474" t="s">
        <v>95</v>
      </c>
      <c r="F273" s="1478" t="s">
        <v>588</v>
      </c>
      <c r="G273" s="1478" t="s">
        <v>588</v>
      </c>
      <c r="H273" s="1474" t="s">
        <v>1661</v>
      </c>
      <c r="I273" s="1478" t="s">
        <v>819</v>
      </c>
      <c r="J273" s="1478"/>
      <c r="K273" s="1475" t="s">
        <v>849</v>
      </c>
      <c r="L273" s="1474" t="s">
        <v>77</v>
      </c>
      <c r="M273" s="1476" t="s">
        <v>840</v>
      </c>
      <c r="N273" s="1477" t="s">
        <v>1700</v>
      </c>
      <c r="O273" s="1479">
        <v>707</v>
      </c>
      <c r="P273" s="1479"/>
      <c r="Q273" s="1142">
        <f t="shared" si="73"/>
        <v>707</v>
      </c>
      <c r="R273" s="1143">
        <f>IFERROR(VLOOKUP(CONCATENATE(E273,G273),'LAC 103'!$A$12:$O$95,11,FALSE),0)</f>
        <v>2.483156209074918</v>
      </c>
      <c r="S273" s="1144">
        <f>IFERROR(VLOOKUP(CONCATENATE($E273,$G273),'LAC 103'!$A$12:$O$95,12,FALSE),0)</f>
        <v>3.07</v>
      </c>
      <c r="T273" s="1144">
        <f>IFERROR(VLOOKUP(CONCATENATE($E273,$G273),'LAC 103'!$A$12:$O$95,13,FALSE),0)</f>
        <v>1.92</v>
      </c>
      <c r="U273" s="1144">
        <f>IFERROR(VLOOKUP(CONCATENATE($E273,$G273),'LAC 103'!$A$12:$O$95,14,FALSE),0)</f>
        <v>0</v>
      </c>
      <c r="V273" s="1144">
        <f>IFERROR(VLOOKUP(CONCATENATE($E273,$G273),'LAC 103'!$A$12:$O$95,15,FALSE),0)</f>
        <v>0</v>
      </c>
      <c r="W273" s="1145" t="str">
        <f>IFERROR(VLOOKUP(CONCATENATE($B273,$N273),'LAC 103'!$AI:$AQ,9,FALSE),"")</f>
        <v>P.C.</v>
      </c>
      <c r="X273" s="1146">
        <f t="shared" si="78"/>
        <v>1.92</v>
      </c>
      <c r="Y273" s="1143">
        <f t="shared" si="79"/>
        <v>1755.5914398159671</v>
      </c>
      <c r="Z273" s="1147">
        <f t="shared" si="80"/>
        <v>2170.4899999999998</v>
      </c>
      <c r="AA273" s="1144">
        <f t="shared" si="81"/>
        <v>1357.44</v>
      </c>
      <c r="AB273" s="1144">
        <f t="shared" si="82"/>
        <v>0</v>
      </c>
      <c r="AC273" s="1144">
        <f t="shared" si="83"/>
        <v>0</v>
      </c>
      <c r="AD273" s="1148">
        <f t="shared" si="74"/>
        <v>1357.44</v>
      </c>
      <c r="AE273" s="1487">
        <v>0</v>
      </c>
      <c r="AF273" s="1145">
        <f t="shared" si="84"/>
        <v>1357.44</v>
      </c>
      <c r="AG273" s="1149">
        <f>IFERROR(VLOOKUP(CONCATENATE($L273,$N273),'Drop List'!$G$23:$K$87,2,FALSE),0)</f>
        <v>0.9</v>
      </c>
      <c r="AH273" s="1150">
        <f>IFERROR(VLOOKUP(CONCATENATE($L273,$N273),'Drop List'!$G$23:$K$87,3,FALSE),0)</f>
        <v>0</v>
      </c>
      <c r="AI273" s="1150">
        <f>IFERROR(VLOOKUP(CONCATENATE($L273,$N273),'Drop List'!$G$23:$K$87,4,FALSE),0)</f>
        <v>0.1</v>
      </c>
      <c r="AJ273" s="1151">
        <f>IFERROR(VLOOKUP(CONCATENATE($L273,$N273),'Drop List'!$G$23:$K$87,5,FALSE),0)</f>
        <v>0</v>
      </c>
      <c r="AK273" s="1152">
        <f t="shared" si="85"/>
        <v>1221.6960000000001</v>
      </c>
      <c r="AL273" s="1153">
        <f t="shared" si="86"/>
        <v>0</v>
      </c>
      <c r="AM273" s="1153">
        <f t="shared" si="87"/>
        <v>135.744</v>
      </c>
      <c r="AN273" s="1145">
        <f t="shared" si="88"/>
        <v>0</v>
      </c>
      <c r="AO273" s="1154">
        <f t="shared" si="89"/>
        <v>1357.44</v>
      </c>
      <c r="AP273" s="1147">
        <f t="shared" si="75"/>
        <v>0</v>
      </c>
      <c r="AQ273" s="1144">
        <f t="shared" si="76"/>
        <v>0</v>
      </c>
      <c r="AR273" s="1146">
        <f t="shared" si="77"/>
        <v>1357.44</v>
      </c>
    </row>
    <row r="274" spans="1:44" x14ac:dyDescent="0.2">
      <c r="A274" s="1141" t="str">
        <f t="shared" si="72"/>
        <v>1504</v>
      </c>
      <c r="B274" s="1141" t="str">
        <f>IFERROR(VLOOKUP(A274,'LAC 103'!A:C,3,FALSE),"")</f>
        <v>OP</v>
      </c>
      <c r="C274" s="1478" t="str">
        <f>Info!$B$8</f>
        <v>00100</v>
      </c>
      <c r="D274" s="1474" t="s">
        <v>256</v>
      </c>
      <c r="E274" s="1474" t="s">
        <v>95</v>
      </c>
      <c r="F274" s="1478" t="s">
        <v>588</v>
      </c>
      <c r="G274" s="1478" t="s">
        <v>588</v>
      </c>
      <c r="H274" s="1474" t="s">
        <v>1661</v>
      </c>
      <c r="I274" s="1478" t="s">
        <v>819</v>
      </c>
      <c r="J274" s="1478"/>
      <c r="K274" s="1475" t="s">
        <v>849</v>
      </c>
      <c r="L274" s="1474" t="s">
        <v>77</v>
      </c>
      <c r="M274" s="1476" t="s">
        <v>842</v>
      </c>
      <c r="N274" s="1477" t="s">
        <v>1692</v>
      </c>
      <c r="O274" s="1479">
        <v>1130</v>
      </c>
      <c r="P274" s="1479"/>
      <c r="Q274" s="1142">
        <f t="shared" si="73"/>
        <v>1130</v>
      </c>
      <c r="R274" s="1143">
        <f>IFERROR(VLOOKUP(CONCATENATE(E274,G274),'LAC 103'!$A$12:$O$95,11,FALSE),0)</f>
        <v>2.483156209074918</v>
      </c>
      <c r="S274" s="1144">
        <f>IFERROR(VLOOKUP(CONCATENATE($E274,$G274),'LAC 103'!$A$12:$O$95,12,FALSE),0)</f>
        <v>3.07</v>
      </c>
      <c r="T274" s="1144">
        <f>IFERROR(VLOOKUP(CONCATENATE($E274,$G274),'LAC 103'!$A$12:$O$95,13,FALSE),0)</f>
        <v>1.92</v>
      </c>
      <c r="U274" s="1144">
        <f>IFERROR(VLOOKUP(CONCATENATE($E274,$G274),'LAC 103'!$A$12:$O$95,14,FALSE),0)</f>
        <v>0</v>
      </c>
      <c r="V274" s="1144">
        <f>IFERROR(VLOOKUP(CONCATENATE($E274,$G274),'LAC 103'!$A$12:$O$95,15,FALSE),0)</f>
        <v>0</v>
      </c>
      <c r="W274" s="1145" t="str">
        <f>IFERROR(VLOOKUP(CONCATENATE($B274,$N274),'LAC 103'!$AI:$AQ,9,FALSE),"")</f>
        <v>Costs</v>
      </c>
      <c r="X274" s="1146">
        <f t="shared" si="78"/>
        <v>2.483156209074918</v>
      </c>
      <c r="Y274" s="1143">
        <f t="shared" si="79"/>
        <v>2805.9665162546571</v>
      </c>
      <c r="Z274" s="1147">
        <f t="shared" si="80"/>
        <v>3469.1</v>
      </c>
      <c r="AA274" s="1144">
        <f t="shared" si="81"/>
        <v>2169.6</v>
      </c>
      <c r="AB274" s="1144">
        <f t="shared" si="82"/>
        <v>0</v>
      </c>
      <c r="AC274" s="1144">
        <f t="shared" si="83"/>
        <v>0</v>
      </c>
      <c r="AD274" s="1148">
        <f t="shared" si="74"/>
        <v>2805.9665162546571</v>
      </c>
      <c r="AE274" s="1487">
        <v>0</v>
      </c>
      <c r="AF274" s="1145">
        <f t="shared" si="84"/>
        <v>2805.9665162546571</v>
      </c>
      <c r="AG274" s="1149">
        <f>IFERROR(VLOOKUP(CONCATENATE($L274,$N274),'Drop List'!$G$23:$K$87,2,FALSE),0)</f>
        <v>0.9</v>
      </c>
      <c r="AH274" s="1150">
        <f>IFERROR(VLOOKUP(CONCATENATE($L274,$N274),'Drop List'!$G$23:$K$87,3,FALSE),0)</f>
        <v>0</v>
      </c>
      <c r="AI274" s="1150">
        <f>IFERROR(VLOOKUP(CONCATENATE($L274,$N274),'Drop List'!$G$23:$K$87,4,FALSE),0)</f>
        <v>0.1</v>
      </c>
      <c r="AJ274" s="1151">
        <f>IFERROR(VLOOKUP(CONCATENATE($L274,$N274),'Drop List'!$G$23:$K$87,5,FALSE),0)</f>
        <v>0</v>
      </c>
      <c r="AK274" s="1152">
        <f t="shared" si="85"/>
        <v>2525.3698646291914</v>
      </c>
      <c r="AL274" s="1153">
        <f t="shared" si="86"/>
        <v>0</v>
      </c>
      <c r="AM274" s="1153">
        <f t="shared" si="87"/>
        <v>280.59665162546571</v>
      </c>
      <c r="AN274" s="1145">
        <f t="shared" si="88"/>
        <v>0</v>
      </c>
      <c r="AO274" s="1154">
        <f t="shared" si="89"/>
        <v>2805.9665162546571</v>
      </c>
      <c r="AP274" s="1147">
        <f t="shared" si="75"/>
        <v>0</v>
      </c>
      <c r="AQ274" s="1144">
        <f t="shared" si="76"/>
        <v>0</v>
      </c>
      <c r="AR274" s="1146">
        <f t="shared" si="77"/>
        <v>2805.9665162546571</v>
      </c>
    </row>
    <row r="275" spans="1:44" x14ac:dyDescent="0.2">
      <c r="A275" s="1141" t="str">
        <f t="shared" si="72"/>
        <v>1504</v>
      </c>
      <c r="B275" s="1141" t="str">
        <f>IFERROR(VLOOKUP(A275,'LAC 103'!A:C,3,FALSE),"")</f>
        <v>OP</v>
      </c>
      <c r="C275" s="1478" t="str">
        <f>Info!$B$8</f>
        <v>00100</v>
      </c>
      <c r="D275" s="1474" t="s">
        <v>256</v>
      </c>
      <c r="E275" s="1474" t="s">
        <v>95</v>
      </c>
      <c r="F275" s="1478" t="s">
        <v>588</v>
      </c>
      <c r="G275" s="1478" t="s">
        <v>588</v>
      </c>
      <c r="H275" s="1474" t="s">
        <v>1661</v>
      </c>
      <c r="I275" s="1478" t="s">
        <v>819</v>
      </c>
      <c r="J275" s="1478"/>
      <c r="K275" s="1475" t="s">
        <v>849</v>
      </c>
      <c r="L275" s="1474" t="s">
        <v>77</v>
      </c>
      <c r="M275" s="1476" t="s">
        <v>1698</v>
      </c>
      <c r="N275" s="1477" t="s">
        <v>1693</v>
      </c>
      <c r="O275" s="1479">
        <v>829</v>
      </c>
      <c r="P275" s="1479"/>
      <c r="Q275" s="1142">
        <f t="shared" si="73"/>
        <v>829</v>
      </c>
      <c r="R275" s="1143">
        <f>IFERROR(VLOOKUP(CONCATENATE(E275,G275),'LAC 103'!$A$12:$O$95,11,FALSE),0)</f>
        <v>2.483156209074918</v>
      </c>
      <c r="S275" s="1144">
        <f>IFERROR(VLOOKUP(CONCATENATE($E275,$G275),'LAC 103'!$A$12:$O$95,12,FALSE),0)</f>
        <v>3.07</v>
      </c>
      <c r="T275" s="1144">
        <f>IFERROR(VLOOKUP(CONCATENATE($E275,$G275),'LAC 103'!$A$12:$O$95,13,FALSE),0)</f>
        <v>1.92</v>
      </c>
      <c r="U275" s="1144">
        <f>IFERROR(VLOOKUP(CONCATENATE($E275,$G275),'LAC 103'!$A$12:$O$95,14,FALSE),0)</f>
        <v>0</v>
      </c>
      <c r="V275" s="1144">
        <f>IFERROR(VLOOKUP(CONCATENATE($E275,$G275),'LAC 103'!$A$12:$O$95,15,FALSE),0)</f>
        <v>0</v>
      </c>
      <c r="W275" s="1145" t="str">
        <f>IFERROR(VLOOKUP(CONCATENATE($B275,$N275),'LAC 103'!$AI:$AQ,9,FALSE),"")</f>
        <v>Costs</v>
      </c>
      <c r="X275" s="1146">
        <f t="shared" si="78"/>
        <v>2.483156209074918</v>
      </c>
      <c r="Y275" s="1143">
        <f t="shared" si="79"/>
        <v>2058.5364973231071</v>
      </c>
      <c r="Z275" s="1147">
        <f t="shared" si="80"/>
        <v>2545.0299999999997</v>
      </c>
      <c r="AA275" s="1144">
        <f t="shared" si="81"/>
        <v>1591.6799999999998</v>
      </c>
      <c r="AB275" s="1144">
        <f t="shared" si="82"/>
        <v>0</v>
      </c>
      <c r="AC275" s="1144">
        <f t="shared" si="83"/>
        <v>0</v>
      </c>
      <c r="AD275" s="1148">
        <f t="shared" si="74"/>
        <v>2058.5364973231071</v>
      </c>
      <c r="AE275" s="1487">
        <v>0</v>
      </c>
      <c r="AF275" s="1145">
        <f t="shared" si="84"/>
        <v>2058.5364973231071</v>
      </c>
      <c r="AG275" s="1149">
        <f>IFERROR(VLOOKUP(CONCATENATE($L275,$N275),'Drop List'!$G$23:$K$87,2,FALSE),0)</f>
        <v>0.9</v>
      </c>
      <c r="AH275" s="1150">
        <f>IFERROR(VLOOKUP(CONCATENATE($L275,$N275),'Drop List'!$G$23:$K$87,3,FALSE),0)</f>
        <v>0</v>
      </c>
      <c r="AI275" s="1150">
        <f>IFERROR(VLOOKUP(CONCATENATE($L275,$N275),'Drop List'!$G$23:$K$87,4,FALSE),0)</f>
        <v>0.1</v>
      </c>
      <c r="AJ275" s="1151">
        <f>IFERROR(VLOOKUP(CONCATENATE($L275,$N275),'Drop List'!$G$23:$K$87,5,FALSE),0)</f>
        <v>0</v>
      </c>
      <c r="AK275" s="1152">
        <f t="shared" si="85"/>
        <v>1852.6828475907964</v>
      </c>
      <c r="AL275" s="1153">
        <f t="shared" si="86"/>
        <v>0</v>
      </c>
      <c r="AM275" s="1153">
        <f t="shared" si="87"/>
        <v>205.85364973231071</v>
      </c>
      <c r="AN275" s="1145">
        <f t="shared" si="88"/>
        <v>0</v>
      </c>
      <c r="AO275" s="1154">
        <f t="shared" si="89"/>
        <v>2058.5364973231071</v>
      </c>
      <c r="AP275" s="1147">
        <f t="shared" si="75"/>
        <v>0</v>
      </c>
      <c r="AQ275" s="1144">
        <f t="shared" si="76"/>
        <v>0</v>
      </c>
      <c r="AR275" s="1146">
        <f t="shared" si="77"/>
        <v>2058.5364973231071</v>
      </c>
    </row>
    <row r="276" spans="1:44" x14ac:dyDescent="0.2">
      <c r="A276" s="1141" t="str">
        <f t="shared" si="72"/>
        <v>1504</v>
      </c>
      <c r="B276" s="1141" t="str">
        <f>IFERROR(VLOOKUP(A276,'LAC 103'!A:C,3,FALSE),"")</f>
        <v>OP</v>
      </c>
      <c r="C276" s="1478" t="str">
        <f>Info!$B$8</f>
        <v>00100</v>
      </c>
      <c r="D276" s="1474" t="s">
        <v>256</v>
      </c>
      <c r="E276" s="1474" t="s">
        <v>95</v>
      </c>
      <c r="F276" s="1478" t="s">
        <v>588</v>
      </c>
      <c r="G276" s="1478" t="s">
        <v>588</v>
      </c>
      <c r="H276" s="1474" t="s">
        <v>1661</v>
      </c>
      <c r="I276" s="1478" t="s">
        <v>819</v>
      </c>
      <c r="J276" s="1478"/>
      <c r="K276" s="1475" t="s">
        <v>851</v>
      </c>
      <c r="L276" s="1474" t="s">
        <v>584</v>
      </c>
      <c r="M276" s="1476" t="s">
        <v>1699</v>
      </c>
      <c r="N276" s="1477" t="s">
        <v>1694</v>
      </c>
      <c r="O276" s="1479">
        <v>1230</v>
      </c>
      <c r="P276" s="1479"/>
      <c r="Q276" s="1142">
        <f t="shared" si="73"/>
        <v>1230</v>
      </c>
      <c r="R276" s="1143">
        <f>IFERROR(VLOOKUP(CONCATENATE(E276,G276),'LAC 103'!$A$12:$O$95,11,FALSE),0)</f>
        <v>2.483156209074918</v>
      </c>
      <c r="S276" s="1144">
        <f>IFERROR(VLOOKUP(CONCATENATE($E276,$G276),'LAC 103'!$A$12:$O$95,12,FALSE),0)</f>
        <v>3.07</v>
      </c>
      <c r="T276" s="1144">
        <f>IFERROR(VLOOKUP(CONCATENATE($E276,$G276),'LAC 103'!$A$12:$O$95,13,FALSE),0)</f>
        <v>1.92</v>
      </c>
      <c r="U276" s="1144">
        <f>IFERROR(VLOOKUP(CONCATENATE($E276,$G276),'LAC 103'!$A$12:$O$95,14,FALSE),0)</f>
        <v>0</v>
      </c>
      <c r="V276" s="1144">
        <f>IFERROR(VLOOKUP(CONCATENATE($E276,$G276),'LAC 103'!$A$12:$O$95,15,FALSE),0)</f>
        <v>0</v>
      </c>
      <c r="W276" s="1145" t="str">
        <f>IFERROR(VLOOKUP(CONCATENATE($B276,$N276),'LAC 103'!$AI:$AQ,9,FALSE),"")</f>
        <v>Costs</v>
      </c>
      <c r="X276" s="1146">
        <f t="shared" si="78"/>
        <v>2.483156209074918</v>
      </c>
      <c r="Y276" s="1143">
        <f t="shared" si="79"/>
        <v>3054.282137162149</v>
      </c>
      <c r="Z276" s="1147">
        <f t="shared" si="80"/>
        <v>3776.1</v>
      </c>
      <c r="AA276" s="1144">
        <f t="shared" si="81"/>
        <v>2361.6</v>
      </c>
      <c r="AB276" s="1144">
        <f t="shared" si="82"/>
        <v>0</v>
      </c>
      <c r="AC276" s="1144">
        <f t="shared" si="83"/>
        <v>0</v>
      </c>
      <c r="AD276" s="1148">
        <f t="shared" si="74"/>
        <v>3054.282137162149</v>
      </c>
      <c r="AE276" s="1487">
        <v>0</v>
      </c>
      <c r="AF276" s="1145">
        <f t="shared" si="84"/>
        <v>3054.282137162149</v>
      </c>
      <c r="AG276" s="1149">
        <f>IFERROR(VLOOKUP(CONCATENATE($L276,$N276),'Drop List'!$G$23:$K$87,2,FALSE),0)</f>
        <v>0.56200000000000006</v>
      </c>
      <c r="AH276" s="1150">
        <f>IFERROR(VLOOKUP(CONCATENATE($L276,$N276),'Drop List'!$G$23:$K$87,3,FALSE),0)</f>
        <v>0</v>
      </c>
      <c r="AI276" s="1150">
        <f>IFERROR(VLOOKUP(CONCATENATE($L276,$N276),'Drop List'!$G$23:$K$87,4,FALSE),0)</f>
        <v>0</v>
      </c>
      <c r="AJ276" s="1151">
        <f>IFERROR(VLOOKUP(CONCATENATE($L276,$N276),'Drop List'!$G$23:$K$87,5,FALSE),0)</f>
        <v>0.43799999999999994</v>
      </c>
      <c r="AK276" s="1152">
        <f t="shared" si="85"/>
        <v>1716.5065610851279</v>
      </c>
      <c r="AL276" s="1153">
        <f t="shared" si="86"/>
        <v>0</v>
      </c>
      <c r="AM276" s="1153">
        <f t="shared" si="87"/>
        <v>0</v>
      </c>
      <c r="AN276" s="1145">
        <f t="shared" si="88"/>
        <v>1337.775576077021</v>
      </c>
      <c r="AO276" s="1154">
        <f t="shared" si="89"/>
        <v>3054.282137162149</v>
      </c>
      <c r="AP276" s="1147">
        <f t="shared" si="75"/>
        <v>0</v>
      </c>
      <c r="AQ276" s="1144">
        <f t="shared" si="76"/>
        <v>0</v>
      </c>
      <c r="AR276" s="1146">
        <f t="shared" si="77"/>
        <v>3054.282137162149</v>
      </c>
    </row>
    <row r="277" spans="1:44" x14ac:dyDescent="0.2">
      <c r="A277" s="1141" t="str">
        <f t="shared" si="72"/>
        <v>1504</v>
      </c>
      <c r="B277" s="1141" t="str">
        <f>IFERROR(VLOOKUP(A277,'LAC 103'!A:C,3,FALSE),"")</f>
        <v>OP</v>
      </c>
      <c r="C277" s="1478" t="str">
        <f>Info!$B$8</f>
        <v>00100</v>
      </c>
      <c r="D277" s="1474" t="s">
        <v>256</v>
      </c>
      <c r="E277" s="1474" t="s">
        <v>95</v>
      </c>
      <c r="F277" s="1478" t="s">
        <v>588</v>
      </c>
      <c r="G277" s="1478" t="s">
        <v>588</v>
      </c>
      <c r="H277" s="1474" t="s">
        <v>1661</v>
      </c>
      <c r="I277" s="1478" t="s">
        <v>819</v>
      </c>
      <c r="J277" s="1478"/>
      <c r="K277" s="1475" t="s">
        <v>851</v>
      </c>
      <c r="L277" s="1474" t="s">
        <v>584</v>
      </c>
      <c r="M277" s="1476" t="s">
        <v>841</v>
      </c>
      <c r="N277" s="1477" t="s">
        <v>1695</v>
      </c>
      <c r="O277" s="1479">
        <v>350</v>
      </c>
      <c r="P277" s="1479"/>
      <c r="Q277" s="1142">
        <f t="shared" si="73"/>
        <v>350</v>
      </c>
      <c r="R277" s="1143">
        <f>IFERROR(VLOOKUP(CONCATENATE(E277,G277),'LAC 103'!$A$12:$O$95,11,FALSE),0)</f>
        <v>2.483156209074918</v>
      </c>
      <c r="S277" s="1144">
        <f>IFERROR(VLOOKUP(CONCATENATE($E277,$G277),'LAC 103'!$A$12:$O$95,12,FALSE),0)</f>
        <v>3.07</v>
      </c>
      <c r="T277" s="1144">
        <f>IFERROR(VLOOKUP(CONCATENATE($E277,$G277),'LAC 103'!$A$12:$O$95,13,FALSE),0)</f>
        <v>1.92</v>
      </c>
      <c r="U277" s="1144">
        <f>IFERROR(VLOOKUP(CONCATENATE($E277,$G277),'LAC 103'!$A$12:$O$95,14,FALSE),0)</f>
        <v>0</v>
      </c>
      <c r="V277" s="1144">
        <f>IFERROR(VLOOKUP(CONCATENATE($E277,$G277),'LAC 103'!$A$12:$O$95,15,FALSE),0)</f>
        <v>0</v>
      </c>
      <c r="W277" s="1145" t="str">
        <f>IFERROR(VLOOKUP(CONCATENATE($B277,$N277),'LAC 103'!$AI:$AQ,9,FALSE),"")</f>
        <v>Costs</v>
      </c>
      <c r="X277" s="1146">
        <f t="shared" si="78"/>
        <v>2.483156209074918</v>
      </c>
      <c r="Y277" s="1143">
        <f t="shared" si="79"/>
        <v>869.10467317622124</v>
      </c>
      <c r="Z277" s="1147">
        <f t="shared" si="80"/>
        <v>1074.5</v>
      </c>
      <c r="AA277" s="1144">
        <f t="shared" si="81"/>
        <v>672</v>
      </c>
      <c r="AB277" s="1144">
        <f t="shared" si="82"/>
        <v>0</v>
      </c>
      <c r="AC277" s="1144">
        <f t="shared" si="83"/>
        <v>0</v>
      </c>
      <c r="AD277" s="1148">
        <f t="shared" si="74"/>
        <v>869.10467317622124</v>
      </c>
      <c r="AE277" s="1487">
        <v>0</v>
      </c>
      <c r="AF277" s="1145">
        <f t="shared" si="84"/>
        <v>869.10467317622124</v>
      </c>
      <c r="AG277" s="1149">
        <f>IFERROR(VLOOKUP(CONCATENATE($L277,$N277),'Drop List'!$G$23:$K$87,2,FALSE),0)</f>
        <v>0.55000000000000004</v>
      </c>
      <c r="AH277" s="1150">
        <f>IFERROR(VLOOKUP(CONCATENATE($L277,$N277),'Drop List'!$G$23:$K$87,3,FALSE),0)</f>
        <v>0</v>
      </c>
      <c r="AI277" s="1150">
        <f>IFERROR(VLOOKUP(CONCATENATE($L277,$N277),'Drop List'!$G$23:$K$87,4,FALSE),0)</f>
        <v>0</v>
      </c>
      <c r="AJ277" s="1151">
        <f>IFERROR(VLOOKUP(CONCATENATE($L277,$N277),'Drop List'!$G$23:$K$87,5,FALSE),0)</f>
        <v>0.44999999999999996</v>
      </c>
      <c r="AK277" s="1152">
        <f t="shared" si="85"/>
        <v>478.00757024692172</v>
      </c>
      <c r="AL277" s="1153">
        <f t="shared" si="86"/>
        <v>0</v>
      </c>
      <c r="AM277" s="1153">
        <f t="shared" si="87"/>
        <v>0</v>
      </c>
      <c r="AN277" s="1145">
        <f t="shared" si="88"/>
        <v>391.09710292929952</v>
      </c>
      <c r="AO277" s="1154">
        <f t="shared" si="89"/>
        <v>869.10467317622124</v>
      </c>
      <c r="AP277" s="1147">
        <f t="shared" si="75"/>
        <v>0</v>
      </c>
      <c r="AQ277" s="1144">
        <f t="shared" si="76"/>
        <v>0</v>
      </c>
      <c r="AR277" s="1146">
        <f t="shared" si="77"/>
        <v>869.10467317622124</v>
      </c>
    </row>
    <row r="278" spans="1:44" x14ac:dyDescent="0.2">
      <c r="A278" s="1141" t="str">
        <f t="shared" si="72"/>
        <v>1504</v>
      </c>
      <c r="B278" s="1141" t="str">
        <f>IFERROR(VLOOKUP(A278,'LAC 103'!A:C,3,FALSE),"")</f>
        <v>OP</v>
      </c>
      <c r="C278" s="1478" t="str">
        <f>Info!$B$8</f>
        <v>00100</v>
      </c>
      <c r="D278" s="1474" t="s">
        <v>256</v>
      </c>
      <c r="E278" s="1474" t="s">
        <v>95</v>
      </c>
      <c r="F278" s="1478" t="s">
        <v>588</v>
      </c>
      <c r="G278" s="1478" t="s">
        <v>588</v>
      </c>
      <c r="H278" s="1474" t="s">
        <v>1661</v>
      </c>
      <c r="I278" s="1478" t="s">
        <v>819</v>
      </c>
      <c r="J278" s="1478"/>
      <c r="K278" s="1475" t="s">
        <v>851</v>
      </c>
      <c r="L278" s="1474" t="s">
        <v>584</v>
      </c>
      <c r="M278" s="1476" t="s">
        <v>840</v>
      </c>
      <c r="N278" s="1477" t="s">
        <v>1700</v>
      </c>
      <c r="O278" s="1479">
        <v>298</v>
      </c>
      <c r="P278" s="1479"/>
      <c r="Q278" s="1142">
        <f t="shared" si="73"/>
        <v>298</v>
      </c>
      <c r="R278" s="1143">
        <f>IFERROR(VLOOKUP(CONCATENATE(E278,G278),'LAC 103'!$A$12:$O$95,11,FALSE),0)</f>
        <v>2.483156209074918</v>
      </c>
      <c r="S278" s="1144">
        <f>IFERROR(VLOOKUP(CONCATENATE($E278,$G278),'LAC 103'!$A$12:$O$95,12,FALSE),0)</f>
        <v>3.07</v>
      </c>
      <c r="T278" s="1144">
        <f>IFERROR(VLOOKUP(CONCATENATE($E278,$G278),'LAC 103'!$A$12:$O$95,13,FALSE),0)</f>
        <v>1.92</v>
      </c>
      <c r="U278" s="1144">
        <f>IFERROR(VLOOKUP(CONCATENATE($E278,$G278),'LAC 103'!$A$12:$O$95,14,FALSE),0)</f>
        <v>0</v>
      </c>
      <c r="V278" s="1144">
        <f>IFERROR(VLOOKUP(CONCATENATE($E278,$G278),'LAC 103'!$A$12:$O$95,15,FALSE),0)</f>
        <v>0</v>
      </c>
      <c r="W278" s="1145" t="str">
        <f>IFERROR(VLOOKUP(CONCATENATE($B278,$N278),'LAC 103'!$AI:$AQ,9,FALSE),"")</f>
        <v>P.C.</v>
      </c>
      <c r="X278" s="1146">
        <f t="shared" si="78"/>
        <v>1.92</v>
      </c>
      <c r="Y278" s="1143">
        <f t="shared" si="79"/>
        <v>739.98055030432556</v>
      </c>
      <c r="Z278" s="1147">
        <f t="shared" si="80"/>
        <v>914.8599999999999</v>
      </c>
      <c r="AA278" s="1144">
        <f t="shared" si="81"/>
        <v>572.16</v>
      </c>
      <c r="AB278" s="1144">
        <f t="shared" si="82"/>
        <v>0</v>
      </c>
      <c r="AC278" s="1144">
        <f t="shared" si="83"/>
        <v>0</v>
      </c>
      <c r="AD278" s="1148">
        <f t="shared" si="74"/>
        <v>572.16</v>
      </c>
      <c r="AE278" s="1487">
        <v>0</v>
      </c>
      <c r="AF278" s="1145">
        <f t="shared" si="84"/>
        <v>572.16</v>
      </c>
      <c r="AG278" s="1149">
        <f>IFERROR(VLOOKUP(CONCATENATE($L278,$N278),'Drop List'!$G$23:$K$87,2,FALSE),0)</f>
        <v>0.55000000000000004</v>
      </c>
      <c r="AH278" s="1150">
        <f>IFERROR(VLOOKUP(CONCATENATE($L278,$N278),'Drop List'!$G$23:$K$87,3,FALSE),0)</f>
        <v>0</v>
      </c>
      <c r="AI278" s="1150">
        <f>IFERROR(VLOOKUP(CONCATENATE($L278,$N278),'Drop List'!$G$23:$K$87,4,FALSE),0)</f>
        <v>0</v>
      </c>
      <c r="AJ278" s="1151">
        <f>IFERROR(VLOOKUP(CONCATENATE($L278,$N278),'Drop List'!$G$23:$K$87,5,FALSE),0)</f>
        <v>0.44999999999999996</v>
      </c>
      <c r="AK278" s="1152">
        <f t="shared" si="85"/>
        <v>314.68799999999999</v>
      </c>
      <c r="AL278" s="1153">
        <f t="shared" si="86"/>
        <v>0</v>
      </c>
      <c r="AM278" s="1153">
        <f t="shared" si="87"/>
        <v>0</v>
      </c>
      <c r="AN278" s="1145">
        <f t="shared" si="88"/>
        <v>257.47199999999998</v>
      </c>
      <c r="AO278" s="1154">
        <f t="shared" si="89"/>
        <v>572.16</v>
      </c>
      <c r="AP278" s="1147">
        <f t="shared" si="75"/>
        <v>0</v>
      </c>
      <c r="AQ278" s="1144">
        <f t="shared" si="76"/>
        <v>0</v>
      </c>
      <c r="AR278" s="1146">
        <f t="shared" si="77"/>
        <v>572.16</v>
      </c>
    </row>
    <row r="279" spans="1:44" x14ac:dyDescent="0.2">
      <c r="A279" s="1141" t="str">
        <f t="shared" si="72"/>
        <v>1504</v>
      </c>
      <c r="B279" s="1141" t="str">
        <f>IFERROR(VLOOKUP(A279,'LAC 103'!A:C,3,FALSE),"")</f>
        <v>OP</v>
      </c>
      <c r="C279" s="1478" t="str">
        <f>Info!$B$8</f>
        <v>00100</v>
      </c>
      <c r="D279" s="1474" t="s">
        <v>256</v>
      </c>
      <c r="E279" s="1474" t="s">
        <v>95</v>
      </c>
      <c r="F279" s="1478" t="s">
        <v>588</v>
      </c>
      <c r="G279" s="1478" t="s">
        <v>588</v>
      </c>
      <c r="H279" s="1474" t="s">
        <v>1661</v>
      </c>
      <c r="I279" s="1478" t="s">
        <v>819</v>
      </c>
      <c r="J279" s="1478"/>
      <c r="K279" s="1475" t="s">
        <v>851</v>
      </c>
      <c r="L279" s="1474" t="s">
        <v>584</v>
      </c>
      <c r="M279" s="1476" t="s">
        <v>842</v>
      </c>
      <c r="N279" s="1477" t="s">
        <v>1692</v>
      </c>
      <c r="O279" s="1479">
        <v>877</v>
      </c>
      <c r="P279" s="1479"/>
      <c r="Q279" s="1142">
        <f t="shared" si="73"/>
        <v>877</v>
      </c>
      <c r="R279" s="1143">
        <f>IFERROR(VLOOKUP(CONCATENATE(E279,G279),'LAC 103'!$A$12:$O$95,11,FALSE),0)</f>
        <v>2.483156209074918</v>
      </c>
      <c r="S279" s="1144">
        <f>IFERROR(VLOOKUP(CONCATENATE($E279,$G279),'LAC 103'!$A$12:$O$95,12,FALSE),0)</f>
        <v>3.07</v>
      </c>
      <c r="T279" s="1144">
        <f>IFERROR(VLOOKUP(CONCATENATE($E279,$G279),'LAC 103'!$A$12:$O$95,13,FALSE),0)</f>
        <v>1.92</v>
      </c>
      <c r="U279" s="1144">
        <f>IFERROR(VLOOKUP(CONCATENATE($E279,$G279),'LAC 103'!$A$12:$O$95,14,FALSE),0)</f>
        <v>0</v>
      </c>
      <c r="V279" s="1144">
        <f>IFERROR(VLOOKUP(CONCATENATE($E279,$G279),'LAC 103'!$A$12:$O$95,15,FALSE),0)</f>
        <v>0</v>
      </c>
      <c r="W279" s="1145" t="str">
        <f>IFERROR(VLOOKUP(CONCATENATE($B279,$N279),'LAC 103'!$AI:$AQ,9,FALSE),"")</f>
        <v>Costs</v>
      </c>
      <c r="X279" s="1146">
        <f t="shared" si="78"/>
        <v>2.483156209074918</v>
      </c>
      <c r="Y279" s="1143">
        <f t="shared" si="79"/>
        <v>2177.7279953587031</v>
      </c>
      <c r="Z279" s="1147">
        <f t="shared" si="80"/>
        <v>2692.39</v>
      </c>
      <c r="AA279" s="1144">
        <f t="shared" si="81"/>
        <v>1683.84</v>
      </c>
      <c r="AB279" s="1144">
        <f t="shared" si="82"/>
        <v>0</v>
      </c>
      <c r="AC279" s="1144">
        <f t="shared" si="83"/>
        <v>0</v>
      </c>
      <c r="AD279" s="1148">
        <f t="shared" si="74"/>
        <v>2177.7279953587031</v>
      </c>
      <c r="AE279" s="1487">
        <v>0</v>
      </c>
      <c r="AF279" s="1145">
        <f t="shared" si="84"/>
        <v>2177.7279953587031</v>
      </c>
      <c r="AG279" s="1149">
        <f>IFERROR(VLOOKUP(CONCATENATE($L279,$N279),'Drop List'!$G$23:$K$87,2,FALSE),0)</f>
        <v>0.56200000000000006</v>
      </c>
      <c r="AH279" s="1150">
        <f>IFERROR(VLOOKUP(CONCATENATE($L279,$N279),'Drop List'!$G$23:$K$87,3,FALSE),0)</f>
        <v>0</v>
      </c>
      <c r="AI279" s="1150">
        <f>IFERROR(VLOOKUP(CONCATENATE($L279,$N279),'Drop List'!$G$23:$K$87,4,FALSE),0)</f>
        <v>0</v>
      </c>
      <c r="AJ279" s="1151">
        <f>IFERROR(VLOOKUP(CONCATENATE($L279,$N279),'Drop List'!$G$23:$K$87,5,FALSE),0)</f>
        <v>0.43799999999999994</v>
      </c>
      <c r="AK279" s="1152">
        <f t="shared" si="85"/>
        <v>1223.8831333915912</v>
      </c>
      <c r="AL279" s="1153">
        <f t="shared" si="86"/>
        <v>0</v>
      </c>
      <c r="AM279" s="1153">
        <f t="shared" si="87"/>
        <v>0</v>
      </c>
      <c r="AN279" s="1145">
        <f t="shared" si="88"/>
        <v>953.8448619671118</v>
      </c>
      <c r="AO279" s="1154">
        <f t="shared" si="89"/>
        <v>2177.7279953587031</v>
      </c>
      <c r="AP279" s="1147">
        <f t="shared" si="75"/>
        <v>0</v>
      </c>
      <c r="AQ279" s="1144">
        <f t="shared" si="76"/>
        <v>0</v>
      </c>
      <c r="AR279" s="1146">
        <f t="shared" si="77"/>
        <v>2177.7279953587031</v>
      </c>
    </row>
    <row r="280" spans="1:44" x14ac:dyDescent="0.2">
      <c r="A280" s="1141" t="str">
        <f t="shared" si="72"/>
        <v>1504</v>
      </c>
      <c r="B280" s="1141" t="str">
        <f>IFERROR(VLOOKUP(A280,'LAC 103'!A:C,3,FALSE),"")</f>
        <v>OP</v>
      </c>
      <c r="C280" s="1478" t="str">
        <f>Info!$B$8</f>
        <v>00100</v>
      </c>
      <c r="D280" s="1474" t="s">
        <v>256</v>
      </c>
      <c r="E280" s="1474" t="s">
        <v>95</v>
      </c>
      <c r="F280" s="1478" t="s">
        <v>588</v>
      </c>
      <c r="G280" s="1478" t="s">
        <v>588</v>
      </c>
      <c r="H280" s="1474" t="s">
        <v>1661</v>
      </c>
      <c r="I280" s="1478" t="s">
        <v>819</v>
      </c>
      <c r="J280" s="1478"/>
      <c r="K280" s="1475" t="s">
        <v>851</v>
      </c>
      <c r="L280" s="1474" t="s">
        <v>584</v>
      </c>
      <c r="M280" s="1476" t="s">
        <v>1698</v>
      </c>
      <c r="N280" s="1477" t="s">
        <v>1693</v>
      </c>
      <c r="O280" s="1479">
        <v>1083</v>
      </c>
      <c r="P280" s="1479"/>
      <c r="Q280" s="1142">
        <f t="shared" si="73"/>
        <v>1083</v>
      </c>
      <c r="R280" s="1143">
        <f>IFERROR(VLOOKUP(CONCATENATE(E280,G280),'LAC 103'!$A$12:$O$95,11,FALSE),0)</f>
        <v>2.483156209074918</v>
      </c>
      <c r="S280" s="1144">
        <f>IFERROR(VLOOKUP(CONCATENATE($E280,$G280),'LAC 103'!$A$12:$O$95,12,FALSE),0)</f>
        <v>3.07</v>
      </c>
      <c r="T280" s="1144">
        <f>IFERROR(VLOOKUP(CONCATENATE($E280,$G280),'LAC 103'!$A$12:$O$95,13,FALSE),0)</f>
        <v>1.92</v>
      </c>
      <c r="U280" s="1144">
        <f>IFERROR(VLOOKUP(CONCATENATE($E280,$G280),'LAC 103'!$A$12:$O$95,14,FALSE),0)</f>
        <v>0</v>
      </c>
      <c r="V280" s="1144">
        <f>IFERROR(VLOOKUP(CONCATENATE($E280,$G280),'LAC 103'!$A$12:$O$95,15,FALSE),0)</f>
        <v>0</v>
      </c>
      <c r="W280" s="1145" t="str">
        <f>IFERROR(VLOOKUP(CONCATENATE($B280,$N280),'LAC 103'!$AI:$AQ,9,FALSE),"")</f>
        <v>Costs</v>
      </c>
      <c r="X280" s="1146">
        <f t="shared" si="78"/>
        <v>2.483156209074918</v>
      </c>
      <c r="Y280" s="1143">
        <f t="shared" si="79"/>
        <v>2689.258174428136</v>
      </c>
      <c r="Z280" s="1147">
        <f t="shared" si="80"/>
        <v>3324.81</v>
      </c>
      <c r="AA280" s="1144">
        <f t="shared" si="81"/>
        <v>2079.36</v>
      </c>
      <c r="AB280" s="1144">
        <f t="shared" si="82"/>
        <v>0</v>
      </c>
      <c r="AC280" s="1144">
        <f t="shared" si="83"/>
        <v>0</v>
      </c>
      <c r="AD280" s="1148">
        <f t="shared" si="74"/>
        <v>2689.258174428136</v>
      </c>
      <c r="AE280" s="1487">
        <v>0</v>
      </c>
      <c r="AF280" s="1145">
        <f t="shared" si="84"/>
        <v>2689.258174428136</v>
      </c>
      <c r="AG280" s="1149">
        <f>IFERROR(VLOOKUP(CONCATENATE($L280,$N280),'Drop List'!$G$23:$K$87,2,FALSE),0)</f>
        <v>0.56200000000000006</v>
      </c>
      <c r="AH280" s="1150">
        <f>IFERROR(VLOOKUP(CONCATENATE($L280,$N280),'Drop List'!$G$23:$K$87,3,FALSE),0)</f>
        <v>0</v>
      </c>
      <c r="AI280" s="1150">
        <f>IFERROR(VLOOKUP(CONCATENATE($L280,$N280),'Drop List'!$G$23:$K$87,4,FALSE),0)</f>
        <v>0</v>
      </c>
      <c r="AJ280" s="1151">
        <f>IFERROR(VLOOKUP(CONCATENATE($L280,$N280),'Drop List'!$G$23:$K$87,5,FALSE),0)</f>
        <v>0.43799999999999994</v>
      </c>
      <c r="AK280" s="1152">
        <f t="shared" si="85"/>
        <v>1511.3630940286125</v>
      </c>
      <c r="AL280" s="1153">
        <f t="shared" si="86"/>
        <v>0</v>
      </c>
      <c r="AM280" s="1153">
        <f t="shared" si="87"/>
        <v>0</v>
      </c>
      <c r="AN280" s="1145">
        <f t="shared" si="88"/>
        <v>1177.8950803995235</v>
      </c>
      <c r="AO280" s="1154">
        <f t="shared" si="89"/>
        <v>2689.258174428136</v>
      </c>
      <c r="AP280" s="1147">
        <f t="shared" si="75"/>
        <v>0</v>
      </c>
      <c r="AQ280" s="1144">
        <f t="shared" si="76"/>
        <v>0</v>
      </c>
      <c r="AR280" s="1146">
        <f t="shared" si="77"/>
        <v>2689.258174428136</v>
      </c>
    </row>
    <row r="281" spans="1:44" x14ac:dyDescent="0.2">
      <c r="A281" s="1141" t="str">
        <f t="shared" si="72"/>
        <v>1504</v>
      </c>
      <c r="B281" s="1141" t="str">
        <f>IFERROR(VLOOKUP(A281,'LAC 103'!A:C,3,FALSE),"")</f>
        <v>OP</v>
      </c>
      <c r="C281" s="1478" t="str">
        <f>Info!$B$8</f>
        <v>00100</v>
      </c>
      <c r="D281" s="1474" t="s">
        <v>256</v>
      </c>
      <c r="E281" s="1474" t="s">
        <v>95</v>
      </c>
      <c r="F281" s="1478" t="s">
        <v>588</v>
      </c>
      <c r="G281" s="1478" t="s">
        <v>588</v>
      </c>
      <c r="H281" s="1474" t="s">
        <v>1091</v>
      </c>
      <c r="I281" s="1478" t="s">
        <v>815</v>
      </c>
      <c r="J281" s="1478" t="s">
        <v>123</v>
      </c>
      <c r="K281" s="1475" t="s">
        <v>1654</v>
      </c>
      <c r="L281" s="1474" t="s">
        <v>332</v>
      </c>
      <c r="M281" s="1476" t="s">
        <v>841</v>
      </c>
      <c r="N281" s="1477" t="s">
        <v>1695</v>
      </c>
      <c r="O281" s="1479">
        <v>467</v>
      </c>
      <c r="P281" s="1479"/>
      <c r="Q281" s="1142">
        <f t="shared" si="73"/>
        <v>467</v>
      </c>
      <c r="R281" s="1143">
        <f>IFERROR(VLOOKUP(CONCATENATE(E281,G281),'LAC 103'!$A$12:$O$95,11,FALSE),0)</f>
        <v>2.483156209074918</v>
      </c>
      <c r="S281" s="1144">
        <f>IFERROR(VLOOKUP(CONCATENATE($E281,$G281),'LAC 103'!$A$12:$O$95,12,FALSE),0)</f>
        <v>3.07</v>
      </c>
      <c r="T281" s="1144">
        <f>IFERROR(VLOOKUP(CONCATENATE($E281,$G281),'LAC 103'!$A$12:$O$95,13,FALSE),0)</f>
        <v>1.92</v>
      </c>
      <c r="U281" s="1144">
        <f>IFERROR(VLOOKUP(CONCATENATE($E281,$G281),'LAC 103'!$A$12:$O$95,14,FALSE),0)</f>
        <v>0</v>
      </c>
      <c r="V281" s="1144">
        <f>IFERROR(VLOOKUP(CONCATENATE($E281,$G281),'LAC 103'!$A$12:$O$95,15,FALSE),0)</f>
        <v>0</v>
      </c>
      <c r="W281" s="1145" t="str">
        <f>IFERROR(VLOOKUP(CONCATENATE($B281,$N281),'LAC 103'!$AI:$AQ,9,FALSE),"")</f>
        <v>Costs</v>
      </c>
      <c r="X281" s="1146">
        <f t="shared" si="78"/>
        <v>2.483156209074918</v>
      </c>
      <c r="Y281" s="1143">
        <f t="shared" si="79"/>
        <v>1159.6339496379867</v>
      </c>
      <c r="Z281" s="1147">
        <f t="shared" si="80"/>
        <v>1433.6899999999998</v>
      </c>
      <c r="AA281" s="1144">
        <f t="shared" si="81"/>
        <v>896.64</v>
      </c>
      <c r="AB281" s="1144">
        <f t="shared" si="82"/>
        <v>0</v>
      </c>
      <c r="AC281" s="1144">
        <f t="shared" si="83"/>
        <v>0</v>
      </c>
      <c r="AD281" s="1148">
        <f t="shared" si="74"/>
        <v>1159.6339496379867</v>
      </c>
      <c r="AE281" s="1487">
        <v>0</v>
      </c>
      <c r="AF281" s="1145">
        <f t="shared" si="84"/>
        <v>1159.6339496379867</v>
      </c>
      <c r="AG281" s="1149">
        <f>IFERROR(VLOOKUP(CONCATENATE($L281,$N281),'Drop List'!$G$23:$K$87,2,FALSE),0)</f>
        <v>0</v>
      </c>
      <c r="AH281" s="1150">
        <f>IFERROR(VLOOKUP(CONCATENATE($L281,$N281),'Drop List'!$G$23:$K$87,3,FALSE),0)</f>
        <v>0</v>
      </c>
      <c r="AI281" s="1150">
        <f>IFERROR(VLOOKUP(CONCATENATE($L281,$N281),'Drop List'!$G$23:$K$87,4,FALSE),0)</f>
        <v>0</v>
      </c>
      <c r="AJ281" s="1151">
        <f>IFERROR(VLOOKUP(CONCATENATE($L281,$N281),'Drop List'!$G$23:$K$87,5,FALSE),0)</f>
        <v>0</v>
      </c>
      <c r="AK281" s="1152">
        <f t="shared" si="85"/>
        <v>0</v>
      </c>
      <c r="AL281" s="1153">
        <f t="shared" si="86"/>
        <v>0</v>
      </c>
      <c r="AM281" s="1153">
        <f t="shared" si="87"/>
        <v>0</v>
      </c>
      <c r="AN281" s="1145">
        <f t="shared" si="88"/>
        <v>0</v>
      </c>
      <c r="AO281" s="1154">
        <f t="shared" si="89"/>
        <v>0</v>
      </c>
      <c r="AP281" s="1147">
        <f t="shared" si="75"/>
        <v>1159.6339496379867</v>
      </c>
      <c r="AQ281" s="1144">
        <f t="shared" si="76"/>
        <v>0</v>
      </c>
      <c r="AR281" s="1146">
        <f t="shared" si="77"/>
        <v>1159.6339496379867</v>
      </c>
    </row>
    <row r="282" spans="1:44" x14ac:dyDescent="0.2">
      <c r="A282" s="1141" t="str">
        <f t="shared" si="72"/>
        <v>1504</v>
      </c>
      <c r="B282" s="1141" t="str">
        <f>IFERROR(VLOOKUP(A282,'LAC 103'!A:C,3,FALSE),"")</f>
        <v>OP</v>
      </c>
      <c r="C282" s="1478" t="str">
        <f>Info!$B$8</f>
        <v>00100</v>
      </c>
      <c r="D282" s="1474" t="s">
        <v>256</v>
      </c>
      <c r="E282" s="1474" t="s">
        <v>95</v>
      </c>
      <c r="F282" s="1478" t="s">
        <v>588</v>
      </c>
      <c r="G282" s="1478" t="s">
        <v>588</v>
      </c>
      <c r="H282" s="1474" t="s">
        <v>1091</v>
      </c>
      <c r="I282" s="1478" t="s">
        <v>815</v>
      </c>
      <c r="J282" s="1478"/>
      <c r="K282" s="1475" t="s">
        <v>1654</v>
      </c>
      <c r="L282" s="1474" t="s">
        <v>332</v>
      </c>
      <c r="M282" s="1476" t="s">
        <v>840</v>
      </c>
      <c r="N282" s="1477" t="s">
        <v>1700</v>
      </c>
      <c r="O282" s="1479">
        <v>265</v>
      </c>
      <c r="P282" s="1479"/>
      <c r="Q282" s="1142">
        <f t="shared" si="73"/>
        <v>265</v>
      </c>
      <c r="R282" s="1143">
        <f>IFERROR(VLOOKUP(CONCATENATE(E282,G282),'LAC 103'!$A$12:$O$95,11,FALSE),0)</f>
        <v>2.483156209074918</v>
      </c>
      <c r="S282" s="1144">
        <f>IFERROR(VLOOKUP(CONCATENATE($E282,$G282),'LAC 103'!$A$12:$O$95,12,FALSE),0)</f>
        <v>3.07</v>
      </c>
      <c r="T282" s="1144">
        <f>IFERROR(VLOOKUP(CONCATENATE($E282,$G282),'LAC 103'!$A$12:$O$95,13,FALSE),0)</f>
        <v>1.92</v>
      </c>
      <c r="U282" s="1144">
        <f>IFERROR(VLOOKUP(CONCATENATE($E282,$G282),'LAC 103'!$A$12:$O$95,14,FALSE),0)</f>
        <v>0</v>
      </c>
      <c r="V282" s="1144">
        <f>IFERROR(VLOOKUP(CONCATENATE($E282,$G282),'LAC 103'!$A$12:$O$95,15,FALSE),0)</f>
        <v>0</v>
      </c>
      <c r="W282" s="1145" t="str">
        <f>IFERROR(VLOOKUP(CONCATENATE($B282,$N282),'LAC 103'!$AI:$AQ,9,FALSE),"")</f>
        <v>P.C.</v>
      </c>
      <c r="X282" s="1146">
        <f t="shared" si="78"/>
        <v>1.92</v>
      </c>
      <c r="Y282" s="1143">
        <f t="shared" si="79"/>
        <v>658.03639540485324</v>
      </c>
      <c r="Z282" s="1147">
        <f t="shared" si="80"/>
        <v>813.55</v>
      </c>
      <c r="AA282" s="1144">
        <f t="shared" si="81"/>
        <v>508.79999999999995</v>
      </c>
      <c r="AB282" s="1144">
        <f t="shared" si="82"/>
        <v>0</v>
      </c>
      <c r="AC282" s="1144">
        <f t="shared" si="83"/>
        <v>0</v>
      </c>
      <c r="AD282" s="1148">
        <f t="shared" si="74"/>
        <v>508.79999999999995</v>
      </c>
      <c r="AE282" s="1487">
        <v>0</v>
      </c>
      <c r="AF282" s="1145">
        <f t="shared" si="84"/>
        <v>508.79999999999995</v>
      </c>
      <c r="AG282" s="1149">
        <f>IFERROR(VLOOKUP(CONCATENATE($L282,$N282),'Drop List'!$G$23:$K$87,2,FALSE),0)</f>
        <v>0</v>
      </c>
      <c r="AH282" s="1150">
        <f>IFERROR(VLOOKUP(CONCATENATE($L282,$N282),'Drop List'!$G$23:$K$87,3,FALSE),0)</f>
        <v>0</v>
      </c>
      <c r="AI282" s="1150">
        <f>IFERROR(VLOOKUP(CONCATENATE($L282,$N282),'Drop List'!$G$23:$K$87,4,FALSE),0)</f>
        <v>0</v>
      </c>
      <c r="AJ282" s="1151">
        <f>IFERROR(VLOOKUP(CONCATENATE($L282,$N282),'Drop List'!$G$23:$K$87,5,FALSE),0)</f>
        <v>0</v>
      </c>
      <c r="AK282" s="1152">
        <f t="shared" si="85"/>
        <v>0</v>
      </c>
      <c r="AL282" s="1153">
        <f t="shared" si="86"/>
        <v>0</v>
      </c>
      <c r="AM282" s="1153">
        <f t="shared" si="87"/>
        <v>0</v>
      </c>
      <c r="AN282" s="1145">
        <f t="shared" si="88"/>
        <v>0</v>
      </c>
      <c r="AO282" s="1154">
        <f t="shared" si="89"/>
        <v>0</v>
      </c>
      <c r="AP282" s="1147">
        <f t="shared" si="75"/>
        <v>508.79999999999995</v>
      </c>
      <c r="AQ282" s="1144">
        <f t="shared" si="76"/>
        <v>0</v>
      </c>
      <c r="AR282" s="1146">
        <f t="shared" si="77"/>
        <v>508.79999999999995</v>
      </c>
    </row>
    <row r="283" spans="1:44" x14ac:dyDescent="0.2">
      <c r="A283" s="1141" t="str">
        <f t="shared" si="72"/>
        <v>1504</v>
      </c>
      <c r="B283" s="1141" t="str">
        <f>IFERROR(VLOOKUP(A283,'LAC 103'!A:C,3,FALSE),"")</f>
        <v>OP</v>
      </c>
      <c r="C283" s="1478" t="str">
        <f>Info!$B$8</f>
        <v>00100</v>
      </c>
      <c r="D283" s="1474" t="s">
        <v>256</v>
      </c>
      <c r="E283" s="1474" t="s">
        <v>95</v>
      </c>
      <c r="F283" s="1478" t="s">
        <v>588</v>
      </c>
      <c r="G283" s="1478" t="s">
        <v>588</v>
      </c>
      <c r="H283" s="1474" t="s">
        <v>1091</v>
      </c>
      <c r="I283" s="1478" t="s">
        <v>815</v>
      </c>
      <c r="J283" s="1478"/>
      <c r="K283" s="1475" t="s">
        <v>1654</v>
      </c>
      <c r="L283" s="1474" t="s">
        <v>332</v>
      </c>
      <c r="M283" s="1476" t="s">
        <v>1698</v>
      </c>
      <c r="N283" s="1477" t="s">
        <v>1693</v>
      </c>
      <c r="O283" s="1479">
        <v>196</v>
      </c>
      <c r="P283" s="1479"/>
      <c r="Q283" s="1142">
        <f t="shared" si="73"/>
        <v>196</v>
      </c>
      <c r="R283" s="1143">
        <f>IFERROR(VLOOKUP(CONCATENATE(E283,G283),'LAC 103'!$A$12:$O$95,11,FALSE),0)</f>
        <v>2.483156209074918</v>
      </c>
      <c r="S283" s="1144">
        <f>IFERROR(VLOOKUP(CONCATENATE($E283,$G283),'LAC 103'!$A$12:$O$95,12,FALSE),0)</f>
        <v>3.07</v>
      </c>
      <c r="T283" s="1144">
        <f>IFERROR(VLOOKUP(CONCATENATE($E283,$G283),'LAC 103'!$A$12:$O$95,13,FALSE),0)</f>
        <v>1.92</v>
      </c>
      <c r="U283" s="1144">
        <f>IFERROR(VLOOKUP(CONCATENATE($E283,$G283),'LAC 103'!$A$12:$O$95,14,FALSE),0)</f>
        <v>0</v>
      </c>
      <c r="V283" s="1144">
        <f>IFERROR(VLOOKUP(CONCATENATE($E283,$G283),'LAC 103'!$A$12:$O$95,15,FALSE),0)</f>
        <v>0</v>
      </c>
      <c r="W283" s="1145" t="str">
        <f>IFERROR(VLOOKUP(CONCATENATE($B283,$N283),'LAC 103'!$AI:$AQ,9,FALSE),"")</f>
        <v>Costs</v>
      </c>
      <c r="X283" s="1146">
        <f t="shared" si="78"/>
        <v>2.483156209074918</v>
      </c>
      <c r="Y283" s="1143">
        <f t="shared" si="79"/>
        <v>486.6986169786839</v>
      </c>
      <c r="Z283" s="1147">
        <f t="shared" si="80"/>
        <v>601.71999999999991</v>
      </c>
      <c r="AA283" s="1144">
        <f t="shared" si="81"/>
        <v>376.32</v>
      </c>
      <c r="AB283" s="1144">
        <f t="shared" si="82"/>
        <v>0</v>
      </c>
      <c r="AC283" s="1144">
        <f t="shared" si="83"/>
        <v>0</v>
      </c>
      <c r="AD283" s="1148">
        <f t="shared" si="74"/>
        <v>486.6986169786839</v>
      </c>
      <c r="AE283" s="1487">
        <v>0</v>
      </c>
      <c r="AF283" s="1145">
        <f t="shared" si="84"/>
        <v>486.6986169786839</v>
      </c>
      <c r="AG283" s="1149">
        <f>IFERROR(VLOOKUP(CONCATENATE($L283,$N283),'Drop List'!$G$23:$K$87,2,FALSE),0)</f>
        <v>0</v>
      </c>
      <c r="AH283" s="1150">
        <f>IFERROR(VLOOKUP(CONCATENATE($L283,$N283),'Drop List'!$G$23:$K$87,3,FALSE),0)</f>
        <v>0</v>
      </c>
      <c r="AI283" s="1150">
        <f>IFERROR(VLOOKUP(CONCATENATE($L283,$N283),'Drop List'!$G$23:$K$87,4,FALSE),0)</f>
        <v>0</v>
      </c>
      <c r="AJ283" s="1151">
        <f>IFERROR(VLOOKUP(CONCATENATE($L283,$N283),'Drop List'!$G$23:$K$87,5,FALSE),0)</f>
        <v>0</v>
      </c>
      <c r="AK283" s="1152">
        <f t="shared" si="85"/>
        <v>0</v>
      </c>
      <c r="AL283" s="1153">
        <f t="shared" si="86"/>
        <v>0</v>
      </c>
      <c r="AM283" s="1153">
        <f t="shared" si="87"/>
        <v>0</v>
      </c>
      <c r="AN283" s="1145">
        <f t="shared" si="88"/>
        <v>0</v>
      </c>
      <c r="AO283" s="1154">
        <f t="shared" si="89"/>
        <v>0</v>
      </c>
      <c r="AP283" s="1147">
        <f t="shared" si="75"/>
        <v>486.6986169786839</v>
      </c>
      <c r="AQ283" s="1144">
        <f t="shared" si="76"/>
        <v>0</v>
      </c>
      <c r="AR283" s="1146">
        <f t="shared" si="77"/>
        <v>486.6986169786839</v>
      </c>
    </row>
    <row r="284" spans="1:44" x14ac:dyDescent="0.2">
      <c r="A284" s="1141" t="str">
        <f t="shared" si="72"/>
        <v>1504</v>
      </c>
      <c r="B284" s="1141" t="str">
        <f>IFERROR(VLOOKUP(A284,'LAC 103'!A:C,3,FALSE),"")</f>
        <v>OP</v>
      </c>
      <c r="C284" s="1478" t="str">
        <f>Info!$B$8</f>
        <v>00100</v>
      </c>
      <c r="D284" s="1474" t="s">
        <v>256</v>
      </c>
      <c r="E284" s="1474" t="s">
        <v>95</v>
      </c>
      <c r="F284" s="1478" t="s">
        <v>588</v>
      </c>
      <c r="G284" s="1478" t="s">
        <v>588</v>
      </c>
      <c r="H284" s="1474" t="s">
        <v>1091</v>
      </c>
      <c r="I284" s="1478" t="s">
        <v>815</v>
      </c>
      <c r="J284" s="1478"/>
      <c r="K284" s="1475" t="s">
        <v>847</v>
      </c>
      <c r="L284" s="1474" t="s">
        <v>582</v>
      </c>
      <c r="M284" s="1476" t="s">
        <v>1699</v>
      </c>
      <c r="N284" s="1477" t="s">
        <v>1694</v>
      </c>
      <c r="O284" s="1479">
        <v>8487</v>
      </c>
      <c r="P284" s="1479"/>
      <c r="Q284" s="1142">
        <f t="shared" si="73"/>
        <v>8487</v>
      </c>
      <c r="R284" s="1143">
        <f>IFERROR(VLOOKUP(CONCATENATE(E284,G284),'LAC 103'!$A$12:$O$95,11,FALSE),0)</f>
        <v>2.483156209074918</v>
      </c>
      <c r="S284" s="1144">
        <f>IFERROR(VLOOKUP(CONCATENATE($E284,$G284),'LAC 103'!$A$12:$O$95,12,FALSE),0)</f>
        <v>3.07</v>
      </c>
      <c r="T284" s="1144">
        <f>IFERROR(VLOOKUP(CONCATENATE($E284,$G284),'LAC 103'!$A$12:$O$95,13,FALSE),0)</f>
        <v>1.92</v>
      </c>
      <c r="U284" s="1144">
        <f>IFERROR(VLOOKUP(CONCATENATE($E284,$G284),'LAC 103'!$A$12:$O$95,14,FALSE),0)</f>
        <v>0</v>
      </c>
      <c r="V284" s="1144">
        <f>IFERROR(VLOOKUP(CONCATENATE($E284,$G284),'LAC 103'!$A$12:$O$95,15,FALSE),0)</f>
        <v>0</v>
      </c>
      <c r="W284" s="1145" t="str">
        <f>IFERROR(VLOOKUP(CONCATENATE($B284,$N284),'LAC 103'!$AI:$AQ,9,FALSE),"")</f>
        <v>Costs</v>
      </c>
      <c r="X284" s="1146">
        <f t="shared" si="78"/>
        <v>2.483156209074918</v>
      </c>
      <c r="Y284" s="1143">
        <f t="shared" si="79"/>
        <v>21074.54674641883</v>
      </c>
      <c r="Z284" s="1147">
        <f t="shared" si="80"/>
        <v>26055.09</v>
      </c>
      <c r="AA284" s="1144">
        <f t="shared" si="81"/>
        <v>16295.039999999999</v>
      </c>
      <c r="AB284" s="1144">
        <f t="shared" si="82"/>
        <v>0</v>
      </c>
      <c r="AC284" s="1144">
        <f t="shared" si="83"/>
        <v>0</v>
      </c>
      <c r="AD284" s="1148">
        <f t="shared" si="74"/>
        <v>21074.54674641883</v>
      </c>
      <c r="AE284" s="1487">
        <v>0</v>
      </c>
      <c r="AF284" s="1145">
        <f t="shared" si="84"/>
        <v>21074.54674641883</v>
      </c>
      <c r="AG284" s="1149">
        <f>IFERROR(VLOOKUP(CONCATENATE($L284,$N284),'Drop List'!$G$23:$K$87,2,FALSE),0)</f>
        <v>0.56200000000000006</v>
      </c>
      <c r="AH284" s="1150">
        <f>IFERROR(VLOOKUP(CONCATENATE($L284,$N284),'Drop List'!$G$23:$K$87,3,FALSE),0)</f>
        <v>0.43799999999999994</v>
      </c>
      <c r="AI284" s="1150">
        <f>IFERROR(VLOOKUP(CONCATENATE($L284,$N284),'Drop List'!$G$23:$K$87,4,FALSE),0)</f>
        <v>0</v>
      </c>
      <c r="AJ284" s="1151">
        <f>IFERROR(VLOOKUP(CONCATENATE($L284,$N284),'Drop List'!$G$23:$K$87,5,FALSE),0)</f>
        <v>0</v>
      </c>
      <c r="AK284" s="1152">
        <f t="shared" si="85"/>
        <v>11843.895271487383</v>
      </c>
      <c r="AL284" s="1153">
        <f t="shared" si="86"/>
        <v>9230.6514749314465</v>
      </c>
      <c r="AM284" s="1153">
        <f t="shared" si="87"/>
        <v>0</v>
      </c>
      <c r="AN284" s="1145">
        <f t="shared" si="88"/>
        <v>0</v>
      </c>
      <c r="AO284" s="1154">
        <f t="shared" si="89"/>
        <v>21074.54674641883</v>
      </c>
      <c r="AP284" s="1147">
        <f t="shared" si="75"/>
        <v>0</v>
      </c>
      <c r="AQ284" s="1144">
        <f t="shared" si="76"/>
        <v>0</v>
      </c>
      <c r="AR284" s="1146">
        <f t="shared" si="77"/>
        <v>21074.54674641883</v>
      </c>
    </row>
    <row r="285" spans="1:44" x14ac:dyDescent="0.2">
      <c r="A285" s="1141" t="str">
        <f t="shared" si="72"/>
        <v>1504</v>
      </c>
      <c r="B285" s="1141" t="str">
        <f>IFERROR(VLOOKUP(A285,'LAC 103'!A:C,3,FALSE),"")</f>
        <v>OP</v>
      </c>
      <c r="C285" s="1478" t="str">
        <f>Info!$B$8</f>
        <v>00100</v>
      </c>
      <c r="D285" s="1474" t="s">
        <v>256</v>
      </c>
      <c r="E285" s="1474" t="s">
        <v>95</v>
      </c>
      <c r="F285" s="1478" t="s">
        <v>588</v>
      </c>
      <c r="G285" s="1478" t="s">
        <v>588</v>
      </c>
      <c r="H285" s="1474" t="s">
        <v>1091</v>
      </c>
      <c r="I285" s="1478" t="s">
        <v>815</v>
      </c>
      <c r="J285" s="1478"/>
      <c r="K285" s="1475" t="s">
        <v>847</v>
      </c>
      <c r="L285" s="1474" t="s">
        <v>582</v>
      </c>
      <c r="M285" s="1476" t="s">
        <v>841</v>
      </c>
      <c r="N285" s="1477" t="s">
        <v>1695</v>
      </c>
      <c r="O285" s="1479">
        <v>3438</v>
      </c>
      <c r="P285" s="1479"/>
      <c r="Q285" s="1142">
        <f t="shared" si="73"/>
        <v>3438</v>
      </c>
      <c r="R285" s="1143">
        <f>IFERROR(VLOOKUP(CONCATENATE(E285,G285),'LAC 103'!$A$12:$O$95,11,FALSE),0)</f>
        <v>2.483156209074918</v>
      </c>
      <c r="S285" s="1144">
        <f>IFERROR(VLOOKUP(CONCATENATE($E285,$G285),'LAC 103'!$A$12:$O$95,12,FALSE),0)</f>
        <v>3.07</v>
      </c>
      <c r="T285" s="1144">
        <f>IFERROR(VLOOKUP(CONCATENATE($E285,$G285),'LAC 103'!$A$12:$O$95,13,FALSE),0)</f>
        <v>1.92</v>
      </c>
      <c r="U285" s="1144">
        <f>IFERROR(VLOOKUP(CONCATENATE($E285,$G285),'LAC 103'!$A$12:$O$95,14,FALSE),0)</f>
        <v>0</v>
      </c>
      <c r="V285" s="1144">
        <f>IFERROR(VLOOKUP(CONCATENATE($E285,$G285),'LAC 103'!$A$12:$O$95,15,FALSE),0)</f>
        <v>0</v>
      </c>
      <c r="W285" s="1145" t="str">
        <f>IFERROR(VLOOKUP(CONCATENATE($B285,$N285),'LAC 103'!$AI:$AQ,9,FALSE),"")</f>
        <v>Costs</v>
      </c>
      <c r="X285" s="1146">
        <f t="shared" si="78"/>
        <v>2.483156209074918</v>
      </c>
      <c r="Y285" s="1143">
        <f t="shared" si="79"/>
        <v>8537.0910467995673</v>
      </c>
      <c r="Z285" s="1147">
        <f t="shared" si="80"/>
        <v>10554.66</v>
      </c>
      <c r="AA285" s="1144">
        <f t="shared" si="81"/>
        <v>6600.96</v>
      </c>
      <c r="AB285" s="1144">
        <f t="shared" si="82"/>
        <v>0</v>
      </c>
      <c r="AC285" s="1144">
        <f t="shared" si="83"/>
        <v>0</v>
      </c>
      <c r="AD285" s="1148">
        <f t="shared" si="74"/>
        <v>8537.0910467995673</v>
      </c>
      <c r="AE285" s="1487">
        <v>0</v>
      </c>
      <c r="AF285" s="1145">
        <f t="shared" si="84"/>
        <v>8537.0910467995673</v>
      </c>
      <c r="AG285" s="1149">
        <f>IFERROR(VLOOKUP(CONCATENATE($L285,$N285),'Drop List'!$G$23:$K$87,2,FALSE),0)</f>
        <v>0.55000000000000004</v>
      </c>
      <c r="AH285" s="1150">
        <f>IFERROR(VLOOKUP(CONCATENATE($L285,$N285),'Drop List'!$G$23:$K$87,3,FALSE),0)</f>
        <v>0.44999999999999996</v>
      </c>
      <c r="AI285" s="1150">
        <f>IFERROR(VLOOKUP(CONCATENATE($L285,$N285),'Drop List'!$G$23:$K$87,4,FALSE),0)</f>
        <v>0</v>
      </c>
      <c r="AJ285" s="1151">
        <f>IFERROR(VLOOKUP(CONCATENATE($L285,$N285),'Drop List'!$G$23:$K$87,5,FALSE),0)</f>
        <v>0</v>
      </c>
      <c r="AK285" s="1152">
        <f t="shared" si="85"/>
        <v>4695.4000757397625</v>
      </c>
      <c r="AL285" s="1153">
        <f t="shared" si="86"/>
        <v>3841.6909710598047</v>
      </c>
      <c r="AM285" s="1153">
        <f t="shared" si="87"/>
        <v>0</v>
      </c>
      <c r="AN285" s="1145">
        <f t="shared" si="88"/>
        <v>0</v>
      </c>
      <c r="AO285" s="1154">
        <f t="shared" si="89"/>
        <v>8537.0910467995673</v>
      </c>
      <c r="AP285" s="1147">
        <f t="shared" si="75"/>
        <v>0</v>
      </c>
      <c r="AQ285" s="1144">
        <f t="shared" si="76"/>
        <v>0</v>
      </c>
      <c r="AR285" s="1146">
        <f t="shared" si="77"/>
        <v>8537.0910467995673</v>
      </c>
    </row>
    <row r="286" spans="1:44" x14ac:dyDescent="0.2">
      <c r="A286" s="1141" t="str">
        <f t="shared" si="72"/>
        <v>1504</v>
      </c>
      <c r="B286" s="1141" t="str">
        <f>IFERROR(VLOOKUP(A286,'LAC 103'!A:C,3,FALSE),"")</f>
        <v>OP</v>
      </c>
      <c r="C286" s="1478" t="str">
        <f>Info!$B$8</f>
        <v>00100</v>
      </c>
      <c r="D286" s="1474" t="s">
        <v>256</v>
      </c>
      <c r="E286" s="1474" t="s">
        <v>95</v>
      </c>
      <c r="F286" s="1478" t="s">
        <v>588</v>
      </c>
      <c r="G286" s="1478" t="s">
        <v>588</v>
      </c>
      <c r="H286" s="1474" t="s">
        <v>1091</v>
      </c>
      <c r="I286" s="1478" t="s">
        <v>815</v>
      </c>
      <c r="J286" s="1478"/>
      <c r="K286" s="1475" t="s">
        <v>847</v>
      </c>
      <c r="L286" s="1474" t="s">
        <v>582</v>
      </c>
      <c r="M286" s="1476" t="s">
        <v>840</v>
      </c>
      <c r="N286" s="1477" t="s">
        <v>1700</v>
      </c>
      <c r="O286" s="1479">
        <v>3193</v>
      </c>
      <c r="P286" s="1479"/>
      <c r="Q286" s="1142">
        <f t="shared" si="73"/>
        <v>3193</v>
      </c>
      <c r="R286" s="1143">
        <f>IFERROR(VLOOKUP(CONCATENATE(E286,G286),'LAC 103'!$A$12:$O$95,11,FALSE),0)</f>
        <v>2.483156209074918</v>
      </c>
      <c r="S286" s="1144">
        <f>IFERROR(VLOOKUP(CONCATENATE($E286,$G286),'LAC 103'!$A$12:$O$95,12,FALSE),0)</f>
        <v>3.07</v>
      </c>
      <c r="T286" s="1144">
        <f>IFERROR(VLOOKUP(CONCATENATE($E286,$G286),'LAC 103'!$A$12:$O$95,13,FALSE),0)</f>
        <v>1.92</v>
      </c>
      <c r="U286" s="1144">
        <f>IFERROR(VLOOKUP(CONCATENATE($E286,$G286),'LAC 103'!$A$12:$O$95,14,FALSE),0)</f>
        <v>0</v>
      </c>
      <c r="V286" s="1144">
        <f>IFERROR(VLOOKUP(CONCATENATE($E286,$G286),'LAC 103'!$A$12:$O$95,15,FALSE),0)</f>
        <v>0</v>
      </c>
      <c r="W286" s="1145" t="str">
        <f>IFERROR(VLOOKUP(CONCATENATE($B286,$N286),'LAC 103'!$AI:$AQ,9,FALSE),"")</f>
        <v>P.C.</v>
      </c>
      <c r="X286" s="1146">
        <f t="shared" si="78"/>
        <v>1.92</v>
      </c>
      <c r="Y286" s="1143">
        <f t="shared" si="79"/>
        <v>7928.7177755762132</v>
      </c>
      <c r="Z286" s="1147">
        <f t="shared" si="80"/>
        <v>9802.51</v>
      </c>
      <c r="AA286" s="1144">
        <f t="shared" si="81"/>
        <v>6130.5599999999995</v>
      </c>
      <c r="AB286" s="1144">
        <f t="shared" si="82"/>
        <v>0</v>
      </c>
      <c r="AC286" s="1144">
        <f t="shared" si="83"/>
        <v>0</v>
      </c>
      <c r="AD286" s="1148">
        <f t="shared" si="74"/>
        <v>6130.5599999999995</v>
      </c>
      <c r="AE286" s="1487">
        <v>0</v>
      </c>
      <c r="AF286" s="1145">
        <f t="shared" si="84"/>
        <v>6130.5599999999995</v>
      </c>
      <c r="AG286" s="1149">
        <f>IFERROR(VLOOKUP(CONCATENATE($L286,$N286),'Drop List'!$G$23:$K$87,2,FALSE),0)</f>
        <v>0.55000000000000004</v>
      </c>
      <c r="AH286" s="1150">
        <f>IFERROR(VLOOKUP(CONCATENATE($L286,$N286),'Drop List'!$G$23:$K$87,3,FALSE),0)</f>
        <v>0.44999999999999996</v>
      </c>
      <c r="AI286" s="1150">
        <f>IFERROR(VLOOKUP(CONCATENATE($L286,$N286),'Drop List'!$G$23:$K$87,4,FALSE),0)</f>
        <v>0</v>
      </c>
      <c r="AJ286" s="1151">
        <f>IFERROR(VLOOKUP(CONCATENATE($L286,$N286),'Drop List'!$G$23:$K$87,5,FALSE),0)</f>
        <v>0</v>
      </c>
      <c r="AK286" s="1152">
        <f t="shared" si="85"/>
        <v>3371.808</v>
      </c>
      <c r="AL286" s="1153">
        <f t="shared" si="86"/>
        <v>2758.7519999999995</v>
      </c>
      <c r="AM286" s="1153">
        <f t="shared" si="87"/>
        <v>0</v>
      </c>
      <c r="AN286" s="1145">
        <f t="shared" si="88"/>
        <v>0</v>
      </c>
      <c r="AO286" s="1154">
        <f t="shared" si="89"/>
        <v>6130.5599999999995</v>
      </c>
      <c r="AP286" s="1147">
        <f t="shared" si="75"/>
        <v>0</v>
      </c>
      <c r="AQ286" s="1144">
        <f t="shared" si="76"/>
        <v>0</v>
      </c>
      <c r="AR286" s="1146">
        <f t="shared" si="77"/>
        <v>6130.5599999999995</v>
      </c>
    </row>
    <row r="287" spans="1:44" x14ac:dyDescent="0.2">
      <c r="A287" s="1141" t="str">
        <f t="shared" si="72"/>
        <v>1504</v>
      </c>
      <c r="B287" s="1141" t="str">
        <f>IFERROR(VLOOKUP(A287,'LAC 103'!A:C,3,FALSE),"")</f>
        <v>OP</v>
      </c>
      <c r="C287" s="1478" t="str">
        <f>Info!$B$8</f>
        <v>00100</v>
      </c>
      <c r="D287" s="1474" t="s">
        <v>256</v>
      </c>
      <c r="E287" s="1474" t="s">
        <v>95</v>
      </c>
      <c r="F287" s="1478" t="s">
        <v>588</v>
      </c>
      <c r="G287" s="1478" t="s">
        <v>588</v>
      </c>
      <c r="H287" s="1474" t="s">
        <v>1091</v>
      </c>
      <c r="I287" s="1478" t="s">
        <v>815</v>
      </c>
      <c r="J287" s="1478"/>
      <c r="K287" s="1475" t="s">
        <v>847</v>
      </c>
      <c r="L287" s="1474" t="s">
        <v>582</v>
      </c>
      <c r="M287" s="1476" t="s">
        <v>842</v>
      </c>
      <c r="N287" s="1477" t="s">
        <v>1692</v>
      </c>
      <c r="O287" s="1479">
        <v>3068</v>
      </c>
      <c r="P287" s="1479"/>
      <c r="Q287" s="1142">
        <f t="shared" si="73"/>
        <v>3068</v>
      </c>
      <c r="R287" s="1143">
        <f>IFERROR(VLOOKUP(CONCATENATE(E287,G287),'LAC 103'!$A$12:$O$95,11,FALSE),0)</f>
        <v>2.483156209074918</v>
      </c>
      <c r="S287" s="1144">
        <f>IFERROR(VLOOKUP(CONCATENATE($E287,$G287),'LAC 103'!$A$12:$O$95,12,FALSE),0)</f>
        <v>3.07</v>
      </c>
      <c r="T287" s="1144">
        <f>IFERROR(VLOOKUP(CONCATENATE($E287,$G287),'LAC 103'!$A$12:$O$95,13,FALSE),0)</f>
        <v>1.92</v>
      </c>
      <c r="U287" s="1144">
        <f>IFERROR(VLOOKUP(CONCATENATE($E287,$G287),'LAC 103'!$A$12:$O$95,14,FALSE),0)</f>
        <v>0</v>
      </c>
      <c r="V287" s="1144">
        <f>IFERROR(VLOOKUP(CONCATENATE($E287,$G287),'LAC 103'!$A$12:$O$95,15,FALSE),0)</f>
        <v>0</v>
      </c>
      <c r="W287" s="1145" t="str">
        <f>IFERROR(VLOOKUP(CONCATENATE($B287,$N287),'LAC 103'!$AI:$AQ,9,FALSE),"")</f>
        <v>Costs</v>
      </c>
      <c r="X287" s="1146">
        <f t="shared" si="78"/>
        <v>2.483156209074918</v>
      </c>
      <c r="Y287" s="1143">
        <f t="shared" si="79"/>
        <v>7618.323249441848</v>
      </c>
      <c r="Z287" s="1147">
        <f t="shared" si="80"/>
        <v>9418.76</v>
      </c>
      <c r="AA287" s="1144">
        <f t="shared" si="81"/>
        <v>5890.5599999999995</v>
      </c>
      <c r="AB287" s="1144">
        <f t="shared" si="82"/>
        <v>0</v>
      </c>
      <c r="AC287" s="1144">
        <f t="shared" si="83"/>
        <v>0</v>
      </c>
      <c r="AD287" s="1148">
        <f t="shared" si="74"/>
        <v>7618.323249441848</v>
      </c>
      <c r="AE287" s="1487">
        <v>0</v>
      </c>
      <c r="AF287" s="1145">
        <f t="shared" si="84"/>
        <v>7618.323249441848</v>
      </c>
      <c r="AG287" s="1149">
        <f>IFERROR(VLOOKUP(CONCATENATE($L287,$N287),'Drop List'!$G$23:$K$87,2,FALSE),0)</f>
        <v>0.56200000000000006</v>
      </c>
      <c r="AH287" s="1150">
        <f>IFERROR(VLOOKUP(CONCATENATE($L287,$N287),'Drop List'!$G$23:$K$87,3,FALSE),0)</f>
        <v>0.43799999999999994</v>
      </c>
      <c r="AI287" s="1150">
        <f>IFERROR(VLOOKUP(CONCATENATE($L287,$N287),'Drop List'!$G$23:$K$87,4,FALSE),0)</f>
        <v>0</v>
      </c>
      <c r="AJ287" s="1151">
        <f>IFERROR(VLOOKUP(CONCATENATE($L287,$N287),'Drop List'!$G$23:$K$87,5,FALSE),0)</f>
        <v>0</v>
      </c>
      <c r="AK287" s="1152">
        <f t="shared" si="85"/>
        <v>4281.4976661863193</v>
      </c>
      <c r="AL287" s="1153">
        <f t="shared" si="86"/>
        <v>3336.8255832555292</v>
      </c>
      <c r="AM287" s="1153">
        <f t="shared" si="87"/>
        <v>0</v>
      </c>
      <c r="AN287" s="1145">
        <f t="shared" si="88"/>
        <v>0</v>
      </c>
      <c r="AO287" s="1154">
        <f t="shared" si="89"/>
        <v>7618.323249441848</v>
      </c>
      <c r="AP287" s="1147">
        <f t="shared" si="75"/>
        <v>0</v>
      </c>
      <c r="AQ287" s="1144">
        <f t="shared" si="76"/>
        <v>0</v>
      </c>
      <c r="AR287" s="1146">
        <f t="shared" si="77"/>
        <v>7618.323249441848</v>
      </c>
    </row>
    <row r="288" spans="1:44" x14ac:dyDescent="0.2">
      <c r="A288" s="1141" t="str">
        <f t="shared" si="72"/>
        <v>1504</v>
      </c>
      <c r="B288" s="1141" t="str">
        <f>IFERROR(VLOOKUP(A288,'LAC 103'!A:C,3,FALSE),"")</f>
        <v>OP</v>
      </c>
      <c r="C288" s="1478" t="str">
        <f>Info!$B$8</f>
        <v>00100</v>
      </c>
      <c r="D288" s="1474" t="s">
        <v>256</v>
      </c>
      <c r="E288" s="1474" t="s">
        <v>95</v>
      </c>
      <c r="F288" s="1478" t="s">
        <v>588</v>
      </c>
      <c r="G288" s="1478" t="s">
        <v>588</v>
      </c>
      <c r="H288" s="1474" t="s">
        <v>1091</v>
      </c>
      <c r="I288" s="1478" t="s">
        <v>815</v>
      </c>
      <c r="J288" s="1478"/>
      <c r="K288" s="1475" t="s">
        <v>847</v>
      </c>
      <c r="L288" s="1474" t="s">
        <v>582</v>
      </c>
      <c r="M288" s="1476" t="s">
        <v>1698</v>
      </c>
      <c r="N288" s="1477" t="s">
        <v>1693</v>
      </c>
      <c r="O288" s="1479">
        <v>5968</v>
      </c>
      <c r="P288" s="1479"/>
      <c r="Q288" s="1142">
        <f t="shared" si="73"/>
        <v>5968</v>
      </c>
      <c r="R288" s="1143">
        <f>IFERROR(VLOOKUP(CONCATENATE(E288,G288),'LAC 103'!$A$12:$O$95,11,FALSE),0)</f>
        <v>2.483156209074918</v>
      </c>
      <c r="S288" s="1144">
        <f>IFERROR(VLOOKUP(CONCATENATE($E288,$G288),'LAC 103'!$A$12:$O$95,12,FALSE),0)</f>
        <v>3.07</v>
      </c>
      <c r="T288" s="1144">
        <f>IFERROR(VLOOKUP(CONCATENATE($E288,$G288),'LAC 103'!$A$12:$O$95,13,FALSE),0)</f>
        <v>1.92</v>
      </c>
      <c r="U288" s="1144">
        <f>IFERROR(VLOOKUP(CONCATENATE($E288,$G288),'LAC 103'!$A$12:$O$95,14,FALSE),0)</f>
        <v>0</v>
      </c>
      <c r="V288" s="1144">
        <f>IFERROR(VLOOKUP(CONCATENATE($E288,$G288),'LAC 103'!$A$12:$O$95,15,FALSE),0)</f>
        <v>0</v>
      </c>
      <c r="W288" s="1145" t="str">
        <f>IFERROR(VLOOKUP(CONCATENATE($B288,$N288),'LAC 103'!$AI:$AQ,9,FALSE),"")</f>
        <v>Costs</v>
      </c>
      <c r="X288" s="1146">
        <f t="shared" si="78"/>
        <v>2.483156209074918</v>
      </c>
      <c r="Y288" s="1143">
        <f t="shared" si="79"/>
        <v>14819.476255759111</v>
      </c>
      <c r="Z288" s="1147">
        <f t="shared" si="80"/>
        <v>18321.759999999998</v>
      </c>
      <c r="AA288" s="1144">
        <f t="shared" si="81"/>
        <v>11458.56</v>
      </c>
      <c r="AB288" s="1144">
        <f t="shared" si="82"/>
        <v>0</v>
      </c>
      <c r="AC288" s="1144">
        <f t="shared" si="83"/>
        <v>0</v>
      </c>
      <c r="AD288" s="1148">
        <f t="shared" si="74"/>
        <v>14819.476255759111</v>
      </c>
      <c r="AE288" s="1487">
        <v>0</v>
      </c>
      <c r="AF288" s="1145">
        <f t="shared" si="84"/>
        <v>14819.476255759111</v>
      </c>
      <c r="AG288" s="1149">
        <f>IFERROR(VLOOKUP(CONCATENATE($L288,$N288),'Drop List'!$G$23:$K$87,2,FALSE),0)</f>
        <v>0.56200000000000006</v>
      </c>
      <c r="AH288" s="1150">
        <f>IFERROR(VLOOKUP(CONCATENATE($L288,$N288),'Drop List'!$G$23:$K$87,3,FALSE),0)</f>
        <v>0.43799999999999994</v>
      </c>
      <c r="AI288" s="1150">
        <f>IFERROR(VLOOKUP(CONCATENATE($L288,$N288),'Drop List'!$G$23:$K$87,4,FALSE),0)</f>
        <v>0</v>
      </c>
      <c r="AJ288" s="1151">
        <f>IFERROR(VLOOKUP(CONCATENATE($L288,$N288),'Drop List'!$G$23:$K$87,5,FALSE),0)</f>
        <v>0</v>
      </c>
      <c r="AK288" s="1152">
        <f t="shared" si="85"/>
        <v>8328.5456557366215</v>
      </c>
      <c r="AL288" s="1153">
        <f t="shared" si="86"/>
        <v>6490.9306000224897</v>
      </c>
      <c r="AM288" s="1153">
        <f t="shared" si="87"/>
        <v>0</v>
      </c>
      <c r="AN288" s="1145">
        <f t="shared" si="88"/>
        <v>0</v>
      </c>
      <c r="AO288" s="1154">
        <f t="shared" si="89"/>
        <v>14819.476255759111</v>
      </c>
      <c r="AP288" s="1147">
        <f t="shared" si="75"/>
        <v>0</v>
      </c>
      <c r="AQ288" s="1144">
        <f t="shared" si="76"/>
        <v>0</v>
      </c>
      <c r="AR288" s="1146">
        <f t="shared" si="77"/>
        <v>14819.476255759111</v>
      </c>
    </row>
    <row r="289" spans="1:44" x14ac:dyDescent="0.2">
      <c r="A289" s="1141" t="str">
        <f t="shared" si="72"/>
        <v>1504</v>
      </c>
      <c r="B289" s="1141" t="str">
        <f>IFERROR(VLOOKUP(A289,'LAC 103'!A:C,3,FALSE),"")</f>
        <v>OP</v>
      </c>
      <c r="C289" s="1478" t="str">
        <f>Info!$B$8</f>
        <v>00100</v>
      </c>
      <c r="D289" s="1474" t="s">
        <v>256</v>
      </c>
      <c r="E289" s="1474" t="s">
        <v>95</v>
      </c>
      <c r="F289" s="1478" t="s">
        <v>588</v>
      </c>
      <c r="G289" s="1478" t="s">
        <v>588</v>
      </c>
      <c r="H289" s="1474" t="s">
        <v>1091</v>
      </c>
      <c r="I289" s="1478" t="s">
        <v>815</v>
      </c>
      <c r="J289" s="1478"/>
      <c r="K289" s="1475" t="s">
        <v>848</v>
      </c>
      <c r="L289" s="1474" t="s">
        <v>45</v>
      </c>
      <c r="M289" s="1476" t="s">
        <v>1699</v>
      </c>
      <c r="N289" s="1477" t="s">
        <v>1694</v>
      </c>
      <c r="O289" s="1479">
        <v>2236</v>
      </c>
      <c r="P289" s="1479"/>
      <c r="Q289" s="1142">
        <f t="shared" si="73"/>
        <v>2236</v>
      </c>
      <c r="R289" s="1143">
        <f>IFERROR(VLOOKUP(CONCATENATE(E289,G289),'LAC 103'!$A$12:$O$95,11,FALSE),0)</f>
        <v>2.483156209074918</v>
      </c>
      <c r="S289" s="1144">
        <f>IFERROR(VLOOKUP(CONCATENATE($E289,$G289),'LAC 103'!$A$12:$O$95,12,FALSE),0)</f>
        <v>3.07</v>
      </c>
      <c r="T289" s="1144">
        <f>IFERROR(VLOOKUP(CONCATENATE($E289,$G289),'LAC 103'!$A$12:$O$95,13,FALSE),0)</f>
        <v>1.92</v>
      </c>
      <c r="U289" s="1144">
        <f>IFERROR(VLOOKUP(CONCATENATE($E289,$G289),'LAC 103'!$A$12:$O$95,14,FALSE),0)</f>
        <v>0</v>
      </c>
      <c r="V289" s="1144">
        <f>IFERROR(VLOOKUP(CONCATENATE($E289,$G289),'LAC 103'!$A$12:$O$95,15,FALSE),0)</f>
        <v>0</v>
      </c>
      <c r="W289" s="1145" t="str">
        <f>IFERROR(VLOOKUP(CONCATENATE($B289,$N289),'LAC 103'!$AI:$AQ,9,FALSE),"")</f>
        <v>Costs</v>
      </c>
      <c r="X289" s="1146">
        <f t="shared" si="78"/>
        <v>2.483156209074918</v>
      </c>
      <c r="Y289" s="1143">
        <f t="shared" si="79"/>
        <v>5552.3372834915162</v>
      </c>
      <c r="Z289" s="1147">
        <f t="shared" si="80"/>
        <v>6864.5199999999995</v>
      </c>
      <c r="AA289" s="1144">
        <f t="shared" si="81"/>
        <v>4293.12</v>
      </c>
      <c r="AB289" s="1144">
        <f t="shared" si="82"/>
        <v>0</v>
      </c>
      <c r="AC289" s="1144">
        <f t="shared" si="83"/>
        <v>0</v>
      </c>
      <c r="AD289" s="1148">
        <f t="shared" si="74"/>
        <v>5552.3372834915162</v>
      </c>
      <c r="AE289" s="1487">
        <v>0</v>
      </c>
      <c r="AF289" s="1145">
        <f t="shared" si="84"/>
        <v>5552.3372834915162</v>
      </c>
      <c r="AG289" s="1149">
        <f>IFERROR(VLOOKUP(CONCATENATE($L289,$N289),'Drop List'!$G$23:$K$87,2,FALSE),0)</f>
        <v>0.69340000000000002</v>
      </c>
      <c r="AH289" s="1150">
        <f>IFERROR(VLOOKUP(CONCATENATE($L289,$N289),'Drop List'!$G$23:$K$87,3,FALSE),0)</f>
        <v>0.30659999999999998</v>
      </c>
      <c r="AI289" s="1150">
        <f>IFERROR(VLOOKUP(CONCATENATE($L289,$N289),'Drop List'!$G$23:$K$87,4,FALSE),0)</f>
        <v>0</v>
      </c>
      <c r="AJ289" s="1151">
        <f>IFERROR(VLOOKUP(CONCATENATE($L289,$N289),'Drop List'!$G$23:$K$87,5,FALSE),0)</f>
        <v>0</v>
      </c>
      <c r="AK289" s="1152">
        <f t="shared" si="85"/>
        <v>3849.9906723730173</v>
      </c>
      <c r="AL289" s="1153">
        <f t="shared" si="86"/>
        <v>1702.3466111184987</v>
      </c>
      <c r="AM289" s="1153">
        <f t="shared" si="87"/>
        <v>0</v>
      </c>
      <c r="AN289" s="1145">
        <f t="shared" si="88"/>
        <v>0</v>
      </c>
      <c r="AO289" s="1154">
        <f t="shared" si="89"/>
        <v>5552.3372834915162</v>
      </c>
      <c r="AP289" s="1147">
        <f t="shared" si="75"/>
        <v>0</v>
      </c>
      <c r="AQ289" s="1144">
        <f t="shared" si="76"/>
        <v>0</v>
      </c>
      <c r="AR289" s="1146">
        <f t="shared" si="77"/>
        <v>5552.3372834915162</v>
      </c>
    </row>
    <row r="290" spans="1:44" x14ac:dyDescent="0.2">
      <c r="A290" s="1141" t="str">
        <f t="shared" si="72"/>
        <v>1504</v>
      </c>
      <c r="B290" s="1141" t="str">
        <f>IFERROR(VLOOKUP(A290,'LAC 103'!A:C,3,FALSE),"")</f>
        <v>OP</v>
      </c>
      <c r="C290" s="1478" t="str">
        <f>Info!$B$8</f>
        <v>00100</v>
      </c>
      <c r="D290" s="1474" t="s">
        <v>256</v>
      </c>
      <c r="E290" s="1474" t="s">
        <v>95</v>
      </c>
      <c r="F290" s="1478" t="s">
        <v>588</v>
      </c>
      <c r="G290" s="1478" t="s">
        <v>588</v>
      </c>
      <c r="H290" s="1474" t="s">
        <v>1091</v>
      </c>
      <c r="I290" s="1478" t="s">
        <v>815</v>
      </c>
      <c r="J290" s="1478"/>
      <c r="K290" s="1475" t="s">
        <v>848</v>
      </c>
      <c r="L290" s="1474" t="s">
        <v>45</v>
      </c>
      <c r="M290" s="1476" t="s">
        <v>841</v>
      </c>
      <c r="N290" s="1477" t="s">
        <v>1695</v>
      </c>
      <c r="O290" s="1479">
        <v>741</v>
      </c>
      <c r="P290" s="1479"/>
      <c r="Q290" s="1142">
        <f t="shared" si="73"/>
        <v>741</v>
      </c>
      <c r="R290" s="1143">
        <f>IFERROR(VLOOKUP(CONCATENATE(E290,G290),'LAC 103'!$A$12:$O$95,11,FALSE),0)</f>
        <v>2.483156209074918</v>
      </c>
      <c r="S290" s="1144">
        <f>IFERROR(VLOOKUP(CONCATENATE($E290,$G290),'LAC 103'!$A$12:$O$95,12,FALSE),0)</f>
        <v>3.07</v>
      </c>
      <c r="T290" s="1144">
        <f>IFERROR(VLOOKUP(CONCATENATE($E290,$G290),'LAC 103'!$A$12:$O$95,13,FALSE),0)</f>
        <v>1.92</v>
      </c>
      <c r="U290" s="1144">
        <f>IFERROR(VLOOKUP(CONCATENATE($E290,$G290),'LAC 103'!$A$12:$O$95,14,FALSE),0)</f>
        <v>0</v>
      </c>
      <c r="V290" s="1144">
        <f>IFERROR(VLOOKUP(CONCATENATE($E290,$G290),'LAC 103'!$A$12:$O$95,15,FALSE),0)</f>
        <v>0</v>
      </c>
      <c r="W290" s="1145" t="str">
        <f>IFERROR(VLOOKUP(CONCATENATE($B290,$N290),'LAC 103'!$AI:$AQ,9,FALSE),"")</f>
        <v>Costs</v>
      </c>
      <c r="X290" s="1146">
        <f t="shared" si="78"/>
        <v>2.483156209074918</v>
      </c>
      <c r="Y290" s="1143">
        <f t="shared" si="79"/>
        <v>1840.0187509245143</v>
      </c>
      <c r="Z290" s="1147">
        <f t="shared" si="80"/>
        <v>2274.87</v>
      </c>
      <c r="AA290" s="1144">
        <f t="shared" si="81"/>
        <v>1422.72</v>
      </c>
      <c r="AB290" s="1144">
        <f t="shared" si="82"/>
        <v>0</v>
      </c>
      <c r="AC290" s="1144">
        <f t="shared" si="83"/>
        <v>0</v>
      </c>
      <c r="AD290" s="1148">
        <f t="shared" si="74"/>
        <v>1840.0187509245143</v>
      </c>
      <c r="AE290" s="1487">
        <v>0</v>
      </c>
      <c r="AF290" s="1145">
        <f t="shared" si="84"/>
        <v>1840.0187509245143</v>
      </c>
      <c r="AG290" s="1149">
        <f>IFERROR(VLOOKUP(CONCATENATE($L290,$N290),'Drop List'!$G$23:$K$87,2,FALSE),0)</f>
        <v>0.68500000000000005</v>
      </c>
      <c r="AH290" s="1150">
        <f>IFERROR(VLOOKUP(CONCATENATE($L290,$N290),'Drop List'!$G$23:$K$87,3,FALSE),0)</f>
        <v>0.31499999999999995</v>
      </c>
      <c r="AI290" s="1150">
        <f>IFERROR(VLOOKUP(CONCATENATE($L290,$N290),'Drop List'!$G$23:$K$87,4,FALSE),0)</f>
        <v>0</v>
      </c>
      <c r="AJ290" s="1151">
        <f>IFERROR(VLOOKUP(CONCATENATE($L290,$N290),'Drop List'!$G$23:$K$87,5,FALSE),0)</f>
        <v>0</v>
      </c>
      <c r="AK290" s="1152">
        <f t="shared" si="85"/>
        <v>1260.4128443832924</v>
      </c>
      <c r="AL290" s="1153">
        <f t="shared" si="86"/>
        <v>579.60590654122188</v>
      </c>
      <c r="AM290" s="1153">
        <f t="shared" si="87"/>
        <v>0</v>
      </c>
      <c r="AN290" s="1145">
        <f t="shared" si="88"/>
        <v>0</v>
      </c>
      <c r="AO290" s="1154">
        <f t="shared" si="89"/>
        <v>1840.0187509245143</v>
      </c>
      <c r="AP290" s="1147">
        <f t="shared" si="75"/>
        <v>0</v>
      </c>
      <c r="AQ290" s="1144">
        <f t="shared" si="76"/>
        <v>0</v>
      </c>
      <c r="AR290" s="1146">
        <f t="shared" si="77"/>
        <v>1840.0187509245143</v>
      </c>
    </row>
    <row r="291" spans="1:44" x14ac:dyDescent="0.2">
      <c r="A291" s="1141" t="str">
        <f t="shared" si="72"/>
        <v>1504</v>
      </c>
      <c r="B291" s="1141" t="str">
        <f>IFERROR(VLOOKUP(A291,'LAC 103'!A:C,3,FALSE),"")</f>
        <v>OP</v>
      </c>
      <c r="C291" s="1478" t="str">
        <f>Info!$B$8</f>
        <v>00100</v>
      </c>
      <c r="D291" s="1474" t="s">
        <v>256</v>
      </c>
      <c r="E291" s="1474" t="s">
        <v>95</v>
      </c>
      <c r="F291" s="1478" t="s">
        <v>588</v>
      </c>
      <c r="G291" s="1478" t="s">
        <v>588</v>
      </c>
      <c r="H291" s="1474" t="s">
        <v>1091</v>
      </c>
      <c r="I291" s="1478" t="s">
        <v>815</v>
      </c>
      <c r="J291" s="1478"/>
      <c r="K291" s="1475" t="s">
        <v>848</v>
      </c>
      <c r="L291" s="1474" t="s">
        <v>45</v>
      </c>
      <c r="M291" s="1476" t="s">
        <v>840</v>
      </c>
      <c r="N291" s="1477" t="s">
        <v>1700</v>
      </c>
      <c r="O291" s="1479">
        <v>1552</v>
      </c>
      <c r="P291" s="1479"/>
      <c r="Q291" s="1142">
        <f t="shared" si="73"/>
        <v>1552</v>
      </c>
      <c r="R291" s="1143">
        <f>IFERROR(VLOOKUP(CONCATENATE(E291,G291),'LAC 103'!$A$12:$O$95,11,FALSE),0)</f>
        <v>2.483156209074918</v>
      </c>
      <c r="S291" s="1144">
        <f>IFERROR(VLOOKUP(CONCATENATE($E291,$G291),'LAC 103'!$A$12:$O$95,12,FALSE),0)</f>
        <v>3.07</v>
      </c>
      <c r="T291" s="1144">
        <f>IFERROR(VLOOKUP(CONCATENATE($E291,$G291),'LAC 103'!$A$12:$O$95,13,FALSE),0)</f>
        <v>1.92</v>
      </c>
      <c r="U291" s="1144">
        <f>IFERROR(VLOOKUP(CONCATENATE($E291,$G291),'LAC 103'!$A$12:$O$95,14,FALSE),0)</f>
        <v>0</v>
      </c>
      <c r="V291" s="1144">
        <f>IFERROR(VLOOKUP(CONCATENATE($E291,$G291),'LAC 103'!$A$12:$O$95,15,FALSE),0)</f>
        <v>0</v>
      </c>
      <c r="W291" s="1145" t="str">
        <f>IFERROR(VLOOKUP(CONCATENATE($B291,$N291),'LAC 103'!$AI:$AQ,9,FALSE),"")</f>
        <v>P.C.</v>
      </c>
      <c r="X291" s="1146">
        <f t="shared" si="78"/>
        <v>1.92</v>
      </c>
      <c r="Y291" s="1143">
        <f t="shared" si="79"/>
        <v>3853.8584364842727</v>
      </c>
      <c r="Z291" s="1147">
        <f t="shared" si="80"/>
        <v>4764.6399999999994</v>
      </c>
      <c r="AA291" s="1144">
        <f t="shared" si="81"/>
        <v>2979.8399999999997</v>
      </c>
      <c r="AB291" s="1144">
        <f t="shared" si="82"/>
        <v>0</v>
      </c>
      <c r="AC291" s="1144">
        <f t="shared" si="83"/>
        <v>0</v>
      </c>
      <c r="AD291" s="1148">
        <f t="shared" si="74"/>
        <v>2979.8399999999997</v>
      </c>
      <c r="AE291" s="1487">
        <v>0</v>
      </c>
      <c r="AF291" s="1145">
        <f t="shared" si="84"/>
        <v>2979.8399999999997</v>
      </c>
      <c r="AG291" s="1149">
        <f>IFERROR(VLOOKUP(CONCATENATE($L291,$N291),'Drop List'!$G$23:$K$87,2,FALSE),0)</f>
        <v>0.68500000000000005</v>
      </c>
      <c r="AH291" s="1150">
        <f>IFERROR(VLOOKUP(CONCATENATE($L291,$N291),'Drop List'!$G$23:$K$87,3,FALSE),0)</f>
        <v>0.31499999999999995</v>
      </c>
      <c r="AI291" s="1150">
        <f>IFERROR(VLOOKUP(CONCATENATE($L291,$N291),'Drop List'!$G$23:$K$87,4,FALSE),0)</f>
        <v>0</v>
      </c>
      <c r="AJ291" s="1151">
        <f>IFERROR(VLOOKUP(CONCATENATE($L291,$N291),'Drop List'!$G$23:$K$87,5,FALSE),0)</f>
        <v>0</v>
      </c>
      <c r="AK291" s="1152">
        <f t="shared" si="85"/>
        <v>2041.1904</v>
      </c>
      <c r="AL291" s="1153">
        <f t="shared" si="86"/>
        <v>938.64959999999974</v>
      </c>
      <c r="AM291" s="1153">
        <f t="shared" si="87"/>
        <v>0</v>
      </c>
      <c r="AN291" s="1145">
        <f t="shared" si="88"/>
        <v>0</v>
      </c>
      <c r="AO291" s="1154">
        <f t="shared" si="89"/>
        <v>2979.8399999999997</v>
      </c>
      <c r="AP291" s="1147">
        <f t="shared" si="75"/>
        <v>0</v>
      </c>
      <c r="AQ291" s="1144">
        <f t="shared" si="76"/>
        <v>0</v>
      </c>
      <c r="AR291" s="1146">
        <f t="shared" si="77"/>
        <v>2979.8399999999997</v>
      </c>
    </row>
    <row r="292" spans="1:44" x14ac:dyDescent="0.2">
      <c r="A292" s="1141" t="str">
        <f t="shared" si="72"/>
        <v>1504</v>
      </c>
      <c r="B292" s="1141" t="str">
        <f>IFERROR(VLOOKUP(A292,'LAC 103'!A:C,3,FALSE),"")</f>
        <v>OP</v>
      </c>
      <c r="C292" s="1478" t="str">
        <f>Info!$B$8</f>
        <v>00100</v>
      </c>
      <c r="D292" s="1474" t="s">
        <v>256</v>
      </c>
      <c r="E292" s="1474" t="s">
        <v>95</v>
      </c>
      <c r="F292" s="1478" t="s">
        <v>588</v>
      </c>
      <c r="G292" s="1478" t="s">
        <v>588</v>
      </c>
      <c r="H292" s="1474" t="s">
        <v>1091</v>
      </c>
      <c r="I292" s="1478" t="s">
        <v>815</v>
      </c>
      <c r="J292" s="1478"/>
      <c r="K292" s="1475" t="s">
        <v>848</v>
      </c>
      <c r="L292" s="1474" t="s">
        <v>45</v>
      </c>
      <c r="M292" s="1476" t="s">
        <v>842</v>
      </c>
      <c r="N292" s="1477" t="s">
        <v>1692</v>
      </c>
      <c r="O292" s="1479">
        <v>563</v>
      </c>
      <c r="P292" s="1479"/>
      <c r="Q292" s="1142">
        <f t="shared" si="73"/>
        <v>563</v>
      </c>
      <c r="R292" s="1143">
        <f>IFERROR(VLOOKUP(CONCATENATE(E292,G292),'LAC 103'!$A$12:$O$95,11,FALSE),0)</f>
        <v>2.483156209074918</v>
      </c>
      <c r="S292" s="1144">
        <f>IFERROR(VLOOKUP(CONCATENATE($E292,$G292),'LAC 103'!$A$12:$O$95,12,FALSE),0)</f>
        <v>3.07</v>
      </c>
      <c r="T292" s="1144">
        <f>IFERROR(VLOOKUP(CONCATENATE($E292,$G292),'LAC 103'!$A$12:$O$95,13,FALSE),0)</f>
        <v>1.92</v>
      </c>
      <c r="U292" s="1144">
        <f>IFERROR(VLOOKUP(CONCATENATE($E292,$G292),'LAC 103'!$A$12:$O$95,14,FALSE),0)</f>
        <v>0</v>
      </c>
      <c r="V292" s="1144">
        <f>IFERROR(VLOOKUP(CONCATENATE($E292,$G292),'LAC 103'!$A$12:$O$95,15,FALSE),0)</f>
        <v>0</v>
      </c>
      <c r="W292" s="1145" t="str">
        <f>IFERROR(VLOOKUP(CONCATENATE($B292,$N292),'LAC 103'!$AI:$AQ,9,FALSE),"")</f>
        <v>Costs</v>
      </c>
      <c r="X292" s="1146">
        <f t="shared" si="78"/>
        <v>2.483156209074918</v>
      </c>
      <c r="Y292" s="1143">
        <f t="shared" si="79"/>
        <v>1398.0169457091788</v>
      </c>
      <c r="Z292" s="1147">
        <f t="shared" si="80"/>
        <v>1728.4099999999999</v>
      </c>
      <c r="AA292" s="1144">
        <f t="shared" si="81"/>
        <v>1080.96</v>
      </c>
      <c r="AB292" s="1144">
        <f t="shared" si="82"/>
        <v>0</v>
      </c>
      <c r="AC292" s="1144">
        <f t="shared" si="83"/>
        <v>0</v>
      </c>
      <c r="AD292" s="1148">
        <f t="shared" si="74"/>
        <v>1398.0169457091788</v>
      </c>
      <c r="AE292" s="1487">
        <v>0</v>
      </c>
      <c r="AF292" s="1145">
        <f t="shared" si="84"/>
        <v>1398.0169457091788</v>
      </c>
      <c r="AG292" s="1149">
        <f>IFERROR(VLOOKUP(CONCATENATE($L292,$N292),'Drop List'!$G$23:$K$87,2,FALSE),0)</f>
        <v>0.69340000000000002</v>
      </c>
      <c r="AH292" s="1150">
        <f>IFERROR(VLOOKUP(CONCATENATE($L292,$N292),'Drop List'!$G$23:$K$87,3,FALSE),0)</f>
        <v>0.30659999999999998</v>
      </c>
      <c r="AI292" s="1150">
        <f>IFERROR(VLOOKUP(CONCATENATE($L292,$N292),'Drop List'!$G$23:$K$87,4,FALSE),0)</f>
        <v>0</v>
      </c>
      <c r="AJ292" s="1151">
        <f>IFERROR(VLOOKUP(CONCATENATE($L292,$N292),'Drop List'!$G$23:$K$87,5,FALSE),0)</f>
        <v>0</v>
      </c>
      <c r="AK292" s="1152">
        <f t="shared" si="85"/>
        <v>969.38495015474462</v>
      </c>
      <c r="AL292" s="1153">
        <f t="shared" si="86"/>
        <v>428.63199555443418</v>
      </c>
      <c r="AM292" s="1153">
        <f t="shared" si="87"/>
        <v>0</v>
      </c>
      <c r="AN292" s="1145">
        <f t="shared" si="88"/>
        <v>0</v>
      </c>
      <c r="AO292" s="1154">
        <f t="shared" si="89"/>
        <v>1398.0169457091788</v>
      </c>
      <c r="AP292" s="1147">
        <f t="shared" si="75"/>
        <v>0</v>
      </c>
      <c r="AQ292" s="1144">
        <f t="shared" si="76"/>
        <v>0</v>
      </c>
      <c r="AR292" s="1146">
        <f t="shared" si="77"/>
        <v>1398.0169457091788</v>
      </c>
    </row>
    <row r="293" spans="1:44" x14ac:dyDescent="0.2">
      <c r="A293" s="1141" t="str">
        <f t="shared" si="72"/>
        <v>1504</v>
      </c>
      <c r="B293" s="1141" t="str">
        <f>IFERROR(VLOOKUP(A293,'LAC 103'!A:C,3,FALSE),"")</f>
        <v>OP</v>
      </c>
      <c r="C293" s="1478" t="str">
        <f>Info!$B$8</f>
        <v>00100</v>
      </c>
      <c r="D293" s="1474" t="s">
        <v>256</v>
      </c>
      <c r="E293" s="1474" t="s">
        <v>95</v>
      </c>
      <c r="F293" s="1478" t="s">
        <v>588</v>
      </c>
      <c r="G293" s="1478" t="s">
        <v>588</v>
      </c>
      <c r="H293" s="1474" t="s">
        <v>1091</v>
      </c>
      <c r="I293" s="1478" t="s">
        <v>815</v>
      </c>
      <c r="J293" s="1478"/>
      <c r="K293" s="1475" t="s">
        <v>848</v>
      </c>
      <c r="L293" s="1474" t="s">
        <v>45</v>
      </c>
      <c r="M293" s="1476" t="s">
        <v>1698</v>
      </c>
      <c r="N293" s="1477" t="s">
        <v>1693</v>
      </c>
      <c r="O293" s="1479">
        <v>1088</v>
      </c>
      <c r="P293" s="1479"/>
      <c r="Q293" s="1142">
        <f t="shared" si="73"/>
        <v>1088</v>
      </c>
      <c r="R293" s="1143">
        <f>IFERROR(VLOOKUP(CONCATENATE(E293,G293),'LAC 103'!$A$12:$O$95,11,FALSE),0)</f>
        <v>2.483156209074918</v>
      </c>
      <c r="S293" s="1144">
        <f>IFERROR(VLOOKUP(CONCATENATE($E293,$G293),'LAC 103'!$A$12:$O$95,12,FALSE),0)</f>
        <v>3.07</v>
      </c>
      <c r="T293" s="1144">
        <f>IFERROR(VLOOKUP(CONCATENATE($E293,$G293),'LAC 103'!$A$12:$O$95,13,FALSE),0)</f>
        <v>1.92</v>
      </c>
      <c r="U293" s="1144">
        <f>IFERROR(VLOOKUP(CONCATENATE($E293,$G293),'LAC 103'!$A$12:$O$95,14,FALSE),0)</f>
        <v>0</v>
      </c>
      <c r="V293" s="1144">
        <f>IFERROR(VLOOKUP(CONCATENATE($E293,$G293),'LAC 103'!$A$12:$O$95,15,FALSE),0)</f>
        <v>0</v>
      </c>
      <c r="W293" s="1145" t="str">
        <f>IFERROR(VLOOKUP(CONCATENATE($B293,$N293),'LAC 103'!$AI:$AQ,9,FALSE),"")</f>
        <v>Costs</v>
      </c>
      <c r="X293" s="1146">
        <f t="shared" si="78"/>
        <v>2.483156209074918</v>
      </c>
      <c r="Y293" s="1143">
        <f t="shared" si="79"/>
        <v>2701.6739554735109</v>
      </c>
      <c r="Z293" s="1147">
        <f t="shared" si="80"/>
        <v>3340.16</v>
      </c>
      <c r="AA293" s="1144">
        <f t="shared" si="81"/>
        <v>2088.96</v>
      </c>
      <c r="AB293" s="1144">
        <f t="shared" si="82"/>
        <v>0</v>
      </c>
      <c r="AC293" s="1144">
        <f t="shared" si="83"/>
        <v>0</v>
      </c>
      <c r="AD293" s="1148">
        <f t="shared" si="74"/>
        <v>2701.6739554735109</v>
      </c>
      <c r="AE293" s="1487">
        <v>0</v>
      </c>
      <c r="AF293" s="1145">
        <f t="shared" si="84"/>
        <v>2701.6739554735109</v>
      </c>
      <c r="AG293" s="1149">
        <f>IFERROR(VLOOKUP(CONCATENATE($L293,$N293),'Drop List'!$G$23:$K$87,2,FALSE),0)</f>
        <v>0.69340000000000002</v>
      </c>
      <c r="AH293" s="1150">
        <f>IFERROR(VLOOKUP(CONCATENATE($L293,$N293),'Drop List'!$G$23:$K$87,3,FALSE),0)</f>
        <v>0.30659999999999998</v>
      </c>
      <c r="AI293" s="1150">
        <f>IFERROR(VLOOKUP(CONCATENATE($L293,$N293),'Drop List'!$G$23:$K$87,4,FALSE),0)</f>
        <v>0</v>
      </c>
      <c r="AJ293" s="1151">
        <f>IFERROR(VLOOKUP(CONCATENATE($L293,$N293),'Drop List'!$G$23:$K$87,5,FALSE),0)</f>
        <v>0</v>
      </c>
      <c r="AK293" s="1152">
        <f t="shared" si="85"/>
        <v>1873.3407207253324</v>
      </c>
      <c r="AL293" s="1153">
        <f t="shared" si="86"/>
        <v>828.33323474817837</v>
      </c>
      <c r="AM293" s="1153">
        <f t="shared" si="87"/>
        <v>0</v>
      </c>
      <c r="AN293" s="1145">
        <f t="shared" si="88"/>
        <v>0</v>
      </c>
      <c r="AO293" s="1154">
        <f t="shared" si="89"/>
        <v>2701.6739554735109</v>
      </c>
      <c r="AP293" s="1147">
        <f t="shared" si="75"/>
        <v>0</v>
      </c>
      <c r="AQ293" s="1144">
        <f t="shared" si="76"/>
        <v>0</v>
      </c>
      <c r="AR293" s="1146">
        <f t="shared" si="77"/>
        <v>2701.6739554735109</v>
      </c>
    </row>
    <row r="294" spans="1:44" x14ac:dyDescent="0.2">
      <c r="A294" s="1141" t="str">
        <f t="shared" si="72"/>
        <v>1504</v>
      </c>
      <c r="B294" s="1141" t="str">
        <f>IFERROR(VLOOKUP(A294,'LAC 103'!A:C,3,FALSE),"")</f>
        <v>OP</v>
      </c>
      <c r="C294" s="1478" t="str">
        <f>Info!$B$8</f>
        <v>00100</v>
      </c>
      <c r="D294" s="1474" t="s">
        <v>256</v>
      </c>
      <c r="E294" s="1474" t="s">
        <v>95</v>
      </c>
      <c r="F294" s="1478" t="s">
        <v>588</v>
      </c>
      <c r="G294" s="1478" t="s">
        <v>588</v>
      </c>
      <c r="H294" s="1474" t="s">
        <v>1091</v>
      </c>
      <c r="I294" s="1478" t="s">
        <v>815</v>
      </c>
      <c r="J294" s="1478"/>
      <c r="K294" s="1475" t="s">
        <v>849</v>
      </c>
      <c r="L294" s="1474" t="s">
        <v>77</v>
      </c>
      <c r="M294" s="1476" t="s">
        <v>1699</v>
      </c>
      <c r="N294" s="1477" t="s">
        <v>1694</v>
      </c>
      <c r="O294" s="1479">
        <v>20143</v>
      </c>
      <c r="P294" s="1479"/>
      <c r="Q294" s="1142">
        <f t="shared" si="73"/>
        <v>20143</v>
      </c>
      <c r="R294" s="1143">
        <f>IFERROR(VLOOKUP(CONCATENATE(E294,G294),'LAC 103'!$A$12:$O$95,11,FALSE),0)</f>
        <v>2.483156209074918</v>
      </c>
      <c r="S294" s="1144">
        <f>IFERROR(VLOOKUP(CONCATENATE($E294,$G294),'LAC 103'!$A$12:$O$95,12,FALSE),0)</f>
        <v>3.07</v>
      </c>
      <c r="T294" s="1144">
        <f>IFERROR(VLOOKUP(CONCATENATE($E294,$G294),'LAC 103'!$A$12:$O$95,13,FALSE),0)</f>
        <v>1.92</v>
      </c>
      <c r="U294" s="1144">
        <f>IFERROR(VLOOKUP(CONCATENATE($E294,$G294),'LAC 103'!$A$12:$O$95,14,FALSE),0)</f>
        <v>0</v>
      </c>
      <c r="V294" s="1144">
        <f>IFERROR(VLOOKUP(CONCATENATE($E294,$G294),'LAC 103'!$A$12:$O$95,15,FALSE),0)</f>
        <v>0</v>
      </c>
      <c r="W294" s="1145" t="str">
        <f>IFERROR(VLOOKUP(CONCATENATE($B294,$N294),'LAC 103'!$AI:$AQ,9,FALSE),"")</f>
        <v>Costs</v>
      </c>
      <c r="X294" s="1146">
        <f t="shared" si="78"/>
        <v>2.483156209074918</v>
      </c>
      <c r="Y294" s="1143">
        <f t="shared" si="79"/>
        <v>50018.215519396072</v>
      </c>
      <c r="Z294" s="1147">
        <f t="shared" si="80"/>
        <v>61839.009999999995</v>
      </c>
      <c r="AA294" s="1144">
        <f t="shared" si="81"/>
        <v>38674.559999999998</v>
      </c>
      <c r="AB294" s="1144">
        <f t="shared" si="82"/>
        <v>0</v>
      </c>
      <c r="AC294" s="1144">
        <f t="shared" si="83"/>
        <v>0</v>
      </c>
      <c r="AD294" s="1148">
        <f t="shared" si="74"/>
        <v>50018.215519396072</v>
      </c>
      <c r="AE294" s="1487">
        <v>0</v>
      </c>
      <c r="AF294" s="1145">
        <f t="shared" si="84"/>
        <v>50018.215519396072</v>
      </c>
      <c r="AG294" s="1149">
        <f>IFERROR(VLOOKUP(CONCATENATE($L294,$N294),'Drop List'!$G$23:$K$87,2,FALSE),0)</f>
        <v>0.9</v>
      </c>
      <c r="AH294" s="1150">
        <f>IFERROR(VLOOKUP(CONCATENATE($L294,$N294),'Drop List'!$G$23:$K$87,3,FALSE),0)</f>
        <v>0</v>
      </c>
      <c r="AI294" s="1150">
        <f>IFERROR(VLOOKUP(CONCATENATE($L294,$N294),'Drop List'!$G$23:$K$87,4,FALSE),0)</f>
        <v>0.1</v>
      </c>
      <c r="AJ294" s="1151">
        <f>IFERROR(VLOOKUP(CONCATENATE($L294,$N294),'Drop List'!$G$23:$K$87,5,FALSE),0)</f>
        <v>0</v>
      </c>
      <c r="AK294" s="1152">
        <f t="shared" si="85"/>
        <v>45016.393967456468</v>
      </c>
      <c r="AL294" s="1153">
        <f t="shared" si="86"/>
        <v>0</v>
      </c>
      <c r="AM294" s="1153">
        <f t="shared" si="87"/>
        <v>5001.8215519396072</v>
      </c>
      <c r="AN294" s="1145">
        <f t="shared" si="88"/>
        <v>0</v>
      </c>
      <c r="AO294" s="1154">
        <f t="shared" si="89"/>
        <v>50018.215519396079</v>
      </c>
      <c r="AP294" s="1147">
        <f t="shared" si="75"/>
        <v>0</v>
      </c>
      <c r="AQ294" s="1144">
        <f t="shared" si="76"/>
        <v>0</v>
      </c>
      <c r="AR294" s="1146">
        <f t="shared" si="77"/>
        <v>50018.215519396079</v>
      </c>
    </row>
    <row r="295" spans="1:44" x14ac:dyDescent="0.2">
      <c r="A295" s="1141" t="str">
        <f t="shared" si="72"/>
        <v>1504</v>
      </c>
      <c r="B295" s="1141" t="str">
        <f>IFERROR(VLOOKUP(A295,'LAC 103'!A:C,3,FALSE),"")</f>
        <v>OP</v>
      </c>
      <c r="C295" s="1478" t="str">
        <f>Info!$B$8</f>
        <v>00100</v>
      </c>
      <c r="D295" s="1474" t="s">
        <v>256</v>
      </c>
      <c r="E295" s="1474" t="s">
        <v>95</v>
      </c>
      <c r="F295" s="1478" t="s">
        <v>588</v>
      </c>
      <c r="G295" s="1478" t="s">
        <v>588</v>
      </c>
      <c r="H295" s="1474" t="s">
        <v>1091</v>
      </c>
      <c r="I295" s="1478" t="s">
        <v>815</v>
      </c>
      <c r="J295" s="1478"/>
      <c r="K295" s="1475" t="s">
        <v>849</v>
      </c>
      <c r="L295" s="1474" t="s">
        <v>77</v>
      </c>
      <c r="M295" s="1476" t="s">
        <v>841</v>
      </c>
      <c r="N295" s="1477" t="s">
        <v>1695</v>
      </c>
      <c r="O295" s="1479">
        <v>8537</v>
      </c>
      <c r="P295" s="1479"/>
      <c r="Q295" s="1142">
        <f t="shared" si="73"/>
        <v>8537</v>
      </c>
      <c r="R295" s="1143">
        <f>IFERROR(VLOOKUP(CONCATENATE(E295,G295),'LAC 103'!$A$12:$O$95,11,FALSE),0)</f>
        <v>2.483156209074918</v>
      </c>
      <c r="S295" s="1144">
        <f>IFERROR(VLOOKUP(CONCATENATE($E295,$G295),'LAC 103'!$A$12:$O$95,12,FALSE),0)</f>
        <v>3.07</v>
      </c>
      <c r="T295" s="1144">
        <f>IFERROR(VLOOKUP(CONCATENATE($E295,$G295),'LAC 103'!$A$12:$O$95,13,FALSE),0)</f>
        <v>1.92</v>
      </c>
      <c r="U295" s="1144">
        <f>IFERROR(VLOOKUP(CONCATENATE($E295,$G295),'LAC 103'!$A$12:$O$95,14,FALSE),0)</f>
        <v>0</v>
      </c>
      <c r="V295" s="1144">
        <f>IFERROR(VLOOKUP(CONCATENATE($E295,$G295),'LAC 103'!$A$12:$O$95,15,FALSE),0)</f>
        <v>0</v>
      </c>
      <c r="W295" s="1145" t="str">
        <f>IFERROR(VLOOKUP(CONCATENATE($B295,$N295),'LAC 103'!$AI:$AQ,9,FALSE),"")</f>
        <v>Costs</v>
      </c>
      <c r="X295" s="1146">
        <f t="shared" si="78"/>
        <v>2.483156209074918</v>
      </c>
      <c r="Y295" s="1143">
        <f t="shared" si="79"/>
        <v>21198.704556872573</v>
      </c>
      <c r="Z295" s="1147">
        <f t="shared" si="80"/>
        <v>26208.59</v>
      </c>
      <c r="AA295" s="1144">
        <f t="shared" si="81"/>
        <v>16391.04</v>
      </c>
      <c r="AB295" s="1144">
        <f t="shared" si="82"/>
        <v>0</v>
      </c>
      <c r="AC295" s="1144">
        <f t="shared" si="83"/>
        <v>0</v>
      </c>
      <c r="AD295" s="1148">
        <f t="shared" si="74"/>
        <v>21198.704556872573</v>
      </c>
      <c r="AE295" s="1487">
        <v>0</v>
      </c>
      <c r="AF295" s="1145">
        <f t="shared" si="84"/>
        <v>21198.704556872573</v>
      </c>
      <c r="AG295" s="1149">
        <f>IFERROR(VLOOKUP(CONCATENATE($L295,$N295),'Drop List'!$G$23:$K$87,2,FALSE),0)</f>
        <v>0.9</v>
      </c>
      <c r="AH295" s="1150">
        <f>IFERROR(VLOOKUP(CONCATENATE($L295,$N295),'Drop List'!$G$23:$K$87,3,FALSE),0)</f>
        <v>0</v>
      </c>
      <c r="AI295" s="1150">
        <f>IFERROR(VLOOKUP(CONCATENATE($L295,$N295),'Drop List'!$G$23:$K$87,4,FALSE),0)</f>
        <v>0.1</v>
      </c>
      <c r="AJ295" s="1151">
        <f>IFERROR(VLOOKUP(CONCATENATE($L295,$N295),'Drop List'!$G$23:$K$87,5,FALSE),0)</f>
        <v>0</v>
      </c>
      <c r="AK295" s="1152">
        <f t="shared" si="85"/>
        <v>19078.834101185315</v>
      </c>
      <c r="AL295" s="1153">
        <f t="shared" si="86"/>
        <v>0</v>
      </c>
      <c r="AM295" s="1153">
        <f t="shared" si="87"/>
        <v>2119.8704556872576</v>
      </c>
      <c r="AN295" s="1145">
        <f t="shared" si="88"/>
        <v>0</v>
      </c>
      <c r="AO295" s="1154">
        <f t="shared" si="89"/>
        <v>21198.704556872573</v>
      </c>
      <c r="AP295" s="1147">
        <f t="shared" si="75"/>
        <v>0</v>
      </c>
      <c r="AQ295" s="1144">
        <f t="shared" si="76"/>
        <v>0</v>
      </c>
      <c r="AR295" s="1146">
        <f t="shared" si="77"/>
        <v>21198.704556872573</v>
      </c>
    </row>
    <row r="296" spans="1:44" x14ac:dyDescent="0.2">
      <c r="A296" s="1141" t="str">
        <f t="shared" si="72"/>
        <v>1504</v>
      </c>
      <c r="B296" s="1141" t="str">
        <f>IFERROR(VLOOKUP(A296,'LAC 103'!A:C,3,FALSE),"")</f>
        <v>OP</v>
      </c>
      <c r="C296" s="1478" t="str">
        <f>Info!$B$8</f>
        <v>00100</v>
      </c>
      <c r="D296" s="1474" t="s">
        <v>256</v>
      </c>
      <c r="E296" s="1474" t="s">
        <v>95</v>
      </c>
      <c r="F296" s="1478" t="s">
        <v>588</v>
      </c>
      <c r="G296" s="1478" t="s">
        <v>588</v>
      </c>
      <c r="H296" s="1474" t="s">
        <v>1091</v>
      </c>
      <c r="I296" s="1478" t="s">
        <v>815</v>
      </c>
      <c r="J296" s="1478"/>
      <c r="K296" s="1475" t="s">
        <v>849</v>
      </c>
      <c r="L296" s="1474" t="s">
        <v>77</v>
      </c>
      <c r="M296" s="1476" t="s">
        <v>840</v>
      </c>
      <c r="N296" s="1477" t="s">
        <v>1700</v>
      </c>
      <c r="O296" s="1479">
        <v>11108</v>
      </c>
      <c r="P296" s="1479"/>
      <c r="Q296" s="1142">
        <f t="shared" si="73"/>
        <v>11108</v>
      </c>
      <c r="R296" s="1143">
        <f>IFERROR(VLOOKUP(CONCATENATE(E296,G296),'LAC 103'!$A$12:$O$95,11,FALSE),0)</f>
        <v>2.483156209074918</v>
      </c>
      <c r="S296" s="1144">
        <f>IFERROR(VLOOKUP(CONCATENATE($E296,$G296),'LAC 103'!$A$12:$O$95,12,FALSE),0)</f>
        <v>3.07</v>
      </c>
      <c r="T296" s="1144">
        <f>IFERROR(VLOOKUP(CONCATENATE($E296,$G296),'LAC 103'!$A$12:$O$95,13,FALSE),0)</f>
        <v>1.92</v>
      </c>
      <c r="U296" s="1144">
        <f>IFERROR(VLOOKUP(CONCATENATE($E296,$G296),'LAC 103'!$A$12:$O$95,14,FALSE),0)</f>
        <v>0</v>
      </c>
      <c r="V296" s="1144">
        <f>IFERROR(VLOOKUP(CONCATENATE($E296,$G296),'LAC 103'!$A$12:$O$95,15,FALSE),0)</f>
        <v>0</v>
      </c>
      <c r="W296" s="1145" t="str">
        <f>IFERROR(VLOOKUP(CONCATENATE($B296,$N296),'LAC 103'!$AI:$AQ,9,FALSE),"")</f>
        <v>P.C.</v>
      </c>
      <c r="X296" s="1146">
        <f t="shared" si="78"/>
        <v>1.92</v>
      </c>
      <c r="Y296" s="1143">
        <f t="shared" si="79"/>
        <v>27582.899170404187</v>
      </c>
      <c r="Z296" s="1147">
        <f t="shared" si="80"/>
        <v>34101.56</v>
      </c>
      <c r="AA296" s="1144">
        <f t="shared" si="81"/>
        <v>21327.360000000001</v>
      </c>
      <c r="AB296" s="1144">
        <f t="shared" si="82"/>
        <v>0</v>
      </c>
      <c r="AC296" s="1144">
        <f t="shared" si="83"/>
        <v>0</v>
      </c>
      <c r="AD296" s="1148">
        <f t="shared" si="74"/>
        <v>21327.360000000001</v>
      </c>
      <c r="AE296" s="1487">
        <v>0</v>
      </c>
      <c r="AF296" s="1145">
        <f t="shared" si="84"/>
        <v>21327.360000000001</v>
      </c>
      <c r="AG296" s="1149">
        <f>IFERROR(VLOOKUP(CONCATENATE($L296,$N296),'Drop List'!$G$23:$K$87,2,FALSE),0)</f>
        <v>0.9</v>
      </c>
      <c r="AH296" s="1150">
        <f>IFERROR(VLOOKUP(CONCATENATE($L296,$N296),'Drop List'!$G$23:$K$87,3,FALSE),0)</f>
        <v>0</v>
      </c>
      <c r="AI296" s="1150">
        <f>IFERROR(VLOOKUP(CONCATENATE($L296,$N296),'Drop List'!$G$23:$K$87,4,FALSE),0)</f>
        <v>0.1</v>
      </c>
      <c r="AJ296" s="1151">
        <f>IFERROR(VLOOKUP(CONCATENATE($L296,$N296),'Drop List'!$G$23:$K$87,5,FALSE),0)</f>
        <v>0</v>
      </c>
      <c r="AK296" s="1152">
        <f t="shared" si="85"/>
        <v>19194.624</v>
      </c>
      <c r="AL296" s="1153">
        <f t="shared" si="86"/>
        <v>0</v>
      </c>
      <c r="AM296" s="1153">
        <f t="shared" si="87"/>
        <v>2132.7360000000003</v>
      </c>
      <c r="AN296" s="1145">
        <f t="shared" si="88"/>
        <v>0</v>
      </c>
      <c r="AO296" s="1154">
        <f t="shared" si="89"/>
        <v>21327.360000000001</v>
      </c>
      <c r="AP296" s="1147">
        <f t="shared" si="75"/>
        <v>0</v>
      </c>
      <c r="AQ296" s="1144">
        <f t="shared" si="76"/>
        <v>0</v>
      </c>
      <c r="AR296" s="1146">
        <f t="shared" si="77"/>
        <v>21327.360000000001</v>
      </c>
    </row>
    <row r="297" spans="1:44" x14ac:dyDescent="0.2">
      <c r="A297" s="1141" t="str">
        <f t="shared" si="72"/>
        <v>1504</v>
      </c>
      <c r="B297" s="1141" t="str">
        <f>IFERROR(VLOOKUP(A297,'LAC 103'!A:C,3,FALSE),"")</f>
        <v>OP</v>
      </c>
      <c r="C297" s="1478" t="str">
        <f>Info!$B$8</f>
        <v>00100</v>
      </c>
      <c r="D297" s="1474" t="s">
        <v>256</v>
      </c>
      <c r="E297" s="1474" t="s">
        <v>95</v>
      </c>
      <c r="F297" s="1478" t="s">
        <v>588</v>
      </c>
      <c r="G297" s="1478" t="s">
        <v>588</v>
      </c>
      <c r="H297" s="1474" t="s">
        <v>1091</v>
      </c>
      <c r="I297" s="1478" t="s">
        <v>815</v>
      </c>
      <c r="J297" s="1478"/>
      <c r="K297" s="1475" t="s">
        <v>849</v>
      </c>
      <c r="L297" s="1474" t="s">
        <v>77</v>
      </c>
      <c r="M297" s="1476" t="s">
        <v>842</v>
      </c>
      <c r="N297" s="1477" t="s">
        <v>1692</v>
      </c>
      <c r="O297" s="1479">
        <v>15724</v>
      </c>
      <c r="P297" s="1479"/>
      <c r="Q297" s="1142">
        <f t="shared" si="73"/>
        <v>15724</v>
      </c>
      <c r="R297" s="1143">
        <f>IFERROR(VLOOKUP(CONCATENATE(E297,G297),'LAC 103'!$A$12:$O$95,11,FALSE),0)</f>
        <v>2.483156209074918</v>
      </c>
      <c r="S297" s="1144">
        <f>IFERROR(VLOOKUP(CONCATENATE($E297,$G297),'LAC 103'!$A$12:$O$95,12,FALSE),0)</f>
        <v>3.07</v>
      </c>
      <c r="T297" s="1144">
        <f>IFERROR(VLOOKUP(CONCATENATE($E297,$G297),'LAC 103'!$A$12:$O$95,13,FALSE),0)</f>
        <v>1.92</v>
      </c>
      <c r="U297" s="1144">
        <f>IFERROR(VLOOKUP(CONCATENATE($E297,$G297),'LAC 103'!$A$12:$O$95,14,FALSE),0)</f>
        <v>0</v>
      </c>
      <c r="V297" s="1144">
        <f>IFERROR(VLOOKUP(CONCATENATE($E297,$G297),'LAC 103'!$A$12:$O$95,15,FALSE),0)</f>
        <v>0</v>
      </c>
      <c r="W297" s="1145" t="str">
        <f>IFERROR(VLOOKUP(CONCATENATE($B297,$N297),'LAC 103'!$AI:$AQ,9,FALSE),"")</f>
        <v>Costs</v>
      </c>
      <c r="X297" s="1146">
        <f t="shared" si="78"/>
        <v>2.483156209074918</v>
      </c>
      <c r="Y297" s="1143">
        <f t="shared" si="79"/>
        <v>39045.148231494008</v>
      </c>
      <c r="Z297" s="1147">
        <f t="shared" si="80"/>
        <v>48272.68</v>
      </c>
      <c r="AA297" s="1144">
        <f t="shared" si="81"/>
        <v>30190.079999999998</v>
      </c>
      <c r="AB297" s="1144">
        <f t="shared" si="82"/>
        <v>0</v>
      </c>
      <c r="AC297" s="1144">
        <f t="shared" si="83"/>
        <v>0</v>
      </c>
      <c r="AD297" s="1148">
        <f t="shared" si="74"/>
        <v>39045.148231494008</v>
      </c>
      <c r="AE297" s="1487">
        <v>0</v>
      </c>
      <c r="AF297" s="1145">
        <f t="shared" si="84"/>
        <v>39045.148231494008</v>
      </c>
      <c r="AG297" s="1149">
        <f>IFERROR(VLOOKUP(CONCATENATE($L297,$N297),'Drop List'!$G$23:$K$87,2,FALSE),0)</f>
        <v>0.9</v>
      </c>
      <c r="AH297" s="1150">
        <f>IFERROR(VLOOKUP(CONCATENATE($L297,$N297),'Drop List'!$G$23:$K$87,3,FALSE),0)</f>
        <v>0</v>
      </c>
      <c r="AI297" s="1150">
        <f>IFERROR(VLOOKUP(CONCATENATE($L297,$N297),'Drop List'!$G$23:$K$87,4,FALSE),0)</f>
        <v>0.1</v>
      </c>
      <c r="AJ297" s="1151">
        <f>IFERROR(VLOOKUP(CONCATENATE($L297,$N297),'Drop List'!$G$23:$K$87,5,FALSE),0)</f>
        <v>0</v>
      </c>
      <c r="AK297" s="1152">
        <f t="shared" si="85"/>
        <v>35140.633408344605</v>
      </c>
      <c r="AL297" s="1153">
        <f t="shared" si="86"/>
        <v>0</v>
      </c>
      <c r="AM297" s="1153">
        <f t="shared" si="87"/>
        <v>3904.5148231494009</v>
      </c>
      <c r="AN297" s="1145">
        <f t="shared" si="88"/>
        <v>0</v>
      </c>
      <c r="AO297" s="1154">
        <f t="shared" si="89"/>
        <v>39045.148231494008</v>
      </c>
      <c r="AP297" s="1147">
        <f t="shared" si="75"/>
        <v>0</v>
      </c>
      <c r="AQ297" s="1144">
        <f t="shared" si="76"/>
        <v>0</v>
      </c>
      <c r="AR297" s="1146">
        <f t="shared" si="77"/>
        <v>39045.148231494008</v>
      </c>
    </row>
    <row r="298" spans="1:44" x14ac:dyDescent="0.2">
      <c r="A298" s="1141" t="str">
        <f t="shared" si="72"/>
        <v>1504</v>
      </c>
      <c r="B298" s="1141" t="str">
        <f>IFERROR(VLOOKUP(A298,'LAC 103'!A:C,3,FALSE),"")</f>
        <v>OP</v>
      </c>
      <c r="C298" s="1478" t="str">
        <f>Info!$B$8</f>
        <v>00100</v>
      </c>
      <c r="D298" s="1474" t="s">
        <v>256</v>
      </c>
      <c r="E298" s="1474" t="s">
        <v>95</v>
      </c>
      <c r="F298" s="1478" t="s">
        <v>588</v>
      </c>
      <c r="G298" s="1478" t="s">
        <v>588</v>
      </c>
      <c r="H298" s="1474" t="s">
        <v>1091</v>
      </c>
      <c r="I298" s="1478" t="s">
        <v>815</v>
      </c>
      <c r="J298" s="1478"/>
      <c r="K298" s="1475" t="s">
        <v>849</v>
      </c>
      <c r="L298" s="1474" t="s">
        <v>77</v>
      </c>
      <c r="M298" s="1476" t="s">
        <v>1698</v>
      </c>
      <c r="N298" s="1477" t="s">
        <v>1693</v>
      </c>
      <c r="O298" s="1479">
        <v>17724</v>
      </c>
      <c r="P298" s="1479"/>
      <c r="Q298" s="1142">
        <f t="shared" si="73"/>
        <v>17724</v>
      </c>
      <c r="R298" s="1143">
        <f>IFERROR(VLOOKUP(CONCATENATE(E298,G298),'LAC 103'!$A$12:$O$95,11,FALSE),0)</f>
        <v>2.483156209074918</v>
      </c>
      <c r="S298" s="1144">
        <f>IFERROR(VLOOKUP(CONCATENATE($E298,$G298),'LAC 103'!$A$12:$O$95,12,FALSE),0)</f>
        <v>3.07</v>
      </c>
      <c r="T298" s="1144">
        <f>IFERROR(VLOOKUP(CONCATENATE($E298,$G298),'LAC 103'!$A$12:$O$95,13,FALSE),0)</f>
        <v>1.92</v>
      </c>
      <c r="U298" s="1144">
        <f>IFERROR(VLOOKUP(CONCATENATE($E298,$G298),'LAC 103'!$A$12:$O$95,14,FALSE),0)</f>
        <v>0</v>
      </c>
      <c r="V298" s="1144">
        <f>IFERROR(VLOOKUP(CONCATENATE($E298,$G298),'LAC 103'!$A$12:$O$95,15,FALSE),0)</f>
        <v>0</v>
      </c>
      <c r="W298" s="1145" t="str">
        <f>IFERROR(VLOOKUP(CONCATENATE($B298,$N298),'LAC 103'!$AI:$AQ,9,FALSE),"")</f>
        <v>Costs</v>
      </c>
      <c r="X298" s="1146">
        <f t="shared" si="78"/>
        <v>2.483156209074918</v>
      </c>
      <c r="Y298" s="1143">
        <f t="shared" si="79"/>
        <v>44011.460649643843</v>
      </c>
      <c r="Z298" s="1147">
        <f t="shared" si="80"/>
        <v>54412.68</v>
      </c>
      <c r="AA298" s="1144">
        <f t="shared" si="81"/>
        <v>34030.080000000002</v>
      </c>
      <c r="AB298" s="1144">
        <f t="shared" si="82"/>
        <v>0</v>
      </c>
      <c r="AC298" s="1144">
        <f t="shared" si="83"/>
        <v>0</v>
      </c>
      <c r="AD298" s="1148">
        <f t="shared" si="74"/>
        <v>44011.460649643843</v>
      </c>
      <c r="AE298" s="1487">
        <v>0</v>
      </c>
      <c r="AF298" s="1145">
        <f t="shared" si="84"/>
        <v>44011.460649643843</v>
      </c>
      <c r="AG298" s="1149">
        <f>IFERROR(VLOOKUP(CONCATENATE($L298,$N298),'Drop List'!$G$23:$K$87,2,FALSE),0)</f>
        <v>0.9</v>
      </c>
      <c r="AH298" s="1150">
        <f>IFERROR(VLOOKUP(CONCATENATE($L298,$N298),'Drop List'!$G$23:$K$87,3,FALSE),0)</f>
        <v>0</v>
      </c>
      <c r="AI298" s="1150">
        <f>IFERROR(VLOOKUP(CONCATENATE($L298,$N298),'Drop List'!$G$23:$K$87,4,FALSE),0)</f>
        <v>0.1</v>
      </c>
      <c r="AJ298" s="1151">
        <f>IFERROR(VLOOKUP(CONCATENATE($L298,$N298),'Drop List'!$G$23:$K$87,5,FALSE),0)</f>
        <v>0</v>
      </c>
      <c r="AK298" s="1152">
        <f t="shared" si="85"/>
        <v>39610.314584679458</v>
      </c>
      <c r="AL298" s="1153">
        <f t="shared" si="86"/>
        <v>0</v>
      </c>
      <c r="AM298" s="1153">
        <f t="shared" si="87"/>
        <v>4401.1460649643841</v>
      </c>
      <c r="AN298" s="1145">
        <f t="shared" si="88"/>
        <v>0</v>
      </c>
      <c r="AO298" s="1154">
        <f t="shared" si="89"/>
        <v>44011.460649643843</v>
      </c>
      <c r="AP298" s="1147">
        <f t="shared" si="75"/>
        <v>0</v>
      </c>
      <c r="AQ298" s="1144">
        <f t="shared" si="76"/>
        <v>0</v>
      </c>
      <c r="AR298" s="1146">
        <f t="shared" si="77"/>
        <v>44011.460649643843</v>
      </c>
    </row>
    <row r="299" spans="1:44" x14ac:dyDescent="0.2">
      <c r="A299" s="1141" t="str">
        <f t="shared" si="72"/>
        <v>1504</v>
      </c>
      <c r="B299" s="1141" t="str">
        <f>IFERROR(VLOOKUP(A299,'LAC 103'!A:C,3,FALSE),"")</f>
        <v>OP</v>
      </c>
      <c r="C299" s="1478" t="str">
        <f>Info!$B$8</f>
        <v>00100</v>
      </c>
      <c r="D299" s="1474" t="s">
        <v>256</v>
      </c>
      <c r="E299" s="1474" t="s">
        <v>95</v>
      </c>
      <c r="F299" s="1478" t="s">
        <v>588</v>
      </c>
      <c r="G299" s="1478" t="s">
        <v>588</v>
      </c>
      <c r="H299" s="1474" t="s">
        <v>1091</v>
      </c>
      <c r="I299" s="1478" t="s">
        <v>815</v>
      </c>
      <c r="J299" s="1478"/>
      <c r="K299" s="1475" t="s">
        <v>971</v>
      </c>
      <c r="L299" s="1474" t="s">
        <v>332</v>
      </c>
      <c r="M299" s="1476" t="s">
        <v>1699</v>
      </c>
      <c r="N299" s="1477" t="s">
        <v>1694</v>
      </c>
      <c r="O299" s="1479">
        <v>307</v>
      </c>
      <c r="P299" s="1479"/>
      <c r="Q299" s="1142">
        <f t="shared" si="73"/>
        <v>307</v>
      </c>
      <c r="R299" s="1143">
        <f>IFERROR(VLOOKUP(CONCATENATE(E299,G299),'LAC 103'!$A$12:$O$95,11,FALSE),0)</f>
        <v>2.483156209074918</v>
      </c>
      <c r="S299" s="1144">
        <f>IFERROR(VLOOKUP(CONCATENATE($E299,$G299),'LAC 103'!$A$12:$O$95,12,FALSE),0)</f>
        <v>3.07</v>
      </c>
      <c r="T299" s="1144">
        <f>IFERROR(VLOOKUP(CONCATENATE($E299,$G299),'LAC 103'!$A$12:$O$95,13,FALSE),0)</f>
        <v>1.92</v>
      </c>
      <c r="U299" s="1144">
        <f>IFERROR(VLOOKUP(CONCATENATE($E299,$G299),'LAC 103'!$A$12:$O$95,14,FALSE),0)</f>
        <v>0</v>
      </c>
      <c r="V299" s="1144">
        <f>IFERROR(VLOOKUP(CONCATENATE($E299,$G299),'LAC 103'!$A$12:$O$95,15,FALSE),0)</f>
        <v>0</v>
      </c>
      <c r="W299" s="1145" t="str">
        <f>IFERROR(VLOOKUP(CONCATENATE($B299,$N299),'LAC 103'!$AI:$AQ,9,FALSE),"")</f>
        <v>Costs</v>
      </c>
      <c r="X299" s="1146">
        <f t="shared" si="78"/>
        <v>2.483156209074918</v>
      </c>
      <c r="Y299" s="1143">
        <f t="shared" si="79"/>
        <v>762.3289561859998</v>
      </c>
      <c r="Z299" s="1147">
        <f t="shared" si="80"/>
        <v>942.4899999999999</v>
      </c>
      <c r="AA299" s="1144">
        <f t="shared" si="81"/>
        <v>589.43999999999994</v>
      </c>
      <c r="AB299" s="1144">
        <f t="shared" si="82"/>
        <v>0</v>
      </c>
      <c r="AC299" s="1144">
        <f t="shared" si="83"/>
        <v>0</v>
      </c>
      <c r="AD299" s="1148">
        <f t="shared" si="74"/>
        <v>762.3289561859998</v>
      </c>
      <c r="AE299" s="1487">
        <v>0</v>
      </c>
      <c r="AF299" s="1145">
        <f t="shared" si="84"/>
        <v>762.3289561859998</v>
      </c>
      <c r="AG299" s="1149">
        <f>IFERROR(VLOOKUP(CONCATENATE($L299,$N299),'Drop List'!$G$23:$K$87,2,FALSE),0)</f>
        <v>0</v>
      </c>
      <c r="AH299" s="1150">
        <f>IFERROR(VLOOKUP(CONCATENATE($L299,$N299),'Drop List'!$G$23:$K$87,3,FALSE),0)</f>
        <v>0</v>
      </c>
      <c r="AI299" s="1150">
        <f>IFERROR(VLOOKUP(CONCATENATE($L299,$N299),'Drop List'!$G$23:$K$87,4,FALSE),0)</f>
        <v>0</v>
      </c>
      <c r="AJ299" s="1151">
        <f>IFERROR(VLOOKUP(CONCATENATE($L299,$N299),'Drop List'!$G$23:$K$87,5,FALSE),0)</f>
        <v>0</v>
      </c>
      <c r="AK299" s="1152">
        <f t="shared" si="85"/>
        <v>0</v>
      </c>
      <c r="AL299" s="1153">
        <f t="shared" si="86"/>
        <v>0</v>
      </c>
      <c r="AM299" s="1153">
        <f t="shared" si="87"/>
        <v>0</v>
      </c>
      <c r="AN299" s="1145">
        <f t="shared" si="88"/>
        <v>0</v>
      </c>
      <c r="AO299" s="1154">
        <f t="shared" si="89"/>
        <v>0</v>
      </c>
      <c r="AP299" s="1147">
        <f t="shared" si="75"/>
        <v>762.3289561859998</v>
      </c>
      <c r="AQ299" s="1144">
        <f t="shared" si="76"/>
        <v>0</v>
      </c>
      <c r="AR299" s="1146">
        <f t="shared" si="77"/>
        <v>762.3289561859998</v>
      </c>
    </row>
    <row r="300" spans="1:44" x14ac:dyDescent="0.2">
      <c r="A300" s="1141" t="str">
        <f t="shared" si="72"/>
        <v>1504</v>
      </c>
      <c r="B300" s="1141" t="str">
        <f>IFERROR(VLOOKUP(A300,'LAC 103'!A:C,3,FALSE),"")</f>
        <v>OP</v>
      </c>
      <c r="C300" s="1478" t="str">
        <f>Info!$B$8</f>
        <v>00100</v>
      </c>
      <c r="D300" s="1474" t="s">
        <v>256</v>
      </c>
      <c r="E300" s="1474" t="s">
        <v>95</v>
      </c>
      <c r="F300" s="1478" t="s">
        <v>588</v>
      </c>
      <c r="G300" s="1478" t="s">
        <v>588</v>
      </c>
      <c r="H300" s="1474" t="s">
        <v>1091</v>
      </c>
      <c r="I300" s="1478" t="s">
        <v>815</v>
      </c>
      <c r="J300" s="1478"/>
      <c r="K300" s="1475" t="s">
        <v>971</v>
      </c>
      <c r="L300" s="1474" t="s">
        <v>332</v>
      </c>
      <c r="M300" s="1476" t="s">
        <v>841</v>
      </c>
      <c r="N300" s="1477" t="s">
        <v>1695</v>
      </c>
      <c r="O300" s="1479">
        <v>584</v>
      </c>
      <c r="P300" s="1479"/>
      <c r="Q300" s="1142">
        <f t="shared" si="73"/>
        <v>584</v>
      </c>
      <c r="R300" s="1143">
        <f>IFERROR(VLOOKUP(CONCATENATE(E300,G300),'LAC 103'!$A$12:$O$95,11,FALSE),0)</f>
        <v>2.483156209074918</v>
      </c>
      <c r="S300" s="1144">
        <f>IFERROR(VLOOKUP(CONCATENATE($E300,$G300),'LAC 103'!$A$12:$O$95,12,FALSE),0)</f>
        <v>3.07</v>
      </c>
      <c r="T300" s="1144">
        <f>IFERROR(VLOOKUP(CONCATENATE($E300,$G300),'LAC 103'!$A$12:$O$95,13,FALSE),0)</f>
        <v>1.92</v>
      </c>
      <c r="U300" s="1144">
        <f>IFERROR(VLOOKUP(CONCATENATE($E300,$G300),'LAC 103'!$A$12:$O$95,14,FALSE),0)</f>
        <v>0</v>
      </c>
      <c r="V300" s="1144">
        <f>IFERROR(VLOOKUP(CONCATENATE($E300,$G300),'LAC 103'!$A$12:$O$95,15,FALSE),0)</f>
        <v>0</v>
      </c>
      <c r="W300" s="1145" t="str">
        <f>IFERROR(VLOOKUP(CONCATENATE($B300,$N300),'LAC 103'!$AI:$AQ,9,FALSE),"")</f>
        <v>Costs</v>
      </c>
      <c r="X300" s="1146">
        <f t="shared" si="78"/>
        <v>2.483156209074918</v>
      </c>
      <c r="Y300" s="1143">
        <f t="shared" si="79"/>
        <v>1450.1632260997521</v>
      </c>
      <c r="Z300" s="1147">
        <f t="shared" si="80"/>
        <v>1792.8799999999999</v>
      </c>
      <c r="AA300" s="1144">
        <f t="shared" si="81"/>
        <v>1121.28</v>
      </c>
      <c r="AB300" s="1144">
        <f t="shared" si="82"/>
        <v>0</v>
      </c>
      <c r="AC300" s="1144">
        <f t="shared" si="83"/>
        <v>0</v>
      </c>
      <c r="AD300" s="1148">
        <f t="shared" si="74"/>
        <v>1450.1632260997521</v>
      </c>
      <c r="AE300" s="1487">
        <v>0</v>
      </c>
      <c r="AF300" s="1145">
        <f t="shared" si="84"/>
        <v>1450.1632260997521</v>
      </c>
      <c r="AG300" s="1149">
        <f>IFERROR(VLOOKUP(CONCATENATE($L300,$N300),'Drop List'!$G$23:$K$87,2,FALSE),0)</f>
        <v>0</v>
      </c>
      <c r="AH300" s="1150">
        <f>IFERROR(VLOOKUP(CONCATENATE($L300,$N300),'Drop List'!$G$23:$K$87,3,FALSE),0)</f>
        <v>0</v>
      </c>
      <c r="AI300" s="1150">
        <f>IFERROR(VLOOKUP(CONCATENATE($L300,$N300),'Drop List'!$G$23:$K$87,4,FALSE),0)</f>
        <v>0</v>
      </c>
      <c r="AJ300" s="1151">
        <f>IFERROR(VLOOKUP(CONCATENATE($L300,$N300),'Drop List'!$G$23:$K$87,5,FALSE),0)</f>
        <v>0</v>
      </c>
      <c r="AK300" s="1152">
        <f t="shared" si="85"/>
        <v>0</v>
      </c>
      <c r="AL300" s="1153">
        <f t="shared" si="86"/>
        <v>0</v>
      </c>
      <c r="AM300" s="1153">
        <f t="shared" si="87"/>
        <v>0</v>
      </c>
      <c r="AN300" s="1145">
        <f t="shared" si="88"/>
        <v>0</v>
      </c>
      <c r="AO300" s="1154">
        <f t="shared" si="89"/>
        <v>0</v>
      </c>
      <c r="AP300" s="1147">
        <f t="shared" si="75"/>
        <v>1450.1632260997521</v>
      </c>
      <c r="AQ300" s="1144">
        <f t="shared" si="76"/>
        <v>0</v>
      </c>
      <c r="AR300" s="1146">
        <f t="shared" si="77"/>
        <v>1450.1632260997521</v>
      </c>
    </row>
    <row r="301" spans="1:44" x14ac:dyDescent="0.2">
      <c r="A301" s="1141" t="str">
        <f t="shared" si="72"/>
        <v>1504</v>
      </c>
      <c r="B301" s="1141" t="str">
        <f>IFERROR(VLOOKUP(A301,'LAC 103'!A:C,3,FALSE),"")</f>
        <v>OP</v>
      </c>
      <c r="C301" s="1478" t="str">
        <f>Info!$B$8</f>
        <v>00100</v>
      </c>
      <c r="D301" s="1474" t="s">
        <v>256</v>
      </c>
      <c r="E301" s="1474" t="s">
        <v>95</v>
      </c>
      <c r="F301" s="1478" t="s">
        <v>588</v>
      </c>
      <c r="G301" s="1478" t="s">
        <v>588</v>
      </c>
      <c r="H301" s="1474" t="s">
        <v>1091</v>
      </c>
      <c r="I301" s="1478" t="s">
        <v>815</v>
      </c>
      <c r="J301" s="1478"/>
      <c r="K301" s="1475" t="s">
        <v>971</v>
      </c>
      <c r="L301" s="1474" t="s">
        <v>332</v>
      </c>
      <c r="M301" s="1476" t="s">
        <v>842</v>
      </c>
      <c r="N301" s="1477" t="s">
        <v>1692</v>
      </c>
      <c r="O301" s="1479">
        <v>4444</v>
      </c>
      <c r="P301" s="1479"/>
      <c r="Q301" s="1142">
        <f t="shared" si="73"/>
        <v>4444</v>
      </c>
      <c r="R301" s="1143">
        <f>IFERROR(VLOOKUP(CONCATENATE(E301,G301),'LAC 103'!$A$12:$O$95,11,FALSE),0)</f>
        <v>2.483156209074918</v>
      </c>
      <c r="S301" s="1144">
        <f>IFERROR(VLOOKUP(CONCATENATE($E301,$G301),'LAC 103'!$A$12:$O$95,12,FALSE),0)</f>
        <v>3.07</v>
      </c>
      <c r="T301" s="1144">
        <f>IFERROR(VLOOKUP(CONCATENATE($E301,$G301),'LAC 103'!$A$12:$O$95,13,FALSE),0)</f>
        <v>1.92</v>
      </c>
      <c r="U301" s="1144">
        <f>IFERROR(VLOOKUP(CONCATENATE($E301,$G301),'LAC 103'!$A$12:$O$95,14,FALSE),0)</f>
        <v>0</v>
      </c>
      <c r="V301" s="1144">
        <f>IFERROR(VLOOKUP(CONCATENATE($E301,$G301),'LAC 103'!$A$12:$O$95,15,FALSE),0)</f>
        <v>0</v>
      </c>
      <c r="W301" s="1145" t="str">
        <f>IFERROR(VLOOKUP(CONCATENATE($B301,$N301),'LAC 103'!$AI:$AQ,9,FALSE),"")</f>
        <v>Costs</v>
      </c>
      <c r="X301" s="1146">
        <f t="shared" si="78"/>
        <v>2.483156209074918</v>
      </c>
      <c r="Y301" s="1143">
        <f t="shared" si="79"/>
        <v>11035.146193128936</v>
      </c>
      <c r="Z301" s="1147">
        <f t="shared" si="80"/>
        <v>13643.08</v>
      </c>
      <c r="AA301" s="1144">
        <f t="shared" si="81"/>
        <v>8532.48</v>
      </c>
      <c r="AB301" s="1144">
        <f t="shared" si="82"/>
        <v>0</v>
      </c>
      <c r="AC301" s="1144">
        <f t="shared" si="83"/>
        <v>0</v>
      </c>
      <c r="AD301" s="1148">
        <f t="shared" si="74"/>
        <v>11035.146193128936</v>
      </c>
      <c r="AE301" s="1487">
        <v>0</v>
      </c>
      <c r="AF301" s="1145">
        <f t="shared" si="84"/>
        <v>11035.146193128936</v>
      </c>
      <c r="AG301" s="1149">
        <f>IFERROR(VLOOKUP(CONCATENATE($L301,$N301),'Drop List'!$G$23:$K$87,2,FALSE),0)</f>
        <v>0</v>
      </c>
      <c r="AH301" s="1150">
        <f>IFERROR(VLOOKUP(CONCATENATE($L301,$N301),'Drop List'!$G$23:$K$87,3,FALSE),0)</f>
        <v>0</v>
      </c>
      <c r="AI301" s="1150">
        <f>IFERROR(VLOOKUP(CONCATENATE($L301,$N301),'Drop List'!$G$23:$K$87,4,FALSE),0)</f>
        <v>0</v>
      </c>
      <c r="AJ301" s="1151">
        <f>IFERROR(VLOOKUP(CONCATENATE($L301,$N301),'Drop List'!$G$23:$K$87,5,FALSE),0)</f>
        <v>0</v>
      </c>
      <c r="AK301" s="1152">
        <f t="shared" si="85"/>
        <v>0</v>
      </c>
      <c r="AL301" s="1153">
        <f t="shared" si="86"/>
        <v>0</v>
      </c>
      <c r="AM301" s="1153">
        <f t="shared" si="87"/>
        <v>0</v>
      </c>
      <c r="AN301" s="1145">
        <f t="shared" si="88"/>
        <v>0</v>
      </c>
      <c r="AO301" s="1154">
        <f t="shared" si="89"/>
        <v>0</v>
      </c>
      <c r="AP301" s="1147">
        <f t="shared" si="75"/>
        <v>11035.146193128936</v>
      </c>
      <c r="AQ301" s="1144">
        <f t="shared" si="76"/>
        <v>0</v>
      </c>
      <c r="AR301" s="1146">
        <f t="shared" si="77"/>
        <v>11035.146193128936</v>
      </c>
    </row>
    <row r="302" spans="1:44" x14ac:dyDescent="0.2">
      <c r="A302" s="1141" t="str">
        <f t="shared" si="72"/>
        <v>1504</v>
      </c>
      <c r="B302" s="1141" t="str">
        <f>IFERROR(VLOOKUP(A302,'LAC 103'!A:C,3,FALSE),"")</f>
        <v>OP</v>
      </c>
      <c r="C302" s="1478" t="str">
        <f>Info!$B$8</f>
        <v>00100</v>
      </c>
      <c r="D302" s="1474" t="s">
        <v>256</v>
      </c>
      <c r="E302" s="1474" t="s">
        <v>95</v>
      </c>
      <c r="F302" s="1478" t="s">
        <v>588</v>
      </c>
      <c r="G302" s="1478" t="s">
        <v>588</v>
      </c>
      <c r="H302" s="1474" t="s">
        <v>1091</v>
      </c>
      <c r="I302" s="1478" t="s">
        <v>815</v>
      </c>
      <c r="J302" s="1478"/>
      <c r="K302" s="1475" t="s">
        <v>971</v>
      </c>
      <c r="L302" s="1474" t="s">
        <v>332</v>
      </c>
      <c r="M302" s="1476" t="s">
        <v>1698</v>
      </c>
      <c r="N302" s="1477" t="s">
        <v>1693</v>
      </c>
      <c r="O302" s="1479">
        <v>589</v>
      </c>
      <c r="P302" s="1479"/>
      <c r="Q302" s="1142">
        <f t="shared" si="73"/>
        <v>589</v>
      </c>
      <c r="R302" s="1143">
        <f>IFERROR(VLOOKUP(CONCATENATE(E302,G302),'LAC 103'!$A$12:$O$95,11,FALSE),0)</f>
        <v>2.483156209074918</v>
      </c>
      <c r="S302" s="1144">
        <f>IFERROR(VLOOKUP(CONCATENATE($E302,$G302),'LAC 103'!$A$12:$O$95,12,FALSE),0)</f>
        <v>3.07</v>
      </c>
      <c r="T302" s="1144">
        <f>IFERROR(VLOOKUP(CONCATENATE($E302,$G302),'LAC 103'!$A$12:$O$95,13,FALSE),0)</f>
        <v>1.92</v>
      </c>
      <c r="U302" s="1144">
        <f>IFERROR(VLOOKUP(CONCATENATE($E302,$G302),'LAC 103'!$A$12:$O$95,14,FALSE),0)</f>
        <v>0</v>
      </c>
      <c r="V302" s="1144">
        <f>IFERROR(VLOOKUP(CONCATENATE($E302,$G302),'LAC 103'!$A$12:$O$95,15,FALSE),0)</f>
        <v>0</v>
      </c>
      <c r="W302" s="1145" t="str">
        <f>IFERROR(VLOOKUP(CONCATENATE($B302,$N302),'LAC 103'!$AI:$AQ,9,FALSE),"")</f>
        <v>Costs</v>
      </c>
      <c r="X302" s="1146">
        <f t="shared" si="78"/>
        <v>2.483156209074918</v>
      </c>
      <c r="Y302" s="1143">
        <f t="shared" si="79"/>
        <v>1462.5790071451268</v>
      </c>
      <c r="Z302" s="1147">
        <f t="shared" si="80"/>
        <v>1808.23</v>
      </c>
      <c r="AA302" s="1144">
        <f t="shared" si="81"/>
        <v>1130.8799999999999</v>
      </c>
      <c r="AB302" s="1144">
        <f t="shared" si="82"/>
        <v>0</v>
      </c>
      <c r="AC302" s="1144">
        <f t="shared" si="83"/>
        <v>0</v>
      </c>
      <c r="AD302" s="1148">
        <f t="shared" si="74"/>
        <v>1462.5790071451268</v>
      </c>
      <c r="AE302" s="1487">
        <v>0</v>
      </c>
      <c r="AF302" s="1145">
        <f t="shared" si="84"/>
        <v>1462.5790071451268</v>
      </c>
      <c r="AG302" s="1149">
        <f>IFERROR(VLOOKUP(CONCATENATE($L302,$N302),'Drop List'!$G$23:$K$87,2,FALSE),0)</f>
        <v>0</v>
      </c>
      <c r="AH302" s="1150">
        <f>IFERROR(VLOOKUP(CONCATENATE($L302,$N302),'Drop List'!$G$23:$K$87,3,FALSE),0)</f>
        <v>0</v>
      </c>
      <c r="AI302" s="1150">
        <f>IFERROR(VLOOKUP(CONCATENATE($L302,$N302),'Drop List'!$G$23:$K$87,4,FALSE),0)</f>
        <v>0</v>
      </c>
      <c r="AJ302" s="1151">
        <f>IFERROR(VLOOKUP(CONCATENATE($L302,$N302),'Drop List'!$G$23:$K$87,5,FALSE),0)</f>
        <v>0</v>
      </c>
      <c r="AK302" s="1152">
        <f t="shared" si="85"/>
        <v>0</v>
      </c>
      <c r="AL302" s="1153">
        <f t="shared" si="86"/>
        <v>0</v>
      </c>
      <c r="AM302" s="1153">
        <f t="shared" si="87"/>
        <v>0</v>
      </c>
      <c r="AN302" s="1145">
        <f t="shared" si="88"/>
        <v>0</v>
      </c>
      <c r="AO302" s="1154">
        <f t="shared" si="89"/>
        <v>0</v>
      </c>
      <c r="AP302" s="1147">
        <f t="shared" si="75"/>
        <v>1462.5790071451268</v>
      </c>
      <c r="AQ302" s="1144">
        <f t="shared" si="76"/>
        <v>0</v>
      </c>
      <c r="AR302" s="1146">
        <f t="shared" si="77"/>
        <v>1462.5790071451268</v>
      </c>
    </row>
    <row r="303" spans="1:44" x14ac:dyDescent="0.2">
      <c r="A303" s="1141" t="str">
        <f t="shared" si="72"/>
        <v>1504</v>
      </c>
      <c r="B303" s="1141" t="str">
        <f>IFERROR(VLOOKUP(A303,'LAC 103'!A:C,3,FALSE),"")</f>
        <v>OP</v>
      </c>
      <c r="C303" s="1478" t="str">
        <f>Info!$B$8</f>
        <v>00100</v>
      </c>
      <c r="D303" s="1474" t="s">
        <v>256</v>
      </c>
      <c r="E303" s="1474" t="s">
        <v>95</v>
      </c>
      <c r="F303" s="1478" t="s">
        <v>588</v>
      </c>
      <c r="G303" s="1478" t="s">
        <v>588</v>
      </c>
      <c r="H303" s="1474" t="s">
        <v>1091</v>
      </c>
      <c r="I303" s="1478" t="s">
        <v>815</v>
      </c>
      <c r="J303" s="1478"/>
      <c r="K303" s="1475" t="s">
        <v>850</v>
      </c>
      <c r="L303" s="1474" t="s">
        <v>330</v>
      </c>
      <c r="M303" s="1476" t="s">
        <v>1699</v>
      </c>
      <c r="N303" s="1477" t="s">
        <v>1694</v>
      </c>
      <c r="O303" s="1479">
        <v>606</v>
      </c>
      <c r="P303" s="1479"/>
      <c r="Q303" s="1142">
        <f t="shared" si="73"/>
        <v>606</v>
      </c>
      <c r="R303" s="1143">
        <f>IFERROR(VLOOKUP(CONCATENATE(E303,G303),'LAC 103'!$A$12:$O$95,11,FALSE),0)</f>
        <v>2.483156209074918</v>
      </c>
      <c r="S303" s="1144">
        <f>IFERROR(VLOOKUP(CONCATENATE($E303,$G303),'LAC 103'!$A$12:$O$95,12,FALSE),0)</f>
        <v>3.07</v>
      </c>
      <c r="T303" s="1144">
        <f>IFERROR(VLOOKUP(CONCATENATE($E303,$G303),'LAC 103'!$A$12:$O$95,13,FALSE),0)</f>
        <v>1.92</v>
      </c>
      <c r="U303" s="1144">
        <f>IFERROR(VLOOKUP(CONCATENATE($E303,$G303),'LAC 103'!$A$12:$O$95,14,FALSE),0)</f>
        <v>0</v>
      </c>
      <c r="V303" s="1144">
        <f>IFERROR(VLOOKUP(CONCATENATE($E303,$G303),'LAC 103'!$A$12:$O$95,15,FALSE),0)</f>
        <v>0</v>
      </c>
      <c r="W303" s="1145" t="str">
        <f>IFERROR(VLOOKUP(CONCATENATE($B303,$N303),'LAC 103'!$AI:$AQ,9,FALSE),"")</f>
        <v>Costs</v>
      </c>
      <c r="X303" s="1146">
        <f t="shared" si="78"/>
        <v>2.483156209074918</v>
      </c>
      <c r="Y303" s="1143">
        <f t="shared" si="79"/>
        <v>1504.7926626994004</v>
      </c>
      <c r="Z303" s="1147">
        <f t="shared" si="80"/>
        <v>1860.4199999999998</v>
      </c>
      <c r="AA303" s="1144">
        <f t="shared" si="81"/>
        <v>1163.52</v>
      </c>
      <c r="AB303" s="1144">
        <f t="shared" si="82"/>
        <v>0</v>
      </c>
      <c r="AC303" s="1144">
        <f t="shared" si="83"/>
        <v>0</v>
      </c>
      <c r="AD303" s="1148">
        <f t="shared" si="74"/>
        <v>1504.7926626994004</v>
      </c>
      <c r="AE303" s="1487">
        <v>0</v>
      </c>
      <c r="AF303" s="1145">
        <f t="shared" si="84"/>
        <v>1504.7926626994004</v>
      </c>
      <c r="AG303" s="1149">
        <f>IFERROR(VLOOKUP(CONCATENATE($L303,$N303),'Drop List'!$G$23:$K$87,2,FALSE),0)</f>
        <v>0</v>
      </c>
      <c r="AH303" s="1150">
        <f>IFERROR(VLOOKUP(CONCATENATE($L303,$N303),'Drop List'!$G$23:$K$87,3,FALSE),0)</f>
        <v>0</v>
      </c>
      <c r="AI303" s="1150">
        <f>IFERROR(VLOOKUP(CONCATENATE($L303,$N303),'Drop List'!$G$23:$K$87,4,FALSE),0)</f>
        <v>1</v>
      </c>
      <c r="AJ303" s="1151">
        <f>IFERROR(VLOOKUP(CONCATENATE($L303,$N303),'Drop List'!$G$23:$K$87,5,FALSE),0)</f>
        <v>0</v>
      </c>
      <c r="AK303" s="1152">
        <f t="shared" si="85"/>
        <v>0</v>
      </c>
      <c r="AL303" s="1153">
        <f t="shared" si="86"/>
        <v>0</v>
      </c>
      <c r="AM303" s="1153">
        <f t="shared" si="87"/>
        <v>1504.7926626994004</v>
      </c>
      <c r="AN303" s="1145">
        <f t="shared" si="88"/>
        <v>0</v>
      </c>
      <c r="AO303" s="1154">
        <f t="shared" si="89"/>
        <v>1504.7926626994004</v>
      </c>
      <c r="AP303" s="1147">
        <f t="shared" si="75"/>
        <v>0</v>
      </c>
      <c r="AQ303" s="1144">
        <f t="shared" si="76"/>
        <v>0</v>
      </c>
      <c r="AR303" s="1146">
        <f t="shared" si="77"/>
        <v>1504.7926626994004</v>
      </c>
    </row>
    <row r="304" spans="1:44" x14ac:dyDescent="0.2">
      <c r="A304" s="1141" t="str">
        <f t="shared" si="72"/>
        <v>1504</v>
      </c>
      <c r="B304" s="1141" t="str">
        <f>IFERROR(VLOOKUP(A304,'LAC 103'!A:C,3,FALSE),"")</f>
        <v>OP</v>
      </c>
      <c r="C304" s="1478" t="str">
        <f>Info!$B$8</f>
        <v>00100</v>
      </c>
      <c r="D304" s="1474" t="s">
        <v>256</v>
      </c>
      <c r="E304" s="1474" t="s">
        <v>95</v>
      </c>
      <c r="F304" s="1478" t="s">
        <v>588</v>
      </c>
      <c r="G304" s="1478" t="s">
        <v>588</v>
      </c>
      <c r="H304" s="1474" t="s">
        <v>1091</v>
      </c>
      <c r="I304" s="1478" t="s">
        <v>815</v>
      </c>
      <c r="J304" s="1478"/>
      <c r="K304" s="1475" t="s">
        <v>850</v>
      </c>
      <c r="L304" s="1474" t="s">
        <v>330</v>
      </c>
      <c r="M304" s="1476" t="s">
        <v>842</v>
      </c>
      <c r="N304" s="1477" t="s">
        <v>1692</v>
      </c>
      <c r="O304" s="1479">
        <v>1512</v>
      </c>
      <c r="P304" s="1479"/>
      <c r="Q304" s="1142">
        <f t="shared" si="73"/>
        <v>1512</v>
      </c>
      <c r="R304" s="1143">
        <f>IFERROR(VLOOKUP(CONCATENATE(E304,G304),'LAC 103'!$A$12:$O$95,11,FALSE),0)</f>
        <v>2.483156209074918</v>
      </c>
      <c r="S304" s="1144">
        <f>IFERROR(VLOOKUP(CONCATENATE($E304,$G304),'LAC 103'!$A$12:$O$95,12,FALSE),0)</f>
        <v>3.07</v>
      </c>
      <c r="T304" s="1144">
        <f>IFERROR(VLOOKUP(CONCATENATE($E304,$G304),'LAC 103'!$A$12:$O$95,13,FALSE),0)</f>
        <v>1.92</v>
      </c>
      <c r="U304" s="1144">
        <f>IFERROR(VLOOKUP(CONCATENATE($E304,$G304),'LAC 103'!$A$12:$O$95,14,FALSE),0)</f>
        <v>0</v>
      </c>
      <c r="V304" s="1144">
        <f>IFERROR(VLOOKUP(CONCATENATE($E304,$G304),'LAC 103'!$A$12:$O$95,15,FALSE),0)</f>
        <v>0</v>
      </c>
      <c r="W304" s="1145" t="str">
        <f>IFERROR(VLOOKUP(CONCATENATE($B304,$N304),'LAC 103'!$AI:$AQ,9,FALSE),"")</f>
        <v>Costs</v>
      </c>
      <c r="X304" s="1146">
        <f t="shared" si="78"/>
        <v>2.483156209074918</v>
      </c>
      <c r="Y304" s="1143">
        <f t="shared" si="79"/>
        <v>3754.5321881212758</v>
      </c>
      <c r="Z304" s="1147">
        <f t="shared" si="80"/>
        <v>4641.84</v>
      </c>
      <c r="AA304" s="1144">
        <f t="shared" si="81"/>
        <v>2903.04</v>
      </c>
      <c r="AB304" s="1144">
        <f t="shared" si="82"/>
        <v>0</v>
      </c>
      <c r="AC304" s="1144">
        <f t="shared" si="83"/>
        <v>0</v>
      </c>
      <c r="AD304" s="1148">
        <f t="shared" si="74"/>
        <v>3754.5321881212758</v>
      </c>
      <c r="AE304" s="1487">
        <v>0</v>
      </c>
      <c r="AF304" s="1145">
        <f t="shared" si="84"/>
        <v>3754.5321881212758</v>
      </c>
      <c r="AG304" s="1149">
        <f>IFERROR(VLOOKUP(CONCATENATE($L304,$N304),'Drop List'!$G$23:$K$87,2,FALSE),0)</f>
        <v>0</v>
      </c>
      <c r="AH304" s="1150">
        <f>IFERROR(VLOOKUP(CONCATENATE($L304,$N304),'Drop List'!$G$23:$K$87,3,FALSE),0)</f>
        <v>0</v>
      </c>
      <c r="AI304" s="1150">
        <f>IFERROR(VLOOKUP(CONCATENATE($L304,$N304),'Drop List'!$G$23:$K$87,4,FALSE),0)</f>
        <v>1</v>
      </c>
      <c r="AJ304" s="1151">
        <f>IFERROR(VLOOKUP(CONCATENATE($L304,$N304),'Drop List'!$G$23:$K$87,5,FALSE),0)</f>
        <v>0</v>
      </c>
      <c r="AK304" s="1152">
        <f t="shared" si="85"/>
        <v>0</v>
      </c>
      <c r="AL304" s="1153">
        <f t="shared" si="86"/>
        <v>0</v>
      </c>
      <c r="AM304" s="1153">
        <f t="shared" si="87"/>
        <v>3754.5321881212758</v>
      </c>
      <c r="AN304" s="1145">
        <f t="shared" si="88"/>
        <v>0</v>
      </c>
      <c r="AO304" s="1154">
        <f t="shared" si="89"/>
        <v>3754.5321881212758</v>
      </c>
      <c r="AP304" s="1147">
        <f t="shared" si="75"/>
        <v>0</v>
      </c>
      <c r="AQ304" s="1144">
        <f t="shared" si="76"/>
        <v>0</v>
      </c>
      <c r="AR304" s="1146">
        <f t="shared" si="77"/>
        <v>3754.5321881212758</v>
      </c>
    </row>
    <row r="305" spans="1:44" x14ac:dyDescent="0.2">
      <c r="A305" s="1141" t="str">
        <f t="shared" si="72"/>
        <v>1504</v>
      </c>
      <c r="B305" s="1141" t="str">
        <f>IFERROR(VLOOKUP(A305,'LAC 103'!A:C,3,FALSE),"")</f>
        <v>OP</v>
      </c>
      <c r="C305" s="1478" t="str">
        <f>Info!$B$8</f>
        <v>00100</v>
      </c>
      <c r="D305" s="1474" t="s">
        <v>256</v>
      </c>
      <c r="E305" s="1474" t="s">
        <v>95</v>
      </c>
      <c r="F305" s="1478" t="s">
        <v>588</v>
      </c>
      <c r="G305" s="1478" t="s">
        <v>588</v>
      </c>
      <c r="H305" s="1474" t="s">
        <v>1091</v>
      </c>
      <c r="I305" s="1478" t="s">
        <v>815</v>
      </c>
      <c r="J305" s="1478"/>
      <c r="K305" s="1475" t="s">
        <v>850</v>
      </c>
      <c r="L305" s="1474" t="s">
        <v>330</v>
      </c>
      <c r="M305" s="1476" t="s">
        <v>1698</v>
      </c>
      <c r="N305" s="1477" t="s">
        <v>1693</v>
      </c>
      <c r="O305" s="1479">
        <v>1666</v>
      </c>
      <c r="P305" s="1479"/>
      <c r="Q305" s="1142">
        <f t="shared" si="73"/>
        <v>1666</v>
      </c>
      <c r="R305" s="1143">
        <f>IFERROR(VLOOKUP(CONCATENATE(E305,G305),'LAC 103'!$A$12:$O$95,11,FALSE),0)</f>
        <v>2.483156209074918</v>
      </c>
      <c r="S305" s="1144">
        <f>IFERROR(VLOOKUP(CONCATENATE($E305,$G305),'LAC 103'!$A$12:$O$95,12,FALSE),0)</f>
        <v>3.07</v>
      </c>
      <c r="T305" s="1144">
        <f>IFERROR(VLOOKUP(CONCATENATE($E305,$G305),'LAC 103'!$A$12:$O$95,13,FALSE),0)</f>
        <v>1.92</v>
      </c>
      <c r="U305" s="1144">
        <f>IFERROR(VLOOKUP(CONCATENATE($E305,$G305),'LAC 103'!$A$12:$O$95,14,FALSE),0)</f>
        <v>0</v>
      </c>
      <c r="V305" s="1144">
        <f>IFERROR(VLOOKUP(CONCATENATE($E305,$G305),'LAC 103'!$A$12:$O$95,15,FALSE),0)</f>
        <v>0</v>
      </c>
      <c r="W305" s="1145" t="str">
        <f>IFERROR(VLOOKUP(CONCATENATE($B305,$N305),'LAC 103'!$AI:$AQ,9,FALSE),"")</f>
        <v>Costs</v>
      </c>
      <c r="X305" s="1146">
        <f t="shared" si="78"/>
        <v>2.483156209074918</v>
      </c>
      <c r="Y305" s="1143">
        <f t="shared" si="79"/>
        <v>4136.9382443188133</v>
      </c>
      <c r="Z305" s="1147">
        <f t="shared" si="80"/>
        <v>5114.62</v>
      </c>
      <c r="AA305" s="1144">
        <f t="shared" si="81"/>
        <v>3198.72</v>
      </c>
      <c r="AB305" s="1144">
        <f t="shared" si="82"/>
        <v>0</v>
      </c>
      <c r="AC305" s="1144">
        <f t="shared" si="83"/>
        <v>0</v>
      </c>
      <c r="AD305" s="1148">
        <f t="shared" si="74"/>
        <v>4136.9382443188133</v>
      </c>
      <c r="AE305" s="1487">
        <v>0</v>
      </c>
      <c r="AF305" s="1145">
        <f t="shared" si="84"/>
        <v>4136.9382443188133</v>
      </c>
      <c r="AG305" s="1149">
        <f>IFERROR(VLOOKUP(CONCATENATE($L305,$N305),'Drop List'!$G$23:$K$87,2,FALSE),0)</f>
        <v>0</v>
      </c>
      <c r="AH305" s="1150">
        <f>IFERROR(VLOOKUP(CONCATENATE($L305,$N305),'Drop List'!$G$23:$K$87,3,FALSE),0)</f>
        <v>0</v>
      </c>
      <c r="AI305" s="1150">
        <f>IFERROR(VLOOKUP(CONCATENATE($L305,$N305),'Drop List'!$G$23:$K$87,4,FALSE),0)</f>
        <v>1</v>
      </c>
      <c r="AJ305" s="1151">
        <f>IFERROR(VLOOKUP(CONCATENATE($L305,$N305),'Drop List'!$G$23:$K$87,5,FALSE),0)</f>
        <v>0</v>
      </c>
      <c r="AK305" s="1152">
        <f t="shared" si="85"/>
        <v>0</v>
      </c>
      <c r="AL305" s="1153">
        <f t="shared" si="86"/>
        <v>0</v>
      </c>
      <c r="AM305" s="1153">
        <f t="shared" si="87"/>
        <v>4136.9382443188133</v>
      </c>
      <c r="AN305" s="1145">
        <f t="shared" si="88"/>
        <v>0</v>
      </c>
      <c r="AO305" s="1154">
        <f t="shared" si="89"/>
        <v>4136.9382443188133</v>
      </c>
      <c r="AP305" s="1147">
        <f t="shared" si="75"/>
        <v>0</v>
      </c>
      <c r="AQ305" s="1144">
        <f t="shared" si="76"/>
        <v>0</v>
      </c>
      <c r="AR305" s="1146">
        <f t="shared" si="77"/>
        <v>4136.9382443188133</v>
      </c>
    </row>
    <row r="306" spans="1:44" x14ac:dyDescent="0.2">
      <c r="A306" s="1141" t="str">
        <f t="shared" si="72"/>
        <v>1504</v>
      </c>
      <c r="B306" s="1141" t="str">
        <f>IFERROR(VLOOKUP(A306,'LAC 103'!A:C,3,FALSE),"")</f>
        <v>OP</v>
      </c>
      <c r="C306" s="1478" t="str">
        <f>Info!$B$8</f>
        <v>00100</v>
      </c>
      <c r="D306" s="1474" t="s">
        <v>256</v>
      </c>
      <c r="E306" s="1474" t="s">
        <v>95</v>
      </c>
      <c r="F306" s="1478" t="s">
        <v>588</v>
      </c>
      <c r="G306" s="1478" t="s">
        <v>588</v>
      </c>
      <c r="H306" s="1474" t="s">
        <v>1091</v>
      </c>
      <c r="I306" s="1478" t="s">
        <v>815</v>
      </c>
      <c r="J306" s="1478"/>
      <c r="K306" s="1475" t="s">
        <v>851</v>
      </c>
      <c r="L306" s="1474" t="s">
        <v>584</v>
      </c>
      <c r="M306" s="1476" t="s">
        <v>1699</v>
      </c>
      <c r="N306" s="1477" t="s">
        <v>1694</v>
      </c>
      <c r="O306" s="1479">
        <v>69435</v>
      </c>
      <c r="P306" s="1479"/>
      <c r="Q306" s="1142">
        <f t="shared" si="73"/>
        <v>69435</v>
      </c>
      <c r="R306" s="1143">
        <f>IFERROR(VLOOKUP(CONCATENATE(E306,G306),'LAC 103'!$A$12:$O$95,11,FALSE),0)</f>
        <v>2.483156209074918</v>
      </c>
      <c r="S306" s="1144">
        <f>IFERROR(VLOOKUP(CONCATENATE($E306,$G306),'LAC 103'!$A$12:$O$95,12,FALSE),0)</f>
        <v>3.07</v>
      </c>
      <c r="T306" s="1144">
        <f>IFERROR(VLOOKUP(CONCATENATE($E306,$G306),'LAC 103'!$A$12:$O$95,13,FALSE),0)</f>
        <v>1.92</v>
      </c>
      <c r="U306" s="1144">
        <f>IFERROR(VLOOKUP(CONCATENATE($E306,$G306),'LAC 103'!$A$12:$O$95,14,FALSE),0)</f>
        <v>0</v>
      </c>
      <c r="V306" s="1144">
        <f>IFERROR(VLOOKUP(CONCATENATE($E306,$G306),'LAC 103'!$A$12:$O$95,15,FALSE),0)</f>
        <v>0</v>
      </c>
      <c r="W306" s="1145" t="str">
        <f>IFERROR(VLOOKUP(CONCATENATE($B306,$N306),'LAC 103'!$AI:$AQ,9,FALSE),"")</f>
        <v>Costs</v>
      </c>
      <c r="X306" s="1146">
        <f t="shared" si="78"/>
        <v>2.483156209074918</v>
      </c>
      <c r="Y306" s="1143">
        <f t="shared" si="79"/>
        <v>172417.95137711693</v>
      </c>
      <c r="Z306" s="1147">
        <f t="shared" si="80"/>
        <v>213165.44999999998</v>
      </c>
      <c r="AA306" s="1144">
        <f t="shared" si="81"/>
        <v>133315.19999999998</v>
      </c>
      <c r="AB306" s="1144">
        <f t="shared" si="82"/>
        <v>0</v>
      </c>
      <c r="AC306" s="1144">
        <f t="shared" si="83"/>
        <v>0</v>
      </c>
      <c r="AD306" s="1148">
        <f t="shared" si="74"/>
        <v>172417.95137711693</v>
      </c>
      <c r="AE306" s="1487">
        <v>0</v>
      </c>
      <c r="AF306" s="1145">
        <f t="shared" si="84"/>
        <v>172417.95137711693</v>
      </c>
      <c r="AG306" s="1149">
        <f>IFERROR(VLOOKUP(CONCATENATE($L306,$N306),'Drop List'!$G$23:$K$87,2,FALSE),0)</f>
        <v>0.56200000000000006</v>
      </c>
      <c r="AH306" s="1150">
        <f>IFERROR(VLOOKUP(CONCATENATE($L306,$N306),'Drop List'!$G$23:$K$87,3,FALSE),0)</f>
        <v>0</v>
      </c>
      <c r="AI306" s="1150">
        <f>IFERROR(VLOOKUP(CONCATENATE($L306,$N306),'Drop List'!$G$23:$K$87,4,FALSE),0)</f>
        <v>0</v>
      </c>
      <c r="AJ306" s="1151">
        <f>IFERROR(VLOOKUP(CONCATENATE($L306,$N306),'Drop List'!$G$23:$K$87,5,FALSE),0)</f>
        <v>0.43799999999999994</v>
      </c>
      <c r="AK306" s="1152">
        <f t="shared" si="85"/>
        <v>96898.888673939728</v>
      </c>
      <c r="AL306" s="1153">
        <f t="shared" si="86"/>
        <v>0</v>
      </c>
      <c r="AM306" s="1153">
        <f t="shared" si="87"/>
        <v>0</v>
      </c>
      <c r="AN306" s="1145">
        <f t="shared" si="88"/>
        <v>75519.062703177202</v>
      </c>
      <c r="AO306" s="1154">
        <f t="shared" si="89"/>
        <v>172417.95137711693</v>
      </c>
      <c r="AP306" s="1147">
        <f t="shared" si="75"/>
        <v>0</v>
      </c>
      <c r="AQ306" s="1144">
        <f t="shared" si="76"/>
        <v>0</v>
      </c>
      <c r="AR306" s="1146">
        <f t="shared" si="77"/>
        <v>172417.95137711693</v>
      </c>
    </row>
    <row r="307" spans="1:44" x14ac:dyDescent="0.2">
      <c r="A307" s="1141" t="str">
        <f t="shared" si="72"/>
        <v>1504</v>
      </c>
      <c r="B307" s="1141" t="str">
        <f>IFERROR(VLOOKUP(A307,'LAC 103'!A:C,3,FALSE),"")</f>
        <v>OP</v>
      </c>
      <c r="C307" s="1478" t="str">
        <f>Info!$B$8</f>
        <v>00100</v>
      </c>
      <c r="D307" s="1474" t="s">
        <v>256</v>
      </c>
      <c r="E307" s="1474" t="s">
        <v>95</v>
      </c>
      <c r="F307" s="1478" t="s">
        <v>588</v>
      </c>
      <c r="G307" s="1478" t="s">
        <v>588</v>
      </c>
      <c r="H307" s="1474" t="s">
        <v>1091</v>
      </c>
      <c r="I307" s="1478" t="s">
        <v>815</v>
      </c>
      <c r="J307" s="1478"/>
      <c r="K307" s="1475" t="s">
        <v>851</v>
      </c>
      <c r="L307" s="1474" t="s">
        <v>584</v>
      </c>
      <c r="M307" s="1476" t="s">
        <v>841</v>
      </c>
      <c r="N307" s="1477" t="s">
        <v>1695</v>
      </c>
      <c r="O307" s="1479">
        <v>32751</v>
      </c>
      <c r="P307" s="1479"/>
      <c r="Q307" s="1142">
        <f t="shared" si="73"/>
        <v>32751</v>
      </c>
      <c r="R307" s="1143">
        <f>IFERROR(VLOOKUP(CONCATENATE(E307,G307),'LAC 103'!$A$12:$O$95,11,FALSE),0)</f>
        <v>2.483156209074918</v>
      </c>
      <c r="S307" s="1144">
        <f>IFERROR(VLOOKUP(CONCATENATE($E307,$G307),'LAC 103'!$A$12:$O$95,12,FALSE),0)</f>
        <v>3.07</v>
      </c>
      <c r="T307" s="1144">
        <f>IFERROR(VLOOKUP(CONCATENATE($E307,$G307),'LAC 103'!$A$12:$O$95,13,FALSE),0)</f>
        <v>1.92</v>
      </c>
      <c r="U307" s="1144">
        <f>IFERROR(VLOOKUP(CONCATENATE($E307,$G307),'LAC 103'!$A$12:$O$95,14,FALSE),0)</f>
        <v>0</v>
      </c>
      <c r="V307" s="1144">
        <f>IFERROR(VLOOKUP(CONCATENATE($E307,$G307),'LAC 103'!$A$12:$O$95,15,FALSE),0)</f>
        <v>0</v>
      </c>
      <c r="W307" s="1145" t="str">
        <f>IFERROR(VLOOKUP(CONCATENATE($B307,$N307),'LAC 103'!$AI:$AQ,9,FALSE),"")</f>
        <v>Costs</v>
      </c>
      <c r="X307" s="1146">
        <f t="shared" si="78"/>
        <v>2.483156209074918</v>
      </c>
      <c r="Y307" s="1143">
        <f t="shared" si="79"/>
        <v>81325.849003412644</v>
      </c>
      <c r="Z307" s="1147">
        <f t="shared" si="80"/>
        <v>100545.56999999999</v>
      </c>
      <c r="AA307" s="1144">
        <f t="shared" si="81"/>
        <v>62881.919999999998</v>
      </c>
      <c r="AB307" s="1144">
        <f t="shared" si="82"/>
        <v>0</v>
      </c>
      <c r="AC307" s="1144">
        <f t="shared" si="83"/>
        <v>0</v>
      </c>
      <c r="AD307" s="1148">
        <f t="shared" si="74"/>
        <v>81325.849003412644</v>
      </c>
      <c r="AE307" s="1487">
        <v>0</v>
      </c>
      <c r="AF307" s="1145">
        <f t="shared" si="84"/>
        <v>81325.849003412644</v>
      </c>
      <c r="AG307" s="1149">
        <f>IFERROR(VLOOKUP(CONCATENATE($L307,$N307),'Drop List'!$G$23:$K$87,2,FALSE),0)</f>
        <v>0.55000000000000004</v>
      </c>
      <c r="AH307" s="1150">
        <f>IFERROR(VLOOKUP(CONCATENATE($L307,$N307),'Drop List'!$G$23:$K$87,3,FALSE),0)</f>
        <v>0</v>
      </c>
      <c r="AI307" s="1150">
        <f>IFERROR(VLOOKUP(CONCATENATE($L307,$N307),'Drop List'!$G$23:$K$87,4,FALSE),0)</f>
        <v>0</v>
      </c>
      <c r="AJ307" s="1151">
        <f>IFERROR(VLOOKUP(CONCATENATE($L307,$N307),'Drop List'!$G$23:$K$87,5,FALSE),0)</f>
        <v>0.44999999999999996</v>
      </c>
      <c r="AK307" s="1152">
        <f t="shared" si="85"/>
        <v>44729.216951876959</v>
      </c>
      <c r="AL307" s="1153">
        <f t="shared" si="86"/>
        <v>0</v>
      </c>
      <c r="AM307" s="1153">
        <f t="shared" si="87"/>
        <v>0</v>
      </c>
      <c r="AN307" s="1145">
        <f t="shared" si="88"/>
        <v>36596.632051535686</v>
      </c>
      <c r="AO307" s="1154">
        <f t="shared" si="89"/>
        <v>81325.849003412644</v>
      </c>
      <c r="AP307" s="1147">
        <f t="shared" si="75"/>
        <v>0</v>
      </c>
      <c r="AQ307" s="1144">
        <f t="shared" si="76"/>
        <v>0</v>
      </c>
      <c r="AR307" s="1146">
        <f t="shared" si="77"/>
        <v>81325.849003412644</v>
      </c>
    </row>
    <row r="308" spans="1:44" x14ac:dyDescent="0.2">
      <c r="A308" s="1141" t="str">
        <f t="shared" si="72"/>
        <v>1504</v>
      </c>
      <c r="B308" s="1141" t="str">
        <f>IFERROR(VLOOKUP(A308,'LAC 103'!A:C,3,FALSE),"")</f>
        <v>OP</v>
      </c>
      <c r="C308" s="1478" t="str">
        <f>Info!$B$8</f>
        <v>00100</v>
      </c>
      <c r="D308" s="1474" t="s">
        <v>256</v>
      </c>
      <c r="E308" s="1474" t="s">
        <v>95</v>
      </c>
      <c r="F308" s="1478" t="s">
        <v>588</v>
      </c>
      <c r="G308" s="1478" t="s">
        <v>588</v>
      </c>
      <c r="H308" s="1474" t="s">
        <v>1091</v>
      </c>
      <c r="I308" s="1478" t="s">
        <v>815</v>
      </c>
      <c r="J308" s="1478"/>
      <c r="K308" s="1475" t="s">
        <v>851</v>
      </c>
      <c r="L308" s="1474" t="s">
        <v>584</v>
      </c>
      <c r="M308" s="1476" t="s">
        <v>840</v>
      </c>
      <c r="N308" s="1477" t="s">
        <v>1700</v>
      </c>
      <c r="O308" s="1479">
        <v>34942</v>
      </c>
      <c r="P308" s="1479"/>
      <c r="Q308" s="1142">
        <f t="shared" si="73"/>
        <v>34942</v>
      </c>
      <c r="R308" s="1143">
        <f>IFERROR(VLOOKUP(CONCATENATE(E308,G308),'LAC 103'!$A$12:$O$95,11,FALSE),0)</f>
        <v>2.483156209074918</v>
      </c>
      <c r="S308" s="1144">
        <f>IFERROR(VLOOKUP(CONCATENATE($E308,$G308),'LAC 103'!$A$12:$O$95,12,FALSE),0)</f>
        <v>3.07</v>
      </c>
      <c r="T308" s="1144">
        <f>IFERROR(VLOOKUP(CONCATENATE($E308,$G308),'LAC 103'!$A$12:$O$95,13,FALSE),0)</f>
        <v>1.92</v>
      </c>
      <c r="U308" s="1144">
        <f>IFERROR(VLOOKUP(CONCATENATE($E308,$G308),'LAC 103'!$A$12:$O$95,14,FALSE),0)</f>
        <v>0</v>
      </c>
      <c r="V308" s="1144">
        <f>IFERROR(VLOOKUP(CONCATENATE($E308,$G308),'LAC 103'!$A$12:$O$95,15,FALSE),0)</f>
        <v>0</v>
      </c>
      <c r="W308" s="1145" t="str">
        <f>IFERROR(VLOOKUP(CONCATENATE($B308,$N308),'LAC 103'!$AI:$AQ,9,FALSE),"")</f>
        <v>P.C.</v>
      </c>
      <c r="X308" s="1146">
        <f t="shared" si="78"/>
        <v>1.92</v>
      </c>
      <c r="Y308" s="1143">
        <f t="shared" si="79"/>
        <v>86766.444257495779</v>
      </c>
      <c r="Z308" s="1147">
        <f t="shared" si="80"/>
        <v>107271.93999999999</v>
      </c>
      <c r="AA308" s="1144">
        <f t="shared" si="81"/>
        <v>67088.639999999999</v>
      </c>
      <c r="AB308" s="1144">
        <f t="shared" si="82"/>
        <v>0</v>
      </c>
      <c r="AC308" s="1144">
        <f t="shared" si="83"/>
        <v>0</v>
      </c>
      <c r="AD308" s="1148">
        <f t="shared" si="74"/>
        <v>67088.639999999999</v>
      </c>
      <c r="AE308" s="1487">
        <v>0</v>
      </c>
      <c r="AF308" s="1145">
        <f t="shared" si="84"/>
        <v>67088.639999999999</v>
      </c>
      <c r="AG308" s="1149">
        <f>IFERROR(VLOOKUP(CONCATENATE($L308,$N308),'Drop List'!$G$23:$K$87,2,FALSE),0)</f>
        <v>0.55000000000000004</v>
      </c>
      <c r="AH308" s="1150">
        <f>IFERROR(VLOOKUP(CONCATENATE($L308,$N308),'Drop List'!$G$23:$K$87,3,FALSE),0)</f>
        <v>0</v>
      </c>
      <c r="AI308" s="1150">
        <f>IFERROR(VLOOKUP(CONCATENATE($L308,$N308),'Drop List'!$G$23:$K$87,4,FALSE),0)</f>
        <v>0</v>
      </c>
      <c r="AJ308" s="1151">
        <f>IFERROR(VLOOKUP(CONCATENATE($L308,$N308),'Drop List'!$G$23:$K$87,5,FALSE),0)</f>
        <v>0.44999999999999996</v>
      </c>
      <c r="AK308" s="1152">
        <f t="shared" si="85"/>
        <v>36898.752</v>
      </c>
      <c r="AL308" s="1153">
        <f t="shared" si="86"/>
        <v>0</v>
      </c>
      <c r="AM308" s="1153">
        <f t="shared" si="87"/>
        <v>0</v>
      </c>
      <c r="AN308" s="1145">
        <f t="shared" si="88"/>
        <v>30189.887999999995</v>
      </c>
      <c r="AO308" s="1154">
        <f t="shared" si="89"/>
        <v>67088.639999999999</v>
      </c>
      <c r="AP308" s="1147">
        <f t="shared" si="75"/>
        <v>0</v>
      </c>
      <c r="AQ308" s="1144">
        <f t="shared" si="76"/>
        <v>0</v>
      </c>
      <c r="AR308" s="1146">
        <f t="shared" si="77"/>
        <v>67088.639999999999</v>
      </c>
    </row>
    <row r="309" spans="1:44" x14ac:dyDescent="0.2">
      <c r="A309" s="1141" t="str">
        <f t="shared" si="72"/>
        <v>1504</v>
      </c>
      <c r="B309" s="1141" t="str">
        <f>IFERROR(VLOOKUP(A309,'LAC 103'!A:C,3,FALSE),"")</f>
        <v>OP</v>
      </c>
      <c r="C309" s="1478" t="str">
        <f>Info!$B$8</f>
        <v>00100</v>
      </c>
      <c r="D309" s="1474" t="s">
        <v>256</v>
      </c>
      <c r="E309" s="1474" t="s">
        <v>95</v>
      </c>
      <c r="F309" s="1478" t="s">
        <v>588</v>
      </c>
      <c r="G309" s="1478" t="s">
        <v>588</v>
      </c>
      <c r="H309" s="1474" t="s">
        <v>1091</v>
      </c>
      <c r="I309" s="1478" t="s">
        <v>815</v>
      </c>
      <c r="J309" s="1478"/>
      <c r="K309" s="1475" t="s">
        <v>851</v>
      </c>
      <c r="L309" s="1474" t="s">
        <v>584</v>
      </c>
      <c r="M309" s="1476" t="s">
        <v>842</v>
      </c>
      <c r="N309" s="1477" t="s">
        <v>1692</v>
      </c>
      <c r="O309" s="1479">
        <v>75018</v>
      </c>
      <c r="P309" s="1479"/>
      <c r="Q309" s="1142">
        <f t="shared" si="73"/>
        <v>75018</v>
      </c>
      <c r="R309" s="1143">
        <f>IFERROR(VLOOKUP(CONCATENATE(E309,G309),'LAC 103'!$A$12:$O$95,11,FALSE),0)</f>
        <v>2.483156209074918</v>
      </c>
      <c r="S309" s="1144">
        <f>IFERROR(VLOOKUP(CONCATENATE($E309,$G309),'LAC 103'!$A$12:$O$95,12,FALSE),0)</f>
        <v>3.07</v>
      </c>
      <c r="T309" s="1144">
        <f>IFERROR(VLOOKUP(CONCATENATE($E309,$G309),'LAC 103'!$A$12:$O$95,13,FALSE),0)</f>
        <v>1.92</v>
      </c>
      <c r="U309" s="1144">
        <f>IFERROR(VLOOKUP(CONCATENATE($E309,$G309),'LAC 103'!$A$12:$O$95,14,FALSE),0)</f>
        <v>0</v>
      </c>
      <c r="V309" s="1144">
        <f>IFERROR(VLOOKUP(CONCATENATE($E309,$G309),'LAC 103'!$A$12:$O$95,15,FALSE),0)</f>
        <v>0</v>
      </c>
      <c r="W309" s="1145" t="str">
        <f>IFERROR(VLOOKUP(CONCATENATE($B309,$N309),'LAC 103'!$AI:$AQ,9,FALSE),"")</f>
        <v>Costs</v>
      </c>
      <c r="X309" s="1146">
        <f t="shared" si="78"/>
        <v>2.483156209074918</v>
      </c>
      <c r="Y309" s="1143">
        <f t="shared" si="79"/>
        <v>186281.41249238219</v>
      </c>
      <c r="Z309" s="1147">
        <f t="shared" si="80"/>
        <v>230305.25999999998</v>
      </c>
      <c r="AA309" s="1144">
        <f t="shared" si="81"/>
        <v>144034.56</v>
      </c>
      <c r="AB309" s="1144">
        <f t="shared" si="82"/>
        <v>0</v>
      </c>
      <c r="AC309" s="1144">
        <f t="shared" si="83"/>
        <v>0</v>
      </c>
      <c r="AD309" s="1148">
        <f t="shared" si="74"/>
        <v>186281.41249238219</v>
      </c>
      <c r="AE309" s="1487">
        <v>0</v>
      </c>
      <c r="AF309" s="1145">
        <f t="shared" si="84"/>
        <v>186281.41249238219</v>
      </c>
      <c r="AG309" s="1149">
        <f>IFERROR(VLOOKUP(CONCATENATE($L309,$N309),'Drop List'!$G$23:$K$87,2,FALSE),0)</f>
        <v>0.56200000000000006</v>
      </c>
      <c r="AH309" s="1150">
        <f>IFERROR(VLOOKUP(CONCATENATE($L309,$N309),'Drop List'!$G$23:$K$87,3,FALSE),0)</f>
        <v>0</v>
      </c>
      <c r="AI309" s="1150">
        <f>IFERROR(VLOOKUP(CONCATENATE($L309,$N309),'Drop List'!$G$23:$K$87,4,FALSE),0)</f>
        <v>0</v>
      </c>
      <c r="AJ309" s="1151">
        <f>IFERROR(VLOOKUP(CONCATENATE($L309,$N309),'Drop List'!$G$23:$K$87,5,FALSE),0)</f>
        <v>0.43799999999999994</v>
      </c>
      <c r="AK309" s="1152">
        <f t="shared" si="85"/>
        <v>104690.1538207188</v>
      </c>
      <c r="AL309" s="1153">
        <f t="shared" si="86"/>
        <v>0</v>
      </c>
      <c r="AM309" s="1153">
        <f t="shared" si="87"/>
        <v>0</v>
      </c>
      <c r="AN309" s="1145">
        <f t="shared" si="88"/>
        <v>81591.258671663396</v>
      </c>
      <c r="AO309" s="1154">
        <f t="shared" si="89"/>
        <v>186281.41249238219</v>
      </c>
      <c r="AP309" s="1147">
        <f t="shared" si="75"/>
        <v>0</v>
      </c>
      <c r="AQ309" s="1144">
        <f t="shared" si="76"/>
        <v>0</v>
      </c>
      <c r="AR309" s="1146">
        <f t="shared" si="77"/>
        <v>186281.41249238219</v>
      </c>
    </row>
    <row r="310" spans="1:44" x14ac:dyDescent="0.2">
      <c r="A310" s="1141" t="str">
        <f t="shared" si="72"/>
        <v>1504</v>
      </c>
      <c r="B310" s="1141" t="str">
        <f>IFERROR(VLOOKUP(A310,'LAC 103'!A:C,3,FALSE),"")</f>
        <v>OP</v>
      </c>
      <c r="C310" s="1478" t="str">
        <f>Info!$B$8</f>
        <v>00100</v>
      </c>
      <c r="D310" s="1474" t="s">
        <v>256</v>
      </c>
      <c r="E310" s="1474" t="s">
        <v>95</v>
      </c>
      <c r="F310" s="1478" t="s">
        <v>588</v>
      </c>
      <c r="G310" s="1478" t="s">
        <v>588</v>
      </c>
      <c r="H310" s="1474" t="s">
        <v>1091</v>
      </c>
      <c r="I310" s="1478" t="s">
        <v>815</v>
      </c>
      <c r="J310" s="1478"/>
      <c r="K310" s="1475" t="s">
        <v>851</v>
      </c>
      <c r="L310" s="1474" t="s">
        <v>584</v>
      </c>
      <c r="M310" s="1476" t="s">
        <v>1698</v>
      </c>
      <c r="N310" s="1477" t="s">
        <v>1693</v>
      </c>
      <c r="O310" s="1479">
        <v>73363</v>
      </c>
      <c r="P310" s="1479"/>
      <c r="Q310" s="1142">
        <f t="shared" si="73"/>
        <v>73363</v>
      </c>
      <c r="R310" s="1143">
        <f>IFERROR(VLOOKUP(CONCATENATE(E310,G310),'LAC 103'!$A$12:$O$95,11,FALSE),0)</f>
        <v>2.483156209074918</v>
      </c>
      <c r="S310" s="1144">
        <f>IFERROR(VLOOKUP(CONCATENATE($E310,$G310),'LAC 103'!$A$12:$O$95,12,FALSE),0)</f>
        <v>3.07</v>
      </c>
      <c r="T310" s="1144">
        <f>IFERROR(VLOOKUP(CONCATENATE($E310,$G310),'LAC 103'!$A$12:$O$95,13,FALSE),0)</f>
        <v>1.92</v>
      </c>
      <c r="U310" s="1144">
        <f>IFERROR(VLOOKUP(CONCATENATE($E310,$G310),'LAC 103'!$A$12:$O$95,14,FALSE),0)</f>
        <v>0</v>
      </c>
      <c r="V310" s="1144">
        <f>IFERROR(VLOOKUP(CONCATENATE($E310,$G310),'LAC 103'!$A$12:$O$95,15,FALSE),0)</f>
        <v>0</v>
      </c>
      <c r="W310" s="1145" t="str">
        <f>IFERROR(VLOOKUP(CONCATENATE($B310,$N310),'LAC 103'!$AI:$AQ,9,FALSE),"")</f>
        <v>Costs</v>
      </c>
      <c r="X310" s="1146">
        <f t="shared" si="78"/>
        <v>2.483156209074918</v>
      </c>
      <c r="Y310" s="1143">
        <f t="shared" si="79"/>
        <v>182171.78896636321</v>
      </c>
      <c r="Z310" s="1147">
        <f t="shared" si="80"/>
        <v>225224.40999999997</v>
      </c>
      <c r="AA310" s="1144">
        <f t="shared" si="81"/>
        <v>140856.95999999999</v>
      </c>
      <c r="AB310" s="1144">
        <f t="shared" si="82"/>
        <v>0</v>
      </c>
      <c r="AC310" s="1144">
        <f t="shared" si="83"/>
        <v>0</v>
      </c>
      <c r="AD310" s="1148">
        <f t="shared" si="74"/>
        <v>182171.78896636321</v>
      </c>
      <c r="AE310" s="1487">
        <v>0</v>
      </c>
      <c r="AF310" s="1145">
        <f t="shared" si="84"/>
        <v>182171.78896636321</v>
      </c>
      <c r="AG310" s="1149">
        <f>IFERROR(VLOOKUP(CONCATENATE($L310,$N310),'Drop List'!$G$23:$K$87,2,FALSE),0)</f>
        <v>0.56200000000000006</v>
      </c>
      <c r="AH310" s="1150">
        <f>IFERROR(VLOOKUP(CONCATENATE($L310,$N310),'Drop List'!$G$23:$K$87,3,FALSE),0)</f>
        <v>0</v>
      </c>
      <c r="AI310" s="1150">
        <f>IFERROR(VLOOKUP(CONCATENATE($L310,$N310),'Drop List'!$G$23:$K$87,4,FALSE),0)</f>
        <v>0</v>
      </c>
      <c r="AJ310" s="1151">
        <f>IFERROR(VLOOKUP(CONCATENATE($L310,$N310),'Drop List'!$G$23:$K$87,5,FALSE),0)</f>
        <v>0.43799999999999994</v>
      </c>
      <c r="AK310" s="1152">
        <f t="shared" si="85"/>
        <v>102380.54539909614</v>
      </c>
      <c r="AL310" s="1153">
        <f t="shared" si="86"/>
        <v>0</v>
      </c>
      <c r="AM310" s="1153">
        <f t="shared" si="87"/>
        <v>0</v>
      </c>
      <c r="AN310" s="1145">
        <f t="shared" si="88"/>
        <v>79791.243567267069</v>
      </c>
      <c r="AO310" s="1154">
        <f t="shared" si="89"/>
        <v>182171.78896636321</v>
      </c>
      <c r="AP310" s="1147">
        <f t="shared" si="75"/>
        <v>0</v>
      </c>
      <c r="AQ310" s="1144">
        <f t="shared" si="76"/>
        <v>0</v>
      </c>
      <c r="AR310" s="1146">
        <f t="shared" si="77"/>
        <v>182171.78896636321</v>
      </c>
    </row>
    <row r="311" spans="1:44" x14ac:dyDescent="0.2">
      <c r="A311" s="1141" t="str">
        <f t="shared" si="72"/>
        <v>1504</v>
      </c>
      <c r="B311" s="1141" t="str">
        <f>IFERROR(VLOOKUP(A311,'LAC 103'!A:C,3,FALSE),"")</f>
        <v>OP</v>
      </c>
      <c r="C311" s="1478" t="str">
        <f>Info!$B$8</f>
        <v>00100</v>
      </c>
      <c r="D311" s="1474" t="s">
        <v>256</v>
      </c>
      <c r="E311" s="1474" t="s">
        <v>95</v>
      </c>
      <c r="F311" s="1478" t="s">
        <v>588</v>
      </c>
      <c r="G311" s="1478" t="s">
        <v>588</v>
      </c>
      <c r="H311" s="1474" t="s">
        <v>983</v>
      </c>
      <c r="I311" s="1478" t="s">
        <v>823</v>
      </c>
      <c r="J311" s="1478" t="s">
        <v>1998</v>
      </c>
      <c r="K311" s="1475" t="s">
        <v>847</v>
      </c>
      <c r="L311" s="1474" t="s">
        <v>582</v>
      </c>
      <c r="M311" s="1476" t="s">
        <v>1699</v>
      </c>
      <c r="N311" s="1477" t="s">
        <v>1694</v>
      </c>
      <c r="O311" s="1479">
        <v>904</v>
      </c>
      <c r="P311" s="1479"/>
      <c r="Q311" s="1142">
        <f t="shared" si="73"/>
        <v>904</v>
      </c>
      <c r="R311" s="1143">
        <f>IFERROR(VLOOKUP(CONCATENATE(E311,G311),'LAC 103'!$A$12:$O$95,11,FALSE),0)</f>
        <v>2.483156209074918</v>
      </c>
      <c r="S311" s="1144">
        <f>IFERROR(VLOOKUP(CONCATENATE($E311,$G311),'LAC 103'!$A$12:$O$95,12,FALSE),0)</f>
        <v>3.07</v>
      </c>
      <c r="T311" s="1144">
        <f>IFERROR(VLOOKUP(CONCATENATE($E311,$G311),'LAC 103'!$A$12:$O$95,13,FALSE),0)</f>
        <v>1.92</v>
      </c>
      <c r="U311" s="1144">
        <f>IFERROR(VLOOKUP(CONCATENATE($E311,$G311),'LAC 103'!$A$12:$O$95,14,FALSE),0)</f>
        <v>0</v>
      </c>
      <c r="V311" s="1144">
        <f>IFERROR(VLOOKUP(CONCATENATE($E311,$G311),'LAC 103'!$A$12:$O$95,15,FALSE),0)</f>
        <v>0</v>
      </c>
      <c r="W311" s="1145" t="str">
        <f>IFERROR(VLOOKUP(CONCATENATE($B311,$N311),'LAC 103'!$AI:$AQ,9,FALSE),"")</f>
        <v>Costs</v>
      </c>
      <c r="X311" s="1146">
        <f t="shared" si="78"/>
        <v>2.483156209074918</v>
      </c>
      <c r="Y311" s="1143">
        <f t="shared" si="79"/>
        <v>2244.7732130037257</v>
      </c>
      <c r="Z311" s="1147">
        <f t="shared" si="80"/>
        <v>2775.2799999999997</v>
      </c>
      <c r="AA311" s="1144">
        <f t="shared" si="81"/>
        <v>1735.6799999999998</v>
      </c>
      <c r="AB311" s="1144">
        <f t="shared" si="82"/>
        <v>0</v>
      </c>
      <c r="AC311" s="1144">
        <f t="shared" si="83"/>
        <v>0</v>
      </c>
      <c r="AD311" s="1148">
        <f t="shared" si="74"/>
        <v>2244.7732130037257</v>
      </c>
      <c r="AE311" s="1487">
        <v>0</v>
      </c>
      <c r="AF311" s="1145">
        <f t="shared" si="84"/>
        <v>2244.7732130037257</v>
      </c>
      <c r="AG311" s="1149">
        <f>IFERROR(VLOOKUP(CONCATENATE($L311,$N311),'Drop List'!$G$23:$K$87,2,FALSE),0)</f>
        <v>0.56200000000000006</v>
      </c>
      <c r="AH311" s="1150">
        <f>IFERROR(VLOOKUP(CONCATENATE($L311,$N311),'Drop List'!$G$23:$K$87,3,FALSE),0)</f>
        <v>0.43799999999999994</v>
      </c>
      <c r="AI311" s="1150">
        <f>IFERROR(VLOOKUP(CONCATENATE($L311,$N311),'Drop List'!$G$23:$K$87,4,FALSE),0)</f>
        <v>0</v>
      </c>
      <c r="AJ311" s="1151">
        <f>IFERROR(VLOOKUP(CONCATENATE($L311,$N311),'Drop List'!$G$23:$K$87,5,FALSE),0)</f>
        <v>0</v>
      </c>
      <c r="AK311" s="1152">
        <f t="shared" si="85"/>
        <v>1261.5625457080939</v>
      </c>
      <c r="AL311" s="1153">
        <f t="shared" si="86"/>
        <v>983.21066729563177</v>
      </c>
      <c r="AM311" s="1153">
        <f t="shared" si="87"/>
        <v>0</v>
      </c>
      <c r="AN311" s="1145">
        <f t="shared" si="88"/>
        <v>0</v>
      </c>
      <c r="AO311" s="1154">
        <f t="shared" si="89"/>
        <v>2244.7732130037257</v>
      </c>
      <c r="AP311" s="1147">
        <f t="shared" si="75"/>
        <v>0</v>
      </c>
      <c r="AQ311" s="1144">
        <f t="shared" si="76"/>
        <v>0</v>
      </c>
      <c r="AR311" s="1146">
        <f t="shared" si="77"/>
        <v>2244.7732130037257</v>
      </c>
    </row>
    <row r="312" spans="1:44" x14ac:dyDescent="0.2">
      <c r="A312" s="1141" t="str">
        <f t="shared" si="72"/>
        <v>1504</v>
      </c>
      <c r="B312" s="1141" t="str">
        <f>IFERROR(VLOOKUP(A312,'LAC 103'!A:C,3,FALSE),"")</f>
        <v>OP</v>
      </c>
      <c r="C312" s="1478" t="str">
        <f>Info!$B$8</f>
        <v>00100</v>
      </c>
      <c r="D312" s="1474" t="s">
        <v>256</v>
      </c>
      <c r="E312" s="1474" t="s">
        <v>95</v>
      </c>
      <c r="F312" s="1478" t="s">
        <v>588</v>
      </c>
      <c r="G312" s="1478" t="s">
        <v>588</v>
      </c>
      <c r="H312" s="1474" t="s">
        <v>983</v>
      </c>
      <c r="I312" s="1478" t="s">
        <v>823</v>
      </c>
      <c r="J312" s="1478" t="s">
        <v>1998</v>
      </c>
      <c r="K312" s="1475" t="s">
        <v>847</v>
      </c>
      <c r="L312" s="1474" t="s">
        <v>582</v>
      </c>
      <c r="M312" s="1476" t="s">
        <v>841</v>
      </c>
      <c r="N312" s="1477" t="s">
        <v>1695</v>
      </c>
      <c r="O312" s="1479">
        <v>238</v>
      </c>
      <c r="P312" s="1479"/>
      <c r="Q312" s="1142">
        <f t="shared" si="73"/>
        <v>238</v>
      </c>
      <c r="R312" s="1143">
        <f>IFERROR(VLOOKUP(CONCATENATE(E312,G312),'LAC 103'!$A$12:$O$95,11,FALSE),0)</f>
        <v>2.483156209074918</v>
      </c>
      <c r="S312" s="1144">
        <f>IFERROR(VLOOKUP(CONCATENATE($E312,$G312),'LAC 103'!$A$12:$O$95,12,FALSE),0)</f>
        <v>3.07</v>
      </c>
      <c r="T312" s="1144">
        <f>IFERROR(VLOOKUP(CONCATENATE($E312,$G312),'LAC 103'!$A$12:$O$95,13,FALSE),0)</f>
        <v>1.92</v>
      </c>
      <c r="U312" s="1144">
        <f>IFERROR(VLOOKUP(CONCATENATE($E312,$G312),'LAC 103'!$A$12:$O$95,14,FALSE),0)</f>
        <v>0</v>
      </c>
      <c r="V312" s="1144">
        <f>IFERROR(VLOOKUP(CONCATENATE($E312,$G312),'LAC 103'!$A$12:$O$95,15,FALSE),0)</f>
        <v>0</v>
      </c>
      <c r="W312" s="1145" t="str">
        <f>IFERROR(VLOOKUP(CONCATENATE($B312,$N312),'LAC 103'!$AI:$AQ,9,FALSE),"")</f>
        <v>Costs</v>
      </c>
      <c r="X312" s="1146">
        <f t="shared" si="78"/>
        <v>2.483156209074918</v>
      </c>
      <c r="Y312" s="1143">
        <f t="shared" si="79"/>
        <v>590.99117775983052</v>
      </c>
      <c r="Z312" s="1147">
        <f t="shared" si="80"/>
        <v>730.66</v>
      </c>
      <c r="AA312" s="1144">
        <f t="shared" si="81"/>
        <v>456.96</v>
      </c>
      <c r="AB312" s="1144">
        <f t="shared" si="82"/>
        <v>0</v>
      </c>
      <c r="AC312" s="1144">
        <f t="shared" si="83"/>
        <v>0</v>
      </c>
      <c r="AD312" s="1148">
        <f t="shared" si="74"/>
        <v>590.99117775983052</v>
      </c>
      <c r="AE312" s="1487">
        <v>0</v>
      </c>
      <c r="AF312" s="1145">
        <f t="shared" si="84"/>
        <v>590.99117775983052</v>
      </c>
      <c r="AG312" s="1149">
        <f>IFERROR(VLOOKUP(CONCATENATE($L312,$N312),'Drop List'!$G$23:$K$87,2,FALSE),0)</f>
        <v>0.55000000000000004</v>
      </c>
      <c r="AH312" s="1150">
        <f>IFERROR(VLOOKUP(CONCATENATE($L312,$N312),'Drop List'!$G$23:$K$87,3,FALSE),0)</f>
        <v>0.44999999999999996</v>
      </c>
      <c r="AI312" s="1150">
        <f>IFERROR(VLOOKUP(CONCATENATE($L312,$N312),'Drop List'!$G$23:$K$87,4,FALSE),0)</f>
        <v>0</v>
      </c>
      <c r="AJ312" s="1151">
        <f>IFERROR(VLOOKUP(CONCATENATE($L312,$N312),'Drop List'!$G$23:$K$87,5,FALSE),0)</f>
        <v>0</v>
      </c>
      <c r="AK312" s="1152">
        <f t="shared" si="85"/>
        <v>325.04514776790683</v>
      </c>
      <c r="AL312" s="1153">
        <f t="shared" si="86"/>
        <v>265.94602999192369</v>
      </c>
      <c r="AM312" s="1153">
        <f t="shared" si="87"/>
        <v>0</v>
      </c>
      <c r="AN312" s="1145">
        <f t="shared" si="88"/>
        <v>0</v>
      </c>
      <c r="AO312" s="1154">
        <f t="shared" si="89"/>
        <v>590.99117775983052</v>
      </c>
      <c r="AP312" s="1147">
        <f t="shared" si="75"/>
        <v>0</v>
      </c>
      <c r="AQ312" s="1144">
        <f t="shared" si="76"/>
        <v>0</v>
      </c>
      <c r="AR312" s="1146">
        <f t="shared" si="77"/>
        <v>590.99117775983052</v>
      </c>
    </row>
    <row r="313" spans="1:44" x14ac:dyDescent="0.2">
      <c r="A313" s="1141" t="str">
        <f t="shared" si="72"/>
        <v>1504</v>
      </c>
      <c r="B313" s="1141" t="str">
        <f>IFERROR(VLOOKUP(A313,'LAC 103'!A:C,3,FALSE),"")</f>
        <v>OP</v>
      </c>
      <c r="C313" s="1478" t="str">
        <f>Info!$B$8</f>
        <v>00100</v>
      </c>
      <c r="D313" s="1474" t="s">
        <v>256</v>
      </c>
      <c r="E313" s="1474" t="s">
        <v>95</v>
      </c>
      <c r="F313" s="1478" t="s">
        <v>588</v>
      </c>
      <c r="G313" s="1478" t="s">
        <v>588</v>
      </c>
      <c r="H313" s="1474" t="s">
        <v>983</v>
      </c>
      <c r="I313" s="1478" t="s">
        <v>823</v>
      </c>
      <c r="J313" s="1478" t="s">
        <v>1998</v>
      </c>
      <c r="K313" s="1475" t="s">
        <v>847</v>
      </c>
      <c r="L313" s="1474" t="s">
        <v>582</v>
      </c>
      <c r="M313" s="1476" t="s">
        <v>840</v>
      </c>
      <c r="N313" s="1477" t="s">
        <v>1700</v>
      </c>
      <c r="O313" s="1479">
        <v>332</v>
      </c>
      <c r="P313" s="1479"/>
      <c r="Q313" s="1142">
        <f t="shared" si="73"/>
        <v>332</v>
      </c>
      <c r="R313" s="1143">
        <f>IFERROR(VLOOKUP(CONCATENATE(E313,G313),'LAC 103'!$A$12:$O$95,11,FALSE),0)</f>
        <v>2.483156209074918</v>
      </c>
      <c r="S313" s="1144">
        <f>IFERROR(VLOOKUP(CONCATENATE($E313,$G313),'LAC 103'!$A$12:$O$95,12,FALSE),0)</f>
        <v>3.07</v>
      </c>
      <c r="T313" s="1144">
        <f>IFERROR(VLOOKUP(CONCATENATE($E313,$G313),'LAC 103'!$A$12:$O$95,13,FALSE),0)</f>
        <v>1.92</v>
      </c>
      <c r="U313" s="1144">
        <f>IFERROR(VLOOKUP(CONCATENATE($E313,$G313),'LAC 103'!$A$12:$O$95,14,FALSE),0)</f>
        <v>0</v>
      </c>
      <c r="V313" s="1144">
        <f>IFERROR(VLOOKUP(CONCATENATE($E313,$G313),'LAC 103'!$A$12:$O$95,15,FALSE),0)</f>
        <v>0</v>
      </c>
      <c r="W313" s="1145" t="str">
        <f>IFERROR(VLOOKUP(CONCATENATE($B313,$N313),'LAC 103'!$AI:$AQ,9,FALSE),"")</f>
        <v>P.C.</v>
      </c>
      <c r="X313" s="1146">
        <f t="shared" si="78"/>
        <v>1.92</v>
      </c>
      <c r="Y313" s="1143">
        <f t="shared" si="79"/>
        <v>824.40786141287276</v>
      </c>
      <c r="Z313" s="1147">
        <f t="shared" si="80"/>
        <v>1019.2399999999999</v>
      </c>
      <c r="AA313" s="1144">
        <f t="shared" si="81"/>
        <v>637.43999999999994</v>
      </c>
      <c r="AB313" s="1144">
        <f t="shared" si="82"/>
        <v>0</v>
      </c>
      <c r="AC313" s="1144">
        <f t="shared" si="83"/>
        <v>0</v>
      </c>
      <c r="AD313" s="1148">
        <f t="shared" si="74"/>
        <v>637.43999999999994</v>
      </c>
      <c r="AE313" s="1487">
        <v>0</v>
      </c>
      <c r="AF313" s="1145">
        <f t="shared" si="84"/>
        <v>637.43999999999994</v>
      </c>
      <c r="AG313" s="1149">
        <f>IFERROR(VLOOKUP(CONCATENATE($L313,$N313),'Drop List'!$G$23:$K$87,2,FALSE),0)</f>
        <v>0.55000000000000004</v>
      </c>
      <c r="AH313" s="1150">
        <f>IFERROR(VLOOKUP(CONCATENATE($L313,$N313),'Drop List'!$G$23:$K$87,3,FALSE),0)</f>
        <v>0.44999999999999996</v>
      </c>
      <c r="AI313" s="1150">
        <f>IFERROR(VLOOKUP(CONCATENATE($L313,$N313),'Drop List'!$G$23:$K$87,4,FALSE),0)</f>
        <v>0</v>
      </c>
      <c r="AJ313" s="1151">
        <f>IFERROR(VLOOKUP(CONCATENATE($L313,$N313),'Drop List'!$G$23:$K$87,5,FALSE),0)</f>
        <v>0</v>
      </c>
      <c r="AK313" s="1152">
        <f t="shared" si="85"/>
        <v>350.59199999999998</v>
      </c>
      <c r="AL313" s="1153">
        <f t="shared" si="86"/>
        <v>286.84799999999996</v>
      </c>
      <c r="AM313" s="1153">
        <f t="shared" si="87"/>
        <v>0</v>
      </c>
      <c r="AN313" s="1145">
        <f t="shared" si="88"/>
        <v>0</v>
      </c>
      <c r="AO313" s="1154">
        <f t="shared" si="89"/>
        <v>637.43999999999994</v>
      </c>
      <c r="AP313" s="1147">
        <f t="shared" si="75"/>
        <v>0</v>
      </c>
      <c r="AQ313" s="1144">
        <f t="shared" si="76"/>
        <v>0</v>
      </c>
      <c r="AR313" s="1146">
        <f t="shared" si="77"/>
        <v>637.43999999999994</v>
      </c>
    </row>
    <row r="314" spans="1:44" x14ac:dyDescent="0.2">
      <c r="A314" s="1141" t="str">
        <f t="shared" si="72"/>
        <v>1504</v>
      </c>
      <c r="B314" s="1141" t="str">
        <f>IFERROR(VLOOKUP(A314,'LAC 103'!A:C,3,FALSE),"")</f>
        <v>OP</v>
      </c>
      <c r="C314" s="1478" t="str">
        <f>Info!$B$8</f>
        <v>00100</v>
      </c>
      <c r="D314" s="1474" t="s">
        <v>256</v>
      </c>
      <c r="E314" s="1474" t="s">
        <v>95</v>
      </c>
      <c r="F314" s="1478" t="s">
        <v>588</v>
      </c>
      <c r="G314" s="1478" t="s">
        <v>588</v>
      </c>
      <c r="H314" s="1474" t="s">
        <v>983</v>
      </c>
      <c r="I314" s="1478" t="s">
        <v>823</v>
      </c>
      <c r="J314" s="1478" t="s">
        <v>1998</v>
      </c>
      <c r="K314" s="1475" t="s">
        <v>847</v>
      </c>
      <c r="L314" s="1474" t="s">
        <v>582</v>
      </c>
      <c r="M314" s="1476" t="s">
        <v>842</v>
      </c>
      <c r="N314" s="1477" t="s">
        <v>1692</v>
      </c>
      <c r="O314" s="1479">
        <v>1429</v>
      </c>
      <c r="P314" s="1479"/>
      <c r="Q314" s="1142">
        <f t="shared" si="73"/>
        <v>1429</v>
      </c>
      <c r="R314" s="1143">
        <f>IFERROR(VLOOKUP(CONCATENATE(E314,G314),'LAC 103'!$A$12:$O$95,11,FALSE),0)</f>
        <v>2.483156209074918</v>
      </c>
      <c r="S314" s="1144">
        <f>IFERROR(VLOOKUP(CONCATENATE($E314,$G314),'LAC 103'!$A$12:$O$95,12,FALSE),0)</f>
        <v>3.07</v>
      </c>
      <c r="T314" s="1144">
        <f>IFERROR(VLOOKUP(CONCATENATE($E314,$G314),'LAC 103'!$A$12:$O$95,13,FALSE),0)</f>
        <v>1.92</v>
      </c>
      <c r="U314" s="1144">
        <f>IFERROR(VLOOKUP(CONCATENATE($E314,$G314),'LAC 103'!$A$12:$O$95,14,FALSE),0)</f>
        <v>0</v>
      </c>
      <c r="V314" s="1144">
        <f>IFERROR(VLOOKUP(CONCATENATE($E314,$G314),'LAC 103'!$A$12:$O$95,15,FALSE),0)</f>
        <v>0</v>
      </c>
      <c r="W314" s="1145" t="str">
        <f>IFERROR(VLOOKUP(CONCATENATE($B314,$N314),'LAC 103'!$AI:$AQ,9,FALSE),"")</f>
        <v>Costs</v>
      </c>
      <c r="X314" s="1146">
        <f t="shared" si="78"/>
        <v>2.483156209074918</v>
      </c>
      <c r="Y314" s="1143">
        <f t="shared" si="79"/>
        <v>3548.4302227680578</v>
      </c>
      <c r="Z314" s="1147">
        <f t="shared" si="80"/>
        <v>4387.03</v>
      </c>
      <c r="AA314" s="1144">
        <f t="shared" si="81"/>
        <v>2743.68</v>
      </c>
      <c r="AB314" s="1144">
        <f t="shared" si="82"/>
        <v>0</v>
      </c>
      <c r="AC314" s="1144">
        <f t="shared" si="83"/>
        <v>0</v>
      </c>
      <c r="AD314" s="1148">
        <f t="shared" si="74"/>
        <v>3548.4302227680578</v>
      </c>
      <c r="AE314" s="1487">
        <v>0</v>
      </c>
      <c r="AF314" s="1145">
        <f t="shared" si="84"/>
        <v>3548.4302227680578</v>
      </c>
      <c r="AG314" s="1149">
        <f>IFERROR(VLOOKUP(CONCATENATE($L314,$N314),'Drop List'!$G$23:$K$87,2,FALSE),0)</f>
        <v>0.56200000000000006</v>
      </c>
      <c r="AH314" s="1150">
        <f>IFERROR(VLOOKUP(CONCATENATE($L314,$N314),'Drop List'!$G$23:$K$87,3,FALSE),0)</f>
        <v>0.43799999999999994</v>
      </c>
      <c r="AI314" s="1150">
        <f>IFERROR(VLOOKUP(CONCATENATE($L314,$N314),'Drop List'!$G$23:$K$87,4,FALSE),0)</f>
        <v>0</v>
      </c>
      <c r="AJ314" s="1151">
        <f>IFERROR(VLOOKUP(CONCATENATE($L314,$N314),'Drop List'!$G$23:$K$87,5,FALSE),0)</f>
        <v>0</v>
      </c>
      <c r="AK314" s="1152">
        <f t="shared" si="85"/>
        <v>1994.2177851956487</v>
      </c>
      <c r="AL314" s="1153">
        <f t="shared" si="86"/>
        <v>1554.212437572409</v>
      </c>
      <c r="AM314" s="1153">
        <f t="shared" si="87"/>
        <v>0</v>
      </c>
      <c r="AN314" s="1145">
        <f t="shared" si="88"/>
        <v>0</v>
      </c>
      <c r="AO314" s="1154">
        <f t="shared" si="89"/>
        <v>3548.4302227680578</v>
      </c>
      <c r="AP314" s="1147">
        <f t="shared" si="75"/>
        <v>0</v>
      </c>
      <c r="AQ314" s="1144">
        <f t="shared" si="76"/>
        <v>0</v>
      </c>
      <c r="AR314" s="1146">
        <f t="shared" si="77"/>
        <v>3548.4302227680578</v>
      </c>
    </row>
    <row r="315" spans="1:44" x14ac:dyDescent="0.2">
      <c r="A315" s="1141" t="str">
        <f t="shared" si="72"/>
        <v>1504</v>
      </c>
      <c r="B315" s="1141" t="str">
        <f>IFERROR(VLOOKUP(A315,'LAC 103'!A:C,3,FALSE),"")</f>
        <v>OP</v>
      </c>
      <c r="C315" s="1478" t="str">
        <f>Info!$B$8</f>
        <v>00100</v>
      </c>
      <c r="D315" s="1474" t="s">
        <v>256</v>
      </c>
      <c r="E315" s="1474" t="s">
        <v>95</v>
      </c>
      <c r="F315" s="1478" t="s">
        <v>588</v>
      </c>
      <c r="G315" s="1478" t="s">
        <v>588</v>
      </c>
      <c r="H315" s="1474" t="s">
        <v>983</v>
      </c>
      <c r="I315" s="1478" t="s">
        <v>823</v>
      </c>
      <c r="J315" s="1478" t="s">
        <v>1998</v>
      </c>
      <c r="K315" s="1475" t="s">
        <v>847</v>
      </c>
      <c r="L315" s="1474" t="s">
        <v>582</v>
      </c>
      <c r="M315" s="1476" t="s">
        <v>1698</v>
      </c>
      <c r="N315" s="1477" t="s">
        <v>1693</v>
      </c>
      <c r="O315" s="1479">
        <v>968</v>
      </c>
      <c r="P315" s="1479"/>
      <c r="Q315" s="1142">
        <f t="shared" si="73"/>
        <v>968</v>
      </c>
      <c r="R315" s="1143">
        <f>IFERROR(VLOOKUP(CONCATENATE(E315,G315),'LAC 103'!$A$12:$O$95,11,FALSE),0)</f>
        <v>2.483156209074918</v>
      </c>
      <c r="S315" s="1144">
        <f>IFERROR(VLOOKUP(CONCATENATE($E315,$G315),'LAC 103'!$A$12:$O$95,12,FALSE),0)</f>
        <v>3.07</v>
      </c>
      <c r="T315" s="1144">
        <f>IFERROR(VLOOKUP(CONCATENATE($E315,$G315),'LAC 103'!$A$12:$O$95,13,FALSE),0)</f>
        <v>1.92</v>
      </c>
      <c r="U315" s="1144">
        <f>IFERROR(VLOOKUP(CONCATENATE($E315,$G315),'LAC 103'!$A$12:$O$95,14,FALSE),0)</f>
        <v>0</v>
      </c>
      <c r="V315" s="1144">
        <f>IFERROR(VLOOKUP(CONCATENATE($E315,$G315),'LAC 103'!$A$12:$O$95,15,FALSE),0)</f>
        <v>0</v>
      </c>
      <c r="W315" s="1145" t="str">
        <f>IFERROR(VLOOKUP(CONCATENATE($B315,$N315),'LAC 103'!$AI:$AQ,9,FALSE),"")</f>
        <v>Costs</v>
      </c>
      <c r="X315" s="1146">
        <f t="shared" si="78"/>
        <v>2.483156209074918</v>
      </c>
      <c r="Y315" s="1143">
        <f t="shared" si="79"/>
        <v>2403.6952103845206</v>
      </c>
      <c r="Z315" s="1147">
        <f t="shared" si="80"/>
        <v>2971.7599999999998</v>
      </c>
      <c r="AA315" s="1144">
        <f t="shared" si="81"/>
        <v>1858.56</v>
      </c>
      <c r="AB315" s="1144">
        <f t="shared" si="82"/>
        <v>0</v>
      </c>
      <c r="AC315" s="1144">
        <f t="shared" si="83"/>
        <v>0</v>
      </c>
      <c r="AD315" s="1148">
        <f t="shared" si="74"/>
        <v>2403.6952103845206</v>
      </c>
      <c r="AE315" s="1487">
        <v>0</v>
      </c>
      <c r="AF315" s="1145">
        <f t="shared" si="84"/>
        <v>2403.6952103845206</v>
      </c>
      <c r="AG315" s="1149">
        <f>IFERROR(VLOOKUP(CONCATENATE($L315,$N315),'Drop List'!$G$23:$K$87,2,FALSE),0)</f>
        <v>0.56200000000000006</v>
      </c>
      <c r="AH315" s="1150">
        <f>IFERROR(VLOOKUP(CONCATENATE($L315,$N315),'Drop List'!$G$23:$K$87,3,FALSE),0)</f>
        <v>0.43799999999999994</v>
      </c>
      <c r="AI315" s="1150">
        <f>IFERROR(VLOOKUP(CONCATENATE($L315,$N315),'Drop List'!$G$23:$K$87,4,FALSE),0)</f>
        <v>0</v>
      </c>
      <c r="AJ315" s="1151">
        <f>IFERROR(VLOOKUP(CONCATENATE($L315,$N315),'Drop List'!$G$23:$K$87,5,FALSE),0)</f>
        <v>0</v>
      </c>
      <c r="AK315" s="1152">
        <f t="shared" si="85"/>
        <v>1350.8767082361007</v>
      </c>
      <c r="AL315" s="1153">
        <f t="shared" si="86"/>
        <v>1052.8185021484198</v>
      </c>
      <c r="AM315" s="1153">
        <f t="shared" si="87"/>
        <v>0</v>
      </c>
      <c r="AN315" s="1145">
        <f t="shared" si="88"/>
        <v>0</v>
      </c>
      <c r="AO315" s="1154">
        <f t="shared" si="89"/>
        <v>2403.6952103845206</v>
      </c>
      <c r="AP315" s="1147">
        <f t="shared" si="75"/>
        <v>0</v>
      </c>
      <c r="AQ315" s="1144">
        <f t="shared" si="76"/>
        <v>0</v>
      </c>
      <c r="AR315" s="1146">
        <f t="shared" si="77"/>
        <v>2403.6952103845206</v>
      </c>
    </row>
    <row r="316" spans="1:44" x14ac:dyDescent="0.2">
      <c r="A316" s="1141" t="str">
        <f t="shared" si="72"/>
        <v>1504</v>
      </c>
      <c r="B316" s="1141" t="str">
        <f>IFERROR(VLOOKUP(A316,'LAC 103'!A:C,3,FALSE),"")</f>
        <v>OP</v>
      </c>
      <c r="C316" s="1478" t="str">
        <f>Info!$B$8</f>
        <v>00100</v>
      </c>
      <c r="D316" s="1474" t="s">
        <v>256</v>
      </c>
      <c r="E316" s="1474" t="s">
        <v>95</v>
      </c>
      <c r="F316" s="1478" t="s">
        <v>588</v>
      </c>
      <c r="G316" s="1478" t="s">
        <v>588</v>
      </c>
      <c r="H316" s="1474" t="s">
        <v>983</v>
      </c>
      <c r="I316" s="1478" t="s">
        <v>823</v>
      </c>
      <c r="J316" s="1478" t="s">
        <v>1998</v>
      </c>
      <c r="K316" s="1475" t="s">
        <v>848</v>
      </c>
      <c r="L316" s="1474" t="s">
        <v>45</v>
      </c>
      <c r="M316" s="1476" t="s">
        <v>1699</v>
      </c>
      <c r="N316" s="1477" t="s">
        <v>1694</v>
      </c>
      <c r="O316" s="1479">
        <v>108</v>
      </c>
      <c r="P316" s="1479"/>
      <c r="Q316" s="1142">
        <f t="shared" si="73"/>
        <v>108</v>
      </c>
      <c r="R316" s="1143">
        <f>IFERROR(VLOOKUP(CONCATENATE(E316,G316),'LAC 103'!$A$12:$O$95,11,FALSE),0)</f>
        <v>2.483156209074918</v>
      </c>
      <c r="S316" s="1144">
        <f>IFERROR(VLOOKUP(CONCATENATE($E316,$G316),'LAC 103'!$A$12:$O$95,12,FALSE),0)</f>
        <v>3.07</v>
      </c>
      <c r="T316" s="1144">
        <f>IFERROR(VLOOKUP(CONCATENATE($E316,$G316),'LAC 103'!$A$12:$O$95,13,FALSE),0)</f>
        <v>1.92</v>
      </c>
      <c r="U316" s="1144">
        <f>IFERROR(VLOOKUP(CONCATENATE($E316,$G316),'LAC 103'!$A$12:$O$95,14,FALSE),0)</f>
        <v>0</v>
      </c>
      <c r="V316" s="1144">
        <f>IFERROR(VLOOKUP(CONCATENATE($E316,$G316),'LAC 103'!$A$12:$O$95,15,FALSE),0)</f>
        <v>0</v>
      </c>
      <c r="W316" s="1145" t="str">
        <f>IFERROR(VLOOKUP(CONCATENATE($B316,$N316),'LAC 103'!$AI:$AQ,9,FALSE),"")</f>
        <v>Costs</v>
      </c>
      <c r="X316" s="1146">
        <f t="shared" si="78"/>
        <v>2.483156209074918</v>
      </c>
      <c r="Y316" s="1143">
        <f t="shared" si="79"/>
        <v>268.18087058009115</v>
      </c>
      <c r="Z316" s="1147">
        <f t="shared" si="80"/>
        <v>331.56</v>
      </c>
      <c r="AA316" s="1144">
        <f t="shared" si="81"/>
        <v>207.35999999999999</v>
      </c>
      <c r="AB316" s="1144">
        <f t="shared" si="82"/>
        <v>0</v>
      </c>
      <c r="AC316" s="1144">
        <f t="shared" si="83"/>
        <v>0</v>
      </c>
      <c r="AD316" s="1148">
        <f t="shared" si="74"/>
        <v>268.18087058009115</v>
      </c>
      <c r="AE316" s="1487">
        <v>0</v>
      </c>
      <c r="AF316" s="1145">
        <f t="shared" si="84"/>
        <v>268.18087058009115</v>
      </c>
      <c r="AG316" s="1149">
        <f>IFERROR(VLOOKUP(CONCATENATE($L316,$N316),'Drop List'!$G$23:$K$87,2,FALSE),0)</f>
        <v>0.69340000000000002</v>
      </c>
      <c r="AH316" s="1150">
        <f>IFERROR(VLOOKUP(CONCATENATE($L316,$N316),'Drop List'!$G$23:$K$87,3,FALSE),0)</f>
        <v>0.30659999999999998</v>
      </c>
      <c r="AI316" s="1150">
        <f>IFERROR(VLOOKUP(CONCATENATE($L316,$N316),'Drop List'!$G$23:$K$87,4,FALSE),0)</f>
        <v>0</v>
      </c>
      <c r="AJ316" s="1151">
        <f>IFERROR(VLOOKUP(CONCATENATE($L316,$N316),'Drop List'!$G$23:$K$87,5,FALSE),0)</f>
        <v>0</v>
      </c>
      <c r="AK316" s="1152">
        <f t="shared" si="85"/>
        <v>185.9566156602352</v>
      </c>
      <c r="AL316" s="1153">
        <f t="shared" si="86"/>
        <v>82.224254919855937</v>
      </c>
      <c r="AM316" s="1153">
        <f t="shared" si="87"/>
        <v>0</v>
      </c>
      <c r="AN316" s="1145">
        <f t="shared" si="88"/>
        <v>0</v>
      </c>
      <c r="AO316" s="1154">
        <f t="shared" si="89"/>
        <v>268.18087058009115</v>
      </c>
      <c r="AP316" s="1147">
        <f t="shared" si="75"/>
        <v>0</v>
      </c>
      <c r="AQ316" s="1144">
        <f t="shared" si="76"/>
        <v>0</v>
      </c>
      <c r="AR316" s="1146">
        <f t="shared" si="77"/>
        <v>268.18087058009115</v>
      </c>
    </row>
    <row r="317" spans="1:44" x14ac:dyDescent="0.2">
      <c r="A317" s="1141" t="str">
        <f t="shared" si="72"/>
        <v>1504</v>
      </c>
      <c r="B317" s="1141" t="str">
        <f>IFERROR(VLOOKUP(A317,'LAC 103'!A:C,3,FALSE),"")</f>
        <v>OP</v>
      </c>
      <c r="C317" s="1478" t="str">
        <f>Info!$B$8</f>
        <v>00100</v>
      </c>
      <c r="D317" s="1474" t="s">
        <v>256</v>
      </c>
      <c r="E317" s="1474" t="s">
        <v>95</v>
      </c>
      <c r="F317" s="1478" t="s">
        <v>588</v>
      </c>
      <c r="G317" s="1478" t="s">
        <v>588</v>
      </c>
      <c r="H317" s="1474" t="s">
        <v>983</v>
      </c>
      <c r="I317" s="1478" t="s">
        <v>823</v>
      </c>
      <c r="J317" s="1478" t="s">
        <v>1998</v>
      </c>
      <c r="K317" s="1475" t="s">
        <v>848</v>
      </c>
      <c r="L317" s="1474" t="s">
        <v>45</v>
      </c>
      <c r="M317" s="1476" t="s">
        <v>841</v>
      </c>
      <c r="N317" s="1477" t="s">
        <v>1695</v>
      </c>
      <c r="O317" s="1479">
        <v>154</v>
      </c>
      <c r="P317" s="1479"/>
      <c r="Q317" s="1142">
        <f t="shared" si="73"/>
        <v>154</v>
      </c>
      <c r="R317" s="1143">
        <f>IFERROR(VLOOKUP(CONCATENATE(E317,G317),'LAC 103'!$A$12:$O$95,11,FALSE),0)</f>
        <v>2.483156209074918</v>
      </c>
      <c r="S317" s="1144">
        <f>IFERROR(VLOOKUP(CONCATENATE($E317,$G317),'LAC 103'!$A$12:$O$95,12,FALSE),0)</f>
        <v>3.07</v>
      </c>
      <c r="T317" s="1144">
        <f>IFERROR(VLOOKUP(CONCATENATE($E317,$G317),'LAC 103'!$A$12:$O$95,13,FALSE),0)</f>
        <v>1.92</v>
      </c>
      <c r="U317" s="1144">
        <f>IFERROR(VLOOKUP(CONCATENATE($E317,$G317),'LAC 103'!$A$12:$O$95,14,FALSE),0)</f>
        <v>0</v>
      </c>
      <c r="V317" s="1144">
        <f>IFERROR(VLOOKUP(CONCATENATE($E317,$G317),'LAC 103'!$A$12:$O$95,15,FALSE),0)</f>
        <v>0</v>
      </c>
      <c r="W317" s="1145" t="str">
        <f>IFERROR(VLOOKUP(CONCATENATE($B317,$N317),'LAC 103'!$AI:$AQ,9,FALSE),"")</f>
        <v>Costs</v>
      </c>
      <c r="X317" s="1146">
        <f t="shared" si="78"/>
        <v>2.483156209074918</v>
      </c>
      <c r="Y317" s="1143">
        <f t="shared" si="79"/>
        <v>382.40605619753734</v>
      </c>
      <c r="Z317" s="1147">
        <f t="shared" si="80"/>
        <v>472.78</v>
      </c>
      <c r="AA317" s="1144">
        <f t="shared" si="81"/>
        <v>295.68</v>
      </c>
      <c r="AB317" s="1144">
        <f t="shared" si="82"/>
        <v>0</v>
      </c>
      <c r="AC317" s="1144">
        <f t="shared" si="83"/>
        <v>0</v>
      </c>
      <c r="AD317" s="1148">
        <f t="shared" si="74"/>
        <v>382.40605619753734</v>
      </c>
      <c r="AE317" s="1487">
        <v>0</v>
      </c>
      <c r="AF317" s="1145">
        <f t="shared" si="84"/>
        <v>382.40605619753734</v>
      </c>
      <c r="AG317" s="1149">
        <f>IFERROR(VLOOKUP(CONCATENATE($L317,$N317),'Drop List'!$G$23:$K$87,2,FALSE),0)</f>
        <v>0.68500000000000005</v>
      </c>
      <c r="AH317" s="1150">
        <f>IFERROR(VLOOKUP(CONCATENATE($L317,$N317),'Drop List'!$G$23:$K$87,3,FALSE),0)</f>
        <v>0.31499999999999995</v>
      </c>
      <c r="AI317" s="1150">
        <f>IFERROR(VLOOKUP(CONCATENATE($L317,$N317),'Drop List'!$G$23:$K$87,4,FALSE),0)</f>
        <v>0</v>
      </c>
      <c r="AJ317" s="1151">
        <f>IFERROR(VLOOKUP(CONCATENATE($L317,$N317),'Drop List'!$G$23:$K$87,5,FALSE),0)</f>
        <v>0</v>
      </c>
      <c r="AK317" s="1152">
        <f t="shared" si="85"/>
        <v>261.94814849531309</v>
      </c>
      <c r="AL317" s="1153">
        <f t="shared" si="86"/>
        <v>120.45790770222425</v>
      </c>
      <c r="AM317" s="1153">
        <f t="shared" si="87"/>
        <v>0</v>
      </c>
      <c r="AN317" s="1145">
        <f t="shared" si="88"/>
        <v>0</v>
      </c>
      <c r="AO317" s="1154">
        <f t="shared" si="89"/>
        <v>382.40605619753734</v>
      </c>
      <c r="AP317" s="1147">
        <f t="shared" si="75"/>
        <v>0</v>
      </c>
      <c r="AQ317" s="1144">
        <f t="shared" si="76"/>
        <v>0</v>
      </c>
      <c r="AR317" s="1146">
        <f t="shared" si="77"/>
        <v>382.40605619753734</v>
      </c>
    </row>
    <row r="318" spans="1:44" x14ac:dyDescent="0.2">
      <c r="A318" s="1141" t="str">
        <f t="shared" si="72"/>
        <v>1504</v>
      </c>
      <c r="B318" s="1141" t="str">
        <f>IFERROR(VLOOKUP(A318,'LAC 103'!A:C,3,FALSE),"")</f>
        <v>OP</v>
      </c>
      <c r="C318" s="1478" t="str">
        <f>Info!$B$8</f>
        <v>00100</v>
      </c>
      <c r="D318" s="1474" t="s">
        <v>256</v>
      </c>
      <c r="E318" s="1474" t="s">
        <v>95</v>
      </c>
      <c r="F318" s="1478" t="s">
        <v>588</v>
      </c>
      <c r="G318" s="1478" t="s">
        <v>588</v>
      </c>
      <c r="H318" s="1474" t="s">
        <v>983</v>
      </c>
      <c r="I318" s="1478" t="s">
        <v>823</v>
      </c>
      <c r="J318" s="1478" t="s">
        <v>1998</v>
      </c>
      <c r="K318" s="1475" t="s">
        <v>848</v>
      </c>
      <c r="L318" s="1474" t="s">
        <v>45</v>
      </c>
      <c r="M318" s="1476" t="s">
        <v>840</v>
      </c>
      <c r="N318" s="1477" t="s">
        <v>1700</v>
      </c>
      <c r="O318" s="1479">
        <v>79</v>
      </c>
      <c r="P318" s="1479"/>
      <c r="Q318" s="1142">
        <f t="shared" si="73"/>
        <v>79</v>
      </c>
      <c r="R318" s="1143">
        <f>IFERROR(VLOOKUP(CONCATENATE(E318,G318),'LAC 103'!$A$12:$O$95,11,FALSE),0)</f>
        <v>2.483156209074918</v>
      </c>
      <c r="S318" s="1144">
        <f>IFERROR(VLOOKUP(CONCATENATE($E318,$G318),'LAC 103'!$A$12:$O$95,12,FALSE),0)</f>
        <v>3.07</v>
      </c>
      <c r="T318" s="1144">
        <f>IFERROR(VLOOKUP(CONCATENATE($E318,$G318),'LAC 103'!$A$12:$O$95,13,FALSE),0)</f>
        <v>1.92</v>
      </c>
      <c r="U318" s="1144">
        <f>IFERROR(VLOOKUP(CONCATENATE($E318,$G318),'LAC 103'!$A$12:$O$95,14,FALSE),0)</f>
        <v>0</v>
      </c>
      <c r="V318" s="1144">
        <f>IFERROR(VLOOKUP(CONCATENATE($E318,$G318),'LAC 103'!$A$12:$O$95,15,FALSE),0)</f>
        <v>0</v>
      </c>
      <c r="W318" s="1145" t="str">
        <f>IFERROR(VLOOKUP(CONCATENATE($B318,$N318),'LAC 103'!$AI:$AQ,9,FALSE),"")</f>
        <v>P.C.</v>
      </c>
      <c r="X318" s="1146">
        <f t="shared" si="78"/>
        <v>1.92</v>
      </c>
      <c r="Y318" s="1143">
        <f t="shared" si="79"/>
        <v>196.16934051691851</v>
      </c>
      <c r="Z318" s="1147">
        <f t="shared" si="80"/>
        <v>242.53</v>
      </c>
      <c r="AA318" s="1144">
        <f t="shared" si="81"/>
        <v>151.68</v>
      </c>
      <c r="AB318" s="1144">
        <f t="shared" si="82"/>
        <v>0</v>
      </c>
      <c r="AC318" s="1144">
        <f t="shared" si="83"/>
        <v>0</v>
      </c>
      <c r="AD318" s="1148">
        <f t="shared" si="74"/>
        <v>151.68</v>
      </c>
      <c r="AE318" s="1487">
        <v>0</v>
      </c>
      <c r="AF318" s="1145">
        <f t="shared" si="84"/>
        <v>151.68</v>
      </c>
      <c r="AG318" s="1149">
        <f>IFERROR(VLOOKUP(CONCATENATE($L318,$N318),'Drop List'!$G$23:$K$87,2,FALSE),0)</f>
        <v>0.68500000000000005</v>
      </c>
      <c r="AH318" s="1150">
        <f>IFERROR(VLOOKUP(CONCATENATE($L318,$N318),'Drop List'!$G$23:$K$87,3,FALSE),0)</f>
        <v>0.31499999999999995</v>
      </c>
      <c r="AI318" s="1150">
        <f>IFERROR(VLOOKUP(CONCATENATE($L318,$N318),'Drop List'!$G$23:$K$87,4,FALSE),0)</f>
        <v>0</v>
      </c>
      <c r="AJ318" s="1151">
        <f>IFERROR(VLOOKUP(CONCATENATE($L318,$N318),'Drop List'!$G$23:$K$87,5,FALSE),0)</f>
        <v>0</v>
      </c>
      <c r="AK318" s="1152">
        <f t="shared" si="85"/>
        <v>103.90080000000002</v>
      </c>
      <c r="AL318" s="1153">
        <f t="shared" si="86"/>
        <v>47.779199999999996</v>
      </c>
      <c r="AM318" s="1153">
        <f t="shared" si="87"/>
        <v>0</v>
      </c>
      <c r="AN318" s="1145">
        <f t="shared" si="88"/>
        <v>0</v>
      </c>
      <c r="AO318" s="1154">
        <f t="shared" si="89"/>
        <v>151.68</v>
      </c>
      <c r="AP318" s="1147">
        <f t="shared" si="75"/>
        <v>0</v>
      </c>
      <c r="AQ318" s="1144">
        <f t="shared" si="76"/>
        <v>0</v>
      </c>
      <c r="AR318" s="1146">
        <f t="shared" si="77"/>
        <v>151.68</v>
      </c>
    </row>
    <row r="319" spans="1:44" x14ac:dyDescent="0.2">
      <c r="A319" s="1141" t="str">
        <f t="shared" si="72"/>
        <v>1504</v>
      </c>
      <c r="B319" s="1141" t="str">
        <f>IFERROR(VLOOKUP(A319,'LAC 103'!A:C,3,FALSE),"")</f>
        <v>OP</v>
      </c>
      <c r="C319" s="1478" t="str">
        <f>Info!$B$8</f>
        <v>00100</v>
      </c>
      <c r="D319" s="1474" t="s">
        <v>256</v>
      </c>
      <c r="E319" s="1474" t="s">
        <v>95</v>
      </c>
      <c r="F319" s="1478" t="s">
        <v>588</v>
      </c>
      <c r="G319" s="1478" t="s">
        <v>588</v>
      </c>
      <c r="H319" s="1474" t="s">
        <v>983</v>
      </c>
      <c r="I319" s="1478" t="s">
        <v>823</v>
      </c>
      <c r="J319" s="1478" t="s">
        <v>1998</v>
      </c>
      <c r="K319" s="1475" t="s">
        <v>848</v>
      </c>
      <c r="L319" s="1474" t="s">
        <v>45</v>
      </c>
      <c r="M319" s="1476" t="s">
        <v>842</v>
      </c>
      <c r="N319" s="1477" t="s">
        <v>1692</v>
      </c>
      <c r="O319" s="1479">
        <v>739</v>
      </c>
      <c r="P319" s="1479"/>
      <c r="Q319" s="1142">
        <f t="shared" si="73"/>
        <v>739</v>
      </c>
      <c r="R319" s="1143">
        <f>IFERROR(VLOOKUP(CONCATENATE(E319,G319),'LAC 103'!$A$12:$O$95,11,FALSE),0)</f>
        <v>2.483156209074918</v>
      </c>
      <c r="S319" s="1144">
        <f>IFERROR(VLOOKUP(CONCATENATE($E319,$G319),'LAC 103'!$A$12:$O$95,12,FALSE),0)</f>
        <v>3.07</v>
      </c>
      <c r="T319" s="1144">
        <f>IFERROR(VLOOKUP(CONCATENATE($E319,$G319),'LAC 103'!$A$12:$O$95,13,FALSE),0)</f>
        <v>1.92</v>
      </c>
      <c r="U319" s="1144">
        <f>IFERROR(VLOOKUP(CONCATENATE($E319,$G319),'LAC 103'!$A$12:$O$95,14,FALSE),0)</f>
        <v>0</v>
      </c>
      <c r="V319" s="1144">
        <f>IFERROR(VLOOKUP(CONCATENATE($E319,$G319),'LAC 103'!$A$12:$O$95,15,FALSE),0)</f>
        <v>0</v>
      </c>
      <c r="W319" s="1145" t="str">
        <f>IFERROR(VLOOKUP(CONCATENATE($B319,$N319),'LAC 103'!$AI:$AQ,9,FALSE),"")</f>
        <v>Costs</v>
      </c>
      <c r="X319" s="1146">
        <f t="shared" si="78"/>
        <v>2.483156209074918</v>
      </c>
      <c r="Y319" s="1143">
        <f t="shared" si="79"/>
        <v>1835.0524385063643</v>
      </c>
      <c r="Z319" s="1147">
        <f t="shared" si="80"/>
        <v>2268.73</v>
      </c>
      <c r="AA319" s="1144">
        <f t="shared" si="81"/>
        <v>1418.8799999999999</v>
      </c>
      <c r="AB319" s="1144">
        <f t="shared" si="82"/>
        <v>0</v>
      </c>
      <c r="AC319" s="1144">
        <f t="shared" si="83"/>
        <v>0</v>
      </c>
      <c r="AD319" s="1148">
        <f t="shared" si="74"/>
        <v>1835.0524385063643</v>
      </c>
      <c r="AE319" s="1487">
        <v>0</v>
      </c>
      <c r="AF319" s="1145">
        <f t="shared" si="84"/>
        <v>1835.0524385063643</v>
      </c>
      <c r="AG319" s="1149">
        <f>IFERROR(VLOOKUP(CONCATENATE($L319,$N319),'Drop List'!$G$23:$K$87,2,FALSE),0)</f>
        <v>0.69340000000000002</v>
      </c>
      <c r="AH319" s="1150">
        <f>IFERROR(VLOOKUP(CONCATENATE($L319,$N319),'Drop List'!$G$23:$K$87,3,FALSE),0)</f>
        <v>0.30659999999999998</v>
      </c>
      <c r="AI319" s="1150">
        <f>IFERROR(VLOOKUP(CONCATENATE($L319,$N319),'Drop List'!$G$23:$K$87,4,FALSE),0)</f>
        <v>0</v>
      </c>
      <c r="AJ319" s="1151">
        <f>IFERROR(VLOOKUP(CONCATENATE($L319,$N319),'Drop List'!$G$23:$K$87,5,FALSE),0)</f>
        <v>0</v>
      </c>
      <c r="AK319" s="1152">
        <f t="shared" si="85"/>
        <v>1272.425360860313</v>
      </c>
      <c r="AL319" s="1153">
        <f t="shared" si="86"/>
        <v>562.62707764605125</v>
      </c>
      <c r="AM319" s="1153">
        <f t="shared" si="87"/>
        <v>0</v>
      </c>
      <c r="AN319" s="1145">
        <f t="shared" si="88"/>
        <v>0</v>
      </c>
      <c r="AO319" s="1154">
        <f t="shared" si="89"/>
        <v>1835.0524385063643</v>
      </c>
      <c r="AP319" s="1147">
        <f t="shared" si="75"/>
        <v>0</v>
      </c>
      <c r="AQ319" s="1144">
        <f t="shared" si="76"/>
        <v>0</v>
      </c>
      <c r="AR319" s="1146">
        <f t="shared" si="77"/>
        <v>1835.0524385063643</v>
      </c>
    </row>
    <row r="320" spans="1:44" x14ac:dyDescent="0.2">
      <c r="A320" s="1141" t="str">
        <f t="shared" si="72"/>
        <v>1504</v>
      </c>
      <c r="B320" s="1141" t="str">
        <f>IFERROR(VLOOKUP(A320,'LAC 103'!A:C,3,FALSE),"")</f>
        <v>OP</v>
      </c>
      <c r="C320" s="1478" t="str">
        <f>Info!$B$8</f>
        <v>00100</v>
      </c>
      <c r="D320" s="1474" t="s">
        <v>256</v>
      </c>
      <c r="E320" s="1474" t="s">
        <v>95</v>
      </c>
      <c r="F320" s="1478" t="s">
        <v>588</v>
      </c>
      <c r="G320" s="1478" t="s">
        <v>588</v>
      </c>
      <c r="H320" s="1474" t="s">
        <v>983</v>
      </c>
      <c r="I320" s="1478" t="s">
        <v>823</v>
      </c>
      <c r="J320" s="1478" t="s">
        <v>1998</v>
      </c>
      <c r="K320" s="1475" t="s">
        <v>848</v>
      </c>
      <c r="L320" s="1474" t="s">
        <v>45</v>
      </c>
      <c r="M320" s="1476" t="s">
        <v>1698</v>
      </c>
      <c r="N320" s="1477" t="s">
        <v>1693</v>
      </c>
      <c r="O320" s="1479">
        <v>1413</v>
      </c>
      <c r="P320" s="1479"/>
      <c r="Q320" s="1142">
        <f t="shared" si="73"/>
        <v>1413</v>
      </c>
      <c r="R320" s="1143">
        <f>IFERROR(VLOOKUP(CONCATENATE(E320,G320),'LAC 103'!$A$12:$O$95,11,FALSE),0)</f>
        <v>2.483156209074918</v>
      </c>
      <c r="S320" s="1144">
        <f>IFERROR(VLOOKUP(CONCATENATE($E320,$G320),'LAC 103'!$A$12:$O$95,12,FALSE),0)</f>
        <v>3.07</v>
      </c>
      <c r="T320" s="1144">
        <f>IFERROR(VLOOKUP(CONCATENATE($E320,$G320),'LAC 103'!$A$12:$O$95,13,FALSE),0)</f>
        <v>1.92</v>
      </c>
      <c r="U320" s="1144">
        <f>IFERROR(VLOOKUP(CONCATENATE($E320,$G320),'LAC 103'!$A$12:$O$95,14,FALSE),0)</f>
        <v>0</v>
      </c>
      <c r="V320" s="1144">
        <f>IFERROR(VLOOKUP(CONCATENATE($E320,$G320),'LAC 103'!$A$12:$O$95,15,FALSE),0)</f>
        <v>0</v>
      </c>
      <c r="W320" s="1145" t="str">
        <f>IFERROR(VLOOKUP(CONCATENATE($B320,$N320),'LAC 103'!$AI:$AQ,9,FALSE),"")</f>
        <v>Costs</v>
      </c>
      <c r="X320" s="1146">
        <f t="shared" si="78"/>
        <v>2.483156209074918</v>
      </c>
      <c r="Y320" s="1143">
        <f t="shared" si="79"/>
        <v>3508.6997234228593</v>
      </c>
      <c r="Z320" s="1147">
        <f t="shared" si="80"/>
        <v>4337.91</v>
      </c>
      <c r="AA320" s="1144">
        <f t="shared" si="81"/>
        <v>2712.96</v>
      </c>
      <c r="AB320" s="1144">
        <f t="shared" si="82"/>
        <v>0</v>
      </c>
      <c r="AC320" s="1144">
        <f t="shared" si="83"/>
        <v>0</v>
      </c>
      <c r="AD320" s="1148">
        <f t="shared" si="74"/>
        <v>3508.6997234228593</v>
      </c>
      <c r="AE320" s="1487">
        <v>0</v>
      </c>
      <c r="AF320" s="1145">
        <f t="shared" si="84"/>
        <v>3508.6997234228593</v>
      </c>
      <c r="AG320" s="1149">
        <f>IFERROR(VLOOKUP(CONCATENATE($L320,$N320),'Drop List'!$G$23:$K$87,2,FALSE),0)</f>
        <v>0.69340000000000002</v>
      </c>
      <c r="AH320" s="1150">
        <f>IFERROR(VLOOKUP(CONCATENATE($L320,$N320),'Drop List'!$G$23:$K$87,3,FALSE),0)</f>
        <v>0.30659999999999998</v>
      </c>
      <c r="AI320" s="1150">
        <f>IFERROR(VLOOKUP(CONCATENATE($L320,$N320),'Drop List'!$G$23:$K$87,4,FALSE),0)</f>
        <v>0</v>
      </c>
      <c r="AJ320" s="1151">
        <f>IFERROR(VLOOKUP(CONCATENATE($L320,$N320),'Drop List'!$G$23:$K$87,5,FALSE),0)</f>
        <v>0</v>
      </c>
      <c r="AK320" s="1152">
        <f t="shared" si="85"/>
        <v>2432.9323882214107</v>
      </c>
      <c r="AL320" s="1153">
        <f t="shared" si="86"/>
        <v>1075.7673352014485</v>
      </c>
      <c r="AM320" s="1153">
        <f t="shared" si="87"/>
        <v>0</v>
      </c>
      <c r="AN320" s="1145">
        <f t="shared" si="88"/>
        <v>0</v>
      </c>
      <c r="AO320" s="1154">
        <f t="shared" si="89"/>
        <v>3508.6997234228593</v>
      </c>
      <c r="AP320" s="1147">
        <f t="shared" si="75"/>
        <v>0</v>
      </c>
      <c r="AQ320" s="1144">
        <f t="shared" si="76"/>
        <v>0</v>
      </c>
      <c r="AR320" s="1146">
        <f t="shared" si="77"/>
        <v>3508.6997234228593</v>
      </c>
    </row>
    <row r="321" spans="1:44" x14ac:dyDescent="0.2">
      <c r="A321" s="1141" t="str">
        <f t="shared" si="72"/>
        <v>1504</v>
      </c>
      <c r="B321" s="1141" t="str">
        <f>IFERROR(VLOOKUP(A321,'LAC 103'!A:C,3,FALSE),"")</f>
        <v>OP</v>
      </c>
      <c r="C321" s="1478" t="str">
        <f>Info!$B$8</f>
        <v>00100</v>
      </c>
      <c r="D321" s="1474" t="s">
        <v>256</v>
      </c>
      <c r="E321" s="1474" t="s">
        <v>95</v>
      </c>
      <c r="F321" s="1478" t="s">
        <v>588</v>
      </c>
      <c r="G321" s="1478" t="s">
        <v>588</v>
      </c>
      <c r="H321" s="1474" t="s">
        <v>983</v>
      </c>
      <c r="I321" s="1478" t="s">
        <v>823</v>
      </c>
      <c r="J321" s="1478" t="s">
        <v>1998</v>
      </c>
      <c r="K321" s="1475" t="s">
        <v>850</v>
      </c>
      <c r="L321" s="1474" t="s">
        <v>330</v>
      </c>
      <c r="M321" s="1476" t="s">
        <v>1698</v>
      </c>
      <c r="N321" s="1477" t="s">
        <v>1693</v>
      </c>
      <c r="O321" s="1479">
        <v>462</v>
      </c>
      <c r="P321" s="1479"/>
      <c r="Q321" s="1142">
        <f t="shared" si="73"/>
        <v>462</v>
      </c>
      <c r="R321" s="1143">
        <f>IFERROR(VLOOKUP(CONCATENATE(E321,G321),'LAC 103'!$A$12:$O$95,11,FALSE),0)</f>
        <v>2.483156209074918</v>
      </c>
      <c r="S321" s="1144">
        <f>IFERROR(VLOOKUP(CONCATENATE($E321,$G321),'LAC 103'!$A$12:$O$95,12,FALSE),0)</f>
        <v>3.07</v>
      </c>
      <c r="T321" s="1144">
        <f>IFERROR(VLOOKUP(CONCATENATE($E321,$G321),'LAC 103'!$A$12:$O$95,13,FALSE),0)</f>
        <v>1.92</v>
      </c>
      <c r="U321" s="1144">
        <f>IFERROR(VLOOKUP(CONCATENATE($E321,$G321),'LAC 103'!$A$12:$O$95,14,FALSE),0)</f>
        <v>0</v>
      </c>
      <c r="V321" s="1144">
        <f>IFERROR(VLOOKUP(CONCATENATE($E321,$G321),'LAC 103'!$A$12:$O$95,15,FALSE),0)</f>
        <v>0</v>
      </c>
      <c r="W321" s="1145" t="str">
        <f>IFERROR(VLOOKUP(CONCATENATE($B321,$N321),'LAC 103'!$AI:$AQ,9,FALSE),"")</f>
        <v>Costs</v>
      </c>
      <c r="X321" s="1146">
        <f t="shared" si="78"/>
        <v>2.483156209074918</v>
      </c>
      <c r="Y321" s="1143">
        <f t="shared" si="79"/>
        <v>1147.2181685926121</v>
      </c>
      <c r="Z321" s="1147">
        <f t="shared" si="80"/>
        <v>1418.34</v>
      </c>
      <c r="AA321" s="1144">
        <f t="shared" si="81"/>
        <v>887.04</v>
      </c>
      <c r="AB321" s="1144">
        <f t="shared" si="82"/>
        <v>0</v>
      </c>
      <c r="AC321" s="1144">
        <f t="shared" si="83"/>
        <v>0</v>
      </c>
      <c r="AD321" s="1148">
        <f t="shared" si="74"/>
        <v>1147.2181685926121</v>
      </c>
      <c r="AE321" s="1487">
        <v>0</v>
      </c>
      <c r="AF321" s="1145">
        <f t="shared" si="84"/>
        <v>1147.2181685926121</v>
      </c>
      <c r="AG321" s="1149">
        <f>IFERROR(VLOOKUP(CONCATENATE($L321,$N321),'Drop List'!$G$23:$K$87,2,FALSE),0)</f>
        <v>0</v>
      </c>
      <c r="AH321" s="1150">
        <f>IFERROR(VLOOKUP(CONCATENATE($L321,$N321),'Drop List'!$G$23:$K$87,3,FALSE),0)</f>
        <v>0</v>
      </c>
      <c r="AI321" s="1150">
        <f>IFERROR(VLOOKUP(CONCATENATE($L321,$N321),'Drop List'!$G$23:$K$87,4,FALSE),0)</f>
        <v>1</v>
      </c>
      <c r="AJ321" s="1151">
        <f>IFERROR(VLOOKUP(CONCATENATE($L321,$N321),'Drop List'!$G$23:$K$87,5,FALSE),0)</f>
        <v>0</v>
      </c>
      <c r="AK321" s="1152">
        <f t="shared" si="85"/>
        <v>0</v>
      </c>
      <c r="AL321" s="1153">
        <f t="shared" si="86"/>
        <v>0</v>
      </c>
      <c r="AM321" s="1153">
        <f t="shared" si="87"/>
        <v>1147.2181685926121</v>
      </c>
      <c r="AN321" s="1145">
        <f t="shared" si="88"/>
        <v>0</v>
      </c>
      <c r="AO321" s="1154">
        <f t="shared" si="89"/>
        <v>1147.2181685926121</v>
      </c>
      <c r="AP321" s="1147">
        <f t="shared" si="75"/>
        <v>0</v>
      </c>
      <c r="AQ321" s="1144">
        <f t="shared" si="76"/>
        <v>0</v>
      </c>
      <c r="AR321" s="1146">
        <f t="shared" si="77"/>
        <v>1147.2181685926121</v>
      </c>
    </row>
    <row r="322" spans="1:44" x14ac:dyDescent="0.2">
      <c r="A322" s="1141" t="str">
        <f t="shared" si="72"/>
        <v>1504</v>
      </c>
      <c r="B322" s="1141" t="str">
        <f>IFERROR(VLOOKUP(A322,'LAC 103'!A:C,3,FALSE),"")</f>
        <v>OP</v>
      </c>
      <c r="C322" s="1478" t="str">
        <f>Info!$B$8</f>
        <v>00100</v>
      </c>
      <c r="D322" s="1474" t="s">
        <v>256</v>
      </c>
      <c r="E322" s="1474" t="s">
        <v>95</v>
      </c>
      <c r="F322" s="1478" t="s">
        <v>588</v>
      </c>
      <c r="G322" s="1478" t="s">
        <v>588</v>
      </c>
      <c r="H322" s="1474" t="s">
        <v>983</v>
      </c>
      <c r="I322" s="1478" t="s">
        <v>823</v>
      </c>
      <c r="J322" s="1478" t="s">
        <v>1998</v>
      </c>
      <c r="K322" s="1475" t="s">
        <v>851</v>
      </c>
      <c r="L322" s="1474" t="s">
        <v>584</v>
      </c>
      <c r="M322" s="1476" t="s">
        <v>1699</v>
      </c>
      <c r="N322" s="1477" t="s">
        <v>1694</v>
      </c>
      <c r="O322" s="1479">
        <v>78</v>
      </c>
      <c r="P322" s="1479"/>
      <c r="Q322" s="1142">
        <f t="shared" si="73"/>
        <v>78</v>
      </c>
      <c r="R322" s="1143">
        <f>IFERROR(VLOOKUP(CONCATENATE(E322,G322),'LAC 103'!$A$12:$O$95,11,FALSE),0)</f>
        <v>2.483156209074918</v>
      </c>
      <c r="S322" s="1144">
        <f>IFERROR(VLOOKUP(CONCATENATE($E322,$G322),'LAC 103'!$A$12:$O$95,12,FALSE),0)</f>
        <v>3.07</v>
      </c>
      <c r="T322" s="1144">
        <f>IFERROR(VLOOKUP(CONCATENATE($E322,$G322),'LAC 103'!$A$12:$O$95,13,FALSE),0)</f>
        <v>1.92</v>
      </c>
      <c r="U322" s="1144">
        <f>IFERROR(VLOOKUP(CONCATENATE($E322,$G322),'LAC 103'!$A$12:$O$95,14,FALSE),0)</f>
        <v>0</v>
      </c>
      <c r="V322" s="1144">
        <f>IFERROR(VLOOKUP(CONCATENATE($E322,$G322),'LAC 103'!$A$12:$O$95,15,FALSE),0)</f>
        <v>0</v>
      </c>
      <c r="W322" s="1145" t="str">
        <f>IFERROR(VLOOKUP(CONCATENATE($B322,$N322),'LAC 103'!$AI:$AQ,9,FALSE),"")</f>
        <v>Costs</v>
      </c>
      <c r="X322" s="1146">
        <f t="shared" si="78"/>
        <v>2.483156209074918</v>
      </c>
      <c r="Y322" s="1143">
        <f t="shared" si="79"/>
        <v>193.6861843078436</v>
      </c>
      <c r="Z322" s="1147">
        <f t="shared" si="80"/>
        <v>239.45999999999998</v>
      </c>
      <c r="AA322" s="1144">
        <f t="shared" si="81"/>
        <v>149.76</v>
      </c>
      <c r="AB322" s="1144">
        <f t="shared" si="82"/>
        <v>0</v>
      </c>
      <c r="AC322" s="1144">
        <f t="shared" si="83"/>
        <v>0</v>
      </c>
      <c r="AD322" s="1148">
        <f t="shared" si="74"/>
        <v>193.6861843078436</v>
      </c>
      <c r="AE322" s="1487">
        <v>0</v>
      </c>
      <c r="AF322" s="1145">
        <f t="shared" si="84"/>
        <v>193.6861843078436</v>
      </c>
      <c r="AG322" s="1149">
        <f>IFERROR(VLOOKUP(CONCATENATE($L322,$N322),'Drop List'!$G$23:$K$87,2,FALSE),0)</f>
        <v>0.56200000000000006</v>
      </c>
      <c r="AH322" s="1150">
        <f>IFERROR(VLOOKUP(CONCATENATE($L322,$N322),'Drop List'!$G$23:$K$87,3,FALSE),0)</f>
        <v>0</v>
      </c>
      <c r="AI322" s="1150">
        <f>IFERROR(VLOOKUP(CONCATENATE($L322,$N322),'Drop List'!$G$23:$K$87,4,FALSE),0)</f>
        <v>0</v>
      </c>
      <c r="AJ322" s="1151">
        <f>IFERROR(VLOOKUP(CONCATENATE($L322,$N322),'Drop List'!$G$23:$K$87,5,FALSE),0)</f>
        <v>0.43799999999999994</v>
      </c>
      <c r="AK322" s="1152">
        <f t="shared" si="85"/>
        <v>108.85163558100811</v>
      </c>
      <c r="AL322" s="1153">
        <f t="shared" si="86"/>
        <v>0</v>
      </c>
      <c r="AM322" s="1153">
        <f t="shared" si="87"/>
        <v>0</v>
      </c>
      <c r="AN322" s="1145">
        <f t="shared" si="88"/>
        <v>84.834548726835493</v>
      </c>
      <c r="AO322" s="1154">
        <f t="shared" si="89"/>
        <v>193.6861843078436</v>
      </c>
      <c r="AP322" s="1147">
        <f t="shared" si="75"/>
        <v>0</v>
      </c>
      <c r="AQ322" s="1144">
        <f t="shared" si="76"/>
        <v>0</v>
      </c>
      <c r="AR322" s="1146">
        <f t="shared" si="77"/>
        <v>193.6861843078436</v>
      </c>
    </row>
    <row r="323" spans="1:44" x14ac:dyDescent="0.2">
      <c r="A323" s="1141" t="str">
        <f t="shared" si="72"/>
        <v>1504</v>
      </c>
      <c r="B323" s="1141" t="str">
        <f>IFERROR(VLOOKUP(A323,'LAC 103'!A:C,3,FALSE),"")</f>
        <v>OP</v>
      </c>
      <c r="C323" s="1478" t="str">
        <f>Info!$B$8</f>
        <v>00100</v>
      </c>
      <c r="D323" s="1474" t="s">
        <v>256</v>
      </c>
      <c r="E323" s="1474" t="s">
        <v>95</v>
      </c>
      <c r="F323" s="1478" t="s">
        <v>588</v>
      </c>
      <c r="G323" s="1478" t="s">
        <v>588</v>
      </c>
      <c r="H323" s="1474" t="s">
        <v>983</v>
      </c>
      <c r="I323" s="1478" t="s">
        <v>823</v>
      </c>
      <c r="J323" s="1478" t="s">
        <v>1998</v>
      </c>
      <c r="K323" s="1475" t="s">
        <v>851</v>
      </c>
      <c r="L323" s="1474" t="s">
        <v>584</v>
      </c>
      <c r="M323" s="1476" t="s">
        <v>1698</v>
      </c>
      <c r="N323" s="1477" t="s">
        <v>1693</v>
      </c>
      <c r="O323" s="1479">
        <v>63</v>
      </c>
      <c r="P323" s="1479"/>
      <c r="Q323" s="1142">
        <f t="shared" si="73"/>
        <v>63</v>
      </c>
      <c r="R323" s="1143">
        <f>IFERROR(VLOOKUP(CONCATENATE(E323,G323),'LAC 103'!$A$12:$O$95,11,FALSE),0)</f>
        <v>2.483156209074918</v>
      </c>
      <c r="S323" s="1144">
        <f>IFERROR(VLOOKUP(CONCATENATE($E323,$G323),'LAC 103'!$A$12:$O$95,12,FALSE),0)</f>
        <v>3.07</v>
      </c>
      <c r="T323" s="1144">
        <f>IFERROR(VLOOKUP(CONCATENATE($E323,$G323),'LAC 103'!$A$12:$O$95,13,FALSE),0)</f>
        <v>1.92</v>
      </c>
      <c r="U323" s="1144">
        <f>IFERROR(VLOOKUP(CONCATENATE($E323,$G323),'LAC 103'!$A$12:$O$95,14,FALSE),0)</f>
        <v>0</v>
      </c>
      <c r="V323" s="1144">
        <f>IFERROR(VLOOKUP(CONCATENATE($E323,$G323),'LAC 103'!$A$12:$O$95,15,FALSE),0)</f>
        <v>0</v>
      </c>
      <c r="W323" s="1145" t="str">
        <f>IFERROR(VLOOKUP(CONCATENATE($B323,$N323),'LAC 103'!$AI:$AQ,9,FALSE),"")</f>
        <v>Costs</v>
      </c>
      <c r="X323" s="1146">
        <f t="shared" si="78"/>
        <v>2.483156209074918</v>
      </c>
      <c r="Y323" s="1143">
        <f t="shared" si="79"/>
        <v>156.43884117171984</v>
      </c>
      <c r="Z323" s="1147">
        <f t="shared" si="80"/>
        <v>193.41</v>
      </c>
      <c r="AA323" s="1144">
        <f t="shared" si="81"/>
        <v>120.96</v>
      </c>
      <c r="AB323" s="1144">
        <f t="shared" si="82"/>
        <v>0</v>
      </c>
      <c r="AC323" s="1144">
        <f t="shared" si="83"/>
        <v>0</v>
      </c>
      <c r="AD323" s="1148">
        <f t="shared" si="74"/>
        <v>156.43884117171984</v>
      </c>
      <c r="AE323" s="1487">
        <v>0</v>
      </c>
      <c r="AF323" s="1145">
        <f t="shared" si="84"/>
        <v>156.43884117171984</v>
      </c>
      <c r="AG323" s="1149">
        <f>IFERROR(VLOOKUP(CONCATENATE($L323,$N323),'Drop List'!$G$23:$K$87,2,FALSE),0)</f>
        <v>0.56200000000000006</v>
      </c>
      <c r="AH323" s="1150">
        <f>IFERROR(VLOOKUP(CONCATENATE($L323,$N323),'Drop List'!$G$23:$K$87,3,FALSE),0)</f>
        <v>0</v>
      </c>
      <c r="AI323" s="1150">
        <f>IFERROR(VLOOKUP(CONCATENATE($L323,$N323),'Drop List'!$G$23:$K$87,4,FALSE),0)</f>
        <v>0</v>
      </c>
      <c r="AJ323" s="1151">
        <f>IFERROR(VLOOKUP(CONCATENATE($L323,$N323),'Drop List'!$G$23:$K$87,5,FALSE),0)</f>
        <v>0.43799999999999994</v>
      </c>
      <c r="AK323" s="1152">
        <f t="shared" si="85"/>
        <v>87.918628738506555</v>
      </c>
      <c r="AL323" s="1153">
        <f t="shared" si="86"/>
        <v>0</v>
      </c>
      <c r="AM323" s="1153">
        <f t="shared" si="87"/>
        <v>0</v>
      </c>
      <c r="AN323" s="1145">
        <f t="shared" si="88"/>
        <v>68.520212433213288</v>
      </c>
      <c r="AO323" s="1154">
        <f t="shared" si="89"/>
        <v>156.43884117171984</v>
      </c>
      <c r="AP323" s="1147">
        <f t="shared" si="75"/>
        <v>0</v>
      </c>
      <c r="AQ323" s="1144">
        <f t="shared" si="76"/>
        <v>0</v>
      </c>
      <c r="AR323" s="1146">
        <f t="shared" si="77"/>
        <v>156.43884117171984</v>
      </c>
    </row>
    <row r="324" spans="1:44" x14ac:dyDescent="0.2">
      <c r="A324" s="1141" t="str">
        <f t="shared" si="72"/>
        <v>1504</v>
      </c>
      <c r="B324" s="1141" t="str">
        <f>IFERROR(VLOOKUP(A324,'LAC 103'!A:C,3,FALSE),"")</f>
        <v>OP</v>
      </c>
      <c r="C324" s="1478" t="str">
        <f>Info!$B$8</f>
        <v>00100</v>
      </c>
      <c r="D324" s="1474" t="s">
        <v>256</v>
      </c>
      <c r="E324" s="1474" t="s">
        <v>95</v>
      </c>
      <c r="F324" s="1478" t="s">
        <v>588</v>
      </c>
      <c r="G324" s="1478" t="s">
        <v>588</v>
      </c>
      <c r="H324" s="1474" t="s">
        <v>983</v>
      </c>
      <c r="I324" s="1478" t="s">
        <v>823</v>
      </c>
      <c r="J324" s="1478" t="s">
        <v>1999</v>
      </c>
      <c r="K324" s="1475" t="s">
        <v>847</v>
      </c>
      <c r="L324" s="1474" t="s">
        <v>582</v>
      </c>
      <c r="M324" s="1476" t="s">
        <v>1699</v>
      </c>
      <c r="N324" s="1477" t="s">
        <v>1694</v>
      </c>
      <c r="O324" s="1479">
        <v>90</v>
      </c>
      <c r="P324" s="1479"/>
      <c r="Q324" s="1142">
        <f t="shared" si="73"/>
        <v>90</v>
      </c>
      <c r="R324" s="1143">
        <f>IFERROR(VLOOKUP(CONCATENATE(E324,G324),'LAC 103'!$A$12:$O$95,11,FALSE),0)</f>
        <v>2.483156209074918</v>
      </c>
      <c r="S324" s="1144">
        <f>IFERROR(VLOOKUP(CONCATENATE($E324,$G324),'LAC 103'!$A$12:$O$95,12,FALSE),0)</f>
        <v>3.07</v>
      </c>
      <c r="T324" s="1144">
        <f>IFERROR(VLOOKUP(CONCATENATE($E324,$G324),'LAC 103'!$A$12:$O$95,13,FALSE),0)</f>
        <v>1.92</v>
      </c>
      <c r="U324" s="1144">
        <f>IFERROR(VLOOKUP(CONCATENATE($E324,$G324),'LAC 103'!$A$12:$O$95,14,FALSE),0)</f>
        <v>0</v>
      </c>
      <c r="V324" s="1144">
        <f>IFERROR(VLOOKUP(CONCATENATE($E324,$G324),'LAC 103'!$A$12:$O$95,15,FALSE),0)</f>
        <v>0</v>
      </c>
      <c r="W324" s="1145" t="str">
        <f>IFERROR(VLOOKUP(CONCATENATE($B324,$N324),'LAC 103'!$AI:$AQ,9,FALSE),"")</f>
        <v>Costs</v>
      </c>
      <c r="X324" s="1146">
        <f t="shared" si="78"/>
        <v>2.483156209074918</v>
      </c>
      <c r="Y324" s="1143">
        <f t="shared" si="79"/>
        <v>223.48405881674262</v>
      </c>
      <c r="Z324" s="1147">
        <f t="shared" si="80"/>
        <v>276.3</v>
      </c>
      <c r="AA324" s="1144">
        <f t="shared" si="81"/>
        <v>172.79999999999998</v>
      </c>
      <c r="AB324" s="1144">
        <f t="shared" si="82"/>
        <v>0</v>
      </c>
      <c r="AC324" s="1144">
        <f t="shared" si="83"/>
        <v>0</v>
      </c>
      <c r="AD324" s="1148">
        <f t="shared" si="74"/>
        <v>223.48405881674262</v>
      </c>
      <c r="AE324" s="1487">
        <v>0</v>
      </c>
      <c r="AF324" s="1145">
        <f t="shared" si="84"/>
        <v>223.48405881674262</v>
      </c>
      <c r="AG324" s="1149">
        <f>IFERROR(VLOOKUP(CONCATENATE($L324,$N324),'Drop List'!$G$23:$K$87,2,FALSE),0)</f>
        <v>0.56200000000000006</v>
      </c>
      <c r="AH324" s="1150">
        <f>IFERROR(VLOOKUP(CONCATENATE($L324,$N324),'Drop List'!$G$23:$K$87,3,FALSE),0)</f>
        <v>0.43799999999999994</v>
      </c>
      <c r="AI324" s="1150">
        <f>IFERROR(VLOOKUP(CONCATENATE($L324,$N324),'Drop List'!$G$23:$K$87,4,FALSE),0)</f>
        <v>0</v>
      </c>
      <c r="AJ324" s="1151">
        <f>IFERROR(VLOOKUP(CONCATENATE($L324,$N324),'Drop List'!$G$23:$K$87,5,FALSE),0)</f>
        <v>0</v>
      </c>
      <c r="AK324" s="1152">
        <f t="shared" si="85"/>
        <v>125.59804105500936</v>
      </c>
      <c r="AL324" s="1153">
        <f t="shared" si="86"/>
        <v>97.886017761733257</v>
      </c>
      <c r="AM324" s="1153">
        <f t="shared" si="87"/>
        <v>0</v>
      </c>
      <c r="AN324" s="1145">
        <f t="shared" si="88"/>
        <v>0</v>
      </c>
      <c r="AO324" s="1154">
        <f t="shared" si="89"/>
        <v>223.48405881674262</v>
      </c>
      <c r="AP324" s="1147">
        <f t="shared" si="75"/>
        <v>0</v>
      </c>
      <c r="AQ324" s="1144">
        <f t="shared" si="76"/>
        <v>0</v>
      </c>
      <c r="AR324" s="1146">
        <f t="shared" si="77"/>
        <v>223.48405881674262</v>
      </c>
    </row>
    <row r="325" spans="1:44" x14ac:dyDescent="0.2">
      <c r="A325" s="1141" t="str">
        <f t="shared" si="72"/>
        <v>1504</v>
      </c>
      <c r="B325" s="1141" t="str">
        <f>IFERROR(VLOOKUP(A325,'LAC 103'!A:C,3,FALSE),"")</f>
        <v>OP</v>
      </c>
      <c r="C325" s="1478" t="str">
        <f>Info!$B$8</f>
        <v>00100</v>
      </c>
      <c r="D325" s="1474" t="s">
        <v>256</v>
      </c>
      <c r="E325" s="1474" t="s">
        <v>95</v>
      </c>
      <c r="F325" s="1478" t="s">
        <v>588</v>
      </c>
      <c r="G325" s="1478" t="s">
        <v>588</v>
      </c>
      <c r="H325" s="1474" t="s">
        <v>983</v>
      </c>
      <c r="I325" s="1478" t="s">
        <v>823</v>
      </c>
      <c r="J325" s="1478" t="s">
        <v>1999</v>
      </c>
      <c r="K325" s="1475" t="s">
        <v>847</v>
      </c>
      <c r="L325" s="1474" t="s">
        <v>582</v>
      </c>
      <c r="M325" s="1476" t="s">
        <v>841</v>
      </c>
      <c r="N325" s="1477" t="s">
        <v>1695</v>
      </c>
      <c r="O325" s="1479">
        <v>216</v>
      </c>
      <c r="P325" s="1479"/>
      <c r="Q325" s="1142">
        <f t="shared" si="73"/>
        <v>216</v>
      </c>
      <c r="R325" s="1143">
        <f>IFERROR(VLOOKUP(CONCATENATE(E325,G325),'LAC 103'!$A$12:$O$95,11,FALSE),0)</f>
        <v>2.483156209074918</v>
      </c>
      <c r="S325" s="1144">
        <f>IFERROR(VLOOKUP(CONCATENATE($E325,$G325),'LAC 103'!$A$12:$O$95,12,FALSE),0)</f>
        <v>3.07</v>
      </c>
      <c r="T325" s="1144">
        <f>IFERROR(VLOOKUP(CONCATENATE($E325,$G325),'LAC 103'!$A$12:$O$95,13,FALSE),0)</f>
        <v>1.92</v>
      </c>
      <c r="U325" s="1144">
        <f>IFERROR(VLOOKUP(CONCATENATE($E325,$G325),'LAC 103'!$A$12:$O$95,14,FALSE),0)</f>
        <v>0</v>
      </c>
      <c r="V325" s="1144">
        <f>IFERROR(VLOOKUP(CONCATENATE($E325,$G325),'LAC 103'!$A$12:$O$95,15,FALSE),0)</f>
        <v>0</v>
      </c>
      <c r="W325" s="1145" t="str">
        <f>IFERROR(VLOOKUP(CONCATENATE($B325,$N325),'LAC 103'!$AI:$AQ,9,FALSE),"")</f>
        <v>Costs</v>
      </c>
      <c r="X325" s="1146">
        <f t="shared" si="78"/>
        <v>2.483156209074918</v>
      </c>
      <c r="Y325" s="1143">
        <f t="shared" si="79"/>
        <v>536.36174116018231</v>
      </c>
      <c r="Z325" s="1147">
        <f t="shared" si="80"/>
        <v>663.12</v>
      </c>
      <c r="AA325" s="1144">
        <f t="shared" si="81"/>
        <v>414.71999999999997</v>
      </c>
      <c r="AB325" s="1144">
        <f t="shared" si="82"/>
        <v>0</v>
      </c>
      <c r="AC325" s="1144">
        <f t="shared" si="83"/>
        <v>0</v>
      </c>
      <c r="AD325" s="1148">
        <f t="shared" si="74"/>
        <v>536.36174116018231</v>
      </c>
      <c r="AE325" s="1487">
        <v>0</v>
      </c>
      <c r="AF325" s="1145">
        <f t="shared" si="84"/>
        <v>536.36174116018231</v>
      </c>
      <c r="AG325" s="1149">
        <f>IFERROR(VLOOKUP(CONCATENATE($L325,$N325),'Drop List'!$G$23:$K$87,2,FALSE),0)</f>
        <v>0.55000000000000004</v>
      </c>
      <c r="AH325" s="1150">
        <f>IFERROR(VLOOKUP(CONCATENATE($L325,$N325),'Drop List'!$G$23:$K$87,3,FALSE),0)</f>
        <v>0.44999999999999996</v>
      </c>
      <c r="AI325" s="1150">
        <f>IFERROR(VLOOKUP(CONCATENATE($L325,$N325),'Drop List'!$G$23:$K$87,4,FALSE),0)</f>
        <v>0</v>
      </c>
      <c r="AJ325" s="1151">
        <f>IFERROR(VLOOKUP(CONCATENATE($L325,$N325),'Drop List'!$G$23:$K$87,5,FALSE),0)</f>
        <v>0</v>
      </c>
      <c r="AK325" s="1152">
        <f t="shared" si="85"/>
        <v>294.99895763810031</v>
      </c>
      <c r="AL325" s="1153">
        <f t="shared" si="86"/>
        <v>241.36278352208203</v>
      </c>
      <c r="AM325" s="1153">
        <f t="shared" si="87"/>
        <v>0</v>
      </c>
      <c r="AN325" s="1145">
        <f t="shared" si="88"/>
        <v>0</v>
      </c>
      <c r="AO325" s="1154">
        <f t="shared" si="89"/>
        <v>536.36174116018231</v>
      </c>
      <c r="AP325" s="1147">
        <f t="shared" si="75"/>
        <v>0</v>
      </c>
      <c r="AQ325" s="1144">
        <f t="shared" si="76"/>
        <v>0</v>
      </c>
      <c r="AR325" s="1146">
        <f t="shared" si="77"/>
        <v>536.36174116018231</v>
      </c>
    </row>
    <row r="326" spans="1:44" x14ac:dyDescent="0.2">
      <c r="A326" s="1141" t="str">
        <f t="shared" ref="A326:A389" si="90">IF(CONCATENATE(E326,G326)="","",CONCATENATE(E326,G326))</f>
        <v>1504</v>
      </c>
      <c r="B326" s="1141" t="str">
        <f>IFERROR(VLOOKUP(A326,'LAC 103'!A:C,3,FALSE),"")</f>
        <v>OP</v>
      </c>
      <c r="C326" s="1478" t="str">
        <f>Info!$B$8</f>
        <v>00100</v>
      </c>
      <c r="D326" s="1474" t="s">
        <v>256</v>
      </c>
      <c r="E326" s="1474" t="s">
        <v>95</v>
      </c>
      <c r="F326" s="1478" t="s">
        <v>588</v>
      </c>
      <c r="G326" s="1478" t="s">
        <v>588</v>
      </c>
      <c r="H326" s="1474" t="s">
        <v>983</v>
      </c>
      <c r="I326" s="1478" t="s">
        <v>823</v>
      </c>
      <c r="J326" s="1478" t="s">
        <v>1999</v>
      </c>
      <c r="K326" s="1475" t="s">
        <v>847</v>
      </c>
      <c r="L326" s="1474" t="s">
        <v>582</v>
      </c>
      <c r="M326" s="1476" t="s">
        <v>840</v>
      </c>
      <c r="N326" s="1477" t="s">
        <v>1700</v>
      </c>
      <c r="O326" s="1479">
        <v>307</v>
      </c>
      <c r="P326" s="1479"/>
      <c r="Q326" s="1142">
        <f t="shared" ref="Q326:Q389" si="91">O326+P326</f>
        <v>307</v>
      </c>
      <c r="R326" s="1143">
        <f>IFERROR(VLOOKUP(CONCATENATE(E326,G326),'LAC 103'!$A$12:$O$95,11,FALSE),0)</f>
        <v>2.483156209074918</v>
      </c>
      <c r="S326" s="1144">
        <f>IFERROR(VLOOKUP(CONCATENATE($E326,$G326),'LAC 103'!$A$12:$O$95,12,FALSE),0)</f>
        <v>3.07</v>
      </c>
      <c r="T326" s="1144">
        <f>IFERROR(VLOOKUP(CONCATENATE($E326,$G326),'LAC 103'!$A$12:$O$95,13,FALSE),0)</f>
        <v>1.92</v>
      </c>
      <c r="U326" s="1144">
        <f>IFERROR(VLOOKUP(CONCATENATE($E326,$G326),'LAC 103'!$A$12:$O$95,14,FALSE),0)</f>
        <v>0</v>
      </c>
      <c r="V326" s="1144">
        <f>IFERROR(VLOOKUP(CONCATENATE($E326,$G326),'LAC 103'!$A$12:$O$95,15,FALSE),0)</f>
        <v>0</v>
      </c>
      <c r="W326" s="1145" t="str">
        <f>IFERROR(VLOOKUP(CONCATENATE($B326,$N326),'LAC 103'!$AI:$AQ,9,FALSE),"")</f>
        <v>P.C.</v>
      </c>
      <c r="X326" s="1146">
        <f t="shared" si="78"/>
        <v>1.92</v>
      </c>
      <c r="Y326" s="1143">
        <f t="shared" si="79"/>
        <v>762.3289561859998</v>
      </c>
      <c r="Z326" s="1147">
        <f t="shared" si="80"/>
        <v>942.4899999999999</v>
      </c>
      <c r="AA326" s="1144">
        <f t="shared" si="81"/>
        <v>589.43999999999994</v>
      </c>
      <c r="AB326" s="1144">
        <f t="shared" si="82"/>
        <v>0</v>
      </c>
      <c r="AC326" s="1144">
        <f t="shared" si="83"/>
        <v>0</v>
      </c>
      <c r="AD326" s="1148">
        <f t="shared" si="74"/>
        <v>589.43999999999994</v>
      </c>
      <c r="AE326" s="1487">
        <v>0</v>
      </c>
      <c r="AF326" s="1145">
        <f t="shared" si="84"/>
        <v>589.43999999999994</v>
      </c>
      <c r="AG326" s="1149">
        <f>IFERROR(VLOOKUP(CONCATENATE($L326,$N326),'Drop List'!$G$23:$K$87,2,FALSE),0)</f>
        <v>0.55000000000000004</v>
      </c>
      <c r="AH326" s="1150">
        <f>IFERROR(VLOOKUP(CONCATENATE($L326,$N326),'Drop List'!$G$23:$K$87,3,FALSE),0)</f>
        <v>0.44999999999999996</v>
      </c>
      <c r="AI326" s="1150">
        <f>IFERROR(VLOOKUP(CONCATENATE($L326,$N326),'Drop List'!$G$23:$K$87,4,FALSE),0)</f>
        <v>0</v>
      </c>
      <c r="AJ326" s="1151">
        <f>IFERROR(VLOOKUP(CONCATENATE($L326,$N326),'Drop List'!$G$23:$K$87,5,FALSE),0)</f>
        <v>0</v>
      </c>
      <c r="AK326" s="1152">
        <f t="shared" si="85"/>
        <v>324.19200000000001</v>
      </c>
      <c r="AL326" s="1153">
        <f t="shared" si="86"/>
        <v>265.24799999999993</v>
      </c>
      <c r="AM326" s="1153">
        <f t="shared" si="87"/>
        <v>0</v>
      </c>
      <c r="AN326" s="1145">
        <f t="shared" si="88"/>
        <v>0</v>
      </c>
      <c r="AO326" s="1154">
        <f t="shared" si="89"/>
        <v>589.43999999999994</v>
      </c>
      <c r="AP326" s="1147">
        <f t="shared" si="75"/>
        <v>0</v>
      </c>
      <c r="AQ326" s="1144">
        <f t="shared" si="76"/>
        <v>0</v>
      </c>
      <c r="AR326" s="1146">
        <f t="shared" si="77"/>
        <v>589.43999999999994</v>
      </c>
    </row>
    <row r="327" spans="1:44" x14ac:dyDescent="0.2">
      <c r="A327" s="1141" t="str">
        <f t="shared" si="90"/>
        <v>1504</v>
      </c>
      <c r="B327" s="1141" t="str">
        <f>IFERROR(VLOOKUP(A327,'LAC 103'!A:C,3,FALSE),"")</f>
        <v>OP</v>
      </c>
      <c r="C327" s="1478" t="str">
        <f>Info!$B$8</f>
        <v>00100</v>
      </c>
      <c r="D327" s="1474" t="s">
        <v>256</v>
      </c>
      <c r="E327" s="1474" t="s">
        <v>95</v>
      </c>
      <c r="F327" s="1478" t="s">
        <v>588</v>
      </c>
      <c r="G327" s="1478" t="s">
        <v>588</v>
      </c>
      <c r="H327" s="1474" t="s">
        <v>983</v>
      </c>
      <c r="I327" s="1478" t="s">
        <v>823</v>
      </c>
      <c r="J327" s="1478" t="s">
        <v>1999</v>
      </c>
      <c r="K327" s="1475" t="s">
        <v>847</v>
      </c>
      <c r="L327" s="1474" t="s">
        <v>582</v>
      </c>
      <c r="M327" s="1476" t="s">
        <v>842</v>
      </c>
      <c r="N327" s="1477" t="s">
        <v>1692</v>
      </c>
      <c r="O327" s="1479">
        <v>223</v>
      </c>
      <c r="P327" s="1479"/>
      <c r="Q327" s="1142">
        <f t="shared" si="91"/>
        <v>223</v>
      </c>
      <c r="R327" s="1143">
        <f>IFERROR(VLOOKUP(CONCATENATE(E327,G327),'LAC 103'!$A$12:$O$95,11,FALSE),0)</f>
        <v>2.483156209074918</v>
      </c>
      <c r="S327" s="1144">
        <f>IFERROR(VLOOKUP(CONCATENATE($E327,$G327),'LAC 103'!$A$12:$O$95,12,FALSE),0)</f>
        <v>3.07</v>
      </c>
      <c r="T327" s="1144">
        <f>IFERROR(VLOOKUP(CONCATENATE($E327,$G327),'LAC 103'!$A$12:$O$95,13,FALSE),0)</f>
        <v>1.92</v>
      </c>
      <c r="U327" s="1144">
        <f>IFERROR(VLOOKUP(CONCATENATE($E327,$G327),'LAC 103'!$A$12:$O$95,14,FALSE),0)</f>
        <v>0</v>
      </c>
      <c r="V327" s="1144">
        <f>IFERROR(VLOOKUP(CONCATENATE($E327,$G327),'LAC 103'!$A$12:$O$95,15,FALSE),0)</f>
        <v>0</v>
      </c>
      <c r="W327" s="1145" t="str">
        <f>IFERROR(VLOOKUP(CONCATENATE($B327,$N327),'LAC 103'!$AI:$AQ,9,FALSE),"")</f>
        <v>Costs</v>
      </c>
      <c r="X327" s="1146">
        <f t="shared" si="78"/>
        <v>2.483156209074918</v>
      </c>
      <c r="Y327" s="1143">
        <f t="shared" si="79"/>
        <v>553.74383462370668</v>
      </c>
      <c r="Z327" s="1147">
        <f t="shared" si="80"/>
        <v>684.61</v>
      </c>
      <c r="AA327" s="1144">
        <f t="shared" si="81"/>
        <v>428.15999999999997</v>
      </c>
      <c r="AB327" s="1144">
        <f t="shared" si="82"/>
        <v>0</v>
      </c>
      <c r="AC327" s="1144">
        <f t="shared" si="83"/>
        <v>0</v>
      </c>
      <c r="AD327" s="1148">
        <f t="shared" ref="AD327:AD390" si="92">Q327*X327</f>
        <v>553.74383462370668</v>
      </c>
      <c r="AE327" s="1487">
        <v>0</v>
      </c>
      <c r="AF327" s="1145">
        <f t="shared" si="84"/>
        <v>553.74383462370668</v>
      </c>
      <c r="AG327" s="1149">
        <f>IFERROR(VLOOKUP(CONCATENATE($L327,$N327),'Drop List'!$G$23:$K$87,2,FALSE),0)</f>
        <v>0.56200000000000006</v>
      </c>
      <c r="AH327" s="1150">
        <f>IFERROR(VLOOKUP(CONCATENATE($L327,$N327),'Drop List'!$G$23:$K$87,3,FALSE),0)</f>
        <v>0.43799999999999994</v>
      </c>
      <c r="AI327" s="1150">
        <f>IFERROR(VLOOKUP(CONCATENATE($L327,$N327),'Drop List'!$G$23:$K$87,4,FALSE),0)</f>
        <v>0</v>
      </c>
      <c r="AJ327" s="1151">
        <f>IFERROR(VLOOKUP(CONCATENATE($L327,$N327),'Drop List'!$G$23:$K$87,5,FALSE),0)</f>
        <v>0</v>
      </c>
      <c r="AK327" s="1152">
        <f t="shared" si="85"/>
        <v>311.20403505852317</v>
      </c>
      <c r="AL327" s="1153">
        <f t="shared" si="86"/>
        <v>242.5397995651835</v>
      </c>
      <c r="AM327" s="1153">
        <f t="shared" si="87"/>
        <v>0</v>
      </c>
      <c r="AN327" s="1145">
        <f t="shared" si="88"/>
        <v>0</v>
      </c>
      <c r="AO327" s="1154">
        <f t="shared" si="89"/>
        <v>553.74383462370668</v>
      </c>
      <c r="AP327" s="1147">
        <f t="shared" ref="AP327:AP390" si="93">IF($L327="14",$AF327,0)</f>
        <v>0</v>
      </c>
      <c r="AQ327" s="1144">
        <f t="shared" ref="AQ327:AQ390" si="94">IF($L327="15",$AF327,0)</f>
        <v>0</v>
      </c>
      <c r="AR327" s="1146">
        <f t="shared" ref="AR327:AR390" si="95">AO327+AP327+AQ327</f>
        <v>553.74383462370668</v>
      </c>
    </row>
    <row r="328" spans="1:44" x14ac:dyDescent="0.2">
      <c r="A328" s="1141" t="str">
        <f t="shared" si="90"/>
        <v>1504</v>
      </c>
      <c r="B328" s="1141" t="str">
        <f>IFERROR(VLOOKUP(A328,'LAC 103'!A:C,3,FALSE),"")</f>
        <v>OP</v>
      </c>
      <c r="C328" s="1478" t="str">
        <f>Info!$B$8</f>
        <v>00100</v>
      </c>
      <c r="D328" s="1474" t="s">
        <v>256</v>
      </c>
      <c r="E328" s="1474" t="s">
        <v>95</v>
      </c>
      <c r="F328" s="1478" t="s">
        <v>588</v>
      </c>
      <c r="G328" s="1478" t="s">
        <v>588</v>
      </c>
      <c r="H328" s="1474" t="s">
        <v>983</v>
      </c>
      <c r="I328" s="1478" t="s">
        <v>823</v>
      </c>
      <c r="J328" s="1478" t="s">
        <v>1999</v>
      </c>
      <c r="K328" s="1475" t="s">
        <v>847</v>
      </c>
      <c r="L328" s="1474" t="s">
        <v>582</v>
      </c>
      <c r="M328" s="1476" t="s">
        <v>1698</v>
      </c>
      <c r="N328" s="1477" t="s">
        <v>1693</v>
      </c>
      <c r="O328" s="1479">
        <v>299</v>
      </c>
      <c r="P328" s="1479"/>
      <c r="Q328" s="1142">
        <f t="shared" si="91"/>
        <v>299</v>
      </c>
      <c r="R328" s="1143">
        <f>IFERROR(VLOOKUP(CONCATENATE(E328,G328),'LAC 103'!$A$12:$O$95,11,FALSE),0)</f>
        <v>2.483156209074918</v>
      </c>
      <c r="S328" s="1144">
        <f>IFERROR(VLOOKUP(CONCATENATE($E328,$G328),'LAC 103'!$A$12:$O$95,12,FALSE),0)</f>
        <v>3.07</v>
      </c>
      <c r="T328" s="1144">
        <f>IFERROR(VLOOKUP(CONCATENATE($E328,$G328),'LAC 103'!$A$12:$O$95,13,FALSE),0)</f>
        <v>1.92</v>
      </c>
      <c r="U328" s="1144">
        <f>IFERROR(VLOOKUP(CONCATENATE($E328,$G328),'LAC 103'!$A$12:$O$95,14,FALSE),0)</f>
        <v>0</v>
      </c>
      <c r="V328" s="1144">
        <f>IFERROR(VLOOKUP(CONCATENATE($E328,$G328),'LAC 103'!$A$12:$O$95,15,FALSE),0)</f>
        <v>0</v>
      </c>
      <c r="W328" s="1145" t="str">
        <f>IFERROR(VLOOKUP(CONCATENATE($B328,$N328),'LAC 103'!$AI:$AQ,9,FALSE),"")</f>
        <v>Costs</v>
      </c>
      <c r="X328" s="1146">
        <f t="shared" ref="X328:X391" si="96">IF($W328="Costs",$R328,IF($W328="CMA",$S328,IF($W328="P.C.",$T328,IF($W328="SMA",$U328,$V328))))</f>
        <v>2.483156209074918</v>
      </c>
      <c r="Y328" s="1143">
        <f t="shared" ref="Y328:Y391" si="97">$Q328*R328</f>
        <v>742.46370651340044</v>
      </c>
      <c r="Z328" s="1147">
        <f t="shared" ref="Z328:Z391" si="98">IF(S328=0,Y328,$Q328*S328)</f>
        <v>917.93</v>
      </c>
      <c r="AA328" s="1144">
        <f t="shared" ref="AA328:AA391" si="99">IF(T328=0,Y328,$Q328*T328)</f>
        <v>574.07999999999993</v>
      </c>
      <c r="AB328" s="1144">
        <f t="shared" ref="AB328:AB391" si="100">$Q328*U328</f>
        <v>0</v>
      </c>
      <c r="AC328" s="1144">
        <f t="shared" ref="AC328:AC391" si="101">$Q328*V328</f>
        <v>0</v>
      </c>
      <c r="AD328" s="1148">
        <f t="shared" si="92"/>
        <v>742.46370651340044</v>
      </c>
      <c r="AE328" s="1487">
        <v>0</v>
      </c>
      <c r="AF328" s="1145">
        <f t="shared" ref="AF328:AF391" si="102">AD328-AE328</f>
        <v>742.46370651340044</v>
      </c>
      <c r="AG328" s="1149">
        <f>IFERROR(VLOOKUP(CONCATENATE($L328,$N328),'Drop List'!$G$23:$K$87,2,FALSE),0)</f>
        <v>0.56200000000000006</v>
      </c>
      <c r="AH328" s="1150">
        <f>IFERROR(VLOOKUP(CONCATENATE($L328,$N328),'Drop List'!$G$23:$K$87,3,FALSE),0)</f>
        <v>0.43799999999999994</v>
      </c>
      <c r="AI328" s="1150">
        <f>IFERROR(VLOOKUP(CONCATENATE($L328,$N328),'Drop List'!$G$23:$K$87,4,FALSE),0)</f>
        <v>0</v>
      </c>
      <c r="AJ328" s="1151">
        <f>IFERROR(VLOOKUP(CONCATENATE($L328,$N328),'Drop List'!$G$23:$K$87,5,FALSE),0)</f>
        <v>0</v>
      </c>
      <c r="AK328" s="1152">
        <f t="shared" ref="AK328:AK391" si="103">IFERROR($AF328*AG328,0)</f>
        <v>417.2646030605311</v>
      </c>
      <c r="AL328" s="1153">
        <f t="shared" ref="AL328:AL391" si="104">IFERROR($AF328*AH328,0)</f>
        <v>325.19910345286934</v>
      </c>
      <c r="AM328" s="1153">
        <f t="shared" ref="AM328:AM391" si="105">IFERROR($AF328*AI328,0)</f>
        <v>0</v>
      </c>
      <c r="AN328" s="1145">
        <f t="shared" ref="AN328:AN391" si="106">IFERROR($AF328*AJ328,0)</f>
        <v>0</v>
      </c>
      <c r="AO328" s="1154">
        <f t="shared" ref="AO328:AO391" si="107">SUM(AK328:AN328)</f>
        <v>742.46370651340044</v>
      </c>
      <c r="AP328" s="1147">
        <f t="shared" si="93"/>
        <v>0</v>
      </c>
      <c r="AQ328" s="1144">
        <f t="shared" si="94"/>
        <v>0</v>
      </c>
      <c r="AR328" s="1146">
        <f t="shared" si="95"/>
        <v>742.46370651340044</v>
      </c>
    </row>
    <row r="329" spans="1:44" x14ac:dyDescent="0.2">
      <c r="A329" s="1141" t="str">
        <f t="shared" si="90"/>
        <v>1504</v>
      </c>
      <c r="B329" s="1141" t="str">
        <f>IFERROR(VLOOKUP(A329,'LAC 103'!A:C,3,FALSE),"")</f>
        <v>OP</v>
      </c>
      <c r="C329" s="1478" t="str">
        <f>Info!$B$8</f>
        <v>00100</v>
      </c>
      <c r="D329" s="1474" t="s">
        <v>256</v>
      </c>
      <c r="E329" s="1474" t="s">
        <v>95</v>
      </c>
      <c r="F329" s="1478" t="s">
        <v>588</v>
      </c>
      <c r="G329" s="1478" t="s">
        <v>588</v>
      </c>
      <c r="H329" s="1474" t="s">
        <v>983</v>
      </c>
      <c r="I329" s="1478" t="s">
        <v>823</v>
      </c>
      <c r="J329" s="1478" t="s">
        <v>1999</v>
      </c>
      <c r="K329" s="1475" t="s">
        <v>848</v>
      </c>
      <c r="L329" s="1474" t="s">
        <v>45</v>
      </c>
      <c r="M329" s="1476" t="s">
        <v>842</v>
      </c>
      <c r="N329" s="1477" t="s">
        <v>1692</v>
      </c>
      <c r="O329" s="1479">
        <v>164</v>
      </c>
      <c r="P329" s="1479"/>
      <c r="Q329" s="1142">
        <f t="shared" si="91"/>
        <v>164</v>
      </c>
      <c r="R329" s="1143">
        <f>IFERROR(VLOOKUP(CONCATENATE(E329,G329),'LAC 103'!$A$12:$O$95,11,FALSE),0)</f>
        <v>2.483156209074918</v>
      </c>
      <c r="S329" s="1144">
        <f>IFERROR(VLOOKUP(CONCATENATE($E329,$G329),'LAC 103'!$A$12:$O$95,12,FALSE),0)</f>
        <v>3.07</v>
      </c>
      <c r="T329" s="1144">
        <f>IFERROR(VLOOKUP(CONCATENATE($E329,$G329),'LAC 103'!$A$12:$O$95,13,FALSE),0)</f>
        <v>1.92</v>
      </c>
      <c r="U329" s="1144">
        <f>IFERROR(VLOOKUP(CONCATENATE($E329,$G329),'LAC 103'!$A$12:$O$95,14,FALSE),0)</f>
        <v>0</v>
      </c>
      <c r="V329" s="1144">
        <f>IFERROR(VLOOKUP(CONCATENATE($E329,$G329),'LAC 103'!$A$12:$O$95,15,FALSE),0)</f>
        <v>0</v>
      </c>
      <c r="W329" s="1145" t="str">
        <f>IFERROR(VLOOKUP(CONCATENATE($B329,$N329),'LAC 103'!$AI:$AQ,9,FALSE),"")</f>
        <v>Costs</v>
      </c>
      <c r="X329" s="1146">
        <f t="shared" si="96"/>
        <v>2.483156209074918</v>
      </c>
      <c r="Y329" s="1143">
        <f t="shared" si="97"/>
        <v>407.23761828828657</v>
      </c>
      <c r="Z329" s="1147">
        <f t="shared" si="98"/>
        <v>503.47999999999996</v>
      </c>
      <c r="AA329" s="1144">
        <f t="shared" si="99"/>
        <v>314.88</v>
      </c>
      <c r="AB329" s="1144">
        <f t="shared" si="100"/>
        <v>0</v>
      </c>
      <c r="AC329" s="1144">
        <f t="shared" si="101"/>
        <v>0</v>
      </c>
      <c r="AD329" s="1148">
        <f t="shared" si="92"/>
        <v>407.23761828828657</v>
      </c>
      <c r="AE329" s="1487">
        <v>0</v>
      </c>
      <c r="AF329" s="1145">
        <f t="shared" si="102"/>
        <v>407.23761828828657</v>
      </c>
      <c r="AG329" s="1149">
        <f>IFERROR(VLOOKUP(CONCATENATE($L329,$N329),'Drop List'!$G$23:$K$87,2,FALSE),0)</f>
        <v>0.69340000000000002</v>
      </c>
      <c r="AH329" s="1150">
        <f>IFERROR(VLOOKUP(CONCATENATE($L329,$N329),'Drop List'!$G$23:$K$87,3,FALSE),0)</f>
        <v>0.30659999999999998</v>
      </c>
      <c r="AI329" s="1150">
        <f>IFERROR(VLOOKUP(CONCATENATE($L329,$N329),'Drop List'!$G$23:$K$87,4,FALSE),0)</f>
        <v>0</v>
      </c>
      <c r="AJ329" s="1151">
        <f>IFERROR(VLOOKUP(CONCATENATE($L329,$N329),'Drop List'!$G$23:$K$87,5,FALSE),0)</f>
        <v>0</v>
      </c>
      <c r="AK329" s="1152">
        <f t="shared" si="103"/>
        <v>282.37856452109793</v>
      </c>
      <c r="AL329" s="1153">
        <f t="shared" si="104"/>
        <v>124.85905376718866</v>
      </c>
      <c r="AM329" s="1153">
        <f t="shared" si="105"/>
        <v>0</v>
      </c>
      <c r="AN329" s="1145">
        <f t="shared" si="106"/>
        <v>0</v>
      </c>
      <c r="AO329" s="1154">
        <f t="shared" si="107"/>
        <v>407.23761828828657</v>
      </c>
      <c r="AP329" s="1147">
        <f t="shared" si="93"/>
        <v>0</v>
      </c>
      <c r="AQ329" s="1144">
        <f t="shared" si="94"/>
        <v>0</v>
      </c>
      <c r="AR329" s="1146">
        <f t="shared" si="95"/>
        <v>407.23761828828657</v>
      </c>
    </row>
    <row r="330" spans="1:44" x14ac:dyDescent="0.2">
      <c r="A330" s="1141" t="str">
        <f t="shared" si="90"/>
        <v>1504</v>
      </c>
      <c r="B330" s="1141" t="str">
        <f>IFERROR(VLOOKUP(A330,'LAC 103'!A:C,3,FALSE),"")</f>
        <v>OP</v>
      </c>
      <c r="C330" s="1478" t="str">
        <f>Info!$B$8</f>
        <v>00100</v>
      </c>
      <c r="D330" s="1474" t="s">
        <v>256</v>
      </c>
      <c r="E330" s="1474" t="s">
        <v>95</v>
      </c>
      <c r="F330" s="1478" t="s">
        <v>588</v>
      </c>
      <c r="G330" s="1478" t="s">
        <v>588</v>
      </c>
      <c r="H330" s="1474" t="s">
        <v>983</v>
      </c>
      <c r="I330" s="1478" t="s">
        <v>823</v>
      </c>
      <c r="J330" s="1478" t="s">
        <v>1999</v>
      </c>
      <c r="K330" s="1475" t="s">
        <v>848</v>
      </c>
      <c r="L330" s="1474" t="s">
        <v>45</v>
      </c>
      <c r="M330" s="1476" t="s">
        <v>1698</v>
      </c>
      <c r="N330" s="1477" t="s">
        <v>1693</v>
      </c>
      <c r="O330" s="1479">
        <v>145</v>
      </c>
      <c r="P330" s="1479"/>
      <c r="Q330" s="1142">
        <f t="shared" si="91"/>
        <v>145</v>
      </c>
      <c r="R330" s="1143">
        <f>IFERROR(VLOOKUP(CONCATENATE(E330,G330),'LAC 103'!$A$12:$O$95,11,FALSE),0)</f>
        <v>2.483156209074918</v>
      </c>
      <c r="S330" s="1144">
        <f>IFERROR(VLOOKUP(CONCATENATE($E330,$G330),'LAC 103'!$A$12:$O$95,12,FALSE),0)</f>
        <v>3.07</v>
      </c>
      <c r="T330" s="1144">
        <f>IFERROR(VLOOKUP(CONCATENATE($E330,$G330),'LAC 103'!$A$12:$O$95,13,FALSE),0)</f>
        <v>1.92</v>
      </c>
      <c r="U330" s="1144">
        <f>IFERROR(VLOOKUP(CONCATENATE($E330,$G330),'LAC 103'!$A$12:$O$95,14,FALSE),0)</f>
        <v>0</v>
      </c>
      <c r="V330" s="1144">
        <f>IFERROR(VLOOKUP(CONCATENATE($E330,$G330),'LAC 103'!$A$12:$O$95,15,FALSE),0)</f>
        <v>0</v>
      </c>
      <c r="W330" s="1145" t="str">
        <f>IFERROR(VLOOKUP(CONCATENATE($B330,$N330),'LAC 103'!$AI:$AQ,9,FALSE),"")</f>
        <v>Costs</v>
      </c>
      <c r="X330" s="1146">
        <f t="shared" si="96"/>
        <v>2.483156209074918</v>
      </c>
      <c r="Y330" s="1143">
        <f t="shared" si="97"/>
        <v>360.0576503158631</v>
      </c>
      <c r="Z330" s="1147">
        <f t="shared" si="98"/>
        <v>445.15</v>
      </c>
      <c r="AA330" s="1144">
        <f t="shared" si="99"/>
        <v>278.39999999999998</v>
      </c>
      <c r="AB330" s="1144">
        <f t="shared" si="100"/>
        <v>0</v>
      </c>
      <c r="AC330" s="1144">
        <f t="shared" si="101"/>
        <v>0</v>
      </c>
      <c r="AD330" s="1148">
        <f t="shared" si="92"/>
        <v>360.0576503158631</v>
      </c>
      <c r="AE330" s="1487">
        <v>0</v>
      </c>
      <c r="AF330" s="1145">
        <f t="shared" si="102"/>
        <v>360.0576503158631</v>
      </c>
      <c r="AG330" s="1149">
        <f>IFERROR(VLOOKUP(CONCATENATE($L330,$N330),'Drop List'!$G$23:$K$87,2,FALSE),0)</f>
        <v>0.69340000000000002</v>
      </c>
      <c r="AH330" s="1150">
        <f>IFERROR(VLOOKUP(CONCATENATE($L330,$N330),'Drop List'!$G$23:$K$87,3,FALSE),0)</f>
        <v>0.30659999999999998</v>
      </c>
      <c r="AI330" s="1150">
        <f>IFERROR(VLOOKUP(CONCATENATE($L330,$N330),'Drop List'!$G$23:$K$87,4,FALSE),0)</f>
        <v>0</v>
      </c>
      <c r="AJ330" s="1151">
        <f>IFERROR(VLOOKUP(CONCATENATE($L330,$N330),'Drop List'!$G$23:$K$87,5,FALSE),0)</f>
        <v>0</v>
      </c>
      <c r="AK330" s="1152">
        <f t="shared" si="103"/>
        <v>249.66397472901949</v>
      </c>
      <c r="AL330" s="1153">
        <f t="shared" si="104"/>
        <v>110.39367558684361</v>
      </c>
      <c r="AM330" s="1153">
        <f t="shared" si="105"/>
        <v>0</v>
      </c>
      <c r="AN330" s="1145">
        <f t="shared" si="106"/>
        <v>0</v>
      </c>
      <c r="AO330" s="1154">
        <f t="shared" si="107"/>
        <v>360.0576503158631</v>
      </c>
      <c r="AP330" s="1147">
        <f t="shared" si="93"/>
        <v>0</v>
      </c>
      <c r="AQ330" s="1144">
        <f t="shared" si="94"/>
        <v>0</v>
      </c>
      <c r="AR330" s="1146">
        <f t="shared" si="95"/>
        <v>360.0576503158631</v>
      </c>
    </row>
    <row r="331" spans="1:44" x14ac:dyDescent="0.2">
      <c r="A331" s="1141" t="str">
        <f t="shared" si="90"/>
        <v>1504</v>
      </c>
      <c r="B331" s="1141" t="str">
        <f>IFERROR(VLOOKUP(A331,'LAC 103'!A:C,3,FALSE),"")</f>
        <v>OP</v>
      </c>
      <c r="C331" s="1478" t="str">
        <f>Info!$B$8</f>
        <v>00100</v>
      </c>
      <c r="D331" s="1474" t="s">
        <v>256</v>
      </c>
      <c r="E331" s="1474" t="s">
        <v>95</v>
      </c>
      <c r="F331" s="1478" t="s">
        <v>588</v>
      </c>
      <c r="G331" s="1478" t="s">
        <v>588</v>
      </c>
      <c r="H331" s="1474" t="s">
        <v>983</v>
      </c>
      <c r="I331" s="1478" t="s">
        <v>823</v>
      </c>
      <c r="J331" s="1478" t="s">
        <v>1999</v>
      </c>
      <c r="K331" s="1475" t="s">
        <v>849</v>
      </c>
      <c r="L331" s="1474" t="s">
        <v>77</v>
      </c>
      <c r="M331" s="1476" t="s">
        <v>1699</v>
      </c>
      <c r="N331" s="1477" t="s">
        <v>1694</v>
      </c>
      <c r="O331" s="1479">
        <v>71</v>
      </c>
      <c r="P331" s="1479"/>
      <c r="Q331" s="1142">
        <f t="shared" si="91"/>
        <v>71</v>
      </c>
      <c r="R331" s="1143">
        <f>IFERROR(VLOOKUP(CONCATENATE(E331,G331),'LAC 103'!$A$12:$O$95,11,FALSE),0)</f>
        <v>2.483156209074918</v>
      </c>
      <c r="S331" s="1144">
        <f>IFERROR(VLOOKUP(CONCATENATE($E331,$G331),'LAC 103'!$A$12:$O$95,12,FALSE),0)</f>
        <v>3.07</v>
      </c>
      <c r="T331" s="1144">
        <f>IFERROR(VLOOKUP(CONCATENATE($E331,$G331),'LAC 103'!$A$12:$O$95,13,FALSE),0)</f>
        <v>1.92</v>
      </c>
      <c r="U331" s="1144">
        <f>IFERROR(VLOOKUP(CONCATENATE($E331,$G331),'LAC 103'!$A$12:$O$95,14,FALSE),0)</f>
        <v>0</v>
      </c>
      <c r="V331" s="1144">
        <f>IFERROR(VLOOKUP(CONCATENATE($E331,$G331),'LAC 103'!$A$12:$O$95,15,FALSE),0)</f>
        <v>0</v>
      </c>
      <c r="W331" s="1145" t="str">
        <f>IFERROR(VLOOKUP(CONCATENATE($B331,$N331),'LAC 103'!$AI:$AQ,9,FALSE),"")</f>
        <v>Costs</v>
      </c>
      <c r="X331" s="1146">
        <f t="shared" si="96"/>
        <v>2.483156209074918</v>
      </c>
      <c r="Y331" s="1143">
        <f t="shared" si="97"/>
        <v>176.30409084431918</v>
      </c>
      <c r="Z331" s="1147">
        <f t="shared" si="98"/>
        <v>217.97</v>
      </c>
      <c r="AA331" s="1144">
        <f t="shared" si="99"/>
        <v>136.32</v>
      </c>
      <c r="AB331" s="1144">
        <f t="shared" si="100"/>
        <v>0</v>
      </c>
      <c r="AC331" s="1144">
        <f t="shared" si="101"/>
        <v>0</v>
      </c>
      <c r="AD331" s="1148">
        <f t="shared" si="92"/>
        <v>176.30409084431918</v>
      </c>
      <c r="AE331" s="1487">
        <v>0</v>
      </c>
      <c r="AF331" s="1145">
        <f t="shared" si="102"/>
        <v>176.30409084431918</v>
      </c>
      <c r="AG331" s="1149">
        <f>IFERROR(VLOOKUP(CONCATENATE($L331,$N331),'Drop List'!$G$23:$K$87,2,FALSE),0)</f>
        <v>0.9</v>
      </c>
      <c r="AH331" s="1150">
        <f>IFERROR(VLOOKUP(CONCATENATE($L331,$N331),'Drop List'!$G$23:$K$87,3,FALSE),0)</f>
        <v>0</v>
      </c>
      <c r="AI331" s="1150">
        <f>IFERROR(VLOOKUP(CONCATENATE($L331,$N331),'Drop List'!$G$23:$K$87,4,FALSE),0)</f>
        <v>0.1</v>
      </c>
      <c r="AJ331" s="1151">
        <f>IFERROR(VLOOKUP(CONCATENATE($L331,$N331),'Drop List'!$G$23:$K$87,5,FALSE),0)</f>
        <v>0</v>
      </c>
      <c r="AK331" s="1152">
        <f t="shared" si="103"/>
        <v>158.67368175988727</v>
      </c>
      <c r="AL331" s="1153">
        <f t="shared" si="104"/>
        <v>0</v>
      </c>
      <c r="AM331" s="1153">
        <f t="shared" si="105"/>
        <v>17.630409084431918</v>
      </c>
      <c r="AN331" s="1145">
        <f t="shared" si="106"/>
        <v>0</v>
      </c>
      <c r="AO331" s="1154">
        <f t="shared" si="107"/>
        <v>176.30409084431921</v>
      </c>
      <c r="AP331" s="1147">
        <f t="shared" si="93"/>
        <v>0</v>
      </c>
      <c r="AQ331" s="1144">
        <f t="shared" si="94"/>
        <v>0</v>
      </c>
      <c r="AR331" s="1146">
        <f t="shared" si="95"/>
        <v>176.30409084431921</v>
      </c>
    </row>
    <row r="332" spans="1:44" x14ac:dyDescent="0.2">
      <c r="A332" s="1141" t="str">
        <f t="shared" si="90"/>
        <v>1504</v>
      </c>
      <c r="B332" s="1141" t="str">
        <f>IFERROR(VLOOKUP(A332,'LAC 103'!A:C,3,FALSE),"")</f>
        <v>OP</v>
      </c>
      <c r="C332" s="1478" t="str">
        <f>Info!$B$8</f>
        <v>00100</v>
      </c>
      <c r="D332" s="1474" t="s">
        <v>256</v>
      </c>
      <c r="E332" s="1474" t="s">
        <v>95</v>
      </c>
      <c r="F332" s="1478" t="s">
        <v>588</v>
      </c>
      <c r="G332" s="1478" t="s">
        <v>588</v>
      </c>
      <c r="H332" s="1474" t="s">
        <v>983</v>
      </c>
      <c r="I332" s="1478" t="s">
        <v>823</v>
      </c>
      <c r="J332" s="1478" t="s">
        <v>1999</v>
      </c>
      <c r="K332" s="1475" t="s">
        <v>849</v>
      </c>
      <c r="L332" s="1474" t="s">
        <v>77</v>
      </c>
      <c r="M332" s="1476" t="s">
        <v>841</v>
      </c>
      <c r="N332" s="1477" t="s">
        <v>1695</v>
      </c>
      <c r="O332" s="1479">
        <v>252</v>
      </c>
      <c r="P332" s="1479"/>
      <c r="Q332" s="1142">
        <f t="shared" si="91"/>
        <v>252</v>
      </c>
      <c r="R332" s="1143">
        <f>IFERROR(VLOOKUP(CONCATENATE(E332,G332),'LAC 103'!$A$12:$O$95,11,FALSE),0)</f>
        <v>2.483156209074918</v>
      </c>
      <c r="S332" s="1144">
        <f>IFERROR(VLOOKUP(CONCATENATE($E332,$G332),'LAC 103'!$A$12:$O$95,12,FALSE),0)</f>
        <v>3.07</v>
      </c>
      <c r="T332" s="1144">
        <f>IFERROR(VLOOKUP(CONCATENATE($E332,$G332),'LAC 103'!$A$12:$O$95,13,FALSE),0)</f>
        <v>1.92</v>
      </c>
      <c r="U332" s="1144">
        <f>IFERROR(VLOOKUP(CONCATENATE($E332,$G332),'LAC 103'!$A$12:$O$95,14,FALSE),0)</f>
        <v>0</v>
      </c>
      <c r="V332" s="1144">
        <f>IFERROR(VLOOKUP(CONCATENATE($E332,$G332),'LAC 103'!$A$12:$O$95,15,FALSE),0)</f>
        <v>0</v>
      </c>
      <c r="W332" s="1145" t="str">
        <f>IFERROR(VLOOKUP(CONCATENATE($B332,$N332),'LAC 103'!$AI:$AQ,9,FALSE),"")</f>
        <v>Costs</v>
      </c>
      <c r="X332" s="1146">
        <f t="shared" si="96"/>
        <v>2.483156209074918</v>
      </c>
      <c r="Y332" s="1143">
        <f t="shared" si="97"/>
        <v>625.75536468687937</v>
      </c>
      <c r="Z332" s="1147">
        <f t="shared" si="98"/>
        <v>773.64</v>
      </c>
      <c r="AA332" s="1144">
        <f t="shared" si="99"/>
        <v>483.84</v>
      </c>
      <c r="AB332" s="1144">
        <f t="shared" si="100"/>
        <v>0</v>
      </c>
      <c r="AC332" s="1144">
        <f t="shared" si="101"/>
        <v>0</v>
      </c>
      <c r="AD332" s="1148">
        <f t="shared" si="92"/>
        <v>625.75536468687937</v>
      </c>
      <c r="AE332" s="1487">
        <v>0</v>
      </c>
      <c r="AF332" s="1145">
        <f t="shared" si="102"/>
        <v>625.75536468687937</v>
      </c>
      <c r="AG332" s="1149">
        <f>IFERROR(VLOOKUP(CONCATENATE($L332,$N332),'Drop List'!$G$23:$K$87,2,FALSE),0)</f>
        <v>0.9</v>
      </c>
      <c r="AH332" s="1150">
        <f>IFERROR(VLOOKUP(CONCATENATE($L332,$N332),'Drop List'!$G$23:$K$87,3,FALSE),0)</f>
        <v>0</v>
      </c>
      <c r="AI332" s="1150">
        <f>IFERROR(VLOOKUP(CONCATENATE($L332,$N332),'Drop List'!$G$23:$K$87,4,FALSE),0)</f>
        <v>0.1</v>
      </c>
      <c r="AJ332" s="1151">
        <f>IFERROR(VLOOKUP(CONCATENATE($L332,$N332),'Drop List'!$G$23:$K$87,5,FALSE),0)</f>
        <v>0</v>
      </c>
      <c r="AK332" s="1152">
        <f t="shared" si="103"/>
        <v>563.17982821819146</v>
      </c>
      <c r="AL332" s="1153">
        <f t="shared" si="104"/>
        <v>0</v>
      </c>
      <c r="AM332" s="1153">
        <f t="shared" si="105"/>
        <v>62.575536468687943</v>
      </c>
      <c r="AN332" s="1145">
        <f t="shared" si="106"/>
        <v>0</v>
      </c>
      <c r="AO332" s="1154">
        <f t="shared" si="107"/>
        <v>625.75536468687937</v>
      </c>
      <c r="AP332" s="1147">
        <f t="shared" si="93"/>
        <v>0</v>
      </c>
      <c r="AQ332" s="1144">
        <f t="shared" si="94"/>
        <v>0</v>
      </c>
      <c r="AR332" s="1146">
        <f t="shared" si="95"/>
        <v>625.75536468687937</v>
      </c>
    </row>
    <row r="333" spans="1:44" x14ac:dyDescent="0.2">
      <c r="A333" s="1141" t="str">
        <f t="shared" si="90"/>
        <v>1504</v>
      </c>
      <c r="B333" s="1141" t="str">
        <f>IFERROR(VLOOKUP(A333,'LAC 103'!A:C,3,FALSE),"")</f>
        <v>OP</v>
      </c>
      <c r="C333" s="1478" t="str">
        <f>Info!$B$8</f>
        <v>00100</v>
      </c>
      <c r="D333" s="1474" t="s">
        <v>256</v>
      </c>
      <c r="E333" s="1474" t="s">
        <v>95</v>
      </c>
      <c r="F333" s="1478" t="s">
        <v>588</v>
      </c>
      <c r="G333" s="1478" t="s">
        <v>588</v>
      </c>
      <c r="H333" s="1474" t="s">
        <v>983</v>
      </c>
      <c r="I333" s="1478" t="s">
        <v>823</v>
      </c>
      <c r="J333" s="1478" t="s">
        <v>1999</v>
      </c>
      <c r="K333" s="1475" t="s">
        <v>849</v>
      </c>
      <c r="L333" s="1474" t="s">
        <v>77</v>
      </c>
      <c r="M333" s="1476" t="s">
        <v>840</v>
      </c>
      <c r="N333" s="1477" t="s">
        <v>1700</v>
      </c>
      <c r="O333" s="1479">
        <v>77</v>
      </c>
      <c r="P333" s="1479"/>
      <c r="Q333" s="1142">
        <f t="shared" si="91"/>
        <v>77</v>
      </c>
      <c r="R333" s="1143">
        <f>IFERROR(VLOOKUP(CONCATENATE(E333,G333),'LAC 103'!$A$12:$O$95,11,FALSE),0)</f>
        <v>2.483156209074918</v>
      </c>
      <c r="S333" s="1144">
        <f>IFERROR(VLOOKUP(CONCATENATE($E333,$G333),'LAC 103'!$A$12:$O$95,12,FALSE),0)</f>
        <v>3.07</v>
      </c>
      <c r="T333" s="1144">
        <f>IFERROR(VLOOKUP(CONCATENATE($E333,$G333),'LAC 103'!$A$12:$O$95,13,FALSE),0)</f>
        <v>1.92</v>
      </c>
      <c r="U333" s="1144">
        <f>IFERROR(VLOOKUP(CONCATENATE($E333,$G333),'LAC 103'!$A$12:$O$95,14,FALSE),0)</f>
        <v>0</v>
      </c>
      <c r="V333" s="1144">
        <f>IFERROR(VLOOKUP(CONCATENATE($E333,$G333),'LAC 103'!$A$12:$O$95,15,FALSE),0)</f>
        <v>0</v>
      </c>
      <c r="W333" s="1145" t="str">
        <f>IFERROR(VLOOKUP(CONCATENATE($B333,$N333),'LAC 103'!$AI:$AQ,9,FALSE),"")</f>
        <v>P.C.</v>
      </c>
      <c r="X333" s="1146">
        <f t="shared" si="96"/>
        <v>1.92</v>
      </c>
      <c r="Y333" s="1143">
        <f t="shared" si="97"/>
        <v>191.20302809876867</v>
      </c>
      <c r="Z333" s="1147">
        <f t="shared" si="98"/>
        <v>236.39</v>
      </c>
      <c r="AA333" s="1144">
        <f t="shared" si="99"/>
        <v>147.84</v>
      </c>
      <c r="AB333" s="1144">
        <f t="shared" si="100"/>
        <v>0</v>
      </c>
      <c r="AC333" s="1144">
        <f t="shared" si="101"/>
        <v>0</v>
      </c>
      <c r="AD333" s="1148">
        <f t="shared" si="92"/>
        <v>147.84</v>
      </c>
      <c r="AE333" s="1487">
        <v>0</v>
      </c>
      <c r="AF333" s="1145">
        <f t="shared" si="102"/>
        <v>147.84</v>
      </c>
      <c r="AG333" s="1149">
        <f>IFERROR(VLOOKUP(CONCATENATE($L333,$N333),'Drop List'!$G$23:$K$87,2,FALSE),0)</f>
        <v>0.9</v>
      </c>
      <c r="AH333" s="1150">
        <f>IFERROR(VLOOKUP(CONCATENATE($L333,$N333),'Drop List'!$G$23:$K$87,3,FALSE),0)</f>
        <v>0</v>
      </c>
      <c r="AI333" s="1150">
        <f>IFERROR(VLOOKUP(CONCATENATE($L333,$N333),'Drop List'!$G$23:$K$87,4,FALSE),0)</f>
        <v>0.1</v>
      </c>
      <c r="AJ333" s="1151">
        <f>IFERROR(VLOOKUP(CONCATENATE($L333,$N333),'Drop List'!$G$23:$K$87,5,FALSE),0)</f>
        <v>0</v>
      </c>
      <c r="AK333" s="1152">
        <f t="shared" si="103"/>
        <v>133.05600000000001</v>
      </c>
      <c r="AL333" s="1153">
        <f t="shared" si="104"/>
        <v>0</v>
      </c>
      <c r="AM333" s="1153">
        <f t="shared" si="105"/>
        <v>14.784000000000001</v>
      </c>
      <c r="AN333" s="1145">
        <f t="shared" si="106"/>
        <v>0</v>
      </c>
      <c r="AO333" s="1154">
        <f t="shared" si="107"/>
        <v>147.84</v>
      </c>
      <c r="AP333" s="1147">
        <f t="shared" si="93"/>
        <v>0</v>
      </c>
      <c r="AQ333" s="1144">
        <f t="shared" si="94"/>
        <v>0</v>
      </c>
      <c r="AR333" s="1146">
        <f t="shared" si="95"/>
        <v>147.84</v>
      </c>
    </row>
    <row r="334" spans="1:44" x14ac:dyDescent="0.2">
      <c r="A334" s="1141" t="str">
        <f t="shared" si="90"/>
        <v>1504</v>
      </c>
      <c r="B334" s="1141" t="str">
        <f>IFERROR(VLOOKUP(A334,'LAC 103'!A:C,3,FALSE),"")</f>
        <v>OP</v>
      </c>
      <c r="C334" s="1478" t="str">
        <f>Info!$B$8</f>
        <v>00100</v>
      </c>
      <c r="D334" s="1474" t="s">
        <v>256</v>
      </c>
      <c r="E334" s="1474" t="s">
        <v>95</v>
      </c>
      <c r="F334" s="1478" t="s">
        <v>588</v>
      </c>
      <c r="G334" s="1478" t="s">
        <v>588</v>
      </c>
      <c r="H334" s="1474" t="s">
        <v>983</v>
      </c>
      <c r="I334" s="1478" t="s">
        <v>823</v>
      </c>
      <c r="J334" s="1478" t="s">
        <v>1999</v>
      </c>
      <c r="K334" s="1475" t="s">
        <v>851</v>
      </c>
      <c r="L334" s="1474" t="s">
        <v>584</v>
      </c>
      <c r="M334" s="1476" t="s">
        <v>1699</v>
      </c>
      <c r="N334" s="1477" t="s">
        <v>1694</v>
      </c>
      <c r="O334" s="1479">
        <v>183</v>
      </c>
      <c r="P334" s="1479"/>
      <c r="Q334" s="1142">
        <f t="shared" si="91"/>
        <v>183</v>
      </c>
      <c r="R334" s="1143">
        <f>IFERROR(VLOOKUP(CONCATENATE(E334,G334),'LAC 103'!$A$12:$O$95,11,FALSE),0)</f>
        <v>2.483156209074918</v>
      </c>
      <c r="S334" s="1144">
        <f>IFERROR(VLOOKUP(CONCATENATE($E334,$G334),'LAC 103'!$A$12:$O$95,12,FALSE),0)</f>
        <v>3.07</v>
      </c>
      <c r="T334" s="1144">
        <f>IFERROR(VLOOKUP(CONCATENATE($E334,$G334),'LAC 103'!$A$12:$O$95,13,FALSE),0)</f>
        <v>1.92</v>
      </c>
      <c r="U334" s="1144">
        <f>IFERROR(VLOOKUP(CONCATENATE($E334,$G334),'LAC 103'!$A$12:$O$95,14,FALSE),0)</f>
        <v>0</v>
      </c>
      <c r="V334" s="1144">
        <f>IFERROR(VLOOKUP(CONCATENATE($E334,$G334),'LAC 103'!$A$12:$O$95,15,FALSE),0)</f>
        <v>0</v>
      </c>
      <c r="W334" s="1145" t="str">
        <f>IFERROR(VLOOKUP(CONCATENATE($B334,$N334),'LAC 103'!$AI:$AQ,9,FALSE),"")</f>
        <v>Costs</v>
      </c>
      <c r="X334" s="1146">
        <f t="shared" si="96"/>
        <v>2.483156209074918</v>
      </c>
      <c r="Y334" s="1143">
        <f t="shared" si="97"/>
        <v>454.41758626070998</v>
      </c>
      <c r="Z334" s="1147">
        <f t="shared" si="98"/>
        <v>561.80999999999995</v>
      </c>
      <c r="AA334" s="1144">
        <f t="shared" si="99"/>
        <v>351.36</v>
      </c>
      <c r="AB334" s="1144">
        <f t="shared" si="100"/>
        <v>0</v>
      </c>
      <c r="AC334" s="1144">
        <f t="shared" si="101"/>
        <v>0</v>
      </c>
      <c r="AD334" s="1148">
        <f t="shared" si="92"/>
        <v>454.41758626070998</v>
      </c>
      <c r="AE334" s="1487">
        <v>0</v>
      </c>
      <c r="AF334" s="1145">
        <f t="shared" si="102"/>
        <v>454.41758626070998</v>
      </c>
      <c r="AG334" s="1149">
        <f>IFERROR(VLOOKUP(CONCATENATE($L334,$N334),'Drop List'!$G$23:$K$87,2,FALSE),0)</f>
        <v>0.56200000000000006</v>
      </c>
      <c r="AH334" s="1150">
        <f>IFERROR(VLOOKUP(CONCATENATE($L334,$N334),'Drop List'!$G$23:$K$87,3,FALSE),0)</f>
        <v>0</v>
      </c>
      <c r="AI334" s="1150">
        <f>IFERROR(VLOOKUP(CONCATENATE($L334,$N334),'Drop List'!$G$23:$K$87,4,FALSE),0)</f>
        <v>0</v>
      </c>
      <c r="AJ334" s="1151">
        <f>IFERROR(VLOOKUP(CONCATENATE($L334,$N334),'Drop List'!$G$23:$K$87,5,FALSE),0)</f>
        <v>0.43799999999999994</v>
      </c>
      <c r="AK334" s="1152">
        <f t="shared" si="103"/>
        <v>255.38268347851903</v>
      </c>
      <c r="AL334" s="1153">
        <f t="shared" si="104"/>
        <v>0</v>
      </c>
      <c r="AM334" s="1153">
        <f t="shared" si="105"/>
        <v>0</v>
      </c>
      <c r="AN334" s="1145">
        <f t="shared" si="106"/>
        <v>199.03490278219095</v>
      </c>
      <c r="AO334" s="1154">
        <f t="shared" si="107"/>
        <v>454.41758626070998</v>
      </c>
      <c r="AP334" s="1147">
        <f t="shared" si="93"/>
        <v>0</v>
      </c>
      <c r="AQ334" s="1144">
        <f t="shared" si="94"/>
        <v>0</v>
      </c>
      <c r="AR334" s="1146">
        <f t="shared" si="95"/>
        <v>454.41758626070998</v>
      </c>
    </row>
    <row r="335" spans="1:44" x14ac:dyDescent="0.2">
      <c r="A335" s="1141" t="str">
        <f t="shared" si="90"/>
        <v>1504</v>
      </c>
      <c r="B335" s="1141" t="str">
        <f>IFERROR(VLOOKUP(A335,'LAC 103'!A:C,3,FALSE),"")</f>
        <v>OP</v>
      </c>
      <c r="C335" s="1478" t="str">
        <f>Info!$B$8</f>
        <v>00100</v>
      </c>
      <c r="D335" s="1474" t="s">
        <v>256</v>
      </c>
      <c r="E335" s="1474" t="s">
        <v>95</v>
      </c>
      <c r="F335" s="1478" t="s">
        <v>588</v>
      </c>
      <c r="G335" s="1478" t="s">
        <v>588</v>
      </c>
      <c r="H335" s="1474" t="s">
        <v>983</v>
      </c>
      <c r="I335" s="1478" t="s">
        <v>823</v>
      </c>
      <c r="J335" s="1478" t="s">
        <v>1999</v>
      </c>
      <c r="K335" s="1475" t="s">
        <v>851</v>
      </c>
      <c r="L335" s="1474" t="s">
        <v>584</v>
      </c>
      <c r="M335" s="1476" t="s">
        <v>841</v>
      </c>
      <c r="N335" s="1477" t="s">
        <v>1695</v>
      </c>
      <c r="O335" s="1479">
        <v>35</v>
      </c>
      <c r="P335" s="1479"/>
      <c r="Q335" s="1142">
        <f t="shared" si="91"/>
        <v>35</v>
      </c>
      <c r="R335" s="1143">
        <f>IFERROR(VLOOKUP(CONCATENATE(E335,G335),'LAC 103'!$A$12:$O$95,11,FALSE),0)</f>
        <v>2.483156209074918</v>
      </c>
      <c r="S335" s="1144">
        <f>IFERROR(VLOOKUP(CONCATENATE($E335,$G335),'LAC 103'!$A$12:$O$95,12,FALSE),0)</f>
        <v>3.07</v>
      </c>
      <c r="T335" s="1144">
        <f>IFERROR(VLOOKUP(CONCATENATE($E335,$G335),'LAC 103'!$A$12:$O$95,13,FALSE),0)</f>
        <v>1.92</v>
      </c>
      <c r="U335" s="1144">
        <f>IFERROR(VLOOKUP(CONCATENATE($E335,$G335),'LAC 103'!$A$12:$O$95,14,FALSE),0)</f>
        <v>0</v>
      </c>
      <c r="V335" s="1144">
        <f>IFERROR(VLOOKUP(CONCATENATE($E335,$G335),'LAC 103'!$A$12:$O$95,15,FALSE),0)</f>
        <v>0</v>
      </c>
      <c r="W335" s="1145" t="str">
        <f>IFERROR(VLOOKUP(CONCATENATE($B335,$N335),'LAC 103'!$AI:$AQ,9,FALSE),"")</f>
        <v>Costs</v>
      </c>
      <c r="X335" s="1146">
        <f t="shared" si="96"/>
        <v>2.483156209074918</v>
      </c>
      <c r="Y335" s="1143">
        <f t="shared" si="97"/>
        <v>86.910467317622135</v>
      </c>
      <c r="Z335" s="1147">
        <f t="shared" si="98"/>
        <v>107.44999999999999</v>
      </c>
      <c r="AA335" s="1144">
        <f t="shared" si="99"/>
        <v>67.2</v>
      </c>
      <c r="AB335" s="1144">
        <f t="shared" si="100"/>
        <v>0</v>
      </c>
      <c r="AC335" s="1144">
        <f t="shared" si="101"/>
        <v>0</v>
      </c>
      <c r="AD335" s="1148">
        <f t="shared" si="92"/>
        <v>86.910467317622135</v>
      </c>
      <c r="AE335" s="1487">
        <v>0</v>
      </c>
      <c r="AF335" s="1145">
        <f t="shared" si="102"/>
        <v>86.910467317622135</v>
      </c>
      <c r="AG335" s="1149">
        <f>IFERROR(VLOOKUP(CONCATENATE($L335,$N335),'Drop List'!$G$23:$K$87,2,FALSE),0)</f>
        <v>0.55000000000000004</v>
      </c>
      <c r="AH335" s="1150">
        <f>IFERROR(VLOOKUP(CONCATENATE($L335,$N335),'Drop List'!$G$23:$K$87,3,FALSE),0)</f>
        <v>0</v>
      </c>
      <c r="AI335" s="1150">
        <f>IFERROR(VLOOKUP(CONCATENATE($L335,$N335),'Drop List'!$G$23:$K$87,4,FALSE),0)</f>
        <v>0</v>
      </c>
      <c r="AJ335" s="1151">
        <f>IFERROR(VLOOKUP(CONCATENATE($L335,$N335),'Drop List'!$G$23:$K$87,5,FALSE),0)</f>
        <v>0.44999999999999996</v>
      </c>
      <c r="AK335" s="1152">
        <f t="shared" si="103"/>
        <v>47.800757024692182</v>
      </c>
      <c r="AL335" s="1153">
        <f t="shared" si="104"/>
        <v>0</v>
      </c>
      <c r="AM335" s="1153">
        <f t="shared" si="105"/>
        <v>0</v>
      </c>
      <c r="AN335" s="1145">
        <f t="shared" si="106"/>
        <v>39.109710292929954</v>
      </c>
      <c r="AO335" s="1154">
        <f t="shared" si="107"/>
        <v>86.910467317622135</v>
      </c>
      <c r="AP335" s="1147">
        <f t="shared" si="93"/>
        <v>0</v>
      </c>
      <c r="AQ335" s="1144">
        <f t="shared" si="94"/>
        <v>0</v>
      </c>
      <c r="AR335" s="1146">
        <f t="shared" si="95"/>
        <v>86.910467317622135</v>
      </c>
    </row>
    <row r="336" spans="1:44" x14ac:dyDescent="0.2">
      <c r="A336" s="1141" t="str">
        <f t="shared" si="90"/>
        <v>1504</v>
      </c>
      <c r="B336" s="1141" t="str">
        <f>IFERROR(VLOOKUP(A336,'LAC 103'!A:C,3,FALSE),"")</f>
        <v>OP</v>
      </c>
      <c r="C336" s="1478" t="str">
        <f>Info!$B$8</f>
        <v>00100</v>
      </c>
      <c r="D336" s="1474" t="s">
        <v>256</v>
      </c>
      <c r="E336" s="1474" t="s">
        <v>95</v>
      </c>
      <c r="F336" s="1478" t="s">
        <v>588</v>
      </c>
      <c r="G336" s="1478" t="s">
        <v>588</v>
      </c>
      <c r="H336" s="1474" t="s">
        <v>983</v>
      </c>
      <c r="I336" s="1478" t="s">
        <v>823</v>
      </c>
      <c r="J336" s="1478" t="s">
        <v>1999</v>
      </c>
      <c r="K336" s="1475" t="s">
        <v>851</v>
      </c>
      <c r="L336" s="1474" t="s">
        <v>584</v>
      </c>
      <c r="M336" s="1476" t="s">
        <v>840</v>
      </c>
      <c r="N336" s="1477" t="s">
        <v>1700</v>
      </c>
      <c r="O336" s="1479">
        <v>124</v>
      </c>
      <c r="P336" s="1479"/>
      <c r="Q336" s="1142">
        <f t="shared" si="91"/>
        <v>124</v>
      </c>
      <c r="R336" s="1143">
        <f>IFERROR(VLOOKUP(CONCATENATE(E336,G336),'LAC 103'!$A$12:$O$95,11,FALSE),0)</f>
        <v>2.483156209074918</v>
      </c>
      <c r="S336" s="1144">
        <f>IFERROR(VLOOKUP(CONCATENATE($E336,$G336),'LAC 103'!$A$12:$O$95,12,FALSE),0)</f>
        <v>3.07</v>
      </c>
      <c r="T336" s="1144">
        <f>IFERROR(VLOOKUP(CONCATENATE($E336,$G336),'LAC 103'!$A$12:$O$95,13,FALSE),0)</f>
        <v>1.92</v>
      </c>
      <c r="U336" s="1144">
        <f>IFERROR(VLOOKUP(CONCATENATE($E336,$G336),'LAC 103'!$A$12:$O$95,14,FALSE),0)</f>
        <v>0</v>
      </c>
      <c r="V336" s="1144">
        <f>IFERROR(VLOOKUP(CONCATENATE($E336,$G336),'LAC 103'!$A$12:$O$95,15,FALSE),0)</f>
        <v>0</v>
      </c>
      <c r="W336" s="1145" t="str">
        <f>IFERROR(VLOOKUP(CONCATENATE($B336,$N336),'LAC 103'!$AI:$AQ,9,FALSE),"")</f>
        <v>P.C.</v>
      </c>
      <c r="X336" s="1146">
        <f t="shared" si="96"/>
        <v>1.92</v>
      </c>
      <c r="Y336" s="1143">
        <f t="shared" si="97"/>
        <v>307.91136992528982</v>
      </c>
      <c r="Z336" s="1147">
        <f t="shared" si="98"/>
        <v>380.68</v>
      </c>
      <c r="AA336" s="1144">
        <f t="shared" si="99"/>
        <v>238.07999999999998</v>
      </c>
      <c r="AB336" s="1144">
        <f t="shared" si="100"/>
        <v>0</v>
      </c>
      <c r="AC336" s="1144">
        <f t="shared" si="101"/>
        <v>0</v>
      </c>
      <c r="AD336" s="1148">
        <f t="shared" si="92"/>
        <v>238.07999999999998</v>
      </c>
      <c r="AE336" s="1487">
        <v>0</v>
      </c>
      <c r="AF336" s="1145">
        <f t="shared" si="102"/>
        <v>238.07999999999998</v>
      </c>
      <c r="AG336" s="1149">
        <f>IFERROR(VLOOKUP(CONCATENATE($L336,$N336),'Drop List'!$G$23:$K$87,2,FALSE),0)</f>
        <v>0.55000000000000004</v>
      </c>
      <c r="AH336" s="1150">
        <f>IFERROR(VLOOKUP(CONCATENATE($L336,$N336),'Drop List'!$G$23:$K$87,3,FALSE),0)</f>
        <v>0</v>
      </c>
      <c r="AI336" s="1150">
        <f>IFERROR(VLOOKUP(CONCATENATE($L336,$N336),'Drop List'!$G$23:$K$87,4,FALSE),0)</f>
        <v>0</v>
      </c>
      <c r="AJ336" s="1151">
        <f>IFERROR(VLOOKUP(CONCATENATE($L336,$N336),'Drop List'!$G$23:$K$87,5,FALSE),0)</f>
        <v>0.44999999999999996</v>
      </c>
      <c r="AK336" s="1152">
        <f t="shared" si="103"/>
        <v>130.94399999999999</v>
      </c>
      <c r="AL336" s="1153">
        <f t="shared" si="104"/>
        <v>0</v>
      </c>
      <c r="AM336" s="1153">
        <f t="shared" si="105"/>
        <v>0</v>
      </c>
      <c r="AN336" s="1145">
        <f t="shared" si="106"/>
        <v>107.13599999999998</v>
      </c>
      <c r="AO336" s="1154">
        <f t="shared" si="107"/>
        <v>238.07999999999998</v>
      </c>
      <c r="AP336" s="1147">
        <f t="shared" si="93"/>
        <v>0</v>
      </c>
      <c r="AQ336" s="1144">
        <f t="shared" si="94"/>
        <v>0</v>
      </c>
      <c r="AR336" s="1146">
        <f t="shared" si="95"/>
        <v>238.07999999999998</v>
      </c>
    </row>
    <row r="337" spans="1:44" x14ac:dyDescent="0.2">
      <c r="A337" s="1141" t="str">
        <f t="shared" si="90"/>
        <v>1504</v>
      </c>
      <c r="B337" s="1141" t="str">
        <f>IFERROR(VLOOKUP(A337,'LAC 103'!A:C,3,FALSE),"")</f>
        <v>OP</v>
      </c>
      <c r="C337" s="1478" t="str">
        <f>Info!$B$8</f>
        <v>00100</v>
      </c>
      <c r="D337" s="1474" t="s">
        <v>256</v>
      </c>
      <c r="E337" s="1474" t="s">
        <v>95</v>
      </c>
      <c r="F337" s="1478" t="s">
        <v>588</v>
      </c>
      <c r="G337" s="1478" t="s">
        <v>588</v>
      </c>
      <c r="H337" s="1474" t="s">
        <v>983</v>
      </c>
      <c r="I337" s="1478" t="s">
        <v>823</v>
      </c>
      <c r="J337" s="1478" t="s">
        <v>1999</v>
      </c>
      <c r="K337" s="1475" t="s">
        <v>851</v>
      </c>
      <c r="L337" s="1474" t="s">
        <v>584</v>
      </c>
      <c r="M337" s="1476" t="s">
        <v>842</v>
      </c>
      <c r="N337" s="1477" t="s">
        <v>1692</v>
      </c>
      <c r="O337" s="1479">
        <v>73</v>
      </c>
      <c r="P337" s="1479"/>
      <c r="Q337" s="1142">
        <f t="shared" si="91"/>
        <v>73</v>
      </c>
      <c r="R337" s="1143">
        <f>IFERROR(VLOOKUP(CONCATENATE(E337,G337),'LAC 103'!$A$12:$O$95,11,FALSE),0)</f>
        <v>2.483156209074918</v>
      </c>
      <c r="S337" s="1144">
        <f>IFERROR(VLOOKUP(CONCATENATE($E337,$G337),'LAC 103'!$A$12:$O$95,12,FALSE),0)</f>
        <v>3.07</v>
      </c>
      <c r="T337" s="1144">
        <f>IFERROR(VLOOKUP(CONCATENATE($E337,$G337),'LAC 103'!$A$12:$O$95,13,FALSE),0)</f>
        <v>1.92</v>
      </c>
      <c r="U337" s="1144">
        <f>IFERROR(VLOOKUP(CONCATENATE($E337,$G337),'LAC 103'!$A$12:$O$95,14,FALSE),0)</f>
        <v>0</v>
      </c>
      <c r="V337" s="1144">
        <f>IFERROR(VLOOKUP(CONCATENATE($E337,$G337),'LAC 103'!$A$12:$O$95,15,FALSE),0)</f>
        <v>0</v>
      </c>
      <c r="W337" s="1145" t="str">
        <f>IFERROR(VLOOKUP(CONCATENATE($B337,$N337),'LAC 103'!$AI:$AQ,9,FALSE),"")</f>
        <v>Costs</v>
      </c>
      <c r="X337" s="1146">
        <f t="shared" si="96"/>
        <v>2.483156209074918</v>
      </c>
      <c r="Y337" s="1143">
        <f t="shared" si="97"/>
        <v>181.27040326246902</v>
      </c>
      <c r="Z337" s="1147">
        <f t="shared" si="98"/>
        <v>224.10999999999999</v>
      </c>
      <c r="AA337" s="1144">
        <f t="shared" si="99"/>
        <v>140.16</v>
      </c>
      <c r="AB337" s="1144">
        <f t="shared" si="100"/>
        <v>0</v>
      </c>
      <c r="AC337" s="1144">
        <f t="shared" si="101"/>
        <v>0</v>
      </c>
      <c r="AD337" s="1148">
        <f t="shared" si="92"/>
        <v>181.27040326246902</v>
      </c>
      <c r="AE337" s="1487">
        <v>0</v>
      </c>
      <c r="AF337" s="1145">
        <f t="shared" si="102"/>
        <v>181.27040326246902</v>
      </c>
      <c r="AG337" s="1149">
        <f>IFERROR(VLOOKUP(CONCATENATE($L337,$N337),'Drop List'!$G$23:$K$87,2,FALSE),0)</f>
        <v>0.56200000000000006</v>
      </c>
      <c r="AH337" s="1150">
        <f>IFERROR(VLOOKUP(CONCATENATE($L337,$N337),'Drop List'!$G$23:$K$87,3,FALSE),0)</f>
        <v>0</v>
      </c>
      <c r="AI337" s="1150">
        <f>IFERROR(VLOOKUP(CONCATENATE($L337,$N337),'Drop List'!$G$23:$K$87,4,FALSE),0)</f>
        <v>0</v>
      </c>
      <c r="AJ337" s="1151">
        <f>IFERROR(VLOOKUP(CONCATENATE($L337,$N337),'Drop List'!$G$23:$K$87,5,FALSE),0)</f>
        <v>0.43799999999999994</v>
      </c>
      <c r="AK337" s="1152">
        <f t="shared" si="103"/>
        <v>101.87396663350759</v>
      </c>
      <c r="AL337" s="1153">
        <f t="shared" si="104"/>
        <v>0</v>
      </c>
      <c r="AM337" s="1153">
        <f t="shared" si="105"/>
        <v>0</v>
      </c>
      <c r="AN337" s="1145">
        <f t="shared" si="106"/>
        <v>79.396436628961425</v>
      </c>
      <c r="AO337" s="1154">
        <f t="shared" si="107"/>
        <v>181.27040326246902</v>
      </c>
      <c r="AP337" s="1147">
        <f t="shared" si="93"/>
        <v>0</v>
      </c>
      <c r="AQ337" s="1144">
        <f t="shared" si="94"/>
        <v>0</v>
      </c>
      <c r="AR337" s="1146">
        <f t="shared" si="95"/>
        <v>181.27040326246902</v>
      </c>
    </row>
    <row r="338" spans="1:44" x14ac:dyDescent="0.2">
      <c r="A338" s="1141" t="str">
        <f t="shared" si="90"/>
        <v>1504</v>
      </c>
      <c r="B338" s="1141" t="str">
        <f>IFERROR(VLOOKUP(A338,'LAC 103'!A:C,3,FALSE),"")</f>
        <v>OP</v>
      </c>
      <c r="C338" s="1478" t="str">
        <f>Info!$B$8</f>
        <v>00100</v>
      </c>
      <c r="D338" s="1474" t="s">
        <v>256</v>
      </c>
      <c r="E338" s="1474" t="s">
        <v>95</v>
      </c>
      <c r="F338" s="1478" t="s">
        <v>588</v>
      </c>
      <c r="G338" s="1478" t="s">
        <v>588</v>
      </c>
      <c r="H338" s="1474" t="s">
        <v>983</v>
      </c>
      <c r="I338" s="1478" t="s">
        <v>823</v>
      </c>
      <c r="J338" s="1478" t="s">
        <v>2000</v>
      </c>
      <c r="K338" s="1475" t="s">
        <v>849</v>
      </c>
      <c r="L338" s="1474" t="s">
        <v>77</v>
      </c>
      <c r="M338" s="1476" t="s">
        <v>1699</v>
      </c>
      <c r="N338" s="1477" t="s">
        <v>1694</v>
      </c>
      <c r="O338" s="1479">
        <v>1648</v>
      </c>
      <c r="P338" s="1479"/>
      <c r="Q338" s="1142">
        <f t="shared" si="91"/>
        <v>1648</v>
      </c>
      <c r="R338" s="1143">
        <f>IFERROR(VLOOKUP(CONCATENATE(E338,G338),'LAC 103'!$A$12:$O$95,11,FALSE),0)</f>
        <v>2.483156209074918</v>
      </c>
      <c r="S338" s="1144">
        <f>IFERROR(VLOOKUP(CONCATENATE($E338,$G338),'LAC 103'!$A$12:$O$95,12,FALSE),0)</f>
        <v>3.07</v>
      </c>
      <c r="T338" s="1144">
        <f>IFERROR(VLOOKUP(CONCATENATE($E338,$G338),'LAC 103'!$A$12:$O$95,13,FALSE),0)</f>
        <v>1.92</v>
      </c>
      <c r="U338" s="1144">
        <f>IFERROR(VLOOKUP(CONCATENATE($E338,$G338),'LAC 103'!$A$12:$O$95,14,FALSE),0)</f>
        <v>0</v>
      </c>
      <c r="V338" s="1144">
        <f>IFERROR(VLOOKUP(CONCATENATE($E338,$G338),'LAC 103'!$A$12:$O$95,15,FALSE),0)</f>
        <v>0</v>
      </c>
      <c r="W338" s="1145" t="str">
        <f>IFERROR(VLOOKUP(CONCATENATE($B338,$N338),'LAC 103'!$AI:$AQ,9,FALSE),"")</f>
        <v>Costs</v>
      </c>
      <c r="X338" s="1146">
        <f t="shared" si="96"/>
        <v>2.483156209074918</v>
      </c>
      <c r="Y338" s="1143">
        <f t="shared" si="97"/>
        <v>4092.2414325554646</v>
      </c>
      <c r="Z338" s="1147">
        <f t="shared" si="98"/>
        <v>5059.3599999999997</v>
      </c>
      <c r="AA338" s="1144">
        <f t="shared" si="99"/>
        <v>3164.16</v>
      </c>
      <c r="AB338" s="1144">
        <f t="shared" si="100"/>
        <v>0</v>
      </c>
      <c r="AC338" s="1144">
        <f t="shared" si="101"/>
        <v>0</v>
      </c>
      <c r="AD338" s="1148">
        <f t="shared" si="92"/>
        <v>4092.2414325554646</v>
      </c>
      <c r="AE338" s="1487">
        <v>0</v>
      </c>
      <c r="AF338" s="1145">
        <f t="shared" si="102"/>
        <v>4092.2414325554646</v>
      </c>
      <c r="AG338" s="1149">
        <f>IFERROR(VLOOKUP(CONCATENATE($L338,$N338),'Drop List'!$G$23:$K$87,2,FALSE),0)</f>
        <v>0.9</v>
      </c>
      <c r="AH338" s="1150">
        <f>IFERROR(VLOOKUP(CONCATENATE($L338,$N338),'Drop List'!$G$23:$K$87,3,FALSE),0)</f>
        <v>0</v>
      </c>
      <c r="AI338" s="1150">
        <f>IFERROR(VLOOKUP(CONCATENATE($L338,$N338),'Drop List'!$G$23:$K$87,4,FALSE),0)</f>
        <v>0.1</v>
      </c>
      <c r="AJ338" s="1151">
        <f>IFERROR(VLOOKUP(CONCATENATE($L338,$N338),'Drop List'!$G$23:$K$87,5,FALSE),0)</f>
        <v>0</v>
      </c>
      <c r="AK338" s="1152">
        <f t="shared" si="103"/>
        <v>3683.017289299918</v>
      </c>
      <c r="AL338" s="1153">
        <f t="shared" si="104"/>
        <v>0</v>
      </c>
      <c r="AM338" s="1153">
        <f t="shared" si="105"/>
        <v>409.22414325554649</v>
      </c>
      <c r="AN338" s="1145">
        <f t="shared" si="106"/>
        <v>0</v>
      </c>
      <c r="AO338" s="1154">
        <f t="shared" si="107"/>
        <v>4092.2414325554646</v>
      </c>
      <c r="AP338" s="1147">
        <f t="shared" si="93"/>
        <v>0</v>
      </c>
      <c r="AQ338" s="1144">
        <f t="shared" si="94"/>
        <v>0</v>
      </c>
      <c r="AR338" s="1146">
        <f t="shared" si="95"/>
        <v>4092.2414325554646</v>
      </c>
    </row>
    <row r="339" spans="1:44" x14ac:dyDescent="0.2">
      <c r="A339" s="1141" t="str">
        <f t="shared" si="90"/>
        <v>1504</v>
      </c>
      <c r="B339" s="1141" t="str">
        <f>IFERROR(VLOOKUP(A339,'LAC 103'!A:C,3,FALSE),"")</f>
        <v>OP</v>
      </c>
      <c r="C339" s="1478" t="str">
        <f>Info!$B$8</f>
        <v>00100</v>
      </c>
      <c r="D339" s="1474" t="s">
        <v>256</v>
      </c>
      <c r="E339" s="1474" t="s">
        <v>95</v>
      </c>
      <c r="F339" s="1478" t="s">
        <v>588</v>
      </c>
      <c r="G339" s="1478" t="s">
        <v>588</v>
      </c>
      <c r="H339" s="1474" t="s">
        <v>983</v>
      </c>
      <c r="I339" s="1478" t="s">
        <v>823</v>
      </c>
      <c r="J339" s="1478" t="s">
        <v>2000</v>
      </c>
      <c r="K339" s="1475" t="s">
        <v>849</v>
      </c>
      <c r="L339" s="1474" t="s">
        <v>77</v>
      </c>
      <c r="M339" s="1476" t="s">
        <v>841</v>
      </c>
      <c r="N339" s="1477" t="s">
        <v>1695</v>
      </c>
      <c r="O339" s="1479">
        <v>786</v>
      </c>
      <c r="P339" s="1479"/>
      <c r="Q339" s="1142">
        <f t="shared" si="91"/>
        <v>786</v>
      </c>
      <c r="R339" s="1143">
        <f>IFERROR(VLOOKUP(CONCATENATE(E339,G339),'LAC 103'!$A$12:$O$95,11,FALSE),0)</f>
        <v>2.483156209074918</v>
      </c>
      <c r="S339" s="1144">
        <f>IFERROR(VLOOKUP(CONCATENATE($E339,$G339),'LAC 103'!$A$12:$O$95,12,FALSE),0)</f>
        <v>3.07</v>
      </c>
      <c r="T339" s="1144">
        <f>IFERROR(VLOOKUP(CONCATENATE($E339,$G339),'LAC 103'!$A$12:$O$95,13,FALSE),0)</f>
        <v>1.92</v>
      </c>
      <c r="U339" s="1144">
        <f>IFERROR(VLOOKUP(CONCATENATE($E339,$G339),'LAC 103'!$A$12:$O$95,14,FALSE),0)</f>
        <v>0</v>
      </c>
      <c r="V339" s="1144">
        <f>IFERROR(VLOOKUP(CONCATENATE($E339,$G339),'LAC 103'!$A$12:$O$95,15,FALSE),0)</f>
        <v>0</v>
      </c>
      <c r="W339" s="1145" t="str">
        <f>IFERROR(VLOOKUP(CONCATENATE($B339,$N339),'LAC 103'!$AI:$AQ,9,FALSE),"")</f>
        <v>Costs</v>
      </c>
      <c r="X339" s="1146">
        <f t="shared" si="96"/>
        <v>2.483156209074918</v>
      </c>
      <c r="Y339" s="1143">
        <f t="shared" si="97"/>
        <v>1951.7607803328856</v>
      </c>
      <c r="Z339" s="1147">
        <f t="shared" si="98"/>
        <v>2413.02</v>
      </c>
      <c r="AA339" s="1144">
        <f t="shared" si="99"/>
        <v>1509.12</v>
      </c>
      <c r="AB339" s="1144">
        <f t="shared" si="100"/>
        <v>0</v>
      </c>
      <c r="AC339" s="1144">
        <f t="shared" si="101"/>
        <v>0</v>
      </c>
      <c r="AD339" s="1148">
        <f t="shared" si="92"/>
        <v>1951.7607803328856</v>
      </c>
      <c r="AE339" s="1487">
        <v>0</v>
      </c>
      <c r="AF339" s="1145">
        <f t="shared" si="102"/>
        <v>1951.7607803328856</v>
      </c>
      <c r="AG339" s="1149">
        <f>IFERROR(VLOOKUP(CONCATENATE($L339,$N339),'Drop List'!$G$23:$K$87,2,FALSE),0)</f>
        <v>0.9</v>
      </c>
      <c r="AH339" s="1150">
        <f>IFERROR(VLOOKUP(CONCATENATE($L339,$N339),'Drop List'!$G$23:$K$87,3,FALSE),0)</f>
        <v>0</v>
      </c>
      <c r="AI339" s="1150">
        <f>IFERROR(VLOOKUP(CONCATENATE($L339,$N339),'Drop List'!$G$23:$K$87,4,FALSE),0)</f>
        <v>0.1</v>
      </c>
      <c r="AJ339" s="1151">
        <f>IFERROR(VLOOKUP(CONCATENATE($L339,$N339),'Drop List'!$G$23:$K$87,5,FALSE),0)</f>
        <v>0</v>
      </c>
      <c r="AK339" s="1152">
        <f t="shared" si="103"/>
        <v>1756.584702299597</v>
      </c>
      <c r="AL339" s="1153">
        <f t="shared" si="104"/>
        <v>0</v>
      </c>
      <c r="AM339" s="1153">
        <f t="shared" si="105"/>
        <v>195.17607803328858</v>
      </c>
      <c r="AN339" s="1145">
        <f t="shared" si="106"/>
        <v>0</v>
      </c>
      <c r="AO339" s="1154">
        <f t="shared" si="107"/>
        <v>1951.7607803328856</v>
      </c>
      <c r="AP339" s="1147">
        <f t="shared" si="93"/>
        <v>0</v>
      </c>
      <c r="AQ339" s="1144">
        <f t="shared" si="94"/>
        <v>0</v>
      </c>
      <c r="AR339" s="1146">
        <f t="shared" si="95"/>
        <v>1951.7607803328856</v>
      </c>
    </row>
    <row r="340" spans="1:44" x14ac:dyDescent="0.2">
      <c r="A340" s="1141" t="str">
        <f t="shared" si="90"/>
        <v>1504</v>
      </c>
      <c r="B340" s="1141" t="str">
        <f>IFERROR(VLOOKUP(A340,'LAC 103'!A:C,3,FALSE),"")</f>
        <v>OP</v>
      </c>
      <c r="C340" s="1478" t="str">
        <f>Info!$B$8</f>
        <v>00100</v>
      </c>
      <c r="D340" s="1474" t="s">
        <v>256</v>
      </c>
      <c r="E340" s="1474" t="s">
        <v>95</v>
      </c>
      <c r="F340" s="1478" t="s">
        <v>588</v>
      </c>
      <c r="G340" s="1478" t="s">
        <v>588</v>
      </c>
      <c r="H340" s="1474" t="s">
        <v>983</v>
      </c>
      <c r="I340" s="1478" t="s">
        <v>823</v>
      </c>
      <c r="J340" s="1478" t="s">
        <v>2000</v>
      </c>
      <c r="K340" s="1475" t="s">
        <v>849</v>
      </c>
      <c r="L340" s="1474" t="s">
        <v>77</v>
      </c>
      <c r="M340" s="1476" t="s">
        <v>840</v>
      </c>
      <c r="N340" s="1477" t="s">
        <v>1700</v>
      </c>
      <c r="O340" s="1479">
        <v>461</v>
      </c>
      <c r="P340" s="1479"/>
      <c r="Q340" s="1142">
        <f t="shared" si="91"/>
        <v>461</v>
      </c>
      <c r="R340" s="1143">
        <f>IFERROR(VLOOKUP(CONCATENATE(E340,G340),'LAC 103'!$A$12:$O$95,11,FALSE),0)</f>
        <v>2.483156209074918</v>
      </c>
      <c r="S340" s="1144">
        <f>IFERROR(VLOOKUP(CONCATENATE($E340,$G340),'LAC 103'!$A$12:$O$95,12,FALSE),0)</f>
        <v>3.07</v>
      </c>
      <c r="T340" s="1144">
        <f>IFERROR(VLOOKUP(CONCATENATE($E340,$G340),'LAC 103'!$A$12:$O$95,13,FALSE),0)</f>
        <v>1.92</v>
      </c>
      <c r="U340" s="1144">
        <f>IFERROR(VLOOKUP(CONCATENATE($E340,$G340),'LAC 103'!$A$12:$O$95,14,FALSE),0)</f>
        <v>0</v>
      </c>
      <c r="V340" s="1144">
        <f>IFERROR(VLOOKUP(CONCATENATE($E340,$G340),'LAC 103'!$A$12:$O$95,15,FALSE),0)</f>
        <v>0</v>
      </c>
      <c r="W340" s="1145" t="str">
        <f>IFERROR(VLOOKUP(CONCATENATE($B340,$N340),'LAC 103'!$AI:$AQ,9,FALSE),"")</f>
        <v>P.C.</v>
      </c>
      <c r="X340" s="1146">
        <f t="shared" si="96"/>
        <v>1.92</v>
      </c>
      <c r="Y340" s="1143">
        <f t="shared" si="97"/>
        <v>1144.7350123835372</v>
      </c>
      <c r="Z340" s="1147">
        <f t="shared" si="98"/>
        <v>1415.27</v>
      </c>
      <c r="AA340" s="1144">
        <f t="shared" si="99"/>
        <v>885.12</v>
      </c>
      <c r="AB340" s="1144">
        <f t="shared" si="100"/>
        <v>0</v>
      </c>
      <c r="AC340" s="1144">
        <f t="shared" si="101"/>
        <v>0</v>
      </c>
      <c r="AD340" s="1148">
        <f t="shared" si="92"/>
        <v>885.12</v>
      </c>
      <c r="AE340" s="1487">
        <v>0</v>
      </c>
      <c r="AF340" s="1145">
        <f t="shared" si="102"/>
        <v>885.12</v>
      </c>
      <c r="AG340" s="1149">
        <f>IFERROR(VLOOKUP(CONCATENATE($L340,$N340),'Drop List'!$G$23:$K$87,2,FALSE),0)</f>
        <v>0.9</v>
      </c>
      <c r="AH340" s="1150">
        <f>IFERROR(VLOOKUP(CONCATENATE($L340,$N340),'Drop List'!$G$23:$K$87,3,FALSE),0)</f>
        <v>0</v>
      </c>
      <c r="AI340" s="1150">
        <f>IFERROR(VLOOKUP(CONCATENATE($L340,$N340),'Drop List'!$G$23:$K$87,4,FALSE),0)</f>
        <v>0.1</v>
      </c>
      <c r="AJ340" s="1151">
        <f>IFERROR(VLOOKUP(CONCATENATE($L340,$N340),'Drop List'!$G$23:$K$87,5,FALSE),0)</f>
        <v>0</v>
      </c>
      <c r="AK340" s="1152">
        <f t="shared" si="103"/>
        <v>796.60800000000006</v>
      </c>
      <c r="AL340" s="1153">
        <f t="shared" si="104"/>
        <v>0</v>
      </c>
      <c r="AM340" s="1153">
        <f t="shared" si="105"/>
        <v>88.512</v>
      </c>
      <c r="AN340" s="1145">
        <f t="shared" si="106"/>
        <v>0</v>
      </c>
      <c r="AO340" s="1154">
        <f t="shared" si="107"/>
        <v>885.12000000000012</v>
      </c>
      <c r="AP340" s="1147">
        <f t="shared" si="93"/>
        <v>0</v>
      </c>
      <c r="AQ340" s="1144">
        <f t="shared" si="94"/>
        <v>0</v>
      </c>
      <c r="AR340" s="1146">
        <f t="shared" si="95"/>
        <v>885.12000000000012</v>
      </c>
    </row>
    <row r="341" spans="1:44" x14ac:dyDescent="0.2">
      <c r="A341" s="1141" t="str">
        <f t="shared" si="90"/>
        <v>1504</v>
      </c>
      <c r="B341" s="1141" t="str">
        <f>IFERROR(VLOOKUP(A341,'LAC 103'!A:C,3,FALSE),"")</f>
        <v>OP</v>
      </c>
      <c r="C341" s="1478" t="str">
        <f>Info!$B$8</f>
        <v>00100</v>
      </c>
      <c r="D341" s="1474" t="s">
        <v>256</v>
      </c>
      <c r="E341" s="1474" t="s">
        <v>95</v>
      </c>
      <c r="F341" s="1478" t="s">
        <v>588</v>
      </c>
      <c r="G341" s="1478" t="s">
        <v>588</v>
      </c>
      <c r="H341" s="1474" t="s">
        <v>983</v>
      </c>
      <c r="I341" s="1478" t="s">
        <v>823</v>
      </c>
      <c r="J341" s="1478" t="s">
        <v>2000</v>
      </c>
      <c r="K341" s="1475" t="s">
        <v>849</v>
      </c>
      <c r="L341" s="1474" t="s">
        <v>77</v>
      </c>
      <c r="M341" s="1476" t="s">
        <v>842</v>
      </c>
      <c r="N341" s="1477" t="s">
        <v>1692</v>
      </c>
      <c r="O341" s="1479">
        <v>660</v>
      </c>
      <c r="P341" s="1479"/>
      <c r="Q341" s="1142">
        <f t="shared" si="91"/>
        <v>660</v>
      </c>
      <c r="R341" s="1143">
        <f>IFERROR(VLOOKUP(CONCATENATE(E341,G341),'LAC 103'!$A$12:$O$95,11,FALSE),0)</f>
        <v>2.483156209074918</v>
      </c>
      <c r="S341" s="1144">
        <f>IFERROR(VLOOKUP(CONCATENATE($E341,$G341),'LAC 103'!$A$12:$O$95,12,FALSE),0)</f>
        <v>3.07</v>
      </c>
      <c r="T341" s="1144">
        <f>IFERROR(VLOOKUP(CONCATENATE($E341,$G341),'LAC 103'!$A$12:$O$95,13,FALSE),0)</f>
        <v>1.92</v>
      </c>
      <c r="U341" s="1144">
        <f>IFERROR(VLOOKUP(CONCATENATE($E341,$G341),'LAC 103'!$A$12:$O$95,14,FALSE),0)</f>
        <v>0</v>
      </c>
      <c r="V341" s="1144">
        <f>IFERROR(VLOOKUP(CONCATENATE($E341,$G341),'LAC 103'!$A$12:$O$95,15,FALSE),0)</f>
        <v>0</v>
      </c>
      <c r="W341" s="1145" t="str">
        <f>IFERROR(VLOOKUP(CONCATENATE($B341,$N341),'LAC 103'!$AI:$AQ,9,FALSE),"")</f>
        <v>Costs</v>
      </c>
      <c r="X341" s="1146">
        <f t="shared" si="96"/>
        <v>2.483156209074918</v>
      </c>
      <c r="Y341" s="1143">
        <f t="shared" si="97"/>
        <v>1638.8830979894458</v>
      </c>
      <c r="Z341" s="1147">
        <f t="shared" si="98"/>
        <v>2026.1999999999998</v>
      </c>
      <c r="AA341" s="1144">
        <f t="shared" si="99"/>
        <v>1267.2</v>
      </c>
      <c r="AB341" s="1144">
        <f t="shared" si="100"/>
        <v>0</v>
      </c>
      <c r="AC341" s="1144">
        <f t="shared" si="101"/>
        <v>0</v>
      </c>
      <c r="AD341" s="1148">
        <f t="shared" si="92"/>
        <v>1638.8830979894458</v>
      </c>
      <c r="AE341" s="1487">
        <v>0</v>
      </c>
      <c r="AF341" s="1145">
        <f t="shared" si="102"/>
        <v>1638.8830979894458</v>
      </c>
      <c r="AG341" s="1149">
        <f>IFERROR(VLOOKUP(CONCATENATE($L341,$N341),'Drop List'!$G$23:$K$87,2,FALSE),0)</f>
        <v>0.9</v>
      </c>
      <c r="AH341" s="1150">
        <f>IFERROR(VLOOKUP(CONCATENATE($L341,$N341),'Drop List'!$G$23:$K$87,3,FALSE),0)</f>
        <v>0</v>
      </c>
      <c r="AI341" s="1150">
        <f>IFERROR(VLOOKUP(CONCATENATE($L341,$N341),'Drop List'!$G$23:$K$87,4,FALSE),0)</f>
        <v>0.1</v>
      </c>
      <c r="AJ341" s="1151">
        <f>IFERROR(VLOOKUP(CONCATENATE($L341,$N341),'Drop List'!$G$23:$K$87,5,FALSE),0)</f>
        <v>0</v>
      </c>
      <c r="AK341" s="1152">
        <f t="shared" si="103"/>
        <v>1474.9947881905011</v>
      </c>
      <c r="AL341" s="1153">
        <f t="shared" si="104"/>
        <v>0</v>
      </c>
      <c r="AM341" s="1153">
        <f t="shared" si="105"/>
        <v>163.88830979894459</v>
      </c>
      <c r="AN341" s="1145">
        <f t="shared" si="106"/>
        <v>0</v>
      </c>
      <c r="AO341" s="1154">
        <f t="shared" si="107"/>
        <v>1638.8830979894458</v>
      </c>
      <c r="AP341" s="1147">
        <f t="shared" si="93"/>
        <v>0</v>
      </c>
      <c r="AQ341" s="1144">
        <f t="shared" si="94"/>
        <v>0</v>
      </c>
      <c r="AR341" s="1146">
        <f t="shared" si="95"/>
        <v>1638.8830979894458</v>
      </c>
    </row>
    <row r="342" spans="1:44" x14ac:dyDescent="0.2">
      <c r="A342" s="1141" t="str">
        <f t="shared" si="90"/>
        <v>1504</v>
      </c>
      <c r="B342" s="1141" t="str">
        <f>IFERROR(VLOOKUP(A342,'LAC 103'!A:C,3,FALSE),"")</f>
        <v>OP</v>
      </c>
      <c r="C342" s="1478" t="str">
        <f>Info!$B$8</f>
        <v>00100</v>
      </c>
      <c r="D342" s="1474" t="s">
        <v>256</v>
      </c>
      <c r="E342" s="1474" t="s">
        <v>95</v>
      </c>
      <c r="F342" s="1478" t="s">
        <v>588</v>
      </c>
      <c r="G342" s="1478" t="s">
        <v>588</v>
      </c>
      <c r="H342" s="1474" t="s">
        <v>983</v>
      </c>
      <c r="I342" s="1478" t="s">
        <v>823</v>
      </c>
      <c r="J342" s="1478" t="s">
        <v>2000</v>
      </c>
      <c r="K342" s="1475" t="s">
        <v>849</v>
      </c>
      <c r="L342" s="1474" t="s">
        <v>77</v>
      </c>
      <c r="M342" s="1476" t="s">
        <v>1698</v>
      </c>
      <c r="N342" s="1477" t="s">
        <v>1693</v>
      </c>
      <c r="O342" s="1479">
        <v>286</v>
      </c>
      <c r="P342" s="1479"/>
      <c r="Q342" s="1142">
        <f t="shared" si="91"/>
        <v>286</v>
      </c>
      <c r="R342" s="1143">
        <f>IFERROR(VLOOKUP(CONCATENATE(E342,G342),'LAC 103'!$A$12:$O$95,11,FALSE),0)</f>
        <v>2.483156209074918</v>
      </c>
      <c r="S342" s="1144">
        <f>IFERROR(VLOOKUP(CONCATENATE($E342,$G342),'LAC 103'!$A$12:$O$95,12,FALSE),0)</f>
        <v>3.07</v>
      </c>
      <c r="T342" s="1144">
        <f>IFERROR(VLOOKUP(CONCATENATE($E342,$G342),'LAC 103'!$A$12:$O$95,13,FALSE),0)</f>
        <v>1.92</v>
      </c>
      <c r="U342" s="1144">
        <f>IFERROR(VLOOKUP(CONCATENATE($E342,$G342),'LAC 103'!$A$12:$O$95,14,FALSE),0)</f>
        <v>0</v>
      </c>
      <c r="V342" s="1144">
        <f>IFERROR(VLOOKUP(CONCATENATE($E342,$G342),'LAC 103'!$A$12:$O$95,15,FALSE),0)</f>
        <v>0</v>
      </c>
      <c r="W342" s="1145" t="str">
        <f>IFERROR(VLOOKUP(CONCATENATE($B342,$N342),'LAC 103'!$AI:$AQ,9,FALSE),"")</f>
        <v>Costs</v>
      </c>
      <c r="X342" s="1146">
        <f t="shared" si="96"/>
        <v>2.483156209074918</v>
      </c>
      <c r="Y342" s="1143">
        <f t="shared" si="97"/>
        <v>710.18267579542658</v>
      </c>
      <c r="Z342" s="1147">
        <f t="shared" si="98"/>
        <v>878.02</v>
      </c>
      <c r="AA342" s="1144">
        <f t="shared" si="99"/>
        <v>549.12</v>
      </c>
      <c r="AB342" s="1144">
        <f t="shared" si="100"/>
        <v>0</v>
      </c>
      <c r="AC342" s="1144">
        <f t="shared" si="101"/>
        <v>0</v>
      </c>
      <c r="AD342" s="1148">
        <f t="shared" si="92"/>
        <v>710.18267579542658</v>
      </c>
      <c r="AE342" s="1487">
        <v>0</v>
      </c>
      <c r="AF342" s="1145">
        <f t="shared" si="102"/>
        <v>710.18267579542658</v>
      </c>
      <c r="AG342" s="1149">
        <f>IFERROR(VLOOKUP(CONCATENATE($L342,$N342),'Drop List'!$G$23:$K$87,2,FALSE),0)</f>
        <v>0.9</v>
      </c>
      <c r="AH342" s="1150">
        <f>IFERROR(VLOOKUP(CONCATENATE($L342,$N342),'Drop List'!$G$23:$K$87,3,FALSE),0)</f>
        <v>0</v>
      </c>
      <c r="AI342" s="1150">
        <f>IFERROR(VLOOKUP(CONCATENATE($L342,$N342),'Drop List'!$G$23:$K$87,4,FALSE),0)</f>
        <v>0.1</v>
      </c>
      <c r="AJ342" s="1151">
        <f>IFERROR(VLOOKUP(CONCATENATE($L342,$N342),'Drop List'!$G$23:$K$87,5,FALSE),0)</f>
        <v>0</v>
      </c>
      <c r="AK342" s="1152">
        <f t="shared" si="103"/>
        <v>639.1644082158839</v>
      </c>
      <c r="AL342" s="1153">
        <f t="shared" si="104"/>
        <v>0</v>
      </c>
      <c r="AM342" s="1153">
        <f t="shared" si="105"/>
        <v>71.018267579542666</v>
      </c>
      <c r="AN342" s="1145">
        <f t="shared" si="106"/>
        <v>0</v>
      </c>
      <c r="AO342" s="1154">
        <f t="shared" si="107"/>
        <v>710.18267579542658</v>
      </c>
      <c r="AP342" s="1147">
        <f t="shared" si="93"/>
        <v>0</v>
      </c>
      <c r="AQ342" s="1144">
        <f t="shared" si="94"/>
        <v>0</v>
      </c>
      <c r="AR342" s="1146">
        <f t="shared" si="95"/>
        <v>710.18267579542658</v>
      </c>
    </row>
    <row r="343" spans="1:44" x14ac:dyDescent="0.2">
      <c r="A343" s="1141" t="str">
        <f t="shared" si="90"/>
        <v>1504</v>
      </c>
      <c r="B343" s="1141" t="str">
        <f>IFERROR(VLOOKUP(A343,'LAC 103'!A:C,3,FALSE),"")</f>
        <v>OP</v>
      </c>
      <c r="C343" s="1478" t="str">
        <f>Info!$B$8</f>
        <v>00100</v>
      </c>
      <c r="D343" s="1474" t="s">
        <v>256</v>
      </c>
      <c r="E343" s="1474" t="s">
        <v>95</v>
      </c>
      <c r="F343" s="1478" t="s">
        <v>588</v>
      </c>
      <c r="G343" s="1478" t="s">
        <v>588</v>
      </c>
      <c r="H343" s="1474" t="s">
        <v>983</v>
      </c>
      <c r="I343" s="1478" t="s">
        <v>823</v>
      </c>
      <c r="J343" s="1478" t="s">
        <v>2000</v>
      </c>
      <c r="K343" s="1475" t="s">
        <v>971</v>
      </c>
      <c r="L343" s="1474" t="s">
        <v>332</v>
      </c>
      <c r="M343" s="1476" t="s">
        <v>1699</v>
      </c>
      <c r="N343" s="1477" t="s">
        <v>1694</v>
      </c>
      <c r="O343" s="1479">
        <v>241</v>
      </c>
      <c r="P343" s="1479"/>
      <c r="Q343" s="1142">
        <f t="shared" si="91"/>
        <v>241</v>
      </c>
      <c r="R343" s="1143">
        <f>IFERROR(VLOOKUP(CONCATENATE(E343,G343),'LAC 103'!$A$12:$O$95,11,FALSE),0)</f>
        <v>2.483156209074918</v>
      </c>
      <c r="S343" s="1144">
        <f>IFERROR(VLOOKUP(CONCATENATE($E343,$G343),'LAC 103'!$A$12:$O$95,12,FALSE),0)</f>
        <v>3.07</v>
      </c>
      <c r="T343" s="1144">
        <f>IFERROR(VLOOKUP(CONCATENATE($E343,$G343),'LAC 103'!$A$12:$O$95,13,FALSE),0)</f>
        <v>1.92</v>
      </c>
      <c r="U343" s="1144">
        <f>IFERROR(VLOOKUP(CONCATENATE($E343,$G343),'LAC 103'!$A$12:$O$95,14,FALSE),0)</f>
        <v>0</v>
      </c>
      <c r="V343" s="1144">
        <f>IFERROR(VLOOKUP(CONCATENATE($E343,$G343),'LAC 103'!$A$12:$O$95,15,FALSE),0)</f>
        <v>0</v>
      </c>
      <c r="W343" s="1145" t="str">
        <f>IFERROR(VLOOKUP(CONCATENATE($B343,$N343),'LAC 103'!$AI:$AQ,9,FALSE),"")</f>
        <v>Costs</v>
      </c>
      <c r="X343" s="1146">
        <f t="shared" si="96"/>
        <v>2.483156209074918</v>
      </c>
      <c r="Y343" s="1143">
        <f t="shared" si="97"/>
        <v>598.44064638705527</v>
      </c>
      <c r="Z343" s="1147">
        <f t="shared" si="98"/>
        <v>739.87</v>
      </c>
      <c r="AA343" s="1144">
        <f t="shared" si="99"/>
        <v>462.71999999999997</v>
      </c>
      <c r="AB343" s="1144">
        <f t="shared" si="100"/>
        <v>0</v>
      </c>
      <c r="AC343" s="1144">
        <f t="shared" si="101"/>
        <v>0</v>
      </c>
      <c r="AD343" s="1148">
        <f t="shared" si="92"/>
        <v>598.44064638705527</v>
      </c>
      <c r="AE343" s="1487">
        <v>0</v>
      </c>
      <c r="AF343" s="1145">
        <f t="shared" si="102"/>
        <v>598.44064638705527</v>
      </c>
      <c r="AG343" s="1149">
        <f>IFERROR(VLOOKUP(CONCATENATE($L343,$N343),'Drop List'!$G$23:$K$87,2,FALSE),0)</f>
        <v>0</v>
      </c>
      <c r="AH343" s="1150">
        <f>IFERROR(VLOOKUP(CONCATENATE($L343,$N343),'Drop List'!$G$23:$K$87,3,FALSE),0)</f>
        <v>0</v>
      </c>
      <c r="AI343" s="1150">
        <f>IFERROR(VLOOKUP(CONCATENATE($L343,$N343),'Drop List'!$G$23:$K$87,4,FALSE),0)</f>
        <v>0</v>
      </c>
      <c r="AJ343" s="1151">
        <f>IFERROR(VLOOKUP(CONCATENATE($L343,$N343),'Drop List'!$G$23:$K$87,5,FALSE),0)</f>
        <v>0</v>
      </c>
      <c r="AK343" s="1152">
        <f t="shared" si="103"/>
        <v>0</v>
      </c>
      <c r="AL343" s="1153">
        <f t="shared" si="104"/>
        <v>0</v>
      </c>
      <c r="AM343" s="1153">
        <f t="shared" si="105"/>
        <v>0</v>
      </c>
      <c r="AN343" s="1145">
        <f t="shared" si="106"/>
        <v>0</v>
      </c>
      <c r="AO343" s="1154">
        <f t="shared" si="107"/>
        <v>0</v>
      </c>
      <c r="AP343" s="1147">
        <f t="shared" si="93"/>
        <v>598.44064638705527</v>
      </c>
      <c r="AQ343" s="1144">
        <f t="shared" si="94"/>
        <v>0</v>
      </c>
      <c r="AR343" s="1146">
        <f t="shared" si="95"/>
        <v>598.44064638705527</v>
      </c>
    </row>
    <row r="344" spans="1:44" x14ac:dyDescent="0.2">
      <c r="A344" s="1141" t="str">
        <f t="shared" si="90"/>
        <v>1504</v>
      </c>
      <c r="B344" s="1141" t="str">
        <f>IFERROR(VLOOKUP(A344,'LAC 103'!A:C,3,FALSE),"")</f>
        <v>OP</v>
      </c>
      <c r="C344" s="1478" t="str">
        <f>Info!$B$8</f>
        <v>00100</v>
      </c>
      <c r="D344" s="1474" t="s">
        <v>256</v>
      </c>
      <c r="E344" s="1474" t="s">
        <v>95</v>
      </c>
      <c r="F344" s="1478" t="s">
        <v>588</v>
      </c>
      <c r="G344" s="1478" t="s">
        <v>588</v>
      </c>
      <c r="H344" s="1474" t="s">
        <v>983</v>
      </c>
      <c r="I344" s="1478" t="s">
        <v>823</v>
      </c>
      <c r="J344" s="1478" t="s">
        <v>2000</v>
      </c>
      <c r="K344" s="1475" t="s">
        <v>971</v>
      </c>
      <c r="L344" s="1474" t="s">
        <v>332</v>
      </c>
      <c r="M344" s="1476" t="s">
        <v>1698</v>
      </c>
      <c r="N344" s="1477" t="s">
        <v>1693</v>
      </c>
      <c r="O344" s="1479">
        <v>64</v>
      </c>
      <c r="P344" s="1479"/>
      <c r="Q344" s="1142">
        <f t="shared" si="91"/>
        <v>64</v>
      </c>
      <c r="R344" s="1143">
        <f>IFERROR(VLOOKUP(CONCATENATE(E344,G344),'LAC 103'!$A$12:$O$95,11,FALSE),0)</f>
        <v>2.483156209074918</v>
      </c>
      <c r="S344" s="1144">
        <f>IFERROR(VLOOKUP(CONCATENATE($E344,$G344),'LAC 103'!$A$12:$O$95,12,FALSE),0)</f>
        <v>3.07</v>
      </c>
      <c r="T344" s="1144">
        <f>IFERROR(VLOOKUP(CONCATENATE($E344,$G344),'LAC 103'!$A$12:$O$95,13,FALSE),0)</f>
        <v>1.92</v>
      </c>
      <c r="U344" s="1144">
        <f>IFERROR(VLOOKUP(CONCATENATE($E344,$G344),'LAC 103'!$A$12:$O$95,14,FALSE),0)</f>
        <v>0</v>
      </c>
      <c r="V344" s="1144">
        <f>IFERROR(VLOOKUP(CONCATENATE($E344,$G344),'LAC 103'!$A$12:$O$95,15,FALSE),0)</f>
        <v>0</v>
      </c>
      <c r="W344" s="1145" t="str">
        <f>IFERROR(VLOOKUP(CONCATENATE($B344,$N344),'LAC 103'!$AI:$AQ,9,FALSE),"")</f>
        <v>Costs</v>
      </c>
      <c r="X344" s="1146">
        <f t="shared" si="96"/>
        <v>2.483156209074918</v>
      </c>
      <c r="Y344" s="1143">
        <f t="shared" si="97"/>
        <v>158.92199738079475</v>
      </c>
      <c r="Z344" s="1147">
        <f t="shared" si="98"/>
        <v>196.48</v>
      </c>
      <c r="AA344" s="1144">
        <f t="shared" si="99"/>
        <v>122.88</v>
      </c>
      <c r="AB344" s="1144">
        <f t="shared" si="100"/>
        <v>0</v>
      </c>
      <c r="AC344" s="1144">
        <f t="shared" si="101"/>
        <v>0</v>
      </c>
      <c r="AD344" s="1148">
        <f t="shared" si="92"/>
        <v>158.92199738079475</v>
      </c>
      <c r="AE344" s="1487">
        <v>0</v>
      </c>
      <c r="AF344" s="1145">
        <f t="shared" si="102"/>
        <v>158.92199738079475</v>
      </c>
      <c r="AG344" s="1149">
        <f>IFERROR(VLOOKUP(CONCATENATE($L344,$N344),'Drop List'!$G$23:$K$87,2,FALSE),0)</f>
        <v>0</v>
      </c>
      <c r="AH344" s="1150">
        <f>IFERROR(VLOOKUP(CONCATENATE($L344,$N344),'Drop List'!$G$23:$K$87,3,FALSE),0)</f>
        <v>0</v>
      </c>
      <c r="AI344" s="1150">
        <f>IFERROR(VLOOKUP(CONCATENATE($L344,$N344),'Drop List'!$G$23:$K$87,4,FALSE),0)</f>
        <v>0</v>
      </c>
      <c r="AJ344" s="1151">
        <f>IFERROR(VLOOKUP(CONCATENATE($L344,$N344),'Drop List'!$G$23:$K$87,5,FALSE),0)</f>
        <v>0</v>
      </c>
      <c r="AK344" s="1152">
        <f t="shared" si="103"/>
        <v>0</v>
      </c>
      <c r="AL344" s="1153">
        <f t="shared" si="104"/>
        <v>0</v>
      </c>
      <c r="AM344" s="1153">
        <f t="shared" si="105"/>
        <v>0</v>
      </c>
      <c r="AN344" s="1145">
        <f t="shared" si="106"/>
        <v>0</v>
      </c>
      <c r="AO344" s="1154">
        <f t="shared" si="107"/>
        <v>0</v>
      </c>
      <c r="AP344" s="1147">
        <f t="shared" si="93"/>
        <v>158.92199738079475</v>
      </c>
      <c r="AQ344" s="1144">
        <f t="shared" si="94"/>
        <v>0</v>
      </c>
      <c r="AR344" s="1146">
        <f t="shared" si="95"/>
        <v>158.92199738079475</v>
      </c>
    </row>
    <row r="345" spans="1:44" x14ac:dyDescent="0.2">
      <c r="A345" s="1141" t="str">
        <f t="shared" si="90"/>
        <v>1504</v>
      </c>
      <c r="B345" s="1141" t="str">
        <f>IFERROR(VLOOKUP(A345,'LAC 103'!A:C,3,FALSE),"")</f>
        <v>OP</v>
      </c>
      <c r="C345" s="1478" t="str">
        <f>Info!$B$8</f>
        <v>00100</v>
      </c>
      <c r="D345" s="1474" t="s">
        <v>256</v>
      </c>
      <c r="E345" s="1474" t="s">
        <v>95</v>
      </c>
      <c r="F345" s="1478" t="s">
        <v>588</v>
      </c>
      <c r="G345" s="1478" t="s">
        <v>588</v>
      </c>
      <c r="H345" s="1474" t="s">
        <v>983</v>
      </c>
      <c r="I345" s="1478" t="s">
        <v>823</v>
      </c>
      <c r="J345" s="1478" t="s">
        <v>2000</v>
      </c>
      <c r="K345" s="1475" t="s">
        <v>850</v>
      </c>
      <c r="L345" s="1474" t="s">
        <v>330</v>
      </c>
      <c r="M345" s="1476" t="s">
        <v>1699</v>
      </c>
      <c r="N345" s="1477" t="s">
        <v>1694</v>
      </c>
      <c r="O345" s="1479">
        <v>151</v>
      </c>
      <c r="P345" s="1479"/>
      <c r="Q345" s="1142">
        <f t="shared" si="91"/>
        <v>151</v>
      </c>
      <c r="R345" s="1143">
        <f>IFERROR(VLOOKUP(CONCATENATE(E345,G345),'LAC 103'!$A$12:$O$95,11,FALSE),0)</f>
        <v>2.483156209074918</v>
      </c>
      <c r="S345" s="1144">
        <f>IFERROR(VLOOKUP(CONCATENATE($E345,$G345),'LAC 103'!$A$12:$O$95,12,FALSE),0)</f>
        <v>3.07</v>
      </c>
      <c r="T345" s="1144">
        <f>IFERROR(VLOOKUP(CONCATENATE($E345,$G345),'LAC 103'!$A$12:$O$95,13,FALSE),0)</f>
        <v>1.92</v>
      </c>
      <c r="U345" s="1144">
        <f>IFERROR(VLOOKUP(CONCATENATE($E345,$G345),'LAC 103'!$A$12:$O$95,14,FALSE),0)</f>
        <v>0</v>
      </c>
      <c r="V345" s="1144">
        <f>IFERROR(VLOOKUP(CONCATENATE($E345,$G345),'LAC 103'!$A$12:$O$95,15,FALSE),0)</f>
        <v>0</v>
      </c>
      <c r="W345" s="1145" t="str">
        <f>IFERROR(VLOOKUP(CONCATENATE($B345,$N345),'LAC 103'!$AI:$AQ,9,FALSE),"")</f>
        <v>Costs</v>
      </c>
      <c r="X345" s="1146">
        <f t="shared" si="96"/>
        <v>2.483156209074918</v>
      </c>
      <c r="Y345" s="1143">
        <f t="shared" si="97"/>
        <v>374.95658757031259</v>
      </c>
      <c r="Z345" s="1147">
        <f t="shared" si="98"/>
        <v>463.57</v>
      </c>
      <c r="AA345" s="1144">
        <f t="shared" si="99"/>
        <v>289.92</v>
      </c>
      <c r="AB345" s="1144">
        <f t="shared" si="100"/>
        <v>0</v>
      </c>
      <c r="AC345" s="1144">
        <f t="shared" si="101"/>
        <v>0</v>
      </c>
      <c r="AD345" s="1148">
        <f t="shared" si="92"/>
        <v>374.95658757031259</v>
      </c>
      <c r="AE345" s="1487">
        <v>0</v>
      </c>
      <c r="AF345" s="1145">
        <f t="shared" si="102"/>
        <v>374.95658757031259</v>
      </c>
      <c r="AG345" s="1149">
        <f>IFERROR(VLOOKUP(CONCATENATE($L345,$N345),'Drop List'!$G$23:$K$87,2,FALSE),0)</f>
        <v>0</v>
      </c>
      <c r="AH345" s="1150">
        <f>IFERROR(VLOOKUP(CONCATENATE($L345,$N345),'Drop List'!$G$23:$K$87,3,FALSE),0)</f>
        <v>0</v>
      </c>
      <c r="AI345" s="1150">
        <f>IFERROR(VLOOKUP(CONCATENATE($L345,$N345),'Drop List'!$G$23:$K$87,4,FALSE),0)</f>
        <v>1</v>
      </c>
      <c r="AJ345" s="1151">
        <f>IFERROR(VLOOKUP(CONCATENATE($L345,$N345),'Drop List'!$G$23:$K$87,5,FALSE),0)</f>
        <v>0</v>
      </c>
      <c r="AK345" s="1152">
        <f t="shared" si="103"/>
        <v>0</v>
      </c>
      <c r="AL345" s="1153">
        <f t="shared" si="104"/>
        <v>0</v>
      </c>
      <c r="AM345" s="1153">
        <f t="shared" si="105"/>
        <v>374.95658757031259</v>
      </c>
      <c r="AN345" s="1145">
        <f t="shared" si="106"/>
        <v>0</v>
      </c>
      <c r="AO345" s="1154">
        <f t="shared" si="107"/>
        <v>374.95658757031259</v>
      </c>
      <c r="AP345" s="1147">
        <f t="shared" si="93"/>
        <v>0</v>
      </c>
      <c r="AQ345" s="1144">
        <f t="shared" si="94"/>
        <v>0</v>
      </c>
      <c r="AR345" s="1146">
        <f t="shared" si="95"/>
        <v>374.95658757031259</v>
      </c>
    </row>
    <row r="346" spans="1:44" x14ac:dyDescent="0.2">
      <c r="A346" s="1141" t="str">
        <f t="shared" si="90"/>
        <v>1504</v>
      </c>
      <c r="B346" s="1141" t="str">
        <f>IFERROR(VLOOKUP(A346,'LAC 103'!A:C,3,FALSE),"")</f>
        <v>OP</v>
      </c>
      <c r="C346" s="1478" t="str">
        <f>Info!$B$8</f>
        <v>00100</v>
      </c>
      <c r="D346" s="1474" t="s">
        <v>256</v>
      </c>
      <c r="E346" s="1474" t="s">
        <v>95</v>
      </c>
      <c r="F346" s="1478" t="s">
        <v>588</v>
      </c>
      <c r="G346" s="1478" t="s">
        <v>588</v>
      </c>
      <c r="H346" s="1474" t="s">
        <v>983</v>
      </c>
      <c r="I346" s="1478" t="s">
        <v>823</v>
      </c>
      <c r="J346" s="1478" t="s">
        <v>2000</v>
      </c>
      <c r="K346" s="1475" t="s">
        <v>850</v>
      </c>
      <c r="L346" s="1474" t="s">
        <v>330</v>
      </c>
      <c r="M346" s="1476" t="s">
        <v>842</v>
      </c>
      <c r="N346" s="1477" t="s">
        <v>1692</v>
      </c>
      <c r="O346" s="1479">
        <v>278</v>
      </c>
      <c r="P346" s="1479"/>
      <c r="Q346" s="1142">
        <f t="shared" si="91"/>
        <v>278</v>
      </c>
      <c r="R346" s="1143">
        <f>IFERROR(VLOOKUP(CONCATENATE(E346,G346),'LAC 103'!$A$12:$O$95,11,FALSE),0)</f>
        <v>2.483156209074918</v>
      </c>
      <c r="S346" s="1144">
        <f>IFERROR(VLOOKUP(CONCATENATE($E346,$G346),'LAC 103'!$A$12:$O$95,12,FALSE),0)</f>
        <v>3.07</v>
      </c>
      <c r="T346" s="1144">
        <f>IFERROR(VLOOKUP(CONCATENATE($E346,$G346),'LAC 103'!$A$12:$O$95,13,FALSE),0)</f>
        <v>1.92</v>
      </c>
      <c r="U346" s="1144">
        <f>IFERROR(VLOOKUP(CONCATENATE($E346,$G346),'LAC 103'!$A$12:$O$95,14,FALSE),0)</f>
        <v>0</v>
      </c>
      <c r="V346" s="1144">
        <f>IFERROR(VLOOKUP(CONCATENATE($E346,$G346),'LAC 103'!$A$12:$O$95,15,FALSE),0)</f>
        <v>0</v>
      </c>
      <c r="W346" s="1145" t="str">
        <f>IFERROR(VLOOKUP(CONCATENATE($B346,$N346),'LAC 103'!$AI:$AQ,9,FALSE),"")</f>
        <v>Costs</v>
      </c>
      <c r="X346" s="1146">
        <f t="shared" si="96"/>
        <v>2.483156209074918</v>
      </c>
      <c r="Y346" s="1143">
        <f t="shared" si="97"/>
        <v>690.31742612282721</v>
      </c>
      <c r="Z346" s="1147">
        <f t="shared" si="98"/>
        <v>853.45999999999992</v>
      </c>
      <c r="AA346" s="1144">
        <f t="shared" si="99"/>
        <v>533.76</v>
      </c>
      <c r="AB346" s="1144">
        <f t="shared" si="100"/>
        <v>0</v>
      </c>
      <c r="AC346" s="1144">
        <f t="shared" si="101"/>
        <v>0</v>
      </c>
      <c r="AD346" s="1148">
        <f t="shared" si="92"/>
        <v>690.31742612282721</v>
      </c>
      <c r="AE346" s="1487">
        <v>0</v>
      </c>
      <c r="AF346" s="1145">
        <f t="shared" si="102"/>
        <v>690.31742612282721</v>
      </c>
      <c r="AG346" s="1149">
        <f>IFERROR(VLOOKUP(CONCATENATE($L346,$N346),'Drop List'!$G$23:$K$87,2,FALSE),0)</f>
        <v>0</v>
      </c>
      <c r="AH346" s="1150">
        <f>IFERROR(VLOOKUP(CONCATENATE($L346,$N346),'Drop List'!$G$23:$K$87,3,FALSE),0)</f>
        <v>0</v>
      </c>
      <c r="AI346" s="1150">
        <f>IFERROR(VLOOKUP(CONCATENATE($L346,$N346),'Drop List'!$G$23:$K$87,4,FALSE),0)</f>
        <v>1</v>
      </c>
      <c r="AJ346" s="1151">
        <f>IFERROR(VLOOKUP(CONCATENATE($L346,$N346),'Drop List'!$G$23:$K$87,5,FALSE),0)</f>
        <v>0</v>
      </c>
      <c r="AK346" s="1152">
        <f t="shared" si="103"/>
        <v>0</v>
      </c>
      <c r="AL346" s="1153">
        <f t="shared" si="104"/>
        <v>0</v>
      </c>
      <c r="AM346" s="1153">
        <f t="shared" si="105"/>
        <v>690.31742612282721</v>
      </c>
      <c r="AN346" s="1145">
        <f t="shared" si="106"/>
        <v>0</v>
      </c>
      <c r="AO346" s="1154">
        <f t="shared" si="107"/>
        <v>690.31742612282721</v>
      </c>
      <c r="AP346" s="1147">
        <f t="shared" si="93"/>
        <v>0</v>
      </c>
      <c r="AQ346" s="1144">
        <f t="shared" si="94"/>
        <v>0</v>
      </c>
      <c r="AR346" s="1146">
        <f t="shared" si="95"/>
        <v>690.31742612282721</v>
      </c>
    </row>
    <row r="347" spans="1:44" x14ac:dyDescent="0.2">
      <c r="A347" s="1141" t="str">
        <f t="shared" si="90"/>
        <v>1504</v>
      </c>
      <c r="B347" s="1141" t="str">
        <f>IFERROR(VLOOKUP(A347,'LAC 103'!A:C,3,FALSE),"")</f>
        <v>OP</v>
      </c>
      <c r="C347" s="1478" t="str">
        <f>Info!$B$8</f>
        <v>00100</v>
      </c>
      <c r="D347" s="1474" t="s">
        <v>256</v>
      </c>
      <c r="E347" s="1474" t="s">
        <v>95</v>
      </c>
      <c r="F347" s="1478" t="s">
        <v>588</v>
      </c>
      <c r="G347" s="1478" t="s">
        <v>588</v>
      </c>
      <c r="H347" s="1474" t="s">
        <v>983</v>
      </c>
      <c r="I347" s="1478" t="s">
        <v>823</v>
      </c>
      <c r="J347" s="1478" t="s">
        <v>2000</v>
      </c>
      <c r="K347" s="1475" t="s">
        <v>850</v>
      </c>
      <c r="L347" s="1474" t="s">
        <v>330</v>
      </c>
      <c r="M347" s="1476" t="s">
        <v>1698</v>
      </c>
      <c r="N347" s="1477" t="s">
        <v>1693</v>
      </c>
      <c r="O347" s="1479">
        <v>439</v>
      </c>
      <c r="P347" s="1479"/>
      <c r="Q347" s="1142">
        <f t="shared" si="91"/>
        <v>439</v>
      </c>
      <c r="R347" s="1143">
        <f>IFERROR(VLOOKUP(CONCATENATE(E347,G347),'LAC 103'!$A$12:$O$95,11,FALSE),0)</f>
        <v>2.483156209074918</v>
      </c>
      <c r="S347" s="1144">
        <f>IFERROR(VLOOKUP(CONCATENATE($E347,$G347),'LAC 103'!$A$12:$O$95,12,FALSE),0)</f>
        <v>3.07</v>
      </c>
      <c r="T347" s="1144">
        <f>IFERROR(VLOOKUP(CONCATENATE($E347,$G347),'LAC 103'!$A$12:$O$95,13,FALSE),0)</f>
        <v>1.92</v>
      </c>
      <c r="U347" s="1144">
        <f>IFERROR(VLOOKUP(CONCATENATE($E347,$G347),'LAC 103'!$A$12:$O$95,14,FALSE),0)</f>
        <v>0</v>
      </c>
      <c r="V347" s="1144">
        <f>IFERROR(VLOOKUP(CONCATENATE($E347,$G347),'LAC 103'!$A$12:$O$95,15,FALSE),0)</f>
        <v>0</v>
      </c>
      <c r="W347" s="1145" t="str">
        <f>IFERROR(VLOOKUP(CONCATENATE($B347,$N347),'LAC 103'!$AI:$AQ,9,FALSE),"")</f>
        <v>Costs</v>
      </c>
      <c r="X347" s="1146">
        <f t="shared" si="96"/>
        <v>2.483156209074918</v>
      </c>
      <c r="Y347" s="1143">
        <f t="shared" si="97"/>
        <v>1090.105575783889</v>
      </c>
      <c r="Z347" s="1147">
        <f t="shared" si="98"/>
        <v>1347.73</v>
      </c>
      <c r="AA347" s="1144">
        <f t="shared" si="99"/>
        <v>842.88</v>
      </c>
      <c r="AB347" s="1144">
        <f t="shared" si="100"/>
        <v>0</v>
      </c>
      <c r="AC347" s="1144">
        <f t="shared" si="101"/>
        <v>0</v>
      </c>
      <c r="AD347" s="1148">
        <f t="shared" si="92"/>
        <v>1090.105575783889</v>
      </c>
      <c r="AE347" s="1487">
        <v>0</v>
      </c>
      <c r="AF347" s="1145">
        <f t="shared" si="102"/>
        <v>1090.105575783889</v>
      </c>
      <c r="AG347" s="1149">
        <f>IFERROR(VLOOKUP(CONCATENATE($L347,$N347),'Drop List'!$G$23:$K$87,2,FALSE),0)</f>
        <v>0</v>
      </c>
      <c r="AH347" s="1150">
        <f>IFERROR(VLOOKUP(CONCATENATE($L347,$N347),'Drop List'!$G$23:$K$87,3,FALSE),0)</f>
        <v>0</v>
      </c>
      <c r="AI347" s="1150">
        <f>IFERROR(VLOOKUP(CONCATENATE($L347,$N347),'Drop List'!$G$23:$K$87,4,FALSE),0)</f>
        <v>1</v>
      </c>
      <c r="AJ347" s="1151">
        <f>IFERROR(VLOOKUP(CONCATENATE($L347,$N347),'Drop List'!$G$23:$K$87,5,FALSE),0)</f>
        <v>0</v>
      </c>
      <c r="AK347" s="1152">
        <f t="shared" si="103"/>
        <v>0</v>
      </c>
      <c r="AL347" s="1153">
        <f t="shared" si="104"/>
        <v>0</v>
      </c>
      <c r="AM347" s="1153">
        <f t="shared" si="105"/>
        <v>1090.105575783889</v>
      </c>
      <c r="AN347" s="1145">
        <f t="shared" si="106"/>
        <v>0</v>
      </c>
      <c r="AO347" s="1154">
        <f t="shared" si="107"/>
        <v>1090.105575783889</v>
      </c>
      <c r="AP347" s="1147">
        <f t="shared" si="93"/>
        <v>0</v>
      </c>
      <c r="AQ347" s="1144">
        <f t="shared" si="94"/>
        <v>0</v>
      </c>
      <c r="AR347" s="1146">
        <f t="shared" si="95"/>
        <v>1090.105575783889</v>
      </c>
    </row>
    <row r="348" spans="1:44" x14ac:dyDescent="0.2">
      <c r="A348" s="1141" t="str">
        <f t="shared" si="90"/>
        <v>1504</v>
      </c>
      <c r="B348" s="1141" t="str">
        <f>IFERROR(VLOOKUP(A348,'LAC 103'!A:C,3,FALSE),"")</f>
        <v>OP</v>
      </c>
      <c r="C348" s="1478" t="str">
        <f>Info!$B$8</f>
        <v>00100</v>
      </c>
      <c r="D348" s="1474" t="s">
        <v>256</v>
      </c>
      <c r="E348" s="1474" t="s">
        <v>95</v>
      </c>
      <c r="F348" s="1478" t="s">
        <v>588</v>
      </c>
      <c r="G348" s="1478" t="s">
        <v>588</v>
      </c>
      <c r="H348" s="1474" t="s">
        <v>983</v>
      </c>
      <c r="I348" s="1478" t="s">
        <v>823</v>
      </c>
      <c r="J348" s="1478" t="s">
        <v>2000</v>
      </c>
      <c r="K348" s="1475" t="s">
        <v>851</v>
      </c>
      <c r="L348" s="1474" t="s">
        <v>584</v>
      </c>
      <c r="M348" s="1476" t="s">
        <v>1699</v>
      </c>
      <c r="N348" s="1477" t="s">
        <v>1694</v>
      </c>
      <c r="O348" s="1479">
        <v>270</v>
      </c>
      <c r="P348" s="1479"/>
      <c r="Q348" s="1142">
        <f t="shared" si="91"/>
        <v>270</v>
      </c>
      <c r="R348" s="1143">
        <f>IFERROR(VLOOKUP(CONCATENATE(E348,G348),'LAC 103'!$A$12:$O$95,11,FALSE),0)</f>
        <v>2.483156209074918</v>
      </c>
      <c r="S348" s="1144">
        <f>IFERROR(VLOOKUP(CONCATENATE($E348,$G348),'LAC 103'!$A$12:$O$95,12,FALSE),0)</f>
        <v>3.07</v>
      </c>
      <c r="T348" s="1144">
        <f>IFERROR(VLOOKUP(CONCATENATE($E348,$G348),'LAC 103'!$A$12:$O$95,13,FALSE),0)</f>
        <v>1.92</v>
      </c>
      <c r="U348" s="1144">
        <f>IFERROR(VLOOKUP(CONCATENATE($E348,$G348),'LAC 103'!$A$12:$O$95,14,FALSE),0)</f>
        <v>0</v>
      </c>
      <c r="V348" s="1144">
        <f>IFERROR(VLOOKUP(CONCATENATE($E348,$G348),'LAC 103'!$A$12:$O$95,15,FALSE),0)</f>
        <v>0</v>
      </c>
      <c r="W348" s="1145" t="str">
        <f>IFERROR(VLOOKUP(CONCATENATE($B348,$N348),'LAC 103'!$AI:$AQ,9,FALSE),"")</f>
        <v>Costs</v>
      </c>
      <c r="X348" s="1146">
        <f t="shared" si="96"/>
        <v>2.483156209074918</v>
      </c>
      <c r="Y348" s="1143">
        <f t="shared" si="97"/>
        <v>670.45217645022785</v>
      </c>
      <c r="Z348" s="1147">
        <f t="shared" si="98"/>
        <v>828.9</v>
      </c>
      <c r="AA348" s="1144">
        <f t="shared" si="99"/>
        <v>518.4</v>
      </c>
      <c r="AB348" s="1144">
        <f t="shared" si="100"/>
        <v>0</v>
      </c>
      <c r="AC348" s="1144">
        <f t="shared" si="101"/>
        <v>0</v>
      </c>
      <c r="AD348" s="1148">
        <f t="shared" si="92"/>
        <v>670.45217645022785</v>
      </c>
      <c r="AE348" s="1487">
        <v>0</v>
      </c>
      <c r="AF348" s="1145">
        <f t="shared" si="102"/>
        <v>670.45217645022785</v>
      </c>
      <c r="AG348" s="1149">
        <f>IFERROR(VLOOKUP(CONCATENATE($L348,$N348),'Drop List'!$G$23:$K$87,2,FALSE),0)</f>
        <v>0.56200000000000006</v>
      </c>
      <c r="AH348" s="1150">
        <f>IFERROR(VLOOKUP(CONCATENATE($L348,$N348),'Drop List'!$G$23:$K$87,3,FALSE),0)</f>
        <v>0</v>
      </c>
      <c r="AI348" s="1150">
        <f>IFERROR(VLOOKUP(CONCATENATE($L348,$N348),'Drop List'!$G$23:$K$87,4,FALSE),0)</f>
        <v>0</v>
      </c>
      <c r="AJ348" s="1151">
        <f>IFERROR(VLOOKUP(CONCATENATE($L348,$N348),'Drop List'!$G$23:$K$87,5,FALSE),0)</f>
        <v>0.43799999999999994</v>
      </c>
      <c r="AK348" s="1152">
        <f t="shared" si="103"/>
        <v>376.79412316502811</v>
      </c>
      <c r="AL348" s="1153">
        <f t="shared" si="104"/>
        <v>0</v>
      </c>
      <c r="AM348" s="1153">
        <f t="shared" si="105"/>
        <v>0</v>
      </c>
      <c r="AN348" s="1145">
        <f t="shared" si="106"/>
        <v>293.65805328519974</v>
      </c>
      <c r="AO348" s="1154">
        <f t="shared" si="107"/>
        <v>670.45217645022785</v>
      </c>
      <c r="AP348" s="1147">
        <f t="shared" si="93"/>
        <v>0</v>
      </c>
      <c r="AQ348" s="1144">
        <f t="shared" si="94"/>
        <v>0</v>
      </c>
      <c r="AR348" s="1146">
        <f t="shared" si="95"/>
        <v>670.45217645022785</v>
      </c>
    </row>
    <row r="349" spans="1:44" x14ac:dyDescent="0.2">
      <c r="A349" s="1141" t="str">
        <f t="shared" si="90"/>
        <v>1504</v>
      </c>
      <c r="B349" s="1141" t="str">
        <f>IFERROR(VLOOKUP(A349,'LAC 103'!A:C,3,FALSE),"")</f>
        <v>OP</v>
      </c>
      <c r="C349" s="1478" t="str">
        <f>Info!$B$8</f>
        <v>00100</v>
      </c>
      <c r="D349" s="1474" t="s">
        <v>256</v>
      </c>
      <c r="E349" s="1474" t="s">
        <v>95</v>
      </c>
      <c r="F349" s="1478" t="s">
        <v>588</v>
      </c>
      <c r="G349" s="1478" t="s">
        <v>588</v>
      </c>
      <c r="H349" s="1474" t="s">
        <v>983</v>
      </c>
      <c r="I349" s="1478" t="s">
        <v>823</v>
      </c>
      <c r="J349" s="1478" t="s">
        <v>2000</v>
      </c>
      <c r="K349" s="1475" t="s">
        <v>851</v>
      </c>
      <c r="L349" s="1474" t="s">
        <v>584</v>
      </c>
      <c r="M349" s="1476" t="s">
        <v>841</v>
      </c>
      <c r="N349" s="1477" t="s">
        <v>1695</v>
      </c>
      <c r="O349" s="1479">
        <v>360</v>
      </c>
      <c r="P349" s="1479"/>
      <c r="Q349" s="1142">
        <f t="shared" si="91"/>
        <v>360</v>
      </c>
      <c r="R349" s="1143">
        <f>IFERROR(VLOOKUP(CONCATENATE(E349,G349),'LAC 103'!$A$12:$O$95,11,FALSE),0)</f>
        <v>2.483156209074918</v>
      </c>
      <c r="S349" s="1144">
        <f>IFERROR(VLOOKUP(CONCATENATE($E349,$G349),'LAC 103'!$A$12:$O$95,12,FALSE),0)</f>
        <v>3.07</v>
      </c>
      <c r="T349" s="1144">
        <f>IFERROR(VLOOKUP(CONCATENATE($E349,$G349),'LAC 103'!$A$12:$O$95,13,FALSE),0)</f>
        <v>1.92</v>
      </c>
      <c r="U349" s="1144">
        <f>IFERROR(VLOOKUP(CONCATENATE($E349,$G349),'LAC 103'!$A$12:$O$95,14,FALSE),0)</f>
        <v>0</v>
      </c>
      <c r="V349" s="1144">
        <f>IFERROR(VLOOKUP(CONCATENATE($E349,$G349),'LAC 103'!$A$12:$O$95,15,FALSE),0)</f>
        <v>0</v>
      </c>
      <c r="W349" s="1145" t="str">
        <f>IFERROR(VLOOKUP(CONCATENATE($B349,$N349),'LAC 103'!$AI:$AQ,9,FALSE),"")</f>
        <v>Costs</v>
      </c>
      <c r="X349" s="1146">
        <f t="shared" si="96"/>
        <v>2.483156209074918</v>
      </c>
      <c r="Y349" s="1143">
        <f t="shared" si="97"/>
        <v>893.93623526697047</v>
      </c>
      <c r="Z349" s="1147">
        <f t="shared" si="98"/>
        <v>1105.2</v>
      </c>
      <c r="AA349" s="1144">
        <f t="shared" si="99"/>
        <v>691.19999999999993</v>
      </c>
      <c r="AB349" s="1144">
        <f t="shared" si="100"/>
        <v>0</v>
      </c>
      <c r="AC349" s="1144">
        <f t="shared" si="101"/>
        <v>0</v>
      </c>
      <c r="AD349" s="1148">
        <f t="shared" si="92"/>
        <v>893.93623526697047</v>
      </c>
      <c r="AE349" s="1487">
        <v>0</v>
      </c>
      <c r="AF349" s="1145">
        <f t="shared" si="102"/>
        <v>893.93623526697047</v>
      </c>
      <c r="AG349" s="1149">
        <f>IFERROR(VLOOKUP(CONCATENATE($L349,$N349),'Drop List'!$G$23:$K$87,2,FALSE),0)</f>
        <v>0.55000000000000004</v>
      </c>
      <c r="AH349" s="1150">
        <f>IFERROR(VLOOKUP(CONCATENATE($L349,$N349),'Drop List'!$G$23:$K$87,3,FALSE),0)</f>
        <v>0</v>
      </c>
      <c r="AI349" s="1150">
        <f>IFERROR(VLOOKUP(CONCATENATE($L349,$N349),'Drop List'!$G$23:$K$87,4,FALSE),0)</f>
        <v>0</v>
      </c>
      <c r="AJ349" s="1151">
        <f>IFERROR(VLOOKUP(CONCATENATE($L349,$N349),'Drop List'!$G$23:$K$87,5,FALSE),0)</f>
        <v>0.44999999999999996</v>
      </c>
      <c r="AK349" s="1152">
        <f t="shared" si="103"/>
        <v>491.66492939683377</v>
      </c>
      <c r="AL349" s="1153">
        <f t="shared" si="104"/>
        <v>0</v>
      </c>
      <c r="AM349" s="1153">
        <f t="shared" si="105"/>
        <v>0</v>
      </c>
      <c r="AN349" s="1145">
        <f t="shared" si="106"/>
        <v>402.2713058701367</v>
      </c>
      <c r="AO349" s="1154">
        <f t="shared" si="107"/>
        <v>893.93623526697047</v>
      </c>
      <c r="AP349" s="1147">
        <f t="shared" si="93"/>
        <v>0</v>
      </c>
      <c r="AQ349" s="1144">
        <f t="shared" si="94"/>
        <v>0</v>
      </c>
      <c r="AR349" s="1146">
        <f t="shared" si="95"/>
        <v>893.93623526697047</v>
      </c>
    </row>
    <row r="350" spans="1:44" x14ac:dyDescent="0.2">
      <c r="A350" s="1141" t="str">
        <f t="shared" si="90"/>
        <v>1504</v>
      </c>
      <c r="B350" s="1141" t="str">
        <f>IFERROR(VLOOKUP(A350,'LAC 103'!A:C,3,FALSE),"")</f>
        <v>OP</v>
      </c>
      <c r="C350" s="1478" t="str">
        <f>Info!$B$8</f>
        <v>00100</v>
      </c>
      <c r="D350" s="1474" t="s">
        <v>256</v>
      </c>
      <c r="E350" s="1474" t="s">
        <v>95</v>
      </c>
      <c r="F350" s="1478" t="s">
        <v>588</v>
      </c>
      <c r="G350" s="1478" t="s">
        <v>588</v>
      </c>
      <c r="H350" s="1474" t="s">
        <v>983</v>
      </c>
      <c r="I350" s="1478" t="s">
        <v>823</v>
      </c>
      <c r="J350" s="1478" t="s">
        <v>2000</v>
      </c>
      <c r="K350" s="1475" t="s">
        <v>851</v>
      </c>
      <c r="L350" s="1474" t="s">
        <v>584</v>
      </c>
      <c r="M350" s="1476" t="s">
        <v>840</v>
      </c>
      <c r="N350" s="1477" t="s">
        <v>1700</v>
      </c>
      <c r="O350" s="1479">
        <v>109</v>
      </c>
      <c r="P350" s="1479"/>
      <c r="Q350" s="1142">
        <f t="shared" si="91"/>
        <v>109</v>
      </c>
      <c r="R350" s="1143">
        <f>IFERROR(VLOOKUP(CONCATENATE(E350,G350),'LAC 103'!$A$12:$O$95,11,FALSE),0)</f>
        <v>2.483156209074918</v>
      </c>
      <c r="S350" s="1144">
        <f>IFERROR(VLOOKUP(CONCATENATE($E350,$G350),'LAC 103'!$A$12:$O$95,12,FALSE),0)</f>
        <v>3.07</v>
      </c>
      <c r="T350" s="1144">
        <f>IFERROR(VLOOKUP(CONCATENATE($E350,$G350),'LAC 103'!$A$12:$O$95,13,FALSE),0)</f>
        <v>1.92</v>
      </c>
      <c r="U350" s="1144">
        <f>IFERROR(VLOOKUP(CONCATENATE($E350,$G350),'LAC 103'!$A$12:$O$95,14,FALSE),0)</f>
        <v>0</v>
      </c>
      <c r="V350" s="1144">
        <f>IFERROR(VLOOKUP(CONCATENATE($E350,$G350),'LAC 103'!$A$12:$O$95,15,FALSE),0)</f>
        <v>0</v>
      </c>
      <c r="W350" s="1145" t="str">
        <f>IFERROR(VLOOKUP(CONCATENATE($B350,$N350),'LAC 103'!$AI:$AQ,9,FALSE),"")</f>
        <v>P.C.</v>
      </c>
      <c r="X350" s="1146">
        <f t="shared" si="96"/>
        <v>1.92</v>
      </c>
      <c r="Y350" s="1143">
        <f t="shared" si="97"/>
        <v>270.66402678916603</v>
      </c>
      <c r="Z350" s="1147">
        <f t="shared" si="98"/>
        <v>334.63</v>
      </c>
      <c r="AA350" s="1144">
        <f t="shared" si="99"/>
        <v>209.28</v>
      </c>
      <c r="AB350" s="1144">
        <f t="shared" si="100"/>
        <v>0</v>
      </c>
      <c r="AC350" s="1144">
        <f t="shared" si="101"/>
        <v>0</v>
      </c>
      <c r="AD350" s="1148">
        <f t="shared" si="92"/>
        <v>209.28</v>
      </c>
      <c r="AE350" s="1487">
        <v>0</v>
      </c>
      <c r="AF350" s="1145">
        <f t="shared" si="102"/>
        <v>209.28</v>
      </c>
      <c r="AG350" s="1149">
        <f>IFERROR(VLOOKUP(CONCATENATE($L350,$N350),'Drop List'!$G$23:$K$87,2,FALSE),0)</f>
        <v>0.55000000000000004</v>
      </c>
      <c r="AH350" s="1150">
        <f>IFERROR(VLOOKUP(CONCATENATE($L350,$N350),'Drop List'!$G$23:$K$87,3,FALSE),0)</f>
        <v>0</v>
      </c>
      <c r="AI350" s="1150">
        <f>IFERROR(VLOOKUP(CONCATENATE($L350,$N350),'Drop List'!$G$23:$K$87,4,FALSE),0)</f>
        <v>0</v>
      </c>
      <c r="AJ350" s="1151">
        <f>IFERROR(VLOOKUP(CONCATENATE($L350,$N350),'Drop List'!$G$23:$K$87,5,FALSE),0)</f>
        <v>0.44999999999999996</v>
      </c>
      <c r="AK350" s="1152">
        <f t="shared" si="103"/>
        <v>115.10400000000001</v>
      </c>
      <c r="AL350" s="1153">
        <f t="shared" si="104"/>
        <v>0</v>
      </c>
      <c r="AM350" s="1153">
        <f t="shared" si="105"/>
        <v>0</v>
      </c>
      <c r="AN350" s="1145">
        <f t="shared" si="106"/>
        <v>94.175999999999988</v>
      </c>
      <c r="AO350" s="1154">
        <f t="shared" si="107"/>
        <v>209.28</v>
      </c>
      <c r="AP350" s="1147">
        <f t="shared" si="93"/>
        <v>0</v>
      </c>
      <c r="AQ350" s="1144">
        <f t="shared" si="94"/>
        <v>0</v>
      </c>
      <c r="AR350" s="1146">
        <f t="shared" si="95"/>
        <v>209.28</v>
      </c>
    </row>
    <row r="351" spans="1:44" x14ac:dyDescent="0.2">
      <c r="A351" s="1141" t="str">
        <f t="shared" si="90"/>
        <v>1504</v>
      </c>
      <c r="B351" s="1141" t="str">
        <f>IFERROR(VLOOKUP(A351,'LAC 103'!A:C,3,FALSE),"")</f>
        <v>OP</v>
      </c>
      <c r="C351" s="1478" t="str">
        <f>Info!$B$8</f>
        <v>00100</v>
      </c>
      <c r="D351" s="1474" t="s">
        <v>256</v>
      </c>
      <c r="E351" s="1474" t="s">
        <v>95</v>
      </c>
      <c r="F351" s="1478" t="s">
        <v>588</v>
      </c>
      <c r="G351" s="1478" t="s">
        <v>588</v>
      </c>
      <c r="H351" s="1474" t="s">
        <v>983</v>
      </c>
      <c r="I351" s="1478" t="s">
        <v>823</v>
      </c>
      <c r="J351" s="1478" t="s">
        <v>2000</v>
      </c>
      <c r="K351" s="1475" t="s">
        <v>851</v>
      </c>
      <c r="L351" s="1474" t="s">
        <v>584</v>
      </c>
      <c r="M351" s="1476" t="s">
        <v>842</v>
      </c>
      <c r="N351" s="1477" t="s">
        <v>1692</v>
      </c>
      <c r="O351" s="1479">
        <v>813</v>
      </c>
      <c r="P351" s="1479"/>
      <c r="Q351" s="1142">
        <f t="shared" si="91"/>
        <v>813</v>
      </c>
      <c r="R351" s="1143">
        <f>IFERROR(VLOOKUP(CONCATENATE(E351,G351),'LAC 103'!$A$12:$O$95,11,FALSE),0)</f>
        <v>2.483156209074918</v>
      </c>
      <c r="S351" s="1144">
        <f>IFERROR(VLOOKUP(CONCATENATE($E351,$G351),'LAC 103'!$A$12:$O$95,12,FALSE),0)</f>
        <v>3.07</v>
      </c>
      <c r="T351" s="1144">
        <f>IFERROR(VLOOKUP(CONCATENATE($E351,$G351),'LAC 103'!$A$12:$O$95,13,FALSE),0)</f>
        <v>1.92</v>
      </c>
      <c r="U351" s="1144">
        <f>IFERROR(VLOOKUP(CONCATENATE($E351,$G351),'LAC 103'!$A$12:$O$95,14,FALSE),0)</f>
        <v>0</v>
      </c>
      <c r="V351" s="1144">
        <f>IFERROR(VLOOKUP(CONCATENATE($E351,$G351),'LAC 103'!$A$12:$O$95,15,FALSE),0)</f>
        <v>0</v>
      </c>
      <c r="W351" s="1145" t="str">
        <f>IFERROR(VLOOKUP(CONCATENATE($B351,$N351),'LAC 103'!$AI:$AQ,9,FALSE),"")</f>
        <v>Costs</v>
      </c>
      <c r="X351" s="1146">
        <f t="shared" si="96"/>
        <v>2.483156209074918</v>
      </c>
      <c r="Y351" s="1143">
        <f t="shared" si="97"/>
        <v>2018.8059979779082</v>
      </c>
      <c r="Z351" s="1147">
        <f t="shared" si="98"/>
        <v>2495.91</v>
      </c>
      <c r="AA351" s="1144">
        <f t="shared" si="99"/>
        <v>1560.96</v>
      </c>
      <c r="AB351" s="1144">
        <f t="shared" si="100"/>
        <v>0</v>
      </c>
      <c r="AC351" s="1144">
        <f t="shared" si="101"/>
        <v>0</v>
      </c>
      <c r="AD351" s="1148">
        <f t="shared" si="92"/>
        <v>2018.8059979779082</v>
      </c>
      <c r="AE351" s="1487">
        <v>0</v>
      </c>
      <c r="AF351" s="1145">
        <f t="shared" si="102"/>
        <v>2018.8059979779082</v>
      </c>
      <c r="AG351" s="1149">
        <f>IFERROR(VLOOKUP(CONCATENATE($L351,$N351),'Drop List'!$G$23:$K$87,2,FALSE),0)</f>
        <v>0.56200000000000006</v>
      </c>
      <c r="AH351" s="1150">
        <f>IFERROR(VLOOKUP(CONCATENATE($L351,$N351),'Drop List'!$G$23:$K$87,3,FALSE),0)</f>
        <v>0</v>
      </c>
      <c r="AI351" s="1150">
        <f>IFERROR(VLOOKUP(CONCATENATE($L351,$N351),'Drop List'!$G$23:$K$87,4,FALSE),0)</f>
        <v>0</v>
      </c>
      <c r="AJ351" s="1151">
        <f>IFERROR(VLOOKUP(CONCATENATE($L351,$N351),'Drop List'!$G$23:$K$87,5,FALSE),0)</f>
        <v>0.43799999999999994</v>
      </c>
      <c r="AK351" s="1152">
        <f t="shared" si="103"/>
        <v>1134.5689708635846</v>
      </c>
      <c r="AL351" s="1153">
        <f t="shared" si="104"/>
        <v>0</v>
      </c>
      <c r="AM351" s="1153">
        <f t="shared" si="105"/>
        <v>0</v>
      </c>
      <c r="AN351" s="1145">
        <f t="shared" si="106"/>
        <v>884.23702711432372</v>
      </c>
      <c r="AO351" s="1154">
        <f t="shared" si="107"/>
        <v>2018.8059979779082</v>
      </c>
      <c r="AP351" s="1147">
        <f t="shared" si="93"/>
        <v>0</v>
      </c>
      <c r="AQ351" s="1144">
        <f t="shared" si="94"/>
        <v>0</v>
      </c>
      <c r="AR351" s="1146">
        <f t="shared" si="95"/>
        <v>2018.8059979779082</v>
      </c>
    </row>
    <row r="352" spans="1:44" x14ac:dyDescent="0.2">
      <c r="A352" s="1141" t="str">
        <f t="shared" si="90"/>
        <v>1504</v>
      </c>
      <c r="B352" s="1141" t="str">
        <f>IFERROR(VLOOKUP(A352,'LAC 103'!A:C,3,FALSE),"")</f>
        <v>OP</v>
      </c>
      <c r="C352" s="1478" t="str">
        <f>Info!$B$8</f>
        <v>00100</v>
      </c>
      <c r="D352" s="1474" t="s">
        <v>256</v>
      </c>
      <c r="E352" s="1474" t="s">
        <v>95</v>
      </c>
      <c r="F352" s="1478" t="s">
        <v>588</v>
      </c>
      <c r="G352" s="1478" t="s">
        <v>588</v>
      </c>
      <c r="H352" s="1474" t="s">
        <v>983</v>
      </c>
      <c r="I352" s="1478" t="s">
        <v>823</v>
      </c>
      <c r="J352" s="1478" t="s">
        <v>2000</v>
      </c>
      <c r="K352" s="1475" t="s">
        <v>851</v>
      </c>
      <c r="L352" s="1474" t="s">
        <v>584</v>
      </c>
      <c r="M352" s="1476" t="s">
        <v>1698</v>
      </c>
      <c r="N352" s="1477" t="s">
        <v>1693</v>
      </c>
      <c r="O352" s="1479">
        <v>240</v>
      </c>
      <c r="P352" s="1479"/>
      <c r="Q352" s="1142">
        <f t="shared" si="91"/>
        <v>240</v>
      </c>
      <c r="R352" s="1143">
        <f>IFERROR(VLOOKUP(CONCATENATE(E352,G352),'LAC 103'!$A$12:$O$95,11,FALSE),0)</f>
        <v>2.483156209074918</v>
      </c>
      <c r="S352" s="1144">
        <f>IFERROR(VLOOKUP(CONCATENATE($E352,$G352),'LAC 103'!$A$12:$O$95,12,FALSE),0)</f>
        <v>3.07</v>
      </c>
      <c r="T352" s="1144">
        <f>IFERROR(VLOOKUP(CONCATENATE($E352,$G352),'LAC 103'!$A$12:$O$95,13,FALSE),0)</f>
        <v>1.92</v>
      </c>
      <c r="U352" s="1144">
        <f>IFERROR(VLOOKUP(CONCATENATE($E352,$G352),'LAC 103'!$A$12:$O$95,14,FALSE),0)</f>
        <v>0</v>
      </c>
      <c r="V352" s="1144">
        <f>IFERROR(VLOOKUP(CONCATENATE($E352,$G352),'LAC 103'!$A$12:$O$95,15,FALSE),0)</f>
        <v>0</v>
      </c>
      <c r="W352" s="1145" t="str">
        <f>IFERROR(VLOOKUP(CONCATENATE($B352,$N352),'LAC 103'!$AI:$AQ,9,FALSE),"")</f>
        <v>Costs</v>
      </c>
      <c r="X352" s="1146">
        <f t="shared" si="96"/>
        <v>2.483156209074918</v>
      </c>
      <c r="Y352" s="1143">
        <f t="shared" si="97"/>
        <v>595.95749017798028</v>
      </c>
      <c r="Z352" s="1147">
        <f t="shared" si="98"/>
        <v>736.8</v>
      </c>
      <c r="AA352" s="1144">
        <f t="shared" si="99"/>
        <v>460.79999999999995</v>
      </c>
      <c r="AB352" s="1144">
        <f t="shared" si="100"/>
        <v>0</v>
      </c>
      <c r="AC352" s="1144">
        <f t="shared" si="101"/>
        <v>0</v>
      </c>
      <c r="AD352" s="1148">
        <f t="shared" si="92"/>
        <v>595.95749017798028</v>
      </c>
      <c r="AE352" s="1487">
        <v>0</v>
      </c>
      <c r="AF352" s="1145">
        <f t="shared" si="102"/>
        <v>595.95749017798028</v>
      </c>
      <c r="AG352" s="1149">
        <f>IFERROR(VLOOKUP(CONCATENATE($L352,$N352),'Drop List'!$G$23:$K$87,2,FALSE),0)</f>
        <v>0.56200000000000006</v>
      </c>
      <c r="AH352" s="1150">
        <f>IFERROR(VLOOKUP(CONCATENATE($L352,$N352),'Drop List'!$G$23:$K$87,3,FALSE),0)</f>
        <v>0</v>
      </c>
      <c r="AI352" s="1150">
        <f>IFERROR(VLOOKUP(CONCATENATE($L352,$N352),'Drop List'!$G$23:$K$87,4,FALSE),0)</f>
        <v>0</v>
      </c>
      <c r="AJ352" s="1151">
        <f>IFERROR(VLOOKUP(CONCATENATE($L352,$N352),'Drop List'!$G$23:$K$87,5,FALSE),0)</f>
        <v>0.43799999999999994</v>
      </c>
      <c r="AK352" s="1152">
        <f t="shared" si="103"/>
        <v>334.92810948002494</v>
      </c>
      <c r="AL352" s="1153">
        <f t="shared" si="104"/>
        <v>0</v>
      </c>
      <c r="AM352" s="1153">
        <f t="shared" si="105"/>
        <v>0</v>
      </c>
      <c r="AN352" s="1145">
        <f t="shared" si="106"/>
        <v>261.02938069795533</v>
      </c>
      <c r="AO352" s="1154">
        <f t="shared" si="107"/>
        <v>595.95749017798028</v>
      </c>
      <c r="AP352" s="1147">
        <f t="shared" si="93"/>
        <v>0</v>
      </c>
      <c r="AQ352" s="1144">
        <f t="shared" si="94"/>
        <v>0</v>
      </c>
      <c r="AR352" s="1146">
        <f t="shared" si="95"/>
        <v>595.95749017798028</v>
      </c>
    </row>
    <row r="353" spans="1:44" x14ac:dyDescent="0.2">
      <c r="A353" s="1141" t="str">
        <f t="shared" si="90"/>
        <v>1504</v>
      </c>
      <c r="B353" s="1141" t="str">
        <f>IFERROR(VLOOKUP(A353,'LAC 103'!A:C,3,FALSE),"")</f>
        <v>OP</v>
      </c>
      <c r="C353" s="1478" t="str">
        <f>Info!$B$8</f>
        <v>00100</v>
      </c>
      <c r="D353" s="1474" t="s">
        <v>256</v>
      </c>
      <c r="E353" s="1474" t="s">
        <v>95</v>
      </c>
      <c r="F353" s="1478" t="s">
        <v>588</v>
      </c>
      <c r="G353" s="1478" t="s">
        <v>588</v>
      </c>
      <c r="H353" s="1474" t="s">
        <v>983</v>
      </c>
      <c r="I353" s="1478" t="s">
        <v>823</v>
      </c>
      <c r="J353" s="1478" t="s">
        <v>2001</v>
      </c>
      <c r="K353" s="1475" t="s">
        <v>849</v>
      </c>
      <c r="L353" s="1474" t="s">
        <v>77</v>
      </c>
      <c r="M353" s="1476" t="s">
        <v>1699</v>
      </c>
      <c r="N353" s="1477" t="s">
        <v>1694</v>
      </c>
      <c r="O353" s="1479">
        <v>137</v>
      </c>
      <c r="P353" s="1479"/>
      <c r="Q353" s="1142">
        <f t="shared" si="91"/>
        <v>137</v>
      </c>
      <c r="R353" s="1143">
        <f>IFERROR(VLOOKUP(CONCATENATE(E353,G353),'LAC 103'!$A$12:$O$95,11,FALSE),0)</f>
        <v>2.483156209074918</v>
      </c>
      <c r="S353" s="1144">
        <f>IFERROR(VLOOKUP(CONCATENATE($E353,$G353),'LAC 103'!$A$12:$O$95,12,FALSE),0)</f>
        <v>3.07</v>
      </c>
      <c r="T353" s="1144">
        <f>IFERROR(VLOOKUP(CONCATENATE($E353,$G353),'LAC 103'!$A$12:$O$95,13,FALSE),0)</f>
        <v>1.92</v>
      </c>
      <c r="U353" s="1144">
        <f>IFERROR(VLOOKUP(CONCATENATE($E353,$G353),'LAC 103'!$A$12:$O$95,14,FALSE),0)</f>
        <v>0</v>
      </c>
      <c r="V353" s="1144">
        <f>IFERROR(VLOOKUP(CONCATENATE($E353,$G353),'LAC 103'!$A$12:$O$95,15,FALSE),0)</f>
        <v>0</v>
      </c>
      <c r="W353" s="1145" t="str">
        <f>IFERROR(VLOOKUP(CONCATENATE($B353,$N353),'LAC 103'!$AI:$AQ,9,FALSE),"")</f>
        <v>Costs</v>
      </c>
      <c r="X353" s="1146">
        <f t="shared" si="96"/>
        <v>2.483156209074918</v>
      </c>
      <c r="Y353" s="1143">
        <f t="shared" si="97"/>
        <v>340.19240064326374</v>
      </c>
      <c r="Z353" s="1147">
        <f t="shared" si="98"/>
        <v>420.59</v>
      </c>
      <c r="AA353" s="1144">
        <f t="shared" si="99"/>
        <v>263.03999999999996</v>
      </c>
      <c r="AB353" s="1144">
        <f t="shared" si="100"/>
        <v>0</v>
      </c>
      <c r="AC353" s="1144">
        <f t="shared" si="101"/>
        <v>0</v>
      </c>
      <c r="AD353" s="1148">
        <f t="shared" si="92"/>
        <v>340.19240064326374</v>
      </c>
      <c r="AE353" s="1487">
        <v>0</v>
      </c>
      <c r="AF353" s="1145">
        <f t="shared" si="102"/>
        <v>340.19240064326374</v>
      </c>
      <c r="AG353" s="1149">
        <f>IFERROR(VLOOKUP(CONCATENATE($L353,$N353),'Drop List'!$G$23:$K$87,2,FALSE),0)</f>
        <v>0.9</v>
      </c>
      <c r="AH353" s="1150">
        <f>IFERROR(VLOOKUP(CONCATENATE($L353,$N353),'Drop List'!$G$23:$K$87,3,FALSE),0)</f>
        <v>0</v>
      </c>
      <c r="AI353" s="1150">
        <f>IFERROR(VLOOKUP(CONCATENATE($L353,$N353),'Drop List'!$G$23:$K$87,4,FALSE),0)</f>
        <v>0.1</v>
      </c>
      <c r="AJ353" s="1151">
        <f>IFERROR(VLOOKUP(CONCATENATE($L353,$N353),'Drop List'!$G$23:$K$87,5,FALSE),0)</f>
        <v>0</v>
      </c>
      <c r="AK353" s="1152">
        <f t="shared" si="103"/>
        <v>306.17316057893737</v>
      </c>
      <c r="AL353" s="1153">
        <f t="shared" si="104"/>
        <v>0</v>
      </c>
      <c r="AM353" s="1153">
        <f t="shared" si="105"/>
        <v>34.019240064326375</v>
      </c>
      <c r="AN353" s="1145">
        <f t="shared" si="106"/>
        <v>0</v>
      </c>
      <c r="AO353" s="1154">
        <f t="shared" si="107"/>
        <v>340.19240064326374</v>
      </c>
      <c r="AP353" s="1147">
        <f t="shared" si="93"/>
        <v>0</v>
      </c>
      <c r="AQ353" s="1144">
        <f t="shared" si="94"/>
        <v>0</v>
      </c>
      <c r="AR353" s="1146">
        <f t="shared" si="95"/>
        <v>340.19240064326374</v>
      </c>
    </row>
    <row r="354" spans="1:44" x14ac:dyDescent="0.2">
      <c r="A354" s="1141" t="str">
        <f t="shared" si="90"/>
        <v>1504</v>
      </c>
      <c r="B354" s="1141" t="str">
        <f>IFERROR(VLOOKUP(A354,'LAC 103'!A:C,3,FALSE),"")</f>
        <v>OP</v>
      </c>
      <c r="C354" s="1478" t="str">
        <f>Info!$B$8</f>
        <v>00100</v>
      </c>
      <c r="D354" s="1474" t="s">
        <v>256</v>
      </c>
      <c r="E354" s="1474" t="s">
        <v>95</v>
      </c>
      <c r="F354" s="1478" t="s">
        <v>588</v>
      </c>
      <c r="G354" s="1478" t="s">
        <v>588</v>
      </c>
      <c r="H354" s="1474" t="s">
        <v>983</v>
      </c>
      <c r="I354" s="1478" t="s">
        <v>823</v>
      </c>
      <c r="J354" s="1478" t="s">
        <v>2001</v>
      </c>
      <c r="K354" s="1475" t="s">
        <v>849</v>
      </c>
      <c r="L354" s="1474" t="s">
        <v>77</v>
      </c>
      <c r="M354" s="1476" t="s">
        <v>841</v>
      </c>
      <c r="N354" s="1477" t="s">
        <v>1695</v>
      </c>
      <c r="O354" s="1479">
        <v>139</v>
      </c>
      <c r="P354" s="1479"/>
      <c r="Q354" s="1142">
        <f t="shared" si="91"/>
        <v>139</v>
      </c>
      <c r="R354" s="1143">
        <f>IFERROR(VLOOKUP(CONCATENATE(E354,G354),'LAC 103'!$A$12:$O$95,11,FALSE),0)</f>
        <v>2.483156209074918</v>
      </c>
      <c r="S354" s="1144">
        <f>IFERROR(VLOOKUP(CONCATENATE($E354,$G354),'LAC 103'!$A$12:$O$95,12,FALSE),0)</f>
        <v>3.07</v>
      </c>
      <c r="T354" s="1144">
        <f>IFERROR(VLOOKUP(CONCATENATE($E354,$G354),'LAC 103'!$A$12:$O$95,13,FALSE),0)</f>
        <v>1.92</v>
      </c>
      <c r="U354" s="1144">
        <f>IFERROR(VLOOKUP(CONCATENATE($E354,$G354),'LAC 103'!$A$12:$O$95,14,FALSE),0)</f>
        <v>0</v>
      </c>
      <c r="V354" s="1144">
        <f>IFERROR(VLOOKUP(CONCATENATE($E354,$G354),'LAC 103'!$A$12:$O$95,15,FALSE),0)</f>
        <v>0</v>
      </c>
      <c r="W354" s="1145" t="str">
        <f>IFERROR(VLOOKUP(CONCATENATE($B354,$N354),'LAC 103'!$AI:$AQ,9,FALSE),"")</f>
        <v>Costs</v>
      </c>
      <c r="X354" s="1146">
        <f t="shared" si="96"/>
        <v>2.483156209074918</v>
      </c>
      <c r="Y354" s="1143">
        <f t="shared" si="97"/>
        <v>345.15871306141361</v>
      </c>
      <c r="Z354" s="1147">
        <f t="shared" si="98"/>
        <v>426.72999999999996</v>
      </c>
      <c r="AA354" s="1144">
        <f t="shared" si="99"/>
        <v>266.88</v>
      </c>
      <c r="AB354" s="1144">
        <f t="shared" si="100"/>
        <v>0</v>
      </c>
      <c r="AC354" s="1144">
        <f t="shared" si="101"/>
        <v>0</v>
      </c>
      <c r="AD354" s="1148">
        <f t="shared" si="92"/>
        <v>345.15871306141361</v>
      </c>
      <c r="AE354" s="1487">
        <v>0</v>
      </c>
      <c r="AF354" s="1145">
        <f t="shared" si="102"/>
        <v>345.15871306141361</v>
      </c>
      <c r="AG354" s="1149">
        <f>IFERROR(VLOOKUP(CONCATENATE($L354,$N354),'Drop List'!$G$23:$K$87,2,FALSE),0)</f>
        <v>0.9</v>
      </c>
      <c r="AH354" s="1150">
        <f>IFERROR(VLOOKUP(CONCATENATE($L354,$N354),'Drop List'!$G$23:$K$87,3,FALSE),0)</f>
        <v>0</v>
      </c>
      <c r="AI354" s="1150">
        <f>IFERROR(VLOOKUP(CONCATENATE($L354,$N354),'Drop List'!$G$23:$K$87,4,FALSE),0)</f>
        <v>0.1</v>
      </c>
      <c r="AJ354" s="1151">
        <f>IFERROR(VLOOKUP(CONCATENATE($L354,$N354),'Drop List'!$G$23:$K$87,5,FALSE),0)</f>
        <v>0</v>
      </c>
      <c r="AK354" s="1152">
        <f t="shared" si="103"/>
        <v>310.64284175527223</v>
      </c>
      <c r="AL354" s="1153">
        <f t="shared" si="104"/>
        <v>0</v>
      </c>
      <c r="AM354" s="1153">
        <f t="shared" si="105"/>
        <v>34.515871306141364</v>
      </c>
      <c r="AN354" s="1145">
        <f t="shared" si="106"/>
        <v>0</v>
      </c>
      <c r="AO354" s="1154">
        <f t="shared" si="107"/>
        <v>345.15871306141361</v>
      </c>
      <c r="AP354" s="1147">
        <f t="shared" si="93"/>
        <v>0</v>
      </c>
      <c r="AQ354" s="1144">
        <f t="shared" si="94"/>
        <v>0</v>
      </c>
      <c r="AR354" s="1146">
        <f t="shared" si="95"/>
        <v>345.15871306141361</v>
      </c>
    </row>
    <row r="355" spans="1:44" x14ac:dyDescent="0.2">
      <c r="A355" s="1141" t="str">
        <f t="shared" si="90"/>
        <v>1504</v>
      </c>
      <c r="B355" s="1141" t="str">
        <f>IFERROR(VLOOKUP(A355,'LAC 103'!A:C,3,FALSE),"")</f>
        <v>OP</v>
      </c>
      <c r="C355" s="1478" t="str">
        <f>Info!$B$8</f>
        <v>00100</v>
      </c>
      <c r="D355" s="1474" t="s">
        <v>256</v>
      </c>
      <c r="E355" s="1474" t="s">
        <v>95</v>
      </c>
      <c r="F355" s="1478" t="s">
        <v>588</v>
      </c>
      <c r="G355" s="1478" t="s">
        <v>588</v>
      </c>
      <c r="H355" s="1474" t="s">
        <v>983</v>
      </c>
      <c r="I355" s="1478" t="s">
        <v>823</v>
      </c>
      <c r="J355" s="1478" t="s">
        <v>2001</v>
      </c>
      <c r="K355" s="1475" t="s">
        <v>849</v>
      </c>
      <c r="L355" s="1474" t="s">
        <v>77</v>
      </c>
      <c r="M355" s="1476" t="s">
        <v>840</v>
      </c>
      <c r="N355" s="1477" t="s">
        <v>1700</v>
      </c>
      <c r="O355" s="1479">
        <v>77</v>
      </c>
      <c r="P355" s="1479"/>
      <c r="Q355" s="1142">
        <f t="shared" si="91"/>
        <v>77</v>
      </c>
      <c r="R355" s="1143">
        <f>IFERROR(VLOOKUP(CONCATENATE(E355,G355),'LAC 103'!$A$12:$O$95,11,FALSE),0)</f>
        <v>2.483156209074918</v>
      </c>
      <c r="S355" s="1144">
        <f>IFERROR(VLOOKUP(CONCATENATE($E355,$G355),'LAC 103'!$A$12:$O$95,12,FALSE),0)</f>
        <v>3.07</v>
      </c>
      <c r="T355" s="1144">
        <f>IFERROR(VLOOKUP(CONCATENATE($E355,$G355),'LAC 103'!$A$12:$O$95,13,FALSE),0)</f>
        <v>1.92</v>
      </c>
      <c r="U355" s="1144">
        <f>IFERROR(VLOOKUP(CONCATENATE($E355,$G355),'LAC 103'!$A$12:$O$95,14,FALSE),0)</f>
        <v>0</v>
      </c>
      <c r="V355" s="1144">
        <f>IFERROR(VLOOKUP(CONCATENATE($E355,$G355),'LAC 103'!$A$12:$O$95,15,FALSE),0)</f>
        <v>0</v>
      </c>
      <c r="W355" s="1145" t="str">
        <f>IFERROR(VLOOKUP(CONCATENATE($B355,$N355),'LAC 103'!$AI:$AQ,9,FALSE),"")</f>
        <v>P.C.</v>
      </c>
      <c r="X355" s="1146">
        <f t="shared" si="96"/>
        <v>1.92</v>
      </c>
      <c r="Y355" s="1143">
        <f t="shared" si="97"/>
        <v>191.20302809876867</v>
      </c>
      <c r="Z355" s="1147">
        <f t="shared" si="98"/>
        <v>236.39</v>
      </c>
      <c r="AA355" s="1144">
        <f t="shared" si="99"/>
        <v>147.84</v>
      </c>
      <c r="AB355" s="1144">
        <f t="shared" si="100"/>
        <v>0</v>
      </c>
      <c r="AC355" s="1144">
        <f t="shared" si="101"/>
        <v>0</v>
      </c>
      <c r="AD355" s="1148">
        <f t="shared" si="92"/>
        <v>147.84</v>
      </c>
      <c r="AE355" s="1487">
        <v>0</v>
      </c>
      <c r="AF355" s="1145">
        <f t="shared" si="102"/>
        <v>147.84</v>
      </c>
      <c r="AG355" s="1149">
        <f>IFERROR(VLOOKUP(CONCATENATE($L355,$N355),'Drop List'!$G$23:$K$87,2,FALSE),0)</f>
        <v>0.9</v>
      </c>
      <c r="AH355" s="1150">
        <f>IFERROR(VLOOKUP(CONCATENATE($L355,$N355),'Drop List'!$G$23:$K$87,3,FALSE),0)</f>
        <v>0</v>
      </c>
      <c r="AI355" s="1150">
        <f>IFERROR(VLOOKUP(CONCATENATE($L355,$N355),'Drop List'!$G$23:$K$87,4,FALSE),0)</f>
        <v>0.1</v>
      </c>
      <c r="AJ355" s="1151">
        <f>IFERROR(VLOOKUP(CONCATENATE($L355,$N355),'Drop List'!$G$23:$K$87,5,FALSE),0)</f>
        <v>0</v>
      </c>
      <c r="AK355" s="1152">
        <f t="shared" si="103"/>
        <v>133.05600000000001</v>
      </c>
      <c r="AL355" s="1153">
        <f t="shared" si="104"/>
        <v>0</v>
      </c>
      <c r="AM355" s="1153">
        <f t="shared" si="105"/>
        <v>14.784000000000001</v>
      </c>
      <c r="AN355" s="1145">
        <f t="shared" si="106"/>
        <v>0</v>
      </c>
      <c r="AO355" s="1154">
        <f t="shared" si="107"/>
        <v>147.84</v>
      </c>
      <c r="AP355" s="1147">
        <f t="shared" si="93"/>
        <v>0</v>
      </c>
      <c r="AQ355" s="1144">
        <f t="shared" si="94"/>
        <v>0</v>
      </c>
      <c r="AR355" s="1146">
        <f t="shared" si="95"/>
        <v>147.84</v>
      </c>
    </row>
    <row r="356" spans="1:44" x14ac:dyDescent="0.2">
      <c r="A356" s="1141" t="str">
        <f t="shared" si="90"/>
        <v>1504</v>
      </c>
      <c r="B356" s="1141" t="str">
        <f>IFERROR(VLOOKUP(A356,'LAC 103'!A:C,3,FALSE),"")</f>
        <v>OP</v>
      </c>
      <c r="C356" s="1478" t="str">
        <f>Info!$B$8</f>
        <v>00100</v>
      </c>
      <c r="D356" s="1474" t="s">
        <v>256</v>
      </c>
      <c r="E356" s="1474" t="s">
        <v>95</v>
      </c>
      <c r="F356" s="1478" t="s">
        <v>588</v>
      </c>
      <c r="G356" s="1478" t="s">
        <v>588</v>
      </c>
      <c r="H356" s="1474" t="s">
        <v>983</v>
      </c>
      <c r="I356" s="1478" t="s">
        <v>823</v>
      </c>
      <c r="J356" s="1478" t="s">
        <v>2001</v>
      </c>
      <c r="K356" s="1475" t="s">
        <v>849</v>
      </c>
      <c r="L356" s="1474" t="s">
        <v>77</v>
      </c>
      <c r="M356" s="1476" t="s">
        <v>842</v>
      </c>
      <c r="N356" s="1477" t="s">
        <v>1692</v>
      </c>
      <c r="O356" s="1479">
        <v>289</v>
      </c>
      <c r="P356" s="1479"/>
      <c r="Q356" s="1142">
        <f t="shared" si="91"/>
        <v>289</v>
      </c>
      <c r="R356" s="1143">
        <f>IFERROR(VLOOKUP(CONCATENATE(E356,G356),'LAC 103'!$A$12:$O$95,11,FALSE),0)</f>
        <v>2.483156209074918</v>
      </c>
      <c r="S356" s="1144">
        <f>IFERROR(VLOOKUP(CONCATENATE($E356,$G356),'LAC 103'!$A$12:$O$95,12,FALSE),0)</f>
        <v>3.07</v>
      </c>
      <c r="T356" s="1144">
        <f>IFERROR(VLOOKUP(CONCATENATE($E356,$G356),'LAC 103'!$A$12:$O$95,13,FALSE),0)</f>
        <v>1.92</v>
      </c>
      <c r="U356" s="1144">
        <f>IFERROR(VLOOKUP(CONCATENATE($E356,$G356),'LAC 103'!$A$12:$O$95,14,FALSE),0)</f>
        <v>0</v>
      </c>
      <c r="V356" s="1144">
        <f>IFERROR(VLOOKUP(CONCATENATE($E356,$G356),'LAC 103'!$A$12:$O$95,15,FALSE),0)</f>
        <v>0</v>
      </c>
      <c r="W356" s="1145" t="str">
        <f>IFERROR(VLOOKUP(CONCATENATE($B356,$N356),'LAC 103'!$AI:$AQ,9,FALSE),"")</f>
        <v>Costs</v>
      </c>
      <c r="X356" s="1146">
        <f t="shared" si="96"/>
        <v>2.483156209074918</v>
      </c>
      <c r="Y356" s="1143">
        <f t="shared" si="97"/>
        <v>717.63214442265132</v>
      </c>
      <c r="Z356" s="1147">
        <f t="shared" si="98"/>
        <v>887.2299999999999</v>
      </c>
      <c r="AA356" s="1144">
        <f t="shared" si="99"/>
        <v>554.88</v>
      </c>
      <c r="AB356" s="1144">
        <f t="shared" si="100"/>
        <v>0</v>
      </c>
      <c r="AC356" s="1144">
        <f t="shared" si="101"/>
        <v>0</v>
      </c>
      <c r="AD356" s="1148">
        <f t="shared" si="92"/>
        <v>717.63214442265132</v>
      </c>
      <c r="AE356" s="1487">
        <v>0</v>
      </c>
      <c r="AF356" s="1145">
        <f t="shared" si="102"/>
        <v>717.63214442265132</v>
      </c>
      <c r="AG356" s="1149">
        <f>IFERROR(VLOOKUP(CONCATENATE($L356,$N356),'Drop List'!$G$23:$K$87,2,FALSE),0)</f>
        <v>0.9</v>
      </c>
      <c r="AH356" s="1150">
        <f>IFERROR(VLOOKUP(CONCATENATE($L356,$N356),'Drop List'!$G$23:$K$87,3,FALSE),0)</f>
        <v>0</v>
      </c>
      <c r="AI356" s="1150">
        <f>IFERROR(VLOOKUP(CONCATENATE($L356,$N356),'Drop List'!$G$23:$K$87,4,FALSE),0)</f>
        <v>0.1</v>
      </c>
      <c r="AJ356" s="1151">
        <f>IFERROR(VLOOKUP(CONCATENATE($L356,$N356),'Drop List'!$G$23:$K$87,5,FALSE),0)</f>
        <v>0</v>
      </c>
      <c r="AK356" s="1152">
        <f t="shared" si="103"/>
        <v>645.86892998038616</v>
      </c>
      <c r="AL356" s="1153">
        <f t="shared" si="104"/>
        <v>0</v>
      </c>
      <c r="AM356" s="1153">
        <f t="shared" si="105"/>
        <v>71.763214442265138</v>
      </c>
      <c r="AN356" s="1145">
        <f t="shared" si="106"/>
        <v>0</v>
      </c>
      <c r="AO356" s="1154">
        <f t="shared" si="107"/>
        <v>717.63214442265132</v>
      </c>
      <c r="AP356" s="1147">
        <f t="shared" si="93"/>
        <v>0</v>
      </c>
      <c r="AQ356" s="1144">
        <f t="shared" si="94"/>
        <v>0</v>
      </c>
      <c r="AR356" s="1146">
        <f t="shared" si="95"/>
        <v>717.63214442265132</v>
      </c>
    </row>
    <row r="357" spans="1:44" x14ac:dyDescent="0.2">
      <c r="A357" s="1141" t="str">
        <f t="shared" si="90"/>
        <v>1504</v>
      </c>
      <c r="B357" s="1141" t="str">
        <f>IFERROR(VLOOKUP(A357,'LAC 103'!A:C,3,FALSE),"")</f>
        <v>OP</v>
      </c>
      <c r="C357" s="1478" t="str">
        <f>Info!$B$8</f>
        <v>00100</v>
      </c>
      <c r="D357" s="1474" t="s">
        <v>256</v>
      </c>
      <c r="E357" s="1474" t="s">
        <v>95</v>
      </c>
      <c r="F357" s="1478" t="s">
        <v>588</v>
      </c>
      <c r="G357" s="1478" t="s">
        <v>588</v>
      </c>
      <c r="H357" s="1474" t="s">
        <v>983</v>
      </c>
      <c r="I357" s="1478" t="s">
        <v>823</v>
      </c>
      <c r="J357" s="1478" t="s">
        <v>2001</v>
      </c>
      <c r="K357" s="1475" t="s">
        <v>849</v>
      </c>
      <c r="L357" s="1474" t="s">
        <v>77</v>
      </c>
      <c r="M357" s="1476" t="s">
        <v>1698</v>
      </c>
      <c r="N357" s="1477" t="s">
        <v>1693</v>
      </c>
      <c r="O357" s="1479">
        <v>165</v>
      </c>
      <c r="P357" s="1479"/>
      <c r="Q357" s="1142">
        <f t="shared" si="91"/>
        <v>165</v>
      </c>
      <c r="R357" s="1143">
        <f>IFERROR(VLOOKUP(CONCATENATE(E357,G357),'LAC 103'!$A$12:$O$95,11,FALSE),0)</f>
        <v>2.483156209074918</v>
      </c>
      <c r="S357" s="1144">
        <f>IFERROR(VLOOKUP(CONCATENATE($E357,$G357),'LAC 103'!$A$12:$O$95,12,FALSE),0)</f>
        <v>3.07</v>
      </c>
      <c r="T357" s="1144">
        <f>IFERROR(VLOOKUP(CONCATENATE($E357,$G357),'LAC 103'!$A$12:$O$95,13,FALSE),0)</f>
        <v>1.92</v>
      </c>
      <c r="U357" s="1144">
        <f>IFERROR(VLOOKUP(CONCATENATE($E357,$G357),'LAC 103'!$A$12:$O$95,14,FALSE),0)</f>
        <v>0</v>
      </c>
      <c r="V357" s="1144">
        <f>IFERROR(VLOOKUP(CONCATENATE($E357,$G357),'LAC 103'!$A$12:$O$95,15,FALSE),0)</f>
        <v>0</v>
      </c>
      <c r="W357" s="1145" t="str">
        <f>IFERROR(VLOOKUP(CONCATENATE($B357,$N357),'LAC 103'!$AI:$AQ,9,FALSE),"")</f>
        <v>Costs</v>
      </c>
      <c r="X357" s="1146">
        <f t="shared" si="96"/>
        <v>2.483156209074918</v>
      </c>
      <c r="Y357" s="1143">
        <f t="shared" si="97"/>
        <v>409.72077449736145</v>
      </c>
      <c r="Z357" s="1147">
        <f t="shared" si="98"/>
        <v>506.54999999999995</v>
      </c>
      <c r="AA357" s="1144">
        <f t="shared" si="99"/>
        <v>316.8</v>
      </c>
      <c r="AB357" s="1144">
        <f t="shared" si="100"/>
        <v>0</v>
      </c>
      <c r="AC357" s="1144">
        <f t="shared" si="101"/>
        <v>0</v>
      </c>
      <c r="AD357" s="1148">
        <f t="shared" si="92"/>
        <v>409.72077449736145</v>
      </c>
      <c r="AE357" s="1487">
        <v>0</v>
      </c>
      <c r="AF357" s="1145">
        <f t="shared" si="102"/>
        <v>409.72077449736145</v>
      </c>
      <c r="AG357" s="1149">
        <f>IFERROR(VLOOKUP(CONCATENATE($L357,$N357),'Drop List'!$G$23:$K$87,2,FALSE),0)</f>
        <v>0.9</v>
      </c>
      <c r="AH357" s="1150">
        <f>IFERROR(VLOOKUP(CONCATENATE($L357,$N357),'Drop List'!$G$23:$K$87,3,FALSE),0)</f>
        <v>0</v>
      </c>
      <c r="AI357" s="1150">
        <f>IFERROR(VLOOKUP(CONCATENATE($L357,$N357),'Drop List'!$G$23:$K$87,4,FALSE),0)</f>
        <v>0.1</v>
      </c>
      <c r="AJ357" s="1151">
        <f>IFERROR(VLOOKUP(CONCATENATE($L357,$N357),'Drop List'!$G$23:$K$87,5,FALSE),0)</f>
        <v>0</v>
      </c>
      <c r="AK357" s="1152">
        <f t="shared" si="103"/>
        <v>368.74869704762528</v>
      </c>
      <c r="AL357" s="1153">
        <f t="shared" si="104"/>
        <v>0</v>
      </c>
      <c r="AM357" s="1153">
        <f t="shared" si="105"/>
        <v>40.972077449736148</v>
      </c>
      <c r="AN357" s="1145">
        <f t="shared" si="106"/>
        <v>0</v>
      </c>
      <c r="AO357" s="1154">
        <f t="shared" si="107"/>
        <v>409.72077449736145</v>
      </c>
      <c r="AP357" s="1147">
        <f t="shared" si="93"/>
        <v>0</v>
      </c>
      <c r="AQ357" s="1144">
        <f t="shared" si="94"/>
        <v>0</v>
      </c>
      <c r="AR357" s="1146">
        <f t="shared" si="95"/>
        <v>409.72077449736145</v>
      </c>
    </row>
    <row r="358" spans="1:44" x14ac:dyDescent="0.2">
      <c r="A358" s="1141" t="str">
        <f t="shared" si="90"/>
        <v>1504</v>
      </c>
      <c r="B358" s="1141" t="str">
        <f>IFERROR(VLOOKUP(A358,'LAC 103'!A:C,3,FALSE),"")</f>
        <v>OP</v>
      </c>
      <c r="C358" s="1478" t="str">
        <f>Info!$B$8</f>
        <v>00100</v>
      </c>
      <c r="D358" s="1474" t="s">
        <v>256</v>
      </c>
      <c r="E358" s="1474" t="s">
        <v>95</v>
      </c>
      <c r="F358" s="1478" t="s">
        <v>588</v>
      </c>
      <c r="G358" s="1478" t="s">
        <v>588</v>
      </c>
      <c r="H358" s="1474" t="s">
        <v>983</v>
      </c>
      <c r="I358" s="1478" t="s">
        <v>823</v>
      </c>
      <c r="J358" s="1478" t="s">
        <v>2001</v>
      </c>
      <c r="K358" s="1475" t="s">
        <v>850</v>
      </c>
      <c r="L358" s="1474" t="s">
        <v>330</v>
      </c>
      <c r="M358" s="1476" t="s">
        <v>842</v>
      </c>
      <c r="N358" s="1477" t="s">
        <v>1692</v>
      </c>
      <c r="O358" s="1479">
        <v>42</v>
      </c>
      <c r="P358" s="1479"/>
      <c r="Q358" s="1142">
        <f t="shared" si="91"/>
        <v>42</v>
      </c>
      <c r="R358" s="1143">
        <f>IFERROR(VLOOKUP(CONCATENATE(E358,G358),'LAC 103'!$A$12:$O$95,11,FALSE),0)</f>
        <v>2.483156209074918</v>
      </c>
      <c r="S358" s="1144">
        <f>IFERROR(VLOOKUP(CONCATENATE($E358,$G358),'LAC 103'!$A$12:$O$95,12,FALSE),0)</f>
        <v>3.07</v>
      </c>
      <c r="T358" s="1144">
        <f>IFERROR(VLOOKUP(CONCATENATE($E358,$G358),'LAC 103'!$A$12:$O$95,13,FALSE),0)</f>
        <v>1.92</v>
      </c>
      <c r="U358" s="1144">
        <f>IFERROR(VLOOKUP(CONCATENATE($E358,$G358),'LAC 103'!$A$12:$O$95,14,FALSE),0)</f>
        <v>0</v>
      </c>
      <c r="V358" s="1144">
        <f>IFERROR(VLOOKUP(CONCATENATE($E358,$G358),'LAC 103'!$A$12:$O$95,15,FALSE),0)</f>
        <v>0</v>
      </c>
      <c r="W358" s="1145" t="str">
        <f>IFERROR(VLOOKUP(CONCATENATE($B358,$N358),'LAC 103'!$AI:$AQ,9,FALSE),"")</f>
        <v>Costs</v>
      </c>
      <c r="X358" s="1146">
        <f t="shared" si="96"/>
        <v>2.483156209074918</v>
      </c>
      <c r="Y358" s="1143">
        <f t="shared" si="97"/>
        <v>104.29256078114655</v>
      </c>
      <c r="Z358" s="1147">
        <f t="shared" si="98"/>
        <v>128.94</v>
      </c>
      <c r="AA358" s="1144">
        <f t="shared" si="99"/>
        <v>80.64</v>
      </c>
      <c r="AB358" s="1144">
        <f t="shared" si="100"/>
        <v>0</v>
      </c>
      <c r="AC358" s="1144">
        <f t="shared" si="101"/>
        <v>0</v>
      </c>
      <c r="AD358" s="1148">
        <f t="shared" si="92"/>
        <v>104.29256078114655</v>
      </c>
      <c r="AE358" s="1487">
        <v>0</v>
      </c>
      <c r="AF358" s="1145">
        <f t="shared" si="102"/>
        <v>104.29256078114655</v>
      </c>
      <c r="AG358" s="1149">
        <f>IFERROR(VLOOKUP(CONCATENATE($L358,$N358),'Drop List'!$G$23:$K$87,2,FALSE),0)</f>
        <v>0</v>
      </c>
      <c r="AH358" s="1150">
        <f>IFERROR(VLOOKUP(CONCATENATE($L358,$N358),'Drop List'!$G$23:$K$87,3,FALSE),0)</f>
        <v>0</v>
      </c>
      <c r="AI358" s="1150">
        <f>IFERROR(VLOOKUP(CONCATENATE($L358,$N358),'Drop List'!$G$23:$K$87,4,FALSE),0)</f>
        <v>1</v>
      </c>
      <c r="AJ358" s="1151">
        <f>IFERROR(VLOOKUP(CONCATENATE($L358,$N358),'Drop List'!$G$23:$K$87,5,FALSE),0)</f>
        <v>0</v>
      </c>
      <c r="AK358" s="1152">
        <f t="shared" si="103"/>
        <v>0</v>
      </c>
      <c r="AL358" s="1153">
        <f t="shared" si="104"/>
        <v>0</v>
      </c>
      <c r="AM358" s="1153">
        <f t="shared" si="105"/>
        <v>104.29256078114655</v>
      </c>
      <c r="AN358" s="1145">
        <f t="shared" si="106"/>
        <v>0</v>
      </c>
      <c r="AO358" s="1154">
        <f t="shared" si="107"/>
        <v>104.29256078114655</v>
      </c>
      <c r="AP358" s="1147">
        <f t="shared" si="93"/>
        <v>0</v>
      </c>
      <c r="AQ358" s="1144">
        <f t="shared" si="94"/>
        <v>0</v>
      </c>
      <c r="AR358" s="1146">
        <f t="shared" si="95"/>
        <v>104.29256078114655</v>
      </c>
    </row>
    <row r="359" spans="1:44" x14ac:dyDescent="0.2">
      <c r="A359" s="1141" t="str">
        <f t="shared" si="90"/>
        <v>1504</v>
      </c>
      <c r="B359" s="1141" t="str">
        <f>IFERROR(VLOOKUP(A359,'LAC 103'!A:C,3,FALSE),"")</f>
        <v>OP</v>
      </c>
      <c r="C359" s="1478" t="str">
        <f>Info!$B$8</f>
        <v>00100</v>
      </c>
      <c r="D359" s="1474" t="s">
        <v>256</v>
      </c>
      <c r="E359" s="1474" t="s">
        <v>95</v>
      </c>
      <c r="F359" s="1478" t="s">
        <v>588</v>
      </c>
      <c r="G359" s="1478" t="s">
        <v>588</v>
      </c>
      <c r="H359" s="1474" t="s">
        <v>983</v>
      </c>
      <c r="I359" s="1478" t="s">
        <v>823</v>
      </c>
      <c r="J359" s="1478" t="s">
        <v>2001</v>
      </c>
      <c r="K359" s="1475" t="s">
        <v>851</v>
      </c>
      <c r="L359" s="1474" t="s">
        <v>584</v>
      </c>
      <c r="M359" s="1476" t="s">
        <v>1699</v>
      </c>
      <c r="N359" s="1477" t="s">
        <v>1694</v>
      </c>
      <c r="O359" s="1479">
        <v>569</v>
      </c>
      <c r="P359" s="1479"/>
      <c r="Q359" s="1142">
        <f t="shared" si="91"/>
        <v>569</v>
      </c>
      <c r="R359" s="1143">
        <f>IFERROR(VLOOKUP(CONCATENATE(E359,G359),'LAC 103'!$A$12:$O$95,11,FALSE),0)</f>
        <v>2.483156209074918</v>
      </c>
      <c r="S359" s="1144">
        <f>IFERROR(VLOOKUP(CONCATENATE($E359,$G359),'LAC 103'!$A$12:$O$95,12,FALSE),0)</f>
        <v>3.07</v>
      </c>
      <c r="T359" s="1144">
        <f>IFERROR(VLOOKUP(CONCATENATE($E359,$G359),'LAC 103'!$A$12:$O$95,13,FALSE),0)</f>
        <v>1.92</v>
      </c>
      <c r="U359" s="1144">
        <f>IFERROR(VLOOKUP(CONCATENATE($E359,$G359),'LAC 103'!$A$12:$O$95,14,FALSE),0)</f>
        <v>0</v>
      </c>
      <c r="V359" s="1144">
        <f>IFERROR(VLOOKUP(CONCATENATE($E359,$G359),'LAC 103'!$A$12:$O$95,15,FALSE),0)</f>
        <v>0</v>
      </c>
      <c r="W359" s="1145" t="str">
        <f>IFERROR(VLOOKUP(CONCATENATE($B359,$N359),'LAC 103'!$AI:$AQ,9,FALSE),"")</f>
        <v>Costs</v>
      </c>
      <c r="X359" s="1146">
        <f t="shared" si="96"/>
        <v>2.483156209074918</v>
      </c>
      <c r="Y359" s="1143">
        <f t="shared" si="97"/>
        <v>1412.9158829636283</v>
      </c>
      <c r="Z359" s="1147">
        <f t="shared" si="98"/>
        <v>1746.83</v>
      </c>
      <c r="AA359" s="1144">
        <f t="shared" si="99"/>
        <v>1092.48</v>
      </c>
      <c r="AB359" s="1144">
        <f t="shared" si="100"/>
        <v>0</v>
      </c>
      <c r="AC359" s="1144">
        <f t="shared" si="101"/>
        <v>0</v>
      </c>
      <c r="AD359" s="1148">
        <f t="shared" si="92"/>
        <v>1412.9158829636283</v>
      </c>
      <c r="AE359" s="1487">
        <v>0</v>
      </c>
      <c r="AF359" s="1145">
        <f t="shared" si="102"/>
        <v>1412.9158829636283</v>
      </c>
      <c r="AG359" s="1149">
        <f>IFERROR(VLOOKUP(CONCATENATE($L359,$N359),'Drop List'!$G$23:$K$87,2,FALSE),0)</f>
        <v>0.56200000000000006</v>
      </c>
      <c r="AH359" s="1150">
        <f>IFERROR(VLOOKUP(CONCATENATE($L359,$N359),'Drop List'!$G$23:$K$87,3,FALSE),0)</f>
        <v>0</v>
      </c>
      <c r="AI359" s="1150">
        <f>IFERROR(VLOOKUP(CONCATENATE($L359,$N359),'Drop List'!$G$23:$K$87,4,FALSE),0)</f>
        <v>0</v>
      </c>
      <c r="AJ359" s="1151">
        <f>IFERROR(VLOOKUP(CONCATENATE($L359,$N359),'Drop List'!$G$23:$K$87,5,FALSE),0)</f>
        <v>0.43799999999999994</v>
      </c>
      <c r="AK359" s="1152">
        <f t="shared" si="103"/>
        <v>794.05872622555921</v>
      </c>
      <c r="AL359" s="1153">
        <f t="shared" si="104"/>
        <v>0</v>
      </c>
      <c r="AM359" s="1153">
        <f t="shared" si="105"/>
        <v>0</v>
      </c>
      <c r="AN359" s="1145">
        <f t="shared" si="106"/>
        <v>618.85715673806908</v>
      </c>
      <c r="AO359" s="1154">
        <f t="shared" si="107"/>
        <v>1412.9158829636283</v>
      </c>
      <c r="AP359" s="1147">
        <f t="shared" si="93"/>
        <v>0</v>
      </c>
      <c r="AQ359" s="1144">
        <f t="shared" si="94"/>
        <v>0</v>
      </c>
      <c r="AR359" s="1146">
        <f t="shared" si="95"/>
        <v>1412.9158829636283</v>
      </c>
    </row>
    <row r="360" spans="1:44" x14ac:dyDescent="0.2">
      <c r="A360" s="1141" t="str">
        <f t="shared" si="90"/>
        <v>1504</v>
      </c>
      <c r="B360" s="1141" t="str">
        <f>IFERROR(VLOOKUP(A360,'LAC 103'!A:C,3,FALSE),"")</f>
        <v>OP</v>
      </c>
      <c r="C360" s="1478" t="str">
        <f>Info!$B$8</f>
        <v>00100</v>
      </c>
      <c r="D360" s="1474" t="s">
        <v>256</v>
      </c>
      <c r="E360" s="1474" t="s">
        <v>95</v>
      </c>
      <c r="F360" s="1478" t="s">
        <v>588</v>
      </c>
      <c r="G360" s="1478" t="s">
        <v>588</v>
      </c>
      <c r="H360" s="1474" t="s">
        <v>983</v>
      </c>
      <c r="I360" s="1478" t="s">
        <v>823</v>
      </c>
      <c r="J360" s="1478" t="s">
        <v>2001</v>
      </c>
      <c r="K360" s="1475" t="s">
        <v>851</v>
      </c>
      <c r="L360" s="1474" t="s">
        <v>584</v>
      </c>
      <c r="M360" s="1476" t="s">
        <v>841</v>
      </c>
      <c r="N360" s="1477" t="s">
        <v>1695</v>
      </c>
      <c r="O360" s="1479">
        <v>373</v>
      </c>
      <c r="P360" s="1479"/>
      <c r="Q360" s="1142">
        <f t="shared" si="91"/>
        <v>373</v>
      </c>
      <c r="R360" s="1143">
        <f>IFERROR(VLOOKUP(CONCATENATE(E360,G360),'LAC 103'!$A$12:$O$95,11,FALSE),0)</f>
        <v>2.483156209074918</v>
      </c>
      <c r="S360" s="1144">
        <f>IFERROR(VLOOKUP(CONCATENATE($E360,$G360),'LAC 103'!$A$12:$O$95,12,FALSE),0)</f>
        <v>3.07</v>
      </c>
      <c r="T360" s="1144">
        <f>IFERROR(VLOOKUP(CONCATENATE($E360,$G360),'LAC 103'!$A$12:$O$95,13,FALSE),0)</f>
        <v>1.92</v>
      </c>
      <c r="U360" s="1144">
        <f>IFERROR(VLOOKUP(CONCATENATE($E360,$G360),'LAC 103'!$A$12:$O$95,14,FALSE),0)</f>
        <v>0</v>
      </c>
      <c r="V360" s="1144">
        <f>IFERROR(VLOOKUP(CONCATENATE($E360,$G360),'LAC 103'!$A$12:$O$95,15,FALSE),0)</f>
        <v>0</v>
      </c>
      <c r="W360" s="1145" t="str">
        <f>IFERROR(VLOOKUP(CONCATENATE($B360,$N360),'LAC 103'!$AI:$AQ,9,FALSE),"")</f>
        <v>Costs</v>
      </c>
      <c r="X360" s="1146">
        <f t="shared" si="96"/>
        <v>2.483156209074918</v>
      </c>
      <c r="Y360" s="1143">
        <f t="shared" si="97"/>
        <v>926.21726598494445</v>
      </c>
      <c r="Z360" s="1147">
        <f t="shared" si="98"/>
        <v>1145.1099999999999</v>
      </c>
      <c r="AA360" s="1144">
        <f t="shared" si="99"/>
        <v>716.16</v>
      </c>
      <c r="AB360" s="1144">
        <f t="shared" si="100"/>
        <v>0</v>
      </c>
      <c r="AC360" s="1144">
        <f t="shared" si="101"/>
        <v>0</v>
      </c>
      <c r="AD360" s="1148">
        <f t="shared" si="92"/>
        <v>926.21726598494445</v>
      </c>
      <c r="AE360" s="1487">
        <v>0</v>
      </c>
      <c r="AF360" s="1145">
        <f t="shared" si="102"/>
        <v>926.21726598494445</v>
      </c>
      <c r="AG360" s="1149">
        <f>IFERROR(VLOOKUP(CONCATENATE($L360,$N360),'Drop List'!$G$23:$K$87,2,FALSE),0)</f>
        <v>0.55000000000000004</v>
      </c>
      <c r="AH360" s="1150">
        <f>IFERROR(VLOOKUP(CONCATENATE($L360,$N360),'Drop List'!$G$23:$K$87,3,FALSE),0)</f>
        <v>0</v>
      </c>
      <c r="AI360" s="1150">
        <f>IFERROR(VLOOKUP(CONCATENATE($L360,$N360),'Drop List'!$G$23:$K$87,4,FALSE),0)</f>
        <v>0</v>
      </c>
      <c r="AJ360" s="1151">
        <f>IFERROR(VLOOKUP(CONCATENATE($L360,$N360),'Drop List'!$G$23:$K$87,5,FALSE),0)</f>
        <v>0.44999999999999996</v>
      </c>
      <c r="AK360" s="1152">
        <f t="shared" si="103"/>
        <v>509.4194962917195</v>
      </c>
      <c r="AL360" s="1153">
        <f t="shared" si="104"/>
        <v>0</v>
      </c>
      <c r="AM360" s="1153">
        <f t="shared" si="105"/>
        <v>0</v>
      </c>
      <c r="AN360" s="1145">
        <f t="shared" si="106"/>
        <v>416.79776969322495</v>
      </c>
      <c r="AO360" s="1154">
        <f t="shared" si="107"/>
        <v>926.21726598494445</v>
      </c>
      <c r="AP360" s="1147">
        <f t="shared" si="93"/>
        <v>0</v>
      </c>
      <c r="AQ360" s="1144">
        <f t="shared" si="94"/>
        <v>0</v>
      </c>
      <c r="AR360" s="1146">
        <f t="shared" si="95"/>
        <v>926.21726598494445</v>
      </c>
    </row>
    <row r="361" spans="1:44" x14ac:dyDescent="0.2">
      <c r="A361" s="1141" t="str">
        <f t="shared" si="90"/>
        <v>1504</v>
      </c>
      <c r="B361" s="1141" t="str">
        <f>IFERROR(VLOOKUP(A361,'LAC 103'!A:C,3,FALSE),"")</f>
        <v>OP</v>
      </c>
      <c r="C361" s="1478" t="str">
        <f>Info!$B$8</f>
        <v>00100</v>
      </c>
      <c r="D361" s="1474" t="s">
        <v>256</v>
      </c>
      <c r="E361" s="1474" t="s">
        <v>95</v>
      </c>
      <c r="F361" s="1478" t="s">
        <v>588</v>
      </c>
      <c r="G361" s="1478" t="s">
        <v>588</v>
      </c>
      <c r="H361" s="1474" t="s">
        <v>983</v>
      </c>
      <c r="I361" s="1478" t="s">
        <v>823</v>
      </c>
      <c r="J361" s="1478" t="s">
        <v>2001</v>
      </c>
      <c r="K361" s="1475" t="s">
        <v>851</v>
      </c>
      <c r="L361" s="1474" t="s">
        <v>584</v>
      </c>
      <c r="M361" s="1476" t="s">
        <v>840</v>
      </c>
      <c r="N361" s="1477" t="s">
        <v>1700</v>
      </c>
      <c r="O361" s="1479">
        <v>216</v>
      </c>
      <c r="P361" s="1479"/>
      <c r="Q361" s="1142">
        <f t="shared" si="91"/>
        <v>216</v>
      </c>
      <c r="R361" s="1143">
        <f>IFERROR(VLOOKUP(CONCATENATE(E361,G361),'LAC 103'!$A$12:$O$95,11,FALSE),0)</f>
        <v>2.483156209074918</v>
      </c>
      <c r="S361" s="1144">
        <f>IFERROR(VLOOKUP(CONCATENATE($E361,$G361),'LAC 103'!$A$12:$O$95,12,FALSE),0)</f>
        <v>3.07</v>
      </c>
      <c r="T361" s="1144">
        <f>IFERROR(VLOOKUP(CONCATENATE($E361,$G361),'LAC 103'!$A$12:$O$95,13,FALSE),0)</f>
        <v>1.92</v>
      </c>
      <c r="U361" s="1144">
        <f>IFERROR(VLOOKUP(CONCATENATE($E361,$G361),'LAC 103'!$A$12:$O$95,14,FALSE),0)</f>
        <v>0</v>
      </c>
      <c r="V361" s="1144">
        <f>IFERROR(VLOOKUP(CONCATENATE($E361,$G361),'LAC 103'!$A$12:$O$95,15,FALSE),0)</f>
        <v>0</v>
      </c>
      <c r="W361" s="1145" t="str">
        <f>IFERROR(VLOOKUP(CONCATENATE($B361,$N361),'LAC 103'!$AI:$AQ,9,FALSE),"")</f>
        <v>P.C.</v>
      </c>
      <c r="X361" s="1146">
        <f t="shared" si="96"/>
        <v>1.92</v>
      </c>
      <c r="Y361" s="1143">
        <f t="shared" si="97"/>
        <v>536.36174116018231</v>
      </c>
      <c r="Z361" s="1147">
        <f t="shared" si="98"/>
        <v>663.12</v>
      </c>
      <c r="AA361" s="1144">
        <f t="shared" si="99"/>
        <v>414.71999999999997</v>
      </c>
      <c r="AB361" s="1144">
        <f t="shared" si="100"/>
        <v>0</v>
      </c>
      <c r="AC361" s="1144">
        <f t="shared" si="101"/>
        <v>0</v>
      </c>
      <c r="AD361" s="1148">
        <f t="shared" si="92"/>
        <v>414.71999999999997</v>
      </c>
      <c r="AE361" s="1487">
        <v>0</v>
      </c>
      <c r="AF361" s="1145">
        <f t="shared" si="102"/>
        <v>414.71999999999997</v>
      </c>
      <c r="AG361" s="1149">
        <f>IFERROR(VLOOKUP(CONCATENATE($L361,$N361),'Drop List'!$G$23:$K$87,2,FALSE),0)</f>
        <v>0.55000000000000004</v>
      </c>
      <c r="AH361" s="1150">
        <f>IFERROR(VLOOKUP(CONCATENATE($L361,$N361),'Drop List'!$G$23:$K$87,3,FALSE),0)</f>
        <v>0</v>
      </c>
      <c r="AI361" s="1150">
        <f>IFERROR(VLOOKUP(CONCATENATE($L361,$N361),'Drop List'!$G$23:$K$87,4,FALSE),0)</f>
        <v>0</v>
      </c>
      <c r="AJ361" s="1151">
        <f>IFERROR(VLOOKUP(CONCATENATE($L361,$N361),'Drop List'!$G$23:$K$87,5,FALSE),0)</f>
        <v>0.44999999999999996</v>
      </c>
      <c r="AK361" s="1152">
        <f t="shared" si="103"/>
        <v>228.096</v>
      </c>
      <c r="AL361" s="1153">
        <f t="shared" si="104"/>
        <v>0</v>
      </c>
      <c r="AM361" s="1153">
        <f t="shared" si="105"/>
        <v>0</v>
      </c>
      <c r="AN361" s="1145">
        <f t="shared" si="106"/>
        <v>186.62399999999997</v>
      </c>
      <c r="AO361" s="1154">
        <f t="shared" si="107"/>
        <v>414.71999999999997</v>
      </c>
      <c r="AP361" s="1147">
        <f t="shared" si="93"/>
        <v>0</v>
      </c>
      <c r="AQ361" s="1144">
        <f t="shared" si="94"/>
        <v>0</v>
      </c>
      <c r="AR361" s="1146">
        <f t="shared" si="95"/>
        <v>414.71999999999997</v>
      </c>
    </row>
    <row r="362" spans="1:44" x14ac:dyDescent="0.2">
      <c r="A362" s="1141" t="str">
        <f t="shared" si="90"/>
        <v>1504</v>
      </c>
      <c r="B362" s="1141" t="str">
        <f>IFERROR(VLOOKUP(A362,'LAC 103'!A:C,3,FALSE),"")</f>
        <v>OP</v>
      </c>
      <c r="C362" s="1478" t="str">
        <f>Info!$B$8</f>
        <v>00100</v>
      </c>
      <c r="D362" s="1474" t="s">
        <v>256</v>
      </c>
      <c r="E362" s="1474" t="s">
        <v>95</v>
      </c>
      <c r="F362" s="1478" t="s">
        <v>588</v>
      </c>
      <c r="G362" s="1478" t="s">
        <v>588</v>
      </c>
      <c r="H362" s="1474" t="s">
        <v>983</v>
      </c>
      <c r="I362" s="1478" t="s">
        <v>823</v>
      </c>
      <c r="J362" s="1478" t="s">
        <v>2001</v>
      </c>
      <c r="K362" s="1475" t="s">
        <v>851</v>
      </c>
      <c r="L362" s="1474" t="s">
        <v>584</v>
      </c>
      <c r="M362" s="1476" t="s">
        <v>842</v>
      </c>
      <c r="N362" s="1477" t="s">
        <v>1692</v>
      </c>
      <c r="O362" s="1479">
        <v>439</v>
      </c>
      <c r="P362" s="1479"/>
      <c r="Q362" s="1142">
        <f t="shared" si="91"/>
        <v>439</v>
      </c>
      <c r="R362" s="1143">
        <f>IFERROR(VLOOKUP(CONCATENATE(E362,G362),'LAC 103'!$A$12:$O$95,11,FALSE),0)</f>
        <v>2.483156209074918</v>
      </c>
      <c r="S362" s="1144">
        <f>IFERROR(VLOOKUP(CONCATENATE($E362,$G362),'LAC 103'!$A$12:$O$95,12,FALSE),0)</f>
        <v>3.07</v>
      </c>
      <c r="T362" s="1144">
        <f>IFERROR(VLOOKUP(CONCATENATE($E362,$G362),'LAC 103'!$A$12:$O$95,13,FALSE),0)</f>
        <v>1.92</v>
      </c>
      <c r="U362" s="1144">
        <f>IFERROR(VLOOKUP(CONCATENATE($E362,$G362),'LAC 103'!$A$12:$O$95,14,FALSE),0)</f>
        <v>0</v>
      </c>
      <c r="V362" s="1144">
        <f>IFERROR(VLOOKUP(CONCATENATE($E362,$G362),'LAC 103'!$A$12:$O$95,15,FALSE),0)</f>
        <v>0</v>
      </c>
      <c r="W362" s="1145" t="str">
        <f>IFERROR(VLOOKUP(CONCATENATE($B362,$N362),'LAC 103'!$AI:$AQ,9,FALSE),"")</f>
        <v>Costs</v>
      </c>
      <c r="X362" s="1146">
        <f t="shared" si="96"/>
        <v>2.483156209074918</v>
      </c>
      <c r="Y362" s="1143">
        <f t="shared" si="97"/>
        <v>1090.105575783889</v>
      </c>
      <c r="Z362" s="1147">
        <f t="shared" si="98"/>
        <v>1347.73</v>
      </c>
      <c r="AA362" s="1144">
        <f t="shared" si="99"/>
        <v>842.88</v>
      </c>
      <c r="AB362" s="1144">
        <f t="shared" si="100"/>
        <v>0</v>
      </c>
      <c r="AC362" s="1144">
        <f t="shared" si="101"/>
        <v>0</v>
      </c>
      <c r="AD362" s="1148">
        <f t="shared" si="92"/>
        <v>1090.105575783889</v>
      </c>
      <c r="AE362" s="1487">
        <v>0</v>
      </c>
      <c r="AF362" s="1145">
        <f t="shared" si="102"/>
        <v>1090.105575783889</v>
      </c>
      <c r="AG362" s="1149">
        <f>IFERROR(VLOOKUP(CONCATENATE($L362,$N362),'Drop List'!$G$23:$K$87,2,FALSE),0)</f>
        <v>0.56200000000000006</v>
      </c>
      <c r="AH362" s="1150">
        <f>IFERROR(VLOOKUP(CONCATENATE($L362,$N362),'Drop List'!$G$23:$K$87,3,FALSE),0)</f>
        <v>0</v>
      </c>
      <c r="AI362" s="1150">
        <f>IFERROR(VLOOKUP(CONCATENATE($L362,$N362),'Drop List'!$G$23:$K$87,4,FALSE),0)</f>
        <v>0</v>
      </c>
      <c r="AJ362" s="1151">
        <f>IFERROR(VLOOKUP(CONCATENATE($L362,$N362),'Drop List'!$G$23:$K$87,5,FALSE),0)</f>
        <v>0.43799999999999994</v>
      </c>
      <c r="AK362" s="1152">
        <f t="shared" si="103"/>
        <v>612.63933359054568</v>
      </c>
      <c r="AL362" s="1153">
        <f t="shared" si="104"/>
        <v>0</v>
      </c>
      <c r="AM362" s="1153">
        <f t="shared" si="105"/>
        <v>0</v>
      </c>
      <c r="AN362" s="1145">
        <f t="shared" si="106"/>
        <v>477.46624219334331</v>
      </c>
      <c r="AO362" s="1154">
        <f t="shared" si="107"/>
        <v>1090.105575783889</v>
      </c>
      <c r="AP362" s="1147">
        <f t="shared" si="93"/>
        <v>0</v>
      </c>
      <c r="AQ362" s="1144">
        <f t="shared" si="94"/>
        <v>0</v>
      </c>
      <c r="AR362" s="1146">
        <f t="shared" si="95"/>
        <v>1090.105575783889</v>
      </c>
    </row>
    <row r="363" spans="1:44" x14ac:dyDescent="0.2">
      <c r="A363" s="1141" t="str">
        <f t="shared" si="90"/>
        <v>1504</v>
      </c>
      <c r="B363" s="1141" t="str">
        <f>IFERROR(VLOOKUP(A363,'LAC 103'!A:C,3,FALSE),"")</f>
        <v>OP</v>
      </c>
      <c r="C363" s="1478" t="str">
        <f>Info!$B$8</f>
        <v>00100</v>
      </c>
      <c r="D363" s="1474" t="s">
        <v>256</v>
      </c>
      <c r="E363" s="1474" t="s">
        <v>95</v>
      </c>
      <c r="F363" s="1478" t="s">
        <v>588</v>
      </c>
      <c r="G363" s="1478" t="s">
        <v>588</v>
      </c>
      <c r="H363" s="1474" t="s">
        <v>983</v>
      </c>
      <c r="I363" s="1478" t="s">
        <v>823</v>
      </c>
      <c r="J363" s="1478" t="s">
        <v>2001</v>
      </c>
      <c r="K363" s="1475" t="s">
        <v>851</v>
      </c>
      <c r="L363" s="1474" t="s">
        <v>584</v>
      </c>
      <c r="M363" s="1476" t="s">
        <v>1698</v>
      </c>
      <c r="N363" s="1477" t="s">
        <v>1693</v>
      </c>
      <c r="O363" s="1479">
        <v>886</v>
      </c>
      <c r="P363" s="1479"/>
      <c r="Q363" s="1142">
        <f t="shared" si="91"/>
        <v>886</v>
      </c>
      <c r="R363" s="1143">
        <f>IFERROR(VLOOKUP(CONCATENATE(E363,G363),'LAC 103'!$A$12:$O$95,11,FALSE),0)</f>
        <v>2.483156209074918</v>
      </c>
      <c r="S363" s="1144">
        <f>IFERROR(VLOOKUP(CONCATENATE($E363,$G363),'LAC 103'!$A$12:$O$95,12,FALSE),0)</f>
        <v>3.07</v>
      </c>
      <c r="T363" s="1144">
        <f>IFERROR(VLOOKUP(CONCATENATE($E363,$G363),'LAC 103'!$A$12:$O$95,13,FALSE),0)</f>
        <v>1.92</v>
      </c>
      <c r="U363" s="1144">
        <f>IFERROR(VLOOKUP(CONCATENATE($E363,$G363),'LAC 103'!$A$12:$O$95,14,FALSE),0)</f>
        <v>0</v>
      </c>
      <c r="V363" s="1144">
        <f>IFERROR(VLOOKUP(CONCATENATE($E363,$G363),'LAC 103'!$A$12:$O$95,15,FALSE),0)</f>
        <v>0</v>
      </c>
      <c r="W363" s="1145" t="str">
        <f>IFERROR(VLOOKUP(CONCATENATE($B363,$N363),'LAC 103'!$AI:$AQ,9,FALSE),"")</f>
        <v>Costs</v>
      </c>
      <c r="X363" s="1146">
        <f t="shared" si="96"/>
        <v>2.483156209074918</v>
      </c>
      <c r="Y363" s="1143">
        <f t="shared" si="97"/>
        <v>2200.0764012403774</v>
      </c>
      <c r="Z363" s="1147">
        <f t="shared" si="98"/>
        <v>2720.02</v>
      </c>
      <c r="AA363" s="1144">
        <f t="shared" si="99"/>
        <v>1701.12</v>
      </c>
      <c r="AB363" s="1144">
        <f t="shared" si="100"/>
        <v>0</v>
      </c>
      <c r="AC363" s="1144">
        <f t="shared" si="101"/>
        <v>0</v>
      </c>
      <c r="AD363" s="1148">
        <f t="shared" si="92"/>
        <v>2200.0764012403774</v>
      </c>
      <c r="AE363" s="1487">
        <v>0</v>
      </c>
      <c r="AF363" s="1145">
        <f t="shared" si="102"/>
        <v>2200.0764012403774</v>
      </c>
      <c r="AG363" s="1149">
        <f>IFERROR(VLOOKUP(CONCATENATE($L363,$N363),'Drop List'!$G$23:$K$87,2,FALSE),0)</f>
        <v>0.56200000000000006</v>
      </c>
      <c r="AH363" s="1150">
        <f>IFERROR(VLOOKUP(CONCATENATE($L363,$N363),'Drop List'!$G$23:$K$87,3,FALSE),0)</f>
        <v>0</v>
      </c>
      <c r="AI363" s="1150">
        <f>IFERROR(VLOOKUP(CONCATENATE($L363,$N363),'Drop List'!$G$23:$K$87,4,FALSE),0)</f>
        <v>0</v>
      </c>
      <c r="AJ363" s="1151">
        <f>IFERROR(VLOOKUP(CONCATENATE($L363,$N363),'Drop List'!$G$23:$K$87,5,FALSE),0)</f>
        <v>0.43799999999999994</v>
      </c>
      <c r="AK363" s="1152">
        <f t="shared" si="103"/>
        <v>1236.4429374970923</v>
      </c>
      <c r="AL363" s="1153">
        <f t="shared" si="104"/>
        <v>0</v>
      </c>
      <c r="AM363" s="1153">
        <f t="shared" si="105"/>
        <v>0</v>
      </c>
      <c r="AN363" s="1145">
        <f t="shared" si="106"/>
        <v>963.63346374328523</v>
      </c>
      <c r="AO363" s="1154">
        <f t="shared" si="107"/>
        <v>2200.0764012403774</v>
      </c>
      <c r="AP363" s="1147">
        <f t="shared" si="93"/>
        <v>0</v>
      </c>
      <c r="AQ363" s="1144">
        <f t="shared" si="94"/>
        <v>0</v>
      </c>
      <c r="AR363" s="1146">
        <f t="shared" si="95"/>
        <v>2200.0764012403774</v>
      </c>
    </row>
    <row r="364" spans="1:44" x14ac:dyDescent="0.2">
      <c r="A364" s="1141" t="str">
        <f t="shared" si="90"/>
        <v>1504</v>
      </c>
      <c r="B364" s="1141" t="str">
        <f>IFERROR(VLOOKUP(A364,'LAC 103'!A:C,3,FALSE),"")</f>
        <v>OP</v>
      </c>
      <c r="C364" s="1478" t="str">
        <f>Info!$B$8</f>
        <v>00100</v>
      </c>
      <c r="D364" s="1474" t="s">
        <v>256</v>
      </c>
      <c r="E364" s="1474" t="s">
        <v>95</v>
      </c>
      <c r="F364" s="1478" t="s">
        <v>588</v>
      </c>
      <c r="G364" s="1478" t="s">
        <v>588</v>
      </c>
      <c r="H364" s="1474" t="s">
        <v>1663</v>
      </c>
      <c r="I364" s="1478" t="s">
        <v>927</v>
      </c>
      <c r="J364" s="1478" t="s">
        <v>123</v>
      </c>
      <c r="K364" s="1475" t="s">
        <v>849</v>
      </c>
      <c r="L364" s="1474" t="s">
        <v>77</v>
      </c>
      <c r="M364" s="1476" t="s">
        <v>1699</v>
      </c>
      <c r="N364" s="1477" t="s">
        <v>1694</v>
      </c>
      <c r="O364" s="1479">
        <v>3928</v>
      </c>
      <c r="P364" s="1479"/>
      <c r="Q364" s="1142">
        <f t="shared" si="91"/>
        <v>3928</v>
      </c>
      <c r="R364" s="1143">
        <f>IFERROR(VLOOKUP(CONCATENATE(E364,G364),'LAC 103'!$A$12:$O$95,11,FALSE),0)</f>
        <v>2.483156209074918</v>
      </c>
      <c r="S364" s="1144">
        <f>IFERROR(VLOOKUP(CONCATENATE($E364,$G364),'LAC 103'!$A$12:$O$95,12,FALSE),0)</f>
        <v>3.07</v>
      </c>
      <c r="T364" s="1144">
        <f>IFERROR(VLOOKUP(CONCATENATE($E364,$G364),'LAC 103'!$A$12:$O$95,13,FALSE),0)</f>
        <v>1.92</v>
      </c>
      <c r="U364" s="1144">
        <f>IFERROR(VLOOKUP(CONCATENATE($E364,$G364),'LAC 103'!$A$12:$O$95,14,FALSE),0)</f>
        <v>0</v>
      </c>
      <c r="V364" s="1144">
        <f>IFERROR(VLOOKUP(CONCATENATE($E364,$G364),'LAC 103'!$A$12:$O$95,15,FALSE),0)</f>
        <v>0</v>
      </c>
      <c r="W364" s="1145" t="str">
        <f>IFERROR(VLOOKUP(CONCATENATE($B364,$N364),'LAC 103'!$AI:$AQ,9,FALSE),"")</f>
        <v>Costs</v>
      </c>
      <c r="X364" s="1146">
        <f t="shared" si="96"/>
        <v>2.483156209074918</v>
      </c>
      <c r="Y364" s="1143">
        <f t="shared" si="97"/>
        <v>9753.8375892462773</v>
      </c>
      <c r="Z364" s="1147">
        <f t="shared" si="98"/>
        <v>12058.96</v>
      </c>
      <c r="AA364" s="1144">
        <f t="shared" si="99"/>
        <v>7541.7599999999993</v>
      </c>
      <c r="AB364" s="1144">
        <f t="shared" si="100"/>
        <v>0</v>
      </c>
      <c r="AC364" s="1144">
        <f t="shared" si="101"/>
        <v>0</v>
      </c>
      <c r="AD364" s="1148">
        <f t="shared" si="92"/>
        <v>9753.8375892462773</v>
      </c>
      <c r="AE364" s="1487">
        <v>0</v>
      </c>
      <c r="AF364" s="1145">
        <f t="shared" si="102"/>
        <v>9753.8375892462773</v>
      </c>
      <c r="AG364" s="1149">
        <f>IFERROR(VLOOKUP(CONCATENATE($L364,$N364),'Drop List'!$G$23:$K$87,2,FALSE),0)</f>
        <v>0.9</v>
      </c>
      <c r="AH364" s="1150">
        <f>IFERROR(VLOOKUP(CONCATENATE($L364,$N364),'Drop List'!$G$23:$K$87,3,FALSE),0)</f>
        <v>0</v>
      </c>
      <c r="AI364" s="1150">
        <f>IFERROR(VLOOKUP(CONCATENATE($L364,$N364),'Drop List'!$G$23:$K$87,4,FALSE),0)</f>
        <v>0.1</v>
      </c>
      <c r="AJ364" s="1151">
        <f>IFERROR(VLOOKUP(CONCATENATE($L364,$N364),'Drop List'!$G$23:$K$87,5,FALSE),0)</f>
        <v>0</v>
      </c>
      <c r="AK364" s="1152">
        <f t="shared" si="103"/>
        <v>8778.4538303216505</v>
      </c>
      <c r="AL364" s="1153">
        <f t="shared" si="104"/>
        <v>0</v>
      </c>
      <c r="AM364" s="1153">
        <f t="shared" si="105"/>
        <v>975.38375892462773</v>
      </c>
      <c r="AN364" s="1145">
        <f t="shared" si="106"/>
        <v>0</v>
      </c>
      <c r="AO364" s="1154">
        <f t="shared" si="107"/>
        <v>9753.8375892462791</v>
      </c>
      <c r="AP364" s="1147">
        <f t="shared" si="93"/>
        <v>0</v>
      </c>
      <c r="AQ364" s="1144">
        <f t="shared" si="94"/>
        <v>0</v>
      </c>
      <c r="AR364" s="1146">
        <f t="shared" si="95"/>
        <v>9753.8375892462791</v>
      </c>
    </row>
    <row r="365" spans="1:44" x14ac:dyDescent="0.2">
      <c r="A365" s="1141" t="str">
        <f t="shared" si="90"/>
        <v>1504</v>
      </c>
      <c r="B365" s="1141" t="str">
        <f>IFERROR(VLOOKUP(A365,'LAC 103'!A:C,3,FALSE),"")</f>
        <v>OP</v>
      </c>
      <c r="C365" s="1478" t="str">
        <f>Info!$B$8</f>
        <v>00100</v>
      </c>
      <c r="D365" s="1474" t="s">
        <v>256</v>
      </c>
      <c r="E365" s="1474" t="s">
        <v>95</v>
      </c>
      <c r="F365" s="1478" t="s">
        <v>588</v>
      </c>
      <c r="G365" s="1478" t="s">
        <v>588</v>
      </c>
      <c r="H365" s="1474" t="s">
        <v>1663</v>
      </c>
      <c r="I365" s="1478" t="s">
        <v>927</v>
      </c>
      <c r="J365" s="1478"/>
      <c r="K365" s="1475" t="s">
        <v>849</v>
      </c>
      <c r="L365" s="1474" t="s">
        <v>77</v>
      </c>
      <c r="M365" s="1476" t="s">
        <v>842</v>
      </c>
      <c r="N365" s="1477" t="s">
        <v>1692</v>
      </c>
      <c r="O365" s="1479">
        <v>5993</v>
      </c>
      <c r="P365" s="1479"/>
      <c r="Q365" s="1142">
        <f t="shared" si="91"/>
        <v>5993</v>
      </c>
      <c r="R365" s="1143">
        <f>IFERROR(VLOOKUP(CONCATENATE(E365,G365),'LAC 103'!$A$12:$O$95,11,FALSE),0)</f>
        <v>2.483156209074918</v>
      </c>
      <c r="S365" s="1144">
        <f>IFERROR(VLOOKUP(CONCATENATE($E365,$G365),'LAC 103'!$A$12:$O$95,12,FALSE),0)</f>
        <v>3.07</v>
      </c>
      <c r="T365" s="1144">
        <f>IFERROR(VLOOKUP(CONCATENATE($E365,$G365),'LAC 103'!$A$12:$O$95,13,FALSE),0)</f>
        <v>1.92</v>
      </c>
      <c r="U365" s="1144">
        <f>IFERROR(VLOOKUP(CONCATENATE($E365,$G365),'LAC 103'!$A$12:$O$95,14,FALSE),0)</f>
        <v>0</v>
      </c>
      <c r="V365" s="1144">
        <f>IFERROR(VLOOKUP(CONCATENATE($E365,$G365),'LAC 103'!$A$12:$O$95,15,FALSE),0)</f>
        <v>0</v>
      </c>
      <c r="W365" s="1145" t="str">
        <f>IFERROR(VLOOKUP(CONCATENATE($B365,$N365),'LAC 103'!$AI:$AQ,9,FALSE),"")</f>
        <v>Costs</v>
      </c>
      <c r="X365" s="1146">
        <f t="shared" si="96"/>
        <v>2.483156209074918</v>
      </c>
      <c r="Y365" s="1143">
        <f t="shared" si="97"/>
        <v>14881.555160985983</v>
      </c>
      <c r="Z365" s="1147">
        <f t="shared" si="98"/>
        <v>18398.509999999998</v>
      </c>
      <c r="AA365" s="1144">
        <f t="shared" si="99"/>
        <v>11506.56</v>
      </c>
      <c r="AB365" s="1144">
        <f t="shared" si="100"/>
        <v>0</v>
      </c>
      <c r="AC365" s="1144">
        <f t="shared" si="101"/>
        <v>0</v>
      </c>
      <c r="AD365" s="1148">
        <f t="shared" si="92"/>
        <v>14881.555160985983</v>
      </c>
      <c r="AE365" s="1487">
        <v>0</v>
      </c>
      <c r="AF365" s="1145">
        <f t="shared" si="102"/>
        <v>14881.555160985983</v>
      </c>
      <c r="AG365" s="1149">
        <f>IFERROR(VLOOKUP(CONCATENATE($L365,$N365),'Drop List'!$G$23:$K$87,2,FALSE),0)</f>
        <v>0.9</v>
      </c>
      <c r="AH365" s="1150">
        <f>IFERROR(VLOOKUP(CONCATENATE($L365,$N365),'Drop List'!$G$23:$K$87,3,FALSE),0)</f>
        <v>0</v>
      </c>
      <c r="AI365" s="1150">
        <f>IFERROR(VLOOKUP(CONCATENATE($L365,$N365),'Drop List'!$G$23:$K$87,4,FALSE),0)</f>
        <v>0.1</v>
      </c>
      <c r="AJ365" s="1151">
        <f>IFERROR(VLOOKUP(CONCATENATE($L365,$N365),'Drop List'!$G$23:$K$87,5,FALSE),0)</f>
        <v>0</v>
      </c>
      <c r="AK365" s="1152">
        <f t="shared" si="103"/>
        <v>13393.399644887386</v>
      </c>
      <c r="AL365" s="1153">
        <f t="shared" si="104"/>
        <v>0</v>
      </c>
      <c r="AM365" s="1153">
        <f t="shared" si="105"/>
        <v>1488.1555160985984</v>
      </c>
      <c r="AN365" s="1145">
        <f t="shared" si="106"/>
        <v>0</v>
      </c>
      <c r="AO365" s="1154">
        <f t="shared" si="107"/>
        <v>14881.555160985985</v>
      </c>
      <c r="AP365" s="1147">
        <f t="shared" si="93"/>
        <v>0</v>
      </c>
      <c r="AQ365" s="1144">
        <f t="shared" si="94"/>
        <v>0</v>
      </c>
      <c r="AR365" s="1146">
        <f t="shared" si="95"/>
        <v>14881.555160985985</v>
      </c>
    </row>
    <row r="366" spans="1:44" x14ac:dyDescent="0.2">
      <c r="A366" s="1141" t="str">
        <f t="shared" si="90"/>
        <v>1504</v>
      </c>
      <c r="B366" s="1141" t="str">
        <f>IFERROR(VLOOKUP(A366,'LAC 103'!A:C,3,FALSE),"")</f>
        <v>OP</v>
      </c>
      <c r="C366" s="1478" t="str">
        <f>Info!$B$8</f>
        <v>00100</v>
      </c>
      <c r="D366" s="1474" t="s">
        <v>256</v>
      </c>
      <c r="E366" s="1474" t="s">
        <v>95</v>
      </c>
      <c r="F366" s="1478" t="s">
        <v>588</v>
      </c>
      <c r="G366" s="1478" t="s">
        <v>588</v>
      </c>
      <c r="H366" s="1474" t="s">
        <v>1663</v>
      </c>
      <c r="I366" s="1478" t="s">
        <v>927</v>
      </c>
      <c r="J366" s="1478"/>
      <c r="K366" s="1475" t="s">
        <v>849</v>
      </c>
      <c r="L366" s="1474" t="s">
        <v>77</v>
      </c>
      <c r="M366" s="1476" t="s">
        <v>1698</v>
      </c>
      <c r="N366" s="1477" t="s">
        <v>1693</v>
      </c>
      <c r="O366" s="1479">
        <v>7755</v>
      </c>
      <c r="P366" s="1479"/>
      <c r="Q366" s="1142">
        <f t="shared" si="91"/>
        <v>7755</v>
      </c>
      <c r="R366" s="1143">
        <f>IFERROR(VLOOKUP(CONCATENATE(E366,G366),'LAC 103'!$A$12:$O$95,11,FALSE),0)</f>
        <v>2.483156209074918</v>
      </c>
      <c r="S366" s="1144">
        <f>IFERROR(VLOOKUP(CONCATENATE($E366,$G366),'LAC 103'!$A$12:$O$95,12,FALSE),0)</f>
        <v>3.07</v>
      </c>
      <c r="T366" s="1144">
        <f>IFERROR(VLOOKUP(CONCATENATE($E366,$G366),'LAC 103'!$A$12:$O$95,13,FALSE),0)</f>
        <v>1.92</v>
      </c>
      <c r="U366" s="1144">
        <f>IFERROR(VLOOKUP(CONCATENATE($E366,$G366),'LAC 103'!$A$12:$O$95,14,FALSE),0)</f>
        <v>0</v>
      </c>
      <c r="V366" s="1144">
        <f>IFERROR(VLOOKUP(CONCATENATE($E366,$G366),'LAC 103'!$A$12:$O$95,15,FALSE),0)</f>
        <v>0</v>
      </c>
      <c r="W366" s="1145" t="str">
        <f>IFERROR(VLOOKUP(CONCATENATE($B366,$N366),'LAC 103'!$AI:$AQ,9,FALSE),"")</f>
        <v>Costs</v>
      </c>
      <c r="X366" s="1146">
        <f t="shared" si="96"/>
        <v>2.483156209074918</v>
      </c>
      <c r="Y366" s="1143">
        <f t="shared" si="97"/>
        <v>19256.87640137599</v>
      </c>
      <c r="Z366" s="1147">
        <f t="shared" si="98"/>
        <v>23807.85</v>
      </c>
      <c r="AA366" s="1144">
        <f t="shared" si="99"/>
        <v>14889.599999999999</v>
      </c>
      <c r="AB366" s="1144">
        <f t="shared" si="100"/>
        <v>0</v>
      </c>
      <c r="AC366" s="1144">
        <f t="shared" si="101"/>
        <v>0</v>
      </c>
      <c r="AD366" s="1148">
        <f t="shared" si="92"/>
        <v>19256.87640137599</v>
      </c>
      <c r="AE366" s="1487">
        <v>0</v>
      </c>
      <c r="AF366" s="1145">
        <f t="shared" si="102"/>
        <v>19256.87640137599</v>
      </c>
      <c r="AG366" s="1149">
        <f>IFERROR(VLOOKUP(CONCATENATE($L366,$N366),'Drop List'!$G$23:$K$87,2,FALSE),0)</f>
        <v>0.9</v>
      </c>
      <c r="AH366" s="1150">
        <f>IFERROR(VLOOKUP(CONCATENATE($L366,$N366),'Drop List'!$G$23:$K$87,3,FALSE),0)</f>
        <v>0</v>
      </c>
      <c r="AI366" s="1150">
        <f>IFERROR(VLOOKUP(CONCATENATE($L366,$N366),'Drop List'!$G$23:$K$87,4,FALSE),0)</f>
        <v>0.1</v>
      </c>
      <c r="AJ366" s="1151">
        <f>IFERROR(VLOOKUP(CONCATENATE($L366,$N366),'Drop List'!$G$23:$K$87,5,FALSE),0)</f>
        <v>0</v>
      </c>
      <c r="AK366" s="1152">
        <f t="shared" si="103"/>
        <v>17331.188761238391</v>
      </c>
      <c r="AL366" s="1153">
        <f t="shared" si="104"/>
        <v>0</v>
      </c>
      <c r="AM366" s="1153">
        <f t="shared" si="105"/>
        <v>1925.6876401375991</v>
      </c>
      <c r="AN366" s="1145">
        <f t="shared" si="106"/>
        <v>0</v>
      </c>
      <c r="AO366" s="1154">
        <f t="shared" si="107"/>
        <v>19256.87640137599</v>
      </c>
      <c r="AP366" s="1147">
        <f t="shared" si="93"/>
        <v>0</v>
      </c>
      <c r="AQ366" s="1144">
        <f t="shared" si="94"/>
        <v>0</v>
      </c>
      <c r="AR366" s="1146">
        <f t="shared" si="95"/>
        <v>19256.87640137599</v>
      </c>
    </row>
    <row r="367" spans="1:44" x14ac:dyDescent="0.2">
      <c r="A367" s="1141" t="str">
        <f t="shared" si="90"/>
        <v>1504</v>
      </c>
      <c r="B367" s="1141" t="str">
        <f>IFERROR(VLOOKUP(A367,'LAC 103'!A:C,3,FALSE),"")</f>
        <v>OP</v>
      </c>
      <c r="C367" s="1478" t="str">
        <f>Info!$B$8</f>
        <v>00100</v>
      </c>
      <c r="D367" s="1474" t="s">
        <v>256</v>
      </c>
      <c r="E367" s="1474" t="s">
        <v>95</v>
      </c>
      <c r="F367" s="1478" t="s">
        <v>588</v>
      </c>
      <c r="G367" s="1478" t="s">
        <v>588</v>
      </c>
      <c r="H367" s="1474" t="s">
        <v>1663</v>
      </c>
      <c r="I367" s="1478" t="s">
        <v>927</v>
      </c>
      <c r="J367" s="1478"/>
      <c r="K367" s="1475" t="s">
        <v>971</v>
      </c>
      <c r="L367" s="1474" t="s">
        <v>332</v>
      </c>
      <c r="M367" s="1476" t="s">
        <v>842</v>
      </c>
      <c r="N367" s="1477" t="s">
        <v>1692</v>
      </c>
      <c r="O367" s="1479">
        <v>1455</v>
      </c>
      <c r="P367" s="1479"/>
      <c r="Q367" s="1142">
        <f t="shared" si="91"/>
        <v>1455</v>
      </c>
      <c r="R367" s="1143">
        <f>IFERROR(VLOOKUP(CONCATENATE(E367,G367),'LAC 103'!$A$12:$O$95,11,FALSE),0)</f>
        <v>2.483156209074918</v>
      </c>
      <c r="S367" s="1144">
        <f>IFERROR(VLOOKUP(CONCATENATE($E367,$G367),'LAC 103'!$A$12:$O$95,12,FALSE),0)</f>
        <v>3.07</v>
      </c>
      <c r="T367" s="1144">
        <f>IFERROR(VLOOKUP(CONCATENATE($E367,$G367),'LAC 103'!$A$12:$O$95,13,FALSE),0)</f>
        <v>1.92</v>
      </c>
      <c r="U367" s="1144">
        <f>IFERROR(VLOOKUP(CONCATENATE($E367,$G367),'LAC 103'!$A$12:$O$95,14,FALSE),0)</f>
        <v>0</v>
      </c>
      <c r="V367" s="1144">
        <f>IFERROR(VLOOKUP(CONCATENATE($E367,$G367),'LAC 103'!$A$12:$O$95,15,FALSE),0)</f>
        <v>0</v>
      </c>
      <c r="W367" s="1145" t="str">
        <f>IFERROR(VLOOKUP(CONCATENATE($B367,$N367),'LAC 103'!$AI:$AQ,9,FALSE),"")</f>
        <v>Costs</v>
      </c>
      <c r="X367" s="1146">
        <f t="shared" si="96"/>
        <v>2.483156209074918</v>
      </c>
      <c r="Y367" s="1143">
        <f t="shared" si="97"/>
        <v>3612.9922842040055</v>
      </c>
      <c r="Z367" s="1147">
        <f t="shared" si="98"/>
        <v>4466.8499999999995</v>
      </c>
      <c r="AA367" s="1144">
        <f t="shared" si="99"/>
        <v>2793.6</v>
      </c>
      <c r="AB367" s="1144">
        <f t="shared" si="100"/>
        <v>0</v>
      </c>
      <c r="AC367" s="1144">
        <f t="shared" si="101"/>
        <v>0</v>
      </c>
      <c r="AD367" s="1148">
        <f t="shared" si="92"/>
        <v>3612.9922842040055</v>
      </c>
      <c r="AE367" s="1487">
        <v>0</v>
      </c>
      <c r="AF367" s="1145">
        <f t="shared" si="102"/>
        <v>3612.9922842040055</v>
      </c>
      <c r="AG367" s="1149">
        <f>IFERROR(VLOOKUP(CONCATENATE($L367,$N367),'Drop List'!$G$23:$K$87,2,FALSE),0)</f>
        <v>0</v>
      </c>
      <c r="AH367" s="1150">
        <f>IFERROR(VLOOKUP(CONCATENATE($L367,$N367),'Drop List'!$G$23:$K$87,3,FALSE),0)</f>
        <v>0</v>
      </c>
      <c r="AI367" s="1150">
        <f>IFERROR(VLOOKUP(CONCATENATE($L367,$N367),'Drop List'!$G$23:$K$87,4,FALSE),0)</f>
        <v>0</v>
      </c>
      <c r="AJ367" s="1151">
        <f>IFERROR(VLOOKUP(CONCATENATE($L367,$N367),'Drop List'!$G$23:$K$87,5,FALSE),0)</f>
        <v>0</v>
      </c>
      <c r="AK367" s="1152">
        <f t="shared" si="103"/>
        <v>0</v>
      </c>
      <c r="AL367" s="1153">
        <f t="shared" si="104"/>
        <v>0</v>
      </c>
      <c r="AM367" s="1153">
        <f t="shared" si="105"/>
        <v>0</v>
      </c>
      <c r="AN367" s="1145">
        <f t="shared" si="106"/>
        <v>0</v>
      </c>
      <c r="AO367" s="1154">
        <f t="shared" si="107"/>
        <v>0</v>
      </c>
      <c r="AP367" s="1147">
        <f t="shared" si="93"/>
        <v>3612.9922842040055</v>
      </c>
      <c r="AQ367" s="1144">
        <f t="shared" si="94"/>
        <v>0</v>
      </c>
      <c r="AR367" s="1146">
        <f t="shared" si="95"/>
        <v>3612.9922842040055</v>
      </c>
    </row>
    <row r="368" spans="1:44" x14ac:dyDescent="0.2">
      <c r="A368" s="1141" t="str">
        <f t="shared" si="90"/>
        <v>1504</v>
      </c>
      <c r="B368" s="1141" t="str">
        <f>IFERROR(VLOOKUP(A368,'LAC 103'!A:C,3,FALSE),"")</f>
        <v>OP</v>
      </c>
      <c r="C368" s="1478" t="str">
        <f>Info!$B$8</f>
        <v>00100</v>
      </c>
      <c r="D368" s="1474" t="s">
        <v>256</v>
      </c>
      <c r="E368" s="1474" t="s">
        <v>95</v>
      </c>
      <c r="F368" s="1478" t="s">
        <v>588</v>
      </c>
      <c r="G368" s="1478" t="s">
        <v>588</v>
      </c>
      <c r="H368" s="1474" t="s">
        <v>1663</v>
      </c>
      <c r="I368" s="1478" t="s">
        <v>927</v>
      </c>
      <c r="J368" s="1478"/>
      <c r="K368" s="1475" t="s">
        <v>971</v>
      </c>
      <c r="L368" s="1474" t="s">
        <v>332</v>
      </c>
      <c r="M368" s="1476" t="s">
        <v>1698</v>
      </c>
      <c r="N368" s="1477" t="s">
        <v>1693</v>
      </c>
      <c r="O368" s="1479">
        <v>188</v>
      </c>
      <c r="P368" s="1479"/>
      <c r="Q368" s="1142">
        <f t="shared" si="91"/>
        <v>188</v>
      </c>
      <c r="R368" s="1143">
        <f>IFERROR(VLOOKUP(CONCATENATE(E368,G368),'LAC 103'!$A$12:$O$95,11,FALSE),0)</f>
        <v>2.483156209074918</v>
      </c>
      <c r="S368" s="1144">
        <f>IFERROR(VLOOKUP(CONCATENATE($E368,$G368),'LAC 103'!$A$12:$O$95,12,FALSE),0)</f>
        <v>3.07</v>
      </c>
      <c r="T368" s="1144">
        <f>IFERROR(VLOOKUP(CONCATENATE($E368,$G368),'LAC 103'!$A$12:$O$95,13,FALSE),0)</f>
        <v>1.92</v>
      </c>
      <c r="U368" s="1144">
        <f>IFERROR(VLOOKUP(CONCATENATE($E368,$G368),'LAC 103'!$A$12:$O$95,14,FALSE),0)</f>
        <v>0</v>
      </c>
      <c r="V368" s="1144">
        <f>IFERROR(VLOOKUP(CONCATENATE($E368,$G368),'LAC 103'!$A$12:$O$95,15,FALSE),0)</f>
        <v>0</v>
      </c>
      <c r="W368" s="1145" t="str">
        <f>IFERROR(VLOOKUP(CONCATENATE($B368,$N368),'LAC 103'!$AI:$AQ,9,FALSE),"")</f>
        <v>Costs</v>
      </c>
      <c r="X368" s="1146">
        <f t="shared" si="96"/>
        <v>2.483156209074918</v>
      </c>
      <c r="Y368" s="1143">
        <f t="shared" si="97"/>
        <v>466.8333673060846</v>
      </c>
      <c r="Z368" s="1147">
        <f t="shared" si="98"/>
        <v>577.16</v>
      </c>
      <c r="AA368" s="1144">
        <f t="shared" si="99"/>
        <v>360.96</v>
      </c>
      <c r="AB368" s="1144">
        <f t="shared" si="100"/>
        <v>0</v>
      </c>
      <c r="AC368" s="1144">
        <f t="shared" si="101"/>
        <v>0</v>
      </c>
      <c r="AD368" s="1148">
        <f t="shared" si="92"/>
        <v>466.8333673060846</v>
      </c>
      <c r="AE368" s="1487">
        <v>0</v>
      </c>
      <c r="AF368" s="1145">
        <f t="shared" si="102"/>
        <v>466.8333673060846</v>
      </c>
      <c r="AG368" s="1149">
        <f>IFERROR(VLOOKUP(CONCATENATE($L368,$N368),'Drop List'!$G$23:$K$87,2,FALSE),0)</f>
        <v>0</v>
      </c>
      <c r="AH368" s="1150">
        <f>IFERROR(VLOOKUP(CONCATENATE($L368,$N368),'Drop List'!$G$23:$K$87,3,FALSE),0)</f>
        <v>0</v>
      </c>
      <c r="AI368" s="1150">
        <f>IFERROR(VLOOKUP(CONCATENATE($L368,$N368),'Drop List'!$G$23:$K$87,4,FALSE),0)</f>
        <v>0</v>
      </c>
      <c r="AJ368" s="1151">
        <f>IFERROR(VLOOKUP(CONCATENATE($L368,$N368),'Drop List'!$G$23:$K$87,5,FALSE),0)</f>
        <v>0</v>
      </c>
      <c r="AK368" s="1152">
        <f t="shared" si="103"/>
        <v>0</v>
      </c>
      <c r="AL368" s="1153">
        <f t="shared" si="104"/>
        <v>0</v>
      </c>
      <c r="AM368" s="1153">
        <f t="shared" si="105"/>
        <v>0</v>
      </c>
      <c r="AN368" s="1145">
        <f t="shared" si="106"/>
        <v>0</v>
      </c>
      <c r="AO368" s="1154">
        <f t="shared" si="107"/>
        <v>0</v>
      </c>
      <c r="AP368" s="1147">
        <f t="shared" si="93"/>
        <v>466.8333673060846</v>
      </c>
      <c r="AQ368" s="1144">
        <f t="shared" si="94"/>
        <v>0</v>
      </c>
      <c r="AR368" s="1146">
        <f t="shared" si="95"/>
        <v>466.8333673060846</v>
      </c>
    </row>
    <row r="369" spans="1:44" x14ac:dyDescent="0.2">
      <c r="A369" s="1141" t="str">
        <f t="shared" si="90"/>
        <v>1504</v>
      </c>
      <c r="B369" s="1141" t="str">
        <f>IFERROR(VLOOKUP(A369,'LAC 103'!A:C,3,FALSE),"")</f>
        <v>OP</v>
      </c>
      <c r="C369" s="1478" t="str">
        <f>Info!$B$8</f>
        <v>00100</v>
      </c>
      <c r="D369" s="1474" t="s">
        <v>256</v>
      </c>
      <c r="E369" s="1474" t="s">
        <v>95</v>
      </c>
      <c r="F369" s="1478" t="s">
        <v>588</v>
      </c>
      <c r="G369" s="1478" t="s">
        <v>588</v>
      </c>
      <c r="H369" s="1474" t="s">
        <v>1663</v>
      </c>
      <c r="I369" s="1478" t="s">
        <v>927</v>
      </c>
      <c r="J369" s="1478"/>
      <c r="K369" s="1475" t="s">
        <v>851</v>
      </c>
      <c r="L369" s="1474" t="s">
        <v>584</v>
      </c>
      <c r="M369" s="1476" t="s">
        <v>1699</v>
      </c>
      <c r="N369" s="1477" t="s">
        <v>1694</v>
      </c>
      <c r="O369" s="1479">
        <v>987</v>
      </c>
      <c r="P369" s="1479"/>
      <c r="Q369" s="1142">
        <f t="shared" si="91"/>
        <v>987</v>
      </c>
      <c r="R369" s="1143">
        <f>IFERROR(VLOOKUP(CONCATENATE(E369,G369),'LAC 103'!$A$12:$O$95,11,FALSE),0)</f>
        <v>2.483156209074918</v>
      </c>
      <c r="S369" s="1144">
        <f>IFERROR(VLOOKUP(CONCATENATE($E369,$G369),'LAC 103'!$A$12:$O$95,12,FALSE),0)</f>
        <v>3.07</v>
      </c>
      <c r="T369" s="1144">
        <f>IFERROR(VLOOKUP(CONCATENATE($E369,$G369),'LAC 103'!$A$12:$O$95,13,FALSE),0)</f>
        <v>1.92</v>
      </c>
      <c r="U369" s="1144">
        <f>IFERROR(VLOOKUP(CONCATENATE($E369,$G369),'LAC 103'!$A$12:$O$95,14,FALSE),0)</f>
        <v>0</v>
      </c>
      <c r="V369" s="1144">
        <f>IFERROR(VLOOKUP(CONCATENATE($E369,$G369),'LAC 103'!$A$12:$O$95,15,FALSE),0)</f>
        <v>0</v>
      </c>
      <c r="W369" s="1145" t="str">
        <f>IFERROR(VLOOKUP(CONCATENATE($B369,$N369),'LAC 103'!$AI:$AQ,9,FALSE),"")</f>
        <v>Costs</v>
      </c>
      <c r="X369" s="1146">
        <f t="shared" si="96"/>
        <v>2.483156209074918</v>
      </c>
      <c r="Y369" s="1143">
        <f t="shared" si="97"/>
        <v>2450.8751783569442</v>
      </c>
      <c r="Z369" s="1147">
        <f t="shared" si="98"/>
        <v>3030.0899999999997</v>
      </c>
      <c r="AA369" s="1144">
        <f t="shared" si="99"/>
        <v>1895.04</v>
      </c>
      <c r="AB369" s="1144">
        <f t="shared" si="100"/>
        <v>0</v>
      </c>
      <c r="AC369" s="1144">
        <f t="shared" si="101"/>
        <v>0</v>
      </c>
      <c r="AD369" s="1148">
        <f t="shared" si="92"/>
        <v>2450.8751783569442</v>
      </c>
      <c r="AE369" s="1487">
        <v>0</v>
      </c>
      <c r="AF369" s="1145">
        <f t="shared" si="102"/>
        <v>2450.8751783569442</v>
      </c>
      <c r="AG369" s="1149">
        <f>IFERROR(VLOOKUP(CONCATENATE($L369,$N369),'Drop List'!$G$23:$K$87,2,FALSE),0)</f>
        <v>0.56200000000000006</v>
      </c>
      <c r="AH369" s="1150">
        <f>IFERROR(VLOOKUP(CONCATENATE($L369,$N369),'Drop List'!$G$23:$K$87,3,FALSE),0)</f>
        <v>0</v>
      </c>
      <c r="AI369" s="1150">
        <f>IFERROR(VLOOKUP(CONCATENATE($L369,$N369),'Drop List'!$G$23:$K$87,4,FALSE),0)</f>
        <v>0</v>
      </c>
      <c r="AJ369" s="1151">
        <f>IFERROR(VLOOKUP(CONCATENATE($L369,$N369),'Drop List'!$G$23:$K$87,5,FALSE),0)</f>
        <v>0.43799999999999994</v>
      </c>
      <c r="AK369" s="1152">
        <f t="shared" si="103"/>
        <v>1377.3918502366027</v>
      </c>
      <c r="AL369" s="1153">
        <f t="shared" si="104"/>
        <v>0</v>
      </c>
      <c r="AM369" s="1153">
        <f t="shared" si="105"/>
        <v>0</v>
      </c>
      <c r="AN369" s="1145">
        <f t="shared" si="106"/>
        <v>1073.4833281203414</v>
      </c>
      <c r="AO369" s="1154">
        <f t="shared" si="107"/>
        <v>2450.8751783569442</v>
      </c>
      <c r="AP369" s="1147">
        <f t="shared" si="93"/>
        <v>0</v>
      </c>
      <c r="AQ369" s="1144">
        <f t="shared" si="94"/>
        <v>0</v>
      </c>
      <c r="AR369" s="1146">
        <f t="shared" si="95"/>
        <v>2450.8751783569442</v>
      </c>
    </row>
    <row r="370" spans="1:44" x14ac:dyDescent="0.2">
      <c r="A370" s="1141" t="str">
        <f t="shared" si="90"/>
        <v>1504</v>
      </c>
      <c r="B370" s="1141" t="str">
        <f>IFERROR(VLOOKUP(A370,'LAC 103'!A:C,3,FALSE),"")</f>
        <v>OP</v>
      </c>
      <c r="C370" s="1478" t="str">
        <f>Info!$B$8</f>
        <v>00100</v>
      </c>
      <c r="D370" s="1474" t="s">
        <v>256</v>
      </c>
      <c r="E370" s="1474" t="s">
        <v>95</v>
      </c>
      <c r="F370" s="1478" t="s">
        <v>588</v>
      </c>
      <c r="G370" s="1478" t="s">
        <v>588</v>
      </c>
      <c r="H370" s="1474" t="s">
        <v>1663</v>
      </c>
      <c r="I370" s="1478" t="s">
        <v>927</v>
      </c>
      <c r="J370" s="1478"/>
      <c r="K370" s="1475" t="s">
        <v>851</v>
      </c>
      <c r="L370" s="1474" t="s">
        <v>584</v>
      </c>
      <c r="M370" s="1476" t="s">
        <v>841</v>
      </c>
      <c r="N370" s="1477" t="s">
        <v>1695</v>
      </c>
      <c r="O370" s="1479">
        <v>324</v>
      </c>
      <c r="P370" s="1479"/>
      <c r="Q370" s="1142">
        <f t="shared" si="91"/>
        <v>324</v>
      </c>
      <c r="R370" s="1143">
        <f>IFERROR(VLOOKUP(CONCATENATE(E370,G370),'LAC 103'!$A$12:$O$95,11,FALSE),0)</f>
        <v>2.483156209074918</v>
      </c>
      <c r="S370" s="1144">
        <f>IFERROR(VLOOKUP(CONCATENATE($E370,$G370),'LAC 103'!$A$12:$O$95,12,FALSE),0)</f>
        <v>3.07</v>
      </c>
      <c r="T370" s="1144">
        <f>IFERROR(VLOOKUP(CONCATENATE($E370,$G370),'LAC 103'!$A$12:$O$95,13,FALSE),0)</f>
        <v>1.92</v>
      </c>
      <c r="U370" s="1144">
        <f>IFERROR(VLOOKUP(CONCATENATE($E370,$G370),'LAC 103'!$A$12:$O$95,14,FALSE),0)</f>
        <v>0</v>
      </c>
      <c r="V370" s="1144">
        <f>IFERROR(VLOOKUP(CONCATENATE($E370,$G370),'LAC 103'!$A$12:$O$95,15,FALSE),0)</f>
        <v>0</v>
      </c>
      <c r="W370" s="1145" t="str">
        <f>IFERROR(VLOOKUP(CONCATENATE($B370,$N370),'LAC 103'!$AI:$AQ,9,FALSE),"")</f>
        <v>Costs</v>
      </c>
      <c r="X370" s="1146">
        <f t="shared" si="96"/>
        <v>2.483156209074918</v>
      </c>
      <c r="Y370" s="1143">
        <f t="shared" si="97"/>
        <v>804.5426117402734</v>
      </c>
      <c r="Z370" s="1147">
        <f t="shared" si="98"/>
        <v>994.68</v>
      </c>
      <c r="AA370" s="1144">
        <f t="shared" si="99"/>
        <v>622.07999999999993</v>
      </c>
      <c r="AB370" s="1144">
        <f t="shared" si="100"/>
        <v>0</v>
      </c>
      <c r="AC370" s="1144">
        <f t="shared" si="101"/>
        <v>0</v>
      </c>
      <c r="AD370" s="1148">
        <f t="shared" si="92"/>
        <v>804.5426117402734</v>
      </c>
      <c r="AE370" s="1487">
        <v>0</v>
      </c>
      <c r="AF370" s="1145">
        <f t="shared" si="102"/>
        <v>804.5426117402734</v>
      </c>
      <c r="AG370" s="1149">
        <f>IFERROR(VLOOKUP(CONCATENATE($L370,$N370),'Drop List'!$G$23:$K$87,2,FALSE),0)</f>
        <v>0.55000000000000004</v>
      </c>
      <c r="AH370" s="1150">
        <f>IFERROR(VLOOKUP(CONCATENATE($L370,$N370),'Drop List'!$G$23:$K$87,3,FALSE),0)</f>
        <v>0</v>
      </c>
      <c r="AI370" s="1150">
        <f>IFERROR(VLOOKUP(CONCATENATE($L370,$N370),'Drop List'!$G$23:$K$87,4,FALSE),0)</f>
        <v>0</v>
      </c>
      <c r="AJ370" s="1151">
        <f>IFERROR(VLOOKUP(CONCATENATE($L370,$N370),'Drop List'!$G$23:$K$87,5,FALSE),0)</f>
        <v>0.44999999999999996</v>
      </c>
      <c r="AK370" s="1152">
        <f t="shared" si="103"/>
        <v>442.49843645715043</v>
      </c>
      <c r="AL370" s="1153">
        <f t="shared" si="104"/>
        <v>0</v>
      </c>
      <c r="AM370" s="1153">
        <f t="shared" si="105"/>
        <v>0</v>
      </c>
      <c r="AN370" s="1145">
        <f t="shared" si="106"/>
        <v>362.04417528312297</v>
      </c>
      <c r="AO370" s="1154">
        <f t="shared" si="107"/>
        <v>804.5426117402734</v>
      </c>
      <c r="AP370" s="1147">
        <f t="shared" si="93"/>
        <v>0</v>
      </c>
      <c r="AQ370" s="1144">
        <f t="shared" si="94"/>
        <v>0</v>
      </c>
      <c r="AR370" s="1146">
        <f t="shared" si="95"/>
        <v>804.5426117402734</v>
      </c>
    </row>
    <row r="371" spans="1:44" x14ac:dyDescent="0.2">
      <c r="A371" s="1141" t="str">
        <f t="shared" si="90"/>
        <v>1504</v>
      </c>
      <c r="B371" s="1141" t="str">
        <f>IFERROR(VLOOKUP(A371,'LAC 103'!A:C,3,FALSE),"")</f>
        <v>OP</v>
      </c>
      <c r="C371" s="1478" t="str">
        <f>Info!$B$8</f>
        <v>00100</v>
      </c>
      <c r="D371" s="1474" t="s">
        <v>256</v>
      </c>
      <c r="E371" s="1474" t="s">
        <v>95</v>
      </c>
      <c r="F371" s="1478" t="s">
        <v>588</v>
      </c>
      <c r="G371" s="1478" t="s">
        <v>588</v>
      </c>
      <c r="H371" s="1474" t="s">
        <v>1663</v>
      </c>
      <c r="I371" s="1478" t="s">
        <v>927</v>
      </c>
      <c r="J371" s="1478"/>
      <c r="K371" s="1475" t="s">
        <v>851</v>
      </c>
      <c r="L371" s="1474" t="s">
        <v>584</v>
      </c>
      <c r="M371" s="1476" t="s">
        <v>840</v>
      </c>
      <c r="N371" s="1477" t="s">
        <v>1700</v>
      </c>
      <c r="O371" s="1479">
        <v>238</v>
      </c>
      <c r="P371" s="1479"/>
      <c r="Q371" s="1142">
        <f t="shared" si="91"/>
        <v>238</v>
      </c>
      <c r="R371" s="1143">
        <f>IFERROR(VLOOKUP(CONCATENATE(E371,G371),'LAC 103'!$A$12:$O$95,11,FALSE),0)</f>
        <v>2.483156209074918</v>
      </c>
      <c r="S371" s="1144">
        <f>IFERROR(VLOOKUP(CONCATENATE($E371,$G371),'LAC 103'!$A$12:$O$95,12,FALSE),0)</f>
        <v>3.07</v>
      </c>
      <c r="T371" s="1144">
        <f>IFERROR(VLOOKUP(CONCATENATE($E371,$G371),'LAC 103'!$A$12:$O$95,13,FALSE),0)</f>
        <v>1.92</v>
      </c>
      <c r="U371" s="1144">
        <f>IFERROR(VLOOKUP(CONCATENATE($E371,$G371),'LAC 103'!$A$12:$O$95,14,FALSE),0)</f>
        <v>0</v>
      </c>
      <c r="V371" s="1144">
        <f>IFERROR(VLOOKUP(CONCATENATE($E371,$G371),'LAC 103'!$A$12:$O$95,15,FALSE),0)</f>
        <v>0</v>
      </c>
      <c r="W371" s="1145" t="str">
        <f>IFERROR(VLOOKUP(CONCATENATE($B371,$N371),'LAC 103'!$AI:$AQ,9,FALSE),"")</f>
        <v>P.C.</v>
      </c>
      <c r="X371" s="1146">
        <f t="shared" si="96"/>
        <v>1.92</v>
      </c>
      <c r="Y371" s="1143">
        <f t="shared" si="97"/>
        <v>590.99117775983052</v>
      </c>
      <c r="Z371" s="1147">
        <f t="shared" si="98"/>
        <v>730.66</v>
      </c>
      <c r="AA371" s="1144">
        <f t="shared" si="99"/>
        <v>456.96</v>
      </c>
      <c r="AB371" s="1144">
        <f t="shared" si="100"/>
        <v>0</v>
      </c>
      <c r="AC371" s="1144">
        <f t="shared" si="101"/>
        <v>0</v>
      </c>
      <c r="AD371" s="1148">
        <f t="shared" si="92"/>
        <v>456.96</v>
      </c>
      <c r="AE371" s="1487">
        <v>0</v>
      </c>
      <c r="AF371" s="1145">
        <f t="shared" si="102"/>
        <v>456.96</v>
      </c>
      <c r="AG371" s="1149">
        <f>IFERROR(VLOOKUP(CONCATENATE($L371,$N371),'Drop List'!$G$23:$K$87,2,FALSE),0)</f>
        <v>0.55000000000000004</v>
      </c>
      <c r="AH371" s="1150">
        <f>IFERROR(VLOOKUP(CONCATENATE($L371,$N371),'Drop List'!$G$23:$K$87,3,FALSE),0)</f>
        <v>0</v>
      </c>
      <c r="AI371" s="1150">
        <f>IFERROR(VLOOKUP(CONCATENATE($L371,$N371),'Drop List'!$G$23:$K$87,4,FALSE),0)</f>
        <v>0</v>
      </c>
      <c r="AJ371" s="1151">
        <f>IFERROR(VLOOKUP(CONCATENATE($L371,$N371),'Drop List'!$G$23:$K$87,5,FALSE),0)</f>
        <v>0.44999999999999996</v>
      </c>
      <c r="AK371" s="1152">
        <f t="shared" si="103"/>
        <v>251.328</v>
      </c>
      <c r="AL371" s="1153">
        <f t="shared" si="104"/>
        <v>0</v>
      </c>
      <c r="AM371" s="1153">
        <f t="shared" si="105"/>
        <v>0</v>
      </c>
      <c r="AN371" s="1145">
        <f t="shared" si="106"/>
        <v>205.63199999999998</v>
      </c>
      <c r="AO371" s="1154">
        <f t="shared" si="107"/>
        <v>456.96</v>
      </c>
      <c r="AP371" s="1147">
        <f t="shared" si="93"/>
        <v>0</v>
      </c>
      <c r="AQ371" s="1144">
        <f t="shared" si="94"/>
        <v>0</v>
      </c>
      <c r="AR371" s="1146">
        <f t="shared" si="95"/>
        <v>456.96</v>
      </c>
    </row>
    <row r="372" spans="1:44" x14ac:dyDescent="0.2">
      <c r="A372" s="1141" t="str">
        <f t="shared" si="90"/>
        <v>1504</v>
      </c>
      <c r="B372" s="1141" t="str">
        <f>IFERROR(VLOOKUP(A372,'LAC 103'!A:C,3,FALSE),"")</f>
        <v>OP</v>
      </c>
      <c r="C372" s="1478" t="str">
        <f>Info!$B$8</f>
        <v>00100</v>
      </c>
      <c r="D372" s="1474" t="s">
        <v>256</v>
      </c>
      <c r="E372" s="1474" t="s">
        <v>95</v>
      </c>
      <c r="F372" s="1478" t="s">
        <v>588</v>
      </c>
      <c r="G372" s="1478" t="s">
        <v>588</v>
      </c>
      <c r="H372" s="1474" t="s">
        <v>1663</v>
      </c>
      <c r="I372" s="1478" t="s">
        <v>927</v>
      </c>
      <c r="J372" s="1478"/>
      <c r="K372" s="1475" t="s">
        <v>851</v>
      </c>
      <c r="L372" s="1474" t="s">
        <v>584</v>
      </c>
      <c r="M372" s="1476" t="s">
        <v>842</v>
      </c>
      <c r="N372" s="1477" t="s">
        <v>1692</v>
      </c>
      <c r="O372" s="1479">
        <v>2313</v>
      </c>
      <c r="P372" s="1479"/>
      <c r="Q372" s="1142">
        <f t="shared" si="91"/>
        <v>2313</v>
      </c>
      <c r="R372" s="1143">
        <f>IFERROR(VLOOKUP(CONCATENATE(E372,G372),'LAC 103'!$A$12:$O$95,11,FALSE),0)</f>
        <v>2.483156209074918</v>
      </c>
      <c r="S372" s="1144">
        <f>IFERROR(VLOOKUP(CONCATENATE($E372,$G372),'LAC 103'!$A$12:$O$95,12,FALSE),0)</f>
        <v>3.07</v>
      </c>
      <c r="T372" s="1144">
        <f>IFERROR(VLOOKUP(CONCATENATE($E372,$G372),'LAC 103'!$A$12:$O$95,13,FALSE),0)</f>
        <v>1.92</v>
      </c>
      <c r="U372" s="1144">
        <f>IFERROR(VLOOKUP(CONCATENATE($E372,$G372),'LAC 103'!$A$12:$O$95,14,FALSE),0)</f>
        <v>0</v>
      </c>
      <c r="V372" s="1144">
        <f>IFERROR(VLOOKUP(CONCATENATE($E372,$G372),'LAC 103'!$A$12:$O$95,15,FALSE),0)</f>
        <v>0</v>
      </c>
      <c r="W372" s="1145" t="str">
        <f>IFERROR(VLOOKUP(CONCATENATE($B372,$N372),'LAC 103'!$AI:$AQ,9,FALSE),"")</f>
        <v>Costs</v>
      </c>
      <c r="X372" s="1146">
        <f t="shared" si="96"/>
        <v>2.483156209074918</v>
      </c>
      <c r="Y372" s="1143">
        <f t="shared" si="97"/>
        <v>5743.5403115902855</v>
      </c>
      <c r="Z372" s="1147">
        <f t="shared" si="98"/>
        <v>7100.91</v>
      </c>
      <c r="AA372" s="1144">
        <f t="shared" si="99"/>
        <v>4440.96</v>
      </c>
      <c r="AB372" s="1144">
        <f t="shared" si="100"/>
        <v>0</v>
      </c>
      <c r="AC372" s="1144">
        <f t="shared" si="101"/>
        <v>0</v>
      </c>
      <c r="AD372" s="1148">
        <f t="shared" si="92"/>
        <v>5743.5403115902855</v>
      </c>
      <c r="AE372" s="1487">
        <v>0</v>
      </c>
      <c r="AF372" s="1145">
        <f t="shared" si="102"/>
        <v>5743.5403115902855</v>
      </c>
      <c r="AG372" s="1149">
        <f>IFERROR(VLOOKUP(CONCATENATE($L372,$N372),'Drop List'!$G$23:$K$87,2,FALSE),0)</f>
        <v>0.56200000000000006</v>
      </c>
      <c r="AH372" s="1150">
        <f>IFERROR(VLOOKUP(CONCATENATE($L372,$N372),'Drop List'!$G$23:$K$87,3,FALSE),0)</f>
        <v>0</v>
      </c>
      <c r="AI372" s="1150">
        <f>IFERROR(VLOOKUP(CONCATENATE($L372,$N372),'Drop List'!$G$23:$K$87,4,FALSE),0)</f>
        <v>0</v>
      </c>
      <c r="AJ372" s="1151">
        <f>IFERROR(VLOOKUP(CONCATENATE($L372,$N372),'Drop List'!$G$23:$K$87,5,FALSE),0)</f>
        <v>0.43799999999999994</v>
      </c>
      <c r="AK372" s="1152">
        <f t="shared" si="103"/>
        <v>3227.8696551137409</v>
      </c>
      <c r="AL372" s="1153">
        <f t="shared" si="104"/>
        <v>0</v>
      </c>
      <c r="AM372" s="1153">
        <f t="shared" si="105"/>
        <v>0</v>
      </c>
      <c r="AN372" s="1145">
        <f t="shared" si="106"/>
        <v>2515.6706564765445</v>
      </c>
      <c r="AO372" s="1154">
        <f t="shared" si="107"/>
        <v>5743.5403115902855</v>
      </c>
      <c r="AP372" s="1147">
        <f t="shared" si="93"/>
        <v>0</v>
      </c>
      <c r="AQ372" s="1144">
        <f t="shared" si="94"/>
        <v>0</v>
      </c>
      <c r="AR372" s="1146">
        <f t="shared" si="95"/>
        <v>5743.5403115902855</v>
      </c>
    </row>
    <row r="373" spans="1:44" x14ac:dyDescent="0.2">
      <c r="A373" s="1141" t="str">
        <f t="shared" si="90"/>
        <v>1504</v>
      </c>
      <c r="B373" s="1141" t="str">
        <f>IFERROR(VLOOKUP(A373,'LAC 103'!A:C,3,FALSE),"")</f>
        <v>OP</v>
      </c>
      <c r="C373" s="1478" t="str">
        <f>Info!$B$8</f>
        <v>00100</v>
      </c>
      <c r="D373" s="1474" t="s">
        <v>256</v>
      </c>
      <c r="E373" s="1474" t="s">
        <v>95</v>
      </c>
      <c r="F373" s="1478" t="s">
        <v>588</v>
      </c>
      <c r="G373" s="1478" t="s">
        <v>588</v>
      </c>
      <c r="H373" s="1474" t="s">
        <v>1663</v>
      </c>
      <c r="I373" s="1478" t="s">
        <v>927</v>
      </c>
      <c r="J373" s="1478"/>
      <c r="K373" s="1475" t="s">
        <v>851</v>
      </c>
      <c r="L373" s="1474" t="s">
        <v>584</v>
      </c>
      <c r="M373" s="1476" t="s">
        <v>1698</v>
      </c>
      <c r="N373" s="1477" t="s">
        <v>1693</v>
      </c>
      <c r="O373" s="1479">
        <v>1406</v>
      </c>
      <c r="P373" s="1479"/>
      <c r="Q373" s="1142">
        <f t="shared" si="91"/>
        <v>1406</v>
      </c>
      <c r="R373" s="1143">
        <f>IFERROR(VLOOKUP(CONCATENATE(E373,G373),'LAC 103'!$A$12:$O$95,11,FALSE),0)</f>
        <v>2.483156209074918</v>
      </c>
      <c r="S373" s="1144">
        <f>IFERROR(VLOOKUP(CONCATENATE($E373,$G373),'LAC 103'!$A$12:$O$95,12,FALSE),0)</f>
        <v>3.07</v>
      </c>
      <c r="T373" s="1144">
        <f>IFERROR(VLOOKUP(CONCATENATE($E373,$G373),'LAC 103'!$A$12:$O$95,13,FALSE),0)</f>
        <v>1.92</v>
      </c>
      <c r="U373" s="1144">
        <f>IFERROR(VLOOKUP(CONCATENATE($E373,$G373),'LAC 103'!$A$12:$O$95,14,FALSE),0)</f>
        <v>0</v>
      </c>
      <c r="V373" s="1144">
        <f>IFERROR(VLOOKUP(CONCATENATE($E373,$G373),'LAC 103'!$A$12:$O$95,15,FALSE),0)</f>
        <v>0</v>
      </c>
      <c r="W373" s="1145" t="str">
        <f>IFERROR(VLOOKUP(CONCATENATE($B373,$N373),'LAC 103'!$AI:$AQ,9,FALSE),"")</f>
        <v>Costs</v>
      </c>
      <c r="X373" s="1146">
        <f t="shared" si="96"/>
        <v>2.483156209074918</v>
      </c>
      <c r="Y373" s="1143">
        <f t="shared" si="97"/>
        <v>3491.3176299593347</v>
      </c>
      <c r="Z373" s="1147">
        <f t="shared" si="98"/>
        <v>4316.42</v>
      </c>
      <c r="AA373" s="1144">
        <f t="shared" si="99"/>
        <v>2699.52</v>
      </c>
      <c r="AB373" s="1144">
        <f t="shared" si="100"/>
        <v>0</v>
      </c>
      <c r="AC373" s="1144">
        <f t="shared" si="101"/>
        <v>0</v>
      </c>
      <c r="AD373" s="1148">
        <f t="shared" si="92"/>
        <v>3491.3176299593347</v>
      </c>
      <c r="AE373" s="1487">
        <v>0</v>
      </c>
      <c r="AF373" s="1145">
        <f t="shared" si="102"/>
        <v>3491.3176299593347</v>
      </c>
      <c r="AG373" s="1149">
        <f>IFERROR(VLOOKUP(CONCATENATE($L373,$N373),'Drop List'!$G$23:$K$87,2,FALSE),0)</f>
        <v>0.56200000000000006</v>
      </c>
      <c r="AH373" s="1150">
        <f>IFERROR(VLOOKUP(CONCATENATE($L373,$N373),'Drop List'!$G$23:$K$87,3,FALSE),0)</f>
        <v>0</v>
      </c>
      <c r="AI373" s="1150">
        <f>IFERROR(VLOOKUP(CONCATENATE($L373,$N373),'Drop List'!$G$23:$K$87,4,FALSE),0)</f>
        <v>0</v>
      </c>
      <c r="AJ373" s="1151">
        <f>IFERROR(VLOOKUP(CONCATENATE($L373,$N373),'Drop List'!$G$23:$K$87,5,FALSE),0)</f>
        <v>0.43799999999999994</v>
      </c>
      <c r="AK373" s="1152">
        <f t="shared" si="103"/>
        <v>1962.1205080371462</v>
      </c>
      <c r="AL373" s="1153">
        <f t="shared" si="104"/>
        <v>0</v>
      </c>
      <c r="AM373" s="1153">
        <f t="shared" si="105"/>
        <v>0</v>
      </c>
      <c r="AN373" s="1145">
        <f t="shared" si="106"/>
        <v>1529.1971219221884</v>
      </c>
      <c r="AO373" s="1154">
        <f t="shared" si="107"/>
        <v>3491.3176299593347</v>
      </c>
      <c r="AP373" s="1147">
        <f t="shared" si="93"/>
        <v>0</v>
      </c>
      <c r="AQ373" s="1144">
        <f t="shared" si="94"/>
        <v>0</v>
      </c>
      <c r="AR373" s="1146">
        <f t="shared" si="95"/>
        <v>3491.3176299593347</v>
      </c>
    </row>
    <row r="374" spans="1:44" x14ac:dyDescent="0.2">
      <c r="A374" s="1141" t="str">
        <f t="shared" si="90"/>
        <v>1504</v>
      </c>
      <c r="B374" s="1141" t="str">
        <f>IFERROR(VLOOKUP(A374,'LAC 103'!A:C,3,FALSE),"")</f>
        <v>OP</v>
      </c>
      <c r="C374" s="1478" t="str">
        <f>Info!$B$8</f>
        <v>00100</v>
      </c>
      <c r="D374" s="1474" t="s">
        <v>256</v>
      </c>
      <c r="E374" s="1474" t="s">
        <v>95</v>
      </c>
      <c r="F374" s="1478" t="s">
        <v>588</v>
      </c>
      <c r="G374" s="1478" t="s">
        <v>588</v>
      </c>
      <c r="H374" s="1474" t="s">
        <v>1665</v>
      </c>
      <c r="I374" s="1478" t="s">
        <v>803</v>
      </c>
      <c r="J374" s="1478" t="s">
        <v>123</v>
      </c>
      <c r="K374" s="1475" t="s">
        <v>1654</v>
      </c>
      <c r="L374" s="1474" t="s">
        <v>332</v>
      </c>
      <c r="M374" s="1476" t="s">
        <v>841</v>
      </c>
      <c r="N374" s="1477" t="s">
        <v>1695</v>
      </c>
      <c r="O374" s="1479">
        <v>106</v>
      </c>
      <c r="P374" s="1479"/>
      <c r="Q374" s="1142">
        <f t="shared" si="91"/>
        <v>106</v>
      </c>
      <c r="R374" s="1143">
        <f>IFERROR(VLOOKUP(CONCATENATE(E374,G374),'LAC 103'!$A$12:$O$95,11,FALSE),0)</f>
        <v>2.483156209074918</v>
      </c>
      <c r="S374" s="1144">
        <f>IFERROR(VLOOKUP(CONCATENATE($E374,$G374),'LAC 103'!$A$12:$O$95,12,FALSE),0)</f>
        <v>3.07</v>
      </c>
      <c r="T374" s="1144">
        <f>IFERROR(VLOOKUP(CONCATENATE($E374,$G374),'LAC 103'!$A$12:$O$95,13,FALSE),0)</f>
        <v>1.92</v>
      </c>
      <c r="U374" s="1144">
        <f>IFERROR(VLOOKUP(CONCATENATE($E374,$G374),'LAC 103'!$A$12:$O$95,14,FALSE),0)</f>
        <v>0</v>
      </c>
      <c r="V374" s="1144">
        <f>IFERROR(VLOOKUP(CONCATENATE($E374,$G374),'LAC 103'!$A$12:$O$95,15,FALSE),0)</f>
        <v>0</v>
      </c>
      <c r="W374" s="1145" t="str">
        <f>IFERROR(VLOOKUP(CONCATENATE($B374,$N374),'LAC 103'!$AI:$AQ,9,FALSE),"")</f>
        <v>Costs</v>
      </c>
      <c r="X374" s="1146">
        <f t="shared" si="96"/>
        <v>2.483156209074918</v>
      </c>
      <c r="Y374" s="1143">
        <f t="shared" si="97"/>
        <v>263.21455816194128</v>
      </c>
      <c r="Z374" s="1147">
        <f t="shared" si="98"/>
        <v>325.41999999999996</v>
      </c>
      <c r="AA374" s="1144">
        <f t="shared" si="99"/>
        <v>203.51999999999998</v>
      </c>
      <c r="AB374" s="1144">
        <f t="shared" si="100"/>
        <v>0</v>
      </c>
      <c r="AC374" s="1144">
        <f t="shared" si="101"/>
        <v>0</v>
      </c>
      <c r="AD374" s="1148">
        <f t="shared" si="92"/>
        <v>263.21455816194128</v>
      </c>
      <c r="AE374" s="1487">
        <v>0</v>
      </c>
      <c r="AF374" s="1145">
        <f t="shared" si="102"/>
        <v>263.21455816194128</v>
      </c>
      <c r="AG374" s="1149">
        <f>IFERROR(VLOOKUP(CONCATENATE($L374,$N374),'Drop List'!$G$23:$K$87,2,FALSE),0)</f>
        <v>0</v>
      </c>
      <c r="AH374" s="1150">
        <f>IFERROR(VLOOKUP(CONCATENATE($L374,$N374),'Drop List'!$G$23:$K$87,3,FALSE),0)</f>
        <v>0</v>
      </c>
      <c r="AI374" s="1150">
        <f>IFERROR(VLOOKUP(CONCATENATE($L374,$N374),'Drop List'!$G$23:$K$87,4,FALSE),0)</f>
        <v>0</v>
      </c>
      <c r="AJ374" s="1151">
        <f>IFERROR(VLOOKUP(CONCATENATE($L374,$N374),'Drop List'!$G$23:$K$87,5,FALSE),0)</f>
        <v>0</v>
      </c>
      <c r="AK374" s="1152">
        <f t="shared" si="103"/>
        <v>0</v>
      </c>
      <c r="AL374" s="1153">
        <f t="shared" si="104"/>
        <v>0</v>
      </c>
      <c r="AM374" s="1153">
        <f t="shared" si="105"/>
        <v>0</v>
      </c>
      <c r="AN374" s="1145">
        <f t="shared" si="106"/>
        <v>0</v>
      </c>
      <c r="AO374" s="1154">
        <f t="shared" si="107"/>
        <v>0</v>
      </c>
      <c r="AP374" s="1147">
        <f t="shared" si="93"/>
        <v>263.21455816194128</v>
      </c>
      <c r="AQ374" s="1144">
        <f t="shared" si="94"/>
        <v>0</v>
      </c>
      <c r="AR374" s="1146">
        <f t="shared" si="95"/>
        <v>263.21455816194128</v>
      </c>
    </row>
    <row r="375" spans="1:44" x14ac:dyDescent="0.2">
      <c r="A375" s="1141" t="str">
        <f t="shared" si="90"/>
        <v>1504</v>
      </c>
      <c r="B375" s="1141" t="str">
        <f>IFERROR(VLOOKUP(A375,'LAC 103'!A:C,3,FALSE),"")</f>
        <v>OP</v>
      </c>
      <c r="C375" s="1478" t="str">
        <f>Info!$B$8</f>
        <v>00100</v>
      </c>
      <c r="D375" s="1474" t="s">
        <v>256</v>
      </c>
      <c r="E375" s="1474" t="s">
        <v>95</v>
      </c>
      <c r="F375" s="1478" t="s">
        <v>588</v>
      </c>
      <c r="G375" s="1478" t="s">
        <v>588</v>
      </c>
      <c r="H375" s="1474" t="s">
        <v>1665</v>
      </c>
      <c r="I375" s="1478" t="s">
        <v>803</v>
      </c>
      <c r="J375" s="1478"/>
      <c r="K375" s="1475" t="s">
        <v>852</v>
      </c>
      <c r="L375" s="1474" t="s">
        <v>591</v>
      </c>
      <c r="M375" s="1476" t="s">
        <v>842</v>
      </c>
      <c r="N375" s="1477" t="s">
        <v>1692</v>
      </c>
      <c r="O375" s="1479">
        <v>42</v>
      </c>
      <c r="P375" s="1479"/>
      <c r="Q375" s="1142">
        <f t="shared" si="91"/>
        <v>42</v>
      </c>
      <c r="R375" s="1143">
        <f>IFERROR(VLOOKUP(CONCATENATE(E375,G375),'LAC 103'!$A$12:$O$95,11,FALSE),0)</f>
        <v>2.483156209074918</v>
      </c>
      <c r="S375" s="1144">
        <f>IFERROR(VLOOKUP(CONCATENATE($E375,$G375),'LAC 103'!$A$12:$O$95,12,FALSE),0)</f>
        <v>3.07</v>
      </c>
      <c r="T375" s="1144">
        <f>IFERROR(VLOOKUP(CONCATENATE($E375,$G375),'LAC 103'!$A$12:$O$95,13,FALSE),0)</f>
        <v>1.92</v>
      </c>
      <c r="U375" s="1144">
        <f>IFERROR(VLOOKUP(CONCATENATE($E375,$G375),'LAC 103'!$A$12:$O$95,14,FALSE),0)</f>
        <v>0</v>
      </c>
      <c r="V375" s="1144">
        <f>IFERROR(VLOOKUP(CONCATENATE($E375,$G375),'LAC 103'!$A$12:$O$95,15,FALSE),0)</f>
        <v>0</v>
      </c>
      <c r="W375" s="1145" t="str">
        <f>IFERROR(VLOOKUP(CONCATENATE($B375,$N375),'LAC 103'!$AI:$AQ,9,FALSE),"")</f>
        <v>Costs</v>
      </c>
      <c r="X375" s="1146">
        <f t="shared" si="96"/>
        <v>2.483156209074918</v>
      </c>
      <c r="Y375" s="1143">
        <f t="shared" si="97"/>
        <v>104.29256078114655</v>
      </c>
      <c r="Z375" s="1147">
        <f t="shared" si="98"/>
        <v>128.94</v>
      </c>
      <c r="AA375" s="1144">
        <f t="shared" si="99"/>
        <v>80.64</v>
      </c>
      <c r="AB375" s="1144">
        <f t="shared" si="100"/>
        <v>0</v>
      </c>
      <c r="AC375" s="1144">
        <f t="shared" si="101"/>
        <v>0</v>
      </c>
      <c r="AD375" s="1148">
        <f t="shared" si="92"/>
        <v>104.29256078114655</v>
      </c>
      <c r="AE375" s="1487">
        <v>0</v>
      </c>
      <c r="AF375" s="1145">
        <f t="shared" si="102"/>
        <v>104.29256078114655</v>
      </c>
      <c r="AG375" s="1149">
        <f>IFERROR(VLOOKUP(CONCATENATE($L375,$N375),'Drop List'!$G$23:$K$87,2,FALSE),0)</f>
        <v>0.69340000000000002</v>
      </c>
      <c r="AH375" s="1150">
        <f>IFERROR(VLOOKUP(CONCATENATE($L375,$N375),'Drop List'!$G$23:$K$87,3,FALSE),0)</f>
        <v>0</v>
      </c>
      <c r="AI375" s="1150">
        <f>IFERROR(VLOOKUP(CONCATENATE($L375,$N375),'Drop List'!$G$23:$K$87,4,FALSE),0)</f>
        <v>0</v>
      </c>
      <c r="AJ375" s="1151">
        <f>IFERROR(VLOOKUP(CONCATENATE($L375,$N375),'Drop List'!$G$23:$K$87,5,FALSE),0)</f>
        <v>0.30659999999999998</v>
      </c>
      <c r="AK375" s="1152">
        <f t="shared" si="103"/>
        <v>72.316461645647024</v>
      </c>
      <c r="AL375" s="1153">
        <f t="shared" si="104"/>
        <v>0</v>
      </c>
      <c r="AM375" s="1153">
        <f t="shared" si="105"/>
        <v>0</v>
      </c>
      <c r="AN375" s="1145">
        <f t="shared" si="106"/>
        <v>31.976099135499531</v>
      </c>
      <c r="AO375" s="1154">
        <f t="shared" si="107"/>
        <v>104.29256078114656</v>
      </c>
      <c r="AP375" s="1147">
        <f t="shared" si="93"/>
        <v>0</v>
      </c>
      <c r="AQ375" s="1144">
        <f t="shared" si="94"/>
        <v>0</v>
      </c>
      <c r="AR375" s="1146">
        <f t="shared" si="95"/>
        <v>104.29256078114656</v>
      </c>
    </row>
    <row r="376" spans="1:44" x14ac:dyDescent="0.2">
      <c r="A376" s="1141" t="str">
        <f t="shared" si="90"/>
        <v>1504</v>
      </c>
      <c r="B376" s="1141" t="str">
        <f>IFERROR(VLOOKUP(A376,'LAC 103'!A:C,3,FALSE),"")</f>
        <v>OP</v>
      </c>
      <c r="C376" s="1478" t="str">
        <f>Info!$B$8</f>
        <v>00100</v>
      </c>
      <c r="D376" s="1474" t="s">
        <v>256</v>
      </c>
      <c r="E376" s="1474" t="s">
        <v>95</v>
      </c>
      <c r="F376" s="1478" t="s">
        <v>588</v>
      </c>
      <c r="G376" s="1478" t="s">
        <v>588</v>
      </c>
      <c r="H376" s="1474" t="s">
        <v>1665</v>
      </c>
      <c r="I376" s="1478" t="s">
        <v>803</v>
      </c>
      <c r="J376" s="1478"/>
      <c r="K376" s="1475" t="s">
        <v>849</v>
      </c>
      <c r="L376" s="1474" t="s">
        <v>77</v>
      </c>
      <c r="M376" s="1476" t="s">
        <v>1699</v>
      </c>
      <c r="N376" s="1477" t="s">
        <v>1694</v>
      </c>
      <c r="O376" s="1479">
        <v>61871</v>
      </c>
      <c r="P376" s="1479"/>
      <c r="Q376" s="1142">
        <f t="shared" si="91"/>
        <v>61871</v>
      </c>
      <c r="R376" s="1143">
        <f>IFERROR(VLOOKUP(CONCATENATE(E376,G376),'LAC 103'!$A$12:$O$95,11,FALSE),0)</f>
        <v>2.483156209074918</v>
      </c>
      <c r="S376" s="1144">
        <f>IFERROR(VLOOKUP(CONCATENATE($E376,$G376),'LAC 103'!$A$12:$O$95,12,FALSE),0)</f>
        <v>3.07</v>
      </c>
      <c r="T376" s="1144">
        <f>IFERROR(VLOOKUP(CONCATENATE($E376,$G376),'LAC 103'!$A$12:$O$95,13,FALSE),0)</f>
        <v>1.92</v>
      </c>
      <c r="U376" s="1144">
        <f>IFERROR(VLOOKUP(CONCATENATE($E376,$G376),'LAC 103'!$A$12:$O$95,14,FALSE),0)</f>
        <v>0</v>
      </c>
      <c r="V376" s="1144">
        <f>IFERROR(VLOOKUP(CONCATENATE($E376,$G376),'LAC 103'!$A$12:$O$95,15,FALSE),0)</f>
        <v>0</v>
      </c>
      <c r="W376" s="1145" t="str">
        <f>IFERROR(VLOOKUP(CONCATENATE($B376,$N376),'LAC 103'!$AI:$AQ,9,FALSE),"")</f>
        <v>Costs</v>
      </c>
      <c r="X376" s="1146">
        <f t="shared" si="96"/>
        <v>2.483156209074918</v>
      </c>
      <c r="Y376" s="1143">
        <f t="shared" si="97"/>
        <v>153635.35781167424</v>
      </c>
      <c r="Z376" s="1147">
        <f t="shared" si="98"/>
        <v>189943.97</v>
      </c>
      <c r="AA376" s="1144">
        <f t="shared" si="99"/>
        <v>118792.31999999999</v>
      </c>
      <c r="AB376" s="1144">
        <f t="shared" si="100"/>
        <v>0</v>
      </c>
      <c r="AC376" s="1144">
        <f t="shared" si="101"/>
        <v>0</v>
      </c>
      <c r="AD376" s="1148">
        <f t="shared" si="92"/>
        <v>153635.35781167424</v>
      </c>
      <c r="AE376" s="1487">
        <v>0</v>
      </c>
      <c r="AF376" s="1145">
        <f t="shared" si="102"/>
        <v>153635.35781167424</v>
      </c>
      <c r="AG376" s="1149">
        <f>IFERROR(VLOOKUP(CONCATENATE($L376,$N376),'Drop List'!$G$23:$K$87,2,FALSE),0)</f>
        <v>0.9</v>
      </c>
      <c r="AH376" s="1150">
        <f>IFERROR(VLOOKUP(CONCATENATE($L376,$N376),'Drop List'!$G$23:$K$87,3,FALSE),0)</f>
        <v>0</v>
      </c>
      <c r="AI376" s="1150">
        <f>IFERROR(VLOOKUP(CONCATENATE($L376,$N376),'Drop List'!$G$23:$K$87,4,FALSE),0)</f>
        <v>0.1</v>
      </c>
      <c r="AJ376" s="1151">
        <f>IFERROR(VLOOKUP(CONCATENATE($L376,$N376),'Drop List'!$G$23:$K$87,5,FALSE),0)</f>
        <v>0</v>
      </c>
      <c r="AK376" s="1152">
        <f t="shared" si="103"/>
        <v>138271.82203050682</v>
      </c>
      <c r="AL376" s="1153">
        <f t="shared" si="104"/>
        <v>0</v>
      </c>
      <c r="AM376" s="1153">
        <f t="shared" si="105"/>
        <v>15363.535781167426</v>
      </c>
      <c r="AN376" s="1145">
        <f t="shared" si="106"/>
        <v>0</v>
      </c>
      <c r="AO376" s="1154">
        <f t="shared" si="107"/>
        <v>153635.35781167424</v>
      </c>
      <c r="AP376" s="1147">
        <f t="shared" si="93"/>
        <v>0</v>
      </c>
      <c r="AQ376" s="1144">
        <f t="shared" si="94"/>
        <v>0</v>
      </c>
      <c r="AR376" s="1146">
        <f t="shared" si="95"/>
        <v>153635.35781167424</v>
      </c>
    </row>
    <row r="377" spans="1:44" x14ac:dyDescent="0.2">
      <c r="A377" s="1141" t="str">
        <f t="shared" si="90"/>
        <v>1504</v>
      </c>
      <c r="B377" s="1141" t="str">
        <f>IFERROR(VLOOKUP(A377,'LAC 103'!A:C,3,FALSE),"")</f>
        <v>OP</v>
      </c>
      <c r="C377" s="1478" t="str">
        <f>Info!$B$8</f>
        <v>00100</v>
      </c>
      <c r="D377" s="1474" t="s">
        <v>256</v>
      </c>
      <c r="E377" s="1474" t="s">
        <v>95</v>
      </c>
      <c r="F377" s="1478" t="s">
        <v>588</v>
      </c>
      <c r="G377" s="1478" t="s">
        <v>588</v>
      </c>
      <c r="H377" s="1474" t="s">
        <v>1665</v>
      </c>
      <c r="I377" s="1478" t="s">
        <v>803</v>
      </c>
      <c r="J377" s="1478"/>
      <c r="K377" s="1475" t="s">
        <v>849</v>
      </c>
      <c r="L377" s="1474" t="s">
        <v>77</v>
      </c>
      <c r="M377" s="1476" t="s">
        <v>841</v>
      </c>
      <c r="N377" s="1477" t="s">
        <v>1695</v>
      </c>
      <c r="O377" s="1479">
        <v>24929</v>
      </c>
      <c r="P377" s="1479"/>
      <c r="Q377" s="1142">
        <f t="shared" si="91"/>
        <v>24929</v>
      </c>
      <c r="R377" s="1143">
        <f>IFERROR(VLOOKUP(CONCATENATE(E377,G377),'LAC 103'!$A$12:$O$95,11,FALSE),0)</f>
        <v>2.483156209074918</v>
      </c>
      <c r="S377" s="1144">
        <f>IFERROR(VLOOKUP(CONCATENATE($E377,$G377),'LAC 103'!$A$12:$O$95,12,FALSE),0)</f>
        <v>3.07</v>
      </c>
      <c r="T377" s="1144">
        <f>IFERROR(VLOOKUP(CONCATENATE($E377,$G377),'LAC 103'!$A$12:$O$95,13,FALSE),0)</f>
        <v>1.92</v>
      </c>
      <c r="U377" s="1144">
        <f>IFERROR(VLOOKUP(CONCATENATE($E377,$G377),'LAC 103'!$A$12:$O$95,14,FALSE),0)</f>
        <v>0</v>
      </c>
      <c r="V377" s="1144">
        <f>IFERROR(VLOOKUP(CONCATENATE($E377,$G377),'LAC 103'!$A$12:$O$95,15,FALSE),0)</f>
        <v>0</v>
      </c>
      <c r="W377" s="1145" t="str">
        <f>IFERROR(VLOOKUP(CONCATENATE($B377,$N377),'LAC 103'!$AI:$AQ,9,FALSE),"")</f>
        <v>Costs</v>
      </c>
      <c r="X377" s="1146">
        <f t="shared" si="96"/>
        <v>2.483156209074918</v>
      </c>
      <c r="Y377" s="1143">
        <f t="shared" si="97"/>
        <v>61902.601136028628</v>
      </c>
      <c r="Z377" s="1147">
        <f t="shared" si="98"/>
        <v>76532.03</v>
      </c>
      <c r="AA377" s="1144">
        <f t="shared" si="99"/>
        <v>47863.68</v>
      </c>
      <c r="AB377" s="1144">
        <f t="shared" si="100"/>
        <v>0</v>
      </c>
      <c r="AC377" s="1144">
        <f t="shared" si="101"/>
        <v>0</v>
      </c>
      <c r="AD377" s="1148">
        <f t="shared" si="92"/>
        <v>61902.601136028628</v>
      </c>
      <c r="AE377" s="1487">
        <v>0</v>
      </c>
      <c r="AF377" s="1145">
        <f t="shared" si="102"/>
        <v>61902.601136028628</v>
      </c>
      <c r="AG377" s="1149">
        <f>IFERROR(VLOOKUP(CONCATENATE($L377,$N377),'Drop List'!$G$23:$K$87,2,FALSE),0)</f>
        <v>0.9</v>
      </c>
      <c r="AH377" s="1150">
        <f>IFERROR(VLOOKUP(CONCATENATE($L377,$N377),'Drop List'!$G$23:$K$87,3,FALSE),0)</f>
        <v>0</v>
      </c>
      <c r="AI377" s="1150">
        <f>IFERROR(VLOOKUP(CONCATENATE($L377,$N377),'Drop List'!$G$23:$K$87,4,FALSE),0)</f>
        <v>0.1</v>
      </c>
      <c r="AJ377" s="1151">
        <f>IFERROR(VLOOKUP(CONCATENATE($L377,$N377),'Drop List'!$G$23:$K$87,5,FALSE),0)</f>
        <v>0</v>
      </c>
      <c r="AK377" s="1152">
        <f t="shared" si="103"/>
        <v>55712.341022425768</v>
      </c>
      <c r="AL377" s="1153">
        <f t="shared" si="104"/>
        <v>0</v>
      </c>
      <c r="AM377" s="1153">
        <f t="shared" si="105"/>
        <v>6190.2601136028634</v>
      </c>
      <c r="AN377" s="1145">
        <f t="shared" si="106"/>
        <v>0</v>
      </c>
      <c r="AO377" s="1154">
        <f t="shared" si="107"/>
        <v>61902.601136028628</v>
      </c>
      <c r="AP377" s="1147">
        <f t="shared" si="93"/>
        <v>0</v>
      </c>
      <c r="AQ377" s="1144">
        <f t="shared" si="94"/>
        <v>0</v>
      </c>
      <c r="AR377" s="1146">
        <f t="shared" si="95"/>
        <v>61902.601136028628</v>
      </c>
    </row>
    <row r="378" spans="1:44" x14ac:dyDescent="0.2">
      <c r="A378" s="1141" t="str">
        <f t="shared" si="90"/>
        <v>1504</v>
      </c>
      <c r="B378" s="1141" t="str">
        <f>IFERROR(VLOOKUP(A378,'LAC 103'!A:C,3,FALSE),"")</f>
        <v>OP</v>
      </c>
      <c r="C378" s="1478" t="str">
        <f>Info!$B$8</f>
        <v>00100</v>
      </c>
      <c r="D378" s="1474" t="s">
        <v>256</v>
      </c>
      <c r="E378" s="1474" t="s">
        <v>95</v>
      </c>
      <c r="F378" s="1478" t="s">
        <v>588</v>
      </c>
      <c r="G378" s="1478" t="s">
        <v>588</v>
      </c>
      <c r="H378" s="1474" t="s">
        <v>1665</v>
      </c>
      <c r="I378" s="1478" t="s">
        <v>803</v>
      </c>
      <c r="J378" s="1478"/>
      <c r="K378" s="1475" t="s">
        <v>849</v>
      </c>
      <c r="L378" s="1474" t="s">
        <v>77</v>
      </c>
      <c r="M378" s="1476" t="s">
        <v>840</v>
      </c>
      <c r="N378" s="1477" t="s">
        <v>1700</v>
      </c>
      <c r="O378" s="1479">
        <v>27601</v>
      </c>
      <c r="P378" s="1479"/>
      <c r="Q378" s="1142">
        <f t="shared" si="91"/>
        <v>27601</v>
      </c>
      <c r="R378" s="1143">
        <f>IFERROR(VLOOKUP(CONCATENATE(E378,G378),'LAC 103'!$A$12:$O$95,11,FALSE),0)</f>
        <v>2.483156209074918</v>
      </c>
      <c r="S378" s="1144">
        <f>IFERROR(VLOOKUP(CONCATENATE($E378,$G378),'LAC 103'!$A$12:$O$95,12,FALSE),0)</f>
        <v>3.07</v>
      </c>
      <c r="T378" s="1144">
        <f>IFERROR(VLOOKUP(CONCATENATE($E378,$G378),'LAC 103'!$A$12:$O$95,13,FALSE),0)</f>
        <v>1.92</v>
      </c>
      <c r="U378" s="1144">
        <f>IFERROR(VLOOKUP(CONCATENATE($E378,$G378),'LAC 103'!$A$12:$O$95,14,FALSE),0)</f>
        <v>0</v>
      </c>
      <c r="V378" s="1144">
        <f>IFERROR(VLOOKUP(CONCATENATE($E378,$G378),'LAC 103'!$A$12:$O$95,15,FALSE),0)</f>
        <v>0</v>
      </c>
      <c r="W378" s="1145" t="str">
        <f>IFERROR(VLOOKUP(CONCATENATE($B378,$N378),'LAC 103'!$AI:$AQ,9,FALSE),"")</f>
        <v>P.C.</v>
      </c>
      <c r="X378" s="1146">
        <f t="shared" si="96"/>
        <v>1.92</v>
      </c>
      <c r="Y378" s="1143">
        <f t="shared" si="97"/>
        <v>68537.59452667681</v>
      </c>
      <c r="Z378" s="1147">
        <f t="shared" si="98"/>
        <v>84735.069999999992</v>
      </c>
      <c r="AA378" s="1144">
        <f t="shared" si="99"/>
        <v>52993.919999999998</v>
      </c>
      <c r="AB378" s="1144">
        <f t="shared" si="100"/>
        <v>0</v>
      </c>
      <c r="AC378" s="1144">
        <f t="shared" si="101"/>
        <v>0</v>
      </c>
      <c r="AD378" s="1148">
        <f t="shared" si="92"/>
        <v>52993.919999999998</v>
      </c>
      <c r="AE378" s="1487">
        <v>0</v>
      </c>
      <c r="AF378" s="1145">
        <f t="shared" si="102"/>
        <v>52993.919999999998</v>
      </c>
      <c r="AG378" s="1149">
        <f>IFERROR(VLOOKUP(CONCATENATE($L378,$N378),'Drop List'!$G$23:$K$87,2,FALSE),0)</f>
        <v>0.9</v>
      </c>
      <c r="AH378" s="1150">
        <f>IFERROR(VLOOKUP(CONCATENATE($L378,$N378),'Drop List'!$G$23:$K$87,3,FALSE),0)</f>
        <v>0</v>
      </c>
      <c r="AI378" s="1150">
        <f>IFERROR(VLOOKUP(CONCATENATE($L378,$N378),'Drop List'!$G$23:$K$87,4,FALSE),0)</f>
        <v>0.1</v>
      </c>
      <c r="AJ378" s="1151">
        <f>IFERROR(VLOOKUP(CONCATENATE($L378,$N378),'Drop List'!$G$23:$K$87,5,FALSE),0)</f>
        <v>0</v>
      </c>
      <c r="AK378" s="1152">
        <f t="shared" si="103"/>
        <v>47694.527999999998</v>
      </c>
      <c r="AL378" s="1153">
        <f t="shared" si="104"/>
        <v>0</v>
      </c>
      <c r="AM378" s="1153">
        <f t="shared" si="105"/>
        <v>5299.3919999999998</v>
      </c>
      <c r="AN378" s="1145">
        <f t="shared" si="106"/>
        <v>0</v>
      </c>
      <c r="AO378" s="1154">
        <f t="shared" si="107"/>
        <v>52993.919999999998</v>
      </c>
      <c r="AP378" s="1147">
        <f t="shared" si="93"/>
        <v>0</v>
      </c>
      <c r="AQ378" s="1144">
        <f t="shared" si="94"/>
        <v>0</v>
      </c>
      <c r="AR378" s="1146">
        <f t="shared" si="95"/>
        <v>52993.919999999998</v>
      </c>
    </row>
    <row r="379" spans="1:44" x14ac:dyDescent="0.2">
      <c r="A379" s="1141" t="str">
        <f t="shared" si="90"/>
        <v>1504</v>
      </c>
      <c r="B379" s="1141" t="str">
        <f>IFERROR(VLOOKUP(A379,'LAC 103'!A:C,3,FALSE),"")</f>
        <v>OP</v>
      </c>
      <c r="C379" s="1478" t="str">
        <f>Info!$B$8</f>
        <v>00100</v>
      </c>
      <c r="D379" s="1474" t="s">
        <v>256</v>
      </c>
      <c r="E379" s="1474" t="s">
        <v>95</v>
      </c>
      <c r="F379" s="1478" t="s">
        <v>588</v>
      </c>
      <c r="G379" s="1478" t="s">
        <v>588</v>
      </c>
      <c r="H379" s="1474" t="s">
        <v>1665</v>
      </c>
      <c r="I379" s="1478" t="s">
        <v>803</v>
      </c>
      <c r="J379" s="1478"/>
      <c r="K379" s="1475" t="s">
        <v>849</v>
      </c>
      <c r="L379" s="1474" t="s">
        <v>77</v>
      </c>
      <c r="M379" s="1476" t="s">
        <v>842</v>
      </c>
      <c r="N379" s="1477" t="s">
        <v>1692</v>
      </c>
      <c r="O379" s="1479">
        <v>65865</v>
      </c>
      <c r="P379" s="1479"/>
      <c r="Q379" s="1142">
        <f t="shared" si="91"/>
        <v>65865</v>
      </c>
      <c r="R379" s="1143">
        <f>IFERROR(VLOOKUP(CONCATENATE(E379,G379),'LAC 103'!$A$12:$O$95,11,FALSE),0)</f>
        <v>2.483156209074918</v>
      </c>
      <c r="S379" s="1144">
        <f>IFERROR(VLOOKUP(CONCATENATE($E379,$G379),'LAC 103'!$A$12:$O$95,12,FALSE),0)</f>
        <v>3.07</v>
      </c>
      <c r="T379" s="1144">
        <f>IFERROR(VLOOKUP(CONCATENATE($E379,$G379),'LAC 103'!$A$12:$O$95,13,FALSE),0)</f>
        <v>1.92</v>
      </c>
      <c r="U379" s="1144">
        <f>IFERROR(VLOOKUP(CONCATENATE($E379,$G379),'LAC 103'!$A$12:$O$95,14,FALSE),0)</f>
        <v>0</v>
      </c>
      <c r="V379" s="1144">
        <f>IFERROR(VLOOKUP(CONCATENATE($E379,$G379),'LAC 103'!$A$12:$O$95,15,FALSE),0)</f>
        <v>0</v>
      </c>
      <c r="W379" s="1145" t="str">
        <f>IFERROR(VLOOKUP(CONCATENATE($B379,$N379),'LAC 103'!$AI:$AQ,9,FALSE),"")</f>
        <v>Costs</v>
      </c>
      <c r="X379" s="1146">
        <f t="shared" si="96"/>
        <v>2.483156209074918</v>
      </c>
      <c r="Y379" s="1143">
        <f t="shared" si="97"/>
        <v>163553.08371071948</v>
      </c>
      <c r="Z379" s="1147">
        <f t="shared" si="98"/>
        <v>202205.55</v>
      </c>
      <c r="AA379" s="1144">
        <f t="shared" si="99"/>
        <v>126460.79999999999</v>
      </c>
      <c r="AB379" s="1144">
        <f t="shared" si="100"/>
        <v>0</v>
      </c>
      <c r="AC379" s="1144">
        <f t="shared" si="101"/>
        <v>0</v>
      </c>
      <c r="AD379" s="1148">
        <f t="shared" si="92"/>
        <v>163553.08371071948</v>
      </c>
      <c r="AE379" s="1487">
        <v>0</v>
      </c>
      <c r="AF379" s="1145">
        <f t="shared" si="102"/>
        <v>163553.08371071948</v>
      </c>
      <c r="AG379" s="1149">
        <f>IFERROR(VLOOKUP(CONCATENATE($L379,$N379),'Drop List'!$G$23:$K$87,2,FALSE),0)</f>
        <v>0.9</v>
      </c>
      <c r="AH379" s="1150">
        <f>IFERROR(VLOOKUP(CONCATENATE($L379,$N379),'Drop List'!$G$23:$K$87,3,FALSE),0)</f>
        <v>0</v>
      </c>
      <c r="AI379" s="1150">
        <f>IFERROR(VLOOKUP(CONCATENATE($L379,$N379),'Drop List'!$G$23:$K$87,4,FALSE),0)</f>
        <v>0.1</v>
      </c>
      <c r="AJ379" s="1151">
        <f>IFERROR(VLOOKUP(CONCATENATE($L379,$N379),'Drop List'!$G$23:$K$87,5,FALSE),0)</f>
        <v>0</v>
      </c>
      <c r="AK379" s="1152">
        <f t="shared" si="103"/>
        <v>147197.77533964755</v>
      </c>
      <c r="AL379" s="1153">
        <f t="shared" si="104"/>
        <v>0</v>
      </c>
      <c r="AM379" s="1153">
        <f t="shared" si="105"/>
        <v>16355.308371071949</v>
      </c>
      <c r="AN379" s="1145">
        <f t="shared" si="106"/>
        <v>0</v>
      </c>
      <c r="AO379" s="1154">
        <f t="shared" si="107"/>
        <v>163553.08371071948</v>
      </c>
      <c r="AP379" s="1147">
        <f t="shared" si="93"/>
        <v>0</v>
      </c>
      <c r="AQ379" s="1144">
        <f t="shared" si="94"/>
        <v>0</v>
      </c>
      <c r="AR379" s="1146">
        <f t="shared" si="95"/>
        <v>163553.08371071948</v>
      </c>
    </row>
    <row r="380" spans="1:44" x14ac:dyDescent="0.2">
      <c r="A380" s="1141" t="str">
        <f t="shared" si="90"/>
        <v>1504</v>
      </c>
      <c r="B380" s="1141" t="str">
        <f>IFERROR(VLOOKUP(A380,'LAC 103'!A:C,3,FALSE),"")</f>
        <v>OP</v>
      </c>
      <c r="C380" s="1478" t="str">
        <f>Info!$B$8</f>
        <v>00100</v>
      </c>
      <c r="D380" s="1474" t="s">
        <v>256</v>
      </c>
      <c r="E380" s="1474" t="s">
        <v>95</v>
      </c>
      <c r="F380" s="1478" t="s">
        <v>588</v>
      </c>
      <c r="G380" s="1478" t="s">
        <v>588</v>
      </c>
      <c r="H380" s="1474" t="s">
        <v>1665</v>
      </c>
      <c r="I380" s="1478" t="s">
        <v>803</v>
      </c>
      <c r="J380" s="1478"/>
      <c r="K380" s="1475" t="s">
        <v>849</v>
      </c>
      <c r="L380" s="1474" t="s">
        <v>77</v>
      </c>
      <c r="M380" s="1476" t="s">
        <v>1698</v>
      </c>
      <c r="N380" s="1477" t="s">
        <v>1693</v>
      </c>
      <c r="O380" s="1479">
        <v>56516</v>
      </c>
      <c r="P380" s="1479"/>
      <c r="Q380" s="1142">
        <f t="shared" si="91"/>
        <v>56516</v>
      </c>
      <c r="R380" s="1143">
        <f>IFERROR(VLOOKUP(CONCATENATE(E380,G380),'LAC 103'!$A$12:$O$95,11,FALSE),0)</f>
        <v>2.483156209074918</v>
      </c>
      <c r="S380" s="1144">
        <f>IFERROR(VLOOKUP(CONCATENATE($E380,$G380),'LAC 103'!$A$12:$O$95,12,FALSE),0)</f>
        <v>3.07</v>
      </c>
      <c r="T380" s="1144">
        <f>IFERROR(VLOOKUP(CONCATENATE($E380,$G380),'LAC 103'!$A$12:$O$95,13,FALSE),0)</f>
        <v>1.92</v>
      </c>
      <c r="U380" s="1144">
        <f>IFERROR(VLOOKUP(CONCATENATE($E380,$G380),'LAC 103'!$A$12:$O$95,14,FALSE),0)</f>
        <v>0</v>
      </c>
      <c r="V380" s="1144">
        <f>IFERROR(VLOOKUP(CONCATENATE($E380,$G380),'LAC 103'!$A$12:$O$95,15,FALSE),0)</f>
        <v>0</v>
      </c>
      <c r="W380" s="1145" t="str">
        <f>IFERROR(VLOOKUP(CONCATENATE($B380,$N380),'LAC 103'!$AI:$AQ,9,FALSE),"")</f>
        <v>Costs</v>
      </c>
      <c r="X380" s="1146">
        <f t="shared" si="96"/>
        <v>2.483156209074918</v>
      </c>
      <c r="Y380" s="1143">
        <f t="shared" si="97"/>
        <v>140338.05631207806</v>
      </c>
      <c r="Z380" s="1147">
        <f t="shared" si="98"/>
        <v>173504.12</v>
      </c>
      <c r="AA380" s="1144">
        <f t="shared" si="99"/>
        <v>108510.72</v>
      </c>
      <c r="AB380" s="1144">
        <f t="shared" si="100"/>
        <v>0</v>
      </c>
      <c r="AC380" s="1144">
        <f t="shared" si="101"/>
        <v>0</v>
      </c>
      <c r="AD380" s="1148">
        <f t="shared" si="92"/>
        <v>140338.05631207806</v>
      </c>
      <c r="AE380" s="1487">
        <v>0</v>
      </c>
      <c r="AF380" s="1145">
        <f t="shared" si="102"/>
        <v>140338.05631207806</v>
      </c>
      <c r="AG380" s="1149">
        <f>IFERROR(VLOOKUP(CONCATENATE($L380,$N380),'Drop List'!$G$23:$K$87,2,FALSE),0)</f>
        <v>0.9</v>
      </c>
      <c r="AH380" s="1150">
        <f>IFERROR(VLOOKUP(CONCATENATE($L380,$N380),'Drop List'!$G$23:$K$87,3,FALSE),0)</f>
        <v>0</v>
      </c>
      <c r="AI380" s="1150">
        <f>IFERROR(VLOOKUP(CONCATENATE($L380,$N380),'Drop List'!$G$23:$K$87,4,FALSE),0)</f>
        <v>0.1</v>
      </c>
      <c r="AJ380" s="1151">
        <f>IFERROR(VLOOKUP(CONCATENATE($L380,$N380),'Drop List'!$G$23:$K$87,5,FALSE),0)</f>
        <v>0</v>
      </c>
      <c r="AK380" s="1152">
        <f t="shared" si="103"/>
        <v>126304.25068087026</v>
      </c>
      <c r="AL380" s="1153">
        <f t="shared" si="104"/>
        <v>0</v>
      </c>
      <c r="AM380" s="1153">
        <f t="shared" si="105"/>
        <v>14033.805631207806</v>
      </c>
      <c r="AN380" s="1145">
        <f t="shared" si="106"/>
        <v>0</v>
      </c>
      <c r="AO380" s="1154">
        <f t="shared" si="107"/>
        <v>140338.05631207806</v>
      </c>
      <c r="AP380" s="1147">
        <f t="shared" si="93"/>
        <v>0</v>
      </c>
      <c r="AQ380" s="1144">
        <f t="shared" si="94"/>
        <v>0</v>
      </c>
      <c r="AR380" s="1146">
        <f t="shared" si="95"/>
        <v>140338.05631207806</v>
      </c>
    </row>
    <row r="381" spans="1:44" x14ac:dyDescent="0.2">
      <c r="A381" s="1141" t="str">
        <f t="shared" si="90"/>
        <v>1504</v>
      </c>
      <c r="B381" s="1141" t="str">
        <f>IFERROR(VLOOKUP(A381,'LAC 103'!A:C,3,FALSE),"")</f>
        <v>OP</v>
      </c>
      <c r="C381" s="1478" t="str">
        <f>Info!$B$8</f>
        <v>00100</v>
      </c>
      <c r="D381" s="1474" t="s">
        <v>256</v>
      </c>
      <c r="E381" s="1474" t="s">
        <v>95</v>
      </c>
      <c r="F381" s="1478" t="s">
        <v>588</v>
      </c>
      <c r="G381" s="1478" t="s">
        <v>588</v>
      </c>
      <c r="H381" s="1474" t="s">
        <v>1665</v>
      </c>
      <c r="I381" s="1478" t="s">
        <v>803</v>
      </c>
      <c r="J381" s="1478"/>
      <c r="K381" s="1475" t="s">
        <v>971</v>
      </c>
      <c r="L381" s="1474" t="s">
        <v>332</v>
      </c>
      <c r="M381" s="1476" t="s">
        <v>1699</v>
      </c>
      <c r="N381" s="1477" t="s">
        <v>1694</v>
      </c>
      <c r="O381" s="1479">
        <v>181</v>
      </c>
      <c r="P381" s="1479"/>
      <c r="Q381" s="1142">
        <f t="shared" si="91"/>
        <v>181</v>
      </c>
      <c r="R381" s="1143">
        <f>IFERROR(VLOOKUP(CONCATENATE(E381,G381),'LAC 103'!$A$12:$O$95,11,FALSE),0)</f>
        <v>2.483156209074918</v>
      </c>
      <c r="S381" s="1144">
        <f>IFERROR(VLOOKUP(CONCATENATE($E381,$G381),'LAC 103'!$A$12:$O$95,12,FALSE),0)</f>
        <v>3.07</v>
      </c>
      <c r="T381" s="1144">
        <f>IFERROR(VLOOKUP(CONCATENATE($E381,$G381),'LAC 103'!$A$12:$O$95,13,FALSE),0)</f>
        <v>1.92</v>
      </c>
      <c r="U381" s="1144">
        <f>IFERROR(VLOOKUP(CONCATENATE($E381,$G381),'LAC 103'!$A$12:$O$95,14,FALSE),0)</f>
        <v>0</v>
      </c>
      <c r="V381" s="1144">
        <f>IFERROR(VLOOKUP(CONCATENATE($E381,$G381),'LAC 103'!$A$12:$O$95,15,FALSE),0)</f>
        <v>0</v>
      </c>
      <c r="W381" s="1145" t="str">
        <f>IFERROR(VLOOKUP(CONCATENATE($B381,$N381),'LAC 103'!$AI:$AQ,9,FALSE),"")</f>
        <v>Costs</v>
      </c>
      <c r="X381" s="1146">
        <f t="shared" si="96"/>
        <v>2.483156209074918</v>
      </c>
      <c r="Y381" s="1143">
        <f t="shared" si="97"/>
        <v>449.45127384256017</v>
      </c>
      <c r="Z381" s="1147">
        <f t="shared" si="98"/>
        <v>555.66999999999996</v>
      </c>
      <c r="AA381" s="1144">
        <f t="shared" si="99"/>
        <v>347.52</v>
      </c>
      <c r="AB381" s="1144">
        <f t="shared" si="100"/>
        <v>0</v>
      </c>
      <c r="AC381" s="1144">
        <f t="shared" si="101"/>
        <v>0</v>
      </c>
      <c r="AD381" s="1148">
        <f t="shared" si="92"/>
        <v>449.45127384256017</v>
      </c>
      <c r="AE381" s="1487">
        <v>0</v>
      </c>
      <c r="AF381" s="1145">
        <f t="shared" si="102"/>
        <v>449.45127384256017</v>
      </c>
      <c r="AG381" s="1149">
        <f>IFERROR(VLOOKUP(CONCATENATE($L381,$N381),'Drop List'!$G$23:$K$87,2,FALSE),0)</f>
        <v>0</v>
      </c>
      <c r="AH381" s="1150">
        <f>IFERROR(VLOOKUP(CONCATENATE($L381,$N381),'Drop List'!$G$23:$K$87,3,FALSE),0)</f>
        <v>0</v>
      </c>
      <c r="AI381" s="1150">
        <f>IFERROR(VLOOKUP(CONCATENATE($L381,$N381),'Drop List'!$G$23:$K$87,4,FALSE),0)</f>
        <v>0</v>
      </c>
      <c r="AJ381" s="1151">
        <f>IFERROR(VLOOKUP(CONCATENATE($L381,$N381),'Drop List'!$G$23:$K$87,5,FALSE),0)</f>
        <v>0</v>
      </c>
      <c r="AK381" s="1152">
        <f t="shared" si="103"/>
        <v>0</v>
      </c>
      <c r="AL381" s="1153">
        <f t="shared" si="104"/>
        <v>0</v>
      </c>
      <c r="AM381" s="1153">
        <f t="shared" si="105"/>
        <v>0</v>
      </c>
      <c r="AN381" s="1145">
        <f t="shared" si="106"/>
        <v>0</v>
      </c>
      <c r="AO381" s="1154">
        <f t="shared" si="107"/>
        <v>0</v>
      </c>
      <c r="AP381" s="1147">
        <f t="shared" si="93"/>
        <v>449.45127384256017</v>
      </c>
      <c r="AQ381" s="1144">
        <f t="shared" si="94"/>
        <v>0</v>
      </c>
      <c r="AR381" s="1146">
        <f t="shared" si="95"/>
        <v>449.45127384256017</v>
      </c>
    </row>
    <row r="382" spans="1:44" x14ac:dyDescent="0.2">
      <c r="A382" s="1141" t="str">
        <f t="shared" si="90"/>
        <v>1504</v>
      </c>
      <c r="B382" s="1141" t="str">
        <f>IFERROR(VLOOKUP(A382,'LAC 103'!A:C,3,FALSE),"")</f>
        <v>OP</v>
      </c>
      <c r="C382" s="1478" t="str">
        <f>Info!$B$8</f>
        <v>00100</v>
      </c>
      <c r="D382" s="1474" t="s">
        <v>256</v>
      </c>
      <c r="E382" s="1474" t="s">
        <v>95</v>
      </c>
      <c r="F382" s="1478" t="s">
        <v>588</v>
      </c>
      <c r="G382" s="1478" t="s">
        <v>588</v>
      </c>
      <c r="H382" s="1474" t="s">
        <v>1665</v>
      </c>
      <c r="I382" s="1478" t="s">
        <v>803</v>
      </c>
      <c r="J382" s="1478"/>
      <c r="K382" s="1475" t="s">
        <v>850</v>
      </c>
      <c r="L382" s="1474" t="s">
        <v>330</v>
      </c>
      <c r="M382" s="1476" t="s">
        <v>1699</v>
      </c>
      <c r="N382" s="1477" t="s">
        <v>1694</v>
      </c>
      <c r="O382" s="1479">
        <v>475</v>
      </c>
      <c r="P382" s="1479"/>
      <c r="Q382" s="1142">
        <f t="shared" si="91"/>
        <v>475</v>
      </c>
      <c r="R382" s="1143">
        <f>IFERROR(VLOOKUP(CONCATENATE(E382,G382),'LAC 103'!$A$12:$O$95,11,FALSE),0)</f>
        <v>2.483156209074918</v>
      </c>
      <c r="S382" s="1144">
        <f>IFERROR(VLOOKUP(CONCATENATE($E382,$G382),'LAC 103'!$A$12:$O$95,12,FALSE),0)</f>
        <v>3.07</v>
      </c>
      <c r="T382" s="1144">
        <f>IFERROR(VLOOKUP(CONCATENATE($E382,$G382),'LAC 103'!$A$12:$O$95,13,FALSE),0)</f>
        <v>1.92</v>
      </c>
      <c r="U382" s="1144">
        <f>IFERROR(VLOOKUP(CONCATENATE($E382,$G382),'LAC 103'!$A$12:$O$95,14,FALSE),0)</f>
        <v>0</v>
      </c>
      <c r="V382" s="1144">
        <f>IFERROR(VLOOKUP(CONCATENATE($E382,$G382),'LAC 103'!$A$12:$O$95,15,FALSE),0)</f>
        <v>0</v>
      </c>
      <c r="W382" s="1145" t="str">
        <f>IFERROR(VLOOKUP(CONCATENATE($B382,$N382),'LAC 103'!$AI:$AQ,9,FALSE),"")</f>
        <v>Costs</v>
      </c>
      <c r="X382" s="1146">
        <f t="shared" si="96"/>
        <v>2.483156209074918</v>
      </c>
      <c r="Y382" s="1143">
        <f t="shared" si="97"/>
        <v>1179.4991993105859</v>
      </c>
      <c r="Z382" s="1147">
        <f t="shared" si="98"/>
        <v>1458.25</v>
      </c>
      <c r="AA382" s="1144">
        <f t="shared" si="99"/>
        <v>912</v>
      </c>
      <c r="AB382" s="1144">
        <f t="shared" si="100"/>
        <v>0</v>
      </c>
      <c r="AC382" s="1144">
        <f t="shared" si="101"/>
        <v>0</v>
      </c>
      <c r="AD382" s="1148">
        <f t="shared" si="92"/>
        <v>1179.4991993105859</v>
      </c>
      <c r="AE382" s="1487">
        <v>0</v>
      </c>
      <c r="AF382" s="1145">
        <f t="shared" si="102"/>
        <v>1179.4991993105859</v>
      </c>
      <c r="AG382" s="1149">
        <f>IFERROR(VLOOKUP(CONCATENATE($L382,$N382),'Drop List'!$G$23:$K$87,2,FALSE),0)</f>
        <v>0</v>
      </c>
      <c r="AH382" s="1150">
        <f>IFERROR(VLOOKUP(CONCATENATE($L382,$N382),'Drop List'!$G$23:$K$87,3,FALSE),0)</f>
        <v>0</v>
      </c>
      <c r="AI382" s="1150">
        <f>IFERROR(VLOOKUP(CONCATENATE($L382,$N382),'Drop List'!$G$23:$K$87,4,FALSE),0)</f>
        <v>1</v>
      </c>
      <c r="AJ382" s="1151">
        <f>IFERROR(VLOOKUP(CONCATENATE($L382,$N382),'Drop List'!$G$23:$K$87,5,FALSE),0)</f>
        <v>0</v>
      </c>
      <c r="AK382" s="1152">
        <f t="shared" si="103"/>
        <v>0</v>
      </c>
      <c r="AL382" s="1153">
        <f t="shared" si="104"/>
        <v>0</v>
      </c>
      <c r="AM382" s="1153">
        <f t="shared" si="105"/>
        <v>1179.4991993105859</v>
      </c>
      <c r="AN382" s="1145">
        <f t="shared" si="106"/>
        <v>0</v>
      </c>
      <c r="AO382" s="1154">
        <f t="shared" si="107"/>
        <v>1179.4991993105859</v>
      </c>
      <c r="AP382" s="1147">
        <f t="shared" si="93"/>
        <v>0</v>
      </c>
      <c r="AQ382" s="1144">
        <f t="shared" si="94"/>
        <v>0</v>
      </c>
      <c r="AR382" s="1146">
        <f t="shared" si="95"/>
        <v>1179.4991993105859</v>
      </c>
    </row>
    <row r="383" spans="1:44" x14ac:dyDescent="0.2">
      <c r="A383" s="1141" t="str">
        <f t="shared" si="90"/>
        <v>1504</v>
      </c>
      <c r="B383" s="1141" t="str">
        <f>IFERROR(VLOOKUP(A383,'LAC 103'!A:C,3,FALSE),"")</f>
        <v>OP</v>
      </c>
      <c r="C383" s="1478" t="str">
        <f>Info!$B$8</f>
        <v>00100</v>
      </c>
      <c r="D383" s="1474" t="s">
        <v>256</v>
      </c>
      <c r="E383" s="1474" t="s">
        <v>95</v>
      </c>
      <c r="F383" s="1478" t="s">
        <v>588</v>
      </c>
      <c r="G383" s="1478" t="s">
        <v>588</v>
      </c>
      <c r="H383" s="1474" t="s">
        <v>1665</v>
      </c>
      <c r="I383" s="1478" t="s">
        <v>803</v>
      </c>
      <c r="J383" s="1478"/>
      <c r="K383" s="1475" t="s">
        <v>850</v>
      </c>
      <c r="L383" s="1474" t="s">
        <v>330</v>
      </c>
      <c r="M383" s="1476" t="s">
        <v>1698</v>
      </c>
      <c r="N383" s="1477" t="s">
        <v>1693</v>
      </c>
      <c r="O383" s="1479">
        <v>658</v>
      </c>
      <c r="P383" s="1479"/>
      <c r="Q383" s="1142">
        <f t="shared" si="91"/>
        <v>658</v>
      </c>
      <c r="R383" s="1143">
        <f>IFERROR(VLOOKUP(CONCATENATE(E383,G383),'LAC 103'!$A$12:$O$95,11,FALSE),0)</f>
        <v>2.483156209074918</v>
      </c>
      <c r="S383" s="1144">
        <f>IFERROR(VLOOKUP(CONCATENATE($E383,$G383),'LAC 103'!$A$12:$O$95,12,FALSE),0)</f>
        <v>3.07</v>
      </c>
      <c r="T383" s="1144">
        <f>IFERROR(VLOOKUP(CONCATENATE($E383,$G383),'LAC 103'!$A$12:$O$95,13,FALSE),0)</f>
        <v>1.92</v>
      </c>
      <c r="U383" s="1144">
        <f>IFERROR(VLOOKUP(CONCATENATE($E383,$G383),'LAC 103'!$A$12:$O$95,14,FALSE),0)</f>
        <v>0</v>
      </c>
      <c r="V383" s="1144">
        <f>IFERROR(VLOOKUP(CONCATENATE($E383,$G383),'LAC 103'!$A$12:$O$95,15,FALSE),0)</f>
        <v>0</v>
      </c>
      <c r="W383" s="1145" t="str">
        <f>IFERROR(VLOOKUP(CONCATENATE($B383,$N383),'LAC 103'!$AI:$AQ,9,FALSE),"")</f>
        <v>Costs</v>
      </c>
      <c r="X383" s="1146">
        <f t="shared" si="96"/>
        <v>2.483156209074918</v>
      </c>
      <c r="Y383" s="1143">
        <f t="shared" si="97"/>
        <v>1633.916785571296</v>
      </c>
      <c r="Z383" s="1147">
        <f t="shared" si="98"/>
        <v>2020.06</v>
      </c>
      <c r="AA383" s="1144">
        <f t="shared" si="99"/>
        <v>1263.3599999999999</v>
      </c>
      <c r="AB383" s="1144">
        <f t="shared" si="100"/>
        <v>0</v>
      </c>
      <c r="AC383" s="1144">
        <f t="shared" si="101"/>
        <v>0</v>
      </c>
      <c r="AD383" s="1148">
        <f t="shared" si="92"/>
        <v>1633.916785571296</v>
      </c>
      <c r="AE383" s="1487">
        <v>0</v>
      </c>
      <c r="AF383" s="1145">
        <f t="shared" si="102"/>
        <v>1633.916785571296</v>
      </c>
      <c r="AG383" s="1149">
        <f>IFERROR(VLOOKUP(CONCATENATE($L383,$N383),'Drop List'!$G$23:$K$87,2,FALSE),0)</f>
        <v>0</v>
      </c>
      <c r="AH383" s="1150">
        <f>IFERROR(VLOOKUP(CONCATENATE($L383,$N383),'Drop List'!$G$23:$K$87,3,FALSE),0)</f>
        <v>0</v>
      </c>
      <c r="AI383" s="1150">
        <f>IFERROR(VLOOKUP(CONCATENATE($L383,$N383),'Drop List'!$G$23:$K$87,4,FALSE),0)</f>
        <v>1</v>
      </c>
      <c r="AJ383" s="1151">
        <f>IFERROR(VLOOKUP(CONCATENATE($L383,$N383),'Drop List'!$G$23:$K$87,5,FALSE),0)</f>
        <v>0</v>
      </c>
      <c r="AK383" s="1152">
        <f t="shared" si="103"/>
        <v>0</v>
      </c>
      <c r="AL383" s="1153">
        <f t="shared" si="104"/>
        <v>0</v>
      </c>
      <c r="AM383" s="1153">
        <f t="shared" si="105"/>
        <v>1633.916785571296</v>
      </c>
      <c r="AN383" s="1145">
        <f t="shared" si="106"/>
        <v>0</v>
      </c>
      <c r="AO383" s="1154">
        <f t="shared" si="107"/>
        <v>1633.916785571296</v>
      </c>
      <c r="AP383" s="1147">
        <f t="shared" si="93"/>
        <v>0</v>
      </c>
      <c r="AQ383" s="1144">
        <f t="shared" si="94"/>
        <v>0</v>
      </c>
      <c r="AR383" s="1146">
        <f t="shared" si="95"/>
        <v>1633.916785571296</v>
      </c>
    </row>
    <row r="384" spans="1:44" x14ac:dyDescent="0.2">
      <c r="A384" s="1141" t="str">
        <f t="shared" si="90"/>
        <v>1504</v>
      </c>
      <c r="B384" s="1141" t="str">
        <f>IFERROR(VLOOKUP(A384,'LAC 103'!A:C,3,FALSE),"")</f>
        <v>OP</v>
      </c>
      <c r="C384" s="1478" t="str">
        <f>Info!$B$8</f>
        <v>00100</v>
      </c>
      <c r="D384" s="1474" t="s">
        <v>256</v>
      </c>
      <c r="E384" s="1474" t="s">
        <v>95</v>
      </c>
      <c r="F384" s="1478" t="s">
        <v>588</v>
      </c>
      <c r="G384" s="1478" t="s">
        <v>588</v>
      </c>
      <c r="H384" s="1474" t="s">
        <v>1665</v>
      </c>
      <c r="I384" s="1478" t="s">
        <v>803</v>
      </c>
      <c r="J384" s="1478"/>
      <c r="K384" s="1475" t="s">
        <v>851</v>
      </c>
      <c r="L384" s="1474" t="s">
        <v>584</v>
      </c>
      <c r="M384" s="1476" t="s">
        <v>1699</v>
      </c>
      <c r="N384" s="1477" t="s">
        <v>1694</v>
      </c>
      <c r="O384" s="1479">
        <v>20051</v>
      </c>
      <c r="P384" s="1479"/>
      <c r="Q384" s="1142">
        <f t="shared" si="91"/>
        <v>20051</v>
      </c>
      <c r="R384" s="1143">
        <f>IFERROR(VLOOKUP(CONCATENATE(E384,G384),'LAC 103'!$A$12:$O$95,11,FALSE),0)</f>
        <v>2.483156209074918</v>
      </c>
      <c r="S384" s="1144">
        <f>IFERROR(VLOOKUP(CONCATENATE($E384,$G384),'LAC 103'!$A$12:$O$95,12,FALSE),0)</f>
        <v>3.07</v>
      </c>
      <c r="T384" s="1144">
        <f>IFERROR(VLOOKUP(CONCATENATE($E384,$G384),'LAC 103'!$A$12:$O$95,13,FALSE),0)</f>
        <v>1.92</v>
      </c>
      <c r="U384" s="1144">
        <f>IFERROR(VLOOKUP(CONCATENATE($E384,$G384),'LAC 103'!$A$12:$O$95,14,FALSE),0)</f>
        <v>0</v>
      </c>
      <c r="V384" s="1144">
        <f>IFERROR(VLOOKUP(CONCATENATE($E384,$G384),'LAC 103'!$A$12:$O$95,15,FALSE),0)</f>
        <v>0</v>
      </c>
      <c r="W384" s="1145" t="str">
        <f>IFERROR(VLOOKUP(CONCATENATE($B384,$N384),'LAC 103'!$AI:$AQ,9,FALSE),"")</f>
        <v>Costs</v>
      </c>
      <c r="X384" s="1146">
        <f t="shared" si="96"/>
        <v>2.483156209074918</v>
      </c>
      <c r="Y384" s="1143">
        <f t="shared" si="97"/>
        <v>49789.765148161183</v>
      </c>
      <c r="Z384" s="1147">
        <f t="shared" si="98"/>
        <v>61556.57</v>
      </c>
      <c r="AA384" s="1144">
        <f t="shared" si="99"/>
        <v>38497.919999999998</v>
      </c>
      <c r="AB384" s="1144">
        <f t="shared" si="100"/>
        <v>0</v>
      </c>
      <c r="AC384" s="1144">
        <f t="shared" si="101"/>
        <v>0</v>
      </c>
      <c r="AD384" s="1148">
        <f t="shared" si="92"/>
        <v>49789.765148161183</v>
      </c>
      <c r="AE384" s="1487">
        <v>0</v>
      </c>
      <c r="AF384" s="1145">
        <f t="shared" si="102"/>
        <v>49789.765148161183</v>
      </c>
      <c r="AG384" s="1149">
        <f>IFERROR(VLOOKUP(CONCATENATE($L384,$N384),'Drop List'!$G$23:$K$87,2,FALSE),0)</f>
        <v>0.56200000000000006</v>
      </c>
      <c r="AH384" s="1150">
        <f>IFERROR(VLOOKUP(CONCATENATE($L384,$N384),'Drop List'!$G$23:$K$87,3,FALSE),0)</f>
        <v>0</v>
      </c>
      <c r="AI384" s="1150">
        <f>IFERROR(VLOOKUP(CONCATENATE($L384,$N384),'Drop List'!$G$23:$K$87,4,FALSE),0)</f>
        <v>0</v>
      </c>
      <c r="AJ384" s="1151">
        <f>IFERROR(VLOOKUP(CONCATENATE($L384,$N384),'Drop List'!$G$23:$K$87,5,FALSE),0)</f>
        <v>0.43799999999999994</v>
      </c>
      <c r="AK384" s="1152">
        <f t="shared" si="103"/>
        <v>27981.848013266586</v>
      </c>
      <c r="AL384" s="1153">
        <f t="shared" si="104"/>
        <v>0</v>
      </c>
      <c r="AM384" s="1153">
        <f t="shared" si="105"/>
        <v>0</v>
      </c>
      <c r="AN384" s="1145">
        <f t="shared" si="106"/>
        <v>21807.917134894597</v>
      </c>
      <c r="AO384" s="1154">
        <f t="shared" si="107"/>
        <v>49789.765148161183</v>
      </c>
      <c r="AP384" s="1147">
        <f t="shared" si="93"/>
        <v>0</v>
      </c>
      <c r="AQ384" s="1144">
        <f t="shared" si="94"/>
        <v>0</v>
      </c>
      <c r="AR384" s="1146">
        <f t="shared" si="95"/>
        <v>49789.765148161183</v>
      </c>
    </row>
    <row r="385" spans="1:44" x14ac:dyDescent="0.2">
      <c r="A385" s="1141" t="str">
        <f t="shared" si="90"/>
        <v>1504</v>
      </c>
      <c r="B385" s="1141" t="str">
        <f>IFERROR(VLOOKUP(A385,'LAC 103'!A:C,3,FALSE),"")</f>
        <v>OP</v>
      </c>
      <c r="C385" s="1478" t="str">
        <f>Info!$B$8</f>
        <v>00100</v>
      </c>
      <c r="D385" s="1474" t="s">
        <v>256</v>
      </c>
      <c r="E385" s="1474" t="s">
        <v>95</v>
      </c>
      <c r="F385" s="1478" t="s">
        <v>588</v>
      </c>
      <c r="G385" s="1478" t="s">
        <v>588</v>
      </c>
      <c r="H385" s="1474" t="s">
        <v>1665</v>
      </c>
      <c r="I385" s="1478" t="s">
        <v>803</v>
      </c>
      <c r="J385" s="1478"/>
      <c r="K385" s="1475" t="s">
        <v>851</v>
      </c>
      <c r="L385" s="1474" t="s">
        <v>584</v>
      </c>
      <c r="M385" s="1476" t="s">
        <v>841</v>
      </c>
      <c r="N385" s="1477" t="s">
        <v>1695</v>
      </c>
      <c r="O385" s="1479">
        <v>8150</v>
      </c>
      <c r="P385" s="1479"/>
      <c r="Q385" s="1142">
        <f t="shared" si="91"/>
        <v>8150</v>
      </c>
      <c r="R385" s="1143">
        <f>IFERROR(VLOOKUP(CONCATENATE(E385,G385),'LAC 103'!$A$12:$O$95,11,FALSE),0)</f>
        <v>2.483156209074918</v>
      </c>
      <c r="S385" s="1144">
        <f>IFERROR(VLOOKUP(CONCATENATE($E385,$G385),'LAC 103'!$A$12:$O$95,12,FALSE),0)</f>
        <v>3.07</v>
      </c>
      <c r="T385" s="1144">
        <f>IFERROR(VLOOKUP(CONCATENATE($E385,$G385),'LAC 103'!$A$12:$O$95,13,FALSE),0)</f>
        <v>1.92</v>
      </c>
      <c r="U385" s="1144">
        <f>IFERROR(VLOOKUP(CONCATENATE($E385,$G385),'LAC 103'!$A$12:$O$95,14,FALSE),0)</f>
        <v>0</v>
      </c>
      <c r="V385" s="1144">
        <f>IFERROR(VLOOKUP(CONCATENATE($E385,$G385),'LAC 103'!$A$12:$O$95,15,FALSE),0)</f>
        <v>0</v>
      </c>
      <c r="W385" s="1145" t="str">
        <f>IFERROR(VLOOKUP(CONCATENATE($B385,$N385),'LAC 103'!$AI:$AQ,9,FALSE),"")</f>
        <v>Costs</v>
      </c>
      <c r="X385" s="1146">
        <f t="shared" si="96"/>
        <v>2.483156209074918</v>
      </c>
      <c r="Y385" s="1143">
        <f t="shared" si="97"/>
        <v>20237.723103960583</v>
      </c>
      <c r="Z385" s="1147">
        <f t="shared" si="98"/>
        <v>25020.5</v>
      </c>
      <c r="AA385" s="1144">
        <f t="shared" si="99"/>
        <v>15648</v>
      </c>
      <c r="AB385" s="1144">
        <f t="shared" si="100"/>
        <v>0</v>
      </c>
      <c r="AC385" s="1144">
        <f t="shared" si="101"/>
        <v>0</v>
      </c>
      <c r="AD385" s="1148">
        <f t="shared" si="92"/>
        <v>20237.723103960583</v>
      </c>
      <c r="AE385" s="1487">
        <v>0</v>
      </c>
      <c r="AF385" s="1145">
        <f t="shared" si="102"/>
        <v>20237.723103960583</v>
      </c>
      <c r="AG385" s="1149">
        <f>IFERROR(VLOOKUP(CONCATENATE($L385,$N385),'Drop List'!$G$23:$K$87,2,FALSE),0)</f>
        <v>0.55000000000000004</v>
      </c>
      <c r="AH385" s="1150">
        <f>IFERROR(VLOOKUP(CONCATENATE($L385,$N385),'Drop List'!$G$23:$K$87,3,FALSE),0)</f>
        <v>0</v>
      </c>
      <c r="AI385" s="1150">
        <f>IFERROR(VLOOKUP(CONCATENATE($L385,$N385),'Drop List'!$G$23:$K$87,4,FALSE),0)</f>
        <v>0</v>
      </c>
      <c r="AJ385" s="1151">
        <f>IFERROR(VLOOKUP(CONCATENATE($L385,$N385),'Drop List'!$G$23:$K$87,5,FALSE),0)</f>
        <v>0.44999999999999996</v>
      </c>
      <c r="AK385" s="1152">
        <f t="shared" si="103"/>
        <v>11130.747707178321</v>
      </c>
      <c r="AL385" s="1153">
        <f t="shared" si="104"/>
        <v>0</v>
      </c>
      <c r="AM385" s="1153">
        <f t="shared" si="105"/>
        <v>0</v>
      </c>
      <c r="AN385" s="1145">
        <f t="shared" si="106"/>
        <v>9106.9753967822617</v>
      </c>
      <c r="AO385" s="1154">
        <f t="shared" si="107"/>
        <v>20237.723103960583</v>
      </c>
      <c r="AP385" s="1147">
        <f t="shared" si="93"/>
        <v>0</v>
      </c>
      <c r="AQ385" s="1144">
        <f t="shared" si="94"/>
        <v>0</v>
      </c>
      <c r="AR385" s="1146">
        <f t="shared" si="95"/>
        <v>20237.723103960583</v>
      </c>
    </row>
    <row r="386" spans="1:44" x14ac:dyDescent="0.2">
      <c r="A386" s="1141" t="str">
        <f t="shared" si="90"/>
        <v>1504</v>
      </c>
      <c r="B386" s="1141" t="str">
        <f>IFERROR(VLOOKUP(A386,'LAC 103'!A:C,3,FALSE),"")</f>
        <v>OP</v>
      </c>
      <c r="C386" s="1478" t="str">
        <f>Info!$B$8</f>
        <v>00100</v>
      </c>
      <c r="D386" s="1474" t="s">
        <v>256</v>
      </c>
      <c r="E386" s="1474" t="s">
        <v>95</v>
      </c>
      <c r="F386" s="1478" t="s">
        <v>588</v>
      </c>
      <c r="G386" s="1478" t="s">
        <v>588</v>
      </c>
      <c r="H386" s="1474" t="s">
        <v>1665</v>
      </c>
      <c r="I386" s="1478" t="s">
        <v>803</v>
      </c>
      <c r="J386" s="1478"/>
      <c r="K386" s="1475" t="s">
        <v>851</v>
      </c>
      <c r="L386" s="1474" t="s">
        <v>584</v>
      </c>
      <c r="M386" s="1476" t="s">
        <v>840</v>
      </c>
      <c r="N386" s="1477" t="s">
        <v>1700</v>
      </c>
      <c r="O386" s="1479">
        <v>6015</v>
      </c>
      <c r="P386" s="1479"/>
      <c r="Q386" s="1142">
        <f t="shared" si="91"/>
        <v>6015</v>
      </c>
      <c r="R386" s="1143">
        <f>IFERROR(VLOOKUP(CONCATENATE(E386,G386),'LAC 103'!$A$12:$O$95,11,FALSE),0)</f>
        <v>2.483156209074918</v>
      </c>
      <c r="S386" s="1144">
        <f>IFERROR(VLOOKUP(CONCATENATE($E386,$G386),'LAC 103'!$A$12:$O$95,12,FALSE),0)</f>
        <v>3.07</v>
      </c>
      <c r="T386" s="1144">
        <f>IFERROR(VLOOKUP(CONCATENATE($E386,$G386),'LAC 103'!$A$12:$O$95,13,FALSE),0)</f>
        <v>1.92</v>
      </c>
      <c r="U386" s="1144">
        <f>IFERROR(VLOOKUP(CONCATENATE($E386,$G386),'LAC 103'!$A$12:$O$95,14,FALSE),0)</f>
        <v>0</v>
      </c>
      <c r="V386" s="1144">
        <f>IFERROR(VLOOKUP(CONCATENATE($E386,$G386),'LAC 103'!$A$12:$O$95,15,FALSE),0)</f>
        <v>0</v>
      </c>
      <c r="W386" s="1145" t="str">
        <f>IFERROR(VLOOKUP(CONCATENATE($B386,$N386),'LAC 103'!$AI:$AQ,9,FALSE),"")</f>
        <v>P.C.</v>
      </c>
      <c r="X386" s="1146">
        <f t="shared" si="96"/>
        <v>1.92</v>
      </c>
      <c r="Y386" s="1143">
        <f t="shared" si="97"/>
        <v>14936.184597585632</v>
      </c>
      <c r="Z386" s="1147">
        <f t="shared" si="98"/>
        <v>18466.05</v>
      </c>
      <c r="AA386" s="1144">
        <f t="shared" si="99"/>
        <v>11548.8</v>
      </c>
      <c r="AB386" s="1144">
        <f t="shared" si="100"/>
        <v>0</v>
      </c>
      <c r="AC386" s="1144">
        <f t="shared" si="101"/>
        <v>0</v>
      </c>
      <c r="AD386" s="1148">
        <f t="shared" si="92"/>
        <v>11548.8</v>
      </c>
      <c r="AE386" s="1487">
        <v>0</v>
      </c>
      <c r="AF386" s="1145">
        <f t="shared" si="102"/>
        <v>11548.8</v>
      </c>
      <c r="AG386" s="1149">
        <f>IFERROR(VLOOKUP(CONCATENATE($L386,$N386),'Drop List'!$G$23:$K$87,2,FALSE),0)</f>
        <v>0.55000000000000004</v>
      </c>
      <c r="AH386" s="1150">
        <f>IFERROR(VLOOKUP(CONCATENATE($L386,$N386),'Drop List'!$G$23:$K$87,3,FALSE),0)</f>
        <v>0</v>
      </c>
      <c r="AI386" s="1150">
        <f>IFERROR(VLOOKUP(CONCATENATE($L386,$N386),'Drop List'!$G$23:$K$87,4,FALSE),0)</f>
        <v>0</v>
      </c>
      <c r="AJ386" s="1151">
        <f>IFERROR(VLOOKUP(CONCATENATE($L386,$N386),'Drop List'!$G$23:$K$87,5,FALSE),0)</f>
        <v>0.44999999999999996</v>
      </c>
      <c r="AK386" s="1152">
        <f t="shared" si="103"/>
        <v>6351.84</v>
      </c>
      <c r="AL386" s="1153">
        <f t="shared" si="104"/>
        <v>0</v>
      </c>
      <c r="AM386" s="1153">
        <f t="shared" si="105"/>
        <v>0</v>
      </c>
      <c r="AN386" s="1145">
        <f t="shared" si="106"/>
        <v>5196.9599999999991</v>
      </c>
      <c r="AO386" s="1154">
        <f t="shared" si="107"/>
        <v>11548.8</v>
      </c>
      <c r="AP386" s="1147">
        <f t="shared" si="93"/>
        <v>0</v>
      </c>
      <c r="AQ386" s="1144">
        <f t="shared" si="94"/>
        <v>0</v>
      </c>
      <c r="AR386" s="1146">
        <f t="shared" si="95"/>
        <v>11548.8</v>
      </c>
    </row>
    <row r="387" spans="1:44" x14ac:dyDescent="0.2">
      <c r="A387" s="1141" t="str">
        <f t="shared" si="90"/>
        <v>1504</v>
      </c>
      <c r="B387" s="1141" t="str">
        <f>IFERROR(VLOOKUP(A387,'LAC 103'!A:C,3,FALSE),"")</f>
        <v>OP</v>
      </c>
      <c r="C387" s="1478" t="str">
        <f>Info!$B$8</f>
        <v>00100</v>
      </c>
      <c r="D387" s="1474" t="s">
        <v>256</v>
      </c>
      <c r="E387" s="1474" t="s">
        <v>95</v>
      </c>
      <c r="F387" s="1478" t="s">
        <v>588</v>
      </c>
      <c r="G387" s="1478" t="s">
        <v>588</v>
      </c>
      <c r="H387" s="1474" t="s">
        <v>1665</v>
      </c>
      <c r="I387" s="1478" t="s">
        <v>803</v>
      </c>
      <c r="J387" s="1478"/>
      <c r="K387" s="1475" t="s">
        <v>851</v>
      </c>
      <c r="L387" s="1474" t="s">
        <v>584</v>
      </c>
      <c r="M387" s="1476" t="s">
        <v>842</v>
      </c>
      <c r="N387" s="1477" t="s">
        <v>1692</v>
      </c>
      <c r="O387" s="1479">
        <v>16949</v>
      </c>
      <c r="P387" s="1479"/>
      <c r="Q387" s="1142">
        <f t="shared" si="91"/>
        <v>16949</v>
      </c>
      <c r="R387" s="1143">
        <f>IFERROR(VLOOKUP(CONCATENATE(E387,G387),'LAC 103'!$A$12:$O$95,11,FALSE),0)</f>
        <v>2.483156209074918</v>
      </c>
      <c r="S387" s="1144">
        <f>IFERROR(VLOOKUP(CONCATENATE($E387,$G387),'LAC 103'!$A$12:$O$95,12,FALSE),0)</f>
        <v>3.07</v>
      </c>
      <c r="T387" s="1144">
        <f>IFERROR(VLOOKUP(CONCATENATE($E387,$G387),'LAC 103'!$A$12:$O$95,13,FALSE),0)</f>
        <v>1.92</v>
      </c>
      <c r="U387" s="1144">
        <f>IFERROR(VLOOKUP(CONCATENATE($E387,$G387),'LAC 103'!$A$12:$O$95,14,FALSE),0)</f>
        <v>0</v>
      </c>
      <c r="V387" s="1144">
        <f>IFERROR(VLOOKUP(CONCATENATE($E387,$G387),'LAC 103'!$A$12:$O$95,15,FALSE),0)</f>
        <v>0</v>
      </c>
      <c r="W387" s="1145" t="str">
        <f>IFERROR(VLOOKUP(CONCATENATE($B387,$N387),'LAC 103'!$AI:$AQ,9,FALSE),"")</f>
        <v>Costs</v>
      </c>
      <c r="X387" s="1146">
        <f t="shared" si="96"/>
        <v>2.483156209074918</v>
      </c>
      <c r="Y387" s="1143">
        <f t="shared" si="97"/>
        <v>42087.014587610785</v>
      </c>
      <c r="Z387" s="1147">
        <f t="shared" si="98"/>
        <v>52033.43</v>
      </c>
      <c r="AA387" s="1144">
        <f t="shared" si="99"/>
        <v>32542.079999999998</v>
      </c>
      <c r="AB387" s="1144">
        <f t="shared" si="100"/>
        <v>0</v>
      </c>
      <c r="AC387" s="1144">
        <f t="shared" si="101"/>
        <v>0</v>
      </c>
      <c r="AD387" s="1148">
        <f t="shared" si="92"/>
        <v>42087.014587610785</v>
      </c>
      <c r="AE387" s="1487">
        <v>0</v>
      </c>
      <c r="AF387" s="1145">
        <f t="shared" si="102"/>
        <v>42087.014587610785</v>
      </c>
      <c r="AG387" s="1149">
        <f>IFERROR(VLOOKUP(CONCATENATE($L387,$N387),'Drop List'!$G$23:$K$87,2,FALSE),0)</f>
        <v>0.56200000000000006</v>
      </c>
      <c r="AH387" s="1150">
        <f>IFERROR(VLOOKUP(CONCATENATE($L387,$N387),'Drop List'!$G$23:$K$87,3,FALSE),0)</f>
        <v>0</v>
      </c>
      <c r="AI387" s="1150">
        <f>IFERROR(VLOOKUP(CONCATENATE($L387,$N387),'Drop List'!$G$23:$K$87,4,FALSE),0)</f>
        <v>0</v>
      </c>
      <c r="AJ387" s="1151">
        <f>IFERROR(VLOOKUP(CONCATENATE($L387,$N387),'Drop List'!$G$23:$K$87,5,FALSE),0)</f>
        <v>0.43799999999999994</v>
      </c>
      <c r="AK387" s="1152">
        <f t="shared" si="103"/>
        <v>23652.902198237265</v>
      </c>
      <c r="AL387" s="1153">
        <f t="shared" si="104"/>
        <v>0</v>
      </c>
      <c r="AM387" s="1153">
        <f t="shared" si="105"/>
        <v>0</v>
      </c>
      <c r="AN387" s="1145">
        <f t="shared" si="106"/>
        <v>18434.11238937352</v>
      </c>
      <c r="AO387" s="1154">
        <f t="shared" si="107"/>
        <v>42087.014587610785</v>
      </c>
      <c r="AP387" s="1147">
        <f t="shared" si="93"/>
        <v>0</v>
      </c>
      <c r="AQ387" s="1144">
        <f t="shared" si="94"/>
        <v>0</v>
      </c>
      <c r="AR387" s="1146">
        <f t="shared" si="95"/>
        <v>42087.014587610785</v>
      </c>
    </row>
    <row r="388" spans="1:44" x14ac:dyDescent="0.2">
      <c r="A388" s="1141" t="str">
        <f t="shared" si="90"/>
        <v>1504</v>
      </c>
      <c r="B388" s="1141" t="str">
        <f>IFERROR(VLOOKUP(A388,'LAC 103'!A:C,3,FALSE),"")</f>
        <v>OP</v>
      </c>
      <c r="C388" s="1478" t="str">
        <f>Info!$B$8</f>
        <v>00100</v>
      </c>
      <c r="D388" s="1474" t="s">
        <v>256</v>
      </c>
      <c r="E388" s="1474" t="s">
        <v>95</v>
      </c>
      <c r="F388" s="1478" t="s">
        <v>588</v>
      </c>
      <c r="G388" s="1478" t="s">
        <v>588</v>
      </c>
      <c r="H388" s="1474" t="s">
        <v>1665</v>
      </c>
      <c r="I388" s="1478" t="s">
        <v>803</v>
      </c>
      <c r="J388" s="1478"/>
      <c r="K388" s="1475" t="s">
        <v>851</v>
      </c>
      <c r="L388" s="1474" t="s">
        <v>584</v>
      </c>
      <c r="M388" s="1476" t="s">
        <v>1698</v>
      </c>
      <c r="N388" s="1477" t="s">
        <v>1693</v>
      </c>
      <c r="O388" s="1479">
        <v>19179</v>
      </c>
      <c r="P388" s="1479"/>
      <c r="Q388" s="1142">
        <f t="shared" si="91"/>
        <v>19179</v>
      </c>
      <c r="R388" s="1143">
        <f>IFERROR(VLOOKUP(CONCATENATE(E388,G388),'LAC 103'!$A$12:$O$95,11,FALSE),0)</f>
        <v>2.483156209074918</v>
      </c>
      <c r="S388" s="1144">
        <f>IFERROR(VLOOKUP(CONCATENATE($E388,$G388),'LAC 103'!$A$12:$O$95,12,FALSE),0)</f>
        <v>3.07</v>
      </c>
      <c r="T388" s="1144">
        <f>IFERROR(VLOOKUP(CONCATENATE($E388,$G388),'LAC 103'!$A$12:$O$95,13,FALSE),0)</f>
        <v>1.92</v>
      </c>
      <c r="U388" s="1144">
        <f>IFERROR(VLOOKUP(CONCATENATE($E388,$G388),'LAC 103'!$A$12:$O$95,14,FALSE),0)</f>
        <v>0</v>
      </c>
      <c r="V388" s="1144">
        <f>IFERROR(VLOOKUP(CONCATENATE($E388,$G388),'LAC 103'!$A$12:$O$95,15,FALSE),0)</f>
        <v>0</v>
      </c>
      <c r="W388" s="1145" t="str">
        <f>IFERROR(VLOOKUP(CONCATENATE($B388,$N388),'LAC 103'!$AI:$AQ,9,FALSE),"")</f>
        <v>Costs</v>
      </c>
      <c r="X388" s="1146">
        <f t="shared" si="96"/>
        <v>2.483156209074918</v>
      </c>
      <c r="Y388" s="1143">
        <f t="shared" si="97"/>
        <v>47624.452933847853</v>
      </c>
      <c r="Z388" s="1147">
        <f t="shared" si="98"/>
        <v>58879.53</v>
      </c>
      <c r="AA388" s="1144">
        <f t="shared" si="99"/>
        <v>36823.68</v>
      </c>
      <c r="AB388" s="1144">
        <f t="shared" si="100"/>
        <v>0</v>
      </c>
      <c r="AC388" s="1144">
        <f t="shared" si="101"/>
        <v>0</v>
      </c>
      <c r="AD388" s="1148">
        <f t="shared" si="92"/>
        <v>47624.452933847853</v>
      </c>
      <c r="AE388" s="1487">
        <v>0</v>
      </c>
      <c r="AF388" s="1145">
        <f t="shared" si="102"/>
        <v>47624.452933847853</v>
      </c>
      <c r="AG388" s="1149">
        <f>IFERROR(VLOOKUP(CONCATENATE($L388,$N388),'Drop List'!$G$23:$K$87,2,FALSE),0)</f>
        <v>0.56200000000000006</v>
      </c>
      <c r="AH388" s="1150">
        <f>IFERROR(VLOOKUP(CONCATENATE($L388,$N388),'Drop List'!$G$23:$K$87,3,FALSE),0)</f>
        <v>0</v>
      </c>
      <c r="AI388" s="1150">
        <f>IFERROR(VLOOKUP(CONCATENATE($L388,$N388),'Drop List'!$G$23:$K$87,4,FALSE),0)</f>
        <v>0</v>
      </c>
      <c r="AJ388" s="1151">
        <f>IFERROR(VLOOKUP(CONCATENATE($L388,$N388),'Drop List'!$G$23:$K$87,5,FALSE),0)</f>
        <v>0.43799999999999994</v>
      </c>
      <c r="AK388" s="1152">
        <f t="shared" si="103"/>
        <v>26764.942548822495</v>
      </c>
      <c r="AL388" s="1153">
        <f t="shared" si="104"/>
        <v>0</v>
      </c>
      <c r="AM388" s="1153">
        <f t="shared" si="105"/>
        <v>0</v>
      </c>
      <c r="AN388" s="1145">
        <f t="shared" si="106"/>
        <v>20859.510385025358</v>
      </c>
      <c r="AO388" s="1154">
        <f t="shared" si="107"/>
        <v>47624.452933847853</v>
      </c>
      <c r="AP388" s="1147">
        <f t="shared" si="93"/>
        <v>0</v>
      </c>
      <c r="AQ388" s="1144">
        <f t="shared" si="94"/>
        <v>0</v>
      </c>
      <c r="AR388" s="1146">
        <f t="shared" si="95"/>
        <v>47624.452933847853</v>
      </c>
    </row>
    <row r="389" spans="1:44" x14ac:dyDescent="0.2">
      <c r="A389" s="1141" t="str">
        <f t="shared" si="90"/>
        <v>1504</v>
      </c>
      <c r="B389" s="1141" t="str">
        <f>IFERROR(VLOOKUP(A389,'LAC 103'!A:C,3,FALSE),"")</f>
        <v>OP</v>
      </c>
      <c r="C389" s="1478" t="str">
        <f>Info!$B$8</f>
        <v>00100</v>
      </c>
      <c r="D389" s="1474" t="s">
        <v>256</v>
      </c>
      <c r="E389" s="1474" t="s">
        <v>95</v>
      </c>
      <c r="F389" s="1478" t="s">
        <v>588</v>
      </c>
      <c r="G389" s="1478" t="s">
        <v>588</v>
      </c>
      <c r="H389" s="1474" t="s">
        <v>1057</v>
      </c>
      <c r="I389" s="1478" t="s">
        <v>798</v>
      </c>
      <c r="J389" s="1478" t="s">
        <v>123</v>
      </c>
      <c r="K389" s="1475" t="s">
        <v>847</v>
      </c>
      <c r="L389" s="1474" t="s">
        <v>582</v>
      </c>
      <c r="M389" s="1476" t="s">
        <v>1699</v>
      </c>
      <c r="N389" s="1477" t="s">
        <v>1694</v>
      </c>
      <c r="O389" s="1479">
        <v>6463</v>
      </c>
      <c r="P389" s="1479"/>
      <c r="Q389" s="1142">
        <f t="shared" si="91"/>
        <v>6463</v>
      </c>
      <c r="R389" s="1143">
        <f>IFERROR(VLOOKUP(CONCATENATE(E389,G389),'LAC 103'!$A$12:$O$95,11,FALSE),0)</f>
        <v>2.483156209074918</v>
      </c>
      <c r="S389" s="1144">
        <f>IFERROR(VLOOKUP(CONCATENATE($E389,$G389),'LAC 103'!$A$12:$O$95,12,FALSE),0)</f>
        <v>3.07</v>
      </c>
      <c r="T389" s="1144">
        <f>IFERROR(VLOOKUP(CONCATENATE($E389,$G389),'LAC 103'!$A$12:$O$95,13,FALSE),0)</f>
        <v>1.92</v>
      </c>
      <c r="U389" s="1144">
        <f>IFERROR(VLOOKUP(CONCATENATE($E389,$G389),'LAC 103'!$A$12:$O$95,14,FALSE),0)</f>
        <v>0</v>
      </c>
      <c r="V389" s="1144">
        <f>IFERROR(VLOOKUP(CONCATENATE($E389,$G389),'LAC 103'!$A$12:$O$95,15,FALSE),0)</f>
        <v>0</v>
      </c>
      <c r="W389" s="1145" t="str">
        <f>IFERROR(VLOOKUP(CONCATENATE($B389,$N389),'LAC 103'!$AI:$AQ,9,FALSE),"")</f>
        <v>Costs</v>
      </c>
      <c r="X389" s="1146">
        <f t="shared" si="96"/>
        <v>2.483156209074918</v>
      </c>
      <c r="Y389" s="1143">
        <f t="shared" si="97"/>
        <v>16048.638579251196</v>
      </c>
      <c r="Z389" s="1147">
        <f t="shared" si="98"/>
        <v>19841.41</v>
      </c>
      <c r="AA389" s="1144">
        <f t="shared" si="99"/>
        <v>12408.96</v>
      </c>
      <c r="AB389" s="1144">
        <f t="shared" si="100"/>
        <v>0</v>
      </c>
      <c r="AC389" s="1144">
        <f t="shared" si="101"/>
        <v>0</v>
      </c>
      <c r="AD389" s="1148">
        <f t="shared" si="92"/>
        <v>16048.638579251196</v>
      </c>
      <c r="AE389" s="1487">
        <v>0</v>
      </c>
      <c r="AF389" s="1145">
        <f t="shared" si="102"/>
        <v>16048.638579251196</v>
      </c>
      <c r="AG389" s="1149">
        <f>IFERROR(VLOOKUP(CONCATENATE($L389,$N389),'Drop List'!$G$23:$K$87,2,FALSE),0)</f>
        <v>0.56200000000000006</v>
      </c>
      <c r="AH389" s="1150">
        <f>IFERROR(VLOOKUP(CONCATENATE($L389,$N389),'Drop List'!$G$23:$K$87,3,FALSE),0)</f>
        <v>0.43799999999999994</v>
      </c>
      <c r="AI389" s="1150">
        <f>IFERROR(VLOOKUP(CONCATENATE($L389,$N389),'Drop List'!$G$23:$K$87,4,FALSE),0)</f>
        <v>0</v>
      </c>
      <c r="AJ389" s="1151">
        <f>IFERROR(VLOOKUP(CONCATENATE($L389,$N389),'Drop List'!$G$23:$K$87,5,FALSE),0)</f>
        <v>0</v>
      </c>
      <c r="AK389" s="1152">
        <f t="shared" si="103"/>
        <v>9019.3348815391728</v>
      </c>
      <c r="AL389" s="1153">
        <f t="shared" si="104"/>
        <v>7029.3036977120228</v>
      </c>
      <c r="AM389" s="1153">
        <f t="shared" si="105"/>
        <v>0</v>
      </c>
      <c r="AN389" s="1145">
        <f t="shared" si="106"/>
        <v>0</v>
      </c>
      <c r="AO389" s="1154">
        <f t="shared" si="107"/>
        <v>16048.638579251196</v>
      </c>
      <c r="AP389" s="1147">
        <f t="shared" si="93"/>
        <v>0</v>
      </c>
      <c r="AQ389" s="1144">
        <f t="shared" si="94"/>
        <v>0</v>
      </c>
      <c r="AR389" s="1146">
        <f t="shared" si="95"/>
        <v>16048.638579251196</v>
      </c>
    </row>
    <row r="390" spans="1:44" x14ac:dyDescent="0.2">
      <c r="A390" s="1141" t="str">
        <f t="shared" ref="A390:A451" si="108">IF(CONCATENATE(E390,G390)="","",CONCATENATE(E390,G390))</f>
        <v>1504</v>
      </c>
      <c r="B390" s="1141" t="str">
        <f>IFERROR(VLOOKUP(A390,'LAC 103'!A:C,3,FALSE),"")</f>
        <v>OP</v>
      </c>
      <c r="C390" s="1478" t="str">
        <f>Info!$B$8</f>
        <v>00100</v>
      </c>
      <c r="D390" s="1474" t="s">
        <v>256</v>
      </c>
      <c r="E390" s="1474" t="s">
        <v>95</v>
      </c>
      <c r="F390" s="1478" t="s">
        <v>588</v>
      </c>
      <c r="G390" s="1478" t="s">
        <v>588</v>
      </c>
      <c r="H390" s="1474" t="s">
        <v>1057</v>
      </c>
      <c r="I390" s="1478" t="s">
        <v>798</v>
      </c>
      <c r="J390" s="1478"/>
      <c r="K390" s="1475" t="s">
        <v>847</v>
      </c>
      <c r="L390" s="1474" t="s">
        <v>582</v>
      </c>
      <c r="M390" s="1476" t="s">
        <v>841</v>
      </c>
      <c r="N390" s="1477" t="s">
        <v>1695</v>
      </c>
      <c r="O390" s="1479">
        <v>2388</v>
      </c>
      <c r="P390" s="1479"/>
      <c r="Q390" s="1142">
        <f t="shared" ref="Q390:Q451" si="109">O390+P390</f>
        <v>2388</v>
      </c>
      <c r="R390" s="1143">
        <f>IFERROR(VLOOKUP(CONCATENATE(E390,G390),'LAC 103'!$A$12:$O$95,11,FALSE),0)</f>
        <v>2.483156209074918</v>
      </c>
      <c r="S390" s="1144">
        <f>IFERROR(VLOOKUP(CONCATENATE($E390,$G390),'LAC 103'!$A$12:$O$95,12,FALSE),0)</f>
        <v>3.07</v>
      </c>
      <c r="T390" s="1144">
        <f>IFERROR(VLOOKUP(CONCATENATE($E390,$G390),'LAC 103'!$A$12:$O$95,13,FALSE),0)</f>
        <v>1.92</v>
      </c>
      <c r="U390" s="1144">
        <f>IFERROR(VLOOKUP(CONCATENATE($E390,$G390),'LAC 103'!$A$12:$O$95,14,FALSE),0)</f>
        <v>0</v>
      </c>
      <c r="V390" s="1144">
        <f>IFERROR(VLOOKUP(CONCATENATE($E390,$G390),'LAC 103'!$A$12:$O$95,15,FALSE),0)</f>
        <v>0</v>
      </c>
      <c r="W390" s="1145" t="str">
        <f>IFERROR(VLOOKUP(CONCATENATE($B390,$N390),'LAC 103'!$AI:$AQ,9,FALSE),"")</f>
        <v>Costs</v>
      </c>
      <c r="X390" s="1146">
        <f t="shared" si="96"/>
        <v>2.483156209074918</v>
      </c>
      <c r="Y390" s="1143">
        <f t="shared" si="97"/>
        <v>5929.777027270904</v>
      </c>
      <c r="Z390" s="1147">
        <f t="shared" si="98"/>
        <v>7331.16</v>
      </c>
      <c r="AA390" s="1144">
        <f t="shared" si="99"/>
        <v>4584.96</v>
      </c>
      <c r="AB390" s="1144">
        <f t="shared" si="100"/>
        <v>0</v>
      </c>
      <c r="AC390" s="1144">
        <f t="shared" si="101"/>
        <v>0</v>
      </c>
      <c r="AD390" s="1148">
        <f t="shared" si="92"/>
        <v>5929.777027270904</v>
      </c>
      <c r="AE390" s="1487">
        <v>0</v>
      </c>
      <c r="AF390" s="1145">
        <f t="shared" si="102"/>
        <v>5929.777027270904</v>
      </c>
      <c r="AG390" s="1149">
        <f>IFERROR(VLOOKUP(CONCATENATE($L390,$N390),'Drop List'!$G$23:$K$87,2,FALSE),0)</f>
        <v>0.55000000000000004</v>
      </c>
      <c r="AH390" s="1150">
        <f>IFERROR(VLOOKUP(CONCATENATE($L390,$N390),'Drop List'!$G$23:$K$87,3,FALSE),0)</f>
        <v>0.44999999999999996</v>
      </c>
      <c r="AI390" s="1150">
        <f>IFERROR(VLOOKUP(CONCATENATE($L390,$N390),'Drop List'!$G$23:$K$87,4,FALSE),0)</f>
        <v>0</v>
      </c>
      <c r="AJ390" s="1151">
        <f>IFERROR(VLOOKUP(CONCATENATE($L390,$N390),'Drop List'!$G$23:$K$87,5,FALSE),0)</f>
        <v>0</v>
      </c>
      <c r="AK390" s="1152">
        <f t="shared" si="103"/>
        <v>3261.3773649989976</v>
      </c>
      <c r="AL390" s="1153">
        <f t="shared" si="104"/>
        <v>2668.3996622719064</v>
      </c>
      <c r="AM390" s="1153">
        <f t="shared" si="105"/>
        <v>0</v>
      </c>
      <c r="AN390" s="1145">
        <f t="shared" si="106"/>
        <v>0</v>
      </c>
      <c r="AO390" s="1154">
        <f t="shared" si="107"/>
        <v>5929.777027270904</v>
      </c>
      <c r="AP390" s="1147">
        <f t="shared" si="93"/>
        <v>0</v>
      </c>
      <c r="AQ390" s="1144">
        <f t="shared" si="94"/>
        <v>0</v>
      </c>
      <c r="AR390" s="1146">
        <f t="shared" si="95"/>
        <v>5929.777027270904</v>
      </c>
    </row>
    <row r="391" spans="1:44" x14ac:dyDescent="0.2">
      <c r="A391" s="1141" t="str">
        <f t="shared" si="108"/>
        <v>1504</v>
      </c>
      <c r="B391" s="1141" t="str">
        <f>IFERROR(VLOOKUP(A391,'LAC 103'!A:C,3,FALSE),"")</f>
        <v>OP</v>
      </c>
      <c r="C391" s="1478" t="str">
        <f>Info!$B$8</f>
        <v>00100</v>
      </c>
      <c r="D391" s="1474" t="s">
        <v>256</v>
      </c>
      <c r="E391" s="1474" t="s">
        <v>95</v>
      </c>
      <c r="F391" s="1478" t="s">
        <v>588</v>
      </c>
      <c r="G391" s="1478" t="s">
        <v>588</v>
      </c>
      <c r="H391" s="1474" t="s">
        <v>1057</v>
      </c>
      <c r="I391" s="1478" t="s">
        <v>798</v>
      </c>
      <c r="J391" s="1478"/>
      <c r="K391" s="1475" t="s">
        <v>847</v>
      </c>
      <c r="L391" s="1474" t="s">
        <v>582</v>
      </c>
      <c r="M391" s="1476" t="s">
        <v>840</v>
      </c>
      <c r="N391" s="1477" t="s">
        <v>1700</v>
      </c>
      <c r="O391" s="1479">
        <v>1560</v>
      </c>
      <c r="P391" s="1479"/>
      <c r="Q391" s="1142">
        <f t="shared" si="109"/>
        <v>1560</v>
      </c>
      <c r="R391" s="1143">
        <f>IFERROR(VLOOKUP(CONCATENATE(E391,G391),'LAC 103'!$A$12:$O$95,11,FALSE),0)</f>
        <v>2.483156209074918</v>
      </c>
      <c r="S391" s="1144">
        <f>IFERROR(VLOOKUP(CONCATENATE($E391,$G391),'LAC 103'!$A$12:$O$95,12,FALSE),0)</f>
        <v>3.07</v>
      </c>
      <c r="T391" s="1144">
        <f>IFERROR(VLOOKUP(CONCATENATE($E391,$G391),'LAC 103'!$A$12:$O$95,13,FALSE),0)</f>
        <v>1.92</v>
      </c>
      <c r="U391" s="1144">
        <f>IFERROR(VLOOKUP(CONCATENATE($E391,$G391),'LAC 103'!$A$12:$O$95,14,FALSE),0)</f>
        <v>0</v>
      </c>
      <c r="V391" s="1144">
        <f>IFERROR(VLOOKUP(CONCATENATE($E391,$G391),'LAC 103'!$A$12:$O$95,15,FALSE),0)</f>
        <v>0</v>
      </c>
      <c r="W391" s="1145" t="str">
        <f>IFERROR(VLOOKUP(CONCATENATE($B391,$N391),'LAC 103'!$AI:$AQ,9,FALSE),"")</f>
        <v>P.C.</v>
      </c>
      <c r="X391" s="1146">
        <f t="shared" si="96"/>
        <v>1.92</v>
      </c>
      <c r="Y391" s="1143">
        <f t="shared" si="97"/>
        <v>3873.7236861568722</v>
      </c>
      <c r="Z391" s="1147">
        <f t="shared" si="98"/>
        <v>4789.2</v>
      </c>
      <c r="AA391" s="1144">
        <f t="shared" si="99"/>
        <v>2995.2</v>
      </c>
      <c r="AB391" s="1144">
        <f t="shared" si="100"/>
        <v>0</v>
      </c>
      <c r="AC391" s="1144">
        <f t="shared" si="101"/>
        <v>0</v>
      </c>
      <c r="AD391" s="1148">
        <f t="shared" ref="AD391:AD454" si="110">Q391*X391</f>
        <v>2995.2</v>
      </c>
      <c r="AE391" s="1487">
        <v>0</v>
      </c>
      <c r="AF391" s="1145">
        <f t="shared" si="102"/>
        <v>2995.2</v>
      </c>
      <c r="AG391" s="1149">
        <f>IFERROR(VLOOKUP(CONCATENATE($L391,$N391),'Drop List'!$G$23:$K$87,2,FALSE),0)</f>
        <v>0.55000000000000004</v>
      </c>
      <c r="AH391" s="1150">
        <f>IFERROR(VLOOKUP(CONCATENATE($L391,$N391),'Drop List'!$G$23:$K$87,3,FALSE),0)</f>
        <v>0.44999999999999996</v>
      </c>
      <c r="AI391" s="1150">
        <f>IFERROR(VLOOKUP(CONCATENATE($L391,$N391),'Drop List'!$G$23:$K$87,4,FALSE),0)</f>
        <v>0</v>
      </c>
      <c r="AJ391" s="1151">
        <f>IFERROR(VLOOKUP(CONCATENATE($L391,$N391),'Drop List'!$G$23:$K$87,5,FALSE),0)</f>
        <v>0</v>
      </c>
      <c r="AK391" s="1152">
        <f t="shared" si="103"/>
        <v>1647.3600000000001</v>
      </c>
      <c r="AL391" s="1153">
        <f t="shared" si="104"/>
        <v>1347.8399999999997</v>
      </c>
      <c r="AM391" s="1153">
        <f t="shared" si="105"/>
        <v>0</v>
      </c>
      <c r="AN391" s="1145">
        <f t="shared" si="106"/>
        <v>0</v>
      </c>
      <c r="AO391" s="1154">
        <f t="shared" si="107"/>
        <v>2995.2</v>
      </c>
      <c r="AP391" s="1147">
        <f t="shared" ref="AP391:AP454" si="111">IF($L391="14",$AF391,0)</f>
        <v>0</v>
      </c>
      <c r="AQ391" s="1144">
        <f t="shared" ref="AQ391:AQ454" si="112">IF($L391="15",$AF391,0)</f>
        <v>0</v>
      </c>
      <c r="AR391" s="1146">
        <f t="shared" ref="AR391:AR454" si="113">AO391+AP391+AQ391</f>
        <v>2995.2</v>
      </c>
    </row>
    <row r="392" spans="1:44" x14ac:dyDescent="0.2">
      <c r="A392" s="1141" t="str">
        <f t="shared" si="108"/>
        <v>1504</v>
      </c>
      <c r="B392" s="1141" t="str">
        <f>IFERROR(VLOOKUP(A392,'LAC 103'!A:C,3,FALSE),"")</f>
        <v>OP</v>
      </c>
      <c r="C392" s="1478" t="str">
        <f>Info!$B$8</f>
        <v>00100</v>
      </c>
      <c r="D392" s="1474" t="s">
        <v>256</v>
      </c>
      <c r="E392" s="1474" t="s">
        <v>95</v>
      </c>
      <c r="F392" s="1478" t="s">
        <v>588</v>
      </c>
      <c r="G392" s="1478" t="s">
        <v>588</v>
      </c>
      <c r="H392" s="1474" t="s">
        <v>1057</v>
      </c>
      <c r="I392" s="1478" t="s">
        <v>798</v>
      </c>
      <c r="J392" s="1478"/>
      <c r="K392" s="1475" t="s">
        <v>847</v>
      </c>
      <c r="L392" s="1474" t="s">
        <v>582</v>
      </c>
      <c r="M392" s="1476" t="s">
        <v>842</v>
      </c>
      <c r="N392" s="1477" t="s">
        <v>1692</v>
      </c>
      <c r="O392" s="1479">
        <v>1309</v>
      </c>
      <c r="P392" s="1479"/>
      <c r="Q392" s="1142">
        <f t="shared" si="109"/>
        <v>1309</v>
      </c>
      <c r="R392" s="1143">
        <f>IFERROR(VLOOKUP(CONCATENATE(E392,G392),'LAC 103'!$A$12:$O$95,11,FALSE),0)</f>
        <v>2.483156209074918</v>
      </c>
      <c r="S392" s="1144">
        <f>IFERROR(VLOOKUP(CONCATENATE($E392,$G392),'LAC 103'!$A$12:$O$95,12,FALSE),0)</f>
        <v>3.07</v>
      </c>
      <c r="T392" s="1144">
        <f>IFERROR(VLOOKUP(CONCATENATE($E392,$G392),'LAC 103'!$A$12:$O$95,13,FALSE),0)</f>
        <v>1.92</v>
      </c>
      <c r="U392" s="1144">
        <f>IFERROR(VLOOKUP(CONCATENATE($E392,$G392),'LAC 103'!$A$12:$O$95,14,FALSE),0)</f>
        <v>0</v>
      </c>
      <c r="V392" s="1144">
        <f>IFERROR(VLOOKUP(CONCATENATE($E392,$G392),'LAC 103'!$A$12:$O$95,15,FALSE),0)</f>
        <v>0</v>
      </c>
      <c r="W392" s="1145" t="str">
        <f>IFERROR(VLOOKUP(CONCATENATE($B392,$N392),'LAC 103'!$AI:$AQ,9,FALSE),"")</f>
        <v>Costs</v>
      </c>
      <c r="X392" s="1146">
        <f t="shared" ref="X392:X455" si="114">IF($W392="Costs",$R392,IF($W392="CMA",$S392,IF($W392="P.C.",$T392,IF($W392="SMA",$U392,$V392))))</f>
        <v>2.483156209074918</v>
      </c>
      <c r="Y392" s="1143">
        <f t="shared" ref="Y392:Y455" si="115">$Q392*R392</f>
        <v>3250.4514776790675</v>
      </c>
      <c r="Z392" s="1147">
        <f t="shared" ref="Z392:Z455" si="116">IF(S392=0,Y392,$Q392*S392)</f>
        <v>4018.6299999999997</v>
      </c>
      <c r="AA392" s="1144">
        <f t="shared" ref="AA392:AA455" si="117">IF(T392=0,Y392,$Q392*T392)</f>
        <v>2513.2799999999997</v>
      </c>
      <c r="AB392" s="1144">
        <f t="shared" ref="AB392:AB455" si="118">$Q392*U392</f>
        <v>0</v>
      </c>
      <c r="AC392" s="1144">
        <f t="shared" ref="AC392:AC455" si="119">$Q392*V392</f>
        <v>0</v>
      </c>
      <c r="AD392" s="1148">
        <f t="shared" si="110"/>
        <v>3250.4514776790675</v>
      </c>
      <c r="AE392" s="1487">
        <v>0</v>
      </c>
      <c r="AF392" s="1145">
        <f t="shared" ref="AF392:AF455" si="120">AD392-AE392</f>
        <v>3250.4514776790675</v>
      </c>
      <c r="AG392" s="1149">
        <f>IFERROR(VLOOKUP(CONCATENATE($L392,$N392),'Drop List'!$G$23:$K$87,2,FALSE),0)</f>
        <v>0.56200000000000006</v>
      </c>
      <c r="AH392" s="1150">
        <f>IFERROR(VLOOKUP(CONCATENATE($L392,$N392),'Drop List'!$G$23:$K$87,3,FALSE),0)</f>
        <v>0.43799999999999994</v>
      </c>
      <c r="AI392" s="1150">
        <f>IFERROR(VLOOKUP(CONCATENATE($L392,$N392),'Drop List'!$G$23:$K$87,4,FALSE),0)</f>
        <v>0</v>
      </c>
      <c r="AJ392" s="1151">
        <f>IFERROR(VLOOKUP(CONCATENATE($L392,$N392),'Drop List'!$G$23:$K$87,5,FALSE),0)</f>
        <v>0</v>
      </c>
      <c r="AK392" s="1152">
        <f t="shared" ref="AK392:AK455" si="121">IFERROR($AF392*AG392,0)</f>
        <v>1826.7537304556361</v>
      </c>
      <c r="AL392" s="1153">
        <f t="shared" ref="AL392:AL455" si="122">IFERROR($AF392*AH392,0)</f>
        <v>1423.6977472234314</v>
      </c>
      <c r="AM392" s="1153">
        <f t="shared" ref="AM392:AM455" si="123">IFERROR($AF392*AI392,0)</f>
        <v>0</v>
      </c>
      <c r="AN392" s="1145">
        <f t="shared" ref="AN392:AN455" si="124">IFERROR($AF392*AJ392,0)</f>
        <v>0</v>
      </c>
      <c r="AO392" s="1154">
        <f t="shared" ref="AO392:AO455" si="125">SUM(AK392:AN392)</f>
        <v>3250.4514776790675</v>
      </c>
      <c r="AP392" s="1147">
        <f t="shared" si="111"/>
        <v>0</v>
      </c>
      <c r="AQ392" s="1144">
        <f t="shared" si="112"/>
        <v>0</v>
      </c>
      <c r="AR392" s="1146">
        <f t="shared" si="113"/>
        <v>3250.4514776790675</v>
      </c>
    </row>
    <row r="393" spans="1:44" x14ac:dyDescent="0.2">
      <c r="A393" s="1141" t="str">
        <f t="shared" si="108"/>
        <v>1504</v>
      </c>
      <c r="B393" s="1141" t="str">
        <f>IFERROR(VLOOKUP(A393,'LAC 103'!A:C,3,FALSE),"")</f>
        <v>OP</v>
      </c>
      <c r="C393" s="1478" t="str">
        <f>Info!$B$8</f>
        <v>00100</v>
      </c>
      <c r="D393" s="1474" t="s">
        <v>256</v>
      </c>
      <c r="E393" s="1474" t="s">
        <v>95</v>
      </c>
      <c r="F393" s="1478" t="s">
        <v>588</v>
      </c>
      <c r="G393" s="1478" t="s">
        <v>588</v>
      </c>
      <c r="H393" s="1474" t="s">
        <v>1057</v>
      </c>
      <c r="I393" s="1478" t="s">
        <v>798</v>
      </c>
      <c r="J393" s="1478"/>
      <c r="K393" s="1475" t="s">
        <v>847</v>
      </c>
      <c r="L393" s="1474" t="s">
        <v>582</v>
      </c>
      <c r="M393" s="1476" t="s">
        <v>1698</v>
      </c>
      <c r="N393" s="1477" t="s">
        <v>1693</v>
      </c>
      <c r="O393" s="1479">
        <v>4641</v>
      </c>
      <c r="P393" s="1479"/>
      <c r="Q393" s="1142">
        <f t="shared" si="109"/>
        <v>4641</v>
      </c>
      <c r="R393" s="1143">
        <f>IFERROR(VLOOKUP(CONCATENATE(E393,G393),'LAC 103'!$A$12:$O$95,11,FALSE),0)</f>
        <v>2.483156209074918</v>
      </c>
      <c r="S393" s="1144">
        <f>IFERROR(VLOOKUP(CONCATENATE($E393,$G393),'LAC 103'!$A$12:$O$95,12,FALSE),0)</f>
        <v>3.07</v>
      </c>
      <c r="T393" s="1144">
        <f>IFERROR(VLOOKUP(CONCATENATE($E393,$G393),'LAC 103'!$A$12:$O$95,13,FALSE),0)</f>
        <v>1.92</v>
      </c>
      <c r="U393" s="1144">
        <f>IFERROR(VLOOKUP(CONCATENATE($E393,$G393),'LAC 103'!$A$12:$O$95,14,FALSE),0)</f>
        <v>0</v>
      </c>
      <c r="V393" s="1144">
        <f>IFERROR(VLOOKUP(CONCATENATE($E393,$G393),'LAC 103'!$A$12:$O$95,15,FALSE),0)</f>
        <v>0</v>
      </c>
      <c r="W393" s="1145" t="str">
        <f>IFERROR(VLOOKUP(CONCATENATE($B393,$N393),'LAC 103'!$AI:$AQ,9,FALSE),"")</f>
        <v>Costs</v>
      </c>
      <c r="X393" s="1146">
        <f t="shared" si="114"/>
        <v>2.483156209074918</v>
      </c>
      <c r="Y393" s="1143">
        <f t="shared" si="115"/>
        <v>11524.327966316694</v>
      </c>
      <c r="Z393" s="1147">
        <f t="shared" si="116"/>
        <v>14247.869999999999</v>
      </c>
      <c r="AA393" s="1144">
        <f t="shared" si="117"/>
        <v>8910.7199999999993</v>
      </c>
      <c r="AB393" s="1144">
        <f t="shared" si="118"/>
        <v>0</v>
      </c>
      <c r="AC393" s="1144">
        <f t="shared" si="119"/>
        <v>0</v>
      </c>
      <c r="AD393" s="1148">
        <f t="shared" si="110"/>
        <v>11524.327966316694</v>
      </c>
      <c r="AE393" s="1487">
        <v>0</v>
      </c>
      <c r="AF393" s="1145">
        <f t="shared" si="120"/>
        <v>11524.327966316694</v>
      </c>
      <c r="AG393" s="1149">
        <f>IFERROR(VLOOKUP(CONCATENATE($L393,$N393),'Drop List'!$G$23:$K$87,2,FALSE),0)</f>
        <v>0.56200000000000006</v>
      </c>
      <c r="AH393" s="1150">
        <f>IFERROR(VLOOKUP(CONCATENATE($L393,$N393),'Drop List'!$G$23:$K$87,3,FALSE),0)</f>
        <v>0.43799999999999994</v>
      </c>
      <c r="AI393" s="1150">
        <f>IFERROR(VLOOKUP(CONCATENATE($L393,$N393),'Drop List'!$G$23:$K$87,4,FALSE),0)</f>
        <v>0</v>
      </c>
      <c r="AJ393" s="1151">
        <f>IFERROR(VLOOKUP(CONCATENATE($L393,$N393),'Drop List'!$G$23:$K$87,5,FALSE),0)</f>
        <v>0</v>
      </c>
      <c r="AK393" s="1152">
        <f t="shared" si="121"/>
        <v>6476.6723170699825</v>
      </c>
      <c r="AL393" s="1153">
        <f t="shared" si="122"/>
        <v>5047.6556492467116</v>
      </c>
      <c r="AM393" s="1153">
        <f t="shared" si="123"/>
        <v>0</v>
      </c>
      <c r="AN393" s="1145">
        <f t="shared" si="124"/>
        <v>0</v>
      </c>
      <c r="AO393" s="1154">
        <f t="shared" si="125"/>
        <v>11524.327966316694</v>
      </c>
      <c r="AP393" s="1147">
        <f t="shared" si="111"/>
        <v>0</v>
      </c>
      <c r="AQ393" s="1144">
        <f t="shared" si="112"/>
        <v>0</v>
      </c>
      <c r="AR393" s="1146">
        <f t="shared" si="113"/>
        <v>11524.327966316694</v>
      </c>
    </row>
    <row r="394" spans="1:44" x14ac:dyDescent="0.2">
      <c r="A394" s="1141" t="str">
        <f t="shared" si="108"/>
        <v>1504</v>
      </c>
      <c r="B394" s="1141" t="str">
        <f>IFERROR(VLOOKUP(A394,'LAC 103'!A:C,3,FALSE),"")</f>
        <v>OP</v>
      </c>
      <c r="C394" s="1478" t="str">
        <f>Info!$B$8</f>
        <v>00100</v>
      </c>
      <c r="D394" s="1474" t="s">
        <v>256</v>
      </c>
      <c r="E394" s="1474" t="s">
        <v>95</v>
      </c>
      <c r="F394" s="1478" t="s">
        <v>588</v>
      </c>
      <c r="G394" s="1478" t="s">
        <v>588</v>
      </c>
      <c r="H394" s="1474" t="s">
        <v>1057</v>
      </c>
      <c r="I394" s="1478" t="s">
        <v>798</v>
      </c>
      <c r="J394" s="1478"/>
      <c r="K394" s="1475" t="s">
        <v>848</v>
      </c>
      <c r="L394" s="1474" t="s">
        <v>45</v>
      </c>
      <c r="M394" s="1476" t="s">
        <v>1699</v>
      </c>
      <c r="N394" s="1477" t="s">
        <v>1694</v>
      </c>
      <c r="O394" s="1479">
        <v>333</v>
      </c>
      <c r="P394" s="1479"/>
      <c r="Q394" s="1142">
        <f t="shared" si="109"/>
        <v>333</v>
      </c>
      <c r="R394" s="1143">
        <f>IFERROR(VLOOKUP(CONCATENATE(E394,G394),'LAC 103'!$A$12:$O$95,11,FALSE),0)</f>
        <v>2.483156209074918</v>
      </c>
      <c r="S394" s="1144">
        <f>IFERROR(VLOOKUP(CONCATENATE($E394,$G394),'LAC 103'!$A$12:$O$95,12,FALSE),0)</f>
        <v>3.07</v>
      </c>
      <c r="T394" s="1144">
        <f>IFERROR(VLOOKUP(CONCATENATE($E394,$G394),'LAC 103'!$A$12:$O$95,13,FALSE),0)</f>
        <v>1.92</v>
      </c>
      <c r="U394" s="1144">
        <f>IFERROR(VLOOKUP(CONCATENATE($E394,$G394),'LAC 103'!$A$12:$O$95,14,FALSE),0)</f>
        <v>0</v>
      </c>
      <c r="V394" s="1144">
        <f>IFERROR(VLOOKUP(CONCATENATE($E394,$G394),'LAC 103'!$A$12:$O$95,15,FALSE),0)</f>
        <v>0</v>
      </c>
      <c r="W394" s="1145" t="str">
        <f>IFERROR(VLOOKUP(CONCATENATE($B394,$N394),'LAC 103'!$AI:$AQ,9,FALSE),"")</f>
        <v>Costs</v>
      </c>
      <c r="X394" s="1146">
        <f t="shared" si="114"/>
        <v>2.483156209074918</v>
      </c>
      <c r="Y394" s="1143">
        <f t="shared" si="115"/>
        <v>826.89101762194764</v>
      </c>
      <c r="Z394" s="1147">
        <f t="shared" si="116"/>
        <v>1022.31</v>
      </c>
      <c r="AA394" s="1144">
        <f t="shared" si="117"/>
        <v>639.36</v>
      </c>
      <c r="AB394" s="1144">
        <f t="shared" si="118"/>
        <v>0</v>
      </c>
      <c r="AC394" s="1144">
        <f t="shared" si="119"/>
        <v>0</v>
      </c>
      <c r="AD394" s="1148">
        <f t="shared" si="110"/>
        <v>826.89101762194764</v>
      </c>
      <c r="AE394" s="1487">
        <v>0</v>
      </c>
      <c r="AF394" s="1145">
        <f t="shared" si="120"/>
        <v>826.89101762194764</v>
      </c>
      <c r="AG394" s="1149">
        <f>IFERROR(VLOOKUP(CONCATENATE($L394,$N394),'Drop List'!$G$23:$K$87,2,FALSE),0)</f>
        <v>0.69340000000000002</v>
      </c>
      <c r="AH394" s="1150">
        <f>IFERROR(VLOOKUP(CONCATENATE($L394,$N394),'Drop List'!$G$23:$K$87,3,FALSE),0)</f>
        <v>0.30659999999999998</v>
      </c>
      <c r="AI394" s="1150">
        <f>IFERROR(VLOOKUP(CONCATENATE($L394,$N394),'Drop List'!$G$23:$K$87,4,FALSE),0)</f>
        <v>0</v>
      </c>
      <c r="AJ394" s="1151">
        <f>IFERROR(VLOOKUP(CONCATENATE($L394,$N394),'Drop List'!$G$23:$K$87,5,FALSE),0)</f>
        <v>0</v>
      </c>
      <c r="AK394" s="1152">
        <f t="shared" si="121"/>
        <v>573.36623161905845</v>
      </c>
      <c r="AL394" s="1153">
        <f t="shared" si="122"/>
        <v>253.52478600288913</v>
      </c>
      <c r="AM394" s="1153">
        <f t="shared" si="123"/>
        <v>0</v>
      </c>
      <c r="AN394" s="1145">
        <f t="shared" si="124"/>
        <v>0</v>
      </c>
      <c r="AO394" s="1154">
        <f t="shared" si="125"/>
        <v>826.89101762194764</v>
      </c>
      <c r="AP394" s="1147">
        <f t="shared" si="111"/>
        <v>0</v>
      </c>
      <c r="AQ394" s="1144">
        <f t="shared" si="112"/>
        <v>0</v>
      </c>
      <c r="AR394" s="1146">
        <f t="shared" si="113"/>
        <v>826.89101762194764</v>
      </c>
    </row>
    <row r="395" spans="1:44" x14ac:dyDescent="0.2">
      <c r="A395" s="1141" t="str">
        <f t="shared" si="108"/>
        <v>1504</v>
      </c>
      <c r="B395" s="1141" t="str">
        <f>IFERROR(VLOOKUP(A395,'LAC 103'!A:C,3,FALSE),"")</f>
        <v>OP</v>
      </c>
      <c r="C395" s="1478" t="str">
        <f>Info!$B$8</f>
        <v>00100</v>
      </c>
      <c r="D395" s="1474" t="s">
        <v>256</v>
      </c>
      <c r="E395" s="1474" t="s">
        <v>95</v>
      </c>
      <c r="F395" s="1478" t="s">
        <v>588</v>
      </c>
      <c r="G395" s="1478" t="s">
        <v>588</v>
      </c>
      <c r="H395" s="1474" t="s">
        <v>1057</v>
      </c>
      <c r="I395" s="1478" t="s">
        <v>798</v>
      </c>
      <c r="J395" s="1478"/>
      <c r="K395" s="1475" t="s">
        <v>848</v>
      </c>
      <c r="L395" s="1474" t="s">
        <v>45</v>
      </c>
      <c r="M395" s="1476" t="s">
        <v>841</v>
      </c>
      <c r="N395" s="1477" t="s">
        <v>1695</v>
      </c>
      <c r="O395" s="1479">
        <v>547</v>
      </c>
      <c r="P395" s="1479"/>
      <c r="Q395" s="1142">
        <f t="shared" si="109"/>
        <v>547</v>
      </c>
      <c r="R395" s="1143">
        <f>IFERROR(VLOOKUP(CONCATENATE(E395,G395),'LAC 103'!$A$12:$O$95,11,FALSE),0)</f>
        <v>2.483156209074918</v>
      </c>
      <c r="S395" s="1144">
        <f>IFERROR(VLOOKUP(CONCATENATE($E395,$G395),'LAC 103'!$A$12:$O$95,12,FALSE),0)</f>
        <v>3.07</v>
      </c>
      <c r="T395" s="1144">
        <f>IFERROR(VLOOKUP(CONCATENATE($E395,$G395),'LAC 103'!$A$12:$O$95,13,FALSE),0)</f>
        <v>1.92</v>
      </c>
      <c r="U395" s="1144">
        <f>IFERROR(VLOOKUP(CONCATENATE($E395,$G395),'LAC 103'!$A$12:$O$95,14,FALSE),0)</f>
        <v>0</v>
      </c>
      <c r="V395" s="1144">
        <f>IFERROR(VLOOKUP(CONCATENATE($E395,$G395),'LAC 103'!$A$12:$O$95,15,FALSE),0)</f>
        <v>0</v>
      </c>
      <c r="W395" s="1145" t="str">
        <f>IFERROR(VLOOKUP(CONCATENATE($B395,$N395),'LAC 103'!$AI:$AQ,9,FALSE),"")</f>
        <v>Costs</v>
      </c>
      <c r="X395" s="1146">
        <f t="shared" si="114"/>
        <v>2.483156209074918</v>
      </c>
      <c r="Y395" s="1143">
        <f t="shared" si="115"/>
        <v>1358.2864463639801</v>
      </c>
      <c r="Z395" s="1147">
        <f t="shared" si="116"/>
        <v>1679.29</v>
      </c>
      <c r="AA395" s="1144">
        <f t="shared" si="117"/>
        <v>1050.24</v>
      </c>
      <c r="AB395" s="1144">
        <f t="shared" si="118"/>
        <v>0</v>
      </c>
      <c r="AC395" s="1144">
        <f t="shared" si="119"/>
        <v>0</v>
      </c>
      <c r="AD395" s="1148">
        <f t="shared" si="110"/>
        <v>1358.2864463639801</v>
      </c>
      <c r="AE395" s="1487">
        <v>0</v>
      </c>
      <c r="AF395" s="1145">
        <f t="shared" si="120"/>
        <v>1358.2864463639801</v>
      </c>
      <c r="AG395" s="1149">
        <f>IFERROR(VLOOKUP(CONCATENATE($L395,$N395),'Drop List'!$G$23:$K$87,2,FALSE),0)</f>
        <v>0.68500000000000005</v>
      </c>
      <c r="AH395" s="1150">
        <f>IFERROR(VLOOKUP(CONCATENATE($L395,$N395),'Drop List'!$G$23:$K$87,3,FALSE),0)</f>
        <v>0.31499999999999995</v>
      </c>
      <c r="AI395" s="1150">
        <f>IFERROR(VLOOKUP(CONCATENATE($L395,$N395),'Drop List'!$G$23:$K$87,4,FALSE),0)</f>
        <v>0</v>
      </c>
      <c r="AJ395" s="1151">
        <f>IFERROR(VLOOKUP(CONCATENATE($L395,$N395),'Drop List'!$G$23:$K$87,5,FALSE),0)</f>
        <v>0</v>
      </c>
      <c r="AK395" s="1152">
        <f t="shared" si="121"/>
        <v>930.4262157593264</v>
      </c>
      <c r="AL395" s="1153">
        <f t="shared" si="122"/>
        <v>427.86023060465368</v>
      </c>
      <c r="AM395" s="1153">
        <f t="shared" si="123"/>
        <v>0</v>
      </c>
      <c r="AN395" s="1145">
        <f t="shared" si="124"/>
        <v>0</v>
      </c>
      <c r="AO395" s="1154">
        <f t="shared" si="125"/>
        <v>1358.2864463639801</v>
      </c>
      <c r="AP395" s="1147">
        <f t="shared" si="111"/>
        <v>0</v>
      </c>
      <c r="AQ395" s="1144">
        <f t="shared" si="112"/>
        <v>0</v>
      </c>
      <c r="AR395" s="1146">
        <f t="shared" si="113"/>
        <v>1358.2864463639801</v>
      </c>
    </row>
    <row r="396" spans="1:44" x14ac:dyDescent="0.2">
      <c r="A396" s="1141" t="str">
        <f t="shared" si="108"/>
        <v>1504</v>
      </c>
      <c r="B396" s="1141" t="str">
        <f>IFERROR(VLOOKUP(A396,'LAC 103'!A:C,3,FALSE),"")</f>
        <v>OP</v>
      </c>
      <c r="C396" s="1478" t="str">
        <f>Info!$B$8</f>
        <v>00100</v>
      </c>
      <c r="D396" s="1474" t="s">
        <v>256</v>
      </c>
      <c r="E396" s="1474" t="s">
        <v>95</v>
      </c>
      <c r="F396" s="1478" t="s">
        <v>588</v>
      </c>
      <c r="G396" s="1478" t="s">
        <v>588</v>
      </c>
      <c r="H396" s="1474" t="s">
        <v>1057</v>
      </c>
      <c r="I396" s="1478" t="s">
        <v>798</v>
      </c>
      <c r="J396" s="1478"/>
      <c r="K396" s="1475" t="s">
        <v>848</v>
      </c>
      <c r="L396" s="1474" t="s">
        <v>45</v>
      </c>
      <c r="M396" s="1476" t="s">
        <v>840</v>
      </c>
      <c r="N396" s="1477" t="s">
        <v>1700</v>
      </c>
      <c r="O396" s="1479">
        <v>359</v>
      </c>
      <c r="P396" s="1479"/>
      <c r="Q396" s="1142">
        <f t="shared" si="109"/>
        <v>359</v>
      </c>
      <c r="R396" s="1143">
        <f>IFERROR(VLOOKUP(CONCATENATE(E396,G396),'LAC 103'!$A$12:$O$95,11,FALSE),0)</f>
        <v>2.483156209074918</v>
      </c>
      <c r="S396" s="1144">
        <f>IFERROR(VLOOKUP(CONCATENATE($E396,$G396),'LAC 103'!$A$12:$O$95,12,FALSE),0)</f>
        <v>3.07</v>
      </c>
      <c r="T396" s="1144">
        <f>IFERROR(VLOOKUP(CONCATENATE($E396,$G396),'LAC 103'!$A$12:$O$95,13,FALSE),0)</f>
        <v>1.92</v>
      </c>
      <c r="U396" s="1144">
        <f>IFERROR(VLOOKUP(CONCATENATE($E396,$G396),'LAC 103'!$A$12:$O$95,14,FALSE),0)</f>
        <v>0</v>
      </c>
      <c r="V396" s="1144">
        <f>IFERROR(VLOOKUP(CONCATENATE($E396,$G396),'LAC 103'!$A$12:$O$95,15,FALSE),0)</f>
        <v>0</v>
      </c>
      <c r="W396" s="1145" t="str">
        <f>IFERROR(VLOOKUP(CONCATENATE($B396,$N396),'LAC 103'!$AI:$AQ,9,FALSE),"")</f>
        <v>P.C.</v>
      </c>
      <c r="X396" s="1146">
        <f t="shared" si="114"/>
        <v>1.92</v>
      </c>
      <c r="Y396" s="1143">
        <f t="shared" si="115"/>
        <v>891.45307905789559</v>
      </c>
      <c r="Z396" s="1147">
        <f t="shared" si="116"/>
        <v>1102.1299999999999</v>
      </c>
      <c r="AA396" s="1144">
        <f t="shared" si="117"/>
        <v>689.28</v>
      </c>
      <c r="AB396" s="1144">
        <f t="shared" si="118"/>
        <v>0</v>
      </c>
      <c r="AC396" s="1144">
        <f t="shared" si="119"/>
        <v>0</v>
      </c>
      <c r="AD396" s="1148">
        <f t="shared" si="110"/>
        <v>689.28</v>
      </c>
      <c r="AE396" s="1487">
        <v>0</v>
      </c>
      <c r="AF396" s="1145">
        <f t="shared" si="120"/>
        <v>689.28</v>
      </c>
      <c r="AG396" s="1149">
        <f>IFERROR(VLOOKUP(CONCATENATE($L396,$N396),'Drop List'!$G$23:$K$87,2,FALSE),0)</f>
        <v>0.68500000000000005</v>
      </c>
      <c r="AH396" s="1150">
        <f>IFERROR(VLOOKUP(CONCATENATE($L396,$N396),'Drop List'!$G$23:$K$87,3,FALSE),0)</f>
        <v>0.31499999999999995</v>
      </c>
      <c r="AI396" s="1150">
        <f>IFERROR(VLOOKUP(CONCATENATE($L396,$N396),'Drop List'!$G$23:$K$87,4,FALSE),0)</f>
        <v>0</v>
      </c>
      <c r="AJ396" s="1151">
        <f>IFERROR(VLOOKUP(CONCATENATE($L396,$N396),'Drop List'!$G$23:$K$87,5,FALSE),0)</f>
        <v>0</v>
      </c>
      <c r="AK396" s="1152">
        <f t="shared" si="121"/>
        <v>472.15680000000003</v>
      </c>
      <c r="AL396" s="1153">
        <f t="shared" si="122"/>
        <v>217.12319999999997</v>
      </c>
      <c r="AM396" s="1153">
        <f t="shared" si="123"/>
        <v>0</v>
      </c>
      <c r="AN396" s="1145">
        <f t="shared" si="124"/>
        <v>0</v>
      </c>
      <c r="AO396" s="1154">
        <f t="shared" si="125"/>
        <v>689.28</v>
      </c>
      <c r="AP396" s="1147">
        <f t="shared" si="111"/>
        <v>0</v>
      </c>
      <c r="AQ396" s="1144">
        <f t="shared" si="112"/>
        <v>0</v>
      </c>
      <c r="AR396" s="1146">
        <f t="shared" si="113"/>
        <v>689.28</v>
      </c>
    </row>
    <row r="397" spans="1:44" x14ac:dyDescent="0.2">
      <c r="A397" s="1141" t="str">
        <f t="shared" si="108"/>
        <v>1504</v>
      </c>
      <c r="B397" s="1141" t="str">
        <f>IFERROR(VLOOKUP(A397,'LAC 103'!A:C,3,FALSE),"")</f>
        <v>OP</v>
      </c>
      <c r="C397" s="1478" t="str">
        <f>Info!$B$8</f>
        <v>00100</v>
      </c>
      <c r="D397" s="1474" t="s">
        <v>256</v>
      </c>
      <c r="E397" s="1474" t="s">
        <v>95</v>
      </c>
      <c r="F397" s="1478" t="s">
        <v>588</v>
      </c>
      <c r="G397" s="1478" t="s">
        <v>588</v>
      </c>
      <c r="H397" s="1474" t="s">
        <v>1057</v>
      </c>
      <c r="I397" s="1478" t="s">
        <v>798</v>
      </c>
      <c r="J397" s="1478"/>
      <c r="K397" s="1475" t="s">
        <v>848</v>
      </c>
      <c r="L397" s="1474" t="s">
        <v>45</v>
      </c>
      <c r="M397" s="1476" t="s">
        <v>1698</v>
      </c>
      <c r="N397" s="1477" t="s">
        <v>1693</v>
      </c>
      <c r="O397" s="1479">
        <v>217</v>
      </c>
      <c r="P397" s="1479"/>
      <c r="Q397" s="1142">
        <f t="shared" si="109"/>
        <v>217</v>
      </c>
      <c r="R397" s="1143">
        <f>IFERROR(VLOOKUP(CONCATENATE(E397,G397),'LAC 103'!$A$12:$O$95,11,FALSE),0)</f>
        <v>2.483156209074918</v>
      </c>
      <c r="S397" s="1144">
        <f>IFERROR(VLOOKUP(CONCATENATE($E397,$G397),'LAC 103'!$A$12:$O$95,12,FALSE),0)</f>
        <v>3.07</v>
      </c>
      <c r="T397" s="1144">
        <f>IFERROR(VLOOKUP(CONCATENATE($E397,$G397),'LAC 103'!$A$12:$O$95,13,FALSE),0)</f>
        <v>1.92</v>
      </c>
      <c r="U397" s="1144">
        <f>IFERROR(VLOOKUP(CONCATENATE($E397,$G397),'LAC 103'!$A$12:$O$95,14,FALSE),0)</f>
        <v>0</v>
      </c>
      <c r="V397" s="1144">
        <f>IFERROR(VLOOKUP(CONCATENATE($E397,$G397),'LAC 103'!$A$12:$O$95,15,FALSE),0)</f>
        <v>0</v>
      </c>
      <c r="W397" s="1145" t="str">
        <f>IFERROR(VLOOKUP(CONCATENATE($B397,$N397),'LAC 103'!$AI:$AQ,9,FALSE),"")</f>
        <v>Costs</v>
      </c>
      <c r="X397" s="1146">
        <f t="shared" si="114"/>
        <v>2.483156209074918</v>
      </c>
      <c r="Y397" s="1143">
        <f t="shared" si="115"/>
        <v>538.84489736925718</v>
      </c>
      <c r="Z397" s="1147">
        <f t="shared" si="116"/>
        <v>666.18999999999994</v>
      </c>
      <c r="AA397" s="1144">
        <f t="shared" si="117"/>
        <v>416.64</v>
      </c>
      <c r="AB397" s="1144">
        <f t="shared" si="118"/>
        <v>0</v>
      </c>
      <c r="AC397" s="1144">
        <f t="shared" si="119"/>
        <v>0</v>
      </c>
      <c r="AD397" s="1148">
        <f t="shared" si="110"/>
        <v>538.84489736925718</v>
      </c>
      <c r="AE397" s="1487">
        <v>0</v>
      </c>
      <c r="AF397" s="1145">
        <f t="shared" si="120"/>
        <v>538.84489736925718</v>
      </c>
      <c r="AG397" s="1149">
        <f>IFERROR(VLOOKUP(CONCATENATE($L397,$N397),'Drop List'!$G$23:$K$87,2,FALSE),0)</f>
        <v>0.69340000000000002</v>
      </c>
      <c r="AH397" s="1150">
        <f>IFERROR(VLOOKUP(CONCATENATE($L397,$N397),'Drop List'!$G$23:$K$87,3,FALSE),0)</f>
        <v>0.30659999999999998</v>
      </c>
      <c r="AI397" s="1150">
        <f>IFERROR(VLOOKUP(CONCATENATE($L397,$N397),'Drop List'!$G$23:$K$87,4,FALSE),0)</f>
        <v>0</v>
      </c>
      <c r="AJ397" s="1151">
        <f>IFERROR(VLOOKUP(CONCATENATE($L397,$N397),'Drop List'!$G$23:$K$87,5,FALSE),0)</f>
        <v>0</v>
      </c>
      <c r="AK397" s="1152">
        <f t="shared" si="121"/>
        <v>373.63505183584294</v>
      </c>
      <c r="AL397" s="1153">
        <f t="shared" si="122"/>
        <v>165.20984553341424</v>
      </c>
      <c r="AM397" s="1153">
        <f t="shared" si="123"/>
        <v>0</v>
      </c>
      <c r="AN397" s="1145">
        <f t="shared" si="124"/>
        <v>0</v>
      </c>
      <c r="AO397" s="1154">
        <f t="shared" si="125"/>
        <v>538.84489736925718</v>
      </c>
      <c r="AP397" s="1147">
        <f t="shared" si="111"/>
        <v>0</v>
      </c>
      <c r="AQ397" s="1144">
        <f t="shared" si="112"/>
        <v>0</v>
      </c>
      <c r="AR397" s="1146">
        <f t="shared" si="113"/>
        <v>538.84489736925718</v>
      </c>
    </row>
    <row r="398" spans="1:44" x14ac:dyDescent="0.2">
      <c r="A398" s="1141" t="str">
        <f t="shared" si="108"/>
        <v>1505</v>
      </c>
      <c r="B398" s="1141" t="str">
        <f>IFERROR(VLOOKUP(A398,'LAC 103'!A:C,3,FALSE),"")</f>
        <v>OP</v>
      </c>
      <c r="C398" s="1478" t="str">
        <f>Info!$B$8</f>
        <v>00100</v>
      </c>
      <c r="D398" s="1474" t="s">
        <v>256</v>
      </c>
      <c r="E398" s="1474" t="s">
        <v>95</v>
      </c>
      <c r="F398" s="1478" t="s">
        <v>45</v>
      </c>
      <c r="G398" s="1478" t="s">
        <v>45</v>
      </c>
      <c r="H398" s="1474" t="s">
        <v>996</v>
      </c>
      <c r="I398" s="1478" t="s">
        <v>912</v>
      </c>
      <c r="J398" s="1478" t="s">
        <v>123</v>
      </c>
      <c r="K398" s="1475" t="s">
        <v>846</v>
      </c>
      <c r="L398" s="1474" t="s">
        <v>332</v>
      </c>
      <c r="M398" s="1476" t="s">
        <v>1699</v>
      </c>
      <c r="N398" s="1477" t="s">
        <v>1694</v>
      </c>
      <c r="O398" s="1479">
        <v>858</v>
      </c>
      <c r="P398" s="1479"/>
      <c r="Q398" s="1142">
        <f t="shared" si="109"/>
        <v>858</v>
      </c>
      <c r="R398" s="1143">
        <f>IFERROR(VLOOKUP(CONCATENATE(E398,G398),'LAC 103'!$A$12:$O$95,11,FALSE),0)</f>
        <v>2.483156209074918</v>
      </c>
      <c r="S398" s="1144">
        <f>IFERROR(VLOOKUP(CONCATENATE($E398,$G398),'LAC 103'!$A$12:$O$95,12,FALSE),0)</f>
        <v>3.07</v>
      </c>
      <c r="T398" s="1144">
        <f>IFERROR(VLOOKUP(CONCATENATE($E398,$G398),'LAC 103'!$A$12:$O$95,13,FALSE),0)</f>
        <v>1.92</v>
      </c>
      <c r="U398" s="1144">
        <f>IFERROR(VLOOKUP(CONCATENATE($E398,$G398),'LAC 103'!$A$12:$O$95,14,FALSE),0)</f>
        <v>0</v>
      </c>
      <c r="V398" s="1144">
        <f>IFERROR(VLOOKUP(CONCATENATE($E398,$G398),'LAC 103'!$A$12:$O$95,15,FALSE),0)</f>
        <v>0</v>
      </c>
      <c r="W398" s="1145" t="str">
        <f>IFERROR(VLOOKUP(CONCATENATE($B398,$N398),'LAC 103'!$AI:$AQ,9,FALSE),"")</f>
        <v>Costs</v>
      </c>
      <c r="X398" s="1146">
        <f t="shared" si="114"/>
        <v>2.483156209074918</v>
      </c>
      <c r="Y398" s="1143">
        <f t="shared" si="115"/>
        <v>2130.5480273862795</v>
      </c>
      <c r="Z398" s="1147">
        <f t="shared" si="116"/>
        <v>2634.06</v>
      </c>
      <c r="AA398" s="1144">
        <f t="shared" si="117"/>
        <v>1647.36</v>
      </c>
      <c r="AB398" s="1144">
        <f t="shared" si="118"/>
        <v>0</v>
      </c>
      <c r="AC398" s="1144">
        <f t="shared" si="119"/>
        <v>0</v>
      </c>
      <c r="AD398" s="1148">
        <f t="shared" si="110"/>
        <v>2130.5480273862795</v>
      </c>
      <c r="AE398" s="1487">
        <v>0</v>
      </c>
      <c r="AF398" s="1145">
        <f t="shared" si="120"/>
        <v>2130.5480273862795</v>
      </c>
      <c r="AG398" s="1149">
        <f>IFERROR(VLOOKUP(CONCATENATE($L398,$N398),'Drop List'!$G$23:$K$87,2,FALSE),0)</f>
        <v>0</v>
      </c>
      <c r="AH398" s="1150">
        <f>IFERROR(VLOOKUP(CONCATENATE($L398,$N398),'Drop List'!$G$23:$K$87,3,FALSE),0)</f>
        <v>0</v>
      </c>
      <c r="AI398" s="1150">
        <f>IFERROR(VLOOKUP(CONCATENATE($L398,$N398),'Drop List'!$G$23:$K$87,4,FALSE),0)</f>
        <v>0</v>
      </c>
      <c r="AJ398" s="1151">
        <f>IFERROR(VLOOKUP(CONCATENATE($L398,$N398),'Drop List'!$G$23:$K$87,5,FALSE),0)</f>
        <v>0</v>
      </c>
      <c r="AK398" s="1152">
        <f t="shared" si="121"/>
        <v>0</v>
      </c>
      <c r="AL398" s="1153">
        <f t="shared" si="122"/>
        <v>0</v>
      </c>
      <c r="AM398" s="1153">
        <f t="shared" si="123"/>
        <v>0</v>
      </c>
      <c r="AN398" s="1145">
        <f t="shared" si="124"/>
        <v>0</v>
      </c>
      <c r="AO398" s="1154">
        <f t="shared" si="125"/>
        <v>0</v>
      </c>
      <c r="AP398" s="1147">
        <f t="shared" si="111"/>
        <v>2130.5480273862795</v>
      </c>
      <c r="AQ398" s="1144">
        <f t="shared" si="112"/>
        <v>0</v>
      </c>
      <c r="AR398" s="1146">
        <f t="shared" si="113"/>
        <v>2130.5480273862795</v>
      </c>
    </row>
    <row r="399" spans="1:44" x14ac:dyDescent="0.2">
      <c r="A399" s="1141" t="str">
        <f t="shared" si="108"/>
        <v>1505</v>
      </c>
      <c r="B399" s="1141" t="str">
        <f>IFERROR(VLOOKUP(A399,'LAC 103'!A:C,3,FALSE),"")</f>
        <v>OP</v>
      </c>
      <c r="C399" s="1478" t="str">
        <f>Info!$B$8</f>
        <v>00100</v>
      </c>
      <c r="D399" s="1474" t="s">
        <v>256</v>
      </c>
      <c r="E399" s="1474" t="s">
        <v>95</v>
      </c>
      <c r="F399" s="1478" t="s">
        <v>45</v>
      </c>
      <c r="G399" s="1478" t="s">
        <v>45</v>
      </c>
      <c r="H399" s="1474" t="s">
        <v>996</v>
      </c>
      <c r="I399" s="1478" t="s">
        <v>912</v>
      </c>
      <c r="J399" s="1478"/>
      <c r="K399" s="1475" t="s">
        <v>846</v>
      </c>
      <c r="L399" s="1474" t="s">
        <v>332</v>
      </c>
      <c r="M399" s="1476" t="s">
        <v>841</v>
      </c>
      <c r="N399" s="1477" t="s">
        <v>1695</v>
      </c>
      <c r="O399" s="1479">
        <v>45</v>
      </c>
      <c r="P399" s="1479"/>
      <c r="Q399" s="1142">
        <f t="shared" si="109"/>
        <v>45</v>
      </c>
      <c r="R399" s="1143">
        <f>IFERROR(VLOOKUP(CONCATENATE(E399,G399),'LAC 103'!$A$12:$O$95,11,FALSE),0)</f>
        <v>2.483156209074918</v>
      </c>
      <c r="S399" s="1144">
        <f>IFERROR(VLOOKUP(CONCATENATE($E399,$G399),'LAC 103'!$A$12:$O$95,12,FALSE),0)</f>
        <v>3.07</v>
      </c>
      <c r="T399" s="1144">
        <f>IFERROR(VLOOKUP(CONCATENATE($E399,$G399),'LAC 103'!$A$12:$O$95,13,FALSE),0)</f>
        <v>1.92</v>
      </c>
      <c r="U399" s="1144">
        <f>IFERROR(VLOOKUP(CONCATENATE($E399,$G399),'LAC 103'!$A$12:$O$95,14,FALSE),0)</f>
        <v>0</v>
      </c>
      <c r="V399" s="1144">
        <f>IFERROR(VLOOKUP(CONCATENATE($E399,$G399),'LAC 103'!$A$12:$O$95,15,FALSE),0)</f>
        <v>0</v>
      </c>
      <c r="W399" s="1145" t="str">
        <f>IFERROR(VLOOKUP(CONCATENATE($B399,$N399),'LAC 103'!$AI:$AQ,9,FALSE),"")</f>
        <v>Costs</v>
      </c>
      <c r="X399" s="1146">
        <f t="shared" si="114"/>
        <v>2.483156209074918</v>
      </c>
      <c r="Y399" s="1143">
        <f t="shared" si="115"/>
        <v>111.74202940837131</v>
      </c>
      <c r="Z399" s="1147">
        <f t="shared" si="116"/>
        <v>138.15</v>
      </c>
      <c r="AA399" s="1144">
        <f t="shared" si="117"/>
        <v>86.399999999999991</v>
      </c>
      <c r="AB399" s="1144">
        <f t="shared" si="118"/>
        <v>0</v>
      </c>
      <c r="AC399" s="1144">
        <f t="shared" si="119"/>
        <v>0</v>
      </c>
      <c r="AD399" s="1148">
        <f t="shared" si="110"/>
        <v>111.74202940837131</v>
      </c>
      <c r="AE399" s="1487">
        <v>0</v>
      </c>
      <c r="AF399" s="1145">
        <f t="shared" si="120"/>
        <v>111.74202940837131</v>
      </c>
      <c r="AG399" s="1149">
        <f>IFERROR(VLOOKUP(CONCATENATE($L399,$N399),'Drop List'!$G$23:$K$87,2,FALSE),0)</f>
        <v>0</v>
      </c>
      <c r="AH399" s="1150">
        <f>IFERROR(VLOOKUP(CONCATENATE($L399,$N399),'Drop List'!$G$23:$K$87,3,FALSE),0)</f>
        <v>0</v>
      </c>
      <c r="AI399" s="1150">
        <f>IFERROR(VLOOKUP(CONCATENATE($L399,$N399),'Drop List'!$G$23:$K$87,4,FALSE),0)</f>
        <v>0</v>
      </c>
      <c r="AJ399" s="1151">
        <f>IFERROR(VLOOKUP(CONCATENATE($L399,$N399),'Drop List'!$G$23:$K$87,5,FALSE),0)</f>
        <v>0</v>
      </c>
      <c r="AK399" s="1152">
        <f t="shared" si="121"/>
        <v>0</v>
      </c>
      <c r="AL399" s="1153">
        <f t="shared" si="122"/>
        <v>0</v>
      </c>
      <c r="AM399" s="1153">
        <f t="shared" si="123"/>
        <v>0</v>
      </c>
      <c r="AN399" s="1145">
        <f t="shared" si="124"/>
        <v>0</v>
      </c>
      <c r="AO399" s="1154">
        <f t="shared" si="125"/>
        <v>0</v>
      </c>
      <c r="AP399" s="1147">
        <f t="shared" si="111"/>
        <v>111.74202940837131</v>
      </c>
      <c r="AQ399" s="1144">
        <f t="shared" si="112"/>
        <v>0</v>
      </c>
      <c r="AR399" s="1146">
        <f t="shared" si="113"/>
        <v>111.74202940837131</v>
      </c>
    </row>
    <row r="400" spans="1:44" x14ac:dyDescent="0.2">
      <c r="A400" s="1141" t="str">
        <f t="shared" si="108"/>
        <v>1505</v>
      </c>
      <c r="B400" s="1141" t="str">
        <f>IFERROR(VLOOKUP(A400,'LAC 103'!A:C,3,FALSE),"")</f>
        <v>OP</v>
      </c>
      <c r="C400" s="1478" t="str">
        <f>Info!$B$8</f>
        <v>00100</v>
      </c>
      <c r="D400" s="1474" t="s">
        <v>256</v>
      </c>
      <c r="E400" s="1474" t="s">
        <v>95</v>
      </c>
      <c r="F400" s="1478" t="s">
        <v>45</v>
      </c>
      <c r="G400" s="1478" t="s">
        <v>45</v>
      </c>
      <c r="H400" s="1474" t="s">
        <v>996</v>
      </c>
      <c r="I400" s="1478" t="s">
        <v>912</v>
      </c>
      <c r="J400" s="1478"/>
      <c r="K400" s="1475" t="s">
        <v>846</v>
      </c>
      <c r="L400" s="1474" t="s">
        <v>332</v>
      </c>
      <c r="M400" s="1476" t="s">
        <v>840</v>
      </c>
      <c r="N400" s="1477" t="s">
        <v>1700</v>
      </c>
      <c r="O400" s="1479">
        <v>193</v>
      </c>
      <c r="P400" s="1479"/>
      <c r="Q400" s="1142">
        <f t="shared" si="109"/>
        <v>193</v>
      </c>
      <c r="R400" s="1143">
        <f>IFERROR(VLOOKUP(CONCATENATE(E400,G400),'LAC 103'!$A$12:$O$95,11,FALSE),0)</f>
        <v>2.483156209074918</v>
      </c>
      <c r="S400" s="1144">
        <f>IFERROR(VLOOKUP(CONCATENATE($E400,$G400),'LAC 103'!$A$12:$O$95,12,FALSE),0)</f>
        <v>3.07</v>
      </c>
      <c r="T400" s="1144">
        <f>IFERROR(VLOOKUP(CONCATENATE($E400,$G400),'LAC 103'!$A$12:$O$95,13,FALSE),0)</f>
        <v>1.92</v>
      </c>
      <c r="U400" s="1144">
        <f>IFERROR(VLOOKUP(CONCATENATE($E400,$G400),'LAC 103'!$A$12:$O$95,14,FALSE),0)</f>
        <v>0</v>
      </c>
      <c r="V400" s="1144">
        <f>IFERROR(VLOOKUP(CONCATENATE($E400,$G400),'LAC 103'!$A$12:$O$95,15,FALSE),0)</f>
        <v>0</v>
      </c>
      <c r="W400" s="1145" t="str">
        <f>IFERROR(VLOOKUP(CONCATENATE($B400,$N400),'LAC 103'!$AI:$AQ,9,FALSE),"")</f>
        <v>P.C.</v>
      </c>
      <c r="X400" s="1146">
        <f t="shared" si="114"/>
        <v>1.92</v>
      </c>
      <c r="Y400" s="1143">
        <f t="shared" si="115"/>
        <v>479.24914835145916</v>
      </c>
      <c r="Z400" s="1147">
        <f t="shared" si="116"/>
        <v>592.51</v>
      </c>
      <c r="AA400" s="1144">
        <f t="shared" si="117"/>
        <v>370.56</v>
      </c>
      <c r="AB400" s="1144">
        <f t="shared" si="118"/>
        <v>0</v>
      </c>
      <c r="AC400" s="1144">
        <f t="shared" si="119"/>
        <v>0</v>
      </c>
      <c r="AD400" s="1148">
        <f t="shared" si="110"/>
        <v>370.56</v>
      </c>
      <c r="AE400" s="1487">
        <v>0</v>
      </c>
      <c r="AF400" s="1145">
        <f t="shared" si="120"/>
        <v>370.56</v>
      </c>
      <c r="AG400" s="1149">
        <f>IFERROR(VLOOKUP(CONCATENATE($L400,$N400),'Drop List'!$G$23:$K$87,2,FALSE),0)</f>
        <v>0</v>
      </c>
      <c r="AH400" s="1150">
        <f>IFERROR(VLOOKUP(CONCATENATE($L400,$N400),'Drop List'!$G$23:$K$87,3,FALSE),0)</f>
        <v>0</v>
      </c>
      <c r="AI400" s="1150">
        <f>IFERROR(VLOOKUP(CONCATENATE($L400,$N400),'Drop List'!$G$23:$K$87,4,FALSE),0)</f>
        <v>0</v>
      </c>
      <c r="AJ400" s="1151">
        <f>IFERROR(VLOOKUP(CONCATENATE($L400,$N400),'Drop List'!$G$23:$K$87,5,FALSE),0)</f>
        <v>0</v>
      </c>
      <c r="AK400" s="1152">
        <f t="shared" si="121"/>
        <v>0</v>
      </c>
      <c r="AL400" s="1153">
        <f t="shared" si="122"/>
        <v>0</v>
      </c>
      <c r="AM400" s="1153">
        <f t="shared" si="123"/>
        <v>0</v>
      </c>
      <c r="AN400" s="1145">
        <f t="shared" si="124"/>
        <v>0</v>
      </c>
      <c r="AO400" s="1154">
        <f t="shared" si="125"/>
        <v>0</v>
      </c>
      <c r="AP400" s="1147">
        <f t="shared" si="111"/>
        <v>370.56</v>
      </c>
      <c r="AQ400" s="1144">
        <f t="shared" si="112"/>
        <v>0</v>
      </c>
      <c r="AR400" s="1146">
        <f t="shared" si="113"/>
        <v>370.56</v>
      </c>
    </row>
    <row r="401" spans="1:44" x14ac:dyDescent="0.2">
      <c r="A401" s="1141" t="str">
        <f t="shared" si="108"/>
        <v>1505</v>
      </c>
      <c r="B401" s="1141" t="str">
        <f>IFERROR(VLOOKUP(A401,'LAC 103'!A:C,3,FALSE),"")</f>
        <v>OP</v>
      </c>
      <c r="C401" s="1478" t="str">
        <f>Info!$B$8</f>
        <v>00100</v>
      </c>
      <c r="D401" s="1474" t="s">
        <v>256</v>
      </c>
      <c r="E401" s="1474" t="s">
        <v>95</v>
      </c>
      <c r="F401" s="1478" t="s">
        <v>45</v>
      </c>
      <c r="G401" s="1478" t="s">
        <v>45</v>
      </c>
      <c r="H401" s="1474" t="s">
        <v>996</v>
      </c>
      <c r="I401" s="1478" t="s">
        <v>912</v>
      </c>
      <c r="J401" s="1478"/>
      <c r="K401" s="1475" t="s">
        <v>846</v>
      </c>
      <c r="L401" s="1474" t="s">
        <v>332</v>
      </c>
      <c r="M401" s="1476" t="s">
        <v>842</v>
      </c>
      <c r="N401" s="1477" t="s">
        <v>1692</v>
      </c>
      <c r="O401" s="1479">
        <v>4786</v>
      </c>
      <c r="P401" s="1479"/>
      <c r="Q401" s="1142">
        <f t="shared" si="109"/>
        <v>4786</v>
      </c>
      <c r="R401" s="1143">
        <f>IFERROR(VLOOKUP(CONCATENATE(E401,G401),'LAC 103'!$A$12:$O$95,11,FALSE),0)</f>
        <v>2.483156209074918</v>
      </c>
      <c r="S401" s="1144">
        <f>IFERROR(VLOOKUP(CONCATENATE($E401,$G401),'LAC 103'!$A$12:$O$95,12,FALSE),0)</f>
        <v>3.07</v>
      </c>
      <c r="T401" s="1144">
        <f>IFERROR(VLOOKUP(CONCATENATE($E401,$G401),'LAC 103'!$A$12:$O$95,13,FALSE),0)</f>
        <v>1.92</v>
      </c>
      <c r="U401" s="1144">
        <f>IFERROR(VLOOKUP(CONCATENATE($E401,$G401),'LAC 103'!$A$12:$O$95,14,FALSE),0)</f>
        <v>0</v>
      </c>
      <c r="V401" s="1144">
        <f>IFERROR(VLOOKUP(CONCATENATE($E401,$G401),'LAC 103'!$A$12:$O$95,15,FALSE),0)</f>
        <v>0</v>
      </c>
      <c r="W401" s="1145" t="str">
        <f>IFERROR(VLOOKUP(CONCATENATE($B401,$N401),'LAC 103'!$AI:$AQ,9,FALSE),"")</f>
        <v>Costs</v>
      </c>
      <c r="X401" s="1146">
        <f t="shared" si="114"/>
        <v>2.483156209074918</v>
      </c>
      <c r="Y401" s="1143">
        <f t="shared" si="115"/>
        <v>11884.385616632557</v>
      </c>
      <c r="Z401" s="1147">
        <f t="shared" si="116"/>
        <v>14693.019999999999</v>
      </c>
      <c r="AA401" s="1144">
        <f t="shared" si="117"/>
        <v>9189.119999999999</v>
      </c>
      <c r="AB401" s="1144">
        <f t="shared" si="118"/>
        <v>0</v>
      </c>
      <c r="AC401" s="1144">
        <f t="shared" si="119"/>
        <v>0</v>
      </c>
      <c r="AD401" s="1148">
        <f t="shared" si="110"/>
        <v>11884.385616632557</v>
      </c>
      <c r="AE401" s="1487">
        <v>0</v>
      </c>
      <c r="AF401" s="1145">
        <f t="shared" si="120"/>
        <v>11884.385616632557</v>
      </c>
      <c r="AG401" s="1149">
        <f>IFERROR(VLOOKUP(CONCATENATE($L401,$N401),'Drop List'!$G$23:$K$87,2,FALSE),0)</f>
        <v>0</v>
      </c>
      <c r="AH401" s="1150">
        <f>IFERROR(VLOOKUP(CONCATENATE($L401,$N401),'Drop List'!$G$23:$K$87,3,FALSE),0)</f>
        <v>0</v>
      </c>
      <c r="AI401" s="1150">
        <f>IFERROR(VLOOKUP(CONCATENATE($L401,$N401),'Drop List'!$G$23:$K$87,4,FALSE),0)</f>
        <v>0</v>
      </c>
      <c r="AJ401" s="1151">
        <f>IFERROR(VLOOKUP(CONCATENATE($L401,$N401),'Drop List'!$G$23:$K$87,5,FALSE),0)</f>
        <v>0</v>
      </c>
      <c r="AK401" s="1152">
        <f t="shared" si="121"/>
        <v>0</v>
      </c>
      <c r="AL401" s="1153">
        <f t="shared" si="122"/>
        <v>0</v>
      </c>
      <c r="AM401" s="1153">
        <f t="shared" si="123"/>
        <v>0</v>
      </c>
      <c r="AN401" s="1145">
        <f t="shared" si="124"/>
        <v>0</v>
      </c>
      <c r="AO401" s="1154">
        <f t="shared" si="125"/>
        <v>0</v>
      </c>
      <c r="AP401" s="1147">
        <f t="shared" si="111"/>
        <v>11884.385616632557</v>
      </c>
      <c r="AQ401" s="1144">
        <f t="shared" si="112"/>
        <v>0</v>
      </c>
      <c r="AR401" s="1146">
        <f t="shared" si="113"/>
        <v>11884.385616632557</v>
      </c>
    </row>
    <row r="402" spans="1:44" x14ac:dyDescent="0.2">
      <c r="A402" s="1141" t="str">
        <f t="shared" si="108"/>
        <v>1505</v>
      </c>
      <c r="B402" s="1141" t="str">
        <f>IFERROR(VLOOKUP(A402,'LAC 103'!A:C,3,FALSE),"")</f>
        <v>OP</v>
      </c>
      <c r="C402" s="1478" t="str">
        <f>Info!$B$8</f>
        <v>00100</v>
      </c>
      <c r="D402" s="1474" t="s">
        <v>256</v>
      </c>
      <c r="E402" s="1474" t="s">
        <v>95</v>
      </c>
      <c r="F402" s="1478" t="s">
        <v>45</v>
      </c>
      <c r="G402" s="1478" t="s">
        <v>45</v>
      </c>
      <c r="H402" s="1474" t="s">
        <v>996</v>
      </c>
      <c r="I402" s="1478" t="s">
        <v>912</v>
      </c>
      <c r="J402" s="1478"/>
      <c r="K402" s="1475" t="s">
        <v>846</v>
      </c>
      <c r="L402" s="1474" t="s">
        <v>332</v>
      </c>
      <c r="M402" s="1476" t="s">
        <v>1698</v>
      </c>
      <c r="N402" s="1477" t="s">
        <v>1693</v>
      </c>
      <c r="O402" s="1479">
        <v>2772</v>
      </c>
      <c r="P402" s="1479"/>
      <c r="Q402" s="1142">
        <f t="shared" si="109"/>
        <v>2772</v>
      </c>
      <c r="R402" s="1143">
        <f>IFERROR(VLOOKUP(CONCATENATE(E402,G402),'LAC 103'!$A$12:$O$95,11,FALSE),0)</f>
        <v>2.483156209074918</v>
      </c>
      <c r="S402" s="1144">
        <f>IFERROR(VLOOKUP(CONCATENATE($E402,$G402),'LAC 103'!$A$12:$O$95,12,FALSE),0)</f>
        <v>3.07</v>
      </c>
      <c r="T402" s="1144">
        <f>IFERROR(VLOOKUP(CONCATENATE($E402,$G402),'LAC 103'!$A$12:$O$95,13,FALSE),0)</f>
        <v>1.92</v>
      </c>
      <c r="U402" s="1144">
        <f>IFERROR(VLOOKUP(CONCATENATE($E402,$G402),'LAC 103'!$A$12:$O$95,14,FALSE),0)</f>
        <v>0</v>
      </c>
      <c r="V402" s="1144">
        <f>IFERROR(VLOOKUP(CONCATENATE($E402,$G402),'LAC 103'!$A$12:$O$95,15,FALSE),0)</f>
        <v>0</v>
      </c>
      <c r="W402" s="1145" t="str">
        <f>IFERROR(VLOOKUP(CONCATENATE($B402,$N402),'LAC 103'!$AI:$AQ,9,FALSE),"")</f>
        <v>Costs</v>
      </c>
      <c r="X402" s="1146">
        <f t="shared" si="114"/>
        <v>2.483156209074918</v>
      </c>
      <c r="Y402" s="1143">
        <f t="shared" si="115"/>
        <v>6883.3090115556724</v>
      </c>
      <c r="Z402" s="1147">
        <f t="shared" si="116"/>
        <v>8510.0399999999991</v>
      </c>
      <c r="AA402" s="1144">
        <f t="shared" si="117"/>
        <v>5322.24</v>
      </c>
      <c r="AB402" s="1144">
        <f t="shared" si="118"/>
        <v>0</v>
      </c>
      <c r="AC402" s="1144">
        <f t="shared" si="119"/>
        <v>0</v>
      </c>
      <c r="AD402" s="1148">
        <f t="shared" si="110"/>
        <v>6883.3090115556724</v>
      </c>
      <c r="AE402" s="1487">
        <v>0</v>
      </c>
      <c r="AF402" s="1145">
        <f t="shared" si="120"/>
        <v>6883.3090115556724</v>
      </c>
      <c r="AG402" s="1149">
        <f>IFERROR(VLOOKUP(CONCATENATE($L402,$N402),'Drop List'!$G$23:$K$87,2,FALSE),0)</f>
        <v>0</v>
      </c>
      <c r="AH402" s="1150">
        <f>IFERROR(VLOOKUP(CONCATENATE($L402,$N402),'Drop List'!$G$23:$K$87,3,FALSE),0)</f>
        <v>0</v>
      </c>
      <c r="AI402" s="1150">
        <f>IFERROR(VLOOKUP(CONCATENATE($L402,$N402),'Drop List'!$G$23:$K$87,4,FALSE),0)</f>
        <v>0</v>
      </c>
      <c r="AJ402" s="1151">
        <f>IFERROR(VLOOKUP(CONCATENATE($L402,$N402),'Drop List'!$G$23:$K$87,5,FALSE),0)</f>
        <v>0</v>
      </c>
      <c r="AK402" s="1152">
        <f t="shared" si="121"/>
        <v>0</v>
      </c>
      <c r="AL402" s="1153">
        <f t="shared" si="122"/>
        <v>0</v>
      </c>
      <c r="AM402" s="1153">
        <f t="shared" si="123"/>
        <v>0</v>
      </c>
      <c r="AN402" s="1145">
        <f t="shared" si="124"/>
        <v>0</v>
      </c>
      <c r="AO402" s="1154">
        <f t="shared" si="125"/>
        <v>0</v>
      </c>
      <c r="AP402" s="1147">
        <f t="shared" si="111"/>
        <v>6883.3090115556724</v>
      </c>
      <c r="AQ402" s="1144">
        <f t="shared" si="112"/>
        <v>0</v>
      </c>
      <c r="AR402" s="1146">
        <f t="shared" si="113"/>
        <v>6883.3090115556724</v>
      </c>
    </row>
    <row r="403" spans="1:44" x14ac:dyDescent="0.2">
      <c r="A403" s="1141" t="str">
        <f t="shared" si="108"/>
        <v>1505</v>
      </c>
      <c r="B403" s="1141" t="str">
        <f>IFERROR(VLOOKUP(A403,'LAC 103'!A:C,3,FALSE),"")</f>
        <v>OP</v>
      </c>
      <c r="C403" s="1478" t="str">
        <f>Info!$B$8</f>
        <v>00100</v>
      </c>
      <c r="D403" s="1474" t="s">
        <v>256</v>
      </c>
      <c r="E403" s="1474" t="s">
        <v>95</v>
      </c>
      <c r="F403" s="1478" t="s">
        <v>45</v>
      </c>
      <c r="G403" s="1478" t="s">
        <v>45</v>
      </c>
      <c r="H403" s="1474" t="s">
        <v>1655</v>
      </c>
      <c r="I403" s="1478" t="s">
        <v>913</v>
      </c>
      <c r="J403" s="1478" t="s">
        <v>123</v>
      </c>
      <c r="K403" s="1475" t="s">
        <v>846</v>
      </c>
      <c r="L403" s="1474" t="s">
        <v>332</v>
      </c>
      <c r="M403" s="1476" t="s">
        <v>1699</v>
      </c>
      <c r="N403" s="1477" t="s">
        <v>1694</v>
      </c>
      <c r="O403" s="1479">
        <v>4768</v>
      </c>
      <c r="P403" s="1479"/>
      <c r="Q403" s="1142">
        <f t="shared" si="109"/>
        <v>4768</v>
      </c>
      <c r="R403" s="1143">
        <f>IFERROR(VLOOKUP(CONCATENATE(E403,G403),'LAC 103'!$A$12:$O$95,11,FALSE),0)</f>
        <v>2.483156209074918</v>
      </c>
      <c r="S403" s="1144">
        <f>IFERROR(VLOOKUP(CONCATENATE($E403,$G403),'LAC 103'!$A$12:$O$95,12,FALSE),0)</f>
        <v>3.07</v>
      </c>
      <c r="T403" s="1144">
        <f>IFERROR(VLOOKUP(CONCATENATE($E403,$G403),'LAC 103'!$A$12:$O$95,13,FALSE),0)</f>
        <v>1.92</v>
      </c>
      <c r="U403" s="1144">
        <f>IFERROR(VLOOKUP(CONCATENATE($E403,$G403),'LAC 103'!$A$12:$O$95,14,FALSE),0)</f>
        <v>0</v>
      </c>
      <c r="V403" s="1144">
        <f>IFERROR(VLOOKUP(CONCATENATE($E403,$G403),'LAC 103'!$A$12:$O$95,15,FALSE),0)</f>
        <v>0</v>
      </c>
      <c r="W403" s="1145" t="str">
        <f>IFERROR(VLOOKUP(CONCATENATE($B403,$N403),'LAC 103'!$AI:$AQ,9,FALSE),"")</f>
        <v>Costs</v>
      </c>
      <c r="X403" s="1146">
        <f t="shared" si="114"/>
        <v>2.483156209074918</v>
      </c>
      <c r="Y403" s="1143">
        <f t="shared" si="115"/>
        <v>11839.688804869209</v>
      </c>
      <c r="Z403" s="1147">
        <f t="shared" si="116"/>
        <v>14637.759999999998</v>
      </c>
      <c r="AA403" s="1144">
        <f t="shared" si="117"/>
        <v>9154.56</v>
      </c>
      <c r="AB403" s="1144">
        <f t="shared" si="118"/>
        <v>0</v>
      </c>
      <c r="AC403" s="1144">
        <f t="shared" si="119"/>
        <v>0</v>
      </c>
      <c r="AD403" s="1148">
        <f t="shared" si="110"/>
        <v>11839.688804869209</v>
      </c>
      <c r="AE403" s="1487">
        <v>0</v>
      </c>
      <c r="AF403" s="1145">
        <f t="shared" si="120"/>
        <v>11839.688804869209</v>
      </c>
      <c r="AG403" s="1149">
        <f>IFERROR(VLOOKUP(CONCATENATE($L403,$N403),'Drop List'!$G$23:$K$87,2,FALSE),0)</f>
        <v>0</v>
      </c>
      <c r="AH403" s="1150">
        <f>IFERROR(VLOOKUP(CONCATENATE($L403,$N403),'Drop List'!$G$23:$K$87,3,FALSE),0)</f>
        <v>0</v>
      </c>
      <c r="AI403" s="1150">
        <f>IFERROR(VLOOKUP(CONCATENATE($L403,$N403),'Drop List'!$G$23:$K$87,4,FALSE),0)</f>
        <v>0</v>
      </c>
      <c r="AJ403" s="1151">
        <f>IFERROR(VLOOKUP(CONCATENATE($L403,$N403),'Drop List'!$G$23:$K$87,5,FALSE),0)</f>
        <v>0</v>
      </c>
      <c r="AK403" s="1152">
        <f t="shared" si="121"/>
        <v>0</v>
      </c>
      <c r="AL403" s="1153">
        <f t="shared" si="122"/>
        <v>0</v>
      </c>
      <c r="AM403" s="1153">
        <f t="shared" si="123"/>
        <v>0</v>
      </c>
      <c r="AN403" s="1145">
        <f t="shared" si="124"/>
        <v>0</v>
      </c>
      <c r="AO403" s="1154">
        <f t="shared" si="125"/>
        <v>0</v>
      </c>
      <c r="AP403" s="1147">
        <f t="shared" si="111"/>
        <v>11839.688804869209</v>
      </c>
      <c r="AQ403" s="1144">
        <f t="shared" si="112"/>
        <v>0</v>
      </c>
      <c r="AR403" s="1146">
        <f t="shared" si="113"/>
        <v>11839.688804869209</v>
      </c>
    </row>
    <row r="404" spans="1:44" x14ac:dyDescent="0.2">
      <c r="A404" s="1141" t="str">
        <f t="shared" si="108"/>
        <v>1505</v>
      </c>
      <c r="B404" s="1141" t="str">
        <f>IFERROR(VLOOKUP(A404,'LAC 103'!A:C,3,FALSE),"")</f>
        <v>OP</v>
      </c>
      <c r="C404" s="1478" t="str">
        <f>Info!$B$8</f>
        <v>00100</v>
      </c>
      <c r="D404" s="1474" t="s">
        <v>256</v>
      </c>
      <c r="E404" s="1474" t="s">
        <v>95</v>
      </c>
      <c r="F404" s="1478" t="s">
        <v>45</v>
      </c>
      <c r="G404" s="1478" t="s">
        <v>45</v>
      </c>
      <c r="H404" s="1474" t="s">
        <v>1655</v>
      </c>
      <c r="I404" s="1478" t="s">
        <v>913</v>
      </c>
      <c r="J404" s="1478"/>
      <c r="K404" s="1475" t="s">
        <v>846</v>
      </c>
      <c r="L404" s="1474" t="s">
        <v>332</v>
      </c>
      <c r="M404" s="1476" t="s">
        <v>840</v>
      </c>
      <c r="N404" s="1477" t="s">
        <v>1700</v>
      </c>
      <c r="O404" s="1479">
        <v>454</v>
      </c>
      <c r="P404" s="1479"/>
      <c r="Q404" s="1142">
        <f t="shared" si="109"/>
        <v>454</v>
      </c>
      <c r="R404" s="1143">
        <f>IFERROR(VLOOKUP(CONCATENATE(E404,G404),'LAC 103'!$A$12:$O$95,11,FALSE),0)</f>
        <v>2.483156209074918</v>
      </c>
      <c r="S404" s="1144">
        <f>IFERROR(VLOOKUP(CONCATENATE($E404,$G404),'LAC 103'!$A$12:$O$95,12,FALSE),0)</f>
        <v>3.07</v>
      </c>
      <c r="T404" s="1144">
        <f>IFERROR(VLOOKUP(CONCATENATE($E404,$G404),'LAC 103'!$A$12:$O$95,13,FALSE),0)</f>
        <v>1.92</v>
      </c>
      <c r="U404" s="1144">
        <f>IFERROR(VLOOKUP(CONCATENATE($E404,$G404),'LAC 103'!$A$12:$O$95,14,FALSE),0)</f>
        <v>0</v>
      </c>
      <c r="V404" s="1144">
        <f>IFERROR(VLOOKUP(CONCATENATE($E404,$G404),'LAC 103'!$A$12:$O$95,15,FALSE),0)</f>
        <v>0</v>
      </c>
      <c r="W404" s="1145" t="str">
        <f>IFERROR(VLOOKUP(CONCATENATE($B404,$N404),'LAC 103'!$AI:$AQ,9,FALSE),"")</f>
        <v>P.C.</v>
      </c>
      <c r="X404" s="1146">
        <f t="shared" si="114"/>
        <v>1.92</v>
      </c>
      <c r="Y404" s="1143">
        <f t="shared" si="115"/>
        <v>1127.3529189200128</v>
      </c>
      <c r="Z404" s="1147">
        <f t="shared" si="116"/>
        <v>1393.78</v>
      </c>
      <c r="AA404" s="1144">
        <f t="shared" si="117"/>
        <v>871.68</v>
      </c>
      <c r="AB404" s="1144">
        <f t="shared" si="118"/>
        <v>0</v>
      </c>
      <c r="AC404" s="1144">
        <f t="shared" si="119"/>
        <v>0</v>
      </c>
      <c r="AD404" s="1148">
        <f t="shared" si="110"/>
        <v>871.68</v>
      </c>
      <c r="AE404" s="1487">
        <v>0</v>
      </c>
      <c r="AF404" s="1145">
        <f t="shared" si="120"/>
        <v>871.68</v>
      </c>
      <c r="AG404" s="1149">
        <f>IFERROR(VLOOKUP(CONCATENATE($L404,$N404),'Drop List'!$G$23:$K$87,2,FALSE),0)</f>
        <v>0</v>
      </c>
      <c r="AH404" s="1150">
        <f>IFERROR(VLOOKUP(CONCATENATE($L404,$N404),'Drop List'!$G$23:$K$87,3,FALSE),0)</f>
        <v>0</v>
      </c>
      <c r="AI404" s="1150">
        <f>IFERROR(VLOOKUP(CONCATENATE($L404,$N404),'Drop List'!$G$23:$K$87,4,FALSE),0)</f>
        <v>0</v>
      </c>
      <c r="AJ404" s="1151">
        <f>IFERROR(VLOOKUP(CONCATENATE($L404,$N404),'Drop List'!$G$23:$K$87,5,FALSE),0)</f>
        <v>0</v>
      </c>
      <c r="AK404" s="1152">
        <f t="shared" si="121"/>
        <v>0</v>
      </c>
      <c r="AL404" s="1153">
        <f t="shared" si="122"/>
        <v>0</v>
      </c>
      <c r="AM404" s="1153">
        <f t="shared" si="123"/>
        <v>0</v>
      </c>
      <c r="AN404" s="1145">
        <f t="shared" si="124"/>
        <v>0</v>
      </c>
      <c r="AO404" s="1154">
        <f t="shared" si="125"/>
        <v>0</v>
      </c>
      <c r="AP404" s="1147">
        <f t="shared" si="111"/>
        <v>871.68</v>
      </c>
      <c r="AQ404" s="1144">
        <f t="shared" si="112"/>
        <v>0</v>
      </c>
      <c r="AR404" s="1146">
        <f t="shared" si="113"/>
        <v>871.68</v>
      </c>
    </row>
    <row r="405" spans="1:44" x14ac:dyDescent="0.2">
      <c r="A405" s="1141" t="str">
        <f t="shared" si="108"/>
        <v>1505</v>
      </c>
      <c r="B405" s="1141" t="str">
        <f>IFERROR(VLOOKUP(A405,'LAC 103'!A:C,3,FALSE),"")</f>
        <v>OP</v>
      </c>
      <c r="C405" s="1478" t="str">
        <f>Info!$B$8</f>
        <v>00100</v>
      </c>
      <c r="D405" s="1474" t="s">
        <v>256</v>
      </c>
      <c r="E405" s="1474" t="s">
        <v>95</v>
      </c>
      <c r="F405" s="1478" t="s">
        <v>45</v>
      </c>
      <c r="G405" s="1478" t="s">
        <v>45</v>
      </c>
      <c r="H405" s="1474" t="s">
        <v>1655</v>
      </c>
      <c r="I405" s="1478" t="s">
        <v>913</v>
      </c>
      <c r="J405" s="1478"/>
      <c r="K405" s="1475" t="s">
        <v>846</v>
      </c>
      <c r="L405" s="1474" t="s">
        <v>332</v>
      </c>
      <c r="M405" s="1476" t="s">
        <v>842</v>
      </c>
      <c r="N405" s="1477" t="s">
        <v>1692</v>
      </c>
      <c r="O405" s="1479">
        <v>638</v>
      </c>
      <c r="P405" s="1479"/>
      <c r="Q405" s="1142">
        <f t="shared" si="109"/>
        <v>638</v>
      </c>
      <c r="R405" s="1143">
        <f>IFERROR(VLOOKUP(CONCATENATE(E405,G405),'LAC 103'!$A$12:$O$95,11,FALSE),0)</f>
        <v>2.483156209074918</v>
      </c>
      <c r="S405" s="1144">
        <f>IFERROR(VLOOKUP(CONCATENATE($E405,$G405),'LAC 103'!$A$12:$O$95,12,FALSE),0)</f>
        <v>3.07</v>
      </c>
      <c r="T405" s="1144">
        <f>IFERROR(VLOOKUP(CONCATENATE($E405,$G405),'LAC 103'!$A$12:$O$95,13,FALSE),0)</f>
        <v>1.92</v>
      </c>
      <c r="U405" s="1144">
        <f>IFERROR(VLOOKUP(CONCATENATE($E405,$G405),'LAC 103'!$A$12:$O$95,14,FALSE),0)</f>
        <v>0</v>
      </c>
      <c r="V405" s="1144">
        <f>IFERROR(VLOOKUP(CONCATENATE($E405,$G405),'LAC 103'!$A$12:$O$95,15,FALSE),0)</f>
        <v>0</v>
      </c>
      <c r="W405" s="1145" t="str">
        <f>IFERROR(VLOOKUP(CONCATENATE($B405,$N405),'LAC 103'!$AI:$AQ,9,FALSE),"")</f>
        <v>Costs</v>
      </c>
      <c r="X405" s="1146">
        <f t="shared" si="114"/>
        <v>2.483156209074918</v>
      </c>
      <c r="Y405" s="1143">
        <f t="shared" si="115"/>
        <v>1584.2536613897976</v>
      </c>
      <c r="Z405" s="1147">
        <f t="shared" si="116"/>
        <v>1958.6599999999999</v>
      </c>
      <c r="AA405" s="1144">
        <f t="shared" si="117"/>
        <v>1224.96</v>
      </c>
      <c r="AB405" s="1144">
        <f t="shared" si="118"/>
        <v>0</v>
      </c>
      <c r="AC405" s="1144">
        <f t="shared" si="119"/>
        <v>0</v>
      </c>
      <c r="AD405" s="1148">
        <f t="shared" si="110"/>
        <v>1584.2536613897976</v>
      </c>
      <c r="AE405" s="1487">
        <v>0</v>
      </c>
      <c r="AF405" s="1145">
        <f t="shared" si="120"/>
        <v>1584.2536613897976</v>
      </c>
      <c r="AG405" s="1149">
        <f>IFERROR(VLOOKUP(CONCATENATE($L405,$N405),'Drop List'!$G$23:$K$87,2,FALSE),0)</f>
        <v>0</v>
      </c>
      <c r="AH405" s="1150">
        <f>IFERROR(VLOOKUP(CONCATENATE($L405,$N405),'Drop List'!$G$23:$K$87,3,FALSE),0)</f>
        <v>0</v>
      </c>
      <c r="AI405" s="1150">
        <f>IFERROR(VLOOKUP(CONCATENATE($L405,$N405),'Drop List'!$G$23:$K$87,4,FALSE),0)</f>
        <v>0</v>
      </c>
      <c r="AJ405" s="1151">
        <f>IFERROR(VLOOKUP(CONCATENATE($L405,$N405),'Drop List'!$G$23:$K$87,5,FALSE),0)</f>
        <v>0</v>
      </c>
      <c r="AK405" s="1152">
        <f t="shared" si="121"/>
        <v>0</v>
      </c>
      <c r="AL405" s="1153">
        <f t="shared" si="122"/>
        <v>0</v>
      </c>
      <c r="AM405" s="1153">
        <f t="shared" si="123"/>
        <v>0</v>
      </c>
      <c r="AN405" s="1145">
        <f t="shared" si="124"/>
        <v>0</v>
      </c>
      <c r="AO405" s="1154">
        <f t="shared" si="125"/>
        <v>0</v>
      </c>
      <c r="AP405" s="1147">
        <f t="shared" si="111"/>
        <v>1584.2536613897976</v>
      </c>
      <c r="AQ405" s="1144">
        <f t="shared" si="112"/>
        <v>0</v>
      </c>
      <c r="AR405" s="1146">
        <f t="shared" si="113"/>
        <v>1584.2536613897976</v>
      </c>
    </row>
    <row r="406" spans="1:44" x14ac:dyDescent="0.2">
      <c r="A406" s="1141" t="str">
        <f t="shared" si="108"/>
        <v>1505</v>
      </c>
      <c r="B406" s="1141" t="str">
        <f>IFERROR(VLOOKUP(A406,'LAC 103'!A:C,3,FALSE),"")</f>
        <v>OP</v>
      </c>
      <c r="C406" s="1478" t="str">
        <f>Info!$B$8</f>
        <v>00100</v>
      </c>
      <c r="D406" s="1474" t="s">
        <v>256</v>
      </c>
      <c r="E406" s="1474" t="s">
        <v>95</v>
      </c>
      <c r="F406" s="1478" t="s">
        <v>45</v>
      </c>
      <c r="G406" s="1478" t="s">
        <v>45</v>
      </c>
      <c r="H406" s="1474" t="s">
        <v>1655</v>
      </c>
      <c r="I406" s="1478" t="s">
        <v>913</v>
      </c>
      <c r="J406" s="1478"/>
      <c r="K406" s="1475" t="s">
        <v>846</v>
      </c>
      <c r="L406" s="1474" t="s">
        <v>332</v>
      </c>
      <c r="M406" s="1476" t="s">
        <v>1698</v>
      </c>
      <c r="N406" s="1477" t="s">
        <v>1693</v>
      </c>
      <c r="O406" s="1479">
        <v>2272</v>
      </c>
      <c r="P406" s="1479"/>
      <c r="Q406" s="1142">
        <f t="shared" si="109"/>
        <v>2272</v>
      </c>
      <c r="R406" s="1143">
        <f>IFERROR(VLOOKUP(CONCATENATE(E406,G406),'LAC 103'!$A$12:$O$95,11,FALSE),0)</f>
        <v>2.483156209074918</v>
      </c>
      <c r="S406" s="1144">
        <f>IFERROR(VLOOKUP(CONCATENATE($E406,$G406),'LAC 103'!$A$12:$O$95,12,FALSE),0)</f>
        <v>3.07</v>
      </c>
      <c r="T406" s="1144">
        <f>IFERROR(VLOOKUP(CONCATENATE($E406,$G406),'LAC 103'!$A$12:$O$95,13,FALSE),0)</f>
        <v>1.92</v>
      </c>
      <c r="U406" s="1144">
        <f>IFERROR(VLOOKUP(CONCATENATE($E406,$G406),'LAC 103'!$A$12:$O$95,14,FALSE),0)</f>
        <v>0</v>
      </c>
      <c r="V406" s="1144">
        <f>IFERROR(VLOOKUP(CONCATENATE($E406,$G406),'LAC 103'!$A$12:$O$95,15,FALSE),0)</f>
        <v>0</v>
      </c>
      <c r="W406" s="1145" t="str">
        <f>IFERROR(VLOOKUP(CONCATENATE($B406,$N406),'LAC 103'!$AI:$AQ,9,FALSE),"")</f>
        <v>Costs</v>
      </c>
      <c r="X406" s="1146">
        <f t="shared" si="114"/>
        <v>2.483156209074918</v>
      </c>
      <c r="Y406" s="1143">
        <f t="shared" si="115"/>
        <v>5641.7309070182137</v>
      </c>
      <c r="Z406" s="1147">
        <f t="shared" si="116"/>
        <v>6975.04</v>
      </c>
      <c r="AA406" s="1144">
        <f t="shared" si="117"/>
        <v>4362.24</v>
      </c>
      <c r="AB406" s="1144">
        <f t="shared" si="118"/>
        <v>0</v>
      </c>
      <c r="AC406" s="1144">
        <f t="shared" si="119"/>
        <v>0</v>
      </c>
      <c r="AD406" s="1148">
        <f t="shared" si="110"/>
        <v>5641.7309070182137</v>
      </c>
      <c r="AE406" s="1487">
        <v>0</v>
      </c>
      <c r="AF406" s="1145">
        <f t="shared" si="120"/>
        <v>5641.7309070182137</v>
      </c>
      <c r="AG406" s="1149">
        <f>IFERROR(VLOOKUP(CONCATENATE($L406,$N406),'Drop List'!$G$23:$K$87,2,FALSE),0)</f>
        <v>0</v>
      </c>
      <c r="AH406" s="1150">
        <f>IFERROR(VLOOKUP(CONCATENATE($L406,$N406),'Drop List'!$G$23:$K$87,3,FALSE),0)</f>
        <v>0</v>
      </c>
      <c r="AI406" s="1150">
        <f>IFERROR(VLOOKUP(CONCATENATE($L406,$N406),'Drop List'!$G$23:$K$87,4,FALSE),0)</f>
        <v>0</v>
      </c>
      <c r="AJ406" s="1151">
        <f>IFERROR(VLOOKUP(CONCATENATE($L406,$N406),'Drop List'!$G$23:$K$87,5,FALSE),0)</f>
        <v>0</v>
      </c>
      <c r="AK406" s="1152">
        <f t="shared" si="121"/>
        <v>0</v>
      </c>
      <c r="AL406" s="1153">
        <f t="shared" si="122"/>
        <v>0</v>
      </c>
      <c r="AM406" s="1153">
        <f t="shared" si="123"/>
        <v>0</v>
      </c>
      <c r="AN406" s="1145">
        <f t="shared" si="124"/>
        <v>0</v>
      </c>
      <c r="AO406" s="1154">
        <f t="shared" si="125"/>
        <v>0</v>
      </c>
      <c r="AP406" s="1147">
        <f t="shared" si="111"/>
        <v>5641.7309070182137</v>
      </c>
      <c r="AQ406" s="1144">
        <f t="shared" si="112"/>
        <v>0</v>
      </c>
      <c r="AR406" s="1146">
        <f t="shared" si="113"/>
        <v>5641.7309070182137</v>
      </c>
    </row>
    <row r="407" spans="1:44" x14ac:dyDescent="0.2">
      <c r="A407" s="1141" t="str">
        <f t="shared" si="108"/>
        <v>1505</v>
      </c>
      <c r="B407" s="1141" t="str">
        <f>IFERROR(VLOOKUP(A407,'LAC 103'!A:C,3,FALSE),"")</f>
        <v>OP</v>
      </c>
      <c r="C407" s="1478" t="str">
        <f>Info!$B$8</f>
        <v>00100</v>
      </c>
      <c r="D407" s="1474" t="s">
        <v>256</v>
      </c>
      <c r="E407" s="1474" t="s">
        <v>95</v>
      </c>
      <c r="F407" s="1478" t="s">
        <v>45</v>
      </c>
      <c r="G407" s="1478" t="s">
        <v>45</v>
      </c>
      <c r="H407" s="1474" t="s">
        <v>1657</v>
      </c>
      <c r="I407" s="1478" t="s">
        <v>809</v>
      </c>
      <c r="J407" s="1478" t="s">
        <v>123</v>
      </c>
      <c r="K407" s="1475" t="s">
        <v>846</v>
      </c>
      <c r="L407" s="1474" t="s">
        <v>332</v>
      </c>
      <c r="M407" s="1476" t="s">
        <v>1699</v>
      </c>
      <c r="N407" s="1477" t="s">
        <v>1694</v>
      </c>
      <c r="O407" s="1479">
        <v>577</v>
      </c>
      <c r="P407" s="1479"/>
      <c r="Q407" s="1142">
        <f t="shared" si="109"/>
        <v>577</v>
      </c>
      <c r="R407" s="1143">
        <f>IFERROR(VLOOKUP(CONCATENATE(E407,G407),'LAC 103'!$A$12:$O$95,11,FALSE),0)</f>
        <v>2.483156209074918</v>
      </c>
      <c r="S407" s="1144">
        <f>IFERROR(VLOOKUP(CONCATENATE($E407,$G407),'LAC 103'!$A$12:$O$95,12,FALSE),0)</f>
        <v>3.07</v>
      </c>
      <c r="T407" s="1144">
        <f>IFERROR(VLOOKUP(CONCATENATE($E407,$G407),'LAC 103'!$A$12:$O$95,13,FALSE),0)</f>
        <v>1.92</v>
      </c>
      <c r="U407" s="1144">
        <f>IFERROR(VLOOKUP(CONCATENATE($E407,$G407),'LAC 103'!$A$12:$O$95,14,FALSE),0)</f>
        <v>0</v>
      </c>
      <c r="V407" s="1144">
        <f>IFERROR(VLOOKUP(CONCATENATE($E407,$G407),'LAC 103'!$A$12:$O$95,15,FALSE),0)</f>
        <v>0</v>
      </c>
      <c r="W407" s="1145" t="str">
        <f>IFERROR(VLOOKUP(CONCATENATE($B407,$N407),'LAC 103'!$AI:$AQ,9,FALSE),"")</f>
        <v>Costs</v>
      </c>
      <c r="X407" s="1146">
        <f t="shared" si="114"/>
        <v>2.483156209074918</v>
      </c>
      <c r="Y407" s="1143">
        <f t="shared" si="115"/>
        <v>1432.7811326362278</v>
      </c>
      <c r="Z407" s="1147">
        <f t="shared" si="116"/>
        <v>1771.3899999999999</v>
      </c>
      <c r="AA407" s="1144">
        <f t="shared" si="117"/>
        <v>1107.8399999999999</v>
      </c>
      <c r="AB407" s="1144">
        <f t="shared" si="118"/>
        <v>0</v>
      </c>
      <c r="AC407" s="1144">
        <f t="shared" si="119"/>
        <v>0</v>
      </c>
      <c r="AD407" s="1148">
        <f t="shared" si="110"/>
        <v>1432.7811326362278</v>
      </c>
      <c r="AE407" s="1487">
        <v>0</v>
      </c>
      <c r="AF407" s="1145">
        <f t="shared" si="120"/>
        <v>1432.7811326362278</v>
      </c>
      <c r="AG407" s="1149">
        <f>IFERROR(VLOOKUP(CONCATENATE($L407,$N407),'Drop List'!$G$23:$K$87,2,FALSE),0)</f>
        <v>0</v>
      </c>
      <c r="AH407" s="1150">
        <f>IFERROR(VLOOKUP(CONCATENATE($L407,$N407),'Drop List'!$G$23:$K$87,3,FALSE),0)</f>
        <v>0</v>
      </c>
      <c r="AI407" s="1150">
        <f>IFERROR(VLOOKUP(CONCATENATE($L407,$N407),'Drop List'!$G$23:$K$87,4,FALSE),0)</f>
        <v>0</v>
      </c>
      <c r="AJ407" s="1151">
        <f>IFERROR(VLOOKUP(CONCATENATE($L407,$N407),'Drop List'!$G$23:$K$87,5,FALSE),0)</f>
        <v>0</v>
      </c>
      <c r="AK407" s="1152">
        <f t="shared" si="121"/>
        <v>0</v>
      </c>
      <c r="AL407" s="1153">
        <f t="shared" si="122"/>
        <v>0</v>
      </c>
      <c r="AM407" s="1153">
        <f t="shared" si="123"/>
        <v>0</v>
      </c>
      <c r="AN407" s="1145">
        <f t="shared" si="124"/>
        <v>0</v>
      </c>
      <c r="AO407" s="1154">
        <f t="shared" si="125"/>
        <v>0</v>
      </c>
      <c r="AP407" s="1147">
        <f t="shared" si="111"/>
        <v>1432.7811326362278</v>
      </c>
      <c r="AQ407" s="1144">
        <f t="shared" si="112"/>
        <v>0</v>
      </c>
      <c r="AR407" s="1146">
        <f t="shared" si="113"/>
        <v>1432.7811326362278</v>
      </c>
    </row>
    <row r="408" spans="1:44" x14ac:dyDescent="0.2">
      <c r="A408" s="1141" t="str">
        <f t="shared" si="108"/>
        <v>1505</v>
      </c>
      <c r="B408" s="1141" t="str">
        <f>IFERROR(VLOOKUP(A408,'LAC 103'!A:C,3,FALSE),"")</f>
        <v>OP</v>
      </c>
      <c r="C408" s="1478" t="str">
        <f>Info!$B$8</f>
        <v>00100</v>
      </c>
      <c r="D408" s="1474" t="s">
        <v>256</v>
      </c>
      <c r="E408" s="1474" t="s">
        <v>95</v>
      </c>
      <c r="F408" s="1478" t="s">
        <v>45</v>
      </c>
      <c r="G408" s="1478" t="s">
        <v>45</v>
      </c>
      <c r="H408" s="1474" t="s">
        <v>1657</v>
      </c>
      <c r="I408" s="1478" t="s">
        <v>809</v>
      </c>
      <c r="J408" s="1478"/>
      <c r="K408" s="1475" t="s">
        <v>846</v>
      </c>
      <c r="L408" s="1474" t="s">
        <v>332</v>
      </c>
      <c r="M408" s="1476" t="s">
        <v>841</v>
      </c>
      <c r="N408" s="1477" t="s">
        <v>1695</v>
      </c>
      <c r="O408" s="1479">
        <v>450</v>
      </c>
      <c r="P408" s="1479"/>
      <c r="Q408" s="1142">
        <f t="shared" si="109"/>
        <v>450</v>
      </c>
      <c r="R408" s="1143">
        <f>IFERROR(VLOOKUP(CONCATENATE(E408,G408),'LAC 103'!$A$12:$O$95,11,FALSE),0)</f>
        <v>2.483156209074918</v>
      </c>
      <c r="S408" s="1144">
        <f>IFERROR(VLOOKUP(CONCATENATE($E408,$G408),'LAC 103'!$A$12:$O$95,12,FALSE),0)</f>
        <v>3.07</v>
      </c>
      <c r="T408" s="1144">
        <f>IFERROR(VLOOKUP(CONCATENATE($E408,$G408),'LAC 103'!$A$12:$O$95,13,FALSE),0)</f>
        <v>1.92</v>
      </c>
      <c r="U408" s="1144">
        <f>IFERROR(VLOOKUP(CONCATENATE($E408,$G408),'LAC 103'!$A$12:$O$95,14,FALSE),0)</f>
        <v>0</v>
      </c>
      <c r="V408" s="1144">
        <f>IFERROR(VLOOKUP(CONCATENATE($E408,$G408),'LAC 103'!$A$12:$O$95,15,FALSE),0)</f>
        <v>0</v>
      </c>
      <c r="W408" s="1145" t="str">
        <f>IFERROR(VLOOKUP(CONCATENATE($B408,$N408),'LAC 103'!$AI:$AQ,9,FALSE),"")</f>
        <v>Costs</v>
      </c>
      <c r="X408" s="1146">
        <f t="shared" si="114"/>
        <v>2.483156209074918</v>
      </c>
      <c r="Y408" s="1143">
        <f t="shared" si="115"/>
        <v>1117.4202940837131</v>
      </c>
      <c r="Z408" s="1147">
        <f t="shared" si="116"/>
        <v>1381.5</v>
      </c>
      <c r="AA408" s="1144">
        <f t="shared" si="117"/>
        <v>864</v>
      </c>
      <c r="AB408" s="1144">
        <f t="shared" si="118"/>
        <v>0</v>
      </c>
      <c r="AC408" s="1144">
        <f t="shared" si="119"/>
        <v>0</v>
      </c>
      <c r="AD408" s="1148">
        <f t="shared" si="110"/>
        <v>1117.4202940837131</v>
      </c>
      <c r="AE408" s="1487">
        <v>0</v>
      </c>
      <c r="AF408" s="1145">
        <f t="shared" si="120"/>
        <v>1117.4202940837131</v>
      </c>
      <c r="AG408" s="1149">
        <f>IFERROR(VLOOKUP(CONCATENATE($L408,$N408),'Drop List'!$G$23:$K$87,2,FALSE),0)</f>
        <v>0</v>
      </c>
      <c r="AH408" s="1150">
        <f>IFERROR(VLOOKUP(CONCATENATE($L408,$N408),'Drop List'!$G$23:$K$87,3,FALSE),0)</f>
        <v>0</v>
      </c>
      <c r="AI408" s="1150">
        <f>IFERROR(VLOOKUP(CONCATENATE($L408,$N408),'Drop List'!$G$23:$K$87,4,FALSE),0)</f>
        <v>0</v>
      </c>
      <c r="AJ408" s="1151">
        <f>IFERROR(VLOOKUP(CONCATENATE($L408,$N408),'Drop List'!$G$23:$K$87,5,FALSE),0)</f>
        <v>0</v>
      </c>
      <c r="AK408" s="1152">
        <f t="shared" si="121"/>
        <v>0</v>
      </c>
      <c r="AL408" s="1153">
        <f t="shared" si="122"/>
        <v>0</v>
      </c>
      <c r="AM408" s="1153">
        <f t="shared" si="123"/>
        <v>0</v>
      </c>
      <c r="AN408" s="1145">
        <f t="shared" si="124"/>
        <v>0</v>
      </c>
      <c r="AO408" s="1154">
        <f t="shared" si="125"/>
        <v>0</v>
      </c>
      <c r="AP408" s="1147">
        <f t="shared" si="111"/>
        <v>1117.4202940837131</v>
      </c>
      <c r="AQ408" s="1144">
        <f t="shared" si="112"/>
        <v>0</v>
      </c>
      <c r="AR408" s="1146">
        <f t="shared" si="113"/>
        <v>1117.4202940837131</v>
      </c>
    </row>
    <row r="409" spans="1:44" x14ac:dyDescent="0.2">
      <c r="A409" s="1141" t="str">
        <f t="shared" si="108"/>
        <v>1505</v>
      </c>
      <c r="B409" s="1141" t="str">
        <f>IFERROR(VLOOKUP(A409,'LAC 103'!A:C,3,FALSE),"")</f>
        <v>OP</v>
      </c>
      <c r="C409" s="1478" t="str">
        <f>Info!$B$8</f>
        <v>00100</v>
      </c>
      <c r="D409" s="1474" t="s">
        <v>256</v>
      </c>
      <c r="E409" s="1474" t="s">
        <v>95</v>
      </c>
      <c r="F409" s="1478" t="s">
        <v>45</v>
      </c>
      <c r="G409" s="1478" t="s">
        <v>45</v>
      </c>
      <c r="H409" s="1474" t="s">
        <v>1657</v>
      </c>
      <c r="I409" s="1478" t="s">
        <v>809</v>
      </c>
      <c r="J409" s="1478"/>
      <c r="K409" s="1475" t="s">
        <v>846</v>
      </c>
      <c r="L409" s="1474" t="s">
        <v>332</v>
      </c>
      <c r="M409" s="1476" t="s">
        <v>840</v>
      </c>
      <c r="N409" s="1477" t="s">
        <v>1700</v>
      </c>
      <c r="O409" s="1479">
        <v>505</v>
      </c>
      <c r="P409" s="1479"/>
      <c r="Q409" s="1142">
        <f t="shared" si="109"/>
        <v>505</v>
      </c>
      <c r="R409" s="1143">
        <f>IFERROR(VLOOKUP(CONCATENATE(E409,G409),'LAC 103'!$A$12:$O$95,11,FALSE),0)</f>
        <v>2.483156209074918</v>
      </c>
      <c r="S409" s="1144">
        <f>IFERROR(VLOOKUP(CONCATENATE($E409,$G409),'LAC 103'!$A$12:$O$95,12,FALSE),0)</f>
        <v>3.07</v>
      </c>
      <c r="T409" s="1144">
        <f>IFERROR(VLOOKUP(CONCATENATE($E409,$G409),'LAC 103'!$A$12:$O$95,13,FALSE),0)</f>
        <v>1.92</v>
      </c>
      <c r="U409" s="1144">
        <f>IFERROR(VLOOKUP(CONCATENATE($E409,$G409),'LAC 103'!$A$12:$O$95,14,FALSE),0)</f>
        <v>0</v>
      </c>
      <c r="V409" s="1144">
        <f>IFERROR(VLOOKUP(CONCATENATE($E409,$G409),'LAC 103'!$A$12:$O$95,15,FALSE),0)</f>
        <v>0</v>
      </c>
      <c r="W409" s="1145" t="str">
        <f>IFERROR(VLOOKUP(CONCATENATE($B409,$N409),'LAC 103'!$AI:$AQ,9,FALSE),"")</f>
        <v>P.C.</v>
      </c>
      <c r="X409" s="1146">
        <f t="shared" si="114"/>
        <v>1.92</v>
      </c>
      <c r="Y409" s="1143">
        <f t="shared" si="115"/>
        <v>1253.9938855828336</v>
      </c>
      <c r="Z409" s="1147">
        <f t="shared" si="116"/>
        <v>1550.35</v>
      </c>
      <c r="AA409" s="1144">
        <f t="shared" si="117"/>
        <v>969.59999999999991</v>
      </c>
      <c r="AB409" s="1144">
        <f t="shared" si="118"/>
        <v>0</v>
      </c>
      <c r="AC409" s="1144">
        <f t="shared" si="119"/>
        <v>0</v>
      </c>
      <c r="AD409" s="1148">
        <f t="shared" si="110"/>
        <v>969.59999999999991</v>
      </c>
      <c r="AE409" s="1487">
        <v>0</v>
      </c>
      <c r="AF409" s="1145">
        <f t="shared" si="120"/>
        <v>969.59999999999991</v>
      </c>
      <c r="AG409" s="1149">
        <f>IFERROR(VLOOKUP(CONCATENATE($L409,$N409),'Drop List'!$G$23:$K$87,2,FALSE),0)</f>
        <v>0</v>
      </c>
      <c r="AH409" s="1150">
        <f>IFERROR(VLOOKUP(CONCATENATE($L409,$N409),'Drop List'!$G$23:$K$87,3,FALSE),0)</f>
        <v>0</v>
      </c>
      <c r="AI409" s="1150">
        <f>IFERROR(VLOOKUP(CONCATENATE($L409,$N409),'Drop List'!$G$23:$K$87,4,FALSE),0)</f>
        <v>0</v>
      </c>
      <c r="AJ409" s="1151">
        <f>IFERROR(VLOOKUP(CONCATENATE($L409,$N409),'Drop List'!$G$23:$K$87,5,FALSE),0)</f>
        <v>0</v>
      </c>
      <c r="AK409" s="1152">
        <f t="shared" si="121"/>
        <v>0</v>
      </c>
      <c r="AL409" s="1153">
        <f t="shared" si="122"/>
        <v>0</v>
      </c>
      <c r="AM409" s="1153">
        <f t="shared" si="123"/>
        <v>0</v>
      </c>
      <c r="AN409" s="1145">
        <f t="shared" si="124"/>
        <v>0</v>
      </c>
      <c r="AO409" s="1154">
        <f t="shared" si="125"/>
        <v>0</v>
      </c>
      <c r="AP409" s="1147">
        <f t="shared" si="111"/>
        <v>969.59999999999991</v>
      </c>
      <c r="AQ409" s="1144">
        <f t="shared" si="112"/>
        <v>0</v>
      </c>
      <c r="AR409" s="1146">
        <f t="shared" si="113"/>
        <v>969.59999999999991</v>
      </c>
    </row>
    <row r="410" spans="1:44" x14ac:dyDescent="0.2">
      <c r="A410" s="1141" t="str">
        <f t="shared" si="108"/>
        <v>1505</v>
      </c>
      <c r="B410" s="1141" t="str">
        <f>IFERROR(VLOOKUP(A410,'LAC 103'!A:C,3,FALSE),"")</f>
        <v>OP</v>
      </c>
      <c r="C410" s="1478" t="str">
        <f>Info!$B$8</f>
        <v>00100</v>
      </c>
      <c r="D410" s="1474" t="s">
        <v>256</v>
      </c>
      <c r="E410" s="1474" t="s">
        <v>95</v>
      </c>
      <c r="F410" s="1478" t="s">
        <v>45</v>
      </c>
      <c r="G410" s="1478" t="s">
        <v>45</v>
      </c>
      <c r="H410" s="1474" t="s">
        <v>1657</v>
      </c>
      <c r="I410" s="1478" t="s">
        <v>809</v>
      </c>
      <c r="J410" s="1478"/>
      <c r="K410" s="1475" t="s">
        <v>846</v>
      </c>
      <c r="L410" s="1474" t="s">
        <v>332</v>
      </c>
      <c r="M410" s="1476" t="s">
        <v>842</v>
      </c>
      <c r="N410" s="1477" t="s">
        <v>1692</v>
      </c>
      <c r="O410" s="1479">
        <v>682</v>
      </c>
      <c r="P410" s="1479"/>
      <c r="Q410" s="1142">
        <f t="shared" si="109"/>
        <v>682</v>
      </c>
      <c r="R410" s="1143">
        <f>IFERROR(VLOOKUP(CONCATENATE(E410,G410),'LAC 103'!$A$12:$O$95,11,FALSE),0)</f>
        <v>2.483156209074918</v>
      </c>
      <c r="S410" s="1144">
        <f>IFERROR(VLOOKUP(CONCATENATE($E410,$G410),'LAC 103'!$A$12:$O$95,12,FALSE),0)</f>
        <v>3.07</v>
      </c>
      <c r="T410" s="1144">
        <f>IFERROR(VLOOKUP(CONCATENATE($E410,$G410),'LAC 103'!$A$12:$O$95,13,FALSE),0)</f>
        <v>1.92</v>
      </c>
      <c r="U410" s="1144">
        <f>IFERROR(VLOOKUP(CONCATENATE($E410,$G410),'LAC 103'!$A$12:$O$95,14,FALSE),0)</f>
        <v>0</v>
      </c>
      <c r="V410" s="1144">
        <f>IFERROR(VLOOKUP(CONCATENATE($E410,$G410),'LAC 103'!$A$12:$O$95,15,FALSE),0)</f>
        <v>0</v>
      </c>
      <c r="W410" s="1145" t="str">
        <f>IFERROR(VLOOKUP(CONCATENATE($B410,$N410),'LAC 103'!$AI:$AQ,9,FALSE),"")</f>
        <v>Costs</v>
      </c>
      <c r="X410" s="1146">
        <f t="shared" si="114"/>
        <v>2.483156209074918</v>
      </c>
      <c r="Y410" s="1143">
        <f t="shared" si="115"/>
        <v>1693.512534589094</v>
      </c>
      <c r="Z410" s="1147">
        <f t="shared" si="116"/>
        <v>2093.7399999999998</v>
      </c>
      <c r="AA410" s="1144">
        <f t="shared" si="117"/>
        <v>1309.44</v>
      </c>
      <c r="AB410" s="1144">
        <f t="shared" si="118"/>
        <v>0</v>
      </c>
      <c r="AC410" s="1144">
        <f t="shared" si="119"/>
        <v>0</v>
      </c>
      <c r="AD410" s="1148">
        <f t="shared" si="110"/>
        <v>1693.512534589094</v>
      </c>
      <c r="AE410" s="1487">
        <v>0</v>
      </c>
      <c r="AF410" s="1145">
        <f t="shared" si="120"/>
        <v>1693.512534589094</v>
      </c>
      <c r="AG410" s="1149">
        <f>IFERROR(VLOOKUP(CONCATENATE($L410,$N410),'Drop List'!$G$23:$K$87,2,FALSE),0)</f>
        <v>0</v>
      </c>
      <c r="AH410" s="1150">
        <f>IFERROR(VLOOKUP(CONCATENATE($L410,$N410),'Drop List'!$G$23:$K$87,3,FALSE),0)</f>
        <v>0</v>
      </c>
      <c r="AI410" s="1150">
        <f>IFERROR(VLOOKUP(CONCATENATE($L410,$N410),'Drop List'!$G$23:$K$87,4,FALSE),0)</f>
        <v>0</v>
      </c>
      <c r="AJ410" s="1151">
        <f>IFERROR(VLOOKUP(CONCATENATE($L410,$N410),'Drop List'!$G$23:$K$87,5,FALSE),0)</f>
        <v>0</v>
      </c>
      <c r="AK410" s="1152">
        <f t="shared" si="121"/>
        <v>0</v>
      </c>
      <c r="AL410" s="1153">
        <f t="shared" si="122"/>
        <v>0</v>
      </c>
      <c r="AM410" s="1153">
        <f t="shared" si="123"/>
        <v>0</v>
      </c>
      <c r="AN410" s="1145">
        <f t="shared" si="124"/>
        <v>0</v>
      </c>
      <c r="AO410" s="1154">
        <f t="shared" si="125"/>
        <v>0</v>
      </c>
      <c r="AP410" s="1147">
        <f t="shared" si="111"/>
        <v>1693.512534589094</v>
      </c>
      <c r="AQ410" s="1144">
        <f t="shared" si="112"/>
        <v>0</v>
      </c>
      <c r="AR410" s="1146">
        <f t="shared" si="113"/>
        <v>1693.512534589094</v>
      </c>
    </row>
    <row r="411" spans="1:44" x14ac:dyDescent="0.2">
      <c r="A411" s="1141" t="str">
        <f t="shared" si="108"/>
        <v>1505</v>
      </c>
      <c r="B411" s="1141" t="str">
        <f>IFERROR(VLOOKUP(A411,'LAC 103'!A:C,3,FALSE),"")</f>
        <v>OP</v>
      </c>
      <c r="C411" s="1478" t="str">
        <f>Info!$B$8</f>
        <v>00100</v>
      </c>
      <c r="D411" s="1474" t="s">
        <v>256</v>
      </c>
      <c r="E411" s="1474" t="s">
        <v>95</v>
      </c>
      <c r="F411" s="1478" t="s">
        <v>45</v>
      </c>
      <c r="G411" s="1478" t="s">
        <v>45</v>
      </c>
      <c r="H411" s="1474" t="s">
        <v>1657</v>
      </c>
      <c r="I411" s="1478" t="s">
        <v>809</v>
      </c>
      <c r="J411" s="1478"/>
      <c r="K411" s="1475" t="s">
        <v>846</v>
      </c>
      <c r="L411" s="1474" t="s">
        <v>332</v>
      </c>
      <c r="M411" s="1476" t="s">
        <v>1698</v>
      </c>
      <c r="N411" s="1477" t="s">
        <v>1693</v>
      </c>
      <c r="O411" s="1479">
        <v>741</v>
      </c>
      <c r="P411" s="1479"/>
      <c r="Q411" s="1142">
        <f t="shared" si="109"/>
        <v>741</v>
      </c>
      <c r="R411" s="1143">
        <f>IFERROR(VLOOKUP(CONCATENATE(E411,G411),'LAC 103'!$A$12:$O$95,11,FALSE),0)</f>
        <v>2.483156209074918</v>
      </c>
      <c r="S411" s="1144">
        <f>IFERROR(VLOOKUP(CONCATENATE($E411,$G411),'LAC 103'!$A$12:$O$95,12,FALSE),0)</f>
        <v>3.07</v>
      </c>
      <c r="T411" s="1144">
        <f>IFERROR(VLOOKUP(CONCATENATE($E411,$G411),'LAC 103'!$A$12:$O$95,13,FALSE),0)</f>
        <v>1.92</v>
      </c>
      <c r="U411" s="1144">
        <f>IFERROR(VLOOKUP(CONCATENATE($E411,$G411),'LAC 103'!$A$12:$O$95,14,FALSE),0)</f>
        <v>0</v>
      </c>
      <c r="V411" s="1144">
        <f>IFERROR(VLOOKUP(CONCATENATE($E411,$G411),'LAC 103'!$A$12:$O$95,15,FALSE),0)</f>
        <v>0</v>
      </c>
      <c r="W411" s="1145" t="str">
        <f>IFERROR(VLOOKUP(CONCATENATE($B411,$N411),'LAC 103'!$AI:$AQ,9,FALSE),"")</f>
        <v>Costs</v>
      </c>
      <c r="X411" s="1146">
        <f t="shared" si="114"/>
        <v>2.483156209074918</v>
      </c>
      <c r="Y411" s="1143">
        <f t="shared" si="115"/>
        <v>1840.0187509245143</v>
      </c>
      <c r="Z411" s="1147">
        <f t="shared" si="116"/>
        <v>2274.87</v>
      </c>
      <c r="AA411" s="1144">
        <f t="shared" si="117"/>
        <v>1422.72</v>
      </c>
      <c r="AB411" s="1144">
        <f t="shared" si="118"/>
        <v>0</v>
      </c>
      <c r="AC411" s="1144">
        <f t="shared" si="119"/>
        <v>0</v>
      </c>
      <c r="AD411" s="1148">
        <f t="shared" si="110"/>
        <v>1840.0187509245143</v>
      </c>
      <c r="AE411" s="1487">
        <v>0</v>
      </c>
      <c r="AF411" s="1145">
        <f t="shared" si="120"/>
        <v>1840.0187509245143</v>
      </c>
      <c r="AG411" s="1149">
        <f>IFERROR(VLOOKUP(CONCATENATE($L411,$N411),'Drop List'!$G$23:$K$87,2,FALSE),0)</f>
        <v>0</v>
      </c>
      <c r="AH411" s="1150">
        <f>IFERROR(VLOOKUP(CONCATENATE($L411,$N411),'Drop List'!$G$23:$K$87,3,FALSE),0)</f>
        <v>0</v>
      </c>
      <c r="AI411" s="1150">
        <f>IFERROR(VLOOKUP(CONCATENATE($L411,$N411),'Drop List'!$G$23:$K$87,4,FALSE),0)</f>
        <v>0</v>
      </c>
      <c r="AJ411" s="1151">
        <f>IFERROR(VLOOKUP(CONCATENATE($L411,$N411),'Drop List'!$G$23:$K$87,5,FALSE),0)</f>
        <v>0</v>
      </c>
      <c r="AK411" s="1152">
        <f t="shared" si="121"/>
        <v>0</v>
      </c>
      <c r="AL411" s="1153">
        <f t="shared" si="122"/>
        <v>0</v>
      </c>
      <c r="AM411" s="1153">
        <f t="shared" si="123"/>
        <v>0</v>
      </c>
      <c r="AN411" s="1145">
        <f t="shared" si="124"/>
        <v>0</v>
      </c>
      <c r="AO411" s="1154">
        <f t="shared" si="125"/>
        <v>0</v>
      </c>
      <c r="AP411" s="1147">
        <f t="shared" si="111"/>
        <v>1840.0187509245143</v>
      </c>
      <c r="AQ411" s="1144">
        <f t="shared" si="112"/>
        <v>0</v>
      </c>
      <c r="AR411" s="1146">
        <f t="shared" si="113"/>
        <v>1840.0187509245143</v>
      </c>
    </row>
    <row r="412" spans="1:44" x14ac:dyDescent="0.2">
      <c r="A412" s="1141" t="str">
        <f t="shared" si="108"/>
        <v>1505</v>
      </c>
      <c r="B412" s="1141" t="str">
        <f>IFERROR(VLOOKUP(A412,'LAC 103'!A:C,3,FALSE),"")</f>
        <v>OP</v>
      </c>
      <c r="C412" s="1478" t="str">
        <f>Info!$B$8</f>
        <v>00100</v>
      </c>
      <c r="D412" s="1474" t="s">
        <v>256</v>
      </c>
      <c r="E412" s="1474" t="s">
        <v>95</v>
      </c>
      <c r="F412" s="1478" t="s">
        <v>45</v>
      </c>
      <c r="G412" s="1478" t="s">
        <v>45</v>
      </c>
      <c r="H412" s="1474" t="s">
        <v>1659</v>
      </c>
      <c r="I412" s="1478" t="s">
        <v>807</v>
      </c>
      <c r="J412" s="1478" t="s">
        <v>123</v>
      </c>
      <c r="K412" s="1475" t="s">
        <v>846</v>
      </c>
      <c r="L412" s="1474" t="s">
        <v>332</v>
      </c>
      <c r="M412" s="1476" t="s">
        <v>1699</v>
      </c>
      <c r="N412" s="1477" t="s">
        <v>1694</v>
      </c>
      <c r="O412" s="1479">
        <v>2187</v>
      </c>
      <c r="P412" s="1479"/>
      <c r="Q412" s="1142">
        <f t="shared" si="109"/>
        <v>2187</v>
      </c>
      <c r="R412" s="1143">
        <f>IFERROR(VLOOKUP(CONCATENATE(E412,G412),'LAC 103'!$A$12:$O$95,11,FALSE),0)</f>
        <v>2.483156209074918</v>
      </c>
      <c r="S412" s="1144">
        <f>IFERROR(VLOOKUP(CONCATENATE($E412,$G412),'LAC 103'!$A$12:$O$95,12,FALSE),0)</f>
        <v>3.07</v>
      </c>
      <c r="T412" s="1144">
        <f>IFERROR(VLOOKUP(CONCATENATE($E412,$G412),'LAC 103'!$A$12:$O$95,13,FALSE),0)</f>
        <v>1.92</v>
      </c>
      <c r="U412" s="1144">
        <f>IFERROR(VLOOKUP(CONCATENATE($E412,$G412),'LAC 103'!$A$12:$O$95,14,FALSE),0)</f>
        <v>0</v>
      </c>
      <c r="V412" s="1144">
        <f>IFERROR(VLOOKUP(CONCATENATE($E412,$G412),'LAC 103'!$A$12:$O$95,15,FALSE),0)</f>
        <v>0</v>
      </c>
      <c r="W412" s="1145" t="str">
        <f>IFERROR(VLOOKUP(CONCATENATE($B412,$N412),'LAC 103'!$AI:$AQ,9,FALSE),"")</f>
        <v>Costs</v>
      </c>
      <c r="X412" s="1146">
        <f t="shared" si="114"/>
        <v>2.483156209074918</v>
      </c>
      <c r="Y412" s="1143">
        <f t="shared" si="115"/>
        <v>5430.6626292468454</v>
      </c>
      <c r="Z412" s="1147">
        <f t="shared" si="116"/>
        <v>6714.0899999999992</v>
      </c>
      <c r="AA412" s="1144">
        <f t="shared" si="117"/>
        <v>4199.04</v>
      </c>
      <c r="AB412" s="1144">
        <f t="shared" si="118"/>
        <v>0</v>
      </c>
      <c r="AC412" s="1144">
        <f t="shared" si="119"/>
        <v>0</v>
      </c>
      <c r="AD412" s="1148">
        <f t="shared" si="110"/>
        <v>5430.6626292468454</v>
      </c>
      <c r="AE412" s="1487">
        <v>0</v>
      </c>
      <c r="AF412" s="1145">
        <f t="shared" si="120"/>
        <v>5430.6626292468454</v>
      </c>
      <c r="AG412" s="1149">
        <f>IFERROR(VLOOKUP(CONCATENATE($L412,$N412),'Drop List'!$G$23:$K$87,2,FALSE),0)</f>
        <v>0</v>
      </c>
      <c r="AH412" s="1150">
        <f>IFERROR(VLOOKUP(CONCATENATE($L412,$N412),'Drop List'!$G$23:$K$87,3,FALSE),0)</f>
        <v>0</v>
      </c>
      <c r="AI412" s="1150">
        <f>IFERROR(VLOOKUP(CONCATENATE($L412,$N412),'Drop List'!$G$23:$K$87,4,FALSE),0)</f>
        <v>0</v>
      </c>
      <c r="AJ412" s="1151">
        <f>IFERROR(VLOOKUP(CONCATENATE($L412,$N412),'Drop List'!$G$23:$K$87,5,FALSE),0)</f>
        <v>0</v>
      </c>
      <c r="AK412" s="1152">
        <f t="shared" si="121"/>
        <v>0</v>
      </c>
      <c r="AL412" s="1153">
        <f t="shared" si="122"/>
        <v>0</v>
      </c>
      <c r="AM412" s="1153">
        <f t="shared" si="123"/>
        <v>0</v>
      </c>
      <c r="AN412" s="1145">
        <f t="shared" si="124"/>
        <v>0</v>
      </c>
      <c r="AO412" s="1154">
        <f t="shared" si="125"/>
        <v>0</v>
      </c>
      <c r="AP412" s="1147">
        <f t="shared" si="111"/>
        <v>5430.6626292468454</v>
      </c>
      <c r="AQ412" s="1144">
        <f t="shared" si="112"/>
        <v>0</v>
      </c>
      <c r="AR412" s="1146">
        <f t="shared" si="113"/>
        <v>5430.6626292468454</v>
      </c>
    </row>
    <row r="413" spans="1:44" x14ac:dyDescent="0.2">
      <c r="A413" s="1141" t="str">
        <f t="shared" si="108"/>
        <v>1505</v>
      </c>
      <c r="B413" s="1141" t="str">
        <f>IFERROR(VLOOKUP(A413,'LAC 103'!A:C,3,FALSE),"")</f>
        <v>OP</v>
      </c>
      <c r="C413" s="1478" t="str">
        <f>Info!$B$8</f>
        <v>00100</v>
      </c>
      <c r="D413" s="1474" t="s">
        <v>256</v>
      </c>
      <c r="E413" s="1474" t="s">
        <v>95</v>
      </c>
      <c r="F413" s="1478" t="s">
        <v>45</v>
      </c>
      <c r="G413" s="1478" t="s">
        <v>45</v>
      </c>
      <c r="H413" s="1474" t="s">
        <v>1659</v>
      </c>
      <c r="I413" s="1478" t="s">
        <v>807</v>
      </c>
      <c r="J413" s="1478"/>
      <c r="K413" s="1475" t="s">
        <v>846</v>
      </c>
      <c r="L413" s="1474" t="s">
        <v>332</v>
      </c>
      <c r="M413" s="1476" t="s">
        <v>841</v>
      </c>
      <c r="N413" s="1477" t="s">
        <v>1695</v>
      </c>
      <c r="O413" s="1479">
        <v>668</v>
      </c>
      <c r="P413" s="1479"/>
      <c r="Q413" s="1142">
        <f t="shared" si="109"/>
        <v>668</v>
      </c>
      <c r="R413" s="1143">
        <f>IFERROR(VLOOKUP(CONCATENATE(E413,G413),'LAC 103'!$A$12:$O$95,11,FALSE),0)</f>
        <v>2.483156209074918</v>
      </c>
      <c r="S413" s="1144">
        <f>IFERROR(VLOOKUP(CONCATENATE($E413,$G413),'LAC 103'!$A$12:$O$95,12,FALSE),0)</f>
        <v>3.07</v>
      </c>
      <c r="T413" s="1144">
        <f>IFERROR(VLOOKUP(CONCATENATE($E413,$G413),'LAC 103'!$A$12:$O$95,13,FALSE),0)</f>
        <v>1.92</v>
      </c>
      <c r="U413" s="1144">
        <f>IFERROR(VLOOKUP(CONCATENATE($E413,$G413),'LAC 103'!$A$12:$O$95,14,FALSE),0)</f>
        <v>0</v>
      </c>
      <c r="V413" s="1144">
        <f>IFERROR(VLOOKUP(CONCATENATE($E413,$G413),'LAC 103'!$A$12:$O$95,15,FALSE),0)</f>
        <v>0</v>
      </c>
      <c r="W413" s="1145" t="str">
        <f>IFERROR(VLOOKUP(CONCATENATE($B413,$N413),'LAC 103'!$AI:$AQ,9,FALSE),"")</f>
        <v>Costs</v>
      </c>
      <c r="X413" s="1146">
        <f t="shared" si="114"/>
        <v>2.483156209074918</v>
      </c>
      <c r="Y413" s="1143">
        <f t="shared" si="115"/>
        <v>1658.7483476620453</v>
      </c>
      <c r="Z413" s="1147">
        <f t="shared" si="116"/>
        <v>2050.7599999999998</v>
      </c>
      <c r="AA413" s="1144">
        <f t="shared" si="117"/>
        <v>1282.56</v>
      </c>
      <c r="AB413" s="1144">
        <f t="shared" si="118"/>
        <v>0</v>
      </c>
      <c r="AC413" s="1144">
        <f t="shared" si="119"/>
        <v>0</v>
      </c>
      <c r="AD413" s="1148">
        <f t="shared" si="110"/>
        <v>1658.7483476620453</v>
      </c>
      <c r="AE413" s="1487">
        <v>0</v>
      </c>
      <c r="AF413" s="1145">
        <f t="shared" si="120"/>
        <v>1658.7483476620453</v>
      </c>
      <c r="AG413" s="1149">
        <f>IFERROR(VLOOKUP(CONCATENATE($L413,$N413),'Drop List'!$G$23:$K$87,2,FALSE),0)</f>
        <v>0</v>
      </c>
      <c r="AH413" s="1150">
        <f>IFERROR(VLOOKUP(CONCATENATE($L413,$N413),'Drop List'!$G$23:$K$87,3,FALSE),0)</f>
        <v>0</v>
      </c>
      <c r="AI413" s="1150">
        <f>IFERROR(VLOOKUP(CONCATENATE($L413,$N413),'Drop List'!$G$23:$K$87,4,FALSE),0)</f>
        <v>0</v>
      </c>
      <c r="AJ413" s="1151">
        <f>IFERROR(VLOOKUP(CONCATENATE($L413,$N413),'Drop List'!$G$23:$K$87,5,FALSE),0)</f>
        <v>0</v>
      </c>
      <c r="AK413" s="1152">
        <f t="shared" si="121"/>
        <v>0</v>
      </c>
      <c r="AL413" s="1153">
        <f t="shared" si="122"/>
        <v>0</v>
      </c>
      <c r="AM413" s="1153">
        <f t="shared" si="123"/>
        <v>0</v>
      </c>
      <c r="AN413" s="1145">
        <f t="shared" si="124"/>
        <v>0</v>
      </c>
      <c r="AO413" s="1154">
        <f t="shared" si="125"/>
        <v>0</v>
      </c>
      <c r="AP413" s="1147">
        <f t="shared" si="111"/>
        <v>1658.7483476620453</v>
      </c>
      <c r="AQ413" s="1144">
        <f t="shared" si="112"/>
        <v>0</v>
      </c>
      <c r="AR413" s="1146">
        <f t="shared" si="113"/>
        <v>1658.7483476620453</v>
      </c>
    </row>
    <row r="414" spans="1:44" x14ac:dyDescent="0.2">
      <c r="A414" s="1141" t="str">
        <f t="shared" si="108"/>
        <v>1505</v>
      </c>
      <c r="B414" s="1141" t="str">
        <f>IFERROR(VLOOKUP(A414,'LAC 103'!A:C,3,FALSE),"")</f>
        <v>OP</v>
      </c>
      <c r="C414" s="1478" t="str">
        <f>Info!$B$8</f>
        <v>00100</v>
      </c>
      <c r="D414" s="1474" t="s">
        <v>256</v>
      </c>
      <c r="E414" s="1474" t="s">
        <v>95</v>
      </c>
      <c r="F414" s="1478" t="s">
        <v>45</v>
      </c>
      <c r="G414" s="1478" t="s">
        <v>45</v>
      </c>
      <c r="H414" s="1474" t="s">
        <v>1659</v>
      </c>
      <c r="I414" s="1478" t="s">
        <v>807</v>
      </c>
      <c r="J414" s="1478"/>
      <c r="K414" s="1475" t="s">
        <v>846</v>
      </c>
      <c r="L414" s="1474" t="s">
        <v>332</v>
      </c>
      <c r="M414" s="1476" t="s">
        <v>840</v>
      </c>
      <c r="N414" s="1477" t="s">
        <v>1700</v>
      </c>
      <c r="O414" s="1479">
        <v>410</v>
      </c>
      <c r="P414" s="1479"/>
      <c r="Q414" s="1142">
        <f t="shared" si="109"/>
        <v>410</v>
      </c>
      <c r="R414" s="1143">
        <f>IFERROR(VLOOKUP(CONCATENATE(E414,G414),'LAC 103'!$A$12:$O$95,11,FALSE),0)</f>
        <v>2.483156209074918</v>
      </c>
      <c r="S414" s="1144">
        <f>IFERROR(VLOOKUP(CONCATENATE($E414,$G414),'LAC 103'!$A$12:$O$95,12,FALSE),0)</f>
        <v>3.07</v>
      </c>
      <c r="T414" s="1144">
        <f>IFERROR(VLOOKUP(CONCATENATE($E414,$G414),'LAC 103'!$A$12:$O$95,13,FALSE),0)</f>
        <v>1.92</v>
      </c>
      <c r="U414" s="1144">
        <f>IFERROR(VLOOKUP(CONCATENATE($E414,$G414),'LAC 103'!$A$12:$O$95,14,FALSE),0)</f>
        <v>0</v>
      </c>
      <c r="V414" s="1144">
        <f>IFERROR(VLOOKUP(CONCATENATE($E414,$G414),'LAC 103'!$A$12:$O$95,15,FALSE),0)</f>
        <v>0</v>
      </c>
      <c r="W414" s="1145" t="str">
        <f>IFERROR(VLOOKUP(CONCATENATE($B414,$N414),'LAC 103'!$AI:$AQ,9,FALSE),"")</f>
        <v>P.C.</v>
      </c>
      <c r="X414" s="1146">
        <f t="shared" si="114"/>
        <v>1.92</v>
      </c>
      <c r="Y414" s="1143">
        <f t="shared" si="115"/>
        <v>1018.0940457207164</v>
      </c>
      <c r="Z414" s="1147">
        <f t="shared" si="116"/>
        <v>1258.7</v>
      </c>
      <c r="AA414" s="1144">
        <f t="shared" si="117"/>
        <v>787.19999999999993</v>
      </c>
      <c r="AB414" s="1144">
        <f t="shared" si="118"/>
        <v>0</v>
      </c>
      <c r="AC414" s="1144">
        <f t="shared" si="119"/>
        <v>0</v>
      </c>
      <c r="AD414" s="1148">
        <f t="shared" si="110"/>
        <v>787.19999999999993</v>
      </c>
      <c r="AE414" s="1487">
        <v>0</v>
      </c>
      <c r="AF414" s="1145">
        <f t="shared" si="120"/>
        <v>787.19999999999993</v>
      </c>
      <c r="AG414" s="1149">
        <f>IFERROR(VLOOKUP(CONCATENATE($L414,$N414),'Drop List'!$G$23:$K$87,2,FALSE),0)</f>
        <v>0</v>
      </c>
      <c r="AH414" s="1150">
        <f>IFERROR(VLOOKUP(CONCATENATE($L414,$N414),'Drop List'!$G$23:$K$87,3,FALSE),0)</f>
        <v>0</v>
      </c>
      <c r="AI414" s="1150">
        <f>IFERROR(VLOOKUP(CONCATENATE($L414,$N414),'Drop List'!$G$23:$K$87,4,FALSE),0)</f>
        <v>0</v>
      </c>
      <c r="AJ414" s="1151">
        <f>IFERROR(VLOOKUP(CONCATENATE($L414,$N414),'Drop List'!$G$23:$K$87,5,FALSE),0)</f>
        <v>0</v>
      </c>
      <c r="AK414" s="1152">
        <f t="shared" si="121"/>
        <v>0</v>
      </c>
      <c r="AL414" s="1153">
        <f t="shared" si="122"/>
        <v>0</v>
      </c>
      <c r="AM414" s="1153">
        <f t="shared" si="123"/>
        <v>0</v>
      </c>
      <c r="AN414" s="1145">
        <f t="shared" si="124"/>
        <v>0</v>
      </c>
      <c r="AO414" s="1154">
        <f t="shared" si="125"/>
        <v>0</v>
      </c>
      <c r="AP414" s="1147">
        <f t="shared" si="111"/>
        <v>787.19999999999993</v>
      </c>
      <c r="AQ414" s="1144">
        <f t="shared" si="112"/>
        <v>0</v>
      </c>
      <c r="AR414" s="1146">
        <f t="shared" si="113"/>
        <v>787.19999999999993</v>
      </c>
    </row>
    <row r="415" spans="1:44" x14ac:dyDescent="0.2">
      <c r="A415" s="1141" t="str">
        <f t="shared" si="108"/>
        <v>1505</v>
      </c>
      <c r="B415" s="1141" t="str">
        <f>IFERROR(VLOOKUP(A415,'LAC 103'!A:C,3,FALSE),"")</f>
        <v>OP</v>
      </c>
      <c r="C415" s="1478" t="str">
        <f>Info!$B$8</f>
        <v>00100</v>
      </c>
      <c r="D415" s="1474" t="s">
        <v>256</v>
      </c>
      <c r="E415" s="1474" t="s">
        <v>95</v>
      </c>
      <c r="F415" s="1478" t="s">
        <v>45</v>
      </c>
      <c r="G415" s="1478" t="s">
        <v>45</v>
      </c>
      <c r="H415" s="1474" t="s">
        <v>1659</v>
      </c>
      <c r="I415" s="1478" t="s">
        <v>807</v>
      </c>
      <c r="J415" s="1478"/>
      <c r="K415" s="1475" t="s">
        <v>846</v>
      </c>
      <c r="L415" s="1474" t="s">
        <v>332</v>
      </c>
      <c r="M415" s="1476" t="s">
        <v>842</v>
      </c>
      <c r="N415" s="1477" t="s">
        <v>1692</v>
      </c>
      <c r="O415" s="1479">
        <v>1008</v>
      </c>
      <c r="P415" s="1479"/>
      <c r="Q415" s="1142">
        <f t="shared" si="109"/>
        <v>1008</v>
      </c>
      <c r="R415" s="1143">
        <f>IFERROR(VLOOKUP(CONCATENATE(E415,G415),'LAC 103'!$A$12:$O$95,11,FALSE),0)</f>
        <v>2.483156209074918</v>
      </c>
      <c r="S415" s="1144">
        <f>IFERROR(VLOOKUP(CONCATENATE($E415,$G415),'LAC 103'!$A$12:$O$95,12,FALSE),0)</f>
        <v>3.07</v>
      </c>
      <c r="T415" s="1144">
        <f>IFERROR(VLOOKUP(CONCATENATE($E415,$G415),'LAC 103'!$A$12:$O$95,13,FALSE),0)</f>
        <v>1.92</v>
      </c>
      <c r="U415" s="1144">
        <f>IFERROR(VLOOKUP(CONCATENATE($E415,$G415),'LAC 103'!$A$12:$O$95,14,FALSE),0)</f>
        <v>0</v>
      </c>
      <c r="V415" s="1144">
        <f>IFERROR(VLOOKUP(CONCATENATE($E415,$G415),'LAC 103'!$A$12:$O$95,15,FALSE),0)</f>
        <v>0</v>
      </c>
      <c r="W415" s="1145" t="str">
        <f>IFERROR(VLOOKUP(CONCATENATE($B415,$N415),'LAC 103'!$AI:$AQ,9,FALSE),"")</f>
        <v>Costs</v>
      </c>
      <c r="X415" s="1146">
        <f t="shared" si="114"/>
        <v>2.483156209074918</v>
      </c>
      <c r="Y415" s="1143">
        <f t="shared" si="115"/>
        <v>2503.0214587475175</v>
      </c>
      <c r="Z415" s="1147">
        <f t="shared" si="116"/>
        <v>3094.56</v>
      </c>
      <c r="AA415" s="1144">
        <f t="shared" si="117"/>
        <v>1935.36</v>
      </c>
      <c r="AB415" s="1144">
        <f t="shared" si="118"/>
        <v>0</v>
      </c>
      <c r="AC415" s="1144">
        <f t="shared" si="119"/>
        <v>0</v>
      </c>
      <c r="AD415" s="1148">
        <f t="shared" si="110"/>
        <v>2503.0214587475175</v>
      </c>
      <c r="AE415" s="1487">
        <v>0</v>
      </c>
      <c r="AF415" s="1145">
        <f t="shared" si="120"/>
        <v>2503.0214587475175</v>
      </c>
      <c r="AG415" s="1149">
        <f>IFERROR(VLOOKUP(CONCATENATE($L415,$N415),'Drop List'!$G$23:$K$87,2,FALSE),0)</f>
        <v>0</v>
      </c>
      <c r="AH415" s="1150">
        <f>IFERROR(VLOOKUP(CONCATENATE($L415,$N415),'Drop List'!$G$23:$K$87,3,FALSE),0)</f>
        <v>0</v>
      </c>
      <c r="AI415" s="1150">
        <f>IFERROR(VLOOKUP(CONCATENATE($L415,$N415),'Drop List'!$G$23:$K$87,4,FALSE),0)</f>
        <v>0</v>
      </c>
      <c r="AJ415" s="1151">
        <f>IFERROR(VLOOKUP(CONCATENATE($L415,$N415),'Drop List'!$G$23:$K$87,5,FALSE),0)</f>
        <v>0</v>
      </c>
      <c r="AK415" s="1152">
        <f t="shared" si="121"/>
        <v>0</v>
      </c>
      <c r="AL415" s="1153">
        <f t="shared" si="122"/>
        <v>0</v>
      </c>
      <c r="AM415" s="1153">
        <f t="shared" si="123"/>
        <v>0</v>
      </c>
      <c r="AN415" s="1145">
        <f t="shared" si="124"/>
        <v>0</v>
      </c>
      <c r="AO415" s="1154">
        <f t="shared" si="125"/>
        <v>0</v>
      </c>
      <c r="AP415" s="1147">
        <f t="shared" si="111"/>
        <v>2503.0214587475175</v>
      </c>
      <c r="AQ415" s="1144">
        <f t="shared" si="112"/>
        <v>0</v>
      </c>
      <c r="AR415" s="1146">
        <f t="shared" si="113"/>
        <v>2503.0214587475175</v>
      </c>
    </row>
    <row r="416" spans="1:44" x14ac:dyDescent="0.2">
      <c r="A416" s="1141" t="str">
        <f t="shared" si="108"/>
        <v>1505</v>
      </c>
      <c r="B416" s="1141" t="str">
        <f>IFERROR(VLOOKUP(A416,'LAC 103'!A:C,3,FALSE),"")</f>
        <v>OP</v>
      </c>
      <c r="C416" s="1478" t="str">
        <f>Info!$B$8</f>
        <v>00100</v>
      </c>
      <c r="D416" s="1474" t="s">
        <v>256</v>
      </c>
      <c r="E416" s="1474" t="s">
        <v>95</v>
      </c>
      <c r="F416" s="1478" t="s">
        <v>45</v>
      </c>
      <c r="G416" s="1478" t="s">
        <v>45</v>
      </c>
      <c r="H416" s="1474" t="s">
        <v>1659</v>
      </c>
      <c r="I416" s="1478" t="s">
        <v>807</v>
      </c>
      <c r="J416" s="1478"/>
      <c r="K416" s="1475" t="s">
        <v>846</v>
      </c>
      <c r="L416" s="1474" t="s">
        <v>332</v>
      </c>
      <c r="M416" s="1476" t="s">
        <v>1698</v>
      </c>
      <c r="N416" s="1477" t="s">
        <v>1693</v>
      </c>
      <c r="O416" s="1479">
        <v>1518</v>
      </c>
      <c r="P416" s="1479"/>
      <c r="Q416" s="1142">
        <f t="shared" si="109"/>
        <v>1518</v>
      </c>
      <c r="R416" s="1143">
        <f>IFERROR(VLOOKUP(CONCATENATE(E416,G416),'LAC 103'!$A$12:$O$95,11,FALSE),0)</f>
        <v>2.483156209074918</v>
      </c>
      <c r="S416" s="1144">
        <f>IFERROR(VLOOKUP(CONCATENATE($E416,$G416),'LAC 103'!$A$12:$O$95,12,FALSE),0)</f>
        <v>3.07</v>
      </c>
      <c r="T416" s="1144">
        <f>IFERROR(VLOOKUP(CONCATENATE($E416,$G416),'LAC 103'!$A$12:$O$95,13,FALSE),0)</f>
        <v>1.92</v>
      </c>
      <c r="U416" s="1144">
        <f>IFERROR(VLOOKUP(CONCATENATE($E416,$G416),'LAC 103'!$A$12:$O$95,14,FALSE),0)</f>
        <v>0</v>
      </c>
      <c r="V416" s="1144">
        <f>IFERROR(VLOOKUP(CONCATENATE($E416,$G416),'LAC 103'!$A$12:$O$95,15,FALSE),0)</f>
        <v>0</v>
      </c>
      <c r="W416" s="1145" t="str">
        <f>IFERROR(VLOOKUP(CONCATENATE($B416,$N416),'LAC 103'!$AI:$AQ,9,FALSE),"")</f>
        <v>Costs</v>
      </c>
      <c r="X416" s="1146">
        <f t="shared" si="114"/>
        <v>2.483156209074918</v>
      </c>
      <c r="Y416" s="1143">
        <f t="shared" si="115"/>
        <v>3769.4311253757255</v>
      </c>
      <c r="Z416" s="1147">
        <f t="shared" si="116"/>
        <v>4660.2599999999993</v>
      </c>
      <c r="AA416" s="1144">
        <f t="shared" si="117"/>
        <v>2914.56</v>
      </c>
      <c r="AB416" s="1144">
        <f t="shared" si="118"/>
        <v>0</v>
      </c>
      <c r="AC416" s="1144">
        <f t="shared" si="119"/>
        <v>0</v>
      </c>
      <c r="AD416" s="1148">
        <f t="shared" si="110"/>
        <v>3769.4311253757255</v>
      </c>
      <c r="AE416" s="1487">
        <v>0</v>
      </c>
      <c r="AF416" s="1145">
        <f t="shared" si="120"/>
        <v>3769.4311253757255</v>
      </c>
      <c r="AG416" s="1149">
        <f>IFERROR(VLOOKUP(CONCATENATE($L416,$N416),'Drop List'!$G$23:$K$87,2,FALSE),0)</f>
        <v>0</v>
      </c>
      <c r="AH416" s="1150">
        <f>IFERROR(VLOOKUP(CONCATENATE($L416,$N416),'Drop List'!$G$23:$K$87,3,FALSE),0)</f>
        <v>0</v>
      </c>
      <c r="AI416" s="1150">
        <f>IFERROR(VLOOKUP(CONCATENATE($L416,$N416),'Drop List'!$G$23:$K$87,4,FALSE),0)</f>
        <v>0</v>
      </c>
      <c r="AJ416" s="1151">
        <f>IFERROR(VLOOKUP(CONCATENATE($L416,$N416),'Drop List'!$G$23:$K$87,5,FALSE),0)</f>
        <v>0</v>
      </c>
      <c r="AK416" s="1152">
        <f t="shared" si="121"/>
        <v>0</v>
      </c>
      <c r="AL416" s="1153">
        <f t="shared" si="122"/>
        <v>0</v>
      </c>
      <c r="AM416" s="1153">
        <f t="shared" si="123"/>
        <v>0</v>
      </c>
      <c r="AN416" s="1145">
        <f t="shared" si="124"/>
        <v>0</v>
      </c>
      <c r="AO416" s="1154">
        <f t="shared" si="125"/>
        <v>0</v>
      </c>
      <c r="AP416" s="1147">
        <f t="shared" si="111"/>
        <v>3769.4311253757255</v>
      </c>
      <c r="AQ416" s="1144">
        <f t="shared" si="112"/>
        <v>0</v>
      </c>
      <c r="AR416" s="1146">
        <f t="shared" si="113"/>
        <v>3769.4311253757255</v>
      </c>
    </row>
    <row r="417" spans="1:44" x14ac:dyDescent="0.2">
      <c r="A417" s="1141" t="str">
        <f t="shared" si="108"/>
        <v>1505</v>
      </c>
      <c r="B417" s="1141" t="str">
        <f>IFERROR(VLOOKUP(A417,'LAC 103'!A:C,3,FALSE),"")</f>
        <v>OP</v>
      </c>
      <c r="C417" s="1478" t="str">
        <f>Info!$B$8</f>
        <v>00100</v>
      </c>
      <c r="D417" s="1474" t="s">
        <v>256</v>
      </c>
      <c r="E417" s="1474" t="s">
        <v>95</v>
      </c>
      <c r="F417" s="1478" t="s">
        <v>45</v>
      </c>
      <c r="G417" s="1478" t="s">
        <v>45</v>
      </c>
      <c r="H417" s="1474" t="s">
        <v>987</v>
      </c>
      <c r="I417" s="1478" t="s">
        <v>811</v>
      </c>
      <c r="J417" s="1478" t="s">
        <v>123</v>
      </c>
      <c r="K417" s="1475" t="s">
        <v>846</v>
      </c>
      <c r="L417" s="1474" t="s">
        <v>332</v>
      </c>
      <c r="M417" s="1476" t="s">
        <v>1699</v>
      </c>
      <c r="N417" s="1477" t="s">
        <v>1694</v>
      </c>
      <c r="O417" s="1479">
        <v>21891</v>
      </c>
      <c r="P417" s="1479"/>
      <c r="Q417" s="1142">
        <f t="shared" si="109"/>
        <v>21891</v>
      </c>
      <c r="R417" s="1143">
        <f>IFERROR(VLOOKUP(CONCATENATE(E417,G417),'LAC 103'!$A$12:$O$95,11,FALSE),0)</f>
        <v>2.483156209074918</v>
      </c>
      <c r="S417" s="1144">
        <f>IFERROR(VLOOKUP(CONCATENATE($E417,$G417),'LAC 103'!$A$12:$O$95,12,FALSE),0)</f>
        <v>3.07</v>
      </c>
      <c r="T417" s="1144">
        <f>IFERROR(VLOOKUP(CONCATENATE($E417,$G417),'LAC 103'!$A$12:$O$95,13,FALSE),0)</f>
        <v>1.92</v>
      </c>
      <c r="U417" s="1144">
        <f>IFERROR(VLOOKUP(CONCATENATE($E417,$G417),'LAC 103'!$A$12:$O$95,14,FALSE),0)</f>
        <v>0</v>
      </c>
      <c r="V417" s="1144">
        <f>IFERROR(VLOOKUP(CONCATENATE($E417,$G417),'LAC 103'!$A$12:$O$95,15,FALSE),0)</f>
        <v>0</v>
      </c>
      <c r="W417" s="1145" t="str">
        <f>IFERROR(VLOOKUP(CONCATENATE($B417,$N417),'LAC 103'!$AI:$AQ,9,FALSE),"")</f>
        <v>Costs</v>
      </c>
      <c r="X417" s="1146">
        <f t="shared" si="114"/>
        <v>2.483156209074918</v>
      </c>
      <c r="Y417" s="1143">
        <f t="shared" si="115"/>
        <v>54358.77257285903</v>
      </c>
      <c r="Z417" s="1147">
        <f t="shared" si="116"/>
        <v>67205.37</v>
      </c>
      <c r="AA417" s="1144">
        <f t="shared" si="117"/>
        <v>42030.720000000001</v>
      </c>
      <c r="AB417" s="1144">
        <f t="shared" si="118"/>
        <v>0</v>
      </c>
      <c r="AC417" s="1144">
        <f t="shared" si="119"/>
        <v>0</v>
      </c>
      <c r="AD417" s="1148">
        <f t="shared" si="110"/>
        <v>54358.77257285903</v>
      </c>
      <c r="AE417" s="1487">
        <v>0</v>
      </c>
      <c r="AF417" s="1145">
        <f t="shared" si="120"/>
        <v>54358.77257285903</v>
      </c>
      <c r="AG417" s="1149">
        <f>IFERROR(VLOOKUP(CONCATENATE($L417,$N417),'Drop List'!$G$23:$K$87,2,FALSE),0)</f>
        <v>0</v>
      </c>
      <c r="AH417" s="1150">
        <f>IFERROR(VLOOKUP(CONCATENATE($L417,$N417),'Drop List'!$G$23:$K$87,3,FALSE),0)</f>
        <v>0</v>
      </c>
      <c r="AI417" s="1150">
        <f>IFERROR(VLOOKUP(CONCATENATE($L417,$N417),'Drop List'!$G$23:$K$87,4,FALSE),0)</f>
        <v>0</v>
      </c>
      <c r="AJ417" s="1151">
        <f>IFERROR(VLOOKUP(CONCATENATE($L417,$N417),'Drop List'!$G$23:$K$87,5,FALSE),0)</f>
        <v>0</v>
      </c>
      <c r="AK417" s="1152">
        <f t="shared" si="121"/>
        <v>0</v>
      </c>
      <c r="AL417" s="1153">
        <f t="shared" si="122"/>
        <v>0</v>
      </c>
      <c r="AM417" s="1153">
        <f t="shared" si="123"/>
        <v>0</v>
      </c>
      <c r="AN417" s="1145">
        <f t="shared" si="124"/>
        <v>0</v>
      </c>
      <c r="AO417" s="1154">
        <f t="shared" si="125"/>
        <v>0</v>
      </c>
      <c r="AP417" s="1147">
        <f t="shared" si="111"/>
        <v>54358.77257285903</v>
      </c>
      <c r="AQ417" s="1144">
        <f t="shared" si="112"/>
        <v>0</v>
      </c>
      <c r="AR417" s="1146">
        <f t="shared" si="113"/>
        <v>54358.77257285903</v>
      </c>
    </row>
    <row r="418" spans="1:44" x14ac:dyDescent="0.2">
      <c r="A418" s="1141" t="str">
        <f t="shared" si="108"/>
        <v>1505</v>
      </c>
      <c r="B418" s="1141" t="str">
        <f>IFERROR(VLOOKUP(A418,'LAC 103'!A:C,3,FALSE),"")</f>
        <v>OP</v>
      </c>
      <c r="C418" s="1478" t="str">
        <f>Info!$B$8</f>
        <v>00100</v>
      </c>
      <c r="D418" s="1474" t="s">
        <v>256</v>
      </c>
      <c r="E418" s="1474" t="s">
        <v>95</v>
      </c>
      <c r="F418" s="1478" t="s">
        <v>45</v>
      </c>
      <c r="G418" s="1478" t="s">
        <v>45</v>
      </c>
      <c r="H418" s="1474" t="s">
        <v>987</v>
      </c>
      <c r="I418" s="1478" t="s">
        <v>811</v>
      </c>
      <c r="J418" s="1478"/>
      <c r="K418" s="1475" t="s">
        <v>846</v>
      </c>
      <c r="L418" s="1474" t="s">
        <v>332</v>
      </c>
      <c r="M418" s="1476" t="s">
        <v>841</v>
      </c>
      <c r="N418" s="1477" t="s">
        <v>1695</v>
      </c>
      <c r="O418" s="1479">
        <v>11056</v>
      </c>
      <c r="P418" s="1479"/>
      <c r="Q418" s="1142">
        <f t="shared" si="109"/>
        <v>11056</v>
      </c>
      <c r="R418" s="1143">
        <f>IFERROR(VLOOKUP(CONCATENATE(E418,G418),'LAC 103'!$A$12:$O$95,11,FALSE),0)</f>
        <v>2.483156209074918</v>
      </c>
      <c r="S418" s="1144">
        <f>IFERROR(VLOOKUP(CONCATENATE($E418,$G418),'LAC 103'!$A$12:$O$95,12,FALSE),0)</f>
        <v>3.07</v>
      </c>
      <c r="T418" s="1144">
        <f>IFERROR(VLOOKUP(CONCATENATE($E418,$G418),'LAC 103'!$A$12:$O$95,13,FALSE),0)</f>
        <v>1.92</v>
      </c>
      <c r="U418" s="1144">
        <f>IFERROR(VLOOKUP(CONCATENATE($E418,$G418),'LAC 103'!$A$12:$O$95,14,FALSE),0)</f>
        <v>0</v>
      </c>
      <c r="V418" s="1144">
        <f>IFERROR(VLOOKUP(CONCATENATE($E418,$G418),'LAC 103'!$A$12:$O$95,15,FALSE),0)</f>
        <v>0</v>
      </c>
      <c r="W418" s="1145" t="str">
        <f>IFERROR(VLOOKUP(CONCATENATE($B418,$N418),'LAC 103'!$AI:$AQ,9,FALSE),"")</f>
        <v>Costs</v>
      </c>
      <c r="X418" s="1146">
        <f t="shared" si="114"/>
        <v>2.483156209074918</v>
      </c>
      <c r="Y418" s="1143">
        <f t="shared" si="115"/>
        <v>27453.775047532294</v>
      </c>
      <c r="Z418" s="1147">
        <f t="shared" si="116"/>
        <v>33941.919999999998</v>
      </c>
      <c r="AA418" s="1144">
        <f t="shared" si="117"/>
        <v>21227.52</v>
      </c>
      <c r="AB418" s="1144">
        <f t="shared" si="118"/>
        <v>0</v>
      </c>
      <c r="AC418" s="1144">
        <f t="shared" si="119"/>
        <v>0</v>
      </c>
      <c r="AD418" s="1148">
        <f t="shared" si="110"/>
        <v>27453.775047532294</v>
      </c>
      <c r="AE418" s="1487">
        <v>0</v>
      </c>
      <c r="AF418" s="1145">
        <f t="shared" si="120"/>
        <v>27453.775047532294</v>
      </c>
      <c r="AG418" s="1149">
        <f>IFERROR(VLOOKUP(CONCATENATE($L418,$N418),'Drop List'!$G$23:$K$87,2,FALSE),0)</f>
        <v>0</v>
      </c>
      <c r="AH418" s="1150">
        <f>IFERROR(VLOOKUP(CONCATENATE($L418,$N418),'Drop List'!$G$23:$K$87,3,FALSE),0)</f>
        <v>0</v>
      </c>
      <c r="AI418" s="1150">
        <f>IFERROR(VLOOKUP(CONCATENATE($L418,$N418),'Drop List'!$G$23:$K$87,4,FALSE),0)</f>
        <v>0</v>
      </c>
      <c r="AJ418" s="1151">
        <f>IFERROR(VLOOKUP(CONCATENATE($L418,$N418),'Drop List'!$G$23:$K$87,5,FALSE),0)</f>
        <v>0</v>
      </c>
      <c r="AK418" s="1152">
        <f t="shared" si="121"/>
        <v>0</v>
      </c>
      <c r="AL418" s="1153">
        <f t="shared" si="122"/>
        <v>0</v>
      </c>
      <c r="AM418" s="1153">
        <f t="shared" si="123"/>
        <v>0</v>
      </c>
      <c r="AN418" s="1145">
        <f t="shared" si="124"/>
        <v>0</v>
      </c>
      <c r="AO418" s="1154">
        <f t="shared" si="125"/>
        <v>0</v>
      </c>
      <c r="AP418" s="1147">
        <f t="shared" si="111"/>
        <v>27453.775047532294</v>
      </c>
      <c r="AQ418" s="1144">
        <f t="shared" si="112"/>
        <v>0</v>
      </c>
      <c r="AR418" s="1146">
        <f t="shared" si="113"/>
        <v>27453.775047532294</v>
      </c>
    </row>
    <row r="419" spans="1:44" x14ac:dyDescent="0.2">
      <c r="A419" s="1141" t="str">
        <f t="shared" si="108"/>
        <v>1505</v>
      </c>
      <c r="B419" s="1141" t="str">
        <f>IFERROR(VLOOKUP(A419,'LAC 103'!A:C,3,FALSE),"")</f>
        <v>OP</v>
      </c>
      <c r="C419" s="1478" t="str">
        <f>Info!$B$8</f>
        <v>00100</v>
      </c>
      <c r="D419" s="1474" t="s">
        <v>256</v>
      </c>
      <c r="E419" s="1474" t="s">
        <v>95</v>
      </c>
      <c r="F419" s="1478" t="s">
        <v>45</v>
      </c>
      <c r="G419" s="1478" t="s">
        <v>45</v>
      </c>
      <c r="H419" s="1474" t="s">
        <v>987</v>
      </c>
      <c r="I419" s="1478" t="s">
        <v>811</v>
      </c>
      <c r="J419" s="1478"/>
      <c r="K419" s="1475" t="s">
        <v>846</v>
      </c>
      <c r="L419" s="1474" t="s">
        <v>332</v>
      </c>
      <c r="M419" s="1476" t="s">
        <v>840</v>
      </c>
      <c r="N419" s="1477" t="s">
        <v>1700</v>
      </c>
      <c r="O419" s="1479">
        <v>13361</v>
      </c>
      <c r="P419" s="1479"/>
      <c r="Q419" s="1142">
        <f t="shared" si="109"/>
        <v>13361</v>
      </c>
      <c r="R419" s="1143">
        <f>IFERROR(VLOOKUP(CONCATENATE(E419,G419),'LAC 103'!$A$12:$O$95,11,FALSE),0)</f>
        <v>2.483156209074918</v>
      </c>
      <c r="S419" s="1144">
        <f>IFERROR(VLOOKUP(CONCATENATE($E419,$G419),'LAC 103'!$A$12:$O$95,12,FALSE),0)</f>
        <v>3.07</v>
      </c>
      <c r="T419" s="1144">
        <f>IFERROR(VLOOKUP(CONCATENATE($E419,$G419),'LAC 103'!$A$12:$O$95,13,FALSE),0)</f>
        <v>1.92</v>
      </c>
      <c r="U419" s="1144">
        <f>IFERROR(VLOOKUP(CONCATENATE($E419,$G419),'LAC 103'!$A$12:$O$95,14,FALSE),0)</f>
        <v>0</v>
      </c>
      <c r="V419" s="1144">
        <f>IFERROR(VLOOKUP(CONCATENATE($E419,$G419),'LAC 103'!$A$12:$O$95,15,FALSE),0)</f>
        <v>0</v>
      </c>
      <c r="W419" s="1145" t="str">
        <f>IFERROR(VLOOKUP(CONCATENATE($B419,$N419),'LAC 103'!$AI:$AQ,9,FALSE),"")</f>
        <v>P.C.</v>
      </c>
      <c r="X419" s="1146">
        <f t="shared" si="114"/>
        <v>1.92</v>
      </c>
      <c r="Y419" s="1143">
        <f t="shared" si="115"/>
        <v>33177.450109449979</v>
      </c>
      <c r="Z419" s="1147">
        <f t="shared" si="116"/>
        <v>41018.269999999997</v>
      </c>
      <c r="AA419" s="1144">
        <f t="shared" si="117"/>
        <v>25653.119999999999</v>
      </c>
      <c r="AB419" s="1144">
        <f t="shared" si="118"/>
        <v>0</v>
      </c>
      <c r="AC419" s="1144">
        <f t="shared" si="119"/>
        <v>0</v>
      </c>
      <c r="AD419" s="1148">
        <f t="shared" si="110"/>
        <v>25653.119999999999</v>
      </c>
      <c r="AE419" s="1487">
        <v>0</v>
      </c>
      <c r="AF419" s="1145">
        <f t="shared" si="120"/>
        <v>25653.119999999999</v>
      </c>
      <c r="AG419" s="1149">
        <f>IFERROR(VLOOKUP(CONCATENATE($L419,$N419),'Drop List'!$G$23:$K$87,2,FALSE),0)</f>
        <v>0</v>
      </c>
      <c r="AH419" s="1150">
        <f>IFERROR(VLOOKUP(CONCATENATE($L419,$N419),'Drop List'!$G$23:$K$87,3,FALSE),0)</f>
        <v>0</v>
      </c>
      <c r="AI419" s="1150">
        <f>IFERROR(VLOOKUP(CONCATENATE($L419,$N419),'Drop List'!$G$23:$K$87,4,FALSE),0)</f>
        <v>0</v>
      </c>
      <c r="AJ419" s="1151">
        <f>IFERROR(VLOOKUP(CONCATENATE($L419,$N419),'Drop List'!$G$23:$K$87,5,FALSE),0)</f>
        <v>0</v>
      </c>
      <c r="AK419" s="1152">
        <f t="shared" si="121"/>
        <v>0</v>
      </c>
      <c r="AL419" s="1153">
        <f t="shared" si="122"/>
        <v>0</v>
      </c>
      <c r="AM419" s="1153">
        <f t="shared" si="123"/>
        <v>0</v>
      </c>
      <c r="AN419" s="1145">
        <f t="shared" si="124"/>
        <v>0</v>
      </c>
      <c r="AO419" s="1154">
        <f t="shared" si="125"/>
        <v>0</v>
      </c>
      <c r="AP419" s="1147">
        <f t="shared" si="111"/>
        <v>25653.119999999999</v>
      </c>
      <c r="AQ419" s="1144">
        <f t="shared" si="112"/>
        <v>0</v>
      </c>
      <c r="AR419" s="1146">
        <f t="shared" si="113"/>
        <v>25653.119999999999</v>
      </c>
    </row>
    <row r="420" spans="1:44" x14ac:dyDescent="0.2">
      <c r="A420" s="1141" t="str">
        <f t="shared" si="108"/>
        <v>1505</v>
      </c>
      <c r="B420" s="1141" t="str">
        <f>IFERROR(VLOOKUP(A420,'LAC 103'!A:C,3,FALSE),"")</f>
        <v>OP</v>
      </c>
      <c r="C420" s="1478" t="str">
        <f>Info!$B$8</f>
        <v>00100</v>
      </c>
      <c r="D420" s="1474" t="s">
        <v>256</v>
      </c>
      <c r="E420" s="1474" t="s">
        <v>95</v>
      </c>
      <c r="F420" s="1478" t="s">
        <v>45</v>
      </c>
      <c r="G420" s="1478" t="s">
        <v>45</v>
      </c>
      <c r="H420" s="1474" t="s">
        <v>987</v>
      </c>
      <c r="I420" s="1478" t="s">
        <v>811</v>
      </c>
      <c r="J420" s="1478"/>
      <c r="K420" s="1475" t="s">
        <v>846</v>
      </c>
      <c r="L420" s="1474" t="s">
        <v>332</v>
      </c>
      <c r="M420" s="1476" t="s">
        <v>842</v>
      </c>
      <c r="N420" s="1477" t="s">
        <v>1692</v>
      </c>
      <c r="O420" s="1479">
        <v>22226</v>
      </c>
      <c r="P420" s="1479"/>
      <c r="Q420" s="1142">
        <f t="shared" si="109"/>
        <v>22226</v>
      </c>
      <c r="R420" s="1143">
        <f>IFERROR(VLOOKUP(CONCATENATE(E420,G420),'LAC 103'!$A$12:$O$95,11,FALSE),0)</f>
        <v>2.483156209074918</v>
      </c>
      <c r="S420" s="1144">
        <f>IFERROR(VLOOKUP(CONCATENATE($E420,$G420),'LAC 103'!$A$12:$O$95,12,FALSE),0)</f>
        <v>3.07</v>
      </c>
      <c r="T420" s="1144">
        <f>IFERROR(VLOOKUP(CONCATENATE($E420,$G420),'LAC 103'!$A$12:$O$95,13,FALSE),0)</f>
        <v>1.92</v>
      </c>
      <c r="U420" s="1144">
        <f>IFERROR(VLOOKUP(CONCATENATE($E420,$G420),'LAC 103'!$A$12:$O$95,14,FALSE),0)</f>
        <v>0</v>
      </c>
      <c r="V420" s="1144">
        <f>IFERROR(VLOOKUP(CONCATENATE($E420,$G420),'LAC 103'!$A$12:$O$95,15,FALSE),0)</f>
        <v>0</v>
      </c>
      <c r="W420" s="1145" t="str">
        <f>IFERROR(VLOOKUP(CONCATENATE($B420,$N420),'LAC 103'!$AI:$AQ,9,FALSE),"")</f>
        <v>Costs</v>
      </c>
      <c r="X420" s="1146">
        <f t="shared" si="114"/>
        <v>2.483156209074918</v>
      </c>
      <c r="Y420" s="1143">
        <f t="shared" si="115"/>
        <v>55190.629902899127</v>
      </c>
      <c r="Z420" s="1147">
        <f t="shared" si="116"/>
        <v>68233.819999999992</v>
      </c>
      <c r="AA420" s="1144">
        <f t="shared" si="117"/>
        <v>42673.919999999998</v>
      </c>
      <c r="AB420" s="1144">
        <f t="shared" si="118"/>
        <v>0</v>
      </c>
      <c r="AC420" s="1144">
        <f t="shared" si="119"/>
        <v>0</v>
      </c>
      <c r="AD420" s="1148">
        <f t="shared" si="110"/>
        <v>55190.629902899127</v>
      </c>
      <c r="AE420" s="1487">
        <v>0</v>
      </c>
      <c r="AF420" s="1145">
        <f t="shared" si="120"/>
        <v>55190.629902899127</v>
      </c>
      <c r="AG420" s="1149">
        <f>IFERROR(VLOOKUP(CONCATENATE($L420,$N420),'Drop List'!$G$23:$K$87,2,FALSE),0)</f>
        <v>0</v>
      </c>
      <c r="AH420" s="1150">
        <f>IFERROR(VLOOKUP(CONCATENATE($L420,$N420),'Drop List'!$G$23:$K$87,3,FALSE),0)</f>
        <v>0</v>
      </c>
      <c r="AI420" s="1150">
        <f>IFERROR(VLOOKUP(CONCATENATE($L420,$N420),'Drop List'!$G$23:$K$87,4,FALSE),0)</f>
        <v>0</v>
      </c>
      <c r="AJ420" s="1151">
        <f>IFERROR(VLOOKUP(CONCATENATE($L420,$N420),'Drop List'!$G$23:$K$87,5,FALSE),0)</f>
        <v>0</v>
      </c>
      <c r="AK420" s="1152">
        <f t="shared" si="121"/>
        <v>0</v>
      </c>
      <c r="AL420" s="1153">
        <f t="shared" si="122"/>
        <v>0</v>
      </c>
      <c r="AM420" s="1153">
        <f t="shared" si="123"/>
        <v>0</v>
      </c>
      <c r="AN420" s="1145">
        <f t="shared" si="124"/>
        <v>0</v>
      </c>
      <c r="AO420" s="1154">
        <f t="shared" si="125"/>
        <v>0</v>
      </c>
      <c r="AP420" s="1147">
        <f t="shared" si="111"/>
        <v>55190.629902899127</v>
      </c>
      <c r="AQ420" s="1144">
        <f t="shared" si="112"/>
        <v>0</v>
      </c>
      <c r="AR420" s="1146">
        <f t="shared" si="113"/>
        <v>55190.629902899127</v>
      </c>
    </row>
    <row r="421" spans="1:44" x14ac:dyDescent="0.2">
      <c r="A421" s="1141" t="str">
        <f t="shared" si="108"/>
        <v>1505</v>
      </c>
      <c r="B421" s="1141" t="str">
        <f>IFERROR(VLOOKUP(A421,'LAC 103'!A:C,3,FALSE),"")</f>
        <v>OP</v>
      </c>
      <c r="C421" s="1478" t="str">
        <f>Info!$B$8</f>
        <v>00100</v>
      </c>
      <c r="D421" s="1474" t="s">
        <v>256</v>
      </c>
      <c r="E421" s="1474" t="s">
        <v>95</v>
      </c>
      <c r="F421" s="1478" t="s">
        <v>45</v>
      </c>
      <c r="G421" s="1478" t="s">
        <v>45</v>
      </c>
      <c r="H421" s="1474" t="s">
        <v>987</v>
      </c>
      <c r="I421" s="1478" t="s">
        <v>811</v>
      </c>
      <c r="J421" s="1478"/>
      <c r="K421" s="1475" t="s">
        <v>846</v>
      </c>
      <c r="L421" s="1474" t="s">
        <v>332</v>
      </c>
      <c r="M421" s="1476" t="s">
        <v>1698</v>
      </c>
      <c r="N421" s="1477" t="s">
        <v>1693</v>
      </c>
      <c r="O421" s="1479">
        <v>21776</v>
      </c>
      <c r="P421" s="1479"/>
      <c r="Q421" s="1142">
        <f t="shared" si="109"/>
        <v>21776</v>
      </c>
      <c r="R421" s="1143">
        <f>IFERROR(VLOOKUP(CONCATENATE(E421,G421),'LAC 103'!$A$12:$O$95,11,FALSE),0)</f>
        <v>2.483156209074918</v>
      </c>
      <c r="S421" s="1144">
        <f>IFERROR(VLOOKUP(CONCATENATE($E421,$G421),'LAC 103'!$A$12:$O$95,12,FALSE),0)</f>
        <v>3.07</v>
      </c>
      <c r="T421" s="1144">
        <f>IFERROR(VLOOKUP(CONCATENATE($E421,$G421),'LAC 103'!$A$12:$O$95,13,FALSE),0)</f>
        <v>1.92</v>
      </c>
      <c r="U421" s="1144">
        <f>IFERROR(VLOOKUP(CONCATENATE($E421,$G421),'LAC 103'!$A$12:$O$95,14,FALSE),0)</f>
        <v>0</v>
      </c>
      <c r="V421" s="1144">
        <f>IFERROR(VLOOKUP(CONCATENATE($E421,$G421),'LAC 103'!$A$12:$O$95,15,FALSE),0)</f>
        <v>0</v>
      </c>
      <c r="W421" s="1145" t="str">
        <f>IFERROR(VLOOKUP(CONCATENATE($B421,$N421),'LAC 103'!$AI:$AQ,9,FALSE),"")</f>
        <v>Costs</v>
      </c>
      <c r="X421" s="1146">
        <f t="shared" si="114"/>
        <v>2.483156209074918</v>
      </c>
      <c r="Y421" s="1143">
        <f t="shared" si="115"/>
        <v>54073.209608815414</v>
      </c>
      <c r="Z421" s="1147">
        <f t="shared" si="116"/>
        <v>66852.319999999992</v>
      </c>
      <c r="AA421" s="1144">
        <f t="shared" si="117"/>
        <v>41809.919999999998</v>
      </c>
      <c r="AB421" s="1144">
        <f t="shared" si="118"/>
        <v>0</v>
      </c>
      <c r="AC421" s="1144">
        <f t="shared" si="119"/>
        <v>0</v>
      </c>
      <c r="AD421" s="1148">
        <f t="shared" si="110"/>
        <v>54073.209608815414</v>
      </c>
      <c r="AE421" s="1487">
        <v>0</v>
      </c>
      <c r="AF421" s="1145">
        <f t="shared" si="120"/>
        <v>54073.209608815414</v>
      </c>
      <c r="AG421" s="1149">
        <f>IFERROR(VLOOKUP(CONCATENATE($L421,$N421),'Drop List'!$G$23:$K$87,2,FALSE),0)</f>
        <v>0</v>
      </c>
      <c r="AH421" s="1150">
        <f>IFERROR(VLOOKUP(CONCATENATE($L421,$N421),'Drop List'!$G$23:$K$87,3,FALSE),0)</f>
        <v>0</v>
      </c>
      <c r="AI421" s="1150">
        <f>IFERROR(VLOOKUP(CONCATENATE($L421,$N421),'Drop List'!$G$23:$K$87,4,FALSE),0)</f>
        <v>0</v>
      </c>
      <c r="AJ421" s="1151">
        <f>IFERROR(VLOOKUP(CONCATENATE($L421,$N421),'Drop List'!$G$23:$K$87,5,FALSE),0)</f>
        <v>0</v>
      </c>
      <c r="AK421" s="1152">
        <f t="shared" si="121"/>
        <v>0</v>
      </c>
      <c r="AL421" s="1153">
        <f t="shared" si="122"/>
        <v>0</v>
      </c>
      <c r="AM421" s="1153">
        <f t="shared" si="123"/>
        <v>0</v>
      </c>
      <c r="AN421" s="1145">
        <f t="shared" si="124"/>
        <v>0</v>
      </c>
      <c r="AO421" s="1154">
        <f t="shared" si="125"/>
        <v>0</v>
      </c>
      <c r="AP421" s="1147">
        <f t="shared" si="111"/>
        <v>54073.209608815414</v>
      </c>
      <c r="AQ421" s="1144">
        <f t="shared" si="112"/>
        <v>0</v>
      </c>
      <c r="AR421" s="1146">
        <f t="shared" si="113"/>
        <v>54073.209608815414</v>
      </c>
    </row>
    <row r="422" spans="1:44" x14ac:dyDescent="0.2">
      <c r="A422" s="1141" t="str">
        <f t="shared" si="108"/>
        <v>1505</v>
      </c>
      <c r="B422" s="1141" t="str">
        <f>IFERROR(VLOOKUP(A422,'LAC 103'!A:C,3,FALSE),"")</f>
        <v>OP</v>
      </c>
      <c r="C422" s="1478" t="str">
        <f>Info!$B$8</f>
        <v>00100</v>
      </c>
      <c r="D422" s="1474" t="s">
        <v>256</v>
      </c>
      <c r="E422" s="1474" t="s">
        <v>95</v>
      </c>
      <c r="F422" s="1478" t="s">
        <v>45</v>
      </c>
      <c r="G422" s="1478" t="s">
        <v>45</v>
      </c>
      <c r="H422" s="1474" t="s">
        <v>1090</v>
      </c>
      <c r="I422" s="1478" t="s">
        <v>815</v>
      </c>
      <c r="J422" s="1478" t="s">
        <v>123</v>
      </c>
      <c r="K422" s="1475" t="s">
        <v>846</v>
      </c>
      <c r="L422" s="1474" t="s">
        <v>332</v>
      </c>
      <c r="M422" s="1476" t="s">
        <v>1699</v>
      </c>
      <c r="N422" s="1477" t="s">
        <v>1694</v>
      </c>
      <c r="O422" s="1479">
        <v>10138</v>
      </c>
      <c r="P422" s="1479"/>
      <c r="Q422" s="1142">
        <f t="shared" si="109"/>
        <v>10138</v>
      </c>
      <c r="R422" s="1143">
        <f>IFERROR(VLOOKUP(CONCATENATE(E422,G422),'LAC 103'!$A$12:$O$95,11,FALSE),0)</f>
        <v>2.483156209074918</v>
      </c>
      <c r="S422" s="1144">
        <f>IFERROR(VLOOKUP(CONCATENATE($E422,$G422),'LAC 103'!$A$12:$O$95,12,FALSE),0)</f>
        <v>3.07</v>
      </c>
      <c r="T422" s="1144">
        <f>IFERROR(VLOOKUP(CONCATENATE($E422,$G422),'LAC 103'!$A$12:$O$95,13,FALSE),0)</f>
        <v>1.92</v>
      </c>
      <c r="U422" s="1144">
        <f>IFERROR(VLOOKUP(CONCATENATE($E422,$G422),'LAC 103'!$A$12:$O$95,14,FALSE),0)</f>
        <v>0</v>
      </c>
      <c r="V422" s="1144">
        <f>IFERROR(VLOOKUP(CONCATENATE($E422,$G422),'LAC 103'!$A$12:$O$95,15,FALSE),0)</f>
        <v>0</v>
      </c>
      <c r="W422" s="1145" t="str">
        <f>IFERROR(VLOOKUP(CONCATENATE($B422,$N422),'LAC 103'!$AI:$AQ,9,FALSE),"")</f>
        <v>Costs</v>
      </c>
      <c r="X422" s="1146">
        <f t="shared" si="114"/>
        <v>2.483156209074918</v>
      </c>
      <c r="Y422" s="1143">
        <f t="shared" si="115"/>
        <v>25174.23764760152</v>
      </c>
      <c r="Z422" s="1147">
        <f t="shared" si="116"/>
        <v>31123.66</v>
      </c>
      <c r="AA422" s="1144">
        <f t="shared" si="117"/>
        <v>19464.96</v>
      </c>
      <c r="AB422" s="1144">
        <f t="shared" si="118"/>
        <v>0</v>
      </c>
      <c r="AC422" s="1144">
        <f t="shared" si="119"/>
        <v>0</v>
      </c>
      <c r="AD422" s="1148">
        <f t="shared" si="110"/>
        <v>25174.23764760152</v>
      </c>
      <c r="AE422" s="1487">
        <v>0</v>
      </c>
      <c r="AF422" s="1145">
        <f t="shared" si="120"/>
        <v>25174.23764760152</v>
      </c>
      <c r="AG422" s="1149">
        <f>IFERROR(VLOOKUP(CONCATENATE($L422,$N422),'Drop List'!$G$23:$K$87,2,FALSE),0)</f>
        <v>0</v>
      </c>
      <c r="AH422" s="1150">
        <f>IFERROR(VLOOKUP(CONCATENATE($L422,$N422),'Drop List'!$G$23:$K$87,3,FALSE),0)</f>
        <v>0</v>
      </c>
      <c r="AI422" s="1150">
        <f>IFERROR(VLOOKUP(CONCATENATE($L422,$N422),'Drop List'!$G$23:$K$87,4,FALSE),0)</f>
        <v>0</v>
      </c>
      <c r="AJ422" s="1151">
        <f>IFERROR(VLOOKUP(CONCATENATE($L422,$N422),'Drop List'!$G$23:$K$87,5,FALSE),0)</f>
        <v>0</v>
      </c>
      <c r="AK422" s="1152">
        <f t="shared" si="121"/>
        <v>0</v>
      </c>
      <c r="AL422" s="1153">
        <f t="shared" si="122"/>
        <v>0</v>
      </c>
      <c r="AM422" s="1153">
        <f t="shared" si="123"/>
        <v>0</v>
      </c>
      <c r="AN422" s="1145">
        <f t="shared" si="124"/>
        <v>0</v>
      </c>
      <c r="AO422" s="1154">
        <f t="shared" si="125"/>
        <v>0</v>
      </c>
      <c r="AP422" s="1147">
        <f t="shared" si="111"/>
        <v>25174.23764760152</v>
      </c>
      <c r="AQ422" s="1144">
        <f t="shared" si="112"/>
        <v>0</v>
      </c>
      <c r="AR422" s="1146">
        <f t="shared" si="113"/>
        <v>25174.23764760152</v>
      </c>
    </row>
    <row r="423" spans="1:44" x14ac:dyDescent="0.2">
      <c r="A423" s="1141" t="str">
        <f t="shared" si="108"/>
        <v>1505</v>
      </c>
      <c r="B423" s="1141" t="str">
        <f>IFERROR(VLOOKUP(A423,'LAC 103'!A:C,3,FALSE),"")</f>
        <v>OP</v>
      </c>
      <c r="C423" s="1478" t="str">
        <f>Info!$B$8</f>
        <v>00100</v>
      </c>
      <c r="D423" s="1474" t="s">
        <v>256</v>
      </c>
      <c r="E423" s="1474" t="s">
        <v>95</v>
      </c>
      <c r="F423" s="1478" t="s">
        <v>45</v>
      </c>
      <c r="G423" s="1478" t="s">
        <v>45</v>
      </c>
      <c r="H423" s="1474" t="s">
        <v>1090</v>
      </c>
      <c r="I423" s="1478" t="s">
        <v>815</v>
      </c>
      <c r="J423" s="1478"/>
      <c r="K423" s="1475" t="s">
        <v>846</v>
      </c>
      <c r="L423" s="1474" t="s">
        <v>332</v>
      </c>
      <c r="M423" s="1476" t="s">
        <v>841</v>
      </c>
      <c r="N423" s="1477" t="s">
        <v>1695</v>
      </c>
      <c r="O423" s="1479">
        <v>3197</v>
      </c>
      <c r="P423" s="1479"/>
      <c r="Q423" s="1142">
        <f t="shared" si="109"/>
        <v>3197</v>
      </c>
      <c r="R423" s="1143">
        <f>IFERROR(VLOOKUP(CONCATENATE(E423,G423),'LAC 103'!$A$12:$O$95,11,FALSE),0)</f>
        <v>2.483156209074918</v>
      </c>
      <c r="S423" s="1144">
        <f>IFERROR(VLOOKUP(CONCATENATE($E423,$G423),'LAC 103'!$A$12:$O$95,12,FALSE),0)</f>
        <v>3.07</v>
      </c>
      <c r="T423" s="1144">
        <f>IFERROR(VLOOKUP(CONCATENATE($E423,$G423),'LAC 103'!$A$12:$O$95,13,FALSE),0)</f>
        <v>1.92</v>
      </c>
      <c r="U423" s="1144">
        <f>IFERROR(VLOOKUP(CONCATENATE($E423,$G423),'LAC 103'!$A$12:$O$95,14,FALSE),0)</f>
        <v>0</v>
      </c>
      <c r="V423" s="1144">
        <f>IFERROR(VLOOKUP(CONCATENATE($E423,$G423),'LAC 103'!$A$12:$O$95,15,FALSE),0)</f>
        <v>0</v>
      </c>
      <c r="W423" s="1145" t="str">
        <f>IFERROR(VLOOKUP(CONCATENATE($B423,$N423),'LAC 103'!$AI:$AQ,9,FALSE),"")</f>
        <v>Costs</v>
      </c>
      <c r="X423" s="1146">
        <f t="shared" si="114"/>
        <v>2.483156209074918</v>
      </c>
      <c r="Y423" s="1143">
        <f t="shared" si="115"/>
        <v>7938.6504004125127</v>
      </c>
      <c r="Z423" s="1147">
        <f t="shared" si="116"/>
        <v>9814.7899999999991</v>
      </c>
      <c r="AA423" s="1144">
        <f t="shared" si="117"/>
        <v>6138.24</v>
      </c>
      <c r="AB423" s="1144">
        <f t="shared" si="118"/>
        <v>0</v>
      </c>
      <c r="AC423" s="1144">
        <f t="shared" si="119"/>
        <v>0</v>
      </c>
      <c r="AD423" s="1148">
        <f t="shared" si="110"/>
        <v>7938.6504004125127</v>
      </c>
      <c r="AE423" s="1487">
        <v>0</v>
      </c>
      <c r="AF423" s="1145">
        <f t="shared" si="120"/>
        <v>7938.6504004125127</v>
      </c>
      <c r="AG423" s="1149">
        <f>IFERROR(VLOOKUP(CONCATENATE($L423,$N423),'Drop List'!$G$23:$K$87,2,FALSE),0)</f>
        <v>0</v>
      </c>
      <c r="AH423" s="1150">
        <f>IFERROR(VLOOKUP(CONCATENATE($L423,$N423),'Drop List'!$G$23:$K$87,3,FALSE),0)</f>
        <v>0</v>
      </c>
      <c r="AI423" s="1150">
        <f>IFERROR(VLOOKUP(CONCATENATE($L423,$N423),'Drop List'!$G$23:$K$87,4,FALSE),0)</f>
        <v>0</v>
      </c>
      <c r="AJ423" s="1151">
        <f>IFERROR(VLOOKUP(CONCATENATE($L423,$N423),'Drop List'!$G$23:$K$87,5,FALSE),0)</f>
        <v>0</v>
      </c>
      <c r="AK423" s="1152">
        <f t="shared" si="121"/>
        <v>0</v>
      </c>
      <c r="AL423" s="1153">
        <f t="shared" si="122"/>
        <v>0</v>
      </c>
      <c r="AM423" s="1153">
        <f t="shared" si="123"/>
        <v>0</v>
      </c>
      <c r="AN423" s="1145">
        <f t="shared" si="124"/>
        <v>0</v>
      </c>
      <c r="AO423" s="1154">
        <f t="shared" si="125"/>
        <v>0</v>
      </c>
      <c r="AP423" s="1147">
        <f t="shared" si="111"/>
        <v>7938.6504004125127</v>
      </c>
      <c r="AQ423" s="1144">
        <f t="shared" si="112"/>
        <v>0</v>
      </c>
      <c r="AR423" s="1146">
        <f t="shared" si="113"/>
        <v>7938.6504004125127</v>
      </c>
    </row>
    <row r="424" spans="1:44" x14ac:dyDescent="0.2">
      <c r="A424" s="1141" t="str">
        <f t="shared" si="108"/>
        <v>1505</v>
      </c>
      <c r="B424" s="1141" t="str">
        <f>IFERROR(VLOOKUP(A424,'LAC 103'!A:C,3,FALSE),"")</f>
        <v>OP</v>
      </c>
      <c r="C424" s="1478" t="str">
        <f>Info!$B$8</f>
        <v>00100</v>
      </c>
      <c r="D424" s="1474" t="s">
        <v>256</v>
      </c>
      <c r="E424" s="1474" t="s">
        <v>95</v>
      </c>
      <c r="F424" s="1478" t="s">
        <v>45</v>
      </c>
      <c r="G424" s="1478" t="s">
        <v>45</v>
      </c>
      <c r="H424" s="1474" t="s">
        <v>1090</v>
      </c>
      <c r="I424" s="1478" t="s">
        <v>815</v>
      </c>
      <c r="J424" s="1478"/>
      <c r="K424" s="1475" t="s">
        <v>846</v>
      </c>
      <c r="L424" s="1474" t="s">
        <v>332</v>
      </c>
      <c r="M424" s="1476" t="s">
        <v>840</v>
      </c>
      <c r="N424" s="1477" t="s">
        <v>1700</v>
      </c>
      <c r="O424" s="1479">
        <v>2568</v>
      </c>
      <c r="P424" s="1479"/>
      <c r="Q424" s="1142">
        <f t="shared" si="109"/>
        <v>2568</v>
      </c>
      <c r="R424" s="1143">
        <f>IFERROR(VLOOKUP(CONCATENATE(E424,G424),'LAC 103'!$A$12:$O$95,11,FALSE),0)</f>
        <v>2.483156209074918</v>
      </c>
      <c r="S424" s="1144">
        <f>IFERROR(VLOOKUP(CONCATENATE($E424,$G424),'LAC 103'!$A$12:$O$95,12,FALSE),0)</f>
        <v>3.07</v>
      </c>
      <c r="T424" s="1144">
        <f>IFERROR(VLOOKUP(CONCATENATE($E424,$G424),'LAC 103'!$A$12:$O$95,13,FALSE),0)</f>
        <v>1.92</v>
      </c>
      <c r="U424" s="1144">
        <f>IFERROR(VLOOKUP(CONCATENATE($E424,$G424),'LAC 103'!$A$12:$O$95,14,FALSE),0)</f>
        <v>0</v>
      </c>
      <c r="V424" s="1144">
        <f>IFERROR(VLOOKUP(CONCATENATE($E424,$G424),'LAC 103'!$A$12:$O$95,15,FALSE),0)</f>
        <v>0</v>
      </c>
      <c r="W424" s="1145" t="str">
        <f>IFERROR(VLOOKUP(CONCATENATE($B424,$N424),'LAC 103'!$AI:$AQ,9,FALSE),"")</f>
        <v>P.C.</v>
      </c>
      <c r="X424" s="1146">
        <f t="shared" si="114"/>
        <v>1.92</v>
      </c>
      <c r="Y424" s="1143">
        <f t="shared" si="115"/>
        <v>6376.7451449043892</v>
      </c>
      <c r="Z424" s="1147">
        <f t="shared" si="116"/>
        <v>7883.7599999999993</v>
      </c>
      <c r="AA424" s="1144">
        <f t="shared" si="117"/>
        <v>4930.5599999999995</v>
      </c>
      <c r="AB424" s="1144">
        <f t="shared" si="118"/>
        <v>0</v>
      </c>
      <c r="AC424" s="1144">
        <f t="shared" si="119"/>
        <v>0</v>
      </c>
      <c r="AD424" s="1148">
        <f t="shared" si="110"/>
        <v>4930.5599999999995</v>
      </c>
      <c r="AE424" s="1487">
        <v>0</v>
      </c>
      <c r="AF424" s="1145">
        <f t="shared" si="120"/>
        <v>4930.5599999999995</v>
      </c>
      <c r="AG424" s="1149">
        <f>IFERROR(VLOOKUP(CONCATENATE($L424,$N424),'Drop List'!$G$23:$K$87,2,FALSE),0)</f>
        <v>0</v>
      </c>
      <c r="AH424" s="1150">
        <f>IFERROR(VLOOKUP(CONCATENATE($L424,$N424),'Drop List'!$G$23:$K$87,3,FALSE),0)</f>
        <v>0</v>
      </c>
      <c r="AI424" s="1150">
        <f>IFERROR(VLOOKUP(CONCATENATE($L424,$N424),'Drop List'!$G$23:$K$87,4,FALSE),0)</f>
        <v>0</v>
      </c>
      <c r="AJ424" s="1151">
        <f>IFERROR(VLOOKUP(CONCATENATE($L424,$N424),'Drop List'!$G$23:$K$87,5,FALSE),0)</f>
        <v>0</v>
      </c>
      <c r="AK424" s="1152">
        <f t="shared" si="121"/>
        <v>0</v>
      </c>
      <c r="AL424" s="1153">
        <f t="shared" si="122"/>
        <v>0</v>
      </c>
      <c r="AM424" s="1153">
        <f t="shared" si="123"/>
        <v>0</v>
      </c>
      <c r="AN424" s="1145">
        <f t="shared" si="124"/>
        <v>0</v>
      </c>
      <c r="AO424" s="1154">
        <f t="shared" si="125"/>
        <v>0</v>
      </c>
      <c r="AP424" s="1147">
        <f t="shared" si="111"/>
        <v>4930.5599999999995</v>
      </c>
      <c r="AQ424" s="1144">
        <f t="shared" si="112"/>
        <v>0</v>
      </c>
      <c r="AR424" s="1146">
        <f t="shared" si="113"/>
        <v>4930.5599999999995</v>
      </c>
    </row>
    <row r="425" spans="1:44" x14ac:dyDescent="0.2">
      <c r="A425" s="1141" t="str">
        <f t="shared" si="108"/>
        <v>1505</v>
      </c>
      <c r="B425" s="1141" t="str">
        <f>IFERROR(VLOOKUP(A425,'LAC 103'!A:C,3,FALSE),"")</f>
        <v>OP</v>
      </c>
      <c r="C425" s="1478" t="str">
        <f>Info!$B$8</f>
        <v>00100</v>
      </c>
      <c r="D425" s="1474" t="s">
        <v>256</v>
      </c>
      <c r="E425" s="1474" t="s">
        <v>95</v>
      </c>
      <c r="F425" s="1478" t="s">
        <v>45</v>
      </c>
      <c r="G425" s="1478" t="s">
        <v>45</v>
      </c>
      <c r="H425" s="1474" t="s">
        <v>1090</v>
      </c>
      <c r="I425" s="1478" t="s">
        <v>815</v>
      </c>
      <c r="J425" s="1478"/>
      <c r="K425" s="1475" t="s">
        <v>846</v>
      </c>
      <c r="L425" s="1474" t="s">
        <v>332</v>
      </c>
      <c r="M425" s="1476" t="s">
        <v>842</v>
      </c>
      <c r="N425" s="1477" t="s">
        <v>1692</v>
      </c>
      <c r="O425" s="1479">
        <v>8602</v>
      </c>
      <c r="P425" s="1479"/>
      <c r="Q425" s="1142">
        <f t="shared" si="109"/>
        <v>8602</v>
      </c>
      <c r="R425" s="1143">
        <f>IFERROR(VLOOKUP(CONCATENATE(E425,G425),'LAC 103'!$A$12:$O$95,11,FALSE),0)</f>
        <v>2.483156209074918</v>
      </c>
      <c r="S425" s="1144">
        <f>IFERROR(VLOOKUP(CONCATENATE($E425,$G425),'LAC 103'!$A$12:$O$95,12,FALSE),0)</f>
        <v>3.07</v>
      </c>
      <c r="T425" s="1144">
        <f>IFERROR(VLOOKUP(CONCATENATE($E425,$G425),'LAC 103'!$A$12:$O$95,13,FALSE),0)</f>
        <v>1.92</v>
      </c>
      <c r="U425" s="1144">
        <f>IFERROR(VLOOKUP(CONCATENATE($E425,$G425),'LAC 103'!$A$12:$O$95,14,FALSE),0)</f>
        <v>0</v>
      </c>
      <c r="V425" s="1144">
        <f>IFERROR(VLOOKUP(CONCATENATE($E425,$G425),'LAC 103'!$A$12:$O$95,15,FALSE),0)</f>
        <v>0</v>
      </c>
      <c r="W425" s="1145" t="str">
        <f>IFERROR(VLOOKUP(CONCATENATE($B425,$N425),'LAC 103'!$AI:$AQ,9,FALSE),"")</f>
        <v>Costs</v>
      </c>
      <c r="X425" s="1146">
        <f t="shared" si="114"/>
        <v>2.483156209074918</v>
      </c>
      <c r="Y425" s="1143">
        <f t="shared" si="115"/>
        <v>21360.109710462446</v>
      </c>
      <c r="Z425" s="1147">
        <f t="shared" si="116"/>
        <v>26408.14</v>
      </c>
      <c r="AA425" s="1144">
        <f t="shared" si="117"/>
        <v>16515.84</v>
      </c>
      <c r="AB425" s="1144">
        <f t="shared" si="118"/>
        <v>0</v>
      </c>
      <c r="AC425" s="1144">
        <f t="shared" si="119"/>
        <v>0</v>
      </c>
      <c r="AD425" s="1148">
        <f t="shared" si="110"/>
        <v>21360.109710462446</v>
      </c>
      <c r="AE425" s="1487">
        <v>0</v>
      </c>
      <c r="AF425" s="1145">
        <f t="shared" si="120"/>
        <v>21360.109710462446</v>
      </c>
      <c r="AG425" s="1149">
        <f>IFERROR(VLOOKUP(CONCATENATE($L425,$N425),'Drop List'!$G$23:$K$87,2,FALSE),0)</f>
        <v>0</v>
      </c>
      <c r="AH425" s="1150">
        <f>IFERROR(VLOOKUP(CONCATENATE($L425,$N425),'Drop List'!$G$23:$K$87,3,FALSE),0)</f>
        <v>0</v>
      </c>
      <c r="AI425" s="1150">
        <f>IFERROR(VLOOKUP(CONCATENATE($L425,$N425),'Drop List'!$G$23:$K$87,4,FALSE),0)</f>
        <v>0</v>
      </c>
      <c r="AJ425" s="1151">
        <f>IFERROR(VLOOKUP(CONCATENATE($L425,$N425),'Drop List'!$G$23:$K$87,5,FALSE),0)</f>
        <v>0</v>
      </c>
      <c r="AK425" s="1152">
        <f t="shared" si="121"/>
        <v>0</v>
      </c>
      <c r="AL425" s="1153">
        <f t="shared" si="122"/>
        <v>0</v>
      </c>
      <c r="AM425" s="1153">
        <f t="shared" si="123"/>
        <v>0</v>
      </c>
      <c r="AN425" s="1145">
        <f t="shared" si="124"/>
        <v>0</v>
      </c>
      <c r="AO425" s="1154">
        <f t="shared" si="125"/>
        <v>0</v>
      </c>
      <c r="AP425" s="1147">
        <f t="shared" si="111"/>
        <v>21360.109710462446</v>
      </c>
      <c r="AQ425" s="1144">
        <f t="shared" si="112"/>
        <v>0</v>
      </c>
      <c r="AR425" s="1146">
        <f t="shared" si="113"/>
        <v>21360.109710462446</v>
      </c>
    </row>
    <row r="426" spans="1:44" x14ac:dyDescent="0.2">
      <c r="A426" s="1141" t="str">
        <f t="shared" si="108"/>
        <v>1505</v>
      </c>
      <c r="B426" s="1141" t="str">
        <f>IFERROR(VLOOKUP(A426,'LAC 103'!A:C,3,FALSE),"")</f>
        <v>OP</v>
      </c>
      <c r="C426" s="1478" t="str">
        <f>Info!$B$8</f>
        <v>00100</v>
      </c>
      <c r="D426" s="1474" t="s">
        <v>256</v>
      </c>
      <c r="E426" s="1474" t="s">
        <v>95</v>
      </c>
      <c r="F426" s="1478" t="s">
        <v>45</v>
      </c>
      <c r="G426" s="1478" t="s">
        <v>45</v>
      </c>
      <c r="H426" s="1474" t="s">
        <v>1090</v>
      </c>
      <c r="I426" s="1478" t="s">
        <v>815</v>
      </c>
      <c r="J426" s="1478"/>
      <c r="K426" s="1475" t="s">
        <v>846</v>
      </c>
      <c r="L426" s="1474" t="s">
        <v>332</v>
      </c>
      <c r="M426" s="1476" t="s">
        <v>1698</v>
      </c>
      <c r="N426" s="1477" t="s">
        <v>1693</v>
      </c>
      <c r="O426" s="1479">
        <v>11200</v>
      </c>
      <c r="P426" s="1479"/>
      <c r="Q426" s="1142">
        <f t="shared" si="109"/>
        <v>11200</v>
      </c>
      <c r="R426" s="1143">
        <f>IFERROR(VLOOKUP(CONCATENATE(E426,G426),'LAC 103'!$A$12:$O$95,11,FALSE),0)</f>
        <v>2.483156209074918</v>
      </c>
      <c r="S426" s="1144">
        <f>IFERROR(VLOOKUP(CONCATENATE($E426,$G426),'LAC 103'!$A$12:$O$95,12,FALSE),0)</f>
        <v>3.07</v>
      </c>
      <c r="T426" s="1144">
        <f>IFERROR(VLOOKUP(CONCATENATE($E426,$G426),'LAC 103'!$A$12:$O$95,13,FALSE),0)</f>
        <v>1.92</v>
      </c>
      <c r="U426" s="1144">
        <f>IFERROR(VLOOKUP(CONCATENATE($E426,$G426),'LAC 103'!$A$12:$O$95,14,FALSE),0)</f>
        <v>0</v>
      </c>
      <c r="V426" s="1144">
        <f>IFERROR(VLOOKUP(CONCATENATE($E426,$G426),'LAC 103'!$A$12:$O$95,15,FALSE),0)</f>
        <v>0</v>
      </c>
      <c r="W426" s="1145" t="str">
        <f>IFERROR(VLOOKUP(CONCATENATE($B426,$N426),'LAC 103'!$AI:$AQ,9,FALSE),"")</f>
        <v>Costs</v>
      </c>
      <c r="X426" s="1146">
        <f t="shared" si="114"/>
        <v>2.483156209074918</v>
      </c>
      <c r="Y426" s="1143">
        <f t="shared" si="115"/>
        <v>27811.34954163908</v>
      </c>
      <c r="Z426" s="1147">
        <f t="shared" si="116"/>
        <v>34384</v>
      </c>
      <c r="AA426" s="1144">
        <f t="shared" si="117"/>
        <v>21504</v>
      </c>
      <c r="AB426" s="1144">
        <f t="shared" si="118"/>
        <v>0</v>
      </c>
      <c r="AC426" s="1144">
        <f t="shared" si="119"/>
        <v>0</v>
      </c>
      <c r="AD426" s="1148">
        <f t="shared" si="110"/>
        <v>27811.34954163908</v>
      </c>
      <c r="AE426" s="1487">
        <v>0</v>
      </c>
      <c r="AF426" s="1145">
        <f t="shared" si="120"/>
        <v>27811.34954163908</v>
      </c>
      <c r="AG426" s="1149">
        <f>IFERROR(VLOOKUP(CONCATENATE($L426,$N426),'Drop List'!$G$23:$K$87,2,FALSE),0)</f>
        <v>0</v>
      </c>
      <c r="AH426" s="1150">
        <f>IFERROR(VLOOKUP(CONCATENATE($L426,$N426),'Drop List'!$G$23:$K$87,3,FALSE),0)</f>
        <v>0</v>
      </c>
      <c r="AI426" s="1150">
        <f>IFERROR(VLOOKUP(CONCATENATE($L426,$N426),'Drop List'!$G$23:$K$87,4,FALSE),0)</f>
        <v>0</v>
      </c>
      <c r="AJ426" s="1151">
        <f>IFERROR(VLOOKUP(CONCATENATE($L426,$N426),'Drop List'!$G$23:$K$87,5,FALSE),0)</f>
        <v>0</v>
      </c>
      <c r="AK426" s="1152">
        <f t="shared" si="121"/>
        <v>0</v>
      </c>
      <c r="AL426" s="1153">
        <f t="shared" si="122"/>
        <v>0</v>
      </c>
      <c r="AM426" s="1153">
        <f t="shared" si="123"/>
        <v>0</v>
      </c>
      <c r="AN426" s="1145">
        <f t="shared" si="124"/>
        <v>0</v>
      </c>
      <c r="AO426" s="1154">
        <f t="shared" si="125"/>
        <v>0</v>
      </c>
      <c r="AP426" s="1147">
        <f t="shared" si="111"/>
        <v>27811.34954163908</v>
      </c>
      <c r="AQ426" s="1144">
        <f t="shared" si="112"/>
        <v>0</v>
      </c>
      <c r="AR426" s="1146">
        <f t="shared" si="113"/>
        <v>27811.34954163908</v>
      </c>
    </row>
    <row r="427" spans="1:44" x14ac:dyDescent="0.2">
      <c r="A427" s="1141" t="str">
        <f t="shared" si="108"/>
        <v>1505</v>
      </c>
      <c r="B427" s="1141" t="str">
        <f>IFERROR(VLOOKUP(A427,'LAC 103'!A:C,3,FALSE),"")</f>
        <v>OP</v>
      </c>
      <c r="C427" s="1478" t="str">
        <f>Info!$B$8</f>
        <v>00100</v>
      </c>
      <c r="D427" s="1474" t="s">
        <v>256</v>
      </c>
      <c r="E427" s="1474" t="s">
        <v>95</v>
      </c>
      <c r="F427" s="1478" t="s">
        <v>45</v>
      </c>
      <c r="G427" s="1478" t="s">
        <v>45</v>
      </c>
      <c r="H427" s="1474" t="s">
        <v>989</v>
      </c>
      <c r="I427" s="1478" t="s">
        <v>823</v>
      </c>
      <c r="J427" s="1478" t="s">
        <v>1998</v>
      </c>
      <c r="K427" s="1475" t="s">
        <v>846</v>
      </c>
      <c r="L427" s="1474" t="s">
        <v>332</v>
      </c>
      <c r="M427" s="1476" t="s">
        <v>1699</v>
      </c>
      <c r="N427" s="1477" t="s">
        <v>1694</v>
      </c>
      <c r="O427" s="1479">
        <v>297</v>
      </c>
      <c r="P427" s="1479"/>
      <c r="Q427" s="1142">
        <f t="shared" si="109"/>
        <v>297</v>
      </c>
      <c r="R427" s="1143">
        <f>IFERROR(VLOOKUP(CONCATENATE(E427,G427),'LAC 103'!$A$12:$O$95,11,FALSE),0)</f>
        <v>2.483156209074918</v>
      </c>
      <c r="S427" s="1144">
        <f>IFERROR(VLOOKUP(CONCATENATE($E427,$G427),'LAC 103'!$A$12:$O$95,12,FALSE),0)</f>
        <v>3.07</v>
      </c>
      <c r="T427" s="1144">
        <f>IFERROR(VLOOKUP(CONCATENATE($E427,$G427),'LAC 103'!$A$12:$O$95,13,FALSE),0)</f>
        <v>1.92</v>
      </c>
      <c r="U427" s="1144">
        <f>IFERROR(VLOOKUP(CONCATENATE($E427,$G427),'LAC 103'!$A$12:$O$95,14,FALSE),0)</f>
        <v>0</v>
      </c>
      <c r="V427" s="1144">
        <f>IFERROR(VLOOKUP(CONCATENATE($E427,$G427),'LAC 103'!$A$12:$O$95,15,FALSE),0)</f>
        <v>0</v>
      </c>
      <c r="W427" s="1145" t="str">
        <f>IFERROR(VLOOKUP(CONCATENATE($B427,$N427),'LAC 103'!$AI:$AQ,9,FALSE),"")</f>
        <v>Costs</v>
      </c>
      <c r="X427" s="1146">
        <f t="shared" si="114"/>
        <v>2.483156209074918</v>
      </c>
      <c r="Y427" s="1143">
        <f t="shared" si="115"/>
        <v>737.49739409525068</v>
      </c>
      <c r="Z427" s="1147">
        <f t="shared" si="116"/>
        <v>911.79</v>
      </c>
      <c r="AA427" s="1144">
        <f t="shared" si="117"/>
        <v>570.24</v>
      </c>
      <c r="AB427" s="1144">
        <f t="shared" si="118"/>
        <v>0</v>
      </c>
      <c r="AC427" s="1144">
        <f t="shared" si="119"/>
        <v>0</v>
      </c>
      <c r="AD427" s="1148">
        <f t="shared" si="110"/>
        <v>737.49739409525068</v>
      </c>
      <c r="AE427" s="1487">
        <v>0</v>
      </c>
      <c r="AF427" s="1145">
        <f t="shared" si="120"/>
        <v>737.49739409525068</v>
      </c>
      <c r="AG427" s="1149">
        <f>IFERROR(VLOOKUP(CONCATENATE($L427,$N427),'Drop List'!$G$23:$K$87,2,FALSE),0)</f>
        <v>0</v>
      </c>
      <c r="AH427" s="1150">
        <f>IFERROR(VLOOKUP(CONCATENATE($L427,$N427),'Drop List'!$G$23:$K$87,3,FALSE),0)</f>
        <v>0</v>
      </c>
      <c r="AI427" s="1150">
        <f>IFERROR(VLOOKUP(CONCATENATE($L427,$N427),'Drop List'!$G$23:$K$87,4,FALSE),0)</f>
        <v>0</v>
      </c>
      <c r="AJ427" s="1151">
        <f>IFERROR(VLOOKUP(CONCATENATE($L427,$N427),'Drop List'!$G$23:$K$87,5,FALSE),0)</f>
        <v>0</v>
      </c>
      <c r="AK427" s="1152">
        <f t="shared" si="121"/>
        <v>0</v>
      </c>
      <c r="AL427" s="1153">
        <f t="shared" si="122"/>
        <v>0</v>
      </c>
      <c r="AM427" s="1153">
        <f t="shared" si="123"/>
        <v>0</v>
      </c>
      <c r="AN427" s="1145">
        <f t="shared" si="124"/>
        <v>0</v>
      </c>
      <c r="AO427" s="1154">
        <f t="shared" si="125"/>
        <v>0</v>
      </c>
      <c r="AP427" s="1147">
        <f t="shared" si="111"/>
        <v>737.49739409525068</v>
      </c>
      <c r="AQ427" s="1144">
        <f t="shared" si="112"/>
        <v>0</v>
      </c>
      <c r="AR427" s="1146">
        <f t="shared" si="113"/>
        <v>737.49739409525068</v>
      </c>
    </row>
    <row r="428" spans="1:44" x14ac:dyDescent="0.2">
      <c r="A428" s="1141" t="str">
        <f t="shared" si="108"/>
        <v>1505</v>
      </c>
      <c r="B428" s="1141" t="str">
        <f>IFERROR(VLOOKUP(A428,'LAC 103'!A:C,3,FALSE),"")</f>
        <v>OP</v>
      </c>
      <c r="C428" s="1478" t="str">
        <f>Info!$B$8</f>
        <v>00100</v>
      </c>
      <c r="D428" s="1474" t="s">
        <v>256</v>
      </c>
      <c r="E428" s="1474" t="s">
        <v>95</v>
      </c>
      <c r="F428" s="1478" t="s">
        <v>45</v>
      </c>
      <c r="G428" s="1478" t="s">
        <v>45</v>
      </c>
      <c r="H428" s="1474" t="s">
        <v>989</v>
      </c>
      <c r="I428" s="1478" t="s">
        <v>823</v>
      </c>
      <c r="J428" s="1478" t="s">
        <v>1998</v>
      </c>
      <c r="K428" s="1475" t="s">
        <v>846</v>
      </c>
      <c r="L428" s="1474" t="s">
        <v>332</v>
      </c>
      <c r="M428" s="1476" t="s">
        <v>841</v>
      </c>
      <c r="N428" s="1477" t="s">
        <v>1695</v>
      </c>
      <c r="O428" s="1479">
        <v>89</v>
      </c>
      <c r="P428" s="1479"/>
      <c r="Q428" s="1142">
        <f t="shared" si="109"/>
        <v>89</v>
      </c>
      <c r="R428" s="1143">
        <f>IFERROR(VLOOKUP(CONCATENATE(E428,G428),'LAC 103'!$A$12:$O$95,11,FALSE),0)</f>
        <v>2.483156209074918</v>
      </c>
      <c r="S428" s="1144">
        <f>IFERROR(VLOOKUP(CONCATENATE($E428,$G428),'LAC 103'!$A$12:$O$95,12,FALSE),0)</f>
        <v>3.07</v>
      </c>
      <c r="T428" s="1144">
        <f>IFERROR(VLOOKUP(CONCATENATE($E428,$G428),'LAC 103'!$A$12:$O$95,13,FALSE),0)</f>
        <v>1.92</v>
      </c>
      <c r="U428" s="1144">
        <f>IFERROR(VLOOKUP(CONCATENATE($E428,$G428),'LAC 103'!$A$12:$O$95,14,FALSE),0)</f>
        <v>0</v>
      </c>
      <c r="V428" s="1144">
        <f>IFERROR(VLOOKUP(CONCATENATE($E428,$G428),'LAC 103'!$A$12:$O$95,15,FALSE),0)</f>
        <v>0</v>
      </c>
      <c r="W428" s="1145" t="str">
        <f>IFERROR(VLOOKUP(CONCATENATE($B428,$N428),'LAC 103'!$AI:$AQ,9,FALSE),"")</f>
        <v>Costs</v>
      </c>
      <c r="X428" s="1146">
        <f t="shared" si="114"/>
        <v>2.483156209074918</v>
      </c>
      <c r="Y428" s="1143">
        <f t="shared" si="115"/>
        <v>221.00090260766771</v>
      </c>
      <c r="Z428" s="1147">
        <f t="shared" si="116"/>
        <v>273.22999999999996</v>
      </c>
      <c r="AA428" s="1144">
        <f t="shared" si="117"/>
        <v>170.88</v>
      </c>
      <c r="AB428" s="1144">
        <f t="shared" si="118"/>
        <v>0</v>
      </c>
      <c r="AC428" s="1144">
        <f t="shared" si="119"/>
        <v>0</v>
      </c>
      <c r="AD428" s="1148">
        <f t="shared" si="110"/>
        <v>221.00090260766771</v>
      </c>
      <c r="AE428" s="1487">
        <v>0</v>
      </c>
      <c r="AF428" s="1145">
        <f t="shared" si="120"/>
        <v>221.00090260766771</v>
      </c>
      <c r="AG428" s="1149">
        <f>IFERROR(VLOOKUP(CONCATENATE($L428,$N428),'Drop List'!$G$23:$K$87,2,FALSE),0)</f>
        <v>0</v>
      </c>
      <c r="AH428" s="1150">
        <f>IFERROR(VLOOKUP(CONCATENATE($L428,$N428),'Drop List'!$G$23:$K$87,3,FALSE),0)</f>
        <v>0</v>
      </c>
      <c r="AI428" s="1150">
        <f>IFERROR(VLOOKUP(CONCATENATE($L428,$N428),'Drop List'!$G$23:$K$87,4,FALSE),0)</f>
        <v>0</v>
      </c>
      <c r="AJ428" s="1151">
        <f>IFERROR(VLOOKUP(CONCATENATE($L428,$N428),'Drop List'!$G$23:$K$87,5,FALSE),0)</f>
        <v>0</v>
      </c>
      <c r="AK428" s="1152">
        <f t="shared" si="121"/>
        <v>0</v>
      </c>
      <c r="AL428" s="1153">
        <f t="shared" si="122"/>
        <v>0</v>
      </c>
      <c r="AM428" s="1153">
        <f t="shared" si="123"/>
        <v>0</v>
      </c>
      <c r="AN428" s="1145">
        <f t="shared" si="124"/>
        <v>0</v>
      </c>
      <c r="AO428" s="1154">
        <f t="shared" si="125"/>
        <v>0</v>
      </c>
      <c r="AP428" s="1147">
        <f t="shared" si="111"/>
        <v>221.00090260766771</v>
      </c>
      <c r="AQ428" s="1144">
        <f t="shared" si="112"/>
        <v>0</v>
      </c>
      <c r="AR428" s="1146">
        <f t="shared" si="113"/>
        <v>221.00090260766771</v>
      </c>
    </row>
    <row r="429" spans="1:44" x14ac:dyDescent="0.2">
      <c r="A429" s="1141" t="str">
        <f t="shared" si="108"/>
        <v>1505</v>
      </c>
      <c r="B429" s="1141" t="str">
        <f>IFERROR(VLOOKUP(A429,'LAC 103'!A:C,3,FALSE),"")</f>
        <v>OP</v>
      </c>
      <c r="C429" s="1478" t="str">
        <f>Info!$B$8</f>
        <v>00100</v>
      </c>
      <c r="D429" s="1474" t="s">
        <v>256</v>
      </c>
      <c r="E429" s="1474" t="s">
        <v>95</v>
      </c>
      <c r="F429" s="1478" t="s">
        <v>45</v>
      </c>
      <c r="G429" s="1478" t="s">
        <v>45</v>
      </c>
      <c r="H429" s="1474" t="s">
        <v>989</v>
      </c>
      <c r="I429" s="1478" t="s">
        <v>823</v>
      </c>
      <c r="J429" s="1478" t="s">
        <v>1998</v>
      </c>
      <c r="K429" s="1475" t="s">
        <v>846</v>
      </c>
      <c r="L429" s="1474" t="s">
        <v>332</v>
      </c>
      <c r="M429" s="1476" t="s">
        <v>840</v>
      </c>
      <c r="N429" s="1477" t="s">
        <v>1700</v>
      </c>
      <c r="O429" s="1479">
        <v>157</v>
      </c>
      <c r="P429" s="1479"/>
      <c r="Q429" s="1142">
        <f t="shared" si="109"/>
        <v>157</v>
      </c>
      <c r="R429" s="1143">
        <f>IFERROR(VLOOKUP(CONCATENATE(E429,G429),'LAC 103'!$A$12:$O$95,11,FALSE),0)</f>
        <v>2.483156209074918</v>
      </c>
      <c r="S429" s="1144">
        <f>IFERROR(VLOOKUP(CONCATENATE($E429,$G429),'LAC 103'!$A$12:$O$95,12,FALSE),0)</f>
        <v>3.07</v>
      </c>
      <c r="T429" s="1144">
        <f>IFERROR(VLOOKUP(CONCATENATE($E429,$G429),'LAC 103'!$A$12:$O$95,13,FALSE),0)</f>
        <v>1.92</v>
      </c>
      <c r="U429" s="1144">
        <f>IFERROR(VLOOKUP(CONCATENATE($E429,$G429),'LAC 103'!$A$12:$O$95,14,FALSE),0)</f>
        <v>0</v>
      </c>
      <c r="V429" s="1144">
        <f>IFERROR(VLOOKUP(CONCATENATE($E429,$G429),'LAC 103'!$A$12:$O$95,15,FALSE),0)</f>
        <v>0</v>
      </c>
      <c r="W429" s="1145" t="str">
        <f>IFERROR(VLOOKUP(CONCATENATE($B429,$N429),'LAC 103'!$AI:$AQ,9,FALSE),"")</f>
        <v>P.C.</v>
      </c>
      <c r="X429" s="1146">
        <f t="shared" si="114"/>
        <v>1.92</v>
      </c>
      <c r="Y429" s="1143">
        <f t="shared" si="115"/>
        <v>389.85552482476214</v>
      </c>
      <c r="Z429" s="1147">
        <f t="shared" si="116"/>
        <v>481.98999999999995</v>
      </c>
      <c r="AA429" s="1144">
        <f t="shared" si="117"/>
        <v>301.44</v>
      </c>
      <c r="AB429" s="1144">
        <f t="shared" si="118"/>
        <v>0</v>
      </c>
      <c r="AC429" s="1144">
        <f t="shared" si="119"/>
        <v>0</v>
      </c>
      <c r="AD429" s="1148">
        <f t="shared" si="110"/>
        <v>301.44</v>
      </c>
      <c r="AE429" s="1487">
        <v>0</v>
      </c>
      <c r="AF429" s="1145">
        <f t="shared" si="120"/>
        <v>301.44</v>
      </c>
      <c r="AG429" s="1149">
        <f>IFERROR(VLOOKUP(CONCATENATE($L429,$N429),'Drop List'!$G$23:$K$87,2,FALSE),0)</f>
        <v>0</v>
      </c>
      <c r="AH429" s="1150">
        <f>IFERROR(VLOOKUP(CONCATENATE($L429,$N429),'Drop List'!$G$23:$K$87,3,FALSE),0)</f>
        <v>0</v>
      </c>
      <c r="AI429" s="1150">
        <f>IFERROR(VLOOKUP(CONCATENATE($L429,$N429),'Drop List'!$G$23:$K$87,4,FALSE),0)</f>
        <v>0</v>
      </c>
      <c r="AJ429" s="1151">
        <f>IFERROR(VLOOKUP(CONCATENATE($L429,$N429),'Drop List'!$G$23:$K$87,5,FALSE),0)</f>
        <v>0</v>
      </c>
      <c r="AK429" s="1152">
        <f t="shared" si="121"/>
        <v>0</v>
      </c>
      <c r="AL429" s="1153">
        <f t="shared" si="122"/>
        <v>0</v>
      </c>
      <c r="AM429" s="1153">
        <f t="shared" si="123"/>
        <v>0</v>
      </c>
      <c r="AN429" s="1145">
        <f t="shared" si="124"/>
        <v>0</v>
      </c>
      <c r="AO429" s="1154">
        <f t="shared" si="125"/>
        <v>0</v>
      </c>
      <c r="AP429" s="1147">
        <f t="shared" si="111"/>
        <v>301.44</v>
      </c>
      <c r="AQ429" s="1144">
        <f t="shared" si="112"/>
        <v>0</v>
      </c>
      <c r="AR429" s="1146">
        <f t="shared" si="113"/>
        <v>301.44</v>
      </c>
    </row>
    <row r="430" spans="1:44" x14ac:dyDescent="0.2">
      <c r="A430" s="1141" t="str">
        <f t="shared" si="108"/>
        <v>1505</v>
      </c>
      <c r="B430" s="1141" t="str">
        <f>IFERROR(VLOOKUP(A430,'LAC 103'!A:C,3,FALSE),"")</f>
        <v>OP</v>
      </c>
      <c r="C430" s="1478" t="str">
        <f>Info!$B$8</f>
        <v>00100</v>
      </c>
      <c r="D430" s="1474" t="s">
        <v>256</v>
      </c>
      <c r="E430" s="1474" t="s">
        <v>95</v>
      </c>
      <c r="F430" s="1478" t="s">
        <v>45</v>
      </c>
      <c r="G430" s="1478" t="s">
        <v>45</v>
      </c>
      <c r="H430" s="1474" t="s">
        <v>989</v>
      </c>
      <c r="I430" s="1478" t="s">
        <v>823</v>
      </c>
      <c r="J430" s="1478" t="s">
        <v>1998</v>
      </c>
      <c r="K430" s="1475" t="s">
        <v>846</v>
      </c>
      <c r="L430" s="1474" t="s">
        <v>332</v>
      </c>
      <c r="M430" s="1476" t="s">
        <v>842</v>
      </c>
      <c r="N430" s="1477" t="s">
        <v>1692</v>
      </c>
      <c r="O430" s="1479">
        <v>273</v>
      </c>
      <c r="P430" s="1479"/>
      <c r="Q430" s="1142">
        <f t="shared" si="109"/>
        <v>273</v>
      </c>
      <c r="R430" s="1143">
        <f>IFERROR(VLOOKUP(CONCATENATE(E430,G430),'LAC 103'!$A$12:$O$95,11,FALSE),0)</f>
        <v>2.483156209074918</v>
      </c>
      <c r="S430" s="1144">
        <f>IFERROR(VLOOKUP(CONCATENATE($E430,$G430),'LAC 103'!$A$12:$O$95,12,FALSE),0)</f>
        <v>3.07</v>
      </c>
      <c r="T430" s="1144">
        <f>IFERROR(VLOOKUP(CONCATENATE($E430,$G430),'LAC 103'!$A$12:$O$95,13,FALSE),0)</f>
        <v>1.92</v>
      </c>
      <c r="U430" s="1144">
        <f>IFERROR(VLOOKUP(CONCATENATE($E430,$G430),'LAC 103'!$A$12:$O$95,14,FALSE),0)</f>
        <v>0</v>
      </c>
      <c r="V430" s="1144">
        <f>IFERROR(VLOOKUP(CONCATENATE($E430,$G430),'LAC 103'!$A$12:$O$95,15,FALSE),0)</f>
        <v>0</v>
      </c>
      <c r="W430" s="1145" t="str">
        <f>IFERROR(VLOOKUP(CONCATENATE($B430,$N430),'LAC 103'!$AI:$AQ,9,FALSE),"")</f>
        <v>Costs</v>
      </c>
      <c r="X430" s="1146">
        <f t="shared" si="114"/>
        <v>2.483156209074918</v>
      </c>
      <c r="Y430" s="1143">
        <f t="shared" si="115"/>
        <v>677.9016450774526</v>
      </c>
      <c r="Z430" s="1147">
        <f t="shared" si="116"/>
        <v>838.1099999999999</v>
      </c>
      <c r="AA430" s="1144">
        <f t="shared" si="117"/>
        <v>524.16</v>
      </c>
      <c r="AB430" s="1144">
        <f t="shared" si="118"/>
        <v>0</v>
      </c>
      <c r="AC430" s="1144">
        <f t="shared" si="119"/>
        <v>0</v>
      </c>
      <c r="AD430" s="1148">
        <f t="shared" si="110"/>
        <v>677.9016450774526</v>
      </c>
      <c r="AE430" s="1487">
        <v>0</v>
      </c>
      <c r="AF430" s="1145">
        <f t="shared" si="120"/>
        <v>677.9016450774526</v>
      </c>
      <c r="AG430" s="1149">
        <f>IFERROR(VLOOKUP(CONCATENATE($L430,$N430),'Drop List'!$G$23:$K$87,2,FALSE),0)</f>
        <v>0</v>
      </c>
      <c r="AH430" s="1150">
        <f>IFERROR(VLOOKUP(CONCATENATE($L430,$N430),'Drop List'!$G$23:$K$87,3,FALSE),0)</f>
        <v>0</v>
      </c>
      <c r="AI430" s="1150">
        <f>IFERROR(VLOOKUP(CONCATENATE($L430,$N430),'Drop List'!$G$23:$K$87,4,FALSE),0)</f>
        <v>0</v>
      </c>
      <c r="AJ430" s="1151">
        <f>IFERROR(VLOOKUP(CONCATENATE($L430,$N430),'Drop List'!$G$23:$K$87,5,FALSE),0)</f>
        <v>0</v>
      </c>
      <c r="AK430" s="1152">
        <f t="shared" si="121"/>
        <v>0</v>
      </c>
      <c r="AL430" s="1153">
        <f t="shared" si="122"/>
        <v>0</v>
      </c>
      <c r="AM430" s="1153">
        <f t="shared" si="123"/>
        <v>0</v>
      </c>
      <c r="AN430" s="1145">
        <f t="shared" si="124"/>
        <v>0</v>
      </c>
      <c r="AO430" s="1154">
        <f t="shared" si="125"/>
        <v>0</v>
      </c>
      <c r="AP430" s="1147">
        <f t="shared" si="111"/>
        <v>677.9016450774526</v>
      </c>
      <c r="AQ430" s="1144">
        <f t="shared" si="112"/>
        <v>0</v>
      </c>
      <c r="AR430" s="1146">
        <f t="shared" si="113"/>
        <v>677.9016450774526</v>
      </c>
    </row>
    <row r="431" spans="1:44" x14ac:dyDescent="0.2">
      <c r="A431" s="1141" t="str">
        <f t="shared" si="108"/>
        <v>1505</v>
      </c>
      <c r="B431" s="1141" t="str">
        <f>IFERROR(VLOOKUP(A431,'LAC 103'!A:C,3,FALSE),"")</f>
        <v>OP</v>
      </c>
      <c r="C431" s="1478" t="str">
        <f>Info!$B$8</f>
        <v>00100</v>
      </c>
      <c r="D431" s="1474" t="s">
        <v>256</v>
      </c>
      <c r="E431" s="1474" t="s">
        <v>95</v>
      </c>
      <c r="F431" s="1478" t="s">
        <v>45</v>
      </c>
      <c r="G431" s="1478" t="s">
        <v>45</v>
      </c>
      <c r="H431" s="1474" t="s">
        <v>989</v>
      </c>
      <c r="I431" s="1478" t="s">
        <v>823</v>
      </c>
      <c r="J431" s="1478" t="s">
        <v>1998</v>
      </c>
      <c r="K431" s="1475" t="s">
        <v>846</v>
      </c>
      <c r="L431" s="1474" t="s">
        <v>332</v>
      </c>
      <c r="M431" s="1476" t="s">
        <v>1698</v>
      </c>
      <c r="N431" s="1477" t="s">
        <v>1693</v>
      </c>
      <c r="O431" s="1479">
        <v>556</v>
      </c>
      <c r="P431" s="1479"/>
      <c r="Q431" s="1142">
        <f t="shared" si="109"/>
        <v>556</v>
      </c>
      <c r="R431" s="1143">
        <f>IFERROR(VLOOKUP(CONCATENATE(E431,G431),'LAC 103'!$A$12:$O$95,11,FALSE),0)</f>
        <v>2.483156209074918</v>
      </c>
      <c r="S431" s="1144">
        <f>IFERROR(VLOOKUP(CONCATENATE($E431,$G431),'LAC 103'!$A$12:$O$95,12,FALSE),0)</f>
        <v>3.07</v>
      </c>
      <c r="T431" s="1144">
        <f>IFERROR(VLOOKUP(CONCATENATE($E431,$G431),'LAC 103'!$A$12:$O$95,13,FALSE),0)</f>
        <v>1.92</v>
      </c>
      <c r="U431" s="1144">
        <f>IFERROR(VLOOKUP(CONCATENATE($E431,$G431),'LAC 103'!$A$12:$O$95,14,FALSE),0)</f>
        <v>0</v>
      </c>
      <c r="V431" s="1144">
        <f>IFERROR(VLOOKUP(CONCATENATE($E431,$G431),'LAC 103'!$A$12:$O$95,15,FALSE),0)</f>
        <v>0</v>
      </c>
      <c r="W431" s="1145" t="str">
        <f>IFERROR(VLOOKUP(CONCATENATE($B431,$N431),'LAC 103'!$AI:$AQ,9,FALSE),"")</f>
        <v>Costs</v>
      </c>
      <c r="X431" s="1146">
        <f t="shared" si="114"/>
        <v>2.483156209074918</v>
      </c>
      <c r="Y431" s="1143">
        <f t="shared" si="115"/>
        <v>1380.6348522456544</v>
      </c>
      <c r="Z431" s="1147">
        <f t="shared" si="116"/>
        <v>1706.9199999999998</v>
      </c>
      <c r="AA431" s="1144">
        <f t="shared" si="117"/>
        <v>1067.52</v>
      </c>
      <c r="AB431" s="1144">
        <f t="shared" si="118"/>
        <v>0</v>
      </c>
      <c r="AC431" s="1144">
        <f t="shared" si="119"/>
        <v>0</v>
      </c>
      <c r="AD431" s="1148">
        <f t="shared" si="110"/>
        <v>1380.6348522456544</v>
      </c>
      <c r="AE431" s="1487">
        <v>0</v>
      </c>
      <c r="AF431" s="1145">
        <f t="shared" si="120"/>
        <v>1380.6348522456544</v>
      </c>
      <c r="AG431" s="1149">
        <f>IFERROR(VLOOKUP(CONCATENATE($L431,$N431),'Drop List'!$G$23:$K$87,2,FALSE),0)</f>
        <v>0</v>
      </c>
      <c r="AH431" s="1150">
        <f>IFERROR(VLOOKUP(CONCATENATE($L431,$N431),'Drop List'!$G$23:$K$87,3,FALSE),0)</f>
        <v>0</v>
      </c>
      <c r="AI431" s="1150">
        <f>IFERROR(VLOOKUP(CONCATENATE($L431,$N431),'Drop List'!$G$23:$K$87,4,FALSE),0)</f>
        <v>0</v>
      </c>
      <c r="AJ431" s="1151">
        <f>IFERROR(VLOOKUP(CONCATENATE($L431,$N431),'Drop List'!$G$23:$K$87,5,FALSE),0)</f>
        <v>0</v>
      </c>
      <c r="AK431" s="1152">
        <f t="shared" si="121"/>
        <v>0</v>
      </c>
      <c r="AL431" s="1153">
        <f t="shared" si="122"/>
        <v>0</v>
      </c>
      <c r="AM431" s="1153">
        <f t="shared" si="123"/>
        <v>0</v>
      </c>
      <c r="AN431" s="1145">
        <f t="shared" si="124"/>
        <v>0</v>
      </c>
      <c r="AO431" s="1154">
        <f t="shared" si="125"/>
        <v>0</v>
      </c>
      <c r="AP431" s="1147">
        <f t="shared" si="111"/>
        <v>1380.6348522456544</v>
      </c>
      <c r="AQ431" s="1144">
        <f t="shared" si="112"/>
        <v>0</v>
      </c>
      <c r="AR431" s="1146">
        <f t="shared" si="113"/>
        <v>1380.6348522456544</v>
      </c>
    </row>
    <row r="432" spans="1:44" x14ac:dyDescent="0.2">
      <c r="A432" s="1141" t="str">
        <f t="shared" si="108"/>
        <v>1505</v>
      </c>
      <c r="B432" s="1141" t="str">
        <f>IFERROR(VLOOKUP(A432,'LAC 103'!A:C,3,FALSE),"")</f>
        <v>OP</v>
      </c>
      <c r="C432" s="1478" t="str">
        <f>Info!$B$8</f>
        <v>00100</v>
      </c>
      <c r="D432" s="1474" t="s">
        <v>256</v>
      </c>
      <c r="E432" s="1474" t="s">
        <v>95</v>
      </c>
      <c r="F432" s="1478" t="s">
        <v>45</v>
      </c>
      <c r="G432" s="1478" t="s">
        <v>45</v>
      </c>
      <c r="H432" s="1474" t="s">
        <v>989</v>
      </c>
      <c r="I432" s="1478" t="s">
        <v>823</v>
      </c>
      <c r="J432" s="1478" t="s">
        <v>1999</v>
      </c>
      <c r="K432" s="1475" t="s">
        <v>846</v>
      </c>
      <c r="L432" s="1474" t="s">
        <v>332</v>
      </c>
      <c r="M432" s="1476" t="s">
        <v>1699</v>
      </c>
      <c r="N432" s="1477" t="s">
        <v>1694</v>
      </c>
      <c r="O432" s="1479">
        <v>562</v>
      </c>
      <c r="P432" s="1479"/>
      <c r="Q432" s="1142">
        <f t="shared" si="109"/>
        <v>562</v>
      </c>
      <c r="R432" s="1143">
        <f>IFERROR(VLOOKUP(CONCATENATE(E432,G432),'LAC 103'!$A$12:$O$95,11,FALSE),0)</f>
        <v>2.483156209074918</v>
      </c>
      <c r="S432" s="1144">
        <f>IFERROR(VLOOKUP(CONCATENATE($E432,$G432),'LAC 103'!$A$12:$O$95,12,FALSE),0)</f>
        <v>3.07</v>
      </c>
      <c r="T432" s="1144">
        <f>IFERROR(VLOOKUP(CONCATENATE($E432,$G432),'LAC 103'!$A$12:$O$95,13,FALSE),0)</f>
        <v>1.92</v>
      </c>
      <c r="U432" s="1144">
        <f>IFERROR(VLOOKUP(CONCATENATE($E432,$G432),'LAC 103'!$A$12:$O$95,14,FALSE),0)</f>
        <v>0</v>
      </c>
      <c r="V432" s="1144">
        <f>IFERROR(VLOOKUP(CONCATENATE($E432,$G432),'LAC 103'!$A$12:$O$95,15,FALSE),0)</f>
        <v>0</v>
      </c>
      <c r="W432" s="1145" t="str">
        <f>IFERROR(VLOOKUP(CONCATENATE($B432,$N432),'LAC 103'!$AI:$AQ,9,FALSE),"")</f>
        <v>Costs</v>
      </c>
      <c r="X432" s="1146">
        <f t="shared" si="114"/>
        <v>2.483156209074918</v>
      </c>
      <c r="Y432" s="1143">
        <f t="shared" si="115"/>
        <v>1395.5337895001039</v>
      </c>
      <c r="Z432" s="1147">
        <f t="shared" si="116"/>
        <v>1725.34</v>
      </c>
      <c r="AA432" s="1144">
        <f t="shared" si="117"/>
        <v>1079.04</v>
      </c>
      <c r="AB432" s="1144">
        <f t="shared" si="118"/>
        <v>0</v>
      </c>
      <c r="AC432" s="1144">
        <f t="shared" si="119"/>
        <v>0</v>
      </c>
      <c r="AD432" s="1148">
        <f t="shared" si="110"/>
        <v>1395.5337895001039</v>
      </c>
      <c r="AE432" s="1487">
        <v>0</v>
      </c>
      <c r="AF432" s="1145">
        <f t="shared" si="120"/>
        <v>1395.5337895001039</v>
      </c>
      <c r="AG432" s="1149">
        <f>IFERROR(VLOOKUP(CONCATENATE($L432,$N432),'Drop List'!$G$23:$K$87,2,FALSE),0)</f>
        <v>0</v>
      </c>
      <c r="AH432" s="1150">
        <f>IFERROR(VLOOKUP(CONCATENATE($L432,$N432),'Drop List'!$G$23:$K$87,3,FALSE),0)</f>
        <v>0</v>
      </c>
      <c r="AI432" s="1150">
        <f>IFERROR(VLOOKUP(CONCATENATE($L432,$N432),'Drop List'!$G$23:$K$87,4,FALSE),0)</f>
        <v>0</v>
      </c>
      <c r="AJ432" s="1151">
        <f>IFERROR(VLOOKUP(CONCATENATE($L432,$N432),'Drop List'!$G$23:$K$87,5,FALSE),0)</f>
        <v>0</v>
      </c>
      <c r="AK432" s="1152">
        <f t="shared" si="121"/>
        <v>0</v>
      </c>
      <c r="AL432" s="1153">
        <f t="shared" si="122"/>
        <v>0</v>
      </c>
      <c r="AM432" s="1153">
        <f t="shared" si="123"/>
        <v>0</v>
      </c>
      <c r="AN432" s="1145">
        <f t="shared" si="124"/>
        <v>0</v>
      </c>
      <c r="AO432" s="1154">
        <f t="shared" si="125"/>
        <v>0</v>
      </c>
      <c r="AP432" s="1147">
        <f t="shared" si="111"/>
        <v>1395.5337895001039</v>
      </c>
      <c r="AQ432" s="1144">
        <f t="shared" si="112"/>
        <v>0</v>
      </c>
      <c r="AR432" s="1146">
        <f t="shared" si="113"/>
        <v>1395.5337895001039</v>
      </c>
    </row>
    <row r="433" spans="1:44" x14ac:dyDescent="0.2">
      <c r="A433" s="1141" t="str">
        <f t="shared" si="108"/>
        <v>1505</v>
      </c>
      <c r="B433" s="1141" t="str">
        <f>IFERROR(VLOOKUP(A433,'LAC 103'!A:C,3,FALSE),"")</f>
        <v>OP</v>
      </c>
      <c r="C433" s="1478" t="str">
        <f>Info!$B$8</f>
        <v>00100</v>
      </c>
      <c r="D433" s="1474" t="s">
        <v>256</v>
      </c>
      <c r="E433" s="1474" t="s">
        <v>95</v>
      </c>
      <c r="F433" s="1478" t="s">
        <v>45</v>
      </c>
      <c r="G433" s="1478" t="s">
        <v>45</v>
      </c>
      <c r="H433" s="1474" t="s">
        <v>989</v>
      </c>
      <c r="I433" s="1478" t="s">
        <v>823</v>
      </c>
      <c r="J433" s="1478" t="s">
        <v>1999</v>
      </c>
      <c r="K433" s="1475" t="s">
        <v>846</v>
      </c>
      <c r="L433" s="1474" t="s">
        <v>332</v>
      </c>
      <c r="M433" s="1476" t="s">
        <v>841</v>
      </c>
      <c r="N433" s="1477" t="s">
        <v>1695</v>
      </c>
      <c r="O433" s="1479">
        <v>172</v>
      </c>
      <c r="P433" s="1479"/>
      <c r="Q433" s="1142">
        <f t="shared" si="109"/>
        <v>172</v>
      </c>
      <c r="R433" s="1143">
        <f>IFERROR(VLOOKUP(CONCATENATE(E433,G433),'LAC 103'!$A$12:$O$95,11,FALSE),0)</f>
        <v>2.483156209074918</v>
      </c>
      <c r="S433" s="1144">
        <f>IFERROR(VLOOKUP(CONCATENATE($E433,$G433),'LAC 103'!$A$12:$O$95,12,FALSE),0)</f>
        <v>3.07</v>
      </c>
      <c r="T433" s="1144">
        <f>IFERROR(VLOOKUP(CONCATENATE($E433,$G433),'LAC 103'!$A$12:$O$95,13,FALSE),0)</f>
        <v>1.92</v>
      </c>
      <c r="U433" s="1144">
        <f>IFERROR(VLOOKUP(CONCATENATE($E433,$G433),'LAC 103'!$A$12:$O$95,14,FALSE),0)</f>
        <v>0</v>
      </c>
      <c r="V433" s="1144">
        <f>IFERROR(VLOOKUP(CONCATENATE($E433,$G433),'LAC 103'!$A$12:$O$95,15,FALSE),0)</f>
        <v>0</v>
      </c>
      <c r="W433" s="1145" t="str">
        <f>IFERROR(VLOOKUP(CONCATENATE($B433,$N433),'LAC 103'!$AI:$AQ,9,FALSE),"")</f>
        <v>Costs</v>
      </c>
      <c r="X433" s="1146">
        <f t="shared" si="114"/>
        <v>2.483156209074918</v>
      </c>
      <c r="Y433" s="1143">
        <f t="shared" si="115"/>
        <v>427.10286796088587</v>
      </c>
      <c r="Z433" s="1147">
        <f t="shared" si="116"/>
        <v>528.04</v>
      </c>
      <c r="AA433" s="1144">
        <f t="shared" si="117"/>
        <v>330.24</v>
      </c>
      <c r="AB433" s="1144">
        <f t="shared" si="118"/>
        <v>0</v>
      </c>
      <c r="AC433" s="1144">
        <f t="shared" si="119"/>
        <v>0</v>
      </c>
      <c r="AD433" s="1148">
        <f t="shared" si="110"/>
        <v>427.10286796088587</v>
      </c>
      <c r="AE433" s="1487">
        <v>0</v>
      </c>
      <c r="AF433" s="1145">
        <f t="shared" si="120"/>
        <v>427.10286796088587</v>
      </c>
      <c r="AG433" s="1149">
        <f>IFERROR(VLOOKUP(CONCATENATE($L433,$N433),'Drop List'!$G$23:$K$87,2,FALSE),0)</f>
        <v>0</v>
      </c>
      <c r="AH433" s="1150">
        <f>IFERROR(VLOOKUP(CONCATENATE($L433,$N433),'Drop List'!$G$23:$K$87,3,FALSE),0)</f>
        <v>0</v>
      </c>
      <c r="AI433" s="1150">
        <f>IFERROR(VLOOKUP(CONCATENATE($L433,$N433),'Drop List'!$G$23:$K$87,4,FALSE),0)</f>
        <v>0</v>
      </c>
      <c r="AJ433" s="1151">
        <f>IFERROR(VLOOKUP(CONCATENATE($L433,$N433),'Drop List'!$G$23:$K$87,5,FALSE),0)</f>
        <v>0</v>
      </c>
      <c r="AK433" s="1152">
        <f t="shared" si="121"/>
        <v>0</v>
      </c>
      <c r="AL433" s="1153">
        <f t="shared" si="122"/>
        <v>0</v>
      </c>
      <c r="AM433" s="1153">
        <f t="shared" si="123"/>
        <v>0</v>
      </c>
      <c r="AN433" s="1145">
        <f t="shared" si="124"/>
        <v>0</v>
      </c>
      <c r="AO433" s="1154">
        <f t="shared" si="125"/>
        <v>0</v>
      </c>
      <c r="AP433" s="1147">
        <f t="shared" si="111"/>
        <v>427.10286796088587</v>
      </c>
      <c r="AQ433" s="1144">
        <f t="shared" si="112"/>
        <v>0</v>
      </c>
      <c r="AR433" s="1146">
        <f t="shared" si="113"/>
        <v>427.10286796088587</v>
      </c>
    </row>
    <row r="434" spans="1:44" x14ac:dyDescent="0.2">
      <c r="A434" s="1141" t="str">
        <f t="shared" si="108"/>
        <v>1505</v>
      </c>
      <c r="B434" s="1141" t="str">
        <f>IFERROR(VLOOKUP(A434,'LAC 103'!A:C,3,FALSE),"")</f>
        <v>OP</v>
      </c>
      <c r="C434" s="1478" t="str">
        <f>Info!$B$8</f>
        <v>00100</v>
      </c>
      <c r="D434" s="1474" t="s">
        <v>256</v>
      </c>
      <c r="E434" s="1474" t="s">
        <v>95</v>
      </c>
      <c r="F434" s="1478" t="s">
        <v>45</v>
      </c>
      <c r="G434" s="1478" t="s">
        <v>45</v>
      </c>
      <c r="H434" s="1474" t="s">
        <v>989</v>
      </c>
      <c r="I434" s="1478" t="s">
        <v>823</v>
      </c>
      <c r="J434" s="1478" t="s">
        <v>1999</v>
      </c>
      <c r="K434" s="1475" t="s">
        <v>846</v>
      </c>
      <c r="L434" s="1474" t="s">
        <v>332</v>
      </c>
      <c r="M434" s="1476" t="s">
        <v>840</v>
      </c>
      <c r="N434" s="1477" t="s">
        <v>1700</v>
      </c>
      <c r="O434" s="1479">
        <v>78</v>
      </c>
      <c r="P434" s="1479"/>
      <c r="Q434" s="1142">
        <f t="shared" si="109"/>
        <v>78</v>
      </c>
      <c r="R434" s="1143">
        <f>IFERROR(VLOOKUP(CONCATENATE(E434,G434),'LAC 103'!$A$12:$O$95,11,FALSE),0)</f>
        <v>2.483156209074918</v>
      </c>
      <c r="S434" s="1144">
        <f>IFERROR(VLOOKUP(CONCATENATE($E434,$G434),'LAC 103'!$A$12:$O$95,12,FALSE),0)</f>
        <v>3.07</v>
      </c>
      <c r="T434" s="1144">
        <f>IFERROR(VLOOKUP(CONCATENATE($E434,$G434),'LAC 103'!$A$12:$O$95,13,FALSE),0)</f>
        <v>1.92</v>
      </c>
      <c r="U434" s="1144">
        <f>IFERROR(VLOOKUP(CONCATENATE($E434,$G434),'LAC 103'!$A$12:$O$95,14,FALSE),0)</f>
        <v>0</v>
      </c>
      <c r="V434" s="1144">
        <f>IFERROR(VLOOKUP(CONCATENATE($E434,$G434),'LAC 103'!$A$12:$O$95,15,FALSE),0)</f>
        <v>0</v>
      </c>
      <c r="W434" s="1145" t="str">
        <f>IFERROR(VLOOKUP(CONCATENATE($B434,$N434),'LAC 103'!$AI:$AQ,9,FALSE),"")</f>
        <v>P.C.</v>
      </c>
      <c r="X434" s="1146">
        <f t="shared" si="114"/>
        <v>1.92</v>
      </c>
      <c r="Y434" s="1143">
        <f t="shared" si="115"/>
        <v>193.6861843078436</v>
      </c>
      <c r="Z434" s="1147">
        <f t="shared" si="116"/>
        <v>239.45999999999998</v>
      </c>
      <c r="AA434" s="1144">
        <f t="shared" si="117"/>
        <v>149.76</v>
      </c>
      <c r="AB434" s="1144">
        <f t="shared" si="118"/>
        <v>0</v>
      </c>
      <c r="AC434" s="1144">
        <f t="shared" si="119"/>
        <v>0</v>
      </c>
      <c r="AD434" s="1148">
        <f t="shared" si="110"/>
        <v>149.76</v>
      </c>
      <c r="AE434" s="1487">
        <v>0</v>
      </c>
      <c r="AF434" s="1145">
        <f t="shared" si="120"/>
        <v>149.76</v>
      </c>
      <c r="AG434" s="1149">
        <f>IFERROR(VLOOKUP(CONCATENATE($L434,$N434),'Drop List'!$G$23:$K$87,2,FALSE),0)</f>
        <v>0</v>
      </c>
      <c r="AH434" s="1150">
        <f>IFERROR(VLOOKUP(CONCATENATE($L434,$N434),'Drop List'!$G$23:$K$87,3,FALSE),0)</f>
        <v>0</v>
      </c>
      <c r="AI434" s="1150">
        <f>IFERROR(VLOOKUP(CONCATENATE($L434,$N434),'Drop List'!$G$23:$K$87,4,FALSE),0)</f>
        <v>0</v>
      </c>
      <c r="AJ434" s="1151">
        <f>IFERROR(VLOOKUP(CONCATENATE($L434,$N434),'Drop List'!$G$23:$K$87,5,FALSE),0)</f>
        <v>0</v>
      </c>
      <c r="AK434" s="1152">
        <f t="shared" si="121"/>
        <v>0</v>
      </c>
      <c r="AL434" s="1153">
        <f t="shared" si="122"/>
        <v>0</v>
      </c>
      <c r="AM434" s="1153">
        <f t="shared" si="123"/>
        <v>0</v>
      </c>
      <c r="AN434" s="1145">
        <f t="shared" si="124"/>
        <v>0</v>
      </c>
      <c r="AO434" s="1154">
        <f t="shared" si="125"/>
        <v>0</v>
      </c>
      <c r="AP434" s="1147">
        <f t="shared" si="111"/>
        <v>149.76</v>
      </c>
      <c r="AQ434" s="1144">
        <f t="shared" si="112"/>
        <v>0</v>
      </c>
      <c r="AR434" s="1146">
        <f t="shared" si="113"/>
        <v>149.76</v>
      </c>
    </row>
    <row r="435" spans="1:44" x14ac:dyDescent="0.2">
      <c r="A435" s="1141" t="str">
        <f t="shared" si="108"/>
        <v>1505</v>
      </c>
      <c r="B435" s="1141" t="str">
        <f>IFERROR(VLOOKUP(A435,'LAC 103'!A:C,3,FALSE),"")</f>
        <v>OP</v>
      </c>
      <c r="C435" s="1478" t="str">
        <f>Info!$B$8</f>
        <v>00100</v>
      </c>
      <c r="D435" s="1474" t="s">
        <v>256</v>
      </c>
      <c r="E435" s="1474" t="s">
        <v>95</v>
      </c>
      <c r="F435" s="1478" t="s">
        <v>45</v>
      </c>
      <c r="G435" s="1478" t="s">
        <v>45</v>
      </c>
      <c r="H435" s="1474" t="s">
        <v>989</v>
      </c>
      <c r="I435" s="1478" t="s">
        <v>823</v>
      </c>
      <c r="J435" s="1478" t="s">
        <v>1999</v>
      </c>
      <c r="K435" s="1475" t="s">
        <v>846</v>
      </c>
      <c r="L435" s="1474" t="s">
        <v>332</v>
      </c>
      <c r="M435" s="1476" t="s">
        <v>842</v>
      </c>
      <c r="N435" s="1477" t="s">
        <v>1692</v>
      </c>
      <c r="O435" s="1479">
        <v>1427</v>
      </c>
      <c r="P435" s="1479"/>
      <c r="Q435" s="1142">
        <f t="shared" si="109"/>
        <v>1427</v>
      </c>
      <c r="R435" s="1143">
        <f>IFERROR(VLOOKUP(CONCATENATE(E435,G435),'LAC 103'!$A$12:$O$95,11,FALSE),0)</f>
        <v>2.483156209074918</v>
      </c>
      <c r="S435" s="1144">
        <f>IFERROR(VLOOKUP(CONCATENATE($E435,$G435),'LAC 103'!$A$12:$O$95,12,FALSE),0)</f>
        <v>3.07</v>
      </c>
      <c r="T435" s="1144">
        <f>IFERROR(VLOOKUP(CONCATENATE($E435,$G435),'LAC 103'!$A$12:$O$95,13,FALSE),0)</f>
        <v>1.92</v>
      </c>
      <c r="U435" s="1144">
        <f>IFERROR(VLOOKUP(CONCATENATE($E435,$G435),'LAC 103'!$A$12:$O$95,14,FALSE),0)</f>
        <v>0</v>
      </c>
      <c r="V435" s="1144">
        <f>IFERROR(VLOOKUP(CONCATENATE($E435,$G435),'LAC 103'!$A$12:$O$95,15,FALSE),0)</f>
        <v>0</v>
      </c>
      <c r="W435" s="1145" t="str">
        <f>IFERROR(VLOOKUP(CONCATENATE($B435,$N435),'LAC 103'!$AI:$AQ,9,FALSE),"")</f>
        <v>Costs</v>
      </c>
      <c r="X435" s="1146">
        <f t="shared" si="114"/>
        <v>2.483156209074918</v>
      </c>
      <c r="Y435" s="1143">
        <f t="shared" si="115"/>
        <v>3543.463910349908</v>
      </c>
      <c r="Z435" s="1147">
        <f t="shared" si="116"/>
        <v>4380.8899999999994</v>
      </c>
      <c r="AA435" s="1144">
        <f t="shared" si="117"/>
        <v>2739.8399999999997</v>
      </c>
      <c r="AB435" s="1144">
        <f t="shared" si="118"/>
        <v>0</v>
      </c>
      <c r="AC435" s="1144">
        <f t="shared" si="119"/>
        <v>0</v>
      </c>
      <c r="AD435" s="1148">
        <f t="shared" si="110"/>
        <v>3543.463910349908</v>
      </c>
      <c r="AE435" s="1487">
        <v>0</v>
      </c>
      <c r="AF435" s="1145">
        <f t="shared" si="120"/>
        <v>3543.463910349908</v>
      </c>
      <c r="AG435" s="1149">
        <f>IFERROR(VLOOKUP(CONCATENATE($L435,$N435),'Drop List'!$G$23:$K$87,2,FALSE),0)</f>
        <v>0</v>
      </c>
      <c r="AH435" s="1150">
        <f>IFERROR(VLOOKUP(CONCATENATE($L435,$N435),'Drop List'!$G$23:$K$87,3,FALSE),0)</f>
        <v>0</v>
      </c>
      <c r="AI435" s="1150">
        <f>IFERROR(VLOOKUP(CONCATENATE($L435,$N435),'Drop List'!$G$23:$K$87,4,FALSE),0)</f>
        <v>0</v>
      </c>
      <c r="AJ435" s="1151">
        <f>IFERROR(VLOOKUP(CONCATENATE($L435,$N435),'Drop List'!$G$23:$K$87,5,FALSE),0)</f>
        <v>0</v>
      </c>
      <c r="AK435" s="1152">
        <f t="shared" si="121"/>
        <v>0</v>
      </c>
      <c r="AL435" s="1153">
        <f t="shared" si="122"/>
        <v>0</v>
      </c>
      <c r="AM435" s="1153">
        <f t="shared" si="123"/>
        <v>0</v>
      </c>
      <c r="AN435" s="1145">
        <f t="shared" si="124"/>
        <v>0</v>
      </c>
      <c r="AO435" s="1154">
        <f t="shared" si="125"/>
        <v>0</v>
      </c>
      <c r="AP435" s="1147">
        <f t="shared" si="111"/>
        <v>3543.463910349908</v>
      </c>
      <c r="AQ435" s="1144">
        <f t="shared" si="112"/>
        <v>0</v>
      </c>
      <c r="AR435" s="1146">
        <f t="shared" si="113"/>
        <v>3543.463910349908</v>
      </c>
    </row>
    <row r="436" spans="1:44" x14ac:dyDescent="0.2">
      <c r="A436" s="1141" t="str">
        <f t="shared" si="108"/>
        <v>1505</v>
      </c>
      <c r="B436" s="1141" t="str">
        <f>IFERROR(VLOOKUP(A436,'LAC 103'!A:C,3,FALSE),"")</f>
        <v>OP</v>
      </c>
      <c r="C436" s="1478" t="str">
        <f>Info!$B$8</f>
        <v>00100</v>
      </c>
      <c r="D436" s="1474" t="s">
        <v>256</v>
      </c>
      <c r="E436" s="1474" t="s">
        <v>95</v>
      </c>
      <c r="F436" s="1478" t="s">
        <v>45</v>
      </c>
      <c r="G436" s="1478" t="s">
        <v>45</v>
      </c>
      <c r="H436" s="1474" t="s">
        <v>989</v>
      </c>
      <c r="I436" s="1478" t="s">
        <v>823</v>
      </c>
      <c r="J436" s="1478" t="s">
        <v>1999</v>
      </c>
      <c r="K436" s="1475" t="s">
        <v>846</v>
      </c>
      <c r="L436" s="1474" t="s">
        <v>332</v>
      </c>
      <c r="M436" s="1476" t="s">
        <v>1698</v>
      </c>
      <c r="N436" s="1477" t="s">
        <v>1693</v>
      </c>
      <c r="O436" s="1479">
        <v>966</v>
      </c>
      <c r="P436" s="1479"/>
      <c r="Q436" s="1142">
        <f t="shared" si="109"/>
        <v>966</v>
      </c>
      <c r="R436" s="1143">
        <f>IFERROR(VLOOKUP(CONCATENATE(E436,G436),'LAC 103'!$A$12:$O$95,11,FALSE),0)</f>
        <v>2.483156209074918</v>
      </c>
      <c r="S436" s="1144">
        <f>IFERROR(VLOOKUP(CONCATENATE($E436,$G436),'LAC 103'!$A$12:$O$95,12,FALSE),0)</f>
        <v>3.07</v>
      </c>
      <c r="T436" s="1144">
        <f>IFERROR(VLOOKUP(CONCATENATE($E436,$G436),'LAC 103'!$A$12:$O$95,13,FALSE),0)</f>
        <v>1.92</v>
      </c>
      <c r="U436" s="1144">
        <f>IFERROR(VLOOKUP(CONCATENATE($E436,$G436),'LAC 103'!$A$12:$O$95,14,FALSE),0)</f>
        <v>0</v>
      </c>
      <c r="V436" s="1144">
        <f>IFERROR(VLOOKUP(CONCATENATE($E436,$G436),'LAC 103'!$A$12:$O$95,15,FALSE),0)</f>
        <v>0</v>
      </c>
      <c r="W436" s="1145" t="str">
        <f>IFERROR(VLOOKUP(CONCATENATE($B436,$N436),'LAC 103'!$AI:$AQ,9,FALSE),"")</f>
        <v>Costs</v>
      </c>
      <c r="X436" s="1146">
        <f t="shared" si="114"/>
        <v>2.483156209074918</v>
      </c>
      <c r="Y436" s="1143">
        <f t="shared" si="115"/>
        <v>2398.7288979663708</v>
      </c>
      <c r="Z436" s="1147">
        <f t="shared" si="116"/>
        <v>2965.62</v>
      </c>
      <c r="AA436" s="1144">
        <f t="shared" si="117"/>
        <v>1854.72</v>
      </c>
      <c r="AB436" s="1144">
        <f t="shared" si="118"/>
        <v>0</v>
      </c>
      <c r="AC436" s="1144">
        <f t="shared" si="119"/>
        <v>0</v>
      </c>
      <c r="AD436" s="1148">
        <f t="shared" si="110"/>
        <v>2398.7288979663708</v>
      </c>
      <c r="AE436" s="1487">
        <v>0</v>
      </c>
      <c r="AF436" s="1145">
        <f t="shared" si="120"/>
        <v>2398.7288979663708</v>
      </c>
      <c r="AG436" s="1149">
        <f>IFERROR(VLOOKUP(CONCATENATE($L436,$N436),'Drop List'!$G$23:$K$87,2,FALSE),0)</f>
        <v>0</v>
      </c>
      <c r="AH436" s="1150">
        <f>IFERROR(VLOOKUP(CONCATENATE($L436,$N436),'Drop List'!$G$23:$K$87,3,FALSE),0)</f>
        <v>0</v>
      </c>
      <c r="AI436" s="1150">
        <f>IFERROR(VLOOKUP(CONCATENATE($L436,$N436),'Drop List'!$G$23:$K$87,4,FALSE),0)</f>
        <v>0</v>
      </c>
      <c r="AJ436" s="1151">
        <f>IFERROR(VLOOKUP(CONCATENATE($L436,$N436),'Drop List'!$G$23:$K$87,5,FALSE),0)</f>
        <v>0</v>
      </c>
      <c r="AK436" s="1152">
        <f t="shared" si="121"/>
        <v>0</v>
      </c>
      <c r="AL436" s="1153">
        <f t="shared" si="122"/>
        <v>0</v>
      </c>
      <c r="AM436" s="1153">
        <f t="shared" si="123"/>
        <v>0</v>
      </c>
      <c r="AN436" s="1145">
        <f t="shared" si="124"/>
        <v>0</v>
      </c>
      <c r="AO436" s="1154">
        <f t="shared" si="125"/>
        <v>0</v>
      </c>
      <c r="AP436" s="1147">
        <f t="shared" si="111"/>
        <v>2398.7288979663708</v>
      </c>
      <c r="AQ436" s="1144">
        <f t="shared" si="112"/>
        <v>0</v>
      </c>
      <c r="AR436" s="1146">
        <f t="shared" si="113"/>
        <v>2398.7288979663708</v>
      </c>
    </row>
    <row r="437" spans="1:44" x14ac:dyDescent="0.2">
      <c r="A437" s="1141" t="str">
        <f t="shared" si="108"/>
        <v>1505</v>
      </c>
      <c r="B437" s="1141" t="str">
        <f>IFERROR(VLOOKUP(A437,'LAC 103'!A:C,3,FALSE),"")</f>
        <v>OP</v>
      </c>
      <c r="C437" s="1478" t="str">
        <f>Info!$B$8</f>
        <v>00100</v>
      </c>
      <c r="D437" s="1474" t="s">
        <v>256</v>
      </c>
      <c r="E437" s="1474" t="s">
        <v>95</v>
      </c>
      <c r="F437" s="1478" t="s">
        <v>45</v>
      </c>
      <c r="G437" s="1478" t="s">
        <v>45</v>
      </c>
      <c r="H437" s="1474" t="s">
        <v>989</v>
      </c>
      <c r="I437" s="1478" t="s">
        <v>823</v>
      </c>
      <c r="J437" s="1478" t="s">
        <v>2000</v>
      </c>
      <c r="K437" s="1475" t="s">
        <v>846</v>
      </c>
      <c r="L437" s="1474" t="s">
        <v>332</v>
      </c>
      <c r="M437" s="1476" t="s">
        <v>1699</v>
      </c>
      <c r="N437" s="1477" t="s">
        <v>1694</v>
      </c>
      <c r="O437" s="1479">
        <v>1497</v>
      </c>
      <c r="P437" s="1479"/>
      <c r="Q437" s="1142">
        <f t="shared" si="109"/>
        <v>1497</v>
      </c>
      <c r="R437" s="1143">
        <f>IFERROR(VLOOKUP(CONCATENATE(E437,G437),'LAC 103'!$A$12:$O$95,11,FALSE),0)</f>
        <v>2.483156209074918</v>
      </c>
      <c r="S437" s="1144">
        <f>IFERROR(VLOOKUP(CONCATENATE($E437,$G437),'LAC 103'!$A$12:$O$95,12,FALSE),0)</f>
        <v>3.07</v>
      </c>
      <c r="T437" s="1144">
        <f>IFERROR(VLOOKUP(CONCATENATE($E437,$G437),'LAC 103'!$A$12:$O$95,13,FALSE),0)</f>
        <v>1.92</v>
      </c>
      <c r="U437" s="1144">
        <f>IFERROR(VLOOKUP(CONCATENATE($E437,$G437),'LAC 103'!$A$12:$O$95,14,FALSE),0)</f>
        <v>0</v>
      </c>
      <c r="V437" s="1144">
        <f>IFERROR(VLOOKUP(CONCATENATE($E437,$G437),'LAC 103'!$A$12:$O$95,15,FALSE),0)</f>
        <v>0</v>
      </c>
      <c r="W437" s="1145" t="str">
        <f>IFERROR(VLOOKUP(CONCATENATE($B437,$N437),'LAC 103'!$AI:$AQ,9,FALSE),"")</f>
        <v>Costs</v>
      </c>
      <c r="X437" s="1146">
        <f t="shared" si="114"/>
        <v>2.483156209074918</v>
      </c>
      <c r="Y437" s="1143">
        <f t="shared" si="115"/>
        <v>3717.2848449851522</v>
      </c>
      <c r="Z437" s="1147">
        <f t="shared" si="116"/>
        <v>4595.79</v>
      </c>
      <c r="AA437" s="1144">
        <f t="shared" si="117"/>
        <v>2874.24</v>
      </c>
      <c r="AB437" s="1144">
        <f t="shared" si="118"/>
        <v>0</v>
      </c>
      <c r="AC437" s="1144">
        <f t="shared" si="119"/>
        <v>0</v>
      </c>
      <c r="AD437" s="1148">
        <f t="shared" si="110"/>
        <v>3717.2848449851522</v>
      </c>
      <c r="AE437" s="1487">
        <v>0</v>
      </c>
      <c r="AF437" s="1145">
        <f t="shared" si="120"/>
        <v>3717.2848449851522</v>
      </c>
      <c r="AG437" s="1149">
        <f>IFERROR(VLOOKUP(CONCATENATE($L437,$N437),'Drop List'!$G$23:$K$87,2,FALSE),0)</f>
        <v>0</v>
      </c>
      <c r="AH437" s="1150">
        <f>IFERROR(VLOOKUP(CONCATENATE($L437,$N437),'Drop List'!$G$23:$K$87,3,FALSE),0)</f>
        <v>0</v>
      </c>
      <c r="AI437" s="1150">
        <f>IFERROR(VLOOKUP(CONCATENATE($L437,$N437),'Drop List'!$G$23:$K$87,4,FALSE),0)</f>
        <v>0</v>
      </c>
      <c r="AJ437" s="1151">
        <f>IFERROR(VLOOKUP(CONCATENATE($L437,$N437),'Drop List'!$G$23:$K$87,5,FALSE),0)</f>
        <v>0</v>
      </c>
      <c r="AK437" s="1152">
        <f t="shared" si="121"/>
        <v>0</v>
      </c>
      <c r="AL437" s="1153">
        <f t="shared" si="122"/>
        <v>0</v>
      </c>
      <c r="AM437" s="1153">
        <f t="shared" si="123"/>
        <v>0</v>
      </c>
      <c r="AN437" s="1145">
        <f t="shared" si="124"/>
        <v>0</v>
      </c>
      <c r="AO437" s="1154">
        <f t="shared" si="125"/>
        <v>0</v>
      </c>
      <c r="AP437" s="1147">
        <f t="shared" si="111"/>
        <v>3717.2848449851522</v>
      </c>
      <c r="AQ437" s="1144">
        <f t="shared" si="112"/>
        <v>0</v>
      </c>
      <c r="AR437" s="1146">
        <f t="shared" si="113"/>
        <v>3717.2848449851522</v>
      </c>
    </row>
    <row r="438" spans="1:44" x14ac:dyDescent="0.2">
      <c r="A438" s="1141" t="str">
        <f t="shared" si="108"/>
        <v>1505</v>
      </c>
      <c r="B438" s="1141" t="str">
        <f>IFERROR(VLOOKUP(A438,'LAC 103'!A:C,3,FALSE),"")</f>
        <v>OP</v>
      </c>
      <c r="C438" s="1478" t="str">
        <f>Info!$B$8</f>
        <v>00100</v>
      </c>
      <c r="D438" s="1474" t="s">
        <v>256</v>
      </c>
      <c r="E438" s="1474" t="s">
        <v>95</v>
      </c>
      <c r="F438" s="1478" t="s">
        <v>45</v>
      </c>
      <c r="G438" s="1478" t="s">
        <v>45</v>
      </c>
      <c r="H438" s="1474" t="s">
        <v>989</v>
      </c>
      <c r="I438" s="1478" t="s">
        <v>823</v>
      </c>
      <c r="J438" s="1478" t="s">
        <v>2000</v>
      </c>
      <c r="K438" s="1475" t="s">
        <v>846</v>
      </c>
      <c r="L438" s="1474" t="s">
        <v>332</v>
      </c>
      <c r="M438" s="1476" t="s">
        <v>841</v>
      </c>
      <c r="N438" s="1477" t="s">
        <v>1695</v>
      </c>
      <c r="O438" s="1479">
        <v>1037</v>
      </c>
      <c r="P438" s="1479"/>
      <c r="Q438" s="1142">
        <f t="shared" si="109"/>
        <v>1037</v>
      </c>
      <c r="R438" s="1143">
        <f>IFERROR(VLOOKUP(CONCATENATE(E438,G438),'LAC 103'!$A$12:$O$95,11,FALSE),0)</f>
        <v>2.483156209074918</v>
      </c>
      <c r="S438" s="1144">
        <f>IFERROR(VLOOKUP(CONCATENATE($E438,$G438),'LAC 103'!$A$12:$O$95,12,FALSE),0)</f>
        <v>3.07</v>
      </c>
      <c r="T438" s="1144">
        <f>IFERROR(VLOOKUP(CONCATENATE($E438,$G438),'LAC 103'!$A$12:$O$95,13,FALSE),0)</f>
        <v>1.92</v>
      </c>
      <c r="U438" s="1144">
        <f>IFERROR(VLOOKUP(CONCATENATE($E438,$G438),'LAC 103'!$A$12:$O$95,14,FALSE),0)</f>
        <v>0</v>
      </c>
      <c r="V438" s="1144">
        <f>IFERROR(VLOOKUP(CONCATENATE($E438,$G438),'LAC 103'!$A$12:$O$95,15,FALSE),0)</f>
        <v>0</v>
      </c>
      <c r="W438" s="1145" t="str">
        <f>IFERROR(VLOOKUP(CONCATENATE($B438,$N438),'LAC 103'!$AI:$AQ,9,FALSE),"")</f>
        <v>Costs</v>
      </c>
      <c r="X438" s="1146">
        <f t="shared" si="114"/>
        <v>2.483156209074918</v>
      </c>
      <c r="Y438" s="1143">
        <f t="shared" si="115"/>
        <v>2575.0329888106899</v>
      </c>
      <c r="Z438" s="1147">
        <f t="shared" si="116"/>
        <v>3183.5899999999997</v>
      </c>
      <c r="AA438" s="1144">
        <f t="shared" si="117"/>
        <v>1991.04</v>
      </c>
      <c r="AB438" s="1144">
        <f t="shared" si="118"/>
        <v>0</v>
      </c>
      <c r="AC438" s="1144">
        <f t="shared" si="119"/>
        <v>0</v>
      </c>
      <c r="AD438" s="1148">
        <f t="shared" si="110"/>
        <v>2575.0329888106899</v>
      </c>
      <c r="AE438" s="1487">
        <v>0</v>
      </c>
      <c r="AF438" s="1145">
        <f t="shared" si="120"/>
        <v>2575.0329888106899</v>
      </c>
      <c r="AG438" s="1149">
        <f>IFERROR(VLOOKUP(CONCATENATE($L438,$N438),'Drop List'!$G$23:$K$87,2,FALSE),0)</f>
        <v>0</v>
      </c>
      <c r="AH438" s="1150">
        <f>IFERROR(VLOOKUP(CONCATENATE($L438,$N438),'Drop List'!$G$23:$K$87,3,FALSE),0)</f>
        <v>0</v>
      </c>
      <c r="AI438" s="1150">
        <f>IFERROR(VLOOKUP(CONCATENATE($L438,$N438),'Drop List'!$G$23:$K$87,4,FALSE),0)</f>
        <v>0</v>
      </c>
      <c r="AJ438" s="1151">
        <f>IFERROR(VLOOKUP(CONCATENATE($L438,$N438),'Drop List'!$G$23:$K$87,5,FALSE),0)</f>
        <v>0</v>
      </c>
      <c r="AK438" s="1152">
        <f t="shared" si="121"/>
        <v>0</v>
      </c>
      <c r="AL438" s="1153">
        <f t="shared" si="122"/>
        <v>0</v>
      </c>
      <c r="AM438" s="1153">
        <f t="shared" si="123"/>
        <v>0</v>
      </c>
      <c r="AN438" s="1145">
        <f t="shared" si="124"/>
        <v>0</v>
      </c>
      <c r="AO438" s="1154">
        <f t="shared" si="125"/>
        <v>0</v>
      </c>
      <c r="AP438" s="1147">
        <f t="shared" si="111"/>
        <v>2575.0329888106899</v>
      </c>
      <c r="AQ438" s="1144">
        <f t="shared" si="112"/>
        <v>0</v>
      </c>
      <c r="AR438" s="1146">
        <f t="shared" si="113"/>
        <v>2575.0329888106899</v>
      </c>
    </row>
    <row r="439" spans="1:44" x14ac:dyDescent="0.2">
      <c r="A439" s="1141" t="str">
        <f t="shared" si="108"/>
        <v>1505</v>
      </c>
      <c r="B439" s="1141" t="str">
        <f>IFERROR(VLOOKUP(A439,'LAC 103'!A:C,3,FALSE),"")</f>
        <v>OP</v>
      </c>
      <c r="C439" s="1478" t="str">
        <f>Info!$B$8</f>
        <v>00100</v>
      </c>
      <c r="D439" s="1474" t="s">
        <v>256</v>
      </c>
      <c r="E439" s="1474" t="s">
        <v>95</v>
      </c>
      <c r="F439" s="1478" t="s">
        <v>45</v>
      </c>
      <c r="G439" s="1478" t="s">
        <v>45</v>
      </c>
      <c r="H439" s="1474" t="s">
        <v>989</v>
      </c>
      <c r="I439" s="1478" t="s">
        <v>823</v>
      </c>
      <c r="J439" s="1478" t="s">
        <v>2000</v>
      </c>
      <c r="K439" s="1475" t="s">
        <v>846</v>
      </c>
      <c r="L439" s="1474" t="s">
        <v>332</v>
      </c>
      <c r="M439" s="1476" t="s">
        <v>840</v>
      </c>
      <c r="N439" s="1477" t="s">
        <v>1700</v>
      </c>
      <c r="O439" s="1479">
        <v>1592</v>
      </c>
      <c r="P439" s="1479"/>
      <c r="Q439" s="1142">
        <f t="shared" si="109"/>
        <v>1592</v>
      </c>
      <c r="R439" s="1143">
        <f>IFERROR(VLOOKUP(CONCATENATE(E439,G439),'LAC 103'!$A$12:$O$95,11,FALSE),0)</f>
        <v>2.483156209074918</v>
      </c>
      <c r="S439" s="1144">
        <f>IFERROR(VLOOKUP(CONCATENATE($E439,$G439),'LAC 103'!$A$12:$O$95,12,FALSE),0)</f>
        <v>3.07</v>
      </c>
      <c r="T439" s="1144">
        <f>IFERROR(VLOOKUP(CONCATENATE($E439,$G439),'LAC 103'!$A$12:$O$95,13,FALSE),0)</f>
        <v>1.92</v>
      </c>
      <c r="U439" s="1144">
        <f>IFERROR(VLOOKUP(CONCATENATE($E439,$G439),'LAC 103'!$A$12:$O$95,14,FALSE),0)</f>
        <v>0</v>
      </c>
      <c r="V439" s="1144">
        <f>IFERROR(VLOOKUP(CONCATENATE($E439,$G439),'LAC 103'!$A$12:$O$95,15,FALSE),0)</f>
        <v>0</v>
      </c>
      <c r="W439" s="1145" t="str">
        <f>IFERROR(VLOOKUP(CONCATENATE($B439,$N439),'LAC 103'!$AI:$AQ,9,FALSE),"")</f>
        <v>P.C.</v>
      </c>
      <c r="X439" s="1146">
        <f t="shared" si="114"/>
        <v>1.92</v>
      </c>
      <c r="Y439" s="1143">
        <f t="shared" si="115"/>
        <v>3953.1846848472692</v>
      </c>
      <c r="Z439" s="1147">
        <f t="shared" si="116"/>
        <v>4887.4399999999996</v>
      </c>
      <c r="AA439" s="1144">
        <f t="shared" si="117"/>
        <v>3056.64</v>
      </c>
      <c r="AB439" s="1144">
        <f t="shared" si="118"/>
        <v>0</v>
      </c>
      <c r="AC439" s="1144">
        <f t="shared" si="119"/>
        <v>0</v>
      </c>
      <c r="AD439" s="1148">
        <f t="shared" si="110"/>
        <v>3056.64</v>
      </c>
      <c r="AE439" s="1487">
        <v>0</v>
      </c>
      <c r="AF439" s="1145">
        <f t="shared" si="120"/>
        <v>3056.64</v>
      </c>
      <c r="AG439" s="1149">
        <f>IFERROR(VLOOKUP(CONCATENATE($L439,$N439),'Drop List'!$G$23:$K$87,2,FALSE),0)</f>
        <v>0</v>
      </c>
      <c r="AH439" s="1150">
        <f>IFERROR(VLOOKUP(CONCATENATE($L439,$N439),'Drop List'!$G$23:$K$87,3,FALSE),0)</f>
        <v>0</v>
      </c>
      <c r="AI439" s="1150">
        <f>IFERROR(VLOOKUP(CONCATENATE($L439,$N439),'Drop List'!$G$23:$K$87,4,FALSE),0)</f>
        <v>0</v>
      </c>
      <c r="AJ439" s="1151">
        <f>IFERROR(VLOOKUP(CONCATENATE($L439,$N439),'Drop List'!$G$23:$K$87,5,FALSE),0)</f>
        <v>0</v>
      </c>
      <c r="AK439" s="1152">
        <f t="shared" si="121"/>
        <v>0</v>
      </c>
      <c r="AL439" s="1153">
        <f t="shared" si="122"/>
        <v>0</v>
      </c>
      <c r="AM439" s="1153">
        <f t="shared" si="123"/>
        <v>0</v>
      </c>
      <c r="AN439" s="1145">
        <f t="shared" si="124"/>
        <v>0</v>
      </c>
      <c r="AO439" s="1154">
        <f t="shared" si="125"/>
        <v>0</v>
      </c>
      <c r="AP439" s="1147">
        <f t="shared" si="111"/>
        <v>3056.64</v>
      </c>
      <c r="AQ439" s="1144">
        <f t="shared" si="112"/>
        <v>0</v>
      </c>
      <c r="AR439" s="1146">
        <f t="shared" si="113"/>
        <v>3056.64</v>
      </c>
    </row>
    <row r="440" spans="1:44" x14ac:dyDescent="0.2">
      <c r="A440" s="1141" t="str">
        <f t="shared" si="108"/>
        <v>1505</v>
      </c>
      <c r="B440" s="1141" t="str">
        <f>IFERROR(VLOOKUP(A440,'LAC 103'!A:C,3,FALSE),"")</f>
        <v>OP</v>
      </c>
      <c r="C440" s="1478" t="str">
        <f>Info!$B$8</f>
        <v>00100</v>
      </c>
      <c r="D440" s="1474" t="s">
        <v>256</v>
      </c>
      <c r="E440" s="1474" t="s">
        <v>95</v>
      </c>
      <c r="F440" s="1478" t="s">
        <v>45</v>
      </c>
      <c r="G440" s="1478" t="s">
        <v>45</v>
      </c>
      <c r="H440" s="1474" t="s">
        <v>989</v>
      </c>
      <c r="I440" s="1478" t="s">
        <v>823</v>
      </c>
      <c r="J440" s="1478" t="s">
        <v>2000</v>
      </c>
      <c r="K440" s="1475" t="s">
        <v>846</v>
      </c>
      <c r="L440" s="1474" t="s">
        <v>332</v>
      </c>
      <c r="M440" s="1476" t="s">
        <v>842</v>
      </c>
      <c r="N440" s="1477" t="s">
        <v>1692</v>
      </c>
      <c r="O440" s="1479">
        <v>2305</v>
      </c>
      <c r="P440" s="1479"/>
      <c r="Q440" s="1142">
        <f t="shared" si="109"/>
        <v>2305</v>
      </c>
      <c r="R440" s="1143">
        <f>IFERROR(VLOOKUP(CONCATENATE(E440,G440),'LAC 103'!$A$12:$O$95,11,FALSE),0)</f>
        <v>2.483156209074918</v>
      </c>
      <c r="S440" s="1144">
        <f>IFERROR(VLOOKUP(CONCATENATE($E440,$G440),'LAC 103'!$A$12:$O$95,12,FALSE),0)</f>
        <v>3.07</v>
      </c>
      <c r="T440" s="1144">
        <f>IFERROR(VLOOKUP(CONCATENATE($E440,$G440),'LAC 103'!$A$12:$O$95,13,FALSE),0)</f>
        <v>1.92</v>
      </c>
      <c r="U440" s="1144">
        <f>IFERROR(VLOOKUP(CONCATENATE($E440,$G440),'LAC 103'!$A$12:$O$95,14,FALSE),0)</f>
        <v>0</v>
      </c>
      <c r="V440" s="1144">
        <f>IFERROR(VLOOKUP(CONCATENATE($E440,$G440),'LAC 103'!$A$12:$O$95,15,FALSE),0)</f>
        <v>0</v>
      </c>
      <c r="W440" s="1145" t="str">
        <f>IFERROR(VLOOKUP(CONCATENATE($B440,$N440),'LAC 103'!$AI:$AQ,9,FALSE),"")</f>
        <v>Costs</v>
      </c>
      <c r="X440" s="1146">
        <f t="shared" si="114"/>
        <v>2.483156209074918</v>
      </c>
      <c r="Y440" s="1143">
        <f t="shared" si="115"/>
        <v>5723.6750619176855</v>
      </c>
      <c r="Z440" s="1147">
        <f t="shared" si="116"/>
        <v>7076.3499999999995</v>
      </c>
      <c r="AA440" s="1144">
        <f t="shared" si="117"/>
        <v>4425.5999999999995</v>
      </c>
      <c r="AB440" s="1144">
        <f t="shared" si="118"/>
        <v>0</v>
      </c>
      <c r="AC440" s="1144">
        <f t="shared" si="119"/>
        <v>0</v>
      </c>
      <c r="AD440" s="1148">
        <f t="shared" si="110"/>
        <v>5723.6750619176855</v>
      </c>
      <c r="AE440" s="1487">
        <v>0</v>
      </c>
      <c r="AF440" s="1145">
        <f t="shared" si="120"/>
        <v>5723.6750619176855</v>
      </c>
      <c r="AG440" s="1149">
        <f>IFERROR(VLOOKUP(CONCATENATE($L440,$N440),'Drop List'!$G$23:$K$87,2,FALSE),0)</f>
        <v>0</v>
      </c>
      <c r="AH440" s="1150">
        <f>IFERROR(VLOOKUP(CONCATENATE($L440,$N440),'Drop List'!$G$23:$K$87,3,FALSE),0)</f>
        <v>0</v>
      </c>
      <c r="AI440" s="1150">
        <f>IFERROR(VLOOKUP(CONCATENATE($L440,$N440),'Drop List'!$G$23:$K$87,4,FALSE),0)</f>
        <v>0</v>
      </c>
      <c r="AJ440" s="1151">
        <f>IFERROR(VLOOKUP(CONCATENATE($L440,$N440),'Drop List'!$G$23:$K$87,5,FALSE),0)</f>
        <v>0</v>
      </c>
      <c r="AK440" s="1152">
        <f t="shared" si="121"/>
        <v>0</v>
      </c>
      <c r="AL440" s="1153">
        <f t="shared" si="122"/>
        <v>0</v>
      </c>
      <c r="AM440" s="1153">
        <f t="shared" si="123"/>
        <v>0</v>
      </c>
      <c r="AN440" s="1145">
        <f t="shared" si="124"/>
        <v>0</v>
      </c>
      <c r="AO440" s="1154">
        <f t="shared" si="125"/>
        <v>0</v>
      </c>
      <c r="AP440" s="1147">
        <f t="shared" si="111"/>
        <v>5723.6750619176855</v>
      </c>
      <c r="AQ440" s="1144">
        <f t="shared" si="112"/>
        <v>0</v>
      </c>
      <c r="AR440" s="1146">
        <f t="shared" si="113"/>
        <v>5723.6750619176855</v>
      </c>
    </row>
    <row r="441" spans="1:44" x14ac:dyDescent="0.2">
      <c r="A441" s="1141" t="str">
        <f t="shared" si="108"/>
        <v>1505</v>
      </c>
      <c r="B441" s="1141" t="str">
        <f>IFERROR(VLOOKUP(A441,'LAC 103'!A:C,3,FALSE),"")</f>
        <v>OP</v>
      </c>
      <c r="C441" s="1478" t="str">
        <f>Info!$B$8</f>
        <v>00100</v>
      </c>
      <c r="D441" s="1474" t="s">
        <v>256</v>
      </c>
      <c r="E441" s="1474" t="s">
        <v>95</v>
      </c>
      <c r="F441" s="1478" t="s">
        <v>45</v>
      </c>
      <c r="G441" s="1478" t="s">
        <v>45</v>
      </c>
      <c r="H441" s="1474" t="s">
        <v>989</v>
      </c>
      <c r="I441" s="1478" t="s">
        <v>823</v>
      </c>
      <c r="J441" s="1478" t="s">
        <v>2000</v>
      </c>
      <c r="K441" s="1475" t="s">
        <v>846</v>
      </c>
      <c r="L441" s="1474" t="s">
        <v>332</v>
      </c>
      <c r="M441" s="1476" t="s">
        <v>1698</v>
      </c>
      <c r="N441" s="1477" t="s">
        <v>1693</v>
      </c>
      <c r="O441" s="1479">
        <v>2023</v>
      </c>
      <c r="P441" s="1479"/>
      <c r="Q441" s="1142">
        <f t="shared" si="109"/>
        <v>2023</v>
      </c>
      <c r="R441" s="1143">
        <f>IFERROR(VLOOKUP(CONCATENATE(E441,G441),'LAC 103'!$A$12:$O$95,11,FALSE),0)</f>
        <v>2.483156209074918</v>
      </c>
      <c r="S441" s="1144">
        <f>IFERROR(VLOOKUP(CONCATENATE($E441,$G441),'LAC 103'!$A$12:$O$95,12,FALSE),0)</f>
        <v>3.07</v>
      </c>
      <c r="T441" s="1144">
        <f>IFERROR(VLOOKUP(CONCATENATE($E441,$G441),'LAC 103'!$A$12:$O$95,13,FALSE),0)</f>
        <v>1.92</v>
      </c>
      <c r="U441" s="1144">
        <f>IFERROR(VLOOKUP(CONCATENATE($E441,$G441),'LAC 103'!$A$12:$O$95,14,FALSE),0)</f>
        <v>0</v>
      </c>
      <c r="V441" s="1144">
        <f>IFERROR(VLOOKUP(CONCATENATE($E441,$G441),'LAC 103'!$A$12:$O$95,15,FALSE),0)</f>
        <v>0</v>
      </c>
      <c r="W441" s="1145" t="str">
        <f>IFERROR(VLOOKUP(CONCATENATE($B441,$N441),'LAC 103'!$AI:$AQ,9,FALSE),"")</f>
        <v>Costs</v>
      </c>
      <c r="X441" s="1146">
        <f t="shared" si="114"/>
        <v>2.483156209074918</v>
      </c>
      <c r="Y441" s="1143">
        <f t="shared" si="115"/>
        <v>5023.4250109585591</v>
      </c>
      <c r="Z441" s="1147">
        <f t="shared" si="116"/>
        <v>6210.61</v>
      </c>
      <c r="AA441" s="1144">
        <f t="shared" si="117"/>
        <v>3884.16</v>
      </c>
      <c r="AB441" s="1144">
        <f t="shared" si="118"/>
        <v>0</v>
      </c>
      <c r="AC441" s="1144">
        <f t="shared" si="119"/>
        <v>0</v>
      </c>
      <c r="AD441" s="1148">
        <f t="shared" si="110"/>
        <v>5023.4250109585591</v>
      </c>
      <c r="AE441" s="1487">
        <v>0</v>
      </c>
      <c r="AF441" s="1145">
        <f t="shared" si="120"/>
        <v>5023.4250109585591</v>
      </c>
      <c r="AG441" s="1149">
        <f>IFERROR(VLOOKUP(CONCATENATE($L441,$N441),'Drop List'!$G$23:$K$87,2,FALSE),0)</f>
        <v>0</v>
      </c>
      <c r="AH441" s="1150">
        <f>IFERROR(VLOOKUP(CONCATENATE($L441,$N441),'Drop List'!$G$23:$K$87,3,FALSE),0)</f>
        <v>0</v>
      </c>
      <c r="AI441" s="1150">
        <f>IFERROR(VLOOKUP(CONCATENATE($L441,$N441),'Drop List'!$G$23:$K$87,4,FALSE),0)</f>
        <v>0</v>
      </c>
      <c r="AJ441" s="1151">
        <f>IFERROR(VLOOKUP(CONCATENATE($L441,$N441),'Drop List'!$G$23:$K$87,5,FALSE),0)</f>
        <v>0</v>
      </c>
      <c r="AK441" s="1152">
        <f t="shared" si="121"/>
        <v>0</v>
      </c>
      <c r="AL441" s="1153">
        <f t="shared" si="122"/>
        <v>0</v>
      </c>
      <c r="AM441" s="1153">
        <f t="shared" si="123"/>
        <v>0</v>
      </c>
      <c r="AN441" s="1145">
        <f t="shared" si="124"/>
        <v>0</v>
      </c>
      <c r="AO441" s="1154">
        <f t="shared" si="125"/>
        <v>0</v>
      </c>
      <c r="AP441" s="1147">
        <f t="shared" si="111"/>
        <v>5023.4250109585591</v>
      </c>
      <c r="AQ441" s="1144">
        <f t="shared" si="112"/>
        <v>0</v>
      </c>
      <c r="AR441" s="1146">
        <f t="shared" si="113"/>
        <v>5023.4250109585591</v>
      </c>
    </row>
    <row r="442" spans="1:44" x14ac:dyDescent="0.2">
      <c r="A442" s="1141" t="str">
        <f t="shared" si="108"/>
        <v>1505</v>
      </c>
      <c r="B442" s="1141" t="str">
        <f>IFERROR(VLOOKUP(A442,'LAC 103'!A:C,3,FALSE),"")</f>
        <v>OP</v>
      </c>
      <c r="C442" s="1478" t="str">
        <f>Info!$B$8</f>
        <v>00100</v>
      </c>
      <c r="D442" s="1474" t="s">
        <v>256</v>
      </c>
      <c r="E442" s="1474" t="s">
        <v>95</v>
      </c>
      <c r="F442" s="1478" t="s">
        <v>45</v>
      </c>
      <c r="G442" s="1478" t="s">
        <v>45</v>
      </c>
      <c r="H442" s="1474" t="s">
        <v>989</v>
      </c>
      <c r="I442" s="1478" t="s">
        <v>823</v>
      </c>
      <c r="J442" s="1478" t="s">
        <v>2001</v>
      </c>
      <c r="K442" s="1475" t="s">
        <v>846</v>
      </c>
      <c r="L442" s="1474" t="s">
        <v>332</v>
      </c>
      <c r="M442" s="1476" t="s">
        <v>1699</v>
      </c>
      <c r="N442" s="1477" t="s">
        <v>1694</v>
      </c>
      <c r="O442" s="1479">
        <v>1352</v>
      </c>
      <c r="P442" s="1479"/>
      <c r="Q442" s="1142">
        <f t="shared" si="109"/>
        <v>1352</v>
      </c>
      <c r="R442" s="1143">
        <f>IFERROR(VLOOKUP(CONCATENATE(E442,G442),'LAC 103'!$A$12:$O$95,11,FALSE),0)</f>
        <v>2.483156209074918</v>
      </c>
      <c r="S442" s="1144">
        <f>IFERROR(VLOOKUP(CONCATENATE($E442,$G442),'LAC 103'!$A$12:$O$95,12,FALSE),0)</f>
        <v>3.07</v>
      </c>
      <c r="T442" s="1144">
        <f>IFERROR(VLOOKUP(CONCATENATE($E442,$G442),'LAC 103'!$A$12:$O$95,13,FALSE),0)</f>
        <v>1.92</v>
      </c>
      <c r="U442" s="1144">
        <f>IFERROR(VLOOKUP(CONCATENATE($E442,$G442),'LAC 103'!$A$12:$O$95,14,FALSE),0)</f>
        <v>0</v>
      </c>
      <c r="V442" s="1144">
        <f>IFERROR(VLOOKUP(CONCATENATE($E442,$G442),'LAC 103'!$A$12:$O$95,15,FALSE),0)</f>
        <v>0</v>
      </c>
      <c r="W442" s="1145" t="str">
        <f>IFERROR(VLOOKUP(CONCATENATE($B442,$N442),'LAC 103'!$AI:$AQ,9,FALSE),"")</f>
        <v>Costs</v>
      </c>
      <c r="X442" s="1146">
        <f t="shared" si="114"/>
        <v>2.483156209074918</v>
      </c>
      <c r="Y442" s="1143">
        <f t="shared" si="115"/>
        <v>3357.227194669289</v>
      </c>
      <c r="Z442" s="1147">
        <f t="shared" si="116"/>
        <v>4150.6399999999994</v>
      </c>
      <c r="AA442" s="1144">
        <f t="shared" si="117"/>
        <v>2595.8399999999997</v>
      </c>
      <c r="AB442" s="1144">
        <f t="shared" si="118"/>
        <v>0</v>
      </c>
      <c r="AC442" s="1144">
        <f t="shared" si="119"/>
        <v>0</v>
      </c>
      <c r="AD442" s="1148">
        <f t="shared" si="110"/>
        <v>3357.227194669289</v>
      </c>
      <c r="AE442" s="1487">
        <v>0</v>
      </c>
      <c r="AF442" s="1145">
        <f t="shared" si="120"/>
        <v>3357.227194669289</v>
      </c>
      <c r="AG442" s="1149">
        <f>IFERROR(VLOOKUP(CONCATENATE($L442,$N442),'Drop List'!$G$23:$K$87,2,FALSE),0)</f>
        <v>0</v>
      </c>
      <c r="AH442" s="1150">
        <f>IFERROR(VLOOKUP(CONCATENATE($L442,$N442),'Drop List'!$G$23:$K$87,3,FALSE),0)</f>
        <v>0</v>
      </c>
      <c r="AI442" s="1150">
        <f>IFERROR(VLOOKUP(CONCATENATE($L442,$N442),'Drop List'!$G$23:$K$87,4,FALSE),0)</f>
        <v>0</v>
      </c>
      <c r="AJ442" s="1151">
        <f>IFERROR(VLOOKUP(CONCATENATE($L442,$N442),'Drop List'!$G$23:$K$87,5,FALSE),0)</f>
        <v>0</v>
      </c>
      <c r="AK442" s="1152">
        <f t="shared" si="121"/>
        <v>0</v>
      </c>
      <c r="AL442" s="1153">
        <f t="shared" si="122"/>
        <v>0</v>
      </c>
      <c r="AM442" s="1153">
        <f t="shared" si="123"/>
        <v>0</v>
      </c>
      <c r="AN442" s="1145">
        <f t="shared" si="124"/>
        <v>0</v>
      </c>
      <c r="AO442" s="1154">
        <f t="shared" si="125"/>
        <v>0</v>
      </c>
      <c r="AP442" s="1147">
        <f t="shared" si="111"/>
        <v>3357.227194669289</v>
      </c>
      <c r="AQ442" s="1144">
        <f t="shared" si="112"/>
        <v>0</v>
      </c>
      <c r="AR442" s="1146">
        <f t="shared" si="113"/>
        <v>3357.227194669289</v>
      </c>
    </row>
    <row r="443" spans="1:44" x14ac:dyDescent="0.2">
      <c r="A443" s="1141" t="str">
        <f t="shared" si="108"/>
        <v>1505</v>
      </c>
      <c r="B443" s="1141" t="str">
        <f>IFERROR(VLOOKUP(A443,'LAC 103'!A:C,3,FALSE),"")</f>
        <v>OP</v>
      </c>
      <c r="C443" s="1478" t="str">
        <f>Info!$B$8</f>
        <v>00100</v>
      </c>
      <c r="D443" s="1474" t="s">
        <v>256</v>
      </c>
      <c r="E443" s="1474" t="s">
        <v>95</v>
      </c>
      <c r="F443" s="1478" t="s">
        <v>45</v>
      </c>
      <c r="G443" s="1478" t="s">
        <v>45</v>
      </c>
      <c r="H443" s="1474" t="s">
        <v>989</v>
      </c>
      <c r="I443" s="1478" t="s">
        <v>823</v>
      </c>
      <c r="J443" s="1478" t="s">
        <v>2001</v>
      </c>
      <c r="K443" s="1475" t="s">
        <v>846</v>
      </c>
      <c r="L443" s="1474" t="s">
        <v>332</v>
      </c>
      <c r="M443" s="1476" t="s">
        <v>841</v>
      </c>
      <c r="N443" s="1477" t="s">
        <v>1695</v>
      </c>
      <c r="O443" s="1479">
        <v>914</v>
      </c>
      <c r="P443" s="1479"/>
      <c r="Q443" s="1142">
        <f t="shared" si="109"/>
        <v>914</v>
      </c>
      <c r="R443" s="1143">
        <f>IFERROR(VLOOKUP(CONCATENATE(E443,G443),'LAC 103'!$A$12:$O$95,11,FALSE),0)</f>
        <v>2.483156209074918</v>
      </c>
      <c r="S443" s="1144">
        <f>IFERROR(VLOOKUP(CONCATENATE($E443,$G443),'LAC 103'!$A$12:$O$95,12,FALSE),0)</f>
        <v>3.07</v>
      </c>
      <c r="T443" s="1144">
        <f>IFERROR(VLOOKUP(CONCATENATE($E443,$G443),'LAC 103'!$A$12:$O$95,13,FALSE),0)</f>
        <v>1.92</v>
      </c>
      <c r="U443" s="1144">
        <f>IFERROR(VLOOKUP(CONCATENATE($E443,$G443),'LAC 103'!$A$12:$O$95,14,FALSE),0)</f>
        <v>0</v>
      </c>
      <c r="V443" s="1144">
        <f>IFERROR(VLOOKUP(CONCATENATE($E443,$G443),'LAC 103'!$A$12:$O$95,15,FALSE),0)</f>
        <v>0</v>
      </c>
      <c r="W443" s="1145" t="str">
        <f>IFERROR(VLOOKUP(CONCATENATE($B443,$N443),'LAC 103'!$AI:$AQ,9,FALSE),"")</f>
        <v>Costs</v>
      </c>
      <c r="X443" s="1146">
        <f t="shared" si="114"/>
        <v>2.483156209074918</v>
      </c>
      <c r="Y443" s="1143">
        <f t="shared" si="115"/>
        <v>2269.6047750944749</v>
      </c>
      <c r="Z443" s="1147">
        <f t="shared" si="116"/>
        <v>2805.98</v>
      </c>
      <c r="AA443" s="1144">
        <f t="shared" si="117"/>
        <v>1754.8799999999999</v>
      </c>
      <c r="AB443" s="1144">
        <f t="shared" si="118"/>
        <v>0</v>
      </c>
      <c r="AC443" s="1144">
        <f t="shared" si="119"/>
        <v>0</v>
      </c>
      <c r="AD443" s="1148">
        <f t="shared" si="110"/>
        <v>2269.6047750944749</v>
      </c>
      <c r="AE443" s="1487">
        <v>0</v>
      </c>
      <c r="AF443" s="1145">
        <f t="shared" si="120"/>
        <v>2269.6047750944749</v>
      </c>
      <c r="AG443" s="1149">
        <f>IFERROR(VLOOKUP(CONCATENATE($L443,$N443),'Drop List'!$G$23:$K$87,2,FALSE),0)</f>
        <v>0</v>
      </c>
      <c r="AH443" s="1150">
        <f>IFERROR(VLOOKUP(CONCATENATE($L443,$N443),'Drop List'!$G$23:$K$87,3,FALSE),0)</f>
        <v>0</v>
      </c>
      <c r="AI443" s="1150">
        <f>IFERROR(VLOOKUP(CONCATENATE($L443,$N443),'Drop List'!$G$23:$K$87,4,FALSE),0)</f>
        <v>0</v>
      </c>
      <c r="AJ443" s="1151">
        <f>IFERROR(VLOOKUP(CONCATENATE($L443,$N443),'Drop List'!$G$23:$K$87,5,FALSE),0)</f>
        <v>0</v>
      </c>
      <c r="AK443" s="1152">
        <f t="shared" si="121"/>
        <v>0</v>
      </c>
      <c r="AL443" s="1153">
        <f t="shared" si="122"/>
        <v>0</v>
      </c>
      <c r="AM443" s="1153">
        <f t="shared" si="123"/>
        <v>0</v>
      </c>
      <c r="AN443" s="1145">
        <f t="shared" si="124"/>
        <v>0</v>
      </c>
      <c r="AO443" s="1154">
        <f t="shared" si="125"/>
        <v>0</v>
      </c>
      <c r="AP443" s="1147">
        <f t="shared" si="111"/>
        <v>2269.6047750944749</v>
      </c>
      <c r="AQ443" s="1144">
        <f t="shared" si="112"/>
        <v>0</v>
      </c>
      <c r="AR443" s="1146">
        <f t="shared" si="113"/>
        <v>2269.6047750944749</v>
      </c>
    </row>
    <row r="444" spans="1:44" x14ac:dyDescent="0.2">
      <c r="A444" s="1141" t="str">
        <f t="shared" si="108"/>
        <v>1505</v>
      </c>
      <c r="B444" s="1141" t="str">
        <f>IFERROR(VLOOKUP(A444,'LAC 103'!A:C,3,FALSE),"")</f>
        <v>OP</v>
      </c>
      <c r="C444" s="1478" t="str">
        <f>Info!$B$8</f>
        <v>00100</v>
      </c>
      <c r="D444" s="1474" t="s">
        <v>256</v>
      </c>
      <c r="E444" s="1474" t="s">
        <v>95</v>
      </c>
      <c r="F444" s="1478" t="s">
        <v>45</v>
      </c>
      <c r="G444" s="1478" t="s">
        <v>45</v>
      </c>
      <c r="H444" s="1474" t="s">
        <v>989</v>
      </c>
      <c r="I444" s="1478" t="s">
        <v>823</v>
      </c>
      <c r="J444" s="1478" t="s">
        <v>2001</v>
      </c>
      <c r="K444" s="1475" t="s">
        <v>846</v>
      </c>
      <c r="L444" s="1474" t="s">
        <v>332</v>
      </c>
      <c r="M444" s="1476" t="s">
        <v>840</v>
      </c>
      <c r="N444" s="1477" t="s">
        <v>1700</v>
      </c>
      <c r="O444" s="1479">
        <v>1292</v>
      </c>
      <c r="P444" s="1479"/>
      <c r="Q444" s="1142">
        <f t="shared" si="109"/>
        <v>1292</v>
      </c>
      <c r="R444" s="1143">
        <f>IFERROR(VLOOKUP(CONCATENATE(E444,G444),'LAC 103'!$A$12:$O$95,11,FALSE),0)</f>
        <v>2.483156209074918</v>
      </c>
      <c r="S444" s="1144">
        <f>IFERROR(VLOOKUP(CONCATENATE($E444,$G444),'LAC 103'!$A$12:$O$95,12,FALSE),0)</f>
        <v>3.07</v>
      </c>
      <c r="T444" s="1144">
        <f>IFERROR(VLOOKUP(CONCATENATE($E444,$G444),'LAC 103'!$A$12:$O$95,13,FALSE),0)</f>
        <v>1.92</v>
      </c>
      <c r="U444" s="1144">
        <f>IFERROR(VLOOKUP(CONCATENATE($E444,$G444),'LAC 103'!$A$12:$O$95,14,FALSE),0)</f>
        <v>0</v>
      </c>
      <c r="V444" s="1144">
        <f>IFERROR(VLOOKUP(CONCATENATE($E444,$G444),'LAC 103'!$A$12:$O$95,15,FALSE),0)</f>
        <v>0</v>
      </c>
      <c r="W444" s="1145" t="str">
        <f>IFERROR(VLOOKUP(CONCATENATE($B444,$N444),'LAC 103'!$AI:$AQ,9,FALSE),"")</f>
        <v>P.C.</v>
      </c>
      <c r="X444" s="1146">
        <f t="shared" si="114"/>
        <v>1.92</v>
      </c>
      <c r="Y444" s="1143">
        <f t="shared" si="115"/>
        <v>3208.2378221247941</v>
      </c>
      <c r="Z444" s="1147">
        <f t="shared" si="116"/>
        <v>3966.4399999999996</v>
      </c>
      <c r="AA444" s="1144">
        <f t="shared" si="117"/>
        <v>2480.64</v>
      </c>
      <c r="AB444" s="1144">
        <f t="shared" si="118"/>
        <v>0</v>
      </c>
      <c r="AC444" s="1144">
        <f t="shared" si="119"/>
        <v>0</v>
      </c>
      <c r="AD444" s="1148">
        <f t="shared" si="110"/>
        <v>2480.64</v>
      </c>
      <c r="AE444" s="1487">
        <v>0</v>
      </c>
      <c r="AF444" s="1145">
        <f t="shared" si="120"/>
        <v>2480.64</v>
      </c>
      <c r="AG444" s="1149">
        <f>IFERROR(VLOOKUP(CONCATENATE($L444,$N444),'Drop List'!$G$23:$K$87,2,FALSE),0)</f>
        <v>0</v>
      </c>
      <c r="AH444" s="1150">
        <f>IFERROR(VLOOKUP(CONCATENATE($L444,$N444),'Drop List'!$G$23:$K$87,3,FALSE),0)</f>
        <v>0</v>
      </c>
      <c r="AI444" s="1150">
        <f>IFERROR(VLOOKUP(CONCATENATE($L444,$N444),'Drop List'!$G$23:$K$87,4,FALSE),0)</f>
        <v>0</v>
      </c>
      <c r="AJ444" s="1151">
        <f>IFERROR(VLOOKUP(CONCATENATE($L444,$N444),'Drop List'!$G$23:$K$87,5,FALSE),0)</f>
        <v>0</v>
      </c>
      <c r="AK444" s="1152">
        <f t="shared" si="121"/>
        <v>0</v>
      </c>
      <c r="AL444" s="1153">
        <f t="shared" si="122"/>
        <v>0</v>
      </c>
      <c r="AM444" s="1153">
        <f t="shared" si="123"/>
        <v>0</v>
      </c>
      <c r="AN444" s="1145">
        <f t="shared" si="124"/>
        <v>0</v>
      </c>
      <c r="AO444" s="1154">
        <f t="shared" si="125"/>
        <v>0</v>
      </c>
      <c r="AP444" s="1147">
        <f t="shared" si="111"/>
        <v>2480.64</v>
      </c>
      <c r="AQ444" s="1144">
        <f t="shared" si="112"/>
        <v>0</v>
      </c>
      <c r="AR444" s="1146">
        <f t="shared" si="113"/>
        <v>2480.64</v>
      </c>
    </row>
    <row r="445" spans="1:44" x14ac:dyDescent="0.2">
      <c r="A445" s="1141" t="str">
        <f t="shared" si="108"/>
        <v>1505</v>
      </c>
      <c r="B445" s="1141" t="str">
        <f>IFERROR(VLOOKUP(A445,'LAC 103'!A:C,3,FALSE),"")</f>
        <v>OP</v>
      </c>
      <c r="C445" s="1478" t="str">
        <f>Info!$B$8</f>
        <v>00100</v>
      </c>
      <c r="D445" s="1474" t="s">
        <v>256</v>
      </c>
      <c r="E445" s="1474" t="s">
        <v>95</v>
      </c>
      <c r="F445" s="1478" t="s">
        <v>45</v>
      </c>
      <c r="G445" s="1478" t="s">
        <v>45</v>
      </c>
      <c r="H445" s="1474" t="s">
        <v>989</v>
      </c>
      <c r="I445" s="1478" t="s">
        <v>823</v>
      </c>
      <c r="J445" s="1478" t="s">
        <v>2001</v>
      </c>
      <c r="K445" s="1475" t="s">
        <v>846</v>
      </c>
      <c r="L445" s="1474" t="s">
        <v>332</v>
      </c>
      <c r="M445" s="1476" t="s">
        <v>842</v>
      </c>
      <c r="N445" s="1477" t="s">
        <v>1692</v>
      </c>
      <c r="O445" s="1479">
        <v>2432</v>
      </c>
      <c r="P445" s="1479"/>
      <c r="Q445" s="1142">
        <f t="shared" si="109"/>
        <v>2432</v>
      </c>
      <c r="R445" s="1143">
        <f>IFERROR(VLOOKUP(CONCATENATE(E445,G445),'LAC 103'!$A$12:$O$95,11,FALSE),0)</f>
        <v>2.483156209074918</v>
      </c>
      <c r="S445" s="1144">
        <f>IFERROR(VLOOKUP(CONCATENATE($E445,$G445),'LAC 103'!$A$12:$O$95,12,FALSE),0)</f>
        <v>3.07</v>
      </c>
      <c r="T445" s="1144">
        <f>IFERROR(VLOOKUP(CONCATENATE($E445,$G445),'LAC 103'!$A$12:$O$95,13,FALSE),0)</f>
        <v>1.92</v>
      </c>
      <c r="U445" s="1144">
        <f>IFERROR(VLOOKUP(CONCATENATE($E445,$G445),'LAC 103'!$A$12:$O$95,14,FALSE),0)</f>
        <v>0</v>
      </c>
      <c r="V445" s="1144">
        <f>IFERROR(VLOOKUP(CONCATENATE($E445,$G445),'LAC 103'!$A$12:$O$95,15,FALSE),0)</f>
        <v>0</v>
      </c>
      <c r="W445" s="1145" t="str">
        <f>IFERROR(VLOOKUP(CONCATENATE($B445,$N445),'LAC 103'!$AI:$AQ,9,FALSE),"")</f>
        <v>Costs</v>
      </c>
      <c r="X445" s="1146">
        <f t="shared" si="114"/>
        <v>2.483156209074918</v>
      </c>
      <c r="Y445" s="1143">
        <f t="shared" si="115"/>
        <v>6039.0359004702004</v>
      </c>
      <c r="Z445" s="1147">
        <f t="shared" si="116"/>
        <v>7466.24</v>
      </c>
      <c r="AA445" s="1144">
        <f t="shared" si="117"/>
        <v>4669.4399999999996</v>
      </c>
      <c r="AB445" s="1144">
        <f t="shared" si="118"/>
        <v>0</v>
      </c>
      <c r="AC445" s="1144">
        <f t="shared" si="119"/>
        <v>0</v>
      </c>
      <c r="AD445" s="1148">
        <f t="shared" si="110"/>
        <v>6039.0359004702004</v>
      </c>
      <c r="AE445" s="1487">
        <v>0</v>
      </c>
      <c r="AF445" s="1145">
        <f t="shared" si="120"/>
        <v>6039.0359004702004</v>
      </c>
      <c r="AG445" s="1149">
        <f>IFERROR(VLOOKUP(CONCATENATE($L445,$N445),'Drop List'!$G$23:$K$87,2,FALSE),0)</f>
        <v>0</v>
      </c>
      <c r="AH445" s="1150">
        <f>IFERROR(VLOOKUP(CONCATENATE($L445,$N445),'Drop List'!$G$23:$K$87,3,FALSE),0)</f>
        <v>0</v>
      </c>
      <c r="AI445" s="1150">
        <f>IFERROR(VLOOKUP(CONCATENATE($L445,$N445),'Drop List'!$G$23:$K$87,4,FALSE),0)</f>
        <v>0</v>
      </c>
      <c r="AJ445" s="1151">
        <f>IFERROR(VLOOKUP(CONCATENATE($L445,$N445),'Drop List'!$G$23:$K$87,5,FALSE),0)</f>
        <v>0</v>
      </c>
      <c r="AK445" s="1152">
        <f t="shared" si="121"/>
        <v>0</v>
      </c>
      <c r="AL445" s="1153">
        <f t="shared" si="122"/>
        <v>0</v>
      </c>
      <c r="AM445" s="1153">
        <f t="shared" si="123"/>
        <v>0</v>
      </c>
      <c r="AN445" s="1145">
        <f t="shared" si="124"/>
        <v>0</v>
      </c>
      <c r="AO445" s="1154">
        <f t="shared" si="125"/>
        <v>0</v>
      </c>
      <c r="AP445" s="1147">
        <f t="shared" si="111"/>
        <v>6039.0359004702004</v>
      </c>
      <c r="AQ445" s="1144">
        <f t="shared" si="112"/>
        <v>0</v>
      </c>
      <c r="AR445" s="1146">
        <f t="shared" si="113"/>
        <v>6039.0359004702004</v>
      </c>
    </row>
    <row r="446" spans="1:44" x14ac:dyDescent="0.2">
      <c r="A446" s="1141" t="str">
        <f t="shared" si="108"/>
        <v>1505</v>
      </c>
      <c r="B446" s="1141" t="str">
        <f>IFERROR(VLOOKUP(A446,'LAC 103'!A:C,3,FALSE),"")</f>
        <v>OP</v>
      </c>
      <c r="C446" s="1478" t="str">
        <f>Info!$B$8</f>
        <v>00100</v>
      </c>
      <c r="D446" s="1474" t="s">
        <v>256</v>
      </c>
      <c r="E446" s="1474" t="s">
        <v>95</v>
      </c>
      <c r="F446" s="1478" t="s">
        <v>45</v>
      </c>
      <c r="G446" s="1478" t="s">
        <v>45</v>
      </c>
      <c r="H446" s="1474" t="s">
        <v>989</v>
      </c>
      <c r="I446" s="1478" t="s">
        <v>823</v>
      </c>
      <c r="J446" s="1478" t="s">
        <v>2001</v>
      </c>
      <c r="K446" s="1475" t="s">
        <v>846</v>
      </c>
      <c r="L446" s="1474" t="s">
        <v>332</v>
      </c>
      <c r="M446" s="1476" t="s">
        <v>1698</v>
      </c>
      <c r="N446" s="1477" t="s">
        <v>1693</v>
      </c>
      <c r="O446" s="1479">
        <v>1062</v>
      </c>
      <c r="P446" s="1479"/>
      <c r="Q446" s="1142">
        <f t="shared" si="109"/>
        <v>1062</v>
      </c>
      <c r="R446" s="1143">
        <f>IFERROR(VLOOKUP(CONCATENATE(E446,G446),'LAC 103'!$A$12:$O$95,11,FALSE),0)</f>
        <v>2.483156209074918</v>
      </c>
      <c r="S446" s="1144">
        <f>IFERROR(VLOOKUP(CONCATENATE($E446,$G446),'LAC 103'!$A$12:$O$95,12,FALSE),0)</f>
        <v>3.07</v>
      </c>
      <c r="T446" s="1144">
        <f>IFERROR(VLOOKUP(CONCATENATE($E446,$G446),'LAC 103'!$A$12:$O$95,13,FALSE),0)</f>
        <v>1.92</v>
      </c>
      <c r="U446" s="1144">
        <f>IFERROR(VLOOKUP(CONCATENATE($E446,$G446),'LAC 103'!$A$12:$O$95,14,FALSE),0)</f>
        <v>0</v>
      </c>
      <c r="V446" s="1144">
        <f>IFERROR(VLOOKUP(CONCATENATE($E446,$G446),'LAC 103'!$A$12:$O$95,15,FALSE),0)</f>
        <v>0</v>
      </c>
      <c r="W446" s="1145" t="str">
        <f>IFERROR(VLOOKUP(CONCATENATE($B446,$N446),'LAC 103'!$AI:$AQ,9,FALSE),"")</f>
        <v>Costs</v>
      </c>
      <c r="X446" s="1146">
        <f t="shared" si="114"/>
        <v>2.483156209074918</v>
      </c>
      <c r="Y446" s="1143">
        <f t="shared" si="115"/>
        <v>2637.1118940375627</v>
      </c>
      <c r="Z446" s="1147">
        <f t="shared" si="116"/>
        <v>3260.3399999999997</v>
      </c>
      <c r="AA446" s="1144">
        <f t="shared" si="117"/>
        <v>2039.04</v>
      </c>
      <c r="AB446" s="1144">
        <f t="shared" si="118"/>
        <v>0</v>
      </c>
      <c r="AC446" s="1144">
        <f t="shared" si="119"/>
        <v>0</v>
      </c>
      <c r="AD446" s="1148">
        <f t="shared" si="110"/>
        <v>2637.1118940375627</v>
      </c>
      <c r="AE446" s="1487">
        <v>0</v>
      </c>
      <c r="AF446" s="1145">
        <f t="shared" si="120"/>
        <v>2637.1118940375627</v>
      </c>
      <c r="AG446" s="1149">
        <f>IFERROR(VLOOKUP(CONCATENATE($L446,$N446),'Drop List'!$G$23:$K$87,2,FALSE),0)</f>
        <v>0</v>
      </c>
      <c r="AH446" s="1150">
        <f>IFERROR(VLOOKUP(CONCATENATE($L446,$N446),'Drop List'!$G$23:$K$87,3,FALSE),0)</f>
        <v>0</v>
      </c>
      <c r="AI446" s="1150">
        <f>IFERROR(VLOOKUP(CONCATENATE($L446,$N446),'Drop List'!$G$23:$K$87,4,FALSE),0)</f>
        <v>0</v>
      </c>
      <c r="AJ446" s="1151">
        <f>IFERROR(VLOOKUP(CONCATENATE($L446,$N446),'Drop List'!$G$23:$K$87,5,FALSE),0)</f>
        <v>0</v>
      </c>
      <c r="AK446" s="1152">
        <f t="shared" si="121"/>
        <v>0</v>
      </c>
      <c r="AL446" s="1153">
        <f t="shared" si="122"/>
        <v>0</v>
      </c>
      <c r="AM446" s="1153">
        <f t="shared" si="123"/>
        <v>0</v>
      </c>
      <c r="AN446" s="1145">
        <f t="shared" si="124"/>
        <v>0</v>
      </c>
      <c r="AO446" s="1154">
        <f t="shared" si="125"/>
        <v>0</v>
      </c>
      <c r="AP446" s="1147">
        <f t="shared" si="111"/>
        <v>2637.1118940375627</v>
      </c>
      <c r="AQ446" s="1144">
        <f t="shared" si="112"/>
        <v>0</v>
      </c>
      <c r="AR446" s="1146">
        <f t="shared" si="113"/>
        <v>2637.1118940375627</v>
      </c>
    </row>
    <row r="447" spans="1:44" x14ac:dyDescent="0.2">
      <c r="A447" s="1141" t="str">
        <f t="shared" si="108"/>
        <v>1505</v>
      </c>
      <c r="B447" s="1141" t="str">
        <f>IFERROR(VLOOKUP(A447,'LAC 103'!A:C,3,FALSE),"")</f>
        <v>OP</v>
      </c>
      <c r="C447" s="1478" t="str">
        <f>Info!$B$8</f>
        <v>00100</v>
      </c>
      <c r="D447" s="1474" t="s">
        <v>256</v>
      </c>
      <c r="E447" s="1474" t="s">
        <v>95</v>
      </c>
      <c r="F447" s="1478" t="s">
        <v>45</v>
      </c>
      <c r="G447" s="1478" t="s">
        <v>45</v>
      </c>
      <c r="H447" s="1474" t="s">
        <v>1664</v>
      </c>
      <c r="I447" s="1478" t="s">
        <v>927</v>
      </c>
      <c r="J447" s="1478" t="s">
        <v>123</v>
      </c>
      <c r="K447" s="1475" t="s">
        <v>846</v>
      </c>
      <c r="L447" s="1474" t="s">
        <v>332</v>
      </c>
      <c r="M447" s="1476" t="s">
        <v>1699</v>
      </c>
      <c r="N447" s="1477" t="s">
        <v>1694</v>
      </c>
      <c r="O447" s="1479">
        <v>3281</v>
      </c>
      <c r="P447" s="1479"/>
      <c r="Q447" s="1142">
        <f t="shared" si="109"/>
        <v>3281</v>
      </c>
      <c r="R447" s="1143">
        <f>IFERROR(VLOOKUP(CONCATENATE(E447,G447),'LAC 103'!$A$12:$O$95,11,FALSE),0)</f>
        <v>2.483156209074918</v>
      </c>
      <c r="S447" s="1144">
        <f>IFERROR(VLOOKUP(CONCATENATE($E447,$G447),'LAC 103'!$A$12:$O$95,12,FALSE),0)</f>
        <v>3.07</v>
      </c>
      <c r="T447" s="1144">
        <f>IFERROR(VLOOKUP(CONCATENATE($E447,$G447),'LAC 103'!$A$12:$O$95,13,FALSE),0)</f>
        <v>1.92</v>
      </c>
      <c r="U447" s="1144">
        <f>IFERROR(VLOOKUP(CONCATENATE($E447,$G447),'LAC 103'!$A$12:$O$95,14,FALSE),0)</f>
        <v>0</v>
      </c>
      <c r="V447" s="1144">
        <f>IFERROR(VLOOKUP(CONCATENATE($E447,$G447),'LAC 103'!$A$12:$O$95,15,FALSE),0)</f>
        <v>0</v>
      </c>
      <c r="W447" s="1145" t="str">
        <f>IFERROR(VLOOKUP(CONCATENATE($B447,$N447),'LAC 103'!$AI:$AQ,9,FALSE),"")</f>
        <v>Costs</v>
      </c>
      <c r="X447" s="1146">
        <f t="shared" si="114"/>
        <v>2.483156209074918</v>
      </c>
      <c r="Y447" s="1143">
        <f t="shared" si="115"/>
        <v>8147.235521974806</v>
      </c>
      <c r="Z447" s="1147">
        <f t="shared" si="116"/>
        <v>10072.67</v>
      </c>
      <c r="AA447" s="1144">
        <f t="shared" si="117"/>
        <v>6299.5199999999995</v>
      </c>
      <c r="AB447" s="1144">
        <f t="shared" si="118"/>
        <v>0</v>
      </c>
      <c r="AC447" s="1144">
        <f t="shared" si="119"/>
        <v>0</v>
      </c>
      <c r="AD447" s="1148">
        <f t="shared" si="110"/>
        <v>8147.235521974806</v>
      </c>
      <c r="AE447" s="1487">
        <v>0</v>
      </c>
      <c r="AF447" s="1145">
        <f t="shared" si="120"/>
        <v>8147.235521974806</v>
      </c>
      <c r="AG447" s="1149">
        <f>IFERROR(VLOOKUP(CONCATENATE($L447,$N447),'Drop List'!$G$23:$K$87,2,FALSE),0)</f>
        <v>0</v>
      </c>
      <c r="AH447" s="1150">
        <f>IFERROR(VLOOKUP(CONCATENATE($L447,$N447),'Drop List'!$G$23:$K$87,3,FALSE),0)</f>
        <v>0</v>
      </c>
      <c r="AI447" s="1150">
        <f>IFERROR(VLOOKUP(CONCATENATE($L447,$N447),'Drop List'!$G$23:$K$87,4,FALSE),0)</f>
        <v>0</v>
      </c>
      <c r="AJ447" s="1151">
        <f>IFERROR(VLOOKUP(CONCATENATE($L447,$N447),'Drop List'!$G$23:$K$87,5,FALSE),0)</f>
        <v>0</v>
      </c>
      <c r="AK447" s="1152">
        <f t="shared" si="121"/>
        <v>0</v>
      </c>
      <c r="AL447" s="1153">
        <f t="shared" si="122"/>
        <v>0</v>
      </c>
      <c r="AM447" s="1153">
        <f t="shared" si="123"/>
        <v>0</v>
      </c>
      <c r="AN447" s="1145">
        <f t="shared" si="124"/>
        <v>0</v>
      </c>
      <c r="AO447" s="1154">
        <f t="shared" si="125"/>
        <v>0</v>
      </c>
      <c r="AP447" s="1147">
        <f t="shared" si="111"/>
        <v>8147.235521974806</v>
      </c>
      <c r="AQ447" s="1144">
        <f t="shared" si="112"/>
        <v>0</v>
      </c>
      <c r="AR447" s="1146">
        <f t="shared" si="113"/>
        <v>8147.235521974806</v>
      </c>
    </row>
    <row r="448" spans="1:44" x14ac:dyDescent="0.2">
      <c r="A448" s="1141" t="str">
        <f t="shared" si="108"/>
        <v>1505</v>
      </c>
      <c r="B448" s="1141" t="str">
        <f>IFERROR(VLOOKUP(A448,'LAC 103'!A:C,3,FALSE),"")</f>
        <v>OP</v>
      </c>
      <c r="C448" s="1478" t="str">
        <f>Info!$B$8</f>
        <v>00100</v>
      </c>
      <c r="D448" s="1474" t="s">
        <v>256</v>
      </c>
      <c r="E448" s="1474" t="s">
        <v>95</v>
      </c>
      <c r="F448" s="1478" t="s">
        <v>45</v>
      </c>
      <c r="G448" s="1478" t="s">
        <v>45</v>
      </c>
      <c r="H448" s="1474" t="s">
        <v>1664</v>
      </c>
      <c r="I448" s="1478" t="s">
        <v>927</v>
      </c>
      <c r="J448" s="1478"/>
      <c r="K448" s="1475" t="s">
        <v>846</v>
      </c>
      <c r="L448" s="1474" t="s">
        <v>332</v>
      </c>
      <c r="M448" s="1476" t="s">
        <v>841</v>
      </c>
      <c r="N448" s="1477" t="s">
        <v>1695</v>
      </c>
      <c r="O448" s="1479">
        <v>1255</v>
      </c>
      <c r="P448" s="1479"/>
      <c r="Q448" s="1142">
        <f t="shared" si="109"/>
        <v>1255</v>
      </c>
      <c r="R448" s="1143">
        <f>IFERROR(VLOOKUP(CONCATENATE(E448,G448),'LAC 103'!$A$12:$O$95,11,FALSE),0)</f>
        <v>2.483156209074918</v>
      </c>
      <c r="S448" s="1144">
        <f>IFERROR(VLOOKUP(CONCATENATE($E448,$G448),'LAC 103'!$A$12:$O$95,12,FALSE),0)</f>
        <v>3.07</v>
      </c>
      <c r="T448" s="1144">
        <f>IFERROR(VLOOKUP(CONCATENATE($E448,$G448),'LAC 103'!$A$12:$O$95,13,FALSE),0)</f>
        <v>1.92</v>
      </c>
      <c r="U448" s="1144">
        <f>IFERROR(VLOOKUP(CONCATENATE($E448,$G448),'LAC 103'!$A$12:$O$95,14,FALSE),0)</f>
        <v>0</v>
      </c>
      <c r="V448" s="1144">
        <f>IFERROR(VLOOKUP(CONCATENATE($E448,$G448),'LAC 103'!$A$12:$O$95,15,FALSE),0)</f>
        <v>0</v>
      </c>
      <c r="W448" s="1145" t="str">
        <f>IFERROR(VLOOKUP(CONCATENATE($B448,$N448),'LAC 103'!$AI:$AQ,9,FALSE),"")</f>
        <v>Costs</v>
      </c>
      <c r="X448" s="1146">
        <f t="shared" si="114"/>
        <v>2.483156209074918</v>
      </c>
      <c r="Y448" s="1143">
        <f t="shared" si="115"/>
        <v>3116.3610423890223</v>
      </c>
      <c r="Z448" s="1147">
        <f t="shared" si="116"/>
        <v>3852.85</v>
      </c>
      <c r="AA448" s="1144">
        <f t="shared" si="117"/>
        <v>2409.6</v>
      </c>
      <c r="AB448" s="1144">
        <f t="shared" si="118"/>
        <v>0</v>
      </c>
      <c r="AC448" s="1144">
        <f t="shared" si="119"/>
        <v>0</v>
      </c>
      <c r="AD448" s="1148">
        <f t="shared" si="110"/>
        <v>3116.3610423890223</v>
      </c>
      <c r="AE448" s="1487">
        <v>0</v>
      </c>
      <c r="AF448" s="1145">
        <f t="shared" si="120"/>
        <v>3116.3610423890223</v>
      </c>
      <c r="AG448" s="1149">
        <f>IFERROR(VLOOKUP(CONCATENATE($L448,$N448),'Drop List'!$G$23:$K$87,2,FALSE),0)</f>
        <v>0</v>
      </c>
      <c r="AH448" s="1150">
        <f>IFERROR(VLOOKUP(CONCATENATE($L448,$N448),'Drop List'!$G$23:$K$87,3,FALSE),0)</f>
        <v>0</v>
      </c>
      <c r="AI448" s="1150">
        <f>IFERROR(VLOOKUP(CONCATENATE($L448,$N448),'Drop List'!$G$23:$K$87,4,FALSE),0)</f>
        <v>0</v>
      </c>
      <c r="AJ448" s="1151">
        <f>IFERROR(VLOOKUP(CONCATENATE($L448,$N448),'Drop List'!$G$23:$K$87,5,FALSE),0)</f>
        <v>0</v>
      </c>
      <c r="AK448" s="1152">
        <f t="shared" si="121"/>
        <v>0</v>
      </c>
      <c r="AL448" s="1153">
        <f t="shared" si="122"/>
        <v>0</v>
      </c>
      <c r="AM448" s="1153">
        <f t="shared" si="123"/>
        <v>0</v>
      </c>
      <c r="AN448" s="1145">
        <f t="shared" si="124"/>
        <v>0</v>
      </c>
      <c r="AO448" s="1154">
        <f t="shared" si="125"/>
        <v>0</v>
      </c>
      <c r="AP448" s="1147">
        <f t="shared" si="111"/>
        <v>3116.3610423890223</v>
      </c>
      <c r="AQ448" s="1144">
        <f t="shared" si="112"/>
        <v>0</v>
      </c>
      <c r="AR448" s="1146">
        <f t="shared" si="113"/>
        <v>3116.3610423890223</v>
      </c>
    </row>
    <row r="449" spans="1:44" x14ac:dyDescent="0.2">
      <c r="A449" s="1141" t="str">
        <f t="shared" si="108"/>
        <v>1505</v>
      </c>
      <c r="B449" s="1141" t="str">
        <f>IFERROR(VLOOKUP(A449,'LAC 103'!A:C,3,FALSE),"")</f>
        <v>OP</v>
      </c>
      <c r="C449" s="1478" t="str">
        <f>Info!$B$8</f>
        <v>00100</v>
      </c>
      <c r="D449" s="1474" t="s">
        <v>256</v>
      </c>
      <c r="E449" s="1474" t="s">
        <v>95</v>
      </c>
      <c r="F449" s="1478" t="s">
        <v>45</v>
      </c>
      <c r="G449" s="1478" t="s">
        <v>45</v>
      </c>
      <c r="H449" s="1474" t="s">
        <v>1664</v>
      </c>
      <c r="I449" s="1478" t="s">
        <v>927</v>
      </c>
      <c r="J449" s="1478"/>
      <c r="K449" s="1475" t="s">
        <v>846</v>
      </c>
      <c r="L449" s="1474" t="s">
        <v>332</v>
      </c>
      <c r="M449" s="1476" t="s">
        <v>840</v>
      </c>
      <c r="N449" s="1477" t="s">
        <v>1700</v>
      </c>
      <c r="O449" s="1479">
        <v>1485</v>
      </c>
      <c r="P449" s="1479"/>
      <c r="Q449" s="1142">
        <f t="shared" si="109"/>
        <v>1485</v>
      </c>
      <c r="R449" s="1143">
        <f>IFERROR(VLOOKUP(CONCATENATE(E449,G449),'LAC 103'!$A$12:$O$95,11,FALSE),0)</f>
        <v>2.483156209074918</v>
      </c>
      <c r="S449" s="1144">
        <f>IFERROR(VLOOKUP(CONCATENATE($E449,$G449),'LAC 103'!$A$12:$O$95,12,FALSE),0)</f>
        <v>3.07</v>
      </c>
      <c r="T449" s="1144">
        <f>IFERROR(VLOOKUP(CONCATENATE($E449,$G449),'LAC 103'!$A$12:$O$95,13,FALSE),0)</f>
        <v>1.92</v>
      </c>
      <c r="U449" s="1144">
        <f>IFERROR(VLOOKUP(CONCATENATE($E449,$G449),'LAC 103'!$A$12:$O$95,14,FALSE),0)</f>
        <v>0</v>
      </c>
      <c r="V449" s="1144">
        <f>IFERROR(VLOOKUP(CONCATENATE($E449,$G449),'LAC 103'!$A$12:$O$95,15,FALSE),0)</f>
        <v>0</v>
      </c>
      <c r="W449" s="1145" t="str">
        <f>IFERROR(VLOOKUP(CONCATENATE($B449,$N449),'LAC 103'!$AI:$AQ,9,FALSE),"")</f>
        <v>P.C.</v>
      </c>
      <c r="X449" s="1146">
        <f t="shared" si="114"/>
        <v>1.92</v>
      </c>
      <c r="Y449" s="1143">
        <f t="shared" si="115"/>
        <v>3687.4869704762532</v>
      </c>
      <c r="Z449" s="1147">
        <f t="shared" si="116"/>
        <v>4558.95</v>
      </c>
      <c r="AA449" s="1144">
        <f t="shared" si="117"/>
        <v>2851.2</v>
      </c>
      <c r="AB449" s="1144">
        <f t="shared" si="118"/>
        <v>0</v>
      </c>
      <c r="AC449" s="1144">
        <f t="shared" si="119"/>
        <v>0</v>
      </c>
      <c r="AD449" s="1148">
        <f t="shared" si="110"/>
        <v>2851.2</v>
      </c>
      <c r="AE449" s="1487">
        <v>0</v>
      </c>
      <c r="AF449" s="1145">
        <f t="shared" si="120"/>
        <v>2851.2</v>
      </c>
      <c r="AG449" s="1149">
        <f>IFERROR(VLOOKUP(CONCATENATE($L449,$N449),'Drop List'!$G$23:$K$87,2,FALSE),0)</f>
        <v>0</v>
      </c>
      <c r="AH449" s="1150">
        <f>IFERROR(VLOOKUP(CONCATENATE($L449,$N449),'Drop List'!$G$23:$K$87,3,FALSE),0)</f>
        <v>0</v>
      </c>
      <c r="AI449" s="1150">
        <f>IFERROR(VLOOKUP(CONCATENATE($L449,$N449),'Drop List'!$G$23:$K$87,4,FALSE),0)</f>
        <v>0</v>
      </c>
      <c r="AJ449" s="1151">
        <f>IFERROR(VLOOKUP(CONCATENATE($L449,$N449),'Drop List'!$G$23:$K$87,5,FALSE),0)</f>
        <v>0</v>
      </c>
      <c r="AK449" s="1152">
        <f t="shared" si="121"/>
        <v>0</v>
      </c>
      <c r="AL449" s="1153">
        <f t="shared" si="122"/>
        <v>0</v>
      </c>
      <c r="AM449" s="1153">
        <f t="shared" si="123"/>
        <v>0</v>
      </c>
      <c r="AN449" s="1145">
        <f t="shared" si="124"/>
        <v>0</v>
      </c>
      <c r="AO449" s="1154">
        <f t="shared" si="125"/>
        <v>0</v>
      </c>
      <c r="AP449" s="1147">
        <f t="shared" si="111"/>
        <v>2851.2</v>
      </c>
      <c r="AQ449" s="1144">
        <f t="shared" si="112"/>
        <v>0</v>
      </c>
      <c r="AR449" s="1146">
        <f t="shared" si="113"/>
        <v>2851.2</v>
      </c>
    </row>
    <row r="450" spans="1:44" x14ac:dyDescent="0.2">
      <c r="A450" s="1141" t="str">
        <f t="shared" si="108"/>
        <v>1505</v>
      </c>
      <c r="B450" s="1141" t="str">
        <f>IFERROR(VLOOKUP(A450,'LAC 103'!A:C,3,FALSE),"")</f>
        <v>OP</v>
      </c>
      <c r="C450" s="1478" t="str">
        <f>Info!$B$8</f>
        <v>00100</v>
      </c>
      <c r="D450" s="1474" t="s">
        <v>256</v>
      </c>
      <c r="E450" s="1474" t="s">
        <v>95</v>
      </c>
      <c r="F450" s="1478" t="s">
        <v>45</v>
      </c>
      <c r="G450" s="1478" t="s">
        <v>45</v>
      </c>
      <c r="H450" s="1474" t="s">
        <v>1664</v>
      </c>
      <c r="I450" s="1478" t="s">
        <v>927</v>
      </c>
      <c r="J450" s="1478"/>
      <c r="K450" s="1475" t="s">
        <v>846</v>
      </c>
      <c r="L450" s="1474" t="s">
        <v>332</v>
      </c>
      <c r="M450" s="1476" t="s">
        <v>842</v>
      </c>
      <c r="N450" s="1477" t="s">
        <v>1692</v>
      </c>
      <c r="O450" s="1479">
        <v>3156</v>
      </c>
      <c r="P450" s="1479"/>
      <c r="Q450" s="1142">
        <f t="shared" si="109"/>
        <v>3156</v>
      </c>
      <c r="R450" s="1143">
        <f>IFERROR(VLOOKUP(CONCATENATE(E450,G450),'LAC 103'!$A$12:$O$95,11,FALSE),0)</f>
        <v>2.483156209074918</v>
      </c>
      <c r="S450" s="1144">
        <f>IFERROR(VLOOKUP(CONCATENATE($E450,$G450),'LAC 103'!$A$12:$O$95,12,FALSE),0)</f>
        <v>3.07</v>
      </c>
      <c r="T450" s="1144">
        <f>IFERROR(VLOOKUP(CONCATENATE($E450,$G450),'LAC 103'!$A$12:$O$95,13,FALSE),0)</f>
        <v>1.92</v>
      </c>
      <c r="U450" s="1144">
        <f>IFERROR(VLOOKUP(CONCATENATE($E450,$G450),'LAC 103'!$A$12:$O$95,14,FALSE),0)</f>
        <v>0</v>
      </c>
      <c r="V450" s="1144">
        <f>IFERROR(VLOOKUP(CONCATENATE($E450,$G450),'LAC 103'!$A$12:$O$95,15,FALSE),0)</f>
        <v>0</v>
      </c>
      <c r="W450" s="1145" t="str">
        <f>IFERROR(VLOOKUP(CONCATENATE($B450,$N450),'LAC 103'!$AI:$AQ,9,FALSE),"")</f>
        <v>Costs</v>
      </c>
      <c r="X450" s="1146">
        <f t="shared" si="114"/>
        <v>2.483156209074918</v>
      </c>
      <c r="Y450" s="1143">
        <f t="shared" si="115"/>
        <v>7836.8409958404409</v>
      </c>
      <c r="Z450" s="1147">
        <f t="shared" si="116"/>
        <v>9688.92</v>
      </c>
      <c r="AA450" s="1144">
        <f t="shared" si="117"/>
        <v>6059.5199999999995</v>
      </c>
      <c r="AB450" s="1144">
        <f t="shared" si="118"/>
        <v>0</v>
      </c>
      <c r="AC450" s="1144">
        <f t="shared" si="119"/>
        <v>0</v>
      </c>
      <c r="AD450" s="1148">
        <f t="shared" si="110"/>
        <v>7836.8409958404409</v>
      </c>
      <c r="AE450" s="1487">
        <v>0</v>
      </c>
      <c r="AF450" s="1145">
        <f t="shared" si="120"/>
        <v>7836.8409958404409</v>
      </c>
      <c r="AG450" s="1149">
        <f>IFERROR(VLOOKUP(CONCATENATE($L450,$N450),'Drop List'!$G$23:$K$87,2,FALSE),0)</f>
        <v>0</v>
      </c>
      <c r="AH450" s="1150">
        <f>IFERROR(VLOOKUP(CONCATENATE($L450,$N450),'Drop List'!$G$23:$K$87,3,FALSE),0)</f>
        <v>0</v>
      </c>
      <c r="AI450" s="1150">
        <f>IFERROR(VLOOKUP(CONCATENATE($L450,$N450),'Drop List'!$G$23:$K$87,4,FALSE),0)</f>
        <v>0</v>
      </c>
      <c r="AJ450" s="1151">
        <f>IFERROR(VLOOKUP(CONCATENATE($L450,$N450),'Drop List'!$G$23:$K$87,5,FALSE),0)</f>
        <v>0</v>
      </c>
      <c r="AK450" s="1152">
        <f t="shared" si="121"/>
        <v>0</v>
      </c>
      <c r="AL450" s="1153">
        <f t="shared" si="122"/>
        <v>0</v>
      </c>
      <c r="AM450" s="1153">
        <f t="shared" si="123"/>
        <v>0</v>
      </c>
      <c r="AN450" s="1145">
        <f t="shared" si="124"/>
        <v>0</v>
      </c>
      <c r="AO450" s="1154">
        <f t="shared" si="125"/>
        <v>0</v>
      </c>
      <c r="AP450" s="1147">
        <f t="shared" si="111"/>
        <v>7836.8409958404409</v>
      </c>
      <c r="AQ450" s="1144">
        <f t="shared" si="112"/>
        <v>0</v>
      </c>
      <c r="AR450" s="1146">
        <f t="shared" si="113"/>
        <v>7836.8409958404409</v>
      </c>
    </row>
    <row r="451" spans="1:44" x14ac:dyDescent="0.2">
      <c r="A451" s="1141" t="str">
        <f t="shared" si="108"/>
        <v>1505</v>
      </c>
      <c r="B451" s="1141" t="str">
        <f>IFERROR(VLOOKUP(A451,'LAC 103'!A:C,3,FALSE),"")</f>
        <v>OP</v>
      </c>
      <c r="C451" s="1478" t="str">
        <f>Info!$B$8</f>
        <v>00100</v>
      </c>
      <c r="D451" s="1474" t="s">
        <v>256</v>
      </c>
      <c r="E451" s="1474" t="s">
        <v>95</v>
      </c>
      <c r="F451" s="1478" t="s">
        <v>45</v>
      </c>
      <c r="G451" s="1478" t="s">
        <v>45</v>
      </c>
      <c r="H451" s="1474" t="s">
        <v>1664</v>
      </c>
      <c r="I451" s="1478" t="s">
        <v>927</v>
      </c>
      <c r="J451" s="1478"/>
      <c r="K451" s="1475" t="s">
        <v>846</v>
      </c>
      <c r="L451" s="1474" t="s">
        <v>332</v>
      </c>
      <c r="M451" s="1476" t="s">
        <v>1698</v>
      </c>
      <c r="N451" s="1477" t="s">
        <v>1693</v>
      </c>
      <c r="O451" s="1479">
        <v>3280</v>
      </c>
      <c r="P451" s="1479"/>
      <c r="Q451" s="1142">
        <f t="shared" si="109"/>
        <v>3280</v>
      </c>
      <c r="R451" s="1143">
        <f>IFERROR(VLOOKUP(CONCATENATE(E451,G451),'LAC 103'!$A$12:$O$95,11,FALSE),0)</f>
        <v>2.483156209074918</v>
      </c>
      <c r="S451" s="1144">
        <f>IFERROR(VLOOKUP(CONCATENATE($E451,$G451),'LAC 103'!$A$12:$O$95,12,FALSE),0)</f>
        <v>3.07</v>
      </c>
      <c r="T451" s="1144">
        <f>IFERROR(VLOOKUP(CONCATENATE($E451,$G451),'LAC 103'!$A$12:$O$95,13,FALSE),0)</f>
        <v>1.92</v>
      </c>
      <c r="U451" s="1144">
        <f>IFERROR(VLOOKUP(CONCATENATE($E451,$G451),'LAC 103'!$A$12:$O$95,14,FALSE),0)</f>
        <v>0</v>
      </c>
      <c r="V451" s="1144">
        <f>IFERROR(VLOOKUP(CONCATENATE($E451,$G451),'LAC 103'!$A$12:$O$95,15,FALSE),0)</f>
        <v>0</v>
      </c>
      <c r="W451" s="1145" t="str">
        <f>IFERROR(VLOOKUP(CONCATENATE($B451,$N451),'LAC 103'!$AI:$AQ,9,FALSE),"")</f>
        <v>Costs</v>
      </c>
      <c r="X451" s="1146">
        <f t="shared" si="114"/>
        <v>2.483156209074918</v>
      </c>
      <c r="Y451" s="1143">
        <f t="shared" si="115"/>
        <v>8144.7523657657312</v>
      </c>
      <c r="Z451" s="1147">
        <f t="shared" si="116"/>
        <v>10069.6</v>
      </c>
      <c r="AA451" s="1144">
        <f t="shared" si="117"/>
        <v>6297.5999999999995</v>
      </c>
      <c r="AB451" s="1144">
        <f t="shared" si="118"/>
        <v>0</v>
      </c>
      <c r="AC451" s="1144">
        <f t="shared" si="119"/>
        <v>0</v>
      </c>
      <c r="AD451" s="1148">
        <f t="shared" si="110"/>
        <v>8144.7523657657312</v>
      </c>
      <c r="AE451" s="1487">
        <v>0</v>
      </c>
      <c r="AF451" s="1145">
        <f t="shared" si="120"/>
        <v>8144.7523657657312</v>
      </c>
      <c r="AG451" s="1149">
        <f>IFERROR(VLOOKUP(CONCATENATE($L451,$N451),'Drop List'!$G$23:$K$87,2,FALSE),0)</f>
        <v>0</v>
      </c>
      <c r="AH451" s="1150">
        <f>IFERROR(VLOOKUP(CONCATENATE($L451,$N451),'Drop List'!$G$23:$K$87,3,FALSE),0)</f>
        <v>0</v>
      </c>
      <c r="AI451" s="1150">
        <f>IFERROR(VLOOKUP(CONCATENATE($L451,$N451),'Drop List'!$G$23:$K$87,4,FALSE),0)</f>
        <v>0</v>
      </c>
      <c r="AJ451" s="1151">
        <f>IFERROR(VLOOKUP(CONCATENATE($L451,$N451),'Drop List'!$G$23:$K$87,5,FALSE),0)</f>
        <v>0</v>
      </c>
      <c r="AK451" s="1152">
        <f t="shared" si="121"/>
        <v>0</v>
      </c>
      <c r="AL451" s="1153">
        <f t="shared" si="122"/>
        <v>0</v>
      </c>
      <c r="AM451" s="1153">
        <f t="shared" si="123"/>
        <v>0</v>
      </c>
      <c r="AN451" s="1145">
        <f t="shared" si="124"/>
        <v>0</v>
      </c>
      <c r="AO451" s="1154">
        <f t="shared" si="125"/>
        <v>0</v>
      </c>
      <c r="AP451" s="1147">
        <f t="shared" si="111"/>
        <v>8144.7523657657312</v>
      </c>
      <c r="AQ451" s="1144">
        <f t="shared" si="112"/>
        <v>0</v>
      </c>
      <c r="AR451" s="1146">
        <f t="shared" si="113"/>
        <v>8144.7523657657312</v>
      </c>
    </row>
    <row r="452" spans="1:44" x14ac:dyDescent="0.2">
      <c r="A452" s="1141" t="str">
        <f t="shared" ref="A452:A510" si="126">IF(CONCATENATE(E452,G452)="","",CONCATENATE(E452,G452))</f>
        <v>1505</v>
      </c>
      <c r="B452" s="1141" t="str">
        <f>IFERROR(VLOOKUP(A452,'LAC 103'!A:C,3,FALSE),"")</f>
        <v>OP</v>
      </c>
      <c r="C452" s="1478" t="str">
        <f>Info!$B$8</f>
        <v>00100</v>
      </c>
      <c r="D452" s="1474" t="s">
        <v>256</v>
      </c>
      <c r="E452" s="1474" t="s">
        <v>95</v>
      </c>
      <c r="F452" s="1478" t="s">
        <v>45</v>
      </c>
      <c r="G452" s="1478" t="s">
        <v>45</v>
      </c>
      <c r="H452" s="1474" t="s">
        <v>1666</v>
      </c>
      <c r="I452" s="1478" t="s">
        <v>803</v>
      </c>
      <c r="J452" s="1478" t="s">
        <v>123</v>
      </c>
      <c r="K452" s="1475" t="s">
        <v>846</v>
      </c>
      <c r="L452" s="1474" t="s">
        <v>332</v>
      </c>
      <c r="M452" s="1476" t="s">
        <v>1699</v>
      </c>
      <c r="N452" s="1477" t="s">
        <v>1694</v>
      </c>
      <c r="O452" s="1479">
        <v>14383</v>
      </c>
      <c r="P452" s="1479"/>
      <c r="Q452" s="1142">
        <f t="shared" ref="Q452:Q510" si="127">O452+P452</f>
        <v>14383</v>
      </c>
      <c r="R452" s="1143">
        <f>IFERROR(VLOOKUP(CONCATENATE(E452,G452),'LAC 103'!$A$12:$O$95,11,FALSE),0)</f>
        <v>2.483156209074918</v>
      </c>
      <c r="S452" s="1144">
        <f>IFERROR(VLOOKUP(CONCATENATE($E452,$G452),'LAC 103'!$A$12:$O$95,12,FALSE),0)</f>
        <v>3.07</v>
      </c>
      <c r="T452" s="1144">
        <f>IFERROR(VLOOKUP(CONCATENATE($E452,$G452),'LAC 103'!$A$12:$O$95,13,FALSE),0)</f>
        <v>1.92</v>
      </c>
      <c r="U452" s="1144">
        <f>IFERROR(VLOOKUP(CONCATENATE($E452,$G452),'LAC 103'!$A$12:$O$95,14,FALSE),0)</f>
        <v>0</v>
      </c>
      <c r="V452" s="1144">
        <f>IFERROR(VLOOKUP(CONCATENATE($E452,$G452),'LAC 103'!$A$12:$O$95,15,FALSE),0)</f>
        <v>0</v>
      </c>
      <c r="W452" s="1145" t="str">
        <f>IFERROR(VLOOKUP(CONCATENATE($B452,$N452),'LAC 103'!$AI:$AQ,9,FALSE),"")</f>
        <v>Costs</v>
      </c>
      <c r="X452" s="1146">
        <f t="shared" si="114"/>
        <v>2.483156209074918</v>
      </c>
      <c r="Y452" s="1143">
        <f t="shared" si="115"/>
        <v>35715.235755124544</v>
      </c>
      <c r="Z452" s="1147">
        <f t="shared" si="116"/>
        <v>44155.81</v>
      </c>
      <c r="AA452" s="1144">
        <f t="shared" si="117"/>
        <v>27615.360000000001</v>
      </c>
      <c r="AB452" s="1144">
        <f t="shared" si="118"/>
        <v>0</v>
      </c>
      <c r="AC452" s="1144">
        <f t="shared" si="119"/>
        <v>0</v>
      </c>
      <c r="AD452" s="1148">
        <f t="shared" si="110"/>
        <v>35715.235755124544</v>
      </c>
      <c r="AE452" s="1487">
        <v>0</v>
      </c>
      <c r="AF452" s="1145">
        <f t="shared" si="120"/>
        <v>35715.235755124544</v>
      </c>
      <c r="AG452" s="1149">
        <f>IFERROR(VLOOKUP(CONCATENATE($L452,$N452),'Drop List'!$G$23:$K$87,2,FALSE),0)</f>
        <v>0</v>
      </c>
      <c r="AH452" s="1150">
        <f>IFERROR(VLOOKUP(CONCATENATE($L452,$N452),'Drop List'!$G$23:$K$87,3,FALSE),0)</f>
        <v>0</v>
      </c>
      <c r="AI452" s="1150">
        <f>IFERROR(VLOOKUP(CONCATENATE($L452,$N452),'Drop List'!$G$23:$K$87,4,FALSE),0)</f>
        <v>0</v>
      </c>
      <c r="AJ452" s="1151">
        <f>IFERROR(VLOOKUP(CONCATENATE($L452,$N452),'Drop List'!$G$23:$K$87,5,FALSE),0)</f>
        <v>0</v>
      </c>
      <c r="AK452" s="1152">
        <f t="shared" si="121"/>
        <v>0</v>
      </c>
      <c r="AL452" s="1153">
        <f t="shared" si="122"/>
        <v>0</v>
      </c>
      <c r="AM452" s="1153">
        <f t="shared" si="123"/>
        <v>0</v>
      </c>
      <c r="AN452" s="1145">
        <f t="shared" si="124"/>
        <v>0</v>
      </c>
      <c r="AO452" s="1154">
        <f t="shared" si="125"/>
        <v>0</v>
      </c>
      <c r="AP452" s="1147">
        <f t="shared" si="111"/>
        <v>35715.235755124544</v>
      </c>
      <c r="AQ452" s="1144">
        <f t="shared" si="112"/>
        <v>0</v>
      </c>
      <c r="AR452" s="1146">
        <f t="shared" si="113"/>
        <v>35715.235755124544</v>
      </c>
    </row>
    <row r="453" spans="1:44" x14ac:dyDescent="0.2">
      <c r="A453" s="1141" t="str">
        <f t="shared" si="126"/>
        <v>1505</v>
      </c>
      <c r="B453" s="1141" t="str">
        <f>IFERROR(VLOOKUP(A453,'LAC 103'!A:C,3,FALSE),"")</f>
        <v>OP</v>
      </c>
      <c r="C453" s="1478" t="str">
        <f>Info!$B$8</f>
        <v>00100</v>
      </c>
      <c r="D453" s="1474" t="s">
        <v>256</v>
      </c>
      <c r="E453" s="1474" t="s">
        <v>95</v>
      </c>
      <c r="F453" s="1478" t="s">
        <v>45</v>
      </c>
      <c r="G453" s="1478" t="s">
        <v>45</v>
      </c>
      <c r="H453" s="1474" t="s">
        <v>1666</v>
      </c>
      <c r="I453" s="1478" t="s">
        <v>803</v>
      </c>
      <c r="J453" s="1478"/>
      <c r="K453" s="1475" t="s">
        <v>846</v>
      </c>
      <c r="L453" s="1474" t="s">
        <v>332</v>
      </c>
      <c r="M453" s="1476" t="s">
        <v>841</v>
      </c>
      <c r="N453" s="1477" t="s">
        <v>1695</v>
      </c>
      <c r="O453" s="1479">
        <v>3312</v>
      </c>
      <c r="P453" s="1479"/>
      <c r="Q453" s="1142">
        <f t="shared" si="127"/>
        <v>3312</v>
      </c>
      <c r="R453" s="1143">
        <f>IFERROR(VLOOKUP(CONCATENATE(E453,G453),'LAC 103'!$A$12:$O$95,11,FALSE),0)</f>
        <v>2.483156209074918</v>
      </c>
      <c r="S453" s="1144">
        <f>IFERROR(VLOOKUP(CONCATENATE($E453,$G453),'LAC 103'!$A$12:$O$95,12,FALSE),0)</f>
        <v>3.07</v>
      </c>
      <c r="T453" s="1144">
        <f>IFERROR(VLOOKUP(CONCATENATE($E453,$G453),'LAC 103'!$A$12:$O$95,13,FALSE),0)</f>
        <v>1.92</v>
      </c>
      <c r="U453" s="1144">
        <f>IFERROR(VLOOKUP(CONCATENATE($E453,$G453),'LAC 103'!$A$12:$O$95,14,FALSE),0)</f>
        <v>0</v>
      </c>
      <c r="V453" s="1144">
        <f>IFERROR(VLOOKUP(CONCATENATE($E453,$G453),'LAC 103'!$A$12:$O$95,15,FALSE),0)</f>
        <v>0</v>
      </c>
      <c r="W453" s="1145" t="str">
        <f>IFERROR(VLOOKUP(CONCATENATE($B453,$N453),'LAC 103'!$AI:$AQ,9,FALSE),"")</f>
        <v>Costs</v>
      </c>
      <c r="X453" s="1146">
        <f t="shared" si="114"/>
        <v>2.483156209074918</v>
      </c>
      <c r="Y453" s="1143">
        <f t="shared" si="115"/>
        <v>8224.2133644561291</v>
      </c>
      <c r="Z453" s="1147">
        <f t="shared" si="116"/>
        <v>10167.84</v>
      </c>
      <c r="AA453" s="1144">
        <f t="shared" si="117"/>
        <v>6359.04</v>
      </c>
      <c r="AB453" s="1144">
        <f t="shared" si="118"/>
        <v>0</v>
      </c>
      <c r="AC453" s="1144">
        <f t="shared" si="119"/>
        <v>0</v>
      </c>
      <c r="AD453" s="1148">
        <f t="shared" si="110"/>
        <v>8224.2133644561291</v>
      </c>
      <c r="AE453" s="1487">
        <v>0</v>
      </c>
      <c r="AF453" s="1145">
        <f t="shared" si="120"/>
        <v>8224.2133644561291</v>
      </c>
      <c r="AG453" s="1149">
        <f>IFERROR(VLOOKUP(CONCATENATE($L453,$N453),'Drop List'!$G$23:$K$87,2,FALSE),0)</f>
        <v>0</v>
      </c>
      <c r="AH453" s="1150">
        <f>IFERROR(VLOOKUP(CONCATENATE($L453,$N453),'Drop List'!$G$23:$K$87,3,FALSE),0)</f>
        <v>0</v>
      </c>
      <c r="AI453" s="1150">
        <f>IFERROR(VLOOKUP(CONCATENATE($L453,$N453),'Drop List'!$G$23:$K$87,4,FALSE),0)</f>
        <v>0</v>
      </c>
      <c r="AJ453" s="1151">
        <f>IFERROR(VLOOKUP(CONCATENATE($L453,$N453),'Drop List'!$G$23:$K$87,5,FALSE),0)</f>
        <v>0</v>
      </c>
      <c r="AK453" s="1152">
        <f t="shared" si="121"/>
        <v>0</v>
      </c>
      <c r="AL453" s="1153">
        <f t="shared" si="122"/>
        <v>0</v>
      </c>
      <c r="AM453" s="1153">
        <f t="shared" si="123"/>
        <v>0</v>
      </c>
      <c r="AN453" s="1145">
        <f t="shared" si="124"/>
        <v>0</v>
      </c>
      <c r="AO453" s="1154">
        <f t="shared" si="125"/>
        <v>0</v>
      </c>
      <c r="AP453" s="1147">
        <f t="shared" si="111"/>
        <v>8224.2133644561291</v>
      </c>
      <c r="AQ453" s="1144">
        <f t="shared" si="112"/>
        <v>0</v>
      </c>
      <c r="AR453" s="1146">
        <f t="shared" si="113"/>
        <v>8224.2133644561291</v>
      </c>
    </row>
    <row r="454" spans="1:44" x14ac:dyDescent="0.2">
      <c r="A454" s="1141" t="str">
        <f t="shared" si="126"/>
        <v>1505</v>
      </c>
      <c r="B454" s="1141" t="str">
        <f>IFERROR(VLOOKUP(A454,'LAC 103'!A:C,3,FALSE),"")</f>
        <v>OP</v>
      </c>
      <c r="C454" s="1478" t="str">
        <f>Info!$B$8</f>
        <v>00100</v>
      </c>
      <c r="D454" s="1474" t="s">
        <v>256</v>
      </c>
      <c r="E454" s="1474" t="s">
        <v>95</v>
      </c>
      <c r="F454" s="1478" t="s">
        <v>45</v>
      </c>
      <c r="G454" s="1478" t="s">
        <v>45</v>
      </c>
      <c r="H454" s="1474" t="s">
        <v>1666</v>
      </c>
      <c r="I454" s="1478" t="s">
        <v>803</v>
      </c>
      <c r="J454" s="1478"/>
      <c r="K454" s="1475" t="s">
        <v>846</v>
      </c>
      <c r="L454" s="1474" t="s">
        <v>332</v>
      </c>
      <c r="M454" s="1476" t="s">
        <v>840</v>
      </c>
      <c r="N454" s="1477" t="s">
        <v>1700</v>
      </c>
      <c r="O454" s="1479">
        <v>4396</v>
      </c>
      <c r="P454" s="1479"/>
      <c r="Q454" s="1142">
        <f t="shared" si="127"/>
        <v>4396</v>
      </c>
      <c r="R454" s="1143">
        <f>IFERROR(VLOOKUP(CONCATENATE(E454,G454),'LAC 103'!$A$12:$O$95,11,FALSE),0)</f>
        <v>2.483156209074918</v>
      </c>
      <c r="S454" s="1144">
        <f>IFERROR(VLOOKUP(CONCATENATE($E454,$G454),'LAC 103'!$A$12:$O$95,12,FALSE),0)</f>
        <v>3.07</v>
      </c>
      <c r="T454" s="1144">
        <f>IFERROR(VLOOKUP(CONCATENATE($E454,$G454),'LAC 103'!$A$12:$O$95,13,FALSE),0)</f>
        <v>1.92</v>
      </c>
      <c r="U454" s="1144">
        <f>IFERROR(VLOOKUP(CONCATENATE($E454,$G454),'LAC 103'!$A$12:$O$95,14,FALSE),0)</f>
        <v>0</v>
      </c>
      <c r="V454" s="1144">
        <f>IFERROR(VLOOKUP(CONCATENATE($E454,$G454),'LAC 103'!$A$12:$O$95,15,FALSE),0)</f>
        <v>0</v>
      </c>
      <c r="W454" s="1145" t="str">
        <f>IFERROR(VLOOKUP(CONCATENATE($B454,$N454),'LAC 103'!$AI:$AQ,9,FALSE),"")</f>
        <v>P.C.</v>
      </c>
      <c r="X454" s="1146">
        <f t="shared" si="114"/>
        <v>1.92</v>
      </c>
      <c r="Y454" s="1143">
        <f t="shared" si="115"/>
        <v>10915.95469509334</v>
      </c>
      <c r="Z454" s="1147">
        <f t="shared" si="116"/>
        <v>13495.72</v>
      </c>
      <c r="AA454" s="1144">
        <f t="shared" si="117"/>
        <v>8440.32</v>
      </c>
      <c r="AB454" s="1144">
        <f t="shared" si="118"/>
        <v>0</v>
      </c>
      <c r="AC454" s="1144">
        <f t="shared" si="119"/>
        <v>0</v>
      </c>
      <c r="AD454" s="1148">
        <f t="shared" si="110"/>
        <v>8440.32</v>
      </c>
      <c r="AE454" s="1487">
        <v>0</v>
      </c>
      <c r="AF454" s="1145">
        <f t="shared" si="120"/>
        <v>8440.32</v>
      </c>
      <c r="AG454" s="1149">
        <f>IFERROR(VLOOKUP(CONCATENATE($L454,$N454),'Drop List'!$G$23:$K$87,2,FALSE),0)</f>
        <v>0</v>
      </c>
      <c r="AH454" s="1150">
        <f>IFERROR(VLOOKUP(CONCATENATE($L454,$N454),'Drop List'!$G$23:$K$87,3,FALSE),0)</f>
        <v>0</v>
      </c>
      <c r="AI454" s="1150">
        <f>IFERROR(VLOOKUP(CONCATENATE($L454,$N454),'Drop List'!$G$23:$K$87,4,FALSE),0)</f>
        <v>0</v>
      </c>
      <c r="AJ454" s="1151">
        <f>IFERROR(VLOOKUP(CONCATENATE($L454,$N454),'Drop List'!$G$23:$K$87,5,FALSE),0)</f>
        <v>0</v>
      </c>
      <c r="AK454" s="1152">
        <f t="shared" si="121"/>
        <v>0</v>
      </c>
      <c r="AL454" s="1153">
        <f t="shared" si="122"/>
        <v>0</v>
      </c>
      <c r="AM454" s="1153">
        <f t="shared" si="123"/>
        <v>0</v>
      </c>
      <c r="AN454" s="1145">
        <f t="shared" si="124"/>
        <v>0</v>
      </c>
      <c r="AO454" s="1154">
        <f t="shared" si="125"/>
        <v>0</v>
      </c>
      <c r="AP454" s="1147">
        <f t="shared" si="111"/>
        <v>8440.32</v>
      </c>
      <c r="AQ454" s="1144">
        <f t="shared" si="112"/>
        <v>0</v>
      </c>
      <c r="AR454" s="1146">
        <f t="shared" si="113"/>
        <v>8440.32</v>
      </c>
    </row>
    <row r="455" spans="1:44" x14ac:dyDescent="0.2">
      <c r="A455" s="1141" t="str">
        <f t="shared" si="126"/>
        <v>1505</v>
      </c>
      <c r="B455" s="1141" t="str">
        <f>IFERROR(VLOOKUP(A455,'LAC 103'!A:C,3,FALSE),"")</f>
        <v>OP</v>
      </c>
      <c r="C455" s="1478" t="str">
        <f>Info!$B$8</f>
        <v>00100</v>
      </c>
      <c r="D455" s="1474" t="s">
        <v>256</v>
      </c>
      <c r="E455" s="1474" t="s">
        <v>95</v>
      </c>
      <c r="F455" s="1478" t="s">
        <v>45</v>
      </c>
      <c r="G455" s="1478" t="s">
        <v>45</v>
      </c>
      <c r="H455" s="1474" t="s">
        <v>1666</v>
      </c>
      <c r="I455" s="1478" t="s">
        <v>803</v>
      </c>
      <c r="J455" s="1478"/>
      <c r="K455" s="1475" t="s">
        <v>846</v>
      </c>
      <c r="L455" s="1474" t="s">
        <v>332</v>
      </c>
      <c r="M455" s="1476" t="s">
        <v>842</v>
      </c>
      <c r="N455" s="1477" t="s">
        <v>1692</v>
      </c>
      <c r="O455" s="1479">
        <v>18765</v>
      </c>
      <c r="P455" s="1479"/>
      <c r="Q455" s="1142">
        <f t="shared" si="127"/>
        <v>18765</v>
      </c>
      <c r="R455" s="1143">
        <f>IFERROR(VLOOKUP(CONCATENATE(E455,G455),'LAC 103'!$A$12:$O$95,11,FALSE),0)</f>
        <v>2.483156209074918</v>
      </c>
      <c r="S455" s="1144">
        <f>IFERROR(VLOOKUP(CONCATENATE($E455,$G455),'LAC 103'!$A$12:$O$95,12,FALSE),0)</f>
        <v>3.07</v>
      </c>
      <c r="T455" s="1144">
        <f>IFERROR(VLOOKUP(CONCATENATE($E455,$G455),'LAC 103'!$A$12:$O$95,13,FALSE),0)</f>
        <v>1.92</v>
      </c>
      <c r="U455" s="1144">
        <f>IFERROR(VLOOKUP(CONCATENATE($E455,$G455),'LAC 103'!$A$12:$O$95,14,FALSE),0)</f>
        <v>0</v>
      </c>
      <c r="V455" s="1144">
        <f>IFERROR(VLOOKUP(CONCATENATE($E455,$G455),'LAC 103'!$A$12:$O$95,15,FALSE),0)</f>
        <v>0</v>
      </c>
      <c r="W455" s="1145" t="str">
        <f>IFERROR(VLOOKUP(CONCATENATE($B455,$N455),'LAC 103'!$AI:$AQ,9,FALSE),"")</f>
        <v>Costs</v>
      </c>
      <c r="X455" s="1146">
        <f t="shared" si="114"/>
        <v>2.483156209074918</v>
      </c>
      <c r="Y455" s="1143">
        <f t="shared" si="115"/>
        <v>46596.426263290836</v>
      </c>
      <c r="Z455" s="1147">
        <f t="shared" si="116"/>
        <v>57608.549999999996</v>
      </c>
      <c r="AA455" s="1144">
        <f t="shared" si="117"/>
        <v>36028.799999999996</v>
      </c>
      <c r="AB455" s="1144">
        <f t="shared" si="118"/>
        <v>0</v>
      </c>
      <c r="AC455" s="1144">
        <f t="shared" si="119"/>
        <v>0</v>
      </c>
      <c r="AD455" s="1148">
        <f t="shared" ref="AD455:AD518" si="128">Q455*X455</f>
        <v>46596.426263290836</v>
      </c>
      <c r="AE455" s="1487">
        <v>0</v>
      </c>
      <c r="AF455" s="1145">
        <f t="shared" si="120"/>
        <v>46596.426263290836</v>
      </c>
      <c r="AG455" s="1149">
        <f>IFERROR(VLOOKUP(CONCATENATE($L455,$N455),'Drop List'!$G$23:$K$87,2,FALSE),0)</f>
        <v>0</v>
      </c>
      <c r="AH455" s="1150">
        <f>IFERROR(VLOOKUP(CONCATENATE($L455,$N455),'Drop List'!$G$23:$K$87,3,FALSE),0)</f>
        <v>0</v>
      </c>
      <c r="AI455" s="1150">
        <f>IFERROR(VLOOKUP(CONCATENATE($L455,$N455),'Drop List'!$G$23:$K$87,4,FALSE),0)</f>
        <v>0</v>
      </c>
      <c r="AJ455" s="1151">
        <f>IFERROR(VLOOKUP(CONCATENATE($L455,$N455),'Drop List'!$G$23:$K$87,5,FALSE),0)</f>
        <v>0</v>
      </c>
      <c r="AK455" s="1152">
        <f t="shared" si="121"/>
        <v>0</v>
      </c>
      <c r="AL455" s="1153">
        <f t="shared" si="122"/>
        <v>0</v>
      </c>
      <c r="AM455" s="1153">
        <f t="shared" si="123"/>
        <v>0</v>
      </c>
      <c r="AN455" s="1145">
        <f t="shared" si="124"/>
        <v>0</v>
      </c>
      <c r="AO455" s="1154">
        <f t="shared" si="125"/>
        <v>0</v>
      </c>
      <c r="AP455" s="1147">
        <f t="shared" ref="AP455:AP518" si="129">IF($L455="14",$AF455,0)</f>
        <v>46596.426263290836</v>
      </c>
      <c r="AQ455" s="1144">
        <f t="shared" ref="AQ455:AQ518" si="130">IF($L455="15",$AF455,0)</f>
        <v>0</v>
      </c>
      <c r="AR455" s="1146">
        <f t="shared" ref="AR455:AR518" si="131">AO455+AP455+AQ455</f>
        <v>46596.426263290836</v>
      </c>
    </row>
    <row r="456" spans="1:44" x14ac:dyDescent="0.2">
      <c r="A456" s="1141" t="str">
        <f t="shared" si="126"/>
        <v>1505</v>
      </c>
      <c r="B456" s="1141" t="str">
        <f>IFERROR(VLOOKUP(A456,'LAC 103'!A:C,3,FALSE),"")</f>
        <v>OP</v>
      </c>
      <c r="C456" s="1478" t="str">
        <f>Info!$B$8</f>
        <v>00100</v>
      </c>
      <c r="D456" s="1474" t="s">
        <v>256</v>
      </c>
      <c r="E456" s="1474" t="s">
        <v>95</v>
      </c>
      <c r="F456" s="1478" t="s">
        <v>45</v>
      </c>
      <c r="G456" s="1478" t="s">
        <v>45</v>
      </c>
      <c r="H456" s="1474" t="s">
        <v>1666</v>
      </c>
      <c r="I456" s="1478" t="s">
        <v>803</v>
      </c>
      <c r="J456" s="1478"/>
      <c r="K456" s="1475" t="s">
        <v>846</v>
      </c>
      <c r="L456" s="1474" t="s">
        <v>332</v>
      </c>
      <c r="M456" s="1476" t="s">
        <v>1698</v>
      </c>
      <c r="N456" s="1477" t="s">
        <v>1693</v>
      </c>
      <c r="O456" s="1479">
        <v>15965</v>
      </c>
      <c r="P456" s="1479"/>
      <c r="Q456" s="1142">
        <f t="shared" si="127"/>
        <v>15965</v>
      </c>
      <c r="R456" s="1143">
        <f>IFERROR(VLOOKUP(CONCATENATE(E456,G456),'LAC 103'!$A$12:$O$95,11,FALSE),0)</f>
        <v>2.483156209074918</v>
      </c>
      <c r="S456" s="1144">
        <f>IFERROR(VLOOKUP(CONCATENATE($E456,$G456),'LAC 103'!$A$12:$O$95,12,FALSE),0)</f>
        <v>3.07</v>
      </c>
      <c r="T456" s="1144">
        <f>IFERROR(VLOOKUP(CONCATENATE($E456,$G456),'LAC 103'!$A$12:$O$95,13,FALSE),0)</f>
        <v>1.92</v>
      </c>
      <c r="U456" s="1144">
        <f>IFERROR(VLOOKUP(CONCATENATE($E456,$G456),'LAC 103'!$A$12:$O$95,14,FALSE),0)</f>
        <v>0</v>
      </c>
      <c r="V456" s="1144">
        <f>IFERROR(VLOOKUP(CONCATENATE($E456,$G456),'LAC 103'!$A$12:$O$95,15,FALSE),0)</f>
        <v>0</v>
      </c>
      <c r="W456" s="1145" t="str">
        <f>IFERROR(VLOOKUP(CONCATENATE($B456,$N456),'LAC 103'!$AI:$AQ,9,FALSE),"")</f>
        <v>Costs</v>
      </c>
      <c r="X456" s="1146">
        <f t="shared" ref="X456:X519" si="132">IF($W456="Costs",$R456,IF($W456="CMA",$S456,IF($W456="P.C.",$T456,IF($W456="SMA",$U456,$V456))))</f>
        <v>2.483156209074918</v>
      </c>
      <c r="Y456" s="1143">
        <f t="shared" ref="Y456:Y519" si="133">$Q456*R456</f>
        <v>39643.588877881062</v>
      </c>
      <c r="Z456" s="1147">
        <f t="shared" ref="Z456:Z519" si="134">IF(S456=0,Y456,$Q456*S456)</f>
        <v>49012.549999999996</v>
      </c>
      <c r="AA456" s="1144">
        <f t="shared" ref="AA456:AA519" si="135">IF(T456=0,Y456,$Q456*T456)</f>
        <v>30652.799999999999</v>
      </c>
      <c r="AB456" s="1144">
        <f t="shared" ref="AB456:AB519" si="136">$Q456*U456</f>
        <v>0</v>
      </c>
      <c r="AC456" s="1144">
        <f t="shared" ref="AC456:AC519" si="137">$Q456*V456</f>
        <v>0</v>
      </c>
      <c r="AD456" s="1148">
        <f t="shared" si="128"/>
        <v>39643.588877881062</v>
      </c>
      <c r="AE456" s="1487">
        <v>0</v>
      </c>
      <c r="AF456" s="1145">
        <f t="shared" ref="AF456:AF519" si="138">AD456-AE456</f>
        <v>39643.588877881062</v>
      </c>
      <c r="AG456" s="1149">
        <f>IFERROR(VLOOKUP(CONCATENATE($L456,$N456),'Drop List'!$G$23:$K$87,2,FALSE),0)</f>
        <v>0</v>
      </c>
      <c r="AH456" s="1150">
        <f>IFERROR(VLOOKUP(CONCATENATE($L456,$N456),'Drop List'!$G$23:$K$87,3,FALSE),0)</f>
        <v>0</v>
      </c>
      <c r="AI456" s="1150">
        <f>IFERROR(VLOOKUP(CONCATENATE($L456,$N456),'Drop List'!$G$23:$K$87,4,FALSE),0)</f>
        <v>0</v>
      </c>
      <c r="AJ456" s="1151">
        <f>IFERROR(VLOOKUP(CONCATENATE($L456,$N456),'Drop List'!$G$23:$K$87,5,FALSE),0)</f>
        <v>0</v>
      </c>
      <c r="AK456" s="1152">
        <f t="shared" ref="AK456:AK519" si="139">IFERROR($AF456*AG456,0)</f>
        <v>0</v>
      </c>
      <c r="AL456" s="1153">
        <f t="shared" ref="AL456:AL519" si="140">IFERROR($AF456*AH456,0)</f>
        <v>0</v>
      </c>
      <c r="AM456" s="1153">
        <f t="shared" ref="AM456:AM519" si="141">IFERROR($AF456*AI456,0)</f>
        <v>0</v>
      </c>
      <c r="AN456" s="1145">
        <f t="shared" ref="AN456:AN519" si="142">IFERROR($AF456*AJ456,0)</f>
        <v>0</v>
      </c>
      <c r="AO456" s="1154">
        <f t="shared" ref="AO456:AO519" si="143">SUM(AK456:AN456)</f>
        <v>0</v>
      </c>
      <c r="AP456" s="1147">
        <f t="shared" si="129"/>
        <v>39643.588877881062</v>
      </c>
      <c r="AQ456" s="1144">
        <f t="shared" si="130"/>
        <v>0</v>
      </c>
      <c r="AR456" s="1146">
        <f t="shared" si="131"/>
        <v>39643.588877881062</v>
      </c>
    </row>
    <row r="457" spans="1:44" x14ac:dyDescent="0.2">
      <c r="A457" s="1141" t="str">
        <f t="shared" si="126"/>
        <v>1505</v>
      </c>
      <c r="B457" s="1141" t="str">
        <f>IFERROR(VLOOKUP(A457,'LAC 103'!A:C,3,FALSE),"")</f>
        <v>OP</v>
      </c>
      <c r="C457" s="1478" t="str">
        <f>Info!$B$8</f>
        <v>00100</v>
      </c>
      <c r="D457" s="1474" t="s">
        <v>256</v>
      </c>
      <c r="E457" s="1474" t="s">
        <v>95</v>
      </c>
      <c r="F457" s="1478" t="s">
        <v>45</v>
      </c>
      <c r="G457" s="1478" t="s">
        <v>45</v>
      </c>
      <c r="H457" s="1474" t="s">
        <v>981</v>
      </c>
      <c r="I457" s="1478" t="s">
        <v>798</v>
      </c>
      <c r="J457" s="1478" t="s">
        <v>123</v>
      </c>
      <c r="K457" s="1475" t="s">
        <v>846</v>
      </c>
      <c r="L457" s="1474" t="s">
        <v>332</v>
      </c>
      <c r="M457" s="1476" t="s">
        <v>1699</v>
      </c>
      <c r="N457" s="1477" t="s">
        <v>1694</v>
      </c>
      <c r="O457" s="1479">
        <v>49</v>
      </c>
      <c r="P457" s="1479"/>
      <c r="Q457" s="1142">
        <f t="shared" si="127"/>
        <v>49</v>
      </c>
      <c r="R457" s="1143">
        <f>IFERROR(VLOOKUP(CONCATENATE(E457,G457),'LAC 103'!$A$12:$O$95,11,FALSE),0)</f>
        <v>2.483156209074918</v>
      </c>
      <c r="S457" s="1144">
        <f>IFERROR(VLOOKUP(CONCATENATE($E457,$G457),'LAC 103'!$A$12:$O$95,12,FALSE),0)</f>
        <v>3.07</v>
      </c>
      <c r="T457" s="1144">
        <f>IFERROR(VLOOKUP(CONCATENATE($E457,$G457),'LAC 103'!$A$12:$O$95,13,FALSE),0)</f>
        <v>1.92</v>
      </c>
      <c r="U457" s="1144">
        <f>IFERROR(VLOOKUP(CONCATENATE($E457,$G457),'LAC 103'!$A$12:$O$95,14,FALSE),0)</f>
        <v>0</v>
      </c>
      <c r="V457" s="1144">
        <f>IFERROR(VLOOKUP(CONCATENATE($E457,$G457),'LAC 103'!$A$12:$O$95,15,FALSE),0)</f>
        <v>0</v>
      </c>
      <c r="W457" s="1145" t="str">
        <f>IFERROR(VLOOKUP(CONCATENATE($B457,$N457),'LAC 103'!$AI:$AQ,9,FALSE),"")</f>
        <v>Costs</v>
      </c>
      <c r="X457" s="1146">
        <f t="shared" si="132"/>
        <v>2.483156209074918</v>
      </c>
      <c r="Y457" s="1143">
        <f t="shared" si="133"/>
        <v>121.67465424467098</v>
      </c>
      <c r="Z457" s="1147">
        <f t="shared" si="134"/>
        <v>150.42999999999998</v>
      </c>
      <c r="AA457" s="1144">
        <f t="shared" si="135"/>
        <v>94.08</v>
      </c>
      <c r="AB457" s="1144">
        <f t="shared" si="136"/>
        <v>0</v>
      </c>
      <c r="AC457" s="1144">
        <f t="shared" si="137"/>
        <v>0</v>
      </c>
      <c r="AD457" s="1148">
        <f t="shared" si="128"/>
        <v>121.67465424467098</v>
      </c>
      <c r="AE457" s="1487">
        <v>0</v>
      </c>
      <c r="AF457" s="1145">
        <f t="shared" si="138"/>
        <v>121.67465424467098</v>
      </c>
      <c r="AG457" s="1149">
        <f>IFERROR(VLOOKUP(CONCATENATE($L457,$N457),'Drop List'!$G$23:$K$87,2,FALSE),0)</f>
        <v>0</v>
      </c>
      <c r="AH457" s="1150">
        <f>IFERROR(VLOOKUP(CONCATENATE($L457,$N457),'Drop List'!$G$23:$K$87,3,FALSE),0)</f>
        <v>0</v>
      </c>
      <c r="AI457" s="1150">
        <f>IFERROR(VLOOKUP(CONCATENATE($L457,$N457),'Drop List'!$G$23:$K$87,4,FALSE),0)</f>
        <v>0</v>
      </c>
      <c r="AJ457" s="1151">
        <f>IFERROR(VLOOKUP(CONCATENATE($L457,$N457),'Drop List'!$G$23:$K$87,5,FALSE),0)</f>
        <v>0</v>
      </c>
      <c r="AK457" s="1152">
        <f t="shared" si="139"/>
        <v>0</v>
      </c>
      <c r="AL457" s="1153">
        <f t="shared" si="140"/>
        <v>0</v>
      </c>
      <c r="AM457" s="1153">
        <f t="shared" si="141"/>
        <v>0</v>
      </c>
      <c r="AN457" s="1145">
        <f t="shared" si="142"/>
        <v>0</v>
      </c>
      <c r="AO457" s="1154">
        <f t="shared" si="143"/>
        <v>0</v>
      </c>
      <c r="AP457" s="1147">
        <f t="shared" si="129"/>
        <v>121.67465424467098</v>
      </c>
      <c r="AQ457" s="1144">
        <f t="shared" si="130"/>
        <v>0</v>
      </c>
      <c r="AR457" s="1146">
        <f t="shared" si="131"/>
        <v>121.67465424467098</v>
      </c>
    </row>
    <row r="458" spans="1:44" x14ac:dyDescent="0.2">
      <c r="A458" s="1141" t="str">
        <f t="shared" si="126"/>
        <v>1505</v>
      </c>
      <c r="B458" s="1141" t="str">
        <f>IFERROR(VLOOKUP(A458,'LAC 103'!A:C,3,FALSE),"")</f>
        <v>OP</v>
      </c>
      <c r="C458" s="1478" t="str">
        <f>Info!$B$8</f>
        <v>00100</v>
      </c>
      <c r="D458" s="1474" t="s">
        <v>256</v>
      </c>
      <c r="E458" s="1474" t="s">
        <v>95</v>
      </c>
      <c r="F458" s="1478" t="s">
        <v>45</v>
      </c>
      <c r="G458" s="1478" t="s">
        <v>45</v>
      </c>
      <c r="H458" s="1474" t="s">
        <v>981</v>
      </c>
      <c r="I458" s="1478" t="s">
        <v>798</v>
      </c>
      <c r="J458" s="1478"/>
      <c r="K458" s="1475" t="s">
        <v>846</v>
      </c>
      <c r="L458" s="1474" t="s">
        <v>332</v>
      </c>
      <c r="M458" s="1476" t="s">
        <v>841</v>
      </c>
      <c r="N458" s="1477" t="s">
        <v>1695</v>
      </c>
      <c r="O458" s="1479">
        <v>50</v>
      </c>
      <c r="P458" s="1479"/>
      <c r="Q458" s="1142">
        <f t="shared" si="127"/>
        <v>50</v>
      </c>
      <c r="R458" s="1143">
        <f>IFERROR(VLOOKUP(CONCATENATE(E458,G458),'LAC 103'!$A$12:$O$95,11,FALSE),0)</f>
        <v>2.483156209074918</v>
      </c>
      <c r="S458" s="1144">
        <f>IFERROR(VLOOKUP(CONCATENATE($E458,$G458),'LAC 103'!$A$12:$O$95,12,FALSE),0)</f>
        <v>3.07</v>
      </c>
      <c r="T458" s="1144">
        <f>IFERROR(VLOOKUP(CONCATENATE($E458,$G458),'LAC 103'!$A$12:$O$95,13,FALSE),0)</f>
        <v>1.92</v>
      </c>
      <c r="U458" s="1144">
        <f>IFERROR(VLOOKUP(CONCATENATE($E458,$G458),'LAC 103'!$A$12:$O$95,14,FALSE),0)</f>
        <v>0</v>
      </c>
      <c r="V458" s="1144">
        <f>IFERROR(VLOOKUP(CONCATENATE($E458,$G458),'LAC 103'!$A$12:$O$95,15,FALSE),0)</f>
        <v>0</v>
      </c>
      <c r="W458" s="1145" t="str">
        <f>IFERROR(VLOOKUP(CONCATENATE($B458,$N458),'LAC 103'!$AI:$AQ,9,FALSE),"")</f>
        <v>Costs</v>
      </c>
      <c r="X458" s="1146">
        <f t="shared" si="132"/>
        <v>2.483156209074918</v>
      </c>
      <c r="Y458" s="1143">
        <f t="shared" si="133"/>
        <v>124.1578104537459</v>
      </c>
      <c r="Z458" s="1147">
        <f t="shared" si="134"/>
        <v>153.5</v>
      </c>
      <c r="AA458" s="1144">
        <f t="shared" si="135"/>
        <v>96</v>
      </c>
      <c r="AB458" s="1144">
        <f t="shared" si="136"/>
        <v>0</v>
      </c>
      <c r="AC458" s="1144">
        <f t="shared" si="137"/>
        <v>0</v>
      </c>
      <c r="AD458" s="1148">
        <f t="shared" si="128"/>
        <v>124.1578104537459</v>
      </c>
      <c r="AE458" s="1487">
        <v>0</v>
      </c>
      <c r="AF458" s="1145">
        <f t="shared" si="138"/>
        <v>124.1578104537459</v>
      </c>
      <c r="AG458" s="1149">
        <f>IFERROR(VLOOKUP(CONCATENATE($L458,$N458),'Drop List'!$G$23:$K$87,2,FALSE),0)</f>
        <v>0</v>
      </c>
      <c r="AH458" s="1150">
        <f>IFERROR(VLOOKUP(CONCATENATE($L458,$N458),'Drop List'!$G$23:$K$87,3,FALSE),0)</f>
        <v>0</v>
      </c>
      <c r="AI458" s="1150">
        <f>IFERROR(VLOOKUP(CONCATENATE($L458,$N458),'Drop List'!$G$23:$K$87,4,FALSE),0)</f>
        <v>0</v>
      </c>
      <c r="AJ458" s="1151">
        <f>IFERROR(VLOOKUP(CONCATENATE($L458,$N458),'Drop List'!$G$23:$K$87,5,FALSE),0)</f>
        <v>0</v>
      </c>
      <c r="AK458" s="1152">
        <f t="shared" si="139"/>
        <v>0</v>
      </c>
      <c r="AL458" s="1153">
        <f t="shared" si="140"/>
        <v>0</v>
      </c>
      <c r="AM458" s="1153">
        <f t="shared" si="141"/>
        <v>0</v>
      </c>
      <c r="AN458" s="1145">
        <f t="shared" si="142"/>
        <v>0</v>
      </c>
      <c r="AO458" s="1154">
        <f t="shared" si="143"/>
        <v>0</v>
      </c>
      <c r="AP458" s="1147">
        <f t="shared" si="129"/>
        <v>124.1578104537459</v>
      </c>
      <c r="AQ458" s="1144">
        <f t="shared" si="130"/>
        <v>0</v>
      </c>
      <c r="AR458" s="1146">
        <f t="shared" si="131"/>
        <v>124.1578104537459</v>
      </c>
    </row>
    <row r="459" spans="1:44" x14ac:dyDescent="0.2">
      <c r="A459" s="1141" t="str">
        <f t="shared" si="126"/>
        <v>1505</v>
      </c>
      <c r="B459" s="1141" t="str">
        <f>IFERROR(VLOOKUP(A459,'LAC 103'!A:C,3,FALSE),"")</f>
        <v>OP</v>
      </c>
      <c r="C459" s="1478" t="str">
        <f>Info!$B$8</f>
        <v>00100</v>
      </c>
      <c r="D459" s="1474" t="s">
        <v>256</v>
      </c>
      <c r="E459" s="1474" t="s">
        <v>95</v>
      </c>
      <c r="F459" s="1478" t="s">
        <v>45</v>
      </c>
      <c r="G459" s="1478" t="s">
        <v>45</v>
      </c>
      <c r="H459" s="1474" t="s">
        <v>981</v>
      </c>
      <c r="I459" s="1478" t="s">
        <v>798</v>
      </c>
      <c r="J459" s="1478"/>
      <c r="K459" s="1475" t="s">
        <v>846</v>
      </c>
      <c r="L459" s="1474" t="s">
        <v>332</v>
      </c>
      <c r="M459" s="1476" t="s">
        <v>840</v>
      </c>
      <c r="N459" s="1477" t="s">
        <v>1700</v>
      </c>
      <c r="O459" s="1479">
        <v>1137</v>
      </c>
      <c r="P459" s="1479"/>
      <c r="Q459" s="1142">
        <f t="shared" si="127"/>
        <v>1137</v>
      </c>
      <c r="R459" s="1143">
        <f>IFERROR(VLOOKUP(CONCATENATE(E459,G459),'LAC 103'!$A$12:$O$95,11,FALSE),0)</f>
        <v>2.483156209074918</v>
      </c>
      <c r="S459" s="1144">
        <f>IFERROR(VLOOKUP(CONCATENATE($E459,$G459),'LAC 103'!$A$12:$O$95,12,FALSE),0)</f>
        <v>3.07</v>
      </c>
      <c r="T459" s="1144">
        <f>IFERROR(VLOOKUP(CONCATENATE($E459,$G459),'LAC 103'!$A$12:$O$95,13,FALSE),0)</f>
        <v>1.92</v>
      </c>
      <c r="U459" s="1144">
        <f>IFERROR(VLOOKUP(CONCATENATE($E459,$G459),'LAC 103'!$A$12:$O$95,14,FALSE),0)</f>
        <v>0</v>
      </c>
      <c r="V459" s="1144">
        <f>IFERROR(VLOOKUP(CONCATENATE($E459,$G459),'LAC 103'!$A$12:$O$95,15,FALSE),0)</f>
        <v>0</v>
      </c>
      <c r="W459" s="1145" t="str">
        <f>IFERROR(VLOOKUP(CONCATENATE($B459,$N459),'LAC 103'!$AI:$AQ,9,FALSE),"")</f>
        <v>P.C.</v>
      </c>
      <c r="X459" s="1146">
        <f t="shared" si="132"/>
        <v>1.92</v>
      </c>
      <c r="Y459" s="1143">
        <f t="shared" si="133"/>
        <v>2823.3486097181817</v>
      </c>
      <c r="Z459" s="1147">
        <f t="shared" si="134"/>
        <v>3490.5899999999997</v>
      </c>
      <c r="AA459" s="1144">
        <f t="shared" si="135"/>
        <v>2183.04</v>
      </c>
      <c r="AB459" s="1144">
        <f t="shared" si="136"/>
        <v>0</v>
      </c>
      <c r="AC459" s="1144">
        <f t="shared" si="137"/>
        <v>0</v>
      </c>
      <c r="AD459" s="1148">
        <f t="shared" si="128"/>
        <v>2183.04</v>
      </c>
      <c r="AE459" s="1487">
        <v>0</v>
      </c>
      <c r="AF459" s="1145">
        <f t="shared" si="138"/>
        <v>2183.04</v>
      </c>
      <c r="AG459" s="1149">
        <f>IFERROR(VLOOKUP(CONCATENATE($L459,$N459),'Drop List'!$G$23:$K$87,2,FALSE),0)</f>
        <v>0</v>
      </c>
      <c r="AH459" s="1150">
        <f>IFERROR(VLOOKUP(CONCATENATE($L459,$N459),'Drop List'!$G$23:$K$87,3,FALSE),0)</f>
        <v>0</v>
      </c>
      <c r="AI459" s="1150">
        <f>IFERROR(VLOOKUP(CONCATENATE($L459,$N459),'Drop List'!$G$23:$K$87,4,FALSE),0)</f>
        <v>0</v>
      </c>
      <c r="AJ459" s="1151">
        <f>IFERROR(VLOOKUP(CONCATENATE($L459,$N459),'Drop List'!$G$23:$K$87,5,FALSE),0)</f>
        <v>0</v>
      </c>
      <c r="AK459" s="1152">
        <f t="shared" si="139"/>
        <v>0</v>
      </c>
      <c r="AL459" s="1153">
        <f t="shared" si="140"/>
        <v>0</v>
      </c>
      <c r="AM459" s="1153">
        <f t="shared" si="141"/>
        <v>0</v>
      </c>
      <c r="AN459" s="1145">
        <f t="shared" si="142"/>
        <v>0</v>
      </c>
      <c r="AO459" s="1154">
        <f t="shared" si="143"/>
        <v>0</v>
      </c>
      <c r="AP459" s="1147">
        <f t="shared" si="129"/>
        <v>2183.04</v>
      </c>
      <c r="AQ459" s="1144">
        <f t="shared" si="130"/>
        <v>0</v>
      </c>
      <c r="AR459" s="1146">
        <f t="shared" si="131"/>
        <v>2183.04</v>
      </c>
    </row>
    <row r="460" spans="1:44" x14ac:dyDescent="0.2">
      <c r="A460" s="1141" t="str">
        <f t="shared" si="126"/>
        <v>1507</v>
      </c>
      <c r="B460" s="1141" t="str">
        <f>IFERROR(VLOOKUP(A460,'LAC 103'!A:C,3,FALSE),"")</f>
        <v>OP</v>
      </c>
      <c r="C460" s="1478" t="str">
        <f>Info!$B$8</f>
        <v>00100</v>
      </c>
      <c r="D460" s="1474" t="s">
        <v>256</v>
      </c>
      <c r="E460" s="1474" t="s">
        <v>95</v>
      </c>
      <c r="F460" s="1478" t="s">
        <v>593</v>
      </c>
      <c r="G460" s="1478" t="s">
        <v>593</v>
      </c>
      <c r="H460" s="1474" t="s">
        <v>1653</v>
      </c>
      <c r="I460" s="1478" t="s">
        <v>913</v>
      </c>
      <c r="J460" s="1478" t="s">
        <v>123</v>
      </c>
      <c r="K460" s="1475" t="s">
        <v>847</v>
      </c>
      <c r="L460" s="1474" t="s">
        <v>582</v>
      </c>
      <c r="M460" s="1476" t="s">
        <v>1699</v>
      </c>
      <c r="N460" s="1477" t="s">
        <v>1694</v>
      </c>
      <c r="O460" s="1479">
        <v>616</v>
      </c>
      <c r="P460" s="1479"/>
      <c r="Q460" s="1142">
        <f t="shared" si="127"/>
        <v>616</v>
      </c>
      <c r="R460" s="1143">
        <f>IFERROR(VLOOKUP(CONCATENATE(E460,G460),'LAC 103'!$A$12:$O$95,11,FALSE),0)</f>
        <v>2.4831562090749175</v>
      </c>
      <c r="S460" s="1144">
        <f>IFERROR(VLOOKUP(CONCATENATE($E460,$G460),'LAC 103'!$A$12:$O$95,12,FALSE),0)</f>
        <v>3.07</v>
      </c>
      <c r="T460" s="1144">
        <f>IFERROR(VLOOKUP(CONCATENATE($E460,$G460),'LAC 103'!$A$12:$O$95,13,FALSE),0)</f>
        <v>1.92</v>
      </c>
      <c r="U460" s="1144">
        <f>IFERROR(VLOOKUP(CONCATENATE($E460,$G460),'LAC 103'!$A$12:$O$95,14,FALSE),0)</f>
        <v>0</v>
      </c>
      <c r="V460" s="1144">
        <f>IFERROR(VLOOKUP(CONCATENATE($E460,$G460),'LAC 103'!$A$12:$O$95,15,FALSE),0)</f>
        <v>0</v>
      </c>
      <c r="W460" s="1145" t="str">
        <f>IFERROR(VLOOKUP(CONCATENATE($B460,$N460),'LAC 103'!$AI:$AQ,9,FALSE),"")</f>
        <v>Costs</v>
      </c>
      <c r="X460" s="1146">
        <f t="shared" si="132"/>
        <v>2.4831562090749175</v>
      </c>
      <c r="Y460" s="1143">
        <f t="shared" si="133"/>
        <v>1529.6242247901491</v>
      </c>
      <c r="Z460" s="1147">
        <f t="shared" si="134"/>
        <v>1891.12</v>
      </c>
      <c r="AA460" s="1144">
        <f t="shared" si="135"/>
        <v>1182.72</v>
      </c>
      <c r="AB460" s="1144">
        <f t="shared" si="136"/>
        <v>0</v>
      </c>
      <c r="AC460" s="1144">
        <f t="shared" si="137"/>
        <v>0</v>
      </c>
      <c r="AD460" s="1148">
        <f t="shared" si="128"/>
        <v>1529.6242247901491</v>
      </c>
      <c r="AE460" s="1487">
        <v>0</v>
      </c>
      <c r="AF460" s="1145">
        <f t="shared" si="138"/>
        <v>1529.6242247901491</v>
      </c>
      <c r="AG460" s="1149">
        <f>IFERROR(VLOOKUP(CONCATENATE($L460,$N460),'Drop List'!$G$23:$K$87,2,FALSE),0)</f>
        <v>0.56200000000000006</v>
      </c>
      <c r="AH460" s="1150">
        <f>IFERROR(VLOOKUP(CONCATENATE($L460,$N460),'Drop List'!$G$23:$K$87,3,FALSE),0)</f>
        <v>0.43799999999999994</v>
      </c>
      <c r="AI460" s="1150">
        <f>IFERROR(VLOOKUP(CONCATENATE($L460,$N460),'Drop List'!$G$23:$K$87,4,FALSE),0)</f>
        <v>0</v>
      </c>
      <c r="AJ460" s="1151">
        <f>IFERROR(VLOOKUP(CONCATENATE($L460,$N460),'Drop List'!$G$23:$K$87,5,FALSE),0)</f>
        <v>0</v>
      </c>
      <c r="AK460" s="1152">
        <f t="shared" si="139"/>
        <v>859.64881433206392</v>
      </c>
      <c r="AL460" s="1153">
        <f t="shared" si="140"/>
        <v>669.97541045808521</v>
      </c>
      <c r="AM460" s="1153">
        <f t="shared" si="141"/>
        <v>0</v>
      </c>
      <c r="AN460" s="1145">
        <f t="shared" si="142"/>
        <v>0</v>
      </c>
      <c r="AO460" s="1154">
        <f t="shared" si="143"/>
        <v>1529.6242247901491</v>
      </c>
      <c r="AP460" s="1147">
        <f t="shared" si="129"/>
        <v>0</v>
      </c>
      <c r="AQ460" s="1144">
        <f t="shared" si="130"/>
        <v>0</v>
      </c>
      <c r="AR460" s="1146">
        <f t="shared" si="131"/>
        <v>1529.6242247901491</v>
      </c>
    </row>
    <row r="461" spans="1:44" x14ac:dyDescent="0.2">
      <c r="A461" s="1141" t="str">
        <f t="shared" si="126"/>
        <v>1507</v>
      </c>
      <c r="B461" s="1141" t="str">
        <f>IFERROR(VLOOKUP(A461,'LAC 103'!A:C,3,FALSE),"")</f>
        <v>OP</v>
      </c>
      <c r="C461" s="1478" t="str">
        <f>Info!$B$8</f>
        <v>00100</v>
      </c>
      <c r="D461" s="1474" t="s">
        <v>256</v>
      </c>
      <c r="E461" s="1474" t="s">
        <v>95</v>
      </c>
      <c r="F461" s="1478" t="s">
        <v>593</v>
      </c>
      <c r="G461" s="1478" t="s">
        <v>593</v>
      </c>
      <c r="H461" s="1474" t="s">
        <v>1653</v>
      </c>
      <c r="I461" s="1478" t="s">
        <v>913</v>
      </c>
      <c r="J461" s="1478"/>
      <c r="K461" s="1475" t="s">
        <v>847</v>
      </c>
      <c r="L461" s="1474" t="s">
        <v>582</v>
      </c>
      <c r="M461" s="1476" t="s">
        <v>841</v>
      </c>
      <c r="N461" s="1477" t="s">
        <v>1695</v>
      </c>
      <c r="O461" s="1479">
        <v>152</v>
      </c>
      <c r="P461" s="1479"/>
      <c r="Q461" s="1142">
        <f t="shared" si="127"/>
        <v>152</v>
      </c>
      <c r="R461" s="1143">
        <f>IFERROR(VLOOKUP(CONCATENATE(E461,G461),'LAC 103'!$A$12:$O$95,11,FALSE),0)</f>
        <v>2.4831562090749175</v>
      </c>
      <c r="S461" s="1144">
        <f>IFERROR(VLOOKUP(CONCATENATE($E461,$G461),'LAC 103'!$A$12:$O$95,12,FALSE),0)</f>
        <v>3.07</v>
      </c>
      <c r="T461" s="1144">
        <f>IFERROR(VLOOKUP(CONCATENATE($E461,$G461),'LAC 103'!$A$12:$O$95,13,FALSE),0)</f>
        <v>1.92</v>
      </c>
      <c r="U461" s="1144">
        <f>IFERROR(VLOOKUP(CONCATENATE($E461,$G461),'LAC 103'!$A$12:$O$95,14,FALSE),0)</f>
        <v>0</v>
      </c>
      <c r="V461" s="1144">
        <f>IFERROR(VLOOKUP(CONCATENATE($E461,$G461),'LAC 103'!$A$12:$O$95,15,FALSE),0)</f>
        <v>0</v>
      </c>
      <c r="W461" s="1145" t="str">
        <f>IFERROR(VLOOKUP(CONCATENATE($B461,$N461),'LAC 103'!$AI:$AQ,9,FALSE),"")</f>
        <v>Costs</v>
      </c>
      <c r="X461" s="1146">
        <f t="shared" si="132"/>
        <v>2.4831562090749175</v>
      </c>
      <c r="Y461" s="1143">
        <f t="shared" si="133"/>
        <v>377.43974377938747</v>
      </c>
      <c r="Z461" s="1147">
        <f t="shared" si="134"/>
        <v>466.64</v>
      </c>
      <c r="AA461" s="1144">
        <f t="shared" si="135"/>
        <v>291.83999999999997</v>
      </c>
      <c r="AB461" s="1144">
        <f t="shared" si="136"/>
        <v>0</v>
      </c>
      <c r="AC461" s="1144">
        <f t="shared" si="137"/>
        <v>0</v>
      </c>
      <c r="AD461" s="1148">
        <f t="shared" si="128"/>
        <v>377.43974377938747</v>
      </c>
      <c r="AE461" s="1487">
        <v>0</v>
      </c>
      <c r="AF461" s="1145">
        <f t="shared" si="138"/>
        <v>377.43974377938747</v>
      </c>
      <c r="AG461" s="1149">
        <f>IFERROR(VLOOKUP(CONCATENATE($L461,$N461),'Drop List'!$G$23:$K$87,2,FALSE),0)</f>
        <v>0.55000000000000004</v>
      </c>
      <c r="AH461" s="1150">
        <f>IFERROR(VLOOKUP(CONCATENATE($L461,$N461),'Drop List'!$G$23:$K$87,3,FALSE),0)</f>
        <v>0.44999999999999996</v>
      </c>
      <c r="AI461" s="1150">
        <f>IFERROR(VLOOKUP(CONCATENATE($L461,$N461),'Drop List'!$G$23:$K$87,4,FALSE),0)</f>
        <v>0</v>
      </c>
      <c r="AJ461" s="1151">
        <f>IFERROR(VLOOKUP(CONCATENATE($L461,$N461),'Drop List'!$G$23:$K$87,5,FALSE),0)</f>
        <v>0</v>
      </c>
      <c r="AK461" s="1152">
        <f t="shared" si="139"/>
        <v>207.59185907866313</v>
      </c>
      <c r="AL461" s="1153">
        <f t="shared" si="140"/>
        <v>169.84788470072434</v>
      </c>
      <c r="AM461" s="1153">
        <f t="shared" si="141"/>
        <v>0</v>
      </c>
      <c r="AN461" s="1145">
        <f t="shared" si="142"/>
        <v>0</v>
      </c>
      <c r="AO461" s="1154">
        <f t="shared" si="143"/>
        <v>377.43974377938747</v>
      </c>
      <c r="AP461" s="1147">
        <f t="shared" si="129"/>
        <v>0</v>
      </c>
      <c r="AQ461" s="1144">
        <f t="shared" si="130"/>
        <v>0</v>
      </c>
      <c r="AR461" s="1146">
        <f t="shared" si="131"/>
        <v>377.43974377938747</v>
      </c>
    </row>
    <row r="462" spans="1:44" x14ac:dyDescent="0.2">
      <c r="A462" s="1141" t="str">
        <f t="shared" si="126"/>
        <v>1507</v>
      </c>
      <c r="B462" s="1141" t="str">
        <f>IFERROR(VLOOKUP(A462,'LAC 103'!A:C,3,FALSE),"")</f>
        <v>OP</v>
      </c>
      <c r="C462" s="1478" t="str">
        <f>Info!$B$8</f>
        <v>00100</v>
      </c>
      <c r="D462" s="1474" t="s">
        <v>256</v>
      </c>
      <c r="E462" s="1474" t="s">
        <v>95</v>
      </c>
      <c r="F462" s="1478" t="s">
        <v>593</v>
      </c>
      <c r="G462" s="1478" t="s">
        <v>593</v>
      </c>
      <c r="H462" s="1474" t="s">
        <v>1653</v>
      </c>
      <c r="I462" s="1478" t="s">
        <v>913</v>
      </c>
      <c r="J462" s="1478"/>
      <c r="K462" s="1475" t="s">
        <v>847</v>
      </c>
      <c r="L462" s="1474" t="s">
        <v>582</v>
      </c>
      <c r="M462" s="1476" t="s">
        <v>840</v>
      </c>
      <c r="N462" s="1477" t="s">
        <v>1700</v>
      </c>
      <c r="O462" s="1479">
        <v>76</v>
      </c>
      <c r="P462" s="1479"/>
      <c r="Q462" s="1142">
        <f t="shared" si="127"/>
        <v>76</v>
      </c>
      <c r="R462" s="1143">
        <f>IFERROR(VLOOKUP(CONCATENATE(E462,G462),'LAC 103'!$A$12:$O$95,11,FALSE),0)</f>
        <v>2.4831562090749175</v>
      </c>
      <c r="S462" s="1144">
        <f>IFERROR(VLOOKUP(CONCATENATE($E462,$G462),'LAC 103'!$A$12:$O$95,12,FALSE),0)</f>
        <v>3.07</v>
      </c>
      <c r="T462" s="1144">
        <f>IFERROR(VLOOKUP(CONCATENATE($E462,$G462),'LAC 103'!$A$12:$O$95,13,FALSE),0)</f>
        <v>1.92</v>
      </c>
      <c r="U462" s="1144">
        <f>IFERROR(VLOOKUP(CONCATENATE($E462,$G462),'LAC 103'!$A$12:$O$95,14,FALSE),0)</f>
        <v>0</v>
      </c>
      <c r="V462" s="1144">
        <f>IFERROR(VLOOKUP(CONCATENATE($E462,$G462),'LAC 103'!$A$12:$O$95,15,FALSE),0)</f>
        <v>0</v>
      </c>
      <c r="W462" s="1145" t="str">
        <f>IFERROR(VLOOKUP(CONCATENATE($B462,$N462),'LAC 103'!$AI:$AQ,9,FALSE),"")</f>
        <v>P.C.</v>
      </c>
      <c r="X462" s="1146">
        <f t="shared" si="132"/>
        <v>1.92</v>
      </c>
      <c r="Y462" s="1143">
        <f t="shared" si="133"/>
        <v>188.71987188969374</v>
      </c>
      <c r="Z462" s="1147">
        <f t="shared" si="134"/>
        <v>233.32</v>
      </c>
      <c r="AA462" s="1144">
        <f t="shared" si="135"/>
        <v>145.91999999999999</v>
      </c>
      <c r="AB462" s="1144">
        <f t="shared" si="136"/>
        <v>0</v>
      </c>
      <c r="AC462" s="1144">
        <f t="shared" si="137"/>
        <v>0</v>
      </c>
      <c r="AD462" s="1148">
        <f t="shared" si="128"/>
        <v>145.91999999999999</v>
      </c>
      <c r="AE462" s="1487">
        <v>0</v>
      </c>
      <c r="AF462" s="1145">
        <f t="shared" si="138"/>
        <v>145.91999999999999</v>
      </c>
      <c r="AG462" s="1149">
        <f>IFERROR(VLOOKUP(CONCATENATE($L462,$N462),'Drop List'!$G$23:$K$87,2,FALSE),0)</f>
        <v>0.55000000000000004</v>
      </c>
      <c r="AH462" s="1150">
        <f>IFERROR(VLOOKUP(CONCATENATE($L462,$N462),'Drop List'!$G$23:$K$87,3,FALSE),0)</f>
        <v>0.44999999999999996</v>
      </c>
      <c r="AI462" s="1150">
        <f>IFERROR(VLOOKUP(CONCATENATE($L462,$N462),'Drop List'!$G$23:$K$87,4,FALSE),0)</f>
        <v>0</v>
      </c>
      <c r="AJ462" s="1151">
        <f>IFERROR(VLOOKUP(CONCATENATE($L462,$N462),'Drop List'!$G$23:$K$87,5,FALSE),0)</f>
        <v>0</v>
      </c>
      <c r="AK462" s="1152">
        <f t="shared" si="139"/>
        <v>80.256</v>
      </c>
      <c r="AL462" s="1153">
        <f t="shared" si="140"/>
        <v>65.663999999999987</v>
      </c>
      <c r="AM462" s="1153">
        <f t="shared" si="141"/>
        <v>0</v>
      </c>
      <c r="AN462" s="1145">
        <f t="shared" si="142"/>
        <v>0</v>
      </c>
      <c r="AO462" s="1154">
        <f t="shared" si="143"/>
        <v>145.91999999999999</v>
      </c>
      <c r="AP462" s="1147">
        <f t="shared" si="129"/>
        <v>0</v>
      </c>
      <c r="AQ462" s="1144">
        <f t="shared" si="130"/>
        <v>0</v>
      </c>
      <c r="AR462" s="1146">
        <f t="shared" si="131"/>
        <v>145.91999999999999</v>
      </c>
    </row>
    <row r="463" spans="1:44" x14ac:dyDescent="0.2">
      <c r="A463" s="1141" t="str">
        <f t="shared" si="126"/>
        <v>1507</v>
      </c>
      <c r="B463" s="1141" t="str">
        <f>IFERROR(VLOOKUP(A463,'LAC 103'!A:C,3,FALSE),"")</f>
        <v>OP</v>
      </c>
      <c r="C463" s="1478" t="str">
        <f>Info!$B$8</f>
        <v>00100</v>
      </c>
      <c r="D463" s="1474" t="s">
        <v>256</v>
      </c>
      <c r="E463" s="1474" t="s">
        <v>95</v>
      </c>
      <c r="F463" s="1478" t="s">
        <v>593</v>
      </c>
      <c r="G463" s="1478" t="s">
        <v>593</v>
      </c>
      <c r="H463" s="1474" t="s">
        <v>1653</v>
      </c>
      <c r="I463" s="1478" t="s">
        <v>913</v>
      </c>
      <c r="J463" s="1478"/>
      <c r="K463" s="1475" t="s">
        <v>847</v>
      </c>
      <c r="L463" s="1474" t="s">
        <v>582</v>
      </c>
      <c r="M463" s="1476" t="s">
        <v>842</v>
      </c>
      <c r="N463" s="1477" t="s">
        <v>1692</v>
      </c>
      <c r="O463" s="1479">
        <v>559</v>
      </c>
      <c r="P463" s="1479"/>
      <c r="Q463" s="1142">
        <f t="shared" si="127"/>
        <v>559</v>
      </c>
      <c r="R463" s="1143">
        <f>IFERROR(VLOOKUP(CONCATENATE(E463,G463),'LAC 103'!$A$12:$O$95,11,FALSE),0)</f>
        <v>2.4831562090749175</v>
      </c>
      <c r="S463" s="1144">
        <f>IFERROR(VLOOKUP(CONCATENATE($E463,$G463),'LAC 103'!$A$12:$O$95,12,FALSE),0)</f>
        <v>3.07</v>
      </c>
      <c r="T463" s="1144">
        <f>IFERROR(VLOOKUP(CONCATENATE($E463,$G463),'LAC 103'!$A$12:$O$95,13,FALSE),0)</f>
        <v>1.92</v>
      </c>
      <c r="U463" s="1144">
        <f>IFERROR(VLOOKUP(CONCATENATE($E463,$G463),'LAC 103'!$A$12:$O$95,14,FALSE),0)</f>
        <v>0</v>
      </c>
      <c r="V463" s="1144">
        <f>IFERROR(VLOOKUP(CONCATENATE($E463,$G463),'LAC 103'!$A$12:$O$95,15,FALSE),0)</f>
        <v>0</v>
      </c>
      <c r="W463" s="1145" t="str">
        <f>IFERROR(VLOOKUP(CONCATENATE($B463,$N463),'LAC 103'!$AI:$AQ,9,FALSE),"")</f>
        <v>Costs</v>
      </c>
      <c r="X463" s="1146">
        <f t="shared" si="132"/>
        <v>2.4831562090749175</v>
      </c>
      <c r="Y463" s="1143">
        <f t="shared" si="133"/>
        <v>1388.0843208728788</v>
      </c>
      <c r="Z463" s="1147">
        <f t="shared" si="134"/>
        <v>1716.1299999999999</v>
      </c>
      <c r="AA463" s="1144">
        <f t="shared" si="135"/>
        <v>1073.28</v>
      </c>
      <c r="AB463" s="1144">
        <f t="shared" si="136"/>
        <v>0</v>
      </c>
      <c r="AC463" s="1144">
        <f t="shared" si="137"/>
        <v>0</v>
      </c>
      <c r="AD463" s="1148">
        <f t="shared" si="128"/>
        <v>1388.0843208728788</v>
      </c>
      <c r="AE463" s="1487">
        <v>0</v>
      </c>
      <c r="AF463" s="1145">
        <f t="shared" si="138"/>
        <v>1388.0843208728788</v>
      </c>
      <c r="AG463" s="1149">
        <f>IFERROR(VLOOKUP(CONCATENATE($L463,$N463),'Drop List'!$G$23:$K$87,2,FALSE),0)</f>
        <v>0.56200000000000006</v>
      </c>
      <c r="AH463" s="1150">
        <f>IFERROR(VLOOKUP(CONCATENATE($L463,$N463),'Drop List'!$G$23:$K$87,3,FALSE),0)</f>
        <v>0.43799999999999994</v>
      </c>
      <c r="AI463" s="1150">
        <f>IFERROR(VLOOKUP(CONCATENATE($L463,$N463),'Drop List'!$G$23:$K$87,4,FALSE),0)</f>
        <v>0</v>
      </c>
      <c r="AJ463" s="1151">
        <f>IFERROR(VLOOKUP(CONCATENATE($L463,$N463),'Drop List'!$G$23:$K$87,5,FALSE),0)</f>
        <v>0</v>
      </c>
      <c r="AK463" s="1152">
        <f t="shared" si="139"/>
        <v>780.103388330558</v>
      </c>
      <c r="AL463" s="1153">
        <f t="shared" si="140"/>
        <v>607.98093254232083</v>
      </c>
      <c r="AM463" s="1153">
        <f t="shared" si="141"/>
        <v>0</v>
      </c>
      <c r="AN463" s="1145">
        <f t="shared" si="142"/>
        <v>0</v>
      </c>
      <c r="AO463" s="1154">
        <f t="shared" si="143"/>
        <v>1388.0843208728788</v>
      </c>
      <c r="AP463" s="1147">
        <f t="shared" si="129"/>
        <v>0</v>
      </c>
      <c r="AQ463" s="1144">
        <f t="shared" si="130"/>
        <v>0</v>
      </c>
      <c r="AR463" s="1146">
        <f t="shared" si="131"/>
        <v>1388.0843208728788</v>
      </c>
    </row>
    <row r="464" spans="1:44" x14ac:dyDescent="0.2">
      <c r="A464" s="1141" t="str">
        <f t="shared" si="126"/>
        <v>1507</v>
      </c>
      <c r="B464" s="1141" t="str">
        <f>IFERROR(VLOOKUP(A464,'LAC 103'!A:C,3,FALSE),"")</f>
        <v>OP</v>
      </c>
      <c r="C464" s="1478" t="str">
        <f>Info!$B$8</f>
        <v>00100</v>
      </c>
      <c r="D464" s="1474" t="s">
        <v>256</v>
      </c>
      <c r="E464" s="1474" t="s">
        <v>95</v>
      </c>
      <c r="F464" s="1478" t="s">
        <v>593</v>
      </c>
      <c r="G464" s="1478" t="s">
        <v>593</v>
      </c>
      <c r="H464" s="1474" t="s">
        <v>1653</v>
      </c>
      <c r="I464" s="1478" t="s">
        <v>913</v>
      </c>
      <c r="J464" s="1478"/>
      <c r="K464" s="1475" t="s">
        <v>847</v>
      </c>
      <c r="L464" s="1474" t="s">
        <v>582</v>
      </c>
      <c r="M464" s="1476" t="s">
        <v>1698</v>
      </c>
      <c r="N464" s="1477" t="s">
        <v>1693</v>
      </c>
      <c r="O464" s="1479">
        <v>909</v>
      </c>
      <c r="P464" s="1479"/>
      <c r="Q464" s="1142">
        <f t="shared" si="127"/>
        <v>909</v>
      </c>
      <c r="R464" s="1143">
        <f>IFERROR(VLOOKUP(CONCATENATE(E464,G464),'LAC 103'!$A$12:$O$95,11,FALSE),0)</f>
        <v>2.4831562090749175</v>
      </c>
      <c r="S464" s="1144">
        <f>IFERROR(VLOOKUP(CONCATENATE($E464,$G464),'LAC 103'!$A$12:$O$95,12,FALSE),0)</f>
        <v>3.07</v>
      </c>
      <c r="T464" s="1144">
        <f>IFERROR(VLOOKUP(CONCATENATE($E464,$G464),'LAC 103'!$A$12:$O$95,13,FALSE),0)</f>
        <v>1.92</v>
      </c>
      <c r="U464" s="1144">
        <f>IFERROR(VLOOKUP(CONCATENATE($E464,$G464),'LAC 103'!$A$12:$O$95,14,FALSE),0)</f>
        <v>0</v>
      </c>
      <c r="V464" s="1144">
        <f>IFERROR(VLOOKUP(CONCATENATE($E464,$G464),'LAC 103'!$A$12:$O$95,15,FALSE),0)</f>
        <v>0</v>
      </c>
      <c r="W464" s="1145" t="str">
        <f>IFERROR(VLOOKUP(CONCATENATE($B464,$N464),'LAC 103'!$AI:$AQ,9,FALSE),"")</f>
        <v>Costs</v>
      </c>
      <c r="X464" s="1146">
        <f t="shared" si="132"/>
        <v>2.4831562090749175</v>
      </c>
      <c r="Y464" s="1143">
        <f t="shared" si="133"/>
        <v>2257.1889940491001</v>
      </c>
      <c r="Z464" s="1147">
        <f t="shared" si="134"/>
        <v>2790.6299999999997</v>
      </c>
      <c r="AA464" s="1144">
        <f t="shared" si="135"/>
        <v>1745.28</v>
      </c>
      <c r="AB464" s="1144">
        <f t="shared" si="136"/>
        <v>0</v>
      </c>
      <c r="AC464" s="1144">
        <f t="shared" si="137"/>
        <v>0</v>
      </c>
      <c r="AD464" s="1148">
        <f t="shared" si="128"/>
        <v>2257.1889940491001</v>
      </c>
      <c r="AE464" s="1487">
        <v>0</v>
      </c>
      <c r="AF464" s="1145">
        <f t="shared" si="138"/>
        <v>2257.1889940491001</v>
      </c>
      <c r="AG464" s="1149">
        <f>IFERROR(VLOOKUP(CONCATENATE($L464,$N464),'Drop List'!$G$23:$K$87,2,FALSE),0)</f>
        <v>0.56200000000000006</v>
      </c>
      <c r="AH464" s="1150">
        <f>IFERROR(VLOOKUP(CONCATENATE($L464,$N464),'Drop List'!$G$23:$K$87,3,FALSE),0)</f>
        <v>0.43799999999999994</v>
      </c>
      <c r="AI464" s="1150">
        <f>IFERROR(VLOOKUP(CONCATENATE($L464,$N464),'Drop List'!$G$23:$K$87,4,FALSE),0)</f>
        <v>0</v>
      </c>
      <c r="AJ464" s="1151">
        <f>IFERROR(VLOOKUP(CONCATENATE($L464,$N464),'Drop List'!$G$23:$K$87,5,FALSE),0)</f>
        <v>0</v>
      </c>
      <c r="AK464" s="1152">
        <f t="shared" si="139"/>
        <v>1268.5402146555944</v>
      </c>
      <c r="AL464" s="1153">
        <f t="shared" si="140"/>
        <v>988.64877939350572</v>
      </c>
      <c r="AM464" s="1153">
        <f t="shared" si="141"/>
        <v>0</v>
      </c>
      <c r="AN464" s="1145">
        <f t="shared" si="142"/>
        <v>0</v>
      </c>
      <c r="AO464" s="1154">
        <f t="shared" si="143"/>
        <v>2257.1889940491001</v>
      </c>
      <c r="AP464" s="1147">
        <f t="shared" si="129"/>
        <v>0</v>
      </c>
      <c r="AQ464" s="1144">
        <f t="shared" si="130"/>
        <v>0</v>
      </c>
      <c r="AR464" s="1146">
        <f t="shared" si="131"/>
        <v>2257.1889940491001</v>
      </c>
    </row>
    <row r="465" spans="1:44" x14ac:dyDescent="0.2">
      <c r="A465" s="1141" t="str">
        <f t="shared" si="126"/>
        <v>1507</v>
      </c>
      <c r="B465" s="1141" t="str">
        <f>IFERROR(VLOOKUP(A465,'LAC 103'!A:C,3,FALSE),"")</f>
        <v>OP</v>
      </c>
      <c r="C465" s="1478" t="str">
        <f>Info!$B$8</f>
        <v>00100</v>
      </c>
      <c r="D465" s="1474" t="s">
        <v>256</v>
      </c>
      <c r="E465" s="1474" t="s">
        <v>95</v>
      </c>
      <c r="F465" s="1478" t="s">
        <v>593</v>
      </c>
      <c r="G465" s="1478" t="s">
        <v>593</v>
      </c>
      <c r="H465" s="1474" t="s">
        <v>1653</v>
      </c>
      <c r="I465" s="1478" t="s">
        <v>913</v>
      </c>
      <c r="J465" s="1478"/>
      <c r="K465" s="1475" t="s">
        <v>848</v>
      </c>
      <c r="L465" s="1474" t="s">
        <v>45</v>
      </c>
      <c r="M465" s="1476" t="s">
        <v>1699</v>
      </c>
      <c r="N465" s="1477" t="s">
        <v>1694</v>
      </c>
      <c r="O465" s="1479">
        <v>237</v>
      </c>
      <c r="P465" s="1479"/>
      <c r="Q465" s="1142">
        <f t="shared" si="127"/>
        <v>237</v>
      </c>
      <c r="R465" s="1143">
        <f>IFERROR(VLOOKUP(CONCATENATE(E465,G465),'LAC 103'!$A$12:$O$95,11,FALSE),0)</f>
        <v>2.4831562090749175</v>
      </c>
      <c r="S465" s="1144">
        <f>IFERROR(VLOOKUP(CONCATENATE($E465,$G465),'LAC 103'!$A$12:$O$95,12,FALSE),0)</f>
        <v>3.07</v>
      </c>
      <c r="T465" s="1144">
        <f>IFERROR(VLOOKUP(CONCATENATE($E465,$G465),'LAC 103'!$A$12:$O$95,13,FALSE),0)</f>
        <v>1.92</v>
      </c>
      <c r="U465" s="1144">
        <f>IFERROR(VLOOKUP(CONCATENATE($E465,$G465),'LAC 103'!$A$12:$O$95,14,FALSE),0)</f>
        <v>0</v>
      </c>
      <c r="V465" s="1144">
        <f>IFERROR(VLOOKUP(CONCATENATE($E465,$G465),'LAC 103'!$A$12:$O$95,15,FALSE),0)</f>
        <v>0</v>
      </c>
      <c r="W465" s="1145" t="str">
        <f>IFERROR(VLOOKUP(CONCATENATE($B465,$N465),'LAC 103'!$AI:$AQ,9,FALSE),"")</f>
        <v>Costs</v>
      </c>
      <c r="X465" s="1146">
        <f t="shared" si="132"/>
        <v>2.4831562090749175</v>
      </c>
      <c r="Y465" s="1143">
        <f t="shared" si="133"/>
        <v>588.50802155075542</v>
      </c>
      <c r="Z465" s="1147">
        <f t="shared" si="134"/>
        <v>727.58999999999992</v>
      </c>
      <c r="AA465" s="1144">
        <f t="shared" si="135"/>
        <v>455.03999999999996</v>
      </c>
      <c r="AB465" s="1144">
        <f t="shared" si="136"/>
        <v>0</v>
      </c>
      <c r="AC465" s="1144">
        <f t="shared" si="137"/>
        <v>0</v>
      </c>
      <c r="AD465" s="1148">
        <f t="shared" si="128"/>
        <v>588.50802155075542</v>
      </c>
      <c r="AE465" s="1487">
        <v>0</v>
      </c>
      <c r="AF465" s="1145">
        <f t="shared" si="138"/>
        <v>588.50802155075542</v>
      </c>
      <c r="AG465" s="1149">
        <f>IFERROR(VLOOKUP(CONCATENATE($L465,$N465),'Drop List'!$G$23:$K$87,2,FALSE),0)</f>
        <v>0.69340000000000002</v>
      </c>
      <c r="AH465" s="1150">
        <f>IFERROR(VLOOKUP(CONCATENATE($L465,$N465),'Drop List'!$G$23:$K$87,3,FALSE),0)</f>
        <v>0.30659999999999998</v>
      </c>
      <c r="AI465" s="1150">
        <f>IFERROR(VLOOKUP(CONCATENATE($L465,$N465),'Drop List'!$G$23:$K$87,4,FALSE),0)</f>
        <v>0</v>
      </c>
      <c r="AJ465" s="1151">
        <f>IFERROR(VLOOKUP(CONCATENATE($L465,$N465),'Drop List'!$G$23:$K$87,5,FALSE),0)</f>
        <v>0</v>
      </c>
      <c r="AK465" s="1152">
        <f t="shared" si="139"/>
        <v>408.07146214329384</v>
      </c>
      <c r="AL465" s="1153">
        <f t="shared" si="140"/>
        <v>180.4365594074616</v>
      </c>
      <c r="AM465" s="1153">
        <f t="shared" si="141"/>
        <v>0</v>
      </c>
      <c r="AN465" s="1145">
        <f t="shared" si="142"/>
        <v>0</v>
      </c>
      <c r="AO465" s="1154">
        <f t="shared" si="143"/>
        <v>588.50802155075542</v>
      </c>
      <c r="AP465" s="1147">
        <f t="shared" si="129"/>
        <v>0</v>
      </c>
      <c r="AQ465" s="1144">
        <f t="shared" si="130"/>
        <v>0</v>
      </c>
      <c r="AR465" s="1146">
        <f t="shared" si="131"/>
        <v>588.50802155075542</v>
      </c>
    </row>
    <row r="466" spans="1:44" x14ac:dyDescent="0.2">
      <c r="A466" s="1141" t="str">
        <f t="shared" si="126"/>
        <v>1507</v>
      </c>
      <c r="B466" s="1141" t="str">
        <f>IFERROR(VLOOKUP(A466,'LAC 103'!A:C,3,FALSE),"")</f>
        <v>OP</v>
      </c>
      <c r="C466" s="1478" t="str">
        <f>Info!$B$8</f>
        <v>00100</v>
      </c>
      <c r="D466" s="1474" t="s">
        <v>256</v>
      </c>
      <c r="E466" s="1474" t="s">
        <v>95</v>
      </c>
      <c r="F466" s="1478" t="s">
        <v>593</v>
      </c>
      <c r="G466" s="1478" t="s">
        <v>593</v>
      </c>
      <c r="H466" s="1474" t="s">
        <v>1653</v>
      </c>
      <c r="I466" s="1478" t="s">
        <v>913</v>
      </c>
      <c r="J466" s="1478"/>
      <c r="K466" s="1475" t="s">
        <v>848</v>
      </c>
      <c r="L466" s="1474" t="s">
        <v>45</v>
      </c>
      <c r="M466" s="1476" t="s">
        <v>841</v>
      </c>
      <c r="N466" s="1477" t="s">
        <v>1695</v>
      </c>
      <c r="O466" s="1479">
        <v>156</v>
      </c>
      <c r="P466" s="1479"/>
      <c r="Q466" s="1142">
        <f t="shared" si="127"/>
        <v>156</v>
      </c>
      <c r="R466" s="1143">
        <f>IFERROR(VLOOKUP(CONCATENATE(E466,G466),'LAC 103'!$A$12:$O$95,11,FALSE),0)</f>
        <v>2.4831562090749175</v>
      </c>
      <c r="S466" s="1144">
        <f>IFERROR(VLOOKUP(CONCATENATE($E466,$G466),'LAC 103'!$A$12:$O$95,12,FALSE),0)</f>
        <v>3.07</v>
      </c>
      <c r="T466" s="1144">
        <f>IFERROR(VLOOKUP(CONCATENATE($E466,$G466),'LAC 103'!$A$12:$O$95,13,FALSE),0)</f>
        <v>1.92</v>
      </c>
      <c r="U466" s="1144">
        <f>IFERROR(VLOOKUP(CONCATENATE($E466,$G466),'LAC 103'!$A$12:$O$95,14,FALSE),0)</f>
        <v>0</v>
      </c>
      <c r="V466" s="1144">
        <f>IFERROR(VLOOKUP(CONCATENATE($E466,$G466),'LAC 103'!$A$12:$O$95,15,FALSE),0)</f>
        <v>0</v>
      </c>
      <c r="W466" s="1145" t="str">
        <f>IFERROR(VLOOKUP(CONCATENATE($B466,$N466),'LAC 103'!$AI:$AQ,9,FALSE),"")</f>
        <v>Costs</v>
      </c>
      <c r="X466" s="1146">
        <f t="shared" si="132"/>
        <v>2.4831562090749175</v>
      </c>
      <c r="Y466" s="1143">
        <f t="shared" si="133"/>
        <v>387.37236861568715</v>
      </c>
      <c r="Z466" s="1147">
        <f t="shared" si="134"/>
        <v>478.91999999999996</v>
      </c>
      <c r="AA466" s="1144">
        <f t="shared" si="135"/>
        <v>299.52</v>
      </c>
      <c r="AB466" s="1144">
        <f t="shared" si="136"/>
        <v>0</v>
      </c>
      <c r="AC466" s="1144">
        <f t="shared" si="137"/>
        <v>0</v>
      </c>
      <c r="AD466" s="1148">
        <f t="shared" si="128"/>
        <v>387.37236861568715</v>
      </c>
      <c r="AE466" s="1487">
        <v>0</v>
      </c>
      <c r="AF466" s="1145">
        <f t="shared" si="138"/>
        <v>387.37236861568715</v>
      </c>
      <c r="AG466" s="1149">
        <f>IFERROR(VLOOKUP(CONCATENATE($L466,$N466),'Drop List'!$G$23:$K$87,2,FALSE),0)</f>
        <v>0.68500000000000005</v>
      </c>
      <c r="AH466" s="1150">
        <f>IFERROR(VLOOKUP(CONCATENATE($L466,$N466),'Drop List'!$G$23:$K$87,3,FALSE),0)</f>
        <v>0.31499999999999995</v>
      </c>
      <c r="AI466" s="1150">
        <f>IFERROR(VLOOKUP(CONCATENATE($L466,$N466),'Drop List'!$G$23:$K$87,4,FALSE),0)</f>
        <v>0</v>
      </c>
      <c r="AJ466" s="1151">
        <f>IFERROR(VLOOKUP(CONCATENATE($L466,$N466),'Drop List'!$G$23:$K$87,5,FALSE),0)</f>
        <v>0</v>
      </c>
      <c r="AK466" s="1152">
        <f t="shared" si="139"/>
        <v>265.35007250174573</v>
      </c>
      <c r="AL466" s="1153">
        <f t="shared" si="140"/>
        <v>122.02229611394144</v>
      </c>
      <c r="AM466" s="1153">
        <f t="shared" si="141"/>
        <v>0</v>
      </c>
      <c r="AN466" s="1145">
        <f t="shared" si="142"/>
        <v>0</v>
      </c>
      <c r="AO466" s="1154">
        <f t="shared" si="143"/>
        <v>387.37236861568715</v>
      </c>
      <c r="AP466" s="1147">
        <f t="shared" si="129"/>
        <v>0</v>
      </c>
      <c r="AQ466" s="1144">
        <f t="shared" si="130"/>
        <v>0</v>
      </c>
      <c r="AR466" s="1146">
        <f t="shared" si="131"/>
        <v>387.37236861568715</v>
      </c>
    </row>
    <row r="467" spans="1:44" x14ac:dyDescent="0.2">
      <c r="A467" s="1141" t="str">
        <f t="shared" si="126"/>
        <v>1507</v>
      </c>
      <c r="B467" s="1141" t="str">
        <f>IFERROR(VLOOKUP(A467,'LAC 103'!A:C,3,FALSE),"")</f>
        <v>OP</v>
      </c>
      <c r="C467" s="1478" t="str">
        <f>Info!$B$8</f>
        <v>00100</v>
      </c>
      <c r="D467" s="1474" t="s">
        <v>256</v>
      </c>
      <c r="E467" s="1474" t="s">
        <v>95</v>
      </c>
      <c r="F467" s="1478" t="s">
        <v>593</v>
      </c>
      <c r="G467" s="1478" t="s">
        <v>593</v>
      </c>
      <c r="H467" s="1474" t="s">
        <v>1653</v>
      </c>
      <c r="I467" s="1478" t="s">
        <v>913</v>
      </c>
      <c r="J467" s="1478"/>
      <c r="K467" s="1475" t="s">
        <v>848</v>
      </c>
      <c r="L467" s="1474" t="s">
        <v>45</v>
      </c>
      <c r="M467" s="1476" t="s">
        <v>840</v>
      </c>
      <c r="N467" s="1477" t="s">
        <v>1700</v>
      </c>
      <c r="O467" s="1479">
        <v>153</v>
      </c>
      <c r="P467" s="1479"/>
      <c r="Q467" s="1142">
        <f t="shared" si="127"/>
        <v>153</v>
      </c>
      <c r="R467" s="1143">
        <f>IFERROR(VLOOKUP(CONCATENATE(E467,G467),'LAC 103'!$A$12:$O$95,11,FALSE),0)</f>
        <v>2.4831562090749175</v>
      </c>
      <c r="S467" s="1144">
        <f>IFERROR(VLOOKUP(CONCATENATE($E467,$G467),'LAC 103'!$A$12:$O$95,12,FALSE),0)</f>
        <v>3.07</v>
      </c>
      <c r="T467" s="1144">
        <f>IFERROR(VLOOKUP(CONCATENATE($E467,$G467),'LAC 103'!$A$12:$O$95,13,FALSE),0)</f>
        <v>1.92</v>
      </c>
      <c r="U467" s="1144">
        <f>IFERROR(VLOOKUP(CONCATENATE($E467,$G467),'LAC 103'!$A$12:$O$95,14,FALSE),0)</f>
        <v>0</v>
      </c>
      <c r="V467" s="1144">
        <f>IFERROR(VLOOKUP(CONCATENATE($E467,$G467),'LAC 103'!$A$12:$O$95,15,FALSE),0)</f>
        <v>0</v>
      </c>
      <c r="W467" s="1145" t="str">
        <f>IFERROR(VLOOKUP(CONCATENATE($B467,$N467),'LAC 103'!$AI:$AQ,9,FALSE),"")</f>
        <v>P.C.</v>
      </c>
      <c r="X467" s="1146">
        <f t="shared" si="132"/>
        <v>1.92</v>
      </c>
      <c r="Y467" s="1143">
        <f t="shared" si="133"/>
        <v>379.9228999884624</v>
      </c>
      <c r="Z467" s="1147">
        <f t="shared" si="134"/>
        <v>469.71</v>
      </c>
      <c r="AA467" s="1144">
        <f t="shared" si="135"/>
        <v>293.76</v>
      </c>
      <c r="AB467" s="1144">
        <f t="shared" si="136"/>
        <v>0</v>
      </c>
      <c r="AC467" s="1144">
        <f t="shared" si="137"/>
        <v>0</v>
      </c>
      <c r="AD467" s="1148">
        <f t="shared" si="128"/>
        <v>293.76</v>
      </c>
      <c r="AE467" s="1487">
        <v>0</v>
      </c>
      <c r="AF467" s="1145">
        <f t="shared" si="138"/>
        <v>293.76</v>
      </c>
      <c r="AG467" s="1149">
        <f>IFERROR(VLOOKUP(CONCATENATE($L467,$N467),'Drop List'!$G$23:$K$87,2,FALSE),0)</f>
        <v>0.68500000000000005</v>
      </c>
      <c r="AH467" s="1150">
        <f>IFERROR(VLOOKUP(CONCATENATE($L467,$N467),'Drop List'!$G$23:$K$87,3,FALSE),0)</f>
        <v>0.31499999999999995</v>
      </c>
      <c r="AI467" s="1150">
        <f>IFERROR(VLOOKUP(CONCATENATE($L467,$N467),'Drop List'!$G$23:$K$87,4,FALSE),0)</f>
        <v>0</v>
      </c>
      <c r="AJ467" s="1151">
        <f>IFERROR(VLOOKUP(CONCATENATE($L467,$N467),'Drop List'!$G$23:$K$87,5,FALSE),0)</f>
        <v>0</v>
      </c>
      <c r="AK467" s="1152">
        <f t="shared" si="139"/>
        <v>201.22560000000001</v>
      </c>
      <c r="AL467" s="1153">
        <f t="shared" si="140"/>
        <v>92.534399999999977</v>
      </c>
      <c r="AM467" s="1153">
        <f t="shared" si="141"/>
        <v>0</v>
      </c>
      <c r="AN467" s="1145">
        <f t="shared" si="142"/>
        <v>0</v>
      </c>
      <c r="AO467" s="1154">
        <f t="shared" si="143"/>
        <v>293.76</v>
      </c>
      <c r="AP467" s="1147">
        <f t="shared" si="129"/>
        <v>0</v>
      </c>
      <c r="AQ467" s="1144">
        <f t="shared" si="130"/>
        <v>0</v>
      </c>
      <c r="AR467" s="1146">
        <f t="shared" si="131"/>
        <v>293.76</v>
      </c>
    </row>
    <row r="468" spans="1:44" x14ac:dyDescent="0.2">
      <c r="A468" s="1141" t="str">
        <f t="shared" si="126"/>
        <v>1507</v>
      </c>
      <c r="B468" s="1141" t="str">
        <f>IFERROR(VLOOKUP(A468,'LAC 103'!A:C,3,FALSE),"")</f>
        <v>OP</v>
      </c>
      <c r="C468" s="1478" t="str">
        <f>Info!$B$8</f>
        <v>00100</v>
      </c>
      <c r="D468" s="1474" t="s">
        <v>256</v>
      </c>
      <c r="E468" s="1474" t="s">
        <v>95</v>
      </c>
      <c r="F468" s="1478" t="s">
        <v>593</v>
      </c>
      <c r="G468" s="1478" t="s">
        <v>593</v>
      </c>
      <c r="H468" s="1474" t="s">
        <v>1653</v>
      </c>
      <c r="I468" s="1478" t="s">
        <v>913</v>
      </c>
      <c r="J468" s="1478"/>
      <c r="K468" s="1475" t="s">
        <v>848</v>
      </c>
      <c r="L468" s="1474" t="s">
        <v>45</v>
      </c>
      <c r="M468" s="1476" t="s">
        <v>842</v>
      </c>
      <c r="N468" s="1477" t="s">
        <v>1692</v>
      </c>
      <c r="O468" s="1479">
        <v>299</v>
      </c>
      <c r="P468" s="1479"/>
      <c r="Q468" s="1142">
        <f t="shared" si="127"/>
        <v>299</v>
      </c>
      <c r="R468" s="1143">
        <f>IFERROR(VLOOKUP(CONCATENATE(E468,G468),'LAC 103'!$A$12:$O$95,11,FALSE),0)</f>
        <v>2.4831562090749175</v>
      </c>
      <c r="S468" s="1144">
        <f>IFERROR(VLOOKUP(CONCATENATE($E468,$G468),'LAC 103'!$A$12:$O$95,12,FALSE),0)</f>
        <v>3.07</v>
      </c>
      <c r="T468" s="1144">
        <f>IFERROR(VLOOKUP(CONCATENATE($E468,$G468),'LAC 103'!$A$12:$O$95,13,FALSE),0)</f>
        <v>1.92</v>
      </c>
      <c r="U468" s="1144">
        <f>IFERROR(VLOOKUP(CONCATENATE($E468,$G468),'LAC 103'!$A$12:$O$95,14,FALSE),0)</f>
        <v>0</v>
      </c>
      <c r="V468" s="1144">
        <f>IFERROR(VLOOKUP(CONCATENATE($E468,$G468),'LAC 103'!$A$12:$O$95,15,FALSE),0)</f>
        <v>0</v>
      </c>
      <c r="W468" s="1145" t="str">
        <f>IFERROR(VLOOKUP(CONCATENATE($B468,$N468),'LAC 103'!$AI:$AQ,9,FALSE),"")</f>
        <v>Costs</v>
      </c>
      <c r="X468" s="1146">
        <f t="shared" si="132"/>
        <v>2.4831562090749175</v>
      </c>
      <c r="Y468" s="1143">
        <f t="shared" si="133"/>
        <v>742.46370651340033</v>
      </c>
      <c r="Z468" s="1147">
        <f t="shared" si="134"/>
        <v>917.93</v>
      </c>
      <c r="AA468" s="1144">
        <f t="shared" si="135"/>
        <v>574.07999999999993</v>
      </c>
      <c r="AB468" s="1144">
        <f t="shared" si="136"/>
        <v>0</v>
      </c>
      <c r="AC468" s="1144">
        <f t="shared" si="137"/>
        <v>0</v>
      </c>
      <c r="AD468" s="1148">
        <f t="shared" si="128"/>
        <v>742.46370651340033</v>
      </c>
      <c r="AE468" s="1487">
        <v>0</v>
      </c>
      <c r="AF468" s="1145">
        <f t="shared" si="138"/>
        <v>742.46370651340033</v>
      </c>
      <c r="AG468" s="1149">
        <f>IFERROR(VLOOKUP(CONCATENATE($L468,$N468),'Drop List'!$G$23:$K$87,2,FALSE),0)</f>
        <v>0.69340000000000002</v>
      </c>
      <c r="AH468" s="1150">
        <f>IFERROR(VLOOKUP(CONCATENATE($L468,$N468),'Drop List'!$G$23:$K$87,3,FALSE),0)</f>
        <v>0.30659999999999998</v>
      </c>
      <c r="AI468" s="1150">
        <f>IFERROR(VLOOKUP(CONCATENATE($L468,$N468),'Drop List'!$G$23:$K$87,4,FALSE),0)</f>
        <v>0</v>
      </c>
      <c r="AJ468" s="1151">
        <f>IFERROR(VLOOKUP(CONCATENATE($L468,$N468),'Drop List'!$G$23:$K$87,5,FALSE),0)</f>
        <v>0</v>
      </c>
      <c r="AK468" s="1152">
        <f t="shared" si="139"/>
        <v>514.82433409639179</v>
      </c>
      <c r="AL468" s="1153">
        <f t="shared" si="140"/>
        <v>227.63937241700853</v>
      </c>
      <c r="AM468" s="1153">
        <f t="shared" si="141"/>
        <v>0</v>
      </c>
      <c r="AN468" s="1145">
        <f t="shared" si="142"/>
        <v>0</v>
      </c>
      <c r="AO468" s="1154">
        <f t="shared" si="143"/>
        <v>742.46370651340033</v>
      </c>
      <c r="AP468" s="1147">
        <f t="shared" si="129"/>
        <v>0</v>
      </c>
      <c r="AQ468" s="1144">
        <f t="shared" si="130"/>
        <v>0</v>
      </c>
      <c r="AR468" s="1146">
        <f t="shared" si="131"/>
        <v>742.46370651340033</v>
      </c>
    </row>
    <row r="469" spans="1:44" x14ac:dyDescent="0.2">
      <c r="A469" s="1141" t="str">
        <f t="shared" si="126"/>
        <v>1507</v>
      </c>
      <c r="B469" s="1141" t="str">
        <f>IFERROR(VLOOKUP(A469,'LAC 103'!A:C,3,FALSE),"")</f>
        <v>OP</v>
      </c>
      <c r="C469" s="1478" t="str">
        <f>Info!$B$8</f>
        <v>00100</v>
      </c>
      <c r="D469" s="1474" t="s">
        <v>256</v>
      </c>
      <c r="E469" s="1474" t="s">
        <v>95</v>
      </c>
      <c r="F469" s="1478" t="s">
        <v>593</v>
      </c>
      <c r="G469" s="1478" t="s">
        <v>593</v>
      </c>
      <c r="H469" s="1474" t="s">
        <v>1653</v>
      </c>
      <c r="I469" s="1478" t="s">
        <v>913</v>
      </c>
      <c r="J469" s="1478"/>
      <c r="K469" s="1475" t="s">
        <v>848</v>
      </c>
      <c r="L469" s="1474" t="s">
        <v>45</v>
      </c>
      <c r="M469" s="1476" t="s">
        <v>1698</v>
      </c>
      <c r="N469" s="1477" t="s">
        <v>1693</v>
      </c>
      <c r="O469" s="1479">
        <v>191</v>
      </c>
      <c r="P469" s="1479"/>
      <c r="Q469" s="1142">
        <f t="shared" si="127"/>
        <v>191</v>
      </c>
      <c r="R469" s="1143">
        <f>IFERROR(VLOOKUP(CONCATENATE(E469,G469),'LAC 103'!$A$12:$O$95,11,FALSE),0)</f>
        <v>2.4831562090749175</v>
      </c>
      <c r="S469" s="1144">
        <f>IFERROR(VLOOKUP(CONCATENATE($E469,$G469),'LAC 103'!$A$12:$O$95,12,FALSE),0)</f>
        <v>3.07</v>
      </c>
      <c r="T469" s="1144">
        <f>IFERROR(VLOOKUP(CONCATENATE($E469,$G469),'LAC 103'!$A$12:$O$95,13,FALSE),0)</f>
        <v>1.92</v>
      </c>
      <c r="U469" s="1144">
        <f>IFERROR(VLOOKUP(CONCATENATE($E469,$G469),'LAC 103'!$A$12:$O$95,14,FALSE),0)</f>
        <v>0</v>
      </c>
      <c r="V469" s="1144">
        <f>IFERROR(VLOOKUP(CONCATENATE($E469,$G469),'LAC 103'!$A$12:$O$95,15,FALSE),0)</f>
        <v>0</v>
      </c>
      <c r="W469" s="1145" t="str">
        <f>IFERROR(VLOOKUP(CONCATENATE($B469,$N469),'LAC 103'!$AI:$AQ,9,FALSE),"")</f>
        <v>Costs</v>
      </c>
      <c r="X469" s="1146">
        <f t="shared" si="132"/>
        <v>2.4831562090749175</v>
      </c>
      <c r="Y469" s="1143">
        <f t="shared" si="133"/>
        <v>474.28283593330923</v>
      </c>
      <c r="Z469" s="1147">
        <f t="shared" si="134"/>
        <v>586.37</v>
      </c>
      <c r="AA469" s="1144">
        <f t="shared" si="135"/>
        <v>366.71999999999997</v>
      </c>
      <c r="AB469" s="1144">
        <f t="shared" si="136"/>
        <v>0</v>
      </c>
      <c r="AC469" s="1144">
        <f t="shared" si="137"/>
        <v>0</v>
      </c>
      <c r="AD469" s="1148">
        <f t="shared" si="128"/>
        <v>474.28283593330923</v>
      </c>
      <c r="AE469" s="1487">
        <v>0</v>
      </c>
      <c r="AF469" s="1145">
        <f t="shared" si="138"/>
        <v>474.28283593330923</v>
      </c>
      <c r="AG469" s="1149">
        <f>IFERROR(VLOOKUP(CONCATENATE($L469,$N469),'Drop List'!$G$23:$K$87,2,FALSE),0)</f>
        <v>0.69340000000000002</v>
      </c>
      <c r="AH469" s="1150">
        <f>IFERROR(VLOOKUP(CONCATENATE($L469,$N469),'Drop List'!$G$23:$K$87,3,FALSE),0)</f>
        <v>0.30659999999999998</v>
      </c>
      <c r="AI469" s="1150">
        <f>IFERROR(VLOOKUP(CONCATENATE($L469,$N469),'Drop List'!$G$23:$K$87,4,FALSE),0)</f>
        <v>0</v>
      </c>
      <c r="AJ469" s="1151">
        <f>IFERROR(VLOOKUP(CONCATENATE($L469,$N469),'Drop List'!$G$23:$K$87,5,FALSE),0)</f>
        <v>0</v>
      </c>
      <c r="AK469" s="1152">
        <f t="shared" si="139"/>
        <v>328.86771843615662</v>
      </c>
      <c r="AL469" s="1153">
        <f t="shared" si="140"/>
        <v>145.41511749715261</v>
      </c>
      <c r="AM469" s="1153">
        <f t="shared" si="141"/>
        <v>0</v>
      </c>
      <c r="AN469" s="1145">
        <f t="shared" si="142"/>
        <v>0</v>
      </c>
      <c r="AO469" s="1154">
        <f t="shared" si="143"/>
        <v>474.28283593330923</v>
      </c>
      <c r="AP469" s="1147">
        <f t="shared" si="129"/>
        <v>0</v>
      </c>
      <c r="AQ469" s="1144">
        <f t="shared" si="130"/>
        <v>0</v>
      </c>
      <c r="AR469" s="1146">
        <f t="shared" si="131"/>
        <v>474.28283593330923</v>
      </c>
    </row>
    <row r="470" spans="1:44" x14ac:dyDescent="0.2">
      <c r="A470" s="1141" t="str">
        <f t="shared" si="126"/>
        <v>1507</v>
      </c>
      <c r="B470" s="1141" t="str">
        <f>IFERROR(VLOOKUP(A470,'LAC 103'!A:C,3,FALSE),"")</f>
        <v>OP</v>
      </c>
      <c r="C470" s="1478" t="str">
        <f>Info!$B$8</f>
        <v>00100</v>
      </c>
      <c r="D470" s="1474" t="s">
        <v>256</v>
      </c>
      <c r="E470" s="1474" t="s">
        <v>95</v>
      </c>
      <c r="F470" s="1478" t="s">
        <v>593</v>
      </c>
      <c r="G470" s="1478" t="s">
        <v>593</v>
      </c>
      <c r="H470" s="1474" t="s">
        <v>1656</v>
      </c>
      <c r="I470" s="1478" t="s">
        <v>809</v>
      </c>
      <c r="J470" s="1478" t="s">
        <v>123</v>
      </c>
      <c r="K470" s="1475" t="s">
        <v>847</v>
      </c>
      <c r="L470" s="1474" t="s">
        <v>582</v>
      </c>
      <c r="M470" s="1476" t="s">
        <v>841</v>
      </c>
      <c r="N470" s="1477" t="s">
        <v>1695</v>
      </c>
      <c r="O470" s="1479">
        <v>75</v>
      </c>
      <c r="P470" s="1479"/>
      <c r="Q470" s="1142">
        <f t="shared" si="127"/>
        <v>75</v>
      </c>
      <c r="R470" s="1143">
        <f>IFERROR(VLOOKUP(CONCATENATE(E470,G470),'LAC 103'!$A$12:$O$95,11,FALSE),0)</f>
        <v>2.4831562090749175</v>
      </c>
      <c r="S470" s="1144">
        <f>IFERROR(VLOOKUP(CONCATENATE($E470,$G470),'LAC 103'!$A$12:$O$95,12,FALSE),0)</f>
        <v>3.07</v>
      </c>
      <c r="T470" s="1144">
        <f>IFERROR(VLOOKUP(CONCATENATE($E470,$G470),'LAC 103'!$A$12:$O$95,13,FALSE),0)</f>
        <v>1.92</v>
      </c>
      <c r="U470" s="1144">
        <f>IFERROR(VLOOKUP(CONCATENATE($E470,$G470),'LAC 103'!$A$12:$O$95,14,FALSE),0)</f>
        <v>0</v>
      </c>
      <c r="V470" s="1144">
        <f>IFERROR(VLOOKUP(CONCATENATE($E470,$G470),'LAC 103'!$A$12:$O$95,15,FALSE),0)</f>
        <v>0</v>
      </c>
      <c r="W470" s="1145" t="str">
        <f>IFERROR(VLOOKUP(CONCATENATE($B470,$N470),'LAC 103'!$AI:$AQ,9,FALSE),"")</f>
        <v>Costs</v>
      </c>
      <c r="X470" s="1146">
        <f t="shared" si="132"/>
        <v>2.4831562090749175</v>
      </c>
      <c r="Y470" s="1143">
        <f t="shared" si="133"/>
        <v>186.2367156806188</v>
      </c>
      <c r="Z470" s="1147">
        <f t="shared" si="134"/>
        <v>230.25</v>
      </c>
      <c r="AA470" s="1144">
        <f t="shared" si="135"/>
        <v>144</v>
      </c>
      <c r="AB470" s="1144">
        <f t="shared" si="136"/>
        <v>0</v>
      </c>
      <c r="AC470" s="1144">
        <f t="shared" si="137"/>
        <v>0</v>
      </c>
      <c r="AD470" s="1148">
        <f t="shared" si="128"/>
        <v>186.2367156806188</v>
      </c>
      <c r="AE470" s="1487">
        <v>0</v>
      </c>
      <c r="AF470" s="1145">
        <f t="shared" si="138"/>
        <v>186.2367156806188</v>
      </c>
      <c r="AG470" s="1149">
        <f>IFERROR(VLOOKUP(CONCATENATE($L470,$N470),'Drop List'!$G$23:$K$87,2,FALSE),0)</f>
        <v>0.55000000000000004</v>
      </c>
      <c r="AH470" s="1150">
        <f>IFERROR(VLOOKUP(CONCATENATE($L470,$N470),'Drop List'!$G$23:$K$87,3,FALSE),0)</f>
        <v>0.44999999999999996</v>
      </c>
      <c r="AI470" s="1150">
        <f>IFERROR(VLOOKUP(CONCATENATE($L470,$N470),'Drop List'!$G$23:$K$87,4,FALSE),0)</f>
        <v>0</v>
      </c>
      <c r="AJ470" s="1151">
        <f>IFERROR(VLOOKUP(CONCATENATE($L470,$N470),'Drop List'!$G$23:$K$87,5,FALSE),0)</f>
        <v>0</v>
      </c>
      <c r="AK470" s="1152">
        <f t="shared" si="139"/>
        <v>102.43019362434035</v>
      </c>
      <c r="AL470" s="1153">
        <f t="shared" si="140"/>
        <v>83.806522056278453</v>
      </c>
      <c r="AM470" s="1153">
        <f t="shared" si="141"/>
        <v>0</v>
      </c>
      <c r="AN470" s="1145">
        <f t="shared" si="142"/>
        <v>0</v>
      </c>
      <c r="AO470" s="1154">
        <f t="shared" si="143"/>
        <v>186.2367156806188</v>
      </c>
      <c r="AP470" s="1147">
        <f t="shared" si="129"/>
        <v>0</v>
      </c>
      <c r="AQ470" s="1144">
        <f t="shared" si="130"/>
        <v>0</v>
      </c>
      <c r="AR470" s="1146">
        <f t="shared" si="131"/>
        <v>186.2367156806188</v>
      </c>
    </row>
    <row r="471" spans="1:44" x14ac:dyDescent="0.2">
      <c r="A471" s="1141" t="str">
        <f t="shared" si="126"/>
        <v>1507</v>
      </c>
      <c r="B471" s="1141" t="str">
        <f>IFERROR(VLOOKUP(A471,'LAC 103'!A:C,3,FALSE),"")</f>
        <v>OP</v>
      </c>
      <c r="C471" s="1478" t="str">
        <f>Info!$B$8</f>
        <v>00100</v>
      </c>
      <c r="D471" s="1474" t="s">
        <v>256</v>
      </c>
      <c r="E471" s="1474" t="s">
        <v>95</v>
      </c>
      <c r="F471" s="1478" t="s">
        <v>593</v>
      </c>
      <c r="G471" s="1478" t="s">
        <v>593</v>
      </c>
      <c r="H471" s="1474" t="s">
        <v>1656</v>
      </c>
      <c r="I471" s="1478" t="s">
        <v>809</v>
      </c>
      <c r="J471" s="1478"/>
      <c r="K471" s="1475" t="s">
        <v>847</v>
      </c>
      <c r="L471" s="1474" t="s">
        <v>582</v>
      </c>
      <c r="M471" s="1476" t="s">
        <v>840</v>
      </c>
      <c r="N471" s="1477" t="s">
        <v>1700</v>
      </c>
      <c r="O471" s="1479">
        <v>75</v>
      </c>
      <c r="P471" s="1479"/>
      <c r="Q471" s="1142">
        <f t="shared" si="127"/>
        <v>75</v>
      </c>
      <c r="R471" s="1143">
        <f>IFERROR(VLOOKUP(CONCATENATE(E471,G471),'LAC 103'!$A$12:$O$95,11,FALSE),0)</f>
        <v>2.4831562090749175</v>
      </c>
      <c r="S471" s="1144">
        <f>IFERROR(VLOOKUP(CONCATENATE($E471,$G471),'LAC 103'!$A$12:$O$95,12,FALSE),0)</f>
        <v>3.07</v>
      </c>
      <c r="T471" s="1144">
        <f>IFERROR(VLOOKUP(CONCATENATE($E471,$G471),'LAC 103'!$A$12:$O$95,13,FALSE),0)</f>
        <v>1.92</v>
      </c>
      <c r="U471" s="1144">
        <f>IFERROR(VLOOKUP(CONCATENATE($E471,$G471),'LAC 103'!$A$12:$O$95,14,FALSE),0)</f>
        <v>0</v>
      </c>
      <c r="V471" s="1144">
        <f>IFERROR(VLOOKUP(CONCATENATE($E471,$G471),'LAC 103'!$A$12:$O$95,15,FALSE),0)</f>
        <v>0</v>
      </c>
      <c r="W471" s="1145" t="str">
        <f>IFERROR(VLOOKUP(CONCATENATE($B471,$N471),'LAC 103'!$AI:$AQ,9,FALSE),"")</f>
        <v>P.C.</v>
      </c>
      <c r="X471" s="1146">
        <f t="shared" si="132"/>
        <v>1.92</v>
      </c>
      <c r="Y471" s="1143">
        <f t="shared" si="133"/>
        <v>186.2367156806188</v>
      </c>
      <c r="Z471" s="1147">
        <f t="shared" si="134"/>
        <v>230.25</v>
      </c>
      <c r="AA471" s="1144">
        <f t="shared" si="135"/>
        <v>144</v>
      </c>
      <c r="AB471" s="1144">
        <f t="shared" si="136"/>
        <v>0</v>
      </c>
      <c r="AC471" s="1144">
        <f t="shared" si="137"/>
        <v>0</v>
      </c>
      <c r="AD471" s="1148">
        <f t="shared" si="128"/>
        <v>144</v>
      </c>
      <c r="AE471" s="1487">
        <v>0</v>
      </c>
      <c r="AF471" s="1145">
        <f t="shared" si="138"/>
        <v>144</v>
      </c>
      <c r="AG471" s="1149">
        <f>IFERROR(VLOOKUP(CONCATENATE($L471,$N471),'Drop List'!$G$23:$K$87,2,FALSE),0)</f>
        <v>0.55000000000000004</v>
      </c>
      <c r="AH471" s="1150">
        <f>IFERROR(VLOOKUP(CONCATENATE($L471,$N471),'Drop List'!$G$23:$K$87,3,FALSE),0)</f>
        <v>0.44999999999999996</v>
      </c>
      <c r="AI471" s="1150">
        <f>IFERROR(VLOOKUP(CONCATENATE($L471,$N471),'Drop List'!$G$23:$K$87,4,FALSE),0)</f>
        <v>0</v>
      </c>
      <c r="AJ471" s="1151">
        <f>IFERROR(VLOOKUP(CONCATENATE($L471,$N471),'Drop List'!$G$23:$K$87,5,FALSE),0)</f>
        <v>0</v>
      </c>
      <c r="AK471" s="1152">
        <f t="shared" si="139"/>
        <v>79.2</v>
      </c>
      <c r="AL471" s="1153">
        <f t="shared" si="140"/>
        <v>64.8</v>
      </c>
      <c r="AM471" s="1153">
        <f t="shared" si="141"/>
        <v>0</v>
      </c>
      <c r="AN471" s="1145">
        <f t="shared" si="142"/>
        <v>0</v>
      </c>
      <c r="AO471" s="1154">
        <f t="shared" si="143"/>
        <v>144</v>
      </c>
      <c r="AP471" s="1147">
        <f t="shared" si="129"/>
        <v>0</v>
      </c>
      <c r="AQ471" s="1144">
        <f t="shared" si="130"/>
        <v>0</v>
      </c>
      <c r="AR471" s="1146">
        <f t="shared" si="131"/>
        <v>144</v>
      </c>
    </row>
    <row r="472" spans="1:44" x14ac:dyDescent="0.2">
      <c r="A472" s="1141" t="str">
        <f t="shared" si="126"/>
        <v>1507</v>
      </c>
      <c r="B472" s="1141" t="str">
        <f>IFERROR(VLOOKUP(A472,'LAC 103'!A:C,3,FALSE),"")</f>
        <v>OP</v>
      </c>
      <c r="C472" s="1478" t="str">
        <f>Info!$B$8</f>
        <v>00100</v>
      </c>
      <c r="D472" s="1474" t="s">
        <v>256</v>
      </c>
      <c r="E472" s="1474" t="s">
        <v>95</v>
      </c>
      <c r="F472" s="1478" t="s">
        <v>593</v>
      </c>
      <c r="G472" s="1478" t="s">
        <v>593</v>
      </c>
      <c r="H472" s="1474" t="s">
        <v>1656</v>
      </c>
      <c r="I472" s="1478" t="s">
        <v>809</v>
      </c>
      <c r="J472" s="1478"/>
      <c r="K472" s="1475" t="s">
        <v>847</v>
      </c>
      <c r="L472" s="1474" t="s">
        <v>582</v>
      </c>
      <c r="M472" s="1476" t="s">
        <v>842</v>
      </c>
      <c r="N472" s="1477" t="s">
        <v>1692</v>
      </c>
      <c r="O472" s="1479">
        <v>60</v>
      </c>
      <c r="P472" s="1479"/>
      <c r="Q472" s="1142">
        <f t="shared" si="127"/>
        <v>60</v>
      </c>
      <c r="R472" s="1143">
        <f>IFERROR(VLOOKUP(CONCATENATE(E472,G472),'LAC 103'!$A$12:$O$95,11,FALSE),0)</f>
        <v>2.4831562090749175</v>
      </c>
      <c r="S472" s="1144">
        <f>IFERROR(VLOOKUP(CONCATENATE($E472,$G472),'LAC 103'!$A$12:$O$95,12,FALSE),0)</f>
        <v>3.07</v>
      </c>
      <c r="T472" s="1144">
        <f>IFERROR(VLOOKUP(CONCATENATE($E472,$G472),'LAC 103'!$A$12:$O$95,13,FALSE),0)</f>
        <v>1.92</v>
      </c>
      <c r="U472" s="1144">
        <f>IFERROR(VLOOKUP(CONCATENATE($E472,$G472),'LAC 103'!$A$12:$O$95,14,FALSE),0)</f>
        <v>0</v>
      </c>
      <c r="V472" s="1144">
        <f>IFERROR(VLOOKUP(CONCATENATE($E472,$G472),'LAC 103'!$A$12:$O$95,15,FALSE),0)</f>
        <v>0</v>
      </c>
      <c r="W472" s="1145" t="str">
        <f>IFERROR(VLOOKUP(CONCATENATE($B472,$N472),'LAC 103'!$AI:$AQ,9,FALSE),"")</f>
        <v>Costs</v>
      </c>
      <c r="X472" s="1146">
        <f t="shared" si="132"/>
        <v>2.4831562090749175</v>
      </c>
      <c r="Y472" s="1143">
        <f t="shared" si="133"/>
        <v>148.98937254449504</v>
      </c>
      <c r="Z472" s="1147">
        <f t="shared" si="134"/>
        <v>184.2</v>
      </c>
      <c r="AA472" s="1144">
        <f t="shared" si="135"/>
        <v>115.19999999999999</v>
      </c>
      <c r="AB472" s="1144">
        <f t="shared" si="136"/>
        <v>0</v>
      </c>
      <c r="AC472" s="1144">
        <f t="shared" si="137"/>
        <v>0</v>
      </c>
      <c r="AD472" s="1148">
        <f t="shared" si="128"/>
        <v>148.98937254449504</v>
      </c>
      <c r="AE472" s="1487">
        <v>0</v>
      </c>
      <c r="AF472" s="1145">
        <f t="shared" si="138"/>
        <v>148.98937254449504</v>
      </c>
      <c r="AG472" s="1149">
        <f>IFERROR(VLOOKUP(CONCATENATE($L472,$N472),'Drop List'!$G$23:$K$87,2,FALSE),0)</f>
        <v>0.56200000000000006</v>
      </c>
      <c r="AH472" s="1150">
        <f>IFERROR(VLOOKUP(CONCATENATE($L472,$N472),'Drop List'!$G$23:$K$87,3,FALSE),0)</f>
        <v>0.43799999999999994</v>
      </c>
      <c r="AI472" s="1150">
        <f>IFERROR(VLOOKUP(CONCATENATE($L472,$N472),'Drop List'!$G$23:$K$87,4,FALSE),0)</f>
        <v>0</v>
      </c>
      <c r="AJ472" s="1151">
        <f>IFERROR(VLOOKUP(CONCATENATE($L472,$N472),'Drop List'!$G$23:$K$87,5,FALSE),0)</f>
        <v>0</v>
      </c>
      <c r="AK472" s="1152">
        <f t="shared" si="139"/>
        <v>83.732027370006222</v>
      </c>
      <c r="AL472" s="1153">
        <f t="shared" si="140"/>
        <v>65.257345174488819</v>
      </c>
      <c r="AM472" s="1153">
        <f t="shared" si="141"/>
        <v>0</v>
      </c>
      <c r="AN472" s="1145">
        <f t="shared" si="142"/>
        <v>0</v>
      </c>
      <c r="AO472" s="1154">
        <f t="shared" si="143"/>
        <v>148.98937254449504</v>
      </c>
      <c r="AP472" s="1147">
        <f t="shared" si="129"/>
        <v>0</v>
      </c>
      <c r="AQ472" s="1144">
        <f t="shared" si="130"/>
        <v>0</v>
      </c>
      <c r="AR472" s="1146">
        <f t="shared" si="131"/>
        <v>148.98937254449504</v>
      </c>
    </row>
    <row r="473" spans="1:44" x14ac:dyDescent="0.2">
      <c r="A473" s="1141" t="str">
        <f t="shared" si="126"/>
        <v>1507</v>
      </c>
      <c r="B473" s="1141" t="str">
        <f>IFERROR(VLOOKUP(A473,'LAC 103'!A:C,3,FALSE),"")</f>
        <v>OP</v>
      </c>
      <c r="C473" s="1478" t="str">
        <f>Info!$B$8</f>
        <v>00100</v>
      </c>
      <c r="D473" s="1474" t="s">
        <v>256</v>
      </c>
      <c r="E473" s="1474" t="s">
        <v>95</v>
      </c>
      <c r="F473" s="1478" t="s">
        <v>593</v>
      </c>
      <c r="G473" s="1478" t="s">
        <v>593</v>
      </c>
      <c r="H473" s="1474" t="s">
        <v>988</v>
      </c>
      <c r="I473" s="1478" t="s">
        <v>811</v>
      </c>
      <c r="J473" s="1478" t="s">
        <v>123</v>
      </c>
      <c r="K473" s="1475" t="s">
        <v>1654</v>
      </c>
      <c r="L473" s="1474" t="s">
        <v>332</v>
      </c>
      <c r="M473" s="1476" t="s">
        <v>1699</v>
      </c>
      <c r="N473" s="1477" t="s">
        <v>1694</v>
      </c>
      <c r="O473" s="1479">
        <v>1780</v>
      </c>
      <c r="P473" s="1479"/>
      <c r="Q473" s="1142">
        <f t="shared" si="127"/>
        <v>1780</v>
      </c>
      <c r="R473" s="1143">
        <f>IFERROR(VLOOKUP(CONCATENATE(E473,G473),'LAC 103'!$A$12:$O$95,11,FALSE),0)</f>
        <v>2.4831562090749175</v>
      </c>
      <c r="S473" s="1144">
        <f>IFERROR(VLOOKUP(CONCATENATE($E473,$G473),'LAC 103'!$A$12:$O$95,12,FALSE),0)</f>
        <v>3.07</v>
      </c>
      <c r="T473" s="1144">
        <f>IFERROR(VLOOKUP(CONCATENATE($E473,$G473),'LAC 103'!$A$12:$O$95,13,FALSE),0)</f>
        <v>1.92</v>
      </c>
      <c r="U473" s="1144">
        <f>IFERROR(VLOOKUP(CONCATENATE($E473,$G473),'LAC 103'!$A$12:$O$95,14,FALSE),0)</f>
        <v>0</v>
      </c>
      <c r="V473" s="1144">
        <f>IFERROR(VLOOKUP(CONCATENATE($E473,$G473),'LAC 103'!$A$12:$O$95,15,FALSE),0)</f>
        <v>0</v>
      </c>
      <c r="W473" s="1145" t="str">
        <f>IFERROR(VLOOKUP(CONCATENATE($B473,$N473),'LAC 103'!$AI:$AQ,9,FALSE),"")</f>
        <v>Costs</v>
      </c>
      <c r="X473" s="1146">
        <f t="shared" si="132"/>
        <v>2.4831562090749175</v>
      </c>
      <c r="Y473" s="1143">
        <f t="shared" si="133"/>
        <v>4420.018052153353</v>
      </c>
      <c r="Z473" s="1147">
        <f t="shared" si="134"/>
        <v>5464.5999999999995</v>
      </c>
      <c r="AA473" s="1144">
        <f t="shared" si="135"/>
        <v>3417.6</v>
      </c>
      <c r="AB473" s="1144">
        <f t="shared" si="136"/>
        <v>0</v>
      </c>
      <c r="AC473" s="1144">
        <f t="shared" si="137"/>
        <v>0</v>
      </c>
      <c r="AD473" s="1148">
        <f t="shared" si="128"/>
        <v>4420.018052153353</v>
      </c>
      <c r="AE473" s="1487">
        <v>0</v>
      </c>
      <c r="AF473" s="1145">
        <f t="shared" si="138"/>
        <v>4420.018052153353</v>
      </c>
      <c r="AG473" s="1149">
        <f>IFERROR(VLOOKUP(CONCATENATE($L473,$N473),'Drop List'!$G$23:$K$87,2,FALSE),0)</f>
        <v>0</v>
      </c>
      <c r="AH473" s="1150">
        <f>IFERROR(VLOOKUP(CONCATENATE($L473,$N473),'Drop List'!$G$23:$K$87,3,FALSE),0)</f>
        <v>0</v>
      </c>
      <c r="AI473" s="1150">
        <f>IFERROR(VLOOKUP(CONCATENATE($L473,$N473),'Drop List'!$G$23:$K$87,4,FALSE),0)</f>
        <v>0</v>
      </c>
      <c r="AJ473" s="1151">
        <f>IFERROR(VLOOKUP(CONCATENATE($L473,$N473),'Drop List'!$G$23:$K$87,5,FALSE),0)</f>
        <v>0</v>
      </c>
      <c r="AK473" s="1152">
        <f t="shared" si="139"/>
        <v>0</v>
      </c>
      <c r="AL473" s="1153">
        <f t="shared" si="140"/>
        <v>0</v>
      </c>
      <c r="AM473" s="1153">
        <f t="shared" si="141"/>
        <v>0</v>
      </c>
      <c r="AN473" s="1145">
        <f t="shared" si="142"/>
        <v>0</v>
      </c>
      <c r="AO473" s="1154">
        <f t="shared" si="143"/>
        <v>0</v>
      </c>
      <c r="AP473" s="1147">
        <f t="shared" si="129"/>
        <v>4420.018052153353</v>
      </c>
      <c r="AQ473" s="1144">
        <f t="shared" si="130"/>
        <v>0</v>
      </c>
      <c r="AR473" s="1146">
        <f t="shared" si="131"/>
        <v>4420.018052153353</v>
      </c>
    </row>
    <row r="474" spans="1:44" x14ac:dyDescent="0.2">
      <c r="A474" s="1141" t="str">
        <f t="shared" si="126"/>
        <v>1507</v>
      </c>
      <c r="B474" s="1141" t="str">
        <f>IFERROR(VLOOKUP(A474,'LAC 103'!A:C,3,FALSE),"")</f>
        <v>OP</v>
      </c>
      <c r="C474" s="1478" t="str">
        <f>Info!$B$8</f>
        <v>00100</v>
      </c>
      <c r="D474" s="1474" t="s">
        <v>256</v>
      </c>
      <c r="E474" s="1474" t="s">
        <v>95</v>
      </c>
      <c r="F474" s="1478" t="s">
        <v>593</v>
      </c>
      <c r="G474" s="1478" t="s">
        <v>593</v>
      </c>
      <c r="H474" s="1474" t="s">
        <v>988</v>
      </c>
      <c r="I474" s="1478" t="s">
        <v>811</v>
      </c>
      <c r="J474" s="1478"/>
      <c r="K474" s="1475" t="s">
        <v>1654</v>
      </c>
      <c r="L474" s="1474" t="s">
        <v>332</v>
      </c>
      <c r="M474" s="1476" t="s">
        <v>842</v>
      </c>
      <c r="N474" s="1477" t="s">
        <v>1692</v>
      </c>
      <c r="O474" s="1479">
        <v>1125</v>
      </c>
      <c r="P474" s="1479"/>
      <c r="Q474" s="1142">
        <f t="shared" si="127"/>
        <v>1125</v>
      </c>
      <c r="R474" s="1143">
        <f>IFERROR(VLOOKUP(CONCATENATE(E474,G474),'LAC 103'!$A$12:$O$95,11,FALSE),0)</f>
        <v>2.4831562090749175</v>
      </c>
      <c r="S474" s="1144">
        <f>IFERROR(VLOOKUP(CONCATENATE($E474,$G474),'LAC 103'!$A$12:$O$95,12,FALSE),0)</f>
        <v>3.07</v>
      </c>
      <c r="T474" s="1144">
        <f>IFERROR(VLOOKUP(CONCATENATE($E474,$G474),'LAC 103'!$A$12:$O$95,13,FALSE),0)</f>
        <v>1.92</v>
      </c>
      <c r="U474" s="1144">
        <f>IFERROR(VLOOKUP(CONCATENATE($E474,$G474),'LAC 103'!$A$12:$O$95,14,FALSE),0)</f>
        <v>0</v>
      </c>
      <c r="V474" s="1144">
        <f>IFERROR(VLOOKUP(CONCATENATE($E474,$G474),'LAC 103'!$A$12:$O$95,15,FALSE),0)</f>
        <v>0</v>
      </c>
      <c r="W474" s="1145" t="str">
        <f>IFERROR(VLOOKUP(CONCATENATE($B474,$N474),'LAC 103'!$AI:$AQ,9,FALSE),"")</f>
        <v>Costs</v>
      </c>
      <c r="X474" s="1146">
        <f t="shared" si="132"/>
        <v>2.4831562090749175</v>
      </c>
      <c r="Y474" s="1143">
        <f t="shared" si="133"/>
        <v>2793.5507352092823</v>
      </c>
      <c r="Z474" s="1147">
        <f t="shared" si="134"/>
        <v>3453.75</v>
      </c>
      <c r="AA474" s="1144">
        <f t="shared" si="135"/>
        <v>2160</v>
      </c>
      <c r="AB474" s="1144">
        <f t="shared" si="136"/>
        <v>0</v>
      </c>
      <c r="AC474" s="1144">
        <f t="shared" si="137"/>
        <v>0</v>
      </c>
      <c r="AD474" s="1148">
        <f t="shared" si="128"/>
        <v>2793.5507352092823</v>
      </c>
      <c r="AE474" s="1487">
        <v>0</v>
      </c>
      <c r="AF474" s="1145">
        <f t="shared" si="138"/>
        <v>2793.5507352092823</v>
      </c>
      <c r="AG474" s="1149">
        <f>IFERROR(VLOOKUP(CONCATENATE($L474,$N474),'Drop List'!$G$23:$K$87,2,FALSE),0)</f>
        <v>0</v>
      </c>
      <c r="AH474" s="1150">
        <f>IFERROR(VLOOKUP(CONCATENATE($L474,$N474),'Drop List'!$G$23:$K$87,3,FALSE),0)</f>
        <v>0</v>
      </c>
      <c r="AI474" s="1150">
        <f>IFERROR(VLOOKUP(CONCATENATE($L474,$N474),'Drop List'!$G$23:$K$87,4,FALSE),0)</f>
        <v>0</v>
      </c>
      <c r="AJ474" s="1151">
        <f>IFERROR(VLOOKUP(CONCATENATE($L474,$N474),'Drop List'!$G$23:$K$87,5,FALSE),0)</f>
        <v>0</v>
      </c>
      <c r="AK474" s="1152">
        <f t="shared" si="139"/>
        <v>0</v>
      </c>
      <c r="AL474" s="1153">
        <f t="shared" si="140"/>
        <v>0</v>
      </c>
      <c r="AM474" s="1153">
        <f t="shared" si="141"/>
        <v>0</v>
      </c>
      <c r="AN474" s="1145">
        <f t="shared" si="142"/>
        <v>0</v>
      </c>
      <c r="AO474" s="1154">
        <f t="shared" si="143"/>
        <v>0</v>
      </c>
      <c r="AP474" s="1147">
        <f t="shared" si="129"/>
        <v>2793.5507352092823</v>
      </c>
      <c r="AQ474" s="1144">
        <f t="shared" si="130"/>
        <v>0</v>
      </c>
      <c r="AR474" s="1146">
        <f t="shared" si="131"/>
        <v>2793.5507352092823</v>
      </c>
    </row>
    <row r="475" spans="1:44" x14ac:dyDescent="0.2">
      <c r="A475" s="1141" t="str">
        <f t="shared" si="126"/>
        <v>1507</v>
      </c>
      <c r="B475" s="1141" t="str">
        <f>IFERROR(VLOOKUP(A475,'LAC 103'!A:C,3,FALSE),"")</f>
        <v>OP</v>
      </c>
      <c r="C475" s="1478" t="str">
        <f>Info!$B$8</f>
        <v>00100</v>
      </c>
      <c r="D475" s="1474" t="s">
        <v>256</v>
      </c>
      <c r="E475" s="1474" t="s">
        <v>95</v>
      </c>
      <c r="F475" s="1478" t="s">
        <v>593</v>
      </c>
      <c r="G475" s="1478" t="s">
        <v>593</v>
      </c>
      <c r="H475" s="1474" t="s">
        <v>988</v>
      </c>
      <c r="I475" s="1478" t="s">
        <v>811</v>
      </c>
      <c r="J475" s="1478"/>
      <c r="K475" s="1475" t="s">
        <v>847</v>
      </c>
      <c r="L475" s="1474" t="s">
        <v>582</v>
      </c>
      <c r="M475" s="1476" t="s">
        <v>1699</v>
      </c>
      <c r="N475" s="1477" t="s">
        <v>1694</v>
      </c>
      <c r="O475" s="1479">
        <v>56730</v>
      </c>
      <c r="P475" s="1479"/>
      <c r="Q475" s="1142">
        <f t="shared" si="127"/>
        <v>56730</v>
      </c>
      <c r="R475" s="1143">
        <f>IFERROR(VLOOKUP(CONCATENATE(E475,G475),'LAC 103'!$A$12:$O$95,11,FALSE),0)</f>
        <v>2.4831562090749175</v>
      </c>
      <c r="S475" s="1144">
        <f>IFERROR(VLOOKUP(CONCATENATE($E475,$G475),'LAC 103'!$A$12:$O$95,12,FALSE),0)</f>
        <v>3.07</v>
      </c>
      <c r="T475" s="1144">
        <f>IFERROR(VLOOKUP(CONCATENATE($E475,$G475),'LAC 103'!$A$12:$O$95,13,FALSE),0)</f>
        <v>1.92</v>
      </c>
      <c r="U475" s="1144">
        <f>IFERROR(VLOOKUP(CONCATENATE($E475,$G475),'LAC 103'!$A$12:$O$95,14,FALSE),0)</f>
        <v>0</v>
      </c>
      <c r="V475" s="1144">
        <f>IFERROR(VLOOKUP(CONCATENATE($E475,$G475),'LAC 103'!$A$12:$O$95,15,FALSE),0)</f>
        <v>0</v>
      </c>
      <c r="W475" s="1145" t="str">
        <f>IFERROR(VLOOKUP(CONCATENATE($B475,$N475),'LAC 103'!$AI:$AQ,9,FALSE),"")</f>
        <v>Costs</v>
      </c>
      <c r="X475" s="1146">
        <f t="shared" si="132"/>
        <v>2.4831562090749175</v>
      </c>
      <c r="Y475" s="1143">
        <f t="shared" si="133"/>
        <v>140869.45174082008</v>
      </c>
      <c r="Z475" s="1147">
        <f t="shared" si="134"/>
        <v>174161.09999999998</v>
      </c>
      <c r="AA475" s="1144">
        <f t="shared" si="135"/>
        <v>108921.59999999999</v>
      </c>
      <c r="AB475" s="1144">
        <f t="shared" si="136"/>
        <v>0</v>
      </c>
      <c r="AC475" s="1144">
        <f t="shared" si="137"/>
        <v>0</v>
      </c>
      <c r="AD475" s="1148">
        <f t="shared" si="128"/>
        <v>140869.45174082008</v>
      </c>
      <c r="AE475" s="1487">
        <v>0</v>
      </c>
      <c r="AF475" s="1145">
        <f t="shared" si="138"/>
        <v>140869.45174082008</v>
      </c>
      <c r="AG475" s="1149">
        <f>IFERROR(VLOOKUP(CONCATENATE($L475,$N475),'Drop List'!$G$23:$K$87,2,FALSE),0)</f>
        <v>0.56200000000000006</v>
      </c>
      <c r="AH475" s="1150">
        <f>IFERROR(VLOOKUP(CONCATENATE($L475,$N475),'Drop List'!$G$23:$K$87,3,FALSE),0)</f>
        <v>0.43799999999999994</v>
      </c>
      <c r="AI475" s="1150">
        <f>IFERROR(VLOOKUP(CONCATENATE($L475,$N475),'Drop List'!$G$23:$K$87,4,FALSE),0)</f>
        <v>0</v>
      </c>
      <c r="AJ475" s="1151">
        <f>IFERROR(VLOOKUP(CONCATENATE($L475,$N475),'Drop List'!$G$23:$K$87,5,FALSE),0)</f>
        <v>0</v>
      </c>
      <c r="AK475" s="1152">
        <f t="shared" si="139"/>
        <v>79168.631878340893</v>
      </c>
      <c r="AL475" s="1153">
        <f t="shared" si="140"/>
        <v>61700.819862479184</v>
      </c>
      <c r="AM475" s="1153">
        <f t="shared" si="141"/>
        <v>0</v>
      </c>
      <c r="AN475" s="1145">
        <f t="shared" si="142"/>
        <v>0</v>
      </c>
      <c r="AO475" s="1154">
        <f t="shared" si="143"/>
        <v>140869.45174082008</v>
      </c>
      <c r="AP475" s="1147">
        <f t="shared" si="129"/>
        <v>0</v>
      </c>
      <c r="AQ475" s="1144">
        <f t="shared" si="130"/>
        <v>0</v>
      </c>
      <c r="AR475" s="1146">
        <f t="shared" si="131"/>
        <v>140869.45174082008</v>
      </c>
    </row>
    <row r="476" spans="1:44" x14ac:dyDescent="0.2">
      <c r="A476" s="1141" t="str">
        <f t="shared" si="126"/>
        <v>1507</v>
      </c>
      <c r="B476" s="1141" t="str">
        <f>IFERROR(VLOOKUP(A476,'LAC 103'!A:C,3,FALSE),"")</f>
        <v>OP</v>
      </c>
      <c r="C476" s="1478" t="str">
        <f>Info!$B$8</f>
        <v>00100</v>
      </c>
      <c r="D476" s="1474" t="s">
        <v>256</v>
      </c>
      <c r="E476" s="1474" t="s">
        <v>95</v>
      </c>
      <c r="F476" s="1478" t="s">
        <v>593</v>
      </c>
      <c r="G476" s="1478" t="s">
        <v>593</v>
      </c>
      <c r="H476" s="1474" t="s">
        <v>988</v>
      </c>
      <c r="I476" s="1478" t="s">
        <v>811</v>
      </c>
      <c r="J476" s="1478"/>
      <c r="K476" s="1475" t="s">
        <v>847</v>
      </c>
      <c r="L476" s="1474" t="s">
        <v>582</v>
      </c>
      <c r="M476" s="1476" t="s">
        <v>841</v>
      </c>
      <c r="N476" s="1477" t="s">
        <v>1695</v>
      </c>
      <c r="O476" s="1479">
        <v>21481</v>
      </c>
      <c r="P476" s="1479"/>
      <c r="Q476" s="1142">
        <f t="shared" si="127"/>
        <v>21481</v>
      </c>
      <c r="R476" s="1143">
        <f>IFERROR(VLOOKUP(CONCATENATE(E476,G476),'LAC 103'!$A$12:$O$95,11,FALSE),0)</f>
        <v>2.4831562090749175</v>
      </c>
      <c r="S476" s="1144">
        <f>IFERROR(VLOOKUP(CONCATENATE($E476,$G476),'LAC 103'!$A$12:$O$95,12,FALSE),0)</f>
        <v>3.07</v>
      </c>
      <c r="T476" s="1144">
        <f>IFERROR(VLOOKUP(CONCATENATE($E476,$G476),'LAC 103'!$A$12:$O$95,13,FALSE),0)</f>
        <v>1.92</v>
      </c>
      <c r="U476" s="1144">
        <f>IFERROR(VLOOKUP(CONCATENATE($E476,$G476),'LAC 103'!$A$12:$O$95,14,FALSE),0)</f>
        <v>0</v>
      </c>
      <c r="V476" s="1144">
        <f>IFERROR(VLOOKUP(CONCATENATE($E476,$G476),'LAC 103'!$A$12:$O$95,15,FALSE),0)</f>
        <v>0</v>
      </c>
      <c r="W476" s="1145" t="str">
        <f>IFERROR(VLOOKUP(CONCATENATE($B476,$N476),'LAC 103'!$AI:$AQ,9,FALSE),"")</f>
        <v>Costs</v>
      </c>
      <c r="X476" s="1146">
        <f t="shared" si="132"/>
        <v>2.4831562090749175</v>
      </c>
      <c r="Y476" s="1143">
        <f t="shared" si="133"/>
        <v>53340.678527138305</v>
      </c>
      <c r="Z476" s="1147">
        <f t="shared" si="134"/>
        <v>65946.67</v>
      </c>
      <c r="AA476" s="1144">
        <f t="shared" si="135"/>
        <v>41243.519999999997</v>
      </c>
      <c r="AB476" s="1144">
        <f t="shared" si="136"/>
        <v>0</v>
      </c>
      <c r="AC476" s="1144">
        <f t="shared" si="137"/>
        <v>0</v>
      </c>
      <c r="AD476" s="1148">
        <f t="shared" si="128"/>
        <v>53340.678527138305</v>
      </c>
      <c r="AE476" s="1487">
        <v>0</v>
      </c>
      <c r="AF476" s="1145">
        <f t="shared" si="138"/>
        <v>53340.678527138305</v>
      </c>
      <c r="AG476" s="1149">
        <f>IFERROR(VLOOKUP(CONCATENATE($L476,$N476),'Drop List'!$G$23:$K$87,2,FALSE),0)</f>
        <v>0.55000000000000004</v>
      </c>
      <c r="AH476" s="1150">
        <f>IFERROR(VLOOKUP(CONCATENATE($L476,$N476),'Drop List'!$G$23:$K$87,3,FALSE),0)</f>
        <v>0.44999999999999996</v>
      </c>
      <c r="AI476" s="1150">
        <f>IFERROR(VLOOKUP(CONCATENATE($L476,$N476),'Drop List'!$G$23:$K$87,4,FALSE),0)</f>
        <v>0</v>
      </c>
      <c r="AJ476" s="1151">
        <f>IFERROR(VLOOKUP(CONCATENATE($L476,$N476),'Drop List'!$G$23:$K$87,5,FALSE),0)</f>
        <v>0</v>
      </c>
      <c r="AK476" s="1152">
        <f t="shared" si="139"/>
        <v>29337.373189926071</v>
      </c>
      <c r="AL476" s="1153">
        <f t="shared" si="140"/>
        <v>24003.305337212234</v>
      </c>
      <c r="AM476" s="1153">
        <f t="shared" si="141"/>
        <v>0</v>
      </c>
      <c r="AN476" s="1145">
        <f t="shared" si="142"/>
        <v>0</v>
      </c>
      <c r="AO476" s="1154">
        <f t="shared" si="143"/>
        <v>53340.678527138305</v>
      </c>
      <c r="AP476" s="1147">
        <f t="shared" si="129"/>
        <v>0</v>
      </c>
      <c r="AQ476" s="1144">
        <f t="shared" si="130"/>
        <v>0</v>
      </c>
      <c r="AR476" s="1146">
        <f t="shared" si="131"/>
        <v>53340.678527138305</v>
      </c>
    </row>
    <row r="477" spans="1:44" x14ac:dyDescent="0.2">
      <c r="A477" s="1141" t="str">
        <f t="shared" si="126"/>
        <v>1507</v>
      </c>
      <c r="B477" s="1141" t="str">
        <f>IFERROR(VLOOKUP(A477,'LAC 103'!A:C,3,FALSE),"")</f>
        <v>OP</v>
      </c>
      <c r="C477" s="1478" t="str">
        <f>Info!$B$8</f>
        <v>00100</v>
      </c>
      <c r="D477" s="1474" t="s">
        <v>256</v>
      </c>
      <c r="E477" s="1474" t="s">
        <v>95</v>
      </c>
      <c r="F477" s="1478" t="s">
        <v>593</v>
      </c>
      <c r="G477" s="1478" t="s">
        <v>593</v>
      </c>
      <c r="H477" s="1474" t="s">
        <v>988</v>
      </c>
      <c r="I477" s="1478" t="s">
        <v>811</v>
      </c>
      <c r="J477" s="1478"/>
      <c r="K477" s="1475" t="s">
        <v>847</v>
      </c>
      <c r="L477" s="1474" t="s">
        <v>582</v>
      </c>
      <c r="M477" s="1476" t="s">
        <v>840</v>
      </c>
      <c r="N477" s="1477" t="s">
        <v>1700</v>
      </c>
      <c r="O477" s="1479">
        <v>23844</v>
      </c>
      <c r="P477" s="1479"/>
      <c r="Q477" s="1142">
        <f t="shared" si="127"/>
        <v>23844</v>
      </c>
      <c r="R477" s="1143">
        <f>IFERROR(VLOOKUP(CONCATENATE(E477,G477),'LAC 103'!$A$12:$O$95,11,FALSE),0)</f>
        <v>2.4831562090749175</v>
      </c>
      <c r="S477" s="1144">
        <f>IFERROR(VLOOKUP(CONCATENATE($E477,$G477),'LAC 103'!$A$12:$O$95,12,FALSE),0)</f>
        <v>3.07</v>
      </c>
      <c r="T477" s="1144">
        <f>IFERROR(VLOOKUP(CONCATENATE($E477,$G477),'LAC 103'!$A$12:$O$95,13,FALSE),0)</f>
        <v>1.92</v>
      </c>
      <c r="U477" s="1144">
        <f>IFERROR(VLOOKUP(CONCATENATE($E477,$G477),'LAC 103'!$A$12:$O$95,14,FALSE),0)</f>
        <v>0</v>
      </c>
      <c r="V477" s="1144">
        <f>IFERROR(VLOOKUP(CONCATENATE($E477,$G477),'LAC 103'!$A$12:$O$95,15,FALSE),0)</f>
        <v>0</v>
      </c>
      <c r="W477" s="1145" t="str">
        <f>IFERROR(VLOOKUP(CONCATENATE($B477,$N477),'LAC 103'!$AI:$AQ,9,FALSE),"")</f>
        <v>P.C.</v>
      </c>
      <c r="X477" s="1146">
        <f t="shared" si="132"/>
        <v>1.92</v>
      </c>
      <c r="Y477" s="1143">
        <f t="shared" si="133"/>
        <v>59208.376649182333</v>
      </c>
      <c r="Z477" s="1147">
        <f t="shared" si="134"/>
        <v>73201.08</v>
      </c>
      <c r="AA477" s="1144">
        <f t="shared" si="135"/>
        <v>45780.479999999996</v>
      </c>
      <c r="AB477" s="1144">
        <f t="shared" si="136"/>
        <v>0</v>
      </c>
      <c r="AC477" s="1144">
        <f t="shared" si="137"/>
        <v>0</v>
      </c>
      <c r="AD477" s="1148">
        <f t="shared" si="128"/>
        <v>45780.479999999996</v>
      </c>
      <c r="AE477" s="1487">
        <v>0</v>
      </c>
      <c r="AF477" s="1145">
        <f t="shared" si="138"/>
        <v>45780.479999999996</v>
      </c>
      <c r="AG477" s="1149">
        <f>IFERROR(VLOOKUP(CONCATENATE($L477,$N477),'Drop List'!$G$23:$K$87,2,FALSE),0)</f>
        <v>0.55000000000000004</v>
      </c>
      <c r="AH477" s="1150">
        <f>IFERROR(VLOOKUP(CONCATENATE($L477,$N477),'Drop List'!$G$23:$K$87,3,FALSE),0)</f>
        <v>0.44999999999999996</v>
      </c>
      <c r="AI477" s="1150">
        <f>IFERROR(VLOOKUP(CONCATENATE($L477,$N477),'Drop List'!$G$23:$K$87,4,FALSE),0)</f>
        <v>0</v>
      </c>
      <c r="AJ477" s="1151">
        <f>IFERROR(VLOOKUP(CONCATENATE($L477,$N477),'Drop List'!$G$23:$K$87,5,FALSE),0)</f>
        <v>0</v>
      </c>
      <c r="AK477" s="1152">
        <f t="shared" si="139"/>
        <v>25179.263999999999</v>
      </c>
      <c r="AL477" s="1153">
        <f t="shared" si="140"/>
        <v>20601.215999999997</v>
      </c>
      <c r="AM477" s="1153">
        <f t="shared" si="141"/>
        <v>0</v>
      </c>
      <c r="AN477" s="1145">
        <f t="shared" si="142"/>
        <v>0</v>
      </c>
      <c r="AO477" s="1154">
        <f t="shared" si="143"/>
        <v>45780.479999999996</v>
      </c>
      <c r="AP477" s="1147">
        <f t="shared" si="129"/>
        <v>0</v>
      </c>
      <c r="AQ477" s="1144">
        <f t="shared" si="130"/>
        <v>0</v>
      </c>
      <c r="AR477" s="1146">
        <f t="shared" si="131"/>
        <v>45780.479999999996</v>
      </c>
    </row>
    <row r="478" spans="1:44" x14ac:dyDescent="0.2">
      <c r="A478" s="1141" t="str">
        <f t="shared" si="126"/>
        <v>1507</v>
      </c>
      <c r="B478" s="1141" t="str">
        <f>IFERROR(VLOOKUP(A478,'LAC 103'!A:C,3,FALSE),"")</f>
        <v>OP</v>
      </c>
      <c r="C478" s="1478" t="str">
        <f>Info!$B$8</f>
        <v>00100</v>
      </c>
      <c r="D478" s="1474" t="s">
        <v>256</v>
      </c>
      <c r="E478" s="1474" t="s">
        <v>95</v>
      </c>
      <c r="F478" s="1478" t="s">
        <v>593</v>
      </c>
      <c r="G478" s="1478" t="s">
        <v>593</v>
      </c>
      <c r="H478" s="1474" t="s">
        <v>988</v>
      </c>
      <c r="I478" s="1478" t="s">
        <v>811</v>
      </c>
      <c r="J478" s="1478"/>
      <c r="K478" s="1475" t="s">
        <v>847</v>
      </c>
      <c r="L478" s="1474" t="s">
        <v>582</v>
      </c>
      <c r="M478" s="1476" t="s">
        <v>842</v>
      </c>
      <c r="N478" s="1477" t="s">
        <v>1692</v>
      </c>
      <c r="O478" s="1479">
        <v>52138</v>
      </c>
      <c r="P478" s="1479"/>
      <c r="Q478" s="1142">
        <f t="shared" si="127"/>
        <v>52138</v>
      </c>
      <c r="R478" s="1143">
        <f>IFERROR(VLOOKUP(CONCATENATE(E478,G478),'LAC 103'!$A$12:$O$95,11,FALSE),0)</f>
        <v>2.4831562090749175</v>
      </c>
      <c r="S478" s="1144">
        <f>IFERROR(VLOOKUP(CONCATENATE($E478,$G478),'LAC 103'!$A$12:$O$95,12,FALSE),0)</f>
        <v>3.07</v>
      </c>
      <c r="T478" s="1144">
        <f>IFERROR(VLOOKUP(CONCATENATE($E478,$G478),'LAC 103'!$A$12:$O$95,13,FALSE),0)</f>
        <v>1.92</v>
      </c>
      <c r="U478" s="1144">
        <f>IFERROR(VLOOKUP(CONCATENATE($E478,$G478),'LAC 103'!$A$12:$O$95,14,FALSE),0)</f>
        <v>0</v>
      </c>
      <c r="V478" s="1144">
        <f>IFERROR(VLOOKUP(CONCATENATE($E478,$G478),'LAC 103'!$A$12:$O$95,15,FALSE),0)</f>
        <v>0</v>
      </c>
      <c r="W478" s="1145" t="str">
        <f>IFERROR(VLOOKUP(CONCATENATE($B478,$N478),'LAC 103'!$AI:$AQ,9,FALSE),"")</f>
        <v>Costs</v>
      </c>
      <c r="X478" s="1146">
        <f t="shared" si="132"/>
        <v>2.4831562090749175</v>
      </c>
      <c r="Y478" s="1143">
        <f t="shared" si="133"/>
        <v>129466.79842874805</v>
      </c>
      <c r="Z478" s="1147">
        <f t="shared" si="134"/>
        <v>160063.66</v>
      </c>
      <c r="AA478" s="1144">
        <f t="shared" si="135"/>
        <v>100104.95999999999</v>
      </c>
      <c r="AB478" s="1144">
        <f t="shared" si="136"/>
        <v>0</v>
      </c>
      <c r="AC478" s="1144">
        <f t="shared" si="137"/>
        <v>0</v>
      </c>
      <c r="AD478" s="1148">
        <f t="shared" si="128"/>
        <v>129466.79842874805</v>
      </c>
      <c r="AE478" s="1487">
        <v>0</v>
      </c>
      <c r="AF478" s="1145">
        <f t="shared" si="138"/>
        <v>129466.79842874805</v>
      </c>
      <c r="AG478" s="1149">
        <f>IFERROR(VLOOKUP(CONCATENATE($L478,$N478),'Drop List'!$G$23:$K$87,2,FALSE),0)</f>
        <v>0.56200000000000006</v>
      </c>
      <c r="AH478" s="1150">
        <f>IFERROR(VLOOKUP(CONCATENATE($L478,$N478),'Drop List'!$G$23:$K$87,3,FALSE),0)</f>
        <v>0.43799999999999994</v>
      </c>
      <c r="AI478" s="1150">
        <f>IFERROR(VLOOKUP(CONCATENATE($L478,$N478),'Drop List'!$G$23:$K$87,4,FALSE),0)</f>
        <v>0</v>
      </c>
      <c r="AJ478" s="1151">
        <f>IFERROR(VLOOKUP(CONCATENATE($L478,$N478),'Drop List'!$G$23:$K$87,5,FALSE),0)</f>
        <v>0</v>
      </c>
      <c r="AK478" s="1152">
        <f t="shared" si="139"/>
        <v>72760.340716956416</v>
      </c>
      <c r="AL478" s="1153">
        <f t="shared" si="140"/>
        <v>56706.457711791641</v>
      </c>
      <c r="AM478" s="1153">
        <f t="shared" si="141"/>
        <v>0</v>
      </c>
      <c r="AN478" s="1145">
        <f t="shared" si="142"/>
        <v>0</v>
      </c>
      <c r="AO478" s="1154">
        <f t="shared" si="143"/>
        <v>129466.79842874806</v>
      </c>
      <c r="AP478" s="1147">
        <f t="shared" si="129"/>
        <v>0</v>
      </c>
      <c r="AQ478" s="1144">
        <f t="shared" si="130"/>
        <v>0</v>
      </c>
      <c r="AR478" s="1146">
        <f t="shared" si="131"/>
        <v>129466.79842874806</v>
      </c>
    </row>
    <row r="479" spans="1:44" x14ac:dyDescent="0.2">
      <c r="A479" s="1141" t="str">
        <f t="shared" si="126"/>
        <v>1507</v>
      </c>
      <c r="B479" s="1141" t="str">
        <f>IFERROR(VLOOKUP(A479,'LAC 103'!A:C,3,FALSE),"")</f>
        <v>OP</v>
      </c>
      <c r="C479" s="1478" t="str">
        <f>Info!$B$8</f>
        <v>00100</v>
      </c>
      <c r="D479" s="1474" t="s">
        <v>256</v>
      </c>
      <c r="E479" s="1474" t="s">
        <v>95</v>
      </c>
      <c r="F479" s="1478" t="s">
        <v>593</v>
      </c>
      <c r="G479" s="1478" t="s">
        <v>593</v>
      </c>
      <c r="H479" s="1474" t="s">
        <v>988</v>
      </c>
      <c r="I479" s="1478" t="s">
        <v>811</v>
      </c>
      <c r="J479" s="1478"/>
      <c r="K479" s="1475" t="s">
        <v>847</v>
      </c>
      <c r="L479" s="1474" t="s">
        <v>582</v>
      </c>
      <c r="M479" s="1476" t="s">
        <v>1698</v>
      </c>
      <c r="N479" s="1477" t="s">
        <v>1693</v>
      </c>
      <c r="O479" s="1479">
        <v>49544</v>
      </c>
      <c r="P479" s="1479"/>
      <c r="Q479" s="1142">
        <f t="shared" si="127"/>
        <v>49544</v>
      </c>
      <c r="R479" s="1143">
        <f>IFERROR(VLOOKUP(CONCATENATE(E479,G479),'LAC 103'!$A$12:$O$95,11,FALSE),0)</f>
        <v>2.4831562090749175</v>
      </c>
      <c r="S479" s="1144">
        <f>IFERROR(VLOOKUP(CONCATENATE($E479,$G479),'LAC 103'!$A$12:$O$95,12,FALSE),0)</f>
        <v>3.07</v>
      </c>
      <c r="T479" s="1144">
        <f>IFERROR(VLOOKUP(CONCATENATE($E479,$G479),'LAC 103'!$A$12:$O$95,13,FALSE),0)</f>
        <v>1.92</v>
      </c>
      <c r="U479" s="1144">
        <f>IFERROR(VLOOKUP(CONCATENATE($E479,$G479),'LAC 103'!$A$12:$O$95,14,FALSE),0)</f>
        <v>0</v>
      </c>
      <c r="V479" s="1144">
        <f>IFERROR(VLOOKUP(CONCATENATE($E479,$G479),'LAC 103'!$A$12:$O$95,15,FALSE),0)</f>
        <v>0</v>
      </c>
      <c r="W479" s="1145" t="str">
        <f>IFERROR(VLOOKUP(CONCATENATE($B479,$N479),'LAC 103'!$AI:$AQ,9,FALSE),"")</f>
        <v>Costs</v>
      </c>
      <c r="X479" s="1146">
        <f t="shared" si="132"/>
        <v>2.4831562090749175</v>
      </c>
      <c r="Y479" s="1143">
        <f t="shared" si="133"/>
        <v>123025.49122240771</v>
      </c>
      <c r="Z479" s="1147">
        <f t="shared" si="134"/>
        <v>152100.07999999999</v>
      </c>
      <c r="AA479" s="1144">
        <f t="shared" si="135"/>
        <v>95124.479999999996</v>
      </c>
      <c r="AB479" s="1144">
        <f t="shared" si="136"/>
        <v>0</v>
      </c>
      <c r="AC479" s="1144">
        <f t="shared" si="137"/>
        <v>0</v>
      </c>
      <c r="AD479" s="1148">
        <f t="shared" si="128"/>
        <v>123025.49122240771</v>
      </c>
      <c r="AE479" s="1487">
        <v>0</v>
      </c>
      <c r="AF479" s="1145">
        <f t="shared" si="138"/>
        <v>123025.49122240771</v>
      </c>
      <c r="AG479" s="1149">
        <f>IFERROR(VLOOKUP(CONCATENATE($L479,$N479),'Drop List'!$G$23:$K$87,2,FALSE),0)</f>
        <v>0.56200000000000006</v>
      </c>
      <c r="AH479" s="1150">
        <f>IFERROR(VLOOKUP(CONCATENATE($L479,$N479),'Drop List'!$G$23:$K$87,3,FALSE),0)</f>
        <v>0.43799999999999994</v>
      </c>
      <c r="AI479" s="1150">
        <f>IFERROR(VLOOKUP(CONCATENATE($L479,$N479),'Drop List'!$G$23:$K$87,4,FALSE),0)</f>
        <v>0</v>
      </c>
      <c r="AJ479" s="1151">
        <f>IFERROR(VLOOKUP(CONCATENATE($L479,$N479),'Drop List'!$G$23:$K$87,5,FALSE),0)</f>
        <v>0</v>
      </c>
      <c r="AK479" s="1152">
        <f t="shared" si="139"/>
        <v>69140.326066993148</v>
      </c>
      <c r="AL479" s="1153">
        <f t="shared" si="140"/>
        <v>53885.165155414572</v>
      </c>
      <c r="AM479" s="1153">
        <f t="shared" si="141"/>
        <v>0</v>
      </c>
      <c r="AN479" s="1145">
        <f t="shared" si="142"/>
        <v>0</v>
      </c>
      <c r="AO479" s="1154">
        <f t="shared" si="143"/>
        <v>123025.49122240773</v>
      </c>
      <c r="AP479" s="1147">
        <f t="shared" si="129"/>
        <v>0</v>
      </c>
      <c r="AQ479" s="1144">
        <f t="shared" si="130"/>
        <v>0</v>
      </c>
      <c r="AR479" s="1146">
        <f t="shared" si="131"/>
        <v>123025.49122240773</v>
      </c>
    </row>
    <row r="480" spans="1:44" x14ac:dyDescent="0.2">
      <c r="A480" s="1141" t="str">
        <f t="shared" si="126"/>
        <v>1507</v>
      </c>
      <c r="B480" s="1141" t="str">
        <f>IFERROR(VLOOKUP(A480,'LAC 103'!A:C,3,FALSE),"")</f>
        <v>OP</v>
      </c>
      <c r="C480" s="1478" t="str">
        <f>Info!$B$8</f>
        <v>00100</v>
      </c>
      <c r="D480" s="1474" t="s">
        <v>256</v>
      </c>
      <c r="E480" s="1474" t="s">
        <v>95</v>
      </c>
      <c r="F480" s="1478" t="s">
        <v>593</v>
      </c>
      <c r="G480" s="1478" t="s">
        <v>593</v>
      </c>
      <c r="H480" s="1474" t="s">
        <v>988</v>
      </c>
      <c r="I480" s="1478" t="s">
        <v>811</v>
      </c>
      <c r="J480" s="1478"/>
      <c r="K480" s="1475" t="s">
        <v>848</v>
      </c>
      <c r="L480" s="1474" t="s">
        <v>45</v>
      </c>
      <c r="M480" s="1476" t="s">
        <v>1699</v>
      </c>
      <c r="N480" s="1477" t="s">
        <v>1694</v>
      </c>
      <c r="O480" s="1479">
        <v>4340</v>
      </c>
      <c r="P480" s="1479"/>
      <c r="Q480" s="1142">
        <f t="shared" si="127"/>
        <v>4340</v>
      </c>
      <c r="R480" s="1143">
        <f>IFERROR(VLOOKUP(CONCATENATE(E480,G480),'LAC 103'!$A$12:$O$95,11,FALSE),0)</f>
        <v>2.4831562090749175</v>
      </c>
      <c r="S480" s="1144">
        <f>IFERROR(VLOOKUP(CONCATENATE($E480,$G480),'LAC 103'!$A$12:$O$95,12,FALSE),0)</f>
        <v>3.07</v>
      </c>
      <c r="T480" s="1144">
        <f>IFERROR(VLOOKUP(CONCATENATE($E480,$G480),'LAC 103'!$A$12:$O$95,13,FALSE),0)</f>
        <v>1.92</v>
      </c>
      <c r="U480" s="1144">
        <f>IFERROR(VLOOKUP(CONCATENATE($E480,$G480),'LAC 103'!$A$12:$O$95,14,FALSE),0)</f>
        <v>0</v>
      </c>
      <c r="V480" s="1144">
        <f>IFERROR(VLOOKUP(CONCATENATE($E480,$G480),'LAC 103'!$A$12:$O$95,15,FALSE),0)</f>
        <v>0</v>
      </c>
      <c r="W480" s="1145" t="str">
        <f>IFERROR(VLOOKUP(CONCATENATE($B480,$N480),'LAC 103'!$AI:$AQ,9,FALSE),"")</f>
        <v>Costs</v>
      </c>
      <c r="X480" s="1146">
        <f t="shared" si="132"/>
        <v>2.4831562090749175</v>
      </c>
      <c r="Y480" s="1143">
        <f t="shared" si="133"/>
        <v>10776.897947385141</v>
      </c>
      <c r="Z480" s="1147">
        <f t="shared" si="134"/>
        <v>13323.8</v>
      </c>
      <c r="AA480" s="1144">
        <f t="shared" si="135"/>
        <v>8332.7999999999993</v>
      </c>
      <c r="AB480" s="1144">
        <f t="shared" si="136"/>
        <v>0</v>
      </c>
      <c r="AC480" s="1144">
        <f t="shared" si="137"/>
        <v>0</v>
      </c>
      <c r="AD480" s="1148">
        <f t="shared" si="128"/>
        <v>10776.897947385141</v>
      </c>
      <c r="AE480" s="1487">
        <v>0</v>
      </c>
      <c r="AF480" s="1145">
        <f t="shared" si="138"/>
        <v>10776.897947385141</v>
      </c>
      <c r="AG480" s="1149">
        <f>IFERROR(VLOOKUP(CONCATENATE($L480,$N480),'Drop List'!$G$23:$K$87,2,FALSE),0)</f>
        <v>0.69340000000000002</v>
      </c>
      <c r="AH480" s="1150">
        <f>IFERROR(VLOOKUP(CONCATENATE($L480,$N480),'Drop List'!$G$23:$K$87,3,FALSE),0)</f>
        <v>0.30659999999999998</v>
      </c>
      <c r="AI480" s="1150">
        <f>IFERROR(VLOOKUP(CONCATENATE($L480,$N480),'Drop List'!$G$23:$K$87,4,FALSE),0)</f>
        <v>0</v>
      </c>
      <c r="AJ480" s="1151">
        <f>IFERROR(VLOOKUP(CONCATENATE($L480,$N480),'Drop List'!$G$23:$K$87,5,FALSE),0)</f>
        <v>0</v>
      </c>
      <c r="AK480" s="1152">
        <f t="shared" si="139"/>
        <v>7472.7010367168568</v>
      </c>
      <c r="AL480" s="1153">
        <f t="shared" si="140"/>
        <v>3304.1969106682841</v>
      </c>
      <c r="AM480" s="1153">
        <f t="shared" si="141"/>
        <v>0</v>
      </c>
      <c r="AN480" s="1145">
        <f t="shared" si="142"/>
        <v>0</v>
      </c>
      <c r="AO480" s="1154">
        <f t="shared" si="143"/>
        <v>10776.897947385141</v>
      </c>
      <c r="AP480" s="1147">
        <f t="shared" si="129"/>
        <v>0</v>
      </c>
      <c r="AQ480" s="1144">
        <f t="shared" si="130"/>
        <v>0</v>
      </c>
      <c r="AR480" s="1146">
        <f t="shared" si="131"/>
        <v>10776.897947385141</v>
      </c>
    </row>
    <row r="481" spans="1:44" x14ac:dyDescent="0.2">
      <c r="A481" s="1141" t="str">
        <f t="shared" si="126"/>
        <v>1507</v>
      </c>
      <c r="B481" s="1141" t="str">
        <f>IFERROR(VLOOKUP(A481,'LAC 103'!A:C,3,FALSE),"")</f>
        <v>OP</v>
      </c>
      <c r="C481" s="1478" t="str">
        <f>Info!$B$8</f>
        <v>00100</v>
      </c>
      <c r="D481" s="1474" t="s">
        <v>256</v>
      </c>
      <c r="E481" s="1474" t="s">
        <v>95</v>
      </c>
      <c r="F481" s="1478" t="s">
        <v>593</v>
      </c>
      <c r="G481" s="1478" t="s">
        <v>593</v>
      </c>
      <c r="H481" s="1474" t="s">
        <v>988</v>
      </c>
      <c r="I481" s="1478" t="s">
        <v>811</v>
      </c>
      <c r="J481" s="1478"/>
      <c r="K481" s="1475" t="s">
        <v>848</v>
      </c>
      <c r="L481" s="1474" t="s">
        <v>45</v>
      </c>
      <c r="M481" s="1476" t="s">
        <v>841</v>
      </c>
      <c r="N481" s="1477" t="s">
        <v>1695</v>
      </c>
      <c r="O481" s="1479">
        <v>1413</v>
      </c>
      <c r="P481" s="1479"/>
      <c r="Q481" s="1142">
        <f t="shared" si="127"/>
        <v>1413</v>
      </c>
      <c r="R481" s="1143">
        <f>IFERROR(VLOOKUP(CONCATENATE(E481,G481),'LAC 103'!$A$12:$O$95,11,FALSE),0)</f>
        <v>2.4831562090749175</v>
      </c>
      <c r="S481" s="1144">
        <f>IFERROR(VLOOKUP(CONCATENATE($E481,$G481),'LAC 103'!$A$12:$O$95,12,FALSE),0)</f>
        <v>3.07</v>
      </c>
      <c r="T481" s="1144">
        <f>IFERROR(VLOOKUP(CONCATENATE($E481,$G481),'LAC 103'!$A$12:$O$95,13,FALSE),0)</f>
        <v>1.92</v>
      </c>
      <c r="U481" s="1144">
        <f>IFERROR(VLOOKUP(CONCATENATE($E481,$G481),'LAC 103'!$A$12:$O$95,14,FALSE),0)</f>
        <v>0</v>
      </c>
      <c r="V481" s="1144">
        <f>IFERROR(VLOOKUP(CONCATENATE($E481,$G481),'LAC 103'!$A$12:$O$95,15,FALSE),0)</f>
        <v>0</v>
      </c>
      <c r="W481" s="1145" t="str">
        <f>IFERROR(VLOOKUP(CONCATENATE($B481,$N481),'LAC 103'!$AI:$AQ,9,FALSE),"")</f>
        <v>Costs</v>
      </c>
      <c r="X481" s="1146">
        <f t="shared" si="132"/>
        <v>2.4831562090749175</v>
      </c>
      <c r="Y481" s="1143">
        <f t="shared" si="133"/>
        <v>3508.6997234228584</v>
      </c>
      <c r="Z481" s="1147">
        <f t="shared" si="134"/>
        <v>4337.91</v>
      </c>
      <c r="AA481" s="1144">
        <f t="shared" si="135"/>
        <v>2712.96</v>
      </c>
      <c r="AB481" s="1144">
        <f t="shared" si="136"/>
        <v>0</v>
      </c>
      <c r="AC481" s="1144">
        <f t="shared" si="137"/>
        <v>0</v>
      </c>
      <c r="AD481" s="1148">
        <f t="shared" si="128"/>
        <v>3508.6997234228584</v>
      </c>
      <c r="AE481" s="1487">
        <v>0</v>
      </c>
      <c r="AF481" s="1145">
        <f t="shared" si="138"/>
        <v>3508.6997234228584</v>
      </c>
      <c r="AG481" s="1149">
        <f>IFERROR(VLOOKUP(CONCATENATE($L481,$N481),'Drop List'!$G$23:$K$87,2,FALSE),0)</f>
        <v>0.68500000000000005</v>
      </c>
      <c r="AH481" s="1150">
        <f>IFERROR(VLOOKUP(CONCATENATE($L481,$N481),'Drop List'!$G$23:$K$87,3,FALSE),0)</f>
        <v>0.31499999999999995</v>
      </c>
      <c r="AI481" s="1150">
        <f>IFERROR(VLOOKUP(CONCATENATE($L481,$N481),'Drop List'!$G$23:$K$87,4,FALSE),0)</f>
        <v>0</v>
      </c>
      <c r="AJ481" s="1151">
        <f>IFERROR(VLOOKUP(CONCATENATE($L481,$N481),'Drop List'!$G$23:$K$87,5,FALSE),0)</f>
        <v>0</v>
      </c>
      <c r="AK481" s="1152">
        <f t="shared" si="139"/>
        <v>2403.4593105446584</v>
      </c>
      <c r="AL481" s="1153">
        <f t="shared" si="140"/>
        <v>1105.2404128782002</v>
      </c>
      <c r="AM481" s="1153">
        <f t="shared" si="141"/>
        <v>0</v>
      </c>
      <c r="AN481" s="1145">
        <f t="shared" si="142"/>
        <v>0</v>
      </c>
      <c r="AO481" s="1154">
        <f t="shared" si="143"/>
        <v>3508.6997234228584</v>
      </c>
      <c r="AP481" s="1147">
        <f t="shared" si="129"/>
        <v>0</v>
      </c>
      <c r="AQ481" s="1144">
        <f t="shared" si="130"/>
        <v>0</v>
      </c>
      <c r="AR481" s="1146">
        <f t="shared" si="131"/>
        <v>3508.6997234228584</v>
      </c>
    </row>
    <row r="482" spans="1:44" x14ac:dyDescent="0.2">
      <c r="A482" s="1141" t="str">
        <f t="shared" si="126"/>
        <v>1507</v>
      </c>
      <c r="B482" s="1141" t="str">
        <f>IFERROR(VLOOKUP(A482,'LAC 103'!A:C,3,FALSE),"")</f>
        <v>OP</v>
      </c>
      <c r="C482" s="1478" t="str">
        <f>Info!$B$8</f>
        <v>00100</v>
      </c>
      <c r="D482" s="1474" t="s">
        <v>256</v>
      </c>
      <c r="E482" s="1474" t="s">
        <v>95</v>
      </c>
      <c r="F482" s="1478" t="s">
        <v>593</v>
      </c>
      <c r="G482" s="1478" t="s">
        <v>593</v>
      </c>
      <c r="H482" s="1474" t="s">
        <v>988</v>
      </c>
      <c r="I482" s="1478" t="s">
        <v>811</v>
      </c>
      <c r="J482" s="1478"/>
      <c r="K482" s="1475" t="s">
        <v>848</v>
      </c>
      <c r="L482" s="1474" t="s">
        <v>45</v>
      </c>
      <c r="M482" s="1476" t="s">
        <v>840</v>
      </c>
      <c r="N482" s="1477" t="s">
        <v>1700</v>
      </c>
      <c r="O482" s="1479">
        <v>2684</v>
      </c>
      <c r="P482" s="1479"/>
      <c r="Q482" s="1142">
        <f t="shared" si="127"/>
        <v>2684</v>
      </c>
      <c r="R482" s="1143">
        <f>IFERROR(VLOOKUP(CONCATENATE(E482,G482),'LAC 103'!$A$12:$O$95,11,FALSE),0)</f>
        <v>2.4831562090749175</v>
      </c>
      <c r="S482" s="1144">
        <f>IFERROR(VLOOKUP(CONCATENATE($E482,$G482),'LAC 103'!$A$12:$O$95,12,FALSE),0)</f>
        <v>3.07</v>
      </c>
      <c r="T482" s="1144">
        <f>IFERROR(VLOOKUP(CONCATENATE($E482,$G482),'LAC 103'!$A$12:$O$95,13,FALSE),0)</f>
        <v>1.92</v>
      </c>
      <c r="U482" s="1144">
        <f>IFERROR(VLOOKUP(CONCATENATE($E482,$G482),'LAC 103'!$A$12:$O$95,14,FALSE),0)</f>
        <v>0</v>
      </c>
      <c r="V482" s="1144">
        <f>IFERROR(VLOOKUP(CONCATENATE($E482,$G482),'LAC 103'!$A$12:$O$95,15,FALSE),0)</f>
        <v>0</v>
      </c>
      <c r="W482" s="1145" t="str">
        <f>IFERROR(VLOOKUP(CONCATENATE($B482,$N482),'LAC 103'!$AI:$AQ,9,FALSE),"")</f>
        <v>P.C.</v>
      </c>
      <c r="X482" s="1146">
        <f t="shared" si="132"/>
        <v>1.92</v>
      </c>
      <c r="Y482" s="1143">
        <f t="shared" si="133"/>
        <v>6664.7912651570787</v>
      </c>
      <c r="Z482" s="1147">
        <f t="shared" si="134"/>
        <v>8239.8799999999992</v>
      </c>
      <c r="AA482" s="1144">
        <f t="shared" si="135"/>
        <v>5153.28</v>
      </c>
      <c r="AB482" s="1144">
        <f t="shared" si="136"/>
        <v>0</v>
      </c>
      <c r="AC482" s="1144">
        <f t="shared" si="137"/>
        <v>0</v>
      </c>
      <c r="AD482" s="1148">
        <f t="shared" si="128"/>
        <v>5153.28</v>
      </c>
      <c r="AE482" s="1487">
        <v>0</v>
      </c>
      <c r="AF482" s="1145">
        <f t="shared" si="138"/>
        <v>5153.28</v>
      </c>
      <c r="AG482" s="1149">
        <f>IFERROR(VLOOKUP(CONCATENATE($L482,$N482),'Drop List'!$G$23:$K$87,2,FALSE),0)</f>
        <v>0.68500000000000005</v>
      </c>
      <c r="AH482" s="1150">
        <f>IFERROR(VLOOKUP(CONCATENATE($L482,$N482),'Drop List'!$G$23:$K$87,3,FALSE),0)</f>
        <v>0.31499999999999995</v>
      </c>
      <c r="AI482" s="1150">
        <f>IFERROR(VLOOKUP(CONCATENATE($L482,$N482),'Drop List'!$G$23:$K$87,4,FALSE),0)</f>
        <v>0</v>
      </c>
      <c r="AJ482" s="1151">
        <f>IFERROR(VLOOKUP(CONCATENATE($L482,$N482),'Drop List'!$G$23:$K$87,5,FALSE),0)</f>
        <v>0</v>
      </c>
      <c r="AK482" s="1152">
        <f t="shared" si="139"/>
        <v>3529.9967999999999</v>
      </c>
      <c r="AL482" s="1153">
        <f t="shared" si="140"/>
        <v>1623.2831999999996</v>
      </c>
      <c r="AM482" s="1153">
        <f t="shared" si="141"/>
        <v>0</v>
      </c>
      <c r="AN482" s="1145">
        <f t="shared" si="142"/>
        <v>0</v>
      </c>
      <c r="AO482" s="1154">
        <f t="shared" si="143"/>
        <v>5153.28</v>
      </c>
      <c r="AP482" s="1147">
        <f t="shared" si="129"/>
        <v>0</v>
      </c>
      <c r="AQ482" s="1144">
        <f t="shared" si="130"/>
        <v>0</v>
      </c>
      <c r="AR482" s="1146">
        <f t="shared" si="131"/>
        <v>5153.28</v>
      </c>
    </row>
    <row r="483" spans="1:44" x14ac:dyDescent="0.2">
      <c r="A483" s="1141" t="str">
        <f t="shared" si="126"/>
        <v>1507</v>
      </c>
      <c r="B483" s="1141" t="str">
        <f>IFERROR(VLOOKUP(A483,'LAC 103'!A:C,3,FALSE),"")</f>
        <v>OP</v>
      </c>
      <c r="C483" s="1478" t="str">
        <f>Info!$B$8</f>
        <v>00100</v>
      </c>
      <c r="D483" s="1474" t="s">
        <v>256</v>
      </c>
      <c r="E483" s="1474" t="s">
        <v>95</v>
      </c>
      <c r="F483" s="1478" t="s">
        <v>593</v>
      </c>
      <c r="G483" s="1478" t="s">
        <v>593</v>
      </c>
      <c r="H483" s="1474" t="s">
        <v>988</v>
      </c>
      <c r="I483" s="1478" t="s">
        <v>811</v>
      </c>
      <c r="J483" s="1478"/>
      <c r="K483" s="1475" t="s">
        <v>848</v>
      </c>
      <c r="L483" s="1474" t="s">
        <v>45</v>
      </c>
      <c r="M483" s="1476" t="s">
        <v>842</v>
      </c>
      <c r="N483" s="1477" t="s">
        <v>1692</v>
      </c>
      <c r="O483" s="1479">
        <v>3390</v>
      </c>
      <c r="P483" s="1479"/>
      <c r="Q483" s="1142">
        <f t="shared" si="127"/>
        <v>3390</v>
      </c>
      <c r="R483" s="1143">
        <f>IFERROR(VLOOKUP(CONCATENATE(E483,G483),'LAC 103'!$A$12:$O$95,11,FALSE),0)</f>
        <v>2.4831562090749175</v>
      </c>
      <c r="S483" s="1144">
        <f>IFERROR(VLOOKUP(CONCATENATE($E483,$G483),'LAC 103'!$A$12:$O$95,12,FALSE),0)</f>
        <v>3.07</v>
      </c>
      <c r="T483" s="1144">
        <f>IFERROR(VLOOKUP(CONCATENATE($E483,$G483),'LAC 103'!$A$12:$O$95,13,FALSE),0)</f>
        <v>1.92</v>
      </c>
      <c r="U483" s="1144">
        <f>IFERROR(VLOOKUP(CONCATENATE($E483,$G483),'LAC 103'!$A$12:$O$95,14,FALSE),0)</f>
        <v>0</v>
      </c>
      <c r="V483" s="1144">
        <f>IFERROR(VLOOKUP(CONCATENATE($E483,$G483),'LAC 103'!$A$12:$O$95,15,FALSE),0)</f>
        <v>0</v>
      </c>
      <c r="W483" s="1145" t="str">
        <f>IFERROR(VLOOKUP(CONCATENATE($B483,$N483),'LAC 103'!$AI:$AQ,9,FALSE),"")</f>
        <v>Costs</v>
      </c>
      <c r="X483" s="1146">
        <f t="shared" si="132"/>
        <v>2.4831562090749175</v>
      </c>
      <c r="Y483" s="1143">
        <f t="shared" si="133"/>
        <v>8417.8995487639695</v>
      </c>
      <c r="Z483" s="1147">
        <f t="shared" si="134"/>
        <v>10407.299999999999</v>
      </c>
      <c r="AA483" s="1144">
        <f t="shared" si="135"/>
        <v>6508.8</v>
      </c>
      <c r="AB483" s="1144">
        <f t="shared" si="136"/>
        <v>0</v>
      </c>
      <c r="AC483" s="1144">
        <f t="shared" si="137"/>
        <v>0</v>
      </c>
      <c r="AD483" s="1148">
        <f t="shared" si="128"/>
        <v>8417.8995487639695</v>
      </c>
      <c r="AE483" s="1487">
        <v>0</v>
      </c>
      <c r="AF483" s="1145">
        <f t="shared" si="138"/>
        <v>8417.8995487639695</v>
      </c>
      <c r="AG483" s="1149">
        <f>IFERROR(VLOOKUP(CONCATENATE($L483,$N483),'Drop List'!$G$23:$K$87,2,FALSE),0)</f>
        <v>0.69340000000000002</v>
      </c>
      <c r="AH483" s="1150">
        <f>IFERROR(VLOOKUP(CONCATENATE($L483,$N483),'Drop List'!$G$23:$K$87,3,FALSE),0)</f>
        <v>0.30659999999999998</v>
      </c>
      <c r="AI483" s="1150">
        <f>IFERROR(VLOOKUP(CONCATENATE($L483,$N483),'Drop List'!$G$23:$K$87,4,FALSE),0)</f>
        <v>0</v>
      </c>
      <c r="AJ483" s="1151">
        <f>IFERROR(VLOOKUP(CONCATENATE($L483,$N483),'Drop List'!$G$23:$K$87,5,FALSE),0)</f>
        <v>0</v>
      </c>
      <c r="AK483" s="1152">
        <f t="shared" si="139"/>
        <v>5836.9715471129366</v>
      </c>
      <c r="AL483" s="1153">
        <f t="shared" si="140"/>
        <v>2580.9280016510329</v>
      </c>
      <c r="AM483" s="1153">
        <f t="shared" si="141"/>
        <v>0</v>
      </c>
      <c r="AN483" s="1145">
        <f t="shared" si="142"/>
        <v>0</v>
      </c>
      <c r="AO483" s="1154">
        <f t="shared" si="143"/>
        <v>8417.8995487639695</v>
      </c>
      <c r="AP483" s="1147">
        <f t="shared" si="129"/>
        <v>0</v>
      </c>
      <c r="AQ483" s="1144">
        <f t="shared" si="130"/>
        <v>0</v>
      </c>
      <c r="AR483" s="1146">
        <f t="shared" si="131"/>
        <v>8417.8995487639695</v>
      </c>
    </row>
    <row r="484" spans="1:44" x14ac:dyDescent="0.2">
      <c r="A484" s="1141" t="str">
        <f t="shared" si="126"/>
        <v>1507</v>
      </c>
      <c r="B484" s="1141" t="str">
        <f>IFERROR(VLOOKUP(A484,'LAC 103'!A:C,3,FALSE),"")</f>
        <v>OP</v>
      </c>
      <c r="C484" s="1478" t="str">
        <f>Info!$B$8</f>
        <v>00100</v>
      </c>
      <c r="D484" s="1474" t="s">
        <v>256</v>
      </c>
      <c r="E484" s="1474" t="s">
        <v>95</v>
      </c>
      <c r="F484" s="1478" t="s">
        <v>593</v>
      </c>
      <c r="G484" s="1478" t="s">
        <v>593</v>
      </c>
      <c r="H484" s="1474" t="s">
        <v>988</v>
      </c>
      <c r="I484" s="1478" t="s">
        <v>811</v>
      </c>
      <c r="J484" s="1478"/>
      <c r="K484" s="1475" t="s">
        <v>848</v>
      </c>
      <c r="L484" s="1474" t="s">
        <v>45</v>
      </c>
      <c r="M484" s="1476" t="s">
        <v>1698</v>
      </c>
      <c r="N484" s="1477" t="s">
        <v>1693</v>
      </c>
      <c r="O484" s="1479">
        <v>2382</v>
      </c>
      <c r="P484" s="1479"/>
      <c r="Q484" s="1142">
        <f t="shared" si="127"/>
        <v>2382</v>
      </c>
      <c r="R484" s="1143">
        <f>IFERROR(VLOOKUP(CONCATENATE(E484,G484),'LAC 103'!$A$12:$O$95,11,FALSE),0)</f>
        <v>2.4831562090749175</v>
      </c>
      <c r="S484" s="1144">
        <f>IFERROR(VLOOKUP(CONCATENATE($E484,$G484),'LAC 103'!$A$12:$O$95,12,FALSE),0)</f>
        <v>3.07</v>
      </c>
      <c r="T484" s="1144">
        <f>IFERROR(VLOOKUP(CONCATENATE($E484,$G484),'LAC 103'!$A$12:$O$95,13,FALSE),0)</f>
        <v>1.92</v>
      </c>
      <c r="U484" s="1144">
        <f>IFERROR(VLOOKUP(CONCATENATE($E484,$G484),'LAC 103'!$A$12:$O$95,14,FALSE),0)</f>
        <v>0</v>
      </c>
      <c r="V484" s="1144">
        <f>IFERROR(VLOOKUP(CONCATENATE($E484,$G484),'LAC 103'!$A$12:$O$95,15,FALSE),0)</f>
        <v>0</v>
      </c>
      <c r="W484" s="1145" t="str">
        <f>IFERROR(VLOOKUP(CONCATENATE($B484,$N484),'LAC 103'!$AI:$AQ,9,FALSE),"")</f>
        <v>Costs</v>
      </c>
      <c r="X484" s="1146">
        <f t="shared" si="132"/>
        <v>2.4831562090749175</v>
      </c>
      <c r="Y484" s="1143">
        <f t="shared" si="133"/>
        <v>5914.8780900164538</v>
      </c>
      <c r="Z484" s="1147">
        <f t="shared" si="134"/>
        <v>7312.74</v>
      </c>
      <c r="AA484" s="1144">
        <f t="shared" si="135"/>
        <v>4573.4399999999996</v>
      </c>
      <c r="AB484" s="1144">
        <f t="shared" si="136"/>
        <v>0</v>
      </c>
      <c r="AC484" s="1144">
        <f t="shared" si="137"/>
        <v>0</v>
      </c>
      <c r="AD484" s="1148">
        <f t="shared" si="128"/>
        <v>5914.8780900164538</v>
      </c>
      <c r="AE484" s="1487">
        <v>0</v>
      </c>
      <c r="AF484" s="1145">
        <f t="shared" si="138"/>
        <v>5914.8780900164538</v>
      </c>
      <c r="AG484" s="1149">
        <f>IFERROR(VLOOKUP(CONCATENATE($L484,$N484),'Drop List'!$G$23:$K$87,2,FALSE),0)</f>
        <v>0.69340000000000002</v>
      </c>
      <c r="AH484" s="1150">
        <f>IFERROR(VLOOKUP(CONCATENATE($L484,$N484),'Drop List'!$G$23:$K$87,3,FALSE),0)</f>
        <v>0.30659999999999998</v>
      </c>
      <c r="AI484" s="1150">
        <f>IFERROR(VLOOKUP(CONCATENATE($L484,$N484),'Drop List'!$G$23:$K$87,4,FALSE),0)</f>
        <v>0</v>
      </c>
      <c r="AJ484" s="1151">
        <f>IFERROR(VLOOKUP(CONCATENATE($L484,$N484),'Drop List'!$G$23:$K$87,5,FALSE),0)</f>
        <v>0</v>
      </c>
      <c r="AK484" s="1152">
        <f t="shared" si="139"/>
        <v>4101.3764676174096</v>
      </c>
      <c r="AL484" s="1153">
        <f t="shared" si="140"/>
        <v>1813.5016223990447</v>
      </c>
      <c r="AM484" s="1153">
        <f t="shared" si="141"/>
        <v>0</v>
      </c>
      <c r="AN484" s="1145">
        <f t="shared" si="142"/>
        <v>0</v>
      </c>
      <c r="AO484" s="1154">
        <f t="shared" si="143"/>
        <v>5914.8780900164547</v>
      </c>
      <c r="AP484" s="1147">
        <f t="shared" si="129"/>
        <v>0</v>
      </c>
      <c r="AQ484" s="1144">
        <f t="shared" si="130"/>
        <v>0</v>
      </c>
      <c r="AR484" s="1146">
        <f t="shared" si="131"/>
        <v>5914.8780900164547</v>
      </c>
    </row>
    <row r="485" spans="1:44" x14ac:dyDescent="0.2">
      <c r="A485" s="1141" t="str">
        <f t="shared" si="126"/>
        <v>1507</v>
      </c>
      <c r="B485" s="1141" t="str">
        <f>IFERROR(VLOOKUP(A485,'LAC 103'!A:C,3,FALSE),"")</f>
        <v>OP</v>
      </c>
      <c r="C485" s="1478" t="str">
        <f>Info!$B$8</f>
        <v>00100</v>
      </c>
      <c r="D485" s="1474" t="s">
        <v>256</v>
      </c>
      <c r="E485" s="1474" t="s">
        <v>95</v>
      </c>
      <c r="F485" s="1478" t="s">
        <v>593</v>
      </c>
      <c r="G485" s="1478" t="s">
        <v>593</v>
      </c>
      <c r="H485" s="1474" t="s">
        <v>988</v>
      </c>
      <c r="I485" s="1478" t="s">
        <v>811</v>
      </c>
      <c r="J485" s="1478"/>
      <c r="K485" s="1475" t="s">
        <v>849</v>
      </c>
      <c r="L485" s="1474" t="s">
        <v>77</v>
      </c>
      <c r="M485" s="1476" t="s">
        <v>841</v>
      </c>
      <c r="N485" s="1477" t="s">
        <v>1695</v>
      </c>
      <c r="O485" s="1479">
        <v>30</v>
      </c>
      <c r="P485" s="1479"/>
      <c r="Q485" s="1142">
        <f t="shared" si="127"/>
        <v>30</v>
      </c>
      <c r="R485" s="1143">
        <f>IFERROR(VLOOKUP(CONCATENATE(E485,G485),'LAC 103'!$A$12:$O$95,11,FALSE),0)</f>
        <v>2.4831562090749175</v>
      </c>
      <c r="S485" s="1144">
        <f>IFERROR(VLOOKUP(CONCATENATE($E485,$G485),'LAC 103'!$A$12:$O$95,12,FALSE),0)</f>
        <v>3.07</v>
      </c>
      <c r="T485" s="1144">
        <f>IFERROR(VLOOKUP(CONCATENATE($E485,$G485),'LAC 103'!$A$12:$O$95,13,FALSE),0)</f>
        <v>1.92</v>
      </c>
      <c r="U485" s="1144">
        <f>IFERROR(VLOOKUP(CONCATENATE($E485,$G485),'LAC 103'!$A$12:$O$95,14,FALSE),0)</f>
        <v>0</v>
      </c>
      <c r="V485" s="1144">
        <f>IFERROR(VLOOKUP(CONCATENATE($E485,$G485),'LAC 103'!$A$12:$O$95,15,FALSE),0)</f>
        <v>0</v>
      </c>
      <c r="W485" s="1145" t="str">
        <f>IFERROR(VLOOKUP(CONCATENATE($B485,$N485),'LAC 103'!$AI:$AQ,9,FALSE),"")</f>
        <v>Costs</v>
      </c>
      <c r="X485" s="1146">
        <f t="shared" si="132"/>
        <v>2.4831562090749175</v>
      </c>
      <c r="Y485" s="1143">
        <f t="shared" si="133"/>
        <v>74.49468627224752</v>
      </c>
      <c r="Z485" s="1147">
        <f t="shared" si="134"/>
        <v>92.1</v>
      </c>
      <c r="AA485" s="1144">
        <f t="shared" si="135"/>
        <v>57.599999999999994</v>
      </c>
      <c r="AB485" s="1144">
        <f t="shared" si="136"/>
        <v>0</v>
      </c>
      <c r="AC485" s="1144">
        <f t="shared" si="137"/>
        <v>0</v>
      </c>
      <c r="AD485" s="1148">
        <f t="shared" si="128"/>
        <v>74.49468627224752</v>
      </c>
      <c r="AE485" s="1487">
        <v>0</v>
      </c>
      <c r="AF485" s="1145">
        <f t="shared" si="138"/>
        <v>74.49468627224752</v>
      </c>
      <c r="AG485" s="1149">
        <f>IFERROR(VLOOKUP(CONCATENATE($L485,$N485),'Drop List'!$G$23:$K$87,2,FALSE),0)</f>
        <v>0.9</v>
      </c>
      <c r="AH485" s="1150">
        <f>IFERROR(VLOOKUP(CONCATENATE($L485,$N485),'Drop List'!$G$23:$K$87,3,FALSE),0)</f>
        <v>0</v>
      </c>
      <c r="AI485" s="1150">
        <f>IFERROR(VLOOKUP(CONCATENATE($L485,$N485),'Drop List'!$G$23:$K$87,4,FALSE),0)</f>
        <v>0.1</v>
      </c>
      <c r="AJ485" s="1151">
        <f>IFERROR(VLOOKUP(CONCATENATE($L485,$N485),'Drop List'!$G$23:$K$87,5,FALSE),0)</f>
        <v>0</v>
      </c>
      <c r="AK485" s="1152">
        <f t="shared" si="139"/>
        <v>67.045217645022774</v>
      </c>
      <c r="AL485" s="1153">
        <f t="shared" si="140"/>
        <v>0</v>
      </c>
      <c r="AM485" s="1153">
        <f t="shared" si="141"/>
        <v>7.4494686272247526</v>
      </c>
      <c r="AN485" s="1145">
        <f t="shared" si="142"/>
        <v>0</v>
      </c>
      <c r="AO485" s="1154">
        <f t="shared" si="143"/>
        <v>74.49468627224752</v>
      </c>
      <c r="AP485" s="1147">
        <f t="shared" si="129"/>
        <v>0</v>
      </c>
      <c r="AQ485" s="1144">
        <f t="shared" si="130"/>
        <v>0</v>
      </c>
      <c r="AR485" s="1146">
        <f t="shared" si="131"/>
        <v>74.49468627224752</v>
      </c>
    </row>
    <row r="486" spans="1:44" x14ac:dyDescent="0.2">
      <c r="A486" s="1141" t="str">
        <f t="shared" si="126"/>
        <v>1507</v>
      </c>
      <c r="B486" s="1141" t="str">
        <f>IFERROR(VLOOKUP(A486,'LAC 103'!A:C,3,FALSE),"")</f>
        <v>OP</v>
      </c>
      <c r="C486" s="1478" t="str">
        <f>Info!$B$8</f>
        <v>00100</v>
      </c>
      <c r="D486" s="1474" t="s">
        <v>256</v>
      </c>
      <c r="E486" s="1474" t="s">
        <v>95</v>
      </c>
      <c r="F486" s="1478" t="s">
        <v>593</v>
      </c>
      <c r="G486" s="1478" t="s">
        <v>593</v>
      </c>
      <c r="H486" s="1474" t="s">
        <v>988</v>
      </c>
      <c r="I486" s="1478" t="s">
        <v>811</v>
      </c>
      <c r="J486" s="1478"/>
      <c r="K486" s="1475" t="s">
        <v>849</v>
      </c>
      <c r="L486" s="1474" t="s">
        <v>77</v>
      </c>
      <c r="M486" s="1476" t="s">
        <v>840</v>
      </c>
      <c r="N486" s="1477" t="s">
        <v>1700</v>
      </c>
      <c r="O486" s="1479">
        <v>876</v>
      </c>
      <c r="P486" s="1479"/>
      <c r="Q486" s="1142">
        <f t="shared" si="127"/>
        <v>876</v>
      </c>
      <c r="R486" s="1143">
        <f>IFERROR(VLOOKUP(CONCATENATE(E486,G486),'LAC 103'!$A$12:$O$95,11,FALSE),0)</f>
        <v>2.4831562090749175</v>
      </c>
      <c r="S486" s="1144">
        <f>IFERROR(VLOOKUP(CONCATENATE($E486,$G486),'LAC 103'!$A$12:$O$95,12,FALSE),0)</f>
        <v>3.07</v>
      </c>
      <c r="T486" s="1144">
        <f>IFERROR(VLOOKUP(CONCATENATE($E486,$G486),'LAC 103'!$A$12:$O$95,13,FALSE),0)</f>
        <v>1.92</v>
      </c>
      <c r="U486" s="1144">
        <f>IFERROR(VLOOKUP(CONCATENATE($E486,$G486),'LAC 103'!$A$12:$O$95,14,FALSE),0)</f>
        <v>0</v>
      </c>
      <c r="V486" s="1144">
        <f>IFERROR(VLOOKUP(CONCATENATE($E486,$G486),'LAC 103'!$A$12:$O$95,15,FALSE),0)</f>
        <v>0</v>
      </c>
      <c r="W486" s="1145" t="str">
        <f>IFERROR(VLOOKUP(CONCATENATE($B486,$N486),'LAC 103'!$AI:$AQ,9,FALSE),"")</f>
        <v>P.C.</v>
      </c>
      <c r="X486" s="1146">
        <f t="shared" si="132"/>
        <v>1.92</v>
      </c>
      <c r="Y486" s="1143">
        <f t="shared" si="133"/>
        <v>2175.2448391496278</v>
      </c>
      <c r="Z486" s="1147">
        <f t="shared" si="134"/>
        <v>2689.3199999999997</v>
      </c>
      <c r="AA486" s="1144">
        <f t="shared" si="135"/>
        <v>1681.9199999999998</v>
      </c>
      <c r="AB486" s="1144">
        <f t="shared" si="136"/>
        <v>0</v>
      </c>
      <c r="AC486" s="1144">
        <f t="shared" si="137"/>
        <v>0</v>
      </c>
      <c r="AD486" s="1148">
        <f t="shared" si="128"/>
        <v>1681.9199999999998</v>
      </c>
      <c r="AE486" s="1487">
        <v>0</v>
      </c>
      <c r="AF486" s="1145">
        <f t="shared" si="138"/>
        <v>1681.9199999999998</v>
      </c>
      <c r="AG486" s="1149">
        <f>IFERROR(VLOOKUP(CONCATENATE($L486,$N486),'Drop List'!$G$23:$K$87,2,FALSE),0)</f>
        <v>0.9</v>
      </c>
      <c r="AH486" s="1150">
        <f>IFERROR(VLOOKUP(CONCATENATE($L486,$N486),'Drop List'!$G$23:$K$87,3,FALSE),0)</f>
        <v>0</v>
      </c>
      <c r="AI486" s="1150">
        <f>IFERROR(VLOOKUP(CONCATENATE($L486,$N486),'Drop List'!$G$23:$K$87,4,FALSE),0)</f>
        <v>0.1</v>
      </c>
      <c r="AJ486" s="1151">
        <f>IFERROR(VLOOKUP(CONCATENATE($L486,$N486),'Drop List'!$G$23:$K$87,5,FALSE),0)</f>
        <v>0</v>
      </c>
      <c r="AK486" s="1152">
        <f t="shared" si="139"/>
        <v>1513.7279999999998</v>
      </c>
      <c r="AL486" s="1153">
        <f t="shared" si="140"/>
        <v>0</v>
      </c>
      <c r="AM486" s="1153">
        <f t="shared" si="141"/>
        <v>168.19200000000001</v>
      </c>
      <c r="AN486" s="1145">
        <f t="shared" si="142"/>
        <v>0</v>
      </c>
      <c r="AO486" s="1154">
        <f t="shared" si="143"/>
        <v>1681.9199999999998</v>
      </c>
      <c r="AP486" s="1147">
        <f t="shared" si="129"/>
        <v>0</v>
      </c>
      <c r="AQ486" s="1144">
        <f t="shared" si="130"/>
        <v>0</v>
      </c>
      <c r="AR486" s="1146">
        <f t="shared" si="131"/>
        <v>1681.9199999999998</v>
      </c>
    </row>
    <row r="487" spans="1:44" x14ac:dyDescent="0.2">
      <c r="A487" s="1141" t="str">
        <f t="shared" si="126"/>
        <v>1507</v>
      </c>
      <c r="B487" s="1141" t="str">
        <f>IFERROR(VLOOKUP(A487,'LAC 103'!A:C,3,FALSE),"")</f>
        <v>OP</v>
      </c>
      <c r="C487" s="1478" t="str">
        <f>Info!$B$8</f>
        <v>00100</v>
      </c>
      <c r="D487" s="1474" t="s">
        <v>256</v>
      </c>
      <c r="E487" s="1474" t="s">
        <v>95</v>
      </c>
      <c r="F487" s="1478" t="s">
        <v>593</v>
      </c>
      <c r="G487" s="1478" t="s">
        <v>593</v>
      </c>
      <c r="H487" s="1474" t="s">
        <v>988</v>
      </c>
      <c r="I487" s="1478" t="s">
        <v>811</v>
      </c>
      <c r="J487" s="1478"/>
      <c r="K487" s="1475" t="s">
        <v>849</v>
      </c>
      <c r="L487" s="1474" t="s">
        <v>77</v>
      </c>
      <c r="M487" s="1476" t="s">
        <v>842</v>
      </c>
      <c r="N487" s="1477" t="s">
        <v>1692</v>
      </c>
      <c r="O487" s="1479">
        <v>30</v>
      </c>
      <c r="P487" s="1479"/>
      <c r="Q487" s="1142">
        <f t="shared" si="127"/>
        <v>30</v>
      </c>
      <c r="R487" s="1143">
        <f>IFERROR(VLOOKUP(CONCATENATE(E487,G487),'LAC 103'!$A$12:$O$95,11,FALSE),0)</f>
        <v>2.4831562090749175</v>
      </c>
      <c r="S487" s="1144">
        <f>IFERROR(VLOOKUP(CONCATENATE($E487,$G487),'LAC 103'!$A$12:$O$95,12,FALSE),0)</f>
        <v>3.07</v>
      </c>
      <c r="T487" s="1144">
        <f>IFERROR(VLOOKUP(CONCATENATE($E487,$G487),'LAC 103'!$A$12:$O$95,13,FALSE),0)</f>
        <v>1.92</v>
      </c>
      <c r="U487" s="1144">
        <f>IFERROR(VLOOKUP(CONCATENATE($E487,$G487),'LAC 103'!$A$12:$O$95,14,FALSE),0)</f>
        <v>0</v>
      </c>
      <c r="V487" s="1144">
        <f>IFERROR(VLOOKUP(CONCATENATE($E487,$G487),'LAC 103'!$A$12:$O$95,15,FALSE),0)</f>
        <v>0</v>
      </c>
      <c r="W487" s="1145" t="str">
        <f>IFERROR(VLOOKUP(CONCATENATE($B487,$N487),'LAC 103'!$AI:$AQ,9,FALSE),"")</f>
        <v>Costs</v>
      </c>
      <c r="X487" s="1146">
        <f t="shared" si="132"/>
        <v>2.4831562090749175</v>
      </c>
      <c r="Y487" s="1143">
        <f t="shared" si="133"/>
        <v>74.49468627224752</v>
      </c>
      <c r="Z487" s="1147">
        <f t="shared" si="134"/>
        <v>92.1</v>
      </c>
      <c r="AA487" s="1144">
        <f t="shared" si="135"/>
        <v>57.599999999999994</v>
      </c>
      <c r="AB487" s="1144">
        <f t="shared" si="136"/>
        <v>0</v>
      </c>
      <c r="AC487" s="1144">
        <f t="shared" si="137"/>
        <v>0</v>
      </c>
      <c r="AD487" s="1148">
        <f t="shared" si="128"/>
        <v>74.49468627224752</v>
      </c>
      <c r="AE487" s="1487">
        <v>0</v>
      </c>
      <c r="AF487" s="1145">
        <f t="shared" si="138"/>
        <v>74.49468627224752</v>
      </c>
      <c r="AG487" s="1149">
        <f>IFERROR(VLOOKUP(CONCATENATE($L487,$N487),'Drop List'!$G$23:$K$87,2,FALSE),0)</f>
        <v>0.9</v>
      </c>
      <c r="AH487" s="1150">
        <f>IFERROR(VLOOKUP(CONCATENATE($L487,$N487),'Drop List'!$G$23:$K$87,3,FALSE),0)</f>
        <v>0</v>
      </c>
      <c r="AI487" s="1150">
        <f>IFERROR(VLOOKUP(CONCATENATE($L487,$N487),'Drop List'!$G$23:$K$87,4,FALSE),0)</f>
        <v>0.1</v>
      </c>
      <c r="AJ487" s="1151">
        <f>IFERROR(VLOOKUP(CONCATENATE($L487,$N487),'Drop List'!$G$23:$K$87,5,FALSE),0)</f>
        <v>0</v>
      </c>
      <c r="AK487" s="1152">
        <f t="shared" si="139"/>
        <v>67.045217645022774</v>
      </c>
      <c r="AL487" s="1153">
        <f t="shared" si="140"/>
        <v>0</v>
      </c>
      <c r="AM487" s="1153">
        <f t="shared" si="141"/>
        <v>7.4494686272247526</v>
      </c>
      <c r="AN487" s="1145">
        <f t="shared" si="142"/>
        <v>0</v>
      </c>
      <c r="AO487" s="1154">
        <f t="shared" si="143"/>
        <v>74.49468627224752</v>
      </c>
      <c r="AP487" s="1147">
        <f t="shared" si="129"/>
        <v>0</v>
      </c>
      <c r="AQ487" s="1144">
        <f t="shared" si="130"/>
        <v>0</v>
      </c>
      <c r="AR487" s="1146">
        <f t="shared" si="131"/>
        <v>74.49468627224752</v>
      </c>
    </row>
    <row r="488" spans="1:44" x14ac:dyDescent="0.2">
      <c r="A488" s="1141" t="str">
        <f t="shared" si="126"/>
        <v>1507</v>
      </c>
      <c r="B488" s="1141" t="str">
        <f>IFERROR(VLOOKUP(A488,'LAC 103'!A:C,3,FALSE),"")</f>
        <v>OP</v>
      </c>
      <c r="C488" s="1478" t="str">
        <f>Info!$B$8</f>
        <v>00100</v>
      </c>
      <c r="D488" s="1474" t="s">
        <v>256</v>
      </c>
      <c r="E488" s="1474" t="s">
        <v>95</v>
      </c>
      <c r="F488" s="1478" t="s">
        <v>593</v>
      </c>
      <c r="G488" s="1478" t="s">
        <v>593</v>
      </c>
      <c r="H488" s="1474" t="s">
        <v>988</v>
      </c>
      <c r="I488" s="1478" t="s">
        <v>811</v>
      </c>
      <c r="J488" s="1478"/>
      <c r="K488" s="1475" t="s">
        <v>971</v>
      </c>
      <c r="L488" s="1474" t="s">
        <v>332</v>
      </c>
      <c r="M488" s="1476" t="s">
        <v>1699</v>
      </c>
      <c r="N488" s="1477" t="s">
        <v>1694</v>
      </c>
      <c r="O488" s="1479">
        <v>1647</v>
      </c>
      <c r="P488" s="1479"/>
      <c r="Q488" s="1142">
        <f t="shared" si="127"/>
        <v>1647</v>
      </c>
      <c r="R488" s="1143">
        <f>IFERROR(VLOOKUP(CONCATENATE(E488,G488),'LAC 103'!$A$12:$O$95,11,FALSE),0)</f>
        <v>2.4831562090749175</v>
      </c>
      <c r="S488" s="1144">
        <f>IFERROR(VLOOKUP(CONCATENATE($E488,$G488),'LAC 103'!$A$12:$O$95,12,FALSE),0)</f>
        <v>3.07</v>
      </c>
      <c r="T488" s="1144">
        <f>IFERROR(VLOOKUP(CONCATENATE($E488,$G488),'LAC 103'!$A$12:$O$95,13,FALSE),0)</f>
        <v>1.92</v>
      </c>
      <c r="U488" s="1144">
        <f>IFERROR(VLOOKUP(CONCATENATE($E488,$G488),'LAC 103'!$A$12:$O$95,14,FALSE),0)</f>
        <v>0</v>
      </c>
      <c r="V488" s="1144">
        <f>IFERROR(VLOOKUP(CONCATENATE($E488,$G488),'LAC 103'!$A$12:$O$95,15,FALSE),0)</f>
        <v>0</v>
      </c>
      <c r="W488" s="1145" t="str">
        <f>IFERROR(VLOOKUP(CONCATENATE($B488,$N488),'LAC 103'!$AI:$AQ,9,FALSE),"")</f>
        <v>Costs</v>
      </c>
      <c r="X488" s="1146">
        <f t="shared" si="132"/>
        <v>2.4831562090749175</v>
      </c>
      <c r="Y488" s="1143">
        <f t="shared" si="133"/>
        <v>4089.7582763463893</v>
      </c>
      <c r="Z488" s="1147">
        <f t="shared" si="134"/>
        <v>5056.29</v>
      </c>
      <c r="AA488" s="1144">
        <f t="shared" si="135"/>
        <v>3162.24</v>
      </c>
      <c r="AB488" s="1144">
        <f t="shared" si="136"/>
        <v>0</v>
      </c>
      <c r="AC488" s="1144">
        <f t="shared" si="137"/>
        <v>0</v>
      </c>
      <c r="AD488" s="1148">
        <f t="shared" si="128"/>
        <v>4089.7582763463893</v>
      </c>
      <c r="AE488" s="1487">
        <v>0</v>
      </c>
      <c r="AF488" s="1145">
        <f t="shared" si="138"/>
        <v>4089.7582763463893</v>
      </c>
      <c r="AG488" s="1149">
        <f>IFERROR(VLOOKUP(CONCATENATE($L488,$N488),'Drop List'!$G$23:$K$87,2,FALSE),0)</f>
        <v>0</v>
      </c>
      <c r="AH488" s="1150">
        <f>IFERROR(VLOOKUP(CONCATENATE($L488,$N488),'Drop List'!$G$23:$K$87,3,FALSE),0)</f>
        <v>0</v>
      </c>
      <c r="AI488" s="1150">
        <f>IFERROR(VLOOKUP(CONCATENATE($L488,$N488),'Drop List'!$G$23:$K$87,4,FALSE),0)</f>
        <v>0</v>
      </c>
      <c r="AJ488" s="1151">
        <f>IFERROR(VLOOKUP(CONCATENATE($L488,$N488),'Drop List'!$G$23:$K$87,5,FALSE),0)</f>
        <v>0</v>
      </c>
      <c r="AK488" s="1152">
        <f t="shared" si="139"/>
        <v>0</v>
      </c>
      <c r="AL488" s="1153">
        <f t="shared" si="140"/>
        <v>0</v>
      </c>
      <c r="AM488" s="1153">
        <f t="shared" si="141"/>
        <v>0</v>
      </c>
      <c r="AN488" s="1145">
        <f t="shared" si="142"/>
        <v>0</v>
      </c>
      <c r="AO488" s="1154">
        <f t="shared" si="143"/>
        <v>0</v>
      </c>
      <c r="AP488" s="1147">
        <f t="shared" si="129"/>
        <v>4089.7582763463893</v>
      </c>
      <c r="AQ488" s="1144">
        <f t="shared" si="130"/>
        <v>0</v>
      </c>
      <c r="AR488" s="1146">
        <f t="shared" si="131"/>
        <v>4089.7582763463893</v>
      </c>
    </row>
    <row r="489" spans="1:44" x14ac:dyDescent="0.2">
      <c r="A489" s="1141" t="str">
        <f t="shared" si="126"/>
        <v>1507</v>
      </c>
      <c r="B489" s="1141" t="str">
        <f>IFERROR(VLOOKUP(A489,'LAC 103'!A:C,3,FALSE),"")</f>
        <v>OP</v>
      </c>
      <c r="C489" s="1478" t="str">
        <f>Info!$B$8</f>
        <v>00100</v>
      </c>
      <c r="D489" s="1474" t="s">
        <v>256</v>
      </c>
      <c r="E489" s="1474" t="s">
        <v>95</v>
      </c>
      <c r="F489" s="1478" t="s">
        <v>593</v>
      </c>
      <c r="G489" s="1478" t="s">
        <v>593</v>
      </c>
      <c r="H489" s="1474" t="s">
        <v>988</v>
      </c>
      <c r="I489" s="1478" t="s">
        <v>811</v>
      </c>
      <c r="J489" s="1478"/>
      <c r="K489" s="1475" t="s">
        <v>971</v>
      </c>
      <c r="L489" s="1474" t="s">
        <v>332</v>
      </c>
      <c r="M489" s="1476" t="s">
        <v>842</v>
      </c>
      <c r="N489" s="1477" t="s">
        <v>1692</v>
      </c>
      <c r="O489" s="1479">
        <v>3158</v>
      </c>
      <c r="P489" s="1479"/>
      <c r="Q489" s="1142">
        <f t="shared" si="127"/>
        <v>3158</v>
      </c>
      <c r="R489" s="1143">
        <f>IFERROR(VLOOKUP(CONCATENATE(E489,G489),'LAC 103'!$A$12:$O$95,11,FALSE),0)</f>
        <v>2.4831562090749175</v>
      </c>
      <c r="S489" s="1144">
        <f>IFERROR(VLOOKUP(CONCATENATE($E489,$G489),'LAC 103'!$A$12:$O$95,12,FALSE),0)</f>
        <v>3.07</v>
      </c>
      <c r="T489" s="1144">
        <f>IFERROR(VLOOKUP(CONCATENATE($E489,$G489),'LAC 103'!$A$12:$O$95,13,FALSE),0)</f>
        <v>1.92</v>
      </c>
      <c r="U489" s="1144">
        <f>IFERROR(VLOOKUP(CONCATENATE($E489,$G489),'LAC 103'!$A$12:$O$95,14,FALSE),0)</f>
        <v>0</v>
      </c>
      <c r="V489" s="1144">
        <f>IFERROR(VLOOKUP(CONCATENATE($E489,$G489),'LAC 103'!$A$12:$O$95,15,FALSE),0)</f>
        <v>0</v>
      </c>
      <c r="W489" s="1145" t="str">
        <f>IFERROR(VLOOKUP(CONCATENATE($B489,$N489),'LAC 103'!$AI:$AQ,9,FALSE),"")</f>
        <v>Costs</v>
      </c>
      <c r="X489" s="1146">
        <f t="shared" si="132"/>
        <v>2.4831562090749175</v>
      </c>
      <c r="Y489" s="1143">
        <f t="shared" si="133"/>
        <v>7841.8073082585897</v>
      </c>
      <c r="Z489" s="1147">
        <f t="shared" si="134"/>
        <v>9695.06</v>
      </c>
      <c r="AA489" s="1144">
        <f t="shared" si="135"/>
        <v>6063.36</v>
      </c>
      <c r="AB489" s="1144">
        <f t="shared" si="136"/>
        <v>0</v>
      </c>
      <c r="AC489" s="1144">
        <f t="shared" si="137"/>
        <v>0</v>
      </c>
      <c r="AD489" s="1148">
        <f t="shared" si="128"/>
        <v>7841.8073082585897</v>
      </c>
      <c r="AE489" s="1487">
        <v>0</v>
      </c>
      <c r="AF489" s="1145">
        <f t="shared" si="138"/>
        <v>7841.8073082585897</v>
      </c>
      <c r="AG489" s="1149">
        <f>IFERROR(VLOOKUP(CONCATENATE($L489,$N489),'Drop List'!$G$23:$K$87,2,FALSE),0)</f>
        <v>0</v>
      </c>
      <c r="AH489" s="1150">
        <f>IFERROR(VLOOKUP(CONCATENATE($L489,$N489),'Drop List'!$G$23:$K$87,3,FALSE),0)</f>
        <v>0</v>
      </c>
      <c r="AI489" s="1150">
        <f>IFERROR(VLOOKUP(CONCATENATE($L489,$N489),'Drop List'!$G$23:$K$87,4,FALSE),0)</f>
        <v>0</v>
      </c>
      <c r="AJ489" s="1151">
        <f>IFERROR(VLOOKUP(CONCATENATE($L489,$N489),'Drop List'!$G$23:$K$87,5,FALSE),0)</f>
        <v>0</v>
      </c>
      <c r="AK489" s="1152">
        <f t="shared" si="139"/>
        <v>0</v>
      </c>
      <c r="AL489" s="1153">
        <f t="shared" si="140"/>
        <v>0</v>
      </c>
      <c r="AM489" s="1153">
        <f t="shared" si="141"/>
        <v>0</v>
      </c>
      <c r="AN489" s="1145">
        <f t="shared" si="142"/>
        <v>0</v>
      </c>
      <c r="AO489" s="1154">
        <f t="shared" si="143"/>
        <v>0</v>
      </c>
      <c r="AP489" s="1147">
        <f t="shared" si="129"/>
        <v>7841.8073082585897</v>
      </c>
      <c r="AQ489" s="1144">
        <f t="shared" si="130"/>
        <v>0</v>
      </c>
      <c r="AR489" s="1146">
        <f t="shared" si="131"/>
        <v>7841.8073082585897</v>
      </c>
    </row>
    <row r="490" spans="1:44" x14ac:dyDescent="0.2">
      <c r="A490" s="1141" t="str">
        <f t="shared" si="126"/>
        <v>1507</v>
      </c>
      <c r="B490" s="1141" t="str">
        <f>IFERROR(VLOOKUP(A490,'LAC 103'!A:C,3,FALSE),"")</f>
        <v>OP</v>
      </c>
      <c r="C490" s="1478" t="str">
        <f>Info!$B$8</f>
        <v>00100</v>
      </c>
      <c r="D490" s="1474" t="s">
        <v>256</v>
      </c>
      <c r="E490" s="1474" t="s">
        <v>95</v>
      </c>
      <c r="F490" s="1478" t="s">
        <v>593</v>
      </c>
      <c r="G490" s="1478" t="s">
        <v>593</v>
      </c>
      <c r="H490" s="1474" t="s">
        <v>988</v>
      </c>
      <c r="I490" s="1478" t="s">
        <v>811</v>
      </c>
      <c r="J490" s="1478"/>
      <c r="K490" s="1475" t="s">
        <v>971</v>
      </c>
      <c r="L490" s="1474" t="s">
        <v>332</v>
      </c>
      <c r="M490" s="1476" t="s">
        <v>1698</v>
      </c>
      <c r="N490" s="1477" t="s">
        <v>1693</v>
      </c>
      <c r="O490" s="1479">
        <v>2867</v>
      </c>
      <c r="P490" s="1479"/>
      <c r="Q490" s="1142">
        <f t="shared" si="127"/>
        <v>2867</v>
      </c>
      <c r="R490" s="1143">
        <f>IFERROR(VLOOKUP(CONCATENATE(E490,G490),'LAC 103'!$A$12:$O$95,11,FALSE),0)</f>
        <v>2.4831562090749175</v>
      </c>
      <c r="S490" s="1144">
        <f>IFERROR(VLOOKUP(CONCATENATE($E490,$G490),'LAC 103'!$A$12:$O$95,12,FALSE),0)</f>
        <v>3.07</v>
      </c>
      <c r="T490" s="1144">
        <f>IFERROR(VLOOKUP(CONCATENATE($E490,$G490),'LAC 103'!$A$12:$O$95,13,FALSE),0)</f>
        <v>1.92</v>
      </c>
      <c r="U490" s="1144">
        <f>IFERROR(VLOOKUP(CONCATENATE($E490,$G490),'LAC 103'!$A$12:$O$95,14,FALSE),0)</f>
        <v>0</v>
      </c>
      <c r="V490" s="1144">
        <f>IFERROR(VLOOKUP(CONCATENATE($E490,$G490),'LAC 103'!$A$12:$O$95,15,FALSE),0)</f>
        <v>0</v>
      </c>
      <c r="W490" s="1145" t="str">
        <f>IFERROR(VLOOKUP(CONCATENATE($B490,$N490),'LAC 103'!$AI:$AQ,9,FALSE),"")</f>
        <v>Costs</v>
      </c>
      <c r="X490" s="1146">
        <f t="shared" si="132"/>
        <v>2.4831562090749175</v>
      </c>
      <c r="Y490" s="1143">
        <f t="shared" si="133"/>
        <v>7119.2088514177885</v>
      </c>
      <c r="Z490" s="1147">
        <f t="shared" si="134"/>
        <v>8801.6899999999987</v>
      </c>
      <c r="AA490" s="1144">
        <f t="shared" si="135"/>
        <v>5504.6399999999994</v>
      </c>
      <c r="AB490" s="1144">
        <f t="shared" si="136"/>
        <v>0</v>
      </c>
      <c r="AC490" s="1144">
        <f t="shared" si="137"/>
        <v>0</v>
      </c>
      <c r="AD490" s="1148">
        <f t="shared" si="128"/>
        <v>7119.2088514177885</v>
      </c>
      <c r="AE490" s="1487">
        <v>0</v>
      </c>
      <c r="AF490" s="1145">
        <f t="shared" si="138"/>
        <v>7119.2088514177885</v>
      </c>
      <c r="AG490" s="1149">
        <f>IFERROR(VLOOKUP(CONCATENATE($L490,$N490),'Drop List'!$G$23:$K$87,2,FALSE),0)</f>
        <v>0</v>
      </c>
      <c r="AH490" s="1150">
        <f>IFERROR(VLOOKUP(CONCATENATE($L490,$N490),'Drop List'!$G$23:$K$87,3,FALSE),0)</f>
        <v>0</v>
      </c>
      <c r="AI490" s="1150">
        <f>IFERROR(VLOOKUP(CONCATENATE($L490,$N490),'Drop List'!$G$23:$K$87,4,FALSE),0)</f>
        <v>0</v>
      </c>
      <c r="AJ490" s="1151">
        <f>IFERROR(VLOOKUP(CONCATENATE($L490,$N490),'Drop List'!$G$23:$K$87,5,FALSE),0)</f>
        <v>0</v>
      </c>
      <c r="AK490" s="1152">
        <f t="shared" si="139"/>
        <v>0</v>
      </c>
      <c r="AL490" s="1153">
        <f t="shared" si="140"/>
        <v>0</v>
      </c>
      <c r="AM490" s="1153">
        <f t="shared" si="141"/>
        <v>0</v>
      </c>
      <c r="AN490" s="1145">
        <f t="shared" si="142"/>
        <v>0</v>
      </c>
      <c r="AO490" s="1154">
        <f t="shared" si="143"/>
        <v>0</v>
      </c>
      <c r="AP490" s="1147">
        <f t="shared" si="129"/>
        <v>7119.2088514177885</v>
      </c>
      <c r="AQ490" s="1144">
        <f t="shared" si="130"/>
        <v>0</v>
      </c>
      <c r="AR490" s="1146">
        <f t="shared" si="131"/>
        <v>7119.2088514177885</v>
      </c>
    </row>
    <row r="491" spans="1:44" x14ac:dyDescent="0.2">
      <c r="A491" s="1141" t="str">
        <f t="shared" si="126"/>
        <v>1507</v>
      </c>
      <c r="B491" s="1141" t="str">
        <f>IFERROR(VLOOKUP(A491,'LAC 103'!A:C,3,FALSE),"")</f>
        <v>OP</v>
      </c>
      <c r="C491" s="1478" t="str">
        <f>Info!$B$8</f>
        <v>00100</v>
      </c>
      <c r="D491" s="1474" t="s">
        <v>256</v>
      </c>
      <c r="E491" s="1474" t="s">
        <v>95</v>
      </c>
      <c r="F491" s="1478" t="s">
        <v>593</v>
      </c>
      <c r="G491" s="1478" t="s">
        <v>593</v>
      </c>
      <c r="H491" s="1474" t="s">
        <v>988</v>
      </c>
      <c r="I491" s="1478" t="s">
        <v>811</v>
      </c>
      <c r="J491" s="1478"/>
      <c r="K491" s="1475" t="s">
        <v>850</v>
      </c>
      <c r="L491" s="1474" t="s">
        <v>330</v>
      </c>
      <c r="M491" s="1476" t="s">
        <v>1699</v>
      </c>
      <c r="N491" s="1477" t="s">
        <v>1694</v>
      </c>
      <c r="O491" s="1479">
        <v>30</v>
      </c>
      <c r="P491" s="1479"/>
      <c r="Q491" s="1142">
        <f t="shared" si="127"/>
        <v>30</v>
      </c>
      <c r="R491" s="1143">
        <f>IFERROR(VLOOKUP(CONCATENATE(E491,G491),'LAC 103'!$A$12:$O$95,11,FALSE),0)</f>
        <v>2.4831562090749175</v>
      </c>
      <c r="S491" s="1144">
        <f>IFERROR(VLOOKUP(CONCATENATE($E491,$G491),'LAC 103'!$A$12:$O$95,12,FALSE),0)</f>
        <v>3.07</v>
      </c>
      <c r="T491" s="1144">
        <f>IFERROR(VLOOKUP(CONCATENATE($E491,$G491),'LAC 103'!$A$12:$O$95,13,FALSE),0)</f>
        <v>1.92</v>
      </c>
      <c r="U491" s="1144">
        <f>IFERROR(VLOOKUP(CONCATENATE($E491,$G491),'LAC 103'!$A$12:$O$95,14,FALSE),0)</f>
        <v>0</v>
      </c>
      <c r="V491" s="1144">
        <f>IFERROR(VLOOKUP(CONCATENATE($E491,$G491),'LAC 103'!$A$12:$O$95,15,FALSE),0)</f>
        <v>0</v>
      </c>
      <c r="W491" s="1145" t="str">
        <f>IFERROR(VLOOKUP(CONCATENATE($B491,$N491),'LAC 103'!$AI:$AQ,9,FALSE),"")</f>
        <v>Costs</v>
      </c>
      <c r="X491" s="1146">
        <f t="shared" si="132"/>
        <v>2.4831562090749175</v>
      </c>
      <c r="Y491" s="1143">
        <f t="shared" si="133"/>
        <v>74.49468627224752</v>
      </c>
      <c r="Z491" s="1147">
        <f t="shared" si="134"/>
        <v>92.1</v>
      </c>
      <c r="AA491" s="1144">
        <f t="shared" si="135"/>
        <v>57.599999999999994</v>
      </c>
      <c r="AB491" s="1144">
        <f t="shared" si="136"/>
        <v>0</v>
      </c>
      <c r="AC491" s="1144">
        <f t="shared" si="137"/>
        <v>0</v>
      </c>
      <c r="AD491" s="1148">
        <f t="shared" si="128"/>
        <v>74.49468627224752</v>
      </c>
      <c r="AE491" s="1487">
        <v>0</v>
      </c>
      <c r="AF491" s="1145">
        <f t="shared" si="138"/>
        <v>74.49468627224752</v>
      </c>
      <c r="AG491" s="1149">
        <f>IFERROR(VLOOKUP(CONCATENATE($L491,$N491),'Drop List'!$G$23:$K$87,2,FALSE),0)</f>
        <v>0</v>
      </c>
      <c r="AH491" s="1150">
        <f>IFERROR(VLOOKUP(CONCATENATE($L491,$N491),'Drop List'!$G$23:$K$87,3,FALSE),0)</f>
        <v>0</v>
      </c>
      <c r="AI491" s="1150">
        <f>IFERROR(VLOOKUP(CONCATENATE($L491,$N491),'Drop List'!$G$23:$K$87,4,FALSE),0)</f>
        <v>1</v>
      </c>
      <c r="AJ491" s="1151">
        <f>IFERROR(VLOOKUP(CONCATENATE($L491,$N491),'Drop List'!$G$23:$K$87,5,FALSE),0)</f>
        <v>0</v>
      </c>
      <c r="AK491" s="1152">
        <f t="shared" si="139"/>
        <v>0</v>
      </c>
      <c r="AL491" s="1153">
        <f t="shared" si="140"/>
        <v>0</v>
      </c>
      <c r="AM491" s="1153">
        <f t="shared" si="141"/>
        <v>74.49468627224752</v>
      </c>
      <c r="AN491" s="1145">
        <f t="shared" si="142"/>
        <v>0</v>
      </c>
      <c r="AO491" s="1154">
        <f t="shared" si="143"/>
        <v>74.49468627224752</v>
      </c>
      <c r="AP491" s="1147">
        <f t="shared" si="129"/>
        <v>0</v>
      </c>
      <c r="AQ491" s="1144">
        <f t="shared" si="130"/>
        <v>0</v>
      </c>
      <c r="AR491" s="1146">
        <f t="shared" si="131"/>
        <v>74.49468627224752</v>
      </c>
    </row>
    <row r="492" spans="1:44" x14ac:dyDescent="0.2">
      <c r="A492" s="1141" t="str">
        <f t="shared" si="126"/>
        <v>1507</v>
      </c>
      <c r="B492" s="1141" t="str">
        <f>IFERROR(VLOOKUP(A492,'LAC 103'!A:C,3,FALSE),"")</f>
        <v>OP</v>
      </c>
      <c r="C492" s="1478" t="str">
        <f>Info!$B$8</f>
        <v>00100</v>
      </c>
      <c r="D492" s="1474" t="s">
        <v>256</v>
      </c>
      <c r="E492" s="1474" t="s">
        <v>95</v>
      </c>
      <c r="F492" s="1478" t="s">
        <v>593</v>
      </c>
      <c r="G492" s="1478" t="s">
        <v>593</v>
      </c>
      <c r="H492" s="1474" t="s">
        <v>988</v>
      </c>
      <c r="I492" s="1478" t="s">
        <v>811</v>
      </c>
      <c r="J492" s="1478"/>
      <c r="K492" s="1475" t="s">
        <v>850</v>
      </c>
      <c r="L492" s="1474" t="s">
        <v>330</v>
      </c>
      <c r="M492" s="1476" t="s">
        <v>842</v>
      </c>
      <c r="N492" s="1477" t="s">
        <v>1692</v>
      </c>
      <c r="O492" s="1479">
        <v>1019</v>
      </c>
      <c r="P492" s="1479"/>
      <c r="Q492" s="1142">
        <f t="shared" si="127"/>
        <v>1019</v>
      </c>
      <c r="R492" s="1143">
        <f>IFERROR(VLOOKUP(CONCATENATE(E492,G492),'LAC 103'!$A$12:$O$95,11,FALSE),0)</f>
        <v>2.4831562090749175</v>
      </c>
      <c r="S492" s="1144">
        <f>IFERROR(VLOOKUP(CONCATENATE($E492,$G492),'LAC 103'!$A$12:$O$95,12,FALSE),0)</f>
        <v>3.07</v>
      </c>
      <c r="T492" s="1144">
        <f>IFERROR(VLOOKUP(CONCATENATE($E492,$G492),'LAC 103'!$A$12:$O$95,13,FALSE),0)</f>
        <v>1.92</v>
      </c>
      <c r="U492" s="1144">
        <f>IFERROR(VLOOKUP(CONCATENATE($E492,$G492),'LAC 103'!$A$12:$O$95,14,FALSE),0)</f>
        <v>0</v>
      </c>
      <c r="V492" s="1144">
        <f>IFERROR(VLOOKUP(CONCATENATE($E492,$G492),'LAC 103'!$A$12:$O$95,15,FALSE),0)</f>
        <v>0</v>
      </c>
      <c r="W492" s="1145" t="str">
        <f>IFERROR(VLOOKUP(CONCATENATE($B492,$N492),'LAC 103'!$AI:$AQ,9,FALSE),"")</f>
        <v>Costs</v>
      </c>
      <c r="X492" s="1146">
        <f t="shared" si="132"/>
        <v>2.4831562090749175</v>
      </c>
      <c r="Y492" s="1143">
        <f t="shared" si="133"/>
        <v>2530.3361770473412</v>
      </c>
      <c r="Z492" s="1147">
        <f t="shared" si="134"/>
        <v>3128.33</v>
      </c>
      <c r="AA492" s="1144">
        <f t="shared" si="135"/>
        <v>1956.48</v>
      </c>
      <c r="AB492" s="1144">
        <f t="shared" si="136"/>
        <v>0</v>
      </c>
      <c r="AC492" s="1144">
        <f t="shared" si="137"/>
        <v>0</v>
      </c>
      <c r="AD492" s="1148">
        <f t="shared" si="128"/>
        <v>2530.3361770473412</v>
      </c>
      <c r="AE492" s="1487">
        <v>0</v>
      </c>
      <c r="AF492" s="1145">
        <f t="shared" si="138"/>
        <v>2530.3361770473412</v>
      </c>
      <c r="AG492" s="1149">
        <f>IFERROR(VLOOKUP(CONCATENATE($L492,$N492),'Drop List'!$G$23:$K$87,2,FALSE),0)</f>
        <v>0</v>
      </c>
      <c r="AH492" s="1150">
        <f>IFERROR(VLOOKUP(CONCATENATE($L492,$N492),'Drop List'!$G$23:$K$87,3,FALSE),0)</f>
        <v>0</v>
      </c>
      <c r="AI492" s="1150">
        <f>IFERROR(VLOOKUP(CONCATENATE($L492,$N492),'Drop List'!$G$23:$K$87,4,FALSE),0)</f>
        <v>1</v>
      </c>
      <c r="AJ492" s="1151">
        <f>IFERROR(VLOOKUP(CONCATENATE($L492,$N492),'Drop List'!$G$23:$K$87,5,FALSE),0)</f>
        <v>0</v>
      </c>
      <c r="AK492" s="1152">
        <f t="shared" si="139"/>
        <v>0</v>
      </c>
      <c r="AL492" s="1153">
        <f t="shared" si="140"/>
        <v>0</v>
      </c>
      <c r="AM492" s="1153">
        <f t="shared" si="141"/>
        <v>2530.3361770473412</v>
      </c>
      <c r="AN492" s="1145">
        <f t="shared" si="142"/>
        <v>0</v>
      </c>
      <c r="AO492" s="1154">
        <f t="shared" si="143"/>
        <v>2530.3361770473412</v>
      </c>
      <c r="AP492" s="1147">
        <f t="shared" si="129"/>
        <v>0</v>
      </c>
      <c r="AQ492" s="1144">
        <f t="shared" si="130"/>
        <v>0</v>
      </c>
      <c r="AR492" s="1146">
        <f t="shared" si="131"/>
        <v>2530.3361770473412</v>
      </c>
    </row>
    <row r="493" spans="1:44" x14ac:dyDescent="0.2">
      <c r="A493" s="1141" t="str">
        <f t="shared" si="126"/>
        <v>1507</v>
      </c>
      <c r="B493" s="1141" t="str">
        <f>IFERROR(VLOOKUP(A493,'LAC 103'!A:C,3,FALSE),"")</f>
        <v>OP</v>
      </c>
      <c r="C493" s="1478" t="str">
        <f>Info!$B$8</f>
        <v>00100</v>
      </c>
      <c r="D493" s="1474" t="s">
        <v>256</v>
      </c>
      <c r="E493" s="1474" t="s">
        <v>95</v>
      </c>
      <c r="F493" s="1478" t="s">
        <v>593</v>
      </c>
      <c r="G493" s="1478" t="s">
        <v>593</v>
      </c>
      <c r="H493" s="1474" t="s">
        <v>988</v>
      </c>
      <c r="I493" s="1478" t="s">
        <v>811</v>
      </c>
      <c r="J493" s="1478"/>
      <c r="K493" s="1475" t="s">
        <v>850</v>
      </c>
      <c r="L493" s="1474" t="s">
        <v>330</v>
      </c>
      <c r="M493" s="1476" t="s">
        <v>1698</v>
      </c>
      <c r="N493" s="1477" t="s">
        <v>1693</v>
      </c>
      <c r="O493" s="1479">
        <v>795</v>
      </c>
      <c r="P493" s="1479"/>
      <c r="Q493" s="1142">
        <f t="shared" si="127"/>
        <v>795</v>
      </c>
      <c r="R493" s="1143">
        <f>IFERROR(VLOOKUP(CONCATENATE(E493,G493),'LAC 103'!$A$12:$O$95,11,FALSE),0)</f>
        <v>2.4831562090749175</v>
      </c>
      <c r="S493" s="1144">
        <f>IFERROR(VLOOKUP(CONCATENATE($E493,$G493),'LAC 103'!$A$12:$O$95,12,FALSE),0)</f>
        <v>3.07</v>
      </c>
      <c r="T493" s="1144">
        <f>IFERROR(VLOOKUP(CONCATENATE($E493,$G493),'LAC 103'!$A$12:$O$95,13,FALSE),0)</f>
        <v>1.92</v>
      </c>
      <c r="U493" s="1144">
        <f>IFERROR(VLOOKUP(CONCATENATE($E493,$G493),'LAC 103'!$A$12:$O$95,14,FALSE),0)</f>
        <v>0</v>
      </c>
      <c r="V493" s="1144">
        <f>IFERROR(VLOOKUP(CONCATENATE($E493,$G493),'LAC 103'!$A$12:$O$95,15,FALSE),0)</f>
        <v>0</v>
      </c>
      <c r="W493" s="1145" t="str">
        <f>IFERROR(VLOOKUP(CONCATENATE($B493,$N493),'LAC 103'!$AI:$AQ,9,FALSE),"")</f>
        <v>Costs</v>
      </c>
      <c r="X493" s="1146">
        <f t="shared" si="132"/>
        <v>2.4831562090749175</v>
      </c>
      <c r="Y493" s="1143">
        <f t="shared" si="133"/>
        <v>1974.1091862145595</v>
      </c>
      <c r="Z493" s="1147">
        <f t="shared" si="134"/>
        <v>2440.65</v>
      </c>
      <c r="AA493" s="1144">
        <f t="shared" si="135"/>
        <v>1526.3999999999999</v>
      </c>
      <c r="AB493" s="1144">
        <f t="shared" si="136"/>
        <v>0</v>
      </c>
      <c r="AC493" s="1144">
        <f t="shared" si="137"/>
        <v>0</v>
      </c>
      <c r="AD493" s="1148">
        <f t="shared" si="128"/>
        <v>1974.1091862145595</v>
      </c>
      <c r="AE493" s="1487">
        <v>0</v>
      </c>
      <c r="AF493" s="1145">
        <f t="shared" si="138"/>
        <v>1974.1091862145595</v>
      </c>
      <c r="AG493" s="1149">
        <f>IFERROR(VLOOKUP(CONCATENATE($L493,$N493),'Drop List'!$G$23:$K$87,2,FALSE),0)</f>
        <v>0</v>
      </c>
      <c r="AH493" s="1150">
        <f>IFERROR(VLOOKUP(CONCATENATE($L493,$N493),'Drop List'!$G$23:$K$87,3,FALSE),0)</f>
        <v>0</v>
      </c>
      <c r="AI493" s="1150">
        <f>IFERROR(VLOOKUP(CONCATENATE($L493,$N493),'Drop List'!$G$23:$K$87,4,FALSE),0)</f>
        <v>1</v>
      </c>
      <c r="AJ493" s="1151">
        <f>IFERROR(VLOOKUP(CONCATENATE($L493,$N493),'Drop List'!$G$23:$K$87,5,FALSE),0)</f>
        <v>0</v>
      </c>
      <c r="AK493" s="1152">
        <f t="shared" si="139"/>
        <v>0</v>
      </c>
      <c r="AL493" s="1153">
        <f t="shared" si="140"/>
        <v>0</v>
      </c>
      <c r="AM493" s="1153">
        <f t="shared" si="141"/>
        <v>1974.1091862145595</v>
      </c>
      <c r="AN493" s="1145">
        <f t="shared" si="142"/>
        <v>0</v>
      </c>
      <c r="AO493" s="1154">
        <f t="shared" si="143"/>
        <v>1974.1091862145595</v>
      </c>
      <c r="AP493" s="1147">
        <f t="shared" si="129"/>
        <v>0</v>
      </c>
      <c r="AQ493" s="1144">
        <f t="shared" si="130"/>
        <v>0</v>
      </c>
      <c r="AR493" s="1146">
        <f t="shared" si="131"/>
        <v>1974.1091862145595</v>
      </c>
    </row>
    <row r="494" spans="1:44" x14ac:dyDescent="0.2">
      <c r="A494" s="1141" t="str">
        <f t="shared" si="126"/>
        <v>1507</v>
      </c>
      <c r="B494" s="1141" t="str">
        <f>IFERROR(VLOOKUP(A494,'LAC 103'!A:C,3,FALSE),"")</f>
        <v>OP</v>
      </c>
      <c r="C494" s="1478" t="str">
        <f>Info!$B$8</f>
        <v>00100</v>
      </c>
      <c r="D494" s="1474" t="s">
        <v>256</v>
      </c>
      <c r="E494" s="1474" t="s">
        <v>95</v>
      </c>
      <c r="F494" s="1478" t="s">
        <v>593</v>
      </c>
      <c r="G494" s="1478" t="s">
        <v>593</v>
      </c>
      <c r="H494" s="1474" t="s">
        <v>988</v>
      </c>
      <c r="I494" s="1478" t="s">
        <v>811</v>
      </c>
      <c r="J494" s="1478"/>
      <c r="K494" s="1475" t="s">
        <v>851</v>
      </c>
      <c r="L494" s="1474" t="s">
        <v>584</v>
      </c>
      <c r="M494" s="1476" t="s">
        <v>1699</v>
      </c>
      <c r="N494" s="1477" t="s">
        <v>1694</v>
      </c>
      <c r="O494" s="1479">
        <v>1702</v>
      </c>
      <c r="P494" s="1479"/>
      <c r="Q494" s="1142">
        <f t="shared" si="127"/>
        <v>1702</v>
      </c>
      <c r="R494" s="1143">
        <f>IFERROR(VLOOKUP(CONCATENATE(E494,G494),'LAC 103'!$A$12:$O$95,11,FALSE),0)</f>
        <v>2.4831562090749175</v>
      </c>
      <c r="S494" s="1144">
        <f>IFERROR(VLOOKUP(CONCATENATE($E494,$G494),'LAC 103'!$A$12:$O$95,12,FALSE),0)</f>
        <v>3.07</v>
      </c>
      <c r="T494" s="1144">
        <f>IFERROR(VLOOKUP(CONCATENATE($E494,$G494),'LAC 103'!$A$12:$O$95,13,FALSE),0)</f>
        <v>1.92</v>
      </c>
      <c r="U494" s="1144">
        <f>IFERROR(VLOOKUP(CONCATENATE($E494,$G494),'LAC 103'!$A$12:$O$95,14,FALSE),0)</f>
        <v>0</v>
      </c>
      <c r="V494" s="1144">
        <f>IFERROR(VLOOKUP(CONCATENATE($E494,$G494),'LAC 103'!$A$12:$O$95,15,FALSE),0)</f>
        <v>0</v>
      </c>
      <c r="W494" s="1145" t="str">
        <f>IFERROR(VLOOKUP(CONCATENATE($B494,$N494),'LAC 103'!$AI:$AQ,9,FALSE),"")</f>
        <v>Costs</v>
      </c>
      <c r="X494" s="1146">
        <f t="shared" si="132"/>
        <v>2.4831562090749175</v>
      </c>
      <c r="Y494" s="1143">
        <f t="shared" si="133"/>
        <v>4226.3318678455098</v>
      </c>
      <c r="Z494" s="1147">
        <f t="shared" si="134"/>
        <v>5225.1399999999994</v>
      </c>
      <c r="AA494" s="1144">
        <f t="shared" si="135"/>
        <v>3267.8399999999997</v>
      </c>
      <c r="AB494" s="1144">
        <f t="shared" si="136"/>
        <v>0</v>
      </c>
      <c r="AC494" s="1144">
        <f t="shared" si="137"/>
        <v>0</v>
      </c>
      <c r="AD494" s="1148">
        <f t="shared" si="128"/>
        <v>4226.3318678455098</v>
      </c>
      <c r="AE494" s="1487">
        <v>0</v>
      </c>
      <c r="AF494" s="1145">
        <f t="shared" si="138"/>
        <v>4226.3318678455098</v>
      </c>
      <c r="AG494" s="1149">
        <f>IFERROR(VLOOKUP(CONCATENATE($L494,$N494),'Drop List'!$G$23:$K$87,2,FALSE),0)</f>
        <v>0.56200000000000006</v>
      </c>
      <c r="AH494" s="1150">
        <f>IFERROR(VLOOKUP(CONCATENATE($L494,$N494),'Drop List'!$G$23:$K$87,3,FALSE),0)</f>
        <v>0</v>
      </c>
      <c r="AI494" s="1150">
        <f>IFERROR(VLOOKUP(CONCATENATE($L494,$N494),'Drop List'!$G$23:$K$87,4,FALSE),0)</f>
        <v>0</v>
      </c>
      <c r="AJ494" s="1151">
        <f>IFERROR(VLOOKUP(CONCATENATE($L494,$N494),'Drop List'!$G$23:$K$87,5,FALSE),0)</f>
        <v>0.43799999999999994</v>
      </c>
      <c r="AK494" s="1152">
        <f t="shared" si="139"/>
        <v>2375.1985097291767</v>
      </c>
      <c r="AL494" s="1153">
        <f t="shared" si="140"/>
        <v>0</v>
      </c>
      <c r="AM494" s="1153">
        <f t="shared" si="141"/>
        <v>0</v>
      </c>
      <c r="AN494" s="1145">
        <f t="shared" si="142"/>
        <v>1851.1333581163331</v>
      </c>
      <c r="AO494" s="1154">
        <f t="shared" si="143"/>
        <v>4226.3318678455098</v>
      </c>
      <c r="AP494" s="1147">
        <f t="shared" si="129"/>
        <v>0</v>
      </c>
      <c r="AQ494" s="1144">
        <f t="shared" si="130"/>
        <v>0</v>
      </c>
      <c r="AR494" s="1146">
        <f t="shared" si="131"/>
        <v>4226.3318678455098</v>
      </c>
    </row>
    <row r="495" spans="1:44" x14ac:dyDescent="0.2">
      <c r="A495" s="1141" t="str">
        <f t="shared" si="126"/>
        <v>1507</v>
      </c>
      <c r="B495" s="1141" t="str">
        <f>IFERROR(VLOOKUP(A495,'LAC 103'!A:C,3,FALSE),"")</f>
        <v>OP</v>
      </c>
      <c r="C495" s="1478" t="str">
        <f>Info!$B$8</f>
        <v>00100</v>
      </c>
      <c r="D495" s="1474" t="s">
        <v>256</v>
      </c>
      <c r="E495" s="1474" t="s">
        <v>95</v>
      </c>
      <c r="F495" s="1478" t="s">
        <v>593</v>
      </c>
      <c r="G495" s="1478" t="s">
        <v>593</v>
      </c>
      <c r="H495" s="1474" t="s">
        <v>1091</v>
      </c>
      <c r="I495" s="1478" t="s">
        <v>815</v>
      </c>
      <c r="J495" s="1478" t="s">
        <v>123</v>
      </c>
      <c r="K495" s="1475" t="s">
        <v>847</v>
      </c>
      <c r="L495" s="1474" t="s">
        <v>582</v>
      </c>
      <c r="M495" s="1476" t="s">
        <v>1699</v>
      </c>
      <c r="N495" s="1477" t="s">
        <v>1694</v>
      </c>
      <c r="O495" s="1479">
        <v>3103</v>
      </c>
      <c r="P495" s="1479"/>
      <c r="Q495" s="1142">
        <f t="shared" si="127"/>
        <v>3103</v>
      </c>
      <c r="R495" s="1143">
        <f>IFERROR(VLOOKUP(CONCATENATE(E495,G495),'LAC 103'!$A$12:$O$95,11,FALSE),0)</f>
        <v>2.4831562090749175</v>
      </c>
      <c r="S495" s="1144">
        <f>IFERROR(VLOOKUP(CONCATENATE($E495,$G495),'LAC 103'!$A$12:$O$95,12,FALSE),0)</f>
        <v>3.07</v>
      </c>
      <c r="T495" s="1144">
        <f>IFERROR(VLOOKUP(CONCATENATE($E495,$G495),'LAC 103'!$A$12:$O$95,13,FALSE),0)</f>
        <v>1.92</v>
      </c>
      <c r="U495" s="1144">
        <f>IFERROR(VLOOKUP(CONCATENATE($E495,$G495),'LAC 103'!$A$12:$O$95,14,FALSE),0)</f>
        <v>0</v>
      </c>
      <c r="V495" s="1144">
        <f>IFERROR(VLOOKUP(CONCATENATE($E495,$G495),'LAC 103'!$A$12:$O$95,15,FALSE),0)</f>
        <v>0</v>
      </c>
      <c r="W495" s="1145" t="str">
        <f>IFERROR(VLOOKUP(CONCATENATE($B495,$N495),'LAC 103'!$AI:$AQ,9,FALSE),"")</f>
        <v>Costs</v>
      </c>
      <c r="X495" s="1146">
        <f t="shared" si="132"/>
        <v>2.4831562090749175</v>
      </c>
      <c r="Y495" s="1143">
        <f t="shared" si="133"/>
        <v>7705.2337167594687</v>
      </c>
      <c r="Z495" s="1147">
        <f t="shared" si="134"/>
        <v>9526.2099999999991</v>
      </c>
      <c r="AA495" s="1144">
        <f t="shared" si="135"/>
        <v>5957.76</v>
      </c>
      <c r="AB495" s="1144">
        <f t="shared" si="136"/>
        <v>0</v>
      </c>
      <c r="AC495" s="1144">
        <f t="shared" si="137"/>
        <v>0</v>
      </c>
      <c r="AD495" s="1148">
        <f t="shared" si="128"/>
        <v>7705.2337167594687</v>
      </c>
      <c r="AE495" s="1487">
        <v>0</v>
      </c>
      <c r="AF495" s="1145">
        <f t="shared" si="138"/>
        <v>7705.2337167594687</v>
      </c>
      <c r="AG495" s="1149">
        <f>IFERROR(VLOOKUP(CONCATENATE($L495,$N495),'Drop List'!$G$23:$K$87,2,FALSE),0)</f>
        <v>0.56200000000000006</v>
      </c>
      <c r="AH495" s="1150">
        <f>IFERROR(VLOOKUP(CONCATENATE($L495,$N495),'Drop List'!$G$23:$K$87,3,FALSE),0)</f>
        <v>0.43799999999999994</v>
      </c>
      <c r="AI495" s="1150">
        <f>IFERROR(VLOOKUP(CONCATENATE($L495,$N495),'Drop List'!$G$23:$K$87,4,FALSE),0)</f>
        <v>0</v>
      </c>
      <c r="AJ495" s="1151">
        <f>IFERROR(VLOOKUP(CONCATENATE($L495,$N495),'Drop List'!$G$23:$K$87,5,FALSE),0)</f>
        <v>0</v>
      </c>
      <c r="AK495" s="1152">
        <f t="shared" si="139"/>
        <v>4330.3413488188216</v>
      </c>
      <c r="AL495" s="1153">
        <f t="shared" si="140"/>
        <v>3374.8923679406471</v>
      </c>
      <c r="AM495" s="1153">
        <f t="shared" si="141"/>
        <v>0</v>
      </c>
      <c r="AN495" s="1145">
        <f t="shared" si="142"/>
        <v>0</v>
      </c>
      <c r="AO495" s="1154">
        <f t="shared" si="143"/>
        <v>7705.2337167594687</v>
      </c>
      <c r="AP495" s="1147">
        <f t="shared" si="129"/>
        <v>0</v>
      </c>
      <c r="AQ495" s="1144">
        <f t="shared" si="130"/>
        <v>0</v>
      </c>
      <c r="AR495" s="1146">
        <f t="shared" si="131"/>
        <v>7705.2337167594687</v>
      </c>
    </row>
    <row r="496" spans="1:44" x14ac:dyDescent="0.2">
      <c r="A496" s="1141" t="str">
        <f t="shared" si="126"/>
        <v>1507</v>
      </c>
      <c r="B496" s="1141" t="str">
        <f>IFERROR(VLOOKUP(A496,'LAC 103'!A:C,3,FALSE),"")</f>
        <v>OP</v>
      </c>
      <c r="C496" s="1478" t="str">
        <f>Info!$B$8</f>
        <v>00100</v>
      </c>
      <c r="D496" s="1474" t="s">
        <v>256</v>
      </c>
      <c r="E496" s="1474" t="s">
        <v>95</v>
      </c>
      <c r="F496" s="1478" t="s">
        <v>593</v>
      </c>
      <c r="G496" s="1478" t="s">
        <v>593</v>
      </c>
      <c r="H496" s="1474" t="s">
        <v>1091</v>
      </c>
      <c r="I496" s="1478" t="s">
        <v>815</v>
      </c>
      <c r="J496" s="1478"/>
      <c r="K496" s="1475" t="s">
        <v>847</v>
      </c>
      <c r="L496" s="1474" t="s">
        <v>582</v>
      </c>
      <c r="M496" s="1476" t="s">
        <v>841</v>
      </c>
      <c r="N496" s="1477" t="s">
        <v>1695</v>
      </c>
      <c r="O496" s="1479">
        <v>4020</v>
      </c>
      <c r="P496" s="1479"/>
      <c r="Q496" s="1142">
        <f t="shared" si="127"/>
        <v>4020</v>
      </c>
      <c r="R496" s="1143">
        <f>IFERROR(VLOOKUP(CONCATENATE(E496,G496),'LAC 103'!$A$12:$O$95,11,FALSE),0)</f>
        <v>2.4831562090749175</v>
      </c>
      <c r="S496" s="1144">
        <f>IFERROR(VLOOKUP(CONCATENATE($E496,$G496),'LAC 103'!$A$12:$O$95,12,FALSE),0)</f>
        <v>3.07</v>
      </c>
      <c r="T496" s="1144">
        <f>IFERROR(VLOOKUP(CONCATENATE($E496,$G496),'LAC 103'!$A$12:$O$95,13,FALSE),0)</f>
        <v>1.92</v>
      </c>
      <c r="U496" s="1144">
        <f>IFERROR(VLOOKUP(CONCATENATE($E496,$G496),'LAC 103'!$A$12:$O$95,14,FALSE),0)</f>
        <v>0</v>
      </c>
      <c r="V496" s="1144">
        <f>IFERROR(VLOOKUP(CONCATENATE($E496,$G496),'LAC 103'!$A$12:$O$95,15,FALSE),0)</f>
        <v>0</v>
      </c>
      <c r="W496" s="1145" t="str">
        <f>IFERROR(VLOOKUP(CONCATENATE($B496,$N496),'LAC 103'!$AI:$AQ,9,FALSE),"")</f>
        <v>Costs</v>
      </c>
      <c r="X496" s="1146">
        <f t="shared" si="132"/>
        <v>2.4831562090749175</v>
      </c>
      <c r="Y496" s="1143">
        <f t="shared" si="133"/>
        <v>9982.2879604811678</v>
      </c>
      <c r="Z496" s="1147">
        <f t="shared" si="134"/>
        <v>12341.4</v>
      </c>
      <c r="AA496" s="1144">
        <f t="shared" si="135"/>
        <v>7718.4</v>
      </c>
      <c r="AB496" s="1144">
        <f t="shared" si="136"/>
        <v>0</v>
      </c>
      <c r="AC496" s="1144">
        <f t="shared" si="137"/>
        <v>0</v>
      </c>
      <c r="AD496" s="1148">
        <f t="shared" si="128"/>
        <v>9982.2879604811678</v>
      </c>
      <c r="AE496" s="1487">
        <v>0</v>
      </c>
      <c r="AF496" s="1145">
        <f t="shared" si="138"/>
        <v>9982.2879604811678</v>
      </c>
      <c r="AG496" s="1149">
        <f>IFERROR(VLOOKUP(CONCATENATE($L496,$N496),'Drop List'!$G$23:$K$87,2,FALSE),0)</f>
        <v>0.55000000000000004</v>
      </c>
      <c r="AH496" s="1150">
        <f>IFERROR(VLOOKUP(CONCATENATE($L496,$N496),'Drop List'!$G$23:$K$87,3,FALSE),0)</f>
        <v>0.44999999999999996</v>
      </c>
      <c r="AI496" s="1150">
        <f>IFERROR(VLOOKUP(CONCATENATE($L496,$N496),'Drop List'!$G$23:$K$87,4,FALSE),0)</f>
        <v>0</v>
      </c>
      <c r="AJ496" s="1151">
        <f>IFERROR(VLOOKUP(CONCATENATE($L496,$N496),'Drop List'!$G$23:$K$87,5,FALSE),0)</f>
        <v>0</v>
      </c>
      <c r="AK496" s="1152">
        <f t="shared" si="139"/>
        <v>5490.2583782646425</v>
      </c>
      <c r="AL496" s="1153">
        <f t="shared" si="140"/>
        <v>4492.0295822165253</v>
      </c>
      <c r="AM496" s="1153">
        <f t="shared" si="141"/>
        <v>0</v>
      </c>
      <c r="AN496" s="1145">
        <f t="shared" si="142"/>
        <v>0</v>
      </c>
      <c r="AO496" s="1154">
        <f t="shared" si="143"/>
        <v>9982.2879604811678</v>
      </c>
      <c r="AP496" s="1147">
        <f t="shared" si="129"/>
        <v>0</v>
      </c>
      <c r="AQ496" s="1144">
        <f t="shared" si="130"/>
        <v>0</v>
      </c>
      <c r="AR496" s="1146">
        <f t="shared" si="131"/>
        <v>9982.2879604811678</v>
      </c>
    </row>
    <row r="497" spans="1:44" x14ac:dyDescent="0.2">
      <c r="A497" s="1141" t="str">
        <f t="shared" si="126"/>
        <v>1507</v>
      </c>
      <c r="B497" s="1141" t="str">
        <f>IFERROR(VLOOKUP(A497,'LAC 103'!A:C,3,FALSE),"")</f>
        <v>OP</v>
      </c>
      <c r="C497" s="1478" t="str">
        <f>Info!$B$8</f>
        <v>00100</v>
      </c>
      <c r="D497" s="1474" t="s">
        <v>256</v>
      </c>
      <c r="E497" s="1474" t="s">
        <v>95</v>
      </c>
      <c r="F497" s="1478" t="s">
        <v>593</v>
      </c>
      <c r="G497" s="1478" t="s">
        <v>593</v>
      </c>
      <c r="H497" s="1474" t="s">
        <v>1091</v>
      </c>
      <c r="I497" s="1478" t="s">
        <v>815</v>
      </c>
      <c r="J497" s="1478"/>
      <c r="K497" s="1475" t="s">
        <v>847</v>
      </c>
      <c r="L497" s="1474" t="s">
        <v>582</v>
      </c>
      <c r="M497" s="1476" t="s">
        <v>840</v>
      </c>
      <c r="N497" s="1477" t="s">
        <v>1700</v>
      </c>
      <c r="O497" s="1479">
        <v>2428</v>
      </c>
      <c r="P497" s="1479"/>
      <c r="Q497" s="1142">
        <f t="shared" si="127"/>
        <v>2428</v>
      </c>
      <c r="R497" s="1143">
        <f>IFERROR(VLOOKUP(CONCATENATE(E497,G497),'LAC 103'!$A$12:$O$95,11,FALSE),0)</f>
        <v>2.4831562090749175</v>
      </c>
      <c r="S497" s="1144">
        <f>IFERROR(VLOOKUP(CONCATENATE($E497,$G497),'LAC 103'!$A$12:$O$95,12,FALSE),0)</f>
        <v>3.07</v>
      </c>
      <c r="T497" s="1144">
        <f>IFERROR(VLOOKUP(CONCATENATE($E497,$G497),'LAC 103'!$A$12:$O$95,13,FALSE),0)</f>
        <v>1.92</v>
      </c>
      <c r="U497" s="1144">
        <f>IFERROR(VLOOKUP(CONCATENATE($E497,$G497),'LAC 103'!$A$12:$O$95,14,FALSE),0)</f>
        <v>0</v>
      </c>
      <c r="V497" s="1144">
        <f>IFERROR(VLOOKUP(CONCATENATE($E497,$G497),'LAC 103'!$A$12:$O$95,15,FALSE),0)</f>
        <v>0</v>
      </c>
      <c r="W497" s="1145" t="str">
        <f>IFERROR(VLOOKUP(CONCATENATE($B497,$N497),'LAC 103'!$AI:$AQ,9,FALSE),"")</f>
        <v>P.C.</v>
      </c>
      <c r="X497" s="1146">
        <f t="shared" si="132"/>
        <v>1.92</v>
      </c>
      <c r="Y497" s="1143">
        <f t="shared" si="133"/>
        <v>6029.1032756339</v>
      </c>
      <c r="Z497" s="1147">
        <f t="shared" si="134"/>
        <v>7453.96</v>
      </c>
      <c r="AA497" s="1144">
        <f t="shared" si="135"/>
        <v>4661.76</v>
      </c>
      <c r="AB497" s="1144">
        <f t="shared" si="136"/>
        <v>0</v>
      </c>
      <c r="AC497" s="1144">
        <f t="shared" si="137"/>
        <v>0</v>
      </c>
      <c r="AD497" s="1148">
        <f t="shared" si="128"/>
        <v>4661.76</v>
      </c>
      <c r="AE497" s="1487">
        <v>0</v>
      </c>
      <c r="AF497" s="1145">
        <f t="shared" si="138"/>
        <v>4661.76</v>
      </c>
      <c r="AG497" s="1149">
        <f>IFERROR(VLOOKUP(CONCATENATE($L497,$N497),'Drop List'!$G$23:$K$87,2,FALSE),0)</f>
        <v>0.55000000000000004</v>
      </c>
      <c r="AH497" s="1150">
        <f>IFERROR(VLOOKUP(CONCATENATE($L497,$N497),'Drop List'!$G$23:$K$87,3,FALSE),0)</f>
        <v>0.44999999999999996</v>
      </c>
      <c r="AI497" s="1150">
        <f>IFERROR(VLOOKUP(CONCATENATE($L497,$N497),'Drop List'!$G$23:$K$87,4,FALSE),0)</f>
        <v>0</v>
      </c>
      <c r="AJ497" s="1151">
        <f>IFERROR(VLOOKUP(CONCATENATE($L497,$N497),'Drop List'!$G$23:$K$87,5,FALSE),0)</f>
        <v>0</v>
      </c>
      <c r="AK497" s="1152">
        <f t="shared" si="139"/>
        <v>2563.9680000000003</v>
      </c>
      <c r="AL497" s="1153">
        <f t="shared" si="140"/>
        <v>2097.7919999999999</v>
      </c>
      <c r="AM497" s="1153">
        <f t="shared" si="141"/>
        <v>0</v>
      </c>
      <c r="AN497" s="1145">
        <f t="shared" si="142"/>
        <v>0</v>
      </c>
      <c r="AO497" s="1154">
        <f t="shared" si="143"/>
        <v>4661.76</v>
      </c>
      <c r="AP497" s="1147">
        <f t="shared" si="129"/>
        <v>0</v>
      </c>
      <c r="AQ497" s="1144">
        <f t="shared" si="130"/>
        <v>0</v>
      </c>
      <c r="AR497" s="1146">
        <f t="shared" si="131"/>
        <v>4661.76</v>
      </c>
    </row>
    <row r="498" spans="1:44" x14ac:dyDescent="0.2">
      <c r="A498" s="1141" t="str">
        <f t="shared" si="126"/>
        <v>1507</v>
      </c>
      <c r="B498" s="1141" t="str">
        <f>IFERROR(VLOOKUP(A498,'LAC 103'!A:C,3,FALSE),"")</f>
        <v>OP</v>
      </c>
      <c r="C498" s="1478" t="str">
        <f>Info!$B$8</f>
        <v>00100</v>
      </c>
      <c r="D498" s="1474" t="s">
        <v>256</v>
      </c>
      <c r="E498" s="1474" t="s">
        <v>95</v>
      </c>
      <c r="F498" s="1478" t="s">
        <v>593</v>
      </c>
      <c r="G498" s="1478" t="s">
        <v>593</v>
      </c>
      <c r="H498" s="1474" t="s">
        <v>1091</v>
      </c>
      <c r="I498" s="1478" t="s">
        <v>815</v>
      </c>
      <c r="J498" s="1478"/>
      <c r="K498" s="1475" t="s">
        <v>847</v>
      </c>
      <c r="L498" s="1474" t="s">
        <v>582</v>
      </c>
      <c r="M498" s="1476" t="s">
        <v>842</v>
      </c>
      <c r="N498" s="1477" t="s">
        <v>1692</v>
      </c>
      <c r="O498" s="1479">
        <v>669</v>
      </c>
      <c r="P498" s="1479"/>
      <c r="Q498" s="1142">
        <f t="shared" si="127"/>
        <v>669</v>
      </c>
      <c r="R498" s="1143">
        <f>IFERROR(VLOOKUP(CONCATENATE(E498,G498),'LAC 103'!$A$12:$O$95,11,FALSE),0)</f>
        <v>2.4831562090749175</v>
      </c>
      <c r="S498" s="1144">
        <f>IFERROR(VLOOKUP(CONCATENATE($E498,$G498),'LAC 103'!$A$12:$O$95,12,FALSE),0)</f>
        <v>3.07</v>
      </c>
      <c r="T498" s="1144">
        <f>IFERROR(VLOOKUP(CONCATENATE($E498,$G498),'LAC 103'!$A$12:$O$95,13,FALSE),0)</f>
        <v>1.92</v>
      </c>
      <c r="U498" s="1144">
        <f>IFERROR(VLOOKUP(CONCATENATE($E498,$G498),'LAC 103'!$A$12:$O$95,14,FALSE),0)</f>
        <v>0</v>
      </c>
      <c r="V498" s="1144">
        <f>IFERROR(VLOOKUP(CONCATENATE($E498,$G498),'LAC 103'!$A$12:$O$95,15,FALSE),0)</f>
        <v>0</v>
      </c>
      <c r="W498" s="1145" t="str">
        <f>IFERROR(VLOOKUP(CONCATENATE($B498,$N498),'LAC 103'!$AI:$AQ,9,FALSE),"")</f>
        <v>Costs</v>
      </c>
      <c r="X498" s="1146">
        <f t="shared" si="132"/>
        <v>2.4831562090749175</v>
      </c>
      <c r="Y498" s="1143">
        <f t="shared" si="133"/>
        <v>1661.2315038711199</v>
      </c>
      <c r="Z498" s="1147">
        <f t="shared" si="134"/>
        <v>2053.83</v>
      </c>
      <c r="AA498" s="1144">
        <f t="shared" si="135"/>
        <v>1284.48</v>
      </c>
      <c r="AB498" s="1144">
        <f t="shared" si="136"/>
        <v>0</v>
      </c>
      <c r="AC498" s="1144">
        <f t="shared" si="137"/>
        <v>0</v>
      </c>
      <c r="AD498" s="1148">
        <f t="shared" si="128"/>
        <v>1661.2315038711199</v>
      </c>
      <c r="AE498" s="1487">
        <v>0</v>
      </c>
      <c r="AF498" s="1145">
        <f t="shared" si="138"/>
        <v>1661.2315038711199</v>
      </c>
      <c r="AG498" s="1149">
        <f>IFERROR(VLOOKUP(CONCATENATE($L498,$N498),'Drop List'!$G$23:$K$87,2,FALSE),0)</f>
        <v>0.56200000000000006</v>
      </c>
      <c r="AH498" s="1150">
        <f>IFERROR(VLOOKUP(CONCATENATE($L498,$N498),'Drop List'!$G$23:$K$87,3,FALSE),0)</f>
        <v>0.43799999999999994</v>
      </c>
      <c r="AI498" s="1150">
        <f>IFERROR(VLOOKUP(CONCATENATE($L498,$N498),'Drop List'!$G$23:$K$87,4,FALSE),0)</f>
        <v>0</v>
      </c>
      <c r="AJ498" s="1151">
        <f>IFERROR(VLOOKUP(CONCATENATE($L498,$N498),'Drop List'!$G$23:$K$87,5,FALSE),0)</f>
        <v>0</v>
      </c>
      <c r="AK498" s="1152">
        <f t="shared" si="139"/>
        <v>933.61210517556947</v>
      </c>
      <c r="AL498" s="1153">
        <f t="shared" si="140"/>
        <v>727.61939869555044</v>
      </c>
      <c r="AM498" s="1153">
        <f t="shared" si="141"/>
        <v>0</v>
      </c>
      <c r="AN498" s="1145">
        <f t="shared" si="142"/>
        <v>0</v>
      </c>
      <c r="AO498" s="1154">
        <f t="shared" si="143"/>
        <v>1661.2315038711199</v>
      </c>
      <c r="AP498" s="1147">
        <f t="shared" si="129"/>
        <v>0</v>
      </c>
      <c r="AQ498" s="1144">
        <f t="shared" si="130"/>
        <v>0</v>
      </c>
      <c r="AR498" s="1146">
        <f t="shared" si="131"/>
        <v>1661.2315038711199</v>
      </c>
    </row>
    <row r="499" spans="1:44" x14ac:dyDescent="0.2">
      <c r="A499" s="1141" t="str">
        <f t="shared" si="126"/>
        <v>1507</v>
      </c>
      <c r="B499" s="1141" t="str">
        <f>IFERROR(VLOOKUP(A499,'LAC 103'!A:C,3,FALSE),"")</f>
        <v>OP</v>
      </c>
      <c r="C499" s="1478" t="str">
        <f>Info!$B$8</f>
        <v>00100</v>
      </c>
      <c r="D499" s="1474" t="s">
        <v>256</v>
      </c>
      <c r="E499" s="1474" t="s">
        <v>95</v>
      </c>
      <c r="F499" s="1478" t="s">
        <v>593</v>
      </c>
      <c r="G499" s="1478" t="s">
        <v>593</v>
      </c>
      <c r="H499" s="1474" t="s">
        <v>1091</v>
      </c>
      <c r="I499" s="1478" t="s">
        <v>815</v>
      </c>
      <c r="J499" s="1478"/>
      <c r="K499" s="1475" t="s">
        <v>847</v>
      </c>
      <c r="L499" s="1474" t="s">
        <v>582</v>
      </c>
      <c r="M499" s="1476" t="s">
        <v>1698</v>
      </c>
      <c r="N499" s="1477" t="s">
        <v>1693</v>
      </c>
      <c r="O499" s="1479">
        <v>461</v>
      </c>
      <c r="P499" s="1479"/>
      <c r="Q499" s="1142">
        <f t="shared" si="127"/>
        <v>461</v>
      </c>
      <c r="R499" s="1143">
        <f>IFERROR(VLOOKUP(CONCATENATE(E499,G499),'LAC 103'!$A$12:$O$95,11,FALSE),0)</f>
        <v>2.4831562090749175</v>
      </c>
      <c r="S499" s="1144">
        <f>IFERROR(VLOOKUP(CONCATENATE($E499,$G499),'LAC 103'!$A$12:$O$95,12,FALSE),0)</f>
        <v>3.07</v>
      </c>
      <c r="T499" s="1144">
        <f>IFERROR(VLOOKUP(CONCATENATE($E499,$G499),'LAC 103'!$A$12:$O$95,13,FALSE),0)</f>
        <v>1.92</v>
      </c>
      <c r="U499" s="1144">
        <f>IFERROR(VLOOKUP(CONCATENATE($E499,$G499),'LAC 103'!$A$12:$O$95,14,FALSE),0)</f>
        <v>0</v>
      </c>
      <c r="V499" s="1144">
        <f>IFERROR(VLOOKUP(CONCATENATE($E499,$G499),'LAC 103'!$A$12:$O$95,15,FALSE),0)</f>
        <v>0</v>
      </c>
      <c r="W499" s="1145" t="str">
        <f>IFERROR(VLOOKUP(CONCATENATE($B499,$N499),'LAC 103'!$AI:$AQ,9,FALSE),"")</f>
        <v>Costs</v>
      </c>
      <c r="X499" s="1146">
        <f t="shared" si="132"/>
        <v>2.4831562090749175</v>
      </c>
      <c r="Y499" s="1143">
        <f t="shared" si="133"/>
        <v>1144.735012383537</v>
      </c>
      <c r="Z499" s="1147">
        <f t="shared" si="134"/>
        <v>1415.27</v>
      </c>
      <c r="AA499" s="1144">
        <f t="shared" si="135"/>
        <v>885.12</v>
      </c>
      <c r="AB499" s="1144">
        <f t="shared" si="136"/>
        <v>0</v>
      </c>
      <c r="AC499" s="1144">
        <f t="shared" si="137"/>
        <v>0</v>
      </c>
      <c r="AD499" s="1148">
        <f t="shared" si="128"/>
        <v>1144.735012383537</v>
      </c>
      <c r="AE499" s="1487">
        <v>0</v>
      </c>
      <c r="AF499" s="1145">
        <f t="shared" si="138"/>
        <v>1144.735012383537</v>
      </c>
      <c r="AG499" s="1149">
        <f>IFERROR(VLOOKUP(CONCATENATE($L499,$N499),'Drop List'!$G$23:$K$87,2,FALSE),0)</f>
        <v>0.56200000000000006</v>
      </c>
      <c r="AH499" s="1150">
        <f>IFERROR(VLOOKUP(CONCATENATE($L499,$N499),'Drop List'!$G$23:$K$87,3,FALSE),0)</f>
        <v>0.43799999999999994</v>
      </c>
      <c r="AI499" s="1150">
        <f>IFERROR(VLOOKUP(CONCATENATE($L499,$N499),'Drop List'!$G$23:$K$87,4,FALSE),0)</f>
        <v>0</v>
      </c>
      <c r="AJ499" s="1151">
        <f>IFERROR(VLOOKUP(CONCATENATE($L499,$N499),'Drop List'!$G$23:$K$87,5,FALSE),0)</f>
        <v>0</v>
      </c>
      <c r="AK499" s="1152">
        <f t="shared" si="139"/>
        <v>643.34107695954788</v>
      </c>
      <c r="AL499" s="1153">
        <f t="shared" si="140"/>
        <v>501.39393542398915</v>
      </c>
      <c r="AM499" s="1153">
        <f t="shared" si="141"/>
        <v>0</v>
      </c>
      <c r="AN499" s="1145">
        <f t="shared" si="142"/>
        <v>0</v>
      </c>
      <c r="AO499" s="1154">
        <f t="shared" si="143"/>
        <v>1144.735012383537</v>
      </c>
      <c r="AP499" s="1147">
        <f t="shared" si="129"/>
        <v>0</v>
      </c>
      <c r="AQ499" s="1144">
        <f t="shared" si="130"/>
        <v>0</v>
      </c>
      <c r="AR499" s="1146">
        <f t="shared" si="131"/>
        <v>1144.735012383537</v>
      </c>
    </row>
    <row r="500" spans="1:44" x14ac:dyDescent="0.2">
      <c r="A500" s="1141" t="str">
        <f t="shared" si="126"/>
        <v>1507</v>
      </c>
      <c r="B500" s="1141" t="str">
        <f>IFERROR(VLOOKUP(A500,'LAC 103'!A:C,3,FALSE),"")</f>
        <v>OP</v>
      </c>
      <c r="C500" s="1478" t="str">
        <f>Info!$B$8</f>
        <v>00100</v>
      </c>
      <c r="D500" s="1474" t="s">
        <v>256</v>
      </c>
      <c r="E500" s="1474" t="s">
        <v>95</v>
      </c>
      <c r="F500" s="1478" t="s">
        <v>593</v>
      </c>
      <c r="G500" s="1478" t="s">
        <v>593</v>
      </c>
      <c r="H500" s="1474" t="s">
        <v>1091</v>
      </c>
      <c r="I500" s="1478" t="s">
        <v>815</v>
      </c>
      <c r="J500" s="1478"/>
      <c r="K500" s="1475" t="s">
        <v>848</v>
      </c>
      <c r="L500" s="1474" t="s">
        <v>45</v>
      </c>
      <c r="M500" s="1476" t="s">
        <v>1699</v>
      </c>
      <c r="N500" s="1477" t="s">
        <v>1694</v>
      </c>
      <c r="O500" s="1479">
        <v>30</v>
      </c>
      <c r="P500" s="1479"/>
      <c r="Q500" s="1142">
        <f t="shared" si="127"/>
        <v>30</v>
      </c>
      <c r="R500" s="1143">
        <f>IFERROR(VLOOKUP(CONCATENATE(E500,G500),'LAC 103'!$A$12:$O$95,11,FALSE),0)</f>
        <v>2.4831562090749175</v>
      </c>
      <c r="S500" s="1144">
        <f>IFERROR(VLOOKUP(CONCATENATE($E500,$G500),'LAC 103'!$A$12:$O$95,12,FALSE),0)</f>
        <v>3.07</v>
      </c>
      <c r="T500" s="1144">
        <f>IFERROR(VLOOKUP(CONCATENATE($E500,$G500),'LAC 103'!$A$12:$O$95,13,FALSE),0)</f>
        <v>1.92</v>
      </c>
      <c r="U500" s="1144">
        <f>IFERROR(VLOOKUP(CONCATENATE($E500,$G500),'LAC 103'!$A$12:$O$95,14,FALSE),0)</f>
        <v>0</v>
      </c>
      <c r="V500" s="1144">
        <f>IFERROR(VLOOKUP(CONCATENATE($E500,$G500),'LAC 103'!$A$12:$O$95,15,FALSE),0)</f>
        <v>0</v>
      </c>
      <c r="W500" s="1145" t="str">
        <f>IFERROR(VLOOKUP(CONCATENATE($B500,$N500),'LAC 103'!$AI:$AQ,9,FALSE),"")</f>
        <v>Costs</v>
      </c>
      <c r="X500" s="1146">
        <f t="shared" si="132"/>
        <v>2.4831562090749175</v>
      </c>
      <c r="Y500" s="1143">
        <f t="shared" si="133"/>
        <v>74.49468627224752</v>
      </c>
      <c r="Z500" s="1147">
        <f t="shared" si="134"/>
        <v>92.1</v>
      </c>
      <c r="AA500" s="1144">
        <f t="shared" si="135"/>
        <v>57.599999999999994</v>
      </c>
      <c r="AB500" s="1144">
        <f t="shared" si="136"/>
        <v>0</v>
      </c>
      <c r="AC500" s="1144">
        <f t="shared" si="137"/>
        <v>0</v>
      </c>
      <c r="AD500" s="1148">
        <f t="shared" si="128"/>
        <v>74.49468627224752</v>
      </c>
      <c r="AE500" s="1487">
        <v>0</v>
      </c>
      <c r="AF500" s="1145">
        <f t="shared" si="138"/>
        <v>74.49468627224752</v>
      </c>
      <c r="AG500" s="1149">
        <f>IFERROR(VLOOKUP(CONCATENATE($L500,$N500),'Drop List'!$G$23:$K$87,2,FALSE),0)</f>
        <v>0.69340000000000002</v>
      </c>
      <c r="AH500" s="1150">
        <f>IFERROR(VLOOKUP(CONCATENATE($L500,$N500),'Drop List'!$G$23:$K$87,3,FALSE),0)</f>
        <v>0.30659999999999998</v>
      </c>
      <c r="AI500" s="1150">
        <f>IFERROR(VLOOKUP(CONCATENATE($L500,$N500),'Drop List'!$G$23:$K$87,4,FALSE),0)</f>
        <v>0</v>
      </c>
      <c r="AJ500" s="1151">
        <f>IFERROR(VLOOKUP(CONCATENATE($L500,$N500),'Drop List'!$G$23:$K$87,5,FALSE),0)</f>
        <v>0</v>
      </c>
      <c r="AK500" s="1152">
        <f t="shared" si="139"/>
        <v>51.654615461176434</v>
      </c>
      <c r="AL500" s="1153">
        <f t="shared" si="140"/>
        <v>22.84007081107109</v>
      </c>
      <c r="AM500" s="1153">
        <f t="shared" si="141"/>
        <v>0</v>
      </c>
      <c r="AN500" s="1145">
        <f t="shared" si="142"/>
        <v>0</v>
      </c>
      <c r="AO500" s="1154">
        <f t="shared" si="143"/>
        <v>74.49468627224752</v>
      </c>
      <c r="AP500" s="1147">
        <f t="shared" si="129"/>
        <v>0</v>
      </c>
      <c r="AQ500" s="1144">
        <f t="shared" si="130"/>
        <v>0</v>
      </c>
      <c r="AR500" s="1146">
        <f t="shared" si="131"/>
        <v>74.49468627224752</v>
      </c>
    </row>
    <row r="501" spans="1:44" x14ac:dyDescent="0.2">
      <c r="A501" s="1141" t="str">
        <f t="shared" si="126"/>
        <v>1507</v>
      </c>
      <c r="B501" s="1141" t="str">
        <f>IFERROR(VLOOKUP(A501,'LAC 103'!A:C,3,FALSE),"")</f>
        <v>OP</v>
      </c>
      <c r="C501" s="1478" t="str">
        <f>Info!$B$8</f>
        <v>00100</v>
      </c>
      <c r="D501" s="1474" t="s">
        <v>256</v>
      </c>
      <c r="E501" s="1474" t="s">
        <v>95</v>
      </c>
      <c r="F501" s="1478" t="s">
        <v>593</v>
      </c>
      <c r="G501" s="1478" t="s">
        <v>593</v>
      </c>
      <c r="H501" s="1474" t="s">
        <v>1091</v>
      </c>
      <c r="I501" s="1478" t="s">
        <v>815</v>
      </c>
      <c r="J501" s="1478"/>
      <c r="K501" s="1475" t="s">
        <v>848</v>
      </c>
      <c r="L501" s="1474" t="s">
        <v>45</v>
      </c>
      <c r="M501" s="1476" t="s">
        <v>841</v>
      </c>
      <c r="N501" s="1477" t="s">
        <v>1695</v>
      </c>
      <c r="O501" s="1479">
        <v>30</v>
      </c>
      <c r="P501" s="1479"/>
      <c r="Q501" s="1142">
        <f t="shared" si="127"/>
        <v>30</v>
      </c>
      <c r="R501" s="1143">
        <f>IFERROR(VLOOKUP(CONCATENATE(E501,G501),'LAC 103'!$A$12:$O$95,11,FALSE),0)</f>
        <v>2.4831562090749175</v>
      </c>
      <c r="S501" s="1144">
        <f>IFERROR(VLOOKUP(CONCATENATE($E501,$G501),'LAC 103'!$A$12:$O$95,12,FALSE),0)</f>
        <v>3.07</v>
      </c>
      <c r="T501" s="1144">
        <f>IFERROR(VLOOKUP(CONCATENATE($E501,$G501),'LAC 103'!$A$12:$O$95,13,FALSE),0)</f>
        <v>1.92</v>
      </c>
      <c r="U501" s="1144">
        <f>IFERROR(VLOOKUP(CONCATENATE($E501,$G501),'LAC 103'!$A$12:$O$95,14,FALSE),0)</f>
        <v>0</v>
      </c>
      <c r="V501" s="1144">
        <f>IFERROR(VLOOKUP(CONCATENATE($E501,$G501),'LAC 103'!$A$12:$O$95,15,FALSE),0)</f>
        <v>0</v>
      </c>
      <c r="W501" s="1145" t="str">
        <f>IFERROR(VLOOKUP(CONCATENATE($B501,$N501),'LAC 103'!$AI:$AQ,9,FALSE),"")</f>
        <v>Costs</v>
      </c>
      <c r="X501" s="1146">
        <f t="shared" si="132"/>
        <v>2.4831562090749175</v>
      </c>
      <c r="Y501" s="1143">
        <f t="shared" si="133"/>
        <v>74.49468627224752</v>
      </c>
      <c r="Z501" s="1147">
        <f t="shared" si="134"/>
        <v>92.1</v>
      </c>
      <c r="AA501" s="1144">
        <f t="shared" si="135"/>
        <v>57.599999999999994</v>
      </c>
      <c r="AB501" s="1144">
        <f t="shared" si="136"/>
        <v>0</v>
      </c>
      <c r="AC501" s="1144">
        <f t="shared" si="137"/>
        <v>0</v>
      </c>
      <c r="AD501" s="1148">
        <f t="shared" si="128"/>
        <v>74.49468627224752</v>
      </c>
      <c r="AE501" s="1487">
        <v>0</v>
      </c>
      <c r="AF501" s="1145">
        <f t="shared" si="138"/>
        <v>74.49468627224752</v>
      </c>
      <c r="AG501" s="1149">
        <f>IFERROR(VLOOKUP(CONCATENATE($L501,$N501),'Drop List'!$G$23:$K$87,2,FALSE),0)</f>
        <v>0.68500000000000005</v>
      </c>
      <c r="AH501" s="1150">
        <f>IFERROR(VLOOKUP(CONCATENATE($L501,$N501),'Drop List'!$G$23:$K$87,3,FALSE),0)</f>
        <v>0.31499999999999995</v>
      </c>
      <c r="AI501" s="1150">
        <f>IFERROR(VLOOKUP(CONCATENATE($L501,$N501),'Drop List'!$G$23:$K$87,4,FALSE),0)</f>
        <v>0</v>
      </c>
      <c r="AJ501" s="1151">
        <f>IFERROR(VLOOKUP(CONCATENATE($L501,$N501),'Drop List'!$G$23:$K$87,5,FALSE),0)</f>
        <v>0</v>
      </c>
      <c r="AK501" s="1152">
        <f t="shared" si="139"/>
        <v>51.028860096489552</v>
      </c>
      <c r="AL501" s="1153">
        <f t="shared" si="140"/>
        <v>23.465826175757964</v>
      </c>
      <c r="AM501" s="1153">
        <f t="shared" si="141"/>
        <v>0</v>
      </c>
      <c r="AN501" s="1145">
        <f t="shared" si="142"/>
        <v>0</v>
      </c>
      <c r="AO501" s="1154">
        <f t="shared" si="143"/>
        <v>74.49468627224752</v>
      </c>
      <c r="AP501" s="1147">
        <f t="shared" si="129"/>
        <v>0</v>
      </c>
      <c r="AQ501" s="1144">
        <f t="shared" si="130"/>
        <v>0</v>
      </c>
      <c r="AR501" s="1146">
        <f t="shared" si="131"/>
        <v>74.49468627224752</v>
      </c>
    </row>
    <row r="502" spans="1:44" x14ac:dyDescent="0.2">
      <c r="A502" s="1141" t="str">
        <f t="shared" si="126"/>
        <v>1507</v>
      </c>
      <c r="B502" s="1141" t="str">
        <f>IFERROR(VLOOKUP(A502,'LAC 103'!A:C,3,FALSE),"")</f>
        <v>OP</v>
      </c>
      <c r="C502" s="1478" t="str">
        <f>Info!$B$8</f>
        <v>00100</v>
      </c>
      <c r="D502" s="1474" t="s">
        <v>256</v>
      </c>
      <c r="E502" s="1474" t="s">
        <v>95</v>
      </c>
      <c r="F502" s="1478" t="s">
        <v>593</v>
      </c>
      <c r="G502" s="1478" t="s">
        <v>593</v>
      </c>
      <c r="H502" s="1474" t="s">
        <v>1091</v>
      </c>
      <c r="I502" s="1478" t="s">
        <v>815</v>
      </c>
      <c r="J502" s="1478"/>
      <c r="K502" s="1475" t="s">
        <v>848</v>
      </c>
      <c r="L502" s="1474" t="s">
        <v>45</v>
      </c>
      <c r="M502" s="1476" t="s">
        <v>840</v>
      </c>
      <c r="N502" s="1477" t="s">
        <v>1700</v>
      </c>
      <c r="O502" s="1479">
        <v>30</v>
      </c>
      <c r="P502" s="1479"/>
      <c r="Q502" s="1142">
        <f t="shared" si="127"/>
        <v>30</v>
      </c>
      <c r="R502" s="1143">
        <f>IFERROR(VLOOKUP(CONCATENATE(E502,G502),'LAC 103'!$A$12:$O$95,11,FALSE),0)</f>
        <v>2.4831562090749175</v>
      </c>
      <c r="S502" s="1144">
        <f>IFERROR(VLOOKUP(CONCATENATE($E502,$G502),'LAC 103'!$A$12:$O$95,12,FALSE),0)</f>
        <v>3.07</v>
      </c>
      <c r="T502" s="1144">
        <f>IFERROR(VLOOKUP(CONCATENATE($E502,$G502),'LAC 103'!$A$12:$O$95,13,FALSE),0)</f>
        <v>1.92</v>
      </c>
      <c r="U502" s="1144">
        <f>IFERROR(VLOOKUP(CONCATENATE($E502,$G502),'LAC 103'!$A$12:$O$95,14,FALSE),0)</f>
        <v>0</v>
      </c>
      <c r="V502" s="1144">
        <f>IFERROR(VLOOKUP(CONCATENATE($E502,$G502),'LAC 103'!$A$12:$O$95,15,FALSE),0)</f>
        <v>0</v>
      </c>
      <c r="W502" s="1145" t="str">
        <f>IFERROR(VLOOKUP(CONCATENATE($B502,$N502),'LAC 103'!$AI:$AQ,9,FALSE),"")</f>
        <v>P.C.</v>
      </c>
      <c r="X502" s="1146">
        <f t="shared" si="132"/>
        <v>1.92</v>
      </c>
      <c r="Y502" s="1143">
        <f t="shared" si="133"/>
        <v>74.49468627224752</v>
      </c>
      <c r="Z502" s="1147">
        <f t="shared" si="134"/>
        <v>92.1</v>
      </c>
      <c r="AA502" s="1144">
        <f t="shared" si="135"/>
        <v>57.599999999999994</v>
      </c>
      <c r="AB502" s="1144">
        <f t="shared" si="136"/>
        <v>0</v>
      </c>
      <c r="AC502" s="1144">
        <f t="shared" si="137"/>
        <v>0</v>
      </c>
      <c r="AD502" s="1148">
        <f t="shared" si="128"/>
        <v>57.599999999999994</v>
      </c>
      <c r="AE502" s="1487">
        <v>0</v>
      </c>
      <c r="AF502" s="1145">
        <f t="shared" si="138"/>
        <v>57.599999999999994</v>
      </c>
      <c r="AG502" s="1149">
        <f>IFERROR(VLOOKUP(CONCATENATE($L502,$N502),'Drop List'!$G$23:$K$87,2,FALSE),0)</f>
        <v>0.68500000000000005</v>
      </c>
      <c r="AH502" s="1150">
        <f>IFERROR(VLOOKUP(CONCATENATE($L502,$N502),'Drop List'!$G$23:$K$87,3,FALSE),0)</f>
        <v>0.31499999999999995</v>
      </c>
      <c r="AI502" s="1150">
        <f>IFERROR(VLOOKUP(CONCATENATE($L502,$N502),'Drop List'!$G$23:$K$87,4,FALSE),0)</f>
        <v>0</v>
      </c>
      <c r="AJ502" s="1151">
        <f>IFERROR(VLOOKUP(CONCATENATE($L502,$N502),'Drop List'!$G$23:$K$87,5,FALSE),0)</f>
        <v>0</v>
      </c>
      <c r="AK502" s="1152">
        <f t="shared" si="139"/>
        <v>39.455999999999996</v>
      </c>
      <c r="AL502" s="1153">
        <f t="shared" si="140"/>
        <v>18.143999999999995</v>
      </c>
      <c r="AM502" s="1153">
        <f t="shared" si="141"/>
        <v>0</v>
      </c>
      <c r="AN502" s="1145">
        <f t="shared" si="142"/>
        <v>0</v>
      </c>
      <c r="AO502" s="1154">
        <f t="shared" si="143"/>
        <v>57.599999999999994</v>
      </c>
      <c r="AP502" s="1147">
        <f t="shared" si="129"/>
        <v>0</v>
      </c>
      <c r="AQ502" s="1144">
        <f t="shared" si="130"/>
        <v>0</v>
      </c>
      <c r="AR502" s="1146">
        <f t="shared" si="131"/>
        <v>57.599999999999994</v>
      </c>
    </row>
    <row r="503" spans="1:44" x14ac:dyDescent="0.2">
      <c r="A503" s="1141" t="str">
        <f t="shared" si="126"/>
        <v>1507</v>
      </c>
      <c r="B503" s="1141" t="str">
        <f>IFERROR(VLOOKUP(A503,'LAC 103'!A:C,3,FALSE),"")</f>
        <v>OP</v>
      </c>
      <c r="C503" s="1478" t="str">
        <f>Info!$B$8</f>
        <v>00100</v>
      </c>
      <c r="D503" s="1474" t="s">
        <v>256</v>
      </c>
      <c r="E503" s="1474" t="s">
        <v>95</v>
      </c>
      <c r="F503" s="1478" t="s">
        <v>593</v>
      </c>
      <c r="G503" s="1478" t="s">
        <v>593</v>
      </c>
      <c r="H503" s="1474" t="s">
        <v>1091</v>
      </c>
      <c r="I503" s="1478" t="s">
        <v>815</v>
      </c>
      <c r="J503" s="1478"/>
      <c r="K503" s="1475" t="s">
        <v>848</v>
      </c>
      <c r="L503" s="1474" t="s">
        <v>45</v>
      </c>
      <c r="M503" s="1476" t="s">
        <v>842</v>
      </c>
      <c r="N503" s="1477" t="s">
        <v>1692</v>
      </c>
      <c r="O503" s="1479">
        <v>30</v>
      </c>
      <c r="P503" s="1479"/>
      <c r="Q503" s="1142">
        <f t="shared" si="127"/>
        <v>30</v>
      </c>
      <c r="R503" s="1143">
        <f>IFERROR(VLOOKUP(CONCATENATE(E503,G503),'LAC 103'!$A$12:$O$95,11,FALSE),0)</f>
        <v>2.4831562090749175</v>
      </c>
      <c r="S503" s="1144">
        <f>IFERROR(VLOOKUP(CONCATENATE($E503,$G503),'LAC 103'!$A$12:$O$95,12,FALSE),0)</f>
        <v>3.07</v>
      </c>
      <c r="T503" s="1144">
        <f>IFERROR(VLOOKUP(CONCATENATE($E503,$G503),'LAC 103'!$A$12:$O$95,13,FALSE),0)</f>
        <v>1.92</v>
      </c>
      <c r="U503" s="1144">
        <f>IFERROR(VLOOKUP(CONCATENATE($E503,$G503),'LAC 103'!$A$12:$O$95,14,FALSE),0)</f>
        <v>0</v>
      </c>
      <c r="V503" s="1144">
        <f>IFERROR(VLOOKUP(CONCATENATE($E503,$G503),'LAC 103'!$A$12:$O$95,15,FALSE),0)</f>
        <v>0</v>
      </c>
      <c r="W503" s="1145" t="str">
        <f>IFERROR(VLOOKUP(CONCATENATE($B503,$N503),'LAC 103'!$AI:$AQ,9,FALSE),"")</f>
        <v>Costs</v>
      </c>
      <c r="X503" s="1146">
        <f t="shared" si="132"/>
        <v>2.4831562090749175</v>
      </c>
      <c r="Y503" s="1143">
        <f t="shared" si="133"/>
        <v>74.49468627224752</v>
      </c>
      <c r="Z503" s="1147">
        <f t="shared" si="134"/>
        <v>92.1</v>
      </c>
      <c r="AA503" s="1144">
        <f t="shared" si="135"/>
        <v>57.599999999999994</v>
      </c>
      <c r="AB503" s="1144">
        <f t="shared" si="136"/>
        <v>0</v>
      </c>
      <c r="AC503" s="1144">
        <f t="shared" si="137"/>
        <v>0</v>
      </c>
      <c r="AD503" s="1148">
        <f t="shared" si="128"/>
        <v>74.49468627224752</v>
      </c>
      <c r="AE503" s="1487">
        <v>0</v>
      </c>
      <c r="AF503" s="1145">
        <f t="shared" si="138"/>
        <v>74.49468627224752</v>
      </c>
      <c r="AG503" s="1149">
        <f>IFERROR(VLOOKUP(CONCATENATE($L503,$N503),'Drop List'!$G$23:$K$87,2,FALSE),0)</f>
        <v>0.69340000000000002</v>
      </c>
      <c r="AH503" s="1150">
        <f>IFERROR(VLOOKUP(CONCATENATE($L503,$N503),'Drop List'!$G$23:$K$87,3,FALSE),0)</f>
        <v>0.30659999999999998</v>
      </c>
      <c r="AI503" s="1150">
        <f>IFERROR(VLOOKUP(CONCATENATE($L503,$N503),'Drop List'!$G$23:$K$87,4,FALSE),0)</f>
        <v>0</v>
      </c>
      <c r="AJ503" s="1151">
        <f>IFERROR(VLOOKUP(CONCATENATE($L503,$N503),'Drop List'!$G$23:$K$87,5,FALSE),0)</f>
        <v>0</v>
      </c>
      <c r="AK503" s="1152">
        <f t="shared" si="139"/>
        <v>51.654615461176434</v>
      </c>
      <c r="AL503" s="1153">
        <f t="shared" si="140"/>
        <v>22.84007081107109</v>
      </c>
      <c r="AM503" s="1153">
        <f t="shared" si="141"/>
        <v>0</v>
      </c>
      <c r="AN503" s="1145">
        <f t="shared" si="142"/>
        <v>0</v>
      </c>
      <c r="AO503" s="1154">
        <f t="shared" si="143"/>
        <v>74.49468627224752</v>
      </c>
      <c r="AP503" s="1147">
        <f t="shared" si="129"/>
        <v>0</v>
      </c>
      <c r="AQ503" s="1144">
        <f t="shared" si="130"/>
        <v>0</v>
      </c>
      <c r="AR503" s="1146">
        <f t="shared" si="131"/>
        <v>74.49468627224752</v>
      </c>
    </row>
    <row r="504" spans="1:44" x14ac:dyDescent="0.2">
      <c r="A504" s="1141" t="str">
        <f t="shared" si="126"/>
        <v>1507</v>
      </c>
      <c r="B504" s="1141" t="str">
        <f>IFERROR(VLOOKUP(A504,'LAC 103'!A:C,3,FALSE),"")</f>
        <v>OP</v>
      </c>
      <c r="C504" s="1478" t="str">
        <f>Info!$B$8</f>
        <v>00100</v>
      </c>
      <c r="D504" s="1474" t="s">
        <v>256</v>
      </c>
      <c r="E504" s="1474" t="s">
        <v>95</v>
      </c>
      <c r="F504" s="1478" t="s">
        <v>593</v>
      </c>
      <c r="G504" s="1478" t="s">
        <v>593</v>
      </c>
      <c r="H504" s="1474" t="s">
        <v>1091</v>
      </c>
      <c r="I504" s="1478" t="s">
        <v>815</v>
      </c>
      <c r="J504" s="1478"/>
      <c r="K504" s="1475" t="s">
        <v>971</v>
      </c>
      <c r="L504" s="1474" t="s">
        <v>332</v>
      </c>
      <c r="M504" s="1476" t="s">
        <v>842</v>
      </c>
      <c r="N504" s="1477" t="s">
        <v>1692</v>
      </c>
      <c r="O504" s="1479">
        <v>80</v>
      </c>
      <c r="P504" s="1479"/>
      <c r="Q504" s="1142">
        <f t="shared" si="127"/>
        <v>80</v>
      </c>
      <c r="R504" s="1143">
        <f>IFERROR(VLOOKUP(CONCATENATE(E504,G504),'LAC 103'!$A$12:$O$95,11,FALSE),0)</f>
        <v>2.4831562090749175</v>
      </c>
      <c r="S504" s="1144">
        <f>IFERROR(VLOOKUP(CONCATENATE($E504,$G504),'LAC 103'!$A$12:$O$95,12,FALSE),0)</f>
        <v>3.07</v>
      </c>
      <c r="T504" s="1144">
        <f>IFERROR(VLOOKUP(CONCATENATE($E504,$G504),'LAC 103'!$A$12:$O$95,13,FALSE),0)</f>
        <v>1.92</v>
      </c>
      <c r="U504" s="1144">
        <f>IFERROR(VLOOKUP(CONCATENATE($E504,$G504),'LAC 103'!$A$12:$O$95,14,FALSE),0)</f>
        <v>0</v>
      </c>
      <c r="V504" s="1144">
        <f>IFERROR(VLOOKUP(CONCATENATE($E504,$G504),'LAC 103'!$A$12:$O$95,15,FALSE),0)</f>
        <v>0</v>
      </c>
      <c r="W504" s="1145" t="str">
        <f>IFERROR(VLOOKUP(CONCATENATE($B504,$N504),'LAC 103'!$AI:$AQ,9,FALSE),"")</f>
        <v>Costs</v>
      </c>
      <c r="X504" s="1146">
        <f t="shared" si="132"/>
        <v>2.4831562090749175</v>
      </c>
      <c r="Y504" s="1143">
        <f t="shared" si="133"/>
        <v>198.65249672599339</v>
      </c>
      <c r="Z504" s="1147">
        <f t="shared" si="134"/>
        <v>245.6</v>
      </c>
      <c r="AA504" s="1144">
        <f t="shared" si="135"/>
        <v>153.6</v>
      </c>
      <c r="AB504" s="1144">
        <f t="shared" si="136"/>
        <v>0</v>
      </c>
      <c r="AC504" s="1144">
        <f t="shared" si="137"/>
        <v>0</v>
      </c>
      <c r="AD504" s="1148">
        <f t="shared" si="128"/>
        <v>198.65249672599339</v>
      </c>
      <c r="AE504" s="1487">
        <v>0</v>
      </c>
      <c r="AF504" s="1145">
        <f t="shared" si="138"/>
        <v>198.65249672599339</v>
      </c>
      <c r="AG504" s="1149">
        <f>IFERROR(VLOOKUP(CONCATENATE($L504,$N504),'Drop List'!$G$23:$K$87,2,FALSE),0)</f>
        <v>0</v>
      </c>
      <c r="AH504" s="1150">
        <f>IFERROR(VLOOKUP(CONCATENATE($L504,$N504),'Drop List'!$G$23:$K$87,3,FALSE),0)</f>
        <v>0</v>
      </c>
      <c r="AI504" s="1150">
        <f>IFERROR(VLOOKUP(CONCATENATE($L504,$N504),'Drop List'!$G$23:$K$87,4,FALSE),0)</f>
        <v>0</v>
      </c>
      <c r="AJ504" s="1151">
        <f>IFERROR(VLOOKUP(CONCATENATE($L504,$N504),'Drop List'!$G$23:$K$87,5,FALSE),0)</f>
        <v>0</v>
      </c>
      <c r="AK504" s="1152">
        <f t="shared" si="139"/>
        <v>0</v>
      </c>
      <c r="AL504" s="1153">
        <f t="shared" si="140"/>
        <v>0</v>
      </c>
      <c r="AM504" s="1153">
        <f t="shared" si="141"/>
        <v>0</v>
      </c>
      <c r="AN504" s="1145">
        <f t="shared" si="142"/>
        <v>0</v>
      </c>
      <c r="AO504" s="1154">
        <f t="shared" si="143"/>
        <v>0</v>
      </c>
      <c r="AP504" s="1147">
        <f t="shared" si="129"/>
        <v>198.65249672599339</v>
      </c>
      <c r="AQ504" s="1144">
        <f t="shared" si="130"/>
        <v>0</v>
      </c>
      <c r="AR504" s="1146">
        <f t="shared" si="131"/>
        <v>198.65249672599339</v>
      </c>
    </row>
    <row r="505" spans="1:44" x14ac:dyDescent="0.2">
      <c r="A505" s="1141" t="str">
        <f t="shared" si="126"/>
        <v>1507</v>
      </c>
      <c r="B505" s="1141" t="str">
        <f>IFERROR(VLOOKUP(A505,'LAC 103'!A:C,3,FALSE),"")</f>
        <v>OP</v>
      </c>
      <c r="C505" s="1478" t="str">
        <f>Info!$B$8</f>
        <v>00100</v>
      </c>
      <c r="D505" s="1474" t="s">
        <v>256</v>
      </c>
      <c r="E505" s="1474" t="s">
        <v>95</v>
      </c>
      <c r="F505" s="1478" t="s">
        <v>593</v>
      </c>
      <c r="G505" s="1478" t="s">
        <v>593</v>
      </c>
      <c r="H505" s="1474" t="s">
        <v>1057</v>
      </c>
      <c r="I505" s="1478" t="s">
        <v>798</v>
      </c>
      <c r="J505" s="1478" t="s">
        <v>123</v>
      </c>
      <c r="K505" s="1475" t="s">
        <v>847</v>
      </c>
      <c r="L505" s="1474" t="s">
        <v>582</v>
      </c>
      <c r="M505" s="1476" t="s">
        <v>1699</v>
      </c>
      <c r="N505" s="1477" t="s">
        <v>1694</v>
      </c>
      <c r="O505" s="1479">
        <v>31883</v>
      </c>
      <c r="P505" s="1479"/>
      <c r="Q505" s="1142">
        <f t="shared" si="127"/>
        <v>31883</v>
      </c>
      <c r="R505" s="1143">
        <f>IFERROR(VLOOKUP(CONCATENATE(E505,G505),'LAC 103'!$A$12:$O$95,11,FALSE),0)</f>
        <v>2.4831562090749175</v>
      </c>
      <c r="S505" s="1144">
        <f>IFERROR(VLOOKUP(CONCATENATE($E505,$G505),'LAC 103'!$A$12:$O$95,12,FALSE),0)</f>
        <v>3.07</v>
      </c>
      <c r="T505" s="1144">
        <f>IFERROR(VLOOKUP(CONCATENATE($E505,$G505),'LAC 103'!$A$12:$O$95,13,FALSE),0)</f>
        <v>1.92</v>
      </c>
      <c r="U505" s="1144">
        <f>IFERROR(VLOOKUP(CONCATENATE($E505,$G505),'LAC 103'!$A$12:$O$95,14,FALSE),0)</f>
        <v>0</v>
      </c>
      <c r="V505" s="1144">
        <f>IFERROR(VLOOKUP(CONCATENATE($E505,$G505),'LAC 103'!$A$12:$O$95,15,FALSE),0)</f>
        <v>0</v>
      </c>
      <c r="W505" s="1145" t="str">
        <f>IFERROR(VLOOKUP(CONCATENATE($B505,$N505),'LAC 103'!$AI:$AQ,9,FALSE),"")</f>
        <v>Costs</v>
      </c>
      <c r="X505" s="1146">
        <f t="shared" si="132"/>
        <v>2.4831562090749175</v>
      </c>
      <c r="Y505" s="1143">
        <f t="shared" si="133"/>
        <v>79170.4694139356</v>
      </c>
      <c r="Z505" s="1147">
        <f t="shared" si="134"/>
        <v>97880.81</v>
      </c>
      <c r="AA505" s="1144">
        <f t="shared" si="135"/>
        <v>61215.360000000001</v>
      </c>
      <c r="AB505" s="1144">
        <f t="shared" si="136"/>
        <v>0</v>
      </c>
      <c r="AC505" s="1144">
        <f t="shared" si="137"/>
        <v>0</v>
      </c>
      <c r="AD505" s="1148">
        <f t="shared" si="128"/>
        <v>79170.4694139356</v>
      </c>
      <c r="AE505" s="1487">
        <v>0</v>
      </c>
      <c r="AF505" s="1145">
        <f t="shared" si="138"/>
        <v>79170.4694139356</v>
      </c>
      <c r="AG505" s="1149">
        <f>IFERROR(VLOOKUP(CONCATENATE($L505,$N505),'Drop List'!$G$23:$K$87,2,FALSE),0)</f>
        <v>0.56200000000000006</v>
      </c>
      <c r="AH505" s="1150">
        <f>IFERROR(VLOOKUP(CONCATENATE($L505,$N505),'Drop List'!$G$23:$K$87,3,FALSE),0)</f>
        <v>0.43799999999999994</v>
      </c>
      <c r="AI505" s="1150">
        <f>IFERROR(VLOOKUP(CONCATENATE($L505,$N505),'Drop List'!$G$23:$K$87,4,FALSE),0)</f>
        <v>0</v>
      </c>
      <c r="AJ505" s="1151">
        <f>IFERROR(VLOOKUP(CONCATENATE($L505,$N505),'Drop List'!$G$23:$K$87,5,FALSE),0)</f>
        <v>0</v>
      </c>
      <c r="AK505" s="1152">
        <f t="shared" si="139"/>
        <v>44493.803810631813</v>
      </c>
      <c r="AL505" s="1153">
        <f t="shared" si="140"/>
        <v>34676.665603303787</v>
      </c>
      <c r="AM505" s="1153">
        <f t="shared" si="141"/>
        <v>0</v>
      </c>
      <c r="AN505" s="1145">
        <f t="shared" si="142"/>
        <v>0</v>
      </c>
      <c r="AO505" s="1154">
        <f t="shared" si="143"/>
        <v>79170.4694139356</v>
      </c>
      <c r="AP505" s="1147">
        <f t="shared" si="129"/>
        <v>0</v>
      </c>
      <c r="AQ505" s="1144">
        <f t="shared" si="130"/>
        <v>0</v>
      </c>
      <c r="AR505" s="1146">
        <f t="shared" si="131"/>
        <v>79170.4694139356</v>
      </c>
    </row>
    <row r="506" spans="1:44" x14ac:dyDescent="0.2">
      <c r="A506" s="1141" t="str">
        <f t="shared" si="126"/>
        <v>1507</v>
      </c>
      <c r="B506" s="1141" t="str">
        <f>IFERROR(VLOOKUP(A506,'LAC 103'!A:C,3,FALSE),"")</f>
        <v>OP</v>
      </c>
      <c r="C506" s="1478" t="str">
        <f>Info!$B$8</f>
        <v>00100</v>
      </c>
      <c r="D506" s="1474" t="s">
        <v>256</v>
      </c>
      <c r="E506" s="1474" t="s">
        <v>95</v>
      </c>
      <c r="F506" s="1478" t="s">
        <v>593</v>
      </c>
      <c r="G506" s="1478" t="s">
        <v>593</v>
      </c>
      <c r="H506" s="1474" t="s">
        <v>1057</v>
      </c>
      <c r="I506" s="1478" t="s">
        <v>798</v>
      </c>
      <c r="J506" s="1478"/>
      <c r="K506" s="1475" t="s">
        <v>847</v>
      </c>
      <c r="L506" s="1474" t="s">
        <v>582</v>
      </c>
      <c r="M506" s="1476" t="s">
        <v>841</v>
      </c>
      <c r="N506" s="1477" t="s">
        <v>1695</v>
      </c>
      <c r="O506" s="1479">
        <v>9936</v>
      </c>
      <c r="P506" s="1479"/>
      <c r="Q506" s="1142">
        <f t="shared" si="127"/>
        <v>9936</v>
      </c>
      <c r="R506" s="1143">
        <f>IFERROR(VLOOKUP(CONCATENATE(E506,G506),'LAC 103'!$A$12:$O$95,11,FALSE),0)</f>
        <v>2.4831562090749175</v>
      </c>
      <c r="S506" s="1144">
        <f>IFERROR(VLOOKUP(CONCATENATE($E506,$G506),'LAC 103'!$A$12:$O$95,12,FALSE),0)</f>
        <v>3.07</v>
      </c>
      <c r="T506" s="1144">
        <f>IFERROR(VLOOKUP(CONCATENATE($E506,$G506),'LAC 103'!$A$12:$O$95,13,FALSE),0)</f>
        <v>1.92</v>
      </c>
      <c r="U506" s="1144">
        <f>IFERROR(VLOOKUP(CONCATENATE($E506,$G506),'LAC 103'!$A$12:$O$95,14,FALSE),0)</f>
        <v>0</v>
      </c>
      <c r="V506" s="1144">
        <f>IFERROR(VLOOKUP(CONCATENATE($E506,$G506),'LAC 103'!$A$12:$O$95,15,FALSE),0)</f>
        <v>0</v>
      </c>
      <c r="W506" s="1145" t="str">
        <f>IFERROR(VLOOKUP(CONCATENATE($B506,$N506),'LAC 103'!$AI:$AQ,9,FALSE),"")</f>
        <v>Costs</v>
      </c>
      <c r="X506" s="1146">
        <f t="shared" si="132"/>
        <v>2.4831562090749175</v>
      </c>
      <c r="Y506" s="1143">
        <f t="shared" si="133"/>
        <v>24672.64009336838</v>
      </c>
      <c r="Z506" s="1147">
        <f t="shared" si="134"/>
        <v>30503.519999999997</v>
      </c>
      <c r="AA506" s="1144">
        <f t="shared" si="135"/>
        <v>19077.12</v>
      </c>
      <c r="AB506" s="1144">
        <f t="shared" si="136"/>
        <v>0</v>
      </c>
      <c r="AC506" s="1144">
        <f t="shared" si="137"/>
        <v>0</v>
      </c>
      <c r="AD506" s="1148">
        <f t="shared" si="128"/>
        <v>24672.64009336838</v>
      </c>
      <c r="AE506" s="1487">
        <v>0</v>
      </c>
      <c r="AF506" s="1145">
        <f t="shared" si="138"/>
        <v>24672.64009336838</v>
      </c>
      <c r="AG506" s="1149">
        <f>IFERROR(VLOOKUP(CONCATENATE($L506,$N506),'Drop List'!$G$23:$K$87,2,FALSE),0)</f>
        <v>0.55000000000000004</v>
      </c>
      <c r="AH506" s="1150">
        <f>IFERROR(VLOOKUP(CONCATENATE($L506,$N506),'Drop List'!$G$23:$K$87,3,FALSE),0)</f>
        <v>0.44999999999999996</v>
      </c>
      <c r="AI506" s="1150">
        <f>IFERROR(VLOOKUP(CONCATENATE($L506,$N506),'Drop List'!$G$23:$K$87,4,FALSE),0)</f>
        <v>0</v>
      </c>
      <c r="AJ506" s="1151">
        <f>IFERROR(VLOOKUP(CONCATENATE($L506,$N506),'Drop List'!$G$23:$K$87,5,FALSE),0)</f>
        <v>0</v>
      </c>
      <c r="AK506" s="1152">
        <f t="shared" si="139"/>
        <v>13569.952051352609</v>
      </c>
      <c r="AL506" s="1153">
        <f t="shared" si="140"/>
        <v>11102.68804201577</v>
      </c>
      <c r="AM506" s="1153">
        <f t="shared" si="141"/>
        <v>0</v>
      </c>
      <c r="AN506" s="1145">
        <f t="shared" si="142"/>
        <v>0</v>
      </c>
      <c r="AO506" s="1154">
        <f t="shared" si="143"/>
        <v>24672.64009336838</v>
      </c>
      <c r="AP506" s="1147">
        <f t="shared" si="129"/>
        <v>0</v>
      </c>
      <c r="AQ506" s="1144">
        <f t="shared" si="130"/>
        <v>0</v>
      </c>
      <c r="AR506" s="1146">
        <f t="shared" si="131"/>
        <v>24672.64009336838</v>
      </c>
    </row>
    <row r="507" spans="1:44" x14ac:dyDescent="0.2">
      <c r="A507" s="1141" t="str">
        <f t="shared" si="126"/>
        <v>1507</v>
      </c>
      <c r="B507" s="1141" t="str">
        <f>IFERROR(VLOOKUP(A507,'LAC 103'!A:C,3,FALSE),"")</f>
        <v>OP</v>
      </c>
      <c r="C507" s="1478" t="str">
        <f>Info!$B$8</f>
        <v>00100</v>
      </c>
      <c r="D507" s="1474" t="s">
        <v>256</v>
      </c>
      <c r="E507" s="1474" t="s">
        <v>95</v>
      </c>
      <c r="F507" s="1478" t="s">
        <v>593</v>
      </c>
      <c r="G507" s="1478" t="s">
        <v>593</v>
      </c>
      <c r="H507" s="1474" t="s">
        <v>1057</v>
      </c>
      <c r="I507" s="1478" t="s">
        <v>798</v>
      </c>
      <c r="J507" s="1478"/>
      <c r="K507" s="1475" t="s">
        <v>847</v>
      </c>
      <c r="L507" s="1474" t="s">
        <v>582</v>
      </c>
      <c r="M507" s="1476" t="s">
        <v>840</v>
      </c>
      <c r="N507" s="1477" t="s">
        <v>1700</v>
      </c>
      <c r="O507" s="1479">
        <v>14612</v>
      </c>
      <c r="P507" s="1479"/>
      <c r="Q507" s="1142">
        <f t="shared" si="127"/>
        <v>14612</v>
      </c>
      <c r="R507" s="1143">
        <f>IFERROR(VLOOKUP(CONCATENATE(E507,G507),'LAC 103'!$A$12:$O$95,11,FALSE),0)</f>
        <v>2.4831562090749175</v>
      </c>
      <c r="S507" s="1144">
        <f>IFERROR(VLOOKUP(CONCATENATE($E507,$G507),'LAC 103'!$A$12:$O$95,12,FALSE),0)</f>
        <v>3.07</v>
      </c>
      <c r="T507" s="1144">
        <f>IFERROR(VLOOKUP(CONCATENATE($E507,$G507),'LAC 103'!$A$12:$O$95,13,FALSE),0)</f>
        <v>1.92</v>
      </c>
      <c r="U507" s="1144">
        <f>IFERROR(VLOOKUP(CONCATENATE($E507,$G507),'LAC 103'!$A$12:$O$95,14,FALSE),0)</f>
        <v>0</v>
      </c>
      <c r="V507" s="1144">
        <f>IFERROR(VLOOKUP(CONCATENATE($E507,$G507),'LAC 103'!$A$12:$O$95,15,FALSE),0)</f>
        <v>0</v>
      </c>
      <c r="W507" s="1145" t="str">
        <f>IFERROR(VLOOKUP(CONCATENATE($B507,$N507),'LAC 103'!$AI:$AQ,9,FALSE),"")</f>
        <v>P.C.</v>
      </c>
      <c r="X507" s="1146">
        <f t="shared" si="132"/>
        <v>1.92</v>
      </c>
      <c r="Y507" s="1143">
        <f t="shared" si="133"/>
        <v>36283.878527002693</v>
      </c>
      <c r="Z507" s="1147">
        <f t="shared" si="134"/>
        <v>44858.84</v>
      </c>
      <c r="AA507" s="1144">
        <f t="shared" si="135"/>
        <v>28055.039999999997</v>
      </c>
      <c r="AB507" s="1144">
        <f t="shared" si="136"/>
        <v>0</v>
      </c>
      <c r="AC507" s="1144">
        <f t="shared" si="137"/>
        <v>0</v>
      </c>
      <c r="AD507" s="1148">
        <f t="shared" si="128"/>
        <v>28055.039999999997</v>
      </c>
      <c r="AE507" s="1487">
        <v>0</v>
      </c>
      <c r="AF507" s="1145">
        <f t="shared" si="138"/>
        <v>28055.039999999997</v>
      </c>
      <c r="AG507" s="1149">
        <f>IFERROR(VLOOKUP(CONCATENATE($L507,$N507),'Drop List'!$G$23:$K$87,2,FALSE),0)</f>
        <v>0.55000000000000004</v>
      </c>
      <c r="AH507" s="1150">
        <f>IFERROR(VLOOKUP(CONCATENATE($L507,$N507),'Drop List'!$G$23:$K$87,3,FALSE),0)</f>
        <v>0.44999999999999996</v>
      </c>
      <c r="AI507" s="1150">
        <f>IFERROR(VLOOKUP(CONCATENATE($L507,$N507),'Drop List'!$G$23:$K$87,4,FALSE),0)</f>
        <v>0</v>
      </c>
      <c r="AJ507" s="1151">
        <f>IFERROR(VLOOKUP(CONCATENATE($L507,$N507),'Drop List'!$G$23:$K$87,5,FALSE),0)</f>
        <v>0</v>
      </c>
      <c r="AK507" s="1152">
        <f t="shared" si="139"/>
        <v>15430.271999999999</v>
      </c>
      <c r="AL507" s="1153">
        <f t="shared" si="140"/>
        <v>12624.767999999998</v>
      </c>
      <c r="AM507" s="1153">
        <f t="shared" si="141"/>
        <v>0</v>
      </c>
      <c r="AN507" s="1145">
        <f t="shared" si="142"/>
        <v>0</v>
      </c>
      <c r="AO507" s="1154">
        <f t="shared" si="143"/>
        <v>28055.039999999997</v>
      </c>
      <c r="AP507" s="1147">
        <f t="shared" si="129"/>
        <v>0</v>
      </c>
      <c r="AQ507" s="1144">
        <f t="shared" si="130"/>
        <v>0</v>
      </c>
      <c r="AR507" s="1146">
        <f t="shared" si="131"/>
        <v>28055.039999999997</v>
      </c>
    </row>
    <row r="508" spans="1:44" x14ac:dyDescent="0.2">
      <c r="A508" s="1141" t="str">
        <f t="shared" si="126"/>
        <v>1507</v>
      </c>
      <c r="B508" s="1141" t="str">
        <f>IFERROR(VLOOKUP(A508,'LAC 103'!A:C,3,FALSE),"")</f>
        <v>OP</v>
      </c>
      <c r="C508" s="1478" t="str">
        <f>Info!$B$8</f>
        <v>00100</v>
      </c>
      <c r="D508" s="1474" t="s">
        <v>256</v>
      </c>
      <c r="E508" s="1474" t="s">
        <v>95</v>
      </c>
      <c r="F508" s="1478" t="s">
        <v>593</v>
      </c>
      <c r="G508" s="1478" t="s">
        <v>593</v>
      </c>
      <c r="H508" s="1474" t="s">
        <v>1057</v>
      </c>
      <c r="I508" s="1478" t="s">
        <v>798</v>
      </c>
      <c r="J508" s="1478"/>
      <c r="K508" s="1475" t="s">
        <v>847</v>
      </c>
      <c r="L508" s="1474" t="s">
        <v>582</v>
      </c>
      <c r="M508" s="1476" t="s">
        <v>842</v>
      </c>
      <c r="N508" s="1477" t="s">
        <v>1692</v>
      </c>
      <c r="O508" s="1479">
        <v>51875</v>
      </c>
      <c r="P508" s="1479"/>
      <c r="Q508" s="1142">
        <f t="shared" si="127"/>
        <v>51875</v>
      </c>
      <c r="R508" s="1143">
        <f>IFERROR(VLOOKUP(CONCATENATE(E508,G508),'LAC 103'!$A$12:$O$95,11,FALSE),0)</f>
        <v>2.4831562090749175</v>
      </c>
      <c r="S508" s="1144">
        <f>IFERROR(VLOOKUP(CONCATENATE($E508,$G508),'LAC 103'!$A$12:$O$95,12,FALSE),0)</f>
        <v>3.07</v>
      </c>
      <c r="T508" s="1144">
        <f>IFERROR(VLOOKUP(CONCATENATE($E508,$G508),'LAC 103'!$A$12:$O$95,13,FALSE),0)</f>
        <v>1.92</v>
      </c>
      <c r="U508" s="1144">
        <f>IFERROR(VLOOKUP(CONCATENATE($E508,$G508),'LAC 103'!$A$12:$O$95,14,FALSE),0)</f>
        <v>0</v>
      </c>
      <c r="V508" s="1144">
        <f>IFERROR(VLOOKUP(CONCATENATE($E508,$G508),'LAC 103'!$A$12:$O$95,15,FALSE),0)</f>
        <v>0</v>
      </c>
      <c r="W508" s="1145" t="str">
        <f>IFERROR(VLOOKUP(CONCATENATE($B508,$N508),'LAC 103'!$AI:$AQ,9,FALSE),"")</f>
        <v>Costs</v>
      </c>
      <c r="X508" s="1146">
        <f t="shared" si="132"/>
        <v>2.4831562090749175</v>
      </c>
      <c r="Y508" s="1143">
        <f t="shared" si="133"/>
        <v>128813.72834576135</v>
      </c>
      <c r="Z508" s="1147">
        <f t="shared" si="134"/>
        <v>159256.25</v>
      </c>
      <c r="AA508" s="1144">
        <f t="shared" si="135"/>
        <v>99600</v>
      </c>
      <c r="AB508" s="1144">
        <f t="shared" si="136"/>
        <v>0</v>
      </c>
      <c r="AC508" s="1144">
        <f t="shared" si="137"/>
        <v>0</v>
      </c>
      <c r="AD508" s="1148">
        <f t="shared" si="128"/>
        <v>128813.72834576135</v>
      </c>
      <c r="AE508" s="1487">
        <v>0</v>
      </c>
      <c r="AF508" s="1145">
        <f t="shared" si="138"/>
        <v>128813.72834576135</v>
      </c>
      <c r="AG508" s="1149">
        <f>IFERROR(VLOOKUP(CONCATENATE($L508,$N508),'Drop List'!$G$23:$K$87,2,FALSE),0)</f>
        <v>0.56200000000000006</v>
      </c>
      <c r="AH508" s="1150">
        <f>IFERROR(VLOOKUP(CONCATENATE($L508,$N508),'Drop List'!$G$23:$K$87,3,FALSE),0)</f>
        <v>0.43799999999999994</v>
      </c>
      <c r="AI508" s="1150">
        <f>IFERROR(VLOOKUP(CONCATENATE($L508,$N508),'Drop List'!$G$23:$K$87,4,FALSE),0)</f>
        <v>0</v>
      </c>
      <c r="AJ508" s="1151">
        <f>IFERROR(VLOOKUP(CONCATENATE($L508,$N508),'Drop List'!$G$23:$K$87,5,FALSE),0)</f>
        <v>0</v>
      </c>
      <c r="AK508" s="1152">
        <f t="shared" si="139"/>
        <v>72393.315330317884</v>
      </c>
      <c r="AL508" s="1153">
        <f t="shared" si="140"/>
        <v>56420.413015443468</v>
      </c>
      <c r="AM508" s="1153">
        <f t="shared" si="141"/>
        <v>0</v>
      </c>
      <c r="AN508" s="1145">
        <f t="shared" si="142"/>
        <v>0</v>
      </c>
      <c r="AO508" s="1154">
        <f t="shared" si="143"/>
        <v>128813.72834576135</v>
      </c>
      <c r="AP508" s="1147">
        <f t="shared" si="129"/>
        <v>0</v>
      </c>
      <c r="AQ508" s="1144">
        <f t="shared" si="130"/>
        <v>0</v>
      </c>
      <c r="AR508" s="1146">
        <f t="shared" si="131"/>
        <v>128813.72834576135</v>
      </c>
    </row>
    <row r="509" spans="1:44" x14ac:dyDescent="0.2">
      <c r="A509" s="1141" t="str">
        <f t="shared" si="126"/>
        <v>1507</v>
      </c>
      <c r="B509" s="1141" t="str">
        <f>IFERROR(VLOOKUP(A509,'LAC 103'!A:C,3,FALSE),"")</f>
        <v>OP</v>
      </c>
      <c r="C509" s="1478" t="str">
        <f>Info!$B$8</f>
        <v>00100</v>
      </c>
      <c r="D509" s="1474" t="s">
        <v>256</v>
      </c>
      <c r="E509" s="1474" t="s">
        <v>95</v>
      </c>
      <c r="F509" s="1478" t="s">
        <v>593</v>
      </c>
      <c r="G509" s="1478" t="s">
        <v>593</v>
      </c>
      <c r="H509" s="1474" t="s">
        <v>1057</v>
      </c>
      <c r="I509" s="1478" t="s">
        <v>798</v>
      </c>
      <c r="J509" s="1478"/>
      <c r="K509" s="1475" t="s">
        <v>847</v>
      </c>
      <c r="L509" s="1474" t="s">
        <v>582</v>
      </c>
      <c r="M509" s="1476" t="s">
        <v>1698</v>
      </c>
      <c r="N509" s="1477" t="s">
        <v>1693</v>
      </c>
      <c r="O509" s="1479">
        <v>57600</v>
      </c>
      <c r="P509" s="1479"/>
      <c r="Q509" s="1142">
        <f t="shared" si="127"/>
        <v>57600</v>
      </c>
      <c r="R509" s="1143">
        <f>IFERROR(VLOOKUP(CONCATENATE(E509,G509),'LAC 103'!$A$12:$O$95,11,FALSE),0)</f>
        <v>2.4831562090749175</v>
      </c>
      <c r="S509" s="1144">
        <f>IFERROR(VLOOKUP(CONCATENATE($E509,$G509),'LAC 103'!$A$12:$O$95,12,FALSE),0)</f>
        <v>3.07</v>
      </c>
      <c r="T509" s="1144">
        <f>IFERROR(VLOOKUP(CONCATENATE($E509,$G509),'LAC 103'!$A$12:$O$95,13,FALSE),0)</f>
        <v>1.92</v>
      </c>
      <c r="U509" s="1144">
        <f>IFERROR(VLOOKUP(CONCATENATE($E509,$G509),'LAC 103'!$A$12:$O$95,14,FALSE),0)</f>
        <v>0</v>
      </c>
      <c r="V509" s="1144">
        <f>IFERROR(VLOOKUP(CONCATENATE($E509,$G509),'LAC 103'!$A$12:$O$95,15,FALSE),0)</f>
        <v>0</v>
      </c>
      <c r="W509" s="1145" t="str">
        <f>IFERROR(VLOOKUP(CONCATENATE($B509,$N509),'LAC 103'!$AI:$AQ,9,FALSE),"")</f>
        <v>Costs</v>
      </c>
      <c r="X509" s="1146">
        <f t="shared" si="132"/>
        <v>2.4831562090749175</v>
      </c>
      <c r="Y509" s="1143">
        <f t="shared" si="133"/>
        <v>143029.79764271525</v>
      </c>
      <c r="Z509" s="1147">
        <f t="shared" si="134"/>
        <v>176832</v>
      </c>
      <c r="AA509" s="1144">
        <f t="shared" si="135"/>
        <v>110592</v>
      </c>
      <c r="AB509" s="1144">
        <f t="shared" si="136"/>
        <v>0</v>
      </c>
      <c r="AC509" s="1144">
        <f t="shared" si="137"/>
        <v>0</v>
      </c>
      <c r="AD509" s="1148">
        <f t="shared" si="128"/>
        <v>143029.79764271525</v>
      </c>
      <c r="AE509" s="1487">
        <v>0</v>
      </c>
      <c r="AF509" s="1145">
        <f t="shared" si="138"/>
        <v>143029.79764271525</v>
      </c>
      <c r="AG509" s="1149">
        <f>IFERROR(VLOOKUP(CONCATENATE($L509,$N509),'Drop List'!$G$23:$K$87,2,FALSE),0)</f>
        <v>0.56200000000000006</v>
      </c>
      <c r="AH509" s="1150">
        <f>IFERROR(VLOOKUP(CONCATENATE($L509,$N509),'Drop List'!$G$23:$K$87,3,FALSE),0)</f>
        <v>0.43799999999999994</v>
      </c>
      <c r="AI509" s="1150">
        <f>IFERROR(VLOOKUP(CONCATENATE($L509,$N509),'Drop List'!$G$23:$K$87,4,FALSE),0)</f>
        <v>0</v>
      </c>
      <c r="AJ509" s="1151">
        <f>IFERROR(VLOOKUP(CONCATENATE($L509,$N509),'Drop List'!$G$23:$K$87,5,FALSE),0)</f>
        <v>0</v>
      </c>
      <c r="AK509" s="1152">
        <f t="shared" si="139"/>
        <v>80382.74627520598</v>
      </c>
      <c r="AL509" s="1153">
        <f t="shared" si="140"/>
        <v>62647.051367509273</v>
      </c>
      <c r="AM509" s="1153">
        <f t="shared" si="141"/>
        <v>0</v>
      </c>
      <c r="AN509" s="1145">
        <f t="shared" si="142"/>
        <v>0</v>
      </c>
      <c r="AO509" s="1154">
        <f t="shared" si="143"/>
        <v>143029.79764271525</v>
      </c>
      <c r="AP509" s="1147">
        <f t="shared" si="129"/>
        <v>0</v>
      </c>
      <c r="AQ509" s="1144">
        <f t="shared" si="130"/>
        <v>0</v>
      </c>
      <c r="AR509" s="1146">
        <f t="shared" si="131"/>
        <v>143029.79764271525</v>
      </c>
    </row>
    <row r="510" spans="1:44" x14ac:dyDescent="0.2">
      <c r="A510" s="1141" t="str">
        <f t="shared" si="126"/>
        <v>1507</v>
      </c>
      <c r="B510" s="1141" t="str">
        <f>IFERROR(VLOOKUP(A510,'LAC 103'!A:C,3,FALSE),"")</f>
        <v>OP</v>
      </c>
      <c r="C510" s="1478" t="str">
        <f>Info!$B$8</f>
        <v>00100</v>
      </c>
      <c r="D510" s="1474" t="s">
        <v>256</v>
      </c>
      <c r="E510" s="1474" t="s">
        <v>95</v>
      </c>
      <c r="F510" s="1478" t="s">
        <v>593</v>
      </c>
      <c r="G510" s="1478" t="s">
        <v>593</v>
      </c>
      <c r="H510" s="1474" t="s">
        <v>1057</v>
      </c>
      <c r="I510" s="1478" t="s">
        <v>798</v>
      </c>
      <c r="J510" s="1478"/>
      <c r="K510" s="1475" t="s">
        <v>848</v>
      </c>
      <c r="L510" s="1474" t="s">
        <v>45</v>
      </c>
      <c r="M510" s="1476" t="s">
        <v>1699</v>
      </c>
      <c r="N510" s="1477" t="s">
        <v>1694</v>
      </c>
      <c r="O510" s="1479">
        <v>278</v>
      </c>
      <c r="P510" s="1479"/>
      <c r="Q510" s="1142">
        <f t="shared" si="127"/>
        <v>278</v>
      </c>
      <c r="R510" s="1143">
        <f>IFERROR(VLOOKUP(CONCATENATE(E510,G510),'LAC 103'!$A$12:$O$95,11,FALSE),0)</f>
        <v>2.4831562090749175</v>
      </c>
      <c r="S510" s="1144">
        <f>IFERROR(VLOOKUP(CONCATENATE($E510,$G510),'LAC 103'!$A$12:$O$95,12,FALSE),0)</f>
        <v>3.07</v>
      </c>
      <c r="T510" s="1144">
        <f>IFERROR(VLOOKUP(CONCATENATE($E510,$G510),'LAC 103'!$A$12:$O$95,13,FALSE),0)</f>
        <v>1.92</v>
      </c>
      <c r="U510" s="1144">
        <f>IFERROR(VLOOKUP(CONCATENATE($E510,$G510),'LAC 103'!$A$12:$O$95,14,FALSE),0)</f>
        <v>0</v>
      </c>
      <c r="V510" s="1144">
        <f>IFERROR(VLOOKUP(CONCATENATE($E510,$G510),'LAC 103'!$A$12:$O$95,15,FALSE),0)</f>
        <v>0</v>
      </c>
      <c r="W510" s="1145" t="str">
        <f>IFERROR(VLOOKUP(CONCATENATE($B510,$N510),'LAC 103'!$AI:$AQ,9,FALSE),"")</f>
        <v>Costs</v>
      </c>
      <c r="X510" s="1146">
        <f t="shared" si="132"/>
        <v>2.4831562090749175</v>
      </c>
      <c r="Y510" s="1143">
        <f t="shared" si="133"/>
        <v>690.3174261228271</v>
      </c>
      <c r="Z510" s="1147">
        <f t="shared" si="134"/>
        <v>853.45999999999992</v>
      </c>
      <c r="AA510" s="1144">
        <f t="shared" si="135"/>
        <v>533.76</v>
      </c>
      <c r="AB510" s="1144">
        <f t="shared" si="136"/>
        <v>0</v>
      </c>
      <c r="AC510" s="1144">
        <f t="shared" si="137"/>
        <v>0</v>
      </c>
      <c r="AD510" s="1148">
        <f t="shared" si="128"/>
        <v>690.3174261228271</v>
      </c>
      <c r="AE510" s="1487">
        <v>0</v>
      </c>
      <c r="AF510" s="1145">
        <f t="shared" si="138"/>
        <v>690.3174261228271</v>
      </c>
      <c r="AG510" s="1149">
        <f>IFERROR(VLOOKUP(CONCATENATE($L510,$N510),'Drop List'!$G$23:$K$87,2,FALSE),0)</f>
        <v>0.69340000000000002</v>
      </c>
      <c r="AH510" s="1150">
        <f>IFERROR(VLOOKUP(CONCATENATE($L510,$N510),'Drop List'!$G$23:$K$87,3,FALSE),0)</f>
        <v>0.30659999999999998</v>
      </c>
      <c r="AI510" s="1150">
        <f>IFERROR(VLOOKUP(CONCATENATE($L510,$N510),'Drop List'!$G$23:$K$87,4,FALSE),0)</f>
        <v>0</v>
      </c>
      <c r="AJ510" s="1151">
        <f>IFERROR(VLOOKUP(CONCATENATE($L510,$N510),'Drop List'!$G$23:$K$87,5,FALSE),0)</f>
        <v>0</v>
      </c>
      <c r="AK510" s="1152">
        <f t="shared" si="139"/>
        <v>478.6661032735683</v>
      </c>
      <c r="AL510" s="1153">
        <f t="shared" si="140"/>
        <v>211.65132284925878</v>
      </c>
      <c r="AM510" s="1153">
        <f t="shared" si="141"/>
        <v>0</v>
      </c>
      <c r="AN510" s="1145">
        <f t="shared" si="142"/>
        <v>0</v>
      </c>
      <c r="AO510" s="1154">
        <f t="shared" si="143"/>
        <v>690.3174261228271</v>
      </c>
      <c r="AP510" s="1147">
        <f t="shared" si="129"/>
        <v>0</v>
      </c>
      <c r="AQ510" s="1144">
        <f t="shared" si="130"/>
        <v>0</v>
      </c>
      <c r="AR510" s="1146">
        <f t="shared" si="131"/>
        <v>690.3174261228271</v>
      </c>
    </row>
    <row r="511" spans="1:44" x14ac:dyDescent="0.2">
      <c r="A511" s="1141" t="str">
        <f t="shared" ref="A511:A574" si="144">IF(CONCATENATE(E511,G511)="","",CONCATENATE(E511,G511))</f>
        <v>1507</v>
      </c>
      <c r="B511" s="1141" t="str">
        <f>IFERROR(VLOOKUP(A511,'LAC 103'!A:C,3,FALSE),"")</f>
        <v>OP</v>
      </c>
      <c r="C511" s="1478" t="str">
        <f>Info!$B$8</f>
        <v>00100</v>
      </c>
      <c r="D511" s="1474" t="s">
        <v>256</v>
      </c>
      <c r="E511" s="1474" t="s">
        <v>95</v>
      </c>
      <c r="F511" s="1478" t="s">
        <v>593</v>
      </c>
      <c r="G511" s="1478" t="s">
        <v>593</v>
      </c>
      <c r="H511" s="1474" t="s">
        <v>1057</v>
      </c>
      <c r="I511" s="1478" t="s">
        <v>798</v>
      </c>
      <c r="J511" s="1478"/>
      <c r="K511" s="1475" t="s">
        <v>848</v>
      </c>
      <c r="L511" s="1474" t="s">
        <v>45</v>
      </c>
      <c r="M511" s="1476" t="s">
        <v>841</v>
      </c>
      <c r="N511" s="1477" t="s">
        <v>1695</v>
      </c>
      <c r="O511" s="1479">
        <v>223</v>
      </c>
      <c r="P511" s="1479"/>
      <c r="Q511" s="1142">
        <f t="shared" ref="Q511:Q574" si="145">O511+P511</f>
        <v>223</v>
      </c>
      <c r="R511" s="1143">
        <f>IFERROR(VLOOKUP(CONCATENATE(E511,G511),'LAC 103'!$A$12:$O$95,11,FALSE),0)</f>
        <v>2.4831562090749175</v>
      </c>
      <c r="S511" s="1144">
        <f>IFERROR(VLOOKUP(CONCATENATE($E511,$G511),'LAC 103'!$A$12:$O$95,12,FALSE),0)</f>
        <v>3.07</v>
      </c>
      <c r="T511" s="1144">
        <f>IFERROR(VLOOKUP(CONCATENATE($E511,$G511),'LAC 103'!$A$12:$O$95,13,FALSE),0)</f>
        <v>1.92</v>
      </c>
      <c r="U511" s="1144">
        <f>IFERROR(VLOOKUP(CONCATENATE($E511,$G511),'LAC 103'!$A$12:$O$95,14,FALSE),0)</f>
        <v>0</v>
      </c>
      <c r="V511" s="1144">
        <f>IFERROR(VLOOKUP(CONCATENATE($E511,$G511),'LAC 103'!$A$12:$O$95,15,FALSE),0)</f>
        <v>0</v>
      </c>
      <c r="W511" s="1145" t="str">
        <f>IFERROR(VLOOKUP(CONCATENATE($B511,$N511),'LAC 103'!$AI:$AQ,9,FALSE),"")</f>
        <v>Costs</v>
      </c>
      <c r="X511" s="1146">
        <f t="shared" si="132"/>
        <v>2.4831562090749175</v>
      </c>
      <c r="Y511" s="1143">
        <f t="shared" si="133"/>
        <v>553.74383462370656</v>
      </c>
      <c r="Z511" s="1147">
        <f t="shared" si="134"/>
        <v>684.61</v>
      </c>
      <c r="AA511" s="1144">
        <f t="shared" si="135"/>
        <v>428.15999999999997</v>
      </c>
      <c r="AB511" s="1144">
        <f t="shared" si="136"/>
        <v>0</v>
      </c>
      <c r="AC511" s="1144">
        <f t="shared" si="137"/>
        <v>0</v>
      </c>
      <c r="AD511" s="1148">
        <f t="shared" si="128"/>
        <v>553.74383462370656</v>
      </c>
      <c r="AE511" s="1487">
        <v>0</v>
      </c>
      <c r="AF511" s="1145">
        <f t="shared" si="138"/>
        <v>553.74383462370656</v>
      </c>
      <c r="AG511" s="1149">
        <f>IFERROR(VLOOKUP(CONCATENATE($L511,$N511),'Drop List'!$G$23:$K$87,2,FALSE),0)</f>
        <v>0.68500000000000005</v>
      </c>
      <c r="AH511" s="1150">
        <f>IFERROR(VLOOKUP(CONCATENATE($L511,$N511),'Drop List'!$G$23:$K$87,3,FALSE),0)</f>
        <v>0.31499999999999995</v>
      </c>
      <c r="AI511" s="1150">
        <f>IFERROR(VLOOKUP(CONCATENATE($L511,$N511),'Drop List'!$G$23:$K$87,4,FALSE),0)</f>
        <v>0</v>
      </c>
      <c r="AJ511" s="1151">
        <f>IFERROR(VLOOKUP(CONCATENATE($L511,$N511),'Drop List'!$G$23:$K$87,5,FALSE),0)</f>
        <v>0</v>
      </c>
      <c r="AK511" s="1152">
        <f t="shared" si="139"/>
        <v>379.314526717239</v>
      </c>
      <c r="AL511" s="1153">
        <f t="shared" si="140"/>
        <v>174.42930790646753</v>
      </c>
      <c r="AM511" s="1153">
        <f t="shared" si="141"/>
        <v>0</v>
      </c>
      <c r="AN511" s="1145">
        <f t="shared" si="142"/>
        <v>0</v>
      </c>
      <c r="AO511" s="1154">
        <f t="shared" si="143"/>
        <v>553.74383462370656</v>
      </c>
      <c r="AP511" s="1147">
        <f t="shared" si="129"/>
        <v>0</v>
      </c>
      <c r="AQ511" s="1144">
        <f t="shared" si="130"/>
        <v>0</v>
      </c>
      <c r="AR511" s="1146">
        <f t="shared" si="131"/>
        <v>553.74383462370656</v>
      </c>
    </row>
    <row r="512" spans="1:44" x14ac:dyDescent="0.2">
      <c r="A512" s="1141" t="str">
        <f t="shared" si="144"/>
        <v>1507</v>
      </c>
      <c r="B512" s="1141" t="str">
        <f>IFERROR(VLOOKUP(A512,'LAC 103'!A:C,3,FALSE),"")</f>
        <v>OP</v>
      </c>
      <c r="C512" s="1478" t="str">
        <f>Info!$B$8</f>
        <v>00100</v>
      </c>
      <c r="D512" s="1474" t="s">
        <v>256</v>
      </c>
      <c r="E512" s="1474" t="s">
        <v>95</v>
      </c>
      <c r="F512" s="1478" t="s">
        <v>593</v>
      </c>
      <c r="G512" s="1478" t="s">
        <v>593</v>
      </c>
      <c r="H512" s="1474" t="s">
        <v>1057</v>
      </c>
      <c r="I512" s="1478" t="s">
        <v>798</v>
      </c>
      <c r="J512" s="1478"/>
      <c r="K512" s="1475" t="s">
        <v>848</v>
      </c>
      <c r="L512" s="1474" t="s">
        <v>45</v>
      </c>
      <c r="M512" s="1476" t="s">
        <v>840</v>
      </c>
      <c r="N512" s="1477" t="s">
        <v>1700</v>
      </c>
      <c r="O512" s="1479">
        <v>427</v>
      </c>
      <c r="P512" s="1479"/>
      <c r="Q512" s="1142">
        <f t="shared" si="145"/>
        <v>427</v>
      </c>
      <c r="R512" s="1143">
        <f>IFERROR(VLOOKUP(CONCATENATE(E512,G512),'LAC 103'!$A$12:$O$95,11,FALSE),0)</f>
        <v>2.4831562090749175</v>
      </c>
      <c r="S512" s="1144">
        <f>IFERROR(VLOOKUP(CONCATENATE($E512,$G512),'LAC 103'!$A$12:$O$95,12,FALSE),0)</f>
        <v>3.07</v>
      </c>
      <c r="T512" s="1144">
        <f>IFERROR(VLOOKUP(CONCATENATE($E512,$G512),'LAC 103'!$A$12:$O$95,13,FALSE),0)</f>
        <v>1.92</v>
      </c>
      <c r="U512" s="1144">
        <f>IFERROR(VLOOKUP(CONCATENATE($E512,$G512),'LAC 103'!$A$12:$O$95,14,FALSE),0)</f>
        <v>0</v>
      </c>
      <c r="V512" s="1144">
        <f>IFERROR(VLOOKUP(CONCATENATE($E512,$G512),'LAC 103'!$A$12:$O$95,15,FALSE),0)</f>
        <v>0</v>
      </c>
      <c r="W512" s="1145" t="str">
        <f>IFERROR(VLOOKUP(CONCATENATE($B512,$N512),'LAC 103'!$AI:$AQ,9,FALSE),"")</f>
        <v>P.C.</v>
      </c>
      <c r="X512" s="1146">
        <f t="shared" si="132"/>
        <v>1.92</v>
      </c>
      <c r="Y512" s="1143">
        <f t="shared" si="133"/>
        <v>1060.3077012749898</v>
      </c>
      <c r="Z512" s="1147">
        <f t="shared" si="134"/>
        <v>1310.8899999999999</v>
      </c>
      <c r="AA512" s="1144">
        <f t="shared" si="135"/>
        <v>819.83999999999992</v>
      </c>
      <c r="AB512" s="1144">
        <f t="shared" si="136"/>
        <v>0</v>
      </c>
      <c r="AC512" s="1144">
        <f t="shared" si="137"/>
        <v>0</v>
      </c>
      <c r="AD512" s="1148">
        <f t="shared" si="128"/>
        <v>819.83999999999992</v>
      </c>
      <c r="AE512" s="1487">
        <v>0</v>
      </c>
      <c r="AF512" s="1145">
        <f t="shared" si="138"/>
        <v>819.83999999999992</v>
      </c>
      <c r="AG512" s="1149">
        <f>IFERROR(VLOOKUP(CONCATENATE($L512,$N512),'Drop List'!$G$23:$K$87,2,FALSE),0)</f>
        <v>0.68500000000000005</v>
      </c>
      <c r="AH512" s="1150">
        <f>IFERROR(VLOOKUP(CONCATENATE($L512,$N512),'Drop List'!$G$23:$K$87,3,FALSE),0)</f>
        <v>0.31499999999999995</v>
      </c>
      <c r="AI512" s="1150">
        <f>IFERROR(VLOOKUP(CONCATENATE($L512,$N512),'Drop List'!$G$23:$K$87,4,FALSE),0)</f>
        <v>0</v>
      </c>
      <c r="AJ512" s="1151">
        <f>IFERROR(VLOOKUP(CONCATENATE($L512,$N512),'Drop List'!$G$23:$K$87,5,FALSE),0)</f>
        <v>0</v>
      </c>
      <c r="AK512" s="1152">
        <f t="shared" si="139"/>
        <v>561.59039999999993</v>
      </c>
      <c r="AL512" s="1153">
        <f t="shared" si="140"/>
        <v>258.24959999999993</v>
      </c>
      <c r="AM512" s="1153">
        <f t="shared" si="141"/>
        <v>0</v>
      </c>
      <c r="AN512" s="1145">
        <f t="shared" si="142"/>
        <v>0</v>
      </c>
      <c r="AO512" s="1154">
        <f t="shared" si="143"/>
        <v>819.83999999999992</v>
      </c>
      <c r="AP512" s="1147">
        <f t="shared" si="129"/>
        <v>0</v>
      </c>
      <c r="AQ512" s="1144">
        <f t="shared" si="130"/>
        <v>0</v>
      </c>
      <c r="AR512" s="1146">
        <f t="shared" si="131"/>
        <v>819.83999999999992</v>
      </c>
    </row>
    <row r="513" spans="1:44" x14ac:dyDescent="0.2">
      <c r="A513" s="1141" t="str">
        <f t="shared" si="144"/>
        <v>1507</v>
      </c>
      <c r="B513" s="1141" t="str">
        <f>IFERROR(VLOOKUP(A513,'LAC 103'!A:C,3,FALSE),"")</f>
        <v>OP</v>
      </c>
      <c r="C513" s="1478" t="str">
        <f>Info!$B$8</f>
        <v>00100</v>
      </c>
      <c r="D513" s="1474" t="s">
        <v>256</v>
      </c>
      <c r="E513" s="1474" t="s">
        <v>95</v>
      </c>
      <c r="F513" s="1478" t="s">
        <v>593</v>
      </c>
      <c r="G513" s="1478" t="s">
        <v>593</v>
      </c>
      <c r="H513" s="1474" t="s">
        <v>1057</v>
      </c>
      <c r="I513" s="1478" t="s">
        <v>798</v>
      </c>
      <c r="J513" s="1478"/>
      <c r="K513" s="1475" t="s">
        <v>848</v>
      </c>
      <c r="L513" s="1474" t="s">
        <v>45</v>
      </c>
      <c r="M513" s="1476" t="s">
        <v>1698</v>
      </c>
      <c r="N513" s="1477" t="s">
        <v>1693</v>
      </c>
      <c r="O513" s="1479">
        <v>91</v>
      </c>
      <c r="P513" s="1479"/>
      <c r="Q513" s="1142">
        <f t="shared" si="145"/>
        <v>91</v>
      </c>
      <c r="R513" s="1143">
        <f>IFERROR(VLOOKUP(CONCATENATE(E513,G513),'LAC 103'!$A$12:$O$95,11,FALSE),0)</f>
        <v>2.4831562090749175</v>
      </c>
      <c r="S513" s="1144">
        <f>IFERROR(VLOOKUP(CONCATENATE($E513,$G513),'LAC 103'!$A$12:$O$95,12,FALSE),0)</f>
        <v>3.07</v>
      </c>
      <c r="T513" s="1144">
        <f>IFERROR(VLOOKUP(CONCATENATE($E513,$G513),'LAC 103'!$A$12:$O$95,13,FALSE),0)</f>
        <v>1.92</v>
      </c>
      <c r="U513" s="1144">
        <f>IFERROR(VLOOKUP(CONCATENATE($E513,$G513),'LAC 103'!$A$12:$O$95,14,FALSE),0)</f>
        <v>0</v>
      </c>
      <c r="V513" s="1144">
        <f>IFERROR(VLOOKUP(CONCATENATE($E513,$G513),'LAC 103'!$A$12:$O$95,15,FALSE),0)</f>
        <v>0</v>
      </c>
      <c r="W513" s="1145" t="str">
        <f>IFERROR(VLOOKUP(CONCATENATE($B513,$N513),'LAC 103'!$AI:$AQ,9,FALSE),"")</f>
        <v>Costs</v>
      </c>
      <c r="X513" s="1146">
        <f t="shared" si="132"/>
        <v>2.4831562090749175</v>
      </c>
      <c r="Y513" s="1143">
        <f t="shared" si="133"/>
        <v>225.9672150258175</v>
      </c>
      <c r="Z513" s="1147">
        <f t="shared" si="134"/>
        <v>279.37</v>
      </c>
      <c r="AA513" s="1144">
        <f t="shared" si="135"/>
        <v>174.72</v>
      </c>
      <c r="AB513" s="1144">
        <f t="shared" si="136"/>
        <v>0</v>
      </c>
      <c r="AC513" s="1144">
        <f t="shared" si="137"/>
        <v>0</v>
      </c>
      <c r="AD513" s="1148">
        <f t="shared" si="128"/>
        <v>225.9672150258175</v>
      </c>
      <c r="AE513" s="1487">
        <v>0</v>
      </c>
      <c r="AF513" s="1145">
        <f t="shared" si="138"/>
        <v>225.9672150258175</v>
      </c>
      <c r="AG513" s="1149">
        <f>IFERROR(VLOOKUP(CONCATENATE($L513,$N513),'Drop List'!$G$23:$K$87,2,FALSE),0)</f>
        <v>0.69340000000000002</v>
      </c>
      <c r="AH513" s="1150">
        <f>IFERROR(VLOOKUP(CONCATENATE($L513,$N513),'Drop List'!$G$23:$K$87,3,FALSE),0)</f>
        <v>0.30659999999999998</v>
      </c>
      <c r="AI513" s="1150">
        <f>IFERROR(VLOOKUP(CONCATENATE($L513,$N513),'Drop List'!$G$23:$K$87,4,FALSE),0)</f>
        <v>0</v>
      </c>
      <c r="AJ513" s="1151">
        <f>IFERROR(VLOOKUP(CONCATENATE($L513,$N513),'Drop List'!$G$23:$K$87,5,FALSE),0)</f>
        <v>0</v>
      </c>
      <c r="AK513" s="1152">
        <f t="shared" si="139"/>
        <v>156.68566689890184</v>
      </c>
      <c r="AL513" s="1153">
        <f t="shared" si="140"/>
        <v>69.281548126915638</v>
      </c>
      <c r="AM513" s="1153">
        <f t="shared" si="141"/>
        <v>0</v>
      </c>
      <c r="AN513" s="1145">
        <f t="shared" si="142"/>
        <v>0</v>
      </c>
      <c r="AO513" s="1154">
        <f t="shared" si="143"/>
        <v>225.9672150258175</v>
      </c>
      <c r="AP513" s="1147">
        <f t="shared" si="129"/>
        <v>0</v>
      </c>
      <c r="AQ513" s="1144">
        <f t="shared" si="130"/>
        <v>0</v>
      </c>
      <c r="AR513" s="1146">
        <f t="shared" si="131"/>
        <v>225.9672150258175</v>
      </c>
    </row>
    <row r="514" spans="1:44" x14ac:dyDescent="0.2">
      <c r="A514" s="1141" t="str">
        <f t="shared" si="144"/>
        <v>1507</v>
      </c>
      <c r="B514" s="1141" t="str">
        <f>IFERROR(VLOOKUP(A514,'LAC 103'!A:C,3,FALSE),"")</f>
        <v>OP</v>
      </c>
      <c r="C514" s="1478" t="str">
        <f>Info!$B$8</f>
        <v>00100</v>
      </c>
      <c r="D514" s="1474" t="s">
        <v>256</v>
      </c>
      <c r="E514" s="1474" t="s">
        <v>95</v>
      </c>
      <c r="F514" s="1478" t="s">
        <v>593</v>
      </c>
      <c r="G514" s="1478" t="s">
        <v>593</v>
      </c>
      <c r="H514" s="1474" t="s">
        <v>1057</v>
      </c>
      <c r="I514" s="1478" t="s">
        <v>798</v>
      </c>
      <c r="J514" s="1478"/>
      <c r="K514" s="1475" t="s">
        <v>971</v>
      </c>
      <c r="L514" s="1474" t="s">
        <v>332</v>
      </c>
      <c r="M514" s="1476" t="s">
        <v>1699</v>
      </c>
      <c r="N514" s="1477" t="s">
        <v>1694</v>
      </c>
      <c r="O514" s="1479">
        <v>91</v>
      </c>
      <c r="P514" s="1479"/>
      <c r="Q514" s="1142">
        <f t="shared" si="145"/>
        <v>91</v>
      </c>
      <c r="R514" s="1143">
        <f>IFERROR(VLOOKUP(CONCATENATE(E514,G514),'LAC 103'!$A$12:$O$95,11,FALSE),0)</f>
        <v>2.4831562090749175</v>
      </c>
      <c r="S514" s="1144">
        <f>IFERROR(VLOOKUP(CONCATENATE($E514,$G514),'LAC 103'!$A$12:$O$95,12,FALSE),0)</f>
        <v>3.07</v>
      </c>
      <c r="T514" s="1144">
        <f>IFERROR(VLOOKUP(CONCATENATE($E514,$G514),'LAC 103'!$A$12:$O$95,13,FALSE),0)</f>
        <v>1.92</v>
      </c>
      <c r="U514" s="1144">
        <f>IFERROR(VLOOKUP(CONCATENATE($E514,$G514),'LAC 103'!$A$12:$O$95,14,FALSE),0)</f>
        <v>0</v>
      </c>
      <c r="V514" s="1144">
        <f>IFERROR(VLOOKUP(CONCATENATE($E514,$G514),'LAC 103'!$A$12:$O$95,15,FALSE),0)</f>
        <v>0</v>
      </c>
      <c r="W514" s="1145" t="str">
        <f>IFERROR(VLOOKUP(CONCATENATE($B514,$N514),'LAC 103'!$AI:$AQ,9,FALSE),"")</f>
        <v>Costs</v>
      </c>
      <c r="X514" s="1146">
        <f t="shared" si="132"/>
        <v>2.4831562090749175</v>
      </c>
      <c r="Y514" s="1143">
        <f t="shared" si="133"/>
        <v>225.9672150258175</v>
      </c>
      <c r="Z514" s="1147">
        <f t="shared" si="134"/>
        <v>279.37</v>
      </c>
      <c r="AA514" s="1144">
        <f t="shared" si="135"/>
        <v>174.72</v>
      </c>
      <c r="AB514" s="1144">
        <f t="shared" si="136"/>
        <v>0</v>
      </c>
      <c r="AC514" s="1144">
        <f t="shared" si="137"/>
        <v>0</v>
      </c>
      <c r="AD514" s="1148">
        <f t="shared" si="128"/>
        <v>225.9672150258175</v>
      </c>
      <c r="AE514" s="1487">
        <v>0</v>
      </c>
      <c r="AF514" s="1145">
        <f t="shared" si="138"/>
        <v>225.9672150258175</v>
      </c>
      <c r="AG514" s="1149">
        <f>IFERROR(VLOOKUP(CONCATENATE($L514,$N514),'Drop List'!$G$23:$K$87,2,FALSE),0)</f>
        <v>0</v>
      </c>
      <c r="AH514" s="1150">
        <f>IFERROR(VLOOKUP(CONCATENATE($L514,$N514),'Drop List'!$G$23:$K$87,3,FALSE),0)</f>
        <v>0</v>
      </c>
      <c r="AI514" s="1150">
        <f>IFERROR(VLOOKUP(CONCATENATE($L514,$N514),'Drop List'!$G$23:$K$87,4,FALSE),0)</f>
        <v>0</v>
      </c>
      <c r="AJ514" s="1151">
        <f>IFERROR(VLOOKUP(CONCATENATE($L514,$N514),'Drop List'!$G$23:$K$87,5,FALSE),0)</f>
        <v>0</v>
      </c>
      <c r="AK514" s="1152">
        <f t="shared" si="139"/>
        <v>0</v>
      </c>
      <c r="AL514" s="1153">
        <f t="shared" si="140"/>
        <v>0</v>
      </c>
      <c r="AM514" s="1153">
        <f t="shared" si="141"/>
        <v>0</v>
      </c>
      <c r="AN514" s="1145">
        <f t="shared" si="142"/>
        <v>0</v>
      </c>
      <c r="AO514" s="1154">
        <f t="shared" si="143"/>
        <v>0</v>
      </c>
      <c r="AP514" s="1147">
        <f t="shared" si="129"/>
        <v>225.9672150258175</v>
      </c>
      <c r="AQ514" s="1144">
        <f t="shared" si="130"/>
        <v>0</v>
      </c>
      <c r="AR514" s="1146">
        <f t="shared" si="131"/>
        <v>225.9672150258175</v>
      </c>
    </row>
    <row r="515" spans="1:44" x14ac:dyDescent="0.2">
      <c r="A515" s="1141" t="str">
        <f t="shared" si="144"/>
        <v>1507</v>
      </c>
      <c r="B515" s="1141" t="str">
        <f>IFERROR(VLOOKUP(A515,'LAC 103'!A:C,3,FALSE),"")</f>
        <v>OP</v>
      </c>
      <c r="C515" s="1478" t="str">
        <f>Info!$B$8</f>
        <v>00100</v>
      </c>
      <c r="D515" s="1474" t="s">
        <v>256</v>
      </c>
      <c r="E515" s="1474" t="s">
        <v>95</v>
      </c>
      <c r="F515" s="1478" t="s">
        <v>593</v>
      </c>
      <c r="G515" s="1478" t="s">
        <v>593</v>
      </c>
      <c r="H515" s="1474" t="s">
        <v>1057</v>
      </c>
      <c r="I515" s="1478" t="s">
        <v>798</v>
      </c>
      <c r="J515" s="1478"/>
      <c r="K515" s="1475" t="s">
        <v>971</v>
      </c>
      <c r="L515" s="1474" t="s">
        <v>332</v>
      </c>
      <c r="M515" s="1476" t="s">
        <v>1698</v>
      </c>
      <c r="N515" s="1477" t="s">
        <v>1693</v>
      </c>
      <c r="O515" s="1479">
        <v>188</v>
      </c>
      <c r="P515" s="1479"/>
      <c r="Q515" s="1142">
        <f t="shared" si="145"/>
        <v>188</v>
      </c>
      <c r="R515" s="1143">
        <f>IFERROR(VLOOKUP(CONCATENATE(E515,G515),'LAC 103'!$A$12:$O$95,11,FALSE),0)</f>
        <v>2.4831562090749175</v>
      </c>
      <c r="S515" s="1144">
        <f>IFERROR(VLOOKUP(CONCATENATE($E515,$G515),'LAC 103'!$A$12:$O$95,12,FALSE),0)</f>
        <v>3.07</v>
      </c>
      <c r="T515" s="1144">
        <f>IFERROR(VLOOKUP(CONCATENATE($E515,$G515),'LAC 103'!$A$12:$O$95,13,FALSE),0)</f>
        <v>1.92</v>
      </c>
      <c r="U515" s="1144">
        <f>IFERROR(VLOOKUP(CONCATENATE($E515,$G515),'LAC 103'!$A$12:$O$95,14,FALSE),0)</f>
        <v>0</v>
      </c>
      <c r="V515" s="1144">
        <f>IFERROR(VLOOKUP(CONCATENATE($E515,$G515),'LAC 103'!$A$12:$O$95,15,FALSE),0)</f>
        <v>0</v>
      </c>
      <c r="W515" s="1145" t="str">
        <f>IFERROR(VLOOKUP(CONCATENATE($B515,$N515),'LAC 103'!$AI:$AQ,9,FALSE),"")</f>
        <v>Costs</v>
      </c>
      <c r="X515" s="1146">
        <f t="shared" si="132"/>
        <v>2.4831562090749175</v>
      </c>
      <c r="Y515" s="1143">
        <f t="shared" si="133"/>
        <v>466.83336730608448</v>
      </c>
      <c r="Z515" s="1147">
        <f t="shared" si="134"/>
        <v>577.16</v>
      </c>
      <c r="AA515" s="1144">
        <f t="shared" si="135"/>
        <v>360.96</v>
      </c>
      <c r="AB515" s="1144">
        <f t="shared" si="136"/>
        <v>0</v>
      </c>
      <c r="AC515" s="1144">
        <f t="shared" si="137"/>
        <v>0</v>
      </c>
      <c r="AD515" s="1148">
        <f t="shared" si="128"/>
        <v>466.83336730608448</v>
      </c>
      <c r="AE515" s="1487">
        <v>0</v>
      </c>
      <c r="AF515" s="1145">
        <f t="shared" si="138"/>
        <v>466.83336730608448</v>
      </c>
      <c r="AG515" s="1149">
        <f>IFERROR(VLOOKUP(CONCATENATE($L515,$N515),'Drop List'!$G$23:$K$87,2,FALSE),0)</f>
        <v>0</v>
      </c>
      <c r="AH515" s="1150">
        <f>IFERROR(VLOOKUP(CONCATENATE($L515,$N515),'Drop List'!$G$23:$K$87,3,FALSE),0)</f>
        <v>0</v>
      </c>
      <c r="AI515" s="1150">
        <f>IFERROR(VLOOKUP(CONCATENATE($L515,$N515),'Drop List'!$G$23:$K$87,4,FALSE),0)</f>
        <v>0</v>
      </c>
      <c r="AJ515" s="1151">
        <f>IFERROR(VLOOKUP(CONCATENATE($L515,$N515),'Drop List'!$G$23:$K$87,5,FALSE),0)</f>
        <v>0</v>
      </c>
      <c r="AK515" s="1152">
        <f t="shared" si="139"/>
        <v>0</v>
      </c>
      <c r="AL515" s="1153">
        <f t="shared" si="140"/>
        <v>0</v>
      </c>
      <c r="AM515" s="1153">
        <f t="shared" si="141"/>
        <v>0</v>
      </c>
      <c r="AN515" s="1145">
        <f t="shared" si="142"/>
        <v>0</v>
      </c>
      <c r="AO515" s="1154">
        <f t="shared" si="143"/>
        <v>0</v>
      </c>
      <c r="AP515" s="1147">
        <f t="shared" si="129"/>
        <v>466.83336730608448</v>
      </c>
      <c r="AQ515" s="1144">
        <f t="shared" si="130"/>
        <v>0</v>
      </c>
      <c r="AR515" s="1146">
        <f t="shared" si="131"/>
        <v>466.83336730608448</v>
      </c>
    </row>
    <row r="516" spans="1:44" x14ac:dyDescent="0.2">
      <c r="A516" s="1141" t="str">
        <f t="shared" si="144"/>
        <v>1510</v>
      </c>
      <c r="B516" s="1141" t="str">
        <f>IFERROR(VLOOKUP(A516,'LAC 103'!A:C,3,FALSE),"")</f>
        <v>OP</v>
      </c>
      <c r="C516" s="1478" t="str">
        <f>Info!$B$8</f>
        <v>00100</v>
      </c>
      <c r="D516" s="1474" t="s">
        <v>256</v>
      </c>
      <c r="E516" s="1474" t="s">
        <v>95</v>
      </c>
      <c r="F516" s="1478" t="s">
        <v>77</v>
      </c>
      <c r="G516" s="1478" t="s">
        <v>77</v>
      </c>
      <c r="H516" s="1474" t="s">
        <v>1653</v>
      </c>
      <c r="I516" s="1478" t="s">
        <v>913</v>
      </c>
      <c r="J516" s="1478" t="s">
        <v>123</v>
      </c>
      <c r="K516" s="1475" t="s">
        <v>847</v>
      </c>
      <c r="L516" s="1474" t="s">
        <v>582</v>
      </c>
      <c r="M516" s="1476" t="s">
        <v>1699</v>
      </c>
      <c r="N516" s="1477" t="s">
        <v>1694</v>
      </c>
      <c r="O516" s="1479">
        <v>2723</v>
      </c>
      <c r="P516" s="1479"/>
      <c r="Q516" s="1142">
        <f t="shared" si="145"/>
        <v>2723</v>
      </c>
      <c r="R516" s="1143">
        <f>IFERROR(VLOOKUP(CONCATENATE(E516,G516),'LAC 103'!$A$12:$O$95,11,FALSE),0)</f>
        <v>3.2074101033884355</v>
      </c>
      <c r="S516" s="1144">
        <f>IFERROR(VLOOKUP(CONCATENATE($E516,$G516),'LAC 103'!$A$12:$O$95,12,FALSE),0)</f>
        <v>3.99</v>
      </c>
      <c r="T516" s="1144">
        <f>IFERROR(VLOOKUP(CONCATENATE($E516,$G516),'LAC 103'!$A$12:$O$95,13,FALSE),0)</f>
        <v>2.48</v>
      </c>
      <c r="U516" s="1144">
        <f>IFERROR(VLOOKUP(CONCATENATE($E516,$G516),'LAC 103'!$A$12:$O$95,14,FALSE),0)</f>
        <v>0</v>
      </c>
      <c r="V516" s="1144">
        <f>IFERROR(VLOOKUP(CONCATENATE($E516,$G516),'LAC 103'!$A$12:$O$95,15,FALSE),0)</f>
        <v>0</v>
      </c>
      <c r="W516" s="1145" t="str">
        <f>IFERROR(VLOOKUP(CONCATENATE($B516,$N516),'LAC 103'!$AI:$AQ,9,FALSE),"")</f>
        <v>Costs</v>
      </c>
      <c r="X516" s="1146">
        <f t="shared" si="132"/>
        <v>3.2074101033884355</v>
      </c>
      <c r="Y516" s="1143">
        <f t="shared" si="133"/>
        <v>8733.777711526709</v>
      </c>
      <c r="Z516" s="1147">
        <f t="shared" si="134"/>
        <v>10864.77</v>
      </c>
      <c r="AA516" s="1144">
        <f t="shared" si="135"/>
        <v>6753.04</v>
      </c>
      <c r="AB516" s="1144">
        <f t="shared" si="136"/>
        <v>0</v>
      </c>
      <c r="AC516" s="1144">
        <f t="shared" si="137"/>
        <v>0</v>
      </c>
      <c r="AD516" s="1148">
        <f t="shared" si="128"/>
        <v>8733.777711526709</v>
      </c>
      <c r="AE516" s="1487">
        <v>0</v>
      </c>
      <c r="AF516" s="1145">
        <f t="shared" si="138"/>
        <v>8733.777711526709</v>
      </c>
      <c r="AG516" s="1149">
        <f>IFERROR(VLOOKUP(CONCATENATE($L516,$N516),'Drop List'!$G$23:$K$87,2,FALSE),0)</f>
        <v>0.56200000000000006</v>
      </c>
      <c r="AH516" s="1150">
        <f>IFERROR(VLOOKUP(CONCATENATE($L516,$N516),'Drop List'!$G$23:$K$87,3,FALSE),0)</f>
        <v>0.43799999999999994</v>
      </c>
      <c r="AI516" s="1150">
        <f>IFERROR(VLOOKUP(CONCATENATE($L516,$N516),'Drop List'!$G$23:$K$87,4,FALSE),0)</f>
        <v>0</v>
      </c>
      <c r="AJ516" s="1151">
        <f>IFERROR(VLOOKUP(CONCATENATE($L516,$N516),'Drop List'!$G$23:$K$87,5,FALSE),0)</f>
        <v>0</v>
      </c>
      <c r="AK516" s="1152">
        <f t="shared" si="139"/>
        <v>4908.3830738780107</v>
      </c>
      <c r="AL516" s="1153">
        <f t="shared" si="140"/>
        <v>3825.3946376486979</v>
      </c>
      <c r="AM516" s="1153">
        <f t="shared" si="141"/>
        <v>0</v>
      </c>
      <c r="AN516" s="1145">
        <f t="shared" si="142"/>
        <v>0</v>
      </c>
      <c r="AO516" s="1154">
        <f t="shared" si="143"/>
        <v>8733.777711526709</v>
      </c>
      <c r="AP516" s="1147">
        <f t="shared" si="129"/>
        <v>0</v>
      </c>
      <c r="AQ516" s="1144">
        <f t="shared" si="130"/>
        <v>0</v>
      </c>
      <c r="AR516" s="1146">
        <f t="shared" si="131"/>
        <v>8733.777711526709</v>
      </c>
    </row>
    <row r="517" spans="1:44" x14ac:dyDescent="0.2">
      <c r="A517" s="1141" t="str">
        <f t="shared" si="144"/>
        <v>1510</v>
      </c>
      <c r="B517" s="1141" t="str">
        <f>IFERROR(VLOOKUP(A517,'LAC 103'!A:C,3,FALSE),"")</f>
        <v>OP</v>
      </c>
      <c r="C517" s="1478" t="str">
        <f>Info!$B$8</f>
        <v>00100</v>
      </c>
      <c r="D517" s="1474" t="s">
        <v>256</v>
      </c>
      <c r="E517" s="1474" t="s">
        <v>95</v>
      </c>
      <c r="F517" s="1478" t="s">
        <v>77</v>
      </c>
      <c r="G517" s="1478" t="s">
        <v>77</v>
      </c>
      <c r="H517" s="1474" t="s">
        <v>1653</v>
      </c>
      <c r="I517" s="1478" t="s">
        <v>913</v>
      </c>
      <c r="J517" s="1478"/>
      <c r="K517" s="1475" t="s">
        <v>847</v>
      </c>
      <c r="L517" s="1474" t="s">
        <v>582</v>
      </c>
      <c r="M517" s="1476" t="s">
        <v>841</v>
      </c>
      <c r="N517" s="1477" t="s">
        <v>1695</v>
      </c>
      <c r="O517" s="1479">
        <v>1600</v>
      </c>
      <c r="P517" s="1479"/>
      <c r="Q517" s="1142">
        <f t="shared" si="145"/>
        <v>1600</v>
      </c>
      <c r="R517" s="1143">
        <f>IFERROR(VLOOKUP(CONCATENATE(E517,G517),'LAC 103'!$A$12:$O$95,11,FALSE),0)</f>
        <v>3.2074101033884355</v>
      </c>
      <c r="S517" s="1144">
        <f>IFERROR(VLOOKUP(CONCATENATE($E517,$G517),'LAC 103'!$A$12:$O$95,12,FALSE),0)</f>
        <v>3.99</v>
      </c>
      <c r="T517" s="1144">
        <f>IFERROR(VLOOKUP(CONCATENATE($E517,$G517),'LAC 103'!$A$12:$O$95,13,FALSE),0)</f>
        <v>2.48</v>
      </c>
      <c r="U517" s="1144">
        <f>IFERROR(VLOOKUP(CONCATENATE($E517,$G517),'LAC 103'!$A$12:$O$95,14,FALSE),0)</f>
        <v>0</v>
      </c>
      <c r="V517" s="1144">
        <f>IFERROR(VLOOKUP(CONCATENATE($E517,$G517),'LAC 103'!$A$12:$O$95,15,FALSE),0)</f>
        <v>0</v>
      </c>
      <c r="W517" s="1145" t="str">
        <f>IFERROR(VLOOKUP(CONCATENATE($B517,$N517),'LAC 103'!$AI:$AQ,9,FALSE),"")</f>
        <v>Costs</v>
      </c>
      <c r="X517" s="1146">
        <f t="shared" si="132"/>
        <v>3.2074101033884355</v>
      </c>
      <c r="Y517" s="1143">
        <f t="shared" si="133"/>
        <v>5131.8561654214964</v>
      </c>
      <c r="Z517" s="1147">
        <f t="shared" si="134"/>
        <v>6384</v>
      </c>
      <c r="AA517" s="1144">
        <f t="shared" si="135"/>
        <v>3968</v>
      </c>
      <c r="AB517" s="1144">
        <f t="shared" si="136"/>
        <v>0</v>
      </c>
      <c r="AC517" s="1144">
        <f t="shared" si="137"/>
        <v>0</v>
      </c>
      <c r="AD517" s="1148">
        <f t="shared" si="128"/>
        <v>5131.8561654214964</v>
      </c>
      <c r="AE517" s="1487">
        <v>0</v>
      </c>
      <c r="AF517" s="1145">
        <f t="shared" si="138"/>
        <v>5131.8561654214964</v>
      </c>
      <c r="AG517" s="1149">
        <f>IFERROR(VLOOKUP(CONCATENATE($L517,$N517),'Drop List'!$G$23:$K$87,2,FALSE),0)</f>
        <v>0.55000000000000004</v>
      </c>
      <c r="AH517" s="1150">
        <f>IFERROR(VLOOKUP(CONCATENATE($L517,$N517),'Drop List'!$G$23:$K$87,3,FALSE),0)</f>
        <v>0.44999999999999996</v>
      </c>
      <c r="AI517" s="1150">
        <f>IFERROR(VLOOKUP(CONCATENATE($L517,$N517),'Drop List'!$G$23:$K$87,4,FALSE),0)</f>
        <v>0</v>
      </c>
      <c r="AJ517" s="1151">
        <f>IFERROR(VLOOKUP(CONCATENATE($L517,$N517),'Drop List'!$G$23:$K$87,5,FALSE),0)</f>
        <v>0</v>
      </c>
      <c r="AK517" s="1152">
        <f t="shared" si="139"/>
        <v>2822.5208909818234</v>
      </c>
      <c r="AL517" s="1153">
        <f t="shared" si="140"/>
        <v>2309.335274439673</v>
      </c>
      <c r="AM517" s="1153">
        <f t="shared" si="141"/>
        <v>0</v>
      </c>
      <c r="AN517" s="1145">
        <f t="shared" si="142"/>
        <v>0</v>
      </c>
      <c r="AO517" s="1154">
        <f t="shared" si="143"/>
        <v>5131.8561654214964</v>
      </c>
      <c r="AP517" s="1147">
        <f t="shared" si="129"/>
        <v>0</v>
      </c>
      <c r="AQ517" s="1144">
        <f t="shared" si="130"/>
        <v>0</v>
      </c>
      <c r="AR517" s="1146">
        <f t="shared" si="131"/>
        <v>5131.8561654214964</v>
      </c>
    </row>
    <row r="518" spans="1:44" x14ac:dyDescent="0.2">
      <c r="A518" s="1141" t="str">
        <f t="shared" si="144"/>
        <v>1510</v>
      </c>
      <c r="B518" s="1141" t="str">
        <f>IFERROR(VLOOKUP(A518,'LAC 103'!A:C,3,FALSE),"")</f>
        <v>OP</v>
      </c>
      <c r="C518" s="1478" t="str">
        <f>Info!$B$8</f>
        <v>00100</v>
      </c>
      <c r="D518" s="1474" t="s">
        <v>256</v>
      </c>
      <c r="E518" s="1474" t="s">
        <v>95</v>
      </c>
      <c r="F518" s="1478" t="s">
        <v>77</v>
      </c>
      <c r="G518" s="1478" t="s">
        <v>77</v>
      </c>
      <c r="H518" s="1474" t="s">
        <v>1653</v>
      </c>
      <c r="I518" s="1478" t="s">
        <v>913</v>
      </c>
      <c r="J518" s="1478"/>
      <c r="K518" s="1475" t="s">
        <v>847</v>
      </c>
      <c r="L518" s="1474" t="s">
        <v>582</v>
      </c>
      <c r="M518" s="1476" t="s">
        <v>840</v>
      </c>
      <c r="N518" s="1477" t="s">
        <v>1700</v>
      </c>
      <c r="O518" s="1479">
        <v>326</v>
      </c>
      <c r="P518" s="1479"/>
      <c r="Q518" s="1142">
        <f t="shared" si="145"/>
        <v>326</v>
      </c>
      <c r="R518" s="1143">
        <f>IFERROR(VLOOKUP(CONCATENATE(E518,G518),'LAC 103'!$A$12:$O$95,11,FALSE),0)</f>
        <v>3.2074101033884355</v>
      </c>
      <c r="S518" s="1144">
        <f>IFERROR(VLOOKUP(CONCATENATE($E518,$G518),'LAC 103'!$A$12:$O$95,12,FALSE),0)</f>
        <v>3.99</v>
      </c>
      <c r="T518" s="1144">
        <f>IFERROR(VLOOKUP(CONCATENATE($E518,$G518),'LAC 103'!$A$12:$O$95,13,FALSE),0)</f>
        <v>2.48</v>
      </c>
      <c r="U518" s="1144">
        <f>IFERROR(VLOOKUP(CONCATENATE($E518,$G518),'LAC 103'!$A$12:$O$95,14,FALSE),0)</f>
        <v>0</v>
      </c>
      <c r="V518" s="1144">
        <f>IFERROR(VLOOKUP(CONCATENATE($E518,$G518),'LAC 103'!$A$12:$O$95,15,FALSE),0)</f>
        <v>0</v>
      </c>
      <c r="W518" s="1145" t="str">
        <f>IFERROR(VLOOKUP(CONCATENATE($B518,$N518),'LAC 103'!$AI:$AQ,9,FALSE),"")</f>
        <v>P.C.</v>
      </c>
      <c r="X518" s="1146">
        <f t="shared" si="132"/>
        <v>2.48</v>
      </c>
      <c r="Y518" s="1143">
        <f t="shared" si="133"/>
        <v>1045.6156937046298</v>
      </c>
      <c r="Z518" s="1147">
        <f t="shared" si="134"/>
        <v>1300.74</v>
      </c>
      <c r="AA518" s="1144">
        <f t="shared" si="135"/>
        <v>808.48</v>
      </c>
      <c r="AB518" s="1144">
        <f t="shared" si="136"/>
        <v>0</v>
      </c>
      <c r="AC518" s="1144">
        <f t="shared" si="137"/>
        <v>0</v>
      </c>
      <c r="AD518" s="1148">
        <f t="shared" si="128"/>
        <v>808.48</v>
      </c>
      <c r="AE518" s="1487">
        <v>0</v>
      </c>
      <c r="AF518" s="1145">
        <f t="shared" si="138"/>
        <v>808.48</v>
      </c>
      <c r="AG518" s="1149">
        <f>IFERROR(VLOOKUP(CONCATENATE($L518,$N518),'Drop List'!$G$23:$K$87,2,FALSE),0)</f>
        <v>0.55000000000000004</v>
      </c>
      <c r="AH518" s="1150">
        <f>IFERROR(VLOOKUP(CONCATENATE($L518,$N518),'Drop List'!$G$23:$K$87,3,FALSE),0)</f>
        <v>0.44999999999999996</v>
      </c>
      <c r="AI518" s="1150">
        <f>IFERROR(VLOOKUP(CONCATENATE($L518,$N518),'Drop List'!$G$23:$K$87,4,FALSE),0)</f>
        <v>0</v>
      </c>
      <c r="AJ518" s="1151">
        <f>IFERROR(VLOOKUP(CONCATENATE($L518,$N518),'Drop List'!$G$23:$K$87,5,FALSE),0)</f>
        <v>0</v>
      </c>
      <c r="AK518" s="1152">
        <f t="shared" si="139"/>
        <v>444.66400000000004</v>
      </c>
      <c r="AL518" s="1153">
        <f t="shared" si="140"/>
        <v>363.81599999999997</v>
      </c>
      <c r="AM518" s="1153">
        <f t="shared" si="141"/>
        <v>0</v>
      </c>
      <c r="AN518" s="1145">
        <f t="shared" si="142"/>
        <v>0</v>
      </c>
      <c r="AO518" s="1154">
        <f t="shared" si="143"/>
        <v>808.48</v>
      </c>
      <c r="AP518" s="1147">
        <f t="shared" si="129"/>
        <v>0</v>
      </c>
      <c r="AQ518" s="1144">
        <f t="shared" si="130"/>
        <v>0</v>
      </c>
      <c r="AR518" s="1146">
        <f t="shared" si="131"/>
        <v>808.48</v>
      </c>
    </row>
    <row r="519" spans="1:44" x14ac:dyDescent="0.2">
      <c r="A519" s="1141" t="str">
        <f t="shared" si="144"/>
        <v>1510</v>
      </c>
      <c r="B519" s="1141" t="str">
        <f>IFERROR(VLOOKUP(A519,'LAC 103'!A:C,3,FALSE),"")</f>
        <v>OP</v>
      </c>
      <c r="C519" s="1478" t="str">
        <f>Info!$B$8</f>
        <v>00100</v>
      </c>
      <c r="D519" s="1474" t="s">
        <v>256</v>
      </c>
      <c r="E519" s="1474" t="s">
        <v>95</v>
      </c>
      <c r="F519" s="1478" t="s">
        <v>77</v>
      </c>
      <c r="G519" s="1478" t="s">
        <v>77</v>
      </c>
      <c r="H519" s="1474" t="s">
        <v>1653</v>
      </c>
      <c r="I519" s="1478" t="s">
        <v>913</v>
      </c>
      <c r="J519" s="1478"/>
      <c r="K519" s="1475" t="s">
        <v>847</v>
      </c>
      <c r="L519" s="1474" t="s">
        <v>582</v>
      </c>
      <c r="M519" s="1476" t="s">
        <v>842</v>
      </c>
      <c r="N519" s="1477" t="s">
        <v>1692</v>
      </c>
      <c r="O519" s="1479">
        <v>3659</v>
      </c>
      <c r="P519" s="1479"/>
      <c r="Q519" s="1142">
        <f t="shared" si="145"/>
        <v>3659</v>
      </c>
      <c r="R519" s="1143">
        <f>IFERROR(VLOOKUP(CONCATENATE(E519,G519),'LAC 103'!$A$12:$O$95,11,FALSE),0)</f>
        <v>3.2074101033884355</v>
      </c>
      <c r="S519" s="1144">
        <f>IFERROR(VLOOKUP(CONCATENATE($E519,$G519),'LAC 103'!$A$12:$O$95,12,FALSE),0)</f>
        <v>3.99</v>
      </c>
      <c r="T519" s="1144">
        <f>IFERROR(VLOOKUP(CONCATENATE($E519,$G519),'LAC 103'!$A$12:$O$95,13,FALSE),0)</f>
        <v>2.48</v>
      </c>
      <c r="U519" s="1144">
        <f>IFERROR(VLOOKUP(CONCATENATE($E519,$G519),'LAC 103'!$A$12:$O$95,14,FALSE),0)</f>
        <v>0</v>
      </c>
      <c r="V519" s="1144">
        <f>IFERROR(VLOOKUP(CONCATENATE($E519,$G519),'LAC 103'!$A$12:$O$95,15,FALSE),0)</f>
        <v>0</v>
      </c>
      <c r="W519" s="1145" t="str">
        <f>IFERROR(VLOOKUP(CONCATENATE($B519,$N519),'LAC 103'!$AI:$AQ,9,FALSE),"")</f>
        <v>Costs</v>
      </c>
      <c r="X519" s="1146">
        <f t="shared" si="132"/>
        <v>3.2074101033884355</v>
      </c>
      <c r="Y519" s="1143">
        <f t="shared" si="133"/>
        <v>11735.913568298285</v>
      </c>
      <c r="Z519" s="1147">
        <f t="shared" si="134"/>
        <v>14599.410000000002</v>
      </c>
      <c r="AA519" s="1144">
        <f t="shared" si="135"/>
        <v>9074.32</v>
      </c>
      <c r="AB519" s="1144">
        <f t="shared" si="136"/>
        <v>0</v>
      </c>
      <c r="AC519" s="1144">
        <f t="shared" si="137"/>
        <v>0</v>
      </c>
      <c r="AD519" s="1148">
        <f t="shared" ref="AD519:AD582" si="146">Q519*X519</f>
        <v>11735.913568298285</v>
      </c>
      <c r="AE519" s="1487">
        <v>0</v>
      </c>
      <c r="AF519" s="1145">
        <f t="shared" si="138"/>
        <v>11735.913568298285</v>
      </c>
      <c r="AG519" s="1149">
        <f>IFERROR(VLOOKUP(CONCATENATE($L519,$N519),'Drop List'!$G$23:$K$87,2,FALSE),0)</f>
        <v>0.56200000000000006</v>
      </c>
      <c r="AH519" s="1150">
        <f>IFERROR(VLOOKUP(CONCATENATE($L519,$N519),'Drop List'!$G$23:$K$87,3,FALSE),0)</f>
        <v>0.43799999999999994</v>
      </c>
      <c r="AI519" s="1150">
        <f>IFERROR(VLOOKUP(CONCATENATE($L519,$N519),'Drop List'!$G$23:$K$87,4,FALSE),0)</f>
        <v>0</v>
      </c>
      <c r="AJ519" s="1151">
        <f>IFERROR(VLOOKUP(CONCATENATE($L519,$N519),'Drop List'!$G$23:$K$87,5,FALSE),0)</f>
        <v>0</v>
      </c>
      <c r="AK519" s="1152">
        <f t="shared" si="139"/>
        <v>6595.5834253836365</v>
      </c>
      <c r="AL519" s="1153">
        <f t="shared" si="140"/>
        <v>5140.3301429146486</v>
      </c>
      <c r="AM519" s="1153">
        <f t="shared" si="141"/>
        <v>0</v>
      </c>
      <c r="AN519" s="1145">
        <f t="shared" si="142"/>
        <v>0</v>
      </c>
      <c r="AO519" s="1154">
        <f t="shared" si="143"/>
        <v>11735.913568298285</v>
      </c>
      <c r="AP519" s="1147">
        <f t="shared" ref="AP519:AP582" si="147">IF($L519="14",$AF519,0)</f>
        <v>0</v>
      </c>
      <c r="AQ519" s="1144">
        <f t="shared" ref="AQ519:AQ582" si="148">IF($L519="15",$AF519,0)</f>
        <v>0</v>
      </c>
      <c r="AR519" s="1146">
        <f t="shared" ref="AR519:AR582" si="149">AO519+AP519+AQ519</f>
        <v>11735.913568298285</v>
      </c>
    </row>
    <row r="520" spans="1:44" x14ac:dyDescent="0.2">
      <c r="A520" s="1141" t="str">
        <f t="shared" si="144"/>
        <v>1510</v>
      </c>
      <c r="B520" s="1141" t="str">
        <f>IFERROR(VLOOKUP(A520,'LAC 103'!A:C,3,FALSE),"")</f>
        <v>OP</v>
      </c>
      <c r="C520" s="1478" t="str">
        <f>Info!$B$8</f>
        <v>00100</v>
      </c>
      <c r="D520" s="1474" t="s">
        <v>256</v>
      </c>
      <c r="E520" s="1474" t="s">
        <v>95</v>
      </c>
      <c r="F520" s="1478" t="s">
        <v>77</v>
      </c>
      <c r="G520" s="1478" t="s">
        <v>77</v>
      </c>
      <c r="H520" s="1474" t="s">
        <v>1653</v>
      </c>
      <c r="I520" s="1478" t="s">
        <v>913</v>
      </c>
      <c r="J520" s="1478"/>
      <c r="K520" s="1475" t="s">
        <v>847</v>
      </c>
      <c r="L520" s="1474" t="s">
        <v>582</v>
      </c>
      <c r="M520" s="1476" t="s">
        <v>1698</v>
      </c>
      <c r="N520" s="1477" t="s">
        <v>1693</v>
      </c>
      <c r="O520" s="1479">
        <v>3673</v>
      </c>
      <c r="P520" s="1479"/>
      <c r="Q520" s="1142">
        <f t="shared" si="145"/>
        <v>3673</v>
      </c>
      <c r="R520" s="1143">
        <f>IFERROR(VLOOKUP(CONCATENATE(E520,G520),'LAC 103'!$A$12:$O$95,11,FALSE),0)</f>
        <v>3.2074101033884355</v>
      </c>
      <c r="S520" s="1144">
        <f>IFERROR(VLOOKUP(CONCATENATE($E520,$G520),'LAC 103'!$A$12:$O$95,12,FALSE),0)</f>
        <v>3.99</v>
      </c>
      <c r="T520" s="1144">
        <f>IFERROR(VLOOKUP(CONCATENATE($E520,$G520),'LAC 103'!$A$12:$O$95,13,FALSE),0)</f>
        <v>2.48</v>
      </c>
      <c r="U520" s="1144">
        <f>IFERROR(VLOOKUP(CONCATENATE($E520,$G520),'LAC 103'!$A$12:$O$95,14,FALSE),0)</f>
        <v>0</v>
      </c>
      <c r="V520" s="1144">
        <f>IFERROR(VLOOKUP(CONCATENATE($E520,$G520),'LAC 103'!$A$12:$O$95,15,FALSE),0)</f>
        <v>0</v>
      </c>
      <c r="W520" s="1145" t="str">
        <f>IFERROR(VLOOKUP(CONCATENATE($B520,$N520),'LAC 103'!$AI:$AQ,9,FALSE),"")</f>
        <v>Costs</v>
      </c>
      <c r="X520" s="1146">
        <f t="shared" ref="X520:X583" si="150">IF($W520="Costs",$R520,IF($W520="CMA",$S520,IF($W520="P.C.",$T520,IF($W520="SMA",$U520,$V520))))</f>
        <v>3.2074101033884355</v>
      </c>
      <c r="Y520" s="1143">
        <f t="shared" ref="Y520:Y583" si="151">$Q520*R520</f>
        <v>11780.817309745724</v>
      </c>
      <c r="Z520" s="1147">
        <f t="shared" ref="Z520:Z583" si="152">IF(S520=0,Y520,$Q520*S520)</f>
        <v>14655.27</v>
      </c>
      <c r="AA520" s="1144">
        <f t="shared" ref="AA520:AA583" si="153">IF(T520=0,Y520,$Q520*T520)</f>
        <v>9109.0399999999991</v>
      </c>
      <c r="AB520" s="1144">
        <f t="shared" ref="AB520:AB583" si="154">$Q520*U520</f>
        <v>0</v>
      </c>
      <c r="AC520" s="1144">
        <f t="shared" ref="AC520:AC583" si="155">$Q520*V520</f>
        <v>0</v>
      </c>
      <c r="AD520" s="1148">
        <f t="shared" si="146"/>
        <v>11780.817309745724</v>
      </c>
      <c r="AE520" s="1487">
        <v>0</v>
      </c>
      <c r="AF520" s="1145">
        <f t="shared" ref="AF520:AF583" si="156">AD520-AE520</f>
        <v>11780.817309745724</v>
      </c>
      <c r="AG520" s="1149">
        <f>IFERROR(VLOOKUP(CONCATENATE($L520,$N520),'Drop List'!$G$23:$K$87,2,FALSE),0)</f>
        <v>0.56200000000000006</v>
      </c>
      <c r="AH520" s="1150">
        <f>IFERROR(VLOOKUP(CONCATENATE($L520,$N520),'Drop List'!$G$23:$K$87,3,FALSE),0)</f>
        <v>0.43799999999999994</v>
      </c>
      <c r="AI520" s="1150">
        <f>IFERROR(VLOOKUP(CONCATENATE($L520,$N520),'Drop List'!$G$23:$K$87,4,FALSE),0)</f>
        <v>0</v>
      </c>
      <c r="AJ520" s="1151">
        <f>IFERROR(VLOOKUP(CONCATENATE($L520,$N520),'Drop List'!$G$23:$K$87,5,FALSE),0)</f>
        <v>0</v>
      </c>
      <c r="AK520" s="1152">
        <f t="shared" ref="AK520:AK583" si="157">IFERROR($AF520*AG520,0)</f>
        <v>6620.8193280770975</v>
      </c>
      <c r="AL520" s="1153">
        <f t="shared" ref="AL520:AL583" si="158">IFERROR($AF520*AH520,0)</f>
        <v>5159.9979816686264</v>
      </c>
      <c r="AM520" s="1153">
        <f t="shared" ref="AM520:AM583" si="159">IFERROR($AF520*AI520,0)</f>
        <v>0</v>
      </c>
      <c r="AN520" s="1145">
        <f t="shared" ref="AN520:AN583" si="160">IFERROR($AF520*AJ520,0)</f>
        <v>0</v>
      </c>
      <c r="AO520" s="1154">
        <f t="shared" ref="AO520:AO583" si="161">SUM(AK520:AN520)</f>
        <v>11780.817309745724</v>
      </c>
      <c r="AP520" s="1147">
        <f t="shared" si="147"/>
        <v>0</v>
      </c>
      <c r="AQ520" s="1144">
        <f t="shared" si="148"/>
        <v>0</v>
      </c>
      <c r="AR520" s="1146">
        <f t="shared" si="149"/>
        <v>11780.817309745724</v>
      </c>
    </row>
    <row r="521" spans="1:44" x14ac:dyDescent="0.2">
      <c r="A521" s="1141" t="str">
        <f t="shared" si="144"/>
        <v>1510</v>
      </c>
      <c r="B521" s="1141" t="str">
        <f>IFERROR(VLOOKUP(A521,'LAC 103'!A:C,3,FALSE),"")</f>
        <v>OP</v>
      </c>
      <c r="C521" s="1478" t="str">
        <f>Info!$B$8</f>
        <v>00100</v>
      </c>
      <c r="D521" s="1474" t="s">
        <v>256</v>
      </c>
      <c r="E521" s="1474" t="s">
        <v>95</v>
      </c>
      <c r="F521" s="1478" t="s">
        <v>77</v>
      </c>
      <c r="G521" s="1478" t="s">
        <v>77</v>
      </c>
      <c r="H521" s="1474" t="s">
        <v>1653</v>
      </c>
      <c r="I521" s="1478" t="s">
        <v>913</v>
      </c>
      <c r="J521" s="1478"/>
      <c r="K521" s="1475" t="s">
        <v>848</v>
      </c>
      <c r="L521" s="1474" t="s">
        <v>45</v>
      </c>
      <c r="M521" s="1476" t="s">
        <v>1699</v>
      </c>
      <c r="N521" s="1477" t="s">
        <v>1694</v>
      </c>
      <c r="O521" s="1479">
        <v>2921</v>
      </c>
      <c r="P521" s="1479"/>
      <c r="Q521" s="1142">
        <f t="shared" si="145"/>
        <v>2921</v>
      </c>
      <c r="R521" s="1143">
        <f>IFERROR(VLOOKUP(CONCATENATE(E521,G521),'LAC 103'!$A$12:$O$95,11,FALSE),0)</f>
        <v>3.2074101033884355</v>
      </c>
      <c r="S521" s="1144">
        <f>IFERROR(VLOOKUP(CONCATENATE($E521,$G521),'LAC 103'!$A$12:$O$95,12,FALSE),0)</f>
        <v>3.99</v>
      </c>
      <c r="T521" s="1144">
        <f>IFERROR(VLOOKUP(CONCATENATE($E521,$G521),'LAC 103'!$A$12:$O$95,13,FALSE),0)</f>
        <v>2.48</v>
      </c>
      <c r="U521" s="1144">
        <f>IFERROR(VLOOKUP(CONCATENATE($E521,$G521),'LAC 103'!$A$12:$O$95,14,FALSE),0)</f>
        <v>0</v>
      </c>
      <c r="V521" s="1144">
        <f>IFERROR(VLOOKUP(CONCATENATE($E521,$G521),'LAC 103'!$A$12:$O$95,15,FALSE),0)</f>
        <v>0</v>
      </c>
      <c r="W521" s="1145" t="str">
        <f>IFERROR(VLOOKUP(CONCATENATE($B521,$N521),'LAC 103'!$AI:$AQ,9,FALSE),"")</f>
        <v>Costs</v>
      </c>
      <c r="X521" s="1146">
        <f t="shared" si="150"/>
        <v>3.2074101033884355</v>
      </c>
      <c r="Y521" s="1143">
        <f t="shared" si="151"/>
        <v>9368.8449119976194</v>
      </c>
      <c r="Z521" s="1147">
        <f t="shared" si="152"/>
        <v>11654.79</v>
      </c>
      <c r="AA521" s="1144">
        <f t="shared" si="153"/>
        <v>7244.08</v>
      </c>
      <c r="AB521" s="1144">
        <f t="shared" si="154"/>
        <v>0</v>
      </c>
      <c r="AC521" s="1144">
        <f t="shared" si="155"/>
        <v>0</v>
      </c>
      <c r="AD521" s="1148">
        <f t="shared" si="146"/>
        <v>9368.8449119976194</v>
      </c>
      <c r="AE521" s="1487">
        <v>0</v>
      </c>
      <c r="AF521" s="1145">
        <f t="shared" si="156"/>
        <v>9368.8449119976194</v>
      </c>
      <c r="AG521" s="1149">
        <f>IFERROR(VLOOKUP(CONCATENATE($L521,$N521),'Drop List'!$G$23:$K$87,2,FALSE),0)</f>
        <v>0.69340000000000002</v>
      </c>
      <c r="AH521" s="1150">
        <f>IFERROR(VLOOKUP(CONCATENATE($L521,$N521),'Drop List'!$G$23:$K$87,3,FALSE),0)</f>
        <v>0.30659999999999998</v>
      </c>
      <c r="AI521" s="1150">
        <f>IFERROR(VLOOKUP(CONCATENATE($L521,$N521),'Drop List'!$G$23:$K$87,4,FALSE),0)</f>
        <v>0</v>
      </c>
      <c r="AJ521" s="1151">
        <f>IFERROR(VLOOKUP(CONCATENATE($L521,$N521),'Drop List'!$G$23:$K$87,5,FALSE),0)</f>
        <v>0</v>
      </c>
      <c r="AK521" s="1152">
        <f t="shared" si="157"/>
        <v>6496.3570619791499</v>
      </c>
      <c r="AL521" s="1153">
        <f t="shared" si="158"/>
        <v>2872.48785001847</v>
      </c>
      <c r="AM521" s="1153">
        <f t="shared" si="159"/>
        <v>0</v>
      </c>
      <c r="AN521" s="1145">
        <f t="shared" si="160"/>
        <v>0</v>
      </c>
      <c r="AO521" s="1154">
        <f t="shared" si="161"/>
        <v>9368.8449119976194</v>
      </c>
      <c r="AP521" s="1147">
        <f t="shared" si="147"/>
        <v>0</v>
      </c>
      <c r="AQ521" s="1144">
        <f t="shared" si="148"/>
        <v>0</v>
      </c>
      <c r="AR521" s="1146">
        <f t="shared" si="149"/>
        <v>9368.8449119976194</v>
      </c>
    </row>
    <row r="522" spans="1:44" x14ac:dyDescent="0.2">
      <c r="A522" s="1141" t="str">
        <f t="shared" si="144"/>
        <v>1510</v>
      </c>
      <c r="B522" s="1141" t="str">
        <f>IFERROR(VLOOKUP(A522,'LAC 103'!A:C,3,FALSE),"")</f>
        <v>OP</v>
      </c>
      <c r="C522" s="1478" t="str">
        <f>Info!$B$8</f>
        <v>00100</v>
      </c>
      <c r="D522" s="1474" t="s">
        <v>256</v>
      </c>
      <c r="E522" s="1474" t="s">
        <v>95</v>
      </c>
      <c r="F522" s="1478" t="s">
        <v>77</v>
      </c>
      <c r="G522" s="1478" t="s">
        <v>77</v>
      </c>
      <c r="H522" s="1474" t="s">
        <v>1653</v>
      </c>
      <c r="I522" s="1478" t="s">
        <v>913</v>
      </c>
      <c r="J522" s="1478"/>
      <c r="K522" s="1475" t="s">
        <v>848</v>
      </c>
      <c r="L522" s="1474" t="s">
        <v>45</v>
      </c>
      <c r="M522" s="1476" t="s">
        <v>841</v>
      </c>
      <c r="N522" s="1477" t="s">
        <v>1695</v>
      </c>
      <c r="O522" s="1479">
        <v>2569</v>
      </c>
      <c r="P522" s="1479"/>
      <c r="Q522" s="1142">
        <f t="shared" si="145"/>
        <v>2569</v>
      </c>
      <c r="R522" s="1143">
        <f>IFERROR(VLOOKUP(CONCATENATE(E522,G522),'LAC 103'!$A$12:$O$95,11,FALSE),0)</f>
        <v>3.2074101033884355</v>
      </c>
      <c r="S522" s="1144">
        <f>IFERROR(VLOOKUP(CONCATENATE($E522,$G522),'LAC 103'!$A$12:$O$95,12,FALSE),0)</f>
        <v>3.99</v>
      </c>
      <c r="T522" s="1144">
        <f>IFERROR(VLOOKUP(CONCATENATE($E522,$G522),'LAC 103'!$A$12:$O$95,13,FALSE),0)</f>
        <v>2.48</v>
      </c>
      <c r="U522" s="1144">
        <f>IFERROR(VLOOKUP(CONCATENATE($E522,$G522),'LAC 103'!$A$12:$O$95,14,FALSE),0)</f>
        <v>0</v>
      </c>
      <c r="V522" s="1144">
        <f>IFERROR(VLOOKUP(CONCATENATE($E522,$G522),'LAC 103'!$A$12:$O$95,15,FALSE),0)</f>
        <v>0</v>
      </c>
      <c r="W522" s="1145" t="str">
        <f>IFERROR(VLOOKUP(CONCATENATE($B522,$N522),'LAC 103'!$AI:$AQ,9,FALSE),"")</f>
        <v>Costs</v>
      </c>
      <c r="X522" s="1146">
        <f t="shared" si="150"/>
        <v>3.2074101033884355</v>
      </c>
      <c r="Y522" s="1143">
        <f t="shared" si="151"/>
        <v>8239.8365556048902</v>
      </c>
      <c r="Z522" s="1147">
        <f t="shared" si="152"/>
        <v>10250.310000000001</v>
      </c>
      <c r="AA522" s="1144">
        <f t="shared" si="153"/>
        <v>6371.12</v>
      </c>
      <c r="AB522" s="1144">
        <f t="shared" si="154"/>
        <v>0</v>
      </c>
      <c r="AC522" s="1144">
        <f t="shared" si="155"/>
        <v>0</v>
      </c>
      <c r="AD522" s="1148">
        <f t="shared" si="146"/>
        <v>8239.8365556048902</v>
      </c>
      <c r="AE522" s="1487">
        <v>0</v>
      </c>
      <c r="AF522" s="1145">
        <f t="shared" si="156"/>
        <v>8239.8365556048902</v>
      </c>
      <c r="AG522" s="1149">
        <f>IFERROR(VLOOKUP(CONCATENATE($L522,$N522),'Drop List'!$G$23:$K$87,2,FALSE),0)</f>
        <v>0.68500000000000005</v>
      </c>
      <c r="AH522" s="1150">
        <f>IFERROR(VLOOKUP(CONCATENATE($L522,$N522),'Drop List'!$G$23:$K$87,3,FALSE),0)</f>
        <v>0.31499999999999995</v>
      </c>
      <c r="AI522" s="1150">
        <f>IFERROR(VLOOKUP(CONCATENATE($L522,$N522),'Drop List'!$G$23:$K$87,4,FALSE),0)</f>
        <v>0</v>
      </c>
      <c r="AJ522" s="1151">
        <f>IFERROR(VLOOKUP(CONCATENATE($L522,$N522),'Drop List'!$G$23:$K$87,5,FALSE),0)</f>
        <v>0</v>
      </c>
      <c r="AK522" s="1152">
        <f t="shared" si="157"/>
        <v>5644.2880405893502</v>
      </c>
      <c r="AL522" s="1153">
        <f t="shared" si="158"/>
        <v>2595.54851501554</v>
      </c>
      <c r="AM522" s="1153">
        <f t="shared" si="159"/>
        <v>0</v>
      </c>
      <c r="AN522" s="1145">
        <f t="shared" si="160"/>
        <v>0</v>
      </c>
      <c r="AO522" s="1154">
        <f t="shared" si="161"/>
        <v>8239.8365556048902</v>
      </c>
      <c r="AP522" s="1147">
        <f t="shared" si="147"/>
        <v>0</v>
      </c>
      <c r="AQ522" s="1144">
        <f t="shared" si="148"/>
        <v>0</v>
      </c>
      <c r="AR522" s="1146">
        <f t="shared" si="149"/>
        <v>8239.8365556048902</v>
      </c>
    </row>
    <row r="523" spans="1:44" x14ac:dyDescent="0.2">
      <c r="A523" s="1141" t="str">
        <f t="shared" si="144"/>
        <v>1510</v>
      </c>
      <c r="B523" s="1141" t="str">
        <f>IFERROR(VLOOKUP(A523,'LAC 103'!A:C,3,FALSE),"")</f>
        <v>OP</v>
      </c>
      <c r="C523" s="1478" t="str">
        <f>Info!$B$8</f>
        <v>00100</v>
      </c>
      <c r="D523" s="1474" t="s">
        <v>256</v>
      </c>
      <c r="E523" s="1474" t="s">
        <v>95</v>
      </c>
      <c r="F523" s="1478" t="s">
        <v>77</v>
      </c>
      <c r="G523" s="1478" t="s">
        <v>77</v>
      </c>
      <c r="H523" s="1474" t="s">
        <v>1653</v>
      </c>
      <c r="I523" s="1478" t="s">
        <v>913</v>
      </c>
      <c r="J523" s="1478"/>
      <c r="K523" s="1475" t="s">
        <v>848</v>
      </c>
      <c r="L523" s="1474" t="s">
        <v>45</v>
      </c>
      <c r="M523" s="1476" t="s">
        <v>840</v>
      </c>
      <c r="N523" s="1477" t="s">
        <v>1700</v>
      </c>
      <c r="O523" s="1479">
        <v>1295</v>
      </c>
      <c r="P523" s="1479"/>
      <c r="Q523" s="1142">
        <f t="shared" si="145"/>
        <v>1295</v>
      </c>
      <c r="R523" s="1143">
        <f>IFERROR(VLOOKUP(CONCATENATE(E523,G523),'LAC 103'!$A$12:$O$95,11,FALSE),0)</f>
        <v>3.2074101033884355</v>
      </c>
      <c r="S523" s="1144">
        <f>IFERROR(VLOOKUP(CONCATENATE($E523,$G523),'LAC 103'!$A$12:$O$95,12,FALSE),0)</f>
        <v>3.99</v>
      </c>
      <c r="T523" s="1144">
        <f>IFERROR(VLOOKUP(CONCATENATE($E523,$G523),'LAC 103'!$A$12:$O$95,13,FALSE),0)</f>
        <v>2.48</v>
      </c>
      <c r="U523" s="1144">
        <f>IFERROR(VLOOKUP(CONCATENATE($E523,$G523),'LAC 103'!$A$12:$O$95,14,FALSE),0)</f>
        <v>0</v>
      </c>
      <c r="V523" s="1144">
        <f>IFERROR(VLOOKUP(CONCATENATE($E523,$G523),'LAC 103'!$A$12:$O$95,15,FALSE),0)</f>
        <v>0</v>
      </c>
      <c r="W523" s="1145" t="str">
        <f>IFERROR(VLOOKUP(CONCATENATE($B523,$N523),'LAC 103'!$AI:$AQ,9,FALSE),"")</f>
        <v>P.C.</v>
      </c>
      <c r="X523" s="1146">
        <f t="shared" si="150"/>
        <v>2.48</v>
      </c>
      <c r="Y523" s="1143">
        <f t="shared" si="151"/>
        <v>4153.5960838880237</v>
      </c>
      <c r="Z523" s="1147">
        <f t="shared" si="152"/>
        <v>5167.05</v>
      </c>
      <c r="AA523" s="1144">
        <f t="shared" si="153"/>
        <v>3211.6</v>
      </c>
      <c r="AB523" s="1144">
        <f t="shared" si="154"/>
        <v>0</v>
      </c>
      <c r="AC523" s="1144">
        <f t="shared" si="155"/>
        <v>0</v>
      </c>
      <c r="AD523" s="1148">
        <f t="shared" si="146"/>
        <v>3211.6</v>
      </c>
      <c r="AE523" s="1487">
        <v>0</v>
      </c>
      <c r="AF523" s="1145">
        <f t="shared" si="156"/>
        <v>3211.6</v>
      </c>
      <c r="AG523" s="1149">
        <f>IFERROR(VLOOKUP(CONCATENATE($L523,$N523),'Drop List'!$G$23:$K$87,2,FALSE),0)</f>
        <v>0.68500000000000005</v>
      </c>
      <c r="AH523" s="1150">
        <f>IFERROR(VLOOKUP(CONCATENATE($L523,$N523),'Drop List'!$G$23:$K$87,3,FALSE),0)</f>
        <v>0.31499999999999995</v>
      </c>
      <c r="AI523" s="1150">
        <f>IFERROR(VLOOKUP(CONCATENATE($L523,$N523),'Drop List'!$G$23:$K$87,4,FALSE),0)</f>
        <v>0</v>
      </c>
      <c r="AJ523" s="1151">
        <f>IFERROR(VLOOKUP(CONCATENATE($L523,$N523),'Drop List'!$G$23:$K$87,5,FALSE),0)</f>
        <v>0</v>
      </c>
      <c r="AK523" s="1152">
        <f t="shared" si="157"/>
        <v>2199.9459999999999</v>
      </c>
      <c r="AL523" s="1153">
        <f t="shared" si="158"/>
        <v>1011.6539999999998</v>
      </c>
      <c r="AM523" s="1153">
        <f t="shared" si="159"/>
        <v>0</v>
      </c>
      <c r="AN523" s="1145">
        <f t="shared" si="160"/>
        <v>0</v>
      </c>
      <c r="AO523" s="1154">
        <f t="shared" si="161"/>
        <v>3211.5999999999995</v>
      </c>
      <c r="AP523" s="1147">
        <f t="shared" si="147"/>
        <v>0</v>
      </c>
      <c r="AQ523" s="1144">
        <f t="shared" si="148"/>
        <v>0</v>
      </c>
      <c r="AR523" s="1146">
        <f t="shared" si="149"/>
        <v>3211.5999999999995</v>
      </c>
    </row>
    <row r="524" spans="1:44" x14ac:dyDescent="0.2">
      <c r="A524" s="1141" t="str">
        <f t="shared" si="144"/>
        <v>1510</v>
      </c>
      <c r="B524" s="1141" t="str">
        <f>IFERROR(VLOOKUP(A524,'LAC 103'!A:C,3,FALSE),"")</f>
        <v>OP</v>
      </c>
      <c r="C524" s="1478" t="str">
        <f>Info!$B$8</f>
        <v>00100</v>
      </c>
      <c r="D524" s="1474" t="s">
        <v>256</v>
      </c>
      <c r="E524" s="1474" t="s">
        <v>95</v>
      </c>
      <c r="F524" s="1478" t="s">
        <v>77</v>
      </c>
      <c r="G524" s="1478" t="s">
        <v>77</v>
      </c>
      <c r="H524" s="1474" t="s">
        <v>1653</v>
      </c>
      <c r="I524" s="1478" t="s">
        <v>913</v>
      </c>
      <c r="J524" s="1478"/>
      <c r="K524" s="1475" t="s">
        <v>848</v>
      </c>
      <c r="L524" s="1474" t="s">
        <v>45</v>
      </c>
      <c r="M524" s="1476" t="s">
        <v>842</v>
      </c>
      <c r="N524" s="1477" t="s">
        <v>1692</v>
      </c>
      <c r="O524" s="1479">
        <v>2303</v>
      </c>
      <c r="P524" s="1479"/>
      <c r="Q524" s="1142">
        <f t="shared" si="145"/>
        <v>2303</v>
      </c>
      <c r="R524" s="1143">
        <f>IFERROR(VLOOKUP(CONCATENATE(E524,G524),'LAC 103'!$A$12:$O$95,11,FALSE),0)</f>
        <v>3.2074101033884355</v>
      </c>
      <c r="S524" s="1144">
        <f>IFERROR(VLOOKUP(CONCATENATE($E524,$G524),'LAC 103'!$A$12:$O$95,12,FALSE),0)</f>
        <v>3.99</v>
      </c>
      <c r="T524" s="1144">
        <f>IFERROR(VLOOKUP(CONCATENATE($E524,$G524),'LAC 103'!$A$12:$O$95,13,FALSE),0)</f>
        <v>2.48</v>
      </c>
      <c r="U524" s="1144">
        <f>IFERROR(VLOOKUP(CONCATENATE($E524,$G524),'LAC 103'!$A$12:$O$95,14,FALSE),0)</f>
        <v>0</v>
      </c>
      <c r="V524" s="1144">
        <f>IFERROR(VLOOKUP(CONCATENATE($E524,$G524),'LAC 103'!$A$12:$O$95,15,FALSE),0)</f>
        <v>0</v>
      </c>
      <c r="W524" s="1145" t="str">
        <f>IFERROR(VLOOKUP(CONCATENATE($B524,$N524),'LAC 103'!$AI:$AQ,9,FALSE),"")</f>
        <v>Costs</v>
      </c>
      <c r="X524" s="1146">
        <f t="shared" si="150"/>
        <v>3.2074101033884355</v>
      </c>
      <c r="Y524" s="1143">
        <f t="shared" si="151"/>
        <v>7386.665468103567</v>
      </c>
      <c r="Z524" s="1147">
        <f t="shared" si="152"/>
        <v>9188.9700000000012</v>
      </c>
      <c r="AA524" s="1144">
        <f t="shared" si="153"/>
        <v>5711.44</v>
      </c>
      <c r="AB524" s="1144">
        <f t="shared" si="154"/>
        <v>0</v>
      </c>
      <c r="AC524" s="1144">
        <f t="shared" si="155"/>
        <v>0</v>
      </c>
      <c r="AD524" s="1148">
        <f t="shared" si="146"/>
        <v>7386.665468103567</v>
      </c>
      <c r="AE524" s="1487">
        <v>0</v>
      </c>
      <c r="AF524" s="1145">
        <f t="shared" si="156"/>
        <v>7386.665468103567</v>
      </c>
      <c r="AG524" s="1149">
        <f>IFERROR(VLOOKUP(CONCATENATE($L524,$N524),'Drop List'!$G$23:$K$87,2,FALSE),0)</f>
        <v>0.69340000000000002</v>
      </c>
      <c r="AH524" s="1150">
        <f>IFERROR(VLOOKUP(CONCATENATE($L524,$N524),'Drop List'!$G$23:$K$87,3,FALSE),0)</f>
        <v>0.30659999999999998</v>
      </c>
      <c r="AI524" s="1150">
        <f>IFERROR(VLOOKUP(CONCATENATE($L524,$N524),'Drop List'!$G$23:$K$87,4,FALSE),0)</f>
        <v>0</v>
      </c>
      <c r="AJ524" s="1151">
        <f>IFERROR(VLOOKUP(CONCATENATE($L524,$N524),'Drop List'!$G$23:$K$87,5,FALSE),0)</f>
        <v>0</v>
      </c>
      <c r="AK524" s="1152">
        <f t="shared" si="157"/>
        <v>5121.9138355830137</v>
      </c>
      <c r="AL524" s="1153">
        <f t="shared" si="158"/>
        <v>2264.7516325205534</v>
      </c>
      <c r="AM524" s="1153">
        <f t="shared" si="159"/>
        <v>0</v>
      </c>
      <c r="AN524" s="1145">
        <f t="shared" si="160"/>
        <v>0</v>
      </c>
      <c r="AO524" s="1154">
        <f t="shared" si="161"/>
        <v>7386.665468103567</v>
      </c>
      <c r="AP524" s="1147">
        <f t="shared" si="147"/>
        <v>0</v>
      </c>
      <c r="AQ524" s="1144">
        <f t="shared" si="148"/>
        <v>0</v>
      </c>
      <c r="AR524" s="1146">
        <f t="shared" si="149"/>
        <v>7386.665468103567</v>
      </c>
    </row>
    <row r="525" spans="1:44" x14ac:dyDescent="0.2">
      <c r="A525" s="1141" t="str">
        <f t="shared" si="144"/>
        <v>1510</v>
      </c>
      <c r="B525" s="1141" t="str">
        <f>IFERROR(VLOOKUP(A525,'LAC 103'!A:C,3,FALSE),"")</f>
        <v>OP</v>
      </c>
      <c r="C525" s="1478" t="str">
        <f>Info!$B$8</f>
        <v>00100</v>
      </c>
      <c r="D525" s="1474" t="s">
        <v>256</v>
      </c>
      <c r="E525" s="1474" t="s">
        <v>95</v>
      </c>
      <c r="F525" s="1478" t="s">
        <v>77</v>
      </c>
      <c r="G525" s="1478" t="s">
        <v>77</v>
      </c>
      <c r="H525" s="1474" t="s">
        <v>1653</v>
      </c>
      <c r="I525" s="1478" t="s">
        <v>913</v>
      </c>
      <c r="J525" s="1478"/>
      <c r="K525" s="1475" t="s">
        <v>848</v>
      </c>
      <c r="L525" s="1474" t="s">
        <v>45</v>
      </c>
      <c r="M525" s="1476" t="s">
        <v>1698</v>
      </c>
      <c r="N525" s="1477" t="s">
        <v>1693</v>
      </c>
      <c r="O525" s="1479">
        <v>2566</v>
      </c>
      <c r="P525" s="1479"/>
      <c r="Q525" s="1142">
        <f t="shared" si="145"/>
        <v>2566</v>
      </c>
      <c r="R525" s="1143">
        <f>IFERROR(VLOOKUP(CONCATENATE(E525,G525),'LAC 103'!$A$12:$O$95,11,FALSE),0)</f>
        <v>3.2074101033884355</v>
      </c>
      <c r="S525" s="1144">
        <f>IFERROR(VLOOKUP(CONCATENATE($E525,$G525),'LAC 103'!$A$12:$O$95,12,FALSE),0)</f>
        <v>3.99</v>
      </c>
      <c r="T525" s="1144">
        <f>IFERROR(VLOOKUP(CONCATENATE($E525,$G525),'LAC 103'!$A$12:$O$95,13,FALSE),0)</f>
        <v>2.48</v>
      </c>
      <c r="U525" s="1144">
        <f>IFERROR(VLOOKUP(CONCATENATE($E525,$G525),'LAC 103'!$A$12:$O$95,14,FALSE),0)</f>
        <v>0</v>
      </c>
      <c r="V525" s="1144">
        <f>IFERROR(VLOOKUP(CONCATENATE($E525,$G525),'LAC 103'!$A$12:$O$95,15,FALSE),0)</f>
        <v>0</v>
      </c>
      <c r="W525" s="1145" t="str">
        <f>IFERROR(VLOOKUP(CONCATENATE($B525,$N525),'LAC 103'!$AI:$AQ,9,FALSE),"")</f>
        <v>Costs</v>
      </c>
      <c r="X525" s="1146">
        <f t="shared" si="150"/>
        <v>3.2074101033884355</v>
      </c>
      <c r="Y525" s="1143">
        <f t="shared" si="151"/>
        <v>8230.2143252947262</v>
      </c>
      <c r="Z525" s="1147">
        <f t="shared" si="152"/>
        <v>10238.34</v>
      </c>
      <c r="AA525" s="1144">
        <f t="shared" si="153"/>
        <v>6363.68</v>
      </c>
      <c r="AB525" s="1144">
        <f t="shared" si="154"/>
        <v>0</v>
      </c>
      <c r="AC525" s="1144">
        <f t="shared" si="155"/>
        <v>0</v>
      </c>
      <c r="AD525" s="1148">
        <f t="shared" si="146"/>
        <v>8230.2143252947262</v>
      </c>
      <c r="AE525" s="1487">
        <v>0</v>
      </c>
      <c r="AF525" s="1145">
        <f t="shared" si="156"/>
        <v>8230.2143252947262</v>
      </c>
      <c r="AG525" s="1149">
        <f>IFERROR(VLOOKUP(CONCATENATE($L525,$N525),'Drop List'!$G$23:$K$87,2,FALSE),0)</f>
        <v>0.69340000000000002</v>
      </c>
      <c r="AH525" s="1150">
        <f>IFERROR(VLOOKUP(CONCATENATE($L525,$N525),'Drop List'!$G$23:$K$87,3,FALSE),0)</f>
        <v>0.30659999999999998</v>
      </c>
      <c r="AI525" s="1150">
        <f>IFERROR(VLOOKUP(CONCATENATE($L525,$N525),'Drop List'!$G$23:$K$87,4,FALSE),0)</f>
        <v>0</v>
      </c>
      <c r="AJ525" s="1151">
        <f>IFERROR(VLOOKUP(CONCATENATE($L525,$N525),'Drop List'!$G$23:$K$87,5,FALSE),0)</f>
        <v>0</v>
      </c>
      <c r="AK525" s="1152">
        <f t="shared" si="157"/>
        <v>5706.8306131593636</v>
      </c>
      <c r="AL525" s="1153">
        <f t="shared" si="158"/>
        <v>2523.3837121353631</v>
      </c>
      <c r="AM525" s="1153">
        <f t="shared" si="159"/>
        <v>0</v>
      </c>
      <c r="AN525" s="1145">
        <f t="shared" si="160"/>
        <v>0</v>
      </c>
      <c r="AO525" s="1154">
        <f t="shared" si="161"/>
        <v>8230.2143252947262</v>
      </c>
      <c r="AP525" s="1147">
        <f t="shared" si="147"/>
        <v>0</v>
      </c>
      <c r="AQ525" s="1144">
        <f t="shared" si="148"/>
        <v>0</v>
      </c>
      <c r="AR525" s="1146">
        <f t="shared" si="149"/>
        <v>8230.2143252947262</v>
      </c>
    </row>
    <row r="526" spans="1:44" x14ac:dyDescent="0.2">
      <c r="A526" s="1141" t="str">
        <f t="shared" si="144"/>
        <v>1510</v>
      </c>
      <c r="B526" s="1141" t="str">
        <f>IFERROR(VLOOKUP(A526,'LAC 103'!A:C,3,FALSE),"")</f>
        <v>OP</v>
      </c>
      <c r="C526" s="1478" t="str">
        <f>Info!$B$8</f>
        <v>00100</v>
      </c>
      <c r="D526" s="1474" t="s">
        <v>256</v>
      </c>
      <c r="E526" s="1474" t="s">
        <v>95</v>
      </c>
      <c r="F526" s="1478" t="s">
        <v>77</v>
      </c>
      <c r="G526" s="1478" t="s">
        <v>77</v>
      </c>
      <c r="H526" s="1474" t="s">
        <v>1653</v>
      </c>
      <c r="I526" s="1478" t="s">
        <v>913</v>
      </c>
      <c r="J526" s="1478"/>
      <c r="K526" s="1475" t="s">
        <v>971</v>
      </c>
      <c r="L526" s="1474" t="s">
        <v>332</v>
      </c>
      <c r="M526" s="1476" t="s">
        <v>1698</v>
      </c>
      <c r="N526" s="1477" t="s">
        <v>1693</v>
      </c>
      <c r="O526" s="1479">
        <v>24</v>
      </c>
      <c r="P526" s="1479"/>
      <c r="Q526" s="1142">
        <f t="shared" si="145"/>
        <v>24</v>
      </c>
      <c r="R526" s="1143">
        <f>IFERROR(VLOOKUP(CONCATENATE(E526,G526),'LAC 103'!$A$12:$O$95,11,FALSE),0)</f>
        <v>3.2074101033884355</v>
      </c>
      <c r="S526" s="1144">
        <f>IFERROR(VLOOKUP(CONCATENATE($E526,$G526),'LAC 103'!$A$12:$O$95,12,FALSE),0)</f>
        <v>3.99</v>
      </c>
      <c r="T526" s="1144">
        <f>IFERROR(VLOOKUP(CONCATENATE($E526,$G526),'LAC 103'!$A$12:$O$95,13,FALSE),0)</f>
        <v>2.48</v>
      </c>
      <c r="U526" s="1144">
        <f>IFERROR(VLOOKUP(CONCATENATE($E526,$G526),'LAC 103'!$A$12:$O$95,14,FALSE),0)</f>
        <v>0</v>
      </c>
      <c r="V526" s="1144">
        <f>IFERROR(VLOOKUP(CONCATENATE($E526,$G526),'LAC 103'!$A$12:$O$95,15,FALSE),0)</f>
        <v>0</v>
      </c>
      <c r="W526" s="1145" t="str">
        <f>IFERROR(VLOOKUP(CONCATENATE($B526,$N526),'LAC 103'!$AI:$AQ,9,FALSE),"")</f>
        <v>Costs</v>
      </c>
      <c r="X526" s="1146">
        <f t="shared" si="150"/>
        <v>3.2074101033884355</v>
      </c>
      <c r="Y526" s="1143">
        <f t="shared" si="151"/>
        <v>76.977842481322455</v>
      </c>
      <c r="Z526" s="1147">
        <f t="shared" si="152"/>
        <v>95.76</v>
      </c>
      <c r="AA526" s="1144">
        <f t="shared" si="153"/>
        <v>59.519999999999996</v>
      </c>
      <c r="AB526" s="1144">
        <f t="shared" si="154"/>
        <v>0</v>
      </c>
      <c r="AC526" s="1144">
        <f t="shared" si="155"/>
        <v>0</v>
      </c>
      <c r="AD526" s="1148">
        <f t="shared" si="146"/>
        <v>76.977842481322455</v>
      </c>
      <c r="AE526" s="1487">
        <v>0</v>
      </c>
      <c r="AF526" s="1145">
        <f t="shared" si="156"/>
        <v>76.977842481322455</v>
      </c>
      <c r="AG526" s="1149">
        <f>IFERROR(VLOOKUP(CONCATENATE($L526,$N526),'Drop List'!$G$23:$K$87,2,FALSE),0)</f>
        <v>0</v>
      </c>
      <c r="AH526" s="1150">
        <f>IFERROR(VLOOKUP(CONCATENATE($L526,$N526),'Drop List'!$G$23:$K$87,3,FALSE),0)</f>
        <v>0</v>
      </c>
      <c r="AI526" s="1150">
        <f>IFERROR(VLOOKUP(CONCATENATE($L526,$N526),'Drop List'!$G$23:$K$87,4,FALSE),0)</f>
        <v>0</v>
      </c>
      <c r="AJ526" s="1151">
        <f>IFERROR(VLOOKUP(CONCATENATE($L526,$N526),'Drop List'!$G$23:$K$87,5,FALSE),0)</f>
        <v>0</v>
      </c>
      <c r="AK526" s="1152">
        <f t="shared" si="157"/>
        <v>0</v>
      </c>
      <c r="AL526" s="1153">
        <f t="shared" si="158"/>
        <v>0</v>
      </c>
      <c r="AM526" s="1153">
        <f t="shared" si="159"/>
        <v>0</v>
      </c>
      <c r="AN526" s="1145">
        <f t="shared" si="160"/>
        <v>0</v>
      </c>
      <c r="AO526" s="1154">
        <f t="shared" si="161"/>
        <v>0</v>
      </c>
      <c r="AP526" s="1147">
        <f t="shared" si="147"/>
        <v>76.977842481322455</v>
      </c>
      <c r="AQ526" s="1144">
        <f t="shared" si="148"/>
        <v>0</v>
      </c>
      <c r="AR526" s="1146">
        <f t="shared" si="149"/>
        <v>76.977842481322455</v>
      </c>
    </row>
    <row r="527" spans="1:44" x14ac:dyDescent="0.2">
      <c r="A527" s="1141" t="str">
        <f t="shared" si="144"/>
        <v>1510</v>
      </c>
      <c r="B527" s="1141" t="str">
        <f>IFERROR(VLOOKUP(A527,'LAC 103'!A:C,3,FALSE),"")</f>
        <v>OP</v>
      </c>
      <c r="C527" s="1478" t="str">
        <f>Info!$B$8</f>
        <v>00100</v>
      </c>
      <c r="D527" s="1474" t="s">
        <v>256</v>
      </c>
      <c r="E527" s="1474" t="s">
        <v>95</v>
      </c>
      <c r="F527" s="1478" t="s">
        <v>77</v>
      </c>
      <c r="G527" s="1478" t="s">
        <v>77</v>
      </c>
      <c r="H527" s="1474" t="s">
        <v>1656</v>
      </c>
      <c r="I527" s="1478" t="s">
        <v>809</v>
      </c>
      <c r="J527" s="1478" t="s">
        <v>123</v>
      </c>
      <c r="K527" s="1475" t="s">
        <v>1654</v>
      </c>
      <c r="L527" s="1474" t="s">
        <v>332</v>
      </c>
      <c r="M527" s="1476" t="s">
        <v>841</v>
      </c>
      <c r="N527" s="1477" t="s">
        <v>1695</v>
      </c>
      <c r="O527" s="1479">
        <v>76</v>
      </c>
      <c r="P527" s="1479"/>
      <c r="Q527" s="1142">
        <f t="shared" si="145"/>
        <v>76</v>
      </c>
      <c r="R527" s="1143">
        <f>IFERROR(VLOOKUP(CONCATENATE(E527,G527),'LAC 103'!$A$12:$O$95,11,FALSE),0)</f>
        <v>3.2074101033884355</v>
      </c>
      <c r="S527" s="1144">
        <f>IFERROR(VLOOKUP(CONCATENATE($E527,$G527),'LAC 103'!$A$12:$O$95,12,FALSE),0)</f>
        <v>3.99</v>
      </c>
      <c r="T527" s="1144">
        <f>IFERROR(VLOOKUP(CONCATENATE($E527,$G527),'LAC 103'!$A$12:$O$95,13,FALSE),0)</f>
        <v>2.48</v>
      </c>
      <c r="U527" s="1144">
        <f>IFERROR(VLOOKUP(CONCATENATE($E527,$G527),'LAC 103'!$A$12:$O$95,14,FALSE),0)</f>
        <v>0</v>
      </c>
      <c r="V527" s="1144">
        <f>IFERROR(VLOOKUP(CONCATENATE($E527,$G527),'LAC 103'!$A$12:$O$95,15,FALSE),0)</f>
        <v>0</v>
      </c>
      <c r="W527" s="1145" t="str">
        <f>IFERROR(VLOOKUP(CONCATENATE($B527,$N527),'LAC 103'!$AI:$AQ,9,FALSE),"")</f>
        <v>Costs</v>
      </c>
      <c r="X527" s="1146">
        <f t="shared" si="150"/>
        <v>3.2074101033884355</v>
      </c>
      <c r="Y527" s="1143">
        <f t="shared" si="151"/>
        <v>243.7631678575211</v>
      </c>
      <c r="Z527" s="1147">
        <f t="shared" si="152"/>
        <v>303.24</v>
      </c>
      <c r="AA527" s="1144">
        <f t="shared" si="153"/>
        <v>188.48</v>
      </c>
      <c r="AB527" s="1144">
        <f t="shared" si="154"/>
        <v>0</v>
      </c>
      <c r="AC527" s="1144">
        <f t="shared" si="155"/>
        <v>0</v>
      </c>
      <c r="AD527" s="1148">
        <f t="shared" si="146"/>
        <v>243.7631678575211</v>
      </c>
      <c r="AE527" s="1487">
        <v>0</v>
      </c>
      <c r="AF527" s="1145">
        <f t="shared" si="156"/>
        <v>243.7631678575211</v>
      </c>
      <c r="AG527" s="1149">
        <f>IFERROR(VLOOKUP(CONCATENATE($L527,$N527),'Drop List'!$G$23:$K$87,2,FALSE),0)</f>
        <v>0</v>
      </c>
      <c r="AH527" s="1150">
        <f>IFERROR(VLOOKUP(CONCATENATE($L527,$N527),'Drop List'!$G$23:$K$87,3,FALSE),0)</f>
        <v>0</v>
      </c>
      <c r="AI527" s="1150">
        <f>IFERROR(VLOOKUP(CONCATENATE($L527,$N527),'Drop List'!$G$23:$K$87,4,FALSE),0)</f>
        <v>0</v>
      </c>
      <c r="AJ527" s="1151">
        <f>IFERROR(VLOOKUP(CONCATENATE($L527,$N527),'Drop List'!$G$23:$K$87,5,FALSE),0)</f>
        <v>0</v>
      </c>
      <c r="AK527" s="1152">
        <f t="shared" si="157"/>
        <v>0</v>
      </c>
      <c r="AL527" s="1153">
        <f t="shared" si="158"/>
        <v>0</v>
      </c>
      <c r="AM527" s="1153">
        <f t="shared" si="159"/>
        <v>0</v>
      </c>
      <c r="AN527" s="1145">
        <f t="shared" si="160"/>
        <v>0</v>
      </c>
      <c r="AO527" s="1154">
        <f t="shared" si="161"/>
        <v>0</v>
      </c>
      <c r="AP527" s="1147">
        <f t="shared" si="147"/>
        <v>243.7631678575211</v>
      </c>
      <c r="AQ527" s="1144">
        <f t="shared" si="148"/>
        <v>0</v>
      </c>
      <c r="AR527" s="1146">
        <f t="shared" si="149"/>
        <v>243.7631678575211</v>
      </c>
    </row>
    <row r="528" spans="1:44" x14ac:dyDescent="0.2">
      <c r="A528" s="1141" t="str">
        <f t="shared" si="144"/>
        <v>1510</v>
      </c>
      <c r="B528" s="1141" t="str">
        <f>IFERROR(VLOOKUP(A528,'LAC 103'!A:C,3,FALSE),"")</f>
        <v>OP</v>
      </c>
      <c r="C528" s="1478" t="str">
        <f>Info!$B$8</f>
        <v>00100</v>
      </c>
      <c r="D528" s="1474" t="s">
        <v>256</v>
      </c>
      <c r="E528" s="1474" t="s">
        <v>95</v>
      </c>
      <c r="F528" s="1478" t="s">
        <v>77</v>
      </c>
      <c r="G528" s="1478" t="s">
        <v>77</v>
      </c>
      <c r="H528" s="1474" t="s">
        <v>1656</v>
      </c>
      <c r="I528" s="1478" t="s">
        <v>809</v>
      </c>
      <c r="J528" s="1478"/>
      <c r="K528" s="1475" t="s">
        <v>1654</v>
      </c>
      <c r="L528" s="1474" t="s">
        <v>332</v>
      </c>
      <c r="M528" s="1476" t="s">
        <v>1698</v>
      </c>
      <c r="N528" s="1477" t="s">
        <v>1693</v>
      </c>
      <c r="O528" s="1479">
        <v>100</v>
      </c>
      <c r="P528" s="1479"/>
      <c r="Q528" s="1142">
        <f t="shared" si="145"/>
        <v>100</v>
      </c>
      <c r="R528" s="1143">
        <f>IFERROR(VLOOKUP(CONCATENATE(E528,G528),'LAC 103'!$A$12:$O$95,11,FALSE),0)</f>
        <v>3.2074101033884355</v>
      </c>
      <c r="S528" s="1144">
        <f>IFERROR(VLOOKUP(CONCATENATE($E528,$G528),'LAC 103'!$A$12:$O$95,12,FALSE),0)</f>
        <v>3.99</v>
      </c>
      <c r="T528" s="1144">
        <f>IFERROR(VLOOKUP(CONCATENATE($E528,$G528),'LAC 103'!$A$12:$O$95,13,FALSE),0)</f>
        <v>2.48</v>
      </c>
      <c r="U528" s="1144">
        <f>IFERROR(VLOOKUP(CONCATENATE($E528,$G528),'LAC 103'!$A$12:$O$95,14,FALSE),0)</f>
        <v>0</v>
      </c>
      <c r="V528" s="1144">
        <f>IFERROR(VLOOKUP(CONCATENATE($E528,$G528),'LAC 103'!$A$12:$O$95,15,FALSE),0)</f>
        <v>0</v>
      </c>
      <c r="W528" s="1145" t="str">
        <f>IFERROR(VLOOKUP(CONCATENATE($B528,$N528),'LAC 103'!$AI:$AQ,9,FALSE),"")</f>
        <v>Costs</v>
      </c>
      <c r="X528" s="1146">
        <f t="shared" si="150"/>
        <v>3.2074101033884355</v>
      </c>
      <c r="Y528" s="1143">
        <f t="shared" si="151"/>
        <v>320.74101033884352</v>
      </c>
      <c r="Z528" s="1147">
        <f t="shared" si="152"/>
        <v>399</v>
      </c>
      <c r="AA528" s="1144">
        <f t="shared" si="153"/>
        <v>248</v>
      </c>
      <c r="AB528" s="1144">
        <f t="shared" si="154"/>
        <v>0</v>
      </c>
      <c r="AC528" s="1144">
        <f t="shared" si="155"/>
        <v>0</v>
      </c>
      <c r="AD528" s="1148">
        <f t="shared" si="146"/>
        <v>320.74101033884352</v>
      </c>
      <c r="AE528" s="1487">
        <v>0</v>
      </c>
      <c r="AF528" s="1145">
        <f t="shared" si="156"/>
        <v>320.74101033884352</v>
      </c>
      <c r="AG528" s="1149">
        <f>IFERROR(VLOOKUP(CONCATENATE($L528,$N528),'Drop List'!$G$23:$K$87,2,FALSE),0)</f>
        <v>0</v>
      </c>
      <c r="AH528" s="1150">
        <f>IFERROR(VLOOKUP(CONCATENATE($L528,$N528),'Drop List'!$G$23:$K$87,3,FALSE),0)</f>
        <v>0</v>
      </c>
      <c r="AI528" s="1150">
        <f>IFERROR(VLOOKUP(CONCATENATE($L528,$N528),'Drop List'!$G$23:$K$87,4,FALSE),0)</f>
        <v>0</v>
      </c>
      <c r="AJ528" s="1151">
        <f>IFERROR(VLOOKUP(CONCATENATE($L528,$N528),'Drop List'!$G$23:$K$87,5,FALSE),0)</f>
        <v>0</v>
      </c>
      <c r="AK528" s="1152">
        <f t="shared" si="157"/>
        <v>0</v>
      </c>
      <c r="AL528" s="1153">
        <f t="shared" si="158"/>
        <v>0</v>
      </c>
      <c r="AM528" s="1153">
        <f t="shared" si="159"/>
        <v>0</v>
      </c>
      <c r="AN528" s="1145">
        <f t="shared" si="160"/>
        <v>0</v>
      </c>
      <c r="AO528" s="1154">
        <f t="shared" si="161"/>
        <v>0</v>
      </c>
      <c r="AP528" s="1147">
        <f t="shared" si="147"/>
        <v>320.74101033884352</v>
      </c>
      <c r="AQ528" s="1144">
        <f t="shared" si="148"/>
        <v>0</v>
      </c>
      <c r="AR528" s="1146">
        <f t="shared" si="149"/>
        <v>320.74101033884352</v>
      </c>
    </row>
    <row r="529" spans="1:44" x14ac:dyDescent="0.2">
      <c r="A529" s="1141" t="str">
        <f t="shared" si="144"/>
        <v>1510</v>
      </c>
      <c r="B529" s="1141" t="str">
        <f>IFERROR(VLOOKUP(A529,'LAC 103'!A:C,3,FALSE),"")</f>
        <v>OP</v>
      </c>
      <c r="C529" s="1478" t="str">
        <f>Info!$B$8</f>
        <v>00100</v>
      </c>
      <c r="D529" s="1474" t="s">
        <v>256</v>
      </c>
      <c r="E529" s="1474" t="s">
        <v>95</v>
      </c>
      <c r="F529" s="1478" t="s">
        <v>77</v>
      </c>
      <c r="G529" s="1478" t="s">
        <v>77</v>
      </c>
      <c r="H529" s="1474" t="s">
        <v>1656</v>
      </c>
      <c r="I529" s="1478" t="s">
        <v>809</v>
      </c>
      <c r="J529" s="1478"/>
      <c r="K529" s="1475" t="s">
        <v>847</v>
      </c>
      <c r="L529" s="1474" t="s">
        <v>582</v>
      </c>
      <c r="M529" s="1476" t="s">
        <v>1699</v>
      </c>
      <c r="N529" s="1477" t="s">
        <v>1694</v>
      </c>
      <c r="O529" s="1479">
        <v>11145</v>
      </c>
      <c r="P529" s="1479"/>
      <c r="Q529" s="1142">
        <f t="shared" si="145"/>
        <v>11145</v>
      </c>
      <c r="R529" s="1143">
        <f>IFERROR(VLOOKUP(CONCATENATE(E529,G529),'LAC 103'!$A$12:$O$95,11,FALSE),0)</f>
        <v>3.2074101033884355</v>
      </c>
      <c r="S529" s="1144">
        <f>IFERROR(VLOOKUP(CONCATENATE($E529,$G529),'LAC 103'!$A$12:$O$95,12,FALSE),0)</f>
        <v>3.99</v>
      </c>
      <c r="T529" s="1144">
        <f>IFERROR(VLOOKUP(CONCATENATE($E529,$G529),'LAC 103'!$A$12:$O$95,13,FALSE),0)</f>
        <v>2.48</v>
      </c>
      <c r="U529" s="1144">
        <f>IFERROR(VLOOKUP(CONCATENATE($E529,$G529),'LAC 103'!$A$12:$O$95,14,FALSE),0)</f>
        <v>0</v>
      </c>
      <c r="V529" s="1144">
        <f>IFERROR(VLOOKUP(CONCATENATE($E529,$G529),'LAC 103'!$A$12:$O$95,15,FALSE),0)</f>
        <v>0</v>
      </c>
      <c r="W529" s="1145" t="str">
        <f>IFERROR(VLOOKUP(CONCATENATE($B529,$N529),'LAC 103'!$AI:$AQ,9,FALSE),"")</f>
        <v>Costs</v>
      </c>
      <c r="X529" s="1146">
        <f t="shared" si="150"/>
        <v>3.2074101033884355</v>
      </c>
      <c r="Y529" s="1143">
        <f t="shared" si="151"/>
        <v>35746.585602264116</v>
      </c>
      <c r="Z529" s="1147">
        <f t="shared" si="152"/>
        <v>44468.55</v>
      </c>
      <c r="AA529" s="1144">
        <f t="shared" si="153"/>
        <v>27639.599999999999</v>
      </c>
      <c r="AB529" s="1144">
        <f t="shared" si="154"/>
        <v>0</v>
      </c>
      <c r="AC529" s="1144">
        <f t="shared" si="155"/>
        <v>0</v>
      </c>
      <c r="AD529" s="1148">
        <f t="shared" si="146"/>
        <v>35746.585602264116</v>
      </c>
      <c r="AE529" s="1487">
        <v>0</v>
      </c>
      <c r="AF529" s="1145">
        <f t="shared" si="156"/>
        <v>35746.585602264116</v>
      </c>
      <c r="AG529" s="1149">
        <f>IFERROR(VLOOKUP(CONCATENATE($L529,$N529),'Drop List'!$G$23:$K$87,2,FALSE),0)</f>
        <v>0.56200000000000006</v>
      </c>
      <c r="AH529" s="1150">
        <f>IFERROR(VLOOKUP(CONCATENATE($L529,$N529),'Drop List'!$G$23:$K$87,3,FALSE),0)</f>
        <v>0.43799999999999994</v>
      </c>
      <c r="AI529" s="1150">
        <f>IFERROR(VLOOKUP(CONCATENATE($L529,$N529),'Drop List'!$G$23:$K$87,4,FALSE),0)</f>
        <v>0</v>
      </c>
      <c r="AJ529" s="1151">
        <f>IFERROR(VLOOKUP(CONCATENATE($L529,$N529),'Drop List'!$G$23:$K$87,5,FALSE),0)</f>
        <v>0</v>
      </c>
      <c r="AK529" s="1152">
        <f t="shared" si="157"/>
        <v>20089.581108472434</v>
      </c>
      <c r="AL529" s="1153">
        <f t="shared" si="158"/>
        <v>15657.004493791681</v>
      </c>
      <c r="AM529" s="1153">
        <f t="shared" si="159"/>
        <v>0</v>
      </c>
      <c r="AN529" s="1145">
        <f t="shared" si="160"/>
        <v>0</v>
      </c>
      <c r="AO529" s="1154">
        <f t="shared" si="161"/>
        <v>35746.585602264116</v>
      </c>
      <c r="AP529" s="1147">
        <f t="shared" si="147"/>
        <v>0</v>
      </c>
      <c r="AQ529" s="1144">
        <f t="shared" si="148"/>
        <v>0</v>
      </c>
      <c r="AR529" s="1146">
        <f t="shared" si="149"/>
        <v>35746.585602264116</v>
      </c>
    </row>
    <row r="530" spans="1:44" x14ac:dyDescent="0.2">
      <c r="A530" s="1141" t="str">
        <f t="shared" si="144"/>
        <v>1510</v>
      </c>
      <c r="B530" s="1141" t="str">
        <f>IFERROR(VLOOKUP(A530,'LAC 103'!A:C,3,FALSE),"")</f>
        <v>OP</v>
      </c>
      <c r="C530" s="1478" t="str">
        <f>Info!$B$8</f>
        <v>00100</v>
      </c>
      <c r="D530" s="1474" t="s">
        <v>256</v>
      </c>
      <c r="E530" s="1474" t="s">
        <v>95</v>
      </c>
      <c r="F530" s="1478" t="s">
        <v>77</v>
      </c>
      <c r="G530" s="1478" t="s">
        <v>77</v>
      </c>
      <c r="H530" s="1474" t="s">
        <v>1656</v>
      </c>
      <c r="I530" s="1478" t="s">
        <v>809</v>
      </c>
      <c r="J530" s="1478"/>
      <c r="K530" s="1475" t="s">
        <v>847</v>
      </c>
      <c r="L530" s="1474" t="s">
        <v>582</v>
      </c>
      <c r="M530" s="1476" t="s">
        <v>841</v>
      </c>
      <c r="N530" s="1477" t="s">
        <v>1695</v>
      </c>
      <c r="O530" s="1479">
        <v>5533</v>
      </c>
      <c r="P530" s="1479"/>
      <c r="Q530" s="1142">
        <f t="shared" si="145"/>
        <v>5533</v>
      </c>
      <c r="R530" s="1143">
        <f>IFERROR(VLOOKUP(CONCATENATE(E530,G530),'LAC 103'!$A$12:$O$95,11,FALSE),0)</f>
        <v>3.2074101033884355</v>
      </c>
      <c r="S530" s="1144">
        <f>IFERROR(VLOOKUP(CONCATENATE($E530,$G530),'LAC 103'!$A$12:$O$95,12,FALSE),0)</f>
        <v>3.99</v>
      </c>
      <c r="T530" s="1144">
        <f>IFERROR(VLOOKUP(CONCATENATE($E530,$G530),'LAC 103'!$A$12:$O$95,13,FALSE),0)</f>
        <v>2.48</v>
      </c>
      <c r="U530" s="1144">
        <f>IFERROR(VLOOKUP(CONCATENATE($E530,$G530),'LAC 103'!$A$12:$O$95,14,FALSE),0)</f>
        <v>0</v>
      </c>
      <c r="V530" s="1144">
        <f>IFERROR(VLOOKUP(CONCATENATE($E530,$G530),'LAC 103'!$A$12:$O$95,15,FALSE),0)</f>
        <v>0</v>
      </c>
      <c r="W530" s="1145" t="str">
        <f>IFERROR(VLOOKUP(CONCATENATE($B530,$N530),'LAC 103'!$AI:$AQ,9,FALSE),"")</f>
        <v>Costs</v>
      </c>
      <c r="X530" s="1146">
        <f t="shared" si="150"/>
        <v>3.2074101033884355</v>
      </c>
      <c r="Y530" s="1143">
        <f t="shared" si="151"/>
        <v>17746.600102048214</v>
      </c>
      <c r="Z530" s="1147">
        <f t="shared" si="152"/>
        <v>22076.670000000002</v>
      </c>
      <c r="AA530" s="1144">
        <f t="shared" si="153"/>
        <v>13721.84</v>
      </c>
      <c r="AB530" s="1144">
        <f t="shared" si="154"/>
        <v>0</v>
      </c>
      <c r="AC530" s="1144">
        <f t="shared" si="155"/>
        <v>0</v>
      </c>
      <c r="AD530" s="1148">
        <f t="shared" si="146"/>
        <v>17746.600102048214</v>
      </c>
      <c r="AE530" s="1487">
        <v>0</v>
      </c>
      <c r="AF530" s="1145">
        <f t="shared" si="156"/>
        <v>17746.600102048214</v>
      </c>
      <c r="AG530" s="1149">
        <f>IFERROR(VLOOKUP(CONCATENATE($L530,$N530),'Drop List'!$G$23:$K$87,2,FALSE),0)</f>
        <v>0.55000000000000004</v>
      </c>
      <c r="AH530" s="1150">
        <f>IFERROR(VLOOKUP(CONCATENATE($L530,$N530),'Drop List'!$G$23:$K$87,3,FALSE),0)</f>
        <v>0.44999999999999996</v>
      </c>
      <c r="AI530" s="1150">
        <f>IFERROR(VLOOKUP(CONCATENATE($L530,$N530),'Drop List'!$G$23:$K$87,4,FALSE),0)</f>
        <v>0</v>
      </c>
      <c r="AJ530" s="1151">
        <f>IFERROR(VLOOKUP(CONCATENATE($L530,$N530),'Drop List'!$G$23:$K$87,5,FALSE),0)</f>
        <v>0</v>
      </c>
      <c r="AK530" s="1152">
        <f t="shared" si="157"/>
        <v>9760.630056126518</v>
      </c>
      <c r="AL530" s="1153">
        <f t="shared" si="158"/>
        <v>7985.9700459216956</v>
      </c>
      <c r="AM530" s="1153">
        <f t="shared" si="159"/>
        <v>0</v>
      </c>
      <c r="AN530" s="1145">
        <f t="shared" si="160"/>
        <v>0</v>
      </c>
      <c r="AO530" s="1154">
        <f t="shared" si="161"/>
        <v>17746.600102048214</v>
      </c>
      <c r="AP530" s="1147">
        <f t="shared" si="147"/>
        <v>0</v>
      </c>
      <c r="AQ530" s="1144">
        <f t="shared" si="148"/>
        <v>0</v>
      </c>
      <c r="AR530" s="1146">
        <f t="shared" si="149"/>
        <v>17746.600102048214</v>
      </c>
    </row>
    <row r="531" spans="1:44" x14ac:dyDescent="0.2">
      <c r="A531" s="1141" t="str">
        <f t="shared" si="144"/>
        <v>1510</v>
      </c>
      <c r="B531" s="1141" t="str">
        <f>IFERROR(VLOOKUP(A531,'LAC 103'!A:C,3,FALSE),"")</f>
        <v>OP</v>
      </c>
      <c r="C531" s="1478" t="str">
        <f>Info!$B$8</f>
        <v>00100</v>
      </c>
      <c r="D531" s="1474" t="s">
        <v>256</v>
      </c>
      <c r="E531" s="1474" t="s">
        <v>95</v>
      </c>
      <c r="F531" s="1478" t="s">
        <v>77</v>
      </c>
      <c r="G531" s="1478" t="s">
        <v>77</v>
      </c>
      <c r="H531" s="1474" t="s">
        <v>1656</v>
      </c>
      <c r="I531" s="1478" t="s">
        <v>809</v>
      </c>
      <c r="J531" s="1478"/>
      <c r="K531" s="1475" t="s">
        <v>847</v>
      </c>
      <c r="L531" s="1474" t="s">
        <v>582</v>
      </c>
      <c r="M531" s="1476" t="s">
        <v>840</v>
      </c>
      <c r="N531" s="1477" t="s">
        <v>1700</v>
      </c>
      <c r="O531" s="1479">
        <v>6858</v>
      </c>
      <c r="P531" s="1479"/>
      <c r="Q531" s="1142">
        <f t="shared" si="145"/>
        <v>6858</v>
      </c>
      <c r="R531" s="1143">
        <f>IFERROR(VLOOKUP(CONCATENATE(E531,G531),'LAC 103'!$A$12:$O$95,11,FALSE),0)</f>
        <v>3.2074101033884355</v>
      </c>
      <c r="S531" s="1144">
        <f>IFERROR(VLOOKUP(CONCATENATE($E531,$G531),'LAC 103'!$A$12:$O$95,12,FALSE),0)</f>
        <v>3.99</v>
      </c>
      <c r="T531" s="1144">
        <f>IFERROR(VLOOKUP(CONCATENATE($E531,$G531),'LAC 103'!$A$12:$O$95,13,FALSE),0)</f>
        <v>2.48</v>
      </c>
      <c r="U531" s="1144">
        <f>IFERROR(VLOOKUP(CONCATENATE($E531,$G531),'LAC 103'!$A$12:$O$95,14,FALSE),0)</f>
        <v>0</v>
      </c>
      <c r="V531" s="1144">
        <f>IFERROR(VLOOKUP(CONCATENATE($E531,$G531),'LAC 103'!$A$12:$O$95,15,FALSE),0)</f>
        <v>0</v>
      </c>
      <c r="W531" s="1145" t="str">
        <f>IFERROR(VLOOKUP(CONCATENATE($B531,$N531),'LAC 103'!$AI:$AQ,9,FALSE),"")</f>
        <v>P.C.</v>
      </c>
      <c r="X531" s="1146">
        <f t="shared" si="150"/>
        <v>2.48</v>
      </c>
      <c r="Y531" s="1143">
        <f t="shared" si="151"/>
        <v>21996.418489037889</v>
      </c>
      <c r="Z531" s="1147">
        <f t="shared" si="152"/>
        <v>27363.420000000002</v>
      </c>
      <c r="AA531" s="1144">
        <f t="shared" si="153"/>
        <v>17007.84</v>
      </c>
      <c r="AB531" s="1144">
        <f t="shared" si="154"/>
        <v>0</v>
      </c>
      <c r="AC531" s="1144">
        <f t="shared" si="155"/>
        <v>0</v>
      </c>
      <c r="AD531" s="1148">
        <f t="shared" si="146"/>
        <v>17007.84</v>
      </c>
      <c r="AE531" s="1487">
        <v>0</v>
      </c>
      <c r="AF531" s="1145">
        <f t="shared" si="156"/>
        <v>17007.84</v>
      </c>
      <c r="AG531" s="1149">
        <f>IFERROR(VLOOKUP(CONCATENATE($L531,$N531),'Drop List'!$G$23:$K$87,2,FALSE),0)</f>
        <v>0.55000000000000004</v>
      </c>
      <c r="AH531" s="1150">
        <f>IFERROR(VLOOKUP(CONCATENATE($L531,$N531),'Drop List'!$G$23:$K$87,3,FALSE),0)</f>
        <v>0.44999999999999996</v>
      </c>
      <c r="AI531" s="1150">
        <f>IFERROR(VLOOKUP(CONCATENATE($L531,$N531),'Drop List'!$G$23:$K$87,4,FALSE),0)</f>
        <v>0</v>
      </c>
      <c r="AJ531" s="1151">
        <f>IFERROR(VLOOKUP(CONCATENATE($L531,$N531),'Drop List'!$G$23:$K$87,5,FALSE),0)</f>
        <v>0</v>
      </c>
      <c r="AK531" s="1152">
        <f t="shared" si="157"/>
        <v>9354.3120000000017</v>
      </c>
      <c r="AL531" s="1153">
        <f t="shared" si="158"/>
        <v>7653.5279999999993</v>
      </c>
      <c r="AM531" s="1153">
        <f t="shared" si="159"/>
        <v>0</v>
      </c>
      <c r="AN531" s="1145">
        <f t="shared" si="160"/>
        <v>0</v>
      </c>
      <c r="AO531" s="1154">
        <f t="shared" si="161"/>
        <v>17007.84</v>
      </c>
      <c r="AP531" s="1147">
        <f t="shared" si="147"/>
        <v>0</v>
      </c>
      <c r="AQ531" s="1144">
        <f t="shared" si="148"/>
        <v>0</v>
      </c>
      <c r="AR531" s="1146">
        <f t="shared" si="149"/>
        <v>17007.84</v>
      </c>
    </row>
    <row r="532" spans="1:44" x14ac:dyDescent="0.2">
      <c r="A532" s="1141" t="str">
        <f t="shared" si="144"/>
        <v>1510</v>
      </c>
      <c r="B532" s="1141" t="str">
        <f>IFERROR(VLOOKUP(A532,'LAC 103'!A:C,3,FALSE),"")</f>
        <v>OP</v>
      </c>
      <c r="C532" s="1478" t="str">
        <f>Info!$B$8</f>
        <v>00100</v>
      </c>
      <c r="D532" s="1474" t="s">
        <v>256</v>
      </c>
      <c r="E532" s="1474" t="s">
        <v>95</v>
      </c>
      <c r="F532" s="1478" t="s">
        <v>77</v>
      </c>
      <c r="G532" s="1478" t="s">
        <v>77</v>
      </c>
      <c r="H532" s="1474" t="s">
        <v>1656</v>
      </c>
      <c r="I532" s="1478" t="s">
        <v>809</v>
      </c>
      <c r="J532" s="1478"/>
      <c r="K532" s="1475" t="s">
        <v>847</v>
      </c>
      <c r="L532" s="1474" t="s">
        <v>582</v>
      </c>
      <c r="M532" s="1476" t="s">
        <v>842</v>
      </c>
      <c r="N532" s="1477" t="s">
        <v>1692</v>
      </c>
      <c r="O532" s="1479">
        <v>9016</v>
      </c>
      <c r="P532" s="1479"/>
      <c r="Q532" s="1142">
        <f t="shared" si="145"/>
        <v>9016</v>
      </c>
      <c r="R532" s="1143">
        <f>IFERROR(VLOOKUP(CONCATENATE(E532,G532),'LAC 103'!$A$12:$O$95,11,FALSE),0)</f>
        <v>3.2074101033884355</v>
      </c>
      <c r="S532" s="1144">
        <f>IFERROR(VLOOKUP(CONCATENATE($E532,$G532),'LAC 103'!$A$12:$O$95,12,FALSE),0)</f>
        <v>3.99</v>
      </c>
      <c r="T532" s="1144">
        <f>IFERROR(VLOOKUP(CONCATENATE($E532,$G532),'LAC 103'!$A$12:$O$95,13,FALSE),0)</f>
        <v>2.48</v>
      </c>
      <c r="U532" s="1144">
        <f>IFERROR(VLOOKUP(CONCATENATE($E532,$G532),'LAC 103'!$A$12:$O$95,14,FALSE),0)</f>
        <v>0</v>
      </c>
      <c r="V532" s="1144">
        <f>IFERROR(VLOOKUP(CONCATENATE($E532,$G532),'LAC 103'!$A$12:$O$95,15,FALSE),0)</f>
        <v>0</v>
      </c>
      <c r="W532" s="1145" t="str">
        <f>IFERROR(VLOOKUP(CONCATENATE($B532,$N532),'LAC 103'!$AI:$AQ,9,FALSE),"")</f>
        <v>Costs</v>
      </c>
      <c r="X532" s="1146">
        <f t="shared" si="150"/>
        <v>3.2074101033884355</v>
      </c>
      <c r="Y532" s="1143">
        <f t="shared" si="151"/>
        <v>28918.009492150133</v>
      </c>
      <c r="Z532" s="1147">
        <f t="shared" si="152"/>
        <v>35973.840000000004</v>
      </c>
      <c r="AA532" s="1144">
        <f t="shared" si="153"/>
        <v>22359.68</v>
      </c>
      <c r="AB532" s="1144">
        <f t="shared" si="154"/>
        <v>0</v>
      </c>
      <c r="AC532" s="1144">
        <f t="shared" si="155"/>
        <v>0</v>
      </c>
      <c r="AD532" s="1148">
        <f t="shared" si="146"/>
        <v>28918.009492150133</v>
      </c>
      <c r="AE532" s="1487">
        <v>0</v>
      </c>
      <c r="AF532" s="1145">
        <f t="shared" si="156"/>
        <v>28918.009492150133</v>
      </c>
      <c r="AG532" s="1149">
        <f>IFERROR(VLOOKUP(CONCATENATE($L532,$N532),'Drop List'!$G$23:$K$87,2,FALSE),0)</f>
        <v>0.56200000000000006</v>
      </c>
      <c r="AH532" s="1150">
        <f>IFERROR(VLOOKUP(CONCATENATE($L532,$N532),'Drop List'!$G$23:$K$87,3,FALSE),0)</f>
        <v>0.43799999999999994</v>
      </c>
      <c r="AI532" s="1150">
        <f>IFERROR(VLOOKUP(CONCATENATE($L532,$N532),'Drop List'!$G$23:$K$87,4,FALSE),0)</f>
        <v>0</v>
      </c>
      <c r="AJ532" s="1151">
        <f>IFERROR(VLOOKUP(CONCATENATE($L532,$N532),'Drop List'!$G$23:$K$87,5,FALSE),0)</f>
        <v>0</v>
      </c>
      <c r="AK532" s="1152">
        <f t="shared" si="157"/>
        <v>16251.921334588376</v>
      </c>
      <c r="AL532" s="1153">
        <f t="shared" si="158"/>
        <v>12666.088157561757</v>
      </c>
      <c r="AM532" s="1153">
        <f t="shared" si="159"/>
        <v>0</v>
      </c>
      <c r="AN532" s="1145">
        <f t="shared" si="160"/>
        <v>0</v>
      </c>
      <c r="AO532" s="1154">
        <f t="shared" si="161"/>
        <v>28918.009492150133</v>
      </c>
      <c r="AP532" s="1147">
        <f t="shared" si="147"/>
        <v>0</v>
      </c>
      <c r="AQ532" s="1144">
        <f t="shared" si="148"/>
        <v>0</v>
      </c>
      <c r="AR532" s="1146">
        <f t="shared" si="149"/>
        <v>28918.009492150133</v>
      </c>
    </row>
    <row r="533" spans="1:44" x14ac:dyDescent="0.2">
      <c r="A533" s="1141" t="str">
        <f t="shared" si="144"/>
        <v>1510</v>
      </c>
      <c r="B533" s="1141" t="str">
        <f>IFERROR(VLOOKUP(A533,'LAC 103'!A:C,3,FALSE),"")</f>
        <v>OP</v>
      </c>
      <c r="C533" s="1478" t="str">
        <f>Info!$B$8</f>
        <v>00100</v>
      </c>
      <c r="D533" s="1474" t="s">
        <v>256</v>
      </c>
      <c r="E533" s="1474" t="s">
        <v>95</v>
      </c>
      <c r="F533" s="1478" t="s">
        <v>77</v>
      </c>
      <c r="G533" s="1478" t="s">
        <v>77</v>
      </c>
      <c r="H533" s="1474" t="s">
        <v>1656</v>
      </c>
      <c r="I533" s="1478" t="s">
        <v>809</v>
      </c>
      <c r="J533" s="1478"/>
      <c r="K533" s="1475" t="s">
        <v>847</v>
      </c>
      <c r="L533" s="1474" t="s">
        <v>582</v>
      </c>
      <c r="M533" s="1476" t="s">
        <v>1698</v>
      </c>
      <c r="N533" s="1477" t="s">
        <v>1693</v>
      </c>
      <c r="O533" s="1479">
        <v>9618</v>
      </c>
      <c r="P533" s="1479"/>
      <c r="Q533" s="1142">
        <f t="shared" si="145"/>
        <v>9618</v>
      </c>
      <c r="R533" s="1143">
        <f>IFERROR(VLOOKUP(CONCATENATE(E533,G533),'LAC 103'!$A$12:$O$95,11,FALSE),0)</f>
        <v>3.2074101033884355</v>
      </c>
      <c r="S533" s="1144">
        <f>IFERROR(VLOOKUP(CONCATENATE($E533,$G533),'LAC 103'!$A$12:$O$95,12,FALSE),0)</f>
        <v>3.99</v>
      </c>
      <c r="T533" s="1144">
        <f>IFERROR(VLOOKUP(CONCATENATE($E533,$G533),'LAC 103'!$A$12:$O$95,13,FALSE),0)</f>
        <v>2.48</v>
      </c>
      <c r="U533" s="1144">
        <f>IFERROR(VLOOKUP(CONCATENATE($E533,$G533),'LAC 103'!$A$12:$O$95,14,FALSE),0)</f>
        <v>0</v>
      </c>
      <c r="V533" s="1144">
        <f>IFERROR(VLOOKUP(CONCATENATE($E533,$G533),'LAC 103'!$A$12:$O$95,15,FALSE),0)</f>
        <v>0</v>
      </c>
      <c r="W533" s="1145" t="str">
        <f>IFERROR(VLOOKUP(CONCATENATE($B533,$N533),'LAC 103'!$AI:$AQ,9,FALSE),"")</f>
        <v>Costs</v>
      </c>
      <c r="X533" s="1146">
        <f t="shared" si="150"/>
        <v>3.2074101033884355</v>
      </c>
      <c r="Y533" s="1143">
        <f t="shared" si="151"/>
        <v>30848.870374389971</v>
      </c>
      <c r="Z533" s="1147">
        <f t="shared" si="152"/>
        <v>38375.82</v>
      </c>
      <c r="AA533" s="1144">
        <f t="shared" si="153"/>
        <v>23852.639999999999</v>
      </c>
      <c r="AB533" s="1144">
        <f t="shared" si="154"/>
        <v>0</v>
      </c>
      <c r="AC533" s="1144">
        <f t="shared" si="155"/>
        <v>0</v>
      </c>
      <c r="AD533" s="1148">
        <f t="shared" si="146"/>
        <v>30848.870374389971</v>
      </c>
      <c r="AE533" s="1487">
        <v>0</v>
      </c>
      <c r="AF533" s="1145">
        <f t="shared" si="156"/>
        <v>30848.870374389971</v>
      </c>
      <c r="AG533" s="1149">
        <f>IFERROR(VLOOKUP(CONCATENATE($L533,$N533),'Drop List'!$G$23:$K$87,2,FALSE),0)</f>
        <v>0.56200000000000006</v>
      </c>
      <c r="AH533" s="1150">
        <f>IFERROR(VLOOKUP(CONCATENATE($L533,$N533),'Drop List'!$G$23:$K$87,3,FALSE),0)</f>
        <v>0.43799999999999994</v>
      </c>
      <c r="AI533" s="1150">
        <f>IFERROR(VLOOKUP(CONCATENATE($L533,$N533),'Drop List'!$G$23:$K$87,4,FALSE),0)</f>
        <v>0</v>
      </c>
      <c r="AJ533" s="1151">
        <f>IFERROR(VLOOKUP(CONCATENATE($L533,$N533),'Drop List'!$G$23:$K$87,5,FALSE),0)</f>
        <v>0</v>
      </c>
      <c r="AK533" s="1152">
        <f t="shared" si="157"/>
        <v>17337.065150407165</v>
      </c>
      <c r="AL533" s="1153">
        <f t="shared" si="158"/>
        <v>13511.805223982807</v>
      </c>
      <c r="AM533" s="1153">
        <f t="shared" si="159"/>
        <v>0</v>
      </c>
      <c r="AN533" s="1145">
        <f t="shared" si="160"/>
        <v>0</v>
      </c>
      <c r="AO533" s="1154">
        <f t="shared" si="161"/>
        <v>30848.870374389971</v>
      </c>
      <c r="AP533" s="1147">
        <f t="shared" si="147"/>
        <v>0</v>
      </c>
      <c r="AQ533" s="1144">
        <f t="shared" si="148"/>
        <v>0</v>
      </c>
      <c r="AR533" s="1146">
        <f t="shared" si="149"/>
        <v>30848.870374389971</v>
      </c>
    </row>
    <row r="534" spans="1:44" x14ac:dyDescent="0.2">
      <c r="A534" s="1141" t="str">
        <f t="shared" si="144"/>
        <v>1510</v>
      </c>
      <c r="B534" s="1141" t="str">
        <f>IFERROR(VLOOKUP(A534,'LAC 103'!A:C,3,FALSE),"")</f>
        <v>OP</v>
      </c>
      <c r="C534" s="1478" t="str">
        <f>Info!$B$8</f>
        <v>00100</v>
      </c>
      <c r="D534" s="1474" t="s">
        <v>256</v>
      </c>
      <c r="E534" s="1474" t="s">
        <v>95</v>
      </c>
      <c r="F534" s="1478" t="s">
        <v>77</v>
      </c>
      <c r="G534" s="1478" t="s">
        <v>77</v>
      </c>
      <c r="H534" s="1474" t="s">
        <v>1656</v>
      </c>
      <c r="I534" s="1478" t="s">
        <v>809</v>
      </c>
      <c r="J534" s="1478"/>
      <c r="K534" s="1475" t="s">
        <v>848</v>
      </c>
      <c r="L534" s="1474" t="s">
        <v>45</v>
      </c>
      <c r="M534" s="1476" t="s">
        <v>1699</v>
      </c>
      <c r="N534" s="1477" t="s">
        <v>1694</v>
      </c>
      <c r="O534" s="1479">
        <v>4767</v>
      </c>
      <c r="P534" s="1479"/>
      <c r="Q534" s="1142">
        <f t="shared" si="145"/>
        <v>4767</v>
      </c>
      <c r="R534" s="1143">
        <f>IFERROR(VLOOKUP(CONCATENATE(E534,G534),'LAC 103'!$A$12:$O$95,11,FALSE),0)</f>
        <v>3.2074101033884355</v>
      </c>
      <c r="S534" s="1144">
        <f>IFERROR(VLOOKUP(CONCATENATE($E534,$G534),'LAC 103'!$A$12:$O$95,12,FALSE),0)</f>
        <v>3.99</v>
      </c>
      <c r="T534" s="1144">
        <f>IFERROR(VLOOKUP(CONCATENATE($E534,$G534),'LAC 103'!$A$12:$O$95,13,FALSE),0)</f>
        <v>2.48</v>
      </c>
      <c r="U534" s="1144">
        <f>IFERROR(VLOOKUP(CONCATENATE($E534,$G534),'LAC 103'!$A$12:$O$95,14,FALSE),0)</f>
        <v>0</v>
      </c>
      <c r="V534" s="1144">
        <f>IFERROR(VLOOKUP(CONCATENATE($E534,$G534),'LAC 103'!$A$12:$O$95,15,FALSE),0)</f>
        <v>0</v>
      </c>
      <c r="W534" s="1145" t="str">
        <f>IFERROR(VLOOKUP(CONCATENATE($B534,$N534),'LAC 103'!$AI:$AQ,9,FALSE),"")</f>
        <v>Costs</v>
      </c>
      <c r="X534" s="1146">
        <f t="shared" si="150"/>
        <v>3.2074101033884355</v>
      </c>
      <c r="Y534" s="1143">
        <f t="shared" si="151"/>
        <v>15289.723962852671</v>
      </c>
      <c r="Z534" s="1147">
        <f t="shared" si="152"/>
        <v>19020.330000000002</v>
      </c>
      <c r="AA534" s="1144">
        <f t="shared" si="153"/>
        <v>11822.16</v>
      </c>
      <c r="AB534" s="1144">
        <f t="shared" si="154"/>
        <v>0</v>
      </c>
      <c r="AC534" s="1144">
        <f t="shared" si="155"/>
        <v>0</v>
      </c>
      <c r="AD534" s="1148">
        <f t="shared" si="146"/>
        <v>15289.723962852671</v>
      </c>
      <c r="AE534" s="1487">
        <v>0</v>
      </c>
      <c r="AF534" s="1145">
        <f t="shared" si="156"/>
        <v>15289.723962852671</v>
      </c>
      <c r="AG534" s="1149">
        <f>IFERROR(VLOOKUP(CONCATENATE($L534,$N534),'Drop List'!$G$23:$K$87,2,FALSE),0)</f>
        <v>0.69340000000000002</v>
      </c>
      <c r="AH534" s="1150">
        <f>IFERROR(VLOOKUP(CONCATENATE($L534,$N534),'Drop List'!$G$23:$K$87,3,FALSE),0)</f>
        <v>0.30659999999999998</v>
      </c>
      <c r="AI534" s="1150">
        <f>IFERROR(VLOOKUP(CONCATENATE($L534,$N534),'Drop List'!$G$23:$K$87,4,FALSE),0)</f>
        <v>0</v>
      </c>
      <c r="AJ534" s="1151">
        <f>IFERROR(VLOOKUP(CONCATENATE($L534,$N534),'Drop List'!$G$23:$K$87,5,FALSE),0)</f>
        <v>0</v>
      </c>
      <c r="AK534" s="1152">
        <f t="shared" si="157"/>
        <v>10601.894595842043</v>
      </c>
      <c r="AL534" s="1153">
        <f t="shared" si="158"/>
        <v>4687.8293670106286</v>
      </c>
      <c r="AM534" s="1153">
        <f t="shared" si="159"/>
        <v>0</v>
      </c>
      <c r="AN534" s="1145">
        <f t="shared" si="160"/>
        <v>0</v>
      </c>
      <c r="AO534" s="1154">
        <f t="shared" si="161"/>
        <v>15289.723962852671</v>
      </c>
      <c r="AP534" s="1147">
        <f t="shared" si="147"/>
        <v>0</v>
      </c>
      <c r="AQ534" s="1144">
        <f t="shared" si="148"/>
        <v>0</v>
      </c>
      <c r="AR534" s="1146">
        <f t="shared" si="149"/>
        <v>15289.723962852671</v>
      </c>
    </row>
    <row r="535" spans="1:44" x14ac:dyDescent="0.2">
      <c r="A535" s="1141" t="str">
        <f t="shared" si="144"/>
        <v>1510</v>
      </c>
      <c r="B535" s="1141" t="str">
        <f>IFERROR(VLOOKUP(A535,'LAC 103'!A:C,3,FALSE),"")</f>
        <v>OP</v>
      </c>
      <c r="C535" s="1478" t="str">
        <f>Info!$B$8</f>
        <v>00100</v>
      </c>
      <c r="D535" s="1474" t="s">
        <v>256</v>
      </c>
      <c r="E535" s="1474" t="s">
        <v>95</v>
      </c>
      <c r="F535" s="1478" t="s">
        <v>77</v>
      </c>
      <c r="G535" s="1478" t="s">
        <v>77</v>
      </c>
      <c r="H535" s="1474" t="s">
        <v>1656</v>
      </c>
      <c r="I535" s="1478" t="s">
        <v>809</v>
      </c>
      <c r="J535" s="1478"/>
      <c r="K535" s="1475" t="s">
        <v>848</v>
      </c>
      <c r="L535" s="1474" t="s">
        <v>45</v>
      </c>
      <c r="M535" s="1476" t="s">
        <v>841</v>
      </c>
      <c r="N535" s="1477" t="s">
        <v>1695</v>
      </c>
      <c r="O535" s="1479">
        <v>2089</v>
      </c>
      <c r="P535" s="1479"/>
      <c r="Q535" s="1142">
        <f t="shared" si="145"/>
        <v>2089</v>
      </c>
      <c r="R535" s="1143">
        <f>IFERROR(VLOOKUP(CONCATENATE(E535,G535),'LAC 103'!$A$12:$O$95,11,FALSE),0)</f>
        <v>3.2074101033884355</v>
      </c>
      <c r="S535" s="1144">
        <f>IFERROR(VLOOKUP(CONCATENATE($E535,$G535),'LAC 103'!$A$12:$O$95,12,FALSE),0)</f>
        <v>3.99</v>
      </c>
      <c r="T535" s="1144">
        <f>IFERROR(VLOOKUP(CONCATENATE($E535,$G535),'LAC 103'!$A$12:$O$95,13,FALSE),0)</f>
        <v>2.48</v>
      </c>
      <c r="U535" s="1144">
        <f>IFERROR(VLOOKUP(CONCATENATE($E535,$G535),'LAC 103'!$A$12:$O$95,14,FALSE),0)</f>
        <v>0</v>
      </c>
      <c r="V535" s="1144">
        <f>IFERROR(VLOOKUP(CONCATENATE($E535,$G535),'LAC 103'!$A$12:$O$95,15,FALSE),0)</f>
        <v>0</v>
      </c>
      <c r="W535" s="1145" t="str">
        <f>IFERROR(VLOOKUP(CONCATENATE($B535,$N535),'LAC 103'!$AI:$AQ,9,FALSE),"")</f>
        <v>Costs</v>
      </c>
      <c r="X535" s="1146">
        <f t="shared" si="150"/>
        <v>3.2074101033884355</v>
      </c>
      <c r="Y535" s="1143">
        <f t="shared" si="151"/>
        <v>6700.2797059784416</v>
      </c>
      <c r="Z535" s="1147">
        <f t="shared" si="152"/>
        <v>8335.11</v>
      </c>
      <c r="AA535" s="1144">
        <f t="shared" si="153"/>
        <v>5180.72</v>
      </c>
      <c r="AB535" s="1144">
        <f t="shared" si="154"/>
        <v>0</v>
      </c>
      <c r="AC535" s="1144">
        <f t="shared" si="155"/>
        <v>0</v>
      </c>
      <c r="AD535" s="1148">
        <f t="shared" si="146"/>
        <v>6700.2797059784416</v>
      </c>
      <c r="AE535" s="1487">
        <v>0</v>
      </c>
      <c r="AF535" s="1145">
        <f t="shared" si="156"/>
        <v>6700.2797059784416</v>
      </c>
      <c r="AG535" s="1149">
        <f>IFERROR(VLOOKUP(CONCATENATE($L535,$N535),'Drop List'!$G$23:$K$87,2,FALSE),0)</f>
        <v>0.68500000000000005</v>
      </c>
      <c r="AH535" s="1150">
        <f>IFERROR(VLOOKUP(CONCATENATE($L535,$N535),'Drop List'!$G$23:$K$87,3,FALSE),0)</f>
        <v>0.31499999999999995</v>
      </c>
      <c r="AI535" s="1150">
        <f>IFERROR(VLOOKUP(CONCATENATE($L535,$N535),'Drop List'!$G$23:$K$87,4,FALSE),0)</f>
        <v>0</v>
      </c>
      <c r="AJ535" s="1151">
        <f>IFERROR(VLOOKUP(CONCATENATE($L535,$N535),'Drop List'!$G$23:$K$87,5,FALSE),0)</f>
        <v>0</v>
      </c>
      <c r="AK535" s="1152">
        <f t="shared" si="157"/>
        <v>4589.6915985952328</v>
      </c>
      <c r="AL535" s="1153">
        <f t="shared" si="158"/>
        <v>2110.5881073832088</v>
      </c>
      <c r="AM535" s="1153">
        <f t="shared" si="159"/>
        <v>0</v>
      </c>
      <c r="AN535" s="1145">
        <f t="shared" si="160"/>
        <v>0</v>
      </c>
      <c r="AO535" s="1154">
        <f t="shared" si="161"/>
        <v>6700.2797059784416</v>
      </c>
      <c r="AP535" s="1147">
        <f t="shared" si="147"/>
        <v>0</v>
      </c>
      <c r="AQ535" s="1144">
        <f t="shared" si="148"/>
        <v>0</v>
      </c>
      <c r="AR535" s="1146">
        <f t="shared" si="149"/>
        <v>6700.2797059784416</v>
      </c>
    </row>
    <row r="536" spans="1:44" x14ac:dyDescent="0.2">
      <c r="A536" s="1141" t="str">
        <f t="shared" si="144"/>
        <v>1510</v>
      </c>
      <c r="B536" s="1141" t="str">
        <f>IFERROR(VLOOKUP(A536,'LAC 103'!A:C,3,FALSE),"")</f>
        <v>OP</v>
      </c>
      <c r="C536" s="1478" t="str">
        <f>Info!$B$8</f>
        <v>00100</v>
      </c>
      <c r="D536" s="1474" t="s">
        <v>256</v>
      </c>
      <c r="E536" s="1474" t="s">
        <v>95</v>
      </c>
      <c r="F536" s="1478" t="s">
        <v>77</v>
      </c>
      <c r="G536" s="1478" t="s">
        <v>77</v>
      </c>
      <c r="H536" s="1474" t="s">
        <v>1656</v>
      </c>
      <c r="I536" s="1478" t="s">
        <v>809</v>
      </c>
      <c r="J536" s="1478"/>
      <c r="K536" s="1475" t="s">
        <v>848</v>
      </c>
      <c r="L536" s="1474" t="s">
        <v>45</v>
      </c>
      <c r="M536" s="1476" t="s">
        <v>840</v>
      </c>
      <c r="N536" s="1477" t="s">
        <v>1700</v>
      </c>
      <c r="O536" s="1479">
        <v>3171</v>
      </c>
      <c r="P536" s="1479"/>
      <c r="Q536" s="1142">
        <f t="shared" si="145"/>
        <v>3171</v>
      </c>
      <c r="R536" s="1143">
        <f>IFERROR(VLOOKUP(CONCATENATE(E536,G536),'LAC 103'!$A$12:$O$95,11,FALSE),0)</f>
        <v>3.2074101033884355</v>
      </c>
      <c r="S536" s="1144">
        <f>IFERROR(VLOOKUP(CONCATENATE($E536,$G536),'LAC 103'!$A$12:$O$95,12,FALSE),0)</f>
        <v>3.99</v>
      </c>
      <c r="T536" s="1144">
        <f>IFERROR(VLOOKUP(CONCATENATE($E536,$G536),'LAC 103'!$A$12:$O$95,13,FALSE),0)</f>
        <v>2.48</v>
      </c>
      <c r="U536" s="1144">
        <f>IFERROR(VLOOKUP(CONCATENATE($E536,$G536),'LAC 103'!$A$12:$O$95,14,FALSE),0)</f>
        <v>0</v>
      </c>
      <c r="V536" s="1144">
        <f>IFERROR(VLOOKUP(CONCATENATE($E536,$G536),'LAC 103'!$A$12:$O$95,15,FALSE),0)</f>
        <v>0</v>
      </c>
      <c r="W536" s="1145" t="str">
        <f>IFERROR(VLOOKUP(CONCATENATE($B536,$N536),'LAC 103'!$AI:$AQ,9,FALSE),"")</f>
        <v>P.C.</v>
      </c>
      <c r="X536" s="1146">
        <f t="shared" si="150"/>
        <v>2.48</v>
      </c>
      <c r="Y536" s="1143">
        <f t="shared" si="151"/>
        <v>10170.697437844728</v>
      </c>
      <c r="Z536" s="1147">
        <f t="shared" si="152"/>
        <v>12652.29</v>
      </c>
      <c r="AA536" s="1144">
        <f t="shared" si="153"/>
        <v>7864.08</v>
      </c>
      <c r="AB536" s="1144">
        <f t="shared" si="154"/>
        <v>0</v>
      </c>
      <c r="AC536" s="1144">
        <f t="shared" si="155"/>
        <v>0</v>
      </c>
      <c r="AD536" s="1148">
        <f t="shared" si="146"/>
        <v>7864.08</v>
      </c>
      <c r="AE536" s="1487">
        <v>0</v>
      </c>
      <c r="AF536" s="1145">
        <f t="shared" si="156"/>
        <v>7864.08</v>
      </c>
      <c r="AG536" s="1149">
        <f>IFERROR(VLOOKUP(CONCATENATE($L536,$N536),'Drop List'!$G$23:$K$87,2,FALSE),0)</f>
        <v>0.68500000000000005</v>
      </c>
      <c r="AH536" s="1150">
        <f>IFERROR(VLOOKUP(CONCATENATE($L536,$N536),'Drop List'!$G$23:$K$87,3,FALSE),0)</f>
        <v>0.31499999999999995</v>
      </c>
      <c r="AI536" s="1150">
        <f>IFERROR(VLOOKUP(CONCATENATE($L536,$N536),'Drop List'!$G$23:$K$87,4,FALSE),0)</f>
        <v>0</v>
      </c>
      <c r="AJ536" s="1151">
        <f>IFERROR(VLOOKUP(CONCATENATE($L536,$N536),'Drop List'!$G$23:$K$87,5,FALSE),0)</f>
        <v>0</v>
      </c>
      <c r="AK536" s="1152">
        <f t="shared" si="157"/>
        <v>5386.8948</v>
      </c>
      <c r="AL536" s="1153">
        <f t="shared" si="158"/>
        <v>2477.1851999999994</v>
      </c>
      <c r="AM536" s="1153">
        <f t="shared" si="159"/>
        <v>0</v>
      </c>
      <c r="AN536" s="1145">
        <f t="shared" si="160"/>
        <v>0</v>
      </c>
      <c r="AO536" s="1154">
        <f t="shared" si="161"/>
        <v>7864.08</v>
      </c>
      <c r="AP536" s="1147">
        <f t="shared" si="147"/>
        <v>0</v>
      </c>
      <c r="AQ536" s="1144">
        <f t="shared" si="148"/>
        <v>0</v>
      </c>
      <c r="AR536" s="1146">
        <f t="shared" si="149"/>
        <v>7864.08</v>
      </c>
    </row>
    <row r="537" spans="1:44" x14ac:dyDescent="0.2">
      <c r="A537" s="1141" t="str">
        <f t="shared" si="144"/>
        <v>1510</v>
      </c>
      <c r="B537" s="1141" t="str">
        <f>IFERROR(VLOOKUP(A537,'LAC 103'!A:C,3,FALSE),"")</f>
        <v>OP</v>
      </c>
      <c r="C537" s="1478" t="str">
        <f>Info!$B$8</f>
        <v>00100</v>
      </c>
      <c r="D537" s="1474" t="s">
        <v>256</v>
      </c>
      <c r="E537" s="1474" t="s">
        <v>95</v>
      </c>
      <c r="F537" s="1478" t="s">
        <v>77</v>
      </c>
      <c r="G537" s="1478" t="s">
        <v>77</v>
      </c>
      <c r="H537" s="1474" t="s">
        <v>1656</v>
      </c>
      <c r="I537" s="1478" t="s">
        <v>809</v>
      </c>
      <c r="J537" s="1478"/>
      <c r="K537" s="1475" t="s">
        <v>848</v>
      </c>
      <c r="L537" s="1474" t="s">
        <v>45</v>
      </c>
      <c r="M537" s="1476" t="s">
        <v>842</v>
      </c>
      <c r="N537" s="1477" t="s">
        <v>1692</v>
      </c>
      <c r="O537" s="1479">
        <v>5077</v>
      </c>
      <c r="P537" s="1479"/>
      <c r="Q537" s="1142">
        <f t="shared" si="145"/>
        <v>5077</v>
      </c>
      <c r="R537" s="1143">
        <f>IFERROR(VLOOKUP(CONCATENATE(E537,G537),'LAC 103'!$A$12:$O$95,11,FALSE),0)</f>
        <v>3.2074101033884355</v>
      </c>
      <c r="S537" s="1144">
        <f>IFERROR(VLOOKUP(CONCATENATE($E537,$G537),'LAC 103'!$A$12:$O$95,12,FALSE),0)</f>
        <v>3.99</v>
      </c>
      <c r="T537" s="1144">
        <f>IFERROR(VLOOKUP(CONCATENATE($E537,$G537),'LAC 103'!$A$12:$O$95,13,FALSE),0)</f>
        <v>2.48</v>
      </c>
      <c r="U537" s="1144">
        <f>IFERROR(VLOOKUP(CONCATENATE($E537,$G537),'LAC 103'!$A$12:$O$95,14,FALSE),0)</f>
        <v>0</v>
      </c>
      <c r="V537" s="1144">
        <f>IFERROR(VLOOKUP(CONCATENATE($E537,$G537),'LAC 103'!$A$12:$O$95,15,FALSE),0)</f>
        <v>0</v>
      </c>
      <c r="W537" s="1145" t="str">
        <f>IFERROR(VLOOKUP(CONCATENATE($B537,$N537),'LAC 103'!$AI:$AQ,9,FALSE),"")</f>
        <v>Costs</v>
      </c>
      <c r="X537" s="1146">
        <f t="shared" si="150"/>
        <v>3.2074101033884355</v>
      </c>
      <c r="Y537" s="1143">
        <f t="shared" si="151"/>
        <v>16284.021094903086</v>
      </c>
      <c r="Z537" s="1147">
        <f t="shared" si="152"/>
        <v>20257.23</v>
      </c>
      <c r="AA537" s="1144">
        <f t="shared" si="153"/>
        <v>12590.96</v>
      </c>
      <c r="AB537" s="1144">
        <f t="shared" si="154"/>
        <v>0</v>
      </c>
      <c r="AC537" s="1144">
        <f t="shared" si="155"/>
        <v>0</v>
      </c>
      <c r="AD537" s="1148">
        <f t="shared" si="146"/>
        <v>16284.021094903086</v>
      </c>
      <c r="AE537" s="1487">
        <v>0</v>
      </c>
      <c r="AF537" s="1145">
        <f t="shared" si="156"/>
        <v>16284.021094903086</v>
      </c>
      <c r="AG537" s="1149">
        <f>IFERROR(VLOOKUP(CONCATENATE($L537,$N537),'Drop List'!$G$23:$K$87,2,FALSE),0)</f>
        <v>0.69340000000000002</v>
      </c>
      <c r="AH537" s="1150">
        <f>IFERROR(VLOOKUP(CONCATENATE($L537,$N537),'Drop List'!$G$23:$K$87,3,FALSE),0)</f>
        <v>0.30659999999999998</v>
      </c>
      <c r="AI537" s="1150">
        <f>IFERROR(VLOOKUP(CONCATENATE($L537,$N537),'Drop List'!$G$23:$K$87,4,FALSE),0)</f>
        <v>0</v>
      </c>
      <c r="AJ537" s="1151">
        <f>IFERROR(VLOOKUP(CONCATENATE($L537,$N537),'Drop List'!$G$23:$K$87,5,FALSE),0)</f>
        <v>0</v>
      </c>
      <c r="AK537" s="1152">
        <f t="shared" si="157"/>
        <v>11291.340227205801</v>
      </c>
      <c r="AL537" s="1153">
        <f t="shared" si="158"/>
        <v>4992.680867697286</v>
      </c>
      <c r="AM537" s="1153">
        <f t="shared" si="159"/>
        <v>0</v>
      </c>
      <c r="AN537" s="1145">
        <f t="shared" si="160"/>
        <v>0</v>
      </c>
      <c r="AO537" s="1154">
        <f t="shared" si="161"/>
        <v>16284.021094903088</v>
      </c>
      <c r="AP537" s="1147">
        <f t="shared" si="147"/>
        <v>0</v>
      </c>
      <c r="AQ537" s="1144">
        <f t="shared" si="148"/>
        <v>0</v>
      </c>
      <c r="AR537" s="1146">
        <f t="shared" si="149"/>
        <v>16284.021094903088</v>
      </c>
    </row>
    <row r="538" spans="1:44" x14ac:dyDescent="0.2">
      <c r="A538" s="1141" t="str">
        <f t="shared" si="144"/>
        <v>1510</v>
      </c>
      <c r="B538" s="1141" t="str">
        <f>IFERROR(VLOOKUP(A538,'LAC 103'!A:C,3,FALSE),"")</f>
        <v>OP</v>
      </c>
      <c r="C538" s="1478" t="str">
        <f>Info!$B$8</f>
        <v>00100</v>
      </c>
      <c r="D538" s="1474" t="s">
        <v>256</v>
      </c>
      <c r="E538" s="1474" t="s">
        <v>95</v>
      </c>
      <c r="F538" s="1478" t="s">
        <v>77</v>
      </c>
      <c r="G538" s="1478" t="s">
        <v>77</v>
      </c>
      <c r="H538" s="1474" t="s">
        <v>1656</v>
      </c>
      <c r="I538" s="1478" t="s">
        <v>809</v>
      </c>
      <c r="J538" s="1478"/>
      <c r="K538" s="1475" t="s">
        <v>848</v>
      </c>
      <c r="L538" s="1474" t="s">
        <v>45</v>
      </c>
      <c r="M538" s="1476" t="s">
        <v>1698</v>
      </c>
      <c r="N538" s="1477" t="s">
        <v>1693</v>
      </c>
      <c r="O538" s="1479">
        <v>5346</v>
      </c>
      <c r="P538" s="1479"/>
      <c r="Q538" s="1142">
        <f t="shared" si="145"/>
        <v>5346</v>
      </c>
      <c r="R538" s="1143">
        <f>IFERROR(VLOOKUP(CONCATENATE(E538,G538),'LAC 103'!$A$12:$O$95,11,FALSE),0)</f>
        <v>3.2074101033884355</v>
      </c>
      <c r="S538" s="1144">
        <f>IFERROR(VLOOKUP(CONCATENATE($E538,$G538),'LAC 103'!$A$12:$O$95,12,FALSE),0)</f>
        <v>3.99</v>
      </c>
      <c r="T538" s="1144">
        <f>IFERROR(VLOOKUP(CONCATENATE($E538,$G538),'LAC 103'!$A$12:$O$95,13,FALSE),0)</f>
        <v>2.48</v>
      </c>
      <c r="U538" s="1144">
        <f>IFERROR(VLOOKUP(CONCATENATE($E538,$G538),'LAC 103'!$A$12:$O$95,14,FALSE),0)</f>
        <v>0</v>
      </c>
      <c r="V538" s="1144">
        <f>IFERROR(VLOOKUP(CONCATENATE($E538,$G538),'LAC 103'!$A$12:$O$95,15,FALSE),0)</f>
        <v>0</v>
      </c>
      <c r="W538" s="1145" t="str">
        <f>IFERROR(VLOOKUP(CONCATENATE($B538,$N538),'LAC 103'!$AI:$AQ,9,FALSE),"")</f>
        <v>Costs</v>
      </c>
      <c r="X538" s="1146">
        <f t="shared" si="150"/>
        <v>3.2074101033884355</v>
      </c>
      <c r="Y538" s="1143">
        <f t="shared" si="151"/>
        <v>17146.814412714575</v>
      </c>
      <c r="Z538" s="1147">
        <f t="shared" si="152"/>
        <v>21330.54</v>
      </c>
      <c r="AA538" s="1144">
        <f t="shared" si="153"/>
        <v>13258.08</v>
      </c>
      <c r="AB538" s="1144">
        <f t="shared" si="154"/>
        <v>0</v>
      </c>
      <c r="AC538" s="1144">
        <f t="shared" si="155"/>
        <v>0</v>
      </c>
      <c r="AD538" s="1148">
        <f t="shared" si="146"/>
        <v>17146.814412714575</v>
      </c>
      <c r="AE538" s="1487">
        <v>0</v>
      </c>
      <c r="AF538" s="1145">
        <f t="shared" si="156"/>
        <v>17146.814412714575</v>
      </c>
      <c r="AG538" s="1149">
        <f>IFERROR(VLOOKUP(CONCATENATE($L538,$N538),'Drop List'!$G$23:$K$87,2,FALSE),0)</f>
        <v>0.69340000000000002</v>
      </c>
      <c r="AH538" s="1150">
        <f>IFERROR(VLOOKUP(CONCATENATE($L538,$N538),'Drop List'!$G$23:$K$87,3,FALSE),0)</f>
        <v>0.30659999999999998</v>
      </c>
      <c r="AI538" s="1150">
        <f>IFERROR(VLOOKUP(CONCATENATE($L538,$N538),'Drop List'!$G$23:$K$87,4,FALSE),0)</f>
        <v>0</v>
      </c>
      <c r="AJ538" s="1151">
        <f>IFERROR(VLOOKUP(CONCATENATE($L538,$N538),'Drop List'!$G$23:$K$87,5,FALSE),0)</f>
        <v>0</v>
      </c>
      <c r="AK538" s="1152">
        <f t="shared" si="157"/>
        <v>11889.601113776287</v>
      </c>
      <c r="AL538" s="1153">
        <f t="shared" si="158"/>
        <v>5257.2132989382881</v>
      </c>
      <c r="AM538" s="1153">
        <f t="shared" si="159"/>
        <v>0</v>
      </c>
      <c r="AN538" s="1145">
        <f t="shared" si="160"/>
        <v>0</v>
      </c>
      <c r="AO538" s="1154">
        <f t="shared" si="161"/>
        <v>17146.814412714575</v>
      </c>
      <c r="AP538" s="1147">
        <f t="shared" si="147"/>
        <v>0</v>
      </c>
      <c r="AQ538" s="1144">
        <f t="shared" si="148"/>
        <v>0</v>
      </c>
      <c r="AR538" s="1146">
        <f t="shared" si="149"/>
        <v>17146.814412714575</v>
      </c>
    </row>
    <row r="539" spans="1:44" x14ac:dyDescent="0.2">
      <c r="A539" s="1141" t="str">
        <f t="shared" si="144"/>
        <v>1510</v>
      </c>
      <c r="B539" s="1141" t="str">
        <f>IFERROR(VLOOKUP(A539,'LAC 103'!A:C,3,FALSE),"")</f>
        <v>OP</v>
      </c>
      <c r="C539" s="1478" t="str">
        <f>Info!$B$8</f>
        <v>00100</v>
      </c>
      <c r="D539" s="1474" t="s">
        <v>256</v>
      </c>
      <c r="E539" s="1474" t="s">
        <v>95</v>
      </c>
      <c r="F539" s="1478" t="s">
        <v>77</v>
      </c>
      <c r="G539" s="1478" t="s">
        <v>77</v>
      </c>
      <c r="H539" s="1474" t="s">
        <v>1656</v>
      </c>
      <c r="I539" s="1478" t="s">
        <v>809</v>
      </c>
      <c r="J539" s="1478"/>
      <c r="K539" s="1475" t="s">
        <v>849</v>
      </c>
      <c r="L539" s="1474" t="s">
        <v>77</v>
      </c>
      <c r="M539" s="1476" t="s">
        <v>1699</v>
      </c>
      <c r="N539" s="1477" t="s">
        <v>1694</v>
      </c>
      <c r="O539" s="1479">
        <v>1869</v>
      </c>
      <c r="P539" s="1479"/>
      <c r="Q539" s="1142">
        <f t="shared" si="145"/>
        <v>1869</v>
      </c>
      <c r="R539" s="1143">
        <f>IFERROR(VLOOKUP(CONCATENATE(E539,G539),'LAC 103'!$A$12:$O$95,11,FALSE),0)</f>
        <v>3.2074101033884355</v>
      </c>
      <c r="S539" s="1144">
        <f>IFERROR(VLOOKUP(CONCATENATE($E539,$G539),'LAC 103'!$A$12:$O$95,12,FALSE),0)</f>
        <v>3.99</v>
      </c>
      <c r="T539" s="1144">
        <f>IFERROR(VLOOKUP(CONCATENATE($E539,$G539),'LAC 103'!$A$12:$O$95,13,FALSE),0)</f>
        <v>2.48</v>
      </c>
      <c r="U539" s="1144">
        <f>IFERROR(VLOOKUP(CONCATENATE($E539,$G539),'LAC 103'!$A$12:$O$95,14,FALSE),0)</f>
        <v>0</v>
      </c>
      <c r="V539" s="1144">
        <f>IFERROR(VLOOKUP(CONCATENATE($E539,$G539),'LAC 103'!$A$12:$O$95,15,FALSE),0)</f>
        <v>0</v>
      </c>
      <c r="W539" s="1145" t="str">
        <f>IFERROR(VLOOKUP(CONCATENATE($B539,$N539),'LAC 103'!$AI:$AQ,9,FALSE),"")</f>
        <v>Costs</v>
      </c>
      <c r="X539" s="1146">
        <f t="shared" si="150"/>
        <v>3.2074101033884355</v>
      </c>
      <c r="Y539" s="1143">
        <f t="shared" si="151"/>
        <v>5994.6494832329863</v>
      </c>
      <c r="Z539" s="1147">
        <f t="shared" si="152"/>
        <v>7457.31</v>
      </c>
      <c r="AA539" s="1144">
        <f t="shared" si="153"/>
        <v>4635.12</v>
      </c>
      <c r="AB539" s="1144">
        <f t="shared" si="154"/>
        <v>0</v>
      </c>
      <c r="AC539" s="1144">
        <f t="shared" si="155"/>
        <v>0</v>
      </c>
      <c r="AD539" s="1148">
        <f t="shared" si="146"/>
        <v>5994.6494832329863</v>
      </c>
      <c r="AE539" s="1487">
        <v>0</v>
      </c>
      <c r="AF539" s="1145">
        <f t="shared" si="156"/>
        <v>5994.6494832329863</v>
      </c>
      <c r="AG539" s="1149">
        <f>IFERROR(VLOOKUP(CONCATENATE($L539,$N539),'Drop List'!$G$23:$K$87,2,FALSE),0)</f>
        <v>0.9</v>
      </c>
      <c r="AH539" s="1150">
        <f>IFERROR(VLOOKUP(CONCATENATE($L539,$N539),'Drop List'!$G$23:$K$87,3,FALSE),0)</f>
        <v>0</v>
      </c>
      <c r="AI539" s="1150">
        <f>IFERROR(VLOOKUP(CONCATENATE($L539,$N539),'Drop List'!$G$23:$K$87,4,FALSE),0)</f>
        <v>0.1</v>
      </c>
      <c r="AJ539" s="1151">
        <f>IFERROR(VLOOKUP(CONCATENATE($L539,$N539),'Drop List'!$G$23:$K$87,5,FALSE),0)</f>
        <v>0</v>
      </c>
      <c r="AK539" s="1152">
        <f t="shared" si="157"/>
        <v>5395.1845349096875</v>
      </c>
      <c r="AL539" s="1153">
        <f t="shared" si="158"/>
        <v>0</v>
      </c>
      <c r="AM539" s="1153">
        <f t="shared" si="159"/>
        <v>599.4649483232987</v>
      </c>
      <c r="AN539" s="1145">
        <f t="shared" si="160"/>
        <v>0</v>
      </c>
      <c r="AO539" s="1154">
        <f t="shared" si="161"/>
        <v>5994.6494832329863</v>
      </c>
      <c r="AP539" s="1147">
        <f t="shared" si="147"/>
        <v>0</v>
      </c>
      <c r="AQ539" s="1144">
        <f t="shared" si="148"/>
        <v>0</v>
      </c>
      <c r="AR539" s="1146">
        <f t="shared" si="149"/>
        <v>5994.6494832329863</v>
      </c>
    </row>
    <row r="540" spans="1:44" x14ac:dyDescent="0.2">
      <c r="A540" s="1141" t="str">
        <f t="shared" si="144"/>
        <v>1510</v>
      </c>
      <c r="B540" s="1141" t="str">
        <f>IFERROR(VLOOKUP(A540,'LAC 103'!A:C,3,FALSE),"")</f>
        <v>OP</v>
      </c>
      <c r="C540" s="1478" t="str">
        <f>Info!$B$8</f>
        <v>00100</v>
      </c>
      <c r="D540" s="1474" t="s">
        <v>256</v>
      </c>
      <c r="E540" s="1474" t="s">
        <v>95</v>
      </c>
      <c r="F540" s="1478" t="s">
        <v>77</v>
      </c>
      <c r="G540" s="1478" t="s">
        <v>77</v>
      </c>
      <c r="H540" s="1474" t="s">
        <v>1656</v>
      </c>
      <c r="I540" s="1478" t="s">
        <v>809</v>
      </c>
      <c r="J540" s="1478"/>
      <c r="K540" s="1475" t="s">
        <v>849</v>
      </c>
      <c r="L540" s="1474" t="s">
        <v>77</v>
      </c>
      <c r="M540" s="1476" t="s">
        <v>841</v>
      </c>
      <c r="N540" s="1477" t="s">
        <v>1695</v>
      </c>
      <c r="O540" s="1479">
        <v>161</v>
      </c>
      <c r="P540" s="1479"/>
      <c r="Q540" s="1142">
        <f t="shared" si="145"/>
        <v>161</v>
      </c>
      <c r="R540" s="1143">
        <f>IFERROR(VLOOKUP(CONCATENATE(E540,G540),'LAC 103'!$A$12:$O$95,11,FALSE),0)</f>
        <v>3.2074101033884355</v>
      </c>
      <c r="S540" s="1144">
        <f>IFERROR(VLOOKUP(CONCATENATE($E540,$G540),'LAC 103'!$A$12:$O$95,12,FALSE),0)</f>
        <v>3.99</v>
      </c>
      <c r="T540" s="1144">
        <f>IFERROR(VLOOKUP(CONCATENATE($E540,$G540),'LAC 103'!$A$12:$O$95,13,FALSE),0)</f>
        <v>2.48</v>
      </c>
      <c r="U540" s="1144">
        <f>IFERROR(VLOOKUP(CONCATENATE($E540,$G540),'LAC 103'!$A$12:$O$95,14,FALSE),0)</f>
        <v>0</v>
      </c>
      <c r="V540" s="1144">
        <f>IFERROR(VLOOKUP(CONCATENATE($E540,$G540),'LAC 103'!$A$12:$O$95,15,FALSE),0)</f>
        <v>0</v>
      </c>
      <c r="W540" s="1145" t="str">
        <f>IFERROR(VLOOKUP(CONCATENATE($B540,$N540),'LAC 103'!$AI:$AQ,9,FALSE),"")</f>
        <v>Costs</v>
      </c>
      <c r="X540" s="1146">
        <f t="shared" si="150"/>
        <v>3.2074101033884355</v>
      </c>
      <c r="Y540" s="1143">
        <f t="shared" si="151"/>
        <v>516.39302664553816</v>
      </c>
      <c r="Z540" s="1147">
        <f t="shared" si="152"/>
        <v>642.39</v>
      </c>
      <c r="AA540" s="1144">
        <f t="shared" si="153"/>
        <v>399.28</v>
      </c>
      <c r="AB540" s="1144">
        <f t="shared" si="154"/>
        <v>0</v>
      </c>
      <c r="AC540" s="1144">
        <f t="shared" si="155"/>
        <v>0</v>
      </c>
      <c r="AD540" s="1148">
        <f t="shared" si="146"/>
        <v>516.39302664553816</v>
      </c>
      <c r="AE540" s="1487">
        <v>0</v>
      </c>
      <c r="AF540" s="1145">
        <f t="shared" si="156"/>
        <v>516.39302664553816</v>
      </c>
      <c r="AG540" s="1149">
        <f>IFERROR(VLOOKUP(CONCATENATE($L540,$N540),'Drop List'!$G$23:$K$87,2,FALSE),0)</f>
        <v>0.9</v>
      </c>
      <c r="AH540" s="1150">
        <f>IFERROR(VLOOKUP(CONCATENATE($L540,$N540),'Drop List'!$G$23:$K$87,3,FALSE),0)</f>
        <v>0</v>
      </c>
      <c r="AI540" s="1150">
        <f>IFERROR(VLOOKUP(CONCATENATE($L540,$N540),'Drop List'!$G$23:$K$87,4,FALSE),0)</f>
        <v>0.1</v>
      </c>
      <c r="AJ540" s="1151">
        <f>IFERROR(VLOOKUP(CONCATENATE($L540,$N540),'Drop List'!$G$23:$K$87,5,FALSE),0)</f>
        <v>0</v>
      </c>
      <c r="AK540" s="1152">
        <f t="shared" si="157"/>
        <v>464.75372398098438</v>
      </c>
      <c r="AL540" s="1153">
        <f t="shared" si="158"/>
        <v>0</v>
      </c>
      <c r="AM540" s="1153">
        <f t="shared" si="159"/>
        <v>51.639302664553817</v>
      </c>
      <c r="AN540" s="1145">
        <f t="shared" si="160"/>
        <v>0</v>
      </c>
      <c r="AO540" s="1154">
        <f t="shared" si="161"/>
        <v>516.39302664553816</v>
      </c>
      <c r="AP540" s="1147">
        <f t="shared" si="147"/>
        <v>0</v>
      </c>
      <c r="AQ540" s="1144">
        <f t="shared" si="148"/>
        <v>0</v>
      </c>
      <c r="AR540" s="1146">
        <f t="shared" si="149"/>
        <v>516.39302664553816</v>
      </c>
    </row>
    <row r="541" spans="1:44" x14ac:dyDescent="0.2">
      <c r="A541" s="1141" t="str">
        <f t="shared" si="144"/>
        <v>1510</v>
      </c>
      <c r="B541" s="1141" t="str">
        <f>IFERROR(VLOOKUP(A541,'LAC 103'!A:C,3,FALSE),"")</f>
        <v>OP</v>
      </c>
      <c r="C541" s="1478" t="str">
        <f>Info!$B$8</f>
        <v>00100</v>
      </c>
      <c r="D541" s="1474" t="s">
        <v>256</v>
      </c>
      <c r="E541" s="1474" t="s">
        <v>95</v>
      </c>
      <c r="F541" s="1478" t="s">
        <v>77</v>
      </c>
      <c r="G541" s="1478" t="s">
        <v>77</v>
      </c>
      <c r="H541" s="1474" t="s">
        <v>1656</v>
      </c>
      <c r="I541" s="1478" t="s">
        <v>809</v>
      </c>
      <c r="J541" s="1478"/>
      <c r="K541" s="1475" t="s">
        <v>849</v>
      </c>
      <c r="L541" s="1474" t="s">
        <v>77</v>
      </c>
      <c r="M541" s="1476" t="s">
        <v>840</v>
      </c>
      <c r="N541" s="1477" t="s">
        <v>1700</v>
      </c>
      <c r="O541" s="1479">
        <v>578</v>
      </c>
      <c r="P541" s="1479"/>
      <c r="Q541" s="1142">
        <f t="shared" si="145"/>
        <v>578</v>
      </c>
      <c r="R541" s="1143">
        <f>IFERROR(VLOOKUP(CONCATENATE(E541,G541),'LAC 103'!$A$12:$O$95,11,FALSE),0)</f>
        <v>3.2074101033884355</v>
      </c>
      <c r="S541" s="1144">
        <f>IFERROR(VLOOKUP(CONCATENATE($E541,$G541),'LAC 103'!$A$12:$O$95,12,FALSE),0)</f>
        <v>3.99</v>
      </c>
      <c r="T541" s="1144">
        <f>IFERROR(VLOOKUP(CONCATENATE($E541,$G541),'LAC 103'!$A$12:$O$95,13,FALSE),0)</f>
        <v>2.48</v>
      </c>
      <c r="U541" s="1144">
        <f>IFERROR(VLOOKUP(CONCATENATE($E541,$G541),'LAC 103'!$A$12:$O$95,14,FALSE),0)</f>
        <v>0</v>
      </c>
      <c r="V541" s="1144">
        <f>IFERROR(VLOOKUP(CONCATENATE($E541,$G541),'LAC 103'!$A$12:$O$95,15,FALSE),0)</f>
        <v>0</v>
      </c>
      <c r="W541" s="1145" t="str">
        <f>IFERROR(VLOOKUP(CONCATENATE($B541,$N541),'LAC 103'!$AI:$AQ,9,FALSE),"")</f>
        <v>P.C.</v>
      </c>
      <c r="X541" s="1146">
        <f t="shared" si="150"/>
        <v>2.48</v>
      </c>
      <c r="Y541" s="1143">
        <f t="shared" si="151"/>
        <v>1853.8830397585157</v>
      </c>
      <c r="Z541" s="1147">
        <f t="shared" si="152"/>
        <v>2306.2200000000003</v>
      </c>
      <c r="AA541" s="1144">
        <f t="shared" si="153"/>
        <v>1433.44</v>
      </c>
      <c r="AB541" s="1144">
        <f t="shared" si="154"/>
        <v>0</v>
      </c>
      <c r="AC541" s="1144">
        <f t="shared" si="155"/>
        <v>0</v>
      </c>
      <c r="AD541" s="1148">
        <f t="shared" si="146"/>
        <v>1433.44</v>
      </c>
      <c r="AE541" s="1487">
        <v>0</v>
      </c>
      <c r="AF541" s="1145">
        <f t="shared" si="156"/>
        <v>1433.44</v>
      </c>
      <c r="AG541" s="1149">
        <f>IFERROR(VLOOKUP(CONCATENATE($L541,$N541),'Drop List'!$G$23:$K$87,2,FALSE),0)</f>
        <v>0.9</v>
      </c>
      <c r="AH541" s="1150">
        <f>IFERROR(VLOOKUP(CONCATENATE($L541,$N541),'Drop List'!$G$23:$K$87,3,FALSE),0)</f>
        <v>0</v>
      </c>
      <c r="AI541" s="1150">
        <f>IFERROR(VLOOKUP(CONCATENATE($L541,$N541),'Drop List'!$G$23:$K$87,4,FALSE),0)</f>
        <v>0.1</v>
      </c>
      <c r="AJ541" s="1151">
        <f>IFERROR(VLOOKUP(CONCATENATE($L541,$N541),'Drop List'!$G$23:$K$87,5,FALSE),0)</f>
        <v>0</v>
      </c>
      <c r="AK541" s="1152">
        <f t="shared" si="157"/>
        <v>1290.096</v>
      </c>
      <c r="AL541" s="1153">
        <f t="shared" si="158"/>
        <v>0</v>
      </c>
      <c r="AM541" s="1153">
        <f t="shared" si="159"/>
        <v>143.34400000000002</v>
      </c>
      <c r="AN541" s="1145">
        <f t="shared" si="160"/>
        <v>0</v>
      </c>
      <c r="AO541" s="1154">
        <f t="shared" si="161"/>
        <v>1433.44</v>
      </c>
      <c r="AP541" s="1147">
        <f t="shared" si="147"/>
        <v>0</v>
      </c>
      <c r="AQ541" s="1144">
        <f t="shared" si="148"/>
        <v>0</v>
      </c>
      <c r="AR541" s="1146">
        <f t="shared" si="149"/>
        <v>1433.44</v>
      </c>
    </row>
    <row r="542" spans="1:44" x14ac:dyDescent="0.2">
      <c r="A542" s="1141" t="str">
        <f t="shared" si="144"/>
        <v>1510</v>
      </c>
      <c r="B542" s="1141" t="str">
        <f>IFERROR(VLOOKUP(A542,'LAC 103'!A:C,3,FALSE),"")</f>
        <v>OP</v>
      </c>
      <c r="C542" s="1478" t="str">
        <f>Info!$B$8</f>
        <v>00100</v>
      </c>
      <c r="D542" s="1474" t="s">
        <v>256</v>
      </c>
      <c r="E542" s="1474" t="s">
        <v>95</v>
      </c>
      <c r="F542" s="1478" t="s">
        <v>77</v>
      </c>
      <c r="G542" s="1478" t="s">
        <v>77</v>
      </c>
      <c r="H542" s="1474" t="s">
        <v>1656</v>
      </c>
      <c r="I542" s="1478" t="s">
        <v>809</v>
      </c>
      <c r="J542" s="1478"/>
      <c r="K542" s="1475" t="s">
        <v>849</v>
      </c>
      <c r="L542" s="1474" t="s">
        <v>77</v>
      </c>
      <c r="M542" s="1476" t="s">
        <v>842</v>
      </c>
      <c r="N542" s="1477" t="s">
        <v>1692</v>
      </c>
      <c r="O542" s="1479">
        <v>1783</v>
      </c>
      <c r="P542" s="1479"/>
      <c r="Q542" s="1142">
        <f t="shared" si="145"/>
        <v>1783</v>
      </c>
      <c r="R542" s="1143">
        <f>IFERROR(VLOOKUP(CONCATENATE(E542,G542),'LAC 103'!$A$12:$O$95,11,FALSE),0)</f>
        <v>3.2074101033884355</v>
      </c>
      <c r="S542" s="1144">
        <f>IFERROR(VLOOKUP(CONCATENATE($E542,$G542),'LAC 103'!$A$12:$O$95,12,FALSE),0)</f>
        <v>3.99</v>
      </c>
      <c r="T542" s="1144">
        <f>IFERROR(VLOOKUP(CONCATENATE($E542,$G542),'LAC 103'!$A$12:$O$95,13,FALSE),0)</f>
        <v>2.48</v>
      </c>
      <c r="U542" s="1144">
        <f>IFERROR(VLOOKUP(CONCATENATE($E542,$G542),'LAC 103'!$A$12:$O$95,14,FALSE),0)</f>
        <v>0</v>
      </c>
      <c r="V542" s="1144">
        <f>IFERROR(VLOOKUP(CONCATENATE($E542,$G542),'LAC 103'!$A$12:$O$95,15,FALSE),0)</f>
        <v>0</v>
      </c>
      <c r="W542" s="1145" t="str">
        <f>IFERROR(VLOOKUP(CONCATENATE($B542,$N542),'LAC 103'!$AI:$AQ,9,FALSE),"")</f>
        <v>Costs</v>
      </c>
      <c r="X542" s="1146">
        <f t="shared" si="150"/>
        <v>3.2074101033884355</v>
      </c>
      <c r="Y542" s="1143">
        <f t="shared" si="151"/>
        <v>5718.8122143415803</v>
      </c>
      <c r="Z542" s="1147">
        <f t="shared" si="152"/>
        <v>7114.17</v>
      </c>
      <c r="AA542" s="1144">
        <f t="shared" si="153"/>
        <v>4421.84</v>
      </c>
      <c r="AB542" s="1144">
        <f t="shared" si="154"/>
        <v>0</v>
      </c>
      <c r="AC542" s="1144">
        <f t="shared" si="155"/>
        <v>0</v>
      </c>
      <c r="AD542" s="1148">
        <f t="shared" si="146"/>
        <v>5718.8122143415803</v>
      </c>
      <c r="AE542" s="1487">
        <v>0</v>
      </c>
      <c r="AF542" s="1145">
        <f t="shared" si="156"/>
        <v>5718.8122143415803</v>
      </c>
      <c r="AG542" s="1149">
        <f>IFERROR(VLOOKUP(CONCATENATE($L542,$N542),'Drop List'!$G$23:$K$87,2,FALSE),0)</f>
        <v>0.9</v>
      </c>
      <c r="AH542" s="1150">
        <f>IFERROR(VLOOKUP(CONCATENATE($L542,$N542),'Drop List'!$G$23:$K$87,3,FALSE),0)</f>
        <v>0</v>
      </c>
      <c r="AI542" s="1150">
        <f>IFERROR(VLOOKUP(CONCATENATE($L542,$N542),'Drop List'!$G$23:$K$87,4,FALSE),0)</f>
        <v>0.1</v>
      </c>
      <c r="AJ542" s="1151">
        <f>IFERROR(VLOOKUP(CONCATENATE($L542,$N542),'Drop List'!$G$23:$K$87,5,FALSE),0)</f>
        <v>0</v>
      </c>
      <c r="AK542" s="1152">
        <f t="shared" si="157"/>
        <v>5146.9309929074225</v>
      </c>
      <c r="AL542" s="1153">
        <f t="shared" si="158"/>
        <v>0</v>
      </c>
      <c r="AM542" s="1153">
        <f t="shared" si="159"/>
        <v>571.88122143415808</v>
      </c>
      <c r="AN542" s="1145">
        <f t="shared" si="160"/>
        <v>0</v>
      </c>
      <c r="AO542" s="1154">
        <f t="shared" si="161"/>
        <v>5718.8122143415803</v>
      </c>
      <c r="AP542" s="1147">
        <f t="shared" si="147"/>
        <v>0</v>
      </c>
      <c r="AQ542" s="1144">
        <f t="shared" si="148"/>
        <v>0</v>
      </c>
      <c r="AR542" s="1146">
        <f t="shared" si="149"/>
        <v>5718.8122143415803</v>
      </c>
    </row>
    <row r="543" spans="1:44" x14ac:dyDescent="0.2">
      <c r="A543" s="1141" t="str">
        <f t="shared" si="144"/>
        <v>1510</v>
      </c>
      <c r="B543" s="1141" t="str">
        <f>IFERROR(VLOOKUP(A543,'LAC 103'!A:C,3,FALSE),"")</f>
        <v>OP</v>
      </c>
      <c r="C543" s="1478" t="str">
        <f>Info!$B$8</f>
        <v>00100</v>
      </c>
      <c r="D543" s="1474" t="s">
        <v>256</v>
      </c>
      <c r="E543" s="1474" t="s">
        <v>95</v>
      </c>
      <c r="F543" s="1478" t="s">
        <v>77</v>
      </c>
      <c r="G543" s="1478" t="s">
        <v>77</v>
      </c>
      <c r="H543" s="1474" t="s">
        <v>1656</v>
      </c>
      <c r="I543" s="1478" t="s">
        <v>809</v>
      </c>
      <c r="J543" s="1478"/>
      <c r="K543" s="1475" t="s">
        <v>849</v>
      </c>
      <c r="L543" s="1474" t="s">
        <v>77</v>
      </c>
      <c r="M543" s="1476" t="s">
        <v>1698</v>
      </c>
      <c r="N543" s="1477" t="s">
        <v>1693</v>
      </c>
      <c r="O543" s="1479">
        <v>1648</v>
      </c>
      <c r="P543" s="1479"/>
      <c r="Q543" s="1142">
        <f t="shared" si="145"/>
        <v>1648</v>
      </c>
      <c r="R543" s="1143">
        <f>IFERROR(VLOOKUP(CONCATENATE(E543,G543),'LAC 103'!$A$12:$O$95,11,FALSE),0)</f>
        <v>3.2074101033884355</v>
      </c>
      <c r="S543" s="1144">
        <f>IFERROR(VLOOKUP(CONCATENATE($E543,$G543),'LAC 103'!$A$12:$O$95,12,FALSE),0)</f>
        <v>3.99</v>
      </c>
      <c r="T543" s="1144">
        <f>IFERROR(VLOOKUP(CONCATENATE($E543,$G543),'LAC 103'!$A$12:$O$95,13,FALSE),0)</f>
        <v>2.48</v>
      </c>
      <c r="U543" s="1144">
        <f>IFERROR(VLOOKUP(CONCATENATE($E543,$G543),'LAC 103'!$A$12:$O$95,14,FALSE),0)</f>
        <v>0</v>
      </c>
      <c r="V543" s="1144">
        <f>IFERROR(VLOOKUP(CONCATENATE($E543,$G543),'LAC 103'!$A$12:$O$95,15,FALSE),0)</f>
        <v>0</v>
      </c>
      <c r="W543" s="1145" t="str">
        <f>IFERROR(VLOOKUP(CONCATENATE($B543,$N543),'LAC 103'!$AI:$AQ,9,FALSE),"")</f>
        <v>Costs</v>
      </c>
      <c r="X543" s="1146">
        <f t="shared" si="150"/>
        <v>3.2074101033884355</v>
      </c>
      <c r="Y543" s="1143">
        <f t="shared" si="151"/>
        <v>5285.8118503841415</v>
      </c>
      <c r="Z543" s="1147">
        <f t="shared" si="152"/>
        <v>6575.52</v>
      </c>
      <c r="AA543" s="1144">
        <f t="shared" si="153"/>
        <v>4087.04</v>
      </c>
      <c r="AB543" s="1144">
        <f t="shared" si="154"/>
        <v>0</v>
      </c>
      <c r="AC543" s="1144">
        <f t="shared" si="155"/>
        <v>0</v>
      </c>
      <c r="AD543" s="1148">
        <f t="shared" si="146"/>
        <v>5285.8118503841415</v>
      </c>
      <c r="AE543" s="1487">
        <v>0</v>
      </c>
      <c r="AF543" s="1145">
        <f t="shared" si="156"/>
        <v>5285.8118503841415</v>
      </c>
      <c r="AG543" s="1149">
        <f>IFERROR(VLOOKUP(CONCATENATE($L543,$N543),'Drop List'!$G$23:$K$87,2,FALSE),0)</f>
        <v>0.9</v>
      </c>
      <c r="AH543" s="1150">
        <f>IFERROR(VLOOKUP(CONCATENATE($L543,$N543),'Drop List'!$G$23:$K$87,3,FALSE),0)</f>
        <v>0</v>
      </c>
      <c r="AI543" s="1150">
        <f>IFERROR(VLOOKUP(CONCATENATE($L543,$N543),'Drop List'!$G$23:$K$87,4,FALSE),0)</f>
        <v>0.1</v>
      </c>
      <c r="AJ543" s="1151">
        <f>IFERROR(VLOOKUP(CONCATENATE($L543,$N543),'Drop List'!$G$23:$K$87,5,FALSE),0)</f>
        <v>0</v>
      </c>
      <c r="AK543" s="1152">
        <f t="shared" si="157"/>
        <v>4757.2306653457272</v>
      </c>
      <c r="AL543" s="1153">
        <f t="shared" si="158"/>
        <v>0</v>
      </c>
      <c r="AM543" s="1153">
        <f t="shared" si="159"/>
        <v>528.58118503841422</v>
      </c>
      <c r="AN543" s="1145">
        <f t="shared" si="160"/>
        <v>0</v>
      </c>
      <c r="AO543" s="1154">
        <f t="shared" si="161"/>
        <v>5285.8118503841415</v>
      </c>
      <c r="AP543" s="1147">
        <f t="shared" si="147"/>
        <v>0</v>
      </c>
      <c r="AQ543" s="1144">
        <f t="shared" si="148"/>
        <v>0</v>
      </c>
      <c r="AR543" s="1146">
        <f t="shared" si="149"/>
        <v>5285.8118503841415</v>
      </c>
    </row>
    <row r="544" spans="1:44" x14ac:dyDescent="0.2">
      <c r="A544" s="1141" t="str">
        <f t="shared" si="144"/>
        <v>1510</v>
      </c>
      <c r="B544" s="1141" t="str">
        <f>IFERROR(VLOOKUP(A544,'LAC 103'!A:C,3,FALSE),"")</f>
        <v>OP</v>
      </c>
      <c r="C544" s="1478" t="str">
        <f>Info!$B$8</f>
        <v>00100</v>
      </c>
      <c r="D544" s="1474" t="s">
        <v>256</v>
      </c>
      <c r="E544" s="1474" t="s">
        <v>95</v>
      </c>
      <c r="F544" s="1478" t="s">
        <v>77</v>
      </c>
      <c r="G544" s="1478" t="s">
        <v>77</v>
      </c>
      <c r="H544" s="1474" t="s">
        <v>1656</v>
      </c>
      <c r="I544" s="1478" t="s">
        <v>809</v>
      </c>
      <c r="J544" s="1478"/>
      <c r="K544" s="1475" t="s">
        <v>971</v>
      </c>
      <c r="L544" s="1474" t="s">
        <v>332</v>
      </c>
      <c r="M544" s="1476" t="s">
        <v>1699</v>
      </c>
      <c r="N544" s="1477" t="s">
        <v>1694</v>
      </c>
      <c r="O544" s="1479">
        <v>29</v>
      </c>
      <c r="P544" s="1479"/>
      <c r="Q544" s="1142">
        <f t="shared" si="145"/>
        <v>29</v>
      </c>
      <c r="R544" s="1143">
        <f>IFERROR(VLOOKUP(CONCATENATE(E544,G544),'LAC 103'!$A$12:$O$95,11,FALSE),0)</f>
        <v>3.2074101033884355</v>
      </c>
      <c r="S544" s="1144">
        <f>IFERROR(VLOOKUP(CONCATENATE($E544,$G544),'LAC 103'!$A$12:$O$95,12,FALSE),0)</f>
        <v>3.99</v>
      </c>
      <c r="T544" s="1144">
        <f>IFERROR(VLOOKUP(CONCATENATE($E544,$G544),'LAC 103'!$A$12:$O$95,13,FALSE),0)</f>
        <v>2.48</v>
      </c>
      <c r="U544" s="1144">
        <f>IFERROR(VLOOKUP(CONCATENATE($E544,$G544),'LAC 103'!$A$12:$O$95,14,FALSE),0)</f>
        <v>0</v>
      </c>
      <c r="V544" s="1144">
        <f>IFERROR(VLOOKUP(CONCATENATE($E544,$G544),'LAC 103'!$A$12:$O$95,15,FALSE),0)</f>
        <v>0</v>
      </c>
      <c r="W544" s="1145" t="str">
        <f>IFERROR(VLOOKUP(CONCATENATE($B544,$N544),'LAC 103'!$AI:$AQ,9,FALSE),"")</f>
        <v>Costs</v>
      </c>
      <c r="X544" s="1146">
        <f t="shared" si="150"/>
        <v>3.2074101033884355</v>
      </c>
      <c r="Y544" s="1143">
        <f t="shared" si="151"/>
        <v>93.014892998264628</v>
      </c>
      <c r="Z544" s="1147">
        <f t="shared" si="152"/>
        <v>115.71000000000001</v>
      </c>
      <c r="AA544" s="1144">
        <f t="shared" si="153"/>
        <v>71.92</v>
      </c>
      <c r="AB544" s="1144">
        <f t="shared" si="154"/>
        <v>0</v>
      </c>
      <c r="AC544" s="1144">
        <f t="shared" si="155"/>
        <v>0</v>
      </c>
      <c r="AD544" s="1148">
        <f t="shared" si="146"/>
        <v>93.014892998264628</v>
      </c>
      <c r="AE544" s="1487">
        <v>0</v>
      </c>
      <c r="AF544" s="1145">
        <f t="shared" si="156"/>
        <v>93.014892998264628</v>
      </c>
      <c r="AG544" s="1149">
        <f>IFERROR(VLOOKUP(CONCATENATE($L544,$N544),'Drop List'!$G$23:$K$87,2,FALSE),0)</f>
        <v>0</v>
      </c>
      <c r="AH544" s="1150">
        <f>IFERROR(VLOOKUP(CONCATENATE($L544,$N544),'Drop List'!$G$23:$K$87,3,FALSE),0)</f>
        <v>0</v>
      </c>
      <c r="AI544" s="1150">
        <f>IFERROR(VLOOKUP(CONCATENATE($L544,$N544),'Drop List'!$G$23:$K$87,4,FALSE),0)</f>
        <v>0</v>
      </c>
      <c r="AJ544" s="1151">
        <f>IFERROR(VLOOKUP(CONCATENATE($L544,$N544),'Drop List'!$G$23:$K$87,5,FALSE),0)</f>
        <v>0</v>
      </c>
      <c r="AK544" s="1152">
        <f t="shared" si="157"/>
        <v>0</v>
      </c>
      <c r="AL544" s="1153">
        <f t="shared" si="158"/>
        <v>0</v>
      </c>
      <c r="AM544" s="1153">
        <f t="shared" si="159"/>
        <v>0</v>
      </c>
      <c r="AN544" s="1145">
        <f t="shared" si="160"/>
        <v>0</v>
      </c>
      <c r="AO544" s="1154">
        <f t="shared" si="161"/>
        <v>0</v>
      </c>
      <c r="AP544" s="1147">
        <f t="shared" si="147"/>
        <v>93.014892998264628</v>
      </c>
      <c r="AQ544" s="1144">
        <f t="shared" si="148"/>
        <v>0</v>
      </c>
      <c r="AR544" s="1146">
        <f t="shared" si="149"/>
        <v>93.014892998264628</v>
      </c>
    </row>
    <row r="545" spans="1:44" x14ac:dyDescent="0.2">
      <c r="A545" s="1141" t="str">
        <f t="shared" si="144"/>
        <v>1510</v>
      </c>
      <c r="B545" s="1141" t="str">
        <f>IFERROR(VLOOKUP(A545,'LAC 103'!A:C,3,FALSE),"")</f>
        <v>OP</v>
      </c>
      <c r="C545" s="1478" t="str">
        <f>Info!$B$8</f>
        <v>00100</v>
      </c>
      <c r="D545" s="1474" t="s">
        <v>256</v>
      </c>
      <c r="E545" s="1474" t="s">
        <v>95</v>
      </c>
      <c r="F545" s="1478" t="s">
        <v>77</v>
      </c>
      <c r="G545" s="1478" t="s">
        <v>77</v>
      </c>
      <c r="H545" s="1474" t="s">
        <v>1656</v>
      </c>
      <c r="I545" s="1478" t="s">
        <v>809</v>
      </c>
      <c r="J545" s="1478"/>
      <c r="K545" s="1475" t="s">
        <v>971</v>
      </c>
      <c r="L545" s="1474" t="s">
        <v>332</v>
      </c>
      <c r="M545" s="1476" t="s">
        <v>842</v>
      </c>
      <c r="N545" s="1477" t="s">
        <v>1692</v>
      </c>
      <c r="O545" s="1479">
        <v>117</v>
      </c>
      <c r="P545" s="1479"/>
      <c r="Q545" s="1142">
        <f t="shared" si="145"/>
        <v>117</v>
      </c>
      <c r="R545" s="1143">
        <f>IFERROR(VLOOKUP(CONCATENATE(E545,G545),'LAC 103'!$A$12:$O$95,11,FALSE),0)</f>
        <v>3.2074101033884355</v>
      </c>
      <c r="S545" s="1144">
        <f>IFERROR(VLOOKUP(CONCATENATE($E545,$G545),'LAC 103'!$A$12:$O$95,12,FALSE),0)</f>
        <v>3.99</v>
      </c>
      <c r="T545" s="1144">
        <f>IFERROR(VLOOKUP(CONCATENATE($E545,$G545),'LAC 103'!$A$12:$O$95,13,FALSE),0)</f>
        <v>2.48</v>
      </c>
      <c r="U545" s="1144">
        <f>IFERROR(VLOOKUP(CONCATENATE($E545,$G545),'LAC 103'!$A$12:$O$95,14,FALSE),0)</f>
        <v>0</v>
      </c>
      <c r="V545" s="1144">
        <f>IFERROR(VLOOKUP(CONCATENATE($E545,$G545),'LAC 103'!$A$12:$O$95,15,FALSE),0)</f>
        <v>0</v>
      </c>
      <c r="W545" s="1145" t="str">
        <f>IFERROR(VLOOKUP(CONCATENATE($B545,$N545),'LAC 103'!$AI:$AQ,9,FALSE),"")</f>
        <v>Costs</v>
      </c>
      <c r="X545" s="1146">
        <f t="shared" si="150"/>
        <v>3.2074101033884355</v>
      </c>
      <c r="Y545" s="1143">
        <f t="shared" si="151"/>
        <v>375.26698209644695</v>
      </c>
      <c r="Z545" s="1147">
        <f t="shared" si="152"/>
        <v>466.83000000000004</v>
      </c>
      <c r="AA545" s="1144">
        <f t="shared" si="153"/>
        <v>290.16000000000003</v>
      </c>
      <c r="AB545" s="1144">
        <f t="shared" si="154"/>
        <v>0</v>
      </c>
      <c r="AC545" s="1144">
        <f t="shared" si="155"/>
        <v>0</v>
      </c>
      <c r="AD545" s="1148">
        <f t="shared" si="146"/>
        <v>375.26698209644695</v>
      </c>
      <c r="AE545" s="1487">
        <v>0</v>
      </c>
      <c r="AF545" s="1145">
        <f t="shared" si="156"/>
        <v>375.26698209644695</v>
      </c>
      <c r="AG545" s="1149">
        <f>IFERROR(VLOOKUP(CONCATENATE($L545,$N545),'Drop List'!$G$23:$K$87,2,FALSE),0)</f>
        <v>0</v>
      </c>
      <c r="AH545" s="1150">
        <f>IFERROR(VLOOKUP(CONCATENATE($L545,$N545),'Drop List'!$G$23:$K$87,3,FALSE),0)</f>
        <v>0</v>
      </c>
      <c r="AI545" s="1150">
        <f>IFERROR(VLOOKUP(CONCATENATE($L545,$N545),'Drop List'!$G$23:$K$87,4,FALSE),0)</f>
        <v>0</v>
      </c>
      <c r="AJ545" s="1151">
        <f>IFERROR(VLOOKUP(CONCATENATE($L545,$N545),'Drop List'!$G$23:$K$87,5,FALSE),0)</f>
        <v>0</v>
      </c>
      <c r="AK545" s="1152">
        <f t="shared" si="157"/>
        <v>0</v>
      </c>
      <c r="AL545" s="1153">
        <f t="shared" si="158"/>
        <v>0</v>
      </c>
      <c r="AM545" s="1153">
        <f t="shared" si="159"/>
        <v>0</v>
      </c>
      <c r="AN545" s="1145">
        <f t="shared" si="160"/>
        <v>0</v>
      </c>
      <c r="AO545" s="1154">
        <f t="shared" si="161"/>
        <v>0</v>
      </c>
      <c r="AP545" s="1147">
        <f t="shared" si="147"/>
        <v>375.26698209644695</v>
      </c>
      <c r="AQ545" s="1144">
        <f t="shared" si="148"/>
        <v>0</v>
      </c>
      <c r="AR545" s="1146">
        <f t="shared" si="149"/>
        <v>375.26698209644695</v>
      </c>
    </row>
    <row r="546" spans="1:44" x14ac:dyDescent="0.2">
      <c r="A546" s="1141" t="str">
        <f t="shared" si="144"/>
        <v>1510</v>
      </c>
      <c r="B546" s="1141" t="str">
        <f>IFERROR(VLOOKUP(A546,'LAC 103'!A:C,3,FALSE),"")</f>
        <v>OP</v>
      </c>
      <c r="C546" s="1478" t="str">
        <f>Info!$B$8</f>
        <v>00100</v>
      </c>
      <c r="D546" s="1474" t="s">
        <v>256</v>
      </c>
      <c r="E546" s="1474" t="s">
        <v>95</v>
      </c>
      <c r="F546" s="1478" t="s">
        <v>77</v>
      </c>
      <c r="G546" s="1478" t="s">
        <v>77</v>
      </c>
      <c r="H546" s="1474" t="s">
        <v>1656</v>
      </c>
      <c r="I546" s="1478" t="s">
        <v>809</v>
      </c>
      <c r="J546" s="1478"/>
      <c r="K546" s="1475" t="s">
        <v>971</v>
      </c>
      <c r="L546" s="1474" t="s">
        <v>332</v>
      </c>
      <c r="M546" s="1476" t="s">
        <v>1698</v>
      </c>
      <c r="N546" s="1477" t="s">
        <v>1693</v>
      </c>
      <c r="O546" s="1479">
        <v>253</v>
      </c>
      <c r="P546" s="1479"/>
      <c r="Q546" s="1142">
        <f t="shared" si="145"/>
        <v>253</v>
      </c>
      <c r="R546" s="1143">
        <f>IFERROR(VLOOKUP(CONCATENATE(E546,G546),'LAC 103'!$A$12:$O$95,11,FALSE),0)</f>
        <v>3.2074101033884355</v>
      </c>
      <c r="S546" s="1144">
        <f>IFERROR(VLOOKUP(CONCATENATE($E546,$G546),'LAC 103'!$A$12:$O$95,12,FALSE),0)</f>
        <v>3.99</v>
      </c>
      <c r="T546" s="1144">
        <f>IFERROR(VLOOKUP(CONCATENATE($E546,$G546),'LAC 103'!$A$12:$O$95,13,FALSE),0)</f>
        <v>2.48</v>
      </c>
      <c r="U546" s="1144">
        <f>IFERROR(VLOOKUP(CONCATENATE($E546,$G546),'LAC 103'!$A$12:$O$95,14,FALSE),0)</f>
        <v>0</v>
      </c>
      <c r="V546" s="1144">
        <f>IFERROR(VLOOKUP(CONCATENATE($E546,$G546),'LAC 103'!$A$12:$O$95,15,FALSE),0)</f>
        <v>0</v>
      </c>
      <c r="W546" s="1145" t="str">
        <f>IFERROR(VLOOKUP(CONCATENATE($B546,$N546),'LAC 103'!$AI:$AQ,9,FALSE),"")</f>
        <v>Costs</v>
      </c>
      <c r="X546" s="1146">
        <f t="shared" si="150"/>
        <v>3.2074101033884355</v>
      </c>
      <c r="Y546" s="1143">
        <f t="shared" si="151"/>
        <v>811.47475615727421</v>
      </c>
      <c r="Z546" s="1147">
        <f t="shared" si="152"/>
        <v>1009.47</v>
      </c>
      <c r="AA546" s="1144">
        <f t="shared" si="153"/>
        <v>627.43999999999994</v>
      </c>
      <c r="AB546" s="1144">
        <f t="shared" si="154"/>
        <v>0</v>
      </c>
      <c r="AC546" s="1144">
        <f t="shared" si="155"/>
        <v>0</v>
      </c>
      <c r="AD546" s="1148">
        <f t="shared" si="146"/>
        <v>811.47475615727421</v>
      </c>
      <c r="AE546" s="1487">
        <v>0</v>
      </c>
      <c r="AF546" s="1145">
        <f t="shared" si="156"/>
        <v>811.47475615727421</v>
      </c>
      <c r="AG546" s="1149">
        <f>IFERROR(VLOOKUP(CONCATENATE($L546,$N546),'Drop List'!$G$23:$K$87,2,FALSE),0)</f>
        <v>0</v>
      </c>
      <c r="AH546" s="1150">
        <f>IFERROR(VLOOKUP(CONCATENATE($L546,$N546),'Drop List'!$G$23:$K$87,3,FALSE),0)</f>
        <v>0</v>
      </c>
      <c r="AI546" s="1150">
        <f>IFERROR(VLOOKUP(CONCATENATE($L546,$N546),'Drop List'!$G$23:$K$87,4,FALSE),0)</f>
        <v>0</v>
      </c>
      <c r="AJ546" s="1151">
        <f>IFERROR(VLOOKUP(CONCATENATE($L546,$N546),'Drop List'!$G$23:$K$87,5,FALSE),0)</f>
        <v>0</v>
      </c>
      <c r="AK546" s="1152">
        <f t="shared" si="157"/>
        <v>0</v>
      </c>
      <c r="AL546" s="1153">
        <f t="shared" si="158"/>
        <v>0</v>
      </c>
      <c r="AM546" s="1153">
        <f t="shared" si="159"/>
        <v>0</v>
      </c>
      <c r="AN546" s="1145">
        <f t="shared" si="160"/>
        <v>0</v>
      </c>
      <c r="AO546" s="1154">
        <f t="shared" si="161"/>
        <v>0</v>
      </c>
      <c r="AP546" s="1147">
        <f t="shared" si="147"/>
        <v>811.47475615727421</v>
      </c>
      <c r="AQ546" s="1144">
        <f t="shared" si="148"/>
        <v>0</v>
      </c>
      <c r="AR546" s="1146">
        <f t="shared" si="149"/>
        <v>811.47475615727421</v>
      </c>
    </row>
    <row r="547" spans="1:44" x14ac:dyDescent="0.2">
      <c r="A547" s="1141" t="str">
        <f t="shared" si="144"/>
        <v>1510</v>
      </c>
      <c r="B547" s="1141" t="str">
        <f>IFERROR(VLOOKUP(A547,'LAC 103'!A:C,3,FALSE),"")</f>
        <v>OP</v>
      </c>
      <c r="C547" s="1478" t="str">
        <f>Info!$B$8</f>
        <v>00100</v>
      </c>
      <c r="D547" s="1474" t="s">
        <v>256</v>
      </c>
      <c r="E547" s="1474" t="s">
        <v>95</v>
      </c>
      <c r="F547" s="1478" t="s">
        <v>77</v>
      </c>
      <c r="G547" s="1478" t="s">
        <v>77</v>
      </c>
      <c r="H547" s="1474" t="s">
        <v>1656</v>
      </c>
      <c r="I547" s="1478" t="s">
        <v>809</v>
      </c>
      <c r="J547" s="1478"/>
      <c r="K547" s="1475" t="s">
        <v>851</v>
      </c>
      <c r="L547" s="1474" t="s">
        <v>584</v>
      </c>
      <c r="M547" s="1476" t="s">
        <v>1699</v>
      </c>
      <c r="N547" s="1477" t="s">
        <v>1694</v>
      </c>
      <c r="O547" s="1479">
        <v>2734</v>
      </c>
      <c r="P547" s="1479"/>
      <c r="Q547" s="1142">
        <f t="shared" si="145"/>
        <v>2734</v>
      </c>
      <c r="R547" s="1143">
        <f>IFERROR(VLOOKUP(CONCATENATE(E547,G547),'LAC 103'!$A$12:$O$95,11,FALSE),0)</f>
        <v>3.2074101033884355</v>
      </c>
      <c r="S547" s="1144">
        <f>IFERROR(VLOOKUP(CONCATENATE($E547,$G547),'LAC 103'!$A$12:$O$95,12,FALSE),0)</f>
        <v>3.99</v>
      </c>
      <c r="T547" s="1144">
        <f>IFERROR(VLOOKUP(CONCATENATE($E547,$G547),'LAC 103'!$A$12:$O$95,13,FALSE),0)</f>
        <v>2.48</v>
      </c>
      <c r="U547" s="1144">
        <f>IFERROR(VLOOKUP(CONCATENATE($E547,$G547),'LAC 103'!$A$12:$O$95,14,FALSE),0)</f>
        <v>0</v>
      </c>
      <c r="V547" s="1144">
        <f>IFERROR(VLOOKUP(CONCATENATE($E547,$G547),'LAC 103'!$A$12:$O$95,15,FALSE),0)</f>
        <v>0</v>
      </c>
      <c r="W547" s="1145" t="str">
        <f>IFERROR(VLOOKUP(CONCATENATE($B547,$N547),'LAC 103'!$AI:$AQ,9,FALSE),"")</f>
        <v>Costs</v>
      </c>
      <c r="X547" s="1146">
        <f t="shared" si="150"/>
        <v>3.2074101033884355</v>
      </c>
      <c r="Y547" s="1143">
        <f t="shared" si="151"/>
        <v>8769.0592226639819</v>
      </c>
      <c r="Z547" s="1147">
        <f t="shared" si="152"/>
        <v>10908.66</v>
      </c>
      <c r="AA547" s="1144">
        <f t="shared" si="153"/>
        <v>6780.32</v>
      </c>
      <c r="AB547" s="1144">
        <f t="shared" si="154"/>
        <v>0</v>
      </c>
      <c r="AC547" s="1144">
        <f t="shared" si="155"/>
        <v>0</v>
      </c>
      <c r="AD547" s="1148">
        <f t="shared" si="146"/>
        <v>8769.0592226639819</v>
      </c>
      <c r="AE547" s="1487">
        <v>0</v>
      </c>
      <c r="AF547" s="1145">
        <f t="shared" si="156"/>
        <v>8769.0592226639819</v>
      </c>
      <c r="AG547" s="1149">
        <f>IFERROR(VLOOKUP(CONCATENATE($L547,$N547),'Drop List'!$G$23:$K$87,2,FALSE),0)</f>
        <v>0.56200000000000006</v>
      </c>
      <c r="AH547" s="1150">
        <f>IFERROR(VLOOKUP(CONCATENATE($L547,$N547),'Drop List'!$G$23:$K$87,3,FALSE),0)</f>
        <v>0</v>
      </c>
      <c r="AI547" s="1150">
        <f>IFERROR(VLOOKUP(CONCATENATE($L547,$N547),'Drop List'!$G$23:$K$87,4,FALSE),0)</f>
        <v>0</v>
      </c>
      <c r="AJ547" s="1151">
        <f>IFERROR(VLOOKUP(CONCATENATE($L547,$N547),'Drop List'!$G$23:$K$87,5,FALSE),0)</f>
        <v>0.43799999999999994</v>
      </c>
      <c r="AK547" s="1152">
        <f t="shared" si="157"/>
        <v>4928.2112831371587</v>
      </c>
      <c r="AL547" s="1153">
        <f t="shared" si="158"/>
        <v>0</v>
      </c>
      <c r="AM547" s="1153">
        <f t="shared" si="159"/>
        <v>0</v>
      </c>
      <c r="AN547" s="1145">
        <f t="shared" si="160"/>
        <v>3840.8479395268237</v>
      </c>
      <c r="AO547" s="1154">
        <f t="shared" si="161"/>
        <v>8769.0592226639819</v>
      </c>
      <c r="AP547" s="1147">
        <f t="shared" si="147"/>
        <v>0</v>
      </c>
      <c r="AQ547" s="1144">
        <f t="shared" si="148"/>
        <v>0</v>
      </c>
      <c r="AR547" s="1146">
        <f t="shared" si="149"/>
        <v>8769.0592226639819</v>
      </c>
    </row>
    <row r="548" spans="1:44" x14ac:dyDescent="0.2">
      <c r="A548" s="1141" t="str">
        <f t="shared" si="144"/>
        <v>1510</v>
      </c>
      <c r="B548" s="1141" t="str">
        <f>IFERROR(VLOOKUP(A548,'LAC 103'!A:C,3,FALSE),"")</f>
        <v>OP</v>
      </c>
      <c r="C548" s="1478" t="str">
        <f>Info!$B$8</f>
        <v>00100</v>
      </c>
      <c r="D548" s="1474" t="s">
        <v>256</v>
      </c>
      <c r="E548" s="1474" t="s">
        <v>95</v>
      </c>
      <c r="F548" s="1478" t="s">
        <v>77</v>
      </c>
      <c r="G548" s="1478" t="s">
        <v>77</v>
      </c>
      <c r="H548" s="1474" t="s">
        <v>1656</v>
      </c>
      <c r="I548" s="1478" t="s">
        <v>809</v>
      </c>
      <c r="J548" s="1478"/>
      <c r="K548" s="1475" t="s">
        <v>851</v>
      </c>
      <c r="L548" s="1474" t="s">
        <v>584</v>
      </c>
      <c r="M548" s="1476" t="s">
        <v>841</v>
      </c>
      <c r="N548" s="1477" t="s">
        <v>1695</v>
      </c>
      <c r="O548" s="1479">
        <v>1539</v>
      </c>
      <c r="P548" s="1479"/>
      <c r="Q548" s="1142">
        <f t="shared" si="145"/>
        <v>1539</v>
      </c>
      <c r="R548" s="1143">
        <f>IFERROR(VLOOKUP(CONCATENATE(E548,G548),'LAC 103'!$A$12:$O$95,11,FALSE),0)</f>
        <v>3.2074101033884355</v>
      </c>
      <c r="S548" s="1144">
        <f>IFERROR(VLOOKUP(CONCATENATE($E548,$G548),'LAC 103'!$A$12:$O$95,12,FALSE),0)</f>
        <v>3.99</v>
      </c>
      <c r="T548" s="1144">
        <f>IFERROR(VLOOKUP(CONCATENATE($E548,$G548),'LAC 103'!$A$12:$O$95,13,FALSE),0)</f>
        <v>2.48</v>
      </c>
      <c r="U548" s="1144">
        <f>IFERROR(VLOOKUP(CONCATENATE($E548,$G548),'LAC 103'!$A$12:$O$95,14,FALSE),0)</f>
        <v>0</v>
      </c>
      <c r="V548" s="1144">
        <f>IFERROR(VLOOKUP(CONCATENATE($E548,$G548),'LAC 103'!$A$12:$O$95,15,FALSE),0)</f>
        <v>0</v>
      </c>
      <c r="W548" s="1145" t="str">
        <f>IFERROR(VLOOKUP(CONCATENATE($B548,$N548),'LAC 103'!$AI:$AQ,9,FALSE),"")</f>
        <v>Costs</v>
      </c>
      <c r="X548" s="1146">
        <f t="shared" si="150"/>
        <v>3.2074101033884355</v>
      </c>
      <c r="Y548" s="1143">
        <f t="shared" si="151"/>
        <v>4936.204149114802</v>
      </c>
      <c r="Z548" s="1147">
        <f t="shared" si="152"/>
        <v>6140.6100000000006</v>
      </c>
      <c r="AA548" s="1144">
        <f t="shared" si="153"/>
        <v>3816.72</v>
      </c>
      <c r="AB548" s="1144">
        <f t="shared" si="154"/>
        <v>0</v>
      </c>
      <c r="AC548" s="1144">
        <f t="shared" si="155"/>
        <v>0</v>
      </c>
      <c r="AD548" s="1148">
        <f t="shared" si="146"/>
        <v>4936.204149114802</v>
      </c>
      <c r="AE548" s="1487">
        <v>0</v>
      </c>
      <c r="AF548" s="1145">
        <f t="shared" si="156"/>
        <v>4936.204149114802</v>
      </c>
      <c r="AG548" s="1149">
        <f>IFERROR(VLOOKUP(CONCATENATE($L548,$N548),'Drop List'!$G$23:$K$87,2,FALSE),0)</f>
        <v>0.55000000000000004</v>
      </c>
      <c r="AH548" s="1150">
        <f>IFERROR(VLOOKUP(CONCATENATE($L548,$N548),'Drop List'!$G$23:$K$87,3,FALSE),0)</f>
        <v>0</v>
      </c>
      <c r="AI548" s="1150">
        <f>IFERROR(VLOOKUP(CONCATENATE($L548,$N548),'Drop List'!$G$23:$K$87,4,FALSE),0)</f>
        <v>0</v>
      </c>
      <c r="AJ548" s="1151">
        <f>IFERROR(VLOOKUP(CONCATENATE($L548,$N548),'Drop List'!$G$23:$K$87,5,FALSE),0)</f>
        <v>0.44999999999999996</v>
      </c>
      <c r="AK548" s="1152">
        <f t="shared" si="157"/>
        <v>2714.9122820131415</v>
      </c>
      <c r="AL548" s="1153">
        <f t="shared" si="158"/>
        <v>0</v>
      </c>
      <c r="AM548" s="1153">
        <f t="shared" si="159"/>
        <v>0</v>
      </c>
      <c r="AN548" s="1145">
        <f t="shared" si="160"/>
        <v>2221.2918671016605</v>
      </c>
      <c r="AO548" s="1154">
        <f t="shared" si="161"/>
        <v>4936.204149114802</v>
      </c>
      <c r="AP548" s="1147">
        <f t="shared" si="147"/>
        <v>0</v>
      </c>
      <c r="AQ548" s="1144">
        <f t="shared" si="148"/>
        <v>0</v>
      </c>
      <c r="AR548" s="1146">
        <f t="shared" si="149"/>
        <v>4936.204149114802</v>
      </c>
    </row>
    <row r="549" spans="1:44" x14ac:dyDescent="0.2">
      <c r="A549" s="1141" t="str">
        <f t="shared" si="144"/>
        <v>1510</v>
      </c>
      <c r="B549" s="1141" t="str">
        <f>IFERROR(VLOOKUP(A549,'LAC 103'!A:C,3,FALSE),"")</f>
        <v>OP</v>
      </c>
      <c r="C549" s="1478" t="str">
        <f>Info!$B$8</f>
        <v>00100</v>
      </c>
      <c r="D549" s="1474" t="s">
        <v>256</v>
      </c>
      <c r="E549" s="1474" t="s">
        <v>95</v>
      </c>
      <c r="F549" s="1478" t="s">
        <v>77</v>
      </c>
      <c r="G549" s="1478" t="s">
        <v>77</v>
      </c>
      <c r="H549" s="1474" t="s">
        <v>1656</v>
      </c>
      <c r="I549" s="1478" t="s">
        <v>809</v>
      </c>
      <c r="J549" s="1478"/>
      <c r="K549" s="1475" t="s">
        <v>851</v>
      </c>
      <c r="L549" s="1474" t="s">
        <v>584</v>
      </c>
      <c r="M549" s="1476" t="s">
        <v>840</v>
      </c>
      <c r="N549" s="1477" t="s">
        <v>1700</v>
      </c>
      <c r="O549" s="1479">
        <v>1640</v>
      </c>
      <c r="P549" s="1479"/>
      <c r="Q549" s="1142">
        <f t="shared" si="145"/>
        <v>1640</v>
      </c>
      <c r="R549" s="1143">
        <f>IFERROR(VLOOKUP(CONCATENATE(E549,G549),'LAC 103'!$A$12:$O$95,11,FALSE),0)</f>
        <v>3.2074101033884355</v>
      </c>
      <c r="S549" s="1144">
        <f>IFERROR(VLOOKUP(CONCATENATE($E549,$G549),'LAC 103'!$A$12:$O$95,12,FALSE),0)</f>
        <v>3.99</v>
      </c>
      <c r="T549" s="1144">
        <f>IFERROR(VLOOKUP(CONCATENATE($E549,$G549),'LAC 103'!$A$12:$O$95,13,FALSE),0)</f>
        <v>2.48</v>
      </c>
      <c r="U549" s="1144">
        <f>IFERROR(VLOOKUP(CONCATENATE($E549,$G549),'LAC 103'!$A$12:$O$95,14,FALSE),0)</f>
        <v>0</v>
      </c>
      <c r="V549" s="1144">
        <f>IFERROR(VLOOKUP(CONCATENATE($E549,$G549),'LAC 103'!$A$12:$O$95,15,FALSE),0)</f>
        <v>0</v>
      </c>
      <c r="W549" s="1145" t="str">
        <f>IFERROR(VLOOKUP(CONCATENATE($B549,$N549),'LAC 103'!$AI:$AQ,9,FALSE),"")</f>
        <v>P.C.</v>
      </c>
      <c r="X549" s="1146">
        <f t="shared" si="150"/>
        <v>2.48</v>
      </c>
      <c r="Y549" s="1143">
        <f t="shared" si="151"/>
        <v>5260.1525695570344</v>
      </c>
      <c r="Z549" s="1147">
        <f t="shared" si="152"/>
        <v>6543.6</v>
      </c>
      <c r="AA549" s="1144">
        <f t="shared" si="153"/>
        <v>4067.2</v>
      </c>
      <c r="AB549" s="1144">
        <f t="shared" si="154"/>
        <v>0</v>
      </c>
      <c r="AC549" s="1144">
        <f t="shared" si="155"/>
        <v>0</v>
      </c>
      <c r="AD549" s="1148">
        <f t="shared" si="146"/>
        <v>4067.2</v>
      </c>
      <c r="AE549" s="1487">
        <v>0</v>
      </c>
      <c r="AF549" s="1145">
        <f t="shared" si="156"/>
        <v>4067.2</v>
      </c>
      <c r="AG549" s="1149">
        <f>IFERROR(VLOOKUP(CONCATENATE($L549,$N549),'Drop List'!$G$23:$K$87,2,FALSE),0)</f>
        <v>0.55000000000000004</v>
      </c>
      <c r="AH549" s="1150">
        <f>IFERROR(VLOOKUP(CONCATENATE($L549,$N549),'Drop List'!$G$23:$K$87,3,FALSE),0)</f>
        <v>0</v>
      </c>
      <c r="AI549" s="1150">
        <f>IFERROR(VLOOKUP(CONCATENATE($L549,$N549),'Drop List'!$G$23:$K$87,4,FALSE),0)</f>
        <v>0</v>
      </c>
      <c r="AJ549" s="1151">
        <f>IFERROR(VLOOKUP(CONCATENATE($L549,$N549),'Drop List'!$G$23:$K$87,5,FALSE),0)</f>
        <v>0.44999999999999996</v>
      </c>
      <c r="AK549" s="1152">
        <f t="shared" si="157"/>
        <v>2236.96</v>
      </c>
      <c r="AL549" s="1153">
        <f t="shared" si="158"/>
        <v>0</v>
      </c>
      <c r="AM549" s="1153">
        <f t="shared" si="159"/>
        <v>0</v>
      </c>
      <c r="AN549" s="1145">
        <f t="shared" si="160"/>
        <v>1830.2399999999998</v>
      </c>
      <c r="AO549" s="1154">
        <f t="shared" si="161"/>
        <v>4067.2</v>
      </c>
      <c r="AP549" s="1147">
        <f t="shared" si="147"/>
        <v>0</v>
      </c>
      <c r="AQ549" s="1144">
        <f t="shared" si="148"/>
        <v>0</v>
      </c>
      <c r="AR549" s="1146">
        <f t="shared" si="149"/>
        <v>4067.2</v>
      </c>
    </row>
    <row r="550" spans="1:44" x14ac:dyDescent="0.2">
      <c r="A550" s="1141" t="str">
        <f t="shared" si="144"/>
        <v>1510</v>
      </c>
      <c r="B550" s="1141" t="str">
        <f>IFERROR(VLOOKUP(A550,'LAC 103'!A:C,3,FALSE),"")</f>
        <v>OP</v>
      </c>
      <c r="C550" s="1478" t="str">
        <f>Info!$B$8</f>
        <v>00100</v>
      </c>
      <c r="D550" s="1474" t="s">
        <v>256</v>
      </c>
      <c r="E550" s="1474" t="s">
        <v>95</v>
      </c>
      <c r="F550" s="1478" t="s">
        <v>77</v>
      </c>
      <c r="G550" s="1478" t="s">
        <v>77</v>
      </c>
      <c r="H550" s="1474" t="s">
        <v>1656</v>
      </c>
      <c r="I550" s="1478" t="s">
        <v>809</v>
      </c>
      <c r="J550" s="1478"/>
      <c r="K550" s="1475" t="s">
        <v>851</v>
      </c>
      <c r="L550" s="1474" t="s">
        <v>584</v>
      </c>
      <c r="M550" s="1476" t="s">
        <v>842</v>
      </c>
      <c r="N550" s="1477" t="s">
        <v>1692</v>
      </c>
      <c r="O550" s="1479">
        <v>4037</v>
      </c>
      <c r="P550" s="1479"/>
      <c r="Q550" s="1142">
        <f t="shared" si="145"/>
        <v>4037</v>
      </c>
      <c r="R550" s="1143">
        <f>IFERROR(VLOOKUP(CONCATENATE(E550,G550),'LAC 103'!$A$12:$O$95,11,FALSE),0)</f>
        <v>3.2074101033884355</v>
      </c>
      <c r="S550" s="1144">
        <f>IFERROR(VLOOKUP(CONCATENATE($E550,$G550),'LAC 103'!$A$12:$O$95,12,FALSE),0)</f>
        <v>3.99</v>
      </c>
      <c r="T550" s="1144">
        <f>IFERROR(VLOOKUP(CONCATENATE($E550,$G550),'LAC 103'!$A$12:$O$95,13,FALSE),0)</f>
        <v>2.48</v>
      </c>
      <c r="U550" s="1144">
        <f>IFERROR(VLOOKUP(CONCATENATE($E550,$G550),'LAC 103'!$A$12:$O$95,14,FALSE),0)</f>
        <v>0</v>
      </c>
      <c r="V550" s="1144">
        <f>IFERROR(VLOOKUP(CONCATENATE($E550,$G550),'LAC 103'!$A$12:$O$95,15,FALSE),0)</f>
        <v>0</v>
      </c>
      <c r="W550" s="1145" t="str">
        <f>IFERROR(VLOOKUP(CONCATENATE($B550,$N550),'LAC 103'!$AI:$AQ,9,FALSE),"")</f>
        <v>Costs</v>
      </c>
      <c r="X550" s="1146">
        <f t="shared" si="150"/>
        <v>3.2074101033884355</v>
      </c>
      <c r="Y550" s="1143">
        <f t="shared" si="151"/>
        <v>12948.314587379115</v>
      </c>
      <c r="Z550" s="1147">
        <f t="shared" si="152"/>
        <v>16107.630000000001</v>
      </c>
      <c r="AA550" s="1144">
        <f t="shared" si="153"/>
        <v>10011.76</v>
      </c>
      <c r="AB550" s="1144">
        <f t="shared" si="154"/>
        <v>0</v>
      </c>
      <c r="AC550" s="1144">
        <f t="shared" si="155"/>
        <v>0</v>
      </c>
      <c r="AD550" s="1148">
        <f t="shared" si="146"/>
        <v>12948.314587379115</v>
      </c>
      <c r="AE550" s="1487">
        <v>0</v>
      </c>
      <c r="AF550" s="1145">
        <f t="shared" si="156"/>
        <v>12948.314587379115</v>
      </c>
      <c r="AG550" s="1149">
        <f>IFERROR(VLOOKUP(CONCATENATE($L550,$N550),'Drop List'!$G$23:$K$87,2,FALSE),0)</f>
        <v>0.56200000000000006</v>
      </c>
      <c r="AH550" s="1150">
        <f>IFERROR(VLOOKUP(CONCATENATE($L550,$N550),'Drop List'!$G$23:$K$87,3,FALSE),0)</f>
        <v>0</v>
      </c>
      <c r="AI550" s="1150">
        <f>IFERROR(VLOOKUP(CONCATENATE($L550,$N550),'Drop List'!$G$23:$K$87,4,FALSE),0)</f>
        <v>0</v>
      </c>
      <c r="AJ550" s="1151">
        <f>IFERROR(VLOOKUP(CONCATENATE($L550,$N550),'Drop List'!$G$23:$K$87,5,FALSE),0)</f>
        <v>0.43799999999999994</v>
      </c>
      <c r="AK550" s="1152">
        <f t="shared" si="157"/>
        <v>7276.9527981070632</v>
      </c>
      <c r="AL550" s="1153">
        <f t="shared" si="158"/>
        <v>0</v>
      </c>
      <c r="AM550" s="1153">
        <f t="shared" si="159"/>
        <v>0</v>
      </c>
      <c r="AN550" s="1145">
        <f t="shared" si="160"/>
        <v>5671.3617892720513</v>
      </c>
      <c r="AO550" s="1154">
        <f t="shared" si="161"/>
        <v>12948.314587379115</v>
      </c>
      <c r="AP550" s="1147">
        <f t="shared" si="147"/>
        <v>0</v>
      </c>
      <c r="AQ550" s="1144">
        <f t="shared" si="148"/>
        <v>0</v>
      </c>
      <c r="AR550" s="1146">
        <f t="shared" si="149"/>
        <v>12948.314587379115</v>
      </c>
    </row>
    <row r="551" spans="1:44" x14ac:dyDescent="0.2">
      <c r="A551" s="1141" t="str">
        <f t="shared" si="144"/>
        <v>1510</v>
      </c>
      <c r="B551" s="1141" t="str">
        <f>IFERROR(VLOOKUP(A551,'LAC 103'!A:C,3,FALSE),"")</f>
        <v>OP</v>
      </c>
      <c r="C551" s="1478" t="str">
        <f>Info!$B$8</f>
        <v>00100</v>
      </c>
      <c r="D551" s="1474" t="s">
        <v>256</v>
      </c>
      <c r="E551" s="1474" t="s">
        <v>95</v>
      </c>
      <c r="F551" s="1478" t="s">
        <v>77</v>
      </c>
      <c r="G551" s="1478" t="s">
        <v>77</v>
      </c>
      <c r="H551" s="1474" t="s">
        <v>1656</v>
      </c>
      <c r="I551" s="1478" t="s">
        <v>809</v>
      </c>
      <c r="J551" s="1478"/>
      <c r="K551" s="1475" t="s">
        <v>851</v>
      </c>
      <c r="L551" s="1474" t="s">
        <v>584</v>
      </c>
      <c r="M551" s="1476" t="s">
        <v>1698</v>
      </c>
      <c r="N551" s="1477" t="s">
        <v>1693</v>
      </c>
      <c r="O551" s="1479">
        <v>3267</v>
      </c>
      <c r="P551" s="1479"/>
      <c r="Q551" s="1142">
        <f t="shared" si="145"/>
        <v>3267</v>
      </c>
      <c r="R551" s="1143">
        <f>IFERROR(VLOOKUP(CONCATENATE(E551,G551),'LAC 103'!$A$12:$O$95,11,FALSE),0)</f>
        <v>3.2074101033884355</v>
      </c>
      <c r="S551" s="1144">
        <f>IFERROR(VLOOKUP(CONCATENATE($E551,$G551),'LAC 103'!$A$12:$O$95,12,FALSE),0)</f>
        <v>3.99</v>
      </c>
      <c r="T551" s="1144">
        <f>IFERROR(VLOOKUP(CONCATENATE($E551,$G551),'LAC 103'!$A$12:$O$95,13,FALSE),0)</f>
        <v>2.48</v>
      </c>
      <c r="U551" s="1144">
        <f>IFERROR(VLOOKUP(CONCATENATE($E551,$G551),'LAC 103'!$A$12:$O$95,14,FALSE),0)</f>
        <v>0</v>
      </c>
      <c r="V551" s="1144">
        <f>IFERROR(VLOOKUP(CONCATENATE($E551,$G551),'LAC 103'!$A$12:$O$95,15,FALSE),0)</f>
        <v>0</v>
      </c>
      <c r="W551" s="1145" t="str">
        <f>IFERROR(VLOOKUP(CONCATENATE($B551,$N551),'LAC 103'!$AI:$AQ,9,FALSE),"")</f>
        <v>Costs</v>
      </c>
      <c r="X551" s="1146">
        <f t="shared" si="150"/>
        <v>3.2074101033884355</v>
      </c>
      <c r="Y551" s="1143">
        <f t="shared" si="151"/>
        <v>10478.608807770019</v>
      </c>
      <c r="Z551" s="1147">
        <f t="shared" si="152"/>
        <v>13035.33</v>
      </c>
      <c r="AA551" s="1144">
        <f t="shared" si="153"/>
        <v>8102.16</v>
      </c>
      <c r="AB551" s="1144">
        <f t="shared" si="154"/>
        <v>0</v>
      </c>
      <c r="AC551" s="1144">
        <f t="shared" si="155"/>
        <v>0</v>
      </c>
      <c r="AD551" s="1148">
        <f t="shared" si="146"/>
        <v>10478.608807770019</v>
      </c>
      <c r="AE551" s="1487">
        <v>0</v>
      </c>
      <c r="AF551" s="1145">
        <f t="shared" si="156"/>
        <v>10478.608807770019</v>
      </c>
      <c r="AG551" s="1149">
        <f>IFERROR(VLOOKUP(CONCATENATE($L551,$N551),'Drop List'!$G$23:$K$87,2,FALSE),0)</f>
        <v>0.56200000000000006</v>
      </c>
      <c r="AH551" s="1150">
        <f>IFERROR(VLOOKUP(CONCATENATE($L551,$N551),'Drop List'!$G$23:$K$87,3,FALSE),0)</f>
        <v>0</v>
      </c>
      <c r="AI551" s="1150">
        <f>IFERROR(VLOOKUP(CONCATENATE($L551,$N551),'Drop List'!$G$23:$K$87,4,FALSE),0)</f>
        <v>0</v>
      </c>
      <c r="AJ551" s="1151">
        <f>IFERROR(VLOOKUP(CONCATENATE($L551,$N551),'Drop List'!$G$23:$K$87,5,FALSE),0)</f>
        <v>0.43799999999999994</v>
      </c>
      <c r="AK551" s="1152">
        <f t="shared" si="157"/>
        <v>5888.9781499667515</v>
      </c>
      <c r="AL551" s="1153">
        <f t="shared" si="158"/>
        <v>0</v>
      </c>
      <c r="AM551" s="1153">
        <f t="shared" si="159"/>
        <v>0</v>
      </c>
      <c r="AN551" s="1145">
        <f t="shared" si="160"/>
        <v>4589.6306578032672</v>
      </c>
      <c r="AO551" s="1154">
        <f t="shared" si="161"/>
        <v>10478.608807770019</v>
      </c>
      <c r="AP551" s="1147">
        <f t="shared" si="147"/>
        <v>0</v>
      </c>
      <c r="AQ551" s="1144">
        <f t="shared" si="148"/>
        <v>0</v>
      </c>
      <c r="AR551" s="1146">
        <f t="shared" si="149"/>
        <v>10478.608807770019</v>
      </c>
    </row>
    <row r="552" spans="1:44" x14ac:dyDescent="0.2">
      <c r="A552" s="1141" t="str">
        <f t="shared" si="144"/>
        <v>1510</v>
      </c>
      <c r="B552" s="1141" t="str">
        <f>IFERROR(VLOOKUP(A552,'LAC 103'!A:C,3,FALSE),"")</f>
        <v>OP</v>
      </c>
      <c r="C552" s="1478" t="str">
        <f>Info!$B$8</f>
        <v>00100</v>
      </c>
      <c r="D552" s="1474" t="s">
        <v>256</v>
      </c>
      <c r="E552" s="1474" t="s">
        <v>95</v>
      </c>
      <c r="F552" s="1478" t="s">
        <v>77</v>
      </c>
      <c r="G552" s="1478" t="s">
        <v>77</v>
      </c>
      <c r="H552" s="1474" t="s">
        <v>1658</v>
      </c>
      <c r="I552" s="1478" t="s">
        <v>807</v>
      </c>
      <c r="J552" s="1478" t="s">
        <v>123</v>
      </c>
      <c r="K552" s="1475" t="s">
        <v>849</v>
      </c>
      <c r="L552" s="1474" t="s">
        <v>77</v>
      </c>
      <c r="M552" s="1476" t="s">
        <v>1699</v>
      </c>
      <c r="N552" s="1477" t="s">
        <v>1694</v>
      </c>
      <c r="O552" s="1479">
        <v>1564</v>
      </c>
      <c r="P552" s="1479"/>
      <c r="Q552" s="1142">
        <f t="shared" si="145"/>
        <v>1564</v>
      </c>
      <c r="R552" s="1143">
        <f>IFERROR(VLOOKUP(CONCATENATE(E552,G552),'LAC 103'!$A$12:$O$95,11,FALSE),0)</f>
        <v>3.2074101033884355</v>
      </c>
      <c r="S552" s="1144">
        <f>IFERROR(VLOOKUP(CONCATENATE($E552,$G552),'LAC 103'!$A$12:$O$95,12,FALSE),0)</f>
        <v>3.99</v>
      </c>
      <c r="T552" s="1144">
        <f>IFERROR(VLOOKUP(CONCATENATE($E552,$G552),'LAC 103'!$A$12:$O$95,13,FALSE),0)</f>
        <v>2.48</v>
      </c>
      <c r="U552" s="1144">
        <f>IFERROR(VLOOKUP(CONCATENATE($E552,$G552),'LAC 103'!$A$12:$O$95,14,FALSE),0)</f>
        <v>0</v>
      </c>
      <c r="V552" s="1144">
        <f>IFERROR(VLOOKUP(CONCATENATE($E552,$G552),'LAC 103'!$A$12:$O$95,15,FALSE),0)</f>
        <v>0</v>
      </c>
      <c r="W552" s="1145" t="str">
        <f>IFERROR(VLOOKUP(CONCATENATE($B552,$N552),'LAC 103'!$AI:$AQ,9,FALSE),"")</f>
        <v>Costs</v>
      </c>
      <c r="X552" s="1146">
        <f t="shared" si="150"/>
        <v>3.2074101033884355</v>
      </c>
      <c r="Y552" s="1143">
        <f t="shared" si="151"/>
        <v>5016.3894016995127</v>
      </c>
      <c r="Z552" s="1147">
        <f t="shared" si="152"/>
        <v>6240.3600000000006</v>
      </c>
      <c r="AA552" s="1144">
        <f t="shared" si="153"/>
        <v>3878.72</v>
      </c>
      <c r="AB552" s="1144">
        <f t="shared" si="154"/>
        <v>0</v>
      </c>
      <c r="AC552" s="1144">
        <f t="shared" si="155"/>
        <v>0</v>
      </c>
      <c r="AD552" s="1148">
        <f t="shared" si="146"/>
        <v>5016.3894016995127</v>
      </c>
      <c r="AE552" s="1487">
        <v>0</v>
      </c>
      <c r="AF552" s="1145">
        <f t="shared" si="156"/>
        <v>5016.3894016995127</v>
      </c>
      <c r="AG552" s="1149">
        <f>IFERROR(VLOOKUP(CONCATENATE($L552,$N552),'Drop List'!$G$23:$K$87,2,FALSE),0)</f>
        <v>0.9</v>
      </c>
      <c r="AH552" s="1150">
        <f>IFERROR(VLOOKUP(CONCATENATE($L552,$N552),'Drop List'!$G$23:$K$87,3,FALSE),0)</f>
        <v>0</v>
      </c>
      <c r="AI552" s="1150">
        <f>IFERROR(VLOOKUP(CONCATENATE($L552,$N552),'Drop List'!$G$23:$K$87,4,FALSE),0)</f>
        <v>0.1</v>
      </c>
      <c r="AJ552" s="1151">
        <f>IFERROR(VLOOKUP(CONCATENATE($L552,$N552),'Drop List'!$G$23:$K$87,5,FALSE),0)</f>
        <v>0</v>
      </c>
      <c r="AK552" s="1152">
        <f t="shared" si="157"/>
        <v>4514.750461529562</v>
      </c>
      <c r="AL552" s="1153">
        <f t="shared" si="158"/>
        <v>0</v>
      </c>
      <c r="AM552" s="1153">
        <f t="shared" si="159"/>
        <v>501.6389401699513</v>
      </c>
      <c r="AN552" s="1145">
        <f t="shared" si="160"/>
        <v>0</v>
      </c>
      <c r="AO552" s="1154">
        <f t="shared" si="161"/>
        <v>5016.3894016995137</v>
      </c>
      <c r="AP552" s="1147">
        <f t="shared" si="147"/>
        <v>0</v>
      </c>
      <c r="AQ552" s="1144">
        <f t="shared" si="148"/>
        <v>0</v>
      </c>
      <c r="AR552" s="1146">
        <f t="shared" si="149"/>
        <v>5016.3894016995137</v>
      </c>
    </row>
    <row r="553" spans="1:44" x14ac:dyDescent="0.2">
      <c r="A553" s="1141" t="str">
        <f t="shared" si="144"/>
        <v>1510</v>
      </c>
      <c r="B553" s="1141" t="str">
        <f>IFERROR(VLOOKUP(A553,'LAC 103'!A:C,3,FALSE),"")</f>
        <v>OP</v>
      </c>
      <c r="C553" s="1478" t="str">
        <f>Info!$B$8</f>
        <v>00100</v>
      </c>
      <c r="D553" s="1474" t="s">
        <v>256</v>
      </c>
      <c r="E553" s="1474" t="s">
        <v>95</v>
      </c>
      <c r="F553" s="1478" t="s">
        <v>77</v>
      </c>
      <c r="G553" s="1478" t="s">
        <v>77</v>
      </c>
      <c r="H553" s="1474" t="s">
        <v>1658</v>
      </c>
      <c r="I553" s="1478" t="s">
        <v>807</v>
      </c>
      <c r="J553" s="1478"/>
      <c r="K553" s="1475" t="s">
        <v>849</v>
      </c>
      <c r="L553" s="1474" t="s">
        <v>77</v>
      </c>
      <c r="M553" s="1476" t="s">
        <v>841</v>
      </c>
      <c r="N553" s="1477" t="s">
        <v>1695</v>
      </c>
      <c r="O553" s="1479">
        <v>758</v>
      </c>
      <c r="P553" s="1479"/>
      <c r="Q553" s="1142">
        <f t="shared" si="145"/>
        <v>758</v>
      </c>
      <c r="R553" s="1143">
        <f>IFERROR(VLOOKUP(CONCATENATE(E553,G553),'LAC 103'!$A$12:$O$95,11,FALSE),0)</f>
        <v>3.2074101033884355</v>
      </c>
      <c r="S553" s="1144">
        <f>IFERROR(VLOOKUP(CONCATENATE($E553,$G553),'LAC 103'!$A$12:$O$95,12,FALSE),0)</f>
        <v>3.99</v>
      </c>
      <c r="T553" s="1144">
        <f>IFERROR(VLOOKUP(CONCATENATE($E553,$G553),'LAC 103'!$A$12:$O$95,13,FALSE),0)</f>
        <v>2.48</v>
      </c>
      <c r="U553" s="1144">
        <f>IFERROR(VLOOKUP(CONCATENATE($E553,$G553),'LAC 103'!$A$12:$O$95,14,FALSE),0)</f>
        <v>0</v>
      </c>
      <c r="V553" s="1144">
        <f>IFERROR(VLOOKUP(CONCATENATE($E553,$G553),'LAC 103'!$A$12:$O$95,15,FALSE),0)</f>
        <v>0</v>
      </c>
      <c r="W553" s="1145" t="str">
        <f>IFERROR(VLOOKUP(CONCATENATE($B553,$N553),'LAC 103'!$AI:$AQ,9,FALSE),"")</f>
        <v>Costs</v>
      </c>
      <c r="X553" s="1146">
        <f t="shared" si="150"/>
        <v>3.2074101033884355</v>
      </c>
      <c r="Y553" s="1143">
        <f t="shared" si="151"/>
        <v>2431.2168583684343</v>
      </c>
      <c r="Z553" s="1147">
        <f t="shared" si="152"/>
        <v>3024.42</v>
      </c>
      <c r="AA553" s="1144">
        <f t="shared" si="153"/>
        <v>1879.84</v>
      </c>
      <c r="AB553" s="1144">
        <f t="shared" si="154"/>
        <v>0</v>
      </c>
      <c r="AC553" s="1144">
        <f t="shared" si="155"/>
        <v>0</v>
      </c>
      <c r="AD553" s="1148">
        <f t="shared" si="146"/>
        <v>2431.2168583684343</v>
      </c>
      <c r="AE553" s="1487">
        <v>0</v>
      </c>
      <c r="AF553" s="1145">
        <f t="shared" si="156"/>
        <v>2431.2168583684343</v>
      </c>
      <c r="AG553" s="1149">
        <f>IFERROR(VLOOKUP(CONCATENATE($L553,$N553),'Drop List'!$G$23:$K$87,2,FALSE),0)</f>
        <v>0.9</v>
      </c>
      <c r="AH553" s="1150">
        <f>IFERROR(VLOOKUP(CONCATENATE($L553,$N553),'Drop List'!$G$23:$K$87,3,FALSE),0)</f>
        <v>0</v>
      </c>
      <c r="AI553" s="1150">
        <f>IFERROR(VLOOKUP(CONCATENATE($L553,$N553),'Drop List'!$G$23:$K$87,4,FALSE),0)</f>
        <v>0.1</v>
      </c>
      <c r="AJ553" s="1151">
        <f>IFERROR(VLOOKUP(CONCATENATE($L553,$N553),'Drop List'!$G$23:$K$87,5,FALSE),0)</f>
        <v>0</v>
      </c>
      <c r="AK553" s="1152">
        <f t="shared" si="157"/>
        <v>2188.0951725315908</v>
      </c>
      <c r="AL553" s="1153">
        <f t="shared" si="158"/>
        <v>0</v>
      </c>
      <c r="AM553" s="1153">
        <f t="shared" si="159"/>
        <v>243.12168583684343</v>
      </c>
      <c r="AN553" s="1145">
        <f t="shared" si="160"/>
        <v>0</v>
      </c>
      <c r="AO553" s="1154">
        <f t="shared" si="161"/>
        <v>2431.2168583684343</v>
      </c>
      <c r="AP553" s="1147">
        <f t="shared" si="147"/>
        <v>0</v>
      </c>
      <c r="AQ553" s="1144">
        <f t="shared" si="148"/>
        <v>0</v>
      </c>
      <c r="AR553" s="1146">
        <f t="shared" si="149"/>
        <v>2431.2168583684343</v>
      </c>
    </row>
    <row r="554" spans="1:44" x14ac:dyDescent="0.2">
      <c r="A554" s="1141" t="str">
        <f t="shared" si="144"/>
        <v>1510</v>
      </c>
      <c r="B554" s="1141" t="str">
        <f>IFERROR(VLOOKUP(A554,'LAC 103'!A:C,3,FALSE),"")</f>
        <v>OP</v>
      </c>
      <c r="C554" s="1478" t="str">
        <f>Info!$B$8</f>
        <v>00100</v>
      </c>
      <c r="D554" s="1474" t="s">
        <v>256</v>
      </c>
      <c r="E554" s="1474" t="s">
        <v>95</v>
      </c>
      <c r="F554" s="1478" t="s">
        <v>77</v>
      </c>
      <c r="G554" s="1478" t="s">
        <v>77</v>
      </c>
      <c r="H554" s="1474" t="s">
        <v>1658</v>
      </c>
      <c r="I554" s="1478" t="s">
        <v>807</v>
      </c>
      <c r="J554" s="1478"/>
      <c r="K554" s="1475" t="s">
        <v>849</v>
      </c>
      <c r="L554" s="1474" t="s">
        <v>77</v>
      </c>
      <c r="M554" s="1476" t="s">
        <v>840</v>
      </c>
      <c r="N554" s="1477" t="s">
        <v>1700</v>
      </c>
      <c r="O554" s="1479">
        <v>559</v>
      </c>
      <c r="P554" s="1479"/>
      <c r="Q554" s="1142">
        <f t="shared" si="145"/>
        <v>559</v>
      </c>
      <c r="R554" s="1143">
        <f>IFERROR(VLOOKUP(CONCATENATE(E554,G554),'LAC 103'!$A$12:$O$95,11,FALSE),0)</f>
        <v>3.2074101033884355</v>
      </c>
      <c r="S554" s="1144">
        <f>IFERROR(VLOOKUP(CONCATENATE($E554,$G554),'LAC 103'!$A$12:$O$95,12,FALSE),0)</f>
        <v>3.99</v>
      </c>
      <c r="T554" s="1144">
        <f>IFERROR(VLOOKUP(CONCATENATE($E554,$G554),'LAC 103'!$A$12:$O$95,13,FALSE),0)</f>
        <v>2.48</v>
      </c>
      <c r="U554" s="1144">
        <f>IFERROR(VLOOKUP(CONCATENATE($E554,$G554),'LAC 103'!$A$12:$O$95,14,FALSE),0)</f>
        <v>0</v>
      </c>
      <c r="V554" s="1144">
        <f>IFERROR(VLOOKUP(CONCATENATE($E554,$G554),'LAC 103'!$A$12:$O$95,15,FALSE),0)</f>
        <v>0</v>
      </c>
      <c r="W554" s="1145" t="str">
        <f>IFERROR(VLOOKUP(CONCATENATE($B554,$N554),'LAC 103'!$AI:$AQ,9,FALSE),"")</f>
        <v>P.C.</v>
      </c>
      <c r="X554" s="1146">
        <f t="shared" si="150"/>
        <v>2.48</v>
      </c>
      <c r="Y554" s="1143">
        <f t="shared" si="151"/>
        <v>1792.9422477941355</v>
      </c>
      <c r="Z554" s="1147">
        <f t="shared" si="152"/>
        <v>2230.4100000000003</v>
      </c>
      <c r="AA554" s="1144">
        <f t="shared" si="153"/>
        <v>1386.32</v>
      </c>
      <c r="AB554" s="1144">
        <f t="shared" si="154"/>
        <v>0</v>
      </c>
      <c r="AC554" s="1144">
        <f t="shared" si="155"/>
        <v>0</v>
      </c>
      <c r="AD554" s="1148">
        <f t="shared" si="146"/>
        <v>1386.32</v>
      </c>
      <c r="AE554" s="1487">
        <v>0</v>
      </c>
      <c r="AF554" s="1145">
        <f t="shared" si="156"/>
        <v>1386.32</v>
      </c>
      <c r="AG554" s="1149">
        <f>IFERROR(VLOOKUP(CONCATENATE($L554,$N554),'Drop List'!$G$23:$K$87,2,FALSE),0)</f>
        <v>0.9</v>
      </c>
      <c r="AH554" s="1150">
        <f>IFERROR(VLOOKUP(CONCATENATE($L554,$N554),'Drop List'!$G$23:$K$87,3,FALSE),0)</f>
        <v>0</v>
      </c>
      <c r="AI554" s="1150">
        <f>IFERROR(VLOOKUP(CONCATENATE($L554,$N554),'Drop List'!$G$23:$K$87,4,FALSE),0)</f>
        <v>0.1</v>
      </c>
      <c r="AJ554" s="1151">
        <f>IFERROR(VLOOKUP(CONCATENATE($L554,$N554),'Drop List'!$G$23:$K$87,5,FALSE),0)</f>
        <v>0</v>
      </c>
      <c r="AK554" s="1152">
        <f t="shared" si="157"/>
        <v>1247.6879999999999</v>
      </c>
      <c r="AL554" s="1153">
        <f t="shared" si="158"/>
        <v>0</v>
      </c>
      <c r="AM554" s="1153">
        <f t="shared" si="159"/>
        <v>138.63200000000001</v>
      </c>
      <c r="AN554" s="1145">
        <f t="shared" si="160"/>
        <v>0</v>
      </c>
      <c r="AO554" s="1154">
        <f t="shared" si="161"/>
        <v>1386.32</v>
      </c>
      <c r="AP554" s="1147">
        <f t="shared" si="147"/>
        <v>0</v>
      </c>
      <c r="AQ554" s="1144">
        <f t="shared" si="148"/>
        <v>0</v>
      </c>
      <c r="AR554" s="1146">
        <f t="shared" si="149"/>
        <v>1386.32</v>
      </c>
    </row>
    <row r="555" spans="1:44" x14ac:dyDescent="0.2">
      <c r="A555" s="1141" t="str">
        <f t="shared" si="144"/>
        <v>1510</v>
      </c>
      <c r="B555" s="1141" t="str">
        <f>IFERROR(VLOOKUP(A555,'LAC 103'!A:C,3,FALSE),"")</f>
        <v>OP</v>
      </c>
      <c r="C555" s="1478" t="str">
        <f>Info!$B$8</f>
        <v>00100</v>
      </c>
      <c r="D555" s="1474" t="s">
        <v>256</v>
      </c>
      <c r="E555" s="1474" t="s">
        <v>95</v>
      </c>
      <c r="F555" s="1478" t="s">
        <v>77</v>
      </c>
      <c r="G555" s="1478" t="s">
        <v>77</v>
      </c>
      <c r="H555" s="1474" t="s">
        <v>1658</v>
      </c>
      <c r="I555" s="1478" t="s">
        <v>807</v>
      </c>
      <c r="J555" s="1478"/>
      <c r="K555" s="1475" t="s">
        <v>849</v>
      </c>
      <c r="L555" s="1474" t="s">
        <v>77</v>
      </c>
      <c r="M555" s="1476" t="s">
        <v>842</v>
      </c>
      <c r="N555" s="1477" t="s">
        <v>1692</v>
      </c>
      <c r="O555" s="1479">
        <v>2607</v>
      </c>
      <c r="P555" s="1479"/>
      <c r="Q555" s="1142">
        <f t="shared" si="145"/>
        <v>2607</v>
      </c>
      <c r="R555" s="1143">
        <f>IFERROR(VLOOKUP(CONCATENATE(E555,G555),'LAC 103'!$A$12:$O$95,11,FALSE),0)</f>
        <v>3.2074101033884355</v>
      </c>
      <c r="S555" s="1144">
        <f>IFERROR(VLOOKUP(CONCATENATE($E555,$G555),'LAC 103'!$A$12:$O$95,12,FALSE),0)</f>
        <v>3.99</v>
      </c>
      <c r="T555" s="1144">
        <f>IFERROR(VLOOKUP(CONCATENATE($E555,$G555),'LAC 103'!$A$12:$O$95,13,FALSE),0)</f>
        <v>2.48</v>
      </c>
      <c r="U555" s="1144">
        <f>IFERROR(VLOOKUP(CONCATENATE($E555,$G555),'LAC 103'!$A$12:$O$95,14,FALSE),0)</f>
        <v>0</v>
      </c>
      <c r="V555" s="1144">
        <f>IFERROR(VLOOKUP(CONCATENATE($E555,$G555),'LAC 103'!$A$12:$O$95,15,FALSE),0)</f>
        <v>0</v>
      </c>
      <c r="W555" s="1145" t="str">
        <f>IFERROR(VLOOKUP(CONCATENATE($B555,$N555),'LAC 103'!$AI:$AQ,9,FALSE),"")</f>
        <v>Costs</v>
      </c>
      <c r="X555" s="1146">
        <f t="shared" si="150"/>
        <v>3.2074101033884355</v>
      </c>
      <c r="Y555" s="1143">
        <f t="shared" si="151"/>
        <v>8361.718139533652</v>
      </c>
      <c r="Z555" s="1147">
        <f t="shared" si="152"/>
        <v>10401.93</v>
      </c>
      <c r="AA555" s="1144">
        <f t="shared" si="153"/>
        <v>6465.36</v>
      </c>
      <c r="AB555" s="1144">
        <f t="shared" si="154"/>
        <v>0</v>
      </c>
      <c r="AC555" s="1144">
        <f t="shared" si="155"/>
        <v>0</v>
      </c>
      <c r="AD555" s="1148">
        <f t="shared" si="146"/>
        <v>8361.718139533652</v>
      </c>
      <c r="AE555" s="1487">
        <v>0</v>
      </c>
      <c r="AF555" s="1145">
        <f t="shared" si="156"/>
        <v>8361.718139533652</v>
      </c>
      <c r="AG555" s="1149">
        <f>IFERROR(VLOOKUP(CONCATENATE($L555,$N555),'Drop List'!$G$23:$K$87,2,FALSE),0)</f>
        <v>0.9</v>
      </c>
      <c r="AH555" s="1150">
        <f>IFERROR(VLOOKUP(CONCATENATE($L555,$N555),'Drop List'!$G$23:$K$87,3,FALSE),0)</f>
        <v>0</v>
      </c>
      <c r="AI555" s="1150">
        <f>IFERROR(VLOOKUP(CONCATENATE($L555,$N555),'Drop List'!$G$23:$K$87,4,FALSE),0)</f>
        <v>0.1</v>
      </c>
      <c r="AJ555" s="1151">
        <f>IFERROR(VLOOKUP(CONCATENATE($L555,$N555),'Drop List'!$G$23:$K$87,5,FALSE),0)</f>
        <v>0</v>
      </c>
      <c r="AK555" s="1152">
        <f t="shared" si="157"/>
        <v>7525.546325580287</v>
      </c>
      <c r="AL555" s="1153">
        <f t="shared" si="158"/>
        <v>0</v>
      </c>
      <c r="AM555" s="1153">
        <f t="shared" si="159"/>
        <v>836.17181395336524</v>
      </c>
      <c r="AN555" s="1145">
        <f t="shared" si="160"/>
        <v>0</v>
      </c>
      <c r="AO555" s="1154">
        <f t="shared" si="161"/>
        <v>8361.718139533652</v>
      </c>
      <c r="AP555" s="1147">
        <f t="shared" si="147"/>
        <v>0</v>
      </c>
      <c r="AQ555" s="1144">
        <f t="shared" si="148"/>
        <v>0</v>
      </c>
      <c r="AR555" s="1146">
        <f t="shared" si="149"/>
        <v>8361.718139533652</v>
      </c>
    </row>
    <row r="556" spans="1:44" x14ac:dyDescent="0.2">
      <c r="A556" s="1141" t="str">
        <f t="shared" si="144"/>
        <v>1510</v>
      </c>
      <c r="B556" s="1141" t="str">
        <f>IFERROR(VLOOKUP(A556,'LAC 103'!A:C,3,FALSE),"")</f>
        <v>OP</v>
      </c>
      <c r="C556" s="1478" t="str">
        <f>Info!$B$8</f>
        <v>00100</v>
      </c>
      <c r="D556" s="1474" t="s">
        <v>256</v>
      </c>
      <c r="E556" s="1474" t="s">
        <v>95</v>
      </c>
      <c r="F556" s="1478" t="s">
        <v>77</v>
      </c>
      <c r="G556" s="1478" t="s">
        <v>77</v>
      </c>
      <c r="H556" s="1474" t="s">
        <v>1658</v>
      </c>
      <c r="I556" s="1478" t="s">
        <v>807</v>
      </c>
      <c r="J556" s="1478"/>
      <c r="K556" s="1475" t="s">
        <v>849</v>
      </c>
      <c r="L556" s="1474" t="s">
        <v>77</v>
      </c>
      <c r="M556" s="1476" t="s">
        <v>1698</v>
      </c>
      <c r="N556" s="1477" t="s">
        <v>1693</v>
      </c>
      <c r="O556" s="1479">
        <v>1728</v>
      </c>
      <c r="P556" s="1479"/>
      <c r="Q556" s="1142">
        <f t="shared" si="145"/>
        <v>1728</v>
      </c>
      <c r="R556" s="1143">
        <f>IFERROR(VLOOKUP(CONCATENATE(E556,G556),'LAC 103'!$A$12:$O$95,11,FALSE),0)</f>
        <v>3.2074101033884355</v>
      </c>
      <c r="S556" s="1144">
        <f>IFERROR(VLOOKUP(CONCATENATE($E556,$G556),'LAC 103'!$A$12:$O$95,12,FALSE),0)</f>
        <v>3.99</v>
      </c>
      <c r="T556" s="1144">
        <f>IFERROR(VLOOKUP(CONCATENATE($E556,$G556),'LAC 103'!$A$12:$O$95,13,FALSE),0)</f>
        <v>2.48</v>
      </c>
      <c r="U556" s="1144">
        <f>IFERROR(VLOOKUP(CONCATENATE($E556,$G556),'LAC 103'!$A$12:$O$95,14,FALSE),0)</f>
        <v>0</v>
      </c>
      <c r="V556" s="1144">
        <f>IFERROR(VLOOKUP(CONCATENATE($E556,$G556),'LAC 103'!$A$12:$O$95,15,FALSE),0)</f>
        <v>0</v>
      </c>
      <c r="W556" s="1145" t="str">
        <f>IFERROR(VLOOKUP(CONCATENATE($B556,$N556),'LAC 103'!$AI:$AQ,9,FALSE),"")</f>
        <v>Costs</v>
      </c>
      <c r="X556" s="1146">
        <f t="shared" si="150"/>
        <v>3.2074101033884355</v>
      </c>
      <c r="Y556" s="1143">
        <f t="shared" si="151"/>
        <v>5542.4046586552167</v>
      </c>
      <c r="Z556" s="1147">
        <f t="shared" si="152"/>
        <v>6894.72</v>
      </c>
      <c r="AA556" s="1144">
        <f t="shared" si="153"/>
        <v>4285.4399999999996</v>
      </c>
      <c r="AB556" s="1144">
        <f t="shared" si="154"/>
        <v>0</v>
      </c>
      <c r="AC556" s="1144">
        <f t="shared" si="155"/>
        <v>0</v>
      </c>
      <c r="AD556" s="1148">
        <f t="shared" si="146"/>
        <v>5542.4046586552167</v>
      </c>
      <c r="AE556" s="1487">
        <v>0</v>
      </c>
      <c r="AF556" s="1145">
        <f t="shared" si="156"/>
        <v>5542.4046586552167</v>
      </c>
      <c r="AG556" s="1149">
        <f>IFERROR(VLOOKUP(CONCATENATE($L556,$N556),'Drop List'!$G$23:$K$87,2,FALSE),0)</f>
        <v>0.9</v>
      </c>
      <c r="AH556" s="1150">
        <f>IFERROR(VLOOKUP(CONCATENATE($L556,$N556),'Drop List'!$G$23:$K$87,3,FALSE),0)</f>
        <v>0</v>
      </c>
      <c r="AI556" s="1150">
        <f>IFERROR(VLOOKUP(CONCATENATE($L556,$N556),'Drop List'!$G$23:$K$87,4,FALSE),0)</f>
        <v>0.1</v>
      </c>
      <c r="AJ556" s="1151">
        <f>IFERROR(VLOOKUP(CONCATENATE($L556,$N556),'Drop List'!$G$23:$K$87,5,FALSE),0)</f>
        <v>0</v>
      </c>
      <c r="AK556" s="1152">
        <f t="shared" si="157"/>
        <v>4988.1641927896953</v>
      </c>
      <c r="AL556" s="1153">
        <f t="shared" si="158"/>
        <v>0</v>
      </c>
      <c r="AM556" s="1153">
        <f t="shared" si="159"/>
        <v>554.24046586552174</v>
      </c>
      <c r="AN556" s="1145">
        <f t="shared" si="160"/>
        <v>0</v>
      </c>
      <c r="AO556" s="1154">
        <f t="shared" si="161"/>
        <v>5542.4046586552167</v>
      </c>
      <c r="AP556" s="1147">
        <f t="shared" si="147"/>
        <v>0</v>
      </c>
      <c r="AQ556" s="1144">
        <f t="shared" si="148"/>
        <v>0</v>
      </c>
      <c r="AR556" s="1146">
        <f t="shared" si="149"/>
        <v>5542.4046586552167</v>
      </c>
    </row>
    <row r="557" spans="1:44" x14ac:dyDescent="0.2">
      <c r="A557" s="1141" t="str">
        <f t="shared" si="144"/>
        <v>1510</v>
      </c>
      <c r="B557" s="1141" t="str">
        <f>IFERROR(VLOOKUP(A557,'LAC 103'!A:C,3,FALSE),"")</f>
        <v>OP</v>
      </c>
      <c r="C557" s="1478" t="str">
        <f>Info!$B$8</f>
        <v>00100</v>
      </c>
      <c r="D557" s="1474" t="s">
        <v>256</v>
      </c>
      <c r="E557" s="1474" t="s">
        <v>95</v>
      </c>
      <c r="F557" s="1478" t="s">
        <v>77</v>
      </c>
      <c r="G557" s="1478" t="s">
        <v>77</v>
      </c>
      <c r="H557" s="1474" t="s">
        <v>1658</v>
      </c>
      <c r="I557" s="1478" t="s">
        <v>807</v>
      </c>
      <c r="J557" s="1478"/>
      <c r="K557" s="1475" t="s">
        <v>851</v>
      </c>
      <c r="L557" s="1474" t="s">
        <v>584</v>
      </c>
      <c r="M557" s="1476" t="s">
        <v>1699</v>
      </c>
      <c r="N557" s="1477" t="s">
        <v>1694</v>
      </c>
      <c r="O557" s="1479">
        <v>2149</v>
      </c>
      <c r="P557" s="1479"/>
      <c r="Q557" s="1142">
        <f t="shared" si="145"/>
        <v>2149</v>
      </c>
      <c r="R557" s="1143">
        <f>IFERROR(VLOOKUP(CONCATENATE(E557,G557),'LAC 103'!$A$12:$O$95,11,FALSE),0)</f>
        <v>3.2074101033884355</v>
      </c>
      <c r="S557" s="1144">
        <f>IFERROR(VLOOKUP(CONCATENATE($E557,$G557),'LAC 103'!$A$12:$O$95,12,FALSE),0)</f>
        <v>3.99</v>
      </c>
      <c r="T557" s="1144">
        <f>IFERROR(VLOOKUP(CONCATENATE($E557,$G557),'LAC 103'!$A$12:$O$95,13,FALSE),0)</f>
        <v>2.48</v>
      </c>
      <c r="U557" s="1144">
        <f>IFERROR(VLOOKUP(CONCATENATE($E557,$G557),'LAC 103'!$A$12:$O$95,14,FALSE),0)</f>
        <v>0</v>
      </c>
      <c r="V557" s="1144">
        <f>IFERROR(VLOOKUP(CONCATENATE($E557,$G557),'LAC 103'!$A$12:$O$95,15,FALSE),0)</f>
        <v>0</v>
      </c>
      <c r="W557" s="1145" t="str">
        <f>IFERROR(VLOOKUP(CONCATENATE($B557,$N557),'LAC 103'!$AI:$AQ,9,FALSE),"")</f>
        <v>Costs</v>
      </c>
      <c r="X557" s="1146">
        <f t="shared" si="150"/>
        <v>3.2074101033884355</v>
      </c>
      <c r="Y557" s="1143">
        <f t="shared" si="151"/>
        <v>6892.7243121817482</v>
      </c>
      <c r="Z557" s="1147">
        <f t="shared" si="152"/>
        <v>8574.51</v>
      </c>
      <c r="AA557" s="1144">
        <f t="shared" si="153"/>
        <v>5329.5199999999995</v>
      </c>
      <c r="AB557" s="1144">
        <f t="shared" si="154"/>
        <v>0</v>
      </c>
      <c r="AC557" s="1144">
        <f t="shared" si="155"/>
        <v>0</v>
      </c>
      <c r="AD557" s="1148">
        <f t="shared" si="146"/>
        <v>6892.7243121817482</v>
      </c>
      <c r="AE557" s="1487">
        <v>0</v>
      </c>
      <c r="AF557" s="1145">
        <f t="shared" si="156"/>
        <v>6892.7243121817482</v>
      </c>
      <c r="AG557" s="1149">
        <f>IFERROR(VLOOKUP(CONCATENATE($L557,$N557),'Drop List'!$G$23:$K$87,2,FALSE),0)</f>
        <v>0.56200000000000006</v>
      </c>
      <c r="AH557" s="1150">
        <f>IFERROR(VLOOKUP(CONCATENATE($L557,$N557),'Drop List'!$G$23:$K$87,3,FALSE),0)</f>
        <v>0</v>
      </c>
      <c r="AI557" s="1150">
        <f>IFERROR(VLOOKUP(CONCATENATE($L557,$N557),'Drop List'!$G$23:$K$87,4,FALSE),0)</f>
        <v>0</v>
      </c>
      <c r="AJ557" s="1151">
        <f>IFERROR(VLOOKUP(CONCATENATE($L557,$N557),'Drop List'!$G$23:$K$87,5,FALSE),0)</f>
        <v>0.43799999999999994</v>
      </c>
      <c r="AK557" s="1152">
        <f t="shared" si="157"/>
        <v>3873.7110634461428</v>
      </c>
      <c r="AL557" s="1153">
        <f t="shared" si="158"/>
        <v>0</v>
      </c>
      <c r="AM557" s="1153">
        <f t="shared" si="159"/>
        <v>0</v>
      </c>
      <c r="AN557" s="1145">
        <f t="shared" si="160"/>
        <v>3019.0132487356054</v>
      </c>
      <c r="AO557" s="1154">
        <f t="shared" si="161"/>
        <v>6892.7243121817482</v>
      </c>
      <c r="AP557" s="1147">
        <f t="shared" si="147"/>
        <v>0</v>
      </c>
      <c r="AQ557" s="1144">
        <f t="shared" si="148"/>
        <v>0</v>
      </c>
      <c r="AR557" s="1146">
        <f t="shared" si="149"/>
        <v>6892.7243121817482</v>
      </c>
    </row>
    <row r="558" spans="1:44" x14ac:dyDescent="0.2">
      <c r="A558" s="1141" t="str">
        <f t="shared" si="144"/>
        <v>1510</v>
      </c>
      <c r="B558" s="1141" t="str">
        <f>IFERROR(VLOOKUP(A558,'LAC 103'!A:C,3,FALSE),"")</f>
        <v>OP</v>
      </c>
      <c r="C558" s="1478" t="str">
        <f>Info!$B$8</f>
        <v>00100</v>
      </c>
      <c r="D558" s="1474" t="s">
        <v>256</v>
      </c>
      <c r="E558" s="1474" t="s">
        <v>95</v>
      </c>
      <c r="F558" s="1478" t="s">
        <v>77</v>
      </c>
      <c r="G558" s="1478" t="s">
        <v>77</v>
      </c>
      <c r="H558" s="1474" t="s">
        <v>1658</v>
      </c>
      <c r="I558" s="1478" t="s">
        <v>807</v>
      </c>
      <c r="J558" s="1478"/>
      <c r="K558" s="1475" t="s">
        <v>851</v>
      </c>
      <c r="L558" s="1474" t="s">
        <v>584</v>
      </c>
      <c r="M558" s="1476" t="s">
        <v>841</v>
      </c>
      <c r="N558" s="1477" t="s">
        <v>1695</v>
      </c>
      <c r="O558" s="1479">
        <v>1140</v>
      </c>
      <c r="P558" s="1479"/>
      <c r="Q558" s="1142">
        <f t="shared" si="145"/>
        <v>1140</v>
      </c>
      <c r="R558" s="1143">
        <f>IFERROR(VLOOKUP(CONCATENATE(E558,G558),'LAC 103'!$A$12:$O$95,11,FALSE),0)</f>
        <v>3.2074101033884355</v>
      </c>
      <c r="S558" s="1144">
        <f>IFERROR(VLOOKUP(CONCATENATE($E558,$G558),'LAC 103'!$A$12:$O$95,12,FALSE),0)</f>
        <v>3.99</v>
      </c>
      <c r="T558" s="1144">
        <f>IFERROR(VLOOKUP(CONCATENATE($E558,$G558),'LAC 103'!$A$12:$O$95,13,FALSE),0)</f>
        <v>2.48</v>
      </c>
      <c r="U558" s="1144">
        <f>IFERROR(VLOOKUP(CONCATENATE($E558,$G558),'LAC 103'!$A$12:$O$95,14,FALSE),0)</f>
        <v>0</v>
      </c>
      <c r="V558" s="1144">
        <f>IFERROR(VLOOKUP(CONCATENATE($E558,$G558),'LAC 103'!$A$12:$O$95,15,FALSE),0)</f>
        <v>0</v>
      </c>
      <c r="W558" s="1145" t="str">
        <f>IFERROR(VLOOKUP(CONCATENATE($B558,$N558),'LAC 103'!$AI:$AQ,9,FALSE),"")</f>
        <v>Costs</v>
      </c>
      <c r="X558" s="1146">
        <f t="shared" si="150"/>
        <v>3.2074101033884355</v>
      </c>
      <c r="Y558" s="1143">
        <f t="shared" si="151"/>
        <v>3656.4475178628163</v>
      </c>
      <c r="Z558" s="1147">
        <f t="shared" si="152"/>
        <v>4548.6000000000004</v>
      </c>
      <c r="AA558" s="1144">
        <f t="shared" si="153"/>
        <v>2827.2</v>
      </c>
      <c r="AB558" s="1144">
        <f t="shared" si="154"/>
        <v>0</v>
      </c>
      <c r="AC558" s="1144">
        <f t="shared" si="155"/>
        <v>0</v>
      </c>
      <c r="AD558" s="1148">
        <f t="shared" si="146"/>
        <v>3656.4475178628163</v>
      </c>
      <c r="AE558" s="1487">
        <v>0</v>
      </c>
      <c r="AF558" s="1145">
        <f t="shared" si="156"/>
        <v>3656.4475178628163</v>
      </c>
      <c r="AG558" s="1149">
        <f>IFERROR(VLOOKUP(CONCATENATE($L558,$N558),'Drop List'!$G$23:$K$87,2,FALSE),0)</f>
        <v>0.55000000000000004</v>
      </c>
      <c r="AH558" s="1150">
        <f>IFERROR(VLOOKUP(CONCATENATE($L558,$N558),'Drop List'!$G$23:$K$87,3,FALSE),0)</f>
        <v>0</v>
      </c>
      <c r="AI558" s="1150">
        <f>IFERROR(VLOOKUP(CONCATENATE($L558,$N558),'Drop List'!$G$23:$K$87,4,FALSE),0)</f>
        <v>0</v>
      </c>
      <c r="AJ558" s="1151">
        <f>IFERROR(VLOOKUP(CONCATENATE($L558,$N558),'Drop List'!$G$23:$K$87,5,FALSE),0)</f>
        <v>0.44999999999999996</v>
      </c>
      <c r="AK558" s="1152">
        <f t="shared" si="157"/>
        <v>2011.0461348245492</v>
      </c>
      <c r="AL558" s="1153">
        <f t="shared" si="158"/>
        <v>0</v>
      </c>
      <c r="AM558" s="1153">
        <f t="shared" si="159"/>
        <v>0</v>
      </c>
      <c r="AN558" s="1145">
        <f t="shared" si="160"/>
        <v>1645.4013830382671</v>
      </c>
      <c r="AO558" s="1154">
        <f t="shared" si="161"/>
        <v>3656.4475178628163</v>
      </c>
      <c r="AP558" s="1147">
        <f t="shared" si="147"/>
        <v>0</v>
      </c>
      <c r="AQ558" s="1144">
        <f t="shared" si="148"/>
        <v>0</v>
      </c>
      <c r="AR558" s="1146">
        <f t="shared" si="149"/>
        <v>3656.4475178628163</v>
      </c>
    </row>
    <row r="559" spans="1:44" x14ac:dyDescent="0.2">
      <c r="A559" s="1141" t="str">
        <f t="shared" si="144"/>
        <v>1510</v>
      </c>
      <c r="B559" s="1141" t="str">
        <f>IFERROR(VLOOKUP(A559,'LAC 103'!A:C,3,FALSE),"")</f>
        <v>OP</v>
      </c>
      <c r="C559" s="1478" t="str">
        <f>Info!$B$8</f>
        <v>00100</v>
      </c>
      <c r="D559" s="1474" t="s">
        <v>256</v>
      </c>
      <c r="E559" s="1474" t="s">
        <v>95</v>
      </c>
      <c r="F559" s="1478" t="s">
        <v>77</v>
      </c>
      <c r="G559" s="1478" t="s">
        <v>77</v>
      </c>
      <c r="H559" s="1474" t="s">
        <v>1658</v>
      </c>
      <c r="I559" s="1478" t="s">
        <v>807</v>
      </c>
      <c r="J559" s="1478"/>
      <c r="K559" s="1475" t="s">
        <v>851</v>
      </c>
      <c r="L559" s="1474" t="s">
        <v>584</v>
      </c>
      <c r="M559" s="1476" t="s">
        <v>840</v>
      </c>
      <c r="N559" s="1477" t="s">
        <v>1700</v>
      </c>
      <c r="O559" s="1479">
        <v>1062</v>
      </c>
      <c r="P559" s="1479"/>
      <c r="Q559" s="1142">
        <f t="shared" si="145"/>
        <v>1062</v>
      </c>
      <c r="R559" s="1143">
        <f>IFERROR(VLOOKUP(CONCATENATE(E559,G559),'LAC 103'!$A$12:$O$95,11,FALSE),0)</f>
        <v>3.2074101033884355</v>
      </c>
      <c r="S559" s="1144">
        <f>IFERROR(VLOOKUP(CONCATENATE($E559,$G559),'LAC 103'!$A$12:$O$95,12,FALSE),0)</f>
        <v>3.99</v>
      </c>
      <c r="T559" s="1144">
        <f>IFERROR(VLOOKUP(CONCATENATE($E559,$G559),'LAC 103'!$A$12:$O$95,13,FALSE),0)</f>
        <v>2.48</v>
      </c>
      <c r="U559" s="1144">
        <f>IFERROR(VLOOKUP(CONCATENATE($E559,$G559),'LAC 103'!$A$12:$O$95,14,FALSE),0)</f>
        <v>0</v>
      </c>
      <c r="V559" s="1144">
        <f>IFERROR(VLOOKUP(CONCATENATE($E559,$G559),'LAC 103'!$A$12:$O$95,15,FALSE),0)</f>
        <v>0</v>
      </c>
      <c r="W559" s="1145" t="str">
        <f>IFERROR(VLOOKUP(CONCATENATE($B559,$N559),'LAC 103'!$AI:$AQ,9,FALSE),"")</f>
        <v>P.C.</v>
      </c>
      <c r="X559" s="1146">
        <f t="shared" si="150"/>
        <v>2.48</v>
      </c>
      <c r="Y559" s="1143">
        <f t="shared" si="151"/>
        <v>3406.2695297985183</v>
      </c>
      <c r="Z559" s="1147">
        <f t="shared" si="152"/>
        <v>4237.38</v>
      </c>
      <c r="AA559" s="1144">
        <f t="shared" si="153"/>
        <v>2633.7599999999998</v>
      </c>
      <c r="AB559" s="1144">
        <f t="shared" si="154"/>
        <v>0</v>
      </c>
      <c r="AC559" s="1144">
        <f t="shared" si="155"/>
        <v>0</v>
      </c>
      <c r="AD559" s="1148">
        <f t="shared" si="146"/>
        <v>2633.7599999999998</v>
      </c>
      <c r="AE559" s="1487">
        <v>0</v>
      </c>
      <c r="AF559" s="1145">
        <f t="shared" si="156"/>
        <v>2633.7599999999998</v>
      </c>
      <c r="AG559" s="1149">
        <f>IFERROR(VLOOKUP(CONCATENATE($L559,$N559),'Drop List'!$G$23:$K$87,2,FALSE),0)</f>
        <v>0.55000000000000004</v>
      </c>
      <c r="AH559" s="1150">
        <f>IFERROR(VLOOKUP(CONCATENATE($L559,$N559),'Drop List'!$G$23:$K$87,3,FALSE),0)</f>
        <v>0</v>
      </c>
      <c r="AI559" s="1150">
        <f>IFERROR(VLOOKUP(CONCATENATE($L559,$N559),'Drop List'!$G$23:$K$87,4,FALSE),0)</f>
        <v>0</v>
      </c>
      <c r="AJ559" s="1151">
        <f>IFERROR(VLOOKUP(CONCATENATE($L559,$N559),'Drop List'!$G$23:$K$87,5,FALSE),0)</f>
        <v>0.44999999999999996</v>
      </c>
      <c r="AK559" s="1152">
        <f t="shared" si="157"/>
        <v>1448.568</v>
      </c>
      <c r="AL559" s="1153">
        <f t="shared" si="158"/>
        <v>0</v>
      </c>
      <c r="AM559" s="1153">
        <f t="shared" si="159"/>
        <v>0</v>
      </c>
      <c r="AN559" s="1145">
        <f t="shared" si="160"/>
        <v>1185.1919999999998</v>
      </c>
      <c r="AO559" s="1154">
        <f t="shared" si="161"/>
        <v>2633.7599999999998</v>
      </c>
      <c r="AP559" s="1147">
        <f t="shared" si="147"/>
        <v>0</v>
      </c>
      <c r="AQ559" s="1144">
        <f t="shared" si="148"/>
        <v>0</v>
      </c>
      <c r="AR559" s="1146">
        <f t="shared" si="149"/>
        <v>2633.7599999999998</v>
      </c>
    </row>
    <row r="560" spans="1:44" x14ac:dyDescent="0.2">
      <c r="A560" s="1141" t="str">
        <f t="shared" si="144"/>
        <v>1510</v>
      </c>
      <c r="B560" s="1141" t="str">
        <f>IFERROR(VLOOKUP(A560,'LAC 103'!A:C,3,FALSE),"")</f>
        <v>OP</v>
      </c>
      <c r="C560" s="1478" t="str">
        <f>Info!$B$8</f>
        <v>00100</v>
      </c>
      <c r="D560" s="1474" t="s">
        <v>256</v>
      </c>
      <c r="E560" s="1474" t="s">
        <v>95</v>
      </c>
      <c r="F560" s="1478" t="s">
        <v>77</v>
      </c>
      <c r="G560" s="1478" t="s">
        <v>77</v>
      </c>
      <c r="H560" s="1474" t="s">
        <v>1658</v>
      </c>
      <c r="I560" s="1478" t="s">
        <v>807</v>
      </c>
      <c r="J560" s="1478"/>
      <c r="K560" s="1475" t="s">
        <v>851</v>
      </c>
      <c r="L560" s="1474" t="s">
        <v>584</v>
      </c>
      <c r="M560" s="1476" t="s">
        <v>842</v>
      </c>
      <c r="N560" s="1477" t="s">
        <v>1692</v>
      </c>
      <c r="O560" s="1479">
        <v>5972</v>
      </c>
      <c r="P560" s="1479"/>
      <c r="Q560" s="1142">
        <f t="shared" si="145"/>
        <v>5972</v>
      </c>
      <c r="R560" s="1143">
        <f>IFERROR(VLOOKUP(CONCATENATE(E560,G560),'LAC 103'!$A$12:$O$95,11,FALSE),0)</f>
        <v>3.2074101033884355</v>
      </c>
      <c r="S560" s="1144">
        <f>IFERROR(VLOOKUP(CONCATENATE($E560,$G560),'LAC 103'!$A$12:$O$95,12,FALSE),0)</f>
        <v>3.99</v>
      </c>
      <c r="T560" s="1144">
        <f>IFERROR(VLOOKUP(CONCATENATE($E560,$G560),'LAC 103'!$A$12:$O$95,13,FALSE),0)</f>
        <v>2.48</v>
      </c>
      <c r="U560" s="1144">
        <f>IFERROR(VLOOKUP(CONCATENATE($E560,$G560),'LAC 103'!$A$12:$O$95,14,FALSE),0)</f>
        <v>0</v>
      </c>
      <c r="V560" s="1144">
        <f>IFERROR(VLOOKUP(CONCATENATE($E560,$G560),'LAC 103'!$A$12:$O$95,15,FALSE),0)</f>
        <v>0</v>
      </c>
      <c r="W560" s="1145" t="str">
        <f>IFERROR(VLOOKUP(CONCATENATE($B560,$N560),'LAC 103'!$AI:$AQ,9,FALSE),"")</f>
        <v>Costs</v>
      </c>
      <c r="X560" s="1146">
        <f t="shared" si="150"/>
        <v>3.2074101033884355</v>
      </c>
      <c r="Y560" s="1143">
        <f t="shared" si="151"/>
        <v>19154.653137435736</v>
      </c>
      <c r="Z560" s="1147">
        <f t="shared" si="152"/>
        <v>23828.280000000002</v>
      </c>
      <c r="AA560" s="1144">
        <f t="shared" si="153"/>
        <v>14810.56</v>
      </c>
      <c r="AB560" s="1144">
        <f t="shared" si="154"/>
        <v>0</v>
      </c>
      <c r="AC560" s="1144">
        <f t="shared" si="155"/>
        <v>0</v>
      </c>
      <c r="AD560" s="1148">
        <f t="shared" si="146"/>
        <v>19154.653137435736</v>
      </c>
      <c r="AE560" s="1487">
        <v>0</v>
      </c>
      <c r="AF560" s="1145">
        <f t="shared" si="156"/>
        <v>19154.653137435736</v>
      </c>
      <c r="AG560" s="1149">
        <f>IFERROR(VLOOKUP(CONCATENATE($L560,$N560),'Drop List'!$G$23:$K$87,2,FALSE),0)</f>
        <v>0.56200000000000006</v>
      </c>
      <c r="AH560" s="1150">
        <f>IFERROR(VLOOKUP(CONCATENATE($L560,$N560),'Drop List'!$G$23:$K$87,3,FALSE),0)</f>
        <v>0</v>
      </c>
      <c r="AI560" s="1150">
        <f>IFERROR(VLOOKUP(CONCATENATE($L560,$N560),'Drop List'!$G$23:$K$87,4,FALSE),0)</f>
        <v>0</v>
      </c>
      <c r="AJ560" s="1151">
        <f>IFERROR(VLOOKUP(CONCATENATE($L560,$N560),'Drop List'!$G$23:$K$87,5,FALSE),0)</f>
        <v>0.43799999999999994</v>
      </c>
      <c r="AK560" s="1152">
        <f t="shared" si="157"/>
        <v>10764.915063238885</v>
      </c>
      <c r="AL560" s="1153">
        <f t="shared" si="158"/>
        <v>0</v>
      </c>
      <c r="AM560" s="1153">
        <f t="shared" si="159"/>
        <v>0</v>
      </c>
      <c r="AN560" s="1145">
        <f t="shared" si="160"/>
        <v>8389.7380741968518</v>
      </c>
      <c r="AO560" s="1154">
        <f t="shared" si="161"/>
        <v>19154.653137435736</v>
      </c>
      <c r="AP560" s="1147">
        <f t="shared" si="147"/>
        <v>0</v>
      </c>
      <c r="AQ560" s="1144">
        <f t="shared" si="148"/>
        <v>0</v>
      </c>
      <c r="AR560" s="1146">
        <f t="shared" si="149"/>
        <v>19154.653137435736</v>
      </c>
    </row>
    <row r="561" spans="1:44" x14ac:dyDescent="0.2">
      <c r="A561" s="1141" t="str">
        <f t="shared" si="144"/>
        <v>1510</v>
      </c>
      <c r="B561" s="1141" t="str">
        <f>IFERROR(VLOOKUP(A561,'LAC 103'!A:C,3,FALSE),"")</f>
        <v>OP</v>
      </c>
      <c r="C561" s="1478" t="str">
        <f>Info!$B$8</f>
        <v>00100</v>
      </c>
      <c r="D561" s="1474" t="s">
        <v>256</v>
      </c>
      <c r="E561" s="1474" t="s">
        <v>95</v>
      </c>
      <c r="F561" s="1478" t="s">
        <v>77</v>
      </c>
      <c r="G561" s="1478" t="s">
        <v>77</v>
      </c>
      <c r="H561" s="1474" t="s">
        <v>1658</v>
      </c>
      <c r="I561" s="1478" t="s">
        <v>807</v>
      </c>
      <c r="J561" s="1478"/>
      <c r="K561" s="1475" t="s">
        <v>851</v>
      </c>
      <c r="L561" s="1474" t="s">
        <v>584</v>
      </c>
      <c r="M561" s="1476" t="s">
        <v>1698</v>
      </c>
      <c r="N561" s="1477" t="s">
        <v>1693</v>
      </c>
      <c r="O561" s="1479">
        <v>4142</v>
      </c>
      <c r="P561" s="1479"/>
      <c r="Q561" s="1142">
        <f t="shared" si="145"/>
        <v>4142</v>
      </c>
      <c r="R561" s="1143">
        <f>IFERROR(VLOOKUP(CONCATENATE(E561,G561),'LAC 103'!$A$12:$O$95,11,FALSE),0)</f>
        <v>3.2074101033884355</v>
      </c>
      <c r="S561" s="1144">
        <f>IFERROR(VLOOKUP(CONCATENATE($E561,$G561),'LAC 103'!$A$12:$O$95,12,FALSE),0)</f>
        <v>3.99</v>
      </c>
      <c r="T561" s="1144">
        <f>IFERROR(VLOOKUP(CONCATENATE($E561,$G561),'LAC 103'!$A$12:$O$95,13,FALSE),0)</f>
        <v>2.48</v>
      </c>
      <c r="U561" s="1144">
        <f>IFERROR(VLOOKUP(CONCATENATE($E561,$G561),'LAC 103'!$A$12:$O$95,14,FALSE),0)</f>
        <v>0</v>
      </c>
      <c r="V561" s="1144">
        <f>IFERROR(VLOOKUP(CONCATENATE($E561,$G561),'LAC 103'!$A$12:$O$95,15,FALSE),0)</f>
        <v>0</v>
      </c>
      <c r="W561" s="1145" t="str">
        <f>IFERROR(VLOOKUP(CONCATENATE($B561,$N561),'LAC 103'!$AI:$AQ,9,FALSE),"")</f>
        <v>Costs</v>
      </c>
      <c r="X561" s="1146">
        <f t="shared" si="150"/>
        <v>3.2074101033884355</v>
      </c>
      <c r="Y561" s="1143">
        <f t="shared" si="151"/>
        <v>13285.0926482349</v>
      </c>
      <c r="Z561" s="1147">
        <f t="shared" si="152"/>
        <v>16526.580000000002</v>
      </c>
      <c r="AA561" s="1144">
        <f t="shared" si="153"/>
        <v>10272.16</v>
      </c>
      <c r="AB561" s="1144">
        <f t="shared" si="154"/>
        <v>0</v>
      </c>
      <c r="AC561" s="1144">
        <f t="shared" si="155"/>
        <v>0</v>
      </c>
      <c r="AD561" s="1148">
        <f t="shared" si="146"/>
        <v>13285.0926482349</v>
      </c>
      <c r="AE561" s="1487">
        <v>0</v>
      </c>
      <c r="AF561" s="1145">
        <f t="shared" si="156"/>
        <v>13285.0926482349</v>
      </c>
      <c r="AG561" s="1149">
        <f>IFERROR(VLOOKUP(CONCATENATE($L561,$N561),'Drop List'!$G$23:$K$87,2,FALSE),0)</f>
        <v>0.56200000000000006</v>
      </c>
      <c r="AH561" s="1150">
        <f>IFERROR(VLOOKUP(CONCATENATE($L561,$N561),'Drop List'!$G$23:$K$87,3,FALSE),0)</f>
        <v>0</v>
      </c>
      <c r="AI561" s="1150">
        <f>IFERROR(VLOOKUP(CONCATENATE($L561,$N561),'Drop List'!$G$23:$K$87,4,FALSE),0)</f>
        <v>0</v>
      </c>
      <c r="AJ561" s="1151">
        <f>IFERROR(VLOOKUP(CONCATENATE($L561,$N561),'Drop List'!$G$23:$K$87,5,FALSE),0)</f>
        <v>0.43799999999999994</v>
      </c>
      <c r="AK561" s="1152">
        <f t="shared" si="157"/>
        <v>7466.222068308015</v>
      </c>
      <c r="AL561" s="1153">
        <f t="shared" si="158"/>
        <v>0</v>
      </c>
      <c r="AM561" s="1153">
        <f t="shared" si="159"/>
        <v>0</v>
      </c>
      <c r="AN561" s="1145">
        <f t="shared" si="160"/>
        <v>5818.8705799268855</v>
      </c>
      <c r="AO561" s="1154">
        <f t="shared" si="161"/>
        <v>13285.0926482349</v>
      </c>
      <c r="AP561" s="1147">
        <f t="shared" si="147"/>
        <v>0</v>
      </c>
      <c r="AQ561" s="1144">
        <f t="shared" si="148"/>
        <v>0</v>
      </c>
      <c r="AR561" s="1146">
        <f t="shared" si="149"/>
        <v>13285.0926482349</v>
      </c>
    </row>
    <row r="562" spans="1:44" x14ac:dyDescent="0.2">
      <c r="A562" s="1141" t="str">
        <f t="shared" si="144"/>
        <v>1510</v>
      </c>
      <c r="B562" s="1141" t="str">
        <f>IFERROR(VLOOKUP(A562,'LAC 103'!A:C,3,FALSE),"")</f>
        <v>OP</v>
      </c>
      <c r="C562" s="1478" t="str">
        <f>Info!$B$8</f>
        <v>00100</v>
      </c>
      <c r="D562" s="1474" t="s">
        <v>256</v>
      </c>
      <c r="E562" s="1474" t="s">
        <v>95</v>
      </c>
      <c r="F562" s="1478" t="s">
        <v>77</v>
      </c>
      <c r="G562" s="1478" t="s">
        <v>77</v>
      </c>
      <c r="H562" s="1474" t="s">
        <v>970</v>
      </c>
      <c r="I562" s="1478" t="s">
        <v>817</v>
      </c>
      <c r="J562" s="1478" t="s">
        <v>123</v>
      </c>
      <c r="K562" s="1475" t="s">
        <v>971</v>
      </c>
      <c r="L562" s="1474" t="s">
        <v>332</v>
      </c>
      <c r="M562" s="1476" t="s">
        <v>842</v>
      </c>
      <c r="N562" s="1477" t="s">
        <v>1692</v>
      </c>
      <c r="O562" s="1479">
        <v>321</v>
      </c>
      <c r="P562" s="1479"/>
      <c r="Q562" s="1142">
        <f t="shared" si="145"/>
        <v>321</v>
      </c>
      <c r="R562" s="1143">
        <f>IFERROR(VLOOKUP(CONCATENATE(E562,G562),'LAC 103'!$A$12:$O$95,11,FALSE),0)</f>
        <v>3.2074101033884355</v>
      </c>
      <c r="S562" s="1144">
        <f>IFERROR(VLOOKUP(CONCATENATE($E562,$G562),'LAC 103'!$A$12:$O$95,12,FALSE),0)</f>
        <v>3.99</v>
      </c>
      <c r="T562" s="1144">
        <f>IFERROR(VLOOKUP(CONCATENATE($E562,$G562),'LAC 103'!$A$12:$O$95,13,FALSE),0)</f>
        <v>2.48</v>
      </c>
      <c r="U562" s="1144">
        <f>IFERROR(VLOOKUP(CONCATENATE($E562,$G562),'LAC 103'!$A$12:$O$95,14,FALSE),0)</f>
        <v>0</v>
      </c>
      <c r="V562" s="1144">
        <f>IFERROR(VLOOKUP(CONCATENATE($E562,$G562),'LAC 103'!$A$12:$O$95,15,FALSE),0)</f>
        <v>0</v>
      </c>
      <c r="W562" s="1145" t="str">
        <f>IFERROR(VLOOKUP(CONCATENATE($B562,$N562),'LAC 103'!$AI:$AQ,9,FALSE),"")</f>
        <v>Costs</v>
      </c>
      <c r="X562" s="1146">
        <f t="shared" si="150"/>
        <v>3.2074101033884355</v>
      </c>
      <c r="Y562" s="1143">
        <f t="shared" si="151"/>
        <v>1029.5786431876877</v>
      </c>
      <c r="Z562" s="1147">
        <f t="shared" si="152"/>
        <v>1280.79</v>
      </c>
      <c r="AA562" s="1144">
        <f t="shared" si="153"/>
        <v>796.08</v>
      </c>
      <c r="AB562" s="1144">
        <f t="shared" si="154"/>
        <v>0</v>
      </c>
      <c r="AC562" s="1144">
        <f t="shared" si="155"/>
        <v>0</v>
      </c>
      <c r="AD562" s="1148">
        <f t="shared" si="146"/>
        <v>1029.5786431876877</v>
      </c>
      <c r="AE562" s="1487">
        <v>0</v>
      </c>
      <c r="AF562" s="1145">
        <f t="shared" si="156"/>
        <v>1029.5786431876877</v>
      </c>
      <c r="AG562" s="1149">
        <f>IFERROR(VLOOKUP(CONCATENATE($L562,$N562),'Drop List'!$G$23:$K$87,2,FALSE),0)</f>
        <v>0</v>
      </c>
      <c r="AH562" s="1150">
        <f>IFERROR(VLOOKUP(CONCATENATE($L562,$N562),'Drop List'!$G$23:$K$87,3,FALSE),0)</f>
        <v>0</v>
      </c>
      <c r="AI562" s="1150">
        <f>IFERROR(VLOOKUP(CONCATENATE($L562,$N562),'Drop List'!$G$23:$K$87,4,FALSE),0)</f>
        <v>0</v>
      </c>
      <c r="AJ562" s="1151">
        <f>IFERROR(VLOOKUP(CONCATENATE($L562,$N562),'Drop List'!$G$23:$K$87,5,FALSE),0)</f>
        <v>0</v>
      </c>
      <c r="AK562" s="1152">
        <f t="shared" si="157"/>
        <v>0</v>
      </c>
      <c r="AL562" s="1153">
        <f t="shared" si="158"/>
        <v>0</v>
      </c>
      <c r="AM562" s="1153">
        <f t="shared" si="159"/>
        <v>0</v>
      </c>
      <c r="AN562" s="1145">
        <f t="shared" si="160"/>
        <v>0</v>
      </c>
      <c r="AO562" s="1154">
        <f t="shared" si="161"/>
        <v>0</v>
      </c>
      <c r="AP562" s="1147">
        <f t="shared" si="147"/>
        <v>1029.5786431876877</v>
      </c>
      <c r="AQ562" s="1144">
        <f t="shared" si="148"/>
        <v>0</v>
      </c>
      <c r="AR562" s="1146">
        <f t="shared" si="149"/>
        <v>1029.5786431876877</v>
      </c>
    </row>
    <row r="563" spans="1:44" x14ac:dyDescent="0.2">
      <c r="A563" s="1141" t="str">
        <f t="shared" si="144"/>
        <v>1510</v>
      </c>
      <c r="B563" s="1141" t="str">
        <f>IFERROR(VLOOKUP(A563,'LAC 103'!A:C,3,FALSE),"")</f>
        <v>OP</v>
      </c>
      <c r="C563" s="1478" t="str">
        <f>Info!$B$8</f>
        <v>00100</v>
      </c>
      <c r="D563" s="1474" t="s">
        <v>256</v>
      </c>
      <c r="E563" s="1474" t="s">
        <v>95</v>
      </c>
      <c r="F563" s="1478" t="s">
        <v>77</v>
      </c>
      <c r="G563" s="1478" t="s">
        <v>77</v>
      </c>
      <c r="H563" s="1474" t="s">
        <v>970</v>
      </c>
      <c r="I563" s="1478" t="s">
        <v>817</v>
      </c>
      <c r="J563" s="1478"/>
      <c r="K563" s="1475" t="s">
        <v>851</v>
      </c>
      <c r="L563" s="1474" t="s">
        <v>584</v>
      </c>
      <c r="M563" s="1476" t="s">
        <v>1698</v>
      </c>
      <c r="N563" s="1477" t="s">
        <v>1693</v>
      </c>
      <c r="O563" s="1479">
        <v>26</v>
      </c>
      <c r="P563" s="1479"/>
      <c r="Q563" s="1142">
        <f t="shared" si="145"/>
        <v>26</v>
      </c>
      <c r="R563" s="1143">
        <f>IFERROR(VLOOKUP(CONCATENATE(E563,G563),'LAC 103'!$A$12:$O$95,11,FALSE),0)</f>
        <v>3.2074101033884355</v>
      </c>
      <c r="S563" s="1144">
        <f>IFERROR(VLOOKUP(CONCATENATE($E563,$G563),'LAC 103'!$A$12:$O$95,12,FALSE),0)</f>
        <v>3.99</v>
      </c>
      <c r="T563" s="1144">
        <f>IFERROR(VLOOKUP(CONCATENATE($E563,$G563),'LAC 103'!$A$12:$O$95,13,FALSE),0)</f>
        <v>2.48</v>
      </c>
      <c r="U563" s="1144">
        <f>IFERROR(VLOOKUP(CONCATENATE($E563,$G563),'LAC 103'!$A$12:$O$95,14,FALSE),0)</f>
        <v>0</v>
      </c>
      <c r="V563" s="1144">
        <f>IFERROR(VLOOKUP(CONCATENATE($E563,$G563),'LAC 103'!$A$12:$O$95,15,FALSE),0)</f>
        <v>0</v>
      </c>
      <c r="W563" s="1145" t="str">
        <f>IFERROR(VLOOKUP(CONCATENATE($B563,$N563),'LAC 103'!$AI:$AQ,9,FALSE),"")</f>
        <v>Costs</v>
      </c>
      <c r="X563" s="1146">
        <f t="shared" si="150"/>
        <v>3.2074101033884355</v>
      </c>
      <c r="Y563" s="1143">
        <f t="shared" si="151"/>
        <v>83.392662688099321</v>
      </c>
      <c r="Z563" s="1147">
        <f t="shared" si="152"/>
        <v>103.74000000000001</v>
      </c>
      <c r="AA563" s="1144">
        <f t="shared" si="153"/>
        <v>64.48</v>
      </c>
      <c r="AB563" s="1144">
        <f t="shared" si="154"/>
        <v>0</v>
      </c>
      <c r="AC563" s="1144">
        <f t="shared" si="155"/>
        <v>0</v>
      </c>
      <c r="AD563" s="1148">
        <f t="shared" si="146"/>
        <v>83.392662688099321</v>
      </c>
      <c r="AE563" s="1487">
        <v>0</v>
      </c>
      <c r="AF563" s="1145">
        <f t="shared" si="156"/>
        <v>83.392662688099321</v>
      </c>
      <c r="AG563" s="1149">
        <f>IFERROR(VLOOKUP(CONCATENATE($L563,$N563),'Drop List'!$G$23:$K$87,2,FALSE),0)</f>
        <v>0.56200000000000006</v>
      </c>
      <c r="AH563" s="1150">
        <f>IFERROR(VLOOKUP(CONCATENATE($L563,$N563),'Drop List'!$G$23:$K$87,3,FALSE),0)</f>
        <v>0</v>
      </c>
      <c r="AI563" s="1150">
        <f>IFERROR(VLOOKUP(CONCATENATE($L563,$N563),'Drop List'!$G$23:$K$87,4,FALSE),0)</f>
        <v>0</v>
      </c>
      <c r="AJ563" s="1151">
        <f>IFERROR(VLOOKUP(CONCATENATE($L563,$N563),'Drop List'!$G$23:$K$87,5,FALSE),0)</f>
        <v>0.43799999999999994</v>
      </c>
      <c r="AK563" s="1152">
        <f t="shared" si="157"/>
        <v>46.86667643071182</v>
      </c>
      <c r="AL563" s="1153">
        <f t="shared" si="158"/>
        <v>0</v>
      </c>
      <c r="AM563" s="1153">
        <f t="shared" si="159"/>
        <v>0</v>
      </c>
      <c r="AN563" s="1145">
        <f t="shared" si="160"/>
        <v>36.525986257387501</v>
      </c>
      <c r="AO563" s="1154">
        <f t="shared" si="161"/>
        <v>83.392662688099321</v>
      </c>
      <c r="AP563" s="1147">
        <f t="shared" si="147"/>
        <v>0</v>
      </c>
      <c r="AQ563" s="1144">
        <f t="shared" si="148"/>
        <v>0</v>
      </c>
      <c r="AR563" s="1146">
        <f t="shared" si="149"/>
        <v>83.392662688099321</v>
      </c>
    </row>
    <row r="564" spans="1:44" x14ac:dyDescent="0.2">
      <c r="A564" s="1141" t="str">
        <f t="shared" si="144"/>
        <v>1510</v>
      </c>
      <c r="B564" s="1141" t="str">
        <f>IFERROR(VLOOKUP(A564,'LAC 103'!A:C,3,FALSE),"")</f>
        <v>OP</v>
      </c>
      <c r="C564" s="1478" t="str">
        <f>Info!$B$8</f>
        <v>00100</v>
      </c>
      <c r="D564" s="1474" t="s">
        <v>256</v>
      </c>
      <c r="E564" s="1474" t="s">
        <v>95</v>
      </c>
      <c r="F564" s="1478" t="s">
        <v>77</v>
      </c>
      <c r="G564" s="1478" t="s">
        <v>77</v>
      </c>
      <c r="H564" s="1474" t="s">
        <v>988</v>
      </c>
      <c r="I564" s="1478" t="s">
        <v>811</v>
      </c>
      <c r="J564" s="1478" t="s">
        <v>123</v>
      </c>
      <c r="K564" s="1475" t="s">
        <v>1654</v>
      </c>
      <c r="L564" s="1474" t="s">
        <v>332</v>
      </c>
      <c r="M564" s="1476" t="s">
        <v>1699</v>
      </c>
      <c r="N564" s="1477" t="s">
        <v>1694</v>
      </c>
      <c r="O564" s="1479">
        <v>290</v>
      </c>
      <c r="P564" s="1479"/>
      <c r="Q564" s="1142">
        <f t="shared" si="145"/>
        <v>290</v>
      </c>
      <c r="R564" s="1143">
        <f>IFERROR(VLOOKUP(CONCATENATE(E564,G564),'LAC 103'!$A$12:$O$95,11,FALSE),0)</f>
        <v>3.2074101033884355</v>
      </c>
      <c r="S564" s="1144">
        <f>IFERROR(VLOOKUP(CONCATENATE($E564,$G564),'LAC 103'!$A$12:$O$95,12,FALSE),0)</f>
        <v>3.99</v>
      </c>
      <c r="T564" s="1144">
        <f>IFERROR(VLOOKUP(CONCATENATE($E564,$G564),'LAC 103'!$A$12:$O$95,13,FALSE),0)</f>
        <v>2.48</v>
      </c>
      <c r="U564" s="1144">
        <f>IFERROR(VLOOKUP(CONCATENATE($E564,$G564),'LAC 103'!$A$12:$O$95,14,FALSE),0)</f>
        <v>0</v>
      </c>
      <c r="V564" s="1144">
        <f>IFERROR(VLOOKUP(CONCATENATE($E564,$G564),'LAC 103'!$A$12:$O$95,15,FALSE),0)</f>
        <v>0</v>
      </c>
      <c r="W564" s="1145" t="str">
        <f>IFERROR(VLOOKUP(CONCATENATE($B564,$N564),'LAC 103'!$AI:$AQ,9,FALSE),"")</f>
        <v>Costs</v>
      </c>
      <c r="X564" s="1146">
        <f t="shared" si="150"/>
        <v>3.2074101033884355</v>
      </c>
      <c r="Y564" s="1143">
        <f t="shared" si="151"/>
        <v>930.14892998264634</v>
      </c>
      <c r="Z564" s="1147">
        <f t="shared" si="152"/>
        <v>1157.1000000000001</v>
      </c>
      <c r="AA564" s="1144">
        <f t="shared" si="153"/>
        <v>719.2</v>
      </c>
      <c r="AB564" s="1144">
        <f t="shared" si="154"/>
        <v>0</v>
      </c>
      <c r="AC564" s="1144">
        <f t="shared" si="155"/>
        <v>0</v>
      </c>
      <c r="AD564" s="1148">
        <f t="shared" si="146"/>
        <v>930.14892998264634</v>
      </c>
      <c r="AE564" s="1487">
        <v>0</v>
      </c>
      <c r="AF564" s="1145">
        <f t="shared" si="156"/>
        <v>930.14892998264634</v>
      </c>
      <c r="AG564" s="1149">
        <f>IFERROR(VLOOKUP(CONCATENATE($L564,$N564),'Drop List'!$G$23:$K$87,2,FALSE),0)</f>
        <v>0</v>
      </c>
      <c r="AH564" s="1150">
        <f>IFERROR(VLOOKUP(CONCATENATE($L564,$N564),'Drop List'!$G$23:$K$87,3,FALSE),0)</f>
        <v>0</v>
      </c>
      <c r="AI564" s="1150">
        <f>IFERROR(VLOOKUP(CONCATENATE($L564,$N564),'Drop List'!$G$23:$K$87,4,FALSE),0)</f>
        <v>0</v>
      </c>
      <c r="AJ564" s="1151">
        <f>IFERROR(VLOOKUP(CONCATENATE($L564,$N564),'Drop List'!$G$23:$K$87,5,FALSE),0)</f>
        <v>0</v>
      </c>
      <c r="AK564" s="1152">
        <f t="shared" si="157"/>
        <v>0</v>
      </c>
      <c r="AL564" s="1153">
        <f t="shared" si="158"/>
        <v>0</v>
      </c>
      <c r="AM564" s="1153">
        <f t="shared" si="159"/>
        <v>0</v>
      </c>
      <c r="AN564" s="1145">
        <f t="shared" si="160"/>
        <v>0</v>
      </c>
      <c r="AO564" s="1154">
        <f t="shared" si="161"/>
        <v>0</v>
      </c>
      <c r="AP564" s="1147">
        <f t="shared" si="147"/>
        <v>930.14892998264634</v>
      </c>
      <c r="AQ564" s="1144">
        <f t="shared" si="148"/>
        <v>0</v>
      </c>
      <c r="AR564" s="1146">
        <f t="shared" si="149"/>
        <v>930.14892998264634</v>
      </c>
    </row>
    <row r="565" spans="1:44" x14ac:dyDescent="0.2">
      <c r="A565" s="1141" t="str">
        <f t="shared" si="144"/>
        <v>1510</v>
      </c>
      <c r="B565" s="1141" t="str">
        <f>IFERROR(VLOOKUP(A565,'LAC 103'!A:C,3,FALSE),"")</f>
        <v>OP</v>
      </c>
      <c r="C565" s="1478" t="str">
        <f>Info!$B$8</f>
        <v>00100</v>
      </c>
      <c r="D565" s="1474" t="s">
        <v>256</v>
      </c>
      <c r="E565" s="1474" t="s">
        <v>95</v>
      </c>
      <c r="F565" s="1478" t="s">
        <v>77</v>
      </c>
      <c r="G565" s="1478" t="s">
        <v>77</v>
      </c>
      <c r="H565" s="1474" t="s">
        <v>988</v>
      </c>
      <c r="I565" s="1478" t="s">
        <v>811</v>
      </c>
      <c r="J565" s="1478"/>
      <c r="K565" s="1475" t="s">
        <v>1654</v>
      </c>
      <c r="L565" s="1474" t="s">
        <v>332</v>
      </c>
      <c r="M565" s="1476" t="s">
        <v>841</v>
      </c>
      <c r="N565" s="1477" t="s">
        <v>1695</v>
      </c>
      <c r="O565" s="1479">
        <v>72</v>
      </c>
      <c r="P565" s="1479"/>
      <c r="Q565" s="1142">
        <f t="shared" si="145"/>
        <v>72</v>
      </c>
      <c r="R565" s="1143">
        <f>IFERROR(VLOOKUP(CONCATENATE(E565,G565),'LAC 103'!$A$12:$O$95,11,FALSE),0)</f>
        <v>3.2074101033884355</v>
      </c>
      <c r="S565" s="1144">
        <f>IFERROR(VLOOKUP(CONCATENATE($E565,$G565),'LAC 103'!$A$12:$O$95,12,FALSE),0)</f>
        <v>3.99</v>
      </c>
      <c r="T565" s="1144">
        <f>IFERROR(VLOOKUP(CONCATENATE($E565,$G565),'LAC 103'!$A$12:$O$95,13,FALSE),0)</f>
        <v>2.48</v>
      </c>
      <c r="U565" s="1144">
        <f>IFERROR(VLOOKUP(CONCATENATE($E565,$G565),'LAC 103'!$A$12:$O$95,14,FALSE),0)</f>
        <v>0</v>
      </c>
      <c r="V565" s="1144">
        <f>IFERROR(VLOOKUP(CONCATENATE($E565,$G565),'LAC 103'!$A$12:$O$95,15,FALSE),0)</f>
        <v>0</v>
      </c>
      <c r="W565" s="1145" t="str">
        <f>IFERROR(VLOOKUP(CONCATENATE($B565,$N565),'LAC 103'!$AI:$AQ,9,FALSE),"")</f>
        <v>Costs</v>
      </c>
      <c r="X565" s="1146">
        <f t="shared" si="150"/>
        <v>3.2074101033884355</v>
      </c>
      <c r="Y565" s="1143">
        <f t="shared" si="151"/>
        <v>230.93352744396736</v>
      </c>
      <c r="Z565" s="1147">
        <f t="shared" si="152"/>
        <v>287.28000000000003</v>
      </c>
      <c r="AA565" s="1144">
        <f t="shared" si="153"/>
        <v>178.56</v>
      </c>
      <c r="AB565" s="1144">
        <f t="shared" si="154"/>
        <v>0</v>
      </c>
      <c r="AC565" s="1144">
        <f t="shared" si="155"/>
        <v>0</v>
      </c>
      <c r="AD565" s="1148">
        <f t="shared" si="146"/>
        <v>230.93352744396736</v>
      </c>
      <c r="AE565" s="1487">
        <v>0</v>
      </c>
      <c r="AF565" s="1145">
        <f t="shared" si="156"/>
        <v>230.93352744396736</v>
      </c>
      <c r="AG565" s="1149">
        <f>IFERROR(VLOOKUP(CONCATENATE($L565,$N565),'Drop List'!$G$23:$K$87,2,FALSE),0)</f>
        <v>0</v>
      </c>
      <c r="AH565" s="1150">
        <f>IFERROR(VLOOKUP(CONCATENATE($L565,$N565),'Drop List'!$G$23:$K$87,3,FALSE),0)</f>
        <v>0</v>
      </c>
      <c r="AI565" s="1150">
        <f>IFERROR(VLOOKUP(CONCATENATE($L565,$N565),'Drop List'!$G$23:$K$87,4,FALSE),0)</f>
        <v>0</v>
      </c>
      <c r="AJ565" s="1151">
        <f>IFERROR(VLOOKUP(CONCATENATE($L565,$N565),'Drop List'!$G$23:$K$87,5,FALSE),0)</f>
        <v>0</v>
      </c>
      <c r="AK565" s="1152">
        <f t="shared" si="157"/>
        <v>0</v>
      </c>
      <c r="AL565" s="1153">
        <f t="shared" si="158"/>
        <v>0</v>
      </c>
      <c r="AM565" s="1153">
        <f t="shared" si="159"/>
        <v>0</v>
      </c>
      <c r="AN565" s="1145">
        <f t="shared" si="160"/>
        <v>0</v>
      </c>
      <c r="AO565" s="1154">
        <f t="shared" si="161"/>
        <v>0</v>
      </c>
      <c r="AP565" s="1147">
        <f t="shared" si="147"/>
        <v>230.93352744396736</v>
      </c>
      <c r="AQ565" s="1144">
        <f t="shared" si="148"/>
        <v>0</v>
      </c>
      <c r="AR565" s="1146">
        <f t="shared" si="149"/>
        <v>230.93352744396736</v>
      </c>
    </row>
    <row r="566" spans="1:44" x14ac:dyDescent="0.2">
      <c r="A566" s="1141" t="str">
        <f t="shared" si="144"/>
        <v>1510</v>
      </c>
      <c r="B566" s="1141" t="str">
        <f>IFERROR(VLOOKUP(A566,'LAC 103'!A:C,3,FALSE),"")</f>
        <v>OP</v>
      </c>
      <c r="C566" s="1478" t="str">
        <f>Info!$B$8</f>
        <v>00100</v>
      </c>
      <c r="D566" s="1474" t="s">
        <v>256</v>
      </c>
      <c r="E566" s="1474" t="s">
        <v>95</v>
      </c>
      <c r="F566" s="1478" t="s">
        <v>77</v>
      </c>
      <c r="G566" s="1478" t="s">
        <v>77</v>
      </c>
      <c r="H566" s="1474" t="s">
        <v>988</v>
      </c>
      <c r="I566" s="1478" t="s">
        <v>811</v>
      </c>
      <c r="J566" s="1478"/>
      <c r="K566" s="1475" t="s">
        <v>1654</v>
      </c>
      <c r="L566" s="1474" t="s">
        <v>332</v>
      </c>
      <c r="M566" s="1476" t="s">
        <v>840</v>
      </c>
      <c r="N566" s="1477" t="s">
        <v>1700</v>
      </c>
      <c r="O566" s="1479">
        <v>66</v>
      </c>
      <c r="P566" s="1479"/>
      <c r="Q566" s="1142">
        <f t="shared" si="145"/>
        <v>66</v>
      </c>
      <c r="R566" s="1143">
        <f>IFERROR(VLOOKUP(CONCATENATE(E566,G566),'LAC 103'!$A$12:$O$95,11,FALSE),0)</f>
        <v>3.2074101033884355</v>
      </c>
      <c r="S566" s="1144">
        <f>IFERROR(VLOOKUP(CONCATENATE($E566,$G566),'LAC 103'!$A$12:$O$95,12,FALSE),0)</f>
        <v>3.99</v>
      </c>
      <c r="T566" s="1144">
        <f>IFERROR(VLOOKUP(CONCATENATE($E566,$G566),'LAC 103'!$A$12:$O$95,13,FALSE),0)</f>
        <v>2.48</v>
      </c>
      <c r="U566" s="1144">
        <f>IFERROR(VLOOKUP(CONCATENATE($E566,$G566),'LAC 103'!$A$12:$O$95,14,FALSE),0)</f>
        <v>0</v>
      </c>
      <c r="V566" s="1144">
        <f>IFERROR(VLOOKUP(CONCATENATE($E566,$G566),'LAC 103'!$A$12:$O$95,15,FALSE),0)</f>
        <v>0</v>
      </c>
      <c r="W566" s="1145" t="str">
        <f>IFERROR(VLOOKUP(CONCATENATE($B566,$N566),'LAC 103'!$AI:$AQ,9,FALSE),"")</f>
        <v>P.C.</v>
      </c>
      <c r="X566" s="1146">
        <f t="shared" si="150"/>
        <v>2.48</v>
      </c>
      <c r="Y566" s="1143">
        <f t="shared" si="151"/>
        <v>211.68906682363675</v>
      </c>
      <c r="Z566" s="1147">
        <f t="shared" si="152"/>
        <v>263.34000000000003</v>
      </c>
      <c r="AA566" s="1144">
        <f t="shared" si="153"/>
        <v>163.68</v>
      </c>
      <c r="AB566" s="1144">
        <f t="shared" si="154"/>
        <v>0</v>
      </c>
      <c r="AC566" s="1144">
        <f t="shared" si="155"/>
        <v>0</v>
      </c>
      <c r="AD566" s="1148">
        <f t="shared" si="146"/>
        <v>163.68</v>
      </c>
      <c r="AE566" s="1487">
        <v>0</v>
      </c>
      <c r="AF566" s="1145">
        <f t="shared" si="156"/>
        <v>163.68</v>
      </c>
      <c r="AG566" s="1149">
        <f>IFERROR(VLOOKUP(CONCATENATE($L566,$N566),'Drop List'!$G$23:$K$87,2,FALSE),0)</f>
        <v>0</v>
      </c>
      <c r="AH566" s="1150">
        <f>IFERROR(VLOOKUP(CONCATENATE($L566,$N566),'Drop List'!$G$23:$K$87,3,FALSE),0)</f>
        <v>0</v>
      </c>
      <c r="AI566" s="1150">
        <f>IFERROR(VLOOKUP(CONCATENATE($L566,$N566),'Drop List'!$G$23:$K$87,4,FALSE),0)</f>
        <v>0</v>
      </c>
      <c r="AJ566" s="1151">
        <f>IFERROR(VLOOKUP(CONCATENATE($L566,$N566),'Drop List'!$G$23:$K$87,5,FALSE),0)</f>
        <v>0</v>
      </c>
      <c r="AK566" s="1152">
        <f t="shared" si="157"/>
        <v>0</v>
      </c>
      <c r="AL566" s="1153">
        <f t="shared" si="158"/>
        <v>0</v>
      </c>
      <c r="AM566" s="1153">
        <f t="shared" si="159"/>
        <v>0</v>
      </c>
      <c r="AN566" s="1145">
        <f t="shared" si="160"/>
        <v>0</v>
      </c>
      <c r="AO566" s="1154">
        <f t="shared" si="161"/>
        <v>0</v>
      </c>
      <c r="AP566" s="1147">
        <f t="shared" si="147"/>
        <v>163.68</v>
      </c>
      <c r="AQ566" s="1144">
        <f t="shared" si="148"/>
        <v>0</v>
      </c>
      <c r="AR566" s="1146">
        <f t="shared" si="149"/>
        <v>163.68</v>
      </c>
    </row>
    <row r="567" spans="1:44" x14ac:dyDescent="0.2">
      <c r="A567" s="1141" t="str">
        <f t="shared" si="144"/>
        <v>1510</v>
      </c>
      <c r="B567" s="1141" t="str">
        <f>IFERROR(VLOOKUP(A567,'LAC 103'!A:C,3,FALSE),"")</f>
        <v>OP</v>
      </c>
      <c r="C567" s="1478" t="str">
        <f>Info!$B$8</f>
        <v>00100</v>
      </c>
      <c r="D567" s="1474" t="s">
        <v>256</v>
      </c>
      <c r="E567" s="1474" t="s">
        <v>95</v>
      </c>
      <c r="F567" s="1478" t="s">
        <v>77</v>
      </c>
      <c r="G567" s="1478" t="s">
        <v>77</v>
      </c>
      <c r="H567" s="1474" t="s">
        <v>988</v>
      </c>
      <c r="I567" s="1478" t="s">
        <v>811</v>
      </c>
      <c r="J567" s="1478"/>
      <c r="K567" s="1475" t="s">
        <v>1654</v>
      </c>
      <c r="L567" s="1474" t="s">
        <v>332</v>
      </c>
      <c r="M567" s="1476" t="s">
        <v>842</v>
      </c>
      <c r="N567" s="1477" t="s">
        <v>1692</v>
      </c>
      <c r="O567" s="1479">
        <v>869</v>
      </c>
      <c r="P567" s="1479"/>
      <c r="Q567" s="1142">
        <f t="shared" si="145"/>
        <v>869</v>
      </c>
      <c r="R567" s="1143">
        <f>IFERROR(VLOOKUP(CONCATENATE(E567,G567),'LAC 103'!$A$12:$O$95,11,FALSE),0)</f>
        <v>3.2074101033884355</v>
      </c>
      <c r="S567" s="1144">
        <f>IFERROR(VLOOKUP(CONCATENATE($E567,$G567),'LAC 103'!$A$12:$O$95,12,FALSE),0)</f>
        <v>3.99</v>
      </c>
      <c r="T567" s="1144">
        <f>IFERROR(VLOOKUP(CONCATENATE($E567,$G567),'LAC 103'!$A$12:$O$95,13,FALSE),0)</f>
        <v>2.48</v>
      </c>
      <c r="U567" s="1144">
        <f>IFERROR(VLOOKUP(CONCATENATE($E567,$G567),'LAC 103'!$A$12:$O$95,14,FALSE),0)</f>
        <v>0</v>
      </c>
      <c r="V567" s="1144">
        <f>IFERROR(VLOOKUP(CONCATENATE($E567,$G567),'LAC 103'!$A$12:$O$95,15,FALSE),0)</f>
        <v>0</v>
      </c>
      <c r="W567" s="1145" t="str">
        <f>IFERROR(VLOOKUP(CONCATENATE($B567,$N567),'LAC 103'!$AI:$AQ,9,FALSE),"")</f>
        <v>Costs</v>
      </c>
      <c r="X567" s="1146">
        <f t="shared" si="150"/>
        <v>3.2074101033884355</v>
      </c>
      <c r="Y567" s="1143">
        <f t="shared" si="151"/>
        <v>2787.2393798445505</v>
      </c>
      <c r="Z567" s="1147">
        <f t="shared" si="152"/>
        <v>3467.3100000000004</v>
      </c>
      <c r="AA567" s="1144">
        <f t="shared" si="153"/>
        <v>2155.12</v>
      </c>
      <c r="AB567" s="1144">
        <f t="shared" si="154"/>
        <v>0</v>
      </c>
      <c r="AC567" s="1144">
        <f t="shared" si="155"/>
        <v>0</v>
      </c>
      <c r="AD567" s="1148">
        <f t="shared" si="146"/>
        <v>2787.2393798445505</v>
      </c>
      <c r="AE567" s="1487">
        <v>0</v>
      </c>
      <c r="AF567" s="1145">
        <f t="shared" si="156"/>
        <v>2787.2393798445505</v>
      </c>
      <c r="AG567" s="1149">
        <f>IFERROR(VLOOKUP(CONCATENATE($L567,$N567),'Drop List'!$G$23:$K$87,2,FALSE),0)</f>
        <v>0</v>
      </c>
      <c r="AH567" s="1150">
        <f>IFERROR(VLOOKUP(CONCATENATE($L567,$N567),'Drop List'!$G$23:$K$87,3,FALSE),0)</f>
        <v>0</v>
      </c>
      <c r="AI567" s="1150">
        <f>IFERROR(VLOOKUP(CONCATENATE($L567,$N567),'Drop List'!$G$23:$K$87,4,FALSE),0)</f>
        <v>0</v>
      </c>
      <c r="AJ567" s="1151">
        <f>IFERROR(VLOOKUP(CONCATENATE($L567,$N567),'Drop List'!$G$23:$K$87,5,FALSE),0)</f>
        <v>0</v>
      </c>
      <c r="AK567" s="1152">
        <f t="shared" si="157"/>
        <v>0</v>
      </c>
      <c r="AL567" s="1153">
        <f t="shared" si="158"/>
        <v>0</v>
      </c>
      <c r="AM567" s="1153">
        <f t="shared" si="159"/>
        <v>0</v>
      </c>
      <c r="AN567" s="1145">
        <f t="shared" si="160"/>
        <v>0</v>
      </c>
      <c r="AO567" s="1154">
        <f t="shared" si="161"/>
        <v>0</v>
      </c>
      <c r="AP567" s="1147">
        <f t="shared" si="147"/>
        <v>2787.2393798445505</v>
      </c>
      <c r="AQ567" s="1144">
        <f t="shared" si="148"/>
        <v>0</v>
      </c>
      <c r="AR567" s="1146">
        <f t="shared" si="149"/>
        <v>2787.2393798445505</v>
      </c>
    </row>
    <row r="568" spans="1:44" x14ac:dyDescent="0.2">
      <c r="A568" s="1141" t="str">
        <f t="shared" si="144"/>
        <v>1510</v>
      </c>
      <c r="B568" s="1141" t="str">
        <f>IFERROR(VLOOKUP(A568,'LAC 103'!A:C,3,FALSE),"")</f>
        <v>OP</v>
      </c>
      <c r="C568" s="1478" t="str">
        <f>Info!$B$8</f>
        <v>00100</v>
      </c>
      <c r="D568" s="1474" t="s">
        <v>256</v>
      </c>
      <c r="E568" s="1474" t="s">
        <v>95</v>
      </c>
      <c r="F568" s="1478" t="s">
        <v>77</v>
      </c>
      <c r="G568" s="1478" t="s">
        <v>77</v>
      </c>
      <c r="H568" s="1474" t="s">
        <v>988</v>
      </c>
      <c r="I568" s="1478" t="s">
        <v>811</v>
      </c>
      <c r="J568" s="1478"/>
      <c r="K568" s="1475" t="s">
        <v>1654</v>
      </c>
      <c r="L568" s="1474" t="s">
        <v>332</v>
      </c>
      <c r="M568" s="1476" t="s">
        <v>1698</v>
      </c>
      <c r="N568" s="1477" t="s">
        <v>1693</v>
      </c>
      <c r="O568" s="1479">
        <v>166</v>
      </c>
      <c r="P568" s="1479"/>
      <c r="Q568" s="1142">
        <f t="shared" si="145"/>
        <v>166</v>
      </c>
      <c r="R568" s="1143">
        <f>IFERROR(VLOOKUP(CONCATENATE(E568,G568),'LAC 103'!$A$12:$O$95,11,FALSE),0)</f>
        <v>3.2074101033884355</v>
      </c>
      <c r="S568" s="1144">
        <f>IFERROR(VLOOKUP(CONCATENATE($E568,$G568),'LAC 103'!$A$12:$O$95,12,FALSE),0)</f>
        <v>3.99</v>
      </c>
      <c r="T568" s="1144">
        <f>IFERROR(VLOOKUP(CONCATENATE($E568,$G568),'LAC 103'!$A$12:$O$95,13,FALSE),0)</f>
        <v>2.48</v>
      </c>
      <c r="U568" s="1144">
        <f>IFERROR(VLOOKUP(CONCATENATE($E568,$G568),'LAC 103'!$A$12:$O$95,14,FALSE),0)</f>
        <v>0</v>
      </c>
      <c r="V568" s="1144">
        <f>IFERROR(VLOOKUP(CONCATENATE($E568,$G568),'LAC 103'!$A$12:$O$95,15,FALSE),0)</f>
        <v>0</v>
      </c>
      <c r="W568" s="1145" t="str">
        <f>IFERROR(VLOOKUP(CONCATENATE($B568,$N568),'LAC 103'!$AI:$AQ,9,FALSE),"")</f>
        <v>Costs</v>
      </c>
      <c r="X568" s="1146">
        <f t="shared" si="150"/>
        <v>3.2074101033884355</v>
      </c>
      <c r="Y568" s="1143">
        <f t="shared" si="151"/>
        <v>532.4300771624803</v>
      </c>
      <c r="Z568" s="1147">
        <f t="shared" si="152"/>
        <v>662.34</v>
      </c>
      <c r="AA568" s="1144">
        <f t="shared" si="153"/>
        <v>411.68</v>
      </c>
      <c r="AB568" s="1144">
        <f t="shared" si="154"/>
        <v>0</v>
      </c>
      <c r="AC568" s="1144">
        <f t="shared" si="155"/>
        <v>0</v>
      </c>
      <c r="AD568" s="1148">
        <f t="shared" si="146"/>
        <v>532.4300771624803</v>
      </c>
      <c r="AE568" s="1487">
        <v>0</v>
      </c>
      <c r="AF568" s="1145">
        <f t="shared" si="156"/>
        <v>532.4300771624803</v>
      </c>
      <c r="AG568" s="1149">
        <f>IFERROR(VLOOKUP(CONCATENATE($L568,$N568),'Drop List'!$G$23:$K$87,2,FALSE),0)</f>
        <v>0</v>
      </c>
      <c r="AH568" s="1150">
        <f>IFERROR(VLOOKUP(CONCATENATE($L568,$N568),'Drop List'!$G$23:$K$87,3,FALSE),0)</f>
        <v>0</v>
      </c>
      <c r="AI568" s="1150">
        <f>IFERROR(VLOOKUP(CONCATENATE($L568,$N568),'Drop List'!$G$23:$K$87,4,FALSE),0)</f>
        <v>0</v>
      </c>
      <c r="AJ568" s="1151">
        <f>IFERROR(VLOOKUP(CONCATENATE($L568,$N568),'Drop List'!$G$23:$K$87,5,FALSE),0)</f>
        <v>0</v>
      </c>
      <c r="AK568" s="1152">
        <f t="shared" si="157"/>
        <v>0</v>
      </c>
      <c r="AL568" s="1153">
        <f t="shared" si="158"/>
        <v>0</v>
      </c>
      <c r="AM568" s="1153">
        <f t="shared" si="159"/>
        <v>0</v>
      </c>
      <c r="AN568" s="1145">
        <f t="shared" si="160"/>
        <v>0</v>
      </c>
      <c r="AO568" s="1154">
        <f t="shared" si="161"/>
        <v>0</v>
      </c>
      <c r="AP568" s="1147">
        <f t="shared" si="147"/>
        <v>532.4300771624803</v>
      </c>
      <c r="AQ568" s="1144">
        <f t="shared" si="148"/>
        <v>0</v>
      </c>
      <c r="AR568" s="1146">
        <f t="shared" si="149"/>
        <v>532.4300771624803</v>
      </c>
    </row>
    <row r="569" spans="1:44" x14ac:dyDescent="0.2">
      <c r="A569" s="1141" t="str">
        <f t="shared" si="144"/>
        <v>1510</v>
      </c>
      <c r="B569" s="1141" t="str">
        <f>IFERROR(VLOOKUP(A569,'LAC 103'!A:C,3,FALSE),"")</f>
        <v>OP</v>
      </c>
      <c r="C569" s="1478" t="str">
        <f>Info!$B$8</f>
        <v>00100</v>
      </c>
      <c r="D569" s="1474" t="s">
        <v>256</v>
      </c>
      <c r="E569" s="1474" t="s">
        <v>95</v>
      </c>
      <c r="F569" s="1478" t="s">
        <v>77</v>
      </c>
      <c r="G569" s="1478" t="s">
        <v>77</v>
      </c>
      <c r="H569" s="1474" t="s">
        <v>988</v>
      </c>
      <c r="I569" s="1478" t="s">
        <v>811</v>
      </c>
      <c r="J569" s="1478"/>
      <c r="K569" s="1475" t="s">
        <v>847</v>
      </c>
      <c r="L569" s="1474" t="s">
        <v>582</v>
      </c>
      <c r="M569" s="1476" t="s">
        <v>1699</v>
      </c>
      <c r="N569" s="1477" t="s">
        <v>1694</v>
      </c>
      <c r="O569" s="1479">
        <v>46316</v>
      </c>
      <c r="P569" s="1479"/>
      <c r="Q569" s="1142">
        <f t="shared" si="145"/>
        <v>46316</v>
      </c>
      <c r="R569" s="1143">
        <f>IFERROR(VLOOKUP(CONCATENATE(E569,G569),'LAC 103'!$A$12:$O$95,11,FALSE),0)</f>
        <v>3.2074101033884355</v>
      </c>
      <c r="S569" s="1144">
        <f>IFERROR(VLOOKUP(CONCATENATE($E569,$G569),'LAC 103'!$A$12:$O$95,12,FALSE),0)</f>
        <v>3.99</v>
      </c>
      <c r="T569" s="1144">
        <f>IFERROR(VLOOKUP(CONCATENATE($E569,$G569),'LAC 103'!$A$12:$O$95,13,FALSE),0)</f>
        <v>2.48</v>
      </c>
      <c r="U569" s="1144">
        <f>IFERROR(VLOOKUP(CONCATENATE($E569,$G569),'LAC 103'!$A$12:$O$95,14,FALSE),0)</f>
        <v>0</v>
      </c>
      <c r="V569" s="1144">
        <f>IFERROR(VLOOKUP(CONCATENATE($E569,$G569),'LAC 103'!$A$12:$O$95,15,FALSE),0)</f>
        <v>0</v>
      </c>
      <c r="W569" s="1145" t="str">
        <f>IFERROR(VLOOKUP(CONCATENATE($B569,$N569),'LAC 103'!$AI:$AQ,9,FALSE),"")</f>
        <v>Costs</v>
      </c>
      <c r="X569" s="1146">
        <f t="shared" si="150"/>
        <v>3.2074101033884355</v>
      </c>
      <c r="Y569" s="1143">
        <f t="shared" si="151"/>
        <v>148554.40634853879</v>
      </c>
      <c r="Z569" s="1147">
        <f t="shared" si="152"/>
        <v>184800.84</v>
      </c>
      <c r="AA569" s="1144">
        <f t="shared" si="153"/>
        <v>114863.67999999999</v>
      </c>
      <c r="AB569" s="1144">
        <f t="shared" si="154"/>
        <v>0</v>
      </c>
      <c r="AC569" s="1144">
        <f t="shared" si="155"/>
        <v>0</v>
      </c>
      <c r="AD569" s="1148">
        <f t="shared" si="146"/>
        <v>148554.40634853879</v>
      </c>
      <c r="AE569" s="1487">
        <v>0</v>
      </c>
      <c r="AF569" s="1145">
        <f t="shared" si="156"/>
        <v>148554.40634853879</v>
      </c>
      <c r="AG569" s="1149">
        <f>IFERROR(VLOOKUP(CONCATENATE($L569,$N569),'Drop List'!$G$23:$K$87,2,FALSE),0)</f>
        <v>0.56200000000000006</v>
      </c>
      <c r="AH569" s="1150">
        <f>IFERROR(VLOOKUP(CONCATENATE($L569,$N569),'Drop List'!$G$23:$K$87,3,FALSE),0)</f>
        <v>0.43799999999999994</v>
      </c>
      <c r="AI569" s="1150">
        <f>IFERROR(VLOOKUP(CONCATENATE($L569,$N569),'Drop List'!$G$23:$K$87,4,FALSE),0)</f>
        <v>0</v>
      </c>
      <c r="AJ569" s="1151">
        <f>IFERROR(VLOOKUP(CONCATENATE($L569,$N569),'Drop List'!$G$23:$K$87,5,FALSE),0)</f>
        <v>0</v>
      </c>
      <c r="AK569" s="1152">
        <f t="shared" si="157"/>
        <v>83487.576367878806</v>
      </c>
      <c r="AL569" s="1153">
        <f t="shared" si="158"/>
        <v>65066.829980659983</v>
      </c>
      <c r="AM569" s="1153">
        <f t="shared" si="159"/>
        <v>0</v>
      </c>
      <c r="AN569" s="1145">
        <f t="shared" si="160"/>
        <v>0</v>
      </c>
      <c r="AO569" s="1154">
        <f t="shared" si="161"/>
        <v>148554.40634853879</v>
      </c>
      <c r="AP569" s="1147">
        <f t="shared" si="147"/>
        <v>0</v>
      </c>
      <c r="AQ569" s="1144">
        <f t="shared" si="148"/>
        <v>0</v>
      </c>
      <c r="AR569" s="1146">
        <f t="shared" si="149"/>
        <v>148554.40634853879</v>
      </c>
    </row>
    <row r="570" spans="1:44" x14ac:dyDescent="0.2">
      <c r="A570" s="1141" t="str">
        <f t="shared" si="144"/>
        <v>1510</v>
      </c>
      <c r="B570" s="1141" t="str">
        <f>IFERROR(VLOOKUP(A570,'LAC 103'!A:C,3,FALSE),"")</f>
        <v>OP</v>
      </c>
      <c r="C570" s="1478" t="str">
        <f>Info!$B$8</f>
        <v>00100</v>
      </c>
      <c r="D570" s="1474" t="s">
        <v>256</v>
      </c>
      <c r="E570" s="1474" t="s">
        <v>95</v>
      </c>
      <c r="F570" s="1478" t="s">
        <v>77</v>
      </c>
      <c r="G570" s="1478" t="s">
        <v>77</v>
      </c>
      <c r="H570" s="1474" t="s">
        <v>988</v>
      </c>
      <c r="I570" s="1478" t="s">
        <v>811</v>
      </c>
      <c r="J570" s="1478"/>
      <c r="K570" s="1475" t="s">
        <v>847</v>
      </c>
      <c r="L570" s="1474" t="s">
        <v>582</v>
      </c>
      <c r="M570" s="1476" t="s">
        <v>841</v>
      </c>
      <c r="N570" s="1477" t="s">
        <v>1695</v>
      </c>
      <c r="O570" s="1479">
        <v>21323</v>
      </c>
      <c r="P570" s="1479"/>
      <c r="Q570" s="1142">
        <f t="shared" si="145"/>
        <v>21323</v>
      </c>
      <c r="R570" s="1143">
        <f>IFERROR(VLOOKUP(CONCATENATE(E570,G570),'LAC 103'!$A$12:$O$95,11,FALSE),0)</f>
        <v>3.2074101033884355</v>
      </c>
      <c r="S570" s="1144">
        <f>IFERROR(VLOOKUP(CONCATENATE($E570,$G570),'LAC 103'!$A$12:$O$95,12,FALSE),0)</f>
        <v>3.99</v>
      </c>
      <c r="T570" s="1144">
        <f>IFERROR(VLOOKUP(CONCATENATE($E570,$G570),'LAC 103'!$A$12:$O$95,13,FALSE),0)</f>
        <v>2.48</v>
      </c>
      <c r="U570" s="1144">
        <f>IFERROR(VLOOKUP(CONCATENATE($E570,$G570),'LAC 103'!$A$12:$O$95,14,FALSE),0)</f>
        <v>0</v>
      </c>
      <c r="V570" s="1144">
        <f>IFERROR(VLOOKUP(CONCATENATE($E570,$G570),'LAC 103'!$A$12:$O$95,15,FALSE),0)</f>
        <v>0</v>
      </c>
      <c r="W570" s="1145" t="str">
        <f>IFERROR(VLOOKUP(CONCATENATE($B570,$N570),'LAC 103'!$AI:$AQ,9,FALSE),"")</f>
        <v>Costs</v>
      </c>
      <c r="X570" s="1146">
        <f t="shared" si="150"/>
        <v>3.2074101033884355</v>
      </c>
      <c r="Y570" s="1143">
        <f t="shared" si="151"/>
        <v>68391.605634551612</v>
      </c>
      <c r="Z570" s="1147">
        <f t="shared" si="152"/>
        <v>85078.77</v>
      </c>
      <c r="AA570" s="1144">
        <f t="shared" si="153"/>
        <v>52881.04</v>
      </c>
      <c r="AB570" s="1144">
        <f t="shared" si="154"/>
        <v>0</v>
      </c>
      <c r="AC570" s="1144">
        <f t="shared" si="155"/>
        <v>0</v>
      </c>
      <c r="AD570" s="1148">
        <f t="shared" si="146"/>
        <v>68391.605634551612</v>
      </c>
      <c r="AE570" s="1487">
        <v>0</v>
      </c>
      <c r="AF570" s="1145">
        <f t="shared" si="156"/>
        <v>68391.605634551612</v>
      </c>
      <c r="AG570" s="1149">
        <f>IFERROR(VLOOKUP(CONCATENATE($L570,$N570),'Drop List'!$G$23:$K$87,2,FALSE),0)</f>
        <v>0.55000000000000004</v>
      </c>
      <c r="AH570" s="1150">
        <f>IFERROR(VLOOKUP(CONCATENATE($L570,$N570),'Drop List'!$G$23:$K$87,3,FALSE),0)</f>
        <v>0.44999999999999996</v>
      </c>
      <c r="AI570" s="1150">
        <f>IFERROR(VLOOKUP(CONCATENATE($L570,$N570),'Drop List'!$G$23:$K$87,4,FALSE),0)</f>
        <v>0</v>
      </c>
      <c r="AJ570" s="1151">
        <f>IFERROR(VLOOKUP(CONCATENATE($L570,$N570),'Drop List'!$G$23:$K$87,5,FALSE),0)</f>
        <v>0</v>
      </c>
      <c r="AK570" s="1152">
        <f t="shared" si="157"/>
        <v>37615.383099003389</v>
      </c>
      <c r="AL570" s="1153">
        <f t="shared" si="158"/>
        <v>30776.222535548222</v>
      </c>
      <c r="AM570" s="1153">
        <f t="shared" si="159"/>
        <v>0</v>
      </c>
      <c r="AN570" s="1145">
        <f t="shared" si="160"/>
        <v>0</v>
      </c>
      <c r="AO570" s="1154">
        <f t="shared" si="161"/>
        <v>68391.605634551612</v>
      </c>
      <c r="AP570" s="1147">
        <f t="shared" si="147"/>
        <v>0</v>
      </c>
      <c r="AQ570" s="1144">
        <f t="shared" si="148"/>
        <v>0</v>
      </c>
      <c r="AR570" s="1146">
        <f t="shared" si="149"/>
        <v>68391.605634551612</v>
      </c>
    </row>
    <row r="571" spans="1:44" x14ac:dyDescent="0.2">
      <c r="A571" s="1141" t="str">
        <f t="shared" si="144"/>
        <v>1510</v>
      </c>
      <c r="B571" s="1141" t="str">
        <f>IFERROR(VLOOKUP(A571,'LAC 103'!A:C,3,FALSE),"")</f>
        <v>OP</v>
      </c>
      <c r="C571" s="1478" t="str">
        <f>Info!$B$8</f>
        <v>00100</v>
      </c>
      <c r="D571" s="1474" t="s">
        <v>256</v>
      </c>
      <c r="E571" s="1474" t="s">
        <v>95</v>
      </c>
      <c r="F571" s="1478" t="s">
        <v>77</v>
      </c>
      <c r="G571" s="1478" t="s">
        <v>77</v>
      </c>
      <c r="H571" s="1474" t="s">
        <v>988</v>
      </c>
      <c r="I571" s="1478" t="s">
        <v>811</v>
      </c>
      <c r="J571" s="1478"/>
      <c r="K571" s="1475" t="s">
        <v>847</v>
      </c>
      <c r="L571" s="1474" t="s">
        <v>582</v>
      </c>
      <c r="M571" s="1476" t="s">
        <v>840</v>
      </c>
      <c r="N571" s="1477" t="s">
        <v>1700</v>
      </c>
      <c r="O571" s="1479">
        <v>21548</v>
      </c>
      <c r="P571" s="1479"/>
      <c r="Q571" s="1142">
        <f t="shared" si="145"/>
        <v>21548</v>
      </c>
      <c r="R571" s="1143">
        <f>IFERROR(VLOOKUP(CONCATENATE(E571,G571),'LAC 103'!$A$12:$O$95,11,FALSE),0)</f>
        <v>3.2074101033884355</v>
      </c>
      <c r="S571" s="1144">
        <f>IFERROR(VLOOKUP(CONCATENATE($E571,$G571),'LAC 103'!$A$12:$O$95,12,FALSE),0)</f>
        <v>3.99</v>
      </c>
      <c r="T571" s="1144">
        <f>IFERROR(VLOOKUP(CONCATENATE($E571,$G571),'LAC 103'!$A$12:$O$95,13,FALSE),0)</f>
        <v>2.48</v>
      </c>
      <c r="U571" s="1144">
        <f>IFERROR(VLOOKUP(CONCATENATE($E571,$G571),'LAC 103'!$A$12:$O$95,14,FALSE),0)</f>
        <v>0</v>
      </c>
      <c r="V571" s="1144">
        <f>IFERROR(VLOOKUP(CONCATENATE($E571,$G571),'LAC 103'!$A$12:$O$95,15,FALSE),0)</f>
        <v>0</v>
      </c>
      <c r="W571" s="1145" t="str">
        <f>IFERROR(VLOOKUP(CONCATENATE($B571,$N571),'LAC 103'!$AI:$AQ,9,FALSE),"")</f>
        <v>P.C.</v>
      </c>
      <c r="X571" s="1146">
        <f t="shared" si="150"/>
        <v>2.48</v>
      </c>
      <c r="Y571" s="1143">
        <f t="shared" si="151"/>
        <v>69113.272907814011</v>
      </c>
      <c r="Z571" s="1147">
        <f t="shared" si="152"/>
        <v>85976.52</v>
      </c>
      <c r="AA571" s="1144">
        <f t="shared" si="153"/>
        <v>53439.040000000001</v>
      </c>
      <c r="AB571" s="1144">
        <f t="shared" si="154"/>
        <v>0</v>
      </c>
      <c r="AC571" s="1144">
        <f t="shared" si="155"/>
        <v>0</v>
      </c>
      <c r="AD571" s="1148">
        <f t="shared" si="146"/>
        <v>53439.040000000001</v>
      </c>
      <c r="AE571" s="1487">
        <v>0</v>
      </c>
      <c r="AF571" s="1145">
        <f t="shared" si="156"/>
        <v>53439.040000000001</v>
      </c>
      <c r="AG571" s="1149">
        <f>IFERROR(VLOOKUP(CONCATENATE($L571,$N571),'Drop List'!$G$23:$K$87,2,FALSE),0)</f>
        <v>0.55000000000000004</v>
      </c>
      <c r="AH571" s="1150">
        <f>IFERROR(VLOOKUP(CONCATENATE($L571,$N571),'Drop List'!$G$23:$K$87,3,FALSE),0)</f>
        <v>0.44999999999999996</v>
      </c>
      <c r="AI571" s="1150">
        <f>IFERROR(VLOOKUP(CONCATENATE($L571,$N571),'Drop List'!$G$23:$K$87,4,FALSE),0)</f>
        <v>0</v>
      </c>
      <c r="AJ571" s="1151">
        <f>IFERROR(VLOOKUP(CONCATENATE($L571,$N571),'Drop List'!$G$23:$K$87,5,FALSE),0)</f>
        <v>0</v>
      </c>
      <c r="AK571" s="1152">
        <f t="shared" si="157"/>
        <v>29391.472000000002</v>
      </c>
      <c r="AL571" s="1153">
        <f t="shared" si="158"/>
        <v>24047.567999999999</v>
      </c>
      <c r="AM571" s="1153">
        <f t="shared" si="159"/>
        <v>0</v>
      </c>
      <c r="AN571" s="1145">
        <f t="shared" si="160"/>
        <v>0</v>
      </c>
      <c r="AO571" s="1154">
        <f t="shared" si="161"/>
        <v>53439.040000000001</v>
      </c>
      <c r="AP571" s="1147">
        <f t="shared" si="147"/>
        <v>0</v>
      </c>
      <c r="AQ571" s="1144">
        <f t="shared" si="148"/>
        <v>0</v>
      </c>
      <c r="AR571" s="1146">
        <f t="shared" si="149"/>
        <v>53439.040000000001</v>
      </c>
    </row>
    <row r="572" spans="1:44" x14ac:dyDescent="0.2">
      <c r="A572" s="1141" t="str">
        <f t="shared" si="144"/>
        <v>1510</v>
      </c>
      <c r="B572" s="1141" t="str">
        <f>IFERROR(VLOOKUP(A572,'LAC 103'!A:C,3,FALSE),"")</f>
        <v>OP</v>
      </c>
      <c r="C572" s="1478" t="str">
        <f>Info!$B$8</f>
        <v>00100</v>
      </c>
      <c r="D572" s="1474" t="s">
        <v>256</v>
      </c>
      <c r="E572" s="1474" t="s">
        <v>95</v>
      </c>
      <c r="F572" s="1478" t="s">
        <v>77</v>
      </c>
      <c r="G572" s="1478" t="s">
        <v>77</v>
      </c>
      <c r="H572" s="1474" t="s">
        <v>988</v>
      </c>
      <c r="I572" s="1478" t="s">
        <v>811</v>
      </c>
      <c r="J572" s="1478"/>
      <c r="K572" s="1475" t="s">
        <v>847</v>
      </c>
      <c r="L572" s="1474" t="s">
        <v>582</v>
      </c>
      <c r="M572" s="1476" t="s">
        <v>842</v>
      </c>
      <c r="N572" s="1477" t="s">
        <v>1692</v>
      </c>
      <c r="O572" s="1479">
        <v>51942</v>
      </c>
      <c r="P572" s="1479"/>
      <c r="Q572" s="1142">
        <f t="shared" si="145"/>
        <v>51942</v>
      </c>
      <c r="R572" s="1143">
        <f>IFERROR(VLOOKUP(CONCATENATE(E572,G572),'LAC 103'!$A$12:$O$95,11,FALSE),0)</f>
        <v>3.2074101033884355</v>
      </c>
      <c r="S572" s="1144">
        <f>IFERROR(VLOOKUP(CONCATENATE($E572,$G572),'LAC 103'!$A$12:$O$95,12,FALSE),0)</f>
        <v>3.99</v>
      </c>
      <c r="T572" s="1144">
        <f>IFERROR(VLOOKUP(CONCATENATE($E572,$G572),'LAC 103'!$A$12:$O$95,13,FALSE),0)</f>
        <v>2.48</v>
      </c>
      <c r="U572" s="1144">
        <f>IFERROR(VLOOKUP(CONCATENATE($E572,$G572),'LAC 103'!$A$12:$O$95,14,FALSE),0)</f>
        <v>0</v>
      </c>
      <c r="V572" s="1144">
        <f>IFERROR(VLOOKUP(CONCATENATE($E572,$G572),'LAC 103'!$A$12:$O$95,15,FALSE),0)</f>
        <v>0</v>
      </c>
      <c r="W572" s="1145" t="str">
        <f>IFERROR(VLOOKUP(CONCATENATE($B572,$N572),'LAC 103'!$AI:$AQ,9,FALSE),"")</f>
        <v>Costs</v>
      </c>
      <c r="X572" s="1146">
        <f t="shared" si="150"/>
        <v>3.2074101033884355</v>
      </c>
      <c r="Y572" s="1143">
        <f t="shared" si="151"/>
        <v>166599.29559020212</v>
      </c>
      <c r="Z572" s="1147">
        <f t="shared" si="152"/>
        <v>207248.58000000002</v>
      </c>
      <c r="AA572" s="1144">
        <f t="shared" si="153"/>
        <v>128816.16</v>
      </c>
      <c r="AB572" s="1144">
        <f t="shared" si="154"/>
        <v>0</v>
      </c>
      <c r="AC572" s="1144">
        <f t="shared" si="155"/>
        <v>0</v>
      </c>
      <c r="AD572" s="1148">
        <f t="shared" si="146"/>
        <v>166599.29559020212</v>
      </c>
      <c r="AE572" s="1487">
        <v>0</v>
      </c>
      <c r="AF572" s="1145">
        <f t="shared" si="156"/>
        <v>166599.29559020212</v>
      </c>
      <c r="AG572" s="1149">
        <f>IFERROR(VLOOKUP(CONCATENATE($L572,$N572),'Drop List'!$G$23:$K$87,2,FALSE),0)</f>
        <v>0.56200000000000006</v>
      </c>
      <c r="AH572" s="1150">
        <f>IFERROR(VLOOKUP(CONCATENATE($L572,$N572),'Drop List'!$G$23:$K$87,3,FALSE),0)</f>
        <v>0.43799999999999994</v>
      </c>
      <c r="AI572" s="1150">
        <f>IFERROR(VLOOKUP(CONCATENATE($L572,$N572),'Drop List'!$G$23:$K$87,4,FALSE),0)</f>
        <v>0</v>
      </c>
      <c r="AJ572" s="1151">
        <f>IFERROR(VLOOKUP(CONCATENATE($L572,$N572),'Drop List'!$G$23:$K$87,5,FALSE),0)</f>
        <v>0</v>
      </c>
      <c r="AK572" s="1152">
        <f t="shared" si="157"/>
        <v>93628.804121693596</v>
      </c>
      <c r="AL572" s="1153">
        <f t="shared" si="158"/>
        <v>72970.491468508524</v>
      </c>
      <c r="AM572" s="1153">
        <f t="shared" si="159"/>
        <v>0</v>
      </c>
      <c r="AN572" s="1145">
        <f t="shared" si="160"/>
        <v>0</v>
      </c>
      <c r="AO572" s="1154">
        <f t="shared" si="161"/>
        <v>166599.29559020212</v>
      </c>
      <c r="AP572" s="1147">
        <f t="shared" si="147"/>
        <v>0</v>
      </c>
      <c r="AQ572" s="1144">
        <f t="shared" si="148"/>
        <v>0</v>
      </c>
      <c r="AR572" s="1146">
        <f t="shared" si="149"/>
        <v>166599.29559020212</v>
      </c>
    </row>
    <row r="573" spans="1:44" x14ac:dyDescent="0.2">
      <c r="A573" s="1141" t="str">
        <f t="shared" si="144"/>
        <v>1510</v>
      </c>
      <c r="B573" s="1141" t="str">
        <f>IFERROR(VLOOKUP(A573,'LAC 103'!A:C,3,FALSE),"")</f>
        <v>OP</v>
      </c>
      <c r="C573" s="1478" t="str">
        <f>Info!$B$8</f>
        <v>00100</v>
      </c>
      <c r="D573" s="1474" t="s">
        <v>256</v>
      </c>
      <c r="E573" s="1474" t="s">
        <v>95</v>
      </c>
      <c r="F573" s="1478" t="s">
        <v>77</v>
      </c>
      <c r="G573" s="1478" t="s">
        <v>77</v>
      </c>
      <c r="H573" s="1474" t="s">
        <v>988</v>
      </c>
      <c r="I573" s="1478" t="s">
        <v>811</v>
      </c>
      <c r="J573" s="1478"/>
      <c r="K573" s="1475" t="s">
        <v>847</v>
      </c>
      <c r="L573" s="1474" t="s">
        <v>582</v>
      </c>
      <c r="M573" s="1476" t="s">
        <v>1698</v>
      </c>
      <c r="N573" s="1477" t="s">
        <v>1693</v>
      </c>
      <c r="O573" s="1479">
        <v>44310</v>
      </c>
      <c r="P573" s="1479"/>
      <c r="Q573" s="1142">
        <f t="shared" si="145"/>
        <v>44310</v>
      </c>
      <c r="R573" s="1143">
        <f>IFERROR(VLOOKUP(CONCATENATE(E573,G573),'LAC 103'!$A$12:$O$95,11,FALSE),0)</f>
        <v>3.2074101033884355</v>
      </c>
      <c r="S573" s="1144">
        <f>IFERROR(VLOOKUP(CONCATENATE($E573,$G573),'LAC 103'!$A$12:$O$95,12,FALSE),0)</f>
        <v>3.99</v>
      </c>
      <c r="T573" s="1144">
        <f>IFERROR(VLOOKUP(CONCATENATE($E573,$G573),'LAC 103'!$A$12:$O$95,13,FALSE),0)</f>
        <v>2.48</v>
      </c>
      <c r="U573" s="1144">
        <f>IFERROR(VLOOKUP(CONCATENATE($E573,$G573),'LAC 103'!$A$12:$O$95,14,FALSE),0)</f>
        <v>0</v>
      </c>
      <c r="V573" s="1144">
        <f>IFERROR(VLOOKUP(CONCATENATE($E573,$G573),'LAC 103'!$A$12:$O$95,15,FALSE),0)</f>
        <v>0</v>
      </c>
      <c r="W573" s="1145" t="str">
        <f>IFERROR(VLOOKUP(CONCATENATE($B573,$N573),'LAC 103'!$AI:$AQ,9,FALSE),"")</f>
        <v>Costs</v>
      </c>
      <c r="X573" s="1146">
        <f t="shared" si="150"/>
        <v>3.2074101033884355</v>
      </c>
      <c r="Y573" s="1143">
        <f t="shared" si="151"/>
        <v>142120.34168114158</v>
      </c>
      <c r="Z573" s="1147">
        <f t="shared" si="152"/>
        <v>176796.90000000002</v>
      </c>
      <c r="AA573" s="1144">
        <f t="shared" si="153"/>
        <v>109888.8</v>
      </c>
      <c r="AB573" s="1144">
        <f t="shared" si="154"/>
        <v>0</v>
      </c>
      <c r="AC573" s="1144">
        <f t="shared" si="155"/>
        <v>0</v>
      </c>
      <c r="AD573" s="1148">
        <f t="shared" si="146"/>
        <v>142120.34168114158</v>
      </c>
      <c r="AE573" s="1487">
        <v>0</v>
      </c>
      <c r="AF573" s="1145">
        <f t="shared" si="156"/>
        <v>142120.34168114158</v>
      </c>
      <c r="AG573" s="1149">
        <f>IFERROR(VLOOKUP(CONCATENATE($L573,$N573),'Drop List'!$G$23:$K$87,2,FALSE),0)</f>
        <v>0.56200000000000006</v>
      </c>
      <c r="AH573" s="1150">
        <f>IFERROR(VLOOKUP(CONCATENATE($L573,$N573),'Drop List'!$G$23:$K$87,3,FALSE),0)</f>
        <v>0.43799999999999994</v>
      </c>
      <c r="AI573" s="1150">
        <f>IFERROR(VLOOKUP(CONCATENATE($L573,$N573),'Drop List'!$G$23:$K$87,4,FALSE),0)</f>
        <v>0</v>
      </c>
      <c r="AJ573" s="1151">
        <f>IFERROR(VLOOKUP(CONCATENATE($L573,$N573),'Drop List'!$G$23:$K$87,5,FALSE),0)</f>
        <v>0</v>
      </c>
      <c r="AK573" s="1152">
        <f t="shared" si="157"/>
        <v>79871.632024801569</v>
      </c>
      <c r="AL573" s="1153">
        <f t="shared" si="158"/>
        <v>62248.709656340005</v>
      </c>
      <c r="AM573" s="1153">
        <f t="shared" si="159"/>
        <v>0</v>
      </c>
      <c r="AN573" s="1145">
        <f t="shared" si="160"/>
        <v>0</v>
      </c>
      <c r="AO573" s="1154">
        <f t="shared" si="161"/>
        <v>142120.34168114158</v>
      </c>
      <c r="AP573" s="1147">
        <f t="shared" si="147"/>
        <v>0</v>
      </c>
      <c r="AQ573" s="1144">
        <f t="shared" si="148"/>
        <v>0</v>
      </c>
      <c r="AR573" s="1146">
        <f t="shared" si="149"/>
        <v>142120.34168114158</v>
      </c>
    </row>
    <row r="574" spans="1:44" x14ac:dyDescent="0.2">
      <c r="A574" s="1141" t="str">
        <f t="shared" si="144"/>
        <v>1510</v>
      </c>
      <c r="B574" s="1141" t="str">
        <f>IFERROR(VLOOKUP(A574,'LAC 103'!A:C,3,FALSE),"")</f>
        <v>OP</v>
      </c>
      <c r="C574" s="1478" t="str">
        <f>Info!$B$8</f>
        <v>00100</v>
      </c>
      <c r="D574" s="1474" t="s">
        <v>256</v>
      </c>
      <c r="E574" s="1474" t="s">
        <v>95</v>
      </c>
      <c r="F574" s="1478" t="s">
        <v>77</v>
      </c>
      <c r="G574" s="1478" t="s">
        <v>77</v>
      </c>
      <c r="H574" s="1474" t="s">
        <v>988</v>
      </c>
      <c r="I574" s="1478" t="s">
        <v>811</v>
      </c>
      <c r="J574" s="1478"/>
      <c r="K574" s="1475" t="s">
        <v>852</v>
      </c>
      <c r="L574" s="1474" t="s">
        <v>591</v>
      </c>
      <c r="M574" s="1476" t="s">
        <v>840</v>
      </c>
      <c r="N574" s="1477" t="s">
        <v>1700</v>
      </c>
      <c r="O574" s="1479">
        <v>34</v>
      </c>
      <c r="P574" s="1479"/>
      <c r="Q574" s="1142">
        <f t="shared" si="145"/>
        <v>34</v>
      </c>
      <c r="R574" s="1143">
        <f>IFERROR(VLOOKUP(CONCATENATE(E574,G574),'LAC 103'!$A$12:$O$95,11,FALSE),0)</f>
        <v>3.2074101033884355</v>
      </c>
      <c r="S574" s="1144">
        <f>IFERROR(VLOOKUP(CONCATENATE($E574,$G574),'LAC 103'!$A$12:$O$95,12,FALSE),0)</f>
        <v>3.99</v>
      </c>
      <c r="T574" s="1144">
        <f>IFERROR(VLOOKUP(CONCATENATE($E574,$G574),'LAC 103'!$A$12:$O$95,13,FALSE),0)</f>
        <v>2.48</v>
      </c>
      <c r="U574" s="1144">
        <f>IFERROR(VLOOKUP(CONCATENATE($E574,$G574),'LAC 103'!$A$12:$O$95,14,FALSE),0)</f>
        <v>0</v>
      </c>
      <c r="V574" s="1144">
        <f>IFERROR(VLOOKUP(CONCATENATE($E574,$G574),'LAC 103'!$A$12:$O$95,15,FALSE),0)</f>
        <v>0</v>
      </c>
      <c r="W574" s="1145" t="str">
        <f>IFERROR(VLOOKUP(CONCATENATE($B574,$N574),'LAC 103'!$AI:$AQ,9,FALSE),"")</f>
        <v>P.C.</v>
      </c>
      <c r="X574" s="1146">
        <f t="shared" si="150"/>
        <v>2.48</v>
      </c>
      <c r="Y574" s="1143">
        <f t="shared" si="151"/>
        <v>109.0519435152068</v>
      </c>
      <c r="Z574" s="1147">
        <f t="shared" si="152"/>
        <v>135.66</v>
      </c>
      <c r="AA574" s="1144">
        <f t="shared" si="153"/>
        <v>84.32</v>
      </c>
      <c r="AB574" s="1144">
        <f t="shared" si="154"/>
        <v>0</v>
      </c>
      <c r="AC574" s="1144">
        <f t="shared" si="155"/>
        <v>0</v>
      </c>
      <c r="AD574" s="1148">
        <f t="shared" si="146"/>
        <v>84.32</v>
      </c>
      <c r="AE574" s="1487">
        <v>0</v>
      </c>
      <c r="AF574" s="1145">
        <f t="shared" si="156"/>
        <v>84.32</v>
      </c>
      <c r="AG574" s="1149">
        <f>IFERROR(VLOOKUP(CONCATENATE($L574,$N574),'Drop List'!$G$23:$K$87,2,FALSE),0)</f>
        <v>0.68500000000000005</v>
      </c>
      <c r="AH574" s="1150">
        <f>IFERROR(VLOOKUP(CONCATENATE($L574,$N574),'Drop List'!$G$23:$K$87,3,FALSE),0)</f>
        <v>0</v>
      </c>
      <c r="AI574" s="1150">
        <f>IFERROR(VLOOKUP(CONCATENATE($L574,$N574),'Drop List'!$G$23:$K$87,4,FALSE),0)</f>
        <v>0</v>
      </c>
      <c r="AJ574" s="1151">
        <f>IFERROR(VLOOKUP(CONCATENATE($L574,$N574),'Drop List'!$G$23:$K$87,5,FALSE),0)</f>
        <v>0.31499999999999995</v>
      </c>
      <c r="AK574" s="1152">
        <f t="shared" si="157"/>
        <v>57.7592</v>
      </c>
      <c r="AL574" s="1153">
        <f t="shared" si="158"/>
        <v>0</v>
      </c>
      <c r="AM574" s="1153">
        <f t="shared" si="159"/>
        <v>0</v>
      </c>
      <c r="AN574" s="1145">
        <f t="shared" si="160"/>
        <v>26.560799999999993</v>
      </c>
      <c r="AO574" s="1154">
        <f t="shared" si="161"/>
        <v>84.32</v>
      </c>
      <c r="AP574" s="1147">
        <f t="shared" si="147"/>
        <v>0</v>
      </c>
      <c r="AQ574" s="1144">
        <f t="shared" si="148"/>
        <v>0</v>
      </c>
      <c r="AR574" s="1146">
        <f t="shared" si="149"/>
        <v>84.32</v>
      </c>
    </row>
    <row r="575" spans="1:44" x14ac:dyDescent="0.2">
      <c r="A575" s="1141" t="str">
        <f t="shared" ref="A575:A638" si="162">IF(CONCATENATE(E575,G575)="","",CONCATENATE(E575,G575))</f>
        <v>1510</v>
      </c>
      <c r="B575" s="1141" t="str">
        <f>IFERROR(VLOOKUP(A575,'LAC 103'!A:C,3,FALSE),"")</f>
        <v>OP</v>
      </c>
      <c r="C575" s="1478" t="str">
        <f>Info!$B$8</f>
        <v>00100</v>
      </c>
      <c r="D575" s="1474" t="s">
        <v>256</v>
      </c>
      <c r="E575" s="1474" t="s">
        <v>95</v>
      </c>
      <c r="F575" s="1478" t="s">
        <v>77</v>
      </c>
      <c r="G575" s="1478" t="s">
        <v>77</v>
      </c>
      <c r="H575" s="1474" t="s">
        <v>988</v>
      </c>
      <c r="I575" s="1478" t="s">
        <v>811</v>
      </c>
      <c r="J575" s="1478"/>
      <c r="K575" s="1475" t="s">
        <v>852</v>
      </c>
      <c r="L575" s="1474" t="s">
        <v>591</v>
      </c>
      <c r="M575" s="1476" t="s">
        <v>842</v>
      </c>
      <c r="N575" s="1477" t="s">
        <v>1692</v>
      </c>
      <c r="O575" s="1479">
        <v>42</v>
      </c>
      <c r="P575" s="1479"/>
      <c r="Q575" s="1142">
        <f t="shared" ref="Q575:Q638" si="163">O575+P575</f>
        <v>42</v>
      </c>
      <c r="R575" s="1143">
        <f>IFERROR(VLOOKUP(CONCATENATE(E575,G575),'LAC 103'!$A$12:$O$95,11,FALSE),0)</f>
        <v>3.2074101033884355</v>
      </c>
      <c r="S575" s="1144">
        <f>IFERROR(VLOOKUP(CONCATENATE($E575,$G575),'LAC 103'!$A$12:$O$95,12,FALSE),0)</f>
        <v>3.99</v>
      </c>
      <c r="T575" s="1144">
        <f>IFERROR(VLOOKUP(CONCATENATE($E575,$G575),'LAC 103'!$A$12:$O$95,13,FALSE),0)</f>
        <v>2.48</v>
      </c>
      <c r="U575" s="1144">
        <f>IFERROR(VLOOKUP(CONCATENATE($E575,$G575),'LAC 103'!$A$12:$O$95,14,FALSE),0)</f>
        <v>0</v>
      </c>
      <c r="V575" s="1144">
        <f>IFERROR(VLOOKUP(CONCATENATE($E575,$G575),'LAC 103'!$A$12:$O$95,15,FALSE),0)</f>
        <v>0</v>
      </c>
      <c r="W575" s="1145" t="str">
        <f>IFERROR(VLOOKUP(CONCATENATE($B575,$N575),'LAC 103'!$AI:$AQ,9,FALSE),"")</f>
        <v>Costs</v>
      </c>
      <c r="X575" s="1146">
        <f t="shared" si="150"/>
        <v>3.2074101033884355</v>
      </c>
      <c r="Y575" s="1143">
        <f t="shared" si="151"/>
        <v>134.7112243423143</v>
      </c>
      <c r="Z575" s="1147">
        <f t="shared" si="152"/>
        <v>167.58</v>
      </c>
      <c r="AA575" s="1144">
        <f t="shared" si="153"/>
        <v>104.16</v>
      </c>
      <c r="AB575" s="1144">
        <f t="shared" si="154"/>
        <v>0</v>
      </c>
      <c r="AC575" s="1144">
        <f t="shared" si="155"/>
        <v>0</v>
      </c>
      <c r="AD575" s="1148">
        <f t="shared" si="146"/>
        <v>134.7112243423143</v>
      </c>
      <c r="AE575" s="1487">
        <v>0</v>
      </c>
      <c r="AF575" s="1145">
        <f t="shared" si="156"/>
        <v>134.7112243423143</v>
      </c>
      <c r="AG575" s="1149">
        <f>IFERROR(VLOOKUP(CONCATENATE($L575,$N575),'Drop List'!$G$23:$K$87,2,FALSE),0)</f>
        <v>0.69340000000000002</v>
      </c>
      <c r="AH575" s="1150">
        <f>IFERROR(VLOOKUP(CONCATENATE($L575,$N575),'Drop List'!$G$23:$K$87,3,FALSE),0)</f>
        <v>0</v>
      </c>
      <c r="AI575" s="1150">
        <f>IFERROR(VLOOKUP(CONCATENATE($L575,$N575),'Drop List'!$G$23:$K$87,4,FALSE),0)</f>
        <v>0</v>
      </c>
      <c r="AJ575" s="1151">
        <f>IFERROR(VLOOKUP(CONCATENATE($L575,$N575),'Drop List'!$G$23:$K$87,5,FALSE),0)</f>
        <v>0.30659999999999998</v>
      </c>
      <c r="AK575" s="1152">
        <f t="shared" si="157"/>
        <v>93.408762958960736</v>
      </c>
      <c r="AL575" s="1153">
        <f t="shared" si="158"/>
        <v>0</v>
      </c>
      <c r="AM575" s="1153">
        <f t="shared" si="159"/>
        <v>0</v>
      </c>
      <c r="AN575" s="1145">
        <f t="shared" si="160"/>
        <v>41.30246138335356</v>
      </c>
      <c r="AO575" s="1154">
        <f t="shared" si="161"/>
        <v>134.7112243423143</v>
      </c>
      <c r="AP575" s="1147">
        <f t="shared" si="147"/>
        <v>0</v>
      </c>
      <c r="AQ575" s="1144">
        <f t="shared" si="148"/>
        <v>0</v>
      </c>
      <c r="AR575" s="1146">
        <f t="shared" si="149"/>
        <v>134.7112243423143</v>
      </c>
    </row>
    <row r="576" spans="1:44" x14ac:dyDescent="0.2">
      <c r="A576" s="1141" t="str">
        <f t="shared" si="162"/>
        <v>1510</v>
      </c>
      <c r="B576" s="1141" t="str">
        <f>IFERROR(VLOOKUP(A576,'LAC 103'!A:C,3,FALSE),"")</f>
        <v>OP</v>
      </c>
      <c r="C576" s="1478" t="str">
        <f>Info!$B$8</f>
        <v>00100</v>
      </c>
      <c r="D576" s="1474" t="s">
        <v>256</v>
      </c>
      <c r="E576" s="1474" t="s">
        <v>95</v>
      </c>
      <c r="F576" s="1478" t="s">
        <v>77</v>
      </c>
      <c r="G576" s="1478" t="s">
        <v>77</v>
      </c>
      <c r="H576" s="1474" t="s">
        <v>988</v>
      </c>
      <c r="I576" s="1478" t="s">
        <v>811</v>
      </c>
      <c r="J576" s="1478"/>
      <c r="K576" s="1475" t="s">
        <v>848</v>
      </c>
      <c r="L576" s="1474" t="s">
        <v>45</v>
      </c>
      <c r="M576" s="1476" t="s">
        <v>1699</v>
      </c>
      <c r="N576" s="1477" t="s">
        <v>1694</v>
      </c>
      <c r="O576" s="1479">
        <v>9126</v>
      </c>
      <c r="P576" s="1479"/>
      <c r="Q576" s="1142">
        <f t="shared" si="163"/>
        <v>9126</v>
      </c>
      <c r="R576" s="1143">
        <f>IFERROR(VLOOKUP(CONCATENATE(E576,G576),'LAC 103'!$A$12:$O$95,11,FALSE),0)</f>
        <v>3.2074101033884355</v>
      </c>
      <c r="S576" s="1144">
        <f>IFERROR(VLOOKUP(CONCATENATE($E576,$G576),'LAC 103'!$A$12:$O$95,12,FALSE),0)</f>
        <v>3.99</v>
      </c>
      <c r="T576" s="1144">
        <f>IFERROR(VLOOKUP(CONCATENATE($E576,$G576),'LAC 103'!$A$12:$O$95,13,FALSE),0)</f>
        <v>2.48</v>
      </c>
      <c r="U576" s="1144">
        <f>IFERROR(VLOOKUP(CONCATENATE($E576,$G576),'LAC 103'!$A$12:$O$95,14,FALSE),0)</f>
        <v>0</v>
      </c>
      <c r="V576" s="1144">
        <f>IFERROR(VLOOKUP(CONCATENATE($E576,$G576),'LAC 103'!$A$12:$O$95,15,FALSE),0)</f>
        <v>0</v>
      </c>
      <c r="W576" s="1145" t="str">
        <f>IFERROR(VLOOKUP(CONCATENATE($B576,$N576),'LAC 103'!$AI:$AQ,9,FALSE),"")</f>
        <v>Costs</v>
      </c>
      <c r="X576" s="1146">
        <f t="shared" si="150"/>
        <v>3.2074101033884355</v>
      </c>
      <c r="Y576" s="1143">
        <f t="shared" si="151"/>
        <v>29270.824603522862</v>
      </c>
      <c r="Z576" s="1147">
        <f t="shared" si="152"/>
        <v>36412.740000000005</v>
      </c>
      <c r="AA576" s="1144">
        <f t="shared" si="153"/>
        <v>22632.48</v>
      </c>
      <c r="AB576" s="1144">
        <f t="shared" si="154"/>
        <v>0</v>
      </c>
      <c r="AC576" s="1144">
        <f t="shared" si="155"/>
        <v>0</v>
      </c>
      <c r="AD576" s="1148">
        <f t="shared" si="146"/>
        <v>29270.824603522862</v>
      </c>
      <c r="AE576" s="1487">
        <v>0</v>
      </c>
      <c r="AF576" s="1145">
        <f t="shared" si="156"/>
        <v>29270.824603522862</v>
      </c>
      <c r="AG576" s="1149">
        <f>IFERROR(VLOOKUP(CONCATENATE($L576,$N576),'Drop List'!$G$23:$K$87,2,FALSE),0)</f>
        <v>0.69340000000000002</v>
      </c>
      <c r="AH576" s="1150">
        <f>IFERROR(VLOOKUP(CONCATENATE($L576,$N576),'Drop List'!$G$23:$K$87,3,FALSE),0)</f>
        <v>0.30659999999999998</v>
      </c>
      <c r="AI576" s="1150">
        <f>IFERROR(VLOOKUP(CONCATENATE($L576,$N576),'Drop List'!$G$23:$K$87,4,FALSE),0)</f>
        <v>0</v>
      </c>
      <c r="AJ576" s="1151">
        <f>IFERROR(VLOOKUP(CONCATENATE($L576,$N576),'Drop List'!$G$23:$K$87,5,FALSE),0)</f>
        <v>0</v>
      </c>
      <c r="AK576" s="1152">
        <f t="shared" si="157"/>
        <v>20296.389780082754</v>
      </c>
      <c r="AL576" s="1153">
        <f t="shared" si="158"/>
        <v>8974.4348234401095</v>
      </c>
      <c r="AM576" s="1153">
        <f t="shared" si="159"/>
        <v>0</v>
      </c>
      <c r="AN576" s="1145">
        <f t="shared" si="160"/>
        <v>0</v>
      </c>
      <c r="AO576" s="1154">
        <f t="shared" si="161"/>
        <v>29270.824603522866</v>
      </c>
      <c r="AP576" s="1147">
        <f t="shared" si="147"/>
        <v>0</v>
      </c>
      <c r="AQ576" s="1144">
        <f t="shared" si="148"/>
        <v>0</v>
      </c>
      <c r="AR576" s="1146">
        <f t="shared" si="149"/>
        <v>29270.824603522866</v>
      </c>
    </row>
    <row r="577" spans="1:44" x14ac:dyDescent="0.2">
      <c r="A577" s="1141" t="str">
        <f t="shared" si="162"/>
        <v>1510</v>
      </c>
      <c r="B577" s="1141" t="str">
        <f>IFERROR(VLOOKUP(A577,'LAC 103'!A:C,3,FALSE),"")</f>
        <v>OP</v>
      </c>
      <c r="C577" s="1478" t="str">
        <f>Info!$B$8</f>
        <v>00100</v>
      </c>
      <c r="D577" s="1474" t="s">
        <v>256</v>
      </c>
      <c r="E577" s="1474" t="s">
        <v>95</v>
      </c>
      <c r="F577" s="1478" t="s">
        <v>77</v>
      </c>
      <c r="G577" s="1478" t="s">
        <v>77</v>
      </c>
      <c r="H577" s="1474" t="s">
        <v>988</v>
      </c>
      <c r="I577" s="1478" t="s">
        <v>811</v>
      </c>
      <c r="J577" s="1478"/>
      <c r="K577" s="1475" t="s">
        <v>848</v>
      </c>
      <c r="L577" s="1474" t="s">
        <v>45</v>
      </c>
      <c r="M577" s="1476" t="s">
        <v>841</v>
      </c>
      <c r="N577" s="1477" t="s">
        <v>1695</v>
      </c>
      <c r="O577" s="1479">
        <v>3570</v>
      </c>
      <c r="P577" s="1479"/>
      <c r="Q577" s="1142">
        <f t="shared" si="163"/>
        <v>3570</v>
      </c>
      <c r="R577" s="1143">
        <f>IFERROR(VLOOKUP(CONCATENATE(E577,G577),'LAC 103'!$A$12:$O$95,11,FALSE),0)</f>
        <v>3.2074101033884355</v>
      </c>
      <c r="S577" s="1144">
        <f>IFERROR(VLOOKUP(CONCATENATE($E577,$G577),'LAC 103'!$A$12:$O$95,12,FALSE),0)</f>
        <v>3.99</v>
      </c>
      <c r="T577" s="1144">
        <f>IFERROR(VLOOKUP(CONCATENATE($E577,$G577),'LAC 103'!$A$12:$O$95,13,FALSE),0)</f>
        <v>2.48</v>
      </c>
      <c r="U577" s="1144">
        <f>IFERROR(VLOOKUP(CONCATENATE($E577,$G577),'LAC 103'!$A$12:$O$95,14,FALSE),0)</f>
        <v>0</v>
      </c>
      <c r="V577" s="1144">
        <f>IFERROR(VLOOKUP(CONCATENATE($E577,$G577),'LAC 103'!$A$12:$O$95,15,FALSE),0)</f>
        <v>0</v>
      </c>
      <c r="W577" s="1145" t="str">
        <f>IFERROR(VLOOKUP(CONCATENATE($B577,$N577),'LAC 103'!$AI:$AQ,9,FALSE),"")</f>
        <v>Costs</v>
      </c>
      <c r="X577" s="1146">
        <f t="shared" si="150"/>
        <v>3.2074101033884355</v>
      </c>
      <c r="Y577" s="1143">
        <f t="shared" si="151"/>
        <v>11450.454069096715</v>
      </c>
      <c r="Z577" s="1147">
        <f t="shared" si="152"/>
        <v>14244.300000000001</v>
      </c>
      <c r="AA577" s="1144">
        <f t="shared" si="153"/>
        <v>8853.6</v>
      </c>
      <c r="AB577" s="1144">
        <f t="shared" si="154"/>
        <v>0</v>
      </c>
      <c r="AC577" s="1144">
        <f t="shared" si="155"/>
        <v>0</v>
      </c>
      <c r="AD577" s="1148">
        <f t="shared" si="146"/>
        <v>11450.454069096715</v>
      </c>
      <c r="AE577" s="1487">
        <v>0</v>
      </c>
      <c r="AF577" s="1145">
        <f t="shared" si="156"/>
        <v>11450.454069096715</v>
      </c>
      <c r="AG577" s="1149">
        <f>IFERROR(VLOOKUP(CONCATENATE($L577,$N577),'Drop List'!$G$23:$K$87,2,FALSE),0)</f>
        <v>0.68500000000000005</v>
      </c>
      <c r="AH577" s="1150">
        <f>IFERROR(VLOOKUP(CONCATENATE($L577,$N577),'Drop List'!$G$23:$K$87,3,FALSE),0)</f>
        <v>0.31499999999999995</v>
      </c>
      <c r="AI577" s="1150">
        <f>IFERROR(VLOOKUP(CONCATENATE($L577,$N577),'Drop List'!$G$23:$K$87,4,FALSE),0)</f>
        <v>0</v>
      </c>
      <c r="AJ577" s="1151">
        <f>IFERROR(VLOOKUP(CONCATENATE($L577,$N577),'Drop List'!$G$23:$K$87,5,FALSE),0)</f>
        <v>0</v>
      </c>
      <c r="AK577" s="1152">
        <f t="shared" si="157"/>
        <v>7843.5610373312502</v>
      </c>
      <c r="AL577" s="1153">
        <f t="shared" si="158"/>
        <v>3606.8930317654645</v>
      </c>
      <c r="AM577" s="1153">
        <f t="shared" si="159"/>
        <v>0</v>
      </c>
      <c r="AN577" s="1145">
        <f t="shared" si="160"/>
        <v>0</v>
      </c>
      <c r="AO577" s="1154">
        <f t="shared" si="161"/>
        <v>11450.454069096715</v>
      </c>
      <c r="AP577" s="1147">
        <f t="shared" si="147"/>
        <v>0</v>
      </c>
      <c r="AQ577" s="1144">
        <f t="shared" si="148"/>
        <v>0</v>
      </c>
      <c r="AR577" s="1146">
        <f t="shared" si="149"/>
        <v>11450.454069096715</v>
      </c>
    </row>
    <row r="578" spans="1:44" x14ac:dyDescent="0.2">
      <c r="A578" s="1141" t="str">
        <f t="shared" si="162"/>
        <v>1510</v>
      </c>
      <c r="B578" s="1141" t="str">
        <f>IFERROR(VLOOKUP(A578,'LAC 103'!A:C,3,FALSE),"")</f>
        <v>OP</v>
      </c>
      <c r="C578" s="1478" t="str">
        <f>Info!$B$8</f>
        <v>00100</v>
      </c>
      <c r="D578" s="1474" t="s">
        <v>256</v>
      </c>
      <c r="E578" s="1474" t="s">
        <v>95</v>
      </c>
      <c r="F578" s="1478" t="s">
        <v>77</v>
      </c>
      <c r="G578" s="1478" t="s">
        <v>77</v>
      </c>
      <c r="H578" s="1474" t="s">
        <v>988</v>
      </c>
      <c r="I578" s="1478" t="s">
        <v>811</v>
      </c>
      <c r="J578" s="1478"/>
      <c r="K578" s="1475" t="s">
        <v>848</v>
      </c>
      <c r="L578" s="1474" t="s">
        <v>45</v>
      </c>
      <c r="M578" s="1476" t="s">
        <v>840</v>
      </c>
      <c r="N578" s="1477" t="s">
        <v>1700</v>
      </c>
      <c r="O578" s="1479">
        <v>4388</v>
      </c>
      <c r="P578" s="1479"/>
      <c r="Q578" s="1142">
        <f t="shared" si="163"/>
        <v>4388</v>
      </c>
      <c r="R578" s="1143">
        <f>IFERROR(VLOOKUP(CONCATENATE(E578,G578),'LAC 103'!$A$12:$O$95,11,FALSE),0)</f>
        <v>3.2074101033884355</v>
      </c>
      <c r="S578" s="1144">
        <f>IFERROR(VLOOKUP(CONCATENATE($E578,$G578),'LAC 103'!$A$12:$O$95,12,FALSE),0)</f>
        <v>3.99</v>
      </c>
      <c r="T578" s="1144">
        <f>IFERROR(VLOOKUP(CONCATENATE($E578,$G578),'LAC 103'!$A$12:$O$95,13,FALSE),0)</f>
        <v>2.48</v>
      </c>
      <c r="U578" s="1144">
        <f>IFERROR(VLOOKUP(CONCATENATE($E578,$G578),'LAC 103'!$A$12:$O$95,14,FALSE),0)</f>
        <v>0</v>
      </c>
      <c r="V578" s="1144">
        <f>IFERROR(VLOOKUP(CONCATENATE($E578,$G578),'LAC 103'!$A$12:$O$95,15,FALSE),0)</f>
        <v>0</v>
      </c>
      <c r="W578" s="1145" t="str">
        <f>IFERROR(VLOOKUP(CONCATENATE($B578,$N578),'LAC 103'!$AI:$AQ,9,FALSE),"")</f>
        <v>P.C.</v>
      </c>
      <c r="X578" s="1146">
        <f t="shared" si="150"/>
        <v>2.48</v>
      </c>
      <c r="Y578" s="1143">
        <f t="shared" si="151"/>
        <v>14074.115533668455</v>
      </c>
      <c r="Z578" s="1147">
        <f t="shared" si="152"/>
        <v>17508.120000000003</v>
      </c>
      <c r="AA578" s="1144">
        <f t="shared" si="153"/>
        <v>10882.24</v>
      </c>
      <c r="AB578" s="1144">
        <f t="shared" si="154"/>
        <v>0</v>
      </c>
      <c r="AC578" s="1144">
        <f t="shared" si="155"/>
        <v>0</v>
      </c>
      <c r="AD578" s="1148">
        <f t="shared" si="146"/>
        <v>10882.24</v>
      </c>
      <c r="AE578" s="1487">
        <v>0</v>
      </c>
      <c r="AF578" s="1145">
        <f t="shared" si="156"/>
        <v>10882.24</v>
      </c>
      <c r="AG578" s="1149">
        <f>IFERROR(VLOOKUP(CONCATENATE($L578,$N578),'Drop List'!$G$23:$K$87,2,FALSE),0)</f>
        <v>0.68500000000000005</v>
      </c>
      <c r="AH578" s="1150">
        <f>IFERROR(VLOOKUP(CONCATENATE($L578,$N578),'Drop List'!$G$23:$K$87,3,FALSE),0)</f>
        <v>0.31499999999999995</v>
      </c>
      <c r="AI578" s="1150">
        <f>IFERROR(VLOOKUP(CONCATENATE($L578,$N578),'Drop List'!$G$23:$K$87,4,FALSE),0)</f>
        <v>0</v>
      </c>
      <c r="AJ578" s="1151">
        <f>IFERROR(VLOOKUP(CONCATENATE($L578,$N578),'Drop List'!$G$23:$K$87,5,FALSE),0)</f>
        <v>0</v>
      </c>
      <c r="AK578" s="1152">
        <f t="shared" si="157"/>
        <v>7454.3344000000006</v>
      </c>
      <c r="AL578" s="1153">
        <f t="shared" si="158"/>
        <v>3427.9055999999991</v>
      </c>
      <c r="AM578" s="1153">
        <f t="shared" si="159"/>
        <v>0</v>
      </c>
      <c r="AN578" s="1145">
        <f t="shared" si="160"/>
        <v>0</v>
      </c>
      <c r="AO578" s="1154">
        <f t="shared" si="161"/>
        <v>10882.24</v>
      </c>
      <c r="AP578" s="1147">
        <f t="shared" si="147"/>
        <v>0</v>
      </c>
      <c r="AQ578" s="1144">
        <f t="shared" si="148"/>
        <v>0</v>
      </c>
      <c r="AR578" s="1146">
        <f t="shared" si="149"/>
        <v>10882.24</v>
      </c>
    </row>
    <row r="579" spans="1:44" x14ac:dyDescent="0.2">
      <c r="A579" s="1141" t="str">
        <f t="shared" si="162"/>
        <v>1510</v>
      </c>
      <c r="B579" s="1141" t="str">
        <f>IFERROR(VLOOKUP(A579,'LAC 103'!A:C,3,FALSE),"")</f>
        <v>OP</v>
      </c>
      <c r="C579" s="1478" t="str">
        <f>Info!$B$8</f>
        <v>00100</v>
      </c>
      <c r="D579" s="1474" t="s">
        <v>256</v>
      </c>
      <c r="E579" s="1474" t="s">
        <v>95</v>
      </c>
      <c r="F579" s="1478" t="s">
        <v>77</v>
      </c>
      <c r="G579" s="1478" t="s">
        <v>77</v>
      </c>
      <c r="H579" s="1474" t="s">
        <v>988</v>
      </c>
      <c r="I579" s="1478" t="s">
        <v>811</v>
      </c>
      <c r="J579" s="1478"/>
      <c r="K579" s="1475" t="s">
        <v>848</v>
      </c>
      <c r="L579" s="1474" t="s">
        <v>45</v>
      </c>
      <c r="M579" s="1476" t="s">
        <v>842</v>
      </c>
      <c r="N579" s="1477" t="s">
        <v>1692</v>
      </c>
      <c r="O579" s="1479">
        <v>9306</v>
      </c>
      <c r="P579" s="1479"/>
      <c r="Q579" s="1142">
        <f t="shared" si="163"/>
        <v>9306</v>
      </c>
      <c r="R579" s="1143">
        <f>IFERROR(VLOOKUP(CONCATENATE(E579,G579),'LAC 103'!$A$12:$O$95,11,FALSE),0)</f>
        <v>3.2074101033884355</v>
      </c>
      <c r="S579" s="1144">
        <f>IFERROR(VLOOKUP(CONCATENATE($E579,$G579),'LAC 103'!$A$12:$O$95,12,FALSE),0)</f>
        <v>3.99</v>
      </c>
      <c r="T579" s="1144">
        <f>IFERROR(VLOOKUP(CONCATENATE($E579,$G579),'LAC 103'!$A$12:$O$95,13,FALSE),0)</f>
        <v>2.48</v>
      </c>
      <c r="U579" s="1144">
        <f>IFERROR(VLOOKUP(CONCATENATE($E579,$G579),'LAC 103'!$A$12:$O$95,14,FALSE),0)</f>
        <v>0</v>
      </c>
      <c r="V579" s="1144">
        <f>IFERROR(VLOOKUP(CONCATENATE($E579,$G579),'LAC 103'!$A$12:$O$95,15,FALSE),0)</f>
        <v>0</v>
      </c>
      <c r="W579" s="1145" t="str">
        <f>IFERROR(VLOOKUP(CONCATENATE($B579,$N579),'LAC 103'!$AI:$AQ,9,FALSE),"")</f>
        <v>Costs</v>
      </c>
      <c r="X579" s="1146">
        <f t="shared" si="150"/>
        <v>3.2074101033884355</v>
      </c>
      <c r="Y579" s="1143">
        <f t="shared" si="151"/>
        <v>29848.158422132779</v>
      </c>
      <c r="Z579" s="1147">
        <f t="shared" si="152"/>
        <v>37130.94</v>
      </c>
      <c r="AA579" s="1144">
        <f t="shared" si="153"/>
        <v>23078.880000000001</v>
      </c>
      <c r="AB579" s="1144">
        <f t="shared" si="154"/>
        <v>0</v>
      </c>
      <c r="AC579" s="1144">
        <f t="shared" si="155"/>
        <v>0</v>
      </c>
      <c r="AD579" s="1148">
        <f t="shared" si="146"/>
        <v>29848.158422132779</v>
      </c>
      <c r="AE579" s="1487">
        <v>0</v>
      </c>
      <c r="AF579" s="1145">
        <f t="shared" si="156"/>
        <v>29848.158422132779</v>
      </c>
      <c r="AG579" s="1149">
        <f>IFERROR(VLOOKUP(CONCATENATE($L579,$N579),'Drop List'!$G$23:$K$87,2,FALSE),0)</f>
        <v>0.69340000000000002</v>
      </c>
      <c r="AH579" s="1150">
        <f>IFERROR(VLOOKUP(CONCATENATE($L579,$N579),'Drop List'!$G$23:$K$87,3,FALSE),0)</f>
        <v>0.30659999999999998</v>
      </c>
      <c r="AI579" s="1150">
        <f>IFERROR(VLOOKUP(CONCATENATE($L579,$N579),'Drop List'!$G$23:$K$87,4,FALSE),0)</f>
        <v>0</v>
      </c>
      <c r="AJ579" s="1151">
        <f>IFERROR(VLOOKUP(CONCATENATE($L579,$N579),'Drop List'!$G$23:$K$87,5,FALSE),0)</f>
        <v>0</v>
      </c>
      <c r="AK579" s="1152">
        <f t="shared" si="157"/>
        <v>20696.71304990687</v>
      </c>
      <c r="AL579" s="1153">
        <f t="shared" si="158"/>
        <v>9151.4453722259095</v>
      </c>
      <c r="AM579" s="1153">
        <f t="shared" si="159"/>
        <v>0</v>
      </c>
      <c r="AN579" s="1145">
        <f t="shared" si="160"/>
        <v>0</v>
      </c>
      <c r="AO579" s="1154">
        <f t="shared" si="161"/>
        <v>29848.158422132779</v>
      </c>
      <c r="AP579" s="1147">
        <f t="shared" si="147"/>
        <v>0</v>
      </c>
      <c r="AQ579" s="1144">
        <f t="shared" si="148"/>
        <v>0</v>
      </c>
      <c r="AR579" s="1146">
        <f t="shared" si="149"/>
        <v>29848.158422132779</v>
      </c>
    </row>
    <row r="580" spans="1:44" x14ac:dyDescent="0.2">
      <c r="A580" s="1141" t="str">
        <f t="shared" si="162"/>
        <v>1510</v>
      </c>
      <c r="B580" s="1141" t="str">
        <f>IFERROR(VLOOKUP(A580,'LAC 103'!A:C,3,FALSE),"")</f>
        <v>OP</v>
      </c>
      <c r="C580" s="1478" t="str">
        <f>Info!$B$8</f>
        <v>00100</v>
      </c>
      <c r="D580" s="1474" t="s">
        <v>256</v>
      </c>
      <c r="E580" s="1474" t="s">
        <v>95</v>
      </c>
      <c r="F580" s="1478" t="s">
        <v>77</v>
      </c>
      <c r="G580" s="1478" t="s">
        <v>77</v>
      </c>
      <c r="H580" s="1474" t="s">
        <v>988</v>
      </c>
      <c r="I580" s="1478" t="s">
        <v>811</v>
      </c>
      <c r="J580" s="1478"/>
      <c r="K580" s="1475" t="s">
        <v>848</v>
      </c>
      <c r="L580" s="1474" t="s">
        <v>45</v>
      </c>
      <c r="M580" s="1476" t="s">
        <v>1698</v>
      </c>
      <c r="N580" s="1477" t="s">
        <v>1693</v>
      </c>
      <c r="O580" s="1479">
        <v>11011</v>
      </c>
      <c r="P580" s="1479"/>
      <c r="Q580" s="1142">
        <f t="shared" si="163"/>
        <v>11011</v>
      </c>
      <c r="R580" s="1143">
        <f>IFERROR(VLOOKUP(CONCATENATE(E580,G580),'LAC 103'!$A$12:$O$95,11,FALSE),0)</f>
        <v>3.2074101033884355</v>
      </c>
      <c r="S580" s="1144">
        <f>IFERROR(VLOOKUP(CONCATENATE($E580,$G580),'LAC 103'!$A$12:$O$95,12,FALSE),0)</f>
        <v>3.99</v>
      </c>
      <c r="T580" s="1144">
        <f>IFERROR(VLOOKUP(CONCATENATE($E580,$G580),'LAC 103'!$A$12:$O$95,13,FALSE),0)</f>
        <v>2.48</v>
      </c>
      <c r="U580" s="1144">
        <f>IFERROR(VLOOKUP(CONCATENATE($E580,$G580),'LAC 103'!$A$12:$O$95,14,FALSE),0)</f>
        <v>0</v>
      </c>
      <c r="V580" s="1144">
        <f>IFERROR(VLOOKUP(CONCATENATE($E580,$G580),'LAC 103'!$A$12:$O$95,15,FALSE),0)</f>
        <v>0</v>
      </c>
      <c r="W580" s="1145" t="str">
        <f>IFERROR(VLOOKUP(CONCATENATE($B580,$N580),'LAC 103'!$AI:$AQ,9,FALSE),"")</f>
        <v>Costs</v>
      </c>
      <c r="X580" s="1146">
        <f t="shared" si="150"/>
        <v>3.2074101033884355</v>
      </c>
      <c r="Y580" s="1143">
        <f t="shared" si="151"/>
        <v>35316.792648410061</v>
      </c>
      <c r="Z580" s="1147">
        <f t="shared" si="152"/>
        <v>43933.89</v>
      </c>
      <c r="AA580" s="1144">
        <f t="shared" si="153"/>
        <v>27307.279999999999</v>
      </c>
      <c r="AB580" s="1144">
        <f t="shared" si="154"/>
        <v>0</v>
      </c>
      <c r="AC580" s="1144">
        <f t="shared" si="155"/>
        <v>0</v>
      </c>
      <c r="AD580" s="1148">
        <f t="shared" si="146"/>
        <v>35316.792648410061</v>
      </c>
      <c r="AE580" s="1487">
        <v>0</v>
      </c>
      <c r="AF580" s="1145">
        <f t="shared" si="156"/>
        <v>35316.792648410061</v>
      </c>
      <c r="AG580" s="1149">
        <f>IFERROR(VLOOKUP(CONCATENATE($L580,$N580),'Drop List'!$G$23:$K$87,2,FALSE),0)</f>
        <v>0.69340000000000002</v>
      </c>
      <c r="AH580" s="1150">
        <f>IFERROR(VLOOKUP(CONCATENATE($L580,$N580),'Drop List'!$G$23:$K$87,3,FALSE),0)</f>
        <v>0.30659999999999998</v>
      </c>
      <c r="AI580" s="1150">
        <f>IFERROR(VLOOKUP(CONCATENATE($L580,$N580),'Drop List'!$G$23:$K$87,4,FALSE),0)</f>
        <v>0</v>
      </c>
      <c r="AJ580" s="1151">
        <f>IFERROR(VLOOKUP(CONCATENATE($L580,$N580),'Drop List'!$G$23:$K$87,5,FALSE),0)</f>
        <v>0</v>
      </c>
      <c r="AK580" s="1152">
        <f t="shared" si="157"/>
        <v>24488.664022407538</v>
      </c>
      <c r="AL580" s="1153">
        <f t="shared" si="158"/>
        <v>10828.128626002524</v>
      </c>
      <c r="AM580" s="1153">
        <f t="shared" si="159"/>
        <v>0</v>
      </c>
      <c r="AN580" s="1145">
        <f t="shared" si="160"/>
        <v>0</v>
      </c>
      <c r="AO580" s="1154">
        <f t="shared" si="161"/>
        <v>35316.792648410061</v>
      </c>
      <c r="AP580" s="1147">
        <f t="shared" si="147"/>
        <v>0</v>
      </c>
      <c r="AQ580" s="1144">
        <f t="shared" si="148"/>
        <v>0</v>
      </c>
      <c r="AR580" s="1146">
        <f t="shared" si="149"/>
        <v>35316.792648410061</v>
      </c>
    </row>
    <row r="581" spans="1:44" x14ac:dyDescent="0.2">
      <c r="A581" s="1141" t="str">
        <f t="shared" si="162"/>
        <v>1510</v>
      </c>
      <c r="B581" s="1141" t="str">
        <f>IFERROR(VLOOKUP(A581,'LAC 103'!A:C,3,FALSE),"")</f>
        <v>OP</v>
      </c>
      <c r="C581" s="1478" t="str">
        <f>Info!$B$8</f>
        <v>00100</v>
      </c>
      <c r="D581" s="1474" t="s">
        <v>256</v>
      </c>
      <c r="E581" s="1474" t="s">
        <v>95</v>
      </c>
      <c r="F581" s="1478" t="s">
        <v>77</v>
      </c>
      <c r="G581" s="1478" t="s">
        <v>77</v>
      </c>
      <c r="H581" s="1474" t="s">
        <v>988</v>
      </c>
      <c r="I581" s="1478" t="s">
        <v>811</v>
      </c>
      <c r="J581" s="1478"/>
      <c r="K581" s="1475" t="s">
        <v>849</v>
      </c>
      <c r="L581" s="1474" t="s">
        <v>77</v>
      </c>
      <c r="M581" s="1476" t="s">
        <v>1699</v>
      </c>
      <c r="N581" s="1477" t="s">
        <v>1694</v>
      </c>
      <c r="O581" s="1479">
        <v>12882</v>
      </c>
      <c r="P581" s="1479"/>
      <c r="Q581" s="1142">
        <f t="shared" si="163"/>
        <v>12882</v>
      </c>
      <c r="R581" s="1143">
        <f>IFERROR(VLOOKUP(CONCATENATE(E581,G581),'LAC 103'!$A$12:$O$95,11,FALSE),0)</f>
        <v>3.2074101033884355</v>
      </c>
      <c r="S581" s="1144">
        <f>IFERROR(VLOOKUP(CONCATENATE($E581,$G581),'LAC 103'!$A$12:$O$95,12,FALSE),0)</f>
        <v>3.99</v>
      </c>
      <c r="T581" s="1144">
        <f>IFERROR(VLOOKUP(CONCATENATE($E581,$G581),'LAC 103'!$A$12:$O$95,13,FALSE),0)</f>
        <v>2.48</v>
      </c>
      <c r="U581" s="1144">
        <f>IFERROR(VLOOKUP(CONCATENATE($E581,$G581),'LAC 103'!$A$12:$O$95,14,FALSE),0)</f>
        <v>0</v>
      </c>
      <c r="V581" s="1144">
        <f>IFERROR(VLOOKUP(CONCATENATE($E581,$G581),'LAC 103'!$A$12:$O$95,15,FALSE),0)</f>
        <v>0</v>
      </c>
      <c r="W581" s="1145" t="str">
        <f>IFERROR(VLOOKUP(CONCATENATE($B581,$N581),'LAC 103'!$AI:$AQ,9,FALSE),"")</f>
        <v>Costs</v>
      </c>
      <c r="X581" s="1146">
        <f t="shared" si="150"/>
        <v>3.2074101033884355</v>
      </c>
      <c r="Y581" s="1143">
        <f t="shared" si="151"/>
        <v>41317.856951849826</v>
      </c>
      <c r="Z581" s="1147">
        <f t="shared" si="152"/>
        <v>51399.18</v>
      </c>
      <c r="AA581" s="1144">
        <f t="shared" si="153"/>
        <v>31947.360000000001</v>
      </c>
      <c r="AB581" s="1144">
        <f t="shared" si="154"/>
        <v>0</v>
      </c>
      <c r="AC581" s="1144">
        <f t="shared" si="155"/>
        <v>0</v>
      </c>
      <c r="AD581" s="1148">
        <f t="shared" si="146"/>
        <v>41317.856951849826</v>
      </c>
      <c r="AE581" s="1487">
        <v>0</v>
      </c>
      <c r="AF581" s="1145">
        <f t="shared" si="156"/>
        <v>41317.856951849826</v>
      </c>
      <c r="AG581" s="1149">
        <f>IFERROR(VLOOKUP(CONCATENATE($L581,$N581),'Drop List'!$G$23:$K$87,2,FALSE),0)</f>
        <v>0.9</v>
      </c>
      <c r="AH581" s="1150">
        <f>IFERROR(VLOOKUP(CONCATENATE($L581,$N581),'Drop List'!$G$23:$K$87,3,FALSE),0)</f>
        <v>0</v>
      </c>
      <c r="AI581" s="1150">
        <f>IFERROR(VLOOKUP(CONCATENATE($L581,$N581),'Drop List'!$G$23:$K$87,4,FALSE),0)</f>
        <v>0.1</v>
      </c>
      <c r="AJ581" s="1151">
        <f>IFERROR(VLOOKUP(CONCATENATE($L581,$N581),'Drop List'!$G$23:$K$87,5,FALSE),0)</f>
        <v>0</v>
      </c>
      <c r="AK581" s="1152">
        <f t="shared" si="157"/>
        <v>37186.071256664844</v>
      </c>
      <c r="AL581" s="1153">
        <f t="shared" si="158"/>
        <v>0</v>
      </c>
      <c r="AM581" s="1153">
        <f t="shared" si="159"/>
        <v>4131.7856951849826</v>
      </c>
      <c r="AN581" s="1145">
        <f t="shared" si="160"/>
        <v>0</v>
      </c>
      <c r="AO581" s="1154">
        <f t="shared" si="161"/>
        <v>41317.856951849826</v>
      </c>
      <c r="AP581" s="1147">
        <f t="shared" si="147"/>
        <v>0</v>
      </c>
      <c r="AQ581" s="1144">
        <f t="shared" si="148"/>
        <v>0</v>
      </c>
      <c r="AR581" s="1146">
        <f t="shared" si="149"/>
        <v>41317.856951849826</v>
      </c>
    </row>
    <row r="582" spans="1:44" x14ac:dyDescent="0.2">
      <c r="A582" s="1141" t="str">
        <f t="shared" si="162"/>
        <v>1510</v>
      </c>
      <c r="B582" s="1141" t="str">
        <f>IFERROR(VLOOKUP(A582,'LAC 103'!A:C,3,FALSE),"")</f>
        <v>OP</v>
      </c>
      <c r="C582" s="1478" t="str">
        <f>Info!$B$8</f>
        <v>00100</v>
      </c>
      <c r="D582" s="1474" t="s">
        <v>256</v>
      </c>
      <c r="E582" s="1474" t="s">
        <v>95</v>
      </c>
      <c r="F582" s="1478" t="s">
        <v>77</v>
      </c>
      <c r="G582" s="1478" t="s">
        <v>77</v>
      </c>
      <c r="H582" s="1474" t="s">
        <v>988</v>
      </c>
      <c r="I582" s="1478" t="s">
        <v>811</v>
      </c>
      <c r="J582" s="1478"/>
      <c r="K582" s="1475" t="s">
        <v>849</v>
      </c>
      <c r="L582" s="1474" t="s">
        <v>77</v>
      </c>
      <c r="M582" s="1476" t="s">
        <v>841</v>
      </c>
      <c r="N582" s="1477" t="s">
        <v>1695</v>
      </c>
      <c r="O582" s="1479">
        <v>4394</v>
      </c>
      <c r="P582" s="1479"/>
      <c r="Q582" s="1142">
        <f t="shared" si="163"/>
        <v>4394</v>
      </c>
      <c r="R582" s="1143">
        <f>IFERROR(VLOOKUP(CONCATENATE(E582,G582),'LAC 103'!$A$12:$O$95,11,FALSE),0)</f>
        <v>3.2074101033884355</v>
      </c>
      <c r="S582" s="1144">
        <f>IFERROR(VLOOKUP(CONCATENATE($E582,$G582),'LAC 103'!$A$12:$O$95,12,FALSE),0)</f>
        <v>3.99</v>
      </c>
      <c r="T582" s="1144">
        <f>IFERROR(VLOOKUP(CONCATENATE($E582,$G582),'LAC 103'!$A$12:$O$95,13,FALSE),0)</f>
        <v>2.48</v>
      </c>
      <c r="U582" s="1144">
        <f>IFERROR(VLOOKUP(CONCATENATE($E582,$G582),'LAC 103'!$A$12:$O$95,14,FALSE),0)</f>
        <v>0</v>
      </c>
      <c r="V582" s="1144">
        <f>IFERROR(VLOOKUP(CONCATENATE($E582,$G582),'LAC 103'!$A$12:$O$95,15,FALSE),0)</f>
        <v>0</v>
      </c>
      <c r="W582" s="1145" t="str">
        <f>IFERROR(VLOOKUP(CONCATENATE($B582,$N582),'LAC 103'!$AI:$AQ,9,FALSE),"")</f>
        <v>Costs</v>
      </c>
      <c r="X582" s="1146">
        <f t="shared" si="150"/>
        <v>3.2074101033884355</v>
      </c>
      <c r="Y582" s="1143">
        <f t="shared" si="151"/>
        <v>14093.359994288785</v>
      </c>
      <c r="Z582" s="1147">
        <f t="shared" si="152"/>
        <v>17532.060000000001</v>
      </c>
      <c r="AA582" s="1144">
        <f t="shared" si="153"/>
        <v>10897.12</v>
      </c>
      <c r="AB582" s="1144">
        <f t="shared" si="154"/>
        <v>0</v>
      </c>
      <c r="AC582" s="1144">
        <f t="shared" si="155"/>
        <v>0</v>
      </c>
      <c r="AD582" s="1148">
        <f t="shared" si="146"/>
        <v>14093.359994288785</v>
      </c>
      <c r="AE582" s="1487">
        <v>0</v>
      </c>
      <c r="AF582" s="1145">
        <f t="shared" si="156"/>
        <v>14093.359994288785</v>
      </c>
      <c r="AG582" s="1149">
        <f>IFERROR(VLOOKUP(CONCATENATE($L582,$N582),'Drop List'!$G$23:$K$87,2,FALSE),0)</f>
        <v>0.9</v>
      </c>
      <c r="AH582" s="1150">
        <f>IFERROR(VLOOKUP(CONCATENATE($L582,$N582),'Drop List'!$G$23:$K$87,3,FALSE),0)</f>
        <v>0</v>
      </c>
      <c r="AI582" s="1150">
        <f>IFERROR(VLOOKUP(CONCATENATE($L582,$N582),'Drop List'!$G$23:$K$87,4,FALSE),0)</f>
        <v>0.1</v>
      </c>
      <c r="AJ582" s="1151">
        <f>IFERROR(VLOOKUP(CONCATENATE($L582,$N582),'Drop List'!$G$23:$K$87,5,FALSE),0)</f>
        <v>0</v>
      </c>
      <c r="AK582" s="1152">
        <f t="shared" si="157"/>
        <v>12684.023994859906</v>
      </c>
      <c r="AL582" s="1153">
        <f t="shared" si="158"/>
        <v>0</v>
      </c>
      <c r="AM582" s="1153">
        <f t="shared" si="159"/>
        <v>1409.3359994288785</v>
      </c>
      <c r="AN582" s="1145">
        <f t="shared" si="160"/>
        <v>0</v>
      </c>
      <c r="AO582" s="1154">
        <f t="shared" si="161"/>
        <v>14093.359994288785</v>
      </c>
      <c r="AP582" s="1147">
        <f t="shared" si="147"/>
        <v>0</v>
      </c>
      <c r="AQ582" s="1144">
        <f t="shared" si="148"/>
        <v>0</v>
      </c>
      <c r="AR582" s="1146">
        <f t="shared" si="149"/>
        <v>14093.359994288785</v>
      </c>
    </row>
    <row r="583" spans="1:44" x14ac:dyDescent="0.2">
      <c r="A583" s="1141" t="str">
        <f t="shared" si="162"/>
        <v>1510</v>
      </c>
      <c r="B583" s="1141" t="str">
        <f>IFERROR(VLOOKUP(A583,'LAC 103'!A:C,3,FALSE),"")</f>
        <v>OP</v>
      </c>
      <c r="C583" s="1478" t="str">
        <f>Info!$B$8</f>
        <v>00100</v>
      </c>
      <c r="D583" s="1474" t="s">
        <v>256</v>
      </c>
      <c r="E583" s="1474" t="s">
        <v>95</v>
      </c>
      <c r="F583" s="1478" t="s">
        <v>77</v>
      </c>
      <c r="G583" s="1478" t="s">
        <v>77</v>
      </c>
      <c r="H583" s="1474" t="s">
        <v>988</v>
      </c>
      <c r="I583" s="1478" t="s">
        <v>811</v>
      </c>
      <c r="J583" s="1478"/>
      <c r="K583" s="1475" t="s">
        <v>849</v>
      </c>
      <c r="L583" s="1474" t="s">
        <v>77</v>
      </c>
      <c r="M583" s="1476" t="s">
        <v>840</v>
      </c>
      <c r="N583" s="1477" t="s">
        <v>1700</v>
      </c>
      <c r="O583" s="1479">
        <v>6156</v>
      </c>
      <c r="P583" s="1479"/>
      <c r="Q583" s="1142">
        <f t="shared" si="163"/>
        <v>6156</v>
      </c>
      <c r="R583" s="1143">
        <f>IFERROR(VLOOKUP(CONCATENATE(E583,G583),'LAC 103'!$A$12:$O$95,11,FALSE),0)</f>
        <v>3.2074101033884355</v>
      </c>
      <c r="S583" s="1144">
        <f>IFERROR(VLOOKUP(CONCATENATE($E583,$G583),'LAC 103'!$A$12:$O$95,12,FALSE),0)</f>
        <v>3.99</v>
      </c>
      <c r="T583" s="1144">
        <f>IFERROR(VLOOKUP(CONCATENATE($E583,$G583),'LAC 103'!$A$12:$O$95,13,FALSE),0)</f>
        <v>2.48</v>
      </c>
      <c r="U583" s="1144">
        <f>IFERROR(VLOOKUP(CONCATENATE($E583,$G583),'LAC 103'!$A$12:$O$95,14,FALSE),0)</f>
        <v>0</v>
      </c>
      <c r="V583" s="1144">
        <f>IFERROR(VLOOKUP(CONCATENATE($E583,$G583),'LAC 103'!$A$12:$O$95,15,FALSE),0)</f>
        <v>0</v>
      </c>
      <c r="W583" s="1145" t="str">
        <f>IFERROR(VLOOKUP(CONCATENATE($B583,$N583),'LAC 103'!$AI:$AQ,9,FALSE),"")</f>
        <v>P.C.</v>
      </c>
      <c r="X583" s="1146">
        <f t="shared" si="150"/>
        <v>2.48</v>
      </c>
      <c r="Y583" s="1143">
        <f t="shared" si="151"/>
        <v>19744.816596459208</v>
      </c>
      <c r="Z583" s="1147">
        <f t="shared" si="152"/>
        <v>24562.440000000002</v>
      </c>
      <c r="AA583" s="1144">
        <f t="shared" si="153"/>
        <v>15266.88</v>
      </c>
      <c r="AB583" s="1144">
        <f t="shared" si="154"/>
        <v>0</v>
      </c>
      <c r="AC583" s="1144">
        <f t="shared" si="155"/>
        <v>0</v>
      </c>
      <c r="AD583" s="1148">
        <f t="shared" ref="AD583:AD646" si="164">Q583*X583</f>
        <v>15266.88</v>
      </c>
      <c r="AE583" s="1487">
        <v>0</v>
      </c>
      <c r="AF583" s="1145">
        <f t="shared" si="156"/>
        <v>15266.88</v>
      </c>
      <c r="AG583" s="1149">
        <f>IFERROR(VLOOKUP(CONCATENATE($L583,$N583),'Drop List'!$G$23:$K$87,2,FALSE),0)</f>
        <v>0.9</v>
      </c>
      <c r="AH583" s="1150">
        <f>IFERROR(VLOOKUP(CONCATENATE($L583,$N583),'Drop List'!$G$23:$K$87,3,FALSE),0)</f>
        <v>0</v>
      </c>
      <c r="AI583" s="1150">
        <f>IFERROR(VLOOKUP(CONCATENATE($L583,$N583),'Drop List'!$G$23:$K$87,4,FALSE),0)</f>
        <v>0.1</v>
      </c>
      <c r="AJ583" s="1151">
        <f>IFERROR(VLOOKUP(CONCATENATE($L583,$N583),'Drop List'!$G$23:$K$87,5,FALSE),0)</f>
        <v>0</v>
      </c>
      <c r="AK583" s="1152">
        <f t="shared" si="157"/>
        <v>13740.191999999999</v>
      </c>
      <c r="AL583" s="1153">
        <f t="shared" si="158"/>
        <v>0</v>
      </c>
      <c r="AM583" s="1153">
        <f t="shared" si="159"/>
        <v>1526.6880000000001</v>
      </c>
      <c r="AN583" s="1145">
        <f t="shared" si="160"/>
        <v>0</v>
      </c>
      <c r="AO583" s="1154">
        <f t="shared" si="161"/>
        <v>15266.88</v>
      </c>
      <c r="AP583" s="1147">
        <f t="shared" ref="AP583:AP646" si="165">IF($L583="14",$AF583,0)</f>
        <v>0</v>
      </c>
      <c r="AQ583" s="1144">
        <f t="shared" ref="AQ583:AQ646" si="166">IF($L583="15",$AF583,0)</f>
        <v>0</v>
      </c>
      <c r="AR583" s="1146">
        <f t="shared" ref="AR583:AR646" si="167">AO583+AP583+AQ583</f>
        <v>15266.88</v>
      </c>
    </row>
    <row r="584" spans="1:44" x14ac:dyDescent="0.2">
      <c r="A584" s="1141" t="str">
        <f t="shared" si="162"/>
        <v>1510</v>
      </c>
      <c r="B584" s="1141" t="str">
        <f>IFERROR(VLOOKUP(A584,'LAC 103'!A:C,3,FALSE),"")</f>
        <v>OP</v>
      </c>
      <c r="C584" s="1478" t="str">
        <f>Info!$B$8</f>
        <v>00100</v>
      </c>
      <c r="D584" s="1474" t="s">
        <v>256</v>
      </c>
      <c r="E584" s="1474" t="s">
        <v>95</v>
      </c>
      <c r="F584" s="1478" t="s">
        <v>77</v>
      </c>
      <c r="G584" s="1478" t="s">
        <v>77</v>
      </c>
      <c r="H584" s="1474" t="s">
        <v>988</v>
      </c>
      <c r="I584" s="1478" t="s">
        <v>811</v>
      </c>
      <c r="J584" s="1478"/>
      <c r="K584" s="1475" t="s">
        <v>849</v>
      </c>
      <c r="L584" s="1474" t="s">
        <v>77</v>
      </c>
      <c r="M584" s="1476" t="s">
        <v>842</v>
      </c>
      <c r="N584" s="1477" t="s">
        <v>1692</v>
      </c>
      <c r="O584" s="1479">
        <v>8811</v>
      </c>
      <c r="P584" s="1479"/>
      <c r="Q584" s="1142">
        <f t="shared" si="163"/>
        <v>8811</v>
      </c>
      <c r="R584" s="1143">
        <f>IFERROR(VLOOKUP(CONCATENATE(E584,G584),'LAC 103'!$A$12:$O$95,11,FALSE),0)</f>
        <v>3.2074101033884355</v>
      </c>
      <c r="S584" s="1144">
        <f>IFERROR(VLOOKUP(CONCATENATE($E584,$G584),'LAC 103'!$A$12:$O$95,12,FALSE),0)</f>
        <v>3.99</v>
      </c>
      <c r="T584" s="1144">
        <f>IFERROR(VLOOKUP(CONCATENATE($E584,$G584),'LAC 103'!$A$12:$O$95,13,FALSE),0)</f>
        <v>2.48</v>
      </c>
      <c r="U584" s="1144">
        <f>IFERROR(VLOOKUP(CONCATENATE($E584,$G584),'LAC 103'!$A$12:$O$95,14,FALSE),0)</f>
        <v>0</v>
      </c>
      <c r="V584" s="1144">
        <f>IFERROR(VLOOKUP(CONCATENATE($E584,$G584),'LAC 103'!$A$12:$O$95,15,FALSE),0)</f>
        <v>0</v>
      </c>
      <c r="W584" s="1145" t="str">
        <f>IFERROR(VLOOKUP(CONCATENATE($B584,$N584),'LAC 103'!$AI:$AQ,9,FALSE),"")</f>
        <v>Costs</v>
      </c>
      <c r="X584" s="1146">
        <f t="shared" ref="X584:X647" si="168">IF($W584="Costs",$R584,IF($W584="CMA",$S584,IF($W584="P.C.",$T584,IF($W584="SMA",$U584,$V584))))</f>
        <v>3.2074101033884355</v>
      </c>
      <c r="Y584" s="1143">
        <f t="shared" ref="Y584:Y647" si="169">$Q584*R584</f>
        <v>28260.490420955506</v>
      </c>
      <c r="Z584" s="1147">
        <f t="shared" ref="Z584:Z647" si="170">IF(S584=0,Y584,$Q584*S584)</f>
        <v>35155.89</v>
      </c>
      <c r="AA584" s="1144">
        <f t="shared" ref="AA584:AA647" si="171">IF(T584=0,Y584,$Q584*T584)</f>
        <v>21851.279999999999</v>
      </c>
      <c r="AB584" s="1144">
        <f t="shared" ref="AB584:AB647" si="172">$Q584*U584</f>
        <v>0</v>
      </c>
      <c r="AC584" s="1144">
        <f t="shared" ref="AC584:AC647" si="173">$Q584*V584</f>
        <v>0</v>
      </c>
      <c r="AD584" s="1148">
        <f t="shared" si="164"/>
        <v>28260.490420955506</v>
      </c>
      <c r="AE584" s="1487">
        <v>0</v>
      </c>
      <c r="AF584" s="1145">
        <f t="shared" ref="AF584:AF647" si="174">AD584-AE584</f>
        <v>28260.490420955506</v>
      </c>
      <c r="AG584" s="1149">
        <f>IFERROR(VLOOKUP(CONCATENATE($L584,$N584),'Drop List'!$G$23:$K$87,2,FALSE),0)</f>
        <v>0.9</v>
      </c>
      <c r="AH584" s="1150">
        <f>IFERROR(VLOOKUP(CONCATENATE($L584,$N584),'Drop List'!$G$23:$K$87,3,FALSE),0)</f>
        <v>0</v>
      </c>
      <c r="AI584" s="1150">
        <f>IFERROR(VLOOKUP(CONCATENATE($L584,$N584),'Drop List'!$G$23:$K$87,4,FALSE),0)</f>
        <v>0.1</v>
      </c>
      <c r="AJ584" s="1151">
        <f>IFERROR(VLOOKUP(CONCATENATE($L584,$N584),'Drop List'!$G$23:$K$87,5,FALSE),0)</f>
        <v>0</v>
      </c>
      <c r="AK584" s="1152">
        <f t="shared" ref="AK584:AK647" si="175">IFERROR($AF584*AG584,0)</f>
        <v>25434.441378859956</v>
      </c>
      <c r="AL584" s="1153">
        <f t="shared" ref="AL584:AL647" si="176">IFERROR($AF584*AH584,0)</f>
        <v>0</v>
      </c>
      <c r="AM584" s="1153">
        <f t="shared" ref="AM584:AM647" si="177">IFERROR($AF584*AI584,0)</f>
        <v>2826.0490420955507</v>
      </c>
      <c r="AN584" s="1145">
        <f t="shared" ref="AN584:AN647" si="178">IFERROR($AF584*AJ584,0)</f>
        <v>0</v>
      </c>
      <c r="AO584" s="1154">
        <f t="shared" ref="AO584:AO647" si="179">SUM(AK584:AN584)</f>
        <v>28260.490420955506</v>
      </c>
      <c r="AP584" s="1147">
        <f t="shared" si="165"/>
        <v>0</v>
      </c>
      <c r="AQ584" s="1144">
        <f t="shared" si="166"/>
        <v>0</v>
      </c>
      <c r="AR584" s="1146">
        <f t="shared" si="167"/>
        <v>28260.490420955506</v>
      </c>
    </row>
    <row r="585" spans="1:44" x14ac:dyDescent="0.2">
      <c r="A585" s="1141" t="str">
        <f t="shared" si="162"/>
        <v>1510</v>
      </c>
      <c r="B585" s="1141" t="str">
        <f>IFERROR(VLOOKUP(A585,'LAC 103'!A:C,3,FALSE),"")</f>
        <v>OP</v>
      </c>
      <c r="C585" s="1478" t="str">
        <f>Info!$B$8</f>
        <v>00100</v>
      </c>
      <c r="D585" s="1474" t="s">
        <v>256</v>
      </c>
      <c r="E585" s="1474" t="s">
        <v>95</v>
      </c>
      <c r="F585" s="1478" t="s">
        <v>77</v>
      </c>
      <c r="G585" s="1478" t="s">
        <v>77</v>
      </c>
      <c r="H585" s="1474" t="s">
        <v>988</v>
      </c>
      <c r="I585" s="1478" t="s">
        <v>811</v>
      </c>
      <c r="J585" s="1478"/>
      <c r="K585" s="1475" t="s">
        <v>849</v>
      </c>
      <c r="L585" s="1474" t="s">
        <v>77</v>
      </c>
      <c r="M585" s="1476" t="s">
        <v>1698</v>
      </c>
      <c r="N585" s="1477" t="s">
        <v>1693</v>
      </c>
      <c r="O585" s="1479">
        <v>7611</v>
      </c>
      <c r="P585" s="1479"/>
      <c r="Q585" s="1142">
        <f t="shared" si="163"/>
        <v>7611</v>
      </c>
      <c r="R585" s="1143">
        <f>IFERROR(VLOOKUP(CONCATENATE(E585,G585),'LAC 103'!$A$12:$O$95,11,FALSE),0)</f>
        <v>3.2074101033884355</v>
      </c>
      <c r="S585" s="1144">
        <f>IFERROR(VLOOKUP(CONCATENATE($E585,$G585),'LAC 103'!$A$12:$O$95,12,FALSE),0)</f>
        <v>3.99</v>
      </c>
      <c r="T585" s="1144">
        <f>IFERROR(VLOOKUP(CONCATENATE($E585,$G585),'LAC 103'!$A$12:$O$95,13,FALSE),0)</f>
        <v>2.48</v>
      </c>
      <c r="U585" s="1144">
        <f>IFERROR(VLOOKUP(CONCATENATE($E585,$G585),'LAC 103'!$A$12:$O$95,14,FALSE),0)</f>
        <v>0</v>
      </c>
      <c r="V585" s="1144">
        <f>IFERROR(VLOOKUP(CONCATENATE($E585,$G585),'LAC 103'!$A$12:$O$95,15,FALSE),0)</f>
        <v>0</v>
      </c>
      <c r="W585" s="1145" t="str">
        <f>IFERROR(VLOOKUP(CONCATENATE($B585,$N585),'LAC 103'!$AI:$AQ,9,FALSE),"")</f>
        <v>Costs</v>
      </c>
      <c r="X585" s="1146">
        <f t="shared" si="168"/>
        <v>3.2074101033884355</v>
      </c>
      <c r="Y585" s="1143">
        <f t="shared" si="169"/>
        <v>24411.598296889384</v>
      </c>
      <c r="Z585" s="1147">
        <f t="shared" si="170"/>
        <v>30367.890000000003</v>
      </c>
      <c r="AA585" s="1144">
        <f t="shared" si="171"/>
        <v>18875.28</v>
      </c>
      <c r="AB585" s="1144">
        <f t="shared" si="172"/>
        <v>0</v>
      </c>
      <c r="AC585" s="1144">
        <f t="shared" si="173"/>
        <v>0</v>
      </c>
      <c r="AD585" s="1148">
        <f t="shared" si="164"/>
        <v>24411.598296889384</v>
      </c>
      <c r="AE585" s="1487">
        <v>0</v>
      </c>
      <c r="AF585" s="1145">
        <f t="shared" si="174"/>
        <v>24411.598296889384</v>
      </c>
      <c r="AG585" s="1149">
        <f>IFERROR(VLOOKUP(CONCATENATE($L585,$N585),'Drop List'!$G$23:$K$87,2,FALSE),0)</f>
        <v>0.9</v>
      </c>
      <c r="AH585" s="1150">
        <f>IFERROR(VLOOKUP(CONCATENATE($L585,$N585),'Drop List'!$G$23:$K$87,3,FALSE),0)</f>
        <v>0</v>
      </c>
      <c r="AI585" s="1150">
        <f>IFERROR(VLOOKUP(CONCATENATE($L585,$N585),'Drop List'!$G$23:$K$87,4,FALSE),0)</f>
        <v>0.1</v>
      </c>
      <c r="AJ585" s="1151">
        <f>IFERROR(VLOOKUP(CONCATENATE($L585,$N585),'Drop List'!$G$23:$K$87,5,FALSE),0)</f>
        <v>0</v>
      </c>
      <c r="AK585" s="1152">
        <f t="shared" si="175"/>
        <v>21970.438467200445</v>
      </c>
      <c r="AL585" s="1153">
        <f t="shared" si="176"/>
        <v>0</v>
      </c>
      <c r="AM585" s="1153">
        <f t="shared" si="177"/>
        <v>2441.1598296889383</v>
      </c>
      <c r="AN585" s="1145">
        <f t="shared" si="178"/>
        <v>0</v>
      </c>
      <c r="AO585" s="1154">
        <f t="shared" si="179"/>
        <v>24411.598296889384</v>
      </c>
      <c r="AP585" s="1147">
        <f t="shared" si="165"/>
        <v>0</v>
      </c>
      <c r="AQ585" s="1144">
        <f t="shared" si="166"/>
        <v>0</v>
      </c>
      <c r="AR585" s="1146">
        <f t="shared" si="167"/>
        <v>24411.598296889384</v>
      </c>
    </row>
    <row r="586" spans="1:44" x14ac:dyDescent="0.2">
      <c r="A586" s="1141" t="str">
        <f t="shared" si="162"/>
        <v>1510</v>
      </c>
      <c r="B586" s="1141" t="str">
        <f>IFERROR(VLOOKUP(A586,'LAC 103'!A:C,3,FALSE),"")</f>
        <v>OP</v>
      </c>
      <c r="C586" s="1478" t="str">
        <f>Info!$B$8</f>
        <v>00100</v>
      </c>
      <c r="D586" s="1474" t="s">
        <v>256</v>
      </c>
      <c r="E586" s="1474" t="s">
        <v>95</v>
      </c>
      <c r="F586" s="1478" t="s">
        <v>77</v>
      </c>
      <c r="G586" s="1478" t="s">
        <v>77</v>
      </c>
      <c r="H586" s="1474" t="s">
        <v>988</v>
      </c>
      <c r="I586" s="1478" t="s">
        <v>811</v>
      </c>
      <c r="J586" s="1478"/>
      <c r="K586" s="1475" t="s">
        <v>971</v>
      </c>
      <c r="L586" s="1474" t="s">
        <v>332</v>
      </c>
      <c r="M586" s="1476" t="s">
        <v>1699</v>
      </c>
      <c r="N586" s="1477" t="s">
        <v>1694</v>
      </c>
      <c r="O586" s="1479">
        <v>523</v>
      </c>
      <c r="P586" s="1479"/>
      <c r="Q586" s="1142">
        <f t="shared" si="163"/>
        <v>523</v>
      </c>
      <c r="R586" s="1143">
        <f>IFERROR(VLOOKUP(CONCATENATE(E586,G586),'LAC 103'!$A$12:$O$95,11,FALSE),0)</f>
        <v>3.2074101033884355</v>
      </c>
      <c r="S586" s="1144">
        <f>IFERROR(VLOOKUP(CONCATENATE($E586,$G586),'LAC 103'!$A$12:$O$95,12,FALSE),0)</f>
        <v>3.99</v>
      </c>
      <c r="T586" s="1144">
        <f>IFERROR(VLOOKUP(CONCATENATE($E586,$G586),'LAC 103'!$A$12:$O$95,13,FALSE),0)</f>
        <v>2.48</v>
      </c>
      <c r="U586" s="1144">
        <f>IFERROR(VLOOKUP(CONCATENATE($E586,$G586),'LAC 103'!$A$12:$O$95,14,FALSE),0)</f>
        <v>0</v>
      </c>
      <c r="V586" s="1144">
        <f>IFERROR(VLOOKUP(CONCATENATE($E586,$G586),'LAC 103'!$A$12:$O$95,15,FALSE),0)</f>
        <v>0</v>
      </c>
      <c r="W586" s="1145" t="str">
        <f>IFERROR(VLOOKUP(CONCATENATE($B586,$N586),'LAC 103'!$AI:$AQ,9,FALSE),"")</f>
        <v>Costs</v>
      </c>
      <c r="X586" s="1146">
        <f t="shared" si="168"/>
        <v>3.2074101033884355</v>
      </c>
      <c r="Y586" s="1143">
        <f t="shared" si="169"/>
        <v>1677.4754840721519</v>
      </c>
      <c r="Z586" s="1147">
        <f t="shared" si="170"/>
        <v>2086.77</v>
      </c>
      <c r="AA586" s="1144">
        <f t="shared" si="171"/>
        <v>1297.04</v>
      </c>
      <c r="AB586" s="1144">
        <f t="shared" si="172"/>
        <v>0</v>
      </c>
      <c r="AC586" s="1144">
        <f t="shared" si="173"/>
        <v>0</v>
      </c>
      <c r="AD586" s="1148">
        <f t="shared" si="164"/>
        <v>1677.4754840721519</v>
      </c>
      <c r="AE586" s="1487">
        <v>0</v>
      </c>
      <c r="AF586" s="1145">
        <f t="shared" si="174"/>
        <v>1677.4754840721519</v>
      </c>
      <c r="AG586" s="1149">
        <f>IFERROR(VLOOKUP(CONCATENATE($L586,$N586),'Drop List'!$G$23:$K$87,2,FALSE),0)</f>
        <v>0</v>
      </c>
      <c r="AH586" s="1150">
        <f>IFERROR(VLOOKUP(CONCATENATE($L586,$N586),'Drop List'!$G$23:$K$87,3,FALSE),0)</f>
        <v>0</v>
      </c>
      <c r="AI586" s="1150">
        <f>IFERROR(VLOOKUP(CONCATENATE($L586,$N586),'Drop List'!$G$23:$K$87,4,FALSE),0)</f>
        <v>0</v>
      </c>
      <c r="AJ586" s="1151">
        <f>IFERROR(VLOOKUP(CONCATENATE($L586,$N586),'Drop List'!$G$23:$K$87,5,FALSE),0)</f>
        <v>0</v>
      </c>
      <c r="AK586" s="1152">
        <f t="shared" si="175"/>
        <v>0</v>
      </c>
      <c r="AL586" s="1153">
        <f t="shared" si="176"/>
        <v>0</v>
      </c>
      <c r="AM586" s="1153">
        <f t="shared" si="177"/>
        <v>0</v>
      </c>
      <c r="AN586" s="1145">
        <f t="shared" si="178"/>
        <v>0</v>
      </c>
      <c r="AO586" s="1154">
        <f t="shared" si="179"/>
        <v>0</v>
      </c>
      <c r="AP586" s="1147">
        <f t="shared" si="165"/>
        <v>1677.4754840721519</v>
      </c>
      <c r="AQ586" s="1144">
        <f t="shared" si="166"/>
        <v>0</v>
      </c>
      <c r="AR586" s="1146">
        <f t="shared" si="167"/>
        <v>1677.4754840721519</v>
      </c>
    </row>
    <row r="587" spans="1:44" x14ac:dyDescent="0.2">
      <c r="A587" s="1141" t="str">
        <f t="shared" si="162"/>
        <v>1510</v>
      </c>
      <c r="B587" s="1141" t="str">
        <f>IFERROR(VLOOKUP(A587,'LAC 103'!A:C,3,FALSE),"")</f>
        <v>OP</v>
      </c>
      <c r="C587" s="1478" t="str">
        <f>Info!$B$8</f>
        <v>00100</v>
      </c>
      <c r="D587" s="1474" t="s">
        <v>256</v>
      </c>
      <c r="E587" s="1474" t="s">
        <v>95</v>
      </c>
      <c r="F587" s="1478" t="s">
        <v>77</v>
      </c>
      <c r="G587" s="1478" t="s">
        <v>77</v>
      </c>
      <c r="H587" s="1474" t="s">
        <v>988</v>
      </c>
      <c r="I587" s="1478" t="s">
        <v>811</v>
      </c>
      <c r="J587" s="1478"/>
      <c r="K587" s="1475" t="s">
        <v>971</v>
      </c>
      <c r="L587" s="1474" t="s">
        <v>332</v>
      </c>
      <c r="M587" s="1476" t="s">
        <v>841</v>
      </c>
      <c r="N587" s="1477" t="s">
        <v>1695</v>
      </c>
      <c r="O587" s="1479">
        <v>63</v>
      </c>
      <c r="P587" s="1479"/>
      <c r="Q587" s="1142">
        <f t="shared" si="163"/>
        <v>63</v>
      </c>
      <c r="R587" s="1143">
        <f>IFERROR(VLOOKUP(CONCATENATE(E587,G587),'LAC 103'!$A$12:$O$95,11,FALSE),0)</f>
        <v>3.2074101033884355</v>
      </c>
      <c r="S587" s="1144">
        <f>IFERROR(VLOOKUP(CONCATENATE($E587,$G587),'LAC 103'!$A$12:$O$95,12,FALSE),0)</f>
        <v>3.99</v>
      </c>
      <c r="T587" s="1144">
        <f>IFERROR(VLOOKUP(CONCATENATE($E587,$G587),'LAC 103'!$A$12:$O$95,13,FALSE),0)</f>
        <v>2.48</v>
      </c>
      <c r="U587" s="1144">
        <f>IFERROR(VLOOKUP(CONCATENATE($E587,$G587),'LAC 103'!$A$12:$O$95,14,FALSE),0)</f>
        <v>0</v>
      </c>
      <c r="V587" s="1144">
        <f>IFERROR(VLOOKUP(CONCATENATE($E587,$G587),'LAC 103'!$A$12:$O$95,15,FALSE),0)</f>
        <v>0</v>
      </c>
      <c r="W587" s="1145" t="str">
        <f>IFERROR(VLOOKUP(CONCATENATE($B587,$N587),'LAC 103'!$AI:$AQ,9,FALSE),"")</f>
        <v>Costs</v>
      </c>
      <c r="X587" s="1146">
        <f t="shared" si="168"/>
        <v>3.2074101033884355</v>
      </c>
      <c r="Y587" s="1143">
        <f t="shared" si="169"/>
        <v>202.06683651347143</v>
      </c>
      <c r="Z587" s="1147">
        <f t="shared" si="170"/>
        <v>251.37</v>
      </c>
      <c r="AA587" s="1144">
        <f t="shared" si="171"/>
        <v>156.24</v>
      </c>
      <c r="AB587" s="1144">
        <f t="shared" si="172"/>
        <v>0</v>
      </c>
      <c r="AC587" s="1144">
        <f t="shared" si="173"/>
        <v>0</v>
      </c>
      <c r="AD587" s="1148">
        <f t="shared" si="164"/>
        <v>202.06683651347143</v>
      </c>
      <c r="AE587" s="1487">
        <v>0</v>
      </c>
      <c r="AF587" s="1145">
        <f t="shared" si="174"/>
        <v>202.06683651347143</v>
      </c>
      <c r="AG587" s="1149">
        <f>IFERROR(VLOOKUP(CONCATENATE($L587,$N587),'Drop List'!$G$23:$K$87,2,FALSE),0)</f>
        <v>0</v>
      </c>
      <c r="AH587" s="1150">
        <f>IFERROR(VLOOKUP(CONCATENATE($L587,$N587),'Drop List'!$G$23:$K$87,3,FALSE),0)</f>
        <v>0</v>
      </c>
      <c r="AI587" s="1150">
        <f>IFERROR(VLOOKUP(CONCATENATE($L587,$N587),'Drop List'!$G$23:$K$87,4,FALSE),0)</f>
        <v>0</v>
      </c>
      <c r="AJ587" s="1151">
        <f>IFERROR(VLOOKUP(CONCATENATE($L587,$N587),'Drop List'!$G$23:$K$87,5,FALSE),0)</f>
        <v>0</v>
      </c>
      <c r="AK587" s="1152">
        <f t="shared" si="175"/>
        <v>0</v>
      </c>
      <c r="AL587" s="1153">
        <f t="shared" si="176"/>
        <v>0</v>
      </c>
      <c r="AM587" s="1153">
        <f t="shared" si="177"/>
        <v>0</v>
      </c>
      <c r="AN587" s="1145">
        <f t="shared" si="178"/>
        <v>0</v>
      </c>
      <c r="AO587" s="1154">
        <f t="shared" si="179"/>
        <v>0</v>
      </c>
      <c r="AP587" s="1147">
        <f t="shared" si="165"/>
        <v>202.06683651347143</v>
      </c>
      <c r="AQ587" s="1144">
        <f t="shared" si="166"/>
        <v>0</v>
      </c>
      <c r="AR587" s="1146">
        <f t="shared" si="167"/>
        <v>202.06683651347143</v>
      </c>
    </row>
    <row r="588" spans="1:44" x14ac:dyDescent="0.2">
      <c r="A588" s="1141" t="str">
        <f t="shared" si="162"/>
        <v>1510</v>
      </c>
      <c r="B588" s="1141" t="str">
        <f>IFERROR(VLOOKUP(A588,'LAC 103'!A:C,3,FALSE),"")</f>
        <v>OP</v>
      </c>
      <c r="C588" s="1478" t="str">
        <f>Info!$B$8</f>
        <v>00100</v>
      </c>
      <c r="D588" s="1474" t="s">
        <v>256</v>
      </c>
      <c r="E588" s="1474" t="s">
        <v>95</v>
      </c>
      <c r="F588" s="1478" t="s">
        <v>77</v>
      </c>
      <c r="G588" s="1478" t="s">
        <v>77</v>
      </c>
      <c r="H588" s="1474" t="s">
        <v>988</v>
      </c>
      <c r="I588" s="1478" t="s">
        <v>811</v>
      </c>
      <c r="J588" s="1478"/>
      <c r="K588" s="1475" t="s">
        <v>971</v>
      </c>
      <c r="L588" s="1474" t="s">
        <v>332</v>
      </c>
      <c r="M588" s="1476" t="s">
        <v>842</v>
      </c>
      <c r="N588" s="1477" t="s">
        <v>1692</v>
      </c>
      <c r="O588" s="1479">
        <v>665</v>
      </c>
      <c r="P588" s="1479"/>
      <c r="Q588" s="1142">
        <f t="shared" si="163"/>
        <v>665</v>
      </c>
      <c r="R588" s="1143">
        <f>IFERROR(VLOOKUP(CONCATENATE(E588,G588),'LAC 103'!$A$12:$O$95,11,FALSE),0)</f>
        <v>3.2074101033884355</v>
      </c>
      <c r="S588" s="1144">
        <f>IFERROR(VLOOKUP(CONCATENATE($E588,$G588),'LAC 103'!$A$12:$O$95,12,FALSE),0)</f>
        <v>3.99</v>
      </c>
      <c r="T588" s="1144">
        <f>IFERROR(VLOOKUP(CONCATENATE($E588,$G588),'LAC 103'!$A$12:$O$95,13,FALSE),0)</f>
        <v>2.48</v>
      </c>
      <c r="U588" s="1144">
        <f>IFERROR(VLOOKUP(CONCATENATE($E588,$G588),'LAC 103'!$A$12:$O$95,14,FALSE),0)</f>
        <v>0</v>
      </c>
      <c r="V588" s="1144">
        <f>IFERROR(VLOOKUP(CONCATENATE($E588,$G588),'LAC 103'!$A$12:$O$95,15,FALSE),0)</f>
        <v>0</v>
      </c>
      <c r="W588" s="1145" t="str">
        <f>IFERROR(VLOOKUP(CONCATENATE($B588,$N588),'LAC 103'!$AI:$AQ,9,FALSE),"")</f>
        <v>Costs</v>
      </c>
      <c r="X588" s="1146">
        <f t="shared" si="168"/>
        <v>3.2074101033884355</v>
      </c>
      <c r="Y588" s="1143">
        <f t="shared" si="169"/>
        <v>2132.9277187533094</v>
      </c>
      <c r="Z588" s="1147">
        <f t="shared" si="170"/>
        <v>2653.3500000000004</v>
      </c>
      <c r="AA588" s="1144">
        <f t="shared" si="171"/>
        <v>1649.2</v>
      </c>
      <c r="AB588" s="1144">
        <f t="shared" si="172"/>
        <v>0</v>
      </c>
      <c r="AC588" s="1144">
        <f t="shared" si="173"/>
        <v>0</v>
      </c>
      <c r="AD588" s="1148">
        <f t="shared" si="164"/>
        <v>2132.9277187533094</v>
      </c>
      <c r="AE588" s="1487">
        <v>0</v>
      </c>
      <c r="AF588" s="1145">
        <f t="shared" si="174"/>
        <v>2132.9277187533094</v>
      </c>
      <c r="AG588" s="1149">
        <f>IFERROR(VLOOKUP(CONCATENATE($L588,$N588),'Drop List'!$G$23:$K$87,2,FALSE),0)</f>
        <v>0</v>
      </c>
      <c r="AH588" s="1150">
        <f>IFERROR(VLOOKUP(CONCATENATE($L588,$N588),'Drop List'!$G$23:$K$87,3,FALSE),0)</f>
        <v>0</v>
      </c>
      <c r="AI588" s="1150">
        <f>IFERROR(VLOOKUP(CONCATENATE($L588,$N588),'Drop List'!$G$23:$K$87,4,FALSE),0)</f>
        <v>0</v>
      </c>
      <c r="AJ588" s="1151">
        <f>IFERROR(VLOOKUP(CONCATENATE($L588,$N588),'Drop List'!$G$23:$K$87,5,FALSE),0)</f>
        <v>0</v>
      </c>
      <c r="AK588" s="1152">
        <f t="shared" si="175"/>
        <v>0</v>
      </c>
      <c r="AL588" s="1153">
        <f t="shared" si="176"/>
        <v>0</v>
      </c>
      <c r="AM588" s="1153">
        <f t="shared" si="177"/>
        <v>0</v>
      </c>
      <c r="AN588" s="1145">
        <f t="shared" si="178"/>
        <v>0</v>
      </c>
      <c r="AO588" s="1154">
        <f t="shared" si="179"/>
        <v>0</v>
      </c>
      <c r="AP588" s="1147">
        <f t="shared" si="165"/>
        <v>2132.9277187533094</v>
      </c>
      <c r="AQ588" s="1144">
        <f t="shared" si="166"/>
        <v>0</v>
      </c>
      <c r="AR588" s="1146">
        <f t="shared" si="167"/>
        <v>2132.9277187533094</v>
      </c>
    </row>
    <row r="589" spans="1:44" x14ac:dyDescent="0.2">
      <c r="A589" s="1141" t="str">
        <f t="shared" si="162"/>
        <v>1510</v>
      </c>
      <c r="B589" s="1141" t="str">
        <f>IFERROR(VLOOKUP(A589,'LAC 103'!A:C,3,FALSE),"")</f>
        <v>OP</v>
      </c>
      <c r="C589" s="1478" t="str">
        <f>Info!$B$8</f>
        <v>00100</v>
      </c>
      <c r="D589" s="1474" t="s">
        <v>256</v>
      </c>
      <c r="E589" s="1474" t="s">
        <v>95</v>
      </c>
      <c r="F589" s="1478" t="s">
        <v>77</v>
      </c>
      <c r="G589" s="1478" t="s">
        <v>77</v>
      </c>
      <c r="H589" s="1474" t="s">
        <v>988</v>
      </c>
      <c r="I589" s="1478" t="s">
        <v>811</v>
      </c>
      <c r="J589" s="1478"/>
      <c r="K589" s="1475" t="s">
        <v>971</v>
      </c>
      <c r="L589" s="1474" t="s">
        <v>332</v>
      </c>
      <c r="M589" s="1476" t="s">
        <v>1698</v>
      </c>
      <c r="N589" s="1477" t="s">
        <v>1693</v>
      </c>
      <c r="O589" s="1479">
        <v>520</v>
      </c>
      <c r="P589" s="1479"/>
      <c r="Q589" s="1142">
        <f t="shared" si="163"/>
        <v>520</v>
      </c>
      <c r="R589" s="1143">
        <f>IFERROR(VLOOKUP(CONCATENATE(E589,G589),'LAC 103'!$A$12:$O$95,11,FALSE),0)</f>
        <v>3.2074101033884355</v>
      </c>
      <c r="S589" s="1144">
        <f>IFERROR(VLOOKUP(CONCATENATE($E589,$G589),'LAC 103'!$A$12:$O$95,12,FALSE),0)</f>
        <v>3.99</v>
      </c>
      <c r="T589" s="1144">
        <f>IFERROR(VLOOKUP(CONCATENATE($E589,$G589),'LAC 103'!$A$12:$O$95,13,FALSE),0)</f>
        <v>2.48</v>
      </c>
      <c r="U589" s="1144">
        <f>IFERROR(VLOOKUP(CONCATENATE($E589,$G589),'LAC 103'!$A$12:$O$95,14,FALSE),0)</f>
        <v>0</v>
      </c>
      <c r="V589" s="1144">
        <f>IFERROR(VLOOKUP(CONCATENATE($E589,$G589),'LAC 103'!$A$12:$O$95,15,FALSE),0)</f>
        <v>0</v>
      </c>
      <c r="W589" s="1145" t="str">
        <f>IFERROR(VLOOKUP(CONCATENATE($B589,$N589),'LAC 103'!$AI:$AQ,9,FALSE),"")</f>
        <v>Costs</v>
      </c>
      <c r="X589" s="1146">
        <f t="shared" si="168"/>
        <v>3.2074101033884355</v>
      </c>
      <c r="Y589" s="1143">
        <f t="shared" si="169"/>
        <v>1667.8532537619865</v>
      </c>
      <c r="Z589" s="1147">
        <f t="shared" si="170"/>
        <v>2074.8000000000002</v>
      </c>
      <c r="AA589" s="1144">
        <f t="shared" si="171"/>
        <v>1289.5999999999999</v>
      </c>
      <c r="AB589" s="1144">
        <f t="shared" si="172"/>
        <v>0</v>
      </c>
      <c r="AC589" s="1144">
        <f t="shared" si="173"/>
        <v>0</v>
      </c>
      <c r="AD589" s="1148">
        <f t="shared" si="164"/>
        <v>1667.8532537619865</v>
      </c>
      <c r="AE589" s="1487">
        <v>0</v>
      </c>
      <c r="AF589" s="1145">
        <f t="shared" si="174"/>
        <v>1667.8532537619865</v>
      </c>
      <c r="AG589" s="1149">
        <f>IFERROR(VLOOKUP(CONCATENATE($L589,$N589),'Drop List'!$G$23:$K$87,2,FALSE),0)</f>
        <v>0</v>
      </c>
      <c r="AH589" s="1150">
        <f>IFERROR(VLOOKUP(CONCATENATE($L589,$N589),'Drop List'!$G$23:$K$87,3,FALSE),0)</f>
        <v>0</v>
      </c>
      <c r="AI589" s="1150">
        <f>IFERROR(VLOOKUP(CONCATENATE($L589,$N589),'Drop List'!$G$23:$K$87,4,FALSE),0)</f>
        <v>0</v>
      </c>
      <c r="AJ589" s="1151">
        <f>IFERROR(VLOOKUP(CONCATENATE($L589,$N589),'Drop List'!$G$23:$K$87,5,FALSE),0)</f>
        <v>0</v>
      </c>
      <c r="AK589" s="1152">
        <f t="shared" si="175"/>
        <v>0</v>
      </c>
      <c r="AL589" s="1153">
        <f t="shared" si="176"/>
        <v>0</v>
      </c>
      <c r="AM589" s="1153">
        <f t="shared" si="177"/>
        <v>0</v>
      </c>
      <c r="AN589" s="1145">
        <f t="shared" si="178"/>
        <v>0</v>
      </c>
      <c r="AO589" s="1154">
        <f t="shared" si="179"/>
        <v>0</v>
      </c>
      <c r="AP589" s="1147">
        <f t="shared" si="165"/>
        <v>1667.8532537619865</v>
      </c>
      <c r="AQ589" s="1144">
        <f t="shared" si="166"/>
        <v>0</v>
      </c>
      <c r="AR589" s="1146">
        <f t="shared" si="167"/>
        <v>1667.8532537619865</v>
      </c>
    </row>
    <row r="590" spans="1:44" x14ac:dyDescent="0.2">
      <c r="A590" s="1141" t="str">
        <f t="shared" si="162"/>
        <v>1510</v>
      </c>
      <c r="B590" s="1141" t="str">
        <f>IFERROR(VLOOKUP(A590,'LAC 103'!A:C,3,FALSE),"")</f>
        <v>OP</v>
      </c>
      <c r="C590" s="1478" t="str">
        <f>Info!$B$8</f>
        <v>00100</v>
      </c>
      <c r="D590" s="1474" t="s">
        <v>256</v>
      </c>
      <c r="E590" s="1474" t="s">
        <v>95</v>
      </c>
      <c r="F590" s="1478" t="s">
        <v>77</v>
      </c>
      <c r="G590" s="1478" t="s">
        <v>77</v>
      </c>
      <c r="H590" s="1474" t="s">
        <v>988</v>
      </c>
      <c r="I590" s="1478" t="s">
        <v>811</v>
      </c>
      <c r="J590" s="1478"/>
      <c r="K590" s="1475" t="s">
        <v>850</v>
      </c>
      <c r="L590" s="1474" t="s">
        <v>330</v>
      </c>
      <c r="M590" s="1476" t="s">
        <v>1699</v>
      </c>
      <c r="N590" s="1477" t="s">
        <v>1694</v>
      </c>
      <c r="O590" s="1479">
        <v>91</v>
      </c>
      <c r="P590" s="1479"/>
      <c r="Q590" s="1142">
        <f t="shared" si="163"/>
        <v>91</v>
      </c>
      <c r="R590" s="1143">
        <f>IFERROR(VLOOKUP(CONCATENATE(E590,G590),'LAC 103'!$A$12:$O$95,11,FALSE),0)</f>
        <v>3.2074101033884355</v>
      </c>
      <c r="S590" s="1144">
        <f>IFERROR(VLOOKUP(CONCATENATE($E590,$G590),'LAC 103'!$A$12:$O$95,12,FALSE),0)</f>
        <v>3.99</v>
      </c>
      <c r="T590" s="1144">
        <f>IFERROR(VLOOKUP(CONCATENATE($E590,$G590),'LAC 103'!$A$12:$O$95,13,FALSE),0)</f>
        <v>2.48</v>
      </c>
      <c r="U590" s="1144">
        <f>IFERROR(VLOOKUP(CONCATENATE($E590,$G590),'LAC 103'!$A$12:$O$95,14,FALSE),0)</f>
        <v>0</v>
      </c>
      <c r="V590" s="1144">
        <f>IFERROR(VLOOKUP(CONCATENATE($E590,$G590),'LAC 103'!$A$12:$O$95,15,FALSE),0)</f>
        <v>0</v>
      </c>
      <c r="W590" s="1145" t="str">
        <f>IFERROR(VLOOKUP(CONCATENATE($B590,$N590),'LAC 103'!$AI:$AQ,9,FALSE),"")</f>
        <v>Costs</v>
      </c>
      <c r="X590" s="1146">
        <f t="shared" si="168"/>
        <v>3.2074101033884355</v>
      </c>
      <c r="Y590" s="1143">
        <f t="shared" si="169"/>
        <v>291.87431940834762</v>
      </c>
      <c r="Z590" s="1147">
        <f t="shared" si="170"/>
        <v>363.09000000000003</v>
      </c>
      <c r="AA590" s="1144">
        <f t="shared" si="171"/>
        <v>225.68</v>
      </c>
      <c r="AB590" s="1144">
        <f t="shared" si="172"/>
        <v>0</v>
      </c>
      <c r="AC590" s="1144">
        <f t="shared" si="173"/>
        <v>0</v>
      </c>
      <c r="AD590" s="1148">
        <f t="shared" si="164"/>
        <v>291.87431940834762</v>
      </c>
      <c r="AE590" s="1487">
        <v>0</v>
      </c>
      <c r="AF590" s="1145">
        <f t="shared" si="174"/>
        <v>291.87431940834762</v>
      </c>
      <c r="AG590" s="1149">
        <f>IFERROR(VLOOKUP(CONCATENATE($L590,$N590),'Drop List'!$G$23:$K$87,2,FALSE),0)</f>
        <v>0</v>
      </c>
      <c r="AH590" s="1150">
        <f>IFERROR(VLOOKUP(CONCATENATE($L590,$N590),'Drop List'!$G$23:$K$87,3,FALSE),0)</f>
        <v>0</v>
      </c>
      <c r="AI590" s="1150">
        <f>IFERROR(VLOOKUP(CONCATENATE($L590,$N590),'Drop List'!$G$23:$K$87,4,FALSE),0)</f>
        <v>1</v>
      </c>
      <c r="AJ590" s="1151">
        <f>IFERROR(VLOOKUP(CONCATENATE($L590,$N590),'Drop List'!$G$23:$K$87,5,FALSE),0)</f>
        <v>0</v>
      </c>
      <c r="AK590" s="1152">
        <f t="shared" si="175"/>
        <v>0</v>
      </c>
      <c r="AL590" s="1153">
        <f t="shared" si="176"/>
        <v>0</v>
      </c>
      <c r="AM590" s="1153">
        <f t="shared" si="177"/>
        <v>291.87431940834762</v>
      </c>
      <c r="AN590" s="1145">
        <f t="shared" si="178"/>
        <v>0</v>
      </c>
      <c r="AO590" s="1154">
        <f t="shared" si="179"/>
        <v>291.87431940834762</v>
      </c>
      <c r="AP590" s="1147">
        <f t="shared" si="165"/>
        <v>0</v>
      </c>
      <c r="AQ590" s="1144">
        <f t="shared" si="166"/>
        <v>0</v>
      </c>
      <c r="AR590" s="1146">
        <f t="shared" si="167"/>
        <v>291.87431940834762</v>
      </c>
    </row>
    <row r="591" spans="1:44" x14ac:dyDescent="0.2">
      <c r="A591" s="1141" t="str">
        <f t="shared" si="162"/>
        <v>1510</v>
      </c>
      <c r="B591" s="1141" t="str">
        <f>IFERROR(VLOOKUP(A591,'LAC 103'!A:C,3,FALSE),"")</f>
        <v>OP</v>
      </c>
      <c r="C591" s="1478" t="str">
        <f>Info!$B$8</f>
        <v>00100</v>
      </c>
      <c r="D591" s="1474" t="s">
        <v>256</v>
      </c>
      <c r="E591" s="1474" t="s">
        <v>95</v>
      </c>
      <c r="F591" s="1478" t="s">
        <v>77</v>
      </c>
      <c r="G591" s="1478" t="s">
        <v>77</v>
      </c>
      <c r="H591" s="1474" t="s">
        <v>988</v>
      </c>
      <c r="I591" s="1478" t="s">
        <v>811</v>
      </c>
      <c r="J591" s="1478"/>
      <c r="K591" s="1475" t="s">
        <v>850</v>
      </c>
      <c r="L591" s="1474" t="s">
        <v>330</v>
      </c>
      <c r="M591" s="1476" t="s">
        <v>842</v>
      </c>
      <c r="N591" s="1477" t="s">
        <v>1692</v>
      </c>
      <c r="O591" s="1479">
        <v>833</v>
      </c>
      <c r="P591" s="1479"/>
      <c r="Q591" s="1142">
        <f t="shared" si="163"/>
        <v>833</v>
      </c>
      <c r="R591" s="1143">
        <f>IFERROR(VLOOKUP(CONCATENATE(E591,G591),'LAC 103'!$A$12:$O$95,11,FALSE),0)</f>
        <v>3.2074101033884355</v>
      </c>
      <c r="S591" s="1144">
        <f>IFERROR(VLOOKUP(CONCATENATE($E591,$G591),'LAC 103'!$A$12:$O$95,12,FALSE),0)</f>
        <v>3.99</v>
      </c>
      <c r="T591" s="1144">
        <f>IFERROR(VLOOKUP(CONCATENATE($E591,$G591),'LAC 103'!$A$12:$O$95,13,FALSE),0)</f>
        <v>2.48</v>
      </c>
      <c r="U591" s="1144">
        <f>IFERROR(VLOOKUP(CONCATENATE($E591,$G591),'LAC 103'!$A$12:$O$95,14,FALSE),0)</f>
        <v>0</v>
      </c>
      <c r="V591" s="1144">
        <f>IFERROR(VLOOKUP(CONCATENATE($E591,$G591),'LAC 103'!$A$12:$O$95,15,FALSE),0)</f>
        <v>0</v>
      </c>
      <c r="W591" s="1145" t="str">
        <f>IFERROR(VLOOKUP(CONCATENATE($B591,$N591),'LAC 103'!$AI:$AQ,9,FALSE),"")</f>
        <v>Costs</v>
      </c>
      <c r="X591" s="1146">
        <f t="shared" si="168"/>
        <v>3.2074101033884355</v>
      </c>
      <c r="Y591" s="1143">
        <f t="shared" si="169"/>
        <v>2671.7726161225669</v>
      </c>
      <c r="Z591" s="1147">
        <f t="shared" si="170"/>
        <v>3323.67</v>
      </c>
      <c r="AA591" s="1144">
        <f t="shared" si="171"/>
        <v>2065.84</v>
      </c>
      <c r="AB591" s="1144">
        <f t="shared" si="172"/>
        <v>0</v>
      </c>
      <c r="AC591" s="1144">
        <f t="shared" si="173"/>
        <v>0</v>
      </c>
      <c r="AD591" s="1148">
        <f t="shared" si="164"/>
        <v>2671.7726161225669</v>
      </c>
      <c r="AE591" s="1487">
        <v>0</v>
      </c>
      <c r="AF591" s="1145">
        <f t="shared" si="174"/>
        <v>2671.7726161225669</v>
      </c>
      <c r="AG591" s="1149">
        <f>IFERROR(VLOOKUP(CONCATENATE($L591,$N591),'Drop List'!$G$23:$K$87,2,FALSE),0)</f>
        <v>0</v>
      </c>
      <c r="AH591" s="1150">
        <f>IFERROR(VLOOKUP(CONCATENATE($L591,$N591),'Drop List'!$G$23:$K$87,3,FALSE),0)</f>
        <v>0</v>
      </c>
      <c r="AI591" s="1150">
        <f>IFERROR(VLOOKUP(CONCATENATE($L591,$N591),'Drop List'!$G$23:$K$87,4,FALSE),0)</f>
        <v>1</v>
      </c>
      <c r="AJ591" s="1151">
        <f>IFERROR(VLOOKUP(CONCATENATE($L591,$N591),'Drop List'!$G$23:$K$87,5,FALSE),0)</f>
        <v>0</v>
      </c>
      <c r="AK591" s="1152">
        <f t="shared" si="175"/>
        <v>0</v>
      </c>
      <c r="AL591" s="1153">
        <f t="shared" si="176"/>
        <v>0</v>
      </c>
      <c r="AM591" s="1153">
        <f t="shared" si="177"/>
        <v>2671.7726161225669</v>
      </c>
      <c r="AN591" s="1145">
        <f t="shared" si="178"/>
        <v>0</v>
      </c>
      <c r="AO591" s="1154">
        <f t="shared" si="179"/>
        <v>2671.7726161225669</v>
      </c>
      <c r="AP591" s="1147">
        <f t="shared" si="165"/>
        <v>0</v>
      </c>
      <c r="AQ591" s="1144">
        <f t="shared" si="166"/>
        <v>0</v>
      </c>
      <c r="AR591" s="1146">
        <f t="shared" si="167"/>
        <v>2671.7726161225669</v>
      </c>
    </row>
    <row r="592" spans="1:44" x14ac:dyDescent="0.2">
      <c r="A592" s="1141" t="str">
        <f t="shared" si="162"/>
        <v>1510</v>
      </c>
      <c r="B592" s="1141" t="str">
        <f>IFERROR(VLOOKUP(A592,'LAC 103'!A:C,3,FALSE),"")</f>
        <v>OP</v>
      </c>
      <c r="C592" s="1478" t="str">
        <f>Info!$B$8</f>
        <v>00100</v>
      </c>
      <c r="D592" s="1474" t="s">
        <v>256</v>
      </c>
      <c r="E592" s="1474" t="s">
        <v>95</v>
      </c>
      <c r="F592" s="1478" t="s">
        <v>77</v>
      </c>
      <c r="G592" s="1478" t="s">
        <v>77</v>
      </c>
      <c r="H592" s="1474" t="s">
        <v>988</v>
      </c>
      <c r="I592" s="1478" t="s">
        <v>811</v>
      </c>
      <c r="J592" s="1478"/>
      <c r="K592" s="1475" t="s">
        <v>850</v>
      </c>
      <c r="L592" s="1474" t="s">
        <v>330</v>
      </c>
      <c r="M592" s="1476" t="s">
        <v>1698</v>
      </c>
      <c r="N592" s="1477" t="s">
        <v>1693</v>
      </c>
      <c r="O592" s="1479">
        <v>163</v>
      </c>
      <c r="P592" s="1479"/>
      <c r="Q592" s="1142">
        <f t="shared" si="163"/>
        <v>163</v>
      </c>
      <c r="R592" s="1143">
        <f>IFERROR(VLOOKUP(CONCATENATE(E592,G592),'LAC 103'!$A$12:$O$95,11,FALSE),0)</f>
        <v>3.2074101033884355</v>
      </c>
      <c r="S592" s="1144">
        <f>IFERROR(VLOOKUP(CONCATENATE($E592,$G592),'LAC 103'!$A$12:$O$95,12,FALSE),0)</f>
        <v>3.99</v>
      </c>
      <c r="T592" s="1144">
        <f>IFERROR(VLOOKUP(CONCATENATE($E592,$G592),'LAC 103'!$A$12:$O$95,13,FALSE),0)</f>
        <v>2.48</v>
      </c>
      <c r="U592" s="1144">
        <f>IFERROR(VLOOKUP(CONCATENATE($E592,$G592),'LAC 103'!$A$12:$O$95,14,FALSE),0)</f>
        <v>0</v>
      </c>
      <c r="V592" s="1144">
        <f>IFERROR(VLOOKUP(CONCATENATE($E592,$G592),'LAC 103'!$A$12:$O$95,15,FALSE),0)</f>
        <v>0</v>
      </c>
      <c r="W592" s="1145" t="str">
        <f>IFERROR(VLOOKUP(CONCATENATE($B592,$N592),'LAC 103'!$AI:$AQ,9,FALSE),"")</f>
        <v>Costs</v>
      </c>
      <c r="X592" s="1146">
        <f t="shared" si="168"/>
        <v>3.2074101033884355</v>
      </c>
      <c r="Y592" s="1143">
        <f t="shared" si="169"/>
        <v>522.80784685231492</v>
      </c>
      <c r="Z592" s="1147">
        <f t="shared" si="170"/>
        <v>650.37</v>
      </c>
      <c r="AA592" s="1144">
        <f t="shared" si="171"/>
        <v>404.24</v>
      </c>
      <c r="AB592" s="1144">
        <f t="shared" si="172"/>
        <v>0</v>
      </c>
      <c r="AC592" s="1144">
        <f t="shared" si="173"/>
        <v>0</v>
      </c>
      <c r="AD592" s="1148">
        <f t="shared" si="164"/>
        <v>522.80784685231492</v>
      </c>
      <c r="AE592" s="1487">
        <v>0</v>
      </c>
      <c r="AF592" s="1145">
        <f t="shared" si="174"/>
        <v>522.80784685231492</v>
      </c>
      <c r="AG592" s="1149">
        <f>IFERROR(VLOOKUP(CONCATENATE($L592,$N592),'Drop List'!$G$23:$K$87,2,FALSE),0)</f>
        <v>0</v>
      </c>
      <c r="AH592" s="1150">
        <f>IFERROR(VLOOKUP(CONCATENATE($L592,$N592),'Drop List'!$G$23:$K$87,3,FALSE),0)</f>
        <v>0</v>
      </c>
      <c r="AI592" s="1150">
        <f>IFERROR(VLOOKUP(CONCATENATE($L592,$N592),'Drop List'!$G$23:$K$87,4,FALSE),0)</f>
        <v>1</v>
      </c>
      <c r="AJ592" s="1151">
        <f>IFERROR(VLOOKUP(CONCATENATE($L592,$N592),'Drop List'!$G$23:$K$87,5,FALSE),0)</f>
        <v>0</v>
      </c>
      <c r="AK592" s="1152">
        <f t="shared" si="175"/>
        <v>0</v>
      </c>
      <c r="AL592" s="1153">
        <f t="shared" si="176"/>
        <v>0</v>
      </c>
      <c r="AM592" s="1153">
        <f t="shared" si="177"/>
        <v>522.80784685231492</v>
      </c>
      <c r="AN592" s="1145">
        <f t="shared" si="178"/>
        <v>0</v>
      </c>
      <c r="AO592" s="1154">
        <f t="shared" si="179"/>
        <v>522.80784685231492</v>
      </c>
      <c r="AP592" s="1147">
        <f t="shared" si="165"/>
        <v>0</v>
      </c>
      <c r="AQ592" s="1144">
        <f t="shared" si="166"/>
        <v>0</v>
      </c>
      <c r="AR592" s="1146">
        <f t="shared" si="167"/>
        <v>522.80784685231492</v>
      </c>
    </row>
    <row r="593" spans="1:44" x14ac:dyDescent="0.2">
      <c r="A593" s="1141" t="str">
        <f t="shared" si="162"/>
        <v>1510</v>
      </c>
      <c r="B593" s="1141" t="str">
        <f>IFERROR(VLOOKUP(A593,'LAC 103'!A:C,3,FALSE),"")</f>
        <v>OP</v>
      </c>
      <c r="C593" s="1478" t="str">
        <f>Info!$B$8</f>
        <v>00100</v>
      </c>
      <c r="D593" s="1474" t="s">
        <v>256</v>
      </c>
      <c r="E593" s="1474" t="s">
        <v>95</v>
      </c>
      <c r="F593" s="1478" t="s">
        <v>77</v>
      </c>
      <c r="G593" s="1478" t="s">
        <v>77</v>
      </c>
      <c r="H593" s="1474" t="s">
        <v>988</v>
      </c>
      <c r="I593" s="1478" t="s">
        <v>811</v>
      </c>
      <c r="J593" s="1478"/>
      <c r="K593" s="1475" t="s">
        <v>851</v>
      </c>
      <c r="L593" s="1474" t="s">
        <v>584</v>
      </c>
      <c r="M593" s="1476" t="s">
        <v>1699</v>
      </c>
      <c r="N593" s="1477" t="s">
        <v>1694</v>
      </c>
      <c r="O593" s="1479">
        <v>11332</v>
      </c>
      <c r="P593" s="1479"/>
      <c r="Q593" s="1142">
        <f t="shared" si="163"/>
        <v>11332</v>
      </c>
      <c r="R593" s="1143">
        <f>IFERROR(VLOOKUP(CONCATENATE(E593,G593),'LAC 103'!$A$12:$O$95,11,FALSE),0)</f>
        <v>3.2074101033884355</v>
      </c>
      <c r="S593" s="1144">
        <f>IFERROR(VLOOKUP(CONCATENATE($E593,$G593),'LAC 103'!$A$12:$O$95,12,FALSE),0)</f>
        <v>3.99</v>
      </c>
      <c r="T593" s="1144">
        <f>IFERROR(VLOOKUP(CONCATENATE($E593,$G593),'LAC 103'!$A$12:$O$95,13,FALSE),0)</f>
        <v>2.48</v>
      </c>
      <c r="U593" s="1144">
        <f>IFERROR(VLOOKUP(CONCATENATE($E593,$G593),'LAC 103'!$A$12:$O$95,14,FALSE),0)</f>
        <v>0</v>
      </c>
      <c r="V593" s="1144">
        <f>IFERROR(VLOOKUP(CONCATENATE($E593,$G593),'LAC 103'!$A$12:$O$95,15,FALSE),0)</f>
        <v>0</v>
      </c>
      <c r="W593" s="1145" t="str">
        <f>IFERROR(VLOOKUP(CONCATENATE($B593,$N593),'LAC 103'!$AI:$AQ,9,FALSE),"")</f>
        <v>Costs</v>
      </c>
      <c r="X593" s="1146">
        <f t="shared" si="168"/>
        <v>3.2074101033884355</v>
      </c>
      <c r="Y593" s="1143">
        <f t="shared" si="169"/>
        <v>36346.371291597752</v>
      </c>
      <c r="Z593" s="1147">
        <f t="shared" si="170"/>
        <v>45214.68</v>
      </c>
      <c r="AA593" s="1144">
        <f t="shared" si="171"/>
        <v>28103.360000000001</v>
      </c>
      <c r="AB593" s="1144">
        <f t="shared" si="172"/>
        <v>0</v>
      </c>
      <c r="AC593" s="1144">
        <f t="shared" si="173"/>
        <v>0</v>
      </c>
      <c r="AD593" s="1148">
        <f t="shared" si="164"/>
        <v>36346.371291597752</v>
      </c>
      <c r="AE593" s="1487">
        <v>0</v>
      </c>
      <c r="AF593" s="1145">
        <f t="shared" si="174"/>
        <v>36346.371291597752</v>
      </c>
      <c r="AG593" s="1149">
        <f>IFERROR(VLOOKUP(CONCATENATE($L593,$N593),'Drop List'!$G$23:$K$87,2,FALSE),0)</f>
        <v>0.56200000000000006</v>
      </c>
      <c r="AH593" s="1150">
        <f>IFERROR(VLOOKUP(CONCATENATE($L593,$N593),'Drop List'!$G$23:$K$87,3,FALSE),0)</f>
        <v>0</v>
      </c>
      <c r="AI593" s="1150">
        <f>IFERROR(VLOOKUP(CONCATENATE($L593,$N593),'Drop List'!$G$23:$K$87,4,FALSE),0)</f>
        <v>0</v>
      </c>
      <c r="AJ593" s="1151">
        <f>IFERROR(VLOOKUP(CONCATENATE($L593,$N593),'Drop List'!$G$23:$K$87,5,FALSE),0)</f>
        <v>0.43799999999999994</v>
      </c>
      <c r="AK593" s="1152">
        <f t="shared" si="175"/>
        <v>20426.660665877938</v>
      </c>
      <c r="AL593" s="1153">
        <f t="shared" si="176"/>
        <v>0</v>
      </c>
      <c r="AM593" s="1153">
        <f t="shared" si="177"/>
        <v>0</v>
      </c>
      <c r="AN593" s="1145">
        <f t="shared" si="178"/>
        <v>15919.710625719814</v>
      </c>
      <c r="AO593" s="1154">
        <f t="shared" si="179"/>
        <v>36346.371291597752</v>
      </c>
      <c r="AP593" s="1147">
        <f t="shared" si="165"/>
        <v>0</v>
      </c>
      <c r="AQ593" s="1144">
        <f t="shared" si="166"/>
        <v>0</v>
      </c>
      <c r="AR593" s="1146">
        <f t="shared" si="167"/>
        <v>36346.371291597752</v>
      </c>
    </row>
    <row r="594" spans="1:44" x14ac:dyDescent="0.2">
      <c r="A594" s="1141" t="str">
        <f t="shared" si="162"/>
        <v>1510</v>
      </c>
      <c r="B594" s="1141" t="str">
        <f>IFERROR(VLOOKUP(A594,'LAC 103'!A:C,3,FALSE),"")</f>
        <v>OP</v>
      </c>
      <c r="C594" s="1478" t="str">
        <f>Info!$B$8</f>
        <v>00100</v>
      </c>
      <c r="D594" s="1474" t="s">
        <v>256</v>
      </c>
      <c r="E594" s="1474" t="s">
        <v>95</v>
      </c>
      <c r="F594" s="1478" t="s">
        <v>77</v>
      </c>
      <c r="G594" s="1478" t="s">
        <v>77</v>
      </c>
      <c r="H594" s="1474" t="s">
        <v>988</v>
      </c>
      <c r="I594" s="1478" t="s">
        <v>811</v>
      </c>
      <c r="J594" s="1478"/>
      <c r="K594" s="1475" t="s">
        <v>851</v>
      </c>
      <c r="L594" s="1474" t="s">
        <v>584</v>
      </c>
      <c r="M594" s="1476" t="s">
        <v>841</v>
      </c>
      <c r="N594" s="1477" t="s">
        <v>1695</v>
      </c>
      <c r="O594" s="1479">
        <v>5394</v>
      </c>
      <c r="P594" s="1479"/>
      <c r="Q594" s="1142">
        <f t="shared" si="163"/>
        <v>5394</v>
      </c>
      <c r="R594" s="1143">
        <f>IFERROR(VLOOKUP(CONCATENATE(E594,G594),'LAC 103'!$A$12:$O$95,11,FALSE),0)</f>
        <v>3.2074101033884355</v>
      </c>
      <c r="S594" s="1144">
        <f>IFERROR(VLOOKUP(CONCATENATE($E594,$G594),'LAC 103'!$A$12:$O$95,12,FALSE),0)</f>
        <v>3.99</v>
      </c>
      <c r="T594" s="1144">
        <f>IFERROR(VLOOKUP(CONCATENATE($E594,$G594),'LAC 103'!$A$12:$O$95,13,FALSE),0)</f>
        <v>2.48</v>
      </c>
      <c r="U594" s="1144">
        <f>IFERROR(VLOOKUP(CONCATENATE($E594,$G594),'LAC 103'!$A$12:$O$95,14,FALSE),0)</f>
        <v>0</v>
      </c>
      <c r="V594" s="1144">
        <f>IFERROR(VLOOKUP(CONCATENATE($E594,$G594),'LAC 103'!$A$12:$O$95,15,FALSE),0)</f>
        <v>0</v>
      </c>
      <c r="W594" s="1145" t="str">
        <f>IFERROR(VLOOKUP(CONCATENATE($B594,$N594),'LAC 103'!$AI:$AQ,9,FALSE),"")</f>
        <v>Costs</v>
      </c>
      <c r="X594" s="1146">
        <f t="shared" si="168"/>
        <v>3.2074101033884355</v>
      </c>
      <c r="Y594" s="1143">
        <f t="shared" si="169"/>
        <v>17300.770097677221</v>
      </c>
      <c r="Z594" s="1147">
        <f t="shared" si="170"/>
        <v>21522.06</v>
      </c>
      <c r="AA594" s="1144">
        <f t="shared" si="171"/>
        <v>13377.12</v>
      </c>
      <c r="AB594" s="1144">
        <f t="shared" si="172"/>
        <v>0</v>
      </c>
      <c r="AC594" s="1144">
        <f t="shared" si="173"/>
        <v>0</v>
      </c>
      <c r="AD594" s="1148">
        <f t="shared" si="164"/>
        <v>17300.770097677221</v>
      </c>
      <c r="AE594" s="1487">
        <v>0</v>
      </c>
      <c r="AF594" s="1145">
        <f t="shared" si="174"/>
        <v>17300.770097677221</v>
      </c>
      <c r="AG594" s="1149">
        <f>IFERROR(VLOOKUP(CONCATENATE($L594,$N594),'Drop List'!$G$23:$K$87,2,FALSE),0)</f>
        <v>0.55000000000000004</v>
      </c>
      <c r="AH594" s="1150">
        <f>IFERROR(VLOOKUP(CONCATENATE($L594,$N594),'Drop List'!$G$23:$K$87,3,FALSE),0)</f>
        <v>0</v>
      </c>
      <c r="AI594" s="1150">
        <f>IFERROR(VLOOKUP(CONCATENATE($L594,$N594),'Drop List'!$G$23:$K$87,4,FALSE),0)</f>
        <v>0</v>
      </c>
      <c r="AJ594" s="1151">
        <f>IFERROR(VLOOKUP(CONCATENATE($L594,$N594),'Drop List'!$G$23:$K$87,5,FALSE),0)</f>
        <v>0.44999999999999996</v>
      </c>
      <c r="AK594" s="1152">
        <f t="shared" si="175"/>
        <v>9515.4235537224722</v>
      </c>
      <c r="AL594" s="1153">
        <f t="shared" si="176"/>
        <v>0</v>
      </c>
      <c r="AM594" s="1153">
        <f t="shared" si="177"/>
        <v>0</v>
      </c>
      <c r="AN594" s="1145">
        <f t="shared" si="178"/>
        <v>7785.346543954749</v>
      </c>
      <c r="AO594" s="1154">
        <f t="shared" si="179"/>
        <v>17300.770097677221</v>
      </c>
      <c r="AP594" s="1147">
        <f t="shared" si="165"/>
        <v>0</v>
      </c>
      <c r="AQ594" s="1144">
        <f t="shared" si="166"/>
        <v>0</v>
      </c>
      <c r="AR594" s="1146">
        <f t="shared" si="167"/>
        <v>17300.770097677221</v>
      </c>
    </row>
    <row r="595" spans="1:44" x14ac:dyDescent="0.2">
      <c r="A595" s="1141" t="str">
        <f t="shared" si="162"/>
        <v>1510</v>
      </c>
      <c r="B595" s="1141" t="str">
        <f>IFERROR(VLOOKUP(A595,'LAC 103'!A:C,3,FALSE),"")</f>
        <v>OP</v>
      </c>
      <c r="C595" s="1478" t="str">
        <f>Info!$B$8</f>
        <v>00100</v>
      </c>
      <c r="D595" s="1474" t="s">
        <v>256</v>
      </c>
      <c r="E595" s="1474" t="s">
        <v>95</v>
      </c>
      <c r="F595" s="1478" t="s">
        <v>77</v>
      </c>
      <c r="G595" s="1478" t="s">
        <v>77</v>
      </c>
      <c r="H595" s="1474" t="s">
        <v>988</v>
      </c>
      <c r="I595" s="1478" t="s">
        <v>811</v>
      </c>
      <c r="J595" s="1478"/>
      <c r="K595" s="1475" t="s">
        <v>851</v>
      </c>
      <c r="L595" s="1474" t="s">
        <v>584</v>
      </c>
      <c r="M595" s="1476" t="s">
        <v>840</v>
      </c>
      <c r="N595" s="1477" t="s">
        <v>1700</v>
      </c>
      <c r="O595" s="1479">
        <v>5826</v>
      </c>
      <c r="P595" s="1479"/>
      <c r="Q595" s="1142">
        <f t="shared" si="163"/>
        <v>5826</v>
      </c>
      <c r="R595" s="1143">
        <f>IFERROR(VLOOKUP(CONCATENATE(E595,G595),'LAC 103'!$A$12:$O$95,11,FALSE),0)</f>
        <v>3.2074101033884355</v>
      </c>
      <c r="S595" s="1144">
        <f>IFERROR(VLOOKUP(CONCATENATE($E595,$G595),'LAC 103'!$A$12:$O$95,12,FALSE),0)</f>
        <v>3.99</v>
      </c>
      <c r="T595" s="1144">
        <f>IFERROR(VLOOKUP(CONCATENATE($E595,$G595),'LAC 103'!$A$12:$O$95,13,FALSE),0)</f>
        <v>2.48</v>
      </c>
      <c r="U595" s="1144">
        <f>IFERROR(VLOOKUP(CONCATENATE($E595,$G595),'LAC 103'!$A$12:$O$95,14,FALSE),0)</f>
        <v>0</v>
      </c>
      <c r="V595" s="1144">
        <f>IFERROR(VLOOKUP(CONCATENATE($E595,$G595),'LAC 103'!$A$12:$O$95,15,FALSE),0)</f>
        <v>0</v>
      </c>
      <c r="W595" s="1145" t="str">
        <f>IFERROR(VLOOKUP(CONCATENATE($B595,$N595),'LAC 103'!$AI:$AQ,9,FALSE),"")</f>
        <v>P.C.</v>
      </c>
      <c r="X595" s="1146">
        <f t="shared" si="168"/>
        <v>2.48</v>
      </c>
      <c r="Y595" s="1143">
        <f t="shared" si="169"/>
        <v>18686.371262341025</v>
      </c>
      <c r="Z595" s="1147">
        <f t="shared" si="170"/>
        <v>23245.74</v>
      </c>
      <c r="AA595" s="1144">
        <f t="shared" si="171"/>
        <v>14448.48</v>
      </c>
      <c r="AB595" s="1144">
        <f t="shared" si="172"/>
        <v>0</v>
      </c>
      <c r="AC595" s="1144">
        <f t="shared" si="173"/>
        <v>0</v>
      </c>
      <c r="AD595" s="1148">
        <f t="shared" si="164"/>
        <v>14448.48</v>
      </c>
      <c r="AE595" s="1487">
        <v>0</v>
      </c>
      <c r="AF595" s="1145">
        <f t="shared" si="174"/>
        <v>14448.48</v>
      </c>
      <c r="AG595" s="1149">
        <f>IFERROR(VLOOKUP(CONCATENATE($L595,$N595),'Drop List'!$G$23:$K$87,2,FALSE),0)</f>
        <v>0.55000000000000004</v>
      </c>
      <c r="AH595" s="1150">
        <f>IFERROR(VLOOKUP(CONCATENATE($L595,$N595),'Drop List'!$G$23:$K$87,3,FALSE),0)</f>
        <v>0</v>
      </c>
      <c r="AI595" s="1150">
        <f>IFERROR(VLOOKUP(CONCATENATE($L595,$N595),'Drop List'!$G$23:$K$87,4,FALSE),0)</f>
        <v>0</v>
      </c>
      <c r="AJ595" s="1151">
        <f>IFERROR(VLOOKUP(CONCATENATE($L595,$N595),'Drop List'!$G$23:$K$87,5,FALSE),0)</f>
        <v>0.44999999999999996</v>
      </c>
      <c r="AK595" s="1152">
        <f t="shared" si="175"/>
        <v>7946.6640000000007</v>
      </c>
      <c r="AL595" s="1153">
        <f t="shared" si="176"/>
        <v>0</v>
      </c>
      <c r="AM595" s="1153">
        <f t="shared" si="177"/>
        <v>0</v>
      </c>
      <c r="AN595" s="1145">
        <f t="shared" si="178"/>
        <v>6501.8159999999989</v>
      </c>
      <c r="AO595" s="1154">
        <f t="shared" si="179"/>
        <v>14448.48</v>
      </c>
      <c r="AP595" s="1147">
        <f t="shared" si="165"/>
        <v>0</v>
      </c>
      <c r="AQ595" s="1144">
        <f t="shared" si="166"/>
        <v>0</v>
      </c>
      <c r="AR595" s="1146">
        <f t="shared" si="167"/>
        <v>14448.48</v>
      </c>
    </row>
    <row r="596" spans="1:44" x14ac:dyDescent="0.2">
      <c r="A596" s="1141" t="str">
        <f t="shared" si="162"/>
        <v>1510</v>
      </c>
      <c r="B596" s="1141" t="str">
        <f>IFERROR(VLOOKUP(A596,'LAC 103'!A:C,3,FALSE),"")</f>
        <v>OP</v>
      </c>
      <c r="C596" s="1478" t="str">
        <f>Info!$B$8</f>
        <v>00100</v>
      </c>
      <c r="D596" s="1474" t="s">
        <v>256</v>
      </c>
      <c r="E596" s="1474" t="s">
        <v>95</v>
      </c>
      <c r="F596" s="1478" t="s">
        <v>77</v>
      </c>
      <c r="G596" s="1478" t="s">
        <v>77</v>
      </c>
      <c r="H596" s="1474" t="s">
        <v>988</v>
      </c>
      <c r="I596" s="1478" t="s">
        <v>811</v>
      </c>
      <c r="J596" s="1478"/>
      <c r="K596" s="1475" t="s">
        <v>851</v>
      </c>
      <c r="L596" s="1474" t="s">
        <v>584</v>
      </c>
      <c r="M596" s="1476" t="s">
        <v>842</v>
      </c>
      <c r="N596" s="1477" t="s">
        <v>1692</v>
      </c>
      <c r="O596" s="1479">
        <v>9871</v>
      </c>
      <c r="P596" s="1479"/>
      <c r="Q596" s="1142">
        <f t="shared" si="163"/>
        <v>9871</v>
      </c>
      <c r="R596" s="1143">
        <f>IFERROR(VLOOKUP(CONCATENATE(E596,G596),'LAC 103'!$A$12:$O$95,11,FALSE),0)</f>
        <v>3.2074101033884355</v>
      </c>
      <c r="S596" s="1144">
        <f>IFERROR(VLOOKUP(CONCATENATE($E596,$G596),'LAC 103'!$A$12:$O$95,12,FALSE),0)</f>
        <v>3.99</v>
      </c>
      <c r="T596" s="1144">
        <f>IFERROR(VLOOKUP(CONCATENATE($E596,$G596),'LAC 103'!$A$12:$O$95,13,FALSE),0)</f>
        <v>2.48</v>
      </c>
      <c r="U596" s="1144">
        <f>IFERROR(VLOOKUP(CONCATENATE($E596,$G596),'LAC 103'!$A$12:$O$95,14,FALSE),0)</f>
        <v>0</v>
      </c>
      <c r="V596" s="1144">
        <f>IFERROR(VLOOKUP(CONCATENATE($E596,$G596),'LAC 103'!$A$12:$O$95,15,FALSE),0)</f>
        <v>0</v>
      </c>
      <c r="W596" s="1145" t="str">
        <f>IFERROR(VLOOKUP(CONCATENATE($B596,$N596),'LAC 103'!$AI:$AQ,9,FALSE),"")</f>
        <v>Costs</v>
      </c>
      <c r="X596" s="1146">
        <f t="shared" si="168"/>
        <v>3.2074101033884355</v>
      </c>
      <c r="Y596" s="1143">
        <f t="shared" si="169"/>
        <v>31660.345130547248</v>
      </c>
      <c r="Z596" s="1147">
        <f t="shared" si="170"/>
        <v>39385.29</v>
      </c>
      <c r="AA596" s="1144">
        <f t="shared" si="171"/>
        <v>24480.079999999998</v>
      </c>
      <c r="AB596" s="1144">
        <f t="shared" si="172"/>
        <v>0</v>
      </c>
      <c r="AC596" s="1144">
        <f t="shared" si="173"/>
        <v>0</v>
      </c>
      <c r="AD596" s="1148">
        <f t="shared" si="164"/>
        <v>31660.345130547248</v>
      </c>
      <c r="AE596" s="1487">
        <v>0</v>
      </c>
      <c r="AF596" s="1145">
        <f t="shared" si="174"/>
        <v>31660.345130547248</v>
      </c>
      <c r="AG596" s="1149">
        <f>IFERROR(VLOOKUP(CONCATENATE($L596,$N596),'Drop List'!$G$23:$K$87,2,FALSE),0)</f>
        <v>0.56200000000000006</v>
      </c>
      <c r="AH596" s="1150">
        <f>IFERROR(VLOOKUP(CONCATENATE($L596,$N596),'Drop List'!$G$23:$K$87,3,FALSE),0)</f>
        <v>0</v>
      </c>
      <c r="AI596" s="1150">
        <f>IFERROR(VLOOKUP(CONCATENATE($L596,$N596),'Drop List'!$G$23:$K$87,4,FALSE),0)</f>
        <v>0</v>
      </c>
      <c r="AJ596" s="1151">
        <f>IFERROR(VLOOKUP(CONCATENATE($L596,$N596),'Drop List'!$G$23:$K$87,5,FALSE),0)</f>
        <v>0.43799999999999994</v>
      </c>
      <c r="AK596" s="1152">
        <f t="shared" si="175"/>
        <v>17793.113963367556</v>
      </c>
      <c r="AL596" s="1153">
        <f t="shared" si="176"/>
        <v>0</v>
      </c>
      <c r="AM596" s="1153">
        <f t="shared" si="177"/>
        <v>0</v>
      </c>
      <c r="AN596" s="1145">
        <f t="shared" si="178"/>
        <v>13867.231167179692</v>
      </c>
      <c r="AO596" s="1154">
        <f t="shared" si="179"/>
        <v>31660.345130547248</v>
      </c>
      <c r="AP596" s="1147">
        <f t="shared" si="165"/>
        <v>0</v>
      </c>
      <c r="AQ596" s="1144">
        <f t="shared" si="166"/>
        <v>0</v>
      </c>
      <c r="AR596" s="1146">
        <f t="shared" si="167"/>
        <v>31660.345130547248</v>
      </c>
    </row>
    <row r="597" spans="1:44" x14ac:dyDescent="0.2">
      <c r="A597" s="1141" t="str">
        <f t="shared" si="162"/>
        <v>1510</v>
      </c>
      <c r="B597" s="1141" t="str">
        <f>IFERROR(VLOOKUP(A597,'LAC 103'!A:C,3,FALSE),"")</f>
        <v>OP</v>
      </c>
      <c r="C597" s="1478" t="str">
        <f>Info!$B$8</f>
        <v>00100</v>
      </c>
      <c r="D597" s="1474" t="s">
        <v>256</v>
      </c>
      <c r="E597" s="1474" t="s">
        <v>95</v>
      </c>
      <c r="F597" s="1478" t="s">
        <v>77</v>
      </c>
      <c r="G597" s="1478" t="s">
        <v>77</v>
      </c>
      <c r="H597" s="1474" t="s">
        <v>988</v>
      </c>
      <c r="I597" s="1478" t="s">
        <v>811</v>
      </c>
      <c r="J597" s="1478"/>
      <c r="K597" s="1475" t="s">
        <v>851</v>
      </c>
      <c r="L597" s="1474" t="s">
        <v>584</v>
      </c>
      <c r="M597" s="1476" t="s">
        <v>1698</v>
      </c>
      <c r="N597" s="1477" t="s">
        <v>1693</v>
      </c>
      <c r="O597" s="1479">
        <v>9788</v>
      </c>
      <c r="P597" s="1479"/>
      <c r="Q597" s="1142">
        <f t="shared" si="163"/>
        <v>9788</v>
      </c>
      <c r="R597" s="1143">
        <f>IFERROR(VLOOKUP(CONCATENATE(E597,G597),'LAC 103'!$A$12:$O$95,11,FALSE),0)</f>
        <v>3.2074101033884355</v>
      </c>
      <c r="S597" s="1144">
        <f>IFERROR(VLOOKUP(CONCATENATE($E597,$G597),'LAC 103'!$A$12:$O$95,12,FALSE),0)</f>
        <v>3.99</v>
      </c>
      <c r="T597" s="1144">
        <f>IFERROR(VLOOKUP(CONCATENATE($E597,$G597),'LAC 103'!$A$12:$O$95,13,FALSE),0)</f>
        <v>2.48</v>
      </c>
      <c r="U597" s="1144">
        <f>IFERROR(VLOOKUP(CONCATENATE($E597,$G597),'LAC 103'!$A$12:$O$95,14,FALSE),0)</f>
        <v>0</v>
      </c>
      <c r="V597" s="1144">
        <f>IFERROR(VLOOKUP(CONCATENATE($E597,$G597),'LAC 103'!$A$12:$O$95,15,FALSE),0)</f>
        <v>0</v>
      </c>
      <c r="W597" s="1145" t="str">
        <f>IFERROR(VLOOKUP(CONCATENATE($B597,$N597),'LAC 103'!$AI:$AQ,9,FALSE),"")</f>
        <v>Costs</v>
      </c>
      <c r="X597" s="1146">
        <f t="shared" si="168"/>
        <v>3.2074101033884355</v>
      </c>
      <c r="Y597" s="1143">
        <f t="shared" si="169"/>
        <v>31394.130091966006</v>
      </c>
      <c r="Z597" s="1147">
        <f t="shared" si="170"/>
        <v>39054.120000000003</v>
      </c>
      <c r="AA597" s="1144">
        <f t="shared" si="171"/>
        <v>24274.240000000002</v>
      </c>
      <c r="AB597" s="1144">
        <f t="shared" si="172"/>
        <v>0</v>
      </c>
      <c r="AC597" s="1144">
        <f t="shared" si="173"/>
        <v>0</v>
      </c>
      <c r="AD597" s="1148">
        <f t="shared" si="164"/>
        <v>31394.130091966006</v>
      </c>
      <c r="AE597" s="1487">
        <v>0</v>
      </c>
      <c r="AF597" s="1145">
        <f t="shared" si="174"/>
        <v>31394.130091966006</v>
      </c>
      <c r="AG597" s="1149">
        <f>IFERROR(VLOOKUP(CONCATENATE($L597,$N597),'Drop List'!$G$23:$K$87,2,FALSE),0)</f>
        <v>0.56200000000000006</v>
      </c>
      <c r="AH597" s="1150">
        <f>IFERROR(VLOOKUP(CONCATENATE($L597,$N597),'Drop List'!$G$23:$K$87,3,FALSE),0)</f>
        <v>0</v>
      </c>
      <c r="AI597" s="1150">
        <f>IFERROR(VLOOKUP(CONCATENATE($L597,$N597),'Drop List'!$G$23:$K$87,4,FALSE),0)</f>
        <v>0</v>
      </c>
      <c r="AJ597" s="1151">
        <f>IFERROR(VLOOKUP(CONCATENATE($L597,$N597),'Drop List'!$G$23:$K$87,5,FALSE),0)</f>
        <v>0.43799999999999994</v>
      </c>
      <c r="AK597" s="1152">
        <f t="shared" si="175"/>
        <v>17643.501111684898</v>
      </c>
      <c r="AL597" s="1153">
        <f t="shared" si="176"/>
        <v>0</v>
      </c>
      <c r="AM597" s="1153">
        <f t="shared" si="177"/>
        <v>0</v>
      </c>
      <c r="AN597" s="1145">
        <f t="shared" si="178"/>
        <v>13750.62898028111</v>
      </c>
      <c r="AO597" s="1154">
        <f t="shared" si="179"/>
        <v>31394.130091966006</v>
      </c>
      <c r="AP597" s="1147">
        <f t="shared" si="165"/>
        <v>0</v>
      </c>
      <c r="AQ597" s="1144">
        <f t="shared" si="166"/>
        <v>0</v>
      </c>
      <c r="AR597" s="1146">
        <f t="shared" si="167"/>
        <v>31394.130091966006</v>
      </c>
    </row>
    <row r="598" spans="1:44" x14ac:dyDescent="0.2">
      <c r="A598" s="1141" t="str">
        <f t="shared" si="162"/>
        <v>1510</v>
      </c>
      <c r="B598" s="1141" t="str">
        <f>IFERROR(VLOOKUP(A598,'LAC 103'!A:C,3,FALSE),"")</f>
        <v>OP</v>
      </c>
      <c r="C598" s="1478" t="str">
        <f>Info!$B$8</f>
        <v>00100</v>
      </c>
      <c r="D598" s="1474" t="s">
        <v>256</v>
      </c>
      <c r="E598" s="1474" t="s">
        <v>95</v>
      </c>
      <c r="F598" s="1478" t="s">
        <v>77</v>
      </c>
      <c r="G598" s="1478" t="s">
        <v>77</v>
      </c>
      <c r="H598" s="1474" t="s">
        <v>1661</v>
      </c>
      <c r="I598" s="1478" t="s">
        <v>819</v>
      </c>
      <c r="J598" s="1478" t="s">
        <v>123</v>
      </c>
      <c r="K598" s="1475" t="s">
        <v>849</v>
      </c>
      <c r="L598" s="1474" t="s">
        <v>77</v>
      </c>
      <c r="M598" s="1476" t="s">
        <v>1699</v>
      </c>
      <c r="N598" s="1477" t="s">
        <v>1694</v>
      </c>
      <c r="O598" s="1479">
        <v>45</v>
      </c>
      <c r="P598" s="1479"/>
      <c r="Q598" s="1142">
        <f t="shared" si="163"/>
        <v>45</v>
      </c>
      <c r="R598" s="1143">
        <f>IFERROR(VLOOKUP(CONCATENATE(E598,G598),'LAC 103'!$A$12:$O$95,11,FALSE),0)</f>
        <v>3.2074101033884355</v>
      </c>
      <c r="S598" s="1144">
        <f>IFERROR(VLOOKUP(CONCATENATE($E598,$G598),'LAC 103'!$A$12:$O$95,12,FALSE),0)</f>
        <v>3.99</v>
      </c>
      <c r="T598" s="1144">
        <f>IFERROR(VLOOKUP(CONCATENATE($E598,$G598),'LAC 103'!$A$12:$O$95,13,FALSE),0)</f>
        <v>2.48</v>
      </c>
      <c r="U598" s="1144">
        <f>IFERROR(VLOOKUP(CONCATENATE($E598,$G598),'LAC 103'!$A$12:$O$95,14,FALSE),0)</f>
        <v>0</v>
      </c>
      <c r="V598" s="1144">
        <f>IFERROR(VLOOKUP(CONCATENATE($E598,$G598),'LAC 103'!$A$12:$O$95,15,FALSE),0)</f>
        <v>0</v>
      </c>
      <c r="W598" s="1145" t="str">
        <f>IFERROR(VLOOKUP(CONCATENATE($B598,$N598),'LAC 103'!$AI:$AQ,9,FALSE),"")</f>
        <v>Costs</v>
      </c>
      <c r="X598" s="1146">
        <f t="shared" si="168"/>
        <v>3.2074101033884355</v>
      </c>
      <c r="Y598" s="1143">
        <f t="shared" si="169"/>
        <v>144.33345465247959</v>
      </c>
      <c r="Z598" s="1147">
        <f t="shared" si="170"/>
        <v>179.55</v>
      </c>
      <c r="AA598" s="1144">
        <f t="shared" si="171"/>
        <v>111.6</v>
      </c>
      <c r="AB598" s="1144">
        <f t="shared" si="172"/>
        <v>0</v>
      </c>
      <c r="AC598" s="1144">
        <f t="shared" si="173"/>
        <v>0</v>
      </c>
      <c r="AD598" s="1148">
        <f t="shared" si="164"/>
        <v>144.33345465247959</v>
      </c>
      <c r="AE598" s="1487">
        <v>0</v>
      </c>
      <c r="AF598" s="1145">
        <f t="shared" si="174"/>
        <v>144.33345465247959</v>
      </c>
      <c r="AG598" s="1149">
        <f>IFERROR(VLOOKUP(CONCATENATE($L598,$N598),'Drop List'!$G$23:$K$87,2,FALSE),0)</f>
        <v>0.9</v>
      </c>
      <c r="AH598" s="1150">
        <f>IFERROR(VLOOKUP(CONCATENATE($L598,$N598),'Drop List'!$G$23:$K$87,3,FALSE),0)</f>
        <v>0</v>
      </c>
      <c r="AI598" s="1150">
        <f>IFERROR(VLOOKUP(CONCATENATE($L598,$N598),'Drop List'!$G$23:$K$87,4,FALSE),0)</f>
        <v>0.1</v>
      </c>
      <c r="AJ598" s="1151">
        <f>IFERROR(VLOOKUP(CONCATENATE($L598,$N598),'Drop List'!$G$23:$K$87,5,FALSE),0)</f>
        <v>0</v>
      </c>
      <c r="AK598" s="1152">
        <f t="shared" si="175"/>
        <v>129.90010918723164</v>
      </c>
      <c r="AL598" s="1153">
        <f t="shared" si="176"/>
        <v>0</v>
      </c>
      <c r="AM598" s="1153">
        <f t="shared" si="177"/>
        <v>14.43334546524796</v>
      </c>
      <c r="AN598" s="1145">
        <f t="shared" si="178"/>
        <v>0</v>
      </c>
      <c r="AO598" s="1154">
        <f t="shared" si="179"/>
        <v>144.33345465247959</v>
      </c>
      <c r="AP598" s="1147">
        <f t="shared" si="165"/>
        <v>0</v>
      </c>
      <c r="AQ598" s="1144">
        <f t="shared" si="166"/>
        <v>0</v>
      </c>
      <c r="AR598" s="1146">
        <f t="shared" si="167"/>
        <v>144.33345465247959</v>
      </c>
    </row>
    <row r="599" spans="1:44" x14ac:dyDescent="0.2">
      <c r="A599" s="1141" t="str">
        <f t="shared" si="162"/>
        <v>1510</v>
      </c>
      <c r="B599" s="1141" t="str">
        <f>IFERROR(VLOOKUP(A599,'LAC 103'!A:C,3,FALSE),"")</f>
        <v>OP</v>
      </c>
      <c r="C599" s="1478" t="str">
        <f>Info!$B$8</f>
        <v>00100</v>
      </c>
      <c r="D599" s="1474" t="s">
        <v>256</v>
      </c>
      <c r="E599" s="1474" t="s">
        <v>95</v>
      </c>
      <c r="F599" s="1478" t="s">
        <v>77</v>
      </c>
      <c r="G599" s="1478" t="s">
        <v>77</v>
      </c>
      <c r="H599" s="1474" t="s">
        <v>1661</v>
      </c>
      <c r="I599" s="1478" t="s">
        <v>819</v>
      </c>
      <c r="J599" s="1478"/>
      <c r="K599" s="1475" t="s">
        <v>849</v>
      </c>
      <c r="L599" s="1474" t="s">
        <v>77</v>
      </c>
      <c r="M599" s="1476" t="s">
        <v>841</v>
      </c>
      <c r="N599" s="1477" t="s">
        <v>1695</v>
      </c>
      <c r="O599" s="1479">
        <v>50</v>
      </c>
      <c r="P599" s="1479"/>
      <c r="Q599" s="1142">
        <f t="shared" si="163"/>
        <v>50</v>
      </c>
      <c r="R599" s="1143">
        <f>IFERROR(VLOOKUP(CONCATENATE(E599,G599),'LAC 103'!$A$12:$O$95,11,FALSE),0)</f>
        <v>3.2074101033884355</v>
      </c>
      <c r="S599" s="1144">
        <f>IFERROR(VLOOKUP(CONCATENATE($E599,$G599),'LAC 103'!$A$12:$O$95,12,FALSE),0)</f>
        <v>3.99</v>
      </c>
      <c r="T599" s="1144">
        <f>IFERROR(VLOOKUP(CONCATENATE($E599,$G599),'LAC 103'!$A$12:$O$95,13,FALSE),0)</f>
        <v>2.48</v>
      </c>
      <c r="U599" s="1144">
        <f>IFERROR(VLOOKUP(CONCATENATE($E599,$G599),'LAC 103'!$A$12:$O$95,14,FALSE),0)</f>
        <v>0</v>
      </c>
      <c r="V599" s="1144">
        <f>IFERROR(VLOOKUP(CONCATENATE($E599,$G599),'LAC 103'!$A$12:$O$95,15,FALSE),0)</f>
        <v>0</v>
      </c>
      <c r="W599" s="1145" t="str">
        <f>IFERROR(VLOOKUP(CONCATENATE($B599,$N599),'LAC 103'!$AI:$AQ,9,FALSE),"")</f>
        <v>Costs</v>
      </c>
      <c r="X599" s="1146">
        <f t="shared" si="168"/>
        <v>3.2074101033884355</v>
      </c>
      <c r="Y599" s="1143">
        <f t="shared" si="169"/>
        <v>160.37050516942176</v>
      </c>
      <c r="Z599" s="1147">
        <f t="shared" si="170"/>
        <v>199.5</v>
      </c>
      <c r="AA599" s="1144">
        <f t="shared" si="171"/>
        <v>124</v>
      </c>
      <c r="AB599" s="1144">
        <f t="shared" si="172"/>
        <v>0</v>
      </c>
      <c r="AC599" s="1144">
        <f t="shared" si="173"/>
        <v>0</v>
      </c>
      <c r="AD599" s="1148">
        <f t="shared" si="164"/>
        <v>160.37050516942176</v>
      </c>
      <c r="AE599" s="1487">
        <v>0</v>
      </c>
      <c r="AF599" s="1145">
        <f t="shared" si="174"/>
        <v>160.37050516942176</v>
      </c>
      <c r="AG599" s="1149">
        <f>IFERROR(VLOOKUP(CONCATENATE($L599,$N599),'Drop List'!$G$23:$K$87,2,FALSE),0)</f>
        <v>0.9</v>
      </c>
      <c r="AH599" s="1150">
        <f>IFERROR(VLOOKUP(CONCATENATE($L599,$N599),'Drop List'!$G$23:$K$87,3,FALSE),0)</f>
        <v>0</v>
      </c>
      <c r="AI599" s="1150">
        <f>IFERROR(VLOOKUP(CONCATENATE($L599,$N599),'Drop List'!$G$23:$K$87,4,FALSE),0)</f>
        <v>0.1</v>
      </c>
      <c r="AJ599" s="1151">
        <f>IFERROR(VLOOKUP(CONCATENATE($L599,$N599),'Drop List'!$G$23:$K$87,5,FALSE),0)</f>
        <v>0</v>
      </c>
      <c r="AK599" s="1152">
        <f t="shared" si="175"/>
        <v>144.33345465247959</v>
      </c>
      <c r="AL599" s="1153">
        <f t="shared" si="176"/>
        <v>0</v>
      </c>
      <c r="AM599" s="1153">
        <f t="shared" si="177"/>
        <v>16.037050516942177</v>
      </c>
      <c r="AN599" s="1145">
        <f t="shared" si="178"/>
        <v>0</v>
      </c>
      <c r="AO599" s="1154">
        <f t="shared" si="179"/>
        <v>160.37050516942176</v>
      </c>
      <c r="AP599" s="1147">
        <f t="shared" si="165"/>
        <v>0</v>
      </c>
      <c r="AQ599" s="1144">
        <f t="shared" si="166"/>
        <v>0</v>
      </c>
      <c r="AR599" s="1146">
        <f t="shared" si="167"/>
        <v>160.37050516942176</v>
      </c>
    </row>
    <row r="600" spans="1:44" x14ac:dyDescent="0.2">
      <c r="A600" s="1141" t="str">
        <f t="shared" si="162"/>
        <v>1510</v>
      </c>
      <c r="B600" s="1141" t="str">
        <f>IFERROR(VLOOKUP(A600,'LAC 103'!A:C,3,FALSE),"")</f>
        <v>OP</v>
      </c>
      <c r="C600" s="1478" t="str">
        <f>Info!$B$8</f>
        <v>00100</v>
      </c>
      <c r="D600" s="1474" t="s">
        <v>256</v>
      </c>
      <c r="E600" s="1474" t="s">
        <v>95</v>
      </c>
      <c r="F600" s="1478" t="s">
        <v>77</v>
      </c>
      <c r="G600" s="1478" t="s">
        <v>77</v>
      </c>
      <c r="H600" s="1474" t="s">
        <v>1661</v>
      </c>
      <c r="I600" s="1478" t="s">
        <v>819</v>
      </c>
      <c r="J600" s="1478"/>
      <c r="K600" s="1475" t="s">
        <v>849</v>
      </c>
      <c r="L600" s="1474" t="s">
        <v>77</v>
      </c>
      <c r="M600" s="1476" t="s">
        <v>842</v>
      </c>
      <c r="N600" s="1477" t="s">
        <v>1692</v>
      </c>
      <c r="O600" s="1479">
        <v>35</v>
      </c>
      <c r="P600" s="1479"/>
      <c r="Q600" s="1142">
        <f t="shared" si="163"/>
        <v>35</v>
      </c>
      <c r="R600" s="1143">
        <f>IFERROR(VLOOKUP(CONCATENATE(E600,G600),'LAC 103'!$A$12:$O$95,11,FALSE),0)</f>
        <v>3.2074101033884355</v>
      </c>
      <c r="S600" s="1144">
        <f>IFERROR(VLOOKUP(CONCATENATE($E600,$G600),'LAC 103'!$A$12:$O$95,12,FALSE),0)</f>
        <v>3.99</v>
      </c>
      <c r="T600" s="1144">
        <f>IFERROR(VLOOKUP(CONCATENATE($E600,$G600),'LAC 103'!$A$12:$O$95,13,FALSE),0)</f>
        <v>2.48</v>
      </c>
      <c r="U600" s="1144">
        <f>IFERROR(VLOOKUP(CONCATENATE($E600,$G600),'LAC 103'!$A$12:$O$95,14,FALSE),0)</f>
        <v>0</v>
      </c>
      <c r="V600" s="1144">
        <f>IFERROR(VLOOKUP(CONCATENATE($E600,$G600),'LAC 103'!$A$12:$O$95,15,FALSE),0)</f>
        <v>0</v>
      </c>
      <c r="W600" s="1145" t="str">
        <f>IFERROR(VLOOKUP(CONCATENATE($B600,$N600),'LAC 103'!$AI:$AQ,9,FALSE),"")</f>
        <v>Costs</v>
      </c>
      <c r="X600" s="1146">
        <f t="shared" si="168"/>
        <v>3.2074101033884355</v>
      </c>
      <c r="Y600" s="1143">
        <f t="shared" si="169"/>
        <v>112.25935361859524</v>
      </c>
      <c r="Z600" s="1147">
        <f t="shared" si="170"/>
        <v>139.65</v>
      </c>
      <c r="AA600" s="1144">
        <f t="shared" si="171"/>
        <v>86.8</v>
      </c>
      <c r="AB600" s="1144">
        <f t="shared" si="172"/>
        <v>0</v>
      </c>
      <c r="AC600" s="1144">
        <f t="shared" si="173"/>
        <v>0</v>
      </c>
      <c r="AD600" s="1148">
        <f t="shared" si="164"/>
        <v>112.25935361859524</v>
      </c>
      <c r="AE600" s="1487">
        <v>0</v>
      </c>
      <c r="AF600" s="1145">
        <f t="shared" si="174"/>
        <v>112.25935361859524</v>
      </c>
      <c r="AG600" s="1149">
        <f>IFERROR(VLOOKUP(CONCATENATE($L600,$N600),'Drop List'!$G$23:$K$87,2,FALSE),0)</f>
        <v>0.9</v>
      </c>
      <c r="AH600" s="1150">
        <f>IFERROR(VLOOKUP(CONCATENATE($L600,$N600),'Drop List'!$G$23:$K$87,3,FALSE),0)</f>
        <v>0</v>
      </c>
      <c r="AI600" s="1150">
        <f>IFERROR(VLOOKUP(CONCATENATE($L600,$N600),'Drop List'!$G$23:$K$87,4,FALSE),0)</f>
        <v>0.1</v>
      </c>
      <c r="AJ600" s="1151">
        <f>IFERROR(VLOOKUP(CONCATENATE($L600,$N600),'Drop List'!$G$23:$K$87,5,FALSE),0)</f>
        <v>0</v>
      </c>
      <c r="AK600" s="1152">
        <f t="shared" si="175"/>
        <v>101.03341825673571</v>
      </c>
      <c r="AL600" s="1153">
        <f t="shared" si="176"/>
        <v>0</v>
      </c>
      <c r="AM600" s="1153">
        <f t="shared" si="177"/>
        <v>11.225935361859525</v>
      </c>
      <c r="AN600" s="1145">
        <f t="shared" si="178"/>
        <v>0</v>
      </c>
      <c r="AO600" s="1154">
        <f t="shared" si="179"/>
        <v>112.25935361859524</v>
      </c>
      <c r="AP600" s="1147">
        <f t="shared" si="165"/>
        <v>0</v>
      </c>
      <c r="AQ600" s="1144">
        <f t="shared" si="166"/>
        <v>0</v>
      </c>
      <c r="AR600" s="1146">
        <f t="shared" si="167"/>
        <v>112.25935361859524</v>
      </c>
    </row>
    <row r="601" spans="1:44" x14ac:dyDescent="0.2">
      <c r="A601" s="1141" t="str">
        <f t="shared" si="162"/>
        <v>1510</v>
      </c>
      <c r="B601" s="1141" t="str">
        <f>IFERROR(VLOOKUP(A601,'LAC 103'!A:C,3,FALSE),"")</f>
        <v>OP</v>
      </c>
      <c r="C601" s="1478" t="str">
        <f>Info!$B$8</f>
        <v>00100</v>
      </c>
      <c r="D601" s="1474" t="s">
        <v>256</v>
      </c>
      <c r="E601" s="1474" t="s">
        <v>95</v>
      </c>
      <c r="F601" s="1478" t="s">
        <v>77</v>
      </c>
      <c r="G601" s="1478" t="s">
        <v>77</v>
      </c>
      <c r="H601" s="1474" t="s">
        <v>1661</v>
      </c>
      <c r="I601" s="1478" t="s">
        <v>819</v>
      </c>
      <c r="J601" s="1478"/>
      <c r="K601" s="1475" t="s">
        <v>851</v>
      </c>
      <c r="L601" s="1474" t="s">
        <v>584</v>
      </c>
      <c r="M601" s="1476" t="s">
        <v>1699</v>
      </c>
      <c r="N601" s="1477" t="s">
        <v>1694</v>
      </c>
      <c r="O601" s="1479">
        <v>148</v>
      </c>
      <c r="P601" s="1479"/>
      <c r="Q601" s="1142">
        <f t="shared" si="163"/>
        <v>148</v>
      </c>
      <c r="R601" s="1143">
        <f>IFERROR(VLOOKUP(CONCATENATE(E601,G601),'LAC 103'!$A$12:$O$95,11,FALSE),0)</f>
        <v>3.2074101033884355</v>
      </c>
      <c r="S601" s="1144">
        <f>IFERROR(VLOOKUP(CONCATENATE($E601,$G601),'LAC 103'!$A$12:$O$95,12,FALSE),0)</f>
        <v>3.99</v>
      </c>
      <c r="T601" s="1144">
        <f>IFERROR(VLOOKUP(CONCATENATE($E601,$G601),'LAC 103'!$A$12:$O$95,13,FALSE),0)</f>
        <v>2.48</v>
      </c>
      <c r="U601" s="1144">
        <f>IFERROR(VLOOKUP(CONCATENATE($E601,$G601),'LAC 103'!$A$12:$O$95,14,FALSE),0)</f>
        <v>0</v>
      </c>
      <c r="V601" s="1144">
        <f>IFERROR(VLOOKUP(CONCATENATE($E601,$G601),'LAC 103'!$A$12:$O$95,15,FALSE),0)</f>
        <v>0</v>
      </c>
      <c r="W601" s="1145" t="str">
        <f>IFERROR(VLOOKUP(CONCATENATE($B601,$N601),'LAC 103'!$AI:$AQ,9,FALSE),"")</f>
        <v>Costs</v>
      </c>
      <c r="X601" s="1146">
        <f t="shared" si="168"/>
        <v>3.2074101033884355</v>
      </c>
      <c r="Y601" s="1143">
        <f t="shared" si="169"/>
        <v>474.69669530148843</v>
      </c>
      <c r="Z601" s="1147">
        <f t="shared" si="170"/>
        <v>590.52</v>
      </c>
      <c r="AA601" s="1144">
        <f t="shared" si="171"/>
        <v>367.04</v>
      </c>
      <c r="AB601" s="1144">
        <f t="shared" si="172"/>
        <v>0</v>
      </c>
      <c r="AC601" s="1144">
        <f t="shared" si="173"/>
        <v>0</v>
      </c>
      <c r="AD601" s="1148">
        <f t="shared" si="164"/>
        <v>474.69669530148843</v>
      </c>
      <c r="AE601" s="1487">
        <v>0</v>
      </c>
      <c r="AF601" s="1145">
        <f t="shared" si="174"/>
        <v>474.69669530148843</v>
      </c>
      <c r="AG601" s="1149">
        <f>IFERROR(VLOOKUP(CONCATENATE($L601,$N601),'Drop List'!$G$23:$K$87,2,FALSE),0)</f>
        <v>0.56200000000000006</v>
      </c>
      <c r="AH601" s="1150">
        <f>IFERROR(VLOOKUP(CONCATENATE($L601,$N601),'Drop List'!$G$23:$K$87,3,FALSE),0)</f>
        <v>0</v>
      </c>
      <c r="AI601" s="1150">
        <f>IFERROR(VLOOKUP(CONCATENATE($L601,$N601),'Drop List'!$G$23:$K$87,4,FALSE),0)</f>
        <v>0</v>
      </c>
      <c r="AJ601" s="1151">
        <f>IFERROR(VLOOKUP(CONCATENATE($L601,$N601),'Drop List'!$G$23:$K$87,5,FALSE),0)</f>
        <v>0.43799999999999994</v>
      </c>
      <c r="AK601" s="1152">
        <f t="shared" si="175"/>
        <v>266.77954275943654</v>
      </c>
      <c r="AL601" s="1153">
        <f t="shared" si="176"/>
        <v>0</v>
      </c>
      <c r="AM601" s="1153">
        <f t="shared" si="177"/>
        <v>0</v>
      </c>
      <c r="AN601" s="1145">
        <f t="shared" si="178"/>
        <v>207.91715254205189</v>
      </c>
      <c r="AO601" s="1154">
        <f t="shared" si="179"/>
        <v>474.69669530148843</v>
      </c>
      <c r="AP601" s="1147">
        <f t="shared" si="165"/>
        <v>0</v>
      </c>
      <c r="AQ601" s="1144">
        <f t="shared" si="166"/>
        <v>0</v>
      </c>
      <c r="AR601" s="1146">
        <f t="shared" si="167"/>
        <v>474.69669530148843</v>
      </c>
    </row>
    <row r="602" spans="1:44" x14ac:dyDescent="0.2">
      <c r="A602" s="1141" t="str">
        <f t="shared" si="162"/>
        <v>1510</v>
      </c>
      <c r="B602" s="1141" t="str">
        <f>IFERROR(VLOOKUP(A602,'LAC 103'!A:C,3,FALSE),"")</f>
        <v>OP</v>
      </c>
      <c r="C602" s="1478" t="str">
        <f>Info!$B$8</f>
        <v>00100</v>
      </c>
      <c r="D602" s="1474" t="s">
        <v>256</v>
      </c>
      <c r="E602" s="1474" t="s">
        <v>95</v>
      </c>
      <c r="F602" s="1478" t="s">
        <v>77</v>
      </c>
      <c r="G602" s="1478" t="s">
        <v>77</v>
      </c>
      <c r="H602" s="1474" t="s">
        <v>1661</v>
      </c>
      <c r="I602" s="1478" t="s">
        <v>819</v>
      </c>
      <c r="J602" s="1478"/>
      <c r="K602" s="1475" t="s">
        <v>851</v>
      </c>
      <c r="L602" s="1474" t="s">
        <v>584</v>
      </c>
      <c r="M602" s="1476" t="s">
        <v>841</v>
      </c>
      <c r="N602" s="1477" t="s">
        <v>1695</v>
      </c>
      <c r="O602" s="1479">
        <v>15</v>
      </c>
      <c r="P602" s="1479"/>
      <c r="Q602" s="1142">
        <f t="shared" si="163"/>
        <v>15</v>
      </c>
      <c r="R602" s="1143">
        <f>IFERROR(VLOOKUP(CONCATENATE(E602,G602),'LAC 103'!$A$12:$O$95,11,FALSE),0)</f>
        <v>3.2074101033884355</v>
      </c>
      <c r="S602" s="1144">
        <f>IFERROR(VLOOKUP(CONCATENATE($E602,$G602),'LAC 103'!$A$12:$O$95,12,FALSE),0)</f>
        <v>3.99</v>
      </c>
      <c r="T602" s="1144">
        <f>IFERROR(VLOOKUP(CONCATENATE($E602,$G602),'LAC 103'!$A$12:$O$95,13,FALSE),0)</f>
        <v>2.48</v>
      </c>
      <c r="U602" s="1144">
        <f>IFERROR(VLOOKUP(CONCATENATE($E602,$G602),'LAC 103'!$A$12:$O$95,14,FALSE),0)</f>
        <v>0</v>
      </c>
      <c r="V602" s="1144">
        <f>IFERROR(VLOOKUP(CONCATENATE($E602,$G602),'LAC 103'!$A$12:$O$95,15,FALSE),0)</f>
        <v>0</v>
      </c>
      <c r="W602" s="1145" t="str">
        <f>IFERROR(VLOOKUP(CONCATENATE($B602,$N602),'LAC 103'!$AI:$AQ,9,FALSE),"")</f>
        <v>Costs</v>
      </c>
      <c r="X602" s="1146">
        <f t="shared" si="168"/>
        <v>3.2074101033884355</v>
      </c>
      <c r="Y602" s="1143">
        <f t="shared" si="169"/>
        <v>48.111151550826534</v>
      </c>
      <c r="Z602" s="1147">
        <f t="shared" si="170"/>
        <v>59.85</v>
      </c>
      <c r="AA602" s="1144">
        <f t="shared" si="171"/>
        <v>37.200000000000003</v>
      </c>
      <c r="AB602" s="1144">
        <f t="shared" si="172"/>
        <v>0</v>
      </c>
      <c r="AC602" s="1144">
        <f t="shared" si="173"/>
        <v>0</v>
      </c>
      <c r="AD602" s="1148">
        <f t="shared" si="164"/>
        <v>48.111151550826534</v>
      </c>
      <c r="AE602" s="1487">
        <v>0</v>
      </c>
      <c r="AF602" s="1145">
        <f t="shared" si="174"/>
        <v>48.111151550826534</v>
      </c>
      <c r="AG602" s="1149">
        <f>IFERROR(VLOOKUP(CONCATENATE($L602,$N602),'Drop List'!$G$23:$K$87,2,FALSE),0)</f>
        <v>0.55000000000000004</v>
      </c>
      <c r="AH602" s="1150">
        <f>IFERROR(VLOOKUP(CONCATENATE($L602,$N602),'Drop List'!$G$23:$K$87,3,FALSE),0)</f>
        <v>0</v>
      </c>
      <c r="AI602" s="1150">
        <f>IFERROR(VLOOKUP(CONCATENATE($L602,$N602),'Drop List'!$G$23:$K$87,4,FALSE),0)</f>
        <v>0</v>
      </c>
      <c r="AJ602" s="1151">
        <f>IFERROR(VLOOKUP(CONCATENATE($L602,$N602),'Drop List'!$G$23:$K$87,5,FALSE),0)</f>
        <v>0.44999999999999996</v>
      </c>
      <c r="AK602" s="1152">
        <f t="shared" si="175"/>
        <v>26.461133352954597</v>
      </c>
      <c r="AL602" s="1153">
        <f t="shared" si="176"/>
        <v>0</v>
      </c>
      <c r="AM602" s="1153">
        <f t="shared" si="177"/>
        <v>0</v>
      </c>
      <c r="AN602" s="1145">
        <f t="shared" si="178"/>
        <v>21.650018197871937</v>
      </c>
      <c r="AO602" s="1154">
        <f t="shared" si="179"/>
        <v>48.111151550826534</v>
      </c>
      <c r="AP602" s="1147">
        <f t="shared" si="165"/>
        <v>0</v>
      </c>
      <c r="AQ602" s="1144">
        <f t="shared" si="166"/>
        <v>0</v>
      </c>
      <c r="AR602" s="1146">
        <f t="shared" si="167"/>
        <v>48.111151550826534</v>
      </c>
    </row>
    <row r="603" spans="1:44" x14ac:dyDescent="0.2">
      <c r="A603" s="1141" t="str">
        <f t="shared" si="162"/>
        <v>1510</v>
      </c>
      <c r="B603" s="1141" t="str">
        <f>IFERROR(VLOOKUP(A603,'LAC 103'!A:C,3,FALSE),"")</f>
        <v>OP</v>
      </c>
      <c r="C603" s="1478" t="str">
        <f>Info!$B$8</f>
        <v>00100</v>
      </c>
      <c r="D603" s="1474" t="s">
        <v>256</v>
      </c>
      <c r="E603" s="1474" t="s">
        <v>95</v>
      </c>
      <c r="F603" s="1478" t="s">
        <v>77</v>
      </c>
      <c r="G603" s="1478" t="s">
        <v>77</v>
      </c>
      <c r="H603" s="1474" t="s">
        <v>1661</v>
      </c>
      <c r="I603" s="1478" t="s">
        <v>819</v>
      </c>
      <c r="J603" s="1478"/>
      <c r="K603" s="1475" t="s">
        <v>851</v>
      </c>
      <c r="L603" s="1474" t="s">
        <v>584</v>
      </c>
      <c r="M603" s="1476" t="s">
        <v>842</v>
      </c>
      <c r="N603" s="1477" t="s">
        <v>1692</v>
      </c>
      <c r="O603" s="1479">
        <v>186</v>
      </c>
      <c r="P603" s="1479"/>
      <c r="Q603" s="1142">
        <f t="shared" si="163"/>
        <v>186</v>
      </c>
      <c r="R603" s="1143">
        <f>IFERROR(VLOOKUP(CONCATENATE(E603,G603),'LAC 103'!$A$12:$O$95,11,FALSE),0)</f>
        <v>3.2074101033884355</v>
      </c>
      <c r="S603" s="1144">
        <f>IFERROR(VLOOKUP(CONCATENATE($E603,$G603),'LAC 103'!$A$12:$O$95,12,FALSE),0)</f>
        <v>3.99</v>
      </c>
      <c r="T603" s="1144">
        <f>IFERROR(VLOOKUP(CONCATENATE($E603,$G603),'LAC 103'!$A$12:$O$95,13,FALSE),0)</f>
        <v>2.48</v>
      </c>
      <c r="U603" s="1144">
        <f>IFERROR(VLOOKUP(CONCATENATE($E603,$G603),'LAC 103'!$A$12:$O$95,14,FALSE),0)</f>
        <v>0</v>
      </c>
      <c r="V603" s="1144">
        <f>IFERROR(VLOOKUP(CONCATENATE($E603,$G603),'LAC 103'!$A$12:$O$95,15,FALSE),0)</f>
        <v>0</v>
      </c>
      <c r="W603" s="1145" t="str">
        <f>IFERROR(VLOOKUP(CONCATENATE($B603,$N603),'LAC 103'!$AI:$AQ,9,FALSE),"")</f>
        <v>Costs</v>
      </c>
      <c r="X603" s="1146">
        <f t="shared" si="168"/>
        <v>3.2074101033884355</v>
      </c>
      <c r="Y603" s="1143">
        <f t="shared" si="169"/>
        <v>596.578279230249</v>
      </c>
      <c r="Z603" s="1147">
        <f t="shared" si="170"/>
        <v>742.14</v>
      </c>
      <c r="AA603" s="1144">
        <f t="shared" si="171"/>
        <v>461.28</v>
      </c>
      <c r="AB603" s="1144">
        <f t="shared" si="172"/>
        <v>0</v>
      </c>
      <c r="AC603" s="1144">
        <f t="shared" si="173"/>
        <v>0</v>
      </c>
      <c r="AD603" s="1148">
        <f t="shared" si="164"/>
        <v>596.578279230249</v>
      </c>
      <c r="AE603" s="1487">
        <v>0</v>
      </c>
      <c r="AF603" s="1145">
        <f t="shared" si="174"/>
        <v>596.578279230249</v>
      </c>
      <c r="AG603" s="1149">
        <f>IFERROR(VLOOKUP(CONCATENATE($L603,$N603),'Drop List'!$G$23:$K$87,2,FALSE),0)</f>
        <v>0.56200000000000006</v>
      </c>
      <c r="AH603" s="1150">
        <f>IFERROR(VLOOKUP(CONCATENATE($L603,$N603),'Drop List'!$G$23:$K$87,3,FALSE),0)</f>
        <v>0</v>
      </c>
      <c r="AI603" s="1150">
        <f>IFERROR(VLOOKUP(CONCATENATE($L603,$N603),'Drop List'!$G$23:$K$87,4,FALSE),0)</f>
        <v>0</v>
      </c>
      <c r="AJ603" s="1151">
        <f>IFERROR(VLOOKUP(CONCATENATE($L603,$N603),'Drop List'!$G$23:$K$87,5,FALSE),0)</f>
        <v>0.43799999999999994</v>
      </c>
      <c r="AK603" s="1152">
        <f t="shared" si="175"/>
        <v>335.27699292739999</v>
      </c>
      <c r="AL603" s="1153">
        <f t="shared" si="176"/>
        <v>0</v>
      </c>
      <c r="AM603" s="1153">
        <f t="shared" si="177"/>
        <v>0</v>
      </c>
      <c r="AN603" s="1145">
        <f t="shared" si="178"/>
        <v>261.30128630284901</v>
      </c>
      <c r="AO603" s="1154">
        <f t="shared" si="179"/>
        <v>596.578279230249</v>
      </c>
      <c r="AP603" s="1147">
        <f t="shared" si="165"/>
        <v>0</v>
      </c>
      <c r="AQ603" s="1144">
        <f t="shared" si="166"/>
        <v>0</v>
      </c>
      <c r="AR603" s="1146">
        <f t="shared" si="167"/>
        <v>596.578279230249</v>
      </c>
    </row>
    <row r="604" spans="1:44" x14ac:dyDescent="0.2">
      <c r="A604" s="1141" t="str">
        <f t="shared" si="162"/>
        <v>1510</v>
      </c>
      <c r="B604" s="1141" t="str">
        <f>IFERROR(VLOOKUP(A604,'LAC 103'!A:C,3,FALSE),"")</f>
        <v>OP</v>
      </c>
      <c r="C604" s="1478" t="str">
        <f>Info!$B$8</f>
        <v>00100</v>
      </c>
      <c r="D604" s="1474" t="s">
        <v>256</v>
      </c>
      <c r="E604" s="1474" t="s">
        <v>95</v>
      </c>
      <c r="F604" s="1478" t="s">
        <v>77</v>
      </c>
      <c r="G604" s="1478" t="s">
        <v>77</v>
      </c>
      <c r="H604" s="1474" t="s">
        <v>1091</v>
      </c>
      <c r="I604" s="1478" t="s">
        <v>815</v>
      </c>
      <c r="J604" s="1478" t="s">
        <v>123</v>
      </c>
      <c r="K604" s="1475" t="s">
        <v>1654</v>
      </c>
      <c r="L604" s="1474" t="s">
        <v>332</v>
      </c>
      <c r="M604" s="1476" t="s">
        <v>1699</v>
      </c>
      <c r="N604" s="1477" t="s">
        <v>1694</v>
      </c>
      <c r="O604" s="1479">
        <v>176</v>
      </c>
      <c r="P604" s="1479"/>
      <c r="Q604" s="1142">
        <f t="shared" si="163"/>
        <v>176</v>
      </c>
      <c r="R604" s="1143">
        <f>IFERROR(VLOOKUP(CONCATENATE(E604,G604),'LAC 103'!$A$12:$O$95,11,FALSE),0)</f>
        <v>3.2074101033884355</v>
      </c>
      <c r="S604" s="1144">
        <f>IFERROR(VLOOKUP(CONCATENATE($E604,$G604),'LAC 103'!$A$12:$O$95,12,FALSE),0)</f>
        <v>3.99</v>
      </c>
      <c r="T604" s="1144">
        <f>IFERROR(VLOOKUP(CONCATENATE($E604,$G604),'LAC 103'!$A$12:$O$95,13,FALSE),0)</f>
        <v>2.48</v>
      </c>
      <c r="U604" s="1144">
        <f>IFERROR(VLOOKUP(CONCATENATE($E604,$G604),'LAC 103'!$A$12:$O$95,14,FALSE),0)</f>
        <v>0</v>
      </c>
      <c r="V604" s="1144">
        <f>IFERROR(VLOOKUP(CONCATENATE($E604,$G604),'LAC 103'!$A$12:$O$95,15,FALSE),0)</f>
        <v>0</v>
      </c>
      <c r="W604" s="1145" t="str">
        <f>IFERROR(VLOOKUP(CONCATENATE($B604,$N604),'LAC 103'!$AI:$AQ,9,FALSE),"")</f>
        <v>Costs</v>
      </c>
      <c r="X604" s="1146">
        <f t="shared" si="168"/>
        <v>3.2074101033884355</v>
      </c>
      <c r="Y604" s="1143">
        <f t="shared" si="169"/>
        <v>564.50417819636459</v>
      </c>
      <c r="Z604" s="1147">
        <f t="shared" si="170"/>
        <v>702.24</v>
      </c>
      <c r="AA604" s="1144">
        <f t="shared" si="171"/>
        <v>436.48</v>
      </c>
      <c r="AB604" s="1144">
        <f t="shared" si="172"/>
        <v>0</v>
      </c>
      <c r="AC604" s="1144">
        <f t="shared" si="173"/>
        <v>0</v>
      </c>
      <c r="AD604" s="1148">
        <f t="shared" si="164"/>
        <v>564.50417819636459</v>
      </c>
      <c r="AE604" s="1487">
        <v>0</v>
      </c>
      <c r="AF604" s="1145">
        <f t="shared" si="174"/>
        <v>564.50417819636459</v>
      </c>
      <c r="AG604" s="1149">
        <f>IFERROR(VLOOKUP(CONCATENATE($L604,$N604),'Drop List'!$G$23:$K$87,2,FALSE),0)</f>
        <v>0</v>
      </c>
      <c r="AH604" s="1150">
        <f>IFERROR(VLOOKUP(CONCATENATE($L604,$N604),'Drop List'!$G$23:$K$87,3,FALSE),0)</f>
        <v>0</v>
      </c>
      <c r="AI604" s="1150">
        <f>IFERROR(VLOOKUP(CONCATENATE($L604,$N604),'Drop List'!$G$23:$K$87,4,FALSE),0)</f>
        <v>0</v>
      </c>
      <c r="AJ604" s="1151">
        <f>IFERROR(VLOOKUP(CONCATENATE($L604,$N604),'Drop List'!$G$23:$K$87,5,FALSE),0)</f>
        <v>0</v>
      </c>
      <c r="AK604" s="1152">
        <f t="shared" si="175"/>
        <v>0</v>
      </c>
      <c r="AL604" s="1153">
        <f t="shared" si="176"/>
        <v>0</v>
      </c>
      <c r="AM604" s="1153">
        <f t="shared" si="177"/>
        <v>0</v>
      </c>
      <c r="AN604" s="1145">
        <f t="shared" si="178"/>
        <v>0</v>
      </c>
      <c r="AO604" s="1154">
        <f t="shared" si="179"/>
        <v>0</v>
      </c>
      <c r="AP604" s="1147">
        <f t="shared" si="165"/>
        <v>564.50417819636459</v>
      </c>
      <c r="AQ604" s="1144">
        <f t="shared" si="166"/>
        <v>0</v>
      </c>
      <c r="AR604" s="1146">
        <f t="shared" si="167"/>
        <v>564.50417819636459</v>
      </c>
    </row>
    <row r="605" spans="1:44" x14ac:dyDescent="0.2">
      <c r="A605" s="1141" t="str">
        <f t="shared" si="162"/>
        <v>1510</v>
      </c>
      <c r="B605" s="1141" t="str">
        <f>IFERROR(VLOOKUP(A605,'LAC 103'!A:C,3,FALSE),"")</f>
        <v>OP</v>
      </c>
      <c r="C605" s="1478" t="str">
        <f>Info!$B$8</f>
        <v>00100</v>
      </c>
      <c r="D605" s="1474" t="s">
        <v>256</v>
      </c>
      <c r="E605" s="1474" t="s">
        <v>95</v>
      </c>
      <c r="F605" s="1478" t="s">
        <v>77</v>
      </c>
      <c r="G605" s="1478" t="s">
        <v>77</v>
      </c>
      <c r="H605" s="1474" t="s">
        <v>1091</v>
      </c>
      <c r="I605" s="1478" t="s">
        <v>815</v>
      </c>
      <c r="J605" s="1478"/>
      <c r="K605" s="1475" t="s">
        <v>1654</v>
      </c>
      <c r="L605" s="1474" t="s">
        <v>332</v>
      </c>
      <c r="M605" s="1476" t="s">
        <v>841</v>
      </c>
      <c r="N605" s="1477" t="s">
        <v>1695</v>
      </c>
      <c r="O605" s="1479">
        <v>161</v>
      </c>
      <c r="P605" s="1479"/>
      <c r="Q605" s="1142">
        <f t="shared" si="163"/>
        <v>161</v>
      </c>
      <c r="R605" s="1143">
        <f>IFERROR(VLOOKUP(CONCATENATE(E605,G605),'LAC 103'!$A$12:$O$95,11,FALSE),0)</f>
        <v>3.2074101033884355</v>
      </c>
      <c r="S605" s="1144">
        <f>IFERROR(VLOOKUP(CONCATENATE($E605,$G605),'LAC 103'!$A$12:$O$95,12,FALSE),0)</f>
        <v>3.99</v>
      </c>
      <c r="T605" s="1144">
        <f>IFERROR(VLOOKUP(CONCATENATE($E605,$G605),'LAC 103'!$A$12:$O$95,13,FALSE),0)</f>
        <v>2.48</v>
      </c>
      <c r="U605" s="1144">
        <f>IFERROR(VLOOKUP(CONCATENATE($E605,$G605),'LAC 103'!$A$12:$O$95,14,FALSE),0)</f>
        <v>0</v>
      </c>
      <c r="V605" s="1144">
        <f>IFERROR(VLOOKUP(CONCATENATE($E605,$G605),'LAC 103'!$A$12:$O$95,15,FALSE),0)</f>
        <v>0</v>
      </c>
      <c r="W605" s="1145" t="str">
        <f>IFERROR(VLOOKUP(CONCATENATE($B605,$N605),'LAC 103'!$AI:$AQ,9,FALSE),"")</f>
        <v>Costs</v>
      </c>
      <c r="X605" s="1146">
        <f t="shared" si="168"/>
        <v>3.2074101033884355</v>
      </c>
      <c r="Y605" s="1143">
        <f t="shared" si="169"/>
        <v>516.39302664553816</v>
      </c>
      <c r="Z605" s="1147">
        <f t="shared" si="170"/>
        <v>642.39</v>
      </c>
      <c r="AA605" s="1144">
        <f t="shared" si="171"/>
        <v>399.28</v>
      </c>
      <c r="AB605" s="1144">
        <f t="shared" si="172"/>
        <v>0</v>
      </c>
      <c r="AC605" s="1144">
        <f t="shared" si="173"/>
        <v>0</v>
      </c>
      <c r="AD605" s="1148">
        <f t="shared" si="164"/>
        <v>516.39302664553816</v>
      </c>
      <c r="AE605" s="1487">
        <v>0</v>
      </c>
      <c r="AF605" s="1145">
        <f t="shared" si="174"/>
        <v>516.39302664553816</v>
      </c>
      <c r="AG605" s="1149">
        <f>IFERROR(VLOOKUP(CONCATENATE($L605,$N605),'Drop List'!$G$23:$K$87,2,FALSE),0)</f>
        <v>0</v>
      </c>
      <c r="AH605" s="1150">
        <f>IFERROR(VLOOKUP(CONCATENATE($L605,$N605),'Drop List'!$G$23:$K$87,3,FALSE),0)</f>
        <v>0</v>
      </c>
      <c r="AI605" s="1150">
        <f>IFERROR(VLOOKUP(CONCATENATE($L605,$N605),'Drop List'!$G$23:$K$87,4,FALSE),0)</f>
        <v>0</v>
      </c>
      <c r="AJ605" s="1151">
        <f>IFERROR(VLOOKUP(CONCATENATE($L605,$N605),'Drop List'!$G$23:$K$87,5,FALSE),0)</f>
        <v>0</v>
      </c>
      <c r="AK605" s="1152">
        <f t="shared" si="175"/>
        <v>0</v>
      </c>
      <c r="AL605" s="1153">
        <f t="shared" si="176"/>
        <v>0</v>
      </c>
      <c r="AM605" s="1153">
        <f t="shared" si="177"/>
        <v>0</v>
      </c>
      <c r="AN605" s="1145">
        <f t="shared" si="178"/>
        <v>0</v>
      </c>
      <c r="AO605" s="1154">
        <f t="shared" si="179"/>
        <v>0</v>
      </c>
      <c r="AP605" s="1147">
        <f t="shared" si="165"/>
        <v>516.39302664553816</v>
      </c>
      <c r="AQ605" s="1144">
        <f t="shared" si="166"/>
        <v>0</v>
      </c>
      <c r="AR605" s="1146">
        <f t="shared" si="167"/>
        <v>516.39302664553816</v>
      </c>
    </row>
    <row r="606" spans="1:44" x14ac:dyDescent="0.2">
      <c r="A606" s="1141" t="str">
        <f t="shared" si="162"/>
        <v>1510</v>
      </c>
      <c r="B606" s="1141" t="str">
        <f>IFERROR(VLOOKUP(A606,'LAC 103'!A:C,3,FALSE),"")</f>
        <v>OP</v>
      </c>
      <c r="C606" s="1478" t="str">
        <f>Info!$B$8</f>
        <v>00100</v>
      </c>
      <c r="D606" s="1474" t="s">
        <v>256</v>
      </c>
      <c r="E606" s="1474" t="s">
        <v>95</v>
      </c>
      <c r="F606" s="1478" t="s">
        <v>77</v>
      </c>
      <c r="G606" s="1478" t="s">
        <v>77</v>
      </c>
      <c r="H606" s="1474" t="s">
        <v>1091</v>
      </c>
      <c r="I606" s="1478" t="s">
        <v>815</v>
      </c>
      <c r="J606" s="1478"/>
      <c r="K606" s="1475" t="s">
        <v>1654</v>
      </c>
      <c r="L606" s="1474" t="s">
        <v>332</v>
      </c>
      <c r="M606" s="1476" t="s">
        <v>840</v>
      </c>
      <c r="N606" s="1477" t="s">
        <v>1700</v>
      </c>
      <c r="O606" s="1479">
        <v>69</v>
      </c>
      <c r="P606" s="1479"/>
      <c r="Q606" s="1142">
        <f t="shared" si="163"/>
        <v>69</v>
      </c>
      <c r="R606" s="1143">
        <f>IFERROR(VLOOKUP(CONCATENATE(E606,G606),'LAC 103'!$A$12:$O$95,11,FALSE),0)</f>
        <v>3.2074101033884355</v>
      </c>
      <c r="S606" s="1144">
        <f>IFERROR(VLOOKUP(CONCATENATE($E606,$G606),'LAC 103'!$A$12:$O$95,12,FALSE),0)</f>
        <v>3.99</v>
      </c>
      <c r="T606" s="1144">
        <f>IFERROR(VLOOKUP(CONCATENATE($E606,$G606),'LAC 103'!$A$12:$O$95,13,FALSE),0)</f>
        <v>2.48</v>
      </c>
      <c r="U606" s="1144">
        <f>IFERROR(VLOOKUP(CONCATENATE($E606,$G606),'LAC 103'!$A$12:$O$95,14,FALSE),0)</f>
        <v>0</v>
      </c>
      <c r="V606" s="1144">
        <f>IFERROR(VLOOKUP(CONCATENATE($E606,$G606),'LAC 103'!$A$12:$O$95,15,FALSE),0)</f>
        <v>0</v>
      </c>
      <c r="W606" s="1145" t="str">
        <f>IFERROR(VLOOKUP(CONCATENATE($B606,$N606),'LAC 103'!$AI:$AQ,9,FALSE),"")</f>
        <v>P.C.</v>
      </c>
      <c r="X606" s="1146">
        <f t="shared" si="168"/>
        <v>2.48</v>
      </c>
      <c r="Y606" s="1143">
        <f t="shared" si="169"/>
        <v>221.31129713380204</v>
      </c>
      <c r="Z606" s="1147">
        <f t="shared" si="170"/>
        <v>275.31</v>
      </c>
      <c r="AA606" s="1144">
        <f t="shared" si="171"/>
        <v>171.12</v>
      </c>
      <c r="AB606" s="1144">
        <f t="shared" si="172"/>
        <v>0</v>
      </c>
      <c r="AC606" s="1144">
        <f t="shared" si="173"/>
        <v>0</v>
      </c>
      <c r="AD606" s="1148">
        <f t="shared" si="164"/>
        <v>171.12</v>
      </c>
      <c r="AE606" s="1487">
        <v>0</v>
      </c>
      <c r="AF606" s="1145">
        <f t="shared" si="174"/>
        <v>171.12</v>
      </c>
      <c r="AG606" s="1149">
        <f>IFERROR(VLOOKUP(CONCATENATE($L606,$N606),'Drop List'!$G$23:$K$87,2,FALSE),0)</f>
        <v>0</v>
      </c>
      <c r="AH606" s="1150">
        <f>IFERROR(VLOOKUP(CONCATENATE($L606,$N606),'Drop List'!$G$23:$K$87,3,FALSE),0)</f>
        <v>0</v>
      </c>
      <c r="AI606" s="1150">
        <f>IFERROR(VLOOKUP(CONCATENATE($L606,$N606),'Drop List'!$G$23:$K$87,4,FALSE),0)</f>
        <v>0</v>
      </c>
      <c r="AJ606" s="1151">
        <f>IFERROR(VLOOKUP(CONCATENATE($L606,$N606),'Drop List'!$G$23:$K$87,5,FALSE),0)</f>
        <v>0</v>
      </c>
      <c r="AK606" s="1152">
        <f t="shared" si="175"/>
        <v>0</v>
      </c>
      <c r="AL606" s="1153">
        <f t="shared" si="176"/>
        <v>0</v>
      </c>
      <c r="AM606" s="1153">
        <f t="shared" si="177"/>
        <v>0</v>
      </c>
      <c r="AN606" s="1145">
        <f t="shared" si="178"/>
        <v>0</v>
      </c>
      <c r="AO606" s="1154">
        <f t="shared" si="179"/>
        <v>0</v>
      </c>
      <c r="AP606" s="1147">
        <f t="shared" si="165"/>
        <v>171.12</v>
      </c>
      <c r="AQ606" s="1144">
        <f t="shared" si="166"/>
        <v>0</v>
      </c>
      <c r="AR606" s="1146">
        <f t="shared" si="167"/>
        <v>171.12</v>
      </c>
    </row>
    <row r="607" spans="1:44" x14ac:dyDescent="0.2">
      <c r="A607" s="1141" t="str">
        <f t="shared" si="162"/>
        <v>1510</v>
      </c>
      <c r="B607" s="1141" t="str">
        <f>IFERROR(VLOOKUP(A607,'LAC 103'!A:C,3,FALSE),"")</f>
        <v>OP</v>
      </c>
      <c r="C607" s="1478" t="str">
        <f>Info!$B$8</f>
        <v>00100</v>
      </c>
      <c r="D607" s="1474" t="s">
        <v>256</v>
      </c>
      <c r="E607" s="1474" t="s">
        <v>95</v>
      </c>
      <c r="F607" s="1478" t="s">
        <v>77</v>
      </c>
      <c r="G607" s="1478" t="s">
        <v>77</v>
      </c>
      <c r="H607" s="1474" t="s">
        <v>1091</v>
      </c>
      <c r="I607" s="1478" t="s">
        <v>815</v>
      </c>
      <c r="J607" s="1478"/>
      <c r="K607" s="1475" t="s">
        <v>1654</v>
      </c>
      <c r="L607" s="1474" t="s">
        <v>332</v>
      </c>
      <c r="M607" s="1476" t="s">
        <v>842</v>
      </c>
      <c r="N607" s="1477" t="s">
        <v>1692</v>
      </c>
      <c r="O607" s="1479">
        <v>277</v>
      </c>
      <c r="P607" s="1479"/>
      <c r="Q607" s="1142">
        <f t="shared" si="163"/>
        <v>277</v>
      </c>
      <c r="R607" s="1143">
        <f>IFERROR(VLOOKUP(CONCATENATE(E607,G607),'LAC 103'!$A$12:$O$95,11,FALSE),0)</f>
        <v>3.2074101033884355</v>
      </c>
      <c r="S607" s="1144">
        <f>IFERROR(VLOOKUP(CONCATENATE($E607,$G607),'LAC 103'!$A$12:$O$95,12,FALSE),0)</f>
        <v>3.99</v>
      </c>
      <c r="T607" s="1144">
        <f>IFERROR(VLOOKUP(CONCATENATE($E607,$G607),'LAC 103'!$A$12:$O$95,13,FALSE),0)</f>
        <v>2.48</v>
      </c>
      <c r="U607" s="1144">
        <f>IFERROR(VLOOKUP(CONCATENATE($E607,$G607),'LAC 103'!$A$12:$O$95,14,FALSE),0)</f>
        <v>0</v>
      </c>
      <c r="V607" s="1144">
        <f>IFERROR(VLOOKUP(CONCATENATE($E607,$G607),'LAC 103'!$A$12:$O$95,15,FALSE),0)</f>
        <v>0</v>
      </c>
      <c r="W607" s="1145" t="str">
        <f>IFERROR(VLOOKUP(CONCATENATE($B607,$N607),'LAC 103'!$AI:$AQ,9,FALSE),"")</f>
        <v>Costs</v>
      </c>
      <c r="X607" s="1146">
        <f t="shared" si="168"/>
        <v>3.2074101033884355</v>
      </c>
      <c r="Y607" s="1143">
        <f t="shared" si="169"/>
        <v>888.45259863859667</v>
      </c>
      <c r="Z607" s="1147">
        <f t="shared" si="170"/>
        <v>1105.23</v>
      </c>
      <c r="AA607" s="1144">
        <f t="shared" si="171"/>
        <v>686.96</v>
      </c>
      <c r="AB607" s="1144">
        <f t="shared" si="172"/>
        <v>0</v>
      </c>
      <c r="AC607" s="1144">
        <f t="shared" si="173"/>
        <v>0</v>
      </c>
      <c r="AD607" s="1148">
        <f t="shared" si="164"/>
        <v>888.45259863859667</v>
      </c>
      <c r="AE607" s="1487">
        <v>0</v>
      </c>
      <c r="AF607" s="1145">
        <f t="shared" si="174"/>
        <v>888.45259863859667</v>
      </c>
      <c r="AG607" s="1149">
        <f>IFERROR(VLOOKUP(CONCATENATE($L607,$N607),'Drop List'!$G$23:$K$87,2,FALSE),0)</f>
        <v>0</v>
      </c>
      <c r="AH607" s="1150">
        <f>IFERROR(VLOOKUP(CONCATENATE($L607,$N607),'Drop List'!$G$23:$K$87,3,FALSE),0)</f>
        <v>0</v>
      </c>
      <c r="AI607" s="1150">
        <f>IFERROR(VLOOKUP(CONCATENATE($L607,$N607),'Drop List'!$G$23:$K$87,4,FALSE),0)</f>
        <v>0</v>
      </c>
      <c r="AJ607" s="1151">
        <f>IFERROR(VLOOKUP(CONCATENATE($L607,$N607),'Drop List'!$G$23:$K$87,5,FALSE),0)</f>
        <v>0</v>
      </c>
      <c r="AK607" s="1152">
        <f t="shared" si="175"/>
        <v>0</v>
      </c>
      <c r="AL607" s="1153">
        <f t="shared" si="176"/>
        <v>0</v>
      </c>
      <c r="AM607" s="1153">
        <f t="shared" si="177"/>
        <v>0</v>
      </c>
      <c r="AN607" s="1145">
        <f t="shared" si="178"/>
        <v>0</v>
      </c>
      <c r="AO607" s="1154">
        <f t="shared" si="179"/>
        <v>0</v>
      </c>
      <c r="AP607" s="1147">
        <f t="shared" si="165"/>
        <v>888.45259863859667</v>
      </c>
      <c r="AQ607" s="1144">
        <f t="shared" si="166"/>
        <v>0</v>
      </c>
      <c r="AR607" s="1146">
        <f t="shared" si="167"/>
        <v>888.45259863859667</v>
      </c>
    </row>
    <row r="608" spans="1:44" x14ac:dyDescent="0.2">
      <c r="A608" s="1141" t="str">
        <f t="shared" si="162"/>
        <v>1510</v>
      </c>
      <c r="B608" s="1141" t="str">
        <f>IFERROR(VLOOKUP(A608,'LAC 103'!A:C,3,FALSE),"")</f>
        <v>OP</v>
      </c>
      <c r="C608" s="1478" t="str">
        <f>Info!$B$8</f>
        <v>00100</v>
      </c>
      <c r="D608" s="1474" t="s">
        <v>256</v>
      </c>
      <c r="E608" s="1474" t="s">
        <v>95</v>
      </c>
      <c r="F608" s="1478" t="s">
        <v>77</v>
      </c>
      <c r="G608" s="1478" t="s">
        <v>77</v>
      </c>
      <c r="H608" s="1474" t="s">
        <v>1091</v>
      </c>
      <c r="I608" s="1478" t="s">
        <v>815</v>
      </c>
      <c r="J608" s="1478"/>
      <c r="K608" s="1475" t="s">
        <v>1654</v>
      </c>
      <c r="L608" s="1474" t="s">
        <v>332</v>
      </c>
      <c r="M608" s="1476" t="s">
        <v>1698</v>
      </c>
      <c r="N608" s="1477" t="s">
        <v>1693</v>
      </c>
      <c r="O608" s="1479">
        <v>45</v>
      </c>
      <c r="P608" s="1479"/>
      <c r="Q608" s="1142">
        <f t="shared" si="163"/>
        <v>45</v>
      </c>
      <c r="R608" s="1143">
        <f>IFERROR(VLOOKUP(CONCATENATE(E608,G608),'LAC 103'!$A$12:$O$95,11,FALSE),0)</f>
        <v>3.2074101033884355</v>
      </c>
      <c r="S608" s="1144">
        <f>IFERROR(VLOOKUP(CONCATENATE($E608,$G608),'LAC 103'!$A$12:$O$95,12,FALSE),0)</f>
        <v>3.99</v>
      </c>
      <c r="T608" s="1144">
        <f>IFERROR(VLOOKUP(CONCATENATE($E608,$G608),'LAC 103'!$A$12:$O$95,13,FALSE),0)</f>
        <v>2.48</v>
      </c>
      <c r="U608" s="1144">
        <f>IFERROR(VLOOKUP(CONCATENATE($E608,$G608),'LAC 103'!$A$12:$O$95,14,FALSE),0)</f>
        <v>0</v>
      </c>
      <c r="V608" s="1144">
        <f>IFERROR(VLOOKUP(CONCATENATE($E608,$G608),'LAC 103'!$A$12:$O$95,15,FALSE),0)</f>
        <v>0</v>
      </c>
      <c r="W608" s="1145" t="str">
        <f>IFERROR(VLOOKUP(CONCATENATE($B608,$N608),'LAC 103'!$AI:$AQ,9,FALSE),"")</f>
        <v>Costs</v>
      </c>
      <c r="X608" s="1146">
        <f t="shared" si="168"/>
        <v>3.2074101033884355</v>
      </c>
      <c r="Y608" s="1143">
        <f t="shared" si="169"/>
        <v>144.33345465247959</v>
      </c>
      <c r="Z608" s="1147">
        <f t="shared" si="170"/>
        <v>179.55</v>
      </c>
      <c r="AA608" s="1144">
        <f t="shared" si="171"/>
        <v>111.6</v>
      </c>
      <c r="AB608" s="1144">
        <f t="shared" si="172"/>
        <v>0</v>
      </c>
      <c r="AC608" s="1144">
        <f t="shared" si="173"/>
        <v>0</v>
      </c>
      <c r="AD608" s="1148">
        <f t="shared" si="164"/>
        <v>144.33345465247959</v>
      </c>
      <c r="AE608" s="1487">
        <v>0</v>
      </c>
      <c r="AF608" s="1145">
        <f t="shared" si="174"/>
        <v>144.33345465247959</v>
      </c>
      <c r="AG608" s="1149">
        <f>IFERROR(VLOOKUP(CONCATENATE($L608,$N608),'Drop List'!$G$23:$K$87,2,FALSE),0)</f>
        <v>0</v>
      </c>
      <c r="AH608" s="1150">
        <f>IFERROR(VLOOKUP(CONCATENATE($L608,$N608),'Drop List'!$G$23:$K$87,3,FALSE),0)</f>
        <v>0</v>
      </c>
      <c r="AI608" s="1150">
        <f>IFERROR(VLOOKUP(CONCATENATE($L608,$N608),'Drop List'!$G$23:$K$87,4,FALSE),0)</f>
        <v>0</v>
      </c>
      <c r="AJ608" s="1151">
        <f>IFERROR(VLOOKUP(CONCATENATE($L608,$N608),'Drop List'!$G$23:$K$87,5,FALSE),0)</f>
        <v>0</v>
      </c>
      <c r="AK608" s="1152">
        <f t="shared" si="175"/>
        <v>0</v>
      </c>
      <c r="AL608" s="1153">
        <f t="shared" si="176"/>
        <v>0</v>
      </c>
      <c r="AM608" s="1153">
        <f t="shared" si="177"/>
        <v>0</v>
      </c>
      <c r="AN608" s="1145">
        <f t="shared" si="178"/>
        <v>0</v>
      </c>
      <c r="AO608" s="1154">
        <f t="shared" si="179"/>
        <v>0</v>
      </c>
      <c r="AP608" s="1147">
        <f t="shared" si="165"/>
        <v>144.33345465247959</v>
      </c>
      <c r="AQ608" s="1144">
        <f t="shared" si="166"/>
        <v>0</v>
      </c>
      <c r="AR608" s="1146">
        <f t="shared" si="167"/>
        <v>144.33345465247959</v>
      </c>
    </row>
    <row r="609" spans="1:44" x14ac:dyDescent="0.2">
      <c r="A609" s="1141" t="str">
        <f t="shared" si="162"/>
        <v>1510</v>
      </c>
      <c r="B609" s="1141" t="str">
        <f>IFERROR(VLOOKUP(A609,'LAC 103'!A:C,3,FALSE),"")</f>
        <v>OP</v>
      </c>
      <c r="C609" s="1478" t="str">
        <f>Info!$B$8</f>
        <v>00100</v>
      </c>
      <c r="D609" s="1474" t="s">
        <v>256</v>
      </c>
      <c r="E609" s="1474" t="s">
        <v>95</v>
      </c>
      <c r="F609" s="1478" t="s">
        <v>77</v>
      </c>
      <c r="G609" s="1478" t="s">
        <v>77</v>
      </c>
      <c r="H609" s="1474" t="s">
        <v>1091</v>
      </c>
      <c r="I609" s="1478" t="s">
        <v>815</v>
      </c>
      <c r="J609" s="1478"/>
      <c r="K609" s="1475" t="s">
        <v>847</v>
      </c>
      <c r="L609" s="1474" t="s">
        <v>582</v>
      </c>
      <c r="M609" s="1476" t="s">
        <v>1699</v>
      </c>
      <c r="N609" s="1477" t="s">
        <v>1694</v>
      </c>
      <c r="O609" s="1479">
        <v>49069</v>
      </c>
      <c r="P609" s="1479"/>
      <c r="Q609" s="1142">
        <f t="shared" si="163"/>
        <v>49069</v>
      </c>
      <c r="R609" s="1143">
        <f>IFERROR(VLOOKUP(CONCATENATE(E609,G609),'LAC 103'!$A$12:$O$95,11,FALSE),0)</f>
        <v>3.2074101033884355</v>
      </c>
      <c r="S609" s="1144">
        <f>IFERROR(VLOOKUP(CONCATENATE($E609,$G609),'LAC 103'!$A$12:$O$95,12,FALSE),0)</f>
        <v>3.99</v>
      </c>
      <c r="T609" s="1144">
        <f>IFERROR(VLOOKUP(CONCATENATE($E609,$G609),'LAC 103'!$A$12:$O$95,13,FALSE),0)</f>
        <v>2.48</v>
      </c>
      <c r="U609" s="1144">
        <f>IFERROR(VLOOKUP(CONCATENATE($E609,$G609),'LAC 103'!$A$12:$O$95,14,FALSE),0)</f>
        <v>0</v>
      </c>
      <c r="V609" s="1144">
        <f>IFERROR(VLOOKUP(CONCATENATE($E609,$G609),'LAC 103'!$A$12:$O$95,15,FALSE),0)</f>
        <v>0</v>
      </c>
      <c r="W609" s="1145" t="str">
        <f>IFERROR(VLOOKUP(CONCATENATE($B609,$N609),'LAC 103'!$AI:$AQ,9,FALSE),"")</f>
        <v>Costs</v>
      </c>
      <c r="X609" s="1146">
        <f t="shared" si="168"/>
        <v>3.2074101033884355</v>
      </c>
      <c r="Y609" s="1143">
        <f t="shared" si="169"/>
        <v>157384.40636316713</v>
      </c>
      <c r="Z609" s="1147">
        <f t="shared" si="170"/>
        <v>195785.31</v>
      </c>
      <c r="AA609" s="1144">
        <f t="shared" si="171"/>
        <v>121691.12</v>
      </c>
      <c r="AB609" s="1144">
        <f t="shared" si="172"/>
        <v>0</v>
      </c>
      <c r="AC609" s="1144">
        <f t="shared" si="173"/>
        <v>0</v>
      </c>
      <c r="AD609" s="1148">
        <f t="shared" si="164"/>
        <v>157384.40636316713</v>
      </c>
      <c r="AE609" s="1487">
        <v>0</v>
      </c>
      <c r="AF609" s="1145">
        <f t="shared" si="174"/>
        <v>157384.40636316713</v>
      </c>
      <c r="AG609" s="1149">
        <f>IFERROR(VLOOKUP(CONCATENATE($L609,$N609),'Drop List'!$G$23:$K$87,2,FALSE),0)</f>
        <v>0.56200000000000006</v>
      </c>
      <c r="AH609" s="1150">
        <f>IFERROR(VLOOKUP(CONCATENATE($L609,$N609),'Drop List'!$G$23:$K$87,3,FALSE),0)</f>
        <v>0.43799999999999994</v>
      </c>
      <c r="AI609" s="1150">
        <f>IFERROR(VLOOKUP(CONCATENATE($L609,$N609),'Drop List'!$G$23:$K$87,4,FALSE),0)</f>
        <v>0</v>
      </c>
      <c r="AJ609" s="1151">
        <f>IFERROR(VLOOKUP(CONCATENATE($L609,$N609),'Drop List'!$G$23:$K$87,5,FALSE),0)</f>
        <v>0</v>
      </c>
      <c r="AK609" s="1152">
        <f t="shared" si="175"/>
        <v>88450.036376099932</v>
      </c>
      <c r="AL609" s="1153">
        <f t="shared" si="176"/>
        <v>68934.369987067199</v>
      </c>
      <c r="AM609" s="1153">
        <f t="shared" si="177"/>
        <v>0</v>
      </c>
      <c r="AN609" s="1145">
        <f t="shared" si="178"/>
        <v>0</v>
      </c>
      <c r="AO609" s="1154">
        <f t="shared" si="179"/>
        <v>157384.40636316713</v>
      </c>
      <c r="AP609" s="1147">
        <f t="shared" si="165"/>
        <v>0</v>
      </c>
      <c r="AQ609" s="1144">
        <f t="shared" si="166"/>
        <v>0</v>
      </c>
      <c r="AR609" s="1146">
        <f t="shared" si="167"/>
        <v>157384.40636316713</v>
      </c>
    </row>
    <row r="610" spans="1:44" x14ac:dyDescent="0.2">
      <c r="A610" s="1141" t="str">
        <f t="shared" si="162"/>
        <v>1510</v>
      </c>
      <c r="B610" s="1141" t="str">
        <f>IFERROR(VLOOKUP(A610,'LAC 103'!A:C,3,FALSE),"")</f>
        <v>OP</v>
      </c>
      <c r="C610" s="1478" t="str">
        <f>Info!$B$8</f>
        <v>00100</v>
      </c>
      <c r="D610" s="1474" t="s">
        <v>256</v>
      </c>
      <c r="E610" s="1474" t="s">
        <v>95</v>
      </c>
      <c r="F610" s="1478" t="s">
        <v>77</v>
      </c>
      <c r="G610" s="1478" t="s">
        <v>77</v>
      </c>
      <c r="H610" s="1474" t="s">
        <v>1091</v>
      </c>
      <c r="I610" s="1478" t="s">
        <v>815</v>
      </c>
      <c r="J610" s="1478"/>
      <c r="K610" s="1475" t="s">
        <v>847</v>
      </c>
      <c r="L610" s="1474" t="s">
        <v>582</v>
      </c>
      <c r="M610" s="1476" t="s">
        <v>841</v>
      </c>
      <c r="N610" s="1477" t="s">
        <v>1695</v>
      </c>
      <c r="O610" s="1479">
        <v>24938</v>
      </c>
      <c r="P610" s="1479"/>
      <c r="Q610" s="1142">
        <f t="shared" si="163"/>
        <v>24938</v>
      </c>
      <c r="R610" s="1143">
        <f>IFERROR(VLOOKUP(CONCATENATE(E610,G610),'LAC 103'!$A$12:$O$95,11,FALSE),0)</f>
        <v>3.2074101033884355</v>
      </c>
      <c r="S610" s="1144">
        <f>IFERROR(VLOOKUP(CONCATENATE($E610,$G610),'LAC 103'!$A$12:$O$95,12,FALSE),0)</f>
        <v>3.99</v>
      </c>
      <c r="T610" s="1144">
        <f>IFERROR(VLOOKUP(CONCATENATE($E610,$G610),'LAC 103'!$A$12:$O$95,13,FALSE),0)</f>
        <v>2.48</v>
      </c>
      <c r="U610" s="1144">
        <f>IFERROR(VLOOKUP(CONCATENATE($E610,$G610),'LAC 103'!$A$12:$O$95,14,FALSE),0)</f>
        <v>0</v>
      </c>
      <c r="V610" s="1144">
        <f>IFERROR(VLOOKUP(CONCATENATE($E610,$G610),'LAC 103'!$A$12:$O$95,15,FALSE),0)</f>
        <v>0</v>
      </c>
      <c r="W610" s="1145" t="str">
        <f>IFERROR(VLOOKUP(CONCATENATE($B610,$N610),'LAC 103'!$AI:$AQ,9,FALSE),"")</f>
        <v>Costs</v>
      </c>
      <c r="X610" s="1146">
        <f t="shared" si="168"/>
        <v>3.2074101033884355</v>
      </c>
      <c r="Y610" s="1143">
        <f t="shared" si="169"/>
        <v>79986.393158300809</v>
      </c>
      <c r="Z610" s="1147">
        <f t="shared" si="170"/>
        <v>99502.62000000001</v>
      </c>
      <c r="AA610" s="1144">
        <f t="shared" si="171"/>
        <v>61846.239999999998</v>
      </c>
      <c r="AB610" s="1144">
        <f t="shared" si="172"/>
        <v>0</v>
      </c>
      <c r="AC610" s="1144">
        <f t="shared" si="173"/>
        <v>0</v>
      </c>
      <c r="AD610" s="1148">
        <f t="shared" si="164"/>
        <v>79986.393158300809</v>
      </c>
      <c r="AE610" s="1487">
        <v>0</v>
      </c>
      <c r="AF610" s="1145">
        <f t="shared" si="174"/>
        <v>79986.393158300809</v>
      </c>
      <c r="AG610" s="1149">
        <f>IFERROR(VLOOKUP(CONCATENATE($L610,$N610),'Drop List'!$G$23:$K$87,2,FALSE),0)</f>
        <v>0.55000000000000004</v>
      </c>
      <c r="AH610" s="1150">
        <f>IFERROR(VLOOKUP(CONCATENATE($L610,$N610),'Drop List'!$G$23:$K$87,3,FALSE),0)</f>
        <v>0.44999999999999996</v>
      </c>
      <c r="AI610" s="1150">
        <f>IFERROR(VLOOKUP(CONCATENATE($L610,$N610),'Drop List'!$G$23:$K$87,4,FALSE),0)</f>
        <v>0</v>
      </c>
      <c r="AJ610" s="1151">
        <f>IFERROR(VLOOKUP(CONCATENATE($L610,$N610),'Drop List'!$G$23:$K$87,5,FALSE),0)</f>
        <v>0</v>
      </c>
      <c r="AK610" s="1152">
        <f t="shared" si="175"/>
        <v>43992.516237065451</v>
      </c>
      <c r="AL610" s="1153">
        <f t="shared" si="176"/>
        <v>35993.876921235358</v>
      </c>
      <c r="AM610" s="1153">
        <f t="shared" si="177"/>
        <v>0</v>
      </c>
      <c r="AN610" s="1145">
        <f t="shared" si="178"/>
        <v>0</v>
      </c>
      <c r="AO610" s="1154">
        <f t="shared" si="179"/>
        <v>79986.393158300809</v>
      </c>
      <c r="AP610" s="1147">
        <f t="shared" si="165"/>
        <v>0</v>
      </c>
      <c r="AQ610" s="1144">
        <f t="shared" si="166"/>
        <v>0</v>
      </c>
      <c r="AR610" s="1146">
        <f t="shared" si="167"/>
        <v>79986.393158300809</v>
      </c>
    </row>
    <row r="611" spans="1:44" x14ac:dyDescent="0.2">
      <c r="A611" s="1141" t="str">
        <f t="shared" si="162"/>
        <v>1510</v>
      </c>
      <c r="B611" s="1141" t="str">
        <f>IFERROR(VLOOKUP(A611,'LAC 103'!A:C,3,FALSE),"")</f>
        <v>OP</v>
      </c>
      <c r="C611" s="1478" t="str">
        <f>Info!$B$8</f>
        <v>00100</v>
      </c>
      <c r="D611" s="1474" t="s">
        <v>256</v>
      </c>
      <c r="E611" s="1474" t="s">
        <v>95</v>
      </c>
      <c r="F611" s="1478" t="s">
        <v>77</v>
      </c>
      <c r="G611" s="1478" t="s">
        <v>77</v>
      </c>
      <c r="H611" s="1474" t="s">
        <v>1091</v>
      </c>
      <c r="I611" s="1478" t="s">
        <v>815</v>
      </c>
      <c r="J611" s="1478"/>
      <c r="K611" s="1475" t="s">
        <v>847</v>
      </c>
      <c r="L611" s="1474" t="s">
        <v>582</v>
      </c>
      <c r="M611" s="1476" t="s">
        <v>840</v>
      </c>
      <c r="N611" s="1477" t="s">
        <v>1700</v>
      </c>
      <c r="O611" s="1479">
        <v>25759</v>
      </c>
      <c r="P611" s="1479"/>
      <c r="Q611" s="1142">
        <f t="shared" si="163"/>
        <v>25759</v>
      </c>
      <c r="R611" s="1143">
        <f>IFERROR(VLOOKUP(CONCATENATE(E611,G611),'LAC 103'!$A$12:$O$95,11,FALSE),0)</f>
        <v>3.2074101033884355</v>
      </c>
      <c r="S611" s="1144">
        <f>IFERROR(VLOOKUP(CONCATENATE($E611,$G611),'LAC 103'!$A$12:$O$95,12,FALSE),0)</f>
        <v>3.99</v>
      </c>
      <c r="T611" s="1144">
        <f>IFERROR(VLOOKUP(CONCATENATE($E611,$G611),'LAC 103'!$A$12:$O$95,13,FALSE),0)</f>
        <v>2.48</v>
      </c>
      <c r="U611" s="1144">
        <f>IFERROR(VLOOKUP(CONCATENATE($E611,$G611),'LAC 103'!$A$12:$O$95,14,FALSE),0)</f>
        <v>0</v>
      </c>
      <c r="V611" s="1144">
        <f>IFERROR(VLOOKUP(CONCATENATE($E611,$G611),'LAC 103'!$A$12:$O$95,15,FALSE),0)</f>
        <v>0</v>
      </c>
      <c r="W611" s="1145" t="str">
        <f>IFERROR(VLOOKUP(CONCATENATE($B611,$N611),'LAC 103'!$AI:$AQ,9,FALSE),"")</f>
        <v>P.C.</v>
      </c>
      <c r="X611" s="1146">
        <f t="shared" si="168"/>
        <v>2.48</v>
      </c>
      <c r="Y611" s="1143">
        <f t="shared" si="169"/>
        <v>82619.676853182711</v>
      </c>
      <c r="Z611" s="1147">
        <f t="shared" si="170"/>
        <v>102778.41</v>
      </c>
      <c r="AA611" s="1144">
        <f t="shared" si="171"/>
        <v>63882.32</v>
      </c>
      <c r="AB611" s="1144">
        <f t="shared" si="172"/>
        <v>0</v>
      </c>
      <c r="AC611" s="1144">
        <f t="shared" si="173"/>
        <v>0</v>
      </c>
      <c r="AD611" s="1148">
        <f t="shared" si="164"/>
        <v>63882.32</v>
      </c>
      <c r="AE611" s="1487">
        <v>0</v>
      </c>
      <c r="AF611" s="1145">
        <f t="shared" si="174"/>
        <v>63882.32</v>
      </c>
      <c r="AG611" s="1149">
        <f>IFERROR(VLOOKUP(CONCATENATE($L611,$N611),'Drop List'!$G$23:$K$87,2,FALSE),0)</f>
        <v>0.55000000000000004</v>
      </c>
      <c r="AH611" s="1150">
        <f>IFERROR(VLOOKUP(CONCATENATE($L611,$N611),'Drop List'!$G$23:$K$87,3,FALSE),0)</f>
        <v>0.44999999999999996</v>
      </c>
      <c r="AI611" s="1150">
        <f>IFERROR(VLOOKUP(CONCATENATE($L611,$N611),'Drop List'!$G$23:$K$87,4,FALSE),0)</f>
        <v>0</v>
      </c>
      <c r="AJ611" s="1151">
        <f>IFERROR(VLOOKUP(CONCATENATE($L611,$N611),'Drop List'!$G$23:$K$87,5,FALSE),0)</f>
        <v>0</v>
      </c>
      <c r="AK611" s="1152">
        <f t="shared" si="175"/>
        <v>35135.276000000005</v>
      </c>
      <c r="AL611" s="1153">
        <f t="shared" si="176"/>
        <v>28747.043999999998</v>
      </c>
      <c r="AM611" s="1153">
        <f t="shared" si="177"/>
        <v>0</v>
      </c>
      <c r="AN611" s="1145">
        <f t="shared" si="178"/>
        <v>0</v>
      </c>
      <c r="AO611" s="1154">
        <f t="shared" si="179"/>
        <v>63882.320000000007</v>
      </c>
      <c r="AP611" s="1147">
        <f t="shared" si="165"/>
        <v>0</v>
      </c>
      <c r="AQ611" s="1144">
        <f t="shared" si="166"/>
        <v>0</v>
      </c>
      <c r="AR611" s="1146">
        <f t="shared" si="167"/>
        <v>63882.320000000007</v>
      </c>
    </row>
    <row r="612" spans="1:44" x14ac:dyDescent="0.2">
      <c r="A612" s="1141" t="str">
        <f t="shared" si="162"/>
        <v>1510</v>
      </c>
      <c r="B612" s="1141" t="str">
        <f>IFERROR(VLOOKUP(A612,'LAC 103'!A:C,3,FALSE),"")</f>
        <v>OP</v>
      </c>
      <c r="C612" s="1478" t="str">
        <f>Info!$B$8</f>
        <v>00100</v>
      </c>
      <c r="D612" s="1474" t="s">
        <v>256</v>
      </c>
      <c r="E612" s="1474" t="s">
        <v>95</v>
      </c>
      <c r="F612" s="1478" t="s">
        <v>77</v>
      </c>
      <c r="G612" s="1478" t="s">
        <v>77</v>
      </c>
      <c r="H612" s="1474" t="s">
        <v>1091</v>
      </c>
      <c r="I612" s="1478" t="s">
        <v>815</v>
      </c>
      <c r="J612" s="1478"/>
      <c r="K612" s="1475" t="s">
        <v>847</v>
      </c>
      <c r="L612" s="1474" t="s">
        <v>582</v>
      </c>
      <c r="M612" s="1476" t="s">
        <v>842</v>
      </c>
      <c r="N612" s="1477" t="s">
        <v>1692</v>
      </c>
      <c r="O612" s="1479">
        <v>40672</v>
      </c>
      <c r="P612" s="1479"/>
      <c r="Q612" s="1142">
        <f t="shared" si="163"/>
        <v>40672</v>
      </c>
      <c r="R612" s="1143">
        <f>IFERROR(VLOOKUP(CONCATENATE(E612,G612),'LAC 103'!$A$12:$O$95,11,FALSE),0)</f>
        <v>3.2074101033884355</v>
      </c>
      <c r="S612" s="1144">
        <f>IFERROR(VLOOKUP(CONCATENATE($E612,$G612),'LAC 103'!$A$12:$O$95,12,FALSE),0)</f>
        <v>3.99</v>
      </c>
      <c r="T612" s="1144">
        <f>IFERROR(VLOOKUP(CONCATENATE($E612,$G612),'LAC 103'!$A$12:$O$95,13,FALSE),0)</f>
        <v>2.48</v>
      </c>
      <c r="U612" s="1144">
        <f>IFERROR(VLOOKUP(CONCATENATE($E612,$G612),'LAC 103'!$A$12:$O$95,14,FALSE),0)</f>
        <v>0</v>
      </c>
      <c r="V612" s="1144">
        <f>IFERROR(VLOOKUP(CONCATENATE($E612,$G612),'LAC 103'!$A$12:$O$95,15,FALSE),0)</f>
        <v>0</v>
      </c>
      <c r="W612" s="1145" t="str">
        <f>IFERROR(VLOOKUP(CONCATENATE($B612,$N612),'LAC 103'!$AI:$AQ,9,FALSE),"")</f>
        <v>Costs</v>
      </c>
      <c r="X612" s="1146">
        <f t="shared" si="168"/>
        <v>3.2074101033884355</v>
      </c>
      <c r="Y612" s="1143">
        <f t="shared" si="169"/>
        <v>130451.78372501445</v>
      </c>
      <c r="Z612" s="1147">
        <f t="shared" si="170"/>
        <v>162281.28</v>
      </c>
      <c r="AA612" s="1144">
        <f t="shared" si="171"/>
        <v>100866.56</v>
      </c>
      <c r="AB612" s="1144">
        <f t="shared" si="172"/>
        <v>0</v>
      </c>
      <c r="AC612" s="1144">
        <f t="shared" si="173"/>
        <v>0</v>
      </c>
      <c r="AD612" s="1148">
        <f t="shared" si="164"/>
        <v>130451.78372501445</v>
      </c>
      <c r="AE612" s="1487">
        <v>0</v>
      </c>
      <c r="AF612" s="1145">
        <f t="shared" si="174"/>
        <v>130451.78372501445</v>
      </c>
      <c r="AG612" s="1149">
        <f>IFERROR(VLOOKUP(CONCATENATE($L612,$N612),'Drop List'!$G$23:$K$87,2,FALSE),0)</f>
        <v>0.56200000000000006</v>
      </c>
      <c r="AH612" s="1150">
        <f>IFERROR(VLOOKUP(CONCATENATE($L612,$N612),'Drop List'!$G$23:$K$87,3,FALSE),0)</f>
        <v>0.43799999999999994</v>
      </c>
      <c r="AI612" s="1150">
        <f>IFERROR(VLOOKUP(CONCATENATE($L612,$N612),'Drop List'!$G$23:$K$87,4,FALSE),0)</f>
        <v>0</v>
      </c>
      <c r="AJ612" s="1151">
        <f>IFERROR(VLOOKUP(CONCATENATE($L612,$N612),'Drop List'!$G$23:$K$87,5,FALSE),0)</f>
        <v>0</v>
      </c>
      <c r="AK612" s="1152">
        <f t="shared" si="175"/>
        <v>73313.902453458126</v>
      </c>
      <c r="AL612" s="1153">
        <f t="shared" si="176"/>
        <v>57137.881271556325</v>
      </c>
      <c r="AM612" s="1153">
        <f t="shared" si="177"/>
        <v>0</v>
      </c>
      <c r="AN612" s="1145">
        <f t="shared" si="178"/>
        <v>0</v>
      </c>
      <c r="AO612" s="1154">
        <f t="shared" si="179"/>
        <v>130451.78372501445</v>
      </c>
      <c r="AP612" s="1147">
        <f t="shared" si="165"/>
        <v>0</v>
      </c>
      <c r="AQ612" s="1144">
        <f t="shared" si="166"/>
        <v>0</v>
      </c>
      <c r="AR612" s="1146">
        <f t="shared" si="167"/>
        <v>130451.78372501445</v>
      </c>
    </row>
    <row r="613" spans="1:44" x14ac:dyDescent="0.2">
      <c r="A613" s="1141" t="str">
        <f t="shared" si="162"/>
        <v>1510</v>
      </c>
      <c r="B613" s="1141" t="str">
        <f>IFERROR(VLOOKUP(A613,'LAC 103'!A:C,3,FALSE),"")</f>
        <v>OP</v>
      </c>
      <c r="C613" s="1478" t="str">
        <f>Info!$B$8</f>
        <v>00100</v>
      </c>
      <c r="D613" s="1474" t="s">
        <v>256</v>
      </c>
      <c r="E613" s="1474" t="s">
        <v>95</v>
      </c>
      <c r="F613" s="1478" t="s">
        <v>77</v>
      </c>
      <c r="G613" s="1478" t="s">
        <v>77</v>
      </c>
      <c r="H613" s="1474" t="s">
        <v>1091</v>
      </c>
      <c r="I613" s="1478" t="s">
        <v>815</v>
      </c>
      <c r="J613" s="1478"/>
      <c r="K613" s="1475" t="s">
        <v>847</v>
      </c>
      <c r="L613" s="1474" t="s">
        <v>582</v>
      </c>
      <c r="M613" s="1476" t="s">
        <v>1698</v>
      </c>
      <c r="N613" s="1477" t="s">
        <v>1693</v>
      </c>
      <c r="O613" s="1479">
        <v>41502</v>
      </c>
      <c r="P613" s="1479"/>
      <c r="Q613" s="1142">
        <f t="shared" si="163"/>
        <v>41502</v>
      </c>
      <c r="R613" s="1143">
        <f>IFERROR(VLOOKUP(CONCATENATE(E613,G613),'LAC 103'!$A$12:$O$95,11,FALSE),0)</f>
        <v>3.2074101033884355</v>
      </c>
      <c r="S613" s="1144">
        <f>IFERROR(VLOOKUP(CONCATENATE($E613,$G613),'LAC 103'!$A$12:$O$95,12,FALSE),0)</f>
        <v>3.99</v>
      </c>
      <c r="T613" s="1144">
        <f>IFERROR(VLOOKUP(CONCATENATE($E613,$G613),'LAC 103'!$A$12:$O$95,13,FALSE),0)</f>
        <v>2.48</v>
      </c>
      <c r="U613" s="1144">
        <f>IFERROR(VLOOKUP(CONCATENATE($E613,$G613),'LAC 103'!$A$12:$O$95,14,FALSE),0)</f>
        <v>0</v>
      </c>
      <c r="V613" s="1144">
        <f>IFERROR(VLOOKUP(CONCATENATE($E613,$G613),'LAC 103'!$A$12:$O$95,15,FALSE),0)</f>
        <v>0</v>
      </c>
      <c r="W613" s="1145" t="str">
        <f>IFERROR(VLOOKUP(CONCATENATE($B613,$N613),'LAC 103'!$AI:$AQ,9,FALSE),"")</f>
        <v>Costs</v>
      </c>
      <c r="X613" s="1146">
        <f t="shared" si="168"/>
        <v>3.2074101033884355</v>
      </c>
      <c r="Y613" s="1143">
        <f t="shared" si="169"/>
        <v>133113.93411082684</v>
      </c>
      <c r="Z613" s="1147">
        <f t="shared" si="170"/>
        <v>165592.98000000001</v>
      </c>
      <c r="AA613" s="1144">
        <f t="shared" si="171"/>
        <v>102924.96</v>
      </c>
      <c r="AB613" s="1144">
        <f t="shared" si="172"/>
        <v>0</v>
      </c>
      <c r="AC613" s="1144">
        <f t="shared" si="173"/>
        <v>0</v>
      </c>
      <c r="AD613" s="1148">
        <f t="shared" si="164"/>
        <v>133113.93411082684</v>
      </c>
      <c r="AE613" s="1487">
        <v>0</v>
      </c>
      <c r="AF613" s="1145">
        <f t="shared" si="174"/>
        <v>133113.93411082684</v>
      </c>
      <c r="AG613" s="1149">
        <f>IFERROR(VLOOKUP(CONCATENATE($L613,$N613),'Drop List'!$G$23:$K$87,2,FALSE),0)</f>
        <v>0.56200000000000006</v>
      </c>
      <c r="AH613" s="1150">
        <f>IFERROR(VLOOKUP(CONCATENATE($L613,$N613),'Drop List'!$G$23:$K$87,3,FALSE),0)</f>
        <v>0.43799999999999994</v>
      </c>
      <c r="AI613" s="1150">
        <f>IFERROR(VLOOKUP(CONCATENATE($L613,$N613),'Drop List'!$G$23:$K$87,4,FALSE),0)</f>
        <v>0</v>
      </c>
      <c r="AJ613" s="1151">
        <f>IFERROR(VLOOKUP(CONCATENATE($L613,$N613),'Drop List'!$G$23:$K$87,5,FALSE),0)</f>
        <v>0</v>
      </c>
      <c r="AK613" s="1152">
        <f t="shared" si="175"/>
        <v>74810.030970284686</v>
      </c>
      <c r="AL613" s="1153">
        <f t="shared" si="176"/>
        <v>58303.903140542148</v>
      </c>
      <c r="AM613" s="1153">
        <f t="shared" si="177"/>
        <v>0</v>
      </c>
      <c r="AN613" s="1145">
        <f t="shared" si="178"/>
        <v>0</v>
      </c>
      <c r="AO613" s="1154">
        <f t="shared" si="179"/>
        <v>133113.93411082684</v>
      </c>
      <c r="AP613" s="1147">
        <f t="shared" si="165"/>
        <v>0</v>
      </c>
      <c r="AQ613" s="1144">
        <f t="shared" si="166"/>
        <v>0</v>
      </c>
      <c r="AR613" s="1146">
        <f t="shared" si="167"/>
        <v>133113.93411082684</v>
      </c>
    </row>
    <row r="614" spans="1:44" x14ac:dyDescent="0.2">
      <c r="A614" s="1141" t="str">
        <f t="shared" si="162"/>
        <v>1510</v>
      </c>
      <c r="B614" s="1141" t="str">
        <f>IFERROR(VLOOKUP(A614,'LAC 103'!A:C,3,FALSE),"")</f>
        <v>OP</v>
      </c>
      <c r="C614" s="1478" t="str">
        <f>Info!$B$8</f>
        <v>00100</v>
      </c>
      <c r="D614" s="1474" t="s">
        <v>256</v>
      </c>
      <c r="E614" s="1474" t="s">
        <v>95</v>
      </c>
      <c r="F614" s="1478" t="s">
        <v>77</v>
      </c>
      <c r="G614" s="1478" t="s">
        <v>77</v>
      </c>
      <c r="H614" s="1474" t="s">
        <v>1091</v>
      </c>
      <c r="I614" s="1478" t="s">
        <v>815</v>
      </c>
      <c r="J614" s="1478"/>
      <c r="K614" s="1475" t="s">
        <v>848</v>
      </c>
      <c r="L614" s="1474" t="s">
        <v>45</v>
      </c>
      <c r="M614" s="1476" t="s">
        <v>1699</v>
      </c>
      <c r="N614" s="1477" t="s">
        <v>1694</v>
      </c>
      <c r="O614" s="1479">
        <v>7634</v>
      </c>
      <c r="P614" s="1479"/>
      <c r="Q614" s="1142">
        <f t="shared" si="163"/>
        <v>7634</v>
      </c>
      <c r="R614" s="1143">
        <f>IFERROR(VLOOKUP(CONCATENATE(E614,G614),'LAC 103'!$A$12:$O$95,11,FALSE),0)</f>
        <v>3.2074101033884355</v>
      </c>
      <c r="S614" s="1144">
        <f>IFERROR(VLOOKUP(CONCATENATE($E614,$G614),'LAC 103'!$A$12:$O$95,12,FALSE),0)</f>
        <v>3.99</v>
      </c>
      <c r="T614" s="1144">
        <f>IFERROR(VLOOKUP(CONCATENATE($E614,$G614),'LAC 103'!$A$12:$O$95,13,FALSE),0)</f>
        <v>2.48</v>
      </c>
      <c r="U614" s="1144">
        <f>IFERROR(VLOOKUP(CONCATENATE($E614,$G614),'LAC 103'!$A$12:$O$95,14,FALSE),0)</f>
        <v>0</v>
      </c>
      <c r="V614" s="1144">
        <f>IFERROR(VLOOKUP(CONCATENATE($E614,$G614),'LAC 103'!$A$12:$O$95,15,FALSE),0)</f>
        <v>0</v>
      </c>
      <c r="W614" s="1145" t="str">
        <f>IFERROR(VLOOKUP(CONCATENATE($B614,$N614),'LAC 103'!$AI:$AQ,9,FALSE),"")</f>
        <v>Costs</v>
      </c>
      <c r="X614" s="1146">
        <f t="shared" si="168"/>
        <v>3.2074101033884355</v>
      </c>
      <c r="Y614" s="1143">
        <f t="shared" si="169"/>
        <v>24485.368729267317</v>
      </c>
      <c r="Z614" s="1147">
        <f t="shared" si="170"/>
        <v>30459.66</v>
      </c>
      <c r="AA614" s="1144">
        <f t="shared" si="171"/>
        <v>18932.32</v>
      </c>
      <c r="AB614" s="1144">
        <f t="shared" si="172"/>
        <v>0</v>
      </c>
      <c r="AC614" s="1144">
        <f t="shared" si="173"/>
        <v>0</v>
      </c>
      <c r="AD614" s="1148">
        <f t="shared" si="164"/>
        <v>24485.368729267317</v>
      </c>
      <c r="AE614" s="1487">
        <v>0</v>
      </c>
      <c r="AF614" s="1145">
        <f t="shared" si="174"/>
        <v>24485.368729267317</v>
      </c>
      <c r="AG614" s="1149">
        <f>IFERROR(VLOOKUP(CONCATENATE($L614,$N614),'Drop List'!$G$23:$K$87,2,FALSE),0)</f>
        <v>0.69340000000000002</v>
      </c>
      <c r="AH614" s="1150">
        <f>IFERROR(VLOOKUP(CONCATENATE($L614,$N614),'Drop List'!$G$23:$K$87,3,FALSE),0)</f>
        <v>0.30659999999999998</v>
      </c>
      <c r="AI614" s="1150">
        <f>IFERROR(VLOOKUP(CONCATENATE($L614,$N614),'Drop List'!$G$23:$K$87,4,FALSE),0)</f>
        <v>0</v>
      </c>
      <c r="AJ614" s="1151">
        <f>IFERROR(VLOOKUP(CONCATENATE($L614,$N614),'Drop List'!$G$23:$K$87,5,FALSE),0)</f>
        <v>0</v>
      </c>
      <c r="AK614" s="1152">
        <f t="shared" si="175"/>
        <v>16978.154676873957</v>
      </c>
      <c r="AL614" s="1153">
        <f t="shared" si="176"/>
        <v>7507.2140523933585</v>
      </c>
      <c r="AM614" s="1153">
        <f t="shared" si="177"/>
        <v>0</v>
      </c>
      <c r="AN614" s="1145">
        <f t="shared" si="178"/>
        <v>0</v>
      </c>
      <c r="AO614" s="1154">
        <f t="shared" si="179"/>
        <v>24485.368729267317</v>
      </c>
      <c r="AP614" s="1147">
        <f t="shared" si="165"/>
        <v>0</v>
      </c>
      <c r="AQ614" s="1144">
        <f t="shared" si="166"/>
        <v>0</v>
      </c>
      <c r="AR614" s="1146">
        <f t="shared" si="167"/>
        <v>24485.368729267317</v>
      </c>
    </row>
    <row r="615" spans="1:44" x14ac:dyDescent="0.2">
      <c r="A615" s="1141" t="str">
        <f t="shared" si="162"/>
        <v>1510</v>
      </c>
      <c r="B615" s="1141" t="str">
        <f>IFERROR(VLOOKUP(A615,'LAC 103'!A:C,3,FALSE),"")</f>
        <v>OP</v>
      </c>
      <c r="C615" s="1478" t="str">
        <f>Info!$B$8</f>
        <v>00100</v>
      </c>
      <c r="D615" s="1474" t="s">
        <v>256</v>
      </c>
      <c r="E615" s="1474" t="s">
        <v>95</v>
      </c>
      <c r="F615" s="1478" t="s">
        <v>77</v>
      </c>
      <c r="G615" s="1478" t="s">
        <v>77</v>
      </c>
      <c r="H615" s="1474" t="s">
        <v>1091</v>
      </c>
      <c r="I615" s="1478" t="s">
        <v>815</v>
      </c>
      <c r="J615" s="1478"/>
      <c r="K615" s="1475" t="s">
        <v>848</v>
      </c>
      <c r="L615" s="1474" t="s">
        <v>45</v>
      </c>
      <c r="M615" s="1476" t="s">
        <v>841</v>
      </c>
      <c r="N615" s="1477" t="s">
        <v>1695</v>
      </c>
      <c r="O615" s="1479">
        <v>4081</v>
      </c>
      <c r="P615" s="1479"/>
      <c r="Q615" s="1142">
        <f t="shared" si="163"/>
        <v>4081</v>
      </c>
      <c r="R615" s="1143">
        <f>IFERROR(VLOOKUP(CONCATENATE(E615,G615),'LAC 103'!$A$12:$O$95,11,FALSE),0)</f>
        <v>3.2074101033884355</v>
      </c>
      <c r="S615" s="1144">
        <f>IFERROR(VLOOKUP(CONCATENATE($E615,$G615),'LAC 103'!$A$12:$O$95,12,FALSE),0)</f>
        <v>3.99</v>
      </c>
      <c r="T615" s="1144">
        <f>IFERROR(VLOOKUP(CONCATENATE($E615,$G615),'LAC 103'!$A$12:$O$95,13,FALSE),0)</f>
        <v>2.48</v>
      </c>
      <c r="U615" s="1144">
        <f>IFERROR(VLOOKUP(CONCATENATE($E615,$G615),'LAC 103'!$A$12:$O$95,14,FALSE),0)</f>
        <v>0</v>
      </c>
      <c r="V615" s="1144">
        <f>IFERROR(VLOOKUP(CONCATENATE($E615,$G615),'LAC 103'!$A$12:$O$95,15,FALSE),0)</f>
        <v>0</v>
      </c>
      <c r="W615" s="1145" t="str">
        <f>IFERROR(VLOOKUP(CONCATENATE($B615,$N615),'LAC 103'!$AI:$AQ,9,FALSE),"")</f>
        <v>Costs</v>
      </c>
      <c r="X615" s="1146">
        <f t="shared" si="168"/>
        <v>3.2074101033884355</v>
      </c>
      <c r="Y615" s="1143">
        <f t="shared" si="169"/>
        <v>13089.440631928204</v>
      </c>
      <c r="Z615" s="1147">
        <f t="shared" si="170"/>
        <v>16283.19</v>
      </c>
      <c r="AA615" s="1144">
        <f t="shared" si="171"/>
        <v>10120.879999999999</v>
      </c>
      <c r="AB615" s="1144">
        <f t="shared" si="172"/>
        <v>0</v>
      </c>
      <c r="AC615" s="1144">
        <f t="shared" si="173"/>
        <v>0</v>
      </c>
      <c r="AD615" s="1148">
        <f t="shared" si="164"/>
        <v>13089.440631928204</v>
      </c>
      <c r="AE615" s="1487">
        <v>0</v>
      </c>
      <c r="AF615" s="1145">
        <f t="shared" si="174"/>
        <v>13089.440631928204</v>
      </c>
      <c r="AG615" s="1149">
        <f>IFERROR(VLOOKUP(CONCATENATE($L615,$N615),'Drop List'!$G$23:$K$87,2,FALSE),0)</f>
        <v>0.68500000000000005</v>
      </c>
      <c r="AH615" s="1150">
        <f>IFERROR(VLOOKUP(CONCATENATE($L615,$N615),'Drop List'!$G$23:$K$87,3,FALSE),0)</f>
        <v>0.31499999999999995</v>
      </c>
      <c r="AI615" s="1150">
        <f>IFERROR(VLOOKUP(CONCATENATE($L615,$N615),'Drop List'!$G$23:$K$87,4,FALSE),0)</f>
        <v>0</v>
      </c>
      <c r="AJ615" s="1151">
        <f>IFERROR(VLOOKUP(CONCATENATE($L615,$N615),'Drop List'!$G$23:$K$87,5,FALSE),0)</f>
        <v>0</v>
      </c>
      <c r="AK615" s="1152">
        <f t="shared" si="175"/>
        <v>8966.2668328708205</v>
      </c>
      <c r="AL615" s="1153">
        <f t="shared" si="176"/>
        <v>4123.1737990573838</v>
      </c>
      <c r="AM615" s="1153">
        <f t="shared" si="177"/>
        <v>0</v>
      </c>
      <c r="AN615" s="1145">
        <f t="shared" si="178"/>
        <v>0</v>
      </c>
      <c r="AO615" s="1154">
        <f t="shared" si="179"/>
        <v>13089.440631928204</v>
      </c>
      <c r="AP615" s="1147">
        <f t="shared" si="165"/>
        <v>0</v>
      </c>
      <c r="AQ615" s="1144">
        <f t="shared" si="166"/>
        <v>0</v>
      </c>
      <c r="AR615" s="1146">
        <f t="shared" si="167"/>
        <v>13089.440631928204</v>
      </c>
    </row>
    <row r="616" spans="1:44" x14ac:dyDescent="0.2">
      <c r="A616" s="1141" t="str">
        <f t="shared" si="162"/>
        <v>1510</v>
      </c>
      <c r="B616" s="1141" t="str">
        <f>IFERROR(VLOOKUP(A616,'LAC 103'!A:C,3,FALSE),"")</f>
        <v>OP</v>
      </c>
      <c r="C616" s="1478" t="str">
        <f>Info!$B$8</f>
        <v>00100</v>
      </c>
      <c r="D616" s="1474" t="s">
        <v>256</v>
      </c>
      <c r="E616" s="1474" t="s">
        <v>95</v>
      </c>
      <c r="F616" s="1478" t="s">
        <v>77</v>
      </c>
      <c r="G616" s="1478" t="s">
        <v>77</v>
      </c>
      <c r="H616" s="1474" t="s">
        <v>1091</v>
      </c>
      <c r="I616" s="1478" t="s">
        <v>815</v>
      </c>
      <c r="J616" s="1478"/>
      <c r="K616" s="1475" t="s">
        <v>848</v>
      </c>
      <c r="L616" s="1474" t="s">
        <v>45</v>
      </c>
      <c r="M616" s="1476" t="s">
        <v>840</v>
      </c>
      <c r="N616" s="1477" t="s">
        <v>1700</v>
      </c>
      <c r="O616" s="1479">
        <v>5916</v>
      </c>
      <c r="P616" s="1479"/>
      <c r="Q616" s="1142">
        <f t="shared" si="163"/>
        <v>5916</v>
      </c>
      <c r="R616" s="1143">
        <f>IFERROR(VLOOKUP(CONCATENATE(E616,G616),'LAC 103'!$A$12:$O$95,11,FALSE),0)</f>
        <v>3.2074101033884355</v>
      </c>
      <c r="S616" s="1144">
        <f>IFERROR(VLOOKUP(CONCATENATE($E616,$G616),'LAC 103'!$A$12:$O$95,12,FALSE),0)</f>
        <v>3.99</v>
      </c>
      <c r="T616" s="1144">
        <f>IFERROR(VLOOKUP(CONCATENATE($E616,$G616),'LAC 103'!$A$12:$O$95,13,FALSE),0)</f>
        <v>2.48</v>
      </c>
      <c r="U616" s="1144">
        <f>IFERROR(VLOOKUP(CONCATENATE($E616,$G616),'LAC 103'!$A$12:$O$95,14,FALSE),0)</f>
        <v>0</v>
      </c>
      <c r="V616" s="1144">
        <f>IFERROR(VLOOKUP(CONCATENATE($E616,$G616),'LAC 103'!$A$12:$O$95,15,FALSE),0)</f>
        <v>0</v>
      </c>
      <c r="W616" s="1145" t="str">
        <f>IFERROR(VLOOKUP(CONCATENATE($B616,$N616),'LAC 103'!$AI:$AQ,9,FALSE),"")</f>
        <v>P.C.</v>
      </c>
      <c r="X616" s="1146">
        <f t="shared" si="168"/>
        <v>2.48</v>
      </c>
      <c r="Y616" s="1143">
        <f t="shared" si="169"/>
        <v>18975.038171645985</v>
      </c>
      <c r="Z616" s="1147">
        <f t="shared" si="170"/>
        <v>23604.84</v>
      </c>
      <c r="AA616" s="1144">
        <f t="shared" si="171"/>
        <v>14671.68</v>
      </c>
      <c r="AB616" s="1144">
        <f t="shared" si="172"/>
        <v>0</v>
      </c>
      <c r="AC616" s="1144">
        <f t="shared" si="173"/>
        <v>0</v>
      </c>
      <c r="AD616" s="1148">
        <f t="shared" si="164"/>
        <v>14671.68</v>
      </c>
      <c r="AE616" s="1487">
        <v>0</v>
      </c>
      <c r="AF616" s="1145">
        <f t="shared" si="174"/>
        <v>14671.68</v>
      </c>
      <c r="AG616" s="1149">
        <f>IFERROR(VLOOKUP(CONCATENATE($L616,$N616),'Drop List'!$G$23:$K$87,2,FALSE),0)</f>
        <v>0.68500000000000005</v>
      </c>
      <c r="AH616" s="1150">
        <f>IFERROR(VLOOKUP(CONCATENATE($L616,$N616),'Drop List'!$G$23:$K$87,3,FALSE),0)</f>
        <v>0.31499999999999995</v>
      </c>
      <c r="AI616" s="1150">
        <f>IFERROR(VLOOKUP(CONCATENATE($L616,$N616),'Drop List'!$G$23:$K$87,4,FALSE),0)</f>
        <v>0</v>
      </c>
      <c r="AJ616" s="1151">
        <f>IFERROR(VLOOKUP(CONCATENATE($L616,$N616),'Drop List'!$G$23:$K$87,5,FALSE),0)</f>
        <v>0</v>
      </c>
      <c r="AK616" s="1152">
        <f t="shared" si="175"/>
        <v>10050.1008</v>
      </c>
      <c r="AL616" s="1153">
        <f t="shared" si="176"/>
        <v>4621.5791999999992</v>
      </c>
      <c r="AM616" s="1153">
        <f t="shared" si="177"/>
        <v>0</v>
      </c>
      <c r="AN616" s="1145">
        <f t="shared" si="178"/>
        <v>0</v>
      </c>
      <c r="AO616" s="1154">
        <f t="shared" si="179"/>
        <v>14671.68</v>
      </c>
      <c r="AP616" s="1147">
        <f t="shared" si="165"/>
        <v>0</v>
      </c>
      <c r="AQ616" s="1144">
        <f t="shared" si="166"/>
        <v>0</v>
      </c>
      <c r="AR616" s="1146">
        <f t="shared" si="167"/>
        <v>14671.68</v>
      </c>
    </row>
    <row r="617" spans="1:44" x14ac:dyDescent="0.2">
      <c r="A617" s="1141" t="str">
        <f t="shared" si="162"/>
        <v>1510</v>
      </c>
      <c r="B617" s="1141" t="str">
        <f>IFERROR(VLOOKUP(A617,'LAC 103'!A:C,3,FALSE),"")</f>
        <v>OP</v>
      </c>
      <c r="C617" s="1478" t="str">
        <f>Info!$B$8</f>
        <v>00100</v>
      </c>
      <c r="D617" s="1474" t="s">
        <v>256</v>
      </c>
      <c r="E617" s="1474" t="s">
        <v>95</v>
      </c>
      <c r="F617" s="1478" t="s">
        <v>77</v>
      </c>
      <c r="G617" s="1478" t="s">
        <v>77</v>
      </c>
      <c r="H617" s="1474" t="s">
        <v>1091</v>
      </c>
      <c r="I617" s="1478" t="s">
        <v>815</v>
      </c>
      <c r="J617" s="1478"/>
      <c r="K617" s="1475" t="s">
        <v>848</v>
      </c>
      <c r="L617" s="1474" t="s">
        <v>45</v>
      </c>
      <c r="M617" s="1476" t="s">
        <v>842</v>
      </c>
      <c r="N617" s="1477" t="s">
        <v>1692</v>
      </c>
      <c r="O617" s="1479">
        <v>9483</v>
      </c>
      <c r="P617" s="1479"/>
      <c r="Q617" s="1142">
        <f t="shared" si="163"/>
        <v>9483</v>
      </c>
      <c r="R617" s="1143">
        <f>IFERROR(VLOOKUP(CONCATENATE(E617,G617),'LAC 103'!$A$12:$O$95,11,FALSE),0)</f>
        <v>3.2074101033884355</v>
      </c>
      <c r="S617" s="1144">
        <f>IFERROR(VLOOKUP(CONCATENATE($E617,$G617),'LAC 103'!$A$12:$O$95,12,FALSE),0)</f>
        <v>3.99</v>
      </c>
      <c r="T617" s="1144">
        <f>IFERROR(VLOOKUP(CONCATENATE($E617,$G617),'LAC 103'!$A$12:$O$95,13,FALSE),0)</f>
        <v>2.48</v>
      </c>
      <c r="U617" s="1144">
        <f>IFERROR(VLOOKUP(CONCATENATE($E617,$G617),'LAC 103'!$A$12:$O$95,14,FALSE),0)</f>
        <v>0</v>
      </c>
      <c r="V617" s="1144">
        <f>IFERROR(VLOOKUP(CONCATENATE($E617,$G617),'LAC 103'!$A$12:$O$95,15,FALSE),0)</f>
        <v>0</v>
      </c>
      <c r="W617" s="1145" t="str">
        <f>IFERROR(VLOOKUP(CONCATENATE($B617,$N617),'LAC 103'!$AI:$AQ,9,FALSE),"")</f>
        <v>Costs</v>
      </c>
      <c r="X617" s="1146">
        <f t="shared" si="168"/>
        <v>3.2074101033884355</v>
      </c>
      <c r="Y617" s="1143">
        <f t="shared" si="169"/>
        <v>30415.870010432533</v>
      </c>
      <c r="Z617" s="1147">
        <f t="shared" si="170"/>
        <v>37837.170000000006</v>
      </c>
      <c r="AA617" s="1144">
        <f t="shared" si="171"/>
        <v>23517.84</v>
      </c>
      <c r="AB617" s="1144">
        <f t="shared" si="172"/>
        <v>0</v>
      </c>
      <c r="AC617" s="1144">
        <f t="shared" si="173"/>
        <v>0</v>
      </c>
      <c r="AD617" s="1148">
        <f t="shared" si="164"/>
        <v>30415.870010432533</v>
      </c>
      <c r="AE617" s="1487">
        <v>0</v>
      </c>
      <c r="AF617" s="1145">
        <f t="shared" si="174"/>
        <v>30415.870010432533</v>
      </c>
      <c r="AG617" s="1149">
        <f>IFERROR(VLOOKUP(CONCATENATE($L617,$N617),'Drop List'!$G$23:$K$87,2,FALSE),0)</f>
        <v>0.69340000000000002</v>
      </c>
      <c r="AH617" s="1150">
        <f>IFERROR(VLOOKUP(CONCATENATE($L617,$N617),'Drop List'!$G$23:$K$87,3,FALSE),0)</f>
        <v>0.30659999999999998</v>
      </c>
      <c r="AI617" s="1150">
        <f>IFERROR(VLOOKUP(CONCATENATE($L617,$N617),'Drop List'!$G$23:$K$87,4,FALSE),0)</f>
        <v>0</v>
      </c>
      <c r="AJ617" s="1151">
        <f>IFERROR(VLOOKUP(CONCATENATE($L617,$N617),'Drop List'!$G$23:$K$87,5,FALSE),0)</f>
        <v>0</v>
      </c>
      <c r="AK617" s="1152">
        <f t="shared" si="175"/>
        <v>21090.364265233919</v>
      </c>
      <c r="AL617" s="1153">
        <f t="shared" si="176"/>
        <v>9325.505745198614</v>
      </c>
      <c r="AM617" s="1153">
        <f t="shared" si="177"/>
        <v>0</v>
      </c>
      <c r="AN617" s="1145">
        <f t="shared" si="178"/>
        <v>0</v>
      </c>
      <c r="AO617" s="1154">
        <f t="shared" si="179"/>
        <v>30415.870010432533</v>
      </c>
      <c r="AP617" s="1147">
        <f t="shared" si="165"/>
        <v>0</v>
      </c>
      <c r="AQ617" s="1144">
        <f t="shared" si="166"/>
        <v>0</v>
      </c>
      <c r="AR617" s="1146">
        <f t="shared" si="167"/>
        <v>30415.870010432533</v>
      </c>
    </row>
    <row r="618" spans="1:44" x14ac:dyDescent="0.2">
      <c r="A618" s="1141" t="str">
        <f t="shared" si="162"/>
        <v>1510</v>
      </c>
      <c r="B618" s="1141" t="str">
        <f>IFERROR(VLOOKUP(A618,'LAC 103'!A:C,3,FALSE),"")</f>
        <v>OP</v>
      </c>
      <c r="C618" s="1478" t="str">
        <f>Info!$B$8</f>
        <v>00100</v>
      </c>
      <c r="D618" s="1474" t="s">
        <v>256</v>
      </c>
      <c r="E618" s="1474" t="s">
        <v>95</v>
      </c>
      <c r="F618" s="1478" t="s">
        <v>77</v>
      </c>
      <c r="G618" s="1478" t="s">
        <v>77</v>
      </c>
      <c r="H618" s="1474" t="s">
        <v>1091</v>
      </c>
      <c r="I618" s="1478" t="s">
        <v>815</v>
      </c>
      <c r="J618" s="1478"/>
      <c r="K618" s="1475" t="s">
        <v>848</v>
      </c>
      <c r="L618" s="1474" t="s">
        <v>45</v>
      </c>
      <c r="M618" s="1476" t="s">
        <v>1698</v>
      </c>
      <c r="N618" s="1477" t="s">
        <v>1693</v>
      </c>
      <c r="O618" s="1479">
        <v>10495</v>
      </c>
      <c r="P618" s="1479"/>
      <c r="Q618" s="1142">
        <f t="shared" si="163"/>
        <v>10495</v>
      </c>
      <c r="R618" s="1143">
        <f>IFERROR(VLOOKUP(CONCATENATE(E618,G618),'LAC 103'!$A$12:$O$95,11,FALSE),0)</f>
        <v>3.2074101033884355</v>
      </c>
      <c r="S618" s="1144">
        <f>IFERROR(VLOOKUP(CONCATENATE($E618,$G618),'LAC 103'!$A$12:$O$95,12,FALSE),0)</f>
        <v>3.99</v>
      </c>
      <c r="T618" s="1144">
        <f>IFERROR(VLOOKUP(CONCATENATE($E618,$G618),'LAC 103'!$A$12:$O$95,13,FALSE),0)</f>
        <v>2.48</v>
      </c>
      <c r="U618" s="1144">
        <f>IFERROR(VLOOKUP(CONCATENATE($E618,$G618),'LAC 103'!$A$12:$O$95,14,FALSE),0)</f>
        <v>0</v>
      </c>
      <c r="V618" s="1144">
        <f>IFERROR(VLOOKUP(CONCATENATE($E618,$G618),'LAC 103'!$A$12:$O$95,15,FALSE),0)</f>
        <v>0</v>
      </c>
      <c r="W618" s="1145" t="str">
        <f>IFERROR(VLOOKUP(CONCATENATE($B618,$N618),'LAC 103'!$AI:$AQ,9,FALSE),"")</f>
        <v>Costs</v>
      </c>
      <c r="X618" s="1146">
        <f t="shared" si="168"/>
        <v>3.2074101033884355</v>
      </c>
      <c r="Y618" s="1143">
        <f t="shared" si="169"/>
        <v>33661.769035061632</v>
      </c>
      <c r="Z618" s="1147">
        <f t="shared" si="170"/>
        <v>41875.050000000003</v>
      </c>
      <c r="AA618" s="1144">
        <f t="shared" si="171"/>
        <v>26027.599999999999</v>
      </c>
      <c r="AB618" s="1144">
        <f t="shared" si="172"/>
        <v>0</v>
      </c>
      <c r="AC618" s="1144">
        <f t="shared" si="173"/>
        <v>0</v>
      </c>
      <c r="AD618" s="1148">
        <f t="shared" si="164"/>
        <v>33661.769035061632</v>
      </c>
      <c r="AE618" s="1487">
        <v>0</v>
      </c>
      <c r="AF618" s="1145">
        <f t="shared" si="174"/>
        <v>33661.769035061632</v>
      </c>
      <c r="AG618" s="1149">
        <f>IFERROR(VLOOKUP(CONCATENATE($L618,$N618),'Drop List'!$G$23:$K$87,2,FALSE),0)</f>
        <v>0.69340000000000002</v>
      </c>
      <c r="AH618" s="1150">
        <f>IFERROR(VLOOKUP(CONCATENATE($L618,$N618),'Drop List'!$G$23:$K$87,3,FALSE),0)</f>
        <v>0.30659999999999998</v>
      </c>
      <c r="AI618" s="1150">
        <f>IFERROR(VLOOKUP(CONCATENATE($L618,$N618),'Drop List'!$G$23:$K$87,4,FALSE),0)</f>
        <v>0</v>
      </c>
      <c r="AJ618" s="1151">
        <f>IFERROR(VLOOKUP(CONCATENATE($L618,$N618),'Drop List'!$G$23:$K$87,5,FALSE),0)</f>
        <v>0</v>
      </c>
      <c r="AK618" s="1152">
        <f t="shared" si="175"/>
        <v>23341.070648911736</v>
      </c>
      <c r="AL618" s="1153">
        <f t="shared" si="176"/>
        <v>10320.698386149896</v>
      </c>
      <c r="AM618" s="1153">
        <f t="shared" si="177"/>
        <v>0</v>
      </c>
      <c r="AN618" s="1145">
        <f t="shared" si="178"/>
        <v>0</v>
      </c>
      <c r="AO618" s="1154">
        <f t="shared" si="179"/>
        <v>33661.769035061632</v>
      </c>
      <c r="AP618" s="1147">
        <f t="shared" si="165"/>
        <v>0</v>
      </c>
      <c r="AQ618" s="1144">
        <f t="shared" si="166"/>
        <v>0</v>
      </c>
      <c r="AR618" s="1146">
        <f t="shared" si="167"/>
        <v>33661.769035061632</v>
      </c>
    </row>
    <row r="619" spans="1:44" x14ac:dyDescent="0.2">
      <c r="A619" s="1141" t="str">
        <f t="shared" si="162"/>
        <v>1510</v>
      </c>
      <c r="B619" s="1141" t="str">
        <f>IFERROR(VLOOKUP(A619,'LAC 103'!A:C,3,FALSE),"")</f>
        <v>OP</v>
      </c>
      <c r="C619" s="1478" t="str">
        <f>Info!$B$8</f>
        <v>00100</v>
      </c>
      <c r="D619" s="1474" t="s">
        <v>256</v>
      </c>
      <c r="E619" s="1474" t="s">
        <v>95</v>
      </c>
      <c r="F619" s="1478" t="s">
        <v>77</v>
      </c>
      <c r="G619" s="1478" t="s">
        <v>77</v>
      </c>
      <c r="H619" s="1474" t="s">
        <v>1091</v>
      </c>
      <c r="I619" s="1478" t="s">
        <v>815</v>
      </c>
      <c r="J619" s="1478"/>
      <c r="K619" s="1475" t="s">
        <v>849</v>
      </c>
      <c r="L619" s="1474" t="s">
        <v>77</v>
      </c>
      <c r="M619" s="1476" t="s">
        <v>1699</v>
      </c>
      <c r="N619" s="1477" t="s">
        <v>1694</v>
      </c>
      <c r="O619" s="1479">
        <v>3692</v>
      </c>
      <c r="P619" s="1479"/>
      <c r="Q619" s="1142">
        <f t="shared" si="163"/>
        <v>3692</v>
      </c>
      <c r="R619" s="1143">
        <f>IFERROR(VLOOKUP(CONCATENATE(E619,G619),'LAC 103'!$A$12:$O$95,11,FALSE),0)</f>
        <v>3.2074101033884355</v>
      </c>
      <c r="S619" s="1144">
        <f>IFERROR(VLOOKUP(CONCATENATE($E619,$G619),'LAC 103'!$A$12:$O$95,12,FALSE),0)</f>
        <v>3.99</v>
      </c>
      <c r="T619" s="1144">
        <f>IFERROR(VLOOKUP(CONCATENATE($E619,$G619),'LAC 103'!$A$12:$O$95,13,FALSE),0)</f>
        <v>2.48</v>
      </c>
      <c r="U619" s="1144">
        <f>IFERROR(VLOOKUP(CONCATENATE($E619,$G619),'LAC 103'!$A$12:$O$95,14,FALSE),0)</f>
        <v>0</v>
      </c>
      <c r="V619" s="1144">
        <f>IFERROR(VLOOKUP(CONCATENATE($E619,$G619),'LAC 103'!$A$12:$O$95,15,FALSE),0)</f>
        <v>0</v>
      </c>
      <c r="W619" s="1145" t="str">
        <f>IFERROR(VLOOKUP(CONCATENATE($B619,$N619),'LAC 103'!$AI:$AQ,9,FALSE),"")</f>
        <v>Costs</v>
      </c>
      <c r="X619" s="1146">
        <f t="shared" si="168"/>
        <v>3.2074101033884355</v>
      </c>
      <c r="Y619" s="1143">
        <f t="shared" si="169"/>
        <v>11841.758101710104</v>
      </c>
      <c r="Z619" s="1147">
        <f t="shared" si="170"/>
        <v>14731.08</v>
      </c>
      <c r="AA619" s="1144">
        <f t="shared" si="171"/>
        <v>9156.16</v>
      </c>
      <c r="AB619" s="1144">
        <f t="shared" si="172"/>
        <v>0</v>
      </c>
      <c r="AC619" s="1144">
        <f t="shared" si="173"/>
        <v>0</v>
      </c>
      <c r="AD619" s="1148">
        <f t="shared" si="164"/>
        <v>11841.758101710104</v>
      </c>
      <c r="AE619" s="1487">
        <v>0</v>
      </c>
      <c r="AF619" s="1145">
        <f t="shared" si="174"/>
        <v>11841.758101710104</v>
      </c>
      <c r="AG619" s="1149">
        <f>IFERROR(VLOOKUP(CONCATENATE($L619,$N619),'Drop List'!$G$23:$K$87,2,FALSE),0)</f>
        <v>0.9</v>
      </c>
      <c r="AH619" s="1150">
        <f>IFERROR(VLOOKUP(CONCATENATE($L619,$N619),'Drop List'!$G$23:$K$87,3,FALSE),0)</f>
        <v>0</v>
      </c>
      <c r="AI619" s="1150">
        <f>IFERROR(VLOOKUP(CONCATENATE($L619,$N619),'Drop List'!$G$23:$K$87,4,FALSE),0)</f>
        <v>0.1</v>
      </c>
      <c r="AJ619" s="1151">
        <f>IFERROR(VLOOKUP(CONCATENATE($L619,$N619),'Drop List'!$G$23:$K$87,5,FALSE),0)</f>
        <v>0</v>
      </c>
      <c r="AK619" s="1152">
        <f t="shared" si="175"/>
        <v>10657.582291539095</v>
      </c>
      <c r="AL619" s="1153">
        <f t="shared" si="176"/>
        <v>0</v>
      </c>
      <c r="AM619" s="1153">
        <f t="shared" si="177"/>
        <v>1184.1758101710104</v>
      </c>
      <c r="AN619" s="1145">
        <f t="shared" si="178"/>
        <v>0</v>
      </c>
      <c r="AO619" s="1154">
        <f t="shared" si="179"/>
        <v>11841.758101710106</v>
      </c>
      <c r="AP619" s="1147">
        <f t="shared" si="165"/>
        <v>0</v>
      </c>
      <c r="AQ619" s="1144">
        <f t="shared" si="166"/>
        <v>0</v>
      </c>
      <c r="AR619" s="1146">
        <f t="shared" si="167"/>
        <v>11841.758101710106</v>
      </c>
    </row>
    <row r="620" spans="1:44" x14ac:dyDescent="0.2">
      <c r="A620" s="1141" t="str">
        <f t="shared" si="162"/>
        <v>1510</v>
      </c>
      <c r="B620" s="1141" t="str">
        <f>IFERROR(VLOOKUP(A620,'LAC 103'!A:C,3,FALSE),"")</f>
        <v>OP</v>
      </c>
      <c r="C620" s="1478" t="str">
        <f>Info!$B$8</f>
        <v>00100</v>
      </c>
      <c r="D620" s="1474" t="s">
        <v>256</v>
      </c>
      <c r="E620" s="1474" t="s">
        <v>95</v>
      </c>
      <c r="F620" s="1478" t="s">
        <v>77</v>
      </c>
      <c r="G620" s="1478" t="s">
        <v>77</v>
      </c>
      <c r="H620" s="1474" t="s">
        <v>1091</v>
      </c>
      <c r="I620" s="1478" t="s">
        <v>815</v>
      </c>
      <c r="J620" s="1478"/>
      <c r="K620" s="1475" t="s">
        <v>849</v>
      </c>
      <c r="L620" s="1474" t="s">
        <v>77</v>
      </c>
      <c r="M620" s="1476" t="s">
        <v>841</v>
      </c>
      <c r="N620" s="1477" t="s">
        <v>1695</v>
      </c>
      <c r="O620" s="1479">
        <v>1599</v>
      </c>
      <c r="P620" s="1479"/>
      <c r="Q620" s="1142">
        <f t="shared" si="163"/>
        <v>1599</v>
      </c>
      <c r="R620" s="1143">
        <f>IFERROR(VLOOKUP(CONCATENATE(E620,G620),'LAC 103'!$A$12:$O$95,11,FALSE),0)</f>
        <v>3.2074101033884355</v>
      </c>
      <c r="S620" s="1144">
        <f>IFERROR(VLOOKUP(CONCATENATE($E620,$G620),'LAC 103'!$A$12:$O$95,12,FALSE),0)</f>
        <v>3.99</v>
      </c>
      <c r="T620" s="1144">
        <f>IFERROR(VLOOKUP(CONCATENATE($E620,$G620),'LAC 103'!$A$12:$O$95,13,FALSE),0)</f>
        <v>2.48</v>
      </c>
      <c r="U620" s="1144">
        <f>IFERROR(VLOOKUP(CONCATENATE($E620,$G620),'LAC 103'!$A$12:$O$95,14,FALSE),0)</f>
        <v>0</v>
      </c>
      <c r="V620" s="1144">
        <f>IFERROR(VLOOKUP(CONCATENATE($E620,$G620),'LAC 103'!$A$12:$O$95,15,FALSE),0)</f>
        <v>0</v>
      </c>
      <c r="W620" s="1145" t="str">
        <f>IFERROR(VLOOKUP(CONCATENATE($B620,$N620),'LAC 103'!$AI:$AQ,9,FALSE),"")</f>
        <v>Costs</v>
      </c>
      <c r="X620" s="1146">
        <f t="shared" si="168"/>
        <v>3.2074101033884355</v>
      </c>
      <c r="Y620" s="1143">
        <f t="shared" si="169"/>
        <v>5128.6487553181087</v>
      </c>
      <c r="Z620" s="1147">
        <f t="shared" si="170"/>
        <v>6380.01</v>
      </c>
      <c r="AA620" s="1144">
        <f t="shared" si="171"/>
        <v>3965.52</v>
      </c>
      <c r="AB620" s="1144">
        <f t="shared" si="172"/>
        <v>0</v>
      </c>
      <c r="AC620" s="1144">
        <f t="shared" si="173"/>
        <v>0</v>
      </c>
      <c r="AD620" s="1148">
        <f t="shared" si="164"/>
        <v>5128.6487553181087</v>
      </c>
      <c r="AE620" s="1487">
        <v>0</v>
      </c>
      <c r="AF620" s="1145">
        <f t="shared" si="174"/>
        <v>5128.6487553181087</v>
      </c>
      <c r="AG620" s="1149">
        <f>IFERROR(VLOOKUP(CONCATENATE($L620,$N620),'Drop List'!$G$23:$K$87,2,FALSE),0)</f>
        <v>0.9</v>
      </c>
      <c r="AH620" s="1150">
        <f>IFERROR(VLOOKUP(CONCATENATE($L620,$N620),'Drop List'!$G$23:$K$87,3,FALSE),0)</f>
        <v>0</v>
      </c>
      <c r="AI620" s="1150">
        <f>IFERROR(VLOOKUP(CONCATENATE($L620,$N620),'Drop List'!$G$23:$K$87,4,FALSE),0)</f>
        <v>0.1</v>
      </c>
      <c r="AJ620" s="1151">
        <f>IFERROR(VLOOKUP(CONCATENATE($L620,$N620),'Drop List'!$G$23:$K$87,5,FALSE),0)</f>
        <v>0</v>
      </c>
      <c r="AK620" s="1152">
        <f t="shared" si="175"/>
        <v>4615.7838797862978</v>
      </c>
      <c r="AL620" s="1153">
        <f t="shared" si="176"/>
        <v>0</v>
      </c>
      <c r="AM620" s="1153">
        <f t="shared" si="177"/>
        <v>512.86487553181087</v>
      </c>
      <c r="AN620" s="1145">
        <f t="shared" si="178"/>
        <v>0</v>
      </c>
      <c r="AO620" s="1154">
        <f t="shared" si="179"/>
        <v>5128.6487553181087</v>
      </c>
      <c r="AP620" s="1147">
        <f t="shared" si="165"/>
        <v>0</v>
      </c>
      <c r="AQ620" s="1144">
        <f t="shared" si="166"/>
        <v>0</v>
      </c>
      <c r="AR620" s="1146">
        <f t="shared" si="167"/>
        <v>5128.6487553181087</v>
      </c>
    </row>
    <row r="621" spans="1:44" x14ac:dyDescent="0.2">
      <c r="A621" s="1141" t="str">
        <f t="shared" si="162"/>
        <v>1510</v>
      </c>
      <c r="B621" s="1141" t="str">
        <f>IFERROR(VLOOKUP(A621,'LAC 103'!A:C,3,FALSE),"")</f>
        <v>OP</v>
      </c>
      <c r="C621" s="1478" t="str">
        <f>Info!$B$8</f>
        <v>00100</v>
      </c>
      <c r="D621" s="1474" t="s">
        <v>256</v>
      </c>
      <c r="E621" s="1474" t="s">
        <v>95</v>
      </c>
      <c r="F621" s="1478" t="s">
        <v>77</v>
      </c>
      <c r="G621" s="1478" t="s">
        <v>77</v>
      </c>
      <c r="H621" s="1474" t="s">
        <v>1091</v>
      </c>
      <c r="I621" s="1478" t="s">
        <v>815</v>
      </c>
      <c r="J621" s="1478"/>
      <c r="K621" s="1475" t="s">
        <v>849</v>
      </c>
      <c r="L621" s="1474" t="s">
        <v>77</v>
      </c>
      <c r="M621" s="1476" t="s">
        <v>840</v>
      </c>
      <c r="N621" s="1477" t="s">
        <v>1700</v>
      </c>
      <c r="O621" s="1479">
        <v>1872</v>
      </c>
      <c r="P621" s="1479"/>
      <c r="Q621" s="1142">
        <f t="shared" si="163"/>
        <v>1872</v>
      </c>
      <c r="R621" s="1143">
        <f>IFERROR(VLOOKUP(CONCATENATE(E621,G621),'LAC 103'!$A$12:$O$95,11,FALSE),0)</f>
        <v>3.2074101033884355</v>
      </c>
      <c r="S621" s="1144">
        <f>IFERROR(VLOOKUP(CONCATENATE($E621,$G621),'LAC 103'!$A$12:$O$95,12,FALSE),0)</f>
        <v>3.99</v>
      </c>
      <c r="T621" s="1144">
        <f>IFERROR(VLOOKUP(CONCATENATE($E621,$G621),'LAC 103'!$A$12:$O$95,13,FALSE),0)</f>
        <v>2.48</v>
      </c>
      <c r="U621" s="1144">
        <f>IFERROR(VLOOKUP(CONCATENATE($E621,$G621),'LAC 103'!$A$12:$O$95,14,FALSE),0)</f>
        <v>0</v>
      </c>
      <c r="V621" s="1144">
        <f>IFERROR(VLOOKUP(CONCATENATE($E621,$G621),'LAC 103'!$A$12:$O$95,15,FALSE),0)</f>
        <v>0</v>
      </c>
      <c r="W621" s="1145" t="str">
        <f>IFERROR(VLOOKUP(CONCATENATE($B621,$N621),'LAC 103'!$AI:$AQ,9,FALSE),"")</f>
        <v>P.C.</v>
      </c>
      <c r="X621" s="1146">
        <f t="shared" si="168"/>
        <v>2.48</v>
      </c>
      <c r="Y621" s="1143">
        <f t="shared" si="169"/>
        <v>6004.2717135431512</v>
      </c>
      <c r="Z621" s="1147">
        <f t="shared" si="170"/>
        <v>7469.2800000000007</v>
      </c>
      <c r="AA621" s="1144">
        <f t="shared" si="171"/>
        <v>4642.5600000000004</v>
      </c>
      <c r="AB621" s="1144">
        <f t="shared" si="172"/>
        <v>0</v>
      </c>
      <c r="AC621" s="1144">
        <f t="shared" si="173"/>
        <v>0</v>
      </c>
      <c r="AD621" s="1148">
        <f t="shared" si="164"/>
        <v>4642.5600000000004</v>
      </c>
      <c r="AE621" s="1487">
        <v>0</v>
      </c>
      <c r="AF621" s="1145">
        <f t="shared" si="174"/>
        <v>4642.5600000000004</v>
      </c>
      <c r="AG621" s="1149">
        <f>IFERROR(VLOOKUP(CONCATENATE($L621,$N621),'Drop List'!$G$23:$K$87,2,FALSE),0)</f>
        <v>0.9</v>
      </c>
      <c r="AH621" s="1150">
        <f>IFERROR(VLOOKUP(CONCATENATE($L621,$N621),'Drop List'!$G$23:$K$87,3,FALSE),0)</f>
        <v>0</v>
      </c>
      <c r="AI621" s="1150">
        <f>IFERROR(VLOOKUP(CONCATENATE($L621,$N621),'Drop List'!$G$23:$K$87,4,FALSE),0)</f>
        <v>0.1</v>
      </c>
      <c r="AJ621" s="1151">
        <f>IFERROR(VLOOKUP(CONCATENATE($L621,$N621),'Drop List'!$G$23:$K$87,5,FALSE),0)</f>
        <v>0</v>
      </c>
      <c r="AK621" s="1152">
        <f t="shared" si="175"/>
        <v>4178.3040000000001</v>
      </c>
      <c r="AL621" s="1153">
        <f t="shared" si="176"/>
        <v>0</v>
      </c>
      <c r="AM621" s="1153">
        <f t="shared" si="177"/>
        <v>464.25600000000009</v>
      </c>
      <c r="AN621" s="1145">
        <f t="shared" si="178"/>
        <v>0</v>
      </c>
      <c r="AO621" s="1154">
        <f t="shared" si="179"/>
        <v>4642.5600000000004</v>
      </c>
      <c r="AP621" s="1147">
        <f t="shared" si="165"/>
        <v>0</v>
      </c>
      <c r="AQ621" s="1144">
        <f t="shared" si="166"/>
        <v>0</v>
      </c>
      <c r="AR621" s="1146">
        <f t="shared" si="167"/>
        <v>4642.5600000000004</v>
      </c>
    </row>
    <row r="622" spans="1:44" x14ac:dyDescent="0.2">
      <c r="A622" s="1141" t="str">
        <f t="shared" si="162"/>
        <v>1510</v>
      </c>
      <c r="B622" s="1141" t="str">
        <f>IFERROR(VLOOKUP(A622,'LAC 103'!A:C,3,FALSE),"")</f>
        <v>OP</v>
      </c>
      <c r="C622" s="1478" t="str">
        <f>Info!$B$8</f>
        <v>00100</v>
      </c>
      <c r="D622" s="1474" t="s">
        <v>256</v>
      </c>
      <c r="E622" s="1474" t="s">
        <v>95</v>
      </c>
      <c r="F622" s="1478" t="s">
        <v>77</v>
      </c>
      <c r="G622" s="1478" t="s">
        <v>77</v>
      </c>
      <c r="H622" s="1474" t="s">
        <v>1091</v>
      </c>
      <c r="I622" s="1478" t="s">
        <v>815</v>
      </c>
      <c r="J622" s="1478"/>
      <c r="K622" s="1475" t="s">
        <v>849</v>
      </c>
      <c r="L622" s="1474" t="s">
        <v>77</v>
      </c>
      <c r="M622" s="1476" t="s">
        <v>842</v>
      </c>
      <c r="N622" s="1477" t="s">
        <v>1692</v>
      </c>
      <c r="O622" s="1479">
        <v>4861</v>
      </c>
      <c r="P622" s="1479"/>
      <c r="Q622" s="1142">
        <f t="shared" si="163"/>
        <v>4861</v>
      </c>
      <c r="R622" s="1143">
        <f>IFERROR(VLOOKUP(CONCATENATE(E622,G622),'LAC 103'!$A$12:$O$95,11,FALSE),0)</f>
        <v>3.2074101033884355</v>
      </c>
      <c r="S622" s="1144">
        <f>IFERROR(VLOOKUP(CONCATENATE($E622,$G622),'LAC 103'!$A$12:$O$95,12,FALSE),0)</f>
        <v>3.99</v>
      </c>
      <c r="T622" s="1144">
        <f>IFERROR(VLOOKUP(CONCATENATE($E622,$G622),'LAC 103'!$A$12:$O$95,13,FALSE),0)</f>
        <v>2.48</v>
      </c>
      <c r="U622" s="1144">
        <f>IFERROR(VLOOKUP(CONCATENATE($E622,$G622),'LAC 103'!$A$12:$O$95,14,FALSE),0)</f>
        <v>0</v>
      </c>
      <c r="V622" s="1144">
        <f>IFERROR(VLOOKUP(CONCATENATE($E622,$G622),'LAC 103'!$A$12:$O$95,15,FALSE),0)</f>
        <v>0</v>
      </c>
      <c r="W622" s="1145" t="str">
        <f>IFERROR(VLOOKUP(CONCATENATE($B622,$N622),'LAC 103'!$AI:$AQ,9,FALSE),"")</f>
        <v>Costs</v>
      </c>
      <c r="X622" s="1146">
        <f t="shared" si="168"/>
        <v>3.2074101033884355</v>
      </c>
      <c r="Y622" s="1143">
        <f t="shared" si="169"/>
        <v>15591.220512571184</v>
      </c>
      <c r="Z622" s="1147">
        <f t="shared" si="170"/>
        <v>19395.39</v>
      </c>
      <c r="AA622" s="1144">
        <f t="shared" si="171"/>
        <v>12055.28</v>
      </c>
      <c r="AB622" s="1144">
        <f t="shared" si="172"/>
        <v>0</v>
      </c>
      <c r="AC622" s="1144">
        <f t="shared" si="173"/>
        <v>0</v>
      </c>
      <c r="AD622" s="1148">
        <f t="shared" si="164"/>
        <v>15591.220512571184</v>
      </c>
      <c r="AE622" s="1487">
        <v>0</v>
      </c>
      <c r="AF622" s="1145">
        <f t="shared" si="174"/>
        <v>15591.220512571184</v>
      </c>
      <c r="AG622" s="1149">
        <f>IFERROR(VLOOKUP(CONCATENATE($L622,$N622),'Drop List'!$G$23:$K$87,2,FALSE),0)</f>
        <v>0.9</v>
      </c>
      <c r="AH622" s="1150">
        <f>IFERROR(VLOOKUP(CONCATENATE($L622,$N622),'Drop List'!$G$23:$K$87,3,FALSE),0)</f>
        <v>0</v>
      </c>
      <c r="AI622" s="1150">
        <f>IFERROR(VLOOKUP(CONCATENATE($L622,$N622),'Drop List'!$G$23:$K$87,4,FALSE),0)</f>
        <v>0.1</v>
      </c>
      <c r="AJ622" s="1151">
        <f>IFERROR(VLOOKUP(CONCATENATE($L622,$N622),'Drop List'!$G$23:$K$87,5,FALSE),0)</f>
        <v>0</v>
      </c>
      <c r="AK622" s="1152">
        <f t="shared" si="175"/>
        <v>14032.098461314066</v>
      </c>
      <c r="AL622" s="1153">
        <f t="shared" si="176"/>
        <v>0</v>
      </c>
      <c r="AM622" s="1153">
        <f t="shared" si="177"/>
        <v>1559.1220512571185</v>
      </c>
      <c r="AN622" s="1145">
        <f t="shared" si="178"/>
        <v>0</v>
      </c>
      <c r="AO622" s="1154">
        <f t="shared" si="179"/>
        <v>15591.220512571184</v>
      </c>
      <c r="AP622" s="1147">
        <f t="shared" si="165"/>
        <v>0</v>
      </c>
      <c r="AQ622" s="1144">
        <f t="shared" si="166"/>
        <v>0</v>
      </c>
      <c r="AR622" s="1146">
        <f t="shared" si="167"/>
        <v>15591.220512571184</v>
      </c>
    </row>
    <row r="623" spans="1:44" x14ac:dyDescent="0.2">
      <c r="A623" s="1141" t="str">
        <f t="shared" si="162"/>
        <v>1510</v>
      </c>
      <c r="B623" s="1141" t="str">
        <f>IFERROR(VLOOKUP(A623,'LAC 103'!A:C,3,FALSE),"")</f>
        <v>OP</v>
      </c>
      <c r="C623" s="1478" t="str">
        <f>Info!$B$8</f>
        <v>00100</v>
      </c>
      <c r="D623" s="1474" t="s">
        <v>256</v>
      </c>
      <c r="E623" s="1474" t="s">
        <v>95</v>
      </c>
      <c r="F623" s="1478" t="s">
        <v>77</v>
      </c>
      <c r="G623" s="1478" t="s">
        <v>77</v>
      </c>
      <c r="H623" s="1474" t="s">
        <v>1091</v>
      </c>
      <c r="I623" s="1478" t="s">
        <v>815</v>
      </c>
      <c r="J623" s="1478"/>
      <c r="K623" s="1475" t="s">
        <v>849</v>
      </c>
      <c r="L623" s="1474" t="s">
        <v>77</v>
      </c>
      <c r="M623" s="1476" t="s">
        <v>1698</v>
      </c>
      <c r="N623" s="1477" t="s">
        <v>1693</v>
      </c>
      <c r="O623" s="1479">
        <v>3598</v>
      </c>
      <c r="P623" s="1479"/>
      <c r="Q623" s="1142">
        <f t="shared" si="163"/>
        <v>3598</v>
      </c>
      <c r="R623" s="1143">
        <f>IFERROR(VLOOKUP(CONCATENATE(E623,G623),'LAC 103'!$A$12:$O$95,11,FALSE),0)</f>
        <v>3.2074101033884355</v>
      </c>
      <c r="S623" s="1144">
        <f>IFERROR(VLOOKUP(CONCATENATE($E623,$G623),'LAC 103'!$A$12:$O$95,12,FALSE),0)</f>
        <v>3.99</v>
      </c>
      <c r="T623" s="1144">
        <f>IFERROR(VLOOKUP(CONCATENATE($E623,$G623),'LAC 103'!$A$12:$O$95,13,FALSE),0)</f>
        <v>2.48</v>
      </c>
      <c r="U623" s="1144">
        <f>IFERROR(VLOOKUP(CONCATENATE($E623,$G623),'LAC 103'!$A$12:$O$95,14,FALSE),0)</f>
        <v>0</v>
      </c>
      <c r="V623" s="1144">
        <f>IFERROR(VLOOKUP(CONCATENATE($E623,$G623),'LAC 103'!$A$12:$O$95,15,FALSE),0)</f>
        <v>0</v>
      </c>
      <c r="W623" s="1145" t="str">
        <f>IFERROR(VLOOKUP(CONCATENATE($B623,$N623),'LAC 103'!$AI:$AQ,9,FALSE),"")</f>
        <v>Costs</v>
      </c>
      <c r="X623" s="1146">
        <f t="shared" si="168"/>
        <v>3.2074101033884355</v>
      </c>
      <c r="Y623" s="1143">
        <f t="shared" si="169"/>
        <v>11540.261551991591</v>
      </c>
      <c r="Z623" s="1147">
        <f t="shared" si="170"/>
        <v>14356.02</v>
      </c>
      <c r="AA623" s="1144">
        <f t="shared" si="171"/>
        <v>8923.0399999999991</v>
      </c>
      <c r="AB623" s="1144">
        <f t="shared" si="172"/>
        <v>0</v>
      </c>
      <c r="AC623" s="1144">
        <f t="shared" si="173"/>
        <v>0</v>
      </c>
      <c r="AD623" s="1148">
        <f t="shared" si="164"/>
        <v>11540.261551991591</v>
      </c>
      <c r="AE623" s="1487">
        <v>0</v>
      </c>
      <c r="AF623" s="1145">
        <f t="shared" si="174"/>
        <v>11540.261551991591</v>
      </c>
      <c r="AG623" s="1149">
        <f>IFERROR(VLOOKUP(CONCATENATE($L623,$N623),'Drop List'!$G$23:$K$87,2,FALSE),0)</f>
        <v>0.9</v>
      </c>
      <c r="AH623" s="1150">
        <f>IFERROR(VLOOKUP(CONCATENATE($L623,$N623),'Drop List'!$G$23:$K$87,3,FALSE),0)</f>
        <v>0</v>
      </c>
      <c r="AI623" s="1150">
        <f>IFERROR(VLOOKUP(CONCATENATE($L623,$N623),'Drop List'!$G$23:$K$87,4,FALSE),0)</f>
        <v>0.1</v>
      </c>
      <c r="AJ623" s="1151">
        <f>IFERROR(VLOOKUP(CONCATENATE($L623,$N623),'Drop List'!$G$23:$K$87,5,FALSE),0)</f>
        <v>0</v>
      </c>
      <c r="AK623" s="1152">
        <f t="shared" si="175"/>
        <v>10386.235396792432</v>
      </c>
      <c r="AL623" s="1153">
        <f t="shared" si="176"/>
        <v>0</v>
      </c>
      <c r="AM623" s="1153">
        <f t="shared" si="177"/>
        <v>1154.0261551991591</v>
      </c>
      <c r="AN623" s="1145">
        <f t="shared" si="178"/>
        <v>0</v>
      </c>
      <c r="AO623" s="1154">
        <f t="shared" si="179"/>
        <v>11540.261551991591</v>
      </c>
      <c r="AP623" s="1147">
        <f t="shared" si="165"/>
        <v>0</v>
      </c>
      <c r="AQ623" s="1144">
        <f t="shared" si="166"/>
        <v>0</v>
      </c>
      <c r="AR623" s="1146">
        <f t="shared" si="167"/>
        <v>11540.261551991591</v>
      </c>
    </row>
    <row r="624" spans="1:44" x14ac:dyDescent="0.2">
      <c r="A624" s="1141" t="str">
        <f t="shared" si="162"/>
        <v>1510</v>
      </c>
      <c r="B624" s="1141" t="str">
        <f>IFERROR(VLOOKUP(A624,'LAC 103'!A:C,3,FALSE),"")</f>
        <v>OP</v>
      </c>
      <c r="C624" s="1478" t="str">
        <f>Info!$B$8</f>
        <v>00100</v>
      </c>
      <c r="D624" s="1474" t="s">
        <v>256</v>
      </c>
      <c r="E624" s="1474" t="s">
        <v>95</v>
      </c>
      <c r="F624" s="1478" t="s">
        <v>77</v>
      </c>
      <c r="G624" s="1478" t="s">
        <v>77</v>
      </c>
      <c r="H624" s="1474" t="s">
        <v>1091</v>
      </c>
      <c r="I624" s="1478" t="s">
        <v>815</v>
      </c>
      <c r="J624" s="1478"/>
      <c r="K624" s="1475" t="s">
        <v>971</v>
      </c>
      <c r="L624" s="1474" t="s">
        <v>332</v>
      </c>
      <c r="M624" s="1476" t="s">
        <v>1699</v>
      </c>
      <c r="N624" s="1477" t="s">
        <v>1694</v>
      </c>
      <c r="O624" s="1479">
        <v>410</v>
      </c>
      <c r="P624" s="1479"/>
      <c r="Q624" s="1142">
        <f t="shared" si="163"/>
        <v>410</v>
      </c>
      <c r="R624" s="1143">
        <f>IFERROR(VLOOKUP(CONCATENATE(E624,G624),'LAC 103'!$A$12:$O$95,11,FALSE),0)</f>
        <v>3.2074101033884355</v>
      </c>
      <c r="S624" s="1144">
        <f>IFERROR(VLOOKUP(CONCATENATE($E624,$G624),'LAC 103'!$A$12:$O$95,12,FALSE),0)</f>
        <v>3.99</v>
      </c>
      <c r="T624" s="1144">
        <f>IFERROR(VLOOKUP(CONCATENATE($E624,$G624),'LAC 103'!$A$12:$O$95,13,FALSE),0)</f>
        <v>2.48</v>
      </c>
      <c r="U624" s="1144">
        <f>IFERROR(VLOOKUP(CONCATENATE($E624,$G624),'LAC 103'!$A$12:$O$95,14,FALSE),0)</f>
        <v>0</v>
      </c>
      <c r="V624" s="1144">
        <f>IFERROR(VLOOKUP(CONCATENATE($E624,$G624),'LAC 103'!$A$12:$O$95,15,FALSE),0)</f>
        <v>0</v>
      </c>
      <c r="W624" s="1145" t="str">
        <f>IFERROR(VLOOKUP(CONCATENATE($B624,$N624),'LAC 103'!$AI:$AQ,9,FALSE),"")</f>
        <v>Costs</v>
      </c>
      <c r="X624" s="1146">
        <f t="shared" si="168"/>
        <v>3.2074101033884355</v>
      </c>
      <c r="Y624" s="1143">
        <f t="shared" si="169"/>
        <v>1315.0381423892586</v>
      </c>
      <c r="Z624" s="1147">
        <f t="shared" si="170"/>
        <v>1635.9</v>
      </c>
      <c r="AA624" s="1144">
        <f t="shared" si="171"/>
        <v>1016.8</v>
      </c>
      <c r="AB624" s="1144">
        <f t="shared" si="172"/>
        <v>0</v>
      </c>
      <c r="AC624" s="1144">
        <f t="shared" si="173"/>
        <v>0</v>
      </c>
      <c r="AD624" s="1148">
        <f t="shared" si="164"/>
        <v>1315.0381423892586</v>
      </c>
      <c r="AE624" s="1487">
        <v>0</v>
      </c>
      <c r="AF624" s="1145">
        <f t="shared" si="174"/>
        <v>1315.0381423892586</v>
      </c>
      <c r="AG624" s="1149">
        <f>IFERROR(VLOOKUP(CONCATENATE($L624,$N624),'Drop List'!$G$23:$K$87,2,FALSE),0)</f>
        <v>0</v>
      </c>
      <c r="AH624" s="1150">
        <f>IFERROR(VLOOKUP(CONCATENATE($L624,$N624),'Drop List'!$G$23:$K$87,3,FALSE),0)</f>
        <v>0</v>
      </c>
      <c r="AI624" s="1150">
        <f>IFERROR(VLOOKUP(CONCATENATE($L624,$N624),'Drop List'!$G$23:$K$87,4,FALSE),0)</f>
        <v>0</v>
      </c>
      <c r="AJ624" s="1151">
        <f>IFERROR(VLOOKUP(CONCATENATE($L624,$N624),'Drop List'!$G$23:$K$87,5,FALSE),0)</f>
        <v>0</v>
      </c>
      <c r="AK624" s="1152">
        <f t="shared" si="175"/>
        <v>0</v>
      </c>
      <c r="AL624" s="1153">
        <f t="shared" si="176"/>
        <v>0</v>
      </c>
      <c r="AM624" s="1153">
        <f t="shared" si="177"/>
        <v>0</v>
      </c>
      <c r="AN624" s="1145">
        <f t="shared" si="178"/>
        <v>0</v>
      </c>
      <c r="AO624" s="1154">
        <f t="shared" si="179"/>
        <v>0</v>
      </c>
      <c r="AP624" s="1147">
        <f t="shared" si="165"/>
        <v>1315.0381423892586</v>
      </c>
      <c r="AQ624" s="1144">
        <f t="shared" si="166"/>
        <v>0</v>
      </c>
      <c r="AR624" s="1146">
        <f t="shared" si="167"/>
        <v>1315.0381423892586</v>
      </c>
    </row>
    <row r="625" spans="1:44" x14ac:dyDescent="0.2">
      <c r="A625" s="1141" t="str">
        <f t="shared" si="162"/>
        <v>1510</v>
      </c>
      <c r="B625" s="1141" t="str">
        <f>IFERROR(VLOOKUP(A625,'LAC 103'!A:C,3,FALSE),"")</f>
        <v>OP</v>
      </c>
      <c r="C625" s="1478" t="str">
        <f>Info!$B$8</f>
        <v>00100</v>
      </c>
      <c r="D625" s="1474" t="s">
        <v>256</v>
      </c>
      <c r="E625" s="1474" t="s">
        <v>95</v>
      </c>
      <c r="F625" s="1478" t="s">
        <v>77</v>
      </c>
      <c r="G625" s="1478" t="s">
        <v>77</v>
      </c>
      <c r="H625" s="1474" t="s">
        <v>1091</v>
      </c>
      <c r="I625" s="1478" t="s">
        <v>815</v>
      </c>
      <c r="J625" s="1478"/>
      <c r="K625" s="1475" t="s">
        <v>971</v>
      </c>
      <c r="L625" s="1474" t="s">
        <v>332</v>
      </c>
      <c r="M625" s="1476" t="s">
        <v>841</v>
      </c>
      <c r="N625" s="1477" t="s">
        <v>1695</v>
      </c>
      <c r="O625" s="1479">
        <v>50</v>
      </c>
      <c r="P625" s="1479"/>
      <c r="Q625" s="1142">
        <f t="shared" si="163"/>
        <v>50</v>
      </c>
      <c r="R625" s="1143">
        <f>IFERROR(VLOOKUP(CONCATENATE(E625,G625),'LAC 103'!$A$12:$O$95,11,FALSE),0)</f>
        <v>3.2074101033884355</v>
      </c>
      <c r="S625" s="1144">
        <f>IFERROR(VLOOKUP(CONCATENATE($E625,$G625),'LAC 103'!$A$12:$O$95,12,FALSE),0)</f>
        <v>3.99</v>
      </c>
      <c r="T625" s="1144">
        <f>IFERROR(VLOOKUP(CONCATENATE($E625,$G625),'LAC 103'!$A$12:$O$95,13,FALSE),0)</f>
        <v>2.48</v>
      </c>
      <c r="U625" s="1144">
        <f>IFERROR(VLOOKUP(CONCATENATE($E625,$G625),'LAC 103'!$A$12:$O$95,14,FALSE),0)</f>
        <v>0</v>
      </c>
      <c r="V625" s="1144">
        <f>IFERROR(VLOOKUP(CONCATENATE($E625,$G625),'LAC 103'!$A$12:$O$95,15,FALSE),0)</f>
        <v>0</v>
      </c>
      <c r="W625" s="1145" t="str">
        <f>IFERROR(VLOOKUP(CONCATENATE($B625,$N625),'LAC 103'!$AI:$AQ,9,FALSE),"")</f>
        <v>Costs</v>
      </c>
      <c r="X625" s="1146">
        <f t="shared" si="168"/>
        <v>3.2074101033884355</v>
      </c>
      <c r="Y625" s="1143">
        <f t="shared" si="169"/>
        <v>160.37050516942176</v>
      </c>
      <c r="Z625" s="1147">
        <f t="shared" si="170"/>
        <v>199.5</v>
      </c>
      <c r="AA625" s="1144">
        <f t="shared" si="171"/>
        <v>124</v>
      </c>
      <c r="AB625" s="1144">
        <f t="shared" si="172"/>
        <v>0</v>
      </c>
      <c r="AC625" s="1144">
        <f t="shared" si="173"/>
        <v>0</v>
      </c>
      <c r="AD625" s="1148">
        <f t="shared" si="164"/>
        <v>160.37050516942176</v>
      </c>
      <c r="AE625" s="1487">
        <v>0</v>
      </c>
      <c r="AF625" s="1145">
        <f t="shared" si="174"/>
        <v>160.37050516942176</v>
      </c>
      <c r="AG625" s="1149">
        <f>IFERROR(VLOOKUP(CONCATENATE($L625,$N625),'Drop List'!$G$23:$K$87,2,FALSE),0)</f>
        <v>0</v>
      </c>
      <c r="AH625" s="1150">
        <f>IFERROR(VLOOKUP(CONCATENATE($L625,$N625),'Drop List'!$G$23:$K$87,3,FALSE),0)</f>
        <v>0</v>
      </c>
      <c r="AI625" s="1150">
        <f>IFERROR(VLOOKUP(CONCATENATE($L625,$N625),'Drop List'!$G$23:$K$87,4,FALSE),0)</f>
        <v>0</v>
      </c>
      <c r="AJ625" s="1151">
        <f>IFERROR(VLOOKUP(CONCATENATE($L625,$N625),'Drop List'!$G$23:$K$87,5,FALSE),0)</f>
        <v>0</v>
      </c>
      <c r="AK625" s="1152">
        <f t="shared" si="175"/>
        <v>0</v>
      </c>
      <c r="AL625" s="1153">
        <f t="shared" si="176"/>
        <v>0</v>
      </c>
      <c r="AM625" s="1153">
        <f t="shared" si="177"/>
        <v>0</v>
      </c>
      <c r="AN625" s="1145">
        <f t="shared" si="178"/>
        <v>0</v>
      </c>
      <c r="AO625" s="1154">
        <f t="shared" si="179"/>
        <v>0</v>
      </c>
      <c r="AP625" s="1147">
        <f t="shared" si="165"/>
        <v>160.37050516942176</v>
      </c>
      <c r="AQ625" s="1144">
        <f t="shared" si="166"/>
        <v>0</v>
      </c>
      <c r="AR625" s="1146">
        <f t="shared" si="167"/>
        <v>160.37050516942176</v>
      </c>
    </row>
    <row r="626" spans="1:44" x14ac:dyDescent="0.2">
      <c r="A626" s="1141" t="str">
        <f t="shared" si="162"/>
        <v>1510</v>
      </c>
      <c r="B626" s="1141" t="str">
        <f>IFERROR(VLOOKUP(A626,'LAC 103'!A:C,3,FALSE),"")</f>
        <v>OP</v>
      </c>
      <c r="C626" s="1478" t="str">
        <f>Info!$B$8</f>
        <v>00100</v>
      </c>
      <c r="D626" s="1474" t="s">
        <v>256</v>
      </c>
      <c r="E626" s="1474" t="s">
        <v>95</v>
      </c>
      <c r="F626" s="1478" t="s">
        <v>77</v>
      </c>
      <c r="G626" s="1478" t="s">
        <v>77</v>
      </c>
      <c r="H626" s="1474" t="s">
        <v>1091</v>
      </c>
      <c r="I626" s="1478" t="s">
        <v>815</v>
      </c>
      <c r="J626" s="1478"/>
      <c r="K626" s="1475" t="s">
        <v>971</v>
      </c>
      <c r="L626" s="1474" t="s">
        <v>332</v>
      </c>
      <c r="M626" s="1476" t="s">
        <v>842</v>
      </c>
      <c r="N626" s="1477" t="s">
        <v>1692</v>
      </c>
      <c r="O626" s="1479">
        <v>739</v>
      </c>
      <c r="P626" s="1479"/>
      <c r="Q626" s="1142">
        <f t="shared" si="163"/>
        <v>739</v>
      </c>
      <c r="R626" s="1143">
        <f>IFERROR(VLOOKUP(CONCATENATE(E626,G626),'LAC 103'!$A$12:$O$95,11,FALSE),0)</f>
        <v>3.2074101033884355</v>
      </c>
      <c r="S626" s="1144">
        <f>IFERROR(VLOOKUP(CONCATENATE($E626,$G626),'LAC 103'!$A$12:$O$95,12,FALSE),0)</f>
        <v>3.99</v>
      </c>
      <c r="T626" s="1144">
        <f>IFERROR(VLOOKUP(CONCATENATE($E626,$G626),'LAC 103'!$A$12:$O$95,13,FALSE),0)</f>
        <v>2.48</v>
      </c>
      <c r="U626" s="1144">
        <f>IFERROR(VLOOKUP(CONCATENATE($E626,$G626),'LAC 103'!$A$12:$O$95,14,FALSE),0)</f>
        <v>0</v>
      </c>
      <c r="V626" s="1144">
        <f>IFERROR(VLOOKUP(CONCATENATE($E626,$G626),'LAC 103'!$A$12:$O$95,15,FALSE),0)</f>
        <v>0</v>
      </c>
      <c r="W626" s="1145" t="str">
        <f>IFERROR(VLOOKUP(CONCATENATE($B626,$N626),'LAC 103'!$AI:$AQ,9,FALSE),"")</f>
        <v>Costs</v>
      </c>
      <c r="X626" s="1146">
        <f t="shared" si="168"/>
        <v>3.2074101033884355</v>
      </c>
      <c r="Y626" s="1143">
        <f t="shared" si="169"/>
        <v>2370.2760664040538</v>
      </c>
      <c r="Z626" s="1147">
        <f t="shared" si="170"/>
        <v>2948.61</v>
      </c>
      <c r="AA626" s="1144">
        <f t="shared" si="171"/>
        <v>1832.72</v>
      </c>
      <c r="AB626" s="1144">
        <f t="shared" si="172"/>
        <v>0</v>
      </c>
      <c r="AC626" s="1144">
        <f t="shared" si="173"/>
        <v>0</v>
      </c>
      <c r="AD626" s="1148">
        <f t="shared" si="164"/>
        <v>2370.2760664040538</v>
      </c>
      <c r="AE626" s="1487">
        <v>0</v>
      </c>
      <c r="AF626" s="1145">
        <f t="shared" si="174"/>
        <v>2370.2760664040538</v>
      </c>
      <c r="AG626" s="1149">
        <f>IFERROR(VLOOKUP(CONCATENATE($L626,$N626),'Drop List'!$G$23:$K$87,2,FALSE),0)</f>
        <v>0</v>
      </c>
      <c r="AH626" s="1150">
        <f>IFERROR(VLOOKUP(CONCATENATE($L626,$N626),'Drop List'!$G$23:$K$87,3,FALSE),0)</f>
        <v>0</v>
      </c>
      <c r="AI626" s="1150">
        <f>IFERROR(VLOOKUP(CONCATENATE($L626,$N626),'Drop List'!$G$23:$K$87,4,FALSE),0)</f>
        <v>0</v>
      </c>
      <c r="AJ626" s="1151">
        <f>IFERROR(VLOOKUP(CONCATENATE($L626,$N626),'Drop List'!$G$23:$K$87,5,FALSE),0)</f>
        <v>0</v>
      </c>
      <c r="AK626" s="1152">
        <f t="shared" si="175"/>
        <v>0</v>
      </c>
      <c r="AL626" s="1153">
        <f t="shared" si="176"/>
        <v>0</v>
      </c>
      <c r="AM626" s="1153">
        <f t="shared" si="177"/>
        <v>0</v>
      </c>
      <c r="AN626" s="1145">
        <f t="shared" si="178"/>
        <v>0</v>
      </c>
      <c r="AO626" s="1154">
        <f t="shared" si="179"/>
        <v>0</v>
      </c>
      <c r="AP626" s="1147">
        <f t="shared" si="165"/>
        <v>2370.2760664040538</v>
      </c>
      <c r="AQ626" s="1144">
        <f t="shared" si="166"/>
        <v>0</v>
      </c>
      <c r="AR626" s="1146">
        <f t="shared" si="167"/>
        <v>2370.2760664040538</v>
      </c>
    </row>
    <row r="627" spans="1:44" x14ac:dyDescent="0.2">
      <c r="A627" s="1141" t="str">
        <f t="shared" si="162"/>
        <v>1510</v>
      </c>
      <c r="B627" s="1141" t="str">
        <f>IFERROR(VLOOKUP(A627,'LAC 103'!A:C,3,FALSE),"")</f>
        <v>OP</v>
      </c>
      <c r="C627" s="1478" t="str">
        <f>Info!$B$8</f>
        <v>00100</v>
      </c>
      <c r="D627" s="1474" t="s">
        <v>256</v>
      </c>
      <c r="E627" s="1474" t="s">
        <v>95</v>
      </c>
      <c r="F627" s="1478" t="s">
        <v>77</v>
      </c>
      <c r="G627" s="1478" t="s">
        <v>77</v>
      </c>
      <c r="H627" s="1474" t="s">
        <v>1091</v>
      </c>
      <c r="I627" s="1478" t="s">
        <v>815</v>
      </c>
      <c r="J627" s="1478"/>
      <c r="K627" s="1475" t="s">
        <v>971</v>
      </c>
      <c r="L627" s="1474" t="s">
        <v>332</v>
      </c>
      <c r="M627" s="1476" t="s">
        <v>1698</v>
      </c>
      <c r="N627" s="1477" t="s">
        <v>1693</v>
      </c>
      <c r="O627" s="1479">
        <v>35</v>
      </c>
      <c r="P627" s="1479"/>
      <c r="Q627" s="1142">
        <f t="shared" si="163"/>
        <v>35</v>
      </c>
      <c r="R627" s="1143">
        <f>IFERROR(VLOOKUP(CONCATENATE(E627,G627),'LAC 103'!$A$12:$O$95,11,FALSE),0)</f>
        <v>3.2074101033884355</v>
      </c>
      <c r="S627" s="1144">
        <f>IFERROR(VLOOKUP(CONCATENATE($E627,$G627),'LAC 103'!$A$12:$O$95,12,FALSE),0)</f>
        <v>3.99</v>
      </c>
      <c r="T627" s="1144">
        <f>IFERROR(VLOOKUP(CONCATENATE($E627,$G627),'LAC 103'!$A$12:$O$95,13,FALSE),0)</f>
        <v>2.48</v>
      </c>
      <c r="U627" s="1144">
        <f>IFERROR(VLOOKUP(CONCATENATE($E627,$G627),'LAC 103'!$A$12:$O$95,14,FALSE),0)</f>
        <v>0</v>
      </c>
      <c r="V627" s="1144">
        <f>IFERROR(VLOOKUP(CONCATENATE($E627,$G627),'LAC 103'!$A$12:$O$95,15,FALSE),0)</f>
        <v>0</v>
      </c>
      <c r="W627" s="1145" t="str">
        <f>IFERROR(VLOOKUP(CONCATENATE($B627,$N627),'LAC 103'!$AI:$AQ,9,FALSE),"")</f>
        <v>Costs</v>
      </c>
      <c r="X627" s="1146">
        <f t="shared" si="168"/>
        <v>3.2074101033884355</v>
      </c>
      <c r="Y627" s="1143">
        <f t="shared" si="169"/>
        <v>112.25935361859524</v>
      </c>
      <c r="Z627" s="1147">
        <f t="shared" si="170"/>
        <v>139.65</v>
      </c>
      <c r="AA627" s="1144">
        <f t="shared" si="171"/>
        <v>86.8</v>
      </c>
      <c r="AB627" s="1144">
        <f t="shared" si="172"/>
        <v>0</v>
      </c>
      <c r="AC627" s="1144">
        <f t="shared" si="173"/>
        <v>0</v>
      </c>
      <c r="AD627" s="1148">
        <f t="shared" si="164"/>
        <v>112.25935361859524</v>
      </c>
      <c r="AE627" s="1487">
        <v>0</v>
      </c>
      <c r="AF627" s="1145">
        <f t="shared" si="174"/>
        <v>112.25935361859524</v>
      </c>
      <c r="AG627" s="1149">
        <f>IFERROR(VLOOKUP(CONCATENATE($L627,$N627),'Drop List'!$G$23:$K$87,2,FALSE),0)</f>
        <v>0</v>
      </c>
      <c r="AH627" s="1150">
        <f>IFERROR(VLOOKUP(CONCATENATE($L627,$N627),'Drop List'!$G$23:$K$87,3,FALSE),0)</f>
        <v>0</v>
      </c>
      <c r="AI627" s="1150">
        <f>IFERROR(VLOOKUP(CONCATENATE($L627,$N627),'Drop List'!$G$23:$K$87,4,FALSE),0)</f>
        <v>0</v>
      </c>
      <c r="AJ627" s="1151">
        <f>IFERROR(VLOOKUP(CONCATENATE($L627,$N627),'Drop List'!$G$23:$K$87,5,FALSE),0)</f>
        <v>0</v>
      </c>
      <c r="AK627" s="1152">
        <f t="shared" si="175"/>
        <v>0</v>
      </c>
      <c r="AL627" s="1153">
        <f t="shared" si="176"/>
        <v>0</v>
      </c>
      <c r="AM627" s="1153">
        <f t="shared" si="177"/>
        <v>0</v>
      </c>
      <c r="AN627" s="1145">
        <f t="shared" si="178"/>
        <v>0</v>
      </c>
      <c r="AO627" s="1154">
        <f t="shared" si="179"/>
        <v>0</v>
      </c>
      <c r="AP627" s="1147">
        <f t="shared" si="165"/>
        <v>112.25935361859524</v>
      </c>
      <c r="AQ627" s="1144">
        <f t="shared" si="166"/>
        <v>0</v>
      </c>
      <c r="AR627" s="1146">
        <f t="shared" si="167"/>
        <v>112.25935361859524</v>
      </c>
    </row>
    <row r="628" spans="1:44" x14ac:dyDescent="0.2">
      <c r="A628" s="1141" t="str">
        <f t="shared" si="162"/>
        <v>1510</v>
      </c>
      <c r="B628" s="1141" t="str">
        <f>IFERROR(VLOOKUP(A628,'LAC 103'!A:C,3,FALSE),"")</f>
        <v>OP</v>
      </c>
      <c r="C628" s="1478" t="str">
        <f>Info!$B$8</f>
        <v>00100</v>
      </c>
      <c r="D628" s="1474" t="s">
        <v>256</v>
      </c>
      <c r="E628" s="1474" t="s">
        <v>95</v>
      </c>
      <c r="F628" s="1478" t="s">
        <v>77</v>
      </c>
      <c r="G628" s="1478" t="s">
        <v>77</v>
      </c>
      <c r="H628" s="1474" t="s">
        <v>1091</v>
      </c>
      <c r="I628" s="1478" t="s">
        <v>815</v>
      </c>
      <c r="J628" s="1478"/>
      <c r="K628" s="1475" t="s">
        <v>850</v>
      </c>
      <c r="L628" s="1474" t="s">
        <v>330</v>
      </c>
      <c r="M628" s="1476" t="s">
        <v>1699</v>
      </c>
      <c r="N628" s="1477" t="s">
        <v>1694</v>
      </c>
      <c r="O628" s="1479">
        <v>176</v>
      </c>
      <c r="P628" s="1479"/>
      <c r="Q628" s="1142">
        <f t="shared" si="163"/>
        <v>176</v>
      </c>
      <c r="R628" s="1143">
        <f>IFERROR(VLOOKUP(CONCATENATE(E628,G628),'LAC 103'!$A$12:$O$95,11,FALSE),0)</f>
        <v>3.2074101033884355</v>
      </c>
      <c r="S628" s="1144">
        <f>IFERROR(VLOOKUP(CONCATENATE($E628,$G628),'LAC 103'!$A$12:$O$95,12,FALSE),0)</f>
        <v>3.99</v>
      </c>
      <c r="T628" s="1144">
        <f>IFERROR(VLOOKUP(CONCATENATE($E628,$G628),'LAC 103'!$A$12:$O$95,13,FALSE),0)</f>
        <v>2.48</v>
      </c>
      <c r="U628" s="1144">
        <f>IFERROR(VLOOKUP(CONCATENATE($E628,$G628),'LAC 103'!$A$12:$O$95,14,FALSE),0)</f>
        <v>0</v>
      </c>
      <c r="V628" s="1144">
        <f>IFERROR(VLOOKUP(CONCATENATE($E628,$G628),'LAC 103'!$A$12:$O$95,15,FALSE),0)</f>
        <v>0</v>
      </c>
      <c r="W628" s="1145" t="str">
        <f>IFERROR(VLOOKUP(CONCATENATE($B628,$N628),'LAC 103'!$AI:$AQ,9,FALSE),"")</f>
        <v>Costs</v>
      </c>
      <c r="X628" s="1146">
        <f t="shared" si="168"/>
        <v>3.2074101033884355</v>
      </c>
      <c r="Y628" s="1143">
        <f t="shared" si="169"/>
        <v>564.50417819636459</v>
      </c>
      <c r="Z628" s="1147">
        <f t="shared" si="170"/>
        <v>702.24</v>
      </c>
      <c r="AA628" s="1144">
        <f t="shared" si="171"/>
        <v>436.48</v>
      </c>
      <c r="AB628" s="1144">
        <f t="shared" si="172"/>
        <v>0</v>
      </c>
      <c r="AC628" s="1144">
        <f t="shared" si="173"/>
        <v>0</v>
      </c>
      <c r="AD628" s="1148">
        <f t="shared" si="164"/>
        <v>564.50417819636459</v>
      </c>
      <c r="AE628" s="1487">
        <v>0</v>
      </c>
      <c r="AF628" s="1145">
        <f t="shared" si="174"/>
        <v>564.50417819636459</v>
      </c>
      <c r="AG628" s="1149">
        <f>IFERROR(VLOOKUP(CONCATENATE($L628,$N628),'Drop List'!$G$23:$K$87,2,FALSE),0)</f>
        <v>0</v>
      </c>
      <c r="AH628" s="1150">
        <f>IFERROR(VLOOKUP(CONCATENATE($L628,$N628),'Drop List'!$G$23:$K$87,3,FALSE),0)</f>
        <v>0</v>
      </c>
      <c r="AI628" s="1150">
        <f>IFERROR(VLOOKUP(CONCATENATE($L628,$N628),'Drop List'!$G$23:$K$87,4,FALSE),0)</f>
        <v>1</v>
      </c>
      <c r="AJ628" s="1151">
        <f>IFERROR(VLOOKUP(CONCATENATE($L628,$N628),'Drop List'!$G$23:$K$87,5,FALSE),0)</f>
        <v>0</v>
      </c>
      <c r="AK628" s="1152">
        <f t="shared" si="175"/>
        <v>0</v>
      </c>
      <c r="AL628" s="1153">
        <f t="shared" si="176"/>
        <v>0</v>
      </c>
      <c r="AM628" s="1153">
        <f t="shared" si="177"/>
        <v>564.50417819636459</v>
      </c>
      <c r="AN628" s="1145">
        <f t="shared" si="178"/>
        <v>0</v>
      </c>
      <c r="AO628" s="1154">
        <f t="shared" si="179"/>
        <v>564.50417819636459</v>
      </c>
      <c r="AP628" s="1147">
        <f t="shared" si="165"/>
        <v>0</v>
      </c>
      <c r="AQ628" s="1144">
        <f t="shared" si="166"/>
        <v>0</v>
      </c>
      <c r="AR628" s="1146">
        <f t="shared" si="167"/>
        <v>564.50417819636459</v>
      </c>
    </row>
    <row r="629" spans="1:44" x14ac:dyDescent="0.2">
      <c r="A629" s="1141" t="str">
        <f t="shared" si="162"/>
        <v>1510</v>
      </c>
      <c r="B629" s="1141" t="str">
        <f>IFERROR(VLOOKUP(A629,'LAC 103'!A:C,3,FALSE),"")</f>
        <v>OP</v>
      </c>
      <c r="C629" s="1478" t="str">
        <f>Info!$B$8</f>
        <v>00100</v>
      </c>
      <c r="D629" s="1474" t="s">
        <v>256</v>
      </c>
      <c r="E629" s="1474" t="s">
        <v>95</v>
      </c>
      <c r="F629" s="1478" t="s">
        <v>77</v>
      </c>
      <c r="G629" s="1478" t="s">
        <v>77</v>
      </c>
      <c r="H629" s="1474" t="s">
        <v>1091</v>
      </c>
      <c r="I629" s="1478" t="s">
        <v>815</v>
      </c>
      <c r="J629" s="1478"/>
      <c r="K629" s="1475" t="s">
        <v>850</v>
      </c>
      <c r="L629" s="1474" t="s">
        <v>330</v>
      </c>
      <c r="M629" s="1476" t="s">
        <v>842</v>
      </c>
      <c r="N629" s="1477" t="s">
        <v>1692</v>
      </c>
      <c r="O629" s="1479">
        <v>884</v>
      </c>
      <c r="P629" s="1479"/>
      <c r="Q629" s="1142">
        <f t="shared" si="163"/>
        <v>884</v>
      </c>
      <c r="R629" s="1143">
        <f>IFERROR(VLOOKUP(CONCATENATE(E629,G629),'LAC 103'!$A$12:$O$95,11,FALSE),0)</f>
        <v>3.2074101033884355</v>
      </c>
      <c r="S629" s="1144">
        <f>IFERROR(VLOOKUP(CONCATENATE($E629,$G629),'LAC 103'!$A$12:$O$95,12,FALSE),0)</f>
        <v>3.99</v>
      </c>
      <c r="T629" s="1144">
        <f>IFERROR(VLOOKUP(CONCATENATE($E629,$G629),'LAC 103'!$A$12:$O$95,13,FALSE),0)</f>
        <v>2.48</v>
      </c>
      <c r="U629" s="1144">
        <f>IFERROR(VLOOKUP(CONCATENATE($E629,$G629),'LAC 103'!$A$12:$O$95,14,FALSE),0)</f>
        <v>0</v>
      </c>
      <c r="V629" s="1144">
        <f>IFERROR(VLOOKUP(CONCATENATE($E629,$G629),'LAC 103'!$A$12:$O$95,15,FALSE),0)</f>
        <v>0</v>
      </c>
      <c r="W629" s="1145" t="str">
        <f>IFERROR(VLOOKUP(CONCATENATE($B629,$N629),'LAC 103'!$AI:$AQ,9,FALSE),"")</f>
        <v>Costs</v>
      </c>
      <c r="X629" s="1146">
        <f t="shared" si="168"/>
        <v>3.2074101033884355</v>
      </c>
      <c r="Y629" s="1143">
        <f t="shared" si="169"/>
        <v>2835.3505313953769</v>
      </c>
      <c r="Z629" s="1147">
        <f t="shared" si="170"/>
        <v>3527.1600000000003</v>
      </c>
      <c r="AA629" s="1144">
        <f t="shared" si="171"/>
        <v>2192.3200000000002</v>
      </c>
      <c r="AB629" s="1144">
        <f t="shared" si="172"/>
        <v>0</v>
      </c>
      <c r="AC629" s="1144">
        <f t="shared" si="173"/>
        <v>0</v>
      </c>
      <c r="AD629" s="1148">
        <f t="shared" si="164"/>
        <v>2835.3505313953769</v>
      </c>
      <c r="AE629" s="1487">
        <v>0</v>
      </c>
      <c r="AF629" s="1145">
        <f t="shared" si="174"/>
        <v>2835.3505313953769</v>
      </c>
      <c r="AG629" s="1149">
        <f>IFERROR(VLOOKUP(CONCATENATE($L629,$N629),'Drop List'!$G$23:$K$87,2,FALSE),0)</f>
        <v>0</v>
      </c>
      <c r="AH629" s="1150">
        <f>IFERROR(VLOOKUP(CONCATENATE($L629,$N629),'Drop List'!$G$23:$K$87,3,FALSE),0)</f>
        <v>0</v>
      </c>
      <c r="AI629" s="1150">
        <f>IFERROR(VLOOKUP(CONCATENATE($L629,$N629),'Drop List'!$G$23:$K$87,4,FALSE),0)</f>
        <v>1</v>
      </c>
      <c r="AJ629" s="1151">
        <f>IFERROR(VLOOKUP(CONCATENATE($L629,$N629),'Drop List'!$G$23:$K$87,5,FALSE),0)</f>
        <v>0</v>
      </c>
      <c r="AK629" s="1152">
        <f t="shared" si="175"/>
        <v>0</v>
      </c>
      <c r="AL629" s="1153">
        <f t="shared" si="176"/>
        <v>0</v>
      </c>
      <c r="AM629" s="1153">
        <f t="shared" si="177"/>
        <v>2835.3505313953769</v>
      </c>
      <c r="AN629" s="1145">
        <f t="shared" si="178"/>
        <v>0</v>
      </c>
      <c r="AO629" s="1154">
        <f t="shared" si="179"/>
        <v>2835.3505313953769</v>
      </c>
      <c r="AP629" s="1147">
        <f t="shared" si="165"/>
        <v>0</v>
      </c>
      <c r="AQ629" s="1144">
        <f t="shared" si="166"/>
        <v>0</v>
      </c>
      <c r="AR629" s="1146">
        <f t="shared" si="167"/>
        <v>2835.3505313953769</v>
      </c>
    </row>
    <row r="630" spans="1:44" x14ac:dyDescent="0.2">
      <c r="A630" s="1141" t="str">
        <f t="shared" si="162"/>
        <v>1510</v>
      </c>
      <c r="B630" s="1141" t="str">
        <f>IFERROR(VLOOKUP(A630,'LAC 103'!A:C,3,FALSE),"")</f>
        <v>OP</v>
      </c>
      <c r="C630" s="1478" t="str">
        <f>Info!$B$8</f>
        <v>00100</v>
      </c>
      <c r="D630" s="1474" t="s">
        <v>256</v>
      </c>
      <c r="E630" s="1474" t="s">
        <v>95</v>
      </c>
      <c r="F630" s="1478" t="s">
        <v>77</v>
      </c>
      <c r="G630" s="1478" t="s">
        <v>77</v>
      </c>
      <c r="H630" s="1474" t="s">
        <v>1091</v>
      </c>
      <c r="I630" s="1478" t="s">
        <v>815</v>
      </c>
      <c r="J630" s="1478"/>
      <c r="K630" s="1475" t="s">
        <v>850</v>
      </c>
      <c r="L630" s="1474" t="s">
        <v>330</v>
      </c>
      <c r="M630" s="1476" t="s">
        <v>1698</v>
      </c>
      <c r="N630" s="1477" t="s">
        <v>1693</v>
      </c>
      <c r="O630" s="1479">
        <v>1035</v>
      </c>
      <c r="P630" s="1479"/>
      <c r="Q630" s="1142">
        <f t="shared" si="163"/>
        <v>1035</v>
      </c>
      <c r="R630" s="1143">
        <f>IFERROR(VLOOKUP(CONCATENATE(E630,G630),'LAC 103'!$A$12:$O$95,11,FALSE),0)</f>
        <v>3.2074101033884355</v>
      </c>
      <c r="S630" s="1144">
        <f>IFERROR(VLOOKUP(CONCATENATE($E630,$G630),'LAC 103'!$A$12:$O$95,12,FALSE),0)</f>
        <v>3.99</v>
      </c>
      <c r="T630" s="1144">
        <f>IFERROR(VLOOKUP(CONCATENATE($E630,$G630),'LAC 103'!$A$12:$O$95,13,FALSE),0)</f>
        <v>2.48</v>
      </c>
      <c r="U630" s="1144">
        <f>IFERROR(VLOOKUP(CONCATENATE($E630,$G630),'LAC 103'!$A$12:$O$95,14,FALSE),0)</f>
        <v>0</v>
      </c>
      <c r="V630" s="1144">
        <f>IFERROR(VLOOKUP(CONCATENATE($E630,$G630),'LAC 103'!$A$12:$O$95,15,FALSE),0)</f>
        <v>0</v>
      </c>
      <c r="W630" s="1145" t="str">
        <f>IFERROR(VLOOKUP(CONCATENATE($B630,$N630),'LAC 103'!$AI:$AQ,9,FALSE),"")</f>
        <v>Costs</v>
      </c>
      <c r="X630" s="1146">
        <f t="shared" si="168"/>
        <v>3.2074101033884355</v>
      </c>
      <c r="Y630" s="1143">
        <f t="shared" si="169"/>
        <v>3319.6694570070308</v>
      </c>
      <c r="Z630" s="1147">
        <f t="shared" si="170"/>
        <v>4129.6500000000005</v>
      </c>
      <c r="AA630" s="1144">
        <f t="shared" si="171"/>
        <v>2566.8000000000002</v>
      </c>
      <c r="AB630" s="1144">
        <f t="shared" si="172"/>
        <v>0</v>
      </c>
      <c r="AC630" s="1144">
        <f t="shared" si="173"/>
        <v>0</v>
      </c>
      <c r="AD630" s="1148">
        <f t="shared" si="164"/>
        <v>3319.6694570070308</v>
      </c>
      <c r="AE630" s="1487">
        <v>0</v>
      </c>
      <c r="AF630" s="1145">
        <f t="shared" si="174"/>
        <v>3319.6694570070308</v>
      </c>
      <c r="AG630" s="1149">
        <f>IFERROR(VLOOKUP(CONCATENATE($L630,$N630),'Drop List'!$G$23:$K$87,2,FALSE),0)</f>
        <v>0</v>
      </c>
      <c r="AH630" s="1150">
        <f>IFERROR(VLOOKUP(CONCATENATE($L630,$N630),'Drop List'!$G$23:$K$87,3,FALSE),0)</f>
        <v>0</v>
      </c>
      <c r="AI630" s="1150">
        <f>IFERROR(VLOOKUP(CONCATENATE($L630,$N630),'Drop List'!$G$23:$K$87,4,FALSE),0)</f>
        <v>1</v>
      </c>
      <c r="AJ630" s="1151">
        <f>IFERROR(VLOOKUP(CONCATENATE($L630,$N630),'Drop List'!$G$23:$K$87,5,FALSE),0)</f>
        <v>0</v>
      </c>
      <c r="AK630" s="1152">
        <f t="shared" si="175"/>
        <v>0</v>
      </c>
      <c r="AL630" s="1153">
        <f t="shared" si="176"/>
        <v>0</v>
      </c>
      <c r="AM630" s="1153">
        <f t="shared" si="177"/>
        <v>3319.6694570070308</v>
      </c>
      <c r="AN630" s="1145">
        <f t="shared" si="178"/>
        <v>0</v>
      </c>
      <c r="AO630" s="1154">
        <f t="shared" si="179"/>
        <v>3319.6694570070308</v>
      </c>
      <c r="AP630" s="1147">
        <f t="shared" si="165"/>
        <v>0</v>
      </c>
      <c r="AQ630" s="1144">
        <f t="shared" si="166"/>
        <v>0</v>
      </c>
      <c r="AR630" s="1146">
        <f t="shared" si="167"/>
        <v>3319.6694570070308</v>
      </c>
    </row>
    <row r="631" spans="1:44" x14ac:dyDescent="0.2">
      <c r="A631" s="1141" t="str">
        <f t="shared" si="162"/>
        <v>1510</v>
      </c>
      <c r="B631" s="1141" t="str">
        <f>IFERROR(VLOOKUP(A631,'LAC 103'!A:C,3,FALSE),"")</f>
        <v>OP</v>
      </c>
      <c r="C631" s="1478" t="str">
        <f>Info!$B$8</f>
        <v>00100</v>
      </c>
      <c r="D631" s="1474" t="s">
        <v>256</v>
      </c>
      <c r="E631" s="1474" t="s">
        <v>95</v>
      </c>
      <c r="F631" s="1478" t="s">
        <v>77</v>
      </c>
      <c r="G631" s="1478" t="s">
        <v>77</v>
      </c>
      <c r="H631" s="1474" t="s">
        <v>1091</v>
      </c>
      <c r="I631" s="1478" t="s">
        <v>815</v>
      </c>
      <c r="J631" s="1478"/>
      <c r="K631" s="1475" t="s">
        <v>851</v>
      </c>
      <c r="L631" s="1474" t="s">
        <v>584</v>
      </c>
      <c r="M631" s="1476" t="s">
        <v>1699</v>
      </c>
      <c r="N631" s="1477" t="s">
        <v>1694</v>
      </c>
      <c r="O631" s="1479">
        <v>13505</v>
      </c>
      <c r="P631" s="1479"/>
      <c r="Q631" s="1142">
        <f t="shared" si="163"/>
        <v>13505</v>
      </c>
      <c r="R631" s="1143">
        <f>IFERROR(VLOOKUP(CONCATENATE(E631,G631),'LAC 103'!$A$12:$O$95,11,FALSE),0)</f>
        <v>3.2074101033884355</v>
      </c>
      <c r="S631" s="1144">
        <f>IFERROR(VLOOKUP(CONCATENATE($E631,$G631),'LAC 103'!$A$12:$O$95,12,FALSE),0)</f>
        <v>3.99</v>
      </c>
      <c r="T631" s="1144">
        <f>IFERROR(VLOOKUP(CONCATENATE($E631,$G631),'LAC 103'!$A$12:$O$95,13,FALSE),0)</f>
        <v>2.48</v>
      </c>
      <c r="U631" s="1144">
        <f>IFERROR(VLOOKUP(CONCATENATE($E631,$G631),'LAC 103'!$A$12:$O$95,14,FALSE),0)</f>
        <v>0</v>
      </c>
      <c r="V631" s="1144">
        <f>IFERROR(VLOOKUP(CONCATENATE($E631,$G631),'LAC 103'!$A$12:$O$95,15,FALSE),0)</f>
        <v>0</v>
      </c>
      <c r="W631" s="1145" t="str">
        <f>IFERROR(VLOOKUP(CONCATENATE($B631,$N631),'LAC 103'!$AI:$AQ,9,FALSE),"")</f>
        <v>Costs</v>
      </c>
      <c r="X631" s="1146">
        <f t="shared" si="168"/>
        <v>3.2074101033884355</v>
      </c>
      <c r="Y631" s="1143">
        <f t="shared" si="169"/>
        <v>43316.073446260823</v>
      </c>
      <c r="Z631" s="1147">
        <f t="shared" si="170"/>
        <v>53884.950000000004</v>
      </c>
      <c r="AA631" s="1144">
        <f t="shared" si="171"/>
        <v>33492.400000000001</v>
      </c>
      <c r="AB631" s="1144">
        <f t="shared" si="172"/>
        <v>0</v>
      </c>
      <c r="AC631" s="1144">
        <f t="shared" si="173"/>
        <v>0</v>
      </c>
      <c r="AD631" s="1148">
        <f t="shared" si="164"/>
        <v>43316.073446260823</v>
      </c>
      <c r="AE631" s="1487">
        <v>0</v>
      </c>
      <c r="AF631" s="1145">
        <f t="shared" si="174"/>
        <v>43316.073446260823</v>
      </c>
      <c r="AG631" s="1149">
        <f>IFERROR(VLOOKUP(CONCATENATE($L631,$N631),'Drop List'!$G$23:$K$87,2,FALSE),0)</f>
        <v>0.56200000000000006</v>
      </c>
      <c r="AH631" s="1150">
        <f>IFERROR(VLOOKUP(CONCATENATE($L631,$N631),'Drop List'!$G$23:$K$87,3,FALSE),0)</f>
        <v>0</v>
      </c>
      <c r="AI631" s="1150">
        <f>IFERROR(VLOOKUP(CONCATENATE($L631,$N631),'Drop List'!$G$23:$K$87,4,FALSE),0)</f>
        <v>0</v>
      </c>
      <c r="AJ631" s="1151">
        <f>IFERROR(VLOOKUP(CONCATENATE($L631,$N631),'Drop List'!$G$23:$K$87,5,FALSE),0)</f>
        <v>0.43799999999999994</v>
      </c>
      <c r="AK631" s="1152">
        <f t="shared" si="175"/>
        <v>24343.633276798584</v>
      </c>
      <c r="AL631" s="1153">
        <f t="shared" si="176"/>
        <v>0</v>
      </c>
      <c r="AM631" s="1153">
        <f t="shared" si="177"/>
        <v>0</v>
      </c>
      <c r="AN631" s="1145">
        <f t="shared" si="178"/>
        <v>18972.440169462239</v>
      </c>
      <c r="AO631" s="1154">
        <f t="shared" si="179"/>
        <v>43316.073446260823</v>
      </c>
      <c r="AP631" s="1147">
        <f t="shared" si="165"/>
        <v>0</v>
      </c>
      <c r="AQ631" s="1144">
        <f t="shared" si="166"/>
        <v>0</v>
      </c>
      <c r="AR631" s="1146">
        <f t="shared" si="167"/>
        <v>43316.073446260823</v>
      </c>
    </row>
    <row r="632" spans="1:44" x14ac:dyDescent="0.2">
      <c r="A632" s="1141" t="str">
        <f t="shared" si="162"/>
        <v>1510</v>
      </c>
      <c r="B632" s="1141" t="str">
        <f>IFERROR(VLOOKUP(A632,'LAC 103'!A:C,3,FALSE),"")</f>
        <v>OP</v>
      </c>
      <c r="C632" s="1478" t="str">
        <f>Info!$B$8</f>
        <v>00100</v>
      </c>
      <c r="D632" s="1474" t="s">
        <v>256</v>
      </c>
      <c r="E632" s="1474" t="s">
        <v>95</v>
      </c>
      <c r="F632" s="1478" t="s">
        <v>77</v>
      </c>
      <c r="G632" s="1478" t="s">
        <v>77</v>
      </c>
      <c r="H632" s="1474" t="s">
        <v>1091</v>
      </c>
      <c r="I632" s="1478" t="s">
        <v>815</v>
      </c>
      <c r="J632" s="1478"/>
      <c r="K632" s="1475" t="s">
        <v>851</v>
      </c>
      <c r="L632" s="1474" t="s">
        <v>584</v>
      </c>
      <c r="M632" s="1476" t="s">
        <v>841</v>
      </c>
      <c r="N632" s="1477" t="s">
        <v>1695</v>
      </c>
      <c r="O632" s="1479">
        <v>5408</v>
      </c>
      <c r="P632" s="1479"/>
      <c r="Q632" s="1142">
        <f t="shared" si="163"/>
        <v>5408</v>
      </c>
      <c r="R632" s="1143">
        <f>IFERROR(VLOOKUP(CONCATENATE(E632,G632),'LAC 103'!$A$12:$O$95,11,FALSE),0)</f>
        <v>3.2074101033884355</v>
      </c>
      <c r="S632" s="1144">
        <f>IFERROR(VLOOKUP(CONCATENATE($E632,$G632),'LAC 103'!$A$12:$O$95,12,FALSE),0)</f>
        <v>3.99</v>
      </c>
      <c r="T632" s="1144">
        <f>IFERROR(VLOOKUP(CONCATENATE($E632,$G632),'LAC 103'!$A$12:$O$95,13,FALSE),0)</f>
        <v>2.48</v>
      </c>
      <c r="U632" s="1144">
        <f>IFERROR(VLOOKUP(CONCATENATE($E632,$G632),'LAC 103'!$A$12:$O$95,14,FALSE),0)</f>
        <v>0</v>
      </c>
      <c r="V632" s="1144">
        <f>IFERROR(VLOOKUP(CONCATENATE($E632,$G632),'LAC 103'!$A$12:$O$95,15,FALSE),0)</f>
        <v>0</v>
      </c>
      <c r="W632" s="1145" t="str">
        <f>IFERROR(VLOOKUP(CONCATENATE($B632,$N632),'LAC 103'!$AI:$AQ,9,FALSE),"")</f>
        <v>Costs</v>
      </c>
      <c r="X632" s="1146">
        <f t="shared" si="168"/>
        <v>3.2074101033884355</v>
      </c>
      <c r="Y632" s="1143">
        <f t="shared" si="169"/>
        <v>17345.673839124658</v>
      </c>
      <c r="Z632" s="1147">
        <f t="shared" si="170"/>
        <v>21577.920000000002</v>
      </c>
      <c r="AA632" s="1144">
        <f t="shared" si="171"/>
        <v>13411.84</v>
      </c>
      <c r="AB632" s="1144">
        <f t="shared" si="172"/>
        <v>0</v>
      </c>
      <c r="AC632" s="1144">
        <f t="shared" si="173"/>
        <v>0</v>
      </c>
      <c r="AD632" s="1148">
        <f t="shared" si="164"/>
        <v>17345.673839124658</v>
      </c>
      <c r="AE632" s="1487">
        <v>0</v>
      </c>
      <c r="AF632" s="1145">
        <f t="shared" si="174"/>
        <v>17345.673839124658</v>
      </c>
      <c r="AG632" s="1149">
        <f>IFERROR(VLOOKUP(CONCATENATE($L632,$N632),'Drop List'!$G$23:$K$87,2,FALSE),0)</f>
        <v>0.55000000000000004</v>
      </c>
      <c r="AH632" s="1150">
        <f>IFERROR(VLOOKUP(CONCATENATE($L632,$N632),'Drop List'!$G$23:$K$87,3,FALSE),0)</f>
        <v>0</v>
      </c>
      <c r="AI632" s="1150">
        <f>IFERROR(VLOOKUP(CONCATENATE($L632,$N632),'Drop List'!$G$23:$K$87,4,FALSE),0)</f>
        <v>0</v>
      </c>
      <c r="AJ632" s="1151">
        <f>IFERROR(VLOOKUP(CONCATENATE($L632,$N632),'Drop List'!$G$23:$K$87,5,FALSE),0)</f>
        <v>0.44999999999999996</v>
      </c>
      <c r="AK632" s="1152">
        <f t="shared" si="175"/>
        <v>9540.1206115185632</v>
      </c>
      <c r="AL632" s="1153">
        <f t="shared" si="176"/>
        <v>0</v>
      </c>
      <c r="AM632" s="1153">
        <f t="shared" si="177"/>
        <v>0</v>
      </c>
      <c r="AN632" s="1145">
        <f t="shared" si="178"/>
        <v>7805.5532276060958</v>
      </c>
      <c r="AO632" s="1154">
        <f t="shared" si="179"/>
        <v>17345.673839124658</v>
      </c>
      <c r="AP632" s="1147">
        <f t="shared" si="165"/>
        <v>0</v>
      </c>
      <c r="AQ632" s="1144">
        <f t="shared" si="166"/>
        <v>0</v>
      </c>
      <c r="AR632" s="1146">
        <f t="shared" si="167"/>
        <v>17345.673839124658</v>
      </c>
    </row>
    <row r="633" spans="1:44" x14ac:dyDescent="0.2">
      <c r="A633" s="1141" t="str">
        <f t="shared" si="162"/>
        <v>1510</v>
      </c>
      <c r="B633" s="1141" t="str">
        <f>IFERROR(VLOOKUP(A633,'LAC 103'!A:C,3,FALSE),"")</f>
        <v>OP</v>
      </c>
      <c r="C633" s="1478" t="str">
        <f>Info!$B$8</f>
        <v>00100</v>
      </c>
      <c r="D633" s="1474" t="s">
        <v>256</v>
      </c>
      <c r="E633" s="1474" t="s">
        <v>95</v>
      </c>
      <c r="F633" s="1478" t="s">
        <v>77</v>
      </c>
      <c r="G633" s="1478" t="s">
        <v>77</v>
      </c>
      <c r="H633" s="1474" t="s">
        <v>1091</v>
      </c>
      <c r="I633" s="1478" t="s">
        <v>815</v>
      </c>
      <c r="J633" s="1478"/>
      <c r="K633" s="1475" t="s">
        <v>851</v>
      </c>
      <c r="L633" s="1474" t="s">
        <v>584</v>
      </c>
      <c r="M633" s="1476" t="s">
        <v>840</v>
      </c>
      <c r="N633" s="1477" t="s">
        <v>1700</v>
      </c>
      <c r="O633" s="1479">
        <v>6905</v>
      </c>
      <c r="P633" s="1479"/>
      <c r="Q633" s="1142">
        <f t="shared" si="163"/>
        <v>6905</v>
      </c>
      <c r="R633" s="1143">
        <f>IFERROR(VLOOKUP(CONCATENATE(E633,G633),'LAC 103'!$A$12:$O$95,11,FALSE),0)</f>
        <v>3.2074101033884355</v>
      </c>
      <c r="S633" s="1144">
        <f>IFERROR(VLOOKUP(CONCATENATE($E633,$G633),'LAC 103'!$A$12:$O$95,12,FALSE),0)</f>
        <v>3.99</v>
      </c>
      <c r="T633" s="1144">
        <f>IFERROR(VLOOKUP(CONCATENATE($E633,$G633),'LAC 103'!$A$12:$O$95,13,FALSE),0)</f>
        <v>2.48</v>
      </c>
      <c r="U633" s="1144">
        <f>IFERROR(VLOOKUP(CONCATENATE($E633,$G633),'LAC 103'!$A$12:$O$95,14,FALSE),0)</f>
        <v>0</v>
      </c>
      <c r="V633" s="1144">
        <f>IFERROR(VLOOKUP(CONCATENATE($E633,$G633),'LAC 103'!$A$12:$O$95,15,FALSE),0)</f>
        <v>0</v>
      </c>
      <c r="W633" s="1145" t="str">
        <f>IFERROR(VLOOKUP(CONCATENATE($B633,$N633),'LAC 103'!$AI:$AQ,9,FALSE),"")</f>
        <v>P.C.</v>
      </c>
      <c r="X633" s="1146">
        <f t="shared" si="168"/>
        <v>2.48</v>
      </c>
      <c r="Y633" s="1143">
        <f t="shared" si="169"/>
        <v>22147.166763897148</v>
      </c>
      <c r="Z633" s="1147">
        <f t="shared" si="170"/>
        <v>27550.95</v>
      </c>
      <c r="AA633" s="1144">
        <f t="shared" si="171"/>
        <v>17124.400000000001</v>
      </c>
      <c r="AB633" s="1144">
        <f t="shared" si="172"/>
        <v>0</v>
      </c>
      <c r="AC633" s="1144">
        <f t="shared" si="173"/>
        <v>0</v>
      </c>
      <c r="AD633" s="1148">
        <f t="shared" si="164"/>
        <v>17124.400000000001</v>
      </c>
      <c r="AE633" s="1487">
        <v>0</v>
      </c>
      <c r="AF633" s="1145">
        <f t="shared" si="174"/>
        <v>17124.400000000001</v>
      </c>
      <c r="AG633" s="1149">
        <f>IFERROR(VLOOKUP(CONCATENATE($L633,$N633),'Drop List'!$G$23:$K$87,2,FALSE),0)</f>
        <v>0.55000000000000004</v>
      </c>
      <c r="AH633" s="1150">
        <f>IFERROR(VLOOKUP(CONCATENATE($L633,$N633),'Drop List'!$G$23:$K$87,3,FALSE),0)</f>
        <v>0</v>
      </c>
      <c r="AI633" s="1150">
        <f>IFERROR(VLOOKUP(CONCATENATE($L633,$N633),'Drop List'!$G$23:$K$87,4,FALSE),0)</f>
        <v>0</v>
      </c>
      <c r="AJ633" s="1151">
        <f>IFERROR(VLOOKUP(CONCATENATE($L633,$N633),'Drop List'!$G$23:$K$87,5,FALSE),0)</f>
        <v>0.44999999999999996</v>
      </c>
      <c r="AK633" s="1152">
        <f t="shared" si="175"/>
        <v>9418.4200000000019</v>
      </c>
      <c r="AL633" s="1153">
        <f t="shared" si="176"/>
        <v>0</v>
      </c>
      <c r="AM633" s="1153">
        <f t="shared" si="177"/>
        <v>0</v>
      </c>
      <c r="AN633" s="1145">
        <f t="shared" si="178"/>
        <v>7705.98</v>
      </c>
      <c r="AO633" s="1154">
        <f t="shared" si="179"/>
        <v>17124.400000000001</v>
      </c>
      <c r="AP633" s="1147">
        <f t="shared" si="165"/>
        <v>0</v>
      </c>
      <c r="AQ633" s="1144">
        <f t="shared" si="166"/>
        <v>0</v>
      </c>
      <c r="AR633" s="1146">
        <f t="shared" si="167"/>
        <v>17124.400000000001</v>
      </c>
    </row>
    <row r="634" spans="1:44" x14ac:dyDescent="0.2">
      <c r="A634" s="1141" t="str">
        <f t="shared" si="162"/>
        <v>1510</v>
      </c>
      <c r="B634" s="1141" t="str">
        <f>IFERROR(VLOOKUP(A634,'LAC 103'!A:C,3,FALSE),"")</f>
        <v>OP</v>
      </c>
      <c r="C634" s="1478" t="str">
        <f>Info!$B$8</f>
        <v>00100</v>
      </c>
      <c r="D634" s="1474" t="s">
        <v>256</v>
      </c>
      <c r="E634" s="1474" t="s">
        <v>95</v>
      </c>
      <c r="F634" s="1478" t="s">
        <v>77</v>
      </c>
      <c r="G634" s="1478" t="s">
        <v>77</v>
      </c>
      <c r="H634" s="1474" t="s">
        <v>1091</v>
      </c>
      <c r="I634" s="1478" t="s">
        <v>815</v>
      </c>
      <c r="J634" s="1478"/>
      <c r="K634" s="1475" t="s">
        <v>851</v>
      </c>
      <c r="L634" s="1474" t="s">
        <v>584</v>
      </c>
      <c r="M634" s="1476" t="s">
        <v>842</v>
      </c>
      <c r="N634" s="1477" t="s">
        <v>1692</v>
      </c>
      <c r="O634" s="1479">
        <v>13402</v>
      </c>
      <c r="P634" s="1479"/>
      <c r="Q634" s="1142">
        <f t="shared" si="163"/>
        <v>13402</v>
      </c>
      <c r="R634" s="1143">
        <f>IFERROR(VLOOKUP(CONCATENATE(E634,G634),'LAC 103'!$A$12:$O$95,11,FALSE),0)</f>
        <v>3.2074101033884355</v>
      </c>
      <c r="S634" s="1144">
        <f>IFERROR(VLOOKUP(CONCATENATE($E634,$G634),'LAC 103'!$A$12:$O$95,12,FALSE),0)</f>
        <v>3.99</v>
      </c>
      <c r="T634" s="1144">
        <f>IFERROR(VLOOKUP(CONCATENATE($E634,$G634),'LAC 103'!$A$12:$O$95,13,FALSE),0)</f>
        <v>2.48</v>
      </c>
      <c r="U634" s="1144">
        <f>IFERROR(VLOOKUP(CONCATENATE($E634,$G634),'LAC 103'!$A$12:$O$95,14,FALSE),0)</f>
        <v>0</v>
      </c>
      <c r="V634" s="1144">
        <f>IFERROR(VLOOKUP(CONCATENATE($E634,$G634),'LAC 103'!$A$12:$O$95,15,FALSE),0)</f>
        <v>0</v>
      </c>
      <c r="W634" s="1145" t="str">
        <f>IFERROR(VLOOKUP(CONCATENATE($B634,$N634),'LAC 103'!$AI:$AQ,9,FALSE),"")</f>
        <v>Costs</v>
      </c>
      <c r="X634" s="1146">
        <f t="shared" si="168"/>
        <v>3.2074101033884355</v>
      </c>
      <c r="Y634" s="1143">
        <f t="shared" si="169"/>
        <v>42985.710205611809</v>
      </c>
      <c r="Z634" s="1147">
        <f t="shared" si="170"/>
        <v>53473.98</v>
      </c>
      <c r="AA634" s="1144">
        <f t="shared" si="171"/>
        <v>33236.959999999999</v>
      </c>
      <c r="AB634" s="1144">
        <f t="shared" si="172"/>
        <v>0</v>
      </c>
      <c r="AC634" s="1144">
        <f t="shared" si="173"/>
        <v>0</v>
      </c>
      <c r="AD634" s="1148">
        <f t="shared" si="164"/>
        <v>42985.710205611809</v>
      </c>
      <c r="AE634" s="1487">
        <v>0</v>
      </c>
      <c r="AF634" s="1145">
        <f t="shared" si="174"/>
        <v>42985.710205611809</v>
      </c>
      <c r="AG634" s="1149">
        <f>IFERROR(VLOOKUP(CONCATENATE($L634,$N634),'Drop List'!$G$23:$K$87,2,FALSE),0)</f>
        <v>0.56200000000000006</v>
      </c>
      <c r="AH634" s="1150">
        <f>IFERROR(VLOOKUP(CONCATENATE($L634,$N634),'Drop List'!$G$23:$K$87,3,FALSE),0)</f>
        <v>0</v>
      </c>
      <c r="AI634" s="1150">
        <f>IFERROR(VLOOKUP(CONCATENATE($L634,$N634),'Drop List'!$G$23:$K$87,4,FALSE),0)</f>
        <v>0</v>
      </c>
      <c r="AJ634" s="1151">
        <f>IFERROR(VLOOKUP(CONCATENATE($L634,$N634),'Drop List'!$G$23:$K$87,5,FALSE),0)</f>
        <v>0.43799999999999994</v>
      </c>
      <c r="AK634" s="1152">
        <f t="shared" si="175"/>
        <v>24157.969135553838</v>
      </c>
      <c r="AL634" s="1153">
        <f t="shared" si="176"/>
        <v>0</v>
      </c>
      <c r="AM634" s="1153">
        <f t="shared" si="177"/>
        <v>0</v>
      </c>
      <c r="AN634" s="1145">
        <f t="shared" si="178"/>
        <v>18827.741070057971</v>
      </c>
      <c r="AO634" s="1154">
        <f t="shared" si="179"/>
        <v>42985.710205611809</v>
      </c>
      <c r="AP634" s="1147">
        <f t="shared" si="165"/>
        <v>0</v>
      </c>
      <c r="AQ634" s="1144">
        <f t="shared" si="166"/>
        <v>0</v>
      </c>
      <c r="AR634" s="1146">
        <f t="shared" si="167"/>
        <v>42985.710205611809</v>
      </c>
    </row>
    <row r="635" spans="1:44" x14ac:dyDescent="0.2">
      <c r="A635" s="1141" t="str">
        <f t="shared" si="162"/>
        <v>1510</v>
      </c>
      <c r="B635" s="1141" t="str">
        <f>IFERROR(VLOOKUP(A635,'LAC 103'!A:C,3,FALSE),"")</f>
        <v>OP</v>
      </c>
      <c r="C635" s="1478" t="str">
        <f>Info!$B$8</f>
        <v>00100</v>
      </c>
      <c r="D635" s="1474" t="s">
        <v>256</v>
      </c>
      <c r="E635" s="1474" t="s">
        <v>95</v>
      </c>
      <c r="F635" s="1478" t="s">
        <v>77</v>
      </c>
      <c r="G635" s="1478" t="s">
        <v>77</v>
      </c>
      <c r="H635" s="1474" t="s">
        <v>1091</v>
      </c>
      <c r="I635" s="1478" t="s">
        <v>815</v>
      </c>
      <c r="J635" s="1478"/>
      <c r="K635" s="1475" t="s">
        <v>851</v>
      </c>
      <c r="L635" s="1474" t="s">
        <v>584</v>
      </c>
      <c r="M635" s="1476" t="s">
        <v>1698</v>
      </c>
      <c r="N635" s="1477" t="s">
        <v>1693</v>
      </c>
      <c r="O635" s="1479">
        <v>13931</v>
      </c>
      <c r="P635" s="1479"/>
      <c r="Q635" s="1142">
        <f t="shared" si="163"/>
        <v>13931</v>
      </c>
      <c r="R635" s="1143">
        <f>IFERROR(VLOOKUP(CONCATENATE(E635,G635),'LAC 103'!$A$12:$O$95,11,FALSE),0)</f>
        <v>3.2074101033884355</v>
      </c>
      <c r="S635" s="1144">
        <f>IFERROR(VLOOKUP(CONCATENATE($E635,$G635),'LAC 103'!$A$12:$O$95,12,FALSE),0)</f>
        <v>3.99</v>
      </c>
      <c r="T635" s="1144">
        <f>IFERROR(VLOOKUP(CONCATENATE($E635,$G635),'LAC 103'!$A$12:$O$95,13,FALSE),0)</f>
        <v>2.48</v>
      </c>
      <c r="U635" s="1144">
        <f>IFERROR(VLOOKUP(CONCATENATE($E635,$G635),'LAC 103'!$A$12:$O$95,14,FALSE),0)</f>
        <v>0</v>
      </c>
      <c r="V635" s="1144">
        <f>IFERROR(VLOOKUP(CONCATENATE($E635,$G635),'LAC 103'!$A$12:$O$95,15,FALSE),0)</f>
        <v>0</v>
      </c>
      <c r="W635" s="1145" t="str">
        <f>IFERROR(VLOOKUP(CONCATENATE($B635,$N635),'LAC 103'!$AI:$AQ,9,FALSE),"")</f>
        <v>Costs</v>
      </c>
      <c r="X635" s="1146">
        <f t="shared" si="168"/>
        <v>3.2074101033884355</v>
      </c>
      <c r="Y635" s="1143">
        <f t="shared" si="169"/>
        <v>44682.430150304295</v>
      </c>
      <c r="Z635" s="1147">
        <f t="shared" si="170"/>
        <v>55584.69</v>
      </c>
      <c r="AA635" s="1144">
        <f t="shared" si="171"/>
        <v>34548.879999999997</v>
      </c>
      <c r="AB635" s="1144">
        <f t="shared" si="172"/>
        <v>0</v>
      </c>
      <c r="AC635" s="1144">
        <f t="shared" si="173"/>
        <v>0</v>
      </c>
      <c r="AD635" s="1148">
        <f t="shared" si="164"/>
        <v>44682.430150304295</v>
      </c>
      <c r="AE635" s="1487">
        <v>0</v>
      </c>
      <c r="AF635" s="1145">
        <f t="shared" si="174"/>
        <v>44682.430150304295</v>
      </c>
      <c r="AG635" s="1149">
        <f>IFERROR(VLOOKUP(CONCATENATE($L635,$N635),'Drop List'!$G$23:$K$87,2,FALSE),0)</f>
        <v>0.56200000000000006</v>
      </c>
      <c r="AH635" s="1150">
        <f>IFERROR(VLOOKUP(CONCATENATE($L635,$N635),'Drop List'!$G$23:$K$87,3,FALSE),0)</f>
        <v>0</v>
      </c>
      <c r="AI635" s="1150">
        <f>IFERROR(VLOOKUP(CONCATENATE($L635,$N635),'Drop List'!$G$23:$K$87,4,FALSE),0)</f>
        <v>0</v>
      </c>
      <c r="AJ635" s="1151">
        <f>IFERROR(VLOOKUP(CONCATENATE($L635,$N635),'Drop List'!$G$23:$K$87,5,FALSE),0)</f>
        <v>0.43799999999999994</v>
      </c>
      <c r="AK635" s="1152">
        <f t="shared" si="175"/>
        <v>25111.525744471015</v>
      </c>
      <c r="AL635" s="1153">
        <f t="shared" si="176"/>
        <v>0</v>
      </c>
      <c r="AM635" s="1153">
        <f t="shared" si="177"/>
        <v>0</v>
      </c>
      <c r="AN635" s="1145">
        <f t="shared" si="178"/>
        <v>19570.90440583328</v>
      </c>
      <c r="AO635" s="1154">
        <f t="shared" si="179"/>
        <v>44682.430150304295</v>
      </c>
      <c r="AP635" s="1147">
        <f t="shared" si="165"/>
        <v>0</v>
      </c>
      <c r="AQ635" s="1144">
        <f t="shared" si="166"/>
        <v>0</v>
      </c>
      <c r="AR635" s="1146">
        <f t="shared" si="167"/>
        <v>44682.430150304295</v>
      </c>
    </row>
    <row r="636" spans="1:44" x14ac:dyDescent="0.2">
      <c r="A636" s="1141" t="str">
        <f t="shared" si="162"/>
        <v>1510</v>
      </c>
      <c r="B636" s="1141" t="str">
        <f>IFERROR(VLOOKUP(A636,'LAC 103'!A:C,3,FALSE),"")</f>
        <v>OP</v>
      </c>
      <c r="C636" s="1478" t="str">
        <f>Info!$B$8</f>
        <v>00100</v>
      </c>
      <c r="D636" s="1474" t="s">
        <v>256</v>
      </c>
      <c r="E636" s="1474" t="s">
        <v>95</v>
      </c>
      <c r="F636" s="1478" t="s">
        <v>77</v>
      </c>
      <c r="G636" s="1478" t="s">
        <v>77</v>
      </c>
      <c r="H636" s="1474" t="s">
        <v>983</v>
      </c>
      <c r="I636" s="1478" t="s">
        <v>823</v>
      </c>
      <c r="J636" s="1478" t="s">
        <v>1998</v>
      </c>
      <c r="K636" s="1475" t="s">
        <v>847</v>
      </c>
      <c r="L636" s="1474" t="s">
        <v>582</v>
      </c>
      <c r="M636" s="1476" t="s">
        <v>1699</v>
      </c>
      <c r="N636" s="1477" t="s">
        <v>1694</v>
      </c>
      <c r="O636" s="1479">
        <v>6219</v>
      </c>
      <c r="P636" s="1479"/>
      <c r="Q636" s="1142">
        <f t="shared" si="163"/>
        <v>6219</v>
      </c>
      <c r="R636" s="1143">
        <f>IFERROR(VLOOKUP(CONCATENATE(E636,G636),'LAC 103'!$A$12:$O$95,11,FALSE),0)</f>
        <v>3.2074101033884355</v>
      </c>
      <c r="S636" s="1144">
        <f>IFERROR(VLOOKUP(CONCATENATE($E636,$G636),'LAC 103'!$A$12:$O$95,12,FALSE),0)</f>
        <v>3.99</v>
      </c>
      <c r="T636" s="1144">
        <f>IFERROR(VLOOKUP(CONCATENATE($E636,$G636),'LAC 103'!$A$12:$O$95,13,FALSE),0)</f>
        <v>2.48</v>
      </c>
      <c r="U636" s="1144">
        <f>IFERROR(VLOOKUP(CONCATENATE($E636,$G636),'LAC 103'!$A$12:$O$95,14,FALSE),0)</f>
        <v>0</v>
      </c>
      <c r="V636" s="1144">
        <f>IFERROR(VLOOKUP(CONCATENATE($E636,$G636),'LAC 103'!$A$12:$O$95,15,FALSE),0)</f>
        <v>0</v>
      </c>
      <c r="W636" s="1145" t="str">
        <f>IFERROR(VLOOKUP(CONCATENATE($B636,$N636),'LAC 103'!$AI:$AQ,9,FALSE),"")</f>
        <v>Costs</v>
      </c>
      <c r="X636" s="1146">
        <f t="shared" si="168"/>
        <v>3.2074101033884355</v>
      </c>
      <c r="Y636" s="1143">
        <f t="shared" si="169"/>
        <v>19946.883432972681</v>
      </c>
      <c r="Z636" s="1147">
        <f t="shared" si="170"/>
        <v>24813.81</v>
      </c>
      <c r="AA636" s="1144">
        <f t="shared" si="171"/>
        <v>15423.119999999999</v>
      </c>
      <c r="AB636" s="1144">
        <f t="shared" si="172"/>
        <v>0</v>
      </c>
      <c r="AC636" s="1144">
        <f t="shared" si="173"/>
        <v>0</v>
      </c>
      <c r="AD636" s="1148">
        <f t="shared" si="164"/>
        <v>19946.883432972681</v>
      </c>
      <c r="AE636" s="1487">
        <v>0</v>
      </c>
      <c r="AF636" s="1145">
        <f t="shared" si="174"/>
        <v>19946.883432972681</v>
      </c>
      <c r="AG636" s="1149">
        <f>IFERROR(VLOOKUP(CONCATENATE($L636,$N636),'Drop List'!$G$23:$K$87,2,FALSE),0)</f>
        <v>0.56200000000000006</v>
      </c>
      <c r="AH636" s="1150">
        <f>IFERROR(VLOOKUP(CONCATENATE($L636,$N636),'Drop List'!$G$23:$K$87,3,FALSE),0)</f>
        <v>0.43799999999999994</v>
      </c>
      <c r="AI636" s="1150">
        <f>IFERROR(VLOOKUP(CONCATENATE($L636,$N636),'Drop List'!$G$23:$K$87,4,FALSE),0)</f>
        <v>0</v>
      </c>
      <c r="AJ636" s="1151">
        <f>IFERROR(VLOOKUP(CONCATENATE($L636,$N636),'Drop List'!$G$23:$K$87,5,FALSE),0)</f>
        <v>0</v>
      </c>
      <c r="AK636" s="1152">
        <f t="shared" si="175"/>
        <v>11210.148489330648</v>
      </c>
      <c r="AL636" s="1153">
        <f t="shared" si="176"/>
        <v>8736.7349436420336</v>
      </c>
      <c r="AM636" s="1153">
        <f t="shared" si="177"/>
        <v>0</v>
      </c>
      <c r="AN636" s="1145">
        <f t="shared" si="178"/>
        <v>0</v>
      </c>
      <c r="AO636" s="1154">
        <f t="shared" si="179"/>
        <v>19946.883432972681</v>
      </c>
      <c r="AP636" s="1147">
        <f t="shared" si="165"/>
        <v>0</v>
      </c>
      <c r="AQ636" s="1144">
        <f t="shared" si="166"/>
        <v>0</v>
      </c>
      <c r="AR636" s="1146">
        <f t="shared" si="167"/>
        <v>19946.883432972681</v>
      </c>
    </row>
    <row r="637" spans="1:44" x14ac:dyDescent="0.2">
      <c r="A637" s="1141" t="str">
        <f t="shared" si="162"/>
        <v>1510</v>
      </c>
      <c r="B637" s="1141" t="str">
        <f>IFERROR(VLOOKUP(A637,'LAC 103'!A:C,3,FALSE),"")</f>
        <v>OP</v>
      </c>
      <c r="C637" s="1478" t="str">
        <f>Info!$B$8</f>
        <v>00100</v>
      </c>
      <c r="D637" s="1474" t="s">
        <v>256</v>
      </c>
      <c r="E637" s="1474" t="s">
        <v>95</v>
      </c>
      <c r="F637" s="1478" t="s">
        <v>77</v>
      </c>
      <c r="G637" s="1478" t="s">
        <v>77</v>
      </c>
      <c r="H637" s="1474" t="s">
        <v>983</v>
      </c>
      <c r="I637" s="1478" t="s">
        <v>823</v>
      </c>
      <c r="J637" s="1478" t="s">
        <v>1998</v>
      </c>
      <c r="K637" s="1475" t="s">
        <v>847</v>
      </c>
      <c r="L637" s="1474" t="s">
        <v>582</v>
      </c>
      <c r="M637" s="1476" t="s">
        <v>841</v>
      </c>
      <c r="N637" s="1477" t="s">
        <v>1695</v>
      </c>
      <c r="O637" s="1479">
        <v>3059</v>
      </c>
      <c r="P637" s="1479"/>
      <c r="Q637" s="1142">
        <f t="shared" si="163"/>
        <v>3059</v>
      </c>
      <c r="R637" s="1143">
        <f>IFERROR(VLOOKUP(CONCATENATE(E637,G637),'LAC 103'!$A$12:$O$95,11,FALSE),0)</f>
        <v>3.2074101033884355</v>
      </c>
      <c r="S637" s="1144">
        <f>IFERROR(VLOOKUP(CONCATENATE($E637,$G637),'LAC 103'!$A$12:$O$95,12,FALSE),0)</f>
        <v>3.99</v>
      </c>
      <c r="T637" s="1144">
        <f>IFERROR(VLOOKUP(CONCATENATE($E637,$G637),'LAC 103'!$A$12:$O$95,13,FALSE),0)</f>
        <v>2.48</v>
      </c>
      <c r="U637" s="1144">
        <f>IFERROR(VLOOKUP(CONCATENATE($E637,$G637),'LAC 103'!$A$12:$O$95,14,FALSE),0)</f>
        <v>0</v>
      </c>
      <c r="V637" s="1144">
        <f>IFERROR(VLOOKUP(CONCATENATE($E637,$G637),'LAC 103'!$A$12:$O$95,15,FALSE),0)</f>
        <v>0</v>
      </c>
      <c r="W637" s="1145" t="str">
        <f>IFERROR(VLOOKUP(CONCATENATE($B637,$N637),'LAC 103'!$AI:$AQ,9,FALSE),"")</f>
        <v>Costs</v>
      </c>
      <c r="X637" s="1146">
        <f t="shared" si="168"/>
        <v>3.2074101033884355</v>
      </c>
      <c r="Y637" s="1143">
        <f t="shared" si="169"/>
        <v>9811.4675062652241</v>
      </c>
      <c r="Z637" s="1147">
        <f t="shared" si="170"/>
        <v>12205.41</v>
      </c>
      <c r="AA637" s="1144">
        <f t="shared" si="171"/>
        <v>7586.32</v>
      </c>
      <c r="AB637" s="1144">
        <f t="shared" si="172"/>
        <v>0</v>
      </c>
      <c r="AC637" s="1144">
        <f t="shared" si="173"/>
        <v>0</v>
      </c>
      <c r="AD637" s="1148">
        <f t="shared" si="164"/>
        <v>9811.4675062652241</v>
      </c>
      <c r="AE637" s="1487">
        <v>0</v>
      </c>
      <c r="AF637" s="1145">
        <f t="shared" si="174"/>
        <v>9811.4675062652241</v>
      </c>
      <c r="AG637" s="1149">
        <f>IFERROR(VLOOKUP(CONCATENATE($L637,$N637),'Drop List'!$G$23:$K$87,2,FALSE),0)</f>
        <v>0.55000000000000004</v>
      </c>
      <c r="AH637" s="1150">
        <f>IFERROR(VLOOKUP(CONCATENATE($L637,$N637),'Drop List'!$G$23:$K$87,3,FALSE),0)</f>
        <v>0.44999999999999996</v>
      </c>
      <c r="AI637" s="1150">
        <f>IFERROR(VLOOKUP(CONCATENATE($L637,$N637),'Drop List'!$G$23:$K$87,4,FALSE),0)</f>
        <v>0</v>
      </c>
      <c r="AJ637" s="1151">
        <f>IFERROR(VLOOKUP(CONCATENATE($L637,$N637),'Drop List'!$G$23:$K$87,5,FALSE),0)</f>
        <v>0</v>
      </c>
      <c r="AK637" s="1152">
        <f t="shared" si="175"/>
        <v>5396.3071284458738</v>
      </c>
      <c r="AL637" s="1153">
        <f t="shared" si="176"/>
        <v>4415.1603778193503</v>
      </c>
      <c r="AM637" s="1153">
        <f t="shared" si="177"/>
        <v>0</v>
      </c>
      <c r="AN637" s="1145">
        <f t="shared" si="178"/>
        <v>0</v>
      </c>
      <c r="AO637" s="1154">
        <f t="shared" si="179"/>
        <v>9811.4675062652241</v>
      </c>
      <c r="AP637" s="1147">
        <f t="shared" si="165"/>
        <v>0</v>
      </c>
      <c r="AQ637" s="1144">
        <f t="shared" si="166"/>
        <v>0</v>
      </c>
      <c r="AR637" s="1146">
        <f t="shared" si="167"/>
        <v>9811.4675062652241</v>
      </c>
    </row>
    <row r="638" spans="1:44" x14ac:dyDescent="0.2">
      <c r="A638" s="1141" t="str">
        <f t="shared" si="162"/>
        <v>1510</v>
      </c>
      <c r="B638" s="1141" t="str">
        <f>IFERROR(VLOOKUP(A638,'LAC 103'!A:C,3,FALSE),"")</f>
        <v>OP</v>
      </c>
      <c r="C638" s="1478" t="str">
        <f>Info!$B$8</f>
        <v>00100</v>
      </c>
      <c r="D638" s="1474" t="s">
        <v>256</v>
      </c>
      <c r="E638" s="1474" t="s">
        <v>95</v>
      </c>
      <c r="F638" s="1478" t="s">
        <v>77</v>
      </c>
      <c r="G638" s="1478" t="s">
        <v>77</v>
      </c>
      <c r="H638" s="1474" t="s">
        <v>983</v>
      </c>
      <c r="I638" s="1478" t="s">
        <v>823</v>
      </c>
      <c r="J638" s="1478" t="s">
        <v>1998</v>
      </c>
      <c r="K638" s="1475" t="s">
        <v>847</v>
      </c>
      <c r="L638" s="1474" t="s">
        <v>582</v>
      </c>
      <c r="M638" s="1476" t="s">
        <v>840</v>
      </c>
      <c r="N638" s="1477" t="s">
        <v>1700</v>
      </c>
      <c r="O638" s="1479">
        <v>2383</v>
      </c>
      <c r="P638" s="1479"/>
      <c r="Q638" s="1142">
        <f t="shared" si="163"/>
        <v>2383</v>
      </c>
      <c r="R638" s="1143">
        <f>IFERROR(VLOOKUP(CONCATENATE(E638,G638),'LAC 103'!$A$12:$O$95,11,FALSE),0)</f>
        <v>3.2074101033884355</v>
      </c>
      <c r="S638" s="1144">
        <f>IFERROR(VLOOKUP(CONCATENATE($E638,$G638),'LAC 103'!$A$12:$O$95,12,FALSE),0)</f>
        <v>3.99</v>
      </c>
      <c r="T638" s="1144">
        <f>IFERROR(VLOOKUP(CONCATENATE($E638,$G638),'LAC 103'!$A$12:$O$95,13,FALSE),0)</f>
        <v>2.48</v>
      </c>
      <c r="U638" s="1144">
        <f>IFERROR(VLOOKUP(CONCATENATE($E638,$G638),'LAC 103'!$A$12:$O$95,14,FALSE),0)</f>
        <v>0</v>
      </c>
      <c r="V638" s="1144">
        <f>IFERROR(VLOOKUP(CONCATENATE($E638,$G638),'LAC 103'!$A$12:$O$95,15,FALSE),0)</f>
        <v>0</v>
      </c>
      <c r="W638" s="1145" t="str">
        <f>IFERROR(VLOOKUP(CONCATENATE($B638,$N638),'LAC 103'!$AI:$AQ,9,FALSE),"")</f>
        <v>P.C.</v>
      </c>
      <c r="X638" s="1146">
        <f t="shared" si="168"/>
        <v>2.48</v>
      </c>
      <c r="Y638" s="1143">
        <f t="shared" si="169"/>
        <v>7643.2582763746414</v>
      </c>
      <c r="Z638" s="1147">
        <f t="shared" si="170"/>
        <v>9508.17</v>
      </c>
      <c r="AA638" s="1144">
        <f t="shared" si="171"/>
        <v>5909.84</v>
      </c>
      <c r="AB638" s="1144">
        <f t="shared" si="172"/>
        <v>0</v>
      </c>
      <c r="AC638" s="1144">
        <f t="shared" si="173"/>
        <v>0</v>
      </c>
      <c r="AD638" s="1148">
        <f t="shared" si="164"/>
        <v>5909.84</v>
      </c>
      <c r="AE638" s="1487">
        <v>0</v>
      </c>
      <c r="AF638" s="1145">
        <f t="shared" si="174"/>
        <v>5909.84</v>
      </c>
      <c r="AG638" s="1149">
        <f>IFERROR(VLOOKUP(CONCATENATE($L638,$N638),'Drop List'!$G$23:$K$87,2,FALSE),0)</f>
        <v>0.55000000000000004</v>
      </c>
      <c r="AH638" s="1150">
        <f>IFERROR(VLOOKUP(CONCATENATE($L638,$N638),'Drop List'!$G$23:$K$87,3,FALSE),0)</f>
        <v>0.44999999999999996</v>
      </c>
      <c r="AI638" s="1150">
        <f>IFERROR(VLOOKUP(CONCATENATE($L638,$N638),'Drop List'!$G$23:$K$87,4,FALSE),0)</f>
        <v>0</v>
      </c>
      <c r="AJ638" s="1151">
        <f>IFERROR(VLOOKUP(CONCATENATE($L638,$N638),'Drop List'!$G$23:$K$87,5,FALSE),0)</f>
        <v>0</v>
      </c>
      <c r="AK638" s="1152">
        <f t="shared" si="175"/>
        <v>3250.4120000000003</v>
      </c>
      <c r="AL638" s="1153">
        <f t="shared" si="176"/>
        <v>2659.4279999999999</v>
      </c>
      <c r="AM638" s="1153">
        <f t="shared" si="177"/>
        <v>0</v>
      </c>
      <c r="AN638" s="1145">
        <f t="shared" si="178"/>
        <v>0</v>
      </c>
      <c r="AO638" s="1154">
        <f t="shared" si="179"/>
        <v>5909.84</v>
      </c>
      <c r="AP638" s="1147">
        <f t="shared" si="165"/>
        <v>0</v>
      </c>
      <c r="AQ638" s="1144">
        <f t="shared" si="166"/>
        <v>0</v>
      </c>
      <c r="AR638" s="1146">
        <f t="shared" si="167"/>
        <v>5909.84</v>
      </c>
    </row>
    <row r="639" spans="1:44" x14ac:dyDescent="0.2">
      <c r="A639" s="1141" t="str">
        <f t="shared" ref="A639:A700" si="180">IF(CONCATENATE(E639,G639)="","",CONCATENATE(E639,G639))</f>
        <v>1510</v>
      </c>
      <c r="B639" s="1141" t="str">
        <f>IFERROR(VLOOKUP(A639,'LAC 103'!A:C,3,FALSE),"")</f>
        <v>OP</v>
      </c>
      <c r="C639" s="1478" t="str">
        <f>Info!$B$8</f>
        <v>00100</v>
      </c>
      <c r="D639" s="1474" t="s">
        <v>256</v>
      </c>
      <c r="E639" s="1474" t="s">
        <v>95</v>
      </c>
      <c r="F639" s="1478" t="s">
        <v>77</v>
      </c>
      <c r="G639" s="1478" t="s">
        <v>77</v>
      </c>
      <c r="H639" s="1474" t="s">
        <v>983</v>
      </c>
      <c r="I639" s="1478" t="s">
        <v>823</v>
      </c>
      <c r="J639" s="1478" t="s">
        <v>1998</v>
      </c>
      <c r="K639" s="1475" t="s">
        <v>847</v>
      </c>
      <c r="L639" s="1474" t="s">
        <v>582</v>
      </c>
      <c r="M639" s="1476" t="s">
        <v>842</v>
      </c>
      <c r="N639" s="1477" t="s">
        <v>1692</v>
      </c>
      <c r="O639" s="1479">
        <v>5509</v>
      </c>
      <c r="P639" s="1479"/>
      <c r="Q639" s="1142">
        <f t="shared" ref="Q639:Q700" si="181">O639+P639</f>
        <v>5509</v>
      </c>
      <c r="R639" s="1143">
        <f>IFERROR(VLOOKUP(CONCATENATE(E639,G639),'LAC 103'!$A$12:$O$95,11,FALSE),0)</f>
        <v>3.2074101033884355</v>
      </c>
      <c r="S639" s="1144">
        <f>IFERROR(VLOOKUP(CONCATENATE($E639,$G639),'LAC 103'!$A$12:$O$95,12,FALSE),0)</f>
        <v>3.99</v>
      </c>
      <c r="T639" s="1144">
        <f>IFERROR(VLOOKUP(CONCATENATE($E639,$G639),'LAC 103'!$A$12:$O$95,13,FALSE),0)</f>
        <v>2.48</v>
      </c>
      <c r="U639" s="1144">
        <f>IFERROR(VLOOKUP(CONCATENATE($E639,$G639),'LAC 103'!$A$12:$O$95,14,FALSE),0)</f>
        <v>0</v>
      </c>
      <c r="V639" s="1144">
        <f>IFERROR(VLOOKUP(CONCATENATE($E639,$G639),'LAC 103'!$A$12:$O$95,15,FALSE),0)</f>
        <v>0</v>
      </c>
      <c r="W639" s="1145" t="str">
        <f>IFERROR(VLOOKUP(CONCATENATE($B639,$N639),'LAC 103'!$AI:$AQ,9,FALSE),"")</f>
        <v>Costs</v>
      </c>
      <c r="X639" s="1146">
        <f t="shared" si="168"/>
        <v>3.2074101033884355</v>
      </c>
      <c r="Y639" s="1143">
        <f t="shared" si="169"/>
        <v>17669.622259566891</v>
      </c>
      <c r="Z639" s="1147">
        <f t="shared" si="170"/>
        <v>21980.91</v>
      </c>
      <c r="AA639" s="1144">
        <f t="shared" si="171"/>
        <v>13662.32</v>
      </c>
      <c r="AB639" s="1144">
        <f t="shared" si="172"/>
        <v>0</v>
      </c>
      <c r="AC639" s="1144">
        <f t="shared" si="173"/>
        <v>0</v>
      </c>
      <c r="AD639" s="1148">
        <f t="shared" si="164"/>
        <v>17669.622259566891</v>
      </c>
      <c r="AE639" s="1487">
        <v>0</v>
      </c>
      <c r="AF639" s="1145">
        <f t="shared" si="174"/>
        <v>17669.622259566891</v>
      </c>
      <c r="AG639" s="1149">
        <f>IFERROR(VLOOKUP(CONCATENATE($L639,$N639),'Drop List'!$G$23:$K$87,2,FALSE),0)</f>
        <v>0.56200000000000006</v>
      </c>
      <c r="AH639" s="1150">
        <f>IFERROR(VLOOKUP(CONCATENATE($L639,$N639),'Drop List'!$G$23:$K$87,3,FALSE),0)</f>
        <v>0.43799999999999994</v>
      </c>
      <c r="AI639" s="1150">
        <f>IFERROR(VLOOKUP(CONCATENATE($L639,$N639),'Drop List'!$G$23:$K$87,4,FALSE),0)</f>
        <v>0</v>
      </c>
      <c r="AJ639" s="1151">
        <f>IFERROR(VLOOKUP(CONCATENATE($L639,$N639),'Drop List'!$G$23:$K$87,5,FALSE),0)</f>
        <v>0</v>
      </c>
      <c r="AK639" s="1152">
        <f t="shared" si="175"/>
        <v>9930.3277098765939</v>
      </c>
      <c r="AL639" s="1153">
        <f t="shared" si="176"/>
        <v>7739.2945496902976</v>
      </c>
      <c r="AM639" s="1153">
        <f t="shared" si="177"/>
        <v>0</v>
      </c>
      <c r="AN639" s="1145">
        <f t="shared" si="178"/>
        <v>0</v>
      </c>
      <c r="AO639" s="1154">
        <f t="shared" si="179"/>
        <v>17669.622259566891</v>
      </c>
      <c r="AP639" s="1147">
        <f t="shared" si="165"/>
        <v>0</v>
      </c>
      <c r="AQ639" s="1144">
        <f t="shared" si="166"/>
        <v>0</v>
      </c>
      <c r="AR639" s="1146">
        <f t="shared" si="167"/>
        <v>17669.622259566891</v>
      </c>
    </row>
    <row r="640" spans="1:44" x14ac:dyDescent="0.2">
      <c r="A640" s="1141" t="str">
        <f t="shared" si="180"/>
        <v>1510</v>
      </c>
      <c r="B640" s="1141" t="str">
        <f>IFERROR(VLOOKUP(A640,'LAC 103'!A:C,3,FALSE),"")</f>
        <v>OP</v>
      </c>
      <c r="C640" s="1478" t="str">
        <f>Info!$B$8</f>
        <v>00100</v>
      </c>
      <c r="D640" s="1474" t="s">
        <v>256</v>
      </c>
      <c r="E640" s="1474" t="s">
        <v>95</v>
      </c>
      <c r="F640" s="1478" t="s">
        <v>77</v>
      </c>
      <c r="G640" s="1478" t="s">
        <v>77</v>
      </c>
      <c r="H640" s="1474" t="s">
        <v>983</v>
      </c>
      <c r="I640" s="1478" t="s">
        <v>823</v>
      </c>
      <c r="J640" s="1478" t="s">
        <v>1998</v>
      </c>
      <c r="K640" s="1475" t="s">
        <v>847</v>
      </c>
      <c r="L640" s="1474" t="s">
        <v>582</v>
      </c>
      <c r="M640" s="1476" t="s">
        <v>1698</v>
      </c>
      <c r="N640" s="1477" t="s">
        <v>1693</v>
      </c>
      <c r="O640" s="1479">
        <v>5501</v>
      </c>
      <c r="P640" s="1479"/>
      <c r="Q640" s="1142">
        <f t="shared" si="181"/>
        <v>5501</v>
      </c>
      <c r="R640" s="1143">
        <f>IFERROR(VLOOKUP(CONCATENATE(E640,G640),'LAC 103'!$A$12:$O$95,11,FALSE),0)</f>
        <v>3.2074101033884355</v>
      </c>
      <c r="S640" s="1144">
        <f>IFERROR(VLOOKUP(CONCATENATE($E640,$G640),'LAC 103'!$A$12:$O$95,12,FALSE),0)</f>
        <v>3.99</v>
      </c>
      <c r="T640" s="1144">
        <f>IFERROR(VLOOKUP(CONCATENATE($E640,$G640),'LAC 103'!$A$12:$O$95,13,FALSE),0)</f>
        <v>2.48</v>
      </c>
      <c r="U640" s="1144">
        <f>IFERROR(VLOOKUP(CONCATENATE($E640,$G640),'LAC 103'!$A$12:$O$95,14,FALSE),0)</f>
        <v>0</v>
      </c>
      <c r="V640" s="1144">
        <f>IFERROR(VLOOKUP(CONCATENATE($E640,$G640),'LAC 103'!$A$12:$O$95,15,FALSE),0)</f>
        <v>0</v>
      </c>
      <c r="W640" s="1145" t="str">
        <f>IFERROR(VLOOKUP(CONCATENATE($B640,$N640),'LAC 103'!$AI:$AQ,9,FALSE),"")</f>
        <v>Costs</v>
      </c>
      <c r="X640" s="1146">
        <f t="shared" si="168"/>
        <v>3.2074101033884355</v>
      </c>
      <c r="Y640" s="1143">
        <f t="shared" si="169"/>
        <v>17643.962978739783</v>
      </c>
      <c r="Z640" s="1147">
        <f t="shared" si="170"/>
        <v>21948.99</v>
      </c>
      <c r="AA640" s="1144">
        <f t="shared" si="171"/>
        <v>13642.48</v>
      </c>
      <c r="AB640" s="1144">
        <f t="shared" si="172"/>
        <v>0</v>
      </c>
      <c r="AC640" s="1144">
        <f t="shared" si="173"/>
        <v>0</v>
      </c>
      <c r="AD640" s="1148">
        <f t="shared" si="164"/>
        <v>17643.962978739783</v>
      </c>
      <c r="AE640" s="1487">
        <v>0</v>
      </c>
      <c r="AF640" s="1145">
        <f t="shared" si="174"/>
        <v>17643.962978739783</v>
      </c>
      <c r="AG640" s="1149">
        <f>IFERROR(VLOOKUP(CONCATENATE($L640,$N640),'Drop List'!$G$23:$K$87,2,FALSE),0)</f>
        <v>0.56200000000000006</v>
      </c>
      <c r="AH640" s="1150">
        <f>IFERROR(VLOOKUP(CONCATENATE($L640,$N640),'Drop List'!$G$23:$K$87,3,FALSE),0)</f>
        <v>0.43799999999999994</v>
      </c>
      <c r="AI640" s="1150">
        <f>IFERROR(VLOOKUP(CONCATENATE($L640,$N640),'Drop List'!$G$23:$K$87,4,FALSE),0)</f>
        <v>0</v>
      </c>
      <c r="AJ640" s="1151">
        <f>IFERROR(VLOOKUP(CONCATENATE($L640,$N640),'Drop List'!$G$23:$K$87,5,FALSE),0)</f>
        <v>0</v>
      </c>
      <c r="AK640" s="1152">
        <f t="shared" si="175"/>
        <v>9915.9071940517588</v>
      </c>
      <c r="AL640" s="1153">
        <f t="shared" si="176"/>
        <v>7728.0557846880238</v>
      </c>
      <c r="AM640" s="1153">
        <f t="shared" si="177"/>
        <v>0</v>
      </c>
      <c r="AN640" s="1145">
        <f t="shared" si="178"/>
        <v>0</v>
      </c>
      <c r="AO640" s="1154">
        <f t="shared" si="179"/>
        <v>17643.962978739783</v>
      </c>
      <c r="AP640" s="1147">
        <f t="shared" si="165"/>
        <v>0</v>
      </c>
      <c r="AQ640" s="1144">
        <f t="shared" si="166"/>
        <v>0</v>
      </c>
      <c r="AR640" s="1146">
        <f t="shared" si="167"/>
        <v>17643.962978739783</v>
      </c>
    </row>
    <row r="641" spans="1:44" x14ac:dyDescent="0.2">
      <c r="A641" s="1141" t="str">
        <f t="shared" si="180"/>
        <v>1510</v>
      </c>
      <c r="B641" s="1141" t="str">
        <f>IFERROR(VLOOKUP(A641,'LAC 103'!A:C,3,FALSE),"")</f>
        <v>OP</v>
      </c>
      <c r="C641" s="1478" t="str">
        <f>Info!$B$8</f>
        <v>00100</v>
      </c>
      <c r="D641" s="1474" t="s">
        <v>256</v>
      </c>
      <c r="E641" s="1474" t="s">
        <v>95</v>
      </c>
      <c r="F641" s="1478" t="s">
        <v>77</v>
      </c>
      <c r="G641" s="1478" t="s">
        <v>77</v>
      </c>
      <c r="H641" s="1474" t="s">
        <v>983</v>
      </c>
      <c r="I641" s="1478" t="s">
        <v>823</v>
      </c>
      <c r="J641" s="1478" t="s">
        <v>1998</v>
      </c>
      <c r="K641" s="1475" t="s">
        <v>848</v>
      </c>
      <c r="L641" s="1474" t="s">
        <v>45</v>
      </c>
      <c r="M641" s="1476" t="s">
        <v>1699</v>
      </c>
      <c r="N641" s="1477" t="s">
        <v>1694</v>
      </c>
      <c r="O641" s="1479">
        <v>2782</v>
      </c>
      <c r="P641" s="1479"/>
      <c r="Q641" s="1142">
        <f t="shared" si="181"/>
        <v>2782</v>
      </c>
      <c r="R641" s="1143">
        <f>IFERROR(VLOOKUP(CONCATENATE(E641,G641),'LAC 103'!$A$12:$O$95,11,FALSE),0)</f>
        <v>3.2074101033884355</v>
      </c>
      <c r="S641" s="1144">
        <f>IFERROR(VLOOKUP(CONCATENATE($E641,$G641),'LAC 103'!$A$12:$O$95,12,FALSE),0)</f>
        <v>3.99</v>
      </c>
      <c r="T641" s="1144">
        <f>IFERROR(VLOOKUP(CONCATENATE($E641,$G641),'LAC 103'!$A$12:$O$95,13,FALSE),0)</f>
        <v>2.48</v>
      </c>
      <c r="U641" s="1144">
        <f>IFERROR(VLOOKUP(CONCATENATE($E641,$G641),'LAC 103'!$A$12:$O$95,14,FALSE),0)</f>
        <v>0</v>
      </c>
      <c r="V641" s="1144">
        <f>IFERROR(VLOOKUP(CONCATENATE($E641,$G641),'LAC 103'!$A$12:$O$95,15,FALSE),0)</f>
        <v>0</v>
      </c>
      <c r="W641" s="1145" t="str">
        <f>IFERROR(VLOOKUP(CONCATENATE($B641,$N641),'LAC 103'!$AI:$AQ,9,FALSE),"")</f>
        <v>Costs</v>
      </c>
      <c r="X641" s="1146">
        <f t="shared" si="168"/>
        <v>3.2074101033884355</v>
      </c>
      <c r="Y641" s="1143">
        <f t="shared" si="169"/>
        <v>8923.014907626628</v>
      </c>
      <c r="Z641" s="1147">
        <f t="shared" si="170"/>
        <v>11100.18</v>
      </c>
      <c r="AA641" s="1144">
        <f t="shared" si="171"/>
        <v>6899.36</v>
      </c>
      <c r="AB641" s="1144">
        <f t="shared" si="172"/>
        <v>0</v>
      </c>
      <c r="AC641" s="1144">
        <f t="shared" si="173"/>
        <v>0</v>
      </c>
      <c r="AD641" s="1148">
        <f t="shared" si="164"/>
        <v>8923.014907626628</v>
      </c>
      <c r="AE641" s="1487">
        <v>0</v>
      </c>
      <c r="AF641" s="1145">
        <f t="shared" si="174"/>
        <v>8923.014907626628</v>
      </c>
      <c r="AG641" s="1149">
        <f>IFERROR(VLOOKUP(CONCATENATE($L641,$N641),'Drop List'!$G$23:$K$87,2,FALSE),0)</f>
        <v>0.69340000000000002</v>
      </c>
      <c r="AH641" s="1150">
        <f>IFERROR(VLOOKUP(CONCATENATE($L641,$N641),'Drop List'!$G$23:$K$87,3,FALSE),0)</f>
        <v>0.30659999999999998</v>
      </c>
      <c r="AI641" s="1150">
        <f>IFERROR(VLOOKUP(CONCATENATE($L641,$N641),'Drop List'!$G$23:$K$87,4,FALSE),0)</f>
        <v>0</v>
      </c>
      <c r="AJ641" s="1151">
        <f>IFERROR(VLOOKUP(CONCATENATE($L641,$N641),'Drop List'!$G$23:$K$87,5,FALSE),0)</f>
        <v>0</v>
      </c>
      <c r="AK641" s="1152">
        <f t="shared" si="175"/>
        <v>6187.2185369483041</v>
      </c>
      <c r="AL641" s="1153">
        <f t="shared" si="176"/>
        <v>2735.7963706783239</v>
      </c>
      <c r="AM641" s="1153">
        <f t="shared" si="177"/>
        <v>0</v>
      </c>
      <c r="AN641" s="1145">
        <f t="shared" si="178"/>
        <v>0</v>
      </c>
      <c r="AO641" s="1154">
        <f t="shared" si="179"/>
        <v>8923.014907626628</v>
      </c>
      <c r="AP641" s="1147">
        <f t="shared" si="165"/>
        <v>0</v>
      </c>
      <c r="AQ641" s="1144">
        <f t="shared" si="166"/>
        <v>0</v>
      </c>
      <c r="AR641" s="1146">
        <f t="shared" si="167"/>
        <v>8923.014907626628</v>
      </c>
    </row>
    <row r="642" spans="1:44" x14ac:dyDescent="0.2">
      <c r="A642" s="1141" t="str">
        <f t="shared" si="180"/>
        <v>1510</v>
      </c>
      <c r="B642" s="1141" t="str">
        <f>IFERROR(VLOOKUP(A642,'LAC 103'!A:C,3,FALSE),"")</f>
        <v>OP</v>
      </c>
      <c r="C642" s="1478" t="str">
        <f>Info!$B$8</f>
        <v>00100</v>
      </c>
      <c r="D642" s="1474" t="s">
        <v>256</v>
      </c>
      <c r="E642" s="1474" t="s">
        <v>95</v>
      </c>
      <c r="F642" s="1478" t="s">
        <v>77</v>
      </c>
      <c r="G642" s="1478" t="s">
        <v>77</v>
      </c>
      <c r="H642" s="1474" t="s">
        <v>983</v>
      </c>
      <c r="I642" s="1478" t="s">
        <v>823</v>
      </c>
      <c r="J642" s="1478" t="s">
        <v>1998</v>
      </c>
      <c r="K642" s="1475" t="s">
        <v>848</v>
      </c>
      <c r="L642" s="1474" t="s">
        <v>45</v>
      </c>
      <c r="M642" s="1476" t="s">
        <v>841</v>
      </c>
      <c r="N642" s="1477" t="s">
        <v>1695</v>
      </c>
      <c r="O642" s="1479">
        <v>1038</v>
      </c>
      <c r="P642" s="1479"/>
      <c r="Q642" s="1142">
        <f t="shared" si="181"/>
        <v>1038</v>
      </c>
      <c r="R642" s="1143">
        <f>IFERROR(VLOOKUP(CONCATENATE(E642,G642),'LAC 103'!$A$12:$O$95,11,FALSE),0)</f>
        <v>3.2074101033884355</v>
      </c>
      <c r="S642" s="1144">
        <f>IFERROR(VLOOKUP(CONCATENATE($E642,$G642),'LAC 103'!$A$12:$O$95,12,FALSE),0)</f>
        <v>3.99</v>
      </c>
      <c r="T642" s="1144">
        <f>IFERROR(VLOOKUP(CONCATENATE($E642,$G642),'LAC 103'!$A$12:$O$95,13,FALSE),0)</f>
        <v>2.48</v>
      </c>
      <c r="U642" s="1144">
        <f>IFERROR(VLOOKUP(CONCATENATE($E642,$G642),'LAC 103'!$A$12:$O$95,14,FALSE),0)</f>
        <v>0</v>
      </c>
      <c r="V642" s="1144">
        <f>IFERROR(VLOOKUP(CONCATENATE($E642,$G642),'LAC 103'!$A$12:$O$95,15,FALSE),0)</f>
        <v>0</v>
      </c>
      <c r="W642" s="1145" t="str">
        <f>IFERROR(VLOOKUP(CONCATENATE($B642,$N642),'LAC 103'!$AI:$AQ,9,FALSE),"")</f>
        <v>Costs</v>
      </c>
      <c r="X642" s="1146">
        <f t="shared" si="168"/>
        <v>3.2074101033884355</v>
      </c>
      <c r="Y642" s="1143">
        <f t="shared" si="169"/>
        <v>3329.2916873171962</v>
      </c>
      <c r="Z642" s="1147">
        <f t="shared" si="170"/>
        <v>4141.62</v>
      </c>
      <c r="AA642" s="1144">
        <f t="shared" si="171"/>
        <v>2574.2399999999998</v>
      </c>
      <c r="AB642" s="1144">
        <f t="shared" si="172"/>
        <v>0</v>
      </c>
      <c r="AC642" s="1144">
        <f t="shared" si="173"/>
        <v>0</v>
      </c>
      <c r="AD642" s="1148">
        <f t="shared" si="164"/>
        <v>3329.2916873171962</v>
      </c>
      <c r="AE642" s="1487">
        <v>0</v>
      </c>
      <c r="AF642" s="1145">
        <f t="shared" si="174"/>
        <v>3329.2916873171962</v>
      </c>
      <c r="AG642" s="1149">
        <f>IFERROR(VLOOKUP(CONCATENATE($L642,$N642),'Drop List'!$G$23:$K$87,2,FALSE),0)</f>
        <v>0.68500000000000005</v>
      </c>
      <c r="AH642" s="1150">
        <f>IFERROR(VLOOKUP(CONCATENATE($L642,$N642),'Drop List'!$G$23:$K$87,3,FALSE),0)</f>
        <v>0.31499999999999995</v>
      </c>
      <c r="AI642" s="1150">
        <f>IFERROR(VLOOKUP(CONCATENATE($L642,$N642),'Drop List'!$G$23:$K$87,4,FALSE),0)</f>
        <v>0</v>
      </c>
      <c r="AJ642" s="1151">
        <f>IFERROR(VLOOKUP(CONCATENATE($L642,$N642),'Drop List'!$G$23:$K$87,5,FALSE),0)</f>
        <v>0</v>
      </c>
      <c r="AK642" s="1152">
        <f t="shared" si="175"/>
        <v>2280.5648058122797</v>
      </c>
      <c r="AL642" s="1153">
        <f t="shared" si="176"/>
        <v>1048.7268815049167</v>
      </c>
      <c r="AM642" s="1153">
        <f t="shared" si="177"/>
        <v>0</v>
      </c>
      <c r="AN642" s="1145">
        <f t="shared" si="178"/>
        <v>0</v>
      </c>
      <c r="AO642" s="1154">
        <f t="shared" si="179"/>
        <v>3329.2916873171962</v>
      </c>
      <c r="AP642" s="1147">
        <f t="shared" si="165"/>
        <v>0</v>
      </c>
      <c r="AQ642" s="1144">
        <f t="shared" si="166"/>
        <v>0</v>
      </c>
      <c r="AR642" s="1146">
        <f t="shared" si="167"/>
        <v>3329.2916873171962</v>
      </c>
    </row>
    <row r="643" spans="1:44" x14ac:dyDescent="0.2">
      <c r="A643" s="1141" t="str">
        <f t="shared" si="180"/>
        <v>1510</v>
      </c>
      <c r="B643" s="1141" t="str">
        <f>IFERROR(VLOOKUP(A643,'LAC 103'!A:C,3,FALSE),"")</f>
        <v>OP</v>
      </c>
      <c r="C643" s="1478" t="str">
        <f>Info!$B$8</f>
        <v>00100</v>
      </c>
      <c r="D643" s="1474" t="s">
        <v>256</v>
      </c>
      <c r="E643" s="1474" t="s">
        <v>95</v>
      </c>
      <c r="F643" s="1478" t="s">
        <v>77</v>
      </c>
      <c r="G643" s="1478" t="s">
        <v>77</v>
      </c>
      <c r="H643" s="1474" t="s">
        <v>983</v>
      </c>
      <c r="I643" s="1478" t="s">
        <v>823</v>
      </c>
      <c r="J643" s="1478" t="s">
        <v>1998</v>
      </c>
      <c r="K643" s="1475" t="s">
        <v>848</v>
      </c>
      <c r="L643" s="1474" t="s">
        <v>45</v>
      </c>
      <c r="M643" s="1476" t="s">
        <v>840</v>
      </c>
      <c r="N643" s="1477" t="s">
        <v>1700</v>
      </c>
      <c r="O643" s="1479">
        <v>804</v>
      </c>
      <c r="P643" s="1479"/>
      <c r="Q643" s="1142">
        <f t="shared" si="181"/>
        <v>804</v>
      </c>
      <c r="R643" s="1143">
        <f>IFERROR(VLOOKUP(CONCATENATE(E643,G643),'LAC 103'!$A$12:$O$95,11,FALSE),0)</f>
        <v>3.2074101033884355</v>
      </c>
      <c r="S643" s="1144">
        <f>IFERROR(VLOOKUP(CONCATENATE($E643,$G643),'LAC 103'!$A$12:$O$95,12,FALSE),0)</f>
        <v>3.99</v>
      </c>
      <c r="T643" s="1144">
        <f>IFERROR(VLOOKUP(CONCATENATE($E643,$G643),'LAC 103'!$A$12:$O$95,13,FALSE),0)</f>
        <v>2.48</v>
      </c>
      <c r="U643" s="1144">
        <f>IFERROR(VLOOKUP(CONCATENATE($E643,$G643),'LAC 103'!$A$12:$O$95,14,FALSE),0)</f>
        <v>0</v>
      </c>
      <c r="V643" s="1144">
        <f>IFERROR(VLOOKUP(CONCATENATE($E643,$G643),'LAC 103'!$A$12:$O$95,15,FALSE),0)</f>
        <v>0</v>
      </c>
      <c r="W643" s="1145" t="str">
        <f>IFERROR(VLOOKUP(CONCATENATE($B643,$N643),'LAC 103'!$AI:$AQ,9,FALSE),"")</f>
        <v>P.C.</v>
      </c>
      <c r="X643" s="1146">
        <f t="shared" si="168"/>
        <v>2.48</v>
      </c>
      <c r="Y643" s="1143">
        <f t="shared" si="169"/>
        <v>2578.7577231243022</v>
      </c>
      <c r="Z643" s="1147">
        <f t="shared" si="170"/>
        <v>3207.96</v>
      </c>
      <c r="AA643" s="1144">
        <f t="shared" si="171"/>
        <v>1993.92</v>
      </c>
      <c r="AB643" s="1144">
        <f t="shared" si="172"/>
        <v>0</v>
      </c>
      <c r="AC643" s="1144">
        <f t="shared" si="173"/>
        <v>0</v>
      </c>
      <c r="AD643" s="1148">
        <f t="shared" si="164"/>
        <v>1993.92</v>
      </c>
      <c r="AE643" s="1487">
        <v>0</v>
      </c>
      <c r="AF643" s="1145">
        <f t="shared" si="174"/>
        <v>1993.92</v>
      </c>
      <c r="AG643" s="1149">
        <f>IFERROR(VLOOKUP(CONCATENATE($L643,$N643),'Drop List'!$G$23:$K$87,2,FALSE),0)</f>
        <v>0.68500000000000005</v>
      </c>
      <c r="AH643" s="1150">
        <f>IFERROR(VLOOKUP(CONCATENATE($L643,$N643),'Drop List'!$G$23:$K$87,3,FALSE),0)</f>
        <v>0.31499999999999995</v>
      </c>
      <c r="AI643" s="1150">
        <f>IFERROR(VLOOKUP(CONCATENATE($L643,$N643),'Drop List'!$G$23:$K$87,4,FALSE),0)</f>
        <v>0</v>
      </c>
      <c r="AJ643" s="1151">
        <f>IFERROR(VLOOKUP(CONCATENATE($L643,$N643),'Drop List'!$G$23:$K$87,5,FALSE),0)</f>
        <v>0</v>
      </c>
      <c r="AK643" s="1152">
        <f t="shared" si="175"/>
        <v>1365.8352000000002</v>
      </c>
      <c r="AL643" s="1153">
        <f t="shared" si="176"/>
        <v>628.08479999999997</v>
      </c>
      <c r="AM643" s="1153">
        <f t="shared" si="177"/>
        <v>0</v>
      </c>
      <c r="AN643" s="1145">
        <f t="shared" si="178"/>
        <v>0</v>
      </c>
      <c r="AO643" s="1154">
        <f t="shared" si="179"/>
        <v>1993.92</v>
      </c>
      <c r="AP643" s="1147">
        <f t="shared" si="165"/>
        <v>0</v>
      </c>
      <c r="AQ643" s="1144">
        <f t="shared" si="166"/>
        <v>0</v>
      </c>
      <c r="AR643" s="1146">
        <f t="shared" si="167"/>
        <v>1993.92</v>
      </c>
    </row>
    <row r="644" spans="1:44" x14ac:dyDescent="0.2">
      <c r="A644" s="1141" t="str">
        <f t="shared" si="180"/>
        <v>1510</v>
      </c>
      <c r="B644" s="1141" t="str">
        <f>IFERROR(VLOOKUP(A644,'LAC 103'!A:C,3,FALSE),"")</f>
        <v>OP</v>
      </c>
      <c r="C644" s="1478" t="str">
        <f>Info!$B$8</f>
        <v>00100</v>
      </c>
      <c r="D644" s="1474" t="s">
        <v>256</v>
      </c>
      <c r="E644" s="1474" t="s">
        <v>95</v>
      </c>
      <c r="F644" s="1478" t="s">
        <v>77</v>
      </c>
      <c r="G644" s="1478" t="s">
        <v>77</v>
      </c>
      <c r="H644" s="1474" t="s">
        <v>983</v>
      </c>
      <c r="I644" s="1478" t="s">
        <v>823</v>
      </c>
      <c r="J644" s="1478" t="s">
        <v>1998</v>
      </c>
      <c r="K644" s="1475" t="s">
        <v>848</v>
      </c>
      <c r="L644" s="1474" t="s">
        <v>45</v>
      </c>
      <c r="M644" s="1476" t="s">
        <v>842</v>
      </c>
      <c r="N644" s="1477" t="s">
        <v>1692</v>
      </c>
      <c r="O644" s="1479">
        <v>3559</v>
      </c>
      <c r="P644" s="1479"/>
      <c r="Q644" s="1142">
        <f t="shared" si="181"/>
        <v>3559</v>
      </c>
      <c r="R644" s="1143">
        <f>IFERROR(VLOOKUP(CONCATENATE(E644,G644),'LAC 103'!$A$12:$O$95,11,FALSE),0)</f>
        <v>3.2074101033884355</v>
      </c>
      <c r="S644" s="1144">
        <f>IFERROR(VLOOKUP(CONCATENATE($E644,$G644),'LAC 103'!$A$12:$O$95,12,FALSE),0)</f>
        <v>3.99</v>
      </c>
      <c r="T644" s="1144">
        <f>IFERROR(VLOOKUP(CONCATENATE($E644,$G644),'LAC 103'!$A$12:$O$95,13,FALSE),0)</f>
        <v>2.48</v>
      </c>
      <c r="U644" s="1144">
        <f>IFERROR(VLOOKUP(CONCATENATE($E644,$G644),'LAC 103'!$A$12:$O$95,14,FALSE),0)</f>
        <v>0</v>
      </c>
      <c r="V644" s="1144">
        <f>IFERROR(VLOOKUP(CONCATENATE($E644,$G644),'LAC 103'!$A$12:$O$95,15,FALSE),0)</f>
        <v>0</v>
      </c>
      <c r="W644" s="1145" t="str">
        <f>IFERROR(VLOOKUP(CONCATENATE($B644,$N644),'LAC 103'!$AI:$AQ,9,FALSE),"")</f>
        <v>Costs</v>
      </c>
      <c r="X644" s="1146">
        <f t="shared" si="168"/>
        <v>3.2074101033884355</v>
      </c>
      <c r="Y644" s="1143">
        <f t="shared" si="169"/>
        <v>11415.172557959442</v>
      </c>
      <c r="Z644" s="1147">
        <f t="shared" si="170"/>
        <v>14200.41</v>
      </c>
      <c r="AA644" s="1144">
        <f t="shared" si="171"/>
        <v>8826.32</v>
      </c>
      <c r="AB644" s="1144">
        <f t="shared" si="172"/>
        <v>0</v>
      </c>
      <c r="AC644" s="1144">
        <f t="shared" si="173"/>
        <v>0</v>
      </c>
      <c r="AD644" s="1148">
        <f t="shared" si="164"/>
        <v>11415.172557959442</v>
      </c>
      <c r="AE644" s="1487">
        <v>0</v>
      </c>
      <c r="AF644" s="1145">
        <f t="shared" si="174"/>
        <v>11415.172557959442</v>
      </c>
      <c r="AG644" s="1149">
        <f>IFERROR(VLOOKUP(CONCATENATE($L644,$N644),'Drop List'!$G$23:$K$87,2,FALSE),0)</f>
        <v>0.69340000000000002</v>
      </c>
      <c r="AH644" s="1150">
        <f>IFERROR(VLOOKUP(CONCATENATE($L644,$N644),'Drop List'!$G$23:$K$87,3,FALSE),0)</f>
        <v>0.30659999999999998</v>
      </c>
      <c r="AI644" s="1150">
        <f>IFERROR(VLOOKUP(CONCATENATE($L644,$N644),'Drop List'!$G$23:$K$87,4,FALSE),0)</f>
        <v>0</v>
      </c>
      <c r="AJ644" s="1151">
        <f>IFERROR(VLOOKUP(CONCATENATE($L644,$N644),'Drop List'!$G$23:$K$87,5,FALSE),0)</f>
        <v>0</v>
      </c>
      <c r="AK644" s="1152">
        <f t="shared" si="175"/>
        <v>7915.2806516890778</v>
      </c>
      <c r="AL644" s="1153">
        <f t="shared" si="176"/>
        <v>3499.8919062703649</v>
      </c>
      <c r="AM644" s="1153">
        <f t="shared" si="177"/>
        <v>0</v>
      </c>
      <c r="AN644" s="1145">
        <f t="shared" si="178"/>
        <v>0</v>
      </c>
      <c r="AO644" s="1154">
        <f t="shared" si="179"/>
        <v>11415.172557959442</v>
      </c>
      <c r="AP644" s="1147">
        <f t="shared" si="165"/>
        <v>0</v>
      </c>
      <c r="AQ644" s="1144">
        <f t="shared" si="166"/>
        <v>0</v>
      </c>
      <c r="AR644" s="1146">
        <f t="shared" si="167"/>
        <v>11415.172557959442</v>
      </c>
    </row>
    <row r="645" spans="1:44" x14ac:dyDescent="0.2">
      <c r="A645" s="1141" t="str">
        <f t="shared" si="180"/>
        <v>1510</v>
      </c>
      <c r="B645" s="1141" t="str">
        <f>IFERROR(VLOOKUP(A645,'LAC 103'!A:C,3,FALSE),"")</f>
        <v>OP</v>
      </c>
      <c r="C645" s="1478" t="str">
        <f>Info!$B$8</f>
        <v>00100</v>
      </c>
      <c r="D645" s="1474" t="s">
        <v>256</v>
      </c>
      <c r="E645" s="1474" t="s">
        <v>95</v>
      </c>
      <c r="F645" s="1478" t="s">
        <v>77</v>
      </c>
      <c r="G645" s="1478" t="s">
        <v>77</v>
      </c>
      <c r="H645" s="1474" t="s">
        <v>983</v>
      </c>
      <c r="I645" s="1478" t="s">
        <v>823</v>
      </c>
      <c r="J645" s="1478" t="s">
        <v>1998</v>
      </c>
      <c r="K645" s="1475" t="s">
        <v>848</v>
      </c>
      <c r="L645" s="1474" t="s">
        <v>45</v>
      </c>
      <c r="M645" s="1476" t="s">
        <v>1698</v>
      </c>
      <c r="N645" s="1477" t="s">
        <v>1693</v>
      </c>
      <c r="O645" s="1479">
        <v>1900</v>
      </c>
      <c r="P645" s="1479"/>
      <c r="Q645" s="1142">
        <f t="shared" si="181"/>
        <v>1900</v>
      </c>
      <c r="R645" s="1143">
        <f>IFERROR(VLOOKUP(CONCATENATE(E645,G645),'LAC 103'!$A$12:$O$95,11,FALSE),0)</f>
        <v>3.2074101033884355</v>
      </c>
      <c r="S645" s="1144">
        <f>IFERROR(VLOOKUP(CONCATENATE($E645,$G645),'LAC 103'!$A$12:$O$95,12,FALSE),0)</f>
        <v>3.99</v>
      </c>
      <c r="T645" s="1144">
        <f>IFERROR(VLOOKUP(CONCATENATE($E645,$G645),'LAC 103'!$A$12:$O$95,13,FALSE),0)</f>
        <v>2.48</v>
      </c>
      <c r="U645" s="1144">
        <f>IFERROR(VLOOKUP(CONCATENATE($E645,$G645),'LAC 103'!$A$12:$O$95,14,FALSE),0)</f>
        <v>0</v>
      </c>
      <c r="V645" s="1144">
        <f>IFERROR(VLOOKUP(CONCATENATE($E645,$G645),'LAC 103'!$A$12:$O$95,15,FALSE),0)</f>
        <v>0</v>
      </c>
      <c r="W645" s="1145" t="str">
        <f>IFERROR(VLOOKUP(CONCATENATE($B645,$N645),'LAC 103'!$AI:$AQ,9,FALSE),"")</f>
        <v>Costs</v>
      </c>
      <c r="X645" s="1146">
        <f t="shared" si="168"/>
        <v>3.2074101033884355</v>
      </c>
      <c r="Y645" s="1143">
        <f t="shared" si="169"/>
        <v>6094.0791964380278</v>
      </c>
      <c r="Z645" s="1147">
        <f t="shared" si="170"/>
        <v>7581</v>
      </c>
      <c r="AA645" s="1144">
        <f t="shared" si="171"/>
        <v>4712</v>
      </c>
      <c r="AB645" s="1144">
        <f t="shared" si="172"/>
        <v>0</v>
      </c>
      <c r="AC645" s="1144">
        <f t="shared" si="173"/>
        <v>0</v>
      </c>
      <c r="AD645" s="1148">
        <f t="shared" si="164"/>
        <v>6094.0791964380278</v>
      </c>
      <c r="AE645" s="1487">
        <v>0</v>
      </c>
      <c r="AF645" s="1145">
        <f t="shared" si="174"/>
        <v>6094.0791964380278</v>
      </c>
      <c r="AG645" s="1149">
        <f>IFERROR(VLOOKUP(CONCATENATE($L645,$N645),'Drop List'!$G$23:$K$87,2,FALSE),0)</f>
        <v>0.69340000000000002</v>
      </c>
      <c r="AH645" s="1150">
        <f>IFERROR(VLOOKUP(CONCATENATE($L645,$N645),'Drop List'!$G$23:$K$87,3,FALSE),0)</f>
        <v>0.30659999999999998</v>
      </c>
      <c r="AI645" s="1150">
        <f>IFERROR(VLOOKUP(CONCATENATE($L645,$N645),'Drop List'!$G$23:$K$87,4,FALSE),0)</f>
        <v>0</v>
      </c>
      <c r="AJ645" s="1151">
        <f>IFERROR(VLOOKUP(CONCATENATE($L645,$N645),'Drop List'!$G$23:$K$87,5,FALSE),0)</f>
        <v>0</v>
      </c>
      <c r="AK645" s="1152">
        <f t="shared" si="175"/>
        <v>4225.6345148101282</v>
      </c>
      <c r="AL645" s="1153">
        <f t="shared" si="176"/>
        <v>1868.4446816278992</v>
      </c>
      <c r="AM645" s="1153">
        <f t="shared" si="177"/>
        <v>0</v>
      </c>
      <c r="AN645" s="1145">
        <f t="shared" si="178"/>
        <v>0</v>
      </c>
      <c r="AO645" s="1154">
        <f t="shared" si="179"/>
        <v>6094.0791964380278</v>
      </c>
      <c r="AP645" s="1147">
        <f t="shared" si="165"/>
        <v>0</v>
      </c>
      <c r="AQ645" s="1144">
        <f t="shared" si="166"/>
        <v>0</v>
      </c>
      <c r="AR645" s="1146">
        <f t="shared" si="167"/>
        <v>6094.0791964380278</v>
      </c>
    </row>
    <row r="646" spans="1:44" x14ac:dyDescent="0.2">
      <c r="A646" s="1141" t="str">
        <f t="shared" si="180"/>
        <v>1510</v>
      </c>
      <c r="B646" s="1141" t="str">
        <f>IFERROR(VLOOKUP(A646,'LAC 103'!A:C,3,FALSE),"")</f>
        <v>OP</v>
      </c>
      <c r="C646" s="1478" t="str">
        <f>Info!$B$8</f>
        <v>00100</v>
      </c>
      <c r="D646" s="1474" t="s">
        <v>256</v>
      </c>
      <c r="E646" s="1474" t="s">
        <v>95</v>
      </c>
      <c r="F646" s="1478" t="s">
        <v>77</v>
      </c>
      <c r="G646" s="1478" t="s">
        <v>77</v>
      </c>
      <c r="H646" s="1474" t="s">
        <v>983</v>
      </c>
      <c r="I646" s="1478" t="s">
        <v>823</v>
      </c>
      <c r="J646" s="1478" t="s">
        <v>1998</v>
      </c>
      <c r="K646" s="1475" t="s">
        <v>971</v>
      </c>
      <c r="L646" s="1474" t="s">
        <v>332</v>
      </c>
      <c r="M646" s="1476" t="s">
        <v>842</v>
      </c>
      <c r="N646" s="1477" t="s">
        <v>1692</v>
      </c>
      <c r="O646" s="1479">
        <v>1255</v>
      </c>
      <c r="P646" s="1479"/>
      <c r="Q646" s="1142">
        <f t="shared" si="181"/>
        <v>1255</v>
      </c>
      <c r="R646" s="1143">
        <f>IFERROR(VLOOKUP(CONCATENATE(E646,G646),'LAC 103'!$A$12:$O$95,11,FALSE),0)</f>
        <v>3.2074101033884355</v>
      </c>
      <c r="S646" s="1144">
        <f>IFERROR(VLOOKUP(CONCATENATE($E646,$G646),'LAC 103'!$A$12:$O$95,12,FALSE),0)</f>
        <v>3.99</v>
      </c>
      <c r="T646" s="1144">
        <f>IFERROR(VLOOKUP(CONCATENATE($E646,$G646),'LAC 103'!$A$12:$O$95,13,FALSE),0)</f>
        <v>2.48</v>
      </c>
      <c r="U646" s="1144">
        <f>IFERROR(VLOOKUP(CONCATENATE($E646,$G646),'LAC 103'!$A$12:$O$95,14,FALSE),0)</f>
        <v>0</v>
      </c>
      <c r="V646" s="1144">
        <f>IFERROR(VLOOKUP(CONCATENATE($E646,$G646),'LAC 103'!$A$12:$O$95,15,FALSE),0)</f>
        <v>0</v>
      </c>
      <c r="W646" s="1145" t="str">
        <f>IFERROR(VLOOKUP(CONCATENATE($B646,$N646),'LAC 103'!$AI:$AQ,9,FALSE),"")</f>
        <v>Costs</v>
      </c>
      <c r="X646" s="1146">
        <f t="shared" si="168"/>
        <v>3.2074101033884355</v>
      </c>
      <c r="Y646" s="1143">
        <f t="shared" si="169"/>
        <v>4025.2996797524866</v>
      </c>
      <c r="Z646" s="1147">
        <f t="shared" si="170"/>
        <v>5007.45</v>
      </c>
      <c r="AA646" s="1144">
        <f t="shared" si="171"/>
        <v>3112.4</v>
      </c>
      <c r="AB646" s="1144">
        <f t="shared" si="172"/>
        <v>0</v>
      </c>
      <c r="AC646" s="1144">
        <f t="shared" si="173"/>
        <v>0</v>
      </c>
      <c r="AD646" s="1148">
        <f t="shared" si="164"/>
        <v>4025.2996797524866</v>
      </c>
      <c r="AE646" s="1487">
        <v>0</v>
      </c>
      <c r="AF646" s="1145">
        <f t="shared" si="174"/>
        <v>4025.2996797524866</v>
      </c>
      <c r="AG646" s="1149">
        <f>IFERROR(VLOOKUP(CONCATENATE($L646,$N646),'Drop List'!$G$23:$K$87,2,FALSE),0)</f>
        <v>0</v>
      </c>
      <c r="AH646" s="1150">
        <f>IFERROR(VLOOKUP(CONCATENATE($L646,$N646),'Drop List'!$G$23:$K$87,3,FALSE),0)</f>
        <v>0</v>
      </c>
      <c r="AI646" s="1150">
        <f>IFERROR(VLOOKUP(CONCATENATE($L646,$N646),'Drop List'!$G$23:$K$87,4,FALSE),0)</f>
        <v>0</v>
      </c>
      <c r="AJ646" s="1151">
        <f>IFERROR(VLOOKUP(CONCATENATE($L646,$N646),'Drop List'!$G$23:$K$87,5,FALSE),0)</f>
        <v>0</v>
      </c>
      <c r="AK646" s="1152">
        <f t="shared" si="175"/>
        <v>0</v>
      </c>
      <c r="AL646" s="1153">
        <f t="shared" si="176"/>
        <v>0</v>
      </c>
      <c r="AM646" s="1153">
        <f t="shared" si="177"/>
        <v>0</v>
      </c>
      <c r="AN646" s="1145">
        <f t="shared" si="178"/>
        <v>0</v>
      </c>
      <c r="AO646" s="1154">
        <f t="shared" si="179"/>
        <v>0</v>
      </c>
      <c r="AP646" s="1147">
        <f t="shared" si="165"/>
        <v>4025.2996797524866</v>
      </c>
      <c r="AQ646" s="1144">
        <f t="shared" si="166"/>
        <v>0</v>
      </c>
      <c r="AR646" s="1146">
        <f t="shared" si="167"/>
        <v>4025.2996797524866</v>
      </c>
    </row>
    <row r="647" spans="1:44" x14ac:dyDescent="0.2">
      <c r="A647" s="1141" t="str">
        <f t="shared" si="180"/>
        <v>1510</v>
      </c>
      <c r="B647" s="1141" t="str">
        <f>IFERROR(VLOOKUP(A647,'LAC 103'!A:C,3,FALSE),"")</f>
        <v>OP</v>
      </c>
      <c r="C647" s="1478" t="str">
        <f>Info!$B$8</f>
        <v>00100</v>
      </c>
      <c r="D647" s="1474" t="s">
        <v>256</v>
      </c>
      <c r="E647" s="1474" t="s">
        <v>95</v>
      </c>
      <c r="F647" s="1478" t="s">
        <v>77</v>
      </c>
      <c r="G647" s="1478" t="s">
        <v>77</v>
      </c>
      <c r="H647" s="1474" t="s">
        <v>983</v>
      </c>
      <c r="I647" s="1478" t="s">
        <v>823</v>
      </c>
      <c r="J647" s="1478" t="s">
        <v>1998</v>
      </c>
      <c r="K647" s="1475" t="s">
        <v>971</v>
      </c>
      <c r="L647" s="1474" t="s">
        <v>332</v>
      </c>
      <c r="M647" s="1476" t="s">
        <v>1698</v>
      </c>
      <c r="N647" s="1477" t="s">
        <v>1693</v>
      </c>
      <c r="O647" s="1479">
        <v>125</v>
      </c>
      <c r="P647" s="1479"/>
      <c r="Q647" s="1142">
        <f t="shared" si="181"/>
        <v>125</v>
      </c>
      <c r="R647" s="1143">
        <f>IFERROR(VLOOKUP(CONCATENATE(E647,G647),'LAC 103'!$A$12:$O$95,11,FALSE),0)</f>
        <v>3.2074101033884355</v>
      </c>
      <c r="S647" s="1144">
        <f>IFERROR(VLOOKUP(CONCATENATE($E647,$G647),'LAC 103'!$A$12:$O$95,12,FALSE),0)</f>
        <v>3.99</v>
      </c>
      <c r="T647" s="1144">
        <f>IFERROR(VLOOKUP(CONCATENATE($E647,$G647),'LAC 103'!$A$12:$O$95,13,FALSE),0)</f>
        <v>2.48</v>
      </c>
      <c r="U647" s="1144">
        <f>IFERROR(VLOOKUP(CONCATENATE($E647,$G647),'LAC 103'!$A$12:$O$95,14,FALSE),0)</f>
        <v>0</v>
      </c>
      <c r="V647" s="1144">
        <f>IFERROR(VLOOKUP(CONCATENATE($E647,$G647),'LAC 103'!$A$12:$O$95,15,FALSE),0)</f>
        <v>0</v>
      </c>
      <c r="W647" s="1145" t="str">
        <f>IFERROR(VLOOKUP(CONCATENATE($B647,$N647),'LAC 103'!$AI:$AQ,9,FALSE),"")</f>
        <v>Costs</v>
      </c>
      <c r="X647" s="1146">
        <f t="shared" si="168"/>
        <v>3.2074101033884355</v>
      </c>
      <c r="Y647" s="1143">
        <f t="shared" si="169"/>
        <v>400.92626292355442</v>
      </c>
      <c r="Z647" s="1147">
        <f t="shared" si="170"/>
        <v>498.75</v>
      </c>
      <c r="AA647" s="1144">
        <f t="shared" si="171"/>
        <v>310</v>
      </c>
      <c r="AB647" s="1144">
        <f t="shared" si="172"/>
        <v>0</v>
      </c>
      <c r="AC647" s="1144">
        <f t="shared" si="173"/>
        <v>0</v>
      </c>
      <c r="AD647" s="1148">
        <f t="shared" ref="AD647:AD710" si="182">Q647*X647</f>
        <v>400.92626292355442</v>
      </c>
      <c r="AE647" s="1487">
        <v>0</v>
      </c>
      <c r="AF647" s="1145">
        <f t="shared" si="174"/>
        <v>400.92626292355442</v>
      </c>
      <c r="AG647" s="1149">
        <f>IFERROR(VLOOKUP(CONCATENATE($L647,$N647),'Drop List'!$G$23:$K$87,2,FALSE),0)</f>
        <v>0</v>
      </c>
      <c r="AH647" s="1150">
        <f>IFERROR(VLOOKUP(CONCATENATE($L647,$N647),'Drop List'!$G$23:$K$87,3,FALSE),0)</f>
        <v>0</v>
      </c>
      <c r="AI647" s="1150">
        <f>IFERROR(VLOOKUP(CONCATENATE($L647,$N647),'Drop List'!$G$23:$K$87,4,FALSE),0)</f>
        <v>0</v>
      </c>
      <c r="AJ647" s="1151">
        <f>IFERROR(VLOOKUP(CONCATENATE($L647,$N647),'Drop List'!$G$23:$K$87,5,FALSE),0)</f>
        <v>0</v>
      </c>
      <c r="AK647" s="1152">
        <f t="shared" si="175"/>
        <v>0</v>
      </c>
      <c r="AL647" s="1153">
        <f t="shared" si="176"/>
        <v>0</v>
      </c>
      <c r="AM647" s="1153">
        <f t="shared" si="177"/>
        <v>0</v>
      </c>
      <c r="AN647" s="1145">
        <f t="shared" si="178"/>
        <v>0</v>
      </c>
      <c r="AO647" s="1154">
        <f t="shared" si="179"/>
        <v>0</v>
      </c>
      <c r="AP647" s="1147">
        <f t="shared" ref="AP647:AP710" si="183">IF($L647="14",$AF647,0)</f>
        <v>400.92626292355442</v>
      </c>
      <c r="AQ647" s="1144">
        <f t="shared" ref="AQ647:AQ710" si="184">IF($L647="15",$AF647,0)</f>
        <v>0</v>
      </c>
      <c r="AR647" s="1146">
        <f t="shared" ref="AR647:AR710" si="185">AO647+AP647+AQ647</f>
        <v>400.92626292355442</v>
      </c>
    </row>
    <row r="648" spans="1:44" x14ac:dyDescent="0.2">
      <c r="A648" s="1141" t="str">
        <f t="shared" si="180"/>
        <v>1510</v>
      </c>
      <c r="B648" s="1141" t="str">
        <f>IFERROR(VLOOKUP(A648,'LAC 103'!A:C,3,FALSE),"")</f>
        <v>OP</v>
      </c>
      <c r="C648" s="1478" t="str">
        <f>Info!$B$8</f>
        <v>00100</v>
      </c>
      <c r="D648" s="1474" t="s">
        <v>256</v>
      </c>
      <c r="E648" s="1474" t="s">
        <v>95</v>
      </c>
      <c r="F648" s="1478" t="s">
        <v>77</v>
      </c>
      <c r="G648" s="1478" t="s">
        <v>77</v>
      </c>
      <c r="H648" s="1474" t="s">
        <v>983</v>
      </c>
      <c r="I648" s="1478" t="s">
        <v>823</v>
      </c>
      <c r="J648" s="1478" t="s">
        <v>1998</v>
      </c>
      <c r="K648" s="1475" t="s">
        <v>850</v>
      </c>
      <c r="L648" s="1474" t="s">
        <v>330</v>
      </c>
      <c r="M648" s="1476" t="s">
        <v>1699</v>
      </c>
      <c r="N648" s="1477" t="s">
        <v>1694</v>
      </c>
      <c r="O648" s="1479">
        <v>82</v>
      </c>
      <c r="P648" s="1479"/>
      <c r="Q648" s="1142">
        <f t="shared" si="181"/>
        <v>82</v>
      </c>
      <c r="R648" s="1143">
        <f>IFERROR(VLOOKUP(CONCATENATE(E648,G648),'LAC 103'!$A$12:$O$95,11,FALSE),0)</f>
        <v>3.2074101033884355</v>
      </c>
      <c r="S648" s="1144">
        <f>IFERROR(VLOOKUP(CONCATENATE($E648,$G648),'LAC 103'!$A$12:$O$95,12,FALSE),0)</f>
        <v>3.99</v>
      </c>
      <c r="T648" s="1144">
        <f>IFERROR(VLOOKUP(CONCATENATE($E648,$G648),'LAC 103'!$A$12:$O$95,13,FALSE),0)</f>
        <v>2.48</v>
      </c>
      <c r="U648" s="1144">
        <f>IFERROR(VLOOKUP(CONCATENATE($E648,$G648),'LAC 103'!$A$12:$O$95,14,FALSE),0)</f>
        <v>0</v>
      </c>
      <c r="V648" s="1144">
        <f>IFERROR(VLOOKUP(CONCATENATE($E648,$G648),'LAC 103'!$A$12:$O$95,15,FALSE),0)</f>
        <v>0</v>
      </c>
      <c r="W648" s="1145" t="str">
        <f>IFERROR(VLOOKUP(CONCATENATE($B648,$N648),'LAC 103'!$AI:$AQ,9,FALSE),"")</f>
        <v>Costs</v>
      </c>
      <c r="X648" s="1146">
        <f t="shared" ref="X648:X711" si="186">IF($W648="Costs",$R648,IF($W648="CMA",$S648,IF($W648="P.C.",$T648,IF($W648="SMA",$U648,$V648))))</f>
        <v>3.2074101033884355</v>
      </c>
      <c r="Y648" s="1143">
        <f t="shared" ref="Y648:Y711" si="187">$Q648*R648</f>
        <v>263.00762847785171</v>
      </c>
      <c r="Z648" s="1147">
        <f t="shared" ref="Z648:Z711" si="188">IF(S648=0,Y648,$Q648*S648)</f>
        <v>327.18</v>
      </c>
      <c r="AA648" s="1144">
        <f t="shared" ref="AA648:AA711" si="189">IF(T648=0,Y648,$Q648*T648)</f>
        <v>203.35999999999999</v>
      </c>
      <c r="AB648" s="1144">
        <f t="shared" ref="AB648:AB711" si="190">$Q648*U648</f>
        <v>0</v>
      </c>
      <c r="AC648" s="1144">
        <f t="shared" ref="AC648:AC711" si="191">$Q648*V648</f>
        <v>0</v>
      </c>
      <c r="AD648" s="1148">
        <f t="shared" si="182"/>
        <v>263.00762847785171</v>
      </c>
      <c r="AE648" s="1487">
        <v>0</v>
      </c>
      <c r="AF648" s="1145">
        <f t="shared" ref="AF648:AF711" si="192">AD648-AE648</f>
        <v>263.00762847785171</v>
      </c>
      <c r="AG648" s="1149">
        <f>IFERROR(VLOOKUP(CONCATENATE($L648,$N648),'Drop List'!$G$23:$K$87,2,FALSE),0)</f>
        <v>0</v>
      </c>
      <c r="AH648" s="1150">
        <f>IFERROR(VLOOKUP(CONCATENATE($L648,$N648),'Drop List'!$G$23:$K$87,3,FALSE),0)</f>
        <v>0</v>
      </c>
      <c r="AI648" s="1150">
        <f>IFERROR(VLOOKUP(CONCATENATE($L648,$N648),'Drop List'!$G$23:$K$87,4,FALSE),0)</f>
        <v>1</v>
      </c>
      <c r="AJ648" s="1151">
        <f>IFERROR(VLOOKUP(CONCATENATE($L648,$N648),'Drop List'!$G$23:$K$87,5,FALSE),0)</f>
        <v>0</v>
      </c>
      <c r="AK648" s="1152">
        <f t="shared" ref="AK648:AK711" si="193">IFERROR($AF648*AG648,0)</f>
        <v>0</v>
      </c>
      <c r="AL648" s="1153">
        <f t="shared" ref="AL648:AL711" si="194">IFERROR($AF648*AH648,0)</f>
        <v>0</v>
      </c>
      <c r="AM648" s="1153">
        <f t="shared" ref="AM648:AM711" si="195">IFERROR($AF648*AI648,0)</f>
        <v>263.00762847785171</v>
      </c>
      <c r="AN648" s="1145">
        <f t="shared" ref="AN648:AN711" si="196">IFERROR($AF648*AJ648,0)</f>
        <v>0</v>
      </c>
      <c r="AO648" s="1154">
        <f t="shared" ref="AO648:AO711" si="197">SUM(AK648:AN648)</f>
        <v>263.00762847785171</v>
      </c>
      <c r="AP648" s="1147">
        <f t="shared" si="183"/>
        <v>0</v>
      </c>
      <c r="AQ648" s="1144">
        <f t="shared" si="184"/>
        <v>0</v>
      </c>
      <c r="AR648" s="1146">
        <f t="shared" si="185"/>
        <v>263.00762847785171</v>
      </c>
    </row>
    <row r="649" spans="1:44" x14ac:dyDescent="0.2">
      <c r="A649" s="1141" t="str">
        <f t="shared" si="180"/>
        <v>1510</v>
      </c>
      <c r="B649" s="1141" t="str">
        <f>IFERROR(VLOOKUP(A649,'LAC 103'!A:C,3,FALSE),"")</f>
        <v>OP</v>
      </c>
      <c r="C649" s="1478" t="str">
        <f>Info!$B$8</f>
        <v>00100</v>
      </c>
      <c r="D649" s="1474" t="s">
        <v>256</v>
      </c>
      <c r="E649" s="1474" t="s">
        <v>95</v>
      </c>
      <c r="F649" s="1478" t="s">
        <v>77</v>
      </c>
      <c r="G649" s="1478" t="s">
        <v>77</v>
      </c>
      <c r="H649" s="1474" t="s">
        <v>983</v>
      </c>
      <c r="I649" s="1478" t="s">
        <v>823</v>
      </c>
      <c r="J649" s="1478" t="s">
        <v>1998</v>
      </c>
      <c r="K649" s="1475" t="s">
        <v>850</v>
      </c>
      <c r="L649" s="1474" t="s">
        <v>330</v>
      </c>
      <c r="M649" s="1476" t="s">
        <v>842</v>
      </c>
      <c r="N649" s="1477" t="s">
        <v>1692</v>
      </c>
      <c r="O649" s="1479">
        <v>148</v>
      </c>
      <c r="P649" s="1479"/>
      <c r="Q649" s="1142">
        <f t="shared" si="181"/>
        <v>148</v>
      </c>
      <c r="R649" s="1143">
        <f>IFERROR(VLOOKUP(CONCATENATE(E649,G649),'LAC 103'!$A$12:$O$95,11,FALSE),0)</f>
        <v>3.2074101033884355</v>
      </c>
      <c r="S649" s="1144">
        <f>IFERROR(VLOOKUP(CONCATENATE($E649,$G649),'LAC 103'!$A$12:$O$95,12,FALSE),0)</f>
        <v>3.99</v>
      </c>
      <c r="T649" s="1144">
        <f>IFERROR(VLOOKUP(CONCATENATE($E649,$G649),'LAC 103'!$A$12:$O$95,13,FALSE),0)</f>
        <v>2.48</v>
      </c>
      <c r="U649" s="1144">
        <f>IFERROR(VLOOKUP(CONCATENATE($E649,$G649),'LAC 103'!$A$12:$O$95,14,FALSE),0)</f>
        <v>0</v>
      </c>
      <c r="V649" s="1144">
        <f>IFERROR(VLOOKUP(CONCATENATE($E649,$G649),'LAC 103'!$A$12:$O$95,15,FALSE),0)</f>
        <v>0</v>
      </c>
      <c r="W649" s="1145" t="str">
        <f>IFERROR(VLOOKUP(CONCATENATE($B649,$N649),'LAC 103'!$AI:$AQ,9,FALSE),"")</f>
        <v>Costs</v>
      </c>
      <c r="X649" s="1146">
        <f t="shared" si="186"/>
        <v>3.2074101033884355</v>
      </c>
      <c r="Y649" s="1143">
        <f t="shared" si="187"/>
        <v>474.69669530148843</v>
      </c>
      <c r="Z649" s="1147">
        <f t="shared" si="188"/>
        <v>590.52</v>
      </c>
      <c r="AA649" s="1144">
        <f t="shared" si="189"/>
        <v>367.04</v>
      </c>
      <c r="AB649" s="1144">
        <f t="shared" si="190"/>
        <v>0</v>
      </c>
      <c r="AC649" s="1144">
        <f t="shared" si="191"/>
        <v>0</v>
      </c>
      <c r="AD649" s="1148">
        <f t="shared" si="182"/>
        <v>474.69669530148843</v>
      </c>
      <c r="AE649" s="1487">
        <v>0</v>
      </c>
      <c r="AF649" s="1145">
        <f t="shared" si="192"/>
        <v>474.69669530148843</v>
      </c>
      <c r="AG649" s="1149">
        <f>IFERROR(VLOOKUP(CONCATENATE($L649,$N649),'Drop List'!$G$23:$K$87,2,FALSE),0)</f>
        <v>0</v>
      </c>
      <c r="AH649" s="1150">
        <f>IFERROR(VLOOKUP(CONCATENATE($L649,$N649),'Drop List'!$G$23:$K$87,3,FALSE),0)</f>
        <v>0</v>
      </c>
      <c r="AI649" s="1150">
        <f>IFERROR(VLOOKUP(CONCATENATE($L649,$N649),'Drop List'!$G$23:$K$87,4,FALSE),0)</f>
        <v>1</v>
      </c>
      <c r="AJ649" s="1151">
        <f>IFERROR(VLOOKUP(CONCATENATE($L649,$N649),'Drop List'!$G$23:$K$87,5,FALSE),0)</f>
        <v>0</v>
      </c>
      <c r="AK649" s="1152">
        <f t="shared" si="193"/>
        <v>0</v>
      </c>
      <c r="AL649" s="1153">
        <f t="shared" si="194"/>
        <v>0</v>
      </c>
      <c r="AM649" s="1153">
        <f t="shared" si="195"/>
        <v>474.69669530148843</v>
      </c>
      <c r="AN649" s="1145">
        <f t="shared" si="196"/>
        <v>0</v>
      </c>
      <c r="AO649" s="1154">
        <f t="shared" si="197"/>
        <v>474.69669530148843</v>
      </c>
      <c r="AP649" s="1147">
        <f t="shared" si="183"/>
        <v>0</v>
      </c>
      <c r="AQ649" s="1144">
        <f t="shared" si="184"/>
        <v>0</v>
      </c>
      <c r="AR649" s="1146">
        <f t="shared" si="185"/>
        <v>474.69669530148843</v>
      </c>
    </row>
    <row r="650" spans="1:44" x14ac:dyDescent="0.2">
      <c r="A650" s="1141" t="str">
        <f t="shared" si="180"/>
        <v>1510</v>
      </c>
      <c r="B650" s="1141" t="str">
        <f>IFERROR(VLOOKUP(A650,'LAC 103'!A:C,3,FALSE),"")</f>
        <v>OP</v>
      </c>
      <c r="C650" s="1478" t="str">
        <f>Info!$B$8</f>
        <v>00100</v>
      </c>
      <c r="D650" s="1474" t="s">
        <v>256</v>
      </c>
      <c r="E650" s="1474" t="s">
        <v>95</v>
      </c>
      <c r="F650" s="1478" t="s">
        <v>77</v>
      </c>
      <c r="G650" s="1478" t="s">
        <v>77</v>
      </c>
      <c r="H650" s="1474" t="s">
        <v>983</v>
      </c>
      <c r="I650" s="1478" t="s">
        <v>823</v>
      </c>
      <c r="J650" s="1478" t="s">
        <v>1998</v>
      </c>
      <c r="K650" s="1475" t="s">
        <v>850</v>
      </c>
      <c r="L650" s="1474" t="s">
        <v>330</v>
      </c>
      <c r="M650" s="1476" t="s">
        <v>1698</v>
      </c>
      <c r="N650" s="1477" t="s">
        <v>1693</v>
      </c>
      <c r="O650" s="1479">
        <v>609</v>
      </c>
      <c r="P650" s="1479"/>
      <c r="Q650" s="1142">
        <f t="shared" si="181"/>
        <v>609</v>
      </c>
      <c r="R650" s="1143">
        <f>IFERROR(VLOOKUP(CONCATENATE(E650,G650),'LAC 103'!$A$12:$O$95,11,FALSE),0)</f>
        <v>3.2074101033884355</v>
      </c>
      <c r="S650" s="1144">
        <f>IFERROR(VLOOKUP(CONCATENATE($E650,$G650),'LAC 103'!$A$12:$O$95,12,FALSE),0)</f>
        <v>3.99</v>
      </c>
      <c r="T650" s="1144">
        <f>IFERROR(VLOOKUP(CONCATENATE($E650,$G650),'LAC 103'!$A$12:$O$95,13,FALSE),0)</f>
        <v>2.48</v>
      </c>
      <c r="U650" s="1144">
        <f>IFERROR(VLOOKUP(CONCATENATE($E650,$G650),'LAC 103'!$A$12:$O$95,14,FALSE),0)</f>
        <v>0</v>
      </c>
      <c r="V650" s="1144">
        <f>IFERROR(VLOOKUP(CONCATENATE($E650,$G650),'LAC 103'!$A$12:$O$95,15,FALSE),0)</f>
        <v>0</v>
      </c>
      <c r="W650" s="1145" t="str">
        <f>IFERROR(VLOOKUP(CONCATENATE($B650,$N650),'LAC 103'!$AI:$AQ,9,FALSE),"")</f>
        <v>Costs</v>
      </c>
      <c r="X650" s="1146">
        <f t="shared" si="186"/>
        <v>3.2074101033884355</v>
      </c>
      <c r="Y650" s="1143">
        <f t="shared" si="187"/>
        <v>1953.3127529635572</v>
      </c>
      <c r="Z650" s="1147">
        <f t="shared" si="188"/>
        <v>2429.9100000000003</v>
      </c>
      <c r="AA650" s="1144">
        <f t="shared" si="189"/>
        <v>1510.32</v>
      </c>
      <c r="AB650" s="1144">
        <f t="shared" si="190"/>
        <v>0</v>
      </c>
      <c r="AC650" s="1144">
        <f t="shared" si="191"/>
        <v>0</v>
      </c>
      <c r="AD650" s="1148">
        <f t="shared" si="182"/>
        <v>1953.3127529635572</v>
      </c>
      <c r="AE650" s="1487">
        <v>0</v>
      </c>
      <c r="AF650" s="1145">
        <f t="shared" si="192"/>
        <v>1953.3127529635572</v>
      </c>
      <c r="AG650" s="1149">
        <f>IFERROR(VLOOKUP(CONCATENATE($L650,$N650),'Drop List'!$G$23:$K$87,2,FALSE),0)</f>
        <v>0</v>
      </c>
      <c r="AH650" s="1150">
        <f>IFERROR(VLOOKUP(CONCATENATE($L650,$N650),'Drop List'!$G$23:$K$87,3,FALSE),0)</f>
        <v>0</v>
      </c>
      <c r="AI650" s="1150">
        <f>IFERROR(VLOOKUP(CONCATENATE($L650,$N650),'Drop List'!$G$23:$K$87,4,FALSE),0)</f>
        <v>1</v>
      </c>
      <c r="AJ650" s="1151">
        <f>IFERROR(VLOOKUP(CONCATENATE($L650,$N650),'Drop List'!$G$23:$K$87,5,FALSE),0)</f>
        <v>0</v>
      </c>
      <c r="AK650" s="1152">
        <f t="shared" si="193"/>
        <v>0</v>
      </c>
      <c r="AL650" s="1153">
        <f t="shared" si="194"/>
        <v>0</v>
      </c>
      <c r="AM650" s="1153">
        <f t="shared" si="195"/>
        <v>1953.3127529635572</v>
      </c>
      <c r="AN650" s="1145">
        <f t="shared" si="196"/>
        <v>0</v>
      </c>
      <c r="AO650" s="1154">
        <f t="shared" si="197"/>
        <v>1953.3127529635572</v>
      </c>
      <c r="AP650" s="1147">
        <f t="shared" si="183"/>
        <v>0</v>
      </c>
      <c r="AQ650" s="1144">
        <f t="shared" si="184"/>
        <v>0</v>
      </c>
      <c r="AR650" s="1146">
        <f t="shared" si="185"/>
        <v>1953.3127529635572</v>
      </c>
    </row>
    <row r="651" spans="1:44" x14ac:dyDescent="0.2">
      <c r="A651" s="1141" t="str">
        <f t="shared" si="180"/>
        <v>1510</v>
      </c>
      <c r="B651" s="1141" t="str">
        <f>IFERROR(VLOOKUP(A651,'LAC 103'!A:C,3,FALSE),"")</f>
        <v>OP</v>
      </c>
      <c r="C651" s="1478" t="str">
        <f>Info!$B$8</f>
        <v>00100</v>
      </c>
      <c r="D651" s="1474" t="s">
        <v>256</v>
      </c>
      <c r="E651" s="1474" t="s">
        <v>95</v>
      </c>
      <c r="F651" s="1478" t="s">
        <v>77</v>
      </c>
      <c r="G651" s="1478" t="s">
        <v>77</v>
      </c>
      <c r="H651" s="1474" t="s">
        <v>983</v>
      </c>
      <c r="I651" s="1478" t="s">
        <v>823</v>
      </c>
      <c r="J651" s="1478" t="s">
        <v>1998</v>
      </c>
      <c r="K651" s="1475" t="s">
        <v>851</v>
      </c>
      <c r="L651" s="1474" t="s">
        <v>584</v>
      </c>
      <c r="M651" s="1476" t="s">
        <v>1699</v>
      </c>
      <c r="N651" s="1477" t="s">
        <v>1694</v>
      </c>
      <c r="O651" s="1479">
        <v>37</v>
      </c>
      <c r="P651" s="1479"/>
      <c r="Q651" s="1142">
        <f t="shared" si="181"/>
        <v>37</v>
      </c>
      <c r="R651" s="1143">
        <f>IFERROR(VLOOKUP(CONCATENATE(E651,G651),'LAC 103'!$A$12:$O$95,11,FALSE),0)</f>
        <v>3.2074101033884355</v>
      </c>
      <c r="S651" s="1144">
        <f>IFERROR(VLOOKUP(CONCATENATE($E651,$G651),'LAC 103'!$A$12:$O$95,12,FALSE),0)</f>
        <v>3.99</v>
      </c>
      <c r="T651" s="1144">
        <f>IFERROR(VLOOKUP(CONCATENATE($E651,$G651),'LAC 103'!$A$12:$O$95,13,FALSE),0)</f>
        <v>2.48</v>
      </c>
      <c r="U651" s="1144">
        <f>IFERROR(VLOOKUP(CONCATENATE($E651,$G651),'LAC 103'!$A$12:$O$95,14,FALSE),0)</f>
        <v>0</v>
      </c>
      <c r="V651" s="1144">
        <f>IFERROR(VLOOKUP(CONCATENATE($E651,$G651),'LAC 103'!$A$12:$O$95,15,FALSE),0)</f>
        <v>0</v>
      </c>
      <c r="W651" s="1145" t="str">
        <f>IFERROR(VLOOKUP(CONCATENATE($B651,$N651),'LAC 103'!$AI:$AQ,9,FALSE),"")</f>
        <v>Costs</v>
      </c>
      <c r="X651" s="1146">
        <f t="shared" si="186"/>
        <v>3.2074101033884355</v>
      </c>
      <c r="Y651" s="1143">
        <f t="shared" si="187"/>
        <v>118.67417382537211</v>
      </c>
      <c r="Z651" s="1147">
        <f t="shared" si="188"/>
        <v>147.63</v>
      </c>
      <c r="AA651" s="1144">
        <f t="shared" si="189"/>
        <v>91.76</v>
      </c>
      <c r="AB651" s="1144">
        <f t="shared" si="190"/>
        <v>0</v>
      </c>
      <c r="AC651" s="1144">
        <f t="shared" si="191"/>
        <v>0</v>
      </c>
      <c r="AD651" s="1148">
        <f t="shared" si="182"/>
        <v>118.67417382537211</v>
      </c>
      <c r="AE651" s="1487">
        <v>0</v>
      </c>
      <c r="AF651" s="1145">
        <f t="shared" si="192"/>
        <v>118.67417382537211</v>
      </c>
      <c r="AG651" s="1149">
        <f>IFERROR(VLOOKUP(CONCATENATE($L651,$N651),'Drop List'!$G$23:$K$87,2,FALSE),0)</f>
        <v>0.56200000000000006</v>
      </c>
      <c r="AH651" s="1150">
        <f>IFERROR(VLOOKUP(CONCATENATE($L651,$N651),'Drop List'!$G$23:$K$87,3,FALSE),0)</f>
        <v>0</v>
      </c>
      <c r="AI651" s="1150">
        <f>IFERROR(VLOOKUP(CONCATENATE($L651,$N651),'Drop List'!$G$23:$K$87,4,FALSE),0)</f>
        <v>0</v>
      </c>
      <c r="AJ651" s="1151">
        <f>IFERROR(VLOOKUP(CONCATENATE($L651,$N651),'Drop List'!$G$23:$K$87,5,FALSE),0)</f>
        <v>0.43799999999999994</v>
      </c>
      <c r="AK651" s="1152">
        <f t="shared" si="193"/>
        <v>66.694885689859134</v>
      </c>
      <c r="AL651" s="1153">
        <f t="shared" si="194"/>
        <v>0</v>
      </c>
      <c r="AM651" s="1153">
        <f t="shared" si="195"/>
        <v>0</v>
      </c>
      <c r="AN651" s="1145">
        <f t="shared" si="196"/>
        <v>51.979288135512974</v>
      </c>
      <c r="AO651" s="1154">
        <f t="shared" si="197"/>
        <v>118.67417382537211</v>
      </c>
      <c r="AP651" s="1147">
        <f t="shared" si="183"/>
        <v>0</v>
      </c>
      <c r="AQ651" s="1144">
        <f t="shared" si="184"/>
        <v>0</v>
      </c>
      <c r="AR651" s="1146">
        <f t="shared" si="185"/>
        <v>118.67417382537211</v>
      </c>
    </row>
    <row r="652" spans="1:44" x14ac:dyDescent="0.2">
      <c r="A652" s="1141" t="str">
        <f t="shared" si="180"/>
        <v>1510</v>
      </c>
      <c r="B652" s="1141" t="str">
        <f>IFERROR(VLOOKUP(A652,'LAC 103'!A:C,3,FALSE),"")</f>
        <v>OP</v>
      </c>
      <c r="C652" s="1478" t="str">
        <f>Info!$B$8</f>
        <v>00100</v>
      </c>
      <c r="D652" s="1474" t="s">
        <v>256</v>
      </c>
      <c r="E652" s="1474" t="s">
        <v>95</v>
      </c>
      <c r="F652" s="1478" t="s">
        <v>77</v>
      </c>
      <c r="G652" s="1478" t="s">
        <v>77</v>
      </c>
      <c r="H652" s="1474" t="s">
        <v>983</v>
      </c>
      <c r="I652" s="1478" t="s">
        <v>823</v>
      </c>
      <c r="J652" s="1478" t="s">
        <v>1998</v>
      </c>
      <c r="K652" s="1475" t="s">
        <v>851</v>
      </c>
      <c r="L652" s="1474" t="s">
        <v>584</v>
      </c>
      <c r="M652" s="1476" t="s">
        <v>1698</v>
      </c>
      <c r="N652" s="1477" t="s">
        <v>1693</v>
      </c>
      <c r="O652" s="1479">
        <v>88</v>
      </c>
      <c r="P652" s="1479"/>
      <c r="Q652" s="1142">
        <f t="shared" si="181"/>
        <v>88</v>
      </c>
      <c r="R652" s="1143">
        <f>IFERROR(VLOOKUP(CONCATENATE(E652,G652),'LAC 103'!$A$12:$O$95,11,FALSE),0)</f>
        <v>3.2074101033884355</v>
      </c>
      <c r="S652" s="1144">
        <f>IFERROR(VLOOKUP(CONCATENATE($E652,$G652),'LAC 103'!$A$12:$O$95,12,FALSE),0)</f>
        <v>3.99</v>
      </c>
      <c r="T652" s="1144">
        <f>IFERROR(VLOOKUP(CONCATENATE($E652,$G652),'LAC 103'!$A$12:$O$95,13,FALSE),0)</f>
        <v>2.48</v>
      </c>
      <c r="U652" s="1144">
        <f>IFERROR(VLOOKUP(CONCATENATE($E652,$G652),'LAC 103'!$A$12:$O$95,14,FALSE),0)</f>
        <v>0</v>
      </c>
      <c r="V652" s="1144">
        <f>IFERROR(VLOOKUP(CONCATENATE($E652,$G652),'LAC 103'!$A$12:$O$95,15,FALSE),0)</f>
        <v>0</v>
      </c>
      <c r="W652" s="1145" t="str">
        <f>IFERROR(VLOOKUP(CONCATENATE($B652,$N652),'LAC 103'!$AI:$AQ,9,FALSE),"")</f>
        <v>Costs</v>
      </c>
      <c r="X652" s="1146">
        <f t="shared" si="186"/>
        <v>3.2074101033884355</v>
      </c>
      <c r="Y652" s="1143">
        <f t="shared" si="187"/>
        <v>282.2520890981823</v>
      </c>
      <c r="Z652" s="1147">
        <f t="shared" si="188"/>
        <v>351.12</v>
      </c>
      <c r="AA652" s="1144">
        <f t="shared" si="189"/>
        <v>218.24</v>
      </c>
      <c r="AB652" s="1144">
        <f t="shared" si="190"/>
        <v>0</v>
      </c>
      <c r="AC652" s="1144">
        <f t="shared" si="191"/>
        <v>0</v>
      </c>
      <c r="AD652" s="1148">
        <f t="shared" si="182"/>
        <v>282.2520890981823</v>
      </c>
      <c r="AE652" s="1487">
        <v>0</v>
      </c>
      <c r="AF652" s="1145">
        <f t="shared" si="192"/>
        <v>282.2520890981823</v>
      </c>
      <c r="AG652" s="1149">
        <f>IFERROR(VLOOKUP(CONCATENATE($L652,$N652),'Drop List'!$G$23:$K$87,2,FALSE),0)</f>
        <v>0.56200000000000006</v>
      </c>
      <c r="AH652" s="1150">
        <f>IFERROR(VLOOKUP(CONCATENATE($L652,$N652),'Drop List'!$G$23:$K$87,3,FALSE),0)</f>
        <v>0</v>
      </c>
      <c r="AI652" s="1150">
        <f>IFERROR(VLOOKUP(CONCATENATE($L652,$N652),'Drop List'!$G$23:$K$87,4,FALSE),0)</f>
        <v>0</v>
      </c>
      <c r="AJ652" s="1151">
        <f>IFERROR(VLOOKUP(CONCATENATE($L652,$N652),'Drop List'!$G$23:$K$87,5,FALSE),0)</f>
        <v>0.43799999999999994</v>
      </c>
      <c r="AK652" s="1152">
        <f t="shared" si="193"/>
        <v>158.62567407317846</v>
      </c>
      <c r="AL652" s="1153">
        <f t="shared" si="194"/>
        <v>0</v>
      </c>
      <c r="AM652" s="1153">
        <f t="shared" si="195"/>
        <v>0</v>
      </c>
      <c r="AN652" s="1145">
        <f t="shared" si="196"/>
        <v>123.62641502500384</v>
      </c>
      <c r="AO652" s="1154">
        <f t="shared" si="197"/>
        <v>282.2520890981823</v>
      </c>
      <c r="AP652" s="1147">
        <f t="shared" si="183"/>
        <v>0</v>
      </c>
      <c r="AQ652" s="1144">
        <f t="shared" si="184"/>
        <v>0</v>
      </c>
      <c r="AR652" s="1146">
        <f t="shared" si="185"/>
        <v>282.2520890981823</v>
      </c>
    </row>
    <row r="653" spans="1:44" x14ac:dyDescent="0.2">
      <c r="A653" s="1141" t="str">
        <f t="shared" si="180"/>
        <v>1510</v>
      </c>
      <c r="B653" s="1141" t="str">
        <f>IFERROR(VLOOKUP(A653,'LAC 103'!A:C,3,FALSE),"")</f>
        <v>OP</v>
      </c>
      <c r="C653" s="1478" t="str">
        <f>Info!$B$8</f>
        <v>00100</v>
      </c>
      <c r="D653" s="1474" t="s">
        <v>256</v>
      </c>
      <c r="E653" s="1474" t="s">
        <v>95</v>
      </c>
      <c r="F653" s="1478" t="s">
        <v>77</v>
      </c>
      <c r="G653" s="1478" t="s">
        <v>77</v>
      </c>
      <c r="H653" s="1474" t="s">
        <v>983</v>
      </c>
      <c r="I653" s="1478" t="s">
        <v>823</v>
      </c>
      <c r="J653" s="1478" t="s">
        <v>1999</v>
      </c>
      <c r="K653" s="1475" t="s">
        <v>847</v>
      </c>
      <c r="L653" s="1474" t="s">
        <v>582</v>
      </c>
      <c r="M653" s="1476" t="s">
        <v>1699</v>
      </c>
      <c r="N653" s="1477" t="s">
        <v>1694</v>
      </c>
      <c r="O653" s="1479">
        <v>956</v>
      </c>
      <c r="P653" s="1479"/>
      <c r="Q653" s="1142">
        <f t="shared" si="181"/>
        <v>956</v>
      </c>
      <c r="R653" s="1143">
        <f>IFERROR(VLOOKUP(CONCATENATE(E653,G653),'LAC 103'!$A$12:$O$95,11,FALSE),0)</f>
        <v>3.2074101033884355</v>
      </c>
      <c r="S653" s="1144">
        <f>IFERROR(VLOOKUP(CONCATENATE($E653,$G653),'LAC 103'!$A$12:$O$95,12,FALSE),0)</f>
        <v>3.99</v>
      </c>
      <c r="T653" s="1144">
        <f>IFERROR(VLOOKUP(CONCATENATE($E653,$G653),'LAC 103'!$A$12:$O$95,13,FALSE),0)</f>
        <v>2.48</v>
      </c>
      <c r="U653" s="1144">
        <f>IFERROR(VLOOKUP(CONCATENATE($E653,$G653),'LAC 103'!$A$12:$O$95,14,FALSE),0)</f>
        <v>0</v>
      </c>
      <c r="V653" s="1144">
        <f>IFERROR(VLOOKUP(CONCATENATE($E653,$G653),'LAC 103'!$A$12:$O$95,15,FALSE),0)</f>
        <v>0</v>
      </c>
      <c r="W653" s="1145" t="str">
        <f>IFERROR(VLOOKUP(CONCATENATE($B653,$N653),'LAC 103'!$AI:$AQ,9,FALSE),"")</f>
        <v>Costs</v>
      </c>
      <c r="X653" s="1146">
        <f t="shared" si="186"/>
        <v>3.2074101033884355</v>
      </c>
      <c r="Y653" s="1143">
        <f t="shared" si="187"/>
        <v>3066.2840588393442</v>
      </c>
      <c r="Z653" s="1147">
        <f t="shared" si="188"/>
        <v>3814.44</v>
      </c>
      <c r="AA653" s="1144">
        <f t="shared" si="189"/>
        <v>2370.88</v>
      </c>
      <c r="AB653" s="1144">
        <f t="shared" si="190"/>
        <v>0</v>
      </c>
      <c r="AC653" s="1144">
        <f t="shared" si="191"/>
        <v>0</v>
      </c>
      <c r="AD653" s="1148">
        <f t="shared" si="182"/>
        <v>3066.2840588393442</v>
      </c>
      <c r="AE653" s="1487">
        <v>0</v>
      </c>
      <c r="AF653" s="1145">
        <f t="shared" si="192"/>
        <v>3066.2840588393442</v>
      </c>
      <c r="AG653" s="1149">
        <f>IFERROR(VLOOKUP(CONCATENATE($L653,$N653),'Drop List'!$G$23:$K$87,2,FALSE),0)</f>
        <v>0.56200000000000006</v>
      </c>
      <c r="AH653" s="1150">
        <f>IFERROR(VLOOKUP(CONCATENATE($L653,$N653),'Drop List'!$G$23:$K$87,3,FALSE),0)</f>
        <v>0.43799999999999994</v>
      </c>
      <c r="AI653" s="1150">
        <f>IFERROR(VLOOKUP(CONCATENATE($L653,$N653),'Drop List'!$G$23:$K$87,4,FALSE),0)</f>
        <v>0</v>
      </c>
      <c r="AJ653" s="1151">
        <f>IFERROR(VLOOKUP(CONCATENATE($L653,$N653),'Drop List'!$G$23:$K$87,5,FALSE),0)</f>
        <v>0</v>
      </c>
      <c r="AK653" s="1152">
        <f t="shared" si="193"/>
        <v>1723.2516410677117</v>
      </c>
      <c r="AL653" s="1153">
        <f t="shared" si="194"/>
        <v>1343.0324177716325</v>
      </c>
      <c r="AM653" s="1153">
        <f t="shared" si="195"/>
        <v>0</v>
      </c>
      <c r="AN653" s="1145">
        <f t="shared" si="196"/>
        <v>0</v>
      </c>
      <c r="AO653" s="1154">
        <f t="shared" si="197"/>
        <v>3066.2840588393442</v>
      </c>
      <c r="AP653" s="1147">
        <f t="shared" si="183"/>
        <v>0</v>
      </c>
      <c r="AQ653" s="1144">
        <f t="shared" si="184"/>
        <v>0</v>
      </c>
      <c r="AR653" s="1146">
        <f t="shared" si="185"/>
        <v>3066.2840588393442</v>
      </c>
    </row>
    <row r="654" spans="1:44" x14ac:dyDescent="0.2">
      <c r="A654" s="1141" t="str">
        <f t="shared" si="180"/>
        <v>1510</v>
      </c>
      <c r="B654" s="1141" t="str">
        <f>IFERROR(VLOOKUP(A654,'LAC 103'!A:C,3,FALSE),"")</f>
        <v>OP</v>
      </c>
      <c r="C654" s="1478" t="str">
        <f>Info!$B$8</f>
        <v>00100</v>
      </c>
      <c r="D654" s="1474" t="s">
        <v>256</v>
      </c>
      <c r="E654" s="1474" t="s">
        <v>95</v>
      </c>
      <c r="F654" s="1478" t="s">
        <v>77</v>
      </c>
      <c r="G654" s="1478" t="s">
        <v>77</v>
      </c>
      <c r="H654" s="1474" t="s">
        <v>983</v>
      </c>
      <c r="I654" s="1478" t="s">
        <v>823</v>
      </c>
      <c r="J654" s="1478" t="s">
        <v>1999</v>
      </c>
      <c r="K654" s="1475" t="s">
        <v>847</v>
      </c>
      <c r="L654" s="1474" t="s">
        <v>582</v>
      </c>
      <c r="M654" s="1476" t="s">
        <v>841</v>
      </c>
      <c r="N654" s="1477" t="s">
        <v>1695</v>
      </c>
      <c r="O654" s="1479">
        <v>816</v>
      </c>
      <c r="P654" s="1479"/>
      <c r="Q654" s="1142">
        <f t="shared" si="181"/>
        <v>816</v>
      </c>
      <c r="R654" s="1143">
        <f>IFERROR(VLOOKUP(CONCATENATE(E654,G654),'LAC 103'!$A$12:$O$95,11,FALSE),0)</f>
        <v>3.2074101033884355</v>
      </c>
      <c r="S654" s="1144">
        <f>IFERROR(VLOOKUP(CONCATENATE($E654,$G654),'LAC 103'!$A$12:$O$95,12,FALSE),0)</f>
        <v>3.99</v>
      </c>
      <c r="T654" s="1144">
        <f>IFERROR(VLOOKUP(CONCATENATE($E654,$G654),'LAC 103'!$A$12:$O$95,13,FALSE),0)</f>
        <v>2.48</v>
      </c>
      <c r="U654" s="1144">
        <f>IFERROR(VLOOKUP(CONCATENATE($E654,$G654),'LAC 103'!$A$12:$O$95,14,FALSE),0)</f>
        <v>0</v>
      </c>
      <c r="V654" s="1144">
        <f>IFERROR(VLOOKUP(CONCATENATE($E654,$G654),'LAC 103'!$A$12:$O$95,15,FALSE),0)</f>
        <v>0</v>
      </c>
      <c r="W654" s="1145" t="str">
        <f>IFERROR(VLOOKUP(CONCATENATE($B654,$N654),'LAC 103'!$AI:$AQ,9,FALSE),"")</f>
        <v>Costs</v>
      </c>
      <c r="X654" s="1146">
        <f t="shared" si="186"/>
        <v>3.2074101033884355</v>
      </c>
      <c r="Y654" s="1143">
        <f t="shared" si="187"/>
        <v>2617.2466443649632</v>
      </c>
      <c r="Z654" s="1147">
        <f t="shared" si="188"/>
        <v>3255.84</v>
      </c>
      <c r="AA654" s="1144">
        <f t="shared" si="189"/>
        <v>2023.68</v>
      </c>
      <c r="AB654" s="1144">
        <f t="shared" si="190"/>
        <v>0</v>
      </c>
      <c r="AC654" s="1144">
        <f t="shared" si="191"/>
        <v>0</v>
      </c>
      <c r="AD654" s="1148">
        <f t="shared" si="182"/>
        <v>2617.2466443649632</v>
      </c>
      <c r="AE654" s="1487">
        <v>0</v>
      </c>
      <c r="AF654" s="1145">
        <f t="shared" si="192"/>
        <v>2617.2466443649632</v>
      </c>
      <c r="AG654" s="1149">
        <f>IFERROR(VLOOKUP(CONCATENATE($L654,$N654),'Drop List'!$G$23:$K$87,2,FALSE),0)</f>
        <v>0.55000000000000004</v>
      </c>
      <c r="AH654" s="1150">
        <f>IFERROR(VLOOKUP(CONCATENATE($L654,$N654),'Drop List'!$G$23:$K$87,3,FALSE),0)</f>
        <v>0.44999999999999996</v>
      </c>
      <c r="AI654" s="1150">
        <f>IFERROR(VLOOKUP(CONCATENATE($L654,$N654),'Drop List'!$G$23:$K$87,4,FALSE),0)</f>
        <v>0</v>
      </c>
      <c r="AJ654" s="1151">
        <f>IFERROR(VLOOKUP(CONCATENATE($L654,$N654),'Drop List'!$G$23:$K$87,5,FALSE),0)</f>
        <v>0</v>
      </c>
      <c r="AK654" s="1152">
        <f t="shared" si="193"/>
        <v>1439.4856544007298</v>
      </c>
      <c r="AL654" s="1153">
        <f t="shared" si="194"/>
        <v>1177.7609899642334</v>
      </c>
      <c r="AM654" s="1153">
        <f t="shared" si="195"/>
        <v>0</v>
      </c>
      <c r="AN654" s="1145">
        <f t="shared" si="196"/>
        <v>0</v>
      </c>
      <c r="AO654" s="1154">
        <f t="shared" si="197"/>
        <v>2617.2466443649632</v>
      </c>
      <c r="AP654" s="1147">
        <f t="shared" si="183"/>
        <v>0</v>
      </c>
      <c r="AQ654" s="1144">
        <f t="shared" si="184"/>
        <v>0</v>
      </c>
      <c r="AR654" s="1146">
        <f t="shared" si="185"/>
        <v>2617.2466443649632</v>
      </c>
    </row>
    <row r="655" spans="1:44" x14ac:dyDescent="0.2">
      <c r="A655" s="1141" t="str">
        <f t="shared" si="180"/>
        <v>1510</v>
      </c>
      <c r="B655" s="1141" t="str">
        <f>IFERROR(VLOOKUP(A655,'LAC 103'!A:C,3,FALSE),"")</f>
        <v>OP</v>
      </c>
      <c r="C655" s="1478" t="str">
        <f>Info!$B$8</f>
        <v>00100</v>
      </c>
      <c r="D655" s="1474" t="s">
        <v>256</v>
      </c>
      <c r="E655" s="1474" t="s">
        <v>95</v>
      </c>
      <c r="F655" s="1478" t="s">
        <v>77</v>
      </c>
      <c r="G655" s="1478" t="s">
        <v>77</v>
      </c>
      <c r="H655" s="1474" t="s">
        <v>983</v>
      </c>
      <c r="I655" s="1478" t="s">
        <v>823</v>
      </c>
      <c r="J655" s="1478" t="s">
        <v>1999</v>
      </c>
      <c r="K655" s="1475" t="s">
        <v>847</v>
      </c>
      <c r="L655" s="1474" t="s">
        <v>582</v>
      </c>
      <c r="M655" s="1476" t="s">
        <v>840</v>
      </c>
      <c r="N655" s="1477" t="s">
        <v>1700</v>
      </c>
      <c r="O655" s="1479">
        <v>458</v>
      </c>
      <c r="P655" s="1479"/>
      <c r="Q655" s="1142">
        <f t="shared" si="181"/>
        <v>458</v>
      </c>
      <c r="R655" s="1143">
        <f>IFERROR(VLOOKUP(CONCATENATE(E655,G655),'LAC 103'!$A$12:$O$95,11,FALSE),0)</f>
        <v>3.2074101033884355</v>
      </c>
      <c r="S655" s="1144">
        <f>IFERROR(VLOOKUP(CONCATENATE($E655,$G655),'LAC 103'!$A$12:$O$95,12,FALSE),0)</f>
        <v>3.99</v>
      </c>
      <c r="T655" s="1144">
        <f>IFERROR(VLOOKUP(CONCATENATE($E655,$G655),'LAC 103'!$A$12:$O$95,13,FALSE),0)</f>
        <v>2.48</v>
      </c>
      <c r="U655" s="1144">
        <f>IFERROR(VLOOKUP(CONCATENATE($E655,$G655),'LAC 103'!$A$12:$O$95,14,FALSE),0)</f>
        <v>0</v>
      </c>
      <c r="V655" s="1144">
        <f>IFERROR(VLOOKUP(CONCATENATE($E655,$G655),'LAC 103'!$A$12:$O$95,15,FALSE),0)</f>
        <v>0</v>
      </c>
      <c r="W655" s="1145" t="str">
        <f>IFERROR(VLOOKUP(CONCATENATE($B655,$N655),'LAC 103'!$AI:$AQ,9,FALSE),"")</f>
        <v>P.C.</v>
      </c>
      <c r="X655" s="1146">
        <f t="shared" si="186"/>
        <v>2.48</v>
      </c>
      <c r="Y655" s="1143">
        <f t="shared" si="187"/>
        <v>1468.9938273519035</v>
      </c>
      <c r="Z655" s="1147">
        <f t="shared" si="188"/>
        <v>1827.42</v>
      </c>
      <c r="AA655" s="1144">
        <f t="shared" si="189"/>
        <v>1135.8399999999999</v>
      </c>
      <c r="AB655" s="1144">
        <f t="shared" si="190"/>
        <v>0</v>
      </c>
      <c r="AC655" s="1144">
        <f t="shared" si="191"/>
        <v>0</v>
      </c>
      <c r="AD655" s="1148">
        <f t="shared" si="182"/>
        <v>1135.8399999999999</v>
      </c>
      <c r="AE655" s="1487">
        <v>0</v>
      </c>
      <c r="AF655" s="1145">
        <f t="shared" si="192"/>
        <v>1135.8399999999999</v>
      </c>
      <c r="AG655" s="1149">
        <f>IFERROR(VLOOKUP(CONCATENATE($L655,$N655),'Drop List'!$G$23:$K$87,2,FALSE),0)</f>
        <v>0.55000000000000004</v>
      </c>
      <c r="AH655" s="1150">
        <f>IFERROR(VLOOKUP(CONCATENATE($L655,$N655),'Drop List'!$G$23:$K$87,3,FALSE),0)</f>
        <v>0.44999999999999996</v>
      </c>
      <c r="AI655" s="1150">
        <f>IFERROR(VLOOKUP(CONCATENATE($L655,$N655),'Drop List'!$G$23:$K$87,4,FALSE),0)</f>
        <v>0</v>
      </c>
      <c r="AJ655" s="1151">
        <f>IFERROR(VLOOKUP(CONCATENATE($L655,$N655),'Drop List'!$G$23:$K$87,5,FALSE),0)</f>
        <v>0</v>
      </c>
      <c r="AK655" s="1152">
        <f t="shared" si="193"/>
        <v>624.71199999999999</v>
      </c>
      <c r="AL655" s="1153">
        <f t="shared" si="194"/>
        <v>511.12799999999993</v>
      </c>
      <c r="AM655" s="1153">
        <f t="shared" si="195"/>
        <v>0</v>
      </c>
      <c r="AN655" s="1145">
        <f t="shared" si="196"/>
        <v>0</v>
      </c>
      <c r="AO655" s="1154">
        <f t="shared" si="197"/>
        <v>1135.8399999999999</v>
      </c>
      <c r="AP655" s="1147">
        <f t="shared" si="183"/>
        <v>0</v>
      </c>
      <c r="AQ655" s="1144">
        <f t="shared" si="184"/>
        <v>0</v>
      </c>
      <c r="AR655" s="1146">
        <f t="shared" si="185"/>
        <v>1135.8399999999999</v>
      </c>
    </row>
    <row r="656" spans="1:44" x14ac:dyDescent="0.2">
      <c r="A656" s="1141" t="str">
        <f t="shared" si="180"/>
        <v>1510</v>
      </c>
      <c r="B656" s="1141" t="str">
        <f>IFERROR(VLOOKUP(A656,'LAC 103'!A:C,3,FALSE),"")</f>
        <v>OP</v>
      </c>
      <c r="C656" s="1478" t="str">
        <f>Info!$B$8</f>
        <v>00100</v>
      </c>
      <c r="D656" s="1474" t="s">
        <v>256</v>
      </c>
      <c r="E656" s="1474" t="s">
        <v>95</v>
      </c>
      <c r="F656" s="1478" t="s">
        <v>77</v>
      </c>
      <c r="G656" s="1478" t="s">
        <v>77</v>
      </c>
      <c r="H656" s="1474" t="s">
        <v>983</v>
      </c>
      <c r="I656" s="1478" t="s">
        <v>823</v>
      </c>
      <c r="J656" s="1478" t="s">
        <v>1999</v>
      </c>
      <c r="K656" s="1475" t="s">
        <v>847</v>
      </c>
      <c r="L656" s="1474" t="s">
        <v>582</v>
      </c>
      <c r="M656" s="1476" t="s">
        <v>842</v>
      </c>
      <c r="N656" s="1477" t="s">
        <v>1692</v>
      </c>
      <c r="O656" s="1479">
        <v>1716</v>
      </c>
      <c r="P656" s="1479"/>
      <c r="Q656" s="1142">
        <f t="shared" si="181"/>
        <v>1716</v>
      </c>
      <c r="R656" s="1143">
        <f>IFERROR(VLOOKUP(CONCATENATE(E656,G656),'LAC 103'!$A$12:$O$95,11,FALSE),0)</f>
        <v>3.2074101033884355</v>
      </c>
      <c r="S656" s="1144">
        <f>IFERROR(VLOOKUP(CONCATENATE($E656,$G656),'LAC 103'!$A$12:$O$95,12,FALSE),0)</f>
        <v>3.99</v>
      </c>
      <c r="T656" s="1144">
        <f>IFERROR(VLOOKUP(CONCATENATE($E656,$G656),'LAC 103'!$A$12:$O$95,13,FALSE),0)</f>
        <v>2.48</v>
      </c>
      <c r="U656" s="1144">
        <f>IFERROR(VLOOKUP(CONCATENATE($E656,$G656),'LAC 103'!$A$12:$O$95,14,FALSE),0)</f>
        <v>0</v>
      </c>
      <c r="V656" s="1144">
        <f>IFERROR(VLOOKUP(CONCATENATE($E656,$G656),'LAC 103'!$A$12:$O$95,15,FALSE),0)</f>
        <v>0</v>
      </c>
      <c r="W656" s="1145" t="str">
        <f>IFERROR(VLOOKUP(CONCATENATE($B656,$N656),'LAC 103'!$AI:$AQ,9,FALSE),"")</f>
        <v>Costs</v>
      </c>
      <c r="X656" s="1146">
        <f t="shared" si="186"/>
        <v>3.2074101033884355</v>
      </c>
      <c r="Y656" s="1143">
        <f t="shared" si="187"/>
        <v>5503.9157374145552</v>
      </c>
      <c r="Z656" s="1147">
        <f t="shared" si="188"/>
        <v>6846.84</v>
      </c>
      <c r="AA656" s="1144">
        <f t="shared" si="189"/>
        <v>4255.68</v>
      </c>
      <c r="AB656" s="1144">
        <f t="shared" si="190"/>
        <v>0</v>
      </c>
      <c r="AC656" s="1144">
        <f t="shared" si="191"/>
        <v>0</v>
      </c>
      <c r="AD656" s="1148">
        <f t="shared" si="182"/>
        <v>5503.9157374145552</v>
      </c>
      <c r="AE656" s="1487">
        <v>0</v>
      </c>
      <c r="AF656" s="1145">
        <f t="shared" si="192"/>
        <v>5503.9157374145552</v>
      </c>
      <c r="AG656" s="1149">
        <f>IFERROR(VLOOKUP(CONCATENATE($L656,$N656),'Drop List'!$G$23:$K$87,2,FALSE),0)</f>
        <v>0.56200000000000006</v>
      </c>
      <c r="AH656" s="1150">
        <f>IFERROR(VLOOKUP(CONCATENATE($L656,$N656),'Drop List'!$G$23:$K$87,3,FALSE),0)</f>
        <v>0.43799999999999994</v>
      </c>
      <c r="AI656" s="1150">
        <f>IFERROR(VLOOKUP(CONCATENATE($L656,$N656),'Drop List'!$G$23:$K$87,4,FALSE),0)</f>
        <v>0</v>
      </c>
      <c r="AJ656" s="1151">
        <f>IFERROR(VLOOKUP(CONCATENATE($L656,$N656),'Drop List'!$G$23:$K$87,5,FALSE),0)</f>
        <v>0</v>
      </c>
      <c r="AK656" s="1152">
        <f t="shared" si="193"/>
        <v>3093.2006444269805</v>
      </c>
      <c r="AL656" s="1153">
        <f t="shared" si="194"/>
        <v>2410.7150929875747</v>
      </c>
      <c r="AM656" s="1153">
        <f t="shared" si="195"/>
        <v>0</v>
      </c>
      <c r="AN656" s="1145">
        <f t="shared" si="196"/>
        <v>0</v>
      </c>
      <c r="AO656" s="1154">
        <f t="shared" si="197"/>
        <v>5503.9157374145552</v>
      </c>
      <c r="AP656" s="1147">
        <f t="shared" si="183"/>
        <v>0</v>
      </c>
      <c r="AQ656" s="1144">
        <f t="shared" si="184"/>
        <v>0</v>
      </c>
      <c r="AR656" s="1146">
        <f t="shared" si="185"/>
        <v>5503.9157374145552</v>
      </c>
    </row>
    <row r="657" spans="1:44" x14ac:dyDescent="0.2">
      <c r="A657" s="1141" t="str">
        <f t="shared" si="180"/>
        <v>1510</v>
      </c>
      <c r="B657" s="1141" t="str">
        <f>IFERROR(VLOOKUP(A657,'LAC 103'!A:C,3,FALSE),"")</f>
        <v>OP</v>
      </c>
      <c r="C657" s="1478" t="str">
        <f>Info!$B$8</f>
        <v>00100</v>
      </c>
      <c r="D657" s="1474" t="s">
        <v>256</v>
      </c>
      <c r="E657" s="1474" t="s">
        <v>95</v>
      </c>
      <c r="F657" s="1478" t="s">
        <v>77</v>
      </c>
      <c r="G657" s="1478" t="s">
        <v>77</v>
      </c>
      <c r="H657" s="1474" t="s">
        <v>983</v>
      </c>
      <c r="I657" s="1478" t="s">
        <v>823</v>
      </c>
      <c r="J657" s="1478" t="s">
        <v>1999</v>
      </c>
      <c r="K657" s="1475" t="s">
        <v>847</v>
      </c>
      <c r="L657" s="1474" t="s">
        <v>582</v>
      </c>
      <c r="M657" s="1476" t="s">
        <v>1698</v>
      </c>
      <c r="N657" s="1477" t="s">
        <v>1693</v>
      </c>
      <c r="O657" s="1479">
        <v>1559</v>
      </c>
      <c r="P657" s="1479"/>
      <c r="Q657" s="1142">
        <f t="shared" si="181"/>
        <v>1559</v>
      </c>
      <c r="R657" s="1143">
        <f>IFERROR(VLOOKUP(CONCATENATE(E657,G657),'LAC 103'!$A$12:$O$95,11,FALSE),0)</f>
        <v>3.2074101033884355</v>
      </c>
      <c r="S657" s="1144">
        <f>IFERROR(VLOOKUP(CONCATENATE($E657,$G657),'LAC 103'!$A$12:$O$95,12,FALSE),0)</f>
        <v>3.99</v>
      </c>
      <c r="T657" s="1144">
        <f>IFERROR(VLOOKUP(CONCATENATE($E657,$G657),'LAC 103'!$A$12:$O$95,13,FALSE),0)</f>
        <v>2.48</v>
      </c>
      <c r="U657" s="1144">
        <f>IFERROR(VLOOKUP(CONCATENATE($E657,$G657),'LAC 103'!$A$12:$O$95,14,FALSE),0)</f>
        <v>0</v>
      </c>
      <c r="V657" s="1144">
        <f>IFERROR(VLOOKUP(CONCATENATE($E657,$G657),'LAC 103'!$A$12:$O$95,15,FALSE),0)</f>
        <v>0</v>
      </c>
      <c r="W657" s="1145" t="str">
        <f>IFERROR(VLOOKUP(CONCATENATE($B657,$N657),'LAC 103'!$AI:$AQ,9,FALSE),"")</f>
        <v>Costs</v>
      </c>
      <c r="X657" s="1146">
        <f t="shared" si="186"/>
        <v>3.2074101033884355</v>
      </c>
      <c r="Y657" s="1143">
        <f t="shared" si="187"/>
        <v>5000.3523511825706</v>
      </c>
      <c r="Z657" s="1147">
        <f t="shared" si="188"/>
        <v>6220.4100000000008</v>
      </c>
      <c r="AA657" s="1144">
        <f t="shared" si="189"/>
        <v>3866.32</v>
      </c>
      <c r="AB657" s="1144">
        <f t="shared" si="190"/>
        <v>0</v>
      </c>
      <c r="AC657" s="1144">
        <f t="shared" si="191"/>
        <v>0</v>
      </c>
      <c r="AD657" s="1148">
        <f t="shared" si="182"/>
        <v>5000.3523511825706</v>
      </c>
      <c r="AE657" s="1487">
        <v>0</v>
      </c>
      <c r="AF657" s="1145">
        <f t="shared" si="192"/>
        <v>5000.3523511825706</v>
      </c>
      <c r="AG657" s="1149">
        <f>IFERROR(VLOOKUP(CONCATENATE($L657,$N657),'Drop List'!$G$23:$K$87,2,FALSE),0)</f>
        <v>0.56200000000000006</v>
      </c>
      <c r="AH657" s="1150">
        <f>IFERROR(VLOOKUP(CONCATENATE($L657,$N657),'Drop List'!$G$23:$K$87,3,FALSE),0)</f>
        <v>0.43799999999999994</v>
      </c>
      <c r="AI657" s="1150">
        <f>IFERROR(VLOOKUP(CONCATENATE($L657,$N657),'Drop List'!$G$23:$K$87,4,FALSE),0)</f>
        <v>0</v>
      </c>
      <c r="AJ657" s="1151">
        <f>IFERROR(VLOOKUP(CONCATENATE($L657,$N657),'Drop List'!$G$23:$K$87,5,FALSE),0)</f>
        <v>0</v>
      </c>
      <c r="AK657" s="1152">
        <f t="shared" si="193"/>
        <v>2810.1980213646048</v>
      </c>
      <c r="AL657" s="1153">
        <f t="shared" si="194"/>
        <v>2190.1543298179658</v>
      </c>
      <c r="AM657" s="1153">
        <f t="shared" si="195"/>
        <v>0</v>
      </c>
      <c r="AN657" s="1145">
        <f t="shared" si="196"/>
        <v>0</v>
      </c>
      <c r="AO657" s="1154">
        <f t="shared" si="197"/>
        <v>5000.3523511825706</v>
      </c>
      <c r="AP657" s="1147">
        <f t="shared" si="183"/>
        <v>0</v>
      </c>
      <c r="AQ657" s="1144">
        <f t="shared" si="184"/>
        <v>0</v>
      </c>
      <c r="AR657" s="1146">
        <f t="shared" si="185"/>
        <v>5000.3523511825706</v>
      </c>
    </row>
    <row r="658" spans="1:44" x14ac:dyDescent="0.2">
      <c r="A658" s="1141" t="str">
        <f t="shared" si="180"/>
        <v>1510</v>
      </c>
      <c r="B658" s="1141" t="str">
        <f>IFERROR(VLOOKUP(A658,'LAC 103'!A:C,3,FALSE),"")</f>
        <v>OP</v>
      </c>
      <c r="C658" s="1478" t="str">
        <f>Info!$B$8</f>
        <v>00100</v>
      </c>
      <c r="D658" s="1474" t="s">
        <v>256</v>
      </c>
      <c r="E658" s="1474" t="s">
        <v>95</v>
      </c>
      <c r="F658" s="1478" t="s">
        <v>77</v>
      </c>
      <c r="G658" s="1478" t="s">
        <v>77</v>
      </c>
      <c r="H658" s="1474" t="s">
        <v>983</v>
      </c>
      <c r="I658" s="1478" t="s">
        <v>823</v>
      </c>
      <c r="J658" s="1478" t="s">
        <v>1999</v>
      </c>
      <c r="K658" s="1475" t="s">
        <v>848</v>
      </c>
      <c r="L658" s="1474" t="s">
        <v>45</v>
      </c>
      <c r="M658" s="1476" t="s">
        <v>1699</v>
      </c>
      <c r="N658" s="1477" t="s">
        <v>1694</v>
      </c>
      <c r="O658" s="1479">
        <v>512</v>
      </c>
      <c r="P658" s="1479"/>
      <c r="Q658" s="1142">
        <f t="shared" si="181"/>
        <v>512</v>
      </c>
      <c r="R658" s="1143">
        <f>IFERROR(VLOOKUP(CONCATENATE(E658,G658),'LAC 103'!$A$12:$O$95,11,FALSE),0)</f>
        <v>3.2074101033884355</v>
      </c>
      <c r="S658" s="1144">
        <f>IFERROR(VLOOKUP(CONCATENATE($E658,$G658),'LAC 103'!$A$12:$O$95,12,FALSE),0)</f>
        <v>3.99</v>
      </c>
      <c r="T658" s="1144">
        <f>IFERROR(VLOOKUP(CONCATENATE($E658,$G658),'LAC 103'!$A$12:$O$95,13,FALSE),0)</f>
        <v>2.48</v>
      </c>
      <c r="U658" s="1144">
        <f>IFERROR(VLOOKUP(CONCATENATE($E658,$G658),'LAC 103'!$A$12:$O$95,14,FALSE),0)</f>
        <v>0</v>
      </c>
      <c r="V658" s="1144">
        <f>IFERROR(VLOOKUP(CONCATENATE($E658,$G658),'LAC 103'!$A$12:$O$95,15,FALSE),0)</f>
        <v>0</v>
      </c>
      <c r="W658" s="1145" t="str">
        <f>IFERROR(VLOOKUP(CONCATENATE($B658,$N658),'LAC 103'!$AI:$AQ,9,FALSE),"")</f>
        <v>Costs</v>
      </c>
      <c r="X658" s="1146">
        <f t="shared" si="186"/>
        <v>3.2074101033884355</v>
      </c>
      <c r="Y658" s="1143">
        <f t="shared" si="187"/>
        <v>1642.193972934879</v>
      </c>
      <c r="Z658" s="1147">
        <f t="shared" si="188"/>
        <v>2042.88</v>
      </c>
      <c r="AA658" s="1144">
        <f t="shared" si="189"/>
        <v>1269.76</v>
      </c>
      <c r="AB658" s="1144">
        <f t="shared" si="190"/>
        <v>0</v>
      </c>
      <c r="AC658" s="1144">
        <f t="shared" si="191"/>
        <v>0</v>
      </c>
      <c r="AD658" s="1148">
        <f t="shared" si="182"/>
        <v>1642.193972934879</v>
      </c>
      <c r="AE658" s="1487">
        <v>0</v>
      </c>
      <c r="AF658" s="1145">
        <f t="shared" si="192"/>
        <v>1642.193972934879</v>
      </c>
      <c r="AG658" s="1149">
        <f>IFERROR(VLOOKUP(CONCATENATE($L658,$N658),'Drop List'!$G$23:$K$87,2,FALSE),0)</f>
        <v>0.69340000000000002</v>
      </c>
      <c r="AH658" s="1150">
        <f>IFERROR(VLOOKUP(CONCATENATE($L658,$N658),'Drop List'!$G$23:$K$87,3,FALSE),0)</f>
        <v>0.30659999999999998</v>
      </c>
      <c r="AI658" s="1150">
        <f>IFERROR(VLOOKUP(CONCATENATE($L658,$N658),'Drop List'!$G$23:$K$87,4,FALSE),0)</f>
        <v>0</v>
      </c>
      <c r="AJ658" s="1151">
        <f>IFERROR(VLOOKUP(CONCATENATE($L658,$N658),'Drop List'!$G$23:$K$87,5,FALSE),0)</f>
        <v>0</v>
      </c>
      <c r="AK658" s="1152">
        <f t="shared" si="193"/>
        <v>1138.6973008330451</v>
      </c>
      <c r="AL658" s="1153">
        <f t="shared" si="194"/>
        <v>503.49667210183384</v>
      </c>
      <c r="AM658" s="1153">
        <f t="shared" si="195"/>
        <v>0</v>
      </c>
      <c r="AN658" s="1145">
        <f t="shared" si="196"/>
        <v>0</v>
      </c>
      <c r="AO658" s="1154">
        <f t="shared" si="197"/>
        <v>1642.193972934879</v>
      </c>
      <c r="AP658" s="1147">
        <f t="shared" si="183"/>
        <v>0</v>
      </c>
      <c r="AQ658" s="1144">
        <f t="shared" si="184"/>
        <v>0</v>
      </c>
      <c r="AR658" s="1146">
        <f t="shared" si="185"/>
        <v>1642.193972934879</v>
      </c>
    </row>
    <row r="659" spans="1:44" x14ac:dyDescent="0.2">
      <c r="A659" s="1141" t="str">
        <f t="shared" si="180"/>
        <v>1510</v>
      </c>
      <c r="B659" s="1141" t="str">
        <f>IFERROR(VLOOKUP(A659,'LAC 103'!A:C,3,FALSE),"")</f>
        <v>OP</v>
      </c>
      <c r="C659" s="1478" t="str">
        <f>Info!$B$8</f>
        <v>00100</v>
      </c>
      <c r="D659" s="1474" t="s">
        <v>256</v>
      </c>
      <c r="E659" s="1474" t="s">
        <v>95</v>
      </c>
      <c r="F659" s="1478" t="s">
        <v>77</v>
      </c>
      <c r="G659" s="1478" t="s">
        <v>77</v>
      </c>
      <c r="H659" s="1474" t="s">
        <v>983</v>
      </c>
      <c r="I659" s="1478" t="s">
        <v>823</v>
      </c>
      <c r="J659" s="1478" t="s">
        <v>1999</v>
      </c>
      <c r="K659" s="1475" t="s">
        <v>848</v>
      </c>
      <c r="L659" s="1474" t="s">
        <v>45</v>
      </c>
      <c r="M659" s="1476" t="s">
        <v>841</v>
      </c>
      <c r="N659" s="1477" t="s">
        <v>1695</v>
      </c>
      <c r="O659" s="1479">
        <v>156</v>
      </c>
      <c r="P659" s="1479"/>
      <c r="Q659" s="1142">
        <f t="shared" si="181"/>
        <v>156</v>
      </c>
      <c r="R659" s="1143">
        <f>IFERROR(VLOOKUP(CONCATENATE(E659,G659),'LAC 103'!$A$12:$O$95,11,FALSE),0)</f>
        <v>3.2074101033884355</v>
      </c>
      <c r="S659" s="1144">
        <f>IFERROR(VLOOKUP(CONCATENATE($E659,$G659),'LAC 103'!$A$12:$O$95,12,FALSE),0)</f>
        <v>3.99</v>
      </c>
      <c r="T659" s="1144">
        <f>IFERROR(VLOOKUP(CONCATENATE($E659,$G659),'LAC 103'!$A$12:$O$95,13,FALSE),0)</f>
        <v>2.48</v>
      </c>
      <c r="U659" s="1144">
        <f>IFERROR(VLOOKUP(CONCATENATE($E659,$G659),'LAC 103'!$A$12:$O$95,14,FALSE),0)</f>
        <v>0</v>
      </c>
      <c r="V659" s="1144">
        <f>IFERROR(VLOOKUP(CONCATENATE($E659,$G659),'LAC 103'!$A$12:$O$95,15,FALSE),0)</f>
        <v>0</v>
      </c>
      <c r="W659" s="1145" t="str">
        <f>IFERROR(VLOOKUP(CONCATENATE($B659,$N659),'LAC 103'!$AI:$AQ,9,FALSE),"")</f>
        <v>Costs</v>
      </c>
      <c r="X659" s="1146">
        <f t="shared" si="186"/>
        <v>3.2074101033884355</v>
      </c>
      <c r="Y659" s="1143">
        <f t="shared" si="187"/>
        <v>500.35597612859596</v>
      </c>
      <c r="Z659" s="1147">
        <f t="shared" si="188"/>
        <v>622.44000000000005</v>
      </c>
      <c r="AA659" s="1144">
        <f t="shared" si="189"/>
        <v>386.88</v>
      </c>
      <c r="AB659" s="1144">
        <f t="shared" si="190"/>
        <v>0</v>
      </c>
      <c r="AC659" s="1144">
        <f t="shared" si="191"/>
        <v>0</v>
      </c>
      <c r="AD659" s="1148">
        <f t="shared" si="182"/>
        <v>500.35597612859596</v>
      </c>
      <c r="AE659" s="1487">
        <v>0</v>
      </c>
      <c r="AF659" s="1145">
        <f t="shared" si="192"/>
        <v>500.35597612859596</v>
      </c>
      <c r="AG659" s="1149">
        <f>IFERROR(VLOOKUP(CONCATENATE($L659,$N659),'Drop List'!$G$23:$K$87,2,FALSE),0)</f>
        <v>0.68500000000000005</v>
      </c>
      <c r="AH659" s="1150">
        <f>IFERROR(VLOOKUP(CONCATENATE($L659,$N659),'Drop List'!$G$23:$K$87,3,FALSE),0)</f>
        <v>0.31499999999999995</v>
      </c>
      <c r="AI659" s="1150">
        <f>IFERROR(VLOOKUP(CONCATENATE($L659,$N659),'Drop List'!$G$23:$K$87,4,FALSE),0)</f>
        <v>0</v>
      </c>
      <c r="AJ659" s="1151">
        <f>IFERROR(VLOOKUP(CONCATENATE($L659,$N659),'Drop List'!$G$23:$K$87,5,FALSE),0)</f>
        <v>0</v>
      </c>
      <c r="AK659" s="1152">
        <f t="shared" si="193"/>
        <v>342.74384364808827</v>
      </c>
      <c r="AL659" s="1153">
        <f t="shared" si="194"/>
        <v>157.61213248050771</v>
      </c>
      <c r="AM659" s="1153">
        <f t="shared" si="195"/>
        <v>0</v>
      </c>
      <c r="AN659" s="1145">
        <f t="shared" si="196"/>
        <v>0</v>
      </c>
      <c r="AO659" s="1154">
        <f t="shared" si="197"/>
        <v>500.35597612859601</v>
      </c>
      <c r="AP659" s="1147">
        <f t="shared" si="183"/>
        <v>0</v>
      </c>
      <c r="AQ659" s="1144">
        <f t="shared" si="184"/>
        <v>0</v>
      </c>
      <c r="AR659" s="1146">
        <f t="shared" si="185"/>
        <v>500.35597612859601</v>
      </c>
    </row>
    <row r="660" spans="1:44" x14ac:dyDescent="0.2">
      <c r="A660" s="1141" t="str">
        <f t="shared" si="180"/>
        <v>1510</v>
      </c>
      <c r="B660" s="1141" t="str">
        <f>IFERROR(VLOOKUP(A660,'LAC 103'!A:C,3,FALSE),"")</f>
        <v>OP</v>
      </c>
      <c r="C660" s="1478" t="str">
        <f>Info!$B$8</f>
        <v>00100</v>
      </c>
      <c r="D660" s="1474" t="s">
        <v>256</v>
      </c>
      <c r="E660" s="1474" t="s">
        <v>95</v>
      </c>
      <c r="F660" s="1478" t="s">
        <v>77</v>
      </c>
      <c r="G660" s="1478" t="s">
        <v>77</v>
      </c>
      <c r="H660" s="1474" t="s">
        <v>983</v>
      </c>
      <c r="I660" s="1478" t="s">
        <v>823</v>
      </c>
      <c r="J660" s="1478" t="s">
        <v>1999</v>
      </c>
      <c r="K660" s="1475" t="s">
        <v>848</v>
      </c>
      <c r="L660" s="1474" t="s">
        <v>45</v>
      </c>
      <c r="M660" s="1476" t="s">
        <v>840</v>
      </c>
      <c r="N660" s="1477" t="s">
        <v>1700</v>
      </c>
      <c r="O660" s="1479">
        <v>189</v>
      </c>
      <c r="P660" s="1479"/>
      <c r="Q660" s="1142">
        <f t="shared" si="181"/>
        <v>189</v>
      </c>
      <c r="R660" s="1143">
        <f>IFERROR(VLOOKUP(CONCATENATE(E660,G660),'LAC 103'!$A$12:$O$95,11,FALSE),0)</f>
        <v>3.2074101033884355</v>
      </c>
      <c r="S660" s="1144">
        <f>IFERROR(VLOOKUP(CONCATENATE($E660,$G660),'LAC 103'!$A$12:$O$95,12,FALSE),0)</f>
        <v>3.99</v>
      </c>
      <c r="T660" s="1144">
        <f>IFERROR(VLOOKUP(CONCATENATE($E660,$G660),'LAC 103'!$A$12:$O$95,13,FALSE),0)</f>
        <v>2.48</v>
      </c>
      <c r="U660" s="1144">
        <f>IFERROR(VLOOKUP(CONCATENATE($E660,$G660),'LAC 103'!$A$12:$O$95,14,FALSE),0)</f>
        <v>0</v>
      </c>
      <c r="V660" s="1144">
        <f>IFERROR(VLOOKUP(CONCATENATE($E660,$G660),'LAC 103'!$A$12:$O$95,15,FALSE),0)</f>
        <v>0</v>
      </c>
      <c r="W660" s="1145" t="str">
        <f>IFERROR(VLOOKUP(CONCATENATE($B660,$N660),'LAC 103'!$AI:$AQ,9,FALSE),"")</f>
        <v>P.C.</v>
      </c>
      <c r="X660" s="1146">
        <f t="shared" si="186"/>
        <v>2.48</v>
      </c>
      <c r="Y660" s="1143">
        <f t="shared" si="187"/>
        <v>606.20050954041426</v>
      </c>
      <c r="Z660" s="1147">
        <f t="shared" si="188"/>
        <v>754.11</v>
      </c>
      <c r="AA660" s="1144">
        <f t="shared" si="189"/>
        <v>468.71999999999997</v>
      </c>
      <c r="AB660" s="1144">
        <f t="shared" si="190"/>
        <v>0</v>
      </c>
      <c r="AC660" s="1144">
        <f t="shared" si="191"/>
        <v>0</v>
      </c>
      <c r="AD660" s="1148">
        <f t="shared" si="182"/>
        <v>468.71999999999997</v>
      </c>
      <c r="AE660" s="1487">
        <v>0</v>
      </c>
      <c r="AF660" s="1145">
        <f t="shared" si="192"/>
        <v>468.71999999999997</v>
      </c>
      <c r="AG660" s="1149">
        <f>IFERROR(VLOOKUP(CONCATENATE($L660,$N660),'Drop List'!$G$23:$K$87,2,FALSE),0)</f>
        <v>0.68500000000000005</v>
      </c>
      <c r="AH660" s="1150">
        <f>IFERROR(VLOOKUP(CONCATENATE($L660,$N660),'Drop List'!$G$23:$K$87,3,FALSE),0)</f>
        <v>0.31499999999999995</v>
      </c>
      <c r="AI660" s="1150">
        <f>IFERROR(VLOOKUP(CONCATENATE($L660,$N660),'Drop List'!$G$23:$K$87,4,FALSE),0)</f>
        <v>0</v>
      </c>
      <c r="AJ660" s="1151">
        <f>IFERROR(VLOOKUP(CONCATENATE($L660,$N660),'Drop List'!$G$23:$K$87,5,FALSE),0)</f>
        <v>0</v>
      </c>
      <c r="AK660" s="1152">
        <f t="shared" si="193"/>
        <v>321.07319999999999</v>
      </c>
      <c r="AL660" s="1153">
        <f t="shared" si="194"/>
        <v>147.64679999999996</v>
      </c>
      <c r="AM660" s="1153">
        <f t="shared" si="195"/>
        <v>0</v>
      </c>
      <c r="AN660" s="1145">
        <f t="shared" si="196"/>
        <v>0</v>
      </c>
      <c r="AO660" s="1154">
        <f t="shared" si="197"/>
        <v>468.71999999999991</v>
      </c>
      <c r="AP660" s="1147">
        <f t="shared" si="183"/>
        <v>0</v>
      </c>
      <c r="AQ660" s="1144">
        <f t="shared" si="184"/>
        <v>0</v>
      </c>
      <c r="AR660" s="1146">
        <f t="shared" si="185"/>
        <v>468.71999999999991</v>
      </c>
    </row>
    <row r="661" spans="1:44" x14ac:dyDescent="0.2">
      <c r="A661" s="1141" t="str">
        <f t="shared" si="180"/>
        <v>1510</v>
      </c>
      <c r="B661" s="1141" t="str">
        <f>IFERROR(VLOOKUP(A661,'LAC 103'!A:C,3,FALSE),"")</f>
        <v>OP</v>
      </c>
      <c r="C661" s="1478" t="str">
        <f>Info!$B$8</f>
        <v>00100</v>
      </c>
      <c r="D661" s="1474" t="s">
        <v>256</v>
      </c>
      <c r="E661" s="1474" t="s">
        <v>95</v>
      </c>
      <c r="F661" s="1478" t="s">
        <v>77</v>
      </c>
      <c r="G661" s="1478" t="s">
        <v>77</v>
      </c>
      <c r="H661" s="1474" t="s">
        <v>983</v>
      </c>
      <c r="I661" s="1478" t="s">
        <v>823</v>
      </c>
      <c r="J661" s="1478" t="s">
        <v>1999</v>
      </c>
      <c r="K661" s="1475" t="s">
        <v>848</v>
      </c>
      <c r="L661" s="1474" t="s">
        <v>45</v>
      </c>
      <c r="M661" s="1476" t="s">
        <v>842</v>
      </c>
      <c r="N661" s="1477" t="s">
        <v>1692</v>
      </c>
      <c r="O661" s="1479">
        <v>539</v>
      </c>
      <c r="P661" s="1479"/>
      <c r="Q661" s="1142">
        <f t="shared" si="181"/>
        <v>539</v>
      </c>
      <c r="R661" s="1143">
        <f>IFERROR(VLOOKUP(CONCATENATE(E661,G661),'LAC 103'!$A$12:$O$95,11,FALSE),0)</f>
        <v>3.2074101033884355</v>
      </c>
      <c r="S661" s="1144">
        <f>IFERROR(VLOOKUP(CONCATENATE($E661,$G661),'LAC 103'!$A$12:$O$95,12,FALSE),0)</f>
        <v>3.99</v>
      </c>
      <c r="T661" s="1144">
        <f>IFERROR(VLOOKUP(CONCATENATE($E661,$G661),'LAC 103'!$A$12:$O$95,13,FALSE),0)</f>
        <v>2.48</v>
      </c>
      <c r="U661" s="1144">
        <f>IFERROR(VLOOKUP(CONCATENATE($E661,$G661),'LAC 103'!$A$12:$O$95,14,FALSE),0)</f>
        <v>0</v>
      </c>
      <c r="V661" s="1144">
        <f>IFERROR(VLOOKUP(CONCATENATE($E661,$G661),'LAC 103'!$A$12:$O$95,15,FALSE),0)</f>
        <v>0</v>
      </c>
      <c r="W661" s="1145" t="str">
        <f>IFERROR(VLOOKUP(CONCATENATE($B661,$N661),'LAC 103'!$AI:$AQ,9,FALSE),"")</f>
        <v>Costs</v>
      </c>
      <c r="X661" s="1146">
        <f t="shared" si="186"/>
        <v>3.2074101033884355</v>
      </c>
      <c r="Y661" s="1143">
        <f t="shared" si="187"/>
        <v>1728.7940457263667</v>
      </c>
      <c r="Z661" s="1147">
        <f t="shared" si="188"/>
        <v>2150.61</v>
      </c>
      <c r="AA661" s="1144">
        <f t="shared" si="189"/>
        <v>1336.72</v>
      </c>
      <c r="AB661" s="1144">
        <f t="shared" si="190"/>
        <v>0</v>
      </c>
      <c r="AC661" s="1144">
        <f t="shared" si="191"/>
        <v>0</v>
      </c>
      <c r="AD661" s="1148">
        <f t="shared" si="182"/>
        <v>1728.7940457263667</v>
      </c>
      <c r="AE661" s="1487">
        <v>0</v>
      </c>
      <c r="AF661" s="1145">
        <f t="shared" si="192"/>
        <v>1728.7940457263667</v>
      </c>
      <c r="AG661" s="1149">
        <f>IFERROR(VLOOKUP(CONCATENATE($L661,$N661),'Drop List'!$G$23:$K$87,2,FALSE),0)</f>
        <v>0.69340000000000002</v>
      </c>
      <c r="AH661" s="1150">
        <f>IFERROR(VLOOKUP(CONCATENATE($L661,$N661),'Drop List'!$G$23:$K$87,3,FALSE),0)</f>
        <v>0.30659999999999998</v>
      </c>
      <c r="AI661" s="1150">
        <f>IFERROR(VLOOKUP(CONCATENATE($L661,$N661),'Drop List'!$G$23:$K$87,4,FALSE),0)</f>
        <v>0</v>
      </c>
      <c r="AJ661" s="1151">
        <f>IFERROR(VLOOKUP(CONCATENATE($L661,$N661),'Drop List'!$G$23:$K$87,5,FALSE),0)</f>
        <v>0</v>
      </c>
      <c r="AK661" s="1152">
        <f t="shared" si="193"/>
        <v>1198.7457913066626</v>
      </c>
      <c r="AL661" s="1153">
        <f t="shared" si="194"/>
        <v>530.04825441970399</v>
      </c>
      <c r="AM661" s="1153">
        <f t="shared" si="195"/>
        <v>0</v>
      </c>
      <c r="AN661" s="1145">
        <f t="shared" si="196"/>
        <v>0</v>
      </c>
      <c r="AO661" s="1154">
        <f t="shared" si="197"/>
        <v>1728.7940457263667</v>
      </c>
      <c r="AP661" s="1147">
        <f t="shared" si="183"/>
        <v>0</v>
      </c>
      <c r="AQ661" s="1144">
        <f t="shared" si="184"/>
        <v>0</v>
      </c>
      <c r="AR661" s="1146">
        <f t="shared" si="185"/>
        <v>1728.7940457263667</v>
      </c>
    </row>
    <row r="662" spans="1:44" x14ac:dyDescent="0.2">
      <c r="A662" s="1141" t="str">
        <f t="shared" si="180"/>
        <v>1510</v>
      </c>
      <c r="B662" s="1141" t="str">
        <f>IFERROR(VLOOKUP(A662,'LAC 103'!A:C,3,FALSE),"")</f>
        <v>OP</v>
      </c>
      <c r="C662" s="1478" t="str">
        <f>Info!$B$8</f>
        <v>00100</v>
      </c>
      <c r="D662" s="1474" t="s">
        <v>256</v>
      </c>
      <c r="E662" s="1474" t="s">
        <v>95</v>
      </c>
      <c r="F662" s="1478" t="s">
        <v>77</v>
      </c>
      <c r="G662" s="1478" t="s">
        <v>77</v>
      </c>
      <c r="H662" s="1474" t="s">
        <v>983</v>
      </c>
      <c r="I662" s="1478" t="s">
        <v>823</v>
      </c>
      <c r="J662" s="1478" t="s">
        <v>1999</v>
      </c>
      <c r="K662" s="1475" t="s">
        <v>848</v>
      </c>
      <c r="L662" s="1474" t="s">
        <v>45</v>
      </c>
      <c r="M662" s="1476" t="s">
        <v>1698</v>
      </c>
      <c r="N662" s="1477" t="s">
        <v>1693</v>
      </c>
      <c r="O662" s="1479">
        <v>244</v>
      </c>
      <c r="P662" s="1479"/>
      <c r="Q662" s="1142">
        <f t="shared" si="181"/>
        <v>244</v>
      </c>
      <c r="R662" s="1143">
        <f>IFERROR(VLOOKUP(CONCATENATE(E662,G662),'LAC 103'!$A$12:$O$95,11,FALSE),0)</f>
        <v>3.2074101033884355</v>
      </c>
      <c r="S662" s="1144">
        <f>IFERROR(VLOOKUP(CONCATENATE($E662,$G662),'LAC 103'!$A$12:$O$95,12,FALSE),0)</f>
        <v>3.99</v>
      </c>
      <c r="T662" s="1144">
        <f>IFERROR(VLOOKUP(CONCATENATE($E662,$G662),'LAC 103'!$A$12:$O$95,13,FALSE),0)</f>
        <v>2.48</v>
      </c>
      <c r="U662" s="1144">
        <f>IFERROR(VLOOKUP(CONCATENATE($E662,$G662),'LAC 103'!$A$12:$O$95,14,FALSE),0)</f>
        <v>0</v>
      </c>
      <c r="V662" s="1144">
        <f>IFERROR(VLOOKUP(CONCATENATE($E662,$G662),'LAC 103'!$A$12:$O$95,15,FALSE),0)</f>
        <v>0</v>
      </c>
      <c r="W662" s="1145" t="str">
        <f>IFERROR(VLOOKUP(CONCATENATE($B662,$N662),'LAC 103'!$AI:$AQ,9,FALSE),"")</f>
        <v>Costs</v>
      </c>
      <c r="X662" s="1146">
        <f t="shared" si="186"/>
        <v>3.2074101033884355</v>
      </c>
      <c r="Y662" s="1143">
        <f t="shared" si="187"/>
        <v>782.60806522677831</v>
      </c>
      <c r="Z662" s="1147">
        <f t="shared" si="188"/>
        <v>973.56000000000006</v>
      </c>
      <c r="AA662" s="1144">
        <f t="shared" si="189"/>
        <v>605.12</v>
      </c>
      <c r="AB662" s="1144">
        <f t="shared" si="190"/>
        <v>0</v>
      </c>
      <c r="AC662" s="1144">
        <f t="shared" si="191"/>
        <v>0</v>
      </c>
      <c r="AD662" s="1148">
        <f t="shared" si="182"/>
        <v>782.60806522677831</v>
      </c>
      <c r="AE662" s="1487">
        <v>0</v>
      </c>
      <c r="AF662" s="1145">
        <f t="shared" si="192"/>
        <v>782.60806522677831</v>
      </c>
      <c r="AG662" s="1149">
        <f>IFERROR(VLOOKUP(CONCATENATE($L662,$N662),'Drop List'!$G$23:$K$87,2,FALSE),0)</f>
        <v>0.69340000000000002</v>
      </c>
      <c r="AH662" s="1150">
        <f>IFERROR(VLOOKUP(CONCATENATE($L662,$N662),'Drop List'!$G$23:$K$87,3,FALSE),0)</f>
        <v>0.30659999999999998</v>
      </c>
      <c r="AI662" s="1150">
        <f>IFERROR(VLOOKUP(CONCATENATE($L662,$N662),'Drop List'!$G$23:$K$87,4,FALSE),0)</f>
        <v>0</v>
      </c>
      <c r="AJ662" s="1151">
        <f>IFERROR(VLOOKUP(CONCATENATE($L662,$N662),'Drop List'!$G$23:$K$87,5,FALSE),0)</f>
        <v>0</v>
      </c>
      <c r="AK662" s="1152">
        <f t="shared" si="193"/>
        <v>542.6604324282481</v>
      </c>
      <c r="AL662" s="1153">
        <f t="shared" si="194"/>
        <v>239.94763279853021</v>
      </c>
      <c r="AM662" s="1153">
        <f t="shared" si="195"/>
        <v>0</v>
      </c>
      <c r="AN662" s="1145">
        <f t="shared" si="196"/>
        <v>0</v>
      </c>
      <c r="AO662" s="1154">
        <f t="shared" si="197"/>
        <v>782.60806522677831</v>
      </c>
      <c r="AP662" s="1147">
        <f t="shared" si="183"/>
        <v>0</v>
      </c>
      <c r="AQ662" s="1144">
        <f t="shared" si="184"/>
        <v>0</v>
      </c>
      <c r="AR662" s="1146">
        <f t="shared" si="185"/>
        <v>782.60806522677831</v>
      </c>
    </row>
    <row r="663" spans="1:44" x14ac:dyDescent="0.2">
      <c r="A663" s="1141" t="str">
        <f t="shared" si="180"/>
        <v>1510</v>
      </c>
      <c r="B663" s="1141" t="str">
        <f>IFERROR(VLOOKUP(A663,'LAC 103'!A:C,3,FALSE),"")</f>
        <v>OP</v>
      </c>
      <c r="C663" s="1478" t="str">
        <f>Info!$B$8</f>
        <v>00100</v>
      </c>
      <c r="D663" s="1474" t="s">
        <v>256</v>
      </c>
      <c r="E663" s="1474" t="s">
        <v>95</v>
      </c>
      <c r="F663" s="1478" t="s">
        <v>77</v>
      </c>
      <c r="G663" s="1478" t="s">
        <v>77</v>
      </c>
      <c r="H663" s="1474" t="s">
        <v>983</v>
      </c>
      <c r="I663" s="1478" t="s">
        <v>823</v>
      </c>
      <c r="J663" s="1478" t="s">
        <v>1999</v>
      </c>
      <c r="K663" s="1475" t="s">
        <v>849</v>
      </c>
      <c r="L663" s="1474" t="s">
        <v>77</v>
      </c>
      <c r="M663" s="1476" t="s">
        <v>840</v>
      </c>
      <c r="N663" s="1477" t="s">
        <v>1700</v>
      </c>
      <c r="O663" s="1479">
        <v>20</v>
      </c>
      <c r="P663" s="1479"/>
      <c r="Q663" s="1142">
        <f t="shared" si="181"/>
        <v>20</v>
      </c>
      <c r="R663" s="1143">
        <f>IFERROR(VLOOKUP(CONCATENATE(E663,G663),'LAC 103'!$A$12:$O$95,11,FALSE),0)</f>
        <v>3.2074101033884355</v>
      </c>
      <c r="S663" s="1144">
        <f>IFERROR(VLOOKUP(CONCATENATE($E663,$G663),'LAC 103'!$A$12:$O$95,12,FALSE),0)</f>
        <v>3.99</v>
      </c>
      <c r="T663" s="1144">
        <f>IFERROR(VLOOKUP(CONCATENATE($E663,$G663),'LAC 103'!$A$12:$O$95,13,FALSE),0)</f>
        <v>2.48</v>
      </c>
      <c r="U663" s="1144">
        <f>IFERROR(VLOOKUP(CONCATENATE($E663,$G663),'LAC 103'!$A$12:$O$95,14,FALSE),0)</f>
        <v>0</v>
      </c>
      <c r="V663" s="1144">
        <f>IFERROR(VLOOKUP(CONCATENATE($E663,$G663),'LAC 103'!$A$12:$O$95,15,FALSE),0)</f>
        <v>0</v>
      </c>
      <c r="W663" s="1145" t="str">
        <f>IFERROR(VLOOKUP(CONCATENATE($B663,$N663),'LAC 103'!$AI:$AQ,9,FALSE),"")</f>
        <v>P.C.</v>
      </c>
      <c r="X663" s="1146">
        <f t="shared" si="186"/>
        <v>2.48</v>
      </c>
      <c r="Y663" s="1143">
        <f t="shared" si="187"/>
        <v>64.148202067768707</v>
      </c>
      <c r="Z663" s="1147">
        <f t="shared" si="188"/>
        <v>79.800000000000011</v>
      </c>
      <c r="AA663" s="1144">
        <f t="shared" si="189"/>
        <v>49.6</v>
      </c>
      <c r="AB663" s="1144">
        <f t="shared" si="190"/>
        <v>0</v>
      </c>
      <c r="AC663" s="1144">
        <f t="shared" si="191"/>
        <v>0</v>
      </c>
      <c r="AD663" s="1148">
        <f t="shared" si="182"/>
        <v>49.6</v>
      </c>
      <c r="AE663" s="1487">
        <v>0</v>
      </c>
      <c r="AF663" s="1145">
        <f t="shared" si="192"/>
        <v>49.6</v>
      </c>
      <c r="AG663" s="1149">
        <f>IFERROR(VLOOKUP(CONCATENATE($L663,$N663),'Drop List'!$G$23:$K$87,2,FALSE),0)</f>
        <v>0.9</v>
      </c>
      <c r="AH663" s="1150">
        <f>IFERROR(VLOOKUP(CONCATENATE($L663,$N663),'Drop List'!$G$23:$K$87,3,FALSE),0)</f>
        <v>0</v>
      </c>
      <c r="AI663" s="1150">
        <f>IFERROR(VLOOKUP(CONCATENATE($L663,$N663),'Drop List'!$G$23:$K$87,4,FALSE),0)</f>
        <v>0.1</v>
      </c>
      <c r="AJ663" s="1151">
        <f>IFERROR(VLOOKUP(CONCATENATE($L663,$N663),'Drop List'!$G$23:$K$87,5,FALSE),0)</f>
        <v>0</v>
      </c>
      <c r="AK663" s="1152">
        <f t="shared" si="193"/>
        <v>44.64</v>
      </c>
      <c r="AL663" s="1153">
        <f t="shared" si="194"/>
        <v>0</v>
      </c>
      <c r="AM663" s="1153">
        <f t="shared" si="195"/>
        <v>4.9600000000000009</v>
      </c>
      <c r="AN663" s="1145">
        <f t="shared" si="196"/>
        <v>0</v>
      </c>
      <c r="AO663" s="1154">
        <f t="shared" si="197"/>
        <v>49.6</v>
      </c>
      <c r="AP663" s="1147">
        <f t="shared" si="183"/>
        <v>0</v>
      </c>
      <c r="AQ663" s="1144">
        <f t="shared" si="184"/>
        <v>0</v>
      </c>
      <c r="AR663" s="1146">
        <f t="shared" si="185"/>
        <v>49.6</v>
      </c>
    </row>
    <row r="664" spans="1:44" x14ac:dyDescent="0.2">
      <c r="A664" s="1141" t="str">
        <f t="shared" si="180"/>
        <v>1510</v>
      </c>
      <c r="B664" s="1141" t="str">
        <f>IFERROR(VLOOKUP(A664,'LAC 103'!A:C,3,FALSE),"")</f>
        <v>OP</v>
      </c>
      <c r="C664" s="1478" t="str">
        <f>Info!$B$8</f>
        <v>00100</v>
      </c>
      <c r="D664" s="1474" t="s">
        <v>256</v>
      </c>
      <c r="E664" s="1474" t="s">
        <v>95</v>
      </c>
      <c r="F664" s="1478" t="s">
        <v>77</v>
      </c>
      <c r="G664" s="1478" t="s">
        <v>77</v>
      </c>
      <c r="H664" s="1474" t="s">
        <v>983</v>
      </c>
      <c r="I664" s="1478" t="s">
        <v>823</v>
      </c>
      <c r="J664" s="1478" t="s">
        <v>1999</v>
      </c>
      <c r="K664" s="1475" t="s">
        <v>971</v>
      </c>
      <c r="L664" s="1474" t="s">
        <v>332</v>
      </c>
      <c r="M664" s="1476" t="s">
        <v>1699</v>
      </c>
      <c r="N664" s="1477" t="s">
        <v>1694</v>
      </c>
      <c r="O664" s="1479">
        <v>25</v>
      </c>
      <c r="P664" s="1479"/>
      <c r="Q664" s="1142">
        <f t="shared" si="181"/>
        <v>25</v>
      </c>
      <c r="R664" s="1143">
        <f>IFERROR(VLOOKUP(CONCATENATE(E664,G664),'LAC 103'!$A$12:$O$95,11,FALSE),0)</f>
        <v>3.2074101033884355</v>
      </c>
      <c r="S664" s="1144">
        <f>IFERROR(VLOOKUP(CONCATENATE($E664,$G664),'LAC 103'!$A$12:$O$95,12,FALSE),0)</f>
        <v>3.99</v>
      </c>
      <c r="T664" s="1144">
        <f>IFERROR(VLOOKUP(CONCATENATE($E664,$G664),'LAC 103'!$A$12:$O$95,13,FALSE),0)</f>
        <v>2.48</v>
      </c>
      <c r="U664" s="1144">
        <f>IFERROR(VLOOKUP(CONCATENATE($E664,$G664),'LAC 103'!$A$12:$O$95,14,FALSE),0)</f>
        <v>0</v>
      </c>
      <c r="V664" s="1144">
        <f>IFERROR(VLOOKUP(CONCATENATE($E664,$G664),'LAC 103'!$A$12:$O$95,15,FALSE),0)</f>
        <v>0</v>
      </c>
      <c r="W664" s="1145" t="str">
        <f>IFERROR(VLOOKUP(CONCATENATE($B664,$N664),'LAC 103'!$AI:$AQ,9,FALSE),"")</f>
        <v>Costs</v>
      </c>
      <c r="X664" s="1146">
        <f t="shared" si="186"/>
        <v>3.2074101033884355</v>
      </c>
      <c r="Y664" s="1143">
        <f t="shared" si="187"/>
        <v>80.185252584710881</v>
      </c>
      <c r="Z664" s="1147">
        <f t="shared" si="188"/>
        <v>99.75</v>
      </c>
      <c r="AA664" s="1144">
        <f t="shared" si="189"/>
        <v>62</v>
      </c>
      <c r="AB664" s="1144">
        <f t="shared" si="190"/>
        <v>0</v>
      </c>
      <c r="AC664" s="1144">
        <f t="shared" si="191"/>
        <v>0</v>
      </c>
      <c r="AD664" s="1148">
        <f t="shared" si="182"/>
        <v>80.185252584710881</v>
      </c>
      <c r="AE664" s="1487">
        <v>0</v>
      </c>
      <c r="AF664" s="1145">
        <f t="shared" si="192"/>
        <v>80.185252584710881</v>
      </c>
      <c r="AG664" s="1149">
        <f>IFERROR(VLOOKUP(CONCATENATE($L664,$N664),'Drop List'!$G$23:$K$87,2,FALSE),0)</f>
        <v>0</v>
      </c>
      <c r="AH664" s="1150">
        <f>IFERROR(VLOOKUP(CONCATENATE($L664,$N664),'Drop List'!$G$23:$K$87,3,FALSE),0)</f>
        <v>0</v>
      </c>
      <c r="AI664" s="1150">
        <f>IFERROR(VLOOKUP(CONCATENATE($L664,$N664),'Drop List'!$G$23:$K$87,4,FALSE),0)</f>
        <v>0</v>
      </c>
      <c r="AJ664" s="1151">
        <f>IFERROR(VLOOKUP(CONCATENATE($L664,$N664),'Drop List'!$G$23:$K$87,5,FALSE),0)</f>
        <v>0</v>
      </c>
      <c r="AK664" s="1152">
        <f t="shared" si="193"/>
        <v>0</v>
      </c>
      <c r="AL664" s="1153">
        <f t="shared" si="194"/>
        <v>0</v>
      </c>
      <c r="AM664" s="1153">
        <f t="shared" si="195"/>
        <v>0</v>
      </c>
      <c r="AN664" s="1145">
        <f t="shared" si="196"/>
        <v>0</v>
      </c>
      <c r="AO664" s="1154">
        <f t="shared" si="197"/>
        <v>0</v>
      </c>
      <c r="AP664" s="1147">
        <f t="shared" si="183"/>
        <v>80.185252584710881</v>
      </c>
      <c r="AQ664" s="1144">
        <f t="shared" si="184"/>
        <v>0</v>
      </c>
      <c r="AR664" s="1146">
        <f t="shared" si="185"/>
        <v>80.185252584710881</v>
      </c>
    </row>
    <row r="665" spans="1:44" x14ac:dyDescent="0.2">
      <c r="A665" s="1141" t="str">
        <f t="shared" si="180"/>
        <v>1510</v>
      </c>
      <c r="B665" s="1141" t="str">
        <f>IFERROR(VLOOKUP(A665,'LAC 103'!A:C,3,FALSE),"")</f>
        <v>OP</v>
      </c>
      <c r="C665" s="1478" t="str">
        <f>Info!$B$8</f>
        <v>00100</v>
      </c>
      <c r="D665" s="1474" t="s">
        <v>256</v>
      </c>
      <c r="E665" s="1474" t="s">
        <v>95</v>
      </c>
      <c r="F665" s="1478" t="s">
        <v>77</v>
      </c>
      <c r="G665" s="1478" t="s">
        <v>77</v>
      </c>
      <c r="H665" s="1474" t="s">
        <v>983</v>
      </c>
      <c r="I665" s="1478" t="s">
        <v>823</v>
      </c>
      <c r="J665" s="1478" t="s">
        <v>1999</v>
      </c>
      <c r="K665" s="1475" t="s">
        <v>851</v>
      </c>
      <c r="L665" s="1474" t="s">
        <v>584</v>
      </c>
      <c r="M665" s="1476" t="s">
        <v>1699</v>
      </c>
      <c r="N665" s="1477" t="s">
        <v>1694</v>
      </c>
      <c r="O665" s="1479">
        <v>413</v>
      </c>
      <c r="P665" s="1479"/>
      <c r="Q665" s="1142">
        <f t="shared" si="181"/>
        <v>413</v>
      </c>
      <c r="R665" s="1143">
        <f>IFERROR(VLOOKUP(CONCATENATE(E665,G665),'LAC 103'!$A$12:$O$95,11,FALSE),0)</f>
        <v>3.2074101033884355</v>
      </c>
      <c r="S665" s="1144">
        <f>IFERROR(VLOOKUP(CONCATENATE($E665,$G665),'LAC 103'!$A$12:$O$95,12,FALSE),0)</f>
        <v>3.99</v>
      </c>
      <c r="T665" s="1144">
        <f>IFERROR(VLOOKUP(CONCATENATE($E665,$G665),'LAC 103'!$A$12:$O$95,13,FALSE),0)</f>
        <v>2.48</v>
      </c>
      <c r="U665" s="1144">
        <f>IFERROR(VLOOKUP(CONCATENATE($E665,$G665),'LAC 103'!$A$12:$O$95,14,FALSE),0)</f>
        <v>0</v>
      </c>
      <c r="V665" s="1144">
        <f>IFERROR(VLOOKUP(CONCATENATE($E665,$G665),'LAC 103'!$A$12:$O$95,15,FALSE),0)</f>
        <v>0</v>
      </c>
      <c r="W665" s="1145" t="str">
        <f>IFERROR(VLOOKUP(CONCATENATE($B665,$N665),'LAC 103'!$AI:$AQ,9,FALSE),"")</f>
        <v>Costs</v>
      </c>
      <c r="X665" s="1146">
        <f t="shared" si="186"/>
        <v>3.2074101033884355</v>
      </c>
      <c r="Y665" s="1143">
        <f t="shared" si="187"/>
        <v>1324.6603726994238</v>
      </c>
      <c r="Z665" s="1147">
        <f t="shared" si="188"/>
        <v>1647.8700000000001</v>
      </c>
      <c r="AA665" s="1144">
        <f t="shared" si="189"/>
        <v>1024.24</v>
      </c>
      <c r="AB665" s="1144">
        <f t="shared" si="190"/>
        <v>0</v>
      </c>
      <c r="AC665" s="1144">
        <f t="shared" si="191"/>
        <v>0</v>
      </c>
      <c r="AD665" s="1148">
        <f t="shared" si="182"/>
        <v>1324.6603726994238</v>
      </c>
      <c r="AE665" s="1487">
        <v>0</v>
      </c>
      <c r="AF665" s="1145">
        <f t="shared" si="192"/>
        <v>1324.6603726994238</v>
      </c>
      <c r="AG665" s="1149">
        <f>IFERROR(VLOOKUP(CONCATENATE($L665,$N665),'Drop List'!$G$23:$K$87,2,FALSE),0)</f>
        <v>0.56200000000000006</v>
      </c>
      <c r="AH665" s="1150">
        <f>IFERROR(VLOOKUP(CONCATENATE($L665,$N665),'Drop List'!$G$23:$K$87,3,FALSE),0)</f>
        <v>0</v>
      </c>
      <c r="AI665" s="1150">
        <f>IFERROR(VLOOKUP(CONCATENATE($L665,$N665),'Drop List'!$G$23:$K$87,4,FALSE),0)</f>
        <v>0</v>
      </c>
      <c r="AJ665" s="1151">
        <f>IFERROR(VLOOKUP(CONCATENATE($L665,$N665),'Drop List'!$G$23:$K$87,5,FALSE),0)</f>
        <v>0.43799999999999994</v>
      </c>
      <c r="AK665" s="1152">
        <f t="shared" si="193"/>
        <v>744.45912945707619</v>
      </c>
      <c r="AL665" s="1153">
        <f t="shared" si="194"/>
        <v>0</v>
      </c>
      <c r="AM665" s="1153">
        <f t="shared" si="195"/>
        <v>0</v>
      </c>
      <c r="AN665" s="1145">
        <f t="shared" si="196"/>
        <v>580.20124324234757</v>
      </c>
      <c r="AO665" s="1154">
        <f t="shared" si="197"/>
        <v>1324.6603726994238</v>
      </c>
      <c r="AP665" s="1147">
        <f t="shared" si="183"/>
        <v>0</v>
      </c>
      <c r="AQ665" s="1144">
        <f t="shared" si="184"/>
        <v>0</v>
      </c>
      <c r="AR665" s="1146">
        <f t="shared" si="185"/>
        <v>1324.6603726994238</v>
      </c>
    </row>
    <row r="666" spans="1:44" x14ac:dyDescent="0.2">
      <c r="A666" s="1141" t="str">
        <f t="shared" si="180"/>
        <v>1510</v>
      </c>
      <c r="B666" s="1141" t="str">
        <f>IFERROR(VLOOKUP(A666,'LAC 103'!A:C,3,FALSE),"")</f>
        <v>OP</v>
      </c>
      <c r="C666" s="1478" t="str">
        <f>Info!$B$8</f>
        <v>00100</v>
      </c>
      <c r="D666" s="1474" t="s">
        <v>256</v>
      </c>
      <c r="E666" s="1474" t="s">
        <v>95</v>
      </c>
      <c r="F666" s="1478" t="s">
        <v>77</v>
      </c>
      <c r="G666" s="1478" t="s">
        <v>77</v>
      </c>
      <c r="H666" s="1474" t="s">
        <v>983</v>
      </c>
      <c r="I666" s="1478" t="s">
        <v>823</v>
      </c>
      <c r="J666" s="1478" t="s">
        <v>1999</v>
      </c>
      <c r="K666" s="1475" t="s">
        <v>851</v>
      </c>
      <c r="L666" s="1474" t="s">
        <v>584</v>
      </c>
      <c r="M666" s="1476" t="s">
        <v>840</v>
      </c>
      <c r="N666" s="1477" t="s">
        <v>1700</v>
      </c>
      <c r="O666" s="1479">
        <v>122</v>
      </c>
      <c r="P666" s="1479"/>
      <c r="Q666" s="1142">
        <f t="shared" si="181"/>
        <v>122</v>
      </c>
      <c r="R666" s="1143">
        <f>IFERROR(VLOOKUP(CONCATENATE(E666,G666),'LAC 103'!$A$12:$O$95,11,FALSE),0)</f>
        <v>3.2074101033884355</v>
      </c>
      <c r="S666" s="1144">
        <f>IFERROR(VLOOKUP(CONCATENATE($E666,$G666),'LAC 103'!$A$12:$O$95,12,FALSE),0)</f>
        <v>3.99</v>
      </c>
      <c r="T666" s="1144">
        <f>IFERROR(VLOOKUP(CONCATENATE($E666,$G666),'LAC 103'!$A$12:$O$95,13,FALSE),0)</f>
        <v>2.48</v>
      </c>
      <c r="U666" s="1144">
        <f>IFERROR(VLOOKUP(CONCATENATE($E666,$G666),'LAC 103'!$A$12:$O$95,14,FALSE),0)</f>
        <v>0</v>
      </c>
      <c r="V666" s="1144">
        <f>IFERROR(VLOOKUP(CONCATENATE($E666,$G666),'LAC 103'!$A$12:$O$95,15,FALSE),0)</f>
        <v>0</v>
      </c>
      <c r="W666" s="1145" t="str">
        <f>IFERROR(VLOOKUP(CONCATENATE($B666,$N666),'LAC 103'!$AI:$AQ,9,FALSE),"")</f>
        <v>P.C.</v>
      </c>
      <c r="X666" s="1146">
        <f t="shared" si="186"/>
        <v>2.48</v>
      </c>
      <c r="Y666" s="1143">
        <f t="shared" si="187"/>
        <v>391.30403261338915</v>
      </c>
      <c r="Z666" s="1147">
        <f t="shared" si="188"/>
        <v>486.78000000000003</v>
      </c>
      <c r="AA666" s="1144">
        <f t="shared" si="189"/>
        <v>302.56</v>
      </c>
      <c r="AB666" s="1144">
        <f t="shared" si="190"/>
        <v>0</v>
      </c>
      <c r="AC666" s="1144">
        <f t="shared" si="191"/>
        <v>0</v>
      </c>
      <c r="AD666" s="1148">
        <f t="shared" si="182"/>
        <v>302.56</v>
      </c>
      <c r="AE666" s="1487">
        <v>0</v>
      </c>
      <c r="AF666" s="1145">
        <f t="shared" si="192"/>
        <v>302.56</v>
      </c>
      <c r="AG666" s="1149">
        <f>IFERROR(VLOOKUP(CONCATENATE($L666,$N666),'Drop List'!$G$23:$K$87,2,FALSE),0)</f>
        <v>0.55000000000000004</v>
      </c>
      <c r="AH666" s="1150">
        <f>IFERROR(VLOOKUP(CONCATENATE($L666,$N666),'Drop List'!$G$23:$K$87,3,FALSE),0)</f>
        <v>0</v>
      </c>
      <c r="AI666" s="1150">
        <f>IFERROR(VLOOKUP(CONCATENATE($L666,$N666),'Drop List'!$G$23:$K$87,4,FALSE),0)</f>
        <v>0</v>
      </c>
      <c r="AJ666" s="1151">
        <f>IFERROR(VLOOKUP(CONCATENATE($L666,$N666),'Drop List'!$G$23:$K$87,5,FALSE),0)</f>
        <v>0.44999999999999996</v>
      </c>
      <c r="AK666" s="1152">
        <f t="shared" si="193"/>
        <v>166.40800000000002</v>
      </c>
      <c r="AL666" s="1153">
        <f t="shared" si="194"/>
        <v>0</v>
      </c>
      <c r="AM666" s="1153">
        <f t="shared" si="195"/>
        <v>0</v>
      </c>
      <c r="AN666" s="1145">
        <f t="shared" si="196"/>
        <v>136.15199999999999</v>
      </c>
      <c r="AO666" s="1154">
        <f t="shared" si="197"/>
        <v>302.56</v>
      </c>
      <c r="AP666" s="1147">
        <f t="shared" si="183"/>
        <v>0</v>
      </c>
      <c r="AQ666" s="1144">
        <f t="shared" si="184"/>
        <v>0</v>
      </c>
      <c r="AR666" s="1146">
        <f t="shared" si="185"/>
        <v>302.56</v>
      </c>
    </row>
    <row r="667" spans="1:44" x14ac:dyDescent="0.2">
      <c r="A667" s="1141" t="str">
        <f t="shared" si="180"/>
        <v>1510</v>
      </c>
      <c r="B667" s="1141" t="str">
        <f>IFERROR(VLOOKUP(A667,'LAC 103'!A:C,3,FALSE),"")</f>
        <v>OP</v>
      </c>
      <c r="C667" s="1478" t="str">
        <f>Info!$B$8</f>
        <v>00100</v>
      </c>
      <c r="D667" s="1474" t="s">
        <v>256</v>
      </c>
      <c r="E667" s="1474" t="s">
        <v>95</v>
      </c>
      <c r="F667" s="1478" t="s">
        <v>77</v>
      </c>
      <c r="G667" s="1478" t="s">
        <v>77</v>
      </c>
      <c r="H667" s="1474" t="s">
        <v>983</v>
      </c>
      <c r="I667" s="1478" t="s">
        <v>823</v>
      </c>
      <c r="J667" s="1478" t="s">
        <v>1999</v>
      </c>
      <c r="K667" s="1475" t="s">
        <v>851</v>
      </c>
      <c r="L667" s="1474" t="s">
        <v>584</v>
      </c>
      <c r="M667" s="1476" t="s">
        <v>1698</v>
      </c>
      <c r="N667" s="1477" t="s">
        <v>1693</v>
      </c>
      <c r="O667" s="1479">
        <v>47</v>
      </c>
      <c r="P667" s="1479"/>
      <c r="Q667" s="1142">
        <f t="shared" si="181"/>
        <v>47</v>
      </c>
      <c r="R667" s="1143">
        <f>IFERROR(VLOOKUP(CONCATENATE(E667,G667),'LAC 103'!$A$12:$O$95,11,FALSE),0)</f>
        <v>3.2074101033884355</v>
      </c>
      <c r="S667" s="1144">
        <f>IFERROR(VLOOKUP(CONCATENATE($E667,$G667),'LAC 103'!$A$12:$O$95,12,FALSE),0)</f>
        <v>3.99</v>
      </c>
      <c r="T667" s="1144">
        <f>IFERROR(VLOOKUP(CONCATENATE($E667,$G667),'LAC 103'!$A$12:$O$95,13,FALSE),0)</f>
        <v>2.48</v>
      </c>
      <c r="U667" s="1144">
        <f>IFERROR(VLOOKUP(CONCATENATE($E667,$G667),'LAC 103'!$A$12:$O$95,14,FALSE),0)</f>
        <v>0</v>
      </c>
      <c r="V667" s="1144">
        <f>IFERROR(VLOOKUP(CONCATENATE($E667,$G667),'LAC 103'!$A$12:$O$95,15,FALSE),0)</f>
        <v>0</v>
      </c>
      <c r="W667" s="1145" t="str">
        <f>IFERROR(VLOOKUP(CONCATENATE($B667,$N667),'LAC 103'!$AI:$AQ,9,FALSE),"")</f>
        <v>Costs</v>
      </c>
      <c r="X667" s="1146">
        <f t="shared" si="186"/>
        <v>3.2074101033884355</v>
      </c>
      <c r="Y667" s="1143">
        <f t="shared" si="187"/>
        <v>150.74827485925647</v>
      </c>
      <c r="Z667" s="1147">
        <f t="shared" si="188"/>
        <v>187.53</v>
      </c>
      <c r="AA667" s="1144">
        <f t="shared" si="189"/>
        <v>116.56</v>
      </c>
      <c r="AB667" s="1144">
        <f t="shared" si="190"/>
        <v>0</v>
      </c>
      <c r="AC667" s="1144">
        <f t="shared" si="191"/>
        <v>0</v>
      </c>
      <c r="AD667" s="1148">
        <f t="shared" si="182"/>
        <v>150.74827485925647</v>
      </c>
      <c r="AE667" s="1487">
        <v>0</v>
      </c>
      <c r="AF667" s="1145">
        <f t="shared" si="192"/>
        <v>150.74827485925647</v>
      </c>
      <c r="AG667" s="1149">
        <f>IFERROR(VLOOKUP(CONCATENATE($L667,$N667),'Drop List'!$G$23:$K$87,2,FALSE),0)</f>
        <v>0.56200000000000006</v>
      </c>
      <c r="AH667" s="1150">
        <f>IFERROR(VLOOKUP(CONCATENATE($L667,$N667),'Drop List'!$G$23:$K$87,3,FALSE),0)</f>
        <v>0</v>
      </c>
      <c r="AI667" s="1150">
        <f>IFERROR(VLOOKUP(CONCATENATE($L667,$N667),'Drop List'!$G$23:$K$87,4,FALSE),0)</f>
        <v>0</v>
      </c>
      <c r="AJ667" s="1151">
        <f>IFERROR(VLOOKUP(CONCATENATE($L667,$N667),'Drop List'!$G$23:$K$87,5,FALSE),0)</f>
        <v>0.43799999999999994</v>
      </c>
      <c r="AK667" s="1152">
        <f t="shared" si="193"/>
        <v>84.720530470902148</v>
      </c>
      <c r="AL667" s="1153">
        <f t="shared" si="194"/>
        <v>0</v>
      </c>
      <c r="AM667" s="1153">
        <f t="shared" si="195"/>
        <v>0</v>
      </c>
      <c r="AN667" s="1145">
        <f t="shared" si="196"/>
        <v>66.027744388354321</v>
      </c>
      <c r="AO667" s="1154">
        <f t="shared" si="197"/>
        <v>150.74827485925647</v>
      </c>
      <c r="AP667" s="1147">
        <f t="shared" si="183"/>
        <v>0</v>
      </c>
      <c r="AQ667" s="1144">
        <f t="shared" si="184"/>
        <v>0</v>
      </c>
      <c r="AR667" s="1146">
        <f t="shared" si="185"/>
        <v>150.74827485925647</v>
      </c>
    </row>
    <row r="668" spans="1:44" x14ac:dyDescent="0.2">
      <c r="A668" s="1141" t="str">
        <f t="shared" si="180"/>
        <v>1510</v>
      </c>
      <c r="B668" s="1141" t="str">
        <f>IFERROR(VLOOKUP(A668,'LAC 103'!A:C,3,FALSE),"")</f>
        <v>OP</v>
      </c>
      <c r="C668" s="1478" t="str">
        <f>Info!$B$8</f>
        <v>00100</v>
      </c>
      <c r="D668" s="1474" t="s">
        <v>256</v>
      </c>
      <c r="E668" s="1474" t="s">
        <v>95</v>
      </c>
      <c r="F668" s="1478" t="s">
        <v>77</v>
      </c>
      <c r="G668" s="1478" t="s">
        <v>77</v>
      </c>
      <c r="H668" s="1474" t="s">
        <v>983</v>
      </c>
      <c r="I668" s="1478" t="s">
        <v>823</v>
      </c>
      <c r="J668" s="1478" t="s">
        <v>2000</v>
      </c>
      <c r="K668" s="1475" t="s">
        <v>849</v>
      </c>
      <c r="L668" s="1474" t="s">
        <v>77</v>
      </c>
      <c r="M668" s="1476" t="s">
        <v>1699</v>
      </c>
      <c r="N668" s="1477" t="s">
        <v>1694</v>
      </c>
      <c r="O668" s="1479">
        <v>27</v>
      </c>
      <c r="P668" s="1479"/>
      <c r="Q668" s="1142">
        <f t="shared" si="181"/>
        <v>27</v>
      </c>
      <c r="R668" s="1143">
        <f>IFERROR(VLOOKUP(CONCATENATE(E668,G668),'LAC 103'!$A$12:$O$95,11,FALSE),0)</f>
        <v>3.2074101033884355</v>
      </c>
      <c r="S668" s="1144">
        <f>IFERROR(VLOOKUP(CONCATENATE($E668,$G668),'LAC 103'!$A$12:$O$95,12,FALSE),0)</f>
        <v>3.99</v>
      </c>
      <c r="T668" s="1144">
        <f>IFERROR(VLOOKUP(CONCATENATE($E668,$G668),'LAC 103'!$A$12:$O$95,13,FALSE),0)</f>
        <v>2.48</v>
      </c>
      <c r="U668" s="1144">
        <f>IFERROR(VLOOKUP(CONCATENATE($E668,$G668),'LAC 103'!$A$12:$O$95,14,FALSE),0)</f>
        <v>0</v>
      </c>
      <c r="V668" s="1144">
        <f>IFERROR(VLOOKUP(CONCATENATE($E668,$G668),'LAC 103'!$A$12:$O$95,15,FALSE),0)</f>
        <v>0</v>
      </c>
      <c r="W668" s="1145" t="str">
        <f>IFERROR(VLOOKUP(CONCATENATE($B668,$N668),'LAC 103'!$AI:$AQ,9,FALSE),"")</f>
        <v>Costs</v>
      </c>
      <c r="X668" s="1146">
        <f t="shared" si="186"/>
        <v>3.2074101033884355</v>
      </c>
      <c r="Y668" s="1143">
        <f t="shared" si="187"/>
        <v>86.600072791487761</v>
      </c>
      <c r="Z668" s="1147">
        <f t="shared" si="188"/>
        <v>107.73</v>
      </c>
      <c r="AA668" s="1144">
        <f t="shared" si="189"/>
        <v>66.959999999999994</v>
      </c>
      <c r="AB668" s="1144">
        <f t="shared" si="190"/>
        <v>0</v>
      </c>
      <c r="AC668" s="1144">
        <f t="shared" si="191"/>
        <v>0</v>
      </c>
      <c r="AD668" s="1148">
        <f t="shared" si="182"/>
        <v>86.600072791487761</v>
      </c>
      <c r="AE668" s="1487">
        <v>0</v>
      </c>
      <c r="AF668" s="1145">
        <f t="shared" si="192"/>
        <v>86.600072791487761</v>
      </c>
      <c r="AG668" s="1149">
        <f>IFERROR(VLOOKUP(CONCATENATE($L668,$N668),'Drop List'!$G$23:$K$87,2,FALSE),0)</f>
        <v>0.9</v>
      </c>
      <c r="AH668" s="1150">
        <f>IFERROR(VLOOKUP(CONCATENATE($L668,$N668),'Drop List'!$G$23:$K$87,3,FALSE),0)</f>
        <v>0</v>
      </c>
      <c r="AI668" s="1150">
        <f>IFERROR(VLOOKUP(CONCATENATE($L668,$N668),'Drop List'!$G$23:$K$87,4,FALSE),0)</f>
        <v>0.1</v>
      </c>
      <c r="AJ668" s="1151">
        <f>IFERROR(VLOOKUP(CONCATENATE($L668,$N668),'Drop List'!$G$23:$K$87,5,FALSE),0)</f>
        <v>0</v>
      </c>
      <c r="AK668" s="1152">
        <f t="shared" si="193"/>
        <v>77.94006551233899</v>
      </c>
      <c r="AL668" s="1153">
        <f t="shared" si="194"/>
        <v>0</v>
      </c>
      <c r="AM668" s="1153">
        <f t="shared" si="195"/>
        <v>8.6600072791487772</v>
      </c>
      <c r="AN668" s="1145">
        <f t="shared" si="196"/>
        <v>0</v>
      </c>
      <c r="AO668" s="1154">
        <f t="shared" si="197"/>
        <v>86.600072791487761</v>
      </c>
      <c r="AP668" s="1147">
        <f t="shared" si="183"/>
        <v>0</v>
      </c>
      <c r="AQ668" s="1144">
        <f t="shared" si="184"/>
        <v>0</v>
      </c>
      <c r="AR668" s="1146">
        <f t="shared" si="185"/>
        <v>86.600072791487761</v>
      </c>
    </row>
    <row r="669" spans="1:44" x14ac:dyDescent="0.2">
      <c r="A669" s="1141" t="str">
        <f t="shared" si="180"/>
        <v>1510</v>
      </c>
      <c r="B669" s="1141" t="str">
        <f>IFERROR(VLOOKUP(A669,'LAC 103'!A:C,3,FALSE),"")</f>
        <v>OP</v>
      </c>
      <c r="C669" s="1478" t="str">
        <f>Info!$B$8</f>
        <v>00100</v>
      </c>
      <c r="D669" s="1474" t="s">
        <v>256</v>
      </c>
      <c r="E669" s="1474" t="s">
        <v>95</v>
      </c>
      <c r="F669" s="1478" t="s">
        <v>77</v>
      </c>
      <c r="G669" s="1478" t="s">
        <v>77</v>
      </c>
      <c r="H669" s="1474" t="s">
        <v>983</v>
      </c>
      <c r="I669" s="1478" t="s">
        <v>823</v>
      </c>
      <c r="J669" s="1478" t="s">
        <v>2000</v>
      </c>
      <c r="K669" s="1475" t="s">
        <v>849</v>
      </c>
      <c r="L669" s="1474" t="s">
        <v>77</v>
      </c>
      <c r="M669" s="1476" t="s">
        <v>840</v>
      </c>
      <c r="N669" s="1477" t="s">
        <v>1700</v>
      </c>
      <c r="O669" s="1479">
        <v>113</v>
      </c>
      <c r="P669" s="1479"/>
      <c r="Q669" s="1142">
        <f t="shared" si="181"/>
        <v>113</v>
      </c>
      <c r="R669" s="1143">
        <f>IFERROR(VLOOKUP(CONCATENATE(E669,G669),'LAC 103'!$A$12:$O$95,11,FALSE),0)</f>
        <v>3.2074101033884355</v>
      </c>
      <c r="S669" s="1144">
        <f>IFERROR(VLOOKUP(CONCATENATE($E669,$G669),'LAC 103'!$A$12:$O$95,12,FALSE),0)</f>
        <v>3.99</v>
      </c>
      <c r="T669" s="1144">
        <f>IFERROR(VLOOKUP(CONCATENATE($E669,$G669),'LAC 103'!$A$12:$O$95,13,FALSE),0)</f>
        <v>2.48</v>
      </c>
      <c r="U669" s="1144">
        <f>IFERROR(VLOOKUP(CONCATENATE($E669,$G669),'LAC 103'!$A$12:$O$95,14,FALSE),0)</f>
        <v>0</v>
      </c>
      <c r="V669" s="1144">
        <f>IFERROR(VLOOKUP(CONCATENATE($E669,$G669),'LAC 103'!$A$12:$O$95,15,FALSE),0)</f>
        <v>0</v>
      </c>
      <c r="W669" s="1145" t="str">
        <f>IFERROR(VLOOKUP(CONCATENATE($B669,$N669),'LAC 103'!$AI:$AQ,9,FALSE),"")</f>
        <v>P.C.</v>
      </c>
      <c r="X669" s="1146">
        <f t="shared" si="186"/>
        <v>2.48</v>
      </c>
      <c r="Y669" s="1143">
        <f t="shared" si="187"/>
        <v>362.43734168289319</v>
      </c>
      <c r="Z669" s="1147">
        <f t="shared" si="188"/>
        <v>450.87</v>
      </c>
      <c r="AA669" s="1144">
        <f t="shared" si="189"/>
        <v>280.24</v>
      </c>
      <c r="AB669" s="1144">
        <f t="shared" si="190"/>
        <v>0</v>
      </c>
      <c r="AC669" s="1144">
        <f t="shared" si="191"/>
        <v>0</v>
      </c>
      <c r="AD669" s="1148">
        <f t="shared" si="182"/>
        <v>280.24</v>
      </c>
      <c r="AE669" s="1487">
        <v>0</v>
      </c>
      <c r="AF669" s="1145">
        <f t="shared" si="192"/>
        <v>280.24</v>
      </c>
      <c r="AG669" s="1149">
        <f>IFERROR(VLOOKUP(CONCATENATE($L669,$N669),'Drop List'!$G$23:$K$87,2,FALSE),0)</f>
        <v>0.9</v>
      </c>
      <c r="AH669" s="1150">
        <f>IFERROR(VLOOKUP(CONCATENATE($L669,$N669),'Drop List'!$G$23:$K$87,3,FALSE),0)</f>
        <v>0</v>
      </c>
      <c r="AI669" s="1150">
        <f>IFERROR(VLOOKUP(CONCATENATE($L669,$N669),'Drop List'!$G$23:$K$87,4,FALSE),0)</f>
        <v>0.1</v>
      </c>
      <c r="AJ669" s="1151">
        <f>IFERROR(VLOOKUP(CONCATENATE($L669,$N669),'Drop List'!$G$23:$K$87,5,FALSE),0)</f>
        <v>0</v>
      </c>
      <c r="AK669" s="1152">
        <f t="shared" si="193"/>
        <v>252.21600000000001</v>
      </c>
      <c r="AL669" s="1153">
        <f t="shared" si="194"/>
        <v>0</v>
      </c>
      <c r="AM669" s="1153">
        <f t="shared" si="195"/>
        <v>28.024000000000001</v>
      </c>
      <c r="AN669" s="1145">
        <f t="shared" si="196"/>
        <v>0</v>
      </c>
      <c r="AO669" s="1154">
        <f t="shared" si="197"/>
        <v>280.24</v>
      </c>
      <c r="AP669" s="1147">
        <f t="shared" si="183"/>
        <v>0</v>
      </c>
      <c r="AQ669" s="1144">
        <f t="shared" si="184"/>
        <v>0</v>
      </c>
      <c r="AR669" s="1146">
        <f t="shared" si="185"/>
        <v>280.24</v>
      </c>
    </row>
    <row r="670" spans="1:44" x14ac:dyDescent="0.2">
      <c r="A670" s="1141" t="str">
        <f t="shared" si="180"/>
        <v>1510</v>
      </c>
      <c r="B670" s="1141" t="str">
        <f>IFERROR(VLOOKUP(A670,'LAC 103'!A:C,3,FALSE),"")</f>
        <v>OP</v>
      </c>
      <c r="C670" s="1478" t="str">
        <f>Info!$B$8</f>
        <v>00100</v>
      </c>
      <c r="D670" s="1474" t="s">
        <v>256</v>
      </c>
      <c r="E670" s="1474" t="s">
        <v>95</v>
      </c>
      <c r="F670" s="1478" t="s">
        <v>77</v>
      </c>
      <c r="G670" s="1478" t="s">
        <v>77</v>
      </c>
      <c r="H670" s="1474" t="s">
        <v>983</v>
      </c>
      <c r="I670" s="1478" t="s">
        <v>823</v>
      </c>
      <c r="J670" s="1478" t="s">
        <v>2000</v>
      </c>
      <c r="K670" s="1475" t="s">
        <v>849</v>
      </c>
      <c r="L670" s="1474" t="s">
        <v>77</v>
      </c>
      <c r="M670" s="1476" t="s">
        <v>842</v>
      </c>
      <c r="N670" s="1477" t="s">
        <v>1692</v>
      </c>
      <c r="O670" s="1479">
        <v>130</v>
      </c>
      <c r="P670" s="1479"/>
      <c r="Q670" s="1142">
        <f t="shared" si="181"/>
        <v>130</v>
      </c>
      <c r="R670" s="1143">
        <f>IFERROR(VLOOKUP(CONCATENATE(E670,G670),'LAC 103'!$A$12:$O$95,11,FALSE),0)</f>
        <v>3.2074101033884355</v>
      </c>
      <c r="S670" s="1144">
        <f>IFERROR(VLOOKUP(CONCATENATE($E670,$G670),'LAC 103'!$A$12:$O$95,12,FALSE),0)</f>
        <v>3.99</v>
      </c>
      <c r="T670" s="1144">
        <f>IFERROR(VLOOKUP(CONCATENATE($E670,$G670),'LAC 103'!$A$12:$O$95,13,FALSE),0)</f>
        <v>2.48</v>
      </c>
      <c r="U670" s="1144">
        <f>IFERROR(VLOOKUP(CONCATENATE($E670,$G670),'LAC 103'!$A$12:$O$95,14,FALSE),0)</f>
        <v>0</v>
      </c>
      <c r="V670" s="1144">
        <f>IFERROR(VLOOKUP(CONCATENATE($E670,$G670),'LAC 103'!$A$12:$O$95,15,FALSE),0)</f>
        <v>0</v>
      </c>
      <c r="W670" s="1145" t="str">
        <f>IFERROR(VLOOKUP(CONCATENATE($B670,$N670),'LAC 103'!$AI:$AQ,9,FALSE),"")</f>
        <v>Costs</v>
      </c>
      <c r="X670" s="1146">
        <f t="shared" si="186"/>
        <v>3.2074101033884355</v>
      </c>
      <c r="Y670" s="1143">
        <f t="shared" si="187"/>
        <v>416.96331344049662</v>
      </c>
      <c r="Z670" s="1147">
        <f t="shared" si="188"/>
        <v>518.70000000000005</v>
      </c>
      <c r="AA670" s="1144">
        <f t="shared" si="189"/>
        <v>322.39999999999998</v>
      </c>
      <c r="AB670" s="1144">
        <f t="shared" si="190"/>
        <v>0</v>
      </c>
      <c r="AC670" s="1144">
        <f t="shared" si="191"/>
        <v>0</v>
      </c>
      <c r="AD670" s="1148">
        <f t="shared" si="182"/>
        <v>416.96331344049662</v>
      </c>
      <c r="AE670" s="1487">
        <v>0</v>
      </c>
      <c r="AF670" s="1145">
        <f t="shared" si="192"/>
        <v>416.96331344049662</v>
      </c>
      <c r="AG670" s="1149">
        <f>IFERROR(VLOOKUP(CONCATENATE($L670,$N670),'Drop List'!$G$23:$K$87,2,FALSE),0)</f>
        <v>0.9</v>
      </c>
      <c r="AH670" s="1150">
        <f>IFERROR(VLOOKUP(CONCATENATE($L670,$N670),'Drop List'!$G$23:$K$87,3,FALSE),0)</f>
        <v>0</v>
      </c>
      <c r="AI670" s="1150">
        <f>IFERROR(VLOOKUP(CONCATENATE($L670,$N670),'Drop List'!$G$23:$K$87,4,FALSE),0)</f>
        <v>0.1</v>
      </c>
      <c r="AJ670" s="1151">
        <f>IFERROR(VLOOKUP(CONCATENATE($L670,$N670),'Drop List'!$G$23:$K$87,5,FALSE),0)</f>
        <v>0</v>
      </c>
      <c r="AK670" s="1152">
        <f t="shared" si="193"/>
        <v>375.26698209644695</v>
      </c>
      <c r="AL670" s="1153">
        <f t="shared" si="194"/>
        <v>0</v>
      </c>
      <c r="AM670" s="1153">
        <f t="shared" si="195"/>
        <v>41.696331344049668</v>
      </c>
      <c r="AN670" s="1145">
        <f t="shared" si="196"/>
        <v>0</v>
      </c>
      <c r="AO670" s="1154">
        <f t="shared" si="197"/>
        <v>416.96331344049662</v>
      </c>
      <c r="AP670" s="1147">
        <f t="shared" si="183"/>
        <v>0</v>
      </c>
      <c r="AQ670" s="1144">
        <f t="shared" si="184"/>
        <v>0</v>
      </c>
      <c r="AR670" s="1146">
        <f t="shared" si="185"/>
        <v>416.96331344049662</v>
      </c>
    </row>
    <row r="671" spans="1:44" x14ac:dyDescent="0.2">
      <c r="A671" s="1141" t="str">
        <f t="shared" si="180"/>
        <v>1510</v>
      </c>
      <c r="B671" s="1141" t="str">
        <f>IFERROR(VLOOKUP(A671,'LAC 103'!A:C,3,FALSE),"")</f>
        <v>OP</v>
      </c>
      <c r="C671" s="1478" t="str">
        <f>Info!$B$8</f>
        <v>00100</v>
      </c>
      <c r="D671" s="1474" t="s">
        <v>256</v>
      </c>
      <c r="E671" s="1474" t="s">
        <v>95</v>
      </c>
      <c r="F671" s="1478" t="s">
        <v>77</v>
      </c>
      <c r="G671" s="1478" t="s">
        <v>77</v>
      </c>
      <c r="H671" s="1474" t="s">
        <v>983</v>
      </c>
      <c r="I671" s="1478" t="s">
        <v>823</v>
      </c>
      <c r="J671" s="1478" t="s">
        <v>2000</v>
      </c>
      <c r="K671" s="1475" t="s">
        <v>849</v>
      </c>
      <c r="L671" s="1474" t="s">
        <v>77</v>
      </c>
      <c r="M671" s="1476" t="s">
        <v>1698</v>
      </c>
      <c r="N671" s="1477" t="s">
        <v>1693</v>
      </c>
      <c r="O671" s="1479">
        <v>240</v>
      </c>
      <c r="P671" s="1479"/>
      <c r="Q671" s="1142">
        <f t="shared" si="181"/>
        <v>240</v>
      </c>
      <c r="R671" s="1143">
        <f>IFERROR(VLOOKUP(CONCATENATE(E671,G671),'LAC 103'!$A$12:$O$95,11,FALSE),0)</f>
        <v>3.2074101033884355</v>
      </c>
      <c r="S671" s="1144">
        <f>IFERROR(VLOOKUP(CONCATENATE($E671,$G671),'LAC 103'!$A$12:$O$95,12,FALSE),0)</f>
        <v>3.99</v>
      </c>
      <c r="T671" s="1144">
        <f>IFERROR(VLOOKUP(CONCATENATE($E671,$G671),'LAC 103'!$A$12:$O$95,13,FALSE),0)</f>
        <v>2.48</v>
      </c>
      <c r="U671" s="1144">
        <f>IFERROR(VLOOKUP(CONCATENATE($E671,$G671),'LAC 103'!$A$12:$O$95,14,FALSE),0)</f>
        <v>0</v>
      </c>
      <c r="V671" s="1144">
        <f>IFERROR(VLOOKUP(CONCATENATE($E671,$G671),'LAC 103'!$A$12:$O$95,15,FALSE),0)</f>
        <v>0</v>
      </c>
      <c r="W671" s="1145" t="str">
        <f>IFERROR(VLOOKUP(CONCATENATE($B671,$N671),'LAC 103'!$AI:$AQ,9,FALSE),"")</f>
        <v>Costs</v>
      </c>
      <c r="X671" s="1146">
        <f t="shared" si="186"/>
        <v>3.2074101033884355</v>
      </c>
      <c r="Y671" s="1143">
        <f t="shared" si="187"/>
        <v>769.77842481322455</v>
      </c>
      <c r="Z671" s="1147">
        <f t="shared" si="188"/>
        <v>957.6</v>
      </c>
      <c r="AA671" s="1144">
        <f t="shared" si="189"/>
        <v>595.20000000000005</v>
      </c>
      <c r="AB671" s="1144">
        <f t="shared" si="190"/>
        <v>0</v>
      </c>
      <c r="AC671" s="1144">
        <f t="shared" si="191"/>
        <v>0</v>
      </c>
      <c r="AD671" s="1148">
        <f t="shared" si="182"/>
        <v>769.77842481322455</v>
      </c>
      <c r="AE671" s="1487">
        <v>0</v>
      </c>
      <c r="AF671" s="1145">
        <f t="shared" si="192"/>
        <v>769.77842481322455</v>
      </c>
      <c r="AG671" s="1149">
        <f>IFERROR(VLOOKUP(CONCATENATE($L671,$N671),'Drop List'!$G$23:$K$87,2,FALSE),0)</f>
        <v>0.9</v>
      </c>
      <c r="AH671" s="1150">
        <f>IFERROR(VLOOKUP(CONCATENATE($L671,$N671),'Drop List'!$G$23:$K$87,3,FALSE),0)</f>
        <v>0</v>
      </c>
      <c r="AI671" s="1150">
        <f>IFERROR(VLOOKUP(CONCATENATE($L671,$N671),'Drop List'!$G$23:$K$87,4,FALSE),0)</f>
        <v>0.1</v>
      </c>
      <c r="AJ671" s="1151">
        <f>IFERROR(VLOOKUP(CONCATENATE($L671,$N671),'Drop List'!$G$23:$K$87,5,FALSE),0)</f>
        <v>0</v>
      </c>
      <c r="AK671" s="1152">
        <f t="shared" si="193"/>
        <v>692.80058233190209</v>
      </c>
      <c r="AL671" s="1153">
        <f t="shared" si="194"/>
        <v>0</v>
      </c>
      <c r="AM671" s="1153">
        <f t="shared" si="195"/>
        <v>76.977842481322455</v>
      </c>
      <c r="AN671" s="1145">
        <f t="shared" si="196"/>
        <v>0</v>
      </c>
      <c r="AO671" s="1154">
        <f t="shared" si="197"/>
        <v>769.77842481322455</v>
      </c>
      <c r="AP671" s="1147">
        <f t="shared" si="183"/>
        <v>0</v>
      </c>
      <c r="AQ671" s="1144">
        <f t="shared" si="184"/>
        <v>0</v>
      </c>
      <c r="AR671" s="1146">
        <f t="shared" si="185"/>
        <v>769.77842481322455</v>
      </c>
    </row>
    <row r="672" spans="1:44" x14ac:dyDescent="0.2">
      <c r="A672" s="1141" t="str">
        <f t="shared" si="180"/>
        <v>1510</v>
      </c>
      <c r="B672" s="1141" t="str">
        <f>IFERROR(VLOOKUP(A672,'LAC 103'!A:C,3,FALSE),"")</f>
        <v>OP</v>
      </c>
      <c r="C672" s="1478" t="str">
        <f>Info!$B$8</f>
        <v>00100</v>
      </c>
      <c r="D672" s="1474" t="s">
        <v>256</v>
      </c>
      <c r="E672" s="1474" t="s">
        <v>95</v>
      </c>
      <c r="F672" s="1478" t="s">
        <v>77</v>
      </c>
      <c r="G672" s="1478" t="s">
        <v>77</v>
      </c>
      <c r="H672" s="1474" t="s">
        <v>983</v>
      </c>
      <c r="I672" s="1478" t="s">
        <v>823</v>
      </c>
      <c r="J672" s="1478" t="s">
        <v>2000</v>
      </c>
      <c r="K672" s="1475" t="s">
        <v>971</v>
      </c>
      <c r="L672" s="1474" t="s">
        <v>332</v>
      </c>
      <c r="M672" s="1476" t="s">
        <v>1699</v>
      </c>
      <c r="N672" s="1477" t="s">
        <v>1694</v>
      </c>
      <c r="O672" s="1479">
        <v>194</v>
      </c>
      <c r="P672" s="1479"/>
      <c r="Q672" s="1142">
        <f t="shared" si="181"/>
        <v>194</v>
      </c>
      <c r="R672" s="1143">
        <f>IFERROR(VLOOKUP(CONCATENATE(E672,G672),'LAC 103'!$A$12:$O$95,11,FALSE),0)</f>
        <v>3.2074101033884355</v>
      </c>
      <c r="S672" s="1144">
        <f>IFERROR(VLOOKUP(CONCATENATE($E672,$G672),'LAC 103'!$A$12:$O$95,12,FALSE),0)</f>
        <v>3.99</v>
      </c>
      <c r="T672" s="1144">
        <f>IFERROR(VLOOKUP(CONCATENATE($E672,$G672),'LAC 103'!$A$12:$O$95,13,FALSE),0)</f>
        <v>2.48</v>
      </c>
      <c r="U672" s="1144">
        <f>IFERROR(VLOOKUP(CONCATENATE($E672,$G672),'LAC 103'!$A$12:$O$95,14,FALSE),0)</f>
        <v>0</v>
      </c>
      <c r="V672" s="1144">
        <f>IFERROR(VLOOKUP(CONCATENATE($E672,$G672),'LAC 103'!$A$12:$O$95,15,FALSE),0)</f>
        <v>0</v>
      </c>
      <c r="W672" s="1145" t="str">
        <f>IFERROR(VLOOKUP(CONCATENATE($B672,$N672),'LAC 103'!$AI:$AQ,9,FALSE),"")</f>
        <v>Costs</v>
      </c>
      <c r="X672" s="1146">
        <f t="shared" si="186"/>
        <v>3.2074101033884355</v>
      </c>
      <c r="Y672" s="1143">
        <f t="shared" si="187"/>
        <v>622.23756005735652</v>
      </c>
      <c r="Z672" s="1147">
        <f t="shared" si="188"/>
        <v>774.06000000000006</v>
      </c>
      <c r="AA672" s="1144">
        <f t="shared" si="189"/>
        <v>481.12</v>
      </c>
      <c r="AB672" s="1144">
        <f t="shared" si="190"/>
        <v>0</v>
      </c>
      <c r="AC672" s="1144">
        <f t="shared" si="191"/>
        <v>0</v>
      </c>
      <c r="AD672" s="1148">
        <f t="shared" si="182"/>
        <v>622.23756005735652</v>
      </c>
      <c r="AE672" s="1487">
        <v>0</v>
      </c>
      <c r="AF672" s="1145">
        <f t="shared" si="192"/>
        <v>622.23756005735652</v>
      </c>
      <c r="AG672" s="1149">
        <f>IFERROR(VLOOKUP(CONCATENATE($L672,$N672),'Drop List'!$G$23:$K$87,2,FALSE),0)</f>
        <v>0</v>
      </c>
      <c r="AH672" s="1150">
        <f>IFERROR(VLOOKUP(CONCATENATE($L672,$N672),'Drop List'!$G$23:$K$87,3,FALSE),0)</f>
        <v>0</v>
      </c>
      <c r="AI672" s="1150">
        <f>IFERROR(VLOOKUP(CONCATENATE($L672,$N672),'Drop List'!$G$23:$K$87,4,FALSE),0)</f>
        <v>0</v>
      </c>
      <c r="AJ672" s="1151">
        <f>IFERROR(VLOOKUP(CONCATENATE($L672,$N672),'Drop List'!$G$23:$K$87,5,FALSE),0)</f>
        <v>0</v>
      </c>
      <c r="AK672" s="1152">
        <f t="shared" si="193"/>
        <v>0</v>
      </c>
      <c r="AL672" s="1153">
        <f t="shared" si="194"/>
        <v>0</v>
      </c>
      <c r="AM672" s="1153">
        <f t="shared" si="195"/>
        <v>0</v>
      </c>
      <c r="AN672" s="1145">
        <f t="shared" si="196"/>
        <v>0</v>
      </c>
      <c r="AO672" s="1154">
        <f t="shared" si="197"/>
        <v>0</v>
      </c>
      <c r="AP672" s="1147">
        <f t="shared" si="183"/>
        <v>622.23756005735652</v>
      </c>
      <c r="AQ672" s="1144">
        <f t="shared" si="184"/>
        <v>0</v>
      </c>
      <c r="AR672" s="1146">
        <f t="shared" si="185"/>
        <v>622.23756005735652</v>
      </c>
    </row>
    <row r="673" spans="1:44" x14ac:dyDescent="0.2">
      <c r="A673" s="1141" t="str">
        <f t="shared" si="180"/>
        <v>1510</v>
      </c>
      <c r="B673" s="1141" t="str">
        <f>IFERROR(VLOOKUP(A673,'LAC 103'!A:C,3,FALSE),"")</f>
        <v>OP</v>
      </c>
      <c r="C673" s="1478" t="str">
        <f>Info!$B$8</f>
        <v>00100</v>
      </c>
      <c r="D673" s="1474" t="s">
        <v>256</v>
      </c>
      <c r="E673" s="1474" t="s">
        <v>95</v>
      </c>
      <c r="F673" s="1478" t="s">
        <v>77</v>
      </c>
      <c r="G673" s="1478" t="s">
        <v>77</v>
      </c>
      <c r="H673" s="1474" t="s">
        <v>983</v>
      </c>
      <c r="I673" s="1478" t="s">
        <v>823</v>
      </c>
      <c r="J673" s="1478" t="s">
        <v>2000</v>
      </c>
      <c r="K673" s="1475" t="s">
        <v>851</v>
      </c>
      <c r="L673" s="1474" t="s">
        <v>584</v>
      </c>
      <c r="M673" s="1476" t="s">
        <v>840</v>
      </c>
      <c r="N673" s="1477" t="s">
        <v>1700</v>
      </c>
      <c r="O673" s="1479">
        <v>52</v>
      </c>
      <c r="P673" s="1479"/>
      <c r="Q673" s="1142">
        <f t="shared" si="181"/>
        <v>52</v>
      </c>
      <c r="R673" s="1143">
        <f>IFERROR(VLOOKUP(CONCATENATE(E673,G673),'LAC 103'!$A$12:$O$95,11,FALSE),0)</f>
        <v>3.2074101033884355</v>
      </c>
      <c r="S673" s="1144">
        <f>IFERROR(VLOOKUP(CONCATENATE($E673,$G673),'LAC 103'!$A$12:$O$95,12,FALSE),0)</f>
        <v>3.99</v>
      </c>
      <c r="T673" s="1144">
        <f>IFERROR(VLOOKUP(CONCATENATE($E673,$G673),'LAC 103'!$A$12:$O$95,13,FALSE),0)</f>
        <v>2.48</v>
      </c>
      <c r="U673" s="1144">
        <f>IFERROR(VLOOKUP(CONCATENATE($E673,$G673),'LAC 103'!$A$12:$O$95,14,FALSE),0)</f>
        <v>0</v>
      </c>
      <c r="V673" s="1144">
        <f>IFERROR(VLOOKUP(CONCATENATE($E673,$G673),'LAC 103'!$A$12:$O$95,15,FALSE),0)</f>
        <v>0</v>
      </c>
      <c r="W673" s="1145" t="str">
        <f>IFERROR(VLOOKUP(CONCATENATE($B673,$N673),'LAC 103'!$AI:$AQ,9,FALSE),"")</f>
        <v>P.C.</v>
      </c>
      <c r="X673" s="1146">
        <f t="shared" si="186"/>
        <v>2.48</v>
      </c>
      <c r="Y673" s="1143">
        <f t="shared" si="187"/>
        <v>166.78532537619864</v>
      </c>
      <c r="Z673" s="1147">
        <f t="shared" si="188"/>
        <v>207.48000000000002</v>
      </c>
      <c r="AA673" s="1144">
        <f t="shared" si="189"/>
        <v>128.96</v>
      </c>
      <c r="AB673" s="1144">
        <f t="shared" si="190"/>
        <v>0</v>
      </c>
      <c r="AC673" s="1144">
        <f t="shared" si="191"/>
        <v>0</v>
      </c>
      <c r="AD673" s="1148">
        <f t="shared" si="182"/>
        <v>128.96</v>
      </c>
      <c r="AE673" s="1487">
        <v>0</v>
      </c>
      <c r="AF673" s="1145">
        <f t="shared" si="192"/>
        <v>128.96</v>
      </c>
      <c r="AG673" s="1149">
        <f>IFERROR(VLOOKUP(CONCATENATE($L673,$N673),'Drop List'!$G$23:$K$87,2,FALSE),0)</f>
        <v>0.55000000000000004</v>
      </c>
      <c r="AH673" s="1150">
        <f>IFERROR(VLOOKUP(CONCATENATE($L673,$N673),'Drop List'!$G$23:$K$87,3,FALSE),0)</f>
        <v>0</v>
      </c>
      <c r="AI673" s="1150">
        <f>IFERROR(VLOOKUP(CONCATENATE($L673,$N673),'Drop List'!$G$23:$K$87,4,FALSE),0)</f>
        <v>0</v>
      </c>
      <c r="AJ673" s="1151">
        <f>IFERROR(VLOOKUP(CONCATENATE($L673,$N673),'Drop List'!$G$23:$K$87,5,FALSE),0)</f>
        <v>0.44999999999999996</v>
      </c>
      <c r="AK673" s="1152">
        <f t="shared" si="193"/>
        <v>70.928000000000011</v>
      </c>
      <c r="AL673" s="1153">
        <f t="shared" si="194"/>
        <v>0</v>
      </c>
      <c r="AM673" s="1153">
        <f t="shared" si="195"/>
        <v>0</v>
      </c>
      <c r="AN673" s="1145">
        <f t="shared" si="196"/>
        <v>58.031999999999996</v>
      </c>
      <c r="AO673" s="1154">
        <f t="shared" si="197"/>
        <v>128.96</v>
      </c>
      <c r="AP673" s="1147">
        <f t="shared" si="183"/>
        <v>0</v>
      </c>
      <c r="AQ673" s="1144">
        <f t="shared" si="184"/>
        <v>0</v>
      </c>
      <c r="AR673" s="1146">
        <f t="shared" si="185"/>
        <v>128.96</v>
      </c>
    </row>
    <row r="674" spans="1:44" x14ac:dyDescent="0.2">
      <c r="A674" s="1141" t="str">
        <f t="shared" si="180"/>
        <v>1510</v>
      </c>
      <c r="B674" s="1141" t="str">
        <f>IFERROR(VLOOKUP(A674,'LAC 103'!A:C,3,FALSE),"")</f>
        <v>OP</v>
      </c>
      <c r="C674" s="1478" t="str">
        <f>Info!$B$8</f>
        <v>00100</v>
      </c>
      <c r="D674" s="1474" t="s">
        <v>256</v>
      </c>
      <c r="E674" s="1474" t="s">
        <v>95</v>
      </c>
      <c r="F674" s="1478" t="s">
        <v>77</v>
      </c>
      <c r="G674" s="1478" t="s">
        <v>77</v>
      </c>
      <c r="H674" s="1474" t="s">
        <v>983</v>
      </c>
      <c r="I674" s="1478" t="s">
        <v>823</v>
      </c>
      <c r="J674" s="1478" t="s">
        <v>2000</v>
      </c>
      <c r="K674" s="1475" t="s">
        <v>851</v>
      </c>
      <c r="L674" s="1474" t="s">
        <v>584</v>
      </c>
      <c r="M674" s="1476" t="s">
        <v>842</v>
      </c>
      <c r="N674" s="1477" t="s">
        <v>1692</v>
      </c>
      <c r="O674" s="1479">
        <v>32</v>
      </c>
      <c r="P674" s="1479"/>
      <c r="Q674" s="1142">
        <f t="shared" si="181"/>
        <v>32</v>
      </c>
      <c r="R674" s="1143">
        <f>IFERROR(VLOOKUP(CONCATENATE(E674,G674),'LAC 103'!$A$12:$O$95,11,FALSE),0)</f>
        <v>3.2074101033884355</v>
      </c>
      <c r="S674" s="1144">
        <f>IFERROR(VLOOKUP(CONCATENATE($E674,$G674),'LAC 103'!$A$12:$O$95,12,FALSE),0)</f>
        <v>3.99</v>
      </c>
      <c r="T674" s="1144">
        <f>IFERROR(VLOOKUP(CONCATENATE($E674,$G674),'LAC 103'!$A$12:$O$95,13,FALSE),0)</f>
        <v>2.48</v>
      </c>
      <c r="U674" s="1144">
        <f>IFERROR(VLOOKUP(CONCATENATE($E674,$G674),'LAC 103'!$A$12:$O$95,14,FALSE),0)</f>
        <v>0</v>
      </c>
      <c r="V674" s="1144">
        <f>IFERROR(VLOOKUP(CONCATENATE($E674,$G674),'LAC 103'!$A$12:$O$95,15,FALSE),0)</f>
        <v>0</v>
      </c>
      <c r="W674" s="1145" t="str">
        <f>IFERROR(VLOOKUP(CONCATENATE($B674,$N674),'LAC 103'!$AI:$AQ,9,FALSE),"")</f>
        <v>Costs</v>
      </c>
      <c r="X674" s="1146">
        <f t="shared" si="186"/>
        <v>3.2074101033884355</v>
      </c>
      <c r="Y674" s="1143">
        <f t="shared" si="187"/>
        <v>102.63712330842993</v>
      </c>
      <c r="Z674" s="1147">
        <f t="shared" si="188"/>
        <v>127.68</v>
      </c>
      <c r="AA674" s="1144">
        <f t="shared" si="189"/>
        <v>79.36</v>
      </c>
      <c r="AB674" s="1144">
        <f t="shared" si="190"/>
        <v>0</v>
      </c>
      <c r="AC674" s="1144">
        <f t="shared" si="191"/>
        <v>0</v>
      </c>
      <c r="AD674" s="1148">
        <f t="shared" si="182"/>
        <v>102.63712330842993</v>
      </c>
      <c r="AE674" s="1487">
        <v>0</v>
      </c>
      <c r="AF674" s="1145">
        <f t="shared" si="192"/>
        <v>102.63712330842993</v>
      </c>
      <c r="AG674" s="1149">
        <f>IFERROR(VLOOKUP(CONCATENATE($L674,$N674),'Drop List'!$G$23:$K$87,2,FALSE),0)</f>
        <v>0.56200000000000006</v>
      </c>
      <c r="AH674" s="1150">
        <f>IFERROR(VLOOKUP(CONCATENATE($L674,$N674),'Drop List'!$G$23:$K$87,3,FALSE),0)</f>
        <v>0</v>
      </c>
      <c r="AI674" s="1150">
        <f>IFERROR(VLOOKUP(CONCATENATE($L674,$N674),'Drop List'!$G$23:$K$87,4,FALSE),0)</f>
        <v>0</v>
      </c>
      <c r="AJ674" s="1151">
        <f>IFERROR(VLOOKUP(CONCATENATE($L674,$N674),'Drop List'!$G$23:$K$87,5,FALSE),0)</f>
        <v>0.43799999999999994</v>
      </c>
      <c r="AK674" s="1152">
        <f t="shared" si="193"/>
        <v>57.682063299337628</v>
      </c>
      <c r="AL674" s="1153">
        <f t="shared" si="194"/>
        <v>0</v>
      </c>
      <c r="AM674" s="1153">
        <f t="shared" si="195"/>
        <v>0</v>
      </c>
      <c r="AN674" s="1145">
        <f t="shared" si="196"/>
        <v>44.955060009092307</v>
      </c>
      <c r="AO674" s="1154">
        <f t="shared" si="197"/>
        <v>102.63712330842993</v>
      </c>
      <c r="AP674" s="1147">
        <f t="shared" si="183"/>
        <v>0</v>
      </c>
      <c r="AQ674" s="1144">
        <f t="shared" si="184"/>
        <v>0</v>
      </c>
      <c r="AR674" s="1146">
        <f t="shared" si="185"/>
        <v>102.63712330842993</v>
      </c>
    </row>
    <row r="675" spans="1:44" x14ac:dyDescent="0.2">
      <c r="A675" s="1141" t="str">
        <f t="shared" si="180"/>
        <v>1510</v>
      </c>
      <c r="B675" s="1141" t="str">
        <f>IFERROR(VLOOKUP(A675,'LAC 103'!A:C,3,FALSE),"")</f>
        <v>OP</v>
      </c>
      <c r="C675" s="1478" t="str">
        <f>Info!$B$8</f>
        <v>00100</v>
      </c>
      <c r="D675" s="1474" t="s">
        <v>256</v>
      </c>
      <c r="E675" s="1474" t="s">
        <v>95</v>
      </c>
      <c r="F675" s="1478" t="s">
        <v>77</v>
      </c>
      <c r="G675" s="1478" t="s">
        <v>77</v>
      </c>
      <c r="H675" s="1474" t="s">
        <v>983</v>
      </c>
      <c r="I675" s="1478" t="s">
        <v>823</v>
      </c>
      <c r="J675" s="1478" t="s">
        <v>2001</v>
      </c>
      <c r="K675" s="1475" t="s">
        <v>849</v>
      </c>
      <c r="L675" s="1474" t="s">
        <v>77</v>
      </c>
      <c r="M675" s="1476" t="s">
        <v>1699</v>
      </c>
      <c r="N675" s="1477" t="s">
        <v>1694</v>
      </c>
      <c r="O675" s="1479">
        <v>55</v>
      </c>
      <c r="P675" s="1479"/>
      <c r="Q675" s="1142">
        <f t="shared" si="181"/>
        <v>55</v>
      </c>
      <c r="R675" s="1143">
        <f>IFERROR(VLOOKUP(CONCATENATE(E675,G675),'LAC 103'!$A$12:$O$95,11,FALSE),0)</f>
        <v>3.2074101033884355</v>
      </c>
      <c r="S675" s="1144">
        <f>IFERROR(VLOOKUP(CONCATENATE($E675,$G675),'LAC 103'!$A$12:$O$95,12,FALSE),0)</f>
        <v>3.99</v>
      </c>
      <c r="T675" s="1144">
        <f>IFERROR(VLOOKUP(CONCATENATE($E675,$G675),'LAC 103'!$A$12:$O$95,13,FALSE),0)</f>
        <v>2.48</v>
      </c>
      <c r="U675" s="1144">
        <f>IFERROR(VLOOKUP(CONCATENATE($E675,$G675),'LAC 103'!$A$12:$O$95,14,FALSE),0)</f>
        <v>0</v>
      </c>
      <c r="V675" s="1144">
        <f>IFERROR(VLOOKUP(CONCATENATE($E675,$G675),'LAC 103'!$A$12:$O$95,15,FALSE),0)</f>
        <v>0</v>
      </c>
      <c r="W675" s="1145" t="str">
        <f>IFERROR(VLOOKUP(CONCATENATE($B675,$N675),'LAC 103'!$AI:$AQ,9,FALSE),"")</f>
        <v>Costs</v>
      </c>
      <c r="X675" s="1146">
        <f t="shared" si="186"/>
        <v>3.2074101033884355</v>
      </c>
      <c r="Y675" s="1143">
        <f t="shared" si="187"/>
        <v>176.40755568636396</v>
      </c>
      <c r="Z675" s="1147">
        <f t="shared" si="188"/>
        <v>219.45000000000002</v>
      </c>
      <c r="AA675" s="1144">
        <f t="shared" si="189"/>
        <v>136.4</v>
      </c>
      <c r="AB675" s="1144">
        <f t="shared" si="190"/>
        <v>0</v>
      </c>
      <c r="AC675" s="1144">
        <f t="shared" si="191"/>
        <v>0</v>
      </c>
      <c r="AD675" s="1148">
        <f t="shared" si="182"/>
        <v>176.40755568636396</v>
      </c>
      <c r="AE675" s="1487">
        <v>0</v>
      </c>
      <c r="AF675" s="1145">
        <f t="shared" si="192"/>
        <v>176.40755568636396</v>
      </c>
      <c r="AG675" s="1149">
        <f>IFERROR(VLOOKUP(CONCATENATE($L675,$N675),'Drop List'!$G$23:$K$87,2,FALSE),0)</f>
        <v>0.9</v>
      </c>
      <c r="AH675" s="1150">
        <f>IFERROR(VLOOKUP(CONCATENATE($L675,$N675),'Drop List'!$G$23:$K$87,3,FALSE),0)</f>
        <v>0</v>
      </c>
      <c r="AI675" s="1150">
        <f>IFERROR(VLOOKUP(CONCATENATE($L675,$N675),'Drop List'!$G$23:$K$87,4,FALSE),0)</f>
        <v>0.1</v>
      </c>
      <c r="AJ675" s="1151">
        <f>IFERROR(VLOOKUP(CONCATENATE($L675,$N675),'Drop List'!$G$23:$K$87,5,FALSE),0)</f>
        <v>0</v>
      </c>
      <c r="AK675" s="1152">
        <f t="shared" si="193"/>
        <v>158.76680011772757</v>
      </c>
      <c r="AL675" s="1153">
        <f t="shared" si="194"/>
        <v>0</v>
      </c>
      <c r="AM675" s="1153">
        <f t="shared" si="195"/>
        <v>17.640755568636397</v>
      </c>
      <c r="AN675" s="1145">
        <f t="shared" si="196"/>
        <v>0</v>
      </c>
      <c r="AO675" s="1154">
        <f t="shared" si="197"/>
        <v>176.40755568636396</v>
      </c>
      <c r="AP675" s="1147">
        <f t="shared" si="183"/>
        <v>0</v>
      </c>
      <c r="AQ675" s="1144">
        <f t="shared" si="184"/>
        <v>0</v>
      </c>
      <c r="AR675" s="1146">
        <f t="shared" si="185"/>
        <v>176.40755568636396</v>
      </c>
    </row>
    <row r="676" spans="1:44" x14ac:dyDescent="0.2">
      <c r="A676" s="1141" t="str">
        <f t="shared" si="180"/>
        <v>1510</v>
      </c>
      <c r="B676" s="1141" t="str">
        <f>IFERROR(VLOOKUP(A676,'LAC 103'!A:C,3,FALSE),"")</f>
        <v>OP</v>
      </c>
      <c r="C676" s="1478" t="str">
        <f>Info!$B$8</f>
        <v>00100</v>
      </c>
      <c r="D676" s="1474" t="s">
        <v>256</v>
      </c>
      <c r="E676" s="1474" t="s">
        <v>95</v>
      </c>
      <c r="F676" s="1478" t="s">
        <v>77</v>
      </c>
      <c r="G676" s="1478" t="s">
        <v>77</v>
      </c>
      <c r="H676" s="1474" t="s">
        <v>983</v>
      </c>
      <c r="I676" s="1478" t="s">
        <v>823</v>
      </c>
      <c r="J676" s="1478" t="s">
        <v>2001</v>
      </c>
      <c r="K676" s="1475" t="s">
        <v>849</v>
      </c>
      <c r="L676" s="1474" t="s">
        <v>77</v>
      </c>
      <c r="M676" s="1476" t="s">
        <v>841</v>
      </c>
      <c r="N676" s="1477" t="s">
        <v>1695</v>
      </c>
      <c r="O676" s="1479">
        <v>60</v>
      </c>
      <c r="P676" s="1479"/>
      <c r="Q676" s="1142">
        <f t="shared" si="181"/>
        <v>60</v>
      </c>
      <c r="R676" s="1143">
        <f>IFERROR(VLOOKUP(CONCATENATE(E676,G676),'LAC 103'!$A$12:$O$95,11,FALSE),0)</f>
        <v>3.2074101033884355</v>
      </c>
      <c r="S676" s="1144">
        <f>IFERROR(VLOOKUP(CONCATENATE($E676,$G676),'LAC 103'!$A$12:$O$95,12,FALSE),0)</f>
        <v>3.99</v>
      </c>
      <c r="T676" s="1144">
        <f>IFERROR(VLOOKUP(CONCATENATE($E676,$G676),'LAC 103'!$A$12:$O$95,13,FALSE),0)</f>
        <v>2.48</v>
      </c>
      <c r="U676" s="1144">
        <f>IFERROR(VLOOKUP(CONCATENATE($E676,$G676),'LAC 103'!$A$12:$O$95,14,FALSE),0)</f>
        <v>0</v>
      </c>
      <c r="V676" s="1144">
        <f>IFERROR(VLOOKUP(CONCATENATE($E676,$G676),'LAC 103'!$A$12:$O$95,15,FALSE),0)</f>
        <v>0</v>
      </c>
      <c r="W676" s="1145" t="str">
        <f>IFERROR(VLOOKUP(CONCATENATE($B676,$N676),'LAC 103'!$AI:$AQ,9,FALSE),"")</f>
        <v>Costs</v>
      </c>
      <c r="X676" s="1146">
        <f t="shared" si="186"/>
        <v>3.2074101033884355</v>
      </c>
      <c r="Y676" s="1143">
        <f t="shared" si="187"/>
        <v>192.44460620330614</v>
      </c>
      <c r="Z676" s="1147">
        <f t="shared" si="188"/>
        <v>239.4</v>
      </c>
      <c r="AA676" s="1144">
        <f t="shared" si="189"/>
        <v>148.80000000000001</v>
      </c>
      <c r="AB676" s="1144">
        <f t="shared" si="190"/>
        <v>0</v>
      </c>
      <c r="AC676" s="1144">
        <f t="shared" si="191"/>
        <v>0</v>
      </c>
      <c r="AD676" s="1148">
        <f t="shared" si="182"/>
        <v>192.44460620330614</v>
      </c>
      <c r="AE676" s="1487">
        <v>0</v>
      </c>
      <c r="AF676" s="1145">
        <f t="shared" si="192"/>
        <v>192.44460620330614</v>
      </c>
      <c r="AG676" s="1149">
        <f>IFERROR(VLOOKUP(CONCATENATE($L676,$N676),'Drop List'!$G$23:$K$87,2,FALSE),0)</f>
        <v>0.9</v>
      </c>
      <c r="AH676" s="1150">
        <f>IFERROR(VLOOKUP(CONCATENATE($L676,$N676),'Drop List'!$G$23:$K$87,3,FALSE),0)</f>
        <v>0</v>
      </c>
      <c r="AI676" s="1150">
        <f>IFERROR(VLOOKUP(CONCATENATE($L676,$N676),'Drop List'!$G$23:$K$87,4,FALSE),0)</f>
        <v>0.1</v>
      </c>
      <c r="AJ676" s="1151">
        <f>IFERROR(VLOOKUP(CONCATENATE($L676,$N676),'Drop List'!$G$23:$K$87,5,FALSE),0)</f>
        <v>0</v>
      </c>
      <c r="AK676" s="1152">
        <f t="shared" si="193"/>
        <v>173.20014558297552</v>
      </c>
      <c r="AL676" s="1153">
        <f t="shared" si="194"/>
        <v>0</v>
      </c>
      <c r="AM676" s="1153">
        <f t="shared" si="195"/>
        <v>19.244460620330614</v>
      </c>
      <c r="AN676" s="1145">
        <f t="shared" si="196"/>
        <v>0</v>
      </c>
      <c r="AO676" s="1154">
        <f t="shared" si="197"/>
        <v>192.44460620330614</v>
      </c>
      <c r="AP676" s="1147">
        <f t="shared" si="183"/>
        <v>0</v>
      </c>
      <c r="AQ676" s="1144">
        <f t="shared" si="184"/>
        <v>0</v>
      </c>
      <c r="AR676" s="1146">
        <f t="shared" si="185"/>
        <v>192.44460620330614</v>
      </c>
    </row>
    <row r="677" spans="1:44" x14ac:dyDescent="0.2">
      <c r="A677" s="1141" t="str">
        <f t="shared" si="180"/>
        <v>1510</v>
      </c>
      <c r="B677" s="1141" t="str">
        <f>IFERROR(VLOOKUP(A677,'LAC 103'!A:C,3,FALSE),"")</f>
        <v>OP</v>
      </c>
      <c r="C677" s="1478" t="str">
        <f>Info!$B$8</f>
        <v>00100</v>
      </c>
      <c r="D677" s="1474" t="s">
        <v>256</v>
      </c>
      <c r="E677" s="1474" t="s">
        <v>95</v>
      </c>
      <c r="F677" s="1478" t="s">
        <v>77</v>
      </c>
      <c r="G677" s="1478" t="s">
        <v>77</v>
      </c>
      <c r="H677" s="1474" t="s">
        <v>983</v>
      </c>
      <c r="I677" s="1478" t="s">
        <v>823</v>
      </c>
      <c r="J677" s="1478" t="s">
        <v>2001</v>
      </c>
      <c r="K677" s="1475" t="s">
        <v>851</v>
      </c>
      <c r="L677" s="1474" t="s">
        <v>584</v>
      </c>
      <c r="M677" s="1476" t="s">
        <v>1699</v>
      </c>
      <c r="N677" s="1477" t="s">
        <v>1694</v>
      </c>
      <c r="O677" s="1479">
        <v>204</v>
      </c>
      <c r="P677" s="1479"/>
      <c r="Q677" s="1142">
        <f t="shared" si="181"/>
        <v>204</v>
      </c>
      <c r="R677" s="1143">
        <f>IFERROR(VLOOKUP(CONCATENATE(E677,G677),'LAC 103'!$A$12:$O$95,11,FALSE),0)</f>
        <v>3.2074101033884355</v>
      </c>
      <c r="S677" s="1144">
        <f>IFERROR(VLOOKUP(CONCATENATE($E677,$G677),'LAC 103'!$A$12:$O$95,12,FALSE),0)</f>
        <v>3.99</v>
      </c>
      <c r="T677" s="1144">
        <f>IFERROR(VLOOKUP(CONCATENATE($E677,$G677),'LAC 103'!$A$12:$O$95,13,FALSE),0)</f>
        <v>2.48</v>
      </c>
      <c r="U677" s="1144">
        <f>IFERROR(VLOOKUP(CONCATENATE($E677,$G677),'LAC 103'!$A$12:$O$95,14,FALSE),0)</f>
        <v>0</v>
      </c>
      <c r="V677" s="1144">
        <f>IFERROR(VLOOKUP(CONCATENATE($E677,$G677),'LAC 103'!$A$12:$O$95,15,FALSE),0)</f>
        <v>0</v>
      </c>
      <c r="W677" s="1145" t="str">
        <f>IFERROR(VLOOKUP(CONCATENATE($B677,$N677),'LAC 103'!$AI:$AQ,9,FALSE),"")</f>
        <v>Costs</v>
      </c>
      <c r="X677" s="1146">
        <f t="shared" si="186"/>
        <v>3.2074101033884355</v>
      </c>
      <c r="Y677" s="1143">
        <f t="shared" si="187"/>
        <v>654.31166109124081</v>
      </c>
      <c r="Z677" s="1147">
        <f t="shared" si="188"/>
        <v>813.96</v>
      </c>
      <c r="AA677" s="1144">
        <f t="shared" si="189"/>
        <v>505.92</v>
      </c>
      <c r="AB677" s="1144">
        <f t="shared" si="190"/>
        <v>0</v>
      </c>
      <c r="AC677" s="1144">
        <f t="shared" si="191"/>
        <v>0</v>
      </c>
      <c r="AD677" s="1148">
        <f t="shared" si="182"/>
        <v>654.31166109124081</v>
      </c>
      <c r="AE677" s="1487">
        <v>0</v>
      </c>
      <c r="AF677" s="1145">
        <f t="shared" si="192"/>
        <v>654.31166109124081</v>
      </c>
      <c r="AG677" s="1149">
        <f>IFERROR(VLOOKUP(CONCATENATE($L677,$N677),'Drop List'!$G$23:$K$87,2,FALSE),0)</f>
        <v>0.56200000000000006</v>
      </c>
      <c r="AH677" s="1150">
        <f>IFERROR(VLOOKUP(CONCATENATE($L677,$N677),'Drop List'!$G$23:$K$87,3,FALSE),0)</f>
        <v>0</v>
      </c>
      <c r="AI677" s="1150">
        <f>IFERROR(VLOOKUP(CONCATENATE($L677,$N677),'Drop List'!$G$23:$K$87,4,FALSE),0)</f>
        <v>0</v>
      </c>
      <c r="AJ677" s="1151">
        <f>IFERROR(VLOOKUP(CONCATENATE($L677,$N677),'Drop List'!$G$23:$K$87,5,FALSE),0)</f>
        <v>0.43799999999999994</v>
      </c>
      <c r="AK677" s="1152">
        <f t="shared" si="193"/>
        <v>367.72315353327735</v>
      </c>
      <c r="AL677" s="1153">
        <f t="shared" si="194"/>
        <v>0</v>
      </c>
      <c r="AM677" s="1153">
        <f t="shared" si="195"/>
        <v>0</v>
      </c>
      <c r="AN677" s="1145">
        <f t="shared" si="196"/>
        <v>286.58850755796345</v>
      </c>
      <c r="AO677" s="1154">
        <f t="shared" si="197"/>
        <v>654.31166109124081</v>
      </c>
      <c r="AP677" s="1147">
        <f t="shared" si="183"/>
        <v>0</v>
      </c>
      <c r="AQ677" s="1144">
        <f t="shared" si="184"/>
        <v>0</v>
      </c>
      <c r="AR677" s="1146">
        <f t="shared" si="185"/>
        <v>654.31166109124081</v>
      </c>
    </row>
    <row r="678" spans="1:44" x14ac:dyDescent="0.2">
      <c r="A678" s="1141" t="str">
        <f t="shared" si="180"/>
        <v>1510</v>
      </c>
      <c r="B678" s="1141" t="str">
        <f>IFERROR(VLOOKUP(A678,'LAC 103'!A:C,3,FALSE),"")</f>
        <v>OP</v>
      </c>
      <c r="C678" s="1478" t="str">
        <f>Info!$B$8</f>
        <v>00100</v>
      </c>
      <c r="D678" s="1474" t="s">
        <v>256</v>
      </c>
      <c r="E678" s="1474" t="s">
        <v>95</v>
      </c>
      <c r="F678" s="1478" t="s">
        <v>77</v>
      </c>
      <c r="G678" s="1478" t="s">
        <v>77</v>
      </c>
      <c r="H678" s="1474" t="s">
        <v>983</v>
      </c>
      <c r="I678" s="1478" t="s">
        <v>823</v>
      </c>
      <c r="J678" s="1478" t="s">
        <v>2001</v>
      </c>
      <c r="K678" s="1475" t="s">
        <v>851</v>
      </c>
      <c r="L678" s="1474" t="s">
        <v>584</v>
      </c>
      <c r="M678" s="1476" t="s">
        <v>842</v>
      </c>
      <c r="N678" s="1477" t="s">
        <v>1692</v>
      </c>
      <c r="O678" s="1479">
        <v>48</v>
      </c>
      <c r="P678" s="1479"/>
      <c r="Q678" s="1142">
        <f t="shared" si="181"/>
        <v>48</v>
      </c>
      <c r="R678" s="1143">
        <f>IFERROR(VLOOKUP(CONCATENATE(E678,G678),'LAC 103'!$A$12:$O$95,11,FALSE),0)</f>
        <v>3.2074101033884355</v>
      </c>
      <c r="S678" s="1144">
        <f>IFERROR(VLOOKUP(CONCATENATE($E678,$G678),'LAC 103'!$A$12:$O$95,12,FALSE),0)</f>
        <v>3.99</v>
      </c>
      <c r="T678" s="1144">
        <f>IFERROR(VLOOKUP(CONCATENATE($E678,$G678),'LAC 103'!$A$12:$O$95,13,FALSE),0)</f>
        <v>2.48</v>
      </c>
      <c r="U678" s="1144">
        <f>IFERROR(VLOOKUP(CONCATENATE($E678,$G678),'LAC 103'!$A$12:$O$95,14,FALSE),0)</f>
        <v>0</v>
      </c>
      <c r="V678" s="1144">
        <f>IFERROR(VLOOKUP(CONCATENATE($E678,$G678),'LAC 103'!$A$12:$O$95,15,FALSE),0)</f>
        <v>0</v>
      </c>
      <c r="W678" s="1145" t="str">
        <f>IFERROR(VLOOKUP(CONCATENATE($B678,$N678),'LAC 103'!$AI:$AQ,9,FALSE),"")</f>
        <v>Costs</v>
      </c>
      <c r="X678" s="1146">
        <f t="shared" si="186"/>
        <v>3.2074101033884355</v>
      </c>
      <c r="Y678" s="1143">
        <f t="shared" si="187"/>
        <v>153.95568496264491</v>
      </c>
      <c r="Z678" s="1147">
        <f t="shared" si="188"/>
        <v>191.52</v>
      </c>
      <c r="AA678" s="1144">
        <f t="shared" si="189"/>
        <v>119.03999999999999</v>
      </c>
      <c r="AB678" s="1144">
        <f t="shared" si="190"/>
        <v>0</v>
      </c>
      <c r="AC678" s="1144">
        <f t="shared" si="191"/>
        <v>0</v>
      </c>
      <c r="AD678" s="1148">
        <f t="shared" si="182"/>
        <v>153.95568496264491</v>
      </c>
      <c r="AE678" s="1487">
        <v>0</v>
      </c>
      <c r="AF678" s="1145">
        <f t="shared" si="192"/>
        <v>153.95568496264491</v>
      </c>
      <c r="AG678" s="1149">
        <f>IFERROR(VLOOKUP(CONCATENATE($L678,$N678),'Drop List'!$G$23:$K$87,2,FALSE),0)</f>
        <v>0.56200000000000006</v>
      </c>
      <c r="AH678" s="1150">
        <f>IFERROR(VLOOKUP(CONCATENATE($L678,$N678),'Drop List'!$G$23:$K$87,3,FALSE),0)</f>
        <v>0</v>
      </c>
      <c r="AI678" s="1150">
        <f>IFERROR(VLOOKUP(CONCATENATE($L678,$N678),'Drop List'!$G$23:$K$87,4,FALSE),0)</f>
        <v>0</v>
      </c>
      <c r="AJ678" s="1151">
        <f>IFERROR(VLOOKUP(CONCATENATE($L678,$N678),'Drop List'!$G$23:$K$87,5,FALSE),0)</f>
        <v>0.43799999999999994</v>
      </c>
      <c r="AK678" s="1152">
        <f t="shared" si="193"/>
        <v>86.523094949006449</v>
      </c>
      <c r="AL678" s="1153">
        <f t="shared" si="194"/>
        <v>0</v>
      </c>
      <c r="AM678" s="1153">
        <f t="shared" si="195"/>
        <v>0</v>
      </c>
      <c r="AN678" s="1145">
        <f t="shared" si="196"/>
        <v>67.43259001363846</v>
      </c>
      <c r="AO678" s="1154">
        <f t="shared" si="197"/>
        <v>153.95568496264491</v>
      </c>
      <c r="AP678" s="1147">
        <f t="shared" si="183"/>
        <v>0</v>
      </c>
      <c r="AQ678" s="1144">
        <f t="shared" si="184"/>
        <v>0</v>
      </c>
      <c r="AR678" s="1146">
        <f t="shared" si="185"/>
        <v>153.95568496264491</v>
      </c>
    </row>
    <row r="679" spans="1:44" x14ac:dyDescent="0.2">
      <c r="A679" s="1141" t="str">
        <f t="shared" si="180"/>
        <v>1510</v>
      </c>
      <c r="B679" s="1141" t="str">
        <f>IFERROR(VLOOKUP(A679,'LAC 103'!A:C,3,FALSE),"")</f>
        <v>OP</v>
      </c>
      <c r="C679" s="1478" t="str">
        <f>Info!$B$8</f>
        <v>00100</v>
      </c>
      <c r="D679" s="1474" t="s">
        <v>256</v>
      </c>
      <c r="E679" s="1474" t="s">
        <v>95</v>
      </c>
      <c r="F679" s="1478" t="s">
        <v>77</v>
      </c>
      <c r="G679" s="1478" t="s">
        <v>77</v>
      </c>
      <c r="H679" s="1474" t="s">
        <v>983</v>
      </c>
      <c r="I679" s="1478" t="s">
        <v>823</v>
      </c>
      <c r="J679" s="1478" t="s">
        <v>2001</v>
      </c>
      <c r="K679" s="1475" t="s">
        <v>851</v>
      </c>
      <c r="L679" s="1474" t="s">
        <v>584</v>
      </c>
      <c r="M679" s="1476" t="s">
        <v>1698</v>
      </c>
      <c r="N679" s="1477" t="s">
        <v>1693</v>
      </c>
      <c r="O679" s="1479">
        <v>219</v>
      </c>
      <c r="P679" s="1479"/>
      <c r="Q679" s="1142">
        <f t="shared" si="181"/>
        <v>219</v>
      </c>
      <c r="R679" s="1143">
        <f>IFERROR(VLOOKUP(CONCATENATE(E679,G679),'LAC 103'!$A$12:$O$95,11,FALSE),0)</f>
        <v>3.2074101033884355</v>
      </c>
      <c r="S679" s="1144">
        <f>IFERROR(VLOOKUP(CONCATENATE($E679,$G679),'LAC 103'!$A$12:$O$95,12,FALSE),0)</f>
        <v>3.99</v>
      </c>
      <c r="T679" s="1144">
        <f>IFERROR(VLOOKUP(CONCATENATE($E679,$G679),'LAC 103'!$A$12:$O$95,13,FALSE),0)</f>
        <v>2.48</v>
      </c>
      <c r="U679" s="1144">
        <f>IFERROR(VLOOKUP(CONCATENATE($E679,$G679),'LAC 103'!$A$12:$O$95,14,FALSE),0)</f>
        <v>0</v>
      </c>
      <c r="V679" s="1144">
        <f>IFERROR(VLOOKUP(CONCATENATE($E679,$G679),'LAC 103'!$A$12:$O$95,15,FALSE),0)</f>
        <v>0</v>
      </c>
      <c r="W679" s="1145" t="str">
        <f>IFERROR(VLOOKUP(CONCATENATE($B679,$N679),'LAC 103'!$AI:$AQ,9,FALSE),"")</f>
        <v>Costs</v>
      </c>
      <c r="X679" s="1146">
        <f t="shared" si="186"/>
        <v>3.2074101033884355</v>
      </c>
      <c r="Y679" s="1143">
        <f t="shared" si="187"/>
        <v>702.42281264206736</v>
      </c>
      <c r="Z679" s="1147">
        <f t="shared" si="188"/>
        <v>873.81000000000006</v>
      </c>
      <c r="AA679" s="1144">
        <f t="shared" si="189"/>
        <v>543.12</v>
      </c>
      <c r="AB679" s="1144">
        <f t="shared" si="190"/>
        <v>0</v>
      </c>
      <c r="AC679" s="1144">
        <f t="shared" si="191"/>
        <v>0</v>
      </c>
      <c r="AD679" s="1148">
        <f t="shared" si="182"/>
        <v>702.42281264206736</v>
      </c>
      <c r="AE679" s="1487">
        <v>0</v>
      </c>
      <c r="AF679" s="1145">
        <f t="shared" si="192"/>
        <v>702.42281264206736</v>
      </c>
      <c r="AG679" s="1149">
        <f>IFERROR(VLOOKUP(CONCATENATE($L679,$N679),'Drop List'!$G$23:$K$87,2,FALSE),0)</f>
        <v>0.56200000000000006</v>
      </c>
      <c r="AH679" s="1150">
        <f>IFERROR(VLOOKUP(CONCATENATE($L679,$N679),'Drop List'!$G$23:$K$87,3,FALSE),0)</f>
        <v>0</v>
      </c>
      <c r="AI679" s="1150">
        <f>IFERROR(VLOOKUP(CONCATENATE($L679,$N679),'Drop List'!$G$23:$K$87,4,FALSE),0)</f>
        <v>0</v>
      </c>
      <c r="AJ679" s="1151">
        <f>IFERROR(VLOOKUP(CONCATENATE($L679,$N679),'Drop List'!$G$23:$K$87,5,FALSE),0)</f>
        <v>0.43799999999999994</v>
      </c>
      <c r="AK679" s="1152">
        <f t="shared" si="193"/>
        <v>394.7616207048419</v>
      </c>
      <c r="AL679" s="1153">
        <f t="shared" si="194"/>
        <v>0</v>
      </c>
      <c r="AM679" s="1153">
        <f t="shared" si="195"/>
        <v>0</v>
      </c>
      <c r="AN679" s="1145">
        <f t="shared" si="196"/>
        <v>307.66119193722545</v>
      </c>
      <c r="AO679" s="1154">
        <f t="shared" si="197"/>
        <v>702.42281264206736</v>
      </c>
      <c r="AP679" s="1147">
        <f t="shared" si="183"/>
        <v>0</v>
      </c>
      <c r="AQ679" s="1144">
        <f t="shared" si="184"/>
        <v>0</v>
      </c>
      <c r="AR679" s="1146">
        <f t="shared" si="185"/>
        <v>702.42281264206736</v>
      </c>
    </row>
    <row r="680" spans="1:44" x14ac:dyDescent="0.2">
      <c r="A680" s="1141" t="str">
        <f t="shared" si="180"/>
        <v>1510</v>
      </c>
      <c r="B680" s="1141" t="str">
        <f>IFERROR(VLOOKUP(A680,'LAC 103'!A:C,3,FALSE),"")</f>
        <v>OP</v>
      </c>
      <c r="C680" s="1478" t="str">
        <f>Info!$B$8</f>
        <v>00100</v>
      </c>
      <c r="D680" s="1474" t="s">
        <v>256</v>
      </c>
      <c r="E680" s="1474" t="s">
        <v>95</v>
      </c>
      <c r="F680" s="1478" t="s">
        <v>77</v>
      </c>
      <c r="G680" s="1478" t="s">
        <v>77</v>
      </c>
      <c r="H680" s="1474" t="s">
        <v>1663</v>
      </c>
      <c r="I680" s="1478" t="s">
        <v>927</v>
      </c>
      <c r="J680" s="1478" t="s">
        <v>123</v>
      </c>
      <c r="K680" s="1475" t="s">
        <v>849</v>
      </c>
      <c r="L680" s="1474" t="s">
        <v>77</v>
      </c>
      <c r="M680" s="1476" t="s">
        <v>1699</v>
      </c>
      <c r="N680" s="1477" t="s">
        <v>1694</v>
      </c>
      <c r="O680" s="1479">
        <v>1328</v>
      </c>
      <c r="P680" s="1479"/>
      <c r="Q680" s="1142">
        <f t="shared" si="181"/>
        <v>1328</v>
      </c>
      <c r="R680" s="1143">
        <f>IFERROR(VLOOKUP(CONCATENATE(E680,G680),'LAC 103'!$A$12:$O$95,11,FALSE),0)</f>
        <v>3.2074101033884355</v>
      </c>
      <c r="S680" s="1144">
        <f>IFERROR(VLOOKUP(CONCATENATE($E680,$G680),'LAC 103'!$A$12:$O$95,12,FALSE),0)</f>
        <v>3.99</v>
      </c>
      <c r="T680" s="1144">
        <f>IFERROR(VLOOKUP(CONCATENATE($E680,$G680),'LAC 103'!$A$12:$O$95,13,FALSE),0)</f>
        <v>2.48</v>
      </c>
      <c r="U680" s="1144">
        <f>IFERROR(VLOOKUP(CONCATENATE($E680,$G680),'LAC 103'!$A$12:$O$95,14,FALSE),0)</f>
        <v>0</v>
      </c>
      <c r="V680" s="1144">
        <f>IFERROR(VLOOKUP(CONCATENATE($E680,$G680),'LAC 103'!$A$12:$O$95,15,FALSE),0)</f>
        <v>0</v>
      </c>
      <c r="W680" s="1145" t="str">
        <f>IFERROR(VLOOKUP(CONCATENATE($B680,$N680),'LAC 103'!$AI:$AQ,9,FALSE),"")</f>
        <v>Costs</v>
      </c>
      <c r="X680" s="1146">
        <f t="shared" si="186"/>
        <v>3.2074101033884355</v>
      </c>
      <c r="Y680" s="1143">
        <f t="shared" si="187"/>
        <v>4259.4406172998424</v>
      </c>
      <c r="Z680" s="1147">
        <f t="shared" si="188"/>
        <v>5298.72</v>
      </c>
      <c r="AA680" s="1144">
        <f t="shared" si="189"/>
        <v>3293.44</v>
      </c>
      <c r="AB680" s="1144">
        <f t="shared" si="190"/>
        <v>0</v>
      </c>
      <c r="AC680" s="1144">
        <f t="shared" si="191"/>
        <v>0</v>
      </c>
      <c r="AD680" s="1148">
        <f t="shared" si="182"/>
        <v>4259.4406172998424</v>
      </c>
      <c r="AE680" s="1487">
        <v>0</v>
      </c>
      <c r="AF680" s="1145">
        <f t="shared" si="192"/>
        <v>4259.4406172998424</v>
      </c>
      <c r="AG680" s="1149">
        <f>IFERROR(VLOOKUP(CONCATENATE($L680,$N680),'Drop List'!$G$23:$K$87,2,FALSE),0)</f>
        <v>0.9</v>
      </c>
      <c r="AH680" s="1150">
        <f>IFERROR(VLOOKUP(CONCATENATE($L680,$N680),'Drop List'!$G$23:$K$87,3,FALSE),0)</f>
        <v>0</v>
      </c>
      <c r="AI680" s="1150">
        <f>IFERROR(VLOOKUP(CONCATENATE($L680,$N680),'Drop List'!$G$23:$K$87,4,FALSE),0)</f>
        <v>0.1</v>
      </c>
      <c r="AJ680" s="1151">
        <f>IFERROR(VLOOKUP(CONCATENATE($L680,$N680),'Drop List'!$G$23:$K$87,5,FALSE),0)</f>
        <v>0</v>
      </c>
      <c r="AK680" s="1152">
        <f t="shared" si="193"/>
        <v>3833.4965555698582</v>
      </c>
      <c r="AL680" s="1153">
        <f t="shared" si="194"/>
        <v>0</v>
      </c>
      <c r="AM680" s="1153">
        <f t="shared" si="195"/>
        <v>425.94406172998424</v>
      </c>
      <c r="AN680" s="1145">
        <f t="shared" si="196"/>
        <v>0</v>
      </c>
      <c r="AO680" s="1154">
        <f t="shared" si="197"/>
        <v>4259.4406172998424</v>
      </c>
      <c r="AP680" s="1147">
        <f t="shared" si="183"/>
        <v>0</v>
      </c>
      <c r="AQ680" s="1144">
        <f t="shared" si="184"/>
        <v>0</v>
      </c>
      <c r="AR680" s="1146">
        <f t="shared" si="185"/>
        <v>4259.4406172998424</v>
      </c>
    </row>
    <row r="681" spans="1:44" x14ac:dyDescent="0.2">
      <c r="A681" s="1141" t="str">
        <f t="shared" si="180"/>
        <v>1510</v>
      </c>
      <c r="B681" s="1141" t="str">
        <f>IFERROR(VLOOKUP(A681,'LAC 103'!A:C,3,FALSE),"")</f>
        <v>OP</v>
      </c>
      <c r="C681" s="1478" t="str">
        <f>Info!$B$8</f>
        <v>00100</v>
      </c>
      <c r="D681" s="1474" t="s">
        <v>256</v>
      </c>
      <c r="E681" s="1474" t="s">
        <v>95</v>
      </c>
      <c r="F681" s="1478" t="s">
        <v>77</v>
      </c>
      <c r="G681" s="1478" t="s">
        <v>77</v>
      </c>
      <c r="H681" s="1474" t="s">
        <v>1663</v>
      </c>
      <c r="I681" s="1478" t="s">
        <v>927</v>
      </c>
      <c r="J681" s="1478"/>
      <c r="K681" s="1475" t="s">
        <v>849</v>
      </c>
      <c r="L681" s="1474" t="s">
        <v>77</v>
      </c>
      <c r="M681" s="1476" t="s">
        <v>841</v>
      </c>
      <c r="N681" s="1477" t="s">
        <v>1695</v>
      </c>
      <c r="O681" s="1479">
        <v>288</v>
      </c>
      <c r="P681" s="1479"/>
      <c r="Q681" s="1142">
        <f t="shared" si="181"/>
        <v>288</v>
      </c>
      <c r="R681" s="1143">
        <f>IFERROR(VLOOKUP(CONCATENATE(E681,G681),'LAC 103'!$A$12:$O$95,11,FALSE),0)</f>
        <v>3.2074101033884355</v>
      </c>
      <c r="S681" s="1144">
        <f>IFERROR(VLOOKUP(CONCATENATE($E681,$G681),'LAC 103'!$A$12:$O$95,12,FALSE),0)</f>
        <v>3.99</v>
      </c>
      <c r="T681" s="1144">
        <f>IFERROR(VLOOKUP(CONCATENATE($E681,$G681),'LAC 103'!$A$12:$O$95,13,FALSE),0)</f>
        <v>2.48</v>
      </c>
      <c r="U681" s="1144">
        <f>IFERROR(VLOOKUP(CONCATENATE($E681,$G681),'LAC 103'!$A$12:$O$95,14,FALSE),0)</f>
        <v>0</v>
      </c>
      <c r="V681" s="1144">
        <f>IFERROR(VLOOKUP(CONCATENATE($E681,$G681),'LAC 103'!$A$12:$O$95,15,FALSE),0)</f>
        <v>0</v>
      </c>
      <c r="W681" s="1145" t="str">
        <f>IFERROR(VLOOKUP(CONCATENATE($B681,$N681),'LAC 103'!$AI:$AQ,9,FALSE),"")</f>
        <v>Costs</v>
      </c>
      <c r="X681" s="1146">
        <f t="shared" si="186"/>
        <v>3.2074101033884355</v>
      </c>
      <c r="Y681" s="1143">
        <f t="shared" si="187"/>
        <v>923.73410977586946</v>
      </c>
      <c r="Z681" s="1147">
        <f t="shared" si="188"/>
        <v>1149.1200000000001</v>
      </c>
      <c r="AA681" s="1144">
        <f t="shared" si="189"/>
        <v>714.24</v>
      </c>
      <c r="AB681" s="1144">
        <f t="shared" si="190"/>
        <v>0</v>
      </c>
      <c r="AC681" s="1144">
        <f t="shared" si="191"/>
        <v>0</v>
      </c>
      <c r="AD681" s="1148">
        <f t="shared" si="182"/>
        <v>923.73410977586946</v>
      </c>
      <c r="AE681" s="1487">
        <v>0</v>
      </c>
      <c r="AF681" s="1145">
        <f t="shared" si="192"/>
        <v>923.73410977586946</v>
      </c>
      <c r="AG681" s="1149">
        <f>IFERROR(VLOOKUP(CONCATENATE($L681,$N681),'Drop List'!$G$23:$K$87,2,FALSE),0)</f>
        <v>0.9</v>
      </c>
      <c r="AH681" s="1150">
        <f>IFERROR(VLOOKUP(CONCATENATE($L681,$N681),'Drop List'!$G$23:$K$87,3,FALSE),0)</f>
        <v>0</v>
      </c>
      <c r="AI681" s="1150">
        <f>IFERROR(VLOOKUP(CONCATENATE($L681,$N681),'Drop List'!$G$23:$K$87,4,FALSE),0)</f>
        <v>0.1</v>
      </c>
      <c r="AJ681" s="1151">
        <f>IFERROR(VLOOKUP(CONCATENATE($L681,$N681),'Drop List'!$G$23:$K$87,5,FALSE),0)</f>
        <v>0</v>
      </c>
      <c r="AK681" s="1152">
        <f t="shared" si="193"/>
        <v>831.36069879828256</v>
      </c>
      <c r="AL681" s="1153">
        <f t="shared" si="194"/>
        <v>0</v>
      </c>
      <c r="AM681" s="1153">
        <f t="shared" si="195"/>
        <v>92.373410977586957</v>
      </c>
      <c r="AN681" s="1145">
        <f t="shared" si="196"/>
        <v>0</v>
      </c>
      <c r="AO681" s="1154">
        <f t="shared" si="197"/>
        <v>923.73410977586946</v>
      </c>
      <c r="AP681" s="1147">
        <f t="shared" si="183"/>
        <v>0</v>
      </c>
      <c r="AQ681" s="1144">
        <f t="shared" si="184"/>
        <v>0</v>
      </c>
      <c r="AR681" s="1146">
        <f t="shared" si="185"/>
        <v>923.73410977586946</v>
      </c>
    </row>
    <row r="682" spans="1:44" x14ac:dyDescent="0.2">
      <c r="A682" s="1141" t="str">
        <f t="shared" si="180"/>
        <v>1510</v>
      </c>
      <c r="B682" s="1141" t="str">
        <f>IFERROR(VLOOKUP(A682,'LAC 103'!A:C,3,FALSE),"")</f>
        <v>OP</v>
      </c>
      <c r="C682" s="1478" t="str">
        <f>Info!$B$8</f>
        <v>00100</v>
      </c>
      <c r="D682" s="1474" t="s">
        <v>256</v>
      </c>
      <c r="E682" s="1474" t="s">
        <v>95</v>
      </c>
      <c r="F682" s="1478" t="s">
        <v>77</v>
      </c>
      <c r="G682" s="1478" t="s">
        <v>77</v>
      </c>
      <c r="H682" s="1474" t="s">
        <v>1663</v>
      </c>
      <c r="I682" s="1478" t="s">
        <v>927</v>
      </c>
      <c r="J682" s="1478"/>
      <c r="K682" s="1475" t="s">
        <v>849</v>
      </c>
      <c r="L682" s="1474" t="s">
        <v>77</v>
      </c>
      <c r="M682" s="1476" t="s">
        <v>842</v>
      </c>
      <c r="N682" s="1477" t="s">
        <v>1692</v>
      </c>
      <c r="O682" s="1479">
        <v>947</v>
      </c>
      <c r="P682" s="1479"/>
      <c r="Q682" s="1142">
        <f t="shared" si="181"/>
        <v>947</v>
      </c>
      <c r="R682" s="1143">
        <f>IFERROR(VLOOKUP(CONCATENATE(E682,G682),'LAC 103'!$A$12:$O$95,11,FALSE),0)</f>
        <v>3.2074101033884355</v>
      </c>
      <c r="S682" s="1144">
        <f>IFERROR(VLOOKUP(CONCATENATE($E682,$G682),'LAC 103'!$A$12:$O$95,12,FALSE),0)</f>
        <v>3.99</v>
      </c>
      <c r="T682" s="1144">
        <f>IFERROR(VLOOKUP(CONCATENATE($E682,$G682),'LAC 103'!$A$12:$O$95,13,FALSE),0)</f>
        <v>2.48</v>
      </c>
      <c r="U682" s="1144">
        <f>IFERROR(VLOOKUP(CONCATENATE($E682,$G682),'LAC 103'!$A$12:$O$95,14,FALSE),0)</f>
        <v>0</v>
      </c>
      <c r="V682" s="1144">
        <f>IFERROR(VLOOKUP(CONCATENATE($E682,$G682),'LAC 103'!$A$12:$O$95,15,FALSE),0)</f>
        <v>0</v>
      </c>
      <c r="W682" s="1145" t="str">
        <f>IFERROR(VLOOKUP(CONCATENATE($B682,$N682),'LAC 103'!$AI:$AQ,9,FALSE),"")</f>
        <v>Costs</v>
      </c>
      <c r="X682" s="1146">
        <f t="shared" si="186"/>
        <v>3.2074101033884355</v>
      </c>
      <c r="Y682" s="1143">
        <f t="shared" si="187"/>
        <v>3037.4173679088485</v>
      </c>
      <c r="Z682" s="1147">
        <f t="shared" si="188"/>
        <v>3778.53</v>
      </c>
      <c r="AA682" s="1144">
        <f t="shared" si="189"/>
        <v>2348.56</v>
      </c>
      <c r="AB682" s="1144">
        <f t="shared" si="190"/>
        <v>0</v>
      </c>
      <c r="AC682" s="1144">
        <f t="shared" si="191"/>
        <v>0</v>
      </c>
      <c r="AD682" s="1148">
        <f t="shared" si="182"/>
        <v>3037.4173679088485</v>
      </c>
      <c r="AE682" s="1487">
        <v>0</v>
      </c>
      <c r="AF682" s="1145">
        <f t="shared" si="192"/>
        <v>3037.4173679088485</v>
      </c>
      <c r="AG682" s="1149">
        <f>IFERROR(VLOOKUP(CONCATENATE($L682,$N682),'Drop List'!$G$23:$K$87,2,FALSE),0)</f>
        <v>0.9</v>
      </c>
      <c r="AH682" s="1150">
        <f>IFERROR(VLOOKUP(CONCATENATE($L682,$N682),'Drop List'!$G$23:$K$87,3,FALSE),0)</f>
        <v>0</v>
      </c>
      <c r="AI682" s="1150">
        <f>IFERROR(VLOOKUP(CONCATENATE($L682,$N682),'Drop List'!$G$23:$K$87,4,FALSE),0)</f>
        <v>0.1</v>
      </c>
      <c r="AJ682" s="1151">
        <f>IFERROR(VLOOKUP(CONCATENATE($L682,$N682),'Drop List'!$G$23:$K$87,5,FALSE),0)</f>
        <v>0</v>
      </c>
      <c r="AK682" s="1152">
        <f t="shared" si="193"/>
        <v>2733.6756311179638</v>
      </c>
      <c r="AL682" s="1153">
        <f t="shared" si="194"/>
        <v>0</v>
      </c>
      <c r="AM682" s="1153">
        <f t="shared" si="195"/>
        <v>303.74173679088489</v>
      </c>
      <c r="AN682" s="1145">
        <f t="shared" si="196"/>
        <v>0</v>
      </c>
      <c r="AO682" s="1154">
        <f t="shared" si="197"/>
        <v>3037.4173679088485</v>
      </c>
      <c r="AP682" s="1147">
        <f t="shared" si="183"/>
        <v>0</v>
      </c>
      <c r="AQ682" s="1144">
        <f t="shared" si="184"/>
        <v>0</v>
      </c>
      <c r="AR682" s="1146">
        <f t="shared" si="185"/>
        <v>3037.4173679088485</v>
      </c>
    </row>
    <row r="683" spans="1:44" x14ac:dyDescent="0.2">
      <c r="A683" s="1141" t="str">
        <f t="shared" si="180"/>
        <v>1510</v>
      </c>
      <c r="B683" s="1141" t="str">
        <f>IFERROR(VLOOKUP(A683,'LAC 103'!A:C,3,FALSE),"")</f>
        <v>OP</v>
      </c>
      <c r="C683" s="1478" t="str">
        <f>Info!$B$8</f>
        <v>00100</v>
      </c>
      <c r="D683" s="1474" t="s">
        <v>256</v>
      </c>
      <c r="E683" s="1474" t="s">
        <v>95</v>
      </c>
      <c r="F683" s="1478" t="s">
        <v>77</v>
      </c>
      <c r="G683" s="1478" t="s">
        <v>77</v>
      </c>
      <c r="H683" s="1474" t="s">
        <v>1663</v>
      </c>
      <c r="I683" s="1478" t="s">
        <v>927</v>
      </c>
      <c r="J683" s="1478"/>
      <c r="K683" s="1475" t="s">
        <v>849</v>
      </c>
      <c r="L683" s="1474" t="s">
        <v>77</v>
      </c>
      <c r="M683" s="1476" t="s">
        <v>1698</v>
      </c>
      <c r="N683" s="1477" t="s">
        <v>1693</v>
      </c>
      <c r="O683" s="1479">
        <v>1013</v>
      </c>
      <c r="P683" s="1479"/>
      <c r="Q683" s="1142">
        <f t="shared" si="181"/>
        <v>1013</v>
      </c>
      <c r="R683" s="1143">
        <f>IFERROR(VLOOKUP(CONCATENATE(E683,G683),'LAC 103'!$A$12:$O$95,11,FALSE),0)</f>
        <v>3.2074101033884355</v>
      </c>
      <c r="S683" s="1144">
        <f>IFERROR(VLOOKUP(CONCATENATE($E683,$G683),'LAC 103'!$A$12:$O$95,12,FALSE),0)</f>
        <v>3.99</v>
      </c>
      <c r="T683" s="1144">
        <f>IFERROR(VLOOKUP(CONCATENATE($E683,$G683),'LAC 103'!$A$12:$O$95,13,FALSE),0)</f>
        <v>2.48</v>
      </c>
      <c r="U683" s="1144">
        <f>IFERROR(VLOOKUP(CONCATENATE($E683,$G683),'LAC 103'!$A$12:$O$95,14,FALSE),0)</f>
        <v>0</v>
      </c>
      <c r="V683" s="1144">
        <f>IFERROR(VLOOKUP(CONCATENATE($E683,$G683),'LAC 103'!$A$12:$O$95,15,FALSE),0)</f>
        <v>0</v>
      </c>
      <c r="W683" s="1145" t="str">
        <f>IFERROR(VLOOKUP(CONCATENATE($B683,$N683),'LAC 103'!$AI:$AQ,9,FALSE),"")</f>
        <v>Costs</v>
      </c>
      <c r="X683" s="1146">
        <f t="shared" si="186"/>
        <v>3.2074101033884355</v>
      </c>
      <c r="Y683" s="1143">
        <f t="shared" si="187"/>
        <v>3249.106434732485</v>
      </c>
      <c r="Z683" s="1147">
        <f t="shared" si="188"/>
        <v>4041.8700000000003</v>
      </c>
      <c r="AA683" s="1144">
        <f t="shared" si="189"/>
        <v>2512.2399999999998</v>
      </c>
      <c r="AB683" s="1144">
        <f t="shared" si="190"/>
        <v>0</v>
      </c>
      <c r="AC683" s="1144">
        <f t="shared" si="191"/>
        <v>0</v>
      </c>
      <c r="AD683" s="1148">
        <f t="shared" si="182"/>
        <v>3249.106434732485</v>
      </c>
      <c r="AE683" s="1487">
        <v>0</v>
      </c>
      <c r="AF683" s="1145">
        <f t="shared" si="192"/>
        <v>3249.106434732485</v>
      </c>
      <c r="AG683" s="1149">
        <f>IFERROR(VLOOKUP(CONCATENATE($L683,$N683),'Drop List'!$G$23:$K$87,2,FALSE),0)</f>
        <v>0.9</v>
      </c>
      <c r="AH683" s="1150">
        <f>IFERROR(VLOOKUP(CONCATENATE($L683,$N683),'Drop List'!$G$23:$K$87,3,FALSE),0)</f>
        <v>0</v>
      </c>
      <c r="AI683" s="1150">
        <f>IFERROR(VLOOKUP(CONCATENATE($L683,$N683),'Drop List'!$G$23:$K$87,4,FALSE),0)</f>
        <v>0.1</v>
      </c>
      <c r="AJ683" s="1151">
        <f>IFERROR(VLOOKUP(CONCATENATE($L683,$N683),'Drop List'!$G$23:$K$87,5,FALSE),0)</f>
        <v>0</v>
      </c>
      <c r="AK683" s="1152">
        <f t="shared" si="193"/>
        <v>2924.1957912592366</v>
      </c>
      <c r="AL683" s="1153">
        <f t="shared" si="194"/>
        <v>0</v>
      </c>
      <c r="AM683" s="1153">
        <f t="shared" si="195"/>
        <v>324.91064347324851</v>
      </c>
      <c r="AN683" s="1145">
        <f t="shared" si="196"/>
        <v>0</v>
      </c>
      <c r="AO683" s="1154">
        <f t="shared" si="197"/>
        <v>3249.106434732485</v>
      </c>
      <c r="AP683" s="1147">
        <f t="shared" si="183"/>
        <v>0</v>
      </c>
      <c r="AQ683" s="1144">
        <f t="shared" si="184"/>
        <v>0</v>
      </c>
      <c r="AR683" s="1146">
        <f t="shared" si="185"/>
        <v>3249.106434732485</v>
      </c>
    </row>
    <row r="684" spans="1:44" x14ac:dyDescent="0.2">
      <c r="A684" s="1141" t="str">
        <f t="shared" si="180"/>
        <v>1510</v>
      </c>
      <c r="B684" s="1141" t="str">
        <f>IFERROR(VLOOKUP(A684,'LAC 103'!A:C,3,FALSE),"")</f>
        <v>OP</v>
      </c>
      <c r="C684" s="1478" t="str">
        <f>Info!$B$8</f>
        <v>00100</v>
      </c>
      <c r="D684" s="1474" t="s">
        <v>256</v>
      </c>
      <c r="E684" s="1474" t="s">
        <v>95</v>
      </c>
      <c r="F684" s="1478" t="s">
        <v>77</v>
      </c>
      <c r="G684" s="1478" t="s">
        <v>77</v>
      </c>
      <c r="H684" s="1474" t="s">
        <v>1663</v>
      </c>
      <c r="I684" s="1478" t="s">
        <v>927</v>
      </c>
      <c r="J684" s="1478"/>
      <c r="K684" s="1475" t="s">
        <v>851</v>
      </c>
      <c r="L684" s="1474" t="s">
        <v>584</v>
      </c>
      <c r="M684" s="1476" t="s">
        <v>1699</v>
      </c>
      <c r="N684" s="1477" t="s">
        <v>1694</v>
      </c>
      <c r="O684" s="1479">
        <v>102</v>
      </c>
      <c r="P684" s="1479"/>
      <c r="Q684" s="1142">
        <f t="shared" si="181"/>
        <v>102</v>
      </c>
      <c r="R684" s="1143">
        <f>IFERROR(VLOOKUP(CONCATENATE(E684,G684),'LAC 103'!$A$12:$O$95,11,FALSE),0)</f>
        <v>3.2074101033884355</v>
      </c>
      <c r="S684" s="1144">
        <f>IFERROR(VLOOKUP(CONCATENATE($E684,$G684),'LAC 103'!$A$12:$O$95,12,FALSE),0)</f>
        <v>3.99</v>
      </c>
      <c r="T684" s="1144">
        <f>IFERROR(VLOOKUP(CONCATENATE($E684,$G684),'LAC 103'!$A$12:$O$95,13,FALSE),0)</f>
        <v>2.48</v>
      </c>
      <c r="U684" s="1144">
        <f>IFERROR(VLOOKUP(CONCATENATE($E684,$G684),'LAC 103'!$A$12:$O$95,14,FALSE),0)</f>
        <v>0</v>
      </c>
      <c r="V684" s="1144">
        <f>IFERROR(VLOOKUP(CONCATENATE($E684,$G684),'LAC 103'!$A$12:$O$95,15,FALSE),0)</f>
        <v>0</v>
      </c>
      <c r="W684" s="1145" t="str">
        <f>IFERROR(VLOOKUP(CONCATENATE($B684,$N684),'LAC 103'!$AI:$AQ,9,FALSE),"")</f>
        <v>Costs</v>
      </c>
      <c r="X684" s="1146">
        <f t="shared" si="186"/>
        <v>3.2074101033884355</v>
      </c>
      <c r="Y684" s="1143">
        <f t="shared" si="187"/>
        <v>327.1558305456204</v>
      </c>
      <c r="Z684" s="1147">
        <f t="shared" si="188"/>
        <v>406.98</v>
      </c>
      <c r="AA684" s="1144">
        <f t="shared" si="189"/>
        <v>252.96</v>
      </c>
      <c r="AB684" s="1144">
        <f t="shared" si="190"/>
        <v>0</v>
      </c>
      <c r="AC684" s="1144">
        <f t="shared" si="191"/>
        <v>0</v>
      </c>
      <c r="AD684" s="1148">
        <f t="shared" si="182"/>
        <v>327.1558305456204</v>
      </c>
      <c r="AE684" s="1487">
        <v>0</v>
      </c>
      <c r="AF684" s="1145">
        <f t="shared" si="192"/>
        <v>327.1558305456204</v>
      </c>
      <c r="AG684" s="1149">
        <f>IFERROR(VLOOKUP(CONCATENATE($L684,$N684),'Drop List'!$G$23:$K$87,2,FALSE),0)</f>
        <v>0.56200000000000006</v>
      </c>
      <c r="AH684" s="1150">
        <f>IFERROR(VLOOKUP(CONCATENATE($L684,$N684),'Drop List'!$G$23:$K$87,3,FALSE),0)</f>
        <v>0</v>
      </c>
      <c r="AI684" s="1150">
        <f>IFERROR(VLOOKUP(CONCATENATE($L684,$N684),'Drop List'!$G$23:$K$87,4,FALSE),0)</f>
        <v>0</v>
      </c>
      <c r="AJ684" s="1151">
        <f>IFERROR(VLOOKUP(CONCATENATE($L684,$N684),'Drop List'!$G$23:$K$87,5,FALSE),0)</f>
        <v>0.43799999999999994</v>
      </c>
      <c r="AK684" s="1152">
        <f t="shared" si="193"/>
        <v>183.86157676663868</v>
      </c>
      <c r="AL684" s="1153">
        <f t="shared" si="194"/>
        <v>0</v>
      </c>
      <c r="AM684" s="1153">
        <f t="shared" si="195"/>
        <v>0</v>
      </c>
      <c r="AN684" s="1145">
        <f t="shared" si="196"/>
        <v>143.29425377898173</v>
      </c>
      <c r="AO684" s="1154">
        <f t="shared" si="197"/>
        <v>327.1558305456204</v>
      </c>
      <c r="AP684" s="1147">
        <f t="shared" si="183"/>
        <v>0</v>
      </c>
      <c r="AQ684" s="1144">
        <f t="shared" si="184"/>
        <v>0</v>
      </c>
      <c r="AR684" s="1146">
        <f t="shared" si="185"/>
        <v>327.1558305456204</v>
      </c>
    </row>
    <row r="685" spans="1:44" x14ac:dyDescent="0.2">
      <c r="A685" s="1141" t="str">
        <f t="shared" si="180"/>
        <v>1510</v>
      </c>
      <c r="B685" s="1141" t="str">
        <f>IFERROR(VLOOKUP(A685,'LAC 103'!A:C,3,FALSE),"")</f>
        <v>OP</v>
      </c>
      <c r="C685" s="1478" t="str">
        <f>Info!$B$8</f>
        <v>00100</v>
      </c>
      <c r="D685" s="1474" t="s">
        <v>256</v>
      </c>
      <c r="E685" s="1474" t="s">
        <v>95</v>
      </c>
      <c r="F685" s="1478" t="s">
        <v>77</v>
      </c>
      <c r="G685" s="1478" t="s">
        <v>77</v>
      </c>
      <c r="H685" s="1474" t="s">
        <v>1663</v>
      </c>
      <c r="I685" s="1478" t="s">
        <v>927</v>
      </c>
      <c r="J685" s="1478"/>
      <c r="K685" s="1475" t="s">
        <v>851</v>
      </c>
      <c r="L685" s="1474" t="s">
        <v>584</v>
      </c>
      <c r="M685" s="1476" t="s">
        <v>841</v>
      </c>
      <c r="N685" s="1477" t="s">
        <v>1695</v>
      </c>
      <c r="O685" s="1479">
        <v>41</v>
      </c>
      <c r="P685" s="1479"/>
      <c r="Q685" s="1142">
        <f t="shared" si="181"/>
        <v>41</v>
      </c>
      <c r="R685" s="1143">
        <f>IFERROR(VLOOKUP(CONCATENATE(E685,G685),'LAC 103'!$A$12:$O$95,11,FALSE),0)</f>
        <v>3.2074101033884355</v>
      </c>
      <c r="S685" s="1144">
        <f>IFERROR(VLOOKUP(CONCATENATE($E685,$G685),'LAC 103'!$A$12:$O$95,12,FALSE),0)</f>
        <v>3.99</v>
      </c>
      <c r="T685" s="1144">
        <f>IFERROR(VLOOKUP(CONCATENATE($E685,$G685),'LAC 103'!$A$12:$O$95,13,FALSE),0)</f>
        <v>2.48</v>
      </c>
      <c r="U685" s="1144">
        <f>IFERROR(VLOOKUP(CONCATENATE($E685,$G685),'LAC 103'!$A$12:$O$95,14,FALSE),0)</f>
        <v>0</v>
      </c>
      <c r="V685" s="1144">
        <f>IFERROR(VLOOKUP(CONCATENATE($E685,$G685),'LAC 103'!$A$12:$O$95,15,FALSE),0)</f>
        <v>0</v>
      </c>
      <c r="W685" s="1145" t="str">
        <f>IFERROR(VLOOKUP(CONCATENATE($B685,$N685),'LAC 103'!$AI:$AQ,9,FALSE),"")</f>
        <v>Costs</v>
      </c>
      <c r="X685" s="1146">
        <f t="shared" si="186"/>
        <v>3.2074101033884355</v>
      </c>
      <c r="Y685" s="1143">
        <f t="shared" si="187"/>
        <v>131.50381423892586</v>
      </c>
      <c r="Z685" s="1147">
        <f t="shared" si="188"/>
        <v>163.59</v>
      </c>
      <c r="AA685" s="1144">
        <f t="shared" si="189"/>
        <v>101.67999999999999</v>
      </c>
      <c r="AB685" s="1144">
        <f t="shared" si="190"/>
        <v>0</v>
      </c>
      <c r="AC685" s="1144">
        <f t="shared" si="191"/>
        <v>0</v>
      </c>
      <c r="AD685" s="1148">
        <f t="shared" si="182"/>
        <v>131.50381423892586</v>
      </c>
      <c r="AE685" s="1487">
        <v>0</v>
      </c>
      <c r="AF685" s="1145">
        <f t="shared" si="192"/>
        <v>131.50381423892586</v>
      </c>
      <c r="AG685" s="1149">
        <f>IFERROR(VLOOKUP(CONCATENATE($L685,$N685),'Drop List'!$G$23:$K$87,2,FALSE),0)</f>
        <v>0.55000000000000004</v>
      </c>
      <c r="AH685" s="1150">
        <f>IFERROR(VLOOKUP(CONCATENATE($L685,$N685),'Drop List'!$G$23:$K$87,3,FALSE),0)</f>
        <v>0</v>
      </c>
      <c r="AI685" s="1150">
        <f>IFERROR(VLOOKUP(CONCATENATE($L685,$N685),'Drop List'!$G$23:$K$87,4,FALSE),0)</f>
        <v>0</v>
      </c>
      <c r="AJ685" s="1151">
        <f>IFERROR(VLOOKUP(CONCATENATE($L685,$N685),'Drop List'!$G$23:$K$87,5,FALSE),0)</f>
        <v>0.44999999999999996</v>
      </c>
      <c r="AK685" s="1152">
        <f t="shared" si="193"/>
        <v>72.327097831409233</v>
      </c>
      <c r="AL685" s="1153">
        <f t="shared" si="194"/>
        <v>0</v>
      </c>
      <c r="AM685" s="1153">
        <f t="shared" si="195"/>
        <v>0</v>
      </c>
      <c r="AN685" s="1145">
        <f t="shared" si="196"/>
        <v>59.176716407516629</v>
      </c>
      <c r="AO685" s="1154">
        <f t="shared" si="197"/>
        <v>131.50381423892586</v>
      </c>
      <c r="AP685" s="1147">
        <f t="shared" si="183"/>
        <v>0</v>
      </c>
      <c r="AQ685" s="1144">
        <f t="shared" si="184"/>
        <v>0</v>
      </c>
      <c r="AR685" s="1146">
        <f t="shared" si="185"/>
        <v>131.50381423892586</v>
      </c>
    </row>
    <row r="686" spans="1:44" x14ac:dyDescent="0.2">
      <c r="A686" s="1141" t="str">
        <f t="shared" si="180"/>
        <v>1510</v>
      </c>
      <c r="B686" s="1141" t="str">
        <f>IFERROR(VLOOKUP(A686,'LAC 103'!A:C,3,FALSE),"")</f>
        <v>OP</v>
      </c>
      <c r="C686" s="1478" t="str">
        <f>Info!$B$8</f>
        <v>00100</v>
      </c>
      <c r="D686" s="1474" t="s">
        <v>256</v>
      </c>
      <c r="E686" s="1474" t="s">
        <v>95</v>
      </c>
      <c r="F686" s="1478" t="s">
        <v>77</v>
      </c>
      <c r="G686" s="1478" t="s">
        <v>77</v>
      </c>
      <c r="H686" s="1474" t="s">
        <v>1663</v>
      </c>
      <c r="I686" s="1478" t="s">
        <v>927</v>
      </c>
      <c r="J686" s="1478"/>
      <c r="K686" s="1475" t="s">
        <v>851</v>
      </c>
      <c r="L686" s="1474" t="s">
        <v>584</v>
      </c>
      <c r="M686" s="1476" t="s">
        <v>842</v>
      </c>
      <c r="N686" s="1477" t="s">
        <v>1692</v>
      </c>
      <c r="O686" s="1479">
        <v>137</v>
      </c>
      <c r="P686" s="1479"/>
      <c r="Q686" s="1142">
        <f t="shared" si="181"/>
        <v>137</v>
      </c>
      <c r="R686" s="1143">
        <f>IFERROR(VLOOKUP(CONCATENATE(E686,G686),'LAC 103'!$A$12:$O$95,11,FALSE),0)</f>
        <v>3.2074101033884355</v>
      </c>
      <c r="S686" s="1144">
        <f>IFERROR(VLOOKUP(CONCATENATE($E686,$G686),'LAC 103'!$A$12:$O$95,12,FALSE),0)</f>
        <v>3.99</v>
      </c>
      <c r="T686" s="1144">
        <f>IFERROR(VLOOKUP(CONCATENATE($E686,$G686),'LAC 103'!$A$12:$O$95,13,FALSE),0)</f>
        <v>2.48</v>
      </c>
      <c r="U686" s="1144">
        <f>IFERROR(VLOOKUP(CONCATENATE($E686,$G686),'LAC 103'!$A$12:$O$95,14,FALSE),0)</f>
        <v>0</v>
      </c>
      <c r="V686" s="1144">
        <f>IFERROR(VLOOKUP(CONCATENATE($E686,$G686),'LAC 103'!$A$12:$O$95,15,FALSE),0)</f>
        <v>0</v>
      </c>
      <c r="W686" s="1145" t="str">
        <f>IFERROR(VLOOKUP(CONCATENATE($B686,$N686),'LAC 103'!$AI:$AQ,9,FALSE),"")</f>
        <v>Costs</v>
      </c>
      <c r="X686" s="1146">
        <f t="shared" si="186"/>
        <v>3.2074101033884355</v>
      </c>
      <c r="Y686" s="1143">
        <f t="shared" si="187"/>
        <v>439.41518416421565</v>
      </c>
      <c r="Z686" s="1147">
        <f t="shared" si="188"/>
        <v>546.63</v>
      </c>
      <c r="AA686" s="1144">
        <f t="shared" si="189"/>
        <v>339.76</v>
      </c>
      <c r="AB686" s="1144">
        <f t="shared" si="190"/>
        <v>0</v>
      </c>
      <c r="AC686" s="1144">
        <f t="shared" si="191"/>
        <v>0</v>
      </c>
      <c r="AD686" s="1148">
        <f t="shared" si="182"/>
        <v>439.41518416421565</v>
      </c>
      <c r="AE686" s="1487">
        <v>0</v>
      </c>
      <c r="AF686" s="1145">
        <f t="shared" si="192"/>
        <v>439.41518416421565</v>
      </c>
      <c r="AG686" s="1149">
        <f>IFERROR(VLOOKUP(CONCATENATE($L686,$N686),'Drop List'!$G$23:$K$87,2,FALSE),0)</f>
        <v>0.56200000000000006</v>
      </c>
      <c r="AH686" s="1150">
        <f>IFERROR(VLOOKUP(CONCATENATE($L686,$N686),'Drop List'!$G$23:$K$87,3,FALSE),0)</f>
        <v>0</v>
      </c>
      <c r="AI686" s="1150">
        <f>IFERROR(VLOOKUP(CONCATENATE($L686,$N686),'Drop List'!$G$23:$K$87,4,FALSE),0)</f>
        <v>0</v>
      </c>
      <c r="AJ686" s="1151">
        <f>IFERROR(VLOOKUP(CONCATENATE($L686,$N686),'Drop List'!$G$23:$K$87,5,FALSE),0)</f>
        <v>0.43799999999999994</v>
      </c>
      <c r="AK686" s="1152">
        <f t="shared" si="193"/>
        <v>246.95133350028922</v>
      </c>
      <c r="AL686" s="1153">
        <f t="shared" si="194"/>
        <v>0</v>
      </c>
      <c r="AM686" s="1153">
        <f t="shared" si="195"/>
        <v>0</v>
      </c>
      <c r="AN686" s="1145">
        <f t="shared" si="196"/>
        <v>192.46385066392642</v>
      </c>
      <c r="AO686" s="1154">
        <f t="shared" si="197"/>
        <v>439.41518416421565</v>
      </c>
      <c r="AP686" s="1147">
        <f t="shared" si="183"/>
        <v>0</v>
      </c>
      <c r="AQ686" s="1144">
        <f t="shared" si="184"/>
        <v>0</v>
      </c>
      <c r="AR686" s="1146">
        <f t="shared" si="185"/>
        <v>439.41518416421565</v>
      </c>
    </row>
    <row r="687" spans="1:44" x14ac:dyDescent="0.2">
      <c r="A687" s="1141" t="str">
        <f t="shared" si="180"/>
        <v>1510</v>
      </c>
      <c r="B687" s="1141" t="str">
        <f>IFERROR(VLOOKUP(A687,'LAC 103'!A:C,3,FALSE),"")</f>
        <v>OP</v>
      </c>
      <c r="C687" s="1478" t="str">
        <f>Info!$B$8</f>
        <v>00100</v>
      </c>
      <c r="D687" s="1474" t="s">
        <v>256</v>
      </c>
      <c r="E687" s="1474" t="s">
        <v>95</v>
      </c>
      <c r="F687" s="1478" t="s">
        <v>77</v>
      </c>
      <c r="G687" s="1478" t="s">
        <v>77</v>
      </c>
      <c r="H687" s="1474" t="s">
        <v>1663</v>
      </c>
      <c r="I687" s="1478" t="s">
        <v>927</v>
      </c>
      <c r="J687" s="1478"/>
      <c r="K687" s="1475" t="s">
        <v>851</v>
      </c>
      <c r="L687" s="1474" t="s">
        <v>584</v>
      </c>
      <c r="M687" s="1476" t="s">
        <v>1698</v>
      </c>
      <c r="N687" s="1477" t="s">
        <v>1693</v>
      </c>
      <c r="O687" s="1479">
        <v>338</v>
      </c>
      <c r="P687" s="1479"/>
      <c r="Q687" s="1142">
        <f t="shared" si="181"/>
        <v>338</v>
      </c>
      <c r="R687" s="1143">
        <f>IFERROR(VLOOKUP(CONCATENATE(E687,G687),'LAC 103'!$A$12:$O$95,11,FALSE),0)</f>
        <v>3.2074101033884355</v>
      </c>
      <c r="S687" s="1144">
        <f>IFERROR(VLOOKUP(CONCATENATE($E687,$G687),'LAC 103'!$A$12:$O$95,12,FALSE),0)</f>
        <v>3.99</v>
      </c>
      <c r="T687" s="1144">
        <f>IFERROR(VLOOKUP(CONCATENATE($E687,$G687),'LAC 103'!$A$12:$O$95,13,FALSE),0)</f>
        <v>2.48</v>
      </c>
      <c r="U687" s="1144">
        <f>IFERROR(VLOOKUP(CONCATENATE($E687,$G687),'LAC 103'!$A$12:$O$95,14,FALSE),0)</f>
        <v>0</v>
      </c>
      <c r="V687" s="1144">
        <f>IFERROR(VLOOKUP(CONCATENATE($E687,$G687),'LAC 103'!$A$12:$O$95,15,FALSE),0)</f>
        <v>0</v>
      </c>
      <c r="W687" s="1145" t="str">
        <f>IFERROR(VLOOKUP(CONCATENATE($B687,$N687),'LAC 103'!$AI:$AQ,9,FALSE),"")</f>
        <v>Costs</v>
      </c>
      <c r="X687" s="1146">
        <f t="shared" si="186"/>
        <v>3.2074101033884355</v>
      </c>
      <c r="Y687" s="1143">
        <f t="shared" si="187"/>
        <v>1084.1046149452911</v>
      </c>
      <c r="Z687" s="1147">
        <f t="shared" si="188"/>
        <v>1348.6200000000001</v>
      </c>
      <c r="AA687" s="1144">
        <f t="shared" si="189"/>
        <v>838.24</v>
      </c>
      <c r="AB687" s="1144">
        <f t="shared" si="190"/>
        <v>0</v>
      </c>
      <c r="AC687" s="1144">
        <f t="shared" si="191"/>
        <v>0</v>
      </c>
      <c r="AD687" s="1148">
        <f t="shared" si="182"/>
        <v>1084.1046149452911</v>
      </c>
      <c r="AE687" s="1487">
        <v>0</v>
      </c>
      <c r="AF687" s="1145">
        <f t="shared" si="192"/>
        <v>1084.1046149452911</v>
      </c>
      <c r="AG687" s="1149">
        <f>IFERROR(VLOOKUP(CONCATENATE($L687,$N687),'Drop List'!$G$23:$K$87,2,FALSE),0)</f>
        <v>0.56200000000000006</v>
      </c>
      <c r="AH687" s="1150">
        <f>IFERROR(VLOOKUP(CONCATENATE($L687,$N687),'Drop List'!$G$23:$K$87,3,FALSE),0)</f>
        <v>0</v>
      </c>
      <c r="AI687" s="1150">
        <f>IFERROR(VLOOKUP(CONCATENATE($L687,$N687),'Drop List'!$G$23:$K$87,4,FALSE),0)</f>
        <v>0</v>
      </c>
      <c r="AJ687" s="1151">
        <f>IFERROR(VLOOKUP(CONCATENATE($L687,$N687),'Drop List'!$G$23:$K$87,5,FALSE),0)</f>
        <v>0.43799999999999994</v>
      </c>
      <c r="AK687" s="1152">
        <f t="shared" si="193"/>
        <v>609.26679359925367</v>
      </c>
      <c r="AL687" s="1153">
        <f t="shared" si="194"/>
        <v>0</v>
      </c>
      <c r="AM687" s="1153">
        <f t="shared" si="195"/>
        <v>0</v>
      </c>
      <c r="AN687" s="1145">
        <f t="shared" si="196"/>
        <v>474.83782134603746</v>
      </c>
      <c r="AO687" s="1154">
        <f t="shared" si="197"/>
        <v>1084.1046149452911</v>
      </c>
      <c r="AP687" s="1147">
        <f t="shared" si="183"/>
        <v>0</v>
      </c>
      <c r="AQ687" s="1144">
        <f t="shared" si="184"/>
        <v>0</v>
      </c>
      <c r="AR687" s="1146">
        <f t="shared" si="185"/>
        <v>1084.1046149452911</v>
      </c>
    </row>
    <row r="688" spans="1:44" x14ac:dyDescent="0.2">
      <c r="A688" s="1141" t="str">
        <f t="shared" si="180"/>
        <v>1510</v>
      </c>
      <c r="B688" s="1141" t="str">
        <f>IFERROR(VLOOKUP(A688,'LAC 103'!A:C,3,FALSE),"")</f>
        <v>OP</v>
      </c>
      <c r="C688" s="1478" t="str">
        <f>Info!$B$8</f>
        <v>00100</v>
      </c>
      <c r="D688" s="1474" t="s">
        <v>256</v>
      </c>
      <c r="E688" s="1474" t="s">
        <v>95</v>
      </c>
      <c r="F688" s="1478" t="s">
        <v>77</v>
      </c>
      <c r="G688" s="1478" t="s">
        <v>77</v>
      </c>
      <c r="H688" s="1474" t="s">
        <v>1665</v>
      </c>
      <c r="I688" s="1478" t="s">
        <v>803</v>
      </c>
      <c r="J688" s="1478" t="s">
        <v>123</v>
      </c>
      <c r="K688" s="1475" t="s">
        <v>1654</v>
      </c>
      <c r="L688" s="1474" t="s">
        <v>332</v>
      </c>
      <c r="M688" s="1476" t="s">
        <v>841</v>
      </c>
      <c r="N688" s="1477" t="s">
        <v>1695</v>
      </c>
      <c r="O688" s="1479">
        <v>31</v>
      </c>
      <c r="P688" s="1479"/>
      <c r="Q688" s="1142">
        <f t="shared" si="181"/>
        <v>31</v>
      </c>
      <c r="R688" s="1143">
        <f>IFERROR(VLOOKUP(CONCATENATE(E688,G688),'LAC 103'!$A$12:$O$95,11,FALSE),0)</f>
        <v>3.2074101033884355</v>
      </c>
      <c r="S688" s="1144">
        <f>IFERROR(VLOOKUP(CONCATENATE($E688,$G688),'LAC 103'!$A$12:$O$95,12,FALSE),0)</f>
        <v>3.99</v>
      </c>
      <c r="T688" s="1144">
        <f>IFERROR(VLOOKUP(CONCATENATE($E688,$G688),'LAC 103'!$A$12:$O$95,13,FALSE),0)</f>
        <v>2.48</v>
      </c>
      <c r="U688" s="1144">
        <f>IFERROR(VLOOKUP(CONCATENATE($E688,$G688),'LAC 103'!$A$12:$O$95,14,FALSE),0)</f>
        <v>0</v>
      </c>
      <c r="V688" s="1144">
        <f>IFERROR(VLOOKUP(CONCATENATE($E688,$G688),'LAC 103'!$A$12:$O$95,15,FALSE),0)</f>
        <v>0</v>
      </c>
      <c r="W688" s="1145" t="str">
        <f>IFERROR(VLOOKUP(CONCATENATE($B688,$N688),'LAC 103'!$AI:$AQ,9,FALSE),"")</f>
        <v>Costs</v>
      </c>
      <c r="X688" s="1146">
        <f t="shared" si="186"/>
        <v>3.2074101033884355</v>
      </c>
      <c r="Y688" s="1143">
        <f t="shared" si="187"/>
        <v>99.429713205041494</v>
      </c>
      <c r="Z688" s="1147">
        <f t="shared" si="188"/>
        <v>123.69000000000001</v>
      </c>
      <c r="AA688" s="1144">
        <f t="shared" si="189"/>
        <v>76.88</v>
      </c>
      <c r="AB688" s="1144">
        <f t="shared" si="190"/>
        <v>0</v>
      </c>
      <c r="AC688" s="1144">
        <f t="shared" si="191"/>
        <v>0</v>
      </c>
      <c r="AD688" s="1148">
        <f t="shared" si="182"/>
        <v>99.429713205041494</v>
      </c>
      <c r="AE688" s="1487">
        <v>0</v>
      </c>
      <c r="AF688" s="1145">
        <f t="shared" si="192"/>
        <v>99.429713205041494</v>
      </c>
      <c r="AG688" s="1149">
        <f>IFERROR(VLOOKUP(CONCATENATE($L688,$N688),'Drop List'!$G$23:$K$87,2,FALSE),0)</f>
        <v>0</v>
      </c>
      <c r="AH688" s="1150">
        <f>IFERROR(VLOOKUP(CONCATENATE($L688,$N688),'Drop List'!$G$23:$K$87,3,FALSE),0)</f>
        <v>0</v>
      </c>
      <c r="AI688" s="1150">
        <f>IFERROR(VLOOKUP(CONCATENATE($L688,$N688),'Drop List'!$G$23:$K$87,4,FALSE),0)</f>
        <v>0</v>
      </c>
      <c r="AJ688" s="1151">
        <f>IFERROR(VLOOKUP(CONCATENATE($L688,$N688),'Drop List'!$G$23:$K$87,5,FALSE),0)</f>
        <v>0</v>
      </c>
      <c r="AK688" s="1152">
        <f t="shared" si="193"/>
        <v>0</v>
      </c>
      <c r="AL688" s="1153">
        <f t="shared" si="194"/>
        <v>0</v>
      </c>
      <c r="AM688" s="1153">
        <f t="shared" si="195"/>
        <v>0</v>
      </c>
      <c r="AN688" s="1145">
        <f t="shared" si="196"/>
        <v>0</v>
      </c>
      <c r="AO688" s="1154">
        <f t="shared" si="197"/>
        <v>0</v>
      </c>
      <c r="AP688" s="1147">
        <f t="shared" si="183"/>
        <v>99.429713205041494</v>
      </c>
      <c r="AQ688" s="1144">
        <f t="shared" si="184"/>
        <v>0</v>
      </c>
      <c r="AR688" s="1146">
        <f t="shared" si="185"/>
        <v>99.429713205041494</v>
      </c>
    </row>
    <row r="689" spans="1:44" x14ac:dyDescent="0.2">
      <c r="A689" s="1141" t="str">
        <f t="shared" si="180"/>
        <v>1510</v>
      </c>
      <c r="B689" s="1141" t="str">
        <f>IFERROR(VLOOKUP(A689,'LAC 103'!A:C,3,FALSE),"")</f>
        <v>OP</v>
      </c>
      <c r="C689" s="1478" t="str">
        <f>Info!$B$8</f>
        <v>00100</v>
      </c>
      <c r="D689" s="1474" t="s">
        <v>256</v>
      </c>
      <c r="E689" s="1474" t="s">
        <v>95</v>
      </c>
      <c r="F689" s="1478" t="s">
        <v>77</v>
      </c>
      <c r="G689" s="1478" t="s">
        <v>77</v>
      </c>
      <c r="H689" s="1474" t="s">
        <v>1665</v>
      </c>
      <c r="I689" s="1478" t="s">
        <v>803</v>
      </c>
      <c r="J689" s="1478"/>
      <c r="K689" s="1475" t="s">
        <v>849</v>
      </c>
      <c r="L689" s="1474" t="s">
        <v>77</v>
      </c>
      <c r="M689" s="1476" t="s">
        <v>1699</v>
      </c>
      <c r="N689" s="1477" t="s">
        <v>1694</v>
      </c>
      <c r="O689" s="1479">
        <v>3431</v>
      </c>
      <c r="P689" s="1479"/>
      <c r="Q689" s="1142">
        <f t="shared" si="181"/>
        <v>3431</v>
      </c>
      <c r="R689" s="1143">
        <f>IFERROR(VLOOKUP(CONCATENATE(E689,G689),'LAC 103'!$A$12:$O$95,11,FALSE),0)</f>
        <v>3.2074101033884355</v>
      </c>
      <c r="S689" s="1144">
        <f>IFERROR(VLOOKUP(CONCATENATE($E689,$G689),'LAC 103'!$A$12:$O$95,12,FALSE),0)</f>
        <v>3.99</v>
      </c>
      <c r="T689" s="1144">
        <f>IFERROR(VLOOKUP(CONCATENATE($E689,$G689),'LAC 103'!$A$12:$O$95,13,FALSE),0)</f>
        <v>2.48</v>
      </c>
      <c r="U689" s="1144">
        <f>IFERROR(VLOOKUP(CONCATENATE($E689,$G689),'LAC 103'!$A$12:$O$95,14,FALSE),0)</f>
        <v>0</v>
      </c>
      <c r="V689" s="1144">
        <f>IFERROR(VLOOKUP(CONCATENATE($E689,$G689),'LAC 103'!$A$12:$O$95,15,FALSE),0)</f>
        <v>0</v>
      </c>
      <c r="W689" s="1145" t="str">
        <f>IFERROR(VLOOKUP(CONCATENATE($B689,$N689),'LAC 103'!$AI:$AQ,9,FALSE),"")</f>
        <v>Costs</v>
      </c>
      <c r="X689" s="1146">
        <f t="shared" si="186"/>
        <v>3.2074101033884355</v>
      </c>
      <c r="Y689" s="1143">
        <f t="shared" si="187"/>
        <v>11004.624064725722</v>
      </c>
      <c r="Z689" s="1147">
        <f t="shared" si="188"/>
        <v>13689.69</v>
      </c>
      <c r="AA689" s="1144">
        <f t="shared" si="189"/>
        <v>8508.8799999999992</v>
      </c>
      <c r="AB689" s="1144">
        <f t="shared" si="190"/>
        <v>0</v>
      </c>
      <c r="AC689" s="1144">
        <f t="shared" si="191"/>
        <v>0</v>
      </c>
      <c r="AD689" s="1148">
        <f t="shared" si="182"/>
        <v>11004.624064725722</v>
      </c>
      <c r="AE689" s="1487">
        <v>0</v>
      </c>
      <c r="AF689" s="1145">
        <f t="shared" si="192"/>
        <v>11004.624064725722</v>
      </c>
      <c r="AG689" s="1149">
        <f>IFERROR(VLOOKUP(CONCATENATE($L689,$N689),'Drop List'!$G$23:$K$87,2,FALSE),0)</f>
        <v>0.9</v>
      </c>
      <c r="AH689" s="1150">
        <f>IFERROR(VLOOKUP(CONCATENATE($L689,$N689),'Drop List'!$G$23:$K$87,3,FALSE),0)</f>
        <v>0</v>
      </c>
      <c r="AI689" s="1150">
        <f>IFERROR(VLOOKUP(CONCATENATE($L689,$N689),'Drop List'!$G$23:$K$87,4,FALSE),0)</f>
        <v>0.1</v>
      </c>
      <c r="AJ689" s="1151">
        <f>IFERROR(VLOOKUP(CONCATENATE($L689,$N689),'Drop List'!$G$23:$K$87,5,FALSE),0)</f>
        <v>0</v>
      </c>
      <c r="AK689" s="1152">
        <f t="shared" si="193"/>
        <v>9904.1616582531497</v>
      </c>
      <c r="AL689" s="1153">
        <f t="shared" si="194"/>
        <v>0</v>
      </c>
      <c r="AM689" s="1153">
        <f t="shared" si="195"/>
        <v>1100.4624064725722</v>
      </c>
      <c r="AN689" s="1145">
        <f t="shared" si="196"/>
        <v>0</v>
      </c>
      <c r="AO689" s="1154">
        <f t="shared" si="197"/>
        <v>11004.624064725722</v>
      </c>
      <c r="AP689" s="1147">
        <f t="shared" si="183"/>
        <v>0</v>
      </c>
      <c r="AQ689" s="1144">
        <f t="shared" si="184"/>
        <v>0</v>
      </c>
      <c r="AR689" s="1146">
        <f t="shared" si="185"/>
        <v>11004.624064725722</v>
      </c>
    </row>
    <row r="690" spans="1:44" x14ac:dyDescent="0.2">
      <c r="A690" s="1141" t="str">
        <f t="shared" si="180"/>
        <v>1510</v>
      </c>
      <c r="B690" s="1141" t="str">
        <f>IFERROR(VLOOKUP(A690,'LAC 103'!A:C,3,FALSE),"")</f>
        <v>OP</v>
      </c>
      <c r="C690" s="1478" t="str">
        <f>Info!$B$8</f>
        <v>00100</v>
      </c>
      <c r="D690" s="1474" t="s">
        <v>256</v>
      </c>
      <c r="E690" s="1474" t="s">
        <v>95</v>
      </c>
      <c r="F690" s="1478" t="s">
        <v>77</v>
      </c>
      <c r="G690" s="1478" t="s">
        <v>77</v>
      </c>
      <c r="H690" s="1474" t="s">
        <v>1665</v>
      </c>
      <c r="I690" s="1478" t="s">
        <v>803</v>
      </c>
      <c r="J690" s="1478"/>
      <c r="K690" s="1475" t="s">
        <v>849</v>
      </c>
      <c r="L690" s="1474" t="s">
        <v>77</v>
      </c>
      <c r="M690" s="1476" t="s">
        <v>841</v>
      </c>
      <c r="N690" s="1477" t="s">
        <v>1695</v>
      </c>
      <c r="O690" s="1479">
        <v>3093</v>
      </c>
      <c r="P690" s="1479"/>
      <c r="Q690" s="1142">
        <f t="shared" si="181"/>
        <v>3093</v>
      </c>
      <c r="R690" s="1143">
        <f>IFERROR(VLOOKUP(CONCATENATE(E690,G690),'LAC 103'!$A$12:$O$95,11,FALSE),0)</f>
        <v>3.2074101033884355</v>
      </c>
      <c r="S690" s="1144">
        <f>IFERROR(VLOOKUP(CONCATENATE($E690,$G690),'LAC 103'!$A$12:$O$95,12,FALSE),0)</f>
        <v>3.99</v>
      </c>
      <c r="T690" s="1144">
        <f>IFERROR(VLOOKUP(CONCATENATE($E690,$G690),'LAC 103'!$A$12:$O$95,13,FALSE),0)</f>
        <v>2.48</v>
      </c>
      <c r="U690" s="1144">
        <f>IFERROR(VLOOKUP(CONCATENATE($E690,$G690),'LAC 103'!$A$12:$O$95,14,FALSE),0)</f>
        <v>0</v>
      </c>
      <c r="V690" s="1144">
        <f>IFERROR(VLOOKUP(CONCATENATE($E690,$G690),'LAC 103'!$A$12:$O$95,15,FALSE),0)</f>
        <v>0</v>
      </c>
      <c r="W690" s="1145" t="str">
        <f>IFERROR(VLOOKUP(CONCATENATE($B690,$N690),'LAC 103'!$AI:$AQ,9,FALSE),"")</f>
        <v>Costs</v>
      </c>
      <c r="X690" s="1146">
        <f t="shared" si="186"/>
        <v>3.2074101033884355</v>
      </c>
      <c r="Y690" s="1143">
        <f t="shared" si="187"/>
        <v>9920.5194497804314</v>
      </c>
      <c r="Z690" s="1147">
        <f t="shared" si="188"/>
        <v>12341.070000000002</v>
      </c>
      <c r="AA690" s="1144">
        <f t="shared" si="189"/>
        <v>7670.64</v>
      </c>
      <c r="AB690" s="1144">
        <f t="shared" si="190"/>
        <v>0</v>
      </c>
      <c r="AC690" s="1144">
        <f t="shared" si="191"/>
        <v>0</v>
      </c>
      <c r="AD690" s="1148">
        <f t="shared" si="182"/>
        <v>9920.5194497804314</v>
      </c>
      <c r="AE690" s="1487">
        <v>0</v>
      </c>
      <c r="AF690" s="1145">
        <f t="shared" si="192"/>
        <v>9920.5194497804314</v>
      </c>
      <c r="AG690" s="1149">
        <f>IFERROR(VLOOKUP(CONCATENATE($L690,$N690),'Drop List'!$G$23:$K$87,2,FALSE),0)</f>
        <v>0.9</v>
      </c>
      <c r="AH690" s="1150">
        <f>IFERROR(VLOOKUP(CONCATENATE($L690,$N690),'Drop List'!$G$23:$K$87,3,FALSE),0)</f>
        <v>0</v>
      </c>
      <c r="AI690" s="1150">
        <f>IFERROR(VLOOKUP(CONCATENATE($L690,$N690),'Drop List'!$G$23:$K$87,4,FALSE),0)</f>
        <v>0.1</v>
      </c>
      <c r="AJ690" s="1151">
        <f>IFERROR(VLOOKUP(CONCATENATE($L690,$N690),'Drop List'!$G$23:$K$87,5,FALSE),0)</f>
        <v>0</v>
      </c>
      <c r="AK690" s="1152">
        <f t="shared" si="193"/>
        <v>8928.4675048023892</v>
      </c>
      <c r="AL690" s="1153">
        <f t="shared" si="194"/>
        <v>0</v>
      </c>
      <c r="AM690" s="1153">
        <f t="shared" si="195"/>
        <v>992.05194497804314</v>
      </c>
      <c r="AN690" s="1145">
        <f t="shared" si="196"/>
        <v>0</v>
      </c>
      <c r="AO690" s="1154">
        <f t="shared" si="197"/>
        <v>9920.5194497804332</v>
      </c>
      <c r="AP690" s="1147">
        <f t="shared" si="183"/>
        <v>0</v>
      </c>
      <c r="AQ690" s="1144">
        <f t="shared" si="184"/>
        <v>0</v>
      </c>
      <c r="AR690" s="1146">
        <f t="shared" si="185"/>
        <v>9920.5194497804332</v>
      </c>
    </row>
    <row r="691" spans="1:44" x14ac:dyDescent="0.2">
      <c r="A691" s="1141" t="str">
        <f t="shared" si="180"/>
        <v>1510</v>
      </c>
      <c r="B691" s="1141" t="str">
        <f>IFERROR(VLOOKUP(A691,'LAC 103'!A:C,3,FALSE),"")</f>
        <v>OP</v>
      </c>
      <c r="C691" s="1478" t="str">
        <f>Info!$B$8</f>
        <v>00100</v>
      </c>
      <c r="D691" s="1474" t="s">
        <v>256</v>
      </c>
      <c r="E691" s="1474" t="s">
        <v>95</v>
      </c>
      <c r="F691" s="1478" t="s">
        <v>77</v>
      </c>
      <c r="G691" s="1478" t="s">
        <v>77</v>
      </c>
      <c r="H691" s="1474" t="s">
        <v>1665</v>
      </c>
      <c r="I691" s="1478" t="s">
        <v>803</v>
      </c>
      <c r="J691" s="1478"/>
      <c r="K691" s="1475" t="s">
        <v>849</v>
      </c>
      <c r="L691" s="1474" t="s">
        <v>77</v>
      </c>
      <c r="M691" s="1476" t="s">
        <v>840</v>
      </c>
      <c r="N691" s="1477" t="s">
        <v>1700</v>
      </c>
      <c r="O691" s="1479">
        <v>2603</v>
      </c>
      <c r="P691" s="1479"/>
      <c r="Q691" s="1142">
        <f t="shared" si="181"/>
        <v>2603</v>
      </c>
      <c r="R691" s="1143">
        <f>IFERROR(VLOOKUP(CONCATENATE(E691,G691),'LAC 103'!$A$12:$O$95,11,FALSE),0)</f>
        <v>3.2074101033884355</v>
      </c>
      <c r="S691" s="1144">
        <f>IFERROR(VLOOKUP(CONCATENATE($E691,$G691),'LAC 103'!$A$12:$O$95,12,FALSE),0)</f>
        <v>3.99</v>
      </c>
      <c r="T691" s="1144">
        <f>IFERROR(VLOOKUP(CONCATENATE($E691,$G691),'LAC 103'!$A$12:$O$95,13,FALSE),0)</f>
        <v>2.48</v>
      </c>
      <c r="U691" s="1144">
        <f>IFERROR(VLOOKUP(CONCATENATE($E691,$G691),'LAC 103'!$A$12:$O$95,14,FALSE),0)</f>
        <v>0</v>
      </c>
      <c r="V691" s="1144">
        <f>IFERROR(VLOOKUP(CONCATENATE($E691,$G691),'LAC 103'!$A$12:$O$95,15,FALSE),0)</f>
        <v>0</v>
      </c>
      <c r="W691" s="1145" t="str">
        <f>IFERROR(VLOOKUP(CONCATENATE($B691,$N691),'LAC 103'!$AI:$AQ,9,FALSE),"")</f>
        <v>P.C.</v>
      </c>
      <c r="X691" s="1146">
        <f t="shared" si="186"/>
        <v>2.48</v>
      </c>
      <c r="Y691" s="1143">
        <f t="shared" si="187"/>
        <v>8348.8884991200975</v>
      </c>
      <c r="Z691" s="1147">
        <f t="shared" si="188"/>
        <v>10385.970000000001</v>
      </c>
      <c r="AA691" s="1144">
        <f t="shared" si="189"/>
        <v>6455.44</v>
      </c>
      <c r="AB691" s="1144">
        <f t="shared" si="190"/>
        <v>0</v>
      </c>
      <c r="AC691" s="1144">
        <f t="shared" si="191"/>
        <v>0</v>
      </c>
      <c r="AD691" s="1148">
        <f t="shared" si="182"/>
        <v>6455.44</v>
      </c>
      <c r="AE691" s="1487">
        <v>0</v>
      </c>
      <c r="AF691" s="1145">
        <f t="shared" si="192"/>
        <v>6455.44</v>
      </c>
      <c r="AG691" s="1149">
        <f>IFERROR(VLOOKUP(CONCATENATE($L691,$N691),'Drop List'!$G$23:$K$87,2,FALSE),0)</f>
        <v>0.9</v>
      </c>
      <c r="AH691" s="1150">
        <f>IFERROR(VLOOKUP(CONCATENATE($L691,$N691),'Drop List'!$G$23:$K$87,3,FALSE),0)</f>
        <v>0</v>
      </c>
      <c r="AI691" s="1150">
        <f>IFERROR(VLOOKUP(CONCATENATE($L691,$N691),'Drop List'!$G$23:$K$87,4,FALSE),0)</f>
        <v>0.1</v>
      </c>
      <c r="AJ691" s="1151">
        <f>IFERROR(VLOOKUP(CONCATENATE($L691,$N691),'Drop List'!$G$23:$K$87,5,FALSE),0)</f>
        <v>0</v>
      </c>
      <c r="AK691" s="1152">
        <f t="shared" si="193"/>
        <v>5809.8959999999997</v>
      </c>
      <c r="AL691" s="1153">
        <f t="shared" si="194"/>
        <v>0</v>
      </c>
      <c r="AM691" s="1153">
        <f t="shared" si="195"/>
        <v>645.54399999999998</v>
      </c>
      <c r="AN691" s="1145">
        <f t="shared" si="196"/>
        <v>0</v>
      </c>
      <c r="AO691" s="1154">
        <f t="shared" si="197"/>
        <v>6455.44</v>
      </c>
      <c r="AP691" s="1147">
        <f t="shared" si="183"/>
        <v>0</v>
      </c>
      <c r="AQ691" s="1144">
        <f t="shared" si="184"/>
        <v>0</v>
      </c>
      <c r="AR691" s="1146">
        <f t="shared" si="185"/>
        <v>6455.44</v>
      </c>
    </row>
    <row r="692" spans="1:44" x14ac:dyDescent="0.2">
      <c r="A692" s="1141" t="str">
        <f t="shared" si="180"/>
        <v>1510</v>
      </c>
      <c r="B692" s="1141" t="str">
        <f>IFERROR(VLOOKUP(A692,'LAC 103'!A:C,3,FALSE),"")</f>
        <v>OP</v>
      </c>
      <c r="C692" s="1478" t="str">
        <f>Info!$B$8</f>
        <v>00100</v>
      </c>
      <c r="D692" s="1474" t="s">
        <v>256</v>
      </c>
      <c r="E692" s="1474" t="s">
        <v>95</v>
      </c>
      <c r="F692" s="1478" t="s">
        <v>77</v>
      </c>
      <c r="G692" s="1478" t="s">
        <v>77</v>
      </c>
      <c r="H692" s="1474" t="s">
        <v>1665</v>
      </c>
      <c r="I692" s="1478" t="s">
        <v>803</v>
      </c>
      <c r="J692" s="1478"/>
      <c r="K692" s="1475" t="s">
        <v>849</v>
      </c>
      <c r="L692" s="1474" t="s">
        <v>77</v>
      </c>
      <c r="M692" s="1476" t="s">
        <v>842</v>
      </c>
      <c r="N692" s="1477" t="s">
        <v>1692</v>
      </c>
      <c r="O692" s="1479">
        <v>1561</v>
      </c>
      <c r="P692" s="1479"/>
      <c r="Q692" s="1142">
        <f t="shared" si="181"/>
        <v>1561</v>
      </c>
      <c r="R692" s="1143">
        <f>IFERROR(VLOOKUP(CONCATENATE(E692,G692),'LAC 103'!$A$12:$O$95,11,FALSE),0)</f>
        <v>3.2074101033884355</v>
      </c>
      <c r="S692" s="1144">
        <f>IFERROR(VLOOKUP(CONCATENATE($E692,$G692),'LAC 103'!$A$12:$O$95,12,FALSE),0)</f>
        <v>3.99</v>
      </c>
      <c r="T692" s="1144">
        <f>IFERROR(VLOOKUP(CONCATENATE($E692,$G692),'LAC 103'!$A$12:$O$95,13,FALSE),0)</f>
        <v>2.48</v>
      </c>
      <c r="U692" s="1144">
        <f>IFERROR(VLOOKUP(CONCATENATE($E692,$G692),'LAC 103'!$A$12:$O$95,14,FALSE),0)</f>
        <v>0</v>
      </c>
      <c r="V692" s="1144">
        <f>IFERROR(VLOOKUP(CONCATENATE($E692,$G692),'LAC 103'!$A$12:$O$95,15,FALSE),0)</f>
        <v>0</v>
      </c>
      <c r="W692" s="1145" t="str">
        <f>IFERROR(VLOOKUP(CONCATENATE($B692,$N692),'LAC 103'!$AI:$AQ,9,FALSE),"")</f>
        <v>Costs</v>
      </c>
      <c r="X692" s="1146">
        <f t="shared" si="186"/>
        <v>3.2074101033884355</v>
      </c>
      <c r="Y692" s="1143">
        <f t="shared" si="187"/>
        <v>5006.7671713893478</v>
      </c>
      <c r="Z692" s="1147">
        <f t="shared" si="188"/>
        <v>6228.39</v>
      </c>
      <c r="AA692" s="1144">
        <f t="shared" si="189"/>
        <v>3871.2799999999997</v>
      </c>
      <c r="AB692" s="1144">
        <f t="shared" si="190"/>
        <v>0</v>
      </c>
      <c r="AC692" s="1144">
        <f t="shared" si="191"/>
        <v>0</v>
      </c>
      <c r="AD692" s="1148">
        <f t="shared" si="182"/>
        <v>5006.7671713893478</v>
      </c>
      <c r="AE692" s="1487">
        <v>0</v>
      </c>
      <c r="AF692" s="1145">
        <f t="shared" si="192"/>
        <v>5006.7671713893478</v>
      </c>
      <c r="AG692" s="1149">
        <f>IFERROR(VLOOKUP(CONCATENATE($L692,$N692),'Drop List'!$G$23:$K$87,2,FALSE),0)</f>
        <v>0.9</v>
      </c>
      <c r="AH692" s="1150">
        <f>IFERROR(VLOOKUP(CONCATENATE($L692,$N692),'Drop List'!$G$23:$K$87,3,FALSE),0)</f>
        <v>0</v>
      </c>
      <c r="AI692" s="1150">
        <f>IFERROR(VLOOKUP(CONCATENATE($L692,$N692),'Drop List'!$G$23:$K$87,4,FALSE),0)</f>
        <v>0.1</v>
      </c>
      <c r="AJ692" s="1151">
        <f>IFERROR(VLOOKUP(CONCATENATE($L692,$N692),'Drop List'!$G$23:$K$87,5,FALSE),0)</f>
        <v>0</v>
      </c>
      <c r="AK692" s="1152">
        <f t="shared" si="193"/>
        <v>4506.0904542504131</v>
      </c>
      <c r="AL692" s="1153">
        <f t="shared" si="194"/>
        <v>0</v>
      </c>
      <c r="AM692" s="1153">
        <f t="shared" si="195"/>
        <v>500.67671713893481</v>
      </c>
      <c r="AN692" s="1145">
        <f t="shared" si="196"/>
        <v>0</v>
      </c>
      <c r="AO692" s="1154">
        <f t="shared" si="197"/>
        <v>5006.7671713893478</v>
      </c>
      <c r="AP692" s="1147">
        <f t="shared" si="183"/>
        <v>0</v>
      </c>
      <c r="AQ692" s="1144">
        <f t="shared" si="184"/>
        <v>0</v>
      </c>
      <c r="AR692" s="1146">
        <f t="shared" si="185"/>
        <v>5006.7671713893478</v>
      </c>
    </row>
    <row r="693" spans="1:44" x14ac:dyDescent="0.2">
      <c r="A693" s="1141" t="str">
        <f t="shared" si="180"/>
        <v>1510</v>
      </c>
      <c r="B693" s="1141" t="str">
        <f>IFERROR(VLOOKUP(A693,'LAC 103'!A:C,3,FALSE),"")</f>
        <v>OP</v>
      </c>
      <c r="C693" s="1478" t="str">
        <f>Info!$B$8</f>
        <v>00100</v>
      </c>
      <c r="D693" s="1474" t="s">
        <v>256</v>
      </c>
      <c r="E693" s="1474" t="s">
        <v>95</v>
      </c>
      <c r="F693" s="1478" t="s">
        <v>77</v>
      </c>
      <c r="G693" s="1478" t="s">
        <v>77</v>
      </c>
      <c r="H693" s="1474" t="s">
        <v>1665</v>
      </c>
      <c r="I693" s="1478" t="s">
        <v>803</v>
      </c>
      <c r="J693" s="1478"/>
      <c r="K693" s="1475" t="s">
        <v>849</v>
      </c>
      <c r="L693" s="1474" t="s">
        <v>77</v>
      </c>
      <c r="M693" s="1476" t="s">
        <v>1698</v>
      </c>
      <c r="N693" s="1477" t="s">
        <v>1693</v>
      </c>
      <c r="O693" s="1479">
        <v>1454</v>
      </c>
      <c r="P693" s="1479"/>
      <c r="Q693" s="1142">
        <f t="shared" si="181"/>
        <v>1454</v>
      </c>
      <c r="R693" s="1143">
        <f>IFERROR(VLOOKUP(CONCATENATE(E693,G693),'LAC 103'!$A$12:$O$95,11,FALSE),0)</f>
        <v>3.2074101033884355</v>
      </c>
      <c r="S693" s="1144">
        <f>IFERROR(VLOOKUP(CONCATENATE($E693,$G693),'LAC 103'!$A$12:$O$95,12,FALSE),0)</f>
        <v>3.99</v>
      </c>
      <c r="T693" s="1144">
        <f>IFERROR(VLOOKUP(CONCATENATE($E693,$G693),'LAC 103'!$A$12:$O$95,13,FALSE),0)</f>
        <v>2.48</v>
      </c>
      <c r="U693" s="1144">
        <f>IFERROR(VLOOKUP(CONCATENATE($E693,$G693),'LAC 103'!$A$12:$O$95,14,FALSE),0)</f>
        <v>0</v>
      </c>
      <c r="V693" s="1144">
        <f>IFERROR(VLOOKUP(CONCATENATE($E693,$G693),'LAC 103'!$A$12:$O$95,15,FALSE),0)</f>
        <v>0</v>
      </c>
      <c r="W693" s="1145" t="str">
        <f>IFERROR(VLOOKUP(CONCATENATE($B693,$N693),'LAC 103'!$AI:$AQ,9,FALSE),"")</f>
        <v>Costs</v>
      </c>
      <c r="X693" s="1146">
        <f t="shared" si="186"/>
        <v>3.2074101033884355</v>
      </c>
      <c r="Y693" s="1143">
        <f t="shared" si="187"/>
        <v>4663.5742903267856</v>
      </c>
      <c r="Z693" s="1147">
        <f t="shared" si="188"/>
        <v>5801.46</v>
      </c>
      <c r="AA693" s="1144">
        <f t="shared" si="189"/>
        <v>3605.92</v>
      </c>
      <c r="AB693" s="1144">
        <f t="shared" si="190"/>
        <v>0</v>
      </c>
      <c r="AC693" s="1144">
        <f t="shared" si="191"/>
        <v>0</v>
      </c>
      <c r="AD693" s="1148">
        <f t="shared" si="182"/>
        <v>4663.5742903267856</v>
      </c>
      <c r="AE693" s="1487">
        <v>0</v>
      </c>
      <c r="AF693" s="1145">
        <f t="shared" si="192"/>
        <v>4663.5742903267856</v>
      </c>
      <c r="AG693" s="1149">
        <f>IFERROR(VLOOKUP(CONCATENATE($L693,$N693),'Drop List'!$G$23:$K$87,2,FALSE),0)</f>
        <v>0.9</v>
      </c>
      <c r="AH693" s="1150">
        <f>IFERROR(VLOOKUP(CONCATENATE($L693,$N693),'Drop List'!$G$23:$K$87,3,FALSE),0)</f>
        <v>0</v>
      </c>
      <c r="AI693" s="1150">
        <f>IFERROR(VLOOKUP(CONCATENATE($L693,$N693),'Drop List'!$G$23:$K$87,4,FALSE),0)</f>
        <v>0.1</v>
      </c>
      <c r="AJ693" s="1151">
        <f>IFERROR(VLOOKUP(CONCATENATE($L693,$N693),'Drop List'!$G$23:$K$87,5,FALSE),0)</f>
        <v>0</v>
      </c>
      <c r="AK693" s="1152">
        <f t="shared" si="193"/>
        <v>4197.2168612941068</v>
      </c>
      <c r="AL693" s="1153">
        <f t="shared" si="194"/>
        <v>0</v>
      </c>
      <c r="AM693" s="1153">
        <f t="shared" si="195"/>
        <v>466.35742903267857</v>
      </c>
      <c r="AN693" s="1145">
        <f t="shared" si="196"/>
        <v>0</v>
      </c>
      <c r="AO693" s="1154">
        <f t="shared" si="197"/>
        <v>4663.5742903267856</v>
      </c>
      <c r="AP693" s="1147">
        <f t="shared" si="183"/>
        <v>0</v>
      </c>
      <c r="AQ693" s="1144">
        <f t="shared" si="184"/>
        <v>0</v>
      </c>
      <c r="AR693" s="1146">
        <f t="shared" si="185"/>
        <v>4663.5742903267856</v>
      </c>
    </row>
    <row r="694" spans="1:44" x14ac:dyDescent="0.2">
      <c r="A694" s="1141" t="str">
        <f t="shared" si="180"/>
        <v>1510</v>
      </c>
      <c r="B694" s="1141" t="str">
        <f>IFERROR(VLOOKUP(A694,'LAC 103'!A:C,3,FALSE),"")</f>
        <v>OP</v>
      </c>
      <c r="C694" s="1478" t="str">
        <f>Info!$B$8</f>
        <v>00100</v>
      </c>
      <c r="D694" s="1474" t="s">
        <v>256</v>
      </c>
      <c r="E694" s="1474" t="s">
        <v>95</v>
      </c>
      <c r="F694" s="1478" t="s">
        <v>77</v>
      </c>
      <c r="G694" s="1478" t="s">
        <v>77</v>
      </c>
      <c r="H694" s="1474" t="s">
        <v>1665</v>
      </c>
      <c r="I694" s="1478" t="s">
        <v>803</v>
      </c>
      <c r="J694" s="1478"/>
      <c r="K694" s="1475" t="s">
        <v>971</v>
      </c>
      <c r="L694" s="1474" t="s">
        <v>332</v>
      </c>
      <c r="M694" s="1476" t="s">
        <v>1699</v>
      </c>
      <c r="N694" s="1477" t="s">
        <v>1694</v>
      </c>
      <c r="O694" s="1479">
        <v>221</v>
      </c>
      <c r="P694" s="1479"/>
      <c r="Q694" s="1142">
        <f t="shared" si="181"/>
        <v>221</v>
      </c>
      <c r="R694" s="1143">
        <f>IFERROR(VLOOKUP(CONCATENATE(E694,G694),'LAC 103'!$A$12:$O$95,11,FALSE),0)</f>
        <v>3.2074101033884355</v>
      </c>
      <c r="S694" s="1144">
        <f>IFERROR(VLOOKUP(CONCATENATE($E694,$G694),'LAC 103'!$A$12:$O$95,12,FALSE),0)</f>
        <v>3.99</v>
      </c>
      <c r="T694" s="1144">
        <f>IFERROR(VLOOKUP(CONCATENATE($E694,$G694),'LAC 103'!$A$12:$O$95,13,FALSE),0)</f>
        <v>2.48</v>
      </c>
      <c r="U694" s="1144">
        <f>IFERROR(VLOOKUP(CONCATENATE($E694,$G694),'LAC 103'!$A$12:$O$95,14,FALSE),0)</f>
        <v>0</v>
      </c>
      <c r="V694" s="1144">
        <f>IFERROR(VLOOKUP(CONCATENATE($E694,$G694),'LAC 103'!$A$12:$O$95,15,FALSE),0)</f>
        <v>0</v>
      </c>
      <c r="W694" s="1145" t="str">
        <f>IFERROR(VLOOKUP(CONCATENATE($B694,$N694),'LAC 103'!$AI:$AQ,9,FALSE),"")</f>
        <v>Costs</v>
      </c>
      <c r="X694" s="1146">
        <f t="shared" si="186"/>
        <v>3.2074101033884355</v>
      </c>
      <c r="Y694" s="1143">
        <f t="shared" si="187"/>
        <v>708.83763284884424</v>
      </c>
      <c r="Z694" s="1147">
        <f t="shared" si="188"/>
        <v>881.79000000000008</v>
      </c>
      <c r="AA694" s="1144">
        <f t="shared" si="189"/>
        <v>548.08000000000004</v>
      </c>
      <c r="AB694" s="1144">
        <f t="shared" si="190"/>
        <v>0</v>
      </c>
      <c r="AC694" s="1144">
        <f t="shared" si="191"/>
        <v>0</v>
      </c>
      <c r="AD694" s="1148">
        <f t="shared" si="182"/>
        <v>708.83763284884424</v>
      </c>
      <c r="AE694" s="1487">
        <v>0</v>
      </c>
      <c r="AF694" s="1145">
        <f t="shared" si="192"/>
        <v>708.83763284884424</v>
      </c>
      <c r="AG694" s="1149">
        <f>IFERROR(VLOOKUP(CONCATENATE($L694,$N694),'Drop List'!$G$23:$K$87,2,FALSE),0)</f>
        <v>0</v>
      </c>
      <c r="AH694" s="1150">
        <f>IFERROR(VLOOKUP(CONCATENATE($L694,$N694),'Drop List'!$G$23:$K$87,3,FALSE),0)</f>
        <v>0</v>
      </c>
      <c r="AI694" s="1150">
        <f>IFERROR(VLOOKUP(CONCATENATE($L694,$N694),'Drop List'!$G$23:$K$87,4,FALSE),0)</f>
        <v>0</v>
      </c>
      <c r="AJ694" s="1151">
        <f>IFERROR(VLOOKUP(CONCATENATE($L694,$N694),'Drop List'!$G$23:$K$87,5,FALSE),0)</f>
        <v>0</v>
      </c>
      <c r="AK694" s="1152">
        <f t="shared" si="193"/>
        <v>0</v>
      </c>
      <c r="AL694" s="1153">
        <f t="shared" si="194"/>
        <v>0</v>
      </c>
      <c r="AM694" s="1153">
        <f t="shared" si="195"/>
        <v>0</v>
      </c>
      <c r="AN694" s="1145">
        <f t="shared" si="196"/>
        <v>0</v>
      </c>
      <c r="AO694" s="1154">
        <f t="shared" si="197"/>
        <v>0</v>
      </c>
      <c r="AP694" s="1147">
        <f t="shared" si="183"/>
        <v>708.83763284884424</v>
      </c>
      <c r="AQ694" s="1144">
        <f t="shared" si="184"/>
        <v>0</v>
      </c>
      <c r="AR694" s="1146">
        <f t="shared" si="185"/>
        <v>708.83763284884424</v>
      </c>
    </row>
    <row r="695" spans="1:44" x14ac:dyDescent="0.2">
      <c r="A695" s="1141" t="str">
        <f t="shared" si="180"/>
        <v>1510</v>
      </c>
      <c r="B695" s="1141" t="str">
        <f>IFERROR(VLOOKUP(A695,'LAC 103'!A:C,3,FALSE),"")</f>
        <v>OP</v>
      </c>
      <c r="C695" s="1478" t="str">
        <f>Info!$B$8</f>
        <v>00100</v>
      </c>
      <c r="D695" s="1474" t="s">
        <v>256</v>
      </c>
      <c r="E695" s="1474" t="s">
        <v>95</v>
      </c>
      <c r="F695" s="1478" t="s">
        <v>77</v>
      </c>
      <c r="G695" s="1478" t="s">
        <v>77</v>
      </c>
      <c r="H695" s="1474" t="s">
        <v>1665</v>
      </c>
      <c r="I695" s="1478" t="s">
        <v>803</v>
      </c>
      <c r="J695" s="1478"/>
      <c r="K695" s="1475" t="s">
        <v>851</v>
      </c>
      <c r="L695" s="1474" t="s">
        <v>584</v>
      </c>
      <c r="M695" s="1476" t="s">
        <v>1699</v>
      </c>
      <c r="N695" s="1477" t="s">
        <v>1694</v>
      </c>
      <c r="O695" s="1479">
        <v>2069</v>
      </c>
      <c r="P695" s="1479"/>
      <c r="Q695" s="1142">
        <f t="shared" si="181"/>
        <v>2069</v>
      </c>
      <c r="R695" s="1143">
        <f>IFERROR(VLOOKUP(CONCATENATE(E695,G695),'LAC 103'!$A$12:$O$95,11,FALSE),0)</f>
        <v>3.2074101033884355</v>
      </c>
      <c r="S695" s="1144">
        <f>IFERROR(VLOOKUP(CONCATENATE($E695,$G695),'LAC 103'!$A$12:$O$95,12,FALSE),0)</f>
        <v>3.99</v>
      </c>
      <c r="T695" s="1144">
        <f>IFERROR(VLOOKUP(CONCATENATE($E695,$G695),'LAC 103'!$A$12:$O$95,13,FALSE),0)</f>
        <v>2.48</v>
      </c>
      <c r="U695" s="1144">
        <f>IFERROR(VLOOKUP(CONCATENATE($E695,$G695),'LAC 103'!$A$12:$O$95,14,FALSE),0)</f>
        <v>0</v>
      </c>
      <c r="V695" s="1144">
        <f>IFERROR(VLOOKUP(CONCATENATE($E695,$G695),'LAC 103'!$A$12:$O$95,15,FALSE),0)</f>
        <v>0</v>
      </c>
      <c r="W695" s="1145" t="str">
        <f>IFERROR(VLOOKUP(CONCATENATE($B695,$N695),'LAC 103'!$AI:$AQ,9,FALSE),"")</f>
        <v>Costs</v>
      </c>
      <c r="X695" s="1146">
        <f t="shared" si="186"/>
        <v>3.2074101033884355</v>
      </c>
      <c r="Y695" s="1143">
        <f t="shared" si="187"/>
        <v>6636.131503910673</v>
      </c>
      <c r="Z695" s="1147">
        <f t="shared" si="188"/>
        <v>8255.3100000000013</v>
      </c>
      <c r="AA695" s="1144">
        <f t="shared" si="189"/>
        <v>5131.12</v>
      </c>
      <c r="AB695" s="1144">
        <f t="shared" si="190"/>
        <v>0</v>
      </c>
      <c r="AC695" s="1144">
        <f t="shared" si="191"/>
        <v>0</v>
      </c>
      <c r="AD695" s="1148">
        <f t="shared" si="182"/>
        <v>6636.131503910673</v>
      </c>
      <c r="AE695" s="1487">
        <v>0</v>
      </c>
      <c r="AF695" s="1145">
        <f t="shared" si="192"/>
        <v>6636.131503910673</v>
      </c>
      <c r="AG695" s="1149">
        <f>IFERROR(VLOOKUP(CONCATENATE($L695,$N695),'Drop List'!$G$23:$K$87,2,FALSE),0)</f>
        <v>0.56200000000000006</v>
      </c>
      <c r="AH695" s="1150">
        <f>IFERROR(VLOOKUP(CONCATENATE($L695,$N695),'Drop List'!$G$23:$K$87,3,FALSE),0)</f>
        <v>0</v>
      </c>
      <c r="AI695" s="1150">
        <f>IFERROR(VLOOKUP(CONCATENATE($L695,$N695),'Drop List'!$G$23:$K$87,4,FALSE),0)</f>
        <v>0</v>
      </c>
      <c r="AJ695" s="1151">
        <f>IFERROR(VLOOKUP(CONCATENATE($L695,$N695),'Drop List'!$G$23:$K$87,5,FALSE),0)</f>
        <v>0.43799999999999994</v>
      </c>
      <c r="AK695" s="1152">
        <f t="shared" si="193"/>
        <v>3729.5059051977987</v>
      </c>
      <c r="AL695" s="1153">
        <f t="shared" si="194"/>
        <v>0</v>
      </c>
      <c r="AM695" s="1153">
        <f t="shared" si="195"/>
        <v>0</v>
      </c>
      <c r="AN695" s="1145">
        <f t="shared" si="196"/>
        <v>2906.6255987128743</v>
      </c>
      <c r="AO695" s="1154">
        <f t="shared" si="197"/>
        <v>6636.131503910673</v>
      </c>
      <c r="AP695" s="1147">
        <f t="shared" si="183"/>
        <v>0</v>
      </c>
      <c r="AQ695" s="1144">
        <f t="shared" si="184"/>
        <v>0</v>
      </c>
      <c r="AR695" s="1146">
        <f t="shared" si="185"/>
        <v>6636.131503910673</v>
      </c>
    </row>
    <row r="696" spans="1:44" x14ac:dyDescent="0.2">
      <c r="A696" s="1141" t="str">
        <f t="shared" si="180"/>
        <v>1510</v>
      </c>
      <c r="B696" s="1141" t="str">
        <f>IFERROR(VLOOKUP(A696,'LAC 103'!A:C,3,FALSE),"")</f>
        <v>OP</v>
      </c>
      <c r="C696" s="1478" t="str">
        <f>Info!$B$8</f>
        <v>00100</v>
      </c>
      <c r="D696" s="1474" t="s">
        <v>256</v>
      </c>
      <c r="E696" s="1474" t="s">
        <v>95</v>
      </c>
      <c r="F696" s="1478" t="s">
        <v>77</v>
      </c>
      <c r="G696" s="1478" t="s">
        <v>77</v>
      </c>
      <c r="H696" s="1474" t="s">
        <v>1665</v>
      </c>
      <c r="I696" s="1478" t="s">
        <v>803</v>
      </c>
      <c r="J696" s="1478"/>
      <c r="K696" s="1475" t="s">
        <v>851</v>
      </c>
      <c r="L696" s="1474" t="s">
        <v>584</v>
      </c>
      <c r="M696" s="1476" t="s">
        <v>841</v>
      </c>
      <c r="N696" s="1477" t="s">
        <v>1695</v>
      </c>
      <c r="O696" s="1479">
        <v>811</v>
      </c>
      <c r="P696" s="1479"/>
      <c r="Q696" s="1142">
        <f t="shared" si="181"/>
        <v>811</v>
      </c>
      <c r="R696" s="1143">
        <f>IFERROR(VLOOKUP(CONCATENATE(E696,G696),'LAC 103'!$A$12:$O$95,11,FALSE),0)</f>
        <v>3.2074101033884355</v>
      </c>
      <c r="S696" s="1144">
        <f>IFERROR(VLOOKUP(CONCATENATE($E696,$G696),'LAC 103'!$A$12:$O$95,12,FALSE),0)</f>
        <v>3.99</v>
      </c>
      <c r="T696" s="1144">
        <f>IFERROR(VLOOKUP(CONCATENATE($E696,$G696),'LAC 103'!$A$12:$O$95,13,FALSE),0)</f>
        <v>2.48</v>
      </c>
      <c r="U696" s="1144">
        <f>IFERROR(VLOOKUP(CONCATENATE($E696,$G696),'LAC 103'!$A$12:$O$95,14,FALSE),0)</f>
        <v>0</v>
      </c>
      <c r="V696" s="1144">
        <f>IFERROR(VLOOKUP(CONCATENATE($E696,$G696),'LAC 103'!$A$12:$O$95,15,FALSE),0)</f>
        <v>0</v>
      </c>
      <c r="W696" s="1145" t="str">
        <f>IFERROR(VLOOKUP(CONCATENATE($B696,$N696),'LAC 103'!$AI:$AQ,9,FALSE),"")</f>
        <v>Costs</v>
      </c>
      <c r="X696" s="1146">
        <f t="shared" si="186"/>
        <v>3.2074101033884355</v>
      </c>
      <c r="Y696" s="1143">
        <f t="shared" si="187"/>
        <v>2601.2095938480211</v>
      </c>
      <c r="Z696" s="1147">
        <f t="shared" si="188"/>
        <v>3235.8900000000003</v>
      </c>
      <c r="AA696" s="1144">
        <f t="shared" si="189"/>
        <v>2011.28</v>
      </c>
      <c r="AB696" s="1144">
        <f t="shared" si="190"/>
        <v>0</v>
      </c>
      <c r="AC696" s="1144">
        <f t="shared" si="191"/>
        <v>0</v>
      </c>
      <c r="AD696" s="1148">
        <f t="shared" si="182"/>
        <v>2601.2095938480211</v>
      </c>
      <c r="AE696" s="1487">
        <v>0</v>
      </c>
      <c r="AF696" s="1145">
        <f t="shared" si="192"/>
        <v>2601.2095938480211</v>
      </c>
      <c r="AG696" s="1149">
        <f>IFERROR(VLOOKUP(CONCATENATE($L696,$N696),'Drop List'!$G$23:$K$87,2,FALSE),0)</f>
        <v>0.55000000000000004</v>
      </c>
      <c r="AH696" s="1150">
        <f>IFERROR(VLOOKUP(CONCATENATE($L696,$N696),'Drop List'!$G$23:$K$87,3,FALSE),0)</f>
        <v>0</v>
      </c>
      <c r="AI696" s="1150">
        <f>IFERROR(VLOOKUP(CONCATENATE($L696,$N696),'Drop List'!$G$23:$K$87,4,FALSE),0)</f>
        <v>0</v>
      </c>
      <c r="AJ696" s="1151">
        <f>IFERROR(VLOOKUP(CONCATENATE($L696,$N696),'Drop List'!$G$23:$K$87,5,FALSE),0)</f>
        <v>0.44999999999999996</v>
      </c>
      <c r="AK696" s="1152">
        <f t="shared" si="193"/>
        <v>1430.6652766164118</v>
      </c>
      <c r="AL696" s="1153">
        <f t="shared" si="194"/>
        <v>0</v>
      </c>
      <c r="AM696" s="1153">
        <f t="shared" si="195"/>
        <v>0</v>
      </c>
      <c r="AN696" s="1145">
        <f t="shared" si="196"/>
        <v>1170.5443172316093</v>
      </c>
      <c r="AO696" s="1154">
        <f t="shared" si="197"/>
        <v>2601.2095938480211</v>
      </c>
      <c r="AP696" s="1147">
        <f t="shared" si="183"/>
        <v>0</v>
      </c>
      <c r="AQ696" s="1144">
        <f t="shared" si="184"/>
        <v>0</v>
      </c>
      <c r="AR696" s="1146">
        <f t="shared" si="185"/>
        <v>2601.2095938480211</v>
      </c>
    </row>
    <row r="697" spans="1:44" x14ac:dyDescent="0.2">
      <c r="A697" s="1141" t="str">
        <f t="shared" si="180"/>
        <v>1510</v>
      </c>
      <c r="B697" s="1141" t="str">
        <f>IFERROR(VLOOKUP(A697,'LAC 103'!A:C,3,FALSE),"")</f>
        <v>OP</v>
      </c>
      <c r="C697" s="1478" t="str">
        <f>Info!$B$8</f>
        <v>00100</v>
      </c>
      <c r="D697" s="1474" t="s">
        <v>256</v>
      </c>
      <c r="E697" s="1474" t="s">
        <v>95</v>
      </c>
      <c r="F697" s="1478" t="s">
        <v>77</v>
      </c>
      <c r="G697" s="1478" t="s">
        <v>77</v>
      </c>
      <c r="H697" s="1474" t="s">
        <v>1665</v>
      </c>
      <c r="I697" s="1478" t="s">
        <v>803</v>
      </c>
      <c r="J697" s="1478"/>
      <c r="K697" s="1475" t="s">
        <v>851</v>
      </c>
      <c r="L697" s="1474" t="s">
        <v>584</v>
      </c>
      <c r="M697" s="1476" t="s">
        <v>840</v>
      </c>
      <c r="N697" s="1477" t="s">
        <v>1700</v>
      </c>
      <c r="O697" s="1479">
        <v>699</v>
      </c>
      <c r="P697" s="1479"/>
      <c r="Q697" s="1142">
        <f t="shared" si="181"/>
        <v>699</v>
      </c>
      <c r="R697" s="1143">
        <f>IFERROR(VLOOKUP(CONCATENATE(E697,G697),'LAC 103'!$A$12:$O$95,11,FALSE),0)</f>
        <v>3.2074101033884355</v>
      </c>
      <c r="S697" s="1144">
        <f>IFERROR(VLOOKUP(CONCATENATE($E697,$G697),'LAC 103'!$A$12:$O$95,12,FALSE),0)</f>
        <v>3.99</v>
      </c>
      <c r="T697" s="1144">
        <f>IFERROR(VLOOKUP(CONCATENATE($E697,$G697),'LAC 103'!$A$12:$O$95,13,FALSE),0)</f>
        <v>2.48</v>
      </c>
      <c r="U697" s="1144">
        <f>IFERROR(VLOOKUP(CONCATENATE($E697,$G697),'LAC 103'!$A$12:$O$95,14,FALSE),0)</f>
        <v>0</v>
      </c>
      <c r="V697" s="1144">
        <f>IFERROR(VLOOKUP(CONCATENATE($E697,$G697),'LAC 103'!$A$12:$O$95,15,FALSE),0)</f>
        <v>0</v>
      </c>
      <c r="W697" s="1145" t="str">
        <f>IFERROR(VLOOKUP(CONCATENATE($B697,$N697),'LAC 103'!$AI:$AQ,9,FALSE),"")</f>
        <v>P.C.</v>
      </c>
      <c r="X697" s="1146">
        <f t="shared" si="186"/>
        <v>2.48</v>
      </c>
      <c r="Y697" s="1143">
        <f t="shared" si="187"/>
        <v>2241.9796622685162</v>
      </c>
      <c r="Z697" s="1147">
        <f t="shared" si="188"/>
        <v>2789.01</v>
      </c>
      <c r="AA697" s="1144">
        <f t="shared" si="189"/>
        <v>1733.52</v>
      </c>
      <c r="AB697" s="1144">
        <f t="shared" si="190"/>
        <v>0</v>
      </c>
      <c r="AC697" s="1144">
        <f t="shared" si="191"/>
        <v>0</v>
      </c>
      <c r="AD697" s="1148">
        <f t="shared" si="182"/>
        <v>1733.52</v>
      </c>
      <c r="AE697" s="1487">
        <v>0</v>
      </c>
      <c r="AF697" s="1145">
        <f t="shared" si="192"/>
        <v>1733.52</v>
      </c>
      <c r="AG697" s="1149">
        <f>IFERROR(VLOOKUP(CONCATENATE($L697,$N697),'Drop List'!$G$23:$K$87,2,FALSE),0)</f>
        <v>0.55000000000000004</v>
      </c>
      <c r="AH697" s="1150">
        <f>IFERROR(VLOOKUP(CONCATENATE($L697,$N697),'Drop List'!$G$23:$K$87,3,FALSE),0)</f>
        <v>0</v>
      </c>
      <c r="AI697" s="1150">
        <f>IFERROR(VLOOKUP(CONCATENATE($L697,$N697),'Drop List'!$G$23:$K$87,4,FALSE),0)</f>
        <v>0</v>
      </c>
      <c r="AJ697" s="1151">
        <f>IFERROR(VLOOKUP(CONCATENATE($L697,$N697),'Drop List'!$G$23:$K$87,5,FALSE),0)</f>
        <v>0.44999999999999996</v>
      </c>
      <c r="AK697" s="1152">
        <f t="shared" si="193"/>
        <v>953.43600000000004</v>
      </c>
      <c r="AL697" s="1153">
        <f t="shared" si="194"/>
        <v>0</v>
      </c>
      <c r="AM697" s="1153">
        <f t="shared" si="195"/>
        <v>0</v>
      </c>
      <c r="AN697" s="1145">
        <f t="shared" si="196"/>
        <v>780.08399999999995</v>
      </c>
      <c r="AO697" s="1154">
        <f t="shared" si="197"/>
        <v>1733.52</v>
      </c>
      <c r="AP697" s="1147">
        <f t="shared" si="183"/>
        <v>0</v>
      </c>
      <c r="AQ697" s="1144">
        <f t="shared" si="184"/>
        <v>0</v>
      </c>
      <c r="AR697" s="1146">
        <f t="shared" si="185"/>
        <v>1733.52</v>
      </c>
    </row>
    <row r="698" spans="1:44" x14ac:dyDescent="0.2">
      <c r="A698" s="1141" t="str">
        <f t="shared" si="180"/>
        <v>1510</v>
      </c>
      <c r="B698" s="1141" t="str">
        <f>IFERROR(VLOOKUP(A698,'LAC 103'!A:C,3,FALSE),"")</f>
        <v>OP</v>
      </c>
      <c r="C698" s="1478" t="str">
        <f>Info!$B$8</f>
        <v>00100</v>
      </c>
      <c r="D698" s="1474" t="s">
        <v>256</v>
      </c>
      <c r="E698" s="1474" t="s">
        <v>95</v>
      </c>
      <c r="F698" s="1478" t="s">
        <v>77</v>
      </c>
      <c r="G698" s="1478" t="s">
        <v>77</v>
      </c>
      <c r="H698" s="1474" t="s">
        <v>1665</v>
      </c>
      <c r="I698" s="1478" t="s">
        <v>803</v>
      </c>
      <c r="J698" s="1478"/>
      <c r="K698" s="1475" t="s">
        <v>851</v>
      </c>
      <c r="L698" s="1474" t="s">
        <v>584</v>
      </c>
      <c r="M698" s="1476" t="s">
        <v>842</v>
      </c>
      <c r="N698" s="1477" t="s">
        <v>1692</v>
      </c>
      <c r="O698" s="1479">
        <v>642</v>
      </c>
      <c r="P698" s="1479"/>
      <c r="Q698" s="1142">
        <f t="shared" si="181"/>
        <v>642</v>
      </c>
      <c r="R698" s="1143">
        <f>IFERROR(VLOOKUP(CONCATENATE(E698,G698),'LAC 103'!$A$12:$O$95,11,FALSE),0)</f>
        <v>3.2074101033884355</v>
      </c>
      <c r="S698" s="1144">
        <f>IFERROR(VLOOKUP(CONCATENATE($E698,$G698),'LAC 103'!$A$12:$O$95,12,FALSE),0)</f>
        <v>3.99</v>
      </c>
      <c r="T698" s="1144">
        <f>IFERROR(VLOOKUP(CONCATENATE($E698,$G698),'LAC 103'!$A$12:$O$95,13,FALSE),0)</f>
        <v>2.48</v>
      </c>
      <c r="U698" s="1144">
        <f>IFERROR(VLOOKUP(CONCATENATE($E698,$G698),'LAC 103'!$A$12:$O$95,14,FALSE),0)</f>
        <v>0</v>
      </c>
      <c r="V698" s="1144">
        <f>IFERROR(VLOOKUP(CONCATENATE($E698,$G698),'LAC 103'!$A$12:$O$95,15,FALSE),0)</f>
        <v>0</v>
      </c>
      <c r="W698" s="1145" t="str">
        <f>IFERROR(VLOOKUP(CONCATENATE($B698,$N698),'LAC 103'!$AI:$AQ,9,FALSE),"")</f>
        <v>Costs</v>
      </c>
      <c r="X698" s="1146">
        <f t="shared" si="186"/>
        <v>3.2074101033884355</v>
      </c>
      <c r="Y698" s="1143">
        <f t="shared" si="187"/>
        <v>2059.1572863753754</v>
      </c>
      <c r="Z698" s="1147">
        <f t="shared" si="188"/>
        <v>2561.58</v>
      </c>
      <c r="AA698" s="1144">
        <f t="shared" si="189"/>
        <v>1592.16</v>
      </c>
      <c r="AB698" s="1144">
        <f t="shared" si="190"/>
        <v>0</v>
      </c>
      <c r="AC698" s="1144">
        <f t="shared" si="191"/>
        <v>0</v>
      </c>
      <c r="AD698" s="1148">
        <f t="shared" si="182"/>
        <v>2059.1572863753754</v>
      </c>
      <c r="AE698" s="1487">
        <v>0</v>
      </c>
      <c r="AF698" s="1145">
        <f t="shared" si="192"/>
        <v>2059.1572863753754</v>
      </c>
      <c r="AG698" s="1149">
        <f>IFERROR(VLOOKUP(CONCATENATE($L698,$N698),'Drop List'!$G$23:$K$87,2,FALSE),0)</f>
        <v>0.56200000000000006</v>
      </c>
      <c r="AH698" s="1150">
        <f>IFERROR(VLOOKUP(CONCATENATE($L698,$N698),'Drop List'!$G$23:$K$87,3,FALSE),0)</f>
        <v>0</v>
      </c>
      <c r="AI698" s="1150">
        <f>IFERROR(VLOOKUP(CONCATENATE($L698,$N698),'Drop List'!$G$23:$K$87,4,FALSE),0)</f>
        <v>0</v>
      </c>
      <c r="AJ698" s="1151">
        <f>IFERROR(VLOOKUP(CONCATENATE($L698,$N698),'Drop List'!$G$23:$K$87,5,FALSE),0)</f>
        <v>0.43799999999999994</v>
      </c>
      <c r="AK698" s="1152">
        <f t="shared" si="193"/>
        <v>1157.2463949429612</v>
      </c>
      <c r="AL698" s="1153">
        <f t="shared" si="194"/>
        <v>0</v>
      </c>
      <c r="AM698" s="1153">
        <f t="shared" si="195"/>
        <v>0</v>
      </c>
      <c r="AN698" s="1145">
        <f t="shared" si="196"/>
        <v>901.91089143241436</v>
      </c>
      <c r="AO698" s="1154">
        <f t="shared" si="197"/>
        <v>2059.1572863753754</v>
      </c>
      <c r="AP698" s="1147">
        <f t="shared" si="183"/>
        <v>0</v>
      </c>
      <c r="AQ698" s="1144">
        <f t="shared" si="184"/>
        <v>0</v>
      </c>
      <c r="AR698" s="1146">
        <f t="shared" si="185"/>
        <v>2059.1572863753754</v>
      </c>
    </row>
    <row r="699" spans="1:44" x14ac:dyDescent="0.2">
      <c r="A699" s="1141" t="str">
        <f t="shared" si="180"/>
        <v>1510</v>
      </c>
      <c r="B699" s="1141" t="str">
        <f>IFERROR(VLOOKUP(A699,'LAC 103'!A:C,3,FALSE),"")</f>
        <v>OP</v>
      </c>
      <c r="C699" s="1478" t="str">
        <f>Info!$B$8</f>
        <v>00100</v>
      </c>
      <c r="D699" s="1474" t="s">
        <v>256</v>
      </c>
      <c r="E699" s="1474" t="s">
        <v>95</v>
      </c>
      <c r="F699" s="1478" t="s">
        <v>77</v>
      </c>
      <c r="G699" s="1478" t="s">
        <v>77</v>
      </c>
      <c r="H699" s="1474" t="s">
        <v>1665</v>
      </c>
      <c r="I699" s="1478" t="s">
        <v>803</v>
      </c>
      <c r="J699" s="1478"/>
      <c r="K699" s="1475" t="s">
        <v>851</v>
      </c>
      <c r="L699" s="1474" t="s">
        <v>584</v>
      </c>
      <c r="M699" s="1476" t="s">
        <v>1698</v>
      </c>
      <c r="N699" s="1477" t="s">
        <v>1693</v>
      </c>
      <c r="O699" s="1479">
        <v>558</v>
      </c>
      <c r="P699" s="1479"/>
      <c r="Q699" s="1142">
        <f t="shared" si="181"/>
        <v>558</v>
      </c>
      <c r="R699" s="1143">
        <f>IFERROR(VLOOKUP(CONCATENATE(E699,G699),'LAC 103'!$A$12:$O$95,11,FALSE),0)</f>
        <v>3.2074101033884355</v>
      </c>
      <c r="S699" s="1144">
        <f>IFERROR(VLOOKUP(CONCATENATE($E699,$G699),'LAC 103'!$A$12:$O$95,12,FALSE),0)</f>
        <v>3.99</v>
      </c>
      <c r="T699" s="1144">
        <f>IFERROR(VLOOKUP(CONCATENATE($E699,$G699),'LAC 103'!$A$12:$O$95,13,FALSE),0)</f>
        <v>2.48</v>
      </c>
      <c r="U699" s="1144">
        <f>IFERROR(VLOOKUP(CONCATENATE($E699,$G699),'LAC 103'!$A$12:$O$95,14,FALSE),0)</f>
        <v>0</v>
      </c>
      <c r="V699" s="1144">
        <f>IFERROR(VLOOKUP(CONCATENATE($E699,$G699),'LAC 103'!$A$12:$O$95,15,FALSE),0)</f>
        <v>0</v>
      </c>
      <c r="W699" s="1145" t="str">
        <f>IFERROR(VLOOKUP(CONCATENATE($B699,$N699),'LAC 103'!$AI:$AQ,9,FALSE),"")</f>
        <v>Costs</v>
      </c>
      <c r="X699" s="1146">
        <f t="shared" si="186"/>
        <v>3.2074101033884355</v>
      </c>
      <c r="Y699" s="1143">
        <f t="shared" si="187"/>
        <v>1789.7348376907471</v>
      </c>
      <c r="Z699" s="1147">
        <f t="shared" si="188"/>
        <v>2226.42</v>
      </c>
      <c r="AA699" s="1144">
        <f t="shared" si="189"/>
        <v>1383.84</v>
      </c>
      <c r="AB699" s="1144">
        <f t="shared" si="190"/>
        <v>0</v>
      </c>
      <c r="AC699" s="1144">
        <f t="shared" si="191"/>
        <v>0</v>
      </c>
      <c r="AD699" s="1148">
        <f t="shared" si="182"/>
        <v>1789.7348376907471</v>
      </c>
      <c r="AE699" s="1487">
        <v>0</v>
      </c>
      <c r="AF699" s="1145">
        <f t="shared" si="192"/>
        <v>1789.7348376907471</v>
      </c>
      <c r="AG699" s="1149">
        <f>IFERROR(VLOOKUP(CONCATENATE($L699,$N699),'Drop List'!$G$23:$K$87,2,FALSE),0)</f>
        <v>0.56200000000000006</v>
      </c>
      <c r="AH699" s="1150">
        <f>IFERROR(VLOOKUP(CONCATENATE($L699,$N699),'Drop List'!$G$23:$K$87,3,FALSE),0)</f>
        <v>0</v>
      </c>
      <c r="AI699" s="1150">
        <f>IFERROR(VLOOKUP(CONCATENATE($L699,$N699),'Drop List'!$G$23:$K$87,4,FALSE),0)</f>
        <v>0</v>
      </c>
      <c r="AJ699" s="1151">
        <f>IFERROR(VLOOKUP(CONCATENATE($L699,$N699),'Drop List'!$G$23:$K$87,5,FALSE),0)</f>
        <v>0.43799999999999994</v>
      </c>
      <c r="AK699" s="1152">
        <f t="shared" si="193"/>
        <v>1005.8309787822</v>
      </c>
      <c r="AL699" s="1153">
        <f t="shared" si="194"/>
        <v>0</v>
      </c>
      <c r="AM699" s="1153">
        <f t="shared" si="195"/>
        <v>0</v>
      </c>
      <c r="AN699" s="1145">
        <f t="shared" si="196"/>
        <v>783.90385890854714</v>
      </c>
      <c r="AO699" s="1154">
        <f t="shared" si="197"/>
        <v>1789.7348376907471</v>
      </c>
      <c r="AP699" s="1147">
        <f t="shared" si="183"/>
        <v>0</v>
      </c>
      <c r="AQ699" s="1144">
        <f t="shared" si="184"/>
        <v>0</v>
      </c>
      <c r="AR699" s="1146">
        <f t="shared" si="185"/>
        <v>1789.7348376907471</v>
      </c>
    </row>
    <row r="700" spans="1:44" x14ac:dyDescent="0.2">
      <c r="A700" s="1141" t="str">
        <f t="shared" si="180"/>
        <v>1510</v>
      </c>
      <c r="B700" s="1141" t="str">
        <f>IFERROR(VLOOKUP(A700,'LAC 103'!A:C,3,FALSE),"")</f>
        <v>OP</v>
      </c>
      <c r="C700" s="1478" t="str">
        <f>Info!$B$8</f>
        <v>00100</v>
      </c>
      <c r="D700" s="1474" t="s">
        <v>256</v>
      </c>
      <c r="E700" s="1474" t="s">
        <v>95</v>
      </c>
      <c r="F700" s="1478" t="s">
        <v>77</v>
      </c>
      <c r="G700" s="1478" t="s">
        <v>77</v>
      </c>
      <c r="H700" s="1474" t="s">
        <v>1057</v>
      </c>
      <c r="I700" s="1478" t="s">
        <v>798</v>
      </c>
      <c r="J700" s="1478" t="s">
        <v>123</v>
      </c>
      <c r="K700" s="1475" t="s">
        <v>847</v>
      </c>
      <c r="L700" s="1474" t="s">
        <v>582</v>
      </c>
      <c r="M700" s="1476" t="s">
        <v>1699</v>
      </c>
      <c r="N700" s="1477" t="s">
        <v>1694</v>
      </c>
      <c r="O700" s="1479">
        <v>21155</v>
      </c>
      <c r="P700" s="1479"/>
      <c r="Q700" s="1142">
        <f t="shared" si="181"/>
        <v>21155</v>
      </c>
      <c r="R700" s="1143">
        <f>IFERROR(VLOOKUP(CONCATENATE(E700,G700),'LAC 103'!$A$12:$O$95,11,FALSE),0)</f>
        <v>3.2074101033884355</v>
      </c>
      <c r="S700" s="1144">
        <f>IFERROR(VLOOKUP(CONCATENATE($E700,$G700),'LAC 103'!$A$12:$O$95,12,FALSE),0)</f>
        <v>3.99</v>
      </c>
      <c r="T700" s="1144">
        <f>IFERROR(VLOOKUP(CONCATENATE($E700,$G700),'LAC 103'!$A$12:$O$95,13,FALSE),0)</f>
        <v>2.48</v>
      </c>
      <c r="U700" s="1144">
        <f>IFERROR(VLOOKUP(CONCATENATE($E700,$G700),'LAC 103'!$A$12:$O$95,14,FALSE),0)</f>
        <v>0</v>
      </c>
      <c r="V700" s="1144">
        <f>IFERROR(VLOOKUP(CONCATENATE($E700,$G700),'LAC 103'!$A$12:$O$95,15,FALSE),0)</f>
        <v>0</v>
      </c>
      <c r="W700" s="1145" t="str">
        <f>IFERROR(VLOOKUP(CONCATENATE($B700,$N700),'LAC 103'!$AI:$AQ,9,FALSE),"")</f>
        <v>Costs</v>
      </c>
      <c r="X700" s="1146">
        <f t="shared" si="186"/>
        <v>3.2074101033884355</v>
      </c>
      <c r="Y700" s="1143">
        <f t="shared" si="187"/>
        <v>67852.760737182354</v>
      </c>
      <c r="Z700" s="1147">
        <f t="shared" si="188"/>
        <v>84408.450000000012</v>
      </c>
      <c r="AA700" s="1144">
        <f t="shared" si="189"/>
        <v>52464.4</v>
      </c>
      <c r="AB700" s="1144">
        <f t="shared" si="190"/>
        <v>0</v>
      </c>
      <c r="AC700" s="1144">
        <f t="shared" si="191"/>
        <v>0</v>
      </c>
      <c r="AD700" s="1148">
        <f t="shared" si="182"/>
        <v>67852.760737182354</v>
      </c>
      <c r="AE700" s="1487">
        <v>0</v>
      </c>
      <c r="AF700" s="1145">
        <f t="shared" si="192"/>
        <v>67852.760737182354</v>
      </c>
      <c r="AG700" s="1149">
        <f>IFERROR(VLOOKUP(CONCATENATE($L700,$N700),'Drop List'!$G$23:$K$87,2,FALSE),0)</f>
        <v>0.56200000000000006</v>
      </c>
      <c r="AH700" s="1150">
        <f>IFERROR(VLOOKUP(CONCATENATE($L700,$N700),'Drop List'!$G$23:$K$87,3,FALSE),0)</f>
        <v>0.43799999999999994</v>
      </c>
      <c r="AI700" s="1150">
        <f>IFERROR(VLOOKUP(CONCATENATE($L700,$N700),'Drop List'!$G$23:$K$87,4,FALSE),0)</f>
        <v>0</v>
      </c>
      <c r="AJ700" s="1151">
        <f>IFERROR(VLOOKUP(CONCATENATE($L700,$N700),'Drop List'!$G$23:$K$87,5,FALSE),0)</f>
        <v>0</v>
      </c>
      <c r="AK700" s="1152">
        <f t="shared" si="193"/>
        <v>38133.251534296483</v>
      </c>
      <c r="AL700" s="1153">
        <f t="shared" si="194"/>
        <v>29719.509202885867</v>
      </c>
      <c r="AM700" s="1153">
        <f t="shared" si="195"/>
        <v>0</v>
      </c>
      <c r="AN700" s="1145">
        <f t="shared" si="196"/>
        <v>0</v>
      </c>
      <c r="AO700" s="1154">
        <f t="shared" si="197"/>
        <v>67852.760737182354</v>
      </c>
      <c r="AP700" s="1147">
        <f t="shared" si="183"/>
        <v>0</v>
      </c>
      <c r="AQ700" s="1144">
        <f t="shared" si="184"/>
        <v>0</v>
      </c>
      <c r="AR700" s="1146">
        <f t="shared" si="185"/>
        <v>67852.760737182354</v>
      </c>
    </row>
    <row r="701" spans="1:44" x14ac:dyDescent="0.2">
      <c r="A701" s="1141" t="str">
        <f t="shared" ref="A701:A763" si="198">IF(CONCATENATE(E701,G701)="","",CONCATENATE(E701,G701))</f>
        <v>1510</v>
      </c>
      <c r="B701" s="1141" t="str">
        <f>IFERROR(VLOOKUP(A701,'LAC 103'!A:C,3,FALSE),"")</f>
        <v>OP</v>
      </c>
      <c r="C701" s="1478" t="str">
        <f>Info!$B$8</f>
        <v>00100</v>
      </c>
      <c r="D701" s="1474" t="s">
        <v>256</v>
      </c>
      <c r="E701" s="1474" t="s">
        <v>95</v>
      </c>
      <c r="F701" s="1478" t="s">
        <v>77</v>
      </c>
      <c r="G701" s="1478" t="s">
        <v>77</v>
      </c>
      <c r="H701" s="1474" t="s">
        <v>1057</v>
      </c>
      <c r="I701" s="1478" t="s">
        <v>798</v>
      </c>
      <c r="J701" s="1478"/>
      <c r="K701" s="1475" t="s">
        <v>847</v>
      </c>
      <c r="L701" s="1474" t="s">
        <v>582</v>
      </c>
      <c r="M701" s="1476" t="s">
        <v>841</v>
      </c>
      <c r="N701" s="1477" t="s">
        <v>1695</v>
      </c>
      <c r="O701" s="1479">
        <v>5870</v>
      </c>
      <c r="P701" s="1479"/>
      <c r="Q701" s="1142">
        <f t="shared" ref="Q701:Q763" si="199">O701+P701</f>
        <v>5870</v>
      </c>
      <c r="R701" s="1143">
        <f>IFERROR(VLOOKUP(CONCATENATE(E701,G701),'LAC 103'!$A$12:$O$95,11,FALSE),0)</f>
        <v>3.2074101033884355</v>
      </c>
      <c r="S701" s="1144">
        <f>IFERROR(VLOOKUP(CONCATENATE($E701,$G701),'LAC 103'!$A$12:$O$95,12,FALSE),0)</f>
        <v>3.99</v>
      </c>
      <c r="T701" s="1144">
        <f>IFERROR(VLOOKUP(CONCATENATE($E701,$G701),'LAC 103'!$A$12:$O$95,13,FALSE),0)</f>
        <v>2.48</v>
      </c>
      <c r="U701" s="1144">
        <f>IFERROR(VLOOKUP(CONCATENATE($E701,$G701),'LAC 103'!$A$12:$O$95,14,FALSE),0)</f>
        <v>0</v>
      </c>
      <c r="V701" s="1144">
        <f>IFERROR(VLOOKUP(CONCATENATE($E701,$G701),'LAC 103'!$A$12:$O$95,15,FALSE),0)</f>
        <v>0</v>
      </c>
      <c r="W701" s="1145" t="str">
        <f>IFERROR(VLOOKUP(CONCATENATE($B701,$N701),'LAC 103'!$AI:$AQ,9,FALSE),"")</f>
        <v>Costs</v>
      </c>
      <c r="X701" s="1146">
        <f t="shared" si="186"/>
        <v>3.2074101033884355</v>
      </c>
      <c r="Y701" s="1143">
        <f t="shared" si="187"/>
        <v>18827.497306890116</v>
      </c>
      <c r="Z701" s="1147">
        <f t="shared" si="188"/>
        <v>23421.300000000003</v>
      </c>
      <c r="AA701" s="1144">
        <f t="shared" si="189"/>
        <v>14557.6</v>
      </c>
      <c r="AB701" s="1144">
        <f t="shared" si="190"/>
        <v>0</v>
      </c>
      <c r="AC701" s="1144">
        <f t="shared" si="191"/>
        <v>0</v>
      </c>
      <c r="AD701" s="1148">
        <f t="shared" si="182"/>
        <v>18827.497306890116</v>
      </c>
      <c r="AE701" s="1487">
        <v>0</v>
      </c>
      <c r="AF701" s="1145">
        <f t="shared" si="192"/>
        <v>18827.497306890116</v>
      </c>
      <c r="AG701" s="1149">
        <f>IFERROR(VLOOKUP(CONCATENATE($L701,$N701),'Drop List'!$G$23:$K$87,2,FALSE),0)</f>
        <v>0.55000000000000004</v>
      </c>
      <c r="AH701" s="1150">
        <f>IFERROR(VLOOKUP(CONCATENATE($L701,$N701),'Drop List'!$G$23:$K$87,3,FALSE),0)</f>
        <v>0.44999999999999996</v>
      </c>
      <c r="AI701" s="1150">
        <f>IFERROR(VLOOKUP(CONCATENATE($L701,$N701),'Drop List'!$G$23:$K$87,4,FALSE),0)</f>
        <v>0</v>
      </c>
      <c r="AJ701" s="1151">
        <f>IFERROR(VLOOKUP(CONCATENATE($L701,$N701),'Drop List'!$G$23:$K$87,5,FALSE),0)</f>
        <v>0</v>
      </c>
      <c r="AK701" s="1152">
        <f t="shared" si="193"/>
        <v>10355.123518789565</v>
      </c>
      <c r="AL701" s="1153">
        <f t="shared" si="194"/>
        <v>8472.3737881005509</v>
      </c>
      <c r="AM701" s="1153">
        <f t="shared" si="195"/>
        <v>0</v>
      </c>
      <c r="AN701" s="1145">
        <f t="shared" si="196"/>
        <v>0</v>
      </c>
      <c r="AO701" s="1154">
        <f t="shared" si="197"/>
        <v>18827.497306890116</v>
      </c>
      <c r="AP701" s="1147">
        <f t="shared" si="183"/>
        <v>0</v>
      </c>
      <c r="AQ701" s="1144">
        <f t="shared" si="184"/>
        <v>0</v>
      </c>
      <c r="AR701" s="1146">
        <f t="shared" si="185"/>
        <v>18827.497306890116</v>
      </c>
    </row>
    <row r="702" spans="1:44" x14ac:dyDescent="0.2">
      <c r="A702" s="1141" t="str">
        <f t="shared" si="198"/>
        <v>1510</v>
      </c>
      <c r="B702" s="1141" t="str">
        <f>IFERROR(VLOOKUP(A702,'LAC 103'!A:C,3,FALSE),"")</f>
        <v>OP</v>
      </c>
      <c r="C702" s="1478" t="str">
        <f>Info!$B$8</f>
        <v>00100</v>
      </c>
      <c r="D702" s="1474" t="s">
        <v>256</v>
      </c>
      <c r="E702" s="1474" t="s">
        <v>95</v>
      </c>
      <c r="F702" s="1478" t="s">
        <v>77</v>
      </c>
      <c r="G702" s="1478" t="s">
        <v>77</v>
      </c>
      <c r="H702" s="1474" t="s">
        <v>1057</v>
      </c>
      <c r="I702" s="1478" t="s">
        <v>798</v>
      </c>
      <c r="J702" s="1478"/>
      <c r="K702" s="1475" t="s">
        <v>847</v>
      </c>
      <c r="L702" s="1474" t="s">
        <v>582</v>
      </c>
      <c r="M702" s="1476" t="s">
        <v>840</v>
      </c>
      <c r="N702" s="1477" t="s">
        <v>1700</v>
      </c>
      <c r="O702" s="1479">
        <v>3753</v>
      </c>
      <c r="P702" s="1479"/>
      <c r="Q702" s="1142">
        <f t="shared" si="199"/>
        <v>3753</v>
      </c>
      <c r="R702" s="1143">
        <f>IFERROR(VLOOKUP(CONCATENATE(E702,G702),'LAC 103'!$A$12:$O$95,11,FALSE),0)</f>
        <v>3.2074101033884355</v>
      </c>
      <c r="S702" s="1144">
        <f>IFERROR(VLOOKUP(CONCATENATE($E702,$G702),'LAC 103'!$A$12:$O$95,12,FALSE),0)</f>
        <v>3.99</v>
      </c>
      <c r="T702" s="1144">
        <f>IFERROR(VLOOKUP(CONCATENATE($E702,$G702),'LAC 103'!$A$12:$O$95,13,FALSE),0)</f>
        <v>2.48</v>
      </c>
      <c r="U702" s="1144">
        <f>IFERROR(VLOOKUP(CONCATENATE($E702,$G702),'LAC 103'!$A$12:$O$95,14,FALSE),0)</f>
        <v>0</v>
      </c>
      <c r="V702" s="1144">
        <f>IFERROR(VLOOKUP(CONCATENATE($E702,$G702),'LAC 103'!$A$12:$O$95,15,FALSE),0)</f>
        <v>0</v>
      </c>
      <c r="W702" s="1145" t="str">
        <f>IFERROR(VLOOKUP(CONCATENATE($B702,$N702),'LAC 103'!$AI:$AQ,9,FALSE),"")</f>
        <v>P.C.</v>
      </c>
      <c r="X702" s="1146">
        <f t="shared" si="186"/>
        <v>2.48</v>
      </c>
      <c r="Y702" s="1143">
        <f t="shared" si="187"/>
        <v>12037.410118016798</v>
      </c>
      <c r="Z702" s="1147">
        <f t="shared" si="188"/>
        <v>14974.470000000001</v>
      </c>
      <c r="AA702" s="1144">
        <f t="shared" si="189"/>
        <v>9307.44</v>
      </c>
      <c r="AB702" s="1144">
        <f t="shared" si="190"/>
        <v>0</v>
      </c>
      <c r="AC702" s="1144">
        <f t="shared" si="191"/>
        <v>0</v>
      </c>
      <c r="AD702" s="1148">
        <f t="shared" si="182"/>
        <v>9307.44</v>
      </c>
      <c r="AE702" s="1487">
        <v>0</v>
      </c>
      <c r="AF702" s="1145">
        <f t="shared" si="192"/>
        <v>9307.44</v>
      </c>
      <c r="AG702" s="1149">
        <f>IFERROR(VLOOKUP(CONCATENATE($L702,$N702),'Drop List'!$G$23:$K$87,2,FALSE),0)</f>
        <v>0.55000000000000004</v>
      </c>
      <c r="AH702" s="1150">
        <f>IFERROR(VLOOKUP(CONCATENATE($L702,$N702),'Drop List'!$G$23:$K$87,3,FALSE),0)</f>
        <v>0.44999999999999996</v>
      </c>
      <c r="AI702" s="1150">
        <f>IFERROR(VLOOKUP(CONCATENATE($L702,$N702),'Drop List'!$G$23:$K$87,4,FALSE),0)</f>
        <v>0</v>
      </c>
      <c r="AJ702" s="1151">
        <f>IFERROR(VLOOKUP(CONCATENATE($L702,$N702),'Drop List'!$G$23:$K$87,5,FALSE),0)</f>
        <v>0</v>
      </c>
      <c r="AK702" s="1152">
        <f t="shared" si="193"/>
        <v>5119.0920000000006</v>
      </c>
      <c r="AL702" s="1153">
        <f t="shared" si="194"/>
        <v>4188.348</v>
      </c>
      <c r="AM702" s="1153">
        <f t="shared" si="195"/>
        <v>0</v>
      </c>
      <c r="AN702" s="1145">
        <f t="shared" si="196"/>
        <v>0</v>
      </c>
      <c r="AO702" s="1154">
        <f t="shared" si="197"/>
        <v>9307.44</v>
      </c>
      <c r="AP702" s="1147">
        <f t="shared" si="183"/>
        <v>0</v>
      </c>
      <c r="AQ702" s="1144">
        <f t="shared" si="184"/>
        <v>0</v>
      </c>
      <c r="AR702" s="1146">
        <f t="shared" si="185"/>
        <v>9307.44</v>
      </c>
    </row>
    <row r="703" spans="1:44" x14ac:dyDescent="0.2">
      <c r="A703" s="1141" t="str">
        <f t="shared" si="198"/>
        <v>1510</v>
      </c>
      <c r="B703" s="1141" t="str">
        <f>IFERROR(VLOOKUP(A703,'LAC 103'!A:C,3,FALSE),"")</f>
        <v>OP</v>
      </c>
      <c r="C703" s="1478" t="str">
        <f>Info!$B$8</f>
        <v>00100</v>
      </c>
      <c r="D703" s="1474" t="s">
        <v>256</v>
      </c>
      <c r="E703" s="1474" t="s">
        <v>95</v>
      </c>
      <c r="F703" s="1478" t="s">
        <v>77</v>
      </c>
      <c r="G703" s="1478" t="s">
        <v>77</v>
      </c>
      <c r="H703" s="1474" t="s">
        <v>1057</v>
      </c>
      <c r="I703" s="1478" t="s">
        <v>798</v>
      </c>
      <c r="J703" s="1478"/>
      <c r="K703" s="1475" t="s">
        <v>847</v>
      </c>
      <c r="L703" s="1474" t="s">
        <v>582</v>
      </c>
      <c r="M703" s="1476" t="s">
        <v>842</v>
      </c>
      <c r="N703" s="1477" t="s">
        <v>1692</v>
      </c>
      <c r="O703" s="1479">
        <v>19487</v>
      </c>
      <c r="P703" s="1479"/>
      <c r="Q703" s="1142">
        <f t="shared" si="199"/>
        <v>19487</v>
      </c>
      <c r="R703" s="1143">
        <f>IFERROR(VLOOKUP(CONCATENATE(E703,G703),'LAC 103'!$A$12:$O$95,11,FALSE),0)</f>
        <v>3.2074101033884355</v>
      </c>
      <c r="S703" s="1144">
        <f>IFERROR(VLOOKUP(CONCATENATE($E703,$G703),'LAC 103'!$A$12:$O$95,12,FALSE),0)</f>
        <v>3.99</v>
      </c>
      <c r="T703" s="1144">
        <f>IFERROR(VLOOKUP(CONCATENATE($E703,$G703),'LAC 103'!$A$12:$O$95,13,FALSE),0)</f>
        <v>2.48</v>
      </c>
      <c r="U703" s="1144">
        <f>IFERROR(VLOOKUP(CONCATENATE($E703,$G703),'LAC 103'!$A$12:$O$95,14,FALSE),0)</f>
        <v>0</v>
      </c>
      <c r="V703" s="1144">
        <f>IFERROR(VLOOKUP(CONCATENATE($E703,$G703),'LAC 103'!$A$12:$O$95,15,FALSE),0)</f>
        <v>0</v>
      </c>
      <c r="W703" s="1145" t="str">
        <f>IFERROR(VLOOKUP(CONCATENATE($B703,$N703),'LAC 103'!$AI:$AQ,9,FALSE),"")</f>
        <v>Costs</v>
      </c>
      <c r="X703" s="1146">
        <f t="shared" si="186"/>
        <v>3.2074101033884355</v>
      </c>
      <c r="Y703" s="1143">
        <f t="shared" si="187"/>
        <v>62502.800684730442</v>
      </c>
      <c r="Z703" s="1147">
        <f t="shared" si="188"/>
        <v>77753.13</v>
      </c>
      <c r="AA703" s="1144">
        <f t="shared" si="189"/>
        <v>48327.76</v>
      </c>
      <c r="AB703" s="1144">
        <f t="shared" si="190"/>
        <v>0</v>
      </c>
      <c r="AC703" s="1144">
        <f t="shared" si="191"/>
        <v>0</v>
      </c>
      <c r="AD703" s="1148">
        <f t="shared" si="182"/>
        <v>62502.800684730442</v>
      </c>
      <c r="AE703" s="1487">
        <v>0</v>
      </c>
      <c r="AF703" s="1145">
        <f t="shared" si="192"/>
        <v>62502.800684730442</v>
      </c>
      <c r="AG703" s="1149">
        <f>IFERROR(VLOOKUP(CONCATENATE($L703,$N703),'Drop List'!$G$23:$K$87,2,FALSE),0)</f>
        <v>0.56200000000000006</v>
      </c>
      <c r="AH703" s="1150">
        <f>IFERROR(VLOOKUP(CONCATENATE($L703,$N703),'Drop List'!$G$23:$K$87,3,FALSE),0)</f>
        <v>0.43799999999999994</v>
      </c>
      <c r="AI703" s="1150">
        <f>IFERROR(VLOOKUP(CONCATENATE($L703,$N703),'Drop List'!$G$23:$K$87,4,FALSE),0)</f>
        <v>0</v>
      </c>
      <c r="AJ703" s="1151">
        <f>IFERROR(VLOOKUP(CONCATENATE($L703,$N703),'Drop List'!$G$23:$K$87,5,FALSE),0)</f>
        <v>0</v>
      </c>
      <c r="AK703" s="1152">
        <f t="shared" si="193"/>
        <v>35126.573984818511</v>
      </c>
      <c r="AL703" s="1153">
        <f t="shared" si="194"/>
        <v>27376.226699911931</v>
      </c>
      <c r="AM703" s="1153">
        <f t="shared" si="195"/>
        <v>0</v>
      </c>
      <c r="AN703" s="1145">
        <f t="shared" si="196"/>
        <v>0</v>
      </c>
      <c r="AO703" s="1154">
        <f t="shared" si="197"/>
        <v>62502.800684730442</v>
      </c>
      <c r="AP703" s="1147">
        <f t="shared" si="183"/>
        <v>0</v>
      </c>
      <c r="AQ703" s="1144">
        <f t="shared" si="184"/>
        <v>0</v>
      </c>
      <c r="AR703" s="1146">
        <f t="shared" si="185"/>
        <v>62502.800684730442</v>
      </c>
    </row>
    <row r="704" spans="1:44" x14ac:dyDescent="0.2">
      <c r="A704" s="1141" t="str">
        <f t="shared" si="198"/>
        <v>1510</v>
      </c>
      <c r="B704" s="1141" t="str">
        <f>IFERROR(VLOOKUP(A704,'LAC 103'!A:C,3,FALSE),"")</f>
        <v>OP</v>
      </c>
      <c r="C704" s="1478" t="str">
        <f>Info!$B$8</f>
        <v>00100</v>
      </c>
      <c r="D704" s="1474" t="s">
        <v>256</v>
      </c>
      <c r="E704" s="1474" t="s">
        <v>95</v>
      </c>
      <c r="F704" s="1478" t="s">
        <v>77</v>
      </c>
      <c r="G704" s="1478" t="s">
        <v>77</v>
      </c>
      <c r="H704" s="1474" t="s">
        <v>1057</v>
      </c>
      <c r="I704" s="1478" t="s">
        <v>798</v>
      </c>
      <c r="J704" s="1478"/>
      <c r="K704" s="1475" t="s">
        <v>847</v>
      </c>
      <c r="L704" s="1474" t="s">
        <v>582</v>
      </c>
      <c r="M704" s="1476" t="s">
        <v>1698</v>
      </c>
      <c r="N704" s="1477" t="s">
        <v>1693</v>
      </c>
      <c r="O704" s="1479">
        <v>21318</v>
      </c>
      <c r="P704" s="1479"/>
      <c r="Q704" s="1142">
        <f t="shared" si="199"/>
        <v>21318</v>
      </c>
      <c r="R704" s="1143">
        <f>IFERROR(VLOOKUP(CONCATENATE(E704,G704),'LAC 103'!$A$12:$O$95,11,FALSE),0)</f>
        <v>3.2074101033884355</v>
      </c>
      <c r="S704" s="1144">
        <f>IFERROR(VLOOKUP(CONCATENATE($E704,$G704),'LAC 103'!$A$12:$O$95,12,FALSE),0)</f>
        <v>3.99</v>
      </c>
      <c r="T704" s="1144">
        <f>IFERROR(VLOOKUP(CONCATENATE($E704,$G704),'LAC 103'!$A$12:$O$95,13,FALSE),0)</f>
        <v>2.48</v>
      </c>
      <c r="U704" s="1144">
        <f>IFERROR(VLOOKUP(CONCATENATE($E704,$G704),'LAC 103'!$A$12:$O$95,14,FALSE),0)</f>
        <v>0</v>
      </c>
      <c r="V704" s="1144">
        <f>IFERROR(VLOOKUP(CONCATENATE($E704,$G704),'LAC 103'!$A$12:$O$95,15,FALSE),0)</f>
        <v>0</v>
      </c>
      <c r="W704" s="1145" t="str">
        <f>IFERROR(VLOOKUP(CONCATENATE($B704,$N704),'LAC 103'!$AI:$AQ,9,FALSE),"")</f>
        <v>Costs</v>
      </c>
      <c r="X704" s="1146">
        <f t="shared" si="186"/>
        <v>3.2074101033884355</v>
      </c>
      <c r="Y704" s="1143">
        <f t="shared" si="187"/>
        <v>68375.56858403467</v>
      </c>
      <c r="Z704" s="1147">
        <f t="shared" si="188"/>
        <v>85058.82</v>
      </c>
      <c r="AA704" s="1144">
        <f t="shared" si="189"/>
        <v>52868.639999999999</v>
      </c>
      <c r="AB704" s="1144">
        <f t="shared" si="190"/>
        <v>0</v>
      </c>
      <c r="AC704" s="1144">
        <f t="shared" si="191"/>
        <v>0</v>
      </c>
      <c r="AD704" s="1148">
        <f t="shared" si="182"/>
        <v>68375.56858403467</v>
      </c>
      <c r="AE704" s="1487">
        <v>0</v>
      </c>
      <c r="AF704" s="1145">
        <f t="shared" si="192"/>
        <v>68375.56858403467</v>
      </c>
      <c r="AG704" s="1149">
        <f>IFERROR(VLOOKUP(CONCATENATE($L704,$N704),'Drop List'!$G$23:$K$87,2,FALSE),0)</f>
        <v>0.56200000000000006</v>
      </c>
      <c r="AH704" s="1150">
        <f>IFERROR(VLOOKUP(CONCATENATE($L704,$N704),'Drop List'!$G$23:$K$87,3,FALSE),0)</f>
        <v>0.43799999999999994</v>
      </c>
      <c r="AI704" s="1150">
        <f>IFERROR(VLOOKUP(CONCATENATE($L704,$N704),'Drop List'!$G$23:$K$87,4,FALSE),0)</f>
        <v>0</v>
      </c>
      <c r="AJ704" s="1151">
        <f>IFERROR(VLOOKUP(CONCATENATE($L704,$N704),'Drop List'!$G$23:$K$87,5,FALSE),0)</f>
        <v>0</v>
      </c>
      <c r="AK704" s="1152">
        <f t="shared" si="193"/>
        <v>38427.069544227488</v>
      </c>
      <c r="AL704" s="1153">
        <f t="shared" si="194"/>
        <v>29948.499039807182</v>
      </c>
      <c r="AM704" s="1153">
        <f t="shared" si="195"/>
        <v>0</v>
      </c>
      <c r="AN704" s="1145">
        <f t="shared" si="196"/>
        <v>0</v>
      </c>
      <c r="AO704" s="1154">
        <f t="shared" si="197"/>
        <v>68375.56858403467</v>
      </c>
      <c r="AP704" s="1147">
        <f t="shared" si="183"/>
        <v>0</v>
      </c>
      <c r="AQ704" s="1144">
        <f t="shared" si="184"/>
        <v>0</v>
      </c>
      <c r="AR704" s="1146">
        <f t="shared" si="185"/>
        <v>68375.56858403467</v>
      </c>
    </row>
    <row r="705" spans="1:44" x14ac:dyDescent="0.2">
      <c r="A705" s="1141" t="str">
        <f t="shared" si="198"/>
        <v>1510</v>
      </c>
      <c r="B705" s="1141" t="str">
        <f>IFERROR(VLOOKUP(A705,'LAC 103'!A:C,3,FALSE),"")</f>
        <v>OP</v>
      </c>
      <c r="C705" s="1478" t="str">
        <f>Info!$B$8</f>
        <v>00100</v>
      </c>
      <c r="D705" s="1474" t="s">
        <v>256</v>
      </c>
      <c r="E705" s="1474" t="s">
        <v>95</v>
      </c>
      <c r="F705" s="1478" t="s">
        <v>77</v>
      </c>
      <c r="G705" s="1478" t="s">
        <v>77</v>
      </c>
      <c r="H705" s="1474" t="s">
        <v>1057</v>
      </c>
      <c r="I705" s="1478" t="s">
        <v>798</v>
      </c>
      <c r="J705" s="1478"/>
      <c r="K705" s="1475" t="s">
        <v>848</v>
      </c>
      <c r="L705" s="1474" t="s">
        <v>45</v>
      </c>
      <c r="M705" s="1476" t="s">
        <v>1699</v>
      </c>
      <c r="N705" s="1477" t="s">
        <v>1694</v>
      </c>
      <c r="O705" s="1479">
        <v>3029</v>
      </c>
      <c r="P705" s="1479"/>
      <c r="Q705" s="1142">
        <f t="shared" si="199"/>
        <v>3029</v>
      </c>
      <c r="R705" s="1143">
        <f>IFERROR(VLOOKUP(CONCATENATE(E705,G705),'LAC 103'!$A$12:$O$95,11,FALSE),0)</f>
        <v>3.2074101033884355</v>
      </c>
      <c r="S705" s="1144">
        <f>IFERROR(VLOOKUP(CONCATENATE($E705,$G705),'LAC 103'!$A$12:$O$95,12,FALSE),0)</f>
        <v>3.99</v>
      </c>
      <c r="T705" s="1144">
        <f>IFERROR(VLOOKUP(CONCATENATE($E705,$G705),'LAC 103'!$A$12:$O$95,13,FALSE),0)</f>
        <v>2.48</v>
      </c>
      <c r="U705" s="1144">
        <f>IFERROR(VLOOKUP(CONCATENATE($E705,$G705),'LAC 103'!$A$12:$O$95,14,FALSE),0)</f>
        <v>0</v>
      </c>
      <c r="V705" s="1144">
        <f>IFERROR(VLOOKUP(CONCATENATE($E705,$G705),'LAC 103'!$A$12:$O$95,15,FALSE),0)</f>
        <v>0</v>
      </c>
      <c r="W705" s="1145" t="str">
        <f>IFERROR(VLOOKUP(CONCATENATE($B705,$N705),'LAC 103'!$AI:$AQ,9,FALSE),"")</f>
        <v>Costs</v>
      </c>
      <c r="X705" s="1146">
        <f t="shared" si="186"/>
        <v>3.2074101033884355</v>
      </c>
      <c r="Y705" s="1143">
        <f t="shared" si="187"/>
        <v>9715.2452031635712</v>
      </c>
      <c r="Z705" s="1147">
        <f t="shared" si="188"/>
        <v>12085.710000000001</v>
      </c>
      <c r="AA705" s="1144">
        <f t="shared" si="189"/>
        <v>7511.92</v>
      </c>
      <c r="AB705" s="1144">
        <f t="shared" si="190"/>
        <v>0</v>
      </c>
      <c r="AC705" s="1144">
        <f t="shared" si="191"/>
        <v>0</v>
      </c>
      <c r="AD705" s="1148">
        <f t="shared" si="182"/>
        <v>9715.2452031635712</v>
      </c>
      <c r="AE705" s="1487">
        <v>0</v>
      </c>
      <c r="AF705" s="1145">
        <f t="shared" si="192"/>
        <v>9715.2452031635712</v>
      </c>
      <c r="AG705" s="1149">
        <f>IFERROR(VLOOKUP(CONCATENATE($L705,$N705),'Drop List'!$G$23:$K$87,2,FALSE),0)</f>
        <v>0.69340000000000002</v>
      </c>
      <c r="AH705" s="1150">
        <f>IFERROR(VLOOKUP(CONCATENATE($L705,$N705),'Drop List'!$G$23:$K$87,3,FALSE),0)</f>
        <v>0.30659999999999998</v>
      </c>
      <c r="AI705" s="1150">
        <f>IFERROR(VLOOKUP(CONCATENATE($L705,$N705),'Drop List'!$G$23:$K$87,4,FALSE),0)</f>
        <v>0</v>
      </c>
      <c r="AJ705" s="1151">
        <f>IFERROR(VLOOKUP(CONCATENATE($L705,$N705),'Drop List'!$G$23:$K$87,5,FALSE),0)</f>
        <v>0</v>
      </c>
      <c r="AK705" s="1152">
        <f t="shared" si="193"/>
        <v>6736.5510238736206</v>
      </c>
      <c r="AL705" s="1153">
        <f t="shared" si="194"/>
        <v>2978.6941792899506</v>
      </c>
      <c r="AM705" s="1153">
        <f t="shared" si="195"/>
        <v>0</v>
      </c>
      <c r="AN705" s="1145">
        <f t="shared" si="196"/>
        <v>0</v>
      </c>
      <c r="AO705" s="1154">
        <f t="shared" si="197"/>
        <v>9715.2452031635712</v>
      </c>
      <c r="AP705" s="1147">
        <f t="shared" si="183"/>
        <v>0</v>
      </c>
      <c r="AQ705" s="1144">
        <f t="shared" si="184"/>
        <v>0</v>
      </c>
      <c r="AR705" s="1146">
        <f t="shared" si="185"/>
        <v>9715.2452031635712</v>
      </c>
    </row>
    <row r="706" spans="1:44" x14ac:dyDescent="0.2">
      <c r="A706" s="1141" t="str">
        <f t="shared" si="198"/>
        <v>1510</v>
      </c>
      <c r="B706" s="1141" t="str">
        <f>IFERROR(VLOOKUP(A706,'LAC 103'!A:C,3,FALSE),"")</f>
        <v>OP</v>
      </c>
      <c r="C706" s="1478" t="str">
        <f>Info!$B$8</f>
        <v>00100</v>
      </c>
      <c r="D706" s="1474" t="s">
        <v>256</v>
      </c>
      <c r="E706" s="1474" t="s">
        <v>95</v>
      </c>
      <c r="F706" s="1478" t="s">
        <v>77</v>
      </c>
      <c r="G706" s="1478" t="s">
        <v>77</v>
      </c>
      <c r="H706" s="1474" t="s">
        <v>1057</v>
      </c>
      <c r="I706" s="1478" t="s">
        <v>798</v>
      </c>
      <c r="J706" s="1478"/>
      <c r="K706" s="1475" t="s">
        <v>848</v>
      </c>
      <c r="L706" s="1474" t="s">
        <v>45</v>
      </c>
      <c r="M706" s="1476" t="s">
        <v>841</v>
      </c>
      <c r="N706" s="1477" t="s">
        <v>1695</v>
      </c>
      <c r="O706" s="1479">
        <v>1103</v>
      </c>
      <c r="P706" s="1479"/>
      <c r="Q706" s="1142">
        <f t="shared" si="199"/>
        <v>1103</v>
      </c>
      <c r="R706" s="1143">
        <f>IFERROR(VLOOKUP(CONCATENATE(E706,G706),'LAC 103'!$A$12:$O$95,11,FALSE),0)</f>
        <v>3.2074101033884355</v>
      </c>
      <c r="S706" s="1144">
        <f>IFERROR(VLOOKUP(CONCATENATE($E706,$G706),'LAC 103'!$A$12:$O$95,12,FALSE),0)</f>
        <v>3.99</v>
      </c>
      <c r="T706" s="1144">
        <f>IFERROR(VLOOKUP(CONCATENATE($E706,$G706),'LAC 103'!$A$12:$O$95,13,FALSE),0)</f>
        <v>2.48</v>
      </c>
      <c r="U706" s="1144">
        <f>IFERROR(VLOOKUP(CONCATENATE($E706,$G706),'LAC 103'!$A$12:$O$95,14,FALSE),0)</f>
        <v>0</v>
      </c>
      <c r="V706" s="1144">
        <f>IFERROR(VLOOKUP(CONCATENATE($E706,$G706),'LAC 103'!$A$12:$O$95,15,FALSE),0)</f>
        <v>0</v>
      </c>
      <c r="W706" s="1145" t="str">
        <f>IFERROR(VLOOKUP(CONCATENATE($B706,$N706),'LAC 103'!$AI:$AQ,9,FALSE),"")</f>
        <v>Costs</v>
      </c>
      <c r="X706" s="1146">
        <f t="shared" si="186"/>
        <v>3.2074101033884355</v>
      </c>
      <c r="Y706" s="1143">
        <f t="shared" si="187"/>
        <v>3537.7733440374445</v>
      </c>
      <c r="Z706" s="1147">
        <f t="shared" si="188"/>
        <v>4400.97</v>
      </c>
      <c r="AA706" s="1144">
        <f t="shared" si="189"/>
        <v>2735.44</v>
      </c>
      <c r="AB706" s="1144">
        <f t="shared" si="190"/>
        <v>0</v>
      </c>
      <c r="AC706" s="1144">
        <f t="shared" si="191"/>
        <v>0</v>
      </c>
      <c r="AD706" s="1148">
        <f t="shared" si="182"/>
        <v>3537.7733440374445</v>
      </c>
      <c r="AE706" s="1487">
        <v>0</v>
      </c>
      <c r="AF706" s="1145">
        <f t="shared" si="192"/>
        <v>3537.7733440374445</v>
      </c>
      <c r="AG706" s="1149">
        <f>IFERROR(VLOOKUP(CONCATENATE($L706,$N706),'Drop List'!$G$23:$K$87,2,FALSE),0)</f>
        <v>0.68500000000000005</v>
      </c>
      <c r="AH706" s="1150">
        <f>IFERROR(VLOOKUP(CONCATENATE($L706,$N706),'Drop List'!$G$23:$K$87,3,FALSE),0)</f>
        <v>0.31499999999999995</v>
      </c>
      <c r="AI706" s="1150">
        <f>IFERROR(VLOOKUP(CONCATENATE($L706,$N706),'Drop List'!$G$23:$K$87,4,FALSE),0)</f>
        <v>0</v>
      </c>
      <c r="AJ706" s="1151">
        <f>IFERROR(VLOOKUP(CONCATENATE($L706,$N706),'Drop List'!$G$23:$K$87,5,FALSE),0)</f>
        <v>0</v>
      </c>
      <c r="AK706" s="1152">
        <f t="shared" si="193"/>
        <v>2423.3747406656498</v>
      </c>
      <c r="AL706" s="1153">
        <f t="shared" si="194"/>
        <v>1114.3986033717949</v>
      </c>
      <c r="AM706" s="1153">
        <f t="shared" si="195"/>
        <v>0</v>
      </c>
      <c r="AN706" s="1145">
        <f t="shared" si="196"/>
        <v>0</v>
      </c>
      <c r="AO706" s="1154">
        <f t="shared" si="197"/>
        <v>3537.773344037445</v>
      </c>
      <c r="AP706" s="1147">
        <f t="shared" si="183"/>
        <v>0</v>
      </c>
      <c r="AQ706" s="1144">
        <f t="shared" si="184"/>
        <v>0</v>
      </c>
      <c r="AR706" s="1146">
        <f t="shared" si="185"/>
        <v>3537.773344037445</v>
      </c>
    </row>
    <row r="707" spans="1:44" x14ac:dyDescent="0.2">
      <c r="A707" s="1141" t="str">
        <f t="shared" si="198"/>
        <v>1510</v>
      </c>
      <c r="B707" s="1141" t="str">
        <f>IFERROR(VLOOKUP(A707,'LAC 103'!A:C,3,FALSE),"")</f>
        <v>OP</v>
      </c>
      <c r="C707" s="1478" t="str">
        <f>Info!$B$8</f>
        <v>00100</v>
      </c>
      <c r="D707" s="1474" t="s">
        <v>256</v>
      </c>
      <c r="E707" s="1474" t="s">
        <v>95</v>
      </c>
      <c r="F707" s="1478" t="s">
        <v>77</v>
      </c>
      <c r="G707" s="1478" t="s">
        <v>77</v>
      </c>
      <c r="H707" s="1474" t="s">
        <v>1057</v>
      </c>
      <c r="I707" s="1478" t="s">
        <v>798</v>
      </c>
      <c r="J707" s="1478"/>
      <c r="K707" s="1475" t="s">
        <v>848</v>
      </c>
      <c r="L707" s="1474" t="s">
        <v>45</v>
      </c>
      <c r="M707" s="1476" t="s">
        <v>840</v>
      </c>
      <c r="N707" s="1477" t="s">
        <v>1700</v>
      </c>
      <c r="O707" s="1479">
        <v>220</v>
      </c>
      <c r="P707" s="1479"/>
      <c r="Q707" s="1142">
        <f t="shared" si="199"/>
        <v>220</v>
      </c>
      <c r="R707" s="1143">
        <f>IFERROR(VLOOKUP(CONCATENATE(E707,G707),'LAC 103'!$A$12:$O$95,11,FALSE),0)</f>
        <v>3.2074101033884355</v>
      </c>
      <c r="S707" s="1144">
        <f>IFERROR(VLOOKUP(CONCATENATE($E707,$G707),'LAC 103'!$A$12:$O$95,12,FALSE),0)</f>
        <v>3.99</v>
      </c>
      <c r="T707" s="1144">
        <f>IFERROR(VLOOKUP(CONCATENATE($E707,$G707),'LAC 103'!$A$12:$O$95,13,FALSE),0)</f>
        <v>2.48</v>
      </c>
      <c r="U707" s="1144">
        <f>IFERROR(VLOOKUP(CONCATENATE($E707,$G707),'LAC 103'!$A$12:$O$95,14,FALSE),0)</f>
        <v>0</v>
      </c>
      <c r="V707" s="1144">
        <f>IFERROR(VLOOKUP(CONCATENATE($E707,$G707),'LAC 103'!$A$12:$O$95,15,FALSE),0)</f>
        <v>0</v>
      </c>
      <c r="W707" s="1145" t="str">
        <f>IFERROR(VLOOKUP(CONCATENATE($B707,$N707),'LAC 103'!$AI:$AQ,9,FALSE),"")</f>
        <v>P.C.</v>
      </c>
      <c r="X707" s="1146">
        <f t="shared" si="186"/>
        <v>2.48</v>
      </c>
      <c r="Y707" s="1143">
        <f t="shared" si="187"/>
        <v>705.63022274545585</v>
      </c>
      <c r="Z707" s="1147">
        <f t="shared" si="188"/>
        <v>877.80000000000007</v>
      </c>
      <c r="AA707" s="1144">
        <f t="shared" si="189"/>
        <v>545.6</v>
      </c>
      <c r="AB707" s="1144">
        <f t="shared" si="190"/>
        <v>0</v>
      </c>
      <c r="AC707" s="1144">
        <f t="shared" si="191"/>
        <v>0</v>
      </c>
      <c r="AD707" s="1148">
        <f t="shared" si="182"/>
        <v>545.6</v>
      </c>
      <c r="AE707" s="1487">
        <v>0</v>
      </c>
      <c r="AF707" s="1145">
        <f t="shared" si="192"/>
        <v>545.6</v>
      </c>
      <c r="AG707" s="1149">
        <f>IFERROR(VLOOKUP(CONCATENATE($L707,$N707),'Drop List'!$G$23:$K$87,2,FALSE),0)</f>
        <v>0.68500000000000005</v>
      </c>
      <c r="AH707" s="1150">
        <f>IFERROR(VLOOKUP(CONCATENATE($L707,$N707),'Drop List'!$G$23:$K$87,3,FALSE),0)</f>
        <v>0.31499999999999995</v>
      </c>
      <c r="AI707" s="1150">
        <f>IFERROR(VLOOKUP(CONCATENATE($L707,$N707),'Drop List'!$G$23:$K$87,4,FALSE),0)</f>
        <v>0</v>
      </c>
      <c r="AJ707" s="1151">
        <f>IFERROR(VLOOKUP(CONCATENATE($L707,$N707),'Drop List'!$G$23:$K$87,5,FALSE),0)</f>
        <v>0</v>
      </c>
      <c r="AK707" s="1152">
        <f t="shared" si="193"/>
        <v>373.73600000000005</v>
      </c>
      <c r="AL707" s="1153">
        <f t="shared" si="194"/>
        <v>171.86399999999998</v>
      </c>
      <c r="AM707" s="1153">
        <f t="shared" si="195"/>
        <v>0</v>
      </c>
      <c r="AN707" s="1145">
        <f t="shared" si="196"/>
        <v>0</v>
      </c>
      <c r="AO707" s="1154">
        <f t="shared" si="197"/>
        <v>545.6</v>
      </c>
      <c r="AP707" s="1147">
        <f t="shared" si="183"/>
        <v>0</v>
      </c>
      <c r="AQ707" s="1144">
        <f t="shared" si="184"/>
        <v>0</v>
      </c>
      <c r="AR707" s="1146">
        <f t="shared" si="185"/>
        <v>545.6</v>
      </c>
    </row>
    <row r="708" spans="1:44" x14ac:dyDescent="0.2">
      <c r="A708" s="1141" t="str">
        <f t="shared" si="198"/>
        <v>1510</v>
      </c>
      <c r="B708" s="1141" t="str">
        <f>IFERROR(VLOOKUP(A708,'LAC 103'!A:C,3,FALSE),"")</f>
        <v>OP</v>
      </c>
      <c r="C708" s="1478" t="str">
        <f>Info!$B$8</f>
        <v>00100</v>
      </c>
      <c r="D708" s="1474" t="s">
        <v>256</v>
      </c>
      <c r="E708" s="1474" t="s">
        <v>95</v>
      </c>
      <c r="F708" s="1478" t="s">
        <v>77</v>
      </c>
      <c r="G708" s="1478" t="s">
        <v>77</v>
      </c>
      <c r="H708" s="1474" t="s">
        <v>1057</v>
      </c>
      <c r="I708" s="1478" t="s">
        <v>798</v>
      </c>
      <c r="J708" s="1478"/>
      <c r="K708" s="1475" t="s">
        <v>848</v>
      </c>
      <c r="L708" s="1474" t="s">
        <v>45</v>
      </c>
      <c r="M708" s="1476" t="s">
        <v>1698</v>
      </c>
      <c r="N708" s="1477" t="s">
        <v>1693</v>
      </c>
      <c r="O708" s="1479">
        <v>855</v>
      </c>
      <c r="P708" s="1479"/>
      <c r="Q708" s="1142">
        <f t="shared" si="199"/>
        <v>855</v>
      </c>
      <c r="R708" s="1143">
        <f>IFERROR(VLOOKUP(CONCATENATE(E708,G708),'LAC 103'!$A$12:$O$95,11,FALSE),0)</f>
        <v>3.2074101033884355</v>
      </c>
      <c r="S708" s="1144">
        <f>IFERROR(VLOOKUP(CONCATENATE($E708,$G708),'LAC 103'!$A$12:$O$95,12,FALSE),0)</f>
        <v>3.99</v>
      </c>
      <c r="T708" s="1144">
        <f>IFERROR(VLOOKUP(CONCATENATE($E708,$G708),'LAC 103'!$A$12:$O$95,13,FALSE),0)</f>
        <v>2.48</v>
      </c>
      <c r="U708" s="1144">
        <f>IFERROR(VLOOKUP(CONCATENATE($E708,$G708),'LAC 103'!$A$12:$O$95,14,FALSE),0)</f>
        <v>0</v>
      </c>
      <c r="V708" s="1144">
        <f>IFERROR(VLOOKUP(CONCATENATE($E708,$G708),'LAC 103'!$A$12:$O$95,15,FALSE),0)</f>
        <v>0</v>
      </c>
      <c r="W708" s="1145" t="str">
        <f>IFERROR(VLOOKUP(CONCATENATE($B708,$N708),'LAC 103'!$AI:$AQ,9,FALSE),"")</f>
        <v>Costs</v>
      </c>
      <c r="X708" s="1146">
        <f t="shared" si="186"/>
        <v>3.2074101033884355</v>
      </c>
      <c r="Y708" s="1143">
        <f t="shared" si="187"/>
        <v>2742.3356383971122</v>
      </c>
      <c r="Z708" s="1147">
        <f t="shared" si="188"/>
        <v>3411.4500000000003</v>
      </c>
      <c r="AA708" s="1144">
        <f t="shared" si="189"/>
        <v>2120.4</v>
      </c>
      <c r="AB708" s="1144">
        <f t="shared" si="190"/>
        <v>0</v>
      </c>
      <c r="AC708" s="1144">
        <f t="shared" si="191"/>
        <v>0</v>
      </c>
      <c r="AD708" s="1148">
        <f t="shared" si="182"/>
        <v>2742.3356383971122</v>
      </c>
      <c r="AE708" s="1487">
        <v>0</v>
      </c>
      <c r="AF708" s="1145">
        <f t="shared" si="192"/>
        <v>2742.3356383971122</v>
      </c>
      <c r="AG708" s="1149">
        <f>IFERROR(VLOOKUP(CONCATENATE($L708,$N708),'Drop List'!$G$23:$K$87,2,FALSE),0)</f>
        <v>0.69340000000000002</v>
      </c>
      <c r="AH708" s="1150">
        <f>IFERROR(VLOOKUP(CONCATENATE($L708,$N708),'Drop List'!$G$23:$K$87,3,FALSE),0)</f>
        <v>0.30659999999999998</v>
      </c>
      <c r="AI708" s="1150">
        <f>IFERROR(VLOOKUP(CONCATENATE($L708,$N708),'Drop List'!$G$23:$K$87,4,FALSE),0)</f>
        <v>0</v>
      </c>
      <c r="AJ708" s="1151">
        <f>IFERROR(VLOOKUP(CONCATENATE($L708,$N708),'Drop List'!$G$23:$K$87,5,FALSE),0)</f>
        <v>0</v>
      </c>
      <c r="AK708" s="1152">
        <f t="shared" si="193"/>
        <v>1901.5355316645578</v>
      </c>
      <c r="AL708" s="1153">
        <f t="shared" si="194"/>
        <v>840.80010673255458</v>
      </c>
      <c r="AM708" s="1153">
        <f t="shared" si="195"/>
        <v>0</v>
      </c>
      <c r="AN708" s="1145">
        <f t="shared" si="196"/>
        <v>0</v>
      </c>
      <c r="AO708" s="1154">
        <f t="shared" si="197"/>
        <v>2742.3356383971122</v>
      </c>
      <c r="AP708" s="1147">
        <f t="shared" si="183"/>
        <v>0</v>
      </c>
      <c r="AQ708" s="1144">
        <f t="shared" si="184"/>
        <v>0</v>
      </c>
      <c r="AR708" s="1146">
        <f t="shared" si="185"/>
        <v>2742.3356383971122</v>
      </c>
    </row>
    <row r="709" spans="1:44" x14ac:dyDescent="0.2">
      <c r="A709" s="1141" t="str">
        <f t="shared" si="198"/>
        <v>1510</v>
      </c>
      <c r="B709" s="1141" t="str">
        <f>IFERROR(VLOOKUP(A709,'LAC 103'!A:C,3,FALSE),"")</f>
        <v>OP</v>
      </c>
      <c r="C709" s="1478" t="str">
        <f>Info!$B$8</f>
        <v>00100</v>
      </c>
      <c r="D709" s="1474" t="s">
        <v>256</v>
      </c>
      <c r="E709" s="1474" t="s">
        <v>95</v>
      </c>
      <c r="F709" s="1478" t="s">
        <v>77</v>
      </c>
      <c r="G709" s="1478" t="s">
        <v>77</v>
      </c>
      <c r="H709" s="1474" t="s">
        <v>1057</v>
      </c>
      <c r="I709" s="1478" t="s">
        <v>798</v>
      </c>
      <c r="J709" s="1478"/>
      <c r="K709" s="1475" t="s">
        <v>971</v>
      </c>
      <c r="L709" s="1474" t="s">
        <v>332</v>
      </c>
      <c r="M709" s="1476" t="s">
        <v>1698</v>
      </c>
      <c r="N709" s="1477" t="s">
        <v>1693</v>
      </c>
      <c r="O709" s="1479">
        <v>141</v>
      </c>
      <c r="P709" s="1479"/>
      <c r="Q709" s="1142">
        <f t="shared" si="199"/>
        <v>141</v>
      </c>
      <c r="R709" s="1143">
        <f>IFERROR(VLOOKUP(CONCATENATE(E709,G709),'LAC 103'!$A$12:$O$95,11,FALSE),0)</f>
        <v>3.2074101033884355</v>
      </c>
      <c r="S709" s="1144">
        <f>IFERROR(VLOOKUP(CONCATENATE($E709,$G709),'LAC 103'!$A$12:$O$95,12,FALSE),0)</f>
        <v>3.99</v>
      </c>
      <c r="T709" s="1144">
        <f>IFERROR(VLOOKUP(CONCATENATE($E709,$G709),'LAC 103'!$A$12:$O$95,13,FALSE),0)</f>
        <v>2.48</v>
      </c>
      <c r="U709" s="1144">
        <f>IFERROR(VLOOKUP(CONCATENATE($E709,$G709),'LAC 103'!$A$12:$O$95,14,FALSE),0)</f>
        <v>0</v>
      </c>
      <c r="V709" s="1144">
        <f>IFERROR(VLOOKUP(CONCATENATE($E709,$G709),'LAC 103'!$A$12:$O$95,15,FALSE),0)</f>
        <v>0</v>
      </c>
      <c r="W709" s="1145" t="str">
        <f>IFERROR(VLOOKUP(CONCATENATE($B709,$N709),'LAC 103'!$AI:$AQ,9,FALSE),"")</f>
        <v>Costs</v>
      </c>
      <c r="X709" s="1146">
        <f t="shared" si="186"/>
        <v>3.2074101033884355</v>
      </c>
      <c r="Y709" s="1143">
        <f t="shared" si="187"/>
        <v>452.24482457776941</v>
      </c>
      <c r="Z709" s="1147">
        <f t="shared" si="188"/>
        <v>562.59</v>
      </c>
      <c r="AA709" s="1144">
        <f t="shared" si="189"/>
        <v>349.68</v>
      </c>
      <c r="AB709" s="1144">
        <f t="shared" si="190"/>
        <v>0</v>
      </c>
      <c r="AC709" s="1144">
        <f t="shared" si="191"/>
        <v>0</v>
      </c>
      <c r="AD709" s="1148">
        <f t="shared" si="182"/>
        <v>452.24482457776941</v>
      </c>
      <c r="AE709" s="1487">
        <v>0</v>
      </c>
      <c r="AF709" s="1145">
        <f t="shared" si="192"/>
        <v>452.24482457776941</v>
      </c>
      <c r="AG709" s="1149">
        <f>IFERROR(VLOOKUP(CONCATENATE($L709,$N709),'Drop List'!$G$23:$K$87,2,FALSE),0)</f>
        <v>0</v>
      </c>
      <c r="AH709" s="1150">
        <f>IFERROR(VLOOKUP(CONCATENATE($L709,$N709),'Drop List'!$G$23:$K$87,3,FALSE),0)</f>
        <v>0</v>
      </c>
      <c r="AI709" s="1150">
        <f>IFERROR(VLOOKUP(CONCATENATE($L709,$N709),'Drop List'!$G$23:$K$87,4,FALSE),0)</f>
        <v>0</v>
      </c>
      <c r="AJ709" s="1151">
        <f>IFERROR(VLOOKUP(CONCATENATE($L709,$N709),'Drop List'!$G$23:$K$87,5,FALSE),0)</f>
        <v>0</v>
      </c>
      <c r="AK709" s="1152">
        <f t="shared" si="193"/>
        <v>0</v>
      </c>
      <c r="AL709" s="1153">
        <f t="shared" si="194"/>
        <v>0</v>
      </c>
      <c r="AM709" s="1153">
        <f t="shared" si="195"/>
        <v>0</v>
      </c>
      <c r="AN709" s="1145">
        <f t="shared" si="196"/>
        <v>0</v>
      </c>
      <c r="AO709" s="1154">
        <f t="shared" si="197"/>
        <v>0</v>
      </c>
      <c r="AP709" s="1147">
        <f t="shared" si="183"/>
        <v>452.24482457776941</v>
      </c>
      <c r="AQ709" s="1144">
        <f t="shared" si="184"/>
        <v>0</v>
      </c>
      <c r="AR709" s="1146">
        <f t="shared" si="185"/>
        <v>452.24482457776941</v>
      </c>
    </row>
    <row r="710" spans="1:44" x14ac:dyDescent="0.2">
      <c r="A710" s="1141" t="str">
        <f t="shared" si="198"/>
        <v>1542</v>
      </c>
      <c r="B710" s="1141" t="str">
        <f>IFERROR(VLOOKUP(A710,'LAC 103'!A:C,3,FALSE),"")</f>
        <v>OP</v>
      </c>
      <c r="C710" s="1478" t="str">
        <f>Info!$B$8</f>
        <v>00100</v>
      </c>
      <c r="D710" s="1474" t="s">
        <v>256</v>
      </c>
      <c r="E710" s="1474" t="s">
        <v>95</v>
      </c>
      <c r="F710" s="1478" t="s">
        <v>392</v>
      </c>
      <c r="G710" s="1478" t="s">
        <v>392</v>
      </c>
      <c r="H710" s="1474" t="s">
        <v>1653</v>
      </c>
      <c r="I710" s="1478" t="s">
        <v>913</v>
      </c>
      <c r="J710" s="1478" t="s">
        <v>123</v>
      </c>
      <c r="K710" s="1475" t="s">
        <v>847</v>
      </c>
      <c r="L710" s="1474" t="s">
        <v>582</v>
      </c>
      <c r="M710" s="1476" t="s">
        <v>1699</v>
      </c>
      <c r="N710" s="1477" t="s">
        <v>1694</v>
      </c>
      <c r="O710" s="1479">
        <v>7199</v>
      </c>
      <c r="P710" s="1479"/>
      <c r="Q710" s="1142">
        <f t="shared" si="199"/>
        <v>7199</v>
      </c>
      <c r="R710" s="1143">
        <f>IFERROR(VLOOKUP(CONCATENATE(E710,G710),'LAC 103'!$A$12:$O$95,11,FALSE),0)</f>
        <v>3.2074101033884355</v>
      </c>
      <c r="S710" s="1144">
        <f>IFERROR(VLOOKUP(CONCATENATE($E710,$G710),'LAC 103'!$A$12:$O$95,12,FALSE),0)</f>
        <v>3.99</v>
      </c>
      <c r="T710" s="1144">
        <f>IFERROR(VLOOKUP(CONCATENATE($E710,$G710),'LAC 103'!$A$12:$O$95,13,FALSE),0)</f>
        <v>2.48</v>
      </c>
      <c r="U710" s="1144">
        <f>IFERROR(VLOOKUP(CONCATENATE($E710,$G710),'LAC 103'!$A$12:$O$95,14,FALSE),0)</f>
        <v>0</v>
      </c>
      <c r="V710" s="1144">
        <f>IFERROR(VLOOKUP(CONCATENATE($E710,$G710),'LAC 103'!$A$12:$O$95,15,FALSE),0)</f>
        <v>0</v>
      </c>
      <c r="W710" s="1145" t="str">
        <f>IFERROR(VLOOKUP(CONCATENATE($B710,$N710),'LAC 103'!$AI:$AQ,9,FALSE),"")</f>
        <v>Costs</v>
      </c>
      <c r="X710" s="1146">
        <f t="shared" si="186"/>
        <v>3.2074101033884355</v>
      </c>
      <c r="Y710" s="1143">
        <f t="shared" si="187"/>
        <v>23090.145334293346</v>
      </c>
      <c r="Z710" s="1147">
        <f t="shared" si="188"/>
        <v>28724.010000000002</v>
      </c>
      <c r="AA710" s="1144">
        <f t="shared" si="189"/>
        <v>17853.52</v>
      </c>
      <c r="AB710" s="1144">
        <f t="shared" si="190"/>
        <v>0</v>
      </c>
      <c r="AC710" s="1144">
        <f t="shared" si="191"/>
        <v>0</v>
      </c>
      <c r="AD710" s="1148">
        <f t="shared" si="182"/>
        <v>23090.145334293346</v>
      </c>
      <c r="AE710" s="1487">
        <v>0</v>
      </c>
      <c r="AF710" s="1145">
        <f t="shared" si="192"/>
        <v>23090.145334293346</v>
      </c>
      <c r="AG710" s="1149">
        <f>IFERROR(VLOOKUP(CONCATENATE($L710,$N710),'Drop List'!$G$23:$K$87,2,FALSE),0)</f>
        <v>0.56200000000000006</v>
      </c>
      <c r="AH710" s="1150">
        <f>IFERROR(VLOOKUP(CONCATENATE($L710,$N710),'Drop List'!$G$23:$K$87,3,FALSE),0)</f>
        <v>0.43799999999999994</v>
      </c>
      <c r="AI710" s="1150">
        <f>IFERROR(VLOOKUP(CONCATENATE($L710,$N710),'Drop List'!$G$23:$K$87,4,FALSE),0)</f>
        <v>0</v>
      </c>
      <c r="AJ710" s="1151">
        <f>IFERROR(VLOOKUP(CONCATENATE($L710,$N710),'Drop List'!$G$23:$K$87,5,FALSE),0)</f>
        <v>0</v>
      </c>
      <c r="AK710" s="1152">
        <f t="shared" si="193"/>
        <v>12976.661677872862</v>
      </c>
      <c r="AL710" s="1153">
        <f t="shared" si="194"/>
        <v>10113.483656420483</v>
      </c>
      <c r="AM710" s="1153">
        <f t="shared" si="195"/>
        <v>0</v>
      </c>
      <c r="AN710" s="1145">
        <f t="shared" si="196"/>
        <v>0</v>
      </c>
      <c r="AO710" s="1154">
        <f t="shared" si="197"/>
        <v>23090.145334293346</v>
      </c>
      <c r="AP710" s="1147">
        <f t="shared" si="183"/>
        <v>0</v>
      </c>
      <c r="AQ710" s="1144">
        <f t="shared" si="184"/>
        <v>0</v>
      </c>
      <c r="AR710" s="1146">
        <f t="shared" si="185"/>
        <v>23090.145334293346</v>
      </c>
    </row>
    <row r="711" spans="1:44" x14ac:dyDescent="0.2">
      <c r="A711" s="1141" t="str">
        <f t="shared" si="198"/>
        <v>1542</v>
      </c>
      <c r="B711" s="1141" t="str">
        <f>IFERROR(VLOOKUP(A711,'LAC 103'!A:C,3,FALSE),"")</f>
        <v>OP</v>
      </c>
      <c r="C711" s="1478" t="str">
        <f>Info!$B$8</f>
        <v>00100</v>
      </c>
      <c r="D711" s="1474" t="s">
        <v>256</v>
      </c>
      <c r="E711" s="1474" t="s">
        <v>95</v>
      </c>
      <c r="F711" s="1478" t="s">
        <v>392</v>
      </c>
      <c r="G711" s="1478" t="s">
        <v>392</v>
      </c>
      <c r="H711" s="1474" t="s">
        <v>1653</v>
      </c>
      <c r="I711" s="1478" t="s">
        <v>913</v>
      </c>
      <c r="J711" s="1478"/>
      <c r="K711" s="1475" t="s">
        <v>847</v>
      </c>
      <c r="L711" s="1474" t="s">
        <v>582</v>
      </c>
      <c r="M711" s="1476" t="s">
        <v>841</v>
      </c>
      <c r="N711" s="1477" t="s">
        <v>1695</v>
      </c>
      <c r="O711" s="1479">
        <v>5388</v>
      </c>
      <c r="P711" s="1479"/>
      <c r="Q711" s="1142">
        <f t="shared" si="199"/>
        <v>5388</v>
      </c>
      <c r="R711" s="1143">
        <f>IFERROR(VLOOKUP(CONCATENATE(E711,G711),'LAC 103'!$A$12:$O$95,11,FALSE),0)</f>
        <v>3.2074101033884355</v>
      </c>
      <c r="S711" s="1144">
        <f>IFERROR(VLOOKUP(CONCATENATE($E711,$G711),'LAC 103'!$A$12:$O$95,12,FALSE),0)</f>
        <v>3.99</v>
      </c>
      <c r="T711" s="1144">
        <f>IFERROR(VLOOKUP(CONCATENATE($E711,$G711),'LAC 103'!$A$12:$O$95,13,FALSE),0)</f>
        <v>2.48</v>
      </c>
      <c r="U711" s="1144">
        <f>IFERROR(VLOOKUP(CONCATENATE($E711,$G711),'LAC 103'!$A$12:$O$95,14,FALSE),0)</f>
        <v>0</v>
      </c>
      <c r="V711" s="1144">
        <f>IFERROR(VLOOKUP(CONCATENATE($E711,$G711),'LAC 103'!$A$12:$O$95,15,FALSE),0)</f>
        <v>0</v>
      </c>
      <c r="W711" s="1145" t="str">
        <f>IFERROR(VLOOKUP(CONCATENATE($B711,$N711),'LAC 103'!$AI:$AQ,9,FALSE),"")</f>
        <v>Costs</v>
      </c>
      <c r="X711" s="1146">
        <f t="shared" si="186"/>
        <v>3.2074101033884355</v>
      </c>
      <c r="Y711" s="1143">
        <f t="shared" si="187"/>
        <v>17281.52563705689</v>
      </c>
      <c r="Z711" s="1147">
        <f t="shared" si="188"/>
        <v>21498.120000000003</v>
      </c>
      <c r="AA711" s="1144">
        <f t="shared" si="189"/>
        <v>13362.24</v>
      </c>
      <c r="AB711" s="1144">
        <f t="shared" si="190"/>
        <v>0</v>
      </c>
      <c r="AC711" s="1144">
        <f t="shared" si="191"/>
        <v>0</v>
      </c>
      <c r="AD711" s="1148">
        <f t="shared" ref="AD711:AD774" si="200">Q711*X711</f>
        <v>17281.52563705689</v>
      </c>
      <c r="AE711" s="1487">
        <v>0</v>
      </c>
      <c r="AF711" s="1145">
        <f t="shared" si="192"/>
        <v>17281.52563705689</v>
      </c>
      <c r="AG711" s="1149">
        <f>IFERROR(VLOOKUP(CONCATENATE($L711,$N711),'Drop List'!$G$23:$K$87,2,FALSE),0)</f>
        <v>0.55000000000000004</v>
      </c>
      <c r="AH711" s="1150">
        <f>IFERROR(VLOOKUP(CONCATENATE($L711,$N711),'Drop List'!$G$23:$K$87,3,FALSE),0)</f>
        <v>0.44999999999999996</v>
      </c>
      <c r="AI711" s="1150">
        <f>IFERROR(VLOOKUP(CONCATENATE($L711,$N711),'Drop List'!$G$23:$K$87,4,FALSE),0)</f>
        <v>0</v>
      </c>
      <c r="AJ711" s="1151">
        <f>IFERROR(VLOOKUP(CONCATENATE($L711,$N711),'Drop List'!$G$23:$K$87,5,FALSE),0)</f>
        <v>0</v>
      </c>
      <c r="AK711" s="1152">
        <f t="shared" si="193"/>
        <v>9504.8391003812903</v>
      </c>
      <c r="AL711" s="1153">
        <f t="shared" si="194"/>
        <v>7776.6865366755992</v>
      </c>
      <c r="AM711" s="1153">
        <f t="shared" si="195"/>
        <v>0</v>
      </c>
      <c r="AN711" s="1145">
        <f t="shared" si="196"/>
        <v>0</v>
      </c>
      <c r="AO711" s="1154">
        <f t="shared" si="197"/>
        <v>17281.52563705689</v>
      </c>
      <c r="AP711" s="1147">
        <f t="shared" ref="AP711:AP774" si="201">IF($L711="14",$AF711,0)</f>
        <v>0</v>
      </c>
      <c r="AQ711" s="1144">
        <f t="shared" ref="AQ711:AQ774" si="202">IF($L711="15",$AF711,0)</f>
        <v>0</v>
      </c>
      <c r="AR711" s="1146">
        <f t="shared" ref="AR711:AR774" si="203">AO711+AP711+AQ711</f>
        <v>17281.52563705689</v>
      </c>
    </row>
    <row r="712" spans="1:44" x14ac:dyDescent="0.2">
      <c r="A712" s="1141" t="str">
        <f t="shared" si="198"/>
        <v>1542</v>
      </c>
      <c r="B712" s="1141" t="str">
        <f>IFERROR(VLOOKUP(A712,'LAC 103'!A:C,3,FALSE),"")</f>
        <v>OP</v>
      </c>
      <c r="C712" s="1478" t="str">
        <f>Info!$B$8</f>
        <v>00100</v>
      </c>
      <c r="D712" s="1474" t="s">
        <v>256</v>
      </c>
      <c r="E712" s="1474" t="s">
        <v>95</v>
      </c>
      <c r="F712" s="1478" t="s">
        <v>392</v>
      </c>
      <c r="G712" s="1478" t="s">
        <v>392</v>
      </c>
      <c r="H712" s="1474" t="s">
        <v>1653</v>
      </c>
      <c r="I712" s="1478" t="s">
        <v>913</v>
      </c>
      <c r="J712" s="1478"/>
      <c r="K712" s="1475" t="s">
        <v>847</v>
      </c>
      <c r="L712" s="1474" t="s">
        <v>582</v>
      </c>
      <c r="M712" s="1476" t="s">
        <v>840</v>
      </c>
      <c r="N712" s="1477" t="s">
        <v>1700</v>
      </c>
      <c r="O712" s="1479">
        <v>1216</v>
      </c>
      <c r="P712" s="1479"/>
      <c r="Q712" s="1142">
        <f t="shared" si="199"/>
        <v>1216</v>
      </c>
      <c r="R712" s="1143">
        <f>IFERROR(VLOOKUP(CONCATENATE(E712,G712),'LAC 103'!$A$12:$O$95,11,FALSE),0)</f>
        <v>3.2074101033884355</v>
      </c>
      <c r="S712" s="1144">
        <f>IFERROR(VLOOKUP(CONCATENATE($E712,$G712),'LAC 103'!$A$12:$O$95,12,FALSE),0)</f>
        <v>3.99</v>
      </c>
      <c r="T712" s="1144">
        <f>IFERROR(VLOOKUP(CONCATENATE($E712,$G712),'LAC 103'!$A$12:$O$95,13,FALSE),0)</f>
        <v>2.48</v>
      </c>
      <c r="U712" s="1144">
        <f>IFERROR(VLOOKUP(CONCATENATE($E712,$G712),'LAC 103'!$A$12:$O$95,14,FALSE),0)</f>
        <v>0</v>
      </c>
      <c r="V712" s="1144">
        <f>IFERROR(VLOOKUP(CONCATENATE($E712,$G712),'LAC 103'!$A$12:$O$95,15,FALSE),0)</f>
        <v>0</v>
      </c>
      <c r="W712" s="1145" t="str">
        <f>IFERROR(VLOOKUP(CONCATENATE($B712,$N712),'LAC 103'!$AI:$AQ,9,FALSE),"")</f>
        <v>P.C.</v>
      </c>
      <c r="X712" s="1146">
        <f t="shared" ref="X712:X775" si="204">IF($W712="Costs",$R712,IF($W712="CMA",$S712,IF($W712="P.C.",$T712,IF($W712="SMA",$U712,$V712))))</f>
        <v>2.48</v>
      </c>
      <c r="Y712" s="1143">
        <f t="shared" ref="Y712:Y775" si="205">$Q712*R712</f>
        <v>3900.2106857203376</v>
      </c>
      <c r="Z712" s="1147">
        <f t="shared" ref="Z712:Z775" si="206">IF(S712=0,Y712,$Q712*S712)</f>
        <v>4851.84</v>
      </c>
      <c r="AA712" s="1144">
        <f t="shared" ref="AA712:AA775" si="207">IF(T712=0,Y712,$Q712*T712)</f>
        <v>3015.68</v>
      </c>
      <c r="AB712" s="1144">
        <f t="shared" ref="AB712:AB775" si="208">$Q712*U712</f>
        <v>0</v>
      </c>
      <c r="AC712" s="1144">
        <f t="shared" ref="AC712:AC775" si="209">$Q712*V712</f>
        <v>0</v>
      </c>
      <c r="AD712" s="1148">
        <f t="shared" si="200"/>
        <v>3015.68</v>
      </c>
      <c r="AE712" s="1487">
        <v>0</v>
      </c>
      <c r="AF712" s="1145">
        <f t="shared" ref="AF712:AF775" si="210">AD712-AE712</f>
        <v>3015.68</v>
      </c>
      <c r="AG712" s="1149">
        <f>IFERROR(VLOOKUP(CONCATENATE($L712,$N712),'Drop List'!$G$23:$K$87,2,FALSE),0)</f>
        <v>0.55000000000000004</v>
      </c>
      <c r="AH712" s="1150">
        <f>IFERROR(VLOOKUP(CONCATENATE($L712,$N712),'Drop List'!$G$23:$K$87,3,FALSE),0)</f>
        <v>0.44999999999999996</v>
      </c>
      <c r="AI712" s="1150">
        <f>IFERROR(VLOOKUP(CONCATENATE($L712,$N712),'Drop List'!$G$23:$K$87,4,FALSE),0)</f>
        <v>0</v>
      </c>
      <c r="AJ712" s="1151">
        <f>IFERROR(VLOOKUP(CONCATENATE($L712,$N712),'Drop List'!$G$23:$K$87,5,FALSE),0)</f>
        <v>0</v>
      </c>
      <c r="AK712" s="1152">
        <f t="shared" ref="AK712:AK775" si="211">IFERROR($AF712*AG712,0)</f>
        <v>1658.624</v>
      </c>
      <c r="AL712" s="1153">
        <f t="shared" ref="AL712:AL775" si="212">IFERROR($AF712*AH712,0)</f>
        <v>1357.0559999999998</v>
      </c>
      <c r="AM712" s="1153">
        <f t="shared" ref="AM712:AM775" si="213">IFERROR($AF712*AI712,0)</f>
        <v>0</v>
      </c>
      <c r="AN712" s="1145">
        <f t="shared" ref="AN712:AN775" si="214">IFERROR($AF712*AJ712,0)</f>
        <v>0</v>
      </c>
      <c r="AO712" s="1154">
        <f t="shared" ref="AO712:AO775" si="215">SUM(AK712:AN712)</f>
        <v>3015.68</v>
      </c>
      <c r="AP712" s="1147">
        <f t="shared" si="201"/>
        <v>0</v>
      </c>
      <c r="AQ712" s="1144">
        <f t="shared" si="202"/>
        <v>0</v>
      </c>
      <c r="AR712" s="1146">
        <f t="shared" si="203"/>
        <v>3015.68</v>
      </c>
    </row>
    <row r="713" spans="1:44" x14ac:dyDescent="0.2">
      <c r="A713" s="1141" t="str">
        <f t="shared" si="198"/>
        <v>1542</v>
      </c>
      <c r="B713" s="1141" t="str">
        <f>IFERROR(VLOOKUP(A713,'LAC 103'!A:C,3,FALSE),"")</f>
        <v>OP</v>
      </c>
      <c r="C713" s="1478" t="str">
        <f>Info!$B$8</f>
        <v>00100</v>
      </c>
      <c r="D713" s="1474" t="s">
        <v>256</v>
      </c>
      <c r="E713" s="1474" t="s">
        <v>95</v>
      </c>
      <c r="F713" s="1478" t="s">
        <v>392</v>
      </c>
      <c r="G713" s="1478" t="s">
        <v>392</v>
      </c>
      <c r="H713" s="1474" t="s">
        <v>1653</v>
      </c>
      <c r="I713" s="1478" t="s">
        <v>913</v>
      </c>
      <c r="J713" s="1478"/>
      <c r="K713" s="1475" t="s">
        <v>847</v>
      </c>
      <c r="L713" s="1474" t="s">
        <v>582</v>
      </c>
      <c r="M713" s="1476" t="s">
        <v>842</v>
      </c>
      <c r="N713" s="1477" t="s">
        <v>1692</v>
      </c>
      <c r="O713" s="1479">
        <v>8736</v>
      </c>
      <c r="P713" s="1479"/>
      <c r="Q713" s="1142">
        <f t="shared" si="199"/>
        <v>8736</v>
      </c>
      <c r="R713" s="1143">
        <f>IFERROR(VLOOKUP(CONCATENATE(E713,G713),'LAC 103'!$A$12:$O$95,11,FALSE),0)</f>
        <v>3.2074101033884355</v>
      </c>
      <c r="S713" s="1144">
        <f>IFERROR(VLOOKUP(CONCATENATE($E713,$G713),'LAC 103'!$A$12:$O$95,12,FALSE),0)</f>
        <v>3.99</v>
      </c>
      <c r="T713" s="1144">
        <f>IFERROR(VLOOKUP(CONCATENATE($E713,$G713),'LAC 103'!$A$12:$O$95,13,FALSE),0)</f>
        <v>2.48</v>
      </c>
      <c r="U713" s="1144">
        <f>IFERROR(VLOOKUP(CONCATENATE($E713,$G713),'LAC 103'!$A$12:$O$95,14,FALSE),0)</f>
        <v>0</v>
      </c>
      <c r="V713" s="1144">
        <f>IFERROR(VLOOKUP(CONCATENATE($E713,$G713),'LAC 103'!$A$12:$O$95,15,FALSE),0)</f>
        <v>0</v>
      </c>
      <c r="W713" s="1145" t="str">
        <f>IFERROR(VLOOKUP(CONCATENATE($B713,$N713),'LAC 103'!$AI:$AQ,9,FALSE),"")</f>
        <v>Costs</v>
      </c>
      <c r="X713" s="1146">
        <f t="shared" si="204"/>
        <v>3.2074101033884355</v>
      </c>
      <c r="Y713" s="1143">
        <f t="shared" si="205"/>
        <v>28019.934663201373</v>
      </c>
      <c r="Z713" s="1147">
        <f t="shared" si="206"/>
        <v>34856.639999999999</v>
      </c>
      <c r="AA713" s="1144">
        <f t="shared" si="207"/>
        <v>21665.279999999999</v>
      </c>
      <c r="AB713" s="1144">
        <f t="shared" si="208"/>
        <v>0</v>
      </c>
      <c r="AC713" s="1144">
        <f t="shared" si="209"/>
        <v>0</v>
      </c>
      <c r="AD713" s="1148">
        <f t="shared" si="200"/>
        <v>28019.934663201373</v>
      </c>
      <c r="AE713" s="1487">
        <v>0</v>
      </c>
      <c r="AF713" s="1145">
        <f t="shared" si="210"/>
        <v>28019.934663201373</v>
      </c>
      <c r="AG713" s="1149">
        <f>IFERROR(VLOOKUP(CONCATENATE($L713,$N713),'Drop List'!$G$23:$K$87,2,FALSE),0)</f>
        <v>0.56200000000000006</v>
      </c>
      <c r="AH713" s="1150">
        <f>IFERROR(VLOOKUP(CONCATENATE($L713,$N713),'Drop List'!$G$23:$K$87,3,FALSE),0)</f>
        <v>0.43799999999999994</v>
      </c>
      <c r="AI713" s="1150">
        <f>IFERROR(VLOOKUP(CONCATENATE($L713,$N713),'Drop List'!$G$23:$K$87,4,FALSE),0)</f>
        <v>0</v>
      </c>
      <c r="AJ713" s="1151">
        <f>IFERROR(VLOOKUP(CONCATENATE($L713,$N713),'Drop List'!$G$23:$K$87,5,FALSE),0)</f>
        <v>0</v>
      </c>
      <c r="AK713" s="1152">
        <f t="shared" si="211"/>
        <v>15747.203280719174</v>
      </c>
      <c r="AL713" s="1153">
        <f t="shared" si="212"/>
        <v>12272.731382482199</v>
      </c>
      <c r="AM713" s="1153">
        <f t="shared" si="213"/>
        <v>0</v>
      </c>
      <c r="AN713" s="1145">
        <f t="shared" si="214"/>
        <v>0</v>
      </c>
      <c r="AO713" s="1154">
        <f t="shared" si="215"/>
        <v>28019.934663201373</v>
      </c>
      <c r="AP713" s="1147">
        <f t="shared" si="201"/>
        <v>0</v>
      </c>
      <c r="AQ713" s="1144">
        <f t="shared" si="202"/>
        <v>0</v>
      </c>
      <c r="AR713" s="1146">
        <f t="shared" si="203"/>
        <v>28019.934663201373</v>
      </c>
    </row>
    <row r="714" spans="1:44" x14ac:dyDescent="0.2">
      <c r="A714" s="1141" t="str">
        <f t="shared" si="198"/>
        <v>1542</v>
      </c>
      <c r="B714" s="1141" t="str">
        <f>IFERROR(VLOOKUP(A714,'LAC 103'!A:C,3,FALSE),"")</f>
        <v>OP</v>
      </c>
      <c r="C714" s="1478" t="str">
        <f>Info!$B$8</f>
        <v>00100</v>
      </c>
      <c r="D714" s="1474" t="s">
        <v>256</v>
      </c>
      <c r="E714" s="1474" t="s">
        <v>95</v>
      </c>
      <c r="F714" s="1478" t="s">
        <v>392</v>
      </c>
      <c r="G714" s="1478" t="s">
        <v>392</v>
      </c>
      <c r="H714" s="1474" t="s">
        <v>1653</v>
      </c>
      <c r="I714" s="1478" t="s">
        <v>913</v>
      </c>
      <c r="J714" s="1478"/>
      <c r="K714" s="1475" t="s">
        <v>847</v>
      </c>
      <c r="L714" s="1474" t="s">
        <v>582</v>
      </c>
      <c r="M714" s="1476" t="s">
        <v>1698</v>
      </c>
      <c r="N714" s="1477" t="s">
        <v>1693</v>
      </c>
      <c r="O714" s="1479">
        <v>17669</v>
      </c>
      <c r="P714" s="1479"/>
      <c r="Q714" s="1142">
        <f t="shared" si="199"/>
        <v>17669</v>
      </c>
      <c r="R714" s="1143">
        <f>IFERROR(VLOOKUP(CONCATENATE(E714,G714),'LAC 103'!$A$12:$O$95,11,FALSE),0)</f>
        <v>3.2074101033884355</v>
      </c>
      <c r="S714" s="1144">
        <f>IFERROR(VLOOKUP(CONCATENATE($E714,$G714),'LAC 103'!$A$12:$O$95,12,FALSE),0)</f>
        <v>3.99</v>
      </c>
      <c r="T714" s="1144">
        <f>IFERROR(VLOOKUP(CONCATENATE($E714,$G714),'LAC 103'!$A$12:$O$95,13,FALSE),0)</f>
        <v>2.48</v>
      </c>
      <c r="U714" s="1144">
        <f>IFERROR(VLOOKUP(CONCATENATE($E714,$G714),'LAC 103'!$A$12:$O$95,14,FALSE),0)</f>
        <v>0</v>
      </c>
      <c r="V714" s="1144">
        <f>IFERROR(VLOOKUP(CONCATENATE($E714,$G714),'LAC 103'!$A$12:$O$95,15,FALSE),0)</f>
        <v>0</v>
      </c>
      <c r="W714" s="1145" t="str">
        <f>IFERROR(VLOOKUP(CONCATENATE($B714,$N714),'LAC 103'!$AI:$AQ,9,FALSE),"")</f>
        <v>Costs</v>
      </c>
      <c r="X714" s="1146">
        <f t="shared" si="204"/>
        <v>3.2074101033884355</v>
      </c>
      <c r="Y714" s="1143">
        <f t="shared" si="205"/>
        <v>56671.729116770264</v>
      </c>
      <c r="Z714" s="1147">
        <f t="shared" si="206"/>
        <v>70499.31</v>
      </c>
      <c r="AA714" s="1144">
        <f t="shared" si="207"/>
        <v>43819.12</v>
      </c>
      <c r="AB714" s="1144">
        <f t="shared" si="208"/>
        <v>0</v>
      </c>
      <c r="AC714" s="1144">
        <f t="shared" si="209"/>
        <v>0</v>
      </c>
      <c r="AD714" s="1148">
        <f t="shared" si="200"/>
        <v>56671.729116770264</v>
      </c>
      <c r="AE714" s="1487">
        <v>0</v>
      </c>
      <c r="AF714" s="1145">
        <f t="shared" si="210"/>
        <v>56671.729116770264</v>
      </c>
      <c r="AG714" s="1149">
        <f>IFERROR(VLOOKUP(CONCATENATE($L714,$N714),'Drop List'!$G$23:$K$87,2,FALSE),0)</f>
        <v>0.56200000000000006</v>
      </c>
      <c r="AH714" s="1150">
        <f>IFERROR(VLOOKUP(CONCATENATE($L714,$N714),'Drop List'!$G$23:$K$87,3,FALSE),0)</f>
        <v>0.43799999999999994</v>
      </c>
      <c r="AI714" s="1150">
        <f>IFERROR(VLOOKUP(CONCATENATE($L714,$N714),'Drop List'!$G$23:$K$87,4,FALSE),0)</f>
        <v>0</v>
      </c>
      <c r="AJ714" s="1151">
        <f>IFERROR(VLOOKUP(CONCATENATE($L714,$N714),'Drop List'!$G$23:$K$87,5,FALSE),0)</f>
        <v>0</v>
      </c>
      <c r="AK714" s="1152">
        <f t="shared" si="211"/>
        <v>31849.511763624891</v>
      </c>
      <c r="AL714" s="1153">
        <f t="shared" si="212"/>
        <v>24822.217353145374</v>
      </c>
      <c r="AM714" s="1153">
        <f t="shared" si="213"/>
        <v>0</v>
      </c>
      <c r="AN714" s="1145">
        <f t="shared" si="214"/>
        <v>0</v>
      </c>
      <c r="AO714" s="1154">
        <f t="shared" si="215"/>
        <v>56671.729116770264</v>
      </c>
      <c r="AP714" s="1147">
        <f t="shared" si="201"/>
        <v>0</v>
      </c>
      <c r="AQ714" s="1144">
        <f t="shared" si="202"/>
        <v>0</v>
      </c>
      <c r="AR714" s="1146">
        <f t="shared" si="203"/>
        <v>56671.729116770264</v>
      </c>
    </row>
    <row r="715" spans="1:44" x14ac:dyDescent="0.2">
      <c r="A715" s="1141" t="str">
        <f t="shared" si="198"/>
        <v>1542</v>
      </c>
      <c r="B715" s="1141" t="str">
        <f>IFERROR(VLOOKUP(A715,'LAC 103'!A:C,3,FALSE),"")</f>
        <v>OP</v>
      </c>
      <c r="C715" s="1478" t="str">
        <f>Info!$B$8</f>
        <v>00100</v>
      </c>
      <c r="D715" s="1474" t="s">
        <v>256</v>
      </c>
      <c r="E715" s="1474" t="s">
        <v>95</v>
      </c>
      <c r="F715" s="1478" t="s">
        <v>392</v>
      </c>
      <c r="G715" s="1478" t="s">
        <v>392</v>
      </c>
      <c r="H715" s="1474" t="s">
        <v>1653</v>
      </c>
      <c r="I715" s="1478" t="s">
        <v>913</v>
      </c>
      <c r="J715" s="1478"/>
      <c r="K715" s="1475" t="s">
        <v>848</v>
      </c>
      <c r="L715" s="1474" t="s">
        <v>45</v>
      </c>
      <c r="M715" s="1476" t="s">
        <v>1699</v>
      </c>
      <c r="N715" s="1477" t="s">
        <v>1694</v>
      </c>
      <c r="O715" s="1479">
        <v>5328</v>
      </c>
      <c r="P715" s="1479"/>
      <c r="Q715" s="1142">
        <f t="shared" si="199"/>
        <v>5328</v>
      </c>
      <c r="R715" s="1143">
        <f>IFERROR(VLOOKUP(CONCATENATE(E715,G715),'LAC 103'!$A$12:$O$95,11,FALSE),0)</f>
        <v>3.2074101033884355</v>
      </c>
      <c r="S715" s="1144">
        <f>IFERROR(VLOOKUP(CONCATENATE($E715,$G715),'LAC 103'!$A$12:$O$95,12,FALSE),0)</f>
        <v>3.99</v>
      </c>
      <c r="T715" s="1144">
        <f>IFERROR(VLOOKUP(CONCATENATE($E715,$G715),'LAC 103'!$A$12:$O$95,13,FALSE),0)</f>
        <v>2.48</v>
      </c>
      <c r="U715" s="1144">
        <f>IFERROR(VLOOKUP(CONCATENATE($E715,$G715),'LAC 103'!$A$12:$O$95,14,FALSE),0)</f>
        <v>0</v>
      </c>
      <c r="V715" s="1144">
        <f>IFERROR(VLOOKUP(CONCATENATE($E715,$G715),'LAC 103'!$A$12:$O$95,15,FALSE),0)</f>
        <v>0</v>
      </c>
      <c r="W715" s="1145" t="str">
        <f>IFERROR(VLOOKUP(CONCATENATE($B715,$N715),'LAC 103'!$AI:$AQ,9,FALSE),"")</f>
        <v>Costs</v>
      </c>
      <c r="X715" s="1146">
        <f t="shared" si="204"/>
        <v>3.2074101033884355</v>
      </c>
      <c r="Y715" s="1143">
        <f t="shared" si="205"/>
        <v>17089.081030853584</v>
      </c>
      <c r="Z715" s="1147">
        <f t="shared" si="206"/>
        <v>21258.720000000001</v>
      </c>
      <c r="AA715" s="1144">
        <f t="shared" si="207"/>
        <v>13213.44</v>
      </c>
      <c r="AB715" s="1144">
        <f t="shared" si="208"/>
        <v>0</v>
      </c>
      <c r="AC715" s="1144">
        <f t="shared" si="209"/>
        <v>0</v>
      </c>
      <c r="AD715" s="1148">
        <f t="shared" si="200"/>
        <v>17089.081030853584</v>
      </c>
      <c r="AE715" s="1487">
        <v>0</v>
      </c>
      <c r="AF715" s="1145">
        <f t="shared" si="210"/>
        <v>17089.081030853584</v>
      </c>
      <c r="AG715" s="1149">
        <f>IFERROR(VLOOKUP(CONCATENATE($L715,$N715),'Drop List'!$G$23:$K$87,2,FALSE),0)</f>
        <v>0.69340000000000002</v>
      </c>
      <c r="AH715" s="1150">
        <f>IFERROR(VLOOKUP(CONCATENATE($L715,$N715),'Drop List'!$G$23:$K$87,3,FALSE),0)</f>
        <v>0.30659999999999998</v>
      </c>
      <c r="AI715" s="1150">
        <f>IFERROR(VLOOKUP(CONCATENATE($L715,$N715),'Drop List'!$G$23:$K$87,4,FALSE),0)</f>
        <v>0</v>
      </c>
      <c r="AJ715" s="1151">
        <f>IFERROR(VLOOKUP(CONCATENATE($L715,$N715),'Drop List'!$G$23:$K$87,5,FALSE),0)</f>
        <v>0</v>
      </c>
      <c r="AK715" s="1152">
        <f t="shared" si="211"/>
        <v>11849.568786793876</v>
      </c>
      <c r="AL715" s="1153">
        <f t="shared" si="212"/>
        <v>5239.5122440597088</v>
      </c>
      <c r="AM715" s="1153">
        <f t="shared" si="213"/>
        <v>0</v>
      </c>
      <c r="AN715" s="1145">
        <f t="shared" si="214"/>
        <v>0</v>
      </c>
      <c r="AO715" s="1154">
        <f t="shared" si="215"/>
        <v>17089.081030853584</v>
      </c>
      <c r="AP715" s="1147">
        <f t="shared" si="201"/>
        <v>0</v>
      </c>
      <c r="AQ715" s="1144">
        <f t="shared" si="202"/>
        <v>0</v>
      </c>
      <c r="AR715" s="1146">
        <f t="shared" si="203"/>
        <v>17089.081030853584</v>
      </c>
    </row>
    <row r="716" spans="1:44" x14ac:dyDescent="0.2">
      <c r="A716" s="1141" t="str">
        <f t="shared" si="198"/>
        <v>1542</v>
      </c>
      <c r="B716" s="1141" t="str">
        <f>IFERROR(VLOOKUP(A716,'LAC 103'!A:C,3,FALSE),"")</f>
        <v>OP</v>
      </c>
      <c r="C716" s="1478" t="str">
        <f>Info!$B$8</f>
        <v>00100</v>
      </c>
      <c r="D716" s="1474" t="s">
        <v>256</v>
      </c>
      <c r="E716" s="1474" t="s">
        <v>95</v>
      </c>
      <c r="F716" s="1478" t="s">
        <v>392</v>
      </c>
      <c r="G716" s="1478" t="s">
        <v>392</v>
      </c>
      <c r="H716" s="1474" t="s">
        <v>1653</v>
      </c>
      <c r="I716" s="1478" t="s">
        <v>913</v>
      </c>
      <c r="J716" s="1478"/>
      <c r="K716" s="1475" t="s">
        <v>848</v>
      </c>
      <c r="L716" s="1474" t="s">
        <v>45</v>
      </c>
      <c r="M716" s="1476" t="s">
        <v>841</v>
      </c>
      <c r="N716" s="1477" t="s">
        <v>1695</v>
      </c>
      <c r="O716" s="1479">
        <v>3081</v>
      </c>
      <c r="P716" s="1479"/>
      <c r="Q716" s="1142">
        <f t="shared" si="199"/>
        <v>3081</v>
      </c>
      <c r="R716" s="1143">
        <f>IFERROR(VLOOKUP(CONCATENATE(E716,G716),'LAC 103'!$A$12:$O$95,11,FALSE),0)</f>
        <v>3.2074101033884355</v>
      </c>
      <c r="S716" s="1144">
        <f>IFERROR(VLOOKUP(CONCATENATE($E716,$G716),'LAC 103'!$A$12:$O$95,12,FALSE),0)</f>
        <v>3.99</v>
      </c>
      <c r="T716" s="1144">
        <f>IFERROR(VLOOKUP(CONCATENATE($E716,$G716),'LAC 103'!$A$12:$O$95,13,FALSE),0)</f>
        <v>2.48</v>
      </c>
      <c r="U716" s="1144">
        <f>IFERROR(VLOOKUP(CONCATENATE($E716,$G716),'LAC 103'!$A$12:$O$95,14,FALSE),0)</f>
        <v>0</v>
      </c>
      <c r="V716" s="1144">
        <f>IFERROR(VLOOKUP(CONCATENATE($E716,$G716),'LAC 103'!$A$12:$O$95,15,FALSE),0)</f>
        <v>0</v>
      </c>
      <c r="W716" s="1145" t="str">
        <f>IFERROR(VLOOKUP(CONCATENATE($B716,$N716),'LAC 103'!$AI:$AQ,9,FALSE),"")</f>
        <v>Costs</v>
      </c>
      <c r="X716" s="1146">
        <f t="shared" si="204"/>
        <v>3.2074101033884355</v>
      </c>
      <c r="Y716" s="1143">
        <f t="shared" si="205"/>
        <v>9882.0305285397699</v>
      </c>
      <c r="Z716" s="1147">
        <f t="shared" si="206"/>
        <v>12293.19</v>
      </c>
      <c r="AA716" s="1144">
        <f t="shared" si="207"/>
        <v>7640.88</v>
      </c>
      <c r="AB716" s="1144">
        <f t="shared" si="208"/>
        <v>0</v>
      </c>
      <c r="AC716" s="1144">
        <f t="shared" si="209"/>
        <v>0</v>
      </c>
      <c r="AD716" s="1148">
        <f t="shared" si="200"/>
        <v>9882.0305285397699</v>
      </c>
      <c r="AE716" s="1487">
        <v>0</v>
      </c>
      <c r="AF716" s="1145">
        <f t="shared" si="210"/>
        <v>9882.0305285397699</v>
      </c>
      <c r="AG716" s="1149">
        <f>IFERROR(VLOOKUP(CONCATENATE($L716,$N716),'Drop List'!$G$23:$K$87,2,FALSE),0)</f>
        <v>0.68500000000000005</v>
      </c>
      <c r="AH716" s="1150">
        <f>IFERROR(VLOOKUP(CONCATENATE($L716,$N716),'Drop List'!$G$23:$K$87,3,FALSE),0)</f>
        <v>0.31499999999999995</v>
      </c>
      <c r="AI716" s="1150">
        <f>IFERROR(VLOOKUP(CONCATENATE($L716,$N716),'Drop List'!$G$23:$K$87,4,FALSE),0)</f>
        <v>0</v>
      </c>
      <c r="AJ716" s="1151">
        <f>IFERROR(VLOOKUP(CONCATENATE($L716,$N716),'Drop List'!$G$23:$K$87,5,FALSE),0)</f>
        <v>0</v>
      </c>
      <c r="AK716" s="1152">
        <f t="shared" si="211"/>
        <v>6769.190912049743</v>
      </c>
      <c r="AL716" s="1153">
        <f t="shared" si="212"/>
        <v>3112.8396164900269</v>
      </c>
      <c r="AM716" s="1153">
        <f t="shared" si="213"/>
        <v>0</v>
      </c>
      <c r="AN716" s="1145">
        <f t="shared" si="214"/>
        <v>0</v>
      </c>
      <c r="AO716" s="1154">
        <f t="shared" si="215"/>
        <v>9882.0305285397699</v>
      </c>
      <c r="AP716" s="1147">
        <f t="shared" si="201"/>
        <v>0</v>
      </c>
      <c r="AQ716" s="1144">
        <f t="shared" si="202"/>
        <v>0</v>
      </c>
      <c r="AR716" s="1146">
        <f t="shared" si="203"/>
        <v>9882.0305285397699</v>
      </c>
    </row>
    <row r="717" spans="1:44" x14ac:dyDescent="0.2">
      <c r="A717" s="1141" t="str">
        <f t="shared" si="198"/>
        <v>1542</v>
      </c>
      <c r="B717" s="1141" t="str">
        <f>IFERROR(VLOOKUP(A717,'LAC 103'!A:C,3,FALSE),"")</f>
        <v>OP</v>
      </c>
      <c r="C717" s="1478" t="str">
        <f>Info!$B$8</f>
        <v>00100</v>
      </c>
      <c r="D717" s="1474" t="s">
        <v>256</v>
      </c>
      <c r="E717" s="1474" t="s">
        <v>95</v>
      </c>
      <c r="F717" s="1478" t="s">
        <v>392</v>
      </c>
      <c r="G717" s="1478" t="s">
        <v>392</v>
      </c>
      <c r="H717" s="1474" t="s">
        <v>1653</v>
      </c>
      <c r="I717" s="1478" t="s">
        <v>913</v>
      </c>
      <c r="J717" s="1478"/>
      <c r="K717" s="1475" t="s">
        <v>848</v>
      </c>
      <c r="L717" s="1474" t="s">
        <v>45</v>
      </c>
      <c r="M717" s="1476" t="s">
        <v>840</v>
      </c>
      <c r="N717" s="1477" t="s">
        <v>1700</v>
      </c>
      <c r="O717" s="1479">
        <v>3820</v>
      </c>
      <c r="P717" s="1479"/>
      <c r="Q717" s="1142">
        <f t="shared" si="199"/>
        <v>3820</v>
      </c>
      <c r="R717" s="1143">
        <f>IFERROR(VLOOKUP(CONCATENATE(E717,G717),'LAC 103'!$A$12:$O$95,11,FALSE),0)</f>
        <v>3.2074101033884355</v>
      </c>
      <c r="S717" s="1144">
        <f>IFERROR(VLOOKUP(CONCATENATE($E717,$G717),'LAC 103'!$A$12:$O$95,12,FALSE),0)</f>
        <v>3.99</v>
      </c>
      <c r="T717" s="1144">
        <f>IFERROR(VLOOKUP(CONCATENATE($E717,$G717),'LAC 103'!$A$12:$O$95,13,FALSE),0)</f>
        <v>2.48</v>
      </c>
      <c r="U717" s="1144">
        <f>IFERROR(VLOOKUP(CONCATENATE($E717,$G717),'LAC 103'!$A$12:$O$95,14,FALSE),0)</f>
        <v>0</v>
      </c>
      <c r="V717" s="1144">
        <f>IFERROR(VLOOKUP(CONCATENATE($E717,$G717),'LAC 103'!$A$12:$O$95,15,FALSE),0)</f>
        <v>0</v>
      </c>
      <c r="W717" s="1145" t="str">
        <f>IFERROR(VLOOKUP(CONCATENATE($B717,$N717),'LAC 103'!$AI:$AQ,9,FALSE),"")</f>
        <v>P.C.</v>
      </c>
      <c r="X717" s="1146">
        <f t="shared" si="204"/>
        <v>2.48</v>
      </c>
      <c r="Y717" s="1143">
        <f t="shared" si="205"/>
        <v>12252.306594943824</v>
      </c>
      <c r="Z717" s="1147">
        <f t="shared" si="206"/>
        <v>15241.800000000001</v>
      </c>
      <c r="AA717" s="1144">
        <f t="shared" si="207"/>
        <v>9473.6</v>
      </c>
      <c r="AB717" s="1144">
        <f t="shared" si="208"/>
        <v>0</v>
      </c>
      <c r="AC717" s="1144">
        <f t="shared" si="209"/>
        <v>0</v>
      </c>
      <c r="AD717" s="1148">
        <f t="shared" si="200"/>
        <v>9473.6</v>
      </c>
      <c r="AE717" s="1487">
        <v>0</v>
      </c>
      <c r="AF717" s="1145">
        <f t="shared" si="210"/>
        <v>9473.6</v>
      </c>
      <c r="AG717" s="1149">
        <f>IFERROR(VLOOKUP(CONCATENATE($L717,$N717),'Drop List'!$G$23:$K$87,2,FALSE),0)</f>
        <v>0.68500000000000005</v>
      </c>
      <c r="AH717" s="1150">
        <f>IFERROR(VLOOKUP(CONCATENATE($L717,$N717),'Drop List'!$G$23:$K$87,3,FALSE),0)</f>
        <v>0.31499999999999995</v>
      </c>
      <c r="AI717" s="1150">
        <f>IFERROR(VLOOKUP(CONCATENATE($L717,$N717),'Drop List'!$G$23:$K$87,4,FALSE),0)</f>
        <v>0</v>
      </c>
      <c r="AJ717" s="1151">
        <f>IFERROR(VLOOKUP(CONCATENATE($L717,$N717),'Drop List'!$G$23:$K$87,5,FALSE),0)</f>
        <v>0</v>
      </c>
      <c r="AK717" s="1152">
        <f t="shared" si="211"/>
        <v>6489.4160000000011</v>
      </c>
      <c r="AL717" s="1153">
        <f t="shared" si="212"/>
        <v>2984.1839999999997</v>
      </c>
      <c r="AM717" s="1153">
        <f t="shared" si="213"/>
        <v>0</v>
      </c>
      <c r="AN717" s="1145">
        <f t="shared" si="214"/>
        <v>0</v>
      </c>
      <c r="AO717" s="1154">
        <f t="shared" si="215"/>
        <v>9473.6</v>
      </c>
      <c r="AP717" s="1147">
        <f t="shared" si="201"/>
        <v>0</v>
      </c>
      <c r="AQ717" s="1144">
        <f t="shared" si="202"/>
        <v>0</v>
      </c>
      <c r="AR717" s="1146">
        <f t="shared" si="203"/>
        <v>9473.6</v>
      </c>
    </row>
    <row r="718" spans="1:44" x14ac:dyDescent="0.2">
      <c r="A718" s="1141" t="str">
        <f t="shared" si="198"/>
        <v>1542</v>
      </c>
      <c r="B718" s="1141" t="str">
        <f>IFERROR(VLOOKUP(A718,'LAC 103'!A:C,3,FALSE),"")</f>
        <v>OP</v>
      </c>
      <c r="C718" s="1478" t="str">
        <f>Info!$B$8</f>
        <v>00100</v>
      </c>
      <c r="D718" s="1474" t="s">
        <v>256</v>
      </c>
      <c r="E718" s="1474" t="s">
        <v>95</v>
      </c>
      <c r="F718" s="1478" t="s">
        <v>392</v>
      </c>
      <c r="G718" s="1478" t="s">
        <v>392</v>
      </c>
      <c r="H718" s="1474" t="s">
        <v>1653</v>
      </c>
      <c r="I718" s="1478" t="s">
        <v>913</v>
      </c>
      <c r="J718" s="1478"/>
      <c r="K718" s="1475" t="s">
        <v>848</v>
      </c>
      <c r="L718" s="1474" t="s">
        <v>45</v>
      </c>
      <c r="M718" s="1476" t="s">
        <v>842</v>
      </c>
      <c r="N718" s="1477" t="s">
        <v>1692</v>
      </c>
      <c r="O718" s="1479">
        <v>5082</v>
      </c>
      <c r="P718" s="1479"/>
      <c r="Q718" s="1142">
        <f t="shared" si="199"/>
        <v>5082</v>
      </c>
      <c r="R718" s="1143">
        <f>IFERROR(VLOOKUP(CONCATENATE(E718,G718),'LAC 103'!$A$12:$O$95,11,FALSE),0)</f>
        <v>3.2074101033884355</v>
      </c>
      <c r="S718" s="1144">
        <f>IFERROR(VLOOKUP(CONCATENATE($E718,$G718),'LAC 103'!$A$12:$O$95,12,FALSE),0)</f>
        <v>3.99</v>
      </c>
      <c r="T718" s="1144">
        <f>IFERROR(VLOOKUP(CONCATENATE($E718,$G718),'LAC 103'!$A$12:$O$95,13,FALSE),0)</f>
        <v>2.48</v>
      </c>
      <c r="U718" s="1144">
        <f>IFERROR(VLOOKUP(CONCATENATE($E718,$G718),'LAC 103'!$A$12:$O$95,14,FALSE),0)</f>
        <v>0</v>
      </c>
      <c r="V718" s="1144">
        <f>IFERROR(VLOOKUP(CONCATENATE($E718,$G718),'LAC 103'!$A$12:$O$95,15,FALSE),0)</f>
        <v>0</v>
      </c>
      <c r="W718" s="1145" t="str">
        <f>IFERROR(VLOOKUP(CONCATENATE($B718,$N718),'LAC 103'!$AI:$AQ,9,FALSE),"")</f>
        <v>Costs</v>
      </c>
      <c r="X718" s="1146">
        <f t="shared" si="204"/>
        <v>3.2074101033884355</v>
      </c>
      <c r="Y718" s="1143">
        <f t="shared" si="205"/>
        <v>16300.058145420029</v>
      </c>
      <c r="Z718" s="1147">
        <f t="shared" si="206"/>
        <v>20277.18</v>
      </c>
      <c r="AA718" s="1144">
        <f t="shared" si="207"/>
        <v>12603.36</v>
      </c>
      <c r="AB718" s="1144">
        <f t="shared" si="208"/>
        <v>0</v>
      </c>
      <c r="AC718" s="1144">
        <f t="shared" si="209"/>
        <v>0</v>
      </c>
      <c r="AD718" s="1148">
        <f t="shared" si="200"/>
        <v>16300.058145420029</v>
      </c>
      <c r="AE718" s="1487">
        <v>0</v>
      </c>
      <c r="AF718" s="1145">
        <f t="shared" si="210"/>
        <v>16300.058145420029</v>
      </c>
      <c r="AG718" s="1149">
        <f>IFERROR(VLOOKUP(CONCATENATE($L718,$N718),'Drop List'!$G$23:$K$87,2,FALSE),0)</f>
        <v>0.69340000000000002</v>
      </c>
      <c r="AH718" s="1150">
        <f>IFERROR(VLOOKUP(CONCATENATE($L718,$N718),'Drop List'!$G$23:$K$87,3,FALSE),0)</f>
        <v>0.30659999999999998</v>
      </c>
      <c r="AI718" s="1150">
        <f>IFERROR(VLOOKUP(CONCATENATE($L718,$N718),'Drop List'!$G$23:$K$87,4,FALSE),0)</f>
        <v>0</v>
      </c>
      <c r="AJ718" s="1151">
        <f>IFERROR(VLOOKUP(CONCATENATE($L718,$N718),'Drop List'!$G$23:$K$87,5,FALSE),0)</f>
        <v>0</v>
      </c>
      <c r="AK718" s="1152">
        <f t="shared" si="211"/>
        <v>11302.460318034249</v>
      </c>
      <c r="AL718" s="1153">
        <f t="shared" si="212"/>
        <v>4997.5978273857809</v>
      </c>
      <c r="AM718" s="1153">
        <f t="shared" si="213"/>
        <v>0</v>
      </c>
      <c r="AN718" s="1145">
        <f t="shared" si="214"/>
        <v>0</v>
      </c>
      <c r="AO718" s="1154">
        <f t="shared" si="215"/>
        <v>16300.058145420029</v>
      </c>
      <c r="AP718" s="1147">
        <f t="shared" si="201"/>
        <v>0</v>
      </c>
      <c r="AQ718" s="1144">
        <f t="shared" si="202"/>
        <v>0</v>
      </c>
      <c r="AR718" s="1146">
        <f t="shared" si="203"/>
        <v>16300.058145420029</v>
      </c>
    </row>
    <row r="719" spans="1:44" x14ac:dyDescent="0.2">
      <c r="A719" s="1141" t="str">
        <f t="shared" si="198"/>
        <v>1542</v>
      </c>
      <c r="B719" s="1141" t="str">
        <f>IFERROR(VLOOKUP(A719,'LAC 103'!A:C,3,FALSE),"")</f>
        <v>OP</v>
      </c>
      <c r="C719" s="1478" t="str">
        <f>Info!$B$8</f>
        <v>00100</v>
      </c>
      <c r="D719" s="1474" t="s">
        <v>256</v>
      </c>
      <c r="E719" s="1474" t="s">
        <v>95</v>
      </c>
      <c r="F719" s="1478" t="s">
        <v>392</v>
      </c>
      <c r="G719" s="1478" t="s">
        <v>392</v>
      </c>
      <c r="H719" s="1474" t="s">
        <v>1653</v>
      </c>
      <c r="I719" s="1478" t="s">
        <v>913</v>
      </c>
      <c r="J719" s="1478"/>
      <c r="K719" s="1475" t="s">
        <v>848</v>
      </c>
      <c r="L719" s="1474" t="s">
        <v>45</v>
      </c>
      <c r="M719" s="1476" t="s">
        <v>1698</v>
      </c>
      <c r="N719" s="1477" t="s">
        <v>1693</v>
      </c>
      <c r="O719" s="1479">
        <v>5834</v>
      </c>
      <c r="P719" s="1479"/>
      <c r="Q719" s="1142">
        <f t="shared" si="199"/>
        <v>5834</v>
      </c>
      <c r="R719" s="1143">
        <f>IFERROR(VLOOKUP(CONCATENATE(E719,G719),'LAC 103'!$A$12:$O$95,11,FALSE),0)</f>
        <v>3.2074101033884355</v>
      </c>
      <c r="S719" s="1144">
        <f>IFERROR(VLOOKUP(CONCATENATE($E719,$G719),'LAC 103'!$A$12:$O$95,12,FALSE),0)</f>
        <v>3.99</v>
      </c>
      <c r="T719" s="1144">
        <f>IFERROR(VLOOKUP(CONCATENATE($E719,$G719),'LAC 103'!$A$12:$O$95,13,FALSE),0)</f>
        <v>2.48</v>
      </c>
      <c r="U719" s="1144">
        <f>IFERROR(VLOOKUP(CONCATENATE($E719,$G719),'LAC 103'!$A$12:$O$95,14,FALSE),0)</f>
        <v>0</v>
      </c>
      <c r="V719" s="1144">
        <f>IFERROR(VLOOKUP(CONCATENATE($E719,$G719),'LAC 103'!$A$12:$O$95,15,FALSE),0)</f>
        <v>0</v>
      </c>
      <c r="W719" s="1145" t="str">
        <f>IFERROR(VLOOKUP(CONCATENATE($B719,$N719),'LAC 103'!$AI:$AQ,9,FALSE),"")</f>
        <v>Costs</v>
      </c>
      <c r="X719" s="1146">
        <f t="shared" si="204"/>
        <v>3.2074101033884355</v>
      </c>
      <c r="Y719" s="1143">
        <f t="shared" si="205"/>
        <v>18712.030543168134</v>
      </c>
      <c r="Z719" s="1147">
        <f t="shared" si="206"/>
        <v>23277.66</v>
      </c>
      <c r="AA719" s="1144">
        <f t="shared" si="207"/>
        <v>14468.32</v>
      </c>
      <c r="AB719" s="1144">
        <f t="shared" si="208"/>
        <v>0</v>
      </c>
      <c r="AC719" s="1144">
        <f t="shared" si="209"/>
        <v>0</v>
      </c>
      <c r="AD719" s="1148">
        <f t="shared" si="200"/>
        <v>18712.030543168134</v>
      </c>
      <c r="AE719" s="1487">
        <v>0</v>
      </c>
      <c r="AF719" s="1145">
        <f t="shared" si="210"/>
        <v>18712.030543168134</v>
      </c>
      <c r="AG719" s="1149">
        <f>IFERROR(VLOOKUP(CONCATENATE($L719,$N719),'Drop List'!$G$23:$K$87,2,FALSE),0)</f>
        <v>0.69340000000000002</v>
      </c>
      <c r="AH719" s="1150">
        <f>IFERROR(VLOOKUP(CONCATENATE($L719,$N719),'Drop List'!$G$23:$K$87,3,FALSE),0)</f>
        <v>0.30659999999999998</v>
      </c>
      <c r="AI719" s="1150">
        <f>IFERROR(VLOOKUP(CONCATENATE($L719,$N719),'Drop List'!$G$23:$K$87,4,FALSE),0)</f>
        <v>0</v>
      </c>
      <c r="AJ719" s="1151">
        <f>IFERROR(VLOOKUP(CONCATENATE($L719,$N719),'Drop List'!$G$23:$K$87,5,FALSE),0)</f>
        <v>0</v>
      </c>
      <c r="AK719" s="1152">
        <f t="shared" si="211"/>
        <v>12974.921978632785</v>
      </c>
      <c r="AL719" s="1153">
        <f t="shared" si="212"/>
        <v>5737.1085645353496</v>
      </c>
      <c r="AM719" s="1153">
        <f t="shared" si="213"/>
        <v>0</v>
      </c>
      <c r="AN719" s="1145">
        <f t="shared" si="214"/>
        <v>0</v>
      </c>
      <c r="AO719" s="1154">
        <f t="shared" si="215"/>
        <v>18712.030543168134</v>
      </c>
      <c r="AP719" s="1147">
        <f t="shared" si="201"/>
        <v>0</v>
      </c>
      <c r="AQ719" s="1144">
        <f t="shared" si="202"/>
        <v>0</v>
      </c>
      <c r="AR719" s="1146">
        <f t="shared" si="203"/>
        <v>18712.030543168134</v>
      </c>
    </row>
    <row r="720" spans="1:44" x14ac:dyDescent="0.2">
      <c r="A720" s="1141" t="str">
        <f t="shared" si="198"/>
        <v>1542</v>
      </c>
      <c r="B720" s="1141" t="str">
        <f>IFERROR(VLOOKUP(A720,'LAC 103'!A:C,3,FALSE),"")</f>
        <v>OP</v>
      </c>
      <c r="C720" s="1478" t="str">
        <f>Info!$B$8</f>
        <v>00100</v>
      </c>
      <c r="D720" s="1474" t="s">
        <v>256</v>
      </c>
      <c r="E720" s="1474" t="s">
        <v>95</v>
      </c>
      <c r="F720" s="1478" t="s">
        <v>392</v>
      </c>
      <c r="G720" s="1478" t="s">
        <v>392</v>
      </c>
      <c r="H720" s="1474" t="s">
        <v>1653</v>
      </c>
      <c r="I720" s="1478" t="s">
        <v>913</v>
      </c>
      <c r="J720" s="1478"/>
      <c r="K720" s="1475" t="s">
        <v>971</v>
      </c>
      <c r="L720" s="1474" t="s">
        <v>332</v>
      </c>
      <c r="M720" s="1476" t="s">
        <v>1698</v>
      </c>
      <c r="N720" s="1477" t="s">
        <v>1693</v>
      </c>
      <c r="O720" s="1479">
        <v>1078</v>
      </c>
      <c r="P720" s="1479"/>
      <c r="Q720" s="1142">
        <f t="shared" si="199"/>
        <v>1078</v>
      </c>
      <c r="R720" s="1143">
        <f>IFERROR(VLOOKUP(CONCATENATE(E720,G720),'LAC 103'!$A$12:$O$95,11,FALSE),0)</f>
        <v>3.2074101033884355</v>
      </c>
      <c r="S720" s="1144">
        <f>IFERROR(VLOOKUP(CONCATENATE($E720,$G720),'LAC 103'!$A$12:$O$95,12,FALSE),0)</f>
        <v>3.99</v>
      </c>
      <c r="T720" s="1144">
        <f>IFERROR(VLOOKUP(CONCATENATE($E720,$G720),'LAC 103'!$A$12:$O$95,13,FALSE),0)</f>
        <v>2.48</v>
      </c>
      <c r="U720" s="1144">
        <f>IFERROR(VLOOKUP(CONCATENATE($E720,$G720),'LAC 103'!$A$12:$O$95,14,FALSE),0)</f>
        <v>0</v>
      </c>
      <c r="V720" s="1144">
        <f>IFERROR(VLOOKUP(CONCATENATE($E720,$G720),'LAC 103'!$A$12:$O$95,15,FALSE),0)</f>
        <v>0</v>
      </c>
      <c r="W720" s="1145" t="str">
        <f>IFERROR(VLOOKUP(CONCATENATE($B720,$N720),'LAC 103'!$AI:$AQ,9,FALSE),"")</f>
        <v>Costs</v>
      </c>
      <c r="X720" s="1146">
        <f t="shared" si="204"/>
        <v>3.2074101033884355</v>
      </c>
      <c r="Y720" s="1143">
        <f t="shared" si="205"/>
        <v>3457.5880914527334</v>
      </c>
      <c r="Z720" s="1147">
        <f t="shared" si="206"/>
        <v>4301.22</v>
      </c>
      <c r="AA720" s="1144">
        <f t="shared" si="207"/>
        <v>2673.44</v>
      </c>
      <c r="AB720" s="1144">
        <f t="shared" si="208"/>
        <v>0</v>
      </c>
      <c r="AC720" s="1144">
        <f t="shared" si="209"/>
        <v>0</v>
      </c>
      <c r="AD720" s="1148">
        <f t="shared" si="200"/>
        <v>3457.5880914527334</v>
      </c>
      <c r="AE720" s="1487">
        <v>0</v>
      </c>
      <c r="AF720" s="1145">
        <f t="shared" si="210"/>
        <v>3457.5880914527334</v>
      </c>
      <c r="AG720" s="1149">
        <f>IFERROR(VLOOKUP(CONCATENATE($L720,$N720),'Drop List'!$G$23:$K$87,2,FALSE),0)</f>
        <v>0</v>
      </c>
      <c r="AH720" s="1150">
        <f>IFERROR(VLOOKUP(CONCATENATE($L720,$N720),'Drop List'!$G$23:$K$87,3,FALSE),0)</f>
        <v>0</v>
      </c>
      <c r="AI720" s="1150">
        <f>IFERROR(VLOOKUP(CONCATENATE($L720,$N720),'Drop List'!$G$23:$K$87,4,FALSE),0)</f>
        <v>0</v>
      </c>
      <c r="AJ720" s="1151">
        <f>IFERROR(VLOOKUP(CONCATENATE($L720,$N720),'Drop List'!$G$23:$K$87,5,FALSE),0)</f>
        <v>0</v>
      </c>
      <c r="AK720" s="1152">
        <f t="shared" si="211"/>
        <v>0</v>
      </c>
      <c r="AL720" s="1153">
        <f t="shared" si="212"/>
        <v>0</v>
      </c>
      <c r="AM720" s="1153">
        <f t="shared" si="213"/>
        <v>0</v>
      </c>
      <c r="AN720" s="1145">
        <f t="shared" si="214"/>
        <v>0</v>
      </c>
      <c r="AO720" s="1154">
        <f t="shared" si="215"/>
        <v>0</v>
      </c>
      <c r="AP720" s="1147">
        <f t="shared" si="201"/>
        <v>3457.5880914527334</v>
      </c>
      <c r="AQ720" s="1144">
        <f t="shared" si="202"/>
        <v>0</v>
      </c>
      <c r="AR720" s="1146">
        <f t="shared" si="203"/>
        <v>3457.5880914527334</v>
      </c>
    </row>
    <row r="721" spans="1:44" x14ac:dyDescent="0.2">
      <c r="A721" s="1141" t="str">
        <f t="shared" si="198"/>
        <v>1542</v>
      </c>
      <c r="B721" s="1141" t="str">
        <f>IFERROR(VLOOKUP(A721,'LAC 103'!A:C,3,FALSE),"")</f>
        <v>OP</v>
      </c>
      <c r="C721" s="1478" t="str">
        <f>Info!$B$8</f>
        <v>00100</v>
      </c>
      <c r="D721" s="1474" t="s">
        <v>256</v>
      </c>
      <c r="E721" s="1474" t="s">
        <v>95</v>
      </c>
      <c r="F721" s="1478" t="s">
        <v>392</v>
      </c>
      <c r="G721" s="1478" t="s">
        <v>392</v>
      </c>
      <c r="H721" s="1474" t="s">
        <v>1656</v>
      </c>
      <c r="I721" s="1478" t="s">
        <v>809</v>
      </c>
      <c r="J721" s="1478" t="s">
        <v>123</v>
      </c>
      <c r="K721" s="1475" t="s">
        <v>1654</v>
      </c>
      <c r="L721" s="1474" t="s">
        <v>332</v>
      </c>
      <c r="M721" s="1476" t="s">
        <v>1699</v>
      </c>
      <c r="N721" s="1477" t="s">
        <v>1694</v>
      </c>
      <c r="O721" s="1479">
        <v>614</v>
      </c>
      <c r="P721" s="1479"/>
      <c r="Q721" s="1142">
        <f t="shared" si="199"/>
        <v>614</v>
      </c>
      <c r="R721" s="1143">
        <f>IFERROR(VLOOKUP(CONCATENATE(E721,G721),'LAC 103'!$A$12:$O$95,11,FALSE),0)</f>
        <v>3.2074101033884355</v>
      </c>
      <c r="S721" s="1144">
        <f>IFERROR(VLOOKUP(CONCATENATE($E721,$G721),'LAC 103'!$A$12:$O$95,12,FALSE),0)</f>
        <v>3.99</v>
      </c>
      <c r="T721" s="1144">
        <f>IFERROR(VLOOKUP(CONCATENATE($E721,$G721),'LAC 103'!$A$12:$O$95,13,FALSE),0)</f>
        <v>2.48</v>
      </c>
      <c r="U721" s="1144">
        <f>IFERROR(VLOOKUP(CONCATENATE($E721,$G721),'LAC 103'!$A$12:$O$95,14,FALSE),0)</f>
        <v>0</v>
      </c>
      <c r="V721" s="1144">
        <f>IFERROR(VLOOKUP(CONCATENATE($E721,$G721),'LAC 103'!$A$12:$O$95,15,FALSE),0)</f>
        <v>0</v>
      </c>
      <c r="W721" s="1145" t="str">
        <f>IFERROR(VLOOKUP(CONCATENATE($B721,$N721),'LAC 103'!$AI:$AQ,9,FALSE),"")</f>
        <v>Costs</v>
      </c>
      <c r="X721" s="1146">
        <f t="shared" si="204"/>
        <v>3.2074101033884355</v>
      </c>
      <c r="Y721" s="1143">
        <f t="shared" si="205"/>
        <v>1969.3498034804993</v>
      </c>
      <c r="Z721" s="1147">
        <f t="shared" si="206"/>
        <v>2449.86</v>
      </c>
      <c r="AA721" s="1144">
        <f t="shared" si="207"/>
        <v>1522.72</v>
      </c>
      <c r="AB721" s="1144">
        <f t="shared" si="208"/>
        <v>0</v>
      </c>
      <c r="AC721" s="1144">
        <f t="shared" si="209"/>
        <v>0</v>
      </c>
      <c r="AD721" s="1148">
        <f t="shared" si="200"/>
        <v>1969.3498034804993</v>
      </c>
      <c r="AE721" s="1487">
        <v>0</v>
      </c>
      <c r="AF721" s="1145">
        <f t="shared" si="210"/>
        <v>1969.3498034804993</v>
      </c>
      <c r="AG721" s="1149">
        <f>IFERROR(VLOOKUP(CONCATENATE($L721,$N721),'Drop List'!$G$23:$K$87,2,FALSE),0)</f>
        <v>0</v>
      </c>
      <c r="AH721" s="1150">
        <f>IFERROR(VLOOKUP(CONCATENATE($L721,$N721),'Drop List'!$G$23:$K$87,3,FALSE),0)</f>
        <v>0</v>
      </c>
      <c r="AI721" s="1150">
        <f>IFERROR(VLOOKUP(CONCATENATE($L721,$N721),'Drop List'!$G$23:$K$87,4,FALSE),0)</f>
        <v>0</v>
      </c>
      <c r="AJ721" s="1151">
        <f>IFERROR(VLOOKUP(CONCATENATE($L721,$N721),'Drop List'!$G$23:$K$87,5,FALSE),0)</f>
        <v>0</v>
      </c>
      <c r="AK721" s="1152">
        <f t="shared" si="211"/>
        <v>0</v>
      </c>
      <c r="AL721" s="1153">
        <f t="shared" si="212"/>
        <v>0</v>
      </c>
      <c r="AM721" s="1153">
        <f t="shared" si="213"/>
        <v>0</v>
      </c>
      <c r="AN721" s="1145">
        <f t="shared" si="214"/>
        <v>0</v>
      </c>
      <c r="AO721" s="1154">
        <f t="shared" si="215"/>
        <v>0</v>
      </c>
      <c r="AP721" s="1147">
        <f t="shared" si="201"/>
        <v>1969.3498034804993</v>
      </c>
      <c r="AQ721" s="1144">
        <f t="shared" si="202"/>
        <v>0</v>
      </c>
      <c r="AR721" s="1146">
        <f t="shared" si="203"/>
        <v>1969.3498034804993</v>
      </c>
    </row>
    <row r="722" spans="1:44" x14ac:dyDescent="0.2">
      <c r="A722" s="1141" t="str">
        <f t="shared" si="198"/>
        <v>1542</v>
      </c>
      <c r="B722" s="1141" t="str">
        <f>IFERROR(VLOOKUP(A722,'LAC 103'!A:C,3,FALSE),"")</f>
        <v>OP</v>
      </c>
      <c r="C722" s="1478" t="str">
        <f>Info!$B$8</f>
        <v>00100</v>
      </c>
      <c r="D722" s="1474" t="s">
        <v>256</v>
      </c>
      <c r="E722" s="1474" t="s">
        <v>95</v>
      </c>
      <c r="F722" s="1478" t="s">
        <v>392</v>
      </c>
      <c r="G722" s="1478" t="s">
        <v>392</v>
      </c>
      <c r="H722" s="1474" t="s">
        <v>1656</v>
      </c>
      <c r="I722" s="1478" t="s">
        <v>809</v>
      </c>
      <c r="J722" s="1478"/>
      <c r="K722" s="1475" t="s">
        <v>1654</v>
      </c>
      <c r="L722" s="1474" t="s">
        <v>332</v>
      </c>
      <c r="M722" s="1476" t="s">
        <v>841</v>
      </c>
      <c r="N722" s="1477" t="s">
        <v>1695</v>
      </c>
      <c r="O722" s="1479">
        <v>771</v>
      </c>
      <c r="P722" s="1479"/>
      <c r="Q722" s="1142">
        <f t="shared" si="199"/>
        <v>771</v>
      </c>
      <c r="R722" s="1143">
        <f>IFERROR(VLOOKUP(CONCATENATE(E722,G722),'LAC 103'!$A$12:$O$95,11,FALSE),0)</f>
        <v>3.2074101033884355</v>
      </c>
      <c r="S722" s="1144">
        <f>IFERROR(VLOOKUP(CONCATENATE($E722,$G722),'LAC 103'!$A$12:$O$95,12,FALSE),0)</f>
        <v>3.99</v>
      </c>
      <c r="T722" s="1144">
        <f>IFERROR(VLOOKUP(CONCATENATE($E722,$G722),'LAC 103'!$A$12:$O$95,13,FALSE),0)</f>
        <v>2.48</v>
      </c>
      <c r="U722" s="1144">
        <f>IFERROR(VLOOKUP(CONCATENATE($E722,$G722),'LAC 103'!$A$12:$O$95,14,FALSE),0)</f>
        <v>0</v>
      </c>
      <c r="V722" s="1144">
        <f>IFERROR(VLOOKUP(CONCATENATE($E722,$G722),'LAC 103'!$A$12:$O$95,15,FALSE),0)</f>
        <v>0</v>
      </c>
      <c r="W722" s="1145" t="str">
        <f>IFERROR(VLOOKUP(CONCATENATE($B722,$N722),'LAC 103'!$AI:$AQ,9,FALSE),"")</f>
        <v>Costs</v>
      </c>
      <c r="X722" s="1146">
        <f t="shared" si="204"/>
        <v>3.2074101033884355</v>
      </c>
      <c r="Y722" s="1143">
        <f t="shared" si="205"/>
        <v>2472.9131897124839</v>
      </c>
      <c r="Z722" s="1147">
        <f t="shared" si="206"/>
        <v>3076.29</v>
      </c>
      <c r="AA722" s="1144">
        <f t="shared" si="207"/>
        <v>1912.08</v>
      </c>
      <c r="AB722" s="1144">
        <f t="shared" si="208"/>
        <v>0</v>
      </c>
      <c r="AC722" s="1144">
        <f t="shared" si="209"/>
        <v>0</v>
      </c>
      <c r="AD722" s="1148">
        <f t="shared" si="200"/>
        <v>2472.9131897124839</v>
      </c>
      <c r="AE722" s="1487">
        <v>0</v>
      </c>
      <c r="AF722" s="1145">
        <f t="shared" si="210"/>
        <v>2472.9131897124839</v>
      </c>
      <c r="AG722" s="1149">
        <f>IFERROR(VLOOKUP(CONCATENATE($L722,$N722),'Drop List'!$G$23:$K$87,2,FALSE),0)</f>
        <v>0</v>
      </c>
      <c r="AH722" s="1150">
        <f>IFERROR(VLOOKUP(CONCATENATE($L722,$N722),'Drop List'!$G$23:$K$87,3,FALSE),0)</f>
        <v>0</v>
      </c>
      <c r="AI722" s="1150">
        <f>IFERROR(VLOOKUP(CONCATENATE($L722,$N722),'Drop List'!$G$23:$K$87,4,FALSE),0)</f>
        <v>0</v>
      </c>
      <c r="AJ722" s="1151">
        <f>IFERROR(VLOOKUP(CONCATENATE($L722,$N722),'Drop List'!$G$23:$K$87,5,FALSE),0)</f>
        <v>0</v>
      </c>
      <c r="AK722" s="1152">
        <f t="shared" si="211"/>
        <v>0</v>
      </c>
      <c r="AL722" s="1153">
        <f t="shared" si="212"/>
        <v>0</v>
      </c>
      <c r="AM722" s="1153">
        <f t="shared" si="213"/>
        <v>0</v>
      </c>
      <c r="AN722" s="1145">
        <f t="shared" si="214"/>
        <v>0</v>
      </c>
      <c r="AO722" s="1154">
        <f t="shared" si="215"/>
        <v>0</v>
      </c>
      <c r="AP722" s="1147">
        <f t="shared" si="201"/>
        <v>2472.9131897124839</v>
      </c>
      <c r="AQ722" s="1144">
        <f t="shared" si="202"/>
        <v>0</v>
      </c>
      <c r="AR722" s="1146">
        <f t="shared" si="203"/>
        <v>2472.9131897124839</v>
      </c>
    </row>
    <row r="723" spans="1:44" x14ac:dyDescent="0.2">
      <c r="A723" s="1141" t="str">
        <f t="shared" si="198"/>
        <v>1542</v>
      </c>
      <c r="B723" s="1141" t="str">
        <f>IFERROR(VLOOKUP(A723,'LAC 103'!A:C,3,FALSE),"")</f>
        <v>OP</v>
      </c>
      <c r="C723" s="1478" t="str">
        <f>Info!$B$8</f>
        <v>00100</v>
      </c>
      <c r="D723" s="1474" t="s">
        <v>256</v>
      </c>
      <c r="E723" s="1474" t="s">
        <v>95</v>
      </c>
      <c r="F723" s="1478" t="s">
        <v>392</v>
      </c>
      <c r="G723" s="1478" t="s">
        <v>392</v>
      </c>
      <c r="H723" s="1474" t="s">
        <v>1656</v>
      </c>
      <c r="I723" s="1478" t="s">
        <v>809</v>
      </c>
      <c r="J723" s="1478"/>
      <c r="K723" s="1475" t="s">
        <v>1654</v>
      </c>
      <c r="L723" s="1474" t="s">
        <v>332</v>
      </c>
      <c r="M723" s="1476" t="s">
        <v>840</v>
      </c>
      <c r="N723" s="1477" t="s">
        <v>1700</v>
      </c>
      <c r="O723" s="1479">
        <v>938</v>
      </c>
      <c r="P723" s="1479"/>
      <c r="Q723" s="1142">
        <f t="shared" si="199"/>
        <v>938</v>
      </c>
      <c r="R723" s="1143">
        <f>IFERROR(VLOOKUP(CONCATENATE(E723,G723),'LAC 103'!$A$12:$O$95,11,FALSE),0)</f>
        <v>3.2074101033884355</v>
      </c>
      <c r="S723" s="1144">
        <f>IFERROR(VLOOKUP(CONCATENATE($E723,$G723),'LAC 103'!$A$12:$O$95,12,FALSE),0)</f>
        <v>3.99</v>
      </c>
      <c r="T723" s="1144">
        <f>IFERROR(VLOOKUP(CONCATENATE($E723,$G723),'LAC 103'!$A$12:$O$95,13,FALSE),0)</f>
        <v>2.48</v>
      </c>
      <c r="U723" s="1144">
        <f>IFERROR(VLOOKUP(CONCATENATE($E723,$G723),'LAC 103'!$A$12:$O$95,14,FALSE),0)</f>
        <v>0</v>
      </c>
      <c r="V723" s="1144">
        <f>IFERROR(VLOOKUP(CONCATENATE($E723,$G723),'LAC 103'!$A$12:$O$95,15,FALSE),0)</f>
        <v>0</v>
      </c>
      <c r="W723" s="1145" t="str">
        <f>IFERROR(VLOOKUP(CONCATENATE($B723,$N723),'LAC 103'!$AI:$AQ,9,FALSE),"")</f>
        <v>P.C.</v>
      </c>
      <c r="X723" s="1146">
        <f t="shared" si="204"/>
        <v>2.48</v>
      </c>
      <c r="Y723" s="1143">
        <f t="shared" si="205"/>
        <v>3008.5506769783524</v>
      </c>
      <c r="Z723" s="1147">
        <f t="shared" si="206"/>
        <v>3742.6200000000003</v>
      </c>
      <c r="AA723" s="1144">
        <f t="shared" si="207"/>
        <v>2326.2399999999998</v>
      </c>
      <c r="AB723" s="1144">
        <f t="shared" si="208"/>
        <v>0</v>
      </c>
      <c r="AC723" s="1144">
        <f t="shared" si="209"/>
        <v>0</v>
      </c>
      <c r="AD723" s="1148">
        <f t="shared" si="200"/>
        <v>2326.2399999999998</v>
      </c>
      <c r="AE723" s="1487">
        <v>0</v>
      </c>
      <c r="AF723" s="1145">
        <f t="shared" si="210"/>
        <v>2326.2399999999998</v>
      </c>
      <c r="AG723" s="1149">
        <f>IFERROR(VLOOKUP(CONCATENATE($L723,$N723),'Drop List'!$G$23:$K$87,2,FALSE),0)</f>
        <v>0</v>
      </c>
      <c r="AH723" s="1150">
        <f>IFERROR(VLOOKUP(CONCATENATE($L723,$N723),'Drop List'!$G$23:$K$87,3,FALSE),0)</f>
        <v>0</v>
      </c>
      <c r="AI723" s="1150">
        <f>IFERROR(VLOOKUP(CONCATENATE($L723,$N723),'Drop List'!$G$23:$K$87,4,FALSE),0)</f>
        <v>0</v>
      </c>
      <c r="AJ723" s="1151">
        <f>IFERROR(VLOOKUP(CONCATENATE($L723,$N723),'Drop List'!$G$23:$K$87,5,FALSE),0)</f>
        <v>0</v>
      </c>
      <c r="AK723" s="1152">
        <f t="shared" si="211"/>
        <v>0</v>
      </c>
      <c r="AL723" s="1153">
        <f t="shared" si="212"/>
        <v>0</v>
      </c>
      <c r="AM723" s="1153">
        <f t="shared" si="213"/>
        <v>0</v>
      </c>
      <c r="AN723" s="1145">
        <f t="shared" si="214"/>
        <v>0</v>
      </c>
      <c r="AO723" s="1154">
        <f t="shared" si="215"/>
        <v>0</v>
      </c>
      <c r="AP723" s="1147">
        <f t="shared" si="201"/>
        <v>2326.2399999999998</v>
      </c>
      <c r="AQ723" s="1144">
        <f t="shared" si="202"/>
        <v>0</v>
      </c>
      <c r="AR723" s="1146">
        <f t="shared" si="203"/>
        <v>2326.2399999999998</v>
      </c>
    </row>
    <row r="724" spans="1:44" x14ac:dyDescent="0.2">
      <c r="A724" s="1141" t="str">
        <f t="shared" si="198"/>
        <v>1542</v>
      </c>
      <c r="B724" s="1141" t="str">
        <f>IFERROR(VLOOKUP(A724,'LAC 103'!A:C,3,FALSE),"")</f>
        <v>OP</v>
      </c>
      <c r="C724" s="1478" t="str">
        <f>Info!$B$8</f>
        <v>00100</v>
      </c>
      <c r="D724" s="1474" t="s">
        <v>256</v>
      </c>
      <c r="E724" s="1474" t="s">
        <v>95</v>
      </c>
      <c r="F724" s="1478" t="s">
        <v>392</v>
      </c>
      <c r="G724" s="1478" t="s">
        <v>392</v>
      </c>
      <c r="H724" s="1474" t="s">
        <v>1656</v>
      </c>
      <c r="I724" s="1478" t="s">
        <v>809</v>
      </c>
      <c r="J724" s="1478"/>
      <c r="K724" s="1475" t="s">
        <v>1654</v>
      </c>
      <c r="L724" s="1474" t="s">
        <v>332</v>
      </c>
      <c r="M724" s="1476" t="s">
        <v>1698</v>
      </c>
      <c r="N724" s="1477" t="s">
        <v>1693</v>
      </c>
      <c r="O724" s="1479">
        <v>1343</v>
      </c>
      <c r="P724" s="1479"/>
      <c r="Q724" s="1142">
        <f t="shared" si="199"/>
        <v>1343</v>
      </c>
      <c r="R724" s="1143">
        <f>IFERROR(VLOOKUP(CONCATENATE(E724,G724),'LAC 103'!$A$12:$O$95,11,FALSE),0)</f>
        <v>3.2074101033884355</v>
      </c>
      <c r="S724" s="1144">
        <f>IFERROR(VLOOKUP(CONCATENATE($E724,$G724),'LAC 103'!$A$12:$O$95,12,FALSE),0)</f>
        <v>3.99</v>
      </c>
      <c r="T724" s="1144">
        <f>IFERROR(VLOOKUP(CONCATENATE($E724,$G724),'LAC 103'!$A$12:$O$95,13,FALSE),0)</f>
        <v>2.48</v>
      </c>
      <c r="U724" s="1144">
        <f>IFERROR(VLOOKUP(CONCATENATE($E724,$G724),'LAC 103'!$A$12:$O$95,14,FALSE),0)</f>
        <v>0</v>
      </c>
      <c r="V724" s="1144">
        <f>IFERROR(VLOOKUP(CONCATENATE($E724,$G724),'LAC 103'!$A$12:$O$95,15,FALSE),0)</f>
        <v>0</v>
      </c>
      <c r="W724" s="1145" t="str">
        <f>IFERROR(VLOOKUP(CONCATENATE($B724,$N724),'LAC 103'!$AI:$AQ,9,FALSE),"")</f>
        <v>Costs</v>
      </c>
      <c r="X724" s="1146">
        <f t="shared" si="204"/>
        <v>3.2074101033884355</v>
      </c>
      <c r="Y724" s="1143">
        <f t="shared" si="205"/>
        <v>4307.5517688506689</v>
      </c>
      <c r="Z724" s="1147">
        <f t="shared" si="206"/>
        <v>5358.5700000000006</v>
      </c>
      <c r="AA724" s="1144">
        <f t="shared" si="207"/>
        <v>3330.64</v>
      </c>
      <c r="AB724" s="1144">
        <f t="shared" si="208"/>
        <v>0</v>
      </c>
      <c r="AC724" s="1144">
        <f t="shared" si="209"/>
        <v>0</v>
      </c>
      <c r="AD724" s="1148">
        <f t="shared" si="200"/>
        <v>4307.5517688506689</v>
      </c>
      <c r="AE724" s="1487">
        <v>0</v>
      </c>
      <c r="AF724" s="1145">
        <f t="shared" si="210"/>
        <v>4307.5517688506689</v>
      </c>
      <c r="AG724" s="1149">
        <f>IFERROR(VLOOKUP(CONCATENATE($L724,$N724),'Drop List'!$G$23:$K$87,2,FALSE),0)</f>
        <v>0</v>
      </c>
      <c r="AH724" s="1150">
        <f>IFERROR(VLOOKUP(CONCATENATE($L724,$N724),'Drop List'!$G$23:$K$87,3,FALSE),0)</f>
        <v>0</v>
      </c>
      <c r="AI724" s="1150">
        <f>IFERROR(VLOOKUP(CONCATENATE($L724,$N724),'Drop List'!$G$23:$K$87,4,FALSE),0)</f>
        <v>0</v>
      </c>
      <c r="AJ724" s="1151">
        <f>IFERROR(VLOOKUP(CONCATENATE($L724,$N724),'Drop List'!$G$23:$K$87,5,FALSE),0)</f>
        <v>0</v>
      </c>
      <c r="AK724" s="1152">
        <f t="shared" si="211"/>
        <v>0</v>
      </c>
      <c r="AL724" s="1153">
        <f t="shared" si="212"/>
        <v>0</v>
      </c>
      <c r="AM724" s="1153">
        <f t="shared" si="213"/>
        <v>0</v>
      </c>
      <c r="AN724" s="1145">
        <f t="shared" si="214"/>
        <v>0</v>
      </c>
      <c r="AO724" s="1154">
        <f t="shared" si="215"/>
        <v>0</v>
      </c>
      <c r="AP724" s="1147">
        <f t="shared" si="201"/>
        <v>4307.5517688506689</v>
      </c>
      <c r="AQ724" s="1144">
        <f t="shared" si="202"/>
        <v>0</v>
      </c>
      <c r="AR724" s="1146">
        <f t="shared" si="203"/>
        <v>4307.5517688506689</v>
      </c>
    </row>
    <row r="725" spans="1:44" x14ac:dyDescent="0.2">
      <c r="A725" s="1141" t="str">
        <f t="shared" si="198"/>
        <v>1542</v>
      </c>
      <c r="B725" s="1141" t="str">
        <f>IFERROR(VLOOKUP(A725,'LAC 103'!A:C,3,FALSE),"")</f>
        <v>OP</v>
      </c>
      <c r="C725" s="1478" t="str">
        <f>Info!$B$8</f>
        <v>00100</v>
      </c>
      <c r="D725" s="1474" t="s">
        <v>256</v>
      </c>
      <c r="E725" s="1474" t="s">
        <v>95</v>
      </c>
      <c r="F725" s="1478" t="s">
        <v>392</v>
      </c>
      <c r="G725" s="1478" t="s">
        <v>392</v>
      </c>
      <c r="H725" s="1474" t="s">
        <v>1656</v>
      </c>
      <c r="I725" s="1478" t="s">
        <v>809</v>
      </c>
      <c r="J725" s="1478"/>
      <c r="K725" s="1475" t="s">
        <v>847</v>
      </c>
      <c r="L725" s="1474" t="s">
        <v>582</v>
      </c>
      <c r="M725" s="1476" t="s">
        <v>1699</v>
      </c>
      <c r="N725" s="1477" t="s">
        <v>1694</v>
      </c>
      <c r="O725" s="1479">
        <v>72697</v>
      </c>
      <c r="P725" s="1479"/>
      <c r="Q725" s="1142">
        <f t="shared" si="199"/>
        <v>72697</v>
      </c>
      <c r="R725" s="1143">
        <f>IFERROR(VLOOKUP(CONCATENATE(E725,G725),'LAC 103'!$A$12:$O$95,11,FALSE),0)</f>
        <v>3.2074101033884355</v>
      </c>
      <c r="S725" s="1144">
        <f>IFERROR(VLOOKUP(CONCATENATE($E725,$G725),'LAC 103'!$A$12:$O$95,12,FALSE),0)</f>
        <v>3.99</v>
      </c>
      <c r="T725" s="1144">
        <f>IFERROR(VLOOKUP(CONCATENATE($E725,$G725),'LAC 103'!$A$12:$O$95,13,FALSE),0)</f>
        <v>2.48</v>
      </c>
      <c r="U725" s="1144">
        <f>IFERROR(VLOOKUP(CONCATENATE($E725,$G725),'LAC 103'!$A$12:$O$95,14,FALSE),0)</f>
        <v>0</v>
      </c>
      <c r="V725" s="1144">
        <f>IFERROR(VLOOKUP(CONCATENATE($E725,$G725),'LAC 103'!$A$12:$O$95,15,FALSE),0)</f>
        <v>0</v>
      </c>
      <c r="W725" s="1145" t="str">
        <f>IFERROR(VLOOKUP(CONCATENATE($B725,$N725),'LAC 103'!$AI:$AQ,9,FALSE),"")</f>
        <v>Costs</v>
      </c>
      <c r="X725" s="1146">
        <f t="shared" si="204"/>
        <v>3.2074101033884355</v>
      </c>
      <c r="Y725" s="1143">
        <f t="shared" si="205"/>
        <v>233169.0922860291</v>
      </c>
      <c r="Z725" s="1147">
        <f t="shared" si="206"/>
        <v>290061.03000000003</v>
      </c>
      <c r="AA725" s="1144">
        <f t="shared" si="207"/>
        <v>180288.56</v>
      </c>
      <c r="AB725" s="1144">
        <f t="shared" si="208"/>
        <v>0</v>
      </c>
      <c r="AC725" s="1144">
        <f t="shared" si="209"/>
        <v>0</v>
      </c>
      <c r="AD725" s="1148">
        <f t="shared" si="200"/>
        <v>233169.0922860291</v>
      </c>
      <c r="AE725" s="1487">
        <v>0</v>
      </c>
      <c r="AF725" s="1145">
        <f t="shared" si="210"/>
        <v>233169.0922860291</v>
      </c>
      <c r="AG725" s="1149">
        <f>IFERROR(VLOOKUP(CONCATENATE($L725,$N725),'Drop List'!$G$23:$K$87,2,FALSE),0)</f>
        <v>0.56200000000000006</v>
      </c>
      <c r="AH725" s="1150">
        <f>IFERROR(VLOOKUP(CONCATENATE($L725,$N725),'Drop List'!$G$23:$K$87,3,FALSE),0)</f>
        <v>0.43799999999999994</v>
      </c>
      <c r="AI725" s="1150">
        <f>IFERROR(VLOOKUP(CONCATENATE($L725,$N725),'Drop List'!$G$23:$K$87,4,FALSE),0)</f>
        <v>0</v>
      </c>
      <c r="AJ725" s="1151">
        <f>IFERROR(VLOOKUP(CONCATENATE($L725,$N725),'Drop List'!$G$23:$K$87,5,FALSE),0)</f>
        <v>0</v>
      </c>
      <c r="AK725" s="1152">
        <f t="shared" si="211"/>
        <v>131041.02986474837</v>
      </c>
      <c r="AL725" s="1153">
        <f t="shared" si="212"/>
        <v>102128.06242128073</v>
      </c>
      <c r="AM725" s="1153">
        <f t="shared" si="213"/>
        <v>0</v>
      </c>
      <c r="AN725" s="1145">
        <f t="shared" si="214"/>
        <v>0</v>
      </c>
      <c r="AO725" s="1154">
        <f t="shared" si="215"/>
        <v>233169.0922860291</v>
      </c>
      <c r="AP725" s="1147">
        <f t="shared" si="201"/>
        <v>0</v>
      </c>
      <c r="AQ725" s="1144">
        <f t="shared" si="202"/>
        <v>0</v>
      </c>
      <c r="AR725" s="1146">
        <f t="shared" si="203"/>
        <v>233169.0922860291</v>
      </c>
    </row>
    <row r="726" spans="1:44" x14ac:dyDescent="0.2">
      <c r="A726" s="1141" t="str">
        <f t="shared" si="198"/>
        <v>1542</v>
      </c>
      <c r="B726" s="1141" t="str">
        <f>IFERROR(VLOOKUP(A726,'LAC 103'!A:C,3,FALSE),"")</f>
        <v>OP</v>
      </c>
      <c r="C726" s="1478" t="str">
        <f>Info!$B$8</f>
        <v>00100</v>
      </c>
      <c r="D726" s="1474" t="s">
        <v>256</v>
      </c>
      <c r="E726" s="1474" t="s">
        <v>95</v>
      </c>
      <c r="F726" s="1478" t="s">
        <v>392</v>
      </c>
      <c r="G726" s="1478" t="s">
        <v>392</v>
      </c>
      <c r="H726" s="1474" t="s">
        <v>1656</v>
      </c>
      <c r="I726" s="1478" t="s">
        <v>809</v>
      </c>
      <c r="J726" s="1478"/>
      <c r="K726" s="1475" t="s">
        <v>847</v>
      </c>
      <c r="L726" s="1474" t="s">
        <v>582</v>
      </c>
      <c r="M726" s="1476" t="s">
        <v>841</v>
      </c>
      <c r="N726" s="1477" t="s">
        <v>1695</v>
      </c>
      <c r="O726" s="1479">
        <v>36899</v>
      </c>
      <c r="P726" s="1479"/>
      <c r="Q726" s="1142">
        <f t="shared" si="199"/>
        <v>36899</v>
      </c>
      <c r="R726" s="1143">
        <f>IFERROR(VLOOKUP(CONCATENATE(E726,G726),'LAC 103'!$A$12:$O$95,11,FALSE),0)</f>
        <v>3.2074101033884355</v>
      </c>
      <c r="S726" s="1144">
        <f>IFERROR(VLOOKUP(CONCATENATE($E726,$G726),'LAC 103'!$A$12:$O$95,12,FALSE),0)</f>
        <v>3.99</v>
      </c>
      <c r="T726" s="1144">
        <f>IFERROR(VLOOKUP(CONCATENATE($E726,$G726),'LAC 103'!$A$12:$O$95,13,FALSE),0)</f>
        <v>2.48</v>
      </c>
      <c r="U726" s="1144">
        <f>IFERROR(VLOOKUP(CONCATENATE($E726,$G726),'LAC 103'!$A$12:$O$95,14,FALSE),0)</f>
        <v>0</v>
      </c>
      <c r="V726" s="1144">
        <f>IFERROR(VLOOKUP(CONCATENATE($E726,$G726),'LAC 103'!$A$12:$O$95,15,FALSE),0)</f>
        <v>0</v>
      </c>
      <c r="W726" s="1145" t="str">
        <f>IFERROR(VLOOKUP(CONCATENATE($B726,$N726),'LAC 103'!$AI:$AQ,9,FALSE),"")</f>
        <v>Costs</v>
      </c>
      <c r="X726" s="1146">
        <f t="shared" si="204"/>
        <v>3.2074101033884355</v>
      </c>
      <c r="Y726" s="1143">
        <f t="shared" si="205"/>
        <v>118350.22540492988</v>
      </c>
      <c r="Z726" s="1147">
        <f t="shared" si="206"/>
        <v>147227.01</v>
      </c>
      <c r="AA726" s="1144">
        <f t="shared" si="207"/>
        <v>91509.52</v>
      </c>
      <c r="AB726" s="1144">
        <f t="shared" si="208"/>
        <v>0</v>
      </c>
      <c r="AC726" s="1144">
        <f t="shared" si="209"/>
        <v>0</v>
      </c>
      <c r="AD726" s="1148">
        <f t="shared" si="200"/>
        <v>118350.22540492988</v>
      </c>
      <c r="AE726" s="1487">
        <v>0</v>
      </c>
      <c r="AF726" s="1145">
        <f t="shared" si="210"/>
        <v>118350.22540492988</v>
      </c>
      <c r="AG726" s="1149">
        <f>IFERROR(VLOOKUP(CONCATENATE($L726,$N726),'Drop List'!$G$23:$K$87,2,FALSE),0)</f>
        <v>0.55000000000000004</v>
      </c>
      <c r="AH726" s="1150">
        <f>IFERROR(VLOOKUP(CONCATENATE($L726,$N726),'Drop List'!$G$23:$K$87,3,FALSE),0)</f>
        <v>0.44999999999999996</v>
      </c>
      <c r="AI726" s="1150">
        <f>IFERROR(VLOOKUP(CONCATENATE($L726,$N726),'Drop List'!$G$23:$K$87,4,FALSE),0)</f>
        <v>0</v>
      </c>
      <c r="AJ726" s="1151">
        <f>IFERROR(VLOOKUP(CONCATENATE($L726,$N726),'Drop List'!$G$23:$K$87,5,FALSE),0)</f>
        <v>0</v>
      </c>
      <c r="AK726" s="1152">
        <f t="shared" si="211"/>
        <v>65092.623972711437</v>
      </c>
      <c r="AL726" s="1153">
        <f t="shared" si="212"/>
        <v>53257.601432218442</v>
      </c>
      <c r="AM726" s="1153">
        <f t="shared" si="213"/>
        <v>0</v>
      </c>
      <c r="AN726" s="1145">
        <f t="shared" si="214"/>
        <v>0</v>
      </c>
      <c r="AO726" s="1154">
        <f t="shared" si="215"/>
        <v>118350.22540492988</v>
      </c>
      <c r="AP726" s="1147">
        <f t="shared" si="201"/>
        <v>0</v>
      </c>
      <c r="AQ726" s="1144">
        <f t="shared" si="202"/>
        <v>0</v>
      </c>
      <c r="AR726" s="1146">
        <f t="shared" si="203"/>
        <v>118350.22540492988</v>
      </c>
    </row>
    <row r="727" spans="1:44" x14ac:dyDescent="0.2">
      <c r="A727" s="1141" t="str">
        <f t="shared" si="198"/>
        <v>1542</v>
      </c>
      <c r="B727" s="1141" t="str">
        <f>IFERROR(VLOOKUP(A727,'LAC 103'!A:C,3,FALSE),"")</f>
        <v>OP</v>
      </c>
      <c r="C727" s="1478" t="str">
        <f>Info!$B$8</f>
        <v>00100</v>
      </c>
      <c r="D727" s="1474" t="s">
        <v>256</v>
      </c>
      <c r="E727" s="1474" t="s">
        <v>95</v>
      </c>
      <c r="F727" s="1478" t="s">
        <v>392</v>
      </c>
      <c r="G727" s="1478" t="s">
        <v>392</v>
      </c>
      <c r="H727" s="1474" t="s">
        <v>1656</v>
      </c>
      <c r="I727" s="1478" t="s">
        <v>809</v>
      </c>
      <c r="J727" s="1478"/>
      <c r="K727" s="1475" t="s">
        <v>847</v>
      </c>
      <c r="L727" s="1474" t="s">
        <v>582</v>
      </c>
      <c r="M727" s="1476" t="s">
        <v>840</v>
      </c>
      <c r="N727" s="1477" t="s">
        <v>1700</v>
      </c>
      <c r="O727" s="1479">
        <v>55231</v>
      </c>
      <c r="P727" s="1479"/>
      <c r="Q727" s="1142">
        <f t="shared" si="199"/>
        <v>55231</v>
      </c>
      <c r="R727" s="1143">
        <f>IFERROR(VLOOKUP(CONCATENATE(E727,G727),'LAC 103'!$A$12:$O$95,11,FALSE),0)</f>
        <v>3.2074101033884355</v>
      </c>
      <c r="S727" s="1144">
        <f>IFERROR(VLOOKUP(CONCATENATE($E727,$G727),'LAC 103'!$A$12:$O$95,12,FALSE),0)</f>
        <v>3.99</v>
      </c>
      <c r="T727" s="1144">
        <f>IFERROR(VLOOKUP(CONCATENATE($E727,$G727),'LAC 103'!$A$12:$O$95,13,FALSE),0)</f>
        <v>2.48</v>
      </c>
      <c r="U727" s="1144">
        <f>IFERROR(VLOOKUP(CONCATENATE($E727,$G727),'LAC 103'!$A$12:$O$95,14,FALSE),0)</f>
        <v>0</v>
      </c>
      <c r="V727" s="1144">
        <f>IFERROR(VLOOKUP(CONCATENATE($E727,$G727),'LAC 103'!$A$12:$O$95,15,FALSE),0)</f>
        <v>0</v>
      </c>
      <c r="W727" s="1145" t="str">
        <f>IFERROR(VLOOKUP(CONCATENATE($B727,$N727),'LAC 103'!$AI:$AQ,9,FALSE),"")</f>
        <v>P.C.</v>
      </c>
      <c r="X727" s="1146">
        <f t="shared" si="204"/>
        <v>2.48</v>
      </c>
      <c r="Y727" s="1143">
        <f t="shared" si="205"/>
        <v>177148.46742024668</v>
      </c>
      <c r="Z727" s="1147">
        <f t="shared" si="206"/>
        <v>220371.69</v>
      </c>
      <c r="AA727" s="1144">
        <f t="shared" si="207"/>
        <v>136972.88</v>
      </c>
      <c r="AB727" s="1144">
        <f t="shared" si="208"/>
        <v>0</v>
      </c>
      <c r="AC727" s="1144">
        <f t="shared" si="209"/>
        <v>0</v>
      </c>
      <c r="AD727" s="1148">
        <f t="shared" si="200"/>
        <v>136972.88</v>
      </c>
      <c r="AE727" s="1487">
        <v>0</v>
      </c>
      <c r="AF727" s="1145">
        <f t="shared" si="210"/>
        <v>136972.88</v>
      </c>
      <c r="AG727" s="1149">
        <f>IFERROR(VLOOKUP(CONCATENATE($L727,$N727),'Drop List'!$G$23:$K$87,2,FALSE),0)</f>
        <v>0.55000000000000004</v>
      </c>
      <c r="AH727" s="1150">
        <f>IFERROR(VLOOKUP(CONCATENATE($L727,$N727),'Drop List'!$G$23:$K$87,3,FALSE),0)</f>
        <v>0.44999999999999996</v>
      </c>
      <c r="AI727" s="1150">
        <f>IFERROR(VLOOKUP(CONCATENATE($L727,$N727),'Drop List'!$G$23:$K$87,4,FALSE),0)</f>
        <v>0</v>
      </c>
      <c r="AJ727" s="1151">
        <f>IFERROR(VLOOKUP(CONCATENATE($L727,$N727),'Drop List'!$G$23:$K$87,5,FALSE),0)</f>
        <v>0</v>
      </c>
      <c r="AK727" s="1152">
        <f t="shared" si="211"/>
        <v>75335.084000000003</v>
      </c>
      <c r="AL727" s="1153">
        <f t="shared" si="212"/>
        <v>61637.795999999995</v>
      </c>
      <c r="AM727" s="1153">
        <f t="shared" si="213"/>
        <v>0</v>
      </c>
      <c r="AN727" s="1145">
        <f t="shared" si="214"/>
        <v>0</v>
      </c>
      <c r="AO727" s="1154">
        <f t="shared" si="215"/>
        <v>136972.88</v>
      </c>
      <c r="AP727" s="1147">
        <f t="shared" si="201"/>
        <v>0</v>
      </c>
      <c r="AQ727" s="1144">
        <f t="shared" si="202"/>
        <v>0</v>
      </c>
      <c r="AR727" s="1146">
        <f t="shared" si="203"/>
        <v>136972.88</v>
      </c>
    </row>
    <row r="728" spans="1:44" x14ac:dyDescent="0.2">
      <c r="A728" s="1141" t="str">
        <f t="shared" si="198"/>
        <v>1542</v>
      </c>
      <c r="B728" s="1141" t="str">
        <f>IFERROR(VLOOKUP(A728,'LAC 103'!A:C,3,FALSE),"")</f>
        <v>OP</v>
      </c>
      <c r="C728" s="1478" t="str">
        <f>Info!$B$8</f>
        <v>00100</v>
      </c>
      <c r="D728" s="1474" t="s">
        <v>256</v>
      </c>
      <c r="E728" s="1474" t="s">
        <v>95</v>
      </c>
      <c r="F728" s="1478" t="s">
        <v>392</v>
      </c>
      <c r="G728" s="1478" t="s">
        <v>392</v>
      </c>
      <c r="H728" s="1474" t="s">
        <v>1656</v>
      </c>
      <c r="I728" s="1478" t="s">
        <v>809</v>
      </c>
      <c r="J728" s="1478"/>
      <c r="K728" s="1475" t="s">
        <v>847</v>
      </c>
      <c r="L728" s="1474" t="s">
        <v>582</v>
      </c>
      <c r="M728" s="1476" t="s">
        <v>842</v>
      </c>
      <c r="N728" s="1477" t="s">
        <v>1692</v>
      </c>
      <c r="O728" s="1479">
        <v>64922</v>
      </c>
      <c r="P728" s="1479"/>
      <c r="Q728" s="1142">
        <f t="shared" si="199"/>
        <v>64922</v>
      </c>
      <c r="R728" s="1143">
        <f>IFERROR(VLOOKUP(CONCATENATE(E728,G728),'LAC 103'!$A$12:$O$95,11,FALSE),0)</f>
        <v>3.2074101033884355</v>
      </c>
      <c r="S728" s="1144">
        <f>IFERROR(VLOOKUP(CONCATENATE($E728,$G728),'LAC 103'!$A$12:$O$95,12,FALSE),0)</f>
        <v>3.99</v>
      </c>
      <c r="T728" s="1144">
        <f>IFERROR(VLOOKUP(CONCATENATE($E728,$G728),'LAC 103'!$A$12:$O$95,13,FALSE),0)</f>
        <v>2.48</v>
      </c>
      <c r="U728" s="1144">
        <f>IFERROR(VLOOKUP(CONCATENATE($E728,$G728),'LAC 103'!$A$12:$O$95,14,FALSE),0)</f>
        <v>0</v>
      </c>
      <c r="V728" s="1144">
        <f>IFERROR(VLOOKUP(CONCATENATE($E728,$G728),'LAC 103'!$A$12:$O$95,15,FALSE),0)</f>
        <v>0</v>
      </c>
      <c r="W728" s="1145" t="str">
        <f>IFERROR(VLOOKUP(CONCATENATE($B728,$N728),'LAC 103'!$AI:$AQ,9,FALSE),"")</f>
        <v>Costs</v>
      </c>
      <c r="X728" s="1146">
        <f t="shared" si="204"/>
        <v>3.2074101033884355</v>
      </c>
      <c r="Y728" s="1143">
        <f t="shared" si="205"/>
        <v>208231.47873218401</v>
      </c>
      <c r="Z728" s="1147">
        <f t="shared" si="206"/>
        <v>259038.78000000003</v>
      </c>
      <c r="AA728" s="1144">
        <f t="shared" si="207"/>
        <v>161006.56</v>
      </c>
      <c r="AB728" s="1144">
        <f t="shared" si="208"/>
        <v>0</v>
      </c>
      <c r="AC728" s="1144">
        <f t="shared" si="209"/>
        <v>0</v>
      </c>
      <c r="AD728" s="1148">
        <f t="shared" si="200"/>
        <v>208231.47873218401</v>
      </c>
      <c r="AE728" s="1487">
        <v>0</v>
      </c>
      <c r="AF728" s="1145">
        <f t="shared" si="210"/>
        <v>208231.47873218401</v>
      </c>
      <c r="AG728" s="1149">
        <f>IFERROR(VLOOKUP(CONCATENATE($L728,$N728),'Drop List'!$G$23:$K$87,2,FALSE),0)</f>
        <v>0.56200000000000006</v>
      </c>
      <c r="AH728" s="1150">
        <f>IFERROR(VLOOKUP(CONCATENATE($L728,$N728),'Drop List'!$G$23:$K$87,3,FALSE),0)</f>
        <v>0.43799999999999994</v>
      </c>
      <c r="AI728" s="1150">
        <f>IFERROR(VLOOKUP(CONCATENATE($L728,$N728),'Drop List'!$G$23:$K$87,4,FALSE),0)</f>
        <v>0</v>
      </c>
      <c r="AJ728" s="1151">
        <f>IFERROR(VLOOKUP(CONCATENATE($L728,$N728),'Drop List'!$G$23:$K$87,5,FALSE),0)</f>
        <v>0</v>
      </c>
      <c r="AK728" s="1152">
        <f t="shared" si="211"/>
        <v>117026.09104748743</v>
      </c>
      <c r="AL728" s="1153">
        <f t="shared" si="212"/>
        <v>91205.387684696587</v>
      </c>
      <c r="AM728" s="1153">
        <f t="shared" si="213"/>
        <v>0</v>
      </c>
      <c r="AN728" s="1145">
        <f t="shared" si="214"/>
        <v>0</v>
      </c>
      <c r="AO728" s="1154">
        <f t="shared" si="215"/>
        <v>208231.47873218401</v>
      </c>
      <c r="AP728" s="1147">
        <f t="shared" si="201"/>
        <v>0</v>
      </c>
      <c r="AQ728" s="1144">
        <f t="shared" si="202"/>
        <v>0</v>
      </c>
      <c r="AR728" s="1146">
        <f t="shared" si="203"/>
        <v>208231.47873218401</v>
      </c>
    </row>
    <row r="729" spans="1:44" x14ac:dyDescent="0.2">
      <c r="A729" s="1141" t="str">
        <f t="shared" si="198"/>
        <v>1542</v>
      </c>
      <c r="B729" s="1141" t="str">
        <f>IFERROR(VLOOKUP(A729,'LAC 103'!A:C,3,FALSE),"")</f>
        <v>OP</v>
      </c>
      <c r="C729" s="1478" t="str">
        <f>Info!$B$8</f>
        <v>00100</v>
      </c>
      <c r="D729" s="1474" t="s">
        <v>256</v>
      </c>
      <c r="E729" s="1474" t="s">
        <v>95</v>
      </c>
      <c r="F729" s="1478" t="s">
        <v>392</v>
      </c>
      <c r="G729" s="1478" t="s">
        <v>392</v>
      </c>
      <c r="H729" s="1474" t="s">
        <v>1656</v>
      </c>
      <c r="I729" s="1478" t="s">
        <v>809</v>
      </c>
      <c r="J729" s="1478"/>
      <c r="K729" s="1475" t="s">
        <v>847</v>
      </c>
      <c r="L729" s="1474" t="s">
        <v>582</v>
      </c>
      <c r="M729" s="1476" t="s">
        <v>1698</v>
      </c>
      <c r="N729" s="1477" t="s">
        <v>1693</v>
      </c>
      <c r="O729" s="1479">
        <v>71028</v>
      </c>
      <c r="P729" s="1479"/>
      <c r="Q729" s="1142">
        <f t="shared" si="199"/>
        <v>71028</v>
      </c>
      <c r="R729" s="1143">
        <f>IFERROR(VLOOKUP(CONCATENATE(E729,G729),'LAC 103'!$A$12:$O$95,11,FALSE),0)</f>
        <v>3.2074101033884355</v>
      </c>
      <c r="S729" s="1144">
        <f>IFERROR(VLOOKUP(CONCATENATE($E729,$G729),'LAC 103'!$A$12:$O$95,12,FALSE),0)</f>
        <v>3.99</v>
      </c>
      <c r="T729" s="1144">
        <f>IFERROR(VLOOKUP(CONCATENATE($E729,$G729),'LAC 103'!$A$12:$O$95,13,FALSE),0)</f>
        <v>2.48</v>
      </c>
      <c r="U729" s="1144">
        <f>IFERROR(VLOOKUP(CONCATENATE($E729,$G729),'LAC 103'!$A$12:$O$95,14,FALSE),0)</f>
        <v>0</v>
      </c>
      <c r="V729" s="1144">
        <f>IFERROR(VLOOKUP(CONCATENATE($E729,$G729),'LAC 103'!$A$12:$O$95,15,FALSE),0)</f>
        <v>0</v>
      </c>
      <c r="W729" s="1145" t="str">
        <f>IFERROR(VLOOKUP(CONCATENATE($B729,$N729),'LAC 103'!$AI:$AQ,9,FALSE),"")</f>
        <v>Costs</v>
      </c>
      <c r="X729" s="1146">
        <f t="shared" si="204"/>
        <v>3.2074101033884355</v>
      </c>
      <c r="Y729" s="1143">
        <f t="shared" si="205"/>
        <v>227815.92482347379</v>
      </c>
      <c r="Z729" s="1147">
        <f t="shared" si="206"/>
        <v>283401.72000000003</v>
      </c>
      <c r="AA729" s="1144">
        <f t="shared" si="207"/>
        <v>176149.44</v>
      </c>
      <c r="AB729" s="1144">
        <f t="shared" si="208"/>
        <v>0</v>
      </c>
      <c r="AC729" s="1144">
        <f t="shared" si="209"/>
        <v>0</v>
      </c>
      <c r="AD729" s="1148">
        <f t="shared" si="200"/>
        <v>227815.92482347379</v>
      </c>
      <c r="AE729" s="1487">
        <v>0</v>
      </c>
      <c r="AF729" s="1145">
        <f t="shared" si="210"/>
        <v>227815.92482347379</v>
      </c>
      <c r="AG729" s="1149">
        <f>IFERROR(VLOOKUP(CONCATENATE($L729,$N729),'Drop List'!$G$23:$K$87,2,FALSE),0)</f>
        <v>0.56200000000000006</v>
      </c>
      <c r="AH729" s="1150">
        <f>IFERROR(VLOOKUP(CONCATENATE($L729,$N729),'Drop List'!$G$23:$K$87,3,FALSE),0)</f>
        <v>0.43799999999999994</v>
      </c>
      <c r="AI729" s="1150">
        <f>IFERROR(VLOOKUP(CONCATENATE($L729,$N729),'Drop List'!$G$23:$K$87,4,FALSE),0)</f>
        <v>0</v>
      </c>
      <c r="AJ729" s="1151">
        <f>IFERROR(VLOOKUP(CONCATENATE($L729,$N729),'Drop List'!$G$23:$K$87,5,FALSE),0)</f>
        <v>0</v>
      </c>
      <c r="AK729" s="1152">
        <f t="shared" si="211"/>
        <v>128032.54975079228</v>
      </c>
      <c r="AL729" s="1153">
        <f t="shared" si="212"/>
        <v>99783.375072681505</v>
      </c>
      <c r="AM729" s="1153">
        <f t="shared" si="213"/>
        <v>0</v>
      </c>
      <c r="AN729" s="1145">
        <f t="shared" si="214"/>
        <v>0</v>
      </c>
      <c r="AO729" s="1154">
        <f t="shared" si="215"/>
        <v>227815.92482347379</v>
      </c>
      <c r="AP729" s="1147">
        <f t="shared" si="201"/>
        <v>0</v>
      </c>
      <c r="AQ729" s="1144">
        <f t="shared" si="202"/>
        <v>0</v>
      </c>
      <c r="AR729" s="1146">
        <f t="shared" si="203"/>
        <v>227815.92482347379</v>
      </c>
    </row>
    <row r="730" spans="1:44" x14ac:dyDescent="0.2">
      <c r="A730" s="1141" t="str">
        <f t="shared" si="198"/>
        <v>1542</v>
      </c>
      <c r="B730" s="1141" t="str">
        <f>IFERROR(VLOOKUP(A730,'LAC 103'!A:C,3,FALSE),"")</f>
        <v>OP</v>
      </c>
      <c r="C730" s="1478" t="str">
        <f>Info!$B$8</f>
        <v>00100</v>
      </c>
      <c r="D730" s="1474" t="s">
        <v>256</v>
      </c>
      <c r="E730" s="1474" t="s">
        <v>95</v>
      </c>
      <c r="F730" s="1478" t="s">
        <v>392</v>
      </c>
      <c r="G730" s="1478" t="s">
        <v>392</v>
      </c>
      <c r="H730" s="1474" t="s">
        <v>1656</v>
      </c>
      <c r="I730" s="1478" t="s">
        <v>809</v>
      </c>
      <c r="J730" s="1478"/>
      <c r="K730" s="1475" t="s">
        <v>852</v>
      </c>
      <c r="L730" s="1474" t="s">
        <v>591</v>
      </c>
      <c r="M730" s="1476" t="s">
        <v>1699</v>
      </c>
      <c r="N730" s="1477" t="s">
        <v>1694</v>
      </c>
      <c r="O730" s="1479">
        <v>2011</v>
      </c>
      <c r="P730" s="1479"/>
      <c r="Q730" s="1142">
        <f t="shared" si="199"/>
        <v>2011</v>
      </c>
      <c r="R730" s="1143">
        <f>IFERROR(VLOOKUP(CONCATENATE(E730,G730),'LAC 103'!$A$12:$O$95,11,FALSE),0)</f>
        <v>3.2074101033884355</v>
      </c>
      <c r="S730" s="1144">
        <f>IFERROR(VLOOKUP(CONCATENATE($E730,$G730),'LAC 103'!$A$12:$O$95,12,FALSE),0)</f>
        <v>3.99</v>
      </c>
      <c r="T730" s="1144">
        <f>IFERROR(VLOOKUP(CONCATENATE($E730,$G730),'LAC 103'!$A$12:$O$95,13,FALSE),0)</f>
        <v>2.48</v>
      </c>
      <c r="U730" s="1144">
        <f>IFERROR(VLOOKUP(CONCATENATE($E730,$G730),'LAC 103'!$A$12:$O$95,14,FALSE),0)</f>
        <v>0</v>
      </c>
      <c r="V730" s="1144">
        <f>IFERROR(VLOOKUP(CONCATENATE($E730,$G730),'LAC 103'!$A$12:$O$95,15,FALSE),0)</f>
        <v>0</v>
      </c>
      <c r="W730" s="1145" t="str">
        <f>IFERROR(VLOOKUP(CONCATENATE($B730,$N730),'LAC 103'!$AI:$AQ,9,FALSE),"")</f>
        <v>Costs</v>
      </c>
      <c r="X730" s="1146">
        <f t="shared" si="204"/>
        <v>3.2074101033884355</v>
      </c>
      <c r="Y730" s="1143">
        <f t="shared" si="205"/>
        <v>6450.1017179141436</v>
      </c>
      <c r="Z730" s="1147">
        <f t="shared" si="206"/>
        <v>8023.89</v>
      </c>
      <c r="AA730" s="1144">
        <f t="shared" si="207"/>
        <v>4987.28</v>
      </c>
      <c r="AB730" s="1144">
        <f t="shared" si="208"/>
        <v>0</v>
      </c>
      <c r="AC730" s="1144">
        <f t="shared" si="209"/>
        <v>0</v>
      </c>
      <c r="AD730" s="1148">
        <f t="shared" si="200"/>
        <v>6450.1017179141436</v>
      </c>
      <c r="AE730" s="1487">
        <v>0</v>
      </c>
      <c r="AF730" s="1145">
        <f t="shared" si="210"/>
        <v>6450.1017179141436</v>
      </c>
      <c r="AG730" s="1149">
        <f>IFERROR(VLOOKUP(CONCATENATE($L730,$N730),'Drop List'!$G$23:$K$87,2,FALSE),0)</f>
        <v>0.69340000000000002</v>
      </c>
      <c r="AH730" s="1150">
        <f>IFERROR(VLOOKUP(CONCATENATE($L730,$N730),'Drop List'!$G$23:$K$87,3,FALSE),0)</f>
        <v>0</v>
      </c>
      <c r="AI730" s="1150">
        <f>IFERROR(VLOOKUP(CONCATENATE($L730,$N730),'Drop List'!$G$23:$K$87,4,FALSE),0)</f>
        <v>0</v>
      </c>
      <c r="AJ730" s="1151">
        <f>IFERROR(VLOOKUP(CONCATENATE($L730,$N730),'Drop List'!$G$23:$K$87,5,FALSE),0)</f>
        <v>0.30659999999999998</v>
      </c>
      <c r="AK730" s="1152">
        <f t="shared" si="211"/>
        <v>4472.5005312016674</v>
      </c>
      <c r="AL730" s="1153">
        <f t="shared" si="212"/>
        <v>0</v>
      </c>
      <c r="AM730" s="1153">
        <f t="shared" si="213"/>
        <v>0</v>
      </c>
      <c r="AN730" s="1145">
        <f t="shared" si="214"/>
        <v>1977.6011867124764</v>
      </c>
      <c r="AO730" s="1154">
        <f t="shared" si="215"/>
        <v>6450.1017179141436</v>
      </c>
      <c r="AP730" s="1147">
        <f t="shared" si="201"/>
        <v>0</v>
      </c>
      <c r="AQ730" s="1144">
        <f t="shared" si="202"/>
        <v>0</v>
      </c>
      <c r="AR730" s="1146">
        <f t="shared" si="203"/>
        <v>6450.1017179141436</v>
      </c>
    </row>
    <row r="731" spans="1:44" x14ac:dyDescent="0.2">
      <c r="A731" s="1141" t="str">
        <f t="shared" si="198"/>
        <v>1542</v>
      </c>
      <c r="B731" s="1141" t="str">
        <f>IFERROR(VLOOKUP(A731,'LAC 103'!A:C,3,FALSE),"")</f>
        <v>OP</v>
      </c>
      <c r="C731" s="1478" t="str">
        <f>Info!$B$8</f>
        <v>00100</v>
      </c>
      <c r="D731" s="1474" t="s">
        <v>256</v>
      </c>
      <c r="E731" s="1474" t="s">
        <v>95</v>
      </c>
      <c r="F731" s="1478" t="s">
        <v>392</v>
      </c>
      <c r="G731" s="1478" t="s">
        <v>392</v>
      </c>
      <c r="H731" s="1474" t="s">
        <v>1656</v>
      </c>
      <c r="I731" s="1478" t="s">
        <v>809</v>
      </c>
      <c r="J731" s="1478"/>
      <c r="K731" s="1475" t="s">
        <v>852</v>
      </c>
      <c r="L731" s="1474" t="s">
        <v>591</v>
      </c>
      <c r="M731" s="1476" t="s">
        <v>841</v>
      </c>
      <c r="N731" s="1477" t="s">
        <v>1695</v>
      </c>
      <c r="O731" s="1479">
        <v>1305</v>
      </c>
      <c r="P731" s="1479"/>
      <c r="Q731" s="1142">
        <f t="shared" si="199"/>
        <v>1305</v>
      </c>
      <c r="R731" s="1143">
        <f>IFERROR(VLOOKUP(CONCATENATE(E731,G731),'LAC 103'!$A$12:$O$95,11,FALSE),0)</f>
        <v>3.2074101033884355</v>
      </c>
      <c r="S731" s="1144">
        <f>IFERROR(VLOOKUP(CONCATENATE($E731,$G731),'LAC 103'!$A$12:$O$95,12,FALSE),0)</f>
        <v>3.99</v>
      </c>
      <c r="T731" s="1144">
        <f>IFERROR(VLOOKUP(CONCATENATE($E731,$G731),'LAC 103'!$A$12:$O$95,13,FALSE),0)</f>
        <v>2.48</v>
      </c>
      <c r="U731" s="1144">
        <f>IFERROR(VLOOKUP(CONCATENATE($E731,$G731),'LAC 103'!$A$12:$O$95,14,FALSE),0)</f>
        <v>0</v>
      </c>
      <c r="V731" s="1144">
        <f>IFERROR(VLOOKUP(CONCATENATE($E731,$G731),'LAC 103'!$A$12:$O$95,15,FALSE),0)</f>
        <v>0</v>
      </c>
      <c r="W731" s="1145" t="str">
        <f>IFERROR(VLOOKUP(CONCATENATE($B731,$N731),'LAC 103'!$AI:$AQ,9,FALSE),"")</f>
        <v>Costs</v>
      </c>
      <c r="X731" s="1146">
        <f t="shared" si="204"/>
        <v>3.2074101033884355</v>
      </c>
      <c r="Y731" s="1143">
        <f t="shared" si="205"/>
        <v>4185.670184921908</v>
      </c>
      <c r="Z731" s="1147">
        <f t="shared" si="206"/>
        <v>5206.9500000000007</v>
      </c>
      <c r="AA731" s="1144">
        <f t="shared" si="207"/>
        <v>3236.4</v>
      </c>
      <c r="AB731" s="1144">
        <f t="shared" si="208"/>
        <v>0</v>
      </c>
      <c r="AC731" s="1144">
        <f t="shared" si="209"/>
        <v>0</v>
      </c>
      <c r="AD731" s="1148">
        <f t="shared" si="200"/>
        <v>4185.670184921908</v>
      </c>
      <c r="AE731" s="1487">
        <v>0</v>
      </c>
      <c r="AF731" s="1145">
        <f t="shared" si="210"/>
        <v>4185.670184921908</v>
      </c>
      <c r="AG731" s="1149">
        <f>IFERROR(VLOOKUP(CONCATENATE($L731,$N731),'Drop List'!$G$23:$K$87,2,FALSE),0)</f>
        <v>0.68500000000000005</v>
      </c>
      <c r="AH731" s="1150">
        <f>IFERROR(VLOOKUP(CONCATENATE($L731,$N731),'Drop List'!$G$23:$K$87,3,FALSE),0)</f>
        <v>0</v>
      </c>
      <c r="AI731" s="1150">
        <f>IFERROR(VLOOKUP(CONCATENATE($L731,$N731),'Drop List'!$G$23:$K$87,4,FALSE),0)</f>
        <v>0</v>
      </c>
      <c r="AJ731" s="1151">
        <f>IFERROR(VLOOKUP(CONCATENATE($L731,$N731),'Drop List'!$G$23:$K$87,5,FALSE),0)</f>
        <v>0.31499999999999995</v>
      </c>
      <c r="AK731" s="1152">
        <f t="shared" si="211"/>
        <v>2867.1840766715072</v>
      </c>
      <c r="AL731" s="1153">
        <f t="shared" si="212"/>
        <v>0</v>
      </c>
      <c r="AM731" s="1153">
        <f t="shared" si="213"/>
        <v>0</v>
      </c>
      <c r="AN731" s="1145">
        <f t="shared" si="214"/>
        <v>1318.4861082504008</v>
      </c>
      <c r="AO731" s="1154">
        <f t="shared" si="215"/>
        <v>4185.670184921908</v>
      </c>
      <c r="AP731" s="1147">
        <f t="shared" si="201"/>
        <v>0</v>
      </c>
      <c r="AQ731" s="1144">
        <f t="shared" si="202"/>
        <v>0</v>
      </c>
      <c r="AR731" s="1146">
        <f t="shared" si="203"/>
        <v>4185.670184921908</v>
      </c>
    </row>
    <row r="732" spans="1:44" x14ac:dyDescent="0.2">
      <c r="A732" s="1141" t="str">
        <f t="shared" si="198"/>
        <v>1542</v>
      </c>
      <c r="B732" s="1141" t="str">
        <f>IFERROR(VLOOKUP(A732,'LAC 103'!A:C,3,FALSE),"")</f>
        <v>OP</v>
      </c>
      <c r="C732" s="1478" t="str">
        <f>Info!$B$8</f>
        <v>00100</v>
      </c>
      <c r="D732" s="1474" t="s">
        <v>256</v>
      </c>
      <c r="E732" s="1474" t="s">
        <v>95</v>
      </c>
      <c r="F732" s="1478" t="s">
        <v>392</v>
      </c>
      <c r="G732" s="1478" t="s">
        <v>392</v>
      </c>
      <c r="H732" s="1474" t="s">
        <v>1656</v>
      </c>
      <c r="I732" s="1478" t="s">
        <v>809</v>
      </c>
      <c r="J732" s="1478"/>
      <c r="K732" s="1475" t="s">
        <v>852</v>
      </c>
      <c r="L732" s="1474" t="s">
        <v>591</v>
      </c>
      <c r="M732" s="1476" t="s">
        <v>840</v>
      </c>
      <c r="N732" s="1477" t="s">
        <v>1700</v>
      </c>
      <c r="O732" s="1479">
        <v>887</v>
      </c>
      <c r="P732" s="1479"/>
      <c r="Q732" s="1142">
        <f t="shared" si="199"/>
        <v>887</v>
      </c>
      <c r="R732" s="1143">
        <f>IFERROR(VLOOKUP(CONCATENATE(E732,G732),'LAC 103'!$A$12:$O$95,11,FALSE),0)</f>
        <v>3.2074101033884355</v>
      </c>
      <c r="S732" s="1144">
        <f>IFERROR(VLOOKUP(CONCATENATE($E732,$G732),'LAC 103'!$A$12:$O$95,12,FALSE),0)</f>
        <v>3.99</v>
      </c>
      <c r="T732" s="1144">
        <f>IFERROR(VLOOKUP(CONCATENATE($E732,$G732),'LAC 103'!$A$12:$O$95,13,FALSE),0)</f>
        <v>2.48</v>
      </c>
      <c r="U732" s="1144">
        <f>IFERROR(VLOOKUP(CONCATENATE($E732,$G732),'LAC 103'!$A$12:$O$95,14,FALSE),0)</f>
        <v>0</v>
      </c>
      <c r="V732" s="1144">
        <f>IFERROR(VLOOKUP(CONCATENATE($E732,$G732),'LAC 103'!$A$12:$O$95,15,FALSE),0)</f>
        <v>0</v>
      </c>
      <c r="W732" s="1145" t="str">
        <f>IFERROR(VLOOKUP(CONCATENATE($B732,$N732),'LAC 103'!$AI:$AQ,9,FALSE),"")</f>
        <v>P.C.</v>
      </c>
      <c r="X732" s="1146">
        <f t="shared" si="204"/>
        <v>2.48</v>
      </c>
      <c r="Y732" s="1143">
        <f t="shared" si="205"/>
        <v>2844.9727617055423</v>
      </c>
      <c r="Z732" s="1147">
        <f t="shared" si="206"/>
        <v>3539.13</v>
      </c>
      <c r="AA732" s="1144">
        <f t="shared" si="207"/>
        <v>2199.7599999999998</v>
      </c>
      <c r="AB732" s="1144">
        <f t="shared" si="208"/>
        <v>0</v>
      </c>
      <c r="AC732" s="1144">
        <f t="shared" si="209"/>
        <v>0</v>
      </c>
      <c r="AD732" s="1148">
        <f t="shared" si="200"/>
        <v>2199.7599999999998</v>
      </c>
      <c r="AE732" s="1487">
        <v>0</v>
      </c>
      <c r="AF732" s="1145">
        <f t="shared" si="210"/>
        <v>2199.7599999999998</v>
      </c>
      <c r="AG732" s="1149">
        <f>IFERROR(VLOOKUP(CONCATENATE($L732,$N732),'Drop List'!$G$23:$K$87,2,FALSE),0)</f>
        <v>0.68500000000000005</v>
      </c>
      <c r="AH732" s="1150">
        <f>IFERROR(VLOOKUP(CONCATENATE($L732,$N732),'Drop List'!$G$23:$K$87,3,FALSE),0)</f>
        <v>0</v>
      </c>
      <c r="AI732" s="1150">
        <f>IFERROR(VLOOKUP(CONCATENATE($L732,$N732),'Drop List'!$G$23:$K$87,4,FALSE),0)</f>
        <v>0</v>
      </c>
      <c r="AJ732" s="1151">
        <f>IFERROR(VLOOKUP(CONCATENATE($L732,$N732),'Drop List'!$G$23:$K$87,5,FALSE),0)</f>
        <v>0.31499999999999995</v>
      </c>
      <c r="AK732" s="1152">
        <f t="shared" si="211"/>
        <v>1506.8355999999999</v>
      </c>
      <c r="AL732" s="1153">
        <f t="shared" si="212"/>
        <v>0</v>
      </c>
      <c r="AM732" s="1153">
        <f t="shared" si="213"/>
        <v>0</v>
      </c>
      <c r="AN732" s="1145">
        <f t="shared" si="214"/>
        <v>692.92439999999976</v>
      </c>
      <c r="AO732" s="1154">
        <f t="shared" si="215"/>
        <v>2199.7599999999998</v>
      </c>
      <c r="AP732" s="1147">
        <f t="shared" si="201"/>
        <v>0</v>
      </c>
      <c r="AQ732" s="1144">
        <f t="shared" si="202"/>
        <v>0</v>
      </c>
      <c r="AR732" s="1146">
        <f t="shared" si="203"/>
        <v>2199.7599999999998</v>
      </c>
    </row>
    <row r="733" spans="1:44" x14ac:dyDescent="0.2">
      <c r="A733" s="1141" t="str">
        <f t="shared" si="198"/>
        <v>1542</v>
      </c>
      <c r="B733" s="1141" t="str">
        <f>IFERROR(VLOOKUP(A733,'LAC 103'!A:C,3,FALSE),"")</f>
        <v>OP</v>
      </c>
      <c r="C733" s="1478" t="str">
        <f>Info!$B$8</f>
        <v>00100</v>
      </c>
      <c r="D733" s="1474" t="s">
        <v>256</v>
      </c>
      <c r="E733" s="1474" t="s">
        <v>95</v>
      </c>
      <c r="F733" s="1478" t="s">
        <v>392</v>
      </c>
      <c r="G733" s="1478" t="s">
        <v>392</v>
      </c>
      <c r="H733" s="1474" t="s">
        <v>1656</v>
      </c>
      <c r="I733" s="1478" t="s">
        <v>809</v>
      </c>
      <c r="J733" s="1478"/>
      <c r="K733" s="1475" t="s">
        <v>852</v>
      </c>
      <c r="L733" s="1474" t="s">
        <v>591</v>
      </c>
      <c r="M733" s="1476" t="s">
        <v>842</v>
      </c>
      <c r="N733" s="1477" t="s">
        <v>1692</v>
      </c>
      <c r="O733" s="1479">
        <v>464</v>
      </c>
      <c r="P733" s="1479"/>
      <c r="Q733" s="1142">
        <f t="shared" si="199"/>
        <v>464</v>
      </c>
      <c r="R733" s="1143">
        <f>IFERROR(VLOOKUP(CONCATENATE(E733,G733),'LAC 103'!$A$12:$O$95,11,FALSE),0)</f>
        <v>3.2074101033884355</v>
      </c>
      <c r="S733" s="1144">
        <f>IFERROR(VLOOKUP(CONCATENATE($E733,$G733),'LAC 103'!$A$12:$O$95,12,FALSE),0)</f>
        <v>3.99</v>
      </c>
      <c r="T733" s="1144">
        <f>IFERROR(VLOOKUP(CONCATENATE($E733,$G733),'LAC 103'!$A$12:$O$95,13,FALSE),0)</f>
        <v>2.48</v>
      </c>
      <c r="U733" s="1144">
        <f>IFERROR(VLOOKUP(CONCATENATE($E733,$G733),'LAC 103'!$A$12:$O$95,14,FALSE),0)</f>
        <v>0</v>
      </c>
      <c r="V733" s="1144">
        <f>IFERROR(VLOOKUP(CONCATENATE($E733,$G733),'LAC 103'!$A$12:$O$95,15,FALSE),0)</f>
        <v>0</v>
      </c>
      <c r="W733" s="1145" t="str">
        <f>IFERROR(VLOOKUP(CONCATENATE($B733,$N733),'LAC 103'!$AI:$AQ,9,FALSE),"")</f>
        <v>Costs</v>
      </c>
      <c r="X733" s="1146">
        <f t="shared" si="204"/>
        <v>3.2074101033884355</v>
      </c>
      <c r="Y733" s="1143">
        <f t="shared" si="205"/>
        <v>1488.238287972234</v>
      </c>
      <c r="Z733" s="1147">
        <f t="shared" si="206"/>
        <v>1851.3600000000001</v>
      </c>
      <c r="AA733" s="1144">
        <f t="shared" si="207"/>
        <v>1150.72</v>
      </c>
      <c r="AB733" s="1144">
        <f t="shared" si="208"/>
        <v>0</v>
      </c>
      <c r="AC733" s="1144">
        <f t="shared" si="209"/>
        <v>0</v>
      </c>
      <c r="AD733" s="1148">
        <f t="shared" si="200"/>
        <v>1488.238287972234</v>
      </c>
      <c r="AE733" s="1487">
        <v>0</v>
      </c>
      <c r="AF733" s="1145">
        <f t="shared" si="210"/>
        <v>1488.238287972234</v>
      </c>
      <c r="AG733" s="1149">
        <f>IFERROR(VLOOKUP(CONCATENATE($L733,$N733),'Drop List'!$G$23:$K$87,2,FALSE),0)</f>
        <v>0.69340000000000002</v>
      </c>
      <c r="AH733" s="1150">
        <f>IFERROR(VLOOKUP(CONCATENATE($L733,$N733),'Drop List'!$G$23:$K$87,3,FALSE),0)</f>
        <v>0</v>
      </c>
      <c r="AI733" s="1150">
        <f>IFERROR(VLOOKUP(CONCATENATE($L733,$N733),'Drop List'!$G$23:$K$87,4,FALSE),0)</f>
        <v>0</v>
      </c>
      <c r="AJ733" s="1151">
        <f>IFERROR(VLOOKUP(CONCATENATE($L733,$N733),'Drop List'!$G$23:$K$87,5,FALSE),0)</f>
        <v>0.30659999999999998</v>
      </c>
      <c r="AK733" s="1152">
        <f t="shared" si="211"/>
        <v>1031.9444288799471</v>
      </c>
      <c r="AL733" s="1153">
        <f t="shared" si="212"/>
        <v>0</v>
      </c>
      <c r="AM733" s="1153">
        <f t="shared" si="213"/>
        <v>0</v>
      </c>
      <c r="AN733" s="1145">
        <f t="shared" si="214"/>
        <v>456.29385909228694</v>
      </c>
      <c r="AO733" s="1154">
        <f t="shared" si="215"/>
        <v>1488.238287972234</v>
      </c>
      <c r="AP733" s="1147">
        <f t="shared" si="201"/>
        <v>0</v>
      </c>
      <c r="AQ733" s="1144">
        <f t="shared" si="202"/>
        <v>0</v>
      </c>
      <c r="AR733" s="1146">
        <f t="shared" si="203"/>
        <v>1488.238287972234</v>
      </c>
    </row>
    <row r="734" spans="1:44" x14ac:dyDescent="0.2">
      <c r="A734" s="1141" t="str">
        <f t="shared" si="198"/>
        <v>1542</v>
      </c>
      <c r="B734" s="1141" t="str">
        <f>IFERROR(VLOOKUP(A734,'LAC 103'!A:C,3,FALSE),"")</f>
        <v>OP</v>
      </c>
      <c r="C734" s="1478" t="str">
        <f>Info!$B$8</f>
        <v>00100</v>
      </c>
      <c r="D734" s="1474" t="s">
        <v>256</v>
      </c>
      <c r="E734" s="1474" t="s">
        <v>95</v>
      </c>
      <c r="F734" s="1478" t="s">
        <v>392</v>
      </c>
      <c r="G734" s="1478" t="s">
        <v>392</v>
      </c>
      <c r="H734" s="1474" t="s">
        <v>1656</v>
      </c>
      <c r="I734" s="1478" t="s">
        <v>809</v>
      </c>
      <c r="J734" s="1478"/>
      <c r="K734" s="1475" t="s">
        <v>852</v>
      </c>
      <c r="L734" s="1474" t="s">
        <v>591</v>
      </c>
      <c r="M734" s="1476" t="s">
        <v>1698</v>
      </c>
      <c r="N734" s="1477" t="s">
        <v>1693</v>
      </c>
      <c r="O734" s="1479">
        <v>154</v>
      </c>
      <c r="P734" s="1479"/>
      <c r="Q734" s="1142">
        <f t="shared" si="199"/>
        <v>154</v>
      </c>
      <c r="R734" s="1143">
        <f>IFERROR(VLOOKUP(CONCATENATE(E734,G734),'LAC 103'!$A$12:$O$95,11,FALSE),0)</f>
        <v>3.2074101033884355</v>
      </c>
      <c r="S734" s="1144">
        <f>IFERROR(VLOOKUP(CONCATENATE($E734,$G734),'LAC 103'!$A$12:$O$95,12,FALSE),0)</f>
        <v>3.99</v>
      </c>
      <c r="T734" s="1144">
        <f>IFERROR(VLOOKUP(CONCATENATE($E734,$G734),'LAC 103'!$A$12:$O$95,13,FALSE),0)</f>
        <v>2.48</v>
      </c>
      <c r="U734" s="1144">
        <f>IFERROR(VLOOKUP(CONCATENATE($E734,$G734),'LAC 103'!$A$12:$O$95,14,FALSE),0)</f>
        <v>0</v>
      </c>
      <c r="V734" s="1144">
        <f>IFERROR(VLOOKUP(CONCATENATE($E734,$G734),'LAC 103'!$A$12:$O$95,15,FALSE),0)</f>
        <v>0</v>
      </c>
      <c r="W734" s="1145" t="str">
        <f>IFERROR(VLOOKUP(CONCATENATE($B734,$N734),'LAC 103'!$AI:$AQ,9,FALSE),"")</f>
        <v>Costs</v>
      </c>
      <c r="X734" s="1146">
        <f t="shared" si="204"/>
        <v>3.2074101033884355</v>
      </c>
      <c r="Y734" s="1143">
        <f t="shared" si="205"/>
        <v>493.94115592181907</v>
      </c>
      <c r="Z734" s="1147">
        <f t="shared" si="206"/>
        <v>614.46</v>
      </c>
      <c r="AA734" s="1144">
        <f t="shared" si="207"/>
        <v>381.92</v>
      </c>
      <c r="AB734" s="1144">
        <f t="shared" si="208"/>
        <v>0</v>
      </c>
      <c r="AC734" s="1144">
        <f t="shared" si="209"/>
        <v>0</v>
      </c>
      <c r="AD734" s="1148">
        <f t="shared" si="200"/>
        <v>493.94115592181907</v>
      </c>
      <c r="AE734" s="1487">
        <v>0</v>
      </c>
      <c r="AF734" s="1145">
        <f t="shared" si="210"/>
        <v>493.94115592181907</v>
      </c>
      <c r="AG734" s="1149">
        <f>IFERROR(VLOOKUP(CONCATENATE($L734,$N734),'Drop List'!$G$23:$K$87,2,FALSE),0)</f>
        <v>0.69340000000000002</v>
      </c>
      <c r="AH734" s="1150">
        <f>IFERROR(VLOOKUP(CONCATENATE($L734,$N734),'Drop List'!$G$23:$K$87,3,FALSE),0)</f>
        <v>0</v>
      </c>
      <c r="AI734" s="1150">
        <f>IFERROR(VLOOKUP(CONCATENATE($L734,$N734),'Drop List'!$G$23:$K$87,4,FALSE),0)</f>
        <v>0</v>
      </c>
      <c r="AJ734" s="1151">
        <f>IFERROR(VLOOKUP(CONCATENATE($L734,$N734),'Drop List'!$G$23:$K$87,5,FALSE),0)</f>
        <v>0.30659999999999998</v>
      </c>
      <c r="AK734" s="1152">
        <f t="shared" si="211"/>
        <v>342.49879751618937</v>
      </c>
      <c r="AL734" s="1153">
        <f t="shared" si="212"/>
        <v>0</v>
      </c>
      <c r="AM734" s="1153">
        <f t="shared" si="213"/>
        <v>0</v>
      </c>
      <c r="AN734" s="1145">
        <f t="shared" si="214"/>
        <v>151.44235840562973</v>
      </c>
      <c r="AO734" s="1154">
        <f t="shared" si="215"/>
        <v>493.94115592181913</v>
      </c>
      <c r="AP734" s="1147">
        <f t="shared" si="201"/>
        <v>0</v>
      </c>
      <c r="AQ734" s="1144">
        <f t="shared" si="202"/>
        <v>0</v>
      </c>
      <c r="AR734" s="1146">
        <f t="shared" si="203"/>
        <v>493.94115592181913</v>
      </c>
    </row>
    <row r="735" spans="1:44" x14ac:dyDescent="0.2">
      <c r="A735" s="1141" t="str">
        <f t="shared" si="198"/>
        <v>1542</v>
      </c>
      <c r="B735" s="1141" t="str">
        <f>IFERROR(VLOOKUP(A735,'LAC 103'!A:C,3,FALSE),"")</f>
        <v>OP</v>
      </c>
      <c r="C735" s="1478" t="str">
        <f>Info!$B$8</f>
        <v>00100</v>
      </c>
      <c r="D735" s="1474" t="s">
        <v>256</v>
      </c>
      <c r="E735" s="1474" t="s">
        <v>95</v>
      </c>
      <c r="F735" s="1478" t="s">
        <v>392</v>
      </c>
      <c r="G735" s="1478" t="s">
        <v>392</v>
      </c>
      <c r="H735" s="1474" t="s">
        <v>1656</v>
      </c>
      <c r="I735" s="1478" t="s">
        <v>809</v>
      </c>
      <c r="J735" s="1478"/>
      <c r="K735" s="1475" t="s">
        <v>848</v>
      </c>
      <c r="L735" s="1474" t="s">
        <v>45</v>
      </c>
      <c r="M735" s="1476" t="s">
        <v>1699</v>
      </c>
      <c r="N735" s="1477" t="s">
        <v>1694</v>
      </c>
      <c r="O735" s="1479">
        <v>26507</v>
      </c>
      <c r="P735" s="1479"/>
      <c r="Q735" s="1142">
        <f t="shared" si="199"/>
        <v>26507</v>
      </c>
      <c r="R735" s="1143">
        <f>IFERROR(VLOOKUP(CONCATENATE(E735,G735),'LAC 103'!$A$12:$O$95,11,FALSE),0)</f>
        <v>3.2074101033884355</v>
      </c>
      <c r="S735" s="1144">
        <f>IFERROR(VLOOKUP(CONCATENATE($E735,$G735),'LAC 103'!$A$12:$O$95,12,FALSE),0)</f>
        <v>3.99</v>
      </c>
      <c r="T735" s="1144">
        <f>IFERROR(VLOOKUP(CONCATENATE($E735,$G735),'LAC 103'!$A$12:$O$95,13,FALSE),0)</f>
        <v>2.48</v>
      </c>
      <c r="U735" s="1144">
        <f>IFERROR(VLOOKUP(CONCATENATE($E735,$G735),'LAC 103'!$A$12:$O$95,14,FALSE),0)</f>
        <v>0</v>
      </c>
      <c r="V735" s="1144">
        <f>IFERROR(VLOOKUP(CONCATENATE($E735,$G735),'LAC 103'!$A$12:$O$95,15,FALSE),0)</f>
        <v>0</v>
      </c>
      <c r="W735" s="1145" t="str">
        <f>IFERROR(VLOOKUP(CONCATENATE($B735,$N735),'LAC 103'!$AI:$AQ,9,FALSE),"")</f>
        <v>Costs</v>
      </c>
      <c r="X735" s="1146">
        <f t="shared" si="204"/>
        <v>3.2074101033884355</v>
      </c>
      <c r="Y735" s="1143">
        <f t="shared" si="205"/>
        <v>85018.819610517254</v>
      </c>
      <c r="Z735" s="1147">
        <f t="shared" si="206"/>
        <v>105762.93000000001</v>
      </c>
      <c r="AA735" s="1144">
        <f t="shared" si="207"/>
        <v>65737.36</v>
      </c>
      <c r="AB735" s="1144">
        <f t="shared" si="208"/>
        <v>0</v>
      </c>
      <c r="AC735" s="1144">
        <f t="shared" si="209"/>
        <v>0</v>
      </c>
      <c r="AD735" s="1148">
        <f t="shared" si="200"/>
        <v>85018.819610517254</v>
      </c>
      <c r="AE735" s="1487">
        <v>0</v>
      </c>
      <c r="AF735" s="1145">
        <f t="shared" si="210"/>
        <v>85018.819610517254</v>
      </c>
      <c r="AG735" s="1149">
        <f>IFERROR(VLOOKUP(CONCATENATE($L735,$N735),'Drop List'!$G$23:$K$87,2,FALSE),0)</f>
        <v>0.69340000000000002</v>
      </c>
      <c r="AH735" s="1150">
        <f>IFERROR(VLOOKUP(CONCATENATE($L735,$N735),'Drop List'!$G$23:$K$87,3,FALSE),0)</f>
        <v>0.30659999999999998</v>
      </c>
      <c r="AI735" s="1150">
        <f>IFERROR(VLOOKUP(CONCATENATE($L735,$N735),'Drop List'!$G$23:$K$87,4,FALSE),0)</f>
        <v>0</v>
      </c>
      <c r="AJ735" s="1151">
        <f>IFERROR(VLOOKUP(CONCATENATE($L735,$N735),'Drop List'!$G$23:$K$87,5,FALSE),0)</f>
        <v>0</v>
      </c>
      <c r="AK735" s="1152">
        <f t="shared" si="211"/>
        <v>58952.049517932668</v>
      </c>
      <c r="AL735" s="1153">
        <f t="shared" si="212"/>
        <v>26066.770092584589</v>
      </c>
      <c r="AM735" s="1153">
        <f t="shared" si="213"/>
        <v>0</v>
      </c>
      <c r="AN735" s="1145">
        <f t="shared" si="214"/>
        <v>0</v>
      </c>
      <c r="AO735" s="1154">
        <f t="shared" si="215"/>
        <v>85018.819610517254</v>
      </c>
      <c r="AP735" s="1147">
        <f t="shared" si="201"/>
        <v>0</v>
      </c>
      <c r="AQ735" s="1144">
        <f t="shared" si="202"/>
        <v>0</v>
      </c>
      <c r="AR735" s="1146">
        <f t="shared" si="203"/>
        <v>85018.819610517254</v>
      </c>
    </row>
    <row r="736" spans="1:44" x14ac:dyDescent="0.2">
      <c r="A736" s="1141" t="str">
        <f t="shared" si="198"/>
        <v>1542</v>
      </c>
      <c r="B736" s="1141" t="str">
        <f>IFERROR(VLOOKUP(A736,'LAC 103'!A:C,3,FALSE),"")</f>
        <v>OP</v>
      </c>
      <c r="C736" s="1478" t="str">
        <f>Info!$B$8</f>
        <v>00100</v>
      </c>
      <c r="D736" s="1474" t="s">
        <v>256</v>
      </c>
      <c r="E736" s="1474" t="s">
        <v>95</v>
      </c>
      <c r="F736" s="1478" t="s">
        <v>392</v>
      </c>
      <c r="G736" s="1478" t="s">
        <v>392</v>
      </c>
      <c r="H736" s="1474" t="s">
        <v>1656</v>
      </c>
      <c r="I736" s="1478" t="s">
        <v>809</v>
      </c>
      <c r="J736" s="1478"/>
      <c r="K736" s="1475" t="s">
        <v>848</v>
      </c>
      <c r="L736" s="1474" t="s">
        <v>45</v>
      </c>
      <c r="M736" s="1476" t="s">
        <v>841</v>
      </c>
      <c r="N736" s="1477" t="s">
        <v>1695</v>
      </c>
      <c r="O736" s="1479">
        <v>11796</v>
      </c>
      <c r="P736" s="1479"/>
      <c r="Q736" s="1142">
        <f t="shared" si="199"/>
        <v>11796</v>
      </c>
      <c r="R736" s="1143">
        <f>IFERROR(VLOOKUP(CONCATENATE(E736,G736),'LAC 103'!$A$12:$O$95,11,FALSE),0)</f>
        <v>3.2074101033884355</v>
      </c>
      <c r="S736" s="1144">
        <f>IFERROR(VLOOKUP(CONCATENATE($E736,$G736),'LAC 103'!$A$12:$O$95,12,FALSE),0)</f>
        <v>3.99</v>
      </c>
      <c r="T736" s="1144">
        <f>IFERROR(VLOOKUP(CONCATENATE($E736,$G736),'LAC 103'!$A$12:$O$95,13,FALSE),0)</f>
        <v>2.48</v>
      </c>
      <c r="U736" s="1144">
        <f>IFERROR(VLOOKUP(CONCATENATE($E736,$G736),'LAC 103'!$A$12:$O$95,14,FALSE),0)</f>
        <v>0</v>
      </c>
      <c r="V736" s="1144">
        <f>IFERROR(VLOOKUP(CONCATENATE($E736,$G736),'LAC 103'!$A$12:$O$95,15,FALSE),0)</f>
        <v>0</v>
      </c>
      <c r="W736" s="1145" t="str">
        <f>IFERROR(VLOOKUP(CONCATENATE($B736,$N736),'LAC 103'!$AI:$AQ,9,FALSE),"")</f>
        <v>Costs</v>
      </c>
      <c r="X736" s="1146">
        <f t="shared" si="204"/>
        <v>3.2074101033884355</v>
      </c>
      <c r="Y736" s="1143">
        <f t="shared" si="205"/>
        <v>37834.609579569988</v>
      </c>
      <c r="Z736" s="1147">
        <f t="shared" si="206"/>
        <v>47066.04</v>
      </c>
      <c r="AA736" s="1144">
        <f t="shared" si="207"/>
        <v>29254.079999999998</v>
      </c>
      <c r="AB736" s="1144">
        <f t="shared" si="208"/>
        <v>0</v>
      </c>
      <c r="AC736" s="1144">
        <f t="shared" si="209"/>
        <v>0</v>
      </c>
      <c r="AD736" s="1148">
        <f t="shared" si="200"/>
        <v>37834.609579569988</v>
      </c>
      <c r="AE736" s="1487">
        <v>0</v>
      </c>
      <c r="AF736" s="1145">
        <f t="shared" si="210"/>
        <v>37834.609579569988</v>
      </c>
      <c r="AG736" s="1149">
        <f>IFERROR(VLOOKUP(CONCATENATE($L736,$N736),'Drop List'!$G$23:$K$87,2,FALSE),0)</f>
        <v>0.68500000000000005</v>
      </c>
      <c r="AH736" s="1150">
        <f>IFERROR(VLOOKUP(CONCATENATE($L736,$N736),'Drop List'!$G$23:$K$87,3,FALSE),0)</f>
        <v>0.31499999999999995</v>
      </c>
      <c r="AI736" s="1150">
        <f>IFERROR(VLOOKUP(CONCATENATE($L736,$N736),'Drop List'!$G$23:$K$87,4,FALSE),0)</f>
        <v>0</v>
      </c>
      <c r="AJ736" s="1151">
        <f>IFERROR(VLOOKUP(CONCATENATE($L736,$N736),'Drop List'!$G$23:$K$87,5,FALSE),0)</f>
        <v>0</v>
      </c>
      <c r="AK736" s="1152">
        <f t="shared" si="211"/>
        <v>25916.707562005442</v>
      </c>
      <c r="AL736" s="1153">
        <f t="shared" si="212"/>
        <v>11917.902017564544</v>
      </c>
      <c r="AM736" s="1153">
        <f t="shared" si="213"/>
        <v>0</v>
      </c>
      <c r="AN736" s="1145">
        <f t="shared" si="214"/>
        <v>0</v>
      </c>
      <c r="AO736" s="1154">
        <f t="shared" si="215"/>
        <v>37834.609579569988</v>
      </c>
      <c r="AP736" s="1147">
        <f t="shared" si="201"/>
        <v>0</v>
      </c>
      <c r="AQ736" s="1144">
        <f t="shared" si="202"/>
        <v>0</v>
      </c>
      <c r="AR736" s="1146">
        <f t="shared" si="203"/>
        <v>37834.609579569988</v>
      </c>
    </row>
    <row r="737" spans="1:44" x14ac:dyDescent="0.2">
      <c r="A737" s="1141" t="str">
        <f t="shared" si="198"/>
        <v>1542</v>
      </c>
      <c r="B737" s="1141" t="str">
        <f>IFERROR(VLOOKUP(A737,'LAC 103'!A:C,3,FALSE),"")</f>
        <v>OP</v>
      </c>
      <c r="C737" s="1478" t="str">
        <f>Info!$B$8</f>
        <v>00100</v>
      </c>
      <c r="D737" s="1474" t="s">
        <v>256</v>
      </c>
      <c r="E737" s="1474" t="s">
        <v>95</v>
      </c>
      <c r="F737" s="1478" t="s">
        <v>392</v>
      </c>
      <c r="G737" s="1478" t="s">
        <v>392</v>
      </c>
      <c r="H737" s="1474" t="s">
        <v>1656</v>
      </c>
      <c r="I737" s="1478" t="s">
        <v>809</v>
      </c>
      <c r="J737" s="1478"/>
      <c r="K737" s="1475" t="s">
        <v>848</v>
      </c>
      <c r="L737" s="1474" t="s">
        <v>45</v>
      </c>
      <c r="M737" s="1476" t="s">
        <v>840</v>
      </c>
      <c r="N737" s="1477" t="s">
        <v>1700</v>
      </c>
      <c r="O737" s="1479">
        <v>18739</v>
      </c>
      <c r="P737" s="1479"/>
      <c r="Q737" s="1142">
        <f t="shared" si="199"/>
        <v>18739</v>
      </c>
      <c r="R737" s="1143">
        <f>IFERROR(VLOOKUP(CONCATENATE(E737,G737),'LAC 103'!$A$12:$O$95,11,FALSE),0)</f>
        <v>3.2074101033884355</v>
      </c>
      <c r="S737" s="1144">
        <f>IFERROR(VLOOKUP(CONCATENATE($E737,$G737),'LAC 103'!$A$12:$O$95,12,FALSE),0)</f>
        <v>3.99</v>
      </c>
      <c r="T737" s="1144">
        <f>IFERROR(VLOOKUP(CONCATENATE($E737,$G737),'LAC 103'!$A$12:$O$95,13,FALSE),0)</f>
        <v>2.48</v>
      </c>
      <c r="U737" s="1144">
        <f>IFERROR(VLOOKUP(CONCATENATE($E737,$G737),'LAC 103'!$A$12:$O$95,14,FALSE),0)</f>
        <v>0</v>
      </c>
      <c r="V737" s="1144">
        <f>IFERROR(VLOOKUP(CONCATENATE($E737,$G737),'LAC 103'!$A$12:$O$95,15,FALSE),0)</f>
        <v>0</v>
      </c>
      <c r="W737" s="1145" t="str">
        <f>IFERROR(VLOOKUP(CONCATENATE($B737,$N737),'LAC 103'!$AI:$AQ,9,FALSE),"")</f>
        <v>P.C.</v>
      </c>
      <c r="X737" s="1146">
        <f t="shared" si="204"/>
        <v>2.48</v>
      </c>
      <c r="Y737" s="1143">
        <f t="shared" si="205"/>
        <v>60103.657927395892</v>
      </c>
      <c r="Z737" s="1147">
        <f t="shared" si="206"/>
        <v>74768.61</v>
      </c>
      <c r="AA737" s="1144">
        <f t="shared" si="207"/>
        <v>46472.72</v>
      </c>
      <c r="AB737" s="1144">
        <f t="shared" si="208"/>
        <v>0</v>
      </c>
      <c r="AC737" s="1144">
        <f t="shared" si="209"/>
        <v>0</v>
      </c>
      <c r="AD737" s="1148">
        <f t="shared" si="200"/>
        <v>46472.72</v>
      </c>
      <c r="AE737" s="1487">
        <v>0</v>
      </c>
      <c r="AF737" s="1145">
        <f t="shared" si="210"/>
        <v>46472.72</v>
      </c>
      <c r="AG737" s="1149">
        <f>IFERROR(VLOOKUP(CONCATENATE($L737,$N737),'Drop List'!$G$23:$K$87,2,FALSE),0)</f>
        <v>0.68500000000000005</v>
      </c>
      <c r="AH737" s="1150">
        <f>IFERROR(VLOOKUP(CONCATENATE($L737,$N737),'Drop List'!$G$23:$K$87,3,FALSE),0)</f>
        <v>0.31499999999999995</v>
      </c>
      <c r="AI737" s="1150">
        <f>IFERROR(VLOOKUP(CONCATENATE($L737,$N737),'Drop List'!$G$23:$K$87,4,FALSE),0)</f>
        <v>0</v>
      </c>
      <c r="AJ737" s="1151">
        <f>IFERROR(VLOOKUP(CONCATENATE($L737,$N737),'Drop List'!$G$23:$K$87,5,FALSE),0)</f>
        <v>0</v>
      </c>
      <c r="AK737" s="1152">
        <f t="shared" si="211"/>
        <v>31833.813200000004</v>
      </c>
      <c r="AL737" s="1153">
        <f t="shared" si="212"/>
        <v>14638.906799999997</v>
      </c>
      <c r="AM737" s="1153">
        <f t="shared" si="213"/>
        <v>0</v>
      </c>
      <c r="AN737" s="1145">
        <f t="shared" si="214"/>
        <v>0</v>
      </c>
      <c r="AO737" s="1154">
        <f t="shared" si="215"/>
        <v>46472.72</v>
      </c>
      <c r="AP737" s="1147">
        <f t="shared" si="201"/>
        <v>0</v>
      </c>
      <c r="AQ737" s="1144">
        <f t="shared" si="202"/>
        <v>0</v>
      </c>
      <c r="AR737" s="1146">
        <f t="shared" si="203"/>
        <v>46472.72</v>
      </c>
    </row>
    <row r="738" spans="1:44" x14ac:dyDescent="0.2">
      <c r="A738" s="1141" t="str">
        <f t="shared" si="198"/>
        <v>1542</v>
      </c>
      <c r="B738" s="1141" t="str">
        <f>IFERROR(VLOOKUP(A738,'LAC 103'!A:C,3,FALSE),"")</f>
        <v>OP</v>
      </c>
      <c r="C738" s="1478" t="str">
        <f>Info!$B$8</f>
        <v>00100</v>
      </c>
      <c r="D738" s="1474" t="s">
        <v>256</v>
      </c>
      <c r="E738" s="1474" t="s">
        <v>95</v>
      </c>
      <c r="F738" s="1478" t="s">
        <v>392</v>
      </c>
      <c r="G738" s="1478" t="s">
        <v>392</v>
      </c>
      <c r="H738" s="1474" t="s">
        <v>1656</v>
      </c>
      <c r="I738" s="1478" t="s">
        <v>809</v>
      </c>
      <c r="J738" s="1478"/>
      <c r="K738" s="1475" t="s">
        <v>848</v>
      </c>
      <c r="L738" s="1474" t="s">
        <v>45</v>
      </c>
      <c r="M738" s="1476" t="s">
        <v>842</v>
      </c>
      <c r="N738" s="1477" t="s">
        <v>1692</v>
      </c>
      <c r="O738" s="1479">
        <v>32498</v>
      </c>
      <c r="P738" s="1479"/>
      <c r="Q738" s="1142">
        <f t="shared" si="199"/>
        <v>32498</v>
      </c>
      <c r="R738" s="1143">
        <f>IFERROR(VLOOKUP(CONCATENATE(E738,G738),'LAC 103'!$A$12:$O$95,11,FALSE),0)</f>
        <v>3.2074101033884355</v>
      </c>
      <c r="S738" s="1144">
        <f>IFERROR(VLOOKUP(CONCATENATE($E738,$G738),'LAC 103'!$A$12:$O$95,12,FALSE),0)</f>
        <v>3.99</v>
      </c>
      <c r="T738" s="1144">
        <f>IFERROR(VLOOKUP(CONCATENATE($E738,$G738),'LAC 103'!$A$12:$O$95,13,FALSE),0)</f>
        <v>2.48</v>
      </c>
      <c r="U738" s="1144">
        <f>IFERROR(VLOOKUP(CONCATENATE($E738,$G738),'LAC 103'!$A$12:$O$95,14,FALSE),0)</f>
        <v>0</v>
      </c>
      <c r="V738" s="1144">
        <f>IFERROR(VLOOKUP(CONCATENATE($E738,$G738),'LAC 103'!$A$12:$O$95,15,FALSE),0)</f>
        <v>0</v>
      </c>
      <c r="W738" s="1145" t="str">
        <f>IFERROR(VLOOKUP(CONCATENATE($B738,$N738),'LAC 103'!$AI:$AQ,9,FALSE),"")</f>
        <v>Costs</v>
      </c>
      <c r="X738" s="1146">
        <f t="shared" si="204"/>
        <v>3.2074101033884355</v>
      </c>
      <c r="Y738" s="1143">
        <f t="shared" si="205"/>
        <v>104234.41353991738</v>
      </c>
      <c r="Z738" s="1147">
        <f t="shared" si="206"/>
        <v>129667.02</v>
      </c>
      <c r="AA738" s="1144">
        <f t="shared" si="207"/>
        <v>80595.039999999994</v>
      </c>
      <c r="AB738" s="1144">
        <f t="shared" si="208"/>
        <v>0</v>
      </c>
      <c r="AC738" s="1144">
        <f t="shared" si="209"/>
        <v>0</v>
      </c>
      <c r="AD738" s="1148">
        <f t="shared" si="200"/>
        <v>104234.41353991738</v>
      </c>
      <c r="AE738" s="1487">
        <v>0</v>
      </c>
      <c r="AF738" s="1145">
        <f t="shared" si="210"/>
        <v>104234.41353991738</v>
      </c>
      <c r="AG738" s="1149">
        <f>IFERROR(VLOOKUP(CONCATENATE($L738,$N738),'Drop List'!$G$23:$K$87,2,FALSE),0)</f>
        <v>0.69340000000000002</v>
      </c>
      <c r="AH738" s="1150">
        <f>IFERROR(VLOOKUP(CONCATENATE($L738,$N738),'Drop List'!$G$23:$K$87,3,FALSE),0)</f>
        <v>0.30659999999999998</v>
      </c>
      <c r="AI738" s="1150">
        <f>IFERROR(VLOOKUP(CONCATENATE($L738,$N738),'Drop List'!$G$23:$K$87,4,FALSE),0)</f>
        <v>0</v>
      </c>
      <c r="AJ738" s="1151">
        <f>IFERROR(VLOOKUP(CONCATENATE($L738,$N738),'Drop List'!$G$23:$K$87,5,FALSE),0)</f>
        <v>0</v>
      </c>
      <c r="AK738" s="1152">
        <f t="shared" si="211"/>
        <v>72276.142348578709</v>
      </c>
      <c r="AL738" s="1153">
        <f t="shared" si="212"/>
        <v>31958.271191338667</v>
      </c>
      <c r="AM738" s="1153">
        <f t="shared" si="213"/>
        <v>0</v>
      </c>
      <c r="AN738" s="1145">
        <f t="shared" si="214"/>
        <v>0</v>
      </c>
      <c r="AO738" s="1154">
        <f t="shared" si="215"/>
        <v>104234.41353991738</v>
      </c>
      <c r="AP738" s="1147">
        <f t="shared" si="201"/>
        <v>0</v>
      </c>
      <c r="AQ738" s="1144">
        <f t="shared" si="202"/>
        <v>0</v>
      </c>
      <c r="AR738" s="1146">
        <f t="shared" si="203"/>
        <v>104234.41353991738</v>
      </c>
    </row>
    <row r="739" spans="1:44" x14ac:dyDescent="0.2">
      <c r="A739" s="1141" t="str">
        <f t="shared" si="198"/>
        <v>1542</v>
      </c>
      <c r="B739" s="1141" t="str">
        <f>IFERROR(VLOOKUP(A739,'LAC 103'!A:C,3,FALSE),"")</f>
        <v>OP</v>
      </c>
      <c r="C739" s="1478" t="str">
        <f>Info!$B$8</f>
        <v>00100</v>
      </c>
      <c r="D739" s="1474" t="s">
        <v>256</v>
      </c>
      <c r="E739" s="1474" t="s">
        <v>95</v>
      </c>
      <c r="F739" s="1478" t="s">
        <v>392</v>
      </c>
      <c r="G739" s="1478" t="s">
        <v>392</v>
      </c>
      <c r="H739" s="1474" t="s">
        <v>1656</v>
      </c>
      <c r="I739" s="1478" t="s">
        <v>809</v>
      </c>
      <c r="J739" s="1478"/>
      <c r="K739" s="1475" t="s">
        <v>848</v>
      </c>
      <c r="L739" s="1474" t="s">
        <v>45</v>
      </c>
      <c r="M739" s="1476" t="s">
        <v>1698</v>
      </c>
      <c r="N739" s="1477" t="s">
        <v>1693</v>
      </c>
      <c r="O739" s="1479">
        <v>28912</v>
      </c>
      <c r="P739" s="1479"/>
      <c r="Q739" s="1142">
        <f t="shared" si="199"/>
        <v>28912</v>
      </c>
      <c r="R739" s="1143">
        <f>IFERROR(VLOOKUP(CONCATENATE(E739,G739),'LAC 103'!$A$12:$O$95,11,FALSE),0)</f>
        <v>3.2074101033884355</v>
      </c>
      <c r="S739" s="1144">
        <f>IFERROR(VLOOKUP(CONCATENATE($E739,$G739),'LAC 103'!$A$12:$O$95,12,FALSE),0)</f>
        <v>3.99</v>
      </c>
      <c r="T739" s="1144">
        <f>IFERROR(VLOOKUP(CONCATENATE($E739,$G739),'LAC 103'!$A$12:$O$95,13,FALSE),0)</f>
        <v>2.48</v>
      </c>
      <c r="U739" s="1144">
        <f>IFERROR(VLOOKUP(CONCATENATE($E739,$G739),'LAC 103'!$A$12:$O$95,14,FALSE),0)</f>
        <v>0</v>
      </c>
      <c r="V739" s="1144">
        <f>IFERROR(VLOOKUP(CONCATENATE($E739,$G739),'LAC 103'!$A$12:$O$95,15,FALSE),0)</f>
        <v>0</v>
      </c>
      <c r="W739" s="1145" t="str">
        <f>IFERROR(VLOOKUP(CONCATENATE($B739,$N739),'LAC 103'!$AI:$AQ,9,FALSE),"")</f>
        <v>Costs</v>
      </c>
      <c r="X739" s="1146">
        <f t="shared" si="204"/>
        <v>3.2074101033884355</v>
      </c>
      <c r="Y739" s="1143">
        <f t="shared" si="205"/>
        <v>92732.640909166439</v>
      </c>
      <c r="Z739" s="1147">
        <f t="shared" si="206"/>
        <v>115358.88</v>
      </c>
      <c r="AA739" s="1144">
        <f t="shared" si="207"/>
        <v>71701.759999999995</v>
      </c>
      <c r="AB739" s="1144">
        <f t="shared" si="208"/>
        <v>0</v>
      </c>
      <c r="AC739" s="1144">
        <f t="shared" si="209"/>
        <v>0</v>
      </c>
      <c r="AD739" s="1148">
        <f t="shared" si="200"/>
        <v>92732.640909166439</v>
      </c>
      <c r="AE739" s="1487">
        <v>0</v>
      </c>
      <c r="AF739" s="1145">
        <f t="shared" si="210"/>
        <v>92732.640909166439</v>
      </c>
      <c r="AG739" s="1149">
        <f>IFERROR(VLOOKUP(CONCATENATE($L739,$N739),'Drop List'!$G$23:$K$87,2,FALSE),0)</f>
        <v>0.69340000000000002</v>
      </c>
      <c r="AH739" s="1150">
        <f>IFERROR(VLOOKUP(CONCATENATE($L739,$N739),'Drop List'!$G$23:$K$87,3,FALSE),0)</f>
        <v>0.30659999999999998</v>
      </c>
      <c r="AI739" s="1150">
        <f>IFERROR(VLOOKUP(CONCATENATE($L739,$N739),'Drop List'!$G$23:$K$87,4,FALSE),0)</f>
        <v>0</v>
      </c>
      <c r="AJ739" s="1151">
        <f>IFERROR(VLOOKUP(CONCATENATE($L739,$N739),'Drop List'!$G$23:$K$87,5,FALSE),0)</f>
        <v>0</v>
      </c>
      <c r="AK739" s="1152">
        <f t="shared" si="211"/>
        <v>64300.813206416009</v>
      </c>
      <c r="AL739" s="1153">
        <f t="shared" si="212"/>
        <v>28431.82770275043</v>
      </c>
      <c r="AM739" s="1153">
        <f t="shared" si="213"/>
        <v>0</v>
      </c>
      <c r="AN739" s="1145">
        <f t="shared" si="214"/>
        <v>0</v>
      </c>
      <c r="AO739" s="1154">
        <f t="shared" si="215"/>
        <v>92732.640909166439</v>
      </c>
      <c r="AP739" s="1147">
        <f t="shared" si="201"/>
        <v>0</v>
      </c>
      <c r="AQ739" s="1144">
        <f t="shared" si="202"/>
        <v>0</v>
      </c>
      <c r="AR739" s="1146">
        <f t="shared" si="203"/>
        <v>92732.640909166439</v>
      </c>
    </row>
    <row r="740" spans="1:44" x14ac:dyDescent="0.2">
      <c r="A740" s="1141" t="str">
        <f t="shared" si="198"/>
        <v>1542</v>
      </c>
      <c r="B740" s="1141" t="str">
        <f>IFERROR(VLOOKUP(A740,'LAC 103'!A:C,3,FALSE),"")</f>
        <v>OP</v>
      </c>
      <c r="C740" s="1478" t="str">
        <f>Info!$B$8</f>
        <v>00100</v>
      </c>
      <c r="D740" s="1474" t="s">
        <v>256</v>
      </c>
      <c r="E740" s="1474" t="s">
        <v>95</v>
      </c>
      <c r="F740" s="1478" t="s">
        <v>392</v>
      </c>
      <c r="G740" s="1478" t="s">
        <v>392</v>
      </c>
      <c r="H740" s="1474" t="s">
        <v>1656</v>
      </c>
      <c r="I740" s="1478" t="s">
        <v>809</v>
      </c>
      <c r="J740" s="1478"/>
      <c r="K740" s="1475" t="s">
        <v>849</v>
      </c>
      <c r="L740" s="1474" t="s">
        <v>77</v>
      </c>
      <c r="M740" s="1476" t="s">
        <v>1699</v>
      </c>
      <c r="N740" s="1477" t="s">
        <v>1694</v>
      </c>
      <c r="O740" s="1479">
        <v>83525</v>
      </c>
      <c r="P740" s="1479"/>
      <c r="Q740" s="1142">
        <f t="shared" si="199"/>
        <v>83525</v>
      </c>
      <c r="R740" s="1143">
        <f>IFERROR(VLOOKUP(CONCATENATE(E740,G740),'LAC 103'!$A$12:$O$95,11,FALSE),0)</f>
        <v>3.2074101033884355</v>
      </c>
      <c r="S740" s="1144">
        <f>IFERROR(VLOOKUP(CONCATENATE($E740,$G740),'LAC 103'!$A$12:$O$95,12,FALSE),0)</f>
        <v>3.99</v>
      </c>
      <c r="T740" s="1144">
        <f>IFERROR(VLOOKUP(CONCATENATE($E740,$G740),'LAC 103'!$A$12:$O$95,13,FALSE),0)</f>
        <v>2.48</v>
      </c>
      <c r="U740" s="1144">
        <f>IFERROR(VLOOKUP(CONCATENATE($E740,$G740),'LAC 103'!$A$12:$O$95,14,FALSE),0)</f>
        <v>0</v>
      </c>
      <c r="V740" s="1144">
        <f>IFERROR(VLOOKUP(CONCATENATE($E740,$G740),'LAC 103'!$A$12:$O$95,15,FALSE),0)</f>
        <v>0</v>
      </c>
      <c r="W740" s="1145" t="str">
        <f>IFERROR(VLOOKUP(CONCATENATE($B740,$N740),'LAC 103'!$AI:$AQ,9,FALSE),"")</f>
        <v>Costs</v>
      </c>
      <c r="X740" s="1146">
        <f t="shared" si="204"/>
        <v>3.2074101033884355</v>
      </c>
      <c r="Y740" s="1143">
        <f t="shared" si="205"/>
        <v>267898.9288855191</v>
      </c>
      <c r="Z740" s="1147">
        <f t="shared" si="206"/>
        <v>333264.75</v>
      </c>
      <c r="AA740" s="1144">
        <f t="shared" si="207"/>
        <v>207142</v>
      </c>
      <c r="AB740" s="1144">
        <f t="shared" si="208"/>
        <v>0</v>
      </c>
      <c r="AC740" s="1144">
        <f t="shared" si="209"/>
        <v>0</v>
      </c>
      <c r="AD740" s="1148">
        <f t="shared" si="200"/>
        <v>267898.9288855191</v>
      </c>
      <c r="AE740" s="1487">
        <v>0</v>
      </c>
      <c r="AF740" s="1145">
        <f t="shared" si="210"/>
        <v>267898.9288855191</v>
      </c>
      <c r="AG740" s="1149">
        <f>IFERROR(VLOOKUP(CONCATENATE($L740,$N740),'Drop List'!$G$23:$K$87,2,FALSE),0)</f>
        <v>0.9</v>
      </c>
      <c r="AH740" s="1150">
        <f>IFERROR(VLOOKUP(CONCATENATE($L740,$N740),'Drop List'!$G$23:$K$87,3,FALSE),0)</f>
        <v>0</v>
      </c>
      <c r="AI740" s="1150">
        <f>IFERROR(VLOOKUP(CONCATENATE($L740,$N740),'Drop List'!$G$23:$K$87,4,FALSE),0)</f>
        <v>0.1</v>
      </c>
      <c r="AJ740" s="1151">
        <f>IFERROR(VLOOKUP(CONCATENATE($L740,$N740),'Drop List'!$G$23:$K$87,5,FALSE),0)</f>
        <v>0</v>
      </c>
      <c r="AK740" s="1152">
        <f t="shared" si="211"/>
        <v>241109.0359969672</v>
      </c>
      <c r="AL740" s="1153">
        <f t="shared" si="212"/>
        <v>0</v>
      </c>
      <c r="AM740" s="1153">
        <f t="shared" si="213"/>
        <v>26789.892888551913</v>
      </c>
      <c r="AN740" s="1145">
        <f t="shared" si="214"/>
        <v>0</v>
      </c>
      <c r="AO740" s="1154">
        <f t="shared" si="215"/>
        <v>267898.9288855191</v>
      </c>
      <c r="AP740" s="1147">
        <f t="shared" si="201"/>
        <v>0</v>
      </c>
      <c r="AQ740" s="1144">
        <f t="shared" si="202"/>
        <v>0</v>
      </c>
      <c r="AR740" s="1146">
        <f t="shared" si="203"/>
        <v>267898.9288855191</v>
      </c>
    </row>
    <row r="741" spans="1:44" x14ac:dyDescent="0.2">
      <c r="A741" s="1141" t="str">
        <f t="shared" si="198"/>
        <v>1542</v>
      </c>
      <c r="B741" s="1141" t="str">
        <f>IFERROR(VLOOKUP(A741,'LAC 103'!A:C,3,FALSE),"")</f>
        <v>OP</v>
      </c>
      <c r="C741" s="1478" t="str">
        <f>Info!$B$8</f>
        <v>00100</v>
      </c>
      <c r="D741" s="1474" t="s">
        <v>256</v>
      </c>
      <c r="E741" s="1474" t="s">
        <v>95</v>
      </c>
      <c r="F741" s="1478" t="s">
        <v>392</v>
      </c>
      <c r="G741" s="1478" t="s">
        <v>392</v>
      </c>
      <c r="H741" s="1474" t="s">
        <v>1656</v>
      </c>
      <c r="I741" s="1478" t="s">
        <v>809</v>
      </c>
      <c r="J741" s="1478"/>
      <c r="K741" s="1475" t="s">
        <v>849</v>
      </c>
      <c r="L741" s="1474" t="s">
        <v>77</v>
      </c>
      <c r="M741" s="1476" t="s">
        <v>841</v>
      </c>
      <c r="N741" s="1477" t="s">
        <v>1695</v>
      </c>
      <c r="O741" s="1479">
        <v>42123</v>
      </c>
      <c r="P741" s="1479"/>
      <c r="Q741" s="1142">
        <f t="shared" si="199"/>
        <v>42123</v>
      </c>
      <c r="R741" s="1143">
        <f>IFERROR(VLOOKUP(CONCATENATE(E741,G741),'LAC 103'!$A$12:$O$95,11,FALSE),0)</f>
        <v>3.2074101033884355</v>
      </c>
      <c r="S741" s="1144">
        <f>IFERROR(VLOOKUP(CONCATENATE($E741,$G741),'LAC 103'!$A$12:$O$95,12,FALSE),0)</f>
        <v>3.99</v>
      </c>
      <c r="T741" s="1144">
        <f>IFERROR(VLOOKUP(CONCATENATE($E741,$G741),'LAC 103'!$A$12:$O$95,13,FALSE),0)</f>
        <v>2.48</v>
      </c>
      <c r="U741" s="1144">
        <f>IFERROR(VLOOKUP(CONCATENATE($E741,$G741),'LAC 103'!$A$12:$O$95,14,FALSE),0)</f>
        <v>0</v>
      </c>
      <c r="V741" s="1144">
        <f>IFERROR(VLOOKUP(CONCATENATE($E741,$G741),'LAC 103'!$A$12:$O$95,15,FALSE),0)</f>
        <v>0</v>
      </c>
      <c r="W741" s="1145" t="str">
        <f>IFERROR(VLOOKUP(CONCATENATE($B741,$N741),'LAC 103'!$AI:$AQ,9,FALSE),"")</f>
        <v>Costs</v>
      </c>
      <c r="X741" s="1146">
        <f t="shared" si="204"/>
        <v>3.2074101033884355</v>
      </c>
      <c r="Y741" s="1143">
        <f t="shared" si="205"/>
        <v>135105.73578503108</v>
      </c>
      <c r="Z741" s="1147">
        <f t="shared" si="206"/>
        <v>168070.77000000002</v>
      </c>
      <c r="AA741" s="1144">
        <f t="shared" si="207"/>
        <v>104465.04</v>
      </c>
      <c r="AB741" s="1144">
        <f t="shared" si="208"/>
        <v>0</v>
      </c>
      <c r="AC741" s="1144">
        <f t="shared" si="209"/>
        <v>0</v>
      </c>
      <c r="AD741" s="1148">
        <f t="shared" si="200"/>
        <v>135105.73578503108</v>
      </c>
      <c r="AE741" s="1487">
        <v>0</v>
      </c>
      <c r="AF741" s="1145">
        <f t="shared" si="210"/>
        <v>135105.73578503108</v>
      </c>
      <c r="AG741" s="1149">
        <f>IFERROR(VLOOKUP(CONCATENATE($L741,$N741),'Drop List'!$G$23:$K$87,2,FALSE),0)</f>
        <v>0.9</v>
      </c>
      <c r="AH741" s="1150">
        <f>IFERROR(VLOOKUP(CONCATENATE($L741,$N741),'Drop List'!$G$23:$K$87,3,FALSE),0)</f>
        <v>0</v>
      </c>
      <c r="AI741" s="1150">
        <f>IFERROR(VLOOKUP(CONCATENATE($L741,$N741),'Drop List'!$G$23:$K$87,4,FALSE),0)</f>
        <v>0.1</v>
      </c>
      <c r="AJ741" s="1151">
        <f>IFERROR(VLOOKUP(CONCATENATE($L741,$N741),'Drop List'!$G$23:$K$87,5,FALSE),0)</f>
        <v>0</v>
      </c>
      <c r="AK741" s="1152">
        <f t="shared" si="211"/>
        <v>121595.16220652798</v>
      </c>
      <c r="AL741" s="1153">
        <f t="shared" si="212"/>
        <v>0</v>
      </c>
      <c r="AM741" s="1153">
        <f t="shared" si="213"/>
        <v>13510.573578503108</v>
      </c>
      <c r="AN741" s="1145">
        <f t="shared" si="214"/>
        <v>0</v>
      </c>
      <c r="AO741" s="1154">
        <f t="shared" si="215"/>
        <v>135105.73578503108</v>
      </c>
      <c r="AP741" s="1147">
        <f t="shared" si="201"/>
        <v>0</v>
      </c>
      <c r="AQ741" s="1144">
        <f t="shared" si="202"/>
        <v>0</v>
      </c>
      <c r="AR741" s="1146">
        <f t="shared" si="203"/>
        <v>135105.73578503108</v>
      </c>
    </row>
    <row r="742" spans="1:44" x14ac:dyDescent="0.2">
      <c r="A742" s="1141" t="str">
        <f t="shared" si="198"/>
        <v>1542</v>
      </c>
      <c r="B742" s="1141" t="str">
        <f>IFERROR(VLOOKUP(A742,'LAC 103'!A:C,3,FALSE),"")</f>
        <v>OP</v>
      </c>
      <c r="C742" s="1478" t="str">
        <f>Info!$B$8</f>
        <v>00100</v>
      </c>
      <c r="D742" s="1474" t="s">
        <v>256</v>
      </c>
      <c r="E742" s="1474" t="s">
        <v>95</v>
      </c>
      <c r="F742" s="1478" t="s">
        <v>392</v>
      </c>
      <c r="G742" s="1478" t="s">
        <v>392</v>
      </c>
      <c r="H742" s="1474" t="s">
        <v>1656</v>
      </c>
      <c r="I742" s="1478" t="s">
        <v>809</v>
      </c>
      <c r="J742" s="1478"/>
      <c r="K742" s="1475" t="s">
        <v>849</v>
      </c>
      <c r="L742" s="1474" t="s">
        <v>77</v>
      </c>
      <c r="M742" s="1476" t="s">
        <v>840</v>
      </c>
      <c r="N742" s="1477" t="s">
        <v>1700</v>
      </c>
      <c r="O742" s="1479">
        <v>50550</v>
      </c>
      <c r="P742" s="1479"/>
      <c r="Q742" s="1142">
        <f t="shared" si="199"/>
        <v>50550</v>
      </c>
      <c r="R742" s="1143">
        <f>IFERROR(VLOOKUP(CONCATENATE(E742,G742),'LAC 103'!$A$12:$O$95,11,FALSE),0)</f>
        <v>3.2074101033884355</v>
      </c>
      <c r="S742" s="1144">
        <f>IFERROR(VLOOKUP(CONCATENATE($E742,$G742),'LAC 103'!$A$12:$O$95,12,FALSE),0)</f>
        <v>3.99</v>
      </c>
      <c r="T742" s="1144">
        <f>IFERROR(VLOOKUP(CONCATENATE($E742,$G742),'LAC 103'!$A$12:$O$95,13,FALSE),0)</f>
        <v>2.48</v>
      </c>
      <c r="U742" s="1144">
        <f>IFERROR(VLOOKUP(CONCATENATE($E742,$G742),'LAC 103'!$A$12:$O$95,14,FALSE),0)</f>
        <v>0</v>
      </c>
      <c r="V742" s="1144">
        <f>IFERROR(VLOOKUP(CONCATENATE($E742,$G742),'LAC 103'!$A$12:$O$95,15,FALSE),0)</f>
        <v>0</v>
      </c>
      <c r="W742" s="1145" t="str">
        <f>IFERROR(VLOOKUP(CONCATENATE($B742,$N742),'LAC 103'!$AI:$AQ,9,FALSE),"")</f>
        <v>P.C.</v>
      </c>
      <c r="X742" s="1146">
        <f t="shared" si="204"/>
        <v>2.48</v>
      </c>
      <c r="Y742" s="1143">
        <f t="shared" si="205"/>
        <v>162134.58072628541</v>
      </c>
      <c r="Z742" s="1147">
        <f t="shared" si="206"/>
        <v>201694.5</v>
      </c>
      <c r="AA742" s="1144">
        <f t="shared" si="207"/>
        <v>125364</v>
      </c>
      <c r="AB742" s="1144">
        <f t="shared" si="208"/>
        <v>0</v>
      </c>
      <c r="AC742" s="1144">
        <f t="shared" si="209"/>
        <v>0</v>
      </c>
      <c r="AD742" s="1148">
        <f t="shared" si="200"/>
        <v>125364</v>
      </c>
      <c r="AE742" s="1487">
        <v>0</v>
      </c>
      <c r="AF742" s="1145">
        <f t="shared" si="210"/>
        <v>125364</v>
      </c>
      <c r="AG742" s="1149">
        <f>IFERROR(VLOOKUP(CONCATENATE($L742,$N742),'Drop List'!$G$23:$K$87,2,FALSE),0)</f>
        <v>0.9</v>
      </c>
      <c r="AH742" s="1150">
        <f>IFERROR(VLOOKUP(CONCATENATE($L742,$N742),'Drop List'!$G$23:$K$87,3,FALSE),0)</f>
        <v>0</v>
      </c>
      <c r="AI742" s="1150">
        <f>IFERROR(VLOOKUP(CONCATENATE($L742,$N742),'Drop List'!$G$23:$K$87,4,FALSE),0)</f>
        <v>0.1</v>
      </c>
      <c r="AJ742" s="1151">
        <f>IFERROR(VLOOKUP(CONCATENATE($L742,$N742),'Drop List'!$G$23:$K$87,5,FALSE),0)</f>
        <v>0</v>
      </c>
      <c r="AK742" s="1152">
        <f t="shared" si="211"/>
        <v>112827.6</v>
      </c>
      <c r="AL742" s="1153">
        <f t="shared" si="212"/>
        <v>0</v>
      </c>
      <c r="AM742" s="1153">
        <f t="shared" si="213"/>
        <v>12536.400000000001</v>
      </c>
      <c r="AN742" s="1145">
        <f t="shared" si="214"/>
        <v>0</v>
      </c>
      <c r="AO742" s="1154">
        <f t="shared" si="215"/>
        <v>125364</v>
      </c>
      <c r="AP742" s="1147">
        <f t="shared" si="201"/>
        <v>0</v>
      </c>
      <c r="AQ742" s="1144">
        <f t="shared" si="202"/>
        <v>0</v>
      </c>
      <c r="AR742" s="1146">
        <f t="shared" si="203"/>
        <v>125364</v>
      </c>
    </row>
    <row r="743" spans="1:44" x14ac:dyDescent="0.2">
      <c r="A743" s="1141" t="str">
        <f t="shared" si="198"/>
        <v>1542</v>
      </c>
      <c r="B743" s="1141" t="str">
        <f>IFERROR(VLOOKUP(A743,'LAC 103'!A:C,3,FALSE),"")</f>
        <v>OP</v>
      </c>
      <c r="C743" s="1478" t="str">
        <f>Info!$B$8</f>
        <v>00100</v>
      </c>
      <c r="D743" s="1474" t="s">
        <v>256</v>
      </c>
      <c r="E743" s="1474" t="s">
        <v>95</v>
      </c>
      <c r="F743" s="1478" t="s">
        <v>392</v>
      </c>
      <c r="G743" s="1478" t="s">
        <v>392</v>
      </c>
      <c r="H743" s="1474" t="s">
        <v>1656</v>
      </c>
      <c r="I743" s="1478" t="s">
        <v>809</v>
      </c>
      <c r="J743" s="1478"/>
      <c r="K743" s="1475" t="s">
        <v>849</v>
      </c>
      <c r="L743" s="1474" t="s">
        <v>77</v>
      </c>
      <c r="M743" s="1476" t="s">
        <v>842</v>
      </c>
      <c r="N743" s="1477" t="s">
        <v>1692</v>
      </c>
      <c r="O743" s="1479">
        <v>74900</v>
      </c>
      <c r="P743" s="1479"/>
      <c r="Q743" s="1142">
        <f t="shared" si="199"/>
        <v>74900</v>
      </c>
      <c r="R743" s="1143">
        <f>IFERROR(VLOOKUP(CONCATENATE(E743,G743),'LAC 103'!$A$12:$O$95,11,FALSE),0)</f>
        <v>3.2074101033884355</v>
      </c>
      <c r="S743" s="1144">
        <f>IFERROR(VLOOKUP(CONCATENATE($E743,$G743),'LAC 103'!$A$12:$O$95,12,FALSE),0)</f>
        <v>3.99</v>
      </c>
      <c r="T743" s="1144">
        <f>IFERROR(VLOOKUP(CONCATENATE($E743,$G743),'LAC 103'!$A$12:$O$95,13,FALSE),0)</f>
        <v>2.48</v>
      </c>
      <c r="U743" s="1144">
        <f>IFERROR(VLOOKUP(CONCATENATE($E743,$G743),'LAC 103'!$A$12:$O$95,14,FALSE),0)</f>
        <v>0</v>
      </c>
      <c r="V743" s="1144">
        <f>IFERROR(VLOOKUP(CONCATENATE($E743,$G743),'LAC 103'!$A$12:$O$95,15,FALSE),0)</f>
        <v>0</v>
      </c>
      <c r="W743" s="1145" t="str">
        <f>IFERROR(VLOOKUP(CONCATENATE($B743,$N743),'LAC 103'!$AI:$AQ,9,FALSE),"")</f>
        <v>Costs</v>
      </c>
      <c r="X743" s="1146">
        <f t="shared" si="204"/>
        <v>3.2074101033884355</v>
      </c>
      <c r="Y743" s="1143">
        <f t="shared" si="205"/>
        <v>240235.01674379382</v>
      </c>
      <c r="Z743" s="1147">
        <f t="shared" si="206"/>
        <v>298851</v>
      </c>
      <c r="AA743" s="1144">
        <f t="shared" si="207"/>
        <v>185752</v>
      </c>
      <c r="AB743" s="1144">
        <f t="shared" si="208"/>
        <v>0</v>
      </c>
      <c r="AC743" s="1144">
        <f t="shared" si="209"/>
        <v>0</v>
      </c>
      <c r="AD743" s="1148">
        <f t="shared" si="200"/>
        <v>240235.01674379382</v>
      </c>
      <c r="AE743" s="1487">
        <v>0</v>
      </c>
      <c r="AF743" s="1145">
        <f t="shared" si="210"/>
        <v>240235.01674379382</v>
      </c>
      <c r="AG743" s="1149">
        <f>IFERROR(VLOOKUP(CONCATENATE($L743,$N743),'Drop List'!$G$23:$K$87,2,FALSE),0)</f>
        <v>0.9</v>
      </c>
      <c r="AH743" s="1150">
        <f>IFERROR(VLOOKUP(CONCATENATE($L743,$N743),'Drop List'!$G$23:$K$87,3,FALSE),0)</f>
        <v>0</v>
      </c>
      <c r="AI743" s="1150">
        <f>IFERROR(VLOOKUP(CONCATENATE($L743,$N743),'Drop List'!$G$23:$K$87,4,FALSE),0)</f>
        <v>0.1</v>
      </c>
      <c r="AJ743" s="1151">
        <f>IFERROR(VLOOKUP(CONCATENATE($L743,$N743),'Drop List'!$G$23:$K$87,5,FALSE),0)</f>
        <v>0</v>
      </c>
      <c r="AK743" s="1152">
        <f t="shared" si="211"/>
        <v>216211.51506941445</v>
      </c>
      <c r="AL743" s="1153">
        <f t="shared" si="212"/>
        <v>0</v>
      </c>
      <c r="AM743" s="1153">
        <f t="shared" si="213"/>
        <v>24023.501674379382</v>
      </c>
      <c r="AN743" s="1145">
        <f t="shared" si="214"/>
        <v>0</v>
      </c>
      <c r="AO743" s="1154">
        <f t="shared" si="215"/>
        <v>240235.01674379385</v>
      </c>
      <c r="AP743" s="1147">
        <f t="shared" si="201"/>
        <v>0</v>
      </c>
      <c r="AQ743" s="1144">
        <f t="shared" si="202"/>
        <v>0</v>
      </c>
      <c r="AR743" s="1146">
        <f t="shared" si="203"/>
        <v>240235.01674379385</v>
      </c>
    </row>
    <row r="744" spans="1:44" x14ac:dyDescent="0.2">
      <c r="A744" s="1141" t="str">
        <f t="shared" si="198"/>
        <v>1542</v>
      </c>
      <c r="B744" s="1141" t="str">
        <f>IFERROR(VLOOKUP(A744,'LAC 103'!A:C,3,FALSE),"")</f>
        <v>OP</v>
      </c>
      <c r="C744" s="1478" t="str">
        <f>Info!$B$8</f>
        <v>00100</v>
      </c>
      <c r="D744" s="1474" t="s">
        <v>256</v>
      </c>
      <c r="E744" s="1474" t="s">
        <v>95</v>
      </c>
      <c r="F744" s="1478" t="s">
        <v>392</v>
      </c>
      <c r="G744" s="1478" t="s">
        <v>392</v>
      </c>
      <c r="H744" s="1474" t="s">
        <v>1656</v>
      </c>
      <c r="I744" s="1478" t="s">
        <v>809</v>
      </c>
      <c r="J744" s="1478"/>
      <c r="K744" s="1475" t="s">
        <v>849</v>
      </c>
      <c r="L744" s="1474" t="s">
        <v>77</v>
      </c>
      <c r="M744" s="1476" t="s">
        <v>1698</v>
      </c>
      <c r="N744" s="1477" t="s">
        <v>1693</v>
      </c>
      <c r="O744" s="1479">
        <v>76943</v>
      </c>
      <c r="P744" s="1479"/>
      <c r="Q744" s="1142">
        <f t="shared" si="199"/>
        <v>76943</v>
      </c>
      <c r="R744" s="1143">
        <f>IFERROR(VLOOKUP(CONCATENATE(E744,G744),'LAC 103'!$A$12:$O$95,11,FALSE),0)</f>
        <v>3.2074101033884355</v>
      </c>
      <c r="S744" s="1144">
        <f>IFERROR(VLOOKUP(CONCATENATE($E744,$G744),'LAC 103'!$A$12:$O$95,12,FALSE),0)</f>
        <v>3.99</v>
      </c>
      <c r="T744" s="1144">
        <f>IFERROR(VLOOKUP(CONCATENATE($E744,$G744),'LAC 103'!$A$12:$O$95,13,FALSE),0)</f>
        <v>2.48</v>
      </c>
      <c r="U744" s="1144">
        <f>IFERROR(VLOOKUP(CONCATENATE($E744,$G744),'LAC 103'!$A$12:$O$95,14,FALSE),0)</f>
        <v>0</v>
      </c>
      <c r="V744" s="1144">
        <f>IFERROR(VLOOKUP(CONCATENATE($E744,$G744),'LAC 103'!$A$12:$O$95,15,FALSE),0)</f>
        <v>0</v>
      </c>
      <c r="W744" s="1145" t="str">
        <f>IFERROR(VLOOKUP(CONCATENATE($B744,$N744),'LAC 103'!$AI:$AQ,9,FALSE),"")</f>
        <v>Costs</v>
      </c>
      <c r="X744" s="1146">
        <f t="shared" si="204"/>
        <v>3.2074101033884355</v>
      </c>
      <c r="Y744" s="1143">
        <f t="shared" si="205"/>
        <v>246787.75558501639</v>
      </c>
      <c r="Z744" s="1147">
        <f t="shared" si="206"/>
        <v>307002.57</v>
      </c>
      <c r="AA744" s="1144">
        <f t="shared" si="207"/>
        <v>190818.63999999998</v>
      </c>
      <c r="AB744" s="1144">
        <f t="shared" si="208"/>
        <v>0</v>
      </c>
      <c r="AC744" s="1144">
        <f t="shared" si="209"/>
        <v>0</v>
      </c>
      <c r="AD744" s="1148">
        <f t="shared" si="200"/>
        <v>246787.75558501639</v>
      </c>
      <c r="AE744" s="1487">
        <v>0</v>
      </c>
      <c r="AF744" s="1145">
        <f t="shared" si="210"/>
        <v>246787.75558501639</v>
      </c>
      <c r="AG744" s="1149">
        <f>IFERROR(VLOOKUP(CONCATENATE($L744,$N744),'Drop List'!$G$23:$K$87,2,FALSE),0)</f>
        <v>0.9</v>
      </c>
      <c r="AH744" s="1150">
        <f>IFERROR(VLOOKUP(CONCATENATE($L744,$N744),'Drop List'!$G$23:$K$87,3,FALSE),0)</f>
        <v>0</v>
      </c>
      <c r="AI744" s="1150">
        <f>IFERROR(VLOOKUP(CONCATENATE($L744,$N744),'Drop List'!$G$23:$K$87,4,FALSE),0)</f>
        <v>0.1</v>
      </c>
      <c r="AJ744" s="1151">
        <f>IFERROR(VLOOKUP(CONCATENATE($L744,$N744),'Drop List'!$G$23:$K$87,5,FALSE),0)</f>
        <v>0</v>
      </c>
      <c r="AK744" s="1152">
        <f t="shared" si="211"/>
        <v>222108.98002651476</v>
      </c>
      <c r="AL744" s="1153">
        <f t="shared" si="212"/>
        <v>0</v>
      </c>
      <c r="AM744" s="1153">
        <f t="shared" si="213"/>
        <v>24678.775558501642</v>
      </c>
      <c r="AN744" s="1145">
        <f t="shared" si="214"/>
        <v>0</v>
      </c>
      <c r="AO744" s="1154">
        <f t="shared" si="215"/>
        <v>246787.75558501639</v>
      </c>
      <c r="AP744" s="1147">
        <f t="shared" si="201"/>
        <v>0</v>
      </c>
      <c r="AQ744" s="1144">
        <f t="shared" si="202"/>
        <v>0</v>
      </c>
      <c r="AR744" s="1146">
        <f t="shared" si="203"/>
        <v>246787.75558501639</v>
      </c>
    </row>
    <row r="745" spans="1:44" x14ac:dyDescent="0.2">
      <c r="A745" s="1141" t="str">
        <f t="shared" si="198"/>
        <v>1542</v>
      </c>
      <c r="B745" s="1141" t="str">
        <f>IFERROR(VLOOKUP(A745,'LAC 103'!A:C,3,FALSE),"")</f>
        <v>OP</v>
      </c>
      <c r="C745" s="1478" t="str">
        <f>Info!$B$8</f>
        <v>00100</v>
      </c>
      <c r="D745" s="1474" t="s">
        <v>256</v>
      </c>
      <c r="E745" s="1474" t="s">
        <v>95</v>
      </c>
      <c r="F745" s="1478" t="s">
        <v>392</v>
      </c>
      <c r="G745" s="1478" t="s">
        <v>392</v>
      </c>
      <c r="H745" s="1474" t="s">
        <v>1656</v>
      </c>
      <c r="I745" s="1478" t="s">
        <v>809</v>
      </c>
      <c r="J745" s="1478"/>
      <c r="K745" s="1475" t="s">
        <v>971</v>
      </c>
      <c r="L745" s="1474" t="s">
        <v>332</v>
      </c>
      <c r="M745" s="1476" t="s">
        <v>1699</v>
      </c>
      <c r="N745" s="1477" t="s">
        <v>1694</v>
      </c>
      <c r="O745" s="1479">
        <v>2174</v>
      </c>
      <c r="P745" s="1479"/>
      <c r="Q745" s="1142">
        <f t="shared" si="199"/>
        <v>2174</v>
      </c>
      <c r="R745" s="1143">
        <f>IFERROR(VLOOKUP(CONCATENATE(E745,G745),'LAC 103'!$A$12:$O$95,11,FALSE),0)</f>
        <v>3.2074101033884355</v>
      </c>
      <c r="S745" s="1144">
        <f>IFERROR(VLOOKUP(CONCATENATE($E745,$G745),'LAC 103'!$A$12:$O$95,12,FALSE),0)</f>
        <v>3.99</v>
      </c>
      <c r="T745" s="1144">
        <f>IFERROR(VLOOKUP(CONCATENATE($E745,$G745),'LAC 103'!$A$12:$O$95,13,FALSE),0)</f>
        <v>2.48</v>
      </c>
      <c r="U745" s="1144">
        <f>IFERROR(VLOOKUP(CONCATENATE($E745,$G745),'LAC 103'!$A$12:$O$95,14,FALSE),0)</f>
        <v>0</v>
      </c>
      <c r="V745" s="1144">
        <f>IFERROR(VLOOKUP(CONCATENATE($E745,$G745),'LAC 103'!$A$12:$O$95,15,FALSE),0)</f>
        <v>0</v>
      </c>
      <c r="W745" s="1145" t="str">
        <f>IFERROR(VLOOKUP(CONCATENATE($B745,$N745),'LAC 103'!$AI:$AQ,9,FALSE),"")</f>
        <v>Costs</v>
      </c>
      <c r="X745" s="1146">
        <f t="shared" si="204"/>
        <v>3.2074101033884355</v>
      </c>
      <c r="Y745" s="1143">
        <f t="shared" si="205"/>
        <v>6972.909564766459</v>
      </c>
      <c r="Z745" s="1147">
        <f t="shared" si="206"/>
        <v>8674.26</v>
      </c>
      <c r="AA745" s="1144">
        <f t="shared" si="207"/>
        <v>5391.5199999999995</v>
      </c>
      <c r="AB745" s="1144">
        <f t="shared" si="208"/>
        <v>0</v>
      </c>
      <c r="AC745" s="1144">
        <f t="shared" si="209"/>
        <v>0</v>
      </c>
      <c r="AD745" s="1148">
        <f t="shared" si="200"/>
        <v>6972.909564766459</v>
      </c>
      <c r="AE745" s="1487">
        <v>0</v>
      </c>
      <c r="AF745" s="1145">
        <f t="shared" si="210"/>
        <v>6972.909564766459</v>
      </c>
      <c r="AG745" s="1149">
        <f>IFERROR(VLOOKUP(CONCATENATE($L745,$N745),'Drop List'!$G$23:$K$87,2,FALSE),0)</f>
        <v>0</v>
      </c>
      <c r="AH745" s="1150">
        <f>IFERROR(VLOOKUP(CONCATENATE($L745,$N745),'Drop List'!$G$23:$K$87,3,FALSE),0)</f>
        <v>0</v>
      </c>
      <c r="AI745" s="1150">
        <f>IFERROR(VLOOKUP(CONCATENATE($L745,$N745),'Drop List'!$G$23:$K$87,4,FALSE),0)</f>
        <v>0</v>
      </c>
      <c r="AJ745" s="1151">
        <f>IFERROR(VLOOKUP(CONCATENATE($L745,$N745),'Drop List'!$G$23:$K$87,5,FALSE),0)</f>
        <v>0</v>
      </c>
      <c r="AK745" s="1152">
        <f t="shared" si="211"/>
        <v>0</v>
      </c>
      <c r="AL745" s="1153">
        <f t="shared" si="212"/>
        <v>0</v>
      </c>
      <c r="AM745" s="1153">
        <f t="shared" si="213"/>
        <v>0</v>
      </c>
      <c r="AN745" s="1145">
        <f t="shared" si="214"/>
        <v>0</v>
      </c>
      <c r="AO745" s="1154">
        <f t="shared" si="215"/>
        <v>0</v>
      </c>
      <c r="AP745" s="1147">
        <f t="shared" si="201"/>
        <v>6972.909564766459</v>
      </c>
      <c r="AQ745" s="1144">
        <f t="shared" si="202"/>
        <v>0</v>
      </c>
      <c r="AR745" s="1146">
        <f t="shared" si="203"/>
        <v>6972.909564766459</v>
      </c>
    </row>
    <row r="746" spans="1:44" x14ac:dyDescent="0.2">
      <c r="A746" s="1141" t="str">
        <f t="shared" si="198"/>
        <v>1542</v>
      </c>
      <c r="B746" s="1141" t="str">
        <f>IFERROR(VLOOKUP(A746,'LAC 103'!A:C,3,FALSE),"")</f>
        <v>OP</v>
      </c>
      <c r="C746" s="1478" t="str">
        <f>Info!$B$8</f>
        <v>00100</v>
      </c>
      <c r="D746" s="1474" t="s">
        <v>256</v>
      </c>
      <c r="E746" s="1474" t="s">
        <v>95</v>
      </c>
      <c r="F746" s="1478" t="s">
        <v>392</v>
      </c>
      <c r="G746" s="1478" t="s">
        <v>392</v>
      </c>
      <c r="H746" s="1474" t="s">
        <v>1656</v>
      </c>
      <c r="I746" s="1478" t="s">
        <v>809</v>
      </c>
      <c r="J746" s="1478"/>
      <c r="K746" s="1475" t="s">
        <v>971</v>
      </c>
      <c r="L746" s="1474" t="s">
        <v>332</v>
      </c>
      <c r="M746" s="1476" t="s">
        <v>841</v>
      </c>
      <c r="N746" s="1477" t="s">
        <v>1695</v>
      </c>
      <c r="O746" s="1479">
        <v>58</v>
      </c>
      <c r="P746" s="1479"/>
      <c r="Q746" s="1142">
        <f t="shared" si="199"/>
        <v>58</v>
      </c>
      <c r="R746" s="1143">
        <f>IFERROR(VLOOKUP(CONCATENATE(E746,G746),'LAC 103'!$A$12:$O$95,11,FALSE),0)</f>
        <v>3.2074101033884355</v>
      </c>
      <c r="S746" s="1144">
        <f>IFERROR(VLOOKUP(CONCATENATE($E746,$G746),'LAC 103'!$A$12:$O$95,12,FALSE),0)</f>
        <v>3.99</v>
      </c>
      <c r="T746" s="1144">
        <f>IFERROR(VLOOKUP(CONCATENATE($E746,$G746),'LAC 103'!$A$12:$O$95,13,FALSE),0)</f>
        <v>2.48</v>
      </c>
      <c r="U746" s="1144">
        <f>IFERROR(VLOOKUP(CONCATENATE($E746,$G746),'LAC 103'!$A$12:$O$95,14,FALSE),0)</f>
        <v>0</v>
      </c>
      <c r="V746" s="1144">
        <f>IFERROR(VLOOKUP(CONCATENATE($E746,$G746),'LAC 103'!$A$12:$O$95,15,FALSE),0)</f>
        <v>0</v>
      </c>
      <c r="W746" s="1145" t="str">
        <f>IFERROR(VLOOKUP(CONCATENATE($B746,$N746),'LAC 103'!$AI:$AQ,9,FALSE),"")</f>
        <v>Costs</v>
      </c>
      <c r="X746" s="1146">
        <f t="shared" si="204"/>
        <v>3.2074101033884355</v>
      </c>
      <c r="Y746" s="1143">
        <f t="shared" si="205"/>
        <v>186.02978599652926</v>
      </c>
      <c r="Z746" s="1147">
        <f t="shared" si="206"/>
        <v>231.42000000000002</v>
      </c>
      <c r="AA746" s="1144">
        <f t="shared" si="207"/>
        <v>143.84</v>
      </c>
      <c r="AB746" s="1144">
        <f t="shared" si="208"/>
        <v>0</v>
      </c>
      <c r="AC746" s="1144">
        <f t="shared" si="209"/>
        <v>0</v>
      </c>
      <c r="AD746" s="1148">
        <f t="shared" si="200"/>
        <v>186.02978599652926</v>
      </c>
      <c r="AE746" s="1487">
        <v>0</v>
      </c>
      <c r="AF746" s="1145">
        <f t="shared" si="210"/>
        <v>186.02978599652926</v>
      </c>
      <c r="AG746" s="1149">
        <f>IFERROR(VLOOKUP(CONCATENATE($L746,$N746),'Drop List'!$G$23:$K$87,2,FALSE),0)</f>
        <v>0</v>
      </c>
      <c r="AH746" s="1150">
        <f>IFERROR(VLOOKUP(CONCATENATE($L746,$N746),'Drop List'!$G$23:$K$87,3,FALSE),0)</f>
        <v>0</v>
      </c>
      <c r="AI746" s="1150">
        <f>IFERROR(VLOOKUP(CONCATENATE($L746,$N746),'Drop List'!$G$23:$K$87,4,FALSE),0)</f>
        <v>0</v>
      </c>
      <c r="AJ746" s="1151">
        <f>IFERROR(VLOOKUP(CONCATENATE($L746,$N746),'Drop List'!$G$23:$K$87,5,FALSE),0)</f>
        <v>0</v>
      </c>
      <c r="AK746" s="1152">
        <f t="shared" si="211"/>
        <v>0</v>
      </c>
      <c r="AL746" s="1153">
        <f t="shared" si="212"/>
        <v>0</v>
      </c>
      <c r="AM746" s="1153">
        <f t="shared" si="213"/>
        <v>0</v>
      </c>
      <c r="AN746" s="1145">
        <f t="shared" si="214"/>
        <v>0</v>
      </c>
      <c r="AO746" s="1154">
        <f t="shared" si="215"/>
        <v>0</v>
      </c>
      <c r="AP746" s="1147">
        <f t="shared" si="201"/>
        <v>186.02978599652926</v>
      </c>
      <c r="AQ746" s="1144">
        <f t="shared" si="202"/>
        <v>0</v>
      </c>
      <c r="AR746" s="1146">
        <f t="shared" si="203"/>
        <v>186.02978599652926</v>
      </c>
    </row>
    <row r="747" spans="1:44" x14ac:dyDescent="0.2">
      <c r="A747" s="1141" t="str">
        <f t="shared" si="198"/>
        <v>1542</v>
      </c>
      <c r="B747" s="1141" t="str">
        <f>IFERROR(VLOOKUP(A747,'LAC 103'!A:C,3,FALSE),"")</f>
        <v>OP</v>
      </c>
      <c r="C747" s="1478" t="str">
        <f>Info!$B$8</f>
        <v>00100</v>
      </c>
      <c r="D747" s="1474" t="s">
        <v>256</v>
      </c>
      <c r="E747" s="1474" t="s">
        <v>95</v>
      </c>
      <c r="F747" s="1478" t="s">
        <v>392</v>
      </c>
      <c r="G747" s="1478" t="s">
        <v>392</v>
      </c>
      <c r="H747" s="1474" t="s">
        <v>1656</v>
      </c>
      <c r="I747" s="1478" t="s">
        <v>809</v>
      </c>
      <c r="J747" s="1478"/>
      <c r="K747" s="1475" t="s">
        <v>971</v>
      </c>
      <c r="L747" s="1474" t="s">
        <v>332</v>
      </c>
      <c r="M747" s="1476" t="s">
        <v>842</v>
      </c>
      <c r="N747" s="1477" t="s">
        <v>1692</v>
      </c>
      <c r="O747" s="1479">
        <v>1601</v>
      </c>
      <c r="P747" s="1479"/>
      <c r="Q747" s="1142">
        <f t="shared" si="199"/>
        <v>1601</v>
      </c>
      <c r="R747" s="1143">
        <f>IFERROR(VLOOKUP(CONCATENATE(E747,G747),'LAC 103'!$A$12:$O$95,11,FALSE),0)</f>
        <v>3.2074101033884355</v>
      </c>
      <c r="S747" s="1144">
        <f>IFERROR(VLOOKUP(CONCATENATE($E747,$G747),'LAC 103'!$A$12:$O$95,12,FALSE),0)</f>
        <v>3.99</v>
      </c>
      <c r="T747" s="1144">
        <f>IFERROR(VLOOKUP(CONCATENATE($E747,$G747),'LAC 103'!$A$12:$O$95,13,FALSE),0)</f>
        <v>2.48</v>
      </c>
      <c r="U747" s="1144">
        <f>IFERROR(VLOOKUP(CONCATENATE($E747,$G747),'LAC 103'!$A$12:$O$95,14,FALSE),0)</f>
        <v>0</v>
      </c>
      <c r="V747" s="1144">
        <f>IFERROR(VLOOKUP(CONCATENATE($E747,$G747),'LAC 103'!$A$12:$O$95,15,FALSE),0)</f>
        <v>0</v>
      </c>
      <c r="W747" s="1145" t="str">
        <f>IFERROR(VLOOKUP(CONCATENATE($B747,$N747),'LAC 103'!$AI:$AQ,9,FALSE),"")</f>
        <v>Costs</v>
      </c>
      <c r="X747" s="1146">
        <f t="shared" si="204"/>
        <v>3.2074101033884355</v>
      </c>
      <c r="Y747" s="1143">
        <f t="shared" si="205"/>
        <v>5135.063575524885</v>
      </c>
      <c r="Z747" s="1147">
        <f t="shared" si="206"/>
        <v>6387.9900000000007</v>
      </c>
      <c r="AA747" s="1144">
        <f t="shared" si="207"/>
        <v>3970.48</v>
      </c>
      <c r="AB747" s="1144">
        <f t="shared" si="208"/>
        <v>0</v>
      </c>
      <c r="AC747" s="1144">
        <f t="shared" si="209"/>
        <v>0</v>
      </c>
      <c r="AD747" s="1148">
        <f t="shared" si="200"/>
        <v>5135.063575524885</v>
      </c>
      <c r="AE747" s="1487">
        <v>0</v>
      </c>
      <c r="AF747" s="1145">
        <f t="shared" si="210"/>
        <v>5135.063575524885</v>
      </c>
      <c r="AG747" s="1149">
        <f>IFERROR(VLOOKUP(CONCATENATE($L747,$N747),'Drop List'!$G$23:$K$87,2,FALSE),0)</f>
        <v>0</v>
      </c>
      <c r="AH747" s="1150">
        <f>IFERROR(VLOOKUP(CONCATENATE($L747,$N747),'Drop List'!$G$23:$K$87,3,FALSE),0)</f>
        <v>0</v>
      </c>
      <c r="AI747" s="1150">
        <f>IFERROR(VLOOKUP(CONCATENATE($L747,$N747),'Drop List'!$G$23:$K$87,4,FALSE),0)</f>
        <v>0</v>
      </c>
      <c r="AJ747" s="1151">
        <f>IFERROR(VLOOKUP(CONCATENATE($L747,$N747),'Drop List'!$G$23:$K$87,5,FALSE),0)</f>
        <v>0</v>
      </c>
      <c r="AK747" s="1152">
        <f t="shared" si="211"/>
        <v>0</v>
      </c>
      <c r="AL747" s="1153">
        <f t="shared" si="212"/>
        <v>0</v>
      </c>
      <c r="AM747" s="1153">
        <f t="shared" si="213"/>
        <v>0</v>
      </c>
      <c r="AN747" s="1145">
        <f t="shared" si="214"/>
        <v>0</v>
      </c>
      <c r="AO747" s="1154">
        <f t="shared" si="215"/>
        <v>0</v>
      </c>
      <c r="AP747" s="1147">
        <f t="shared" si="201"/>
        <v>5135.063575524885</v>
      </c>
      <c r="AQ747" s="1144">
        <f t="shared" si="202"/>
        <v>0</v>
      </c>
      <c r="AR747" s="1146">
        <f t="shared" si="203"/>
        <v>5135.063575524885</v>
      </c>
    </row>
    <row r="748" spans="1:44" x14ac:dyDescent="0.2">
      <c r="A748" s="1141" t="str">
        <f t="shared" si="198"/>
        <v>1542</v>
      </c>
      <c r="B748" s="1141" t="str">
        <f>IFERROR(VLOOKUP(A748,'LAC 103'!A:C,3,FALSE),"")</f>
        <v>OP</v>
      </c>
      <c r="C748" s="1478" t="str">
        <f>Info!$B$8</f>
        <v>00100</v>
      </c>
      <c r="D748" s="1474" t="s">
        <v>256</v>
      </c>
      <c r="E748" s="1474" t="s">
        <v>95</v>
      </c>
      <c r="F748" s="1478" t="s">
        <v>392</v>
      </c>
      <c r="G748" s="1478" t="s">
        <v>392</v>
      </c>
      <c r="H748" s="1474" t="s">
        <v>1656</v>
      </c>
      <c r="I748" s="1478" t="s">
        <v>809</v>
      </c>
      <c r="J748" s="1478"/>
      <c r="K748" s="1475" t="s">
        <v>971</v>
      </c>
      <c r="L748" s="1474" t="s">
        <v>332</v>
      </c>
      <c r="M748" s="1476" t="s">
        <v>1698</v>
      </c>
      <c r="N748" s="1477" t="s">
        <v>1693</v>
      </c>
      <c r="O748" s="1479">
        <v>3492</v>
      </c>
      <c r="P748" s="1479"/>
      <c r="Q748" s="1142">
        <f t="shared" si="199"/>
        <v>3492</v>
      </c>
      <c r="R748" s="1143">
        <f>IFERROR(VLOOKUP(CONCATENATE(E748,G748),'LAC 103'!$A$12:$O$95,11,FALSE),0)</f>
        <v>3.2074101033884355</v>
      </c>
      <c r="S748" s="1144">
        <f>IFERROR(VLOOKUP(CONCATENATE($E748,$G748),'LAC 103'!$A$12:$O$95,12,FALSE),0)</f>
        <v>3.99</v>
      </c>
      <c r="T748" s="1144">
        <f>IFERROR(VLOOKUP(CONCATENATE($E748,$G748),'LAC 103'!$A$12:$O$95,13,FALSE),0)</f>
        <v>2.48</v>
      </c>
      <c r="U748" s="1144">
        <f>IFERROR(VLOOKUP(CONCATENATE($E748,$G748),'LAC 103'!$A$12:$O$95,14,FALSE),0)</f>
        <v>0</v>
      </c>
      <c r="V748" s="1144">
        <f>IFERROR(VLOOKUP(CONCATENATE($E748,$G748),'LAC 103'!$A$12:$O$95,15,FALSE),0)</f>
        <v>0</v>
      </c>
      <c r="W748" s="1145" t="str">
        <f>IFERROR(VLOOKUP(CONCATENATE($B748,$N748),'LAC 103'!$AI:$AQ,9,FALSE),"")</f>
        <v>Costs</v>
      </c>
      <c r="X748" s="1146">
        <f t="shared" si="204"/>
        <v>3.2074101033884355</v>
      </c>
      <c r="Y748" s="1143">
        <f t="shared" si="205"/>
        <v>11200.276081032416</v>
      </c>
      <c r="Z748" s="1147">
        <f t="shared" si="206"/>
        <v>13933.08</v>
      </c>
      <c r="AA748" s="1144">
        <f t="shared" si="207"/>
        <v>8660.16</v>
      </c>
      <c r="AB748" s="1144">
        <f t="shared" si="208"/>
        <v>0</v>
      </c>
      <c r="AC748" s="1144">
        <f t="shared" si="209"/>
        <v>0</v>
      </c>
      <c r="AD748" s="1148">
        <f t="shared" si="200"/>
        <v>11200.276081032416</v>
      </c>
      <c r="AE748" s="1487">
        <v>0</v>
      </c>
      <c r="AF748" s="1145">
        <f t="shared" si="210"/>
        <v>11200.276081032416</v>
      </c>
      <c r="AG748" s="1149">
        <f>IFERROR(VLOOKUP(CONCATENATE($L748,$N748),'Drop List'!$G$23:$K$87,2,FALSE),0)</f>
        <v>0</v>
      </c>
      <c r="AH748" s="1150">
        <f>IFERROR(VLOOKUP(CONCATENATE($L748,$N748),'Drop List'!$G$23:$K$87,3,FALSE),0)</f>
        <v>0</v>
      </c>
      <c r="AI748" s="1150">
        <f>IFERROR(VLOOKUP(CONCATENATE($L748,$N748),'Drop List'!$G$23:$K$87,4,FALSE),0)</f>
        <v>0</v>
      </c>
      <c r="AJ748" s="1151">
        <f>IFERROR(VLOOKUP(CONCATENATE($L748,$N748),'Drop List'!$G$23:$K$87,5,FALSE),0)</f>
        <v>0</v>
      </c>
      <c r="AK748" s="1152">
        <f t="shared" si="211"/>
        <v>0</v>
      </c>
      <c r="AL748" s="1153">
        <f t="shared" si="212"/>
        <v>0</v>
      </c>
      <c r="AM748" s="1153">
        <f t="shared" si="213"/>
        <v>0</v>
      </c>
      <c r="AN748" s="1145">
        <f t="shared" si="214"/>
        <v>0</v>
      </c>
      <c r="AO748" s="1154">
        <f t="shared" si="215"/>
        <v>0</v>
      </c>
      <c r="AP748" s="1147">
        <f t="shared" si="201"/>
        <v>11200.276081032416</v>
      </c>
      <c r="AQ748" s="1144">
        <f t="shared" si="202"/>
        <v>0</v>
      </c>
      <c r="AR748" s="1146">
        <f t="shared" si="203"/>
        <v>11200.276081032416</v>
      </c>
    </row>
    <row r="749" spans="1:44" x14ac:dyDescent="0.2">
      <c r="A749" s="1141" t="str">
        <f t="shared" si="198"/>
        <v>1542</v>
      </c>
      <c r="B749" s="1141" t="str">
        <f>IFERROR(VLOOKUP(A749,'LAC 103'!A:C,3,FALSE),"")</f>
        <v>OP</v>
      </c>
      <c r="C749" s="1478" t="str">
        <f>Info!$B$8</f>
        <v>00100</v>
      </c>
      <c r="D749" s="1474" t="s">
        <v>256</v>
      </c>
      <c r="E749" s="1474" t="s">
        <v>95</v>
      </c>
      <c r="F749" s="1478" t="s">
        <v>392</v>
      </c>
      <c r="G749" s="1478" t="s">
        <v>392</v>
      </c>
      <c r="H749" s="1474" t="s">
        <v>1656</v>
      </c>
      <c r="I749" s="1478" t="s">
        <v>809</v>
      </c>
      <c r="J749" s="1478"/>
      <c r="K749" s="1475" t="s">
        <v>854</v>
      </c>
      <c r="L749" s="1474" t="s">
        <v>593</v>
      </c>
      <c r="M749" s="1476" t="s">
        <v>1699</v>
      </c>
      <c r="N749" s="1477" t="s">
        <v>1694</v>
      </c>
      <c r="O749" s="1479">
        <v>270</v>
      </c>
      <c r="P749" s="1479"/>
      <c r="Q749" s="1142">
        <f t="shared" si="199"/>
        <v>270</v>
      </c>
      <c r="R749" s="1143">
        <f>IFERROR(VLOOKUP(CONCATENATE(E749,G749),'LAC 103'!$A$12:$O$95,11,FALSE),0)</f>
        <v>3.2074101033884355</v>
      </c>
      <c r="S749" s="1144">
        <f>IFERROR(VLOOKUP(CONCATENATE($E749,$G749),'LAC 103'!$A$12:$O$95,12,FALSE),0)</f>
        <v>3.99</v>
      </c>
      <c r="T749" s="1144">
        <f>IFERROR(VLOOKUP(CONCATENATE($E749,$G749),'LAC 103'!$A$12:$O$95,13,FALSE),0)</f>
        <v>2.48</v>
      </c>
      <c r="U749" s="1144">
        <f>IFERROR(VLOOKUP(CONCATENATE($E749,$G749),'LAC 103'!$A$12:$O$95,14,FALSE),0)</f>
        <v>0</v>
      </c>
      <c r="V749" s="1144">
        <f>IFERROR(VLOOKUP(CONCATENATE($E749,$G749),'LAC 103'!$A$12:$O$95,15,FALSE),0)</f>
        <v>0</v>
      </c>
      <c r="W749" s="1145" t="str">
        <f>IFERROR(VLOOKUP(CONCATENATE($B749,$N749),'LAC 103'!$AI:$AQ,9,FALSE),"")</f>
        <v>Costs</v>
      </c>
      <c r="X749" s="1146">
        <f t="shared" si="204"/>
        <v>3.2074101033884355</v>
      </c>
      <c r="Y749" s="1143">
        <f t="shared" si="205"/>
        <v>866.00072791487753</v>
      </c>
      <c r="Z749" s="1147">
        <f t="shared" si="206"/>
        <v>1077.3</v>
      </c>
      <c r="AA749" s="1144">
        <f t="shared" si="207"/>
        <v>669.6</v>
      </c>
      <c r="AB749" s="1144">
        <f t="shared" si="208"/>
        <v>0</v>
      </c>
      <c r="AC749" s="1144">
        <f t="shared" si="209"/>
        <v>0</v>
      </c>
      <c r="AD749" s="1148">
        <f t="shared" si="200"/>
        <v>866.00072791487753</v>
      </c>
      <c r="AE749" s="1487">
        <v>0</v>
      </c>
      <c r="AF749" s="1145">
        <f t="shared" si="210"/>
        <v>866.00072791487753</v>
      </c>
      <c r="AG749" s="1149">
        <f>IFERROR(VLOOKUP(CONCATENATE($L749,$N749),'Drop List'!$G$23:$K$87,2,FALSE),0)</f>
        <v>0.69340000000000002</v>
      </c>
      <c r="AH749" s="1150">
        <f>IFERROR(VLOOKUP(CONCATENATE($L749,$N749),'Drop List'!$G$23:$K$87,3,FALSE),0)</f>
        <v>0</v>
      </c>
      <c r="AI749" s="1150">
        <f>IFERROR(VLOOKUP(CONCATENATE($L749,$N749),'Drop List'!$G$23:$K$87,4,FALSE),0)</f>
        <v>0</v>
      </c>
      <c r="AJ749" s="1151">
        <f>IFERROR(VLOOKUP(CONCATENATE($L749,$N749),'Drop List'!$G$23:$K$87,5,FALSE),0)</f>
        <v>0.30659999999999998</v>
      </c>
      <c r="AK749" s="1152">
        <f t="shared" si="211"/>
        <v>600.48490473617608</v>
      </c>
      <c r="AL749" s="1153">
        <f t="shared" si="212"/>
        <v>0</v>
      </c>
      <c r="AM749" s="1153">
        <f t="shared" si="213"/>
        <v>0</v>
      </c>
      <c r="AN749" s="1145">
        <f t="shared" si="214"/>
        <v>265.51582317870145</v>
      </c>
      <c r="AO749" s="1154">
        <f t="shared" si="215"/>
        <v>866.00072791487753</v>
      </c>
      <c r="AP749" s="1147">
        <f t="shared" si="201"/>
        <v>0</v>
      </c>
      <c r="AQ749" s="1144">
        <f t="shared" si="202"/>
        <v>0</v>
      </c>
      <c r="AR749" s="1146">
        <f t="shared" si="203"/>
        <v>866.00072791487753</v>
      </c>
    </row>
    <row r="750" spans="1:44" x14ac:dyDescent="0.2">
      <c r="A750" s="1141" t="str">
        <f t="shared" si="198"/>
        <v>1542</v>
      </c>
      <c r="B750" s="1141" t="str">
        <f>IFERROR(VLOOKUP(A750,'LAC 103'!A:C,3,FALSE),"")</f>
        <v>OP</v>
      </c>
      <c r="C750" s="1478" t="str">
        <f>Info!$B$8</f>
        <v>00100</v>
      </c>
      <c r="D750" s="1474" t="s">
        <v>256</v>
      </c>
      <c r="E750" s="1474" t="s">
        <v>95</v>
      </c>
      <c r="F750" s="1478" t="s">
        <v>392</v>
      </c>
      <c r="G750" s="1478" t="s">
        <v>392</v>
      </c>
      <c r="H750" s="1474" t="s">
        <v>1656</v>
      </c>
      <c r="I750" s="1478" t="s">
        <v>809</v>
      </c>
      <c r="J750" s="1478"/>
      <c r="K750" s="1475" t="s">
        <v>854</v>
      </c>
      <c r="L750" s="1474" t="s">
        <v>593</v>
      </c>
      <c r="M750" s="1476" t="s">
        <v>841</v>
      </c>
      <c r="N750" s="1477" t="s">
        <v>1695</v>
      </c>
      <c r="O750" s="1479">
        <v>271</v>
      </c>
      <c r="P750" s="1479"/>
      <c r="Q750" s="1142">
        <f t="shared" si="199"/>
        <v>271</v>
      </c>
      <c r="R750" s="1143">
        <f>IFERROR(VLOOKUP(CONCATENATE(E750,G750),'LAC 103'!$A$12:$O$95,11,FALSE),0)</f>
        <v>3.2074101033884355</v>
      </c>
      <c r="S750" s="1144">
        <f>IFERROR(VLOOKUP(CONCATENATE($E750,$G750),'LAC 103'!$A$12:$O$95,12,FALSE),0)</f>
        <v>3.99</v>
      </c>
      <c r="T750" s="1144">
        <f>IFERROR(VLOOKUP(CONCATENATE($E750,$G750),'LAC 103'!$A$12:$O$95,13,FALSE),0)</f>
        <v>2.48</v>
      </c>
      <c r="U750" s="1144">
        <f>IFERROR(VLOOKUP(CONCATENATE($E750,$G750),'LAC 103'!$A$12:$O$95,14,FALSE),0)</f>
        <v>0</v>
      </c>
      <c r="V750" s="1144">
        <f>IFERROR(VLOOKUP(CONCATENATE($E750,$G750),'LAC 103'!$A$12:$O$95,15,FALSE),0)</f>
        <v>0</v>
      </c>
      <c r="W750" s="1145" t="str">
        <f>IFERROR(VLOOKUP(CONCATENATE($B750,$N750),'LAC 103'!$AI:$AQ,9,FALSE),"")</f>
        <v>Costs</v>
      </c>
      <c r="X750" s="1146">
        <f t="shared" si="204"/>
        <v>3.2074101033884355</v>
      </c>
      <c r="Y750" s="1143">
        <f t="shared" si="205"/>
        <v>869.20813801826603</v>
      </c>
      <c r="Z750" s="1147">
        <f t="shared" si="206"/>
        <v>1081.29</v>
      </c>
      <c r="AA750" s="1144">
        <f t="shared" si="207"/>
        <v>672.08</v>
      </c>
      <c r="AB750" s="1144">
        <f t="shared" si="208"/>
        <v>0</v>
      </c>
      <c r="AC750" s="1144">
        <f t="shared" si="209"/>
        <v>0</v>
      </c>
      <c r="AD750" s="1148">
        <f t="shared" si="200"/>
        <v>869.20813801826603</v>
      </c>
      <c r="AE750" s="1487">
        <v>0</v>
      </c>
      <c r="AF750" s="1145">
        <f t="shared" si="210"/>
        <v>869.20813801826603</v>
      </c>
      <c r="AG750" s="1149">
        <f>IFERROR(VLOOKUP(CONCATENATE($L750,$N750),'Drop List'!$G$23:$K$87,2,FALSE),0)</f>
        <v>0.68500000000000005</v>
      </c>
      <c r="AH750" s="1150">
        <f>IFERROR(VLOOKUP(CONCATENATE($L750,$N750),'Drop List'!$G$23:$K$87,3,FALSE),0)</f>
        <v>0</v>
      </c>
      <c r="AI750" s="1150">
        <f>IFERROR(VLOOKUP(CONCATENATE($L750,$N750),'Drop List'!$G$23:$K$87,4,FALSE),0)</f>
        <v>0</v>
      </c>
      <c r="AJ750" s="1151">
        <f>IFERROR(VLOOKUP(CONCATENATE($L750,$N750),'Drop List'!$G$23:$K$87,5,FALSE),0)</f>
        <v>0.31499999999999995</v>
      </c>
      <c r="AK750" s="1152">
        <f t="shared" si="211"/>
        <v>595.40757454251229</v>
      </c>
      <c r="AL750" s="1153">
        <f t="shared" si="212"/>
        <v>0</v>
      </c>
      <c r="AM750" s="1153">
        <f t="shared" si="213"/>
        <v>0</v>
      </c>
      <c r="AN750" s="1145">
        <f t="shared" si="214"/>
        <v>273.80056347575373</v>
      </c>
      <c r="AO750" s="1154">
        <f t="shared" si="215"/>
        <v>869.20813801826603</v>
      </c>
      <c r="AP750" s="1147">
        <f t="shared" si="201"/>
        <v>0</v>
      </c>
      <c r="AQ750" s="1144">
        <f t="shared" si="202"/>
        <v>0</v>
      </c>
      <c r="AR750" s="1146">
        <f t="shared" si="203"/>
        <v>869.20813801826603</v>
      </c>
    </row>
    <row r="751" spans="1:44" x14ac:dyDescent="0.2">
      <c r="A751" s="1141" t="str">
        <f t="shared" si="198"/>
        <v>1542</v>
      </c>
      <c r="B751" s="1141" t="str">
        <f>IFERROR(VLOOKUP(A751,'LAC 103'!A:C,3,FALSE),"")</f>
        <v>OP</v>
      </c>
      <c r="C751" s="1478" t="str">
        <f>Info!$B$8</f>
        <v>00100</v>
      </c>
      <c r="D751" s="1474" t="s">
        <v>256</v>
      </c>
      <c r="E751" s="1474" t="s">
        <v>95</v>
      </c>
      <c r="F751" s="1478" t="s">
        <v>392</v>
      </c>
      <c r="G751" s="1478" t="s">
        <v>392</v>
      </c>
      <c r="H751" s="1474" t="s">
        <v>1656</v>
      </c>
      <c r="I751" s="1478" t="s">
        <v>809</v>
      </c>
      <c r="J751" s="1478"/>
      <c r="K751" s="1475" t="s">
        <v>854</v>
      </c>
      <c r="L751" s="1474" t="s">
        <v>593</v>
      </c>
      <c r="M751" s="1476" t="s">
        <v>840</v>
      </c>
      <c r="N751" s="1477" t="s">
        <v>1700</v>
      </c>
      <c r="O751" s="1479">
        <v>115</v>
      </c>
      <c r="P751" s="1479"/>
      <c r="Q751" s="1142">
        <f t="shared" si="199"/>
        <v>115</v>
      </c>
      <c r="R751" s="1143">
        <f>IFERROR(VLOOKUP(CONCATENATE(E751,G751),'LAC 103'!$A$12:$O$95,11,FALSE),0)</f>
        <v>3.2074101033884355</v>
      </c>
      <c r="S751" s="1144">
        <f>IFERROR(VLOOKUP(CONCATENATE($E751,$G751),'LAC 103'!$A$12:$O$95,12,FALSE),0)</f>
        <v>3.99</v>
      </c>
      <c r="T751" s="1144">
        <f>IFERROR(VLOOKUP(CONCATENATE($E751,$G751),'LAC 103'!$A$12:$O$95,13,FALSE),0)</f>
        <v>2.48</v>
      </c>
      <c r="U751" s="1144">
        <f>IFERROR(VLOOKUP(CONCATENATE($E751,$G751),'LAC 103'!$A$12:$O$95,14,FALSE),0)</f>
        <v>0</v>
      </c>
      <c r="V751" s="1144">
        <f>IFERROR(VLOOKUP(CONCATENATE($E751,$G751),'LAC 103'!$A$12:$O$95,15,FALSE),0)</f>
        <v>0</v>
      </c>
      <c r="W751" s="1145" t="str">
        <f>IFERROR(VLOOKUP(CONCATENATE($B751,$N751),'LAC 103'!$AI:$AQ,9,FALSE),"")</f>
        <v>P.C.</v>
      </c>
      <c r="X751" s="1146">
        <f t="shared" si="204"/>
        <v>2.48</v>
      </c>
      <c r="Y751" s="1143">
        <f t="shared" si="205"/>
        <v>368.85216188967007</v>
      </c>
      <c r="Z751" s="1147">
        <f t="shared" si="206"/>
        <v>458.85</v>
      </c>
      <c r="AA751" s="1144">
        <f t="shared" si="207"/>
        <v>285.2</v>
      </c>
      <c r="AB751" s="1144">
        <f t="shared" si="208"/>
        <v>0</v>
      </c>
      <c r="AC751" s="1144">
        <f t="shared" si="209"/>
        <v>0</v>
      </c>
      <c r="AD751" s="1148">
        <f t="shared" si="200"/>
        <v>285.2</v>
      </c>
      <c r="AE751" s="1487">
        <v>0</v>
      </c>
      <c r="AF751" s="1145">
        <f t="shared" si="210"/>
        <v>285.2</v>
      </c>
      <c r="AG751" s="1149">
        <f>IFERROR(VLOOKUP(CONCATENATE($L751,$N751),'Drop List'!$G$23:$K$87,2,FALSE),0)</f>
        <v>0.68500000000000005</v>
      </c>
      <c r="AH751" s="1150">
        <f>IFERROR(VLOOKUP(CONCATENATE($L751,$N751),'Drop List'!$G$23:$K$87,3,FALSE),0)</f>
        <v>0</v>
      </c>
      <c r="AI751" s="1150">
        <f>IFERROR(VLOOKUP(CONCATENATE($L751,$N751),'Drop List'!$G$23:$K$87,4,FALSE),0)</f>
        <v>0</v>
      </c>
      <c r="AJ751" s="1151">
        <f>IFERROR(VLOOKUP(CONCATENATE($L751,$N751),'Drop List'!$G$23:$K$87,5,FALSE),0)</f>
        <v>0.31499999999999995</v>
      </c>
      <c r="AK751" s="1152">
        <f t="shared" si="211"/>
        <v>195.36199999999999</v>
      </c>
      <c r="AL751" s="1153">
        <f t="shared" si="212"/>
        <v>0</v>
      </c>
      <c r="AM751" s="1153">
        <f t="shared" si="213"/>
        <v>0</v>
      </c>
      <c r="AN751" s="1145">
        <f t="shared" si="214"/>
        <v>89.83799999999998</v>
      </c>
      <c r="AO751" s="1154">
        <f t="shared" si="215"/>
        <v>285.2</v>
      </c>
      <c r="AP751" s="1147">
        <f t="shared" si="201"/>
        <v>0</v>
      </c>
      <c r="AQ751" s="1144">
        <f t="shared" si="202"/>
        <v>0</v>
      </c>
      <c r="AR751" s="1146">
        <f t="shared" si="203"/>
        <v>285.2</v>
      </c>
    </row>
    <row r="752" spans="1:44" x14ac:dyDescent="0.2">
      <c r="A752" s="1141" t="str">
        <f t="shared" si="198"/>
        <v>1542</v>
      </c>
      <c r="B752" s="1141" t="str">
        <f>IFERROR(VLOOKUP(A752,'LAC 103'!A:C,3,FALSE),"")</f>
        <v>OP</v>
      </c>
      <c r="C752" s="1478" t="str">
        <f>Info!$B$8</f>
        <v>00100</v>
      </c>
      <c r="D752" s="1474" t="s">
        <v>256</v>
      </c>
      <c r="E752" s="1474" t="s">
        <v>95</v>
      </c>
      <c r="F752" s="1478" t="s">
        <v>392</v>
      </c>
      <c r="G752" s="1478" t="s">
        <v>392</v>
      </c>
      <c r="H752" s="1474" t="s">
        <v>1656</v>
      </c>
      <c r="I752" s="1478" t="s">
        <v>809</v>
      </c>
      <c r="J752" s="1478"/>
      <c r="K752" s="1475" t="s">
        <v>854</v>
      </c>
      <c r="L752" s="1474" t="s">
        <v>593</v>
      </c>
      <c r="M752" s="1476" t="s">
        <v>842</v>
      </c>
      <c r="N752" s="1477" t="s">
        <v>1692</v>
      </c>
      <c r="O752" s="1479">
        <v>151</v>
      </c>
      <c r="P752" s="1479"/>
      <c r="Q752" s="1142">
        <f t="shared" si="199"/>
        <v>151</v>
      </c>
      <c r="R752" s="1143">
        <f>IFERROR(VLOOKUP(CONCATENATE(E752,G752),'LAC 103'!$A$12:$O$95,11,FALSE),0)</f>
        <v>3.2074101033884355</v>
      </c>
      <c r="S752" s="1144">
        <f>IFERROR(VLOOKUP(CONCATENATE($E752,$G752),'LAC 103'!$A$12:$O$95,12,FALSE),0)</f>
        <v>3.99</v>
      </c>
      <c r="T752" s="1144">
        <f>IFERROR(VLOOKUP(CONCATENATE($E752,$G752),'LAC 103'!$A$12:$O$95,13,FALSE),0)</f>
        <v>2.48</v>
      </c>
      <c r="U752" s="1144">
        <f>IFERROR(VLOOKUP(CONCATENATE($E752,$G752),'LAC 103'!$A$12:$O$95,14,FALSE),0)</f>
        <v>0</v>
      </c>
      <c r="V752" s="1144">
        <f>IFERROR(VLOOKUP(CONCATENATE($E752,$G752),'LAC 103'!$A$12:$O$95,15,FALSE),0)</f>
        <v>0</v>
      </c>
      <c r="W752" s="1145" t="str">
        <f>IFERROR(VLOOKUP(CONCATENATE($B752,$N752),'LAC 103'!$AI:$AQ,9,FALSE),"")</f>
        <v>Costs</v>
      </c>
      <c r="X752" s="1146">
        <f t="shared" si="204"/>
        <v>3.2074101033884355</v>
      </c>
      <c r="Y752" s="1143">
        <f t="shared" si="205"/>
        <v>484.31892561165375</v>
      </c>
      <c r="Z752" s="1147">
        <f t="shared" si="206"/>
        <v>602.49</v>
      </c>
      <c r="AA752" s="1144">
        <f t="shared" si="207"/>
        <v>374.48</v>
      </c>
      <c r="AB752" s="1144">
        <f t="shared" si="208"/>
        <v>0</v>
      </c>
      <c r="AC752" s="1144">
        <f t="shared" si="209"/>
        <v>0</v>
      </c>
      <c r="AD752" s="1148">
        <f t="shared" si="200"/>
        <v>484.31892561165375</v>
      </c>
      <c r="AE752" s="1487">
        <v>0</v>
      </c>
      <c r="AF752" s="1145">
        <f t="shared" si="210"/>
        <v>484.31892561165375</v>
      </c>
      <c r="AG752" s="1149">
        <f>IFERROR(VLOOKUP(CONCATENATE($L752,$N752),'Drop List'!$G$23:$K$87,2,FALSE),0)</f>
        <v>0.69340000000000002</v>
      </c>
      <c r="AH752" s="1150">
        <f>IFERROR(VLOOKUP(CONCATENATE($L752,$N752),'Drop List'!$G$23:$K$87,3,FALSE),0)</f>
        <v>0</v>
      </c>
      <c r="AI752" s="1150">
        <f>IFERROR(VLOOKUP(CONCATENATE($L752,$N752),'Drop List'!$G$23:$K$87,4,FALSE),0)</f>
        <v>0</v>
      </c>
      <c r="AJ752" s="1151">
        <f>IFERROR(VLOOKUP(CONCATENATE($L752,$N752),'Drop List'!$G$23:$K$87,5,FALSE),0)</f>
        <v>0.30659999999999998</v>
      </c>
      <c r="AK752" s="1152">
        <f t="shared" si="211"/>
        <v>335.82674301912073</v>
      </c>
      <c r="AL752" s="1153">
        <f t="shared" si="212"/>
        <v>0</v>
      </c>
      <c r="AM752" s="1153">
        <f t="shared" si="213"/>
        <v>0</v>
      </c>
      <c r="AN752" s="1145">
        <f t="shared" si="214"/>
        <v>148.49218259253303</v>
      </c>
      <c r="AO752" s="1154">
        <f t="shared" si="215"/>
        <v>484.31892561165375</v>
      </c>
      <c r="AP752" s="1147">
        <f t="shared" si="201"/>
        <v>0</v>
      </c>
      <c r="AQ752" s="1144">
        <f t="shared" si="202"/>
        <v>0</v>
      </c>
      <c r="AR752" s="1146">
        <f t="shared" si="203"/>
        <v>484.31892561165375</v>
      </c>
    </row>
    <row r="753" spans="1:44" x14ac:dyDescent="0.2">
      <c r="A753" s="1141" t="str">
        <f t="shared" si="198"/>
        <v>1542</v>
      </c>
      <c r="B753" s="1141" t="str">
        <f>IFERROR(VLOOKUP(A753,'LAC 103'!A:C,3,FALSE),"")</f>
        <v>OP</v>
      </c>
      <c r="C753" s="1478" t="str">
        <f>Info!$B$8</f>
        <v>00100</v>
      </c>
      <c r="D753" s="1474" t="s">
        <v>256</v>
      </c>
      <c r="E753" s="1474" t="s">
        <v>95</v>
      </c>
      <c r="F753" s="1478" t="s">
        <v>392</v>
      </c>
      <c r="G753" s="1478" t="s">
        <v>392</v>
      </c>
      <c r="H753" s="1474" t="s">
        <v>1656</v>
      </c>
      <c r="I753" s="1478" t="s">
        <v>809</v>
      </c>
      <c r="J753" s="1478"/>
      <c r="K753" s="1475" t="s">
        <v>854</v>
      </c>
      <c r="L753" s="1474" t="s">
        <v>593</v>
      </c>
      <c r="M753" s="1476" t="s">
        <v>1698</v>
      </c>
      <c r="N753" s="1477" t="s">
        <v>1693</v>
      </c>
      <c r="O753" s="1479">
        <v>429</v>
      </c>
      <c r="P753" s="1479"/>
      <c r="Q753" s="1142">
        <f t="shared" si="199"/>
        <v>429</v>
      </c>
      <c r="R753" s="1143">
        <f>IFERROR(VLOOKUP(CONCATENATE(E753,G753),'LAC 103'!$A$12:$O$95,11,FALSE),0)</f>
        <v>3.2074101033884355</v>
      </c>
      <c r="S753" s="1144">
        <f>IFERROR(VLOOKUP(CONCATENATE($E753,$G753),'LAC 103'!$A$12:$O$95,12,FALSE),0)</f>
        <v>3.99</v>
      </c>
      <c r="T753" s="1144">
        <f>IFERROR(VLOOKUP(CONCATENATE($E753,$G753),'LAC 103'!$A$12:$O$95,13,FALSE),0)</f>
        <v>2.48</v>
      </c>
      <c r="U753" s="1144">
        <f>IFERROR(VLOOKUP(CONCATENATE($E753,$G753),'LAC 103'!$A$12:$O$95,14,FALSE),0)</f>
        <v>0</v>
      </c>
      <c r="V753" s="1144">
        <f>IFERROR(VLOOKUP(CONCATENATE($E753,$G753),'LAC 103'!$A$12:$O$95,15,FALSE),0)</f>
        <v>0</v>
      </c>
      <c r="W753" s="1145" t="str">
        <f>IFERROR(VLOOKUP(CONCATENATE($B753,$N753),'LAC 103'!$AI:$AQ,9,FALSE),"")</f>
        <v>Costs</v>
      </c>
      <c r="X753" s="1146">
        <f t="shared" si="204"/>
        <v>3.2074101033884355</v>
      </c>
      <c r="Y753" s="1143">
        <f t="shared" si="205"/>
        <v>1375.9789343536388</v>
      </c>
      <c r="Z753" s="1147">
        <f t="shared" si="206"/>
        <v>1711.71</v>
      </c>
      <c r="AA753" s="1144">
        <f t="shared" si="207"/>
        <v>1063.92</v>
      </c>
      <c r="AB753" s="1144">
        <f t="shared" si="208"/>
        <v>0</v>
      </c>
      <c r="AC753" s="1144">
        <f t="shared" si="209"/>
        <v>0</v>
      </c>
      <c r="AD753" s="1148">
        <f t="shared" si="200"/>
        <v>1375.9789343536388</v>
      </c>
      <c r="AE753" s="1487">
        <v>0</v>
      </c>
      <c r="AF753" s="1145">
        <f t="shared" si="210"/>
        <v>1375.9789343536388</v>
      </c>
      <c r="AG753" s="1149">
        <f>IFERROR(VLOOKUP(CONCATENATE($L753,$N753),'Drop List'!$G$23:$K$87,2,FALSE),0)</f>
        <v>0.69340000000000002</v>
      </c>
      <c r="AH753" s="1150">
        <f>IFERROR(VLOOKUP(CONCATENATE($L753,$N753),'Drop List'!$G$23:$K$87,3,FALSE),0)</f>
        <v>0</v>
      </c>
      <c r="AI753" s="1150">
        <f>IFERROR(VLOOKUP(CONCATENATE($L753,$N753),'Drop List'!$G$23:$K$87,4,FALSE),0)</f>
        <v>0</v>
      </c>
      <c r="AJ753" s="1151">
        <f>IFERROR(VLOOKUP(CONCATENATE($L753,$N753),'Drop List'!$G$23:$K$87,5,FALSE),0)</f>
        <v>0.30659999999999998</v>
      </c>
      <c r="AK753" s="1152">
        <f t="shared" si="211"/>
        <v>954.10379308081315</v>
      </c>
      <c r="AL753" s="1153">
        <f t="shared" si="212"/>
        <v>0</v>
      </c>
      <c r="AM753" s="1153">
        <f t="shared" si="213"/>
        <v>0</v>
      </c>
      <c r="AN753" s="1145">
        <f t="shared" si="214"/>
        <v>421.87514127282566</v>
      </c>
      <c r="AO753" s="1154">
        <f t="shared" si="215"/>
        <v>1375.9789343536388</v>
      </c>
      <c r="AP753" s="1147">
        <f t="shared" si="201"/>
        <v>0</v>
      </c>
      <c r="AQ753" s="1144">
        <f t="shared" si="202"/>
        <v>0</v>
      </c>
      <c r="AR753" s="1146">
        <f t="shared" si="203"/>
        <v>1375.9789343536388</v>
      </c>
    </row>
    <row r="754" spans="1:44" x14ac:dyDescent="0.2">
      <c r="A754" s="1141" t="str">
        <f t="shared" si="198"/>
        <v>1542</v>
      </c>
      <c r="B754" s="1141" t="str">
        <f>IFERROR(VLOOKUP(A754,'LAC 103'!A:C,3,FALSE),"")</f>
        <v>OP</v>
      </c>
      <c r="C754" s="1478" t="str">
        <f>Info!$B$8</f>
        <v>00100</v>
      </c>
      <c r="D754" s="1474" t="s">
        <v>256</v>
      </c>
      <c r="E754" s="1474" t="s">
        <v>95</v>
      </c>
      <c r="F754" s="1478" t="s">
        <v>392</v>
      </c>
      <c r="G754" s="1478" t="s">
        <v>392</v>
      </c>
      <c r="H754" s="1474" t="s">
        <v>1656</v>
      </c>
      <c r="I754" s="1478" t="s">
        <v>809</v>
      </c>
      <c r="J754" s="1478"/>
      <c r="K754" s="1475" t="s">
        <v>850</v>
      </c>
      <c r="L754" s="1474" t="s">
        <v>330</v>
      </c>
      <c r="M754" s="1476" t="s">
        <v>1699</v>
      </c>
      <c r="N754" s="1477" t="s">
        <v>1694</v>
      </c>
      <c r="O754" s="1479">
        <v>461</v>
      </c>
      <c r="P754" s="1479"/>
      <c r="Q754" s="1142">
        <f t="shared" si="199"/>
        <v>461</v>
      </c>
      <c r="R754" s="1143">
        <f>IFERROR(VLOOKUP(CONCATENATE(E754,G754),'LAC 103'!$A$12:$O$95,11,FALSE),0)</f>
        <v>3.2074101033884355</v>
      </c>
      <c r="S754" s="1144">
        <f>IFERROR(VLOOKUP(CONCATENATE($E754,$G754),'LAC 103'!$A$12:$O$95,12,FALSE),0)</f>
        <v>3.99</v>
      </c>
      <c r="T754" s="1144">
        <f>IFERROR(VLOOKUP(CONCATENATE($E754,$G754),'LAC 103'!$A$12:$O$95,13,FALSE),0)</f>
        <v>2.48</v>
      </c>
      <c r="U754" s="1144">
        <f>IFERROR(VLOOKUP(CONCATENATE($E754,$G754),'LAC 103'!$A$12:$O$95,14,FALSE),0)</f>
        <v>0</v>
      </c>
      <c r="V754" s="1144">
        <f>IFERROR(VLOOKUP(CONCATENATE($E754,$G754),'LAC 103'!$A$12:$O$95,15,FALSE),0)</f>
        <v>0</v>
      </c>
      <c r="W754" s="1145" t="str">
        <f>IFERROR(VLOOKUP(CONCATENATE($B754,$N754),'LAC 103'!$AI:$AQ,9,FALSE),"")</f>
        <v>Costs</v>
      </c>
      <c r="X754" s="1146">
        <f t="shared" si="204"/>
        <v>3.2074101033884355</v>
      </c>
      <c r="Y754" s="1143">
        <f t="shared" si="205"/>
        <v>1478.6160576620687</v>
      </c>
      <c r="Z754" s="1147">
        <f t="shared" si="206"/>
        <v>1839.39</v>
      </c>
      <c r="AA754" s="1144">
        <f t="shared" si="207"/>
        <v>1143.28</v>
      </c>
      <c r="AB754" s="1144">
        <f t="shared" si="208"/>
        <v>0</v>
      </c>
      <c r="AC754" s="1144">
        <f t="shared" si="209"/>
        <v>0</v>
      </c>
      <c r="AD754" s="1148">
        <f t="shared" si="200"/>
        <v>1478.6160576620687</v>
      </c>
      <c r="AE754" s="1487">
        <v>0</v>
      </c>
      <c r="AF754" s="1145">
        <f t="shared" si="210"/>
        <v>1478.6160576620687</v>
      </c>
      <c r="AG754" s="1149">
        <f>IFERROR(VLOOKUP(CONCATENATE($L754,$N754),'Drop List'!$G$23:$K$87,2,FALSE),0)</f>
        <v>0</v>
      </c>
      <c r="AH754" s="1150">
        <f>IFERROR(VLOOKUP(CONCATENATE($L754,$N754),'Drop List'!$G$23:$K$87,3,FALSE),0)</f>
        <v>0</v>
      </c>
      <c r="AI754" s="1150">
        <f>IFERROR(VLOOKUP(CONCATENATE($L754,$N754),'Drop List'!$G$23:$K$87,4,FALSE),0)</f>
        <v>1</v>
      </c>
      <c r="AJ754" s="1151">
        <f>IFERROR(VLOOKUP(CONCATENATE($L754,$N754),'Drop List'!$G$23:$K$87,5,FALSE),0)</f>
        <v>0</v>
      </c>
      <c r="AK754" s="1152">
        <f t="shared" si="211"/>
        <v>0</v>
      </c>
      <c r="AL754" s="1153">
        <f t="shared" si="212"/>
        <v>0</v>
      </c>
      <c r="AM754" s="1153">
        <f t="shared" si="213"/>
        <v>1478.6160576620687</v>
      </c>
      <c r="AN754" s="1145">
        <f t="shared" si="214"/>
        <v>0</v>
      </c>
      <c r="AO754" s="1154">
        <f t="shared" si="215"/>
        <v>1478.6160576620687</v>
      </c>
      <c r="AP754" s="1147">
        <f t="shared" si="201"/>
        <v>0</v>
      </c>
      <c r="AQ754" s="1144">
        <f t="shared" si="202"/>
        <v>0</v>
      </c>
      <c r="AR754" s="1146">
        <f t="shared" si="203"/>
        <v>1478.6160576620687</v>
      </c>
    </row>
    <row r="755" spans="1:44" x14ac:dyDescent="0.2">
      <c r="A755" s="1141" t="str">
        <f t="shared" si="198"/>
        <v>1542</v>
      </c>
      <c r="B755" s="1141" t="str">
        <f>IFERROR(VLOOKUP(A755,'LAC 103'!A:C,3,FALSE),"")</f>
        <v>OP</v>
      </c>
      <c r="C755" s="1478" t="str">
        <f>Info!$B$8</f>
        <v>00100</v>
      </c>
      <c r="D755" s="1474" t="s">
        <v>256</v>
      </c>
      <c r="E755" s="1474" t="s">
        <v>95</v>
      </c>
      <c r="F755" s="1478" t="s">
        <v>392</v>
      </c>
      <c r="G755" s="1478" t="s">
        <v>392</v>
      </c>
      <c r="H755" s="1474" t="s">
        <v>1656</v>
      </c>
      <c r="I755" s="1478" t="s">
        <v>809</v>
      </c>
      <c r="J755" s="1478"/>
      <c r="K755" s="1475" t="s">
        <v>850</v>
      </c>
      <c r="L755" s="1474" t="s">
        <v>330</v>
      </c>
      <c r="M755" s="1476" t="s">
        <v>842</v>
      </c>
      <c r="N755" s="1477" t="s">
        <v>1692</v>
      </c>
      <c r="O755" s="1479">
        <v>1729</v>
      </c>
      <c r="P755" s="1479"/>
      <c r="Q755" s="1142">
        <f t="shared" si="199"/>
        <v>1729</v>
      </c>
      <c r="R755" s="1143">
        <f>IFERROR(VLOOKUP(CONCATENATE(E755,G755),'LAC 103'!$A$12:$O$95,11,FALSE),0)</f>
        <v>3.2074101033884355</v>
      </c>
      <c r="S755" s="1144">
        <f>IFERROR(VLOOKUP(CONCATENATE($E755,$G755),'LAC 103'!$A$12:$O$95,12,FALSE),0)</f>
        <v>3.99</v>
      </c>
      <c r="T755" s="1144">
        <f>IFERROR(VLOOKUP(CONCATENATE($E755,$G755),'LAC 103'!$A$12:$O$95,13,FALSE),0)</f>
        <v>2.48</v>
      </c>
      <c r="U755" s="1144">
        <f>IFERROR(VLOOKUP(CONCATENATE($E755,$G755),'LAC 103'!$A$12:$O$95,14,FALSE),0)</f>
        <v>0</v>
      </c>
      <c r="V755" s="1144">
        <f>IFERROR(VLOOKUP(CONCATENATE($E755,$G755),'LAC 103'!$A$12:$O$95,15,FALSE),0)</f>
        <v>0</v>
      </c>
      <c r="W755" s="1145" t="str">
        <f>IFERROR(VLOOKUP(CONCATENATE($B755,$N755),'LAC 103'!$AI:$AQ,9,FALSE),"")</f>
        <v>Costs</v>
      </c>
      <c r="X755" s="1146">
        <f t="shared" si="204"/>
        <v>3.2074101033884355</v>
      </c>
      <c r="Y755" s="1143">
        <f t="shared" si="205"/>
        <v>5545.6120687586053</v>
      </c>
      <c r="Z755" s="1147">
        <f t="shared" si="206"/>
        <v>6898.71</v>
      </c>
      <c r="AA755" s="1144">
        <f t="shared" si="207"/>
        <v>4287.92</v>
      </c>
      <c r="AB755" s="1144">
        <f t="shared" si="208"/>
        <v>0</v>
      </c>
      <c r="AC755" s="1144">
        <f t="shared" si="209"/>
        <v>0</v>
      </c>
      <c r="AD755" s="1148">
        <f t="shared" si="200"/>
        <v>5545.6120687586053</v>
      </c>
      <c r="AE755" s="1487">
        <v>0</v>
      </c>
      <c r="AF755" s="1145">
        <f t="shared" si="210"/>
        <v>5545.6120687586053</v>
      </c>
      <c r="AG755" s="1149">
        <f>IFERROR(VLOOKUP(CONCATENATE($L755,$N755),'Drop List'!$G$23:$K$87,2,FALSE),0)</f>
        <v>0</v>
      </c>
      <c r="AH755" s="1150">
        <f>IFERROR(VLOOKUP(CONCATENATE($L755,$N755),'Drop List'!$G$23:$K$87,3,FALSE),0)</f>
        <v>0</v>
      </c>
      <c r="AI755" s="1150">
        <f>IFERROR(VLOOKUP(CONCATENATE($L755,$N755),'Drop List'!$G$23:$K$87,4,FALSE),0)</f>
        <v>1</v>
      </c>
      <c r="AJ755" s="1151">
        <f>IFERROR(VLOOKUP(CONCATENATE($L755,$N755),'Drop List'!$G$23:$K$87,5,FALSE),0)</f>
        <v>0</v>
      </c>
      <c r="AK755" s="1152">
        <f t="shared" si="211"/>
        <v>0</v>
      </c>
      <c r="AL755" s="1153">
        <f t="shared" si="212"/>
        <v>0</v>
      </c>
      <c r="AM755" s="1153">
        <f t="shared" si="213"/>
        <v>5545.6120687586053</v>
      </c>
      <c r="AN755" s="1145">
        <f t="shared" si="214"/>
        <v>0</v>
      </c>
      <c r="AO755" s="1154">
        <f t="shared" si="215"/>
        <v>5545.6120687586053</v>
      </c>
      <c r="AP755" s="1147">
        <f t="shared" si="201"/>
        <v>0</v>
      </c>
      <c r="AQ755" s="1144">
        <f t="shared" si="202"/>
        <v>0</v>
      </c>
      <c r="AR755" s="1146">
        <f t="shared" si="203"/>
        <v>5545.6120687586053</v>
      </c>
    </row>
    <row r="756" spans="1:44" x14ac:dyDescent="0.2">
      <c r="A756" s="1141" t="str">
        <f t="shared" si="198"/>
        <v>1542</v>
      </c>
      <c r="B756" s="1141" t="str">
        <f>IFERROR(VLOOKUP(A756,'LAC 103'!A:C,3,FALSE),"")</f>
        <v>OP</v>
      </c>
      <c r="C756" s="1478" t="str">
        <f>Info!$B$8</f>
        <v>00100</v>
      </c>
      <c r="D756" s="1474" t="s">
        <v>256</v>
      </c>
      <c r="E756" s="1474" t="s">
        <v>95</v>
      </c>
      <c r="F756" s="1478" t="s">
        <v>392</v>
      </c>
      <c r="G756" s="1478" t="s">
        <v>392</v>
      </c>
      <c r="H756" s="1474" t="s">
        <v>1656</v>
      </c>
      <c r="I756" s="1478" t="s">
        <v>809</v>
      </c>
      <c r="J756" s="1478"/>
      <c r="K756" s="1475" t="s">
        <v>850</v>
      </c>
      <c r="L756" s="1474" t="s">
        <v>330</v>
      </c>
      <c r="M756" s="1476" t="s">
        <v>1698</v>
      </c>
      <c r="N756" s="1477" t="s">
        <v>1693</v>
      </c>
      <c r="O756" s="1479">
        <v>1977</v>
      </c>
      <c r="P756" s="1479"/>
      <c r="Q756" s="1142">
        <f t="shared" si="199"/>
        <v>1977</v>
      </c>
      <c r="R756" s="1143">
        <f>IFERROR(VLOOKUP(CONCATENATE(E756,G756),'LAC 103'!$A$12:$O$95,11,FALSE),0)</f>
        <v>3.2074101033884355</v>
      </c>
      <c r="S756" s="1144">
        <f>IFERROR(VLOOKUP(CONCATENATE($E756,$G756),'LAC 103'!$A$12:$O$95,12,FALSE),0)</f>
        <v>3.99</v>
      </c>
      <c r="T756" s="1144">
        <f>IFERROR(VLOOKUP(CONCATENATE($E756,$G756),'LAC 103'!$A$12:$O$95,13,FALSE),0)</f>
        <v>2.48</v>
      </c>
      <c r="U756" s="1144">
        <f>IFERROR(VLOOKUP(CONCATENATE($E756,$G756),'LAC 103'!$A$12:$O$95,14,FALSE),0)</f>
        <v>0</v>
      </c>
      <c r="V756" s="1144">
        <f>IFERROR(VLOOKUP(CONCATENATE($E756,$G756),'LAC 103'!$A$12:$O$95,15,FALSE),0)</f>
        <v>0</v>
      </c>
      <c r="W756" s="1145" t="str">
        <f>IFERROR(VLOOKUP(CONCATENATE($B756,$N756),'LAC 103'!$AI:$AQ,9,FALSE),"")</f>
        <v>Costs</v>
      </c>
      <c r="X756" s="1146">
        <f t="shared" si="204"/>
        <v>3.2074101033884355</v>
      </c>
      <c r="Y756" s="1143">
        <f t="shared" si="205"/>
        <v>6341.0497743989372</v>
      </c>
      <c r="Z756" s="1147">
        <f t="shared" si="206"/>
        <v>7888.2300000000005</v>
      </c>
      <c r="AA756" s="1144">
        <f t="shared" si="207"/>
        <v>4902.96</v>
      </c>
      <c r="AB756" s="1144">
        <f t="shared" si="208"/>
        <v>0</v>
      </c>
      <c r="AC756" s="1144">
        <f t="shared" si="209"/>
        <v>0</v>
      </c>
      <c r="AD756" s="1148">
        <f t="shared" si="200"/>
        <v>6341.0497743989372</v>
      </c>
      <c r="AE756" s="1487">
        <v>0</v>
      </c>
      <c r="AF756" s="1145">
        <f t="shared" si="210"/>
        <v>6341.0497743989372</v>
      </c>
      <c r="AG756" s="1149">
        <f>IFERROR(VLOOKUP(CONCATENATE($L756,$N756),'Drop List'!$G$23:$K$87,2,FALSE),0)</f>
        <v>0</v>
      </c>
      <c r="AH756" s="1150">
        <f>IFERROR(VLOOKUP(CONCATENATE($L756,$N756),'Drop List'!$G$23:$K$87,3,FALSE),0)</f>
        <v>0</v>
      </c>
      <c r="AI756" s="1150">
        <f>IFERROR(VLOOKUP(CONCATENATE($L756,$N756),'Drop List'!$G$23:$K$87,4,FALSE),0)</f>
        <v>1</v>
      </c>
      <c r="AJ756" s="1151">
        <f>IFERROR(VLOOKUP(CONCATENATE($L756,$N756),'Drop List'!$G$23:$K$87,5,FALSE),0)</f>
        <v>0</v>
      </c>
      <c r="AK756" s="1152">
        <f t="shared" si="211"/>
        <v>0</v>
      </c>
      <c r="AL756" s="1153">
        <f t="shared" si="212"/>
        <v>0</v>
      </c>
      <c r="AM756" s="1153">
        <f t="shared" si="213"/>
        <v>6341.0497743989372</v>
      </c>
      <c r="AN756" s="1145">
        <f t="shared" si="214"/>
        <v>0</v>
      </c>
      <c r="AO756" s="1154">
        <f t="shared" si="215"/>
        <v>6341.0497743989372</v>
      </c>
      <c r="AP756" s="1147">
        <f t="shared" si="201"/>
        <v>0</v>
      </c>
      <c r="AQ756" s="1144">
        <f t="shared" si="202"/>
        <v>0</v>
      </c>
      <c r="AR756" s="1146">
        <f t="shared" si="203"/>
        <v>6341.0497743989372</v>
      </c>
    </row>
    <row r="757" spans="1:44" x14ac:dyDescent="0.2">
      <c r="A757" s="1141" t="str">
        <f t="shared" si="198"/>
        <v>1542</v>
      </c>
      <c r="B757" s="1141" t="str">
        <f>IFERROR(VLOOKUP(A757,'LAC 103'!A:C,3,FALSE),"")</f>
        <v>OP</v>
      </c>
      <c r="C757" s="1478" t="str">
        <f>Info!$B$8</f>
        <v>00100</v>
      </c>
      <c r="D757" s="1474" t="s">
        <v>256</v>
      </c>
      <c r="E757" s="1474" t="s">
        <v>95</v>
      </c>
      <c r="F757" s="1478" t="s">
        <v>392</v>
      </c>
      <c r="G757" s="1478" t="s">
        <v>392</v>
      </c>
      <c r="H757" s="1474" t="s">
        <v>1656</v>
      </c>
      <c r="I757" s="1478" t="s">
        <v>809</v>
      </c>
      <c r="J757" s="1478"/>
      <c r="K757" s="1475" t="s">
        <v>851</v>
      </c>
      <c r="L757" s="1474" t="s">
        <v>584</v>
      </c>
      <c r="M757" s="1476" t="s">
        <v>1699</v>
      </c>
      <c r="N757" s="1477" t="s">
        <v>1694</v>
      </c>
      <c r="O757" s="1479">
        <v>79960</v>
      </c>
      <c r="P757" s="1479"/>
      <c r="Q757" s="1142">
        <f t="shared" si="199"/>
        <v>79960</v>
      </c>
      <c r="R757" s="1143">
        <f>IFERROR(VLOOKUP(CONCATENATE(E757,G757),'LAC 103'!$A$12:$O$95,11,FALSE),0)</f>
        <v>3.2074101033884355</v>
      </c>
      <c r="S757" s="1144">
        <f>IFERROR(VLOOKUP(CONCATENATE($E757,$G757),'LAC 103'!$A$12:$O$95,12,FALSE),0)</f>
        <v>3.99</v>
      </c>
      <c r="T757" s="1144">
        <f>IFERROR(VLOOKUP(CONCATENATE($E757,$G757),'LAC 103'!$A$12:$O$95,13,FALSE),0)</f>
        <v>2.48</v>
      </c>
      <c r="U757" s="1144">
        <f>IFERROR(VLOOKUP(CONCATENATE($E757,$G757),'LAC 103'!$A$12:$O$95,14,FALSE),0)</f>
        <v>0</v>
      </c>
      <c r="V757" s="1144">
        <f>IFERROR(VLOOKUP(CONCATENATE($E757,$G757),'LAC 103'!$A$12:$O$95,15,FALSE),0)</f>
        <v>0</v>
      </c>
      <c r="W757" s="1145" t="str">
        <f>IFERROR(VLOOKUP(CONCATENATE($B757,$N757),'LAC 103'!$AI:$AQ,9,FALSE),"")</f>
        <v>Costs</v>
      </c>
      <c r="X757" s="1146">
        <f t="shared" si="204"/>
        <v>3.2074101033884355</v>
      </c>
      <c r="Y757" s="1143">
        <f t="shared" si="205"/>
        <v>256464.51186693931</v>
      </c>
      <c r="Z757" s="1147">
        <f t="shared" si="206"/>
        <v>319040.40000000002</v>
      </c>
      <c r="AA757" s="1144">
        <f t="shared" si="207"/>
        <v>198300.79999999999</v>
      </c>
      <c r="AB757" s="1144">
        <f t="shared" si="208"/>
        <v>0</v>
      </c>
      <c r="AC757" s="1144">
        <f t="shared" si="209"/>
        <v>0</v>
      </c>
      <c r="AD757" s="1148">
        <f t="shared" si="200"/>
        <v>256464.51186693931</v>
      </c>
      <c r="AE757" s="1487">
        <v>0</v>
      </c>
      <c r="AF757" s="1145">
        <f t="shared" si="210"/>
        <v>256464.51186693931</v>
      </c>
      <c r="AG757" s="1149">
        <f>IFERROR(VLOOKUP(CONCATENATE($L757,$N757),'Drop List'!$G$23:$K$87,2,FALSE),0)</f>
        <v>0.56200000000000006</v>
      </c>
      <c r="AH757" s="1150">
        <f>IFERROR(VLOOKUP(CONCATENATE($L757,$N757),'Drop List'!$G$23:$K$87,3,FALSE),0)</f>
        <v>0</v>
      </c>
      <c r="AI757" s="1150">
        <f>IFERROR(VLOOKUP(CONCATENATE($L757,$N757),'Drop List'!$G$23:$K$87,4,FALSE),0)</f>
        <v>0</v>
      </c>
      <c r="AJ757" s="1151">
        <f>IFERROR(VLOOKUP(CONCATENATE($L757,$N757),'Drop List'!$G$23:$K$87,5,FALSE),0)</f>
        <v>0.43799999999999994</v>
      </c>
      <c r="AK757" s="1152">
        <f t="shared" si="211"/>
        <v>144133.0556692199</v>
      </c>
      <c r="AL757" s="1153">
        <f t="shared" si="212"/>
        <v>0</v>
      </c>
      <c r="AM757" s="1153">
        <f t="shared" si="213"/>
        <v>0</v>
      </c>
      <c r="AN757" s="1145">
        <f t="shared" si="214"/>
        <v>112331.45619771941</v>
      </c>
      <c r="AO757" s="1154">
        <f t="shared" si="215"/>
        <v>256464.51186693931</v>
      </c>
      <c r="AP757" s="1147">
        <f t="shared" si="201"/>
        <v>0</v>
      </c>
      <c r="AQ757" s="1144">
        <f t="shared" si="202"/>
        <v>0</v>
      </c>
      <c r="AR757" s="1146">
        <f t="shared" si="203"/>
        <v>256464.51186693931</v>
      </c>
    </row>
    <row r="758" spans="1:44" x14ac:dyDescent="0.2">
      <c r="A758" s="1141" t="str">
        <f t="shared" si="198"/>
        <v>1542</v>
      </c>
      <c r="B758" s="1141" t="str">
        <f>IFERROR(VLOOKUP(A758,'LAC 103'!A:C,3,FALSE),"")</f>
        <v>OP</v>
      </c>
      <c r="C758" s="1478" t="str">
        <f>Info!$B$8</f>
        <v>00100</v>
      </c>
      <c r="D758" s="1474" t="s">
        <v>256</v>
      </c>
      <c r="E758" s="1474" t="s">
        <v>95</v>
      </c>
      <c r="F758" s="1478" t="s">
        <v>392</v>
      </c>
      <c r="G758" s="1478" t="s">
        <v>392</v>
      </c>
      <c r="H758" s="1474" t="s">
        <v>1656</v>
      </c>
      <c r="I758" s="1478" t="s">
        <v>809</v>
      </c>
      <c r="J758" s="1478"/>
      <c r="K758" s="1475" t="s">
        <v>851</v>
      </c>
      <c r="L758" s="1474" t="s">
        <v>584</v>
      </c>
      <c r="M758" s="1476" t="s">
        <v>841</v>
      </c>
      <c r="N758" s="1477" t="s">
        <v>1695</v>
      </c>
      <c r="O758" s="1479">
        <v>38762</v>
      </c>
      <c r="P758" s="1479"/>
      <c r="Q758" s="1142">
        <f t="shared" si="199"/>
        <v>38762</v>
      </c>
      <c r="R758" s="1143">
        <f>IFERROR(VLOOKUP(CONCATENATE(E758,G758),'LAC 103'!$A$12:$O$95,11,FALSE),0)</f>
        <v>3.2074101033884355</v>
      </c>
      <c r="S758" s="1144">
        <f>IFERROR(VLOOKUP(CONCATENATE($E758,$G758),'LAC 103'!$A$12:$O$95,12,FALSE),0)</f>
        <v>3.99</v>
      </c>
      <c r="T758" s="1144">
        <f>IFERROR(VLOOKUP(CONCATENATE($E758,$G758),'LAC 103'!$A$12:$O$95,13,FALSE),0)</f>
        <v>2.48</v>
      </c>
      <c r="U758" s="1144">
        <f>IFERROR(VLOOKUP(CONCATENATE($E758,$G758),'LAC 103'!$A$12:$O$95,14,FALSE),0)</f>
        <v>0</v>
      </c>
      <c r="V758" s="1144">
        <f>IFERROR(VLOOKUP(CONCATENATE($E758,$G758),'LAC 103'!$A$12:$O$95,15,FALSE),0)</f>
        <v>0</v>
      </c>
      <c r="W758" s="1145" t="str">
        <f>IFERROR(VLOOKUP(CONCATENATE($B758,$N758),'LAC 103'!$AI:$AQ,9,FALSE),"")</f>
        <v>Costs</v>
      </c>
      <c r="X758" s="1146">
        <f t="shared" si="204"/>
        <v>3.2074101033884355</v>
      </c>
      <c r="Y758" s="1143">
        <f t="shared" si="205"/>
        <v>124325.63042754254</v>
      </c>
      <c r="Z758" s="1147">
        <f t="shared" si="206"/>
        <v>154660.38</v>
      </c>
      <c r="AA758" s="1144">
        <f t="shared" si="207"/>
        <v>96129.76</v>
      </c>
      <c r="AB758" s="1144">
        <f t="shared" si="208"/>
        <v>0</v>
      </c>
      <c r="AC758" s="1144">
        <f t="shared" si="209"/>
        <v>0</v>
      </c>
      <c r="AD758" s="1148">
        <f t="shared" si="200"/>
        <v>124325.63042754254</v>
      </c>
      <c r="AE758" s="1487">
        <v>0</v>
      </c>
      <c r="AF758" s="1145">
        <f t="shared" si="210"/>
        <v>124325.63042754254</v>
      </c>
      <c r="AG758" s="1149">
        <f>IFERROR(VLOOKUP(CONCATENATE($L758,$N758),'Drop List'!$G$23:$K$87,2,FALSE),0)</f>
        <v>0.55000000000000004</v>
      </c>
      <c r="AH758" s="1150">
        <f>IFERROR(VLOOKUP(CONCATENATE($L758,$N758),'Drop List'!$G$23:$K$87,3,FALSE),0)</f>
        <v>0</v>
      </c>
      <c r="AI758" s="1150">
        <f>IFERROR(VLOOKUP(CONCATENATE($L758,$N758),'Drop List'!$G$23:$K$87,4,FALSE),0)</f>
        <v>0</v>
      </c>
      <c r="AJ758" s="1151">
        <f>IFERROR(VLOOKUP(CONCATENATE($L758,$N758),'Drop List'!$G$23:$K$87,5,FALSE),0)</f>
        <v>0.44999999999999996</v>
      </c>
      <c r="AK758" s="1152">
        <f t="shared" si="211"/>
        <v>68379.0967351484</v>
      </c>
      <c r="AL758" s="1153">
        <f t="shared" si="212"/>
        <v>0</v>
      </c>
      <c r="AM758" s="1153">
        <f t="shared" si="213"/>
        <v>0</v>
      </c>
      <c r="AN758" s="1145">
        <f t="shared" si="214"/>
        <v>55946.533692394136</v>
      </c>
      <c r="AO758" s="1154">
        <f t="shared" si="215"/>
        <v>124325.63042754254</v>
      </c>
      <c r="AP758" s="1147">
        <f t="shared" si="201"/>
        <v>0</v>
      </c>
      <c r="AQ758" s="1144">
        <f t="shared" si="202"/>
        <v>0</v>
      </c>
      <c r="AR758" s="1146">
        <f t="shared" si="203"/>
        <v>124325.63042754254</v>
      </c>
    </row>
    <row r="759" spans="1:44" x14ac:dyDescent="0.2">
      <c r="A759" s="1141" t="str">
        <f t="shared" si="198"/>
        <v>1542</v>
      </c>
      <c r="B759" s="1141" t="str">
        <f>IFERROR(VLOOKUP(A759,'LAC 103'!A:C,3,FALSE),"")</f>
        <v>OP</v>
      </c>
      <c r="C759" s="1478" t="str">
        <f>Info!$B$8</f>
        <v>00100</v>
      </c>
      <c r="D759" s="1474" t="s">
        <v>256</v>
      </c>
      <c r="E759" s="1474" t="s">
        <v>95</v>
      </c>
      <c r="F759" s="1478" t="s">
        <v>392</v>
      </c>
      <c r="G759" s="1478" t="s">
        <v>392</v>
      </c>
      <c r="H759" s="1474" t="s">
        <v>1656</v>
      </c>
      <c r="I759" s="1478" t="s">
        <v>809</v>
      </c>
      <c r="J759" s="1478"/>
      <c r="K759" s="1475" t="s">
        <v>851</v>
      </c>
      <c r="L759" s="1474" t="s">
        <v>584</v>
      </c>
      <c r="M759" s="1476" t="s">
        <v>840</v>
      </c>
      <c r="N759" s="1477" t="s">
        <v>1700</v>
      </c>
      <c r="O759" s="1479">
        <v>52144</v>
      </c>
      <c r="P759" s="1479"/>
      <c r="Q759" s="1142">
        <f t="shared" si="199"/>
        <v>52144</v>
      </c>
      <c r="R759" s="1143">
        <f>IFERROR(VLOOKUP(CONCATENATE(E759,G759),'LAC 103'!$A$12:$O$95,11,FALSE),0)</f>
        <v>3.2074101033884355</v>
      </c>
      <c r="S759" s="1144">
        <f>IFERROR(VLOOKUP(CONCATENATE($E759,$G759),'LAC 103'!$A$12:$O$95,12,FALSE),0)</f>
        <v>3.99</v>
      </c>
      <c r="T759" s="1144">
        <f>IFERROR(VLOOKUP(CONCATENATE($E759,$G759),'LAC 103'!$A$12:$O$95,13,FALSE),0)</f>
        <v>2.48</v>
      </c>
      <c r="U759" s="1144">
        <f>IFERROR(VLOOKUP(CONCATENATE($E759,$G759),'LAC 103'!$A$12:$O$95,14,FALSE),0)</f>
        <v>0</v>
      </c>
      <c r="V759" s="1144">
        <f>IFERROR(VLOOKUP(CONCATENATE($E759,$G759),'LAC 103'!$A$12:$O$95,15,FALSE),0)</f>
        <v>0</v>
      </c>
      <c r="W759" s="1145" t="str">
        <f>IFERROR(VLOOKUP(CONCATENATE($B759,$N759),'LAC 103'!$AI:$AQ,9,FALSE),"")</f>
        <v>P.C.</v>
      </c>
      <c r="X759" s="1146">
        <f t="shared" si="204"/>
        <v>2.48</v>
      </c>
      <c r="Y759" s="1143">
        <f t="shared" si="205"/>
        <v>167247.19243108659</v>
      </c>
      <c r="Z759" s="1147">
        <f t="shared" si="206"/>
        <v>208054.56</v>
      </c>
      <c r="AA759" s="1144">
        <f t="shared" si="207"/>
        <v>129317.12</v>
      </c>
      <c r="AB759" s="1144">
        <f t="shared" si="208"/>
        <v>0</v>
      </c>
      <c r="AC759" s="1144">
        <f t="shared" si="209"/>
        <v>0</v>
      </c>
      <c r="AD759" s="1148">
        <f t="shared" si="200"/>
        <v>129317.12</v>
      </c>
      <c r="AE759" s="1487">
        <v>0</v>
      </c>
      <c r="AF759" s="1145">
        <f t="shared" si="210"/>
        <v>129317.12</v>
      </c>
      <c r="AG759" s="1149">
        <f>IFERROR(VLOOKUP(CONCATENATE($L759,$N759),'Drop List'!$G$23:$K$87,2,FALSE),0)</f>
        <v>0.55000000000000004</v>
      </c>
      <c r="AH759" s="1150">
        <f>IFERROR(VLOOKUP(CONCATENATE($L759,$N759),'Drop List'!$G$23:$K$87,3,FALSE),0)</f>
        <v>0</v>
      </c>
      <c r="AI759" s="1150">
        <f>IFERROR(VLOOKUP(CONCATENATE($L759,$N759),'Drop List'!$G$23:$K$87,4,FALSE),0)</f>
        <v>0</v>
      </c>
      <c r="AJ759" s="1151">
        <f>IFERROR(VLOOKUP(CONCATENATE($L759,$N759),'Drop List'!$G$23:$K$87,5,FALSE),0)</f>
        <v>0.44999999999999996</v>
      </c>
      <c r="AK759" s="1152">
        <f t="shared" si="211"/>
        <v>71124.415999999997</v>
      </c>
      <c r="AL759" s="1153">
        <f t="shared" si="212"/>
        <v>0</v>
      </c>
      <c r="AM759" s="1153">
        <f t="shared" si="213"/>
        <v>0</v>
      </c>
      <c r="AN759" s="1145">
        <f t="shared" si="214"/>
        <v>58192.703999999991</v>
      </c>
      <c r="AO759" s="1154">
        <f t="shared" si="215"/>
        <v>129317.12</v>
      </c>
      <c r="AP759" s="1147">
        <f t="shared" si="201"/>
        <v>0</v>
      </c>
      <c r="AQ759" s="1144">
        <f t="shared" si="202"/>
        <v>0</v>
      </c>
      <c r="AR759" s="1146">
        <f t="shared" si="203"/>
        <v>129317.12</v>
      </c>
    </row>
    <row r="760" spans="1:44" x14ac:dyDescent="0.2">
      <c r="A760" s="1141" t="str">
        <f t="shared" si="198"/>
        <v>1542</v>
      </c>
      <c r="B760" s="1141" t="str">
        <f>IFERROR(VLOOKUP(A760,'LAC 103'!A:C,3,FALSE),"")</f>
        <v>OP</v>
      </c>
      <c r="C760" s="1478" t="str">
        <f>Info!$B$8</f>
        <v>00100</v>
      </c>
      <c r="D760" s="1474" t="s">
        <v>256</v>
      </c>
      <c r="E760" s="1474" t="s">
        <v>95</v>
      </c>
      <c r="F760" s="1478" t="s">
        <v>392</v>
      </c>
      <c r="G760" s="1478" t="s">
        <v>392</v>
      </c>
      <c r="H760" s="1474" t="s">
        <v>1656</v>
      </c>
      <c r="I760" s="1478" t="s">
        <v>809</v>
      </c>
      <c r="J760" s="1478"/>
      <c r="K760" s="1475" t="s">
        <v>851</v>
      </c>
      <c r="L760" s="1474" t="s">
        <v>584</v>
      </c>
      <c r="M760" s="1476" t="s">
        <v>842</v>
      </c>
      <c r="N760" s="1477" t="s">
        <v>1692</v>
      </c>
      <c r="O760" s="1479">
        <v>87045</v>
      </c>
      <c r="P760" s="1479"/>
      <c r="Q760" s="1142">
        <f t="shared" si="199"/>
        <v>87045</v>
      </c>
      <c r="R760" s="1143">
        <f>IFERROR(VLOOKUP(CONCATENATE(E760,G760),'LAC 103'!$A$12:$O$95,11,FALSE),0)</f>
        <v>3.2074101033884355</v>
      </c>
      <c r="S760" s="1144">
        <f>IFERROR(VLOOKUP(CONCATENATE($E760,$G760),'LAC 103'!$A$12:$O$95,12,FALSE),0)</f>
        <v>3.99</v>
      </c>
      <c r="T760" s="1144">
        <f>IFERROR(VLOOKUP(CONCATENATE($E760,$G760),'LAC 103'!$A$12:$O$95,13,FALSE),0)</f>
        <v>2.48</v>
      </c>
      <c r="U760" s="1144">
        <f>IFERROR(VLOOKUP(CONCATENATE($E760,$G760),'LAC 103'!$A$12:$O$95,14,FALSE),0)</f>
        <v>0</v>
      </c>
      <c r="V760" s="1144">
        <f>IFERROR(VLOOKUP(CONCATENATE($E760,$G760),'LAC 103'!$A$12:$O$95,15,FALSE),0)</f>
        <v>0</v>
      </c>
      <c r="W760" s="1145" t="str">
        <f>IFERROR(VLOOKUP(CONCATENATE($B760,$N760),'LAC 103'!$AI:$AQ,9,FALSE),"")</f>
        <v>Costs</v>
      </c>
      <c r="X760" s="1146">
        <f t="shared" si="204"/>
        <v>3.2074101033884355</v>
      </c>
      <c r="Y760" s="1143">
        <f t="shared" si="205"/>
        <v>279189.01244944637</v>
      </c>
      <c r="Z760" s="1147">
        <f t="shared" si="206"/>
        <v>347309.55000000005</v>
      </c>
      <c r="AA760" s="1144">
        <f t="shared" si="207"/>
        <v>215871.6</v>
      </c>
      <c r="AB760" s="1144">
        <f t="shared" si="208"/>
        <v>0</v>
      </c>
      <c r="AC760" s="1144">
        <f t="shared" si="209"/>
        <v>0</v>
      </c>
      <c r="AD760" s="1148">
        <f t="shared" si="200"/>
        <v>279189.01244944637</v>
      </c>
      <c r="AE760" s="1487">
        <v>0</v>
      </c>
      <c r="AF760" s="1145">
        <f t="shared" si="210"/>
        <v>279189.01244944637</v>
      </c>
      <c r="AG760" s="1149">
        <f>IFERROR(VLOOKUP(CONCATENATE($L760,$N760),'Drop List'!$G$23:$K$87,2,FALSE),0)</f>
        <v>0.56200000000000006</v>
      </c>
      <c r="AH760" s="1150">
        <f>IFERROR(VLOOKUP(CONCATENATE($L760,$N760),'Drop List'!$G$23:$K$87,3,FALSE),0)</f>
        <v>0</v>
      </c>
      <c r="AI760" s="1150">
        <f>IFERROR(VLOOKUP(CONCATENATE($L760,$N760),'Drop List'!$G$23:$K$87,4,FALSE),0)</f>
        <v>0</v>
      </c>
      <c r="AJ760" s="1151">
        <f>IFERROR(VLOOKUP(CONCATENATE($L760,$N760),'Drop List'!$G$23:$K$87,5,FALSE),0)</f>
        <v>0.43799999999999994</v>
      </c>
      <c r="AK760" s="1152">
        <f t="shared" si="211"/>
        <v>156904.22499658886</v>
      </c>
      <c r="AL760" s="1153">
        <f t="shared" si="212"/>
        <v>0</v>
      </c>
      <c r="AM760" s="1153">
        <f t="shared" si="213"/>
        <v>0</v>
      </c>
      <c r="AN760" s="1145">
        <f t="shared" si="214"/>
        <v>122284.78745285749</v>
      </c>
      <c r="AO760" s="1154">
        <f t="shared" si="215"/>
        <v>279189.01244944637</v>
      </c>
      <c r="AP760" s="1147">
        <f t="shared" si="201"/>
        <v>0</v>
      </c>
      <c r="AQ760" s="1144">
        <f t="shared" si="202"/>
        <v>0</v>
      </c>
      <c r="AR760" s="1146">
        <f t="shared" si="203"/>
        <v>279189.01244944637</v>
      </c>
    </row>
    <row r="761" spans="1:44" x14ac:dyDescent="0.2">
      <c r="A761" s="1141" t="str">
        <f t="shared" si="198"/>
        <v>1542</v>
      </c>
      <c r="B761" s="1141" t="str">
        <f>IFERROR(VLOOKUP(A761,'LAC 103'!A:C,3,FALSE),"")</f>
        <v>OP</v>
      </c>
      <c r="C761" s="1478" t="str">
        <f>Info!$B$8</f>
        <v>00100</v>
      </c>
      <c r="D761" s="1474" t="s">
        <v>256</v>
      </c>
      <c r="E761" s="1474" t="s">
        <v>95</v>
      </c>
      <c r="F761" s="1478" t="s">
        <v>392</v>
      </c>
      <c r="G761" s="1478" t="s">
        <v>392</v>
      </c>
      <c r="H761" s="1474" t="s">
        <v>1656</v>
      </c>
      <c r="I761" s="1478" t="s">
        <v>809</v>
      </c>
      <c r="J761" s="1478"/>
      <c r="K761" s="1475" t="s">
        <v>851</v>
      </c>
      <c r="L761" s="1474" t="s">
        <v>584</v>
      </c>
      <c r="M761" s="1476" t="s">
        <v>1698</v>
      </c>
      <c r="N761" s="1477" t="s">
        <v>1693</v>
      </c>
      <c r="O761" s="1479">
        <v>83186</v>
      </c>
      <c r="P761" s="1479"/>
      <c r="Q761" s="1142">
        <f t="shared" si="199"/>
        <v>83186</v>
      </c>
      <c r="R761" s="1143">
        <f>IFERROR(VLOOKUP(CONCATENATE(E761,G761),'LAC 103'!$A$12:$O$95,11,FALSE),0)</f>
        <v>3.2074101033884355</v>
      </c>
      <c r="S761" s="1144">
        <f>IFERROR(VLOOKUP(CONCATENATE($E761,$G761),'LAC 103'!$A$12:$O$95,12,FALSE),0)</f>
        <v>3.99</v>
      </c>
      <c r="T761" s="1144">
        <f>IFERROR(VLOOKUP(CONCATENATE($E761,$G761),'LAC 103'!$A$12:$O$95,13,FALSE),0)</f>
        <v>2.48</v>
      </c>
      <c r="U761" s="1144">
        <f>IFERROR(VLOOKUP(CONCATENATE($E761,$G761),'LAC 103'!$A$12:$O$95,14,FALSE),0)</f>
        <v>0</v>
      </c>
      <c r="V761" s="1144">
        <f>IFERROR(VLOOKUP(CONCATENATE($E761,$G761),'LAC 103'!$A$12:$O$95,15,FALSE),0)</f>
        <v>0</v>
      </c>
      <c r="W761" s="1145" t="str">
        <f>IFERROR(VLOOKUP(CONCATENATE($B761,$N761),'LAC 103'!$AI:$AQ,9,FALSE),"")</f>
        <v>Costs</v>
      </c>
      <c r="X761" s="1146">
        <f t="shared" si="204"/>
        <v>3.2074101033884355</v>
      </c>
      <c r="Y761" s="1143">
        <f t="shared" si="205"/>
        <v>266811.61686047039</v>
      </c>
      <c r="Z761" s="1147">
        <f t="shared" si="206"/>
        <v>331912.14</v>
      </c>
      <c r="AA761" s="1144">
        <f t="shared" si="207"/>
        <v>206301.28</v>
      </c>
      <c r="AB761" s="1144">
        <f t="shared" si="208"/>
        <v>0</v>
      </c>
      <c r="AC761" s="1144">
        <f t="shared" si="209"/>
        <v>0</v>
      </c>
      <c r="AD761" s="1148">
        <f t="shared" si="200"/>
        <v>266811.61686047039</v>
      </c>
      <c r="AE761" s="1487">
        <v>0</v>
      </c>
      <c r="AF761" s="1145">
        <f t="shared" si="210"/>
        <v>266811.61686047039</v>
      </c>
      <c r="AG761" s="1149">
        <f>IFERROR(VLOOKUP(CONCATENATE($L761,$N761),'Drop List'!$G$23:$K$87,2,FALSE),0)</f>
        <v>0.56200000000000006</v>
      </c>
      <c r="AH761" s="1150">
        <f>IFERROR(VLOOKUP(CONCATENATE($L761,$N761),'Drop List'!$G$23:$K$87,3,FALSE),0)</f>
        <v>0</v>
      </c>
      <c r="AI761" s="1150">
        <f>IFERROR(VLOOKUP(CONCATENATE($L761,$N761),'Drop List'!$G$23:$K$87,4,FALSE),0)</f>
        <v>0</v>
      </c>
      <c r="AJ761" s="1151">
        <f>IFERROR(VLOOKUP(CONCATENATE($L761,$N761),'Drop List'!$G$23:$K$87,5,FALSE),0)</f>
        <v>0.43799999999999994</v>
      </c>
      <c r="AK761" s="1152">
        <f t="shared" si="211"/>
        <v>149948.12867558436</v>
      </c>
      <c r="AL761" s="1153">
        <f t="shared" si="212"/>
        <v>0</v>
      </c>
      <c r="AM761" s="1153">
        <f t="shared" si="213"/>
        <v>0</v>
      </c>
      <c r="AN761" s="1145">
        <f t="shared" si="214"/>
        <v>116863.48818488601</v>
      </c>
      <c r="AO761" s="1154">
        <f t="shared" si="215"/>
        <v>266811.61686047039</v>
      </c>
      <c r="AP761" s="1147">
        <f t="shared" si="201"/>
        <v>0</v>
      </c>
      <c r="AQ761" s="1144">
        <f t="shared" si="202"/>
        <v>0</v>
      </c>
      <c r="AR761" s="1146">
        <f t="shared" si="203"/>
        <v>266811.61686047039</v>
      </c>
    </row>
    <row r="762" spans="1:44" x14ac:dyDescent="0.2">
      <c r="A762" s="1141" t="str">
        <f t="shared" si="198"/>
        <v>1542</v>
      </c>
      <c r="B762" s="1141" t="str">
        <f>IFERROR(VLOOKUP(A762,'LAC 103'!A:C,3,FALSE),"")</f>
        <v>OP</v>
      </c>
      <c r="C762" s="1478" t="str">
        <f>Info!$B$8</f>
        <v>00100</v>
      </c>
      <c r="D762" s="1474" t="s">
        <v>256</v>
      </c>
      <c r="E762" s="1474" t="s">
        <v>95</v>
      </c>
      <c r="F762" s="1478" t="s">
        <v>392</v>
      </c>
      <c r="G762" s="1478" t="s">
        <v>392</v>
      </c>
      <c r="H762" s="1474" t="s">
        <v>1658</v>
      </c>
      <c r="I762" s="1478" t="s">
        <v>807</v>
      </c>
      <c r="J762" s="1478" t="s">
        <v>123</v>
      </c>
      <c r="K762" s="1475" t="s">
        <v>1654</v>
      </c>
      <c r="L762" s="1474" t="s">
        <v>332</v>
      </c>
      <c r="M762" s="1476" t="s">
        <v>1699</v>
      </c>
      <c r="N762" s="1477" t="s">
        <v>1694</v>
      </c>
      <c r="O762" s="1479">
        <v>991</v>
      </c>
      <c r="P762" s="1479"/>
      <c r="Q762" s="1142">
        <f t="shared" si="199"/>
        <v>991</v>
      </c>
      <c r="R762" s="1143">
        <f>IFERROR(VLOOKUP(CONCATENATE(E762,G762),'LAC 103'!$A$12:$O$95,11,FALSE),0)</f>
        <v>3.2074101033884355</v>
      </c>
      <c r="S762" s="1144">
        <f>IFERROR(VLOOKUP(CONCATENATE($E762,$G762),'LAC 103'!$A$12:$O$95,12,FALSE),0)</f>
        <v>3.99</v>
      </c>
      <c r="T762" s="1144">
        <f>IFERROR(VLOOKUP(CONCATENATE($E762,$G762),'LAC 103'!$A$12:$O$95,13,FALSE),0)</f>
        <v>2.48</v>
      </c>
      <c r="U762" s="1144">
        <f>IFERROR(VLOOKUP(CONCATENATE($E762,$G762),'LAC 103'!$A$12:$O$95,14,FALSE),0)</f>
        <v>0</v>
      </c>
      <c r="V762" s="1144">
        <f>IFERROR(VLOOKUP(CONCATENATE($E762,$G762),'LAC 103'!$A$12:$O$95,15,FALSE),0)</f>
        <v>0</v>
      </c>
      <c r="W762" s="1145" t="str">
        <f>IFERROR(VLOOKUP(CONCATENATE($B762,$N762),'LAC 103'!$AI:$AQ,9,FALSE),"")</f>
        <v>Costs</v>
      </c>
      <c r="X762" s="1146">
        <f t="shared" si="204"/>
        <v>3.2074101033884355</v>
      </c>
      <c r="Y762" s="1143">
        <f t="shared" si="205"/>
        <v>3178.5434124579397</v>
      </c>
      <c r="Z762" s="1147">
        <f t="shared" si="206"/>
        <v>3954.09</v>
      </c>
      <c r="AA762" s="1144">
        <f t="shared" si="207"/>
        <v>2457.6799999999998</v>
      </c>
      <c r="AB762" s="1144">
        <f t="shared" si="208"/>
        <v>0</v>
      </c>
      <c r="AC762" s="1144">
        <f t="shared" si="209"/>
        <v>0</v>
      </c>
      <c r="AD762" s="1148">
        <f t="shared" si="200"/>
        <v>3178.5434124579397</v>
      </c>
      <c r="AE762" s="1487">
        <v>92727</v>
      </c>
      <c r="AF762" s="1145">
        <f t="shared" si="210"/>
        <v>-89548.456587542067</v>
      </c>
      <c r="AG762" s="1149">
        <f>IFERROR(VLOOKUP(CONCATENATE($L762,$N762),'Drop List'!$G$23:$K$87,2,FALSE),0)</f>
        <v>0</v>
      </c>
      <c r="AH762" s="1150">
        <f>IFERROR(VLOOKUP(CONCATENATE($L762,$N762),'Drop List'!$G$23:$K$87,3,FALSE),0)</f>
        <v>0</v>
      </c>
      <c r="AI762" s="1150">
        <f>IFERROR(VLOOKUP(CONCATENATE($L762,$N762),'Drop List'!$G$23:$K$87,4,FALSE),0)</f>
        <v>0</v>
      </c>
      <c r="AJ762" s="1151">
        <f>IFERROR(VLOOKUP(CONCATENATE($L762,$N762),'Drop List'!$G$23:$K$87,5,FALSE),0)</f>
        <v>0</v>
      </c>
      <c r="AK762" s="1152">
        <f t="shared" si="211"/>
        <v>0</v>
      </c>
      <c r="AL762" s="1153">
        <f t="shared" si="212"/>
        <v>0</v>
      </c>
      <c r="AM762" s="1153">
        <f t="shared" si="213"/>
        <v>0</v>
      </c>
      <c r="AN762" s="1145">
        <f t="shared" si="214"/>
        <v>0</v>
      </c>
      <c r="AO762" s="1154">
        <f t="shared" si="215"/>
        <v>0</v>
      </c>
      <c r="AP762" s="1147">
        <f t="shared" si="201"/>
        <v>-89548.456587542067</v>
      </c>
      <c r="AQ762" s="1144">
        <f t="shared" si="202"/>
        <v>0</v>
      </c>
      <c r="AR762" s="1146">
        <f t="shared" si="203"/>
        <v>-89548.456587542067</v>
      </c>
    </row>
    <row r="763" spans="1:44" x14ac:dyDescent="0.2">
      <c r="A763" s="1141" t="str">
        <f t="shared" si="198"/>
        <v>1542</v>
      </c>
      <c r="B763" s="1141" t="str">
        <f>IFERROR(VLOOKUP(A763,'LAC 103'!A:C,3,FALSE),"")</f>
        <v>OP</v>
      </c>
      <c r="C763" s="1478" t="str">
        <f>Info!$B$8</f>
        <v>00100</v>
      </c>
      <c r="D763" s="1474" t="s">
        <v>256</v>
      </c>
      <c r="E763" s="1474" t="s">
        <v>95</v>
      </c>
      <c r="F763" s="1478" t="s">
        <v>392</v>
      </c>
      <c r="G763" s="1478" t="s">
        <v>392</v>
      </c>
      <c r="H763" s="1474" t="s">
        <v>1658</v>
      </c>
      <c r="I763" s="1478" t="s">
        <v>807</v>
      </c>
      <c r="J763" s="1478"/>
      <c r="K763" s="1475" t="s">
        <v>1654</v>
      </c>
      <c r="L763" s="1474" t="s">
        <v>332</v>
      </c>
      <c r="M763" s="1476" t="s">
        <v>841</v>
      </c>
      <c r="N763" s="1477" t="s">
        <v>1695</v>
      </c>
      <c r="O763" s="1479">
        <v>236</v>
      </c>
      <c r="P763" s="1479"/>
      <c r="Q763" s="1142">
        <f t="shared" si="199"/>
        <v>236</v>
      </c>
      <c r="R763" s="1143">
        <f>IFERROR(VLOOKUP(CONCATENATE(E763,G763),'LAC 103'!$A$12:$O$95,11,FALSE),0)</f>
        <v>3.2074101033884355</v>
      </c>
      <c r="S763" s="1144">
        <f>IFERROR(VLOOKUP(CONCATENATE($E763,$G763),'LAC 103'!$A$12:$O$95,12,FALSE),0)</f>
        <v>3.99</v>
      </c>
      <c r="T763" s="1144">
        <f>IFERROR(VLOOKUP(CONCATENATE($E763,$G763),'LAC 103'!$A$12:$O$95,13,FALSE),0)</f>
        <v>2.48</v>
      </c>
      <c r="U763" s="1144">
        <f>IFERROR(VLOOKUP(CONCATENATE($E763,$G763),'LAC 103'!$A$12:$O$95,14,FALSE),0)</f>
        <v>0</v>
      </c>
      <c r="V763" s="1144">
        <f>IFERROR(VLOOKUP(CONCATENATE($E763,$G763),'LAC 103'!$A$12:$O$95,15,FALSE),0)</f>
        <v>0</v>
      </c>
      <c r="W763" s="1145" t="str">
        <f>IFERROR(VLOOKUP(CONCATENATE($B763,$N763),'LAC 103'!$AI:$AQ,9,FALSE),"")</f>
        <v>Costs</v>
      </c>
      <c r="X763" s="1146">
        <f t="shared" si="204"/>
        <v>3.2074101033884355</v>
      </c>
      <c r="Y763" s="1143">
        <f t="shared" si="205"/>
        <v>756.94878439967079</v>
      </c>
      <c r="Z763" s="1147">
        <f t="shared" si="206"/>
        <v>941.6400000000001</v>
      </c>
      <c r="AA763" s="1144">
        <f t="shared" si="207"/>
        <v>585.28</v>
      </c>
      <c r="AB763" s="1144">
        <f t="shared" si="208"/>
        <v>0</v>
      </c>
      <c r="AC763" s="1144">
        <f t="shared" si="209"/>
        <v>0</v>
      </c>
      <c r="AD763" s="1148">
        <f t="shared" si="200"/>
        <v>756.94878439967079</v>
      </c>
      <c r="AE763" s="1487">
        <v>0</v>
      </c>
      <c r="AF763" s="1145">
        <f t="shared" si="210"/>
        <v>756.94878439967079</v>
      </c>
      <c r="AG763" s="1149">
        <f>IFERROR(VLOOKUP(CONCATENATE($L763,$N763),'Drop List'!$G$23:$K$87,2,FALSE),0)</f>
        <v>0</v>
      </c>
      <c r="AH763" s="1150">
        <f>IFERROR(VLOOKUP(CONCATENATE($L763,$N763),'Drop List'!$G$23:$K$87,3,FALSE),0)</f>
        <v>0</v>
      </c>
      <c r="AI763" s="1150">
        <f>IFERROR(VLOOKUP(CONCATENATE($L763,$N763),'Drop List'!$G$23:$K$87,4,FALSE),0)</f>
        <v>0</v>
      </c>
      <c r="AJ763" s="1151">
        <f>IFERROR(VLOOKUP(CONCATENATE($L763,$N763),'Drop List'!$G$23:$K$87,5,FALSE),0)</f>
        <v>0</v>
      </c>
      <c r="AK763" s="1152">
        <f t="shared" si="211"/>
        <v>0</v>
      </c>
      <c r="AL763" s="1153">
        <f t="shared" si="212"/>
        <v>0</v>
      </c>
      <c r="AM763" s="1153">
        <f t="shared" si="213"/>
        <v>0</v>
      </c>
      <c r="AN763" s="1145">
        <f t="shared" si="214"/>
        <v>0</v>
      </c>
      <c r="AO763" s="1154">
        <f t="shared" si="215"/>
        <v>0</v>
      </c>
      <c r="AP763" s="1147">
        <f t="shared" si="201"/>
        <v>756.94878439967079</v>
      </c>
      <c r="AQ763" s="1144">
        <f t="shared" si="202"/>
        <v>0</v>
      </c>
      <c r="AR763" s="1146">
        <f t="shared" si="203"/>
        <v>756.94878439967079</v>
      </c>
    </row>
    <row r="764" spans="1:44" x14ac:dyDescent="0.2">
      <c r="A764" s="1141" t="str">
        <f t="shared" ref="A764:A827" si="216">IF(CONCATENATE(E764,G764)="","",CONCATENATE(E764,G764))</f>
        <v>1542</v>
      </c>
      <c r="B764" s="1141" t="str">
        <f>IFERROR(VLOOKUP(A764,'LAC 103'!A:C,3,FALSE),"")</f>
        <v>OP</v>
      </c>
      <c r="C764" s="1478" t="str">
        <f>Info!$B$8</f>
        <v>00100</v>
      </c>
      <c r="D764" s="1474" t="s">
        <v>256</v>
      </c>
      <c r="E764" s="1474" t="s">
        <v>95</v>
      </c>
      <c r="F764" s="1478" t="s">
        <v>392</v>
      </c>
      <c r="G764" s="1478" t="s">
        <v>392</v>
      </c>
      <c r="H764" s="1474" t="s">
        <v>1658</v>
      </c>
      <c r="I764" s="1478" t="s">
        <v>807</v>
      </c>
      <c r="J764" s="1478"/>
      <c r="K764" s="1475" t="s">
        <v>1654</v>
      </c>
      <c r="L764" s="1474" t="s">
        <v>332</v>
      </c>
      <c r="M764" s="1476" t="s">
        <v>840</v>
      </c>
      <c r="N764" s="1477" t="s">
        <v>1700</v>
      </c>
      <c r="O764" s="1479">
        <v>545</v>
      </c>
      <c r="P764" s="1479"/>
      <c r="Q764" s="1142">
        <f t="shared" ref="Q764:Q827" si="217">O764+P764</f>
        <v>545</v>
      </c>
      <c r="R764" s="1143">
        <f>IFERROR(VLOOKUP(CONCATENATE(E764,G764),'LAC 103'!$A$12:$O$95,11,FALSE),0)</f>
        <v>3.2074101033884355</v>
      </c>
      <c r="S764" s="1144">
        <f>IFERROR(VLOOKUP(CONCATENATE($E764,$G764),'LAC 103'!$A$12:$O$95,12,FALSE),0)</f>
        <v>3.99</v>
      </c>
      <c r="T764" s="1144">
        <f>IFERROR(VLOOKUP(CONCATENATE($E764,$G764),'LAC 103'!$A$12:$O$95,13,FALSE),0)</f>
        <v>2.48</v>
      </c>
      <c r="U764" s="1144">
        <f>IFERROR(VLOOKUP(CONCATENATE($E764,$G764),'LAC 103'!$A$12:$O$95,14,FALSE),0)</f>
        <v>0</v>
      </c>
      <c r="V764" s="1144">
        <f>IFERROR(VLOOKUP(CONCATENATE($E764,$G764),'LAC 103'!$A$12:$O$95,15,FALSE),0)</f>
        <v>0</v>
      </c>
      <c r="W764" s="1145" t="str">
        <f>IFERROR(VLOOKUP(CONCATENATE($B764,$N764),'LAC 103'!$AI:$AQ,9,FALSE),"")</f>
        <v>P.C.</v>
      </c>
      <c r="X764" s="1146">
        <f t="shared" si="204"/>
        <v>2.48</v>
      </c>
      <c r="Y764" s="1143">
        <f t="shared" si="205"/>
        <v>1748.0385063466974</v>
      </c>
      <c r="Z764" s="1147">
        <f t="shared" si="206"/>
        <v>2174.5500000000002</v>
      </c>
      <c r="AA764" s="1144">
        <f t="shared" si="207"/>
        <v>1351.6</v>
      </c>
      <c r="AB764" s="1144">
        <f t="shared" si="208"/>
        <v>0</v>
      </c>
      <c r="AC764" s="1144">
        <f t="shared" si="209"/>
        <v>0</v>
      </c>
      <c r="AD764" s="1148">
        <f t="shared" si="200"/>
        <v>1351.6</v>
      </c>
      <c r="AE764" s="1487">
        <v>0</v>
      </c>
      <c r="AF764" s="1145">
        <f t="shared" si="210"/>
        <v>1351.6</v>
      </c>
      <c r="AG764" s="1149">
        <f>IFERROR(VLOOKUP(CONCATENATE($L764,$N764),'Drop List'!$G$23:$K$87,2,FALSE),0)</f>
        <v>0</v>
      </c>
      <c r="AH764" s="1150">
        <f>IFERROR(VLOOKUP(CONCATENATE($L764,$N764),'Drop List'!$G$23:$K$87,3,FALSE),0)</f>
        <v>0</v>
      </c>
      <c r="AI764" s="1150">
        <f>IFERROR(VLOOKUP(CONCATENATE($L764,$N764),'Drop List'!$G$23:$K$87,4,FALSE),0)</f>
        <v>0</v>
      </c>
      <c r="AJ764" s="1151">
        <f>IFERROR(VLOOKUP(CONCATENATE($L764,$N764),'Drop List'!$G$23:$K$87,5,FALSE),0)</f>
        <v>0</v>
      </c>
      <c r="AK764" s="1152">
        <f t="shared" si="211"/>
        <v>0</v>
      </c>
      <c r="AL764" s="1153">
        <f t="shared" si="212"/>
        <v>0</v>
      </c>
      <c r="AM764" s="1153">
        <f t="shared" si="213"/>
        <v>0</v>
      </c>
      <c r="AN764" s="1145">
        <f t="shared" si="214"/>
        <v>0</v>
      </c>
      <c r="AO764" s="1154">
        <f t="shared" si="215"/>
        <v>0</v>
      </c>
      <c r="AP764" s="1147">
        <f t="shared" si="201"/>
        <v>1351.6</v>
      </c>
      <c r="AQ764" s="1144">
        <f t="shared" si="202"/>
        <v>0</v>
      </c>
      <c r="AR764" s="1146">
        <f t="shared" si="203"/>
        <v>1351.6</v>
      </c>
    </row>
    <row r="765" spans="1:44" x14ac:dyDescent="0.2">
      <c r="A765" s="1141" t="str">
        <f t="shared" si="216"/>
        <v>1542</v>
      </c>
      <c r="B765" s="1141" t="str">
        <f>IFERROR(VLOOKUP(A765,'LAC 103'!A:C,3,FALSE),"")</f>
        <v>OP</v>
      </c>
      <c r="C765" s="1478" t="str">
        <f>Info!$B$8</f>
        <v>00100</v>
      </c>
      <c r="D765" s="1474" t="s">
        <v>256</v>
      </c>
      <c r="E765" s="1474" t="s">
        <v>95</v>
      </c>
      <c r="F765" s="1478" t="s">
        <v>392</v>
      </c>
      <c r="G765" s="1478" t="s">
        <v>392</v>
      </c>
      <c r="H765" s="1474" t="s">
        <v>1658</v>
      </c>
      <c r="I765" s="1478" t="s">
        <v>807</v>
      </c>
      <c r="J765" s="1478"/>
      <c r="K765" s="1475" t="s">
        <v>1654</v>
      </c>
      <c r="L765" s="1474" t="s">
        <v>332</v>
      </c>
      <c r="M765" s="1476" t="s">
        <v>842</v>
      </c>
      <c r="N765" s="1477" t="s">
        <v>1692</v>
      </c>
      <c r="O765" s="1479">
        <v>77</v>
      </c>
      <c r="P765" s="1479"/>
      <c r="Q765" s="1142">
        <f t="shared" si="217"/>
        <v>77</v>
      </c>
      <c r="R765" s="1143">
        <f>IFERROR(VLOOKUP(CONCATENATE(E765,G765),'LAC 103'!$A$12:$O$95,11,FALSE),0)</f>
        <v>3.2074101033884355</v>
      </c>
      <c r="S765" s="1144">
        <f>IFERROR(VLOOKUP(CONCATENATE($E765,$G765),'LAC 103'!$A$12:$O$95,12,FALSE),0)</f>
        <v>3.99</v>
      </c>
      <c r="T765" s="1144">
        <f>IFERROR(VLOOKUP(CONCATENATE($E765,$G765),'LAC 103'!$A$12:$O$95,13,FALSE),0)</f>
        <v>2.48</v>
      </c>
      <c r="U765" s="1144">
        <f>IFERROR(VLOOKUP(CONCATENATE($E765,$G765),'LAC 103'!$A$12:$O$95,14,FALSE),0)</f>
        <v>0</v>
      </c>
      <c r="V765" s="1144">
        <f>IFERROR(VLOOKUP(CONCATENATE($E765,$G765),'LAC 103'!$A$12:$O$95,15,FALSE),0)</f>
        <v>0</v>
      </c>
      <c r="W765" s="1145" t="str">
        <f>IFERROR(VLOOKUP(CONCATENATE($B765,$N765),'LAC 103'!$AI:$AQ,9,FALSE),"")</f>
        <v>Costs</v>
      </c>
      <c r="X765" s="1146">
        <f t="shared" si="204"/>
        <v>3.2074101033884355</v>
      </c>
      <c r="Y765" s="1143">
        <f t="shared" si="205"/>
        <v>246.97057796090954</v>
      </c>
      <c r="Z765" s="1147">
        <f t="shared" si="206"/>
        <v>307.23</v>
      </c>
      <c r="AA765" s="1144">
        <f t="shared" si="207"/>
        <v>190.96</v>
      </c>
      <c r="AB765" s="1144">
        <f t="shared" si="208"/>
        <v>0</v>
      </c>
      <c r="AC765" s="1144">
        <f t="shared" si="209"/>
        <v>0</v>
      </c>
      <c r="AD765" s="1148">
        <f t="shared" si="200"/>
        <v>246.97057796090954</v>
      </c>
      <c r="AE765" s="1487">
        <v>0</v>
      </c>
      <c r="AF765" s="1145">
        <f t="shared" si="210"/>
        <v>246.97057796090954</v>
      </c>
      <c r="AG765" s="1149">
        <f>IFERROR(VLOOKUP(CONCATENATE($L765,$N765),'Drop List'!$G$23:$K$87,2,FALSE),0)</f>
        <v>0</v>
      </c>
      <c r="AH765" s="1150">
        <f>IFERROR(VLOOKUP(CONCATENATE($L765,$N765),'Drop List'!$G$23:$K$87,3,FALSE),0)</f>
        <v>0</v>
      </c>
      <c r="AI765" s="1150">
        <f>IFERROR(VLOOKUP(CONCATENATE($L765,$N765),'Drop List'!$G$23:$K$87,4,FALSE),0)</f>
        <v>0</v>
      </c>
      <c r="AJ765" s="1151">
        <f>IFERROR(VLOOKUP(CONCATENATE($L765,$N765),'Drop List'!$G$23:$K$87,5,FALSE),0)</f>
        <v>0</v>
      </c>
      <c r="AK765" s="1152">
        <f t="shared" si="211"/>
        <v>0</v>
      </c>
      <c r="AL765" s="1153">
        <f t="shared" si="212"/>
        <v>0</v>
      </c>
      <c r="AM765" s="1153">
        <f t="shared" si="213"/>
        <v>0</v>
      </c>
      <c r="AN765" s="1145">
        <f t="shared" si="214"/>
        <v>0</v>
      </c>
      <c r="AO765" s="1154">
        <f t="shared" si="215"/>
        <v>0</v>
      </c>
      <c r="AP765" s="1147">
        <f t="shared" si="201"/>
        <v>246.97057796090954</v>
      </c>
      <c r="AQ765" s="1144">
        <f t="shared" si="202"/>
        <v>0</v>
      </c>
      <c r="AR765" s="1146">
        <f t="shared" si="203"/>
        <v>246.97057796090954</v>
      </c>
    </row>
    <row r="766" spans="1:44" x14ac:dyDescent="0.2">
      <c r="A766" s="1141" t="str">
        <f t="shared" si="216"/>
        <v>1542</v>
      </c>
      <c r="B766" s="1141" t="str">
        <f>IFERROR(VLOOKUP(A766,'LAC 103'!A:C,3,FALSE),"")</f>
        <v>OP</v>
      </c>
      <c r="C766" s="1478" t="str">
        <f>Info!$B$8</f>
        <v>00100</v>
      </c>
      <c r="D766" s="1474" t="s">
        <v>256</v>
      </c>
      <c r="E766" s="1474" t="s">
        <v>95</v>
      </c>
      <c r="F766" s="1478" t="s">
        <v>392</v>
      </c>
      <c r="G766" s="1478" t="s">
        <v>392</v>
      </c>
      <c r="H766" s="1474" t="s">
        <v>1658</v>
      </c>
      <c r="I766" s="1478" t="s">
        <v>807</v>
      </c>
      <c r="J766" s="1478"/>
      <c r="K766" s="1475" t="s">
        <v>1654</v>
      </c>
      <c r="L766" s="1474" t="s">
        <v>332</v>
      </c>
      <c r="M766" s="1476" t="s">
        <v>1698</v>
      </c>
      <c r="N766" s="1477" t="s">
        <v>1693</v>
      </c>
      <c r="O766" s="1479">
        <v>90</v>
      </c>
      <c r="P766" s="1479"/>
      <c r="Q766" s="1142">
        <f t="shared" si="217"/>
        <v>90</v>
      </c>
      <c r="R766" s="1143">
        <f>IFERROR(VLOOKUP(CONCATENATE(E766,G766),'LAC 103'!$A$12:$O$95,11,FALSE),0)</f>
        <v>3.2074101033884355</v>
      </c>
      <c r="S766" s="1144">
        <f>IFERROR(VLOOKUP(CONCATENATE($E766,$G766),'LAC 103'!$A$12:$O$95,12,FALSE),0)</f>
        <v>3.99</v>
      </c>
      <c r="T766" s="1144">
        <f>IFERROR(VLOOKUP(CONCATENATE($E766,$G766),'LAC 103'!$A$12:$O$95,13,FALSE),0)</f>
        <v>2.48</v>
      </c>
      <c r="U766" s="1144">
        <f>IFERROR(VLOOKUP(CONCATENATE($E766,$G766),'LAC 103'!$A$12:$O$95,14,FALSE),0)</f>
        <v>0</v>
      </c>
      <c r="V766" s="1144">
        <f>IFERROR(VLOOKUP(CONCATENATE($E766,$G766),'LAC 103'!$A$12:$O$95,15,FALSE),0)</f>
        <v>0</v>
      </c>
      <c r="W766" s="1145" t="str">
        <f>IFERROR(VLOOKUP(CONCATENATE($B766,$N766),'LAC 103'!$AI:$AQ,9,FALSE),"")</f>
        <v>Costs</v>
      </c>
      <c r="X766" s="1146">
        <f t="shared" si="204"/>
        <v>3.2074101033884355</v>
      </c>
      <c r="Y766" s="1143">
        <f t="shared" si="205"/>
        <v>288.66690930495918</v>
      </c>
      <c r="Z766" s="1147">
        <f t="shared" si="206"/>
        <v>359.1</v>
      </c>
      <c r="AA766" s="1144">
        <f t="shared" si="207"/>
        <v>223.2</v>
      </c>
      <c r="AB766" s="1144">
        <f t="shared" si="208"/>
        <v>0</v>
      </c>
      <c r="AC766" s="1144">
        <f t="shared" si="209"/>
        <v>0</v>
      </c>
      <c r="AD766" s="1148">
        <f t="shared" si="200"/>
        <v>288.66690930495918</v>
      </c>
      <c r="AE766" s="1487">
        <v>0</v>
      </c>
      <c r="AF766" s="1145">
        <f t="shared" si="210"/>
        <v>288.66690930495918</v>
      </c>
      <c r="AG766" s="1149">
        <f>IFERROR(VLOOKUP(CONCATENATE($L766,$N766),'Drop List'!$G$23:$K$87,2,FALSE),0)</f>
        <v>0</v>
      </c>
      <c r="AH766" s="1150">
        <f>IFERROR(VLOOKUP(CONCATENATE($L766,$N766),'Drop List'!$G$23:$K$87,3,FALSE),0)</f>
        <v>0</v>
      </c>
      <c r="AI766" s="1150">
        <f>IFERROR(VLOOKUP(CONCATENATE($L766,$N766),'Drop List'!$G$23:$K$87,4,FALSE),0)</f>
        <v>0</v>
      </c>
      <c r="AJ766" s="1151">
        <f>IFERROR(VLOOKUP(CONCATENATE($L766,$N766),'Drop List'!$G$23:$K$87,5,FALSE),0)</f>
        <v>0</v>
      </c>
      <c r="AK766" s="1152">
        <f t="shared" si="211"/>
        <v>0</v>
      </c>
      <c r="AL766" s="1153">
        <f t="shared" si="212"/>
        <v>0</v>
      </c>
      <c r="AM766" s="1153">
        <f t="shared" si="213"/>
        <v>0</v>
      </c>
      <c r="AN766" s="1145">
        <f t="shared" si="214"/>
        <v>0</v>
      </c>
      <c r="AO766" s="1154">
        <f t="shared" si="215"/>
        <v>0</v>
      </c>
      <c r="AP766" s="1147">
        <f t="shared" si="201"/>
        <v>288.66690930495918</v>
      </c>
      <c r="AQ766" s="1144">
        <f t="shared" si="202"/>
        <v>0</v>
      </c>
      <c r="AR766" s="1146">
        <f t="shared" si="203"/>
        <v>288.66690930495918</v>
      </c>
    </row>
    <row r="767" spans="1:44" x14ac:dyDescent="0.2">
      <c r="A767" s="1141" t="str">
        <f t="shared" si="216"/>
        <v>1542</v>
      </c>
      <c r="B767" s="1141" t="str">
        <f>IFERROR(VLOOKUP(A767,'LAC 103'!A:C,3,FALSE),"")</f>
        <v>OP</v>
      </c>
      <c r="C767" s="1478" t="str">
        <f>Info!$B$8</f>
        <v>00100</v>
      </c>
      <c r="D767" s="1474" t="s">
        <v>256</v>
      </c>
      <c r="E767" s="1474" t="s">
        <v>95</v>
      </c>
      <c r="F767" s="1478" t="s">
        <v>392</v>
      </c>
      <c r="G767" s="1478" t="s">
        <v>392</v>
      </c>
      <c r="H767" s="1474" t="s">
        <v>1658</v>
      </c>
      <c r="I767" s="1478" t="s">
        <v>807</v>
      </c>
      <c r="J767" s="1478"/>
      <c r="K767" s="1475" t="s">
        <v>849</v>
      </c>
      <c r="L767" s="1474" t="s">
        <v>77</v>
      </c>
      <c r="M767" s="1476" t="s">
        <v>1699</v>
      </c>
      <c r="N767" s="1477" t="s">
        <v>1694</v>
      </c>
      <c r="O767" s="1479">
        <v>31903</v>
      </c>
      <c r="P767" s="1479"/>
      <c r="Q767" s="1142">
        <f t="shared" si="217"/>
        <v>31903</v>
      </c>
      <c r="R767" s="1143">
        <f>IFERROR(VLOOKUP(CONCATENATE(E767,G767),'LAC 103'!$A$12:$O$95,11,FALSE),0)</f>
        <v>3.2074101033884355</v>
      </c>
      <c r="S767" s="1144">
        <f>IFERROR(VLOOKUP(CONCATENATE($E767,$G767),'LAC 103'!$A$12:$O$95,12,FALSE),0)</f>
        <v>3.99</v>
      </c>
      <c r="T767" s="1144">
        <f>IFERROR(VLOOKUP(CONCATENATE($E767,$G767),'LAC 103'!$A$12:$O$95,13,FALSE),0)</f>
        <v>2.48</v>
      </c>
      <c r="U767" s="1144">
        <f>IFERROR(VLOOKUP(CONCATENATE($E767,$G767),'LAC 103'!$A$12:$O$95,14,FALSE),0)</f>
        <v>0</v>
      </c>
      <c r="V767" s="1144">
        <f>IFERROR(VLOOKUP(CONCATENATE($E767,$G767),'LAC 103'!$A$12:$O$95,15,FALSE),0)</f>
        <v>0</v>
      </c>
      <c r="W767" s="1145" t="str">
        <f>IFERROR(VLOOKUP(CONCATENATE($B767,$N767),'LAC 103'!$AI:$AQ,9,FALSE),"")</f>
        <v>Costs</v>
      </c>
      <c r="X767" s="1146">
        <f t="shared" si="204"/>
        <v>3.2074101033884355</v>
      </c>
      <c r="Y767" s="1143">
        <f t="shared" si="205"/>
        <v>102326.00452840126</v>
      </c>
      <c r="Z767" s="1147">
        <f t="shared" si="206"/>
        <v>127292.97</v>
      </c>
      <c r="AA767" s="1144">
        <f t="shared" si="207"/>
        <v>79119.44</v>
      </c>
      <c r="AB767" s="1144">
        <f t="shared" si="208"/>
        <v>0</v>
      </c>
      <c r="AC767" s="1144">
        <f t="shared" si="209"/>
        <v>0</v>
      </c>
      <c r="AD767" s="1148">
        <f t="shared" si="200"/>
        <v>102326.00452840126</v>
      </c>
      <c r="AE767" s="1487">
        <v>0</v>
      </c>
      <c r="AF767" s="1145">
        <f t="shared" si="210"/>
        <v>102326.00452840126</v>
      </c>
      <c r="AG767" s="1149">
        <f>IFERROR(VLOOKUP(CONCATENATE($L767,$N767),'Drop List'!$G$23:$K$87,2,FALSE),0)</f>
        <v>0.9</v>
      </c>
      <c r="AH767" s="1150">
        <f>IFERROR(VLOOKUP(CONCATENATE($L767,$N767),'Drop List'!$G$23:$K$87,3,FALSE),0)</f>
        <v>0</v>
      </c>
      <c r="AI767" s="1150">
        <f>IFERROR(VLOOKUP(CONCATENATE($L767,$N767),'Drop List'!$G$23:$K$87,4,FALSE),0)</f>
        <v>0.1</v>
      </c>
      <c r="AJ767" s="1151">
        <f>IFERROR(VLOOKUP(CONCATENATE($L767,$N767),'Drop List'!$G$23:$K$87,5,FALSE),0)</f>
        <v>0</v>
      </c>
      <c r="AK767" s="1152">
        <f t="shared" si="211"/>
        <v>92093.404075561135</v>
      </c>
      <c r="AL767" s="1153">
        <f t="shared" si="212"/>
        <v>0</v>
      </c>
      <c r="AM767" s="1153">
        <f t="shared" si="213"/>
        <v>10232.600452840126</v>
      </c>
      <c r="AN767" s="1145">
        <f t="shared" si="214"/>
        <v>0</v>
      </c>
      <c r="AO767" s="1154">
        <f t="shared" si="215"/>
        <v>102326.00452840126</v>
      </c>
      <c r="AP767" s="1147">
        <f t="shared" si="201"/>
        <v>0</v>
      </c>
      <c r="AQ767" s="1144">
        <f t="shared" si="202"/>
        <v>0</v>
      </c>
      <c r="AR767" s="1146">
        <f t="shared" si="203"/>
        <v>102326.00452840126</v>
      </c>
    </row>
    <row r="768" spans="1:44" x14ac:dyDescent="0.2">
      <c r="A768" s="1141" t="str">
        <f t="shared" si="216"/>
        <v>1542</v>
      </c>
      <c r="B768" s="1141" t="str">
        <f>IFERROR(VLOOKUP(A768,'LAC 103'!A:C,3,FALSE),"")</f>
        <v>OP</v>
      </c>
      <c r="C768" s="1478" t="str">
        <f>Info!$B$8</f>
        <v>00100</v>
      </c>
      <c r="D768" s="1474" t="s">
        <v>256</v>
      </c>
      <c r="E768" s="1474" t="s">
        <v>95</v>
      </c>
      <c r="F768" s="1478" t="s">
        <v>392</v>
      </c>
      <c r="G768" s="1478" t="s">
        <v>392</v>
      </c>
      <c r="H768" s="1474" t="s">
        <v>1658</v>
      </c>
      <c r="I768" s="1478" t="s">
        <v>807</v>
      </c>
      <c r="J768" s="1478"/>
      <c r="K768" s="1475" t="s">
        <v>849</v>
      </c>
      <c r="L768" s="1474" t="s">
        <v>77</v>
      </c>
      <c r="M768" s="1476" t="s">
        <v>841</v>
      </c>
      <c r="N768" s="1477" t="s">
        <v>1695</v>
      </c>
      <c r="O768" s="1479">
        <v>22573</v>
      </c>
      <c r="P768" s="1479"/>
      <c r="Q768" s="1142">
        <f t="shared" si="217"/>
        <v>22573</v>
      </c>
      <c r="R768" s="1143">
        <f>IFERROR(VLOOKUP(CONCATENATE(E768,G768),'LAC 103'!$A$12:$O$95,11,FALSE),0)</f>
        <v>3.2074101033884355</v>
      </c>
      <c r="S768" s="1144">
        <f>IFERROR(VLOOKUP(CONCATENATE($E768,$G768),'LAC 103'!$A$12:$O$95,12,FALSE),0)</f>
        <v>3.99</v>
      </c>
      <c r="T768" s="1144">
        <f>IFERROR(VLOOKUP(CONCATENATE($E768,$G768),'LAC 103'!$A$12:$O$95,13,FALSE),0)</f>
        <v>2.48</v>
      </c>
      <c r="U768" s="1144">
        <f>IFERROR(VLOOKUP(CONCATENATE($E768,$G768),'LAC 103'!$A$12:$O$95,14,FALSE),0)</f>
        <v>0</v>
      </c>
      <c r="V768" s="1144">
        <f>IFERROR(VLOOKUP(CONCATENATE($E768,$G768),'LAC 103'!$A$12:$O$95,15,FALSE),0)</f>
        <v>0</v>
      </c>
      <c r="W768" s="1145" t="str">
        <f>IFERROR(VLOOKUP(CONCATENATE($B768,$N768),'LAC 103'!$AI:$AQ,9,FALSE),"")</f>
        <v>Costs</v>
      </c>
      <c r="X768" s="1146">
        <f t="shared" si="204"/>
        <v>3.2074101033884355</v>
      </c>
      <c r="Y768" s="1143">
        <f t="shared" si="205"/>
        <v>72400.868263787153</v>
      </c>
      <c r="Z768" s="1147">
        <f t="shared" si="206"/>
        <v>90066.27</v>
      </c>
      <c r="AA768" s="1144">
        <f t="shared" si="207"/>
        <v>55981.04</v>
      </c>
      <c r="AB768" s="1144">
        <f t="shared" si="208"/>
        <v>0</v>
      </c>
      <c r="AC768" s="1144">
        <f t="shared" si="209"/>
        <v>0</v>
      </c>
      <c r="AD768" s="1148">
        <f t="shared" si="200"/>
        <v>72400.868263787153</v>
      </c>
      <c r="AE768" s="1487">
        <v>0</v>
      </c>
      <c r="AF768" s="1145">
        <f t="shared" si="210"/>
        <v>72400.868263787153</v>
      </c>
      <c r="AG768" s="1149">
        <f>IFERROR(VLOOKUP(CONCATENATE($L768,$N768),'Drop List'!$G$23:$K$87,2,FALSE),0)</f>
        <v>0.9</v>
      </c>
      <c r="AH768" s="1150">
        <f>IFERROR(VLOOKUP(CONCATENATE($L768,$N768),'Drop List'!$G$23:$K$87,3,FALSE),0)</f>
        <v>0</v>
      </c>
      <c r="AI768" s="1150">
        <f>IFERROR(VLOOKUP(CONCATENATE($L768,$N768),'Drop List'!$G$23:$K$87,4,FALSE),0)</f>
        <v>0.1</v>
      </c>
      <c r="AJ768" s="1151">
        <f>IFERROR(VLOOKUP(CONCATENATE($L768,$N768),'Drop List'!$G$23:$K$87,5,FALSE),0)</f>
        <v>0</v>
      </c>
      <c r="AK768" s="1152">
        <f t="shared" si="211"/>
        <v>65160.781437408441</v>
      </c>
      <c r="AL768" s="1153">
        <f t="shared" si="212"/>
        <v>0</v>
      </c>
      <c r="AM768" s="1153">
        <f t="shared" si="213"/>
        <v>7240.0868263787161</v>
      </c>
      <c r="AN768" s="1145">
        <f t="shared" si="214"/>
        <v>0</v>
      </c>
      <c r="AO768" s="1154">
        <f t="shared" si="215"/>
        <v>72400.868263787153</v>
      </c>
      <c r="AP768" s="1147">
        <f t="shared" si="201"/>
        <v>0</v>
      </c>
      <c r="AQ768" s="1144">
        <f t="shared" si="202"/>
        <v>0</v>
      </c>
      <c r="AR768" s="1146">
        <f t="shared" si="203"/>
        <v>72400.868263787153</v>
      </c>
    </row>
    <row r="769" spans="1:44" x14ac:dyDescent="0.2">
      <c r="A769" s="1141" t="str">
        <f t="shared" si="216"/>
        <v>1542</v>
      </c>
      <c r="B769" s="1141" t="str">
        <f>IFERROR(VLOOKUP(A769,'LAC 103'!A:C,3,FALSE),"")</f>
        <v>OP</v>
      </c>
      <c r="C769" s="1478" t="str">
        <f>Info!$B$8</f>
        <v>00100</v>
      </c>
      <c r="D769" s="1474" t="s">
        <v>256</v>
      </c>
      <c r="E769" s="1474" t="s">
        <v>95</v>
      </c>
      <c r="F769" s="1478" t="s">
        <v>392</v>
      </c>
      <c r="G769" s="1478" t="s">
        <v>392</v>
      </c>
      <c r="H769" s="1474" t="s">
        <v>1658</v>
      </c>
      <c r="I769" s="1478" t="s">
        <v>807</v>
      </c>
      <c r="J769" s="1478"/>
      <c r="K769" s="1475" t="s">
        <v>849</v>
      </c>
      <c r="L769" s="1474" t="s">
        <v>77</v>
      </c>
      <c r="M769" s="1476" t="s">
        <v>840</v>
      </c>
      <c r="N769" s="1477" t="s">
        <v>1700</v>
      </c>
      <c r="O769" s="1479">
        <v>25330</v>
      </c>
      <c r="P769" s="1479"/>
      <c r="Q769" s="1142">
        <f t="shared" si="217"/>
        <v>25330</v>
      </c>
      <c r="R769" s="1143">
        <f>IFERROR(VLOOKUP(CONCATENATE(E769,G769),'LAC 103'!$A$12:$O$95,11,FALSE),0)</f>
        <v>3.2074101033884355</v>
      </c>
      <c r="S769" s="1144">
        <f>IFERROR(VLOOKUP(CONCATENATE($E769,$G769),'LAC 103'!$A$12:$O$95,12,FALSE),0)</f>
        <v>3.99</v>
      </c>
      <c r="T769" s="1144">
        <f>IFERROR(VLOOKUP(CONCATENATE($E769,$G769),'LAC 103'!$A$12:$O$95,13,FALSE),0)</f>
        <v>2.48</v>
      </c>
      <c r="U769" s="1144">
        <f>IFERROR(VLOOKUP(CONCATENATE($E769,$G769),'LAC 103'!$A$12:$O$95,14,FALSE),0)</f>
        <v>0</v>
      </c>
      <c r="V769" s="1144">
        <f>IFERROR(VLOOKUP(CONCATENATE($E769,$G769),'LAC 103'!$A$12:$O$95,15,FALSE),0)</f>
        <v>0</v>
      </c>
      <c r="W769" s="1145" t="str">
        <f>IFERROR(VLOOKUP(CONCATENATE($B769,$N769),'LAC 103'!$AI:$AQ,9,FALSE),"")</f>
        <v>P.C.</v>
      </c>
      <c r="X769" s="1146">
        <f t="shared" si="204"/>
        <v>2.48</v>
      </c>
      <c r="Y769" s="1143">
        <f t="shared" si="205"/>
        <v>81243.697918829072</v>
      </c>
      <c r="Z769" s="1147">
        <f t="shared" si="206"/>
        <v>101066.70000000001</v>
      </c>
      <c r="AA769" s="1144">
        <f t="shared" si="207"/>
        <v>62818.400000000001</v>
      </c>
      <c r="AB769" s="1144">
        <f t="shared" si="208"/>
        <v>0</v>
      </c>
      <c r="AC769" s="1144">
        <f t="shared" si="209"/>
        <v>0</v>
      </c>
      <c r="AD769" s="1148">
        <f t="shared" si="200"/>
        <v>62818.400000000001</v>
      </c>
      <c r="AE769" s="1487">
        <v>0</v>
      </c>
      <c r="AF769" s="1145">
        <f t="shared" si="210"/>
        <v>62818.400000000001</v>
      </c>
      <c r="AG769" s="1149">
        <f>IFERROR(VLOOKUP(CONCATENATE($L769,$N769),'Drop List'!$G$23:$K$87,2,FALSE),0)</f>
        <v>0.9</v>
      </c>
      <c r="AH769" s="1150">
        <f>IFERROR(VLOOKUP(CONCATENATE($L769,$N769),'Drop List'!$G$23:$K$87,3,FALSE),0)</f>
        <v>0</v>
      </c>
      <c r="AI769" s="1150">
        <f>IFERROR(VLOOKUP(CONCATENATE($L769,$N769),'Drop List'!$G$23:$K$87,4,FALSE),0)</f>
        <v>0.1</v>
      </c>
      <c r="AJ769" s="1151">
        <f>IFERROR(VLOOKUP(CONCATENATE($L769,$N769),'Drop List'!$G$23:$K$87,5,FALSE),0)</f>
        <v>0</v>
      </c>
      <c r="AK769" s="1152">
        <f t="shared" si="211"/>
        <v>56536.560000000005</v>
      </c>
      <c r="AL769" s="1153">
        <f t="shared" si="212"/>
        <v>0</v>
      </c>
      <c r="AM769" s="1153">
        <f t="shared" si="213"/>
        <v>6281.84</v>
      </c>
      <c r="AN769" s="1145">
        <f t="shared" si="214"/>
        <v>0</v>
      </c>
      <c r="AO769" s="1154">
        <f t="shared" si="215"/>
        <v>62818.400000000009</v>
      </c>
      <c r="AP769" s="1147">
        <f t="shared" si="201"/>
        <v>0</v>
      </c>
      <c r="AQ769" s="1144">
        <f t="shared" si="202"/>
        <v>0</v>
      </c>
      <c r="AR769" s="1146">
        <f t="shared" si="203"/>
        <v>62818.400000000009</v>
      </c>
    </row>
    <row r="770" spans="1:44" x14ac:dyDescent="0.2">
      <c r="A770" s="1141" t="str">
        <f t="shared" si="216"/>
        <v>1542</v>
      </c>
      <c r="B770" s="1141" t="str">
        <f>IFERROR(VLOOKUP(A770,'LAC 103'!A:C,3,FALSE),"")</f>
        <v>OP</v>
      </c>
      <c r="C770" s="1478" t="str">
        <f>Info!$B$8</f>
        <v>00100</v>
      </c>
      <c r="D770" s="1474" t="s">
        <v>256</v>
      </c>
      <c r="E770" s="1474" t="s">
        <v>95</v>
      </c>
      <c r="F770" s="1478" t="s">
        <v>392</v>
      </c>
      <c r="G770" s="1478" t="s">
        <v>392</v>
      </c>
      <c r="H770" s="1474" t="s">
        <v>1658</v>
      </c>
      <c r="I770" s="1478" t="s">
        <v>807</v>
      </c>
      <c r="J770" s="1478"/>
      <c r="K770" s="1475" t="s">
        <v>849</v>
      </c>
      <c r="L770" s="1474" t="s">
        <v>77</v>
      </c>
      <c r="M770" s="1476" t="s">
        <v>842</v>
      </c>
      <c r="N770" s="1477" t="s">
        <v>1692</v>
      </c>
      <c r="O770" s="1479">
        <v>36338</v>
      </c>
      <c r="P770" s="1479"/>
      <c r="Q770" s="1142">
        <f t="shared" si="217"/>
        <v>36338</v>
      </c>
      <c r="R770" s="1143">
        <f>IFERROR(VLOOKUP(CONCATENATE(E770,G770),'LAC 103'!$A$12:$O$95,11,FALSE),0)</f>
        <v>3.2074101033884355</v>
      </c>
      <c r="S770" s="1144">
        <f>IFERROR(VLOOKUP(CONCATENATE($E770,$G770),'LAC 103'!$A$12:$O$95,12,FALSE),0)</f>
        <v>3.99</v>
      </c>
      <c r="T770" s="1144">
        <f>IFERROR(VLOOKUP(CONCATENATE($E770,$G770),'LAC 103'!$A$12:$O$95,13,FALSE),0)</f>
        <v>2.48</v>
      </c>
      <c r="U770" s="1144">
        <f>IFERROR(VLOOKUP(CONCATENATE($E770,$G770),'LAC 103'!$A$12:$O$95,14,FALSE),0)</f>
        <v>0</v>
      </c>
      <c r="V770" s="1144">
        <f>IFERROR(VLOOKUP(CONCATENATE($E770,$G770),'LAC 103'!$A$12:$O$95,15,FALSE),0)</f>
        <v>0</v>
      </c>
      <c r="W770" s="1145" t="str">
        <f>IFERROR(VLOOKUP(CONCATENATE($B770,$N770),'LAC 103'!$AI:$AQ,9,FALSE),"")</f>
        <v>Costs</v>
      </c>
      <c r="X770" s="1146">
        <f t="shared" si="204"/>
        <v>3.2074101033884355</v>
      </c>
      <c r="Y770" s="1143">
        <f t="shared" si="205"/>
        <v>116550.86833692896</v>
      </c>
      <c r="Z770" s="1147">
        <f t="shared" si="206"/>
        <v>144988.62</v>
      </c>
      <c r="AA770" s="1144">
        <f t="shared" si="207"/>
        <v>90118.24</v>
      </c>
      <c r="AB770" s="1144">
        <f t="shared" si="208"/>
        <v>0</v>
      </c>
      <c r="AC770" s="1144">
        <f t="shared" si="209"/>
        <v>0</v>
      </c>
      <c r="AD770" s="1148">
        <f t="shared" si="200"/>
        <v>116550.86833692896</v>
      </c>
      <c r="AE770" s="1487">
        <v>0</v>
      </c>
      <c r="AF770" s="1145">
        <f t="shared" si="210"/>
        <v>116550.86833692896</v>
      </c>
      <c r="AG770" s="1149">
        <f>IFERROR(VLOOKUP(CONCATENATE($L770,$N770),'Drop List'!$G$23:$K$87,2,FALSE),0)</f>
        <v>0.9</v>
      </c>
      <c r="AH770" s="1150">
        <f>IFERROR(VLOOKUP(CONCATENATE($L770,$N770),'Drop List'!$G$23:$K$87,3,FALSE),0)</f>
        <v>0</v>
      </c>
      <c r="AI770" s="1150">
        <f>IFERROR(VLOOKUP(CONCATENATE($L770,$N770),'Drop List'!$G$23:$K$87,4,FALSE),0)</f>
        <v>0.1</v>
      </c>
      <c r="AJ770" s="1151">
        <f>IFERROR(VLOOKUP(CONCATENATE($L770,$N770),'Drop List'!$G$23:$K$87,5,FALSE),0)</f>
        <v>0</v>
      </c>
      <c r="AK770" s="1152">
        <f t="shared" si="211"/>
        <v>104895.78150323607</v>
      </c>
      <c r="AL770" s="1153">
        <f t="shared" si="212"/>
        <v>0</v>
      </c>
      <c r="AM770" s="1153">
        <f t="shared" si="213"/>
        <v>11655.086833692898</v>
      </c>
      <c r="AN770" s="1145">
        <f t="shared" si="214"/>
        <v>0</v>
      </c>
      <c r="AO770" s="1154">
        <f t="shared" si="215"/>
        <v>116550.86833692896</v>
      </c>
      <c r="AP770" s="1147">
        <f t="shared" si="201"/>
        <v>0</v>
      </c>
      <c r="AQ770" s="1144">
        <f t="shared" si="202"/>
        <v>0</v>
      </c>
      <c r="AR770" s="1146">
        <f t="shared" si="203"/>
        <v>116550.86833692896</v>
      </c>
    </row>
    <row r="771" spans="1:44" x14ac:dyDescent="0.2">
      <c r="A771" s="1141" t="str">
        <f t="shared" si="216"/>
        <v>1542</v>
      </c>
      <c r="B771" s="1141" t="str">
        <f>IFERROR(VLOOKUP(A771,'LAC 103'!A:C,3,FALSE),"")</f>
        <v>OP</v>
      </c>
      <c r="C771" s="1478" t="str">
        <f>Info!$B$8</f>
        <v>00100</v>
      </c>
      <c r="D771" s="1474" t="s">
        <v>256</v>
      </c>
      <c r="E771" s="1474" t="s">
        <v>95</v>
      </c>
      <c r="F771" s="1478" t="s">
        <v>392</v>
      </c>
      <c r="G771" s="1478" t="s">
        <v>392</v>
      </c>
      <c r="H771" s="1474" t="s">
        <v>1658</v>
      </c>
      <c r="I771" s="1478" t="s">
        <v>807</v>
      </c>
      <c r="J771" s="1478"/>
      <c r="K771" s="1475" t="s">
        <v>849</v>
      </c>
      <c r="L771" s="1474" t="s">
        <v>77</v>
      </c>
      <c r="M771" s="1476" t="s">
        <v>1698</v>
      </c>
      <c r="N771" s="1477" t="s">
        <v>1693</v>
      </c>
      <c r="O771" s="1479">
        <v>37412</v>
      </c>
      <c r="P771" s="1479"/>
      <c r="Q771" s="1142">
        <f t="shared" si="217"/>
        <v>37412</v>
      </c>
      <c r="R771" s="1143">
        <f>IFERROR(VLOOKUP(CONCATENATE(E771,G771),'LAC 103'!$A$12:$O$95,11,FALSE),0)</f>
        <v>3.2074101033884355</v>
      </c>
      <c r="S771" s="1144">
        <f>IFERROR(VLOOKUP(CONCATENATE($E771,$G771),'LAC 103'!$A$12:$O$95,12,FALSE),0)</f>
        <v>3.99</v>
      </c>
      <c r="T771" s="1144">
        <f>IFERROR(VLOOKUP(CONCATENATE($E771,$G771),'LAC 103'!$A$12:$O$95,13,FALSE),0)</f>
        <v>2.48</v>
      </c>
      <c r="U771" s="1144">
        <f>IFERROR(VLOOKUP(CONCATENATE($E771,$G771),'LAC 103'!$A$12:$O$95,14,FALSE),0)</f>
        <v>0</v>
      </c>
      <c r="V771" s="1144">
        <f>IFERROR(VLOOKUP(CONCATENATE($E771,$G771),'LAC 103'!$A$12:$O$95,15,FALSE),0)</f>
        <v>0</v>
      </c>
      <c r="W771" s="1145" t="str">
        <f>IFERROR(VLOOKUP(CONCATENATE($B771,$N771),'LAC 103'!$AI:$AQ,9,FALSE),"")</f>
        <v>Costs</v>
      </c>
      <c r="X771" s="1146">
        <f t="shared" si="204"/>
        <v>3.2074101033884355</v>
      </c>
      <c r="Y771" s="1143">
        <f t="shared" si="205"/>
        <v>119995.62678796815</v>
      </c>
      <c r="Z771" s="1147">
        <f t="shared" si="206"/>
        <v>149273.88</v>
      </c>
      <c r="AA771" s="1144">
        <f t="shared" si="207"/>
        <v>92781.759999999995</v>
      </c>
      <c r="AB771" s="1144">
        <f t="shared" si="208"/>
        <v>0</v>
      </c>
      <c r="AC771" s="1144">
        <f t="shared" si="209"/>
        <v>0</v>
      </c>
      <c r="AD771" s="1148">
        <f t="shared" si="200"/>
        <v>119995.62678796815</v>
      </c>
      <c r="AE771" s="1487">
        <v>0</v>
      </c>
      <c r="AF771" s="1145">
        <f t="shared" si="210"/>
        <v>119995.62678796815</v>
      </c>
      <c r="AG771" s="1149">
        <f>IFERROR(VLOOKUP(CONCATENATE($L771,$N771),'Drop List'!$G$23:$K$87,2,FALSE),0)</f>
        <v>0.9</v>
      </c>
      <c r="AH771" s="1150">
        <f>IFERROR(VLOOKUP(CONCATENATE($L771,$N771),'Drop List'!$G$23:$K$87,3,FALSE),0)</f>
        <v>0</v>
      </c>
      <c r="AI771" s="1150">
        <f>IFERROR(VLOOKUP(CONCATENATE($L771,$N771),'Drop List'!$G$23:$K$87,4,FALSE),0)</f>
        <v>0.1</v>
      </c>
      <c r="AJ771" s="1151">
        <f>IFERROR(VLOOKUP(CONCATENATE($L771,$N771),'Drop List'!$G$23:$K$87,5,FALSE),0)</f>
        <v>0</v>
      </c>
      <c r="AK771" s="1152">
        <f t="shared" si="211"/>
        <v>107996.06410917135</v>
      </c>
      <c r="AL771" s="1153">
        <f t="shared" si="212"/>
        <v>0</v>
      </c>
      <c r="AM771" s="1153">
        <f t="shared" si="213"/>
        <v>11999.562678796816</v>
      </c>
      <c r="AN771" s="1145">
        <f t="shared" si="214"/>
        <v>0</v>
      </c>
      <c r="AO771" s="1154">
        <f t="shared" si="215"/>
        <v>119995.62678796817</v>
      </c>
      <c r="AP771" s="1147">
        <f t="shared" si="201"/>
        <v>0</v>
      </c>
      <c r="AQ771" s="1144">
        <f t="shared" si="202"/>
        <v>0</v>
      </c>
      <c r="AR771" s="1146">
        <f t="shared" si="203"/>
        <v>119995.62678796817</v>
      </c>
    </row>
    <row r="772" spans="1:44" x14ac:dyDescent="0.2">
      <c r="A772" s="1141" t="str">
        <f t="shared" si="216"/>
        <v>1542</v>
      </c>
      <c r="B772" s="1141" t="str">
        <f>IFERROR(VLOOKUP(A772,'LAC 103'!A:C,3,FALSE),"")</f>
        <v>OP</v>
      </c>
      <c r="C772" s="1478" t="str">
        <f>Info!$B$8</f>
        <v>00100</v>
      </c>
      <c r="D772" s="1474" t="s">
        <v>256</v>
      </c>
      <c r="E772" s="1474" t="s">
        <v>95</v>
      </c>
      <c r="F772" s="1478" t="s">
        <v>392</v>
      </c>
      <c r="G772" s="1478" t="s">
        <v>392</v>
      </c>
      <c r="H772" s="1474" t="s">
        <v>1658</v>
      </c>
      <c r="I772" s="1478" t="s">
        <v>807</v>
      </c>
      <c r="J772" s="1478"/>
      <c r="K772" s="1475" t="s">
        <v>971</v>
      </c>
      <c r="L772" s="1474" t="s">
        <v>332</v>
      </c>
      <c r="M772" s="1476" t="s">
        <v>1699</v>
      </c>
      <c r="N772" s="1477" t="s">
        <v>1694</v>
      </c>
      <c r="O772" s="1479">
        <v>77</v>
      </c>
      <c r="P772" s="1479"/>
      <c r="Q772" s="1142">
        <f t="shared" si="217"/>
        <v>77</v>
      </c>
      <c r="R772" s="1143">
        <f>IFERROR(VLOOKUP(CONCATENATE(E772,G772),'LAC 103'!$A$12:$O$95,11,FALSE),0)</f>
        <v>3.2074101033884355</v>
      </c>
      <c r="S772" s="1144">
        <f>IFERROR(VLOOKUP(CONCATENATE($E772,$G772),'LAC 103'!$A$12:$O$95,12,FALSE),0)</f>
        <v>3.99</v>
      </c>
      <c r="T772" s="1144">
        <f>IFERROR(VLOOKUP(CONCATENATE($E772,$G772),'LAC 103'!$A$12:$O$95,13,FALSE),0)</f>
        <v>2.48</v>
      </c>
      <c r="U772" s="1144">
        <f>IFERROR(VLOOKUP(CONCATENATE($E772,$G772),'LAC 103'!$A$12:$O$95,14,FALSE),0)</f>
        <v>0</v>
      </c>
      <c r="V772" s="1144">
        <f>IFERROR(VLOOKUP(CONCATENATE($E772,$G772),'LAC 103'!$A$12:$O$95,15,FALSE),0)</f>
        <v>0</v>
      </c>
      <c r="W772" s="1145" t="str">
        <f>IFERROR(VLOOKUP(CONCATENATE($B772,$N772),'LAC 103'!$AI:$AQ,9,FALSE),"")</f>
        <v>Costs</v>
      </c>
      <c r="X772" s="1146">
        <f t="shared" si="204"/>
        <v>3.2074101033884355</v>
      </c>
      <c r="Y772" s="1143">
        <f t="shared" si="205"/>
        <v>246.97057796090954</v>
      </c>
      <c r="Z772" s="1147">
        <f t="shared" si="206"/>
        <v>307.23</v>
      </c>
      <c r="AA772" s="1144">
        <f t="shared" si="207"/>
        <v>190.96</v>
      </c>
      <c r="AB772" s="1144">
        <f t="shared" si="208"/>
        <v>0</v>
      </c>
      <c r="AC772" s="1144">
        <f t="shared" si="209"/>
        <v>0</v>
      </c>
      <c r="AD772" s="1148">
        <f t="shared" si="200"/>
        <v>246.97057796090954</v>
      </c>
      <c r="AE772" s="1487">
        <v>0</v>
      </c>
      <c r="AF772" s="1145">
        <f t="shared" si="210"/>
        <v>246.97057796090954</v>
      </c>
      <c r="AG772" s="1149">
        <f>IFERROR(VLOOKUP(CONCATENATE($L772,$N772),'Drop List'!$G$23:$K$87,2,FALSE),0)</f>
        <v>0</v>
      </c>
      <c r="AH772" s="1150">
        <f>IFERROR(VLOOKUP(CONCATENATE($L772,$N772),'Drop List'!$G$23:$K$87,3,FALSE),0)</f>
        <v>0</v>
      </c>
      <c r="AI772" s="1150">
        <f>IFERROR(VLOOKUP(CONCATENATE($L772,$N772),'Drop List'!$G$23:$K$87,4,FALSE),0)</f>
        <v>0</v>
      </c>
      <c r="AJ772" s="1151">
        <f>IFERROR(VLOOKUP(CONCATENATE($L772,$N772),'Drop List'!$G$23:$K$87,5,FALSE),0)</f>
        <v>0</v>
      </c>
      <c r="AK772" s="1152">
        <f t="shared" si="211"/>
        <v>0</v>
      </c>
      <c r="AL772" s="1153">
        <f t="shared" si="212"/>
        <v>0</v>
      </c>
      <c r="AM772" s="1153">
        <f t="shared" si="213"/>
        <v>0</v>
      </c>
      <c r="AN772" s="1145">
        <f t="shared" si="214"/>
        <v>0</v>
      </c>
      <c r="AO772" s="1154">
        <f t="shared" si="215"/>
        <v>0</v>
      </c>
      <c r="AP772" s="1147">
        <f t="shared" si="201"/>
        <v>246.97057796090954</v>
      </c>
      <c r="AQ772" s="1144">
        <f t="shared" si="202"/>
        <v>0</v>
      </c>
      <c r="AR772" s="1146">
        <f t="shared" si="203"/>
        <v>246.97057796090954</v>
      </c>
    </row>
    <row r="773" spans="1:44" x14ac:dyDescent="0.2">
      <c r="A773" s="1141" t="str">
        <f t="shared" si="216"/>
        <v>1542</v>
      </c>
      <c r="B773" s="1141" t="str">
        <f>IFERROR(VLOOKUP(A773,'LAC 103'!A:C,3,FALSE),"")</f>
        <v>OP</v>
      </c>
      <c r="C773" s="1478" t="str">
        <f>Info!$B$8</f>
        <v>00100</v>
      </c>
      <c r="D773" s="1474" t="s">
        <v>256</v>
      </c>
      <c r="E773" s="1474" t="s">
        <v>95</v>
      </c>
      <c r="F773" s="1478" t="s">
        <v>392</v>
      </c>
      <c r="G773" s="1478" t="s">
        <v>392</v>
      </c>
      <c r="H773" s="1474" t="s">
        <v>1658</v>
      </c>
      <c r="I773" s="1478" t="s">
        <v>807</v>
      </c>
      <c r="J773" s="1478"/>
      <c r="K773" s="1475" t="s">
        <v>971</v>
      </c>
      <c r="L773" s="1474" t="s">
        <v>332</v>
      </c>
      <c r="M773" s="1476" t="s">
        <v>842</v>
      </c>
      <c r="N773" s="1477" t="s">
        <v>1692</v>
      </c>
      <c r="O773" s="1479">
        <v>22</v>
      </c>
      <c r="P773" s="1479"/>
      <c r="Q773" s="1142">
        <f t="shared" si="217"/>
        <v>22</v>
      </c>
      <c r="R773" s="1143">
        <f>IFERROR(VLOOKUP(CONCATENATE(E773,G773),'LAC 103'!$A$12:$O$95,11,FALSE),0)</f>
        <v>3.2074101033884355</v>
      </c>
      <c r="S773" s="1144">
        <f>IFERROR(VLOOKUP(CONCATENATE($E773,$G773),'LAC 103'!$A$12:$O$95,12,FALSE),0)</f>
        <v>3.99</v>
      </c>
      <c r="T773" s="1144">
        <f>IFERROR(VLOOKUP(CONCATENATE($E773,$G773),'LAC 103'!$A$12:$O$95,13,FALSE),0)</f>
        <v>2.48</v>
      </c>
      <c r="U773" s="1144">
        <f>IFERROR(VLOOKUP(CONCATENATE($E773,$G773),'LAC 103'!$A$12:$O$95,14,FALSE),0)</f>
        <v>0</v>
      </c>
      <c r="V773" s="1144">
        <f>IFERROR(VLOOKUP(CONCATENATE($E773,$G773),'LAC 103'!$A$12:$O$95,15,FALSE),0)</f>
        <v>0</v>
      </c>
      <c r="W773" s="1145" t="str">
        <f>IFERROR(VLOOKUP(CONCATENATE($B773,$N773),'LAC 103'!$AI:$AQ,9,FALSE),"")</f>
        <v>Costs</v>
      </c>
      <c r="X773" s="1146">
        <f t="shared" si="204"/>
        <v>3.2074101033884355</v>
      </c>
      <c r="Y773" s="1143">
        <f t="shared" si="205"/>
        <v>70.563022274545574</v>
      </c>
      <c r="Z773" s="1147">
        <f t="shared" si="206"/>
        <v>87.78</v>
      </c>
      <c r="AA773" s="1144">
        <f t="shared" si="207"/>
        <v>54.56</v>
      </c>
      <c r="AB773" s="1144">
        <f t="shared" si="208"/>
        <v>0</v>
      </c>
      <c r="AC773" s="1144">
        <f t="shared" si="209"/>
        <v>0</v>
      </c>
      <c r="AD773" s="1148">
        <f t="shared" si="200"/>
        <v>70.563022274545574</v>
      </c>
      <c r="AE773" s="1487">
        <v>0</v>
      </c>
      <c r="AF773" s="1145">
        <f t="shared" si="210"/>
        <v>70.563022274545574</v>
      </c>
      <c r="AG773" s="1149">
        <f>IFERROR(VLOOKUP(CONCATENATE($L773,$N773),'Drop List'!$G$23:$K$87,2,FALSE),0)</f>
        <v>0</v>
      </c>
      <c r="AH773" s="1150">
        <f>IFERROR(VLOOKUP(CONCATENATE($L773,$N773),'Drop List'!$G$23:$K$87,3,FALSE),0)</f>
        <v>0</v>
      </c>
      <c r="AI773" s="1150">
        <f>IFERROR(VLOOKUP(CONCATENATE($L773,$N773),'Drop List'!$G$23:$K$87,4,FALSE),0)</f>
        <v>0</v>
      </c>
      <c r="AJ773" s="1151">
        <f>IFERROR(VLOOKUP(CONCATENATE($L773,$N773),'Drop List'!$G$23:$K$87,5,FALSE),0)</f>
        <v>0</v>
      </c>
      <c r="AK773" s="1152">
        <f t="shared" si="211"/>
        <v>0</v>
      </c>
      <c r="AL773" s="1153">
        <f t="shared" si="212"/>
        <v>0</v>
      </c>
      <c r="AM773" s="1153">
        <f t="shared" si="213"/>
        <v>0</v>
      </c>
      <c r="AN773" s="1145">
        <f t="shared" si="214"/>
        <v>0</v>
      </c>
      <c r="AO773" s="1154">
        <f t="shared" si="215"/>
        <v>0</v>
      </c>
      <c r="AP773" s="1147">
        <f t="shared" si="201"/>
        <v>70.563022274545574</v>
      </c>
      <c r="AQ773" s="1144">
        <f t="shared" si="202"/>
        <v>0</v>
      </c>
      <c r="AR773" s="1146">
        <f t="shared" si="203"/>
        <v>70.563022274545574</v>
      </c>
    </row>
    <row r="774" spans="1:44" x14ac:dyDescent="0.2">
      <c r="A774" s="1141" t="str">
        <f t="shared" si="216"/>
        <v>1542</v>
      </c>
      <c r="B774" s="1141" t="str">
        <f>IFERROR(VLOOKUP(A774,'LAC 103'!A:C,3,FALSE),"")</f>
        <v>OP</v>
      </c>
      <c r="C774" s="1478" t="str">
        <f>Info!$B$8</f>
        <v>00100</v>
      </c>
      <c r="D774" s="1474" t="s">
        <v>256</v>
      </c>
      <c r="E774" s="1474" t="s">
        <v>95</v>
      </c>
      <c r="F774" s="1478" t="s">
        <v>392</v>
      </c>
      <c r="G774" s="1478" t="s">
        <v>392</v>
      </c>
      <c r="H774" s="1474" t="s">
        <v>1658</v>
      </c>
      <c r="I774" s="1478" t="s">
        <v>807</v>
      </c>
      <c r="J774" s="1478"/>
      <c r="K774" s="1475" t="s">
        <v>971</v>
      </c>
      <c r="L774" s="1474" t="s">
        <v>332</v>
      </c>
      <c r="M774" s="1476" t="s">
        <v>1698</v>
      </c>
      <c r="N774" s="1477" t="s">
        <v>1693</v>
      </c>
      <c r="O774" s="1479">
        <v>36</v>
      </c>
      <c r="P774" s="1479"/>
      <c r="Q774" s="1142">
        <f t="shared" si="217"/>
        <v>36</v>
      </c>
      <c r="R774" s="1143">
        <f>IFERROR(VLOOKUP(CONCATENATE(E774,G774),'LAC 103'!$A$12:$O$95,11,FALSE),0)</f>
        <v>3.2074101033884355</v>
      </c>
      <c r="S774" s="1144">
        <f>IFERROR(VLOOKUP(CONCATENATE($E774,$G774),'LAC 103'!$A$12:$O$95,12,FALSE),0)</f>
        <v>3.99</v>
      </c>
      <c r="T774" s="1144">
        <f>IFERROR(VLOOKUP(CONCATENATE($E774,$G774),'LAC 103'!$A$12:$O$95,13,FALSE),0)</f>
        <v>2.48</v>
      </c>
      <c r="U774" s="1144">
        <f>IFERROR(VLOOKUP(CONCATENATE($E774,$G774),'LAC 103'!$A$12:$O$95,14,FALSE),0)</f>
        <v>0</v>
      </c>
      <c r="V774" s="1144">
        <f>IFERROR(VLOOKUP(CONCATENATE($E774,$G774),'LAC 103'!$A$12:$O$95,15,FALSE),0)</f>
        <v>0</v>
      </c>
      <c r="W774" s="1145" t="str">
        <f>IFERROR(VLOOKUP(CONCATENATE($B774,$N774),'LAC 103'!$AI:$AQ,9,FALSE),"")</f>
        <v>Costs</v>
      </c>
      <c r="X774" s="1146">
        <f t="shared" si="204"/>
        <v>3.2074101033884355</v>
      </c>
      <c r="Y774" s="1143">
        <f t="shared" si="205"/>
        <v>115.46676372198368</v>
      </c>
      <c r="Z774" s="1147">
        <f t="shared" si="206"/>
        <v>143.64000000000001</v>
      </c>
      <c r="AA774" s="1144">
        <f t="shared" si="207"/>
        <v>89.28</v>
      </c>
      <c r="AB774" s="1144">
        <f t="shared" si="208"/>
        <v>0</v>
      </c>
      <c r="AC774" s="1144">
        <f t="shared" si="209"/>
        <v>0</v>
      </c>
      <c r="AD774" s="1148">
        <f t="shared" si="200"/>
        <v>115.46676372198368</v>
      </c>
      <c r="AE774" s="1487">
        <v>0</v>
      </c>
      <c r="AF774" s="1145">
        <f t="shared" si="210"/>
        <v>115.46676372198368</v>
      </c>
      <c r="AG774" s="1149">
        <f>IFERROR(VLOOKUP(CONCATENATE($L774,$N774),'Drop List'!$G$23:$K$87,2,FALSE),0)</f>
        <v>0</v>
      </c>
      <c r="AH774" s="1150">
        <f>IFERROR(VLOOKUP(CONCATENATE($L774,$N774),'Drop List'!$G$23:$K$87,3,FALSE),0)</f>
        <v>0</v>
      </c>
      <c r="AI774" s="1150">
        <f>IFERROR(VLOOKUP(CONCATENATE($L774,$N774),'Drop List'!$G$23:$K$87,4,FALSE),0)</f>
        <v>0</v>
      </c>
      <c r="AJ774" s="1151">
        <f>IFERROR(VLOOKUP(CONCATENATE($L774,$N774),'Drop List'!$G$23:$K$87,5,FALSE),0)</f>
        <v>0</v>
      </c>
      <c r="AK774" s="1152">
        <f t="shared" si="211"/>
        <v>0</v>
      </c>
      <c r="AL774" s="1153">
        <f t="shared" si="212"/>
        <v>0</v>
      </c>
      <c r="AM774" s="1153">
        <f t="shared" si="213"/>
        <v>0</v>
      </c>
      <c r="AN774" s="1145">
        <f t="shared" si="214"/>
        <v>0</v>
      </c>
      <c r="AO774" s="1154">
        <f t="shared" si="215"/>
        <v>0</v>
      </c>
      <c r="AP774" s="1147">
        <f t="shared" si="201"/>
        <v>115.46676372198368</v>
      </c>
      <c r="AQ774" s="1144">
        <f t="shared" si="202"/>
        <v>0</v>
      </c>
      <c r="AR774" s="1146">
        <f t="shared" si="203"/>
        <v>115.46676372198368</v>
      </c>
    </row>
    <row r="775" spans="1:44" x14ac:dyDescent="0.2">
      <c r="A775" s="1141" t="str">
        <f t="shared" si="216"/>
        <v>1542</v>
      </c>
      <c r="B775" s="1141" t="str">
        <f>IFERROR(VLOOKUP(A775,'LAC 103'!A:C,3,FALSE),"")</f>
        <v>OP</v>
      </c>
      <c r="C775" s="1478" t="str">
        <f>Info!$B$8</f>
        <v>00100</v>
      </c>
      <c r="D775" s="1474" t="s">
        <v>256</v>
      </c>
      <c r="E775" s="1474" t="s">
        <v>95</v>
      </c>
      <c r="F775" s="1478" t="s">
        <v>392</v>
      </c>
      <c r="G775" s="1478" t="s">
        <v>392</v>
      </c>
      <c r="H775" s="1474" t="s">
        <v>1658</v>
      </c>
      <c r="I775" s="1478" t="s">
        <v>807</v>
      </c>
      <c r="J775" s="1478"/>
      <c r="K775" s="1475" t="s">
        <v>850</v>
      </c>
      <c r="L775" s="1474" t="s">
        <v>330</v>
      </c>
      <c r="M775" s="1476" t="s">
        <v>1699</v>
      </c>
      <c r="N775" s="1477" t="s">
        <v>1694</v>
      </c>
      <c r="O775" s="1479">
        <v>28</v>
      </c>
      <c r="P775" s="1479"/>
      <c r="Q775" s="1142">
        <f t="shared" si="217"/>
        <v>28</v>
      </c>
      <c r="R775" s="1143">
        <f>IFERROR(VLOOKUP(CONCATENATE(E775,G775),'LAC 103'!$A$12:$O$95,11,FALSE),0)</f>
        <v>3.2074101033884355</v>
      </c>
      <c r="S775" s="1144">
        <f>IFERROR(VLOOKUP(CONCATENATE($E775,$G775),'LAC 103'!$A$12:$O$95,12,FALSE),0)</f>
        <v>3.99</v>
      </c>
      <c r="T775" s="1144">
        <f>IFERROR(VLOOKUP(CONCATENATE($E775,$G775),'LAC 103'!$A$12:$O$95,13,FALSE),0)</f>
        <v>2.48</v>
      </c>
      <c r="U775" s="1144">
        <f>IFERROR(VLOOKUP(CONCATENATE($E775,$G775),'LAC 103'!$A$12:$O$95,14,FALSE),0)</f>
        <v>0</v>
      </c>
      <c r="V775" s="1144">
        <f>IFERROR(VLOOKUP(CONCATENATE($E775,$G775),'LAC 103'!$A$12:$O$95,15,FALSE),0)</f>
        <v>0</v>
      </c>
      <c r="W775" s="1145" t="str">
        <f>IFERROR(VLOOKUP(CONCATENATE($B775,$N775),'LAC 103'!$AI:$AQ,9,FALSE),"")</f>
        <v>Costs</v>
      </c>
      <c r="X775" s="1146">
        <f t="shared" si="204"/>
        <v>3.2074101033884355</v>
      </c>
      <c r="Y775" s="1143">
        <f t="shared" si="205"/>
        <v>89.807482894876188</v>
      </c>
      <c r="Z775" s="1147">
        <f t="shared" si="206"/>
        <v>111.72</v>
      </c>
      <c r="AA775" s="1144">
        <f t="shared" si="207"/>
        <v>69.44</v>
      </c>
      <c r="AB775" s="1144">
        <f t="shared" si="208"/>
        <v>0</v>
      </c>
      <c r="AC775" s="1144">
        <f t="shared" si="209"/>
        <v>0</v>
      </c>
      <c r="AD775" s="1148">
        <f t="shared" ref="AD775:AD838" si="218">Q775*X775</f>
        <v>89.807482894876188</v>
      </c>
      <c r="AE775" s="1487">
        <v>0</v>
      </c>
      <c r="AF775" s="1145">
        <f t="shared" si="210"/>
        <v>89.807482894876188</v>
      </c>
      <c r="AG775" s="1149">
        <f>IFERROR(VLOOKUP(CONCATENATE($L775,$N775),'Drop List'!$G$23:$K$87,2,FALSE),0)</f>
        <v>0</v>
      </c>
      <c r="AH775" s="1150">
        <f>IFERROR(VLOOKUP(CONCATENATE($L775,$N775),'Drop List'!$G$23:$K$87,3,FALSE),0)</f>
        <v>0</v>
      </c>
      <c r="AI775" s="1150">
        <f>IFERROR(VLOOKUP(CONCATENATE($L775,$N775),'Drop List'!$G$23:$K$87,4,FALSE),0)</f>
        <v>1</v>
      </c>
      <c r="AJ775" s="1151">
        <f>IFERROR(VLOOKUP(CONCATENATE($L775,$N775),'Drop List'!$G$23:$K$87,5,FALSE),0)</f>
        <v>0</v>
      </c>
      <c r="AK775" s="1152">
        <f t="shared" si="211"/>
        <v>0</v>
      </c>
      <c r="AL775" s="1153">
        <f t="shared" si="212"/>
        <v>0</v>
      </c>
      <c r="AM775" s="1153">
        <f t="shared" si="213"/>
        <v>89.807482894876188</v>
      </c>
      <c r="AN775" s="1145">
        <f t="shared" si="214"/>
        <v>0</v>
      </c>
      <c r="AO775" s="1154">
        <f t="shared" si="215"/>
        <v>89.807482894876188</v>
      </c>
      <c r="AP775" s="1147">
        <f t="shared" ref="AP775:AP838" si="219">IF($L775="14",$AF775,0)</f>
        <v>0</v>
      </c>
      <c r="AQ775" s="1144">
        <f t="shared" ref="AQ775:AQ838" si="220">IF($L775="15",$AF775,0)</f>
        <v>0</v>
      </c>
      <c r="AR775" s="1146">
        <f t="shared" ref="AR775:AR838" si="221">AO775+AP775+AQ775</f>
        <v>89.807482894876188</v>
      </c>
    </row>
    <row r="776" spans="1:44" x14ac:dyDescent="0.2">
      <c r="A776" s="1141" t="str">
        <f t="shared" si="216"/>
        <v>1542</v>
      </c>
      <c r="B776" s="1141" t="str">
        <f>IFERROR(VLOOKUP(A776,'LAC 103'!A:C,3,FALSE),"")</f>
        <v>OP</v>
      </c>
      <c r="C776" s="1478" t="str">
        <f>Info!$B$8</f>
        <v>00100</v>
      </c>
      <c r="D776" s="1474" t="s">
        <v>256</v>
      </c>
      <c r="E776" s="1474" t="s">
        <v>95</v>
      </c>
      <c r="F776" s="1478" t="s">
        <v>392</v>
      </c>
      <c r="G776" s="1478" t="s">
        <v>392</v>
      </c>
      <c r="H776" s="1474" t="s">
        <v>1658</v>
      </c>
      <c r="I776" s="1478" t="s">
        <v>807</v>
      </c>
      <c r="J776" s="1478"/>
      <c r="K776" s="1475" t="s">
        <v>850</v>
      </c>
      <c r="L776" s="1474" t="s">
        <v>330</v>
      </c>
      <c r="M776" s="1476" t="s">
        <v>842</v>
      </c>
      <c r="N776" s="1477" t="s">
        <v>1692</v>
      </c>
      <c r="O776" s="1479">
        <v>840</v>
      </c>
      <c r="P776" s="1479"/>
      <c r="Q776" s="1142">
        <f t="shared" si="217"/>
        <v>840</v>
      </c>
      <c r="R776" s="1143">
        <f>IFERROR(VLOOKUP(CONCATENATE(E776,G776),'LAC 103'!$A$12:$O$95,11,FALSE),0)</f>
        <v>3.2074101033884355</v>
      </c>
      <c r="S776" s="1144">
        <f>IFERROR(VLOOKUP(CONCATENATE($E776,$G776),'LAC 103'!$A$12:$O$95,12,FALSE),0)</f>
        <v>3.99</v>
      </c>
      <c r="T776" s="1144">
        <f>IFERROR(VLOOKUP(CONCATENATE($E776,$G776),'LAC 103'!$A$12:$O$95,13,FALSE),0)</f>
        <v>2.48</v>
      </c>
      <c r="U776" s="1144">
        <f>IFERROR(VLOOKUP(CONCATENATE($E776,$G776),'LAC 103'!$A$12:$O$95,14,FALSE),0)</f>
        <v>0</v>
      </c>
      <c r="V776" s="1144">
        <f>IFERROR(VLOOKUP(CONCATENATE($E776,$G776),'LAC 103'!$A$12:$O$95,15,FALSE),0)</f>
        <v>0</v>
      </c>
      <c r="W776" s="1145" t="str">
        <f>IFERROR(VLOOKUP(CONCATENATE($B776,$N776),'LAC 103'!$AI:$AQ,9,FALSE),"")</f>
        <v>Costs</v>
      </c>
      <c r="X776" s="1146">
        <f t="shared" ref="X776:X839" si="222">IF($W776="Costs",$R776,IF($W776="CMA",$S776,IF($W776="P.C.",$T776,IF($W776="SMA",$U776,$V776))))</f>
        <v>3.2074101033884355</v>
      </c>
      <c r="Y776" s="1143">
        <f>$Q776*R776</f>
        <v>2694.2244868462858</v>
      </c>
      <c r="Z776" s="1147">
        <f t="shared" ref="Z776:Z839" si="223">IF(S776=0,Y776,$Q776*S776)</f>
        <v>3351.6000000000004</v>
      </c>
      <c r="AA776" s="1144">
        <f t="shared" ref="AA776:AA839" si="224">IF(T776=0,Y776,$Q776*T776)</f>
        <v>2083.1999999999998</v>
      </c>
      <c r="AB776" s="1144">
        <f t="shared" ref="AB776:AB839" si="225">$Q776*U776</f>
        <v>0</v>
      </c>
      <c r="AC776" s="1144">
        <f t="shared" ref="AC776:AC839" si="226">$Q776*V776</f>
        <v>0</v>
      </c>
      <c r="AD776" s="1148">
        <f t="shared" si="218"/>
        <v>2694.2244868462858</v>
      </c>
      <c r="AE776" s="1487">
        <v>0</v>
      </c>
      <c r="AF776" s="1145">
        <f t="shared" ref="AF776:AF839" si="227">AD776-AE776</f>
        <v>2694.2244868462858</v>
      </c>
      <c r="AG776" s="1149">
        <f>IFERROR(VLOOKUP(CONCATENATE($L776,$N776),'Drop List'!$G$23:$K$87,2,FALSE),0)</f>
        <v>0</v>
      </c>
      <c r="AH776" s="1150">
        <f>IFERROR(VLOOKUP(CONCATENATE($L776,$N776),'Drop List'!$G$23:$K$87,3,FALSE),0)</f>
        <v>0</v>
      </c>
      <c r="AI776" s="1150">
        <f>IFERROR(VLOOKUP(CONCATENATE($L776,$N776),'Drop List'!$G$23:$K$87,4,FALSE),0)</f>
        <v>1</v>
      </c>
      <c r="AJ776" s="1151">
        <f>IFERROR(VLOOKUP(CONCATENATE($L776,$N776),'Drop List'!$G$23:$K$87,5,FALSE),0)</f>
        <v>0</v>
      </c>
      <c r="AK776" s="1152">
        <f t="shared" ref="AK776:AK839" si="228">IFERROR($AF776*AG776,0)</f>
        <v>0</v>
      </c>
      <c r="AL776" s="1153">
        <f t="shared" ref="AL776:AL839" si="229">IFERROR($AF776*AH776,0)</f>
        <v>0</v>
      </c>
      <c r="AM776" s="1153">
        <f t="shared" ref="AM776:AM839" si="230">IFERROR($AF776*AI776,0)</f>
        <v>2694.2244868462858</v>
      </c>
      <c r="AN776" s="1145">
        <f t="shared" ref="AN776:AN839" si="231">IFERROR($AF776*AJ776,0)</f>
        <v>0</v>
      </c>
      <c r="AO776" s="1154">
        <f t="shared" ref="AO776:AO839" si="232">SUM(AK776:AN776)</f>
        <v>2694.2244868462858</v>
      </c>
      <c r="AP776" s="1147">
        <f t="shared" si="219"/>
        <v>0</v>
      </c>
      <c r="AQ776" s="1144">
        <f t="shared" si="220"/>
        <v>0</v>
      </c>
      <c r="AR776" s="1146">
        <f t="shared" si="221"/>
        <v>2694.2244868462858</v>
      </c>
    </row>
    <row r="777" spans="1:44" x14ac:dyDescent="0.2">
      <c r="A777" s="1141" t="str">
        <f t="shared" si="216"/>
        <v>1542</v>
      </c>
      <c r="B777" s="1141" t="str">
        <f>IFERROR(VLOOKUP(A777,'LAC 103'!A:C,3,FALSE),"")</f>
        <v>OP</v>
      </c>
      <c r="C777" s="1478" t="str">
        <f>Info!$B$8</f>
        <v>00100</v>
      </c>
      <c r="D777" s="1474" t="s">
        <v>256</v>
      </c>
      <c r="E777" s="1474" t="s">
        <v>95</v>
      </c>
      <c r="F777" s="1478" t="s">
        <v>392</v>
      </c>
      <c r="G777" s="1478" t="s">
        <v>392</v>
      </c>
      <c r="H777" s="1474" t="s">
        <v>1658</v>
      </c>
      <c r="I777" s="1478" t="s">
        <v>807</v>
      </c>
      <c r="J777" s="1478"/>
      <c r="K777" s="1475" t="s">
        <v>850</v>
      </c>
      <c r="L777" s="1474" t="s">
        <v>330</v>
      </c>
      <c r="M777" s="1476" t="s">
        <v>1698</v>
      </c>
      <c r="N777" s="1477" t="s">
        <v>1693</v>
      </c>
      <c r="O777" s="1479">
        <v>635</v>
      </c>
      <c r="P777" s="1479"/>
      <c r="Q777" s="1142">
        <f t="shared" si="217"/>
        <v>635</v>
      </c>
      <c r="R777" s="1143">
        <f>IFERROR(VLOOKUP(CONCATENATE(E777,G777),'LAC 103'!$A$12:$O$95,11,FALSE),0)</f>
        <v>3.2074101033884355</v>
      </c>
      <c r="S777" s="1144">
        <f>IFERROR(VLOOKUP(CONCATENATE($E777,$G777),'LAC 103'!$A$12:$O$95,12,FALSE),0)</f>
        <v>3.99</v>
      </c>
      <c r="T777" s="1144">
        <f>IFERROR(VLOOKUP(CONCATENATE($E777,$G777),'LAC 103'!$A$12:$O$95,13,FALSE),0)</f>
        <v>2.48</v>
      </c>
      <c r="U777" s="1144">
        <f>IFERROR(VLOOKUP(CONCATENATE($E777,$G777),'LAC 103'!$A$12:$O$95,14,FALSE),0)</f>
        <v>0</v>
      </c>
      <c r="V777" s="1144">
        <f>IFERROR(VLOOKUP(CONCATENATE($E777,$G777),'LAC 103'!$A$12:$O$95,15,FALSE),0)</f>
        <v>0</v>
      </c>
      <c r="W777" s="1145" t="str">
        <f>IFERROR(VLOOKUP(CONCATENATE($B777,$N777),'LAC 103'!$AI:$AQ,9,FALSE),"")</f>
        <v>Costs</v>
      </c>
      <c r="X777" s="1146">
        <f t="shared" si="222"/>
        <v>3.2074101033884355</v>
      </c>
      <c r="Y777" s="1143">
        <f>$Q777*R777</f>
        <v>2036.7054156516565</v>
      </c>
      <c r="Z777" s="1147">
        <f t="shared" si="223"/>
        <v>2533.65</v>
      </c>
      <c r="AA777" s="1144">
        <f t="shared" si="224"/>
        <v>1574.8</v>
      </c>
      <c r="AB777" s="1144">
        <f t="shared" si="225"/>
        <v>0</v>
      </c>
      <c r="AC777" s="1144">
        <f t="shared" si="226"/>
        <v>0</v>
      </c>
      <c r="AD777" s="1148">
        <f t="shared" si="218"/>
        <v>2036.7054156516565</v>
      </c>
      <c r="AE777" s="1487">
        <v>0</v>
      </c>
      <c r="AF777" s="1145">
        <f t="shared" si="227"/>
        <v>2036.7054156516565</v>
      </c>
      <c r="AG777" s="1149">
        <f>IFERROR(VLOOKUP(CONCATENATE($L777,$N777),'Drop List'!$G$23:$K$87,2,FALSE),0)</f>
        <v>0</v>
      </c>
      <c r="AH777" s="1150">
        <f>IFERROR(VLOOKUP(CONCATENATE($L777,$N777),'Drop List'!$G$23:$K$87,3,FALSE),0)</f>
        <v>0</v>
      </c>
      <c r="AI777" s="1150">
        <f>IFERROR(VLOOKUP(CONCATENATE($L777,$N777),'Drop List'!$G$23:$K$87,4,FALSE),0)</f>
        <v>1</v>
      </c>
      <c r="AJ777" s="1151">
        <f>IFERROR(VLOOKUP(CONCATENATE($L777,$N777),'Drop List'!$G$23:$K$87,5,FALSE),0)</f>
        <v>0</v>
      </c>
      <c r="AK777" s="1152">
        <f t="shared" si="228"/>
        <v>0</v>
      </c>
      <c r="AL777" s="1153">
        <f t="shared" si="229"/>
        <v>0</v>
      </c>
      <c r="AM777" s="1153">
        <f t="shared" si="230"/>
        <v>2036.7054156516565</v>
      </c>
      <c r="AN777" s="1145">
        <f t="shared" si="231"/>
        <v>0</v>
      </c>
      <c r="AO777" s="1154">
        <f t="shared" si="232"/>
        <v>2036.7054156516565</v>
      </c>
      <c r="AP777" s="1147">
        <f t="shared" si="219"/>
        <v>0</v>
      </c>
      <c r="AQ777" s="1144">
        <f t="shared" si="220"/>
        <v>0</v>
      </c>
      <c r="AR777" s="1146">
        <f t="shared" si="221"/>
        <v>2036.7054156516565</v>
      </c>
    </row>
    <row r="778" spans="1:44" x14ac:dyDescent="0.2">
      <c r="A778" s="1141" t="str">
        <f t="shared" si="216"/>
        <v>1542</v>
      </c>
      <c r="B778" s="1141" t="str">
        <f>IFERROR(VLOOKUP(A778,'LAC 103'!A:C,3,FALSE),"")</f>
        <v>OP</v>
      </c>
      <c r="C778" s="1478" t="str">
        <f>Info!$B$8</f>
        <v>00100</v>
      </c>
      <c r="D778" s="1474" t="s">
        <v>256</v>
      </c>
      <c r="E778" s="1474" t="s">
        <v>95</v>
      </c>
      <c r="F778" s="1478" t="s">
        <v>392</v>
      </c>
      <c r="G778" s="1478" t="s">
        <v>392</v>
      </c>
      <c r="H778" s="1474" t="s">
        <v>1658</v>
      </c>
      <c r="I778" s="1478" t="s">
        <v>807</v>
      </c>
      <c r="J778" s="1478"/>
      <c r="K778" s="1475" t="s">
        <v>851</v>
      </c>
      <c r="L778" s="1474" t="s">
        <v>584</v>
      </c>
      <c r="M778" s="1476" t="s">
        <v>1699</v>
      </c>
      <c r="N778" s="1477" t="s">
        <v>1694</v>
      </c>
      <c r="O778" s="1479">
        <v>49156</v>
      </c>
      <c r="P778" s="1479"/>
      <c r="Q778" s="1142">
        <f t="shared" si="217"/>
        <v>49156</v>
      </c>
      <c r="R778" s="1143">
        <f>IFERROR(VLOOKUP(CONCATENATE(E778,G778),'LAC 103'!$A$12:$O$95,11,FALSE),0)</f>
        <v>3.2074101033884355</v>
      </c>
      <c r="S778" s="1144">
        <f>IFERROR(VLOOKUP(CONCATENATE($E778,$G778),'LAC 103'!$A$12:$O$95,12,FALSE),0)</f>
        <v>3.99</v>
      </c>
      <c r="T778" s="1144">
        <f>IFERROR(VLOOKUP(CONCATENATE($E778,$G778),'LAC 103'!$A$12:$O$95,13,FALSE),0)</f>
        <v>2.48</v>
      </c>
      <c r="U778" s="1144">
        <f>IFERROR(VLOOKUP(CONCATENATE($E778,$G778),'LAC 103'!$A$12:$O$95,14,FALSE),0)</f>
        <v>0</v>
      </c>
      <c r="V778" s="1144">
        <f>IFERROR(VLOOKUP(CONCATENATE($E778,$G778),'LAC 103'!$A$12:$O$95,15,FALSE),0)</f>
        <v>0</v>
      </c>
      <c r="W778" s="1145" t="str">
        <f>IFERROR(VLOOKUP(CONCATENATE($B778,$N778),'LAC 103'!$AI:$AQ,9,FALSE),"")</f>
        <v>Costs</v>
      </c>
      <c r="X778" s="1146">
        <f t="shared" si="222"/>
        <v>3.2074101033884355</v>
      </c>
      <c r="Y778" s="1143">
        <f t="shared" ref="Y778:Y841" si="233">$Q778*R778</f>
        <v>157663.45104216193</v>
      </c>
      <c r="Z778" s="1147">
        <f t="shared" si="223"/>
        <v>196132.44</v>
      </c>
      <c r="AA778" s="1144">
        <f t="shared" si="224"/>
        <v>121906.88</v>
      </c>
      <c r="AB778" s="1144">
        <f t="shared" si="225"/>
        <v>0</v>
      </c>
      <c r="AC778" s="1144">
        <f t="shared" si="226"/>
        <v>0</v>
      </c>
      <c r="AD778" s="1148">
        <f t="shared" si="218"/>
        <v>157663.45104216193</v>
      </c>
      <c r="AE778" s="1487">
        <v>0</v>
      </c>
      <c r="AF778" s="1145">
        <f t="shared" si="227"/>
        <v>157663.45104216193</v>
      </c>
      <c r="AG778" s="1149">
        <f>IFERROR(VLOOKUP(CONCATENATE($L778,$N778),'Drop List'!$G$23:$K$87,2,FALSE),0)</f>
        <v>0.56200000000000006</v>
      </c>
      <c r="AH778" s="1150">
        <f>IFERROR(VLOOKUP(CONCATENATE($L778,$N778),'Drop List'!$G$23:$K$87,3,FALSE),0)</f>
        <v>0</v>
      </c>
      <c r="AI778" s="1150">
        <f>IFERROR(VLOOKUP(CONCATENATE($L778,$N778),'Drop List'!$G$23:$K$87,4,FALSE),0)</f>
        <v>0</v>
      </c>
      <c r="AJ778" s="1151">
        <f>IFERROR(VLOOKUP(CONCATENATE($L778,$N778),'Drop List'!$G$23:$K$87,5,FALSE),0)</f>
        <v>0.43799999999999994</v>
      </c>
      <c r="AK778" s="1152">
        <f t="shared" si="228"/>
        <v>88606.859485695022</v>
      </c>
      <c r="AL778" s="1153">
        <f t="shared" si="229"/>
        <v>0</v>
      </c>
      <c r="AM778" s="1153">
        <f t="shared" si="230"/>
        <v>0</v>
      </c>
      <c r="AN778" s="1145">
        <f t="shared" si="231"/>
        <v>69056.591556466912</v>
      </c>
      <c r="AO778" s="1154">
        <f t="shared" si="232"/>
        <v>157663.45104216193</v>
      </c>
      <c r="AP778" s="1147">
        <f t="shared" si="219"/>
        <v>0</v>
      </c>
      <c r="AQ778" s="1144">
        <f t="shared" si="220"/>
        <v>0</v>
      </c>
      <c r="AR778" s="1146">
        <f t="shared" si="221"/>
        <v>157663.45104216193</v>
      </c>
    </row>
    <row r="779" spans="1:44" x14ac:dyDescent="0.2">
      <c r="A779" s="1141" t="str">
        <f t="shared" si="216"/>
        <v>1542</v>
      </c>
      <c r="B779" s="1141" t="str">
        <f>IFERROR(VLOOKUP(A779,'LAC 103'!A:C,3,FALSE),"")</f>
        <v>OP</v>
      </c>
      <c r="C779" s="1478" t="str">
        <f>Info!$B$8</f>
        <v>00100</v>
      </c>
      <c r="D779" s="1474" t="s">
        <v>256</v>
      </c>
      <c r="E779" s="1474" t="s">
        <v>95</v>
      </c>
      <c r="F779" s="1478" t="s">
        <v>392</v>
      </c>
      <c r="G779" s="1478" t="s">
        <v>392</v>
      </c>
      <c r="H779" s="1474" t="s">
        <v>1658</v>
      </c>
      <c r="I779" s="1478" t="s">
        <v>807</v>
      </c>
      <c r="J779" s="1478"/>
      <c r="K779" s="1475" t="s">
        <v>851</v>
      </c>
      <c r="L779" s="1474" t="s">
        <v>584</v>
      </c>
      <c r="M779" s="1476" t="s">
        <v>841</v>
      </c>
      <c r="N779" s="1477" t="s">
        <v>1695</v>
      </c>
      <c r="O779" s="1479">
        <v>27475</v>
      </c>
      <c r="P779" s="1479"/>
      <c r="Q779" s="1142">
        <f t="shared" si="217"/>
        <v>27475</v>
      </c>
      <c r="R779" s="1143">
        <f>IFERROR(VLOOKUP(CONCATENATE(E779,G779),'LAC 103'!$A$12:$O$95,11,FALSE),0)</f>
        <v>3.2074101033884355</v>
      </c>
      <c r="S779" s="1144">
        <f>IFERROR(VLOOKUP(CONCATENATE($E779,$G779),'LAC 103'!$A$12:$O$95,12,FALSE),0)</f>
        <v>3.99</v>
      </c>
      <c r="T779" s="1144">
        <f>IFERROR(VLOOKUP(CONCATENATE($E779,$G779),'LAC 103'!$A$12:$O$95,13,FALSE),0)</f>
        <v>2.48</v>
      </c>
      <c r="U779" s="1144">
        <f>IFERROR(VLOOKUP(CONCATENATE($E779,$G779),'LAC 103'!$A$12:$O$95,14,FALSE),0)</f>
        <v>0</v>
      </c>
      <c r="V779" s="1144">
        <f>IFERROR(VLOOKUP(CONCATENATE($E779,$G779),'LAC 103'!$A$12:$O$95,15,FALSE),0)</f>
        <v>0</v>
      </c>
      <c r="W779" s="1145" t="str">
        <f>IFERROR(VLOOKUP(CONCATENATE($B779,$N779),'LAC 103'!$AI:$AQ,9,FALSE),"")</f>
        <v>Costs</v>
      </c>
      <c r="X779" s="1146">
        <f t="shared" si="222"/>
        <v>3.2074101033884355</v>
      </c>
      <c r="Y779" s="1143">
        <f t="shared" si="233"/>
        <v>88123.592590597269</v>
      </c>
      <c r="Z779" s="1147">
        <f t="shared" si="223"/>
        <v>109625.25</v>
      </c>
      <c r="AA779" s="1144">
        <f t="shared" si="224"/>
        <v>68138</v>
      </c>
      <c r="AB779" s="1144">
        <f t="shared" si="225"/>
        <v>0</v>
      </c>
      <c r="AC779" s="1144">
        <f t="shared" si="226"/>
        <v>0</v>
      </c>
      <c r="AD779" s="1148">
        <f t="shared" si="218"/>
        <v>88123.592590597269</v>
      </c>
      <c r="AE779" s="1487">
        <v>0</v>
      </c>
      <c r="AF779" s="1145">
        <f t="shared" si="227"/>
        <v>88123.592590597269</v>
      </c>
      <c r="AG779" s="1149">
        <f>IFERROR(VLOOKUP(CONCATENATE($L779,$N779),'Drop List'!$G$23:$K$87,2,FALSE),0)</f>
        <v>0.55000000000000004</v>
      </c>
      <c r="AH779" s="1150">
        <f>IFERROR(VLOOKUP(CONCATENATE($L779,$N779),'Drop List'!$G$23:$K$87,3,FALSE),0)</f>
        <v>0</v>
      </c>
      <c r="AI779" s="1150">
        <f>IFERROR(VLOOKUP(CONCATENATE($L779,$N779),'Drop List'!$G$23:$K$87,4,FALSE),0)</f>
        <v>0</v>
      </c>
      <c r="AJ779" s="1151">
        <f>IFERROR(VLOOKUP(CONCATENATE($L779,$N779),'Drop List'!$G$23:$K$87,5,FALSE),0)</f>
        <v>0.44999999999999996</v>
      </c>
      <c r="AK779" s="1152">
        <f t="shared" si="228"/>
        <v>48467.975924828505</v>
      </c>
      <c r="AL779" s="1153">
        <f t="shared" si="229"/>
        <v>0</v>
      </c>
      <c r="AM779" s="1153">
        <f t="shared" si="230"/>
        <v>0</v>
      </c>
      <c r="AN779" s="1145">
        <f t="shared" si="231"/>
        <v>39655.616665768765</v>
      </c>
      <c r="AO779" s="1154">
        <f t="shared" si="232"/>
        <v>88123.592590597269</v>
      </c>
      <c r="AP779" s="1147">
        <f t="shared" si="219"/>
        <v>0</v>
      </c>
      <c r="AQ779" s="1144">
        <f t="shared" si="220"/>
        <v>0</v>
      </c>
      <c r="AR779" s="1146">
        <f t="shared" si="221"/>
        <v>88123.592590597269</v>
      </c>
    </row>
    <row r="780" spans="1:44" x14ac:dyDescent="0.2">
      <c r="A780" s="1141" t="str">
        <f t="shared" si="216"/>
        <v>1542</v>
      </c>
      <c r="B780" s="1141" t="str">
        <f>IFERROR(VLOOKUP(A780,'LAC 103'!A:C,3,FALSE),"")</f>
        <v>OP</v>
      </c>
      <c r="C780" s="1478" t="str">
        <f>Info!$B$8</f>
        <v>00100</v>
      </c>
      <c r="D780" s="1474" t="s">
        <v>256</v>
      </c>
      <c r="E780" s="1474" t="s">
        <v>95</v>
      </c>
      <c r="F780" s="1478" t="s">
        <v>392</v>
      </c>
      <c r="G780" s="1478" t="s">
        <v>392</v>
      </c>
      <c r="H780" s="1474" t="s">
        <v>1658</v>
      </c>
      <c r="I780" s="1478" t="s">
        <v>807</v>
      </c>
      <c r="J780" s="1478"/>
      <c r="K780" s="1475" t="s">
        <v>851</v>
      </c>
      <c r="L780" s="1474" t="s">
        <v>584</v>
      </c>
      <c r="M780" s="1476" t="s">
        <v>840</v>
      </c>
      <c r="N780" s="1477" t="s">
        <v>1700</v>
      </c>
      <c r="O780" s="1479">
        <v>28318</v>
      </c>
      <c r="P780" s="1479"/>
      <c r="Q780" s="1142">
        <f t="shared" si="217"/>
        <v>28318</v>
      </c>
      <c r="R780" s="1143">
        <f>IFERROR(VLOOKUP(CONCATENATE(E780,G780),'LAC 103'!$A$12:$O$95,11,FALSE),0)</f>
        <v>3.2074101033884355</v>
      </c>
      <c r="S780" s="1144">
        <f>IFERROR(VLOOKUP(CONCATENATE($E780,$G780),'LAC 103'!$A$12:$O$95,12,FALSE),0)</f>
        <v>3.99</v>
      </c>
      <c r="T780" s="1144">
        <f>IFERROR(VLOOKUP(CONCATENATE($E780,$G780),'LAC 103'!$A$12:$O$95,13,FALSE),0)</f>
        <v>2.48</v>
      </c>
      <c r="U780" s="1144">
        <f>IFERROR(VLOOKUP(CONCATENATE($E780,$G780),'LAC 103'!$A$12:$O$95,14,FALSE),0)</f>
        <v>0</v>
      </c>
      <c r="V780" s="1144">
        <f>IFERROR(VLOOKUP(CONCATENATE($E780,$G780),'LAC 103'!$A$12:$O$95,15,FALSE),0)</f>
        <v>0</v>
      </c>
      <c r="W780" s="1145" t="str">
        <f>IFERROR(VLOOKUP(CONCATENATE($B780,$N780),'LAC 103'!$AI:$AQ,9,FALSE),"")</f>
        <v>P.C.</v>
      </c>
      <c r="X780" s="1146">
        <f t="shared" si="222"/>
        <v>2.48</v>
      </c>
      <c r="Y780" s="1143">
        <f t="shared" si="233"/>
        <v>90827.43930775371</v>
      </c>
      <c r="Z780" s="1147">
        <f t="shared" si="223"/>
        <v>112988.82</v>
      </c>
      <c r="AA780" s="1144">
        <f t="shared" si="224"/>
        <v>70228.639999999999</v>
      </c>
      <c r="AB780" s="1144">
        <f t="shared" si="225"/>
        <v>0</v>
      </c>
      <c r="AC780" s="1144">
        <f t="shared" si="226"/>
        <v>0</v>
      </c>
      <c r="AD780" s="1148">
        <f t="shared" si="218"/>
        <v>70228.639999999999</v>
      </c>
      <c r="AE780" s="1487">
        <v>0</v>
      </c>
      <c r="AF780" s="1145">
        <f t="shared" si="227"/>
        <v>70228.639999999999</v>
      </c>
      <c r="AG780" s="1149">
        <f>IFERROR(VLOOKUP(CONCATENATE($L780,$N780),'Drop List'!$G$23:$K$87,2,FALSE),0)</f>
        <v>0.55000000000000004</v>
      </c>
      <c r="AH780" s="1150">
        <f>IFERROR(VLOOKUP(CONCATENATE($L780,$N780),'Drop List'!$G$23:$K$87,3,FALSE),0)</f>
        <v>0</v>
      </c>
      <c r="AI780" s="1150">
        <f>IFERROR(VLOOKUP(CONCATENATE($L780,$N780),'Drop List'!$G$23:$K$87,4,FALSE),0)</f>
        <v>0</v>
      </c>
      <c r="AJ780" s="1151">
        <f>IFERROR(VLOOKUP(CONCATENATE($L780,$N780),'Drop List'!$G$23:$K$87,5,FALSE),0)</f>
        <v>0.44999999999999996</v>
      </c>
      <c r="AK780" s="1152">
        <f t="shared" si="228"/>
        <v>38625.752</v>
      </c>
      <c r="AL780" s="1153">
        <f t="shared" si="229"/>
        <v>0</v>
      </c>
      <c r="AM780" s="1153">
        <f t="shared" si="230"/>
        <v>0</v>
      </c>
      <c r="AN780" s="1145">
        <f t="shared" si="231"/>
        <v>31602.887999999995</v>
      </c>
      <c r="AO780" s="1154">
        <f t="shared" si="232"/>
        <v>70228.639999999999</v>
      </c>
      <c r="AP780" s="1147">
        <f t="shared" si="219"/>
        <v>0</v>
      </c>
      <c r="AQ780" s="1144">
        <f t="shared" si="220"/>
        <v>0</v>
      </c>
      <c r="AR780" s="1146">
        <f t="shared" si="221"/>
        <v>70228.639999999999</v>
      </c>
    </row>
    <row r="781" spans="1:44" x14ac:dyDescent="0.2">
      <c r="A781" s="1141" t="str">
        <f t="shared" si="216"/>
        <v>1542</v>
      </c>
      <c r="B781" s="1141" t="str">
        <f>IFERROR(VLOOKUP(A781,'LAC 103'!A:C,3,FALSE),"")</f>
        <v>OP</v>
      </c>
      <c r="C781" s="1478" t="str">
        <f>Info!$B$8</f>
        <v>00100</v>
      </c>
      <c r="D781" s="1474" t="s">
        <v>256</v>
      </c>
      <c r="E781" s="1474" t="s">
        <v>95</v>
      </c>
      <c r="F781" s="1478" t="s">
        <v>392</v>
      </c>
      <c r="G781" s="1478" t="s">
        <v>392</v>
      </c>
      <c r="H781" s="1474" t="s">
        <v>1658</v>
      </c>
      <c r="I781" s="1478" t="s">
        <v>807</v>
      </c>
      <c r="J781" s="1478"/>
      <c r="K781" s="1475" t="s">
        <v>851</v>
      </c>
      <c r="L781" s="1474" t="s">
        <v>584</v>
      </c>
      <c r="M781" s="1476" t="s">
        <v>842</v>
      </c>
      <c r="N781" s="1477" t="s">
        <v>1692</v>
      </c>
      <c r="O781" s="1479">
        <v>63449</v>
      </c>
      <c r="P781" s="1479"/>
      <c r="Q781" s="1142">
        <f t="shared" si="217"/>
        <v>63449</v>
      </c>
      <c r="R781" s="1143">
        <f>IFERROR(VLOOKUP(CONCATENATE(E781,G781),'LAC 103'!$A$12:$O$95,11,FALSE),0)</f>
        <v>3.2074101033884355</v>
      </c>
      <c r="S781" s="1144">
        <f>IFERROR(VLOOKUP(CONCATENATE($E781,$G781),'LAC 103'!$A$12:$O$95,12,FALSE),0)</f>
        <v>3.99</v>
      </c>
      <c r="T781" s="1144">
        <f>IFERROR(VLOOKUP(CONCATENATE($E781,$G781),'LAC 103'!$A$12:$O$95,13,FALSE),0)</f>
        <v>2.48</v>
      </c>
      <c r="U781" s="1144">
        <f>IFERROR(VLOOKUP(CONCATENATE($E781,$G781),'LAC 103'!$A$12:$O$95,14,FALSE),0)</f>
        <v>0</v>
      </c>
      <c r="V781" s="1144">
        <f>IFERROR(VLOOKUP(CONCATENATE($E781,$G781),'LAC 103'!$A$12:$O$95,15,FALSE),0)</f>
        <v>0</v>
      </c>
      <c r="W781" s="1145" t="str">
        <f>IFERROR(VLOOKUP(CONCATENATE($B781,$N781),'LAC 103'!$AI:$AQ,9,FALSE),"")</f>
        <v>Costs</v>
      </c>
      <c r="X781" s="1146">
        <f t="shared" si="222"/>
        <v>3.2074101033884355</v>
      </c>
      <c r="Y781" s="1143">
        <f t="shared" si="233"/>
        <v>203506.96364989283</v>
      </c>
      <c r="Z781" s="1147">
        <f t="shared" si="223"/>
        <v>253161.51</v>
      </c>
      <c r="AA781" s="1144">
        <f t="shared" si="224"/>
        <v>157353.51999999999</v>
      </c>
      <c r="AB781" s="1144">
        <f t="shared" si="225"/>
        <v>0</v>
      </c>
      <c r="AC781" s="1144">
        <f t="shared" si="226"/>
        <v>0</v>
      </c>
      <c r="AD781" s="1148">
        <f t="shared" si="218"/>
        <v>203506.96364989283</v>
      </c>
      <c r="AE781" s="1487">
        <v>0</v>
      </c>
      <c r="AF781" s="1145">
        <f t="shared" si="227"/>
        <v>203506.96364989283</v>
      </c>
      <c r="AG781" s="1149">
        <f>IFERROR(VLOOKUP(CONCATENATE($L781,$N781),'Drop List'!$G$23:$K$87,2,FALSE),0)</f>
        <v>0.56200000000000006</v>
      </c>
      <c r="AH781" s="1150">
        <f>IFERROR(VLOOKUP(CONCATENATE($L781,$N781),'Drop List'!$G$23:$K$87,3,FALSE),0)</f>
        <v>0</v>
      </c>
      <c r="AI781" s="1150">
        <f>IFERROR(VLOOKUP(CONCATENATE($L781,$N781),'Drop List'!$G$23:$K$87,4,FALSE),0)</f>
        <v>0</v>
      </c>
      <c r="AJ781" s="1151">
        <f>IFERROR(VLOOKUP(CONCATENATE($L781,$N781),'Drop List'!$G$23:$K$87,5,FALSE),0)</f>
        <v>0.43799999999999994</v>
      </c>
      <c r="AK781" s="1152">
        <f t="shared" si="228"/>
        <v>114370.91357123978</v>
      </c>
      <c r="AL781" s="1153">
        <f t="shared" si="229"/>
        <v>0</v>
      </c>
      <c r="AM781" s="1153">
        <f t="shared" si="230"/>
        <v>0</v>
      </c>
      <c r="AN781" s="1145">
        <f t="shared" si="231"/>
        <v>89136.050078653047</v>
      </c>
      <c r="AO781" s="1154">
        <f t="shared" si="232"/>
        <v>203506.96364989283</v>
      </c>
      <c r="AP781" s="1147">
        <f t="shared" si="219"/>
        <v>0</v>
      </c>
      <c r="AQ781" s="1144">
        <f t="shared" si="220"/>
        <v>0</v>
      </c>
      <c r="AR781" s="1146">
        <f t="shared" si="221"/>
        <v>203506.96364989283</v>
      </c>
    </row>
    <row r="782" spans="1:44" x14ac:dyDescent="0.2">
      <c r="A782" s="1141" t="str">
        <f t="shared" si="216"/>
        <v>1542</v>
      </c>
      <c r="B782" s="1141" t="str">
        <f>IFERROR(VLOOKUP(A782,'LAC 103'!A:C,3,FALSE),"")</f>
        <v>OP</v>
      </c>
      <c r="C782" s="1478" t="str">
        <f>Info!$B$8</f>
        <v>00100</v>
      </c>
      <c r="D782" s="1474" t="s">
        <v>256</v>
      </c>
      <c r="E782" s="1474" t="s">
        <v>95</v>
      </c>
      <c r="F782" s="1478" t="s">
        <v>392</v>
      </c>
      <c r="G782" s="1478" t="s">
        <v>392</v>
      </c>
      <c r="H782" s="1474" t="s">
        <v>1658</v>
      </c>
      <c r="I782" s="1478" t="s">
        <v>807</v>
      </c>
      <c r="J782" s="1478"/>
      <c r="K782" s="1475" t="s">
        <v>851</v>
      </c>
      <c r="L782" s="1474" t="s">
        <v>584</v>
      </c>
      <c r="M782" s="1476" t="s">
        <v>1698</v>
      </c>
      <c r="N782" s="1477" t="s">
        <v>1693</v>
      </c>
      <c r="O782" s="1479">
        <v>62960</v>
      </c>
      <c r="P782" s="1479"/>
      <c r="Q782" s="1142">
        <f t="shared" si="217"/>
        <v>62960</v>
      </c>
      <c r="R782" s="1143">
        <f>IFERROR(VLOOKUP(CONCATENATE(E782,G782),'LAC 103'!$A$12:$O$95,11,FALSE),0)</f>
        <v>3.2074101033884355</v>
      </c>
      <c r="S782" s="1144">
        <f>IFERROR(VLOOKUP(CONCATENATE($E782,$G782),'LAC 103'!$A$12:$O$95,12,FALSE),0)</f>
        <v>3.99</v>
      </c>
      <c r="T782" s="1144">
        <f>IFERROR(VLOOKUP(CONCATENATE($E782,$G782),'LAC 103'!$A$12:$O$95,13,FALSE),0)</f>
        <v>2.48</v>
      </c>
      <c r="U782" s="1144">
        <f>IFERROR(VLOOKUP(CONCATENATE($E782,$G782),'LAC 103'!$A$12:$O$95,14,FALSE),0)</f>
        <v>0</v>
      </c>
      <c r="V782" s="1144">
        <f>IFERROR(VLOOKUP(CONCATENATE($E782,$G782),'LAC 103'!$A$12:$O$95,15,FALSE),0)</f>
        <v>0</v>
      </c>
      <c r="W782" s="1145" t="str">
        <f>IFERROR(VLOOKUP(CONCATENATE($B782,$N782),'LAC 103'!$AI:$AQ,9,FALSE),"")</f>
        <v>Costs</v>
      </c>
      <c r="X782" s="1146">
        <f t="shared" si="222"/>
        <v>3.2074101033884355</v>
      </c>
      <c r="Y782" s="1143">
        <f t="shared" si="233"/>
        <v>201938.54010933591</v>
      </c>
      <c r="Z782" s="1147">
        <f t="shared" si="223"/>
        <v>251210.40000000002</v>
      </c>
      <c r="AA782" s="1144">
        <f t="shared" si="224"/>
        <v>156140.79999999999</v>
      </c>
      <c r="AB782" s="1144">
        <f t="shared" si="225"/>
        <v>0</v>
      </c>
      <c r="AC782" s="1144">
        <f t="shared" si="226"/>
        <v>0</v>
      </c>
      <c r="AD782" s="1148">
        <f t="shared" si="218"/>
        <v>201938.54010933591</v>
      </c>
      <c r="AE782" s="1487">
        <v>0</v>
      </c>
      <c r="AF782" s="1145">
        <f t="shared" si="227"/>
        <v>201938.54010933591</v>
      </c>
      <c r="AG782" s="1149">
        <f>IFERROR(VLOOKUP(CONCATENATE($L782,$N782),'Drop List'!$G$23:$K$87,2,FALSE),0)</f>
        <v>0.56200000000000006</v>
      </c>
      <c r="AH782" s="1150">
        <f>IFERROR(VLOOKUP(CONCATENATE($L782,$N782),'Drop List'!$G$23:$K$87,3,FALSE),0)</f>
        <v>0</v>
      </c>
      <c r="AI782" s="1150">
        <f>IFERROR(VLOOKUP(CONCATENATE($L782,$N782),'Drop List'!$G$23:$K$87,4,FALSE),0)</f>
        <v>0</v>
      </c>
      <c r="AJ782" s="1151">
        <f>IFERROR(VLOOKUP(CONCATENATE($L782,$N782),'Drop List'!$G$23:$K$87,5,FALSE),0)</f>
        <v>0.43799999999999994</v>
      </c>
      <c r="AK782" s="1152">
        <f t="shared" si="228"/>
        <v>113489.45954144679</v>
      </c>
      <c r="AL782" s="1153">
        <f t="shared" si="229"/>
        <v>0</v>
      </c>
      <c r="AM782" s="1153">
        <f t="shared" si="230"/>
        <v>0</v>
      </c>
      <c r="AN782" s="1145">
        <f t="shared" si="231"/>
        <v>88449.080567889119</v>
      </c>
      <c r="AO782" s="1154">
        <f t="shared" si="232"/>
        <v>201938.54010933591</v>
      </c>
      <c r="AP782" s="1147">
        <f t="shared" si="219"/>
        <v>0</v>
      </c>
      <c r="AQ782" s="1144">
        <f t="shared" si="220"/>
        <v>0</v>
      </c>
      <c r="AR782" s="1146">
        <f t="shared" si="221"/>
        <v>201938.54010933591</v>
      </c>
    </row>
    <row r="783" spans="1:44" x14ac:dyDescent="0.2">
      <c r="A783" s="1141" t="str">
        <f t="shared" si="216"/>
        <v>1542</v>
      </c>
      <c r="B783" s="1141" t="str">
        <f>IFERROR(VLOOKUP(A783,'LAC 103'!A:C,3,FALSE),"")</f>
        <v>OP</v>
      </c>
      <c r="C783" s="1478" t="str">
        <f>Info!$B$8</f>
        <v>00100</v>
      </c>
      <c r="D783" s="1474" t="s">
        <v>256</v>
      </c>
      <c r="E783" s="1474" t="s">
        <v>95</v>
      </c>
      <c r="F783" s="1478" t="s">
        <v>392</v>
      </c>
      <c r="G783" s="1478" t="s">
        <v>392</v>
      </c>
      <c r="H783" s="1474" t="s">
        <v>988</v>
      </c>
      <c r="I783" s="1478" t="s">
        <v>811</v>
      </c>
      <c r="J783" s="1478" t="s">
        <v>123</v>
      </c>
      <c r="K783" s="1475" t="s">
        <v>1654</v>
      </c>
      <c r="L783" s="1474" t="s">
        <v>332</v>
      </c>
      <c r="M783" s="1476" t="s">
        <v>1699</v>
      </c>
      <c r="N783" s="1477" t="s">
        <v>1694</v>
      </c>
      <c r="O783" s="1479">
        <v>2162</v>
      </c>
      <c r="P783" s="1479"/>
      <c r="Q783" s="1142">
        <f t="shared" si="217"/>
        <v>2162</v>
      </c>
      <c r="R783" s="1143">
        <f>IFERROR(VLOOKUP(CONCATENATE(E783,G783),'LAC 103'!$A$12:$O$95,11,FALSE),0)</f>
        <v>3.2074101033884355</v>
      </c>
      <c r="S783" s="1144">
        <f>IFERROR(VLOOKUP(CONCATENATE($E783,$G783),'LAC 103'!$A$12:$O$95,12,FALSE),0)</f>
        <v>3.99</v>
      </c>
      <c r="T783" s="1144">
        <f>IFERROR(VLOOKUP(CONCATENATE($E783,$G783),'LAC 103'!$A$12:$O$95,13,FALSE),0)</f>
        <v>2.48</v>
      </c>
      <c r="U783" s="1144">
        <f>IFERROR(VLOOKUP(CONCATENATE($E783,$G783),'LAC 103'!$A$12:$O$95,14,FALSE),0)</f>
        <v>0</v>
      </c>
      <c r="V783" s="1144">
        <f>IFERROR(VLOOKUP(CONCATENATE($E783,$G783),'LAC 103'!$A$12:$O$95,15,FALSE),0)</f>
        <v>0</v>
      </c>
      <c r="W783" s="1145" t="str">
        <f>IFERROR(VLOOKUP(CONCATENATE($B783,$N783),'LAC 103'!$AI:$AQ,9,FALSE),"")</f>
        <v>Costs</v>
      </c>
      <c r="X783" s="1146">
        <f t="shared" si="222"/>
        <v>3.2074101033884355</v>
      </c>
      <c r="Y783" s="1143">
        <f t="shared" si="233"/>
        <v>6934.4206435257975</v>
      </c>
      <c r="Z783" s="1147">
        <f t="shared" si="223"/>
        <v>8626.380000000001</v>
      </c>
      <c r="AA783" s="1144">
        <f t="shared" si="224"/>
        <v>5361.76</v>
      </c>
      <c r="AB783" s="1144">
        <f t="shared" si="225"/>
        <v>0</v>
      </c>
      <c r="AC783" s="1144">
        <f t="shared" si="226"/>
        <v>0</v>
      </c>
      <c r="AD783" s="1148">
        <f t="shared" si="218"/>
        <v>6934.4206435257975</v>
      </c>
      <c r="AE783" s="1487">
        <v>0</v>
      </c>
      <c r="AF783" s="1145">
        <f t="shared" si="227"/>
        <v>6934.4206435257975</v>
      </c>
      <c r="AG783" s="1149">
        <f>IFERROR(VLOOKUP(CONCATENATE($L783,$N783),'Drop List'!$G$23:$K$87,2,FALSE),0)</f>
        <v>0</v>
      </c>
      <c r="AH783" s="1150">
        <f>IFERROR(VLOOKUP(CONCATENATE($L783,$N783),'Drop List'!$G$23:$K$87,3,FALSE),0)</f>
        <v>0</v>
      </c>
      <c r="AI783" s="1150">
        <f>IFERROR(VLOOKUP(CONCATENATE($L783,$N783),'Drop List'!$G$23:$K$87,4,FALSE),0)</f>
        <v>0</v>
      </c>
      <c r="AJ783" s="1151">
        <f>IFERROR(VLOOKUP(CONCATENATE($L783,$N783),'Drop List'!$G$23:$K$87,5,FALSE),0)</f>
        <v>0</v>
      </c>
      <c r="AK783" s="1152">
        <f t="shared" si="228"/>
        <v>0</v>
      </c>
      <c r="AL783" s="1153">
        <f t="shared" si="229"/>
        <v>0</v>
      </c>
      <c r="AM783" s="1153">
        <f t="shared" si="230"/>
        <v>0</v>
      </c>
      <c r="AN783" s="1145">
        <f t="shared" si="231"/>
        <v>0</v>
      </c>
      <c r="AO783" s="1154">
        <f t="shared" si="232"/>
        <v>0</v>
      </c>
      <c r="AP783" s="1147">
        <f t="shared" si="219"/>
        <v>6934.4206435257975</v>
      </c>
      <c r="AQ783" s="1144">
        <f t="shared" si="220"/>
        <v>0</v>
      </c>
      <c r="AR783" s="1146">
        <f t="shared" si="221"/>
        <v>6934.4206435257975</v>
      </c>
    </row>
    <row r="784" spans="1:44" x14ac:dyDescent="0.2">
      <c r="A784" s="1141" t="str">
        <f t="shared" si="216"/>
        <v>1542</v>
      </c>
      <c r="B784" s="1141" t="str">
        <f>IFERROR(VLOOKUP(A784,'LAC 103'!A:C,3,FALSE),"")</f>
        <v>OP</v>
      </c>
      <c r="C784" s="1478" t="str">
        <f>Info!$B$8</f>
        <v>00100</v>
      </c>
      <c r="D784" s="1474" t="s">
        <v>256</v>
      </c>
      <c r="E784" s="1474" t="s">
        <v>95</v>
      </c>
      <c r="F784" s="1478" t="s">
        <v>392</v>
      </c>
      <c r="G784" s="1478" t="s">
        <v>392</v>
      </c>
      <c r="H784" s="1474" t="s">
        <v>988</v>
      </c>
      <c r="I784" s="1478" t="s">
        <v>811</v>
      </c>
      <c r="J784" s="1478"/>
      <c r="K784" s="1475" t="s">
        <v>1654</v>
      </c>
      <c r="L784" s="1474" t="s">
        <v>332</v>
      </c>
      <c r="M784" s="1476" t="s">
        <v>841</v>
      </c>
      <c r="N784" s="1477" t="s">
        <v>1695</v>
      </c>
      <c r="O784" s="1479">
        <v>2745</v>
      </c>
      <c r="P784" s="1479"/>
      <c r="Q784" s="1142">
        <f t="shared" si="217"/>
        <v>2745</v>
      </c>
      <c r="R784" s="1143">
        <f>IFERROR(VLOOKUP(CONCATENATE(E784,G784),'LAC 103'!$A$12:$O$95,11,FALSE),0)</f>
        <v>3.2074101033884355</v>
      </c>
      <c r="S784" s="1144">
        <f>IFERROR(VLOOKUP(CONCATENATE($E784,$G784),'LAC 103'!$A$12:$O$95,12,FALSE),0)</f>
        <v>3.99</v>
      </c>
      <c r="T784" s="1144">
        <f>IFERROR(VLOOKUP(CONCATENATE($E784,$G784),'LAC 103'!$A$12:$O$95,13,FALSE),0)</f>
        <v>2.48</v>
      </c>
      <c r="U784" s="1144">
        <f>IFERROR(VLOOKUP(CONCATENATE($E784,$G784),'LAC 103'!$A$12:$O$95,14,FALSE),0)</f>
        <v>0</v>
      </c>
      <c r="V784" s="1144">
        <f>IFERROR(VLOOKUP(CONCATENATE($E784,$G784),'LAC 103'!$A$12:$O$95,15,FALSE),0)</f>
        <v>0</v>
      </c>
      <c r="W784" s="1145" t="str">
        <f>IFERROR(VLOOKUP(CONCATENATE($B784,$N784),'LAC 103'!$AI:$AQ,9,FALSE),"")</f>
        <v>Costs</v>
      </c>
      <c r="X784" s="1146">
        <f t="shared" si="222"/>
        <v>3.2074101033884355</v>
      </c>
      <c r="Y784" s="1143">
        <f t="shared" si="233"/>
        <v>8804.3407338012548</v>
      </c>
      <c r="Z784" s="1147">
        <f t="shared" si="223"/>
        <v>10952.550000000001</v>
      </c>
      <c r="AA784" s="1144">
        <f t="shared" si="224"/>
        <v>6807.6</v>
      </c>
      <c r="AB784" s="1144">
        <f t="shared" si="225"/>
        <v>0</v>
      </c>
      <c r="AC784" s="1144">
        <f t="shared" si="226"/>
        <v>0</v>
      </c>
      <c r="AD784" s="1148">
        <f t="shared" si="218"/>
        <v>8804.3407338012548</v>
      </c>
      <c r="AE784" s="1487">
        <v>0</v>
      </c>
      <c r="AF784" s="1145">
        <f t="shared" si="227"/>
        <v>8804.3407338012548</v>
      </c>
      <c r="AG784" s="1149">
        <f>IFERROR(VLOOKUP(CONCATENATE($L784,$N784),'Drop List'!$G$23:$K$87,2,FALSE),0)</f>
        <v>0</v>
      </c>
      <c r="AH784" s="1150">
        <f>IFERROR(VLOOKUP(CONCATENATE($L784,$N784),'Drop List'!$G$23:$K$87,3,FALSE),0)</f>
        <v>0</v>
      </c>
      <c r="AI784" s="1150">
        <f>IFERROR(VLOOKUP(CONCATENATE($L784,$N784),'Drop List'!$G$23:$K$87,4,FALSE),0)</f>
        <v>0</v>
      </c>
      <c r="AJ784" s="1151">
        <f>IFERROR(VLOOKUP(CONCATENATE($L784,$N784),'Drop List'!$G$23:$K$87,5,FALSE),0)</f>
        <v>0</v>
      </c>
      <c r="AK784" s="1152">
        <f t="shared" si="228"/>
        <v>0</v>
      </c>
      <c r="AL784" s="1153">
        <f t="shared" si="229"/>
        <v>0</v>
      </c>
      <c r="AM784" s="1153">
        <f t="shared" si="230"/>
        <v>0</v>
      </c>
      <c r="AN784" s="1145">
        <f t="shared" si="231"/>
        <v>0</v>
      </c>
      <c r="AO784" s="1154">
        <f t="shared" si="232"/>
        <v>0</v>
      </c>
      <c r="AP784" s="1147">
        <f t="shared" si="219"/>
        <v>8804.3407338012548</v>
      </c>
      <c r="AQ784" s="1144">
        <f t="shared" si="220"/>
        <v>0</v>
      </c>
      <c r="AR784" s="1146">
        <f t="shared" si="221"/>
        <v>8804.3407338012548</v>
      </c>
    </row>
    <row r="785" spans="1:44" x14ac:dyDescent="0.2">
      <c r="A785" s="1141" t="str">
        <f t="shared" si="216"/>
        <v>1542</v>
      </c>
      <c r="B785" s="1141" t="str">
        <f>IFERROR(VLOOKUP(A785,'LAC 103'!A:C,3,FALSE),"")</f>
        <v>OP</v>
      </c>
      <c r="C785" s="1478" t="str">
        <f>Info!$B$8</f>
        <v>00100</v>
      </c>
      <c r="D785" s="1474" t="s">
        <v>256</v>
      </c>
      <c r="E785" s="1474" t="s">
        <v>95</v>
      </c>
      <c r="F785" s="1478" t="s">
        <v>392</v>
      </c>
      <c r="G785" s="1478" t="s">
        <v>392</v>
      </c>
      <c r="H785" s="1474" t="s">
        <v>988</v>
      </c>
      <c r="I785" s="1478" t="s">
        <v>811</v>
      </c>
      <c r="J785" s="1478"/>
      <c r="K785" s="1475" t="s">
        <v>1654</v>
      </c>
      <c r="L785" s="1474" t="s">
        <v>332</v>
      </c>
      <c r="M785" s="1476" t="s">
        <v>840</v>
      </c>
      <c r="N785" s="1477" t="s">
        <v>1700</v>
      </c>
      <c r="O785" s="1479">
        <v>1177</v>
      </c>
      <c r="P785" s="1479"/>
      <c r="Q785" s="1142">
        <f t="shared" si="217"/>
        <v>1177</v>
      </c>
      <c r="R785" s="1143">
        <f>IFERROR(VLOOKUP(CONCATENATE(E785,G785),'LAC 103'!$A$12:$O$95,11,FALSE),0)</f>
        <v>3.2074101033884355</v>
      </c>
      <c r="S785" s="1144">
        <f>IFERROR(VLOOKUP(CONCATENATE($E785,$G785),'LAC 103'!$A$12:$O$95,12,FALSE),0)</f>
        <v>3.99</v>
      </c>
      <c r="T785" s="1144">
        <f>IFERROR(VLOOKUP(CONCATENATE($E785,$G785),'LAC 103'!$A$12:$O$95,13,FALSE),0)</f>
        <v>2.48</v>
      </c>
      <c r="U785" s="1144">
        <f>IFERROR(VLOOKUP(CONCATENATE($E785,$G785),'LAC 103'!$A$12:$O$95,14,FALSE),0)</f>
        <v>0</v>
      </c>
      <c r="V785" s="1144">
        <f>IFERROR(VLOOKUP(CONCATENATE($E785,$G785),'LAC 103'!$A$12:$O$95,15,FALSE),0)</f>
        <v>0</v>
      </c>
      <c r="W785" s="1145" t="str">
        <f>IFERROR(VLOOKUP(CONCATENATE($B785,$N785),'LAC 103'!$AI:$AQ,9,FALSE),"")</f>
        <v>P.C.</v>
      </c>
      <c r="X785" s="1146">
        <f t="shared" si="222"/>
        <v>2.48</v>
      </c>
      <c r="Y785" s="1143">
        <f t="shared" si="233"/>
        <v>3775.1216916881885</v>
      </c>
      <c r="Z785" s="1147">
        <f t="shared" si="223"/>
        <v>4696.2300000000005</v>
      </c>
      <c r="AA785" s="1144">
        <f t="shared" si="224"/>
        <v>2918.96</v>
      </c>
      <c r="AB785" s="1144">
        <f t="shared" si="225"/>
        <v>0</v>
      </c>
      <c r="AC785" s="1144">
        <f t="shared" si="226"/>
        <v>0</v>
      </c>
      <c r="AD785" s="1148">
        <f t="shared" si="218"/>
        <v>2918.96</v>
      </c>
      <c r="AE785" s="1487">
        <v>0</v>
      </c>
      <c r="AF785" s="1145">
        <f t="shared" si="227"/>
        <v>2918.96</v>
      </c>
      <c r="AG785" s="1149">
        <f>IFERROR(VLOOKUP(CONCATENATE($L785,$N785),'Drop List'!$G$23:$K$87,2,FALSE),0)</f>
        <v>0</v>
      </c>
      <c r="AH785" s="1150">
        <f>IFERROR(VLOOKUP(CONCATENATE($L785,$N785),'Drop List'!$G$23:$K$87,3,FALSE),0)</f>
        <v>0</v>
      </c>
      <c r="AI785" s="1150">
        <f>IFERROR(VLOOKUP(CONCATENATE($L785,$N785),'Drop List'!$G$23:$K$87,4,FALSE),0)</f>
        <v>0</v>
      </c>
      <c r="AJ785" s="1151">
        <f>IFERROR(VLOOKUP(CONCATENATE($L785,$N785),'Drop List'!$G$23:$K$87,5,FALSE),0)</f>
        <v>0</v>
      </c>
      <c r="AK785" s="1152">
        <f t="shared" si="228"/>
        <v>0</v>
      </c>
      <c r="AL785" s="1153">
        <f t="shared" si="229"/>
        <v>0</v>
      </c>
      <c r="AM785" s="1153">
        <f t="shared" si="230"/>
        <v>0</v>
      </c>
      <c r="AN785" s="1145">
        <f t="shared" si="231"/>
        <v>0</v>
      </c>
      <c r="AO785" s="1154">
        <f t="shared" si="232"/>
        <v>0</v>
      </c>
      <c r="AP785" s="1147">
        <f t="shared" si="219"/>
        <v>2918.96</v>
      </c>
      <c r="AQ785" s="1144">
        <f t="shared" si="220"/>
        <v>0</v>
      </c>
      <c r="AR785" s="1146">
        <f t="shared" si="221"/>
        <v>2918.96</v>
      </c>
    </row>
    <row r="786" spans="1:44" x14ac:dyDescent="0.2">
      <c r="A786" s="1141" t="str">
        <f t="shared" si="216"/>
        <v>1542</v>
      </c>
      <c r="B786" s="1141" t="str">
        <f>IFERROR(VLOOKUP(A786,'LAC 103'!A:C,3,FALSE),"")</f>
        <v>OP</v>
      </c>
      <c r="C786" s="1478" t="str">
        <f>Info!$B$8</f>
        <v>00100</v>
      </c>
      <c r="D786" s="1474" t="s">
        <v>256</v>
      </c>
      <c r="E786" s="1474" t="s">
        <v>95</v>
      </c>
      <c r="F786" s="1478" t="s">
        <v>392</v>
      </c>
      <c r="G786" s="1478" t="s">
        <v>392</v>
      </c>
      <c r="H786" s="1474" t="s">
        <v>988</v>
      </c>
      <c r="I786" s="1478" t="s">
        <v>811</v>
      </c>
      <c r="J786" s="1478"/>
      <c r="K786" s="1475" t="s">
        <v>1654</v>
      </c>
      <c r="L786" s="1474" t="s">
        <v>332</v>
      </c>
      <c r="M786" s="1476" t="s">
        <v>842</v>
      </c>
      <c r="N786" s="1477" t="s">
        <v>1692</v>
      </c>
      <c r="O786" s="1479">
        <v>2726</v>
      </c>
      <c r="P786" s="1479"/>
      <c r="Q786" s="1142">
        <f t="shared" si="217"/>
        <v>2726</v>
      </c>
      <c r="R786" s="1143">
        <f>IFERROR(VLOOKUP(CONCATENATE(E786,G786),'LAC 103'!$A$12:$O$95,11,FALSE),0)</f>
        <v>3.2074101033884355</v>
      </c>
      <c r="S786" s="1144">
        <f>IFERROR(VLOOKUP(CONCATENATE($E786,$G786),'LAC 103'!$A$12:$O$95,12,FALSE),0)</f>
        <v>3.99</v>
      </c>
      <c r="T786" s="1144">
        <f>IFERROR(VLOOKUP(CONCATENATE($E786,$G786),'LAC 103'!$A$12:$O$95,13,FALSE),0)</f>
        <v>2.48</v>
      </c>
      <c r="U786" s="1144">
        <f>IFERROR(VLOOKUP(CONCATENATE($E786,$G786),'LAC 103'!$A$12:$O$95,14,FALSE),0)</f>
        <v>0</v>
      </c>
      <c r="V786" s="1144">
        <f>IFERROR(VLOOKUP(CONCATENATE($E786,$G786),'LAC 103'!$A$12:$O$95,15,FALSE),0)</f>
        <v>0</v>
      </c>
      <c r="W786" s="1145" t="str">
        <f>IFERROR(VLOOKUP(CONCATENATE($B786,$N786),'LAC 103'!$AI:$AQ,9,FALSE),"")</f>
        <v>Costs</v>
      </c>
      <c r="X786" s="1146">
        <f t="shared" si="222"/>
        <v>3.2074101033884355</v>
      </c>
      <c r="Y786" s="1143">
        <f t="shared" si="233"/>
        <v>8743.3999418368749</v>
      </c>
      <c r="Z786" s="1147">
        <f t="shared" si="223"/>
        <v>10876.74</v>
      </c>
      <c r="AA786" s="1144">
        <f t="shared" si="224"/>
        <v>6760.48</v>
      </c>
      <c r="AB786" s="1144">
        <f t="shared" si="225"/>
        <v>0</v>
      </c>
      <c r="AC786" s="1144">
        <f t="shared" si="226"/>
        <v>0</v>
      </c>
      <c r="AD786" s="1148">
        <f t="shared" si="218"/>
        <v>8743.3999418368749</v>
      </c>
      <c r="AE786" s="1487">
        <v>0</v>
      </c>
      <c r="AF786" s="1145">
        <f t="shared" si="227"/>
        <v>8743.3999418368749</v>
      </c>
      <c r="AG786" s="1149">
        <f>IFERROR(VLOOKUP(CONCATENATE($L786,$N786),'Drop List'!$G$23:$K$87,2,FALSE),0)</f>
        <v>0</v>
      </c>
      <c r="AH786" s="1150">
        <f>IFERROR(VLOOKUP(CONCATENATE($L786,$N786),'Drop List'!$G$23:$K$87,3,FALSE),0)</f>
        <v>0</v>
      </c>
      <c r="AI786" s="1150">
        <f>IFERROR(VLOOKUP(CONCATENATE($L786,$N786),'Drop List'!$G$23:$K$87,4,FALSE),0)</f>
        <v>0</v>
      </c>
      <c r="AJ786" s="1151">
        <f>IFERROR(VLOOKUP(CONCATENATE($L786,$N786),'Drop List'!$G$23:$K$87,5,FALSE),0)</f>
        <v>0</v>
      </c>
      <c r="AK786" s="1152">
        <f t="shared" si="228"/>
        <v>0</v>
      </c>
      <c r="AL786" s="1153">
        <f t="shared" si="229"/>
        <v>0</v>
      </c>
      <c r="AM786" s="1153">
        <f t="shared" si="230"/>
        <v>0</v>
      </c>
      <c r="AN786" s="1145">
        <f t="shared" si="231"/>
        <v>0</v>
      </c>
      <c r="AO786" s="1154">
        <f t="shared" si="232"/>
        <v>0</v>
      </c>
      <c r="AP786" s="1147">
        <f t="shared" si="219"/>
        <v>8743.3999418368749</v>
      </c>
      <c r="AQ786" s="1144">
        <f t="shared" si="220"/>
        <v>0</v>
      </c>
      <c r="AR786" s="1146">
        <f t="shared" si="221"/>
        <v>8743.3999418368749</v>
      </c>
    </row>
    <row r="787" spans="1:44" x14ac:dyDescent="0.2">
      <c r="A787" s="1141" t="str">
        <f t="shared" si="216"/>
        <v>1542</v>
      </c>
      <c r="B787" s="1141" t="str">
        <f>IFERROR(VLOOKUP(A787,'LAC 103'!A:C,3,FALSE),"")</f>
        <v>OP</v>
      </c>
      <c r="C787" s="1478" t="str">
        <f>Info!$B$8</f>
        <v>00100</v>
      </c>
      <c r="D787" s="1474" t="s">
        <v>256</v>
      </c>
      <c r="E787" s="1474" t="s">
        <v>95</v>
      </c>
      <c r="F787" s="1478" t="s">
        <v>392</v>
      </c>
      <c r="G787" s="1478" t="s">
        <v>392</v>
      </c>
      <c r="H787" s="1474" t="s">
        <v>988</v>
      </c>
      <c r="I787" s="1478" t="s">
        <v>811</v>
      </c>
      <c r="J787" s="1478"/>
      <c r="K787" s="1475" t="s">
        <v>1654</v>
      </c>
      <c r="L787" s="1474" t="s">
        <v>332</v>
      </c>
      <c r="M787" s="1476" t="s">
        <v>1698</v>
      </c>
      <c r="N787" s="1477" t="s">
        <v>1693</v>
      </c>
      <c r="O787" s="1479">
        <v>1510</v>
      </c>
      <c r="P787" s="1479"/>
      <c r="Q787" s="1142">
        <f t="shared" si="217"/>
        <v>1510</v>
      </c>
      <c r="R787" s="1143">
        <f>IFERROR(VLOOKUP(CONCATENATE(E787,G787),'LAC 103'!$A$12:$O$95,11,FALSE),0)</f>
        <v>3.2074101033884355</v>
      </c>
      <c r="S787" s="1144">
        <f>IFERROR(VLOOKUP(CONCATENATE($E787,$G787),'LAC 103'!$A$12:$O$95,12,FALSE),0)</f>
        <v>3.99</v>
      </c>
      <c r="T787" s="1144">
        <f>IFERROR(VLOOKUP(CONCATENATE($E787,$G787),'LAC 103'!$A$12:$O$95,13,FALSE),0)</f>
        <v>2.48</v>
      </c>
      <c r="U787" s="1144">
        <f>IFERROR(VLOOKUP(CONCATENATE($E787,$G787),'LAC 103'!$A$12:$O$95,14,FALSE),0)</f>
        <v>0</v>
      </c>
      <c r="V787" s="1144">
        <f>IFERROR(VLOOKUP(CONCATENATE($E787,$G787),'LAC 103'!$A$12:$O$95,15,FALSE),0)</f>
        <v>0</v>
      </c>
      <c r="W787" s="1145" t="str">
        <f>IFERROR(VLOOKUP(CONCATENATE($B787,$N787),'LAC 103'!$AI:$AQ,9,FALSE),"")</f>
        <v>Costs</v>
      </c>
      <c r="X787" s="1146">
        <f t="shared" si="222"/>
        <v>3.2074101033884355</v>
      </c>
      <c r="Y787" s="1143">
        <f t="shared" si="233"/>
        <v>4843.1892561165378</v>
      </c>
      <c r="Z787" s="1147">
        <f t="shared" si="223"/>
        <v>6024.9000000000005</v>
      </c>
      <c r="AA787" s="1144">
        <f t="shared" si="224"/>
        <v>3744.8</v>
      </c>
      <c r="AB787" s="1144">
        <f t="shared" si="225"/>
        <v>0</v>
      </c>
      <c r="AC787" s="1144">
        <f t="shared" si="226"/>
        <v>0</v>
      </c>
      <c r="AD787" s="1148">
        <f t="shared" si="218"/>
        <v>4843.1892561165378</v>
      </c>
      <c r="AE787" s="1487">
        <v>0</v>
      </c>
      <c r="AF787" s="1145">
        <f t="shared" si="227"/>
        <v>4843.1892561165378</v>
      </c>
      <c r="AG787" s="1149">
        <f>IFERROR(VLOOKUP(CONCATENATE($L787,$N787),'Drop List'!$G$23:$K$87,2,FALSE),0)</f>
        <v>0</v>
      </c>
      <c r="AH787" s="1150">
        <f>IFERROR(VLOOKUP(CONCATENATE($L787,$N787),'Drop List'!$G$23:$K$87,3,FALSE),0)</f>
        <v>0</v>
      </c>
      <c r="AI787" s="1150">
        <f>IFERROR(VLOOKUP(CONCATENATE($L787,$N787),'Drop List'!$G$23:$K$87,4,FALSE),0)</f>
        <v>0</v>
      </c>
      <c r="AJ787" s="1151">
        <f>IFERROR(VLOOKUP(CONCATENATE($L787,$N787),'Drop List'!$G$23:$K$87,5,FALSE),0)</f>
        <v>0</v>
      </c>
      <c r="AK787" s="1152">
        <f t="shared" si="228"/>
        <v>0</v>
      </c>
      <c r="AL787" s="1153">
        <f t="shared" si="229"/>
        <v>0</v>
      </c>
      <c r="AM787" s="1153">
        <f t="shared" si="230"/>
        <v>0</v>
      </c>
      <c r="AN787" s="1145">
        <f t="shared" si="231"/>
        <v>0</v>
      </c>
      <c r="AO787" s="1154">
        <f t="shared" si="232"/>
        <v>0</v>
      </c>
      <c r="AP787" s="1147">
        <f t="shared" si="219"/>
        <v>4843.1892561165378</v>
      </c>
      <c r="AQ787" s="1144">
        <f t="shared" si="220"/>
        <v>0</v>
      </c>
      <c r="AR787" s="1146">
        <f t="shared" si="221"/>
        <v>4843.1892561165378</v>
      </c>
    </row>
    <row r="788" spans="1:44" x14ac:dyDescent="0.2">
      <c r="A788" s="1141" t="str">
        <f t="shared" si="216"/>
        <v>1542</v>
      </c>
      <c r="B788" s="1141" t="str">
        <f>IFERROR(VLOOKUP(A788,'LAC 103'!A:C,3,FALSE),"")</f>
        <v>OP</v>
      </c>
      <c r="C788" s="1478" t="str">
        <f>Info!$B$8</f>
        <v>00100</v>
      </c>
      <c r="D788" s="1474" t="s">
        <v>256</v>
      </c>
      <c r="E788" s="1474" t="s">
        <v>95</v>
      </c>
      <c r="F788" s="1478" t="s">
        <v>392</v>
      </c>
      <c r="G788" s="1478" t="s">
        <v>392</v>
      </c>
      <c r="H788" s="1474" t="s">
        <v>988</v>
      </c>
      <c r="I788" s="1478" t="s">
        <v>811</v>
      </c>
      <c r="J788" s="1478"/>
      <c r="K788" s="1475" t="s">
        <v>847</v>
      </c>
      <c r="L788" s="1474" t="s">
        <v>582</v>
      </c>
      <c r="M788" s="1476" t="s">
        <v>1699</v>
      </c>
      <c r="N788" s="1477" t="s">
        <v>1694</v>
      </c>
      <c r="O788" s="1479">
        <v>144372</v>
      </c>
      <c r="P788" s="1479"/>
      <c r="Q788" s="1142">
        <f t="shared" si="217"/>
        <v>144372</v>
      </c>
      <c r="R788" s="1143">
        <f>IFERROR(VLOOKUP(CONCATENATE(E788,G788),'LAC 103'!$A$12:$O$95,11,FALSE),0)</f>
        <v>3.2074101033884355</v>
      </c>
      <c r="S788" s="1144">
        <f>IFERROR(VLOOKUP(CONCATENATE($E788,$G788),'LAC 103'!$A$12:$O$95,12,FALSE),0)</f>
        <v>3.99</v>
      </c>
      <c r="T788" s="1144">
        <f>IFERROR(VLOOKUP(CONCATENATE($E788,$G788),'LAC 103'!$A$12:$O$95,13,FALSE),0)</f>
        <v>2.48</v>
      </c>
      <c r="U788" s="1144">
        <f>IFERROR(VLOOKUP(CONCATENATE($E788,$G788),'LAC 103'!$A$12:$O$95,14,FALSE),0)</f>
        <v>0</v>
      </c>
      <c r="V788" s="1144">
        <f>IFERROR(VLOOKUP(CONCATENATE($E788,$G788),'LAC 103'!$A$12:$O$95,15,FALSE),0)</f>
        <v>0</v>
      </c>
      <c r="W788" s="1145" t="str">
        <f>IFERROR(VLOOKUP(CONCATENATE($B788,$N788),'LAC 103'!$AI:$AQ,9,FALSE),"")</f>
        <v>Costs</v>
      </c>
      <c r="X788" s="1146">
        <f t="shared" si="222"/>
        <v>3.2074101033884355</v>
      </c>
      <c r="Y788" s="1143">
        <f t="shared" si="233"/>
        <v>463060.2114463952</v>
      </c>
      <c r="Z788" s="1147">
        <f t="shared" si="223"/>
        <v>576044.28</v>
      </c>
      <c r="AA788" s="1144">
        <f t="shared" si="224"/>
        <v>358042.56</v>
      </c>
      <c r="AB788" s="1144">
        <f t="shared" si="225"/>
        <v>0</v>
      </c>
      <c r="AC788" s="1144">
        <f t="shared" si="226"/>
        <v>0</v>
      </c>
      <c r="AD788" s="1148">
        <f t="shared" si="218"/>
        <v>463060.2114463952</v>
      </c>
      <c r="AE788" s="1487">
        <v>0</v>
      </c>
      <c r="AF788" s="1145">
        <f t="shared" si="227"/>
        <v>463060.2114463952</v>
      </c>
      <c r="AG788" s="1149">
        <f>IFERROR(VLOOKUP(CONCATENATE($L788,$N788),'Drop List'!$G$23:$K$87,2,FALSE),0)</f>
        <v>0.56200000000000006</v>
      </c>
      <c r="AH788" s="1150">
        <f>IFERROR(VLOOKUP(CONCATENATE($L788,$N788),'Drop List'!$G$23:$K$87,3,FALSE),0)</f>
        <v>0.43799999999999994</v>
      </c>
      <c r="AI788" s="1150">
        <f>IFERROR(VLOOKUP(CONCATENATE($L788,$N788),'Drop List'!$G$23:$K$87,4,FALSE),0)</f>
        <v>0</v>
      </c>
      <c r="AJ788" s="1151">
        <f>IFERROR(VLOOKUP(CONCATENATE($L788,$N788),'Drop List'!$G$23:$K$87,5,FALSE),0)</f>
        <v>0</v>
      </c>
      <c r="AK788" s="1152">
        <f t="shared" si="228"/>
        <v>260239.83883287414</v>
      </c>
      <c r="AL788" s="1153">
        <f t="shared" si="229"/>
        <v>202820.37261352106</v>
      </c>
      <c r="AM788" s="1153">
        <f t="shared" si="230"/>
        <v>0</v>
      </c>
      <c r="AN788" s="1145">
        <f t="shared" si="231"/>
        <v>0</v>
      </c>
      <c r="AO788" s="1154">
        <f t="shared" si="232"/>
        <v>463060.2114463952</v>
      </c>
      <c r="AP788" s="1147">
        <f t="shared" si="219"/>
        <v>0</v>
      </c>
      <c r="AQ788" s="1144">
        <f t="shared" si="220"/>
        <v>0</v>
      </c>
      <c r="AR788" s="1146">
        <f t="shared" si="221"/>
        <v>463060.2114463952</v>
      </c>
    </row>
    <row r="789" spans="1:44" x14ac:dyDescent="0.2">
      <c r="A789" s="1141" t="str">
        <f t="shared" si="216"/>
        <v>1542</v>
      </c>
      <c r="B789" s="1141" t="str">
        <f>IFERROR(VLOOKUP(A789,'LAC 103'!A:C,3,FALSE),"")</f>
        <v>OP</v>
      </c>
      <c r="C789" s="1478" t="str">
        <f>Info!$B$8</f>
        <v>00100</v>
      </c>
      <c r="D789" s="1474" t="s">
        <v>256</v>
      </c>
      <c r="E789" s="1474" t="s">
        <v>95</v>
      </c>
      <c r="F789" s="1478" t="s">
        <v>392</v>
      </c>
      <c r="G789" s="1478" t="s">
        <v>392</v>
      </c>
      <c r="H789" s="1474" t="s">
        <v>988</v>
      </c>
      <c r="I789" s="1478" t="s">
        <v>811</v>
      </c>
      <c r="J789" s="1478"/>
      <c r="K789" s="1475" t="s">
        <v>847</v>
      </c>
      <c r="L789" s="1474" t="s">
        <v>582</v>
      </c>
      <c r="M789" s="1476" t="s">
        <v>841</v>
      </c>
      <c r="N789" s="1477" t="s">
        <v>1695</v>
      </c>
      <c r="O789" s="1479">
        <v>55130</v>
      </c>
      <c r="P789" s="1479"/>
      <c r="Q789" s="1142">
        <f t="shared" si="217"/>
        <v>55130</v>
      </c>
      <c r="R789" s="1143">
        <f>IFERROR(VLOOKUP(CONCATENATE(E789,G789),'LAC 103'!$A$12:$O$95,11,FALSE),0)</f>
        <v>3.2074101033884355</v>
      </c>
      <c r="S789" s="1144">
        <f>IFERROR(VLOOKUP(CONCATENATE($E789,$G789),'LAC 103'!$A$12:$O$95,12,FALSE),0)</f>
        <v>3.99</v>
      </c>
      <c r="T789" s="1144">
        <f>IFERROR(VLOOKUP(CONCATENATE($E789,$G789),'LAC 103'!$A$12:$O$95,13,FALSE),0)</f>
        <v>2.48</v>
      </c>
      <c r="U789" s="1144">
        <f>IFERROR(VLOOKUP(CONCATENATE($E789,$G789),'LAC 103'!$A$12:$O$95,14,FALSE),0)</f>
        <v>0</v>
      </c>
      <c r="V789" s="1144">
        <f>IFERROR(VLOOKUP(CONCATENATE($E789,$G789),'LAC 103'!$A$12:$O$95,15,FALSE),0)</f>
        <v>0</v>
      </c>
      <c r="W789" s="1145" t="str">
        <f>IFERROR(VLOOKUP(CONCATENATE($B789,$N789),'LAC 103'!$AI:$AQ,9,FALSE),"")</f>
        <v>Costs</v>
      </c>
      <c r="X789" s="1146">
        <f t="shared" si="222"/>
        <v>3.2074101033884355</v>
      </c>
      <c r="Y789" s="1143">
        <f t="shared" si="233"/>
        <v>176824.51899980445</v>
      </c>
      <c r="Z789" s="1147">
        <f t="shared" si="223"/>
        <v>219968.7</v>
      </c>
      <c r="AA789" s="1144">
        <f t="shared" si="224"/>
        <v>136722.4</v>
      </c>
      <c r="AB789" s="1144">
        <f t="shared" si="225"/>
        <v>0</v>
      </c>
      <c r="AC789" s="1144">
        <f t="shared" si="226"/>
        <v>0</v>
      </c>
      <c r="AD789" s="1148">
        <f t="shared" si="218"/>
        <v>176824.51899980445</v>
      </c>
      <c r="AE789" s="1487">
        <v>0</v>
      </c>
      <c r="AF789" s="1145">
        <f t="shared" si="227"/>
        <v>176824.51899980445</v>
      </c>
      <c r="AG789" s="1149">
        <f>IFERROR(VLOOKUP(CONCATENATE($L789,$N789),'Drop List'!$G$23:$K$87,2,FALSE),0)</f>
        <v>0.55000000000000004</v>
      </c>
      <c r="AH789" s="1150">
        <f>IFERROR(VLOOKUP(CONCATENATE($L789,$N789),'Drop List'!$G$23:$K$87,3,FALSE),0)</f>
        <v>0.44999999999999996</v>
      </c>
      <c r="AI789" s="1150">
        <f>IFERROR(VLOOKUP(CONCATENATE($L789,$N789),'Drop List'!$G$23:$K$87,4,FALSE),0)</f>
        <v>0</v>
      </c>
      <c r="AJ789" s="1151">
        <f>IFERROR(VLOOKUP(CONCATENATE($L789,$N789),'Drop List'!$G$23:$K$87,5,FALSE),0)</f>
        <v>0</v>
      </c>
      <c r="AK789" s="1152">
        <f t="shared" si="228"/>
        <v>97253.485449892454</v>
      </c>
      <c r="AL789" s="1153">
        <f t="shared" si="229"/>
        <v>79571.033549911997</v>
      </c>
      <c r="AM789" s="1153">
        <f t="shared" si="230"/>
        <v>0</v>
      </c>
      <c r="AN789" s="1145">
        <f t="shared" si="231"/>
        <v>0</v>
      </c>
      <c r="AO789" s="1154">
        <f t="shared" si="232"/>
        <v>176824.51899980445</v>
      </c>
      <c r="AP789" s="1147">
        <f t="shared" si="219"/>
        <v>0</v>
      </c>
      <c r="AQ789" s="1144">
        <f t="shared" si="220"/>
        <v>0</v>
      </c>
      <c r="AR789" s="1146">
        <f t="shared" si="221"/>
        <v>176824.51899980445</v>
      </c>
    </row>
    <row r="790" spans="1:44" x14ac:dyDescent="0.2">
      <c r="A790" s="1141" t="str">
        <f t="shared" si="216"/>
        <v>1542</v>
      </c>
      <c r="B790" s="1141" t="str">
        <f>IFERROR(VLOOKUP(A790,'LAC 103'!A:C,3,FALSE),"")</f>
        <v>OP</v>
      </c>
      <c r="C790" s="1478" t="str">
        <f>Info!$B$8</f>
        <v>00100</v>
      </c>
      <c r="D790" s="1474" t="s">
        <v>256</v>
      </c>
      <c r="E790" s="1474" t="s">
        <v>95</v>
      </c>
      <c r="F790" s="1478" t="s">
        <v>392</v>
      </c>
      <c r="G790" s="1478" t="s">
        <v>392</v>
      </c>
      <c r="H790" s="1474" t="s">
        <v>988</v>
      </c>
      <c r="I790" s="1478" t="s">
        <v>811</v>
      </c>
      <c r="J790" s="1478"/>
      <c r="K790" s="1475" t="s">
        <v>847</v>
      </c>
      <c r="L790" s="1474" t="s">
        <v>582</v>
      </c>
      <c r="M790" s="1476" t="s">
        <v>840</v>
      </c>
      <c r="N790" s="1477" t="s">
        <v>1700</v>
      </c>
      <c r="O790" s="1479">
        <v>65148</v>
      </c>
      <c r="P790" s="1479"/>
      <c r="Q790" s="1142">
        <f t="shared" si="217"/>
        <v>65148</v>
      </c>
      <c r="R790" s="1143">
        <f>IFERROR(VLOOKUP(CONCATENATE(E790,G790),'LAC 103'!$A$12:$O$95,11,FALSE),0)</f>
        <v>3.2074101033884355</v>
      </c>
      <c r="S790" s="1144">
        <f>IFERROR(VLOOKUP(CONCATENATE($E790,$G790),'LAC 103'!$A$12:$O$95,12,FALSE),0)</f>
        <v>3.99</v>
      </c>
      <c r="T790" s="1144">
        <f>IFERROR(VLOOKUP(CONCATENATE($E790,$G790),'LAC 103'!$A$12:$O$95,13,FALSE),0)</f>
        <v>2.48</v>
      </c>
      <c r="U790" s="1144">
        <f>IFERROR(VLOOKUP(CONCATENATE($E790,$G790),'LAC 103'!$A$12:$O$95,14,FALSE),0)</f>
        <v>0</v>
      </c>
      <c r="V790" s="1144">
        <f>IFERROR(VLOOKUP(CONCATENATE($E790,$G790),'LAC 103'!$A$12:$O$95,15,FALSE),0)</f>
        <v>0</v>
      </c>
      <c r="W790" s="1145" t="str">
        <f>IFERROR(VLOOKUP(CONCATENATE($B790,$N790),'LAC 103'!$AI:$AQ,9,FALSE),"")</f>
        <v>P.C.</v>
      </c>
      <c r="X790" s="1146">
        <f t="shared" si="222"/>
        <v>2.48</v>
      </c>
      <c r="Y790" s="1143">
        <f t="shared" si="233"/>
        <v>208956.35341554979</v>
      </c>
      <c r="Z790" s="1147">
        <f t="shared" si="223"/>
        <v>259940.52000000002</v>
      </c>
      <c r="AA790" s="1144">
        <f t="shared" si="224"/>
        <v>161567.04000000001</v>
      </c>
      <c r="AB790" s="1144">
        <f t="shared" si="225"/>
        <v>0</v>
      </c>
      <c r="AC790" s="1144">
        <f t="shared" si="226"/>
        <v>0</v>
      </c>
      <c r="AD790" s="1148">
        <f t="shared" si="218"/>
        <v>161567.04000000001</v>
      </c>
      <c r="AE790" s="1487">
        <v>0</v>
      </c>
      <c r="AF790" s="1145">
        <f t="shared" si="227"/>
        <v>161567.04000000001</v>
      </c>
      <c r="AG790" s="1149">
        <f>IFERROR(VLOOKUP(CONCATENATE($L790,$N790),'Drop List'!$G$23:$K$87,2,FALSE),0)</f>
        <v>0.55000000000000004</v>
      </c>
      <c r="AH790" s="1150">
        <f>IFERROR(VLOOKUP(CONCATENATE($L790,$N790),'Drop List'!$G$23:$K$87,3,FALSE),0)</f>
        <v>0.44999999999999996</v>
      </c>
      <c r="AI790" s="1150">
        <f>IFERROR(VLOOKUP(CONCATENATE($L790,$N790),'Drop List'!$G$23:$K$87,4,FALSE),0)</f>
        <v>0</v>
      </c>
      <c r="AJ790" s="1151">
        <f>IFERROR(VLOOKUP(CONCATENATE($L790,$N790),'Drop List'!$G$23:$K$87,5,FALSE),0)</f>
        <v>0</v>
      </c>
      <c r="AK790" s="1152">
        <f t="shared" si="228"/>
        <v>88861.872000000018</v>
      </c>
      <c r="AL790" s="1153">
        <f t="shared" si="229"/>
        <v>72705.167999999991</v>
      </c>
      <c r="AM790" s="1153">
        <f t="shared" si="230"/>
        <v>0</v>
      </c>
      <c r="AN790" s="1145">
        <f t="shared" si="231"/>
        <v>0</v>
      </c>
      <c r="AO790" s="1154">
        <f t="shared" si="232"/>
        <v>161567.04000000001</v>
      </c>
      <c r="AP790" s="1147">
        <f t="shared" si="219"/>
        <v>0</v>
      </c>
      <c r="AQ790" s="1144">
        <f t="shared" si="220"/>
        <v>0</v>
      </c>
      <c r="AR790" s="1146">
        <f t="shared" si="221"/>
        <v>161567.04000000001</v>
      </c>
    </row>
    <row r="791" spans="1:44" x14ac:dyDescent="0.2">
      <c r="A791" s="1141" t="str">
        <f t="shared" si="216"/>
        <v>1542</v>
      </c>
      <c r="B791" s="1141" t="str">
        <f>IFERROR(VLOOKUP(A791,'LAC 103'!A:C,3,FALSE),"")</f>
        <v>OP</v>
      </c>
      <c r="C791" s="1478" t="str">
        <f>Info!$B$8</f>
        <v>00100</v>
      </c>
      <c r="D791" s="1474" t="s">
        <v>256</v>
      </c>
      <c r="E791" s="1474" t="s">
        <v>95</v>
      </c>
      <c r="F791" s="1478" t="s">
        <v>392</v>
      </c>
      <c r="G791" s="1478" t="s">
        <v>392</v>
      </c>
      <c r="H791" s="1474" t="s">
        <v>988</v>
      </c>
      <c r="I791" s="1478" t="s">
        <v>811</v>
      </c>
      <c r="J791" s="1478"/>
      <c r="K791" s="1475" t="s">
        <v>847</v>
      </c>
      <c r="L791" s="1474" t="s">
        <v>582</v>
      </c>
      <c r="M791" s="1476" t="s">
        <v>842</v>
      </c>
      <c r="N791" s="1477" t="s">
        <v>1692</v>
      </c>
      <c r="O791" s="1479">
        <v>125501</v>
      </c>
      <c r="P791" s="1479"/>
      <c r="Q791" s="1142">
        <f t="shared" si="217"/>
        <v>125501</v>
      </c>
      <c r="R791" s="1143">
        <f>IFERROR(VLOOKUP(CONCATENATE(E791,G791),'LAC 103'!$A$12:$O$95,11,FALSE),0)</f>
        <v>3.2074101033884355</v>
      </c>
      <c r="S791" s="1144">
        <f>IFERROR(VLOOKUP(CONCATENATE($E791,$G791),'LAC 103'!$A$12:$O$95,12,FALSE),0)</f>
        <v>3.99</v>
      </c>
      <c r="T791" s="1144">
        <f>IFERROR(VLOOKUP(CONCATENATE($E791,$G791),'LAC 103'!$A$12:$O$95,13,FALSE),0)</f>
        <v>2.48</v>
      </c>
      <c r="U791" s="1144">
        <f>IFERROR(VLOOKUP(CONCATENATE($E791,$G791),'LAC 103'!$A$12:$O$95,14,FALSE),0)</f>
        <v>0</v>
      </c>
      <c r="V791" s="1144">
        <f>IFERROR(VLOOKUP(CONCATENATE($E791,$G791),'LAC 103'!$A$12:$O$95,15,FALSE),0)</f>
        <v>0</v>
      </c>
      <c r="W791" s="1145" t="str">
        <f>IFERROR(VLOOKUP(CONCATENATE($B791,$N791),'LAC 103'!$AI:$AQ,9,FALSE),"")</f>
        <v>Costs</v>
      </c>
      <c r="X791" s="1146">
        <f t="shared" si="222"/>
        <v>3.2074101033884355</v>
      </c>
      <c r="Y791" s="1143">
        <f t="shared" si="233"/>
        <v>402533.17538535205</v>
      </c>
      <c r="Z791" s="1147">
        <f t="shared" si="223"/>
        <v>500748.99000000005</v>
      </c>
      <c r="AA791" s="1144">
        <f t="shared" si="224"/>
        <v>311242.48</v>
      </c>
      <c r="AB791" s="1144">
        <f t="shared" si="225"/>
        <v>0</v>
      </c>
      <c r="AC791" s="1144">
        <f t="shared" si="226"/>
        <v>0</v>
      </c>
      <c r="AD791" s="1148">
        <f t="shared" si="218"/>
        <v>402533.17538535205</v>
      </c>
      <c r="AE791" s="1487">
        <v>0</v>
      </c>
      <c r="AF791" s="1145">
        <f t="shared" si="227"/>
        <v>402533.17538535205</v>
      </c>
      <c r="AG791" s="1149">
        <f>IFERROR(VLOOKUP(CONCATENATE($L791,$N791),'Drop List'!$G$23:$K$87,2,FALSE),0)</f>
        <v>0.56200000000000006</v>
      </c>
      <c r="AH791" s="1150">
        <f>IFERROR(VLOOKUP(CONCATENATE($L791,$N791),'Drop List'!$G$23:$K$87,3,FALSE),0)</f>
        <v>0.43799999999999994</v>
      </c>
      <c r="AI791" s="1150">
        <f>IFERROR(VLOOKUP(CONCATENATE($L791,$N791),'Drop List'!$G$23:$K$87,4,FALSE),0)</f>
        <v>0</v>
      </c>
      <c r="AJ791" s="1151">
        <f>IFERROR(VLOOKUP(CONCATENATE($L791,$N791),'Drop List'!$G$23:$K$87,5,FALSE),0)</f>
        <v>0</v>
      </c>
      <c r="AK791" s="1152">
        <f t="shared" si="228"/>
        <v>226223.64456656788</v>
      </c>
      <c r="AL791" s="1153">
        <f t="shared" si="229"/>
        <v>176309.53081878417</v>
      </c>
      <c r="AM791" s="1153">
        <f t="shared" si="230"/>
        <v>0</v>
      </c>
      <c r="AN791" s="1145">
        <f t="shared" si="231"/>
        <v>0</v>
      </c>
      <c r="AO791" s="1154">
        <f t="shared" si="232"/>
        <v>402533.17538535205</v>
      </c>
      <c r="AP791" s="1147">
        <f t="shared" si="219"/>
        <v>0</v>
      </c>
      <c r="AQ791" s="1144">
        <f t="shared" si="220"/>
        <v>0</v>
      </c>
      <c r="AR791" s="1146">
        <f t="shared" si="221"/>
        <v>402533.17538535205</v>
      </c>
    </row>
    <row r="792" spans="1:44" x14ac:dyDescent="0.2">
      <c r="A792" s="1141" t="str">
        <f t="shared" si="216"/>
        <v>1542</v>
      </c>
      <c r="B792" s="1141" t="str">
        <f>IFERROR(VLOOKUP(A792,'LAC 103'!A:C,3,FALSE),"")</f>
        <v>OP</v>
      </c>
      <c r="C792" s="1478" t="str">
        <f>Info!$B$8</f>
        <v>00100</v>
      </c>
      <c r="D792" s="1474" t="s">
        <v>256</v>
      </c>
      <c r="E792" s="1474" t="s">
        <v>95</v>
      </c>
      <c r="F792" s="1478" t="s">
        <v>392</v>
      </c>
      <c r="G792" s="1478" t="s">
        <v>392</v>
      </c>
      <c r="H792" s="1474" t="s">
        <v>988</v>
      </c>
      <c r="I792" s="1478" t="s">
        <v>811</v>
      </c>
      <c r="J792" s="1478"/>
      <c r="K792" s="1475" t="s">
        <v>847</v>
      </c>
      <c r="L792" s="1474" t="s">
        <v>582</v>
      </c>
      <c r="M792" s="1476" t="s">
        <v>1698</v>
      </c>
      <c r="N792" s="1477" t="s">
        <v>1693</v>
      </c>
      <c r="O792" s="1479">
        <v>137661</v>
      </c>
      <c r="P792" s="1479"/>
      <c r="Q792" s="1142">
        <f t="shared" si="217"/>
        <v>137661</v>
      </c>
      <c r="R792" s="1143">
        <f>IFERROR(VLOOKUP(CONCATENATE(E792,G792),'LAC 103'!$A$12:$O$95,11,FALSE),0)</f>
        <v>3.2074101033884355</v>
      </c>
      <c r="S792" s="1144">
        <f>IFERROR(VLOOKUP(CONCATENATE($E792,$G792),'LAC 103'!$A$12:$O$95,12,FALSE),0)</f>
        <v>3.99</v>
      </c>
      <c r="T792" s="1144">
        <f>IFERROR(VLOOKUP(CONCATENATE($E792,$G792),'LAC 103'!$A$12:$O$95,13,FALSE),0)</f>
        <v>2.48</v>
      </c>
      <c r="U792" s="1144">
        <f>IFERROR(VLOOKUP(CONCATENATE($E792,$G792),'LAC 103'!$A$12:$O$95,14,FALSE),0)</f>
        <v>0</v>
      </c>
      <c r="V792" s="1144">
        <f>IFERROR(VLOOKUP(CONCATENATE($E792,$G792),'LAC 103'!$A$12:$O$95,15,FALSE),0)</f>
        <v>0</v>
      </c>
      <c r="W792" s="1145" t="str">
        <f>IFERROR(VLOOKUP(CONCATENATE($B792,$N792),'LAC 103'!$AI:$AQ,9,FALSE),"")</f>
        <v>Costs</v>
      </c>
      <c r="X792" s="1146">
        <f t="shared" si="222"/>
        <v>3.2074101033884355</v>
      </c>
      <c r="Y792" s="1143">
        <f t="shared" si="233"/>
        <v>441535.2822425554</v>
      </c>
      <c r="Z792" s="1147">
        <f t="shared" si="223"/>
        <v>549267.39</v>
      </c>
      <c r="AA792" s="1144">
        <f t="shared" si="224"/>
        <v>341399.27999999997</v>
      </c>
      <c r="AB792" s="1144">
        <f t="shared" si="225"/>
        <v>0</v>
      </c>
      <c r="AC792" s="1144">
        <f t="shared" si="226"/>
        <v>0</v>
      </c>
      <c r="AD792" s="1148">
        <f t="shared" si="218"/>
        <v>441535.2822425554</v>
      </c>
      <c r="AE792" s="1487">
        <v>0</v>
      </c>
      <c r="AF792" s="1145">
        <f t="shared" si="227"/>
        <v>441535.2822425554</v>
      </c>
      <c r="AG792" s="1149">
        <f>IFERROR(VLOOKUP(CONCATENATE($L792,$N792),'Drop List'!$G$23:$K$87,2,FALSE),0)</f>
        <v>0.56200000000000006</v>
      </c>
      <c r="AH792" s="1150">
        <f>IFERROR(VLOOKUP(CONCATENATE($L792,$N792),'Drop List'!$G$23:$K$87,3,FALSE),0)</f>
        <v>0.43799999999999994</v>
      </c>
      <c r="AI792" s="1150">
        <f>IFERROR(VLOOKUP(CONCATENATE($L792,$N792),'Drop List'!$G$23:$K$87,4,FALSE),0)</f>
        <v>0</v>
      </c>
      <c r="AJ792" s="1151">
        <f>IFERROR(VLOOKUP(CONCATENATE($L792,$N792),'Drop List'!$G$23:$K$87,5,FALSE),0)</f>
        <v>0</v>
      </c>
      <c r="AK792" s="1152">
        <f t="shared" si="228"/>
        <v>248142.82862031617</v>
      </c>
      <c r="AL792" s="1153">
        <f t="shared" si="229"/>
        <v>193392.45362223923</v>
      </c>
      <c r="AM792" s="1153">
        <f t="shared" si="230"/>
        <v>0</v>
      </c>
      <c r="AN792" s="1145">
        <f t="shared" si="231"/>
        <v>0</v>
      </c>
      <c r="AO792" s="1154">
        <f t="shared" si="232"/>
        <v>441535.2822425554</v>
      </c>
      <c r="AP792" s="1147">
        <f t="shared" si="219"/>
        <v>0</v>
      </c>
      <c r="AQ792" s="1144">
        <f t="shared" si="220"/>
        <v>0</v>
      </c>
      <c r="AR792" s="1146">
        <f t="shared" si="221"/>
        <v>441535.2822425554</v>
      </c>
    </row>
    <row r="793" spans="1:44" x14ac:dyDescent="0.2">
      <c r="A793" s="1141" t="str">
        <f t="shared" si="216"/>
        <v>1542</v>
      </c>
      <c r="B793" s="1141" t="str">
        <f>IFERROR(VLOOKUP(A793,'LAC 103'!A:C,3,FALSE),"")</f>
        <v>OP</v>
      </c>
      <c r="C793" s="1478" t="str">
        <f>Info!$B$8</f>
        <v>00100</v>
      </c>
      <c r="D793" s="1474" t="s">
        <v>256</v>
      </c>
      <c r="E793" s="1474" t="s">
        <v>95</v>
      </c>
      <c r="F793" s="1478" t="s">
        <v>392</v>
      </c>
      <c r="G793" s="1478" t="s">
        <v>392</v>
      </c>
      <c r="H793" s="1474" t="s">
        <v>988</v>
      </c>
      <c r="I793" s="1478" t="s">
        <v>811</v>
      </c>
      <c r="J793" s="1478"/>
      <c r="K793" s="1475" t="s">
        <v>852</v>
      </c>
      <c r="L793" s="1474" t="s">
        <v>591</v>
      </c>
      <c r="M793" s="1476" t="s">
        <v>1699</v>
      </c>
      <c r="N793" s="1477" t="s">
        <v>1694</v>
      </c>
      <c r="O793" s="1479">
        <v>814</v>
      </c>
      <c r="P793" s="1479"/>
      <c r="Q793" s="1142">
        <f t="shared" si="217"/>
        <v>814</v>
      </c>
      <c r="R793" s="1143">
        <f>IFERROR(VLOOKUP(CONCATENATE(E793,G793),'LAC 103'!$A$12:$O$95,11,FALSE),0)</f>
        <v>3.2074101033884355</v>
      </c>
      <c r="S793" s="1144">
        <f>IFERROR(VLOOKUP(CONCATENATE($E793,$G793),'LAC 103'!$A$12:$O$95,12,FALSE),0)</f>
        <v>3.99</v>
      </c>
      <c r="T793" s="1144">
        <f>IFERROR(VLOOKUP(CONCATENATE($E793,$G793),'LAC 103'!$A$12:$O$95,13,FALSE),0)</f>
        <v>2.48</v>
      </c>
      <c r="U793" s="1144">
        <f>IFERROR(VLOOKUP(CONCATENATE($E793,$G793),'LAC 103'!$A$12:$O$95,14,FALSE),0)</f>
        <v>0</v>
      </c>
      <c r="V793" s="1144">
        <f>IFERROR(VLOOKUP(CONCATENATE($E793,$G793),'LAC 103'!$A$12:$O$95,15,FALSE),0)</f>
        <v>0</v>
      </c>
      <c r="W793" s="1145" t="str">
        <f>IFERROR(VLOOKUP(CONCATENATE($B793,$N793),'LAC 103'!$AI:$AQ,9,FALSE),"")</f>
        <v>Costs</v>
      </c>
      <c r="X793" s="1146">
        <f t="shared" si="222"/>
        <v>3.2074101033884355</v>
      </c>
      <c r="Y793" s="1143">
        <f t="shared" si="233"/>
        <v>2610.8318241581865</v>
      </c>
      <c r="Z793" s="1147">
        <f t="shared" si="223"/>
        <v>3247.86</v>
      </c>
      <c r="AA793" s="1144">
        <f t="shared" si="224"/>
        <v>2018.72</v>
      </c>
      <c r="AB793" s="1144">
        <f t="shared" si="225"/>
        <v>0</v>
      </c>
      <c r="AC793" s="1144">
        <f t="shared" si="226"/>
        <v>0</v>
      </c>
      <c r="AD793" s="1148">
        <f t="shared" si="218"/>
        <v>2610.8318241581865</v>
      </c>
      <c r="AE793" s="1487">
        <v>0</v>
      </c>
      <c r="AF793" s="1145">
        <f t="shared" si="227"/>
        <v>2610.8318241581865</v>
      </c>
      <c r="AG793" s="1149">
        <f>IFERROR(VLOOKUP(CONCATENATE($L793,$N793),'Drop List'!$G$23:$K$87,2,FALSE),0)</f>
        <v>0.69340000000000002</v>
      </c>
      <c r="AH793" s="1150">
        <f>IFERROR(VLOOKUP(CONCATENATE($L793,$N793),'Drop List'!$G$23:$K$87,3,FALSE),0)</f>
        <v>0</v>
      </c>
      <c r="AI793" s="1150">
        <f>IFERROR(VLOOKUP(CONCATENATE($L793,$N793),'Drop List'!$G$23:$K$87,4,FALSE),0)</f>
        <v>0</v>
      </c>
      <c r="AJ793" s="1151">
        <f>IFERROR(VLOOKUP(CONCATENATE($L793,$N793),'Drop List'!$G$23:$K$87,5,FALSE),0)</f>
        <v>0.30659999999999998</v>
      </c>
      <c r="AK793" s="1152">
        <f t="shared" si="228"/>
        <v>1810.3507868712866</v>
      </c>
      <c r="AL793" s="1153">
        <f t="shared" si="229"/>
        <v>0</v>
      </c>
      <c r="AM793" s="1153">
        <f t="shared" si="230"/>
        <v>0</v>
      </c>
      <c r="AN793" s="1145">
        <f t="shared" si="231"/>
        <v>800.48103728689989</v>
      </c>
      <c r="AO793" s="1154">
        <f t="shared" si="232"/>
        <v>2610.8318241581865</v>
      </c>
      <c r="AP793" s="1147">
        <f t="shared" si="219"/>
        <v>0</v>
      </c>
      <c r="AQ793" s="1144">
        <f t="shared" si="220"/>
        <v>0</v>
      </c>
      <c r="AR793" s="1146">
        <f t="shared" si="221"/>
        <v>2610.8318241581865</v>
      </c>
    </row>
    <row r="794" spans="1:44" x14ac:dyDescent="0.2">
      <c r="A794" s="1141" t="str">
        <f t="shared" si="216"/>
        <v>1542</v>
      </c>
      <c r="B794" s="1141" t="str">
        <f>IFERROR(VLOOKUP(A794,'LAC 103'!A:C,3,FALSE),"")</f>
        <v>OP</v>
      </c>
      <c r="C794" s="1478" t="str">
        <f>Info!$B$8</f>
        <v>00100</v>
      </c>
      <c r="D794" s="1474" t="s">
        <v>256</v>
      </c>
      <c r="E794" s="1474" t="s">
        <v>95</v>
      </c>
      <c r="F794" s="1478" t="s">
        <v>392</v>
      </c>
      <c r="G794" s="1478" t="s">
        <v>392</v>
      </c>
      <c r="H794" s="1474" t="s">
        <v>988</v>
      </c>
      <c r="I794" s="1478" t="s">
        <v>811</v>
      </c>
      <c r="J794" s="1478"/>
      <c r="K794" s="1475" t="s">
        <v>852</v>
      </c>
      <c r="L794" s="1474" t="s">
        <v>591</v>
      </c>
      <c r="M794" s="1476" t="s">
        <v>841</v>
      </c>
      <c r="N794" s="1477" t="s">
        <v>1695</v>
      </c>
      <c r="O794" s="1479">
        <v>239</v>
      </c>
      <c r="P794" s="1479"/>
      <c r="Q794" s="1142">
        <f t="shared" si="217"/>
        <v>239</v>
      </c>
      <c r="R794" s="1143">
        <f>IFERROR(VLOOKUP(CONCATENATE(E794,G794),'LAC 103'!$A$12:$O$95,11,FALSE),0)</f>
        <v>3.2074101033884355</v>
      </c>
      <c r="S794" s="1144">
        <f>IFERROR(VLOOKUP(CONCATENATE($E794,$G794),'LAC 103'!$A$12:$O$95,12,FALSE),0)</f>
        <v>3.99</v>
      </c>
      <c r="T794" s="1144">
        <f>IFERROR(VLOOKUP(CONCATENATE($E794,$G794),'LAC 103'!$A$12:$O$95,13,FALSE),0)</f>
        <v>2.48</v>
      </c>
      <c r="U794" s="1144">
        <f>IFERROR(VLOOKUP(CONCATENATE($E794,$G794),'LAC 103'!$A$12:$O$95,14,FALSE),0)</f>
        <v>0</v>
      </c>
      <c r="V794" s="1144">
        <f>IFERROR(VLOOKUP(CONCATENATE($E794,$G794),'LAC 103'!$A$12:$O$95,15,FALSE),0)</f>
        <v>0</v>
      </c>
      <c r="W794" s="1145" t="str">
        <f>IFERROR(VLOOKUP(CONCATENATE($B794,$N794),'LAC 103'!$AI:$AQ,9,FALSE),"")</f>
        <v>Costs</v>
      </c>
      <c r="X794" s="1146">
        <f t="shared" si="222"/>
        <v>3.2074101033884355</v>
      </c>
      <c r="Y794" s="1143">
        <f t="shared" si="233"/>
        <v>766.57101470983605</v>
      </c>
      <c r="Z794" s="1147">
        <f t="shared" si="223"/>
        <v>953.61</v>
      </c>
      <c r="AA794" s="1144">
        <f t="shared" si="224"/>
        <v>592.72</v>
      </c>
      <c r="AB794" s="1144">
        <f t="shared" si="225"/>
        <v>0</v>
      </c>
      <c r="AC794" s="1144">
        <f t="shared" si="226"/>
        <v>0</v>
      </c>
      <c r="AD794" s="1148">
        <f t="shared" si="218"/>
        <v>766.57101470983605</v>
      </c>
      <c r="AE794" s="1487">
        <v>0</v>
      </c>
      <c r="AF794" s="1145">
        <f t="shared" si="227"/>
        <v>766.57101470983605</v>
      </c>
      <c r="AG794" s="1149">
        <f>IFERROR(VLOOKUP(CONCATENATE($L794,$N794),'Drop List'!$G$23:$K$87,2,FALSE),0)</f>
        <v>0.68500000000000005</v>
      </c>
      <c r="AH794" s="1150">
        <f>IFERROR(VLOOKUP(CONCATENATE($L794,$N794),'Drop List'!$G$23:$K$87,3,FALSE),0)</f>
        <v>0</v>
      </c>
      <c r="AI794" s="1150">
        <f>IFERROR(VLOOKUP(CONCATENATE($L794,$N794),'Drop List'!$G$23:$K$87,4,FALSE),0)</f>
        <v>0</v>
      </c>
      <c r="AJ794" s="1151">
        <f>IFERROR(VLOOKUP(CONCATENATE($L794,$N794),'Drop List'!$G$23:$K$87,5,FALSE),0)</f>
        <v>0.31499999999999995</v>
      </c>
      <c r="AK794" s="1152">
        <f t="shared" si="228"/>
        <v>525.10114507623769</v>
      </c>
      <c r="AL794" s="1153">
        <f t="shared" si="229"/>
        <v>0</v>
      </c>
      <c r="AM794" s="1153">
        <f t="shared" si="230"/>
        <v>0</v>
      </c>
      <c r="AN794" s="1145">
        <f t="shared" si="231"/>
        <v>241.46986963359831</v>
      </c>
      <c r="AO794" s="1154">
        <f t="shared" si="232"/>
        <v>766.57101470983594</v>
      </c>
      <c r="AP794" s="1147">
        <f t="shared" si="219"/>
        <v>0</v>
      </c>
      <c r="AQ794" s="1144">
        <f t="shared" si="220"/>
        <v>0</v>
      </c>
      <c r="AR794" s="1146">
        <f t="shared" si="221"/>
        <v>766.57101470983594</v>
      </c>
    </row>
    <row r="795" spans="1:44" x14ac:dyDescent="0.2">
      <c r="A795" s="1141" t="str">
        <f t="shared" si="216"/>
        <v>1542</v>
      </c>
      <c r="B795" s="1141" t="str">
        <f>IFERROR(VLOOKUP(A795,'LAC 103'!A:C,3,FALSE),"")</f>
        <v>OP</v>
      </c>
      <c r="C795" s="1478" t="str">
        <f>Info!$B$8</f>
        <v>00100</v>
      </c>
      <c r="D795" s="1474" t="s">
        <v>256</v>
      </c>
      <c r="E795" s="1474" t="s">
        <v>95</v>
      </c>
      <c r="F795" s="1478" t="s">
        <v>392</v>
      </c>
      <c r="G795" s="1478" t="s">
        <v>392</v>
      </c>
      <c r="H795" s="1474" t="s">
        <v>988</v>
      </c>
      <c r="I795" s="1478" t="s">
        <v>811</v>
      </c>
      <c r="J795" s="1478"/>
      <c r="K795" s="1475" t="s">
        <v>852</v>
      </c>
      <c r="L795" s="1474" t="s">
        <v>591</v>
      </c>
      <c r="M795" s="1476" t="s">
        <v>840</v>
      </c>
      <c r="N795" s="1477" t="s">
        <v>1700</v>
      </c>
      <c r="O795" s="1479">
        <v>33</v>
      </c>
      <c r="P795" s="1479"/>
      <c r="Q795" s="1142">
        <f t="shared" si="217"/>
        <v>33</v>
      </c>
      <c r="R795" s="1143">
        <f>IFERROR(VLOOKUP(CONCATENATE(E795,G795),'LAC 103'!$A$12:$O$95,11,FALSE),0)</f>
        <v>3.2074101033884355</v>
      </c>
      <c r="S795" s="1144">
        <f>IFERROR(VLOOKUP(CONCATENATE($E795,$G795),'LAC 103'!$A$12:$O$95,12,FALSE),0)</f>
        <v>3.99</v>
      </c>
      <c r="T795" s="1144">
        <f>IFERROR(VLOOKUP(CONCATENATE($E795,$G795),'LAC 103'!$A$12:$O$95,13,FALSE),0)</f>
        <v>2.48</v>
      </c>
      <c r="U795" s="1144">
        <f>IFERROR(VLOOKUP(CONCATENATE($E795,$G795),'LAC 103'!$A$12:$O$95,14,FALSE),0)</f>
        <v>0</v>
      </c>
      <c r="V795" s="1144">
        <f>IFERROR(VLOOKUP(CONCATENATE($E795,$G795),'LAC 103'!$A$12:$O$95,15,FALSE),0)</f>
        <v>0</v>
      </c>
      <c r="W795" s="1145" t="str">
        <f>IFERROR(VLOOKUP(CONCATENATE($B795,$N795),'LAC 103'!$AI:$AQ,9,FALSE),"")</f>
        <v>P.C.</v>
      </c>
      <c r="X795" s="1146">
        <f t="shared" si="222"/>
        <v>2.48</v>
      </c>
      <c r="Y795" s="1143">
        <f t="shared" si="233"/>
        <v>105.84453341181838</v>
      </c>
      <c r="Z795" s="1147">
        <f t="shared" si="223"/>
        <v>131.67000000000002</v>
      </c>
      <c r="AA795" s="1144">
        <f t="shared" si="224"/>
        <v>81.84</v>
      </c>
      <c r="AB795" s="1144">
        <f t="shared" si="225"/>
        <v>0</v>
      </c>
      <c r="AC795" s="1144">
        <f t="shared" si="226"/>
        <v>0</v>
      </c>
      <c r="AD795" s="1148">
        <f t="shared" si="218"/>
        <v>81.84</v>
      </c>
      <c r="AE795" s="1487">
        <v>0</v>
      </c>
      <c r="AF795" s="1145">
        <f t="shared" si="227"/>
        <v>81.84</v>
      </c>
      <c r="AG795" s="1149">
        <f>IFERROR(VLOOKUP(CONCATENATE($L795,$N795),'Drop List'!$G$23:$K$87,2,FALSE),0)</f>
        <v>0.68500000000000005</v>
      </c>
      <c r="AH795" s="1150">
        <f>IFERROR(VLOOKUP(CONCATENATE($L795,$N795),'Drop List'!$G$23:$K$87,3,FALSE),0)</f>
        <v>0</v>
      </c>
      <c r="AI795" s="1150">
        <f>IFERROR(VLOOKUP(CONCATENATE($L795,$N795),'Drop List'!$G$23:$K$87,4,FALSE),0)</f>
        <v>0</v>
      </c>
      <c r="AJ795" s="1151">
        <f>IFERROR(VLOOKUP(CONCATENATE($L795,$N795),'Drop List'!$G$23:$K$87,5,FALSE),0)</f>
        <v>0.31499999999999995</v>
      </c>
      <c r="AK795" s="1152">
        <f t="shared" si="228"/>
        <v>56.060400000000008</v>
      </c>
      <c r="AL795" s="1153">
        <f t="shared" si="229"/>
        <v>0</v>
      </c>
      <c r="AM795" s="1153">
        <f t="shared" si="230"/>
        <v>0</v>
      </c>
      <c r="AN795" s="1145">
        <f t="shared" si="231"/>
        <v>25.779599999999995</v>
      </c>
      <c r="AO795" s="1154">
        <f t="shared" si="232"/>
        <v>81.84</v>
      </c>
      <c r="AP795" s="1147">
        <f t="shared" si="219"/>
        <v>0</v>
      </c>
      <c r="AQ795" s="1144">
        <f t="shared" si="220"/>
        <v>0</v>
      </c>
      <c r="AR795" s="1146">
        <f t="shared" si="221"/>
        <v>81.84</v>
      </c>
    </row>
    <row r="796" spans="1:44" x14ac:dyDescent="0.2">
      <c r="A796" s="1141" t="str">
        <f t="shared" si="216"/>
        <v>1542</v>
      </c>
      <c r="B796" s="1141" t="str">
        <f>IFERROR(VLOOKUP(A796,'LAC 103'!A:C,3,FALSE),"")</f>
        <v>OP</v>
      </c>
      <c r="C796" s="1478" t="str">
        <f>Info!$B$8</f>
        <v>00100</v>
      </c>
      <c r="D796" s="1474" t="s">
        <v>256</v>
      </c>
      <c r="E796" s="1474" t="s">
        <v>95</v>
      </c>
      <c r="F796" s="1478" t="s">
        <v>392</v>
      </c>
      <c r="G796" s="1478" t="s">
        <v>392</v>
      </c>
      <c r="H796" s="1474" t="s">
        <v>988</v>
      </c>
      <c r="I796" s="1478" t="s">
        <v>811</v>
      </c>
      <c r="J796" s="1478"/>
      <c r="K796" s="1475" t="s">
        <v>852</v>
      </c>
      <c r="L796" s="1474" t="s">
        <v>591</v>
      </c>
      <c r="M796" s="1476" t="s">
        <v>842</v>
      </c>
      <c r="N796" s="1477" t="s">
        <v>1692</v>
      </c>
      <c r="O796" s="1479">
        <v>891</v>
      </c>
      <c r="P796" s="1479"/>
      <c r="Q796" s="1142">
        <f t="shared" si="217"/>
        <v>891</v>
      </c>
      <c r="R796" s="1143">
        <f>IFERROR(VLOOKUP(CONCATENATE(E796,G796),'LAC 103'!$A$12:$O$95,11,FALSE),0)</f>
        <v>3.2074101033884355</v>
      </c>
      <c r="S796" s="1144">
        <f>IFERROR(VLOOKUP(CONCATENATE($E796,$G796),'LAC 103'!$A$12:$O$95,12,FALSE),0)</f>
        <v>3.99</v>
      </c>
      <c r="T796" s="1144">
        <f>IFERROR(VLOOKUP(CONCATENATE($E796,$G796),'LAC 103'!$A$12:$O$95,13,FALSE),0)</f>
        <v>2.48</v>
      </c>
      <c r="U796" s="1144">
        <f>IFERROR(VLOOKUP(CONCATENATE($E796,$G796),'LAC 103'!$A$12:$O$95,14,FALSE),0)</f>
        <v>0</v>
      </c>
      <c r="V796" s="1144">
        <f>IFERROR(VLOOKUP(CONCATENATE($E796,$G796),'LAC 103'!$A$12:$O$95,15,FALSE),0)</f>
        <v>0</v>
      </c>
      <c r="W796" s="1145" t="str">
        <f>IFERROR(VLOOKUP(CONCATENATE($B796,$N796),'LAC 103'!$AI:$AQ,9,FALSE),"")</f>
        <v>Costs</v>
      </c>
      <c r="X796" s="1146">
        <f t="shared" si="222"/>
        <v>3.2074101033884355</v>
      </c>
      <c r="Y796" s="1143">
        <f t="shared" si="233"/>
        <v>2857.8024021190959</v>
      </c>
      <c r="Z796" s="1147">
        <f t="shared" si="223"/>
        <v>3555.09</v>
      </c>
      <c r="AA796" s="1144">
        <f t="shared" si="224"/>
        <v>2209.6799999999998</v>
      </c>
      <c r="AB796" s="1144">
        <f t="shared" si="225"/>
        <v>0</v>
      </c>
      <c r="AC796" s="1144">
        <f t="shared" si="226"/>
        <v>0</v>
      </c>
      <c r="AD796" s="1148">
        <f t="shared" si="218"/>
        <v>2857.8024021190959</v>
      </c>
      <c r="AE796" s="1487">
        <v>0</v>
      </c>
      <c r="AF796" s="1145">
        <f t="shared" si="227"/>
        <v>2857.8024021190959</v>
      </c>
      <c r="AG796" s="1149">
        <f>IFERROR(VLOOKUP(CONCATENATE($L796,$N796),'Drop List'!$G$23:$K$87,2,FALSE),0)</f>
        <v>0.69340000000000002</v>
      </c>
      <c r="AH796" s="1150">
        <f>IFERROR(VLOOKUP(CONCATENATE($L796,$N796),'Drop List'!$G$23:$K$87,3,FALSE),0)</f>
        <v>0</v>
      </c>
      <c r="AI796" s="1150">
        <f>IFERROR(VLOOKUP(CONCATENATE($L796,$N796),'Drop List'!$G$23:$K$87,4,FALSE),0)</f>
        <v>0</v>
      </c>
      <c r="AJ796" s="1151">
        <f>IFERROR(VLOOKUP(CONCATENATE($L796,$N796),'Drop List'!$G$23:$K$87,5,FALSE),0)</f>
        <v>0.30659999999999998</v>
      </c>
      <c r="AK796" s="1152">
        <f t="shared" si="228"/>
        <v>1981.600185629381</v>
      </c>
      <c r="AL796" s="1153">
        <f t="shared" si="229"/>
        <v>0</v>
      </c>
      <c r="AM796" s="1153">
        <f t="shared" si="230"/>
        <v>0</v>
      </c>
      <c r="AN796" s="1145">
        <f t="shared" si="231"/>
        <v>876.20221648971471</v>
      </c>
      <c r="AO796" s="1154">
        <f t="shared" si="232"/>
        <v>2857.8024021190959</v>
      </c>
      <c r="AP796" s="1147">
        <f t="shared" si="219"/>
        <v>0</v>
      </c>
      <c r="AQ796" s="1144">
        <f t="shared" si="220"/>
        <v>0</v>
      </c>
      <c r="AR796" s="1146">
        <f t="shared" si="221"/>
        <v>2857.8024021190959</v>
      </c>
    </row>
    <row r="797" spans="1:44" x14ac:dyDescent="0.2">
      <c r="A797" s="1141" t="str">
        <f t="shared" si="216"/>
        <v>1542</v>
      </c>
      <c r="B797" s="1141" t="str">
        <f>IFERROR(VLOOKUP(A797,'LAC 103'!A:C,3,FALSE),"")</f>
        <v>OP</v>
      </c>
      <c r="C797" s="1478" t="str">
        <f>Info!$B$8</f>
        <v>00100</v>
      </c>
      <c r="D797" s="1474" t="s">
        <v>256</v>
      </c>
      <c r="E797" s="1474" t="s">
        <v>95</v>
      </c>
      <c r="F797" s="1478" t="s">
        <v>392</v>
      </c>
      <c r="G797" s="1478" t="s">
        <v>392</v>
      </c>
      <c r="H797" s="1474" t="s">
        <v>988</v>
      </c>
      <c r="I797" s="1478" t="s">
        <v>811</v>
      </c>
      <c r="J797" s="1478"/>
      <c r="K797" s="1475" t="s">
        <v>852</v>
      </c>
      <c r="L797" s="1474" t="s">
        <v>591</v>
      </c>
      <c r="M797" s="1476" t="s">
        <v>1698</v>
      </c>
      <c r="N797" s="1477" t="s">
        <v>1693</v>
      </c>
      <c r="O797" s="1479">
        <v>761</v>
      </c>
      <c r="P797" s="1479"/>
      <c r="Q797" s="1142">
        <f t="shared" si="217"/>
        <v>761</v>
      </c>
      <c r="R797" s="1143">
        <f>IFERROR(VLOOKUP(CONCATENATE(E797,G797),'LAC 103'!$A$12:$O$95,11,FALSE),0)</f>
        <v>3.2074101033884355</v>
      </c>
      <c r="S797" s="1144">
        <f>IFERROR(VLOOKUP(CONCATENATE($E797,$G797),'LAC 103'!$A$12:$O$95,12,FALSE),0)</f>
        <v>3.99</v>
      </c>
      <c r="T797" s="1144">
        <f>IFERROR(VLOOKUP(CONCATENATE($E797,$G797),'LAC 103'!$A$12:$O$95,13,FALSE),0)</f>
        <v>2.48</v>
      </c>
      <c r="U797" s="1144">
        <f>IFERROR(VLOOKUP(CONCATENATE($E797,$G797),'LAC 103'!$A$12:$O$95,14,FALSE),0)</f>
        <v>0</v>
      </c>
      <c r="V797" s="1144">
        <f>IFERROR(VLOOKUP(CONCATENATE($E797,$G797),'LAC 103'!$A$12:$O$95,15,FALSE),0)</f>
        <v>0</v>
      </c>
      <c r="W797" s="1145" t="str">
        <f>IFERROR(VLOOKUP(CONCATENATE($B797,$N797),'LAC 103'!$AI:$AQ,9,FALSE),"")</f>
        <v>Costs</v>
      </c>
      <c r="X797" s="1146">
        <f t="shared" si="222"/>
        <v>3.2074101033884355</v>
      </c>
      <c r="Y797" s="1143">
        <f t="shared" si="233"/>
        <v>2440.8390886785992</v>
      </c>
      <c r="Z797" s="1147">
        <f t="shared" si="223"/>
        <v>3036.3900000000003</v>
      </c>
      <c r="AA797" s="1144">
        <f t="shared" si="224"/>
        <v>1887.28</v>
      </c>
      <c r="AB797" s="1144">
        <f t="shared" si="225"/>
        <v>0</v>
      </c>
      <c r="AC797" s="1144">
        <f t="shared" si="226"/>
        <v>0</v>
      </c>
      <c r="AD797" s="1148">
        <f t="shared" si="218"/>
        <v>2440.8390886785992</v>
      </c>
      <c r="AE797" s="1487">
        <v>0</v>
      </c>
      <c r="AF797" s="1145">
        <f t="shared" si="227"/>
        <v>2440.8390886785992</v>
      </c>
      <c r="AG797" s="1149">
        <f>IFERROR(VLOOKUP(CONCATENATE($L797,$N797),'Drop List'!$G$23:$K$87,2,FALSE),0)</f>
        <v>0.69340000000000002</v>
      </c>
      <c r="AH797" s="1150">
        <f>IFERROR(VLOOKUP(CONCATENATE($L797,$N797),'Drop List'!$G$23:$K$87,3,FALSE),0)</f>
        <v>0</v>
      </c>
      <c r="AI797" s="1150">
        <f>IFERROR(VLOOKUP(CONCATENATE($L797,$N797),'Drop List'!$G$23:$K$87,4,FALSE),0)</f>
        <v>0</v>
      </c>
      <c r="AJ797" s="1151">
        <f>IFERROR(VLOOKUP(CONCATENATE($L797,$N797),'Drop List'!$G$23:$K$87,5,FALSE),0)</f>
        <v>0.30659999999999998</v>
      </c>
      <c r="AK797" s="1152">
        <f t="shared" si="228"/>
        <v>1692.4778240897408</v>
      </c>
      <c r="AL797" s="1153">
        <f t="shared" si="229"/>
        <v>0</v>
      </c>
      <c r="AM797" s="1153">
        <f t="shared" si="230"/>
        <v>0</v>
      </c>
      <c r="AN797" s="1145">
        <f t="shared" si="231"/>
        <v>748.36126458885849</v>
      </c>
      <c r="AO797" s="1154">
        <f t="shared" si="232"/>
        <v>2440.8390886785992</v>
      </c>
      <c r="AP797" s="1147">
        <f t="shared" si="219"/>
        <v>0</v>
      </c>
      <c r="AQ797" s="1144">
        <f t="shared" si="220"/>
        <v>0</v>
      </c>
      <c r="AR797" s="1146">
        <f t="shared" si="221"/>
        <v>2440.8390886785992</v>
      </c>
    </row>
    <row r="798" spans="1:44" x14ac:dyDescent="0.2">
      <c r="A798" s="1141" t="str">
        <f t="shared" si="216"/>
        <v>1542</v>
      </c>
      <c r="B798" s="1141" t="str">
        <f>IFERROR(VLOOKUP(A798,'LAC 103'!A:C,3,FALSE),"")</f>
        <v>OP</v>
      </c>
      <c r="C798" s="1478" t="str">
        <f>Info!$B$8</f>
        <v>00100</v>
      </c>
      <c r="D798" s="1474" t="s">
        <v>256</v>
      </c>
      <c r="E798" s="1474" t="s">
        <v>95</v>
      </c>
      <c r="F798" s="1478" t="s">
        <v>392</v>
      </c>
      <c r="G798" s="1478" t="s">
        <v>392</v>
      </c>
      <c r="H798" s="1474" t="s">
        <v>988</v>
      </c>
      <c r="I798" s="1478" t="s">
        <v>811</v>
      </c>
      <c r="J798" s="1478"/>
      <c r="K798" s="1475" t="s">
        <v>848</v>
      </c>
      <c r="L798" s="1474" t="s">
        <v>45</v>
      </c>
      <c r="M798" s="1476" t="s">
        <v>1699</v>
      </c>
      <c r="N798" s="1477" t="s">
        <v>1694</v>
      </c>
      <c r="O798" s="1479">
        <v>26217</v>
      </c>
      <c r="P798" s="1479"/>
      <c r="Q798" s="1142">
        <f t="shared" si="217"/>
        <v>26217</v>
      </c>
      <c r="R798" s="1143">
        <f>IFERROR(VLOOKUP(CONCATENATE(E798,G798),'LAC 103'!$A$12:$O$95,11,FALSE),0)</f>
        <v>3.2074101033884355</v>
      </c>
      <c r="S798" s="1144">
        <f>IFERROR(VLOOKUP(CONCATENATE($E798,$G798),'LAC 103'!$A$12:$O$95,12,FALSE),0)</f>
        <v>3.99</v>
      </c>
      <c r="T798" s="1144">
        <f>IFERROR(VLOOKUP(CONCATENATE($E798,$G798),'LAC 103'!$A$12:$O$95,13,FALSE),0)</f>
        <v>2.48</v>
      </c>
      <c r="U798" s="1144">
        <f>IFERROR(VLOOKUP(CONCATENATE($E798,$G798),'LAC 103'!$A$12:$O$95,14,FALSE),0)</f>
        <v>0</v>
      </c>
      <c r="V798" s="1144">
        <f>IFERROR(VLOOKUP(CONCATENATE($E798,$G798),'LAC 103'!$A$12:$O$95,15,FALSE),0)</f>
        <v>0</v>
      </c>
      <c r="W798" s="1145" t="str">
        <f>IFERROR(VLOOKUP(CONCATENATE($B798,$N798),'LAC 103'!$AI:$AQ,9,FALSE),"")</f>
        <v>Costs</v>
      </c>
      <c r="X798" s="1146">
        <f t="shared" si="222"/>
        <v>3.2074101033884355</v>
      </c>
      <c r="Y798" s="1143">
        <f t="shared" si="233"/>
        <v>84088.670680534618</v>
      </c>
      <c r="Z798" s="1147">
        <f t="shared" si="223"/>
        <v>104605.83</v>
      </c>
      <c r="AA798" s="1144">
        <f t="shared" si="224"/>
        <v>65018.159999999996</v>
      </c>
      <c r="AB798" s="1144">
        <f t="shared" si="225"/>
        <v>0</v>
      </c>
      <c r="AC798" s="1144">
        <f t="shared" si="226"/>
        <v>0</v>
      </c>
      <c r="AD798" s="1148">
        <f t="shared" si="218"/>
        <v>84088.670680534618</v>
      </c>
      <c r="AE798" s="1487">
        <v>0</v>
      </c>
      <c r="AF798" s="1145">
        <f t="shared" si="227"/>
        <v>84088.670680534618</v>
      </c>
      <c r="AG798" s="1149">
        <f>IFERROR(VLOOKUP(CONCATENATE($L798,$N798),'Drop List'!$G$23:$K$87,2,FALSE),0)</f>
        <v>0.69340000000000002</v>
      </c>
      <c r="AH798" s="1150">
        <f>IFERROR(VLOOKUP(CONCATENATE($L798,$N798),'Drop List'!$G$23:$K$87,3,FALSE),0)</f>
        <v>0.30659999999999998</v>
      </c>
      <c r="AI798" s="1150">
        <f>IFERROR(VLOOKUP(CONCATENATE($L798,$N798),'Drop List'!$G$23:$K$87,4,FALSE),0)</f>
        <v>0</v>
      </c>
      <c r="AJ798" s="1151">
        <f>IFERROR(VLOOKUP(CONCATENATE($L798,$N798),'Drop List'!$G$23:$K$87,5,FALSE),0)</f>
        <v>0</v>
      </c>
      <c r="AK798" s="1152">
        <f t="shared" si="228"/>
        <v>58307.084249882704</v>
      </c>
      <c r="AL798" s="1153">
        <f t="shared" si="229"/>
        <v>25781.586430651914</v>
      </c>
      <c r="AM798" s="1153">
        <f t="shared" si="230"/>
        <v>0</v>
      </c>
      <c r="AN798" s="1145">
        <f t="shared" si="231"/>
        <v>0</v>
      </c>
      <c r="AO798" s="1154">
        <f t="shared" si="232"/>
        <v>84088.670680534618</v>
      </c>
      <c r="AP798" s="1147">
        <f t="shared" si="219"/>
        <v>0</v>
      </c>
      <c r="AQ798" s="1144">
        <f t="shared" si="220"/>
        <v>0</v>
      </c>
      <c r="AR798" s="1146">
        <f t="shared" si="221"/>
        <v>84088.670680534618</v>
      </c>
    </row>
    <row r="799" spans="1:44" x14ac:dyDescent="0.2">
      <c r="A799" s="1141" t="str">
        <f t="shared" si="216"/>
        <v>1542</v>
      </c>
      <c r="B799" s="1141" t="str">
        <f>IFERROR(VLOOKUP(A799,'LAC 103'!A:C,3,FALSE),"")</f>
        <v>OP</v>
      </c>
      <c r="C799" s="1478" t="str">
        <f>Info!$B$8</f>
        <v>00100</v>
      </c>
      <c r="D799" s="1474" t="s">
        <v>256</v>
      </c>
      <c r="E799" s="1474" t="s">
        <v>95</v>
      </c>
      <c r="F799" s="1478" t="s">
        <v>392</v>
      </c>
      <c r="G799" s="1478" t="s">
        <v>392</v>
      </c>
      <c r="H799" s="1474" t="s">
        <v>988</v>
      </c>
      <c r="I799" s="1478" t="s">
        <v>811</v>
      </c>
      <c r="J799" s="1478"/>
      <c r="K799" s="1475" t="s">
        <v>848</v>
      </c>
      <c r="L799" s="1474" t="s">
        <v>45</v>
      </c>
      <c r="M799" s="1476" t="s">
        <v>841</v>
      </c>
      <c r="N799" s="1477" t="s">
        <v>1695</v>
      </c>
      <c r="O799" s="1479">
        <v>9262</v>
      </c>
      <c r="P799" s="1479"/>
      <c r="Q799" s="1142">
        <f t="shared" si="217"/>
        <v>9262</v>
      </c>
      <c r="R799" s="1143">
        <f>IFERROR(VLOOKUP(CONCATENATE(E799,G799),'LAC 103'!$A$12:$O$95,11,FALSE),0)</f>
        <v>3.2074101033884355</v>
      </c>
      <c r="S799" s="1144">
        <f>IFERROR(VLOOKUP(CONCATENATE($E799,$G799),'LAC 103'!$A$12:$O$95,12,FALSE),0)</f>
        <v>3.99</v>
      </c>
      <c r="T799" s="1144">
        <f>IFERROR(VLOOKUP(CONCATENATE($E799,$G799),'LAC 103'!$A$12:$O$95,13,FALSE),0)</f>
        <v>2.48</v>
      </c>
      <c r="U799" s="1144">
        <f>IFERROR(VLOOKUP(CONCATENATE($E799,$G799),'LAC 103'!$A$12:$O$95,14,FALSE),0)</f>
        <v>0</v>
      </c>
      <c r="V799" s="1144">
        <f>IFERROR(VLOOKUP(CONCATENATE($E799,$G799),'LAC 103'!$A$12:$O$95,15,FALSE),0)</f>
        <v>0</v>
      </c>
      <c r="W799" s="1145" t="str">
        <f>IFERROR(VLOOKUP(CONCATENATE($B799,$N799),'LAC 103'!$AI:$AQ,9,FALSE),"")</f>
        <v>Costs</v>
      </c>
      <c r="X799" s="1146">
        <f t="shared" si="222"/>
        <v>3.2074101033884355</v>
      </c>
      <c r="Y799" s="1143">
        <f t="shared" si="233"/>
        <v>29707.032377583688</v>
      </c>
      <c r="Z799" s="1147">
        <f t="shared" si="223"/>
        <v>36955.380000000005</v>
      </c>
      <c r="AA799" s="1144">
        <f t="shared" si="224"/>
        <v>22969.759999999998</v>
      </c>
      <c r="AB799" s="1144">
        <f t="shared" si="225"/>
        <v>0</v>
      </c>
      <c r="AC799" s="1144">
        <f t="shared" si="226"/>
        <v>0</v>
      </c>
      <c r="AD799" s="1148">
        <f t="shared" si="218"/>
        <v>29707.032377583688</v>
      </c>
      <c r="AE799" s="1487">
        <v>0</v>
      </c>
      <c r="AF799" s="1145">
        <f t="shared" si="227"/>
        <v>29707.032377583688</v>
      </c>
      <c r="AG799" s="1149">
        <f>IFERROR(VLOOKUP(CONCATENATE($L799,$N799),'Drop List'!$G$23:$K$87,2,FALSE),0)</f>
        <v>0.68500000000000005</v>
      </c>
      <c r="AH799" s="1150">
        <f>IFERROR(VLOOKUP(CONCATENATE($L799,$N799),'Drop List'!$G$23:$K$87,3,FALSE),0)</f>
        <v>0.31499999999999995</v>
      </c>
      <c r="AI799" s="1150">
        <f>IFERROR(VLOOKUP(CONCATENATE($L799,$N799),'Drop List'!$G$23:$K$87,4,FALSE),0)</f>
        <v>0</v>
      </c>
      <c r="AJ799" s="1151">
        <f>IFERROR(VLOOKUP(CONCATENATE($L799,$N799),'Drop List'!$G$23:$K$87,5,FALSE),0)</f>
        <v>0</v>
      </c>
      <c r="AK799" s="1152">
        <f t="shared" si="228"/>
        <v>20349.317178644829</v>
      </c>
      <c r="AL799" s="1153">
        <f t="shared" si="229"/>
        <v>9357.7151989388603</v>
      </c>
      <c r="AM799" s="1153">
        <f t="shared" si="230"/>
        <v>0</v>
      </c>
      <c r="AN799" s="1145">
        <f t="shared" si="231"/>
        <v>0</v>
      </c>
      <c r="AO799" s="1154">
        <f t="shared" si="232"/>
        <v>29707.032377583688</v>
      </c>
      <c r="AP799" s="1147">
        <f t="shared" si="219"/>
        <v>0</v>
      </c>
      <c r="AQ799" s="1144">
        <f t="shared" si="220"/>
        <v>0</v>
      </c>
      <c r="AR799" s="1146">
        <f t="shared" si="221"/>
        <v>29707.032377583688</v>
      </c>
    </row>
    <row r="800" spans="1:44" x14ac:dyDescent="0.2">
      <c r="A800" s="1141" t="str">
        <f t="shared" si="216"/>
        <v>1542</v>
      </c>
      <c r="B800" s="1141" t="str">
        <f>IFERROR(VLOOKUP(A800,'LAC 103'!A:C,3,FALSE),"")</f>
        <v>OP</v>
      </c>
      <c r="C800" s="1478" t="str">
        <f>Info!$B$8</f>
        <v>00100</v>
      </c>
      <c r="D800" s="1474" t="s">
        <v>256</v>
      </c>
      <c r="E800" s="1474" t="s">
        <v>95</v>
      </c>
      <c r="F800" s="1478" t="s">
        <v>392</v>
      </c>
      <c r="G800" s="1478" t="s">
        <v>392</v>
      </c>
      <c r="H800" s="1474" t="s">
        <v>988</v>
      </c>
      <c r="I800" s="1478" t="s">
        <v>811</v>
      </c>
      <c r="J800" s="1478"/>
      <c r="K800" s="1475" t="s">
        <v>848</v>
      </c>
      <c r="L800" s="1474" t="s">
        <v>45</v>
      </c>
      <c r="M800" s="1476" t="s">
        <v>840</v>
      </c>
      <c r="N800" s="1477" t="s">
        <v>1700</v>
      </c>
      <c r="O800" s="1479">
        <v>12982</v>
      </c>
      <c r="P800" s="1479"/>
      <c r="Q800" s="1142">
        <f t="shared" si="217"/>
        <v>12982</v>
      </c>
      <c r="R800" s="1143">
        <f>IFERROR(VLOOKUP(CONCATENATE(E800,G800),'LAC 103'!$A$12:$O$95,11,FALSE),0)</f>
        <v>3.2074101033884355</v>
      </c>
      <c r="S800" s="1144">
        <f>IFERROR(VLOOKUP(CONCATENATE($E800,$G800),'LAC 103'!$A$12:$O$95,12,FALSE),0)</f>
        <v>3.99</v>
      </c>
      <c r="T800" s="1144">
        <f>IFERROR(VLOOKUP(CONCATENATE($E800,$G800),'LAC 103'!$A$12:$O$95,13,FALSE),0)</f>
        <v>2.48</v>
      </c>
      <c r="U800" s="1144">
        <f>IFERROR(VLOOKUP(CONCATENATE($E800,$G800),'LAC 103'!$A$12:$O$95,14,FALSE),0)</f>
        <v>0</v>
      </c>
      <c r="V800" s="1144">
        <f>IFERROR(VLOOKUP(CONCATENATE($E800,$G800),'LAC 103'!$A$12:$O$95,15,FALSE),0)</f>
        <v>0</v>
      </c>
      <c r="W800" s="1145" t="str">
        <f>IFERROR(VLOOKUP(CONCATENATE($B800,$N800),'LAC 103'!$AI:$AQ,9,FALSE),"")</f>
        <v>P.C.</v>
      </c>
      <c r="X800" s="1146">
        <f t="shared" si="222"/>
        <v>2.48</v>
      </c>
      <c r="Y800" s="1143">
        <f t="shared" si="233"/>
        <v>41638.597962188673</v>
      </c>
      <c r="Z800" s="1147">
        <f t="shared" si="223"/>
        <v>51798.18</v>
      </c>
      <c r="AA800" s="1144">
        <f t="shared" si="224"/>
        <v>32195.360000000001</v>
      </c>
      <c r="AB800" s="1144">
        <f t="shared" si="225"/>
        <v>0</v>
      </c>
      <c r="AC800" s="1144">
        <f t="shared" si="226"/>
        <v>0</v>
      </c>
      <c r="AD800" s="1148">
        <f t="shared" si="218"/>
        <v>32195.360000000001</v>
      </c>
      <c r="AE800" s="1487">
        <v>0</v>
      </c>
      <c r="AF800" s="1145">
        <f t="shared" si="227"/>
        <v>32195.360000000001</v>
      </c>
      <c r="AG800" s="1149">
        <f>IFERROR(VLOOKUP(CONCATENATE($L800,$N800),'Drop List'!$G$23:$K$87,2,FALSE),0)</f>
        <v>0.68500000000000005</v>
      </c>
      <c r="AH800" s="1150">
        <f>IFERROR(VLOOKUP(CONCATENATE($L800,$N800),'Drop List'!$G$23:$K$87,3,FALSE),0)</f>
        <v>0.31499999999999995</v>
      </c>
      <c r="AI800" s="1150">
        <f>IFERROR(VLOOKUP(CONCATENATE($L800,$N800),'Drop List'!$G$23:$K$87,4,FALSE),0)</f>
        <v>0</v>
      </c>
      <c r="AJ800" s="1151">
        <f>IFERROR(VLOOKUP(CONCATENATE($L800,$N800),'Drop List'!$G$23:$K$87,5,FALSE),0)</f>
        <v>0</v>
      </c>
      <c r="AK800" s="1152">
        <f t="shared" si="228"/>
        <v>22053.821600000003</v>
      </c>
      <c r="AL800" s="1153">
        <f t="shared" si="229"/>
        <v>10141.538399999998</v>
      </c>
      <c r="AM800" s="1153">
        <f t="shared" si="230"/>
        <v>0</v>
      </c>
      <c r="AN800" s="1145">
        <f t="shared" si="231"/>
        <v>0</v>
      </c>
      <c r="AO800" s="1154">
        <f t="shared" si="232"/>
        <v>32195.360000000001</v>
      </c>
      <c r="AP800" s="1147">
        <f t="shared" si="219"/>
        <v>0</v>
      </c>
      <c r="AQ800" s="1144">
        <f t="shared" si="220"/>
        <v>0</v>
      </c>
      <c r="AR800" s="1146">
        <f t="shared" si="221"/>
        <v>32195.360000000001</v>
      </c>
    </row>
    <row r="801" spans="1:44" x14ac:dyDescent="0.2">
      <c r="A801" s="1141" t="str">
        <f t="shared" si="216"/>
        <v>1542</v>
      </c>
      <c r="B801" s="1141" t="str">
        <f>IFERROR(VLOOKUP(A801,'LAC 103'!A:C,3,FALSE),"")</f>
        <v>OP</v>
      </c>
      <c r="C801" s="1478" t="str">
        <f>Info!$B$8</f>
        <v>00100</v>
      </c>
      <c r="D801" s="1474" t="s">
        <v>256</v>
      </c>
      <c r="E801" s="1474" t="s">
        <v>95</v>
      </c>
      <c r="F801" s="1478" t="s">
        <v>392</v>
      </c>
      <c r="G801" s="1478" t="s">
        <v>392</v>
      </c>
      <c r="H801" s="1474" t="s">
        <v>988</v>
      </c>
      <c r="I801" s="1478" t="s">
        <v>811</v>
      </c>
      <c r="J801" s="1478"/>
      <c r="K801" s="1475" t="s">
        <v>848</v>
      </c>
      <c r="L801" s="1474" t="s">
        <v>45</v>
      </c>
      <c r="M801" s="1476" t="s">
        <v>842</v>
      </c>
      <c r="N801" s="1477" t="s">
        <v>1692</v>
      </c>
      <c r="O801" s="1479">
        <v>34214</v>
      </c>
      <c r="P801" s="1479"/>
      <c r="Q801" s="1142">
        <f t="shared" si="217"/>
        <v>34214</v>
      </c>
      <c r="R801" s="1143">
        <f>IFERROR(VLOOKUP(CONCATENATE(E801,G801),'LAC 103'!$A$12:$O$95,11,FALSE),0)</f>
        <v>3.2074101033884355</v>
      </c>
      <c r="S801" s="1144">
        <f>IFERROR(VLOOKUP(CONCATENATE($E801,$G801),'LAC 103'!$A$12:$O$95,12,FALSE),0)</f>
        <v>3.99</v>
      </c>
      <c r="T801" s="1144">
        <f>IFERROR(VLOOKUP(CONCATENATE($E801,$G801),'LAC 103'!$A$12:$O$95,13,FALSE),0)</f>
        <v>2.48</v>
      </c>
      <c r="U801" s="1144">
        <f>IFERROR(VLOOKUP(CONCATENATE($E801,$G801),'LAC 103'!$A$12:$O$95,14,FALSE),0)</f>
        <v>0</v>
      </c>
      <c r="V801" s="1144">
        <f>IFERROR(VLOOKUP(CONCATENATE($E801,$G801),'LAC 103'!$A$12:$O$95,15,FALSE),0)</f>
        <v>0</v>
      </c>
      <c r="W801" s="1145" t="str">
        <f>IFERROR(VLOOKUP(CONCATENATE($B801,$N801),'LAC 103'!$AI:$AQ,9,FALSE),"")</f>
        <v>Costs</v>
      </c>
      <c r="X801" s="1146">
        <f t="shared" si="222"/>
        <v>3.2074101033884355</v>
      </c>
      <c r="Y801" s="1143">
        <f t="shared" si="233"/>
        <v>109738.32927733193</v>
      </c>
      <c r="Z801" s="1147">
        <f t="shared" si="223"/>
        <v>136513.86000000002</v>
      </c>
      <c r="AA801" s="1144">
        <f t="shared" si="224"/>
        <v>84850.72</v>
      </c>
      <c r="AB801" s="1144">
        <f t="shared" si="225"/>
        <v>0</v>
      </c>
      <c r="AC801" s="1144">
        <f t="shared" si="226"/>
        <v>0</v>
      </c>
      <c r="AD801" s="1148">
        <f t="shared" si="218"/>
        <v>109738.32927733193</v>
      </c>
      <c r="AE801" s="1487">
        <v>0</v>
      </c>
      <c r="AF801" s="1145">
        <f t="shared" si="227"/>
        <v>109738.32927733193</v>
      </c>
      <c r="AG801" s="1149">
        <f>IFERROR(VLOOKUP(CONCATENATE($L801,$N801),'Drop List'!$G$23:$K$87,2,FALSE),0)</f>
        <v>0.69340000000000002</v>
      </c>
      <c r="AH801" s="1150">
        <f>IFERROR(VLOOKUP(CONCATENATE($L801,$N801),'Drop List'!$G$23:$K$87,3,FALSE),0)</f>
        <v>0.30659999999999998</v>
      </c>
      <c r="AI801" s="1150">
        <f>IFERROR(VLOOKUP(CONCATENATE($L801,$N801),'Drop List'!$G$23:$K$87,4,FALSE),0)</f>
        <v>0</v>
      </c>
      <c r="AJ801" s="1151">
        <f>IFERROR(VLOOKUP(CONCATENATE($L801,$N801),'Drop List'!$G$23:$K$87,5,FALSE),0)</f>
        <v>0</v>
      </c>
      <c r="AK801" s="1152">
        <f t="shared" si="228"/>
        <v>76092.557520901959</v>
      </c>
      <c r="AL801" s="1153">
        <f t="shared" si="229"/>
        <v>33645.771756429967</v>
      </c>
      <c r="AM801" s="1153">
        <f t="shared" si="230"/>
        <v>0</v>
      </c>
      <c r="AN801" s="1145">
        <f t="shared" si="231"/>
        <v>0</v>
      </c>
      <c r="AO801" s="1154">
        <f t="shared" si="232"/>
        <v>109738.32927733193</v>
      </c>
      <c r="AP801" s="1147">
        <f t="shared" si="219"/>
        <v>0</v>
      </c>
      <c r="AQ801" s="1144">
        <f t="shared" si="220"/>
        <v>0</v>
      </c>
      <c r="AR801" s="1146">
        <f t="shared" si="221"/>
        <v>109738.32927733193</v>
      </c>
    </row>
    <row r="802" spans="1:44" x14ac:dyDescent="0.2">
      <c r="A802" s="1141" t="str">
        <f t="shared" si="216"/>
        <v>1542</v>
      </c>
      <c r="B802" s="1141" t="str">
        <f>IFERROR(VLOOKUP(A802,'LAC 103'!A:C,3,FALSE),"")</f>
        <v>OP</v>
      </c>
      <c r="C802" s="1478" t="str">
        <f>Info!$B$8</f>
        <v>00100</v>
      </c>
      <c r="D802" s="1474" t="s">
        <v>256</v>
      </c>
      <c r="E802" s="1474" t="s">
        <v>95</v>
      </c>
      <c r="F802" s="1478" t="s">
        <v>392</v>
      </c>
      <c r="G802" s="1478" t="s">
        <v>392</v>
      </c>
      <c r="H802" s="1474" t="s">
        <v>988</v>
      </c>
      <c r="I802" s="1478" t="s">
        <v>811</v>
      </c>
      <c r="J802" s="1478"/>
      <c r="K802" s="1475" t="s">
        <v>848</v>
      </c>
      <c r="L802" s="1474" t="s">
        <v>45</v>
      </c>
      <c r="M802" s="1476" t="s">
        <v>1698</v>
      </c>
      <c r="N802" s="1477" t="s">
        <v>1693</v>
      </c>
      <c r="O802" s="1479">
        <v>31811</v>
      </c>
      <c r="P802" s="1479"/>
      <c r="Q802" s="1142">
        <f t="shared" si="217"/>
        <v>31811</v>
      </c>
      <c r="R802" s="1143">
        <f>IFERROR(VLOOKUP(CONCATENATE(E802,G802),'LAC 103'!$A$12:$O$95,11,FALSE),0)</f>
        <v>3.2074101033884355</v>
      </c>
      <c r="S802" s="1144">
        <f>IFERROR(VLOOKUP(CONCATENATE($E802,$G802),'LAC 103'!$A$12:$O$95,12,FALSE),0)</f>
        <v>3.99</v>
      </c>
      <c r="T802" s="1144">
        <f>IFERROR(VLOOKUP(CONCATENATE($E802,$G802),'LAC 103'!$A$12:$O$95,13,FALSE),0)</f>
        <v>2.48</v>
      </c>
      <c r="U802" s="1144">
        <f>IFERROR(VLOOKUP(CONCATENATE($E802,$G802),'LAC 103'!$A$12:$O$95,14,FALSE),0)</f>
        <v>0</v>
      </c>
      <c r="V802" s="1144">
        <f>IFERROR(VLOOKUP(CONCATENATE($E802,$G802),'LAC 103'!$A$12:$O$95,15,FALSE),0)</f>
        <v>0</v>
      </c>
      <c r="W802" s="1145" t="str">
        <f>IFERROR(VLOOKUP(CONCATENATE($B802,$N802),'LAC 103'!$AI:$AQ,9,FALSE),"")</f>
        <v>Costs</v>
      </c>
      <c r="X802" s="1146">
        <f t="shared" si="222"/>
        <v>3.2074101033884355</v>
      </c>
      <c r="Y802" s="1143">
        <f t="shared" si="233"/>
        <v>102030.92279888951</v>
      </c>
      <c r="Z802" s="1147">
        <f t="shared" si="223"/>
        <v>126925.89000000001</v>
      </c>
      <c r="AA802" s="1144">
        <f t="shared" si="224"/>
        <v>78891.28</v>
      </c>
      <c r="AB802" s="1144">
        <f t="shared" si="225"/>
        <v>0</v>
      </c>
      <c r="AC802" s="1144">
        <f t="shared" si="226"/>
        <v>0</v>
      </c>
      <c r="AD802" s="1148">
        <f t="shared" si="218"/>
        <v>102030.92279888951</v>
      </c>
      <c r="AE802" s="1487">
        <v>0</v>
      </c>
      <c r="AF802" s="1145">
        <f t="shared" si="227"/>
        <v>102030.92279888951</v>
      </c>
      <c r="AG802" s="1149">
        <f>IFERROR(VLOOKUP(CONCATENATE($L802,$N802),'Drop List'!$G$23:$K$87,2,FALSE),0)</f>
        <v>0.69340000000000002</v>
      </c>
      <c r="AH802" s="1150">
        <f>IFERROR(VLOOKUP(CONCATENATE($L802,$N802),'Drop List'!$G$23:$K$87,3,FALSE),0)</f>
        <v>0.30659999999999998</v>
      </c>
      <c r="AI802" s="1150">
        <f>IFERROR(VLOOKUP(CONCATENATE($L802,$N802),'Drop List'!$G$23:$K$87,4,FALSE),0)</f>
        <v>0</v>
      </c>
      <c r="AJ802" s="1151">
        <f>IFERROR(VLOOKUP(CONCATENATE($L802,$N802),'Drop List'!$G$23:$K$87,5,FALSE),0)</f>
        <v>0</v>
      </c>
      <c r="AK802" s="1152">
        <f t="shared" si="228"/>
        <v>70748.241868749988</v>
      </c>
      <c r="AL802" s="1153">
        <f t="shared" si="229"/>
        <v>31282.680930139522</v>
      </c>
      <c r="AM802" s="1153">
        <f t="shared" si="230"/>
        <v>0</v>
      </c>
      <c r="AN802" s="1145">
        <f t="shared" si="231"/>
        <v>0</v>
      </c>
      <c r="AO802" s="1154">
        <f t="shared" si="232"/>
        <v>102030.92279888951</v>
      </c>
      <c r="AP802" s="1147">
        <f t="shared" si="219"/>
        <v>0</v>
      </c>
      <c r="AQ802" s="1144">
        <f t="shared" si="220"/>
        <v>0</v>
      </c>
      <c r="AR802" s="1146">
        <f t="shared" si="221"/>
        <v>102030.92279888951</v>
      </c>
    </row>
    <row r="803" spans="1:44" x14ac:dyDescent="0.2">
      <c r="A803" s="1141" t="str">
        <f t="shared" si="216"/>
        <v>1542</v>
      </c>
      <c r="B803" s="1141" t="str">
        <f>IFERROR(VLOOKUP(A803,'LAC 103'!A:C,3,FALSE),"")</f>
        <v>OP</v>
      </c>
      <c r="C803" s="1478" t="str">
        <f>Info!$B$8</f>
        <v>00100</v>
      </c>
      <c r="D803" s="1474" t="s">
        <v>256</v>
      </c>
      <c r="E803" s="1474" t="s">
        <v>95</v>
      </c>
      <c r="F803" s="1478" t="s">
        <v>392</v>
      </c>
      <c r="G803" s="1478" t="s">
        <v>392</v>
      </c>
      <c r="H803" s="1474" t="s">
        <v>988</v>
      </c>
      <c r="I803" s="1478" t="s">
        <v>811</v>
      </c>
      <c r="J803" s="1478"/>
      <c r="K803" s="1475" t="s">
        <v>849</v>
      </c>
      <c r="L803" s="1474" t="s">
        <v>77</v>
      </c>
      <c r="M803" s="1476" t="s">
        <v>1699</v>
      </c>
      <c r="N803" s="1477" t="s">
        <v>1694</v>
      </c>
      <c r="O803" s="1479">
        <v>192715</v>
      </c>
      <c r="P803" s="1479"/>
      <c r="Q803" s="1142">
        <f t="shared" si="217"/>
        <v>192715</v>
      </c>
      <c r="R803" s="1143">
        <f>IFERROR(VLOOKUP(CONCATENATE(E803,G803),'LAC 103'!$A$12:$O$95,11,FALSE),0)</f>
        <v>3.2074101033884355</v>
      </c>
      <c r="S803" s="1144">
        <f>IFERROR(VLOOKUP(CONCATENATE($E803,$G803),'LAC 103'!$A$12:$O$95,12,FALSE),0)</f>
        <v>3.99</v>
      </c>
      <c r="T803" s="1144">
        <f>IFERROR(VLOOKUP(CONCATENATE($E803,$G803),'LAC 103'!$A$12:$O$95,13,FALSE),0)</f>
        <v>2.48</v>
      </c>
      <c r="U803" s="1144">
        <f>IFERROR(VLOOKUP(CONCATENATE($E803,$G803),'LAC 103'!$A$12:$O$95,14,FALSE),0)</f>
        <v>0</v>
      </c>
      <c r="V803" s="1144">
        <f>IFERROR(VLOOKUP(CONCATENATE($E803,$G803),'LAC 103'!$A$12:$O$95,15,FALSE),0)</f>
        <v>0</v>
      </c>
      <c r="W803" s="1145" t="str">
        <f>IFERROR(VLOOKUP(CONCATENATE($B803,$N803),'LAC 103'!$AI:$AQ,9,FALSE),"")</f>
        <v>Costs</v>
      </c>
      <c r="X803" s="1146">
        <f t="shared" si="222"/>
        <v>3.2074101033884355</v>
      </c>
      <c r="Y803" s="1143">
        <f t="shared" si="233"/>
        <v>618116.03807450237</v>
      </c>
      <c r="Z803" s="1147">
        <f t="shared" si="223"/>
        <v>768932.85000000009</v>
      </c>
      <c r="AA803" s="1144">
        <f t="shared" si="224"/>
        <v>477933.2</v>
      </c>
      <c r="AB803" s="1144">
        <f t="shared" si="225"/>
        <v>0</v>
      </c>
      <c r="AC803" s="1144">
        <f t="shared" si="226"/>
        <v>0</v>
      </c>
      <c r="AD803" s="1148">
        <f t="shared" si="218"/>
        <v>618116.03807450237</v>
      </c>
      <c r="AE803" s="1487">
        <v>0</v>
      </c>
      <c r="AF803" s="1145">
        <f t="shared" si="227"/>
        <v>618116.03807450237</v>
      </c>
      <c r="AG803" s="1149">
        <f>IFERROR(VLOOKUP(CONCATENATE($L803,$N803),'Drop List'!$G$23:$K$87,2,FALSE),0)</f>
        <v>0.9</v>
      </c>
      <c r="AH803" s="1150">
        <f>IFERROR(VLOOKUP(CONCATENATE($L803,$N803),'Drop List'!$G$23:$K$87,3,FALSE),0)</f>
        <v>0</v>
      </c>
      <c r="AI803" s="1150">
        <f>IFERROR(VLOOKUP(CONCATENATE($L803,$N803),'Drop List'!$G$23:$K$87,4,FALSE),0)</f>
        <v>0.1</v>
      </c>
      <c r="AJ803" s="1151">
        <f>IFERROR(VLOOKUP(CONCATENATE($L803,$N803),'Drop List'!$G$23:$K$87,5,FALSE),0)</f>
        <v>0</v>
      </c>
      <c r="AK803" s="1152">
        <f t="shared" si="228"/>
        <v>556304.4342670521</v>
      </c>
      <c r="AL803" s="1153">
        <f t="shared" si="229"/>
        <v>0</v>
      </c>
      <c r="AM803" s="1153">
        <f t="shared" si="230"/>
        <v>61811.603807450243</v>
      </c>
      <c r="AN803" s="1145">
        <f t="shared" si="231"/>
        <v>0</v>
      </c>
      <c r="AO803" s="1154">
        <f t="shared" si="232"/>
        <v>618116.03807450237</v>
      </c>
      <c r="AP803" s="1147">
        <f t="shared" si="219"/>
        <v>0</v>
      </c>
      <c r="AQ803" s="1144">
        <f t="shared" si="220"/>
        <v>0</v>
      </c>
      <c r="AR803" s="1146">
        <f t="shared" si="221"/>
        <v>618116.03807450237</v>
      </c>
    </row>
    <row r="804" spans="1:44" x14ac:dyDescent="0.2">
      <c r="A804" s="1141" t="str">
        <f t="shared" si="216"/>
        <v>1542</v>
      </c>
      <c r="B804" s="1141" t="str">
        <f>IFERROR(VLOOKUP(A804,'LAC 103'!A:C,3,FALSE),"")</f>
        <v>OP</v>
      </c>
      <c r="C804" s="1478" t="str">
        <f>Info!$B$8</f>
        <v>00100</v>
      </c>
      <c r="D804" s="1474" t="s">
        <v>256</v>
      </c>
      <c r="E804" s="1474" t="s">
        <v>95</v>
      </c>
      <c r="F804" s="1478" t="s">
        <v>392</v>
      </c>
      <c r="G804" s="1478" t="s">
        <v>392</v>
      </c>
      <c r="H804" s="1474" t="s">
        <v>988</v>
      </c>
      <c r="I804" s="1478" t="s">
        <v>811</v>
      </c>
      <c r="J804" s="1478"/>
      <c r="K804" s="1475" t="s">
        <v>849</v>
      </c>
      <c r="L804" s="1474" t="s">
        <v>77</v>
      </c>
      <c r="M804" s="1476" t="s">
        <v>841</v>
      </c>
      <c r="N804" s="1477" t="s">
        <v>1695</v>
      </c>
      <c r="O804" s="1479">
        <v>83889</v>
      </c>
      <c r="P804" s="1479"/>
      <c r="Q804" s="1142">
        <f t="shared" si="217"/>
        <v>83889</v>
      </c>
      <c r="R804" s="1143">
        <f>IFERROR(VLOOKUP(CONCATENATE(E804,G804),'LAC 103'!$A$12:$O$95,11,FALSE),0)</f>
        <v>3.2074101033884355</v>
      </c>
      <c r="S804" s="1144">
        <f>IFERROR(VLOOKUP(CONCATENATE($E804,$G804),'LAC 103'!$A$12:$O$95,12,FALSE),0)</f>
        <v>3.99</v>
      </c>
      <c r="T804" s="1144">
        <f>IFERROR(VLOOKUP(CONCATENATE($E804,$G804),'LAC 103'!$A$12:$O$95,13,FALSE),0)</f>
        <v>2.48</v>
      </c>
      <c r="U804" s="1144">
        <f>IFERROR(VLOOKUP(CONCATENATE($E804,$G804),'LAC 103'!$A$12:$O$95,14,FALSE),0)</f>
        <v>0</v>
      </c>
      <c r="V804" s="1144">
        <f>IFERROR(VLOOKUP(CONCATENATE($E804,$G804),'LAC 103'!$A$12:$O$95,15,FALSE),0)</f>
        <v>0</v>
      </c>
      <c r="W804" s="1145" t="str">
        <f>IFERROR(VLOOKUP(CONCATENATE($B804,$N804),'LAC 103'!$AI:$AQ,9,FALSE),"")</f>
        <v>Costs</v>
      </c>
      <c r="X804" s="1146">
        <f t="shared" si="222"/>
        <v>3.2074101033884355</v>
      </c>
      <c r="Y804" s="1143">
        <f t="shared" si="233"/>
        <v>269066.42616315244</v>
      </c>
      <c r="Z804" s="1147">
        <f t="shared" si="223"/>
        <v>334717.11000000004</v>
      </c>
      <c r="AA804" s="1144">
        <f t="shared" si="224"/>
        <v>208044.72</v>
      </c>
      <c r="AB804" s="1144">
        <f t="shared" si="225"/>
        <v>0</v>
      </c>
      <c r="AC804" s="1144">
        <f t="shared" si="226"/>
        <v>0</v>
      </c>
      <c r="AD804" s="1148">
        <f t="shared" si="218"/>
        <v>269066.42616315244</v>
      </c>
      <c r="AE804" s="1487">
        <v>0</v>
      </c>
      <c r="AF804" s="1145">
        <f t="shared" si="227"/>
        <v>269066.42616315244</v>
      </c>
      <c r="AG804" s="1149">
        <f>IFERROR(VLOOKUP(CONCATENATE($L804,$N804),'Drop List'!$G$23:$K$87,2,FALSE),0)</f>
        <v>0.9</v>
      </c>
      <c r="AH804" s="1150">
        <f>IFERROR(VLOOKUP(CONCATENATE($L804,$N804),'Drop List'!$G$23:$K$87,3,FALSE),0)</f>
        <v>0</v>
      </c>
      <c r="AI804" s="1150">
        <f>IFERROR(VLOOKUP(CONCATENATE($L804,$N804),'Drop List'!$G$23:$K$87,4,FALSE),0)</f>
        <v>0.1</v>
      </c>
      <c r="AJ804" s="1151">
        <f>IFERROR(VLOOKUP(CONCATENATE($L804,$N804),'Drop List'!$G$23:$K$87,5,FALSE),0)</f>
        <v>0</v>
      </c>
      <c r="AK804" s="1152">
        <f t="shared" si="228"/>
        <v>242159.78354683719</v>
      </c>
      <c r="AL804" s="1153">
        <f t="shared" si="229"/>
        <v>0</v>
      </c>
      <c r="AM804" s="1153">
        <f t="shared" si="230"/>
        <v>26906.642616315246</v>
      </c>
      <c r="AN804" s="1145">
        <f t="shared" si="231"/>
        <v>0</v>
      </c>
      <c r="AO804" s="1154">
        <f t="shared" si="232"/>
        <v>269066.42616315244</v>
      </c>
      <c r="AP804" s="1147">
        <f t="shared" si="219"/>
        <v>0</v>
      </c>
      <c r="AQ804" s="1144">
        <f t="shared" si="220"/>
        <v>0</v>
      </c>
      <c r="AR804" s="1146">
        <f t="shared" si="221"/>
        <v>269066.42616315244</v>
      </c>
    </row>
    <row r="805" spans="1:44" x14ac:dyDescent="0.2">
      <c r="A805" s="1141" t="str">
        <f t="shared" si="216"/>
        <v>1542</v>
      </c>
      <c r="B805" s="1141" t="str">
        <f>IFERROR(VLOOKUP(A805,'LAC 103'!A:C,3,FALSE),"")</f>
        <v>OP</v>
      </c>
      <c r="C805" s="1478" t="str">
        <f>Info!$B$8</f>
        <v>00100</v>
      </c>
      <c r="D805" s="1474" t="s">
        <v>256</v>
      </c>
      <c r="E805" s="1474" t="s">
        <v>95</v>
      </c>
      <c r="F805" s="1478" t="s">
        <v>392</v>
      </c>
      <c r="G805" s="1478" t="s">
        <v>392</v>
      </c>
      <c r="H805" s="1474" t="s">
        <v>988</v>
      </c>
      <c r="I805" s="1478" t="s">
        <v>811</v>
      </c>
      <c r="J805" s="1478"/>
      <c r="K805" s="1475" t="s">
        <v>849</v>
      </c>
      <c r="L805" s="1474" t="s">
        <v>77</v>
      </c>
      <c r="M805" s="1476" t="s">
        <v>840</v>
      </c>
      <c r="N805" s="1477" t="s">
        <v>1700</v>
      </c>
      <c r="O805" s="1479">
        <v>98820</v>
      </c>
      <c r="P805" s="1479"/>
      <c r="Q805" s="1142">
        <f t="shared" si="217"/>
        <v>98820</v>
      </c>
      <c r="R805" s="1143">
        <f>IFERROR(VLOOKUP(CONCATENATE(E805,G805),'LAC 103'!$A$12:$O$95,11,FALSE),0)</f>
        <v>3.2074101033884355</v>
      </c>
      <c r="S805" s="1144">
        <f>IFERROR(VLOOKUP(CONCATENATE($E805,$G805),'LAC 103'!$A$12:$O$95,12,FALSE),0)</f>
        <v>3.99</v>
      </c>
      <c r="T805" s="1144">
        <f>IFERROR(VLOOKUP(CONCATENATE($E805,$G805),'LAC 103'!$A$12:$O$95,13,FALSE),0)</f>
        <v>2.48</v>
      </c>
      <c r="U805" s="1144">
        <f>IFERROR(VLOOKUP(CONCATENATE($E805,$G805),'LAC 103'!$A$12:$O$95,14,FALSE),0)</f>
        <v>0</v>
      </c>
      <c r="V805" s="1144">
        <f>IFERROR(VLOOKUP(CONCATENATE($E805,$G805),'LAC 103'!$A$12:$O$95,15,FALSE),0)</f>
        <v>0</v>
      </c>
      <c r="W805" s="1145" t="str">
        <f>IFERROR(VLOOKUP(CONCATENATE($B805,$N805),'LAC 103'!$AI:$AQ,9,FALSE),"")</f>
        <v>P.C.</v>
      </c>
      <c r="X805" s="1146">
        <f t="shared" si="222"/>
        <v>2.48</v>
      </c>
      <c r="Y805" s="1143">
        <f t="shared" si="233"/>
        <v>316956.2664168452</v>
      </c>
      <c r="Z805" s="1147">
        <f t="shared" si="223"/>
        <v>394291.80000000005</v>
      </c>
      <c r="AA805" s="1144">
        <f t="shared" si="224"/>
        <v>245073.6</v>
      </c>
      <c r="AB805" s="1144">
        <f t="shared" si="225"/>
        <v>0</v>
      </c>
      <c r="AC805" s="1144">
        <f t="shared" si="226"/>
        <v>0</v>
      </c>
      <c r="AD805" s="1148">
        <f t="shared" si="218"/>
        <v>245073.6</v>
      </c>
      <c r="AE805" s="1487">
        <v>0</v>
      </c>
      <c r="AF805" s="1145">
        <f t="shared" si="227"/>
        <v>245073.6</v>
      </c>
      <c r="AG805" s="1149">
        <f>IFERROR(VLOOKUP(CONCATENATE($L805,$N805),'Drop List'!$G$23:$K$87,2,FALSE),0)</f>
        <v>0.9</v>
      </c>
      <c r="AH805" s="1150">
        <f>IFERROR(VLOOKUP(CONCATENATE($L805,$N805),'Drop List'!$G$23:$K$87,3,FALSE),0)</f>
        <v>0</v>
      </c>
      <c r="AI805" s="1150">
        <f>IFERROR(VLOOKUP(CONCATENATE($L805,$N805),'Drop List'!$G$23:$K$87,4,FALSE),0)</f>
        <v>0.1</v>
      </c>
      <c r="AJ805" s="1151">
        <f>IFERROR(VLOOKUP(CONCATENATE($L805,$N805),'Drop List'!$G$23:$K$87,5,FALSE),0)</f>
        <v>0</v>
      </c>
      <c r="AK805" s="1152">
        <f t="shared" si="228"/>
        <v>220566.24000000002</v>
      </c>
      <c r="AL805" s="1153">
        <f t="shared" si="229"/>
        <v>0</v>
      </c>
      <c r="AM805" s="1153">
        <f t="shared" si="230"/>
        <v>24507.360000000001</v>
      </c>
      <c r="AN805" s="1145">
        <f t="shared" si="231"/>
        <v>0</v>
      </c>
      <c r="AO805" s="1154">
        <f t="shared" si="232"/>
        <v>245073.60000000003</v>
      </c>
      <c r="AP805" s="1147">
        <f t="shared" si="219"/>
        <v>0</v>
      </c>
      <c r="AQ805" s="1144">
        <f t="shared" si="220"/>
        <v>0</v>
      </c>
      <c r="AR805" s="1146">
        <f t="shared" si="221"/>
        <v>245073.60000000003</v>
      </c>
    </row>
    <row r="806" spans="1:44" x14ac:dyDescent="0.2">
      <c r="A806" s="1141" t="str">
        <f t="shared" si="216"/>
        <v>1542</v>
      </c>
      <c r="B806" s="1141" t="str">
        <f>IFERROR(VLOOKUP(A806,'LAC 103'!A:C,3,FALSE),"")</f>
        <v>OP</v>
      </c>
      <c r="C806" s="1478" t="str">
        <f>Info!$B$8</f>
        <v>00100</v>
      </c>
      <c r="D806" s="1474" t="s">
        <v>256</v>
      </c>
      <c r="E806" s="1474" t="s">
        <v>95</v>
      </c>
      <c r="F806" s="1478" t="s">
        <v>392</v>
      </c>
      <c r="G806" s="1478" t="s">
        <v>392</v>
      </c>
      <c r="H806" s="1474" t="s">
        <v>988</v>
      </c>
      <c r="I806" s="1478" t="s">
        <v>811</v>
      </c>
      <c r="J806" s="1478"/>
      <c r="K806" s="1475" t="s">
        <v>849</v>
      </c>
      <c r="L806" s="1474" t="s">
        <v>77</v>
      </c>
      <c r="M806" s="1476" t="s">
        <v>842</v>
      </c>
      <c r="N806" s="1477" t="s">
        <v>1692</v>
      </c>
      <c r="O806" s="1479">
        <v>138848</v>
      </c>
      <c r="P806" s="1479"/>
      <c r="Q806" s="1142">
        <f t="shared" si="217"/>
        <v>138848</v>
      </c>
      <c r="R806" s="1143">
        <f>IFERROR(VLOOKUP(CONCATENATE(E806,G806),'LAC 103'!$A$12:$O$95,11,FALSE),0)</f>
        <v>3.2074101033884355</v>
      </c>
      <c r="S806" s="1144">
        <f>IFERROR(VLOOKUP(CONCATENATE($E806,$G806),'LAC 103'!$A$12:$O$95,12,FALSE),0)</f>
        <v>3.99</v>
      </c>
      <c r="T806" s="1144">
        <f>IFERROR(VLOOKUP(CONCATENATE($E806,$G806),'LAC 103'!$A$12:$O$95,13,FALSE),0)</f>
        <v>2.48</v>
      </c>
      <c r="U806" s="1144">
        <f>IFERROR(VLOOKUP(CONCATENATE($E806,$G806),'LAC 103'!$A$12:$O$95,14,FALSE),0)</f>
        <v>0</v>
      </c>
      <c r="V806" s="1144">
        <f>IFERROR(VLOOKUP(CONCATENATE($E806,$G806),'LAC 103'!$A$12:$O$95,15,FALSE),0)</f>
        <v>0</v>
      </c>
      <c r="W806" s="1145" t="str">
        <f>IFERROR(VLOOKUP(CONCATENATE($B806,$N806),'LAC 103'!$AI:$AQ,9,FALSE),"")</f>
        <v>Costs</v>
      </c>
      <c r="X806" s="1146">
        <f t="shared" si="222"/>
        <v>3.2074101033884355</v>
      </c>
      <c r="Y806" s="1143">
        <f t="shared" si="233"/>
        <v>445342.47803527751</v>
      </c>
      <c r="Z806" s="1147">
        <f t="shared" si="223"/>
        <v>554003.52</v>
      </c>
      <c r="AA806" s="1144">
        <f t="shared" si="224"/>
        <v>344343.03999999998</v>
      </c>
      <c r="AB806" s="1144">
        <f t="shared" si="225"/>
        <v>0</v>
      </c>
      <c r="AC806" s="1144">
        <f t="shared" si="226"/>
        <v>0</v>
      </c>
      <c r="AD806" s="1148">
        <f t="shared" si="218"/>
        <v>445342.47803527751</v>
      </c>
      <c r="AE806" s="1487">
        <v>0</v>
      </c>
      <c r="AF806" s="1145">
        <f t="shared" si="227"/>
        <v>445342.47803527751</v>
      </c>
      <c r="AG806" s="1149">
        <f>IFERROR(VLOOKUP(CONCATENATE($L806,$N806),'Drop List'!$G$23:$K$87,2,FALSE),0)</f>
        <v>0.9</v>
      </c>
      <c r="AH806" s="1150">
        <f>IFERROR(VLOOKUP(CONCATENATE($L806,$N806),'Drop List'!$G$23:$K$87,3,FALSE),0)</f>
        <v>0</v>
      </c>
      <c r="AI806" s="1150">
        <f>IFERROR(VLOOKUP(CONCATENATE($L806,$N806),'Drop List'!$G$23:$K$87,4,FALSE),0)</f>
        <v>0.1</v>
      </c>
      <c r="AJ806" s="1151">
        <f>IFERROR(VLOOKUP(CONCATENATE($L806,$N806),'Drop List'!$G$23:$K$87,5,FALSE),0)</f>
        <v>0</v>
      </c>
      <c r="AK806" s="1152">
        <f t="shared" si="228"/>
        <v>400808.23023174977</v>
      </c>
      <c r="AL806" s="1153">
        <f t="shared" si="229"/>
        <v>0</v>
      </c>
      <c r="AM806" s="1153">
        <f t="shared" si="230"/>
        <v>44534.247803527753</v>
      </c>
      <c r="AN806" s="1145">
        <f t="shared" si="231"/>
        <v>0</v>
      </c>
      <c r="AO806" s="1154">
        <f t="shared" si="232"/>
        <v>445342.47803527751</v>
      </c>
      <c r="AP806" s="1147">
        <f t="shared" si="219"/>
        <v>0</v>
      </c>
      <c r="AQ806" s="1144">
        <f t="shared" si="220"/>
        <v>0</v>
      </c>
      <c r="AR806" s="1146">
        <f t="shared" si="221"/>
        <v>445342.47803527751</v>
      </c>
    </row>
    <row r="807" spans="1:44" x14ac:dyDescent="0.2">
      <c r="A807" s="1141" t="str">
        <f t="shared" si="216"/>
        <v>1542</v>
      </c>
      <c r="B807" s="1141" t="str">
        <f>IFERROR(VLOOKUP(A807,'LAC 103'!A:C,3,FALSE),"")</f>
        <v>OP</v>
      </c>
      <c r="C807" s="1478" t="str">
        <f>Info!$B$8</f>
        <v>00100</v>
      </c>
      <c r="D807" s="1474" t="s">
        <v>256</v>
      </c>
      <c r="E807" s="1474" t="s">
        <v>95</v>
      </c>
      <c r="F807" s="1478" t="s">
        <v>392</v>
      </c>
      <c r="G807" s="1478" t="s">
        <v>392</v>
      </c>
      <c r="H807" s="1474" t="s">
        <v>988</v>
      </c>
      <c r="I807" s="1478" t="s">
        <v>811</v>
      </c>
      <c r="J807" s="1478"/>
      <c r="K807" s="1475" t="s">
        <v>849</v>
      </c>
      <c r="L807" s="1474" t="s">
        <v>77</v>
      </c>
      <c r="M807" s="1476" t="s">
        <v>1698</v>
      </c>
      <c r="N807" s="1477" t="s">
        <v>1693</v>
      </c>
      <c r="O807" s="1479">
        <v>154082</v>
      </c>
      <c r="P807" s="1479"/>
      <c r="Q807" s="1142">
        <f t="shared" si="217"/>
        <v>154082</v>
      </c>
      <c r="R807" s="1143">
        <f>IFERROR(VLOOKUP(CONCATENATE(E807,G807),'LAC 103'!$A$12:$O$95,11,FALSE),0)</f>
        <v>3.2074101033884355</v>
      </c>
      <c r="S807" s="1144">
        <f>IFERROR(VLOOKUP(CONCATENATE($E807,$G807),'LAC 103'!$A$12:$O$95,12,FALSE),0)</f>
        <v>3.99</v>
      </c>
      <c r="T807" s="1144">
        <f>IFERROR(VLOOKUP(CONCATENATE($E807,$G807),'LAC 103'!$A$12:$O$95,13,FALSE),0)</f>
        <v>2.48</v>
      </c>
      <c r="U807" s="1144">
        <f>IFERROR(VLOOKUP(CONCATENATE($E807,$G807),'LAC 103'!$A$12:$O$95,14,FALSE),0)</f>
        <v>0</v>
      </c>
      <c r="V807" s="1144">
        <f>IFERROR(VLOOKUP(CONCATENATE($E807,$G807),'LAC 103'!$A$12:$O$95,15,FALSE),0)</f>
        <v>0</v>
      </c>
      <c r="W807" s="1145" t="str">
        <f>IFERROR(VLOOKUP(CONCATENATE($B807,$N807),'LAC 103'!$AI:$AQ,9,FALSE),"")</f>
        <v>Costs</v>
      </c>
      <c r="X807" s="1146">
        <f t="shared" si="222"/>
        <v>3.2074101033884355</v>
      </c>
      <c r="Y807" s="1143">
        <f t="shared" si="233"/>
        <v>494204.16355029691</v>
      </c>
      <c r="Z807" s="1147">
        <f t="shared" si="223"/>
        <v>614787.18000000005</v>
      </c>
      <c r="AA807" s="1144">
        <f t="shared" si="224"/>
        <v>382123.36</v>
      </c>
      <c r="AB807" s="1144">
        <f t="shared" si="225"/>
        <v>0</v>
      </c>
      <c r="AC807" s="1144">
        <f t="shared" si="226"/>
        <v>0</v>
      </c>
      <c r="AD807" s="1148">
        <f t="shared" si="218"/>
        <v>494204.16355029691</v>
      </c>
      <c r="AE807" s="1487">
        <v>0</v>
      </c>
      <c r="AF807" s="1145">
        <f t="shared" si="227"/>
        <v>494204.16355029691</v>
      </c>
      <c r="AG807" s="1149">
        <f>IFERROR(VLOOKUP(CONCATENATE($L807,$N807),'Drop List'!$G$23:$K$87,2,FALSE),0)</f>
        <v>0.9</v>
      </c>
      <c r="AH807" s="1150">
        <f>IFERROR(VLOOKUP(CONCATENATE($L807,$N807),'Drop List'!$G$23:$K$87,3,FALSE),0)</f>
        <v>0</v>
      </c>
      <c r="AI807" s="1150">
        <f>IFERROR(VLOOKUP(CONCATENATE($L807,$N807),'Drop List'!$G$23:$K$87,4,FALSE),0)</f>
        <v>0.1</v>
      </c>
      <c r="AJ807" s="1151">
        <f>IFERROR(VLOOKUP(CONCATENATE($L807,$N807),'Drop List'!$G$23:$K$87,5,FALSE),0)</f>
        <v>0</v>
      </c>
      <c r="AK807" s="1152">
        <f t="shared" si="228"/>
        <v>444783.74719526723</v>
      </c>
      <c r="AL807" s="1153">
        <f t="shared" si="229"/>
        <v>0</v>
      </c>
      <c r="AM807" s="1153">
        <f t="shared" si="230"/>
        <v>49420.416355029694</v>
      </c>
      <c r="AN807" s="1145">
        <f t="shared" si="231"/>
        <v>0</v>
      </c>
      <c r="AO807" s="1154">
        <f t="shared" si="232"/>
        <v>494204.16355029691</v>
      </c>
      <c r="AP807" s="1147">
        <f t="shared" si="219"/>
        <v>0</v>
      </c>
      <c r="AQ807" s="1144">
        <f t="shared" si="220"/>
        <v>0</v>
      </c>
      <c r="AR807" s="1146">
        <f t="shared" si="221"/>
        <v>494204.16355029691</v>
      </c>
    </row>
    <row r="808" spans="1:44" x14ac:dyDescent="0.2">
      <c r="A808" s="1141" t="str">
        <f t="shared" si="216"/>
        <v>1542</v>
      </c>
      <c r="B808" s="1141" t="str">
        <f>IFERROR(VLOOKUP(A808,'LAC 103'!A:C,3,FALSE),"")</f>
        <v>OP</v>
      </c>
      <c r="C808" s="1478" t="str">
        <f>Info!$B$8</f>
        <v>00100</v>
      </c>
      <c r="D808" s="1474" t="s">
        <v>256</v>
      </c>
      <c r="E808" s="1474" t="s">
        <v>95</v>
      </c>
      <c r="F808" s="1478" t="s">
        <v>392</v>
      </c>
      <c r="G808" s="1478" t="s">
        <v>392</v>
      </c>
      <c r="H808" s="1474" t="s">
        <v>988</v>
      </c>
      <c r="I808" s="1478" t="s">
        <v>811</v>
      </c>
      <c r="J808" s="1478"/>
      <c r="K808" s="1475" t="s">
        <v>971</v>
      </c>
      <c r="L808" s="1474" t="s">
        <v>332</v>
      </c>
      <c r="M808" s="1476" t="s">
        <v>1699</v>
      </c>
      <c r="N808" s="1477" t="s">
        <v>1694</v>
      </c>
      <c r="O808" s="1479">
        <v>6789</v>
      </c>
      <c r="P808" s="1479"/>
      <c r="Q808" s="1142">
        <f t="shared" si="217"/>
        <v>6789</v>
      </c>
      <c r="R808" s="1143">
        <f>IFERROR(VLOOKUP(CONCATENATE(E808,G808),'LAC 103'!$A$12:$O$95,11,FALSE),0)</f>
        <v>3.2074101033884355</v>
      </c>
      <c r="S808" s="1144">
        <f>IFERROR(VLOOKUP(CONCATENATE($E808,$G808),'LAC 103'!$A$12:$O$95,12,FALSE),0)</f>
        <v>3.99</v>
      </c>
      <c r="T808" s="1144">
        <f>IFERROR(VLOOKUP(CONCATENATE($E808,$G808),'LAC 103'!$A$12:$O$95,13,FALSE),0)</f>
        <v>2.48</v>
      </c>
      <c r="U808" s="1144">
        <f>IFERROR(VLOOKUP(CONCATENATE($E808,$G808),'LAC 103'!$A$12:$O$95,14,FALSE),0)</f>
        <v>0</v>
      </c>
      <c r="V808" s="1144">
        <f>IFERROR(VLOOKUP(CONCATENATE($E808,$G808),'LAC 103'!$A$12:$O$95,15,FALSE),0)</f>
        <v>0</v>
      </c>
      <c r="W808" s="1145" t="str">
        <f>IFERROR(VLOOKUP(CONCATENATE($B808,$N808),'LAC 103'!$AI:$AQ,9,FALSE),"")</f>
        <v>Costs</v>
      </c>
      <c r="X808" s="1146">
        <f t="shared" si="222"/>
        <v>3.2074101033884355</v>
      </c>
      <c r="Y808" s="1143">
        <f t="shared" si="233"/>
        <v>21775.107191904088</v>
      </c>
      <c r="Z808" s="1147">
        <f t="shared" si="223"/>
        <v>27088.11</v>
      </c>
      <c r="AA808" s="1144">
        <f t="shared" si="224"/>
        <v>16836.72</v>
      </c>
      <c r="AB808" s="1144">
        <f t="shared" si="225"/>
        <v>0</v>
      </c>
      <c r="AC808" s="1144">
        <f t="shared" si="226"/>
        <v>0</v>
      </c>
      <c r="AD808" s="1148">
        <f t="shared" si="218"/>
        <v>21775.107191904088</v>
      </c>
      <c r="AE808" s="1487">
        <v>0</v>
      </c>
      <c r="AF808" s="1145">
        <f t="shared" si="227"/>
        <v>21775.107191904088</v>
      </c>
      <c r="AG808" s="1149">
        <f>IFERROR(VLOOKUP(CONCATENATE($L808,$N808),'Drop List'!$G$23:$K$87,2,FALSE),0)</f>
        <v>0</v>
      </c>
      <c r="AH808" s="1150">
        <f>IFERROR(VLOOKUP(CONCATENATE($L808,$N808),'Drop List'!$G$23:$K$87,3,FALSE),0)</f>
        <v>0</v>
      </c>
      <c r="AI808" s="1150">
        <f>IFERROR(VLOOKUP(CONCATENATE($L808,$N808),'Drop List'!$G$23:$K$87,4,FALSE),0)</f>
        <v>0</v>
      </c>
      <c r="AJ808" s="1151">
        <f>IFERROR(VLOOKUP(CONCATENATE($L808,$N808),'Drop List'!$G$23:$K$87,5,FALSE),0)</f>
        <v>0</v>
      </c>
      <c r="AK808" s="1152">
        <f t="shared" si="228"/>
        <v>0</v>
      </c>
      <c r="AL808" s="1153">
        <f t="shared" si="229"/>
        <v>0</v>
      </c>
      <c r="AM808" s="1153">
        <f t="shared" si="230"/>
        <v>0</v>
      </c>
      <c r="AN808" s="1145">
        <f t="shared" si="231"/>
        <v>0</v>
      </c>
      <c r="AO808" s="1154">
        <f t="shared" si="232"/>
        <v>0</v>
      </c>
      <c r="AP808" s="1147">
        <f t="shared" si="219"/>
        <v>21775.107191904088</v>
      </c>
      <c r="AQ808" s="1144">
        <f t="shared" si="220"/>
        <v>0</v>
      </c>
      <c r="AR808" s="1146">
        <f t="shared" si="221"/>
        <v>21775.107191904088</v>
      </c>
    </row>
    <row r="809" spans="1:44" x14ac:dyDescent="0.2">
      <c r="A809" s="1141" t="str">
        <f t="shared" si="216"/>
        <v>1542</v>
      </c>
      <c r="B809" s="1141" t="str">
        <f>IFERROR(VLOOKUP(A809,'LAC 103'!A:C,3,FALSE),"")</f>
        <v>OP</v>
      </c>
      <c r="C809" s="1478" t="str">
        <f>Info!$B$8</f>
        <v>00100</v>
      </c>
      <c r="D809" s="1474" t="s">
        <v>256</v>
      </c>
      <c r="E809" s="1474" t="s">
        <v>95</v>
      </c>
      <c r="F809" s="1478" t="s">
        <v>392</v>
      </c>
      <c r="G809" s="1478" t="s">
        <v>392</v>
      </c>
      <c r="H809" s="1474" t="s">
        <v>988</v>
      </c>
      <c r="I809" s="1478" t="s">
        <v>811</v>
      </c>
      <c r="J809" s="1478"/>
      <c r="K809" s="1475" t="s">
        <v>971</v>
      </c>
      <c r="L809" s="1474" t="s">
        <v>332</v>
      </c>
      <c r="M809" s="1476" t="s">
        <v>841</v>
      </c>
      <c r="N809" s="1477" t="s">
        <v>1695</v>
      </c>
      <c r="O809" s="1479">
        <v>1752</v>
      </c>
      <c r="P809" s="1479"/>
      <c r="Q809" s="1142">
        <f t="shared" si="217"/>
        <v>1752</v>
      </c>
      <c r="R809" s="1143">
        <f>IFERROR(VLOOKUP(CONCATENATE(E809,G809),'LAC 103'!$A$12:$O$95,11,FALSE),0)</f>
        <v>3.2074101033884355</v>
      </c>
      <c r="S809" s="1144">
        <f>IFERROR(VLOOKUP(CONCATENATE($E809,$G809),'LAC 103'!$A$12:$O$95,12,FALSE),0)</f>
        <v>3.99</v>
      </c>
      <c r="T809" s="1144">
        <f>IFERROR(VLOOKUP(CONCATENATE($E809,$G809),'LAC 103'!$A$12:$O$95,13,FALSE),0)</f>
        <v>2.48</v>
      </c>
      <c r="U809" s="1144">
        <f>IFERROR(VLOOKUP(CONCATENATE($E809,$G809),'LAC 103'!$A$12:$O$95,14,FALSE),0)</f>
        <v>0</v>
      </c>
      <c r="V809" s="1144">
        <f>IFERROR(VLOOKUP(CONCATENATE($E809,$G809),'LAC 103'!$A$12:$O$95,15,FALSE),0)</f>
        <v>0</v>
      </c>
      <c r="W809" s="1145" t="str">
        <f>IFERROR(VLOOKUP(CONCATENATE($B809,$N809),'LAC 103'!$AI:$AQ,9,FALSE),"")</f>
        <v>Costs</v>
      </c>
      <c r="X809" s="1146">
        <f t="shared" si="222"/>
        <v>3.2074101033884355</v>
      </c>
      <c r="Y809" s="1143">
        <f t="shared" si="233"/>
        <v>5619.3825011365388</v>
      </c>
      <c r="Z809" s="1147">
        <f t="shared" si="223"/>
        <v>6990.4800000000005</v>
      </c>
      <c r="AA809" s="1144">
        <f t="shared" si="224"/>
        <v>4344.96</v>
      </c>
      <c r="AB809" s="1144">
        <f t="shared" si="225"/>
        <v>0</v>
      </c>
      <c r="AC809" s="1144">
        <f t="shared" si="226"/>
        <v>0</v>
      </c>
      <c r="AD809" s="1148">
        <f t="shared" si="218"/>
        <v>5619.3825011365388</v>
      </c>
      <c r="AE809" s="1487">
        <v>0</v>
      </c>
      <c r="AF809" s="1145">
        <f t="shared" si="227"/>
        <v>5619.3825011365388</v>
      </c>
      <c r="AG809" s="1149">
        <f>IFERROR(VLOOKUP(CONCATENATE($L809,$N809),'Drop List'!$G$23:$K$87,2,FALSE),0)</f>
        <v>0</v>
      </c>
      <c r="AH809" s="1150">
        <f>IFERROR(VLOOKUP(CONCATENATE($L809,$N809),'Drop List'!$G$23:$K$87,3,FALSE),0)</f>
        <v>0</v>
      </c>
      <c r="AI809" s="1150">
        <f>IFERROR(VLOOKUP(CONCATENATE($L809,$N809),'Drop List'!$G$23:$K$87,4,FALSE),0)</f>
        <v>0</v>
      </c>
      <c r="AJ809" s="1151">
        <f>IFERROR(VLOOKUP(CONCATENATE($L809,$N809),'Drop List'!$G$23:$K$87,5,FALSE),0)</f>
        <v>0</v>
      </c>
      <c r="AK809" s="1152">
        <f t="shared" si="228"/>
        <v>0</v>
      </c>
      <c r="AL809" s="1153">
        <f t="shared" si="229"/>
        <v>0</v>
      </c>
      <c r="AM809" s="1153">
        <f t="shared" si="230"/>
        <v>0</v>
      </c>
      <c r="AN809" s="1145">
        <f t="shared" si="231"/>
        <v>0</v>
      </c>
      <c r="AO809" s="1154">
        <f t="shared" si="232"/>
        <v>0</v>
      </c>
      <c r="AP809" s="1147">
        <f t="shared" si="219"/>
        <v>5619.3825011365388</v>
      </c>
      <c r="AQ809" s="1144">
        <f t="shared" si="220"/>
        <v>0</v>
      </c>
      <c r="AR809" s="1146">
        <f t="shared" si="221"/>
        <v>5619.3825011365388</v>
      </c>
    </row>
    <row r="810" spans="1:44" x14ac:dyDescent="0.2">
      <c r="A810" s="1141" t="str">
        <f t="shared" si="216"/>
        <v>1542</v>
      </c>
      <c r="B810" s="1141" t="str">
        <f>IFERROR(VLOOKUP(A810,'LAC 103'!A:C,3,FALSE),"")</f>
        <v>OP</v>
      </c>
      <c r="C810" s="1478" t="str">
        <f>Info!$B$8</f>
        <v>00100</v>
      </c>
      <c r="D810" s="1474" t="s">
        <v>256</v>
      </c>
      <c r="E810" s="1474" t="s">
        <v>95</v>
      </c>
      <c r="F810" s="1478" t="s">
        <v>392</v>
      </c>
      <c r="G810" s="1478" t="s">
        <v>392</v>
      </c>
      <c r="H810" s="1474" t="s">
        <v>988</v>
      </c>
      <c r="I810" s="1478" t="s">
        <v>811</v>
      </c>
      <c r="J810" s="1478"/>
      <c r="K810" s="1475" t="s">
        <v>971</v>
      </c>
      <c r="L810" s="1474" t="s">
        <v>332</v>
      </c>
      <c r="M810" s="1476" t="s">
        <v>842</v>
      </c>
      <c r="N810" s="1477" t="s">
        <v>1692</v>
      </c>
      <c r="O810" s="1479">
        <v>9017</v>
      </c>
      <c r="P810" s="1479"/>
      <c r="Q810" s="1142">
        <f t="shared" si="217"/>
        <v>9017</v>
      </c>
      <c r="R810" s="1143">
        <f>IFERROR(VLOOKUP(CONCATENATE(E810,G810),'LAC 103'!$A$12:$O$95,11,FALSE),0)</f>
        <v>3.2074101033884355</v>
      </c>
      <c r="S810" s="1144">
        <f>IFERROR(VLOOKUP(CONCATENATE($E810,$G810),'LAC 103'!$A$12:$O$95,12,FALSE),0)</f>
        <v>3.99</v>
      </c>
      <c r="T810" s="1144">
        <f>IFERROR(VLOOKUP(CONCATENATE($E810,$G810),'LAC 103'!$A$12:$O$95,13,FALSE),0)</f>
        <v>2.48</v>
      </c>
      <c r="U810" s="1144">
        <f>IFERROR(VLOOKUP(CONCATENATE($E810,$G810),'LAC 103'!$A$12:$O$95,14,FALSE),0)</f>
        <v>0</v>
      </c>
      <c r="V810" s="1144">
        <f>IFERROR(VLOOKUP(CONCATENATE($E810,$G810),'LAC 103'!$A$12:$O$95,15,FALSE),0)</f>
        <v>0</v>
      </c>
      <c r="W810" s="1145" t="str">
        <f>IFERROR(VLOOKUP(CONCATENATE($B810,$N810),'LAC 103'!$AI:$AQ,9,FALSE),"")</f>
        <v>Costs</v>
      </c>
      <c r="X810" s="1146">
        <f t="shared" si="222"/>
        <v>3.2074101033884355</v>
      </c>
      <c r="Y810" s="1143">
        <f t="shared" si="233"/>
        <v>28921.216902253524</v>
      </c>
      <c r="Z810" s="1147">
        <f t="shared" si="223"/>
        <v>35977.83</v>
      </c>
      <c r="AA810" s="1144">
        <f t="shared" si="224"/>
        <v>22362.16</v>
      </c>
      <c r="AB810" s="1144">
        <f t="shared" si="225"/>
        <v>0</v>
      </c>
      <c r="AC810" s="1144">
        <f t="shared" si="226"/>
        <v>0</v>
      </c>
      <c r="AD810" s="1148">
        <f t="shared" si="218"/>
        <v>28921.216902253524</v>
      </c>
      <c r="AE810" s="1487">
        <v>0</v>
      </c>
      <c r="AF810" s="1145">
        <f t="shared" si="227"/>
        <v>28921.216902253524</v>
      </c>
      <c r="AG810" s="1149">
        <f>IFERROR(VLOOKUP(CONCATENATE($L810,$N810),'Drop List'!$G$23:$K$87,2,FALSE),0)</f>
        <v>0</v>
      </c>
      <c r="AH810" s="1150">
        <f>IFERROR(VLOOKUP(CONCATENATE($L810,$N810),'Drop List'!$G$23:$K$87,3,FALSE),0)</f>
        <v>0</v>
      </c>
      <c r="AI810" s="1150">
        <f>IFERROR(VLOOKUP(CONCATENATE($L810,$N810),'Drop List'!$G$23:$K$87,4,FALSE),0)</f>
        <v>0</v>
      </c>
      <c r="AJ810" s="1151">
        <f>IFERROR(VLOOKUP(CONCATENATE($L810,$N810),'Drop List'!$G$23:$K$87,5,FALSE),0)</f>
        <v>0</v>
      </c>
      <c r="AK810" s="1152">
        <f t="shared" si="228"/>
        <v>0</v>
      </c>
      <c r="AL810" s="1153">
        <f t="shared" si="229"/>
        <v>0</v>
      </c>
      <c r="AM810" s="1153">
        <f t="shared" si="230"/>
        <v>0</v>
      </c>
      <c r="AN810" s="1145">
        <f t="shared" si="231"/>
        <v>0</v>
      </c>
      <c r="AO810" s="1154">
        <f t="shared" si="232"/>
        <v>0</v>
      </c>
      <c r="AP810" s="1147">
        <f t="shared" si="219"/>
        <v>28921.216902253524</v>
      </c>
      <c r="AQ810" s="1144">
        <f t="shared" si="220"/>
        <v>0</v>
      </c>
      <c r="AR810" s="1146">
        <f t="shared" si="221"/>
        <v>28921.216902253524</v>
      </c>
    </row>
    <row r="811" spans="1:44" x14ac:dyDescent="0.2">
      <c r="A811" s="1141" t="str">
        <f t="shared" si="216"/>
        <v>1542</v>
      </c>
      <c r="B811" s="1141" t="str">
        <f>IFERROR(VLOOKUP(A811,'LAC 103'!A:C,3,FALSE),"")</f>
        <v>OP</v>
      </c>
      <c r="C811" s="1478" t="str">
        <f>Info!$B$8</f>
        <v>00100</v>
      </c>
      <c r="D811" s="1474" t="s">
        <v>256</v>
      </c>
      <c r="E811" s="1474" t="s">
        <v>95</v>
      </c>
      <c r="F811" s="1478" t="s">
        <v>392</v>
      </c>
      <c r="G811" s="1478" t="s">
        <v>392</v>
      </c>
      <c r="H811" s="1474" t="s">
        <v>988</v>
      </c>
      <c r="I811" s="1478" t="s">
        <v>811</v>
      </c>
      <c r="J811" s="1478"/>
      <c r="K811" s="1475" t="s">
        <v>971</v>
      </c>
      <c r="L811" s="1474" t="s">
        <v>332</v>
      </c>
      <c r="M811" s="1476" t="s">
        <v>1698</v>
      </c>
      <c r="N811" s="1477" t="s">
        <v>1693</v>
      </c>
      <c r="O811" s="1479">
        <v>6836</v>
      </c>
      <c r="P811" s="1479"/>
      <c r="Q811" s="1142">
        <f t="shared" si="217"/>
        <v>6836</v>
      </c>
      <c r="R811" s="1143">
        <f>IFERROR(VLOOKUP(CONCATENATE(E811,G811),'LAC 103'!$A$12:$O$95,11,FALSE),0)</f>
        <v>3.2074101033884355</v>
      </c>
      <c r="S811" s="1144">
        <f>IFERROR(VLOOKUP(CONCATENATE($E811,$G811),'LAC 103'!$A$12:$O$95,12,FALSE),0)</f>
        <v>3.99</v>
      </c>
      <c r="T811" s="1144">
        <f>IFERROR(VLOOKUP(CONCATENATE($E811,$G811),'LAC 103'!$A$12:$O$95,13,FALSE),0)</f>
        <v>2.48</v>
      </c>
      <c r="U811" s="1144">
        <f>IFERROR(VLOOKUP(CONCATENATE($E811,$G811),'LAC 103'!$A$12:$O$95,14,FALSE),0)</f>
        <v>0</v>
      </c>
      <c r="V811" s="1144">
        <f>IFERROR(VLOOKUP(CONCATENATE($E811,$G811),'LAC 103'!$A$12:$O$95,15,FALSE),0)</f>
        <v>0</v>
      </c>
      <c r="W811" s="1145" t="str">
        <f>IFERROR(VLOOKUP(CONCATENATE($B811,$N811),'LAC 103'!$AI:$AQ,9,FALSE),"")</f>
        <v>Costs</v>
      </c>
      <c r="X811" s="1146">
        <f t="shared" si="222"/>
        <v>3.2074101033884355</v>
      </c>
      <c r="Y811" s="1143">
        <f t="shared" si="233"/>
        <v>21925.855466763343</v>
      </c>
      <c r="Z811" s="1147">
        <f t="shared" si="223"/>
        <v>27275.640000000003</v>
      </c>
      <c r="AA811" s="1144">
        <f t="shared" si="224"/>
        <v>16953.28</v>
      </c>
      <c r="AB811" s="1144">
        <f t="shared" si="225"/>
        <v>0</v>
      </c>
      <c r="AC811" s="1144">
        <f t="shared" si="226"/>
        <v>0</v>
      </c>
      <c r="AD811" s="1148">
        <f t="shared" si="218"/>
        <v>21925.855466763343</v>
      </c>
      <c r="AE811" s="1487">
        <v>0</v>
      </c>
      <c r="AF811" s="1145">
        <f t="shared" si="227"/>
        <v>21925.855466763343</v>
      </c>
      <c r="AG811" s="1149">
        <f>IFERROR(VLOOKUP(CONCATENATE($L811,$N811),'Drop List'!$G$23:$K$87,2,FALSE),0)</f>
        <v>0</v>
      </c>
      <c r="AH811" s="1150">
        <f>IFERROR(VLOOKUP(CONCATENATE($L811,$N811),'Drop List'!$G$23:$K$87,3,FALSE),0)</f>
        <v>0</v>
      </c>
      <c r="AI811" s="1150">
        <f>IFERROR(VLOOKUP(CONCATENATE($L811,$N811),'Drop List'!$G$23:$K$87,4,FALSE),0)</f>
        <v>0</v>
      </c>
      <c r="AJ811" s="1151">
        <f>IFERROR(VLOOKUP(CONCATENATE($L811,$N811),'Drop List'!$G$23:$K$87,5,FALSE),0)</f>
        <v>0</v>
      </c>
      <c r="AK811" s="1152">
        <f t="shared" si="228"/>
        <v>0</v>
      </c>
      <c r="AL811" s="1153">
        <f t="shared" si="229"/>
        <v>0</v>
      </c>
      <c r="AM811" s="1153">
        <f t="shared" si="230"/>
        <v>0</v>
      </c>
      <c r="AN811" s="1145">
        <f t="shared" si="231"/>
        <v>0</v>
      </c>
      <c r="AO811" s="1154">
        <f t="shared" si="232"/>
        <v>0</v>
      </c>
      <c r="AP811" s="1147">
        <f t="shared" si="219"/>
        <v>21925.855466763343</v>
      </c>
      <c r="AQ811" s="1144">
        <f t="shared" si="220"/>
        <v>0</v>
      </c>
      <c r="AR811" s="1146">
        <f t="shared" si="221"/>
        <v>21925.855466763343</v>
      </c>
    </row>
    <row r="812" spans="1:44" x14ac:dyDescent="0.2">
      <c r="A812" s="1141" t="str">
        <f t="shared" si="216"/>
        <v>1542</v>
      </c>
      <c r="B812" s="1141" t="str">
        <f>IFERROR(VLOOKUP(A812,'LAC 103'!A:C,3,FALSE),"")</f>
        <v>OP</v>
      </c>
      <c r="C812" s="1478" t="str">
        <f>Info!$B$8</f>
        <v>00100</v>
      </c>
      <c r="D812" s="1474" t="s">
        <v>256</v>
      </c>
      <c r="E812" s="1474" t="s">
        <v>95</v>
      </c>
      <c r="F812" s="1478" t="s">
        <v>392</v>
      </c>
      <c r="G812" s="1478" t="s">
        <v>392</v>
      </c>
      <c r="H812" s="1474" t="s">
        <v>988</v>
      </c>
      <c r="I812" s="1478" t="s">
        <v>811</v>
      </c>
      <c r="J812" s="1478"/>
      <c r="K812" s="1475" t="s">
        <v>850</v>
      </c>
      <c r="L812" s="1474" t="s">
        <v>330</v>
      </c>
      <c r="M812" s="1476" t="s">
        <v>1699</v>
      </c>
      <c r="N812" s="1477" t="s">
        <v>1694</v>
      </c>
      <c r="O812" s="1479">
        <v>3194</v>
      </c>
      <c r="P812" s="1479"/>
      <c r="Q812" s="1142">
        <f t="shared" si="217"/>
        <v>3194</v>
      </c>
      <c r="R812" s="1143">
        <f>IFERROR(VLOOKUP(CONCATENATE(E812,G812),'LAC 103'!$A$12:$O$95,11,FALSE),0)</f>
        <v>3.2074101033884355</v>
      </c>
      <c r="S812" s="1144">
        <f>IFERROR(VLOOKUP(CONCATENATE($E812,$G812),'LAC 103'!$A$12:$O$95,12,FALSE),0)</f>
        <v>3.99</v>
      </c>
      <c r="T812" s="1144">
        <f>IFERROR(VLOOKUP(CONCATENATE($E812,$G812),'LAC 103'!$A$12:$O$95,13,FALSE),0)</f>
        <v>2.48</v>
      </c>
      <c r="U812" s="1144">
        <f>IFERROR(VLOOKUP(CONCATENATE($E812,$G812),'LAC 103'!$A$12:$O$95,14,FALSE),0)</f>
        <v>0</v>
      </c>
      <c r="V812" s="1144">
        <f>IFERROR(VLOOKUP(CONCATENATE($E812,$G812),'LAC 103'!$A$12:$O$95,15,FALSE),0)</f>
        <v>0</v>
      </c>
      <c r="W812" s="1145" t="str">
        <f>IFERROR(VLOOKUP(CONCATENATE($B812,$N812),'LAC 103'!$AI:$AQ,9,FALSE),"")</f>
        <v>Costs</v>
      </c>
      <c r="X812" s="1146">
        <f t="shared" si="222"/>
        <v>3.2074101033884355</v>
      </c>
      <c r="Y812" s="1143">
        <f t="shared" si="233"/>
        <v>10244.467870222663</v>
      </c>
      <c r="Z812" s="1147">
        <f t="shared" si="223"/>
        <v>12744.060000000001</v>
      </c>
      <c r="AA812" s="1144">
        <f t="shared" si="224"/>
        <v>7921.12</v>
      </c>
      <c r="AB812" s="1144">
        <f t="shared" si="225"/>
        <v>0</v>
      </c>
      <c r="AC812" s="1144">
        <f t="shared" si="226"/>
        <v>0</v>
      </c>
      <c r="AD812" s="1148">
        <f t="shared" si="218"/>
        <v>10244.467870222663</v>
      </c>
      <c r="AE812" s="1487">
        <v>0</v>
      </c>
      <c r="AF812" s="1145">
        <f t="shared" si="227"/>
        <v>10244.467870222663</v>
      </c>
      <c r="AG812" s="1149">
        <f>IFERROR(VLOOKUP(CONCATENATE($L812,$N812),'Drop List'!$G$23:$K$87,2,FALSE),0)</f>
        <v>0</v>
      </c>
      <c r="AH812" s="1150">
        <f>IFERROR(VLOOKUP(CONCATENATE($L812,$N812),'Drop List'!$G$23:$K$87,3,FALSE),0)</f>
        <v>0</v>
      </c>
      <c r="AI812" s="1150">
        <f>IFERROR(VLOOKUP(CONCATENATE($L812,$N812),'Drop List'!$G$23:$K$87,4,FALSE),0)</f>
        <v>1</v>
      </c>
      <c r="AJ812" s="1151">
        <f>IFERROR(VLOOKUP(CONCATENATE($L812,$N812),'Drop List'!$G$23:$K$87,5,FALSE),0)</f>
        <v>0</v>
      </c>
      <c r="AK812" s="1152">
        <f t="shared" si="228"/>
        <v>0</v>
      </c>
      <c r="AL812" s="1153">
        <f t="shared" si="229"/>
        <v>0</v>
      </c>
      <c r="AM812" s="1153">
        <f t="shared" si="230"/>
        <v>10244.467870222663</v>
      </c>
      <c r="AN812" s="1145">
        <f t="shared" si="231"/>
        <v>0</v>
      </c>
      <c r="AO812" s="1154">
        <f t="shared" si="232"/>
        <v>10244.467870222663</v>
      </c>
      <c r="AP812" s="1147">
        <f t="shared" si="219"/>
        <v>0</v>
      </c>
      <c r="AQ812" s="1144">
        <f t="shared" si="220"/>
        <v>0</v>
      </c>
      <c r="AR812" s="1146">
        <f t="shared" si="221"/>
        <v>10244.467870222663</v>
      </c>
    </row>
    <row r="813" spans="1:44" x14ac:dyDescent="0.2">
      <c r="A813" s="1141" t="str">
        <f t="shared" si="216"/>
        <v>1542</v>
      </c>
      <c r="B813" s="1141" t="str">
        <f>IFERROR(VLOOKUP(A813,'LAC 103'!A:C,3,FALSE),"")</f>
        <v>OP</v>
      </c>
      <c r="C813" s="1478" t="str">
        <f>Info!$B$8</f>
        <v>00100</v>
      </c>
      <c r="D813" s="1474" t="s">
        <v>256</v>
      </c>
      <c r="E813" s="1474" t="s">
        <v>95</v>
      </c>
      <c r="F813" s="1478" t="s">
        <v>392</v>
      </c>
      <c r="G813" s="1478" t="s">
        <v>392</v>
      </c>
      <c r="H813" s="1474" t="s">
        <v>988</v>
      </c>
      <c r="I813" s="1478" t="s">
        <v>811</v>
      </c>
      <c r="J813" s="1478"/>
      <c r="K813" s="1475" t="s">
        <v>850</v>
      </c>
      <c r="L813" s="1474" t="s">
        <v>330</v>
      </c>
      <c r="M813" s="1476" t="s">
        <v>842</v>
      </c>
      <c r="N813" s="1477" t="s">
        <v>1692</v>
      </c>
      <c r="O813" s="1479">
        <v>12656</v>
      </c>
      <c r="P813" s="1479"/>
      <c r="Q813" s="1142">
        <f t="shared" si="217"/>
        <v>12656</v>
      </c>
      <c r="R813" s="1143">
        <f>IFERROR(VLOOKUP(CONCATENATE(E813,G813),'LAC 103'!$A$12:$O$95,11,FALSE),0)</f>
        <v>3.2074101033884355</v>
      </c>
      <c r="S813" s="1144">
        <f>IFERROR(VLOOKUP(CONCATENATE($E813,$G813),'LAC 103'!$A$12:$O$95,12,FALSE),0)</f>
        <v>3.99</v>
      </c>
      <c r="T813" s="1144">
        <f>IFERROR(VLOOKUP(CONCATENATE($E813,$G813),'LAC 103'!$A$12:$O$95,13,FALSE),0)</f>
        <v>2.48</v>
      </c>
      <c r="U813" s="1144">
        <f>IFERROR(VLOOKUP(CONCATENATE($E813,$G813),'LAC 103'!$A$12:$O$95,14,FALSE),0)</f>
        <v>0</v>
      </c>
      <c r="V813" s="1144">
        <f>IFERROR(VLOOKUP(CONCATENATE($E813,$G813),'LAC 103'!$A$12:$O$95,15,FALSE),0)</f>
        <v>0</v>
      </c>
      <c r="W813" s="1145" t="str">
        <f>IFERROR(VLOOKUP(CONCATENATE($B813,$N813),'LAC 103'!$AI:$AQ,9,FALSE),"")</f>
        <v>Costs</v>
      </c>
      <c r="X813" s="1146">
        <f t="shared" si="222"/>
        <v>3.2074101033884355</v>
      </c>
      <c r="Y813" s="1143">
        <f t="shared" si="233"/>
        <v>40592.98226848404</v>
      </c>
      <c r="Z813" s="1147">
        <f t="shared" si="223"/>
        <v>50497.440000000002</v>
      </c>
      <c r="AA813" s="1144">
        <f t="shared" si="224"/>
        <v>31386.880000000001</v>
      </c>
      <c r="AB813" s="1144">
        <f t="shared" si="225"/>
        <v>0</v>
      </c>
      <c r="AC813" s="1144">
        <f t="shared" si="226"/>
        <v>0</v>
      </c>
      <c r="AD813" s="1148">
        <f t="shared" si="218"/>
        <v>40592.98226848404</v>
      </c>
      <c r="AE813" s="1487">
        <v>0</v>
      </c>
      <c r="AF813" s="1145">
        <f t="shared" si="227"/>
        <v>40592.98226848404</v>
      </c>
      <c r="AG813" s="1149">
        <f>IFERROR(VLOOKUP(CONCATENATE($L813,$N813),'Drop List'!$G$23:$K$87,2,FALSE),0)</f>
        <v>0</v>
      </c>
      <c r="AH813" s="1150">
        <f>IFERROR(VLOOKUP(CONCATENATE($L813,$N813),'Drop List'!$G$23:$K$87,3,FALSE),0)</f>
        <v>0</v>
      </c>
      <c r="AI813" s="1150">
        <f>IFERROR(VLOOKUP(CONCATENATE($L813,$N813),'Drop List'!$G$23:$K$87,4,FALSE),0)</f>
        <v>1</v>
      </c>
      <c r="AJ813" s="1151">
        <f>IFERROR(VLOOKUP(CONCATENATE($L813,$N813),'Drop List'!$G$23:$K$87,5,FALSE),0)</f>
        <v>0</v>
      </c>
      <c r="AK813" s="1152">
        <f t="shared" si="228"/>
        <v>0</v>
      </c>
      <c r="AL813" s="1153">
        <f t="shared" si="229"/>
        <v>0</v>
      </c>
      <c r="AM813" s="1153">
        <f t="shared" si="230"/>
        <v>40592.98226848404</v>
      </c>
      <c r="AN813" s="1145">
        <f t="shared" si="231"/>
        <v>0</v>
      </c>
      <c r="AO813" s="1154">
        <f t="shared" si="232"/>
        <v>40592.98226848404</v>
      </c>
      <c r="AP813" s="1147">
        <f t="shared" si="219"/>
        <v>0</v>
      </c>
      <c r="AQ813" s="1144">
        <f t="shared" si="220"/>
        <v>0</v>
      </c>
      <c r="AR813" s="1146">
        <f t="shared" si="221"/>
        <v>40592.98226848404</v>
      </c>
    </row>
    <row r="814" spans="1:44" x14ac:dyDescent="0.2">
      <c r="A814" s="1141" t="str">
        <f t="shared" si="216"/>
        <v>1542</v>
      </c>
      <c r="B814" s="1141" t="str">
        <f>IFERROR(VLOOKUP(A814,'LAC 103'!A:C,3,FALSE),"")</f>
        <v>OP</v>
      </c>
      <c r="C814" s="1478" t="str">
        <f>Info!$B$8</f>
        <v>00100</v>
      </c>
      <c r="D814" s="1474" t="s">
        <v>256</v>
      </c>
      <c r="E814" s="1474" t="s">
        <v>95</v>
      </c>
      <c r="F814" s="1478" t="s">
        <v>392</v>
      </c>
      <c r="G814" s="1478" t="s">
        <v>392</v>
      </c>
      <c r="H814" s="1474" t="s">
        <v>988</v>
      </c>
      <c r="I814" s="1478" t="s">
        <v>811</v>
      </c>
      <c r="J814" s="1478"/>
      <c r="K814" s="1475" t="s">
        <v>850</v>
      </c>
      <c r="L814" s="1474" t="s">
        <v>330</v>
      </c>
      <c r="M814" s="1476" t="s">
        <v>1698</v>
      </c>
      <c r="N814" s="1477" t="s">
        <v>1693</v>
      </c>
      <c r="O814" s="1479">
        <v>10001</v>
      </c>
      <c r="P814" s="1479"/>
      <c r="Q814" s="1142">
        <f t="shared" si="217"/>
        <v>10001</v>
      </c>
      <c r="R814" s="1143">
        <f>IFERROR(VLOOKUP(CONCATENATE(E814,G814),'LAC 103'!$A$12:$O$95,11,FALSE),0)</f>
        <v>3.2074101033884355</v>
      </c>
      <c r="S814" s="1144">
        <f>IFERROR(VLOOKUP(CONCATENATE($E814,$G814),'LAC 103'!$A$12:$O$95,12,FALSE),0)</f>
        <v>3.99</v>
      </c>
      <c r="T814" s="1144">
        <f>IFERROR(VLOOKUP(CONCATENATE($E814,$G814),'LAC 103'!$A$12:$O$95,13,FALSE),0)</f>
        <v>2.48</v>
      </c>
      <c r="U814" s="1144">
        <f>IFERROR(VLOOKUP(CONCATENATE($E814,$G814),'LAC 103'!$A$12:$O$95,14,FALSE),0)</f>
        <v>0</v>
      </c>
      <c r="V814" s="1144">
        <f>IFERROR(VLOOKUP(CONCATENATE($E814,$G814),'LAC 103'!$A$12:$O$95,15,FALSE),0)</f>
        <v>0</v>
      </c>
      <c r="W814" s="1145" t="str">
        <f>IFERROR(VLOOKUP(CONCATENATE($B814,$N814),'LAC 103'!$AI:$AQ,9,FALSE),"")</f>
        <v>Costs</v>
      </c>
      <c r="X814" s="1146">
        <f t="shared" si="222"/>
        <v>3.2074101033884355</v>
      </c>
      <c r="Y814" s="1143">
        <f t="shared" si="233"/>
        <v>32077.308443987742</v>
      </c>
      <c r="Z814" s="1147">
        <f t="shared" si="223"/>
        <v>39903.990000000005</v>
      </c>
      <c r="AA814" s="1144">
        <f t="shared" si="224"/>
        <v>24802.48</v>
      </c>
      <c r="AB814" s="1144">
        <f t="shared" si="225"/>
        <v>0</v>
      </c>
      <c r="AC814" s="1144">
        <f t="shared" si="226"/>
        <v>0</v>
      </c>
      <c r="AD814" s="1148">
        <f t="shared" si="218"/>
        <v>32077.308443987742</v>
      </c>
      <c r="AE814" s="1487">
        <v>0</v>
      </c>
      <c r="AF814" s="1145">
        <f t="shared" si="227"/>
        <v>32077.308443987742</v>
      </c>
      <c r="AG814" s="1149">
        <f>IFERROR(VLOOKUP(CONCATENATE($L814,$N814),'Drop List'!$G$23:$K$87,2,FALSE),0)</f>
        <v>0</v>
      </c>
      <c r="AH814" s="1150">
        <f>IFERROR(VLOOKUP(CONCATENATE($L814,$N814),'Drop List'!$G$23:$K$87,3,FALSE),0)</f>
        <v>0</v>
      </c>
      <c r="AI814" s="1150">
        <f>IFERROR(VLOOKUP(CONCATENATE($L814,$N814),'Drop List'!$G$23:$K$87,4,FALSE),0)</f>
        <v>1</v>
      </c>
      <c r="AJ814" s="1151">
        <f>IFERROR(VLOOKUP(CONCATENATE($L814,$N814),'Drop List'!$G$23:$K$87,5,FALSE),0)</f>
        <v>0</v>
      </c>
      <c r="AK814" s="1152">
        <f t="shared" si="228"/>
        <v>0</v>
      </c>
      <c r="AL814" s="1153">
        <f t="shared" si="229"/>
        <v>0</v>
      </c>
      <c r="AM814" s="1153">
        <f t="shared" si="230"/>
        <v>32077.308443987742</v>
      </c>
      <c r="AN814" s="1145">
        <f t="shared" si="231"/>
        <v>0</v>
      </c>
      <c r="AO814" s="1154">
        <f t="shared" si="232"/>
        <v>32077.308443987742</v>
      </c>
      <c r="AP814" s="1147">
        <f t="shared" si="219"/>
        <v>0</v>
      </c>
      <c r="AQ814" s="1144">
        <f t="shared" si="220"/>
        <v>0</v>
      </c>
      <c r="AR814" s="1146">
        <f t="shared" si="221"/>
        <v>32077.308443987742</v>
      </c>
    </row>
    <row r="815" spans="1:44" x14ac:dyDescent="0.2">
      <c r="A815" s="1141" t="str">
        <f t="shared" si="216"/>
        <v>1542</v>
      </c>
      <c r="B815" s="1141" t="str">
        <f>IFERROR(VLOOKUP(A815,'LAC 103'!A:C,3,FALSE),"")</f>
        <v>OP</v>
      </c>
      <c r="C815" s="1478" t="str">
        <f>Info!$B$8</f>
        <v>00100</v>
      </c>
      <c r="D815" s="1474" t="s">
        <v>256</v>
      </c>
      <c r="E815" s="1474" t="s">
        <v>95</v>
      </c>
      <c r="F815" s="1478" t="s">
        <v>392</v>
      </c>
      <c r="G815" s="1478" t="s">
        <v>392</v>
      </c>
      <c r="H815" s="1474" t="s">
        <v>988</v>
      </c>
      <c r="I815" s="1478" t="s">
        <v>811</v>
      </c>
      <c r="J815" s="1478"/>
      <c r="K815" s="1475" t="s">
        <v>851</v>
      </c>
      <c r="L815" s="1474" t="s">
        <v>584</v>
      </c>
      <c r="M815" s="1476" t="s">
        <v>1699</v>
      </c>
      <c r="N815" s="1477" t="s">
        <v>1694</v>
      </c>
      <c r="O815" s="1479">
        <v>169042</v>
      </c>
      <c r="P815" s="1479"/>
      <c r="Q815" s="1142">
        <f t="shared" si="217"/>
        <v>169042</v>
      </c>
      <c r="R815" s="1143">
        <f>IFERROR(VLOOKUP(CONCATENATE(E815,G815),'LAC 103'!$A$12:$O$95,11,FALSE),0)</f>
        <v>3.2074101033884355</v>
      </c>
      <c r="S815" s="1144">
        <f>IFERROR(VLOOKUP(CONCATENATE($E815,$G815),'LAC 103'!$A$12:$O$95,12,FALSE),0)</f>
        <v>3.99</v>
      </c>
      <c r="T815" s="1144">
        <f>IFERROR(VLOOKUP(CONCATENATE($E815,$G815),'LAC 103'!$A$12:$O$95,13,FALSE),0)</f>
        <v>2.48</v>
      </c>
      <c r="U815" s="1144">
        <f>IFERROR(VLOOKUP(CONCATENATE($E815,$G815),'LAC 103'!$A$12:$O$95,14,FALSE),0)</f>
        <v>0</v>
      </c>
      <c r="V815" s="1144">
        <f>IFERROR(VLOOKUP(CONCATENATE($E815,$G815),'LAC 103'!$A$12:$O$95,15,FALSE),0)</f>
        <v>0</v>
      </c>
      <c r="W815" s="1145" t="str">
        <f>IFERROR(VLOOKUP(CONCATENATE($B815,$N815),'LAC 103'!$AI:$AQ,9,FALSE),"")</f>
        <v>Costs</v>
      </c>
      <c r="X815" s="1146">
        <f t="shared" si="222"/>
        <v>3.2074101033884355</v>
      </c>
      <c r="Y815" s="1143">
        <f t="shared" si="233"/>
        <v>542187.01869698789</v>
      </c>
      <c r="Z815" s="1147">
        <f t="shared" si="223"/>
        <v>674477.58000000007</v>
      </c>
      <c r="AA815" s="1144">
        <f t="shared" si="224"/>
        <v>419224.16</v>
      </c>
      <c r="AB815" s="1144">
        <f t="shared" si="225"/>
        <v>0</v>
      </c>
      <c r="AC815" s="1144">
        <f t="shared" si="226"/>
        <v>0</v>
      </c>
      <c r="AD815" s="1148">
        <f t="shared" si="218"/>
        <v>542187.01869698789</v>
      </c>
      <c r="AE815" s="1487">
        <v>0</v>
      </c>
      <c r="AF815" s="1145">
        <f t="shared" si="227"/>
        <v>542187.01869698789</v>
      </c>
      <c r="AG815" s="1149">
        <f>IFERROR(VLOOKUP(CONCATENATE($L815,$N815),'Drop List'!$G$23:$K$87,2,FALSE),0)</f>
        <v>0.56200000000000006</v>
      </c>
      <c r="AH815" s="1150">
        <f>IFERROR(VLOOKUP(CONCATENATE($L815,$N815),'Drop List'!$G$23:$K$87,3,FALSE),0)</f>
        <v>0</v>
      </c>
      <c r="AI815" s="1150">
        <f>IFERROR(VLOOKUP(CONCATENATE($L815,$N815),'Drop List'!$G$23:$K$87,4,FALSE),0)</f>
        <v>0</v>
      </c>
      <c r="AJ815" s="1151">
        <f>IFERROR(VLOOKUP(CONCATENATE($L815,$N815),'Drop List'!$G$23:$K$87,5,FALSE),0)</f>
        <v>0.43799999999999994</v>
      </c>
      <c r="AK815" s="1152">
        <f t="shared" si="228"/>
        <v>304709.10450770723</v>
      </c>
      <c r="AL815" s="1153">
        <f t="shared" si="229"/>
        <v>0</v>
      </c>
      <c r="AM815" s="1153">
        <f t="shared" si="230"/>
        <v>0</v>
      </c>
      <c r="AN815" s="1145">
        <f t="shared" si="231"/>
        <v>237477.91418928065</v>
      </c>
      <c r="AO815" s="1154">
        <f t="shared" si="232"/>
        <v>542187.01869698789</v>
      </c>
      <c r="AP815" s="1147">
        <f t="shared" si="219"/>
        <v>0</v>
      </c>
      <c r="AQ815" s="1144">
        <f t="shared" si="220"/>
        <v>0</v>
      </c>
      <c r="AR815" s="1146">
        <f t="shared" si="221"/>
        <v>542187.01869698789</v>
      </c>
    </row>
    <row r="816" spans="1:44" x14ac:dyDescent="0.2">
      <c r="A816" s="1141" t="str">
        <f t="shared" si="216"/>
        <v>1542</v>
      </c>
      <c r="B816" s="1141" t="str">
        <f>IFERROR(VLOOKUP(A816,'LAC 103'!A:C,3,FALSE),"")</f>
        <v>OP</v>
      </c>
      <c r="C816" s="1478" t="str">
        <f>Info!$B$8</f>
        <v>00100</v>
      </c>
      <c r="D816" s="1474" t="s">
        <v>256</v>
      </c>
      <c r="E816" s="1474" t="s">
        <v>95</v>
      </c>
      <c r="F816" s="1478" t="s">
        <v>392</v>
      </c>
      <c r="G816" s="1478" t="s">
        <v>392</v>
      </c>
      <c r="H816" s="1474" t="s">
        <v>988</v>
      </c>
      <c r="I816" s="1478" t="s">
        <v>811</v>
      </c>
      <c r="J816" s="1478"/>
      <c r="K816" s="1475" t="s">
        <v>851</v>
      </c>
      <c r="L816" s="1474" t="s">
        <v>584</v>
      </c>
      <c r="M816" s="1476" t="s">
        <v>841</v>
      </c>
      <c r="N816" s="1477" t="s">
        <v>1695</v>
      </c>
      <c r="O816" s="1479">
        <v>85303</v>
      </c>
      <c r="P816" s="1479"/>
      <c r="Q816" s="1142">
        <f t="shared" si="217"/>
        <v>85303</v>
      </c>
      <c r="R816" s="1143">
        <f>IFERROR(VLOOKUP(CONCATENATE(E816,G816),'LAC 103'!$A$12:$O$95,11,FALSE),0)</f>
        <v>3.2074101033884355</v>
      </c>
      <c r="S816" s="1144">
        <f>IFERROR(VLOOKUP(CONCATENATE($E816,$G816),'LAC 103'!$A$12:$O$95,12,FALSE),0)</f>
        <v>3.99</v>
      </c>
      <c r="T816" s="1144">
        <f>IFERROR(VLOOKUP(CONCATENATE($E816,$G816),'LAC 103'!$A$12:$O$95,13,FALSE),0)</f>
        <v>2.48</v>
      </c>
      <c r="U816" s="1144">
        <f>IFERROR(VLOOKUP(CONCATENATE($E816,$G816),'LAC 103'!$A$12:$O$95,14,FALSE),0)</f>
        <v>0</v>
      </c>
      <c r="V816" s="1144">
        <f>IFERROR(VLOOKUP(CONCATENATE($E816,$G816),'LAC 103'!$A$12:$O$95,15,FALSE),0)</f>
        <v>0</v>
      </c>
      <c r="W816" s="1145" t="str">
        <f>IFERROR(VLOOKUP(CONCATENATE($B816,$N816),'LAC 103'!$AI:$AQ,9,FALSE),"")</f>
        <v>Costs</v>
      </c>
      <c r="X816" s="1146">
        <f t="shared" si="222"/>
        <v>3.2074101033884355</v>
      </c>
      <c r="Y816" s="1143">
        <f t="shared" si="233"/>
        <v>273601.70404934371</v>
      </c>
      <c r="Z816" s="1147">
        <f t="shared" si="223"/>
        <v>340358.97000000003</v>
      </c>
      <c r="AA816" s="1144">
        <f t="shared" si="224"/>
        <v>211551.44</v>
      </c>
      <c r="AB816" s="1144">
        <f t="shared" si="225"/>
        <v>0</v>
      </c>
      <c r="AC816" s="1144">
        <f t="shared" si="226"/>
        <v>0</v>
      </c>
      <c r="AD816" s="1148">
        <f t="shared" si="218"/>
        <v>273601.70404934371</v>
      </c>
      <c r="AE816" s="1487">
        <v>0</v>
      </c>
      <c r="AF816" s="1145">
        <f t="shared" si="227"/>
        <v>273601.70404934371</v>
      </c>
      <c r="AG816" s="1149">
        <f>IFERROR(VLOOKUP(CONCATENATE($L816,$N816),'Drop List'!$G$23:$K$87,2,FALSE),0)</f>
        <v>0.55000000000000004</v>
      </c>
      <c r="AH816" s="1150">
        <f>IFERROR(VLOOKUP(CONCATENATE($L816,$N816),'Drop List'!$G$23:$K$87,3,FALSE),0)</f>
        <v>0</v>
      </c>
      <c r="AI816" s="1150">
        <f>IFERROR(VLOOKUP(CONCATENATE($L816,$N816),'Drop List'!$G$23:$K$87,4,FALSE),0)</f>
        <v>0</v>
      </c>
      <c r="AJ816" s="1151">
        <f>IFERROR(VLOOKUP(CONCATENATE($L816,$N816),'Drop List'!$G$23:$K$87,5,FALSE),0)</f>
        <v>0.44999999999999996</v>
      </c>
      <c r="AK816" s="1152">
        <f t="shared" si="228"/>
        <v>150480.93722713905</v>
      </c>
      <c r="AL816" s="1153">
        <f t="shared" si="229"/>
        <v>0</v>
      </c>
      <c r="AM816" s="1153">
        <f t="shared" si="230"/>
        <v>0</v>
      </c>
      <c r="AN816" s="1145">
        <f t="shared" si="231"/>
        <v>123120.76682220466</v>
      </c>
      <c r="AO816" s="1154">
        <f t="shared" si="232"/>
        <v>273601.70404934371</v>
      </c>
      <c r="AP816" s="1147">
        <f t="shared" si="219"/>
        <v>0</v>
      </c>
      <c r="AQ816" s="1144">
        <f t="shared" si="220"/>
        <v>0</v>
      </c>
      <c r="AR816" s="1146">
        <f t="shared" si="221"/>
        <v>273601.70404934371</v>
      </c>
    </row>
    <row r="817" spans="1:44" x14ac:dyDescent="0.2">
      <c r="A817" s="1141" t="str">
        <f t="shared" si="216"/>
        <v>1542</v>
      </c>
      <c r="B817" s="1141" t="str">
        <f>IFERROR(VLOOKUP(A817,'LAC 103'!A:C,3,FALSE),"")</f>
        <v>OP</v>
      </c>
      <c r="C817" s="1478" t="str">
        <f>Info!$B$8</f>
        <v>00100</v>
      </c>
      <c r="D817" s="1474" t="s">
        <v>256</v>
      </c>
      <c r="E817" s="1474" t="s">
        <v>95</v>
      </c>
      <c r="F817" s="1478" t="s">
        <v>392</v>
      </c>
      <c r="G817" s="1478" t="s">
        <v>392</v>
      </c>
      <c r="H817" s="1474" t="s">
        <v>988</v>
      </c>
      <c r="I817" s="1478" t="s">
        <v>811</v>
      </c>
      <c r="J817" s="1478"/>
      <c r="K817" s="1475" t="s">
        <v>851</v>
      </c>
      <c r="L817" s="1474" t="s">
        <v>584</v>
      </c>
      <c r="M817" s="1476" t="s">
        <v>840</v>
      </c>
      <c r="N817" s="1477" t="s">
        <v>1700</v>
      </c>
      <c r="O817" s="1479">
        <v>93112</v>
      </c>
      <c r="P817" s="1479"/>
      <c r="Q817" s="1142">
        <f t="shared" si="217"/>
        <v>93112</v>
      </c>
      <c r="R817" s="1143">
        <f>IFERROR(VLOOKUP(CONCATENATE(E817,G817),'LAC 103'!$A$12:$O$95,11,FALSE),0)</f>
        <v>3.2074101033884355</v>
      </c>
      <c r="S817" s="1144">
        <f>IFERROR(VLOOKUP(CONCATENATE($E817,$G817),'LAC 103'!$A$12:$O$95,12,FALSE),0)</f>
        <v>3.99</v>
      </c>
      <c r="T817" s="1144">
        <f>IFERROR(VLOOKUP(CONCATENATE($E817,$G817),'LAC 103'!$A$12:$O$95,13,FALSE),0)</f>
        <v>2.48</v>
      </c>
      <c r="U817" s="1144">
        <f>IFERROR(VLOOKUP(CONCATENATE($E817,$G817),'LAC 103'!$A$12:$O$95,14,FALSE),0)</f>
        <v>0</v>
      </c>
      <c r="V817" s="1144">
        <f>IFERROR(VLOOKUP(CONCATENATE($E817,$G817),'LAC 103'!$A$12:$O$95,15,FALSE),0)</f>
        <v>0</v>
      </c>
      <c r="W817" s="1145" t="str">
        <f>IFERROR(VLOOKUP(CONCATENATE($B817,$N817),'LAC 103'!$AI:$AQ,9,FALSE),"")</f>
        <v>P.C.</v>
      </c>
      <c r="X817" s="1146">
        <f t="shared" si="222"/>
        <v>2.48</v>
      </c>
      <c r="Y817" s="1143">
        <f t="shared" si="233"/>
        <v>298648.36954670399</v>
      </c>
      <c r="Z817" s="1147">
        <f t="shared" si="223"/>
        <v>371516.88</v>
      </c>
      <c r="AA817" s="1144">
        <f t="shared" si="224"/>
        <v>230917.76000000001</v>
      </c>
      <c r="AB817" s="1144">
        <f t="shared" si="225"/>
        <v>0</v>
      </c>
      <c r="AC817" s="1144">
        <f t="shared" si="226"/>
        <v>0</v>
      </c>
      <c r="AD817" s="1148">
        <f t="shared" si="218"/>
        <v>230917.76000000001</v>
      </c>
      <c r="AE817" s="1487">
        <v>0</v>
      </c>
      <c r="AF817" s="1145">
        <f t="shared" si="227"/>
        <v>230917.76000000001</v>
      </c>
      <c r="AG817" s="1149">
        <f>IFERROR(VLOOKUP(CONCATENATE($L817,$N817),'Drop List'!$G$23:$K$87,2,FALSE),0)</f>
        <v>0.55000000000000004</v>
      </c>
      <c r="AH817" s="1150">
        <f>IFERROR(VLOOKUP(CONCATENATE($L817,$N817),'Drop List'!$G$23:$K$87,3,FALSE),0)</f>
        <v>0</v>
      </c>
      <c r="AI817" s="1150">
        <f>IFERROR(VLOOKUP(CONCATENATE($L817,$N817),'Drop List'!$G$23:$K$87,4,FALSE),0)</f>
        <v>0</v>
      </c>
      <c r="AJ817" s="1151">
        <f>IFERROR(VLOOKUP(CONCATENATE($L817,$N817),'Drop List'!$G$23:$K$87,5,FALSE),0)</f>
        <v>0.44999999999999996</v>
      </c>
      <c r="AK817" s="1152">
        <f t="shared" si="228"/>
        <v>127004.76800000001</v>
      </c>
      <c r="AL817" s="1153">
        <f t="shared" si="229"/>
        <v>0</v>
      </c>
      <c r="AM817" s="1153">
        <f t="shared" si="230"/>
        <v>0</v>
      </c>
      <c r="AN817" s="1145">
        <f t="shared" si="231"/>
        <v>103912.992</v>
      </c>
      <c r="AO817" s="1154">
        <f t="shared" si="232"/>
        <v>230917.76000000001</v>
      </c>
      <c r="AP817" s="1147">
        <f t="shared" si="219"/>
        <v>0</v>
      </c>
      <c r="AQ817" s="1144">
        <f t="shared" si="220"/>
        <v>0</v>
      </c>
      <c r="AR817" s="1146">
        <f t="shared" si="221"/>
        <v>230917.76000000001</v>
      </c>
    </row>
    <row r="818" spans="1:44" x14ac:dyDescent="0.2">
      <c r="A818" s="1141" t="str">
        <f t="shared" si="216"/>
        <v>1542</v>
      </c>
      <c r="B818" s="1141" t="str">
        <f>IFERROR(VLOOKUP(A818,'LAC 103'!A:C,3,FALSE),"")</f>
        <v>OP</v>
      </c>
      <c r="C818" s="1478" t="str">
        <f>Info!$B$8</f>
        <v>00100</v>
      </c>
      <c r="D818" s="1474" t="s">
        <v>256</v>
      </c>
      <c r="E818" s="1474" t="s">
        <v>95</v>
      </c>
      <c r="F818" s="1478" t="s">
        <v>392</v>
      </c>
      <c r="G818" s="1478" t="s">
        <v>392</v>
      </c>
      <c r="H818" s="1474" t="s">
        <v>988</v>
      </c>
      <c r="I818" s="1478" t="s">
        <v>811</v>
      </c>
      <c r="J818" s="1478"/>
      <c r="K818" s="1475" t="s">
        <v>851</v>
      </c>
      <c r="L818" s="1474" t="s">
        <v>584</v>
      </c>
      <c r="M818" s="1476" t="s">
        <v>842</v>
      </c>
      <c r="N818" s="1477" t="s">
        <v>1692</v>
      </c>
      <c r="O818" s="1479">
        <v>172232</v>
      </c>
      <c r="P818" s="1479"/>
      <c r="Q818" s="1142">
        <f t="shared" si="217"/>
        <v>172232</v>
      </c>
      <c r="R818" s="1143">
        <f>IFERROR(VLOOKUP(CONCATENATE(E818,G818),'LAC 103'!$A$12:$O$95,11,FALSE),0)</f>
        <v>3.2074101033884355</v>
      </c>
      <c r="S818" s="1144">
        <f>IFERROR(VLOOKUP(CONCATENATE($E818,$G818),'LAC 103'!$A$12:$O$95,12,FALSE),0)</f>
        <v>3.99</v>
      </c>
      <c r="T818" s="1144">
        <f>IFERROR(VLOOKUP(CONCATENATE($E818,$G818),'LAC 103'!$A$12:$O$95,13,FALSE),0)</f>
        <v>2.48</v>
      </c>
      <c r="U818" s="1144">
        <f>IFERROR(VLOOKUP(CONCATENATE($E818,$G818),'LAC 103'!$A$12:$O$95,14,FALSE),0)</f>
        <v>0</v>
      </c>
      <c r="V818" s="1144">
        <f>IFERROR(VLOOKUP(CONCATENATE($E818,$G818),'LAC 103'!$A$12:$O$95,15,FALSE),0)</f>
        <v>0</v>
      </c>
      <c r="W818" s="1145" t="str">
        <f>IFERROR(VLOOKUP(CONCATENATE($B818,$N818),'LAC 103'!$AI:$AQ,9,FALSE),"")</f>
        <v>Costs</v>
      </c>
      <c r="X818" s="1146">
        <f t="shared" si="222"/>
        <v>3.2074101033884355</v>
      </c>
      <c r="Y818" s="1143">
        <f t="shared" si="233"/>
        <v>552418.656926797</v>
      </c>
      <c r="Z818" s="1147">
        <f t="shared" si="223"/>
        <v>687205.68</v>
      </c>
      <c r="AA818" s="1144">
        <f t="shared" si="224"/>
        <v>427135.36</v>
      </c>
      <c r="AB818" s="1144">
        <f t="shared" si="225"/>
        <v>0</v>
      </c>
      <c r="AC818" s="1144">
        <f t="shared" si="226"/>
        <v>0</v>
      </c>
      <c r="AD818" s="1148">
        <f t="shared" si="218"/>
        <v>552418.656926797</v>
      </c>
      <c r="AE818" s="1487">
        <v>0</v>
      </c>
      <c r="AF818" s="1145">
        <f t="shared" si="227"/>
        <v>552418.656926797</v>
      </c>
      <c r="AG818" s="1149">
        <f>IFERROR(VLOOKUP(CONCATENATE($L818,$N818),'Drop List'!$G$23:$K$87,2,FALSE),0)</f>
        <v>0.56200000000000006</v>
      </c>
      <c r="AH818" s="1150">
        <f>IFERROR(VLOOKUP(CONCATENATE($L818,$N818),'Drop List'!$G$23:$K$87,3,FALSE),0)</f>
        <v>0</v>
      </c>
      <c r="AI818" s="1150">
        <f>IFERROR(VLOOKUP(CONCATENATE($L818,$N818),'Drop List'!$G$23:$K$87,4,FALSE),0)</f>
        <v>0</v>
      </c>
      <c r="AJ818" s="1151">
        <f>IFERROR(VLOOKUP(CONCATENATE($L818,$N818),'Drop List'!$G$23:$K$87,5,FALSE),0)</f>
        <v>0.43799999999999994</v>
      </c>
      <c r="AK818" s="1152">
        <f t="shared" si="228"/>
        <v>310459.28519285994</v>
      </c>
      <c r="AL818" s="1153">
        <f t="shared" si="229"/>
        <v>0</v>
      </c>
      <c r="AM818" s="1153">
        <f t="shared" si="230"/>
        <v>0</v>
      </c>
      <c r="AN818" s="1145">
        <f t="shared" si="231"/>
        <v>241959.37173393706</v>
      </c>
      <c r="AO818" s="1154">
        <f t="shared" si="232"/>
        <v>552418.656926797</v>
      </c>
      <c r="AP818" s="1147">
        <f t="shared" si="219"/>
        <v>0</v>
      </c>
      <c r="AQ818" s="1144">
        <f t="shared" si="220"/>
        <v>0</v>
      </c>
      <c r="AR818" s="1146">
        <f t="shared" si="221"/>
        <v>552418.656926797</v>
      </c>
    </row>
    <row r="819" spans="1:44" x14ac:dyDescent="0.2">
      <c r="A819" s="1141" t="str">
        <f t="shared" si="216"/>
        <v>1542</v>
      </c>
      <c r="B819" s="1141" t="str">
        <f>IFERROR(VLOOKUP(A819,'LAC 103'!A:C,3,FALSE),"")</f>
        <v>OP</v>
      </c>
      <c r="C819" s="1478" t="str">
        <f>Info!$B$8</f>
        <v>00100</v>
      </c>
      <c r="D819" s="1474" t="s">
        <v>256</v>
      </c>
      <c r="E819" s="1474" t="s">
        <v>95</v>
      </c>
      <c r="F819" s="1478" t="s">
        <v>392</v>
      </c>
      <c r="G819" s="1478" t="s">
        <v>392</v>
      </c>
      <c r="H819" s="1474" t="s">
        <v>988</v>
      </c>
      <c r="I819" s="1478" t="s">
        <v>811</v>
      </c>
      <c r="J819" s="1478"/>
      <c r="K819" s="1475" t="s">
        <v>851</v>
      </c>
      <c r="L819" s="1474" t="s">
        <v>584</v>
      </c>
      <c r="M819" s="1476" t="s">
        <v>1698</v>
      </c>
      <c r="N819" s="1477" t="s">
        <v>1693</v>
      </c>
      <c r="O819" s="1479">
        <v>166441</v>
      </c>
      <c r="P819" s="1479"/>
      <c r="Q819" s="1142">
        <f t="shared" si="217"/>
        <v>166441</v>
      </c>
      <c r="R819" s="1143">
        <f>IFERROR(VLOOKUP(CONCATENATE(E819,G819),'LAC 103'!$A$12:$O$95,11,FALSE),0)</f>
        <v>3.2074101033884355</v>
      </c>
      <c r="S819" s="1144">
        <f>IFERROR(VLOOKUP(CONCATENATE($E819,$G819),'LAC 103'!$A$12:$O$95,12,FALSE),0)</f>
        <v>3.99</v>
      </c>
      <c r="T819" s="1144">
        <f>IFERROR(VLOOKUP(CONCATENATE($E819,$G819),'LAC 103'!$A$12:$O$95,13,FALSE),0)</f>
        <v>2.48</v>
      </c>
      <c r="U819" s="1144">
        <f>IFERROR(VLOOKUP(CONCATENATE($E819,$G819),'LAC 103'!$A$12:$O$95,14,FALSE),0)</f>
        <v>0</v>
      </c>
      <c r="V819" s="1144">
        <f>IFERROR(VLOOKUP(CONCATENATE($E819,$G819),'LAC 103'!$A$12:$O$95,15,FALSE),0)</f>
        <v>0</v>
      </c>
      <c r="W819" s="1145" t="str">
        <f>IFERROR(VLOOKUP(CONCATENATE($B819,$N819),'LAC 103'!$AI:$AQ,9,FALSE),"")</f>
        <v>Costs</v>
      </c>
      <c r="X819" s="1146">
        <f t="shared" si="222"/>
        <v>3.2074101033884355</v>
      </c>
      <c r="Y819" s="1143">
        <f t="shared" si="233"/>
        <v>533844.54501807457</v>
      </c>
      <c r="Z819" s="1147">
        <f t="shared" si="223"/>
        <v>664099.59000000008</v>
      </c>
      <c r="AA819" s="1144">
        <f t="shared" si="224"/>
        <v>412773.68</v>
      </c>
      <c r="AB819" s="1144">
        <f t="shared" si="225"/>
        <v>0</v>
      </c>
      <c r="AC819" s="1144">
        <f t="shared" si="226"/>
        <v>0</v>
      </c>
      <c r="AD819" s="1148">
        <f t="shared" si="218"/>
        <v>533844.54501807457</v>
      </c>
      <c r="AE819" s="1487">
        <v>0</v>
      </c>
      <c r="AF819" s="1145">
        <f t="shared" si="227"/>
        <v>533844.54501807457</v>
      </c>
      <c r="AG819" s="1149">
        <f>IFERROR(VLOOKUP(CONCATENATE($L819,$N819),'Drop List'!$G$23:$K$87,2,FALSE),0)</f>
        <v>0.56200000000000006</v>
      </c>
      <c r="AH819" s="1150">
        <f>IFERROR(VLOOKUP(CONCATENATE($L819,$N819),'Drop List'!$G$23:$K$87,3,FALSE),0)</f>
        <v>0</v>
      </c>
      <c r="AI819" s="1150">
        <f>IFERROR(VLOOKUP(CONCATENATE($L819,$N819),'Drop List'!$G$23:$K$87,4,FALSE),0)</f>
        <v>0</v>
      </c>
      <c r="AJ819" s="1151">
        <f>IFERROR(VLOOKUP(CONCATENATE($L819,$N819),'Drop List'!$G$23:$K$87,5,FALSE),0)</f>
        <v>0.43799999999999994</v>
      </c>
      <c r="AK819" s="1152">
        <f t="shared" si="228"/>
        <v>300020.63430015795</v>
      </c>
      <c r="AL819" s="1153">
        <f t="shared" si="229"/>
        <v>0</v>
      </c>
      <c r="AM819" s="1153">
        <f t="shared" si="230"/>
        <v>0</v>
      </c>
      <c r="AN819" s="1145">
        <f t="shared" si="231"/>
        <v>233823.91071791665</v>
      </c>
      <c r="AO819" s="1154">
        <f t="shared" si="232"/>
        <v>533844.54501807457</v>
      </c>
      <c r="AP819" s="1147">
        <f t="shared" si="219"/>
        <v>0</v>
      </c>
      <c r="AQ819" s="1144">
        <f t="shared" si="220"/>
        <v>0</v>
      </c>
      <c r="AR819" s="1146">
        <f t="shared" si="221"/>
        <v>533844.54501807457</v>
      </c>
    </row>
    <row r="820" spans="1:44" x14ac:dyDescent="0.2">
      <c r="A820" s="1141" t="str">
        <f t="shared" si="216"/>
        <v>1542</v>
      </c>
      <c r="B820" s="1141" t="str">
        <f>IFERROR(VLOOKUP(A820,'LAC 103'!A:C,3,FALSE),"")</f>
        <v>OP</v>
      </c>
      <c r="C820" s="1478" t="str">
        <f>Info!$B$8</f>
        <v>00100</v>
      </c>
      <c r="D820" s="1474" t="s">
        <v>256</v>
      </c>
      <c r="E820" s="1474" t="s">
        <v>95</v>
      </c>
      <c r="F820" s="1478" t="s">
        <v>392</v>
      </c>
      <c r="G820" s="1478" t="s">
        <v>392</v>
      </c>
      <c r="H820" s="1474" t="s">
        <v>1661</v>
      </c>
      <c r="I820" s="1478" t="s">
        <v>819</v>
      </c>
      <c r="J820" s="1478" t="s">
        <v>123</v>
      </c>
      <c r="K820" s="1475" t="s">
        <v>849</v>
      </c>
      <c r="L820" s="1474" t="s">
        <v>77</v>
      </c>
      <c r="M820" s="1476" t="s">
        <v>1699</v>
      </c>
      <c r="N820" s="1477" t="s">
        <v>1694</v>
      </c>
      <c r="O820" s="1479">
        <v>7358</v>
      </c>
      <c r="P820" s="1479"/>
      <c r="Q820" s="1142">
        <f t="shared" si="217"/>
        <v>7358</v>
      </c>
      <c r="R820" s="1143">
        <f>IFERROR(VLOOKUP(CONCATENATE(E820,G820),'LAC 103'!$A$12:$O$95,11,FALSE),0)</f>
        <v>3.2074101033884355</v>
      </c>
      <c r="S820" s="1144">
        <f>IFERROR(VLOOKUP(CONCATENATE($E820,$G820),'LAC 103'!$A$12:$O$95,12,FALSE),0)</f>
        <v>3.99</v>
      </c>
      <c r="T820" s="1144">
        <f>IFERROR(VLOOKUP(CONCATENATE($E820,$G820),'LAC 103'!$A$12:$O$95,13,FALSE),0)</f>
        <v>2.48</v>
      </c>
      <c r="U820" s="1144">
        <f>IFERROR(VLOOKUP(CONCATENATE($E820,$G820),'LAC 103'!$A$12:$O$95,14,FALSE),0)</f>
        <v>0</v>
      </c>
      <c r="V820" s="1144">
        <f>IFERROR(VLOOKUP(CONCATENATE($E820,$G820),'LAC 103'!$A$12:$O$95,15,FALSE),0)</f>
        <v>0</v>
      </c>
      <c r="W820" s="1145" t="str">
        <f>IFERROR(VLOOKUP(CONCATENATE($B820,$N820),'LAC 103'!$AI:$AQ,9,FALSE),"")</f>
        <v>Costs</v>
      </c>
      <c r="X820" s="1146">
        <f t="shared" si="222"/>
        <v>3.2074101033884355</v>
      </c>
      <c r="Y820" s="1143">
        <f t="shared" si="233"/>
        <v>23600.123540732107</v>
      </c>
      <c r="Z820" s="1147">
        <f t="shared" si="223"/>
        <v>29358.420000000002</v>
      </c>
      <c r="AA820" s="1144">
        <f t="shared" si="224"/>
        <v>18247.84</v>
      </c>
      <c r="AB820" s="1144">
        <f t="shared" si="225"/>
        <v>0</v>
      </c>
      <c r="AC820" s="1144">
        <f t="shared" si="226"/>
        <v>0</v>
      </c>
      <c r="AD820" s="1148">
        <f t="shared" si="218"/>
        <v>23600.123540732107</v>
      </c>
      <c r="AE820" s="1487">
        <v>0</v>
      </c>
      <c r="AF820" s="1145">
        <f t="shared" si="227"/>
        <v>23600.123540732107</v>
      </c>
      <c r="AG820" s="1149">
        <f>IFERROR(VLOOKUP(CONCATENATE($L820,$N820),'Drop List'!$G$23:$K$87,2,FALSE),0)</f>
        <v>0.9</v>
      </c>
      <c r="AH820" s="1150">
        <f>IFERROR(VLOOKUP(CONCATENATE($L820,$N820),'Drop List'!$G$23:$K$87,3,FALSE),0)</f>
        <v>0</v>
      </c>
      <c r="AI820" s="1150">
        <f>IFERROR(VLOOKUP(CONCATENATE($L820,$N820),'Drop List'!$G$23:$K$87,4,FALSE),0)</f>
        <v>0.1</v>
      </c>
      <c r="AJ820" s="1151">
        <f>IFERROR(VLOOKUP(CONCATENATE($L820,$N820),'Drop List'!$G$23:$K$87,5,FALSE),0)</f>
        <v>0</v>
      </c>
      <c r="AK820" s="1152">
        <f t="shared" si="228"/>
        <v>21240.111186658898</v>
      </c>
      <c r="AL820" s="1153">
        <f t="shared" si="229"/>
        <v>0</v>
      </c>
      <c r="AM820" s="1153">
        <f t="shared" si="230"/>
        <v>2360.0123540732106</v>
      </c>
      <c r="AN820" s="1145">
        <f t="shared" si="231"/>
        <v>0</v>
      </c>
      <c r="AO820" s="1154">
        <f t="shared" si="232"/>
        <v>23600.123540732107</v>
      </c>
      <c r="AP820" s="1147">
        <f t="shared" si="219"/>
        <v>0</v>
      </c>
      <c r="AQ820" s="1144">
        <f t="shared" si="220"/>
        <v>0</v>
      </c>
      <c r="AR820" s="1146">
        <f t="shared" si="221"/>
        <v>23600.123540732107</v>
      </c>
    </row>
    <row r="821" spans="1:44" x14ac:dyDescent="0.2">
      <c r="A821" s="1141" t="str">
        <f t="shared" si="216"/>
        <v>1542</v>
      </c>
      <c r="B821" s="1141" t="str">
        <f>IFERROR(VLOOKUP(A821,'LAC 103'!A:C,3,FALSE),"")</f>
        <v>OP</v>
      </c>
      <c r="C821" s="1478" t="str">
        <f>Info!$B$8</f>
        <v>00100</v>
      </c>
      <c r="D821" s="1474" t="s">
        <v>256</v>
      </c>
      <c r="E821" s="1474" t="s">
        <v>95</v>
      </c>
      <c r="F821" s="1478" t="s">
        <v>392</v>
      </c>
      <c r="G821" s="1478" t="s">
        <v>392</v>
      </c>
      <c r="H821" s="1474" t="s">
        <v>1661</v>
      </c>
      <c r="I821" s="1478" t="s">
        <v>819</v>
      </c>
      <c r="J821" s="1478"/>
      <c r="K821" s="1475" t="s">
        <v>849</v>
      </c>
      <c r="L821" s="1474" t="s">
        <v>77</v>
      </c>
      <c r="M821" s="1476" t="s">
        <v>841</v>
      </c>
      <c r="N821" s="1477" t="s">
        <v>1695</v>
      </c>
      <c r="O821" s="1479">
        <v>2412</v>
      </c>
      <c r="P821" s="1479"/>
      <c r="Q821" s="1142">
        <f t="shared" si="217"/>
        <v>2412</v>
      </c>
      <c r="R821" s="1143">
        <f>IFERROR(VLOOKUP(CONCATENATE(E821,G821),'LAC 103'!$A$12:$O$95,11,FALSE),0)</f>
        <v>3.2074101033884355</v>
      </c>
      <c r="S821" s="1144">
        <f>IFERROR(VLOOKUP(CONCATENATE($E821,$G821),'LAC 103'!$A$12:$O$95,12,FALSE),0)</f>
        <v>3.99</v>
      </c>
      <c r="T821" s="1144">
        <f>IFERROR(VLOOKUP(CONCATENATE($E821,$G821),'LAC 103'!$A$12:$O$95,13,FALSE),0)</f>
        <v>2.48</v>
      </c>
      <c r="U821" s="1144">
        <f>IFERROR(VLOOKUP(CONCATENATE($E821,$G821),'LAC 103'!$A$12:$O$95,14,FALSE),0)</f>
        <v>0</v>
      </c>
      <c r="V821" s="1144">
        <f>IFERROR(VLOOKUP(CONCATENATE($E821,$G821),'LAC 103'!$A$12:$O$95,15,FALSE),0)</f>
        <v>0</v>
      </c>
      <c r="W821" s="1145" t="str">
        <f>IFERROR(VLOOKUP(CONCATENATE($B821,$N821),'LAC 103'!$AI:$AQ,9,FALSE),"")</f>
        <v>Costs</v>
      </c>
      <c r="X821" s="1146">
        <f t="shared" si="222"/>
        <v>3.2074101033884355</v>
      </c>
      <c r="Y821" s="1143">
        <f t="shared" si="233"/>
        <v>7736.2731693729065</v>
      </c>
      <c r="Z821" s="1147">
        <f t="shared" si="223"/>
        <v>9623.880000000001</v>
      </c>
      <c r="AA821" s="1144">
        <f t="shared" si="224"/>
        <v>5981.76</v>
      </c>
      <c r="AB821" s="1144">
        <f t="shared" si="225"/>
        <v>0</v>
      </c>
      <c r="AC821" s="1144">
        <f t="shared" si="226"/>
        <v>0</v>
      </c>
      <c r="AD821" s="1148">
        <f t="shared" si="218"/>
        <v>7736.2731693729065</v>
      </c>
      <c r="AE821" s="1487">
        <v>0</v>
      </c>
      <c r="AF821" s="1145">
        <f t="shared" si="227"/>
        <v>7736.2731693729065</v>
      </c>
      <c r="AG821" s="1149">
        <f>IFERROR(VLOOKUP(CONCATENATE($L821,$N821),'Drop List'!$G$23:$K$87,2,FALSE),0)</f>
        <v>0.9</v>
      </c>
      <c r="AH821" s="1150">
        <f>IFERROR(VLOOKUP(CONCATENATE($L821,$N821),'Drop List'!$G$23:$K$87,3,FALSE),0)</f>
        <v>0</v>
      </c>
      <c r="AI821" s="1150">
        <f>IFERROR(VLOOKUP(CONCATENATE($L821,$N821),'Drop List'!$G$23:$K$87,4,FALSE),0)</f>
        <v>0.1</v>
      </c>
      <c r="AJ821" s="1151">
        <f>IFERROR(VLOOKUP(CONCATENATE($L821,$N821),'Drop List'!$G$23:$K$87,5,FALSE),0)</f>
        <v>0</v>
      </c>
      <c r="AK821" s="1152">
        <f t="shared" si="228"/>
        <v>6962.6458524356158</v>
      </c>
      <c r="AL821" s="1153">
        <f t="shared" si="229"/>
        <v>0</v>
      </c>
      <c r="AM821" s="1153">
        <f t="shared" si="230"/>
        <v>773.62731693729074</v>
      </c>
      <c r="AN821" s="1145">
        <f t="shared" si="231"/>
        <v>0</v>
      </c>
      <c r="AO821" s="1154">
        <f t="shared" si="232"/>
        <v>7736.2731693729065</v>
      </c>
      <c r="AP821" s="1147">
        <f t="shared" si="219"/>
        <v>0</v>
      </c>
      <c r="AQ821" s="1144">
        <f t="shared" si="220"/>
        <v>0</v>
      </c>
      <c r="AR821" s="1146">
        <f t="shared" si="221"/>
        <v>7736.2731693729065</v>
      </c>
    </row>
    <row r="822" spans="1:44" x14ac:dyDescent="0.2">
      <c r="A822" s="1141" t="str">
        <f t="shared" si="216"/>
        <v>1542</v>
      </c>
      <c r="B822" s="1141" t="str">
        <f>IFERROR(VLOOKUP(A822,'LAC 103'!A:C,3,FALSE),"")</f>
        <v>OP</v>
      </c>
      <c r="C822" s="1478" t="str">
        <f>Info!$B$8</f>
        <v>00100</v>
      </c>
      <c r="D822" s="1474" t="s">
        <v>256</v>
      </c>
      <c r="E822" s="1474" t="s">
        <v>95</v>
      </c>
      <c r="F822" s="1478" t="s">
        <v>392</v>
      </c>
      <c r="G822" s="1478" t="s">
        <v>392</v>
      </c>
      <c r="H822" s="1474" t="s">
        <v>1661</v>
      </c>
      <c r="I822" s="1478" t="s">
        <v>819</v>
      </c>
      <c r="J822" s="1478"/>
      <c r="K822" s="1475" t="s">
        <v>849</v>
      </c>
      <c r="L822" s="1474" t="s">
        <v>77</v>
      </c>
      <c r="M822" s="1476" t="s">
        <v>840</v>
      </c>
      <c r="N822" s="1477" t="s">
        <v>1700</v>
      </c>
      <c r="O822" s="1479">
        <v>1059</v>
      </c>
      <c r="P822" s="1479"/>
      <c r="Q822" s="1142">
        <f t="shared" si="217"/>
        <v>1059</v>
      </c>
      <c r="R822" s="1143">
        <f>IFERROR(VLOOKUP(CONCATENATE(E822,G822),'LAC 103'!$A$12:$O$95,11,FALSE),0)</f>
        <v>3.2074101033884355</v>
      </c>
      <c r="S822" s="1144">
        <f>IFERROR(VLOOKUP(CONCATENATE($E822,$G822),'LAC 103'!$A$12:$O$95,12,FALSE),0)</f>
        <v>3.99</v>
      </c>
      <c r="T822" s="1144">
        <f>IFERROR(VLOOKUP(CONCATENATE($E822,$G822),'LAC 103'!$A$12:$O$95,13,FALSE),0)</f>
        <v>2.48</v>
      </c>
      <c r="U822" s="1144">
        <f>IFERROR(VLOOKUP(CONCATENATE($E822,$G822),'LAC 103'!$A$12:$O$95,14,FALSE),0)</f>
        <v>0</v>
      </c>
      <c r="V822" s="1144">
        <f>IFERROR(VLOOKUP(CONCATENATE($E822,$G822),'LAC 103'!$A$12:$O$95,15,FALSE),0)</f>
        <v>0</v>
      </c>
      <c r="W822" s="1145" t="str">
        <f>IFERROR(VLOOKUP(CONCATENATE($B822,$N822),'LAC 103'!$AI:$AQ,9,FALSE),"")</f>
        <v>P.C.</v>
      </c>
      <c r="X822" s="1146">
        <f t="shared" si="222"/>
        <v>2.48</v>
      </c>
      <c r="Y822" s="1143">
        <f t="shared" si="233"/>
        <v>3396.6472994883529</v>
      </c>
      <c r="Z822" s="1147">
        <f t="shared" si="223"/>
        <v>4225.41</v>
      </c>
      <c r="AA822" s="1144">
        <f t="shared" si="224"/>
        <v>2626.32</v>
      </c>
      <c r="AB822" s="1144">
        <f t="shared" si="225"/>
        <v>0</v>
      </c>
      <c r="AC822" s="1144">
        <f t="shared" si="226"/>
        <v>0</v>
      </c>
      <c r="AD822" s="1148">
        <f t="shared" si="218"/>
        <v>2626.32</v>
      </c>
      <c r="AE822" s="1487">
        <v>0</v>
      </c>
      <c r="AF822" s="1145">
        <f t="shared" si="227"/>
        <v>2626.32</v>
      </c>
      <c r="AG822" s="1149">
        <f>IFERROR(VLOOKUP(CONCATENATE($L822,$N822),'Drop List'!$G$23:$K$87,2,FALSE),0)</f>
        <v>0.9</v>
      </c>
      <c r="AH822" s="1150">
        <f>IFERROR(VLOOKUP(CONCATENATE($L822,$N822),'Drop List'!$G$23:$K$87,3,FALSE),0)</f>
        <v>0</v>
      </c>
      <c r="AI822" s="1150">
        <f>IFERROR(VLOOKUP(CONCATENATE($L822,$N822),'Drop List'!$G$23:$K$87,4,FALSE),0)</f>
        <v>0.1</v>
      </c>
      <c r="AJ822" s="1151">
        <f>IFERROR(VLOOKUP(CONCATENATE($L822,$N822),'Drop List'!$G$23:$K$87,5,FALSE),0)</f>
        <v>0</v>
      </c>
      <c r="AK822" s="1152">
        <f t="shared" si="228"/>
        <v>2363.6880000000001</v>
      </c>
      <c r="AL822" s="1153">
        <f t="shared" si="229"/>
        <v>0</v>
      </c>
      <c r="AM822" s="1153">
        <f t="shared" si="230"/>
        <v>262.63200000000001</v>
      </c>
      <c r="AN822" s="1145">
        <f t="shared" si="231"/>
        <v>0</v>
      </c>
      <c r="AO822" s="1154">
        <f t="shared" si="232"/>
        <v>2626.32</v>
      </c>
      <c r="AP822" s="1147">
        <f t="shared" si="219"/>
        <v>0</v>
      </c>
      <c r="AQ822" s="1144">
        <f t="shared" si="220"/>
        <v>0</v>
      </c>
      <c r="AR822" s="1146">
        <f t="shared" si="221"/>
        <v>2626.32</v>
      </c>
    </row>
    <row r="823" spans="1:44" x14ac:dyDescent="0.2">
      <c r="A823" s="1141" t="str">
        <f t="shared" si="216"/>
        <v>1542</v>
      </c>
      <c r="B823" s="1141" t="str">
        <f>IFERROR(VLOOKUP(A823,'LAC 103'!A:C,3,FALSE),"")</f>
        <v>OP</v>
      </c>
      <c r="C823" s="1478" t="str">
        <f>Info!$B$8</f>
        <v>00100</v>
      </c>
      <c r="D823" s="1474" t="s">
        <v>256</v>
      </c>
      <c r="E823" s="1474" t="s">
        <v>95</v>
      </c>
      <c r="F823" s="1478" t="s">
        <v>392</v>
      </c>
      <c r="G823" s="1478" t="s">
        <v>392</v>
      </c>
      <c r="H823" s="1474" t="s">
        <v>1661</v>
      </c>
      <c r="I823" s="1478" t="s">
        <v>819</v>
      </c>
      <c r="J823" s="1478"/>
      <c r="K823" s="1475" t="s">
        <v>849</v>
      </c>
      <c r="L823" s="1474" t="s">
        <v>77</v>
      </c>
      <c r="M823" s="1476" t="s">
        <v>842</v>
      </c>
      <c r="N823" s="1477" t="s">
        <v>1692</v>
      </c>
      <c r="O823" s="1479">
        <v>5971</v>
      </c>
      <c r="P823" s="1479"/>
      <c r="Q823" s="1142">
        <f t="shared" si="217"/>
        <v>5971</v>
      </c>
      <c r="R823" s="1143">
        <f>IFERROR(VLOOKUP(CONCATENATE(E823,G823),'LAC 103'!$A$12:$O$95,11,FALSE),0)</f>
        <v>3.2074101033884355</v>
      </c>
      <c r="S823" s="1144">
        <f>IFERROR(VLOOKUP(CONCATENATE($E823,$G823),'LAC 103'!$A$12:$O$95,12,FALSE),0)</f>
        <v>3.99</v>
      </c>
      <c r="T823" s="1144">
        <f>IFERROR(VLOOKUP(CONCATENATE($E823,$G823),'LAC 103'!$A$12:$O$95,13,FALSE),0)</f>
        <v>2.48</v>
      </c>
      <c r="U823" s="1144">
        <f>IFERROR(VLOOKUP(CONCATENATE($E823,$G823),'LAC 103'!$A$12:$O$95,14,FALSE),0)</f>
        <v>0</v>
      </c>
      <c r="V823" s="1144">
        <f>IFERROR(VLOOKUP(CONCATENATE($E823,$G823),'LAC 103'!$A$12:$O$95,15,FALSE),0)</f>
        <v>0</v>
      </c>
      <c r="W823" s="1145" t="str">
        <f>IFERROR(VLOOKUP(CONCATENATE($B823,$N823),'LAC 103'!$AI:$AQ,9,FALSE),"")</f>
        <v>Costs</v>
      </c>
      <c r="X823" s="1146">
        <f t="shared" si="222"/>
        <v>3.2074101033884355</v>
      </c>
      <c r="Y823" s="1143">
        <f t="shared" si="233"/>
        <v>19151.44572733235</v>
      </c>
      <c r="Z823" s="1147">
        <f t="shared" si="223"/>
        <v>23824.29</v>
      </c>
      <c r="AA823" s="1144">
        <f t="shared" si="224"/>
        <v>14808.08</v>
      </c>
      <c r="AB823" s="1144">
        <f t="shared" si="225"/>
        <v>0</v>
      </c>
      <c r="AC823" s="1144">
        <f t="shared" si="226"/>
        <v>0</v>
      </c>
      <c r="AD823" s="1148">
        <f t="shared" si="218"/>
        <v>19151.44572733235</v>
      </c>
      <c r="AE823" s="1487">
        <v>0</v>
      </c>
      <c r="AF823" s="1145">
        <f t="shared" si="227"/>
        <v>19151.44572733235</v>
      </c>
      <c r="AG823" s="1149">
        <f>IFERROR(VLOOKUP(CONCATENATE($L823,$N823),'Drop List'!$G$23:$K$87,2,FALSE),0)</f>
        <v>0.9</v>
      </c>
      <c r="AH823" s="1150">
        <f>IFERROR(VLOOKUP(CONCATENATE($L823,$N823),'Drop List'!$G$23:$K$87,3,FALSE),0)</f>
        <v>0</v>
      </c>
      <c r="AI823" s="1150">
        <f>IFERROR(VLOOKUP(CONCATENATE($L823,$N823),'Drop List'!$G$23:$K$87,4,FALSE),0)</f>
        <v>0.1</v>
      </c>
      <c r="AJ823" s="1151">
        <f>IFERROR(VLOOKUP(CONCATENATE($L823,$N823),'Drop List'!$G$23:$K$87,5,FALSE),0)</f>
        <v>0</v>
      </c>
      <c r="AK823" s="1152">
        <f t="shared" si="228"/>
        <v>17236.301154599114</v>
      </c>
      <c r="AL823" s="1153">
        <f t="shared" si="229"/>
        <v>0</v>
      </c>
      <c r="AM823" s="1153">
        <f t="shared" si="230"/>
        <v>1915.144572733235</v>
      </c>
      <c r="AN823" s="1145">
        <f t="shared" si="231"/>
        <v>0</v>
      </c>
      <c r="AO823" s="1154">
        <f t="shared" si="232"/>
        <v>19151.44572733235</v>
      </c>
      <c r="AP823" s="1147">
        <f t="shared" si="219"/>
        <v>0</v>
      </c>
      <c r="AQ823" s="1144">
        <f t="shared" si="220"/>
        <v>0</v>
      </c>
      <c r="AR823" s="1146">
        <f t="shared" si="221"/>
        <v>19151.44572733235</v>
      </c>
    </row>
    <row r="824" spans="1:44" x14ac:dyDescent="0.2">
      <c r="A824" s="1141" t="str">
        <f t="shared" si="216"/>
        <v>1542</v>
      </c>
      <c r="B824" s="1141" t="str">
        <f>IFERROR(VLOOKUP(A824,'LAC 103'!A:C,3,FALSE),"")</f>
        <v>OP</v>
      </c>
      <c r="C824" s="1478" t="str">
        <f>Info!$B$8</f>
        <v>00100</v>
      </c>
      <c r="D824" s="1474" t="s">
        <v>256</v>
      </c>
      <c r="E824" s="1474" t="s">
        <v>95</v>
      </c>
      <c r="F824" s="1478" t="s">
        <v>392</v>
      </c>
      <c r="G824" s="1478" t="s">
        <v>392</v>
      </c>
      <c r="H824" s="1474" t="s">
        <v>1661</v>
      </c>
      <c r="I824" s="1478" t="s">
        <v>819</v>
      </c>
      <c r="J824" s="1478"/>
      <c r="K824" s="1475" t="s">
        <v>849</v>
      </c>
      <c r="L824" s="1474" t="s">
        <v>77</v>
      </c>
      <c r="M824" s="1476" t="s">
        <v>1698</v>
      </c>
      <c r="N824" s="1477" t="s">
        <v>1693</v>
      </c>
      <c r="O824" s="1479">
        <v>8540</v>
      </c>
      <c r="P824" s="1479"/>
      <c r="Q824" s="1142">
        <f t="shared" si="217"/>
        <v>8540</v>
      </c>
      <c r="R824" s="1143">
        <f>IFERROR(VLOOKUP(CONCATENATE(E824,G824),'LAC 103'!$A$12:$O$95,11,FALSE),0)</f>
        <v>3.2074101033884355</v>
      </c>
      <c r="S824" s="1144">
        <f>IFERROR(VLOOKUP(CONCATENATE($E824,$G824),'LAC 103'!$A$12:$O$95,12,FALSE),0)</f>
        <v>3.99</v>
      </c>
      <c r="T824" s="1144">
        <f>IFERROR(VLOOKUP(CONCATENATE($E824,$G824),'LAC 103'!$A$12:$O$95,13,FALSE),0)</f>
        <v>2.48</v>
      </c>
      <c r="U824" s="1144">
        <f>IFERROR(VLOOKUP(CONCATENATE($E824,$G824),'LAC 103'!$A$12:$O$95,14,FALSE),0)</f>
        <v>0</v>
      </c>
      <c r="V824" s="1144">
        <f>IFERROR(VLOOKUP(CONCATENATE($E824,$G824),'LAC 103'!$A$12:$O$95,15,FALSE),0)</f>
        <v>0</v>
      </c>
      <c r="W824" s="1145" t="str">
        <f>IFERROR(VLOOKUP(CONCATENATE($B824,$N824),'LAC 103'!$AI:$AQ,9,FALSE),"")</f>
        <v>Costs</v>
      </c>
      <c r="X824" s="1146">
        <f t="shared" si="222"/>
        <v>3.2074101033884355</v>
      </c>
      <c r="Y824" s="1143">
        <f t="shared" si="233"/>
        <v>27391.282282937238</v>
      </c>
      <c r="Z824" s="1147">
        <f t="shared" si="223"/>
        <v>34074.6</v>
      </c>
      <c r="AA824" s="1144">
        <f t="shared" si="224"/>
        <v>21179.200000000001</v>
      </c>
      <c r="AB824" s="1144">
        <f t="shared" si="225"/>
        <v>0</v>
      </c>
      <c r="AC824" s="1144">
        <f t="shared" si="226"/>
        <v>0</v>
      </c>
      <c r="AD824" s="1148">
        <f t="shared" si="218"/>
        <v>27391.282282937238</v>
      </c>
      <c r="AE824" s="1487">
        <v>0</v>
      </c>
      <c r="AF824" s="1145">
        <f t="shared" si="227"/>
        <v>27391.282282937238</v>
      </c>
      <c r="AG824" s="1149">
        <f>IFERROR(VLOOKUP(CONCATENATE($L824,$N824),'Drop List'!$G$23:$K$87,2,FALSE),0)</f>
        <v>0.9</v>
      </c>
      <c r="AH824" s="1150">
        <f>IFERROR(VLOOKUP(CONCATENATE($L824,$N824),'Drop List'!$G$23:$K$87,3,FALSE),0)</f>
        <v>0</v>
      </c>
      <c r="AI824" s="1150">
        <f>IFERROR(VLOOKUP(CONCATENATE($L824,$N824),'Drop List'!$G$23:$K$87,4,FALSE),0)</f>
        <v>0.1</v>
      </c>
      <c r="AJ824" s="1151">
        <f>IFERROR(VLOOKUP(CONCATENATE($L824,$N824),'Drop List'!$G$23:$K$87,5,FALSE),0)</f>
        <v>0</v>
      </c>
      <c r="AK824" s="1152">
        <f t="shared" si="228"/>
        <v>24652.154054643514</v>
      </c>
      <c r="AL824" s="1153">
        <f t="shared" si="229"/>
        <v>0</v>
      </c>
      <c r="AM824" s="1153">
        <f t="shared" si="230"/>
        <v>2739.1282282937241</v>
      </c>
      <c r="AN824" s="1145">
        <f t="shared" si="231"/>
        <v>0</v>
      </c>
      <c r="AO824" s="1154">
        <f t="shared" si="232"/>
        <v>27391.282282937238</v>
      </c>
      <c r="AP824" s="1147">
        <f t="shared" si="219"/>
        <v>0</v>
      </c>
      <c r="AQ824" s="1144">
        <f t="shared" si="220"/>
        <v>0</v>
      </c>
      <c r="AR824" s="1146">
        <f t="shared" si="221"/>
        <v>27391.282282937238</v>
      </c>
    </row>
    <row r="825" spans="1:44" x14ac:dyDescent="0.2">
      <c r="A825" s="1141" t="str">
        <f t="shared" si="216"/>
        <v>1542</v>
      </c>
      <c r="B825" s="1141" t="str">
        <f>IFERROR(VLOOKUP(A825,'LAC 103'!A:C,3,FALSE),"")</f>
        <v>OP</v>
      </c>
      <c r="C825" s="1478" t="str">
        <f>Info!$B$8</f>
        <v>00100</v>
      </c>
      <c r="D825" s="1474" t="s">
        <v>256</v>
      </c>
      <c r="E825" s="1474" t="s">
        <v>95</v>
      </c>
      <c r="F825" s="1478" t="s">
        <v>392</v>
      </c>
      <c r="G825" s="1478" t="s">
        <v>392</v>
      </c>
      <c r="H825" s="1474" t="s">
        <v>1661</v>
      </c>
      <c r="I825" s="1478" t="s">
        <v>819</v>
      </c>
      <c r="J825" s="1478"/>
      <c r="K825" s="1475" t="s">
        <v>851</v>
      </c>
      <c r="L825" s="1474" t="s">
        <v>584</v>
      </c>
      <c r="M825" s="1476" t="s">
        <v>1699</v>
      </c>
      <c r="N825" s="1477" t="s">
        <v>1694</v>
      </c>
      <c r="O825" s="1479">
        <v>10687</v>
      </c>
      <c r="P825" s="1479"/>
      <c r="Q825" s="1142">
        <f t="shared" si="217"/>
        <v>10687</v>
      </c>
      <c r="R825" s="1143">
        <f>IFERROR(VLOOKUP(CONCATENATE(E825,G825),'LAC 103'!$A$12:$O$95,11,FALSE),0)</f>
        <v>3.2074101033884355</v>
      </c>
      <c r="S825" s="1144">
        <f>IFERROR(VLOOKUP(CONCATENATE($E825,$G825),'LAC 103'!$A$12:$O$95,12,FALSE),0)</f>
        <v>3.99</v>
      </c>
      <c r="T825" s="1144">
        <f>IFERROR(VLOOKUP(CONCATENATE($E825,$G825),'LAC 103'!$A$12:$O$95,13,FALSE),0)</f>
        <v>2.48</v>
      </c>
      <c r="U825" s="1144">
        <f>IFERROR(VLOOKUP(CONCATENATE($E825,$G825),'LAC 103'!$A$12:$O$95,14,FALSE),0)</f>
        <v>0</v>
      </c>
      <c r="V825" s="1144">
        <f>IFERROR(VLOOKUP(CONCATENATE($E825,$G825),'LAC 103'!$A$12:$O$95,15,FALSE),0)</f>
        <v>0</v>
      </c>
      <c r="W825" s="1145" t="str">
        <f>IFERROR(VLOOKUP(CONCATENATE($B825,$N825),'LAC 103'!$AI:$AQ,9,FALSE),"")</f>
        <v>Costs</v>
      </c>
      <c r="X825" s="1146">
        <f t="shared" si="222"/>
        <v>3.2074101033884355</v>
      </c>
      <c r="Y825" s="1143">
        <f t="shared" si="233"/>
        <v>34277.591774912209</v>
      </c>
      <c r="Z825" s="1147">
        <f t="shared" si="223"/>
        <v>42641.130000000005</v>
      </c>
      <c r="AA825" s="1144">
        <f t="shared" si="224"/>
        <v>26503.759999999998</v>
      </c>
      <c r="AB825" s="1144">
        <f t="shared" si="225"/>
        <v>0</v>
      </c>
      <c r="AC825" s="1144">
        <f t="shared" si="226"/>
        <v>0</v>
      </c>
      <c r="AD825" s="1148">
        <f t="shared" si="218"/>
        <v>34277.591774912209</v>
      </c>
      <c r="AE825" s="1487">
        <v>0</v>
      </c>
      <c r="AF825" s="1145">
        <f t="shared" si="227"/>
        <v>34277.591774912209</v>
      </c>
      <c r="AG825" s="1149">
        <f>IFERROR(VLOOKUP(CONCATENATE($L825,$N825),'Drop List'!$G$23:$K$87,2,FALSE),0)</f>
        <v>0.56200000000000006</v>
      </c>
      <c r="AH825" s="1150">
        <f>IFERROR(VLOOKUP(CONCATENATE($L825,$N825),'Drop List'!$G$23:$K$87,3,FALSE),0)</f>
        <v>0</v>
      </c>
      <c r="AI825" s="1150">
        <f>IFERROR(VLOOKUP(CONCATENATE($L825,$N825),'Drop List'!$G$23:$K$87,4,FALSE),0)</f>
        <v>0</v>
      </c>
      <c r="AJ825" s="1151">
        <f>IFERROR(VLOOKUP(CONCATENATE($L825,$N825),'Drop List'!$G$23:$K$87,5,FALSE),0)</f>
        <v>0.43799999999999994</v>
      </c>
      <c r="AK825" s="1152">
        <f t="shared" si="228"/>
        <v>19264.006577500662</v>
      </c>
      <c r="AL825" s="1153">
        <f t="shared" si="229"/>
        <v>0</v>
      </c>
      <c r="AM825" s="1153">
        <f t="shared" si="230"/>
        <v>0</v>
      </c>
      <c r="AN825" s="1145">
        <f t="shared" si="231"/>
        <v>15013.585197411545</v>
      </c>
      <c r="AO825" s="1154">
        <f t="shared" si="232"/>
        <v>34277.591774912209</v>
      </c>
      <c r="AP825" s="1147">
        <f t="shared" si="219"/>
        <v>0</v>
      </c>
      <c r="AQ825" s="1144">
        <f t="shared" si="220"/>
        <v>0</v>
      </c>
      <c r="AR825" s="1146">
        <f t="shared" si="221"/>
        <v>34277.591774912209</v>
      </c>
    </row>
    <row r="826" spans="1:44" x14ac:dyDescent="0.2">
      <c r="A826" s="1141" t="str">
        <f t="shared" si="216"/>
        <v>1542</v>
      </c>
      <c r="B826" s="1141" t="str">
        <f>IFERROR(VLOOKUP(A826,'LAC 103'!A:C,3,FALSE),"")</f>
        <v>OP</v>
      </c>
      <c r="C826" s="1478" t="str">
        <f>Info!$B$8</f>
        <v>00100</v>
      </c>
      <c r="D826" s="1474" t="s">
        <v>256</v>
      </c>
      <c r="E826" s="1474" t="s">
        <v>95</v>
      </c>
      <c r="F826" s="1478" t="s">
        <v>392</v>
      </c>
      <c r="G826" s="1478" t="s">
        <v>392</v>
      </c>
      <c r="H826" s="1474" t="s">
        <v>1661</v>
      </c>
      <c r="I826" s="1478" t="s">
        <v>819</v>
      </c>
      <c r="J826" s="1478"/>
      <c r="K826" s="1475" t="s">
        <v>851</v>
      </c>
      <c r="L826" s="1474" t="s">
        <v>584</v>
      </c>
      <c r="M826" s="1476" t="s">
        <v>841</v>
      </c>
      <c r="N826" s="1477" t="s">
        <v>1695</v>
      </c>
      <c r="O826" s="1479">
        <v>3714</v>
      </c>
      <c r="P826" s="1479"/>
      <c r="Q826" s="1142">
        <f t="shared" si="217"/>
        <v>3714</v>
      </c>
      <c r="R826" s="1143">
        <f>IFERROR(VLOOKUP(CONCATENATE(E826,G826),'LAC 103'!$A$12:$O$95,11,FALSE),0)</f>
        <v>3.2074101033884355</v>
      </c>
      <c r="S826" s="1144">
        <f>IFERROR(VLOOKUP(CONCATENATE($E826,$G826),'LAC 103'!$A$12:$O$95,12,FALSE),0)</f>
        <v>3.99</v>
      </c>
      <c r="T826" s="1144">
        <f>IFERROR(VLOOKUP(CONCATENATE($E826,$G826),'LAC 103'!$A$12:$O$95,13,FALSE),0)</f>
        <v>2.48</v>
      </c>
      <c r="U826" s="1144">
        <f>IFERROR(VLOOKUP(CONCATENATE($E826,$G826),'LAC 103'!$A$12:$O$95,14,FALSE),0)</f>
        <v>0</v>
      </c>
      <c r="V826" s="1144">
        <f>IFERROR(VLOOKUP(CONCATENATE($E826,$G826),'LAC 103'!$A$12:$O$95,15,FALSE),0)</f>
        <v>0</v>
      </c>
      <c r="W826" s="1145" t="str">
        <f>IFERROR(VLOOKUP(CONCATENATE($B826,$N826),'LAC 103'!$AI:$AQ,9,FALSE),"")</f>
        <v>Costs</v>
      </c>
      <c r="X826" s="1146">
        <f t="shared" si="222"/>
        <v>3.2074101033884355</v>
      </c>
      <c r="Y826" s="1143">
        <f t="shared" si="233"/>
        <v>11912.32112398465</v>
      </c>
      <c r="Z826" s="1147">
        <f t="shared" si="223"/>
        <v>14818.86</v>
      </c>
      <c r="AA826" s="1144">
        <f t="shared" si="224"/>
        <v>9210.7199999999993</v>
      </c>
      <c r="AB826" s="1144">
        <f t="shared" si="225"/>
        <v>0</v>
      </c>
      <c r="AC826" s="1144">
        <f t="shared" si="226"/>
        <v>0</v>
      </c>
      <c r="AD826" s="1148">
        <f t="shared" si="218"/>
        <v>11912.32112398465</v>
      </c>
      <c r="AE826" s="1487">
        <v>0</v>
      </c>
      <c r="AF826" s="1145">
        <f t="shared" si="227"/>
        <v>11912.32112398465</v>
      </c>
      <c r="AG826" s="1149">
        <f>IFERROR(VLOOKUP(CONCATENATE($L826,$N826),'Drop List'!$G$23:$K$87,2,FALSE),0)</f>
        <v>0.55000000000000004</v>
      </c>
      <c r="AH826" s="1150">
        <f>IFERROR(VLOOKUP(CONCATENATE($L826,$N826),'Drop List'!$G$23:$K$87,3,FALSE),0)</f>
        <v>0</v>
      </c>
      <c r="AI826" s="1150">
        <f>IFERROR(VLOOKUP(CONCATENATE($L826,$N826),'Drop List'!$G$23:$K$87,4,FALSE),0)</f>
        <v>0</v>
      </c>
      <c r="AJ826" s="1151">
        <f>IFERROR(VLOOKUP(CONCATENATE($L826,$N826),'Drop List'!$G$23:$K$87,5,FALSE),0)</f>
        <v>0.44999999999999996</v>
      </c>
      <c r="AK826" s="1152">
        <f t="shared" si="228"/>
        <v>6551.7766181915576</v>
      </c>
      <c r="AL826" s="1153">
        <f t="shared" si="229"/>
        <v>0</v>
      </c>
      <c r="AM826" s="1153">
        <f t="shared" si="230"/>
        <v>0</v>
      </c>
      <c r="AN826" s="1145">
        <f t="shared" si="231"/>
        <v>5360.544505793092</v>
      </c>
      <c r="AO826" s="1154">
        <f t="shared" si="232"/>
        <v>11912.32112398465</v>
      </c>
      <c r="AP826" s="1147">
        <f t="shared" si="219"/>
        <v>0</v>
      </c>
      <c r="AQ826" s="1144">
        <f t="shared" si="220"/>
        <v>0</v>
      </c>
      <c r="AR826" s="1146">
        <f t="shared" si="221"/>
        <v>11912.32112398465</v>
      </c>
    </row>
    <row r="827" spans="1:44" x14ac:dyDescent="0.2">
      <c r="A827" s="1141" t="str">
        <f t="shared" si="216"/>
        <v>1542</v>
      </c>
      <c r="B827" s="1141" t="str">
        <f>IFERROR(VLOOKUP(A827,'LAC 103'!A:C,3,FALSE),"")</f>
        <v>OP</v>
      </c>
      <c r="C827" s="1478" t="str">
        <f>Info!$B$8</f>
        <v>00100</v>
      </c>
      <c r="D827" s="1474" t="s">
        <v>256</v>
      </c>
      <c r="E827" s="1474" t="s">
        <v>95</v>
      </c>
      <c r="F827" s="1478" t="s">
        <v>392</v>
      </c>
      <c r="G827" s="1478" t="s">
        <v>392</v>
      </c>
      <c r="H827" s="1474" t="s">
        <v>1661</v>
      </c>
      <c r="I827" s="1478" t="s">
        <v>819</v>
      </c>
      <c r="J827" s="1478"/>
      <c r="K827" s="1475" t="s">
        <v>851</v>
      </c>
      <c r="L827" s="1474" t="s">
        <v>584</v>
      </c>
      <c r="M827" s="1476" t="s">
        <v>840</v>
      </c>
      <c r="N827" s="1477" t="s">
        <v>1700</v>
      </c>
      <c r="O827" s="1479">
        <v>2848</v>
      </c>
      <c r="P827" s="1479"/>
      <c r="Q827" s="1142">
        <f t="shared" si="217"/>
        <v>2848</v>
      </c>
      <c r="R827" s="1143">
        <f>IFERROR(VLOOKUP(CONCATENATE(E827,G827),'LAC 103'!$A$12:$O$95,11,FALSE),0)</f>
        <v>3.2074101033884355</v>
      </c>
      <c r="S827" s="1144">
        <f>IFERROR(VLOOKUP(CONCATENATE($E827,$G827),'LAC 103'!$A$12:$O$95,12,FALSE),0)</f>
        <v>3.99</v>
      </c>
      <c r="T827" s="1144">
        <f>IFERROR(VLOOKUP(CONCATENATE($E827,$G827),'LAC 103'!$A$12:$O$95,13,FALSE),0)</f>
        <v>2.48</v>
      </c>
      <c r="U827" s="1144">
        <f>IFERROR(VLOOKUP(CONCATENATE($E827,$G827),'LAC 103'!$A$12:$O$95,14,FALSE),0)</f>
        <v>0</v>
      </c>
      <c r="V827" s="1144">
        <f>IFERROR(VLOOKUP(CONCATENATE($E827,$G827),'LAC 103'!$A$12:$O$95,15,FALSE),0)</f>
        <v>0</v>
      </c>
      <c r="W827" s="1145" t="str">
        <f>IFERROR(VLOOKUP(CONCATENATE($B827,$N827),'LAC 103'!$AI:$AQ,9,FALSE),"")</f>
        <v>P.C.</v>
      </c>
      <c r="X827" s="1146">
        <f t="shared" si="222"/>
        <v>2.48</v>
      </c>
      <c r="Y827" s="1143">
        <f t="shared" si="233"/>
        <v>9134.7039744502636</v>
      </c>
      <c r="Z827" s="1147">
        <f t="shared" si="223"/>
        <v>11363.52</v>
      </c>
      <c r="AA827" s="1144">
        <f t="shared" si="224"/>
        <v>7063.04</v>
      </c>
      <c r="AB827" s="1144">
        <f t="shared" si="225"/>
        <v>0</v>
      </c>
      <c r="AC827" s="1144">
        <f t="shared" si="226"/>
        <v>0</v>
      </c>
      <c r="AD827" s="1148">
        <f t="shared" si="218"/>
        <v>7063.04</v>
      </c>
      <c r="AE827" s="1487">
        <v>0</v>
      </c>
      <c r="AF827" s="1145">
        <f t="shared" si="227"/>
        <v>7063.04</v>
      </c>
      <c r="AG827" s="1149">
        <f>IFERROR(VLOOKUP(CONCATENATE($L827,$N827),'Drop List'!$G$23:$K$87,2,FALSE),0)</f>
        <v>0.55000000000000004</v>
      </c>
      <c r="AH827" s="1150">
        <f>IFERROR(VLOOKUP(CONCATENATE($L827,$N827),'Drop List'!$G$23:$K$87,3,FALSE),0)</f>
        <v>0</v>
      </c>
      <c r="AI827" s="1150">
        <f>IFERROR(VLOOKUP(CONCATENATE($L827,$N827),'Drop List'!$G$23:$K$87,4,FALSE),0)</f>
        <v>0</v>
      </c>
      <c r="AJ827" s="1151">
        <f>IFERROR(VLOOKUP(CONCATENATE($L827,$N827),'Drop List'!$G$23:$K$87,5,FALSE),0)</f>
        <v>0.44999999999999996</v>
      </c>
      <c r="AK827" s="1152">
        <f t="shared" si="228"/>
        <v>3884.6720000000005</v>
      </c>
      <c r="AL827" s="1153">
        <f t="shared" si="229"/>
        <v>0</v>
      </c>
      <c r="AM827" s="1153">
        <f t="shared" si="230"/>
        <v>0</v>
      </c>
      <c r="AN827" s="1145">
        <f t="shared" si="231"/>
        <v>3178.3679999999995</v>
      </c>
      <c r="AO827" s="1154">
        <f t="shared" si="232"/>
        <v>7063.04</v>
      </c>
      <c r="AP827" s="1147">
        <f t="shared" si="219"/>
        <v>0</v>
      </c>
      <c r="AQ827" s="1144">
        <f t="shared" si="220"/>
        <v>0</v>
      </c>
      <c r="AR827" s="1146">
        <f t="shared" si="221"/>
        <v>7063.04</v>
      </c>
    </row>
    <row r="828" spans="1:44" x14ac:dyDescent="0.2">
      <c r="A828" s="1141" t="str">
        <f t="shared" ref="A828:A891" si="234">IF(CONCATENATE(E828,G828)="","",CONCATENATE(E828,G828))</f>
        <v>1542</v>
      </c>
      <c r="B828" s="1141" t="str">
        <f>IFERROR(VLOOKUP(A828,'LAC 103'!A:C,3,FALSE),"")</f>
        <v>OP</v>
      </c>
      <c r="C828" s="1478" t="str">
        <f>Info!$B$8</f>
        <v>00100</v>
      </c>
      <c r="D828" s="1474" t="s">
        <v>256</v>
      </c>
      <c r="E828" s="1474" t="s">
        <v>95</v>
      </c>
      <c r="F828" s="1478" t="s">
        <v>392</v>
      </c>
      <c r="G828" s="1478" t="s">
        <v>392</v>
      </c>
      <c r="H828" s="1474" t="s">
        <v>1661</v>
      </c>
      <c r="I828" s="1478" t="s">
        <v>819</v>
      </c>
      <c r="J828" s="1478"/>
      <c r="K828" s="1475" t="s">
        <v>851</v>
      </c>
      <c r="L828" s="1474" t="s">
        <v>584</v>
      </c>
      <c r="M828" s="1476" t="s">
        <v>842</v>
      </c>
      <c r="N828" s="1477" t="s">
        <v>1692</v>
      </c>
      <c r="O828" s="1479">
        <v>7538</v>
      </c>
      <c r="P828" s="1479"/>
      <c r="Q828" s="1142">
        <f t="shared" ref="Q828:Q891" si="235">O828+P828</f>
        <v>7538</v>
      </c>
      <c r="R828" s="1143">
        <f>IFERROR(VLOOKUP(CONCATENATE(E828,G828),'LAC 103'!$A$12:$O$95,11,FALSE),0)</f>
        <v>3.2074101033884355</v>
      </c>
      <c r="S828" s="1144">
        <f>IFERROR(VLOOKUP(CONCATENATE($E828,$G828),'LAC 103'!$A$12:$O$95,12,FALSE),0)</f>
        <v>3.99</v>
      </c>
      <c r="T828" s="1144">
        <f>IFERROR(VLOOKUP(CONCATENATE($E828,$G828),'LAC 103'!$A$12:$O$95,13,FALSE),0)</f>
        <v>2.48</v>
      </c>
      <c r="U828" s="1144">
        <f>IFERROR(VLOOKUP(CONCATENATE($E828,$G828),'LAC 103'!$A$12:$O$95,14,FALSE),0)</f>
        <v>0</v>
      </c>
      <c r="V828" s="1144">
        <f>IFERROR(VLOOKUP(CONCATENATE($E828,$G828),'LAC 103'!$A$12:$O$95,15,FALSE),0)</f>
        <v>0</v>
      </c>
      <c r="W828" s="1145" t="str">
        <f>IFERROR(VLOOKUP(CONCATENATE($B828,$N828),'LAC 103'!$AI:$AQ,9,FALSE),"")</f>
        <v>Costs</v>
      </c>
      <c r="X828" s="1146">
        <f t="shared" si="222"/>
        <v>3.2074101033884355</v>
      </c>
      <c r="Y828" s="1143">
        <f t="shared" si="233"/>
        <v>24177.457359342028</v>
      </c>
      <c r="Z828" s="1147">
        <f t="shared" si="223"/>
        <v>30076.620000000003</v>
      </c>
      <c r="AA828" s="1144">
        <f t="shared" si="224"/>
        <v>18694.240000000002</v>
      </c>
      <c r="AB828" s="1144">
        <f t="shared" si="225"/>
        <v>0</v>
      </c>
      <c r="AC828" s="1144">
        <f t="shared" si="226"/>
        <v>0</v>
      </c>
      <c r="AD828" s="1148">
        <f t="shared" si="218"/>
        <v>24177.457359342028</v>
      </c>
      <c r="AE828" s="1487">
        <v>0</v>
      </c>
      <c r="AF828" s="1145">
        <f t="shared" si="227"/>
        <v>24177.457359342028</v>
      </c>
      <c r="AG828" s="1149">
        <f>IFERROR(VLOOKUP(CONCATENATE($L828,$N828),'Drop List'!$G$23:$K$87,2,FALSE),0)</f>
        <v>0.56200000000000006</v>
      </c>
      <c r="AH828" s="1150">
        <f>IFERROR(VLOOKUP(CONCATENATE($L828,$N828),'Drop List'!$G$23:$K$87,3,FALSE),0)</f>
        <v>0</v>
      </c>
      <c r="AI828" s="1150">
        <f>IFERROR(VLOOKUP(CONCATENATE($L828,$N828),'Drop List'!$G$23:$K$87,4,FALSE),0)</f>
        <v>0</v>
      </c>
      <c r="AJ828" s="1151">
        <f>IFERROR(VLOOKUP(CONCATENATE($L828,$N828),'Drop List'!$G$23:$K$87,5,FALSE),0)</f>
        <v>0.43799999999999994</v>
      </c>
      <c r="AK828" s="1152">
        <f t="shared" si="228"/>
        <v>13587.731035950221</v>
      </c>
      <c r="AL828" s="1153">
        <f t="shared" si="229"/>
        <v>0</v>
      </c>
      <c r="AM828" s="1153">
        <f t="shared" si="230"/>
        <v>0</v>
      </c>
      <c r="AN828" s="1145">
        <f t="shared" si="231"/>
        <v>10589.726323391807</v>
      </c>
      <c r="AO828" s="1154">
        <f t="shared" si="232"/>
        <v>24177.457359342028</v>
      </c>
      <c r="AP828" s="1147">
        <f t="shared" si="219"/>
        <v>0</v>
      </c>
      <c r="AQ828" s="1144">
        <f t="shared" si="220"/>
        <v>0</v>
      </c>
      <c r="AR828" s="1146">
        <f t="shared" si="221"/>
        <v>24177.457359342028</v>
      </c>
    </row>
    <row r="829" spans="1:44" x14ac:dyDescent="0.2">
      <c r="A829" s="1141" t="str">
        <f t="shared" si="234"/>
        <v>1542</v>
      </c>
      <c r="B829" s="1141" t="str">
        <f>IFERROR(VLOOKUP(A829,'LAC 103'!A:C,3,FALSE),"")</f>
        <v>OP</v>
      </c>
      <c r="C829" s="1478" t="str">
        <f>Info!$B$8</f>
        <v>00100</v>
      </c>
      <c r="D829" s="1474" t="s">
        <v>256</v>
      </c>
      <c r="E829" s="1474" t="s">
        <v>95</v>
      </c>
      <c r="F829" s="1478" t="s">
        <v>392</v>
      </c>
      <c r="G829" s="1478" t="s">
        <v>392</v>
      </c>
      <c r="H829" s="1474" t="s">
        <v>1661</v>
      </c>
      <c r="I829" s="1478" t="s">
        <v>819</v>
      </c>
      <c r="J829" s="1478"/>
      <c r="K829" s="1475" t="s">
        <v>851</v>
      </c>
      <c r="L829" s="1474" t="s">
        <v>584</v>
      </c>
      <c r="M829" s="1476" t="s">
        <v>1698</v>
      </c>
      <c r="N829" s="1477" t="s">
        <v>1693</v>
      </c>
      <c r="O829" s="1479">
        <v>10717</v>
      </c>
      <c r="P829" s="1479"/>
      <c r="Q829" s="1142">
        <f t="shared" si="235"/>
        <v>10717</v>
      </c>
      <c r="R829" s="1143">
        <f>IFERROR(VLOOKUP(CONCATENATE(E829,G829),'LAC 103'!$A$12:$O$95,11,FALSE),0)</f>
        <v>3.2074101033884355</v>
      </c>
      <c r="S829" s="1144">
        <f>IFERROR(VLOOKUP(CONCATENATE($E829,$G829),'LAC 103'!$A$12:$O$95,12,FALSE),0)</f>
        <v>3.99</v>
      </c>
      <c r="T829" s="1144">
        <f>IFERROR(VLOOKUP(CONCATENATE($E829,$G829),'LAC 103'!$A$12:$O$95,13,FALSE),0)</f>
        <v>2.48</v>
      </c>
      <c r="U829" s="1144">
        <f>IFERROR(VLOOKUP(CONCATENATE($E829,$G829),'LAC 103'!$A$12:$O$95,14,FALSE),0)</f>
        <v>0</v>
      </c>
      <c r="V829" s="1144">
        <f>IFERROR(VLOOKUP(CONCATENATE($E829,$G829),'LAC 103'!$A$12:$O$95,15,FALSE),0)</f>
        <v>0</v>
      </c>
      <c r="W829" s="1145" t="str">
        <f>IFERROR(VLOOKUP(CONCATENATE($B829,$N829),'LAC 103'!$AI:$AQ,9,FALSE),"")</f>
        <v>Costs</v>
      </c>
      <c r="X829" s="1146">
        <f t="shared" si="222"/>
        <v>3.2074101033884355</v>
      </c>
      <c r="Y829" s="1143">
        <f t="shared" si="233"/>
        <v>34373.814078013864</v>
      </c>
      <c r="Z829" s="1147">
        <f t="shared" si="223"/>
        <v>42760.83</v>
      </c>
      <c r="AA829" s="1144">
        <f t="shared" si="224"/>
        <v>26578.16</v>
      </c>
      <c r="AB829" s="1144">
        <f t="shared" si="225"/>
        <v>0</v>
      </c>
      <c r="AC829" s="1144">
        <f t="shared" si="226"/>
        <v>0</v>
      </c>
      <c r="AD829" s="1148">
        <f t="shared" si="218"/>
        <v>34373.814078013864</v>
      </c>
      <c r="AE829" s="1487">
        <v>0</v>
      </c>
      <c r="AF829" s="1145">
        <f t="shared" si="227"/>
        <v>34373.814078013864</v>
      </c>
      <c r="AG829" s="1149">
        <f>IFERROR(VLOOKUP(CONCATENATE($L829,$N829),'Drop List'!$G$23:$K$87,2,FALSE),0)</f>
        <v>0.56200000000000006</v>
      </c>
      <c r="AH829" s="1150">
        <f>IFERROR(VLOOKUP(CONCATENATE($L829,$N829),'Drop List'!$G$23:$K$87,3,FALSE),0)</f>
        <v>0</v>
      </c>
      <c r="AI829" s="1150">
        <f>IFERROR(VLOOKUP(CONCATENATE($L829,$N829),'Drop List'!$G$23:$K$87,4,FALSE),0)</f>
        <v>0</v>
      </c>
      <c r="AJ829" s="1151">
        <f>IFERROR(VLOOKUP(CONCATENATE($L829,$N829),'Drop List'!$G$23:$K$87,5,FALSE),0)</f>
        <v>0.43799999999999994</v>
      </c>
      <c r="AK829" s="1152">
        <f t="shared" si="228"/>
        <v>19318.083511843794</v>
      </c>
      <c r="AL829" s="1153">
        <f t="shared" si="229"/>
        <v>0</v>
      </c>
      <c r="AM829" s="1153">
        <f t="shared" si="230"/>
        <v>0</v>
      </c>
      <c r="AN829" s="1145">
        <f t="shared" si="231"/>
        <v>15055.73056617007</v>
      </c>
      <c r="AO829" s="1154">
        <f t="shared" si="232"/>
        <v>34373.814078013864</v>
      </c>
      <c r="AP829" s="1147">
        <f t="shared" si="219"/>
        <v>0</v>
      </c>
      <c r="AQ829" s="1144">
        <f t="shared" si="220"/>
        <v>0</v>
      </c>
      <c r="AR829" s="1146">
        <f t="shared" si="221"/>
        <v>34373.814078013864</v>
      </c>
    </row>
    <row r="830" spans="1:44" x14ac:dyDescent="0.2">
      <c r="A830" s="1141" t="str">
        <f t="shared" si="234"/>
        <v>1542</v>
      </c>
      <c r="B830" s="1141" t="str">
        <f>IFERROR(VLOOKUP(A830,'LAC 103'!A:C,3,FALSE),"")</f>
        <v>OP</v>
      </c>
      <c r="C830" s="1478" t="str">
        <f>Info!$B$8</f>
        <v>00100</v>
      </c>
      <c r="D830" s="1474" t="s">
        <v>256</v>
      </c>
      <c r="E830" s="1474" t="s">
        <v>95</v>
      </c>
      <c r="F830" s="1478" t="s">
        <v>392</v>
      </c>
      <c r="G830" s="1478" t="s">
        <v>392</v>
      </c>
      <c r="H830" s="1474" t="s">
        <v>1091</v>
      </c>
      <c r="I830" s="1478" t="s">
        <v>815</v>
      </c>
      <c r="J830" s="1478" t="s">
        <v>123</v>
      </c>
      <c r="K830" s="1475" t="s">
        <v>1654</v>
      </c>
      <c r="L830" s="1474" t="s">
        <v>332</v>
      </c>
      <c r="M830" s="1476" t="s">
        <v>1699</v>
      </c>
      <c r="N830" s="1477" t="s">
        <v>1694</v>
      </c>
      <c r="O830" s="1479">
        <v>3145</v>
      </c>
      <c r="P830" s="1479"/>
      <c r="Q830" s="1142">
        <f t="shared" si="235"/>
        <v>3145</v>
      </c>
      <c r="R830" s="1143">
        <f>IFERROR(VLOOKUP(CONCATENATE(E830,G830),'LAC 103'!$A$12:$O$95,11,FALSE),0)</f>
        <v>3.2074101033884355</v>
      </c>
      <c r="S830" s="1144">
        <f>IFERROR(VLOOKUP(CONCATENATE($E830,$G830),'LAC 103'!$A$12:$O$95,12,FALSE),0)</f>
        <v>3.99</v>
      </c>
      <c r="T830" s="1144">
        <f>IFERROR(VLOOKUP(CONCATENATE($E830,$G830),'LAC 103'!$A$12:$O$95,13,FALSE),0)</f>
        <v>2.48</v>
      </c>
      <c r="U830" s="1144">
        <f>IFERROR(VLOOKUP(CONCATENATE($E830,$G830),'LAC 103'!$A$12:$O$95,14,FALSE),0)</f>
        <v>0</v>
      </c>
      <c r="V830" s="1144">
        <f>IFERROR(VLOOKUP(CONCATENATE($E830,$G830),'LAC 103'!$A$12:$O$95,15,FALSE),0)</f>
        <v>0</v>
      </c>
      <c r="W830" s="1145" t="str">
        <f>IFERROR(VLOOKUP(CONCATENATE($B830,$N830),'LAC 103'!$AI:$AQ,9,FALSE),"")</f>
        <v>Costs</v>
      </c>
      <c r="X830" s="1146">
        <f t="shared" si="222"/>
        <v>3.2074101033884355</v>
      </c>
      <c r="Y830" s="1143">
        <f t="shared" si="233"/>
        <v>10087.30477515663</v>
      </c>
      <c r="Z830" s="1147">
        <f t="shared" si="223"/>
        <v>12548.550000000001</v>
      </c>
      <c r="AA830" s="1144">
        <f t="shared" si="224"/>
        <v>7799.6</v>
      </c>
      <c r="AB830" s="1144">
        <f t="shared" si="225"/>
        <v>0</v>
      </c>
      <c r="AC830" s="1144">
        <f t="shared" si="226"/>
        <v>0</v>
      </c>
      <c r="AD830" s="1148">
        <f t="shared" si="218"/>
        <v>10087.30477515663</v>
      </c>
      <c r="AE830" s="1487">
        <v>0</v>
      </c>
      <c r="AF830" s="1145">
        <f t="shared" si="227"/>
        <v>10087.30477515663</v>
      </c>
      <c r="AG830" s="1149">
        <f>IFERROR(VLOOKUP(CONCATENATE($L830,$N830),'Drop List'!$G$23:$K$87,2,FALSE),0)</f>
        <v>0</v>
      </c>
      <c r="AH830" s="1150">
        <f>IFERROR(VLOOKUP(CONCATENATE($L830,$N830),'Drop List'!$G$23:$K$87,3,FALSE),0)</f>
        <v>0</v>
      </c>
      <c r="AI830" s="1150">
        <f>IFERROR(VLOOKUP(CONCATENATE($L830,$N830),'Drop List'!$G$23:$K$87,4,FALSE),0)</f>
        <v>0</v>
      </c>
      <c r="AJ830" s="1151">
        <f>IFERROR(VLOOKUP(CONCATENATE($L830,$N830),'Drop List'!$G$23:$K$87,5,FALSE),0)</f>
        <v>0</v>
      </c>
      <c r="AK830" s="1152">
        <f t="shared" si="228"/>
        <v>0</v>
      </c>
      <c r="AL830" s="1153">
        <f t="shared" si="229"/>
        <v>0</v>
      </c>
      <c r="AM830" s="1153">
        <f t="shared" si="230"/>
        <v>0</v>
      </c>
      <c r="AN830" s="1145">
        <f t="shared" si="231"/>
        <v>0</v>
      </c>
      <c r="AO830" s="1154">
        <f t="shared" si="232"/>
        <v>0</v>
      </c>
      <c r="AP830" s="1147">
        <f t="shared" si="219"/>
        <v>10087.30477515663</v>
      </c>
      <c r="AQ830" s="1144">
        <f t="shared" si="220"/>
        <v>0</v>
      </c>
      <c r="AR830" s="1146">
        <f t="shared" si="221"/>
        <v>10087.30477515663</v>
      </c>
    </row>
    <row r="831" spans="1:44" x14ac:dyDescent="0.2">
      <c r="A831" s="1141" t="str">
        <f t="shared" si="234"/>
        <v>1542</v>
      </c>
      <c r="B831" s="1141" t="str">
        <f>IFERROR(VLOOKUP(A831,'LAC 103'!A:C,3,FALSE),"")</f>
        <v>OP</v>
      </c>
      <c r="C831" s="1478" t="str">
        <f>Info!$B$8</f>
        <v>00100</v>
      </c>
      <c r="D831" s="1474" t="s">
        <v>256</v>
      </c>
      <c r="E831" s="1474" t="s">
        <v>95</v>
      </c>
      <c r="F831" s="1478" t="s">
        <v>392</v>
      </c>
      <c r="G831" s="1478" t="s">
        <v>392</v>
      </c>
      <c r="H831" s="1474" t="s">
        <v>1091</v>
      </c>
      <c r="I831" s="1478" t="s">
        <v>815</v>
      </c>
      <c r="J831" s="1478"/>
      <c r="K831" s="1475" t="s">
        <v>1654</v>
      </c>
      <c r="L831" s="1474" t="s">
        <v>332</v>
      </c>
      <c r="M831" s="1476" t="s">
        <v>841</v>
      </c>
      <c r="N831" s="1477" t="s">
        <v>1695</v>
      </c>
      <c r="O831" s="1479">
        <v>3772</v>
      </c>
      <c r="P831" s="1479"/>
      <c r="Q831" s="1142">
        <f t="shared" si="235"/>
        <v>3772</v>
      </c>
      <c r="R831" s="1143">
        <f>IFERROR(VLOOKUP(CONCATENATE(E831,G831),'LAC 103'!$A$12:$O$95,11,FALSE),0)</f>
        <v>3.2074101033884355</v>
      </c>
      <c r="S831" s="1144">
        <f>IFERROR(VLOOKUP(CONCATENATE($E831,$G831),'LAC 103'!$A$12:$O$95,12,FALSE),0)</f>
        <v>3.99</v>
      </c>
      <c r="T831" s="1144">
        <f>IFERROR(VLOOKUP(CONCATENATE($E831,$G831),'LAC 103'!$A$12:$O$95,13,FALSE),0)</f>
        <v>2.48</v>
      </c>
      <c r="U831" s="1144">
        <f>IFERROR(VLOOKUP(CONCATENATE($E831,$G831),'LAC 103'!$A$12:$O$95,14,FALSE),0)</f>
        <v>0</v>
      </c>
      <c r="V831" s="1144">
        <f>IFERROR(VLOOKUP(CONCATENATE($E831,$G831),'LAC 103'!$A$12:$O$95,15,FALSE),0)</f>
        <v>0</v>
      </c>
      <c r="W831" s="1145" t="str">
        <f>IFERROR(VLOOKUP(CONCATENATE($B831,$N831),'LAC 103'!$AI:$AQ,9,FALSE),"")</f>
        <v>Costs</v>
      </c>
      <c r="X831" s="1146">
        <f t="shared" si="222"/>
        <v>3.2074101033884355</v>
      </c>
      <c r="Y831" s="1143">
        <f t="shared" si="233"/>
        <v>12098.350909981178</v>
      </c>
      <c r="Z831" s="1147">
        <f t="shared" si="223"/>
        <v>15050.28</v>
      </c>
      <c r="AA831" s="1144">
        <f t="shared" si="224"/>
        <v>9354.56</v>
      </c>
      <c r="AB831" s="1144">
        <f t="shared" si="225"/>
        <v>0</v>
      </c>
      <c r="AC831" s="1144">
        <f t="shared" si="226"/>
        <v>0</v>
      </c>
      <c r="AD831" s="1148">
        <f t="shared" si="218"/>
        <v>12098.350909981178</v>
      </c>
      <c r="AE831" s="1487">
        <v>0</v>
      </c>
      <c r="AF831" s="1145">
        <f t="shared" si="227"/>
        <v>12098.350909981178</v>
      </c>
      <c r="AG831" s="1149">
        <f>IFERROR(VLOOKUP(CONCATENATE($L831,$N831),'Drop List'!$G$23:$K$87,2,FALSE),0)</f>
        <v>0</v>
      </c>
      <c r="AH831" s="1150">
        <f>IFERROR(VLOOKUP(CONCATENATE($L831,$N831),'Drop List'!$G$23:$K$87,3,FALSE),0)</f>
        <v>0</v>
      </c>
      <c r="AI831" s="1150">
        <f>IFERROR(VLOOKUP(CONCATENATE($L831,$N831),'Drop List'!$G$23:$K$87,4,FALSE),0)</f>
        <v>0</v>
      </c>
      <c r="AJ831" s="1151">
        <f>IFERROR(VLOOKUP(CONCATENATE($L831,$N831),'Drop List'!$G$23:$K$87,5,FALSE),0)</f>
        <v>0</v>
      </c>
      <c r="AK831" s="1152">
        <f t="shared" si="228"/>
        <v>0</v>
      </c>
      <c r="AL831" s="1153">
        <f t="shared" si="229"/>
        <v>0</v>
      </c>
      <c r="AM831" s="1153">
        <f t="shared" si="230"/>
        <v>0</v>
      </c>
      <c r="AN831" s="1145">
        <f t="shared" si="231"/>
        <v>0</v>
      </c>
      <c r="AO831" s="1154">
        <f t="shared" si="232"/>
        <v>0</v>
      </c>
      <c r="AP831" s="1147">
        <f t="shared" si="219"/>
        <v>12098.350909981178</v>
      </c>
      <c r="AQ831" s="1144">
        <f t="shared" si="220"/>
        <v>0</v>
      </c>
      <c r="AR831" s="1146">
        <f t="shared" si="221"/>
        <v>12098.350909981178</v>
      </c>
    </row>
    <row r="832" spans="1:44" x14ac:dyDescent="0.2">
      <c r="A832" s="1141" t="str">
        <f t="shared" si="234"/>
        <v>1542</v>
      </c>
      <c r="B832" s="1141" t="str">
        <f>IFERROR(VLOOKUP(A832,'LAC 103'!A:C,3,FALSE),"")</f>
        <v>OP</v>
      </c>
      <c r="C832" s="1478" t="str">
        <f>Info!$B$8</f>
        <v>00100</v>
      </c>
      <c r="D832" s="1474" t="s">
        <v>256</v>
      </c>
      <c r="E832" s="1474" t="s">
        <v>95</v>
      </c>
      <c r="F832" s="1478" t="s">
        <v>392</v>
      </c>
      <c r="G832" s="1478" t="s">
        <v>392</v>
      </c>
      <c r="H832" s="1474" t="s">
        <v>1091</v>
      </c>
      <c r="I832" s="1478" t="s">
        <v>815</v>
      </c>
      <c r="J832" s="1478"/>
      <c r="K832" s="1475" t="s">
        <v>1654</v>
      </c>
      <c r="L832" s="1474" t="s">
        <v>332</v>
      </c>
      <c r="M832" s="1476" t="s">
        <v>840</v>
      </c>
      <c r="N832" s="1477" t="s">
        <v>1700</v>
      </c>
      <c r="O832" s="1479">
        <v>1565</v>
      </c>
      <c r="P832" s="1479"/>
      <c r="Q832" s="1142">
        <f t="shared" si="235"/>
        <v>1565</v>
      </c>
      <c r="R832" s="1143">
        <f>IFERROR(VLOOKUP(CONCATENATE(E832,G832),'LAC 103'!$A$12:$O$95,11,FALSE),0)</f>
        <v>3.2074101033884355</v>
      </c>
      <c r="S832" s="1144">
        <f>IFERROR(VLOOKUP(CONCATENATE($E832,$G832),'LAC 103'!$A$12:$O$95,12,FALSE),0)</f>
        <v>3.99</v>
      </c>
      <c r="T832" s="1144">
        <f>IFERROR(VLOOKUP(CONCATENATE($E832,$G832),'LAC 103'!$A$12:$O$95,13,FALSE),0)</f>
        <v>2.48</v>
      </c>
      <c r="U832" s="1144">
        <f>IFERROR(VLOOKUP(CONCATENATE($E832,$G832),'LAC 103'!$A$12:$O$95,14,FALSE),0)</f>
        <v>0</v>
      </c>
      <c r="V832" s="1144">
        <f>IFERROR(VLOOKUP(CONCATENATE($E832,$G832),'LAC 103'!$A$12:$O$95,15,FALSE),0)</f>
        <v>0</v>
      </c>
      <c r="W832" s="1145" t="str">
        <f>IFERROR(VLOOKUP(CONCATENATE($B832,$N832),'LAC 103'!$AI:$AQ,9,FALSE),"")</f>
        <v>P.C.</v>
      </c>
      <c r="X832" s="1146">
        <f t="shared" si="222"/>
        <v>2.48</v>
      </c>
      <c r="Y832" s="1143">
        <f t="shared" si="233"/>
        <v>5019.5968118029014</v>
      </c>
      <c r="Z832" s="1147">
        <f t="shared" si="223"/>
        <v>6244.35</v>
      </c>
      <c r="AA832" s="1144">
        <f t="shared" si="224"/>
        <v>3881.2</v>
      </c>
      <c r="AB832" s="1144">
        <f t="shared" si="225"/>
        <v>0</v>
      </c>
      <c r="AC832" s="1144">
        <f t="shared" si="226"/>
        <v>0</v>
      </c>
      <c r="AD832" s="1148">
        <f t="shared" si="218"/>
        <v>3881.2</v>
      </c>
      <c r="AE832" s="1487">
        <v>0</v>
      </c>
      <c r="AF832" s="1145">
        <f t="shared" si="227"/>
        <v>3881.2</v>
      </c>
      <c r="AG832" s="1149">
        <f>IFERROR(VLOOKUP(CONCATENATE($L832,$N832),'Drop List'!$G$23:$K$87,2,FALSE),0)</f>
        <v>0</v>
      </c>
      <c r="AH832" s="1150">
        <f>IFERROR(VLOOKUP(CONCATENATE($L832,$N832),'Drop List'!$G$23:$K$87,3,FALSE),0)</f>
        <v>0</v>
      </c>
      <c r="AI832" s="1150">
        <f>IFERROR(VLOOKUP(CONCATENATE($L832,$N832),'Drop List'!$G$23:$K$87,4,FALSE),0)</f>
        <v>0</v>
      </c>
      <c r="AJ832" s="1151">
        <f>IFERROR(VLOOKUP(CONCATENATE($L832,$N832),'Drop List'!$G$23:$K$87,5,FALSE),0)</f>
        <v>0</v>
      </c>
      <c r="AK832" s="1152">
        <f t="shared" si="228"/>
        <v>0</v>
      </c>
      <c r="AL832" s="1153">
        <f t="shared" si="229"/>
        <v>0</v>
      </c>
      <c r="AM832" s="1153">
        <f t="shared" si="230"/>
        <v>0</v>
      </c>
      <c r="AN832" s="1145">
        <f t="shared" si="231"/>
        <v>0</v>
      </c>
      <c r="AO832" s="1154">
        <f t="shared" si="232"/>
        <v>0</v>
      </c>
      <c r="AP832" s="1147">
        <f t="shared" si="219"/>
        <v>3881.2</v>
      </c>
      <c r="AQ832" s="1144">
        <f t="shared" si="220"/>
        <v>0</v>
      </c>
      <c r="AR832" s="1146">
        <f t="shared" si="221"/>
        <v>3881.2</v>
      </c>
    </row>
    <row r="833" spans="1:44" x14ac:dyDescent="0.2">
      <c r="A833" s="1141" t="str">
        <f t="shared" si="234"/>
        <v>1542</v>
      </c>
      <c r="B833" s="1141" t="str">
        <f>IFERROR(VLOOKUP(A833,'LAC 103'!A:C,3,FALSE),"")</f>
        <v>OP</v>
      </c>
      <c r="C833" s="1478" t="str">
        <f>Info!$B$8</f>
        <v>00100</v>
      </c>
      <c r="D833" s="1474" t="s">
        <v>256</v>
      </c>
      <c r="E833" s="1474" t="s">
        <v>95</v>
      </c>
      <c r="F833" s="1478" t="s">
        <v>392</v>
      </c>
      <c r="G833" s="1478" t="s">
        <v>392</v>
      </c>
      <c r="H833" s="1474" t="s">
        <v>1091</v>
      </c>
      <c r="I833" s="1478" t="s">
        <v>815</v>
      </c>
      <c r="J833" s="1478"/>
      <c r="K833" s="1475" t="s">
        <v>1654</v>
      </c>
      <c r="L833" s="1474" t="s">
        <v>332</v>
      </c>
      <c r="M833" s="1476" t="s">
        <v>842</v>
      </c>
      <c r="N833" s="1477" t="s">
        <v>1692</v>
      </c>
      <c r="O833" s="1479">
        <v>1169</v>
      </c>
      <c r="P833" s="1479"/>
      <c r="Q833" s="1142">
        <f t="shared" si="235"/>
        <v>1169</v>
      </c>
      <c r="R833" s="1143">
        <f>IFERROR(VLOOKUP(CONCATENATE(E833,G833),'LAC 103'!$A$12:$O$95,11,FALSE),0)</f>
        <v>3.2074101033884355</v>
      </c>
      <c r="S833" s="1144">
        <f>IFERROR(VLOOKUP(CONCATENATE($E833,$G833),'LAC 103'!$A$12:$O$95,12,FALSE),0)</f>
        <v>3.99</v>
      </c>
      <c r="T833" s="1144">
        <f>IFERROR(VLOOKUP(CONCATENATE($E833,$G833),'LAC 103'!$A$12:$O$95,13,FALSE),0)</f>
        <v>2.48</v>
      </c>
      <c r="U833" s="1144">
        <f>IFERROR(VLOOKUP(CONCATENATE($E833,$G833),'LAC 103'!$A$12:$O$95,14,FALSE),0)</f>
        <v>0</v>
      </c>
      <c r="V833" s="1144">
        <f>IFERROR(VLOOKUP(CONCATENATE($E833,$G833),'LAC 103'!$A$12:$O$95,15,FALSE),0)</f>
        <v>0</v>
      </c>
      <c r="W833" s="1145" t="str">
        <f>IFERROR(VLOOKUP(CONCATENATE($B833,$N833),'LAC 103'!$AI:$AQ,9,FALSE),"")</f>
        <v>Costs</v>
      </c>
      <c r="X833" s="1146">
        <f t="shared" si="222"/>
        <v>3.2074101033884355</v>
      </c>
      <c r="Y833" s="1143">
        <f t="shared" si="233"/>
        <v>3749.462410861081</v>
      </c>
      <c r="Z833" s="1147">
        <f t="shared" si="223"/>
        <v>4664.3100000000004</v>
      </c>
      <c r="AA833" s="1144">
        <f t="shared" si="224"/>
        <v>2899.12</v>
      </c>
      <c r="AB833" s="1144">
        <f t="shared" si="225"/>
        <v>0</v>
      </c>
      <c r="AC833" s="1144">
        <f t="shared" si="226"/>
        <v>0</v>
      </c>
      <c r="AD833" s="1148">
        <f t="shared" si="218"/>
        <v>3749.462410861081</v>
      </c>
      <c r="AE833" s="1487">
        <v>0</v>
      </c>
      <c r="AF833" s="1145">
        <f t="shared" si="227"/>
        <v>3749.462410861081</v>
      </c>
      <c r="AG833" s="1149">
        <f>IFERROR(VLOOKUP(CONCATENATE($L833,$N833),'Drop List'!$G$23:$K$87,2,FALSE),0)</f>
        <v>0</v>
      </c>
      <c r="AH833" s="1150">
        <f>IFERROR(VLOOKUP(CONCATENATE($L833,$N833),'Drop List'!$G$23:$K$87,3,FALSE),0)</f>
        <v>0</v>
      </c>
      <c r="AI833" s="1150">
        <f>IFERROR(VLOOKUP(CONCATENATE($L833,$N833),'Drop List'!$G$23:$K$87,4,FALSE),0)</f>
        <v>0</v>
      </c>
      <c r="AJ833" s="1151">
        <f>IFERROR(VLOOKUP(CONCATENATE($L833,$N833),'Drop List'!$G$23:$K$87,5,FALSE),0)</f>
        <v>0</v>
      </c>
      <c r="AK833" s="1152">
        <f t="shared" si="228"/>
        <v>0</v>
      </c>
      <c r="AL833" s="1153">
        <f t="shared" si="229"/>
        <v>0</v>
      </c>
      <c r="AM833" s="1153">
        <f t="shared" si="230"/>
        <v>0</v>
      </c>
      <c r="AN833" s="1145">
        <f t="shared" si="231"/>
        <v>0</v>
      </c>
      <c r="AO833" s="1154">
        <f t="shared" si="232"/>
        <v>0</v>
      </c>
      <c r="AP833" s="1147">
        <f t="shared" si="219"/>
        <v>3749.462410861081</v>
      </c>
      <c r="AQ833" s="1144">
        <f t="shared" si="220"/>
        <v>0</v>
      </c>
      <c r="AR833" s="1146">
        <f t="shared" si="221"/>
        <v>3749.462410861081</v>
      </c>
    </row>
    <row r="834" spans="1:44" x14ac:dyDescent="0.2">
      <c r="A834" s="1141" t="str">
        <f t="shared" si="234"/>
        <v>1542</v>
      </c>
      <c r="B834" s="1141" t="str">
        <f>IFERROR(VLOOKUP(A834,'LAC 103'!A:C,3,FALSE),"")</f>
        <v>OP</v>
      </c>
      <c r="C834" s="1478" t="str">
        <f>Info!$B$8</f>
        <v>00100</v>
      </c>
      <c r="D834" s="1474" t="s">
        <v>256</v>
      </c>
      <c r="E834" s="1474" t="s">
        <v>95</v>
      </c>
      <c r="F834" s="1478" t="s">
        <v>392</v>
      </c>
      <c r="G834" s="1478" t="s">
        <v>392</v>
      </c>
      <c r="H834" s="1474" t="s">
        <v>1091</v>
      </c>
      <c r="I834" s="1478" t="s">
        <v>815</v>
      </c>
      <c r="J834" s="1478"/>
      <c r="K834" s="1475" t="s">
        <v>1654</v>
      </c>
      <c r="L834" s="1474" t="s">
        <v>332</v>
      </c>
      <c r="M834" s="1476" t="s">
        <v>1698</v>
      </c>
      <c r="N834" s="1477" t="s">
        <v>1693</v>
      </c>
      <c r="O834" s="1479">
        <v>1302</v>
      </c>
      <c r="P834" s="1479"/>
      <c r="Q834" s="1142">
        <f t="shared" si="235"/>
        <v>1302</v>
      </c>
      <c r="R834" s="1143">
        <f>IFERROR(VLOOKUP(CONCATENATE(E834,G834),'LAC 103'!$A$12:$O$95,11,FALSE),0)</f>
        <v>3.2074101033884355</v>
      </c>
      <c r="S834" s="1144">
        <f>IFERROR(VLOOKUP(CONCATENATE($E834,$G834),'LAC 103'!$A$12:$O$95,12,FALSE),0)</f>
        <v>3.99</v>
      </c>
      <c r="T834" s="1144">
        <f>IFERROR(VLOOKUP(CONCATENATE($E834,$G834),'LAC 103'!$A$12:$O$95,13,FALSE),0)</f>
        <v>2.48</v>
      </c>
      <c r="U834" s="1144">
        <f>IFERROR(VLOOKUP(CONCATENATE($E834,$G834),'LAC 103'!$A$12:$O$95,14,FALSE),0)</f>
        <v>0</v>
      </c>
      <c r="V834" s="1144">
        <f>IFERROR(VLOOKUP(CONCATENATE($E834,$G834),'LAC 103'!$A$12:$O$95,15,FALSE),0)</f>
        <v>0</v>
      </c>
      <c r="W834" s="1145" t="str">
        <f>IFERROR(VLOOKUP(CONCATENATE($B834,$N834),'LAC 103'!$AI:$AQ,9,FALSE),"")</f>
        <v>Costs</v>
      </c>
      <c r="X834" s="1146">
        <f t="shared" si="222"/>
        <v>3.2074101033884355</v>
      </c>
      <c r="Y834" s="1143">
        <f t="shared" si="233"/>
        <v>4176.0479546117431</v>
      </c>
      <c r="Z834" s="1147">
        <f t="shared" si="223"/>
        <v>5194.9800000000005</v>
      </c>
      <c r="AA834" s="1144">
        <f t="shared" si="224"/>
        <v>3228.96</v>
      </c>
      <c r="AB834" s="1144">
        <f t="shared" si="225"/>
        <v>0</v>
      </c>
      <c r="AC834" s="1144">
        <f t="shared" si="226"/>
        <v>0</v>
      </c>
      <c r="AD834" s="1148">
        <f t="shared" si="218"/>
        <v>4176.0479546117431</v>
      </c>
      <c r="AE834" s="1487">
        <v>0</v>
      </c>
      <c r="AF834" s="1145">
        <f t="shared" si="227"/>
        <v>4176.0479546117431</v>
      </c>
      <c r="AG834" s="1149">
        <f>IFERROR(VLOOKUP(CONCATENATE($L834,$N834),'Drop List'!$G$23:$K$87,2,FALSE),0)</f>
        <v>0</v>
      </c>
      <c r="AH834" s="1150">
        <f>IFERROR(VLOOKUP(CONCATENATE($L834,$N834),'Drop List'!$G$23:$K$87,3,FALSE),0)</f>
        <v>0</v>
      </c>
      <c r="AI834" s="1150">
        <f>IFERROR(VLOOKUP(CONCATENATE($L834,$N834),'Drop List'!$G$23:$K$87,4,FALSE),0)</f>
        <v>0</v>
      </c>
      <c r="AJ834" s="1151">
        <f>IFERROR(VLOOKUP(CONCATENATE($L834,$N834),'Drop List'!$G$23:$K$87,5,FALSE),0)</f>
        <v>0</v>
      </c>
      <c r="AK834" s="1152">
        <f t="shared" si="228"/>
        <v>0</v>
      </c>
      <c r="AL834" s="1153">
        <f t="shared" si="229"/>
        <v>0</v>
      </c>
      <c r="AM834" s="1153">
        <f t="shared" si="230"/>
        <v>0</v>
      </c>
      <c r="AN834" s="1145">
        <f t="shared" si="231"/>
        <v>0</v>
      </c>
      <c r="AO834" s="1154">
        <f t="shared" si="232"/>
        <v>0</v>
      </c>
      <c r="AP834" s="1147">
        <f t="shared" si="219"/>
        <v>4176.0479546117431</v>
      </c>
      <c r="AQ834" s="1144">
        <f t="shared" si="220"/>
        <v>0</v>
      </c>
      <c r="AR834" s="1146">
        <f t="shared" si="221"/>
        <v>4176.0479546117431</v>
      </c>
    </row>
    <row r="835" spans="1:44" x14ac:dyDescent="0.2">
      <c r="A835" s="1141" t="str">
        <f t="shared" si="234"/>
        <v>1542</v>
      </c>
      <c r="B835" s="1141" t="str">
        <f>IFERROR(VLOOKUP(A835,'LAC 103'!A:C,3,FALSE),"")</f>
        <v>OP</v>
      </c>
      <c r="C835" s="1478" t="str">
        <f>Info!$B$8</f>
        <v>00100</v>
      </c>
      <c r="D835" s="1474" t="s">
        <v>256</v>
      </c>
      <c r="E835" s="1474" t="s">
        <v>95</v>
      </c>
      <c r="F835" s="1478" t="s">
        <v>392</v>
      </c>
      <c r="G835" s="1478" t="s">
        <v>392</v>
      </c>
      <c r="H835" s="1474" t="s">
        <v>1091</v>
      </c>
      <c r="I835" s="1478" t="s">
        <v>815</v>
      </c>
      <c r="J835" s="1478"/>
      <c r="K835" s="1475" t="s">
        <v>847</v>
      </c>
      <c r="L835" s="1474" t="s">
        <v>582</v>
      </c>
      <c r="M835" s="1476" t="s">
        <v>1699</v>
      </c>
      <c r="N835" s="1477" t="s">
        <v>1694</v>
      </c>
      <c r="O835" s="1479">
        <v>206366</v>
      </c>
      <c r="P835" s="1479"/>
      <c r="Q835" s="1142">
        <f t="shared" si="235"/>
        <v>206366</v>
      </c>
      <c r="R835" s="1143">
        <f>IFERROR(VLOOKUP(CONCATENATE(E835,G835),'LAC 103'!$A$12:$O$95,11,FALSE),0)</f>
        <v>3.2074101033884355</v>
      </c>
      <c r="S835" s="1144">
        <f>IFERROR(VLOOKUP(CONCATENATE($E835,$G835),'LAC 103'!$A$12:$O$95,12,FALSE),0)</f>
        <v>3.99</v>
      </c>
      <c r="T835" s="1144">
        <f>IFERROR(VLOOKUP(CONCATENATE($E835,$G835),'LAC 103'!$A$12:$O$95,13,FALSE),0)</f>
        <v>2.48</v>
      </c>
      <c r="U835" s="1144">
        <f>IFERROR(VLOOKUP(CONCATENATE($E835,$G835),'LAC 103'!$A$12:$O$95,14,FALSE),0)</f>
        <v>0</v>
      </c>
      <c r="V835" s="1144">
        <f>IFERROR(VLOOKUP(CONCATENATE($E835,$G835),'LAC 103'!$A$12:$O$95,15,FALSE),0)</f>
        <v>0</v>
      </c>
      <c r="W835" s="1145" t="str">
        <f>IFERROR(VLOOKUP(CONCATENATE($B835,$N835),'LAC 103'!$AI:$AQ,9,FALSE),"")</f>
        <v>Costs</v>
      </c>
      <c r="X835" s="1146">
        <f t="shared" si="222"/>
        <v>3.2074101033884355</v>
      </c>
      <c r="Y835" s="1143">
        <f t="shared" si="233"/>
        <v>661900.39339585789</v>
      </c>
      <c r="Z835" s="1147">
        <f t="shared" si="223"/>
        <v>823400.34000000008</v>
      </c>
      <c r="AA835" s="1144">
        <f t="shared" si="224"/>
        <v>511787.68</v>
      </c>
      <c r="AB835" s="1144">
        <f t="shared" si="225"/>
        <v>0</v>
      </c>
      <c r="AC835" s="1144">
        <f t="shared" si="226"/>
        <v>0</v>
      </c>
      <c r="AD835" s="1148">
        <f t="shared" si="218"/>
        <v>661900.39339585789</v>
      </c>
      <c r="AE835" s="1487">
        <v>0</v>
      </c>
      <c r="AF835" s="1145">
        <f t="shared" si="227"/>
        <v>661900.39339585789</v>
      </c>
      <c r="AG835" s="1149">
        <f>IFERROR(VLOOKUP(CONCATENATE($L835,$N835),'Drop List'!$G$23:$K$87,2,FALSE),0)</f>
        <v>0.56200000000000006</v>
      </c>
      <c r="AH835" s="1150">
        <f>IFERROR(VLOOKUP(CONCATENATE($L835,$N835),'Drop List'!$G$23:$K$87,3,FALSE),0)</f>
        <v>0.43799999999999994</v>
      </c>
      <c r="AI835" s="1150">
        <f>IFERROR(VLOOKUP(CONCATENATE($L835,$N835),'Drop List'!$G$23:$K$87,4,FALSE),0)</f>
        <v>0</v>
      </c>
      <c r="AJ835" s="1151">
        <f>IFERROR(VLOOKUP(CONCATENATE($L835,$N835),'Drop List'!$G$23:$K$87,5,FALSE),0)</f>
        <v>0</v>
      </c>
      <c r="AK835" s="1152">
        <f t="shared" si="228"/>
        <v>371988.02108847216</v>
      </c>
      <c r="AL835" s="1153">
        <f t="shared" si="229"/>
        <v>289912.37230738573</v>
      </c>
      <c r="AM835" s="1153">
        <f t="shared" si="230"/>
        <v>0</v>
      </c>
      <c r="AN835" s="1145">
        <f t="shared" si="231"/>
        <v>0</v>
      </c>
      <c r="AO835" s="1154">
        <f t="shared" si="232"/>
        <v>661900.39339585789</v>
      </c>
      <c r="AP835" s="1147">
        <f t="shared" si="219"/>
        <v>0</v>
      </c>
      <c r="AQ835" s="1144">
        <f t="shared" si="220"/>
        <v>0</v>
      </c>
      <c r="AR835" s="1146">
        <f t="shared" si="221"/>
        <v>661900.39339585789</v>
      </c>
    </row>
    <row r="836" spans="1:44" x14ac:dyDescent="0.2">
      <c r="A836" s="1141" t="str">
        <f t="shared" si="234"/>
        <v>1542</v>
      </c>
      <c r="B836" s="1141" t="str">
        <f>IFERROR(VLOOKUP(A836,'LAC 103'!A:C,3,FALSE),"")</f>
        <v>OP</v>
      </c>
      <c r="C836" s="1478" t="str">
        <f>Info!$B$8</f>
        <v>00100</v>
      </c>
      <c r="D836" s="1474" t="s">
        <v>256</v>
      </c>
      <c r="E836" s="1474" t="s">
        <v>95</v>
      </c>
      <c r="F836" s="1478" t="s">
        <v>392</v>
      </c>
      <c r="G836" s="1478" t="s">
        <v>392</v>
      </c>
      <c r="H836" s="1474" t="s">
        <v>1091</v>
      </c>
      <c r="I836" s="1478" t="s">
        <v>815</v>
      </c>
      <c r="J836" s="1478"/>
      <c r="K836" s="1475" t="s">
        <v>847</v>
      </c>
      <c r="L836" s="1474" t="s">
        <v>582</v>
      </c>
      <c r="M836" s="1476" t="s">
        <v>841</v>
      </c>
      <c r="N836" s="1477" t="s">
        <v>1695</v>
      </c>
      <c r="O836" s="1479">
        <v>93890</v>
      </c>
      <c r="P836" s="1479"/>
      <c r="Q836" s="1142">
        <f t="shared" si="235"/>
        <v>93890</v>
      </c>
      <c r="R836" s="1143">
        <f>IFERROR(VLOOKUP(CONCATENATE(E836,G836),'LAC 103'!$A$12:$O$95,11,FALSE),0)</f>
        <v>3.2074101033884355</v>
      </c>
      <c r="S836" s="1144">
        <f>IFERROR(VLOOKUP(CONCATENATE($E836,$G836),'LAC 103'!$A$12:$O$95,12,FALSE),0)</f>
        <v>3.99</v>
      </c>
      <c r="T836" s="1144">
        <f>IFERROR(VLOOKUP(CONCATENATE($E836,$G836),'LAC 103'!$A$12:$O$95,13,FALSE),0)</f>
        <v>2.48</v>
      </c>
      <c r="U836" s="1144">
        <f>IFERROR(VLOOKUP(CONCATENATE($E836,$G836),'LAC 103'!$A$12:$O$95,14,FALSE),0)</f>
        <v>0</v>
      </c>
      <c r="V836" s="1144">
        <f>IFERROR(VLOOKUP(CONCATENATE($E836,$G836),'LAC 103'!$A$12:$O$95,15,FALSE),0)</f>
        <v>0</v>
      </c>
      <c r="W836" s="1145" t="str">
        <f>IFERROR(VLOOKUP(CONCATENATE($B836,$N836),'LAC 103'!$AI:$AQ,9,FALSE),"")</f>
        <v>Costs</v>
      </c>
      <c r="X836" s="1146">
        <f t="shared" si="222"/>
        <v>3.2074101033884355</v>
      </c>
      <c r="Y836" s="1143">
        <f t="shared" si="233"/>
        <v>301143.73460714018</v>
      </c>
      <c r="Z836" s="1147">
        <f t="shared" si="223"/>
        <v>374621.10000000003</v>
      </c>
      <c r="AA836" s="1144">
        <f t="shared" si="224"/>
        <v>232847.2</v>
      </c>
      <c r="AB836" s="1144">
        <f t="shared" si="225"/>
        <v>0</v>
      </c>
      <c r="AC836" s="1144">
        <f t="shared" si="226"/>
        <v>0</v>
      </c>
      <c r="AD836" s="1148">
        <f t="shared" si="218"/>
        <v>301143.73460714018</v>
      </c>
      <c r="AE836" s="1487">
        <v>0</v>
      </c>
      <c r="AF836" s="1145">
        <f t="shared" si="227"/>
        <v>301143.73460714018</v>
      </c>
      <c r="AG836" s="1149">
        <f>IFERROR(VLOOKUP(CONCATENATE($L836,$N836),'Drop List'!$G$23:$K$87,2,FALSE),0)</f>
        <v>0.55000000000000004</v>
      </c>
      <c r="AH836" s="1150">
        <f>IFERROR(VLOOKUP(CONCATENATE($L836,$N836),'Drop List'!$G$23:$K$87,3,FALSE),0)</f>
        <v>0.44999999999999996</v>
      </c>
      <c r="AI836" s="1150">
        <f>IFERROR(VLOOKUP(CONCATENATE($L836,$N836),'Drop List'!$G$23:$K$87,4,FALSE),0)</f>
        <v>0</v>
      </c>
      <c r="AJ836" s="1151">
        <f>IFERROR(VLOOKUP(CONCATENATE($L836,$N836),'Drop List'!$G$23:$K$87,5,FALSE),0)</f>
        <v>0</v>
      </c>
      <c r="AK836" s="1152">
        <f t="shared" si="228"/>
        <v>165629.05403392712</v>
      </c>
      <c r="AL836" s="1153">
        <f t="shared" si="229"/>
        <v>135514.68057321306</v>
      </c>
      <c r="AM836" s="1153">
        <f t="shared" si="230"/>
        <v>0</v>
      </c>
      <c r="AN836" s="1145">
        <f t="shared" si="231"/>
        <v>0</v>
      </c>
      <c r="AO836" s="1154">
        <f t="shared" si="232"/>
        <v>301143.73460714018</v>
      </c>
      <c r="AP836" s="1147">
        <f t="shared" si="219"/>
        <v>0</v>
      </c>
      <c r="AQ836" s="1144">
        <f t="shared" si="220"/>
        <v>0</v>
      </c>
      <c r="AR836" s="1146">
        <f t="shared" si="221"/>
        <v>301143.73460714018</v>
      </c>
    </row>
    <row r="837" spans="1:44" x14ac:dyDescent="0.2">
      <c r="A837" s="1141" t="str">
        <f t="shared" si="234"/>
        <v>1542</v>
      </c>
      <c r="B837" s="1141" t="str">
        <f>IFERROR(VLOOKUP(A837,'LAC 103'!A:C,3,FALSE),"")</f>
        <v>OP</v>
      </c>
      <c r="C837" s="1478" t="str">
        <f>Info!$B$8</f>
        <v>00100</v>
      </c>
      <c r="D837" s="1474" t="s">
        <v>256</v>
      </c>
      <c r="E837" s="1474" t="s">
        <v>95</v>
      </c>
      <c r="F837" s="1478" t="s">
        <v>392</v>
      </c>
      <c r="G837" s="1478" t="s">
        <v>392</v>
      </c>
      <c r="H837" s="1474" t="s">
        <v>1091</v>
      </c>
      <c r="I837" s="1478" t="s">
        <v>815</v>
      </c>
      <c r="J837" s="1478"/>
      <c r="K837" s="1475" t="s">
        <v>847</v>
      </c>
      <c r="L837" s="1474" t="s">
        <v>582</v>
      </c>
      <c r="M837" s="1476" t="s">
        <v>840</v>
      </c>
      <c r="N837" s="1477" t="s">
        <v>1700</v>
      </c>
      <c r="O837" s="1479">
        <v>101341</v>
      </c>
      <c r="P837" s="1479"/>
      <c r="Q837" s="1142">
        <f t="shared" si="235"/>
        <v>101341</v>
      </c>
      <c r="R837" s="1143">
        <f>IFERROR(VLOOKUP(CONCATENATE(E837,G837),'LAC 103'!$A$12:$O$95,11,FALSE),0)</f>
        <v>3.2074101033884355</v>
      </c>
      <c r="S837" s="1144">
        <f>IFERROR(VLOOKUP(CONCATENATE($E837,$G837),'LAC 103'!$A$12:$O$95,12,FALSE),0)</f>
        <v>3.99</v>
      </c>
      <c r="T837" s="1144">
        <f>IFERROR(VLOOKUP(CONCATENATE($E837,$G837),'LAC 103'!$A$12:$O$95,13,FALSE),0)</f>
        <v>2.48</v>
      </c>
      <c r="U837" s="1144">
        <f>IFERROR(VLOOKUP(CONCATENATE($E837,$G837),'LAC 103'!$A$12:$O$95,14,FALSE),0)</f>
        <v>0</v>
      </c>
      <c r="V837" s="1144">
        <f>IFERROR(VLOOKUP(CONCATENATE($E837,$G837),'LAC 103'!$A$12:$O$95,15,FALSE),0)</f>
        <v>0</v>
      </c>
      <c r="W837" s="1145" t="str">
        <f>IFERROR(VLOOKUP(CONCATENATE($B837,$N837),'LAC 103'!$AI:$AQ,9,FALSE),"")</f>
        <v>P.C.</v>
      </c>
      <c r="X837" s="1146">
        <f t="shared" si="222"/>
        <v>2.48</v>
      </c>
      <c r="Y837" s="1143">
        <f t="shared" si="233"/>
        <v>325042.14728748746</v>
      </c>
      <c r="Z837" s="1147">
        <f t="shared" si="223"/>
        <v>404350.59</v>
      </c>
      <c r="AA837" s="1144">
        <f t="shared" si="224"/>
        <v>251325.68</v>
      </c>
      <c r="AB837" s="1144">
        <f t="shared" si="225"/>
        <v>0</v>
      </c>
      <c r="AC837" s="1144">
        <f t="shared" si="226"/>
        <v>0</v>
      </c>
      <c r="AD837" s="1148">
        <f t="shared" si="218"/>
        <v>251325.68</v>
      </c>
      <c r="AE837" s="1487">
        <v>0</v>
      </c>
      <c r="AF837" s="1145">
        <f t="shared" si="227"/>
        <v>251325.68</v>
      </c>
      <c r="AG837" s="1149">
        <f>IFERROR(VLOOKUP(CONCATENATE($L837,$N837),'Drop List'!$G$23:$K$87,2,FALSE),0)</f>
        <v>0.55000000000000004</v>
      </c>
      <c r="AH837" s="1150">
        <f>IFERROR(VLOOKUP(CONCATENATE($L837,$N837),'Drop List'!$G$23:$K$87,3,FALSE),0)</f>
        <v>0.44999999999999996</v>
      </c>
      <c r="AI837" s="1150">
        <f>IFERROR(VLOOKUP(CONCATENATE($L837,$N837),'Drop List'!$G$23:$K$87,4,FALSE),0)</f>
        <v>0</v>
      </c>
      <c r="AJ837" s="1151">
        <f>IFERROR(VLOOKUP(CONCATENATE($L837,$N837),'Drop List'!$G$23:$K$87,5,FALSE),0)</f>
        <v>0</v>
      </c>
      <c r="AK837" s="1152">
        <f t="shared" si="228"/>
        <v>138229.12400000001</v>
      </c>
      <c r="AL837" s="1153">
        <f t="shared" si="229"/>
        <v>113096.55599999998</v>
      </c>
      <c r="AM837" s="1153">
        <f t="shared" si="230"/>
        <v>0</v>
      </c>
      <c r="AN837" s="1145">
        <f t="shared" si="231"/>
        <v>0</v>
      </c>
      <c r="AO837" s="1154">
        <f t="shared" si="232"/>
        <v>251325.68</v>
      </c>
      <c r="AP837" s="1147">
        <f t="shared" si="219"/>
        <v>0</v>
      </c>
      <c r="AQ837" s="1144">
        <f t="shared" si="220"/>
        <v>0</v>
      </c>
      <c r="AR837" s="1146">
        <f t="shared" si="221"/>
        <v>251325.68</v>
      </c>
    </row>
    <row r="838" spans="1:44" x14ac:dyDescent="0.2">
      <c r="A838" s="1141" t="str">
        <f t="shared" si="234"/>
        <v>1542</v>
      </c>
      <c r="B838" s="1141" t="str">
        <f>IFERROR(VLOOKUP(A838,'LAC 103'!A:C,3,FALSE),"")</f>
        <v>OP</v>
      </c>
      <c r="C838" s="1478" t="str">
        <f>Info!$B$8</f>
        <v>00100</v>
      </c>
      <c r="D838" s="1474" t="s">
        <v>256</v>
      </c>
      <c r="E838" s="1474" t="s">
        <v>95</v>
      </c>
      <c r="F838" s="1478" t="s">
        <v>392</v>
      </c>
      <c r="G838" s="1478" t="s">
        <v>392</v>
      </c>
      <c r="H838" s="1474" t="s">
        <v>1091</v>
      </c>
      <c r="I838" s="1478" t="s">
        <v>815</v>
      </c>
      <c r="J838" s="1478"/>
      <c r="K838" s="1475" t="s">
        <v>847</v>
      </c>
      <c r="L838" s="1474" t="s">
        <v>582</v>
      </c>
      <c r="M838" s="1476" t="s">
        <v>842</v>
      </c>
      <c r="N838" s="1477" t="s">
        <v>1692</v>
      </c>
      <c r="O838" s="1479">
        <v>180407</v>
      </c>
      <c r="P838" s="1479"/>
      <c r="Q838" s="1142">
        <f t="shared" si="235"/>
        <v>180407</v>
      </c>
      <c r="R838" s="1143">
        <f>IFERROR(VLOOKUP(CONCATENATE(E838,G838),'LAC 103'!$A$12:$O$95,11,FALSE),0)</f>
        <v>3.2074101033884355</v>
      </c>
      <c r="S838" s="1144">
        <f>IFERROR(VLOOKUP(CONCATENATE($E838,$G838),'LAC 103'!$A$12:$O$95,12,FALSE),0)</f>
        <v>3.99</v>
      </c>
      <c r="T838" s="1144">
        <f>IFERROR(VLOOKUP(CONCATENATE($E838,$G838),'LAC 103'!$A$12:$O$95,13,FALSE),0)</f>
        <v>2.48</v>
      </c>
      <c r="U838" s="1144">
        <f>IFERROR(VLOOKUP(CONCATENATE($E838,$G838),'LAC 103'!$A$12:$O$95,14,FALSE),0)</f>
        <v>0</v>
      </c>
      <c r="V838" s="1144">
        <f>IFERROR(VLOOKUP(CONCATENATE($E838,$G838),'LAC 103'!$A$12:$O$95,15,FALSE),0)</f>
        <v>0</v>
      </c>
      <c r="W838" s="1145" t="str">
        <f>IFERROR(VLOOKUP(CONCATENATE($B838,$N838),'LAC 103'!$AI:$AQ,9,FALSE),"")</f>
        <v>Costs</v>
      </c>
      <c r="X838" s="1146">
        <f t="shared" si="222"/>
        <v>3.2074101033884355</v>
      </c>
      <c r="Y838" s="1143">
        <f t="shared" si="233"/>
        <v>578639.23452199751</v>
      </c>
      <c r="Z838" s="1147">
        <f t="shared" si="223"/>
        <v>719823.93</v>
      </c>
      <c r="AA838" s="1144">
        <f t="shared" si="224"/>
        <v>447409.36</v>
      </c>
      <c r="AB838" s="1144">
        <f t="shared" si="225"/>
        <v>0</v>
      </c>
      <c r="AC838" s="1144">
        <f t="shared" si="226"/>
        <v>0</v>
      </c>
      <c r="AD838" s="1148">
        <f t="shared" si="218"/>
        <v>578639.23452199751</v>
      </c>
      <c r="AE838" s="1487">
        <v>0</v>
      </c>
      <c r="AF838" s="1145">
        <f t="shared" si="227"/>
        <v>578639.23452199751</v>
      </c>
      <c r="AG838" s="1149">
        <f>IFERROR(VLOOKUP(CONCATENATE($L838,$N838),'Drop List'!$G$23:$K$87,2,FALSE),0)</f>
        <v>0.56200000000000006</v>
      </c>
      <c r="AH838" s="1150">
        <f>IFERROR(VLOOKUP(CONCATENATE($L838,$N838),'Drop List'!$G$23:$K$87,3,FALSE),0)</f>
        <v>0.43799999999999994</v>
      </c>
      <c r="AI838" s="1150">
        <f>IFERROR(VLOOKUP(CONCATENATE($L838,$N838),'Drop List'!$G$23:$K$87,4,FALSE),0)</f>
        <v>0</v>
      </c>
      <c r="AJ838" s="1151">
        <f>IFERROR(VLOOKUP(CONCATENATE($L838,$N838),'Drop List'!$G$23:$K$87,5,FALSE),0)</f>
        <v>0</v>
      </c>
      <c r="AK838" s="1152">
        <f t="shared" si="228"/>
        <v>325195.24980136263</v>
      </c>
      <c r="AL838" s="1153">
        <f t="shared" si="229"/>
        <v>253443.98472063488</v>
      </c>
      <c r="AM838" s="1153">
        <f t="shared" si="230"/>
        <v>0</v>
      </c>
      <c r="AN838" s="1145">
        <f t="shared" si="231"/>
        <v>0</v>
      </c>
      <c r="AO838" s="1154">
        <f t="shared" si="232"/>
        <v>578639.23452199751</v>
      </c>
      <c r="AP838" s="1147">
        <f t="shared" si="219"/>
        <v>0</v>
      </c>
      <c r="AQ838" s="1144">
        <f t="shared" si="220"/>
        <v>0</v>
      </c>
      <c r="AR838" s="1146">
        <f t="shared" si="221"/>
        <v>578639.23452199751</v>
      </c>
    </row>
    <row r="839" spans="1:44" x14ac:dyDescent="0.2">
      <c r="A839" s="1141" t="str">
        <f t="shared" si="234"/>
        <v>1542</v>
      </c>
      <c r="B839" s="1141" t="str">
        <f>IFERROR(VLOOKUP(A839,'LAC 103'!A:C,3,FALSE),"")</f>
        <v>OP</v>
      </c>
      <c r="C839" s="1478" t="str">
        <f>Info!$B$8</f>
        <v>00100</v>
      </c>
      <c r="D839" s="1474" t="s">
        <v>256</v>
      </c>
      <c r="E839" s="1474" t="s">
        <v>95</v>
      </c>
      <c r="F839" s="1478" t="s">
        <v>392</v>
      </c>
      <c r="G839" s="1478" t="s">
        <v>392</v>
      </c>
      <c r="H839" s="1474" t="s">
        <v>1091</v>
      </c>
      <c r="I839" s="1478" t="s">
        <v>815</v>
      </c>
      <c r="J839" s="1478"/>
      <c r="K839" s="1475" t="s">
        <v>847</v>
      </c>
      <c r="L839" s="1474" t="s">
        <v>582</v>
      </c>
      <c r="M839" s="1476" t="s">
        <v>1698</v>
      </c>
      <c r="N839" s="1477" t="s">
        <v>1693</v>
      </c>
      <c r="O839" s="1479">
        <v>177764</v>
      </c>
      <c r="P839" s="1479"/>
      <c r="Q839" s="1142">
        <f t="shared" si="235"/>
        <v>177764</v>
      </c>
      <c r="R839" s="1143">
        <f>IFERROR(VLOOKUP(CONCATENATE(E839,G839),'LAC 103'!$A$12:$O$95,11,FALSE),0)</f>
        <v>3.2074101033884355</v>
      </c>
      <c r="S839" s="1144">
        <f>IFERROR(VLOOKUP(CONCATENATE($E839,$G839),'LAC 103'!$A$12:$O$95,12,FALSE),0)</f>
        <v>3.99</v>
      </c>
      <c r="T839" s="1144">
        <f>IFERROR(VLOOKUP(CONCATENATE($E839,$G839),'LAC 103'!$A$12:$O$95,13,FALSE),0)</f>
        <v>2.48</v>
      </c>
      <c r="U839" s="1144">
        <f>IFERROR(VLOOKUP(CONCATENATE($E839,$G839),'LAC 103'!$A$12:$O$95,14,FALSE),0)</f>
        <v>0</v>
      </c>
      <c r="V839" s="1144">
        <f>IFERROR(VLOOKUP(CONCATENATE($E839,$G839),'LAC 103'!$A$12:$O$95,15,FALSE),0)</f>
        <v>0</v>
      </c>
      <c r="W839" s="1145" t="str">
        <f>IFERROR(VLOOKUP(CONCATENATE($B839,$N839),'LAC 103'!$AI:$AQ,9,FALSE),"")</f>
        <v>Costs</v>
      </c>
      <c r="X839" s="1146">
        <f t="shared" si="222"/>
        <v>3.2074101033884355</v>
      </c>
      <c r="Y839" s="1143">
        <f t="shared" si="233"/>
        <v>570162.04961874185</v>
      </c>
      <c r="Z839" s="1147">
        <f t="shared" si="223"/>
        <v>709278.36</v>
      </c>
      <c r="AA839" s="1144">
        <f t="shared" si="224"/>
        <v>440854.72</v>
      </c>
      <c r="AB839" s="1144">
        <f t="shared" si="225"/>
        <v>0</v>
      </c>
      <c r="AC839" s="1144">
        <f t="shared" si="226"/>
        <v>0</v>
      </c>
      <c r="AD839" s="1148">
        <f t="shared" ref="AD839:AD902" si="236">Q839*X839</f>
        <v>570162.04961874185</v>
      </c>
      <c r="AE839" s="1487">
        <v>0</v>
      </c>
      <c r="AF839" s="1145">
        <f t="shared" si="227"/>
        <v>570162.04961874185</v>
      </c>
      <c r="AG839" s="1149">
        <f>IFERROR(VLOOKUP(CONCATENATE($L839,$N839),'Drop List'!$G$23:$K$87,2,FALSE),0)</f>
        <v>0.56200000000000006</v>
      </c>
      <c r="AH839" s="1150">
        <f>IFERROR(VLOOKUP(CONCATENATE($L839,$N839),'Drop List'!$G$23:$K$87,3,FALSE),0)</f>
        <v>0.43799999999999994</v>
      </c>
      <c r="AI839" s="1150">
        <f>IFERROR(VLOOKUP(CONCATENATE($L839,$N839),'Drop List'!$G$23:$K$87,4,FALSE),0)</f>
        <v>0</v>
      </c>
      <c r="AJ839" s="1151">
        <f>IFERROR(VLOOKUP(CONCATENATE($L839,$N839),'Drop List'!$G$23:$K$87,5,FALSE),0)</f>
        <v>0</v>
      </c>
      <c r="AK839" s="1152">
        <f t="shared" si="228"/>
        <v>320431.07188573293</v>
      </c>
      <c r="AL839" s="1153">
        <f t="shared" si="229"/>
        <v>249730.97773300888</v>
      </c>
      <c r="AM839" s="1153">
        <f t="shared" si="230"/>
        <v>0</v>
      </c>
      <c r="AN839" s="1145">
        <f t="shared" si="231"/>
        <v>0</v>
      </c>
      <c r="AO839" s="1154">
        <f t="shared" si="232"/>
        <v>570162.04961874185</v>
      </c>
      <c r="AP839" s="1147">
        <f t="shared" ref="AP839:AP902" si="237">IF($L839="14",$AF839,0)</f>
        <v>0</v>
      </c>
      <c r="AQ839" s="1144">
        <f t="shared" ref="AQ839:AQ902" si="238">IF($L839="15",$AF839,0)</f>
        <v>0</v>
      </c>
      <c r="AR839" s="1146">
        <f t="shared" ref="AR839:AR902" si="239">AO839+AP839+AQ839</f>
        <v>570162.04961874185</v>
      </c>
    </row>
    <row r="840" spans="1:44" x14ac:dyDescent="0.2">
      <c r="A840" s="1141" t="str">
        <f t="shared" si="234"/>
        <v>1542</v>
      </c>
      <c r="B840" s="1141" t="str">
        <f>IFERROR(VLOOKUP(A840,'LAC 103'!A:C,3,FALSE),"")</f>
        <v>OP</v>
      </c>
      <c r="C840" s="1478" t="str">
        <f>Info!$B$8</f>
        <v>00100</v>
      </c>
      <c r="D840" s="1474" t="s">
        <v>256</v>
      </c>
      <c r="E840" s="1474" t="s">
        <v>95</v>
      </c>
      <c r="F840" s="1478" t="s">
        <v>392</v>
      </c>
      <c r="G840" s="1478" t="s">
        <v>392</v>
      </c>
      <c r="H840" s="1474" t="s">
        <v>1091</v>
      </c>
      <c r="I840" s="1478" t="s">
        <v>815</v>
      </c>
      <c r="J840" s="1478"/>
      <c r="K840" s="1475" t="s">
        <v>852</v>
      </c>
      <c r="L840" s="1474" t="s">
        <v>591</v>
      </c>
      <c r="M840" s="1476" t="s">
        <v>1699</v>
      </c>
      <c r="N840" s="1477" t="s">
        <v>1694</v>
      </c>
      <c r="O840" s="1479">
        <v>384</v>
      </c>
      <c r="P840" s="1479"/>
      <c r="Q840" s="1142">
        <f t="shared" si="235"/>
        <v>384</v>
      </c>
      <c r="R840" s="1143">
        <f>IFERROR(VLOOKUP(CONCATENATE(E840,G840),'LAC 103'!$A$12:$O$95,11,FALSE),0)</f>
        <v>3.2074101033884355</v>
      </c>
      <c r="S840" s="1144">
        <f>IFERROR(VLOOKUP(CONCATENATE($E840,$G840),'LAC 103'!$A$12:$O$95,12,FALSE),0)</f>
        <v>3.99</v>
      </c>
      <c r="T840" s="1144">
        <f>IFERROR(VLOOKUP(CONCATENATE($E840,$G840),'LAC 103'!$A$12:$O$95,13,FALSE),0)</f>
        <v>2.48</v>
      </c>
      <c r="U840" s="1144">
        <f>IFERROR(VLOOKUP(CONCATENATE($E840,$G840),'LAC 103'!$A$12:$O$95,14,FALSE),0)</f>
        <v>0</v>
      </c>
      <c r="V840" s="1144">
        <f>IFERROR(VLOOKUP(CONCATENATE($E840,$G840),'LAC 103'!$A$12:$O$95,15,FALSE),0)</f>
        <v>0</v>
      </c>
      <c r="W840" s="1145" t="str">
        <f>IFERROR(VLOOKUP(CONCATENATE($B840,$N840),'LAC 103'!$AI:$AQ,9,FALSE),"")</f>
        <v>Costs</v>
      </c>
      <c r="X840" s="1146">
        <f t="shared" ref="X840:X903" si="240">IF($W840="Costs",$R840,IF($W840="CMA",$S840,IF($W840="P.C.",$T840,IF($W840="SMA",$U840,$V840))))</f>
        <v>3.2074101033884355</v>
      </c>
      <c r="Y840" s="1143">
        <f t="shared" si="233"/>
        <v>1231.6454797011593</v>
      </c>
      <c r="Z840" s="1147">
        <f t="shared" ref="Z840:Z903" si="241">IF(S840=0,Y840,$Q840*S840)</f>
        <v>1532.16</v>
      </c>
      <c r="AA840" s="1144">
        <f t="shared" ref="AA840:AA903" si="242">IF(T840=0,Y840,$Q840*T840)</f>
        <v>952.31999999999994</v>
      </c>
      <c r="AB840" s="1144">
        <f t="shared" ref="AB840:AB903" si="243">$Q840*U840</f>
        <v>0</v>
      </c>
      <c r="AC840" s="1144">
        <f t="shared" ref="AC840:AC903" si="244">$Q840*V840</f>
        <v>0</v>
      </c>
      <c r="AD840" s="1148">
        <f t="shared" si="236"/>
        <v>1231.6454797011593</v>
      </c>
      <c r="AE840" s="1487">
        <v>0</v>
      </c>
      <c r="AF840" s="1145">
        <f t="shared" ref="AF840:AF903" si="245">AD840-AE840</f>
        <v>1231.6454797011593</v>
      </c>
      <c r="AG840" s="1149">
        <f>IFERROR(VLOOKUP(CONCATENATE($L840,$N840),'Drop List'!$G$23:$K$87,2,FALSE),0)</f>
        <v>0.69340000000000002</v>
      </c>
      <c r="AH840" s="1150">
        <f>IFERROR(VLOOKUP(CONCATENATE($L840,$N840),'Drop List'!$G$23:$K$87,3,FALSE),0)</f>
        <v>0</v>
      </c>
      <c r="AI840" s="1150">
        <f>IFERROR(VLOOKUP(CONCATENATE($L840,$N840),'Drop List'!$G$23:$K$87,4,FALSE),0)</f>
        <v>0</v>
      </c>
      <c r="AJ840" s="1151">
        <f>IFERROR(VLOOKUP(CONCATENATE($L840,$N840),'Drop List'!$G$23:$K$87,5,FALSE),0)</f>
        <v>0.30659999999999998</v>
      </c>
      <c r="AK840" s="1152">
        <f t="shared" ref="AK840:AK903" si="246">IFERROR($AF840*AG840,0)</f>
        <v>854.02297562478384</v>
      </c>
      <c r="AL840" s="1153">
        <f t="shared" ref="AL840:AL903" si="247">IFERROR($AF840*AH840,0)</f>
        <v>0</v>
      </c>
      <c r="AM840" s="1153">
        <f t="shared" ref="AM840:AM903" si="248">IFERROR($AF840*AI840,0)</f>
        <v>0</v>
      </c>
      <c r="AN840" s="1145">
        <f t="shared" ref="AN840:AN903" si="249">IFERROR($AF840*AJ840,0)</f>
        <v>377.62250407637544</v>
      </c>
      <c r="AO840" s="1154">
        <f t="shared" ref="AO840:AO903" si="250">SUM(AK840:AN840)</f>
        <v>1231.6454797011593</v>
      </c>
      <c r="AP840" s="1147">
        <f t="shared" si="237"/>
        <v>0</v>
      </c>
      <c r="AQ840" s="1144">
        <f t="shared" si="238"/>
        <v>0</v>
      </c>
      <c r="AR840" s="1146">
        <f t="shared" si="239"/>
        <v>1231.6454797011593</v>
      </c>
    </row>
    <row r="841" spans="1:44" x14ac:dyDescent="0.2">
      <c r="A841" s="1141" t="str">
        <f t="shared" si="234"/>
        <v>1542</v>
      </c>
      <c r="B841" s="1141" t="str">
        <f>IFERROR(VLOOKUP(A841,'LAC 103'!A:C,3,FALSE),"")</f>
        <v>OP</v>
      </c>
      <c r="C841" s="1478" t="str">
        <f>Info!$B$8</f>
        <v>00100</v>
      </c>
      <c r="D841" s="1474" t="s">
        <v>256</v>
      </c>
      <c r="E841" s="1474" t="s">
        <v>95</v>
      </c>
      <c r="F841" s="1478" t="s">
        <v>392</v>
      </c>
      <c r="G841" s="1478" t="s">
        <v>392</v>
      </c>
      <c r="H841" s="1474" t="s">
        <v>1091</v>
      </c>
      <c r="I841" s="1478" t="s">
        <v>815</v>
      </c>
      <c r="J841" s="1478"/>
      <c r="K841" s="1475" t="s">
        <v>852</v>
      </c>
      <c r="L841" s="1474" t="s">
        <v>591</v>
      </c>
      <c r="M841" s="1476" t="s">
        <v>841</v>
      </c>
      <c r="N841" s="1477" t="s">
        <v>1695</v>
      </c>
      <c r="O841" s="1479">
        <v>487</v>
      </c>
      <c r="P841" s="1479"/>
      <c r="Q841" s="1142">
        <f t="shared" si="235"/>
        <v>487</v>
      </c>
      <c r="R841" s="1143">
        <f>IFERROR(VLOOKUP(CONCATENATE(E841,G841),'LAC 103'!$A$12:$O$95,11,FALSE),0)</f>
        <v>3.2074101033884355</v>
      </c>
      <c r="S841" s="1144">
        <f>IFERROR(VLOOKUP(CONCATENATE($E841,$G841),'LAC 103'!$A$12:$O$95,12,FALSE),0)</f>
        <v>3.99</v>
      </c>
      <c r="T841" s="1144">
        <f>IFERROR(VLOOKUP(CONCATENATE($E841,$G841),'LAC 103'!$A$12:$O$95,13,FALSE),0)</f>
        <v>2.48</v>
      </c>
      <c r="U841" s="1144">
        <f>IFERROR(VLOOKUP(CONCATENATE($E841,$G841),'LAC 103'!$A$12:$O$95,14,FALSE),0)</f>
        <v>0</v>
      </c>
      <c r="V841" s="1144">
        <f>IFERROR(VLOOKUP(CONCATENATE($E841,$G841),'LAC 103'!$A$12:$O$95,15,FALSE),0)</f>
        <v>0</v>
      </c>
      <c r="W841" s="1145" t="str">
        <f>IFERROR(VLOOKUP(CONCATENATE($B841,$N841),'LAC 103'!$AI:$AQ,9,FALSE),"")</f>
        <v>Costs</v>
      </c>
      <c r="X841" s="1146">
        <f t="shared" si="240"/>
        <v>3.2074101033884355</v>
      </c>
      <c r="Y841" s="1143">
        <f t="shared" si="233"/>
        <v>1562.008720350168</v>
      </c>
      <c r="Z841" s="1147">
        <f t="shared" si="241"/>
        <v>1943.13</v>
      </c>
      <c r="AA841" s="1144">
        <f t="shared" si="242"/>
        <v>1207.76</v>
      </c>
      <c r="AB841" s="1144">
        <f t="shared" si="243"/>
        <v>0</v>
      </c>
      <c r="AC841" s="1144">
        <f t="shared" si="244"/>
        <v>0</v>
      </c>
      <c r="AD841" s="1148">
        <f t="shared" si="236"/>
        <v>1562.008720350168</v>
      </c>
      <c r="AE841" s="1487">
        <v>0</v>
      </c>
      <c r="AF841" s="1145">
        <f t="shared" si="245"/>
        <v>1562.008720350168</v>
      </c>
      <c r="AG841" s="1149">
        <f>IFERROR(VLOOKUP(CONCATENATE($L841,$N841),'Drop List'!$G$23:$K$87,2,FALSE),0)</f>
        <v>0.68500000000000005</v>
      </c>
      <c r="AH841" s="1150">
        <f>IFERROR(VLOOKUP(CONCATENATE($L841,$N841),'Drop List'!$G$23:$K$87,3,FALSE),0)</f>
        <v>0</v>
      </c>
      <c r="AI841" s="1150">
        <f>IFERROR(VLOOKUP(CONCATENATE($L841,$N841),'Drop List'!$G$23:$K$87,4,FALSE),0)</f>
        <v>0</v>
      </c>
      <c r="AJ841" s="1151">
        <f>IFERROR(VLOOKUP(CONCATENATE($L841,$N841),'Drop List'!$G$23:$K$87,5,FALSE),0)</f>
        <v>0.31499999999999995</v>
      </c>
      <c r="AK841" s="1152">
        <f t="shared" si="246"/>
        <v>1069.9759734398651</v>
      </c>
      <c r="AL841" s="1153">
        <f t="shared" si="247"/>
        <v>0</v>
      </c>
      <c r="AM841" s="1153">
        <f t="shared" si="248"/>
        <v>0</v>
      </c>
      <c r="AN841" s="1145">
        <f t="shared" si="249"/>
        <v>492.03274691030282</v>
      </c>
      <c r="AO841" s="1154">
        <f t="shared" si="250"/>
        <v>1562.008720350168</v>
      </c>
      <c r="AP841" s="1147">
        <f t="shared" si="237"/>
        <v>0</v>
      </c>
      <c r="AQ841" s="1144">
        <f t="shared" si="238"/>
        <v>0</v>
      </c>
      <c r="AR841" s="1146">
        <f t="shared" si="239"/>
        <v>1562.008720350168</v>
      </c>
    </row>
    <row r="842" spans="1:44" x14ac:dyDescent="0.2">
      <c r="A842" s="1141" t="str">
        <f t="shared" si="234"/>
        <v>1542</v>
      </c>
      <c r="B842" s="1141" t="str">
        <f>IFERROR(VLOOKUP(A842,'LAC 103'!A:C,3,FALSE),"")</f>
        <v>OP</v>
      </c>
      <c r="C842" s="1478" t="str">
        <f>Info!$B$8</f>
        <v>00100</v>
      </c>
      <c r="D842" s="1474" t="s">
        <v>256</v>
      </c>
      <c r="E842" s="1474" t="s">
        <v>95</v>
      </c>
      <c r="F842" s="1478" t="s">
        <v>392</v>
      </c>
      <c r="G842" s="1478" t="s">
        <v>392</v>
      </c>
      <c r="H842" s="1474" t="s">
        <v>1091</v>
      </c>
      <c r="I842" s="1478" t="s">
        <v>815</v>
      </c>
      <c r="J842" s="1478"/>
      <c r="K842" s="1475" t="s">
        <v>852</v>
      </c>
      <c r="L842" s="1474" t="s">
        <v>591</v>
      </c>
      <c r="M842" s="1476" t="s">
        <v>840</v>
      </c>
      <c r="N842" s="1477" t="s">
        <v>1700</v>
      </c>
      <c r="O842" s="1479">
        <v>345</v>
      </c>
      <c r="P842" s="1479"/>
      <c r="Q842" s="1142">
        <f t="shared" si="235"/>
        <v>345</v>
      </c>
      <c r="R842" s="1143">
        <f>IFERROR(VLOOKUP(CONCATENATE(E842,G842),'LAC 103'!$A$12:$O$95,11,FALSE),0)</f>
        <v>3.2074101033884355</v>
      </c>
      <c r="S842" s="1144">
        <f>IFERROR(VLOOKUP(CONCATENATE($E842,$G842),'LAC 103'!$A$12:$O$95,12,FALSE),0)</f>
        <v>3.99</v>
      </c>
      <c r="T842" s="1144">
        <f>IFERROR(VLOOKUP(CONCATENATE($E842,$G842),'LAC 103'!$A$12:$O$95,13,FALSE),0)</f>
        <v>2.48</v>
      </c>
      <c r="U842" s="1144">
        <f>IFERROR(VLOOKUP(CONCATENATE($E842,$G842),'LAC 103'!$A$12:$O$95,14,FALSE),0)</f>
        <v>0</v>
      </c>
      <c r="V842" s="1144">
        <f>IFERROR(VLOOKUP(CONCATENATE($E842,$G842),'LAC 103'!$A$12:$O$95,15,FALSE),0)</f>
        <v>0</v>
      </c>
      <c r="W842" s="1145" t="str">
        <f>IFERROR(VLOOKUP(CONCATENATE($B842,$N842),'LAC 103'!$AI:$AQ,9,FALSE),"")</f>
        <v>P.C.</v>
      </c>
      <c r="X842" s="1146">
        <f t="shared" si="240"/>
        <v>2.48</v>
      </c>
      <c r="Y842" s="1143">
        <f t="shared" ref="Y842:Y905" si="251">$Q842*R842</f>
        <v>1106.5564856690103</v>
      </c>
      <c r="Z842" s="1147">
        <f t="shared" si="241"/>
        <v>1376.5500000000002</v>
      </c>
      <c r="AA842" s="1144">
        <f t="shared" si="242"/>
        <v>855.6</v>
      </c>
      <c r="AB842" s="1144">
        <f t="shared" si="243"/>
        <v>0</v>
      </c>
      <c r="AC842" s="1144">
        <f t="shared" si="244"/>
        <v>0</v>
      </c>
      <c r="AD842" s="1148">
        <f t="shared" si="236"/>
        <v>855.6</v>
      </c>
      <c r="AE842" s="1487">
        <v>0</v>
      </c>
      <c r="AF842" s="1145">
        <f t="shared" si="245"/>
        <v>855.6</v>
      </c>
      <c r="AG842" s="1149">
        <f>IFERROR(VLOOKUP(CONCATENATE($L842,$N842),'Drop List'!$G$23:$K$87,2,FALSE),0)</f>
        <v>0.68500000000000005</v>
      </c>
      <c r="AH842" s="1150">
        <f>IFERROR(VLOOKUP(CONCATENATE($L842,$N842),'Drop List'!$G$23:$K$87,3,FALSE),0)</f>
        <v>0</v>
      </c>
      <c r="AI842" s="1150">
        <f>IFERROR(VLOOKUP(CONCATENATE($L842,$N842),'Drop List'!$G$23:$K$87,4,FALSE),0)</f>
        <v>0</v>
      </c>
      <c r="AJ842" s="1151">
        <f>IFERROR(VLOOKUP(CONCATENATE($L842,$N842),'Drop List'!$G$23:$K$87,5,FALSE),0)</f>
        <v>0.31499999999999995</v>
      </c>
      <c r="AK842" s="1152">
        <f t="shared" si="246"/>
        <v>586.08600000000001</v>
      </c>
      <c r="AL842" s="1153">
        <f t="shared" si="247"/>
        <v>0</v>
      </c>
      <c r="AM842" s="1153">
        <f t="shared" si="248"/>
        <v>0</v>
      </c>
      <c r="AN842" s="1145">
        <f t="shared" si="249"/>
        <v>269.51399999999995</v>
      </c>
      <c r="AO842" s="1154">
        <f t="shared" si="250"/>
        <v>855.59999999999991</v>
      </c>
      <c r="AP842" s="1147">
        <f t="shared" si="237"/>
        <v>0</v>
      </c>
      <c r="AQ842" s="1144">
        <f t="shared" si="238"/>
        <v>0</v>
      </c>
      <c r="AR842" s="1146">
        <f t="shared" si="239"/>
        <v>855.59999999999991</v>
      </c>
    </row>
    <row r="843" spans="1:44" x14ac:dyDescent="0.2">
      <c r="A843" s="1141" t="str">
        <f t="shared" si="234"/>
        <v>1542</v>
      </c>
      <c r="B843" s="1141" t="str">
        <f>IFERROR(VLOOKUP(A843,'LAC 103'!A:C,3,FALSE),"")</f>
        <v>OP</v>
      </c>
      <c r="C843" s="1478" t="str">
        <f>Info!$B$8</f>
        <v>00100</v>
      </c>
      <c r="D843" s="1474" t="s">
        <v>256</v>
      </c>
      <c r="E843" s="1474" t="s">
        <v>95</v>
      </c>
      <c r="F843" s="1478" t="s">
        <v>392</v>
      </c>
      <c r="G843" s="1478" t="s">
        <v>392</v>
      </c>
      <c r="H843" s="1474" t="s">
        <v>1091</v>
      </c>
      <c r="I843" s="1478" t="s">
        <v>815</v>
      </c>
      <c r="J843" s="1478"/>
      <c r="K843" s="1475" t="s">
        <v>848</v>
      </c>
      <c r="L843" s="1474" t="s">
        <v>45</v>
      </c>
      <c r="M843" s="1476" t="s">
        <v>1699</v>
      </c>
      <c r="N843" s="1477" t="s">
        <v>1694</v>
      </c>
      <c r="O843" s="1479">
        <v>40183</v>
      </c>
      <c r="P843" s="1479"/>
      <c r="Q843" s="1142">
        <f t="shared" si="235"/>
        <v>40183</v>
      </c>
      <c r="R843" s="1143">
        <f>IFERROR(VLOOKUP(CONCATENATE(E843,G843),'LAC 103'!$A$12:$O$95,11,FALSE),0)</f>
        <v>3.2074101033884355</v>
      </c>
      <c r="S843" s="1144">
        <f>IFERROR(VLOOKUP(CONCATENATE($E843,$G843),'LAC 103'!$A$12:$O$95,12,FALSE),0)</f>
        <v>3.99</v>
      </c>
      <c r="T843" s="1144">
        <f>IFERROR(VLOOKUP(CONCATENATE($E843,$G843),'LAC 103'!$A$12:$O$95,13,FALSE),0)</f>
        <v>2.48</v>
      </c>
      <c r="U843" s="1144">
        <f>IFERROR(VLOOKUP(CONCATENATE($E843,$G843),'LAC 103'!$A$12:$O$95,14,FALSE),0)</f>
        <v>0</v>
      </c>
      <c r="V843" s="1144">
        <f>IFERROR(VLOOKUP(CONCATENATE($E843,$G843),'LAC 103'!$A$12:$O$95,15,FALSE),0)</f>
        <v>0</v>
      </c>
      <c r="W843" s="1145" t="str">
        <f>IFERROR(VLOOKUP(CONCATENATE($B843,$N843),'LAC 103'!$AI:$AQ,9,FALSE),"")</f>
        <v>Costs</v>
      </c>
      <c r="X843" s="1146">
        <f t="shared" si="240"/>
        <v>3.2074101033884355</v>
      </c>
      <c r="Y843" s="1143">
        <f t="shared" si="251"/>
        <v>128883.3601844575</v>
      </c>
      <c r="Z843" s="1147">
        <f t="shared" si="241"/>
        <v>160330.17000000001</v>
      </c>
      <c r="AA843" s="1144">
        <f t="shared" si="242"/>
        <v>99653.84</v>
      </c>
      <c r="AB843" s="1144">
        <f t="shared" si="243"/>
        <v>0</v>
      </c>
      <c r="AC843" s="1144">
        <f t="shared" si="244"/>
        <v>0</v>
      </c>
      <c r="AD843" s="1148">
        <f t="shared" si="236"/>
        <v>128883.3601844575</v>
      </c>
      <c r="AE843" s="1487">
        <v>0</v>
      </c>
      <c r="AF843" s="1145">
        <f t="shared" si="245"/>
        <v>128883.3601844575</v>
      </c>
      <c r="AG843" s="1149">
        <f>IFERROR(VLOOKUP(CONCATENATE($L843,$N843),'Drop List'!$G$23:$K$87,2,FALSE),0)</f>
        <v>0.69340000000000002</v>
      </c>
      <c r="AH843" s="1150">
        <f>IFERROR(VLOOKUP(CONCATENATE($L843,$N843),'Drop List'!$G$23:$K$87,3,FALSE),0)</f>
        <v>0.30659999999999998</v>
      </c>
      <c r="AI843" s="1150">
        <f>IFERROR(VLOOKUP(CONCATENATE($L843,$N843),'Drop List'!$G$23:$K$87,4,FALSE),0)</f>
        <v>0</v>
      </c>
      <c r="AJ843" s="1151">
        <f>IFERROR(VLOOKUP(CONCATENATE($L843,$N843),'Drop List'!$G$23:$K$87,5,FALSE),0)</f>
        <v>0</v>
      </c>
      <c r="AK843" s="1152">
        <f t="shared" si="246"/>
        <v>89367.721951902829</v>
      </c>
      <c r="AL843" s="1153">
        <f t="shared" si="247"/>
        <v>39515.638232554666</v>
      </c>
      <c r="AM843" s="1153">
        <f t="shared" si="248"/>
        <v>0</v>
      </c>
      <c r="AN843" s="1145">
        <f t="shared" si="249"/>
        <v>0</v>
      </c>
      <c r="AO843" s="1154">
        <f t="shared" si="250"/>
        <v>128883.3601844575</v>
      </c>
      <c r="AP843" s="1147">
        <f t="shared" si="237"/>
        <v>0</v>
      </c>
      <c r="AQ843" s="1144">
        <f t="shared" si="238"/>
        <v>0</v>
      </c>
      <c r="AR843" s="1146">
        <f t="shared" si="239"/>
        <v>128883.3601844575</v>
      </c>
    </row>
    <row r="844" spans="1:44" x14ac:dyDescent="0.2">
      <c r="A844" s="1141" t="str">
        <f t="shared" si="234"/>
        <v>1542</v>
      </c>
      <c r="B844" s="1141" t="str">
        <f>IFERROR(VLOOKUP(A844,'LAC 103'!A:C,3,FALSE),"")</f>
        <v>OP</v>
      </c>
      <c r="C844" s="1478" t="str">
        <f>Info!$B$8</f>
        <v>00100</v>
      </c>
      <c r="D844" s="1474" t="s">
        <v>256</v>
      </c>
      <c r="E844" s="1474" t="s">
        <v>95</v>
      </c>
      <c r="F844" s="1478" t="s">
        <v>392</v>
      </c>
      <c r="G844" s="1478" t="s">
        <v>392</v>
      </c>
      <c r="H844" s="1474" t="s">
        <v>1091</v>
      </c>
      <c r="I844" s="1478" t="s">
        <v>815</v>
      </c>
      <c r="J844" s="1478"/>
      <c r="K844" s="1475" t="s">
        <v>848</v>
      </c>
      <c r="L844" s="1474" t="s">
        <v>45</v>
      </c>
      <c r="M844" s="1476" t="s">
        <v>841</v>
      </c>
      <c r="N844" s="1477" t="s">
        <v>1695</v>
      </c>
      <c r="O844" s="1479">
        <v>22156</v>
      </c>
      <c r="P844" s="1479"/>
      <c r="Q844" s="1142">
        <f t="shared" si="235"/>
        <v>22156</v>
      </c>
      <c r="R844" s="1143">
        <f>IFERROR(VLOOKUP(CONCATENATE(E844,G844),'LAC 103'!$A$12:$O$95,11,FALSE),0)</f>
        <v>3.2074101033884355</v>
      </c>
      <c r="S844" s="1144">
        <f>IFERROR(VLOOKUP(CONCATENATE($E844,$G844),'LAC 103'!$A$12:$O$95,12,FALSE),0)</f>
        <v>3.99</v>
      </c>
      <c r="T844" s="1144">
        <f>IFERROR(VLOOKUP(CONCATENATE($E844,$G844),'LAC 103'!$A$12:$O$95,13,FALSE),0)</f>
        <v>2.48</v>
      </c>
      <c r="U844" s="1144">
        <f>IFERROR(VLOOKUP(CONCATENATE($E844,$G844),'LAC 103'!$A$12:$O$95,14,FALSE),0)</f>
        <v>0</v>
      </c>
      <c r="V844" s="1144">
        <f>IFERROR(VLOOKUP(CONCATENATE($E844,$G844),'LAC 103'!$A$12:$O$95,15,FALSE),0)</f>
        <v>0</v>
      </c>
      <c r="W844" s="1145" t="str">
        <f>IFERROR(VLOOKUP(CONCATENATE($B844,$N844),'LAC 103'!$AI:$AQ,9,FALSE),"")</f>
        <v>Costs</v>
      </c>
      <c r="X844" s="1146">
        <f t="shared" si="240"/>
        <v>3.2074101033884355</v>
      </c>
      <c r="Y844" s="1143">
        <f t="shared" si="251"/>
        <v>71063.37825067417</v>
      </c>
      <c r="Z844" s="1147">
        <f t="shared" si="241"/>
        <v>88402.44</v>
      </c>
      <c r="AA844" s="1144">
        <f t="shared" si="242"/>
        <v>54946.879999999997</v>
      </c>
      <c r="AB844" s="1144">
        <f t="shared" si="243"/>
        <v>0</v>
      </c>
      <c r="AC844" s="1144">
        <f t="shared" si="244"/>
        <v>0</v>
      </c>
      <c r="AD844" s="1148">
        <f t="shared" si="236"/>
        <v>71063.37825067417</v>
      </c>
      <c r="AE844" s="1487">
        <v>0</v>
      </c>
      <c r="AF844" s="1145">
        <f t="shared" si="245"/>
        <v>71063.37825067417</v>
      </c>
      <c r="AG844" s="1149">
        <f>IFERROR(VLOOKUP(CONCATENATE($L844,$N844),'Drop List'!$G$23:$K$87,2,FALSE),0)</f>
        <v>0.68500000000000005</v>
      </c>
      <c r="AH844" s="1150">
        <f>IFERROR(VLOOKUP(CONCATENATE($L844,$N844),'Drop List'!$G$23:$K$87,3,FALSE),0)</f>
        <v>0.31499999999999995</v>
      </c>
      <c r="AI844" s="1150">
        <f>IFERROR(VLOOKUP(CONCATENATE($L844,$N844),'Drop List'!$G$23:$K$87,4,FALSE),0)</f>
        <v>0</v>
      </c>
      <c r="AJ844" s="1151">
        <f>IFERROR(VLOOKUP(CONCATENATE($L844,$N844),'Drop List'!$G$23:$K$87,5,FALSE),0)</f>
        <v>0</v>
      </c>
      <c r="AK844" s="1152">
        <f t="shared" si="246"/>
        <v>48678.414101711809</v>
      </c>
      <c r="AL844" s="1153">
        <f t="shared" si="247"/>
        <v>22384.964148962361</v>
      </c>
      <c r="AM844" s="1153">
        <f t="shared" si="248"/>
        <v>0</v>
      </c>
      <c r="AN844" s="1145">
        <f t="shared" si="249"/>
        <v>0</v>
      </c>
      <c r="AO844" s="1154">
        <f t="shared" si="250"/>
        <v>71063.37825067417</v>
      </c>
      <c r="AP844" s="1147">
        <f t="shared" si="237"/>
        <v>0</v>
      </c>
      <c r="AQ844" s="1144">
        <f t="shared" si="238"/>
        <v>0</v>
      </c>
      <c r="AR844" s="1146">
        <f t="shared" si="239"/>
        <v>71063.37825067417</v>
      </c>
    </row>
    <row r="845" spans="1:44" x14ac:dyDescent="0.2">
      <c r="A845" s="1141" t="str">
        <f t="shared" si="234"/>
        <v>1542</v>
      </c>
      <c r="B845" s="1141" t="str">
        <f>IFERROR(VLOOKUP(A845,'LAC 103'!A:C,3,FALSE),"")</f>
        <v>OP</v>
      </c>
      <c r="C845" s="1478" t="str">
        <f>Info!$B$8</f>
        <v>00100</v>
      </c>
      <c r="D845" s="1474" t="s">
        <v>256</v>
      </c>
      <c r="E845" s="1474" t="s">
        <v>95</v>
      </c>
      <c r="F845" s="1478" t="s">
        <v>392</v>
      </c>
      <c r="G845" s="1478" t="s">
        <v>392</v>
      </c>
      <c r="H845" s="1474" t="s">
        <v>1091</v>
      </c>
      <c r="I845" s="1478" t="s">
        <v>815</v>
      </c>
      <c r="J845" s="1478"/>
      <c r="K845" s="1475" t="s">
        <v>848</v>
      </c>
      <c r="L845" s="1474" t="s">
        <v>45</v>
      </c>
      <c r="M845" s="1476" t="s">
        <v>840</v>
      </c>
      <c r="N845" s="1477" t="s">
        <v>1700</v>
      </c>
      <c r="O845" s="1479">
        <v>23254</v>
      </c>
      <c r="P845" s="1479"/>
      <c r="Q845" s="1142">
        <f t="shared" si="235"/>
        <v>23254</v>
      </c>
      <c r="R845" s="1143">
        <f>IFERROR(VLOOKUP(CONCATENATE(E845,G845),'LAC 103'!$A$12:$O$95,11,FALSE),0)</f>
        <v>3.2074101033884355</v>
      </c>
      <c r="S845" s="1144">
        <f>IFERROR(VLOOKUP(CONCATENATE($E845,$G845),'LAC 103'!$A$12:$O$95,12,FALSE),0)</f>
        <v>3.99</v>
      </c>
      <c r="T845" s="1144">
        <f>IFERROR(VLOOKUP(CONCATENATE($E845,$G845),'LAC 103'!$A$12:$O$95,13,FALSE),0)</f>
        <v>2.48</v>
      </c>
      <c r="U845" s="1144">
        <f>IFERROR(VLOOKUP(CONCATENATE($E845,$G845),'LAC 103'!$A$12:$O$95,14,FALSE),0)</f>
        <v>0</v>
      </c>
      <c r="V845" s="1144">
        <f>IFERROR(VLOOKUP(CONCATENATE($E845,$G845),'LAC 103'!$A$12:$O$95,15,FALSE),0)</f>
        <v>0</v>
      </c>
      <c r="W845" s="1145" t="str">
        <f>IFERROR(VLOOKUP(CONCATENATE($B845,$N845),'LAC 103'!$AI:$AQ,9,FALSE),"")</f>
        <v>P.C.</v>
      </c>
      <c r="X845" s="1146">
        <f t="shared" si="240"/>
        <v>2.48</v>
      </c>
      <c r="Y845" s="1143">
        <f t="shared" si="251"/>
        <v>74585.114544194672</v>
      </c>
      <c r="Z845" s="1147">
        <f t="shared" si="241"/>
        <v>92783.46</v>
      </c>
      <c r="AA845" s="1144">
        <f t="shared" si="242"/>
        <v>57669.919999999998</v>
      </c>
      <c r="AB845" s="1144">
        <f t="shared" si="243"/>
        <v>0</v>
      </c>
      <c r="AC845" s="1144">
        <f t="shared" si="244"/>
        <v>0</v>
      </c>
      <c r="AD845" s="1148">
        <f t="shared" si="236"/>
        <v>57669.919999999998</v>
      </c>
      <c r="AE845" s="1487">
        <v>0</v>
      </c>
      <c r="AF845" s="1145">
        <f t="shared" si="245"/>
        <v>57669.919999999998</v>
      </c>
      <c r="AG845" s="1149">
        <f>IFERROR(VLOOKUP(CONCATENATE($L845,$N845),'Drop List'!$G$23:$K$87,2,FALSE),0)</f>
        <v>0.68500000000000005</v>
      </c>
      <c r="AH845" s="1150">
        <f>IFERROR(VLOOKUP(CONCATENATE($L845,$N845),'Drop List'!$G$23:$K$87,3,FALSE),0)</f>
        <v>0.31499999999999995</v>
      </c>
      <c r="AI845" s="1150">
        <f>IFERROR(VLOOKUP(CONCATENATE($L845,$N845),'Drop List'!$G$23:$K$87,4,FALSE),0)</f>
        <v>0</v>
      </c>
      <c r="AJ845" s="1151">
        <f>IFERROR(VLOOKUP(CONCATENATE($L845,$N845),'Drop List'!$G$23:$K$87,5,FALSE),0)</f>
        <v>0</v>
      </c>
      <c r="AK845" s="1152">
        <f t="shared" si="246"/>
        <v>39503.895199999999</v>
      </c>
      <c r="AL845" s="1153">
        <f t="shared" si="247"/>
        <v>18166.024799999996</v>
      </c>
      <c r="AM845" s="1153">
        <f t="shared" si="248"/>
        <v>0</v>
      </c>
      <c r="AN845" s="1145">
        <f t="shared" si="249"/>
        <v>0</v>
      </c>
      <c r="AO845" s="1154">
        <f t="shared" si="250"/>
        <v>57669.919999999998</v>
      </c>
      <c r="AP845" s="1147">
        <f t="shared" si="237"/>
        <v>0</v>
      </c>
      <c r="AQ845" s="1144">
        <f t="shared" si="238"/>
        <v>0</v>
      </c>
      <c r="AR845" s="1146">
        <f t="shared" si="239"/>
        <v>57669.919999999998</v>
      </c>
    </row>
    <row r="846" spans="1:44" x14ac:dyDescent="0.2">
      <c r="A846" s="1141" t="str">
        <f t="shared" si="234"/>
        <v>1542</v>
      </c>
      <c r="B846" s="1141" t="str">
        <f>IFERROR(VLOOKUP(A846,'LAC 103'!A:C,3,FALSE),"")</f>
        <v>OP</v>
      </c>
      <c r="C846" s="1478" t="str">
        <f>Info!$B$8</f>
        <v>00100</v>
      </c>
      <c r="D846" s="1474" t="s">
        <v>256</v>
      </c>
      <c r="E846" s="1474" t="s">
        <v>95</v>
      </c>
      <c r="F846" s="1478" t="s">
        <v>392</v>
      </c>
      <c r="G846" s="1478" t="s">
        <v>392</v>
      </c>
      <c r="H846" s="1474" t="s">
        <v>1091</v>
      </c>
      <c r="I846" s="1478" t="s">
        <v>815</v>
      </c>
      <c r="J846" s="1478"/>
      <c r="K846" s="1475" t="s">
        <v>848</v>
      </c>
      <c r="L846" s="1474" t="s">
        <v>45</v>
      </c>
      <c r="M846" s="1476" t="s">
        <v>842</v>
      </c>
      <c r="N846" s="1477" t="s">
        <v>1692</v>
      </c>
      <c r="O846" s="1479">
        <v>43390</v>
      </c>
      <c r="P846" s="1479"/>
      <c r="Q846" s="1142">
        <f t="shared" si="235"/>
        <v>43390</v>
      </c>
      <c r="R846" s="1143">
        <f>IFERROR(VLOOKUP(CONCATENATE(E846,G846),'LAC 103'!$A$12:$O$95,11,FALSE),0)</f>
        <v>3.2074101033884355</v>
      </c>
      <c r="S846" s="1144">
        <f>IFERROR(VLOOKUP(CONCATENATE($E846,$G846),'LAC 103'!$A$12:$O$95,12,FALSE),0)</f>
        <v>3.99</v>
      </c>
      <c r="T846" s="1144">
        <f>IFERROR(VLOOKUP(CONCATENATE($E846,$G846),'LAC 103'!$A$12:$O$95,13,FALSE),0)</f>
        <v>2.48</v>
      </c>
      <c r="U846" s="1144">
        <f>IFERROR(VLOOKUP(CONCATENATE($E846,$G846),'LAC 103'!$A$12:$O$95,14,FALSE),0)</f>
        <v>0</v>
      </c>
      <c r="V846" s="1144">
        <f>IFERROR(VLOOKUP(CONCATENATE($E846,$G846),'LAC 103'!$A$12:$O$95,15,FALSE),0)</f>
        <v>0</v>
      </c>
      <c r="W846" s="1145" t="str">
        <f>IFERROR(VLOOKUP(CONCATENATE($B846,$N846),'LAC 103'!$AI:$AQ,9,FALSE),"")</f>
        <v>Costs</v>
      </c>
      <c r="X846" s="1146">
        <f t="shared" si="240"/>
        <v>3.2074101033884355</v>
      </c>
      <c r="Y846" s="1143">
        <f t="shared" si="251"/>
        <v>139169.52438602422</v>
      </c>
      <c r="Z846" s="1147">
        <f t="shared" si="241"/>
        <v>173126.1</v>
      </c>
      <c r="AA846" s="1144">
        <f t="shared" si="242"/>
        <v>107607.2</v>
      </c>
      <c r="AB846" s="1144">
        <f t="shared" si="243"/>
        <v>0</v>
      </c>
      <c r="AC846" s="1144">
        <f t="shared" si="244"/>
        <v>0</v>
      </c>
      <c r="AD846" s="1148">
        <f t="shared" si="236"/>
        <v>139169.52438602422</v>
      </c>
      <c r="AE846" s="1487">
        <v>0</v>
      </c>
      <c r="AF846" s="1145">
        <f t="shared" si="245"/>
        <v>139169.52438602422</v>
      </c>
      <c r="AG846" s="1149">
        <f>IFERROR(VLOOKUP(CONCATENATE($L846,$N846),'Drop List'!$G$23:$K$87,2,FALSE),0)</f>
        <v>0.69340000000000002</v>
      </c>
      <c r="AH846" s="1150">
        <f>IFERROR(VLOOKUP(CONCATENATE($L846,$N846),'Drop List'!$G$23:$K$87,3,FALSE),0)</f>
        <v>0.30659999999999998</v>
      </c>
      <c r="AI846" s="1150">
        <f>IFERROR(VLOOKUP(CONCATENATE($L846,$N846),'Drop List'!$G$23:$K$87,4,FALSE),0)</f>
        <v>0</v>
      </c>
      <c r="AJ846" s="1151">
        <f>IFERROR(VLOOKUP(CONCATENATE($L846,$N846),'Drop List'!$G$23:$K$87,5,FALSE),0)</f>
        <v>0</v>
      </c>
      <c r="AK846" s="1152">
        <f t="shared" si="246"/>
        <v>96500.148209269202</v>
      </c>
      <c r="AL846" s="1153">
        <f t="shared" si="247"/>
        <v>42669.376176755024</v>
      </c>
      <c r="AM846" s="1153">
        <f t="shared" si="248"/>
        <v>0</v>
      </c>
      <c r="AN846" s="1145">
        <f t="shared" si="249"/>
        <v>0</v>
      </c>
      <c r="AO846" s="1154">
        <f t="shared" si="250"/>
        <v>139169.52438602422</v>
      </c>
      <c r="AP846" s="1147">
        <f t="shared" si="237"/>
        <v>0</v>
      </c>
      <c r="AQ846" s="1144">
        <f t="shared" si="238"/>
        <v>0</v>
      </c>
      <c r="AR846" s="1146">
        <f t="shared" si="239"/>
        <v>139169.52438602422</v>
      </c>
    </row>
    <row r="847" spans="1:44" x14ac:dyDescent="0.2">
      <c r="A847" s="1141" t="str">
        <f t="shared" si="234"/>
        <v>1542</v>
      </c>
      <c r="B847" s="1141" t="str">
        <f>IFERROR(VLOOKUP(A847,'LAC 103'!A:C,3,FALSE),"")</f>
        <v>OP</v>
      </c>
      <c r="C847" s="1478" t="str">
        <f>Info!$B$8</f>
        <v>00100</v>
      </c>
      <c r="D847" s="1474" t="s">
        <v>256</v>
      </c>
      <c r="E847" s="1474" t="s">
        <v>95</v>
      </c>
      <c r="F847" s="1478" t="s">
        <v>392</v>
      </c>
      <c r="G847" s="1478" t="s">
        <v>392</v>
      </c>
      <c r="H847" s="1474" t="s">
        <v>1091</v>
      </c>
      <c r="I847" s="1478" t="s">
        <v>815</v>
      </c>
      <c r="J847" s="1478"/>
      <c r="K847" s="1475" t="s">
        <v>848</v>
      </c>
      <c r="L847" s="1474" t="s">
        <v>45</v>
      </c>
      <c r="M847" s="1476" t="s">
        <v>1698</v>
      </c>
      <c r="N847" s="1477" t="s">
        <v>1693</v>
      </c>
      <c r="O847" s="1479">
        <v>43529</v>
      </c>
      <c r="P847" s="1479"/>
      <c r="Q847" s="1142">
        <f t="shared" si="235"/>
        <v>43529</v>
      </c>
      <c r="R847" s="1143">
        <f>IFERROR(VLOOKUP(CONCATENATE(E847,G847),'LAC 103'!$A$12:$O$95,11,FALSE),0)</f>
        <v>3.2074101033884355</v>
      </c>
      <c r="S847" s="1144">
        <f>IFERROR(VLOOKUP(CONCATENATE($E847,$G847),'LAC 103'!$A$12:$O$95,12,FALSE),0)</f>
        <v>3.99</v>
      </c>
      <c r="T847" s="1144">
        <f>IFERROR(VLOOKUP(CONCATENATE($E847,$G847),'LAC 103'!$A$12:$O$95,13,FALSE),0)</f>
        <v>2.48</v>
      </c>
      <c r="U847" s="1144">
        <f>IFERROR(VLOOKUP(CONCATENATE($E847,$G847),'LAC 103'!$A$12:$O$95,14,FALSE),0)</f>
        <v>0</v>
      </c>
      <c r="V847" s="1144">
        <f>IFERROR(VLOOKUP(CONCATENATE($E847,$G847),'LAC 103'!$A$12:$O$95,15,FALSE),0)</f>
        <v>0</v>
      </c>
      <c r="W847" s="1145" t="str">
        <f>IFERROR(VLOOKUP(CONCATENATE($B847,$N847),'LAC 103'!$AI:$AQ,9,FALSE),"")</f>
        <v>Costs</v>
      </c>
      <c r="X847" s="1146">
        <f t="shared" si="240"/>
        <v>3.2074101033884355</v>
      </c>
      <c r="Y847" s="1143">
        <f t="shared" si="251"/>
        <v>139615.35439039519</v>
      </c>
      <c r="Z847" s="1147">
        <f t="shared" si="241"/>
        <v>173680.71000000002</v>
      </c>
      <c r="AA847" s="1144">
        <f t="shared" si="242"/>
        <v>107951.92</v>
      </c>
      <c r="AB847" s="1144">
        <f t="shared" si="243"/>
        <v>0</v>
      </c>
      <c r="AC847" s="1144">
        <f t="shared" si="244"/>
        <v>0</v>
      </c>
      <c r="AD847" s="1148">
        <f t="shared" si="236"/>
        <v>139615.35439039519</v>
      </c>
      <c r="AE847" s="1487">
        <v>0</v>
      </c>
      <c r="AF847" s="1145">
        <f t="shared" si="245"/>
        <v>139615.35439039519</v>
      </c>
      <c r="AG847" s="1149">
        <f>IFERROR(VLOOKUP(CONCATENATE($L847,$N847),'Drop List'!$G$23:$K$87,2,FALSE),0)</f>
        <v>0.69340000000000002</v>
      </c>
      <c r="AH847" s="1150">
        <f>IFERROR(VLOOKUP(CONCATENATE($L847,$N847),'Drop List'!$G$23:$K$87,3,FALSE),0)</f>
        <v>0.30659999999999998</v>
      </c>
      <c r="AI847" s="1150">
        <f>IFERROR(VLOOKUP(CONCATENATE($L847,$N847),'Drop List'!$G$23:$K$87,4,FALSE),0)</f>
        <v>0</v>
      </c>
      <c r="AJ847" s="1151">
        <f>IFERROR(VLOOKUP(CONCATENATE($L847,$N847),'Drop List'!$G$23:$K$87,5,FALSE),0)</f>
        <v>0</v>
      </c>
      <c r="AK847" s="1152">
        <f t="shared" si="246"/>
        <v>96809.286734300025</v>
      </c>
      <c r="AL847" s="1153">
        <f t="shared" si="247"/>
        <v>42806.067656095162</v>
      </c>
      <c r="AM847" s="1153">
        <f t="shared" si="248"/>
        <v>0</v>
      </c>
      <c r="AN847" s="1145">
        <f t="shared" si="249"/>
        <v>0</v>
      </c>
      <c r="AO847" s="1154">
        <f t="shared" si="250"/>
        <v>139615.35439039519</v>
      </c>
      <c r="AP847" s="1147">
        <f t="shared" si="237"/>
        <v>0</v>
      </c>
      <c r="AQ847" s="1144">
        <f t="shared" si="238"/>
        <v>0</v>
      </c>
      <c r="AR847" s="1146">
        <f t="shared" si="239"/>
        <v>139615.35439039519</v>
      </c>
    </row>
    <row r="848" spans="1:44" x14ac:dyDescent="0.2">
      <c r="A848" s="1141" t="str">
        <f t="shared" si="234"/>
        <v>1542</v>
      </c>
      <c r="B848" s="1141" t="str">
        <f>IFERROR(VLOOKUP(A848,'LAC 103'!A:C,3,FALSE),"")</f>
        <v>OP</v>
      </c>
      <c r="C848" s="1478" t="str">
        <f>Info!$B$8</f>
        <v>00100</v>
      </c>
      <c r="D848" s="1474" t="s">
        <v>256</v>
      </c>
      <c r="E848" s="1474" t="s">
        <v>95</v>
      </c>
      <c r="F848" s="1478" t="s">
        <v>392</v>
      </c>
      <c r="G848" s="1478" t="s">
        <v>392</v>
      </c>
      <c r="H848" s="1474" t="s">
        <v>1091</v>
      </c>
      <c r="I848" s="1478" t="s">
        <v>815</v>
      </c>
      <c r="J848" s="1478"/>
      <c r="K848" s="1475" t="s">
        <v>849</v>
      </c>
      <c r="L848" s="1474" t="s">
        <v>77</v>
      </c>
      <c r="M848" s="1476" t="s">
        <v>1699</v>
      </c>
      <c r="N848" s="1477" t="s">
        <v>1694</v>
      </c>
      <c r="O848" s="1479">
        <v>241505</v>
      </c>
      <c r="P848" s="1479"/>
      <c r="Q848" s="1142">
        <f t="shared" si="235"/>
        <v>241505</v>
      </c>
      <c r="R848" s="1143">
        <f>IFERROR(VLOOKUP(CONCATENATE(E848,G848),'LAC 103'!$A$12:$O$95,11,FALSE),0)</f>
        <v>3.2074101033884355</v>
      </c>
      <c r="S848" s="1144">
        <f>IFERROR(VLOOKUP(CONCATENATE($E848,$G848),'LAC 103'!$A$12:$O$95,12,FALSE),0)</f>
        <v>3.99</v>
      </c>
      <c r="T848" s="1144">
        <f>IFERROR(VLOOKUP(CONCATENATE($E848,$G848),'LAC 103'!$A$12:$O$95,13,FALSE),0)</f>
        <v>2.48</v>
      </c>
      <c r="U848" s="1144">
        <f>IFERROR(VLOOKUP(CONCATENATE($E848,$G848),'LAC 103'!$A$12:$O$95,14,FALSE),0)</f>
        <v>0</v>
      </c>
      <c r="V848" s="1144">
        <f>IFERROR(VLOOKUP(CONCATENATE($E848,$G848),'LAC 103'!$A$12:$O$95,15,FALSE),0)</f>
        <v>0</v>
      </c>
      <c r="W848" s="1145" t="str">
        <f>IFERROR(VLOOKUP(CONCATENATE($B848,$N848),'LAC 103'!$AI:$AQ,9,FALSE),"")</f>
        <v>Costs</v>
      </c>
      <c r="X848" s="1146">
        <f t="shared" si="240"/>
        <v>3.2074101033884355</v>
      </c>
      <c r="Y848" s="1143">
        <f t="shared" si="251"/>
        <v>774605.57701882406</v>
      </c>
      <c r="Z848" s="1147">
        <f t="shared" si="241"/>
        <v>963604.95000000007</v>
      </c>
      <c r="AA848" s="1144">
        <f t="shared" si="242"/>
        <v>598932.4</v>
      </c>
      <c r="AB848" s="1144">
        <f t="shared" si="243"/>
        <v>0</v>
      </c>
      <c r="AC848" s="1144">
        <f t="shared" si="244"/>
        <v>0</v>
      </c>
      <c r="AD848" s="1148">
        <f t="shared" si="236"/>
        <v>774605.57701882406</v>
      </c>
      <c r="AE848" s="1487">
        <v>0</v>
      </c>
      <c r="AF848" s="1145">
        <f t="shared" si="245"/>
        <v>774605.57701882406</v>
      </c>
      <c r="AG848" s="1149">
        <f>IFERROR(VLOOKUP(CONCATENATE($L848,$N848),'Drop List'!$G$23:$K$87,2,FALSE),0)</f>
        <v>0.9</v>
      </c>
      <c r="AH848" s="1150">
        <f>IFERROR(VLOOKUP(CONCATENATE($L848,$N848),'Drop List'!$G$23:$K$87,3,FALSE),0)</f>
        <v>0</v>
      </c>
      <c r="AI848" s="1150">
        <f>IFERROR(VLOOKUP(CONCATENATE($L848,$N848),'Drop List'!$G$23:$K$87,4,FALSE),0)</f>
        <v>0.1</v>
      </c>
      <c r="AJ848" s="1151">
        <f>IFERROR(VLOOKUP(CONCATENATE($L848,$N848),'Drop List'!$G$23:$K$87,5,FALSE),0)</f>
        <v>0</v>
      </c>
      <c r="AK848" s="1152">
        <f t="shared" si="246"/>
        <v>697145.01931694162</v>
      </c>
      <c r="AL848" s="1153">
        <f t="shared" si="247"/>
        <v>0</v>
      </c>
      <c r="AM848" s="1153">
        <f t="shared" si="248"/>
        <v>77460.557701882411</v>
      </c>
      <c r="AN848" s="1145">
        <f t="shared" si="249"/>
        <v>0</v>
      </c>
      <c r="AO848" s="1154">
        <f t="shared" si="250"/>
        <v>774605.57701882406</v>
      </c>
      <c r="AP848" s="1147">
        <f t="shared" si="237"/>
        <v>0</v>
      </c>
      <c r="AQ848" s="1144">
        <f t="shared" si="238"/>
        <v>0</v>
      </c>
      <c r="AR848" s="1146">
        <f t="shared" si="239"/>
        <v>774605.57701882406</v>
      </c>
    </row>
    <row r="849" spans="1:44" x14ac:dyDescent="0.2">
      <c r="A849" s="1141" t="str">
        <f t="shared" si="234"/>
        <v>1542</v>
      </c>
      <c r="B849" s="1141" t="str">
        <f>IFERROR(VLOOKUP(A849,'LAC 103'!A:C,3,FALSE),"")</f>
        <v>OP</v>
      </c>
      <c r="C849" s="1478" t="str">
        <f>Info!$B$8</f>
        <v>00100</v>
      </c>
      <c r="D849" s="1474" t="s">
        <v>256</v>
      </c>
      <c r="E849" s="1474" t="s">
        <v>95</v>
      </c>
      <c r="F849" s="1478" t="s">
        <v>392</v>
      </c>
      <c r="G849" s="1478" t="s">
        <v>392</v>
      </c>
      <c r="H849" s="1474" t="s">
        <v>1091</v>
      </c>
      <c r="I849" s="1478" t="s">
        <v>815</v>
      </c>
      <c r="J849" s="1478"/>
      <c r="K849" s="1475" t="s">
        <v>849</v>
      </c>
      <c r="L849" s="1474" t="s">
        <v>77</v>
      </c>
      <c r="M849" s="1476" t="s">
        <v>841</v>
      </c>
      <c r="N849" s="1477" t="s">
        <v>1695</v>
      </c>
      <c r="O849" s="1479">
        <v>99508</v>
      </c>
      <c r="P849" s="1479"/>
      <c r="Q849" s="1142">
        <f t="shared" si="235"/>
        <v>99508</v>
      </c>
      <c r="R849" s="1143">
        <f>IFERROR(VLOOKUP(CONCATENATE(E849,G849),'LAC 103'!$A$12:$O$95,11,FALSE),0)</f>
        <v>3.2074101033884355</v>
      </c>
      <c r="S849" s="1144">
        <f>IFERROR(VLOOKUP(CONCATENATE($E849,$G849),'LAC 103'!$A$12:$O$95,12,FALSE),0)</f>
        <v>3.99</v>
      </c>
      <c r="T849" s="1144">
        <f>IFERROR(VLOOKUP(CONCATENATE($E849,$G849),'LAC 103'!$A$12:$O$95,13,FALSE),0)</f>
        <v>2.48</v>
      </c>
      <c r="U849" s="1144">
        <f>IFERROR(VLOOKUP(CONCATENATE($E849,$G849),'LAC 103'!$A$12:$O$95,14,FALSE),0)</f>
        <v>0</v>
      </c>
      <c r="V849" s="1144">
        <f>IFERROR(VLOOKUP(CONCATENATE($E849,$G849),'LAC 103'!$A$12:$O$95,15,FALSE),0)</f>
        <v>0</v>
      </c>
      <c r="W849" s="1145" t="str">
        <f>IFERROR(VLOOKUP(CONCATENATE($B849,$N849),'LAC 103'!$AI:$AQ,9,FALSE),"")</f>
        <v>Costs</v>
      </c>
      <c r="X849" s="1146">
        <f t="shared" si="240"/>
        <v>3.2074101033884355</v>
      </c>
      <c r="Y849" s="1143">
        <f t="shared" si="251"/>
        <v>319162.96456797642</v>
      </c>
      <c r="Z849" s="1147">
        <f t="shared" si="241"/>
        <v>397036.92000000004</v>
      </c>
      <c r="AA849" s="1144">
        <f t="shared" si="242"/>
        <v>246779.84</v>
      </c>
      <c r="AB849" s="1144">
        <f t="shared" si="243"/>
        <v>0</v>
      </c>
      <c r="AC849" s="1144">
        <f t="shared" si="244"/>
        <v>0</v>
      </c>
      <c r="AD849" s="1148">
        <f t="shared" si="236"/>
        <v>319162.96456797642</v>
      </c>
      <c r="AE849" s="1487">
        <v>0</v>
      </c>
      <c r="AF849" s="1145">
        <f t="shared" si="245"/>
        <v>319162.96456797642</v>
      </c>
      <c r="AG849" s="1149">
        <f>IFERROR(VLOOKUP(CONCATENATE($L849,$N849),'Drop List'!$G$23:$K$87,2,FALSE),0)</f>
        <v>0.9</v>
      </c>
      <c r="AH849" s="1150">
        <f>IFERROR(VLOOKUP(CONCATENATE($L849,$N849),'Drop List'!$G$23:$K$87,3,FALSE),0)</f>
        <v>0</v>
      </c>
      <c r="AI849" s="1150">
        <f>IFERROR(VLOOKUP(CONCATENATE($L849,$N849),'Drop List'!$G$23:$K$87,4,FALSE),0)</f>
        <v>0.1</v>
      </c>
      <c r="AJ849" s="1151">
        <f>IFERROR(VLOOKUP(CONCATENATE($L849,$N849),'Drop List'!$G$23:$K$87,5,FALSE),0)</f>
        <v>0</v>
      </c>
      <c r="AK849" s="1152">
        <f t="shared" si="246"/>
        <v>287246.66811117879</v>
      </c>
      <c r="AL849" s="1153">
        <f t="shared" si="247"/>
        <v>0</v>
      </c>
      <c r="AM849" s="1153">
        <f t="shared" si="248"/>
        <v>31916.296456797645</v>
      </c>
      <c r="AN849" s="1145">
        <f t="shared" si="249"/>
        <v>0</v>
      </c>
      <c r="AO849" s="1154">
        <f t="shared" si="250"/>
        <v>319162.96456797642</v>
      </c>
      <c r="AP849" s="1147">
        <f t="shared" si="237"/>
        <v>0</v>
      </c>
      <c r="AQ849" s="1144">
        <f t="shared" si="238"/>
        <v>0</v>
      </c>
      <c r="AR849" s="1146">
        <f t="shared" si="239"/>
        <v>319162.96456797642</v>
      </c>
    </row>
    <row r="850" spans="1:44" x14ac:dyDescent="0.2">
      <c r="A850" s="1141" t="str">
        <f t="shared" si="234"/>
        <v>1542</v>
      </c>
      <c r="B850" s="1141" t="str">
        <f>IFERROR(VLOOKUP(A850,'LAC 103'!A:C,3,FALSE),"")</f>
        <v>OP</v>
      </c>
      <c r="C850" s="1478" t="str">
        <f>Info!$B$8</f>
        <v>00100</v>
      </c>
      <c r="D850" s="1474" t="s">
        <v>256</v>
      </c>
      <c r="E850" s="1474" t="s">
        <v>95</v>
      </c>
      <c r="F850" s="1478" t="s">
        <v>392</v>
      </c>
      <c r="G850" s="1478" t="s">
        <v>392</v>
      </c>
      <c r="H850" s="1474" t="s">
        <v>1091</v>
      </c>
      <c r="I850" s="1478" t="s">
        <v>815</v>
      </c>
      <c r="J850" s="1478"/>
      <c r="K850" s="1475" t="s">
        <v>849</v>
      </c>
      <c r="L850" s="1474" t="s">
        <v>77</v>
      </c>
      <c r="M850" s="1476" t="s">
        <v>840</v>
      </c>
      <c r="N850" s="1477" t="s">
        <v>1700</v>
      </c>
      <c r="O850" s="1479">
        <v>126236</v>
      </c>
      <c r="P850" s="1479"/>
      <c r="Q850" s="1142">
        <f t="shared" si="235"/>
        <v>126236</v>
      </c>
      <c r="R850" s="1143">
        <f>IFERROR(VLOOKUP(CONCATENATE(E850,G850),'LAC 103'!$A$12:$O$95,11,FALSE),0)</f>
        <v>3.2074101033884355</v>
      </c>
      <c r="S850" s="1144">
        <f>IFERROR(VLOOKUP(CONCATENATE($E850,$G850),'LAC 103'!$A$12:$O$95,12,FALSE),0)</f>
        <v>3.99</v>
      </c>
      <c r="T850" s="1144">
        <f>IFERROR(VLOOKUP(CONCATENATE($E850,$G850),'LAC 103'!$A$12:$O$95,13,FALSE),0)</f>
        <v>2.48</v>
      </c>
      <c r="U850" s="1144">
        <f>IFERROR(VLOOKUP(CONCATENATE($E850,$G850),'LAC 103'!$A$12:$O$95,14,FALSE),0)</f>
        <v>0</v>
      </c>
      <c r="V850" s="1144">
        <f>IFERROR(VLOOKUP(CONCATENATE($E850,$G850),'LAC 103'!$A$12:$O$95,15,FALSE),0)</f>
        <v>0</v>
      </c>
      <c r="W850" s="1145" t="str">
        <f>IFERROR(VLOOKUP(CONCATENATE($B850,$N850),'LAC 103'!$AI:$AQ,9,FALSE),"")</f>
        <v>P.C.</v>
      </c>
      <c r="X850" s="1146">
        <f t="shared" si="240"/>
        <v>2.48</v>
      </c>
      <c r="Y850" s="1143">
        <f t="shared" si="251"/>
        <v>404890.62181134254</v>
      </c>
      <c r="Z850" s="1147">
        <f t="shared" si="241"/>
        <v>503681.64</v>
      </c>
      <c r="AA850" s="1144">
        <f t="shared" si="242"/>
        <v>313065.27999999997</v>
      </c>
      <c r="AB850" s="1144">
        <f t="shared" si="243"/>
        <v>0</v>
      </c>
      <c r="AC850" s="1144">
        <f t="shared" si="244"/>
        <v>0</v>
      </c>
      <c r="AD850" s="1148">
        <f t="shared" si="236"/>
        <v>313065.27999999997</v>
      </c>
      <c r="AE850" s="1487">
        <v>0</v>
      </c>
      <c r="AF850" s="1145">
        <f t="shared" si="245"/>
        <v>313065.27999999997</v>
      </c>
      <c r="AG850" s="1149">
        <f>IFERROR(VLOOKUP(CONCATENATE($L850,$N850),'Drop List'!$G$23:$K$87,2,FALSE),0)</f>
        <v>0.9</v>
      </c>
      <c r="AH850" s="1150">
        <f>IFERROR(VLOOKUP(CONCATENATE($L850,$N850),'Drop List'!$G$23:$K$87,3,FALSE),0)</f>
        <v>0</v>
      </c>
      <c r="AI850" s="1150">
        <f>IFERROR(VLOOKUP(CONCATENATE($L850,$N850),'Drop List'!$G$23:$K$87,4,FALSE),0)</f>
        <v>0.1</v>
      </c>
      <c r="AJ850" s="1151">
        <f>IFERROR(VLOOKUP(CONCATENATE($L850,$N850),'Drop List'!$G$23:$K$87,5,FALSE),0)</f>
        <v>0</v>
      </c>
      <c r="AK850" s="1152">
        <f t="shared" si="246"/>
        <v>281758.75199999998</v>
      </c>
      <c r="AL850" s="1153">
        <f t="shared" si="247"/>
        <v>0</v>
      </c>
      <c r="AM850" s="1153">
        <f t="shared" si="248"/>
        <v>31306.527999999998</v>
      </c>
      <c r="AN850" s="1145">
        <f t="shared" si="249"/>
        <v>0</v>
      </c>
      <c r="AO850" s="1154">
        <f t="shared" si="250"/>
        <v>313065.27999999997</v>
      </c>
      <c r="AP850" s="1147">
        <f t="shared" si="237"/>
        <v>0</v>
      </c>
      <c r="AQ850" s="1144">
        <f t="shared" si="238"/>
        <v>0</v>
      </c>
      <c r="AR850" s="1146">
        <f t="shared" si="239"/>
        <v>313065.27999999997</v>
      </c>
    </row>
    <row r="851" spans="1:44" x14ac:dyDescent="0.2">
      <c r="A851" s="1141" t="str">
        <f t="shared" si="234"/>
        <v>1542</v>
      </c>
      <c r="B851" s="1141" t="str">
        <f>IFERROR(VLOOKUP(A851,'LAC 103'!A:C,3,FALSE),"")</f>
        <v>OP</v>
      </c>
      <c r="C851" s="1478" t="str">
        <f>Info!$B$8</f>
        <v>00100</v>
      </c>
      <c r="D851" s="1474" t="s">
        <v>256</v>
      </c>
      <c r="E851" s="1474" t="s">
        <v>95</v>
      </c>
      <c r="F851" s="1478" t="s">
        <v>392</v>
      </c>
      <c r="G851" s="1478" t="s">
        <v>392</v>
      </c>
      <c r="H851" s="1474" t="s">
        <v>1091</v>
      </c>
      <c r="I851" s="1478" t="s">
        <v>815</v>
      </c>
      <c r="J851" s="1478"/>
      <c r="K851" s="1475" t="s">
        <v>849</v>
      </c>
      <c r="L851" s="1474" t="s">
        <v>77</v>
      </c>
      <c r="M851" s="1476" t="s">
        <v>842</v>
      </c>
      <c r="N851" s="1477" t="s">
        <v>1692</v>
      </c>
      <c r="O851" s="1479">
        <v>269673</v>
      </c>
      <c r="P851" s="1479"/>
      <c r="Q851" s="1142">
        <f t="shared" si="235"/>
        <v>269673</v>
      </c>
      <c r="R851" s="1143">
        <f>IFERROR(VLOOKUP(CONCATENATE(E851,G851),'LAC 103'!$A$12:$O$95,11,FALSE),0)</f>
        <v>3.2074101033884355</v>
      </c>
      <c r="S851" s="1144">
        <f>IFERROR(VLOOKUP(CONCATENATE($E851,$G851),'LAC 103'!$A$12:$O$95,12,FALSE),0)</f>
        <v>3.99</v>
      </c>
      <c r="T851" s="1144">
        <f>IFERROR(VLOOKUP(CONCATENATE($E851,$G851),'LAC 103'!$A$12:$O$95,13,FALSE),0)</f>
        <v>2.48</v>
      </c>
      <c r="U851" s="1144">
        <f>IFERROR(VLOOKUP(CONCATENATE($E851,$G851),'LAC 103'!$A$12:$O$95,14,FALSE),0)</f>
        <v>0</v>
      </c>
      <c r="V851" s="1144">
        <f>IFERROR(VLOOKUP(CONCATENATE($E851,$G851),'LAC 103'!$A$12:$O$95,15,FALSE),0)</f>
        <v>0</v>
      </c>
      <c r="W851" s="1145" t="str">
        <f>IFERROR(VLOOKUP(CONCATENATE($B851,$N851),'LAC 103'!$AI:$AQ,9,FALSE),"")</f>
        <v>Costs</v>
      </c>
      <c r="X851" s="1146">
        <f t="shared" si="240"/>
        <v>3.2074101033884355</v>
      </c>
      <c r="Y851" s="1143">
        <f t="shared" si="251"/>
        <v>864951.9048110696</v>
      </c>
      <c r="Z851" s="1147">
        <f t="shared" si="241"/>
        <v>1075995.27</v>
      </c>
      <c r="AA851" s="1144">
        <f t="shared" si="242"/>
        <v>668789.04</v>
      </c>
      <c r="AB851" s="1144">
        <f t="shared" si="243"/>
        <v>0</v>
      </c>
      <c r="AC851" s="1144">
        <f t="shared" si="244"/>
        <v>0</v>
      </c>
      <c r="AD851" s="1148">
        <f t="shared" si="236"/>
        <v>864951.9048110696</v>
      </c>
      <c r="AE851" s="1487">
        <v>0</v>
      </c>
      <c r="AF851" s="1145">
        <f t="shared" si="245"/>
        <v>864951.9048110696</v>
      </c>
      <c r="AG851" s="1149">
        <f>IFERROR(VLOOKUP(CONCATENATE($L851,$N851),'Drop List'!$G$23:$K$87,2,FALSE),0)</f>
        <v>0.9</v>
      </c>
      <c r="AH851" s="1150">
        <f>IFERROR(VLOOKUP(CONCATENATE($L851,$N851),'Drop List'!$G$23:$K$87,3,FALSE),0)</f>
        <v>0</v>
      </c>
      <c r="AI851" s="1150">
        <f>IFERROR(VLOOKUP(CONCATENATE($L851,$N851),'Drop List'!$G$23:$K$87,4,FALSE),0)</f>
        <v>0.1</v>
      </c>
      <c r="AJ851" s="1151">
        <f>IFERROR(VLOOKUP(CONCATENATE($L851,$N851),'Drop List'!$G$23:$K$87,5,FALSE),0)</f>
        <v>0</v>
      </c>
      <c r="AK851" s="1152">
        <f t="shared" si="246"/>
        <v>778456.71432996262</v>
      </c>
      <c r="AL851" s="1153">
        <f t="shared" si="247"/>
        <v>0</v>
      </c>
      <c r="AM851" s="1153">
        <f t="shared" si="248"/>
        <v>86495.190481106969</v>
      </c>
      <c r="AN851" s="1145">
        <f t="shared" si="249"/>
        <v>0</v>
      </c>
      <c r="AO851" s="1154">
        <f t="shared" si="250"/>
        <v>864951.9048110696</v>
      </c>
      <c r="AP851" s="1147">
        <f t="shared" si="237"/>
        <v>0</v>
      </c>
      <c r="AQ851" s="1144">
        <f t="shared" si="238"/>
        <v>0</v>
      </c>
      <c r="AR851" s="1146">
        <f t="shared" si="239"/>
        <v>864951.9048110696</v>
      </c>
    </row>
    <row r="852" spans="1:44" x14ac:dyDescent="0.2">
      <c r="A852" s="1141" t="str">
        <f t="shared" si="234"/>
        <v>1542</v>
      </c>
      <c r="B852" s="1141" t="str">
        <f>IFERROR(VLOOKUP(A852,'LAC 103'!A:C,3,FALSE),"")</f>
        <v>OP</v>
      </c>
      <c r="C852" s="1478" t="str">
        <f>Info!$B$8</f>
        <v>00100</v>
      </c>
      <c r="D852" s="1474" t="s">
        <v>256</v>
      </c>
      <c r="E852" s="1474" t="s">
        <v>95</v>
      </c>
      <c r="F852" s="1478" t="s">
        <v>392</v>
      </c>
      <c r="G852" s="1478" t="s">
        <v>392</v>
      </c>
      <c r="H852" s="1474" t="s">
        <v>1091</v>
      </c>
      <c r="I852" s="1478" t="s">
        <v>815</v>
      </c>
      <c r="J852" s="1478"/>
      <c r="K852" s="1475" t="s">
        <v>849</v>
      </c>
      <c r="L852" s="1474" t="s">
        <v>77</v>
      </c>
      <c r="M852" s="1476" t="s">
        <v>1698</v>
      </c>
      <c r="N852" s="1477" t="s">
        <v>1693</v>
      </c>
      <c r="O852" s="1479">
        <v>250349</v>
      </c>
      <c r="P852" s="1479"/>
      <c r="Q852" s="1142">
        <f t="shared" si="235"/>
        <v>250349</v>
      </c>
      <c r="R852" s="1143">
        <f>IFERROR(VLOOKUP(CONCATENATE(E852,G852),'LAC 103'!$A$12:$O$95,11,FALSE),0)</f>
        <v>3.2074101033884355</v>
      </c>
      <c r="S852" s="1144">
        <f>IFERROR(VLOOKUP(CONCATENATE($E852,$G852),'LAC 103'!$A$12:$O$95,12,FALSE),0)</f>
        <v>3.99</v>
      </c>
      <c r="T852" s="1144">
        <f>IFERROR(VLOOKUP(CONCATENATE($E852,$G852),'LAC 103'!$A$12:$O$95,13,FALSE),0)</f>
        <v>2.48</v>
      </c>
      <c r="U852" s="1144">
        <f>IFERROR(VLOOKUP(CONCATENATE($E852,$G852),'LAC 103'!$A$12:$O$95,14,FALSE),0)</f>
        <v>0</v>
      </c>
      <c r="V852" s="1144">
        <f>IFERROR(VLOOKUP(CONCATENATE($E852,$G852),'LAC 103'!$A$12:$O$95,15,FALSE),0)</f>
        <v>0</v>
      </c>
      <c r="W852" s="1145" t="str">
        <f>IFERROR(VLOOKUP(CONCATENATE($B852,$N852),'LAC 103'!$AI:$AQ,9,FALSE),"")</f>
        <v>Costs</v>
      </c>
      <c r="X852" s="1146">
        <f t="shared" si="240"/>
        <v>3.2074101033884355</v>
      </c>
      <c r="Y852" s="1143">
        <f t="shared" si="251"/>
        <v>802971.91197319143</v>
      </c>
      <c r="Z852" s="1147">
        <f t="shared" si="241"/>
        <v>998892.51</v>
      </c>
      <c r="AA852" s="1144">
        <f t="shared" si="242"/>
        <v>620865.52</v>
      </c>
      <c r="AB852" s="1144">
        <f t="shared" si="243"/>
        <v>0</v>
      </c>
      <c r="AC852" s="1144">
        <f t="shared" si="244"/>
        <v>0</v>
      </c>
      <c r="AD852" s="1148">
        <f t="shared" si="236"/>
        <v>802971.91197319143</v>
      </c>
      <c r="AE852" s="1487">
        <v>0</v>
      </c>
      <c r="AF852" s="1145">
        <f t="shared" si="245"/>
        <v>802971.91197319143</v>
      </c>
      <c r="AG852" s="1149">
        <f>IFERROR(VLOOKUP(CONCATENATE($L852,$N852),'Drop List'!$G$23:$K$87,2,FALSE),0)</f>
        <v>0.9</v>
      </c>
      <c r="AH852" s="1150">
        <f>IFERROR(VLOOKUP(CONCATENATE($L852,$N852),'Drop List'!$G$23:$K$87,3,FALSE),0)</f>
        <v>0</v>
      </c>
      <c r="AI852" s="1150">
        <f>IFERROR(VLOOKUP(CONCATENATE($L852,$N852),'Drop List'!$G$23:$K$87,4,FALSE),0)</f>
        <v>0.1</v>
      </c>
      <c r="AJ852" s="1151">
        <f>IFERROR(VLOOKUP(CONCATENATE($L852,$N852),'Drop List'!$G$23:$K$87,5,FALSE),0)</f>
        <v>0</v>
      </c>
      <c r="AK852" s="1152">
        <f t="shared" si="246"/>
        <v>722674.72077587235</v>
      </c>
      <c r="AL852" s="1153">
        <f t="shared" si="247"/>
        <v>0</v>
      </c>
      <c r="AM852" s="1153">
        <f t="shared" si="248"/>
        <v>80297.191197319145</v>
      </c>
      <c r="AN852" s="1145">
        <f t="shared" si="249"/>
        <v>0</v>
      </c>
      <c r="AO852" s="1154">
        <f t="shared" si="250"/>
        <v>802971.91197319154</v>
      </c>
      <c r="AP852" s="1147">
        <f t="shared" si="237"/>
        <v>0</v>
      </c>
      <c r="AQ852" s="1144">
        <f t="shared" si="238"/>
        <v>0</v>
      </c>
      <c r="AR852" s="1146">
        <f t="shared" si="239"/>
        <v>802971.91197319154</v>
      </c>
    </row>
    <row r="853" spans="1:44" x14ac:dyDescent="0.2">
      <c r="A853" s="1141" t="str">
        <f t="shared" si="234"/>
        <v>1542</v>
      </c>
      <c r="B853" s="1141" t="str">
        <f>IFERROR(VLOOKUP(A853,'LAC 103'!A:C,3,FALSE),"")</f>
        <v>OP</v>
      </c>
      <c r="C853" s="1478" t="str">
        <f>Info!$B$8</f>
        <v>00100</v>
      </c>
      <c r="D853" s="1474" t="s">
        <v>256</v>
      </c>
      <c r="E853" s="1474" t="s">
        <v>95</v>
      </c>
      <c r="F853" s="1478" t="s">
        <v>392</v>
      </c>
      <c r="G853" s="1478" t="s">
        <v>392</v>
      </c>
      <c r="H853" s="1474" t="s">
        <v>1091</v>
      </c>
      <c r="I853" s="1478" t="s">
        <v>815</v>
      </c>
      <c r="J853" s="1478"/>
      <c r="K853" s="1475" t="s">
        <v>971</v>
      </c>
      <c r="L853" s="1474" t="s">
        <v>332</v>
      </c>
      <c r="M853" s="1476" t="s">
        <v>1699</v>
      </c>
      <c r="N853" s="1477" t="s">
        <v>1694</v>
      </c>
      <c r="O853" s="1479">
        <v>8323</v>
      </c>
      <c r="P853" s="1479"/>
      <c r="Q853" s="1142">
        <f t="shared" si="235"/>
        <v>8323</v>
      </c>
      <c r="R853" s="1143">
        <f>IFERROR(VLOOKUP(CONCATENATE(E853,G853),'LAC 103'!$A$12:$O$95,11,FALSE),0)</f>
        <v>3.2074101033884355</v>
      </c>
      <c r="S853" s="1144">
        <f>IFERROR(VLOOKUP(CONCATENATE($E853,$G853),'LAC 103'!$A$12:$O$95,12,FALSE),0)</f>
        <v>3.99</v>
      </c>
      <c r="T853" s="1144">
        <f>IFERROR(VLOOKUP(CONCATENATE($E853,$G853),'LAC 103'!$A$12:$O$95,13,FALSE),0)</f>
        <v>2.48</v>
      </c>
      <c r="U853" s="1144">
        <f>IFERROR(VLOOKUP(CONCATENATE($E853,$G853),'LAC 103'!$A$12:$O$95,14,FALSE),0)</f>
        <v>0</v>
      </c>
      <c r="V853" s="1144">
        <f>IFERROR(VLOOKUP(CONCATENATE($E853,$G853),'LAC 103'!$A$12:$O$95,15,FALSE),0)</f>
        <v>0</v>
      </c>
      <c r="W853" s="1145" t="str">
        <f>IFERROR(VLOOKUP(CONCATENATE($B853,$N853),'LAC 103'!$AI:$AQ,9,FALSE),"")</f>
        <v>Costs</v>
      </c>
      <c r="X853" s="1146">
        <f t="shared" si="240"/>
        <v>3.2074101033884355</v>
      </c>
      <c r="Y853" s="1143">
        <f t="shared" si="251"/>
        <v>26695.274290501948</v>
      </c>
      <c r="Z853" s="1147">
        <f t="shared" si="241"/>
        <v>33208.770000000004</v>
      </c>
      <c r="AA853" s="1144">
        <f t="shared" si="242"/>
        <v>20641.04</v>
      </c>
      <c r="AB853" s="1144">
        <f t="shared" si="243"/>
        <v>0</v>
      </c>
      <c r="AC853" s="1144">
        <f t="shared" si="244"/>
        <v>0</v>
      </c>
      <c r="AD853" s="1148">
        <f t="shared" si="236"/>
        <v>26695.274290501948</v>
      </c>
      <c r="AE853" s="1487">
        <v>0</v>
      </c>
      <c r="AF853" s="1145">
        <f t="shared" si="245"/>
        <v>26695.274290501948</v>
      </c>
      <c r="AG853" s="1149">
        <f>IFERROR(VLOOKUP(CONCATENATE($L853,$N853),'Drop List'!$G$23:$K$87,2,FALSE),0)</f>
        <v>0</v>
      </c>
      <c r="AH853" s="1150">
        <f>IFERROR(VLOOKUP(CONCATENATE($L853,$N853),'Drop List'!$G$23:$K$87,3,FALSE),0)</f>
        <v>0</v>
      </c>
      <c r="AI853" s="1150">
        <f>IFERROR(VLOOKUP(CONCATENATE($L853,$N853),'Drop List'!$G$23:$K$87,4,FALSE),0)</f>
        <v>0</v>
      </c>
      <c r="AJ853" s="1151">
        <f>IFERROR(VLOOKUP(CONCATENATE($L853,$N853),'Drop List'!$G$23:$K$87,5,FALSE),0)</f>
        <v>0</v>
      </c>
      <c r="AK853" s="1152">
        <f t="shared" si="246"/>
        <v>0</v>
      </c>
      <c r="AL853" s="1153">
        <f t="shared" si="247"/>
        <v>0</v>
      </c>
      <c r="AM853" s="1153">
        <f t="shared" si="248"/>
        <v>0</v>
      </c>
      <c r="AN853" s="1145">
        <f t="shared" si="249"/>
        <v>0</v>
      </c>
      <c r="AO853" s="1154">
        <f t="shared" si="250"/>
        <v>0</v>
      </c>
      <c r="AP853" s="1147">
        <f t="shared" si="237"/>
        <v>26695.274290501948</v>
      </c>
      <c r="AQ853" s="1144">
        <f t="shared" si="238"/>
        <v>0</v>
      </c>
      <c r="AR853" s="1146">
        <f t="shared" si="239"/>
        <v>26695.274290501948</v>
      </c>
    </row>
    <row r="854" spans="1:44" x14ac:dyDescent="0.2">
      <c r="A854" s="1141" t="str">
        <f t="shared" si="234"/>
        <v>1542</v>
      </c>
      <c r="B854" s="1141" t="str">
        <f>IFERROR(VLOOKUP(A854,'LAC 103'!A:C,3,FALSE),"")</f>
        <v>OP</v>
      </c>
      <c r="C854" s="1478" t="str">
        <f>Info!$B$8</f>
        <v>00100</v>
      </c>
      <c r="D854" s="1474" t="s">
        <v>256</v>
      </c>
      <c r="E854" s="1474" t="s">
        <v>95</v>
      </c>
      <c r="F854" s="1478" t="s">
        <v>392</v>
      </c>
      <c r="G854" s="1478" t="s">
        <v>392</v>
      </c>
      <c r="H854" s="1474" t="s">
        <v>1091</v>
      </c>
      <c r="I854" s="1478" t="s">
        <v>815</v>
      </c>
      <c r="J854" s="1478"/>
      <c r="K854" s="1475" t="s">
        <v>971</v>
      </c>
      <c r="L854" s="1474" t="s">
        <v>332</v>
      </c>
      <c r="M854" s="1476" t="s">
        <v>841</v>
      </c>
      <c r="N854" s="1477" t="s">
        <v>1695</v>
      </c>
      <c r="O854" s="1479">
        <v>2833</v>
      </c>
      <c r="P854" s="1479"/>
      <c r="Q854" s="1142">
        <f t="shared" si="235"/>
        <v>2833</v>
      </c>
      <c r="R854" s="1143">
        <f>IFERROR(VLOOKUP(CONCATENATE(E854,G854),'LAC 103'!$A$12:$O$95,11,FALSE),0)</f>
        <v>3.2074101033884355</v>
      </c>
      <c r="S854" s="1144">
        <f>IFERROR(VLOOKUP(CONCATENATE($E854,$G854),'LAC 103'!$A$12:$O$95,12,FALSE),0)</f>
        <v>3.99</v>
      </c>
      <c r="T854" s="1144">
        <f>IFERROR(VLOOKUP(CONCATENATE($E854,$G854),'LAC 103'!$A$12:$O$95,13,FALSE),0)</f>
        <v>2.48</v>
      </c>
      <c r="U854" s="1144">
        <f>IFERROR(VLOOKUP(CONCATENATE($E854,$G854),'LAC 103'!$A$12:$O$95,14,FALSE),0)</f>
        <v>0</v>
      </c>
      <c r="V854" s="1144">
        <f>IFERROR(VLOOKUP(CONCATENATE($E854,$G854),'LAC 103'!$A$12:$O$95,15,FALSE),0)</f>
        <v>0</v>
      </c>
      <c r="W854" s="1145" t="str">
        <f>IFERROR(VLOOKUP(CONCATENATE($B854,$N854),'LAC 103'!$AI:$AQ,9,FALSE),"")</f>
        <v>Costs</v>
      </c>
      <c r="X854" s="1146">
        <f t="shared" si="240"/>
        <v>3.2074101033884355</v>
      </c>
      <c r="Y854" s="1143">
        <f t="shared" si="251"/>
        <v>9086.592822899438</v>
      </c>
      <c r="Z854" s="1147">
        <f t="shared" si="241"/>
        <v>11303.67</v>
      </c>
      <c r="AA854" s="1144">
        <f t="shared" si="242"/>
        <v>7025.84</v>
      </c>
      <c r="AB854" s="1144">
        <f t="shared" si="243"/>
        <v>0</v>
      </c>
      <c r="AC854" s="1144">
        <f t="shared" si="244"/>
        <v>0</v>
      </c>
      <c r="AD854" s="1148">
        <f t="shared" si="236"/>
        <v>9086.592822899438</v>
      </c>
      <c r="AE854" s="1487">
        <v>0</v>
      </c>
      <c r="AF854" s="1145">
        <f t="shared" si="245"/>
        <v>9086.592822899438</v>
      </c>
      <c r="AG854" s="1149">
        <f>IFERROR(VLOOKUP(CONCATENATE($L854,$N854),'Drop List'!$G$23:$K$87,2,FALSE),0)</f>
        <v>0</v>
      </c>
      <c r="AH854" s="1150">
        <f>IFERROR(VLOOKUP(CONCATENATE($L854,$N854),'Drop List'!$G$23:$K$87,3,FALSE),0)</f>
        <v>0</v>
      </c>
      <c r="AI854" s="1150">
        <f>IFERROR(VLOOKUP(CONCATENATE($L854,$N854),'Drop List'!$G$23:$K$87,4,FALSE),0)</f>
        <v>0</v>
      </c>
      <c r="AJ854" s="1151">
        <f>IFERROR(VLOOKUP(CONCATENATE($L854,$N854),'Drop List'!$G$23:$K$87,5,FALSE),0)</f>
        <v>0</v>
      </c>
      <c r="AK854" s="1152">
        <f t="shared" si="246"/>
        <v>0</v>
      </c>
      <c r="AL854" s="1153">
        <f t="shared" si="247"/>
        <v>0</v>
      </c>
      <c r="AM854" s="1153">
        <f t="shared" si="248"/>
        <v>0</v>
      </c>
      <c r="AN854" s="1145">
        <f t="shared" si="249"/>
        <v>0</v>
      </c>
      <c r="AO854" s="1154">
        <f t="shared" si="250"/>
        <v>0</v>
      </c>
      <c r="AP854" s="1147">
        <f t="shared" si="237"/>
        <v>9086.592822899438</v>
      </c>
      <c r="AQ854" s="1144">
        <f t="shared" si="238"/>
        <v>0</v>
      </c>
      <c r="AR854" s="1146">
        <f t="shared" si="239"/>
        <v>9086.592822899438</v>
      </c>
    </row>
    <row r="855" spans="1:44" x14ac:dyDescent="0.2">
      <c r="A855" s="1141" t="str">
        <f t="shared" si="234"/>
        <v>1542</v>
      </c>
      <c r="B855" s="1141" t="str">
        <f>IFERROR(VLOOKUP(A855,'LAC 103'!A:C,3,FALSE),"")</f>
        <v>OP</v>
      </c>
      <c r="C855" s="1478" t="str">
        <f>Info!$B$8</f>
        <v>00100</v>
      </c>
      <c r="D855" s="1474" t="s">
        <v>256</v>
      </c>
      <c r="E855" s="1474" t="s">
        <v>95</v>
      </c>
      <c r="F855" s="1478" t="s">
        <v>392</v>
      </c>
      <c r="G855" s="1478" t="s">
        <v>392</v>
      </c>
      <c r="H855" s="1474" t="s">
        <v>1091</v>
      </c>
      <c r="I855" s="1478" t="s">
        <v>815</v>
      </c>
      <c r="J855" s="1478"/>
      <c r="K855" s="1475" t="s">
        <v>971</v>
      </c>
      <c r="L855" s="1474" t="s">
        <v>332</v>
      </c>
      <c r="M855" s="1476" t="s">
        <v>842</v>
      </c>
      <c r="N855" s="1477" t="s">
        <v>1692</v>
      </c>
      <c r="O855" s="1479">
        <v>9243</v>
      </c>
      <c r="P855" s="1479"/>
      <c r="Q855" s="1142">
        <f t="shared" si="235"/>
        <v>9243</v>
      </c>
      <c r="R855" s="1143">
        <f>IFERROR(VLOOKUP(CONCATENATE(E855,G855),'LAC 103'!$A$12:$O$95,11,FALSE),0)</f>
        <v>3.2074101033884355</v>
      </c>
      <c r="S855" s="1144">
        <f>IFERROR(VLOOKUP(CONCATENATE($E855,$G855),'LAC 103'!$A$12:$O$95,12,FALSE),0)</f>
        <v>3.99</v>
      </c>
      <c r="T855" s="1144">
        <f>IFERROR(VLOOKUP(CONCATENATE($E855,$G855),'LAC 103'!$A$12:$O$95,13,FALSE),0)</f>
        <v>2.48</v>
      </c>
      <c r="U855" s="1144">
        <f>IFERROR(VLOOKUP(CONCATENATE($E855,$G855),'LAC 103'!$A$12:$O$95,14,FALSE),0)</f>
        <v>0</v>
      </c>
      <c r="V855" s="1144">
        <f>IFERROR(VLOOKUP(CONCATENATE($E855,$G855),'LAC 103'!$A$12:$O$95,15,FALSE),0)</f>
        <v>0</v>
      </c>
      <c r="W855" s="1145" t="str">
        <f>IFERROR(VLOOKUP(CONCATENATE($B855,$N855),'LAC 103'!$AI:$AQ,9,FALSE),"")</f>
        <v>Costs</v>
      </c>
      <c r="X855" s="1146">
        <f t="shared" si="240"/>
        <v>3.2074101033884355</v>
      </c>
      <c r="Y855" s="1143">
        <f t="shared" si="251"/>
        <v>29646.09158561931</v>
      </c>
      <c r="Z855" s="1147">
        <f t="shared" si="241"/>
        <v>36879.57</v>
      </c>
      <c r="AA855" s="1144">
        <f t="shared" si="242"/>
        <v>22922.639999999999</v>
      </c>
      <c r="AB855" s="1144">
        <f t="shared" si="243"/>
        <v>0</v>
      </c>
      <c r="AC855" s="1144">
        <f t="shared" si="244"/>
        <v>0</v>
      </c>
      <c r="AD855" s="1148">
        <f t="shared" si="236"/>
        <v>29646.09158561931</v>
      </c>
      <c r="AE855" s="1487">
        <v>0</v>
      </c>
      <c r="AF855" s="1145">
        <f t="shared" si="245"/>
        <v>29646.09158561931</v>
      </c>
      <c r="AG855" s="1149">
        <f>IFERROR(VLOOKUP(CONCATENATE($L855,$N855),'Drop List'!$G$23:$K$87,2,FALSE),0)</f>
        <v>0</v>
      </c>
      <c r="AH855" s="1150">
        <f>IFERROR(VLOOKUP(CONCATENATE($L855,$N855),'Drop List'!$G$23:$K$87,3,FALSE),0)</f>
        <v>0</v>
      </c>
      <c r="AI855" s="1150">
        <f>IFERROR(VLOOKUP(CONCATENATE($L855,$N855),'Drop List'!$G$23:$K$87,4,FALSE),0)</f>
        <v>0</v>
      </c>
      <c r="AJ855" s="1151">
        <f>IFERROR(VLOOKUP(CONCATENATE($L855,$N855),'Drop List'!$G$23:$K$87,5,FALSE),0)</f>
        <v>0</v>
      </c>
      <c r="AK855" s="1152">
        <f t="shared" si="246"/>
        <v>0</v>
      </c>
      <c r="AL855" s="1153">
        <f t="shared" si="247"/>
        <v>0</v>
      </c>
      <c r="AM855" s="1153">
        <f t="shared" si="248"/>
        <v>0</v>
      </c>
      <c r="AN855" s="1145">
        <f t="shared" si="249"/>
        <v>0</v>
      </c>
      <c r="AO855" s="1154">
        <f t="shared" si="250"/>
        <v>0</v>
      </c>
      <c r="AP855" s="1147">
        <f t="shared" si="237"/>
        <v>29646.09158561931</v>
      </c>
      <c r="AQ855" s="1144">
        <f t="shared" si="238"/>
        <v>0</v>
      </c>
      <c r="AR855" s="1146">
        <f t="shared" si="239"/>
        <v>29646.09158561931</v>
      </c>
    </row>
    <row r="856" spans="1:44" x14ac:dyDescent="0.2">
      <c r="A856" s="1141" t="str">
        <f t="shared" si="234"/>
        <v>1542</v>
      </c>
      <c r="B856" s="1141" t="str">
        <f>IFERROR(VLOOKUP(A856,'LAC 103'!A:C,3,FALSE),"")</f>
        <v>OP</v>
      </c>
      <c r="C856" s="1478" t="str">
        <f>Info!$B$8</f>
        <v>00100</v>
      </c>
      <c r="D856" s="1474" t="s">
        <v>256</v>
      </c>
      <c r="E856" s="1474" t="s">
        <v>95</v>
      </c>
      <c r="F856" s="1478" t="s">
        <v>392</v>
      </c>
      <c r="G856" s="1478" t="s">
        <v>392</v>
      </c>
      <c r="H856" s="1474" t="s">
        <v>1091</v>
      </c>
      <c r="I856" s="1478" t="s">
        <v>815</v>
      </c>
      <c r="J856" s="1478"/>
      <c r="K856" s="1475" t="s">
        <v>971</v>
      </c>
      <c r="L856" s="1474" t="s">
        <v>332</v>
      </c>
      <c r="M856" s="1476" t="s">
        <v>1698</v>
      </c>
      <c r="N856" s="1477" t="s">
        <v>1693</v>
      </c>
      <c r="O856" s="1479">
        <v>10380</v>
      </c>
      <c r="P856" s="1479"/>
      <c r="Q856" s="1142">
        <f t="shared" si="235"/>
        <v>10380</v>
      </c>
      <c r="R856" s="1143">
        <f>IFERROR(VLOOKUP(CONCATENATE(E856,G856),'LAC 103'!$A$12:$O$95,11,FALSE),0)</f>
        <v>3.2074101033884355</v>
      </c>
      <c r="S856" s="1144">
        <f>IFERROR(VLOOKUP(CONCATENATE($E856,$G856),'LAC 103'!$A$12:$O$95,12,FALSE),0)</f>
        <v>3.99</v>
      </c>
      <c r="T856" s="1144">
        <f>IFERROR(VLOOKUP(CONCATENATE($E856,$G856),'LAC 103'!$A$12:$O$95,13,FALSE),0)</f>
        <v>2.48</v>
      </c>
      <c r="U856" s="1144">
        <f>IFERROR(VLOOKUP(CONCATENATE($E856,$G856),'LAC 103'!$A$12:$O$95,14,FALSE),0)</f>
        <v>0</v>
      </c>
      <c r="V856" s="1144">
        <f>IFERROR(VLOOKUP(CONCATENATE($E856,$G856),'LAC 103'!$A$12:$O$95,15,FALSE),0)</f>
        <v>0</v>
      </c>
      <c r="W856" s="1145" t="str">
        <f>IFERROR(VLOOKUP(CONCATENATE($B856,$N856),'LAC 103'!$AI:$AQ,9,FALSE),"")</f>
        <v>Costs</v>
      </c>
      <c r="X856" s="1146">
        <f t="shared" si="240"/>
        <v>3.2074101033884355</v>
      </c>
      <c r="Y856" s="1143">
        <f t="shared" si="251"/>
        <v>33292.916873171962</v>
      </c>
      <c r="Z856" s="1147">
        <f t="shared" si="241"/>
        <v>41416.200000000004</v>
      </c>
      <c r="AA856" s="1144">
        <f t="shared" si="242"/>
        <v>25742.400000000001</v>
      </c>
      <c r="AB856" s="1144">
        <f t="shared" si="243"/>
        <v>0</v>
      </c>
      <c r="AC856" s="1144">
        <f t="shared" si="244"/>
        <v>0</v>
      </c>
      <c r="AD856" s="1148">
        <f t="shared" si="236"/>
        <v>33292.916873171962</v>
      </c>
      <c r="AE856" s="1487">
        <v>0</v>
      </c>
      <c r="AF856" s="1145">
        <f t="shared" si="245"/>
        <v>33292.916873171962</v>
      </c>
      <c r="AG856" s="1149">
        <f>IFERROR(VLOOKUP(CONCATENATE($L856,$N856),'Drop List'!$G$23:$K$87,2,FALSE),0)</f>
        <v>0</v>
      </c>
      <c r="AH856" s="1150">
        <f>IFERROR(VLOOKUP(CONCATENATE($L856,$N856),'Drop List'!$G$23:$K$87,3,FALSE),0)</f>
        <v>0</v>
      </c>
      <c r="AI856" s="1150">
        <f>IFERROR(VLOOKUP(CONCATENATE($L856,$N856),'Drop List'!$G$23:$K$87,4,FALSE),0)</f>
        <v>0</v>
      </c>
      <c r="AJ856" s="1151">
        <f>IFERROR(VLOOKUP(CONCATENATE($L856,$N856),'Drop List'!$G$23:$K$87,5,FALSE),0)</f>
        <v>0</v>
      </c>
      <c r="AK856" s="1152">
        <f t="shared" si="246"/>
        <v>0</v>
      </c>
      <c r="AL856" s="1153">
        <f t="shared" si="247"/>
        <v>0</v>
      </c>
      <c r="AM856" s="1153">
        <f t="shared" si="248"/>
        <v>0</v>
      </c>
      <c r="AN856" s="1145">
        <f t="shared" si="249"/>
        <v>0</v>
      </c>
      <c r="AO856" s="1154">
        <f t="shared" si="250"/>
        <v>0</v>
      </c>
      <c r="AP856" s="1147">
        <f t="shared" si="237"/>
        <v>33292.916873171962</v>
      </c>
      <c r="AQ856" s="1144">
        <f t="shared" si="238"/>
        <v>0</v>
      </c>
      <c r="AR856" s="1146">
        <f t="shared" si="239"/>
        <v>33292.916873171962</v>
      </c>
    </row>
    <row r="857" spans="1:44" x14ac:dyDescent="0.2">
      <c r="A857" s="1141" t="str">
        <f t="shared" si="234"/>
        <v>1542</v>
      </c>
      <c r="B857" s="1141" t="str">
        <f>IFERROR(VLOOKUP(A857,'LAC 103'!A:C,3,FALSE),"")</f>
        <v>OP</v>
      </c>
      <c r="C857" s="1478" t="str">
        <f>Info!$B$8</f>
        <v>00100</v>
      </c>
      <c r="D857" s="1474" t="s">
        <v>256</v>
      </c>
      <c r="E857" s="1474" t="s">
        <v>95</v>
      </c>
      <c r="F857" s="1478" t="s">
        <v>392</v>
      </c>
      <c r="G857" s="1478" t="s">
        <v>392</v>
      </c>
      <c r="H857" s="1474" t="s">
        <v>1091</v>
      </c>
      <c r="I857" s="1478" t="s">
        <v>815</v>
      </c>
      <c r="J857" s="1478"/>
      <c r="K857" s="1475" t="s">
        <v>850</v>
      </c>
      <c r="L857" s="1474" t="s">
        <v>330</v>
      </c>
      <c r="M857" s="1476" t="s">
        <v>1699</v>
      </c>
      <c r="N857" s="1477" t="s">
        <v>1694</v>
      </c>
      <c r="O857" s="1479">
        <v>3638</v>
      </c>
      <c r="P857" s="1479"/>
      <c r="Q857" s="1142">
        <f t="shared" si="235"/>
        <v>3638</v>
      </c>
      <c r="R857" s="1143">
        <f>IFERROR(VLOOKUP(CONCATENATE(E857,G857),'LAC 103'!$A$12:$O$95,11,FALSE),0)</f>
        <v>3.2074101033884355</v>
      </c>
      <c r="S857" s="1144">
        <f>IFERROR(VLOOKUP(CONCATENATE($E857,$G857),'LAC 103'!$A$12:$O$95,12,FALSE),0)</f>
        <v>3.99</v>
      </c>
      <c r="T857" s="1144">
        <f>IFERROR(VLOOKUP(CONCATENATE($E857,$G857),'LAC 103'!$A$12:$O$95,13,FALSE),0)</f>
        <v>2.48</v>
      </c>
      <c r="U857" s="1144">
        <f>IFERROR(VLOOKUP(CONCATENATE($E857,$G857),'LAC 103'!$A$12:$O$95,14,FALSE),0)</f>
        <v>0</v>
      </c>
      <c r="V857" s="1144">
        <f>IFERROR(VLOOKUP(CONCATENATE($E857,$G857),'LAC 103'!$A$12:$O$95,15,FALSE),0)</f>
        <v>0</v>
      </c>
      <c r="W857" s="1145" t="str">
        <f>IFERROR(VLOOKUP(CONCATENATE($B857,$N857),'LAC 103'!$AI:$AQ,9,FALSE),"")</f>
        <v>Costs</v>
      </c>
      <c r="X857" s="1146">
        <f t="shared" si="240"/>
        <v>3.2074101033884355</v>
      </c>
      <c r="Y857" s="1143">
        <f t="shared" si="251"/>
        <v>11668.557956127128</v>
      </c>
      <c r="Z857" s="1147">
        <f t="shared" si="241"/>
        <v>14515.62</v>
      </c>
      <c r="AA857" s="1144">
        <f t="shared" si="242"/>
        <v>9022.24</v>
      </c>
      <c r="AB857" s="1144">
        <f t="shared" si="243"/>
        <v>0</v>
      </c>
      <c r="AC857" s="1144">
        <f t="shared" si="244"/>
        <v>0</v>
      </c>
      <c r="AD857" s="1148">
        <f t="shared" si="236"/>
        <v>11668.557956127128</v>
      </c>
      <c r="AE857" s="1487">
        <v>0</v>
      </c>
      <c r="AF857" s="1145">
        <f t="shared" si="245"/>
        <v>11668.557956127128</v>
      </c>
      <c r="AG857" s="1149">
        <f>IFERROR(VLOOKUP(CONCATENATE($L857,$N857),'Drop List'!$G$23:$K$87,2,FALSE),0)</f>
        <v>0</v>
      </c>
      <c r="AH857" s="1150">
        <f>IFERROR(VLOOKUP(CONCATENATE($L857,$N857),'Drop List'!$G$23:$K$87,3,FALSE),0)</f>
        <v>0</v>
      </c>
      <c r="AI857" s="1150">
        <f>IFERROR(VLOOKUP(CONCATENATE($L857,$N857),'Drop List'!$G$23:$K$87,4,FALSE),0)</f>
        <v>1</v>
      </c>
      <c r="AJ857" s="1151">
        <f>IFERROR(VLOOKUP(CONCATENATE($L857,$N857),'Drop List'!$G$23:$K$87,5,FALSE),0)</f>
        <v>0</v>
      </c>
      <c r="AK857" s="1152">
        <f t="shared" si="246"/>
        <v>0</v>
      </c>
      <c r="AL857" s="1153">
        <f t="shared" si="247"/>
        <v>0</v>
      </c>
      <c r="AM857" s="1153">
        <f t="shared" si="248"/>
        <v>11668.557956127128</v>
      </c>
      <c r="AN857" s="1145">
        <f t="shared" si="249"/>
        <v>0</v>
      </c>
      <c r="AO857" s="1154">
        <f t="shared" si="250"/>
        <v>11668.557956127128</v>
      </c>
      <c r="AP857" s="1147">
        <f t="shared" si="237"/>
        <v>0</v>
      </c>
      <c r="AQ857" s="1144">
        <f t="shared" si="238"/>
        <v>0</v>
      </c>
      <c r="AR857" s="1146">
        <f t="shared" si="239"/>
        <v>11668.557956127128</v>
      </c>
    </row>
    <row r="858" spans="1:44" x14ac:dyDescent="0.2">
      <c r="A858" s="1141" t="str">
        <f t="shared" si="234"/>
        <v>1542</v>
      </c>
      <c r="B858" s="1141" t="str">
        <f>IFERROR(VLOOKUP(A858,'LAC 103'!A:C,3,FALSE),"")</f>
        <v>OP</v>
      </c>
      <c r="C858" s="1478" t="str">
        <f>Info!$B$8</f>
        <v>00100</v>
      </c>
      <c r="D858" s="1474" t="s">
        <v>256</v>
      </c>
      <c r="E858" s="1474" t="s">
        <v>95</v>
      </c>
      <c r="F858" s="1478" t="s">
        <v>392</v>
      </c>
      <c r="G858" s="1478" t="s">
        <v>392</v>
      </c>
      <c r="H858" s="1474" t="s">
        <v>1091</v>
      </c>
      <c r="I858" s="1478" t="s">
        <v>815</v>
      </c>
      <c r="J858" s="1478"/>
      <c r="K858" s="1475" t="s">
        <v>850</v>
      </c>
      <c r="L858" s="1474" t="s">
        <v>330</v>
      </c>
      <c r="M858" s="1476" t="s">
        <v>842</v>
      </c>
      <c r="N858" s="1477" t="s">
        <v>1692</v>
      </c>
      <c r="O858" s="1479">
        <v>12152</v>
      </c>
      <c r="P858" s="1479"/>
      <c r="Q858" s="1142">
        <f t="shared" si="235"/>
        <v>12152</v>
      </c>
      <c r="R858" s="1143">
        <f>IFERROR(VLOOKUP(CONCATENATE(E858,G858),'LAC 103'!$A$12:$O$95,11,FALSE),0)</f>
        <v>3.2074101033884355</v>
      </c>
      <c r="S858" s="1144">
        <f>IFERROR(VLOOKUP(CONCATENATE($E858,$G858),'LAC 103'!$A$12:$O$95,12,FALSE),0)</f>
        <v>3.99</v>
      </c>
      <c r="T858" s="1144">
        <f>IFERROR(VLOOKUP(CONCATENATE($E858,$G858),'LAC 103'!$A$12:$O$95,13,FALSE),0)</f>
        <v>2.48</v>
      </c>
      <c r="U858" s="1144">
        <f>IFERROR(VLOOKUP(CONCATENATE($E858,$G858),'LAC 103'!$A$12:$O$95,14,FALSE),0)</f>
        <v>0</v>
      </c>
      <c r="V858" s="1144">
        <f>IFERROR(VLOOKUP(CONCATENATE($E858,$G858),'LAC 103'!$A$12:$O$95,15,FALSE),0)</f>
        <v>0</v>
      </c>
      <c r="W858" s="1145" t="str">
        <f>IFERROR(VLOOKUP(CONCATENATE($B858,$N858),'LAC 103'!$AI:$AQ,9,FALSE),"")</f>
        <v>Costs</v>
      </c>
      <c r="X858" s="1146">
        <f t="shared" si="240"/>
        <v>3.2074101033884355</v>
      </c>
      <c r="Y858" s="1143">
        <f t="shared" si="251"/>
        <v>38976.447576376268</v>
      </c>
      <c r="Z858" s="1147">
        <f t="shared" si="241"/>
        <v>48486.48</v>
      </c>
      <c r="AA858" s="1144">
        <f t="shared" si="242"/>
        <v>30136.959999999999</v>
      </c>
      <c r="AB858" s="1144">
        <f t="shared" si="243"/>
        <v>0</v>
      </c>
      <c r="AC858" s="1144">
        <f t="shared" si="244"/>
        <v>0</v>
      </c>
      <c r="AD858" s="1148">
        <f t="shared" si="236"/>
        <v>38976.447576376268</v>
      </c>
      <c r="AE858" s="1487">
        <v>0</v>
      </c>
      <c r="AF858" s="1145">
        <f t="shared" si="245"/>
        <v>38976.447576376268</v>
      </c>
      <c r="AG858" s="1149">
        <f>IFERROR(VLOOKUP(CONCATENATE($L858,$N858),'Drop List'!$G$23:$K$87,2,FALSE),0)</f>
        <v>0</v>
      </c>
      <c r="AH858" s="1150">
        <f>IFERROR(VLOOKUP(CONCATENATE($L858,$N858),'Drop List'!$G$23:$K$87,3,FALSE),0)</f>
        <v>0</v>
      </c>
      <c r="AI858" s="1150">
        <f>IFERROR(VLOOKUP(CONCATENATE($L858,$N858),'Drop List'!$G$23:$K$87,4,FALSE),0)</f>
        <v>1</v>
      </c>
      <c r="AJ858" s="1151">
        <f>IFERROR(VLOOKUP(CONCATENATE($L858,$N858),'Drop List'!$G$23:$K$87,5,FALSE),0)</f>
        <v>0</v>
      </c>
      <c r="AK858" s="1152">
        <f t="shared" si="246"/>
        <v>0</v>
      </c>
      <c r="AL858" s="1153">
        <f t="shared" si="247"/>
        <v>0</v>
      </c>
      <c r="AM858" s="1153">
        <f t="shared" si="248"/>
        <v>38976.447576376268</v>
      </c>
      <c r="AN858" s="1145">
        <f t="shared" si="249"/>
        <v>0</v>
      </c>
      <c r="AO858" s="1154">
        <f t="shared" si="250"/>
        <v>38976.447576376268</v>
      </c>
      <c r="AP858" s="1147">
        <f t="shared" si="237"/>
        <v>0</v>
      </c>
      <c r="AQ858" s="1144">
        <f t="shared" si="238"/>
        <v>0</v>
      </c>
      <c r="AR858" s="1146">
        <f t="shared" si="239"/>
        <v>38976.447576376268</v>
      </c>
    </row>
    <row r="859" spans="1:44" x14ac:dyDescent="0.2">
      <c r="A859" s="1141" t="str">
        <f t="shared" si="234"/>
        <v>1542</v>
      </c>
      <c r="B859" s="1141" t="str">
        <f>IFERROR(VLOOKUP(A859,'LAC 103'!A:C,3,FALSE),"")</f>
        <v>OP</v>
      </c>
      <c r="C859" s="1478" t="str">
        <f>Info!$B$8</f>
        <v>00100</v>
      </c>
      <c r="D859" s="1474" t="s">
        <v>256</v>
      </c>
      <c r="E859" s="1474" t="s">
        <v>95</v>
      </c>
      <c r="F859" s="1478" t="s">
        <v>392</v>
      </c>
      <c r="G859" s="1478" t="s">
        <v>392</v>
      </c>
      <c r="H859" s="1474" t="s">
        <v>1091</v>
      </c>
      <c r="I859" s="1478" t="s">
        <v>815</v>
      </c>
      <c r="J859" s="1478"/>
      <c r="K859" s="1475" t="s">
        <v>850</v>
      </c>
      <c r="L859" s="1474" t="s">
        <v>330</v>
      </c>
      <c r="M859" s="1476" t="s">
        <v>1698</v>
      </c>
      <c r="N859" s="1477" t="s">
        <v>1693</v>
      </c>
      <c r="O859" s="1479">
        <v>15120</v>
      </c>
      <c r="P859" s="1479"/>
      <c r="Q859" s="1142">
        <f t="shared" si="235"/>
        <v>15120</v>
      </c>
      <c r="R859" s="1143">
        <f>IFERROR(VLOOKUP(CONCATENATE(E859,G859),'LAC 103'!$A$12:$O$95,11,FALSE),0)</f>
        <v>3.2074101033884355</v>
      </c>
      <c r="S859" s="1144">
        <f>IFERROR(VLOOKUP(CONCATENATE($E859,$G859),'LAC 103'!$A$12:$O$95,12,FALSE),0)</f>
        <v>3.99</v>
      </c>
      <c r="T859" s="1144">
        <f>IFERROR(VLOOKUP(CONCATENATE($E859,$G859),'LAC 103'!$A$12:$O$95,13,FALSE),0)</f>
        <v>2.48</v>
      </c>
      <c r="U859" s="1144">
        <f>IFERROR(VLOOKUP(CONCATENATE($E859,$G859),'LAC 103'!$A$12:$O$95,14,FALSE),0)</f>
        <v>0</v>
      </c>
      <c r="V859" s="1144">
        <f>IFERROR(VLOOKUP(CONCATENATE($E859,$G859),'LAC 103'!$A$12:$O$95,15,FALSE),0)</f>
        <v>0</v>
      </c>
      <c r="W859" s="1145" t="str">
        <f>IFERROR(VLOOKUP(CONCATENATE($B859,$N859),'LAC 103'!$AI:$AQ,9,FALSE),"")</f>
        <v>Costs</v>
      </c>
      <c r="X859" s="1146">
        <f t="shared" si="240"/>
        <v>3.2074101033884355</v>
      </c>
      <c r="Y859" s="1143">
        <f t="shared" si="251"/>
        <v>48496.040763233141</v>
      </c>
      <c r="Z859" s="1147">
        <f t="shared" si="241"/>
        <v>60328.800000000003</v>
      </c>
      <c r="AA859" s="1144">
        <f t="shared" si="242"/>
        <v>37497.599999999999</v>
      </c>
      <c r="AB859" s="1144">
        <f t="shared" si="243"/>
        <v>0</v>
      </c>
      <c r="AC859" s="1144">
        <f t="shared" si="244"/>
        <v>0</v>
      </c>
      <c r="AD859" s="1148">
        <f t="shared" si="236"/>
        <v>48496.040763233141</v>
      </c>
      <c r="AE859" s="1487">
        <v>0</v>
      </c>
      <c r="AF859" s="1145">
        <f t="shared" si="245"/>
        <v>48496.040763233141</v>
      </c>
      <c r="AG859" s="1149">
        <f>IFERROR(VLOOKUP(CONCATENATE($L859,$N859),'Drop List'!$G$23:$K$87,2,FALSE),0)</f>
        <v>0</v>
      </c>
      <c r="AH859" s="1150">
        <f>IFERROR(VLOOKUP(CONCATENATE($L859,$N859),'Drop List'!$G$23:$K$87,3,FALSE),0)</f>
        <v>0</v>
      </c>
      <c r="AI859" s="1150">
        <f>IFERROR(VLOOKUP(CONCATENATE($L859,$N859),'Drop List'!$G$23:$K$87,4,FALSE),0)</f>
        <v>1</v>
      </c>
      <c r="AJ859" s="1151">
        <f>IFERROR(VLOOKUP(CONCATENATE($L859,$N859),'Drop List'!$G$23:$K$87,5,FALSE),0)</f>
        <v>0</v>
      </c>
      <c r="AK859" s="1152">
        <f t="shared" si="246"/>
        <v>0</v>
      </c>
      <c r="AL859" s="1153">
        <f t="shared" si="247"/>
        <v>0</v>
      </c>
      <c r="AM859" s="1153">
        <f t="shared" si="248"/>
        <v>48496.040763233141</v>
      </c>
      <c r="AN859" s="1145">
        <f t="shared" si="249"/>
        <v>0</v>
      </c>
      <c r="AO859" s="1154">
        <f t="shared" si="250"/>
        <v>48496.040763233141</v>
      </c>
      <c r="AP859" s="1147">
        <f t="shared" si="237"/>
        <v>0</v>
      </c>
      <c r="AQ859" s="1144">
        <f t="shared" si="238"/>
        <v>0</v>
      </c>
      <c r="AR859" s="1146">
        <f t="shared" si="239"/>
        <v>48496.040763233141</v>
      </c>
    </row>
    <row r="860" spans="1:44" x14ac:dyDescent="0.2">
      <c r="A860" s="1141" t="str">
        <f t="shared" si="234"/>
        <v>1542</v>
      </c>
      <c r="B860" s="1141" t="str">
        <f>IFERROR(VLOOKUP(A860,'LAC 103'!A:C,3,FALSE),"")</f>
        <v>OP</v>
      </c>
      <c r="C860" s="1478" t="str">
        <f>Info!$B$8</f>
        <v>00100</v>
      </c>
      <c r="D860" s="1474" t="s">
        <v>256</v>
      </c>
      <c r="E860" s="1474" t="s">
        <v>95</v>
      </c>
      <c r="F860" s="1478" t="s">
        <v>392</v>
      </c>
      <c r="G860" s="1478" t="s">
        <v>392</v>
      </c>
      <c r="H860" s="1474" t="s">
        <v>1091</v>
      </c>
      <c r="I860" s="1478" t="s">
        <v>815</v>
      </c>
      <c r="J860" s="1478"/>
      <c r="K860" s="1475" t="s">
        <v>851</v>
      </c>
      <c r="L860" s="1474" t="s">
        <v>584</v>
      </c>
      <c r="M860" s="1476" t="s">
        <v>1699</v>
      </c>
      <c r="N860" s="1477" t="s">
        <v>1694</v>
      </c>
      <c r="O860" s="1479">
        <v>353239</v>
      </c>
      <c r="P860" s="1479"/>
      <c r="Q860" s="1142">
        <f t="shared" si="235"/>
        <v>353239</v>
      </c>
      <c r="R860" s="1143">
        <f>IFERROR(VLOOKUP(CONCATENATE(E860,G860),'LAC 103'!$A$12:$O$95,11,FALSE),0)</f>
        <v>3.2074101033884355</v>
      </c>
      <c r="S860" s="1144">
        <f>IFERROR(VLOOKUP(CONCATENATE($E860,$G860),'LAC 103'!$A$12:$O$95,12,FALSE),0)</f>
        <v>3.99</v>
      </c>
      <c r="T860" s="1144">
        <f>IFERROR(VLOOKUP(CONCATENATE($E860,$G860),'LAC 103'!$A$12:$O$95,13,FALSE),0)</f>
        <v>2.48</v>
      </c>
      <c r="U860" s="1144">
        <f>IFERROR(VLOOKUP(CONCATENATE($E860,$G860),'LAC 103'!$A$12:$O$95,14,FALSE),0)</f>
        <v>0</v>
      </c>
      <c r="V860" s="1144">
        <f>IFERROR(VLOOKUP(CONCATENATE($E860,$G860),'LAC 103'!$A$12:$O$95,15,FALSE),0)</f>
        <v>0</v>
      </c>
      <c r="W860" s="1145" t="str">
        <f>IFERROR(VLOOKUP(CONCATENATE($B860,$N860),'LAC 103'!$AI:$AQ,9,FALSE),"")</f>
        <v>Costs</v>
      </c>
      <c r="X860" s="1146">
        <f t="shared" si="240"/>
        <v>3.2074101033884355</v>
      </c>
      <c r="Y860" s="1143">
        <f t="shared" si="251"/>
        <v>1132982.3375108275</v>
      </c>
      <c r="Z860" s="1147">
        <f t="shared" si="241"/>
        <v>1409423.61</v>
      </c>
      <c r="AA860" s="1144">
        <f t="shared" si="242"/>
        <v>876032.72</v>
      </c>
      <c r="AB860" s="1144">
        <f t="shared" si="243"/>
        <v>0</v>
      </c>
      <c r="AC860" s="1144">
        <f t="shared" si="244"/>
        <v>0</v>
      </c>
      <c r="AD860" s="1148">
        <f t="shared" si="236"/>
        <v>1132982.3375108275</v>
      </c>
      <c r="AE860" s="1487">
        <v>0</v>
      </c>
      <c r="AF860" s="1145">
        <f t="shared" si="245"/>
        <v>1132982.3375108275</v>
      </c>
      <c r="AG860" s="1149">
        <f>IFERROR(VLOOKUP(CONCATENATE($L860,$N860),'Drop List'!$G$23:$K$87,2,FALSE),0)</f>
        <v>0.56200000000000006</v>
      </c>
      <c r="AH860" s="1150">
        <f>IFERROR(VLOOKUP(CONCATENATE($L860,$N860),'Drop List'!$G$23:$K$87,3,FALSE),0)</f>
        <v>0</v>
      </c>
      <c r="AI860" s="1150">
        <f>IFERROR(VLOOKUP(CONCATENATE($L860,$N860),'Drop List'!$G$23:$K$87,4,FALSE),0)</f>
        <v>0</v>
      </c>
      <c r="AJ860" s="1151">
        <f>IFERROR(VLOOKUP(CONCATENATE($L860,$N860),'Drop List'!$G$23:$K$87,5,FALSE),0)</f>
        <v>0.43799999999999994</v>
      </c>
      <c r="AK860" s="1152">
        <f t="shared" si="246"/>
        <v>636736.07368108514</v>
      </c>
      <c r="AL860" s="1153">
        <f t="shared" si="247"/>
        <v>0</v>
      </c>
      <c r="AM860" s="1153">
        <f t="shared" si="248"/>
        <v>0</v>
      </c>
      <c r="AN860" s="1145">
        <f t="shared" si="249"/>
        <v>496246.26382974238</v>
      </c>
      <c r="AO860" s="1154">
        <f t="shared" si="250"/>
        <v>1132982.3375108275</v>
      </c>
      <c r="AP860" s="1147">
        <f t="shared" si="237"/>
        <v>0</v>
      </c>
      <c r="AQ860" s="1144">
        <f t="shared" si="238"/>
        <v>0</v>
      </c>
      <c r="AR860" s="1146">
        <f t="shared" si="239"/>
        <v>1132982.3375108275</v>
      </c>
    </row>
    <row r="861" spans="1:44" x14ac:dyDescent="0.2">
      <c r="A861" s="1141" t="str">
        <f t="shared" si="234"/>
        <v>1542</v>
      </c>
      <c r="B861" s="1141" t="str">
        <f>IFERROR(VLOOKUP(A861,'LAC 103'!A:C,3,FALSE),"")</f>
        <v>OP</v>
      </c>
      <c r="C861" s="1478" t="str">
        <f>Info!$B$8</f>
        <v>00100</v>
      </c>
      <c r="D861" s="1474" t="s">
        <v>256</v>
      </c>
      <c r="E861" s="1474" t="s">
        <v>95</v>
      </c>
      <c r="F861" s="1478" t="s">
        <v>392</v>
      </c>
      <c r="G861" s="1478" t="s">
        <v>392</v>
      </c>
      <c r="H861" s="1474" t="s">
        <v>1091</v>
      </c>
      <c r="I861" s="1478" t="s">
        <v>815</v>
      </c>
      <c r="J861" s="1478"/>
      <c r="K861" s="1475" t="s">
        <v>851</v>
      </c>
      <c r="L861" s="1474" t="s">
        <v>584</v>
      </c>
      <c r="M861" s="1476" t="s">
        <v>841</v>
      </c>
      <c r="N861" s="1477" t="s">
        <v>1695</v>
      </c>
      <c r="O861" s="1479">
        <v>157343</v>
      </c>
      <c r="P861" s="1479"/>
      <c r="Q861" s="1142">
        <f t="shared" si="235"/>
        <v>157343</v>
      </c>
      <c r="R861" s="1143">
        <f>IFERROR(VLOOKUP(CONCATENATE(E861,G861),'LAC 103'!$A$12:$O$95,11,FALSE),0)</f>
        <v>3.2074101033884355</v>
      </c>
      <c r="S861" s="1144">
        <f>IFERROR(VLOOKUP(CONCATENATE($E861,$G861),'LAC 103'!$A$12:$O$95,12,FALSE),0)</f>
        <v>3.99</v>
      </c>
      <c r="T861" s="1144">
        <f>IFERROR(VLOOKUP(CONCATENATE($E861,$G861),'LAC 103'!$A$12:$O$95,13,FALSE),0)</f>
        <v>2.48</v>
      </c>
      <c r="U861" s="1144">
        <f>IFERROR(VLOOKUP(CONCATENATE($E861,$G861),'LAC 103'!$A$12:$O$95,14,FALSE),0)</f>
        <v>0</v>
      </c>
      <c r="V861" s="1144">
        <f>IFERROR(VLOOKUP(CONCATENATE($E861,$G861),'LAC 103'!$A$12:$O$95,15,FALSE),0)</f>
        <v>0</v>
      </c>
      <c r="W861" s="1145" t="str">
        <f>IFERROR(VLOOKUP(CONCATENATE($B861,$N861),'LAC 103'!$AI:$AQ,9,FALSE),"")</f>
        <v>Costs</v>
      </c>
      <c r="X861" s="1146">
        <f t="shared" si="240"/>
        <v>3.2074101033884355</v>
      </c>
      <c r="Y861" s="1143">
        <f t="shared" si="251"/>
        <v>504663.52789744659</v>
      </c>
      <c r="Z861" s="1147">
        <f t="shared" si="241"/>
        <v>627798.57000000007</v>
      </c>
      <c r="AA861" s="1144">
        <f t="shared" si="242"/>
        <v>390210.64</v>
      </c>
      <c r="AB861" s="1144">
        <f t="shared" si="243"/>
        <v>0</v>
      </c>
      <c r="AC861" s="1144">
        <f t="shared" si="244"/>
        <v>0</v>
      </c>
      <c r="AD861" s="1148">
        <f t="shared" si="236"/>
        <v>504663.52789744659</v>
      </c>
      <c r="AE861" s="1487">
        <v>0</v>
      </c>
      <c r="AF861" s="1145">
        <f t="shared" si="245"/>
        <v>504663.52789744659</v>
      </c>
      <c r="AG861" s="1149">
        <f>IFERROR(VLOOKUP(CONCATENATE($L861,$N861),'Drop List'!$G$23:$K$87,2,FALSE),0)</f>
        <v>0.55000000000000004</v>
      </c>
      <c r="AH861" s="1150">
        <f>IFERROR(VLOOKUP(CONCATENATE($L861,$N861),'Drop List'!$G$23:$K$87,3,FALSE),0)</f>
        <v>0</v>
      </c>
      <c r="AI861" s="1150">
        <f>IFERROR(VLOOKUP(CONCATENATE($L861,$N861),'Drop List'!$G$23:$K$87,4,FALSE),0)</f>
        <v>0</v>
      </c>
      <c r="AJ861" s="1151">
        <f>IFERROR(VLOOKUP(CONCATENATE($L861,$N861),'Drop List'!$G$23:$K$87,5,FALSE),0)</f>
        <v>0.44999999999999996</v>
      </c>
      <c r="AK861" s="1152">
        <f t="shared" si="246"/>
        <v>277564.94034359563</v>
      </c>
      <c r="AL861" s="1153">
        <f t="shared" si="247"/>
        <v>0</v>
      </c>
      <c r="AM861" s="1153">
        <f t="shared" si="248"/>
        <v>0</v>
      </c>
      <c r="AN861" s="1145">
        <f t="shared" si="249"/>
        <v>227098.58755385096</v>
      </c>
      <c r="AO861" s="1154">
        <f t="shared" si="250"/>
        <v>504663.52789744659</v>
      </c>
      <c r="AP861" s="1147">
        <f t="shared" si="237"/>
        <v>0</v>
      </c>
      <c r="AQ861" s="1144">
        <f t="shared" si="238"/>
        <v>0</v>
      </c>
      <c r="AR861" s="1146">
        <f t="shared" si="239"/>
        <v>504663.52789744659</v>
      </c>
    </row>
    <row r="862" spans="1:44" x14ac:dyDescent="0.2">
      <c r="A862" s="1141" t="str">
        <f t="shared" si="234"/>
        <v>1542</v>
      </c>
      <c r="B862" s="1141" t="str">
        <f>IFERROR(VLOOKUP(A862,'LAC 103'!A:C,3,FALSE),"")</f>
        <v>OP</v>
      </c>
      <c r="C862" s="1478" t="str">
        <f>Info!$B$8</f>
        <v>00100</v>
      </c>
      <c r="D862" s="1474" t="s">
        <v>256</v>
      </c>
      <c r="E862" s="1474" t="s">
        <v>95</v>
      </c>
      <c r="F862" s="1478" t="s">
        <v>392</v>
      </c>
      <c r="G862" s="1478" t="s">
        <v>392</v>
      </c>
      <c r="H862" s="1474" t="s">
        <v>1091</v>
      </c>
      <c r="I862" s="1478" t="s">
        <v>815</v>
      </c>
      <c r="J862" s="1478"/>
      <c r="K862" s="1475" t="s">
        <v>851</v>
      </c>
      <c r="L862" s="1474" t="s">
        <v>584</v>
      </c>
      <c r="M862" s="1476" t="s">
        <v>840</v>
      </c>
      <c r="N862" s="1477" t="s">
        <v>1700</v>
      </c>
      <c r="O862" s="1479">
        <v>183699</v>
      </c>
      <c r="P862" s="1479"/>
      <c r="Q862" s="1142">
        <f t="shared" si="235"/>
        <v>183699</v>
      </c>
      <c r="R862" s="1143">
        <f>IFERROR(VLOOKUP(CONCATENATE(E862,G862),'LAC 103'!$A$12:$O$95,11,FALSE),0)</f>
        <v>3.2074101033884355</v>
      </c>
      <c r="S862" s="1144">
        <f>IFERROR(VLOOKUP(CONCATENATE($E862,$G862),'LAC 103'!$A$12:$O$95,12,FALSE),0)</f>
        <v>3.99</v>
      </c>
      <c r="T862" s="1144">
        <f>IFERROR(VLOOKUP(CONCATENATE($E862,$G862),'LAC 103'!$A$12:$O$95,13,FALSE),0)</f>
        <v>2.48</v>
      </c>
      <c r="U862" s="1144">
        <f>IFERROR(VLOOKUP(CONCATENATE($E862,$G862),'LAC 103'!$A$12:$O$95,14,FALSE),0)</f>
        <v>0</v>
      </c>
      <c r="V862" s="1144">
        <f>IFERROR(VLOOKUP(CONCATENATE($E862,$G862),'LAC 103'!$A$12:$O$95,15,FALSE),0)</f>
        <v>0</v>
      </c>
      <c r="W862" s="1145" t="str">
        <f>IFERROR(VLOOKUP(CONCATENATE($B862,$N862),'LAC 103'!$AI:$AQ,9,FALSE),"")</f>
        <v>P.C.</v>
      </c>
      <c r="X862" s="1146">
        <f t="shared" si="240"/>
        <v>2.48</v>
      </c>
      <c r="Y862" s="1143">
        <f t="shared" si="251"/>
        <v>589198.02858235221</v>
      </c>
      <c r="Z862" s="1147">
        <f t="shared" si="241"/>
        <v>732959.01</v>
      </c>
      <c r="AA862" s="1144">
        <f t="shared" si="242"/>
        <v>455573.52</v>
      </c>
      <c r="AB862" s="1144">
        <f t="shared" si="243"/>
        <v>0</v>
      </c>
      <c r="AC862" s="1144">
        <f t="shared" si="244"/>
        <v>0</v>
      </c>
      <c r="AD862" s="1148">
        <f t="shared" si="236"/>
        <v>455573.52</v>
      </c>
      <c r="AE862" s="1487">
        <v>123636</v>
      </c>
      <c r="AF862" s="1145">
        <f t="shared" si="245"/>
        <v>331937.52</v>
      </c>
      <c r="AG862" s="1149">
        <f>IFERROR(VLOOKUP(CONCATENATE($L862,$N862),'Drop List'!$G$23:$K$87,2,FALSE),0)</f>
        <v>0.55000000000000004</v>
      </c>
      <c r="AH862" s="1150">
        <f>IFERROR(VLOOKUP(CONCATENATE($L862,$N862),'Drop List'!$G$23:$K$87,3,FALSE),0)</f>
        <v>0</v>
      </c>
      <c r="AI862" s="1150">
        <f>IFERROR(VLOOKUP(CONCATENATE($L862,$N862),'Drop List'!$G$23:$K$87,4,FALSE),0)</f>
        <v>0</v>
      </c>
      <c r="AJ862" s="1151">
        <f>IFERROR(VLOOKUP(CONCATENATE($L862,$N862),'Drop List'!$G$23:$K$87,5,FALSE),0)</f>
        <v>0.44999999999999996</v>
      </c>
      <c r="AK862" s="1152">
        <f t="shared" si="246"/>
        <v>182565.63600000003</v>
      </c>
      <c r="AL862" s="1153">
        <f t="shared" si="247"/>
        <v>0</v>
      </c>
      <c r="AM862" s="1153">
        <f t="shared" si="248"/>
        <v>0</v>
      </c>
      <c r="AN862" s="1145">
        <f t="shared" si="249"/>
        <v>149371.88399999999</v>
      </c>
      <c r="AO862" s="1154">
        <f t="shared" si="250"/>
        <v>331937.52</v>
      </c>
      <c r="AP862" s="1147">
        <f t="shared" si="237"/>
        <v>0</v>
      </c>
      <c r="AQ862" s="1144">
        <f t="shared" si="238"/>
        <v>0</v>
      </c>
      <c r="AR862" s="1146">
        <f t="shared" si="239"/>
        <v>331937.52</v>
      </c>
    </row>
    <row r="863" spans="1:44" x14ac:dyDescent="0.2">
      <c r="A863" s="1141" t="str">
        <f t="shared" si="234"/>
        <v>1542</v>
      </c>
      <c r="B863" s="1141" t="str">
        <f>IFERROR(VLOOKUP(A863,'LAC 103'!A:C,3,FALSE),"")</f>
        <v>OP</v>
      </c>
      <c r="C863" s="1478" t="str">
        <f>Info!$B$8</f>
        <v>00100</v>
      </c>
      <c r="D863" s="1474" t="s">
        <v>256</v>
      </c>
      <c r="E863" s="1474" t="s">
        <v>95</v>
      </c>
      <c r="F863" s="1478" t="s">
        <v>392</v>
      </c>
      <c r="G863" s="1478" t="s">
        <v>392</v>
      </c>
      <c r="H863" s="1474" t="s">
        <v>1091</v>
      </c>
      <c r="I863" s="1478" t="s">
        <v>815</v>
      </c>
      <c r="J863" s="1478"/>
      <c r="K863" s="1475" t="s">
        <v>851</v>
      </c>
      <c r="L863" s="1474" t="s">
        <v>584</v>
      </c>
      <c r="M863" s="1476" t="s">
        <v>842</v>
      </c>
      <c r="N863" s="1477" t="s">
        <v>1692</v>
      </c>
      <c r="O863" s="1479">
        <v>353184</v>
      </c>
      <c r="P863" s="1479"/>
      <c r="Q863" s="1142">
        <f t="shared" si="235"/>
        <v>353184</v>
      </c>
      <c r="R863" s="1143">
        <f>IFERROR(VLOOKUP(CONCATENATE(E863,G863),'LAC 103'!$A$12:$O$95,11,FALSE),0)</f>
        <v>3.2074101033884355</v>
      </c>
      <c r="S863" s="1144">
        <f>IFERROR(VLOOKUP(CONCATENATE($E863,$G863),'LAC 103'!$A$12:$O$95,12,FALSE),0)</f>
        <v>3.99</v>
      </c>
      <c r="T863" s="1144">
        <f>IFERROR(VLOOKUP(CONCATENATE($E863,$G863),'LAC 103'!$A$12:$O$95,13,FALSE),0)</f>
        <v>2.48</v>
      </c>
      <c r="U863" s="1144">
        <f>IFERROR(VLOOKUP(CONCATENATE($E863,$G863),'LAC 103'!$A$12:$O$95,14,FALSE),0)</f>
        <v>0</v>
      </c>
      <c r="V863" s="1144">
        <f>IFERROR(VLOOKUP(CONCATENATE($E863,$G863),'LAC 103'!$A$12:$O$95,15,FALSE),0)</f>
        <v>0</v>
      </c>
      <c r="W863" s="1145" t="str">
        <f>IFERROR(VLOOKUP(CONCATENATE($B863,$N863),'LAC 103'!$AI:$AQ,9,FALSE),"")</f>
        <v>Costs</v>
      </c>
      <c r="X863" s="1146">
        <f t="shared" si="240"/>
        <v>3.2074101033884355</v>
      </c>
      <c r="Y863" s="1143">
        <f t="shared" si="251"/>
        <v>1132805.9299551412</v>
      </c>
      <c r="Z863" s="1147">
        <f t="shared" si="241"/>
        <v>1409204.1600000001</v>
      </c>
      <c r="AA863" s="1144">
        <f t="shared" si="242"/>
        <v>875896.31999999995</v>
      </c>
      <c r="AB863" s="1144">
        <f t="shared" si="243"/>
        <v>0</v>
      </c>
      <c r="AC863" s="1144">
        <f t="shared" si="244"/>
        <v>0</v>
      </c>
      <c r="AD863" s="1148">
        <f t="shared" si="236"/>
        <v>1132805.9299551412</v>
      </c>
      <c r="AE863" s="1487">
        <v>0</v>
      </c>
      <c r="AF863" s="1145">
        <f t="shared" si="245"/>
        <v>1132805.9299551412</v>
      </c>
      <c r="AG863" s="1149">
        <f>IFERROR(VLOOKUP(CONCATENATE($L863,$N863),'Drop List'!$G$23:$K$87,2,FALSE),0)</f>
        <v>0.56200000000000006</v>
      </c>
      <c r="AH863" s="1150">
        <f>IFERROR(VLOOKUP(CONCATENATE($L863,$N863),'Drop List'!$G$23:$K$87,3,FALSE),0)</f>
        <v>0</v>
      </c>
      <c r="AI863" s="1150">
        <f>IFERROR(VLOOKUP(CONCATENATE($L863,$N863),'Drop List'!$G$23:$K$87,4,FALSE),0)</f>
        <v>0</v>
      </c>
      <c r="AJ863" s="1151">
        <f>IFERROR(VLOOKUP(CONCATENATE($L863,$N863),'Drop List'!$G$23:$K$87,5,FALSE),0)</f>
        <v>0.43799999999999994</v>
      </c>
      <c r="AK863" s="1152">
        <f t="shared" si="246"/>
        <v>636636.93263478938</v>
      </c>
      <c r="AL863" s="1153">
        <f t="shared" si="247"/>
        <v>0</v>
      </c>
      <c r="AM863" s="1153">
        <f t="shared" si="248"/>
        <v>0</v>
      </c>
      <c r="AN863" s="1145">
        <f t="shared" si="249"/>
        <v>496168.99732035177</v>
      </c>
      <c r="AO863" s="1154">
        <f t="shared" si="250"/>
        <v>1132805.9299551412</v>
      </c>
      <c r="AP863" s="1147">
        <f t="shared" si="237"/>
        <v>0</v>
      </c>
      <c r="AQ863" s="1144">
        <f t="shared" si="238"/>
        <v>0</v>
      </c>
      <c r="AR863" s="1146">
        <f t="shared" si="239"/>
        <v>1132805.9299551412</v>
      </c>
    </row>
    <row r="864" spans="1:44" x14ac:dyDescent="0.2">
      <c r="A864" s="1141" t="str">
        <f t="shared" si="234"/>
        <v>1542</v>
      </c>
      <c r="B864" s="1141" t="str">
        <f>IFERROR(VLOOKUP(A864,'LAC 103'!A:C,3,FALSE),"")</f>
        <v>OP</v>
      </c>
      <c r="C864" s="1478" t="str">
        <f>Info!$B$8</f>
        <v>00100</v>
      </c>
      <c r="D864" s="1474" t="s">
        <v>256</v>
      </c>
      <c r="E864" s="1474" t="s">
        <v>95</v>
      </c>
      <c r="F864" s="1478" t="s">
        <v>392</v>
      </c>
      <c r="G864" s="1478" t="s">
        <v>392</v>
      </c>
      <c r="H864" s="1474" t="s">
        <v>1091</v>
      </c>
      <c r="I864" s="1478" t="s">
        <v>815</v>
      </c>
      <c r="J864" s="1478"/>
      <c r="K864" s="1475" t="s">
        <v>851</v>
      </c>
      <c r="L864" s="1474" t="s">
        <v>584</v>
      </c>
      <c r="M864" s="1476" t="s">
        <v>1698</v>
      </c>
      <c r="N864" s="1477" t="s">
        <v>1693</v>
      </c>
      <c r="O864" s="1479">
        <v>352485</v>
      </c>
      <c r="P864" s="1479"/>
      <c r="Q864" s="1142">
        <f t="shared" si="235"/>
        <v>352485</v>
      </c>
      <c r="R864" s="1143">
        <f>IFERROR(VLOOKUP(CONCATENATE(E864,G864),'LAC 103'!$A$12:$O$95,11,FALSE),0)</f>
        <v>3.2074101033884355</v>
      </c>
      <c r="S864" s="1144">
        <f>IFERROR(VLOOKUP(CONCATENATE($E864,$G864),'LAC 103'!$A$12:$O$95,12,FALSE),0)</f>
        <v>3.99</v>
      </c>
      <c r="T864" s="1144">
        <f>IFERROR(VLOOKUP(CONCATENATE($E864,$G864),'LAC 103'!$A$12:$O$95,13,FALSE),0)</f>
        <v>2.48</v>
      </c>
      <c r="U864" s="1144">
        <f>IFERROR(VLOOKUP(CONCATENATE($E864,$G864),'LAC 103'!$A$12:$O$95,14,FALSE),0)</f>
        <v>0</v>
      </c>
      <c r="V864" s="1144">
        <f>IFERROR(VLOOKUP(CONCATENATE($E864,$G864),'LAC 103'!$A$12:$O$95,15,FALSE),0)</f>
        <v>0</v>
      </c>
      <c r="W864" s="1145" t="str">
        <f>IFERROR(VLOOKUP(CONCATENATE($B864,$N864),'LAC 103'!$AI:$AQ,9,FALSE),"")</f>
        <v>Costs</v>
      </c>
      <c r="X864" s="1146">
        <f t="shared" si="240"/>
        <v>3.2074101033884355</v>
      </c>
      <c r="Y864" s="1143">
        <f t="shared" si="251"/>
        <v>1130563.9502928727</v>
      </c>
      <c r="Z864" s="1147">
        <f t="shared" si="241"/>
        <v>1406415.1500000001</v>
      </c>
      <c r="AA864" s="1144">
        <f t="shared" si="242"/>
        <v>874162.8</v>
      </c>
      <c r="AB864" s="1144">
        <f t="shared" si="243"/>
        <v>0</v>
      </c>
      <c r="AC864" s="1144">
        <f t="shared" si="244"/>
        <v>0</v>
      </c>
      <c r="AD864" s="1148">
        <f t="shared" si="236"/>
        <v>1130563.9502928727</v>
      </c>
      <c r="AE864" s="1487">
        <v>0</v>
      </c>
      <c r="AF864" s="1145">
        <f t="shared" si="245"/>
        <v>1130563.9502928727</v>
      </c>
      <c r="AG864" s="1149">
        <f>IFERROR(VLOOKUP(CONCATENATE($L864,$N864),'Drop List'!$G$23:$K$87,2,FALSE),0)</f>
        <v>0.56200000000000006</v>
      </c>
      <c r="AH864" s="1150">
        <f>IFERROR(VLOOKUP(CONCATENATE($L864,$N864),'Drop List'!$G$23:$K$87,3,FALSE),0)</f>
        <v>0</v>
      </c>
      <c r="AI864" s="1150">
        <f>IFERROR(VLOOKUP(CONCATENATE($L864,$N864),'Drop List'!$G$23:$K$87,4,FALSE),0)</f>
        <v>0</v>
      </c>
      <c r="AJ864" s="1151">
        <f>IFERROR(VLOOKUP(CONCATENATE($L864,$N864),'Drop List'!$G$23:$K$87,5,FALSE),0)</f>
        <v>0.43799999999999994</v>
      </c>
      <c r="AK864" s="1152">
        <f t="shared" si="246"/>
        <v>635376.9400645945</v>
      </c>
      <c r="AL864" s="1153">
        <f t="shared" si="247"/>
        <v>0</v>
      </c>
      <c r="AM864" s="1153">
        <f t="shared" si="248"/>
        <v>0</v>
      </c>
      <c r="AN864" s="1145">
        <f t="shared" si="249"/>
        <v>495187.01022827817</v>
      </c>
      <c r="AO864" s="1154">
        <f t="shared" si="250"/>
        <v>1130563.9502928727</v>
      </c>
      <c r="AP864" s="1147">
        <f t="shared" si="237"/>
        <v>0</v>
      </c>
      <c r="AQ864" s="1144">
        <f t="shared" si="238"/>
        <v>0</v>
      </c>
      <c r="AR864" s="1146">
        <f t="shared" si="239"/>
        <v>1130563.9502928727</v>
      </c>
    </row>
    <row r="865" spans="1:44" x14ac:dyDescent="0.2">
      <c r="A865" s="1141" t="str">
        <f t="shared" si="234"/>
        <v>1542</v>
      </c>
      <c r="B865" s="1141" t="str">
        <f>IFERROR(VLOOKUP(A865,'LAC 103'!A:C,3,FALSE),"")</f>
        <v>OP</v>
      </c>
      <c r="C865" s="1478" t="str">
        <f>Info!$B$8</f>
        <v>00100</v>
      </c>
      <c r="D865" s="1474" t="s">
        <v>256</v>
      </c>
      <c r="E865" s="1474" t="s">
        <v>95</v>
      </c>
      <c r="F865" s="1478" t="s">
        <v>392</v>
      </c>
      <c r="G865" s="1478" t="s">
        <v>392</v>
      </c>
      <c r="H865" s="1474" t="s">
        <v>983</v>
      </c>
      <c r="I865" s="1478" t="s">
        <v>823</v>
      </c>
      <c r="J865" s="1478" t="s">
        <v>1998</v>
      </c>
      <c r="K865" s="1475" t="s">
        <v>1654</v>
      </c>
      <c r="L865" s="1474" t="s">
        <v>332</v>
      </c>
      <c r="M865" s="1476" t="s">
        <v>841</v>
      </c>
      <c r="N865" s="1477" t="s">
        <v>1695</v>
      </c>
      <c r="O865" s="1479">
        <v>141</v>
      </c>
      <c r="P865" s="1479"/>
      <c r="Q865" s="1142">
        <f t="shared" si="235"/>
        <v>141</v>
      </c>
      <c r="R865" s="1143">
        <f>IFERROR(VLOOKUP(CONCATENATE(E865,G865),'LAC 103'!$A$12:$O$95,11,FALSE),0)</f>
        <v>3.2074101033884355</v>
      </c>
      <c r="S865" s="1144">
        <f>IFERROR(VLOOKUP(CONCATENATE($E865,$G865),'LAC 103'!$A$12:$O$95,12,FALSE),0)</f>
        <v>3.99</v>
      </c>
      <c r="T865" s="1144">
        <f>IFERROR(VLOOKUP(CONCATENATE($E865,$G865),'LAC 103'!$A$12:$O$95,13,FALSE),0)</f>
        <v>2.48</v>
      </c>
      <c r="U865" s="1144">
        <f>IFERROR(VLOOKUP(CONCATENATE($E865,$G865),'LAC 103'!$A$12:$O$95,14,FALSE),0)</f>
        <v>0</v>
      </c>
      <c r="V865" s="1144">
        <f>IFERROR(VLOOKUP(CONCATENATE($E865,$G865),'LAC 103'!$A$12:$O$95,15,FALSE),0)</f>
        <v>0</v>
      </c>
      <c r="W865" s="1145" t="str">
        <f>IFERROR(VLOOKUP(CONCATENATE($B865,$N865),'LAC 103'!$AI:$AQ,9,FALSE),"")</f>
        <v>Costs</v>
      </c>
      <c r="X865" s="1146">
        <f t="shared" si="240"/>
        <v>3.2074101033884355</v>
      </c>
      <c r="Y865" s="1143">
        <f t="shared" si="251"/>
        <v>452.24482457776941</v>
      </c>
      <c r="Z865" s="1147">
        <f t="shared" si="241"/>
        <v>562.59</v>
      </c>
      <c r="AA865" s="1144">
        <f t="shared" si="242"/>
        <v>349.68</v>
      </c>
      <c r="AB865" s="1144">
        <f t="shared" si="243"/>
        <v>0</v>
      </c>
      <c r="AC865" s="1144">
        <f t="shared" si="244"/>
        <v>0</v>
      </c>
      <c r="AD865" s="1148">
        <f t="shared" si="236"/>
        <v>452.24482457776941</v>
      </c>
      <c r="AE865" s="1487">
        <v>0</v>
      </c>
      <c r="AF865" s="1145">
        <f t="shared" si="245"/>
        <v>452.24482457776941</v>
      </c>
      <c r="AG865" s="1149">
        <f>IFERROR(VLOOKUP(CONCATENATE($L865,$N865),'Drop List'!$G$23:$K$87,2,FALSE),0)</f>
        <v>0</v>
      </c>
      <c r="AH865" s="1150">
        <f>IFERROR(VLOOKUP(CONCATENATE($L865,$N865),'Drop List'!$G$23:$K$87,3,FALSE),0)</f>
        <v>0</v>
      </c>
      <c r="AI865" s="1150">
        <f>IFERROR(VLOOKUP(CONCATENATE($L865,$N865),'Drop List'!$G$23:$K$87,4,FALSE),0)</f>
        <v>0</v>
      </c>
      <c r="AJ865" s="1151">
        <f>IFERROR(VLOOKUP(CONCATENATE($L865,$N865),'Drop List'!$G$23:$K$87,5,FALSE),0)</f>
        <v>0</v>
      </c>
      <c r="AK865" s="1152">
        <f t="shared" si="246"/>
        <v>0</v>
      </c>
      <c r="AL865" s="1153">
        <f t="shared" si="247"/>
        <v>0</v>
      </c>
      <c r="AM865" s="1153">
        <f t="shared" si="248"/>
        <v>0</v>
      </c>
      <c r="AN865" s="1145">
        <f t="shared" si="249"/>
        <v>0</v>
      </c>
      <c r="AO865" s="1154">
        <f t="shared" si="250"/>
        <v>0</v>
      </c>
      <c r="AP865" s="1147">
        <f t="shared" si="237"/>
        <v>452.24482457776941</v>
      </c>
      <c r="AQ865" s="1144">
        <f t="shared" si="238"/>
        <v>0</v>
      </c>
      <c r="AR865" s="1146">
        <f t="shared" si="239"/>
        <v>452.24482457776941</v>
      </c>
    </row>
    <row r="866" spans="1:44" x14ac:dyDescent="0.2">
      <c r="A866" s="1141" t="str">
        <f t="shared" si="234"/>
        <v>1542</v>
      </c>
      <c r="B866" s="1141" t="str">
        <f>IFERROR(VLOOKUP(A866,'LAC 103'!A:C,3,FALSE),"")</f>
        <v>OP</v>
      </c>
      <c r="C866" s="1478" t="str">
        <f>Info!$B$8</f>
        <v>00100</v>
      </c>
      <c r="D866" s="1474" t="s">
        <v>256</v>
      </c>
      <c r="E866" s="1474" t="s">
        <v>95</v>
      </c>
      <c r="F866" s="1478" t="s">
        <v>392</v>
      </c>
      <c r="G866" s="1478" t="s">
        <v>392</v>
      </c>
      <c r="H866" s="1474" t="s">
        <v>983</v>
      </c>
      <c r="I866" s="1478" t="s">
        <v>823</v>
      </c>
      <c r="J866" s="1478" t="s">
        <v>1998</v>
      </c>
      <c r="K866" s="1475" t="s">
        <v>1654</v>
      </c>
      <c r="L866" s="1474" t="s">
        <v>332</v>
      </c>
      <c r="M866" s="1476" t="s">
        <v>840</v>
      </c>
      <c r="N866" s="1477" t="s">
        <v>1700</v>
      </c>
      <c r="O866" s="1479">
        <v>137</v>
      </c>
      <c r="P866" s="1479"/>
      <c r="Q866" s="1142">
        <f t="shared" si="235"/>
        <v>137</v>
      </c>
      <c r="R866" s="1143">
        <f>IFERROR(VLOOKUP(CONCATENATE(E866,G866),'LAC 103'!$A$12:$O$95,11,FALSE),0)</f>
        <v>3.2074101033884355</v>
      </c>
      <c r="S866" s="1144">
        <f>IFERROR(VLOOKUP(CONCATENATE($E866,$G866),'LAC 103'!$A$12:$O$95,12,FALSE),0)</f>
        <v>3.99</v>
      </c>
      <c r="T866" s="1144">
        <f>IFERROR(VLOOKUP(CONCATENATE($E866,$G866),'LAC 103'!$A$12:$O$95,13,FALSE),0)</f>
        <v>2.48</v>
      </c>
      <c r="U866" s="1144">
        <f>IFERROR(VLOOKUP(CONCATENATE($E866,$G866),'LAC 103'!$A$12:$O$95,14,FALSE),0)</f>
        <v>0</v>
      </c>
      <c r="V866" s="1144">
        <f>IFERROR(VLOOKUP(CONCATENATE($E866,$G866),'LAC 103'!$A$12:$O$95,15,FALSE),0)</f>
        <v>0</v>
      </c>
      <c r="W866" s="1145" t="str">
        <f>IFERROR(VLOOKUP(CONCATENATE($B866,$N866),'LAC 103'!$AI:$AQ,9,FALSE),"")</f>
        <v>P.C.</v>
      </c>
      <c r="X866" s="1146">
        <f t="shared" si="240"/>
        <v>2.48</v>
      </c>
      <c r="Y866" s="1143">
        <f t="shared" si="251"/>
        <v>439.41518416421565</v>
      </c>
      <c r="Z866" s="1147">
        <f t="shared" si="241"/>
        <v>546.63</v>
      </c>
      <c r="AA866" s="1144">
        <f t="shared" si="242"/>
        <v>339.76</v>
      </c>
      <c r="AB866" s="1144">
        <f t="shared" si="243"/>
        <v>0</v>
      </c>
      <c r="AC866" s="1144">
        <f t="shared" si="244"/>
        <v>0</v>
      </c>
      <c r="AD866" s="1148">
        <f t="shared" si="236"/>
        <v>339.76</v>
      </c>
      <c r="AE866" s="1487">
        <v>0</v>
      </c>
      <c r="AF866" s="1145">
        <f t="shared" si="245"/>
        <v>339.76</v>
      </c>
      <c r="AG866" s="1149">
        <f>IFERROR(VLOOKUP(CONCATENATE($L866,$N866),'Drop List'!$G$23:$K$87,2,FALSE),0)</f>
        <v>0</v>
      </c>
      <c r="AH866" s="1150">
        <f>IFERROR(VLOOKUP(CONCATENATE($L866,$N866),'Drop List'!$G$23:$K$87,3,FALSE),0)</f>
        <v>0</v>
      </c>
      <c r="AI866" s="1150">
        <f>IFERROR(VLOOKUP(CONCATENATE($L866,$N866),'Drop List'!$G$23:$K$87,4,FALSE),0)</f>
        <v>0</v>
      </c>
      <c r="AJ866" s="1151">
        <f>IFERROR(VLOOKUP(CONCATENATE($L866,$N866),'Drop List'!$G$23:$K$87,5,FALSE),0)</f>
        <v>0</v>
      </c>
      <c r="AK866" s="1152">
        <f t="shared" si="246"/>
        <v>0</v>
      </c>
      <c r="AL866" s="1153">
        <f t="shared" si="247"/>
        <v>0</v>
      </c>
      <c r="AM866" s="1153">
        <f t="shared" si="248"/>
        <v>0</v>
      </c>
      <c r="AN866" s="1145">
        <f t="shared" si="249"/>
        <v>0</v>
      </c>
      <c r="AO866" s="1154">
        <f t="shared" si="250"/>
        <v>0</v>
      </c>
      <c r="AP866" s="1147">
        <f t="shared" si="237"/>
        <v>339.76</v>
      </c>
      <c r="AQ866" s="1144">
        <f t="shared" si="238"/>
        <v>0</v>
      </c>
      <c r="AR866" s="1146">
        <f t="shared" si="239"/>
        <v>339.76</v>
      </c>
    </row>
    <row r="867" spans="1:44" x14ac:dyDescent="0.2">
      <c r="A867" s="1141" t="str">
        <f t="shared" si="234"/>
        <v>1542</v>
      </c>
      <c r="B867" s="1141" t="str">
        <f>IFERROR(VLOOKUP(A867,'LAC 103'!A:C,3,FALSE),"")</f>
        <v>OP</v>
      </c>
      <c r="C867" s="1478" t="str">
        <f>Info!$B$8</f>
        <v>00100</v>
      </c>
      <c r="D867" s="1474" t="s">
        <v>256</v>
      </c>
      <c r="E867" s="1474" t="s">
        <v>95</v>
      </c>
      <c r="F867" s="1478" t="s">
        <v>392</v>
      </c>
      <c r="G867" s="1478" t="s">
        <v>392</v>
      </c>
      <c r="H867" s="1474" t="s">
        <v>983</v>
      </c>
      <c r="I867" s="1478" t="s">
        <v>823</v>
      </c>
      <c r="J867" s="1478" t="s">
        <v>1998</v>
      </c>
      <c r="K867" s="1475" t="s">
        <v>1654</v>
      </c>
      <c r="L867" s="1474" t="s">
        <v>332</v>
      </c>
      <c r="M867" s="1476" t="s">
        <v>1698</v>
      </c>
      <c r="N867" s="1477" t="s">
        <v>1693</v>
      </c>
      <c r="O867" s="1479">
        <v>390</v>
      </c>
      <c r="P867" s="1479"/>
      <c r="Q867" s="1142">
        <f t="shared" si="235"/>
        <v>390</v>
      </c>
      <c r="R867" s="1143">
        <f>IFERROR(VLOOKUP(CONCATENATE(E867,G867),'LAC 103'!$A$12:$O$95,11,FALSE),0)</f>
        <v>3.2074101033884355</v>
      </c>
      <c r="S867" s="1144">
        <f>IFERROR(VLOOKUP(CONCATENATE($E867,$G867),'LAC 103'!$A$12:$O$95,12,FALSE),0)</f>
        <v>3.99</v>
      </c>
      <c r="T867" s="1144">
        <f>IFERROR(VLOOKUP(CONCATENATE($E867,$G867),'LAC 103'!$A$12:$O$95,13,FALSE),0)</f>
        <v>2.48</v>
      </c>
      <c r="U867" s="1144">
        <f>IFERROR(VLOOKUP(CONCATENATE($E867,$G867),'LAC 103'!$A$12:$O$95,14,FALSE),0)</f>
        <v>0</v>
      </c>
      <c r="V867" s="1144">
        <f>IFERROR(VLOOKUP(CONCATENATE($E867,$G867),'LAC 103'!$A$12:$O$95,15,FALSE),0)</f>
        <v>0</v>
      </c>
      <c r="W867" s="1145" t="str">
        <f>IFERROR(VLOOKUP(CONCATENATE($B867,$N867),'LAC 103'!$AI:$AQ,9,FALSE),"")</f>
        <v>Costs</v>
      </c>
      <c r="X867" s="1146">
        <f t="shared" si="240"/>
        <v>3.2074101033884355</v>
      </c>
      <c r="Y867" s="1143">
        <f t="shared" si="251"/>
        <v>1250.8899403214898</v>
      </c>
      <c r="Z867" s="1147">
        <f t="shared" si="241"/>
        <v>1556.1000000000001</v>
      </c>
      <c r="AA867" s="1144">
        <f t="shared" si="242"/>
        <v>967.2</v>
      </c>
      <c r="AB867" s="1144">
        <f t="shared" si="243"/>
        <v>0</v>
      </c>
      <c r="AC867" s="1144">
        <f t="shared" si="244"/>
        <v>0</v>
      </c>
      <c r="AD867" s="1148">
        <f t="shared" si="236"/>
        <v>1250.8899403214898</v>
      </c>
      <c r="AE867" s="1487">
        <v>0</v>
      </c>
      <c r="AF867" s="1145">
        <f t="shared" si="245"/>
        <v>1250.8899403214898</v>
      </c>
      <c r="AG867" s="1149">
        <f>IFERROR(VLOOKUP(CONCATENATE($L867,$N867),'Drop List'!$G$23:$K$87,2,FALSE),0)</f>
        <v>0</v>
      </c>
      <c r="AH867" s="1150">
        <f>IFERROR(VLOOKUP(CONCATENATE($L867,$N867),'Drop List'!$G$23:$K$87,3,FALSE),0)</f>
        <v>0</v>
      </c>
      <c r="AI867" s="1150">
        <f>IFERROR(VLOOKUP(CONCATENATE($L867,$N867),'Drop List'!$G$23:$K$87,4,FALSE),0)</f>
        <v>0</v>
      </c>
      <c r="AJ867" s="1151">
        <f>IFERROR(VLOOKUP(CONCATENATE($L867,$N867),'Drop List'!$G$23:$K$87,5,FALSE),0)</f>
        <v>0</v>
      </c>
      <c r="AK867" s="1152">
        <f t="shared" si="246"/>
        <v>0</v>
      </c>
      <c r="AL867" s="1153">
        <f t="shared" si="247"/>
        <v>0</v>
      </c>
      <c r="AM867" s="1153">
        <f t="shared" si="248"/>
        <v>0</v>
      </c>
      <c r="AN867" s="1145">
        <f t="shared" si="249"/>
        <v>0</v>
      </c>
      <c r="AO867" s="1154">
        <f t="shared" si="250"/>
        <v>0</v>
      </c>
      <c r="AP867" s="1147">
        <f t="shared" si="237"/>
        <v>1250.8899403214898</v>
      </c>
      <c r="AQ867" s="1144">
        <f t="shared" si="238"/>
        <v>0</v>
      </c>
      <c r="AR867" s="1146">
        <f t="shared" si="239"/>
        <v>1250.8899403214898</v>
      </c>
    </row>
    <row r="868" spans="1:44" x14ac:dyDescent="0.2">
      <c r="A868" s="1141" t="str">
        <f t="shared" si="234"/>
        <v>1542</v>
      </c>
      <c r="B868" s="1141" t="str">
        <f>IFERROR(VLOOKUP(A868,'LAC 103'!A:C,3,FALSE),"")</f>
        <v>OP</v>
      </c>
      <c r="C868" s="1478" t="str">
        <f>Info!$B$8</f>
        <v>00100</v>
      </c>
      <c r="D868" s="1474" t="s">
        <v>256</v>
      </c>
      <c r="E868" s="1474" t="s">
        <v>95</v>
      </c>
      <c r="F868" s="1478" t="s">
        <v>392</v>
      </c>
      <c r="G868" s="1478" t="s">
        <v>392</v>
      </c>
      <c r="H868" s="1474" t="s">
        <v>983</v>
      </c>
      <c r="I868" s="1478" t="s">
        <v>823</v>
      </c>
      <c r="J868" s="1478" t="s">
        <v>1998</v>
      </c>
      <c r="K868" s="1475" t="s">
        <v>847</v>
      </c>
      <c r="L868" s="1474" t="s">
        <v>582</v>
      </c>
      <c r="M868" s="1476" t="s">
        <v>1699</v>
      </c>
      <c r="N868" s="1477" t="s">
        <v>1694</v>
      </c>
      <c r="O868" s="1479">
        <v>37347</v>
      </c>
      <c r="P868" s="1479"/>
      <c r="Q868" s="1142">
        <f t="shared" si="235"/>
        <v>37347</v>
      </c>
      <c r="R868" s="1143">
        <f>IFERROR(VLOOKUP(CONCATENATE(E868,G868),'LAC 103'!$A$12:$O$95,11,FALSE),0)</f>
        <v>3.2074101033884355</v>
      </c>
      <c r="S868" s="1144">
        <f>IFERROR(VLOOKUP(CONCATENATE($E868,$G868),'LAC 103'!$A$12:$O$95,12,FALSE),0)</f>
        <v>3.99</v>
      </c>
      <c r="T868" s="1144">
        <f>IFERROR(VLOOKUP(CONCATENATE($E868,$G868),'LAC 103'!$A$12:$O$95,13,FALSE),0)</f>
        <v>2.48</v>
      </c>
      <c r="U868" s="1144">
        <f>IFERROR(VLOOKUP(CONCATENATE($E868,$G868),'LAC 103'!$A$12:$O$95,14,FALSE),0)</f>
        <v>0</v>
      </c>
      <c r="V868" s="1144">
        <f>IFERROR(VLOOKUP(CONCATENATE($E868,$G868),'LAC 103'!$A$12:$O$95,15,FALSE),0)</f>
        <v>0</v>
      </c>
      <c r="W868" s="1145" t="str">
        <f>IFERROR(VLOOKUP(CONCATENATE($B868,$N868),'LAC 103'!$AI:$AQ,9,FALSE),"")</f>
        <v>Costs</v>
      </c>
      <c r="X868" s="1146">
        <f t="shared" si="240"/>
        <v>3.2074101033884355</v>
      </c>
      <c r="Y868" s="1143">
        <f t="shared" si="251"/>
        <v>119787.1451312479</v>
      </c>
      <c r="Z868" s="1147">
        <f t="shared" si="241"/>
        <v>149014.53</v>
      </c>
      <c r="AA868" s="1144">
        <f t="shared" si="242"/>
        <v>92620.56</v>
      </c>
      <c r="AB868" s="1144">
        <f t="shared" si="243"/>
        <v>0</v>
      </c>
      <c r="AC868" s="1144">
        <f t="shared" si="244"/>
        <v>0</v>
      </c>
      <c r="AD868" s="1148">
        <f t="shared" si="236"/>
        <v>119787.1451312479</v>
      </c>
      <c r="AE868" s="1487">
        <v>0</v>
      </c>
      <c r="AF868" s="1145">
        <f t="shared" si="245"/>
        <v>119787.1451312479</v>
      </c>
      <c r="AG868" s="1149">
        <f>IFERROR(VLOOKUP(CONCATENATE($L868,$N868),'Drop List'!$G$23:$K$87,2,FALSE),0)</f>
        <v>0.56200000000000006</v>
      </c>
      <c r="AH868" s="1150">
        <f>IFERROR(VLOOKUP(CONCATENATE($L868,$N868),'Drop List'!$G$23:$K$87,3,FALSE),0)</f>
        <v>0.43799999999999994</v>
      </c>
      <c r="AI868" s="1150">
        <f>IFERROR(VLOOKUP(CONCATENATE($L868,$N868),'Drop List'!$G$23:$K$87,4,FALSE),0)</f>
        <v>0</v>
      </c>
      <c r="AJ868" s="1151">
        <f>IFERROR(VLOOKUP(CONCATENATE($L868,$N868),'Drop List'!$G$23:$K$87,5,FALSE),0)</f>
        <v>0</v>
      </c>
      <c r="AK868" s="1152">
        <f t="shared" si="246"/>
        <v>67320.375563761336</v>
      </c>
      <c r="AL868" s="1153">
        <f t="shared" si="247"/>
        <v>52466.769567486575</v>
      </c>
      <c r="AM868" s="1153">
        <f t="shared" si="248"/>
        <v>0</v>
      </c>
      <c r="AN868" s="1145">
        <f t="shared" si="249"/>
        <v>0</v>
      </c>
      <c r="AO868" s="1154">
        <f t="shared" si="250"/>
        <v>119787.1451312479</v>
      </c>
      <c r="AP868" s="1147">
        <f t="shared" si="237"/>
        <v>0</v>
      </c>
      <c r="AQ868" s="1144">
        <f t="shared" si="238"/>
        <v>0</v>
      </c>
      <c r="AR868" s="1146">
        <f t="shared" si="239"/>
        <v>119787.1451312479</v>
      </c>
    </row>
    <row r="869" spans="1:44" x14ac:dyDescent="0.2">
      <c r="A869" s="1141" t="str">
        <f t="shared" si="234"/>
        <v>1542</v>
      </c>
      <c r="B869" s="1141" t="str">
        <f>IFERROR(VLOOKUP(A869,'LAC 103'!A:C,3,FALSE),"")</f>
        <v>OP</v>
      </c>
      <c r="C869" s="1478" t="str">
        <f>Info!$B$8</f>
        <v>00100</v>
      </c>
      <c r="D869" s="1474" t="s">
        <v>256</v>
      </c>
      <c r="E869" s="1474" t="s">
        <v>95</v>
      </c>
      <c r="F869" s="1478" t="s">
        <v>392</v>
      </c>
      <c r="G869" s="1478" t="s">
        <v>392</v>
      </c>
      <c r="H869" s="1474" t="s">
        <v>983</v>
      </c>
      <c r="I869" s="1478" t="s">
        <v>823</v>
      </c>
      <c r="J869" s="1478" t="s">
        <v>1998</v>
      </c>
      <c r="K869" s="1475" t="s">
        <v>847</v>
      </c>
      <c r="L869" s="1474" t="s">
        <v>582</v>
      </c>
      <c r="M869" s="1476" t="s">
        <v>841</v>
      </c>
      <c r="N869" s="1477" t="s">
        <v>1695</v>
      </c>
      <c r="O869" s="1479">
        <v>14374</v>
      </c>
      <c r="P869" s="1479"/>
      <c r="Q869" s="1142">
        <f t="shared" si="235"/>
        <v>14374</v>
      </c>
      <c r="R869" s="1143">
        <f>IFERROR(VLOOKUP(CONCATENATE(E869,G869),'LAC 103'!$A$12:$O$95,11,FALSE),0)</f>
        <v>3.2074101033884355</v>
      </c>
      <c r="S869" s="1144">
        <f>IFERROR(VLOOKUP(CONCATENATE($E869,$G869),'LAC 103'!$A$12:$O$95,12,FALSE),0)</f>
        <v>3.99</v>
      </c>
      <c r="T869" s="1144">
        <f>IFERROR(VLOOKUP(CONCATENATE($E869,$G869),'LAC 103'!$A$12:$O$95,13,FALSE),0)</f>
        <v>2.48</v>
      </c>
      <c r="U869" s="1144">
        <f>IFERROR(VLOOKUP(CONCATENATE($E869,$G869),'LAC 103'!$A$12:$O$95,14,FALSE),0)</f>
        <v>0</v>
      </c>
      <c r="V869" s="1144">
        <f>IFERROR(VLOOKUP(CONCATENATE($E869,$G869),'LAC 103'!$A$12:$O$95,15,FALSE),0)</f>
        <v>0</v>
      </c>
      <c r="W869" s="1145" t="str">
        <f>IFERROR(VLOOKUP(CONCATENATE($B869,$N869),'LAC 103'!$AI:$AQ,9,FALSE),"")</f>
        <v>Costs</v>
      </c>
      <c r="X869" s="1146">
        <f t="shared" si="240"/>
        <v>3.2074101033884355</v>
      </c>
      <c r="Y869" s="1143">
        <f t="shared" si="251"/>
        <v>46103.312826105372</v>
      </c>
      <c r="Z869" s="1147">
        <f t="shared" si="241"/>
        <v>57352.26</v>
      </c>
      <c r="AA869" s="1144">
        <f t="shared" si="242"/>
        <v>35647.519999999997</v>
      </c>
      <c r="AB869" s="1144">
        <f t="shared" si="243"/>
        <v>0</v>
      </c>
      <c r="AC869" s="1144">
        <f t="shared" si="244"/>
        <v>0</v>
      </c>
      <c r="AD869" s="1148">
        <f t="shared" si="236"/>
        <v>46103.312826105372</v>
      </c>
      <c r="AE869" s="1487">
        <v>0</v>
      </c>
      <c r="AF869" s="1145">
        <f t="shared" si="245"/>
        <v>46103.312826105372</v>
      </c>
      <c r="AG869" s="1149">
        <f>IFERROR(VLOOKUP(CONCATENATE($L869,$N869),'Drop List'!$G$23:$K$87,2,FALSE),0)</f>
        <v>0.55000000000000004</v>
      </c>
      <c r="AH869" s="1150">
        <f>IFERROR(VLOOKUP(CONCATENATE($L869,$N869),'Drop List'!$G$23:$K$87,3,FALSE),0)</f>
        <v>0.44999999999999996</v>
      </c>
      <c r="AI869" s="1150">
        <f>IFERROR(VLOOKUP(CONCATENATE($L869,$N869),'Drop List'!$G$23:$K$87,4,FALSE),0)</f>
        <v>0</v>
      </c>
      <c r="AJ869" s="1151">
        <f>IFERROR(VLOOKUP(CONCATENATE($L869,$N869),'Drop List'!$G$23:$K$87,5,FALSE),0)</f>
        <v>0</v>
      </c>
      <c r="AK869" s="1152">
        <f t="shared" si="246"/>
        <v>25356.822054357955</v>
      </c>
      <c r="AL869" s="1153">
        <f t="shared" si="247"/>
        <v>20746.490771747416</v>
      </c>
      <c r="AM869" s="1153">
        <f t="shared" si="248"/>
        <v>0</v>
      </c>
      <c r="AN869" s="1145">
        <f t="shared" si="249"/>
        <v>0</v>
      </c>
      <c r="AO869" s="1154">
        <f t="shared" si="250"/>
        <v>46103.312826105372</v>
      </c>
      <c r="AP869" s="1147">
        <f t="shared" si="237"/>
        <v>0</v>
      </c>
      <c r="AQ869" s="1144">
        <f t="shared" si="238"/>
        <v>0</v>
      </c>
      <c r="AR869" s="1146">
        <f t="shared" si="239"/>
        <v>46103.312826105372</v>
      </c>
    </row>
    <row r="870" spans="1:44" x14ac:dyDescent="0.2">
      <c r="A870" s="1141" t="str">
        <f t="shared" si="234"/>
        <v>1542</v>
      </c>
      <c r="B870" s="1141" t="str">
        <f>IFERROR(VLOOKUP(A870,'LAC 103'!A:C,3,FALSE),"")</f>
        <v>OP</v>
      </c>
      <c r="C870" s="1478" t="str">
        <f>Info!$B$8</f>
        <v>00100</v>
      </c>
      <c r="D870" s="1474" t="s">
        <v>256</v>
      </c>
      <c r="E870" s="1474" t="s">
        <v>95</v>
      </c>
      <c r="F870" s="1478" t="s">
        <v>392</v>
      </c>
      <c r="G870" s="1478" t="s">
        <v>392</v>
      </c>
      <c r="H870" s="1474" t="s">
        <v>983</v>
      </c>
      <c r="I870" s="1478" t="s">
        <v>823</v>
      </c>
      <c r="J870" s="1478" t="s">
        <v>1998</v>
      </c>
      <c r="K870" s="1475" t="s">
        <v>847</v>
      </c>
      <c r="L870" s="1474" t="s">
        <v>582</v>
      </c>
      <c r="M870" s="1476" t="s">
        <v>840</v>
      </c>
      <c r="N870" s="1477" t="s">
        <v>1700</v>
      </c>
      <c r="O870" s="1479">
        <v>16605</v>
      </c>
      <c r="P870" s="1479"/>
      <c r="Q870" s="1142">
        <f t="shared" si="235"/>
        <v>16605</v>
      </c>
      <c r="R870" s="1143">
        <f>IFERROR(VLOOKUP(CONCATENATE(E870,G870),'LAC 103'!$A$12:$O$95,11,FALSE),0)</f>
        <v>3.2074101033884355</v>
      </c>
      <c r="S870" s="1144">
        <f>IFERROR(VLOOKUP(CONCATENATE($E870,$G870),'LAC 103'!$A$12:$O$95,12,FALSE),0)</f>
        <v>3.99</v>
      </c>
      <c r="T870" s="1144">
        <f>IFERROR(VLOOKUP(CONCATENATE($E870,$G870),'LAC 103'!$A$12:$O$95,13,FALSE),0)</f>
        <v>2.48</v>
      </c>
      <c r="U870" s="1144">
        <f>IFERROR(VLOOKUP(CONCATENATE($E870,$G870),'LAC 103'!$A$12:$O$95,14,FALSE),0)</f>
        <v>0</v>
      </c>
      <c r="V870" s="1144">
        <f>IFERROR(VLOOKUP(CONCATENATE($E870,$G870),'LAC 103'!$A$12:$O$95,15,FALSE),0)</f>
        <v>0</v>
      </c>
      <c r="W870" s="1145" t="str">
        <f>IFERROR(VLOOKUP(CONCATENATE($B870,$N870),'LAC 103'!$AI:$AQ,9,FALSE),"")</f>
        <v>P.C.</v>
      </c>
      <c r="X870" s="1146">
        <f t="shared" si="240"/>
        <v>2.48</v>
      </c>
      <c r="Y870" s="1143">
        <f t="shared" si="251"/>
        <v>53259.044766764971</v>
      </c>
      <c r="Z870" s="1147">
        <f t="shared" si="241"/>
        <v>66253.95</v>
      </c>
      <c r="AA870" s="1144">
        <f t="shared" si="242"/>
        <v>41180.400000000001</v>
      </c>
      <c r="AB870" s="1144">
        <f t="shared" si="243"/>
        <v>0</v>
      </c>
      <c r="AC870" s="1144">
        <f t="shared" si="244"/>
        <v>0</v>
      </c>
      <c r="AD870" s="1148">
        <f t="shared" si="236"/>
        <v>41180.400000000001</v>
      </c>
      <c r="AE870" s="1487">
        <v>0</v>
      </c>
      <c r="AF870" s="1145">
        <f t="shared" si="245"/>
        <v>41180.400000000001</v>
      </c>
      <c r="AG870" s="1149">
        <f>IFERROR(VLOOKUP(CONCATENATE($L870,$N870),'Drop List'!$G$23:$K$87,2,FALSE),0)</f>
        <v>0.55000000000000004</v>
      </c>
      <c r="AH870" s="1150">
        <f>IFERROR(VLOOKUP(CONCATENATE($L870,$N870),'Drop List'!$G$23:$K$87,3,FALSE),0)</f>
        <v>0.44999999999999996</v>
      </c>
      <c r="AI870" s="1150">
        <f>IFERROR(VLOOKUP(CONCATENATE($L870,$N870),'Drop List'!$G$23:$K$87,4,FALSE),0)</f>
        <v>0</v>
      </c>
      <c r="AJ870" s="1151">
        <f>IFERROR(VLOOKUP(CONCATENATE($L870,$N870),'Drop List'!$G$23:$K$87,5,FALSE),0)</f>
        <v>0</v>
      </c>
      <c r="AK870" s="1152">
        <f t="shared" si="246"/>
        <v>22649.22</v>
      </c>
      <c r="AL870" s="1153">
        <f t="shared" si="247"/>
        <v>18531.18</v>
      </c>
      <c r="AM870" s="1153">
        <f t="shared" si="248"/>
        <v>0</v>
      </c>
      <c r="AN870" s="1145">
        <f t="shared" si="249"/>
        <v>0</v>
      </c>
      <c r="AO870" s="1154">
        <f t="shared" si="250"/>
        <v>41180.400000000001</v>
      </c>
      <c r="AP870" s="1147">
        <f t="shared" si="237"/>
        <v>0</v>
      </c>
      <c r="AQ870" s="1144">
        <f t="shared" si="238"/>
        <v>0</v>
      </c>
      <c r="AR870" s="1146">
        <f t="shared" si="239"/>
        <v>41180.400000000001</v>
      </c>
    </row>
    <row r="871" spans="1:44" x14ac:dyDescent="0.2">
      <c r="A871" s="1141" t="str">
        <f t="shared" si="234"/>
        <v>1542</v>
      </c>
      <c r="B871" s="1141" t="str">
        <f>IFERROR(VLOOKUP(A871,'LAC 103'!A:C,3,FALSE),"")</f>
        <v>OP</v>
      </c>
      <c r="C871" s="1478" t="str">
        <f>Info!$B$8</f>
        <v>00100</v>
      </c>
      <c r="D871" s="1474" t="s">
        <v>256</v>
      </c>
      <c r="E871" s="1474" t="s">
        <v>95</v>
      </c>
      <c r="F871" s="1478" t="s">
        <v>392</v>
      </c>
      <c r="G871" s="1478" t="s">
        <v>392</v>
      </c>
      <c r="H871" s="1474" t="s">
        <v>983</v>
      </c>
      <c r="I871" s="1478" t="s">
        <v>823</v>
      </c>
      <c r="J871" s="1478" t="s">
        <v>1998</v>
      </c>
      <c r="K871" s="1475" t="s">
        <v>847</v>
      </c>
      <c r="L871" s="1474" t="s">
        <v>582</v>
      </c>
      <c r="M871" s="1476" t="s">
        <v>842</v>
      </c>
      <c r="N871" s="1477" t="s">
        <v>1692</v>
      </c>
      <c r="O871" s="1479">
        <v>34189</v>
      </c>
      <c r="P871" s="1479"/>
      <c r="Q871" s="1142">
        <f t="shared" si="235"/>
        <v>34189</v>
      </c>
      <c r="R871" s="1143">
        <f>IFERROR(VLOOKUP(CONCATENATE(E871,G871),'LAC 103'!$A$12:$O$95,11,FALSE),0)</f>
        <v>3.2074101033884355</v>
      </c>
      <c r="S871" s="1144">
        <f>IFERROR(VLOOKUP(CONCATENATE($E871,$G871),'LAC 103'!$A$12:$O$95,12,FALSE),0)</f>
        <v>3.99</v>
      </c>
      <c r="T871" s="1144">
        <f>IFERROR(VLOOKUP(CONCATENATE($E871,$G871),'LAC 103'!$A$12:$O$95,13,FALSE),0)</f>
        <v>2.48</v>
      </c>
      <c r="U871" s="1144">
        <f>IFERROR(VLOOKUP(CONCATENATE($E871,$G871),'LAC 103'!$A$12:$O$95,14,FALSE),0)</f>
        <v>0</v>
      </c>
      <c r="V871" s="1144">
        <f>IFERROR(VLOOKUP(CONCATENATE($E871,$G871),'LAC 103'!$A$12:$O$95,15,FALSE),0)</f>
        <v>0</v>
      </c>
      <c r="W871" s="1145" t="str">
        <f>IFERROR(VLOOKUP(CONCATENATE($B871,$N871),'LAC 103'!$AI:$AQ,9,FALSE),"")</f>
        <v>Costs</v>
      </c>
      <c r="X871" s="1146">
        <f t="shared" si="240"/>
        <v>3.2074101033884355</v>
      </c>
      <c r="Y871" s="1143">
        <f t="shared" si="251"/>
        <v>109658.14402474722</v>
      </c>
      <c r="Z871" s="1147">
        <f t="shared" si="241"/>
        <v>136414.11000000002</v>
      </c>
      <c r="AA871" s="1144">
        <f t="shared" si="242"/>
        <v>84788.72</v>
      </c>
      <c r="AB871" s="1144">
        <f t="shared" si="243"/>
        <v>0</v>
      </c>
      <c r="AC871" s="1144">
        <f t="shared" si="244"/>
        <v>0</v>
      </c>
      <c r="AD871" s="1148">
        <f t="shared" si="236"/>
        <v>109658.14402474722</v>
      </c>
      <c r="AE871" s="1487">
        <v>0</v>
      </c>
      <c r="AF871" s="1145">
        <f t="shared" si="245"/>
        <v>109658.14402474722</v>
      </c>
      <c r="AG871" s="1149">
        <f>IFERROR(VLOOKUP(CONCATENATE($L871,$N871),'Drop List'!$G$23:$K$87,2,FALSE),0)</f>
        <v>0.56200000000000006</v>
      </c>
      <c r="AH871" s="1150">
        <f>IFERROR(VLOOKUP(CONCATENATE($L871,$N871),'Drop List'!$G$23:$K$87,3,FALSE),0)</f>
        <v>0.43799999999999994</v>
      </c>
      <c r="AI871" s="1150">
        <f>IFERROR(VLOOKUP(CONCATENATE($L871,$N871),'Drop List'!$G$23:$K$87,4,FALSE),0)</f>
        <v>0</v>
      </c>
      <c r="AJ871" s="1151">
        <f>IFERROR(VLOOKUP(CONCATENATE($L871,$N871),'Drop List'!$G$23:$K$87,5,FALSE),0)</f>
        <v>0</v>
      </c>
      <c r="AK871" s="1152">
        <f t="shared" si="246"/>
        <v>61627.876941907947</v>
      </c>
      <c r="AL871" s="1153">
        <f t="shared" si="247"/>
        <v>48030.267082839273</v>
      </c>
      <c r="AM871" s="1153">
        <f t="shared" si="248"/>
        <v>0</v>
      </c>
      <c r="AN871" s="1145">
        <f t="shared" si="249"/>
        <v>0</v>
      </c>
      <c r="AO871" s="1154">
        <f t="shared" si="250"/>
        <v>109658.14402474722</v>
      </c>
      <c r="AP871" s="1147">
        <f t="shared" si="237"/>
        <v>0</v>
      </c>
      <c r="AQ871" s="1144">
        <f t="shared" si="238"/>
        <v>0</v>
      </c>
      <c r="AR871" s="1146">
        <f t="shared" si="239"/>
        <v>109658.14402474722</v>
      </c>
    </row>
    <row r="872" spans="1:44" x14ac:dyDescent="0.2">
      <c r="A872" s="1141" t="str">
        <f t="shared" si="234"/>
        <v>1542</v>
      </c>
      <c r="B872" s="1141" t="str">
        <f>IFERROR(VLOOKUP(A872,'LAC 103'!A:C,3,FALSE),"")</f>
        <v>OP</v>
      </c>
      <c r="C872" s="1478" t="str">
        <f>Info!$B$8</f>
        <v>00100</v>
      </c>
      <c r="D872" s="1474" t="s">
        <v>256</v>
      </c>
      <c r="E872" s="1474" t="s">
        <v>95</v>
      </c>
      <c r="F872" s="1478" t="s">
        <v>392</v>
      </c>
      <c r="G872" s="1478" t="s">
        <v>392</v>
      </c>
      <c r="H872" s="1474" t="s">
        <v>983</v>
      </c>
      <c r="I872" s="1478" t="s">
        <v>823</v>
      </c>
      <c r="J872" s="1478" t="s">
        <v>1998</v>
      </c>
      <c r="K872" s="1475" t="s">
        <v>847</v>
      </c>
      <c r="L872" s="1474" t="s">
        <v>582</v>
      </c>
      <c r="M872" s="1476" t="s">
        <v>1698</v>
      </c>
      <c r="N872" s="1477" t="s">
        <v>1693</v>
      </c>
      <c r="O872" s="1479">
        <v>35331</v>
      </c>
      <c r="P872" s="1479"/>
      <c r="Q872" s="1142">
        <f t="shared" si="235"/>
        <v>35331</v>
      </c>
      <c r="R872" s="1143">
        <f>IFERROR(VLOOKUP(CONCATENATE(E872,G872),'LAC 103'!$A$12:$O$95,11,FALSE),0)</f>
        <v>3.2074101033884355</v>
      </c>
      <c r="S872" s="1144">
        <f>IFERROR(VLOOKUP(CONCATENATE($E872,$G872),'LAC 103'!$A$12:$O$95,12,FALSE),0)</f>
        <v>3.99</v>
      </c>
      <c r="T872" s="1144">
        <f>IFERROR(VLOOKUP(CONCATENATE($E872,$G872),'LAC 103'!$A$12:$O$95,13,FALSE),0)</f>
        <v>2.48</v>
      </c>
      <c r="U872" s="1144">
        <f>IFERROR(VLOOKUP(CONCATENATE($E872,$G872),'LAC 103'!$A$12:$O$95,14,FALSE),0)</f>
        <v>0</v>
      </c>
      <c r="V872" s="1144">
        <f>IFERROR(VLOOKUP(CONCATENATE($E872,$G872),'LAC 103'!$A$12:$O$95,15,FALSE),0)</f>
        <v>0</v>
      </c>
      <c r="W872" s="1145" t="str">
        <f>IFERROR(VLOOKUP(CONCATENATE($B872,$N872),'LAC 103'!$AI:$AQ,9,FALSE),"")</f>
        <v>Costs</v>
      </c>
      <c r="X872" s="1146">
        <f t="shared" si="240"/>
        <v>3.2074101033884355</v>
      </c>
      <c r="Y872" s="1143">
        <f t="shared" si="251"/>
        <v>113321.00636281681</v>
      </c>
      <c r="Z872" s="1147">
        <f t="shared" si="241"/>
        <v>140970.69</v>
      </c>
      <c r="AA872" s="1144">
        <f t="shared" si="242"/>
        <v>87620.88</v>
      </c>
      <c r="AB872" s="1144">
        <f t="shared" si="243"/>
        <v>0</v>
      </c>
      <c r="AC872" s="1144">
        <f t="shared" si="244"/>
        <v>0</v>
      </c>
      <c r="AD872" s="1148">
        <f t="shared" si="236"/>
        <v>113321.00636281681</v>
      </c>
      <c r="AE872" s="1487">
        <v>0</v>
      </c>
      <c r="AF872" s="1145">
        <f t="shared" si="245"/>
        <v>113321.00636281681</v>
      </c>
      <c r="AG872" s="1149">
        <f>IFERROR(VLOOKUP(CONCATENATE($L872,$N872),'Drop List'!$G$23:$K$87,2,FALSE),0)</f>
        <v>0.56200000000000006</v>
      </c>
      <c r="AH872" s="1150">
        <f>IFERROR(VLOOKUP(CONCATENATE($L872,$N872),'Drop List'!$G$23:$K$87,3,FALSE),0)</f>
        <v>0.43799999999999994</v>
      </c>
      <c r="AI872" s="1150">
        <f>IFERROR(VLOOKUP(CONCATENATE($L872,$N872),'Drop List'!$G$23:$K$87,4,FALSE),0)</f>
        <v>0</v>
      </c>
      <c r="AJ872" s="1151">
        <f>IFERROR(VLOOKUP(CONCATENATE($L872,$N872),'Drop List'!$G$23:$K$87,5,FALSE),0)</f>
        <v>0</v>
      </c>
      <c r="AK872" s="1152">
        <f t="shared" si="246"/>
        <v>63686.405575903053</v>
      </c>
      <c r="AL872" s="1153">
        <f t="shared" si="247"/>
        <v>49634.600786913761</v>
      </c>
      <c r="AM872" s="1153">
        <f t="shared" si="248"/>
        <v>0</v>
      </c>
      <c r="AN872" s="1145">
        <f t="shared" si="249"/>
        <v>0</v>
      </c>
      <c r="AO872" s="1154">
        <f t="shared" si="250"/>
        <v>113321.00636281681</v>
      </c>
      <c r="AP872" s="1147">
        <f t="shared" si="237"/>
        <v>0</v>
      </c>
      <c r="AQ872" s="1144">
        <f t="shared" si="238"/>
        <v>0</v>
      </c>
      <c r="AR872" s="1146">
        <f t="shared" si="239"/>
        <v>113321.00636281681</v>
      </c>
    </row>
    <row r="873" spans="1:44" x14ac:dyDescent="0.2">
      <c r="A873" s="1141" t="str">
        <f t="shared" si="234"/>
        <v>1542</v>
      </c>
      <c r="B873" s="1141" t="str">
        <f>IFERROR(VLOOKUP(A873,'LAC 103'!A:C,3,FALSE),"")</f>
        <v>OP</v>
      </c>
      <c r="C873" s="1478" t="str">
        <f>Info!$B$8</f>
        <v>00100</v>
      </c>
      <c r="D873" s="1474" t="s">
        <v>256</v>
      </c>
      <c r="E873" s="1474" t="s">
        <v>95</v>
      </c>
      <c r="F873" s="1478" t="s">
        <v>392</v>
      </c>
      <c r="G873" s="1478" t="s">
        <v>392</v>
      </c>
      <c r="H873" s="1474" t="s">
        <v>983</v>
      </c>
      <c r="I873" s="1478" t="s">
        <v>823</v>
      </c>
      <c r="J873" s="1478" t="s">
        <v>1998</v>
      </c>
      <c r="K873" s="1475" t="s">
        <v>848</v>
      </c>
      <c r="L873" s="1474" t="s">
        <v>45</v>
      </c>
      <c r="M873" s="1476" t="s">
        <v>1699</v>
      </c>
      <c r="N873" s="1477" t="s">
        <v>1694</v>
      </c>
      <c r="O873" s="1479">
        <v>14524</v>
      </c>
      <c r="P873" s="1479"/>
      <c r="Q873" s="1142">
        <f t="shared" si="235"/>
        <v>14524</v>
      </c>
      <c r="R873" s="1143">
        <f>IFERROR(VLOOKUP(CONCATENATE(E873,G873),'LAC 103'!$A$12:$O$95,11,FALSE),0)</f>
        <v>3.2074101033884355</v>
      </c>
      <c r="S873" s="1144">
        <f>IFERROR(VLOOKUP(CONCATENATE($E873,$G873),'LAC 103'!$A$12:$O$95,12,FALSE),0)</f>
        <v>3.99</v>
      </c>
      <c r="T873" s="1144">
        <f>IFERROR(VLOOKUP(CONCATENATE($E873,$G873),'LAC 103'!$A$12:$O$95,13,FALSE),0)</f>
        <v>2.48</v>
      </c>
      <c r="U873" s="1144">
        <f>IFERROR(VLOOKUP(CONCATENATE($E873,$G873),'LAC 103'!$A$12:$O$95,14,FALSE),0)</f>
        <v>0</v>
      </c>
      <c r="V873" s="1144">
        <f>IFERROR(VLOOKUP(CONCATENATE($E873,$G873),'LAC 103'!$A$12:$O$95,15,FALSE),0)</f>
        <v>0</v>
      </c>
      <c r="W873" s="1145" t="str">
        <f>IFERROR(VLOOKUP(CONCATENATE($B873,$N873),'LAC 103'!$AI:$AQ,9,FALSE),"")</f>
        <v>Costs</v>
      </c>
      <c r="X873" s="1146">
        <f t="shared" si="240"/>
        <v>3.2074101033884355</v>
      </c>
      <c r="Y873" s="1143">
        <f t="shared" si="251"/>
        <v>46584.424341613638</v>
      </c>
      <c r="Z873" s="1147">
        <f t="shared" si="241"/>
        <v>57950.76</v>
      </c>
      <c r="AA873" s="1144">
        <f t="shared" si="242"/>
        <v>36019.519999999997</v>
      </c>
      <c r="AB873" s="1144">
        <f t="shared" si="243"/>
        <v>0</v>
      </c>
      <c r="AC873" s="1144">
        <f t="shared" si="244"/>
        <v>0</v>
      </c>
      <c r="AD873" s="1148">
        <f t="shared" si="236"/>
        <v>46584.424341613638</v>
      </c>
      <c r="AE873" s="1487">
        <v>0</v>
      </c>
      <c r="AF873" s="1145">
        <f t="shared" si="245"/>
        <v>46584.424341613638</v>
      </c>
      <c r="AG873" s="1149">
        <f>IFERROR(VLOOKUP(CONCATENATE($L873,$N873),'Drop List'!$G$23:$K$87,2,FALSE),0)</f>
        <v>0.69340000000000002</v>
      </c>
      <c r="AH873" s="1150">
        <f>IFERROR(VLOOKUP(CONCATENATE($L873,$N873),'Drop List'!$G$23:$K$87,3,FALSE),0)</f>
        <v>0.30659999999999998</v>
      </c>
      <c r="AI873" s="1150">
        <f>IFERROR(VLOOKUP(CONCATENATE($L873,$N873),'Drop List'!$G$23:$K$87,4,FALSE),0)</f>
        <v>0</v>
      </c>
      <c r="AJ873" s="1151">
        <f>IFERROR(VLOOKUP(CONCATENATE($L873,$N873),'Drop List'!$G$23:$K$87,5,FALSE),0)</f>
        <v>0</v>
      </c>
      <c r="AK873" s="1152">
        <f t="shared" si="246"/>
        <v>32301.639838474897</v>
      </c>
      <c r="AL873" s="1153">
        <f t="shared" si="247"/>
        <v>14282.784503138741</v>
      </c>
      <c r="AM873" s="1153">
        <f t="shared" si="248"/>
        <v>0</v>
      </c>
      <c r="AN873" s="1145">
        <f t="shared" si="249"/>
        <v>0</v>
      </c>
      <c r="AO873" s="1154">
        <f t="shared" si="250"/>
        <v>46584.424341613638</v>
      </c>
      <c r="AP873" s="1147">
        <f t="shared" si="237"/>
        <v>0</v>
      </c>
      <c r="AQ873" s="1144">
        <f t="shared" si="238"/>
        <v>0</v>
      </c>
      <c r="AR873" s="1146">
        <f t="shared" si="239"/>
        <v>46584.424341613638</v>
      </c>
    </row>
    <row r="874" spans="1:44" x14ac:dyDescent="0.2">
      <c r="A874" s="1141" t="str">
        <f t="shared" si="234"/>
        <v>1542</v>
      </c>
      <c r="B874" s="1141" t="str">
        <f>IFERROR(VLOOKUP(A874,'LAC 103'!A:C,3,FALSE),"")</f>
        <v>OP</v>
      </c>
      <c r="C874" s="1478" t="str">
        <f>Info!$B$8</f>
        <v>00100</v>
      </c>
      <c r="D874" s="1474" t="s">
        <v>256</v>
      </c>
      <c r="E874" s="1474" t="s">
        <v>95</v>
      </c>
      <c r="F874" s="1478" t="s">
        <v>392</v>
      </c>
      <c r="G874" s="1478" t="s">
        <v>392</v>
      </c>
      <c r="H874" s="1474" t="s">
        <v>983</v>
      </c>
      <c r="I874" s="1478" t="s">
        <v>823</v>
      </c>
      <c r="J874" s="1478" t="s">
        <v>1998</v>
      </c>
      <c r="K874" s="1475" t="s">
        <v>848</v>
      </c>
      <c r="L874" s="1474" t="s">
        <v>45</v>
      </c>
      <c r="M874" s="1476" t="s">
        <v>841</v>
      </c>
      <c r="N874" s="1477" t="s">
        <v>1695</v>
      </c>
      <c r="O874" s="1479">
        <v>5940</v>
      </c>
      <c r="P874" s="1479"/>
      <c r="Q874" s="1142">
        <f t="shared" si="235"/>
        <v>5940</v>
      </c>
      <c r="R874" s="1143">
        <f>IFERROR(VLOOKUP(CONCATENATE(E874,G874),'LAC 103'!$A$12:$O$95,11,FALSE),0)</f>
        <v>3.2074101033884355</v>
      </c>
      <c r="S874" s="1144">
        <f>IFERROR(VLOOKUP(CONCATENATE($E874,$G874),'LAC 103'!$A$12:$O$95,12,FALSE),0)</f>
        <v>3.99</v>
      </c>
      <c r="T874" s="1144">
        <f>IFERROR(VLOOKUP(CONCATENATE($E874,$G874),'LAC 103'!$A$12:$O$95,13,FALSE),0)</f>
        <v>2.48</v>
      </c>
      <c r="U874" s="1144">
        <f>IFERROR(VLOOKUP(CONCATENATE($E874,$G874),'LAC 103'!$A$12:$O$95,14,FALSE),0)</f>
        <v>0</v>
      </c>
      <c r="V874" s="1144">
        <f>IFERROR(VLOOKUP(CONCATENATE($E874,$G874),'LAC 103'!$A$12:$O$95,15,FALSE),0)</f>
        <v>0</v>
      </c>
      <c r="W874" s="1145" t="str">
        <f>IFERROR(VLOOKUP(CONCATENATE($B874,$N874),'LAC 103'!$AI:$AQ,9,FALSE),"")</f>
        <v>Costs</v>
      </c>
      <c r="X874" s="1146">
        <f t="shared" si="240"/>
        <v>3.2074101033884355</v>
      </c>
      <c r="Y874" s="1143">
        <f t="shared" si="251"/>
        <v>19052.016014127308</v>
      </c>
      <c r="Z874" s="1147">
        <f t="shared" si="241"/>
        <v>23700.600000000002</v>
      </c>
      <c r="AA874" s="1144">
        <f t="shared" si="242"/>
        <v>14731.2</v>
      </c>
      <c r="AB874" s="1144">
        <f t="shared" si="243"/>
        <v>0</v>
      </c>
      <c r="AC874" s="1144">
        <f t="shared" si="244"/>
        <v>0</v>
      </c>
      <c r="AD874" s="1148">
        <f t="shared" si="236"/>
        <v>19052.016014127308</v>
      </c>
      <c r="AE874" s="1487">
        <v>0</v>
      </c>
      <c r="AF874" s="1145">
        <f t="shared" si="245"/>
        <v>19052.016014127308</v>
      </c>
      <c r="AG874" s="1149">
        <f>IFERROR(VLOOKUP(CONCATENATE($L874,$N874),'Drop List'!$G$23:$K$87,2,FALSE),0)</f>
        <v>0.68500000000000005</v>
      </c>
      <c r="AH874" s="1150">
        <f>IFERROR(VLOOKUP(CONCATENATE($L874,$N874),'Drop List'!$G$23:$K$87,3,FALSE),0)</f>
        <v>0.31499999999999995</v>
      </c>
      <c r="AI874" s="1150">
        <f>IFERROR(VLOOKUP(CONCATENATE($L874,$N874),'Drop List'!$G$23:$K$87,4,FALSE),0)</f>
        <v>0</v>
      </c>
      <c r="AJ874" s="1151">
        <f>IFERROR(VLOOKUP(CONCATENATE($L874,$N874),'Drop List'!$G$23:$K$87,5,FALSE),0)</f>
        <v>0</v>
      </c>
      <c r="AK874" s="1152">
        <f t="shared" si="246"/>
        <v>13050.630969677208</v>
      </c>
      <c r="AL874" s="1153">
        <f t="shared" si="247"/>
        <v>6001.3850444501013</v>
      </c>
      <c r="AM874" s="1153">
        <f t="shared" si="248"/>
        <v>0</v>
      </c>
      <c r="AN874" s="1145">
        <f t="shared" si="249"/>
        <v>0</v>
      </c>
      <c r="AO874" s="1154">
        <f t="shared" si="250"/>
        <v>19052.016014127308</v>
      </c>
      <c r="AP874" s="1147">
        <f t="shared" si="237"/>
        <v>0</v>
      </c>
      <c r="AQ874" s="1144">
        <f t="shared" si="238"/>
        <v>0</v>
      </c>
      <c r="AR874" s="1146">
        <f t="shared" si="239"/>
        <v>19052.016014127308</v>
      </c>
    </row>
    <row r="875" spans="1:44" x14ac:dyDescent="0.2">
      <c r="A875" s="1141" t="str">
        <f t="shared" si="234"/>
        <v>1542</v>
      </c>
      <c r="B875" s="1141" t="str">
        <f>IFERROR(VLOOKUP(A875,'LAC 103'!A:C,3,FALSE),"")</f>
        <v>OP</v>
      </c>
      <c r="C875" s="1478" t="str">
        <f>Info!$B$8</f>
        <v>00100</v>
      </c>
      <c r="D875" s="1474" t="s">
        <v>256</v>
      </c>
      <c r="E875" s="1474" t="s">
        <v>95</v>
      </c>
      <c r="F875" s="1478" t="s">
        <v>392</v>
      </c>
      <c r="G875" s="1478" t="s">
        <v>392</v>
      </c>
      <c r="H875" s="1474" t="s">
        <v>983</v>
      </c>
      <c r="I875" s="1478" t="s">
        <v>823</v>
      </c>
      <c r="J875" s="1478" t="s">
        <v>1998</v>
      </c>
      <c r="K875" s="1475" t="s">
        <v>848</v>
      </c>
      <c r="L875" s="1474" t="s">
        <v>45</v>
      </c>
      <c r="M875" s="1476" t="s">
        <v>840</v>
      </c>
      <c r="N875" s="1477" t="s">
        <v>1700</v>
      </c>
      <c r="O875" s="1479">
        <v>5970</v>
      </c>
      <c r="P875" s="1479"/>
      <c r="Q875" s="1142">
        <f t="shared" si="235"/>
        <v>5970</v>
      </c>
      <c r="R875" s="1143">
        <f>IFERROR(VLOOKUP(CONCATENATE(E875,G875),'LAC 103'!$A$12:$O$95,11,FALSE),0)</f>
        <v>3.2074101033884355</v>
      </c>
      <c r="S875" s="1144">
        <f>IFERROR(VLOOKUP(CONCATENATE($E875,$G875),'LAC 103'!$A$12:$O$95,12,FALSE),0)</f>
        <v>3.99</v>
      </c>
      <c r="T875" s="1144">
        <f>IFERROR(VLOOKUP(CONCATENATE($E875,$G875),'LAC 103'!$A$12:$O$95,13,FALSE),0)</f>
        <v>2.48</v>
      </c>
      <c r="U875" s="1144">
        <f>IFERROR(VLOOKUP(CONCATENATE($E875,$G875),'LAC 103'!$A$12:$O$95,14,FALSE),0)</f>
        <v>0</v>
      </c>
      <c r="V875" s="1144">
        <f>IFERROR(VLOOKUP(CONCATENATE($E875,$G875),'LAC 103'!$A$12:$O$95,15,FALSE),0)</f>
        <v>0</v>
      </c>
      <c r="W875" s="1145" t="str">
        <f>IFERROR(VLOOKUP(CONCATENATE($B875,$N875),'LAC 103'!$AI:$AQ,9,FALSE),"")</f>
        <v>P.C.</v>
      </c>
      <c r="X875" s="1146">
        <f t="shared" si="240"/>
        <v>2.48</v>
      </c>
      <c r="Y875" s="1143">
        <f t="shared" si="251"/>
        <v>19148.238317228959</v>
      </c>
      <c r="Z875" s="1147">
        <f t="shared" si="241"/>
        <v>23820.300000000003</v>
      </c>
      <c r="AA875" s="1144">
        <f t="shared" si="242"/>
        <v>14805.6</v>
      </c>
      <c r="AB875" s="1144">
        <f t="shared" si="243"/>
        <v>0</v>
      </c>
      <c r="AC875" s="1144">
        <f t="shared" si="244"/>
        <v>0</v>
      </c>
      <c r="AD875" s="1148">
        <f t="shared" si="236"/>
        <v>14805.6</v>
      </c>
      <c r="AE875" s="1487">
        <v>0</v>
      </c>
      <c r="AF875" s="1145">
        <f t="shared" si="245"/>
        <v>14805.6</v>
      </c>
      <c r="AG875" s="1149">
        <f>IFERROR(VLOOKUP(CONCATENATE($L875,$N875),'Drop List'!$G$23:$K$87,2,FALSE),0)</f>
        <v>0.68500000000000005</v>
      </c>
      <c r="AH875" s="1150">
        <f>IFERROR(VLOOKUP(CONCATENATE($L875,$N875),'Drop List'!$G$23:$K$87,3,FALSE),0)</f>
        <v>0.31499999999999995</v>
      </c>
      <c r="AI875" s="1150">
        <f>IFERROR(VLOOKUP(CONCATENATE($L875,$N875),'Drop List'!$G$23:$K$87,4,FALSE),0)</f>
        <v>0</v>
      </c>
      <c r="AJ875" s="1151">
        <f>IFERROR(VLOOKUP(CONCATENATE($L875,$N875),'Drop List'!$G$23:$K$87,5,FALSE),0)</f>
        <v>0</v>
      </c>
      <c r="AK875" s="1152">
        <f t="shared" si="246"/>
        <v>10141.836000000001</v>
      </c>
      <c r="AL875" s="1153">
        <f t="shared" si="247"/>
        <v>4663.7639999999992</v>
      </c>
      <c r="AM875" s="1153">
        <f t="shared" si="248"/>
        <v>0</v>
      </c>
      <c r="AN875" s="1145">
        <f t="shared" si="249"/>
        <v>0</v>
      </c>
      <c r="AO875" s="1154">
        <f t="shared" si="250"/>
        <v>14805.6</v>
      </c>
      <c r="AP875" s="1147">
        <f t="shared" si="237"/>
        <v>0</v>
      </c>
      <c r="AQ875" s="1144">
        <f t="shared" si="238"/>
        <v>0</v>
      </c>
      <c r="AR875" s="1146">
        <f t="shared" si="239"/>
        <v>14805.6</v>
      </c>
    </row>
    <row r="876" spans="1:44" x14ac:dyDescent="0.2">
      <c r="A876" s="1141" t="str">
        <f t="shared" si="234"/>
        <v>1542</v>
      </c>
      <c r="B876" s="1141" t="str">
        <f>IFERROR(VLOOKUP(A876,'LAC 103'!A:C,3,FALSE),"")</f>
        <v>OP</v>
      </c>
      <c r="C876" s="1478" t="str">
        <f>Info!$B$8</f>
        <v>00100</v>
      </c>
      <c r="D876" s="1474" t="s">
        <v>256</v>
      </c>
      <c r="E876" s="1474" t="s">
        <v>95</v>
      </c>
      <c r="F876" s="1478" t="s">
        <v>392</v>
      </c>
      <c r="G876" s="1478" t="s">
        <v>392</v>
      </c>
      <c r="H876" s="1474" t="s">
        <v>983</v>
      </c>
      <c r="I876" s="1478" t="s">
        <v>823</v>
      </c>
      <c r="J876" s="1478" t="s">
        <v>1998</v>
      </c>
      <c r="K876" s="1475" t="s">
        <v>848</v>
      </c>
      <c r="L876" s="1474" t="s">
        <v>45</v>
      </c>
      <c r="M876" s="1476" t="s">
        <v>842</v>
      </c>
      <c r="N876" s="1477" t="s">
        <v>1692</v>
      </c>
      <c r="O876" s="1479">
        <v>16101</v>
      </c>
      <c r="P876" s="1479"/>
      <c r="Q876" s="1142">
        <f t="shared" si="235"/>
        <v>16101</v>
      </c>
      <c r="R876" s="1143">
        <f>IFERROR(VLOOKUP(CONCATENATE(E876,G876),'LAC 103'!$A$12:$O$95,11,FALSE),0)</f>
        <v>3.2074101033884355</v>
      </c>
      <c r="S876" s="1144">
        <f>IFERROR(VLOOKUP(CONCATENATE($E876,$G876),'LAC 103'!$A$12:$O$95,12,FALSE),0)</f>
        <v>3.99</v>
      </c>
      <c r="T876" s="1144">
        <f>IFERROR(VLOOKUP(CONCATENATE($E876,$G876),'LAC 103'!$A$12:$O$95,13,FALSE),0)</f>
        <v>2.48</v>
      </c>
      <c r="U876" s="1144">
        <f>IFERROR(VLOOKUP(CONCATENATE($E876,$G876),'LAC 103'!$A$12:$O$95,14,FALSE),0)</f>
        <v>0</v>
      </c>
      <c r="V876" s="1144">
        <f>IFERROR(VLOOKUP(CONCATENATE($E876,$G876),'LAC 103'!$A$12:$O$95,15,FALSE),0)</f>
        <v>0</v>
      </c>
      <c r="W876" s="1145" t="str">
        <f>IFERROR(VLOOKUP(CONCATENATE($B876,$N876),'LAC 103'!$AI:$AQ,9,FALSE),"")</f>
        <v>Costs</v>
      </c>
      <c r="X876" s="1146">
        <f t="shared" si="240"/>
        <v>3.2074101033884355</v>
      </c>
      <c r="Y876" s="1143">
        <f t="shared" si="251"/>
        <v>51642.510074657199</v>
      </c>
      <c r="Z876" s="1147">
        <f t="shared" si="241"/>
        <v>64242.990000000005</v>
      </c>
      <c r="AA876" s="1144">
        <f t="shared" si="242"/>
        <v>39930.480000000003</v>
      </c>
      <c r="AB876" s="1144">
        <f t="shared" si="243"/>
        <v>0</v>
      </c>
      <c r="AC876" s="1144">
        <f t="shared" si="244"/>
        <v>0</v>
      </c>
      <c r="AD876" s="1148">
        <f t="shared" si="236"/>
        <v>51642.510074657199</v>
      </c>
      <c r="AE876" s="1487">
        <v>0</v>
      </c>
      <c r="AF876" s="1145">
        <f t="shared" si="245"/>
        <v>51642.510074657199</v>
      </c>
      <c r="AG876" s="1149">
        <f>IFERROR(VLOOKUP(CONCATENATE($L876,$N876),'Drop List'!$G$23:$K$87,2,FALSE),0)</f>
        <v>0.69340000000000002</v>
      </c>
      <c r="AH876" s="1150">
        <f>IFERROR(VLOOKUP(CONCATENATE($L876,$N876),'Drop List'!$G$23:$K$87,3,FALSE),0)</f>
        <v>0.30659999999999998</v>
      </c>
      <c r="AI876" s="1150">
        <f>IFERROR(VLOOKUP(CONCATENATE($L876,$N876),'Drop List'!$G$23:$K$87,4,FALSE),0)</f>
        <v>0</v>
      </c>
      <c r="AJ876" s="1151">
        <f>IFERROR(VLOOKUP(CONCATENATE($L876,$N876),'Drop List'!$G$23:$K$87,5,FALSE),0)</f>
        <v>0</v>
      </c>
      <c r="AK876" s="1152">
        <f t="shared" si="246"/>
        <v>35808.916485767302</v>
      </c>
      <c r="AL876" s="1153">
        <f t="shared" si="247"/>
        <v>15833.593588889897</v>
      </c>
      <c r="AM876" s="1153">
        <f t="shared" si="248"/>
        <v>0</v>
      </c>
      <c r="AN876" s="1145">
        <f t="shared" si="249"/>
        <v>0</v>
      </c>
      <c r="AO876" s="1154">
        <f t="shared" si="250"/>
        <v>51642.510074657199</v>
      </c>
      <c r="AP876" s="1147">
        <f t="shared" si="237"/>
        <v>0</v>
      </c>
      <c r="AQ876" s="1144">
        <f t="shared" si="238"/>
        <v>0</v>
      </c>
      <c r="AR876" s="1146">
        <f t="shared" si="239"/>
        <v>51642.510074657199</v>
      </c>
    </row>
    <row r="877" spans="1:44" x14ac:dyDescent="0.2">
      <c r="A877" s="1141" t="str">
        <f t="shared" si="234"/>
        <v>1542</v>
      </c>
      <c r="B877" s="1141" t="str">
        <f>IFERROR(VLOOKUP(A877,'LAC 103'!A:C,3,FALSE),"")</f>
        <v>OP</v>
      </c>
      <c r="C877" s="1478" t="str">
        <f>Info!$B$8</f>
        <v>00100</v>
      </c>
      <c r="D877" s="1474" t="s">
        <v>256</v>
      </c>
      <c r="E877" s="1474" t="s">
        <v>95</v>
      </c>
      <c r="F877" s="1478" t="s">
        <v>392</v>
      </c>
      <c r="G877" s="1478" t="s">
        <v>392</v>
      </c>
      <c r="H877" s="1474" t="s">
        <v>983</v>
      </c>
      <c r="I877" s="1478" t="s">
        <v>823</v>
      </c>
      <c r="J877" s="1478" t="s">
        <v>1998</v>
      </c>
      <c r="K877" s="1475" t="s">
        <v>848</v>
      </c>
      <c r="L877" s="1474" t="s">
        <v>45</v>
      </c>
      <c r="M877" s="1476" t="s">
        <v>1698</v>
      </c>
      <c r="N877" s="1477" t="s">
        <v>1693</v>
      </c>
      <c r="O877" s="1479">
        <v>12734</v>
      </c>
      <c r="P877" s="1479"/>
      <c r="Q877" s="1142">
        <f t="shared" si="235"/>
        <v>12734</v>
      </c>
      <c r="R877" s="1143">
        <f>IFERROR(VLOOKUP(CONCATENATE(E877,G877),'LAC 103'!$A$12:$O$95,11,FALSE),0)</f>
        <v>3.2074101033884355</v>
      </c>
      <c r="S877" s="1144">
        <f>IFERROR(VLOOKUP(CONCATENATE($E877,$G877),'LAC 103'!$A$12:$O$95,12,FALSE),0)</f>
        <v>3.99</v>
      </c>
      <c r="T877" s="1144">
        <f>IFERROR(VLOOKUP(CONCATENATE($E877,$G877),'LAC 103'!$A$12:$O$95,13,FALSE),0)</f>
        <v>2.48</v>
      </c>
      <c r="U877" s="1144">
        <f>IFERROR(VLOOKUP(CONCATENATE($E877,$G877),'LAC 103'!$A$12:$O$95,14,FALSE),0)</f>
        <v>0</v>
      </c>
      <c r="V877" s="1144">
        <f>IFERROR(VLOOKUP(CONCATENATE($E877,$G877),'LAC 103'!$A$12:$O$95,15,FALSE),0)</f>
        <v>0</v>
      </c>
      <c r="W877" s="1145" t="str">
        <f>IFERROR(VLOOKUP(CONCATENATE($B877,$N877),'LAC 103'!$AI:$AQ,9,FALSE),"")</f>
        <v>Costs</v>
      </c>
      <c r="X877" s="1146">
        <f t="shared" si="240"/>
        <v>3.2074101033884355</v>
      </c>
      <c r="Y877" s="1143">
        <f t="shared" si="251"/>
        <v>40843.160256548334</v>
      </c>
      <c r="Z877" s="1147">
        <f t="shared" si="241"/>
        <v>50808.66</v>
      </c>
      <c r="AA877" s="1144">
        <f t="shared" si="242"/>
        <v>31580.32</v>
      </c>
      <c r="AB877" s="1144">
        <f t="shared" si="243"/>
        <v>0</v>
      </c>
      <c r="AC877" s="1144">
        <f t="shared" si="244"/>
        <v>0</v>
      </c>
      <c r="AD877" s="1148">
        <f t="shared" si="236"/>
        <v>40843.160256548334</v>
      </c>
      <c r="AE877" s="1487">
        <v>0</v>
      </c>
      <c r="AF877" s="1145">
        <f t="shared" si="245"/>
        <v>40843.160256548334</v>
      </c>
      <c r="AG877" s="1149">
        <f>IFERROR(VLOOKUP(CONCATENATE($L877,$N877),'Drop List'!$G$23:$K$87,2,FALSE),0)</f>
        <v>0.69340000000000002</v>
      </c>
      <c r="AH877" s="1150">
        <f>IFERROR(VLOOKUP(CONCATENATE($L877,$N877),'Drop List'!$G$23:$K$87,3,FALSE),0)</f>
        <v>0.30659999999999998</v>
      </c>
      <c r="AI877" s="1150">
        <f>IFERROR(VLOOKUP(CONCATENATE($L877,$N877),'Drop List'!$G$23:$K$87,4,FALSE),0)</f>
        <v>0</v>
      </c>
      <c r="AJ877" s="1151">
        <f>IFERROR(VLOOKUP(CONCATENATE($L877,$N877),'Drop List'!$G$23:$K$87,5,FALSE),0)</f>
        <v>0</v>
      </c>
      <c r="AK877" s="1152">
        <f t="shared" si="246"/>
        <v>28320.647321890614</v>
      </c>
      <c r="AL877" s="1153">
        <f t="shared" si="247"/>
        <v>12522.512934657718</v>
      </c>
      <c r="AM877" s="1153">
        <f t="shared" si="248"/>
        <v>0</v>
      </c>
      <c r="AN877" s="1145">
        <f t="shared" si="249"/>
        <v>0</v>
      </c>
      <c r="AO877" s="1154">
        <f t="shared" si="250"/>
        <v>40843.160256548334</v>
      </c>
      <c r="AP877" s="1147">
        <f t="shared" si="237"/>
        <v>0</v>
      </c>
      <c r="AQ877" s="1144">
        <f t="shared" si="238"/>
        <v>0</v>
      </c>
      <c r="AR877" s="1146">
        <f t="shared" si="239"/>
        <v>40843.160256548334</v>
      </c>
    </row>
    <row r="878" spans="1:44" x14ac:dyDescent="0.2">
      <c r="A878" s="1141" t="str">
        <f t="shared" si="234"/>
        <v>1542</v>
      </c>
      <c r="B878" s="1141" t="str">
        <f>IFERROR(VLOOKUP(A878,'LAC 103'!A:C,3,FALSE),"")</f>
        <v>OP</v>
      </c>
      <c r="C878" s="1478" t="str">
        <f>Info!$B$8</f>
        <v>00100</v>
      </c>
      <c r="D878" s="1474" t="s">
        <v>256</v>
      </c>
      <c r="E878" s="1474" t="s">
        <v>95</v>
      </c>
      <c r="F878" s="1478" t="s">
        <v>392</v>
      </c>
      <c r="G878" s="1478" t="s">
        <v>392</v>
      </c>
      <c r="H878" s="1474" t="s">
        <v>983</v>
      </c>
      <c r="I878" s="1478" t="s">
        <v>823</v>
      </c>
      <c r="J878" s="1478" t="s">
        <v>1998</v>
      </c>
      <c r="K878" s="1475" t="s">
        <v>971</v>
      </c>
      <c r="L878" s="1474" t="s">
        <v>332</v>
      </c>
      <c r="M878" s="1476" t="s">
        <v>841</v>
      </c>
      <c r="N878" s="1477" t="s">
        <v>1695</v>
      </c>
      <c r="O878" s="1479">
        <v>138</v>
      </c>
      <c r="P878" s="1479"/>
      <c r="Q878" s="1142">
        <f t="shared" si="235"/>
        <v>138</v>
      </c>
      <c r="R878" s="1143">
        <f>IFERROR(VLOOKUP(CONCATENATE(E878,G878),'LAC 103'!$A$12:$O$95,11,FALSE),0)</f>
        <v>3.2074101033884355</v>
      </c>
      <c r="S878" s="1144">
        <f>IFERROR(VLOOKUP(CONCATENATE($E878,$G878),'LAC 103'!$A$12:$O$95,12,FALSE),0)</f>
        <v>3.99</v>
      </c>
      <c r="T878" s="1144">
        <f>IFERROR(VLOOKUP(CONCATENATE($E878,$G878),'LAC 103'!$A$12:$O$95,13,FALSE),0)</f>
        <v>2.48</v>
      </c>
      <c r="U878" s="1144">
        <f>IFERROR(VLOOKUP(CONCATENATE($E878,$G878),'LAC 103'!$A$12:$O$95,14,FALSE),0)</f>
        <v>0</v>
      </c>
      <c r="V878" s="1144">
        <f>IFERROR(VLOOKUP(CONCATENATE($E878,$G878),'LAC 103'!$A$12:$O$95,15,FALSE),0)</f>
        <v>0</v>
      </c>
      <c r="W878" s="1145" t="str">
        <f>IFERROR(VLOOKUP(CONCATENATE($B878,$N878),'LAC 103'!$AI:$AQ,9,FALSE),"")</f>
        <v>Costs</v>
      </c>
      <c r="X878" s="1146">
        <f t="shared" si="240"/>
        <v>3.2074101033884355</v>
      </c>
      <c r="Y878" s="1143">
        <f t="shared" si="251"/>
        <v>442.62259426760409</v>
      </c>
      <c r="Z878" s="1147">
        <f t="shared" si="241"/>
        <v>550.62</v>
      </c>
      <c r="AA878" s="1144">
        <f t="shared" si="242"/>
        <v>342.24</v>
      </c>
      <c r="AB878" s="1144">
        <f t="shared" si="243"/>
        <v>0</v>
      </c>
      <c r="AC878" s="1144">
        <f t="shared" si="244"/>
        <v>0</v>
      </c>
      <c r="AD878" s="1148">
        <f t="shared" si="236"/>
        <v>442.62259426760409</v>
      </c>
      <c r="AE878" s="1487">
        <v>0</v>
      </c>
      <c r="AF878" s="1145">
        <f t="shared" si="245"/>
        <v>442.62259426760409</v>
      </c>
      <c r="AG878" s="1149">
        <f>IFERROR(VLOOKUP(CONCATENATE($L878,$N878),'Drop List'!$G$23:$K$87,2,FALSE),0)</f>
        <v>0</v>
      </c>
      <c r="AH878" s="1150">
        <f>IFERROR(VLOOKUP(CONCATENATE($L878,$N878),'Drop List'!$G$23:$K$87,3,FALSE),0)</f>
        <v>0</v>
      </c>
      <c r="AI878" s="1150">
        <f>IFERROR(VLOOKUP(CONCATENATE($L878,$N878),'Drop List'!$G$23:$K$87,4,FALSE),0)</f>
        <v>0</v>
      </c>
      <c r="AJ878" s="1151">
        <f>IFERROR(VLOOKUP(CONCATENATE($L878,$N878),'Drop List'!$G$23:$K$87,5,FALSE),0)</f>
        <v>0</v>
      </c>
      <c r="AK878" s="1152">
        <f t="shared" si="246"/>
        <v>0</v>
      </c>
      <c r="AL878" s="1153">
        <f t="shared" si="247"/>
        <v>0</v>
      </c>
      <c r="AM878" s="1153">
        <f t="shared" si="248"/>
        <v>0</v>
      </c>
      <c r="AN878" s="1145">
        <f t="shared" si="249"/>
        <v>0</v>
      </c>
      <c r="AO878" s="1154">
        <f t="shared" si="250"/>
        <v>0</v>
      </c>
      <c r="AP878" s="1147">
        <f t="shared" si="237"/>
        <v>442.62259426760409</v>
      </c>
      <c r="AQ878" s="1144">
        <f t="shared" si="238"/>
        <v>0</v>
      </c>
      <c r="AR878" s="1146">
        <f t="shared" si="239"/>
        <v>442.62259426760409</v>
      </c>
    </row>
    <row r="879" spans="1:44" x14ac:dyDescent="0.2">
      <c r="A879" s="1141" t="str">
        <f t="shared" si="234"/>
        <v>1542</v>
      </c>
      <c r="B879" s="1141" t="str">
        <f>IFERROR(VLOOKUP(A879,'LAC 103'!A:C,3,FALSE),"")</f>
        <v>OP</v>
      </c>
      <c r="C879" s="1478" t="str">
        <f>Info!$B$8</f>
        <v>00100</v>
      </c>
      <c r="D879" s="1474" t="s">
        <v>256</v>
      </c>
      <c r="E879" s="1474" t="s">
        <v>95</v>
      </c>
      <c r="F879" s="1478" t="s">
        <v>392</v>
      </c>
      <c r="G879" s="1478" t="s">
        <v>392</v>
      </c>
      <c r="H879" s="1474" t="s">
        <v>983</v>
      </c>
      <c r="I879" s="1478" t="s">
        <v>823</v>
      </c>
      <c r="J879" s="1478" t="s">
        <v>1998</v>
      </c>
      <c r="K879" s="1475" t="s">
        <v>971</v>
      </c>
      <c r="L879" s="1474" t="s">
        <v>332</v>
      </c>
      <c r="M879" s="1476" t="s">
        <v>842</v>
      </c>
      <c r="N879" s="1477" t="s">
        <v>1692</v>
      </c>
      <c r="O879" s="1479">
        <v>1724</v>
      </c>
      <c r="P879" s="1479"/>
      <c r="Q879" s="1142">
        <f t="shared" si="235"/>
        <v>1724</v>
      </c>
      <c r="R879" s="1143">
        <f>IFERROR(VLOOKUP(CONCATENATE(E879,G879),'LAC 103'!$A$12:$O$95,11,FALSE),0)</f>
        <v>3.2074101033884355</v>
      </c>
      <c r="S879" s="1144">
        <f>IFERROR(VLOOKUP(CONCATENATE($E879,$G879),'LAC 103'!$A$12:$O$95,12,FALSE),0)</f>
        <v>3.99</v>
      </c>
      <c r="T879" s="1144">
        <f>IFERROR(VLOOKUP(CONCATENATE($E879,$G879),'LAC 103'!$A$12:$O$95,13,FALSE),0)</f>
        <v>2.48</v>
      </c>
      <c r="U879" s="1144">
        <f>IFERROR(VLOOKUP(CONCATENATE($E879,$G879),'LAC 103'!$A$12:$O$95,14,FALSE),0)</f>
        <v>0</v>
      </c>
      <c r="V879" s="1144">
        <f>IFERROR(VLOOKUP(CONCATENATE($E879,$G879),'LAC 103'!$A$12:$O$95,15,FALSE),0)</f>
        <v>0</v>
      </c>
      <c r="W879" s="1145" t="str">
        <f>IFERROR(VLOOKUP(CONCATENATE($B879,$N879),'LAC 103'!$AI:$AQ,9,FALSE),"")</f>
        <v>Costs</v>
      </c>
      <c r="X879" s="1146">
        <f t="shared" si="240"/>
        <v>3.2074101033884355</v>
      </c>
      <c r="Y879" s="1143">
        <f t="shared" si="251"/>
        <v>5529.5750182416623</v>
      </c>
      <c r="Z879" s="1147">
        <f t="shared" si="241"/>
        <v>6878.76</v>
      </c>
      <c r="AA879" s="1144">
        <f t="shared" si="242"/>
        <v>4275.5199999999995</v>
      </c>
      <c r="AB879" s="1144">
        <f t="shared" si="243"/>
        <v>0</v>
      </c>
      <c r="AC879" s="1144">
        <f t="shared" si="244"/>
        <v>0</v>
      </c>
      <c r="AD879" s="1148">
        <f t="shared" si="236"/>
        <v>5529.5750182416623</v>
      </c>
      <c r="AE879" s="1487">
        <v>0</v>
      </c>
      <c r="AF879" s="1145">
        <f t="shared" si="245"/>
        <v>5529.5750182416623</v>
      </c>
      <c r="AG879" s="1149">
        <f>IFERROR(VLOOKUP(CONCATENATE($L879,$N879),'Drop List'!$G$23:$K$87,2,FALSE),0)</f>
        <v>0</v>
      </c>
      <c r="AH879" s="1150">
        <f>IFERROR(VLOOKUP(CONCATENATE($L879,$N879),'Drop List'!$G$23:$K$87,3,FALSE),0)</f>
        <v>0</v>
      </c>
      <c r="AI879" s="1150">
        <f>IFERROR(VLOOKUP(CONCATENATE($L879,$N879),'Drop List'!$G$23:$K$87,4,FALSE),0)</f>
        <v>0</v>
      </c>
      <c r="AJ879" s="1151">
        <f>IFERROR(VLOOKUP(CONCATENATE($L879,$N879),'Drop List'!$G$23:$K$87,5,FALSE),0)</f>
        <v>0</v>
      </c>
      <c r="AK879" s="1152">
        <f t="shared" si="246"/>
        <v>0</v>
      </c>
      <c r="AL879" s="1153">
        <f t="shared" si="247"/>
        <v>0</v>
      </c>
      <c r="AM879" s="1153">
        <f t="shared" si="248"/>
        <v>0</v>
      </c>
      <c r="AN879" s="1145">
        <f t="shared" si="249"/>
        <v>0</v>
      </c>
      <c r="AO879" s="1154">
        <f t="shared" si="250"/>
        <v>0</v>
      </c>
      <c r="AP879" s="1147">
        <f t="shared" si="237"/>
        <v>5529.5750182416623</v>
      </c>
      <c r="AQ879" s="1144">
        <f t="shared" si="238"/>
        <v>0</v>
      </c>
      <c r="AR879" s="1146">
        <f t="shared" si="239"/>
        <v>5529.5750182416623</v>
      </c>
    </row>
    <row r="880" spans="1:44" x14ac:dyDescent="0.2">
      <c r="A880" s="1141" t="str">
        <f t="shared" si="234"/>
        <v>1542</v>
      </c>
      <c r="B880" s="1141" t="str">
        <f>IFERROR(VLOOKUP(A880,'LAC 103'!A:C,3,FALSE),"")</f>
        <v>OP</v>
      </c>
      <c r="C880" s="1478" t="str">
        <f>Info!$B$8</f>
        <v>00100</v>
      </c>
      <c r="D880" s="1474" t="s">
        <v>256</v>
      </c>
      <c r="E880" s="1474" t="s">
        <v>95</v>
      </c>
      <c r="F880" s="1478" t="s">
        <v>392</v>
      </c>
      <c r="G880" s="1478" t="s">
        <v>392</v>
      </c>
      <c r="H880" s="1474" t="s">
        <v>983</v>
      </c>
      <c r="I880" s="1478" t="s">
        <v>823</v>
      </c>
      <c r="J880" s="1478" t="s">
        <v>1998</v>
      </c>
      <c r="K880" s="1475" t="s">
        <v>971</v>
      </c>
      <c r="L880" s="1474" t="s">
        <v>332</v>
      </c>
      <c r="M880" s="1476" t="s">
        <v>1698</v>
      </c>
      <c r="N880" s="1477" t="s">
        <v>1693</v>
      </c>
      <c r="O880" s="1479">
        <v>816</v>
      </c>
      <c r="P880" s="1479"/>
      <c r="Q880" s="1142">
        <f t="shared" si="235"/>
        <v>816</v>
      </c>
      <c r="R880" s="1143">
        <f>IFERROR(VLOOKUP(CONCATENATE(E880,G880),'LAC 103'!$A$12:$O$95,11,FALSE),0)</f>
        <v>3.2074101033884355</v>
      </c>
      <c r="S880" s="1144">
        <f>IFERROR(VLOOKUP(CONCATENATE($E880,$G880),'LAC 103'!$A$12:$O$95,12,FALSE),0)</f>
        <v>3.99</v>
      </c>
      <c r="T880" s="1144">
        <f>IFERROR(VLOOKUP(CONCATENATE($E880,$G880),'LAC 103'!$A$12:$O$95,13,FALSE),0)</f>
        <v>2.48</v>
      </c>
      <c r="U880" s="1144">
        <f>IFERROR(VLOOKUP(CONCATENATE($E880,$G880),'LAC 103'!$A$12:$O$95,14,FALSE),0)</f>
        <v>0</v>
      </c>
      <c r="V880" s="1144">
        <f>IFERROR(VLOOKUP(CONCATENATE($E880,$G880),'LAC 103'!$A$12:$O$95,15,FALSE),0)</f>
        <v>0</v>
      </c>
      <c r="W880" s="1145" t="str">
        <f>IFERROR(VLOOKUP(CONCATENATE($B880,$N880),'LAC 103'!$AI:$AQ,9,FALSE),"")</f>
        <v>Costs</v>
      </c>
      <c r="X880" s="1146">
        <f t="shared" si="240"/>
        <v>3.2074101033884355</v>
      </c>
      <c r="Y880" s="1143">
        <f t="shared" si="251"/>
        <v>2617.2466443649632</v>
      </c>
      <c r="Z880" s="1147">
        <f t="shared" si="241"/>
        <v>3255.84</v>
      </c>
      <c r="AA880" s="1144">
        <f t="shared" si="242"/>
        <v>2023.68</v>
      </c>
      <c r="AB880" s="1144">
        <f t="shared" si="243"/>
        <v>0</v>
      </c>
      <c r="AC880" s="1144">
        <f t="shared" si="244"/>
        <v>0</v>
      </c>
      <c r="AD880" s="1148">
        <f t="shared" si="236"/>
        <v>2617.2466443649632</v>
      </c>
      <c r="AE880" s="1487">
        <v>0</v>
      </c>
      <c r="AF880" s="1145">
        <f t="shared" si="245"/>
        <v>2617.2466443649632</v>
      </c>
      <c r="AG880" s="1149">
        <f>IFERROR(VLOOKUP(CONCATENATE($L880,$N880),'Drop List'!$G$23:$K$87,2,FALSE),0)</f>
        <v>0</v>
      </c>
      <c r="AH880" s="1150">
        <f>IFERROR(VLOOKUP(CONCATENATE($L880,$N880),'Drop List'!$G$23:$K$87,3,FALSE),0)</f>
        <v>0</v>
      </c>
      <c r="AI880" s="1150">
        <f>IFERROR(VLOOKUP(CONCATENATE($L880,$N880),'Drop List'!$G$23:$K$87,4,FALSE),0)</f>
        <v>0</v>
      </c>
      <c r="AJ880" s="1151">
        <f>IFERROR(VLOOKUP(CONCATENATE($L880,$N880),'Drop List'!$G$23:$K$87,5,FALSE),0)</f>
        <v>0</v>
      </c>
      <c r="AK880" s="1152">
        <f t="shared" si="246"/>
        <v>0</v>
      </c>
      <c r="AL880" s="1153">
        <f t="shared" si="247"/>
        <v>0</v>
      </c>
      <c r="AM880" s="1153">
        <f t="shared" si="248"/>
        <v>0</v>
      </c>
      <c r="AN880" s="1145">
        <f t="shared" si="249"/>
        <v>0</v>
      </c>
      <c r="AO880" s="1154">
        <f t="shared" si="250"/>
        <v>0</v>
      </c>
      <c r="AP880" s="1147">
        <f t="shared" si="237"/>
        <v>2617.2466443649632</v>
      </c>
      <c r="AQ880" s="1144">
        <f t="shared" si="238"/>
        <v>0</v>
      </c>
      <c r="AR880" s="1146">
        <f t="shared" si="239"/>
        <v>2617.2466443649632</v>
      </c>
    </row>
    <row r="881" spans="1:44" x14ac:dyDescent="0.2">
      <c r="A881" s="1141" t="str">
        <f t="shared" si="234"/>
        <v>1542</v>
      </c>
      <c r="B881" s="1141" t="str">
        <f>IFERROR(VLOOKUP(A881,'LAC 103'!A:C,3,FALSE),"")</f>
        <v>OP</v>
      </c>
      <c r="C881" s="1478" t="str">
        <f>Info!$B$8</f>
        <v>00100</v>
      </c>
      <c r="D881" s="1474" t="s">
        <v>256</v>
      </c>
      <c r="E881" s="1474" t="s">
        <v>95</v>
      </c>
      <c r="F881" s="1478" t="s">
        <v>392</v>
      </c>
      <c r="G881" s="1478" t="s">
        <v>392</v>
      </c>
      <c r="H881" s="1474" t="s">
        <v>983</v>
      </c>
      <c r="I881" s="1478" t="s">
        <v>823</v>
      </c>
      <c r="J881" s="1478" t="s">
        <v>1998</v>
      </c>
      <c r="K881" s="1475" t="s">
        <v>850</v>
      </c>
      <c r="L881" s="1474" t="s">
        <v>330</v>
      </c>
      <c r="M881" s="1476" t="s">
        <v>1699</v>
      </c>
      <c r="N881" s="1477" t="s">
        <v>1694</v>
      </c>
      <c r="O881" s="1479">
        <v>706</v>
      </c>
      <c r="P881" s="1479"/>
      <c r="Q881" s="1142">
        <f t="shared" si="235"/>
        <v>706</v>
      </c>
      <c r="R881" s="1143">
        <f>IFERROR(VLOOKUP(CONCATENATE(E881,G881),'LAC 103'!$A$12:$O$95,11,FALSE),0)</f>
        <v>3.2074101033884355</v>
      </c>
      <c r="S881" s="1144">
        <f>IFERROR(VLOOKUP(CONCATENATE($E881,$G881),'LAC 103'!$A$12:$O$95,12,FALSE),0)</f>
        <v>3.99</v>
      </c>
      <c r="T881" s="1144">
        <f>IFERROR(VLOOKUP(CONCATENATE($E881,$G881),'LAC 103'!$A$12:$O$95,13,FALSE),0)</f>
        <v>2.48</v>
      </c>
      <c r="U881" s="1144">
        <f>IFERROR(VLOOKUP(CONCATENATE($E881,$G881),'LAC 103'!$A$12:$O$95,14,FALSE),0)</f>
        <v>0</v>
      </c>
      <c r="V881" s="1144">
        <f>IFERROR(VLOOKUP(CONCATENATE($E881,$G881),'LAC 103'!$A$12:$O$95,15,FALSE),0)</f>
        <v>0</v>
      </c>
      <c r="W881" s="1145" t="str">
        <f>IFERROR(VLOOKUP(CONCATENATE($B881,$N881),'LAC 103'!$AI:$AQ,9,FALSE),"")</f>
        <v>Costs</v>
      </c>
      <c r="X881" s="1146">
        <f t="shared" si="240"/>
        <v>3.2074101033884355</v>
      </c>
      <c r="Y881" s="1143">
        <f t="shared" si="251"/>
        <v>2264.4315329922356</v>
      </c>
      <c r="Z881" s="1147">
        <f t="shared" si="241"/>
        <v>2816.94</v>
      </c>
      <c r="AA881" s="1144">
        <f t="shared" si="242"/>
        <v>1750.8799999999999</v>
      </c>
      <c r="AB881" s="1144">
        <f t="shared" si="243"/>
        <v>0</v>
      </c>
      <c r="AC881" s="1144">
        <f t="shared" si="244"/>
        <v>0</v>
      </c>
      <c r="AD881" s="1148">
        <f t="shared" si="236"/>
        <v>2264.4315329922356</v>
      </c>
      <c r="AE881" s="1487">
        <v>0</v>
      </c>
      <c r="AF881" s="1145">
        <f t="shared" si="245"/>
        <v>2264.4315329922356</v>
      </c>
      <c r="AG881" s="1149">
        <f>IFERROR(VLOOKUP(CONCATENATE($L881,$N881),'Drop List'!$G$23:$K$87,2,FALSE),0)</f>
        <v>0</v>
      </c>
      <c r="AH881" s="1150">
        <f>IFERROR(VLOOKUP(CONCATENATE($L881,$N881),'Drop List'!$G$23:$K$87,3,FALSE),0)</f>
        <v>0</v>
      </c>
      <c r="AI881" s="1150">
        <f>IFERROR(VLOOKUP(CONCATENATE($L881,$N881),'Drop List'!$G$23:$K$87,4,FALSE),0)</f>
        <v>1</v>
      </c>
      <c r="AJ881" s="1151">
        <f>IFERROR(VLOOKUP(CONCATENATE($L881,$N881),'Drop List'!$G$23:$K$87,5,FALSE),0)</f>
        <v>0</v>
      </c>
      <c r="AK881" s="1152">
        <f t="shared" si="246"/>
        <v>0</v>
      </c>
      <c r="AL881" s="1153">
        <f t="shared" si="247"/>
        <v>0</v>
      </c>
      <c r="AM881" s="1153">
        <f t="shared" si="248"/>
        <v>2264.4315329922356</v>
      </c>
      <c r="AN881" s="1145">
        <f t="shared" si="249"/>
        <v>0</v>
      </c>
      <c r="AO881" s="1154">
        <f t="shared" si="250"/>
        <v>2264.4315329922356</v>
      </c>
      <c r="AP881" s="1147">
        <f t="shared" si="237"/>
        <v>0</v>
      </c>
      <c r="AQ881" s="1144">
        <f t="shared" si="238"/>
        <v>0</v>
      </c>
      <c r="AR881" s="1146">
        <f t="shared" si="239"/>
        <v>2264.4315329922356</v>
      </c>
    </row>
    <row r="882" spans="1:44" x14ac:dyDescent="0.2">
      <c r="A882" s="1141" t="str">
        <f t="shared" si="234"/>
        <v>1542</v>
      </c>
      <c r="B882" s="1141" t="str">
        <f>IFERROR(VLOOKUP(A882,'LAC 103'!A:C,3,FALSE),"")</f>
        <v>OP</v>
      </c>
      <c r="C882" s="1478" t="str">
        <f>Info!$B$8</f>
        <v>00100</v>
      </c>
      <c r="D882" s="1474" t="s">
        <v>256</v>
      </c>
      <c r="E882" s="1474" t="s">
        <v>95</v>
      </c>
      <c r="F882" s="1478" t="s">
        <v>392</v>
      </c>
      <c r="G882" s="1478" t="s">
        <v>392</v>
      </c>
      <c r="H882" s="1474" t="s">
        <v>983</v>
      </c>
      <c r="I882" s="1478" t="s">
        <v>823</v>
      </c>
      <c r="J882" s="1478" t="s">
        <v>1998</v>
      </c>
      <c r="K882" s="1475" t="s">
        <v>850</v>
      </c>
      <c r="L882" s="1474" t="s">
        <v>330</v>
      </c>
      <c r="M882" s="1476" t="s">
        <v>842</v>
      </c>
      <c r="N882" s="1477" t="s">
        <v>1692</v>
      </c>
      <c r="O882" s="1479">
        <v>584</v>
      </c>
      <c r="P882" s="1479"/>
      <c r="Q882" s="1142">
        <f t="shared" si="235"/>
        <v>584</v>
      </c>
      <c r="R882" s="1143">
        <f>IFERROR(VLOOKUP(CONCATENATE(E882,G882),'LAC 103'!$A$12:$O$95,11,FALSE),0)</f>
        <v>3.2074101033884355</v>
      </c>
      <c r="S882" s="1144">
        <f>IFERROR(VLOOKUP(CONCATENATE($E882,$G882),'LAC 103'!$A$12:$O$95,12,FALSE),0)</f>
        <v>3.99</v>
      </c>
      <c r="T882" s="1144">
        <f>IFERROR(VLOOKUP(CONCATENATE($E882,$G882),'LAC 103'!$A$12:$O$95,13,FALSE),0)</f>
        <v>2.48</v>
      </c>
      <c r="U882" s="1144">
        <f>IFERROR(VLOOKUP(CONCATENATE($E882,$G882),'LAC 103'!$A$12:$O$95,14,FALSE),0)</f>
        <v>0</v>
      </c>
      <c r="V882" s="1144">
        <f>IFERROR(VLOOKUP(CONCATENATE($E882,$G882),'LAC 103'!$A$12:$O$95,15,FALSE),0)</f>
        <v>0</v>
      </c>
      <c r="W882" s="1145" t="str">
        <f>IFERROR(VLOOKUP(CONCATENATE($B882,$N882),'LAC 103'!$AI:$AQ,9,FALSE),"")</f>
        <v>Costs</v>
      </c>
      <c r="X882" s="1146">
        <f t="shared" si="240"/>
        <v>3.2074101033884355</v>
      </c>
      <c r="Y882" s="1143">
        <f t="shared" si="251"/>
        <v>1873.1275003788462</v>
      </c>
      <c r="Z882" s="1147">
        <f t="shared" si="241"/>
        <v>2330.1600000000003</v>
      </c>
      <c r="AA882" s="1144">
        <f t="shared" si="242"/>
        <v>1448.32</v>
      </c>
      <c r="AB882" s="1144">
        <f t="shared" si="243"/>
        <v>0</v>
      </c>
      <c r="AC882" s="1144">
        <f t="shared" si="244"/>
        <v>0</v>
      </c>
      <c r="AD882" s="1148">
        <f t="shared" si="236"/>
        <v>1873.1275003788462</v>
      </c>
      <c r="AE882" s="1487">
        <v>0</v>
      </c>
      <c r="AF882" s="1145">
        <f t="shared" si="245"/>
        <v>1873.1275003788462</v>
      </c>
      <c r="AG882" s="1149">
        <f>IFERROR(VLOOKUP(CONCATENATE($L882,$N882),'Drop List'!$G$23:$K$87,2,FALSE),0)</f>
        <v>0</v>
      </c>
      <c r="AH882" s="1150">
        <f>IFERROR(VLOOKUP(CONCATENATE($L882,$N882),'Drop List'!$G$23:$K$87,3,FALSE),0)</f>
        <v>0</v>
      </c>
      <c r="AI882" s="1150">
        <f>IFERROR(VLOOKUP(CONCATENATE($L882,$N882),'Drop List'!$G$23:$K$87,4,FALSE),0)</f>
        <v>1</v>
      </c>
      <c r="AJ882" s="1151">
        <f>IFERROR(VLOOKUP(CONCATENATE($L882,$N882),'Drop List'!$G$23:$K$87,5,FALSE),0)</f>
        <v>0</v>
      </c>
      <c r="AK882" s="1152">
        <f t="shared" si="246"/>
        <v>0</v>
      </c>
      <c r="AL882" s="1153">
        <f t="shared" si="247"/>
        <v>0</v>
      </c>
      <c r="AM882" s="1153">
        <f t="shared" si="248"/>
        <v>1873.1275003788462</v>
      </c>
      <c r="AN882" s="1145">
        <f t="shared" si="249"/>
        <v>0</v>
      </c>
      <c r="AO882" s="1154">
        <f t="shared" si="250"/>
        <v>1873.1275003788462</v>
      </c>
      <c r="AP882" s="1147">
        <f t="shared" si="237"/>
        <v>0</v>
      </c>
      <c r="AQ882" s="1144">
        <f t="shared" si="238"/>
        <v>0</v>
      </c>
      <c r="AR882" s="1146">
        <f t="shared" si="239"/>
        <v>1873.1275003788462</v>
      </c>
    </row>
    <row r="883" spans="1:44" x14ac:dyDescent="0.2">
      <c r="A883" s="1141" t="str">
        <f t="shared" si="234"/>
        <v>1542</v>
      </c>
      <c r="B883" s="1141" t="str">
        <f>IFERROR(VLOOKUP(A883,'LAC 103'!A:C,3,FALSE),"")</f>
        <v>OP</v>
      </c>
      <c r="C883" s="1478" t="str">
        <f>Info!$B$8</f>
        <v>00100</v>
      </c>
      <c r="D883" s="1474" t="s">
        <v>256</v>
      </c>
      <c r="E883" s="1474" t="s">
        <v>95</v>
      </c>
      <c r="F883" s="1478" t="s">
        <v>392</v>
      </c>
      <c r="G883" s="1478" t="s">
        <v>392</v>
      </c>
      <c r="H883" s="1474" t="s">
        <v>983</v>
      </c>
      <c r="I883" s="1478" t="s">
        <v>823</v>
      </c>
      <c r="J883" s="1478" t="s">
        <v>1998</v>
      </c>
      <c r="K883" s="1475" t="s">
        <v>850</v>
      </c>
      <c r="L883" s="1474" t="s">
        <v>330</v>
      </c>
      <c r="M883" s="1476" t="s">
        <v>1698</v>
      </c>
      <c r="N883" s="1477" t="s">
        <v>1693</v>
      </c>
      <c r="O883" s="1479">
        <v>4084</v>
      </c>
      <c r="P883" s="1479"/>
      <c r="Q883" s="1142">
        <f t="shared" si="235"/>
        <v>4084</v>
      </c>
      <c r="R883" s="1143">
        <f>IFERROR(VLOOKUP(CONCATENATE(E883,G883),'LAC 103'!$A$12:$O$95,11,FALSE),0)</f>
        <v>3.2074101033884355</v>
      </c>
      <c r="S883" s="1144">
        <f>IFERROR(VLOOKUP(CONCATENATE($E883,$G883),'LAC 103'!$A$12:$O$95,12,FALSE),0)</f>
        <v>3.99</v>
      </c>
      <c r="T883" s="1144">
        <f>IFERROR(VLOOKUP(CONCATENATE($E883,$G883),'LAC 103'!$A$12:$O$95,13,FALSE),0)</f>
        <v>2.48</v>
      </c>
      <c r="U883" s="1144">
        <f>IFERROR(VLOOKUP(CONCATENATE($E883,$G883),'LAC 103'!$A$12:$O$95,14,FALSE),0)</f>
        <v>0</v>
      </c>
      <c r="V883" s="1144">
        <f>IFERROR(VLOOKUP(CONCATENATE($E883,$G883),'LAC 103'!$A$12:$O$95,15,FALSE),0)</f>
        <v>0</v>
      </c>
      <c r="W883" s="1145" t="str">
        <f>IFERROR(VLOOKUP(CONCATENATE($B883,$N883),'LAC 103'!$AI:$AQ,9,FALSE),"")</f>
        <v>Costs</v>
      </c>
      <c r="X883" s="1146">
        <f t="shared" si="240"/>
        <v>3.2074101033884355</v>
      </c>
      <c r="Y883" s="1143">
        <f t="shared" si="251"/>
        <v>13099.06286223837</v>
      </c>
      <c r="Z883" s="1147">
        <f t="shared" si="241"/>
        <v>16295.160000000002</v>
      </c>
      <c r="AA883" s="1144">
        <f t="shared" si="242"/>
        <v>10128.32</v>
      </c>
      <c r="AB883" s="1144">
        <f t="shared" si="243"/>
        <v>0</v>
      </c>
      <c r="AC883" s="1144">
        <f t="shared" si="244"/>
        <v>0</v>
      </c>
      <c r="AD883" s="1148">
        <f t="shared" si="236"/>
        <v>13099.06286223837</v>
      </c>
      <c r="AE883" s="1487">
        <v>0</v>
      </c>
      <c r="AF883" s="1145">
        <f t="shared" si="245"/>
        <v>13099.06286223837</v>
      </c>
      <c r="AG883" s="1149">
        <f>IFERROR(VLOOKUP(CONCATENATE($L883,$N883),'Drop List'!$G$23:$K$87,2,FALSE),0)</f>
        <v>0</v>
      </c>
      <c r="AH883" s="1150">
        <f>IFERROR(VLOOKUP(CONCATENATE($L883,$N883),'Drop List'!$G$23:$K$87,3,FALSE),0)</f>
        <v>0</v>
      </c>
      <c r="AI883" s="1150">
        <f>IFERROR(VLOOKUP(CONCATENATE($L883,$N883),'Drop List'!$G$23:$K$87,4,FALSE),0)</f>
        <v>1</v>
      </c>
      <c r="AJ883" s="1151">
        <f>IFERROR(VLOOKUP(CONCATENATE($L883,$N883),'Drop List'!$G$23:$K$87,5,FALSE),0)</f>
        <v>0</v>
      </c>
      <c r="AK883" s="1152">
        <f t="shared" si="246"/>
        <v>0</v>
      </c>
      <c r="AL883" s="1153">
        <f t="shared" si="247"/>
        <v>0</v>
      </c>
      <c r="AM883" s="1153">
        <f t="shared" si="248"/>
        <v>13099.06286223837</v>
      </c>
      <c r="AN883" s="1145">
        <f t="shared" si="249"/>
        <v>0</v>
      </c>
      <c r="AO883" s="1154">
        <f t="shared" si="250"/>
        <v>13099.06286223837</v>
      </c>
      <c r="AP883" s="1147">
        <f t="shared" si="237"/>
        <v>0</v>
      </c>
      <c r="AQ883" s="1144">
        <f t="shared" si="238"/>
        <v>0</v>
      </c>
      <c r="AR883" s="1146">
        <f t="shared" si="239"/>
        <v>13099.06286223837</v>
      </c>
    </row>
    <row r="884" spans="1:44" x14ac:dyDescent="0.2">
      <c r="A884" s="1141" t="str">
        <f t="shared" si="234"/>
        <v>1542</v>
      </c>
      <c r="B884" s="1141" t="str">
        <f>IFERROR(VLOOKUP(A884,'LAC 103'!A:C,3,FALSE),"")</f>
        <v>OP</v>
      </c>
      <c r="C884" s="1478" t="str">
        <f>Info!$B$8</f>
        <v>00100</v>
      </c>
      <c r="D884" s="1474" t="s">
        <v>256</v>
      </c>
      <c r="E884" s="1474" t="s">
        <v>95</v>
      </c>
      <c r="F884" s="1478" t="s">
        <v>392</v>
      </c>
      <c r="G884" s="1478" t="s">
        <v>392</v>
      </c>
      <c r="H884" s="1474" t="s">
        <v>983</v>
      </c>
      <c r="I884" s="1478" t="s">
        <v>823</v>
      </c>
      <c r="J884" s="1478" t="s">
        <v>1998</v>
      </c>
      <c r="K884" s="1475" t="s">
        <v>851</v>
      </c>
      <c r="L884" s="1474" t="s">
        <v>584</v>
      </c>
      <c r="M884" s="1476" t="s">
        <v>1699</v>
      </c>
      <c r="N884" s="1477" t="s">
        <v>1694</v>
      </c>
      <c r="O884" s="1479">
        <v>215</v>
      </c>
      <c r="P884" s="1479"/>
      <c r="Q884" s="1142">
        <f t="shared" si="235"/>
        <v>215</v>
      </c>
      <c r="R884" s="1143">
        <f>IFERROR(VLOOKUP(CONCATENATE(E884,G884),'LAC 103'!$A$12:$O$95,11,FALSE),0)</f>
        <v>3.2074101033884355</v>
      </c>
      <c r="S884" s="1144">
        <f>IFERROR(VLOOKUP(CONCATENATE($E884,$G884),'LAC 103'!$A$12:$O$95,12,FALSE),0)</f>
        <v>3.99</v>
      </c>
      <c r="T884" s="1144">
        <f>IFERROR(VLOOKUP(CONCATENATE($E884,$G884),'LAC 103'!$A$12:$O$95,13,FALSE),0)</f>
        <v>2.48</v>
      </c>
      <c r="U884" s="1144">
        <f>IFERROR(VLOOKUP(CONCATENATE($E884,$G884),'LAC 103'!$A$12:$O$95,14,FALSE),0)</f>
        <v>0</v>
      </c>
      <c r="V884" s="1144">
        <f>IFERROR(VLOOKUP(CONCATENATE($E884,$G884),'LAC 103'!$A$12:$O$95,15,FALSE),0)</f>
        <v>0</v>
      </c>
      <c r="W884" s="1145" t="str">
        <f>IFERROR(VLOOKUP(CONCATENATE($B884,$N884),'LAC 103'!$AI:$AQ,9,FALSE),"")</f>
        <v>Costs</v>
      </c>
      <c r="X884" s="1146">
        <f t="shared" si="240"/>
        <v>3.2074101033884355</v>
      </c>
      <c r="Y884" s="1143">
        <f t="shared" si="251"/>
        <v>689.59317222851359</v>
      </c>
      <c r="Z884" s="1147">
        <f t="shared" si="241"/>
        <v>857.85</v>
      </c>
      <c r="AA884" s="1144">
        <f t="shared" si="242"/>
        <v>533.20000000000005</v>
      </c>
      <c r="AB884" s="1144">
        <f t="shared" si="243"/>
        <v>0</v>
      </c>
      <c r="AC884" s="1144">
        <f t="shared" si="244"/>
        <v>0</v>
      </c>
      <c r="AD884" s="1148">
        <f t="shared" si="236"/>
        <v>689.59317222851359</v>
      </c>
      <c r="AE884" s="1487">
        <v>0</v>
      </c>
      <c r="AF884" s="1145">
        <f t="shared" si="245"/>
        <v>689.59317222851359</v>
      </c>
      <c r="AG884" s="1149">
        <f>IFERROR(VLOOKUP(CONCATENATE($L884,$N884),'Drop List'!$G$23:$K$87,2,FALSE),0)</f>
        <v>0.56200000000000006</v>
      </c>
      <c r="AH884" s="1150">
        <f>IFERROR(VLOOKUP(CONCATENATE($L884,$N884),'Drop List'!$G$23:$K$87,3,FALSE),0)</f>
        <v>0</v>
      </c>
      <c r="AI884" s="1150">
        <f>IFERROR(VLOOKUP(CONCATENATE($L884,$N884),'Drop List'!$G$23:$K$87,4,FALSE),0)</f>
        <v>0</v>
      </c>
      <c r="AJ884" s="1151">
        <f>IFERROR(VLOOKUP(CONCATENATE($L884,$N884),'Drop List'!$G$23:$K$87,5,FALSE),0)</f>
        <v>0.43799999999999994</v>
      </c>
      <c r="AK884" s="1152">
        <f t="shared" si="246"/>
        <v>387.5513627924247</v>
      </c>
      <c r="AL884" s="1153">
        <f t="shared" si="247"/>
        <v>0</v>
      </c>
      <c r="AM884" s="1153">
        <f t="shared" si="248"/>
        <v>0</v>
      </c>
      <c r="AN884" s="1145">
        <f t="shared" si="249"/>
        <v>302.0418094360889</v>
      </c>
      <c r="AO884" s="1154">
        <f t="shared" si="250"/>
        <v>689.59317222851359</v>
      </c>
      <c r="AP884" s="1147">
        <f t="shared" si="237"/>
        <v>0</v>
      </c>
      <c r="AQ884" s="1144">
        <f t="shared" si="238"/>
        <v>0</v>
      </c>
      <c r="AR884" s="1146">
        <f t="shared" si="239"/>
        <v>689.59317222851359</v>
      </c>
    </row>
    <row r="885" spans="1:44" x14ac:dyDescent="0.2">
      <c r="A885" s="1141" t="str">
        <f t="shared" si="234"/>
        <v>1542</v>
      </c>
      <c r="B885" s="1141" t="str">
        <f>IFERROR(VLOOKUP(A885,'LAC 103'!A:C,3,FALSE),"")</f>
        <v>OP</v>
      </c>
      <c r="C885" s="1478" t="str">
        <f>Info!$B$8</f>
        <v>00100</v>
      </c>
      <c r="D885" s="1474" t="s">
        <v>256</v>
      </c>
      <c r="E885" s="1474" t="s">
        <v>95</v>
      </c>
      <c r="F885" s="1478" t="s">
        <v>392</v>
      </c>
      <c r="G885" s="1478" t="s">
        <v>392</v>
      </c>
      <c r="H885" s="1474" t="s">
        <v>983</v>
      </c>
      <c r="I885" s="1478" t="s">
        <v>823</v>
      </c>
      <c r="J885" s="1478" t="s">
        <v>1998</v>
      </c>
      <c r="K885" s="1475" t="s">
        <v>851</v>
      </c>
      <c r="L885" s="1474" t="s">
        <v>584</v>
      </c>
      <c r="M885" s="1476" t="s">
        <v>1698</v>
      </c>
      <c r="N885" s="1477" t="s">
        <v>1693</v>
      </c>
      <c r="O885" s="1479">
        <v>311</v>
      </c>
      <c r="P885" s="1479"/>
      <c r="Q885" s="1142">
        <f t="shared" si="235"/>
        <v>311</v>
      </c>
      <c r="R885" s="1143">
        <f>IFERROR(VLOOKUP(CONCATENATE(E885,G885),'LAC 103'!$A$12:$O$95,11,FALSE),0)</f>
        <v>3.2074101033884355</v>
      </c>
      <c r="S885" s="1144">
        <f>IFERROR(VLOOKUP(CONCATENATE($E885,$G885),'LAC 103'!$A$12:$O$95,12,FALSE),0)</f>
        <v>3.99</v>
      </c>
      <c r="T885" s="1144">
        <f>IFERROR(VLOOKUP(CONCATENATE($E885,$G885),'LAC 103'!$A$12:$O$95,13,FALSE),0)</f>
        <v>2.48</v>
      </c>
      <c r="U885" s="1144">
        <f>IFERROR(VLOOKUP(CONCATENATE($E885,$G885),'LAC 103'!$A$12:$O$95,14,FALSE),0)</f>
        <v>0</v>
      </c>
      <c r="V885" s="1144">
        <f>IFERROR(VLOOKUP(CONCATENATE($E885,$G885),'LAC 103'!$A$12:$O$95,15,FALSE),0)</f>
        <v>0</v>
      </c>
      <c r="W885" s="1145" t="str">
        <f>IFERROR(VLOOKUP(CONCATENATE($B885,$N885),'LAC 103'!$AI:$AQ,9,FALSE),"")</f>
        <v>Costs</v>
      </c>
      <c r="X885" s="1146">
        <f t="shared" si="240"/>
        <v>3.2074101033884355</v>
      </c>
      <c r="Y885" s="1143">
        <f t="shared" si="251"/>
        <v>997.50454215380341</v>
      </c>
      <c r="Z885" s="1147">
        <f t="shared" si="241"/>
        <v>1240.8900000000001</v>
      </c>
      <c r="AA885" s="1144">
        <f t="shared" si="242"/>
        <v>771.28</v>
      </c>
      <c r="AB885" s="1144">
        <f t="shared" si="243"/>
        <v>0</v>
      </c>
      <c r="AC885" s="1144">
        <f t="shared" si="244"/>
        <v>0</v>
      </c>
      <c r="AD885" s="1148">
        <f t="shared" si="236"/>
        <v>997.50454215380341</v>
      </c>
      <c r="AE885" s="1487">
        <v>0</v>
      </c>
      <c r="AF885" s="1145">
        <f t="shared" si="245"/>
        <v>997.50454215380341</v>
      </c>
      <c r="AG885" s="1149">
        <f>IFERROR(VLOOKUP(CONCATENATE($L885,$N885),'Drop List'!$G$23:$K$87,2,FALSE),0)</f>
        <v>0.56200000000000006</v>
      </c>
      <c r="AH885" s="1150">
        <f>IFERROR(VLOOKUP(CONCATENATE($L885,$N885),'Drop List'!$G$23:$K$87,3,FALSE),0)</f>
        <v>0</v>
      </c>
      <c r="AI885" s="1150">
        <f>IFERROR(VLOOKUP(CONCATENATE($L885,$N885),'Drop List'!$G$23:$K$87,4,FALSE),0)</f>
        <v>0</v>
      </c>
      <c r="AJ885" s="1151">
        <f>IFERROR(VLOOKUP(CONCATENATE($L885,$N885),'Drop List'!$G$23:$K$87,5,FALSE),0)</f>
        <v>0.43799999999999994</v>
      </c>
      <c r="AK885" s="1152">
        <f t="shared" si="246"/>
        <v>560.59755269043762</v>
      </c>
      <c r="AL885" s="1153">
        <f t="shared" si="247"/>
        <v>0</v>
      </c>
      <c r="AM885" s="1153">
        <f t="shared" si="248"/>
        <v>0</v>
      </c>
      <c r="AN885" s="1145">
        <f t="shared" si="249"/>
        <v>436.90698946336585</v>
      </c>
      <c r="AO885" s="1154">
        <f t="shared" si="250"/>
        <v>997.50454215380341</v>
      </c>
      <c r="AP885" s="1147">
        <f t="shared" si="237"/>
        <v>0</v>
      </c>
      <c r="AQ885" s="1144">
        <f t="shared" si="238"/>
        <v>0</v>
      </c>
      <c r="AR885" s="1146">
        <f t="shared" si="239"/>
        <v>997.50454215380341</v>
      </c>
    </row>
    <row r="886" spans="1:44" x14ac:dyDescent="0.2">
      <c r="A886" s="1141" t="str">
        <f t="shared" si="234"/>
        <v>1542</v>
      </c>
      <c r="B886" s="1141" t="str">
        <f>IFERROR(VLOOKUP(A886,'LAC 103'!A:C,3,FALSE),"")</f>
        <v>OP</v>
      </c>
      <c r="C886" s="1478" t="str">
        <f>Info!$B$8</f>
        <v>00100</v>
      </c>
      <c r="D886" s="1474" t="s">
        <v>256</v>
      </c>
      <c r="E886" s="1474" t="s">
        <v>95</v>
      </c>
      <c r="F886" s="1478" t="s">
        <v>392</v>
      </c>
      <c r="G886" s="1478" t="s">
        <v>392</v>
      </c>
      <c r="H886" s="1474" t="s">
        <v>983</v>
      </c>
      <c r="I886" s="1478" t="s">
        <v>823</v>
      </c>
      <c r="J886" s="1478" t="s">
        <v>1999</v>
      </c>
      <c r="K886" s="1475" t="s">
        <v>1654</v>
      </c>
      <c r="L886" s="1474" t="s">
        <v>332</v>
      </c>
      <c r="M886" s="1476" t="s">
        <v>1699</v>
      </c>
      <c r="N886" s="1477" t="s">
        <v>1694</v>
      </c>
      <c r="O886" s="1479">
        <v>195</v>
      </c>
      <c r="P886" s="1479"/>
      <c r="Q886" s="1142">
        <f t="shared" si="235"/>
        <v>195</v>
      </c>
      <c r="R886" s="1143">
        <f>IFERROR(VLOOKUP(CONCATENATE(E886,G886),'LAC 103'!$A$12:$O$95,11,FALSE),0)</f>
        <v>3.2074101033884355</v>
      </c>
      <c r="S886" s="1144">
        <f>IFERROR(VLOOKUP(CONCATENATE($E886,$G886),'LAC 103'!$A$12:$O$95,12,FALSE),0)</f>
        <v>3.99</v>
      </c>
      <c r="T886" s="1144">
        <f>IFERROR(VLOOKUP(CONCATENATE($E886,$G886),'LAC 103'!$A$12:$O$95,13,FALSE),0)</f>
        <v>2.48</v>
      </c>
      <c r="U886" s="1144">
        <f>IFERROR(VLOOKUP(CONCATENATE($E886,$G886),'LAC 103'!$A$12:$O$95,14,FALSE),0)</f>
        <v>0</v>
      </c>
      <c r="V886" s="1144">
        <f>IFERROR(VLOOKUP(CONCATENATE($E886,$G886),'LAC 103'!$A$12:$O$95,15,FALSE),0)</f>
        <v>0</v>
      </c>
      <c r="W886" s="1145" t="str">
        <f>IFERROR(VLOOKUP(CONCATENATE($B886,$N886),'LAC 103'!$AI:$AQ,9,FALSE),"")</f>
        <v>Costs</v>
      </c>
      <c r="X886" s="1146">
        <f t="shared" si="240"/>
        <v>3.2074101033884355</v>
      </c>
      <c r="Y886" s="1143">
        <f t="shared" si="251"/>
        <v>625.4449701607449</v>
      </c>
      <c r="Z886" s="1147">
        <f t="shared" si="241"/>
        <v>778.05000000000007</v>
      </c>
      <c r="AA886" s="1144">
        <f t="shared" si="242"/>
        <v>483.6</v>
      </c>
      <c r="AB886" s="1144">
        <f t="shared" si="243"/>
        <v>0</v>
      </c>
      <c r="AC886" s="1144">
        <f t="shared" si="244"/>
        <v>0</v>
      </c>
      <c r="AD886" s="1148">
        <f t="shared" si="236"/>
        <v>625.4449701607449</v>
      </c>
      <c r="AE886" s="1487">
        <v>0</v>
      </c>
      <c r="AF886" s="1145">
        <f t="shared" si="245"/>
        <v>625.4449701607449</v>
      </c>
      <c r="AG886" s="1149">
        <f>IFERROR(VLOOKUP(CONCATENATE($L886,$N886),'Drop List'!$G$23:$K$87,2,FALSE),0)</f>
        <v>0</v>
      </c>
      <c r="AH886" s="1150">
        <f>IFERROR(VLOOKUP(CONCATENATE($L886,$N886),'Drop List'!$G$23:$K$87,3,FALSE),0)</f>
        <v>0</v>
      </c>
      <c r="AI886" s="1150">
        <f>IFERROR(VLOOKUP(CONCATENATE($L886,$N886),'Drop List'!$G$23:$K$87,4,FALSE),0)</f>
        <v>0</v>
      </c>
      <c r="AJ886" s="1151">
        <f>IFERROR(VLOOKUP(CONCATENATE($L886,$N886),'Drop List'!$G$23:$K$87,5,FALSE),0)</f>
        <v>0</v>
      </c>
      <c r="AK886" s="1152">
        <f t="shared" si="246"/>
        <v>0</v>
      </c>
      <c r="AL886" s="1153">
        <f t="shared" si="247"/>
        <v>0</v>
      </c>
      <c r="AM886" s="1153">
        <f t="shared" si="248"/>
        <v>0</v>
      </c>
      <c r="AN886" s="1145">
        <f t="shared" si="249"/>
        <v>0</v>
      </c>
      <c r="AO886" s="1154">
        <f t="shared" si="250"/>
        <v>0</v>
      </c>
      <c r="AP886" s="1147">
        <f t="shared" si="237"/>
        <v>625.4449701607449</v>
      </c>
      <c r="AQ886" s="1144">
        <f t="shared" si="238"/>
        <v>0</v>
      </c>
      <c r="AR886" s="1146">
        <f t="shared" si="239"/>
        <v>625.4449701607449</v>
      </c>
    </row>
    <row r="887" spans="1:44" x14ac:dyDescent="0.2">
      <c r="A887" s="1141" t="str">
        <f t="shared" si="234"/>
        <v>1542</v>
      </c>
      <c r="B887" s="1141" t="str">
        <f>IFERROR(VLOOKUP(A887,'LAC 103'!A:C,3,FALSE),"")</f>
        <v>OP</v>
      </c>
      <c r="C887" s="1478" t="str">
        <f>Info!$B$8</f>
        <v>00100</v>
      </c>
      <c r="D887" s="1474" t="s">
        <v>256</v>
      </c>
      <c r="E887" s="1474" t="s">
        <v>95</v>
      </c>
      <c r="F887" s="1478" t="s">
        <v>392</v>
      </c>
      <c r="G887" s="1478" t="s">
        <v>392</v>
      </c>
      <c r="H887" s="1474" t="s">
        <v>983</v>
      </c>
      <c r="I887" s="1478" t="s">
        <v>823</v>
      </c>
      <c r="J887" s="1478" t="s">
        <v>1999</v>
      </c>
      <c r="K887" s="1475" t="s">
        <v>847</v>
      </c>
      <c r="L887" s="1474" t="s">
        <v>582</v>
      </c>
      <c r="M887" s="1476" t="s">
        <v>1699</v>
      </c>
      <c r="N887" s="1477" t="s">
        <v>1694</v>
      </c>
      <c r="O887" s="1479">
        <v>11434</v>
      </c>
      <c r="P887" s="1479"/>
      <c r="Q887" s="1142">
        <f t="shared" si="235"/>
        <v>11434</v>
      </c>
      <c r="R887" s="1143">
        <f>IFERROR(VLOOKUP(CONCATENATE(E887,G887),'LAC 103'!$A$12:$O$95,11,FALSE),0)</f>
        <v>3.2074101033884355</v>
      </c>
      <c r="S887" s="1144">
        <f>IFERROR(VLOOKUP(CONCATENATE($E887,$G887),'LAC 103'!$A$12:$O$95,12,FALSE),0)</f>
        <v>3.99</v>
      </c>
      <c r="T887" s="1144">
        <f>IFERROR(VLOOKUP(CONCATENATE($E887,$G887),'LAC 103'!$A$12:$O$95,13,FALSE),0)</f>
        <v>2.48</v>
      </c>
      <c r="U887" s="1144">
        <f>IFERROR(VLOOKUP(CONCATENATE($E887,$G887),'LAC 103'!$A$12:$O$95,14,FALSE),0)</f>
        <v>0</v>
      </c>
      <c r="V887" s="1144">
        <f>IFERROR(VLOOKUP(CONCATENATE($E887,$G887),'LAC 103'!$A$12:$O$95,15,FALSE),0)</f>
        <v>0</v>
      </c>
      <c r="W887" s="1145" t="str">
        <f>IFERROR(VLOOKUP(CONCATENATE($B887,$N887),'LAC 103'!$AI:$AQ,9,FALSE),"")</f>
        <v>Costs</v>
      </c>
      <c r="X887" s="1146">
        <f t="shared" si="240"/>
        <v>3.2074101033884355</v>
      </c>
      <c r="Y887" s="1143">
        <f t="shared" si="251"/>
        <v>36673.527122143372</v>
      </c>
      <c r="Z887" s="1147">
        <f t="shared" si="241"/>
        <v>45621.66</v>
      </c>
      <c r="AA887" s="1144">
        <f t="shared" si="242"/>
        <v>28356.32</v>
      </c>
      <c r="AB887" s="1144">
        <f t="shared" si="243"/>
        <v>0</v>
      </c>
      <c r="AC887" s="1144">
        <f t="shared" si="244"/>
        <v>0</v>
      </c>
      <c r="AD887" s="1148">
        <f t="shared" si="236"/>
        <v>36673.527122143372</v>
      </c>
      <c r="AE887" s="1487">
        <v>0</v>
      </c>
      <c r="AF887" s="1145">
        <f t="shared" si="245"/>
        <v>36673.527122143372</v>
      </c>
      <c r="AG887" s="1149">
        <f>IFERROR(VLOOKUP(CONCATENATE($L887,$N887),'Drop List'!$G$23:$K$87,2,FALSE),0)</f>
        <v>0.56200000000000006</v>
      </c>
      <c r="AH887" s="1150">
        <f>IFERROR(VLOOKUP(CONCATENATE($L887,$N887),'Drop List'!$G$23:$K$87,3,FALSE),0)</f>
        <v>0.43799999999999994</v>
      </c>
      <c r="AI887" s="1150">
        <f>IFERROR(VLOOKUP(CONCATENATE($L887,$N887),'Drop List'!$G$23:$K$87,4,FALSE),0)</f>
        <v>0</v>
      </c>
      <c r="AJ887" s="1151">
        <f>IFERROR(VLOOKUP(CONCATENATE($L887,$N887),'Drop List'!$G$23:$K$87,5,FALSE),0)</f>
        <v>0</v>
      </c>
      <c r="AK887" s="1152">
        <f t="shared" si="246"/>
        <v>20610.522242644576</v>
      </c>
      <c r="AL887" s="1153">
        <f t="shared" si="247"/>
        <v>16063.004879498794</v>
      </c>
      <c r="AM887" s="1153">
        <f t="shared" si="248"/>
        <v>0</v>
      </c>
      <c r="AN887" s="1145">
        <f t="shared" si="249"/>
        <v>0</v>
      </c>
      <c r="AO887" s="1154">
        <f t="shared" si="250"/>
        <v>36673.527122143372</v>
      </c>
      <c r="AP887" s="1147">
        <f t="shared" si="237"/>
        <v>0</v>
      </c>
      <c r="AQ887" s="1144">
        <f t="shared" si="238"/>
        <v>0</v>
      </c>
      <c r="AR887" s="1146">
        <f t="shared" si="239"/>
        <v>36673.527122143372</v>
      </c>
    </row>
    <row r="888" spans="1:44" x14ac:dyDescent="0.2">
      <c r="A888" s="1141" t="str">
        <f t="shared" si="234"/>
        <v>1542</v>
      </c>
      <c r="B888" s="1141" t="str">
        <f>IFERROR(VLOOKUP(A888,'LAC 103'!A:C,3,FALSE),"")</f>
        <v>OP</v>
      </c>
      <c r="C888" s="1478" t="str">
        <f>Info!$B$8</f>
        <v>00100</v>
      </c>
      <c r="D888" s="1474" t="s">
        <v>256</v>
      </c>
      <c r="E888" s="1474" t="s">
        <v>95</v>
      </c>
      <c r="F888" s="1478" t="s">
        <v>392</v>
      </c>
      <c r="G888" s="1478" t="s">
        <v>392</v>
      </c>
      <c r="H888" s="1474" t="s">
        <v>983</v>
      </c>
      <c r="I888" s="1478" t="s">
        <v>823</v>
      </c>
      <c r="J888" s="1478" t="s">
        <v>1999</v>
      </c>
      <c r="K888" s="1475" t="s">
        <v>847</v>
      </c>
      <c r="L888" s="1474" t="s">
        <v>582</v>
      </c>
      <c r="M888" s="1476" t="s">
        <v>841</v>
      </c>
      <c r="N888" s="1477" t="s">
        <v>1695</v>
      </c>
      <c r="O888" s="1479">
        <v>5268</v>
      </c>
      <c r="P888" s="1479"/>
      <c r="Q888" s="1142">
        <f t="shared" si="235"/>
        <v>5268</v>
      </c>
      <c r="R888" s="1143">
        <f>IFERROR(VLOOKUP(CONCATENATE(E888,G888),'LAC 103'!$A$12:$O$95,11,FALSE),0)</f>
        <v>3.2074101033884355</v>
      </c>
      <c r="S888" s="1144">
        <f>IFERROR(VLOOKUP(CONCATENATE($E888,$G888),'LAC 103'!$A$12:$O$95,12,FALSE),0)</f>
        <v>3.99</v>
      </c>
      <c r="T888" s="1144">
        <f>IFERROR(VLOOKUP(CONCATENATE($E888,$G888),'LAC 103'!$A$12:$O$95,13,FALSE),0)</f>
        <v>2.48</v>
      </c>
      <c r="U888" s="1144">
        <f>IFERROR(VLOOKUP(CONCATENATE($E888,$G888),'LAC 103'!$A$12:$O$95,14,FALSE),0)</f>
        <v>0</v>
      </c>
      <c r="V888" s="1144">
        <f>IFERROR(VLOOKUP(CONCATENATE($E888,$G888),'LAC 103'!$A$12:$O$95,15,FALSE),0)</f>
        <v>0</v>
      </c>
      <c r="W888" s="1145" t="str">
        <f>IFERROR(VLOOKUP(CONCATENATE($B888,$N888),'LAC 103'!$AI:$AQ,9,FALSE),"")</f>
        <v>Costs</v>
      </c>
      <c r="X888" s="1146">
        <f t="shared" si="240"/>
        <v>3.2074101033884355</v>
      </c>
      <c r="Y888" s="1143">
        <f t="shared" si="251"/>
        <v>16896.636424650278</v>
      </c>
      <c r="Z888" s="1147">
        <f t="shared" si="241"/>
        <v>21019.32</v>
      </c>
      <c r="AA888" s="1144">
        <f t="shared" si="242"/>
        <v>13064.64</v>
      </c>
      <c r="AB888" s="1144">
        <f t="shared" si="243"/>
        <v>0</v>
      </c>
      <c r="AC888" s="1144">
        <f t="shared" si="244"/>
        <v>0</v>
      </c>
      <c r="AD888" s="1148">
        <f t="shared" si="236"/>
        <v>16896.636424650278</v>
      </c>
      <c r="AE888" s="1487">
        <v>0</v>
      </c>
      <c r="AF888" s="1145">
        <f t="shared" si="245"/>
        <v>16896.636424650278</v>
      </c>
      <c r="AG888" s="1149">
        <f>IFERROR(VLOOKUP(CONCATENATE($L888,$N888),'Drop List'!$G$23:$K$87,2,FALSE),0)</f>
        <v>0.55000000000000004</v>
      </c>
      <c r="AH888" s="1150">
        <f>IFERROR(VLOOKUP(CONCATENATE($L888,$N888),'Drop List'!$G$23:$K$87,3,FALSE),0)</f>
        <v>0.44999999999999996</v>
      </c>
      <c r="AI888" s="1150">
        <f>IFERROR(VLOOKUP(CONCATENATE($L888,$N888),'Drop List'!$G$23:$K$87,4,FALSE),0)</f>
        <v>0</v>
      </c>
      <c r="AJ888" s="1151">
        <f>IFERROR(VLOOKUP(CONCATENATE($L888,$N888),'Drop List'!$G$23:$K$87,5,FALSE),0)</f>
        <v>0</v>
      </c>
      <c r="AK888" s="1152">
        <f t="shared" si="246"/>
        <v>9293.1500335576529</v>
      </c>
      <c r="AL888" s="1153">
        <f t="shared" si="247"/>
        <v>7603.4863910926242</v>
      </c>
      <c r="AM888" s="1153">
        <f t="shared" si="248"/>
        <v>0</v>
      </c>
      <c r="AN888" s="1145">
        <f t="shared" si="249"/>
        <v>0</v>
      </c>
      <c r="AO888" s="1154">
        <f t="shared" si="250"/>
        <v>16896.636424650278</v>
      </c>
      <c r="AP888" s="1147">
        <f t="shared" si="237"/>
        <v>0</v>
      </c>
      <c r="AQ888" s="1144">
        <f t="shared" si="238"/>
        <v>0</v>
      </c>
      <c r="AR888" s="1146">
        <f t="shared" si="239"/>
        <v>16896.636424650278</v>
      </c>
    </row>
    <row r="889" spans="1:44" x14ac:dyDescent="0.2">
      <c r="A889" s="1141" t="str">
        <f t="shared" si="234"/>
        <v>1542</v>
      </c>
      <c r="B889" s="1141" t="str">
        <f>IFERROR(VLOOKUP(A889,'LAC 103'!A:C,3,FALSE),"")</f>
        <v>OP</v>
      </c>
      <c r="C889" s="1478" t="str">
        <f>Info!$B$8</f>
        <v>00100</v>
      </c>
      <c r="D889" s="1474" t="s">
        <v>256</v>
      </c>
      <c r="E889" s="1474" t="s">
        <v>95</v>
      </c>
      <c r="F889" s="1478" t="s">
        <v>392</v>
      </c>
      <c r="G889" s="1478" t="s">
        <v>392</v>
      </c>
      <c r="H889" s="1474" t="s">
        <v>983</v>
      </c>
      <c r="I889" s="1478" t="s">
        <v>823</v>
      </c>
      <c r="J889" s="1478" t="s">
        <v>1999</v>
      </c>
      <c r="K889" s="1475" t="s">
        <v>847</v>
      </c>
      <c r="L889" s="1474" t="s">
        <v>582</v>
      </c>
      <c r="M889" s="1476" t="s">
        <v>840</v>
      </c>
      <c r="N889" s="1477" t="s">
        <v>1700</v>
      </c>
      <c r="O889" s="1479">
        <v>5359</v>
      </c>
      <c r="P889" s="1479"/>
      <c r="Q889" s="1142">
        <f t="shared" si="235"/>
        <v>5359</v>
      </c>
      <c r="R889" s="1143">
        <f>IFERROR(VLOOKUP(CONCATENATE(E889,G889),'LAC 103'!$A$12:$O$95,11,FALSE),0)</f>
        <v>3.2074101033884355</v>
      </c>
      <c r="S889" s="1144">
        <f>IFERROR(VLOOKUP(CONCATENATE($E889,$G889),'LAC 103'!$A$12:$O$95,12,FALSE),0)</f>
        <v>3.99</v>
      </c>
      <c r="T889" s="1144">
        <f>IFERROR(VLOOKUP(CONCATENATE($E889,$G889),'LAC 103'!$A$12:$O$95,13,FALSE),0)</f>
        <v>2.48</v>
      </c>
      <c r="U889" s="1144">
        <f>IFERROR(VLOOKUP(CONCATENATE($E889,$G889),'LAC 103'!$A$12:$O$95,14,FALSE),0)</f>
        <v>0</v>
      </c>
      <c r="V889" s="1144">
        <f>IFERROR(VLOOKUP(CONCATENATE($E889,$G889),'LAC 103'!$A$12:$O$95,15,FALSE),0)</f>
        <v>0</v>
      </c>
      <c r="W889" s="1145" t="str">
        <f>IFERROR(VLOOKUP(CONCATENATE($B889,$N889),'LAC 103'!$AI:$AQ,9,FALSE),"")</f>
        <v>P.C.</v>
      </c>
      <c r="X889" s="1146">
        <f t="shared" si="240"/>
        <v>2.48</v>
      </c>
      <c r="Y889" s="1143">
        <f t="shared" si="251"/>
        <v>17188.510744058625</v>
      </c>
      <c r="Z889" s="1147">
        <f t="shared" si="241"/>
        <v>21382.41</v>
      </c>
      <c r="AA889" s="1144">
        <f t="shared" si="242"/>
        <v>13290.32</v>
      </c>
      <c r="AB889" s="1144">
        <f t="shared" si="243"/>
        <v>0</v>
      </c>
      <c r="AC889" s="1144">
        <f t="shared" si="244"/>
        <v>0</v>
      </c>
      <c r="AD889" s="1148">
        <f t="shared" si="236"/>
        <v>13290.32</v>
      </c>
      <c r="AE889" s="1487">
        <v>0</v>
      </c>
      <c r="AF889" s="1145">
        <f t="shared" si="245"/>
        <v>13290.32</v>
      </c>
      <c r="AG889" s="1149">
        <f>IFERROR(VLOOKUP(CONCATENATE($L889,$N889),'Drop List'!$G$23:$K$87,2,FALSE),0)</f>
        <v>0.55000000000000004</v>
      </c>
      <c r="AH889" s="1150">
        <f>IFERROR(VLOOKUP(CONCATENATE($L889,$N889),'Drop List'!$G$23:$K$87,3,FALSE),0)</f>
        <v>0.44999999999999996</v>
      </c>
      <c r="AI889" s="1150">
        <f>IFERROR(VLOOKUP(CONCATENATE($L889,$N889),'Drop List'!$G$23:$K$87,4,FALSE),0)</f>
        <v>0</v>
      </c>
      <c r="AJ889" s="1151">
        <f>IFERROR(VLOOKUP(CONCATENATE($L889,$N889),'Drop List'!$G$23:$K$87,5,FALSE),0)</f>
        <v>0</v>
      </c>
      <c r="AK889" s="1152">
        <f t="shared" si="246"/>
        <v>7309.6760000000004</v>
      </c>
      <c r="AL889" s="1153">
        <f t="shared" si="247"/>
        <v>5980.6439999999993</v>
      </c>
      <c r="AM889" s="1153">
        <f t="shared" si="248"/>
        <v>0</v>
      </c>
      <c r="AN889" s="1145">
        <f t="shared" si="249"/>
        <v>0</v>
      </c>
      <c r="AO889" s="1154">
        <f t="shared" si="250"/>
        <v>13290.32</v>
      </c>
      <c r="AP889" s="1147">
        <f t="shared" si="237"/>
        <v>0</v>
      </c>
      <c r="AQ889" s="1144">
        <f t="shared" si="238"/>
        <v>0</v>
      </c>
      <c r="AR889" s="1146">
        <f t="shared" si="239"/>
        <v>13290.32</v>
      </c>
    </row>
    <row r="890" spans="1:44" x14ac:dyDescent="0.2">
      <c r="A890" s="1141" t="str">
        <f t="shared" si="234"/>
        <v>1542</v>
      </c>
      <c r="B890" s="1141" t="str">
        <f>IFERROR(VLOOKUP(A890,'LAC 103'!A:C,3,FALSE),"")</f>
        <v>OP</v>
      </c>
      <c r="C890" s="1478" t="str">
        <f>Info!$B$8</f>
        <v>00100</v>
      </c>
      <c r="D890" s="1474" t="s">
        <v>256</v>
      </c>
      <c r="E890" s="1474" t="s">
        <v>95</v>
      </c>
      <c r="F890" s="1478" t="s">
        <v>392</v>
      </c>
      <c r="G890" s="1478" t="s">
        <v>392</v>
      </c>
      <c r="H890" s="1474" t="s">
        <v>983</v>
      </c>
      <c r="I890" s="1478" t="s">
        <v>823</v>
      </c>
      <c r="J890" s="1478" t="s">
        <v>1999</v>
      </c>
      <c r="K890" s="1475" t="s">
        <v>847</v>
      </c>
      <c r="L890" s="1474" t="s">
        <v>582</v>
      </c>
      <c r="M890" s="1476" t="s">
        <v>842</v>
      </c>
      <c r="N890" s="1477" t="s">
        <v>1692</v>
      </c>
      <c r="O890" s="1479">
        <v>15557</v>
      </c>
      <c r="P890" s="1479"/>
      <c r="Q890" s="1142">
        <f t="shared" si="235"/>
        <v>15557</v>
      </c>
      <c r="R890" s="1143">
        <f>IFERROR(VLOOKUP(CONCATENATE(E890,G890),'LAC 103'!$A$12:$O$95,11,FALSE),0)</f>
        <v>3.2074101033884355</v>
      </c>
      <c r="S890" s="1144">
        <f>IFERROR(VLOOKUP(CONCATENATE($E890,$G890),'LAC 103'!$A$12:$O$95,12,FALSE),0)</f>
        <v>3.99</v>
      </c>
      <c r="T890" s="1144">
        <f>IFERROR(VLOOKUP(CONCATENATE($E890,$G890),'LAC 103'!$A$12:$O$95,13,FALSE),0)</f>
        <v>2.48</v>
      </c>
      <c r="U890" s="1144">
        <f>IFERROR(VLOOKUP(CONCATENATE($E890,$G890),'LAC 103'!$A$12:$O$95,14,FALSE),0)</f>
        <v>0</v>
      </c>
      <c r="V890" s="1144">
        <f>IFERROR(VLOOKUP(CONCATENATE($E890,$G890),'LAC 103'!$A$12:$O$95,15,FALSE),0)</f>
        <v>0</v>
      </c>
      <c r="W890" s="1145" t="str">
        <f>IFERROR(VLOOKUP(CONCATENATE($B890,$N890),'LAC 103'!$AI:$AQ,9,FALSE),"")</f>
        <v>Costs</v>
      </c>
      <c r="X890" s="1146">
        <f t="shared" si="240"/>
        <v>3.2074101033884355</v>
      </c>
      <c r="Y890" s="1143">
        <f t="shared" si="251"/>
        <v>49897.678978413889</v>
      </c>
      <c r="Z890" s="1147">
        <f t="shared" si="241"/>
        <v>62072.43</v>
      </c>
      <c r="AA890" s="1144">
        <f t="shared" si="242"/>
        <v>38581.360000000001</v>
      </c>
      <c r="AB890" s="1144">
        <f t="shared" si="243"/>
        <v>0</v>
      </c>
      <c r="AC890" s="1144">
        <f t="shared" si="244"/>
        <v>0</v>
      </c>
      <c r="AD890" s="1148">
        <f t="shared" si="236"/>
        <v>49897.678978413889</v>
      </c>
      <c r="AE890" s="1487">
        <v>0</v>
      </c>
      <c r="AF890" s="1145">
        <f t="shared" si="245"/>
        <v>49897.678978413889</v>
      </c>
      <c r="AG890" s="1149">
        <f>IFERROR(VLOOKUP(CONCATENATE($L890,$N890),'Drop List'!$G$23:$K$87,2,FALSE),0)</f>
        <v>0.56200000000000006</v>
      </c>
      <c r="AH890" s="1150">
        <f>IFERROR(VLOOKUP(CONCATENATE($L890,$N890),'Drop List'!$G$23:$K$87,3,FALSE),0)</f>
        <v>0.43799999999999994</v>
      </c>
      <c r="AI890" s="1150">
        <f>IFERROR(VLOOKUP(CONCATENATE($L890,$N890),'Drop List'!$G$23:$K$87,4,FALSE),0)</f>
        <v>0</v>
      </c>
      <c r="AJ890" s="1151">
        <f>IFERROR(VLOOKUP(CONCATENATE($L890,$N890),'Drop List'!$G$23:$K$87,5,FALSE),0)</f>
        <v>0</v>
      </c>
      <c r="AK890" s="1152">
        <f t="shared" si="246"/>
        <v>28042.495585868608</v>
      </c>
      <c r="AL890" s="1153">
        <f t="shared" si="247"/>
        <v>21855.183392545281</v>
      </c>
      <c r="AM890" s="1153">
        <f t="shared" si="248"/>
        <v>0</v>
      </c>
      <c r="AN890" s="1145">
        <f t="shared" si="249"/>
        <v>0</v>
      </c>
      <c r="AO890" s="1154">
        <f t="shared" si="250"/>
        <v>49897.678978413889</v>
      </c>
      <c r="AP890" s="1147">
        <f t="shared" si="237"/>
        <v>0</v>
      </c>
      <c r="AQ890" s="1144">
        <f t="shared" si="238"/>
        <v>0</v>
      </c>
      <c r="AR890" s="1146">
        <f t="shared" si="239"/>
        <v>49897.678978413889</v>
      </c>
    </row>
    <row r="891" spans="1:44" x14ac:dyDescent="0.2">
      <c r="A891" s="1141" t="str">
        <f t="shared" si="234"/>
        <v>1542</v>
      </c>
      <c r="B891" s="1141" t="str">
        <f>IFERROR(VLOOKUP(A891,'LAC 103'!A:C,3,FALSE),"")</f>
        <v>OP</v>
      </c>
      <c r="C891" s="1478" t="str">
        <f>Info!$B$8</f>
        <v>00100</v>
      </c>
      <c r="D891" s="1474" t="s">
        <v>256</v>
      </c>
      <c r="E891" s="1474" t="s">
        <v>95</v>
      </c>
      <c r="F891" s="1478" t="s">
        <v>392</v>
      </c>
      <c r="G891" s="1478" t="s">
        <v>392</v>
      </c>
      <c r="H891" s="1474" t="s">
        <v>983</v>
      </c>
      <c r="I891" s="1478" t="s">
        <v>823</v>
      </c>
      <c r="J891" s="1478" t="s">
        <v>1999</v>
      </c>
      <c r="K891" s="1475" t="s">
        <v>847</v>
      </c>
      <c r="L891" s="1474" t="s">
        <v>582</v>
      </c>
      <c r="M891" s="1476" t="s">
        <v>1698</v>
      </c>
      <c r="N891" s="1477" t="s">
        <v>1693</v>
      </c>
      <c r="O891" s="1479">
        <v>15277</v>
      </c>
      <c r="P891" s="1479"/>
      <c r="Q891" s="1142">
        <f t="shared" si="235"/>
        <v>15277</v>
      </c>
      <c r="R891" s="1143">
        <f>IFERROR(VLOOKUP(CONCATENATE(E891,G891),'LAC 103'!$A$12:$O$95,11,FALSE),0)</f>
        <v>3.2074101033884355</v>
      </c>
      <c r="S891" s="1144">
        <f>IFERROR(VLOOKUP(CONCATENATE($E891,$G891),'LAC 103'!$A$12:$O$95,12,FALSE),0)</f>
        <v>3.99</v>
      </c>
      <c r="T891" s="1144">
        <f>IFERROR(VLOOKUP(CONCATENATE($E891,$G891),'LAC 103'!$A$12:$O$95,13,FALSE),0)</f>
        <v>2.48</v>
      </c>
      <c r="U891" s="1144">
        <f>IFERROR(VLOOKUP(CONCATENATE($E891,$G891),'LAC 103'!$A$12:$O$95,14,FALSE),0)</f>
        <v>0</v>
      </c>
      <c r="V891" s="1144">
        <f>IFERROR(VLOOKUP(CONCATENATE($E891,$G891),'LAC 103'!$A$12:$O$95,15,FALSE),0)</f>
        <v>0</v>
      </c>
      <c r="W891" s="1145" t="str">
        <f>IFERROR(VLOOKUP(CONCATENATE($B891,$N891),'LAC 103'!$AI:$AQ,9,FALSE),"")</f>
        <v>Costs</v>
      </c>
      <c r="X891" s="1146">
        <f t="shared" si="240"/>
        <v>3.2074101033884355</v>
      </c>
      <c r="Y891" s="1143">
        <f t="shared" si="251"/>
        <v>48999.604149465129</v>
      </c>
      <c r="Z891" s="1147">
        <f t="shared" si="241"/>
        <v>60955.23</v>
      </c>
      <c r="AA891" s="1144">
        <f t="shared" si="242"/>
        <v>37886.959999999999</v>
      </c>
      <c r="AB891" s="1144">
        <f t="shared" si="243"/>
        <v>0</v>
      </c>
      <c r="AC891" s="1144">
        <f t="shared" si="244"/>
        <v>0</v>
      </c>
      <c r="AD891" s="1148">
        <f t="shared" si="236"/>
        <v>48999.604149465129</v>
      </c>
      <c r="AE891" s="1487">
        <v>0</v>
      </c>
      <c r="AF891" s="1145">
        <f t="shared" si="245"/>
        <v>48999.604149465129</v>
      </c>
      <c r="AG891" s="1149">
        <f>IFERROR(VLOOKUP(CONCATENATE($L891,$N891),'Drop List'!$G$23:$K$87,2,FALSE),0)</f>
        <v>0.56200000000000006</v>
      </c>
      <c r="AH891" s="1150">
        <f>IFERROR(VLOOKUP(CONCATENATE($L891,$N891),'Drop List'!$G$23:$K$87,3,FALSE),0)</f>
        <v>0.43799999999999994</v>
      </c>
      <c r="AI891" s="1150">
        <f>IFERROR(VLOOKUP(CONCATENATE($L891,$N891),'Drop List'!$G$23:$K$87,4,FALSE),0)</f>
        <v>0</v>
      </c>
      <c r="AJ891" s="1151">
        <f>IFERROR(VLOOKUP(CONCATENATE($L891,$N891),'Drop List'!$G$23:$K$87,5,FALSE),0)</f>
        <v>0</v>
      </c>
      <c r="AK891" s="1152">
        <f t="shared" si="246"/>
        <v>27537.777531999403</v>
      </c>
      <c r="AL891" s="1153">
        <f t="shared" si="247"/>
        <v>21461.826617465726</v>
      </c>
      <c r="AM891" s="1153">
        <f t="shared" si="248"/>
        <v>0</v>
      </c>
      <c r="AN891" s="1145">
        <f t="shared" si="249"/>
        <v>0</v>
      </c>
      <c r="AO891" s="1154">
        <f t="shared" si="250"/>
        <v>48999.604149465129</v>
      </c>
      <c r="AP891" s="1147">
        <f t="shared" si="237"/>
        <v>0</v>
      </c>
      <c r="AQ891" s="1144">
        <f t="shared" si="238"/>
        <v>0</v>
      </c>
      <c r="AR891" s="1146">
        <f t="shared" si="239"/>
        <v>48999.604149465129</v>
      </c>
    </row>
    <row r="892" spans="1:44" x14ac:dyDescent="0.2">
      <c r="A892" s="1141" t="str">
        <f t="shared" ref="A892:A955" si="252">IF(CONCATENATE(E892,G892)="","",CONCATENATE(E892,G892))</f>
        <v>1542</v>
      </c>
      <c r="B892" s="1141" t="str">
        <f>IFERROR(VLOOKUP(A892,'LAC 103'!A:C,3,FALSE),"")</f>
        <v>OP</v>
      </c>
      <c r="C892" s="1478" t="str">
        <f>Info!$B$8</f>
        <v>00100</v>
      </c>
      <c r="D892" s="1474" t="s">
        <v>256</v>
      </c>
      <c r="E892" s="1474" t="s">
        <v>95</v>
      </c>
      <c r="F892" s="1478" t="s">
        <v>392</v>
      </c>
      <c r="G892" s="1478" t="s">
        <v>392</v>
      </c>
      <c r="H892" s="1474" t="s">
        <v>983</v>
      </c>
      <c r="I892" s="1478" t="s">
        <v>823</v>
      </c>
      <c r="J892" s="1478" t="s">
        <v>1999</v>
      </c>
      <c r="K892" s="1475" t="s">
        <v>852</v>
      </c>
      <c r="L892" s="1474" t="s">
        <v>591</v>
      </c>
      <c r="M892" s="1476" t="s">
        <v>1699</v>
      </c>
      <c r="N892" s="1477" t="s">
        <v>1694</v>
      </c>
      <c r="O892" s="1479">
        <v>623</v>
      </c>
      <c r="P892" s="1479"/>
      <c r="Q892" s="1142">
        <f t="shared" ref="Q892:Q955" si="253">O892+P892</f>
        <v>623</v>
      </c>
      <c r="R892" s="1143">
        <f>IFERROR(VLOOKUP(CONCATENATE(E892,G892),'LAC 103'!$A$12:$O$95,11,FALSE),0)</f>
        <v>3.2074101033884355</v>
      </c>
      <c r="S892" s="1144">
        <f>IFERROR(VLOOKUP(CONCATENATE($E892,$G892),'LAC 103'!$A$12:$O$95,12,FALSE),0)</f>
        <v>3.99</v>
      </c>
      <c r="T892" s="1144">
        <f>IFERROR(VLOOKUP(CONCATENATE($E892,$G892),'LAC 103'!$A$12:$O$95,13,FALSE),0)</f>
        <v>2.48</v>
      </c>
      <c r="U892" s="1144">
        <f>IFERROR(VLOOKUP(CONCATENATE($E892,$G892),'LAC 103'!$A$12:$O$95,14,FALSE),0)</f>
        <v>0</v>
      </c>
      <c r="V892" s="1144">
        <f>IFERROR(VLOOKUP(CONCATENATE($E892,$G892),'LAC 103'!$A$12:$O$95,15,FALSE),0)</f>
        <v>0</v>
      </c>
      <c r="W892" s="1145" t="str">
        <f>IFERROR(VLOOKUP(CONCATENATE($B892,$N892),'LAC 103'!$AI:$AQ,9,FALSE),"")</f>
        <v>Costs</v>
      </c>
      <c r="X892" s="1146">
        <f t="shared" si="240"/>
        <v>3.2074101033884355</v>
      </c>
      <c r="Y892" s="1143">
        <f t="shared" si="251"/>
        <v>1998.2164944109952</v>
      </c>
      <c r="Z892" s="1147">
        <f t="shared" si="241"/>
        <v>2485.77</v>
      </c>
      <c r="AA892" s="1144">
        <f t="shared" si="242"/>
        <v>1545.04</v>
      </c>
      <c r="AB892" s="1144">
        <f t="shared" si="243"/>
        <v>0</v>
      </c>
      <c r="AC892" s="1144">
        <f t="shared" si="244"/>
        <v>0</v>
      </c>
      <c r="AD892" s="1148">
        <f t="shared" si="236"/>
        <v>1998.2164944109952</v>
      </c>
      <c r="AE892" s="1487">
        <v>0</v>
      </c>
      <c r="AF892" s="1145">
        <f t="shared" si="245"/>
        <v>1998.2164944109952</v>
      </c>
      <c r="AG892" s="1149">
        <f>IFERROR(VLOOKUP(CONCATENATE($L892,$N892),'Drop List'!$G$23:$K$87,2,FALSE),0)</f>
        <v>0.69340000000000002</v>
      </c>
      <c r="AH892" s="1150">
        <f>IFERROR(VLOOKUP(CONCATENATE($L892,$N892),'Drop List'!$G$23:$K$87,3,FALSE),0)</f>
        <v>0</v>
      </c>
      <c r="AI892" s="1150">
        <f>IFERROR(VLOOKUP(CONCATENATE($L892,$N892),'Drop List'!$G$23:$K$87,4,FALSE),0)</f>
        <v>0</v>
      </c>
      <c r="AJ892" s="1151">
        <f>IFERROR(VLOOKUP(CONCATENATE($L892,$N892),'Drop List'!$G$23:$K$87,5,FALSE),0)</f>
        <v>0.30659999999999998</v>
      </c>
      <c r="AK892" s="1152">
        <f t="shared" si="246"/>
        <v>1385.5633172245841</v>
      </c>
      <c r="AL892" s="1153">
        <f t="shared" si="247"/>
        <v>0</v>
      </c>
      <c r="AM892" s="1153">
        <f t="shared" si="248"/>
        <v>0</v>
      </c>
      <c r="AN892" s="1145">
        <f t="shared" si="249"/>
        <v>612.65317718641109</v>
      </c>
      <c r="AO892" s="1154">
        <f t="shared" si="250"/>
        <v>1998.2164944109952</v>
      </c>
      <c r="AP892" s="1147">
        <f t="shared" si="237"/>
        <v>0</v>
      </c>
      <c r="AQ892" s="1144">
        <f t="shared" si="238"/>
        <v>0</v>
      </c>
      <c r="AR892" s="1146">
        <f t="shared" si="239"/>
        <v>1998.2164944109952</v>
      </c>
    </row>
    <row r="893" spans="1:44" x14ac:dyDescent="0.2">
      <c r="A893" s="1141" t="str">
        <f t="shared" si="252"/>
        <v>1542</v>
      </c>
      <c r="B893" s="1141" t="str">
        <f>IFERROR(VLOOKUP(A893,'LAC 103'!A:C,3,FALSE),"")</f>
        <v>OP</v>
      </c>
      <c r="C893" s="1478" t="str">
        <f>Info!$B$8</f>
        <v>00100</v>
      </c>
      <c r="D893" s="1474" t="s">
        <v>256</v>
      </c>
      <c r="E893" s="1474" t="s">
        <v>95</v>
      </c>
      <c r="F893" s="1478" t="s">
        <v>392</v>
      </c>
      <c r="G893" s="1478" t="s">
        <v>392</v>
      </c>
      <c r="H893" s="1474" t="s">
        <v>983</v>
      </c>
      <c r="I893" s="1478" t="s">
        <v>823</v>
      </c>
      <c r="J893" s="1478" t="s">
        <v>1999</v>
      </c>
      <c r="K893" s="1475" t="s">
        <v>848</v>
      </c>
      <c r="L893" s="1474" t="s">
        <v>45</v>
      </c>
      <c r="M893" s="1476" t="s">
        <v>1699</v>
      </c>
      <c r="N893" s="1477" t="s">
        <v>1694</v>
      </c>
      <c r="O893" s="1479">
        <v>5691</v>
      </c>
      <c r="P893" s="1479"/>
      <c r="Q893" s="1142">
        <f t="shared" si="253"/>
        <v>5691</v>
      </c>
      <c r="R893" s="1143">
        <f>IFERROR(VLOOKUP(CONCATENATE(E893,G893),'LAC 103'!$A$12:$O$95,11,FALSE),0)</f>
        <v>3.2074101033884355</v>
      </c>
      <c r="S893" s="1144">
        <f>IFERROR(VLOOKUP(CONCATENATE($E893,$G893),'LAC 103'!$A$12:$O$95,12,FALSE),0)</f>
        <v>3.99</v>
      </c>
      <c r="T893" s="1144">
        <f>IFERROR(VLOOKUP(CONCATENATE($E893,$G893),'LAC 103'!$A$12:$O$95,13,FALSE),0)</f>
        <v>2.48</v>
      </c>
      <c r="U893" s="1144">
        <f>IFERROR(VLOOKUP(CONCATENATE($E893,$G893),'LAC 103'!$A$12:$O$95,14,FALSE),0)</f>
        <v>0</v>
      </c>
      <c r="V893" s="1144">
        <f>IFERROR(VLOOKUP(CONCATENATE($E893,$G893),'LAC 103'!$A$12:$O$95,15,FALSE),0)</f>
        <v>0</v>
      </c>
      <c r="W893" s="1145" t="str">
        <f>IFERROR(VLOOKUP(CONCATENATE($B893,$N893),'LAC 103'!$AI:$AQ,9,FALSE),"")</f>
        <v>Costs</v>
      </c>
      <c r="X893" s="1146">
        <f t="shared" si="240"/>
        <v>3.2074101033884355</v>
      </c>
      <c r="Y893" s="1143">
        <f t="shared" si="251"/>
        <v>18253.370898383586</v>
      </c>
      <c r="Z893" s="1147">
        <f t="shared" si="241"/>
        <v>22707.09</v>
      </c>
      <c r="AA893" s="1144">
        <f t="shared" si="242"/>
        <v>14113.68</v>
      </c>
      <c r="AB893" s="1144">
        <f t="shared" si="243"/>
        <v>0</v>
      </c>
      <c r="AC893" s="1144">
        <f t="shared" si="244"/>
        <v>0</v>
      </c>
      <c r="AD893" s="1148">
        <f t="shared" si="236"/>
        <v>18253.370898383586</v>
      </c>
      <c r="AE893" s="1487">
        <v>0</v>
      </c>
      <c r="AF893" s="1145">
        <f t="shared" si="245"/>
        <v>18253.370898383586</v>
      </c>
      <c r="AG893" s="1149">
        <f>IFERROR(VLOOKUP(CONCATENATE($L893,$N893),'Drop List'!$G$23:$K$87,2,FALSE),0)</f>
        <v>0.69340000000000002</v>
      </c>
      <c r="AH893" s="1150">
        <f>IFERROR(VLOOKUP(CONCATENATE($L893,$N893),'Drop List'!$G$23:$K$87,3,FALSE),0)</f>
        <v>0.30659999999999998</v>
      </c>
      <c r="AI893" s="1150">
        <f>IFERROR(VLOOKUP(CONCATENATE($L893,$N893),'Drop List'!$G$23:$K$87,4,FALSE),0)</f>
        <v>0</v>
      </c>
      <c r="AJ893" s="1151">
        <f>IFERROR(VLOOKUP(CONCATENATE($L893,$N893),'Drop List'!$G$23:$K$87,5,FALSE),0)</f>
        <v>0</v>
      </c>
      <c r="AK893" s="1152">
        <f t="shared" si="246"/>
        <v>12656.887380939179</v>
      </c>
      <c r="AL893" s="1153">
        <f t="shared" si="247"/>
        <v>5596.483517444407</v>
      </c>
      <c r="AM893" s="1153">
        <f t="shared" si="248"/>
        <v>0</v>
      </c>
      <c r="AN893" s="1145">
        <f t="shared" si="249"/>
        <v>0</v>
      </c>
      <c r="AO893" s="1154">
        <f t="shared" si="250"/>
        <v>18253.370898383586</v>
      </c>
      <c r="AP893" s="1147">
        <f t="shared" si="237"/>
        <v>0</v>
      </c>
      <c r="AQ893" s="1144">
        <f t="shared" si="238"/>
        <v>0</v>
      </c>
      <c r="AR893" s="1146">
        <f t="shared" si="239"/>
        <v>18253.370898383586</v>
      </c>
    </row>
    <row r="894" spans="1:44" x14ac:dyDescent="0.2">
      <c r="A894" s="1141" t="str">
        <f t="shared" si="252"/>
        <v>1542</v>
      </c>
      <c r="B894" s="1141" t="str">
        <f>IFERROR(VLOOKUP(A894,'LAC 103'!A:C,3,FALSE),"")</f>
        <v>OP</v>
      </c>
      <c r="C894" s="1478" t="str">
        <f>Info!$B$8</f>
        <v>00100</v>
      </c>
      <c r="D894" s="1474" t="s">
        <v>256</v>
      </c>
      <c r="E894" s="1474" t="s">
        <v>95</v>
      </c>
      <c r="F894" s="1478" t="s">
        <v>392</v>
      </c>
      <c r="G894" s="1478" t="s">
        <v>392</v>
      </c>
      <c r="H894" s="1474" t="s">
        <v>983</v>
      </c>
      <c r="I894" s="1478" t="s">
        <v>823</v>
      </c>
      <c r="J894" s="1478" t="s">
        <v>1999</v>
      </c>
      <c r="K894" s="1475" t="s">
        <v>848</v>
      </c>
      <c r="L894" s="1474" t="s">
        <v>45</v>
      </c>
      <c r="M894" s="1476" t="s">
        <v>841</v>
      </c>
      <c r="N894" s="1477" t="s">
        <v>1695</v>
      </c>
      <c r="O894" s="1479">
        <v>2044</v>
      </c>
      <c r="P894" s="1479"/>
      <c r="Q894" s="1142">
        <f t="shared" si="253"/>
        <v>2044</v>
      </c>
      <c r="R894" s="1143">
        <f>IFERROR(VLOOKUP(CONCATENATE(E894,G894),'LAC 103'!$A$12:$O$95,11,FALSE),0)</f>
        <v>3.2074101033884355</v>
      </c>
      <c r="S894" s="1144">
        <f>IFERROR(VLOOKUP(CONCATENATE($E894,$G894),'LAC 103'!$A$12:$O$95,12,FALSE),0)</f>
        <v>3.99</v>
      </c>
      <c r="T894" s="1144">
        <f>IFERROR(VLOOKUP(CONCATENATE($E894,$G894),'LAC 103'!$A$12:$O$95,13,FALSE),0)</f>
        <v>2.48</v>
      </c>
      <c r="U894" s="1144">
        <f>IFERROR(VLOOKUP(CONCATENATE($E894,$G894),'LAC 103'!$A$12:$O$95,14,FALSE),0)</f>
        <v>0</v>
      </c>
      <c r="V894" s="1144">
        <f>IFERROR(VLOOKUP(CONCATENATE($E894,$G894),'LAC 103'!$A$12:$O$95,15,FALSE),0)</f>
        <v>0</v>
      </c>
      <c r="W894" s="1145" t="str">
        <f>IFERROR(VLOOKUP(CONCATENATE($B894,$N894),'LAC 103'!$AI:$AQ,9,FALSE),"")</f>
        <v>Costs</v>
      </c>
      <c r="X894" s="1146">
        <f t="shared" si="240"/>
        <v>3.2074101033884355</v>
      </c>
      <c r="Y894" s="1143">
        <f t="shared" si="251"/>
        <v>6555.9462513259623</v>
      </c>
      <c r="Z894" s="1147">
        <f t="shared" si="241"/>
        <v>8155.56</v>
      </c>
      <c r="AA894" s="1144">
        <f t="shared" si="242"/>
        <v>5069.12</v>
      </c>
      <c r="AB894" s="1144">
        <f t="shared" si="243"/>
        <v>0</v>
      </c>
      <c r="AC894" s="1144">
        <f t="shared" si="244"/>
        <v>0</v>
      </c>
      <c r="AD894" s="1148">
        <f t="shared" si="236"/>
        <v>6555.9462513259623</v>
      </c>
      <c r="AE894" s="1487">
        <v>0</v>
      </c>
      <c r="AF894" s="1145">
        <f t="shared" si="245"/>
        <v>6555.9462513259623</v>
      </c>
      <c r="AG894" s="1149">
        <f>IFERROR(VLOOKUP(CONCATENATE($L894,$N894),'Drop List'!$G$23:$K$87,2,FALSE),0)</f>
        <v>0.68500000000000005</v>
      </c>
      <c r="AH894" s="1150">
        <f>IFERROR(VLOOKUP(CONCATENATE($L894,$N894),'Drop List'!$G$23:$K$87,3,FALSE),0)</f>
        <v>0.31499999999999995</v>
      </c>
      <c r="AI894" s="1150">
        <f>IFERROR(VLOOKUP(CONCATENATE($L894,$N894),'Drop List'!$G$23:$K$87,4,FALSE),0)</f>
        <v>0</v>
      </c>
      <c r="AJ894" s="1151">
        <f>IFERROR(VLOOKUP(CONCATENATE($L894,$N894),'Drop List'!$G$23:$K$87,5,FALSE),0)</f>
        <v>0</v>
      </c>
      <c r="AK894" s="1152">
        <f t="shared" si="246"/>
        <v>4490.8231821582849</v>
      </c>
      <c r="AL894" s="1153">
        <f t="shared" si="247"/>
        <v>2065.1230691676778</v>
      </c>
      <c r="AM894" s="1153">
        <f t="shared" si="248"/>
        <v>0</v>
      </c>
      <c r="AN894" s="1145">
        <f t="shared" si="249"/>
        <v>0</v>
      </c>
      <c r="AO894" s="1154">
        <f t="shared" si="250"/>
        <v>6555.9462513259623</v>
      </c>
      <c r="AP894" s="1147">
        <f t="shared" si="237"/>
        <v>0</v>
      </c>
      <c r="AQ894" s="1144">
        <f t="shared" si="238"/>
        <v>0</v>
      </c>
      <c r="AR894" s="1146">
        <f t="shared" si="239"/>
        <v>6555.9462513259623</v>
      </c>
    </row>
    <row r="895" spans="1:44" x14ac:dyDescent="0.2">
      <c r="A895" s="1141" t="str">
        <f t="shared" si="252"/>
        <v>1542</v>
      </c>
      <c r="B895" s="1141" t="str">
        <f>IFERROR(VLOOKUP(A895,'LAC 103'!A:C,3,FALSE),"")</f>
        <v>OP</v>
      </c>
      <c r="C895" s="1478" t="str">
        <f>Info!$B$8</f>
        <v>00100</v>
      </c>
      <c r="D895" s="1474" t="s">
        <v>256</v>
      </c>
      <c r="E895" s="1474" t="s">
        <v>95</v>
      </c>
      <c r="F895" s="1478" t="s">
        <v>392</v>
      </c>
      <c r="G895" s="1478" t="s">
        <v>392</v>
      </c>
      <c r="H895" s="1474" t="s">
        <v>983</v>
      </c>
      <c r="I895" s="1478" t="s">
        <v>823</v>
      </c>
      <c r="J895" s="1478" t="s">
        <v>1999</v>
      </c>
      <c r="K895" s="1475" t="s">
        <v>848</v>
      </c>
      <c r="L895" s="1474" t="s">
        <v>45</v>
      </c>
      <c r="M895" s="1476" t="s">
        <v>840</v>
      </c>
      <c r="N895" s="1477" t="s">
        <v>1700</v>
      </c>
      <c r="O895" s="1479">
        <v>1385</v>
      </c>
      <c r="P895" s="1479"/>
      <c r="Q895" s="1142">
        <f t="shared" si="253"/>
        <v>1385</v>
      </c>
      <c r="R895" s="1143">
        <f>IFERROR(VLOOKUP(CONCATENATE(E895,G895),'LAC 103'!$A$12:$O$95,11,FALSE),0)</f>
        <v>3.2074101033884355</v>
      </c>
      <c r="S895" s="1144">
        <f>IFERROR(VLOOKUP(CONCATENATE($E895,$G895),'LAC 103'!$A$12:$O$95,12,FALSE),0)</f>
        <v>3.99</v>
      </c>
      <c r="T895" s="1144">
        <f>IFERROR(VLOOKUP(CONCATENATE($E895,$G895),'LAC 103'!$A$12:$O$95,13,FALSE),0)</f>
        <v>2.48</v>
      </c>
      <c r="U895" s="1144">
        <f>IFERROR(VLOOKUP(CONCATENATE($E895,$G895),'LAC 103'!$A$12:$O$95,14,FALSE),0)</f>
        <v>0</v>
      </c>
      <c r="V895" s="1144">
        <f>IFERROR(VLOOKUP(CONCATENATE($E895,$G895),'LAC 103'!$A$12:$O$95,15,FALSE),0)</f>
        <v>0</v>
      </c>
      <c r="W895" s="1145" t="str">
        <f>IFERROR(VLOOKUP(CONCATENATE($B895,$N895),'LAC 103'!$AI:$AQ,9,FALSE),"")</f>
        <v>P.C.</v>
      </c>
      <c r="X895" s="1146">
        <f t="shared" si="240"/>
        <v>2.48</v>
      </c>
      <c r="Y895" s="1143">
        <f t="shared" si="251"/>
        <v>4442.2629931929832</v>
      </c>
      <c r="Z895" s="1147">
        <f t="shared" si="241"/>
        <v>5526.1500000000005</v>
      </c>
      <c r="AA895" s="1144">
        <f t="shared" si="242"/>
        <v>3434.8</v>
      </c>
      <c r="AB895" s="1144">
        <f t="shared" si="243"/>
        <v>0</v>
      </c>
      <c r="AC895" s="1144">
        <f t="shared" si="244"/>
        <v>0</v>
      </c>
      <c r="AD895" s="1148">
        <f t="shared" si="236"/>
        <v>3434.8</v>
      </c>
      <c r="AE895" s="1487">
        <v>0</v>
      </c>
      <c r="AF895" s="1145">
        <f t="shared" si="245"/>
        <v>3434.8</v>
      </c>
      <c r="AG895" s="1149">
        <f>IFERROR(VLOOKUP(CONCATENATE($L895,$N895),'Drop List'!$G$23:$K$87,2,FALSE),0)</f>
        <v>0.68500000000000005</v>
      </c>
      <c r="AH895" s="1150">
        <f>IFERROR(VLOOKUP(CONCATENATE($L895,$N895),'Drop List'!$G$23:$K$87,3,FALSE),0)</f>
        <v>0.31499999999999995</v>
      </c>
      <c r="AI895" s="1150">
        <f>IFERROR(VLOOKUP(CONCATENATE($L895,$N895),'Drop List'!$G$23:$K$87,4,FALSE),0)</f>
        <v>0</v>
      </c>
      <c r="AJ895" s="1151">
        <f>IFERROR(VLOOKUP(CONCATENATE($L895,$N895),'Drop List'!$G$23:$K$87,5,FALSE),0)</f>
        <v>0</v>
      </c>
      <c r="AK895" s="1152">
        <f t="shared" si="246"/>
        <v>2352.8380000000002</v>
      </c>
      <c r="AL895" s="1153">
        <f t="shared" si="247"/>
        <v>1081.9619999999998</v>
      </c>
      <c r="AM895" s="1153">
        <f t="shared" si="248"/>
        <v>0</v>
      </c>
      <c r="AN895" s="1145">
        <f t="shared" si="249"/>
        <v>0</v>
      </c>
      <c r="AO895" s="1154">
        <f t="shared" si="250"/>
        <v>3434.8</v>
      </c>
      <c r="AP895" s="1147">
        <f t="shared" si="237"/>
        <v>0</v>
      </c>
      <c r="AQ895" s="1144">
        <f t="shared" si="238"/>
        <v>0</v>
      </c>
      <c r="AR895" s="1146">
        <f t="shared" si="239"/>
        <v>3434.8</v>
      </c>
    </row>
    <row r="896" spans="1:44" x14ac:dyDescent="0.2">
      <c r="A896" s="1141" t="str">
        <f t="shared" si="252"/>
        <v>1542</v>
      </c>
      <c r="B896" s="1141" t="str">
        <f>IFERROR(VLOOKUP(A896,'LAC 103'!A:C,3,FALSE),"")</f>
        <v>OP</v>
      </c>
      <c r="C896" s="1478" t="str">
        <f>Info!$B$8</f>
        <v>00100</v>
      </c>
      <c r="D896" s="1474" t="s">
        <v>256</v>
      </c>
      <c r="E896" s="1474" t="s">
        <v>95</v>
      </c>
      <c r="F896" s="1478" t="s">
        <v>392</v>
      </c>
      <c r="G896" s="1478" t="s">
        <v>392</v>
      </c>
      <c r="H896" s="1474" t="s">
        <v>983</v>
      </c>
      <c r="I896" s="1478" t="s">
        <v>823</v>
      </c>
      <c r="J896" s="1478" t="s">
        <v>1999</v>
      </c>
      <c r="K896" s="1475" t="s">
        <v>848</v>
      </c>
      <c r="L896" s="1474" t="s">
        <v>45</v>
      </c>
      <c r="M896" s="1476" t="s">
        <v>842</v>
      </c>
      <c r="N896" s="1477" t="s">
        <v>1692</v>
      </c>
      <c r="O896" s="1479">
        <v>4822</v>
      </c>
      <c r="P896" s="1479"/>
      <c r="Q896" s="1142">
        <f t="shared" si="253"/>
        <v>4822</v>
      </c>
      <c r="R896" s="1143">
        <f>IFERROR(VLOOKUP(CONCATENATE(E896,G896),'LAC 103'!$A$12:$O$95,11,FALSE),0)</f>
        <v>3.2074101033884355</v>
      </c>
      <c r="S896" s="1144">
        <f>IFERROR(VLOOKUP(CONCATENATE($E896,$G896),'LAC 103'!$A$12:$O$95,12,FALSE),0)</f>
        <v>3.99</v>
      </c>
      <c r="T896" s="1144">
        <f>IFERROR(VLOOKUP(CONCATENATE($E896,$G896),'LAC 103'!$A$12:$O$95,13,FALSE),0)</f>
        <v>2.48</v>
      </c>
      <c r="U896" s="1144">
        <f>IFERROR(VLOOKUP(CONCATENATE($E896,$G896),'LAC 103'!$A$12:$O$95,14,FALSE),0)</f>
        <v>0</v>
      </c>
      <c r="V896" s="1144">
        <f>IFERROR(VLOOKUP(CONCATENATE($E896,$G896),'LAC 103'!$A$12:$O$95,15,FALSE),0)</f>
        <v>0</v>
      </c>
      <c r="W896" s="1145" t="str">
        <f>IFERROR(VLOOKUP(CONCATENATE($B896,$N896),'LAC 103'!$AI:$AQ,9,FALSE),"")</f>
        <v>Costs</v>
      </c>
      <c r="X896" s="1146">
        <f t="shared" si="240"/>
        <v>3.2074101033884355</v>
      </c>
      <c r="Y896" s="1143">
        <f t="shared" si="251"/>
        <v>15466.131518539036</v>
      </c>
      <c r="Z896" s="1147">
        <f t="shared" si="241"/>
        <v>19239.780000000002</v>
      </c>
      <c r="AA896" s="1144">
        <f t="shared" si="242"/>
        <v>11958.56</v>
      </c>
      <c r="AB896" s="1144">
        <f t="shared" si="243"/>
        <v>0</v>
      </c>
      <c r="AC896" s="1144">
        <f t="shared" si="244"/>
        <v>0</v>
      </c>
      <c r="AD896" s="1148">
        <f t="shared" si="236"/>
        <v>15466.131518539036</v>
      </c>
      <c r="AE896" s="1487">
        <v>0</v>
      </c>
      <c r="AF896" s="1145">
        <f t="shared" si="245"/>
        <v>15466.131518539036</v>
      </c>
      <c r="AG896" s="1149">
        <f>IFERROR(VLOOKUP(CONCATENATE($L896,$N896),'Drop List'!$G$23:$K$87,2,FALSE),0)</f>
        <v>0.69340000000000002</v>
      </c>
      <c r="AH896" s="1150">
        <f>IFERROR(VLOOKUP(CONCATENATE($L896,$N896),'Drop List'!$G$23:$K$87,3,FALSE),0)</f>
        <v>0.30659999999999998</v>
      </c>
      <c r="AI896" s="1150">
        <f>IFERROR(VLOOKUP(CONCATENATE($L896,$N896),'Drop List'!$G$23:$K$87,4,FALSE),0)</f>
        <v>0</v>
      </c>
      <c r="AJ896" s="1151">
        <f>IFERROR(VLOOKUP(CONCATENATE($L896,$N896),'Drop List'!$G$23:$K$87,5,FALSE),0)</f>
        <v>0</v>
      </c>
      <c r="AK896" s="1152">
        <f t="shared" si="246"/>
        <v>10724.215594954967</v>
      </c>
      <c r="AL896" s="1153">
        <f t="shared" si="247"/>
        <v>4741.915923584068</v>
      </c>
      <c r="AM896" s="1153">
        <f t="shared" si="248"/>
        <v>0</v>
      </c>
      <c r="AN896" s="1145">
        <f t="shared" si="249"/>
        <v>0</v>
      </c>
      <c r="AO896" s="1154">
        <f t="shared" si="250"/>
        <v>15466.131518539034</v>
      </c>
      <c r="AP896" s="1147">
        <f t="shared" si="237"/>
        <v>0</v>
      </c>
      <c r="AQ896" s="1144">
        <f t="shared" si="238"/>
        <v>0</v>
      </c>
      <c r="AR896" s="1146">
        <f t="shared" si="239"/>
        <v>15466.131518539034</v>
      </c>
    </row>
    <row r="897" spans="1:44" x14ac:dyDescent="0.2">
      <c r="A897" s="1141" t="str">
        <f t="shared" si="252"/>
        <v>1542</v>
      </c>
      <c r="B897" s="1141" t="str">
        <f>IFERROR(VLOOKUP(A897,'LAC 103'!A:C,3,FALSE),"")</f>
        <v>OP</v>
      </c>
      <c r="C897" s="1478" t="str">
        <f>Info!$B$8</f>
        <v>00100</v>
      </c>
      <c r="D897" s="1474" t="s">
        <v>256</v>
      </c>
      <c r="E897" s="1474" t="s">
        <v>95</v>
      </c>
      <c r="F897" s="1478" t="s">
        <v>392</v>
      </c>
      <c r="G897" s="1478" t="s">
        <v>392</v>
      </c>
      <c r="H897" s="1474" t="s">
        <v>983</v>
      </c>
      <c r="I897" s="1478" t="s">
        <v>823</v>
      </c>
      <c r="J897" s="1478" t="s">
        <v>1999</v>
      </c>
      <c r="K897" s="1475" t="s">
        <v>848</v>
      </c>
      <c r="L897" s="1474" t="s">
        <v>45</v>
      </c>
      <c r="M897" s="1476" t="s">
        <v>1698</v>
      </c>
      <c r="N897" s="1477" t="s">
        <v>1693</v>
      </c>
      <c r="O897" s="1479">
        <v>4369</v>
      </c>
      <c r="P897" s="1479"/>
      <c r="Q897" s="1142">
        <f t="shared" si="253"/>
        <v>4369</v>
      </c>
      <c r="R897" s="1143">
        <f>IFERROR(VLOOKUP(CONCATENATE(E897,G897),'LAC 103'!$A$12:$O$95,11,FALSE),0)</f>
        <v>3.2074101033884355</v>
      </c>
      <c r="S897" s="1144">
        <f>IFERROR(VLOOKUP(CONCATENATE($E897,$G897),'LAC 103'!$A$12:$O$95,12,FALSE),0)</f>
        <v>3.99</v>
      </c>
      <c r="T897" s="1144">
        <f>IFERROR(VLOOKUP(CONCATENATE($E897,$G897),'LAC 103'!$A$12:$O$95,13,FALSE),0)</f>
        <v>2.48</v>
      </c>
      <c r="U897" s="1144">
        <f>IFERROR(VLOOKUP(CONCATENATE($E897,$G897),'LAC 103'!$A$12:$O$95,14,FALSE),0)</f>
        <v>0</v>
      </c>
      <c r="V897" s="1144">
        <f>IFERROR(VLOOKUP(CONCATENATE($E897,$G897),'LAC 103'!$A$12:$O$95,15,FALSE),0)</f>
        <v>0</v>
      </c>
      <c r="W897" s="1145" t="str">
        <f>IFERROR(VLOOKUP(CONCATENATE($B897,$N897),'LAC 103'!$AI:$AQ,9,FALSE),"")</f>
        <v>Costs</v>
      </c>
      <c r="X897" s="1146">
        <f t="shared" si="240"/>
        <v>3.2074101033884355</v>
      </c>
      <c r="Y897" s="1143">
        <f t="shared" si="251"/>
        <v>14013.174741704075</v>
      </c>
      <c r="Z897" s="1147">
        <f t="shared" si="241"/>
        <v>17432.310000000001</v>
      </c>
      <c r="AA897" s="1144">
        <f t="shared" si="242"/>
        <v>10835.12</v>
      </c>
      <c r="AB897" s="1144">
        <f t="shared" si="243"/>
        <v>0</v>
      </c>
      <c r="AC897" s="1144">
        <f t="shared" si="244"/>
        <v>0</v>
      </c>
      <c r="AD897" s="1148">
        <f t="shared" si="236"/>
        <v>14013.174741704075</v>
      </c>
      <c r="AE897" s="1487">
        <v>0</v>
      </c>
      <c r="AF897" s="1145">
        <f t="shared" si="245"/>
        <v>14013.174741704075</v>
      </c>
      <c r="AG897" s="1149">
        <f>IFERROR(VLOOKUP(CONCATENATE($L897,$N897),'Drop List'!$G$23:$K$87,2,FALSE),0)</f>
        <v>0.69340000000000002</v>
      </c>
      <c r="AH897" s="1150">
        <f>IFERROR(VLOOKUP(CONCATENATE($L897,$N897),'Drop List'!$G$23:$K$87,3,FALSE),0)</f>
        <v>0.30659999999999998</v>
      </c>
      <c r="AI897" s="1150">
        <f>IFERROR(VLOOKUP(CONCATENATE($L897,$N897),'Drop List'!$G$23:$K$87,4,FALSE),0)</f>
        <v>0</v>
      </c>
      <c r="AJ897" s="1151">
        <f>IFERROR(VLOOKUP(CONCATENATE($L897,$N897),'Drop List'!$G$23:$K$87,5,FALSE),0)</f>
        <v>0</v>
      </c>
      <c r="AK897" s="1152">
        <f t="shared" si="246"/>
        <v>9716.7353658976062</v>
      </c>
      <c r="AL897" s="1153">
        <f t="shared" si="247"/>
        <v>4296.4393758064689</v>
      </c>
      <c r="AM897" s="1153">
        <f t="shared" si="248"/>
        <v>0</v>
      </c>
      <c r="AN897" s="1145">
        <f t="shared" si="249"/>
        <v>0</v>
      </c>
      <c r="AO897" s="1154">
        <f t="shared" si="250"/>
        <v>14013.174741704075</v>
      </c>
      <c r="AP897" s="1147">
        <f t="shared" si="237"/>
        <v>0</v>
      </c>
      <c r="AQ897" s="1144">
        <f t="shared" si="238"/>
        <v>0</v>
      </c>
      <c r="AR897" s="1146">
        <f t="shared" si="239"/>
        <v>14013.174741704075</v>
      </c>
    </row>
    <row r="898" spans="1:44" x14ac:dyDescent="0.2">
      <c r="A898" s="1141" t="str">
        <f t="shared" si="252"/>
        <v>1542</v>
      </c>
      <c r="B898" s="1141" t="str">
        <f>IFERROR(VLOOKUP(A898,'LAC 103'!A:C,3,FALSE),"")</f>
        <v>OP</v>
      </c>
      <c r="C898" s="1478" t="str">
        <f>Info!$B$8</f>
        <v>00100</v>
      </c>
      <c r="D898" s="1474" t="s">
        <v>256</v>
      </c>
      <c r="E898" s="1474" t="s">
        <v>95</v>
      </c>
      <c r="F898" s="1478" t="s">
        <v>392</v>
      </c>
      <c r="G898" s="1478" t="s">
        <v>392</v>
      </c>
      <c r="H898" s="1474" t="s">
        <v>983</v>
      </c>
      <c r="I898" s="1478" t="s">
        <v>823</v>
      </c>
      <c r="J898" s="1478" t="s">
        <v>1999</v>
      </c>
      <c r="K898" s="1475" t="s">
        <v>849</v>
      </c>
      <c r="L898" s="1474" t="s">
        <v>77</v>
      </c>
      <c r="M898" s="1476" t="s">
        <v>1699</v>
      </c>
      <c r="N898" s="1477" t="s">
        <v>1694</v>
      </c>
      <c r="O898" s="1479">
        <v>7691</v>
      </c>
      <c r="P898" s="1479"/>
      <c r="Q898" s="1142">
        <f t="shared" si="253"/>
        <v>7691</v>
      </c>
      <c r="R898" s="1143">
        <f>IFERROR(VLOOKUP(CONCATENATE(E898,G898),'LAC 103'!$A$12:$O$95,11,FALSE),0)</f>
        <v>3.2074101033884355</v>
      </c>
      <c r="S898" s="1144">
        <f>IFERROR(VLOOKUP(CONCATENATE($E898,$G898),'LAC 103'!$A$12:$O$95,12,FALSE),0)</f>
        <v>3.99</v>
      </c>
      <c r="T898" s="1144">
        <f>IFERROR(VLOOKUP(CONCATENATE($E898,$G898),'LAC 103'!$A$12:$O$95,13,FALSE),0)</f>
        <v>2.48</v>
      </c>
      <c r="U898" s="1144">
        <f>IFERROR(VLOOKUP(CONCATENATE($E898,$G898),'LAC 103'!$A$12:$O$95,14,FALSE),0)</f>
        <v>0</v>
      </c>
      <c r="V898" s="1144">
        <f>IFERROR(VLOOKUP(CONCATENATE($E898,$G898),'LAC 103'!$A$12:$O$95,15,FALSE),0)</f>
        <v>0</v>
      </c>
      <c r="W898" s="1145" t="str">
        <f>IFERROR(VLOOKUP(CONCATENATE($B898,$N898),'LAC 103'!$AI:$AQ,9,FALSE),"")</f>
        <v>Costs</v>
      </c>
      <c r="X898" s="1146">
        <f t="shared" si="240"/>
        <v>3.2074101033884355</v>
      </c>
      <c r="Y898" s="1143">
        <f t="shared" si="251"/>
        <v>24668.191105160458</v>
      </c>
      <c r="Z898" s="1147">
        <f t="shared" si="241"/>
        <v>30687.09</v>
      </c>
      <c r="AA898" s="1144">
        <f t="shared" si="242"/>
        <v>19073.68</v>
      </c>
      <c r="AB898" s="1144">
        <f t="shared" si="243"/>
        <v>0</v>
      </c>
      <c r="AC898" s="1144">
        <f t="shared" si="244"/>
        <v>0</v>
      </c>
      <c r="AD898" s="1148">
        <f t="shared" si="236"/>
        <v>24668.191105160458</v>
      </c>
      <c r="AE898" s="1487">
        <v>0</v>
      </c>
      <c r="AF898" s="1145">
        <f t="shared" si="245"/>
        <v>24668.191105160458</v>
      </c>
      <c r="AG898" s="1149">
        <f>IFERROR(VLOOKUP(CONCATENATE($L898,$N898),'Drop List'!$G$23:$K$87,2,FALSE),0)</f>
        <v>0.9</v>
      </c>
      <c r="AH898" s="1150">
        <f>IFERROR(VLOOKUP(CONCATENATE($L898,$N898),'Drop List'!$G$23:$K$87,3,FALSE),0)</f>
        <v>0</v>
      </c>
      <c r="AI898" s="1150">
        <f>IFERROR(VLOOKUP(CONCATENATE($L898,$N898),'Drop List'!$G$23:$K$87,4,FALSE),0)</f>
        <v>0.1</v>
      </c>
      <c r="AJ898" s="1151">
        <f>IFERROR(VLOOKUP(CONCATENATE($L898,$N898),'Drop List'!$G$23:$K$87,5,FALSE),0)</f>
        <v>0</v>
      </c>
      <c r="AK898" s="1152">
        <f t="shared" si="246"/>
        <v>22201.371994644414</v>
      </c>
      <c r="AL898" s="1153">
        <f t="shared" si="247"/>
        <v>0</v>
      </c>
      <c r="AM898" s="1153">
        <f t="shared" si="248"/>
        <v>2466.8191105160458</v>
      </c>
      <c r="AN898" s="1145">
        <f t="shared" si="249"/>
        <v>0</v>
      </c>
      <c r="AO898" s="1154">
        <f t="shared" si="250"/>
        <v>24668.191105160462</v>
      </c>
      <c r="AP898" s="1147">
        <f t="shared" si="237"/>
        <v>0</v>
      </c>
      <c r="AQ898" s="1144">
        <f t="shared" si="238"/>
        <v>0</v>
      </c>
      <c r="AR898" s="1146">
        <f t="shared" si="239"/>
        <v>24668.191105160462</v>
      </c>
    </row>
    <row r="899" spans="1:44" x14ac:dyDescent="0.2">
      <c r="A899" s="1141" t="str">
        <f t="shared" si="252"/>
        <v>1542</v>
      </c>
      <c r="B899" s="1141" t="str">
        <f>IFERROR(VLOOKUP(A899,'LAC 103'!A:C,3,FALSE),"")</f>
        <v>OP</v>
      </c>
      <c r="C899" s="1478" t="str">
        <f>Info!$B$8</f>
        <v>00100</v>
      </c>
      <c r="D899" s="1474" t="s">
        <v>256</v>
      </c>
      <c r="E899" s="1474" t="s">
        <v>95</v>
      </c>
      <c r="F899" s="1478" t="s">
        <v>392</v>
      </c>
      <c r="G899" s="1478" t="s">
        <v>392</v>
      </c>
      <c r="H899" s="1474" t="s">
        <v>983</v>
      </c>
      <c r="I899" s="1478" t="s">
        <v>823</v>
      </c>
      <c r="J899" s="1478" t="s">
        <v>1999</v>
      </c>
      <c r="K899" s="1475" t="s">
        <v>849</v>
      </c>
      <c r="L899" s="1474" t="s">
        <v>77</v>
      </c>
      <c r="M899" s="1476" t="s">
        <v>841</v>
      </c>
      <c r="N899" s="1477" t="s">
        <v>1695</v>
      </c>
      <c r="O899" s="1479">
        <v>3160</v>
      </c>
      <c r="P899" s="1479"/>
      <c r="Q899" s="1142">
        <f t="shared" si="253"/>
        <v>3160</v>
      </c>
      <c r="R899" s="1143">
        <f>IFERROR(VLOOKUP(CONCATENATE(E899,G899),'LAC 103'!$A$12:$O$95,11,FALSE),0)</f>
        <v>3.2074101033884355</v>
      </c>
      <c r="S899" s="1144">
        <f>IFERROR(VLOOKUP(CONCATENATE($E899,$G899),'LAC 103'!$A$12:$O$95,12,FALSE),0)</f>
        <v>3.99</v>
      </c>
      <c r="T899" s="1144">
        <f>IFERROR(VLOOKUP(CONCATENATE($E899,$G899),'LAC 103'!$A$12:$O$95,13,FALSE),0)</f>
        <v>2.48</v>
      </c>
      <c r="U899" s="1144">
        <f>IFERROR(VLOOKUP(CONCATENATE($E899,$G899),'LAC 103'!$A$12:$O$95,14,FALSE),0)</f>
        <v>0</v>
      </c>
      <c r="V899" s="1144">
        <f>IFERROR(VLOOKUP(CONCATENATE($E899,$G899),'LAC 103'!$A$12:$O$95,15,FALSE),0)</f>
        <v>0</v>
      </c>
      <c r="W899" s="1145" t="str">
        <f>IFERROR(VLOOKUP(CONCATENATE($B899,$N899),'LAC 103'!$AI:$AQ,9,FALSE),"")</f>
        <v>Costs</v>
      </c>
      <c r="X899" s="1146">
        <f t="shared" si="240"/>
        <v>3.2074101033884355</v>
      </c>
      <c r="Y899" s="1143">
        <f t="shared" si="251"/>
        <v>10135.415926707456</v>
      </c>
      <c r="Z899" s="1147">
        <f t="shared" si="241"/>
        <v>12608.400000000001</v>
      </c>
      <c r="AA899" s="1144">
        <f t="shared" si="242"/>
        <v>7836.8</v>
      </c>
      <c r="AB899" s="1144">
        <f t="shared" si="243"/>
        <v>0</v>
      </c>
      <c r="AC899" s="1144">
        <f t="shared" si="244"/>
        <v>0</v>
      </c>
      <c r="AD899" s="1148">
        <f t="shared" si="236"/>
        <v>10135.415926707456</v>
      </c>
      <c r="AE899" s="1487">
        <v>0</v>
      </c>
      <c r="AF899" s="1145">
        <f t="shared" si="245"/>
        <v>10135.415926707456</v>
      </c>
      <c r="AG899" s="1149">
        <f>IFERROR(VLOOKUP(CONCATENATE($L899,$N899),'Drop List'!$G$23:$K$87,2,FALSE),0)</f>
        <v>0.9</v>
      </c>
      <c r="AH899" s="1150">
        <f>IFERROR(VLOOKUP(CONCATENATE($L899,$N899),'Drop List'!$G$23:$K$87,3,FALSE),0)</f>
        <v>0</v>
      </c>
      <c r="AI899" s="1150">
        <f>IFERROR(VLOOKUP(CONCATENATE($L899,$N899),'Drop List'!$G$23:$K$87,4,FALSE),0)</f>
        <v>0.1</v>
      </c>
      <c r="AJ899" s="1151">
        <f>IFERROR(VLOOKUP(CONCATENATE($L899,$N899),'Drop List'!$G$23:$K$87,5,FALSE),0)</f>
        <v>0</v>
      </c>
      <c r="AK899" s="1152">
        <f t="shared" si="246"/>
        <v>9121.8743340367109</v>
      </c>
      <c r="AL899" s="1153">
        <f t="shared" si="247"/>
        <v>0</v>
      </c>
      <c r="AM899" s="1153">
        <f t="shared" si="248"/>
        <v>1013.5415926707456</v>
      </c>
      <c r="AN899" s="1145">
        <f t="shared" si="249"/>
        <v>0</v>
      </c>
      <c r="AO899" s="1154">
        <f t="shared" si="250"/>
        <v>10135.415926707457</v>
      </c>
      <c r="AP899" s="1147">
        <f t="shared" si="237"/>
        <v>0</v>
      </c>
      <c r="AQ899" s="1144">
        <f t="shared" si="238"/>
        <v>0</v>
      </c>
      <c r="AR899" s="1146">
        <f t="shared" si="239"/>
        <v>10135.415926707457</v>
      </c>
    </row>
    <row r="900" spans="1:44" x14ac:dyDescent="0.2">
      <c r="A900" s="1141" t="str">
        <f t="shared" si="252"/>
        <v>1542</v>
      </c>
      <c r="B900" s="1141" t="str">
        <f>IFERROR(VLOOKUP(A900,'LAC 103'!A:C,3,FALSE),"")</f>
        <v>OP</v>
      </c>
      <c r="C900" s="1478" t="str">
        <f>Info!$B$8</f>
        <v>00100</v>
      </c>
      <c r="D900" s="1474" t="s">
        <v>256</v>
      </c>
      <c r="E900" s="1474" t="s">
        <v>95</v>
      </c>
      <c r="F900" s="1478" t="s">
        <v>392</v>
      </c>
      <c r="G900" s="1478" t="s">
        <v>392</v>
      </c>
      <c r="H900" s="1474" t="s">
        <v>983</v>
      </c>
      <c r="I900" s="1478" t="s">
        <v>823</v>
      </c>
      <c r="J900" s="1478" t="s">
        <v>1999</v>
      </c>
      <c r="K900" s="1475" t="s">
        <v>849</v>
      </c>
      <c r="L900" s="1474" t="s">
        <v>77</v>
      </c>
      <c r="M900" s="1476" t="s">
        <v>840</v>
      </c>
      <c r="N900" s="1477" t="s">
        <v>1700</v>
      </c>
      <c r="O900" s="1479">
        <v>3933</v>
      </c>
      <c r="P900" s="1479"/>
      <c r="Q900" s="1142">
        <f t="shared" si="253"/>
        <v>3933</v>
      </c>
      <c r="R900" s="1143">
        <f>IFERROR(VLOOKUP(CONCATENATE(E900,G900),'LAC 103'!$A$12:$O$95,11,FALSE),0)</f>
        <v>3.2074101033884355</v>
      </c>
      <c r="S900" s="1144">
        <f>IFERROR(VLOOKUP(CONCATENATE($E900,$G900),'LAC 103'!$A$12:$O$95,12,FALSE),0)</f>
        <v>3.99</v>
      </c>
      <c r="T900" s="1144">
        <f>IFERROR(VLOOKUP(CONCATENATE($E900,$G900),'LAC 103'!$A$12:$O$95,13,FALSE),0)</f>
        <v>2.48</v>
      </c>
      <c r="U900" s="1144">
        <f>IFERROR(VLOOKUP(CONCATENATE($E900,$G900),'LAC 103'!$A$12:$O$95,14,FALSE),0)</f>
        <v>0</v>
      </c>
      <c r="V900" s="1144">
        <f>IFERROR(VLOOKUP(CONCATENATE($E900,$G900),'LAC 103'!$A$12:$O$95,15,FALSE),0)</f>
        <v>0</v>
      </c>
      <c r="W900" s="1145" t="str">
        <f>IFERROR(VLOOKUP(CONCATENATE($B900,$N900),'LAC 103'!$AI:$AQ,9,FALSE),"")</f>
        <v>P.C.</v>
      </c>
      <c r="X900" s="1146">
        <f t="shared" si="240"/>
        <v>2.48</v>
      </c>
      <c r="Y900" s="1143">
        <f t="shared" si="251"/>
        <v>12614.743936626717</v>
      </c>
      <c r="Z900" s="1147">
        <f t="shared" si="241"/>
        <v>15692.67</v>
      </c>
      <c r="AA900" s="1144">
        <f t="shared" si="242"/>
        <v>9753.84</v>
      </c>
      <c r="AB900" s="1144">
        <f t="shared" si="243"/>
        <v>0</v>
      </c>
      <c r="AC900" s="1144">
        <f t="shared" si="244"/>
        <v>0</v>
      </c>
      <c r="AD900" s="1148">
        <f t="shared" si="236"/>
        <v>9753.84</v>
      </c>
      <c r="AE900" s="1487">
        <v>0</v>
      </c>
      <c r="AF900" s="1145">
        <f t="shared" si="245"/>
        <v>9753.84</v>
      </c>
      <c r="AG900" s="1149">
        <f>IFERROR(VLOOKUP(CONCATENATE($L900,$N900),'Drop List'!$G$23:$K$87,2,FALSE),0)</f>
        <v>0.9</v>
      </c>
      <c r="AH900" s="1150">
        <f>IFERROR(VLOOKUP(CONCATENATE($L900,$N900),'Drop List'!$G$23:$K$87,3,FALSE),0)</f>
        <v>0</v>
      </c>
      <c r="AI900" s="1150">
        <f>IFERROR(VLOOKUP(CONCATENATE($L900,$N900),'Drop List'!$G$23:$K$87,4,FALSE),0)</f>
        <v>0.1</v>
      </c>
      <c r="AJ900" s="1151">
        <f>IFERROR(VLOOKUP(CONCATENATE($L900,$N900),'Drop List'!$G$23:$K$87,5,FALSE),0)</f>
        <v>0</v>
      </c>
      <c r="AK900" s="1152">
        <f t="shared" si="246"/>
        <v>8778.4560000000001</v>
      </c>
      <c r="AL900" s="1153">
        <f t="shared" si="247"/>
        <v>0</v>
      </c>
      <c r="AM900" s="1153">
        <f t="shared" si="248"/>
        <v>975.38400000000001</v>
      </c>
      <c r="AN900" s="1145">
        <f t="shared" si="249"/>
        <v>0</v>
      </c>
      <c r="AO900" s="1154">
        <f t="shared" si="250"/>
        <v>9753.84</v>
      </c>
      <c r="AP900" s="1147">
        <f t="shared" si="237"/>
        <v>0</v>
      </c>
      <c r="AQ900" s="1144">
        <f t="shared" si="238"/>
        <v>0</v>
      </c>
      <c r="AR900" s="1146">
        <f t="shared" si="239"/>
        <v>9753.84</v>
      </c>
    </row>
    <row r="901" spans="1:44" x14ac:dyDescent="0.2">
      <c r="A901" s="1141" t="str">
        <f t="shared" si="252"/>
        <v>1542</v>
      </c>
      <c r="B901" s="1141" t="str">
        <f>IFERROR(VLOOKUP(A901,'LAC 103'!A:C,3,FALSE),"")</f>
        <v>OP</v>
      </c>
      <c r="C901" s="1478" t="str">
        <f>Info!$B$8</f>
        <v>00100</v>
      </c>
      <c r="D901" s="1474" t="s">
        <v>256</v>
      </c>
      <c r="E901" s="1474" t="s">
        <v>95</v>
      </c>
      <c r="F901" s="1478" t="s">
        <v>392</v>
      </c>
      <c r="G901" s="1478" t="s">
        <v>392</v>
      </c>
      <c r="H901" s="1474" t="s">
        <v>983</v>
      </c>
      <c r="I901" s="1478" t="s">
        <v>823</v>
      </c>
      <c r="J901" s="1478" t="s">
        <v>1999</v>
      </c>
      <c r="K901" s="1475" t="s">
        <v>849</v>
      </c>
      <c r="L901" s="1474" t="s">
        <v>77</v>
      </c>
      <c r="M901" s="1476" t="s">
        <v>842</v>
      </c>
      <c r="N901" s="1477" t="s">
        <v>1692</v>
      </c>
      <c r="O901" s="1479">
        <v>6579</v>
      </c>
      <c r="P901" s="1479"/>
      <c r="Q901" s="1142">
        <f t="shared" si="253"/>
        <v>6579</v>
      </c>
      <c r="R901" s="1143">
        <f>IFERROR(VLOOKUP(CONCATENATE(E901,G901),'LAC 103'!$A$12:$O$95,11,FALSE),0)</f>
        <v>3.2074101033884355</v>
      </c>
      <c r="S901" s="1144">
        <f>IFERROR(VLOOKUP(CONCATENATE($E901,$G901),'LAC 103'!$A$12:$O$95,12,FALSE),0)</f>
        <v>3.99</v>
      </c>
      <c r="T901" s="1144">
        <f>IFERROR(VLOOKUP(CONCATENATE($E901,$G901),'LAC 103'!$A$12:$O$95,13,FALSE),0)</f>
        <v>2.48</v>
      </c>
      <c r="U901" s="1144">
        <f>IFERROR(VLOOKUP(CONCATENATE($E901,$G901),'LAC 103'!$A$12:$O$95,14,FALSE),0)</f>
        <v>0</v>
      </c>
      <c r="V901" s="1144">
        <f>IFERROR(VLOOKUP(CONCATENATE($E901,$G901),'LAC 103'!$A$12:$O$95,15,FALSE),0)</f>
        <v>0</v>
      </c>
      <c r="W901" s="1145" t="str">
        <f>IFERROR(VLOOKUP(CONCATENATE($B901,$N901),'LAC 103'!$AI:$AQ,9,FALSE),"")</f>
        <v>Costs</v>
      </c>
      <c r="X901" s="1146">
        <f t="shared" si="240"/>
        <v>3.2074101033884355</v>
      </c>
      <c r="Y901" s="1143">
        <f t="shared" si="251"/>
        <v>21101.551070192516</v>
      </c>
      <c r="Z901" s="1147">
        <f t="shared" si="241"/>
        <v>26250.210000000003</v>
      </c>
      <c r="AA901" s="1144">
        <f t="shared" si="242"/>
        <v>16315.92</v>
      </c>
      <c r="AB901" s="1144">
        <f t="shared" si="243"/>
        <v>0</v>
      </c>
      <c r="AC901" s="1144">
        <f t="shared" si="244"/>
        <v>0</v>
      </c>
      <c r="AD901" s="1148">
        <f t="shared" si="236"/>
        <v>21101.551070192516</v>
      </c>
      <c r="AE901" s="1487">
        <v>0</v>
      </c>
      <c r="AF901" s="1145">
        <f t="shared" si="245"/>
        <v>21101.551070192516</v>
      </c>
      <c r="AG901" s="1149">
        <f>IFERROR(VLOOKUP(CONCATENATE($L901,$N901),'Drop List'!$G$23:$K$87,2,FALSE),0)</f>
        <v>0.9</v>
      </c>
      <c r="AH901" s="1150">
        <f>IFERROR(VLOOKUP(CONCATENATE($L901,$N901),'Drop List'!$G$23:$K$87,3,FALSE),0)</f>
        <v>0</v>
      </c>
      <c r="AI901" s="1150">
        <f>IFERROR(VLOOKUP(CONCATENATE($L901,$N901),'Drop List'!$G$23:$K$87,4,FALSE),0)</f>
        <v>0.1</v>
      </c>
      <c r="AJ901" s="1151">
        <f>IFERROR(VLOOKUP(CONCATENATE($L901,$N901),'Drop List'!$G$23:$K$87,5,FALSE),0)</f>
        <v>0</v>
      </c>
      <c r="AK901" s="1152">
        <f t="shared" si="246"/>
        <v>18991.395963173265</v>
      </c>
      <c r="AL901" s="1153">
        <f t="shared" si="247"/>
        <v>0</v>
      </c>
      <c r="AM901" s="1153">
        <f t="shared" si="248"/>
        <v>2110.1551070192518</v>
      </c>
      <c r="AN901" s="1145">
        <f t="shared" si="249"/>
        <v>0</v>
      </c>
      <c r="AO901" s="1154">
        <f t="shared" si="250"/>
        <v>21101.551070192516</v>
      </c>
      <c r="AP901" s="1147">
        <f t="shared" si="237"/>
        <v>0</v>
      </c>
      <c r="AQ901" s="1144">
        <f t="shared" si="238"/>
        <v>0</v>
      </c>
      <c r="AR901" s="1146">
        <f t="shared" si="239"/>
        <v>21101.551070192516</v>
      </c>
    </row>
    <row r="902" spans="1:44" x14ac:dyDescent="0.2">
      <c r="A902" s="1141" t="str">
        <f t="shared" si="252"/>
        <v>1542</v>
      </c>
      <c r="B902" s="1141" t="str">
        <f>IFERROR(VLOOKUP(A902,'LAC 103'!A:C,3,FALSE),"")</f>
        <v>OP</v>
      </c>
      <c r="C902" s="1478" t="str">
        <f>Info!$B$8</f>
        <v>00100</v>
      </c>
      <c r="D902" s="1474" t="s">
        <v>256</v>
      </c>
      <c r="E902" s="1474" t="s">
        <v>95</v>
      </c>
      <c r="F902" s="1478" t="s">
        <v>392</v>
      </c>
      <c r="G902" s="1478" t="s">
        <v>392</v>
      </c>
      <c r="H902" s="1474" t="s">
        <v>983</v>
      </c>
      <c r="I902" s="1478" t="s">
        <v>823</v>
      </c>
      <c r="J902" s="1478" t="s">
        <v>1999</v>
      </c>
      <c r="K902" s="1475" t="s">
        <v>849</v>
      </c>
      <c r="L902" s="1474" t="s">
        <v>77</v>
      </c>
      <c r="M902" s="1476" t="s">
        <v>1698</v>
      </c>
      <c r="N902" s="1477" t="s">
        <v>1693</v>
      </c>
      <c r="O902" s="1479">
        <v>5701</v>
      </c>
      <c r="P902" s="1479"/>
      <c r="Q902" s="1142">
        <f t="shared" si="253"/>
        <v>5701</v>
      </c>
      <c r="R902" s="1143">
        <f>IFERROR(VLOOKUP(CONCATENATE(E902,G902),'LAC 103'!$A$12:$O$95,11,FALSE),0)</f>
        <v>3.2074101033884355</v>
      </c>
      <c r="S902" s="1144">
        <f>IFERROR(VLOOKUP(CONCATENATE($E902,$G902),'LAC 103'!$A$12:$O$95,12,FALSE),0)</f>
        <v>3.99</v>
      </c>
      <c r="T902" s="1144">
        <f>IFERROR(VLOOKUP(CONCATENATE($E902,$G902),'LAC 103'!$A$12:$O$95,13,FALSE),0)</f>
        <v>2.48</v>
      </c>
      <c r="U902" s="1144">
        <f>IFERROR(VLOOKUP(CONCATENATE($E902,$G902),'LAC 103'!$A$12:$O$95,14,FALSE),0)</f>
        <v>0</v>
      </c>
      <c r="V902" s="1144">
        <f>IFERROR(VLOOKUP(CONCATENATE($E902,$G902),'LAC 103'!$A$12:$O$95,15,FALSE),0)</f>
        <v>0</v>
      </c>
      <c r="W902" s="1145" t="str">
        <f>IFERROR(VLOOKUP(CONCATENATE($B902,$N902),'LAC 103'!$AI:$AQ,9,FALSE),"")</f>
        <v>Costs</v>
      </c>
      <c r="X902" s="1146">
        <f t="shared" si="240"/>
        <v>3.2074101033884355</v>
      </c>
      <c r="Y902" s="1143">
        <f t="shared" si="251"/>
        <v>18285.444999417472</v>
      </c>
      <c r="Z902" s="1147">
        <f t="shared" si="241"/>
        <v>22746.99</v>
      </c>
      <c r="AA902" s="1144">
        <f t="shared" si="242"/>
        <v>14138.48</v>
      </c>
      <c r="AB902" s="1144">
        <f t="shared" si="243"/>
        <v>0</v>
      </c>
      <c r="AC902" s="1144">
        <f t="shared" si="244"/>
        <v>0</v>
      </c>
      <c r="AD902" s="1148">
        <f t="shared" si="236"/>
        <v>18285.444999417472</v>
      </c>
      <c r="AE902" s="1487">
        <v>0</v>
      </c>
      <c r="AF902" s="1145">
        <f t="shared" si="245"/>
        <v>18285.444999417472</v>
      </c>
      <c r="AG902" s="1149">
        <f>IFERROR(VLOOKUP(CONCATENATE($L902,$N902),'Drop List'!$G$23:$K$87,2,FALSE),0)</f>
        <v>0.9</v>
      </c>
      <c r="AH902" s="1150">
        <f>IFERROR(VLOOKUP(CONCATENATE($L902,$N902),'Drop List'!$G$23:$K$87,3,FALSE),0)</f>
        <v>0</v>
      </c>
      <c r="AI902" s="1150">
        <f>IFERROR(VLOOKUP(CONCATENATE($L902,$N902),'Drop List'!$G$23:$K$87,4,FALSE),0)</f>
        <v>0.1</v>
      </c>
      <c r="AJ902" s="1151">
        <f>IFERROR(VLOOKUP(CONCATENATE($L902,$N902),'Drop List'!$G$23:$K$87,5,FALSE),0)</f>
        <v>0</v>
      </c>
      <c r="AK902" s="1152">
        <f t="shared" si="246"/>
        <v>16456.900499475727</v>
      </c>
      <c r="AL902" s="1153">
        <f t="shared" si="247"/>
        <v>0</v>
      </c>
      <c r="AM902" s="1153">
        <f t="shared" si="248"/>
        <v>1828.5444999417473</v>
      </c>
      <c r="AN902" s="1145">
        <f t="shared" si="249"/>
        <v>0</v>
      </c>
      <c r="AO902" s="1154">
        <f t="shared" si="250"/>
        <v>18285.444999417476</v>
      </c>
      <c r="AP902" s="1147">
        <f t="shared" si="237"/>
        <v>0</v>
      </c>
      <c r="AQ902" s="1144">
        <f t="shared" si="238"/>
        <v>0</v>
      </c>
      <c r="AR902" s="1146">
        <f t="shared" si="239"/>
        <v>18285.444999417476</v>
      </c>
    </row>
    <row r="903" spans="1:44" x14ac:dyDescent="0.2">
      <c r="A903" s="1141" t="str">
        <f t="shared" si="252"/>
        <v>1542</v>
      </c>
      <c r="B903" s="1141" t="str">
        <f>IFERROR(VLOOKUP(A903,'LAC 103'!A:C,3,FALSE),"")</f>
        <v>OP</v>
      </c>
      <c r="C903" s="1478" t="str">
        <f>Info!$B$8</f>
        <v>00100</v>
      </c>
      <c r="D903" s="1474" t="s">
        <v>256</v>
      </c>
      <c r="E903" s="1474" t="s">
        <v>95</v>
      </c>
      <c r="F903" s="1478" t="s">
        <v>392</v>
      </c>
      <c r="G903" s="1478" t="s">
        <v>392</v>
      </c>
      <c r="H903" s="1474" t="s">
        <v>983</v>
      </c>
      <c r="I903" s="1478" t="s">
        <v>823</v>
      </c>
      <c r="J903" s="1478" t="s">
        <v>1999</v>
      </c>
      <c r="K903" s="1475" t="s">
        <v>971</v>
      </c>
      <c r="L903" s="1474" t="s">
        <v>332</v>
      </c>
      <c r="M903" s="1476" t="s">
        <v>1699</v>
      </c>
      <c r="N903" s="1477" t="s">
        <v>1694</v>
      </c>
      <c r="O903" s="1479">
        <v>417</v>
      </c>
      <c r="P903" s="1479"/>
      <c r="Q903" s="1142">
        <f t="shared" si="253"/>
        <v>417</v>
      </c>
      <c r="R903" s="1143">
        <f>IFERROR(VLOOKUP(CONCATENATE(E903,G903),'LAC 103'!$A$12:$O$95,11,FALSE),0)</f>
        <v>3.2074101033884355</v>
      </c>
      <c r="S903" s="1144">
        <f>IFERROR(VLOOKUP(CONCATENATE($E903,$G903),'LAC 103'!$A$12:$O$95,12,FALSE),0)</f>
        <v>3.99</v>
      </c>
      <c r="T903" s="1144">
        <f>IFERROR(VLOOKUP(CONCATENATE($E903,$G903),'LAC 103'!$A$12:$O$95,13,FALSE),0)</f>
        <v>2.48</v>
      </c>
      <c r="U903" s="1144">
        <f>IFERROR(VLOOKUP(CONCATENATE($E903,$G903),'LAC 103'!$A$12:$O$95,14,FALSE),0)</f>
        <v>0</v>
      </c>
      <c r="V903" s="1144">
        <f>IFERROR(VLOOKUP(CONCATENATE($E903,$G903),'LAC 103'!$A$12:$O$95,15,FALSE),0)</f>
        <v>0</v>
      </c>
      <c r="W903" s="1145" t="str">
        <f>IFERROR(VLOOKUP(CONCATENATE($B903,$N903),'LAC 103'!$AI:$AQ,9,FALSE),"")</f>
        <v>Costs</v>
      </c>
      <c r="X903" s="1146">
        <f t="shared" si="240"/>
        <v>3.2074101033884355</v>
      </c>
      <c r="Y903" s="1143">
        <f t="shared" si="251"/>
        <v>1337.4900131129775</v>
      </c>
      <c r="Z903" s="1147">
        <f t="shared" si="241"/>
        <v>1663.8300000000002</v>
      </c>
      <c r="AA903" s="1144">
        <f t="shared" si="242"/>
        <v>1034.1600000000001</v>
      </c>
      <c r="AB903" s="1144">
        <f t="shared" si="243"/>
        <v>0</v>
      </c>
      <c r="AC903" s="1144">
        <f t="shared" si="244"/>
        <v>0</v>
      </c>
      <c r="AD903" s="1148">
        <f t="shared" ref="AD903:AD966" si="254">Q903*X903</f>
        <v>1337.4900131129775</v>
      </c>
      <c r="AE903" s="1487">
        <v>0</v>
      </c>
      <c r="AF903" s="1145">
        <f t="shared" si="245"/>
        <v>1337.4900131129775</v>
      </c>
      <c r="AG903" s="1149">
        <f>IFERROR(VLOOKUP(CONCATENATE($L903,$N903),'Drop List'!$G$23:$K$87,2,FALSE),0)</f>
        <v>0</v>
      </c>
      <c r="AH903" s="1150">
        <f>IFERROR(VLOOKUP(CONCATENATE($L903,$N903),'Drop List'!$G$23:$K$87,3,FALSE),0)</f>
        <v>0</v>
      </c>
      <c r="AI903" s="1150">
        <f>IFERROR(VLOOKUP(CONCATENATE($L903,$N903),'Drop List'!$G$23:$K$87,4,FALSE),0)</f>
        <v>0</v>
      </c>
      <c r="AJ903" s="1151">
        <f>IFERROR(VLOOKUP(CONCATENATE($L903,$N903),'Drop List'!$G$23:$K$87,5,FALSE),0)</f>
        <v>0</v>
      </c>
      <c r="AK903" s="1152">
        <f t="shared" si="246"/>
        <v>0</v>
      </c>
      <c r="AL903" s="1153">
        <f t="shared" si="247"/>
        <v>0</v>
      </c>
      <c r="AM903" s="1153">
        <f t="shared" si="248"/>
        <v>0</v>
      </c>
      <c r="AN903" s="1145">
        <f t="shared" si="249"/>
        <v>0</v>
      </c>
      <c r="AO903" s="1154">
        <f t="shared" si="250"/>
        <v>0</v>
      </c>
      <c r="AP903" s="1147">
        <f t="shared" ref="AP903:AP966" si="255">IF($L903="14",$AF903,0)</f>
        <v>1337.4900131129775</v>
      </c>
      <c r="AQ903" s="1144">
        <f t="shared" ref="AQ903:AQ966" si="256">IF($L903="15",$AF903,0)</f>
        <v>0</v>
      </c>
      <c r="AR903" s="1146">
        <f t="shared" ref="AR903:AR966" si="257">AO903+AP903+AQ903</f>
        <v>1337.4900131129775</v>
      </c>
    </row>
    <row r="904" spans="1:44" x14ac:dyDescent="0.2">
      <c r="A904" s="1141" t="str">
        <f t="shared" si="252"/>
        <v>1542</v>
      </c>
      <c r="B904" s="1141" t="str">
        <f>IFERROR(VLOOKUP(A904,'LAC 103'!A:C,3,FALSE),"")</f>
        <v>OP</v>
      </c>
      <c r="C904" s="1478" t="str">
        <f>Info!$B$8</f>
        <v>00100</v>
      </c>
      <c r="D904" s="1474" t="s">
        <v>256</v>
      </c>
      <c r="E904" s="1474" t="s">
        <v>95</v>
      </c>
      <c r="F904" s="1478" t="s">
        <v>392</v>
      </c>
      <c r="G904" s="1478" t="s">
        <v>392</v>
      </c>
      <c r="H904" s="1474" t="s">
        <v>983</v>
      </c>
      <c r="I904" s="1478" t="s">
        <v>823</v>
      </c>
      <c r="J904" s="1478" t="s">
        <v>1999</v>
      </c>
      <c r="K904" s="1475" t="s">
        <v>971</v>
      </c>
      <c r="L904" s="1474" t="s">
        <v>332</v>
      </c>
      <c r="M904" s="1476" t="s">
        <v>841</v>
      </c>
      <c r="N904" s="1477" t="s">
        <v>1695</v>
      </c>
      <c r="O904" s="1479">
        <v>120</v>
      </c>
      <c r="P904" s="1479"/>
      <c r="Q904" s="1142">
        <f t="shared" si="253"/>
        <v>120</v>
      </c>
      <c r="R904" s="1143">
        <f>IFERROR(VLOOKUP(CONCATENATE(E904,G904),'LAC 103'!$A$12:$O$95,11,FALSE),0)</f>
        <v>3.2074101033884355</v>
      </c>
      <c r="S904" s="1144">
        <f>IFERROR(VLOOKUP(CONCATENATE($E904,$G904),'LAC 103'!$A$12:$O$95,12,FALSE),0)</f>
        <v>3.99</v>
      </c>
      <c r="T904" s="1144">
        <f>IFERROR(VLOOKUP(CONCATENATE($E904,$G904),'LAC 103'!$A$12:$O$95,13,FALSE),0)</f>
        <v>2.48</v>
      </c>
      <c r="U904" s="1144">
        <f>IFERROR(VLOOKUP(CONCATENATE($E904,$G904),'LAC 103'!$A$12:$O$95,14,FALSE),0)</f>
        <v>0</v>
      </c>
      <c r="V904" s="1144">
        <f>IFERROR(VLOOKUP(CONCATENATE($E904,$G904),'LAC 103'!$A$12:$O$95,15,FALSE),0)</f>
        <v>0</v>
      </c>
      <c r="W904" s="1145" t="str">
        <f>IFERROR(VLOOKUP(CONCATENATE($B904,$N904),'LAC 103'!$AI:$AQ,9,FALSE),"")</f>
        <v>Costs</v>
      </c>
      <c r="X904" s="1146">
        <f t="shared" ref="X904:X967" si="258">IF($W904="Costs",$R904,IF($W904="CMA",$S904,IF($W904="P.C.",$T904,IF($W904="SMA",$U904,$V904))))</f>
        <v>3.2074101033884355</v>
      </c>
      <c r="Y904" s="1143">
        <f t="shared" si="251"/>
        <v>384.88921240661227</v>
      </c>
      <c r="Z904" s="1147">
        <f t="shared" ref="Z904:Z967" si="259">IF(S904=0,Y904,$Q904*S904)</f>
        <v>478.8</v>
      </c>
      <c r="AA904" s="1144">
        <f t="shared" ref="AA904:AA967" si="260">IF(T904=0,Y904,$Q904*T904)</f>
        <v>297.60000000000002</v>
      </c>
      <c r="AB904" s="1144">
        <f t="shared" ref="AB904:AB967" si="261">$Q904*U904</f>
        <v>0</v>
      </c>
      <c r="AC904" s="1144">
        <f t="shared" ref="AC904:AC967" si="262">$Q904*V904</f>
        <v>0</v>
      </c>
      <c r="AD904" s="1148">
        <f t="shared" si="254"/>
        <v>384.88921240661227</v>
      </c>
      <c r="AE904" s="1487">
        <v>0</v>
      </c>
      <c r="AF904" s="1145">
        <f t="shared" ref="AF904:AF967" si="263">AD904-AE904</f>
        <v>384.88921240661227</v>
      </c>
      <c r="AG904" s="1149">
        <f>IFERROR(VLOOKUP(CONCATENATE($L904,$N904),'Drop List'!$G$23:$K$87,2,FALSE),0)</f>
        <v>0</v>
      </c>
      <c r="AH904" s="1150">
        <f>IFERROR(VLOOKUP(CONCATENATE($L904,$N904),'Drop List'!$G$23:$K$87,3,FALSE),0)</f>
        <v>0</v>
      </c>
      <c r="AI904" s="1150">
        <f>IFERROR(VLOOKUP(CONCATENATE($L904,$N904),'Drop List'!$G$23:$K$87,4,FALSE),0)</f>
        <v>0</v>
      </c>
      <c r="AJ904" s="1151">
        <f>IFERROR(VLOOKUP(CONCATENATE($L904,$N904),'Drop List'!$G$23:$K$87,5,FALSE),0)</f>
        <v>0</v>
      </c>
      <c r="AK904" s="1152">
        <f t="shared" ref="AK904:AK967" si="264">IFERROR($AF904*AG904,0)</f>
        <v>0</v>
      </c>
      <c r="AL904" s="1153">
        <f t="shared" ref="AL904:AL967" si="265">IFERROR($AF904*AH904,0)</f>
        <v>0</v>
      </c>
      <c r="AM904" s="1153">
        <f t="shared" ref="AM904:AM967" si="266">IFERROR($AF904*AI904,0)</f>
        <v>0</v>
      </c>
      <c r="AN904" s="1145">
        <f t="shared" ref="AN904:AN967" si="267">IFERROR($AF904*AJ904,0)</f>
        <v>0</v>
      </c>
      <c r="AO904" s="1154">
        <f t="shared" ref="AO904:AO967" si="268">SUM(AK904:AN904)</f>
        <v>0</v>
      </c>
      <c r="AP904" s="1147">
        <f t="shared" si="255"/>
        <v>384.88921240661227</v>
      </c>
      <c r="AQ904" s="1144">
        <f t="shared" si="256"/>
        <v>0</v>
      </c>
      <c r="AR904" s="1146">
        <f t="shared" si="257"/>
        <v>384.88921240661227</v>
      </c>
    </row>
    <row r="905" spans="1:44" x14ac:dyDescent="0.2">
      <c r="A905" s="1141" t="str">
        <f t="shared" si="252"/>
        <v>1542</v>
      </c>
      <c r="B905" s="1141" t="str">
        <f>IFERROR(VLOOKUP(A905,'LAC 103'!A:C,3,FALSE),"")</f>
        <v>OP</v>
      </c>
      <c r="C905" s="1478" t="str">
        <f>Info!$B$8</f>
        <v>00100</v>
      </c>
      <c r="D905" s="1474" t="s">
        <v>256</v>
      </c>
      <c r="E905" s="1474" t="s">
        <v>95</v>
      </c>
      <c r="F905" s="1478" t="s">
        <v>392</v>
      </c>
      <c r="G905" s="1478" t="s">
        <v>392</v>
      </c>
      <c r="H905" s="1474" t="s">
        <v>983</v>
      </c>
      <c r="I905" s="1478" t="s">
        <v>823</v>
      </c>
      <c r="J905" s="1478" t="s">
        <v>1999</v>
      </c>
      <c r="K905" s="1475" t="s">
        <v>850</v>
      </c>
      <c r="L905" s="1474" t="s">
        <v>330</v>
      </c>
      <c r="M905" s="1476" t="s">
        <v>1699</v>
      </c>
      <c r="N905" s="1477" t="s">
        <v>1694</v>
      </c>
      <c r="O905" s="1479">
        <v>189</v>
      </c>
      <c r="P905" s="1479"/>
      <c r="Q905" s="1142">
        <f t="shared" si="253"/>
        <v>189</v>
      </c>
      <c r="R905" s="1143">
        <f>IFERROR(VLOOKUP(CONCATENATE(E905,G905),'LAC 103'!$A$12:$O$95,11,FALSE),0)</f>
        <v>3.2074101033884355</v>
      </c>
      <c r="S905" s="1144">
        <f>IFERROR(VLOOKUP(CONCATENATE($E905,$G905),'LAC 103'!$A$12:$O$95,12,FALSE),0)</f>
        <v>3.99</v>
      </c>
      <c r="T905" s="1144">
        <f>IFERROR(VLOOKUP(CONCATENATE($E905,$G905),'LAC 103'!$A$12:$O$95,13,FALSE),0)</f>
        <v>2.48</v>
      </c>
      <c r="U905" s="1144">
        <f>IFERROR(VLOOKUP(CONCATENATE($E905,$G905),'LAC 103'!$A$12:$O$95,14,FALSE),0)</f>
        <v>0</v>
      </c>
      <c r="V905" s="1144">
        <f>IFERROR(VLOOKUP(CONCATENATE($E905,$G905),'LAC 103'!$A$12:$O$95,15,FALSE),0)</f>
        <v>0</v>
      </c>
      <c r="W905" s="1145" t="str">
        <f>IFERROR(VLOOKUP(CONCATENATE($B905,$N905),'LAC 103'!$AI:$AQ,9,FALSE),"")</f>
        <v>Costs</v>
      </c>
      <c r="X905" s="1146">
        <f t="shared" si="258"/>
        <v>3.2074101033884355</v>
      </c>
      <c r="Y905" s="1143">
        <f t="shared" si="251"/>
        <v>606.20050954041426</v>
      </c>
      <c r="Z905" s="1147">
        <f t="shared" si="259"/>
        <v>754.11</v>
      </c>
      <c r="AA905" s="1144">
        <f t="shared" si="260"/>
        <v>468.71999999999997</v>
      </c>
      <c r="AB905" s="1144">
        <f t="shared" si="261"/>
        <v>0</v>
      </c>
      <c r="AC905" s="1144">
        <f t="shared" si="262"/>
        <v>0</v>
      </c>
      <c r="AD905" s="1148">
        <f t="shared" si="254"/>
        <v>606.20050954041426</v>
      </c>
      <c r="AE905" s="1487">
        <v>0</v>
      </c>
      <c r="AF905" s="1145">
        <f t="shared" si="263"/>
        <v>606.20050954041426</v>
      </c>
      <c r="AG905" s="1149">
        <f>IFERROR(VLOOKUP(CONCATENATE($L905,$N905),'Drop List'!$G$23:$K$87,2,FALSE),0)</f>
        <v>0</v>
      </c>
      <c r="AH905" s="1150">
        <f>IFERROR(VLOOKUP(CONCATENATE($L905,$N905),'Drop List'!$G$23:$K$87,3,FALSE),0)</f>
        <v>0</v>
      </c>
      <c r="AI905" s="1150">
        <f>IFERROR(VLOOKUP(CONCATENATE($L905,$N905),'Drop List'!$G$23:$K$87,4,FALSE),0)</f>
        <v>1</v>
      </c>
      <c r="AJ905" s="1151">
        <f>IFERROR(VLOOKUP(CONCATENATE($L905,$N905),'Drop List'!$G$23:$K$87,5,FALSE),0)</f>
        <v>0</v>
      </c>
      <c r="AK905" s="1152">
        <f t="shared" si="264"/>
        <v>0</v>
      </c>
      <c r="AL905" s="1153">
        <f t="shared" si="265"/>
        <v>0</v>
      </c>
      <c r="AM905" s="1153">
        <f t="shared" si="266"/>
        <v>606.20050954041426</v>
      </c>
      <c r="AN905" s="1145">
        <f t="shared" si="267"/>
        <v>0</v>
      </c>
      <c r="AO905" s="1154">
        <f t="shared" si="268"/>
        <v>606.20050954041426</v>
      </c>
      <c r="AP905" s="1147">
        <f t="shared" si="255"/>
        <v>0</v>
      </c>
      <c r="AQ905" s="1144">
        <f t="shared" si="256"/>
        <v>0</v>
      </c>
      <c r="AR905" s="1146">
        <f t="shared" si="257"/>
        <v>606.20050954041426</v>
      </c>
    </row>
    <row r="906" spans="1:44" x14ac:dyDescent="0.2">
      <c r="A906" s="1141" t="str">
        <f t="shared" si="252"/>
        <v>1542</v>
      </c>
      <c r="B906" s="1141" t="str">
        <f>IFERROR(VLOOKUP(A906,'LAC 103'!A:C,3,FALSE),"")</f>
        <v>OP</v>
      </c>
      <c r="C906" s="1478" t="str">
        <f>Info!$B$8</f>
        <v>00100</v>
      </c>
      <c r="D906" s="1474" t="s">
        <v>256</v>
      </c>
      <c r="E906" s="1474" t="s">
        <v>95</v>
      </c>
      <c r="F906" s="1478" t="s">
        <v>392</v>
      </c>
      <c r="G906" s="1478" t="s">
        <v>392</v>
      </c>
      <c r="H906" s="1474" t="s">
        <v>983</v>
      </c>
      <c r="I906" s="1478" t="s">
        <v>823</v>
      </c>
      <c r="J906" s="1478" t="s">
        <v>1999</v>
      </c>
      <c r="K906" s="1475" t="s">
        <v>850</v>
      </c>
      <c r="L906" s="1474" t="s">
        <v>330</v>
      </c>
      <c r="M906" s="1476" t="s">
        <v>842</v>
      </c>
      <c r="N906" s="1477" t="s">
        <v>1692</v>
      </c>
      <c r="O906" s="1479">
        <v>508</v>
      </c>
      <c r="P906" s="1479"/>
      <c r="Q906" s="1142">
        <f t="shared" si="253"/>
        <v>508</v>
      </c>
      <c r="R906" s="1143">
        <f>IFERROR(VLOOKUP(CONCATENATE(E906,G906),'LAC 103'!$A$12:$O$95,11,FALSE),0)</f>
        <v>3.2074101033884355</v>
      </c>
      <c r="S906" s="1144">
        <f>IFERROR(VLOOKUP(CONCATENATE($E906,$G906),'LAC 103'!$A$12:$O$95,12,FALSE),0)</f>
        <v>3.99</v>
      </c>
      <c r="T906" s="1144">
        <f>IFERROR(VLOOKUP(CONCATENATE($E906,$G906),'LAC 103'!$A$12:$O$95,13,FALSE),0)</f>
        <v>2.48</v>
      </c>
      <c r="U906" s="1144">
        <f>IFERROR(VLOOKUP(CONCATENATE($E906,$G906),'LAC 103'!$A$12:$O$95,14,FALSE),0)</f>
        <v>0</v>
      </c>
      <c r="V906" s="1144">
        <f>IFERROR(VLOOKUP(CONCATENATE($E906,$G906),'LAC 103'!$A$12:$O$95,15,FALSE),0)</f>
        <v>0</v>
      </c>
      <c r="W906" s="1145" t="str">
        <f>IFERROR(VLOOKUP(CONCATENATE($B906,$N906),'LAC 103'!$AI:$AQ,9,FALSE),"")</f>
        <v>Costs</v>
      </c>
      <c r="X906" s="1146">
        <f t="shared" si="258"/>
        <v>3.2074101033884355</v>
      </c>
      <c r="Y906" s="1143">
        <f t="shared" ref="Y906:Y969" si="269">$Q906*R906</f>
        <v>1629.3643325213252</v>
      </c>
      <c r="Z906" s="1147">
        <f t="shared" si="259"/>
        <v>2026.92</v>
      </c>
      <c r="AA906" s="1144">
        <f t="shared" si="260"/>
        <v>1259.8399999999999</v>
      </c>
      <c r="AB906" s="1144">
        <f t="shared" si="261"/>
        <v>0</v>
      </c>
      <c r="AC906" s="1144">
        <f t="shared" si="262"/>
        <v>0</v>
      </c>
      <c r="AD906" s="1148">
        <f t="shared" si="254"/>
        <v>1629.3643325213252</v>
      </c>
      <c r="AE906" s="1487">
        <v>0</v>
      </c>
      <c r="AF906" s="1145">
        <f t="shared" si="263"/>
        <v>1629.3643325213252</v>
      </c>
      <c r="AG906" s="1149">
        <f>IFERROR(VLOOKUP(CONCATENATE($L906,$N906),'Drop List'!$G$23:$K$87,2,FALSE),0)</f>
        <v>0</v>
      </c>
      <c r="AH906" s="1150">
        <f>IFERROR(VLOOKUP(CONCATENATE($L906,$N906),'Drop List'!$G$23:$K$87,3,FALSE),0)</f>
        <v>0</v>
      </c>
      <c r="AI906" s="1150">
        <f>IFERROR(VLOOKUP(CONCATENATE($L906,$N906),'Drop List'!$G$23:$K$87,4,FALSE),0)</f>
        <v>1</v>
      </c>
      <c r="AJ906" s="1151">
        <f>IFERROR(VLOOKUP(CONCATENATE($L906,$N906),'Drop List'!$G$23:$K$87,5,FALSE),0)</f>
        <v>0</v>
      </c>
      <c r="AK906" s="1152">
        <f t="shared" si="264"/>
        <v>0</v>
      </c>
      <c r="AL906" s="1153">
        <f t="shared" si="265"/>
        <v>0</v>
      </c>
      <c r="AM906" s="1153">
        <f t="shared" si="266"/>
        <v>1629.3643325213252</v>
      </c>
      <c r="AN906" s="1145">
        <f t="shared" si="267"/>
        <v>0</v>
      </c>
      <c r="AO906" s="1154">
        <f t="shared" si="268"/>
        <v>1629.3643325213252</v>
      </c>
      <c r="AP906" s="1147">
        <f t="shared" si="255"/>
        <v>0</v>
      </c>
      <c r="AQ906" s="1144">
        <f t="shared" si="256"/>
        <v>0</v>
      </c>
      <c r="AR906" s="1146">
        <f t="shared" si="257"/>
        <v>1629.3643325213252</v>
      </c>
    </row>
    <row r="907" spans="1:44" x14ac:dyDescent="0.2">
      <c r="A907" s="1141" t="str">
        <f t="shared" si="252"/>
        <v>1542</v>
      </c>
      <c r="B907" s="1141" t="str">
        <f>IFERROR(VLOOKUP(A907,'LAC 103'!A:C,3,FALSE),"")</f>
        <v>OP</v>
      </c>
      <c r="C907" s="1478" t="str">
        <f>Info!$B$8</f>
        <v>00100</v>
      </c>
      <c r="D907" s="1474" t="s">
        <v>256</v>
      </c>
      <c r="E907" s="1474" t="s">
        <v>95</v>
      </c>
      <c r="F907" s="1478" t="s">
        <v>392</v>
      </c>
      <c r="G907" s="1478" t="s">
        <v>392</v>
      </c>
      <c r="H907" s="1474" t="s">
        <v>983</v>
      </c>
      <c r="I907" s="1478" t="s">
        <v>823</v>
      </c>
      <c r="J907" s="1478" t="s">
        <v>1999</v>
      </c>
      <c r="K907" s="1475" t="s">
        <v>850</v>
      </c>
      <c r="L907" s="1474" t="s">
        <v>330</v>
      </c>
      <c r="M907" s="1476" t="s">
        <v>1698</v>
      </c>
      <c r="N907" s="1477" t="s">
        <v>1693</v>
      </c>
      <c r="O907" s="1479">
        <v>430</v>
      </c>
      <c r="P907" s="1479"/>
      <c r="Q907" s="1142">
        <f t="shared" si="253"/>
        <v>430</v>
      </c>
      <c r="R907" s="1143">
        <f>IFERROR(VLOOKUP(CONCATENATE(E907,G907),'LAC 103'!$A$12:$O$95,11,FALSE),0)</f>
        <v>3.2074101033884355</v>
      </c>
      <c r="S907" s="1144">
        <f>IFERROR(VLOOKUP(CONCATENATE($E907,$G907),'LAC 103'!$A$12:$O$95,12,FALSE),0)</f>
        <v>3.99</v>
      </c>
      <c r="T907" s="1144">
        <f>IFERROR(VLOOKUP(CONCATENATE($E907,$G907),'LAC 103'!$A$12:$O$95,13,FALSE),0)</f>
        <v>2.48</v>
      </c>
      <c r="U907" s="1144">
        <f>IFERROR(VLOOKUP(CONCATENATE($E907,$G907),'LAC 103'!$A$12:$O$95,14,FALSE),0)</f>
        <v>0</v>
      </c>
      <c r="V907" s="1144">
        <f>IFERROR(VLOOKUP(CONCATENATE($E907,$G907),'LAC 103'!$A$12:$O$95,15,FALSE),0)</f>
        <v>0</v>
      </c>
      <c r="W907" s="1145" t="str">
        <f>IFERROR(VLOOKUP(CONCATENATE($B907,$N907),'LAC 103'!$AI:$AQ,9,FALSE),"")</f>
        <v>Costs</v>
      </c>
      <c r="X907" s="1146">
        <f t="shared" si="258"/>
        <v>3.2074101033884355</v>
      </c>
      <c r="Y907" s="1143">
        <f t="shared" si="269"/>
        <v>1379.1863444570272</v>
      </c>
      <c r="Z907" s="1147">
        <f t="shared" si="259"/>
        <v>1715.7</v>
      </c>
      <c r="AA907" s="1144">
        <f t="shared" si="260"/>
        <v>1066.4000000000001</v>
      </c>
      <c r="AB907" s="1144">
        <f t="shared" si="261"/>
        <v>0</v>
      </c>
      <c r="AC907" s="1144">
        <f t="shared" si="262"/>
        <v>0</v>
      </c>
      <c r="AD907" s="1148">
        <f t="shared" si="254"/>
        <v>1379.1863444570272</v>
      </c>
      <c r="AE907" s="1487">
        <v>0</v>
      </c>
      <c r="AF907" s="1145">
        <f t="shared" si="263"/>
        <v>1379.1863444570272</v>
      </c>
      <c r="AG907" s="1149">
        <f>IFERROR(VLOOKUP(CONCATENATE($L907,$N907),'Drop List'!$G$23:$K$87,2,FALSE),0)</f>
        <v>0</v>
      </c>
      <c r="AH907" s="1150">
        <f>IFERROR(VLOOKUP(CONCATENATE($L907,$N907),'Drop List'!$G$23:$K$87,3,FALSE),0)</f>
        <v>0</v>
      </c>
      <c r="AI907" s="1150">
        <f>IFERROR(VLOOKUP(CONCATENATE($L907,$N907),'Drop List'!$G$23:$K$87,4,FALSE),0)</f>
        <v>1</v>
      </c>
      <c r="AJ907" s="1151">
        <f>IFERROR(VLOOKUP(CONCATENATE($L907,$N907),'Drop List'!$G$23:$K$87,5,FALSE),0)</f>
        <v>0</v>
      </c>
      <c r="AK907" s="1152">
        <f t="shared" si="264"/>
        <v>0</v>
      </c>
      <c r="AL907" s="1153">
        <f t="shared" si="265"/>
        <v>0</v>
      </c>
      <c r="AM907" s="1153">
        <f t="shared" si="266"/>
        <v>1379.1863444570272</v>
      </c>
      <c r="AN907" s="1145">
        <f t="shared" si="267"/>
        <v>0</v>
      </c>
      <c r="AO907" s="1154">
        <f t="shared" si="268"/>
        <v>1379.1863444570272</v>
      </c>
      <c r="AP907" s="1147">
        <f t="shared" si="255"/>
        <v>0</v>
      </c>
      <c r="AQ907" s="1144">
        <f t="shared" si="256"/>
        <v>0</v>
      </c>
      <c r="AR907" s="1146">
        <f t="shared" si="257"/>
        <v>1379.1863444570272</v>
      </c>
    </row>
    <row r="908" spans="1:44" x14ac:dyDescent="0.2">
      <c r="A908" s="1141" t="str">
        <f t="shared" si="252"/>
        <v>1542</v>
      </c>
      <c r="B908" s="1141" t="str">
        <f>IFERROR(VLOOKUP(A908,'LAC 103'!A:C,3,FALSE),"")</f>
        <v>OP</v>
      </c>
      <c r="C908" s="1478" t="str">
        <f>Info!$B$8</f>
        <v>00100</v>
      </c>
      <c r="D908" s="1474" t="s">
        <v>256</v>
      </c>
      <c r="E908" s="1474" t="s">
        <v>95</v>
      </c>
      <c r="F908" s="1478" t="s">
        <v>392</v>
      </c>
      <c r="G908" s="1478" t="s">
        <v>392</v>
      </c>
      <c r="H908" s="1474" t="s">
        <v>983</v>
      </c>
      <c r="I908" s="1478" t="s">
        <v>823</v>
      </c>
      <c r="J908" s="1478" t="s">
        <v>1999</v>
      </c>
      <c r="K908" s="1475" t="s">
        <v>851</v>
      </c>
      <c r="L908" s="1474" t="s">
        <v>584</v>
      </c>
      <c r="M908" s="1476" t="s">
        <v>1699</v>
      </c>
      <c r="N908" s="1477" t="s">
        <v>1694</v>
      </c>
      <c r="O908" s="1479">
        <v>1217</v>
      </c>
      <c r="P908" s="1479"/>
      <c r="Q908" s="1142">
        <f t="shared" si="253"/>
        <v>1217</v>
      </c>
      <c r="R908" s="1143">
        <f>IFERROR(VLOOKUP(CONCATENATE(E908,G908),'LAC 103'!$A$12:$O$95,11,FALSE),0)</f>
        <v>3.2074101033884355</v>
      </c>
      <c r="S908" s="1144">
        <f>IFERROR(VLOOKUP(CONCATENATE($E908,$G908),'LAC 103'!$A$12:$O$95,12,FALSE),0)</f>
        <v>3.99</v>
      </c>
      <c r="T908" s="1144">
        <f>IFERROR(VLOOKUP(CONCATENATE($E908,$G908),'LAC 103'!$A$12:$O$95,13,FALSE),0)</f>
        <v>2.48</v>
      </c>
      <c r="U908" s="1144">
        <f>IFERROR(VLOOKUP(CONCATENATE($E908,$G908),'LAC 103'!$A$12:$O$95,14,FALSE),0)</f>
        <v>0</v>
      </c>
      <c r="V908" s="1144">
        <f>IFERROR(VLOOKUP(CONCATENATE($E908,$G908),'LAC 103'!$A$12:$O$95,15,FALSE),0)</f>
        <v>0</v>
      </c>
      <c r="W908" s="1145" t="str">
        <f>IFERROR(VLOOKUP(CONCATENATE($B908,$N908),'LAC 103'!$AI:$AQ,9,FALSE),"")</f>
        <v>Costs</v>
      </c>
      <c r="X908" s="1146">
        <f t="shared" si="258"/>
        <v>3.2074101033884355</v>
      </c>
      <c r="Y908" s="1143">
        <f t="shared" si="269"/>
        <v>3903.4180958237262</v>
      </c>
      <c r="Z908" s="1147">
        <f t="shared" si="259"/>
        <v>4855.83</v>
      </c>
      <c r="AA908" s="1144">
        <f t="shared" si="260"/>
        <v>3018.16</v>
      </c>
      <c r="AB908" s="1144">
        <f t="shared" si="261"/>
        <v>0</v>
      </c>
      <c r="AC908" s="1144">
        <f t="shared" si="262"/>
        <v>0</v>
      </c>
      <c r="AD908" s="1148">
        <f t="shared" si="254"/>
        <v>3903.4180958237262</v>
      </c>
      <c r="AE908" s="1487">
        <v>0</v>
      </c>
      <c r="AF908" s="1145">
        <f t="shared" si="263"/>
        <v>3903.4180958237262</v>
      </c>
      <c r="AG908" s="1149">
        <f>IFERROR(VLOOKUP(CONCATENATE($L908,$N908),'Drop List'!$G$23:$K$87,2,FALSE),0)</f>
        <v>0.56200000000000006</v>
      </c>
      <c r="AH908" s="1150">
        <f>IFERROR(VLOOKUP(CONCATENATE($L908,$N908),'Drop List'!$G$23:$K$87,3,FALSE),0)</f>
        <v>0</v>
      </c>
      <c r="AI908" s="1150">
        <f>IFERROR(VLOOKUP(CONCATENATE($L908,$N908),'Drop List'!$G$23:$K$87,4,FALSE),0)</f>
        <v>0</v>
      </c>
      <c r="AJ908" s="1151">
        <f>IFERROR(VLOOKUP(CONCATENATE($L908,$N908),'Drop List'!$G$23:$K$87,5,FALSE),0)</f>
        <v>0.43799999999999994</v>
      </c>
      <c r="AK908" s="1152">
        <f t="shared" si="264"/>
        <v>2193.7209698529341</v>
      </c>
      <c r="AL908" s="1153">
        <f t="shared" si="265"/>
        <v>0</v>
      </c>
      <c r="AM908" s="1153">
        <f t="shared" si="266"/>
        <v>0</v>
      </c>
      <c r="AN908" s="1145">
        <f t="shared" si="267"/>
        <v>1709.6971259707918</v>
      </c>
      <c r="AO908" s="1154">
        <f t="shared" si="268"/>
        <v>3903.4180958237257</v>
      </c>
      <c r="AP908" s="1147">
        <f t="shared" si="255"/>
        <v>0</v>
      </c>
      <c r="AQ908" s="1144">
        <f t="shared" si="256"/>
        <v>0</v>
      </c>
      <c r="AR908" s="1146">
        <f t="shared" si="257"/>
        <v>3903.4180958237257</v>
      </c>
    </row>
    <row r="909" spans="1:44" x14ac:dyDescent="0.2">
      <c r="A909" s="1141" t="str">
        <f t="shared" si="252"/>
        <v>1542</v>
      </c>
      <c r="B909" s="1141" t="str">
        <f>IFERROR(VLOOKUP(A909,'LAC 103'!A:C,3,FALSE),"")</f>
        <v>OP</v>
      </c>
      <c r="C909" s="1478" t="str">
        <f>Info!$B$8</f>
        <v>00100</v>
      </c>
      <c r="D909" s="1474" t="s">
        <v>256</v>
      </c>
      <c r="E909" s="1474" t="s">
        <v>95</v>
      </c>
      <c r="F909" s="1478" t="s">
        <v>392</v>
      </c>
      <c r="G909" s="1478" t="s">
        <v>392</v>
      </c>
      <c r="H909" s="1474" t="s">
        <v>983</v>
      </c>
      <c r="I909" s="1478" t="s">
        <v>823</v>
      </c>
      <c r="J909" s="1478" t="s">
        <v>1999</v>
      </c>
      <c r="K909" s="1475" t="s">
        <v>851</v>
      </c>
      <c r="L909" s="1474" t="s">
        <v>584</v>
      </c>
      <c r="M909" s="1476" t="s">
        <v>841</v>
      </c>
      <c r="N909" s="1477" t="s">
        <v>1695</v>
      </c>
      <c r="O909" s="1479">
        <v>256</v>
      </c>
      <c r="P909" s="1479"/>
      <c r="Q909" s="1142">
        <f t="shared" si="253"/>
        <v>256</v>
      </c>
      <c r="R909" s="1143">
        <f>IFERROR(VLOOKUP(CONCATENATE(E909,G909),'LAC 103'!$A$12:$O$95,11,FALSE),0)</f>
        <v>3.2074101033884355</v>
      </c>
      <c r="S909" s="1144">
        <f>IFERROR(VLOOKUP(CONCATENATE($E909,$G909),'LAC 103'!$A$12:$O$95,12,FALSE),0)</f>
        <v>3.99</v>
      </c>
      <c r="T909" s="1144">
        <f>IFERROR(VLOOKUP(CONCATENATE($E909,$G909),'LAC 103'!$A$12:$O$95,13,FALSE),0)</f>
        <v>2.48</v>
      </c>
      <c r="U909" s="1144">
        <f>IFERROR(VLOOKUP(CONCATENATE($E909,$G909),'LAC 103'!$A$12:$O$95,14,FALSE),0)</f>
        <v>0</v>
      </c>
      <c r="V909" s="1144">
        <f>IFERROR(VLOOKUP(CONCATENATE($E909,$G909),'LAC 103'!$A$12:$O$95,15,FALSE),0)</f>
        <v>0</v>
      </c>
      <c r="W909" s="1145" t="str">
        <f>IFERROR(VLOOKUP(CONCATENATE($B909,$N909),'LAC 103'!$AI:$AQ,9,FALSE),"")</f>
        <v>Costs</v>
      </c>
      <c r="X909" s="1146">
        <f t="shared" si="258"/>
        <v>3.2074101033884355</v>
      </c>
      <c r="Y909" s="1143">
        <f t="shared" si="269"/>
        <v>821.09698646743948</v>
      </c>
      <c r="Z909" s="1147">
        <f t="shared" si="259"/>
        <v>1021.44</v>
      </c>
      <c r="AA909" s="1144">
        <f t="shared" si="260"/>
        <v>634.88</v>
      </c>
      <c r="AB909" s="1144">
        <f t="shared" si="261"/>
        <v>0</v>
      </c>
      <c r="AC909" s="1144">
        <f t="shared" si="262"/>
        <v>0</v>
      </c>
      <c r="AD909" s="1148">
        <f t="shared" si="254"/>
        <v>821.09698646743948</v>
      </c>
      <c r="AE909" s="1487">
        <v>0</v>
      </c>
      <c r="AF909" s="1145">
        <f t="shared" si="263"/>
        <v>821.09698646743948</v>
      </c>
      <c r="AG909" s="1149">
        <f>IFERROR(VLOOKUP(CONCATENATE($L909,$N909),'Drop List'!$G$23:$K$87,2,FALSE),0)</f>
        <v>0.55000000000000004</v>
      </c>
      <c r="AH909" s="1150">
        <f>IFERROR(VLOOKUP(CONCATENATE($L909,$N909),'Drop List'!$G$23:$K$87,3,FALSE),0)</f>
        <v>0</v>
      </c>
      <c r="AI909" s="1150">
        <f>IFERROR(VLOOKUP(CONCATENATE($L909,$N909),'Drop List'!$G$23:$K$87,4,FALSE),0)</f>
        <v>0</v>
      </c>
      <c r="AJ909" s="1151">
        <f>IFERROR(VLOOKUP(CONCATENATE($L909,$N909),'Drop List'!$G$23:$K$87,5,FALSE),0)</f>
        <v>0.44999999999999996</v>
      </c>
      <c r="AK909" s="1152">
        <f t="shared" si="264"/>
        <v>451.60334255709176</v>
      </c>
      <c r="AL909" s="1153">
        <f t="shared" si="265"/>
        <v>0</v>
      </c>
      <c r="AM909" s="1153">
        <f t="shared" si="266"/>
        <v>0</v>
      </c>
      <c r="AN909" s="1145">
        <f t="shared" si="267"/>
        <v>369.49364391034771</v>
      </c>
      <c r="AO909" s="1154">
        <f t="shared" si="268"/>
        <v>821.09698646743948</v>
      </c>
      <c r="AP909" s="1147">
        <f t="shared" si="255"/>
        <v>0</v>
      </c>
      <c r="AQ909" s="1144">
        <f t="shared" si="256"/>
        <v>0</v>
      </c>
      <c r="AR909" s="1146">
        <f t="shared" si="257"/>
        <v>821.09698646743948</v>
      </c>
    </row>
    <row r="910" spans="1:44" x14ac:dyDescent="0.2">
      <c r="A910" s="1141" t="str">
        <f t="shared" si="252"/>
        <v>1542</v>
      </c>
      <c r="B910" s="1141" t="str">
        <f>IFERROR(VLOOKUP(A910,'LAC 103'!A:C,3,FALSE),"")</f>
        <v>OP</v>
      </c>
      <c r="C910" s="1478" t="str">
        <f>Info!$B$8</f>
        <v>00100</v>
      </c>
      <c r="D910" s="1474" t="s">
        <v>256</v>
      </c>
      <c r="E910" s="1474" t="s">
        <v>95</v>
      </c>
      <c r="F910" s="1478" t="s">
        <v>392</v>
      </c>
      <c r="G910" s="1478" t="s">
        <v>392</v>
      </c>
      <c r="H910" s="1474" t="s">
        <v>983</v>
      </c>
      <c r="I910" s="1478" t="s">
        <v>823</v>
      </c>
      <c r="J910" s="1478" t="s">
        <v>1999</v>
      </c>
      <c r="K910" s="1475" t="s">
        <v>851</v>
      </c>
      <c r="L910" s="1474" t="s">
        <v>584</v>
      </c>
      <c r="M910" s="1476" t="s">
        <v>840</v>
      </c>
      <c r="N910" s="1477" t="s">
        <v>1700</v>
      </c>
      <c r="O910" s="1479">
        <v>523</v>
      </c>
      <c r="P910" s="1479"/>
      <c r="Q910" s="1142">
        <f t="shared" si="253"/>
        <v>523</v>
      </c>
      <c r="R910" s="1143">
        <f>IFERROR(VLOOKUP(CONCATENATE(E910,G910),'LAC 103'!$A$12:$O$95,11,FALSE),0)</f>
        <v>3.2074101033884355</v>
      </c>
      <c r="S910" s="1144">
        <f>IFERROR(VLOOKUP(CONCATENATE($E910,$G910),'LAC 103'!$A$12:$O$95,12,FALSE),0)</f>
        <v>3.99</v>
      </c>
      <c r="T910" s="1144">
        <f>IFERROR(VLOOKUP(CONCATENATE($E910,$G910),'LAC 103'!$A$12:$O$95,13,FALSE),0)</f>
        <v>2.48</v>
      </c>
      <c r="U910" s="1144">
        <f>IFERROR(VLOOKUP(CONCATENATE($E910,$G910),'LAC 103'!$A$12:$O$95,14,FALSE),0)</f>
        <v>0</v>
      </c>
      <c r="V910" s="1144">
        <f>IFERROR(VLOOKUP(CONCATENATE($E910,$G910),'LAC 103'!$A$12:$O$95,15,FALSE),0)</f>
        <v>0</v>
      </c>
      <c r="W910" s="1145" t="str">
        <f>IFERROR(VLOOKUP(CONCATENATE($B910,$N910),'LAC 103'!$AI:$AQ,9,FALSE),"")</f>
        <v>P.C.</v>
      </c>
      <c r="X910" s="1146">
        <f t="shared" si="258"/>
        <v>2.48</v>
      </c>
      <c r="Y910" s="1143">
        <f t="shared" si="269"/>
        <v>1677.4754840721519</v>
      </c>
      <c r="Z910" s="1147">
        <f t="shared" si="259"/>
        <v>2086.77</v>
      </c>
      <c r="AA910" s="1144">
        <f t="shared" si="260"/>
        <v>1297.04</v>
      </c>
      <c r="AB910" s="1144">
        <f t="shared" si="261"/>
        <v>0</v>
      </c>
      <c r="AC910" s="1144">
        <f t="shared" si="262"/>
        <v>0</v>
      </c>
      <c r="AD910" s="1148">
        <f t="shared" si="254"/>
        <v>1297.04</v>
      </c>
      <c r="AE910" s="1487">
        <v>0</v>
      </c>
      <c r="AF910" s="1145">
        <f t="shared" si="263"/>
        <v>1297.04</v>
      </c>
      <c r="AG910" s="1149">
        <f>IFERROR(VLOOKUP(CONCATENATE($L910,$N910),'Drop List'!$G$23:$K$87,2,FALSE),0)</f>
        <v>0.55000000000000004</v>
      </c>
      <c r="AH910" s="1150">
        <f>IFERROR(VLOOKUP(CONCATENATE($L910,$N910),'Drop List'!$G$23:$K$87,3,FALSE),0)</f>
        <v>0</v>
      </c>
      <c r="AI910" s="1150">
        <f>IFERROR(VLOOKUP(CONCATENATE($L910,$N910),'Drop List'!$G$23:$K$87,4,FALSE),0)</f>
        <v>0</v>
      </c>
      <c r="AJ910" s="1151">
        <f>IFERROR(VLOOKUP(CONCATENATE($L910,$N910),'Drop List'!$G$23:$K$87,5,FALSE),0)</f>
        <v>0.44999999999999996</v>
      </c>
      <c r="AK910" s="1152">
        <f t="shared" si="264"/>
        <v>713.37200000000007</v>
      </c>
      <c r="AL910" s="1153">
        <f t="shared" si="265"/>
        <v>0</v>
      </c>
      <c r="AM910" s="1153">
        <f t="shared" si="266"/>
        <v>0</v>
      </c>
      <c r="AN910" s="1145">
        <f t="shared" si="267"/>
        <v>583.66799999999989</v>
      </c>
      <c r="AO910" s="1154">
        <f t="shared" si="268"/>
        <v>1297.04</v>
      </c>
      <c r="AP910" s="1147">
        <f t="shared" si="255"/>
        <v>0</v>
      </c>
      <c r="AQ910" s="1144">
        <f t="shared" si="256"/>
        <v>0</v>
      </c>
      <c r="AR910" s="1146">
        <f t="shared" si="257"/>
        <v>1297.04</v>
      </c>
    </row>
    <row r="911" spans="1:44" x14ac:dyDescent="0.2">
      <c r="A911" s="1141" t="str">
        <f t="shared" si="252"/>
        <v>1542</v>
      </c>
      <c r="B911" s="1141" t="str">
        <f>IFERROR(VLOOKUP(A911,'LAC 103'!A:C,3,FALSE),"")</f>
        <v>OP</v>
      </c>
      <c r="C911" s="1478" t="str">
        <f>Info!$B$8</f>
        <v>00100</v>
      </c>
      <c r="D911" s="1474" t="s">
        <v>256</v>
      </c>
      <c r="E911" s="1474" t="s">
        <v>95</v>
      </c>
      <c r="F911" s="1478" t="s">
        <v>392</v>
      </c>
      <c r="G911" s="1478" t="s">
        <v>392</v>
      </c>
      <c r="H911" s="1474" t="s">
        <v>983</v>
      </c>
      <c r="I911" s="1478" t="s">
        <v>823</v>
      </c>
      <c r="J911" s="1478" t="s">
        <v>1999</v>
      </c>
      <c r="K911" s="1475" t="s">
        <v>851</v>
      </c>
      <c r="L911" s="1474" t="s">
        <v>584</v>
      </c>
      <c r="M911" s="1476" t="s">
        <v>842</v>
      </c>
      <c r="N911" s="1477" t="s">
        <v>1692</v>
      </c>
      <c r="O911" s="1479">
        <v>772</v>
      </c>
      <c r="P911" s="1479"/>
      <c r="Q911" s="1142">
        <f t="shared" si="253"/>
        <v>772</v>
      </c>
      <c r="R911" s="1143">
        <f>IFERROR(VLOOKUP(CONCATENATE(E911,G911),'LAC 103'!$A$12:$O$95,11,FALSE),0)</f>
        <v>3.2074101033884355</v>
      </c>
      <c r="S911" s="1144">
        <f>IFERROR(VLOOKUP(CONCATENATE($E911,$G911),'LAC 103'!$A$12:$O$95,12,FALSE),0)</f>
        <v>3.99</v>
      </c>
      <c r="T911" s="1144">
        <f>IFERROR(VLOOKUP(CONCATENATE($E911,$G911),'LAC 103'!$A$12:$O$95,13,FALSE),0)</f>
        <v>2.48</v>
      </c>
      <c r="U911" s="1144">
        <f>IFERROR(VLOOKUP(CONCATENATE($E911,$G911),'LAC 103'!$A$12:$O$95,14,FALSE),0)</f>
        <v>0</v>
      </c>
      <c r="V911" s="1144">
        <f>IFERROR(VLOOKUP(CONCATENATE($E911,$G911),'LAC 103'!$A$12:$O$95,15,FALSE),0)</f>
        <v>0</v>
      </c>
      <c r="W911" s="1145" t="str">
        <f>IFERROR(VLOOKUP(CONCATENATE($B911,$N911),'LAC 103'!$AI:$AQ,9,FALSE),"")</f>
        <v>Costs</v>
      </c>
      <c r="X911" s="1146">
        <f t="shared" si="258"/>
        <v>3.2074101033884355</v>
      </c>
      <c r="Y911" s="1143">
        <f t="shared" si="269"/>
        <v>2476.1205998158721</v>
      </c>
      <c r="Z911" s="1147">
        <f t="shared" si="259"/>
        <v>3080.28</v>
      </c>
      <c r="AA911" s="1144">
        <f t="shared" si="260"/>
        <v>1914.56</v>
      </c>
      <c r="AB911" s="1144">
        <f t="shared" si="261"/>
        <v>0</v>
      </c>
      <c r="AC911" s="1144">
        <f t="shared" si="262"/>
        <v>0</v>
      </c>
      <c r="AD911" s="1148">
        <f t="shared" si="254"/>
        <v>2476.1205998158721</v>
      </c>
      <c r="AE911" s="1487">
        <v>0</v>
      </c>
      <c r="AF911" s="1145">
        <f t="shared" si="263"/>
        <v>2476.1205998158721</v>
      </c>
      <c r="AG911" s="1149">
        <f>IFERROR(VLOOKUP(CONCATENATE($L911,$N911),'Drop List'!$G$23:$K$87,2,FALSE),0)</f>
        <v>0.56200000000000006</v>
      </c>
      <c r="AH911" s="1150">
        <f>IFERROR(VLOOKUP(CONCATENATE($L911,$N911),'Drop List'!$G$23:$K$87,3,FALSE),0)</f>
        <v>0</v>
      </c>
      <c r="AI911" s="1150">
        <f>IFERROR(VLOOKUP(CONCATENATE($L911,$N911),'Drop List'!$G$23:$K$87,4,FALSE),0)</f>
        <v>0</v>
      </c>
      <c r="AJ911" s="1151">
        <f>IFERROR(VLOOKUP(CONCATENATE($L911,$N911),'Drop List'!$G$23:$K$87,5,FALSE),0)</f>
        <v>0.43799999999999994</v>
      </c>
      <c r="AK911" s="1152">
        <f t="shared" si="264"/>
        <v>1391.5797770965203</v>
      </c>
      <c r="AL911" s="1153">
        <f t="shared" si="265"/>
        <v>0</v>
      </c>
      <c r="AM911" s="1153">
        <f t="shared" si="266"/>
        <v>0</v>
      </c>
      <c r="AN911" s="1145">
        <f t="shared" si="267"/>
        <v>1084.5408227193518</v>
      </c>
      <c r="AO911" s="1154">
        <f t="shared" si="268"/>
        <v>2476.1205998158721</v>
      </c>
      <c r="AP911" s="1147">
        <f t="shared" si="255"/>
        <v>0</v>
      </c>
      <c r="AQ911" s="1144">
        <f t="shared" si="256"/>
        <v>0</v>
      </c>
      <c r="AR911" s="1146">
        <f t="shared" si="257"/>
        <v>2476.1205998158721</v>
      </c>
    </row>
    <row r="912" spans="1:44" x14ac:dyDescent="0.2">
      <c r="A912" s="1141" t="str">
        <f t="shared" si="252"/>
        <v>1542</v>
      </c>
      <c r="B912" s="1141" t="str">
        <f>IFERROR(VLOOKUP(A912,'LAC 103'!A:C,3,FALSE),"")</f>
        <v>OP</v>
      </c>
      <c r="C912" s="1478" t="str">
        <f>Info!$B$8</f>
        <v>00100</v>
      </c>
      <c r="D912" s="1474" t="s">
        <v>256</v>
      </c>
      <c r="E912" s="1474" t="s">
        <v>95</v>
      </c>
      <c r="F912" s="1478" t="s">
        <v>392</v>
      </c>
      <c r="G912" s="1478" t="s">
        <v>392</v>
      </c>
      <c r="H912" s="1474" t="s">
        <v>983</v>
      </c>
      <c r="I912" s="1478" t="s">
        <v>823</v>
      </c>
      <c r="J912" s="1478" t="s">
        <v>1999</v>
      </c>
      <c r="K912" s="1475" t="s">
        <v>851</v>
      </c>
      <c r="L912" s="1474" t="s">
        <v>584</v>
      </c>
      <c r="M912" s="1476" t="s">
        <v>1698</v>
      </c>
      <c r="N912" s="1477" t="s">
        <v>1693</v>
      </c>
      <c r="O912" s="1479">
        <v>1540</v>
      </c>
      <c r="P912" s="1479"/>
      <c r="Q912" s="1142">
        <f t="shared" si="253"/>
        <v>1540</v>
      </c>
      <c r="R912" s="1143">
        <f>IFERROR(VLOOKUP(CONCATENATE(E912,G912),'LAC 103'!$A$12:$O$95,11,FALSE),0)</f>
        <v>3.2074101033884355</v>
      </c>
      <c r="S912" s="1144">
        <f>IFERROR(VLOOKUP(CONCATENATE($E912,$G912),'LAC 103'!$A$12:$O$95,12,FALSE),0)</f>
        <v>3.99</v>
      </c>
      <c r="T912" s="1144">
        <f>IFERROR(VLOOKUP(CONCATENATE($E912,$G912),'LAC 103'!$A$12:$O$95,13,FALSE),0)</f>
        <v>2.48</v>
      </c>
      <c r="U912" s="1144">
        <f>IFERROR(VLOOKUP(CONCATENATE($E912,$G912),'LAC 103'!$A$12:$O$95,14,FALSE),0)</f>
        <v>0</v>
      </c>
      <c r="V912" s="1144">
        <f>IFERROR(VLOOKUP(CONCATENATE($E912,$G912),'LAC 103'!$A$12:$O$95,15,FALSE),0)</f>
        <v>0</v>
      </c>
      <c r="W912" s="1145" t="str">
        <f>IFERROR(VLOOKUP(CONCATENATE($B912,$N912),'LAC 103'!$AI:$AQ,9,FALSE),"")</f>
        <v>Costs</v>
      </c>
      <c r="X912" s="1146">
        <f t="shared" si="258"/>
        <v>3.2074101033884355</v>
      </c>
      <c r="Y912" s="1143">
        <f t="shared" si="269"/>
        <v>4939.4115592181906</v>
      </c>
      <c r="Z912" s="1147">
        <f t="shared" si="259"/>
        <v>6144.6</v>
      </c>
      <c r="AA912" s="1144">
        <f t="shared" si="260"/>
        <v>3819.2</v>
      </c>
      <c r="AB912" s="1144">
        <f t="shared" si="261"/>
        <v>0</v>
      </c>
      <c r="AC912" s="1144">
        <f t="shared" si="262"/>
        <v>0</v>
      </c>
      <c r="AD912" s="1148">
        <f t="shared" si="254"/>
        <v>4939.4115592181906</v>
      </c>
      <c r="AE912" s="1487">
        <v>0</v>
      </c>
      <c r="AF912" s="1145">
        <f t="shared" si="263"/>
        <v>4939.4115592181906</v>
      </c>
      <c r="AG912" s="1149">
        <f>IFERROR(VLOOKUP(CONCATENATE($L912,$N912),'Drop List'!$G$23:$K$87,2,FALSE),0)</f>
        <v>0.56200000000000006</v>
      </c>
      <c r="AH912" s="1150">
        <f>IFERROR(VLOOKUP(CONCATENATE($L912,$N912),'Drop List'!$G$23:$K$87,3,FALSE),0)</f>
        <v>0</v>
      </c>
      <c r="AI912" s="1150">
        <f>IFERROR(VLOOKUP(CONCATENATE($L912,$N912),'Drop List'!$G$23:$K$87,4,FALSE),0)</f>
        <v>0</v>
      </c>
      <c r="AJ912" s="1151">
        <f>IFERROR(VLOOKUP(CONCATENATE($L912,$N912),'Drop List'!$G$23:$K$87,5,FALSE),0)</f>
        <v>0.43799999999999994</v>
      </c>
      <c r="AK912" s="1152">
        <f t="shared" si="264"/>
        <v>2775.9492962806235</v>
      </c>
      <c r="AL912" s="1153">
        <f t="shared" si="265"/>
        <v>0</v>
      </c>
      <c r="AM912" s="1153">
        <f t="shared" si="266"/>
        <v>0</v>
      </c>
      <c r="AN912" s="1145">
        <f t="shared" si="267"/>
        <v>2163.4622629375672</v>
      </c>
      <c r="AO912" s="1154">
        <f t="shared" si="268"/>
        <v>4939.4115592181906</v>
      </c>
      <c r="AP912" s="1147">
        <f t="shared" si="255"/>
        <v>0</v>
      </c>
      <c r="AQ912" s="1144">
        <f t="shared" si="256"/>
        <v>0</v>
      </c>
      <c r="AR912" s="1146">
        <f t="shared" si="257"/>
        <v>4939.4115592181906</v>
      </c>
    </row>
    <row r="913" spans="1:44" x14ac:dyDescent="0.2">
      <c r="A913" s="1141" t="str">
        <f t="shared" si="252"/>
        <v>1542</v>
      </c>
      <c r="B913" s="1141" t="str">
        <f>IFERROR(VLOOKUP(A913,'LAC 103'!A:C,3,FALSE),"")</f>
        <v>OP</v>
      </c>
      <c r="C913" s="1478" t="str">
        <f>Info!$B$8</f>
        <v>00100</v>
      </c>
      <c r="D913" s="1474" t="s">
        <v>256</v>
      </c>
      <c r="E913" s="1474" t="s">
        <v>95</v>
      </c>
      <c r="F913" s="1478" t="s">
        <v>392</v>
      </c>
      <c r="G913" s="1478" t="s">
        <v>392</v>
      </c>
      <c r="H913" s="1474" t="s">
        <v>983</v>
      </c>
      <c r="I913" s="1478" t="s">
        <v>823</v>
      </c>
      <c r="J913" s="1478" t="s">
        <v>2000</v>
      </c>
      <c r="K913" s="1475" t="s">
        <v>1654</v>
      </c>
      <c r="L913" s="1474" t="s">
        <v>332</v>
      </c>
      <c r="M913" s="1476" t="s">
        <v>841</v>
      </c>
      <c r="N913" s="1477" t="s">
        <v>1695</v>
      </c>
      <c r="O913" s="1479">
        <v>79</v>
      </c>
      <c r="P913" s="1479"/>
      <c r="Q913" s="1142">
        <f t="shared" si="253"/>
        <v>79</v>
      </c>
      <c r="R913" s="1143">
        <f>IFERROR(VLOOKUP(CONCATENATE(E913,G913),'LAC 103'!$A$12:$O$95,11,FALSE),0)</f>
        <v>3.2074101033884355</v>
      </c>
      <c r="S913" s="1144">
        <f>IFERROR(VLOOKUP(CONCATENATE($E913,$G913),'LAC 103'!$A$12:$O$95,12,FALSE),0)</f>
        <v>3.99</v>
      </c>
      <c r="T913" s="1144">
        <f>IFERROR(VLOOKUP(CONCATENATE($E913,$G913),'LAC 103'!$A$12:$O$95,13,FALSE),0)</f>
        <v>2.48</v>
      </c>
      <c r="U913" s="1144">
        <f>IFERROR(VLOOKUP(CONCATENATE($E913,$G913),'LAC 103'!$A$12:$O$95,14,FALSE),0)</f>
        <v>0</v>
      </c>
      <c r="V913" s="1144">
        <f>IFERROR(VLOOKUP(CONCATENATE($E913,$G913),'LAC 103'!$A$12:$O$95,15,FALSE),0)</f>
        <v>0</v>
      </c>
      <c r="W913" s="1145" t="str">
        <f>IFERROR(VLOOKUP(CONCATENATE($B913,$N913),'LAC 103'!$AI:$AQ,9,FALSE),"")</f>
        <v>Costs</v>
      </c>
      <c r="X913" s="1146">
        <f t="shared" si="258"/>
        <v>3.2074101033884355</v>
      </c>
      <c r="Y913" s="1143">
        <f t="shared" si="269"/>
        <v>253.38539816768639</v>
      </c>
      <c r="Z913" s="1147">
        <f t="shared" si="259"/>
        <v>315.21000000000004</v>
      </c>
      <c r="AA913" s="1144">
        <f t="shared" si="260"/>
        <v>195.92</v>
      </c>
      <c r="AB913" s="1144">
        <f t="shared" si="261"/>
        <v>0</v>
      </c>
      <c r="AC913" s="1144">
        <f t="shared" si="262"/>
        <v>0</v>
      </c>
      <c r="AD913" s="1148">
        <f t="shared" si="254"/>
        <v>253.38539816768639</v>
      </c>
      <c r="AE913" s="1487">
        <v>0</v>
      </c>
      <c r="AF913" s="1145">
        <f t="shared" si="263"/>
        <v>253.38539816768639</v>
      </c>
      <c r="AG913" s="1149">
        <f>IFERROR(VLOOKUP(CONCATENATE($L913,$N913),'Drop List'!$G$23:$K$87,2,FALSE),0)</f>
        <v>0</v>
      </c>
      <c r="AH913" s="1150">
        <f>IFERROR(VLOOKUP(CONCATENATE($L913,$N913),'Drop List'!$G$23:$K$87,3,FALSE),0)</f>
        <v>0</v>
      </c>
      <c r="AI913" s="1150">
        <f>IFERROR(VLOOKUP(CONCATENATE($L913,$N913),'Drop List'!$G$23:$K$87,4,FALSE),0)</f>
        <v>0</v>
      </c>
      <c r="AJ913" s="1151">
        <f>IFERROR(VLOOKUP(CONCATENATE($L913,$N913),'Drop List'!$G$23:$K$87,5,FALSE),0)</f>
        <v>0</v>
      </c>
      <c r="AK913" s="1152">
        <f t="shared" si="264"/>
        <v>0</v>
      </c>
      <c r="AL913" s="1153">
        <f t="shared" si="265"/>
        <v>0</v>
      </c>
      <c r="AM913" s="1153">
        <f t="shared" si="266"/>
        <v>0</v>
      </c>
      <c r="AN913" s="1145">
        <f t="shared" si="267"/>
        <v>0</v>
      </c>
      <c r="AO913" s="1154">
        <f t="shared" si="268"/>
        <v>0</v>
      </c>
      <c r="AP913" s="1147">
        <f t="shared" si="255"/>
        <v>253.38539816768639</v>
      </c>
      <c r="AQ913" s="1144">
        <f t="shared" si="256"/>
        <v>0</v>
      </c>
      <c r="AR913" s="1146">
        <f t="shared" si="257"/>
        <v>253.38539816768639</v>
      </c>
    </row>
    <row r="914" spans="1:44" x14ac:dyDescent="0.2">
      <c r="A914" s="1141" t="str">
        <f t="shared" si="252"/>
        <v>1542</v>
      </c>
      <c r="B914" s="1141" t="str">
        <f>IFERROR(VLOOKUP(A914,'LAC 103'!A:C,3,FALSE),"")</f>
        <v>OP</v>
      </c>
      <c r="C914" s="1478" t="str">
        <f>Info!$B$8</f>
        <v>00100</v>
      </c>
      <c r="D914" s="1474" t="s">
        <v>256</v>
      </c>
      <c r="E914" s="1474" t="s">
        <v>95</v>
      </c>
      <c r="F914" s="1478" t="s">
        <v>392</v>
      </c>
      <c r="G914" s="1478" t="s">
        <v>392</v>
      </c>
      <c r="H914" s="1474" t="s">
        <v>983</v>
      </c>
      <c r="I914" s="1478" t="s">
        <v>823</v>
      </c>
      <c r="J914" s="1478" t="s">
        <v>2000</v>
      </c>
      <c r="K914" s="1475" t="s">
        <v>1654</v>
      </c>
      <c r="L914" s="1474" t="s">
        <v>332</v>
      </c>
      <c r="M914" s="1476" t="s">
        <v>840</v>
      </c>
      <c r="N914" s="1477" t="s">
        <v>1700</v>
      </c>
      <c r="O914" s="1479">
        <v>88</v>
      </c>
      <c r="P914" s="1479"/>
      <c r="Q914" s="1142">
        <f t="shared" si="253"/>
        <v>88</v>
      </c>
      <c r="R914" s="1143">
        <f>IFERROR(VLOOKUP(CONCATENATE(E914,G914),'LAC 103'!$A$12:$O$95,11,FALSE),0)</f>
        <v>3.2074101033884355</v>
      </c>
      <c r="S914" s="1144">
        <f>IFERROR(VLOOKUP(CONCATENATE($E914,$G914),'LAC 103'!$A$12:$O$95,12,FALSE),0)</f>
        <v>3.99</v>
      </c>
      <c r="T914" s="1144">
        <f>IFERROR(VLOOKUP(CONCATENATE($E914,$G914),'LAC 103'!$A$12:$O$95,13,FALSE),0)</f>
        <v>2.48</v>
      </c>
      <c r="U914" s="1144">
        <f>IFERROR(VLOOKUP(CONCATENATE($E914,$G914),'LAC 103'!$A$12:$O$95,14,FALSE),0)</f>
        <v>0</v>
      </c>
      <c r="V914" s="1144">
        <f>IFERROR(VLOOKUP(CONCATENATE($E914,$G914),'LAC 103'!$A$12:$O$95,15,FALSE),0)</f>
        <v>0</v>
      </c>
      <c r="W914" s="1145" t="str">
        <f>IFERROR(VLOOKUP(CONCATENATE($B914,$N914),'LAC 103'!$AI:$AQ,9,FALSE),"")</f>
        <v>P.C.</v>
      </c>
      <c r="X914" s="1146">
        <f t="shared" si="258"/>
        <v>2.48</v>
      </c>
      <c r="Y914" s="1143">
        <f t="shared" si="269"/>
        <v>282.2520890981823</v>
      </c>
      <c r="Z914" s="1147">
        <f t="shared" si="259"/>
        <v>351.12</v>
      </c>
      <c r="AA914" s="1144">
        <f t="shared" si="260"/>
        <v>218.24</v>
      </c>
      <c r="AB914" s="1144">
        <f t="shared" si="261"/>
        <v>0</v>
      </c>
      <c r="AC914" s="1144">
        <f t="shared" si="262"/>
        <v>0</v>
      </c>
      <c r="AD914" s="1148">
        <f t="shared" si="254"/>
        <v>218.24</v>
      </c>
      <c r="AE914" s="1487">
        <v>0</v>
      </c>
      <c r="AF914" s="1145">
        <f t="shared" si="263"/>
        <v>218.24</v>
      </c>
      <c r="AG914" s="1149">
        <f>IFERROR(VLOOKUP(CONCATENATE($L914,$N914),'Drop List'!$G$23:$K$87,2,FALSE),0)</f>
        <v>0</v>
      </c>
      <c r="AH914" s="1150">
        <f>IFERROR(VLOOKUP(CONCATENATE($L914,$N914),'Drop List'!$G$23:$K$87,3,FALSE),0)</f>
        <v>0</v>
      </c>
      <c r="AI914" s="1150">
        <f>IFERROR(VLOOKUP(CONCATENATE($L914,$N914),'Drop List'!$G$23:$K$87,4,FALSE),0)</f>
        <v>0</v>
      </c>
      <c r="AJ914" s="1151">
        <f>IFERROR(VLOOKUP(CONCATENATE($L914,$N914),'Drop List'!$G$23:$K$87,5,FALSE),0)</f>
        <v>0</v>
      </c>
      <c r="AK914" s="1152">
        <f t="shared" si="264"/>
        <v>0</v>
      </c>
      <c r="AL914" s="1153">
        <f t="shared" si="265"/>
        <v>0</v>
      </c>
      <c r="AM914" s="1153">
        <f t="shared" si="266"/>
        <v>0</v>
      </c>
      <c r="AN914" s="1145">
        <f t="shared" si="267"/>
        <v>0</v>
      </c>
      <c r="AO914" s="1154">
        <f t="shared" si="268"/>
        <v>0</v>
      </c>
      <c r="AP914" s="1147">
        <f t="shared" si="255"/>
        <v>218.24</v>
      </c>
      <c r="AQ914" s="1144">
        <f t="shared" si="256"/>
        <v>0</v>
      </c>
      <c r="AR914" s="1146">
        <f t="shared" si="257"/>
        <v>218.24</v>
      </c>
    </row>
    <row r="915" spans="1:44" x14ac:dyDescent="0.2">
      <c r="A915" s="1141" t="str">
        <f t="shared" si="252"/>
        <v>1542</v>
      </c>
      <c r="B915" s="1141" t="str">
        <f>IFERROR(VLOOKUP(A915,'LAC 103'!A:C,3,FALSE),"")</f>
        <v>OP</v>
      </c>
      <c r="C915" s="1478" t="str">
        <f>Info!$B$8</f>
        <v>00100</v>
      </c>
      <c r="D915" s="1474" t="s">
        <v>256</v>
      </c>
      <c r="E915" s="1474" t="s">
        <v>95</v>
      </c>
      <c r="F915" s="1478" t="s">
        <v>392</v>
      </c>
      <c r="G915" s="1478" t="s">
        <v>392</v>
      </c>
      <c r="H915" s="1474" t="s">
        <v>983</v>
      </c>
      <c r="I915" s="1478" t="s">
        <v>823</v>
      </c>
      <c r="J915" s="1478" t="s">
        <v>2000</v>
      </c>
      <c r="K915" s="1475" t="s">
        <v>849</v>
      </c>
      <c r="L915" s="1474" t="s">
        <v>77</v>
      </c>
      <c r="M915" s="1476" t="s">
        <v>1699</v>
      </c>
      <c r="N915" s="1477" t="s">
        <v>1694</v>
      </c>
      <c r="O915" s="1479">
        <v>20067</v>
      </c>
      <c r="P915" s="1479"/>
      <c r="Q915" s="1142">
        <f t="shared" si="253"/>
        <v>20067</v>
      </c>
      <c r="R915" s="1143">
        <f>IFERROR(VLOOKUP(CONCATENATE(E915,G915),'LAC 103'!$A$12:$O$95,11,FALSE),0)</f>
        <v>3.2074101033884355</v>
      </c>
      <c r="S915" s="1144">
        <f>IFERROR(VLOOKUP(CONCATENATE($E915,$G915),'LAC 103'!$A$12:$O$95,12,FALSE),0)</f>
        <v>3.99</v>
      </c>
      <c r="T915" s="1144">
        <f>IFERROR(VLOOKUP(CONCATENATE($E915,$G915),'LAC 103'!$A$12:$O$95,13,FALSE),0)</f>
        <v>2.48</v>
      </c>
      <c r="U915" s="1144">
        <f>IFERROR(VLOOKUP(CONCATENATE($E915,$G915),'LAC 103'!$A$12:$O$95,14,FALSE),0)</f>
        <v>0</v>
      </c>
      <c r="V915" s="1144">
        <f>IFERROR(VLOOKUP(CONCATENATE($E915,$G915),'LAC 103'!$A$12:$O$95,15,FALSE),0)</f>
        <v>0</v>
      </c>
      <c r="W915" s="1145" t="str">
        <f>IFERROR(VLOOKUP(CONCATENATE($B915,$N915),'LAC 103'!$AI:$AQ,9,FALSE),"")</f>
        <v>Costs</v>
      </c>
      <c r="X915" s="1146">
        <f t="shared" si="258"/>
        <v>3.2074101033884355</v>
      </c>
      <c r="Y915" s="1143">
        <f t="shared" si="269"/>
        <v>64363.098544695735</v>
      </c>
      <c r="Z915" s="1147">
        <f t="shared" si="259"/>
        <v>80067.33</v>
      </c>
      <c r="AA915" s="1144">
        <f t="shared" si="260"/>
        <v>49766.159999999996</v>
      </c>
      <c r="AB915" s="1144">
        <f t="shared" si="261"/>
        <v>0</v>
      </c>
      <c r="AC915" s="1144">
        <f t="shared" si="262"/>
        <v>0</v>
      </c>
      <c r="AD915" s="1148">
        <f t="shared" si="254"/>
        <v>64363.098544695735</v>
      </c>
      <c r="AE915" s="1487">
        <v>0</v>
      </c>
      <c r="AF915" s="1145">
        <f t="shared" si="263"/>
        <v>64363.098544695735</v>
      </c>
      <c r="AG915" s="1149">
        <f>IFERROR(VLOOKUP(CONCATENATE($L915,$N915),'Drop List'!$G$23:$K$87,2,FALSE),0)</f>
        <v>0.9</v>
      </c>
      <c r="AH915" s="1150">
        <f>IFERROR(VLOOKUP(CONCATENATE($L915,$N915),'Drop List'!$G$23:$K$87,3,FALSE),0)</f>
        <v>0</v>
      </c>
      <c r="AI915" s="1150">
        <f>IFERROR(VLOOKUP(CONCATENATE($L915,$N915),'Drop List'!$G$23:$K$87,4,FALSE),0)</f>
        <v>0.1</v>
      </c>
      <c r="AJ915" s="1151">
        <f>IFERROR(VLOOKUP(CONCATENATE($L915,$N915),'Drop List'!$G$23:$K$87,5,FALSE),0)</f>
        <v>0</v>
      </c>
      <c r="AK915" s="1152">
        <f t="shared" si="264"/>
        <v>57926.78869022616</v>
      </c>
      <c r="AL915" s="1153">
        <f t="shared" si="265"/>
        <v>0</v>
      </c>
      <c r="AM915" s="1153">
        <f t="shared" si="266"/>
        <v>6436.309854469574</v>
      </c>
      <c r="AN915" s="1145">
        <f t="shared" si="267"/>
        <v>0</v>
      </c>
      <c r="AO915" s="1154">
        <f t="shared" si="268"/>
        <v>64363.098544695735</v>
      </c>
      <c r="AP915" s="1147">
        <f t="shared" si="255"/>
        <v>0</v>
      </c>
      <c r="AQ915" s="1144">
        <f t="shared" si="256"/>
        <v>0</v>
      </c>
      <c r="AR915" s="1146">
        <f t="shared" si="257"/>
        <v>64363.098544695735</v>
      </c>
    </row>
    <row r="916" spans="1:44" x14ac:dyDescent="0.2">
      <c r="A916" s="1141" t="str">
        <f t="shared" si="252"/>
        <v>1542</v>
      </c>
      <c r="B916" s="1141" t="str">
        <f>IFERROR(VLOOKUP(A916,'LAC 103'!A:C,3,FALSE),"")</f>
        <v>OP</v>
      </c>
      <c r="C916" s="1478" t="str">
        <f>Info!$B$8</f>
        <v>00100</v>
      </c>
      <c r="D916" s="1474" t="s">
        <v>256</v>
      </c>
      <c r="E916" s="1474" t="s">
        <v>95</v>
      </c>
      <c r="F916" s="1478" t="s">
        <v>392</v>
      </c>
      <c r="G916" s="1478" t="s">
        <v>392</v>
      </c>
      <c r="H916" s="1474" t="s">
        <v>983</v>
      </c>
      <c r="I916" s="1478" t="s">
        <v>823</v>
      </c>
      <c r="J916" s="1478" t="s">
        <v>2000</v>
      </c>
      <c r="K916" s="1475" t="s">
        <v>849</v>
      </c>
      <c r="L916" s="1474" t="s">
        <v>77</v>
      </c>
      <c r="M916" s="1476" t="s">
        <v>841</v>
      </c>
      <c r="N916" s="1477" t="s">
        <v>1695</v>
      </c>
      <c r="O916" s="1479">
        <v>6145</v>
      </c>
      <c r="P916" s="1479"/>
      <c r="Q916" s="1142">
        <f t="shared" si="253"/>
        <v>6145</v>
      </c>
      <c r="R916" s="1143">
        <f>IFERROR(VLOOKUP(CONCATENATE(E916,G916),'LAC 103'!$A$12:$O$95,11,FALSE),0)</f>
        <v>3.2074101033884355</v>
      </c>
      <c r="S916" s="1144">
        <f>IFERROR(VLOOKUP(CONCATENATE($E916,$G916),'LAC 103'!$A$12:$O$95,12,FALSE),0)</f>
        <v>3.99</v>
      </c>
      <c r="T916" s="1144">
        <f>IFERROR(VLOOKUP(CONCATENATE($E916,$G916),'LAC 103'!$A$12:$O$95,13,FALSE),0)</f>
        <v>2.48</v>
      </c>
      <c r="U916" s="1144">
        <f>IFERROR(VLOOKUP(CONCATENATE($E916,$G916),'LAC 103'!$A$12:$O$95,14,FALSE),0)</f>
        <v>0</v>
      </c>
      <c r="V916" s="1144">
        <f>IFERROR(VLOOKUP(CONCATENATE($E916,$G916),'LAC 103'!$A$12:$O$95,15,FALSE),0)</f>
        <v>0</v>
      </c>
      <c r="W916" s="1145" t="str">
        <f>IFERROR(VLOOKUP(CONCATENATE($B916,$N916),'LAC 103'!$AI:$AQ,9,FALSE),"")</f>
        <v>Costs</v>
      </c>
      <c r="X916" s="1146">
        <f t="shared" si="258"/>
        <v>3.2074101033884355</v>
      </c>
      <c r="Y916" s="1143">
        <f t="shared" si="269"/>
        <v>19709.535085321935</v>
      </c>
      <c r="Z916" s="1147">
        <f t="shared" si="259"/>
        <v>24518.550000000003</v>
      </c>
      <c r="AA916" s="1144">
        <f t="shared" si="260"/>
        <v>15239.6</v>
      </c>
      <c r="AB916" s="1144">
        <f t="shared" si="261"/>
        <v>0</v>
      </c>
      <c r="AC916" s="1144">
        <f t="shared" si="262"/>
        <v>0</v>
      </c>
      <c r="AD916" s="1148">
        <f t="shared" si="254"/>
        <v>19709.535085321935</v>
      </c>
      <c r="AE916" s="1487">
        <v>0</v>
      </c>
      <c r="AF916" s="1145">
        <f t="shared" si="263"/>
        <v>19709.535085321935</v>
      </c>
      <c r="AG916" s="1149">
        <f>IFERROR(VLOOKUP(CONCATENATE($L916,$N916),'Drop List'!$G$23:$K$87,2,FALSE),0)</f>
        <v>0.9</v>
      </c>
      <c r="AH916" s="1150">
        <f>IFERROR(VLOOKUP(CONCATENATE($L916,$N916),'Drop List'!$G$23:$K$87,3,FALSE),0)</f>
        <v>0</v>
      </c>
      <c r="AI916" s="1150">
        <f>IFERROR(VLOOKUP(CONCATENATE($L916,$N916),'Drop List'!$G$23:$K$87,4,FALSE),0)</f>
        <v>0.1</v>
      </c>
      <c r="AJ916" s="1151">
        <f>IFERROR(VLOOKUP(CONCATENATE($L916,$N916),'Drop List'!$G$23:$K$87,5,FALSE),0)</f>
        <v>0</v>
      </c>
      <c r="AK916" s="1152">
        <f t="shared" si="264"/>
        <v>17738.581576789744</v>
      </c>
      <c r="AL916" s="1153">
        <f t="shared" si="265"/>
        <v>0</v>
      </c>
      <c r="AM916" s="1153">
        <f t="shared" si="266"/>
        <v>1970.9535085321936</v>
      </c>
      <c r="AN916" s="1145">
        <f t="shared" si="267"/>
        <v>0</v>
      </c>
      <c r="AO916" s="1154">
        <f t="shared" si="268"/>
        <v>19709.535085321939</v>
      </c>
      <c r="AP916" s="1147">
        <f t="shared" si="255"/>
        <v>0</v>
      </c>
      <c r="AQ916" s="1144">
        <f t="shared" si="256"/>
        <v>0</v>
      </c>
      <c r="AR916" s="1146">
        <f t="shared" si="257"/>
        <v>19709.535085321939</v>
      </c>
    </row>
    <row r="917" spans="1:44" x14ac:dyDescent="0.2">
      <c r="A917" s="1141" t="str">
        <f t="shared" si="252"/>
        <v>1542</v>
      </c>
      <c r="B917" s="1141" t="str">
        <f>IFERROR(VLOOKUP(A917,'LAC 103'!A:C,3,FALSE),"")</f>
        <v>OP</v>
      </c>
      <c r="C917" s="1478" t="str">
        <f>Info!$B$8</f>
        <v>00100</v>
      </c>
      <c r="D917" s="1474" t="s">
        <v>256</v>
      </c>
      <c r="E917" s="1474" t="s">
        <v>95</v>
      </c>
      <c r="F917" s="1478" t="s">
        <v>392</v>
      </c>
      <c r="G917" s="1478" t="s">
        <v>392</v>
      </c>
      <c r="H917" s="1474" t="s">
        <v>983</v>
      </c>
      <c r="I917" s="1478" t="s">
        <v>823</v>
      </c>
      <c r="J917" s="1478" t="s">
        <v>2000</v>
      </c>
      <c r="K917" s="1475" t="s">
        <v>849</v>
      </c>
      <c r="L917" s="1474" t="s">
        <v>77</v>
      </c>
      <c r="M917" s="1476" t="s">
        <v>840</v>
      </c>
      <c r="N917" s="1477" t="s">
        <v>1700</v>
      </c>
      <c r="O917" s="1479">
        <v>9703</v>
      </c>
      <c r="P917" s="1479"/>
      <c r="Q917" s="1142">
        <f t="shared" si="253"/>
        <v>9703</v>
      </c>
      <c r="R917" s="1143">
        <f>IFERROR(VLOOKUP(CONCATENATE(E917,G917),'LAC 103'!$A$12:$O$95,11,FALSE),0)</f>
        <v>3.2074101033884355</v>
      </c>
      <c r="S917" s="1144">
        <f>IFERROR(VLOOKUP(CONCATENATE($E917,$G917),'LAC 103'!$A$12:$O$95,12,FALSE),0)</f>
        <v>3.99</v>
      </c>
      <c r="T917" s="1144">
        <f>IFERROR(VLOOKUP(CONCATENATE($E917,$G917),'LAC 103'!$A$12:$O$95,13,FALSE),0)</f>
        <v>2.48</v>
      </c>
      <c r="U917" s="1144">
        <f>IFERROR(VLOOKUP(CONCATENATE($E917,$G917),'LAC 103'!$A$12:$O$95,14,FALSE),0)</f>
        <v>0</v>
      </c>
      <c r="V917" s="1144">
        <f>IFERROR(VLOOKUP(CONCATENATE($E917,$G917),'LAC 103'!$A$12:$O$95,15,FALSE),0)</f>
        <v>0</v>
      </c>
      <c r="W917" s="1145" t="str">
        <f>IFERROR(VLOOKUP(CONCATENATE($B917,$N917),'LAC 103'!$AI:$AQ,9,FALSE),"")</f>
        <v>P.C.</v>
      </c>
      <c r="X917" s="1146">
        <f t="shared" si="258"/>
        <v>2.48</v>
      </c>
      <c r="Y917" s="1143">
        <f t="shared" si="269"/>
        <v>31121.500233177991</v>
      </c>
      <c r="Z917" s="1147">
        <f t="shared" si="259"/>
        <v>38714.97</v>
      </c>
      <c r="AA917" s="1144">
        <f t="shared" si="260"/>
        <v>24063.439999999999</v>
      </c>
      <c r="AB917" s="1144">
        <f t="shared" si="261"/>
        <v>0</v>
      </c>
      <c r="AC917" s="1144">
        <f t="shared" si="262"/>
        <v>0</v>
      </c>
      <c r="AD917" s="1148">
        <f t="shared" si="254"/>
        <v>24063.439999999999</v>
      </c>
      <c r="AE917" s="1487">
        <v>0</v>
      </c>
      <c r="AF917" s="1145">
        <f t="shared" si="263"/>
        <v>24063.439999999999</v>
      </c>
      <c r="AG917" s="1149">
        <f>IFERROR(VLOOKUP(CONCATENATE($L917,$N917),'Drop List'!$G$23:$K$87,2,FALSE),0)</f>
        <v>0.9</v>
      </c>
      <c r="AH917" s="1150">
        <f>IFERROR(VLOOKUP(CONCATENATE($L917,$N917),'Drop List'!$G$23:$K$87,3,FALSE),0)</f>
        <v>0</v>
      </c>
      <c r="AI917" s="1150">
        <f>IFERROR(VLOOKUP(CONCATENATE($L917,$N917),'Drop List'!$G$23:$K$87,4,FALSE),0)</f>
        <v>0.1</v>
      </c>
      <c r="AJ917" s="1151">
        <f>IFERROR(VLOOKUP(CONCATENATE($L917,$N917),'Drop List'!$G$23:$K$87,5,FALSE),0)</f>
        <v>0</v>
      </c>
      <c r="AK917" s="1152">
        <f t="shared" si="264"/>
        <v>21657.095999999998</v>
      </c>
      <c r="AL917" s="1153">
        <f t="shared" si="265"/>
        <v>0</v>
      </c>
      <c r="AM917" s="1153">
        <f t="shared" si="266"/>
        <v>2406.3440000000001</v>
      </c>
      <c r="AN917" s="1145">
        <f t="shared" si="267"/>
        <v>0</v>
      </c>
      <c r="AO917" s="1154">
        <f t="shared" si="268"/>
        <v>24063.439999999999</v>
      </c>
      <c r="AP917" s="1147">
        <f t="shared" si="255"/>
        <v>0</v>
      </c>
      <c r="AQ917" s="1144">
        <f t="shared" si="256"/>
        <v>0</v>
      </c>
      <c r="AR917" s="1146">
        <f t="shared" si="257"/>
        <v>24063.439999999999</v>
      </c>
    </row>
    <row r="918" spans="1:44" x14ac:dyDescent="0.2">
      <c r="A918" s="1141" t="str">
        <f t="shared" si="252"/>
        <v>1542</v>
      </c>
      <c r="B918" s="1141" t="str">
        <f>IFERROR(VLOOKUP(A918,'LAC 103'!A:C,3,FALSE),"")</f>
        <v>OP</v>
      </c>
      <c r="C918" s="1478" t="str">
        <f>Info!$B$8</f>
        <v>00100</v>
      </c>
      <c r="D918" s="1474" t="s">
        <v>256</v>
      </c>
      <c r="E918" s="1474" t="s">
        <v>95</v>
      </c>
      <c r="F918" s="1478" t="s">
        <v>392</v>
      </c>
      <c r="G918" s="1478" t="s">
        <v>392</v>
      </c>
      <c r="H918" s="1474" t="s">
        <v>983</v>
      </c>
      <c r="I918" s="1478" t="s">
        <v>823</v>
      </c>
      <c r="J918" s="1478" t="s">
        <v>2000</v>
      </c>
      <c r="K918" s="1475" t="s">
        <v>849</v>
      </c>
      <c r="L918" s="1474" t="s">
        <v>77</v>
      </c>
      <c r="M918" s="1476" t="s">
        <v>842</v>
      </c>
      <c r="N918" s="1477" t="s">
        <v>1692</v>
      </c>
      <c r="O918" s="1479">
        <v>18020</v>
      </c>
      <c r="P918" s="1479"/>
      <c r="Q918" s="1142">
        <f t="shared" si="253"/>
        <v>18020</v>
      </c>
      <c r="R918" s="1143">
        <f>IFERROR(VLOOKUP(CONCATENATE(E918,G918),'LAC 103'!$A$12:$O$95,11,FALSE),0)</f>
        <v>3.2074101033884355</v>
      </c>
      <c r="S918" s="1144">
        <f>IFERROR(VLOOKUP(CONCATENATE($E918,$G918),'LAC 103'!$A$12:$O$95,12,FALSE),0)</f>
        <v>3.99</v>
      </c>
      <c r="T918" s="1144">
        <f>IFERROR(VLOOKUP(CONCATENATE($E918,$G918),'LAC 103'!$A$12:$O$95,13,FALSE),0)</f>
        <v>2.48</v>
      </c>
      <c r="U918" s="1144">
        <f>IFERROR(VLOOKUP(CONCATENATE($E918,$G918),'LAC 103'!$A$12:$O$95,14,FALSE),0)</f>
        <v>0</v>
      </c>
      <c r="V918" s="1144">
        <f>IFERROR(VLOOKUP(CONCATENATE($E918,$G918),'LAC 103'!$A$12:$O$95,15,FALSE),0)</f>
        <v>0</v>
      </c>
      <c r="W918" s="1145" t="str">
        <f>IFERROR(VLOOKUP(CONCATENATE($B918,$N918),'LAC 103'!$AI:$AQ,9,FALSE),"")</f>
        <v>Costs</v>
      </c>
      <c r="X918" s="1146">
        <f t="shared" si="258"/>
        <v>3.2074101033884355</v>
      </c>
      <c r="Y918" s="1143">
        <f t="shared" si="269"/>
        <v>57797.53006305961</v>
      </c>
      <c r="Z918" s="1147">
        <f t="shared" si="259"/>
        <v>71899.8</v>
      </c>
      <c r="AA918" s="1144">
        <f t="shared" si="260"/>
        <v>44689.599999999999</v>
      </c>
      <c r="AB918" s="1144">
        <f t="shared" si="261"/>
        <v>0</v>
      </c>
      <c r="AC918" s="1144">
        <f t="shared" si="262"/>
        <v>0</v>
      </c>
      <c r="AD918" s="1148">
        <f t="shared" si="254"/>
        <v>57797.53006305961</v>
      </c>
      <c r="AE918" s="1487">
        <v>0</v>
      </c>
      <c r="AF918" s="1145">
        <f t="shared" si="263"/>
        <v>57797.53006305961</v>
      </c>
      <c r="AG918" s="1149">
        <f>IFERROR(VLOOKUP(CONCATENATE($L918,$N918),'Drop List'!$G$23:$K$87,2,FALSE),0)</f>
        <v>0.9</v>
      </c>
      <c r="AH918" s="1150">
        <f>IFERROR(VLOOKUP(CONCATENATE($L918,$N918),'Drop List'!$G$23:$K$87,3,FALSE),0)</f>
        <v>0</v>
      </c>
      <c r="AI918" s="1150">
        <f>IFERROR(VLOOKUP(CONCATENATE($L918,$N918),'Drop List'!$G$23:$K$87,4,FALSE),0)</f>
        <v>0.1</v>
      </c>
      <c r="AJ918" s="1151">
        <f>IFERROR(VLOOKUP(CONCATENATE($L918,$N918),'Drop List'!$G$23:$K$87,5,FALSE),0)</f>
        <v>0</v>
      </c>
      <c r="AK918" s="1152">
        <f t="shared" si="264"/>
        <v>52017.77705675365</v>
      </c>
      <c r="AL918" s="1153">
        <f t="shared" si="265"/>
        <v>0</v>
      </c>
      <c r="AM918" s="1153">
        <f t="shared" si="266"/>
        <v>5779.7530063059612</v>
      </c>
      <c r="AN918" s="1145">
        <f t="shared" si="267"/>
        <v>0</v>
      </c>
      <c r="AO918" s="1154">
        <f t="shared" si="268"/>
        <v>57797.53006305961</v>
      </c>
      <c r="AP918" s="1147">
        <f t="shared" si="255"/>
        <v>0</v>
      </c>
      <c r="AQ918" s="1144">
        <f t="shared" si="256"/>
        <v>0</v>
      </c>
      <c r="AR918" s="1146">
        <f t="shared" si="257"/>
        <v>57797.53006305961</v>
      </c>
    </row>
    <row r="919" spans="1:44" x14ac:dyDescent="0.2">
      <c r="A919" s="1141" t="str">
        <f t="shared" si="252"/>
        <v>1542</v>
      </c>
      <c r="B919" s="1141" t="str">
        <f>IFERROR(VLOOKUP(A919,'LAC 103'!A:C,3,FALSE),"")</f>
        <v>OP</v>
      </c>
      <c r="C919" s="1478" t="str">
        <f>Info!$B$8</f>
        <v>00100</v>
      </c>
      <c r="D919" s="1474" t="s">
        <v>256</v>
      </c>
      <c r="E919" s="1474" t="s">
        <v>95</v>
      </c>
      <c r="F919" s="1478" t="s">
        <v>392</v>
      </c>
      <c r="G919" s="1478" t="s">
        <v>392</v>
      </c>
      <c r="H919" s="1474" t="s">
        <v>983</v>
      </c>
      <c r="I919" s="1478" t="s">
        <v>823</v>
      </c>
      <c r="J919" s="1478" t="s">
        <v>2000</v>
      </c>
      <c r="K919" s="1475" t="s">
        <v>849</v>
      </c>
      <c r="L919" s="1474" t="s">
        <v>77</v>
      </c>
      <c r="M919" s="1476" t="s">
        <v>1698</v>
      </c>
      <c r="N919" s="1477" t="s">
        <v>1693</v>
      </c>
      <c r="O919" s="1479">
        <v>22308</v>
      </c>
      <c r="P919" s="1479"/>
      <c r="Q919" s="1142">
        <f t="shared" si="253"/>
        <v>22308</v>
      </c>
      <c r="R919" s="1143">
        <f>IFERROR(VLOOKUP(CONCATENATE(E919,G919),'LAC 103'!$A$12:$O$95,11,FALSE),0)</f>
        <v>3.2074101033884355</v>
      </c>
      <c r="S919" s="1144">
        <f>IFERROR(VLOOKUP(CONCATENATE($E919,$G919),'LAC 103'!$A$12:$O$95,12,FALSE),0)</f>
        <v>3.99</v>
      </c>
      <c r="T919" s="1144">
        <f>IFERROR(VLOOKUP(CONCATENATE($E919,$G919),'LAC 103'!$A$12:$O$95,13,FALSE),0)</f>
        <v>2.48</v>
      </c>
      <c r="U919" s="1144">
        <f>IFERROR(VLOOKUP(CONCATENATE($E919,$G919),'LAC 103'!$A$12:$O$95,14,FALSE),0)</f>
        <v>0</v>
      </c>
      <c r="V919" s="1144">
        <f>IFERROR(VLOOKUP(CONCATENATE($E919,$G919),'LAC 103'!$A$12:$O$95,15,FALSE),0)</f>
        <v>0</v>
      </c>
      <c r="W919" s="1145" t="str">
        <f>IFERROR(VLOOKUP(CONCATENATE($B919,$N919),'LAC 103'!$AI:$AQ,9,FALSE),"")</f>
        <v>Costs</v>
      </c>
      <c r="X919" s="1146">
        <f t="shared" si="258"/>
        <v>3.2074101033884355</v>
      </c>
      <c r="Y919" s="1143">
        <f t="shared" si="269"/>
        <v>71550.904586389224</v>
      </c>
      <c r="Z919" s="1147">
        <f t="shared" si="259"/>
        <v>89008.92</v>
      </c>
      <c r="AA919" s="1144">
        <f t="shared" si="260"/>
        <v>55323.839999999997</v>
      </c>
      <c r="AB919" s="1144">
        <f t="shared" si="261"/>
        <v>0</v>
      </c>
      <c r="AC919" s="1144">
        <f t="shared" si="262"/>
        <v>0</v>
      </c>
      <c r="AD919" s="1148">
        <f t="shared" si="254"/>
        <v>71550.904586389224</v>
      </c>
      <c r="AE919" s="1487">
        <v>0</v>
      </c>
      <c r="AF919" s="1145">
        <f t="shared" si="263"/>
        <v>71550.904586389224</v>
      </c>
      <c r="AG919" s="1149">
        <f>IFERROR(VLOOKUP(CONCATENATE($L919,$N919),'Drop List'!$G$23:$K$87,2,FALSE),0)</f>
        <v>0.9</v>
      </c>
      <c r="AH919" s="1150">
        <f>IFERROR(VLOOKUP(CONCATENATE($L919,$N919),'Drop List'!$G$23:$K$87,3,FALSE),0)</f>
        <v>0</v>
      </c>
      <c r="AI919" s="1150">
        <f>IFERROR(VLOOKUP(CONCATENATE($L919,$N919),'Drop List'!$G$23:$K$87,4,FALSE),0)</f>
        <v>0.1</v>
      </c>
      <c r="AJ919" s="1151">
        <f>IFERROR(VLOOKUP(CONCATENATE($L919,$N919),'Drop List'!$G$23:$K$87,5,FALSE),0)</f>
        <v>0</v>
      </c>
      <c r="AK919" s="1152">
        <f t="shared" si="264"/>
        <v>64395.814127750302</v>
      </c>
      <c r="AL919" s="1153">
        <f t="shared" si="265"/>
        <v>0</v>
      </c>
      <c r="AM919" s="1153">
        <f t="shared" si="266"/>
        <v>7155.0904586389224</v>
      </c>
      <c r="AN919" s="1145">
        <f t="shared" si="267"/>
        <v>0</v>
      </c>
      <c r="AO919" s="1154">
        <f t="shared" si="268"/>
        <v>71550.904586389224</v>
      </c>
      <c r="AP919" s="1147">
        <f t="shared" si="255"/>
        <v>0</v>
      </c>
      <c r="AQ919" s="1144">
        <f t="shared" si="256"/>
        <v>0</v>
      </c>
      <c r="AR919" s="1146">
        <f t="shared" si="257"/>
        <v>71550.904586389224</v>
      </c>
    </row>
    <row r="920" spans="1:44" x14ac:dyDescent="0.2">
      <c r="A920" s="1141" t="str">
        <f t="shared" si="252"/>
        <v>1542</v>
      </c>
      <c r="B920" s="1141" t="str">
        <f>IFERROR(VLOOKUP(A920,'LAC 103'!A:C,3,FALSE),"")</f>
        <v>OP</v>
      </c>
      <c r="C920" s="1478" t="str">
        <f>Info!$B$8</f>
        <v>00100</v>
      </c>
      <c r="D920" s="1474" t="s">
        <v>256</v>
      </c>
      <c r="E920" s="1474" t="s">
        <v>95</v>
      </c>
      <c r="F920" s="1478" t="s">
        <v>392</v>
      </c>
      <c r="G920" s="1478" t="s">
        <v>392</v>
      </c>
      <c r="H920" s="1474" t="s">
        <v>983</v>
      </c>
      <c r="I920" s="1478" t="s">
        <v>823</v>
      </c>
      <c r="J920" s="1478" t="s">
        <v>2000</v>
      </c>
      <c r="K920" s="1475" t="s">
        <v>971</v>
      </c>
      <c r="L920" s="1474" t="s">
        <v>332</v>
      </c>
      <c r="M920" s="1476" t="s">
        <v>1699</v>
      </c>
      <c r="N920" s="1477" t="s">
        <v>1694</v>
      </c>
      <c r="O920" s="1479">
        <v>2947</v>
      </c>
      <c r="P920" s="1479"/>
      <c r="Q920" s="1142">
        <f t="shared" si="253"/>
        <v>2947</v>
      </c>
      <c r="R920" s="1143">
        <f>IFERROR(VLOOKUP(CONCATENATE(E920,G920),'LAC 103'!$A$12:$O$95,11,FALSE),0)</f>
        <v>3.2074101033884355</v>
      </c>
      <c r="S920" s="1144">
        <f>IFERROR(VLOOKUP(CONCATENATE($E920,$G920),'LAC 103'!$A$12:$O$95,12,FALSE),0)</f>
        <v>3.99</v>
      </c>
      <c r="T920" s="1144">
        <f>IFERROR(VLOOKUP(CONCATENATE($E920,$G920),'LAC 103'!$A$12:$O$95,13,FALSE),0)</f>
        <v>2.48</v>
      </c>
      <c r="U920" s="1144">
        <f>IFERROR(VLOOKUP(CONCATENATE($E920,$G920),'LAC 103'!$A$12:$O$95,14,FALSE),0)</f>
        <v>0</v>
      </c>
      <c r="V920" s="1144">
        <f>IFERROR(VLOOKUP(CONCATENATE($E920,$G920),'LAC 103'!$A$12:$O$95,15,FALSE),0)</f>
        <v>0</v>
      </c>
      <c r="W920" s="1145" t="str">
        <f>IFERROR(VLOOKUP(CONCATENATE($B920,$N920),'LAC 103'!$AI:$AQ,9,FALSE),"")</f>
        <v>Costs</v>
      </c>
      <c r="X920" s="1146">
        <f t="shared" si="258"/>
        <v>3.2074101033884355</v>
      </c>
      <c r="Y920" s="1143">
        <f t="shared" si="269"/>
        <v>9452.2375746857197</v>
      </c>
      <c r="Z920" s="1147">
        <f t="shared" si="259"/>
        <v>11758.53</v>
      </c>
      <c r="AA920" s="1144">
        <f t="shared" si="260"/>
        <v>7308.56</v>
      </c>
      <c r="AB920" s="1144">
        <f t="shared" si="261"/>
        <v>0</v>
      </c>
      <c r="AC920" s="1144">
        <f t="shared" si="262"/>
        <v>0</v>
      </c>
      <c r="AD920" s="1148">
        <f t="shared" si="254"/>
        <v>9452.2375746857197</v>
      </c>
      <c r="AE920" s="1487">
        <v>0</v>
      </c>
      <c r="AF920" s="1145">
        <f t="shared" si="263"/>
        <v>9452.2375746857197</v>
      </c>
      <c r="AG920" s="1149">
        <f>IFERROR(VLOOKUP(CONCATENATE($L920,$N920),'Drop List'!$G$23:$K$87,2,FALSE),0)</f>
        <v>0</v>
      </c>
      <c r="AH920" s="1150">
        <f>IFERROR(VLOOKUP(CONCATENATE($L920,$N920),'Drop List'!$G$23:$K$87,3,FALSE),0)</f>
        <v>0</v>
      </c>
      <c r="AI920" s="1150">
        <f>IFERROR(VLOOKUP(CONCATENATE($L920,$N920),'Drop List'!$G$23:$K$87,4,FALSE),0)</f>
        <v>0</v>
      </c>
      <c r="AJ920" s="1151">
        <f>IFERROR(VLOOKUP(CONCATENATE($L920,$N920),'Drop List'!$G$23:$K$87,5,FALSE),0)</f>
        <v>0</v>
      </c>
      <c r="AK920" s="1152">
        <f t="shared" si="264"/>
        <v>0</v>
      </c>
      <c r="AL920" s="1153">
        <f t="shared" si="265"/>
        <v>0</v>
      </c>
      <c r="AM920" s="1153">
        <f t="shared" si="266"/>
        <v>0</v>
      </c>
      <c r="AN920" s="1145">
        <f t="shared" si="267"/>
        <v>0</v>
      </c>
      <c r="AO920" s="1154">
        <f t="shared" si="268"/>
        <v>0</v>
      </c>
      <c r="AP920" s="1147">
        <f t="shared" si="255"/>
        <v>9452.2375746857197</v>
      </c>
      <c r="AQ920" s="1144">
        <f t="shared" si="256"/>
        <v>0</v>
      </c>
      <c r="AR920" s="1146">
        <f t="shared" si="257"/>
        <v>9452.2375746857197</v>
      </c>
    </row>
    <row r="921" spans="1:44" x14ac:dyDescent="0.2">
      <c r="A921" s="1141" t="str">
        <f t="shared" si="252"/>
        <v>1542</v>
      </c>
      <c r="B921" s="1141" t="str">
        <f>IFERROR(VLOOKUP(A921,'LAC 103'!A:C,3,FALSE),"")</f>
        <v>OP</v>
      </c>
      <c r="C921" s="1478" t="str">
        <f>Info!$B$8</f>
        <v>00100</v>
      </c>
      <c r="D921" s="1474" t="s">
        <v>256</v>
      </c>
      <c r="E921" s="1474" t="s">
        <v>95</v>
      </c>
      <c r="F921" s="1478" t="s">
        <v>392</v>
      </c>
      <c r="G921" s="1478" t="s">
        <v>392</v>
      </c>
      <c r="H921" s="1474" t="s">
        <v>983</v>
      </c>
      <c r="I921" s="1478" t="s">
        <v>823</v>
      </c>
      <c r="J921" s="1478" t="s">
        <v>2000</v>
      </c>
      <c r="K921" s="1475" t="s">
        <v>971</v>
      </c>
      <c r="L921" s="1474" t="s">
        <v>332</v>
      </c>
      <c r="M921" s="1476" t="s">
        <v>841</v>
      </c>
      <c r="N921" s="1477" t="s">
        <v>1695</v>
      </c>
      <c r="O921" s="1479">
        <v>796</v>
      </c>
      <c r="P921" s="1479"/>
      <c r="Q921" s="1142">
        <f t="shared" si="253"/>
        <v>796</v>
      </c>
      <c r="R921" s="1143">
        <f>IFERROR(VLOOKUP(CONCATENATE(E921,G921),'LAC 103'!$A$12:$O$95,11,FALSE),0)</f>
        <v>3.2074101033884355</v>
      </c>
      <c r="S921" s="1144">
        <f>IFERROR(VLOOKUP(CONCATENATE($E921,$G921),'LAC 103'!$A$12:$O$95,12,FALSE),0)</f>
        <v>3.99</v>
      </c>
      <c r="T921" s="1144">
        <f>IFERROR(VLOOKUP(CONCATENATE($E921,$G921),'LAC 103'!$A$12:$O$95,13,FALSE),0)</f>
        <v>2.48</v>
      </c>
      <c r="U921" s="1144">
        <f>IFERROR(VLOOKUP(CONCATENATE($E921,$G921),'LAC 103'!$A$12:$O$95,14,FALSE),0)</f>
        <v>0</v>
      </c>
      <c r="V921" s="1144">
        <f>IFERROR(VLOOKUP(CONCATENATE($E921,$G921),'LAC 103'!$A$12:$O$95,15,FALSE),0)</f>
        <v>0</v>
      </c>
      <c r="W921" s="1145" t="str">
        <f>IFERROR(VLOOKUP(CONCATENATE($B921,$N921),'LAC 103'!$AI:$AQ,9,FALSE),"")</f>
        <v>Costs</v>
      </c>
      <c r="X921" s="1146">
        <f t="shared" si="258"/>
        <v>3.2074101033884355</v>
      </c>
      <c r="Y921" s="1143">
        <f t="shared" si="269"/>
        <v>2553.0984422971947</v>
      </c>
      <c r="Z921" s="1147">
        <f t="shared" si="259"/>
        <v>3176.04</v>
      </c>
      <c r="AA921" s="1144">
        <f t="shared" si="260"/>
        <v>1974.08</v>
      </c>
      <c r="AB921" s="1144">
        <f t="shared" si="261"/>
        <v>0</v>
      </c>
      <c r="AC921" s="1144">
        <f t="shared" si="262"/>
        <v>0</v>
      </c>
      <c r="AD921" s="1148">
        <f t="shared" si="254"/>
        <v>2553.0984422971947</v>
      </c>
      <c r="AE921" s="1487">
        <v>0</v>
      </c>
      <c r="AF921" s="1145">
        <f t="shared" si="263"/>
        <v>2553.0984422971947</v>
      </c>
      <c r="AG921" s="1149">
        <f>IFERROR(VLOOKUP(CONCATENATE($L921,$N921),'Drop List'!$G$23:$K$87,2,FALSE),0)</f>
        <v>0</v>
      </c>
      <c r="AH921" s="1150">
        <f>IFERROR(VLOOKUP(CONCATENATE($L921,$N921),'Drop List'!$G$23:$K$87,3,FALSE),0)</f>
        <v>0</v>
      </c>
      <c r="AI921" s="1150">
        <f>IFERROR(VLOOKUP(CONCATENATE($L921,$N921),'Drop List'!$G$23:$K$87,4,FALSE),0)</f>
        <v>0</v>
      </c>
      <c r="AJ921" s="1151">
        <f>IFERROR(VLOOKUP(CONCATENATE($L921,$N921),'Drop List'!$G$23:$K$87,5,FALSE),0)</f>
        <v>0</v>
      </c>
      <c r="AK921" s="1152">
        <f t="shared" si="264"/>
        <v>0</v>
      </c>
      <c r="AL921" s="1153">
        <f t="shared" si="265"/>
        <v>0</v>
      </c>
      <c r="AM921" s="1153">
        <f t="shared" si="266"/>
        <v>0</v>
      </c>
      <c r="AN921" s="1145">
        <f t="shared" si="267"/>
        <v>0</v>
      </c>
      <c r="AO921" s="1154">
        <f t="shared" si="268"/>
        <v>0</v>
      </c>
      <c r="AP921" s="1147">
        <f t="shared" si="255"/>
        <v>2553.0984422971947</v>
      </c>
      <c r="AQ921" s="1144">
        <f t="shared" si="256"/>
        <v>0</v>
      </c>
      <c r="AR921" s="1146">
        <f t="shared" si="257"/>
        <v>2553.0984422971947</v>
      </c>
    </row>
    <row r="922" spans="1:44" x14ac:dyDescent="0.2">
      <c r="A922" s="1141" t="str">
        <f t="shared" si="252"/>
        <v>1542</v>
      </c>
      <c r="B922" s="1141" t="str">
        <f>IFERROR(VLOOKUP(A922,'LAC 103'!A:C,3,FALSE),"")</f>
        <v>OP</v>
      </c>
      <c r="C922" s="1478" t="str">
        <f>Info!$B$8</f>
        <v>00100</v>
      </c>
      <c r="D922" s="1474" t="s">
        <v>256</v>
      </c>
      <c r="E922" s="1474" t="s">
        <v>95</v>
      </c>
      <c r="F922" s="1478" t="s">
        <v>392</v>
      </c>
      <c r="G922" s="1478" t="s">
        <v>392</v>
      </c>
      <c r="H922" s="1474" t="s">
        <v>983</v>
      </c>
      <c r="I922" s="1478" t="s">
        <v>823</v>
      </c>
      <c r="J922" s="1478" t="s">
        <v>2000</v>
      </c>
      <c r="K922" s="1475" t="s">
        <v>971</v>
      </c>
      <c r="L922" s="1474" t="s">
        <v>332</v>
      </c>
      <c r="M922" s="1476" t="s">
        <v>842</v>
      </c>
      <c r="N922" s="1477" t="s">
        <v>1692</v>
      </c>
      <c r="O922" s="1479">
        <v>2559</v>
      </c>
      <c r="P922" s="1479"/>
      <c r="Q922" s="1142">
        <f t="shared" si="253"/>
        <v>2559</v>
      </c>
      <c r="R922" s="1143">
        <f>IFERROR(VLOOKUP(CONCATENATE(E922,G922),'LAC 103'!$A$12:$O$95,11,FALSE),0)</f>
        <v>3.2074101033884355</v>
      </c>
      <c r="S922" s="1144">
        <f>IFERROR(VLOOKUP(CONCATENATE($E922,$G922),'LAC 103'!$A$12:$O$95,12,FALSE),0)</f>
        <v>3.99</v>
      </c>
      <c r="T922" s="1144">
        <f>IFERROR(VLOOKUP(CONCATENATE($E922,$G922),'LAC 103'!$A$12:$O$95,13,FALSE),0)</f>
        <v>2.48</v>
      </c>
      <c r="U922" s="1144">
        <f>IFERROR(VLOOKUP(CONCATENATE($E922,$G922),'LAC 103'!$A$12:$O$95,14,FALSE),0)</f>
        <v>0</v>
      </c>
      <c r="V922" s="1144">
        <f>IFERROR(VLOOKUP(CONCATENATE($E922,$G922),'LAC 103'!$A$12:$O$95,15,FALSE),0)</f>
        <v>0</v>
      </c>
      <c r="W922" s="1145" t="str">
        <f>IFERROR(VLOOKUP(CONCATENATE($B922,$N922),'LAC 103'!$AI:$AQ,9,FALSE),"")</f>
        <v>Costs</v>
      </c>
      <c r="X922" s="1146">
        <f t="shared" si="258"/>
        <v>3.2074101033884355</v>
      </c>
      <c r="Y922" s="1143">
        <f t="shared" si="269"/>
        <v>8207.7624545710059</v>
      </c>
      <c r="Z922" s="1147">
        <f t="shared" si="259"/>
        <v>10210.41</v>
      </c>
      <c r="AA922" s="1144">
        <f t="shared" si="260"/>
        <v>6346.32</v>
      </c>
      <c r="AB922" s="1144">
        <f t="shared" si="261"/>
        <v>0</v>
      </c>
      <c r="AC922" s="1144">
        <f t="shared" si="262"/>
        <v>0</v>
      </c>
      <c r="AD922" s="1148">
        <f t="shared" si="254"/>
        <v>8207.7624545710059</v>
      </c>
      <c r="AE922" s="1487">
        <v>0</v>
      </c>
      <c r="AF922" s="1145">
        <f t="shared" si="263"/>
        <v>8207.7624545710059</v>
      </c>
      <c r="AG922" s="1149">
        <f>IFERROR(VLOOKUP(CONCATENATE($L922,$N922),'Drop List'!$G$23:$K$87,2,FALSE),0)</f>
        <v>0</v>
      </c>
      <c r="AH922" s="1150">
        <f>IFERROR(VLOOKUP(CONCATENATE($L922,$N922),'Drop List'!$G$23:$K$87,3,FALSE),0)</f>
        <v>0</v>
      </c>
      <c r="AI922" s="1150">
        <f>IFERROR(VLOOKUP(CONCATENATE($L922,$N922),'Drop List'!$G$23:$K$87,4,FALSE),0)</f>
        <v>0</v>
      </c>
      <c r="AJ922" s="1151">
        <f>IFERROR(VLOOKUP(CONCATENATE($L922,$N922),'Drop List'!$G$23:$K$87,5,FALSE),0)</f>
        <v>0</v>
      </c>
      <c r="AK922" s="1152">
        <f t="shared" si="264"/>
        <v>0</v>
      </c>
      <c r="AL922" s="1153">
        <f t="shared" si="265"/>
        <v>0</v>
      </c>
      <c r="AM922" s="1153">
        <f t="shared" si="266"/>
        <v>0</v>
      </c>
      <c r="AN922" s="1145">
        <f t="shared" si="267"/>
        <v>0</v>
      </c>
      <c r="AO922" s="1154">
        <f t="shared" si="268"/>
        <v>0</v>
      </c>
      <c r="AP922" s="1147">
        <f t="shared" si="255"/>
        <v>8207.7624545710059</v>
      </c>
      <c r="AQ922" s="1144">
        <f t="shared" si="256"/>
        <v>0</v>
      </c>
      <c r="AR922" s="1146">
        <f t="shared" si="257"/>
        <v>8207.7624545710059</v>
      </c>
    </row>
    <row r="923" spans="1:44" x14ac:dyDescent="0.2">
      <c r="A923" s="1141" t="str">
        <f t="shared" si="252"/>
        <v>1542</v>
      </c>
      <c r="B923" s="1141" t="str">
        <f>IFERROR(VLOOKUP(A923,'LAC 103'!A:C,3,FALSE),"")</f>
        <v>OP</v>
      </c>
      <c r="C923" s="1478" t="str">
        <f>Info!$B$8</f>
        <v>00100</v>
      </c>
      <c r="D923" s="1474" t="s">
        <v>256</v>
      </c>
      <c r="E923" s="1474" t="s">
        <v>95</v>
      </c>
      <c r="F923" s="1478" t="s">
        <v>392</v>
      </c>
      <c r="G923" s="1478" t="s">
        <v>392</v>
      </c>
      <c r="H923" s="1474" t="s">
        <v>983</v>
      </c>
      <c r="I923" s="1478" t="s">
        <v>823</v>
      </c>
      <c r="J923" s="1478" t="s">
        <v>2000</v>
      </c>
      <c r="K923" s="1475" t="s">
        <v>971</v>
      </c>
      <c r="L923" s="1474" t="s">
        <v>332</v>
      </c>
      <c r="M923" s="1476" t="s">
        <v>1698</v>
      </c>
      <c r="N923" s="1477" t="s">
        <v>1693</v>
      </c>
      <c r="O923" s="1479">
        <v>3408</v>
      </c>
      <c r="P923" s="1479"/>
      <c r="Q923" s="1142">
        <f t="shared" si="253"/>
        <v>3408</v>
      </c>
      <c r="R923" s="1143">
        <f>IFERROR(VLOOKUP(CONCATENATE(E923,G923),'LAC 103'!$A$12:$O$95,11,FALSE),0)</f>
        <v>3.2074101033884355</v>
      </c>
      <c r="S923" s="1144">
        <f>IFERROR(VLOOKUP(CONCATENATE($E923,$G923),'LAC 103'!$A$12:$O$95,12,FALSE),0)</f>
        <v>3.99</v>
      </c>
      <c r="T923" s="1144">
        <f>IFERROR(VLOOKUP(CONCATENATE($E923,$G923),'LAC 103'!$A$12:$O$95,13,FALSE),0)</f>
        <v>2.48</v>
      </c>
      <c r="U923" s="1144">
        <f>IFERROR(VLOOKUP(CONCATENATE($E923,$G923),'LAC 103'!$A$12:$O$95,14,FALSE),0)</f>
        <v>0</v>
      </c>
      <c r="V923" s="1144">
        <f>IFERROR(VLOOKUP(CONCATENATE($E923,$G923),'LAC 103'!$A$12:$O$95,15,FALSE),0)</f>
        <v>0</v>
      </c>
      <c r="W923" s="1145" t="str">
        <f>IFERROR(VLOOKUP(CONCATENATE($B923,$N923),'LAC 103'!$AI:$AQ,9,FALSE),"")</f>
        <v>Costs</v>
      </c>
      <c r="X923" s="1146">
        <f t="shared" si="258"/>
        <v>3.2074101033884355</v>
      </c>
      <c r="Y923" s="1143">
        <f t="shared" si="269"/>
        <v>10930.853632347787</v>
      </c>
      <c r="Z923" s="1147">
        <f t="shared" si="259"/>
        <v>13597.92</v>
      </c>
      <c r="AA923" s="1144">
        <f t="shared" si="260"/>
        <v>8451.84</v>
      </c>
      <c r="AB923" s="1144">
        <f t="shared" si="261"/>
        <v>0</v>
      </c>
      <c r="AC923" s="1144">
        <f t="shared" si="262"/>
        <v>0</v>
      </c>
      <c r="AD923" s="1148">
        <f t="shared" si="254"/>
        <v>10930.853632347787</v>
      </c>
      <c r="AE923" s="1487">
        <v>0</v>
      </c>
      <c r="AF923" s="1145">
        <f t="shared" si="263"/>
        <v>10930.853632347787</v>
      </c>
      <c r="AG923" s="1149">
        <f>IFERROR(VLOOKUP(CONCATENATE($L923,$N923),'Drop List'!$G$23:$K$87,2,FALSE),0)</f>
        <v>0</v>
      </c>
      <c r="AH923" s="1150">
        <f>IFERROR(VLOOKUP(CONCATENATE($L923,$N923),'Drop List'!$G$23:$K$87,3,FALSE),0)</f>
        <v>0</v>
      </c>
      <c r="AI923" s="1150">
        <f>IFERROR(VLOOKUP(CONCATENATE($L923,$N923),'Drop List'!$G$23:$K$87,4,FALSE),0)</f>
        <v>0</v>
      </c>
      <c r="AJ923" s="1151">
        <f>IFERROR(VLOOKUP(CONCATENATE($L923,$N923),'Drop List'!$G$23:$K$87,5,FALSE),0)</f>
        <v>0</v>
      </c>
      <c r="AK923" s="1152">
        <f t="shared" si="264"/>
        <v>0</v>
      </c>
      <c r="AL923" s="1153">
        <f t="shared" si="265"/>
        <v>0</v>
      </c>
      <c r="AM923" s="1153">
        <f t="shared" si="266"/>
        <v>0</v>
      </c>
      <c r="AN923" s="1145">
        <f t="shared" si="267"/>
        <v>0</v>
      </c>
      <c r="AO923" s="1154">
        <f t="shared" si="268"/>
        <v>0</v>
      </c>
      <c r="AP923" s="1147">
        <f t="shared" si="255"/>
        <v>10930.853632347787</v>
      </c>
      <c r="AQ923" s="1144">
        <f t="shared" si="256"/>
        <v>0</v>
      </c>
      <c r="AR923" s="1146">
        <f t="shared" si="257"/>
        <v>10930.853632347787</v>
      </c>
    </row>
    <row r="924" spans="1:44" x14ac:dyDescent="0.2">
      <c r="A924" s="1141" t="str">
        <f t="shared" si="252"/>
        <v>1542</v>
      </c>
      <c r="B924" s="1141" t="str">
        <f>IFERROR(VLOOKUP(A924,'LAC 103'!A:C,3,FALSE),"")</f>
        <v>OP</v>
      </c>
      <c r="C924" s="1478" t="str">
        <f>Info!$B$8</f>
        <v>00100</v>
      </c>
      <c r="D924" s="1474" t="s">
        <v>256</v>
      </c>
      <c r="E924" s="1474" t="s">
        <v>95</v>
      </c>
      <c r="F924" s="1478" t="s">
        <v>392</v>
      </c>
      <c r="G924" s="1478" t="s">
        <v>392</v>
      </c>
      <c r="H924" s="1474" t="s">
        <v>983</v>
      </c>
      <c r="I924" s="1478" t="s">
        <v>823</v>
      </c>
      <c r="J924" s="1478" t="s">
        <v>2000</v>
      </c>
      <c r="K924" s="1475" t="s">
        <v>850</v>
      </c>
      <c r="L924" s="1474" t="s">
        <v>330</v>
      </c>
      <c r="M924" s="1476" t="s">
        <v>1699</v>
      </c>
      <c r="N924" s="1477" t="s">
        <v>1694</v>
      </c>
      <c r="O924" s="1479">
        <v>511</v>
      </c>
      <c r="P924" s="1479"/>
      <c r="Q924" s="1142">
        <f t="shared" si="253"/>
        <v>511</v>
      </c>
      <c r="R924" s="1143">
        <f>IFERROR(VLOOKUP(CONCATENATE(E924,G924),'LAC 103'!$A$12:$O$95,11,FALSE),0)</f>
        <v>3.2074101033884355</v>
      </c>
      <c r="S924" s="1144">
        <f>IFERROR(VLOOKUP(CONCATENATE($E924,$G924),'LAC 103'!$A$12:$O$95,12,FALSE),0)</f>
        <v>3.99</v>
      </c>
      <c r="T924" s="1144">
        <f>IFERROR(VLOOKUP(CONCATENATE($E924,$G924),'LAC 103'!$A$12:$O$95,13,FALSE),0)</f>
        <v>2.48</v>
      </c>
      <c r="U924" s="1144">
        <f>IFERROR(VLOOKUP(CONCATENATE($E924,$G924),'LAC 103'!$A$12:$O$95,14,FALSE),0)</f>
        <v>0</v>
      </c>
      <c r="V924" s="1144">
        <f>IFERROR(VLOOKUP(CONCATENATE($E924,$G924),'LAC 103'!$A$12:$O$95,15,FALSE),0)</f>
        <v>0</v>
      </c>
      <c r="W924" s="1145" t="str">
        <f>IFERROR(VLOOKUP(CONCATENATE($B924,$N924),'LAC 103'!$AI:$AQ,9,FALSE),"")</f>
        <v>Costs</v>
      </c>
      <c r="X924" s="1146">
        <f t="shared" si="258"/>
        <v>3.2074101033884355</v>
      </c>
      <c r="Y924" s="1143">
        <f t="shared" si="269"/>
        <v>1638.9865628314906</v>
      </c>
      <c r="Z924" s="1147">
        <f t="shared" si="259"/>
        <v>2038.89</v>
      </c>
      <c r="AA924" s="1144">
        <f t="shared" si="260"/>
        <v>1267.28</v>
      </c>
      <c r="AB924" s="1144">
        <f t="shared" si="261"/>
        <v>0</v>
      </c>
      <c r="AC924" s="1144">
        <f t="shared" si="262"/>
        <v>0</v>
      </c>
      <c r="AD924" s="1148">
        <f t="shared" si="254"/>
        <v>1638.9865628314906</v>
      </c>
      <c r="AE924" s="1487">
        <v>0</v>
      </c>
      <c r="AF924" s="1145">
        <f t="shared" si="263"/>
        <v>1638.9865628314906</v>
      </c>
      <c r="AG924" s="1149">
        <f>IFERROR(VLOOKUP(CONCATENATE($L924,$N924),'Drop List'!$G$23:$K$87,2,FALSE),0)</f>
        <v>0</v>
      </c>
      <c r="AH924" s="1150">
        <f>IFERROR(VLOOKUP(CONCATENATE($L924,$N924),'Drop List'!$G$23:$K$87,3,FALSE),0)</f>
        <v>0</v>
      </c>
      <c r="AI924" s="1150">
        <f>IFERROR(VLOOKUP(CONCATENATE($L924,$N924),'Drop List'!$G$23:$K$87,4,FALSE),0)</f>
        <v>1</v>
      </c>
      <c r="AJ924" s="1151">
        <f>IFERROR(VLOOKUP(CONCATENATE($L924,$N924),'Drop List'!$G$23:$K$87,5,FALSE),0)</f>
        <v>0</v>
      </c>
      <c r="AK924" s="1152">
        <f t="shared" si="264"/>
        <v>0</v>
      </c>
      <c r="AL924" s="1153">
        <f t="shared" si="265"/>
        <v>0</v>
      </c>
      <c r="AM924" s="1153">
        <f t="shared" si="266"/>
        <v>1638.9865628314906</v>
      </c>
      <c r="AN924" s="1145">
        <f t="shared" si="267"/>
        <v>0</v>
      </c>
      <c r="AO924" s="1154">
        <f t="shared" si="268"/>
        <v>1638.9865628314906</v>
      </c>
      <c r="AP924" s="1147">
        <f t="shared" si="255"/>
        <v>0</v>
      </c>
      <c r="AQ924" s="1144">
        <f t="shared" si="256"/>
        <v>0</v>
      </c>
      <c r="AR924" s="1146">
        <f t="shared" si="257"/>
        <v>1638.9865628314906</v>
      </c>
    </row>
    <row r="925" spans="1:44" x14ac:dyDescent="0.2">
      <c r="A925" s="1141" t="str">
        <f t="shared" si="252"/>
        <v>1542</v>
      </c>
      <c r="B925" s="1141" t="str">
        <f>IFERROR(VLOOKUP(A925,'LAC 103'!A:C,3,FALSE),"")</f>
        <v>OP</v>
      </c>
      <c r="C925" s="1478" t="str">
        <f>Info!$B$8</f>
        <v>00100</v>
      </c>
      <c r="D925" s="1474" t="s">
        <v>256</v>
      </c>
      <c r="E925" s="1474" t="s">
        <v>95</v>
      </c>
      <c r="F925" s="1478" t="s">
        <v>392</v>
      </c>
      <c r="G925" s="1478" t="s">
        <v>392</v>
      </c>
      <c r="H925" s="1474" t="s">
        <v>983</v>
      </c>
      <c r="I925" s="1478" t="s">
        <v>823</v>
      </c>
      <c r="J925" s="1478" t="s">
        <v>2000</v>
      </c>
      <c r="K925" s="1475" t="s">
        <v>850</v>
      </c>
      <c r="L925" s="1474" t="s">
        <v>330</v>
      </c>
      <c r="M925" s="1476" t="s">
        <v>842</v>
      </c>
      <c r="N925" s="1477" t="s">
        <v>1692</v>
      </c>
      <c r="O925" s="1479">
        <v>1699</v>
      </c>
      <c r="P925" s="1479"/>
      <c r="Q925" s="1142">
        <f t="shared" si="253"/>
        <v>1699</v>
      </c>
      <c r="R925" s="1143">
        <f>IFERROR(VLOOKUP(CONCATENATE(E925,G925),'LAC 103'!$A$12:$O$95,11,FALSE),0)</f>
        <v>3.2074101033884355</v>
      </c>
      <c r="S925" s="1144">
        <f>IFERROR(VLOOKUP(CONCATENATE($E925,$G925),'LAC 103'!$A$12:$O$95,12,FALSE),0)</f>
        <v>3.99</v>
      </c>
      <c r="T925" s="1144">
        <f>IFERROR(VLOOKUP(CONCATENATE($E925,$G925),'LAC 103'!$A$12:$O$95,13,FALSE),0)</f>
        <v>2.48</v>
      </c>
      <c r="U925" s="1144">
        <f>IFERROR(VLOOKUP(CONCATENATE($E925,$G925),'LAC 103'!$A$12:$O$95,14,FALSE),0)</f>
        <v>0</v>
      </c>
      <c r="V925" s="1144">
        <f>IFERROR(VLOOKUP(CONCATENATE($E925,$G925),'LAC 103'!$A$12:$O$95,15,FALSE),0)</f>
        <v>0</v>
      </c>
      <c r="W925" s="1145" t="str">
        <f>IFERROR(VLOOKUP(CONCATENATE($B925,$N925),'LAC 103'!$AI:$AQ,9,FALSE),"")</f>
        <v>Costs</v>
      </c>
      <c r="X925" s="1146">
        <f t="shared" si="258"/>
        <v>3.2074101033884355</v>
      </c>
      <c r="Y925" s="1143">
        <f t="shared" si="269"/>
        <v>5449.3897656569516</v>
      </c>
      <c r="Z925" s="1147">
        <f t="shared" si="259"/>
        <v>6779.01</v>
      </c>
      <c r="AA925" s="1144">
        <f t="shared" si="260"/>
        <v>4213.5199999999995</v>
      </c>
      <c r="AB925" s="1144">
        <f t="shared" si="261"/>
        <v>0</v>
      </c>
      <c r="AC925" s="1144">
        <f t="shared" si="262"/>
        <v>0</v>
      </c>
      <c r="AD925" s="1148">
        <f t="shared" si="254"/>
        <v>5449.3897656569516</v>
      </c>
      <c r="AE925" s="1487">
        <v>0</v>
      </c>
      <c r="AF925" s="1145">
        <f t="shared" si="263"/>
        <v>5449.3897656569516</v>
      </c>
      <c r="AG925" s="1149">
        <f>IFERROR(VLOOKUP(CONCATENATE($L925,$N925),'Drop List'!$G$23:$K$87,2,FALSE),0)</f>
        <v>0</v>
      </c>
      <c r="AH925" s="1150">
        <f>IFERROR(VLOOKUP(CONCATENATE($L925,$N925),'Drop List'!$G$23:$K$87,3,FALSE),0)</f>
        <v>0</v>
      </c>
      <c r="AI925" s="1150">
        <f>IFERROR(VLOOKUP(CONCATENATE($L925,$N925),'Drop List'!$G$23:$K$87,4,FALSE),0)</f>
        <v>1</v>
      </c>
      <c r="AJ925" s="1151">
        <f>IFERROR(VLOOKUP(CONCATENATE($L925,$N925),'Drop List'!$G$23:$K$87,5,FALSE),0)</f>
        <v>0</v>
      </c>
      <c r="AK925" s="1152">
        <f t="shared" si="264"/>
        <v>0</v>
      </c>
      <c r="AL925" s="1153">
        <f t="shared" si="265"/>
        <v>0</v>
      </c>
      <c r="AM925" s="1153">
        <f t="shared" si="266"/>
        <v>5449.3897656569516</v>
      </c>
      <c r="AN925" s="1145">
        <f t="shared" si="267"/>
        <v>0</v>
      </c>
      <c r="AO925" s="1154">
        <f t="shared" si="268"/>
        <v>5449.3897656569516</v>
      </c>
      <c r="AP925" s="1147">
        <f t="shared" si="255"/>
        <v>0</v>
      </c>
      <c r="AQ925" s="1144">
        <f t="shared" si="256"/>
        <v>0</v>
      </c>
      <c r="AR925" s="1146">
        <f t="shared" si="257"/>
        <v>5449.3897656569516</v>
      </c>
    </row>
    <row r="926" spans="1:44" x14ac:dyDescent="0.2">
      <c r="A926" s="1141" t="str">
        <f t="shared" si="252"/>
        <v>1542</v>
      </c>
      <c r="B926" s="1141" t="str">
        <f>IFERROR(VLOOKUP(A926,'LAC 103'!A:C,3,FALSE),"")</f>
        <v>OP</v>
      </c>
      <c r="C926" s="1478" t="str">
        <f>Info!$B$8</f>
        <v>00100</v>
      </c>
      <c r="D926" s="1474" t="s">
        <v>256</v>
      </c>
      <c r="E926" s="1474" t="s">
        <v>95</v>
      </c>
      <c r="F926" s="1478" t="s">
        <v>392</v>
      </c>
      <c r="G926" s="1478" t="s">
        <v>392</v>
      </c>
      <c r="H926" s="1474" t="s">
        <v>983</v>
      </c>
      <c r="I926" s="1478" t="s">
        <v>823</v>
      </c>
      <c r="J926" s="1478" t="s">
        <v>2000</v>
      </c>
      <c r="K926" s="1475" t="s">
        <v>850</v>
      </c>
      <c r="L926" s="1474" t="s">
        <v>330</v>
      </c>
      <c r="M926" s="1476" t="s">
        <v>1698</v>
      </c>
      <c r="N926" s="1477" t="s">
        <v>1693</v>
      </c>
      <c r="O926" s="1479">
        <v>2828</v>
      </c>
      <c r="P926" s="1479"/>
      <c r="Q926" s="1142">
        <f t="shared" si="253"/>
        <v>2828</v>
      </c>
      <c r="R926" s="1143">
        <f>IFERROR(VLOOKUP(CONCATENATE(E926,G926),'LAC 103'!$A$12:$O$95,11,FALSE),0)</f>
        <v>3.2074101033884355</v>
      </c>
      <c r="S926" s="1144">
        <f>IFERROR(VLOOKUP(CONCATENATE($E926,$G926),'LAC 103'!$A$12:$O$95,12,FALSE),0)</f>
        <v>3.99</v>
      </c>
      <c r="T926" s="1144">
        <f>IFERROR(VLOOKUP(CONCATENATE($E926,$G926),'LAC 103'!$A$12:$O$95,13,FALSE),0)</f>
        <v>2.48</v>
      </c>
      <c r="U926" s="1144">
        <f>IFERROR(VLOOKUP(CONCATENATE($E926,$G926),'LAC 103'!$A$12:$O$95,14,FALSE),0)</f>
        <v>0</v>
      </c>
      <c r="V926" s="1144">
        <f>IFERROR(VLOOKUP(CONCATENATE($E926,$G926),'LAC 103'!$A$12:$O$95,15,FALSE),0)</f>
        <v>0</v>
      </c>
      <c r="W926" s="1145" t="str">
        <f>IFERROR(VLOOKUP(CONCATENATE($B926,$N926),'LAC 103'!$AI:$AQ,9,FALSE),"")</f>
        <v>Costs</v>
      </c>
      <c r="X926" s="1146">
        <f t="shared" si="258"/>
        <v>3.2074101033884355</v>
      </c>
      <c r="Y926" s="1143">
        <f t="shared" si="269"/>
        <v>9070.555772382495</v>
      </c>
      <c r="Z926" s="1147">
        <f t="shared" si="259"/>
        <v>11283.720000000001</v>
      </c>
      <c r="AA926" s="1144">
        <f t="shared" si="260"/>
        <v>7013.44</v>
      </c>
      <c r="AB926" s="1144">
        <f t="shared" si="261"/>
        <v>0</v>
      </c>
      <c r="AC926" s="1144">
        <f t="shared" si="262"/>
        <v>0</v>
      </c>
      <c r="AD926" s="1148">
        <f t="shared" si="254"/>
        <v>9070.555772382495</v>
      </c>
      <c r="AE926" s="1487">
        <v>0</v>
      </c>
      <c r="AF926" s="1145">
        <f t="shared" si="263"/>
        <v>9070.555772382495</v>
      </c>
      <c r="AG926" s="1149">
        <f>IFERROR(VLOOKUP(CONCATENATE($L926,$N926),'Drop List'!$G$23:$K$87,2,FALSE),0)</f>
        <v>0</v>
      </c>
      <c r="AH926" s="1150">
        <f>IFERROR(VLOOKUP(CONCATENATE($L926,$N926),'Drop List'!$G$23:$K$87,3,FALSE),0)</f>
        <v>0</v>
      </c>
      <c r="AI926" s="1150">
        <f>IFERROR(VLOOKUP(CONCATENATE($L926,$N926),'Drop List'!$G$23:$K$87,4,FALSE),0)</f>
        <v>1</v>
      </c>
      <c r="AJ926" s="1151">
        <f>IFERROR(VLOOKUP(CONCATENATE($L926,$N926),'Drop List'!$G$23:$K$87,5,FALSE),0)</f>
        <v>0</v>
      </c>
      <c r="AK926" s="1152">
        <f t="shared" si="264"/>
        <v>0</v>
      </c>
      <c r="AL926" s="1153">
        <f t="shared" si="265"/>
        <v>0</v>
      </c>
      <c r="AM926" s="1153">
        <f t="shared" si="266"/>
        <v>9070.555772382495</v>
      </c>
      <c r="AN926" s="1145">
        <f t="shared" si="267"/>
        <v>0</v>
      </c>
      <c r="AO926" s="1154">
        <f t="shared" si="268"/>
        <v>9070.555772382495</v>
      </c>
      <c r="AP926" s="1147">
        <f t="shared" si="255"/>
        <v>0</v>
      </c>
      <c r="AQ926" s="1144">
        <f t="shared" si="256"/>
        <v>0</v>
      </c>
      <c r="AR926" s="1146">
        <f t="shared" si="257"/>
        <v>9070.555772382495</v>
      </c>
    </row>
    <row r="927" spans="1:44" x14ac:dyDescent="0.2">
      <c r="A927" s="1141" t="str">
        <f t="shared" si="252"/>
        <v>1542</v>
      </c>
      <c r="B927" s="1141" t="str">
        <f>IFERROR(VLOOKUP(A927,'LAC 103'!A:C,3,FALSE),"")</f>
        <v>OP</v>
      </c>
      <c r="C927" s="1478" t="str">
        <f>Info!$B$8</f>
        <v>00100</v>
      </c>
      <c r="D927" s="1474" t="s">
        <v>256</v>
      </c>
      <c r="E927" s="1474" t="s">
        <v>95</v>
      </c>
      <c r="F927" s="1478" t="s">
        <v>392</v>
      </c>
      <c r="G927" s="1478" t="s">
        <v>392</v>
      </c>
      <c r="H927" s="1474" t="s">
        <v>983</v>
      </c>
      <c r="I927" s="1478" t="s">
        <v>823</v>
      </c>
      <c r="J927" s="1478" t="s">
        <v>2000</v>
      </c>
      <c r="K927" s="1475" t="s">
        <v>851</v>
      </c>
      <c r="L927" s="1474" t="s">
        <v>584</v>
      </c>
      <c r="M927" s="1476" t="s">
        <v>1699</v>
      </c>
      <c r="N927" s="1477" t="s">
        <v>1694</v>
      </c>
      <c r="O927" s="1479">
        <v>6801</v>
      </c>
      <c r="P927" s="1479"/>
      <c r="Q927" s="1142">
        <f t="shared" si="253"/>
        <v>6801</v>
      </c>
      <c r="R927" s="1143">
        <f>IFERROR(VLOOKUP(CONCATENATE(E927,G927),'LAC 103'!$A$12:$O$95,11,FALSE),0)</f>
        <v>3.2074101033884355</v>
      </c>
      <c r="S927" s="1144">
        <f>IFERROR(VLOOKUP(CONCATENATE($E927,$G927),'LAC 103'!$A$12:$O$95,12,FALSE),0)</f>
        <v>3.99</v>
      </c>
      <c r="T927" s="1144">
        <f>IFERROR(VLOOKUP(CONCATENATE($E927,$G927),'LAC 103'!$A$12:$O$95,13,FALSE),0)</f>
        <v>2.48</v>
      </c>
      <c r="U927" s="1144">
        <f>IFERROR(VLOOKUP(CONCATENATE($E927,$G927),'LAC 103'!$A$12:$O$95,14,FALSE),0)</f>
        <v>0</v>
      </c>
      <c r="V927" s="1144">
        <f>IFERROR(VLOOKUP(CONCATENATE($E927,$G927),'LAC 103'!$A$12:$O$95,15,FALSE),0)</f>
        <v>0</v>
      </c>
      <c r="W927" s="1145" t="str">
        <f>IFERROR(VLOOKUP(CONCATENATE($B927,$N927),'LAC 103'!$AI:$AQ,9,FALSE),"")</f>
        <v>Costs</v>
      </c>
      <c r="X927" s="1146">
        <f t="shared" si="258"/>
        <v>3.2074101033884355</v>
      </c>
      <c r="Y927" s="1143">
        <f t="shared" si="269"/>
        <v>21813.596113144751</v>
      </c>
      <c r="Z927" s="1147">
        <f t="shared" si="259"/>
        <v>27135.99</v>
      </c>
      <c r="AA927" s="1144">
        <f t="shared" si="260"/>
        <v>16866.48</v>
      </c>
      <c r="AB927" s="1144">
        <f t="shared" si="261"/>
        <v>0</v>
      </c>
      <c r="AC927" s="1144">
        <f t="shared" si="262"/>
        <v>0</v>
      </c>
      <c r="AD927" s="1148">
        <f t="shared" si="254"/>
        <v>21813.596113144751</v>
      </c>
      <c r="AE927" s="1487">
        <v>0</v>
      </c>
      <c r="AF927" s="1145">
        <f t="shared" si="263"/>
        <v>21813.596113144751</v>
      </c>
      <c r="AG927" s="1149">
        <f>IFERROR(VLOOKUP(CONCATENATE($L927,$N927),'Drop List'!$G$23:$K$87,2,FALSE),0)</f>
        <v>0.56200000000000006</v>
      </c>
      <c r="AH927" s="1150">
        <f>IFERROR(VLOOKUP(CONCATENATE($L927,$N927),'Drop List'!$G$23:$K$87,3,FALSE),0)</f>
        <v>0</v>
      </c>
      <c r="AI927" s="1150">
        <f>IFERROR(VLOOKUP(CONCATENATE($L927,$N927),'Drop List'!$G$23:$K$87,4,FALSE),0)</f>
        <v>0</v>
      </c>
      <c r="AJ927" s="1151">
        <f>IFERROR(VLOOKUP(CONCATENATE($L927,$N927),'Drop List'!$G$23:$K$87,5,FALSE),0)</f>
        <v>0.43799999999999994</v>
      </c>
      <c r="AK927" s="1152">
        <f t="shared" si="264"/>
        <v>12259.241015587351</v>
      </c>
      <c r="AL927" s="1153">
        <f t="shared" si="265"/>
        <v>0</v>
      </c>
      <c r="AM927" s="1153">
        <f t="shared" si="266"/>
        <v>0</v>
      </c>
      <c r="AN927" s="1145">
        <f t="shared" si="267"/>
        <v>9554.3550975573999</v>
      </c>
      <c r="AO927" s="1154">
        <f t="shared" si="268"/>
        <v>21813.596113144751</v>
      </c>
      <c r="AP927" s="1147">
        <f t="shared" si="255"/>
        <v>0</v>
      </c>
      <c r="AQ927" s="1144">
        <f t="shared" si="256"/>
        <v>0</v>
      </c>
      <c r="AR927" s="1146">
        <f t="shared" si="257"/>
        <v>21813.596113144751</v>
      </c>
    </row>
    <row r="928" spans="1:44" x14ac:dyDescent="0.2">
      <c r="A928" s="1141" t="str">
        <f t="shared" si="252"/>
        <v>1542</v>
      </c>
      <c r="B928" s="1141" t="str">
        <f>IFERROR(VLOOKUP(A928,'LAC 103'!A:C,3,FALSE),"")</f>
        <v>OP</v>
      </c>
      <c r="C928" s="1478" t="str">
        <f>Info!$B$8</f>
        <v>00100</v>
      </c>
      <c r="D928" s="1474" t="s">
        <v>256</v>
      </c>
      <c r="E928" s="1474" t="s">
        <v>95</v>
      </c>
      <c r="F928" s="1478" t="s">
        <v>392</v>
      </c>
      <c r="G928" s="1478" t="s">
        <v>392</v>
      </c>
      <c r="H928" s="1474" t="s">
        <v>983</v>
      </c>
      <c r="I928" s="1478" t="s">
        <v>823</v>
      </c>
      <c r="J928" s="1478" t="s">
        <v>2000</v>
      </c>
      <c r="K928" s="1475" t="s">
        <v>851</v>
      </c>
      <c r="L928" s="1474" t="s">
        <v>584</v>
      </c>
      <c r="M928" s="1476" t="s">
        <v>841</v>
      </c>
      <c r="N928" s="1477" t="s">
        <v>1695</v>
      </c>
      <c r="O928" s="1479">
        <v>2256</v>
      </c>
      <c r="P928" s="1479"/>
      <c r="Q928" s="1142">
        <f t="shared" si="253"/>
        <v>2256</v>
      </c>
      <c r="R928" s="1143">
        <f>IFERROR(VLOOKUP(CONCATENATE(E928,G928),'LAC 103'!$A$12:$O$95,11,FALSE),0)</f>
        <v>3.2074101033884355</v>
      </c>
      <c r="S928" s="1144">
        <f>IFERROR(VLOOKUP(CONCATENATE($E928,$G928),'LAC 103'!$A$12:$O$95,12,FALSE),0)</f>
        <v>3.99</v>
      </c>
      <c r="T928" s="1144">
        <f>IFERROR(VLOOKUP(CONCATENATE($E928,$G928),'LAC 103'!$A$12:$O$95,13,FALSE),0)</f>
        <v>2.48</v>
      </c>
      <c r="U928" s="1144">
        <f>IFERROR(VLOOKUP(CONCATENATE($E928,$G928),'LAC 103'!$A$12:$O$95,14,FALSE),0)</f>
        <v>0</v>
      </c>
      <c r="V928" s="1144">
        <f>IFERROR(VLOOKUP(CONCATENATE($E928,$G928),'LAC 103'!$A$12:$O$95,15,FALSE),0)</f>
        <v>0</v>
      </c>
      <c r="W928" s="1145" t="str">
        <f>IFERROR(VLOOKUP(CONCATENATE($B928,$N928),'LAC 103'!$AI:$AQ,9,FALSE),"")</f>
        <v>Costs</v>
      </c>
      <c r="X928" s="1146">
        <f t="shared" si="258"/>
        <v>3.2074101033884355</v>
      </c>
      <c r="Y928" s="1143">
        <f t="shared" si="269"/>
        <v>7235.9171932443105</v>
      </c>
      <c r="Z928" s="1147">
        <f t="shared" si="259"/>
        <v>9001.44</v>
      </c>
      <c r="AA928" s="1144">
        <f t="shared" si="260"/>
        <v>5594.88</v>
      </c>
      <c r="AB928" s="1144">
        <f t="shared" si="261"/>
        <v>0</v>
      </c>
      <c r="AC928" s="1144">
        <f t="shared" si="262"/>
        <v>0</v>
      </c>
      <c r="AD928" s="1148">
        <f t="shared" si="254"/>
        <v>7235.9171932443105</v>
      </c>
      <c r="AE928" s="1487">
        <v>0</v>
      </c>
      <c r="AF928" s="1145">
        <f t="shared" si="263"/>
        <v>7235.9171932443105</v>
      </c>
      <c r="AG928" s="1149">
        <f>IFERROR(VLOOKUP(CONCATENATE($L928,$N928),'Drop List'!$G$23:$K$87,2,FALSE),0)</f>
        <v>0.55000000000000004</v>
      </c>
      <c r="AH928" s="1150">
        <f>IFERROR(VLOOKUP(CONCATENATE($L928,$N928),'Drop List'!$G$23:$K$87,3,FALSE),0)</f>
        <v>0</v>
      </c>
      <c r="AI928" s="1150">
        <f>IFERROR(VLOOKUP(CONCATENATE($L928,$N928),'Drop List'!$G$23:$K$87,4,FALSE),0)</f>
        <v>0</v>
      </c>
      <c r="AJ928" s="1151">
        <f>IFERROR(VLOOKUP(CONCATENATE($L928,$N928),'Drop List'!$G$23:$K$87,5,FALSE),0)</f>
        <v>0.44999999999999996</v>
      </c>
      <c r="AK928" s="1152">
        <f t="shared" si="264"/>
        <v>3979.7544562843709</v>
      </c>
      <c r="AL928" s="1153">
        <f t="shared" si="265"/>
        <v>0</v>
      </c>
      <c r="AM928" s="1153">
        <f t="shared" si="266"/>
        <v>0</v>
      </c>
      <c r="AN928" s="1145">
        <f t="shared" si="267"/>
        <v>3256.1627369599396</v>
      </c>
      <c r="AO928" s="1154">
        <f t="shared" si="268"/>
        <v>7235.9171932443105</v>
      </c>
      <c r="AP928" s="1147">
        <f t="shared" si="255"/>
        <v>0</v>
      </c>
      <c r="AQ928" s="1144">
        <f t="shared" si="256"/>
        <v>0</v>
      </c>
      <c r="AR928" s="1146">
        <f t="shared" si="257"/>
        <v>7235.9171932443105</v>
      </c>
    </row>
    <row r="929" spans="1:44" x14ac:dyDescent="0.2">
      <c r="A929" s="1141" t="str">
        <f t="shared" si="252"/>
        <v>1542</v>
      </c>
      <c r="B929" s="1141" t="str">
        <f>IFERROR(VLOOKUP(A929,'LAC 103'!A:C,3,FALSE),"")</f>
        <v>OP</v>
      </c>
      <c r="C929" s="1478" t="str">
        <f>Info!$B$8</f>
        <v>00100</v>
      </c>
      <c r="D929" s="1474" t="s">
        <v>256</v>
      </c>
      <c r="E929" s="1474" t="s">
        <v>95</v>
      </c>
      <c r="F929" s="1478" t="s">
        <v>392</v>
      </c>
      <c r="G929" s="1478" t="s">
        <v>392</v>
      </c>
      <c r="H929" s="1474" t="s">
        <v>983</v>
      </c>
      <c r="I929" s="1478" t="s">
        <v>823</v>
      </c>
      <c r="J929" s="1478" t="s">
        <v>2000</v>
      </c>
      <c r="K929" s="1475" t="s">
        <v>851</v>
      </c>
      <c r="L929" s="1474" t="s">
        <v>584</v>
      </c>
      <c r="M929" s="1476" t="s">
        <v>840</v>
      </c>
      <c r="N929" s="1477" t="s">
        <v>1700</v>
      </c>
      <c r="O929" s="1479">
        <v>3152</v>
      </c>
      <c r="P929" s="1479"/>
      <c r="Q929" s="1142">
        <f t="shared" si="253"/>
        <v>3152</v>
      </c>
      <c r="R929" s="1143">
        <f>IFERROR(VLOOKUP(CONCATENATE(E929,G929),'LAC 103'!$A$12:$O$95,11,FALSE),0)</f>
        <v>3.2074101033884355</v>
      </c>
      <c r="S929" s="1144">
        <f>IFERROR(VLOOKUP(CONCATENATE($E929,$G929),'LAC 103'!$A$12:$O$95,12,FALSE),0)</f>
        <v>3.99</v>
      </c>
      <c r="T929" s="1144">
        <f>IFERROR(VLOOKUP(CONCATENATE($E929,$G929),'LAC 103'!$A$12:$O$95,13,FALSE),0)</f>
        <v>2.48</v>
      </c>
      <c r="U929" s="1144">
        <f>IFERROR(VLOOKUP(CONCATENATE($E929,$G929),'LAC 103'!$A$12:$O$95,14,FALSE),0)</f>
        <v>0</v>
      </c>
      <c r="V929" s="1144">
        <f>IFERROR(VLOOKUP(CONCATENATE($E929,$G929),'LAC 103'!$A$12:$O$95,15,FALSE),0)</f>
        <v>0</v>
      </c>
      <c r="W929" s="1145" t="str">
        <f>IFERROR(VLOOKUP(CONCATENATE($B929,$N929),'LAC 103'!$AI:$AQ,9,FALSE),"")</f>
        <v>P.C.</v>
      </c>
      <c r="X929" s="1146">
        <f t="shared" si="258"/>
        <v>2.48</v>
      </c>
      <c r="Y929" s="1143">
        <f t="shared" si="269"/>
        <v>10109.756645880349</v>
      </c>
      <c r="Z929" s="1147">
        <f t="shared" si="259"/>
        <v>12576.480000000001</v>
      </c>
      <c r="AA929" s="1144">
        <f t="shared" si="260"/>
        <v>7816.96</v>
      </c>
      <c r="AB929" s="1144">
        <f t="shared" si="261"/>
        <v>0</v>
      </c>
      <c r="AC929" s="1144">
        <f t="shared" si="262"/>
        <v>0</v>
      </c>
      <c r="AD929" s="1148">
        <f t="shared" si="254"/>
        <v>7816.96</v>
      </c>
      <c r="AE929" s="1487">
        <v>0</v>
      </c>
      <c r="AF929" s="1145">
        <f t="shared" si="263"/>
        <v>7816.96</v>
      </c>
      <c r="AG929" s="1149">
        <f>IFERROR(VLOOKUP(CONCATENATE($L929,$N929),'Drop List'!$G$23:$K$87,2,FALSE),0)</f>
        <v>0.55000000000000004</v>
      </c>
      <c r="AH929" s="1150">
        <f>IFERROR(VLOOKUP(CONCATENATE($L929,$N929),'Drop List'!$G$23:$K$87,3,FALSE),0)</f>
        <v>0</v>
      </c>
      <c r="AI929" s="1150">
        <f>IFERROR(VLOOKUP(CONCATENATE($L929,$N929),'Drop List'!$G$23:$K$87,4,FALSE),0)</f>
        <v>0</v>
      </c>
      <c r="AJ929" s="1151">
        <f>IFERROR(VLOOKUP(CONCATENATE($L929,$N929),'Drop List'!$G$23:$K$87,5,FALSE),0)</f>
        <v>0.44999999999999996</v>
      </c>
      <c r="AK929" s="1152">
        <f t="shared" si="264"/>
        <v>4299.3280000000004</v>
      </c>
      <c r="AL929" s="1153">
        <f t="shared" si="265"/>
        <v>0</v>
      </c>
      <c r="AM929" s="1153">
        <f t="shared" si="266"/>
        <v>0</v>
      </c>
      <c r="AN929" s="1145">
        <f t="shared" si="267"/>
        <v>3517.6319999999996</v>
      </c>
      <c r="AO929" s="1154">
        <f t="shared" si="268"/>
        <v>7816.96</v>
      </c>
      <c r="AP929" s="1147">
        <f t="shared" si="255"/>
        <v>0</v>
      </c>
      <c r="AQ929" s="1144">
        <f t="shared" si="256"/>
        <v>0</v>
      </c>
      <c r="AR929" s="1146">
        <f t="shared" si="257"/>
        <v>7816.96</v>
      </c>
    </row>
    <row r="930" spans="1:44" x14ac:dyDescent="0.2">
      <c r="A930" s="1141" t="str">
        <f t="shared" si="252"/>
        <v>1542</v>
      </c>
      <c r="B930" s="1141" t="str">
        <f>IFERROR(VLOOKUP(A930,'LAC 103'!A:C,3,FALSE),"")</f>
        <v>OP</v>
      </c>
      <c r="C930" s="1478" t="str">
        <f>Info!$B$8</f>
        <v>00100</v>
      </c>
      <c r="D930" s="1474" t="s">
        <v>256</v>
      </c>
      <c r="E930" s="1474" t="s">
        <v>95</v>
      </c>
      <c r="F930" s="1478" t="s">
        <v>392</v>
      </c>
      <c r="G930" s="1478" t="s">
        <v>392</v>
      </c>
      <c r="H930" s="1474" t="s">
        <v>983</v>
      </c>
      <c r="I930" s="1478" t="s">
        <v>823</v>
      </c>
      <c r="J930" s="1478" t="s">
        <v>2000</v>
      </c>
      <c r="K930" s="1475" t="s">
        <v>851</v>
      </c>
      <c r="L930" s="1474" t="s">
        <v>584</v>
      </c>
      <c r="M930" s="1476" t="s">
        <v>842</v>
      </c>
      <c r="N930" s="1477" t="s">
        <v>1692</v>
      </c>
      <c r="O930" s="1479">
        <v>6383</v>
      </c>
      <c r="P930" s="1479"/>
      <c r="Q930" s="1142">
        <f t="shared" si="253"/>
        <v>6383</v>
      </c>
      <c r="R930" s="1143">
        <f>IFERROR(VLOOKUP(CONCATENATE(E930,G930),'LAC 103'!$A$12:$O$95,11,FALSE),0)</f>
        <v>3.2074101033884355</v>
      </c>
      <c r="S930" s="1144">
        <f>IFERROR(VLOOKUP(CONCATENATE($E930,$G930),'LAC 103'!$A$12:$O$95,12,FALSE),0)</f>
        <v>3.99</v>
      </c>
      <c r="T930" s="1144">
        <f>IFERROR(VLOOKUP(CONCATENATE($E930,$G930),'LAC 103'!$A$12:$O$95,13,FALSE),0)</f>
        <v>2.48</v>
      </c>
      <c r="U930" s="1144">
        <f>IFERROR(VLOOKUP(CONCATENATE($E930,$G930),'LAC 103'!$A$12:$O$95,14,FALSE),0)</f>
        <v>0</v>
      </c>
      <c r="V930" s="1144">
        <f>IFERROR(VLOOKUP(CONCATENATE($E930,$G930),'LAC 103'!$A$12:$O$95,15,FALSE),0)</f>
        <v>0</v>
      </c>
      <c r="W930" s="1145" t="str">
        <f>IFERROR(VLOOKUP(CONCATENATE($B930,$N930),'LAC 103'!$AI:$AQ,9,FALSE),"")</f>
        <v>Costs</v>
      </c>
      <c r="X930" s="1146">
        <f t="shared" si="258"/>
        <v>3.2074101033884355</v>
      </c>
      <c r="Y930" s="1143">
        <f t="shared" si="269"/>
        <v>20472.898689928385</v>
      </c>
      <c r="Z930" s="1147">
        <f t="shared" si="259"/>
        <v>25468.170000000002</v>
      </c>
      <c r="AA930" s="1144">
        <f t="shared" si="260"/>
        <v>15829.84</v>
      </c>
      <c r="AB930" s="1144">
        <f t="shared" si="261"/>
        <v>0</v>
      </c>
      <c r="AC930" s="1144">
        <f t="shared" si="262"/>
        <v>0</v>
      </c>
      <c r="AD930" s="1148">
        <f t="shared" si="254"/>
        <v>20472.898689928385</v>
      </c>
      <c r="AE930" s="1487">
        <v>0</v>
      </c>
      <c r="AF930" s="1145">
        <f t="shared" si="263"/>
        <v>20472.898689928385</v>
      </c>
      <c r="AG930" s="1149">
        <f>IFERROR(VLOOKUP(CONCATENATE($L930,$N930),'Drop List'!$G$23:$K$87,2,FALSE),0)</f>
        <v>0.56200000000000006</v>
      </c>
      <c r="AH930" s="1150">
        <f>IFERROR(VLOOKUP(CONCATENATE($L930,$N930),'Drop List'!$G$23:$K$87,3,FALSE),0)</f>
        <v>0</v>
      </c>
      <c r="AI930" s="1150">
        <f>IFERROR(VLOOKUP(CONCATENATE($L930,$N930),'Drop List'!$G$23:$K$87,4,FALSE),0)</f>
        <v>0</v>
      </c>
      <c r="AJ930" s="1151">
        <f>IFERROR(VLOOKUP(CONCATENATE($L930,$N930),'Drop List'!$G$23:$K$87,5,FALSE),0)</f>
        <v>0.43799999999999994</v>
      </c>
      <c r="AK930" s="1152">
        <f t="shared" si="264"/>
        <v>11505.769063739754</v>
      </c>
      <c r="AL930" s="1153">
        <f t="shared" si="265"/>
        <v>0</v>
      </c>
      <c r="AM930" s="1153">
        <f t="shared" si="266"/>
        <v>0</v>
      </c>
      <c r="AN930" s="1145">
        <f t="shared" si="267"/>
        <v>8967.1296261886309</v>
      </c>
      <c r="AO930" s="1154">
        <f t="shared" si="268"/>
        <v>20472.898689928385</v>
      </c>
      <c r="AP930" s="1147">
        <f t="shared" si="255"/>
        <v>0</v>
      </c>
      <c r="AQ930" s="1144">
        <f t="shared" si="256"/>
        <v>0</v>
      </c>
      <c r="AR930" s="1146">
        <f t="shared" si="257"/>
        <v>20472.898689928385</v>
      </c>
    </row>
    <row r="931" spans="1:44" x14ac:dyDescent="0.2">
      <c r="A931" s="1141" t="str">
        <f t="shared" si="252"/>
        <v>1542</v>
      </c>
      <c r="B931" s="1141" t="str">
        <f>IFERROR(VLOOKUP(A931,'LAC 103'!A:C,3,FALSE),"")</f>
        <v>OP</v>
      </c>
      <c r="C931" s="1478" t="str">
        <f>Info!$B$8</f>
        <v>00100</v>
      </c>
      <c r="D931" s="1474" t="s">
        <v>256</v>
      </c>
      <c r="E931" s="1474" t="s">
        <v>95</v>
      </c>
      <c r="F931" s="1478" t="s">
        <v>392</v>
      </c>
      <c r="G931" s="1478" t="s">
        <v>392</v>
      </c>
      <c r="H931" s="1474" t="s">
        <v>983</v>
      </c>
      <c r="I931" s="1478" t="s">
        <v>823</v>
      </c>
      <c r="J931" s="1478" t="s">
        <v>2000</v>
      </c>
      <c r="K931" s="1475" t="s">
        <v>851</v>
      </c>
      <c r="L931" s="1474" t="s">
        <v>584</v>
      </c>
      <c r="M931" s="1476" t="s">
        <v>1698</v>
      </c>
      <c r="N931" s="1477" t="s">
        <v>1693</v>
      </c>
      <c r="O931" s="1479">
        <v>5132</v>
      </c>
      <c r="P931" s="1479"/>
      <c r="Q931" s="1142">
        <f t="shared" si="253"/>
        <v>5132</v>
      </c>
      <c r="R931" s="1143">
        <f>IFERROR(VLOOKUP(CONCATENATE(E931,G931),'LAC 103'!$A$12:$O$95,11,FALSE),0)</f>
        <v>3.2074101033884355</v>
      </c>
      <c r="S931" s="1144">
        <f>IFERROR(VLOOKUP(CONCATENATE($E931,$G931),'LAC 103'!$A$12:$O$95,12,FALSE),0)</f>
        <v>3.99</v>
      </c>
      <c r="T931" s="1144">
        <f>IFERROR(VLOOKUP(CONCATENATE($E931,$G931),'LAC 103'!$A$12:$O$95,13,FALSE),0)</f>
        <v>2.48</v>
      </c>
      <c r="U931" s="1144">
        <f>IFERROR(VLOOKUP(CONCATENATE($E931,$G931),'LAC 103'!$A$12:$O$95,14,FALSE),0)</f>
        <v>0</v>
      </c>
      <c r="V931" s="1144">
        <f>IFERROR(VLOOKUP(CONCATENATE($E931,$G931),'LAC 103'!$A$12:$O$95,15,FALSE),0)</f>
        <v>0</v>
      </c>
      <c r="W931" s="1145" t="str">
        <f>IFERROR(VLOOKUP(CONCATENATE($B931,$N931),'LAC 103'!$AI:$AQ,9,FALSE),"")</f>
        <v>Costs</v>
      </c>
      <c r="X931" s="1146">
        <f t="shared" si="258"/>
        <v>3.2074101033884355</v>
      </c>
      <c r="Y931" s="1143">
        <f t="shared" si="269"/>
        <v>16460.428650589452</v>
      </c>
      <c r="Z931" s="1147">
        <f t="shared" si="259"/>
        <v>20476.68</v>
      </c>
      <c r="AA931" s="1144">
        <f t="shared" si="260"/>
        <v>12727.36</v>
      </c>
      <c r="AB931" s="1144">
        <f t="shared" si="261"/>
        <v>0</v>
      </c>
      <c r="AC931" s="1144">
        <f t="shared" si="262"/>
        <v>0</v>
      </c>
      <c r="AD931" s="1148">
        <f t="shared" si="254"/>
        <v>16460.428650589452</v>
      </c>
      <c r="AE931" s="1487">
        <v>0</v>
      </c>
      <c r="AF931" s="1145">
        <f t="shared" si="263"/>
        <v>16460.428650589452</v>
      </c>
      <c r="AG931" s="1149">
        <f>IFERROR(VLOOKUP(CONCATENATE($L931,$N931),'Drop List'!$G$23:$K$87,2,FALSE),0)</f>
        <v>0.56200000000000006</v>
      </c>
      <c r="AH931" s="1150">
        <f>IFERROR(VLOOKUP(CONCATENATE($L931,$N931),'Drop List'!$G$23:$K$87,3,FALSE),0)</f>
        <v>0</v>
      </c>
      <c r="AI931" s="1150">
        <f>IFERROR(VLOOKUP(CONCATENATE($L931,$N931),'Drop List'!$G$23:$K$87,4,FALSE),0)</f>
        <v>0</v>
      </c>
      <c r="AJ931" s="1151">
        <f>IFERROR(VLOOKUP(CONCATENATE($L931,$N931),'Drop List'!$G$23:$K$87,5,FALSE),0)</f>
        <v>0.43799999999999994</v>
      </c>
      <c r="AK931" s="1152">
        <f t="shared" si="264"/>
        <v>9250.7609016312726</v>
      </c>
      <c r="AL931" s="1153">
        <f t="shared" si="265"/>
        <v>0</v>
      </c>
      <c r="AM931" s="1153">
        <f t="shared" si="266"/>
        <v>0</v>
      </c>
      <c r="AN931" s="1145">
        <f t="shared" si="267"/>
        <v>7209.6677489581789</v>
      </c>
      <c r="AO931" s="1154">
        <f t="shared" si="268"/>
        <v>16460.428650589452</v>
      </c>
      <c r="AP931" s="1147">
        <f t="shared" si="255"/>
        <v>0</v>
      </c>
      <c r="AQ931" s="1144">
        <f t="shared" si="256"/>
        <v>0</v>
      </c>
      <c r="AR931" s="1146">
        <f t="shared" si="257"/>
        <v>16460.428650589452</v>
      </c>
    </row>
    <row r="932" spans="1:44" x14ac:dyDescent="0.2">
      <c r="A932" s="1141" t="str">
        <f t="shared" si="252"/>
        <v>1542</v>
      </c>
      <c r="B932" s="1141" t="str">
        <f>IFERROR(VLOOKUP(A932,'LAC 103'!A:C,3,FALSE),"")</f>
        <v>OP</v>
      </c>
      <c r="C932" s="1478" t="str">
        <f>Info!$B$8</f>
        <v>00100</v>
      </c>
      <c r="D932" s="1474" t="s">
        <v>256</v>
      </c>
      <c r="E932" s="1474" t="s">
        <v>95</v>
      </c>
      <c r="F932" s="1478" t="s">
        <v>392</v>
      </c>
      <c r="G932" s="1478" t="s">
        <v>392</v>
      </c>
      <c r="H932" s="1474" t="s">
        <v>983</v>
      </c>
      <c r="I932" s="1478" t="s">
        <v>823</v>
      </c>
      <c r="J932" s="1478" t="s">
        <v>2001</v>
      </c>
      <c r="K932" s="1475" t="s">
        <v>1654</v>
      </c>
      <c r="L932" s="1474" t="s">
        <v>332</v>
      </c>
      <c r="M932" s="1476" t="s">
        <v>841</v>
      </c>
      <c r="N932" s="1477" t="s">
        <v>1695</v>
      </c>
      <c r="O932" s="1479">
        <v>327</v>
      </c>
      <c r="P932" s="1479"/>
      <c r="Q932" s="1142">
        <f t="shared" si="253"/>
        <v>327</v>
      </c>
      <c r="R932" s="1143">
        <f>IFERROR(VLOOKUP(CONCATENATE(E932,G932),'LAC 103'!$A$12:$O$95,11,FALSE),0)</f>
        <v>3.2074101033884355</v>
      </c>
      <c r="S932" s="1144">
        <f>IFERROR(VLOOKUP(CONCATENATE($E932,$G932),'LAC 103'!$A$12:$O$95,12,FALSE),0)</f>
        <v>3.99</v>
      </c>
      <c r="T932" s="1144">
        <f>IFERROR(VLOOKUP(CONCATENATE($E932,$G932),'LAC 103'!$A$12:$O$95,13,FALSE),0)</f>
        <v>2.48</v>
      </c>
      <c r="U932" s="1144">
        <f>IFERROR(VLOOKUP(CONCATENATE($E932,$G932),'LAC 103'!$A$12:$O$95,14,FALSE),0)</f>
        <v>0</v>
      </c>
      <c r="V932" s="1144">
        <f>IFERROR(VLOOKUP(CONCATENATE($E932,$G932),'LAC 103'!$A$12:$O$95,15,FALSE),0)</f>
        <v>0</v>
      </c>
      <c r="W932" s="1145" t="str">
        <f>IFERROR(VLOOKUP(CONCATENATE($B932,$N932),'LAC 103'!$AI:$AQ,9,FALSE),"")</f>
        <v>Costs</v>
      </c>
      <c r="X932" s="1146">
        <f t="shared" si="258"/>
        <v>3.2074101033884355</v>
      </c>
      <c r="Y932" s="1143">
        <f t="shared" si="269"/>
        <v>1048.8231038080185</v>
      </c>
      <c r="Z932" s="1147">
        <f t="shared" si="259"/>
        <v>1304.73</v>
      </c>
      <c r="AA932" s="1144">
        <f t="shared" si="260"/>
        <v>810.96</v>
      </c>
      <c r="AB932" s="1144">
        <f t="shared" si="261"/>
        <v>0</v>
      </c>
      <c r="AC932" s="1144">
        <f t="shared" si="262"/>
        <v>0</v>
      </c>
      <c r="AD932" s="1148">
        <f t="shared" si="254"/>
        <v>1048.8231038080185</v>
      </c>
      <c r="AE932" s="1487">
        <v>0</v>
      </c>
      <c r="AF932" s="1145">
        <f t="shared" si="263"/>
        <v>1048.8231038080185</v>
      </c>
      <c r="AG932" s="1149">
        <f>IFERROR(VLOOKUP(CONCATENATE($L932,$N932),'Drop List'!$G$23:$K$87,2,FALSE),0)</f>
        <v>0</v>
      </c>
      <c r="AH932" s="1150">
        <f>IFERROR(VLOOKUP(CONCATENATE($L932,$N932),'Drop List'!$G$23:$K$87,3,FALSE),0)</f>
        <v>0</v>
      </c>
      <c r="AI932" s="1150">
        <f>IFERROR(VLOOKUP(CONCATENATE($L932,$N932),'Drop List'!$G$23:$K$87,4,FALSE),0)</f>
        <v>0</v>
      </c>
      <c r="AJ932" s="1151">
        <f>IFERROR(VLOOKUP(CONCATENATE($L932,$N932),'Drop List'!$G$23:$K$87,5,FALSE),0)</f>
        <v>0</v>
      </c>
      <c r="AK932" s="1152">
        <f t="shared" si="264"/>
        <v>0</v>
      </c>
      <c r="AL932" s="1153">
        <f t="shared" si="265"/>
        <v>0</v>
      </c>
      <c r="AM932" s="1153">
        <f t="shared" si="266"/>
        <v>0</v>
      </c>
      <c r="AN932" s="1145">
        <f t="shared" si="267"/>
        <v>0</v>
      </c>
      <c r="AO932" s="1154">
        <f t="shared" si="268"/>
        <v>0</v>
      </c>
      <c r="AP932" s="1147">
        <f t="shared" si="255"/>
        <v>1048.8231038080185</v>
      </c>
      <c r="AQ932" s="1144">
        <f t="shared" si="256"/>
        <v>0</v>
      </c>
      <c r="AR932" s="1146">
        <f t="shared" si="257"/>
        <v>1048.8231038080185</v>
      </c>
    </row>
    <row r="933" spans="1:44" x14ac:dyDescent="0.2">
      <c r="A933" s="1141" t="str">
        <f t="shared" si="252"/>
        <v>1542</v>
      </c>
      <c r="B933" s="1141" t="str">
        <f>IFERROR(VLOOKUP(A933,'LAC 103'!A:C,3,FALSE),"")</f>
        <v>OP</v>
      </c>
      <c r="C933" s="1478" t="str">
        <f>Info!$B$8</f>
        <v>00100</v>
      </c>
      <c r="D933" s="1474" t="s">
        <v>256</v>
      </c>
      <c r="E933" s="1474" t="s">
        <v>95</v>
      </c>
      <c r="F933" s="1478" t="s">
        <v>392</v>
      </c>
      <c r="G933" s="1478" t="s">
        <v>392</v>
      </c>
      <c r="H933" s="1474" t="s">
        <v>983</v>
      </c>
      <c r="I933" s="1478" t="s">
        <v>823</v>
      </c>
      <c r="J933" s="1478" t="s">
        <v>2001</v>
      </c>
      <c r="K933" s="1475" t="s">
        <v>1654</v>
      </c>
      <c r="L933" s="1474" t="s">
        <v>332</v>
      </c>
      <c r="M933" s="1476" t="s">
        <v>840</v>
      </c>
      <c r="N933" s="1477" t="s">
        <v>1700</v>
      </c>
      <c r="O933" s="1479">
        <v>127</v>
      </c>
      <c r="P933" s="1479"/>
      <c r="Q933" s="1142">
        <f t="shared" si="253"/>
        <v>127</v>
      </c>
      <c r="R933" s="1143">
        <f>IFERROR(VLOOKUP(CONCATENATE(E933,G933),'LAC 103'!$A$12:$O$95,11,FALSE),0)</f>
        <v>3.2074101033884355</v>
      </c>
      <c r="S933" s="1144">
        <f>IFERROR(VLOOKUP(CONCATENATE($E933,$G933),'LAC 103'!$A$12:$O$95,12,FALSE),0)</f>
        <v>3.99</v>
      </c>
      <c r="T933" s="1144">
        <f>IFERROR(VLOOKUP(CONCATENATE($E933,$G933),'LAC 103'!$A$12:$O$95,13,FALSE),0)</f>
        <v>2.48</v>
      </c>
      <c r="U933" s="1144">
        <f>IFERROR(VLOOKUP(CONCATENATE($E933,$G933),'LAC 103'!$A$12:$O$95,14,FALSE),0)</f>
        <v>0</v>
      </c>
      <c r="V933" s="1144">
        <f>IFERROR(VLOOKUP(CONCATENATE($E933,$G933),'LAC 103'!$A$12:$O$95,15,FALSE),0)</f>
        <v>0</v>
      </c>
      <c r="W933" s="1145" t="str">
        <f>IFERROR(VLOOKUP(CONCATENATE($B933,$N933),'LAC 103'!$AI:$AQ,9,FALSE),"")</f>
        <v>P.C.</v>
      </c>
      <c r="X933" s="1146">
        <f t="shared" si="258"/>
        <v>2.48</v>
      </c>
      <c r="Y933" s="1143">
        <f t="shared" si="269"/>
        <v>407.3410831303313</v>
      </c>
      <c r="Z933" s="1147">
        <f t="shared" si="259"/>
        <v>506.73</v>
      </c>
      <c r="AA933" s="1144">
        <f t="shared" si="260"/>
        <v>314.95999999999998</v>
      </c>
      <c r="AB933" s="1144">
        <f t="shared" si="261"/>
        <v>0</v>
      </c>
      <c r="AC933" s="1144">
        <f t="shared" si="262"/>
        <v>0</v>
      </c>
      <c r="AD933" s="1148">
        <f t="shared" si="254"/>
        <v>314.95999999999998</v>
      </c>
      <c r="AE933" s="1487">
        <v>0</v>
      </c>
      <c r="AF933" s="1145">
        <f t="shared" si="263"/>
        <v>314.95999999999998</v>
      </c>
      <c r="AG933" s="1149">
        <f>IFERROR(VLOOKUP(CONCATENATE($L933,$N933),'Drop List'!$G$23:$K$87,2,FALSE),0)</f>
        <v>0</v>
      </c>
      <c r="AH933" s="1150">
        <f>IFERROR(VLOOKUP(CONCATENATE($L933,$N933),'Drop List'!$G$23:$K$87,3,FALSE),0)</f>
        <v>0</v>
      </c>
      <c r="AI933" s="1150">
        <f>IFERROR(VLOOKUP(CONCATENATE($L933,$N933),'Drop List'!$G$23:$K$87,4,FALSE),0)</f>
        <v>0</v>
      </c>
      <c r="AJ933" s="1151">
        <f>IFERROR(VLOOKUP(CONCATENATE($L933,$N933),'Drop List'!$G$23:$K$87,5,FALSE),0)</f>
        <v>0</v>
      </c>
      <c r="AK933" s="1152">
        <f t="shared" si="264"/>
        <v>0</v>
      </c>
      <c r="AL933" s="1153">
        <f t="shared" si="265"/>
        <v>0</v>
      </c>
      <c r="AM933" s="1153">
        <f t="shared" si="266"/>
        <v>0</v>
      </c>
      <c r="AN933" s="1145">
        <f t="shared" si="267"/>
        <v>0</v>
      </c>
      <c r="AO933" s="1154">
        <f t="shared" si="268"/>
        <v>0</v>
      </c>
      <c r="AP933" s="1147">
        <f t="shared" si="255"/>
        <v>314.95999999999998</v>
      </c>
      <c r="AQ933" s="1144">
        <f t="shared" si="256"/>
        <v>0</v>
      </c>
      <c r="AR933" s="1146">
        <f t="shared" si="257"/>
        <v>314.95999999999998</v>
      </c>
    </row>
    <row r="934" spans="1:44" x14ac:dyDescent="0.2">
      <c r="A934" s="1141" t="str">
        <f t="shared" si="252"/>
        <v>1542</v>
      </c>
      <c r="B934" s="1141" t="str">
        <f>IFERROR(VLOOKUP(A934,'LAC 103'!A:C,3,FALSE),"")</f>
        <v>OP</v>
      </c>
      <c r="C934" s="1478" t="str">
        <f>Info!$B$8</f>
        <v>00100</v>
      </c>
      <c r="D934" s="1474" t="s">
        <v>256</v>
      </c>
      <c r="E934" s="1474" t="s">
        <v>95</v>
      </c>
      <c r="F934" s="1478" t="s">
        <v>392</v>
      </c>
      <c r="G934" s="1478" t="s">
        <v>392</v>
      </c>
      <c r="H934" s="1474" t="s">
        <v>983</v>
      </c>
      <c r="I934" s="1478" t="s">
        <v>823</v>
      </c>
      <c r="J934" s="1478" t="s">
        <v>2001</v>
      </c>
      <c r="K934" s="1475" t="s">
        <v>849</v>
      </c>
      <c r="L934" s="1474" t="s">
        <v>77</v>
      </c>
      <c r="M934" s="1476" t="s">
        <v>1699</v>
      </c>
      <c r="N934" s="1477" t="s">
        <v>1694</v>
      </c>
      <c r="O934" s="1479">
        <v>699</v>
      </c>
      <c r="P934" s="1479"/>
      <c r="Q934" s="1142">
        <f t="shared" si="253"/>
        <v>699</v>
      </c>
      <c r="R934" s="1143">
        <f>IFERROR(VLOOKUP(CONCATENATE(E934,G934),'LAC 103'!$A$12:$O$95,11,FALSE),0)</f>
        <v>3.2074101033884355</v>
      </c>
      <c r="S934" s="1144">
        <f>IFERROR(VLOOKUP(CONCATENATE($E934,$G934),'LAC 103'!$A$12:$O$95,12,FALSE),0)</f>
        <v>3.99</v>
      </c>
      <c r="T934" s="1144">
        <f>IFERROR(VLOOKUP(CONCATENATE($E934,$G934),'LAC 103'!$A$12:$O$95,13,FALSE),0)</f>
        <v>2.48</v>
      </c>
      <c r="U934" s="1144">
        <f>IFERROR(VLOOKUP(CONCATENATE($E934,$G934),'LAC 103'!$A$12:$O$95,14,FALSE),0)</f>
        <v>0</v>
      </c>
      <c r="V934" s="1144">
        <f>IFERROR(VLOOKUP(CONCATENATE($E934,$G934),'LAC 103'!$A$12:$O$95,15,FALSE),0)</f>
        <v>0</v>
      </c>
      <c r="W934" s="1145" t="str">
        <f>IFERROR(VLOOKUP(CONCATENATE($B934,$N934),'LAC 103'!$AI:$AQ,9,FALSE),"")</f>
        <v>Costs</v>
      </c>
      <c r="X934" s="1146">
        <f t="shared" si="258"/>
        <v>3.2074101033884355</v>
      </c>
      <c r="Y934" s="1143">
        <f t="shared" si="269"/>
        <v>2241.9796622685162</v>
      </c>
      <c r="Z934" s="1147">
        <f t="shared" si="259"/>
        <v>2789.01</v>
      </c>
      <c r="AA934" s="1144">
        <f t="shared" si="260"/>
        <v>1733.52</v>
      </c>
      <c r="AB934" s="1144">
        <f t="shared" si="261"/>
        <v>0</v>
      </c>
      <c r="AC934" s="1144">
        <f t="shared" si="262"/>
        <v>0</v>
      </c>
      <c r="AD934" s="1148">
        <f t="shared" si="254"/>
        <v>2241.9796622685162</v>
      </c>
      <c r="AE934" s="1487">
        <v>0</v>
      </c>
      <c r="AF934" s="1145">
        <f t="shared" si="263"/>
        <v>2241.9796622685162</v>
      </c>
      <c r="AG934" s="1149">
        <f>IFERROR(VLOOKUP(CONCATENATE($L934,$N934),'Drop List'!$G$23:$K$87,2,FALSE),0)</f>
        <v>0.9</v>
      </c>
      <c r="AH934" s="1150">
        <f>IFERROR(VLOOKUP(CONCATENATE($L934,$N934),'Drop List'!$G$23:$K$87,3,FALSE),0)</f>
        <v>0</v>
      </c>
      <c r="AI934" s="1150">
        <f>IFERROR(VLOOKUP(CONCATENATE($L934,$N934),'Drop List'!$G$23:$K$87,4,FALSE),0)</f>
        <v>0.1</v>
      </c>
      <c r="AJ934" s="1151">
        <f>IFERROR(VLOOKUP(CONCATENATE($L934,$N934),'Drop List'!$G$23:$K$87,5,FALSE),0)</f>
        <v>0</v>
      </c>
      <c r="AK934" s="1152">
        <f t="shared" si="264"/>
        <v>2017.7816960416646</v>
      </c>
      <c r="AL934" s="1153">
        <f t="shared" si="265"/>
        <v>0</v>
      </c>
      <c r="AM934" s="1153">
        <f t="shared" si="266"/>
        <v>224.19796622685163</v>
      </c>
      <c r="AN934" s="1145">
        <f t="shared" si="267"/>
        <v>0</v>
      </c>
      <c r="AO934" s="1154">
        <f t="shared" si="268"/>
        <v>2241.9796622685162</v>
      </c>
      <c r="AP934" s="1147">
        <f t="shared" si="255"/>
        <v>0</v>
      </c>
      <c r="AQ934" s="1144">
        <f t="shared" si="256"/>
        <v>0</v>
      </c>
      <c r="AR934" s="1146">
        <f t="shared" si="257"/>
        <v>2241.9796622685162</v>
      </c>
    </row>
    <row r="935" spans="1:44" x14ac:dyDescent="0.2">
      <c r="A935" s="1141" t="str">
        <f t="shared" si="252"/>
        <v>1542</v>
      </c>
      <c r="B935" s="1141" t="str">
        <f>IFERROR(VLOOKUP(A935,'LAC 103'!A:C,3,FALSE),"")</f>
        <v>OP</v>
      </c>
      <c r="C935" s="1478" t="str">
        <f>Info!$B$8</f>
        <v>00100</v>
      </c>
      <c r="D935" s="1474" t="s">
        <v>256</v>
      </c>
      <c r="E935" s="1474" t="s">
        <v>95</v>
      </c>
      <c r="F935" s="1478" t="s">
        <v>392</v>
      </c>
      <c r="G935" s="1478" t="s">
        <v>392</v>
      </c>
      <c r="H935" s="1474" t="s">
        <v>983</v>
      </c>
      <c r="I935" s="1478" t="s">
        <v>823</v>
      </c>
      <c r="J935" s="1478" t="s">
        <v>2001</v>
      </c>
      <c r="K935" s="1475" t="s">
        <v>849</v>
      </c>
      <c r="L935" s="1474" t="s">
        <v>77</v>
      </c>
      <c r="M935" s="1476" t="s">
        <v>841</v>
      </c>
      <c r="N935" s="1477" t="s">
        <v>1695</v>
      </c>
      <c r="O935" s="1479">
        <v>300</v>
      </c>
      <c r="P935" s="1479"/>
      <c r="Q935" s="1142">
        <f t="shared" si="253"/>
        <v>300</v>
      </c>
      <c r="R935" s="1143">
        <f>IFERROR(VLOOKUP(CONCATENATE(E935,G935),'LAC 103'!$A$12:$O$95,11,FALSE),0)</f>
        <v>3.2074101033884355</v>
      </c>
      <c r="S935" s="1144">
        <f>IFERROR(VLOOKUP(CONCATENATE($E935,$G935),'LAC 103'!$A$12:$O$95,12,FALSE),0)</f>
        <v>3.99</v>
      </c>
      <c r="T935" s="1144">
        <f>IFERROR(VLOOKUP(CONCATENATE($E935,$G935),'LAC 103'!$A$12:$O$95,13,FALSE),0)</f>
        <v>2.48</v>
      </c>
      <c r="U935" s="1144">
        <f>IFERROR(VLOOKUP(CONCATENATE($E935,$G935),'LAC 103'!$A$12:$O$95,14,FALSE),0)</f>
        <v>0</v>
      </c>
      <c r="V935" s="1144">
        <f>IFERROR(VLOOKUP(CONCATENATE($E935,$G935),'LAC 103'!$A$12:$O$95,15,FALSE),0)</f>
        <v>0</v>
      </c>
      <c r="W935" s="1145" t="str">
        <f>IFERROR(VLOOKUP(CONCATENATE($B935,$N935),'LAC 103'!$AI:$AQ,9,FALSE),"")</f>
        <v>Costs</v>
      </c>
      <c r="X935" s="1146">
        <f t="shared" si="258"/>
        <v>3.2074101033884355</v>
      </c>
      <c r="Y935" s="1143">
        <f t="shared" si="269"/>
        <v>962.22303101653063</v>
      </c>
      <c r="Z935" s="1147">
        <f t="shared" si="259"/>
        <v>1197</v>
      </c>
      <c r="AA935" s="1144">
        <f t="shared" si="260"/>
        <v>744</v>
      </c>
      <c r="AB935" s="1144">
        <f t="shared" si="261"/>
        <v>0</v>
      </c>
      <c r="AC935" s="1144">
        <f t="shared" si="262"/>
        <v>0</v>
      </c>
      <c r="AD935" s="1148">
        <f t="shared" si="254"/>
        <v>962.22303101653063</v>
      </c>
      <c r="AE935" s="1487">
        <v>0</v>
      </c>
      <c r="AF935" s="1145">
        <f t="shared" si="263"/>
        <v>962.22303101653063</v>
      </c>
      <c r="AG935" s="1149">
        <f>IFERROR(VLOOKUP(CONCATENATE($L935,$N935),'Drop List'!$G$23:$K$87,2,FALSE),0)</f>
        <v>0.9</v>
      </c>
      <c r="AH935" s="1150">
        <f>IFERROR(VLOOKUP(CONCATENATE($L935,$N935),'Drop List'!$G$23:$K$87,3,FALSE),0)</f>
        <v>0</v>
      </c>
      <c r="AI935" s="1150">
        <f>IFERROR(VLOOKUP(CONCATENATE($L935,$N935),'Drop List'!$G$23:$K$87,4,FALSE),0)</f>
        <v>0.1</v>
      </c>
      <c r="AJ935" s="1151">
        <f>IFERROR(VLOOKUP(CONCATENATE($L935,$N935),'Drop List'!$G$23:$K$87,5,FALSE),0)</f>
        <v>0</v>
      </c>
      <c r="AK935" s="1152">
        <f t="shared" si="264"/>
        <v>866.00072791487753</v>
      </c>
      <c r="AL935" s="1153">
        <f t="shared" si="265"/>
        <v>0</v>
      </c>
      <c r="AM935" s="1153">
        <f t="shared" si="266"/>
        <v>96.222303101653068</v>
      </c>
      <c r="AN935" s="1145">
        <f t="shared" si="267"/>
        <v>0</v>
      </c>
      <c r="AO935" s="1154">
        <f t="shared" si="268"/>
        <v>962.22303101653063</v>
      </c>
      <c r="AP935" s="1147">
        <f t="shared" si="255"/>
        <v>0</v>
      </c>
      <c r="AQ935" s="1144">
        <f t="shared" si="256"/>
        <v>0</v>
      </c>
      <c r="AR935" s="1146">
        <f t="shared" si="257"/>
        <v>962.22303101653063</v>
      </c>
    </row>
    <row r="936" spans="1:44" x14ac:dyDescent="0.2">
      <c r="A936" s="1141" t="str">
        <f t="shared" si="252"/>
        <v>1542</v>
      </c>
      <c r="B936" s="1141" t="str">
        <f>IFERROR(VLOOKUP(A936,'LAC 103'!A:C,3,FALSE),"")</f>
        <v>OP</v>
      </c>
      <c r="C936" s="1478" t="str">
        <f>Info!$B$8</f>
        <v>00100</v>
      </c>
      <c r="D936" s="1474" t="s">
        <v>256</v>
      </c>
      <c r="E936" s="1474" t="s">
        <v>95</v>
      </c>
      <c r="F936" s="1478" t="s">
        <v>392</v>
      </c>
      <c r="G936" s="1478" t="s">
        <v>392</v>
      </c>
      <c r="H936" s="1474" t="s">
        <v>983</v>
      </c>
      <c r="I936" s="1478" t="s">
        <v>823</v>
      </c>
      <c r="J936" s="1478" t="s">
        <v>2001</v>
      </c>
      <c r="K936" s="1475" t="s">
        <v>849</v>
      </c>
      <c r="L936" s="1474" t="s">
        <v>77</v>
      </c>
      <c r="M936" s="1476" t="s">
        <v>840</v>
      </c>
      <c r="N936" s="1477" t="s">
        <v>1700</v>
      </c>
      <c r="O936" s="1479">
        <v>380</v>
      </c>
      <c r="P936" s="1479"/>
      <c r="Q936" s="1142">
        <f t="shared" si="253"/>
        <v>380</v>
      </c>
      <c r="R936" s="1143">
        <f>IFERROR(VLOOKUP(CONCATENATE(E936,G936),'LAC 103'!$A$12:$O$95,11,FALSE),0)</f>
        <v>3.2074101033884355</v>
      </c>
      <c r="S936" s="1144">
        <f>IFERROR(VLOOKUP(CONCATENATE($E936,$G936),'LAC 103'!$A$12:$O$95,12,FALSE),0)</f>
        <v>3.99</v>
      </c>
      <c r="T936" s="1144">
        <f>IFERROR(VLOOKUP(CONCATENATE($E936,$G936),'LAC 103'!$A$12:$O$95,13,FALSE),0)</f>
        <v>2.48</v>
      </c>
      <c r="U936" s="1144">
        <f>IFERROR(VLOOKUP(CONCATENATE($E936,$G936),'LAC 103'!$A$12:$O$95,14,FALSE),0)</f>
        <v>0</v>
      </c>
      <c r="V936" s="1144">
        <f>IFERROR(VLOOKUP(CONCATENATE($E936,$G936),'LAC 103'!$A$12:$O$95,15,FALSE),0)</f>
        <v>0</v>
      </c>
      <c r="W936" s="1145" t="str">
        <f>IFERROR(VLOOKUP(CONCATENATE($B936,$N936),'LAC 103'!$AI:$AQ,9,FALSE),"")</f>
        <v>P.C.</v>
      </c>
      <c r="X936" s="1146">
        <f t="shared" si="258"/>
        <v>2.48</v>
      </c>
      <c r="Y936" s="1143">
        <f t="shared" si="269"/>
        <v>1218.8158392876055</v>
      </c>
      <c r="Z936" s="1147">
        <f t="shared" si="259"/>
        <v>1516.2</v>
      </c>
      <c r="AA936" s="1144">
        <f t="shared" si="260"/>
        <v>942.4</v>
      </c>
      <c r="AB936" s="1144">
        <f t="shared" si="261"/>
        <v>0</v>
      </c>
      <c r="AC936" s="1144">
        <f t="shared" si="262"/>
        <v>0</v>
      </c>
      <c r="AD936" s="1148">
        <f t="shared" si="254"/>
        <v>942.4</v>
      </c>
      <c r="AE936" s="1487">
        <v>0</v>
      </c>
      <c r="AF936" s="1145">
        <f t="shared" si="263"/>
        <v>942.4</v>
      </c>
      <c r="AG936" s="1149">
        <f>IFERROR(VLOOKUP(CONCATENATE($L936,$N936),'Drop List'!$G$23:$K$87,2,FALSE),0)</f>
        <v>0.9</v>
      </c>
      <c r="AH936" s="1150">
        <f>IFERROR(VLOOKUP(CONCATENATE($L936,$N936),'Drop List'!$G$23:$K$87,3,FALSE),0)</f>
        <v>0</v>
      </c>
      <c r="AI936" s="1150">
        <f>IFERROR(VLOOKUP(CONCATENATE($L936,$N936),'Drop List'!$G$23:$K$87,4,FALSE),0)</f>
        <v>0.1</v>
      </c>
      <c r="AJ936" s="1151">
        <f>IFERROR(VLOOKUP(CONCATENATE($L936,$N936),'Drop List'!$G$23:$K$87,5,FALSE),0)</f>
        <v>0</v>
      </c>
      <c r="AK936" s="1152">
        <f t="shared" si="264"/>
        <v>848.16</v>
      </c>
      <c r="AL936" s="1153">
        <f t="shared" si="265"/>
        <v>0</v>
      </c>
      <c r="AM936" s="1153">
        <f t="shared" si="266"/>
        <v>94.240000000000009</v>
      </c>
      <c r="AN936" s="1145">
        <f t="shared" si="267"/>
        <v>0</v>
      </c>
      <c r="AO936" s="1154">
        <f t="shared" si="268"/>
        <v>942.4</v>
      </c>
      <c r="AP936" s="1147">
        <f t="shared" si="255"/>
        <v>0</v>
      </c>
      <c r="AQ936" s="1144">
        <f t="shared" si="256"/>
        <v>0</v>
      </c>
      <c r="AR936" s="1146">
        <f t="shared" si="257"/>
        <v>942.4</v>
      </c>
    </row>
    <row r="937" spans="1:44" x14ac:dyDescent="0.2">
      <c r="A937" s="1141" t="str">
        <f t="shared" si="252"/>
        <v>1542</v>
      </c>
      <c r="B937" s="1141" t="str">
        <f>IFERROR(VLOOKUP(A937,'LAC 103'!A:C,3,FALSE),"")</f>
        <v>OP</v>
      </c>
      <c r="C937" s="1478" t="str">
        <f>Info!$B$8</f>
        <v>00100</v>
      </c>
      <c r="D937" s="1474" t="s">
        <v>256</v>
      </c>
      <c r="E937" s="1474" t="s">
        <v>95</v>
      </c>
      <c r="F937" s="1478" t="s">
        <v>392</v>
      </c>
      <c r="G937" s="1478" t="s">
        <v>392</v>
      </c>
      <c r="H937" s="1474" t="s">
        <v>983</v>
      </c>
      <c r="I937" s="1478" t="s">
        <v>823</v>
      </c>
      <c r="J937" s="1478" t="s">
        <v>2001</v>
      </c>
      <c r="K937" s="1475" t="s">
        <v>849</v>
      </c>
      <c r="L937" s="1474" t="s">
        <v>77</v>
      </c>
      <c r="M937" s="1476" t="s">
        <v>842</v>
      </c>
      <c r="N937" s="1477" t="s">
        <v>1692</v>
      </c>
      <c r="O937" s="1479">
        <v>243</v>
      </c>
      <c r="P937" s="1479"/>
      <c r="Q937" s="1142">
        <f t="shared" si="253"/>
        <v>243</v>
      </c>
      <c r="R937" s="1143">
        <f>IFERROR(VLOOKUP(CONCATENATE(E937,G937),'LAC 103'!$A$12:$O$95,11,FALSE),0)</f>
        <v>3.2074101033884355</v>
      </c>
      <c r="S937" s="1144">
        <f>IFERROR(VLOOKUP(CONCATENATE($E937,$G937),'LAC 103'!$A$12:$O$95,12,FALSE),0)</f>
        <v>3.99</v>
      </c>
      <c r="T937" s="1144">
        <f>IFERROR(VLOOKUP(CONCATENATE($E937,$G937),'LAC 103'!$A$12:$O$95,13,FALSE),0)</f>
        <v>2.48</v>
      </c>
      <c r="U937" s="1144">
        <f>IFERROR(VLOOKUP(CONCATENATE($E937,$G937),'LAC 103'!$A$12:$O$95,14,FALSE),0)</f>
        <v>0</v>
      </c>
      <c r="V937" s="1144">
        <f>IFERROR(VLOOKUP(CONCATENATE($E937,$G937),'LAC 103'!$A$12:$O$95,15,FALSE),0)</f>
        <v>0</v>
      </c>
      <c r="W937" s="1145" t="str">
        <f>IFERROR(VLOOKUP(CONCATENATE($B937,$N937),'LAC 103'!$AI:$AQ,9,FALSE),"")</f>
        <v>Costs</v>
      </c>
      <c r="X937" s="1146">
        <f t="shared" si="258"/>
        <v>3.2074101033884355</v>
      </c>
      <c r="Y937" s="1143">
        <f t="shared" si="269"/>
        <v>779.40065512338981</v>
      </c>
      <c r="Z937" s="1147">
        <f t="shared" si="259"/>
        <v>969.57</v>
      </c>
      <c r="AA937" s="1144">
        <f t="shared" si="260"/>
        <v>602.64</v>
      </c>
      <c r="AB937" s="1144">
        <f t="shared" si="261"/>
        <v>0</v>
      </c>
      <c r="AC937" s="1144">
        <f t="shared" si="262"/>
        <v>0</v>
      </c>
      <c r="AD937" s="1148">
        <f t="shared" si="254"/>
        <v>779.40065512338981</v>
      </c>
      <c r="AE937" s="1487">
        <v>0</v>
      </c>
      <c r="AF937" s="1145">
        <f t="shared" si="263"/>
        <v>779.40065512338981</v>
      </c>
      <c r="AG937" s="1149">
        <f>IFERROR(VLOOKUP(CONCATENATE($L937,$N937),'Drop List'!$G$23:$K$87,2,FALSE),0)</f>
        <v>0.9</v>
      </c>
      <c r="AH937" s="1150">
        <f>IFERROR(VLOOKUP(CONCATENATE($L937,$N937),'Drop List'!$G$23:$K$87,3,FALSE),0)</f>
        <v>0</v>
      </c>
      <c r="AI937" s="1150">
        <f>IFERROR(VLOOKUP(CONCATENATE($L937,$N937),'Drop List'!$G$23:$K$87,4,FALSE),0)</f>
        <v>0.1</v>
      </c>
      <c r="AJ937" s="1151">
        <f>IFERROR(VLOOKUP(CONCATENATE($L937,$N937),'Drop List'!$G$23:$K$87,5,FALSE),0)</f>
        <v>0</v>
      </c>
      <c r="AK937" s="1152">
        <f t="shared" si="264"/>
        <v>701.46058961105086</v>
      </c>
      <c r="AL937" s="1153">
        <f t="shared" si="265"/>
        <v>0</v>
      </c>
      <c r="AM937" s="1153">
        <f t="shared" si="266"/>
        <v>77.94006551233899</v>
      </c>
      <c r="AN937" s="1145">
        <f t="shared" si="267"/>
        <v>0</v>
      </c>
      <c r="AO937" s="1154">
        <f t="shared" si="268"/>
        <v>779.40065512338981</v>
      </c>
      <c r="AP937" s="1147">
        <f t="shared" si="255"/>
        <v>0</v>
      </c>
      <c r="AQ937" s="1144">
        <f t="shared" si="256"/>
        <v>0</v>
      </c>
      <c r="AR937" s="1146">
        <f t="shared" si="257"/>
        <v>779.40065512338981</v>
      </c>
    </row>
    <row r="938" spans="1:44" x14ac:dyDescent="0.2">
      <c r="A938" s="1141" t="str">
        <f t="shared" si="252"/>
        <v>1542</v>
      </c>
      <c r="B938" s="1141" t="str">
        <f>IFERROR(VLOOKUP(A938,'LAC 103'!A:C,3,FALSE),"")</f>
        <v>OP</v>
      </c>
      <c r="C938" s="1478" t="str">
        <f>Info!$B$8</f>
        <v>00100</v>
      </c>
      <c r="D938" s="1474" t="s">
        <v>256</v>
      </c>
      <c r="E938" s="1474" t="s">
        <v>95</v>
      </c>
      <c r="F938" s="1478" t="s">
        <v>392</v>
      </c>
      <c r="G938" s="1478" t="s">
        <v>392</v>
      </c>
      <c r="H938" s="1474" t="s">
        <v>983</v>
      </c>
      <c r="I938" s="1478" t="s">
        <v>823</v>
      </c>
      <c r="J938" s="1478" t="s">
        <v>2001</v>
      </c>
      <c r="K938" s="1475" t="s">
        <v>849</v>
      </c>
      <c r="L938" s="1474" t="s">
        <v>77</v>
      </c>
      <c r="M938" s="1476" t="s">
        <v>1698</v>
      </c>
      <c r="N938" s="1477" t="s">
        <v>1693</v>
      </c>
      <c r="O938" s="1479">
        <v>585</v>
      </c>
      <c r="P938" s="1479"/>
      <c r="Q938" s="1142">
        <f t="shared" si="253"/>
        <v>585</v>
      </c>
      <c r="R938" s="1143">
        <f>IFERROR(VLOOKUP(CONCATENATE(E938,G938),'LAC 103'!$A$12:$O$95,11,FALSE),0)</f>
        <v>3.2074101033884355</v>
      </c>
      <c r="S938" s="1144">
        <f>IFERROR(VLOOKUP(CONCATENATE($E938,$G938),'LAC 103'!$A$12:$O$95,12,FALSE),0)</f>
        <v>3.99</v>
      </c>
      <c r="T938" s="1144">
        <f>IFERROR(VLOOKUP(CONCATENATE($E938,$G938),'LAC 103'!$A$12:$O$95,13,FALSE),0)</f>
        <v>2.48</v>
      </c>
      <c r="U938" s="1144">
        <f>IFERROR(VLOOKUP(CONCATENATE($E938,$G938),'LAC 103'!$A$12:$O$95,14,FALSE),0)</f>
        <v>0</v>
      </c>
      <c r="V938" s="1144">
        <f>IFERROR(VLOOKUP(CONCATENATE($E938,$G938),'LAC 103'!$A$12:$O$95,15,FALSE),0)</f>
        <v>0</v>
      </c>
      <c r="W938" s="1145" t="str">
        <f>IFERROR(VLOOKUP(CONCATENATE($B938,$N938),'LAC 103'!$AI:$AQ,9,FALSE),"")</f>
        <v>Costs</v>
      </c>
      <c r="X938" s="1146">
        <f t="shared" si="258"/>
        <v>3.2074101033884355</v>
      </c>
      <c r="Y938" s="1143">
        <f t="shared" si="269"/>
        <v>1876.3349104822348</v>
      </c>
      <c r="Z938" s="1147">
        <f t="shared" si="259"/>
        <v>2334.15</v>
      </c>
      <c r="AA938" s="1144">
        <f t="shared" si="260"/>
        <v>1450.8</v>
      </c>
      <c r="AB938" s="1144">
        <f t="shared" si="261"/>
        <v>0</v>
      </c>
      <c r="AC938" s="1144">
        <f t="shared" si="262"/>
        <v>0</v>
      </c>
      <c r="AD938" s="1148">
        <f t="shared" si="254"/>
        <v>1876.3349104822348</v>
      </c>
      <c r="AE938" s="1487">
        <v>0</v>
      </c>
      <c r="AF938" s="1145">
        <f t="shared" si="263"/>
        <v>1876.3349104822348</v>
      </c>
      <c r="AG938" s="1149">
        <f>IFERROR(VLOOKUP(CONCATENATE($L938,$N938),'Drop List'!$G$23:$K$87,2,FALSE),0)</f>
        <v>0.9</v>
      </c>
      <c r="AH938" s="1150">
        <f>IFERROR(VLOOKUP(CONCATENATE($L938,$N938),'Drop List'!$G$23:$K$87,3,FALSE),0)</f>
        <v>0</v>
      </c>
      <c r="AI938" s="1150">
        <f>IFERROR(VLOOKUP(CONCATENATE($L938,$N938),'Drop List'!$G$23:$K$87,4,FALSE),0)</f>
        <v>0.1</v>
      </c>
      <c r="AJ938" s="1151">
        <f>IFERROR(VLOOKUP(CONCATENATE($L938,$N938),'Drop List'!$G$23:$K$87,5,FALSE),0)</f>
        <v>0</v>
      </c>
      <c r="AK938" s="1152">
        <f t="shared" si="264"/>
        <v>1688.7014194340113</v>
      </c>
      <c r="AL938" s="1153">
        <f t="shared" si="265"/>
        <v>0</v>
      </c>
      <c r="AM938" s="1153">
        <f t="shared" si="266"/>
        <v>187.6334910482235</v>
      </c>
      <c r="AN938" s="1145">
        <f t="shared" si="267"/>
        <v>0</v>
      </c>
      <c r="AO938" s="1154">
        <f t="shared" si="268"/>
        <v>1876.3349104822348</v>
      </c>
      <c r="AP938" s="1147">
        <f t="shared" si="255"/>
        <v>0</v>
      </c>
      <c r="AQ938" s="1144">
        <f t="shared" si="256"/>
        <v>0</v>
      </c>
      <c r="AR938" s="1146">
        <f t="shared" si="257"/>
        <v>1876.3349104822348</v>
      </c>
    </row>
    <row r="939" spans="1:44" x14ac:dyDescent="0.2">
      <c r="A939" s="1141" t="str">
        <f t="shared" si="252"/>
        <v>1542</v>
      </c>
      <c r="B939" s="1141" t="str">
        <f>IFERROR(VLOOKUP(A939,'LAC 103'!A:C,3,FALSE),"")</f>
        <v>OP</v>
      </c>
      <c r="C939" s="1478" t="str">
        <f>Info!$B$8</f>
        <v>00100</v>
      </c>
      <c r="D939" s="1474" t="s">
        <v>256</v>
      </c>
      <c r="E939" s="1474" t="s">
        <v>95</v>
      </c>
      <c r="F939" s="1478" t="s">
        <v>392</v>
      </c>
      <c r="G939" s="1478" t="s">
        <v>392</v>
      </c>
      <c r="H939" s="1474" t="s">
        <v>983</v>
      </c>
      <c r="I939" s="1478" t="s">
        <v>823</v>
      </c>
      <c r="J939" s="1478" t="s">
        <v>2001</v>
      </c>
      <c r="K939" s="1475" t="s">
        <v>971</v>
      </c>
      <c r="L939" s="1474" t="s">
        <v>332</v>
      </c>
      <c r="M939" s="1476" t="s">
        <v>841</v>
      </c>
      <c r="N939" s="1477" t="s">
        <v>1695</v>
      </c>
      <c r="O939" s="1479">
        <v>277</v>
      </c>
      <c r="P939" s="1479"/>
      <c r="Q939" s="1142">
        <f t="shared" si="253"/>
        <v>277</v>
      </c>
      <c r="R939" s="1143">
        <f>IFERROR(VLOOKUP(CONCATENATE(E939,G939),'LAC 103'!$A$12:$O$95,11,FALSE),0)</f>
        <v>3.2074101033884355</v>
      </c>
      <c r="S939" s="1144">
        <f>IFERROR(VLOOKUP(CONCATENATE($E939,$G939),'LAC 103'!$A$12:$O$95,12,FALSE),0)</f>
        <v>3.99</v>
      </c>
      <c r="T939" s="1144">
        <f>IFERROR(VLOOKUP(CONCATENATE($E939,$G939),'LAC 103'!$A$12:$O$95,13,FALSE),0)</f>
        <v>2.48</v>
      </c>
      <c r="U939" s="1144">
        <f>IFERROR(VLOOKUP(CONCATENATE($E939,$G939),'LAC 103'!$A$12:$O$95,14,FALSE),0)</f>
        <v>0</v>
      </c>
      <c r="V939" s="1144">
        <f>IFERROR(VLOOKUP(CONCATENATE($E939,$G939),'LAC 103'!$A$12:$O$95,15,FALSE),0)</f>
        <v>0</v>
      </c>
      <c r="W939" s="1145" t="str">
        <f>IFERROR(VLOOKUP(CONCATENATE($B939,$N939),'LAC 103'!$AI:$AQ,9,FALSE),"")</f>
        <v>Costs</v>
      </c>
      <c r="X939" s="1146">
        <f t="shared" si="258"/>
        <v>3.2074101033884355</v>
      </c>
      <c r="Y939" s="1143">
        <f t="shared" si="269"/>
        <v>888.45259863859667</v>
      </c>
      <c r="Z939" s="1147">
        <f t="shared" si="259"/>
        <v>1105.23</v>
      </c>
      <c r="AA939" s="1144">
        <f t="shared" si="260"/>
        <v>686.96</v>
      </c>
      <c r="AB939" s="1144">
        <f t="shared" si="261"/>
        <v>0</v>
      </c>
      <c r="AC939" s="1144">
        <f t="shared" si="262"/>
        <v>0</v>
      </c>
      <c r="AD939" s="1148">
        <f t="shared" si="254"/>
        <v>888.45259863859667</v>
      </c>
      <c r="AE939" s="1487">
        <v>0</v>
      </c>
      <c r="AF939" s="1145">
        <f t="shared" si="263"/>
        <v>888.45259863859667</v>
      </c>
      <c r="AG939" s="1149">
        <f>IFERROR(VLOOKUP(CONCATENATE($L939,$N939),'Drop List'!$G$23:$K$87,2,FALSE),0)</f>
        <v>0</v>
      </c>
      <c r="AH939" s="1150">
        <f>IFERROR(VLOOKUP(CONCATENATE($L939,$N939),'Drop List'!$G$23:$K$87,3,FALSE),0)</f>
        <v>0</v>
      </c>
      <c r="AI939" s="1150">
        <f>IFERROR(VLOOKUP(CONCATENATE($L939,$N939),'Drop List'!$G$23:$K$87,4,FALSE),0)</f>
        <v>0</v>
      </c>
      <c r="AJ939" s="1151">
        <f>IFERROR(VLOOKUP(CONCATENATE($L939,$N939),'Drop List'!$G$23:$K$87,5,FALSE),0)</f>
        <v>0</v>
      </c>
      <c r="AK939" s="1152">
        <f t="shared" si="264"/>
        <v>0</v>
      </c>
      <c r="AL939" s="1153">
        <f t="shared" si="265"/>
        <v>0</v>
      </c>
      <c r="AM939" s="1153">
        <f t="shared" si="266"/>
        <v>0</v>
      </c>
      <c r="AN939" s="1145">
        <f t="shared" si="267"/>
        <v>0</v>
      </c>
      <c r="AO939" s="1154">
        <f t="shared" si="268"/>
        <v>0</v>
      </c>
      <c r="AP939" s="1147">
        <f t="shared" si="255"/>
        <v>888.45259863859667</v>
      </c>
      <c r="AQ939" s="1144">
        <f t="shared" si="256"/>
        <v>0</v>
      </c>
      <c r="AR939" s="1146">
        <f t="shared" si="257"/>
        <v>888.45259863859667</v>
      </c>
    </row>
    <row r="940" spans="1:44" x14ac:dyDescent="0.2">
      <c r="A940" s="1141" t="str">
        <f t="shared" si="252"/>
        <v>1542</v>
      </c>
      <c r="B940" s="1141" t="str">
        <f>IFERROR(VLOOKUP(A940,'LAC 103'!A:C,3,FALSE),"")</f>
        <v>OP</v>
      </c>
      <c r="C940" s="1478" t="str">
        <f>Info!$B$8</f>
        <v>00100</v>
      </c>
      <c r="D940" s="1474" t="s">
        <v>256</v>
      </c>
      <c r="E940" s="1474" t="s">
        <v>95</v>
      </c>
      <c r="F940" s="1478" t="s">
        <v>392</v>
      </c>
      <c r="G940" s="1478" t="s">
        <v>392</v>
      </c>
      <c r="H940" s="1474" t="s">
        <v>983</v>
      </c>
      <c r="I940" s="1478" t="s">
        <v>823</v>
      </c>
      <c r="J940" s="1478" t="s">
        <v>2001</v>
      </c>
      <c r="K940" s="1475" t="s">
        <v>850</v>
      </c>
      <c r="L940" s="1474" t="s">
        <v>330</v>
      </c>
      <c r="M940" s="1476" t="s">
        <v>842</v>
      </c>
      <c r="N940" s="1477" t="s">
        <v>1692</v>
      </c>
      <c r="O940" s="1479">
        <v>508</v>
      </c>
      <c r="P940" s="1479"/>
      <c r="Q940" s="1142">
        <f t="shared" si="253"/>
        <v>508</v>
      </c>
      <c r="R940" s="1143">
        <f>IFERROR(VLOOKUP(CONCATENATE(E940,G940),'LAC 103'!$A$12:$O$95,11,FALSE),0)</f>
        <v>3.2074101033884355</v>
      </c>
      <c r="S940" s="1144">
        <f>IFERROR(VLOOKUP(CONCATENATE($E940,$G940),'LAC 103'!$A$12:$O$95,12,FALSE),0)</f>
        <v>3.99</v>
      </c>
      <c r="T940" s="1144">
        <f>IFERROR(VLOOKUP(CONCATENATE($E940,$G940),'LAC 103'!$A$12:$O$95,13,FALSE),0)</f>
        <v>2.48</v>
      </c>
      <c r="U940" s="1144">
        <f>IFERROR(VLOOKUP(CONCATENATE($E940,$G940),'LAC 103'!$A$12:$O$95,14,FALSE),0)</f>
        <v>0</v>
      </c>
      <c r="V940" s="1144">
        <f>IFERROR(VLOOKUP(CONCATENATE($E940,$G940),'LAC 103'!$A$12:$O$95,15,FALSE),0)</f>
        <v>0</v>
      </c>
      <c r="W940" s="1145" t="str">
        <f>IFERROR(VLOOKUP(CONCATENATE($B940,$N940),'LAC 103'!$AI:$AQ,9,FALSE),"")</f>
        <v>Costs</v>
      </c>
      <c r="X940" s="1146">
        <f t="shared" si="258"/>
        <v>3.2074101033884355</v>
      </c>
      <c r="Y940" s="1143">
        <f t="shared" si="269"/>
        <v>1629.3643325213252</v>
      </c>
      <c r="Z940" s="1147">
        <f t="shared" si="259"/>
        <v>2026.92</v>
      </c>
      <c r="AA940" s="1144">
        <f t="shared" si="260"/>
        <v>1259.8399999999999</v>
      </c>
      <c r="AB940" s="1144">
        <f t="shared" si="261"/>
        <v>0</v>
      </c>
      <c r="AC940" s="1144">
        <f t="shared" si="262"/>
        <v>0</v>
      </c>
      <c r="AD940" s="1148">
        <f t="shared" si="254"/>
        <v>1629.3643325213252</v>
      </c>
      <c r="AE940" s="1487">
        <v>0</v>
      </c>
      <c r="AF940" s="1145">
        <f t="shared" si="263"/>
        <v>1629.3643325213252</v>
      </c>
      <c r="AG940" s="1149">
        <f>IFERROR(VLOOKUP(CONCATENATE($L940,$N940),'Drop List'!$G$23:$K$87,2,FALSE),0)</f>
        <v>0</v>
      </c>
      <c r="AH940" s="1150">
        <f>IFERROR(VLOOKUP(CONCATENATE($L940,$N940),'Drop List'!$G$23:$K$87,3,FALSE),0)</f>
        <v>0</v>
      </c>
      <c r="AI940" s="1150">
        <f>IFERROR(VLOOKUP(CONCATENATE($L940,$N940),'Drop List'!$G$23:$K$87,4,FALSE),0)</f>
        <v>1</v>
      </c>
      <c r="AJ940" s="1151">
        <f>IFERROR(VLOOKUP(CONCATENATE($L940,$N940),'Drop List'!$G$23:$K$87,5,FALSE),0)</f>
        <v>0</v>
      </c>
      <c r="AK940" s="1152">
        <f t="shared" si="264"/>
        <v>0</v>
      </c>
      <c r="AL940" s="1153">
        <f t="shared" si="265"/>
        <v>0</v>
      </c>
      <c r="AM940" s="1153">
        <f t="shared" si="266"/>
        <v>1629.3643325213252</v>
      </c>
      <c r="AN940" s="1145">
        <f t="shared" si="267"/>
        <v>0</v>
      </c>
      <c r="AO940" s="1154">
        <f t="shared" si="268"/>
        <v>1629.3643325213252</v>
      </c>
      <c r="AP940" s="1147">
        <f t="shared" si="255"/>
        <v>0</v>
      </c>
      <c r="AQ940" s="1144">
        <f t="shared" si="256"/>
        <v>0</v>
      </c>
      <c r="AR940" s="1146">
        <f t="shared" si="257"/>
        <v>1629.3643325213252</v>
      </c>
    </row>
    <row r="941" spans="1:44" x14ac:dyDescent="0.2">
      <c r="A941" s="1141" t="str">
        <f t="shared" si="252"/>
        <v>1542</v>
      </c>
      <c r="B941" s="1141" t="str">
        <f>IFERROR(VLOOKUP(A941,'LAC 103'!A:C,3,FALSE),"")</f>
        <v>OP</v>
      </c>
      <c r="C941" s="1478" t="str">
        <f>Info!$B$8</f>
        <v>00100</v>
      </c>
      <c r="D941" s="1474" t="s">
        <v>256</v>
      </c>
      <c r="E941" s="1474" t="s">
        <v>95</v>
      </c>
      <c r="F941" s="1478" t="s">
        <v>392</v>
      </c>
      <c r="G941" s="1478" t="s">
        <v>392</v>
      </c>
      <c r="H941" s="1474" t="s">
        <v>983</v>
      </c>
      <c r="I941" s="1478" t="s">
        <v>823</v>
      </c>
      <c r="J941" s="1478" t="s">
        <v>2001</v>
      </c>
      <c r="K941" s="1475" t="s">
        <v>850</v>
      </c>
      <c r="L941" s="1474" t="s">
        <v>330</v>
      </c>
      <c r="M941" s="1476" t="s">
        <v>1698</v>
      </c>
      <c r="N941" s="1477" t="s">
        <v>1693</v>
      </c>
      <c r="O941" s="1479">
        <v>107</v>
      </c>
      <c r="P941" s="1479"/>
      <c r="Q941" s="1142">
        <f t="shared" si="253"/>
        <v>107</v>
      </c>
      <c r="R941" s="1143">
        <f>IFERROR(VLOOKUP(CONCATENATE(E941,G941),'LAC 103'!$A$12:$O$95,11,FALSE),0)</f>
        <v>3.2074101033884355</v>
      </c>
      <c r="S941" s="1144">
        <f>IFERROR(VLOOKUP(CONCATENATE($E941,$G941),'LAC 103'!$A$12:$O$95,12,FALSE),0)</f>
        <v>3.99</v>
      </c>
      <c r="T941" s="1144">
        <f>IFERROR(VLOOKUP(CONCATENATE($E941,$G941),'LAC 103'!$A$12:$O$95,13,FALSE),0)</f>
        <v>2.48</v>
      </c>
      <c r="U941" s="1144">
        <f>IFERROR(VLOOKUP(CONCATENATE($E941,$G941),'LAC 103'!$A$12:$O$95,14,FALSE),0)</f>
        <v>0</v>
      </c>
      <c r="V941" s="1144">
        <f>IFERROR(VLOOKUP(CONCATENATE($E941,$G941),'LAC 103'!$A$12:$O$95,15,FALSE),0)</f>
        <v>0</v>
      </c>
      <c r="W941" s="1145" t="str">
        <f>IFERROR(VLOOKUP(CONCATENATE($B941,$N941),'LAC 103'!$AI:$AQ,9,FALSE),"")</f>
        <v>Costs</v>
      </c>
      <c r="X941" s="1146">
        <f t="shared" si="258"/>
        <v>3.2074101033884355</v>
      </c>
      <c r="Y941" s="1143">
        <f t="shared" si="269"/>
        <v>343.19288106256261</v>
      </c>
      <c r="Z941" s="1147">
        <f t="shared" si="259"/>
        <v>426.93</v>
      </c>
      <c r="AA941" s="1144">
        <f t="shared" si="260"/>
        <v>265.36</v>
      </c>
      <c r="AB941" s="1144">
        <f t="shared" si="261"/>
        <v>0</v>
      </c>
      <c r="AC941" s="1144">
        <f t="shared" si="262"/>
        <v>0</v>
      </c>
      <c r="AD941" s="1148">
        <f t="shared" si="254"/>
        <v>343.19288106256261</v>
      </c>
      <c r="AE941" s="1487">
        <v>0</v>
      </c>
      <c r="AF941" s="1145">
        <f t="shared" si="263"/>
        <v>343.19288106256261</v>
      </c>
      <c r="AG941" s="1149">
        <f>IFERROR(VLOOKUP(CONCATENATE($L941,$N941),'Drop List'!$G$23:$K$87,2,FALSE),0)</f>
        <v>0</v>
      </c>
      <c r="AH941" s="1150">
        <f>IFERROR(VLOOKUP(CONCATENATE($L941,$N941),'Drop List'!$G$23:$K$87,3,FALSE),0)</f>
        <v>0</v>
      </c>
      <c r="AI941" s="1150">
        <f>IFERROR(VLOOKUP(CONCATENATE($L941,$N941),'Drop List'!$G$23:$K$87,4,FALSE),0)</f>
        <v>1</v>
      </c>
      <c r="AJ941" s="1151">
        <f>IFERROR(VLOOKUP(CONCATENATE($L941,$N941),'Drop List'!$G$23:$K$87,5,FALSE),0)</f>
        <v>0</v>
      </c>
      <c r="AK941" s="1152">
        <f t="shared" si="264"/>
        <v>0</v>
      </c>
      <c r="AL941" s="1153">
        <f t="shared" si="265"/>
        <v>0</v>
      </c>
      <c r="AM941" s="1153">
        <f t="shared" si="266"/>
        <v>343.19288106256261</v>
      </c>
      <c r="AN941" s="1145">
        <f t="shared" si="267"/>
        <v>0</v>
      </c>
      <c r="AO941" s="1154">
        <f t="shared" si="268"/>
        <v>343.19288106256261</v>
      </c>
      <c r="AP941" s="1147">
        <f t="shared" si="255"/>
        <v>0</v>
      </c>
      <c r="AQ941" s="1144">
        <f t="shared" si="256"/>
        <v>0</v>
      </c>
      <c r="AR941" s="1146">
        <f t="shared" si="257"/>
        <v>343.19288106256261</v>
      </c>
    </row>
    <row r="942" spans="1:44" x14ac:dyDescent="0.2">
      <c r="A942" s="1141" t="str">
        <f t="shared" si="252"/>
        <v>1542</v>
      </c>
      <c r="B942" s="1141" t="str">
        <f>IFERROR(VLOOKUP(A942,'LAC 103'!A:C,3,FALSE),"")</f>
        <v>OP</v>
      </c>
      <c r="C942" s="1478" t="str">
        <f>Info!$B$8</f>
        <v>00100</v>
      </c>
      <c r="D942" s="1474" t="s">
        <v>256</v>
      </c>
      <c r="E942" s="1474" t="s">
        <v>95</v>
      </c>
      <c r="F942" s="1478" t="s">
        <v>392</v>
      </c>
      <c r="G942" s="1478" t="s">
        <v>392</v>
      </c>
      <c r="H942" s="1474" t="s">
        <v>983</v>
      </c>
      <c r="I942" s="1478" t="s">
        <v>823</v>
      </c>
      <c r="J942" s="1478" t="s">
        <v>2001</v>
      </c>
      <c r="K942" s="1475" t="s">
        <v>851</v>
      </c>
      <c r="L942" s="1474" t="s">
        <v>584</v>
      </c>
      <c r="M942" s="1476" t="s">
        <v>1699</v>
      </c>
      <c r="N942" s="1477" t="s">
        <v>1694</v>
      </c>
      <c r="O942" s="1479">
        <v>2011</v>
      </c>
      <c r="P942" s="1479"/>
      <c r="Q942" s="1142">
        <f t="shared" si="253"/>
        <v>2011</v>
      </c>
      <c r="R942" s="1143">
        <f>IFERROR(VLOOKUP(CONCATENATE(E942,G942),'LAC 103'!$A$12:$O$95,11,FALSE),0)</f>
        <v>3.2074101033884355</v>
      </c>
      <c r="S942" s="1144">
        <f>IFERROR(VLOOKUP(CONCATENATE($E942,$G942),'LAC 103'!$A$12:$O$95,12,FALSE),0)</f>
        <v>3.99</v>
      </c>
      <c r="T942" s="1144">
        <f>IFERROR(VLOOKUP(CONCATENATE($E942,$G942),'LAC 103'!$A$12:$O$95,13,FALSE),0)</f>
        <v>2.48</v>
      </c>
      <c r="U942" s="1144">
        <f>IFERROR(VLOOKUP(CONCATENATE($E942,$G942),'LAC 103'!$A$12:$O$95,14,FALSE),0)</f>
        <v>0</v>
      </c>
      <c r="V942" s="1144">
        <f>IFERROR(VLOOKUP(CONCATENATE($E942,$G942),'LAC 103'!$A$12:$O$95,15,FALSE),0)</f>
        <v>0</v>
      </c>
      <c r="W942" s="1145" t="str">
        <f>IFERROR(VLOOKUP(CONCATENATE($B942,$N942),'LAC 103'!$AI:$AQ,9,FALSE),"")</f>
        <v>Costs</v>
      </c>
      <c r="X942" s="1146">
        <f t="shared" si="258"/>
        <v>3.2074101033884355</v>
      </c>
      <c r="Y942" s="1143">
        <f t="shared" si="269"/>
        <v>6450.1017179141436</v>
      </c>
      <c r="Z942" s="1147">
        <f t="shared" si="259"/>
        <v>8023.89</v>
      </c>
      <c r="AA942" s="1144">
        <f t="shared" si="260"/>
        <v>4987.28</v>
      </c>
      <c r="AB942" s="1144">
        <f t="shared" si="261"/>
        <v>0</v>
      </c>
      <c r="AC942" s="1144">
        <f t="shared" si="262"/>
        <v>0</v>
      </c>
      <c r="AD942" s="1148">
        <f t="shared" si="254"/>
        <v>6450.1017179141436</v>
      </c>
      <c r="AE942" s="1487">
        <v>0</v>
      </c>
      <c r="AF942" s="1145">
        <f t="shared" si="263"/>
        <v>6450.1017179141436</v>
      </c>
      <c r="AG942" s="1149">
        <f>IFERROR(VLOOKUP(CONCATENATE($L942,$N942),'Drop List'!$G$23:$K$87,2,FALSE),0)</f>
        <v>0.56200000000000006</v>
      </c>
      <c r="AH942" s="1150">
        <f>IFERROR(VLOOKUP(CONCATENATE($L942,$N942),'Drop List'!$G$23:$K$87,3,FALSE),0)</f>
        <v>0</v>
      </c>
      <c r="AI942" s="1150">
        <f>IFERROR(VLOOKUP(CONCATENATE($L942,$N942),'Drop List'!$G$23:$K$87,4,FALSE),0)</f>
        <v>0</v>
      </c>
      <c r="AJ942" s="1151">
        <f>IFERROR(VLOOKUP(CONCATENATE($L942,$N942),'Drop List'!$G$23:$K$87,5,FALSE),0)</f>
        <v>0.43799999999999994</v>
      </c>
      <c r="AK942" s="1152">
        <f t="shared" si="264"/>
        <v>3624.9571654677488</v>
      </c>
      <c r="AL942" s="1153">
        <f t="shared" si="265"/>
        <v>0</v>
      </c>
      <c r="AM942" s="1153">
        <f t="shared" si="266"/>
        <v>0</v>
      </c>
      <c r="AN942" s="1145">
        <f t="shared" si="267"/>
        <v>2825.1445524463948</v>
      </c>
      <c r="AO942" s="1154">
        <f t="shared" si="268"/>
        <v>6450.1017179141436</v>
      </c>
      <c r="AP942" s="1147">
        <f t="shared" si="255"/>
        <v>0</v>
      </c>
      <c r="AQ942" s="1144">
        <f t="shared" si="256"/>
        <v>0</v>
      </c>
      <c r="AR942" s="1146">
        <f t="shared" si="257"/>
        <v>6450.1017179141436</v>
      </c>
    </row>
    <row r="943" spans="1:44" x14ac:dyDescent="0.2">
      <c r="A943" s="1141" t="str">
        <f t="shared" si="252"/>
        <v>1542</v>
      </c>
      <c r="B943" s="1141" t="str">
        <f>IFERROR(VLOOKUP(A943,'LAC 103'!A:C,3,FALSE),"")</f>
        <v>OP</v>
      </c>
      <c r="C943" s="1478" t="str">
        <f>Info!$B$8</f>
        <v>00100</v>
      </c>
      <c r="D943" s="1474" t="s">
        <v>256</v>
      </c>
      <c r="E943" s="1474" t="s">
        <v>95</v>
      </c>
      <c r="F943" s="1478" t="s">
        <v>392</v>
      </c>
      <c r="G943" s="1478" t="s">
        <v>392</v>
      </c>
      <c r="H943" s="1474" t="s">
        <v>983</v>
      </c>
      <c r="I943" s="1478" t="s">
        <v>823</v>
      </c>
      <c r="J943" s="1478" t="s">
        <v>2001</v>
      </c>
      <c r="K943" s="1475" t="s">
        <v>851</v>
      </c>
      <c r="L943" s="1474" t="s">
        <v>584</v>
      </c>
      <c r="M943" s="1476" t="s">
        <v>841</v>
      </c>
      <c r="N943" s="1477" t="s">
        <v>1695</v>
      </c>
      <c r="O943" s="1479">
        <v>379</v>
      </c>
      <c r="P943" s="1479"/>
      <c r="Q943" s="1142">
        <f t="shared" si="253"/>
        <v>379</v>
      </c>
      <c r="R943" s="1143">
        <f>IFERROR(VLOOKUP(CONCATENATE(E943,G943),'LAC 103'!$A$12:$O$95,11,FALSE),0)</f>
        <v>3.2074101033884355</v>
      </c>
      <c r="S943" s="1144">
        <f>IFERROR(VLOOKUP(CONCATENATE($E943,$G943),'LAC 103'!$A$12:$O$95,12,FALSE),0)</f>
        <v>3.99</v>
      </c>
      <c r="T943" s="1144">
        <f>IFERROR(VLOOKUP(CONCATENATE($E943,$G943),'LAC 103'!$A$12:$O$95,13,FALSE),0)</f>
        <v>2.48</v>
      </c>
      <c r="U943" s="1144">
        <f>IFERROR(VLOOKUP(CONCATENATE($E943,$G943),'LAC 103'!$A$12:$O$95,14,FALSE),0)</f>
        <v>0</v>
      </c>
      <c r="V943" s="1144">
        <f>IFERROR(VLOOKUP(CONCATENATE($E943,$G943),'LAC 103'!$A$12:$O$95,15,FALSE),0)</f>
        <v>0</v>
      </c>
      <c r="W943" s="1145" t="str">
        <f>IFERROR(VLOOKUP(CONCATENATE($B943,$N943),'LAC 103'!$AI:$AQ,9,FALSE),"")</f>
        <v>Costs</v>
      </c>
      <c r="X943" s="1146">
        <f t="shared" si="258"/>
        <v>3.2074101033884355</v>
      </c>
      <c r="Y943" s="1143">
        <f t="shared" si="269"/>
        <v>1215.6084291842171</v>
      </c>
      <c r="Z943" s="1147">
        <f t="shared" si="259"/>
        <v>1512.21</v>
      </c>
      <c r="AA943" s="1144">
        <f t="shared" si="260"/>
        <v>939.92</v>
      </c>
      <c r="AB943" s="1144">
        <f t="shared" si="261"/>
        <v>0</v>
      </c>
      <c r="AC943" s="1144">
        <f t="shared" si="262"/>
        <v>0</v>
      </c>
      <c r="AD943" s="1148">
        <f t="shared" si="254"/>
        <v>1215.6084291842171</v>
      </c>
      <c r="AE943" s="1487">
        <v>0</v>
      </c>
      <c r="AF943" s="1145">
        <f t="shared" si="263"/>
        <v>1215.6084291842171</v>
      </c>
      <c r="AG943" s="1149">
        <f>IFERROR(VLOOKUP(CONCATENATE($L943,$N943),'Drop List'!$G$23:$K$87,2,FALSE),0)</f>
        <v>0.55000000000000004</v>
      </c>
      <c r="AH943" s="1150">
        <f>IFERROR(VLOOKUP(CONCATENATE($L943,$N943),'Drop List'!$G$23:$K$87,3,FALSE),0)</f>
        <v>0</v>
      </c>
      <c r="AI943" s="1150">
        <f>IFERROR(VLOOKUP(CONCATENATE($L943,$N943),'Drop List'!$G$23:$K$87,4,FALSE),0)</f>
        <v>0</v>
      </c>
      <c r="AJ943" s="1151">
        <f>IFERROR(VLOOKUP(CONCATENATE($L943,$N943),'Drop List'!$G$23:$K$87,5,FALSE),0)</f>
        <v>0.44999999999999996</v>
      </c>
      <c r="AK943" s="1152">
        <f t="shared" si="264"/>
        <v>668.58463605131942</v>
      </c>
      <c r="AL943" s="1153">
        <f t="shared" si="265"/>
        <v>0</v>
      </c>
      <c r="AM943" s="1153">
        <f t="shared" si="266"/>
        <v>0</v>
      </c>
      <c r="AN943" s="1145">
        <f t="shared" si="267"/>
        <v>547.02379313289771</v>
      </c>
      <c r="AO943" s="1154">
        <f t="shared" si="268"/>
        <v>1215.6084291842171</v>
      </c>
      <c r="AP943" s="1147">
        <f t="shared" si="255"/>
        <v>0</v>
      </c>
      <c r="AQ943" s="1144">
        <f t="shared" si="256"/>
        <v>0</v>
      </c>
      <c r="AR943" s="1146">
        <f t="shared" si="257"/>
        <v>1215.6084291842171</v>
      </c>
    </row>
    <row r="944" spans="1:44" x14ac:dyDescent="0.2">
      <c r="A944" s="1141" t="str">
        <f t="shared" si="252"/>
        <v>1542</v>
      </c>
      <c r="B944" s="1141" t="str">
        <f>IFERROR(VLOOKUP(A944,'LAC 103'!A:C,3,FALSE),"")</f>
        <v>OP</v>
      </c>
      <c r="C944" s="1478" t="str">
        <f>Info!$B$8</f>
        <v>00100</v>
      </c>
      <c r="D944" s="1474" t="s">
        <v>256</v>
      </c>
      <c r="E944" s="1474" t="s">
        <v>95</v>
      </c>
      <c r="F944" s="1478" t="s">
        <v>392</v>
      </c>
      <c r="G944" s="1478" t="s">
        <v>392</v>
      </c>
      <c r="H944" s="1474" t="s">
        <v>983</v>
      </c>
      <c r="I944" s="1478" t="s">
        <v>823</v>
      </c>
      <c r="J944" s="1478" t="s">
        <v>2001</v>
      </c>
      <c r="K944" s="1475" t="s">
        <v>851</v>
      </c>
      <c r="L944" s="1474" t="s">
        <v>584</v>
      </c>
      <c r="M944" s="1476" t="s">
        <v>840</v>
      </c>
      <c r="N944" s="1477" t="s">
        <v>1700</v>
      </c>
      <c r="O944" s="1479">
        <v>143</v>
      </c>
      <c r="P944" s="1479"/>
      <c r="Q944" s="1142">
        <f t="shared" si="253"/>
        <v>143</v>
      </c>
      <c r="R944" s="1143">
        <f>IFERROR(VLOOKUP(CONCATENATE(E944,G944),'LAC 103'!$A$12:$O$95,11,FALSE),0)</f>
        <v>3.2074101033884355</v>
      </c>
      <c r="S944" s="1144">
        <f>IFERROR(VLOOKUP(CONCATENATE($E944,$G944),'LAC 103'!$A$12:$O$95,12,FALSE),0)</f>
        <v>3.99</v>
      </c>
      <c r="T944" s="1144">
        <f>IFERROR(VLOOKUP(CONCATENATE($E944,$G944),'LAC 103'!$A$12:$O$95,13,FALSE),0)</f>
        <v>2.48</v>
      </c>
      <c r="U944" s="1144">
        <f>IFERROR(VLOOKUP(CONCATENATE($E944,$G944),'LAC 103'!$A$12:$O$95,14,FALSE),0)</f>
        <v>0</v>
      </c>
      <c r="V944" s="1144">
        <f>IFERROR(VLOOKUP(CONCATENATE($E944,$G944),'LAC 103'!$A$12:$O$95,15,FALSE),0)</f>
        <v>0</v>
      </c>
      <c r="W944" s="1145" t="str">
        <f>IFERROR(VLOOKUP(CONCATENATE($B944,$N944),'LAC 103'!$AI:$AQ,9,FALSE),"")</f>
        <v>P.C.</v>
      </c>
      <c r="X944" s="1146">
        <f t="shared" si="258"/>
        <v>2.48</v>
      </c>
      <c r="Y944" s="1143">
        <f t="shared" si="269"/>
        <v>458.65964478454629</v>
      </c>
      <c r="Z944" s="1147">
        <f t="shared" si="259"/>
        <v>570.57000000000005</v>
      </c>
      <c r="AA944" s="1144">
        <f t="shared" si="260"/>
        <v>354.64</v>
      </c>
      <c r="AB944" s="1144">
        <f t="shared" si="261"/>
        <v>0</v>
      </c>
      <c r="AC944" s="1144">
        <f t="shared" si="262"/>
        <v>0</v>
      </c>
      <c r="AD944" s="1148">
        <f t="shared" si="254"/>
        <v>354.64</v>
      </c>
      <c r="AE944" s="1487">
        <v>0</v>
      </c>
      <c r="AF944" s="1145">
        <f t="shared" si="263"/>
        <v>354.64</v>
      </c>
      <c r="AG944" s="1149">
        <f>IFERROR(VLOOKUP(CONCATENATE($L944,$N944),'Drop List'!$G$23:$K$87,2,FALSE),0)</f>
        <v>0.55000000000000004</v>
      </c>
      <c r="AH944" s="1150">
        <f>IFERROR(VLOOKUP(CONCATENATE($L944,$N944),'Drop List'!$G$23:$K$87,3,FALSE),0)</f>
        <v>0</v>
      </c>
      <c r="AI944" s="1150">
        <f>IFERROR(VLOOKUP(CONCATENATE($L944,$N944),'Drop List'!$G$23:$K$87,4,FALSE),0)</f>
        <v>0</v>
      </c>
      <c r="AJ944" s="1151">
        <f>IFERROR(VLOOKUP(CONCATENATE($L944,$N944),'Drop List'!$G$23:$K$87,5,FALSE),0)</f>
        <v>0.44999999999999996</v>
      </c>
      <c r="AK944" s="1152">
        <f t="shared" si="264"/>
        <v>195.05200000000002</v>
      </c>
      <c r="AL944" s="1153">
        <f t="shared" si="265"/>
        <v>0</v>
      </c>
      <c r="AM944" s="1153">
        <f t="shared" si="266"/>
        <v>0</v>
      </c>
      <c r="AN944" s="1145">
        <f t="shared" si="267"/>
        <v>159.58799999999997</v>
      </c>
      <c r="AO944" s="1154">
        <f t="shared" si="268"/>
        <v>354.64</v>
      </c>
      <c r="AP944" s="1147">
        <f t="shared" si="255"/>
        <v>0</v>
      </c>
      <c r="AQ944" s="1144">
        <f t="shared" si="256"/>
        <v>0</v>
      </c>
      <c r="AR944" s="1146">
        <f t="shared" si="257"/>
        <v>354.64</v>
      </c>
    </row>
    <row r="945" spans="1:44" x14ac:dyDescent="0.2">
      <c r="A945" s="1141" t="str">
        <f t="shared" si="252"/>
        <v>1542</v>
      </c>
      <c r="B945" s="1141" t="str">
        <f>IFERROR(VLOOKUP(A945,'LAC 103'!A:C,3,FALSE),"")</f>
        <v>OP</v>
      </c>
      <c r="C945" s="1478" t="str">
        <f>Info!$B$8</f>
        <v>00100</v>
      </c>
      <c r="D945" s="1474" t="s">
        <v>256</v>
      </c>
      <c r="E945" s="1474" t="s">
        <v>95</v>
      </c>
      <c r="F945" s="1478" t="s">
        <v>392</v>
      </c>
      <c r="G945" s="1478" t="s">
        <v>392</v>
      </c>
      <c r="H945" s="1474" t="s">
        <v>983</v>
      </c>
      <c r="I945" s="1478" t="s">
        <v>823</v>
      </c>
      <c r="J945" s="1478" t="s">
        <v>2001</v>
      </c>
      <c r="K945" s="1475" t="s">
        <v>851</v>
      </c>
      <c r="L945" s="1474" t="s">
        <v>584</v>
      </c>
      <c r="M945" s="1476" t="s">
        <v>842</v>
      </c>
      <c r="N945" s="1477" t="s">
        <v>1692</v>
      </c>
      <c r="O945" s="1479">
        <v>2995</v>
      </c>
      <c r="P945" s="1479"/>
      <c r="Q945" s="1142">
        <f t="shared" si="253"/>
        <v>2995</v>
      </c>
      <c r="R945" s="1143">
        <f>IFERROR(VLOOKUP(CONCATENATE(E945,G945),'LAC 103'!$A$12:$O$95,11,FALSE),0)</f>
        <v>3.2074101033884355</v>
      </c>
      <c r="S945" s="1144">
        <f>IFERROR(VLOOKUP(CONCATENATE($E945,$G945),'LAC 103'!$A$12:$O$95,12,FALSE),0)</f>
        <v>3.99</v>
      </c>
      <c r="T945" s="1144">
        <f>IFERROR(VLOOKUP(CONCATENATE($E945,$G945),'LAC 103'!$A$12:$O$95,13,FALSE),0)</f>
        <v>2.48</v>
      </c>
      <c r="U945" s="1144">
        <f>IFERROR(VLOOKUP(CONCATENATE($E945,$G945),'LAC 103'!$A$12:$O$95,14,FALSE),0)</f>
        <v>0</v>
      </c>
      <c r="V945" s="1144">
        <f>IFERROR(VLOOKUP(CONCATENATE($E945,$G945),'LAC 103'!$A$12:$O$95,15,FALSE),0)</f>
        <v>0</v>
      </c>
      <c r="W945" s="1145" t="str">
        <f>IFERROR(VLOOKUP(CONCATENATE($B945,$N945),'LAC 103'!$AI:$AQ,9,FALSE),"")</f>
        <v>Costs</v>
      </c>
      <c r="X945" s="1146">
        <f t="shared" si="258"/>
        <v>3.2074101033884355</v>
      </c>
      <c r="Y945" s="1143">
        <f t="shared" si="269"/>
        <v>9606.1932596483639</v>
      </c>
      <c r="Z945" s="1147">
        <f t="shared" si="259"/>
        <v>11950.050000000001</v>
      </c>
      <c r="AA945" s="1144">
        <f t="shared" si="260"/>
        <v>7427.6</v>
      </c>
      <c r="AB945" s="1144">
        <f t="shared" si="261"/>
        <v>0</v>
      </c>
      <c r="AC945" s="1144">
        <f t="shared" si="262"/>
        <v>0</v>
      </c>
      <c r="AD945" s="1148">
        <f t="shared" si="254"/>
        <v>9606.1932596483639</v>
      </c>
      <c r="AE945" s="1487">
        <v>0</v>
      </c>
      <c r="AF945" s="1145">
        <f t="shared" si="263"/>
        <v>9606.1932596483639</v>
      </c>
      <c r="AG945" s="1149">
        <f>IFERROR(VLOOKUP(CONCATENATE($L945,$N945),'Drop List'!$G$23:$K$87,2,FALSE),0)</f>
        <v>0.56200000000000006</v>
      </c>
      <c r="AH945" s="1150">
        <f>IFERROR(VLOOKUP(CONCATENATE($L945,$N945),'Drop List'!$G$23:$K$87,3,FALSE),0)</f>
        <v>0</v>
      </c>
      <c r="AI945" s="1150">
        <f>IFERROR(VLOOKUP(CONCATENATE($L945,$N945),'Drop List'!$G$23:$K$87,4,FALSE),0)</f>
        <v>0</v>
      </c>
      <c r="AJ945" s="1151">
        <f>IFERROR(VLOOKUP(CONCATENATE($L945,$N945),'Drop List'!$G$23:$K$87,5,FALSE),0)</f>
        <v>0.43799999999999994</v>
      </c>
      <c r="AK945" s="1152">
        <f t="shared" si="264"/>
        <v>5398.6806119223811</v>
      </c>
      <c r="AL945" s="1153">
        <f t="shared" si="265"/>
        <v>0</v>
      </c>
      <c r="AM945" s="1153">
        <f t="shared" si="266"/>
        <v>0</v>
      </c>
      <c r="AN945" s="1145">
        <f t="shared" si="267"/>
        <v>4207.5126477259828</v>
      </c>
      <c r="AO945" s="1154">
        <f t="shared" si="268"/>
        <v>9606.1932596483639</v>
      </c>
      <c r="AP945" s="1147">
        <f t="shared" si="255"/>
        <v>0</v>
      </c>
      <c r="AQ945" s="1144">
        <f t="shared" si="256"/>
        <v>0</v>
      </c>
      <c r="AR945" s="1146">
        <f t="shared" si="257"/>
        <v>9606.1932596483639</v>
      </c>
    </row>
    <row r="946" spans="1:44" x14ac:dyDescent="0.2">
      <c r="A946" s="1141" t="str">
        <f t="shared" si="252"/>
        <v>1542</v>
      </c>
      <c r="B946" s="1141" t="str">
        <f>IFERROR(VLOOKUP(A946,'LAC 103'!A:C,3,FALSE),"")</f>
        <v>OP</v>
      </c>
      <c r="C946" s="1478" t="str">
        <f>Info!$B$8</f>
        <v>00100</v>
      </c>
      <c r="D946" s="1474" t="s">
        <v>256</v>
      </c>
      <c r="E946" s="1474" t="s">
        <v>95</v>
      </c>
      <c r="F946" s="1478" t="s">
        <v>392</v>
      </c>
      <c r="G946" s="1478" t="s">
        <v>392</v>
      </c>
      <c r="H946" s="1474" t="s">
        <v>983</v>
      </c>
      <c r="I946" s="1478" t="s">
        <v>823</v>
      </c>
      <c r="J946" s="1478" t="s">
        <v>2001</v>
      </c>
      <c r="K946" s="1475" t="s">
        <v>851</v>
      </c>
      <c r="L946" s="1474" t="s">
        <v>584</v>
      </c>
      <c r="M946" s="1476" t="s">
        <v>1698</v>
      </c>
      <c r="N946" s="1477" t="s">
        <v>1693</v>
      </c>
      <c r="O946" s="1479">
        <v>3793</v>
      </c>
      <c r="P946" s="1479"/>
      <c r="Q946" s="1142">
        <f t="shared" si="253"/>
        <v>3793</v>
      </c>
      <c r="R946" s="1143">
        <f>IFERROR(VLOOKUP(CONCATENATE(E946,G946),'LAC 103'!$A$12:$O$95,11,FALSE),0)</f>
        <v>3.2074101033884355</v>
      </c>
      <c r="S946" s="1144">
        <f>IFERROR(VLOOKUP(CONCATENATE($E946,$G946),'LAC 103'!$A$12:$O$95,12,FALSE),0)</f>
        <v>3.99</v>
      </c>
      <c r="T946" s="1144">
        <f>IFERROR(VLOOKUP(CONCATENATE($E946,$G946),'LAC 103'!$A$12:$O$95,13,FALSE),0)</f>
        <v>2.48</v>
      </c>
      <c r="U946" s="1144">
        <f>IFERROR(VLOOKUP(CONCATENATE($E946,$G946),'LAC 103'!$A$12:$O$95,14,FALSE),0)</f>
        <v>0</v>
      </c>
      <c r="V946" s="1144">
        <f>IFERROR(VLOOKUP(CONCATENATE($E946,$G946),'LAC 103'!$A$12:$O$95,15,FALSE),0)</f>
        <v>0</v>
      </c>
      <c r="W946" s="1145" t="str">
        <f>IFERROR(VLOOKUP(CONCATENATE($B946,$N946),'LAC 103'!$AI:$AQ,9,FALSE),"")</f>
        <v>Costs</v>
      </c>
      <c r="X946" s="1146">
        <f t="shared" si="258"/>
        <v>3.2074101033884355</v>
      </c>
      <c r="Y946" s="1143">
        <f t="shared" si="269"/>
        <v>12165.706522152335</v>
      </c>
      <c r="Z946" s="1147">
        <f t="shared" si="259"/>
        <v>15134.070000000002</v>
      </c>
      <c r="AA946" s="1144">
        <f t="shared" si="260"/>
        <v>9406.64</v>
      </c>
      <c r="AB946" s="1144">
        <f t="shared" si="261"/>
        <v>0</v>
      </c>
      <c r="AC946" s="1144">
        <f t="shared" si="262"/>
        <v>0</v>
      </c>
      <c r="AD946" s="1148">
        <f t="shared" si="254"/>
        <v>12165.706522152335</v>
      </c>
      <c r="AE946" s="1487">
        <v>0</v>
      </c>
      <c r="AF946" s="1145">
        <f t="shared" si="263"/>
        <v>12165.706522152335</v>
      </c>
      <c r="AG946" s="1149">
        <f>IFERROR(VLOOKUP(CONCATENATE($L946,$N946),'Drop List'!$G$23:$K$87,2,FALSE),0)</f>
        <v>0.56200000000000006</v>
      </c>
      <c r="AH946" s="1150">
        <f>IFERROR(VLOOKUP(CONCATENATE($L946,$N946),'Drop List'!$G$23:$K$87,3,FALSE),0)</f>
        <v>0</v>
      </c>
      <c r="AI946" s="1150">
        <f>IFERROR(VLOOKUP(CONCATENATE($L946,$N946),'Drop List'!$G$23:$K$87,4,FALSE),0)</f>
        <v>0</v>
      </c>
      <c r="AJ946" s="1151">
        <f>IFERROR(VLOOKUP(CONCATENATE($L946,$N946),'Drop List'!$G$23:$K$87,5,FALSE),0)</f>
        <v>0.43799999999999994</v>
      </c>
      <c r="AK946" s="1152">
        <f t="shared" si="264"/>
        <v>6837.1270654496129</v>
      </c>
      <c r="AL946" s="1153">
        <f t="shared" si="265"/>
        <v>0</v>
      </c>
      <c r="AM946" s="1153">
        <f t="shared" si="266"/>
        <v>0</v>
      </c>
      <c r="AN946" s="1145">
        <f t="shared" si="267"/>
        <v>5328.5794567027224</v>
      </c>
      <c r="AO946" s="1154">
        <f t="shared" si="268"/>
        <v>12165.706522152335</v>
      </c>
      <c r="AP946" s="1147">
        <f t="shared" si="255"/>
        <v>0</v>
      </c>
      <c r="AQ946" s="1144">
        <f t="shared" si="256"/>
        <v>0</v>
      </c>
      <c r="AR946" s="1146">
        <f t="shared" si="257"/>
        <v>12165.706522152335</v>
      </c>
    </row>
    <row r="947" spans="1:44" x14ac:dyDescent="0.2">
      <c r="A947" s="1141" t="str">
        <f t="shared" si="252"/>
        <v>1542</v>
      </c>
      <c r="B947" s="1141" t="str">
        <f>IFERROR(VLOOKUP(A947,'LAC 103'!A:C,3,FALSE),"")</f>
        <v>OP</v>
      </c>
      <c r="C947" s="1478" t="str">
        <f>Info!$B$8</f>
        <v>00100</v>
      </c>
      <c r="D947" s="1474" t="s">
        <v>256</v>
      </c>
      <c r="E947" s="1474" t="s">
        <v>95</v>
      </c>
      <c r="F947" s="1478" t="s">
        <v>392</v>
      </c>
      <c r="G947" s="1478" t="s">
        <v>392</v>
      </c>
      <c r="H947" s="1474" t="s">
        <v>1663</v>
      </c>
      <c r="I947" s="1478" t="s">
        <v>927</v>
      </c>
      <c r="J947" s="1478" t="s">
        <v>123</v>
      </c>
      <c r="K947" s="1475" t="s">
        <v>849</v>
      </c>
      <c r="L947" s="1474" t="s">
        <v>77</v>
      </c>
      <c r="M947" s="1476" t="s">
        <v>1699</v>
      </c>
      <c r="N947" s="1477" t="s">
        <v>1694</v>
      </c>
      <c r="O947" s="1479">
        <v>6497</v>
      </c>
      <c r="P947" s="1479"/>
      <c r="Q947" s="1142">
        <f t="shared" si="253"/>
        <v>6497</v>
      </c>
      <c r="R947" s="1143">
        <f>IFERROR(VLOOKUP(CONCATENATE(E947,G947),'LAC 103'!$A$12:$O$95,11,FALSE),0)</f>
        <v>3.2074101033884355</v>
      </c>
      <c r="S947" s="1144">
        <f>IFERROR(VLOOKUP(CONCATENATE($E947,$G947),'LAC 103'!$A$12:$O$95,12,FALSE),0)</f>
        <v>3.99</v>
      </c>
      <c r="T947" s="1144">
        <f>IFERROR(VLOOKUP(CONCATENATE($E947,$G947),'LAC 103'!$A$12:$O$95,13,FALSE),0)</f>
        <v>2.48</v>
      </c>
      <c r="U947" s="1144">
        <f>IFERROR(VLOOKUP(CONCATENATE($E947,$G947),'LAC 103'!$A$12:$O$95,14,FALSE),0)</f>
        <v>0</v>
      </c>
      <c r="V947" s="1144">
        <f>IFERROR(VLOOKUP(CONCATENATE($E947,$G947),'LAC 103'!$A$12:$O$95,15,FALSE),0)</f>
        <v>0</v>
      </c>
      <c r="W947" s="1145" t="str">
        <f>IFERROR(VLOOKUP(CONCATENATE($B947,$N947),'LAC 103'!$AI:$AQ,9,FALSE),"")</f>
        <v>Costs</v>
      </c>
      <c r="X947" s="1146">
        <f t="shared" si="258"/>
        <v>3.2074101033884355</v>
      </c>
      <c r="Y947" s="1143">
        <f t="shared" si="269"/>
        <v>20838.543441714664</v>
      </c>
      <c r="Z947" s="1147">
        <f t="shared" si="259"/>
        <v>25923.030000000002</v>
      </c>
      <c r="AA947" s="1144">
        <f t="shared" si="260"/>
        <v>16112.56</v>
      </c>
      <c r="AB947" s="1144">
        <f t="shared" si="261"/>
        <v>0</v>
      </c>
      <c r="AC947" s="1144">
        <f t="shared" si="262"/>
        <v>0</v>
      </c>
      <c r="AD947" s="1148">
        <f t="shared" si="254"/>
        <v>20838.543441714664</v>
      </c>
      <c r="AE947" s="1487">
        <v>0</v>
      </c>
      <c r="AF947" s="1145">
        <f t="shared" si="263"/>
        <v>20838.543441714664</v>
      </c>
      <c r="AG947" s="1149">
        <f>IFERROR(VLOOKUP(CONCATENATE($L947,$N947),'Drop List'!$G$23:$K$87,2,FALSE),0)</f>
        <v>0.9</v>
      </c>
      <c r="AH947" s="1150">
        <f>IFERROR(VLOOKUP(CONCATENATE($L947,$N947),'Drop List'!$G$23:$K$87,3,FALSE),0)</f>
        <v>0</v>
      </c>
      <c r="AI947" s="1150">
        <f>IFERROR(VLOOKUP(CONCATENATE($L947,$N947),'Drop List'!$G$23:$K$87,4,FALSE),0)</f>
        <v>0.1</v>
      </c>
      <c r="AJ947" s="1151">
        <f>IFERROR(VLOOKUP(CONCATENATE($L947,$N947),'Drop List'!$G$23:$K$87,5,FALSE),0)</f>
        <v>0</v>
      </c>
      <c r="AK947" s="1152">
        <f t="shared" si="264"/>
        <v>18754.6890975432</v>
      </c>
      <c r="AL947" s="1153">
        <f t="shared" si="265"/>
        <v>0</v>
      </c>
      <c r="AM947" s="1153">
        <f t="shared" si="266"/>
        <v>2083.8543441714664</v>
      </c>
      <c r="AN947" s="1145">
        <f t="shared" si="267"/>
        <v>0</v>
      </c>
      <c r="AO947" s="1154">
        <f t="shared" si="268"/>
        <v>20838.543441714668</v>
      </c>
      <c r="AP947" s="1147">
        <f t="shared" si="255"/>
        <v>0</v>
      </c>
      <c r="AQ947" s="1144">
        <f t="shared" si="256"/>
        <v>0</v>
      </c>
      <c r="AR947" s="1146">
        <f t="shared" si="257"/>
        <v>20838.543441714668</v>
      </c>
    </row>
    <row r="948" spans="1:44" x14ac:dyDescent="0.2">
      <c r="A948" s="1141" t="str">
        <f t="shared" si="252"/>
        <v>1542</v>
      </c>
      <c r="B948" s="1141" t="str">
        <f>IFERROR(VLOOKUP(A948,'LAC 103'!A:C,3,FALSE),"")</f>
        <v>OP</v>
      </c>
      <c r="C948" s="1478" t="str">
        <f>Info!$B$8</f>
        <v>00100</v>
      </c>
      <c r="D948" s="1474" t="s">
        <v>256</v>
      </c>
      <c r="E948" s="1474" t="s">
        <v>95</v>
      </c>
      <c r="F948" s="1478" t="s">
        <v>392</v>
      </c>
      <c r="G948" s="1478" t="s">
        <v>392</v>
      </c>
      <c r="H948" s="1474" t="s">
        <v>1663</v>
      </c>
      <c r="I948" s="1478" t="s">
        <v>927</v>
      </c>
      <c r="J948" s="1478"/>
      <c r="K948" s="1475" t="s">
        <v>849</v>
      </c>
      <c r="L948" s="1474" t="s">
        <v>77</v>
      </c>
      <c r="M948" s="1476" t="s">
        <v>841</v>
      </c>
      <c r="N948" s="1477" t="s">
        <v>1695</v>
      </c>
      <c r="O948" s="1479">
        <v>57</v>
      </c>
      <c r="P948" s="1479"/>
      <c r="Q948" s="1142">
        <f t="shared" si="253"/>
        <v>57</v>
      </c>
      <c r="R948" s="1143">
        <f>IFERROR(VLOOKUP(CONCATENATE(E948,G948),'LAC 103'!$A$12:$O$95,11,FALSE),0)</f>
        <v>3.2074101033884355</v>
      </c>
      <c r="S948" s="1144">
        <f>IFERROR(VLOOKUP(CONCATENATE($E948,$G948),'LAC 103'!$A$12:$O$95,12,FALSE),0)</f>
        <v>3.99</v>
      </c>
      <c r="T948" s="1144">
        <f>IFERROR(VLOOKUP(CONCATENATE($E948,$G948),'LAC 103'!$A$12:$O$95,13,FALSE),0)</f>
        <v>2.48</v>
      </c>
      <c r="U948" s="1144">
        <f>IFERROR(VLOOKUP(CONCATENATE($E948,$G948),'LAC 103'!$A$12:$O$95,14,FALSE),0)</f>
        <v>0</v>
      </c>
      <c r="V948" s="1144">
        <f>IFERROR(VLOOKUP(CONCATENATE($E948,$G948),'LAC 103'!$A$12:$O$95,15,FALSE),0)</f>
        <v>0</v>
      </c>
      <c r="W948" s="1145" t="str">
        <f>IFERROR(VLOOKUP(CONCATENATE($B948,$N948),'LAC 103'!$AI:$AQ,9,FALSE),"")</f>
        <v>Costs</v>
      </c>
      <c r="X948" s="1146">
        <f t="shared" si="258"/>
        <v>3.2074101033884355</v>
      </c>
      <c r="Y948" s="1143">
        <f t="shared" si="269"/>
        <v>182.82237589314082</v>
      </c>
      <c r="Z948" s="1147">
        <f t="shared" si="259"/>
        <v>227.43</v>
      </c>
      <c r="AA948" s="1144">
        <f t="shared" si="260"/>
        <v>141.35999999999999</v>
      </c>
      <c r="AB948" s="1144">
        <f t="shared" si="261"/>
        <v>0</v>
      </c>
      <c r="AC948" s="1144">
        <f t="shared" si="262"/>
        <v>0</v>
      </c>
      <c r="AD948" s="1148">
        <f t="shared" si="254"/>
        <v>182.82237589314082</v>
      </c>
      <c r="AE948" s="1487">
        <v>0</v>
      </c>
      <c r="AF948" s="1145">
        <f t="shared" si="263"/>
        <v>182.82237589314082</v>
      </c>
      <c r="AG948" s="1149">
        <f>IFERROR(VLOOKUP(CONCATENATE($L948,$N948),'Drop List'!$G$23:$K$87,2,FALSE),0)</f>
        <v>0.9</v>
      </c>
      <c r="AH948" s="1150">
        <f>IFERROR(VLOOKUP(CONCATENATE($L948,$N948),'Drop List'!$G$23:$K$87,3,FALSE),0)</f>
        <v>0</v>
      </c>
      <c r="AI948" s="1150">
        <f>IFERROR(VLOOKUP(CONCATENATE($L948,$N948),'Drop List'!$G$23:$K$87,4,FALSE),0)</f>
        <v>0.1</v>
      </c>
      <c r="AJ948" s="1151">
        <f>IFERROR(VLOOKUP(CONCATENATE($L948,$N948),'Drop List'!$G$23:$K$87,5,FALSE),0)</f>
        <v>0</v>
      </c>
      <c r="AK948" s="1152">
        <f t="shared" si="264"/>
        <v>164.54013830382675</v>
      </c>
      <c r="AL948" s="1153">
        <f t="shared" si="265"/>
        <v>0</v>
      </c>
      <c r="AM948" s="1153">
        <f t="shared" si="266"/>
        <v>18.282237589314082</v>
      </c>
      <c r="AN948" s="1145">
        <f t="shared" si="267"/>
        <v>0</v>
      </c>
      <c r="AO948" s="1154">
        <f t="shared" si="268"/>
        <v>182.82237589314084</v>
      </c>
      <c r="AP948" s="1147">
        <f t="shared" si="255"/>
        <v>0</v>
      </c>
      <c r="AQ948" s="1144">
        <f t="shared" si="256"/>
        <v>0</v>
      </c>
      <c r="AR948" s="1146">
        <f t="shared" si="257"/>
        <v>182.82237589314084</v>
      </c>
    </row>
    <row r="949" spans="1:44" x14ac:dyDescent="0.2">
      <c r="A949" s="1141" t="str">
        <f t="shared" si="252"/>
        <v>1542</v>
      </c>
      <c r="B949" s="1141" t="str">
        <f>IFERROR(VLOOKUP(A949,'LAC 103'!A:C,3,FALSE),"")</f>
        <v>OP</v>
      </c>
      <c r="C949" s="1478" t="str">
        <f>Info!$B$8</f>
        <v>00100</v>
      </c>
      <c r="D949" s="1474" t="s">
        <v>256</v>
      </c>
      <c r="E949" s="1474" t="s">
        <v>95</v>
      </c>
      <c r="F949" s="1478" t="s">
        <v>392</v>
      </c>
      <c r="G949" s="1478" t="s">
        <v>392</v>
      </c>
      <c r="H949" s="1474" t="s">
        <v>1663</v>
      </c>
      <c r="I949" s="1478" t="s">
        <v>927</v>
      </c>
      <c r="J949" s="1478"/>
      <c r="K949" s="1475" t="s">
        <v>849</v>
      </c>
      <c r="L949" s="1474" t="s">
        <v>77</v>
      </c>
      <c r="M949" s="1476" t="s">
        <v>842</v>
      </c>
      <c r="N949" s="1477" t="s">
        <v>1692</v>
      </c>
      <c r="O949" s="1479">
        <v>9456</v>
      </c>
      <c r="P949" s="1479"/>
      <c r="Q949" s="1142">
        <f t="shared" si="253"/>
        <v>9456</v>
      </c>
      <c r="R949" s="1143">
        <f>IFERROR(VLOOKUP(CONCATENATE(E949,G949),'LAC 103'!$A$12:$O$95,11,FALSE),0)</f>
        <v>3.2074101033884355</v>
      </c>
      <c r="S949" s="1144">
        <f>IFERROR(VLOOKUP(CONCATENATE($E949,$G949),'LAC 103'!$A$12:$O$95,12,FALSE),0)</f>
        <v>3.99</v>
      </c>
      <c r="T949" s="1144">
        <f>IFERROR(VLOOKUP(CONCATENATE($E949,$G949),'LAC 103'!$A$12:$O$95,13,FALSE),0)</f>
        <v>2.48</v>
      </c>
      <c r="U949" s="1144">
        <f>IFERROR(VLOOKUP(CONCATENATE($E949,$G949),'LAC 103'!$A$12:$O$95,14,FALSE),0)</f>
        <v>0</v>
      </c>
      <c r="V949" s="1144">
        <f>IFERROR(VLOOKUP(CONCATENATE($E949,$G949),'LAC 103'!$A$12:$O$95,15,FALSE),0)</f>
        <v>0</v>
      </c>
      <c r="W949" s="1145" t="str">
        <f>IFERROR(VLOOKUP(CONCATENATE($B949,$N949),'LAC 103'!$AI:$AQ,9,FALSE),"")</f>
        <v>Costs</v>
      </c>
      <c r="X949" s="1146">
        <f t="shared" si="258"/>
        <v>3.2074101033884355</v>
      </c>
      <c r="Y949" s="1143">
        <f t="shared" si="269"/>
        <v>30329.269937641046</v>
      </c>
      <c r="Z949" s="1147">
        <f t="shared" si="259"/>
        <v>37729.440000000002</v>
      </c>
      <c r="AA949" s="1144">
        <f t="shared" si="260"/>
        <v>23450.880000000001</v>
      </c>
      <c r="AB949" s="1144">
        <f t="shared" si="261"/>
        <v>0</v>
      </c>
      <c r="AC949" s="1144">
        <f t="shared" si="262"/>
        <v>0</v>
      </c>
      <c r="AD949" s="1148">
        <f t="shared" si="254"/>
        <v>30329.269937641046</v>
      </c>
      <c r="AE949" s="1487">
        <v>0</v>
      </c>
      <c r="AF949" s="1145">
        <f t="shared" si="263"/>
        <v>30329.269937641046</v>
      </c>
      <c r="AG949" s="1149">
        <f>IFERROR(VLOOKUP(CONCATENATE($L949,$N949),'Drop List'!$G$23:$K$87,2,FALSE),0)</f>
        <v>0.9</v>
      </c>
      <c r="AH949" s="1150">
        <f>IFERROR(VLOOKUP(CONCATENATE($L949,$N949),'Drop List'!$G$23:$K$87,3,FALSE),0)</f>
        <v>0</v>
      </c>
      <c r="AI949" s="1150">
        <f>IFERROR(VLOOKUP(CONCATENATE($L949,$N949),'Drop List'!$G$23:$K$87,4,FALSE),0)</f>
        <v>0.1</v>
      </c>
      <c r="AJ949" s="1151">
        <f>IFERROR(VLOOKUP(CONCATENATE($L949,$N949),'Drop List'!$G$23:$K$87,5,FALSE),0)</f>
        <v>0</v>
      </c>
      <c r="AK949" s="1152">
        <f t="shared" si="264"/>
        <v>27296.342943876942</v>
      </c>
      <c r="AL949" s="1153">
        <f t="shared" si="265"/>
        <v>0</v>
      </c>
      <c r="AM949" s="1153">
        <f t="shared" si="266"/>
        <v>3032.9269937641047</v>
      </c>
      <c r="AN949" s="1145">
        <f t="shared" si="267"/>
        <v>0</v>
      </c>
      <c r="AO949" s="1154">
        <f t="shared" si="268"/>
        <v>30329.269937641046</v>
      </c>
      <c r="AP949" s="1147">
        <f t="shared" si="255"/>
        <v>0</v>
      </c>
      <c r="AQ949" s="1144">
        <f t="shared" si="256"/>
        <v>0</v>
      </c>
      <c r="AR949" s="1146">
        <f t="shared" si="257"/>
        <v>30329.269937641046</v>
      </c>
    </row>
    <row r="950" spans="1:44" x14ac:dyDescent="0.2">
      <c r="A950" s="1141" t="str">
        <f t="shared" si="252"/>
        <v>1542</v>
      </c>
      <c r="B950" s="1141" t="str">
        <f>IFERROR(VLOOKUP(A950,'LAC 103'!A:C,3,FALSE),"")</f>
        <v>OP</v>
      </c>
      <c r="C950" s="1478" t="str">
        <f>Info!$B$8</f>
        <v>00100</v>
      </c>
      <c r="D950" s="1474" t="s">
        <v>256</v>
      </c>
      <c r="E950" s="1474" t="s">
        <v>95</v>
      </c>
      <c r="F950" s="1478" t="s">
        <v>392</v>
      </c>
      <c r="G950" s="1478" t="s">
        <v>392</v>
      </c>
      <c r="H950" s="1474" t="s">
        <v>1663</v>
      </c>
      <c r="I950" s="1478" t="s">
        <v>927</v>
      </c>
      <c r="J950" s="1478"/>
      <c r="K950" s="1475" t="s">
        <v>849</v>
      </c>
      <c r="L950" s="1474" t="s">
        <v>77</v>
      </c>
      <c r="M950" s="1476" t="s">
        <v>1698</v>
      </c>
      <c r="N950" s="1477" t="s">
        <v>1693</v>
      </c>
      <c r="O950" s="1479">
        <v>15814</v>
      </c>
      <c r="P950" s="1479"/>
      <c r="Q950" s="1142">
        <f t="shared" si="253"/>
        <v>15814</v>
      </c>
      <c r="R950" s="1143">
        <f>IFERROR(VLOOKUP(CONCATENATE(E950,G950),'LAC 103'!$A$12:$O$95,11,FALSE),0)</f>
        <v>3.2074101033884355</v>
      </c>
      <c r="S950" s="1144">
        <f>IFERROR(VLOOKUP(CONCATENATE($E950,$G950),'LAC 103'!$A$12:$O$95,12,FALSE),0)</f>
        <v>3.99</v>
      </c>
      <c r="T950" s="1144">
        <f>IFERROR(VLOOKUP(CONCATENATE($E950,$G950),'LAC 103'!$A$12:$O$95,13,FALSE),0)</f>
        <v>2.48</v>
      </c>
      <c r="U950" s="1144">
        <f>IFERROR(VLOOKUP(CONCATENATE($E950,$G950),'LAC 103'!$A$12:$O$95,14,FALSE),0)</f>
        <v>0</v>
      </c>
      <c r="V950" s="1144">
        <f>IFERROR(VLOOKUP(CONCATENATE($E950,$G950),'LAC 103'!$A$12:$O$95,15,FALSE),0)</f>
        <v>0</v>
      </c>
      <c r="W950" s="1145" t="str">
        <f>IFERROR(VLOOKUP(CONCATENATE($B950,$N950),'LAC 103'!$AI:$AQ,9,FALSE),"")</f>
        <v>Costs</v>
      </c>
      <c r="X950" s="1146">
        <f t="shared" si="258"/>
        <v>3.2074101033884355</v>
      </c>
      <c r="Y950" s="1143">
        <f t="shared" si="269"/>
        <v>50721.983374984717</v>
      </c>
      <c r="Z950" s="1147">
        <f t="shared" si="259"/>
        <v>63097.86</v>
      </c>
      <c r="AA950" s="1144">
        <f t="shared" si="260"/>
        <v>39218.720000000001</v>
      </c>
      <c r="AB950" s="1144">
        <f t="shared" si="261"/>
        <v>0</v>
      </c>
      <c r="AC950" s="1144">
        <f t="shared" si="262"/>
        <v>0</v>
      </c>
      <c r="AD950" s="1148">
        <f t="shared" si="254"/>
        <v>50721.983374984717</v>
      </c>
      <c r="AE950" s="1487">
        <v>0</v>
      </c>
      <c r="AF950" s="1145">
        <f t="shared" si="263"/>
        <v>50721.983374984717</v>
      </c>
      <c r="AG950" s="1149">
        <f>IFERROR(VLOOKUP(CONCATENATE($L950,$N950),'Drop List'!$G$23:$K$87,2,FALSE),0)</f>
        <v>0.9</v>
      </c>
      <c r="AH950" s="1150">
        <f>IFERROR(VLOOKUP(CONCATENATE($L950,$N950),'Drop List'!$G$23:$K$87,3,FALSE),0)</f>
        <v>0</v>
      </c>
      <c r="AI950" s="1150">
        <f>IFERROR(VLOOKUP(CONCATENATE($L950,$N950),'Drop List'!$G$23:$K$87,4,FALSE),0)</f>
        <v>0.1</v>
      </c>
      <c r="AJ950" s="1151">
        <f>IFERROR(VLOOKUP(CONCATENATE($L950,$N950),'Drop List'!$G$23:$K$87,5,FALSE),0)</f>
        <v>0</v>
      </c>
      <c r="AK950" s="1152">
        <f t="shared" si="264"/>
        <v>45649.785037486246</v>
      </c>
      <c r="AL950" s="1153">
        <f t="shared" si="265"/>
        <v>0</v>
      </c>
      <c r="AM950" s="1153">
        <f t="shared" si="266"/>
        <v>5072.198337498472</v>
      </c>
      <c r="AN950" s="1145">
        <f t="shared" si="267"/>
        <v>0</v>
      </c>
      <c r="AO950" s="1154">
        <f t="shared" si="268"/>
        <v>50721.983374984717</v>
      </c>
      <c r="AP950" s="1147">
        <f t="shared" si="255"/>
        <v>0</v>
      </c>
      <c r="AQ950" s="1144">
        <f t="shared" si="256"/>
        <v>0</v>
      </c>
      <c r="AR950" s="1146">
        <f t="shared" si="257"/>
        <v>50721.983374984717</v>
      </c>
    </row>
    <row r="951" spans="1:44" x14ac:dyDescent="0.2">
      <c r="A951" s="1141" t="str">
        <f t="shared" si="252"/>
        <v>1542</v>
      </c>
      <c r="B951" s="1141" t="str">
        <f>IFERROR(VLOOKUP(A951,'LAC 103'!A:C,3,FALSE),"")</f>
        <v>OP</v>
      </c>
      <c r="C951" s="1478" t="str">
        <f>Info!$B$8</f>
        <v>00100</v>
      </c>
      <c r="D951" s="1474" t="s">
        <v>256</v>
      </c>
      <c r="E951" s="1474" t="s">
        <v>95</v>
      </c>
      <c r="F951" s="1478" t="s">
        <v>392</v>
      </c>
      <c r="G951" s="1478" t="s">
        <v>392</v>
      </c>
      <c r="H951" s="1474" t="s">
        <v>1663</v>
      </c>
      <c r="I951" s="1478" t="s">
        <v>927</v>
      </c>
      <c r="J951" s="1478"/>
      <c r="K951" s="1475" t="s">
        <v>971</v>
      </c>
      <c r="L951" s="1474" t="s">
        <v>332</v>
      </c>
      <c r="M951" s="1476" t="s">
        <v>842</v>
      </c>
      <c r="N951" s="1477" t="s">
        <v>1692</v>
      </c>
      <c r="O951" s="1479">
        <v>2933</v>
      </c>
      <c r="P951" s="1479"/>
      <c r="Q951" s="1142">
        <f t="shared" si="253"/>
        <v>2933</v>
      </c>
      <c r="R951" s="1143">
        <f>IFERROR(VLOOKUP(CONCATENATE(E951,G951),'LAC 103'!$A$12:$O$95,11,FALSE),0)</f>
        <v>3.2074101033884355</v>
      </c>
      <c r="S951" s="1144">
        <f>IFERROR(VLOOKUP(CONCATENATE($E951,$G951),'LAC 103'!$A$12:$O$95,12,FALSE),0)</f>
        <v>3.99</v>
      </c>
      <c r="T951" s="1144">
        <f>IFERROR(VLOOKUP(CONCATENATE($E951,$G951),'LAC 103'!$A$12:$O$95,13,FALSE),0)</f>
        <v>2.48</v>
      </c>
      <c r="U951" s="1144">
        <f>IFERROR(VLOOKUP(CONCATENATE($E951,$G951),'LAC 103'!$A$12:$O$95,14,FALSE),0)</f>
        <v>0</v>
      </c>
      <c r="V951" s="1144">
        <f>IFERROR(VLOOKUP(CONCATENATE($E951,$G951),'LAC 103'!$A$12:$O$95,15,FALSE),0)</f>
        <v>0</v>
      </c>
      <c r="W951" s="1145" t="str">
        <f>IFERROR(VLOOKUP(CONCATENATE($B951,$N951),'LAC 103'!$AI:$AQ,9,FALSE),"")</f>
        <v>Costs</v>
      </c>
      <c r="X951" s="1146">
        <f t="shared" si="258"/>
        <v>3.2074101033884355</v>
      </c>
      <c r="Y951" s="1143">
        <f t="shared" si="269"/>
        <v>9407.3338332382809</v>
      </c>
      <c r="Z951" s="1147">
        <f t="shared" si="259"/>
        <v>11702.67</v>
      </c>
      <c r="AA951" s="1144">
        <f t="shared" si="260"/>
        <v>7273.84</v>
      </c>
      <c r="AB951" s="1144">
        <f t="shared" si="261"/>
        <v>0</v>
      </c>
      <c r="AC951" s="1144">
        <f t="shared" si="262"/>
        <v>0</v>
      </c>
      <c r="AD951" s="1148">
        <f t="shared" si="254"/>
        <v>9407.3338332382809</v>
      </c>
      <c r="AE951" s="1487">
        <v>0</v>
      </c>
      <c r="AF951" s="1145">
        <f t="shared" si="263"/>
        <v>9407.3338332382809</v>
      </c>
      <c r="AG951" s="1149">
        <f>IFERROR(VLOOKUP(CONCATENATE($L951,$N951),'Drop List'!$G$23:$K$87,2,FALSE),0)</f>
        <v>0</v>
      </c>
      <c r="AH951" s="1150">
        <f>IFERROR(VLOOKUP(CONCATENATE($L951,$N951),'Drop List'!$G$23:$K$87,3,FALSE),0)</f>
        <v>0</v>
      </c>
      <c r="AI951" s="1150">
        <f>IFERROR(VLOOKUP(CONCATENATE($L951,$N951),'Drop List'!$G$23:$K$87,4,FALSE),0)</f>
        <v>0</v>
      </c>
      <c r="AJ951" s="1151">
        <f>IFERROR(VLOOKUP(CONCATENATE($L951,$N951),'Drop List'!$G$23:$K$87,5,FALSE),0)</f>
        <v>0</v>
      </c>
      <c r="AK951" s="1152">
        <f t="shared" si="264"/>
        <v>0</v>
      </c>
      <c r="AL951" s="1153">
        <f t="shared" si="265"/>
        <v>0</v>
      </c>
      <c r="AM951" s="1153">
        <f t="shared" si="266"/>
        <v>0</v>
      </c>
      <c r="AN951" s="1145">
        <f t="shared" si="267"/>
        <v>0</v>
      </c>
      <c r="AO951" s="1154">
        <f t="shared" si="268"/>
        <v>0</v>
      </c>
      <c r="AP951" s="1147">
        <f t="shared" si="255"/>
        <v>9407.3338332382809</v>
      </c>
      <c r="AQ951" s="1144">
        <f t="shared" si="256"/>
        <v>0</v>
      </c>
      <c r="AR951" s="1146">
        <f t="shared" si="257"/>
        <v>9407.3338332382809</v>
      </c>
    </row>
    <row r="952" spans="1:44" x14ac:dyDescent="0.2">
      <c r="A952" s="1141" t="str">
        <f t="shared" si="252"/>
        <v>1542</v>
      </c>
      <c r="B952" s="1141" t="str">
        <f>IFERROR(VLOOKUP(A952,'LAC 103'!A:C,3,FALSE),"")</f>
        <v>OP</v>
      </c>
      <c r="C952" s="1478" t="str">
        <f>Info!$B$8</f>
        <v>00100</v>
      </c>
      <c r="D952" s="1474" t="s">
        <v>256</v>
      </c>
      <c r="E952" s="1474" t="s">
        <v>95</v>
      </c>
      <c r="F952" s="1478" t="s">
        <v>392</v>
      </c>
      <c r="G952" s="1478" t="s">
        <v>392</v>
      </c>
      <c r="H952" s="1474" t="s">
        <v>1663</v>
      </c>
      <c r="I952" s="1478" t="s">
        <v>927</v>
      </c>
      <c r="J952" s="1478"/>
      <c r="K952" s="1475" t="s">
        <v>971</v>
      </c>
      <c r="L952" s="1474" t="s">
        <v>332</v>
      </c>
      <c r="M952" s="1476" t="s">
        <v>1698</v>
      </c>
      <c r="N952" s="1477" t="s">
        <v>1693</v>
      </c>
      <c r="O952" s="1479">
        <v>608</v>
      </c>
      <c r="P952" s="1479"/>
      <c r="Q952" s="1142">
        <f t="shared" si="253"/>
        <v>608</v>
      </c>
      <c r="R952" s="1143">
        <f>IFERROR(VLOOKUP(CONCATENATE(E952,G952),'LAC 103'!$A$12:$O$95,11,FALSE),0)</f>
        <v>3.2074101033884355</v>
      </c>
      <c r="S952" s="1144">
        <f>IFERROR(VLOOKUP(CONCATENATE($E952,$G952),'LAC 103'!$A$12:$O$95,12,FALSE),0)</f>
        <v>3.99</v>
      </c>
      <c r="T952" s="1144">
        <f>IFERROR(VLOOKUP(CONCATENATE($E952,$G952),'LAC 103'!$A$12:$O$95,13,FALSE),0)</f>
        <v>2.48</v>
      </c>
      <c r="U952" s="1144">
        <f>IFERROR(VLOOKUP(CONCATENATE($E952,$G952),'LAC 103'!$A$12:$O$95,14,FALSE),0)</f>
        <v>0</v>
      </c>
      <c r="V952" s="1144">
        <f>IFERROR(VLOOKUP(CONCATENATE($E952,$G952),'LAC 103'!$A$12:$O$95,15,FALSE),0)</f>
        <v>0</v>
      </c>
      <c r="W952" s="1145" t="str">
        <f>IFERROR(VLOOKUP(CONCATENATE($B952,$N952),'LAC 103'!$AI:$AQ,9,FALSE),"")</f>
        <v>Costs</v>
      </c>
      <c r="X952" s="1146">
        <f t="shared" si="258"/>
        <v>3.2074101033884355</v>
      </c>
      <c r="Y952" s="1143">
        <f t="shared" si="269"/>
        <v>1950.1053428601688</v>
      </c>
      <c r="Z952" s="1147">
        <f t="shared" si="259"/>
        <v>2425.92</v>
      </c>
      <c r="AA952" s="1144">
        <f t="shared" si="260"/>
        <v>1507.84</v>
      </c>
      <c r="AB952" s="1144">
        <f t="shared" si="261"/>
        <v>0</v>
      </c>
      <c r="AC952" s="1144">
        <f t="shared" si="262"/>
        <v>0</v>
      </c>
      <c r="AD952" s="1148">
        <f t="shared" si="254"/>
        <v>1950.1053428601688</v>
      </c>
      <c r="AE952" s="1487">
        <v>0</v>
      </c>
      <c r="AF952" s="1145">
        <f t="shared" si="263"/>
        <v>1950.1053428601688</v>
      </c>
      <c r="AG952" s="1149">
        <f>IFERROR(VLOOKUP(CONCATENATE($L952,$N952),'Drop List'!$G$23:$K$87,2,FALSE),0)</f>
        <v>0</v>
      </c>
      <c r="AH952" s="1150">
        <f>IFERROR(VLOOKUP(CONCATENATE($L952,$N952),'Drop List'!$G$23:$K$87,3,FALSE),0)</f>
        <v>0</v>
      </c>
      <c r="AI952" s="1150">
        <f>IFERROR(VLOOKUP(CONCATENATE($L952,$N952),'Drop List'!$G$23:$K$87,4,FALSE),0)</f>
        <v>0</v>
      </c>
      <c r="AJ952" s="1151">
        <f>IFERROR(VLOOKUP(CONCATENATE($L952,$N952),'Drop List'!$G$23:$K$87,5,FALSE),0)</f>
        <v>0</v>
      </c>
      <c r="AK952" s="1152">
        <f t="shared" si="264"/>
        <v>0</v>
      </c>
      <c r="AL952" s="1153">
        <f t="shared" si="265"/>
        <v>0</v>
      </c>
      <c r="AM952" s="1153">
        <f t="shared" si="266"/>
        <v>0</v>
      </c>
      <c r="AN952" s="1145">
        <f t="shared" si="267"/>
        <v>0</v>
      </c>
      <c r="AO952" s="1154">
        <f t="shared" si="268"/>
        <v>0</v>
      </c>
      <c r="AP952" s="1147">
        <f t="shared" si="255"/>
        <v>1950.1053428601688</v>
      </c>
      <c r="AQ952" s="1144">
        <f t="shared" si="256"/>
        <v>0</v>
      </c>
      <c r="AR952" s="1146">
        <f t="shared" si="257"/>
        <v>1950.1053428601688</v>
      </c>
    </row>
    <row r="953" spans="1:44" x14ac:dyDescent="0.2">
      <c r="A953" s="1141" t="str">
        <f t="shared" si="252"/>
        <v>1542</v>
      </c>
      <c r="B953" s="1141" t="str">
        <f>IFERROR(VLOOKUP(A953,'LAC 103'!A:C,3,FALSE),"")</f>
        <v>OP</v>
      </c>
      <c r="C953" s="1478" t="str">
        <f>Info!$B$8</f>
        <v>00100</v>
      </c>
      <c r="D953" s="1474" t="s">
        <v>256</v>
      </c>
      <c r="E953" s="1474" t="s">
        <v>95</v>
      </c>
      <c r="F953" s="1478" t="s">
        <v>392</v>
      </c>
      <c r="G953" s="1478" t="s">
        <v>392</v>
      </c>
      <c r="H953" s="1474" t="s">
        <v>1663</v>
      </c>
      <c r="I953" s="1478" t="s">
        <v>927</v>
      </c>
      <c r="J953" s="1478"/>
      <c r="K953" s="1475" t="s">
        <v>851</v>
      </c>
      <c r="L953" s="1474" t="s">
        <v>584</v>
      </c>
      <c r="M953" s="1476" t="s">
        <v>1699</v>
      </c>
      <c r="N953" s="1477" t="s">
        <v>1694</v>
      </c>
      <c r="O953" s="1479">
        <v>3005</v>
      </c>
      <c r="P953" s="1479"/>
      <c r="Q953" s="1142">
        <f t="shared" si="253"/>
        <v>3005</v>
      </c>
      <c r="R953" s="1143">
        <f>IFERROR(VLOOKUP(CONCATENATE(E953,G953),'LAC 103'!$A$12:$O$95,11,FALSE),0)</f>
        <v>3.2074101033884355</v>
      </c>
      <c r="S953" s="1144">
        <f>IFERROR(VLOOKUP(CONCATENATE($E953,$G953),'LAC 103'!$A$12:$O$95,12,FALSE),0)</f>
        <v>3.99</v>
      </c>
      <c r="T953" s="1144">
        <f>IFERROR(VLOOKUP(CONCATENATE($E953,$G953),'LAC 103'!$A$12:$O$95,13,FALSE),0)</f>
        <v>2.48</v>
      </c>
      <c r="U953" s="1144">
        <f>IFERROR(VLOOKUP(CONCATENATE($E953,$G953),'LAC 103'!$A$12:$O$95,14,FALSE),0)</f>
        <v>0</v>
      </c>
      <c r="V953" s="1144">
        <f>IFERROR(VLOOKUP(CONCATENATE($E953,$G953),'LAC 103'!$A$12:$O$95,15,FALSE),0)</f>
        <v>0</v>
      </c>
      <c r="W953" s="1145" t="str">
        <f>IFERROR(VLOOKUP(CONCATENATE($B953,$N953),'LAC 103'!$AI:$AQ,9,FALSE),"")</f>
        <v>Costs</v>
      </c>
      <c r="X953" s="1146">
        <f t="shared" si="258"/>
        <v>3.2074101033884355</v>
      </c>
      <c r="Y953" s="1143">
        <f t="shared" si="269"/>
        <v>9638.2673606822482</v>
      </c>
      <c r="Z953" s="1147">
        <f t="shared" si="259"/>
        <v>11989.95</v>
      </c>
      <c r="AA953" s="1144">
        <f t="shared" si="260"/>
        <v>7452.4</v>
      </c>
      <c r="AB953" s="1144">
        <f t="shared" si="261"/>
        <v>0</v>
      </c>
      <c r="AC953" s="1144">
        <f t="shared" si="262"/>
        <v>0</v>
      </c>
      <c r="AD953" s="1148">
        <f t="shared" si="254"/>
        <v>9638.2673606822482</v>
      </c>
      <c r="AE953" s="1487">
        <v>0</v>
      </c>
      <c r="AF953" s="1145">
        <f t="shared" si="263"/>
        <v>9638.2673606822482</v>
      </c>
      <c r="AG953" s="1149">
        <f>IFERROR(VLOOKUP(CONCATENATE($L953,$N953),'Drop List'!$G$23:$K$87,2,FALSE),0)</f>
        <v>0.56200000000000006</v>
      </c>
      <c r="AH953" s="1150">
        <f>IFERROR(VLOOKUP(CONCATENATE($L953,$N953),'Drop List'!$G$23:$K$87,3,FALSE),0)</f>
        <v>0</v>
      </c>
      <c r="AI953" s="1150">
        <f>IFERROR(VLOOKUP(CONCATENATE($L953,$N953),'Drop List'!$G$23:$K$87,4,FALSE),0)</f>
        <v>0</v>
      </c>
      <c r="AJ953" s="1151">
        <f>IFERROR(VLOOKUP(CONCATENATE($L953,$N953),'Drop List'!$G$23:$K$87,5,FALSE),0)</f>
        <v>0.43799999999999994</v>
      </c>
      <c r="AK953" s="1152">
        <f t="shared" si="264"/>
        <v>5416.7062567034236</v>
      </c>
      <c r="AL953" s="1153">
        <f t="shared" si="265"/>
        <v>0</v>
      </c>
      <c r="AM953" s="1153">
        <f t="shared" si="266"/>
        <v>0</v>
      </c>
      <c r="AN953" s="1145">
        <f t="shared" si="267"/>
        <v>4221.5611039788246</v>
      </c>
      <c r="AO953" s="1154">
        <f t="shared" si="268"/>
        <v>9638.2673606822482</v>
      </c>
      <c r="AP953" s="1147">
        <f t="shared" si="255"/>
        <v>0</v>
      </c>
      <c r="AQ953" s="1144">
        <f t="shared" si="256"/>
        <v>0</v>
      </c>
      <c r="AR953" s="1146">
        <f t="shared" si="257"/>
        <v>9638.2673606822482</v>
      </c>
    </row>
    <row r="954" spans="1:44" x14ac:dyDescent="0.2">
      <c r="A954" s="1141" t="str">
        <f t="shared" si="252"/>
        <v>1542</v>
      </c>
      <c r="B954" s="1141" t="str">
        <f>IFERROR(VLOOKUP(A954,'LAC 103'!A:C,3,FALSE),"")</f>
        <v>OP</v>
      </c>
      <c r="C954" s="1478" t="str">
        <f>Info!$B$8</f>
        <v>00100</v>
      </c>
      <c r="D954" s="1474" t="s">
        <v>256</v>
      </c>
      <c r="E954" s="1474" t="s">
        <v>95</v>
      </c>
      <c r="F954" s="1478" t="s">
        <v>392</v>
      </c>
      <c r="G954" s="1478" t="s">
        <v>392</v>
      </c>
      <c r="H954" s="1474" t="s">
        <v>1663</v>
      </c>
      <c r="I954" s="1478" t="s">
        <v>927</v>
      </c>
      <c r="J954" s="1478"/>
      <c r="K954" s="1475" t="s">
        <v>851</v>
      </c>
      <c r="L954" s="1474" t="s">
        <v>584</v>
      </c>
      <c r="M954" s="1476" t="s">
        <v>841</v>
      </c>
      <c r="N954" s="1477" t="s">
        <v>1695</v>
      </c>
      <c r="O954" s="1479">
        <v>497</v>
      </c>
      <c r="P954" s="1479"/>
      <c r="Q954" s="1142">
        <f t="shared" si="253"/>
        <v>497</v>
      </c>
      <c r="R954" s="1143">
        <f>IFERROR(VLOOKUP(CONCATENATE(E954,G954),'LAC 103'!$A$12:$O$95,11,FALSE),0)</f>
        <v>3.2074101033884355</v>
      </c>
      <c r="S954" s="1144">
        <f>IFERROR(VLOOKUP(CONCATENATE($E954,$G954),'LAC 103'!$A$12:$O$95,12,FALSE),0)</f>
        <v>3.99</v>
      </c>
      <c r="T954" s="1144">
        <f>IFERROR(VLOOKUP(CONCATENATE($E954,$G954),'LAC 103'!$A$12:$O$95,13,FALSE),0)</f>
        <v>2.48</v>
      </c>
      <c r="U954" s="1144">
        <f>IFERROR(VLOOKUP(CONCATENATE($E954,$G954),'LAC 103'!$A$12:$O$95,14,FALSE),0)</f>
        <v>0</v>
      </c>
      <c r="V954" s="1144">
        <f>IFERROR(VLOOKUP(CONCATENATE($E954,$G954),'LAC 103'!$A$12:$O$95,15,FALSE),0)</f>
        <v>0</v>
      </c>
      <c r="W954" s="1145" t="str">
        <f>IFERROR(VLOOKUP(CONCATENATE($B954,$N954),'LAC 103'!$AI:$AQ,9,FALSE),"")</f>
        <v>Costs</v>
      </c>
      <c r="X954" s="1146">
        <f t="shared" si="258"/>
        <v>3.2074101033884355</v>
      </c>
      <c r="Y954" s="1143">
        <f t="shared" si="269"/>
        <v>1594.0828213840525</v>
      </c>
      <c r="Z954" s="1147">
        <f t="shared" si="259"/>
        <v>1983.0300000000002</v>
      </c>
      <c r="AA954" s="1144">
        <f t="shared" si="260"/>
        <v>1232.56</v>
      </c>
      <c r="AB954" s="1144">
        <f t="shared" si="261"/>
        <v>0</v>
      </c>
      <c r="AC954" s="1144">
        <f t="shared" si="262"/>
        <v>0</v>
      </c>
      <c r="AD954" s="1148">
        <f t="shared" si="254"/>
        <v>1594.0828213840525</v>
      </c>
      <c r="AE954" s="1487">
        <v>0</v>
      </c>
      <c r="AF954" s="1145">
        <f t="shared" si="263"/>
        <v>1594.0828213840525</v>
      </c>
      <c r="AG954" s="1149">
        <f>IFERROR(VLOOKUP(CONCATENATE($L954,$N954),'Drop List'!$G$23:$K$87,2,FALSE),0)</f>
        <v>0.55000000000000004</v>
      </c>
      <c r="AH954" s="1150">
        <f>IFERROR(VLOOKUP(CONCATENATE($L954,$N954),'Drop List'!$G$23:$K$87,3,FALSE),0)</f>
        <v>0</v>
      </c>
      <c r="AI954" s="1150">
        <f>IFERROR(VLOOKUP(CONCATENATE($L954,$N954),'Drop List'!$G$23:$K$87,4,FALSE),0)</f>
        <v>0</v>
      </c>
      <c r="AJ954" s="1151">
        <f>IFERROR(VLOOKUP(CONCATENATE($L954,$N954),'Drop List'!$G$23:$K$87,5,FALSE),0)</f>
        <v>0.44999999999999996</v>
      </c>
      <c r="AK954" s="1152">
        <f t="shared" si="264"/>
        <v>876.74555176122897</v>
      </c>
      <c r="AL954" s="1153">
        <f t="shared" si="265"/>
        <v>0</v>
      </c>
      <c r="AM954" s="1153">
        <f t="shared" si="266"/>
        <v>0</v>
      </c>
      <c r="AN954" s="1145">
        <f t="shared" si="267"/>
        <v>717.33726962282356</v>
      </c>
      <c r="AO954" s="1154">
        <f t="shared" si="268"/>
        <v>1594.0828213840525</v>
      </c>
      <c r="AP954" s="1147">
        <f t="shared" si="255"/>
        <v>0</v>
      </c>
      <c r="AQ954" s="1144">
        <f t="shared" si="256"/>
        <v>0</v>
      </c>
      <c r="AR954" s="1146">
        <f t="shared" si="257"/>
        <v>1594.0828213840525</v>
      </c>
    </row>
    <row r="955" spans="1:44" x14ac:dyDescent="0.2">
      <c r="A955" s="1141" t="str">
        <f t="shared" si="252"/>
        <v>1542</v>
      </c>
      <c r="B955" s="1141" t="str">
        <f>IFERROR(VLOOKUP(A955,'LAC 103'!A:C,3,FALSE),"")</f>
        <v>OP</v>
      </c>
      <c r="C955" s="1478" t="str">
        <f>Info!$B$8</f>
        <v>00100</v>
      </c>
      <c r="D955" s="1474" t="s">
        <v>256</v>
      </c>
      <c r="E955" s="1474" t="s">
        <v>95</v>
      </c>
      <c r="F955" s="1478" t="s">
        <v>392</v>
      </c>
      <c r="G955" s="1478" t="s">
        <v>392</v>
      </c>
      <c r="H955" s="1474" t="s">
        <v>1663</v>
      </c>
      <c r="I955" s="1478" t="s">
        <v>927</v>
      </c>
      <c r="J955" s="1478"/>
      <c r="K955" s="1475" t="s">
        <v>851</v>
      </c>
      <c r="L955" s="1474" t="s">
        <v>584</v>
      </c>
      <c r="M955" s="1476" t="s">
        <v>840</v>
      </c>
      <c r="N955" s="1477" t="s">
        <v>1700</v>
      </c>
      <c r="O955" s="1479">
        <v>228</v>
      </c>
      <c r="P955" s="1479"/>
      <c r="Q955" s="1142">
        <f t="shared" si="253"/>
        <v>228</v>
      </c>
      <c r="R955" s="1143">
        <f>IFERROR(VLOOKUP(CONCATENATE(E955,G955),'LAC 103'!$A$12:$O$95,11,FALSE),0)</f>
        <v>3.2074101033884355</v>
      </c>
      <c r="S955" s="1144">
        <f>IFERROR(VLOOKUP(CONCATENATE($E955,$G955),'LAC 103'!$A$12:$O$95,12,FALSE),0)</f>
        <v>3.99</v>
      </c>
      <c r="T955" s="1144">
        <f>IFERROR(VLOOKUP(CONCATENATE($E955,$G955),'LAC 103'!$A$12:$O$95,13,FALSE),0)</f>
        <v>2.48</v>
      </c>
      <c r="U955" s="1144">
        <f>IFERROR(VLOOKUP(CONCATENATE($E955,$G955),'LAC 103'!$A$12:$O$95,14,FALSE),0)</f>
        <v>0</v>
      </c>
      <c r="V955" s="1144">
        <f>IFERROR(VLOOKUP(CONCATENATE($E955,$G955),'LAC 103'!$A$12:$O$95,15,FALSE),0)</f>
        <v>0</v>
      </c>
      <c r="W955" s="1145" t="str">
        <f>IFERROR(VLOOKUP(CONCATENATE($B955,$N955),'LAC 103'!$AI:$AQ,9,FALSE),"")</f>
        <v>P.C.</v>
      </c>
      <c r="X955" s="1146">
        <f t="shared" si="258"/>
        <v>2.48</v>
      </c>
      <c r="Y955" s="1143">
        <f t="shared" si="269"/>
        <v>731.28950357256326</v>
      </c>
      <c r="Z955" s="1147">
        <f t="shared" si="259"/>
        <v>909.72</v>
      </c>
      <c r="AA955" s="1144">
        <f t="shared" si="260"/>
        <v>565.43999999999994</v>
      </c>
      <c r="AB955" s="1144">
        <f t="shared" si="261"/>
        <v>0</v>
      </c>
      <c r="AC955" s="1144">
        <f t="shared" si="262"/>
        <v>0</v>
      </c>
      <c r="AD955" s="1148">
        <f t="shared" si="254"/>
        <v>565.43999999999994</v>
      </c>
      <c r="AE955" s="1487">
        <v>0</v>
      </c>
      <c r="AF955" s="1145">
        <f t="shared" si="263"/>
        <v>565.43999999999994</v>
      </c>
      <c r="AG955" s="1149">
        <f>IFERROR(VLOOKUP(CONCATENATE($L955,$N955),'Drop List'!$G$23:$K$87,2,FALSE),0)</f>
        <v>0.55000000000000004</v>
      </c>
      <c r="AH955" s="1150">
        <f>IFERROR(VLOOKUP(CONCATENATE($L955,$N955),'Drop List'!$G$23:$K$87,3,FALSE),0)</f>
        <v>0</v>
      </c>
      <c r="AI955" s="1150">
        <f>IFERROR(VLOOKUP(CONCATENATE($L955,$N955),'Drop List'!$G$23:$K$87,4,FALSE),0)</f>
        <v>0</v>
      </c>
      <c r="AJ955" s="1151">
        <f>IFERROR(VLOOKUP(CONCATENATE($L955,$N955),'Drop List'!$G$23:$K$87,5,FALSE),0)</f>
        <v>0.44999999999999996</v>
      </c>
      <c r="AK955" s="1152">
        <f t="shared" si="264"/>
        <v>310.99200000000002</v>
      </c>
      <c r="AL955" s="1153">
        <f t="shared" si="265"/>
        <v>0</v>
      </c>
      <c r="AM955" s="1153">
        <f t="shared" si="266"/>
        <v>0</v>
      </c>
      <c r="AN955" s="1145">
        <f t="shared" si="267"/>
        <v>254.44799999999995</v>
      </c>
      <c r="AO955" s="1154">
        <f t="shared" si="268"/>
        <v>565.43999999999994</v>
      </c>
      <c r="AP955" s="1147">
        <f t="shared" si="255"/>
        <v>0</v>
      </c>
      <c r="AQ955" s="1144">
        <f t="shared" si="256"/>
        <v>0</v>
      </c>
      <c r="AR955" s="1146">
        <f t="shared" si="257"/>
        <v>565.43999999999994</v>
      </c>
    </row>
    <row r="956" spans="1:44" x14ac:dyDescent="0.2">
      <c r="A956" s="1141" t="str">
        <f t="shared" ref="A956:A981" si="270">IF(CONCATENATE(E956,G956)="","",CONCATENATE(E956,G956))</f>
        <v>1542</v>
      </c>
      <c r="B956" s="1141" t="str">
        <f>IFERROR(VLOOKUP(A956,'LAC 103'!A:C,3,FALSE),"")</f>
        <v>OP</v>
      </c>
      <c r="C956" s="1478" t="str">
        <f>Info!$B$8</f>
        <v>00100</v>
      </c>
      <c r="D956" s="1474" t="s">
        <v>256</v>
      </c>
      <c r="E956" s="1474" t="s">
        <v>95</v>
      </c>
      <c r="F956" s="1478" t="s">
        <v>392</v>
      </c>
      <c r="G956" s="1478" t="s">
        <v>392</v>
      </c>
      <c r="H956" s="1474" t="s">
        <v>1663</v>
      </c>
      <c r="I956" s="1478" t="s">
        <v>927</v>
      </c>
      <c r="J956" s="1478"/>
      <c r="K956" s="1475" t="s">
        <v>851</v>
      </c>
      <c r="L956" s="1474" t="s">
        <v>584</v>
      </c>
      <c r="M956" s="1476" t="s">
        <v>842</v>
      </c>
      <c r="N956" s="1477" t="s">
        <v>1692</v>
      </c>
      <c r="O956" s="1479">
        <v>2398</v>
      </c>
      <c r="P956" s="1479"/>
      <c r="Q956" s="1142">
        <f t="shared" ref="Q956:Q1019" si="271">O956+P956</f>
        <v>2398</v>
      </c>
      <c r="R956" s="1143">
        <f>IFERROR(VLOOKUP(CONCATENATE(E956,G956),'LAC 103'!$A$12:$O$95,11,FALSE),0)</f>
        <v>3.2074101033884355</v>
      </c>
      <c r="S956" s="1144">
        <f>IFERROR(VLOOKUP(CONCATENATE($E956,$G956),'LAC 103'!$A$12:$O$95,12,FALSE),0)</f>
        <v>3.99</v>
      </c>
      <c r="T956" s="1144">
        <f>IFERROR(VLOOKUP(CONCATENATE($E956,$G956),'LAC 103'!$A$12:$O$95,13,FALSE),0)</f>
        <v>2.48</v>
      </c>
      <c r="U956" s="1144">
        <f>IFERROR(VLOOKUP(CONCATENATE($E956,$G956),'LAC 103'!$A$12:$O$95,14,FALSE),0)</f>
        <v>0</v>
      </c>
      <c r="V956" s="1144">
        <f>IFERROR(VLOOKUP(CONCATENATE($E956,$G956),'LAC 103'!$A$12:$O$95,15,FALSE),0)</f>
        <v>0</v>
      </c>
      <c r="W956" s="1145" t="str">
        <f>IFERROR(VLOOKUP(CONCATENATE($B956,$N956),'LAC 103'!$AI:$AQ,9,FALSE),"")</f>
        <v>Costs</v>
      </c>
      <c r="X956" s="1146">
        <f t="shared" si="258"/>
        <v>3.2074101033884355</v>
      </c>
      <c r="Y956" s="1143">
        <f t="shared" si="269"/>
        <v>7691.3694279254678</v>
      </c>
      <c r="Z956" s="1147">
        <f t="shared" si="259"/>
        <v>9568.02</v>
      </c>
      <c r="AA956" s="1144">
        <f t="shared" si="260"/>
        <v>5947.04</v>
      </c>
      <c r="AB956" s="1144">
        <f t="shared" si="261"/>
        <v>0</v>
      </c>
      <c r="AC956" s="1144">
        <f t="shared" si="262"/>
        <v>0</v>
      </c>
      <c r="AD956" s="1148">
        <f t="shared" si="254"/>
        <v>7691.3694279254678</v>
      </c>
      <c r="AE956" s="1487">
        <v>0</v>
      </c>
      <c r="AF956" s="1145">
        <f t="shared" si="263"/>
        <v>7691.3694279254678</v>
      </c>
      <c r="AG956" s="1149">
        <f>IFERROR(VLOOKUP(CONCATENATE($L956,$N956),'Drop List'!$G$23:$K$87,2,FALSE),0)</f>
        <v>0.56200000000000006</v>
      </c>
      <c r="AH956" s="1150">
        <f>IFERROR(VLOOKUP(CONCATENATE($L956,$N956),'Drop List'!$G$23:$K$87,3,FALSE),0)</f>
        <v>0</v>
      </c>
      <c r="AI956" s="1150">
        <f>IFERROR(VLOOKUP(CONCATENATE($L956,$N956),'Drop List'!$G$23:$K$87,4,FALSE),0)</f>
        <v>0</v>
      </c>
      <c r="AJ956" s="1151">
        <f>IFERROR(VLOOKUP(CONCATENATE($L956,$N956),'Drop List'!$G$23:$K$87,5,FALSE),0)</f>
        <v>0.43799999999999994</v>
      </c>
      <c r="AK956" s="1152">
        <f t="shared" si="264"/>
        <v>4322.549618494113</v>
      </c>
      <c r="AL956" s="1153">
        <f t="shared" si="265"/>
        <v>0</v>
      </c>
      <c r="AM956" s="1153">
        <f t="shared" si="266"/>
        <v>0</v>
      </c>
      <c r="AN956" s="1145">
        <f t="shared" si="267"/>
        <v>3368.8198094313543</v>
      </c>
      <c r="AO956" s="1154">
        <f t="shared" si="268"/>
        <v>7691.3694279254669</v>
      </c>
      <c r="AP956" s="1147">
        <f t="shared" si="255"/>
        <v>0</v>
      </c>
      <c r="AQ956" s="1144">
        <f t="shared" si="256"/>
        <v>0</v>
      </c>
      <c r="AR956" s="1146">
        <f t="shared" si="257"/>
        <v>7691.3694279254669</v>
      </c>
    </row>
    <row r="957" spans="1:44" x14ac:dyDescent="0.2">
      <c r="A957" s="1141" t="str">
        <f t="shared" si="270"/>
        <v>1542</v>
      </c>
      <c r="B957" s="1141" t="str">
        <f>IFERROR(VLOOKUP(A957,'LAC 103'!A:C,3,FALSE),"")</f>
        <v>OP</v>
      </c>
      <c r="C957" s="1478" t="str">
        <f>Info!$B$8</f>
        <v>00100</v>
      </c>
      <c r="D957" s="1474" t="s">
        <v>256</v>
      </c>
      <c r="E957" s="1474" t="s">
        <v>95</v>
      </c>
      <c r="F957" s="1478" t="s">
        <v>392</v>
      </c>
      <c r="G957" s="1478" t="s">
        <v>392</v>
      </c>
      <c r="H957" s="1474" t="s">
        <v>1663</v>
      </c>
      <c r="I957" s="1478" t="s">
        <v>927</v>
      </c>
      <c r="J957" s="1478"/>
      <c r="K957" s="1475" t="s">
        <v>851</v>
      </c>
      <c r="L957" s="1474" t="s">
        <v>584</v>
      </c>
      <c r="M957" s="1476" t="s">
        <v>1698</v>
      </c>
      <c r="N957" s="1477" t="s">
        <v>1693</v>
      </c>
      <c r="O957" s="1479">
        <v>2619</v>
      </c>
      <c r="P957" s="1479"/>
      <c r="Q957" s="1142">
        <f t="shared" si="271"/>
        <v>2619</v>
      </c>
      <c r="R957" s="1143">
        <f>IFERROR(VLOOKUP(CONCATENATE(E957,G957),'LAC 103'!$A$12:$O$95,11,FALSE),0)</f>
        <v>3.2074101033884355</v>
      </c>
      <c r="S957" s="1144">
        <f>IFERROR(VLOOKUP(CONCATENATE($E957,$G957),'LAC 103'!$A$12:$O$95,12,FALSE),0)</f>
        <v>3.99</v>
      </c>
      <c r="T957" s="1144">
        <f>IFERROR(VLOOKUP(CONCATENATE($E957,$G957),'LAC 103'!$A$12:$O$95,13,FALSE),0)</f>
        <v>2.48</v>
      </c>
      <c r="U957" s="1144">
        <f>IFERROR(VLOOKUP(CONCATENATE($E957,$G957),'LAC 103'!$A$12:$O$95,14,FALSE),0)</f>
        <v>0</v>
      </c>
      <c r="V957" s="1144">
        <f>IFERROR(VLOOKUP(CONCATENATE($E957,$G957),'LAC 103'!$A$12:$O$95,15,FALSE),0)</f>
        <v>0</v>
      </c>
      <c r="W957" s="1145" t="str">
        <f>IFERROR(VLOOKUP(CONCATENATE($B957,$N957),'LAC 103'!$AI:$AQ,9,FALSE),"")</f>
        <v>Costs</v>
      </c>
      <c r="X957" s="1146">
        <f t="shared" si="258"/>
        <v>3.2074101033884355</v>
      </c>
      <c r="Y957" s="1143">
        <f t="shared" si="269"/>
        <v>8400.2070607743117</v>
      </c>
      <c r="Z957" s="1147">
        <f t="shared" si="259"/>
        <v>10449.810000000001</v>
      </c>
      <c r="AA957" s="1144">
        <f t="shared" si="260"/>
        <v>6495.12</v>
      </c>
      <c r="AB957" s="1144">
        <f t="shared" si="261"/>
        <v>0</v>
      </c>
      <c r="AC957" s="1144">
        <f t="shared" si="262"/>
        <v>0</v>
      </c>
      <c r="AD957" s="1148">
        <f t="shared" si="254"/>
        <v>8400.2070607743117</v>
      </c>
      <c r="AE957" s="1487">
        <v>0</v>
      </c>
      <c r="AF957" s="1145">
        <f t="shared" si="263"/>
        <v>8400.2070607743117</v>
      </c>
      <c r="AG957" s="1149">
        <f>IFERROR(VLOOKUP(CONCATENATE($L957,$N957),'Drop List'!$G$23:$K$87,2,FALSE),0)</f>
        <v>0.56200000000000006</v>
      </c>
      <c r="AH957" s="1150">
        <f>IFERROR(VLOOKUP(CONCATENATE($L957,$N957),'Drop List'!$G$23:$K$87,3,FALSE),0)</f>
        <v>0</v>
      </c>
      <c r="AI957" s="1150">
        <f>IFERROR(VLOOKUP(CONCATENATE($L957,$N957),'Drop List'!$G$23:$K$87,4,FALSE),0)</f>
        <v>0</v>
      </c>
      <c r="AJ957" s="1151">
        <f>IFERROR(VLOOKUP(CONCATENATE($L957,$N957),'Drop List'!$G$23:$K$87,5,FALSE),0)</f>
        <v>0.43799999999999994</v>
      </c>
      <c r="AK957" s="1152">
        <f t="shared" si="264"/>
        <v>4720.9163681551636</v>
      </c>
      <c r="AL957" s="1153">
        <f t="shared" si="265"/>
        <v>0</v>
      </c>
      <c r="AM957" s="1153">
        <f t="shared" si="266"/>
        <v>0</v>
      </c>
      <c r="AN957" s="1145">
        <f t="shared" si="267"/>
        <v>3679.2906926191481</v>
      </c>
      <c r="AO957" s="1154">
        <f t="shared" si="268"/>
        <v>8400.2070607743117</v>
      </c>
      <c r="AP957" s="1147">
        <f t="shared" si="255"/>
        <v>0</v>
      </c>
      <c r="AQ957" s="1144">
        <f t="shared" si="256"/>
        <v>0</v>
      </c>
      <c r="AR957" s="1146">
        <f t="shared" si="257"/>
        <v>8400.2070607743117</v>
      </c>
    </row>
    <row r="958" spans="1:44" x14ac:dyDescent="0.2">
      <c r="A958" s="1141" t="str">
        <f t="shared" si="270"/>
        <v>1542</v>
      </c>
      <c r="B958" s="1141" t="str">
        <f>IFERROR(VLOOKUP(A958,'LAC 103'!A:C,3,FALSE),"")</f>
        <v>OP</v>
      </c>
      <c r="C958" s="1478" t="str">
        <f>Info!$B$8</f>
        <v>00100</v>
      </c>
      <c r="D958" s="1474" t="s">
        <v>256</v>
      </c>
      <c r="E958" s="1474" t="s">
        <v>95</v>
      </c>
      <c r="F958" s="1478" t="s">
        <v>392</v>
      </c>
      <c r="G958" s="1478" t="s">
        <v>392</v>
      </c>
      <c r="H958" s="1474" t="s">
        <v>1665</v>
      </c>
      <c r="I958" s="1478" t="s">
        <v>803</v>
      </c>
      <c r="J958" s="1478" t="s">
        <v>123</v>
      </c>
      <c r="K958" s="1475" t="s">
        <v>1654</v>
      </c>
      <c r="L958" s="1474" t="s">
        <v>332</v>
      </c>
      <c r="M958" s="1476" t="s">
        <v>1699</v>
      </c>
      <c r="N958" s="1477" t="s">
        <v>1694</v>
      </c>
      <c r="O958" s="1479">
        <v>436</v>
      </c>
      <c r="P958" s="1479"/>
      <c r="Q958" s="1142">
        <f t="shared" si="271"/>
        <v>436</v>
      </c>
      <c r="R958" s="1143">
        <f>IFERROR(VLOOKUP(CONCATENATE(E958,G958),'LAC 103'!$A$12:$O$95,11,FALSE),0)</f>
        <v>3.2074101033884355</v>
      </c>
      <c r="S958" s="1144">
        <f>IFERROR(VLOOKUP(CONCATENATE($E958,$G958),'LAC 103'!$A$12:$O$95,12,FALSE),0)</f>
        <v>3.99</v>
      </c>
      <c r="T958" s="1144">
        <f>IFERROR(VLOOKUP(CONCATENATE($E958,$G958),'LAC 103'!$A$12:$O$95,13,FALSE),0)</f>
        <v>2.48</v>
      </c>
      <c r="U958" s="1144">
        <f>IFERROR(VLOOKUP(CONCATENATE($E958,$G958),'LAC 103'!$A$12:$O$95,14,FALSE),0)</f>
        <v>0</v>
      </c>
      <c r="V958" s="1144">
        <f>IFERROR(VLOOKUP(CONCATENATE($E958,$G958),'LAC 103'!$A$12:$O$95,15,FALSE),0)</f>
        <v>0</v>
      </c>
      <c r="W958" s="1145" t="str">
        <f>IFERROR(VLOOKUP(CONCATENATE($B958,$N958),'LAC 103'!$AI:$AQ,9,FALSE),"")</f>
        <v>Costs</v>
      </c>
      <c r="X958" s="1146">
        <f t="shared" si="258"/>
        <v>3.2074101033884355</v>
      </c>
      <c r="Y958" s="1143">
        <f t="shared" si="269"/>
        <v>1398.4308050773579</v>
      </c>
      <c r="Z958" s="1147">
        <f t="shared" si="259"/>
        <v>1739.64</v>
      </c>
      <c r="AA958" s="1144">
        <f t="shared" si="260"/>
        <v>1081.28</v>
      </c>
      <c r="AB958" s="1144">
        <f t="shared" si="261"/>
        <v>0</v>
      </c>
      <c r="AC958" s="1144">
        <f t="shared" si="262"/>
        <v>0</v>
      </c>
      <c r="AD958" s="1148">
        <f t="shared" si="254"/>
        <v>1398.4308050773579</v>
      </c>
      <c r="AE958" s="1487">
        <v>0</v>
      </c>
      <c r="AF958" s="1145">
        <f t="shared" si="263"/>
        <v>1398.4308050773579</v>
      </c>
      <c r="AG958" s="1149">
        <f>IFERROR(VLOOKUP(CONCATENATE($L958,$N958),'Drop List'!$G$23:$K$87,2,FALSE),0)</f>
        <v>0</v>
      </c>
      <c r="AH958" s="1150">
        <f>IFERROR(VLOOKUP(CONCATENATE($L958,$N958),'Drop List'!$G$23:$K$87,3,FALSE),0)</f>
        <v>0</v>
      </c>
      <c r="AI958" s="1150">
        <f>IFERROR(VLOOKUP(CONCATENATE($L958,$N958),'Drop List'!$G$23:$K$87,4,FALSE),0)</f>
        <v>0</v>
      </c>
      <c r="AJ958" s="1151">
        <f>IFERROR(VLOOKUP(CONCATENATE($L958,$N958),'Drop List'!$G$23:$K$87,5,FALSE),0)</f>
        <v>0</v>
      </c>
      <c r="AK958" s="1152">
        <f t="shared" si="264"/>
        <v>0</v>
      </c>
      <c r="AL958" s="1153">
        <f t="shared" si="265"/>
        <v>0</v>
      </c>
      <c r="AM958" s="1153">
        <f t="shared" si="266"/>
        <v>0</v>
      </c>
      <c r="AN958" s="1145">
        <f t="shared" si="267"/>
        <v>0</v>
      </c>
      <c r="AO958" s="1154">
        <f t="shared" si="268"/>
        <v>0</v>
      </c>
      <c r="AP958" s="1147">
        <f t="shared" si="255"/>
        <v>1398.4308050773579</v>
      </c>
      <c r="AQ958" s="1144">
        <f t="shared" si="256"/>
        <v>0</v>
      </c>
      <c r="AR958" s="1146">
        <f t="shared" si="257"/>
        <v>1398.4308050773579</v>
      </c>
    </row>
    <row r="959" spans="1:44" x14ac:dyDescent="0.2">
      <c r="A959" s="1141" t="str">
        <f t="shared" si="270"/>
        <v>1542</v>
      </c>
      <c r="B959" s="1141" t="str">
        <f>IFERROR(VLOOKUP(A959,'LAC 103'!A:C,3,FALSE),"")</f>
        <v>OP</v>
      </c>
      <c r="C959" s="1478" t="str">
        <f>Info!$B$8</f>
        <v>00100</v>
      </c>
      <c r="D959" s="1474" t="s">
        <v>256</v>
      </c>
      <c r="E959" s="1474" t="s">
        <v>95</v>
      </c>
      <c r="F959" s="1478" t="s">
        <v>392</v>
      </c>
      <c r="G959" s="1478" t="s">
        <v>392</v>
      </c>
      <c r="H959" s="1474" t="s">
        <v>1665</v>
      </c>
      <c r="I959" s="1478" t="s">
        <v>803</v>
      </c>
      <c r="J959" s="1478"/>
      <c r="K959" s="1475" t="s">
        <v>1654</v>
      </c>
      <c r="L959" s="1474" t="s">
        <v>332</v>
      </c>
      <c r="M959" s="1476" t="s">
        <v>841</v>
      </c>
      <c r="N959" s="1477" t="s">
        <v>1695</v>
      </c>
      <c r="O959" s="1479">
        <v>450</v>
      </c>
      <c r="P959" s="1479"/>
      <c r="Q959" s="1142">
        <f t="shared" si="271"/>
        <v>450</v>
      </c>
      <c r="R959" s="1143">
        <f>IFERROR(VLOOKUP(CONCATENATE(E959,G959),'LAC 103'!$A$12:$O$95,11,FALSE),0)</f>
        <v>3.2074101033884355</v>
      </c>
      <c r="S959" s="1144">
        <f>IFERROR(VLOOKUP(CONCATENATE($E959,$G959),'LAC 103'!$A$12:$O$95,12,FALSE),0)</f>
        <v>3.99</v>
      </c>
      <c r="T959" s="1144">
        <f>IFERROR(VLOOKUP(CONCATENATE($E959,$G959),'LAC 103'!$A$12:$O$95,13,FALSE),0)</f>
        <v>2.48</v>
      </c>
      <c r="U959" s="1144">
        <f>IFERROR(VLOOKUP(CONCATENATE($E959,$G959),'LAC 103'!$A$12:$O$95,14,FALSE),0)</f>
        <v>0</v>
      </c>
      <c r="V959" s="1144">
        <f>IFERROR(VLOOKUP(CONCATENATE($E959,$G959),'LAC 103'!$A$12:$O$95,15,FALSE),0)</f>
        <v>0</v>
      </c>
      <c r="W959" s="1145" t="str">
        <f>IFERROR(VLOOKUP(CONCATENATE($B959,$N959),'LAC 103'!$AI:$AQ,9,FALSE),"")</f>
        <v>Costs</v>
      </c>
      <c r="X959" s="1146">
        <f t="shared" si="258"/>
        <v>3.2074101033884355</v>
      </c>
      <c r="Y959" s="1143">
        <f t="shared" si="269"/>
        <v>1443.334546524796</v>
      </c>
      <c r="Z959" s="1147">
        <f t="shared" si="259"/>
        <v>1795.5</v>
      </c>
      <c r="AA959" s="1144">
        <f t="shared" si="260"/>
        <v>1116</v>
      </c>
      <c r="AB959" s="1144">
        <f t="shared" si="261"/>
        <v>0</v>
      </c>
      <c r="AC959" s="1144">
        <f t="shared" si="262"/>
        <v>0</v>
      </c>
      <c r="AD959" s="1148">
        <f t="shared" si="254"/>
        <v>1443.334546524796</v>
      </c>
      <c r="AE959" s="1487">
        <v>0</v>
      </c>
      <c r="AF959" s="1145">
        <f t="shared" si="263"/>
        <v>1443.334546524796</v>
      </c>
      <c r="AG959" s="1149">
        <f>IFERROR(VLOOKUP(CONCATENATE($L959,$N959),'Drop List'!$G$23:$K$87,2,FALSE),0)</f>
        <v>0</v>
      </c>
      <c r="AH959" s="1150">
        <f>IFERROR(VLOOKUP(CONCATENATE($L959,$N959),'Drop List'!$G$23:$K$87,3,FALSE),0)</f>
        <v>0</v>
      </c>
      <c r="AI959" s="1150">
        <f>IFERROR(VLOOKUP(CONCATENATE($L959,$N959),'Drop List'!$G$23:$K$87,4,FALSE),0)</f>
        <v>0</v>
      </c>
      <c r="AJ959" s="1151">
        <f>IFERROR(VLOOKUP(CONCATENATE($L959,$N959),'Drop List'!$G$23:$K$87,5,FALSE),0)</f>
        <v>0</v>
      </c>
      <c r="AK959" s="1152">
        <f t="shared" si="264"/>
        <v>0</v>
      </c>
      <c r="AL959" s="1153">
        <f t="shared" si="265"/>
        <v>0</v>
      </c>
      <c r="AM959" s="1153">
        <f t="shared" si="266"/>
        <v>0</v>
      </c>
      <c r="AN959" s="1145">
        <f t="shared" si="267"/>
        <v>0</v>
      </c>
      <c r="AO959" s="1154">
        <f t="shared" si="268"/>
        <v>0</v>
      </c>
      <c r="AP959" s="1147">
        <f t="shared" si="255"/>
        <v>1443.334546524796</v>
      </c>
      <c r="AQ959" s="1144">
        <f t="shared" si="256"/>
        <v>0</v>
      </c>
      <c r="AR959" s="1146">
        <f t="shared" si="257"/>
        <v>1443.334546524796</v>
      </c>
    </row>
    <row r="960" spans="1:44" x14ac:dyDescent="0.2">
      <c r="A960" s="1141" t="str">
        <f t="shared" si="270"/>
        <v>1542</v>
      </c>
      <c r="B960" s="1141" t="str">
        <f>IFERROR(VLOOKUP(A960,'LAC 103'!A:C,3,FALSE),"")</f>
        <v>OP</v>
      </c>
      <c r="C960" s="1478" t="str">
        <f>Info!$B$8</f>
        <v>00100</v>
      </c>
      <c r="D960" s="1474" t="s">
        <v>256</v>
      </c>
      <c r="E960" s="1474" t="s">
        <v>95</v>
      </c>
      <c r="F960" s="1478" t="s">
        <v>392</v>
      </c>
      <c r="G960" s="1478" t="s">
        <v>392</v>
      </c>
      <c r="H960" s="1474" t="s">
        <v>1665</v>
      </c>
      <c r="I960" s="1478" t="s">
        <v>803</v>
      </c>
      <c r="J960" s="1478"/>
      <c r="K960" s="1475" t="s">
        <v>1654</v>
      </c>
      <c r="L960" s="1474" t="s">
        <v>332</v>
      </c>
      <c r="M960" s="1476" t="s">
        <v>842</v>
      </c>
      <c r="N960" s="1477" t="s">
        <v>1692</v>
      </c>
      <c r="O960" s="1479">
        <v>1793</v>
      </c>
      <c r="P960" s="1479"/>
      <c r="Q960" s="1142">
        <f t="shared" si="271"/>
        <v>1793</v>
      </c>
      <c r="R960" s="1143">
        <f>IFERROR(VLOOKUP(CONCATENATE(E960,G960),'LAC 103'!$A$12:$O$95,11,FALSE),0)</f>
        <v>3.2074101033884355</v>
      </c>
      <c r="S960" s="1144">
        <f>IFERROR(VLOOKUP(CONCATENATE($E960,$G960),'LAC 103'!$A$12:$O$95,12,FALSE),0)</f>
        <v>3.99</v>
      </c>
      <c r="T960" s="1144">
        <f>IFERROR(VLOOKUP(CONCATENATE($E960,$G960),'LAC 103'!$A$12:$O$95,13,FALSE),0)</f>
        <v>2.48</v>
      </c>
      <c r="U960" s="1144">
        <f>IFERROR(VLOOKUP(CONCATENATE($E960,$G960),'LAC 103'!$A$12:$O$95,14,FALSE),0)</f>
        <v>0</v>
      </c>
      <c r="V960" s="1144">
        <f>IFERROR(VLOOKUP(CONCATENATE($E960,$G960),'LAC 103'!$A$12:$O$95,15,FALSE),0)</f>
        <v>0</v>
      </c>
      <c r="W960" s="1145" t="str">
        <f>IFERROR(VLOOKUP(CONCATENATE($B960,$N960),'LAC 103'!$AI:$AQ,9,FALSE),"")</f>
        <v>Costs</v>
      </c>
      <c r="X960" s="1146">
        <f t="shared" si="258"/>
        <v>3.2074101033884355</v>
      </c>
      <c r="Y960" s="1143">
        <f t="shared" si="269"/>
        <v>5750.8863153754646</v>
      </c>
      <c r="Z960" s="1147">
        <f t="shared" si="259"/>
        <v>7154.0700000000006</v>
      </c>
      <c r="AA960" s="1144">
        <f t="shared" si="260"/>
        <v>4446.6400000000003</v>
      </c>
      <c r="AB960" s="1144">
        <f t="shared" si="261"/>
        <v>0</v>
      </c>
      <c r="AC960" s="1144">
        <f t="shared" si="262"/>
        <v>0</v>
      </c>
      <c r="AD960" s="1148">
        <f t="shared" si="254"/>
        <v>5750.8863153754646</v>
      </c>
      <c r="AE960" s="1487">
        <v>0</v>
      </c>
      <c r="AF960" s="1145">
        <f t="shared" si="263"/>
        <v>5750.8863153754646</v>
      </c>
      <c r="AG960" s="1149">
        <f>IFERROR(VLOOKUP(CONCATENATE($L960,$N960),'Drop List'!$G$23:$K$87,2,FALSE),0)</f>
        <v>0</v>
      </c>
      <c r="AH960" s="1150">
        <f>IFERROR(VLOOKUP(CONCATENATE($L960,$N960),'Drop List'!$G$23:$K$87,3,FALSE),0)</f>
        <v>0</v>
      </c>
      <c r="AI960" s="1150">
        <f>IFERROR(VLOOKUP(CONCATENATE($L960,$N960),'Drop List'!$G$23:$K$87,4,FALSE),0)</f>
        <v>0</v>
      </c>
      <c r="AJ960" s="1151">
        <f>IFERROR(VLOOKUP(CONCATENATE($L960,$N960),'Drop List'!$G$23:$K$87,5,FALSE),0)</f>
        <v>0</v>
      </c>
      <c r="AK960" s="1152">
        <f t="shared" si="264"/>
        <v>0</v>
      </c>
      <c r="AL960" s="1153">
        <f t="shared" si="265"/>
        <v>0</v>
      </c>
      <c r="AM960" s="1153">
        <f t="shared" si="266"/>
        <v>0</v>
      </c>
      <c r="AN960" s="1145">
        <f t="shared" si="267"/>
        <v>0</v>
      </c>
      <c r="AO960" s="1154">
        <f t="shared" si="268"/>
        <v>0</v>
      </c>
      <c r="AP960" s="1147">
        <f t="shared" si="255"/>
        <v>5750.8863153754646</v>
      </c>
      <c r="AQ960" s="1144">
        <f t="shared" si="256"/>
        <v>0</v>
      </c>
      <c r="AR960" s="1146">
        <f t="shared" si="257"/>
        <v>5750.8863153754646</v>
      </c>
    </row>
    <row r="961" spans="1:44" x14ac:dyDescent="0.2">
      <c r="A961" s="1141" t="str">
        <f t="shared" si="270"/>
        <v>1542</v>
      </c>
      <c r="B961" s="1141" t="str">
        <f>IFERROR(VLOOKUP(A961,'LAC 103'!A:C,3,FALSE),"")</f>
        <v>OP</v>
      </c>
      <c r="C961" s="1478" t="str">
        <f>Info!$B$8</f>
        <v>00100</v>
      </c>
      <c r="D961" s="1474" t="s">
        <v>256</v>
      </c>
      <c r="E961" s="1474" t="s">
        <v>95</v>
      </c>
      <c r="F961" s="1478" t="s">
        <v>392</v>
      </c>
      <c r="G961" s="1478" t="s">
        <v>392</v>
      </c>
      <c r="H961" s="1474" t="s">
        <v>1665</v>
      </c>
      <c r="I961" s="1478" t="s">
        <v>803</v>
      </c>
      <c r="J961" s="1478"/>
      <c r="K961" s="1475" t="s">
        <v>1654</v>
      </c>
      <c r="L961" s="1474" t="s">
        <v>332</v>
      </c>
      <c r="M961" s="1476" t="s">
        <v>1698</v>
      </c>
      <c r="N961" s="1477" t="s">
        <v>1693</v>
      </c>
      <c r="O961" s="1479">
        <v>1456</v>
      </c>
      <c r="P961" s="1479"/>
      <c r="Q961" s="1142">
        <f t="shared" si="271"/>
        <v>1456</v>
      </c>
      <c r="R961" s="1143">
        <f>IFERROR(VLOOKUP(CONCATENATE(E961,G961),'LAC 103'!$A$12:$O$95,11,FALSE),0)</f>
        <v>3.2074101033884355</v>
      </c>
      <c r="S961" s="1144">
        <f>IFERROR(VLOOKUP(CONCATENATE($E961,$G961),'LAC 103'!$A$12:$O$95,12,FALSE),0)</f>
        <v>3.99</v>
      </c>
      <c r="T961" s="1144">
        <f>IFERROR(VLOOKUP(CONCATENATE($E961,$G961),'LAC 103'!$A$12:$O$95,13,FALSE),0)</f>
        <v>2.48</v>
      </c>
      <c r="U961" s="1144">
        <f>IFERROR(VLOOKUP(CONCATENATE($E961,$G961),'LAC 103'!$A$12:$O$95,14,FALSE),0)</f>
        <v>0</v>
      </c>
      <c r="V961" s="1144">
        <f>IFERROR(VLOOKUP(CONCATENATE($E961,$G961),'LAC 103'!$A$12:$O$95,15,FALSE),0)</f>
        <v>0</v>
      </c>
      <c r="W961" s="1145" t="str">
        <f>IFERROR(VLOOKUP(CONCATENATE($B961,$N961),'LAC 103'!$AI:$AQ,9,FALSE),"")</f>
        <v>Costs</v>
      </c>
      <c r="X961" s="1146">
        <f t="shared" si="258"/>
        <v>3.2074101033884355</v>
      </c>
      <c r="Y961" s="1143">
        <f t="shared" si="269"/>
        <v>4669.9891105335619</v>
      </c>
      <c r="Z961" s="1147">
        <f t="shared" si="259"/>
        <v>5809.4400000000005</v>
      </c>
      <c r="AA961" s="1144">
        <f t="shared" si="260"/>
        <v>3610.88</v>
      </c>
      <c r="AB961" s="1144">
        <f t="shared" si="261"/>
        <v>0</v>
      </c>
      <c r="AC961" s="1144">
        <f t="shared" si="262"/>
        <v>0</v>
      </c>
      <c r="AD961" s="1148">
        <f t="shared" si="254"/>
        <v>4669.9891105335619</v>
      </c>
      <c r="AE961" s="1487">
        <v>0</v>
      </c>
      <c r="AF961" s="1145">
        <f t="shared" si="263"/>
        <v>4669.9891105335619</v>
      </c>
      <c r="AG961" s="1149">
        <f>IFERROR(VLOOKUP(CONCATENATE($L961,$N961),'Drop List'!$G$23:$K$87,2,FALSE),0)</f>
        <v>0</v>
      </c>
      <c r="AH961" s="1150">
        <f>IFERROR(VLOOKUP(CONCATENATE($L961,$N961),'Drop List'!$G$23:$K$87,3,FALSE),0)</f>
        <v>0</v>
      </c>
      <c r="AI961" s="1150">
        <f>IFERROR(VLOOKUP(CONCATENATE($L961,$N961),'Drop List'!$G$23:$K$87,4,FALSE),0)</f>
        <v>0</v>
      </c>
      <c r="AJ961" s="1151">
        <f>IFERROR(VLOOKUP(CONCATENATE($L961,$N961),'Drop List'!$G$23:$K$87,5,FALSE),0)</f>
        <v>0</v>
      </c>
      <c r="AK961" s="1152">
        <f t="shared" si="264"/>
        <v>0</v>
      </c>
      <c r="AL961" s="1153">
        <f t="shared" si="265"/>
        <v>0</v>
      </c>
      <c r="AM961" s="1153">
        <f t="shared" si="266"/>
        <v>0</v>
      </c>
      <c r="AN961" s="1145">
        <f t="shared" si="267"/>
        <v>0</v>
      </c>
      <c r="AO961" s="1154">
        <f t="shared" si="268"/>
        <v>0</v>
      </c>
      <c r="AP961" s="1147">
        <f t="shared" si="255"/>
        <v>4669.9891105335619</v>
      </c>
      <c r="AQ961" s="1144">
        <f t="shared" si="256"/>
        <v>0</v>
      </c>
      <c r="AR961" s="1146">
        <f t="shared" si="257"/>
        <v>4669.9891105335619</v>
      </c>
    </row>
    <row r="962" spans="1:44" x14ac:dyDescent="0.2">
      <c r="A962" s="1141" t="str">
        <f t="shared" si="270"/>
        <v>1542</v>
      </c>
      <c r="B962" s="1141" t="str">
        <f>IFERROR(VLOOKUP(A962,'LAC 103'!A:C,3,FALSE),"")</f>
        <v>OP</v>
      </c>
      <c r="C962" s="1478" t="str">
        <f>Info!$B$8</f>
        <v>00100</v>
      </c>
      <c r="D962" s="1474" t="s">
        <v>256</v>
      </c>
      <c r="E962" s="1474" t="s">
        <v>95</v>
      </c>
      <c r="F962" s="1478" t="s">
        <v>392</v>
      </c>
      <c r="G962" s="1478" t="s">
        <v>392</v>
      </c>
      <c r="H962" s="1474" t="s">
        <v>1665</v>
      </c>
      <c r="I962" s="1478" t="s">
        <v>803</v>
      </c>
      <c r="J962" s="1478"/>
      <c r="K962" s="1475" t="s">
        <v>852</v>
      </c>
      <c r="L962" s="1474" t="s">
        <v>591</v>
      </c>
      <c r="M962" s="1476" t="s">
        <v>842</v>
      </c>
      <c r="N962" s="1477" t="s">
        <v>1692</v>
      </c>
      <c r="O962" s="1479">
        <v>21</v>
      </c>
      <c r="P962" s="1479"/>
      <c r="Q962" s="1142">
        <f t="shared" si="271"/>
        <v>21</v>
      </c>
      <c r="R962" s="1143">
        <f>IFERROR(VLOOKUP(CONCATENATE(E962,G962),'LAC 103'!$A$12:$O$95,11,FALSE),0)</f>
        <v>3.2074101033884355</v>
      </c>
      <c r="S962" s="1144">
        <f>IFERROR(VLOOKUP(CONCATENATE($E962,$G962),'LAC 103'!$A$12:$O$95,12,FALSE),0)</f>
        <v>3.99</v>
      </c>
      <c r="T962" s="1144">
        <f>IFERROR(VLOOKUP(CONCATENATE($E962,$G962),'LAC 103'!$A$12:$O$95,13,FALSE),0)</f>
        <v>2.48</v>
      </c>
      <c r="U962" s="1144">
        <f>IFERROR(VLOOKUP(CONCATENATE($E962,$G962),'LAC 103'!$A$12:$O$95,14,FALSE),0)</f>
        <v>0</v>
      </c>
      <c r="V962" s="1144">
        <f>IFERROR(VLOOKUP(CONCATENATE($E962,$G962),'LAC 103'!$A$12:$O$95,15,FALSE),0)</f>
        <v>0</v>
      </c>
      <c r="W962" s="1145" t="str">
        <f>IFERROR(VLOOKUP(CONCATENATE($B962,$N962),'LAC 103'!$AI:$AQ,9,FALSE),"")</f>
        <v>Costs</v>
      </c>
      <c r="X962" s="1146">
        <f t="shared" si="258"/>
        <v>3.2074101033884355</v>
      </c>
      <c r="Y962" s="1143">
        <f t="shared" si="269"/>
        <v>67.355612171157148</v>
      </c>
      <c r="Z962" s="1147">
        <f t="shared" si="259"/>
        <v>83.79</v>
      </c>
      <c r="AA962" s="1144">
        <f t="shared" si="260"/>
        <v>52.08</v>
      </c>
      <c r="AB962" s="1144">
        <f t="shared" si="261"/>
        <v>0</v>
      </c>
      <c r="AC962" s="1144">
        <f t="shared" si="262"/>
        <v>0</v>
      </c>
      <c r="AD962" s="1148">
        <f t="shared" si="254"/>
        <v>67.355612171157148</v>
      </c>
      <c r="AE962" s="1487">
        <v>0</v>
      </c>
      <c r="AF962" s="1145">
        <f t="shared" si="263"/>
        <v>67.355612171157148</v>
      </c>
      <c r="AG962" s="1149">
        <f>IFERROR(VLOOKUP(CONCATENATE($L962,$N962),'Drop List'!$G$23:$K$87,2,FALSE),0)</f>
        <v>0.69340000000000002</v>
      </c>
      <c r="AH962" s="1150">
        <f>IFERROR(VLOOKUP(CONCATENATE($L962,$N962),'Drop List'!$G$23:$K$87,3,FALSE),0)</f>
        <v>0</v>
      </c>
      <c r="AI962" s="1150">
        <f>IFERROR(VLOOKUP(CONCATENATE($L962,$N962),'Drop List'!$G$23:$K$87,4,FALSE),0)</f>
        <v>0</v>
      </c>
      <c r="AJ962" s="1151">
        <f>IFERROR(VLOOKUP(CONCATENATE($L962,$N962),'Drop List'!$G$23:$K$87,5,FALSE),0)</f>
        <v>0.30659999999999998</v>
      </c>
      <c r="AK962" s="1152">
        <f t="shared" si="264"/>
        <v>46.704381479480368</v>
      </c>
      <c r="AL962" s="1153">
        <f t="shared" si="265"/>
        <v>0</v>
      </c>
      <c r="AM962" s="1153">
        <f t="shared" si="266"/>
        <v>0</v>
      </c>
      <c r="AN962" s="1145">
        <f t="shared" si="267"/>
        <v>20.65123069167678</v>
      </c>
      <c r="AO962" s="1154">
        <f t="shared" si="268"/>
        <v>67.355612171157148</v>
      </c>
      <c r="AP962" s="1147">
        <f t="shared" si="255"/>
        <v>0</v>
      </c>
      <c r="AQ962" s="1144">
        <f t="shared" si="256"/>
        <v>0</v>
      </c>
      <c r="AR962" s="1146">
        <f t="shared" si="257"/>
        <v>67.355612171157148</v>
      </c>
    </row>
    <row r="963" spans="1:44" x14ac:dyDescent="0.2">
      <c r="A963" s="1141" t="str">
        <f t="shared" si="270"/>
        <v>1542</v>
      </c>
      <c r="B963" s="1141" t="str">
        <f>IFERROR(VLOOKUP(A963,'LAC 103'!A:C,3,FALSE),"")</f>
        <v>OP</v>
      </c>
      <c r="C963" s="1478" t="str">
        <f>Info!$B$8</f>
        <v>00100</v>
      </c>
      <c r="D963" s="1474" t="s">
        <v>256</v>
      </c>
      <c r="E963" s="1474" t="s">
        <v>95</v>
      </c>
      <c r="F963" s="1478" t="s">
        <v>392</v>
      </c>
      <c r="G963" s="1478" t="s">
        <v>392</v>
      </c>
      <c r="H963" s="1474" t="s">
        <v>1665</v>
      </c>
      <c r="I963" s="1478" t="s">
        <v>803</v>
      </c>
      <c r="J963" s="1478"/>
      <c r="K963" s="1475" t="s">
        <v>849</v>
      </c>
      <c r="L963" s="1474" t="s">
        <v>77</v>
      </c>
      <c r="M963" s="1476" t="s">
        <v>1699</v>
      </c>
      <c r="N963" s="1477" t="s">
        <v>1694</v>
      </c>
      <c r="O963" s="1479">
        <v>108406</v>
      </c>
      <c r="P963" s="1479"/>
      <c r="Q963" s="1142">
        <f t="shared" si="271"/>
        <v>108406</v>
      </c>
      <c r="R963" s="1143">
        <f>IFERROR(VLOOKUP(CONCATENATE(E963,G963),'LAC 103'!$A$12:$O$95,11,FALSE),0)</f>
        <v>3.2074101033884355</v>
      </c>
      <c r="S963" s="1144">
        <f>IFERROR(VLOOKUP(CONCATENATE($E963,$G963),'LAC 103'!$A$12:$O$95,12,FALSE),0)</f>
        <v>3.99</v>
      </c>
      <c r="T963" s="1144">
        <f>IFERROR(VLOOKUP(CONCATENATE($E963,$G963),'LAC 103'!$A$12:$O$95,13,FALSE),0)</f>
        <v>2.48</v>
      </c>
      <c r="U963" s="1144">
        <f>IFERROR(VLOOKUP(CONCATENATE($E963,$G963),'LAC 103'!$A$12:$O$95,14,FALSE),0)</f>
        <v>0</v>
      </c>
      <c r="V963" s="1144">
        <f>IFERROR(VLOOKUP(CONCATENATE($E963,$G963),'LAC 103'!$A$12:$O$95,15,FALSE),0)</f>
        <v>0</v>
      </c>
      <c r="W963" s="1145" t="str">
        <f>IFERROR(VLOOKUP(CONCATENATE($B963,$N963),'LAC 103'!$AI:$AQ,9,FALSE),"")</f>
        <v>Costs</v>
      </c>
      <c r="X963" s="1146">
        <f t="shared" si="258"/>
        <v>3.2074101033884355</v>
      </c>
      <c r="Y963" s="1143">
        <f t="shared" si="269"/>
        <v>347702.49966792675</v>
      </c>
      <c r="Z963" s="1147">
        <f t="shared" si="259"/>
        <v>432539.94</v>
      </c>
      <c r="AA963" s="1144">
        <f t="shared" si="260"/>
        <v>268846.88</v>
      </c>
      <c r="AB963" s="1144">
        <f t="shared" si="261"/>
        <v>0</v>
      </c>
      <c r="AC963" s="1144">
        <f t="shared" si="262"/>
        <v>0</v>
      </c>
      <c r="AD963" s="1148">
        <f t="shared" si="254"/>
        <v>347702.49966792675</v>
      </c>
      <c r="AE963" s="1487">
        <v>0</v>
      </c>
      <c r="AF963" s="1145">
        <f t="shared" si="263"/>
        <v>347702.49966792675</v>
      </c>
      <c r="AG963" s="1149">
        <f>IFERROR(VLOOKUP(CONCATENATE($L963,$N963),'Drop List'!$G$23:$K$87,2,FALSE),0)</f>
        <v>0.9</v>
      </c>
      <c r="AH963" s="1150">
        <f>IFERROR(VLOOKUP(CONCATENATE($L963,$N963),'Drop List'!$G$23:$K$87,3,FALSE),0)</f>
        <v>0</v>
      </c>
      <c r="AI963" s="1150">
        <f>IFERROR(VLOOKUP(CONCATENATE($L963,$N963),'Drop List'!$G$23:$K$87,4,FALSE),0)</f>
        <v>0.1</v>
      </c>
      <c r="AJ963" s="1151">
        <f>IFERROR(VLOOKUP(CONCATENATE($L963,$N963),'Drop List'!$G$23:$K$87,5,FALSE),0)</f>
        <v>0</v>
      </c>
      <c r="AK963" s="1152">
        <f t="shared" si="264"/>
        <v>312932.2497011341</v>
      </c>
      <c r="AL963" s="1153">
        <f t="shared" si="265"/>
        <v>0</v>
      </c>
      <c r="AM963" s="1153">
        <f t="shared" si="266"/>
        <v>34770.249966792675</v>
      </c>
      <c r="AN963" s="1145">
        <f t="shared" si="267"/>
        <v>0</v>
      </c>
      <c r="AO963" s="1154">
        <f t="shared" si="268"/>
        <v>347702.49966792681</v>
      </c>
      <c r="AP963" s="1147">
        <f t="shared" si="255"/>
        <v>0</v>
      </c>
      <c r="AQ963" s="1144">
        <f t="shared" si="256"/>
        <v>0</v>
      </c>
      <c r="AR963" s="1146">
        <f t="shared" si="257"/>
        <v>347702.49966792681</v>
      </c>
    </row>
    <row r="964" spans="1:44" x14ac:dyDescent="0.2">
      <c r="A964" s="1141" t="str">
        <f t="shared" si="270"/>
        <v>1542</v>
      </c>
      <c r="B964" s="1141" t="str">
        <f>IFERROR(VLOOKUP(A964,'LAC 103'!A:C,3,FALSE),"")</f>
        <v>OP</v>
      </c>
      <c r="C964" s="1478" t="str">
        <f>Info!$B$8</f>
        <v>00100</v>
      </c>
      <c r="D964" s="1474" t="s">
        <v>256</v>
      </c>
      <c r="E964" s="1474" t="s">
        <v>95</v>
      </c>
      <c r="F964" s="1478" t="s">
        <v>392</v>
      </c>
      <c r="G964" s="1478" t="s">
        <v>392</v>
      </c>
      <c r="H964" s="1474" t="s">
        <v>1665</v>
      </c>
      <c r="I964" s="1478" t="s">
        <v>803</v>
      </c>
      <c r="J964" s="1478"/>
      <c r="K964" s="1475" t="s">
        <v>849</v>
      </c>
      <c r="L964" s="1474" t="s">
        <v>77</v>
      </c>
      <c r="M964" s="1476" t="s">
        <v>841</v>
      </c>
      <c r="N964" s="1477" t="s">
        <v>1695</v>
      </c>
      <c r="O964" s="1479">
        <v>49439</v>
      </c>
      <c r="P964" s="1479"/>
      <c r="Q964" s="1142">
        <f t="shared" si="271"/>
        <v>49439</v>
      </c>
      <c r="R964" s="1143">
        <f>IFERROR(VLOOKUP(CONCATENATE(E964,G964),'LAC 103'!$A$12:$O$95,11,FALSE),0)</f>
        <v>3.2074101033884355</v>
      </c>
      <c r="S964" s="1144">
        <f>IFERROR(VLOOKUP(CONCATENATE($E964,$G964),'LAC 103'!$A$12:$O$95,12,FALSE),0)</f>
        <v>3.99</v>
      </c>
      <c r="T964" s="1144">
        <f>IFERROR(VLOOKUP(CONCATENATE($E964,$G964),'LAC 103'!$A$12:$O$95,13,FALSE),0)</f>
        <v>2.48</v>
      </c>
      <c r="U964" s="1144">
        <f>IFERROR(VLOOKUP(CONCATENATE($E964,$G964),'LAC 103'!$A$12:$O$95,14,FALSE),0)</f>
        <v>0</v>
      </c>
      <c r="V964" s="1144">
        <f>IFERROR(VLOOKUP(CONCATENATE($E964,$G964),'LAC 103'!$A$12:$O$95,15,FALSE),0)</f>
        <v>0</v>
      </c>
      <c r="W964" s="1145" t="str">
        <f>IFERROR(VLOOKUP(CONCATENATE($B964,$N964),'LAC 103'!$AI:$AQ,9,FALSE),"")</f>
        <v>Costs</v>
      </c>
      <c r="X964" s="1146">
        <f t="shared" si="258"/>
        <v>3.2074101033884355</v>
      </c>
      <c r="Y964" s="1143">
        <f t="shared" si="269"/>
        <v>158571.14810142087</v>
      </c>
      <c r="Z964" s="1147">
        <f t="shared" si="259"/>
        <v>197261.61000000002</v>
      </c>
      <c r="AA964" s="1144">
        <f t="shared" si="260"/>
        <v>122608.72</v>
      </c>
      <c r="AB964" s="1144">
        <f t="shared" si="261"/>
        <v>0</v>
      </c>
      <c r="AC964" s="1144">
        <f t="shared" si="262"/>
        <v>0</v>
      </c>
      <c r="AD964" s="1148">
        <f t="shared" si="254"/>
        <v>158571.14810142087</v>
      </c>
      <c r="AE964" s="1487">
        <v>0</v>
      </c>
      <c r="AF964" s="1145">
        <f t="shared" si="263"/>
        <v>158571.14810142087</v>
      </c>
      <c r="AG964" s="1149">
        <f>IFERROR(VLOOKUP(CONCATENATE($L964,$N964),'Drop List'!$G$23:$K$87,2,FALSE),0)</f>
        <v>0.9</v>
      </c>
      <c r="AH964" s="1150">
        <f>IFERROR(VLOOKUP(CONCATENATE($L964,$N964),'Drop List'!$G$23:$K$87,3,FALSE),0)</f>
        <v>0</v>
      </c>
      <c r="AI964" s="1150">
        <f>IFERROR(VLOOKUP(CONCATENATE($L964,$N964),'Drop List'!$G$23:$K$87,4,FALSE),0)</f>
        <v>0.1</v>
      </c>
      <c r="AJ964" s="1151">
        <f>IFERROR(VLOOKUP(CONCATENATE($L964,$N964),'Drop List'!$G$23:$K$87,5,FALSE),0)</f>
        <v>0</v>
      </c>
      <c r="AK964" s="1152">
        <f t="shared" si="264"/>
        <v>142714.03329127879</v>
      </c>
      <c r="AL964" s="1153">
        <f t="shared" si="265"/>
        <v>0</v>
      </c>
      <c r="AM964" s="1153">
        <f t="shared" si="266"/>
        <v>15857.114810142088</v>
      </c>
      <c r="AN964" s="1145">
        <f t="shared" si="267"/>
        <v>0</v>
      </c>
      <c r="AO964" s="1154">
        <f t="shared" si="268"/>
        <v>158571.14810142087</v>
      </c>
      <c r="AP964" s="1147">
        <f t="shared" si="255"/>
        <v>0</v>
      </c>
      <c r="AQ964" s="1144">
        <f t="shared" si="256"/>
        <v>0</v>
      </c>
      <c r="AR964" s="1146">
        <f t="shared" si="257"/>
        <v>158571.14810142087</v>
      </c>
    </row>
    <row r="965" spans="1:44" x14ac:dyDescent="0.2">
      <c r="A965" s="1141" t="str">
        <f t="shared" si="270"/>
        <v>1542</v>
      </c>
      <c r="B965" s="1141" t="str">
        <f>IFERROR(VLOOKUP(A965,'LAC 103'!A:C,3,FALSE),"")</f>
        <v>OP</v>
      </c>
      <c r="C965" s="1478" t="str">
        <f>Info!$B$8</f>
        <v>00100</v>
      </c>
      <c r="D965" s="1474" t="s">
        <v>256</v>
      </c>
      <c r="E965" s="1474" t="s">
        <v>95</v>
      </c>
      <c r="F965" s="1478" t="s">
        <v>392</v>
      </c>
      <c r="G965" s="1478" t="s">
        <v>392</v>
      </c>
      <c r="H965" s="1474" t="s">
        <v>1665</v>
      </c>
      <c r="I965" s="1478" t="s">
        <v>803</v>
      </c>
      <c r="J965" s="1478"/>
      <c r="K965" s="1475" t="s">
        <v>849</v>
      </c>
      <c r="L965" s="1474" t="s">
        <v>77</v>
      </c>
      <c r="M965" s="1476" t="s">
        <v>840</v>
      </c>
      <c r="N965" s="1477" t="s">
        <v>1700</v>
      </c>
      <c r="O965" s="1479">
        <v>49942</v>
      </c>
      <c r="P965" s="1479"/>
      <c r="Q965" s="1142">
        <f t="shared" si="271"/>
        <v>49942</v>
      </c>
      <c r="R965" s="1143">
        <f>IFERROR(VLOOKUP(CONCATENATE(E965,G965),'LAC 103'!$A$12:$O$95,11,FALSE),0)</f>
        <v>3.2074101033884355</v>
      </c>
      <c r="S965" s="1144">
        <f>IFERROR(VLOOKUP(CONCATENATE($E965,$G965),'LAC 103'!$A$12:$O$95,12,FALSE),0)</f>
        <v>3.99</v>
      </c>
      <c r="T965" s="1144">
        <f>IFERROR(VLOOKUP(CONCATENATE($E965,$G965),'LAC 103'!$A$12:$O$95,13,FALSE),0)</f>
        <v>2.48</v>
      </c>
      <c r="U965" s="1144">
        <f>IFERROR(VLOOKUP(CONCATENATE($E965,$G965),'LAC 103'!$A$12:$O$95,14,FALSE),0)</f>
        <v>0</v>
      </c>
      <c r="V965" s="1144">
        <f>IFERROR(VLOOKUP(CONCATENATE($E965,$G965),'LAC 103'!$A$12:$O$95,15,FALSE),0)</f>
        <v>0</v>
      </c>
      <c r="W965" s="1145" t="str">
        <f>IFERROR(VLOOKUP(CONCATENATE($B965,$N965),'LAC 103'!$AI:$AQ,9,FALSE),"")</f>
        <v>P.C.</v>
      </c>
      <c r="X965" s="1146">
        <f t="shared" si="258"/>
        <v>2.48</v>
      </c>
      <c r="Y965" s="1143">
        <f t="shared" si="269"/>
        <v>160184.47538342525</v>
      </c>
      <c r="Z965" s="1147">
        <f t="shared" si="259"/>
        <v>199268.58000000002</v>
      </c>
      <c r="AA965" s="1144">
        <f t="shared" si="260"/>
        <v>123856.16</v>
      </c>
      <c r="AB965" s="1144">
        <f t="shared" si="261"/>
        <v>0</v>
      </c>
      <c r="AC965" s="1144">
        <f t="shared" si="262"/>
        <v>0</v>
      </c>
      <c r="AD965" s="1148">
        <f t="shared" si="254"/>
        <v>123856.16</v>
      </c>
      <c r="AE965" s="1487">
        <v>0</v>
      </c>
      <c r="AF965" s="1145">
        <f t="shared" si="263"/>
        <v>123856.16</v>
      </c>
      <c r="AG965" s="1149">
        <f>IFERROR(VLOOKUP(CONCATENATE($L965,$N965),'Drop List'!$G$23:$K$87,2,FALSE),0)</f>
        <v>0.9</v>
      </c>
      <c r="AH965" s="1150">
        <f>IFERROR(VLOOKUP(CONCATENATE($L965,$N965),'Drop List'!$G$23:$K$87,3,FALSE),0)</f>
        <v>0</v>
      </c>
      <c r="AI965" s="1150">
        <f>IFERROR(VLOOKUP(CONCATENATE($L965,$N965),'Drop List'!$G$23:$K$87,4,FALSE),0)</f>
        <v>0.1</v>
      </c>
      <c r="AJ965" s="1151">
        <f>IFERROR(VLOOKUP(CONCATENATE($L965,$N965),'Drop List'!$G$23:$K$87,5,FALSE),0)</f>
        <v>0</v>
      </c>
      <c r="AK965" s="1152">
        <f t="shared" si="264"/>
        <v>111470.54400000001</v>
      </c>
      <c r="AL965" s="1153">
        <f t="shared" si="265"/>
        <v>0</v>
      </c>
      <c r="AM965" s="1153">
        <f t="shared" si="266"/>
        <v>12385.616000000002</v>
      </c>
      <c r="AN965" s="1145">
        <f t="shared" si="267"/>
        <v>0</v>
      </c>
      <c r="AO965" s="1154">
        <f t="shared" si="268"/>
        <v>123856.16</v>
      </c>
      <c r="AP965" s="1147">
        <f t="shared" si="255"/>
        <v>0</v>
      </c>
      <c r="AQ965" s="1144">
        <f t="shared" si="256"/>
        <v>0</v>
      </c>
      <c r="AR965" s="1146">
        <f t="shared" si="257"/>
        <v>123856.16</v>
      </c>
    </row>
    <row r="966" spans="1:44" x14ac:dyDescent="0.2">
      <c r="A966" s="1141" t="str">
        <f t="shared" si="270"/>
        <v>1542</v>
      </c>
      <c r="B966" s="1141" t="str">
        <f>IFERROR(VLOOKUP(A966,'LAC 103'!A:C,3,FALSE),"")</f>
        <v>OP</v>
      </c>
      <c r="C966" s="1478" t="str">
        <f>Info!$B$8</f>
        <v>00100</v>
      </c>
      <c r="D966" s="1474" t="s">
        <v>256</v>
      </c>
      <c r="E966" s="1474" t="s">
        <v>95</v>
      </c>
      <c r="F966" s="1478" t="s">
        <v>392</v>
      </c>
      <c r="G966" s="1478" t="s">
        <v>392</v>
      </c>
      <c r="H966" s="1474" t="s">
        <v>1665</v>
      </c>
      <c r="I966" s="1478" t="s">
        <v>803</v>
      </c>
      <c r="J966" s="1478"/>
      <c r="K966" s="1475" t="s">
        <v>849</v>
      </c>
      <c r="L966" s="1474" t="s">
        <v>77</v>
      </c>
      <c r="M966" s="1476" t="s">
        <v>842</v>
      </c>
      <c r="N966" s="1477" t="s">
        <v>1692</v>
      </c>
      <c r="O966" s="1479">
        <v>107344</v>
      </c>
      <c r="P966" s="1479"/>
      <c r="Q966" s="1142">
        <f t="shared" si="271"/>
        <v>107344</v>
      </c>
      <c r="R966" s="1143">
        <f>IFERROR(VLOOKUP(CONCATENATE(E966,G966),'LAC 103'!$A$12:$O$95,11,FALSE),0)</f>
        <v>3.2074101033884355</v>
      </c>
      <c r="S966" s="1144">
        <f>IFERROR(VLOOKUP(CONCATENATE($E966,$G966),'LAC 103'!$A$12:$O$95,12,FALSE),0)</f>
        <v>3.99</v>
      </c>
      <c r="T966" s="1144">
        <f>IFERROR(VLOOKUP(CONCATENATE($E966,$G966),'LAC 103'!$A$12:$O$95,13,FALSE),0)</f>
        <v>2.48</v>
      </c>
      <c r="U966" s="1144">
        <f>IFERROR(VLOOKUP(CONCATENATE($E966,$G966),'LAC 103'!$A$12:$O$95,14,FALSE),0)</f>
        <v>0</v>
      </c>
      <c r="V966" s="1144">
        <f>IFERROR(VLOOKUP(CONCATENATE($E966,$G966),'LAC 103'!$A$12:$O$95,15,FALSE),0)</f>
        <v>0</v>
      </c>
      <c r="W966" s="1145" t="str">
        <f>IFERROR(VLOOKUP(CONCATENATE($B966,$N966),'LAC 103'!$AI:$AQ,9,FALSE),"")</f>
        <v>Costs</v>
      </c>
      <c r="X966" s="1146">
        <f t="shared" si="258"/>
        <v>3.2074101033884355</v>
      </c>
      <c r="Y966" s="1143">
        <f t="shared" si="269"/>
        <v>344296.23013812822</v>
      </c>
      <c r="Z966" s="1147">
        <f t="shared" si="259"/>
        <v>428302.56</v>
      </c>
      <c r="AA966" s="1144">
        <f t="shared" si="260"/>
        <v>266213.12</v>
      </c>
      <c r="AB966" s="1144">
        <f t="shared" si="261"/>
        <v>0</v>
      </c>
      <c r="AC966" s="1144">
        <f t="shared" si="262"/>
        <v>0</v>
      </c>
      <c r="AD966" s="1148">
        <f t="shared" si="254"/>
        <v>344296.23013812822</v>
      </c>
      <c r="AE966" s="1487">
        <v>0</v>
      </c>
      <c r="AF966" s="1145">
        <f t="shared" si="263"/>
        <v>344296.23013812822</v>
      </c>
      <c r="AG966" s="1149">
        <f>IFERROR(VLOOKUP(CONCATENATE($L966,$N966),'Drop List'!$G$23:$K$87,2,FALSE),0)</f>
        <v>0.9</v>
      </c>
      <c r="AH966" s="1150">
        <f>IFERROR(VLOOKUP(CONCATENATE($L966,$N966),'Drop List'!$G$23:$K$87,3,FALSE),0)</f>
        <v>0</v>
      </c>
      <c r="AI966" s="1150">
        <f>IFERROR(VLOOKUP(CONCATENATE($L966,$N966),'Drop List'!$G$23:$K$87,4,FALSE),0)</f>
        <v>0.1</v>
      </c>
      <c r="AJ966" s="1151">
        <f>IFERROR(VLOOKUP(CONCATENATE($L966,$N966),'Drop List'!$G$23:$K$87,5,FALSE),0)</f>
        <v>0</v>
      </c>
      <c r="AK966" s="1152">
        <f t="shared" si="264"/>
        <v>309866.6071243154</v>
      </c>
      <c r="AL966" s="1153">
        <f t="shared" si="265"/>
        <v>0</v>
      </c>
      <c r="AM966" s="1153">
        <f t="shared" si="266"/>
        <v>34429.623013812823</v>
      </c>
      <c r="AN966" s="1145">
        <f t="shared" si="267"/>
        <v>0</v>
      </c>
      <c r="AO966" s="1154">
        <f t="shared" si="268"/>
        <v>344296.23013812822</v>
      </c>
      <c r="AP966" s="1147">
        <f t="shared" si="255"/>
        <v>0</v>
      </c>
      <c r="AQ966" s="1144">
        <f t="shared" si="256"/>
        <v>0</v>
      </c>
      <c r="AR966" s="1146">
        <f t="shared" si="257"/>
        <v>344296.23013812822</v>
      </c>
    </row>
    <row r="967" spans="1:44" x14ac:dyDescent="0.2">
      <c r="A967" s="1141" t="str">
        <f t="shared" si="270"/>
        <v>1542</v>
      </c>
      <c r="B967" s="1141" t="str">
        <f>IFERROR(VLOOKUP(A967,'LAC 103'!A:C,3,FALSE),"")</f>
        <v>OP</v>
      </c>
      <c r="C967" s="1478" t="str">
        <f>Info!$B$8</f>
        <v>00100</v>
      </c>
      <c r="D967" s="1474" t="s">
        <v>256</v>
      </c>
      <c r="E967" s="1474" t="s">
        <v>95</v>
      </c>
      <c r="F967" s="1478" t="s">
        <v>392</v>
      </c>
      <c r="G967" s="1478" t="s">
        <v>392</v>
      </c>
      <c r="H967" s="1474" t="s">
        <v>1665</v>
      </c>
      <c r="I967" s="1478" t="s">
        <v>803</v>
      </c>
      <c r="J967" s="1478"/>
      <c r="K967" s="1475" t="s">
        <v>849</v>
      </c>
      <c r="L967" s="1474" t="s">
        <v>77</v>
      </c>
      <c r="M967" s="1476" t="s">
        <v>1698</v>
      </c>
      <c r="N967" s="1477" t="s">
        <v>1693</v>
      </c>
      <c r="O967" s="1479">
        <v>120895</v>
      </c>
      <c r="P967" s="1479"/>
      <c r="Q967" s="1142">
        <f t="shared" si="271"/>
        <v>120895</v>
      </c>
      <c r="R967" s="1143">
        <f>IFERROR(VLOOKUP(CONCATENATE(E967,G967),'LAC 103'!$A$12:$O$95,11,FALSE),0)</f>
        <v>3.2074101033884355</v>
      </c>
      <c r="S967" s="1144">
        <f>IFERROR(VLOOKUP(CONCATENATE($E967,$G967),'LAC 103'!$A$12:$O$95,12,FALSE),0)</f>
        <v>3.99</v>
      </c>
      <c r="T967" s="1144">
        <f>IFERROR(VLOOKUP(CONCATENATE($E967,$G967),'LAC 103'!$A$12:$O$95,13,FALSE),0)</f>
        <v>2.48</v>
      </c>
      <c r="U967" s="1144">
        <f>IFERROR(VLOOKUP(CONCATENATE($E967,$G967),'LAC 103'!$A$12:$O$95,14,FALSE),0)</f>
        <v>0</v>
      </c>
      <c r="V967" s="1144">
        <f>IFERROR(VLOOKUP(CONCATENATE($E967,$G967),'LAC 103'!$A$12:$O$95,15,FALSE),0)</f>
        <v>0</v>
      </c>
      <c r="W967" s="1145" t="str">
        <f>IFERROR(VLOOKUP(CONCATENATE($B967,$N967),'LAC 103'!$AI:$AQ,9,FALSE),"")</f>
        <v>Costs</v>
      </c>
      <c r="X967" s="1146">
        <f t="shared" si="258"/>
        <v>3.2074101033884355</v>
      </c>
      <c r="Y967" s="1143">
        <f t="shared" si="269"/>
        <v>387759.8444491449</v>
      </c>
      <c r="Z967" s="1147">
        <f t="shared" si="259"/>
        <v>482371.05000000005</v>
      </c>
      <c r="AA967" s="1144">
        <f t="shared" si="260"/>
        <v>299819.59999999998</v>
      </c>
      <c r="AB967" s="1144">
        <f t="shared" si="261"/>
        <v>0</v>
      </c>
      <c r="AC967" s="1144">
        <f t="shared" si="262"/>
        <v>0</v>
      </c>
      <c r="AD967" s="1148">
        <f t="shared" ref="AD967:AD1030" si="272">Q967*X967</f>
        <v>387759.8444491449</v>
      </c>
      <c r="AE967" s="1487">
        <v>0</v>
      </c>
      <c r="AF967" s="1145">
        <f t="shared" si="263"/>
        <v>387759.8444491449</v>
      </c>
      <c r="AG967" s="1149">
        <f>IFERROR(VLOOKUP(CONCATENATE($L967,$N967),'Drop List'!$G$23:$K$87,2,FALSE),0)</f>
        <v>0.9</v>
      </c>
      <c r="AH967" s="1150">
        <f>IFERROR(VLOOKUP(CONCATENATE($L967,$N967),'Drop List'!$G$23:$K$87,3,FALSE),0)</f>
        <v>0</v>
      </c>
      <c r="AI967" s="1150">
        <f>IFERROR(VLOOKUP(CONCATENATE($L967,$N967),'Drop List'!$G$23:$K$87,4,FALSE),0)</f>
        <v>0.1</v>
      </c>
      <c r="AJ967" s="1151">
        <f>IFERROR(VLOOKUP(CONCATENATE($L967,$N967),'Drop List'!$G$23:$K$87,5,FALSE),0)</f>
        <v>0</v>
      </c>
      <c r="AK967" s="1152">
        <f t="shared" si="264"/>
        <v>348983.8600042304</v>
      </c>
      <c r="AL967" s="1153">
        <f t="shared" si="265"/>
        <v>0</v>
      </c>
      <c r="AM967" s="1153">
        <f t="shared" si="266"/>
        <v>38775.984444914495</v>
      </c>
      <c r="AN967" s="1145">
        <f t="shared" si="267"/>
        <v>0</v>
      </c>
      <c r="AO967" s="1154">
        <f t="shared" si="268"/>
        <v>387759.8444491449</v>
      </c>
      <c r="AP967" s="1147">
        <f t="shared" ref="AP967:AP1030" si="273">IF($L967="14",$AF967,0)</f>
        <v>0</v>
      </c>
      <c r="AQ967" s="1144">
        <f t="shared" ref="AQ967:AQ1030" si="274">IF($L967="15",$AF967,0)</f>
        <v>0</v>
      </c>
      <c r="AR967" s="1146">
        <f t="shared" ref="AR967:AR1030" si="275">AO967+AP967+AQ967</f>
        <v>387759.8444491449</v>
      </c>
    </row>
    <row r="968" spans="1:44" x14ac:dyDescent="0.2">
      <c r="A968" s="1141" t="str">
        <f t="shared" si="270"/>
        <v>1542</v>
      </c>
      <c r="B968" s="1141" t="str">
        <f>IFERROR(VLOOKUP(A968,'LAC 103'!A:C,3,FALSE),"")</f>
        <v>OP</v>
      </c>
      <c r="C968" s="1478" t="str">
        <f>Info!$B$8</f>
        <v>00100</v>
      </c>
      <c r="D968" s="1474" t="s">
        <v>256</v>
      </c>
      <c r="E968" s="1474" t="s">
        <v>95</v>
      </c>
      <c r="F968" s="1478" t="s">
        <v>392</v>
      </c>
      <c r="G968" s="1478" t="s">
        <v>392</v>
      </c>
      <c r="H968" s="1474" t="s">
        <v>1665</v>
      </c>
      <c r="I968" s="1478" t="s">
        <v>803</v>
      </c>
      <c r="J968" s="1478"/>
      <c r="K968" s="1475" t="s">
        <v>971</v>
      </c>
      <c r="L968" s="1474" t="s">
        <v>332</v>
      </c>
      <c r="M968" s="1476" t="s">
        <v>1699</v>
      </c>
      <c r="N968" s="1477" t="s">
        <v>1694</v>
      </c>
      <c r="O968" s="1479">
        <v>4326</v>
      </c>
      <c r="P968" s="1479"/>
      <c r="Q968" s="1142">
        <f t="shared" si="271"/>
        <v>4326</v>
      </c>
      <c r="R968" s="1143">
        <f>IFERROR(VLOOKUP(CONCATENATE(E968,G968),'LAC 103'!$A$12:$O$95,11,FALSE),0)</f>
        <v>3.2074101033884355</v>
      </c>
      <c r="S968" s="1144">
        <f>IFERROR(VLOOKUP(CONCATENATE($E968,$G968),'LAC 103'!$A$12:$O$95,12,FALSE),0)</f>
        <v>3.99</v>
      </c>
      <c r="T968" s="1144">
        <f>IFERROR(VLOOKUP(CONCATENATE($E968,$G968),'LAC 103'!$A$12:$O$95,13,FALSE),0)</f>
        <v>2.48</v>
      </c>
      <c r="U968" s="1144">
        <f>IFERROR(VLOOKUP(CONCATENATE($E968,$G968),'LAC 103'!$A$12:$O$95,14,FALSE),0)</f>
        <v>0</v>
      </c>
      <c r="V968" s="1144">
        <f>IFERROR(VLOOKUP(CONCATENATE($E968,$G968),'LAC 103'!$A$12:$O$95,15,FALSE),0)</f>
        <v>0</v>
      </c>
      <c r="W968" s="1145" t="str">
        <f>IFERROR(VLOOKUP(CONCATENATE($B968,$N968),'LAC 103'!$AI:$AQ,9,FALSE),"")</f>
        <v>Costs</v>
      </c>
      <c r="X968" s="1146">
        <f t="shared" ref="X968:X1031" si="276">IF($W968="Costs",$R968,IF($W968="CMA",$S968,IF($W968="P.C.",$T968,IF($W968="SMA",$U968,$V968))))</f>
        <v>3.2074101033884355</v>
      </c>
      <c r="Y968" s="1143">
        <f t="shared" si="269"/>
        <v>13875.256107258372</v>
      </c>
      <c r="Z968" s="1147">
        <f t="shared" ref="Z968:Z1031" si="277">IF(S968=0,Y968,$Q968*S968)</f>
        <v>17260.740000000002</v>
      </c>
      <c r="AA968" s="1144">
        <f t="shared" ref="AA968:AA1031" si="278">IF(T968=0,Y968,$Q968*T968)</f>
        <v>10728.48</v>
      </c>
      <c r="AB968" s="1144">
        <f t="shared" ref="AB968:AB1031" si="279">$Q968*U968</f>
        <v>0</v>
      </c>
      <c r="AC968" s="1144">
        <f t="shared" ref="AC968:AC1031" si="280">$Q968*V968</f>
        <v>0</v>
      </c>
      <c r="AD968" s="1148">
        <f t="shared" si="272"/>
        <v>13875.256107258372</v>
      </c>
      <c r="AE968" s="1487">
        <v>0</v>
      </c>
      <c r="AF968" s="1145">
        <f t="shared" ref="AF968:AF1031" si="281">AD968-AE968</f>
        <v>13875.256107258372</v>
      </c>
      <c r="AG968" s="1149">
        <f>IFERROR(VLOOKUP(CONCATENATE($L968,$N968),'Drop List'!$G$23:$K$87,2,FALSE),0)</f>
        <v>0</v>
      </c>
      <c r="AH968" s="1150">
        <f>IFERROR(VLOOKUP(CONCATENATE($L968,$N968),'Drop List'!$G$23:$K$87,3,FALSE),0)</f>
        <v>0</v>
      </c>
      <c r="AI968" s="1150">
        <f>IFERROR(VLOOKUP(CONCATENATE($L968,$N968),'Drop List'!$G$23:$K$87,4,FALSE),0)</f>
        <v>0</v>
      </c>
      <c r="AJ968" s="1151">
        <f>IFERROR(VLOOKUP(CONCATENATE($L968,$N968),'Drop List'!$G$23:$K$87,5,FALSE),0)</f>
        <v>0</v>
      </c>
      <c r="AK968" s="1152">
        <f t="shared" ref="AK968:AK1031" si="282">IFERROR($AF968*AG968,0)</f>
        <v>0</v>
      </c>
      <c r="AL968" s="1153">
        <f t="shared" ref="AL968:AL1031" si="283">IFERROR($AF968*AH968,0)</f>
        <v>0</v>
      </c>
      <c r="AM968" s="1153">
        <f t="shared" ref="AM968:AM1031" si="284">IFERROR($AF968*AI968,0)</f>
        <v>0</v>
      </c>
      <c r="AN968" s="1145">
        <f t="shared" ref="AN968:AN1031" si="285">IFERROR($AF968*AJ968,0)</f>
        <v>0</v>
      </c>
      <c r="AO968" s="1154">
        <f t="shared" ref="AO968:AO1031" si="286">SUM(AK968:AN968)</f>
        <v>0</v>
      </c>
      <c r="AP968" s="1147">
        <f t="shared" si="273"/>
        <v>13875.256107258372</v>
      </c>
      <c r="AQ968" s="1144">
        <f t="shared" si="274"/>
        <v>0</v>
      </c>
      <c r="AR968" s="1146">
        <f t="shared" si="275"/>
        <v>13875.256107258372</v>
      </c>
    </row>
    <row r="969" spans="1:44" x14ac:dyDescent="0.2">
      <c r="A969" s="1141" t="str">
        <f t="shared" si="270"/>
        <v>1542</v>
      </c>
      <c r="B969" s="1141" t="str">
        <f>IFERROR(VLOOKUP(A969,'LAC 103'!A:C,3,FALSE),"")</f>
        <v>OP</v>
      </c>
      <c r="C969" s="1478" t="str">
        <f>Info!$B$8</f>
        <v>00100</v>
      </c>
      <c r="D969" s="1474" t="s">
        <v>256</v>
      </c>
      <c r="E969" s="1474" t="s">
        <v>95</v>
      </c>
      <c r="F969" s="1478" t="s">
        <v>392</v>
      </c>
      <c r="G969" s="1478" t="s">
        <v>392</v>
      </c>
      <c r="H969" s="1474" t="s">
        <v>1665</v>
      </c>
      <c r="I969" s="1478" t="s">
        <v>803</v>
      </c>
      <c r="J969" s="1478"/>
      <c r="K969" s="1475" t="s">
        <v>971</v>
      </c>
      <c r="L969" s="1474" t="s">
        <v>332</v>
      </c>
      <c r="M969" s="1476" t="s">
        <v>841</v>
      </c>
      <c r="N969" s="1477" t="s">
        <v>1695</v>
      </c>
      <c r="O969" s="1479">
        <v>228</v>
      </c>
      <c r="P969" s="1479"/>
      <c r="Q969" s="1142">
        <f t="shared" si="271"/>
        <v>228</v>
      </c>
      <c r="R969" s="1143">
        <f>IFERROR(VLOOKUP(CONCATENATE(E969,G969),'LAC 103'!$A$12:$O$95,11,FALSE),0)</f>
        <v>3.2074101033884355</v>
      </c>
      <c r="S969" s="1144">
        <f>IFERROR(VLOOKUP(CONCATENATE($E969,$G969),'LAC 103'!$A$12:$O$95,12,FALSE),0)</f>
        <v>3.99</v>
      </c>
      <c r="T969" s="1144">
        <f>IFERROR(VLOOKUP(CONCATENATE($E969,$G969),'LAC 103'!$A$12:$O$95,13,FALSE),0)</f>
        <v>2.48</v>
      </c>
      <c r="U969" s="1144">
        <f>IFERROR(VLOOKUP(CONCATENATE($E969,$G969),'LAC 103'!$A$12:$O$95,14,FALSE),0)</f>
        <v>0</v>
      </c>
      <c r="V969" s="1144">
        <f>IFERROR(VLOOKUP(CONCATENATE($E969,$G969),'LAC 103'!$A$12:$O$95,15,FALSE),0)</f>
        <v>0</v>
      </c>
      <c r="W969" s="1145" t="str">
        <f>IFERROR(VLOOKUP(CONCATENATE($B969,$N969),'LAC 103'!$AI:$AQ,9,FALSE),"")</f>
        <v>Costs</v>
      </c>
      <c r="X969" s="1146">
        <f t="shared" si="276"/>
        <v>3.2074101033884355</v>
      </c>
      <c r="Y969" s="1143">
        <f t="shared" si="269"/>
        <v>731.28950357256326</v>
      </c>
      <c r="Z969" s="1147">
        <f t="shared" si="277"/>
        <v>909.72</v>
      </c>
      <c r="AA969" s="1144">
        <f t="shared" si="278"/>
        <v>565.43999999999994</v>
      </c>
      <c r="AB969" s="1144">
        <f t="shared" si="279"/>
        <v>0</v>
      </c>
      <c r="AC969" s="1144">
        <f t="shared" si="280"/>
        <v>0</v>
      </c>
      <c r="AD969" s="1148">
        <f t="shared" si="272"/>
        <v>731.28950357256326</v>
      </c>
      <c r="AE969" s="1487">
        <v>0</v>
      </c>
      <c r="AF969" s="1145">
        <f t="shared" si="281"/>
        <v>731.28950357256326</v>
      </c>
      <c r="AG969" s="1149">
        <f>IFERROR(VLOOKUP(CONCATENATE($L969,$N969),'Drop List'!$G$23:$K$87,2,FALSE),0)</f>
        <v>0</v>
      </c>
      <c r="AH969" s="1150">
        <f>IFERROR(VLOOKUP(CONCATENATE($L969,$N969),'Drop List'!$G$23:$K$87,3,FALSE),0)</f>
        <v>0</v>
      </c>
      <c r="AI969" s="1150">
        <f>IFERROR(VLOOKUP(CONCATENATE($L969,$N969),'Drop List'!$G$23:$K$87,4,FALSE),0)</f>
        <v>0</v>
      </c>
      <c r="AJ969" s="1151">
        <f>IFERROR(VLOOKUP(CONCATENATE($L969,$N969),'Drop List'!$G$23:$K$87,5,FALSE),0)</f>
        <v>0</v>
      </c>
      <c r="AK969" s="1152">
        <f t="shared" si="282"/>
        <v>0</v>
      </c>
      <c r="AL969" s="1153">
        <f t="shared" si="283"/>
        <v>0</v>
      </c>
      <c r="AM969" s="1153">
        <f t="shared" si="284"/>
        <v>0</v>
      </c>
      <c r="AN969" s="1145">
        <f t="shared" si="285"/>
        <v>0</v>
      </c>
      <c r="AO969" s="1154">
        <f t="shared" si="286"/>
        <v>0</v>
      </c>
      <c r="AP969" s="1147">
        <f t="shared" si="273"/>
        <v>731.28950357256326</v>
      </c>
      <c r="AQ969" s="1144">
        <f t="shared" si="274"/>
        <v>0</v>
      </c>
      <c r="AR969" s="1146">
        <f t="shared" si="275"/>
        <v>731.28950357256326</v>
      </c>
    </row>
    <row r="970" spans="1:44" x14ac:dyDescent="0.2">
      <c r="A970" s="1141" t="str">
        <f t="shared" si="270"/>
        <v>1542</v>
      </c>
      <c r="B970" s="1141" t="str">
        <f>IFERROR(VLOOKUP(A970,'LAC 103'!A:C,3,FALSE),"")</f>
        <v>OP</v>
      </c>
      <c r="C970" s="1478" t="str">
        <f>Info!$B$8</f>
        <v>00100</v>
      </c>
      <c r="D970" s="1474" t="s">
        <v>256</v>
      </c>
      <c r="E970" s="1474" t="s">
        <v>95</v>
      </c>
      <c r="F970" s="1478" t="s">
        <v>392</v>
      </c>
      <c r="G970" s="1478" t="s">
        <v>392</v>
      </c>
      <c r="H970" s="1474" t="s">
        <v>1665</v>
      </c>
      <c r="I970" s="1478" t="s">
        <v>803</v>
      </c>
      <c r="J970" s="1478"/>
      <c r="K970" s="1475" t="s">
        <v>971</v>
      </c>
      <c r="L970" s="1474" t="s">
        <v>332</v>
      </c>
      <c r="M970" s="1476" t="s">
        <v>842</v>
      </c>
      <c r="N970" s="1477" t="s">
        <v>1692</v>
      </c>
      <c r="O970" s="1479">
        <v>415</v>
      </c>
      <c r="P970" s="1479"/>
      <c r="Q970" s="1142">
        <f t="shared" si="271"/>
        <v>415</v>
      </c>
      <c r="R970" s="1143">
        <f>IFERROR(VLOOKUP(CONCATENATE(E970,G970),'LAC 103'!$A$12:$O$95,11,FALSE),0)</f>
        <v>3.2074101033884355</v>
      </c>
      <c r="S970" s="1144">
        <f>IFERROR(VLOOKUP(CONCATENATE($E970,$G970),'LAC 103'!$A$12:$O$95,12,FALSE),0)</f>
        <v>3.99</v>
      </c>
      <c r="T970" s="1144">
        <f>IFERROR(VLOOKUP(CONCATENATE($E970,$G970),'LAC 103'!$A$12:$O$95,13,FALSE),0)</f>
        <v>2.48</v>
      </c>
      <c r="U970" s="1144">
        <f>IFERROR(VLOOKUP(CONCATENATE($E970,$G970),'LAC 103'!$A$12:$O$95,14,FALSE),0)</f>
        <v>0</v>
      </c>
      <c r="V970" s="1144">
        <f>IFERROR(VLOOKUP(CONCATENATE($E970,$G970),'LAC 103'!$A$12:$O$95,15,FALSE),0)</f>
        <v>0</v>
      </c>
      <c r="W970" s="1145" t="str">
        <f>IFERROR(VLOOKUP(CONCATENATE($B970,$N970),'LAC 103'!$AI:$AQ,9,FALSE),"")</f>
        <v>Costs</v>
      </c>
      <c r="X970" s="1146">
        <f t="shared" si="276"/>
        <v>3.2074101033884355</v>
      </c>
      <c r="Y970" s="1143">
        <f t="shared" ref="Y970:Y1033" si="287">$Q970*R970</f>
        <v>1331.0751929062008</v>
      </c>
      <c r="Z970" s="1147">
        <f t="shared" si="277"/>
        <v>1655.8500000000001</v>
      </c>
      <c r="AA970" s="1144">
        <f t="shared" si="278"/>
        <v>1029.2</v>
      </c>
      <c r="AB970" s="1144">
        <f t="shared" si="279"/>
        <v>0</v>
      </c>
      <c r="AC970" s="1144">
        <f t="shared" si="280"/>
        <v>0</v>
      </c>
      <c r="AD970" s="1148">
        <f t="shared" si="272"/>
        <v>1331.0751929062008</v>
      </c>
      <c r="AE970" s="1487">
        <v>0</v>
      </c>
      <c r="AF970" s="1145">
        <f t="shared" si="281"/>
        <v>1331.0751929062008</v>
      </c>
      <c r="AG970" s="1149">
        <f>IFERROR(VLOOKUP(CONCATENATE($L970,$N970),'Drop List'!$G$23:$K$87,2,FALSE),0)</f>
        <v>0</v>
      </c>
      <c r="AH970" s="1150">
        <f>IFERROR(VLOOKUP(CONCATENATE($L970,$N970),'Drop List'!$G$23:$K$87,3,FALSE),0)</f>
        <v>0</v>
      </c>
      <c r="AI970" s="1150">
        <f>IFERROR(VLOOKUP(CONCATENATE($L970,$N970),'Drop List'!$G$23:$K$87,4,FALSE),0)</f>
        <v>0</v>
      </c>
      <c r="AJ970" s="1151">
        <f>IFERROR(VLOOKUP(CONCATENATE($L970,$N970),'Drop List'!$G$23:$K$87,5,FALSE),0)</f>
        <v>0</v>
      </c>
      <c r="AK970" s="1152">
        <f t="shared" si="282"/>
        <v>0</v>
      </c>
      <c r="AL970" s="1153">
        <f t="shared" si="283"/>
        <v>0</v>
      </c>
      <c r="AM970" s="1153">
        <f t="shared" si="284"/>
        <v>0</v>
      </c>
      <c r="AN970" s="1145">
        <f t="shared" si="285"/>
        <v>0</v>
      </c>
      <c r="AO970" s="1154">
        <f t="shared" si="286"/>
        <v>0</v>
      </c>
      <c r="AP970" s="1147">
        <f t="shared" si="273"/>
        <v>1331.0751929062008</v>
      </c>
      <c r="AQ970" s="1144">
        <f t="shared" si="274"/>
        <v>0</v>
      </c>
      <c r="AR970" s="1146">
        <f t="shared" si="275"/>
        <v>1331.0751929062008</v>
      </c>
    </row>
    <row r="971" spans="1:44" x14ac:dyDescent="0.2">
      <c r="A971" s="1141" t="str">
        <f t="shared" si="270"/>
        <v>1542</v>
      </c>
      <c r="B971" s="1141" t="str">
        <f>IFERROR(VLOOKUP(A971,'LAC 103'!A:C,3,FALSE),"")</f>
        <v>OP</v>
      </c>
      <c r="C971" s="1478" t="str">
        <f>Info!$B$8</f>
        <v>00100</v>
      </c>
      <c r="D971" s="1474" t="s">
        <v>256</v>
      </c>
      <c r="E971" s="1474" t="s">
        <v>95</v>
      </c>
      <c r="F971" s="1478" t="s">
        <v>392</v>
      </c>
      <c r="G971" s="1478" t="s">
        <v>392</v>
      </c>
      <c r="H971" s="1474" t="s">
        <v>1665</v>
      </c>
      <c r="I971" s="1478" t="s">
        <v>803</v>
      </c>
      <c r="J971" s="1478"/>
      <c r="K971" s="1475" t="s">
        <v>971</v>
      </c>
      <c r="L971" s="1474" t="s">
        <v>332</v>
      </c>
      <c r="M971" s="1476" t="s">
        <v>1698</v>
      </c>
      <c r="N971" s="1477" t="s">
        <v>1693</v>
      </c>
      <c r="O971" s="1479">
        <v>1959</v>
      </c>
      <c r="P971" s="1479"/>
      <c r="Q971" s="1142">
        <f t="shared" si="271"/>
        <v>1959</v>
      </c>
      <c r="R971" s="1143">
        <f>IFERROR(VLOOKUP(CONCATENATE(E971,G971),'LAC 103'!$A$12:$O$95,11,FALSE),0)</f>
        <v>3.2074101033884355</v>
      </c>
      <c r="S971" s="1144">
        <f>IFERROR(VLOOKUP(CONCATENATE($E971,$G971),'LAC 103'!$A$12:$O$95,12,FALSE),0)</f>
        <v>3.99</v>
      </c>
      <c r="T971" s="1144">
        <f>IFERROR(VLOOKUP(CONCATENATE($E971,$G971),'LAC 103'!$A$12:$O$95,13,FALSE),0)</f>
        <v>2.48</v>
      </c>
      <c r="U971" s="1144">
        <f>IFERROR(VLOOKUP(CONCATENATE($E971,$G971),'LAC 103'!$A$12:$O$95,14,FALSE),0)</f>
        <v>0</v>
      </c>
      <c r="V971" s="1144">
        <f>IFERROR(VLOOKUP(CONCATENATE($E971,$G971),'LAC 103'!$A$12:$O$95,15,FALSE),0)</f>
        <v>0</v>
      </c>
      <c r="W971" s="1145" t="str">
        <f>IFERROR(VLOOKUP(CONCATENATE($B971,$N971),'LAC 103'!$AI:$AQ,9,FALSE),"")</f>
        <v>Costs</v>
      </c>
      <c r="X971" s="1146">
        <f t="shared" si="276"/>
        <v>3.2074101033884355</v>
      </c>
      <c r="Y971" s="1143">
        <f t="shared" si="287"/>
        <v>6283.3163925379449</v>
      </c>
      <c r="Z971" s="1147">
        <f t="shared" si="277"/>
        <v>7816.4100000000008</v>
      </c>
      <c r="AA971" s="1144">
        <f t="shared" si="278"/>
        <v>4858.32</v>
      </c>
      <c r="AB971" s="1144">
        <f t="shared" si="279"/>
        <v>0</v>
      </c>
      <c r="AC971" s="1144">
        <f t="shared" si="280"/>
        <v>0</v>
      </c>
      <c r="AD971" s="1148">
        <f t="shared" si="272"/>
        <v>6283.3163925379449</v>
      </c>
      <c r="AE971" s="1487">
        <v>0</v>
      </c>
      <c r="AF971" s="1145">
        <f t="shared" si="281"/>
        <v>6283.3163925379449</v>
      </c>
      <c r="AG971" s="1149">
        <f>IFERROR(VLOOKUP(CONCATENATE($L971,$N971),'Drop List'!$G$23:$K$87,2,FALSE),0)</f>
        <v>0</v>
      </c>
      <c r="AH971" s="1150">
        <f>IFERROR(VLOOKUP(CONCATENATE($L971,$N971),'Drop List'!$G$23:$K$87,3,FALSE),0)</f>
        <v>0</v>
      </c>
      <c r="AI971" s="1150">
        <f>IFERROR(VLOOKUP(CONCATENATE($L971,$N971),'Drop List'!$G$23:$K$87,4,FALSE),0)</f>
        <v>0</v>
      </c>
      <c r="AJ971" s="1151">
        <f>IFERROR(VLOOKUP(CONCATENATE($L971,$N971),'Drop List'!$G$23:$K$87,5,FALSE),0)</f>
        <v>0</v>
      </c>
      <c r="AK971" s="1152">
        <f t="shared" si="282"/>
        <v>0</v>
      </c>
      <c r="AL971" s="1153">
        <f t="shared" si="283"/>
        <v>0</v>
      </c>
      <c r="AM971" s="1153">
        <f t="shared" si="284"/>
        <v>0</v>
      </c>
      <c r="AN971" s="1145">
        <f t="shared" si="285"/>
        <v>0</v>
      </c>
      <c r="AO971" s="1154">
        <f t="shared" si="286"/>
        <v>0</v>
      </c>
      <c r="AP971" s="1147">
        <f t="shared" si="273"/>
        <v>6283.3163925379449</v>
      </c>
      <c r="AQ971" s="1144">
        <f t="shared" si="274"/>
        <v>0</v>
      </c>
      <c r="AR971" s="1146">
        <f t="shared" si="275"/>
        <v>6283.3163925379449</v>
      </c>
    </row>
    <row r="972" spans="1:44" x14ac:dyDescent="0.2">
      <c r="A972" s="1141" t="str">
        <f t="shared" si="270"/>
        <v>1542</v>
      </c>
      <c r="B972" s="1141" t="str">
        <f>IFERROR(VLOOKUP(A972,'LAC 103'!A:C,3,FALSE),"")</f>
        <v>OP</v>
      </c>
      <c r="C972" s="1478" t="str">
        <f>Info!$B$8</f>
        <v>00100</v>
      </c>
      <c r="D972" s="1474" t="s">
        <v>256</v>
      </c>
      <c r="E972" s="1474" t="s">
        <v>95</v>
      </c>
      <c r="F972" s="1478" t="s">
        <v>392</v>
      </c>
      <c r="G972" s="1478" t="s">
        <v>392</v>
      </c>
      <c r="H972" s="1474" t="s">
        <v>1665</v>
      </c>
      <c r="I972" s="1478" t="s">
        <v>803</v>
      </c>
      <c r="J972" s="1478"/>
      <c r="K972" s="1475" t="s">
        <v>850</v>
      </c>
      <c r="L972" s="1474" t="s">
        <v>330</v>
      </c>
      <c r="M972" s="1476" t="s">
        <v>1699</v>
      </c>
      <c r="N972" s="1477" t="s">
        <v>1694</v>
      </c>
      <c r="O972" s="1479">
        <v>286</v>
      </c>
      <c r="P972" s="1479"/>
      <c r="Q972" s="1142">
        <f t="shared" si="271"/>
        <v>286</v>
      </c>
      <c r="R972" s="1143">
        <f>IFERROR(VLOOKUP(CONCATENATE(E972,G972),'LAC 103'!$A$12:$O$95,11,FALSE),0)</f>
        <v>3.2074101033884355</v>
      </c>
      <c r="S972" s="1144">
        <f>IFERROR(VLOOKUP(CONCATENATE($E972,$G972),'LAC 103'!$A$12:$O$95,12,FALSE),0)</f>
        <v>3.99</v>
      </c>
      <c r="T972" s="1144">
        <f>IFERROR(VLOOKUP(CONCATENATE($E972,$G972),'LAC 103'!$A$12:$O$95,13,FALSE),0)</f>
        <v>2.48</v>
      </c>
      <c r="U972" s="1144">
        <f>IFERROR(VLOOKUP(CONCATENATE($E972,$G972),'LAC 103'!$A$12:$O$95,14,FALSE),0)</f>
        <v>0</v>
      </c>
      <c r="V972" s="1144">
        <f>IFERROR(VLOOKUP(CONCATENATE($E972,$G972),'LAC 103'!$A$12:$O$95,15,FALSE),0)</f>
        <v>0</v>
      </c>
      <c r="W972" s="1145" t="str">
        <f>IFERROR(VLOOKUP(CONCATENATE($B972,$N972),'LAC 103'!$AI:$AQ,9,FALSE),"")</f>
        <v>Costs</v>
      </c>
      <c r="X972" s="1146">
        <f t="shared" si="276"/>
        <v>3.2074101033884355</v>
      </c>
      <c r="Y972" s="1143">
        <f t="shared" si="287"/>
        <v>917.31928956909258</v>
      </c>
      <c r="Z972" s="1147">
        <f t="shared" si="277"/>
        <v>1141.1400000000001</v>
      </c>
      <c r="AA972" s="1144">
        <f t="shared" si="278"/>
        <v>709.28</v>
      </c>
      <c r="AB972" s="1144">
        <f t="shared" si="279"/>
        <v>0</v>
      </c>
      <c r="AC972" s="1144">
        <f t="shared" si="280"/>
        <v>0</v>
      </c>
      <c r="AD972" s="1148">
        <f t="shared" si="272"/>
        <v>917.31928956909258</v>
      </c>
      <c r="AE972" s="1487">
        <v>0</v>
      </c>
      <c r="AF972" s="1145">
        <f t="shared" si="281"/>
        <v>917.31928956909258</v>
      </c>
      <c r="AG972" s="1149">
        <f>IFERROR(VLOOKUP(CONCATENATE($L972,$N972),'Drop List'!$G$23:$K$87,2,FALSE),0)</f>
        <v>0</v>
      </c>
      <c r="AH972" s="1150">
        <f>IFERROR(VLOOKUP(CONCATENATE($L972,$N972),'Drop List'!$G$23:$K$87,3,FALSE),0)</f>
        <v>0</v>
      </c>
      <c r="AI972" s="1150">
        <f>IFERROR(VLOOKUP(CONCATENATE($L972,$N972),'Drop List'!$G$23:$K$87,4,FALSE),0)</f>
        <v>1</v>
      </c>
      <c r="AJ972" s="1151">
        <f>IFERROR(VLOOKUP(CONCATENATE($L972,$N972),'Drop List'!$G$23:$K$87,5,FALSE),0)</f>
        <v>0</v>
      </c>
      <c r="AK972" s="1152">
        <f t="shared" si="282"/>
        <v>0</v>
      </c>
      <c r="AL972" s="1153">
        <f t="shared" si="283"/>
        <v>0</v>
      </c>
      <c r="AM972" s="1153">
        <f t="shared" si="284"/>
        <v>917.31928956909258</v>
      </c>
      <c r="AN972" s="1145">
        <f t="shared" si="285"/>
        <v>0</v>
      </c>
      <c r="AO972" s="1154">
        <f t="shared" si="286"/>
        <v>917.31928956909258</v>
      </c>
      <c r="AP972" s="1147">
        <f t="shared" si="273"/>
        <v>0</v>
      </c>
      <c r="AQ972" s="1144">
        <f t="shared" si="274"/>
        <v>0</v>
      </c>
      <c r="AR972" s="1146">
        <f t="shared" si="275"/>
        <v>917.31928956909258</v>
      </c>
    </row>
    <row r="973" spans="1:44" x14ac:dyDescent="0.2">
      <c r="A973" s="1141" t="str">
        <f t="shared" si="270"/>
        <v>1542</v>
      </c>
      <c r="B973" s="1141" t="str">
        <f>IFERROR(VLOOKUP(A973,'LAC 103'!A:C,3,FALSE),"")</f>
        <v>OP</v>
      </c>
      <c r="C973" s="1478" t="str">
        <f>Info!$B$8</f>
        <v>00100</v>
      </c>
      <c r="D973" s="1474" t="s">
        <v>256</v>
      </c>
      <c r="E973" s="1474" t="s">
        <v>95</v>
      </c>
      <c r="F973" s="1478" t="s">
        <v>392</v>
      </c>
      <c r="G973" s="1478" t="s">
        <v>392</v>
      </c>
      <c r="H973" s="1474" t="s">
        <v>1665</v>
      </c>
      <c r="I973" s="1478" t="s">
        <v>803</v>
      </c>
      <c r="J973" s="1478"/>
      <c r="K973" s="1475" t="s">
        <v>850</v>
      </c>
      <c r="L973" s="1474" t="s">
        <v>330</v>
      </c>
      <c r="M973" s="1476" t="s">
        <v>1698</v>
      </c>
      <c r="N973" s="1477" t="s">
        <v>1693</v>
      </c>
      <c r="O973" s="1479">
        <v>206</v>
      </c>
      <c r="P973" s="1479"/>
      <c r="Q973" s="1142">
        <f t="shared" si="271"/>
        <v>206</v>
      </c>
      <c r="R973" s="1143">
        <f>IFERROR(VLOOKUP(CONCATENATE(E973,G973),'LAC 103'!$A$12:$O$95,11,FALSE),0)</f>
        <v>3.2074101033884355</v>
      </c>
      <c r="S973" s="1144">
        <f>IFERROR(VLOOKUP(CONCATENATE($E973,$G973),'LAC 103'!$A$12:$O$95,12,FALSE),0)</f>
        <v>3.99</v>
      </c>
      <c r="T973" s="1144">
        <f>IFERROR(VLOOKUP(CONCATENATE($E973,$G973),'LAC 103'!$A$12:$O$95,13,FALSE),0)</f>
        <v>2.48</v>
      </c>
      <c r="U973" s="1144">
        <f>IFERROR(VLOOKUP(CONCATENATE($E973,$G973),'LAC 103'!$A$12:$O$95,14,FALSE),0)</f>
        <v>0</v>
      </c>
      <c r="V973" s="1144">
        <f>IFERROR(VLOOKUP(CONCATENATE($E973,$G973),'LAC 103'!$A$12:$O$95,15,FALSE),0)</f>
        <v>0</v>
      </c>
      <c r="W973" s="1145" t="str">
        <f>IFERROR(VLOOKUP(CONCATENATE($B973,$N973),'LAC 103'!$AI:$AQ,9,FALSE),"")</f>
        <v>Costs</v>
      </c>
      <c r="X973" s="1146">
        <f t="shared" si="276"/>
        <v>3.2074101033884355</v>
      </c>
      <c r="Y973" s="1143">
        <f t="shared" si="287"/>
        <v>660.72648129801769</v>
      </c>
      <c r="Z973" s="1147">
        <f t="shared" si="277"/>
        <v>821.94</v>
      </c>
      <c r="AA973" s="1144">
        <f t="shared" si="278"/>
        <v>510.88</v>
      </c>
      <c r="AB973" s="1144">
        <f t="shared" si="279"/>
        <v>0</v>
      </c>
      <c r="AC973" s="1144">
        <f t="shared" si="280"/>
        <v>0</v>
      </c>
      <c r="AD973" s="1148">
        <f t="shared" si="272"/>
        <v>660.72648129801769</v>
      </c>
      <c r="AE973" s="1487">
        <v>0</v>
      </c>
      <c r="AF973" s="1145">
        <f t="shared" si="281"/>
        <v>660.72648129801769</v>
      </c>
      <c r="AG973" s="1149">
        <f>IFERROR(VLOOKUP(CONCATENATE($L973,$N973),'Drop List'!$G$23:$K$87,2,FALSE),0)</f>
        <v>0</v>
      </c>
      <c r="AH973" s="1150">
        <f>IFERROR(VLOOKUP(CONCATENATE($L973,$N973),'Drop List'!$G$23:$K$87,3,FALSE),0)</f>
        <v>0</v>
      </c>
      <c r="AI973" s="1150">
        <f>IFERROR(VLOOKUP(CONCATENATE($L973,$N973),'Drop List'!$G$23:$K$87,4,FALSE),0)</f>
        <v>1</v>
      </c>
      <c r="AJ973" s="1151">
        <f>IFERROR(VLOOKUP(CONCATENATE($L973,$N973),'Drop List'!$G$23:$K$87,5,FALSE),0)</f>
        <v>0</v>
      </c>
      <c r="AK973" s="1152">
        <f t="shared" si="282"/>
        <v>0</v>
      </c>
      <c r="AL973" s="1153">
        <f t="shared" si="283"/>
        <v>0</v>
      </c>
      <c r="AM973" s="1153">
        <f t="shared" si="284"/>
        <v>660.72648129801769</v>
      </c>
      <c r="AN973" s="1145">
        <f t="shared" si="285"/>
        <v>0</v>
      </c>
      <c r="AO973" s="1154">
        <f t="shared" si="286"/>
        <v>660.72648129801769</v>
      </c>
      <c r="AP973" s="1147">
        <f t="shared" si="273"/>
        <v>0</v>
      </c>
      <c r="AQ973" s="1144">
        <f t="shared" si="274"/>
        <v>0</v>
      </c>
      <c r="AR973" s="1146">
        <f t="shared" si="275"/>
        <v>660.72648129801769</v>
      </c>
    </row>
    <row r="974" spans="1:44" x14ac:dyDescent="0.2">
      <c r="A974" s="1141" t="str">
        <f t="shared" si="270"/>
        <v>1542</v>
      </c>
      <c r="B974" s="1141" t="str">
        <f>IFERROR(VLOOKUP(A974,'LAC 103'!A:C,3,FALSE),"")</f>
        <v>OP</v>
      </c>
      <c r="C974" s="1478" t="str">
        <f>Info!$B$8</f>
        <v>00100</v>
      </c>
      <c r="D974" s="1474" t="s">
        <v>256</v>
      </c>
      <c r="E974" s="1474" t="s">
        <v>95</v>
      </c>
      <c r="F974" s="1478" t="s">
        <v>392</v>
      </c>
      <c r="G974" s="1478" t="s">
        <v>392</v>
      </c>
      <c r="H974" s="1474" t="s">
        <v>1665</v>
      </c>
      <c r="I974" s="1478" t="s">
        <v>803</v>
      </c>
      <c r="J974" s="1478"/>
      <c r="K974" s="1475" t="s">
        <v>851</v>
      </c>
      <c r="L974" s="1474" t="s">
        <v>584</v>
      </c>
      <c r="M974" s="1476" t="s">
        <v>1699</v>
      </c>
      <c r="N974" s="1477" t="s">
        <v>1694</v>
      </c>
      <c r="O974" s="1479">
        <v>32057</v>
      </c>
      <c r="P974" s="1479"/>
      <c r="Q974" s="1142">
        <f t="shared" si="271"/>
        <v>32057</v>
      </c>
      <c r="R974" s="1143">
        <f>IFERROR(VLOOKUP(CONCATENATE(E974,G974),'LAC 103'!$A$12:$O$95,11,FALSE),0)</f>
        <v>3.2074101033884355</v>
      </c>
      <c r="S974" s="1144">
        <f>IFERROR(VLOOKUP(CONCATENATE($E974,$G974),'LAC 103'!$A$12:$O$95,12,FALSE),0)</f>
        <v>3.99</v>
      </c>
      <c r="T974" s="1144">
        <f>IFERROR(VLOOKUP(CONCATENATE($E974,$G974),'LAC 103'!$A$12:$O$95,13,FALSE),0)</f>
        <v>2.48</v>
      </c>
      <c r="U974" s="1144">
        <f>IFERROR(VLOOKUP(CONCATENATE($E974,$G974),'LAC 103'!$A$12:$O$95,14,FALSE),0)</f>
        <v>0</v>
      </c>
      <c r="V974" s="1144">
        <f>IFERROR(VLOOKUP(CONCATENATE($E974,$G974),'LAC 103'!$A$12:$O$95,15,FALSE),0)</f>
        <v>0</v>
      </c>
      <c r="W974" s="1145" t="str">
        <f>IFERROR(VLOOKUP(CONCATENATE($B974,$N974),'LAC 103'!$AI:$AQ,9,FALSE),"")</f>
        <v>Costs</v>
      </c>
      <c r="X974" s="1146">
        <f t="shared" si="276"/>
        <v>3.2074101033884355</v>
      </c>
      <c r="Y974" s="1143">
        <f t="shared" si="287"/>
        <v>102819.94568432307</v>
      </c>
      <c r="Z974" s="1147">
        <f t="shared" si="277"/>
        <v>127907.43000000001</v>
      </c>
      <c r="AA974" s="1144">
        <f t="shared" si="278"/>
        <v>79501.36</v>
      </c>
      <c r="AB974" s="1144">
        <f t="shared" si="279"/>
        <v>0</v>
      </c>
      <c r="AC974" s="1144">
        <f t="shared" si="280"/>
        <v>0</v>
      </c>
      <c r="AD974" s="1148">
        <f t="shared" si="272"/>
        <v>102819.94568432307</v>
      </c>
      <c r="AE974" s="1487">
        <v>0</v>
      </c>
      <c r="AF974" s="1145">
        <f t="shared" si="281"/>
        <v>102819.94568432307</v>
      </c>
      <c r="AG974" s="1149">
        <f>IFERROR(VLOOKUP(CONCATENATE($L974,$N974),'Drop List'!$G$23:$K$87,2,FALSE),0)</f>
        <v>0.56200000000000006</v>
      </c>
      <c r="AH974" s="1150">
        <f>IFERROR(VLOOKUP(CONCATENATE($L974,$N974),'Drop List'!$G$23:$K$87,3,FALSE),0)</f>
        <v>0</v>
      </c>
      <c r="AI974" s="1150">
        <f>IFERROR(VLOOKUP(CONCATENATE($L974,$N974),'Drop List'!$G$23:$K$87,4,FALSE),0)</f>
        <v>0</v>
      </c>
      <c r="AJ974" s="1151">
        <f>IFERROR(VLOOKUP(CONCATENATE($L974,$N974),'Drop List'!$G$23:$K$87,5,FALSE),0)</f>
        <v>0.43799999999999994</v>
      </c>
      <c r="AK974" s="1152">
        <f t="shared" si="282"/>
        <v>57784.809474589572</v>
      </c>
      <c r="AL974" s="1153">
        <f t="shared" si="283"/>
        <v>0</v>
      </c>
      <c r="AM974" s="1153">
        <f t="shared" si="284"/>
        <v>0</v>
      </c>
      <c r="AN974" s="1145">
        <f t="shared" si="285"/>
        <v>45035.1362097335</v>
      </c>
      <c r="AO974" s="1154">
        <f t="shared" si="286"/>
        <v>102819.94568432307</v>
      </c>
      <c r="AP974" s="1147">
        <f t="shared" si="273"/>
        <v>0</v>
      </c>
      <c r="AQ974" s="1144">
        <f t="shared" si="274"/>
        <v>0</v>
      </c>
      <c r="AR974" s="1146">
        <f t="shared" si="275"/>
        <v>102819.94568432307</v>
      </c>
    </row>
    <row r="975" spans="1:44" x14ac:dyDescent="0.2">
      <c r="A975" s="1141" t="str">
        <f t="shared" si="270"/>
        <v>1542</v>
      </c>
      <c r="B975" s="1141" t="str">
        <f>IFERROR(VLOOKUP(A975,'LAC 103'!A:C,3,FALSE),"")</f>
        <v>OP</v>
      </c>
      <c r="C975" s="1478" t="str">
        <f>Info!$B$8</f>
        <v>00100</v>
      </c>
      <c r="D975" s="1474" t="s">
        <v>256</v>
      </c>
      <c r="E975" s="1474" t="s">
        <v>95</v>
      </c>
      <c r="F975" s="1478" t="s">
        <v>392</v>
      </c>
      <c r="G975" s="1478" t="s">
        <v>392</v>
      </c>
      <c r="H975" s="1474" t="s">
        <v>1665</v>
      </c>
      <c r="I975" s="1478" t="s">
        <v>803</v>
      </c>
      <c r="J975" s="1478"/>
      <c r="K975" s="1475" t="s">
        <v>851</v>
      </c>
      <c r="L975" s="1474" t="s">
        <v>584</v>
      </c>
      <c r="M975" s="1476" t="s">
        <v>841</v>
      </c>
      <c r="N975" s="1477" t="s">
        <v>1695</v>
      </c>
      <c r="O975" s="1479">
        <v>12248</v>
      </c>
      <c r="P975" s="1479"/>
      <c r="Q975" s="1142">
        <f t="shared" si="271"/>
        <v>12248</v>
      </c>
      <c r="R975" s="1143">
        <f>IFERROR(VLOOKUP(CONCATENATE(E975,G975),'LAC 103'!$A$12:$O$95,11,FALSE),0)</f>
        <v>3.2074101033884355</v>
      </c>
      <c r="S975" s="1144">
        <f>IFERROR(VLOOKUP(CONCATENATE($E975,$G975),'LAC 103'!$A$12:$O$95,12,FALSE),0)</f>
        <v>3.99</v>
      </c>
      <c r="T975" s="1144">
        <f>IFERROR(VLOOKUP(CONCATENATE($E975,$G975),'LAC 103'!$A$12:$O$95,13,FALSE),0)</f>
        <v>2.48</v>
      </c>
      <c r="U975" s="1144">
        <f>IFERROR(VLOOKUP(CONCATENATE($E975,$G975),'LAC 103'!$A$12:$O$95,14,FALSE),0)</f>
        <v>0</v>
      </c>
      <c r="V975" s="1144">
        <f>IFERROR(VLOOKUP(CONCATENATE($E975,$G975),'LAC 103'!$A$12:$O$95,15,FALSE),0)</f>
        <v>0</v>
      </c>
      <c r="W975" s="1145" t="str">
        <f>IFERROR(VLOOKUP(CONCATENATE($B975,$N975),'LAC 103'!$AI:$AQ,9,FALSE),"")</f>
        <v>Costs</v>
      </c>
      <c r="X975" s="1146">
        <f t="shared" si="276"/>
        <v>3.2074101033884355</v>
      </c>
      <c r="Y975" s="1143">
        <f t="shared" si="287"/>
        <v>39284.35894630156</v>
      </c>
      <c r="Z975" s="1147">
        <f t="shared" si="277"/>
        <v>48869.520000000004</v>
      </c>
      <c r="AA975" s="1144">
        <f t="shared" si="278"/>
        <v>30375.040000000001</v>
      </c>
      <c r="AB975" s="1144">
        <f t="shared" si="279"/>
        <v>0</v>
      </c>
      <c r="AC975" s="1144">
        <f t="shared" si="280"/>
        <v>0</v>
      </c>
      <c r="AD975" s="1148">
        <f t="shared" si="272"/>
        <v>39284.35894630156</v>
      </c>
      <c r="AE975" s="1487">
        <v>0</v>
      </c>
      <c r="AF975" s="1145">
        <f t="shared" si="281"/>
        <v>39284.35894630156</v>
      </c>
      <c r="AG975" s="1149">
        <f>IFERROR(VLOOKUP(CONCATENATE($L975,$N975),'Drop List'!$G$23:$K$87,2,FALSE),0)</f>
        <v>0.55000000000000004</v>
      </c>
      <c r="AH975" s="1150">
        <f>IFERROR(VLOOKUP(CONCATENATE($L975,$N975),'Drop List'!$G$23:$K$87,3,FALSE),0)</f>
        <v>0</v>
      </c>
      <c r="AI975" s="1150">
        <f>IFERROR(VLOOKUP(CONCATENATE($L975,$N975),'Drop List'!$G$23:$K$87,4,FALSE),0)</f>
        <v>0</v>
      </c>
      <c r="AJ975" s="1151">
        <f>IFERROR(VLOOKUP(CONCATENATE($L975,$N975),'Drop List'!$G$23:$K$87,5,FALSE),0)</f>
        <v>0.44999999999999996</v>
      </c>
      <c r="AK975" s="1152">
        <f t="shared" si="282"/>
        <v>21606.397420465859</v>
      </c>
      <c r="AL975" s="1153">
        <f t="shared" si="283"/>
        <v>0</v>
      </c>
      <c r="AM975" s="1153">
        <f t="shared" si="284"/>
        <v>0</v>
      </c>
      <c r="AN975" s="1145">
        <f t="shared" si="285"/>
        <v>17677.961525835701</v>
      </c>
      <c r="AO975" s="1154">
        <f t="shared" si="286"/>
        <v>39284.35894630156</v>
      </c>
      <c r="AP975" s="1147">
        <f t="shared" si="273"/>
        <v>0</v>
      </c>
      <c r="AQ975" s="1144">
        <f t="shared" si="274"/>
        <v>0</v>
      </c>
      <c r="AR975" s="1146">
        <f t="shared" si="275"/>
        <v>39284.35894630156</v>
      </c>
    </row>
    <row r="976" spans="1:44" x14ac:dyDescent="0.2">
      <c r="A976" s="1141" t="str">
        <f t="shared" si="270"/>
        <v>1542</v>
      </c>
      <c r="B976" s="1141" t="str">
        <f>IFERROR(VLOOKUP(A976,'LAC 103'!A:C,3,FALSE),"")</f>
        <v>OP</v>
      </c>
      <c r="C976" s="1478" t="str">
        <f>Info!$B$8</f>
        <v>00100</v>
      </c>
      <c r="D976" s="1474" t="s">
        <v>256</v>
      </c>
      <c r="E976" s="1474" t="s">
        <v>95</v>
      </c>
      <c r="F976" s="1478" t="s">
        <v>392</v>
      </c>
      <c r="G976" s="1478" t="s">
        <v>392</v>
      </c>
      <c r="H976" s="1474" t="s">
        <v>1665</v>
      </c>
      <c r="I976" s="1478" t="s">
        <v>803</v>
      </c>
      <c r="J976" s="1478"/>
      <c r="K976" s="1475" t="s">
        <v>851</v>
      </c>
      <c r="L976" s="1474" t="s">
        <v>584</v>
      </c>
      <c r="M976" s="1476" t="s">
        <v>840</v>
      </c>
      <c r="N976" s="1477" t="s">
        <v>1700</v>
      </c>
      <c r="O976" s="1479">
        <v>13124</v>
      </c>
      <c r="P976" s="1479"/>
      <c r="Q976" s="1142">
        <f t="shared" si="271"/>
        <v>13124</v>
      </c>
      <c r="R976" s="1143">
        <f>IFERROR(VLOOKUP(CONCATENATE(E976,G976),'LAC 103'!$A$12:$O$95,11,FALSE),0)</f>
        <v>3.2074101033884355</v>
      </c>
      <c r="S976" s="1144">
        <f>IFERROR(VLOOKUP(CONCATENATE($E976,$G976),'LAC 103'!$A$12:$O$95,12,FALSE),0)</f>
        <v>3.99</v>
      </c>
      <c r="T976" s="1144">
        <f>IFERROR(VLOOKUP(CONCATENATE($E976,$G976),'LAC 103'!$A$12:$O$95,13,FALSE),0)</f>
        <v>2.48</v>
      </c>
      <c r="U976" s="1144">
        <f>IFERROR(VLOOKUP(CONCATENATE($E976,$G976),'LAC 103'!$A$12:$O$95,14,FALSE),0)</f>
        <v>0</v>
      </c>
      <c r="V976" s="1144">
        <f>IFERROR(VLOOKUP(CONCATENATE($E976,$G976),'LAC 103'!$A$12:$O$95,15,FALSE),0)</f>
        <v>0</v>
      </c>
      <c r="W976" s="1145" t="str">
        <f>IFERROR(VLOOKUP(CONCATENATE($B976,$N976),'LAC 103'!$AI:$AQ,9,FALSE),"")</f>
        <v>P.C.</v>
      </c>
      <c r="X976" s="1146">
        <f t="shared" si="276"/>
        <v>2.48</v>
      </c>
      <c r="Y976" s="1143">
        <f t="shared" si="287"/>
        <v>42094.05019686983</v>
      </c>
      <c r="Z976" s="1147">
        <f t="shared" si="277"/>
        <v>52364.76</v>
      </c>
      <c r="AA976" s="1144">
        <f t="shared" si="278"/>
        <v>32547.52</v>
      </c>
      <c r="AB976" s="1144">
        <f t="shared" si="279"/>
        <v>0</v>
      </c>
      <c r="AC976" s="1144">
        <f t="shared" si="280"/>
        <v>0</v>
      </c>
      <c r="AD976" s="1148">
        <f t="shared" si="272"/>
        <v>32547.52</v>
      </c>
      <c r="AE976" s="1487">
        <v>0</v>
      </c>
      <c r="AF976" s="1145">
        <f t="shared" si="281"/>
        <v>32547.52</v>
      </c>
      <c r="AG976" s="1149">
        <f>IFERROR(VLOOKUP(CONCATENATE($L976,$N976),'Drop List'!$G$23:$K$87,2,FALSE),0)</f>
        <v>0.55000000000000004</v>
      </c>
      <c r="AH976" s="1150">
        <f>IFERROR(VLOOKUP(CONCATENATE($L976,$N976),'Drop List'!$G$23:$K$87,3,FALSE),0)</f>
        <v>0</v>
      </c>
      <c r="AI976" s="1150">
        <f>IFERROR(VLOOKUP(CONCATENATE($L976,$N976),'Drop List'!$G$23:$K$87,4,FALSE),0)</f>
        <v>0</v>
      </c>
      <c r="AJ976" s="1151">
        <f>IFERROR(VLOOKUP(CONCATENATE($L976,$N976),'Drop List'!$G$23:$K$87,5,FALSE),0)</f>
        <v>0.44999999999999996</v>
      </c>
      <c r="AK976" s="1152">
        <f t="shared" si="282"/>
        <v>17901.136000000002</v>
      </c>
      <c r="AL976" s="1153">
        <f t="shared" si="283"/>
        <v>0</v>
      </c>
      <c r="AM976" s="1153">
        <f t="shared" si="284"/>
        <v>0</v>
      </c>
      <c r="AN976" s="1145">
        <f t="shared" si="285"/>
        <v>14646.383999999998</v>
      </c>
      <c r="AO976" s="1154">
        <f t="shared" si="286"/>
        <v>32547.52</v>
      </c>
      <c r="AP976" s="1147">
        <f t="shared" si="273"/>
        <v>0</v>
      </c>
      <c r="AQ976" s="1144">
        <f t="shared" si="274"/>
        <v>0</v>
      </c>
      <c r="AR976" s="1146">
        <f t="shared" si="275"/>
        <v>32547.52</v>
      </c>
    </row>
    <row r="977" spans="1:44" x14ac:dyDescent="0.2">
      <c r="A977" s="1141" t="str">
        <f t="shared" si="270"/>
        <v>1542</v>
      </c>
      <c r="B977" s="1141" t="str">
        <f>IFERROR(VLOOKUP(A977,'LAC 103'!A:C,3,FALSE),"")</f>
        <v>OP</v>
      </c>
      <c r="C977" s="1478" t="str">
        <f>Info!$B$8</f>
        <v>00100</v>
      </c>
      <c r="D977" s="1474" t="s">
        <v>256</v>
      </c>
      <c r="E977" s="1474" t="s">
        <v>95</v>
      </c>
      <c r="F977" s="1478" t="s">
        <v>392</v>
      </c>
      <c r="G977" s="1478" t="s">
        <v>392</v>
      </c>
      <c r="H977" s="1474" t="s">
        <v>1665</v>
      </c>
      <c r="I977" s="1478" t="s">
        <v>803</v>
      </c>
      <c r="J977" s="1478"/>
      <c r="K977" s="1475" t="s">
        <v>851</v>
      </c>
      <c r="L977" s="1474" t="s">
        <v>584</v>
      </c>
      <c r="M977" s="1476" t="s">
        <v>842</v>
      </c>
      <c r="N977" s="1477" t="s">
        <v>1692</v>
      </c>
      <c r="O977" s="1479">
        <v>27523</v>
      </c>
      <c r="P977" s="1479"/>
      <c r="Q977" s="1142">
        <f t="shared" si="271"/>
        <v>27523</v>
      </c>
      <c r="R977" s="1143">
        <f>IFERROR(VLOOKUP(CONCATENATE(E977,G977),'LAC 103'!$A$12:$O$95,11,FALSE),0)</f>
        <v>3.2074101033884355</v>
      </c>
      <c r="S977" s="1144">
        <f>IFERROR(VLOOKUP(CONCATENATE($E977,$G977),'LAC 103'!$A$12:$O$95,12,FALSE),0)</f>
        <v>3.99</v>
      </c>
      <c r="T977" s="1144">
        <f>IFERROR(VLOOKUP(CONCATENATE($E977,$G977),'LAC 103'!$A$12:$O$95,13,FALSE),0)</f>
        <v>2.48</v>
      </c>
      <c r="U977" s="1144">
        <f>IFERROR(VLOOKUP(CONCATENATE($E977,$G977),'LAC 103'!$A$12:$O$95,14,FALSE),0)</f>
        <v>0</v>
      </c>
      <c r="V977" s="1144">
        <f>IFERROR(VLOOKUP(CONCATENATE($E977,$G977),'LAC 103'!$A$12:$O$95,15,FALSE),0)</f>
        <v>0</v>
      </c>
      <c r="W977" s="1145" t="str">
        <f>IFERROR(VLOOKUP(CONCATENATE($B977,$N977),'LAC 103'!$AI:$AQ,9,FALSE),"")</f>
        <v>Costs</v>
      </c>
      <c r="X977" s="1146">
        <f t="shared" si="276"/>
        <v>3.2074101033884355</v>
      </c>
      <c r="Y977" s="1143">
        <f t="shared" si="287"/>
        <v>88277.548275559908</v>
      </c>
      <c r="Z977" s="1147">
        <f t="shared" si="277"/>
        <v>109816.77</v>
      </c>
      <c r="AA977" s="1144">
        <f t="shared" si="278"/>
        <v>68257.039999999994</v>
      </c>
      <c r="AB977" s="1144">
        <f t="shared" si="279"/>
        <v>0</v>
      </c>
      <c r="AC977" s="1144">
        <f t="shared" si="280"/>
        <v>0</v>
      </c>
      <c r="AD977" s="1148">
        <f t="shared" si="272"/>
        <v>88277.548275559908</v>
      </c>
      <c r="AE977" s="1487">
        <v>0</v>
      </c>
      <c r="AF977" s="1145">
        <f t="shared" si="281"/>
        <v>88277.548275559908</v>
      </c>
      <c r="AG977" s="1149">
        <f>IFERROR(VLOOKUP(CONCATENATE($L977,$N977),'Drop List'!$G$23:$K$87,2,FALSE),0)</f>
        <v>0.56200000000000006</v>
      </c>
      <c r="AH977" s="1150">
        <f>IFERROR(VLOOKUP(CONCATENATE($L977,$N977),'Drop List'!$G$23:$K$87,3,FALSE),0)</f>
        <v>0</v>
      </c>
      <c r="AI977" s="1150">
        <f>IFERROR(VLOOKUP(CONCATENATE($L977,$N977),'Drop List'!$G$23:$K$87,4,FALSE),0)</f>
        <v>0</v>
      </c>
      <c r="AJ977" s="1151">
        <f>IFERROR(VLOOKUP(CONCATENATE($L977,$N977),'Drop List'!$G$23:$K$87,5,FALSE),0)</f>
        <v>0.43799999999999994</v>
      </c>
      <c r="AK977" s="1152">
        <f t="shared" si="282"/>
        <v>49611.982130864671</v>
      </c>
      <c r="AL977" s="1153">
        <f t="shared" si="283"/>
        <v>0</v>
      </c>
      <c r="AM977" s="1153">
        <f t="shared" si="284"/>
        <v>0</v>
      </c>
      <c r="AN977" s="1145">
        <f t="shared" si="285"/>
        <v>38665.566144695236</v>
      </c>
      <c r="AO977" s="1154">
        <f t="shared" si="286"/>
        <v>88277.548275559908</v>
      </c>
      <c r="AP977" s="1147">
        <f t="shared" si="273"/>
        <v>0</v>
      </c>
      <c r="AQ977" s="1144">
        <f t="shared" si="274"/>
        <v>0</v>
      </c>
      <c r="AR977" s="1146">
        <f t="shared" si="275"/>
        <v>88277.548275559908</v>
      </c>
    </row>
    <row r="978" spans="1:44" x14ac:dyDescent="0.2">
      <c r="A978" s="1141" t="str">
        <f t="shared" si="270"/>
        <v>1542</v>
      </c>
      <c r="B978" s="1141" t="str">
        <f>IFERROR(VLOOKUP(A978,'LAC 103'!A:C,3,FALSE),"")</f>
        <v>OP</v>
      </c>
      <c r="C978" s="1478" t="str">
        <f>Info!$B$8</f>
        <v>00100</v>
      </c>
      <c r="D978" s="1474" t="s">
        <v>256</v>
      </c>
      <c r="E978" s="1474" t="s">
        <v>95</v>
      </c>
      <c r="F978" s="1478" t="s">
        <v>392</v>
      </c>
      <c r="G978" s="1478" t="s">
        <v>392</v>
      </c>
      <c r="H978" s="1474" t="s">
        <v>1665</v>
      </c>
      <c r="I978" s="1478" t="s">
        <v>803</v>
      </c>
      <c r="J978" s="1478"/>
      <c r="K978" s="1475" t="s">
        <v>851</v>
      </c>
      <c r="L978" s="1474" t="s">
        <v>584</v>
      </c>
      <c r="M978" s="1476" t="s">
        <v>1698</v>
      </c>
      <c r="N978" s="1477" t="s">
        <v>1693</v>
      </c>
      <c r="O978" s="1479">
        <v>28867</v>
      </c>
      <c r="P978" s="1479"/>
      <c r="Q978" s="1142">
        <f t="shared" si="271"/>
        <v>28867</v>
      </c>
      <c r="R978" s="1143">
        <f>IFERROR(VLOOKUP(CONCATENATE(E978,G978),'LAC 103'!$A$12:$O$95,11,FALSE),0)</f>
        <v>3.2074101033884355</v>
      </c>
      <c r="S978" s="1144">
        <f>IFERROR(VLOOKUP(CONCATENATE($E978,$G978),'LAC 103'!$A$12:$O$95,12,FALSE),0)</f>
        <v>3.99</v>
      </c>
      <c r="T978" s="1144">
        <f>IFERROR(VLOOKUP(CONCATENATE($E978,$G978),'LAC 103'!$A$12:$O$95,13,FALSE),0)</f>
        <v>2.48</v>
      </c>
      <c r="U978" s="1144">
        <f>IFERROR(VLOOKUP(CONCATENATE($E978,$G978),'LAC 103'!$A$12:$O$95,14,FALSE),0)</f>
        <v>0</v>
      </c>
      <c r="V978" s="1144">
        <f>IFERROR(VLOOKUP(CONCATENATE($E978,$G978),'LAC 103'!$A$12:$O$95,15,FALSE),0)</f>
        <v>0</v>
      </c>
      <c r="W978" s="1145" t="str">
        <f>IFERROR(VLOOKUP(CONCATENATE($B978,$N978),'LAC 103'!$AI:$AQ,9,FALSE),"")</f>
        <v>Costs</v>
      </c>
      <c r="X978" s="1146">
        <f t="shared" si="276"/>
        <v>3.2074101033884355</v>
      </c>
      <c r="Y978" s="1143">
        <f t="shared" si="287"/>
        <v>92588.307454513968</v>
      </c>
      <c r="Z978" s="1147">
        <f t="shared" si="277"/>
        <v>115179.33</v>
      </c>
      <c r="AA978" s="1144">
        <f t="shared" si="278"/>
        <v>71590.16</v>
      </c>
      <c r="AB978" s="1144">
        <f t="shared" si="279"/>
        <v>0</v>
      </c>
      <c r="AC978" s="1144">
        <f t="shared" si="280"/>
        <v>0</v>
      </c>
      <c r="AD978" s="1148">
        <f t="shared" si="272"/>
        <v>92588.307454513968</v>
      </c>
      <c r="AE978" s="1487">
        <v>0</v>
      </c>
      <c r="AF978" s="1145">
        <f t="shared" si="281"/>
        <v>92588.307454513968</v>
      </c>
      <c r="AG978" s="1149">
        <f>IFERROR(VLOOKUP(CONCATENATE($L978,$N978),'Drop List'!$G$23:$K$87,2,FALSE),0)</f>
        <v>0.56200000000000006</v>
      </c>
      <c r="AH978" s="1150">
        <f>IFERROR(VLOOKUP(CONCATENATE($L978,$N978),'Drop List'!$G$23:$K$87,3,FALSE),0)</f>
        <v>0</v>
      </c>
      <c r="AI978" s="1150">
        <f>IFERROR(VLOOKUP(CONCATENATE($L978,$N978),'Drop List'!$G$23:$K$87,4,FALSE),0)</f>
        <v>0</v>
      </c>
      <c r="AJ978" s="1151">
        <f>IFERROR(VLOOKUP(CONCATENATE($L978,$N978),'Drop List'!$G$23:$K$87,5,FALSE),0)</f>
        <v>0.43799999999999994</v>
      </c>
      <c r="AK978" s="1152">
        <f t="shared" si="282"/>
        <v>52034.628789436858</v>
      </c>
      <c r="AL978" s="1153">
        <f t="shared" si="283"/>
        <v>0</v>
      </c>
      <c r="AM978" s="1153">
        <f t="shared" si="284"/>
        <v>0</v>
      </c>
      <c r="AN978" s="1145">
        <f t="shared" si="285"/>
        <v>40553.67866507711</v>
      </c>
      <c r="AO978" s="1154">
        <f t="shared" si="286"/>
        <v>92588.307454513968</v>
      </c>
      <c r="AP978" s="1147">
        <f t="shared" si="273"/>
        <v>0</v>
      </c>
      <c r="AQ978" s="1144">
        <f t="shared" si="274"/>
        <v>0</v>
      </c>
      <c r="AR978" s="1146">
        <f t="shared" si="275"/>
        <v>92588.307454513968</v>
      </c>
    </row>
    <row r="979" spans="1:44" x14ac:dyDescent="0.2">
      <c r="A979" s="1141" t="str">
        <f t="shared" si="270"/>
        <v>1542</v>
      </c>
      <c r="B979" s="1141" t="str">
        <f>IFERROR(VLOOKUP(A979,'LAC 103'!A:C,3,FALSE),"")</f>
        <v>OP</v>
      </c>
      <c r="C979" s="1478" t="str">
        <f>Info!$B$8</f>
        <v>00100</v>
      </c>
      <c r="D979" s="1474" t="s">
        <v>256</v>
      </c>
      <c r="E979" s="1474" t="s">
        <v>95</v>
      </c>
      <c r="F979" s="1478" t="s">
        <v>392</v>
      </c>
      <c r="G979" s="1478" t="s">
        <v>392</v>
      </c>
      <c r="H979" s="1474" t="s">
        <v>1057</v>
      </c>
      <c r="I979" s="1478" t="s">
        <v>798</v>
      </c>
      <c r="J979" s="1478" t="s">
        <v>123</v>
      </c>
      <c r="K979" s="1475" t="s">
        <v>847</v>
      </c>
      <c r="L979" s="1474" t="s">
        <v>582</v>
      </c>
      <c r="M979" s="1476" t="s">
        <v>1699</v>
      </c>
      <c r="N979" s="1477" t="s">
        <v>1694</v>
      </c>
      <c r="O979" s="1479">
        <v>66110</v>
      </c>
      <c r="P979" s="1479"/>
      <c r="Q979" s="1142">
        <f t="shared" si="271"/>
        <v>66110</v>
      </c>
      <c r="R979" s="1143">
        <f>IFERROR(VLOOKUP(CONCATENATE(E979,G979),'LAC 103'!$A$12:$O$95,11,FALSE),0)</f>
        <v>3.2074101033884355</v>
      </c>
      <c r="S979" s="1144">
        <f>IFERROR(VLOOKUP(CONCATENATE($E979,$G979),'LAC 103'!$A$12:$O$95,12,FALSE),0)</f>
        <v>3.99</v>
      </c>
      <c r="T979" s="1144">
        <f>IFERROR(VLOOKUP(CONCATENATE($E979,$G979),'LAC 103'!$A$12:$O$95,13,FALSE),0)</f>
        <v>2.48</v>
      </c>
      <c r="U979" s="1144">
        <f>IFERROR(VLOOKUP(CONCATENATE($E979,$G979),'LAC 103'!$A$12:$O$95,14,FALSE),0)</f>
        <v>0</v>
      </c>
      <c r="V979" s="1144">
        <f>IFERROR(VLOOKUP(CONCATENATE($E979,$G979),'LAC 103'!$A$12:$O$95,15,FALSE),0)</f>
        <v>0</v>
      </c>
      <c r="W979" s="1145" t="str">
        <f>IFERROR(VLOOKUP(CONCATENATE($B979,$N979),'LAC 103'!$AI:$AQ,9,FALSE),"")</f>
        <v>Costs</v>
      </c>
      <c r="X979" s="1146">
        <f t="shared" si="276"/>
        <v>3.2074101033884355</v>
      </c>
      <c r="Y979" s="1143">
        <f t="shared" si="287"/>
        <v>212041.88193500947</v>
      </c>
      <c r="Z979" s="1147">
        <f t="shared" si="277"/>
        <v>263778.90000000002</v>
      </c>
      <c r="AA979" s="1144">
        <f t="shared" si="278"/>
        <v>163952.79999999999</v>
      </c>
      <c r="AB979" s="1144">
        <f t="shared" si="279"/>
        <v>0</v>
      </c>
      <c r="AC979" s="1144">
        <f t="shared" si="280"/>
        <v>0</v>
      </c>
      <c r="AD979" s="1148">
        <f t="shared" si="272"/>
        <v>212041.88193500947</v>
      </c>
      <c r="AE979" s="1487">
        <v>0</v>
      </c>
      <c r="AF979" s="1145">
        <f t="shared" si="281"/>
        <v>212041.88193500947</v>
      </c>
      <c r="AG979" s="1149">
        <f>IFERROR(VLOOKUP(CONCATENATE($L979,$N979),'Drop List'!$G$23:$K$87,2,FALSE),0)</f>
        <v>0.56200000000000006</v>
      </c>
      <c r="AH979" s="1150">
        <f>IFERROR(VLOOKUP(CONCATENATE($L979,$N979),'Drop List'!$G$23:$K$87,3,FALSE),0)</f>
        <v>0.43799999999999994</v>
      </c>
      <c r="AI979" s="1150">
        <f>IFERROR(VLOOKUP(CONCATENATE($L979,$N979),'Drop List'!$G$23:$K$87,4,FALSE),0)</f>
        <v>0</v>
      </c>
      <c r="AJ979" s="1151">
        <f>IFERROR(VLOOKUP(CONCATENATE($L979,$N979),'Drop List'!$G$23:$K$87,5,FALSE),0)</f>
        <v>0</v>
      </c>
      <c r="AK979" s="1152">
        <f t="shared" si="282"/>
        <v>119167.53764747533</v>
      </c>
      <c r="AL979" s="1153">
        <f t="shared" si="283"/>
        <v>92874.344287534142</v>
      </c>
      <c r="AM979" s="1153">
        <f t="shared" si="284"/>
        <v>0</v>
      </c>
      <c r="AN979" s="1145">
        <f t="shared" si="285"/>
        <v>0</v>
      </c>
      <c r="AO979" s="1154">
        <f t="shared" si="286"/>
        <v>212041.88193500947</v>
      </c>
      <c r="AP979" s="1147">
        <f t="shared" si="273"/>
        <v>0</v>
      </c>
      <c r="AQ979" s="1144">
        <f t="shared" si="274"/>
        <v>0</v>
      </c>
      <c r="AR979" s="1146">
        <f t="shared" si="275"/>
        <v>212041.88193500947</v>
      </c>
    </row>
    <row r="980" spans="1:44" x14ac:dyDescent="0.2">
      <c r="A980" s="1141" t="str">
        <f t="shared" si="270"/>
        <v>1542</v>
      </c>
      <c r="B980" s="1141" t="str">
        <f>IFERROR(VLOOKUP(A980,'LAC 103'!A:C,3,FALSE),"")</f>
        <v>OP</v>
      </c>
      <c r="C980" s="1478" t="str">
        <f>Info!$B$8</f>
        <v>00100</v>
      </c>
      <c r="D980" s="1474" t="s">
        <v>256</v>
      </c>
      <c r="E980" s="1474" t="s">
        <v>95</v>
      </c>
      <c r="F980" s="1478" t="s">
        <v>392</v>
      </c>
      <c r="G980" s="1478" t="s">
        <v>392</v>
      </c>
      <c r="H980" s="1474" t="s">
        <v>1057</v>
      </c>
      <c r="I980" s="1478" t="s">
        <v>798</v>
      </c>
      <c r="J980" s="1478"/>
      <c r="K980" s="1475" t="s">
        <v>847</v>
      </c>
      <c r="L980" s="1474" t="s">
        <v>582</v>
      </c>
      <c r="M980" s="1476" t="s">
        <v>841</v>
      </c>
      <c r="N980" s="1477" t="s">
        <v>1695</v>
      </c>
      <c r="O980" s="1479">
        <v>21594</v>
      </c>
      <c r="P980" s="1479"/>
      <c r="Q980" s="1142">
        <f t="shared" si="271"/>
        <v>21594</v>
      </c>
      <c r="R980" s="1143">
        <f>IFERROR(VLOOKUP(CONCATENATE(E980,G980),'LAC 103'!$A$12:$O$95,11,FALSE),0)</f>
        <v>3.2074101033884355</v>
      </c>
      <c r="S980" s="1144">
        <f>IFERROR(VLOOKUP(CONCATENATE($E980,$G980),'LAC 103'!$A$12:$O$95,12,FALSE),0)</f>
        <v>3.99</v>
      </c>
      <c r="T980" s="1144">
        <f>IFERROR(VLOOKUP(CONCATENATE($E980,$G980),'LAC 103'!$A$12:$O$95,13,FALSE),0)</f>
        <v>2.48</v>
      </c>
      <c r="U980" s="1144">
        <f>IFERROR(VLOOKUP(CONCATENATE($E980,$G980),'LAC 103'!$A$12:$O$95,14,FALSE),0)</f>
        <v>0</v>
      </c>
      <c r="V980" s="1144">
        <f>IFERROR(VLOOKUP(CONCATENATE($E980,$G980),'LAC 103'!$A$12:$O$95,15,FALSE),0)</f>
        <v>0</v>
      </c>
      <c r="W980" s="1145" t="str">
        <f>IFERROR(VLOOKUP(CONCATENATE($B980,$N980),'LAC 103'!$AI:$AQ,9,FALSE),"")</f>
        <v>Costs</v>
      </c>
      <c r="X980" s="1146">
        <f t="shared" si="276"/>
        <v>3.2074101033884355</v>
      </c>
      <c r="Y980" s="1143">
        <f t="shared" si="287"/>
        <v>69260.813772569876</v>
      </c>
      <c r="Z980" s="1147">
        <f t="shared" si="277"/>
        <v>86160.06</v>
      </c>
      <c r="AA980" s="1144">
        <f t="shared" si="278"/>
        <v>53553.120000000003</v>
      </c>
      <c r="AB980" s="1144">
        <f t="shared" si="279"/>
        <v>0</v>
      </c>
      <c r="AC980" s="1144">
        <f t="shared" si="280"/>
        <v>0</v>
      </c>
      <c r="AD980" s="1148">
        <f t="shared" si="272"/>
        <v>69260.813772569876</v>
      </c>
      <c r="AE980" s="1487">
        <v>0</v>
      </c>
      <c r="AF980" s="1145">
        <f t="shared" si="281"/>
        <v>69260.813772569876</v>
      </c>
      <c r="AG980" s="1149">
        <f>IFERROR(VLOOKUP(CONCATENATE($L980,$N980),'Drop List'!$G$23:$K$87,2,FALSE),0)</f>
        <v>0.55000000000000004</v>
      </c>
      <c r="AH980" s="1150">
        <f>IFERROR(VLOOKUP(CONCATENATE($L980,$N980),'Drop List'!$G$23:$K$87,3,FALSE),0)</f>
        <v>0.44999999999999996</v>
      </c>
      <c r="AI980" s="1150">
        <f>IFERROR(VLOOKUP(CONCATENATE($L980,$N980),'Drop List'!$G$23:$K$87,4,FALSE),0)</f>
        <v>0</v>
      </c>
      <c r="AJ980" s="1151">
        <f>IFERROR(VLOOKUP(CONCATENATE($L980,$N980),'Drop List'!$G$23:$K$87,5,FALSE),0)</f>
        <v>0</v>
      </c>
      <c r="AK980" s="1152">
        <f t="shared" si="282"/>
        <v>38093.447574913436</v>
      </c>
      <c r="AL980" s="1153">
        <f t="shared" si="283"/>
        <v>31167.36619765644</v>
      </c>
      <c r="AM980" s="1153">
        <f t="shared" si="284"/>
        <v>0</v>
      </c>
      <c r="AN980" s="1145">
        <f t="shared" si="285"/>
        <v>0</v>
      </c>
      <c r="AO980" s="1154">
        <f t="shared" si="286"/>
        <v>69260.813772569876</v>
      </c>
      <c r="AP980" s="1147">
        <f t="shared" si="273"/>
        <v>0</v>
      </c>
      <c r="AQ980" s="1144">
        <f t="shared" si="274"/>
        <v>0</v>
      </c>
      <c r="AR980" s="1146">
        <f t="shared" si="275"/>
        <v>69260.813772569876</v>
      </c>
    </row>
    <row r="981" spans="1:44" x14ac:dyDescent="0.2">
      <c r="A981" s="1141" t="str">
        <f t="shared" si="270"/>
        <v>1542</v>
      </c>
      <c r="B981" s="1141" t="str">
        <f>IFERROR(VLOOKUP(A981,'LAC 103'!A:C,3,FALSE),"")</f>
        <v>OP</v>
      </c>
      <c r="C981" s="1478" t="str">
        <f>Info!$B$8</f>
        <v>00100</v>
      </c>
      <c r="D981" s="1474" t="s">
        <v>256</v>
      </c>
      <c r="E981" s="1474" t="s">
        <v>95</v>
      </c>
      <c r="F981" s="1478" t="s">
        <v>392</v>
      </c>
      <c r="G981" s="1478" t="s">
        <v>392</v>
      </c>
      <c r="H981" s="1474" t="s">
        <v>1057</v>
      </c>
      <c r="I981" s="1478" t="s">
        <v>798</v>
      </c>
      <c r="J981" s="1478"/>
      <c r="K981" s="1475" t="s">
        <v>847</v>
      </c>
      <c r="L981" s="1474" t="s">
        <v>582</v>
      </c>
      <c r="M981" s="1476" t="s">
        <v>840</v>
      </c>
      <c r="N981" s="1477" t="s">
        <v>1700</v>
      </c>
      <c r="O981" s="1479">
        <v>20594</v>
      </c>
      <c r="P981" s="1479"/>
      <c r="Q981" s="1142">
        <f t="shared" si="271"/>
        <v>20594</v>
      </c>
      <c r="R981" s="1143">
        <f>IFERROR(VLOOKUP(CONCATENATE(E981,G981),'LAC 103'!$A$12:$O$95,11,FALSE),0)</f>
        <v>3.2074101033884355</v>
      </c>
      <c r="S981" s="1144">
        <f>IFERROR(VLOOKUP(CONCATENATE($E981,$G981),'LAC 103'!$A$12:$O$95,12,FALSE),0)</f>
        <v>3.99</v>
      </c>
      <c r="T981" s="1144">
        <f>IFERROR(VLOOKUP(CONCATENATE($E981,$G981),'LAC 103'!$A$12:$O$95,13,FALSE),0)</f>
        <v>2.48</v>
      </c>
      <c r="U981" s="1144">
        <f>IFERROR(VLOOKUP(CONCATENATE($E981,$G981),'LAC 103'!$A$12:$O$95,14,FALSE),0)</f>
        <v>0</v>
      </c>
      <c r="V981" s="1144">
        <f>IFERROR(VLOOKUP(CONCATENATE($E981,$G981),'LAC 103'!$A$12:$O$95,15,FALSE),0)</f>
        <v>0</v>
      </c>
      <c r="W981" s="1145" t="str">
        <f>IFERROR(VLOOKUP(CONCATENATE($B981,$N981),'LAC 103'!$AI:$AQ,9,FALSE),"")</f>
        <v>P.C.</v>
      </c>
      <c r="X981" s="1146">
        <f t="shared" si="276"/>
        <v>2.48</v>
      </c>
      <c r="Y981" s="1143">
        <f t="shared" si="287"/>
        <v>66053.40366918144</v>
      </c>
      <c r="Z981" s="1147">
        <f t="shared" si="277"/>
        <v>82170.06</v>
      </c>
      <c r="AA981" s="1144">
        <f t="shared" si="278"/>
        <v>51073.120000000003</v>
      </c>
      <c r="AB981" s="1144">
        <f t="shared" si="279"/>
        <v>0</v>
      </c>
      <c r="AC981" s="1144">
        <f t="shared" si="280"/>
        <v>0</v>
      </c>
      <c r="AD981" s="1148">
        <f t="shared" si="272"/>
        <v>51073.120000000003</v>
      </c>
      <c r="AE981" s="1487">
        <v>0</v>
      </c>
      <c r="AF981" s="1145">
        <f t="shared" si="281"/>
        <v>51073.120000000003</v>
      </c>
      <c r="AG981" s="1149">
        <f>IFERROR(VLOOKUP(CONCATENATE($L981,$N981),'Drop List'!$G$23:$K$87,2,FALSE),0)</f>
        <v>0.55000000000000004</v>
      </c>
      <c r="AH981" s="1150">
        <f>IFERROR(VLOOKUP(CONCATENATE($L981,$N981),'Drop List'!$G$23:$K$87,3,FALSE),0)</f>
        <v>0.44999999999999996</v>
      </c>
      <c r="AI981" s="1150">
        <f>IFERROR(VLOOKUP(CONCATENATE($L981,$N981),'Drop List'!$G$23:$K$87,4,FALSE),0)</f>
        <v>0</v>
      </c>
      <c r="AJ981" s="1151">
        <f>IFERROR(VLOOKUP(CONCATENATE($L981,$N981),'Drop List'!$G$23:$K$87,5,FALSE),0)</f>
        <v>0</v>
      </c>
      <c r="AK981" s="1152">
        <f t="shared" si="282"/>
        <v>28090.216000000004</v>
      </c>
      <c r="AL981" s="1153">
        <f t="shared" si="283"/>
        <v>22982.903999999999</v>
      </c>
      <c r="AM981" s="1153">
        <f t="shared" si="284"/>
        <v>0</v>
      </c>
      <c r="AN981" s="1145">
        <f t="shared" si="285"/>
        <v>0</v>
      </c>
      <c r="AO981" s="1154">
        <f t="shared" si="286"/>
        <v>51073.120000000003</v>
      </c>
      <c r="AP981" s="1147">
        <f t="shared" si="273"/>
        <v>0</v>
      </c>
      <c r="AQ981" s="1144">
        <f t="shared" si="274"/>
        <v>0</v>
      </c>
      <c r="AR981" s="1146">
        <f t="shared" si="275"/>
        <v>51073.120000000003</v>
      </c>
    </row>
    <row r="982" spans="1:44" x14ac:dyDescent="0.2">
      <c r="A982" s="1141" t="str">
        <f t="shared" ref="A982:A1045" si="288">IF(CONCATENATE(E982,G982)="","",CONCATENATE(E982,G982))</f>
        <v>1542</v>
      </c>
      <c r="B982" s="1141" t="str">
        <f>IFERROR(VLOOKUP(A982,'LAC 103'!A:C,3,FALSE),"")</f>
        <v>OP</v>
      </c>
      <c r="C982" s="1478" t="str">
        <f>Info!$B$8</f>
        <v>00100</v>
      </c>
      <c r="D982" s="1474" t="s">
        <v>256</v>
      </c>
      <c r="E982" s="1474" t="s">
        <v>95</v>
      </c>
      <c r="F982" s="1478" t="s">
        <v>392</v>
      </c>
      <c r="G982" s="1478" t="s">
        <v>392</v>
      </c>
      <c r="H982" s="1474" t="s">
        <v>1057</v>
      </c>
      <c r="I982" s="1478" t="s">
        <v>798</v>
      </c>
      <c r="J982" s="1478"/>
      <c r="K982" s="1475" t="s">
        <v>847</v>
      </c>
      <c r="L982" s="1474" t="s">
        <v>582</v>
      </c>
      <c r="M982" s="1476" t="s">
        <v>842</v>
      </c>
      <c r="N982" s="1477" t="s">
        <v>1692</v>
      </c>
      <c r="O982" s="1479">
        <v>69404</v>
      </c>
      <c r="P982" s="1479"/>
      <c r="Q982" s="1142">
        <f t="shared" si="271"/>
        <v>69404</v>
      </c>
      <c r="R982" s="1143">
        <f>IFERROR(VLOOKUP(CONCATENATE(E982,G982),'LAC 103'!$A$12:$O$95,11,FALSE),0)</f>
        <v>3.2074101033884355</v>
      </c>
      <c r="S982" s="1144">
        <f>IFERROR(VLOOKUP(CONCATENATE($E982,$G982),'LAC 103'!$A$12:$O$95,12,FALSE),0)</f>
        <v>3.99</v>
      </c>
      <c r="T982" s="1144">
        <f>IFERROR(VLOOKUP(CONCATENATE($E982,$G982),'LAC 103'!$A$12:$O$95,13,FALSE),0)</f>
        <v>2.48</v>
      </c>
      <c r="U982" s="1144">
        <f>IFERROR(VLOOKUP(CONCATENATE($E982,$G982),'LAC 103'!$A$12:$O$95,14,FALSE),0)</f>
        <v>0</v>
      </c>
      <c r="V982" s="1144">
        <f>IFERROR(VLOOKUP(CONCATENATE($E982,$G982),'LAC 103'!$A$12:$O$95,15,FALSE),0)</f>
        <v>0</v>
      </c>
      <c r="W982" s="1145" t="str">
        <f>IFERROR(VLOOKUP(CONCATENATE($B982,$N982),'LAC 103'!$AI:$AQ,9,FALSE),"")</f>
        <v>Costs</v>
      </c>
      <c r="X982" s="1146">
        <f t="shared" si="276"/>
        <v>3.2074101033884355</v>
      </c>
      <c r="Y982" s="1143">
        <f t="shared" si="287"/>
        <v>222607.09081557096</v>
      </c>
      <c r="Z982" s="1147">
        <f t="shared" si="277"/>
        <v>276921.96000000002</v>
      </c>
      <c r="AA982" s="1144">
        <f t="shared" si="278"/>
        <v>172121.92</v>
      </c>
      <c r="AB982" s="1144">
        <f t="shared" si="279"/>
        <v>0</v>
      </c>
      <c r="AC982" s="1144">
        <f t="shared" si="280"/>
        <v>0</v>
      </c>
      <c r="AD982" s="1148">
        <f t="shared" si="272"/>
        <v>222607.09081557096</v>
      </c>
      <c r="AE982" s="1487">
        <v>0</v>
      </c>
      <c r="AF982" s="1145">
        <f t="shared" si="281"/>
        <v>222607.09081557096</v>
      </c>
      <c r="AG982" s="1149">
        <f>IFERROR(VLOOKUP(CONCATENATE($L982,$N982),'Drop List'!$G$23:$K$87,2,FALSE),0)</f>
        <v>0.56200000000000006</v>
      </c>
      <c r="AH982" s="1150">
        <f>IFERROR(VLOOKUP(CONCATENATE($L982,$N982),'Drop List'!$G$23:$K$87,3,FALSE),0)</f>
        <v>0.43799999999999994</v>
      </c>
      <c r="AI982" s="1150">
        <f>IFERROR(VLOOKUP(CONCATENATE($L982,$N982),'Drop List'!$G$23:$K$87,4,FALSE),0)</f>
        <v>0</v>
      </c>
      <c r="AJ982" s="1151">
        <f>IFERROR(VLOOKUP(CONCATENATE($L982,$N982),'Drop List'!$G$23:$K$87,5,FALSE),0)</f>
        <v>0</v>
      </c>
      <c r="AK982" s="1152">
        <f t="shared" si="282"/>
        <v>125105.18503835089</v>
      </c>
      <c r="AL982" s="1153">
        <f t="shared" si="283"/>
        <v>97501.905777220076</v>
      </c>
      <c r="AM982" s="1153">
        <f t="shared" si="284"/>
        <v>0</v>
      </c>
      <c r="AN982" s="1145">
        <f t="shared" si="285"/>
        <v>0</v>
      </c>
      <c r="AO982" s="1154">
        <f t="shared" si="286"/>
        <v>222607.09081557096</v>
      </c>
      <c r="AP982" s="1147">
        <f t="shared" si="273"/>
        <v>0</v>
      </c>
      <c r="AQ982" s="1144">
        <f t="shared" si="274"/>
        <v>0</v>
      </c>
      <c r="AR982" s="1146">
        <f t="shared" si="275"/>
        <v>222607.09081557096</v>
      </c>
    </row>
    <row r="983" spans="1:44" x14ac:dyDescent="0.2">
      <c r="A983" s="1141" t="str">
        <f t="shared" si="288"/>
        <v>1542</v>
      </c>
      <c r="B983" s="1141" t="str">
        <f>IFERROR(VLOOKUP(A983,'LAC 103'!A:C,3,FALSE),"")</f>
        <v>OP</v>
      </c>
      <c r="C983" s="1478" t="str">
        <f>Info!$B$8</f>
        <v>00100</v>
      </c>
      <c r="D983" s="1474" t="s">
        <v>256</v>
      </c>
      <c r="E983" s="1474" t="s">
        <v>95</v>
      </c>
      <c r="F983" s="1478" t="s">
        <v>392</v>
      </c>
      <c r="G983" s="1478" t="s">
        <v>392</v>
      </c>
      <c r="H983" s="1474" t="s">
        <v>1057</v>
      </c>
      <c r="I983" s="1478" t="s">
        <v>798</v>
      </c>
      <c r="J983" s="1478"/>
      <c r="K983" s="1475" t="s">
        <v>847</v>
      </c>
      <c r="L983" s="1474" t="s">
        <v>582</v>
      </c>
      <c r="M983" s="1476" t="s">
        <v>1698</v>
      </c>
      <c r="N983" s="1477" t="s">
        <v>1693</v>
      </c>
      <c r="O983" s="1479">
        <v>73793</v>
      </c>
      <c r="P983" s="1479"/>
      <c r="Q983" s="1142">
        <f t="shared" si="271"/>
        <v>73793</v>
      </c>
      <c r="R983" s="1143">
        <f>IFERROR(VLOOKUP(CONCATENATE(E983,G983),'LAC 103'!$A$12:$O$95,11,FALSE),0)</f>
        <v>3.2074101033884355</v>
      </c>
      <c r="S983" s="1144">
        <f>IFERROR(VLOOKUP(CONCATENATE($E983,$G983),'LAC 103'!$A$12:$O$95,12,FALSE),0)</f>
        <v>3.99</v>
      </c>
      <c r="T983" s="1144">
        <f>IFERROR(VLOOKUP(CONCATENATE($E983,$G983),'LAC 103'!$A$12:$O$95,13,FALSE),0)</f>
        <v>2.48</v>
      </c>
      <c r="U983" s="1144">
        <f>IFERROR(VLOOKUP(CONCATENATE($E983,$G983),'LAC 103'!$A$12:$O$95,14,FALSE),0)</f>
        <v>0</v>
      </c>
      <c r="V983" s="1144">
        <f>IFERROR(VLOOKUP(CONCATENATE($E983,$G983),'LAC 103'!$A$12:$O$95,15,FALSE),0)</f>
        <v>0</v>
      </c>
      <c r="W983" s="1145" t="str">
        <f>IFERROR(VLOOKUP(CONCATENATE($B983,$N983),'LAC 103'!$AI:$AQ,9,FALSE),"")</f>
        <v>Costs</v>
      </c>
      <c r="X983" s="1146">
        <f t="shared" si="276"/>
        <v>3.2074101033884355</v>
      </c>
      <c r="Y983" s="1143">
        <f t="shared" si="287"/>
        <v>236684.41375934283</v>
      </c>
      <c r="Z983" s="1147">
        <f t="shared" si="277"/>
        <v>294434.07</v>
      </c>
      <c r="AA983" s="1144">
        <f t="shared" si="278"/>
        <v>183006.63999999998</v>
      </c>
      <c r="AB983" s="1144">
        <f t="shared" si="279"/>
        <v>0</v>
      </c>
      <c r="AC983" s="1144">
        <f t="shared" si="280"/>
        <v>0</v>
      </c>
      <c r="AD983" s="1148">
        <f t="shared" si="272"/>
        <v>236684.41375934283</v>
      </c>
      <c r="AE983" s="1487">
        <v>0</v>
      </c>
      <c r="AF983" s="1145">
        <f t="shared" si="281"/>
        <v>236684.41375934283</v>
      </c>
      <c r="AG983" s="1149">
        <f>IFERROR(VLOOKUP(CONCATENATE($L983,$N983),'Drop List'!$G$23:$K$87,2,FALSE),0)</f>
        <v>0.56200000000000006</v>
      </c>
      <c r="AH983" s="1150">
        <f>IFERROR(VLOOKUP(CONCATENATE($L983,$N983),'Drop List'!$G$23:$K$87,3,FALSE),0)</f>
        <v>0.43799999999999994</v>
      </c>
      <c r="AI983" s="1150">
        <f>IFERROR(VLOOKUP(CONCATENATE($L983,$N983),'Drop List'!$G$23:$K$87,4,FALSE),0)</f>
        <v>0</v>
      </c>
      <c r="AJ983" s="1151">
        <f>IFERROR(VLOOKUP(CONCATENATE($L983,$N983),'Drop List'!$G$23:$K$87,5,FALSE),0)</f>
        <v>0</v>
      </c>
      <c r="AK983" s="1152">
        <f t="shared" si="282"/>
        <v>133016.64053275069</v>
      </c>
      <c r="AL983" s="1153">
        <f t="shared" si="283"/>
        <v>103667.77322659215</v>
      </c>
      <c r="AM983" s="1153">
        <f t="shared" si="284"/>
        <v>0</v>
      </c>
      <c r="AN983" s="1145">
        <f t="shared" si="285"/>
        <v>0</v>
      </c>
      <c r="AO983" s="1154">
        <f t="shared" si="286"/>
        <v>236684.41375934286</v>
      </c>
      <c r="AP983" s="1147">
        <f t="shared" si="273"/>
        <v>0</v>
      </c>
      <c r="AQ983" s="1144">
        <f t="shared" si="274"/>
        <v>0</v>
      </c>
      <c r="AR983" s="1146">
        <f t="shared" si="275"/>
        <v>236684.41375934286</v>
      </c>
    </row>
    <row r="984" spans="1:44" x14ac:dyDescent="0.2">
      <c r="A984" s="1141" t="str">
        <f t="shared" si="288"/>
        <v>1542</v>
      </c>
      <c r="B984" s="1141" t="str">
        <f>IFERROR(VLOOKUP(A984,'LAC 103'!A:C,3,FALSE),"")</f>
        <v>OP</v>
      </c>
      <c r="C984" s="1478" t="str">
        <f>Info!$B$8</f>
        <v>00100</v>
      </c>
      <c r="D984" s="1474" t="s">
        <v>256</v>
      </c>
      <c r="E984" s="1474" t="s">
        <v>95</v>
      </c>
      <c r="F984" s="1478" t="s">
        <v>392</v>
      </c>
      <c r="G984" s="1478" t="s">
        <v>392</v>
      </c>
      <c r="H984" s="1474" t="s">
        <v>1057</v>
      </c>
      <c r="I984" s="1478" t="s">
        <v>798</v>
      </c>
      <c r="J984" s="1478"/>
      <c r="K984" s="1475" t="s">
        <v>848</v>
      </c>
      <c r="L984" s="1474" t="s">
        <v>45</v>
      </c>
      <c r="M984" s="1476" t="s">
        <v>1699</v>
      </c>
      <c r="N984" s="1477" t="s">
        <v>1694</v>
      </c>
      <c r="O984" s="1479">
        <v>3678</v>
      </c>
      <c r="P984" s="1479"/>
      <c r="Q984" s="1142">
        <f t="shared" si="271"/>
        <v>3678</v>
      </c>
      <c r="R984" s="1143">
        <f>IFERROR(VLOOKUP(CONCATENATE(E984,G984),'LAC 103'!$A$12:$O$95,11,FALSE),0)</f>
        <v>3.2074101033884355</v>
      </c>
      <c r="S984" s="1144">
        <f>IFERROR(VLOOKUP(CONCATENATE($E984,$G984),'LAC 103'!$A$12:$O$95,12,FALSE),0)</f>
        <v>3.99</v>
      </c>
      <c r="T984" s="1144">
        <f>IFERROR(VLOOKUP(CONCATENATE($E984,$G984),'LAC 103'!$A$12:$O$95,13,FALSE),0)</f>
        <v>2.48</v>
      </c>
      <c r="U984" s="1144">
        <f>IFERROR(VLOOKUP(CONCATENATE($E984,$G984),'LAC 103'!$A$12:$O$95,14,FALSE),0)</f>
        <v>0</v>
      </c>
      <c r="V984" s="1144">
        <f>IFERROR(VLOOKUP(CONCATENATE($E984,$G984),'LAC 103'!$A$12:$O$95,15,FALSE),0)</f>
        <v>0</v>
      </c>
      <c r="W984" s="1145" t="str">
        <f>IFERROR(VLOOKUP(CONCATENATE($B984,$N984),'LAC 103'!$AI:$AQ,9,FALSE),"")</f>
        <v>Costs</v>
      </c>
      <c r="X984" s="1146">
        <f t="shared" si="276"/>
        <v>3.2074101033884355</v>
      </c>
      <c r="Y984" s="1143">
        <f t="shared" si="287"/>
        <v>11796.854360262665</v>
      </c>
      <c r="Z984" s="1147">
        <f t="shared" si="277"/>
        <v>14675.220000000001</v>
      </c>
      <c r="AA984" s="1144">
        <f t="shared" si="278"/>
        <v>9121.44</v>
      </c>
      <c r="AB984" s="1144">
        <f t="shared" si="279"/>
        <v>0</v>
      </c>
      <c r="AC984" s="1144">
        <f t="shared" si="280"/>
        <v>0</v>
      </c>
      <c r="AD984" s="1148">
        <f t="shared" si="272"/>
        <v>11796.854360262665</v>
      </c>
      <c r="AE984" s="1487">
        <v>0</v>
      </c>
      <c r="AF984" s="1145">
        <f t="shared" si="281"/>
        <v>11796.854360262665</v>
      </c>
      <c r="AG984" s="1149">
        <f>IFERROR(VLOOKUP(CONCATENATE($L984,$N984),'Drop List'!$G$23:$K$87,2,FALSE),0)</f>
        <v>0.69340000000000002</v>
      </c>
      <c r="AH984" s="1150">
        <f>IFERROR(VLOOKUP(CONCATENATE($L984,$N984),'Drop List'!$G$23:$K$87,3,FALSE),0)</f>
        <v>0.30659999999999998</v>
      </c>
      <c r="AI984" s="1150">
        <f>IFERROR(VLOOKUP(CONCATENATE($L984,$N984),'Drop List'!$G$23:$K$87,4,FALSE),0)</f>
        <v>0</v>
      </c>
      <c r="AJ984" s="1151">
        <f>IFERROR(VLOOKUP(CONCATENATE($L984,$N984),'Drop List'!$G$23:$K$87,5,FALSE),0)</f>
        <v>0</v>
      </c>
      <c r="AK984" s="1152">
        <f t="shared" si="282"/>
        <v>8179.9388134061319</v>
      </c>
      <c r="AL984" s="1153">
        <f t="shared" si="283"/>
        <v>3616.9155468565327</v>
      </c>
      <c r="AM984" s="1153">
        <f t="shared" si="284"/>
        <v>0</v>
      </c>
      <c r="AN984" s="1145">
        <f t="shared" si="285"/>
        <v>0</v>
      </c>
      <c r="AO984" s="1154">
        <f t="shared" si="286"/>
        <v>11796.854360262665</v>
      </c>
      <c r="AP984" s="1147">
        <f t="shared" si="273"/>
        <v>0</v>
      </c>
      <c r="AQ984" s="1144">
        <f t="shared" si="274"/>
        <v>0</v>
      </c>
      <c r="AR984" s="1146">
        <f t="shared" si="275"/>
        <v>11796.854360262665</v>
      </c>
    </row>
    <row r="985" spans="1:44" x14ac:dyDescent="0.2">
      <c r="A985" s="1141" t="str">
        <f t="shared" si="288"/>
        <v>1542</v>
      </c>
      <c r="B985" s="1141" t="str">
        <f>IFERROR(VLOOKUP(A985,'LAC 103'!A:C,3,FALSE),"")</f>
        <v>OP</v>
      </c>
      <c r="C985" s="1478" t="str">
        <f>Info!$B$8</f>
        <v>00100</v>
      </c>
      <c r="D985" s="1474" t="s">
        <v>256</v>
      </c>
      <c r="E985" s="1474" t="s">
        <v>95</v>
      </c>
      <c r="F985" s="1478" t="s">
        <v>392</v>
      </c>
      <c r="G985" s="1478" t="s">
        <v>392</v>
      </c>
      <c r="H985" s="1474" t="s">
        <v>1057</v>
      </c>
      <c r="I985" s="1478" t="s">
        <v>798</v>
      </c>
      <c r="J985" s="1478"/>
      <c r="K985" s="1475" t="s">
        <v>848</v>
      </c>
      <c r="L985" s="1474" t="s">
        <v>45</v>
      </c>
      <c r="M985" s="1476" t="s">
        <v>841</v>
      </c>
      <c r="N985" s="1477" t="s">
        <v>1695</v>
      </c>
      <c r="O985" s="1479">
        <v>1517</v>
      </c>
      <c r="P985" s="1479"/>
      <c r="Q985" s="1142">
        <f t="shared" si="271"/>
        <v>1517</v>
      </c>
      <c r="R985" s="1143">
        <f>IFERROR(VLOOKUP(CONCATENATE(E985,G985),'LAC 103'!$A$12:$O$95,11,FALSE),0)</f>
        <v>3.2074101033884355</v>
      </c>
      <c r="S985" s="1144">
        <f>IFERROR(VLOOKUP(CONCATENATE($E985,$G985),'LAC 103'!$A$12:$O$95,12,FALSE),0)</f>
        <v>3.99</v>
      </c>
      <c r="T985" s="1144">
        <f>IFERROR(VLOOKUP(CONCATENATE($E985,$G985),'LAC 103'!$A$12:$O$95,13,FALSE),0)</f>
        <v>2.48</v>
      </c>
      <c r="U985" s="1144">
        <f>IFERROR(VLOOKUP(CONCATENATE($E985,$G985),'LAC 103'!$A$12:$O$95,14,FALSE),0)</f>
        <v>0</v>
      </c>
      <c r="V985" s="1144">
        <f>IFERROR(VLOOKUP(CONCATENATE($E985,$G985),'LAC 103'!$A$12:$O$95,15,FALSE),0)</f>
        <v>0</v>
      </c>
      <c r="W985" s="1145" t="str">
        <f>IFERROR(VLOOKUP(CONCATENATE($B985,$N985),'LAC 103'!$AI:$AQ,9,FALSE),"")</f>
        <v>Costs</v>
      </c>
      <c r="X985" s="1146">
        <f t="shared" si="276"/>
        <v>3.2074101033884355</v>
      </c>
      <c r="Y985" s="1143">
        <f t="shared" si="287"/>
        <v>4865.6411268402562</v>
      </c>
      <c r="Z985" s="1147">
        <f t="shared" si="277"/>
        <v>6052.83</v>
      </c>
      <c r="AA985" s="1144">
        <f t="shared" si="278"/>
        <v>3762.16</v>
      </c>
      <c r="AB985" s="1144">
        <f t="shared" si="279"/>
        <v>0</v>
      </c>
      <c r="AC985" s="1144">
        <f t="shared" si="280"/>
        <v>0</v>
      </c>
      <c r="AD985" s="1148">
        <f t="shared" si="272"/>
        <v>4865.6411268402562</v>
      </c>
      <c r="AE985" s="1487">
        <v>0</v>
      </c>
      <c r="AF985" s="1145">
        <f t="shared" si="281"/>
        <v>4865.6411268402562</v>
      </c>
      <c r="AG985" s="1149">
        <f>IFERROR(VLOOKUP(CONCATENATE($L985,$N985),'Drop List'!$G$23:$K$87,2,FALSE),0)</f>
        <v>0.68500000000000005</v>
      </c>
      <c r="AH985" s="1150">
        <f>IFERROR(VLOOKUP(CONCATENATE($L985,$N985),'Drop List'!$G$23:$K$87,3,FALSE),0)</f>
        <v>0.31499999999999995</v>
      </c>
      <c r="AI985" s="1150">
        <f>IFERROR(VLOOKUP(CONCATENATE($L985,$N985),'Drop List'!$G$23:$K$87,4,FALSE),0)</f>
        <v>0</v>
      </c>
      <c r="AJ985" s="1151">
        <f>IFERROR(VLOOKUP(CONCATENATE($L985,$N985),'Drop List'!$G$23:$K$87,5,FALSE),0)</f>
        <v>0</v>
      </c>
      <c r="AK985" s="1152">
        <f t="shared" si="282"/>
        <v>3332.964171885576</v>
      </c>
      <c r="AL985" s="1153">
        <f t="shared" si="283"/>
        <v>1532.6769549546805</v>
      </c>
      <c r="AM985" s="1153">
        <f t="shared" si="284"/>
        <v>0</v>
      </c>
      <c r="AN985" s="1145">
        <f t="shared" si="285"/>
        <v>0</v>
      </c>
      <c r="AO985" s="1154">
        <f t="shared" si="286"/>
        <v>4865.6411268402562</v>
      </c>
      <c r="AP985" s="1147">
        <f t="shared" si="273"/>
        <v>0</v>
      </c>
      <c r="AQ985" s="1144">
        <f t="shared" si="274"/>
        <v>0</v>
      </c>
      <c r="AR985" s="1146">
        <f t="shared" si="275"/>
        <v>4865.6411268402562</v>
      </c>
    </row>
    <row r="986" spans="1:44" x14ac:dyDescent="0.2">
      <c r="A986" s="1141" t="str">
        <f t="shared" si="288"/>
        <v>1542</v>
      </c>
      <c r="B986" s="1141" t="str">
        <f>IFERROR(VLOOKUP(A986,'LAC 103'!A:C,3,FALSE),"")</f>
        <v>OP</v>
      </c>
      <c r="C986" s="1478" t="str">
        <f>Info!$B$8</f>
        <v>00100</v>
      </c>
      <c r="D986" s="1474" t="s">
        <v>256</v>
      </c>
      <c r="E986" s="1474" t="s">
        <v>95</v>
      </c>
      <c r="F986" s="1478" t="s">
        <v>392</v>
      </c>
      <c r="G986" s="1478" t="s">
        <v>392</v>
      </c>
      <c r="H986" s="1474" t="s">
        <v>1057</v>
      </c>
      <c r="I986" s="1478" t="s">
        <v>798</v>
      </c>
      <c r="J986" s="1478"/>
      <c r="K986" s="1475" t="s">
        <v>848</v>
      </c>
      <c r="L986" s="1474" t="s">
        <v>45</v>
      </c>
      <c r="M986" s="1476" t="s">
        <v>840</v>
      </c>
      <c r="N986" s="1477" t="s">
        <v>1700</v>
      </c>
      <c r="O986" s="1479">
        <v>1151</v>
      </c>
      <c r="P986" s="1479"/>
      <c r="Q986" s="1142">
        <f t="shared" si="271"/>
        <v>1151</v>
      </c>
      <c r="R986" s="1143">
        <f>IFERROR(VLOOKUP(CONCATENATE(E986,G986),'LAC 103'!$A$12:$O$95,11,FALSE),0)</f>
        <v>3.2074101033884355</v>
      </c>
      <c r="S986" s="1144">
        <f>IFERROR(VLOOKUP(CONCATENATE($E986,$G986),'LAC 103'!$A$12:$O$95,12,FALSE),0)</f>
        <v>3.99</v>
      </c>
      <c r="T986" s="1144">
        <f>IFERROR(VLOOKUP(CONCATENATE($E986,$G986),'LAC 103'!$A$12:$O$95,13,FALSE),0)</f>
        <v>2.48</v>
      </c>
      <c r="U986" s="1144">
        <f>IFERROR(VLOOKUP(CONCATENATE($E986,$G986),'LAC 103'!$A$12:$O$95,14,FALSE),0)</f>
        <v>0</v>
      </c>
      <c r="V986" s="1144">
        <f>IFERROR(VLOOKUP(CONCATENATE($E986,$G986),'LAC 103'!$A$12:$O$95,15,FALSE),0)</f>
        <v>0</v>
      </c>
      <c r="W986" s="1145" t="str">
        <f>IFERROR(VLOOKUP(CONCATENATE($B986,$N986),'LAC 103'!$AI:$AQ,9,FALSE),"")</f>
        <v>P.C.</v>
      </c>
      <c r="X986" s="1146">
        <f t="shared" si="276"/>
        <v>2.48</v>
      </c>
      <c r="Y986" s="1143">
        <f t="shared" si="287"/>
        <v>3691.7290290000892</v>
      </c>
      <c r="Z986" s="1147">
        <f t="shared" si="277"/>
        <v>4592.4900000000007</v>
      </c>
      <c r="AA986" s="1144">
        <f t="shared" si="278"/>
        <v>2854.48</v>
      </c>
      <c r="AB986" s="1144">
        <f t="shared" si="279"/>
        <v>0</v>
      </c>
      <c r="AC986" s="1144">
        <f t="shared" si="280"/>
        <v>0</v>
      </c>
      <c r="AD986" s="1148">
        <f t="shared" si="272"/>
        <v>2854.48</v>
      </c>
      <c r="AE986" s="1487">
        <v>0</v>
      </c>
      <c r="AF986" s="1145">
        <f t="shared" si="281"/>
        <v>2854.48</v>
      </c>
      <c r="AG986" s="1149">
        <f>IFERROR(VLOOKUP(CONCATENATE($L986,$N986),'Drop List'!$G$23:$K$87,2,FALSE),0)</f>
        <v>0.68500000000000005</v>
      </c>
      <c r="AH986" s="1150">
        <f>IFERROR(VLOOKUP(CONCATENATE($L986,$N986),'Drop List'!$G$23:$K$87,3,FALSE),0)</f>
        <v>0.31499999999999995</v>
      </c>
      <c r="AI986" s="1150">
        <f>IFERROR(VLOOKUP(CONCATENATE($L986,$N986),'Drop List'!$G$23:$K$87,4,FALSE),0)</f>
        <v>0</v>
      </c>
      <c r="AJ986" s="1151">
        <f>IFERROR(VLOOKUP(CONCATENATE($L986,$N986),'Drop List'!$G$23:$K$87,5,FALSE),0)</f>
        <v>0</v>
      </c>
      <c r="AK986" s="1152">
        <f t="shared" si="282"/>
        <v>1955.3188000000002</v>
      </c>
      <c r="AL986" s="1153">
        <f t="shared" si="283"/>
        <v>899.16119999999989</v>
      </c>
      <c r="AM986" s="1153">
        <f t="shared" si="284"/>
        <v>0</v>
      </c>
      <c r="AN986" s="1145">
        <f t="shared" si="285"/>
        <v>0</v>
      </c>
      <c r="AO986" s="1154">
        <f t="shared" si="286"/>
        <v>2854.48</v>
      </c>
      <c r="AP986" s="1147">
        <f t="shared" si="273"/>
        <v>0</v>
      </c>
      <c r="AQ986" s="1144">
        <f t="shared" si="274"/>
        <v>0</v>
      </c>
      <c r="AR986" s="1146">
        <f t="shared" si="275"/>
        <v>2854.48</v>
      </c>
    </row>
    <row r="987" spans="1:44" x14ac:dyDescent="0.2">
      <c r="A987" s="1141" t="str">
        <f t="shared" si="288"/>
        <v>1542</v>
      </c>
      <c r="B987" s="1141" t="str">
        <f>IFERROR(VLOOKUP(A987,'LAC 103'!A:C,3,FALSE),"")</f>
        <v>OP</v>
      </c>
      <c r="C987" s="1478" t="str">
        <f>Info!$B$8</f>
        <v>00100</v>
      </c>
      <c r="D987" s="1474" t="s">
        <v>256</v>
      </c>
      <c r="E987" s="1474" t="s">
        <v>95</v>
      </c>
      <c r="F987" s="1478" t="s">
        <v>392</v>
      </c>
      <c r="G987" s="1478" t="s">
        <v>392</v>
      </c>
      <c r="H987" s="1474" t="s">
        <v>1057</v>
      </c>
      <c r="I987" s="1478" t="s">
        <v>798</v>
      </c>
      <c r="J987" s="1478"/>
      <c r="K987" s="1475" t="s">
        <v>848</v>
      </c>
      <c r="L987" s="1474" t="s">
        <v>45</v>
      </c>
      <c r="M987" s="1476" t="s">
        <v>1698</v>
      </c>
      <c r="N987" s="1477" t="s">
        <v>1693</v>
      </c>
      <c r="O987" s="1479">
        <v>1495</v>
      </c>
      <c r="P987" s="1479"/>
      <c r="Q987" s="1142">
        <f t="shared" si="271"/>
        <v>1495</v>
      </c>
      <c r="R987" s="1143">
        <f>IFERROR(VLOOKUP(CONCATENATE(E987,G987),'LAC 103'!$A$12:$O$95,11,FALSE),0)</f>
        <v>3.2074101033884355</v>
      </c>
      <c r="S987" s="1144">
        <f>IFERROR(VLOOKUP(CONCATENATE($E987,$G987),'LAC 103'!$A$12:$O$95,12,FALSE),0)</f>
        <v>3.99</v>
      </c>
      <c r="T987" s="1144">
        <f>IFERROR(VLOOKUP(CONCATENATE($E987,$G987),'LAC 103'!$A$12:$O$95,13,FALSE),0)</f>
        <v>2.48</v>
      </c>
      <c r="U987" s="1144">
        <f>IFERROR(VLOOKUP(CONCATENATE($E987,$G987),'LAC 103'!$A$12:$O$95,14,FALSE),0)</f>
        <v>0</v>
      </c>
      <c r="V987" s="1144">
        <f>IFERROR(VLOOKUP(CONCATENATE($E987,$G987),'LAC 103'!$A$12:$O$95,15,FALSE),0)</f>
        <v>0</v>
      </c>
      <c r="W987" s="1145" t="str">
        <f>IFERROR(VLOOKUP(CONCATENATE($B987,$N987),'LAC 103'!$AI:$AQ,9,FALSE),"")</f>
        <v>Costs</v>
      </c>
      <c r="X987" s="1146">
        <f t="shared" si="276"/>
        <v>3.2074101033884355</v>
      </c>
      <c r="Y987" s="1143">
        <f t="shared" si="287"/>
        <v>4795.0781045657113</v>
      </c>
      <c r="Z987" s="1147">
        <f t="shared" si="277"/>
        <v>5965.05</v>
      </c>
      <c r="AA987" s="1144">
        <f t="shared" si="278"/>
        <v>3707.6</v>
      </c>
      <c r="AB987" s="1144">
        <f t="shared" si="279"/>
        <v>0</v>
      </c>
      <c r="AC987" s="1144">
        <f t="shared" si="280"/>
        <v>0</v>
      </c>
      <c r="AD987" s="1148">
        <f t="shared" si="272"/>
        <v>4795.0781045657113</v>
      </c>
      <c r="AE987" s="1487">
        <v>0</v>
      </c>
      <c r="AF987" s="1145">
        <f t="shared" si="281"/>
        <v>4795.0781045657113</v>
      </c>
      <c r="AG987" s="1149">
        <f>IFERROR(VLOOKUP(CONCATENATE($L987,$N987),'Drop List'!$G$23:$K$87,2,FALSE),0)</f>
        <v>0.69340000000000002</v>
      </c>
      <c r="AH987" s="1150">
        <f>IFERROR(VLOOKUP(CONCATENATE($L987,$N987),'Drop List'!$G$23:$K$87,3,FALSE),0)</f>
        <v>0.30659999999999998</v>
      </c>
      <c r="AI987" s="1150">
        <f>IFERROR(VLOOKUP(CONCATENATE($L987,$N987),'Drop List'!$G$23:$K$87,4,FALSE),0)</f>
        <v>0</v>
      </c>
      <c r="AJ987" s="1151">
        <f>IFERROR(VLOOKUP(CONCATENATE($L987,$N987),'Drop List'!$G$23:$K$87,5,FALSE),0)</f>
        <v>0</v>
      </c>
      <c r="AK987" s="1152">
        <f t="shared" si="282"/>
        <v>3324.9071577058644</v>
      </c>
      <c r="AL987" s="1153">
        <f t="shared" si="283"/>
        <v>1470.1709468598469</v>
      </c>
      <c r="AM987" s="1153">
        <f t="shared" si="284"/>
        <v>0</v>
      </c>
      <c r="AN987" s="1145">
        <f t="shared" si="285"/>
        <v>0</v>
      </c>
      <c r="AO987" s="1154">
        <f t="shared" si="286"/>
        <v>4795.0781045657113</v>
      </c>
      <c r="AP987" s="1147">
        <f t="shared" si="273"/>
        <v>0</v>
      </c>
      <c r="AQ987" s="1144">
        <f t="shared" si="274"/>
        <v>0</v>
      </c>
      <c r="AR987" s="1146">
        <f t="shared" si="275"/>
        <v>4795.0781045657113</v>
      </c>
    </row>
    <row r="988" spans="1:44" x14ac:dyDescent="0.2">
      <c r="A988" s="1141" t="str">
        <f t="shared" si="288"/>
        <v>1542</v>
      </c>
      <c r="B988" s="1141" t="str">
        <f>IFERROR(VLOOKUP(A988,'LAC 103'!A:C,3,FALSE),"")</f>
        <v>OP</v>
      </c>
      <c r="C988" s="1478" t="str">
        <f>Info!$B$8</f>
        <v>00100</v>
      </c>
      <c r="D988" s="1474" t="s">
        <v>256</v>
      </c>
      <c r="E988" s="1474" t="s">
        <v>95</v>
      </c>
      <c r="F988" s="1478" t="s">
        <v>392</v>
      </c>
      <c r="G988" s="1478" t="s">
        <v>392</v>
      </c>
      <c r="H988" s="1474" t="s">
        <v>1057</v>
      </c>
      <c r="I988" s="1478" t="s">
        <v>798</v>
      </c>
      <c r="J988" s="1478"/>
      <c r="K988" s="1475" t="s">
        <v>971</v>
      </c>
      <c r="L988" s="1474" t="s">
        <v>332</v>
      </c>
      <c r="M988" s="1476" t="s">
        <v>1699</v>
      </c>
      <c r="N988" s="1477" t="s">
        <v>1694</v>
      </c>
      <c r="O988" s="1479">
        <v>463</v>
      </c>
      <c r="P988" s="1479"/>
      <c r="Q988" s="1142">
        <f t="shared" si="271"/>
        <v>463</v>
      </c>
      <c r="R988" s="1143">
        <f>IFERROR(VLOOKUP(CONCATENATE(E988,G988),'LAC 103'!$A$12:$O$95,11,FALSE),0)</f>
        <v>3.2074101033884355</v>
      </c>
      <c r="S988" s="1144">
        <f>IFERROR(VLOOKUP(CONCATENATE($E988,$G988),'LAC 103'!$A$12:$O$95,12,FALSE),0)</f>
        <v>3.99</v>
      </c>
      <c r="T988" s="1144">
        <f>IFERROR(VLOOKUP(CONCATENATE($E988,$G988),'LAC 103'!$A$12:$O$95,13,FALSE),0)</f>
        <v>2.48</v>
      </c>
      <c r="U988" s="1144">
        <f>IFERROR(VLOOKUP(CONCATENATE($E988,$G988),'LAC 103'!$A$12:$O$95,14,FALSE),0)</f>
        <v>0</v>
      </c>
      <c r="V988" s="1144">
        <f>IFERROR(VLOOKUP(CONCATENATE($E988,$G988),'LAC 103'!$A$12:$O$95,15,FALSE),0)</f>
        <v>0</v>
      </c>
      <c r="W988" s="1145" t="str">
        <f>IFERROR(VLOOKUP(CONCATENATE($B988,$N988),'LAC 103'!$AI:$AQ,9,FALSE),"")</f>
        <v>Costs</v>
      </c>
      <c r="X988" s="1146">
        <f t="shared" si="276"/>
        <v>3.2074101033884355</v>
      </c>
      <c r="Y988" s="1143">
        <f t="shared" si="287"/>
        <v>1485.0308778688457</v>
      </c>
      <c r="Z988" s="1147">
        <f t="shared" si="277"/>
        <v>1847.3700000000001</v>
      </c>
      <c r="AA988" s="1144">
        <f t="shared" si="278"/>
        <v>1148.24</v>
      </c>
      <c r="AB988" s="1144">
        <f t="shared" si="279"/>
        <v>0</v>
      </c>
      <c r="AC988" s="1144">
        <f t="shared" si="280"/>
        <v>0</v>
      </c>
      <c r="AD988" s="1148">
        <f t="shared" si="272"/>
        <v>1485.0308778688457</v>
      </c>
      <c r="AE988" s="1487">
        <v>0</v>
      </c>
      <c r="AF988" s="1145">
        <f t="shared" si="281"/>
        <v>1485.0308778688457</v>
      </c>
      <c r="AG988" s="1149">
        <f>IFERROR(VLOOKUP(CONCATENATE($L988,$N988),'Drop List'!$G$23:$K$87,2,FALSE),0)</f>
        <v>0</v>
      </c>
      <c r="AH988" s="1150">
        <f>IFERROR(VLOOKUP(CONCATENATE($L988,$N988),'Drop List'!$G$23:$K$87,3,FALSE),0)</f>
        <v>0</v>
      </c>
      <c r="AI988" s="1150">
        <f>IFERROR(VLOOKUP(CONCATENATE($L988,$N988),'Drop List'!$G$23:$K$87,4,FALSE),0)</f>
        <v>0</v>
      </c>
      <c r="AJ988" s="1151">
        <f>IFERROR(VLOOKUP(CONCATENATE($L988,$N988),'Drop List'!$G$23:$K$87,5,FALSE),0)</f>
        <v>0</v>
      </c>
      <c r="AK988" s="1152">
        <f t="shared" si="282"/>
        <v>0</v>
      </c>
      <c r="AL988" s="1153">
        <f t="shared" si="283"/>
        <v>0</v>
      </c>
      <c r="AM988" s="1153">
        <f t="shared" si="284"/>
        <v>0</v>
      </c>
      <c r="AN988" s="1145">
        <f t="shared" si="285"/>
        <v>0</v>
      </c>
      <c r="AO988" s="1154">
        <f t="shared" si="286"/>
        <v>0</v>
      </c>
      <c r="AP988" s="1147">
        <f t="shared" si="273"/>
        <v>1485.0308778688457</v>
      </c>
      <c r="AQ988" s="1144">
        <f t="shared" si="274"/>
        <v>0</v>
      </c>
      <c r="AR988" s="1146">
        <f t="shared" si="275"/>
        <v>1485.0308778688457</v>
      </c>
    </row>
    <row r="989" spans="1:44" x14ac:dyDescent="0.2">
      <c r="A989" s="1141" t="str">
        <f t="shared" si="288"/>
        <v>1542</v>
      </c>
      <c r="B989" s="1141" t="str">
        <f>IFERROR(VLOOKUP(A989,'LAC 103'!A:C,3,FALSE),"")</f>
        <v>OP</v>
      </c>
      <c r="C989" s="1478" t="str">
        <f>Info!$B$8</f>
        <v>00100</v>
      </c>
      <c r="D989" s="1474" t="s">
        <v>256</v>
      </c>
      <c r="E989" s="1474" t="s">
        <v>95</v>
      </c>
      <c r="F989" s="1478" t="s">
        <v>392</v>
      </c>
      <c r="G989" s="1478" t="s">
        <v>392</v>
      </c>
      <c r="H989" s="1474" t="s">
        <v>1057</v>
      </c>
      <c r="I989" s="1478" t="s">
        <v>798</v>
      </c>
      <c r="J989" s="1478"/>
      <c r="K989" s="1475" t="s">
        <v>971</v>
      </c>
      <c r="L989" s="1474" t="s">
        <v>332</v>
      </c>
      <c r="M989" s="1476" t="s">
        <v>1698</v>
      </c>
      <c r="N989" s="1477" t="s">
        <v>1693</v>
      </c>
      <c r="O989" s="1479">
        <v>933</v>
      </c>
      <c r="P989" s="1479"/>
      <c r="Q989" s="1142">
        <f t="shared" si="271"/>
        <v>933</v>
      </c>
      <c r="R989" s="1143">
        <f>IFERROR(VLOOKUP(CONCATENATE(E989,G989),'LAC 103'!$A$12:$O$95,11,FALSE),0)</f>
        <v>3.2074101033884355</v>
      </c>
      <c r="S989" s="1144">
        <f>IFERROR(VLOOKUP(CONCATENATE($E989,$G989),'LAC 103'!$A$12:$O$95,12,FALSE),0)</f>
        <v>3.99</v>
      </c>
      <c r="T989" s="1144">
        <f>IFERROR(VLOOKUP(CONCATENATE($E989,$G989),'LAC 103'!$A$12:$O$95,13,FALSE),0)</f>
        <v>2.48</v>
      </c>
      <c r="U989" s="1144">
        <f>IFERROR(VLOOKUP(CONCATENATE($E989,$G989),'LAC 103'!$A$12:$O$95,14,FALSE),0)</f>
        <v>0</v>
      </c>
      <c r="V989" s="1144">
        <f>IFERROR(VLOOKUP(CONCATENATE($E989,$G989),'LAC 103'!$A$12:$O$95,15,FALSE),0)</f>
        <v>0</v>
      </c>
      <c r="W989" s="1145" t="str">
        <f>IFERROR(VLOOKUP(CONCATENATE($B989,$N989),'LAC 103'!$AI:$AQ,9,FALSE),"")</f>
        <v>Costs</v>
      </c>
      <c r="X989" s="1146">
        <f t="shared" si="276"/>
        <v>3.2074101033884355</v>
      </c>
      <c r="Y989" s="1143">
        <f t="shared" si="287"/>
        <v>2992.5136264614102</v>
      </c>
      <c r="Z989" s="1147">
        <f t="shared" si="277"/>
        <v>3722.67</v>
      </c>
      <c r="AA989" s="1144">
        <f t="shared" si="278"/>
        <v>2313.84</v>
      </c>
      <c r="AB989" s="1144">
        <f t="shared" si="279"/>
        <v>0</v>
      </c>
      <c r="AC989" s="1144">
        <f t="shared" si="280"/>
        <v>0</v>
      </c>
      <c r="AD989" s="1148">
        <f t="shared" si="272"/>
        <v>2992.5136264614102</v>
      </c>
      <c r="AE989" s="1487">
        <v>0</v>
      </c>
      <c r="AF989" s="1145">
        <f t="shared" si="281"/>
        <v>2992.5136264614102</v>
      </c>
      <c r="AG989" s="1149">
        <f>IFERROR(VLOOKUP(CONCATENATE($L989,$N989),'Drop List'!$G$23:$K$87,2,FALSE),0)</f>
        <v>0</v>
      </c>
      <c r="AH989" s="1150">
        <f>IFERROR(VLOOKUP(CONCATENATE($L989,$N989),'Drop List'!$G$23:$K$87,3,FALSE),0)</f>
        <v>0</v>
      </c>
      <c r="AI989" s="1150">
        <f>IFERROR(VLOOKUP(CONCATENATE($L989,$N989),'Drop List'!$G$23:$K$87,4,FALSE),0)</f>
        <v>0</v>
      </c>
      <c r="AJ989" s="1151">
        <f>IFERROR(VLOOKUP(CONCATENATE($L989,$N989),'Drop List'!$G$23:$K$87,5,FALSE),0)</f>
        <v>0</v>
      </c>
      <c r="AK989" s="1152">
        <f t="shared" si="282"/>
        <v>0</v>
      </c>
      <c r="AL989" s="1153">
        <f t="shared" si="283"/>
        <v>0</v>
      </c>
      <c r="AM989" s="1153">
        <f t="shared" si="284"/>
        <v>0</v>
      </c>
      <c r="AN989" s="1145">
        <f t="shared" si="285"/>
        <v>0</v>
      </c>
      <c r="AO989" s="1154">
        <f t="shared" si="286"/>
        <v>0</v>
      </c>
      <c r="AP989" s="1147">
        <f t="shared" si="273"/>
        <v>2992.5136264614102</v>
      </c>
      <c r="AQ989" s="1144">
        <f t="shared" si="274"/>
        <v>0</v>
      </c>
      <c r="AR989" s="1146">
        <f t="shared" si="275"/>
        <v>2992.5136264614102</v>
      </c>
    </row>
    <row r="990" spans="1:44" x14ac:dyDescent="0.2">
      <c r="A990" s="1141" t="str">
        <f t="shared" si="288"/>
        <v>1542</v>
      </c>
      <c r="B990" s="1141" t="str">
        <f>IFERROR(VLOOKUP(A990,'LAC 103'!A:C,3,FALSE),"")</f>
        <v>OP</v>
      </c>
      <c r="C990" s="1478" t="str">
        <f>Info!$B$8</f>
        <v>00100</v>
      </c>
      <c r="D990" s="1474" t="s">
        <v>256</v>
      </c>
      <c r="E990" s="1474" t="s">
        <v>95</v>
      </c>
      <c r="F990" s="1478" t="s">
        <v>392</v>
      </c>
      <c r="G990" s="1478" t="s">
        <v>392</v>
      </c>
      <c r="H990" s="1474" t="s">
        <v>1057</v>
      </c>
      <c r="I990" s="1478" t="s">
        <v>798</v>
      </c>
      <c r="J990" s="1478"/>
      <c r="K990" s="1475" t="s">
        <v>851</v>
      </c>
      <c r="L990" s="1474" t="s">
        <v>584</v>
      </c>
      <c r="M990" s="1476" t="s">
        <v>842</v>
      </c>
      <c r="N990" s="1477" t="s">
        <v>1692</v>
      </c>
      <c r="O990" s="1479">
        <v>75</v>
      </c>
      <c r="P990" s="1479"/>
      <c r="Q990" s="1142">
        <f t="shared" si="271"/>
        <v>75</v>
      </c>
      <c r="R990" s="1143">
        <f>IFERROR(VLOOKUP(CONCATENATE(E990,G990),'LAC 103'!$A$12:$O$95,11,FALSE),0)</f>
        <v>3.2074101033884355</v>
      </c>
      <c r="S990" s="1144">
        <f>IFERROR(VLOOKUP(CONCATENATE($E990,$G990),'LAC 103'!$A$12:$O$95,12,FALSE),0)</f>
        <v>3.99</v>
      </c>
      <c r="T990" s="1144">
        <f>IFERROR(VLOOKUP(CONCATENATE($E990,$G990),'LAC 103'!$A$12:$O$95,13,FALSE),0)</f>
        <v>2.48</v>
      </c>
      <c r="U990" s="1144">
        <f>IFERROR(VLOOKUP(CONCATENATE($E990,$G990),'LAC 103'!$A$12:$O$95,14,FALSE),0)</f>
        <v>0</v>
      </c>
      <c r="V990" s="1144">
        <f>IFERROR(VLOOKUP(CONCATENATE($E990,$G990),'LAC 103'!$A$12:$O$95,15,FALSE),0)</f>
        <v>0</v>
      </c>
      <c r="W990" s="1145" t="str">
        <f>IFERROR(VLOOKUP(CONCATENATE($B990,$N990),'LAC 103'!$AI:$AQ,9,FALSE),"")</f>
        <v>Costs</v>
      </c>
      <c r="X990" s="1146">
        <f t="shared" si="276"/>
        <v>3.2074101033884355</v>
      </c>
      <c r="Y990" s="1143">
        <f t="shared" si="287"/>
        <v>240.55575775413266</v>
      </c>
      <c r="Z990" s="1147">
        <f t="shared" si="277"/>
        <v>299.25</v>
      </c>
      <c r="AA990" s="1144">
        <f t="shared" si="278"/>
        <v>186</v>
      </c>
      <c r="AB990" s="1144">
        <f t="shared" si="279"/>
        <v>0</v>
      </c>
      <c r="AC990" s="1144">
        <f t="shared" si="280"/>
        <v>0</v>
      </c>
      <c r="AD990" s="1148">
        <f t="shared" si="272"/>
        <v>240.55575775413266</v>
      </c>
      <c r="AE990" s="1487">
        <v>0</v>
      </c>
      <c r="AF990" s="1145">
        <f t="shared" si="281"/>
        <v>240.55575775413266</v>
      </c>
      <c r="AG990" s="1149">
        <f>IFERROR(VLOOKUP(CONCATENATE($L990,$N990),'Drop List'!$G$23:$K$87,2,FALSE),0)</f>
        <v>0.56200000000000006</v>
      </c>
      <c r="AH990" s="1150">
        <f>IFERROR(VLOOKUP(CONCATENATE($L990,$N990),'Drop List'!$G$23:$K$87,3,FALSE),0)</f>
        <v>0</v>
      </c>
      <c r="AI990" s="1150">
        <f>IFERROR(VLOOKUP(CONCATENATE($L990,$N990),'Drop List'!$G$23:$K$87,4,FALSE),0)</f>
        <v>0</v>
      </c>
      <c r="AJ990" s="1151">
        <f>IFERROR(VLOOKUP(CONCATENATE($L990,$N990),'Drop List'!$G$23:$K$87,5,FALSE),0)</f>
        <v>0.43799999999999994</v>
      </c>
      <c r="AK990" s="1152">
        <f t="shared" si="282"/>
        <v>135.19233585782257</v>
      </c>
      <c r="AL990" s="1153">
        <f t="shared" si="283"/>
        <v>0</v>
      </c>
      <c r="AM990" s="1153">
        <f t="shared" si="284"/>
        <v>0</v>
      </c>
      <c r="AN990" s="1145">
        <f t="shared" si="285"/>
        <v>105.36342189631009</v>
      </c>
      <c r="AO990" s="1154">
        <f t="shared" si="286"/>
        <v>240.55575775413266</v>
      </c>
      <c r="AP990" s="1147">
        <f t="shared" si="273"/>
        <v>0</v>
      </c>
      <c r="AQ990" s="1144">
        <f t="shared" si="274"/>
        <v>0</v>
      </c>
      <c r="AR990" s="1146">
        <f t="shared" si="275"/>
        <v>240.55575775413266</v>
      </c>
    </row>
    <row r="991" spans="1:44" x14ac:dyDescent="0.2">
      <c r="A991" s="1141" t="str">
        <f t="shared" si="288"/>
        <v>1544</v>
      </c>
      <c r="B991" s="1141" t="str">
        <f>IFERROR(VLOOKUP(A991,'LAC 103'!A:C,3,FALSE),"")</f>
        <v>OP</v>
      </c>
      <c r="C991" s="1478" t="str">
        <f>Info!$B$8</f>
        <v>00100</v>
      </c>
      <c r="D991" s="1474" t="s">
        <v>256</v>
      </c>
      <c r="E991" s="1474" t="s">
        <v>95</v>
      </c>
      <c r="F991" s="1478" t="s">
        <v>396</v>
      </c>
      <c r="G991" s="1478" t="s">
        <v>396</v>
      </c>
      <c r="H991" s="1474" t="s">
        <v>996</v>
      </c>
      <c r="I991" s="1478" t="s">
        <v>912</v>
      </c>
      <c r="J991" s="1478" t="s">
        <v>123</v>
      </c>
      <c r="K991" s="1475" t="s">
        <v>846</v>
      </c>
      <c r="L991" s="1474" t="s">
        <v>332</v>
      </c>
      <c r="M991" s="1476" t="s">
        <v>1699</v>
      </c>
      <c r="N991" s="1477" t="s">
        <v>1694</v>
      </c>
      <c r="O991" s="1479">
        <v>16908</v>
      </c>
      <c r="P991" s="1479"/>
      <c r="Q991" s="1142">
        <f t="shared" si="271"/>
        <v>16908</v>
      </c>
      <c r="R991" s="1143">
        <f>IFERROR(VLOOKUP(CONCATENATE(E991,G991),'LAC 103'!$A$12:$O$95,11,FALSE),0)</f>
        <v>3.2074101033884355</v>
      </c>
      <c r="S991" s="1144">
        <f>IFERROR(VLOOKUP(CONCATENATE($E991,$G991),'LAC 103'!$A$12:$O$95,12,FALSE),0)</f>
        <v>3.99</v>
      </c>
      <c r="T991" s="1144">
        <f>IFERROR(VLOOKUP(CONCATENATE($E991,$G991),'LAC 103'!$A$12:$O$95,13,FALSE),0)</f>
        <v>2.48</v>
      </c>
      <c r="U991" s="1144">
        <f>IFERROR(VLOOKUP(CONCATENATE($E991,$G991),'LAC 103'!$A$12:$O$95,14,FALSE),0)</f>
        <v>0</v>
      </c>
      <c r="V991" s="1144">
        <f>IFERROR(VLOOKUP(CONCATENATE($E991,$G991),'LAC 103'!$A$12:$O$95,15,FALSE),0)</f>
        <v>0</v>
      </c>
      <c r="W991" s="1145" t="str">
        <f>IFERROR(VLOOKUP(CONCATENATE($B991,$N991),'LAC 103'!$AI:$AQ,9,FALSE),"")</f>
        <v>Costs</v>
      </c>
      <c r="X991" s="1146">
        <f t="shared" si="276"/>
        <v>3.2074101033884355</v>
      </c>
      <c r="Y991" s="1143">
        <f t="shared" si="287"/>
        <v>54230.890028091664</v>
      </c>
      <c r="Z991" s="1147">
        <f t="shared" si="277"/>
        <v>67462.92</v>
      </c>
      <c r="AA991" s="1144">
        <f t="shared" si="278"/>
        <v>41931.839999999997</v>
      </c>
      <c r="AB991" s="1144">
        <f t="shared" si="279"/>
        <v>0</v>
      </c>
      <c r="AC991" s="1144">
        <f t="shared" si="280"/>
        <v>0</v>
      </c>
      <c r="AD991" s="1148">
        <f t="shared" si="272"/>
        <v>54230.890028091664</v>
      </c>
      <c r="AE991" s="1487">
        <v>0</v>
      </c>
      <c r="AF991" s="1145">
        <f t="shared" si="281"/>
        <v>54230.890028091664</v>
      </c>
      <c r="AG991" s="1149">
        <f>IFERROR(VLOOKUP(CONCATENATE($L991,$N991),'Drop List'!$G$23:$K$87,2,FALSE),0)</f>
        <v>0</v>
      </c>
      <c r="AH991" s="1150">
        <f>IFERROR(VLOOKUP(CONCATENATE($L991,$N991),'Drop List'!$G$23:$K$87,3,FALSE),0)</f>
        <v>0</v>
      </c>
      <c r="AI991" s="1150">
        <f>IFERROR(VLOOKUP(CONCATENATE($L991,$N991),'Drop List'!$G$23:$K$87,4,FALSE),0)</f>
        <v>0</v>
      </c>
      <c r="AJ991" s="1151">
        <f>IFERROR(VLOOKUP(CONCATENATE($L991,$N991),'Drop List'!$G$23:$K$87,5,FALSE),0)</f>
        <v>0</v>
      </c>
      <c r="AK991" s="1152">
        <f t="shared" si="282"/>
        <v>0</v>
      </c>
      <c r="AL991" s="1153">
        <f t="shared" si="283"/>
        <v>0</v>
      </c>
      <c r="AM991" s="1153">
        <f t="shared" si="284"/>
        <v>0</v>
      </c>
      <c r="AN991" s="1145">
        <f t="shared" si="285"/>
        <v>0</v>
      </c>
      <c r="AO991" s="1154">
        <f t="shared" si="286"/>
        <v>0</v>
      </c>
      <c r="AP991" s="1147">
        <f t="shared" si="273"/>
        <v>54230.890028091664</v>
      </c>
      <c r="AQ991" s="1144">
        <f t="shared" si="274"/>
        <v>0</v>
      </c>
      <c r="AR991" s="1146">
        <f t="shared" si="275"/>
        <v>54230.890028091664</v>
      </c>
    </row>
    <row r="992" spans="1:44" x14ac:dyDescent="0.2">
      <c r="A992" s="1141" t="str">
        <f t="shared" si="288"/>
        <v>1544</v>
      </c>
      <c r="B992" s="1141" t="str">
        <f>IFERROR(VLOOKUP(A992,'LAC 103'!A:C,3,FALSE),"")</f>
        <v>OP</v>
      </c>
      <c r="C992" s="1478" t="str">
        <f>Info!$B$8</f>
        <v>00100</v>
      </c>
      <c r="D992" s="1474" t="s">
        <v>256</v>
      </c>
      <c r="E992" s="1474" t="s">
        <v>95</v>
      </c>
      <c r="F992" s="1478" t="s">
        <v>396</v>
      </c>
      <c r="G992" s="1478" t="s">
        <v>396</v>
      </c>
      <c r="H992" s="1474" t="s">
        <v>996</v>
      </c>
      <c r="I992" s="1478" t="s">
        <v>912</v>
      </c>
      <c r="J992" s="1478"/>
      <c r="K992" s="1475" t="s">
        <v>846</v>
      </c>
      <c r="L992" s="1474" t="s">
        <v>332</v>
      </c>
      <c r="M992" s="1476" t="s">
        <v>841</v>
      </c>
      <c r="N992" s="1477" t="s">
        <v>1695</v>
      </c>
      <c r="O992" s="1479">
        <v>6150</v>
      </c>
      <c r="P992" s="1479"/>
      <c r="Q992" s="1142">
        <f t="shared" si="271"/>
        <v>6150</v>
      </c>
      <c r="R992" s="1143">
        <f>IFERROR(VLOOKUP(CONCATENATE(E992,G992),'LAC 103'!$A$12:$O$95,11,FALSE),0)</f>
        <v>3.2074101033884355</v>
      </c>
      <c r="S992" s="1144">
        <f>IFERROR(VLOOKUP(CONCATENATE($E992,$G992),'LAC 103'!$A$12:$O$95,12,FALSE),0)</f>
        <v>3.99</v>
      </c>
      <c r="T992" s="1144">
        <f>IFERROR(VLOOKUP(CONCATENATE($E992,$G992),'LAC 103'!$A$12:$O$95,13,FALSE),0)</f>
        <v>2.48</v>
      </c>
      <c r="U992" s="1144">
        <f>IFERROR(VLOOKUP(CONCATENATE($E992,$G992),'LAC 103'!$A$12:$O$95,14,FALSE),0)</f>
        <v>0</v>
      </c>
      <c r="V992" s="1144">
        <f>IFERROR(VLOOKUP(CONCATENATE($E992,$G992),'LAC 103'!$A$12:$O$95,15,FALSE),0)</f>
        <v>0</v>
      </c>
      <c r="W992" s="1145" t="str">
        <f>IFERROR(VLOOKUP(CONCATENATE($B992,$N992),'LAC 103'!$AI:$AQ,9,FALSE),"")</f>
        <v>Costs</v>
      </c>
      <c r="X992" s="1146">
        <f t="shared" si="276"/>
        <v>3.2074101033884355</v>
      </c>
      <c r="Y992" s="1143">
        <f t="shared" si="287"/>
        <v>19725.572135838876</v>
      </c>
      <c r="Z992" s="1147">
        <f t="shared" si="277"/>
        <v>24538.5</v>
      </c>
      <c r="AA992" s="1144">
        <f t="shared" si="278"/>
        <v>15252</v>
      </c>
      <c r="AB992" s="1144">
        <f t="shared" si="279"/>
        <v>0</v>
      </c>
      <c r="AC992" s="1144">
        <f t="shared" si="280"/>
        <v>0</v>
      </c>
      <c r="AD992" s="1148">
        <f t="shared" si="272"/>
        <v>19725.572135838876</v>
      </c>
      <c r="AE992" s="1487">
        <v>0</v>
      </c>
      <c r="AF992" s="1145">
        <f t="shared" si="281"/>
        <v>19725.572135838876</v>
      </c>
      <c r="AG992" s="1149">
        <f>IFERROR(VLOOKUP(CONCATENATE($L992,$N992),'Drop List'!$G$23:$K$87,2,FALSE),0)</f>
        <v>0</v>
      </c>
      <c r="AH992" s="1150">
        <f>IFERROR(VLOOKUP(CONCATENATE($L992,$N992),'Drop List'!$G$23:$K$87,3,FALSE),0)</f>
        <v>0</v>
      </c>
      <c r="AI992" s="1150">
        <f>IFERROR(VLOOKUP(CONCATENATE($L992,$N992),'Drop List'!$G$23:$K$87,4,FALSE),0)</f>
        <v>0</v>
      </c>
      <c r="AJ992" s="1151">
        <f>IFERROR(VLOOKUP(CONCATENATE($L992,$N992),'Drop List'!$G$23:$K$87,5,FALSE),0)</f>
        <v>0</v>
      </c>
      <c r="AK992" s="1152">
        <f t="shared" si="282"/>
        <v>0</v>
      </c>
      <c r="AL992" s="1153">
        <f t="shared" si="283"/>
        <v>0</v>
      </c>
      <c r="AM992" s="1153">
        <f t="shared" si="284"/>
        <v>0</v>
      </c>
      <c r="AN992" s="1145">
        <f t="shared" si="285"/>
        <v>0</v>
      </c>
      <c r="AO992" s="1154">
        <f t="shared" si="286"/>
        <v>0</v>
      </c>
      <c r="AP992" s="1147">
        <f t="shared" si="273"/>
        <v>19725.572135838876</v>
      </c>
      <c r="AQ992" s="1144">
        <f t="shared" si="274"/>
        <v>0</v>
      </c>
      <c r="AR992" s="1146">
        <f t="shared" si="275"/>
        <v>19725.572135838876</v>
      </c>
    </row>
    <row r="993" spans="1:44" x14ac:dyDescent="0.2">
      <c r="A993" s="1141" t="str">
        <f t="shared" si="288"/>
        <v>1544</v>
      </c>
      <c r="B993" s="1141" t="str">
        <f>IFERROR(VLOOKUP(A993,'LAC 103'!A:C,3,FALSE),"")</f>
        <v>OP</v>
      </c>
      <c r="C993" s="1478" t="str">
        <f>Info!$B$8</f>
        <v>00100</v>
      </c>
      <c r="D993" s="1474" t="s">
        <v>256</v>
      </c>
      <c r="E993" s="1474" t="s">
        <v>95</v>
      </c>
      <c r="F993" s="1478" t="s">
        <v>396</v>
      </c>
      <c r="G993" s="1478" t="s">
        <v>396</v>
      </c>
      <c r="H993" s="1474" t="s">
        <v>996</v>
      </c>
      <c r="I993" s="1478" t="s">
        <v>912</v>
      </c>
      <c r="J993" s="1478"/>
      <c r="K993" s="1475" t="s">
        <v>846</v>
      </c>
      <c r="L993" s="1474" t="s">
        <v>332</v>
      </c>
      <c r="M993" s="1476" t="s">
        <v>840</v>
      </c>
      <c r="N993" s="1477" t="s">
        <v>1700</v>
      </c>
      <c r="O993" s="1479">
        <v>7746</v>
      </c>
      <c r="P993" s="1479"/>
      <c r="Q993" s="1142">
        <f t="shared" si="271"/>
        <v>7746</v>
      </c>
      <c r="R993" s="1143">
        <f>IFERROR(VLOOKUP(CONCATENATE(E993,G993),'LAC 103'!$A$12:$O$95,11,FALSE),0)</f>
        <v>3.2074101033884355</v>
      </c>
      <c r="S993" s="1144">
        <f>IFERROR(VLOOKUP(CONCATENATE($E993,$G993),'LAC 103'!$A$12:$O$95,12,FALSE),0)</f>
        <v>3.99</v>
      </c>
      <c r="T993" s="1144">
        <f>IFERROR(VLOOKUP(CONCATENATE($E993,$G993),'LAC 103'!$A$12:$O$95,13,FALSE),0)</f>
        <v>2.48</v>
      </c>
      <c r="U993" s="1144">
        <f>IFERROR(VLOOKUP(CONCATENATE($E993,$G993),'LAC 103'!$A$12:$O$95,14,FALSE),0)</f>
        <v>0</v>
      </c>
      <c r="V993" s="1144">
        <f>IFERROR(VLOOKUP(CONCATENATE($E993,$G993),'LAC 103'!$A$12:$O$95,15,FALSE),0)</f>
        <v>0</v>
      </c>
      <c r="W993" s="1145" t="str">
        <f>IFERROR(VLOOKUP(CONCATENATE($B993,$N993),'LAC 103'!$AI:$AQ,9,FALSE),"")</f>
        <v>P.C.</v>
      </c>
      <c r="X993" s="1146">
        <f t="shared" si="276"/>
        <v>2.48</v>
      </c>
      <c r="Y993" s="1143">
        <f t="shared" si="287"/>
        <v>24844.598660846823</v>
      </c>
      <c r="Z993" s="1147">
        <f t="shared" si="277"/>
        <v>30906.54</v>
      </c>
      <c r="AA993" s="1144">
        <f t="shared" si="278"/>
        <v>19210.079999999998</v>
      </c>
      <c r="AB993" s="1144">
        <f t="shared" si="279"/>
        <v>0</v>
      </c>
      <c r="AC993" s="1144">
        <f t="shared" si="280"/>
        <v>0</v>
      </c>
      <c r="AD993" s="1148">
        <f t="shared" si="272"/>
        <v>19210.079999999998</v>
      </c>
      <c r="AE993" s="1487">
        <v>0</v>
      </c>
      <c r="AF993" s="1145">
        <f t="shared" si="281"/>
        <v>19210.079999999998</v>
      </c>
      <c r="AG993" s="1149">
        <f>IFERROR(VLOOKUP(CONCATENATE($L993,$N993),'Drop List'!$G$23:$K$87,2,FALSE),0)</f>
        <v>0</v>
      </c>
      <c r="AH993" s="1150">
        <f>IFERROR(VLOOKUP(CONCATENATE($L993,$N993),'Drop List'!$G$23:$K$87,3,FALSE),0)</f>
        <v>0</v>
      </c>
      <c r="AI993" s="1150">
        <f>IFERROR(VLOOKUP(CONCATENATE($L993,$N993),'Drop List'!$G$23:$K$87,4,FALSE),0)</f>
        <v>0</v>
      </c>
      <c r="AJ993" s="1151">
        <f>IFERROR(VLOOKUP(CONCATENATE($L993,$N993),'Drop List'!$G$23:$K$87,5,FALSE),0)</f>
        <v>0</v>
      </c>
      <c r="AK993" s="1152">
        <f t="shared" si="282"/>
        <v>0</v>
      </c>
      <c r="AL993" s="1153">
        <f t="shared" si="283"/>
        <v>0</v>
      </c>
      <c r="AM993" s="1153">
        <f t="shared" si="284"/>
        <v>0</v>
      </c>
      <c r="AN993" s="1145">
        <f t="shared" si="285"/>
        <v>0</v>
      </c>
      <c r="AO993" s="1154">
        <f t="shared" si="286"/>
        <v>0</v>
      </c>
      <c r="AP993" s="1147">
        <f t="shared" si="273"/>
        <v>19210.079999999998</v>
      </c>
      <c r="AQ993" s="1144">
        <f t="shared" si="274"/>
        <v>0</v>
      </c>
      <c r="AR993" s="1146">
        <f t="shared" si="275"/>
        <v>19210.079999999998</v>
      </c>
    </row>
    <row r="994" spans="1:44" x14ac:dyDescent="0.2">
      <c r="A994" s="1141" t="str">
        <f t="shared" si="288"/>
        <v>1544</v>
      </c>
      <c r="B994" s="1141" t="str">
        <f>IFERROR(VLOOKUP(A994,'LAC 103'!A:C,3,FALSE),"")</f>
        <v>OP</v>
      </c>
      <c r="C994" s="1478" t="str">
        <f>Info!$B$8</f>
        <v>00100</v>
      </c>
      <c r="D994" s="1474" t="s">
        <v>256</v>
      </c>
      <c r="E994" s="1474" t="s">
        <v>95</v>
      </c>
      <c r="F994" s="1478" t="s">
        <v>396</v>
      </c>
      <c r="G994" s="1478" t="s">
        <v>396</v>
      </c>
      <c r="H994" s="1474" t="s">
        <v>996</v>
      </c>
      <c r="I994" s="1478" t="s">
        <v>912</v>
      </c>
      <c r="J994" s="1478"/>
      <c r="K994" s="1475" t="s">
        <v>846</v>
      </c>
      <c r="L994" s="1474" t="s">
        <v>332</v>
      </c>
      <c r="M994" s="1476" t="s">
        <v>842</v>
      </c>
      <c r="N994" s="1477" t="s">
        <v>1692</v>
      </c>
      <c r="O994" s="1479">
        <v>20298</v>
      </c>
      <c r="P994" s="1479"/>
      <c r="Q994" s="1142">
        <f t="shared" si="271"/>
        <v>20298</v>
      </c>
      <c r="R994" s="1143">
        <f>IFERROR(VLOOKUP(CONCATENATE(E994,G994),'LAC 103'!$A$12:$O$95,11,FALSE),0)</f>
        <v>3.2074101033884355</v>
      </c>
      <c r="S994" s="1144">
        <f>IFERROR(VLOOKUP(CONCATENATE($E994,$G994),'LAC 103'!$A$12:$O$95,12,FALSE),0)</f>
        <v>3.99</v>
      </c>
      <c r="T994" s="1144">
        <f>IFERROR(VLOOKUP(CONCATENATE($E994,$G994),'LAC 103'!$A$12:$O$95,13,FALSE),0)</f>
        <v>2.48</v>
      </c>
      <c r="U994" s="1144">
        <f>IFERROR(VLOOKUP(CONCATENATE($E994,$G994),'LAC 103'!$A$12:$O$95,14,FALSE),0)</f>
        <v>0</v>
      </c>
      <c r="V994" s="1144">
        <f>IFERROR(VLOOKUP(CONCATENATE($E994,$G994),'LAC 103'!$A$12:$O$95,15,FALSE),0)</f>
        <v>0</v>
      </c>
      <c r="W994" s="1145" t="str">
        <f>IFERROR(VLOOKUP(CONCATENATE($B994,$N994),'LAC 103'!$AI:$AQ,9,FALSE),"")</f>
        <v>Costs</v>
      </c>
      <c r="X994" s="1146">
        <f t="shared" si="276"/>
        <v>3.2074101033884355</v>
      </c>
      <c r="Y994" s="1143">
        <f t="shared" si="287"/>
        <v>65104.010278578462</v>
      </c>
      <c r="Z994" s="1147">
        <f t="shared" si="277"/>
        <v>80989.02</v>
      </c>
      <c r="AA994" s="1144">
        <f t="shared" si="278"/>
        <v>50339.040000000001</v>
      </c>
      <c r="AB994" s="1144">
        <f t="shared" si="279"/>
        <v>0</v>
      </c>
      <c r="AC994" s="1144">
        <f t="shared" si="280"/>
        <v>0</v>
      </c>
      <c r="AD994" s="1148">
        <f t="shared" si="272"/>
        <v>65104.010278578462</v>
      </c>
      <c r="AE994" s="1487">
        <v>0</v>
      </c>
      <c r="AF994" s="1145">
        <f t="shared" si="281"/>
        <v>65104.010278578462</v>
      </c>
      <c r="AG994" s="1149">
        <f>IFERROR(VLOOKUP(CONCATENATE($L994,$N994),'Drop List'!$G$23:$K$87,2,FALSE),0)</f>
        <v>0</v>
      </c>
      <c r="AH994" s="1150">
        <f>IFERROR(VLOOKUP(CONCATENATE($L994,$N994),'Drop List'!$G$23:$K$87,3,FALSE),0)</f>
        <v>0</v>
      </c>
      <c r="AI994" s="1150">
        <f>IFERROR(VLOOKUP(CONCATENATE($L994,$N994),'Drop List'!$G$23:$K$87,4,FALSE),0)</f>
        <v>0</v>
      </c>
      <c r="AJ994" s="1151">
        <f>IFERROR(VLOOKUP(CONCATENATE($L994,$N994),'Drop List'!$G$23:$K$87,5,FALSE),0)</f>
        <v>0</v>
      </c>
      <c r="AK994" s="1152">
        <f t="shared" si="282"/>
        <v>0</v>
      </c>
      <c r="AL994" s="1153">
        <f t="shared" si="283"/>
        <v>0</v>
      </c>
      <c r="AM994" s="1153">
        <f t="shared" si="284"/>
        <v>0</v>
      </c>
      <c r="AN994" s="1145">
        <f t="shared" si="285"/>
        <v>0</v>
      </c>
      <c r="AO994" s="1154">
        <f t="shared" si="286"/>
        <v>0</v>
      </c>
      <c r="AP994" s="1147">
        <f t="shared" si="273"/>
        <v>65104.010278578462</v>
      </c>
      <c r="AQ994" s="1144">
        <f t="shared" si="274"/>
        <v>0</v>
      </c>
      <c r="AR994" s="1146">
        <f t="shared" si="275"/>
        <v>65104.010278578462</v>
      </c>
    </row>
    <row r="995" spans="1:44" x14ac:dyDescent="0.2">
      <c r="A995" s="1141" t="str">
        <f t="shared" si="288"/>
        <v>1544</v>
      </c>
      <c r="B995" s="1141" t="str">
        <f>IFERROR(VLOOKUP(A995,'LAC 103'!A:C,3,FALSE),"")</f>
        <v>OP</v>
      </c>
      <c r="C995" s="1478" t="str">
        <f>Info!$B$8</f>
        <v>00100</v>
      </c>
      <c r="D995" s="1474" t="s">
        <v>256</v>
      </c>
      <c r="E995" s="1474" t="s">
        <v>95</v>
      </c>
      <c r="F995" s="1478" t="s">
        <v>396</v>
      </c>
      <c r="G995" s="1478" t="s">
        <v>396</v>
      </c>
      <c r="H995" s="1474" t="s">
        <v>996</v>
      </c>
      <c r="I995" s="1478" t="s">
        <v>912</v>
      </c>
      <c r="J995" s="1478"/>
      <c r="K995" s="1475" t="s">
        <v>846</v>
      </c>
      <c r="L995" s="1474" t="s">
        <v>332</v>
      </c>
      <c r="M995" s="1476" t="s">
        <v>1698</v>
      </c>
      <c r="N995" s="1477" t="s">
        <v>1693</v>
      </c>
      <c r="O995" s="1479">
        <v>26742</v>
      </c>
      <c r="P995" s="1479"/>
      <c r="Q995" s="1142">
        <f t="shared" si="271"/>
        <v>26742</v>
      </c>
      <c r="R995" s="1143">
        <f>IFERROR(VLOOKUP(CONCATENATE(E995,G995),'LAC 103'!$A$12:$O$95,11,FALSE),0)</f>
        <v>3.2074101033884355</v>
      </c>
      <c r="S995" s="1144">
        <f>IFERROR(VLOOKUP(CONCATENATE($E995,$G995),'LAC 103'!$A$12:$O$95,12,FALSE),0)</f>
        <v>3.99</v>
      </c>
      <c r="T995" s="1144">
        <f>IFERROR(VLOOKUP(CONCATENATE($E995,$G995),'LAC 103'!$A$12:$O$95,13,FALSE),0)</f>
        <v>2.48</v>
      </c>
      <c r="U995" s="1144">
        <f>IFERROR(VLOOKUP(CONCATENATE($E995,$G995),'LAC 103'!$A$12:$O$95,14,FALSE),0)</f>
        <v>0</v>
      </c>
      <c r="V995" s="1144">
        <f>IFERROR(VLOOKUP(CONCATENATE($E995,$G995),'LAC 103'!$A$12:$O$95,15,FALSE),0)</f>
        <v>0</v>
      </c>
      <c r="W995" s="1145" t="str">
        <f>IFERROR(VLOOKUP(CONCATENATE($B995,$N995),'LAC 103'!$AI:$AQ,9,FALSE),"")</f>
        <v>Costs</v>
      </c>
      <c r="X995" s="1146">
        <f t="shared" si="276"/>
        <v>3.2074101033884355</v>
      </c>
      <c r="Y995" s="1143">
        <f t="shared" si="287"/>
        <v>85772.560984813535</v>
      </c>
      <c r="Z995" s="1147">
        <f t="shared" si="277"/>
        <v>106700.58</v>
      </c>
      <c r="AA995" s="1144">
        <f t="shared" si="278"/>
        <v>66320.160000000003</v>
      </c>
      <c r="AB995" s="1144">
        <f t="shared" si="279"/>
        <v>0</v>
      </c>
      <c r="AC995" s="1144">
        <f t="shared" si="280"/>
        <v>0</v>
      </c>
      <c r="AD995" s="1148">
        <f t="shared" si="272"/>
        <v>85772.560984813535</v>
      </c>
      <c r="AE995" s="1487">
        <v>0</v>
      </c>
      <c r="AF995" s="1145">
        <f t="shared" si="281"/>
        <v>85772.560984813535</v>
      </c>
      <c r="AG995" s="1149">
        <f>IFERROR(VLOOKUP(CONCATENATE($L995,$N995),'Drop List'!$G$23:$K$87,2,FALSE),0)</f>
        <v>0</v>
      </c>
      <c r="AH995" s="1150">
        <f>IFERROR(VLOOKUP(CONCATENATE($L995,$N995),'Drop List'!$G$23:$K$87,3,FALSE),0)</f>
        <v>0</v>
      </c>
      <c r="AI995" s="1150">
        <f>IFERROR(VLOOKUP(CONCATENATE($L995,$N995),'Drop List'!$G$23:$K$87,4,FALSE),0)</f>
        <v>0</v>
      </c>
      <c r="AJ995" s="1151">
        <f>IFERROR(VLOOKUP(CONCATENATE($L995,$N995),'Drop List'!$G$23:$K$87,5,FALSE),0)</f>
        <v>0</v>
      </c>
      <c r="AK995" s="1152">
        <f t="shared" si="282"/>
        <v>0</v>
      </c>
      <c r="AL995" s="1153">
        <f t="shared" si="283"/>
        <v>0</v>
      </c>
      <c r="AM995" s="1153">
        <f t="shared" si="284"/>
        <v>0</v>
      </c>
      <c r="AN995" s="1145">
        <f t="shared" si="285"/>
        <v>0</v>
      </c>
      <c r="AO995" s="1154">
        <f t="shared" si="286"/>
        <v>0</v>
      </c>
      <c r="AP995" s="1147">
        <f t="shared" si="273"/>
        <v>85772.560984813535</v>
      </c>
      <c r="AQ995" s="1144">
        <f t="shared" si="274"/>
        <v>0</v>
      </c>
      <c r="AR995" s="1146">
        <f t="shared" si="275"/>
        <v>85772.560984813535</v>
      </c>
    </row>
    <row r="996" spans="1:44" x14ac:dyDescent="0.2">
      <c r="A996" s="1141" t="str">
        <f t="shared" si="288"/>
        <v>1544</v>
      </c>
      <c r="B996" s="1141" t="str">
        <f>IFERROR(VLOOKUP(A996,'LAC 103'!A:C,3,FALSE),"")</f>
        <v>OP</v>
      </c>
      <c r="C996" s="1478" t="str">
        <f>Info!$B$8</f>
        <v>00100</v>
      </c>
      <c r="D996" s="1474" t="s">
        <v>256</v>
      </c>
      <c r="E996" s="1474" t="s">
        <v>95</v>
      </c>
      <c r="F996" s="1478" t="s">
        <v>396</v>
      </c>
      <c r="G996" s="1478" t="s">
        <v>396</v>
      </c>
      <c r="H996" s="1474" t="s">
        <v>1655</v>
      </c>
      <c r="I996" s="1478" t="s">
        <v>913</v>
      </c>
      <c r="J996" s="1478" t="s">
        <v>123</v>
      </c>
      <c r="K996" s="1475" t="s">
        <v>846</v>
      </c>
      <c r="L996" s="1474" t="s">
        <v>332</v>
      </c>
      <c r="M996" s="1476" t="s">
        <v>1699</v>
      </c>
      <c r="N996" s="1477" t="s">
        <v>1694</v>
      </c>
      <c r="O996" s="1479">
        <v>14516</v>
      </c>
      <c r="P996" s="1479"/>
      <c r="Q996" s="1142">
        <f t="shared" si="271"/>
        <v>14516</v>
      </c>
      <c r="R996" s="1143">
        <f>IFERROR(VLOOKUP(CONCATENATE(E996,G996),'LAC 103'!$A$12:$O$95,11,FALSE),0)</f>
        <v>3.2074101033884355</v>
      </c>
      <c r="S996" s="1144">
        <f>IFERROR(VLOOKUP(CONCATENATE($E996,$G996),'LAC 103'!$A$12:$O$95,12,FALSE),0)</f>
        <v>3.99</v>
      </c>
      <c r="T996" s="1144">
        <f>IFERROR(VLOOKUP(CONCATENATE($E996,$G996),'LAC 103'!$A$12:$O$95,13,FALSE),0)</f>
        <v>2.48</v>
      </c>
      <c r="U996" s="1144">
        <f>IFERROR(VLOOKUP(CONCATENATE($E996,$G996),'LAC 103'!$A$12:$O$95,14,FALSE),0)</f>
        <v>0</v>
      </c>
      <c r="V996" s="1144">
        <f>IFERROR(VLOOKUP(CONCATENATE($E996,$G996),'LAC 103'!$A$12:$O$95,15,FALSE),0)</f>
        <v>0</v>
      </c>
      <c r="W996" s="1145" t="str">
        <f>IFERROR(VLOOKUP(CONCATENATE($B996,$N996),'LAC 103'!$AI:$AQ,9,FALSE),"")</f>
        <v>Costs</v>
      </c>
      <c r="X996" s="1146">
        <f t="shared" si="276"/>
        <v>3.2074101033884355</v>
      </c>
      <c r="Y996" s="1143">
        <f t="shared" si="287"/>
        <v>46558.765060786529</v>
      </c>
      <c r="Z996" s="1147">
        <f t="shared" si="277"/>
        <v>57918.840000000004</v>
      </c>
      <c r="AA996" s="1144">
        <f t="shared" si="278"/>
        <v>35999.68</v>
      </c>
      <c r="AB996" s="1144">
        <f t="shared" si="279"/>
        <v>0</v>
      </c>
      <c r="AC996" s="1144">
        <f t="shared" si="280"/>
        <v>0</v>
      </c>
      <c r="AD996" s="1148">
        <f t="shared" si="272"/>
        <v>46558.765060786529</v>
      </c>
      <c r="AE996" s="1487">
        <v>0</v>
      </c>
      <c r="AF996" s="1145">
        <f t="shared" si="281"/>
        <v>46558.765060786529</v>
      </c>
      <c r="AG996" s="1149">
        <f>IFERROR(VLOOKUP(CONCATENATE($L996,$N996),'Drop List'!$G$23:$K$87,2,FALSE),0)</f>
        <v>0</v>
      </c>
      <c r="AH996" s="1150">
        <f>IFERROR(VLOOKUP(CONCATENATE($L996,$N996),'Drop List'!$G$23:$K$87,3,FALSE),0)</f>
        <v>0</v>
      </c>
      <c r="AI996" s="1150">
        <f>IFERROR(VLOOKUP(CONCATENATE($L996,$N996),'Drop List'!$G$23:$K$87,4,FALSE),0)</f>
        <v>0</v>
      </c>
      <c r="AJ996" s="1151">
        <f>IFERROR(VLOOKUP(CONCATENATE($L996,$N996),'Drop List'!$G$23:$K$87,5,FALSE),0)</f>
        <v>0</v>
      </c>
      <c r="AK996" s="1152">
        <f t="shared" si="282"/>
        <v>0</v>
      </c>
      <c r="AL996" s="1153">
        <f t="shared" si="283"/>
        <v>0</v>
      </c>
      <c r="AM996" s="1153">
        <f t="shared" si="284"/>
        <v>0</v>
      </c>
      <c r="AN996" s="1145">
        <f t="shared" si="285"/>
        <v>0</v>
      </c>
      <c r="AO996" s="1154">
        <f t="shared" si="286"/>
        <v>0</v>
      </c>
      <c r="AP996" s="1147">
        <f t="shared" si="273"/>
        <v>46558.765060786529</v>
      </c>
      <c r="AQ996" s="1144">
        <f t="shared" si="274"/>
        <v>0</v>
      </c>
      <c r="AR996" s="1146">
        <f t="shared" si="275"/>
        <v>46558.765060786529</v>
      </c>
    </row>
    <row r="997" spans="1:44" x14ac:dyDescent="0.2">
      <c r="A997" s="1141" t="str">
        <f t="shared" si="288"/>
        <v>1544</v>
      </c>
      <c r="B997" s="1141" t="str">
        <f>IFERROR(VLOOKUP(A997,'LAC 103'!A:C,3,FALSE),"")</f>
        <v>OP</v>
      </c>
      <c r="C997" s="1478" t="str">
        <f>Info!$B$8</f>
        <v>00100</v>
      </c>
      <c r="D997" s="1474" t="s">
        <v>256</v>
      </c>
      <c r="E997" s="1474" t="s">
        <v>95</v>
      </c>
      <c r="F997" s="1478" t="s">
        <v>396</v>
      </c>
      <c r="G997" s="1478" t="s">
        <v>396</v>
      </c>
      <c r="H997" s="1474" t="s">
        <v>1655</v>
      </c>
      <c r="I997" s="1478" t="s">
        <v>913</v>
      </c>
      <c r="J997" s="1478"/>
      <c r="K997" s="1475" t="s">
        <v>846</v>
      </c>
      <c r="L997" s="1474" t="s">
        <v>332</v>
      </c>
      <c r="M997" s="1476" t="s">
        <v>841</v>
      </c>
      <c r="N997" s="1477" t="s">
        <v>1695</v>
      </c>
      <c r="O997" s="1479">
        <v>1385</v>
      </c>
      <c r="P997" s="1479"/>
      <c r="Q997" s="1142">
        <f t="shared" si="271"/>
        <v>1385</v>
      </c>
      <c r="R997" s="1143">
        <f>IFERROR(VLOOKUP(CONCATENATE(E997,G997),'LAC 103'!$A$12:$O$95,11,FALSE),0)</f>
        <v>3.2074101033884355</v>
      </c>
      <c r="S997" s="1144">
        <f>IFERROR(VLOOKUP(CONCATENATE($E997,$G997),'LAC 103'!$A$12:$O$95,12,FALSE),0)</f>
        <v>3.99</v>
      </c>
      <c r="T997" s="1144">
        <f>IFERROR(VLOOKUP(CONCATENATE($E997,$G997),'LAC 103'!$A$12:$O$95,13,FALSE),0)</f>
        <v>2.48</v>
      </c>
      <c r="U997" s="1144">
        <f>IFERROR(VLOOKUP(CONCATENATE($E997,$G997),'LAC 103'!$A$12:$O$95,14,FALSE),0)</f>
        <v>0</v>
      </c>
      <c r="V997" s="1144">
        <f>IFERROR(VLOOKUP(CONCATENATE($E997,$G997),'LAC 103'!$A$12:$O$95,15,FALSE),0)</f>
        <v>0</v>
      </c>
      <c r="W997" s="1145" t="str">
        <f>IFERROR(VLOOKUP(CONCATENATE($B997,$N997),'LAC 103'!$AI:$AQ,9,FALSE),"")</f>
        <v>Costs</v>
      </c>
      <c r="X997" s="1146">
        <f t="shared" si="276"/>
        <v>3.2074101033884355</v>
      </c>
      <c r="Y997" s="1143">
        <f t="shared" si="287"/>
        <v>4442.2629931929832</v>
      </c>
      <c r="Z997" s="1147">
        <f t="shared" si="277"/>
        <v>5526.1500000000005</v>
      </c>
      <c r="AA997" s="1144">
        <f t="shared" si="278"/>
        <v>3434.8</v>
      </c>
      <c r="AB997" s="1144">
        <f t="shared" si="279"/>
        <v>0</v>
      </c>
      <c r="AC997" s="1144">
        <f t="shared" si="280"/>
        <v>0</v>
      </c>
      <c r="AD997" s="1148">
        <f t="shared" si="272"/>
        <v>4442.2629931929832</v>
      </c>
      <c r="AE997" s="1487">
        <v>0</v>
      </c>
      <c r="AF997" s="1145">
        <f t="shared" si="281"/>
        <v>4442.2629931929832</v>
      </c>
      <c r="AG997" s="1149">
        <f>IFERROR(VLOOKUP(CONCATENATE($L997,$N997),'Drop List'!$G$23:$K$87,2,FALSE),0)</f>
        <v>0</v>
      </c>
      <c r="AH997" s="1150">
        <f>IFERROR(VLOOKUP(CONCATENATE($L997,$N997),'Drop List'!$G$23:$K$87,3,FALSE),0)</f>
        <v>0</v>
      </c>
      <c r="AI997" s="1150">
        <f>IFERROR(VLOOKUP(CONCATENATE($L997,$N997),'Drop List'!$G$23:$K$87,4,FALSE),0)</f>
        <v>0</v>
      </c>
      <c r="AJ997" s="1151">
        <f>IFERROR(VLOOKUP(CONCATENATE($L997,$N997),'Drop List'!$G$23:$K$87,5,FALSE),0)</f>
        <v>0</v>
      </c>
      <c r="AK997" s="1152">
        <f t="shared" si="282"/>
        <v>0</v>
      </c>
      <c r="AL997" s="1153">
        <f t="shared" si="283"/>
        <v>0</v>
      </c>
      <c r="AM997" s="1153">
        <f t="shared" si="284"/>
        <v>0</v>
      </c>
      <c r="AN997" s="1145">
        <f t="shared" si="285"/>
        <v>0</v>
      </c>
      <c r="AO997" s="1154">
        <f t="shared" si="286"/>
        <v>0</v>
      </c>
      <c r="AP997" s="1147">
        <f t="shared" si="273"/>
        <v>4442.2629931929832</v>
      </c>
      <c r="AQ997" s="1144">
        <f t="shared" si="274"/>
        <v>0</v>
      </c>
      <c r="AR997" s="1146">
        <f t="shared" si="275"/>
        <v>4442.2629931929832</v>
      </c>
    </row>
    <row r="998" spans="1:44" x14ac:dyDescent="0.2">
      <c r="A998" s="1141" t="str">
        <f t="shared" si="288"/>
        <v>1544</v>
      </c>
      <c r="B998" s="1141" t="str">
        <f>IFERROR(VLOOKUP(A998,'LAC 103'!A:C,3,FALSE),"")</f>
        <v>OP</v>
      </c>
      <c r="C998" s="1478" t="str">
        <f>Info!$B$8</f>
        <v>00100</v>
      </c>
      <c r="D998" s="1474" t="s">
        <v>256</v>
      </c>
      <c r="E998" s="1474" t="s">
        <v>95</v>
      </c>
      <c r="F998" s="1478" t="s">
        <v>396</v>
      </c>
      <c r="G998" s="1478" t="s">
        <v>396</v>
      </c>
      <c r="H998" s="1474" t="s">
        <v>1655</v>
      </c>
      <c r="I998" s="1478" t="s">
        <v>913</v>
      </c>
      <c r="J998" s="1478"/>
      <c r="K998" s="1475" t="s">
        <v>846</v>
      </c>
      <c r="L998" s="1474" t="s">
        <v>332</v>
      </c>
      <c r="M998" s="1476" t="s">
        <v>840</v>
      </c>
      <c r="N998" s="1477" t="s">
        <v>1700</v>
      </c>
      <c r="O998" s="1479">
        <v>1214</v>
      </c>
      <c r="P998" s="1479"/>
      <c r="Q998" s="1142">
        <f t="shared" si="271"/>
        <v>1214</v>
      </c>
      <c r="R998" s="1143">
        <f>IFERROR(VLOOKUP(CONCATENATE(E998,G998),'LAC 103'!$A$12:$O$95,11,FALSE),0)</f>
        <v>3.2074101033884355</v>
      </c>
      <c r="S998" s="1144">
        <f>IFERROR(VLOOKUP(CONCATENATE($E998,$G998),'LAC 103'!$A$12:$O$95,12,FALSE),0)</f>
        <v>3.99</v>
      </c>
      <c r="T998" s="1144">
        <f>IFERROR(VLOOKUP(CONCATENATE($E998,$G998),'LAC 103'!$A$12:$O$95,13,FALSE),0)</f>
        <v>2.48</v>
      </c>
      <c r="U998" s="1144">
        <f>IFERROR(VLOOKUP(CONCATENATE($E998,$G998),'LAC 103'!$A$12:$O$95,14,FALSE),0)</f>
        <v>0</v>
      </c>
      <c r="V998" s="1144">
        <f>IFERROR(VLOOKUP(CONCATENATE($E998,$G998),'LAC 103'!$A$12:$O$95,15,FALSE),0)</f>
        <v>0</v>
      </c>
      <c r="W998" s="1145" t="str">
        <f>IFERROR(VLOOKUP(CONCATENATE($B998,$N998),'LAC 103'!$AI:$AQ,9,FALSE),"")</f>
        <v>P.C.</v>
      </c>
      <c r="X998" s="1146">
        <f t="shared" si="276"/>
        <v>2.48</v>
      </c>
      <c r="Y998" s="1143">
        <f t="shared" si="287"/>
        <v>3893.7958655135608</v>
      </c>
      <c r="Z998" s="1147">
        <f t="shared" si="277"/>
        <v>4843.8600000000006</v>
      </c>
      <c r="AA998" s="1144">
        <f t="shared" si="278"/>
        <v>3010.72</v>
      </c>
      <c r="AB998" s="1144">
        <f t="shared" si="279"/>
        <v>0</v>
      </c>
      <c r="AC998" s="1144">
        <f t="shared" si="280"/>
        <v>0</v>
      </c>
      <c r="AD998" s="1148">
        <f t="shared" si="272"/>
        <v>3010.72</v>
      </c>
      <c r="AE998" s="1487">
        <v>0</v>
      </c>
      <c r="AF998" s="1145">
        <f t="shared" si="281"/>
        <v>3010.72</v>
      </c>
      <c r="AG998" s="1149">
        <f>IFERROR(VLOOKUP(CONCATENATE($L998,$N998),'Drop List'!$G$23:$K$87,2,FALSE),0)</f>
        <v>0</v>
      </c>
      <c r="AH998" s="1150">
        <f>IFERROR(VLOOKUP(CONCATENATE($L998,$N998),'Drop List'!$G$23:$K$87,3,FALSE),0)</f>
        <v>0</v>
      </c>
      <c r="AI998" s="1150">
        <f>IFERROR(VLOOKUP(CONCATENATE($L998,$N998),'Drop List'!$G$23:$K$87,4,FALSE),0)</f>
        <v>0</v>
      </c>
      <c r="AJ998" s="1151">
        <f>IFERROR(VLOOKUP(CONCATENATE($L998,$N998),'Drop List'!$G$23:$K$87,5,FALSE),0)</f>
        <v>0</v>
      </c>
      <c r="AK998" s="1152">
        <f t="shared" si="282"/>
        <v>0</v>
      </c>
      <c r="AL998" s="1153">
        <f t="shared" si="283"/>
        <v>0</v>
      </c>
      <c r="AM998" s="1153">
        <f t="shared" si="284"/>
        <v>0</v>
      </c>
      <c r="AN998" s="1145">
        <f t="shared" si="285"/>
        <v>0</v>
      </c>
      <c r="AO998" s="1154">
        <f t="shared" si="286"/>
        <v>0</v>
      </c>
      <c r="AP998" s="1147">
        <f t="shared" si="273"/>
        <v>3010.72</v>
      </c>
      <c r="AQ998" s="1144">
        <f t="shared" si="274"/>
        <v>0</v>
      </c>
      <c r="AR998" s="1146">
        <f t="shared" si="275"/>
        <v>3010.72</v>
      </c>
    </row>
    <row r="999" spans="1:44" x14ac:dyDescent="0.2">
      <c r="A999" s="1141" t="str">
        <f t="shared" si="288"/>
        <v>1544</v>
      </c>
      <c r="B999" s="1141" t="str">
        <f>IFERROR(VLOOKUP(A999,'LAC 103'!A:C,3,FALSE),"")</f>
        <v>OP</v>
      </c>
      <c r="C999" s="1478" t="str">
        <f>Info!$B$8</f>
        <v>00100</v>
      </c>
      <c r="D999" s="1474" t="s">
        <v>256</v>
      </c>
      <c r="E999" s="1474" t="s">
        <v>95</v>
      </c>
      <c r="F999" s="1478" t="s">
        <v>396</v>
      </c>
      <c r="G999" s="1478" t="s">
        <v>396</v>
      </c>
      <c r="H999" s="1474" t="s">
        <v>1655</v>
      </c>
      <c r="I999" s="1478" t="s">
        <v>913</v>
      </c>
      <c r="J999" s="1478"/>
      <c r="K999" s="1475" t="s">
        <v>846</v>
      </c>
      <c r="L999" s="1474" t="s">
        <v>332</v>
      </c>
      <c r="M999" s="1476" t="s">
        <v>842</v>
      </c>
      <c r="N999" s="1477" t="s">
        <v>1692</v>
      </c>
      <c r="O999" s="1479">
        <v>3230</v>
      </c>
      <c r="P999" s="1479"/>
      <c r="Q999" s="1142">
        <f t="shared" si="271"/>
        <v>3230</v>
      </c>
      <c r="R999" s="1143">
        <f>IFERROR(VLOOKUP(CONCATENATE(E999,G999),'LAC 103'!$A$12:$O$95,11,FALSE),0)</f>
        <v>3.2074101033884355</v>
      </c>
      <c r="S999" s="1144">
        <f>IFERROR(VLOOKUP(CONCATENATE($E999,$G999),'LAC 103'!$A$12:$O$95,12,FALSE),0)</f>
        <v>3.99</v>
      </c>
      <c r="T999" s="1144">
        <f>IFERROR(VLOOKUP(CONCATENATE($E999,$G999),'LAC 103'!$A$12:$O$95,13,FALSE),0)</f>
        <v>2.48</v>
      </c>
      <c r="U999" s="1144">
        <f>IFERROR(VLOOKUP(CONCATENATE($E999,$G999),'LAC 103'!$A$12:$O$95,14,FALSE),0)</f>
        <v>0</v>
      </c>
      <c r="V999" s="1144">
        <f>IFERROR(VLOOKUP(CONCATENATE($E999,$G999),'LAC 103'!$A$12:$O$95,15,FALSE),0)</f>
        <v>0</v>
      </c>
      <c r="W999" s="1145" t="str">
        <f>IFERROR(VLOOKUP(CONCATENATE($B999,$N999),'LAC 103'!$AI:$AQ,9,FALSE),"")</f>
        <v>Costs</v>
      </c>
      <c r="X999" s="1146">
        <f t="shared" si="276"/>
        <v>3.2074101033884355</v>
      </c>
      <c r="Y999" s="1143">
        <f t="shared" si="287"/>
        <v>10359.934633944647</v>
      </c>
      <c r="Z999" s="1147">
        <f t="shared" si="277"/>
        <v>12887.7</v>
      </c>
      <c r="AA999" s="1144">
        <f t="shared" si="278"/>
        <v>8010.4</v>
      </c>
      <c r="AB999" s="1144">
        <f t="shared" si="279"/>
        <v>0</v>
      </c>
      <c r="AC999" s="1144">
        <f t="shared" si="280"/>
        <v>0</v>
      </c>
      <c r="AD999" s="1148">
        <f t="shared" si="272"/>
        <v>10359.934633944647</v>
      </c>
      <c r="AE999" s="1487">
        <v>0</v>
      </c>
      <c r="AF999" s="1145">
        <f t="shared" si="281"/>
        <v>10359.934633944647</v>
      </c>
      <c r="AG999" s="1149">
        <f>IFERROR(VLOOKUP(CONCATENATE($L999,$N999),'Drop List'!$G$23:$K$87,2,FALSE),0)</f>
        <v>0</v>
      </c>
      <c r="AH999" s="1150">
        <f>IFERROR(VLOOKUP(CONCATENATE($L999,$N999),'Drop List'!$G$23:$K$87,3,FALSE),0)</f>
        <v>0</v>
      </c>
      <c r="AI999" s="1150">
        <f>IFERROR(VLOOKUP(CONCATENATE($L999,$N999),'Drop List'!$G$23:$K$87,4,FALSE),0)</f>
        <v>0</v>
      </c>
      <c r="AJ999" s="1151">
        <f>IFERROR(VLOOKUP(CONCATENATE($L999,$N999),'Drop List'!$G$23:$K$87,5,FALSE),0)</f>
        <v>0</v>
      </c>
      <c r="AK999" s="1152">
        <f t="shared" si="282"/>
        <v>0</v>
      </c>
      <c r="AL999" s="1153">
        <f t="shared" si="283"/>
        <v>0</v>
      </c>
      <c r="AM999" s="1153">
        <f t="shared" si="284"/>
        <v>0</v>
      </c>
      <c r="AN999" s="1145">
        <f t="shared" si="285"/>
        <v>0</v>
      </c>
      <c r="AO999" s="1154">
        <f t="shared" si="286"/>
        <v>0</v>
      </c>
      <c r="AP999" s="1147">
        <f t="shared" si="273"/>
        <v>10359.934633944647</v>
      </c>
      <c r="AQ999" s="1144">
        <f t="shared" si="274"/>
        <v>0</v>
      </c>
      <c r="AR999" s="1146">
        <f t="shared" si="275"/>
        <v>10359.934633944647</v>
      </c>
    </row>
    <row r="1000" spans="1:44" x14ac:dyDescent="0.2">
      <c r="A1000" s="1141" t="str">
        <f t="shared" si="288"/>
        <v>1544</v>
      </c>
      <c r="B1000" s="1141" t="str">
        <f>IFERROR(VLOOKUP(A1000,'LAC 103'!A:C,3,FALSE),"")</f>
        <v>OP</v>
      </c>
      <c r="C1000" s="1478" t="str">
        <f>Info!$B$8</f>
        <v>00100</v>
      </c>
      <c r="D1000" s="1474" t="s">
        <v>256</v>
      </c>
      <c r="E1000" s="1474" t="s">
        <v>95</v>
      </c>
      <c r="F1000" s="1478" t="s">
        <v>396</v>
      </c>
      <c r="G1000" s="1478" t="s">
        <v>396</v>
      </c>
      <c r="H1000" s="1474" t="s">
        <v>1655</v>
      </c>
      <c r="I1000" s="1478" t="s">
        <v>913</v>
      </c>
      <c r="J1000" s="1478"/>
      <c r="K1000" s="1475" t="s">
        <v>846</v>
      </c>
      <c r="L1000" s="1474" t="s">
        <v>332</v>
      </c>
      <c r="M1000" s="1476" t="s">
        <v>1698</v>
      </c>
      <c r="N1000" s="1477" t="s">
        <v>1693</v>
      </c>
      <c r="O1000" s="1479">
        <v>6555</v>
      </c>
      <c r="P1000" s="1479"/>
      <c r="Q1000" s="1142">
        <f t="shared" si="271"/>
        <v>6555</v>
      </c>
      <c r="R1000" s="1143">
        <f>IFERROR(VLOOKUP(CONCATENATE(E1000,G1000),'LAC 103'!$A$12:$O$95,11,FALSE),0)</f>
        <v>3.2074101033884355</v>
      </c>
      <c r="S1000" s="1144">
        <f>IFERROR(VLOOKUP(CONCATENATE($E1000,$G1000),'LAC 103'!$A$12:$O$95,12,FALSE),0)</f>
        <v>3.99</v>
      </c>
      <c r="T1000" s="1144">
        <f>IFERROR(VLOOKUP(CONCATENATE($E1000,$G1000),'LAC 103'!$A$12:$O$95,13,FALSE),0)</f>
        <v>2.48</v>
      </c>
      <c r="U1000" s="1144">
        <f>IFERROR(VLOOKUP(CONCATENATE($E1000,$G1000),'LAC 103'!$A$12:$O$95,14,FALSE),0)</f>
        <v>0</v>
      </c>
      <c r="V1000" s="1144">
        <f>IFERROR(VLOOKUP(CONCATENATE($E1000,$G1000),'LAC 103'!$A$12:$O$95,15,FALSE),0)</f>
        <v>0</v>
      </c>
      <c r="W1000" s="1145" t="str">
        <f>IFERROR(VLOOKUP(CONCATENATE($B1000,$N1000),'LAC 103'!$AI:$AQ,9,FALSE),"")</f>
        <v>Costs</v>
      </c>
      <c r="X1000" s="1146">
        <f t="shared" si="276"/>
        <v>3.2074101033884355</v>
      </c>
      <c r="Y1000" s="1143">
        <f t="shared" si="287"/>
        <v>21024.573227711193</v>
      </c>
      <c r="Z1000" s="1147">
        <f t="shared" si="277"/>
        <v>26154.45</v>
      </c>
      <c r="AA1000" s="1144">
        <f t="shared" si="278"/>
        <v>16256.4</v>
      </c>
      <c r="AB1000" s="1144">
        <f t="shared" si="279"/>
        <v>0</v>
      </c>
      <c r="AC1000" s="1144">
        <f t="shared" si="280"/>
        <v>0</v>
      </c>
      <c r="AD1000" s="1148">
        <f t="shared" si="272"/>
        <v>21024.573227711193</v>
      </c>
      <c r="AE1000" s="1487">
        <v>0</v>
      </c>
      <c r="AF1000" s="1145">
        <f t="shared" si="281"/>
        <v>21024.573227711193</v>
      </c>
      <c r="AG1000" s="1149">
        <f>IFERROR(VLOOKUP(CONCATENATE($L1000,$N1000),'Drop List'!$G$23:$K$87,2,FALSE),0)</f>
        <v>0</v>
      </c>
      <c r="AH1000" s="1150">
        <f>IFERROR(VLOOKUP(CONCATENATE($L1000,$N1000),'Drop List'!$G$23:$K$87,3,FALSE),0)</f>
        <v>0</v>
      </c>
      <c r="AI1000" s="1150">
        <f>IFERROR(VLOOKUP(CONCATENATE($L1000,$N1000),'Drop List'!$G$23:$K$87,4,FALSE),0)</f>
        <v>0</v>
      </c>
      <c r="AJ1000" s="1151">
        <f>IFERROR(VLOOKUP(CONCATENATE($L1000,$N1000),'Drop List'!$G$23:$K$87,5,FALSE),0)</f>
        <v>0</v>
      </c>
      <c r="AK1000" s="1152">
        <f t="shared" si="282"/>
        <v>0</v>
      </c>
      <c r="AL1000" s="1153">
        <f t="shared" si="283"/>
        <v>0</v>
      </c>
      <c r="AM1000" s="1153">
        <f t="shared" si="284"/>
        <v>0</v>
      </c>
      <c r="AN1000" s="1145">
        <f t="shared" si="285"/>
        <v>0</v>
      </c>
      <c r="AO1000" s="1154">
        <f t="shared" si="286"/>
        <v>0</v>
      </c>
      <c r="AP1000" s="1147">
        <f t="shared" si="273"/>
        <v>21024.573227711193</v>
      </c>
      <c r="AQ1000" s="1144">
        <f t="shared" si="274"/>
        <v>0</v>
      </c>
      <c r="AR1000" s="1146">
        <f t="shared" si="275"/>
        <v>21024.573227711193</v>
      </c>
    </row>
    <row r="1001" spans="1:44" x14ac:dyDescent="0.2">
      <c r="A1001" s="1141" t="str">
        <f t="shared" si="288"/>
        <v>1544</v>
      </c>
      <c r="B1001" s="1141" t="str">
        <f>IFERROR(VLOOKUP(A1001,'LAC 103'!A:C,3,FALSE),"")</f>
        <v>OP</v>
      </c>
      <c r="C1001" s="1478" t="str">
        <f>Info!$B$8</f>
        <v>00100</v>
      </c>
      <c r="D1001" s="1474" t="s">
        <v>256</v>
      </c>
      <c r="E1001" s="1474" t="s">
        <v>95</v>
      </c>
      <c r="F1001" s="1478" t="s">
        <v>396</v>
      </c>
      <c r="G1001" s="1478" t="s">
        <v>396</v>
      </c>
      <c r="H1001" s="1474" t="s">
        <v>1657</v>
      </c>
      <c r="I1001" s="1478" t="s">
        <v>809</v>
      </c>
      <c r="J1001" s="1478" t="s">
        <v>123</v>
      </c>
      <c r="K1001" s="1475" t="s">
        <v>846</v>
      </c>
      <c r="L1001" s="1474" t="s">
        <v>332</v>
      </c>
      <c r="M1001" s="1476" t="s">
        <v>1699</v>
      </c>
      <c r="N1001" s="1477" t="s">
        <v>1694</v>
      </c>
      <c r="O1001" s="1479">
        <v>11226</v>
      </c>
      <c r="P1001" s="1479"/>
      <c r="Q1001" s="1142">
        <f t="shared" si="271"/>
        <v>11226</v>
      </c>
      <c r="R1001" s="1143">
        <f>IFERROR(VLOOKUP(CONCATENATE(E1001,G1001),'LAC 103'!$A$12:$O$95,11,FALSE),0)</f>
        <v>3.2074101033884355</v>
      </c>
      <c r="S1001" s="1144">
        <f>IFERROR(VLOOKUP(CONCATENATE($E1001,$G1001),'LAC 103'!$A$12:$O$95,12,FALSE),0)</f>
        <v>3.99</v>
      </c>
      <c r="T1001" s="1144">
        <f>IFERROR(VLOOKUP(CONCATENATE($E1001,$G1001),'LAC 103'!$A$12:$O$95,13,FALSE),0)</f>
        <v>2.48</v>
      </c>
      <c r="U1001" s="1144">
        <f>IFERROR(VLOOKUP(CONCATENATE($E1001,$G1001),'LAC 103'!$A$12:$O$95,14,FALSE),0)</f>
        <v>0</v>
      </c>
      <c r="V1001" s="1144">
        <f>IFERROR(VLOOKUP(CONCATENATE($E1001,$G1001),'LAC 103'!$A$12:$O$95,15,FALSE),0)</f>
        <v>0</v>
      </c>
      <c r="W1001" s="1145" t="str">
        <f>IFERROR(VLOOKUP(CONCATENATE($B1001,$N1001),'LAC 103'!$AI:$AQ,9,FALSE),"")</f>
        <v>Costs</v>
      </c>
      <c r="X1001" s="1146">
        <f t="shared" si="276"/>
        <v>3.2074101033884355</v>
      </c>
      <c r="Y1001" s="1143">
        <f t="shared" si="287"/>
        <v>36006.385820638578</v>
      </c>
      <c r="Z1001" s="1147">
        <f t="shared" si="277"/>
        <v>44791.740000000005</v>
      </c>
      <c r="AA1001" s="1144">
        <f t="shared" si="278"/>
        <v>27840.48</v>
      </c>
      <c r="AB1001" s="1144">
        <f t="shared" si="279"/>
        <v>0</v>
      </c>
      <c r="AC1001" s="1144">
        <f t="shared" si="280"/>
        <v>0</v>
      </c>
      <c r="AD1001" s="1148">
        <f t="shared" si="272"/>
        <v>36006.385820638578</v>
      </c>
      <c r="AE1001" s="1487">
        <v>0</v>
      </c>
      <c r="AF1001" s="1145">
        <f t="shared" si="281"/>
        <v>36006.385820638578</v>
      </c>
      <c r="AG1001" s="1149">
        <f>IFERROR(VLOOKUP(CONCATENATE($L1001,$N1001),'Drop List'!$G$23:$K$87,2,FALSE),0)</f>
        <v>0</v>
      </c>
      <c r="AH1001" s="1150">
        <f>IFERROR(VLOOKUP(CONCATENATE($L1001,$N1001),'Drop List'!$G$23:$K$87,3,FALSE),0)</f>
        <v>0</v>
      </c>
      <c r="AI1001" s="1150">
        <f>IFERROR(VLOOKUP(CONCATENATE($L1001,$N1001),'Drop List'!$G$23:$K$87,4,FALSE),0)</f>
        <v>0</v>
      </c>
      <c r="AJ1001" s="1151">
        <f>IFERROR(VLOOKUP(CONCATENATE($L1001,$N1001),'Drop List'!$G$23:$K$87,5,FALSE),0)</f>
        <v>0</v>
      </c>
      <c r="AK1001" s="1152">
        <f t="shared" si="282"/>
        <v>0</v>
      </c>
      <c r="AL1001" s="1153">
        <f t="shared" si="283"/>
        <v>0</v>
      </c>
      <c r="AM1001" s="1153">
        <f t="shared" si="284"/>
        <v>0</v>
      </c>
      <c r="AN1001" s="1145">
        <f t="shared" si="285"/>
        <v>0</v>
      </c>
      <c r="AO1001" s="1154">
        <f t="shared" si="286"/>
        <v>0</v>
      </c>
      <c r="AP1001" s="1147">
        <f t="shared" si="273"/>
        <v>36006.385820638578</v>
      </c>
      <c r="AQ1001" s="1144">
        <f t="shared" si="274"/>
        <v>0</v>
      </c>
      <c r="AR1001" s="1146">
        <f t="shared" si="275"/>
        <v>36006.385820638578</v>
      </c>
    </row>
    <row r="1002" spans="1:44" x14ac:dyDescent="0.2">
      <c r="A1002" s="1141" t="str">
        <f t="shared" si="288"/>
        <v>1544</v>
      </c>
      <c r="B1002" s="1141" t="str">
        <f>IFERROR(VLOOKUP(A1002,'LAC 103'!A:C,3,FALSE),"")</f>
        <v>OP</v>
      </c>
      <c r="C1002" s="1478" t="str">
        <f>Info!$B$8</f>
        <v>00100</v>
      </c>
      <c r="D1002" s="1474" t="s">
        <v>256</v>
      </c>
      <c r="E1002" s="1474" t="s">
        <v>95</v>
      </c>
      <c r="F1002" s="1478" t="s">
        <v>396</v>
      </c>
      <c r="G1002" s="1478" t="s">
        <v>396</v>
      </c>
      <c r="H1002" s="1474" t="s">
        <v>1657</v>
      </c>
      <c r="I1002" s="1478" t="s">
        <v>809</v>
      </c>
      <c r="J1002" s="1478"/>
      <c r="K1002" s="1475" t="s">
        <v>846</v>
      </c>
      <c r="L1002" s="1474" t="s">
        <v>332</v>
      </c>
      <c r="M1002" s="1476" t="s">
        <v>841</v>
      </c>
      <c r="N1002" s="1477" t="s">
        <v>1695</v>
      </c>
      <c r="O1002" s="1479">
        <v>6223</v>
      </c>
      <c r="P1002" s="1479"/>
      <c r="Q1002" s="1142">
        <f t="shared" si="271"/>
        <v>6223</v>
      </c>
      <c r="R1002" s="1143">
        <f>IFERROR(VLOOKUP(CONCATENATE(E1002,G1002),'LAC 103'!$A$12:$O$95,11,FALSE),0)</f>
        <v>3.2074101033884355</v>
      </c>
      <c r="S1002" s="1144">
        <f>IFERROR(VLOOKUP(CONCATENATE($E1002,$G1002),'LAC 103'!$A$12:$O$95,12,FALSE),0)</f>
        <v>3.99</v>
      </c>
      <c r="T1002" s="1144">
        <f>IFERROR(VLOOKUP(CONCATENATE($E1002,$G1002),'LAC 103'!$A$12:$O$95,13,FALSE),0)</f>
        <v>2.48</v>
      </c>
      <c r="U1002" s="1144">
        <f>IFERROR(VLOOKUP(CONCATENATE($E1002,$G1002),'LAC 103'!$A$12:$O$95,14,FALSE),0)</f>
        <v>0</v>
      </c>
      <c r="V1002" s="1144">
        <f>IFERROR(VLOOKUP(CONCATENATE($E1002,$G1002),'LAC 103'!$A$12:$O$95,15,FALSE),0)</f>
        <v>0</v>
      </c>
      <c r="W1002" s="1145" t="str">
        <f>IFERROR(VLOOKUP(CONCATENATE($B1002,$N1002),'LAC 103'!$AI:$AQ,9,FALSE),"")</f>
        <v>Costs</v>
      </c>
      <c r="X1002" s="1146">
        <f t="shared" si="276"/>
        <v>3.2074101033884355</v>
      </c>
      <c r="Y1002" s="1143">
        <f t="shared" si="287"/>
        <v>19959.713073386232</v>
      </c>
      <c r="Z1002" s="1147">
        <f t="shared" si="277"/>
        <v>24829.77</v>
      </c>
      <c r="AA1002" s="1144">
        <f t="shared" si="278"/>
        <v>15433.039999999999</v>
      </c>
      <c r="AB1002" s="1144">
        <f t="shared" si="279"/>
        <v>0</v>
      </c>
      <c r="AC1002" s="1144">
        <f t="shared" si="280"/>
        <v>0</v>
      </c>
      <c r="AD1002" s="1148">
        <f t="shared" si="272"/>
        <v>19959.713073386232</v>
      </c>
      <c r="AE1002" s="1487">
        <v>0</v>
      </c>
      <c r="AF1002" s="1145">
        <f t="shared" si="281"/>
        <v>19959.713073386232</v>
      </c>
      <c r="AG1002" s="1149">
        <f>IFERROR(VLOOKUP(CONCATENATE($L1002,$N1002),'Drop List'!$G$23:$K$87,2,FALSE),0)</f>
        <v>0</v>
      </c>
      <c r="AH1002" s="1150">
        <f>IFERROR(VLOOKUP(CONCATENATE($L1002,$N1002),'Drop List'!$G$23:$K$87,3,FALSE),0)</f>
        <v>0</v>
      </c>
      <c r="AI1002" s="1150">
        <f>IFERROR(VLOOKUP(CONCATENATE($L1002,$N1002),'Drop List'!$G$23:$K$87,4,FALSE),0)</f>
        <v>0</v>
      </c>
      <c r="AJ1002" s="1151">
        <f>IFERROR(VLOOKUP(CONCATENATE($L1002,$N1002),'Drop List'!$G$23:$K$87,5,FALSE),0)</f>
        <v>0</v>
      </c>
      <c r="AK1002" s="1152">
        <f t="shared" si="282"/>
        <v>0</v>
      </c>
      <c r="AL1002" s="1153">
        <f t="shared" si="283"/>
        <v>0</v>
      </c>
      <c r="AM1002" s="1153">
        <f t="shared" si="284"/>
        <v>0</v>
      </c>
      <c r="AN1002" s="1145">
        <f t="shared" si="285"/>
        <v>0</v>
      </c>
      <c r="AO1002" s="1154">
        <f t="shared" si="286"/>
        <v>0</v>
      </c>
      <c r="AP1002" s="1147">
        <f t="shared" si="273"/>
        <v>19959.713073386232</v>
      </c>
      <c r="AQ1002" s="1144">
        <f t="shared" si="274"/>
        <v>0</v>
      </c>
      <c r="AR1002" s="1146">
        <f t="shared" si="275"/>
        <v>19959.713073386232</v>
      </c>
    </row>
    <row r="1003" spans="1:44" x14ac:dyDescent="0.2">
      <c r="A1003" s="1141" t="str">
        <f t="shared" si="288"/>
        <v>1544</v>
      </c>
      <c r="B1003" s="1141" t="str">
        <f>IFERROR(VLOOKUP(A1003,'LAC 103'!A:C,3,FALSE),"")</f>
        <v>OP</v>
      </c>
      <c r="C1003" s="1478" t="str">
        <f>Info!$B$8</f>
        <v>00100</v>
      </c>
      <c r="D1003" s="1474" t="s">
        <v>256</v>
      </c>
      <c r="E1003" s="1474" t="s">
        <v>95</v>
      </c>
      <c r="F1003" s="1478" t="s">
        <v>396</v>
      </c>
      <c r="G1003" s="1478" t="s">
        <v>396</v>
      </c>
      <c r="H1003" s="1474" t="s">
        <v>1657</v>
      </c>
      <c r="I1003" s="1478" t="s">
        <v>809</v>
      </c>
      <c r="J1003" s="1478"/>
      <c r="K1003" s="1475" t="s">
        <v>846</v>
      </c>
      <c r="L1003" s="1474" t="s">
        <v>332</v>
      </c>
      <c r="M1003" s="1476" t="s">
        <v>840</v>
      </c>
      <c r="N1003" s="1477" t="s">
        <v>1700</v>
      </c>
      <c r="O1003" s="1479">
        <v>11876</v>
      </c>
      <c r="P1003" s="1479"/>
      <c r="Q1003" s="1142">
        <f t="shared" si="271"/>
        <v>11876</v>
      </c>
      <c r="R1003" s="1143">
        <f>IFERROR(VLOOKUP(CONCATENATE(E1003,G1003),'LAC 103'!$A$12:$O$95,11,FALSE),0)</f>
        <v>3.2074101033884355</v>
      </c>
      <c r="S1003" s="1144">
        <f>IFERROR(VLOOKUP(CONCATENATE($E1003,$G1003),'LAC 103'!$A$12:$O$95,12,FALSE),0)</f>
        <v>3.99</v>
      </c>
      <c r="T1003" s="1144">
        <f>IFERROR(VLOOKUP(CONCATENATE($E1003,$G1003),'LAC 103'!$A$12:$O$95,13,FALSE),0)</f>
        <v>2.48</v>
      </c>
      <c r="U1003" s="1144">
        <f>IFERROR(VLOOKUP(CONCATENATE($E1003,$G1003),'LAC 103'!$A$12:$O$95,14,FALSE),0)</f>
        <v>0</v>
      </c>
      <c r="V1003" s="1144">
        <f>IFERROR(VLOOKUP(CONCATENATE($E1003,$G1003),'LAC 103'!$A$12:$O$95,15,FALSE),0)</f>
        <v>0</v>
      </c>
      <c r="W1003" s="1145" t="str">
        <f>IFERROR(VLOOKUP(CONCATENATE($B1003,$N1003),'LAC 103'!$AI:$AQ,9,FALSE),"")</f>
        <v>P.C.</v>
      </c>
      <c r="X1003" s="1146">
        <f t="shared" si="276"/>
        <v>2.48</v>
      </c>
      <c r="Y1003" s="1143">
        <f t="shared" si="287"/>
        <v>38091.202387841062</v>
      </c>
      <c r="Z1003" s="1147">
        <f t="shared" si="277"/>
        <v>47385.240000000005</v>
      </c>
      <c r="AA1003" s="1144">
        <f t="shared" si="278"/>
        <v>29452.48</v>
      </c>
      <c r="AB1003" s="1144">
        <f t="shared" si="279"/>
        <v>0</v>
      </c>
      <c r="AC1003" s="1144">
        <f t="shared" si="280"/>
        <v>0</v>
      </c>
      <c r="AD1003" s="1148">
        <f t="shared" si="272"/>
        <v>29452.48</v>
      </c>
      <c r="AE1003" s="1487">
        <v>0</v>
      </c>
      <c r="AF1003" s="1145">
        <f t="shared" si="281"/>
        <v>29452.48</v>
      </c>
      <c r="AG1003" s="1149">
        <f>IFERROR(VLOOKUP(CONCATENATE($L1003,$N1003),'Drop List'!$G$23:$K$87,2,FALSE),0)</f>
        <v>0</v>
      </c>
      <c r="AH1003" s="1150">
        <f>IFERROR(VLOOKUP(CONCATENATE($L1003,$N1003),'Drop List'!$G$23:$K$87,3,FALSE),0)</f>
        <v>0</v>
      </c>
      <c r="AI1003" s="1150">
        <f>IFERROR(VLOOKUP(CONCATENATE($L1003,$N1003),'Drop List'!$G$23:$K$87,4,FALSE),0)</f>
        <v>0</v>
      </c>
      <c r="AJ1003" s="1151">
        <f>IFERROR(VLOOKUP(CONCATENATE($L1003,$N1003),'Drop List'!$G$23:$K$87,5,FALSE),0)</f>
        <v>0</v>
      </c>
      <c r="AK1003" s="1152">
        <f t="shared" si="282"/>
        <v>0</v>
      </c>
      <c r="AL1003" s="1153">
        <f t="shared" si="283"/>
        <v>0</v>
      </c>
      <c r="AM1003" s="1153">
        <f t="shared" si="284"/>
        <v>0</v>
      </c>
      <c r="AN1003" s="1145">
        <f t="shared" si="285"/>
        <v>0</v>
      </c>
      <c r="AO1003" s="1154">
        <f t="shared" si="286"/>
        <v>0</v>
      </c>
      <c r="AP1003" s="1147">
        <f t="shared" si="273"/>
        <v>29452.48</v>
      </c>
      <c r="AQ1003" s="1144">
        <f t="shared" si="274"/>
        <v>0</v>
      </c>
      <c r="AR1003" s="1146">
        <f t="shared" si="275"/>
        <v>29452.48</v>
      </c>
    </row>
    <row r="1004" spans="1:44" x14ac:dyDescent="0.2">
      <c r="A1004" s="1141" t="str">
        <f t="shared" si="288"/>
        <v>1544</v>
      </c>
      <c r="B1004" s="1141" t="str">
        <f>IFERROR(VLOOKUP(A1004,'LAC 103'!A:C,3,FALSE),"")</f>
        <v>OP</v>
      </c>
      <c r="C1004" s="1478" t="str">
        <f>Info!$B$8</f>
        <v>00100</v>
      </c>
      <c r="D1004" s="1474" t="s">
        <v>256</v>
      </c>
      <c r="E1004" s="1474" t="s">
        <v>95</v>
      </c>
      <c r="F1004" s="1478" t="s">
        <v>396</v>
      </c>
      <c r="G1004" s="1478" t="s">
        <v>396</v>
      </c>
      <c r="H1004" s="1474" t="s">
        <v>1657</v>
      </c>
      <c r="I1004" s="1478" t="s">
        <v>809</v>
      </c>
      <c r="J1004" s="1478"/>
      <c r="K1004" s="1475" t="s">
        <v>846</v>
      </c>
      <c r="L1004" s="1474" t="s">
        <v>332</v>
      </c>
      <c r="M1004" s="1476" t="s">
        <v>842</v>
      </c>
      <c r="N1004" s="1477" t="s">
        <v>1692</v>
      </c>
      <c r="O1004" s="1479">
        <v>7140</v>
      </c>
      <c r="P1004" s="1479"/>
      <c r="Q1004" s="1142">
        <f t="shared" si="271"/>
        <v>7140</v>
      </c>
      <c r="R1004" s="1143">
        <f>IFERROR(VLOOKUP(CONCATENATE(E1004,G1004),'LAC 103'!$A$12:$O$95,11,FALSE),0)</f>
        <v>3.2074101033884355</v>
      </c>
      <c r="S1004" s="1144">
        <f>IFERROR(VLOOKUP(CONCATENATE($E1004,$G1004),'LAC 103'!$A$12:$O$95,12,FALSE),0)</f>
        <v>3.99</v>
      </c>
      <c r="T1004" s="1144">
        <f>IFERROR(VLOOKUP(CONCATENATE($E1004,$G1004),'LAC 103'!$A$12:$O$95,13,FALSE),0)</f>
        <v>2.48</v>
      </c>
      <c r="U1004" s="1144">
        <f>IFERROR(VLOOKUP(CONCATENATE($E1004,$G1004),'LAC 103'!$A$12:$O$95,14,FALSE),0)</f>
        <v>0</v>
      </c>
      <c r="V1004" s="1144">
        <f>IFERROR(VLOOKUP(CONCATENATE($E1004,$G1004),'LAC 103'!$A$12:$O$95,15,FALSE),0)</f>
        <v>0</v>
      </c>
      <c r="W1004" s="1145" t="str">
        <f>IFERROR(VLOOKUP(CONCATENATE($B1004,$N1004),'LAC 103'!$AI:$AQ,9,FALSE),"")</f>
        <v>Costs</v>
      </c>
      <c r="X1004" s="1146">
        <f t="shared" si="276"/>
        <v>3.2074101033884355</v>
      </c>
      <c r="Y1004" s="1143">
        <f t="shared" si="287"/>
        <v>22900.90813819343</v>
      </c>
      <c r="Z1004" s="1147">
        <f t="shared" si="277"/>
        <v>28488.600000000002</v>
      </c>
      <c r="AA1004" s="1144">
        <f t="shared" si="278"/>
        <v>17707.2</v>
      </c>
      <c r="AB1004" s="1144">
        <f t="shared" si="279"/>
        <v>0</v>
      </c>
      <c r="AC1004" s="1144">
        <f t="shared" si="280"/>
        <v>0</v>
      </c>
      <c r="AD1004" s="1148">
        <f t="shared" si="272"/>
        <v>22900.90813819343</v>
      </c>
      <c r="AE1004" s="1487">
        <v>0</v>
      </c>
      <c r="AF1004" s="1145">
        <f t="shared" si="281"/>
        <v>22900.90813819343</v>
      </c>
      <c r="AG1004" s="1149">
        <f>IFERROR(VLOOKUP(CONCATENATE($L1004,$N1004),'Drop List'!$G$23:$K$87,2,FALSE),0)</f>
        <v>0</v>
      </c>
      <c r="AH1004" s="1150">
        <f>IFERROR(VLOOKUP(CONCATENATE($L1004,$N1004),'Drop List'!$G$23:$K$87,3,FALSE),0)</f>
        <v>0</v>
      </c>
      <c r="AI1004" s="1150">
        <f>IFERROR(VLOOKUP(CONCATENATE($L1004,$N1004),'Drop List'!$G$23:$K$87,4,FALSE),0)</f>
        <v>0</v>
      </c>
      <c r="AJ1004" s="1151">
        <f>IFERROR(VLOOKUP(CONCATENATE($L1004,$N1004),'Drop List'!$G$23:$K$87,5,FALSE),0)</f>
        <v>0</v>
      </c>
      <c r="AK1004" s="1152">
        <f t="shared" si="282"/>
        <v>0</v>
      </c>
      <c r="AL1004" s="1153">
        <f t="shared" si="283"/>
        <v>0</v>
      </c>
      <c r="AM1004" s="1153">
        <f t="shared" si="284"/>
        <v>0</v>
      </c>
      <c r="AN1004" s="1145">
        <f t="shared" si="285"/>
        <v>0</v>
      </c>
      <c r="AO1004" s="1154">
        <f t="shared" si="286"/>
        <v>0</v>
      </c>
      <c r="AP1004" s="1147">
        <f t="shared" si="273"/>
        <v>22900.90813819343</v>
      </c>
      <c r="AQ1004" s="1144">
        <f t="shared" si="274"/>
        <v>0</v>
      </c>
      <c r="AR1004" s="1146">
        <f t="shared" si="275"/>
        <v>22900.90813819343</v>
      </c>
    </row>
    <row r="1005" spans="1:44" x14ac:dyDescent="0.2">
      <c r="A1005" s="1141" t="str">
        <f t="shared" si="288"/>
        <v>1544</v>
      </c>
      <c r="B1005" s="1141" t="str">
        <f>IFERROR(VLOOKUP(A1005,'LAC 103'!A:C,3,FALSE),"")</f>
        <v>OP</v>
      </c>
      <c r="C1005" s="1478" t="str">
        <f>Info!$B$8</f>
        <v>00100</v>
      </c>
      <c r="D1005" s="1474" t="s">
        <v>256</v>
      </c>
      <c r="E1005" s="1474" t="s">
        <v>95</v>
      </c>
      <c r="F1005" s="1478" t="s">
        <v>396</v>
      </c>
      <c r="G1005" s="1478" t="s">
        <v>396</v>
      </c>
      <c r="H1005" s="1474" t="s">
        <v>1657</v>
      </c>
      <c r="I1005" s="1478" t="s">
        <v>809</v>
      </c>
      <c r="J1005" s="1478"/>
      <c r="K1005" s="1475" t="s">
        <v>846</v>
      </c>
      <c r="L1005" s="1474" t="s">
        <v>332</v>
      </c>
      <c r="M1005" s="1476" t="s">
        <v>1698</v>
      </c>
      <c r="N1005" s="1477" t="s">
        <v>1693</v>
      </c>
      <c r="O1005" s="1479">
        <v>10797</v>
      </c>
      <c r="P1005" s="1479"/>
      <c r="Q1005" s="1142">
        <f t="shared" si="271"/>
        <v>10797</v>
      </c>
      <c r="R1005" s="1143">
        <f>IFERROR(VLOOKUP(CONCATENATE(E1005,G1005),'LAC 103'!$A$12:$O$95,11,FALSE),0)</f>
        <v>3.2074101033884355</v>
      </c>
      <c r="S1005" s="1144">
        <f>IFERROR(VLOOKUP(CONCATENATE($E1005,$G1005),'LAC 103'!$A$12:$O$95,12,FALSE),0)</f>
        <v>3.99</v>
      </c>
      <c r="T1005" s="1144">
        <f>IFERROR(VLOOKUP(CONCATENATE($E1005,$G1005),'LAC 103'!$A$12:$O$95,13,FALSE),0)</f>
        <v>2.48</v>
      </c>
      <c r="U1005" s="1144">
        <f>IFERROR(VLOOKUP(CONCATENATE($E1005,$G1005),'LAC 103'!$A$12:$O$95,14,FALSE),0)</f>
        <v>0</v>
      </c>
      <c r="V1005" s="1144">
        <f>IFERROR(VLOOKUP(CONCATENATE($E1005,$G1005),'LAC 103'!$A$12:$O$95,15,FALSE),0)</f>
        <v>0</v>
      </c>
      <c r="W1005" s="1145" t="str">
        <f>IFERROR(VLOOKUP(CONCATENATE($B1005,$N1005),'LAC 103'!$AI:$AQ,9,FALSE),"")</f>
        <v>Costs</v>
      </c>
      <c r="X1005" s="1146">
        <f t="shared" si="276"/>
        <v>3.2074101033884355</v>
      </c>
      <c r="Y1005" s="1143">
        <f t="shared" si="287"/>
        <v>34630.406886284938</v>
      </c>
      <c r="Z1005" s="1147">
        <f t="shared" si="277"/>
        <v>43080.03</v>
      </c>
      <c r="AA1005" s="1144">
        <f t="shared" si="278"/>
        <v>26776.560000000001</v>
      </c>
      <c r="AB1005" s="1144">
        <f t="shared" si="279"/>
        <v>0</v>
      </c>
      <c r="AC1005" s="1144">
        <f t="shared" si="280"/>
        <v>0</v>
      </c>
      <c r="AD1005" s="1148">
        <f t="shared" si="272"/>
        <v>34630.406886284938</v>
      </c>
      <c r="AE1005" s="1487">
        <v>0</v>
      </c>
      <c r="AF1005" s="1145">
        <f t="shared" si="281"/>
        <v>34630.406886284938</v>
      </c>
      <c r="AG1005" s="1149">
        <f>IFERROR(VLOOKUP(CONCATENATE($L1005,$N1005),'Drop List'!$G$23:$K$87,2,FALSE),0)</f>
        <v>0</v>
      </c>
      <c r="AH1005" s="1150">
        <f>IFERROR(VLOOKUP(CONCATENATE($L1005,$N1005),'Drop List'!$G$23:$K$87,3,FALSE),0)</f>
        <v>0</v>
      </c>
      <c r="AI1005" s="1150">
        <f>IFERROR(VLOOKUP(CONCATENATE($L1005,$N1005),'Drop List'!$G$23:$K$87,4,FALSE),0)</f>
        <v>0</v>
      </c>
      <c r="AJ1005" s="1151">
        <f>IFERROR(VLOOKUP(CONCATENATE($L1005,$N1005),'Drop List'!$G$23:$K$87,5,FALSE),0)</f>
        <v>0</v>
      </c>
      <c r="AK1005" s="1152">
        <f t="shared" si="282"/>
        <v>0</v>
      </c>
      <c r="AL1005" s="1153">
        <f t="shared" si="283"/>
        <v>0</v>
      </c>
      <c r="AM1005" s="1153">
        <f t="shared" si="284"/>
        <v>0</v>
      </c>
      <c r="AN1005" s="1145">
        <f t="shared" si="285"/>
        <v>0</v>
      </c>
      <c r="AO1005" s="1154">
        <f t="shared" si="286"/>
        <v>0</v>
      </c>
      <c r="AP1005" s="1147">
        <f t="shared" si="273"/>
        <v>34630.406886284938</v>
      </c>
      <c r="AQ1005" s="1144">
        <f t="shared" si="274"/>
        <v>0</v>
      </c>
      <c r="AR1005" s="1146">
        <f t="shared" si="275"/>
        <v>34630.406886284938</v>
      </c>
    </row>
    <row r="1006" spans="1:44" x14ac:dyDescent="0.2">
      <c r="A1006" s="1141" t="str">
        <f t="shared" si="288"/>
        <v>1544</v>
      </c>
      <c r="B1006" s="1141" t="str">
        <f>IFERROR(VLOOKUP(A1006,'LAC 103'!A:C,3,FALSE),"")</f>
        <v>OP</v>
      </c>
      <c r="C1006" s="1478" t="str">
        <f>Info!$B$8</f>
        <v>00100</v>
      </c>
      <c r="D1006" s="1474" t="s">
        <v>256</v>
      </c>
      <c r="E1006" s="1474" t="s">
        <v>95</v>
      </c>
      <c r="F1006" s="1478" t="s">
        <v>396</v>
      </c>
      <c r="G1006" s="1478" t="s">
        <v>396</v>
      </c>
      <c r="H1006" s="1474" t="s">
        <v>1659</v>
      </c>
      <c r="I1006" s="1478" t="s">
        <v>807</v>
      </c>
      <c r="J1006" s="1478" t="s">
        <v>123</v>
      </c>
      <c r="K1006" s="1475" t="s">
        <v>846</v>
      </c>
      <c r="L1006" s="1474" t="s">
        <v>332</v>
      </c>
      <c r="M1006" s="1476" t="s">
        <v>1699</v>
      </c>
      <c r="N1006" s="1477" t="s">
        <v>1694</v>
      </c>
      <c r="O1006" s="1479">
        <v>10668</v>
      </c>
      <c r="P1006" s="1479"/>
      <c r="Q1006" s="1142">
        <f t="shared" si="271"/>
        <v>10668</v>
      </c>
      <c r="R1006" s="1143">
        <f>IFERROR(VLOOKUP(CONCATENATE(E1006,G1006),'LAC 103'!$A$12:$O$95,11,FALSE),0)</f>
        <v>3.2074101033884355</v>
      </c>
      <c r="S1006" s="1144">
        <f>IFERROR(VLOOKUP(CONCATENATE($E1006,$G1006),'LAC 103'!$A$12:$O$95,12,FALSE),0)</f>
        <v>3.99</v>
      </c>
      <c r="T1006" s="1144">
        <f>IFERROR(VLOOKUP(CONCATENATE($E1006,$G1006),'LAC 103'!$A$12:$O$95,13,FALSE),0)</f>
        <v>2.48</v>
      </c>
      <c r="U1006" s="1144">
        <f>IFERROR(VLOOKUP(CONCATENATE($E1006,$G1006),'LAC 103'!$A$12:$O$95,14,FALSE),0)</f>
        <v>0</v>
      </c>
      <c r="V1006" s="1144">
        <f>IFERROR(VLOOKUP(CONCATENATE($E1006,$G1006),'LAC 103'!$A$12:$O$95,15,FALSE),0)</f>
        <v>0</v>
      </c>
      <c r="W1006" s="1145" t="str">
        <f>IFERROR(VLOOKUP(CONCATENATE($B1006,$N1006),'LAC 103'!$AI:$AQ,9,FALSE),"")</f>
        <v>Costs</v>
      </c>
      <c r="X1006" s="1146">
        <f t="shared" si="276"/>
        <v>3.2074101033884355</v>
      </c>
      <c r="Y1006" s="1143">
        <f t="shared" si="287"/>
        <v>34216.650982947831</v>
      </c>
      <c r="Z1006" s="1147">
        <f t="shared" si="277"/>
        <v>42565.32</v>
      </c>
      <c r="AA1006" s="1144">
        <f t="shared" si="278"/>
        <v>26456.639999999999</v>
      </c>
      <c r="AB1006" s="1144">
        <f t="shared" si="279"/>
        <v>0</v>
      </c>
      <c r="AC1006" s="1144">
        <f t="shared" si="280"/>
        <v>0</v>
      </c>
      <c r="AD1006" s="1148">
        <f t="shared" si="272"/>
        <v>34216.650982947831</v>
      </c>
      <c r="AE1006" s="1487">
        <v>0</v>
      </c>
      <c r="AF1006" s="1145">
        <f t="shared" si="281"/>
        <v>34216.650982947831</v>
      </c>
      <c r="AG1006" s="1149">
        <f>IFERROR(VLOOKUP(CONCATENATE($L1006,$N1006),'Drop List'!$G$23:$K$87,2,FALSE),0)</f>
        <v>0</v>
      </c>
      <c r="AH1006" s="1150">
        <f>IFERROR(VLOOKUP(CONCATENATE($L1006,$N1006),'Drop List'!$G$23:$K$87,3,FALSE),0)</f>
        <v>0</v>
      </c>
      <c r="AI1006" s="1150">
        <f>IFERROR(VLOOKUP(CONCATENATE($L1006,$N1006),'Drop List'!$G$23:$K$87,4,FALSE),0)</f>
        <v>0</v>
      </c>
      <c r="AJ1006" s="1151">
        <f>IFERROR(VLOOKUP(CONCATENATE($L1006,$N1006),'Drop List'!$G$23:$K$87,5,FALSE),0)</f>
        <v>0</v>
      </c>
      <c r="AK1006" s="1152">
        <f t="shared" si="282"/>
        <v>0</v>
      </c>
      <c r="AL1006" s="1153">
        <f t="shared" si="283"/>
        <v>0</v>
      </c>
      <c r="AM1006" s="1153">
        <f t="shared" si="284"/>
        <v>0</v>
      </c>
      <c r="AN1006" s="1145">
        <f t="shared" si="285"/>
        <v>0</v>
      </c>
      <c r="AO1006" s="1154">
        <f t="shared" si="286"/>
        <v>0</v>
      </c>
      <c r="AP1006" s="1147">
        <f t="shared" si="273"/>
        <v>34216.650982947831</v>
      </c>
      <c r="AQ1006" s="1144">
        <f t="shared" si="274"/>
        <v>0</v>
      </c>
      <c r="AR1006" s="1146">
        <f t="shared" si="275"/>
        <v>34216.650982947831</v>
      </c>
    </row>
    <row r="1007" spans="1:44" x14ac:dyDescent="0.2">
      <c r="A1007" s="1141" t="str">
        <f t="shared" si="288"/>
        <v>1544</v>
      </c>
      <c r="B1007" s="1141" t="str">
        <f>IFERROR(VLOOKUP(A1007,'LAC 103'!A:C,3,FALSE),"")</f>
        <v>OP</v>
      </c>
      <c r="C1007" s="1478" t="str">
        <f>Info!$B$8</f>
        <v>00100</v>
      </c>
      <c r="D1007" s="1474" t="s">
        <v>256</v>
      </c>
      <c r="E1007" s="1474" t="s">
        <v>95</v>
      </c>
      <c r="F1007" s="1478" t="s">
        <v>396</v>
      </c>
      <c r="G1007" s="1478" t="s">
        <v>396</v>
      </c>
      <c r="H1007" s="1474" t="s">
        <v>1659</v>
      </c>
      <c r="I1007" s="1478" t="s">
        <v>807</v>
      </c>
      <c r="J1007" s="1478"/>
      <c r="K1007" s="1475" t="s">
        <v>846</v>
      </c>
      <c r="L1007" s="1474" t="s">
        <v>332</v>
      </c>
      <c r="M1007" s="1476" t="s">
        <v>841</v>
      </c>
      <c r="N1007" s="1477" t="s">
        <v>1695</v>
      </c>
      <c r="O1007" s="1479">
        <v>3584</v>
      </c>
      <c r="P1007" s="1479"/>
      <c r="Q1007" s="1142">
        <f t="shared" si="271"/>
        <v>3584</v>
      </c>
      <c r="R1007" s="1143">
        <f>IFERROR(VLOOKUP(CONCATENATE(E1007,G1007),'LAC 103'!$A$12:$O$95,11,FALSE),0)</f>
        <v>3.2074101033884355</v>
      </c>
      <c r="S1007" s="1144">
        <f>IFERROR(VLOOKUP(CONCATENATE($E1007,$G1007),'LAC 103'!$A$12:$O$95,12,FALSE),0)</f>
        <v>3.99</v>
      </c>
      <c r="T1007" s="1144">
        <f>IFERROR(VLOOKUP(CONCATENATE($E1007,$G1007),'LAC 103'!$A$12:$O$95,13,FALSE),0)</f>
        <v>2.48</v>
      </c>
      <c r="U1007" s="1144">
        <f>IFERROR(VLOOKUP(CONCATENATE($E1007,$G1007),'LAC 103'!$A$12:$O$95,14,FALSE),0)</f>
        <v>0</v>
      </c>
      <c r="V1007" s="1144">
        <f>IFERROR(VLOOKUP(CONCATENATE($E1007,$G1007),'LAC 103'!$A$12:$O$95,15,FALSE),0)</f>
        <v>0</v>
      </c>
      <c r="W1007" s="1145" t="str">
        <f>IFERROR(VLOOKUP(CONCATENATE($B1007,$N1007),'LAC 103'!$AI:$AQ,9,FALSE),"")</f>
        <v>Costs</v>
      </c>
      <c r="X1007" s="1146">
        <f t="shared" si="276"/>
        <v>3.2074101033884355</v>
      </c>
      <c r="Y1007" s="1143">
        <f t="shared" si="287"/>
        <v>11495.357810544152</v>
      </c>
      <c r="Z1007" s="1147">
        <f t="shared" si="277"/>
        <v>14300.16</v>
      </c>
      <c r="AA1007" s="1144">
        <f t="shared" si="278"/>
        <v>8888.32</v>
      </c>
      <c r="AB1007" s="1144">
        <f t="shared" si="279"/>
        <v>0</v>
      </c>
      <c r="AC1007" s="1144">
        <f t="shared" si="280"/>
        <v>0</v>
      </c>
      <c r="AD1007" s="1148">
        <f t="shared" si="272"/>
        <v>11495.357810544152</v>
      </c>
      <c r="AE1007" s="1487">
        <v>0</v>
      </c>
      <c r="AF1007" s="1145">
        <f t="shared" si="281"/>
        <v>11495.357810544152</v>
      </c>
      <c r="AG1007" s="1149">
        <f>IFERROR(VLOOKUP(CONCATENATE($L1007,$N1007),'Drop List'!$G$23:$K$87,2,FALSE),0)</f>
        <v>0</v>
      </c>
      <c r="AH1007" s="1150">
        <f>IFERROR(VLOOKUP(CONCATENATE($L1007,$N1007),'Drop List'!$G$23:$K$87,3,FALSE),0)</f>
        <v>0</v>
      </c>
      <c r="AI1007" s="1150">
        <f>IFERROR(VLOOKUP(CONCATENATE($L1007,$N1007),'Drop List'!$G$23:$K$87,4,FALSE),0)</f>
        <v>0</v>
      </c>
      <c r="AJ1007" s="1151">
        <f>IFERROR(VLOOKUP(CONCATENATE($L1007,$N1007),'Drop List'!$G$23:$K$87,5,FALSE),0)</f>
        <v>0</v>
      </c>
      <c r="AK1007" s="1152">
        <f t="shared" si="282"/>
        <v>0</v>
      </c>
      <c r="AL1007" s="1153">
        <f t="shared" si="283"/>
        <v>0</v>
      </c>
      <c r="AM1007" s="1153">
        <f t="shared" si="284"/>
        <v>0</v>
      </c>
      <c r="AN1007" s="1145">
        <f t="shared" si="285"/>
        <v>0</v>
      </c>
      <c r="AO1007" s="1154">
        <f t="shared" si="286"/>
        <v>0</v>
      </c>
      <c r="AP1007" s="1147">
        <f t="shared" si="273"/>
        <v>11495.357810544152</v>
      </c>
      <c r="AQ1007" s="1144">
        <f t="shared" si="274"/>
        <v>0</v>
      </c>
      <c r="AR1007" s="1146">
        <f t="shared" si="275"/>
        <v>11495.357810544152</v>
      </c>
    </row>
    <row r="1008" spans="1:44" x14ac:dyDescent="0.2">
      <c r="A1008" s="1141" t="str">
        <f t="shared" si="288"/>
        <v>1544</v>
      </c>
      <c r="B1008" s="1141" t="str">
        <f>IFERROR(VLOOKUP(A1008,'LAC 103'!A:C,3,FALSE),"")</f>
        <v>OP</v>
      </c>
      <c r="C1008" s="1478" t="str">
        <f>Info!$B$8</f>
        <v>00100</v>
      </c>
      <c r="D1008" s="1474" t="s">
        <v>256</v>
      </c>
      <c r="E1008" s="1474" t="s">
        <v>95</v>
      </c>
      <c r="F1008" s="1478" t="s">
        <v>396</v>
      </c>
      <c r="G1008" s="1478" t="s">
        <v>396</v>
      </c>
      <c r="H1008" s="1474" t="s">
        <v>1659</v>
      </c>
      <c r="I1008" s="1478" t="s">
        <v>807</v>
      </c>
      <c r="J1008" s="1478"/>
      <c r="K1008" s="1475" t="s">
        <v>846</v>
      </c>
      <c r="L1008" s="1474" t="s">
        <v>332</v>
      </c>
      <c r="M1008" s="1476" t="s">
        <v>840</v>
      </c>
      <c r="N1008" s="1477" t="s">
        <v>1700</v>
      </c>
      <c r="O1008" s="1479">
        <v>5621</v>
      </c>
      <c r="P1008" s="1479"/>
      <c r="Q1008" s="1142">
        <f t="shared" si="271"/>
        <v>5621</v>
      </c>
      <c r="R1008" s="1143">
        <f>IFERROR(VLOOKUP(CONCATENATE(E1008,G1008),'LAC 103'!$A$12:$O$95,11,FALSE),0)</f>
        <v>3.2074101033884355</v>
      </c>
      <c r="S1008" s="1144">
        <f>IFERROR(VLOOKUP(CONCATENATE($E1008,$G1008),'LAC 103'!$A$12:$O$95,12,FALSE),0)</f>
        <v>3.99</v>
      </c>
      <c r="T1008" s="1144">
        <f>IFERROR(VLOOKUP(CONCATENATE($E1008,$G1008),'LAC 103'!$A$12:$O$95,13,FALSE),0)</f>
        <v>2.48</v>
      </c>
      <c r="U1008" s="1144">
        <f>IFERROR(VLOOKUP(CONCATENATE($E1008,$G1008),'LAC 103'!$A$12:$O$95,14,FALSE),0)</f>
        <v>0</v>
      </c>
      <c r="V1008" s="1144">
        <f>IFERROR(VLOOKUP(CONCATENATE($E1008,$G1008),'LAC 103'!$A$12:$O$95,15,FALSE),0)</f>
        <v>0</v>
      </c>
      <c r="W1008" s="1145" t="str">
        <f>IFERROR(VLOOKUP(CONCATENATE($B1008,$N1008),'LAC 103'!$AI:$AQ,9,FALSE),"")</f>
        <v>P.C.</v>
      </c>
      <c r="X1008" s="1146">
        <f t="shared" si="276"/>
        <v>2.48</v>
      </c>
      <c r="Y1008" s="1143">
        <f t="shared" si="287"/>
        <v>18028.852191146394</v>
      </c>
      <c r="Z1008" s="1147">
        <f t="shared" si="277"/>
        <v>22427.79</v>
      </c>
      <c r="AA1008" s="1144">
        <f t="shared" si="278"/>
        <v>13940.08</v>
      </c>
      <c r="AB1008" s="1144">
        <f t="shared" si="279"/>
        <v>0</v>
      </c>
      <c r="AC1008" s="1144">
        <f t="shared" si="280"/>
        <v>0</v>
      </c>
      <c r="AD1008" s="1148">
        <f t="shared" si="272"/>
        <v>13940.08</v>
      </c>
      <c r="AE1008" s="1487">
        <v>0</v>
      </c>
      <c r="AF1008" s="1145">
        <f t="shared" si="281"/>
        <v>13940.08</v>
      </c>
      <c r="AG1008" s="1149">
        <f>IFERROR(VLOOKUP(CONCATENATE($L1008,$N1008),'Drop List'!$G$23:$K$87,2,FALSE),0)</f>
        <v>0</v>
      </c>
      <c r="AH1008" s="1150">
        <f>IFERROR(VLOOKUP(CONCATENATE($L1008,$N1008),'Drop List'!$G$23:$K$87,3,FALSE),0)</f>
        <v>0</v>
      </c>
      <c r="AI1008" s="1150">
        <f>IFERROR(VLOOKUP(CONCATENATE($L1008,$N1008),'Drop List'!$G$23:$K$87,4,FALSE),0)</f>
        <v>0</v>
      </c>
      <c r="AJ1008" s="1151">
        <f>IFERROR(VLOOKUP(CONCATENATE($L1008,$N1008),'Drop List'!$G$23:$K$87,5,FALSE),0)</f>
        <v>0</v>
      </c>
      <c r="AK1008" s="1152">
        <f t="shared" si="282"/>
        <v>0</v>
      </c>
      <c r="AL1008" s="1153">
        <f t="shared" si="283"/>
        <v>0</v>
      </c>
      <c r="AM1008" s="1153">
        <f t="shared" si="284"/>
        <v>0</v>
      </c>
      <c r="AN1008" s="1145">
        <f t="shared" si="285"/>
        <v>0</v>
      </c>
      <c r="AO1008" s="1154">
        <f t="shared" si="286"/>
        <v>0</v>
      </c>
      <c r="AP1008" s="1147">
        <f t="shared" si="273"/>
        <v>13940.08</v>
      </c>
      <c r="AQ1008" s="1144">
        <f t="shared" si="274"/>
        <v>0</v>
      </c>
      <c r="AR1008" s="1146">
        <f t="shared" si="275"/>
        <v>13940.08</v>
      </c>
    </row>
    <row r="1009" spans="1:44" x14ac:dyDescent="0.2">
      <c r="A1009" s="1141" t="str">
        <f t="shared" si="288"/>
        <v>1544</v>
      </c>
      <c r="B1009" s="1141" t="str">
        <f>IFERROR(VLOOKUP(A1009,'LAC 103'!A:C,3,FALSE),"")</f>
        <v>OP</v>
      </c>
      <c r="C1009" s="1478" t="str">
        <f>Info!$B$8</f>
        <v>00100</v>
      </c>
      <c r="D1009" s="1474" t="s">
        <v>256</v>
      </c>
      <c r="E1009" s="1474" t="s">
        <v>95</v>
      </c>
      <c r="F1009" s="1478" t="s">
        <v>396</v>
      </c>
      <c r="G1009" s="1478" t="s">
        <v>396</v>
      </c>
      <c r="H1009" s="1474" t="s">
        <v>1659</v>
      </c>
      <c r="I1009" s="1478" t="s">
        <v>807</v>
      </c>
      <c r="J1009" s="1478"/>
      <c r="K1009" s="1475" t="s">
        <v>846</v>
      </c>
      <c r="L1009" s="1474" t="s">
        <v>332</v>
      </c>
      <c r="M1009" s="1476" t="s">
        <v>842</v>
      </c>
      <c r="N1009" s="1477" t="s">
        <v>1692</v>
      </c>
      <c r="O1009" s="1479">
        <v>13924</v>
      </c>
      <c r="P1009" s="1479"/>
      <c r="Q1009" s="1142">
        <f t="shared" si="271"/>
        <v>13924</v>
      </c>
      <c r="R1009" s="1143">
        <f>IFERROR(VLOOKUP(CONCATENATE(E1009,G1009),'LAC 103'!$A$12:$O$95,11,FALSE),0)</f>
        <v>3.2074101033884355</v>
      </c>
      <c r="S1009" s="1144">
        <f>IFERROR(VLOOKUP(CONCATENATE($E1009,$G1009),'LAC 103'!$A$12:$O$95,12,FALSE),0)</f>
        <v>3.99</v>
      </c>
      <c r="T1009" s="1144">
        <f>IFERROR(VLOOKUP(CONCATENATE($E1009,$G1009),'LAC 103'!$A$12:$O$95,13,FALSE),0)</f>
        <v>2.48</v>
      </c>
      <c r="U1009" s="1144">
        <f>IFERROR(VLOOKUP(CONCATENATE($E1009,$G1009),'LAC 103'!$A$12:$O$95,14,FALSE),0)</f>
        <v>0</v>
      </c>
      <c r="V1009" s="1144">
        <f>IFERROR(VLOOKUP(CONCATENATE($E1009,$G1009),'LAC 103'!$A$12:$O$95,15,FALSE),0)</f>
        <v>0</v>
      </c>
      <c r="W1009" s="1145" t="str">
        <f>IFERROR(VLOOKUP(CONCATENATE($B1009,$N1009),'LAC 103'!$AI:$AQ,9,FALSE),"")</f>
        <v>Costs</v>
      </c>
      <c r="X1009" s="1146">
        <f t="shared" si="276"/>
        <v>3.2074101033884355</v>
      </c>
      <c r="Y1009" s="1143">
        <f t="shared" si="287"/>
        <v>44659.978279580573</v>
      </c>
      <c r="Z1009" s="1147">
        <f t="shared" si="277"/>
        <v>55556.76</v>
      </c>
      <c r="AA1009" s="1144">
        <f t="shared" si="278"/>
        <v>34531.519999999997</v>
      </c>
      <c r="AB1009" s="1144">
        <f t="shared" si="279"/>
        <v>0</v>
      </c>
      <c r="AC1009" s="1144">
        <f t="shared" si="280"/>
        <v>0</v>
      </c>
      <c r="AD1009" s="1148">
        <f t="shared" si="272"/>
        <v>44659.978279580573</v>
      </c>
      <c r="AE1009" s="1487">
        <v>0</v>
      </c>
      <c r="AF1009" s="1145">
        <f t="shared" si="281"/>
        <v>44659.978279580573</v>
      </c>
      <c r="AG1009" s="1149">
        <f>IFERROR(VLOOKUP(CONCATENATE($L1009,$N1009),'Drop List'!$G$23:$K$87,2,FALSE),0)</f>
        <v>0</v>
      </c>
      <c r="AH1009" s="1150">
        <f>IFERROR(VLOOKUP(CONCATENATE($L1009,$N1009),'Drop List'!$G$23:$K$87,3,FALSE),0)</f>
        <v>0</v>
      </c>
      <c r="AI1009" s="1150">
        <f>IFERROR(VLOOKUP(CONCATENATE($L1009,$N1009),'Drop List'!$G$23:$K$87,4,FALSE),0)</f>
        <v>0</v>
      </c>
      <c r="AJ1009" s="1151">
        <f>IFERROR(VLOOKUP(CONCATENATE($L1009,$N1009),'Drop List'!$G$23:$K$87,5,FALSE),0)</f>
        <v>0</v>
      </c>
      <c r="AK1009" s="1152">
        <f t="shared" si="282"/>
        <v>0</v>
      </c>
      <c r="AL1009" s="1153">
        <f t="shared" si="283"/>
        <v>0</v>
      </c>
      <c r="AM1009" s="1153">
        <f t="shared" si="284"/>
        <v>0</v>
      </c>
      <c r="AN1009" s="1145">
        <f t="shared" si="285"/>
        <v>0</v>
      </c>
      <c r="AO1009" s="1154">
        <f t="shared" si="286"/>
        <v>0</v>
      </c>
      <c r="AP1009" s="1147">
        <f t="shared" si="273"/>
        <v>44659.978279580573</v>
      </c>
      <c r="AQ1009" s="1144">
        <f t="shared" si="274"/>
        <v>0</v>
      </c>
      <c r="AR1009" s="1146">
        <f t="shared" si="275"/>
        <v>44659.978279580573</v>
      </c>
    </row>
    <row r="1010" spans="1:44" x14ac:dyDescent="0.2">
      <c r="A1010" s="1141" t="str">
        <f t="shared" si="288"/>
        <v>1544</v>
      </c>
      <c r="B1010" s="1141" t="str">
        <f>IFERROR(VLOOKUP(A1010,'LAC 103'!A:C,3,FALSE),"")</f>
        <v>OP</v>
      </c>
      <c r="C1010" s="1478" t="str">
        <f>Info!$B$8</f>
        <v>00100</v>
      </c>
      <c r="D1010" s="1474" t="s">
        <v>256</v>
      </c>
      <c r="E1010" s="1474" t="s">
        <v>95</v>
      </c>
      <c r="F1010" s="1478" t="s">
        <v>396</v>
      </c>
      <c r="G1010" s="1478" t="s">
        <v>396</v>
      </c>
      <c r="H1010" s="1474" t="s">
        <v>1659</v>
      </c>
      <c r="I1010" s="1478" t="s">
        <v>807</v>
      </c>
      <c r="J1010" s="1478"/>
      <c r="K1010" s="1475" t="s">
        <v>846</v>
      </c>
      <c r="L1010" s="1474" t="s">
        <v>332</v>
      </c>
      <c r="M1010" s="1476" t="s">
        <v>1698</v>
      </c>
      <c r="N1010" s="1477" t="s">
        <v>1693</v>
      </c>
      <c r="O1010" s="1479">
        <v>12821</v>
      </c>
      <c r="P1010" s="1479"/>
      <c r="Q1010" s="1142">
        <f t="shared" si="271"/>
        <v>12821</v>
      </c>
      <c r="R1010" s="1143">
        <f>IFERROR(VLOOKUP(CONCATENATE(E1010,G1010),'LAC 103'!$A$12:$O$95,11,FALSE),0)</f>
        <v>3.2074101033884355</v>
      </c>
      <c r="S1010" s="1144">
        <f>IFERROR(VLOOKUP(CONCATENATE($E1010,$G1010),'LAC 103'!$A$12:$O$95,12,FALSE),0)</f>
        <v>3.99</v>
      </c>
      <c r="T1010" s="1144">
        <f>IFERROR(VLOOKUP(CONCATENATE($E1010,$G1010),'LAC 103'!$A$12:$O$95,13,FALSE),0)</f>
        <v>2.48</v>
      </c>
      <c r="U1010" s="1144">
        <f>IFERROR(VLOOKUP(CONCATENATE($E1010,$G1010),'LAC 103'!$A$12:$O$95,14,FALSE),0)</f>
        <v>0</v>
      </c>
      <c r="V1010" s="1144">
        <f>IFERROR(VLOOKUP(CONCATENATE($E1010,$G1010),'LAC 103'!$A$12:$O$95,15,FALSE),0)</f>
        <v>0</v>
      </c>
      <c r="W1010" s="1145" t="str">
        <f>IFERROR(VLOOKUP(CONCATENATE($B1010,$N1010),'LAC 103'!$AI:$AQ,9,FALSE),"")</f>
        <v>Costs</v>
      </c>
      <c r="X1010" s="1146">
        <f t="shared" si="276"/>
        <v>3.2074101033884355</v>
      </c>
      <c r="Y1010" s="1143">
        <f t="shared" si="287"/>
        <v>41122.20493554313</v>
      </c>
      <c r="Z1010" s="1147">
        <f t="shared" si="277"/>
        <v>51155.79</v>
      </c>
      <c r="AA1010" s="1144">
        <f t="shared" si="278"/>
        <v>31796.079999999998</v>
      </c>
      <c r="AB1010" s="1144">
        <f t="shared" si="279"/>
        <v>0</v>
      </c>
      <c r="AC1010" s="1144">
        <f t="shared" si="280"/>
        <v>0</v>
      </c>
      <c r="AD1010" s="1148">
        <f t="shared" si="272"/>
        <v>41122.20493554313</v>
      </c>
      <c r="AE1010" s="1487">
        <v>0</v>
      </c>
      <c r="AF1010" s="1145">
        <f t="shared" si="281"/>
        <v>41122.20493554313</v>
      </c>
      <c r="AG1010" s="1149">
        <f>IFERROR(VLOOKUP(CONCATENATE($L1010,$N1010),'Drop List'!$G$23:$K$87,2,FALSE),0)</f>
        <v>0</v>
      </c>
      <c r="AH1010" s="1150">
        <f>IFERROR(VLOOKUP(CONCATENATE($L1010,$N1010),'Drop List'!$G$23:$K$87,3,FALSE),0)</f>
        <v>0</v>
      </c>
      <c r="AI1010" s="1150">
        <f>IFERROR(VLOOKUP(CONCATENATE($L1010,$N1010),'Drop List'!$G$23:$K$87,4,FALSE),0)</f>
        <v>0</v>
      </c>
      <c r="AJ1010" s="1151">
        <f>IFERROR(VLOOKUP(CONCATENATE($L1010,$N1010),'Drop List'!$G$23:$K$87,5,FALSE),0)</f>
        <v>0</v>
      </c>
      <c r="AK1010" s="1152">
        <f t="shared" si="282"/>
        <v>0</v>
      </c>
      <c r="AL1010" s="1153">
        <f t="shared" si="283"/>
        <v>0</v>
      </c>
      <c r="AM1010" s="1153">
        <f t="shared" si="284"/>
        <v>0</v>
      </c>
      <c r="AN1010" s="1145">
        <f t="shared" si="285"/>
        <v>0</v>
      </c>
      <c r="AO1010" s="1154">
        <f t="shared" si="286"/>
        <v>0</v>
      </c>
      <c r="AP1010" s="1147">
        <f t="shared" si="273"/>
        <v>41122.20493554313</v>
      </c>
      <c r="AQ1010" s="1144">
        <f t="shared" si="274"/>
        <v>0</v>
      </c>
      <c r="AR1010" s="1146">
        <f t="shared" si="275"/>
        <v>41122.20493554313</v>
      </c>
    </row>
    <row r="1011" spans="1:44" x14ac:dyDescent="0.2">
      <c r="A1011" s="1141" t="str">
        <f t="shared" si="288"/>
        <v>1544</v>
      </c>
      <c r="B1011" s="1141" t="str">
        <f>IFERROR(VLOOKUP(A1011,'LAC 103'!A:C,3,FALSE),"")</f>
        <v>OP</v>
      </c>
      <c r="C1011" s="1478" t="str">
        <f>Info!$B$8</f>
        <v>00100</v>
      </c>
      <c r="D1011" s="1474" t="s">
        <v>256</v>
      </c>
      <c r="E1011" s="1474" t="s">
        <v>95</v>
      </c>
      <c r="F1011" s="1478" t="s">
        <v>396</v>
      </c>
      <c r="G1011" s="1478" t="s">
        <v>396</v>
      </c>
      <c r="H1011" s="1474" t="s">
        <v>1660</v>
      </c>
      <c r="I1011" s="1478" t="s">
        <v>817</v>
      </c>
      <c r="J1011" s="1478" t="s">
        <v>123</v>
      </c>
      <c r="K1011" s="1475" t="s">
        <v>846</v>
      </c>
      <c r="L1011" s="1474" t="s">
        <v>332</v>
      </c>
      <c r="M1011" s="1476" t="s">
        <v>1698</v>
      </c>
      <c r="N1011" s="1477" t="s">
        <v>1693</v>
      </c>
      <c r="O1011" s="1479">
        <v>77</v>
      </c>
      <c r="P1011" s="1479"/>
      <c r="Q1011" s="1142">
        <f t="shared" si="271"/>
        <v>77</v>
      </c>
      <c r="R1011" s="1143">
        <f>IFERROR(VLOOKUP(CONCATENATE(E1011,G1011),'LAC 103'!$A$12:$O$95,11,FALSE),0)</f>
        <v>3.2074101033884355</v>
      </c>
      <c r="S1011" s="1144">
        <f>IFERROR(VLOOKUP(CONCATENATE($E1011,$G1011),'LAC 103'!$A$12:$O$95,12,FALSE),0)</f>
        <v>3.99</v>
      </c>
      <c r="T1011" s="1144">
        <f>IFERROR(VLOOKUP(CONCATENATE($E1011,$G1011),'LAC 103'!$A$12:$O$95,13,FALSE),0)</f>
        <v>2.48</v>
      </c>
      <c r="U1011" s="1144">
        <f>IFERROR(VLOOKUP(CONCATENATE($E1011,$G1011),'LAC 103'!$A$12:$O$95,14,FALSE),0)</f>
        <v>0</v>
      </c>
      <c r="V1011" s="1144">
        <f>IFERROR(VLOOKUP(CONCATENATE($E1011,$G1011),'LAC 103'!$A$12:$O$95,15,FALSE),0)</f>
        <v>0</v>
      </c>
      <c r="W1011" s="1145" t="str">
        <f>IFERROR(VLOOKUP(CONCATENATE($B1011,$N1011),'LAC 103'!$AI:$AQ,9,FALSE),"")</f>
        <v>Costs</v>
      </c>
      <c r="X1011" s="1146">
        <f t="shared" si="276"/>
        <v>3.2074101033884355</v>
      </c>
      <c r="Y1011" s="1143">
        <f t="shared" si="287"/>
        <v>246.97057796090954</v>
      </c>
      <c r="Z1011" s="1147">
        <f t="shared" si="277"/>
        <v>307.23</v>
      </c>
      <c r="AA1011" s="1144">
        <f t="shared" si="278"/>
        <v>190.96</v>
      </c>
      <c r="AB1011" s="1144">
        <f t="shared" si="279"/>
        <v>0</v>
      </c>
      <c r="AC1011" s="1144">
        <f t="shared" si="280"/>
        <v>0</v>
      </c>
      <c r="AD1011" s="1148">
        <f t="shared" si="272"/>
        <v>246.97057796090954</v>
      </c>
      <c r="AE1011" s="1487">
        <v>0</v>
      </c>
      <c r="AF1011" s="1145">
        <f t="shared" si="281"/>
        <v>246.97057796090954</v>
      </c>
      <c r="AG1011" s="1149">
        <f>IFERROR(VLOOKUP(CONCATENATE($L1011,$N1011),'Drop List'!$G$23:$K$87,2,FALSE),0)</f>
        <v>0</v>
      </c>
      <c r="AH1011" s="1150">
        <f>IFERROR(VLOOKUP(CONCATENATE($L1011,$N1011),'Drop List'!$G$23:$K$87,3,FALSE),0)</f>
        <v>0</v>
      </c>
      <c r="AI1011" s="1150">
        <f>IFERROR(VLOOKUP(CONCATENATE($L1011,$N1011),'Drop List'!$G$23:$K$87,4,FALSE),0)</f>
        <v>0</v>
      </c>
      <c r="AJ1011" s="1151">
        <f>IFERROR(VLOOKUP(CONCATENATE($L1011,$N1011),'Drop List'!$G$23:$K$87,5,FALSE),0)</f>
        <v>0</v>
      </c>
      <c r="AK1011" s="1152">
        <f t="shared" si="282"/>
        <v>0</v>
      </c>
      <c r="AL1011" s="1153">
        <f t="shared" si="283"/>
        <v>0</v>
      </c>
      <c r="AM1011" s="1153">
        <f t="shared" si="284"/>
        <v>0</v>
      </c>
      <c r="AN1011" s="1145">
        <f t="shared" si="285"/>
        <v>0</v>
      </c>
      <c r="AO1011" s="1154">
        <f t="shared" si="286"/>
        <v>0</v>
      </c>
      <c r="AP1011" s="1147">
        <f t="shared" si="273"/>
        <v>246.97057796090954</v>
      </c>
      <c r="AQ1011" s="1144">
        <f t="shared" si="274"/>
        <v>0</v>
      </c>
      <c r="AR1011" s="1146">
        <f t="shared" si="275"/>
        <v>246.97057796090954</v>
      </c>
    </row>
    <row r="1012" spans="1:44" x14ac:dyDescent="0.2">
      <c r="A1012" s="1141" t="str">
        <f t="shared" si="288"/>
        <v>1544</v>
      </c>
      <c r="B1012" s="1141" t="str">
        <f>IFERROR(VLOOKUP(A1012,'LAC 103'!A:C,3,FALSE),"")</f>
        <v>OP</v>
      </c>
      <c r="C1012" s="1478" t="str">
        <f>Info!$B$8</f>
        <v>00100</v>
      </c>
      <c r="D1012" s="1474" t="s">
        <v>256</v>
      </c>
      <c r="E1012" s="1474" t="s">
        <v>95</v>
      </c>
      <c r="F1012" s="1478" t="s">
        <v>396</v>
      </c>
      <c r="G1012" s="1478" t="s">
        <v>396</v>
      </c>
      <c r="H1012" s="1474" t="s">
        <v>987</v>
      </c>
      <c r="I1012" s="1478" t="s">
        <v>811</v>
      </c>
      <c r="J1012" s="1478" t="s">
        <v>123</v>
      </c>
      <c r="K1012" s="1475" t="s">
        <v>846</v>
      </c>
      <c r="L1012" s="1474" t="s">
        <v>332</v>
      </c>
      <c r="M1012" s="1476" t="s">
        <v>1699</v>
      </c>
      <c r="N1012" s="1477" t="s">
        <v>1694</v>
      </c>
      <c r="O1012" s="1479">
        <v>69857</v>
      </c>
      <c r="P1012" s="1479"/>
      <c r="Q1012" s="1142">
        <f t="shared" si="271"/>
        <v>69857</v>
      </c>
      <c r="R1012" s="1143">
        <f>IFERROR(VLOOKUP(CONCATENATE(E1012,G1012),'LAC 103'!$A$12:$O$95,11,FALSE),0)</f>
        <v>3.2074101033884355</v>
      </c>
      <c r="S1012" s="1144">
        <f>IFERROR(VLOOKUP(CONCATENATE($E1012,$G1012),'LAC 103'!$A$12:$O$95,12,FALSE),0)</f>
        <v>3.99</v>
      </c>
      <c r="T1012" s="1144">
        <f>IFERROR(VLOOKUP(CONCATENATE($E1012,$G1012),'LAC 103'!$A$12:$O$95,13,FALSE),0)</f>
        <v>2.48</v>
      </c>
      <c r="U1012" s="1144">
        <f>IFERROR(VLOOKUP(CONCATENATE($E1012,$G1012),'LAC 103'!$A$12:$O$95,14,FALSE),0)</f>
        <v>0</v>
      </c>
      <c r="V1012" s="1144">
        <f>IFERROR(VLOOKUP(CONCATENATE($E1012,$G1012),'LAC 103'!$A$12:$O$95,15,FALSE),0)</f>
        <v>0</v>
      </c>
      <c r="W1012" s="1145" t="str">
        <f>IFERROR(VLOOKUP(CONCATENATE($B1012,$N1012),'LAC 103'!$AI:$AQ,9,FALSE),"")</f>
        <v>Costs</v>
      </c>
      <c r="X1012" s="1146">
        <f t="shared" si="276"/>
        <v>3.2074101033884355</v>
      </c>
      <c r="Y1012" s="1143">
        <f t="shared" si="287"/>
        <v>224060.04759240593</v>
      </c>
      <c r="Z1012" s="1147">
        <f t="shared" si="277"/>
        <v>278729.43</v>
      </c>
      <c r="AA1012" s="1144">
        <f t="shared" si="278"/>
        <v>173245.36</v>
      </c>
      <c r="AB1012" s="1144">
        <f t="shared" si="279"/>
        <v>0</v>
      </c>
      <c r="AC1012" s="1144">
        <f t="shared" si="280"/>
        <v>0</v>
      </c>
      <c r="AD1012" s="1148">
        <f t="shared" si="272"/>
        <v>224060.04759240593</v>
      </c>
      <c r="AE1012" s="1487">
        <v>0</v>
      </c>
      <c r="AF1012" s="1145">
        <f t="shared" si="281"/>
        <v>224060.04759240593</v>
      </c>
      <c r="AG1012" s="1149">
        <f>IFERROR(VLOOKUP(CONCATENATE($L1012,$N1012),'Drop List'!$G$23:$K$87,2,FALSE),0)</f>
        <v>0</v>
      </c>
      <c r="AH1012" s="1150">
        <f>IFERROR(VLOOKUP(CONCATENATE($L1012,$N1012),'Drop List'!$G$23:$K$87,3,FALSE),0)</f>
        <v>0</v>
      </c>
      <c r="AI1012" s="1150">
        <f>IFERROR(VLOOKUP(CONCATENATE($L1012,$N1012),'Drop List'!$G$23:$K$87,4,FALSE),0)</f>
        <v>0</v>
      </c>
      <c r="AJ1012" s="1151">
        <f>IFERROR(VLOOKUP(CONCATENATE($L1012,$N1012),'Drop List'!$G$23:$K$87,5,FALSE),0)</f>
        <v>0</v>
      </c>
      <c r="AK1012" s="1152">
        <f t="shared" si="282"/>
        <v>0</v>
      </c>
      <c r="AL1012" s="1153">
        <f t="shared" si="283"/>
        <v>0</v>
      </c>
      <c r="AM1012" s="1153">
        <f t="shared" si="284"/>
        <v>0</v>
      </c>
      <c r="AN1012" s="1145">
        <f t="shared" si="285"/>
        <v>0</v>
      </c>
      <c r="AO1012" s="1154">
        <f t="shared" si="286"/>
        <v>0</v>
      </c>
      <c r="AP1012" s="1147">
        <f t="shared" si="273"/>
        <v>224060.04759240593</v>
      </c>
      <c r="AQ1012" s="1144">
        <f t="shared" si="274"/>
        <v>0</v>
      </c>
      <c r="AR1012" s="1146">
        <f t="shared" si="275"/>
        <v>224060.04759240593</v>
      </c>
    </row>
    <row r="1013" spans="1:44" x14ac:dyDescent="0.2">
      <c r="A1013" s="1141" t="str">
        <f t="shared" si="288"/>
        <v>1544</v>
      </c>
      <c r="B1013" s="1141" t="str">
        <f>IFERROR(VLOOKUP(A1013,'LAC 103'!A:C,3,FALSE),"")</f>
        <v>OP</v>
      </c>
      <c r="C1013" s="1478" t="str">
        <f>Info!$B$8</f>
        <v>00100</v>
      </c>
      <c r="D1013" s="1474" t="s">
        <v>256</v>
      </c>
      <c r="E1013" s="1474" t="s">
        <v>95</v>
      </c>
      <c r="F1013" s="1478" t="s">
        <v>396</v>
      </c>
      <c r="G1013" s="1478" t="s">
        <v>396</v>
      </c>
      <c r="H1013" s="1474" t="s">
        <v>987</v>
      </c>
      <c r="I1013" s="1478" t="s">
        <v>811</v>
      </c>
      <c r="J1013" s="1478"/>
      <c r="K1013" s="1475" t="s">
        <v>846</v>
      </c>
      <c r="L1013" s="1474" t="s">
        <v>332</v>
      </c>
      <c r="M1013" s="1476" t="s">
        <v>841</v>
      </c>
      <c r="N1013" s="1477" t="s">
        <v>1695</v>
      </c>
      <c r="O1013" s="1479">
        <v>27868</v>
      </c>
      <c r="P1013" s="1479"/>
      <c r="Q1013" s="1142">
        <f t="shared" si="271"/>
        <v>27868</v>
      </c>
      <c r="R1013" s="1143">
        <f>IFERROR(VLOOKUP(CONCATENATE(E1013,G1013),'LAC 103'!$A$12:$O$95,11,FALSE),0)</f>
        <v>3.2074101033884355</v>
      </c>
      <c r="S1013" s="1144">
        <f>IFERROR(VLOOKUP(CONCATENATE($E1013,$G1013),'LAC 103'!$A$12:$O$95,12,FALSE),0)</f>
        <v>3.99</v>
      </c>
      <c r="T1013" s="1144">
        <f>IFERROR(VLOOKUP(CONCATENATE($E1013,$G1013),'LAC 103'!$A$12:$O$95,13,FALSE),0)</f>
        <v>2.48</v>
      </c>
      <c r="U1013" s="1144">
        <f>IFERROR(VLOOKUP(CONCATENATE($E1013,$G1013),'LAC 103'!$A$12:$O$95,14,FALSE),0)</f>
        <v>0</v>
      </c>
      <c r="V1013" s="1144">
        <f>IFERROR(VLOOKUP(CONCATENATE($E1013,$G1013),'LAC 103'!$A$12:$O$95,15,FALSE),0)</f>
        <v>0</v>
      </c>
      <c r="W1013" s="1145" t="str">
        <f>IFERROR(VLOOKUP(CONCATENATE($B1013,$N1013),'LAC 103'!$AI:$AQ,9,FALSE),"")</f>
        <v>Costs</v>
      </c>
      <c r="X1013" s="1146">
        <f t="shared" si="276"/>
        <v>3.2074101033884355</v>
      </c>
      <c r="Y1013" s="1143">
        <f t="shared" si="287"/>
        <v>89384.104761228926</v>
      </c>
      <c r="Z1013" s="1147">
        <f t="shared" si="277"/>
        <v>111193.32</v>
      </c>
      <c r="AA1013" s="1144">
        <f t="shared" si="278"/>
        <v>69112.639999999999</v>
      </c>
      <c r="AB1013" s="1144">
        <f t="shared" si="279"/>
        <v>0</v>
      </c>
      <c r="AC1013" s="1144">
        <f t="shared" si="280"/>
        <v>0</v>
      </c>
      <c r="AD1013" s="1148">
        <f t="shared" si="272"/>
        <v>89384.104761228926</v>
      </c>
      <c r="AE1013" s="1487">
        <v>0</v>
      </c>
      <c r="AF1013" s="1145">
        <f t="shared" si="281"/>
        <v>89384.104761228926</v>
      </c>
      <c r="AG1013" s="1149">
        <f>IFERROR(VLOOKUP(CONCATENATE($L1013,$N1013),'Drop List'!$G$23:$K$87,2,FALSE),0)</f>
        <v>0</v>
      </c>
      <c r="AH1013" s="1150">
        <f>IFERROR(VLOOKUP(CONCATENATE($L1013,$N1013),'Drop List'!$G$23:$K$87,3,FALSE),0)</f>
        <v>0</v>
      </c>
      <c r="AI1013" s="1150">
        <f>IFERROR(VLOOKUP(CONCATENATE($L1013,$N1013),'Drop List'!$G$23:$K$87,4,FALSE),0)</f>
        <v>0</v>
      </c>
      <c r="AJ1013" s="1151">
        <f>IFERROR(VLOOKUP(CONCATENATE($L1013,$N1013),'Drop List'!$G$23:$K$87,5,FALSE),0)</f>
        <v>0</v>
      </c>
      <c r="AK1013" s="1152">
        <f t="shared" si="282"/>
        <v>0</v>
      </c>
      <c r="AL1013" s="1153">
        <f t="shared" si="283"/>
        <v>0</v>
      </c>
      <c r="AM1013" s="1153">
        <f t="shared" si="284"/>
        <v>0</v>
      </c>
      <c r="AN1013" s="1145">
        <f t="shared" si="285"/>
        <v>0</v>
      </c>
      <c r="AO1013" s="1154">
        <f t="shared" si="286"/>
        <v>0</v>
      </c>
      <c r="AP1013" s="1147">
        <f t="shared" si="273"/>
        <v>89384.104761228926</v>
      </c>
      <c r="AQ1013" s="1144">
        <f t="shared" si="274"/>
        <v>0</v>
      </c>
      <c r="AR1013" s="1146">
        <f t="shared" si="275"/>
        <v>89384.104761228926</v>
      </c>
    </row>
    <row r="1014" spans="1:44" x14ac:dyDescent="0.2">
      <c r="A1014" s="1141" t="str">
        <f t="shared" si="288"/>
        <v>1544</v>
      </c>
      <c r="B1014" s="1141" t="str">
        <f>IFERROR(VLOOKUP(A1014,'LAC 103'!A:C,3,FALSE),"")</f>
        <v>OP</v>
      </c>
      <c r="C1014" s="1478" t="str">
        <f>Info!$B$8</f>
        <v>00100</v>
      </c>
      <c r="D1014" s="1474" t="s">
        <v>256</v>
      </c>
      <c r="E1014" s="1474" t="s">
        <v>95</v>
      </c>
      <c r="F1014" s="1478" t="s">
        <v>396</v>
      </c>
      <c r="G1014" s="1478" t="s">
        <v>396</v>
      </c>
      <c r="H1014" s="1474" t="s">
        <v>987</v>
      </c>
      <c r="I1014" s="1478" t="s">
        <v>811</v>
      </c>
      <c r="J1014" s="1478"/>
      <c r="K1014" s="1475" t="s">
        <v>846</v>
      </c>
      <c r="L1014" s="1474" t="s">
        <v>332</v>
      </c>
      <c r="M1014" s="1476" t="s">
        <v>840</v>
      </c>
      <c r="N1014" s="1477" t="s">
        <v>1700</v>
      </c>
      <c r="O1014" s="1479">
        <v>30371</v>
      </c>
      <c r="P1014" s="1479"/>
      <c r="Q1014" s="1142">
        <f t="shared" si="271"/>
        <v>30371</v>
      </c>
      <c r="R1014" s="1143">
        <f>IFERROR(VLOOKUP(CONCATENATE(E1014,G1014),'LAC 103'!$A$12:$O$95,11,FALSE),0)</f>
        <v>3.2074101033884355</v>
      </c>
      <c r="S1014" s="1144">
        <f>IFERROR(VLOOKUP(CONCATENATE($E1014,$G1014),'LAC 103'!$A$12:$O$95,12,FALSE),0)</f>
        <v>3.99</v>
      </c>
      <c r="T1014" s="1144">
        <f>IFERROR(VLOOKUP(CONCATENATE($E1014,$G1014),'LAC 103'!$A$12:$O$95,13,FALSE),0)</f>
        <v>2.48</v>
      </c>
      <c r="U1014" s="1144">
        <f>IFERROR(VLOOKUP(CONCATENATE($E1014,$G1014),'LAC 103'!$A$12:$O$95,14,FALSE),0)</f>
        <v>0</v>
      </c>
      <c r="V1014" s="1144">
        <f>IFERROR(VLOOKUP(CONCATENATE($E1014,$G1014),'LAC 103'!$A$12:$O$95,15,FALSE),0)</f>
        <v>0</v>
      </c>
      <c r="W1014" s="1145" t="str">
        <f>IFERROR(VLOOKUP(CONCATENATE($B1014,$N1014),'LAC 103'!$AI:$AQ,9,FALSE),"")</f>
        <v>P.C.</v>
      </c>
      <c r="X1014" s="1146">
        <f t="shared" si="276"/>
        <v>2.48</v>
      </c>
      <c r="Y1014" s="1143">
        <f t="shared" si="287"/>
        <v>97412.252250010177</v>
      </c>
      <c r="Z1014" s="1147">
        <f t="shared" si="277"/>
        <v>121180.29000000001</v>
      </c>
      <c r="AA1014" s="1144">
        <f t="shared" si="278"/>
        <v>75320.08</v>
      </c>
      <c r="AB1014" s="1144">
        <f t="shared" si="279"/>
        <v>0</v>
      </c>
      <c r="AC1014" s="1144">
        <f t="shared" si="280"/>
        <v>0</v>
      </c>
      <c r="AD1014" s="1148">
        <f t="shared" si="272"/>
        <v>75320.08</v>
      </c>
      <c r="AE1014" s="1487">
        <v>0</v>
      </c>
      <c r="AF1014" s="1145">
        <f t="shared" si="281"/>
        <v>75320.08</v>
      </c>
      <c r="AG1014" s="1149">
        <f>IFERROR(VLOOKUP(CONCATENATE($L1014,$N1014),'Drop List'!$G$23:$K$87,2,FALSE),0)</f>
        <v>0</v>
      </c>
      <c r="AH1014" s="1150">
        <f>IFERROR(VLOOKUP(CONCATENATE($L1014,$N1014),'Drop List'!$G$23:$K$87,3,FALSE),0)</f>
        <v>0</v>
      </c>
      <c r="AI1014" s="1150">
        <f>IFERROR(VLOOKUP(CONCATENATE($L1014,$N1014),'Drop List'!$G$23:$K$87,4,FALSE),0)</f>
        <v>0</v>
      </c>
      <c r="AJ1014" s="1151">
        <f>IFERROR(VLOOKUP(CONCATENATE($L1014,$N1014),'Drop List'!$G$23:$K$87,5,FALSE),0)</f>
        <v>0</v>
      </c>
      <c r="AK1014" s="1152">
        <f t="shared" si="282"/>
        <v>0</v>
      </c>
      <c r="AL1014" s="1153">
        <f t="shared" si="283"/>
        <v>0</v>
      </c>
      <c r="AM1014" s="1153">
        <f t="shared" si="284"/>
        <v>0</v>
      </c>
      <c r="AN1014" s="1145">
        <f t="shared" si="285"/>
        <v>0</v>
      </c>
      <c r="AO1014" s="1154">
        <f t="shared" si="286"/>
        <v>0</v>
      </c>
      <c r="AP1014" s="1147">
        <f t="shared" si="273"/>
        <v>75320.08</v>
      </c>
      <c r="AQ1014" s="1144">
        <f t="shared" si="274"/>
        <v>0</v>
      </c>
      <c r="AR1014" s="1146">
        <f t="shared" si="275"/>
        <v>75320.08</v>
      </c>
    </row>
    <row r="1015" spans="1:44" x14ac:dyDescent="0.2">
      <c r="A1015" s="1141" t="str">
        <f t="shared" si="288"/>
        <v>1544</v>
      </c>
      <c r="B1015" s="1141" t="str">
        <f>IFERROR(VLOOKUP(A1015,'LAC 103'!A:C,3,FALSE),"")</f>
        <v>OP</v>
      </c>
      <c r="C1015" s="1478" t="str">
        <f>Info!$B$8</f>
        <v>00100</v>
      </c>
      <c r="D1015" s="1474" t="s">
        <v>256</v>
      </c>
      <c r="E1015" s="1474" t="s">
        <v>95</v>
      </c>
      <c r="F1015" s="1478" t="s">
        <v>396</v>
      </c>
      <c r="G1015" s="1478" t="s">
        <v>396</v>
      </c>
      <c r="H1015" s="1474" t="s">
        <v>987</v>
      </c>
      <c r="I1015" s="1478" t="s">
        <v>811</v>
      </c>
      <c r="J1015" s="1478"/>
      <c r="K1015" s="1475" t="s">
        <v>846</v>
      </c>
      <c r="L1015" s="1474" t="s">
        <v>332</v>
      </c>
      <c r="M1015" s="1476" t="s">
        <v>842</v>
      </c>
      <c r="N1015" s="1477" t="s">
        <v>1692</v>
      </c>
      <c r="O1015" s="1479">
        <v>59437</v>
      </c>
      <c r="P1015" s="1479"/>
      <c r="Q1015" s="1142">
        <f t="shared" si="271"/>
        <v>59437</v>
      </c>
      <c r="R1015" s="1143">
        <f>IFERROR(VLOOKUP(CONCATENATE(E1015,G1015),'LAC 103'!$A$12:$O$95,11,FALSE),0)</f>
        <v>3.2074101033884355</v>
      </c>
      <c r="S1015" s="1144">
        <f>IFERROR(VLOOKUP(CONCATENATE($E1015,$G1015),'LAC 103'!$A$12:$O$95,12,FALSE),0)</f>
        <v>3.99</v>
      </c>
      <c r="T1015" s="1144">
        <f>IFERROR(VLOOKUP(CONCATENATE($E1015,$G1015),'LAC 103'!$A$12:$O$95,13,FALSE),0)</f>
        <v>2.48</v>
      </c>
      <c r="U1015" s="1144">
        <f>IFERROR(VLOOKUP(CONCATENATE($E1015,$G1015),'LAC 103'!$A$12:$O$95,14,FALSE),0)</f>
        <v>0</v>
      </c>
      <c r="V1015" s="1144">
        <f>IFERROR(VLOOKUP(CONCATENATE($E1015,$G1015),'LAC 103'!$A$12:$O$95,15,FALSE),0)</f>
        <v>0</v>
      </c>
      <c r="W1015" s="1145" t="str">
        <f>IFERROR(VLOOKUP(CONCATENATE($B1015,$N1015),'LAC 103'!$AI:$AQ,9,FALSE),"")</f>
        <v>Costs</v>
      </c>
      <c r="X1015" s="1146">
        <f t="shared" si="276"/>
        <v>3.2074101033884355</v>
      </c>
      <c r="Y1015" s="1143">
        <f t="shared" si="287"/>
        <v>190638.83431509844</v>
      </c>
      <c r="Z1015" s="1147">
        <f t="shared" si="277"/>
        <v>237153.63</v>
      </c>
      <c r="AA1015" s="1144">
        <f t="shared" si="278"/>
        <v>147403.76</v>
      </c>
      <c r="AB1015" s="1144">
        <f t="shared" si="279"/>
        <v>0</v>
      </c>
      <c r="AC1015" s="1144">
        <f t="shared" si="280"/>
        <v>0</v>
      </c>
      <c r="AD1015" s="1148">
        <f t="shared" si="272"/>
        <v>190638.83431509844</v>
      </c>
      <c r="AE1015" s="1487">
        <v>0</v>
      </c>
      <c r="AF1015" s="1145">
        <f t="shared" si="281"/>
        <v>190638.83431509844</v>
      </c>
      <c r="AG1015" s="1149">
        <f>IFERROR(VLOOKUP(CONCATENATE($L1015,$N1015),'Drop List'!$G$23:$K$87,2,FALSE),0)</f>
        <v>0</v>
      </c>
      <c r="AH1015" s="1150">
        <f>IFERROR(VLOOKUP(CONCATENATE($L1015,$N1015),'Drop List'!$G$23:$K$87,3,FALSE),0)</f>
        <v>0</v>
      </c>
      <c r="AI1015" s="1150">
        <f>IFERROR(VLOOKUP(CONCATENATE($L1015,$N1015),'Drop List'!$G$23:$K$87,4,FALSE),0)</f>
        <v>0</v>
      </c>
      <c r="AJ1015" s="1151">
        <f>IFERROR(VLOOKUP(CONCATENATE($L1015,$N1015),'Drop List'!$G$23:$K$87,5,FALSE),0)</f>
        <v>0</v>
      </c>
      <c r="AK1015" s="1152">
        <f t="shared" si="282"/>
        <v>0</v>
      </c>
      <c r="AL1015" s="1153">
        <f t="shared" si="283"/>
        <v>0</v>
      </c>
      <c r="AM1015" s="1153">
        <f t="shared" si="284"/>
        <v>0</v>
      </c>
      <c r="AN1015" s="1145">
        <f t="shared" si="285"/>
        <v>0</v>
      </c>
      <c r="AO1015" s="1154">
        <f t="shared" si="286"/>
        <v>0</v>
      </c>
      <c r="AP1015" s="1147">
        <f t="shared" si="273"/>
        <v>190638.83431509844</v>
      </c>
      <c r="AQ1015" s="1144">
        <f t="shared" si="274"/>
        <v>0</v>
      </c>
      <c r="AR1015" s="1146">
        <f t="shared" si="275"/>
        <v>190638.83431509844</v>
      </c>
    </row>
    <row r="1016" spans="1:44" x14ac:dyDescent="0.2">
      <c r="A1016" s="1141" t="str">
        <f t="shared" si="288"/>
        <v>1544</v>
      </c>
      <c r="B1016" s="1141" t="str">
        <f>IFERROR(VLOOKUP(A1016,'LAC 103'!A:C,3,FALSE),"")</f>
        <v>OP</v>
      </c>
      <c r="C1016" s="1478" t="str">
        <f>Info!$B$8</f>
        <v>00100</v>
      </c>
      <c r="D1016" s="1474" t="s">
        <v>256</v>
      </c>
      <c r="E1016" s="1474" t="s">
        <v>95</v>
      </c>
      <c r="F1016" s="1478" t="s">
        <v>396</v>
      </c>
      <c r="G1016" s="1478" t="s">
        <v>396</v>
      </c>
      <c r="H1016" s="1474" t="s">
        <v>987</v>
      </c>
      <c r="I1016" s="1478" t="s">
        <v>811</v>
      </c>
      <c r="J1016" s="1478"/>
      <c r="K1016" s="1475" t="s">
        <v>846</v>
      </c>
      <c r="L1016" s="1474" t="s">
        <v>332</v>
      </c>
      <c r="M1016" s="1476" t="s">
        <v>1698</v>
      </c>
      <c r="N1016" s="1477" t="s">
        <v>1693</v>
      </c>
      <c r="O1016" s="1479">
        <v>55661</v>
      </c>
      <c r="P1016" s="1479"/>
      <c r="Q1016" s="1142">
        <f t="shared" si="271"/>
        <v>55661</v>
      </c>
      <c r="R1016" s="1143">
        <f>IFERROR(VLOOKUP(CONCATENATE(E1016,G1016),'LAC 103'!$A$12:$O$95,11,FALSE),0)</f>
        <v>3.2074101033884355</v>
      </c>
      <c r="S1016" s="1144">
        <f>IFERROR(VLOOKUP(CONCATENATE($E1016,$G1016),'LAC 103'!$A$12:$O$95,12,FALSE),0)</f>
        <v>3.99</v>
      </c>
      <c r="T1016" s="1144">
        <f>IFERROR(VLOOKUP(CONCATENATE($E1016,$G1016),'LAC 103'!$A$12:$O$95,13,FALSE),0)</f>
        <v>2.48</v>
      </c>
      <c r="U1016" s="1144">
        <f>IFERROR(VLOOKUP(CONCATENATE($E1016,$G1016),'LAC 103'!$A$12:$O$95,14,FALSE),0)</f>
        <v>0</v>
      </c>
      <c r="V1016" s="1144">
        <f>IFERROR(VLOOKUP(CONCATENATE($E1016,$G1016),'LAC 103'!$A$12:$O$95,15,FALSE),0)</f>
        <v>0</v>
      </c>
      <c r="W1016" s="1145" t="str">
        <f>IFERROR(VLOOKUP(CONCATENATE($B1016,$N1016),'LAC 103'!$AI:$AQ,9,FALSE),"")</f>
        <v>Costs</v>
      </c>
      <c r="X1016" s="1146">
        <f t="shared" si="276"/>
        <v>3.2074101033884355</v>
      </c>
      <c r="Y1016" s="1143">
        <f t="shared" si="287"/>
        <v>178527.65376470372</v>
      </c>
      <c r="Z1016" s="1147">
        <f t="shared" si="277"/>
        <v>222087.39</v>
      </c>
      <c r="AA1016" s="1144">
        <f t="shared" si="278"/>
        <v>138039.28</v>
      </c>
      <c r="AB1016" s="1144">
        <f t="shared" si="279"/>
        <v>0</v>
      </c>
      <c r="AC1016" s="1144">
        <f t="shared" si="280"/>
        <v>0</v>
      </c>
      <c r="AD1016" s="1148">
        <f t="shared" si="272"/>
        <v>178527.65376470372</v>
      </c>
      <c r="AE1016" s="1487">
        <v>0</v>
      </c>
      <c r="AF1016" s="1145">
        <f t="shared" si="281"/>
        <v>178527.65376470372</v>
      </c>
      <c r="AG1016" s="1149">
        <f>IFERROR(VLOOKUP(CONCATENATE($L1016,$N1016),'Drop List'!$G$23:$K$87,2,FALSE),0)</f>
        <v>0</v>
      </c>
      <c r="AH1016" s="1150">
        <f>IFERROR(VLOOKUP(CONCATENATE($L1016,$N1016),'Drop List'!$G$23:$K$87,3,FALSE),0)</f>
        <v>0</v>
      </c>
      <c r="AI1016" s="1150">
        <f>IFERROR(VLOOKUP(CONCATENATE($L1016,$N1016),'Drop List'!$G$23:$K$87,4,FALSE),0)</f>
        <v>0</v>
      </c>
      <c r="AJ1016" s="1151">
        <f>IFERROR(VLOOKUP(CONCATENATE($L1016,$N1016),'Drop List'!$G$23:$K$87,5,FALSE),0)</f>
        <v>0</v>
      </c>
      <c r="AK1016" s="1152">
        <f t="shared" si="282"/>
        <v>0</v>
      </c>
      <c r="AL1016" s="1153">
        <f t="shared" si="283"/>
        <v>0</v>
      </c>
      <c r="AM1016" s="1153">
        <f t="shared" si="284"/>
        <v>0</v>
      </c>
      <c r="AN1016" s="1145">
        <f t="shared" si="285"/>
        <v>0</v>
      </c>
      <c r="AO1016" s="1154">
        <f t="shared" si="286"/>
        <v>0</v>
      </c>
      <c r="AP1016" s="1147">
        <f t="shared" si="273"/>
        <v>178527.65376470372</v>
      </c>
      <c r="AQ1016" s="1144">
        <f t="shared" si="274"/>
        <v>0</v>
      </c>
      <c r="AR1016" s="1146">
        <f t="shared" si="275"/>
        <v>178527.65376470372</v>
      </c>
    </row>
    <row r="1017" spans="1:44" x14ac:dyDescent="0.2">
      <c r="A1017" s="1141" t="str">
        <f t="shared" si="288"/>
        <v>1544</v>
      </c>
      <c r="B1017" s="1141" t="str">
        <f>IFERROR(VLOOKUP(A1017,'LAC 103'!A:C,3,FALSE),"")</f>
        <v>OP</v>
      </c>
      <c r="C1017" s="1478" t="str">
        <f>Info!$B$8</f>
        <v>00100</v>
      </c>
      <c r="D1017" s="1474" t="s">
        <v>256</v>
      </c>
      <c r="E1017" s="1474" t="s">
        <v>95</v>
      </c>
      <c r="F1017" s="1478" t="s">
        <v>396</v>
      </c>
      <c r="G1017" s="1478" t="s">
        <v>396</v>
      </c>
      <c r="H1017" s="1474" t="s">
        <v>1662</v>
      </c>
      <c r="I1017" s="1478" t="s">
        <v>819</v>
      </c>
      <c r="J1017" s="1478" t="s">
        <v>123</v>
      </c>
      <c r="K1017" s="1475" t="s">
        <v>846</v>
      </c>
      <c r="L1017" s="1474" t="s">
        <v>332</v>
      </c>
      <c r="M1017" s="1476" t="s">
        <v>1699</v>
      </c>
      <c r="N1017" s="1477" t="s">
        <v>1694</v>
      </c>
      <c r="O1017" s="1479">
        <v>223</v>
      </c>
      <c r="P1017" s="1479"/>
      <c r="Q1017" s="1142">
        <f t="shared" si="271"/>
        <v>223</v>
      </c>
      <c r="R1017" s="1143">
        <f>IFERROR(VLOOKUP(CONCATENATE(E1017,G1017),'LAC 103'!$A$12:$O$95,11,FALSE),0)</f>
        <v>3.2074101033884355</v>
      </c>
      <c r="S1017" s="1144">
        <f>IFERROR(VLOOKUP(CONCATENATE($E1017,$G1017),'LAC 103'!$A$12:$O$95,12,FALSE),0)</f>
        <v>3.99</v>
      </c>
      <c r="T1017" s="1144">
        <f>IFERROR(VLOOKUP(CONCATENATE($E1017,$G1017),'LAC 103'!$A$12:$O$95,13,FALSE),0)</f>
        <v>2.48</v>
      </c>
      <c r="U1017" s="1144">
        <f>IFERROR(VLOOKUP(CONCATENATE($E1017,$G1017),'LAC 103'!$A$12:$O$95,14,FALSE),0)</f>
        <v>0</v>
      </c>
      <c r="V1017" s="1144">
        <f>IFERROR(VLOOKUP(CONCATENATE($E1017,$G1017),'LAC 103'!$A$12:$O$95,15,FALSE),0)</f>
        <v>0</v>
      </c>
      <c r="W1017" s="1145" t="str">
        <f>IFERROR(VLOOKUP(CONCATENATE($B1017,$N1017),'LAC 103'!$AI:$AQ,9,FALSE),"")</f>
        <v>Costs</v>
      </c>
      <c r="X1017" s="1146">
        <f t="shared" si="276"/>
        <v>3.2074101033884355</v>
      </c>
      <c r="Y1017" s="1143">
        <f t="shared" si="287"/>
        <v>715.25245305562112</v>
      </c>
      <c r="Z1017" s="1147">
        <f t="shared" si="277"/>
        <v>889.7700000000001</v>
      </c>
      <c r="AA1017" s="1144">
        <f t="shared" si="278"/>
        <v>553.04</v>
      </c>
      <c r="AB1017" s="1144">
        <f t="shared" si="279"/>
        <v>0</v>
      </c>
      <c r="AC1017" s="1144">
        <f t="shared" si="280"/>
        <v>0</v>
      </c>
      <c r="AD1017" s="1148">
        <f t="shared" si="272"/>
        <v>715.25245305562112</v>
      </c>
      <c r="AE1017" s="1487">
        <v>0</v>
      </c>
      <c r="AF1017" s="1145">
        <f t="shared" si="281"/>
        <v>715.25245305562112</v>
      </c>
      <c r="AG1017" s="1149">
        <f>IFERROR(VLOOKUP(CONCATENATE($L1017,$N1017),'Drop List'!$G$23:$K$87,2,FALSE),0)</f>
        <v>0</v>
      </c>
      <c r="AH1017" s="1150">
        <f>IFERROR(VLOOKUP(CONCATENATE($L1017,$N1017),'Drop List'!$G$23:$K$87,3,FALSE),0)</f>
        <v>0</v>
      </c>
      <c r="AI1017" s="1150">
        <f>IFERROR(VLOOKUP(CONCATENATE($L1017,$N1017),'Drop List'!$G$23:$K$87,4,FALSE),0)</f>
        <v>0</v>
      </c>
      <c r="AJ1017" s="1151">
        <f>IFERROR(VLOOKUP(CONCATENATE($L1017,$N1017),'Drop List'!$G$23:$K$87,5,FALSE),0)</f>
        <v>0</v>
      </c>
      <c r="AK1017" s="1152">
        <f t="shared" si="282"/>
        <v>0</v>
      </c>
      <c r="AL1017" s="1153">
        <f t="shared" si="283"/>
        <v>0</v>
      </c>
      <c r="AM1017" s="1153">
        <f t="shared" si="284"/>
        <v>0</v>
      </c>
      <c r="AN1017" s="1145">
        <f t="shared" si="285"/>
        <v>0</v>
      </c>
      <c r="AO1017" s="1154">
        <f t="shared" si="286"/>
        <v>0</v>
      </c>
      <c r="AP1017" s="1147">
        <f t="shared" si="273"/>
        <v>715.25245305562112</v>
      </c>
      <c r="AQ1017" s="1144">
        <f t="shared" si="274"/>
        <v>0</v>
      </c>
      <c r="AR1017" s="1146">
        <f t="shared" si="275"/>
        <v>715.25245305562112</v>
      </c>
    </row>
    <row r="1018" spans="1:44" x14ac:dyDescent="0.2">
      <c r="A1018" s="1141" t="str">
        <f t="shared" si="288"/>
        <v>1544</v>
      </c>
      <c r="B1018" s="1141" t="str">
        <f>IFERROR(VLOOKUP(A1018,'LAC 103'!A:C,3,FALSE),"")</f>
        <v>OP</v>
      </c>
      <c r="C1018" s="1478" t="str">
        <f>Info!$B$8</f>
        <v>00100</v>
      </c>
      <c r="D1018" s="1474" t="s">
        <v>256</v>
      </c>
      <c r="E1018" s="1474" t="s">
        <v>95</v>
      </c>
      <c r="F1018" s="1478" t="s">
        <v>396</v>
      </c>
      <c r="G1018" s="1478" t="s">
        <v>396</v>
      </c>
      <c r="H1018" s="1474" t="s">
        <v>1662</v>
      </c>
      <c r="I1018" s="1478" t="s">
        <v>819</v>
      </c>
      <c r="J1018" s="1478"/>
      <c r="K1018" s="1475" t="s">
        <v>846</v>
      </c>
      <c r="L1018" s="1474" t="s">
        <v>332</v>
      </c>
      <c r="M1018" s="1476" t="s">
        <v>841</v>
      </c>
      <c r="N1018" s="1477" t="s">
        <v>1695</v>
      </c>
      <c r="O1018" s="1479">
        <v>106</v>
      </c>
      <c r="P1018" s="1479"/>
      <c r="Q1018" s="1142">
        <f t="shared" si="271"/>
        <v>106</v>
      </c>
      <c r="R1018" s="1143">
        <f>IFERROR(VLOOKUP(CONCATENATE(E1018,G1018),'LAC 103'!$A$12:$O$95,11,FALSE),0)</f>
        <v>3.2074101033884355</v>
      </c>
      <c r="S1018" s="1144">
        <f>IFERROR(VLOOKUP(CONCATENATE($E1018,$G1018),'LAC 103'!$A$12:$O$95,12,FALSE),0)</f>
        <v>3.99</v>
      </c>
      <c r="T1018" s="1144">
        <f>IFERROR(VLOOKUP(CONCATENATE($E1018,$G1018),'LAC 103'!$A$12:$O$95,13,FALSE),0)</f>
        <v>2.48</v>
      </c>
      <c r="U1018" s="1144">
        <f>IFERROR(VLOOKUP(CONCATENATE($E1018,$G1018),'LAC 103'!$A$12:$O$95,14,FALSE),0)</f>
        <v>0</v>
      </c>
      <c r="V1018" s="1144">
        <f>IFERROR(VLOOKUP(CONCATENATE($E1018,$G1018),'LAC 103'!$A$12:$O$95,15,FALSE),0)</f>
        <v>0</v>
      </c>
      <c r="W1018" s="1145" t="str">
        <f>IFERROR(VLOOKUP(CONCATENATE($B1018,$N1018),'LAC 103'!$AI:$AQ,9,FALSE),"")</f>
        <v>Costs</v>
      </c>
      <c r="X1018" s="1146">
        <f t="shared" si="276"/>
        <v>3.2074101033884355</v>
      </c>
      <c r="Y1018" s="1143">
        <f t="shared" si="287"/>
        <v>339.98547095917417</v>
      </c>
      <c r="Z1018" s="1147">
        <f t="shared" si="277"/>
        <v>422.94</v>
      </c>
      <c r="AA1018" s="1144">
        <f t="shared" si="278"/>
        <v>262.88</v>
      </c>
      <c r="AB1018" s="1144">
        <f t="shared" si="279"/>
        <v>0</v>
      </c>
      <c r="AC1018" s="1144">
        <f t="shared" si="280"/>
        <v>0</v>
      </c>
      <c r="AD1018" s="1148">
        <f t="shared" si="272"/>
        <v>339.98547095917417</v>
      </c>
      <c r="AE1018" s="1487">
        <v>0</v>
      </c>
      <c r="AF1018" s="1145">
        <f t="shared" si="281"/>
        <v>339.98547095917417</v>
      </c>
      <c r="AG1018" s="1149">
        <f>IFERROR(VLOOKUP(CONCATENATE($L1018,$N1018),'Drop List'!$G$23:$K$87,2,FALSE),0)</f>
        <v>0</v>
      </c>
      <c r="AH1018" s="1150">
        <f>IFERROR(VLOOKUP(CONCATENATE($L1018,$N1018),'Drop List'!$G$23:$K$87,3,FALSE),0)</f>
        <v>0</v>
      </c>
      <c r="AI1018" s="1150">
        <f>IFERROR(VLOOKUP(CONCATENATE($L1018,$N1018),'Drop List'!$G$23:$K$87,4,FALSE),0)</f>
        <v>0</v>
      </c>
      <c r="AJ1018" s="1151">
        <f>IFERROR(VLOOKUP(CONCATENATE($L1018,$N1018),'Drop List'!$G$23:$K$87,5,FALSE),0)</f>
        <v>0</v>
      </c>
      <c r="AK1018" s="1152">
        <f t="shared" si="282"/>
        <v>0</v>
      </c>
      <c r="AL1018" s="1153">
        <f t="shared" si="283"/>
        <v>0</v>
      </c>
      <c r="AM1018" s="1153">
        <f t="shared" si="284"/>
        <v>0</v>
      </c>
      <c r="AN1018" s="1145">
        <f t="shared" si="285"/>
        <v>0</v>
      </c>
      <c r="AO1018" s="1154">
        <f t="shared" si="286"/>
        <v>0</v>
      </c>
      <c r="AP1018" s="1147">
        <f t="shared" si="273"/>
        <v>339.98547095917417</v>
      </c>
      <c r="AQ1018" s="1144">
        <f t="shared" si="274"/>
        <v>0</v>
      </c>
      <c r="AR1018" s="1146">
        <f t="shared" si="275"/>
        <v>339.98547095917417</v>
      </c>
    </row>
    <row r="1019" spans="1:44" x14ac:dyDescent="0.2">
      <c r="A1019" s="1141" t="str">
        <f t="shared" si="288"/>
        <v>1544</v>
      </c>
      <c r="B1019" s="1141" t="str">
        <f>IFERROR(VLOOKUP(A1019,'LAC 103'!A:C,3,FALSE),"")</f>
        <v>OP</v>
      </c>
      <c r="C1019" s="1478" t="str">
        <f>Info!$B$8</f>
        <v>00100</v>
      </c>
      <c r="D1019" s="1474" t="s">
        <v>256</v>
      </c>
      <c r="E1019" s="1474" t="s">
        <v>95</v>
      </c>
      <c r="F1019" s="1478" t="s">
        <v>396</v>
      </c>
      <c r="G1019" s="1478" t="s">
        <v>396</v>
      </c>
      <c r="H1019" s="1474" t="s">
        <v>1662</v>
      </c>
      <c r="I1019" s="1478" t="s">
        <v>819</v>
      </c>
      <c r="J1019" s="1478"/>
      <c r="K1019" s="1475" t="s">
        <v>846</v>
      </c>
      <c r="L1019" s="1474" t="s">
        <v>332</v>
      </c>
      <c r="M1019" s="1476" t="s">
        <v>1698</v>
      </c>
      <c r="N1019" s="1477" t="s">
        <v>1693</v>
      </c>
      <c r="O1019" s="1479">
        <v>1006</v>
      </c>
      <c r="P1019" s="1479"/>
      <c r="Q1019" s="1142">
        <f t="shared" si="271"/>
        <v>1006</v>
      </c>
      <c r="R1019" s="1143">
        <f>IFERROR(VLOOKUP(CONCATENATE(E1019,G1019),'LAC 103'!$A$12:$O$95,11,FALSE),0)</f>
        <v>3.2074101033884355</v>
      </c>
      <c r="S1019" s="1144">
        <f>IFERROR(VLOOKUP(CONCATENATE($E1019,$G1019),'LAC 103'!$A$12:$O$95,12,FALSE),0)</f>
        <v>3.99</v>
      </c>
      <c r="T1019" s="1144">
        <f>IFERROR(VLOOKUP(CONCATENATE($E1019,$G1019),'LAC 103'!$A$12:$O$95,13,FALSE),0)</f>
        <v>2.48</v>
      </c>
      <c r="U1019" s="1144">
        <f>IFERROR(VLOOKUP(CONCATENATE($E1019,$G1019),'LAC 103'!$A$12:$O$95,14,FALSE),0)</f>
        <v>0</v>
      </c>
      <c r="V1019" s="1144">
        <f>IFERROR(VLOOKUP(CONCATENATE($E1019,$G1019),'LAC 103'!$A$12:$O$95,15,FALSE),0)</f>
        <v>0</v>
      </c>
      <c r="W1019" s="1145" t="str">
        <f>IFERROR(VLOOKUP(CONCATENATE($B1019,$N1019),'LAC 103'!$AI:$AQ,9,FALSE),"")</f>
        <v>Costs</v>
      </c>
      <c r="X1019" s="1146">
        <f t="shared" si="276"/>
        <v>3.2074101033884355</v>
      </c>
      <c r="Y1019" s="1143">
        <f t="shared" si="287"/>
        <v>3226.6545640087661</v>
      </c>
      <c r="Z1019" s="1147">
        <f t="shared" si="277"/>
        <v>4013.94</v>
      </c>
      <c r="AA1019" s="1144">
        <f t="shared" si="278"/>
        <v>2494.88</v>
      </c>
      <c r="AB1019" s="1144">
        <f t="shared" si="279"/>
        <v>0</v>
      </c>
      <c r="AC1019" s="1144">
        <f t="shared" si="280"/>
        <v>0</v>
      </c>
      <c r="AD1019" s="1148">
        <f t="shared" si="272"/>
        <v>3226.6545640087661</v>
      </c>
      <c r="AE1019" s="1487">
        <v>0</v>
      </c>
      <c r="AF1019" s="1145">
        <f t="shared" si="281"/>
        <v>3226.6545640087661</v>
      </c>
      <c r="AG1019" s="1149">
        <f>IFERROR(VLOOKUP(CONCATENATE($L1019,$N1019),'Drop List'!$G$23:$K$87,2,FALSE),0)</f>
        <v>0</v>
      </c>
      <c r="AH1019" s="1150">
        <f>IFERROR(VLOOKUP(CONCATENATE($L1019,$N1019),'Drop List'!$G$23:$K$87,3,FALSE),0)</f>
        <v>0</v>
      </c>
      <c r="AI1019" s="1150">
        <f>IFERROR(VLOOKUP(CONCATENATE($L1019,$N1019),'Drop List'!$G$23:$K$87,4,FALSE),0)</f>
        <v>0</v>
      </c>
      <c r="AJ1019" s="1151">
        <f>IFERROR(VLOOKUP(CONCATENATE($L1019,$N1019),'Drop List'!$G$23:$K$87,5,FALSE),0)</f>
        <v>0</v>
      </c>
      <c r="AK1019" s="1152">
        <f t="shared" si="282"/>
        <v>0</v>
      </c>
      <c r="AL1019" s="1153">
        <f t="shared" si="283"/>
        <v>0</v>
      </c>
      <c r="AM1019" s="1153">
        <f t="shared" si="284"/>
        <v>0</v>
      </c>
      <c r="AN1019" s="1145">
        <f t="shared" si="285"/>
        <v>0</v>
      </c>
      <c r="AO1019" s="1154">
        <f t="shared" si="286"/>
        <v>0</v>
      </c>
      <c r="AP1019" s="1147">
        <f t="shared" si="273"/>
        <v>3226.6545640087661</v>
      </c>
      <c r="AQ1019" s="1144">
        <f t="shared" si="274"/>
        <v>0</v>
      </c>
      <c r="AR1019" s="1146">
        <f t="shared" si="275"/>
        <v>3226.6545640087661</v>
      </c>
    </row>
    <row r="1020" spans="1:44" x14ac:dyDescent="0.2">
      <c r="A1020" s="1141" t="str">
        <f t="shared" si="288"/>
        <v>1544</v>
      </c>
      <c r="B1020" s="1141" t="str">
        <f>IFERROR(VLOOKUP(A1020,'LAC 103'!A:C,3,FALSE),"")</f>
        <v>OP</v>
      </c>
      <c r="C1020" s="1478" t="str">
        <f>Info!$B$8</f>
        <v>00100</v>
      </c>
      <c r="D1020" s="1474" t="s">
        <v>256</v>
      </c>
      <c r="E1020" s="1474" t="s">
        <v>95</v>
      </c>
      <c r="F1020" s="1478" t="s">
        <v>396</v>
      </c>
      <c r="G1020" s="1478" t="s">
        <v>396</v>
      </c>
      <c r="H1020" s="1474" t="s">
        <v>1090</v>
      </c>
      <c r="I1020" s="1478" t="s">
        <v>815</v>
      </c>
      <c r="J1020" s="1478" t="s">
        <v>123</v>
      </c>
      <c r="K1020" s="1475" t="s">
        <v>846</v>
      </c>
      <c r="L1020" s="1474" t="s">
        <v>332</v>
      </c>
      <c r="M1020" s="1476" t="s">
        <v>1699</v>
      </c>
      <c r="N1020" s="1477" t="s">
        <v>1694</v>
      </c>
      <c r="O1020" s="1479">
        <v>70067</v>
      </c>
      <c r="P1020" s="1479"/>
      <c r="Q1020" s="1142">
        <f t="shared" ref="Q1020:Q1083" si="289">O1020+P1020</f>
        <v>70067</v>
      </c>
      <c r="R1020" s="1143">
        <f>IFERROR(VLOOKUP(CONCATENATE(E1020,G1020),'LAC 103'!$A$12:$O$95,11,FALSE),0)</f>
        <v>3.2074101033884355</v>
      </c>
      <c r="S1020" s="1144">
        <f>IFERROR(VLOOKUP(CONCATENATE($E1020,$G1020),'LAC 103'!$A$12:$O$95,12,FALSE),0)</f>
        <v>3.99</v>
      </c>
      <c r="T1020" s="1144">
        <f>IFERROR(VLOOKUP(CONCATENATE($E1020,$G1020),'LAC 103'!$A$12:$O$95,13,FALSE),0)</f>
        <v>2.48</v>
      </c>
      <c r="U1020" s="1144">
        <f>IFERROR(VLOOKUP(CONCATENATE($E1020,$G1020),'LAC 103'!$A$12:$O$95,14,FALSE),0)</f>
        <v>0</v>
      </c>
      <c r="V1020" s="1144">
        <f>IFERROR(VLOOKUP(CONCATENATE($E1020,$G1020),'LAC 103'!$A$12:$O$95,15,FALSE),0)</f>
        <v>0</v>
      </c>
      <c r="W1020" s="1145" t="str">
        <f>IFERROR(VLOOKUP(CONCATENATE($B1020,$N1020),'LAC 103'!$AI:$AQ,9,FALSE),"")</f>
        <v>Costs</v>
      </c>
      <c r="X1020" s="1146">
        <f t="shared" si="276"/>
        <v>3.2074101033884355</v>
      </c>
      <c r="Y1020" s="1143">
        <f t="shared" si="287"/>
        <v>224733.60371411752</v>
      </c>
      <c r="Z1020" s="1147">
        <f t="shared" si="277"/>
        <v>279567.33</v>
      </c>
      <c r="AA1020" s="1144">
        <f t="shared" si="278"/>
        <v>173766.16</v>
      </c>
      <c r="AB1020" s="1144">
        <f t="shared" si="279"/>
        <v>0</v>
      </c>
      <c r="AC1020" s="1144">
        <f t="shared" si="280"/>
        <v>0</v>
      </c>
      <c r="AD1020" s="1148">
        <f t="shared" si="272"/>
        <v>224733.60371411752</v>
      </c>
      <c r="AE1020" s="1487">
        <v>0</v>
      </c>
      <c r="AF1020" s="1145">
        <f t="shared" si="281"/>
        <v>224733.60371411752</v>
      </c>
      <c r="AG1020" s="1149">
        <f>IFERROR(VLOOKUP(CONCATENATE($L1020,$N1020),'Drop List'!$G$23:$K$87,2,FALSE),0)</f>
        <v>0</v>
      </c>
      <c r="AH1020" s="1150">
        <f>IFERROR(VLOOKUP(CONCATENATE($L1020,$N1020),'Drop List'!$G$23:$K$87,3,FALSE),0)</f>
        <v>0</v>
      </c>
      <c r="AI1020" s="1150">
        <f>IFERROR(VLOOKUP(CONCATENATE($L1020,$N1020),'Drop List'!$G$23:$K$87,4,FALSE),0)</f>
        <v>0</v>
      </c>
      <c r="AJ1020" s="1151">
        <f>IFERROR(VLOOKUP(CONCATENATE($L1020,$N1020),'Drop List'!$G$23:$K$87,5,FALSE),0)</f>
        <v>0</v>
      </c>
      <c r="AK1020" s="1152">
        <f t="shared" si="282"/>
        <v>0</v>
      </c>
      <c r="AL1020" s="1153">
        <f t="shared" si="283"/>
        <v>0</v>
      </c>
      <c r="AM1020" s="1153">
        <f t="shared" si="284"/>
        <v>0</v>
      </c>
      <c r="AN1020" s="1145">
        <f t="shared" si="285"/>
        <v>0</v>
      </c>
      <c r="AO1020" s="1154">
        <f t="shared" si="286"/>
        <v>0</v>
      </c>
      <c r="AP1020" s="1147">
        <f t="shared" si="273"/>
        <v>224733.60371411752</v>
      </c>
      <c r="AQ1020" s="1144">
        <f t="shared" si="274"/>
        <v>0</v>
      </c>
      <c r="AR1020" s="1146">
        <f t="shared" si="275"/>
        <v>224733.60371411752</v>
      </c>
    </row>
    <row r="1021" spans="1:44" x14ac:dyDescent="0.2">
      <c r="A1021" s="1141" t="str">
        <f t="shared" si="288"/>
        <v>1544</v>
      </c>
      <c r="B1021" s="1141" t="str">
        <f>IFERROR(VLOOKUP(A1021,'LAC 103'!A:C,3,FALSE),"")</f>
        <v>OP</v>
      </c>
      <c r="C1021" s="1478" t="str">
        <f>Info!$B$8</f>
        <v>00100</v>
      </c>
      <c r="D1021" s="1474" t="s">
        <v>256</v>
      </c>
      <c r="E1021" s="1474" t="s">
        <v>95</v>
      </c>
      <c r="F1021" s="1478" t="s">
        <v>396</v>
      </c>
      <c r="G1021" s="1478" t="s">
        <v>396</v>
      </c>
      <c r="H1021" s="1474" t="s">
        <v>1090</v>
      </c>
      <c r="I1021" s="1478" t="s">
        <v>815</v>
      </c>
      <c r="J1021" s="1478"/>
      <c r="K1021" s="1475" t="s">
        <v>846</v>
      </c>
      <c r="L1021" s="1474" t="s">
        <v>332</v>
      </c>
      <c r="M1021" s="1476" t="s">
        <v>841</v>
      </c>
      <c r="N1021" s="1477" t="s">
        <v>1695</v>
      </c>
      <c r="O1021" s="1479">
        <v>26349</v>
      </c>
      <c r="P1021" s="1479"/>
      <c r="Q1021" s="1142">
        <f t="shared" si="289"/>
        <v>26349</v>
      </c>
      <c r="R1021" s="1143">
        <f>IFERROR(VLOOKUP(CONCATENATE(E1021,G1021),'LAC 103'!$A$12:$O$95,11,FALSE),0)</f>
        <v>3.2074101033884355</v>
      </c>
      <c r="S1021" s="1144">
        <f>IFERROR(VLOOKUP(CONCATENATE($E1021,$G1021),'LAC 103'!$A$12:$O$95,12,FALSE),0)</f>
        <v>3.99</v>
      </c>
      <c r="T1021" s="1144">
        <f>IFERROR(VLOOKUP(CONCATENATE($E1021,$G1021),'LAC 103'!$A$12:$O$95,13,FALSE),0)</f>
        <v>2.48</v>
      </c>
      <c r="U1021" s="1144">
        <f>IFERROR(VLOOKUP(CONCATENATE($E1021,$G1021),'LAC 103'!$A$12:$O$95,14,FALSE),0)</f>
        <v>0</v>
      </c>
      <c r="V1021" s="1144">
        <f>IFERROR(VLOOKUP(CONCATENATE($E1021,$G1021),'LAC 103'!$A$12:$O$95,15,FALSE),0)</f>
        <v>0</v>
      </c>
      <c r="W1021" s="1145" t="str">
        <f>IFERROR(VLOOKUP(CONCATENATE($B1021,$N1021),'LAC 103'!$AI:$AQ,9,FALSE),"")</f>
        <v>Costs</v>
      </c>
      <c r="X1021" s="1146">
        <f t="shared" si="276"/>
        <v>3.2074101033884355</v>
      </c>
      <c r="Y1021" s="1143">
        <f t="shared" si="287"/>
        <v>84512.048814181893</v>
      </c>
      <c r="Z1021" s="1147">
        <f t="shared" si="277"/>
        <v>105132.51000000001</v>
      </c>
      <c r="AA1021" s="1144">
        <f t="shared" si="278"/>
        <v>65345.52</v>
      </c>
      <c r="AB1021" s="1144">
        <f t="shared" si="279"/>
        <v>0</v>
      </c>
      <c r="AC1021" s="1144">
        <f t="shared" si="280"/>
        <v>0</v>
      </c>
      <c r="AD1021" s="1148">
        <f t="shared" si="272"/>
        <v>84512.048814181893</v>
      </c>
      <c r="AE1021" s="1487">
        <v>0</v>
      </c>
      <c r="AF1021" s="1145">
        <f t="shared" si="281"/>
        <v>84512.048814181893</v>
      </c>
      <c r="AG1021" s="1149">
        <f>IFERROR(VLOOKUP(CONCATENATE($L1021,$N1021),'Drop List'!$G$23:$K$87,2,FALSE),0)</f>
        <v>0</v>
      </c>
      <c r="AH1021" s="1150">
        <f>IFERROR(VLOOKUP(CONCATENATE($L1021,$N1021),'Drop List'!$G$23:$K$87,3,FALSE),0)</f>
        <v>0</v>
      </c>
      <c r="AI1021" s="1150">
        <f>IFERROR(VLOOKUP(CONCATENATE($L1021,$N1021),'Drop List'!$G$23:$K$87,4,FALSE),0)</f>
        <v>0</v>
      </c>
      <c r="AJ1021" s="1151">
        <f>IFERROR(VLOOKUP(CONCATENATE($L1021,$N1021),'Drop List'!$G$23:$K$87,5,FALSE),0)</f>
        <v>0</v>
      </c>
      <c r="AK1021" s="1152">
        <f t="shared" si="282"/>
        <v>0</v>
      </c>
      <c r="AL1021" s="1153">
        <f t="shared" si="283"/>
        <v>0</v>
      </c>
      <c r="AM1021" s="1153">
        <f t="shared" si="284"/>
        <v>0</v>
      </c>
      <c r="AN1021" s="1145">
        <f t="shared" si="285"/>
        <v>0</v>
      </c>
      <c r="AO1021" s="1154">
        <f t="shared" si="286"/>
        <v>0</v>
      </c>
      <c r="AP1021" s="1147">
        <f t="shared" si="273"/>
        <v>84512.048814181893</v>
      </c>
      <c r="AQ1021" s="1144">
        <f t="shared" si="274"/>
        <v>0</v>
      </c>
      <c r="AR1021" s="1146">
        <f t="shared" si="275"/>
        <v>84512.048814181893</v>
      </c>
    </row>
    <row r="1022" spans="1:44" x14ac:dyDescent="0.2">
      <c r="A1022" s="1141" t="str">
        <f t="shared" si="288"/>
        <v>1544</v>
      </c>
      <c r="B1022" s="1141" t="str">
        <f>IFERROR(VLOOKUP(A1022,'LAC 103'!A:C,3,FALSE),"")</f>
        <v>OP</v>
      </c>
      <c r="C1022" s="1478" t="str">
        <f>Info!$B$8</f>
        <v>00100</v>
      </c>
      <c r="D1022" s="1474" t="s">
        <v>256</v>
      </c>
      <c r="E1022" s="1474" t="s">
        <v>95</v>
      </c>
      <c r="F1022" s="1478" t="s">
        <v>396</v>
      </c>
      <c r="G1022" s="1478" t="s">
        <v>396</v>
      </c>
      <c r="H1022" s="1474" t="s">
        <v>1090</v>
      </c>
      <c r="I1022" s="1478" t="s">
        <v>815</v>
      </c>
      <c r="J1022" s="1478"/>
      <c r="K1022" s="1475" t="s">
        <v>846</v>
      </c>
      <c r="L1022" s="1474" t="s">
        <v>332</v>
      </c>
      <c r="M1022" s="1476" t="s">
        <v>840</v>
      </c>
      <c r="N1022" s="1477" t="s">
        <v>1700</v>
      </c>
      <c r="O1022" s="1479">
        <v>27698</v>
      </c>
      <c r="P1022" s="1479"/>
      <c r="Q1022" s="1142">
        <f t="shared" si="289"/>
        <v>27698</v>
      </c>
      <c r="R1022" s="1143">
        <f>IFERROR(VLOOKUP(CONCATENATE(E1022,G1022),'LAC 103'!$A$12:$O$95,11,FALSE),0)</f>
        <v>3.2074101033884355</v>
      </c>
      <c r="S1022" s="1144">
        <f>IFERROR(VLOOKUP(CONCATENATE($E1022,$G1022),'LAC 103'!$A$12:$O$95,12,FALSE),0)</f>
        <v>3.99</v>
      </c>
      <c r="T1022" s="1144">
        <f>IFERROR(VLOOKUP(CONCATENATE($E1022,$G1022),'LAC 103'!$A$12:$O$95,13,FALSE),0)</f>
        <v>2.48</v>
      </c>
      <c r="U1022" s="1144">
        <f>IFERROR(VLOOKUP(CONCATENATE($E1022,$G1022),'LAC 103'!$A$12:$O$95,14,FALSE),0)</f>
        <v>0</v>
      </c>
      <c r="V1022" s="1144">
        <f>IFERROR(VLOOKUP(CONCATENATE($E1022,$G1022),'LAC 103'!$A$12:$O$95,15,FALSE),0)</f>
        <v>0</v>
      </c>
      <c r="W1022" s="1145" t="str">
        <f>IFERROR(VLOOKUP(CONCATENATE($B1022,$N1022),'LAC 103'!$AI:$AQ,9,FALSE),"")</f>
        <v>P.C.</v>
      </c>
      <c r="X1022" s="1146">
        <f t="shared" si="276"/>
        <v>2.48</v>
      </c>
      <c r="Y1022" s="1143">
        <f t="shared" si="287"/>
        <v>88838.84504365288</v>
      </c>
      <c r="Z1022" s="1147">
        <f t="shared" si="277"/>
        <v>110515.02</v>
      </c>
      <c r="AA1022" s="1144">
        <f t="shared" si="278"/>
        <v>68691.039999999994</v>
      </c>
      <c r="AB1022" s="1144">
        <f t="shared" si="279"/>
        <v>0</v>
      </c>
      <c r="AC1022" s="1144">
        <f t="shared" si="280"/>
        <v>0</v>
      </c>
      <c r="AD1022" s="1148">
        <f t="shared" si="272"/>
        <v>68691.039999999994</v>
      </c>
      <c r="AE1022" s="1487">
        <v>0</v>
      </c>
      <c r="AF1022" s="1145">
        <f t="shared" si="281"/>
        <v>68691.039999999994</v>
      </c>
      <c r="AG1022" s="1149">
        <f>IFERROR(VLOOKUP(CONCATENATE($L1022,$N1022),'Drop List'!$G$23:$K$87,2,FALSE),0)</f>
        <v>0</v>
      </c>
      <c r="AH1022" s="1150">
        <f>IFERROR(VLOOKUP(CONCATENATE($L1022,$N1022),'Drop List'!$G$23:$K$87,3,FALSE),0)</f>
        <v>0</v>
      </c>
      <c r="AI1022" s="1150">
        <f>IFERROR(VLOOKUP(CONCATENATE($L1022,$N1022),'Drop List'!$G$23:$K$87,4,FALSE),0)</f>
        <v>0</v>
      </c>
      <c r="AJ1022" s="1151">
        <f>IFERROR(VLOOKUP(CONCATENATE($L1022,$N1022),'Drop List'!$G$23:$K$87,5,FALSE),0)</f>
        <v>0</v>
      </c>
      <c r="AK1022" s="1152">
        <f t="shared" si="282"/>
        <v>0</v>
      </c>
      <c r="AL1022" s="1153">
        <f t="shared" si="283"/>
        <v>0</v>
      </c>
      <c r="AM1022" s="1153">
        <f t="shared" si="284"/>
        <v>0</v>
      </c>
      <c r="AN1022" s="1145">
        <f t="shared" si="285"/>
        <v>0</v>
      </c>
      <c r="AO1022" s="1154">
        <f t="shared" si="286"/>
        <v>0</v>
      </c>
      <c r="AP1022" s="1147">
        <f t="shared" si="273"/>
        <v>68691.039999999994</v>
      </c>
      <c r="AQ1022" s="1144">
        <f t="shared" si="274"/>
        <v>0</v>
      </c>
      <c r="AR1022" s="1146">
        <f t="shared" si="275"/>
        <v>68691.039999999994</v>
      </c>
    </row>
    <row r="1023" spans="1:44" x14ac:dyDescent="0.2">
      <c r="A1023" s="1141" t="str">
        <f t="shared" si="288"/>
        <v>1544</v>
      </c>
      <c r="B1023" s="1141" t="str">
        <f>IFERROR(VLOOKUP(A1023,'LAC 103'!A:C,3,FALSE),"")</f>
        <v>OP</v>
      </c>
      <c r="C1023" s="1478" t="str">
        <f>Info!$B$8</f>
        <v>00100</v>
      </c>
      <c r="D1023" s="1474" t="s">
        <v>256</v>
      </c>
      <c r="E1023" s="1474" t="s">
        <v>95</v>
      </c>
      <c r="F1023" s="1478" t="s">
        <v>396</v>
      </c>
      <c r="G1023" s="1478" t="s">
        <v>396</v>
      </c>
      <c r="H1023" s="1474" t="s">
        <v>1090</v>
      </c>
      <c r="I1023" s="1478" t="s">
        <v>815</v>
      </c>
      <c r="J1023" s="1478"/>
      <c r="K1023" s="1475" t="s">
        <v>846</v>
      </c>
      <c r="L1023" s="1474" t="s">
        <v>332</v>
      </c>
      <c r="M1023" s="1476" t="s">
        <v>842</v>
      </c>
      <c r="N1023" s="1477" t="s">
        <v>1692</v>
      </c>
      <c r="O1023" s="1479">
        <v>57641</v>
      </c>
      <c r="P1023" s="1479"/>
      <c r="Q1023" s="1142">
        <f t="shared" si="289"/>
        <v>57641</v>
      </c>
      <c r="R1023" s="1143">
        <f>IFERROR(VLOOKUP(CONCATENATE(E1023,G1023),'LAC 103'!$A$12:$O$95,11,FALSE),0)</f>
        <v>3.2074101033884355</v>
      </c>
      <c r="S1023" s="1144">
        <f>IFERROR(VLOOKUP(CONCATENATE($E1023,$G1023),'LAC 103'!$A$12:$O$95,12,FALSE),0)</f>
        <v>3.99</v>
      </c>
      <c r="T1023" s="1144">
        <f>IFERROR(VLOOKUP(CONCATENATE($E1023,$G1023),'LAC 103'!$A$12:$O$95,13,FALSE),0)</f>
        <v>2.48</v>
      </c>
      <c r="U1023" s="1144">
        <f>IFERROR(VLOOKUP(CONCATENATE($E1023,$G1023),'LAC 103'!$A$12:$O$95,14,FALSE),0)</f>
        <v>0</v>
      </c>
      <c r="V1023" s="1144">
        <f>IFERROR(VLOOKUP(CONCATENATE($E1023,$G1023),'LAC 103'!$A$12:$O$95,15,FALSE),0)</f>
        <v>0</v>
      </c>
      <c r="W1023" s="1145" t="str">
        <f>IFERROR(VLOOKUP(CONCATENATE($B1023,$N1023),'LAC 103'!$AI:$AQ,9,FALSE),"")</f>
        <v>Costs</v>
      </c>
      <c r="X1023" s="1146">
        <f t="shared" si="276"/>
        <v>3.2074101033884355</v>
      </c>
      <c r="Y1023" s="1143">
        <f t="shared" si="287"/>
        <v>184878.3257694128</v>
      </c>
      <c r="Z1023" s="1147">
        <f t="shared" si="277"/>
        <v>229987.59000000003</v>
      </c>
      <c r="AA1023" s="1144">
        <f t="shared" si="278"/>
        <v>142949.68</v>
      </c>
      <c r="AB1023" s="1144">
        <f t="shared" si="279"/>
        <v>0</v>
      </c>
      <c r="AC1023" s="1144">
        <f t="shared" si="280"/>
        <v>0</v>
      </c>
      <c r="AD1023" s="1148">
        <f t="shared" si="272"/>
        <v>184878.3257694128</v>
      </c>
      <c r="AE1023" s="1487">
        <v>0</v>
      </c>
      <c r="AF1023" s="1145">
        <f t="shared" si="281"/>
        <v>184878.3257694128</v>
      </c>
      <c r="AG1023" s="1149">
        <f>IFERROR(VLOOKUP(CONCATENATE($L1023,$N1023),'Drop List'!$G$23:$K$87,2,FALSE),0)</f>
        <v>0</v>
      </c>
      <c r="AH1023" s="1150">
        <f>IFERROR(VLOOKUP(CONCATENATE($L1023,$N1023),'Drop List'!$G$23:$K$87,3,FALSE),0)</f>
        <v>0</v>
      </c>
      <c r="AI1023" s="1150">
        <f>IFERROR(VLOOKUP(CONCATENATE($L1023,$N1023),'Drop List'!$G$23:$K$87,4,FALSE),0)</f>
        <v>0</v>
      </c>
      <c r="AJ1023" s="1151">
        <f>IFERROR(VLOOKUP(CONCATENATE($L1023,$N1023),'Drop List'!$G$23:$K$87,5,FALSE),0)</f>
        <v>0</v>
      </c>
      <c r="AK1023" s="1152">
        <f t="shared" si="282"/>
        <v>0</v>
      </c>
      <c r="AL1023" s="1153">
        <f t="shared" si="283"/>
        <v>0</v>
      </c>
      <c r="AM1023" s="1153">
        <f t="shared" si="284"/>
        <v>0</v>
      </c>
      <c r="AN1023" s="1145">
        <f t="shared" si="285"/>
        <v>0</v>
      </c>
      <c r="AO1023" s="1154">
        <f t="shared" si="286"/>
        <v>0</v>
      </c>
      <c r="AP1023" s="1147">
        <f t="shared" si="273"/>
        <v>184878.3257694128</v>
      </c>
      <c r="AQ1023" s="1144">
        <f t="shared" si="274"/>
        <v>0</v>
      </c>
      <c r="AR1023" s="1146">
        <f t="shared" si="275"/>
        <v>184878.3257694128</v>
      </c>
    </row>
    <row r="1024" spans="1:44" x14ac:dyDescent="0.2">
      <c r="A1024" s="1141" t="str">
        <f t="shared" si="288"/>
        <v>1544</v>
      </c>
      <c r="B1024" s="1141" t="str">
        <f>IFERROR(VLOOKUP(A1024,'LAC 103'!A:C,3,FALSE),"")</f>
        <v>OP</v>
      </c>
      <c r="C1024" s="1478" t="str">
        <f>Info!$B$8</f>
        <v>00100</v>
      </c>
      <c r="D1024" s="1474" t="s">
        <v>256</v>
      </c>
      <c r="E1024" s="1474" t="s">
        <v>95</v>
      </c>
      <c r="F1024" s="1478" t="s">
        <v>396</v>
      </c>
      <c r="G1024" s="1478" t="s">
        <v>396</v>
      </c>
      <c r="H1024" s="1474" t="s">
        <v>1090</v>
      </c>
      <c r="I1024" s="1478" t="s">
        <v>815</v>
      </c>
      <c r="J1024" s="1478"/>
      <c r="K1024" s="1475" t="s">
        <v>846</v>
      </c>
      <c r="L1024" s="1474" t="s">
        <v>332</v>
      </c>
      <c r="M1024" s="1476" t="s">
        <v>1698</v>
      </c>
      <c r="N1024" s="1477" t="s">
        <v>1693</v>
      </c>
      <c r="O1024" s="1479">
        <v>63299</v>
      </c>
      <c r="P1024" s="1479"/>
      <c r="Q1024" s="1142">
        <f t="shared" si="289"/>
        <v>63299</v>
      </c>
      <c r="R1024" s="1143">
        <f>IFERROR(VLOOKUP(CONCATENATE(E1024,G1024),'LAC 103'!$A$12:$O$95,11,FALSE),0)</f>
        <v>3.2074101033884355</v>
      </c>
      <c r="S1024" s="1144">
        <f>IFERROR(VLOOKUP(CONCATENATE($E1024,$G1024),'LAC 103'!$A$12:$O$95,12,FALSE),0)</f>
        <v>3.99</v>
      </c>
      <c r="T1024" s="1144">
        <f>IFERROR(VLOOKUP(CONCATENATE($E1024,$G1024),'LAC 103'!$A$12:$O$95,13,FALSE),0)</f>
        <v>2.48</v>
      </c>
      <c r="U1024" s="1144">
        <f>IFERROR(VLOOKUP(CONCATENATE($E1024,$G1024),'LAC 103'!$A$12:$O$95,14,FALSE),0)</f>
        <v>0</v>
      </c>
      <c r="V1024" s="1144">
        <f>IFERROR(VLOOKUP(CONCATENATE($E1024,$G1024),'LAC 103'!$A$12:$O$95,15,FALSE),0)</f>
        <v>0</v>
      </c>
      <c r="W1024" s="1145" t="str">
        <f>IFERROR(VLOOKUP(CONCATENATE($B1024,$N1024),'LAC 103'!$AI:$AQ,9,FALSE),"")</f>
        <v>Costs</v>
      </c>
      <c r="X1024" s="1146">
        <f t="shared" si="276"/>
        <v>3.2074101033884355</v>
      </c>
      <c r="Y1024" s="1143">
        <f t="shared" si="287"/>
        <v>203025.85213438456</v>
      </c>
      <c r="Z1024" s="1147">
        <f t="shared" si="277"/>
        <v>252563.01</v>
      </c>
      <c r="AA1024" s="1144">
        <f t="shared" si="278"/>
        <v>156981.51999999999</v>
      </c>
      <c r="AB1024" s="1144">
        <f t="shared" si="279"/>
        <v>0</v>
      </c>
      <c r="AC1024" s="1144">
        <f t="shared" si="280"/>
        <v>0</v>
      </c>
      <c r="AD1024" s="1148">
        <f t="shared" si="272"/>
        <v>203025.85213438456</v>
      </c>
      <c r="AE1024" s="1487">
        <v>0</v>
      </c>
      <c r="AF1024" s="1145">
        <f t="shared" si="281"/>
        <v>203025.85213438456</v>
      </c>
      <c r="AG1024" s="1149">
        <f>IFERROR(VLOOKUP(CONCATENATE($L1024,$N1024),'Drop List'!$G$23:$K$87,2,FALSE),0)</f>
        <v>0</v>
      </c>
      <c r="AH1024" s="1150">
        <f>IFERROR(VLOOKUP(CONCATENATE($L1024,$N1024),'Drop List'!$G$23:$K$87,3,FALSE),0)</f>
        <v>0</v>
      </c>
      <c r="AI1024" s="1150">
        <f>IFERROR(VLOOKUP(CONCATENATE($L1024,$N1024),'Drop List'!$G$23:$K$87,4,FALSE),0)</f>
        <v>0</v>
      </c>
      <c r="AJ1024" s="1151">
        <f>IFERROR(VLOOKUP(CONCATENATE($L1024,$N1024),'Drop List'!$G$23:$K$87,5,FALSE),0)</f>
        <v>0</v>
      </c>
      <c r="AK1024" s="1152">
        <f t="shared" si="282"/>
        <v>0</v>
      </c>
      <c r="AL1024" s="1153">
        <f t="shared" si="283"/>
        <v>0</v>
      </c>
      <c r="AM1024" s="1153">
        <f t="shared" si="284"/>
        <v>0</v>
      </c>
      <c r="AN1024" s="1145">
        <f t="shared" si="285"/>
        <v>0</v>
      </c>
      <c r="AO1024" s="1154">
        <f t="shared" si="286"/>
        <v>0</v>
      </c>
      <c r="AP1024" s="1147">
        <f t="shared" si="273"/>
        <v>203025.85213438456</v>
      </c>
      <c r="AQ1024" s="1144">
        <f t="shared" si="274"/>
        <v>0</v>
      </c>
      <c r="AR1024" s="1146">
        <f t="shared" si="275"/>
        <v>203025.85213438456</v>
      </c>
    </row>
    <row r="1025" spans="1:44" x14ac:dyDescent="0.2">
      <c r="A1025" s="1141" t="str">
        <f t="shared" si="288"/>
        <v>1544</v>
      </c>
      <c r="B1025" s="1141" t="str">
        <f>IFERROR(VLOOKUP(A1025,'LAC 103'!A:C,3,FALSE),"")</f>
        <v>OP</v>
      </c>
      <c r="C1025" s="1478" t="str">
        <f>Info!$B$8</f>
        <v>00100</v>
      </c>
      <c r="D1025" s="1474" t="s">
        <v>256</v>
      </c>
      <c r="E1025" s="1474" t="s">
        <v>95</v>
      </c>
      <c r="F1025" s="1478" t="s">
        <v>396</v>
      </c>
      <c r="G1025" s="1478" t="s">
        <v>396</v>
      </c>
      <c r="H1025" s="1474" t="s">
        <v>989</v>
      </c>
      <c r="I1025" s="1478" t="s">
        <v>823</v>
      </c>
      <c r="J1025" s="1478" t="s">
        <v>1998</v>
      </c>
      <c r="K1025" s="1475" t="s">
        <v>846</v>
      </c>
      <c r="L1025" s="1474" t="s">
        <v>332</v>
      </c>
      <c r="M1025" s="1476" t="s">
        <v>1699</v>
      </c>
      <c r="N1025" s="1477" t="s">
        <v>1694</v>
      </c>
      <c r="O1025" s="1479">
        <v>5473</v>
      </c>
      <c r="P1025" s="1479"/>
      <c r="Q1025" s="1142">
        <f t="shared" si="289"/>
        <v>5473</v>
      </c>
      <c r="R1025" s="1143">
        <f>IFERROR(VLOOKUP(CONCATENATE(E1025,G1025),'LAC 103'!$A$12:$O$95,11,FALSE),0)</f>
        <v>3.2074101033884355</v>
      </c>
      <c r="S1025" s="1144">
        <f>IFERROR(VLOOKUP(CONCATENATE($E1025,$G1025),'LAC 103'!$A$12:$O$95,12,FALSE),0)</f>
        <v>3.99</v>
      </c>
      <c r="T1025" s="1144">
        <f>IFERROR(VLOOKUP(CONCATENATE($E1025,$G1025),'LAC 103'!$A$12:$O$95,13,FALSE),0)</f>
        <v>2.48</v>
      </c>
      <c r="U1025" s="1144">
        <f>IFERROR(VLOOKUP(CONCATENATE($E1025,$G1025),'LAC 103'!$A$12:$O$95,14,FALSE),0)</f>
        <v>0</v>
      </c>
      <c r="V1025" s="1144">
        <f>IFERROR(VLOOKUP(CONCATENATE($E1025,$G1025),'LAC 103'!$A$12:$O$95,15,FALSE),0)</f>
        <v>0</v>
      </c>
      <c r="W1025" s="1145" t="str">
        <f>IFERROR(VLOOKUP(CONCATENATE($B1025,$N1025),'LAC 103'!$AI:$AQ,9,FALSE),"")</f>
        <v>Costs</v>
      </c>
      <c r="X1025" s="1146">
        <f t="shared" si="276"/>
        <v>3.2074101033884355</v>
      </c>
      <c r="Y1025" s="1143">
        <f t="shared" si="287"/>
        <v>17554.155495844909</v>
      </c>
      <c r="Z1025" s="1147">
        <f t="shared" si="277"/>
        <v>21837.27</v>
      </c>
      <c r="AA1025" s="1144">
        <f t="shared" si="278"/>
        <v>13573.039999999999</v>
      </c>
      <c r="AB1025" s="1144">
        <f t="shared" si="279"/>
        <v>0</v>
      </c>
      <c r="AC1025" s="1144">
        <f t="shared" si="280"/>
        <v>0</v>
      </c>
      <c r="AD1025" s="1148">
        <f t="shared" si="272"/>
        <v>17554.155495844909</v>
      </c>
      <c r="AE1025" s="1487">
        <v>0</v>
      </c>
      <c r="AF1025" s="1145">
        <f t="shared" si="281"/>
        <v>17554.155495844909</v>
      </c>
      <c r="AG1025" s="1149">
        <f>IFERROR(VLOOKUP(CONCATENATE($L1025,$N1025),'Drop List'!$G$23:$K$87,2,FALSE),0)</f>
        <v>0</v>
      </c>
      <c r="AH1025" s="1150">
        <f>IFERROR(VLOOKUP(CONCATENATE($L1025,$N1025),'Drop List'!$G$23:$K$87,3,FALSE),0)</f>
        <v>0</v>
      </c>
      <c r="AI1025" s="1150">
        <f>IFERROR(VLOOKUP(CONCATENATE($L1025,$N1025),'Drop List'!$G$23:$K$87,4,FALSE),0)</f>
        <v>0</v>
      </c>
      <c r="AJ1025" s="1151">
        <f>IFERROR(VLOOKUP(CONCATENATE($L1025,$N1025),'Drop List'!$G$23:$K$87,5,FALSE),0)</f>
        <v>0</v>
      </c>
      <c r="AK1025" s="1152">
        <f t="shared" si="282"/>
        <v>0</v>
      </c>
      <c r="AL1025" s="1153">
        <f t="shared" si="283"/>
        <v>0</v>
      </c>
      <c r="AM1025" s="1153">
        <f t="shared" si="284"/>
        <v>0</v>
      </c>
      <c r="AN1025" s="1145">
        <f t="shared" si="285"/>
        <v>0</v>
      </c>
      <c r="AO1025" s="1154">
        <f t="shared" si="286"/>
        <v>0</v>
      </c>
      <c r="AP1025" s="1147">
        <f t="shared" si="273"/>
        <v>17554.155495844909</v>
      </c>
      <c r="AQ1025" s="1144">
        <f t="shared" si="274"/>
        <v>0</v>
      </c>
      <c r="AR1025" s="1146">
        <f t="shared" si="275"/>
        <v>17554.155495844909</v>
      </c>
    </row>
    <row r="1026" spans="1:44" x14ac:dyDescent="0.2">
      <c r="A1026" s="1141" t="str">
        <f t="shared" si="288"/>
        <v>1544</v>
      </c>
      <c r="B1026" s="1141" t="str">
        <f>IFERROR(VLOOKUP(A1026,'LAC 103'!A:C,3,FALSE),"")</f>
        <v>OP</v>
      </c>
      <c r="C1026" s="1478" t="str">
        <f>Info!$B$8</f>
        <v>00100</v>
      </c>
      <c r="D1026" s="1474" t="s">
        <v>256</v>
      </c>
      <c r="E1026" s="1474" t="s">
        <v>95</v>
      </c>
      <c r="F1026" s="1478" t="s">
        <v>396</v>
      </c>
      <c r="G1026" s="1478" t="s">
        <v>396</v>
      </c>
      <c r="H1026" s="1474" t="s">
        <v>989</v>
      </c>
      <c r="I1026" s="1478" t="s">
        <v>823</v>
      </c>
      <c r="J1026" s="1478" t="s">
        <v>1998</v>
      </c>
      <c r="K1026" s="1475" t="s">
        <v>846</v>
      </c>
      <c r="L1026" s="1474" t="s">
        <v>332</v>
      </c>
      <c r="M1026" s="1476" t="s">
        <v>841</v>
      </c>
      <c r="N1026" s="1477" t="s">
        <v>1695</v>
      </c>
      <c r="O1026" s="1479">
        <v>3238</v>
      </c>
      <c r="P1026" s="1479"/>
      <c r="Q1026" s="1142">
        <f t="shared" si="289"/>
        <v>3238</v>
      </c>
      <c r="R1026" s="1143">
        <f>IFERROR(VLOOKUP(CONCATENATE(E1026,G1026),'LAC 103'!$A$12:$O$95,11,FALSE),0)</f>
        <v>3.2074101033884355</v>
      </c>
      <c r="S1026" s="1144">
        <f>IFERROR(VLOOKUP(CONCATENATE($E1026,$G1026),'LAC 103'!$A$12:$O$95,12,FALSE),0)</f>
        <v>3.99</v>
      </c>
      <c r="T1026" s="1144">
        <f>IFERROR(VLOOKUP(CONCATENATE($E1026,$G1026),'LAC 103'!$A$12:$O$95,13,FALSE),0)</f>
        <v>2.48</v>
      </c>
      <c r="U1026" s="1144">
        <f>IFERROR(VLOOKUP(CONCATENATE($E1026,$G1026),'LAC 103'!$A$12:$O$95,14,FALSE),0)</f>
        <v>0</v>
      </c>
      <c r="V1026" s="1144">
        <f>IFERROR(VLOOKUP(CONCATENATE($E1026,$G1026),'LAC 103'!$A$12:$O$95,15,FALSE),0)</f>
        <v>0</v>
      </c>
      <c r="W1026" s="1145" t="str">
        <f>IFERROR(VLOOKUP(CONCATENATE($B1026,$N1026),'LAC 103'!$AI:$AQ,9,FALSE),"")</f>
        <v>Costs</v>
      </c>
      <c r="X1026" s="1146">
        <f t="shared" si="276"/>
        <v>3.2074101033884355</v>
      </c>
      <c r="Y1026" s="1143">
        <f t="shared" si="287"/>
        <v>10385.593914771754</v>
      </c>
      <c r="Z1026" s="1147">
        <f t="shared" si="277"/>
        <v>12919.62</v>
      </c>
      <c r="AA1026" s="1144">
        <f t="shared" si="278"/>
        <v>8030.24</v>
      </c>
      <c r="AB1026" s="1144">
        <f t="shared" si="279"/>
        <v>0</v>
      </c>
      <c r="AC1026" s="1144">
        <f t="shared" si="280"/>
        <v>0</v>
      </c>
      <c r="AD1026" s="1148">
        <f t="shared" si="272"/>
        <v>10385.593914771754</v>
      </c>
      <c r="AE1026" s="1487">
        <v>0</v>
      </c>
      <c r="AF1026" s="1145">
        <f t="shared" si="281"/>
        <v>10385.593914771754</v>
      </c>
      <c r="AG1026" s="1149">
        <f>IFERROR(VLOOKUP(CONCATENATE($L1026,$N1026),'Drop List'!$G$23:$K$87,2,FALSE),0)</f>
        <v>0</v>
      </c>
      <c r="AH1026" s="1150">
        <f>IFERROR(VLOOKUP(CONCATENATE($L1026,$N1026),'Drop List'!$G$23:$K$87,3,FALSE),0)</f>
        <v>0</v>
      </c>
      <c r="AI1026" s="1150">
        <f>IFERROR(VLOOKUP(CONCATENATE($L1026,$N1026),'Drop List'!$G$23:$K$87,4,FALSE),0)</f>
        <v>0</v>
      </c>
      <c r="AJ1026" s="1151">
        <f>IFERROR(VLOOKUP(CONCATENATE($L1026,$N1026),'Drop List'!$G$23:$K$87,5,FALSE),0)</f>
        <v>0</v>
      </c>
      <c r="AK1026" s="1152">
        <f t="shared" si="282"/>
        <v>0</v>
      </c>
      <c r="AL1026" s="1153">
        <f t="shared" si="283"/>
        <v>0</v>
      </c>
      <c r="AM1026" s="1153">
        <f t="shared" si="284"/>
        <v>0</v>
      </c>
      <c r="AN1026" s="1145">
        <f t="shared" si="285"/>
        <v>0</v>
      </c>
      <c r="AO1026" s="1154">
        <f t="shared" si="286"/>
        <v>0</v>
      </c>
      <c r="AP1026" s="1147">
        <f t="shared" si="273"/>
        <v>10385.593914771754</v>
      </c>
      <c r="AQ1026" s="1144">
        <f t="shared" si="274"/>
        <v>0</v>
      </c>
      <c r="AR1026" s="1146">
        <f t="shared" si="275"/>
        <v>10385.593914771754</v>
      </c>
    </row>
    <row r="1027" spans="1:44" x14ac:dyDescent="0.2">
      <c r="A1027" s="1141" t="str">
        <f t="shared" si="288"/>
        <v>1544</v>
      </c>
      <c r="B1027" s="1141" t="str">
        <f>IFERROR(VLOOKUP(A1027,'LAC 103'!A:C,3,FALSE),"")</f>
        <v>OP</v>
      </c>
      <c r="C1027" s="1478" t="str">
        <f>Info!$B$8</f>
        <v>00100</v>
      </c>
      <c r="D1027" s="1474" t="s">
        <v>256</v>
      </c>
      <c r="E1027" s="1474" t="s">
        <v>95</v>
      </c>
      <c r="F1027" s="1478" t="s">
        <v>396</v>
      </c>
      <c r="G1027" s="1478" t="s">
        <v>396</v>
      </c>
      <c r="H1027" s="1474" t="s">
        <v>989</v>
      </c>
      <c r="I1027" s="1478" t="s">
        <v>823</v>
      </c>
      <c r="J1027" s="1478" t="s">
        <v>1998</v>
      </c>
      <c r="K1027" s="1475" t="s">
        <v>846</v>
      </c>
      <c r="L1027" s="1474" t="s">
        <v>332</v>
      </c>
      <c r="M1027" s="1476" t="s">
        <v>840</v>
      </c>
      <c r="N1027" s="1477" t="s">
        <v>1700</v>
      </c>
      <c r="O1027" s="1479">
        <v>3618</v>
      </c>
      <c r="P1027" s="1479"/>
      <c r="Q1027" s="1142">
        <f t="shared" si="289"/>
        <v>3618</v>
      </c>
      <c r="R1027" s="1143">
        <f>IFERROR(VLOOKUP(CONCATENATE(E1027,G1027),'LAC 103'!$A$12:$O$95,11,FALSE),0)</f>
        <v>3.2074101033884355</v>
      </c>
      <c r="S1027" s="1144">
        <f>IFERROR(VLOOKUP(CONCATENATE($E1027,$G1027),'LAC 103'!$A$12:$O$95,12,FALSE),0)</f>
        <v>3.99</v>
      </c>
      <c r="T1027" s="1144">
        <f>IFERROR(VLOOKUP(CONCATENATE($E1027,$G1027),'LAC 103'!$A$12:$O$95,13,FALSE),0)</f>
        <v>2.48</v>
      </c>
      <c r="U1027" s="1144">
        <f>IFERROR(VLOOKUP(CONCATENATE($E1027,$G1027),'LAC 103'!$A$12:$O$95,14,FALSE),0)</f>
        <v>0</v>
      </c>
      <c r="V1027" s="1144">
        <f>IFERROR(VLOOKUP(CONCATENATE($E1027,$G1027),'LAC 103'!$A$12:$O$95,15,FALSE),0)</f>
        <v>0</v>
      </c>
      <c r="W1027" s="1145" t="str">
        <f>IFERROR(VLOOKUP(CONCATENATE($B1027,$N1027),'LAC 103'!$AI:$AQ,9,FALSE),"")</f>
        <v>P.C.</v>
      </c>
      <c r="X1027" s="1146">
        <f t="shared" si="276"/>
        <v>2.48</v>
      </c>
      <c r="Y1027" s="1143">
        <f t="shared" si="287"/>
        <v>11604.409754059359</v>
      </c>
      <c r="Z1027" s="1147">
        <f t="shared" si="277"/>
        <v>14435.820000000002</v>
      </c>
      <c r="AA1027" s="1144">
        <f t="shared" si="278"/>
        <v>8972.64</v>
      </c>
      <c r="AB1027" s="1144">
        <f t="shared" si="279"/>
        <v>0</v>
      </c>
      <c r="AC1027" s="1144">
        <f t="shared" si="280"/>
        <v>0</v>
      </c>
      <c r="AD1027" s="1148">
        <f t="shared" si="272"/>
        <v>8972.64</v>
      </c>
      <c r="AE1027" s="1487">
        <v>0</v>
      </c>
      <c r="AF1027" s="1145">
        <f t="shared" si="281"/>
        <v>8972.64</v>
      </c>
      <c r="AG1027" s="1149">
        <f>IFERROR(VLOOKUP(CONCATENATE($L1027,$N1027),'Drop List'!$G$23:$K$87,2,FALSE),0)</f>
        <v>0</v>
      </c>
      <c r="AH1027" s="1150">
        <f>IFERROR(VLOOKUP(CONCATENATE($L1027,$N1027),'Drop List'!$G$23:$K$87,3,FALSE),0)</f>
        <v>0</v>
      </c>
      <c r="AI1027" s="1150">
        <f>IFERROR(VLOOKUP(CONCATENATE($L1027,$N1027),'Drop List'!$G$23:$K$87,4,FALSE),0)</f>
        <v>0</v>
      </c>
      <c r="AJ1027" s="1151">
        <f>IFERROR(VLOOKUP(CONCATENATE($L1027,$N1027),'Drop List'!$G$23:$K$87,5,FALSE),0)</f>
        <v>0</v>
      </c>
      <c r="AK1027" s="1152">
        <f t="shared" si="282"/>
        <v>0</v>
      </c>
      <c r="AL1027" s="1153">
        <f t="shared" si="283"/>
        <v>0</v>
      </c>
      <c r="AM1027" s="1153">
        <f t="shared" si="284"/>
        <v>0</v>
      </c>
      <c r="AN1027" s="1145">
        <f t="shared" si="285"/>
        <v>0</v>
      </c>
      <c r="AO1027" s="1154">
        <f t="shared" si="286"/>
        <v>0</v>
      </c>
      <c r="AP1027" s="1147">
        <f t="shared" si="273"/>
        <v>8972.64</v>
      </c>
      <c r="AQ1027" s="1144">
        <f t="shared" si="274"/>
        <v>0</v>
      </c>
      <c r="AR1027" s="1146">
        <f t="shared" si="275"/>
        <v>8972.64</v>
      </c>
    </row>
    <row r="1028" spans="1:44" x14ac:dyDescent="0.2">
      <c r="A1028" s="1141" t="str">
        <f t="shared" si="288"/>
        <v>1544</v>
      </c>
      <c r="B1028" s="1141" t="str">
        <f>IFERROR(VLOOKUP(A1028,'LAC 103'!A:C,3,FALSE),"")</f>
        <v>OP</v>
      </c>
      <c r="C1028" s="1478" t="str">
        <f>Info!$B$8</f>
        <v>00100</v>
      </c>
      <c r="D1028" s="1474" t="s">
        <v>256</v>
      </c>
      <c r="E1028" s="1474" t="s">
        <v>95</v>
      </c>
      <c r="F1028" s="1478" t="s">
        <v>396</v>
      </c>
      <c r="G1028" s="1478" t="s">
        <v>396</v>
      </c>
      <c r="H1028" s="1474" t="s">
        <v>989</v>
      </c>
      <c r="I1028" s="1478" t="s">
        <v>823</v>
      </c>
      <c r="J1028" s="1478" t="s">
        <v>1998</v>
      </c>
      <c r="K1028" s="1475" t="s">
        <v>846</v>
      </c>
      <c r="L1028" s="1474" t="s">
        <v>332</v>
      </c>
      <c r="M1028" s="1476" t="s">
        <v>842</v>
      </c>
      <c r="N1028" s="1477" t="s">
        <v>1692</v>
      </c>
      <c r="O1028" s="1479">
        <v>6235</v>
      </c>
      <c r="P1028" s="1479"/>
      <c r="Q1028" s="1142">
        <f t="shared" si="289"/>
        <v>6235</v>
      </c>
      <c r="R1028" s="1143">
        <f>IFERROR(VLOOKUP(CONCATENATE(E1028,G1028),'LAC 103'!$A$12:$O$95,11,FALSE),0)</f>
        <v>3.2074101033884355</v>
      </c>
      <c r="S1028" s="1144">
        <f>IFERROR(VLOOKUP(CONCATENATE($E1028,$G1028),'LAC 103'!$A$12:$O$95,12,FALSE),0)</f>
        <v>3.99</v>
      </c>
      <c r="T1028" s="1144">
        <f>IFERROR(VLOOKUP(CONCATENATE($E1028,$G1028),'LAC 103'!$A$12:$O$95,13,FALSE),0)</f>
        <v>2.48</v>
      </c>
      <c r="U1028" s="1144">
        <f>IFERROR(VLOOKUP(CONCATENATE($E1028,$G1028),'LAC 103'!$A$12:$O$95,14,FALSE),0)</f>
        <v>0</v>
      </c>
      <c r="V1028" s="1144">
        <f>IFERROR(VLOOKUP(CONCATENATE($E1028,$G1028),'LAC 103'!$A$12:$O$95,15,FALSE),0)</f>
        <v>0</v>
      </c>
      <c r="W1028" s="1145" t="str">
        <f>IFERROR(VLOOKUP(CONCATENATE($B1028,$N1028),'LAC 103'!$AI:$AQ,9,FALSE),"")</f>
        <v>Costs</v>
      </c>
      <c r="X1028" s="1146">
        <f t="shared" si="276"/>
        <v>3.2074101033884355</v>
      </c>
      <c r="Y1028" s="1143">
        <f t="shared" si="287"/>
        <v>19998.201994626896</v>
      </c>
      <c r="Z1028" s="1147">
        <f t="shared" si="277"/>
        <v>24877.65</v>
      </c>
      <c r="AA1028" s="1144">
        <f t="shared" si="278"/>
        <v>15462.8</v>
      </c>
      <c r="AB1028" s="1144">
        <f t="shared" si="279"/>
        <v>0</v>
      </c>
      <c r="AC1028" s="1144">
        <f t="shared" si="280"/>
        <v>0</v>
      </c>
      <c r="AD1028" s="1148">
        <f t="shared" si="272"/>
        <v>19998.201994626896</v>
      </c>
      <c r="AE1028" s="1487">
        <v>0</v>
      </c>
      <c r="AF1028" s="1145">
        <f t="shared" si="281"/>
        <v>19998.201994626896</v>
      </c>
      <c r="AG1028" s="1149">
        <f>IFERROR(VLOOKUP(CONCATENATE($L1028,$N1028),'Drop List'!$G$23:$K$87,2,FALSE),0)</f>
        <v>0</v>
      </c>
      <c r="AH1028" s="1150">
        <f>IFERROR(VLOOKUP(CONCATENATE($L1028,$N1028),'Drop List'!$G$23:$K$87,3,FALSE),0)</f>
        <v>0</v>
      </c>
      <c r="AI1028" s="1150">
        <f>IFERROR(VLOOKUP(CONCATENATE($L1028,$N1028),'Drop List'!$G$23:$K$87,4,FALSE),0)</f>
        <v>0</v>
      </c>
      <c r="AJ1028" s="1151">
        <f>IFERROR(VLOOKUP(CONCATENATE($L1028,$N1028),'Drop List'!$G$23:$K$87,5,FALSE),0)</f>
        <v>0</v>
      </c>
      <c r="AK1028" s="1152">
        <f t="shared" si="282"/>
        <v>0</v>
      </c>
      <c r="AL1028" s="1153">
        <f t="shared" si="283"/>
        <v>0</v>
      </c>
      <c r="AM1028" s="1153">
        <f t="shared" si="284"/>
        <v>0</v>
      </c>
      <c r="AN1028" s="1145">
        <f t="shared" si="285"/>
        <v>0</v>
      </c>
      <c r="AO1028" s="1154">
        <f t="shared" si="286"/>
        <v>0</v>
      </c>
      <c r="AP1028" s="1147">
        <f t="shared" si="273"/>
        <v>19998.201994626896</v>
      </c>
      <c r="AQ1028" s="1144">
        <f t="shared" si="274"/>
        <v>0</v>
      </c>
      <c r="AR1028" s="1146">
        <f t="shared" si="275"/>
        <v>19998.201994626896</v>
      </c>
    </row>
    <row r="1029" spans="1:44" x14ac:dyDescent="0.2">
      <c r="A1029" s="1141" t="str">
        <f t="shared" si="288"/>
        <v>1544</v>
      </c>
      <c r="B1029" s="1141" t="str">
        <f>IFERROR(VLOOKUP(A1029,'LAC 103'!A:C,3,FALSE),"")</f>
        <v>OP</v>
      </c>
      <c r="C1029" s="1478" t="str">
        <f>Info!$B$8</f>
        <v>00100</v>
      </c>
      <c r="D1029" s="1474" t="s">
        <v>256</v>
      </c>
      <c r="E1029" s="1474" t="s">
        <v>95</v>
      </c>
      <c r="F1029" s="1478" t="s">
        <v>396</v>
      </c>
      <c r="G1029" s="1478" t="s">
        <v>396</v>
      </c>
      <c r="H1029" s="1474" t="s">
        <v>989</v>
      </c>
      <c r="I1029" s="1478" t="s">
        <v>823</v>
      </c>
      <c r="J1029" s="1478" t="s">
        <v>1998</v>
      </c>
      <c r="K1029" s="1475" t="s">
        <v>846</v>
      </c>
      <c r="L1029" s="1474" t="s">
        <v>332</v>
      </c>
      <c r="M1029" s="1476" t="s">
        <v>1698</v>
      </c>
      <c r="N1029" s="1477" t="s">
        <v>1693</v>
      </c>
      <c r="O1029" s="1479">
        <v>6017</v>
      </c>
      <c r="P1029" s="1479"/>
      <c r="Q1029" s="1142">
        <f t="shared" si="289"/>
        <v>6017</v>
      </c>
      <c r="R1029" s="1143">
        <f>IFERROR(VLOOKUP(CONCATENATE(E1029,G1029),'LAC 103'!$A$12:$O$95,11,FALSE),0)</f>
        <v>3.2074101033884355</v>
      </c>
      <c r="S1029" s="1144">
        <f>IFERROR(VLOOKUP(CONCATENATE($E1029,$G1029),'LAC 103'!$A$12:$O$95,12,FALSE),0)</f>
        <v>3.99</v>
      </c>
      <c r="T1029" s="1144">
        <f>IFERROR(VLOOKUP(CONCATENATE($E1029,$G1029),'LAC 103'!$A$12:$O$95,13,FALSE),0)</f>
        <v>2.48</v>
      </c>
      <c r="U1029" s="1144">
        <f>IFERROR(VLOOKUP(CONCATENATE($E1029,$G1029),'LAC 103'!$A$12:$O$95,14,FALSE),0)</f>
        <v>0</v>
      </c>
      <c r="V1029" s="1144">
        <f>IFERROR(VLOOKUP(CONCATENATE($E1029,$G1029),'LAC 103'!$A$12:$O$95,15,FALSE),0)</f>
        <v>0</v>
      </c>
      <c r="W1029" s="1145" t="str">
        <f>IFERROR(VLOOKUP(CONCATENATE($B1029,$N1029),'LAC 103'!$AI:$AQ,9,FALSE),"")</f>
        <v>Costs</v>
      </c>
      <c r="X1029" s="1146">
        <f t="shared" si="276"/>
        <v>3.2074101033884355</v>
      </c>
      <c r="Y1029" s="1143">
        <f t="shared" si="287"/>
        <v>19298.986592088215</v>
      </c>
      <c r="Z1029" s="1147">
        <f t="shared" si="277"/>
        <v>24007.83</v>
      </c>
      <c r="AA1029" s="1144">
        <f t="shared" si="278"/>
        <v>14922.16</v>
      </c>
      <c r="AB1029" s="1144">
        <f t="shared" si="279"/>
        <v>0</v>
      </c>
      <c r="AC1029" s="1144">
        <f t="shared" si="280"/>
        <v>0</v>
      </c>
      <c r="AD1029" s="1148">
        <f t="shared" si="272"/>
        <v>19298.986592088215</v>
      </c>
      <c r="AE1029" s="1487">
        <v>0</v>
      </c>
      <c r="AF1029" s="1145">
        <f t="shared" si="281"/>
        <v>19298.986592088215</v>
      </c>
      <c r="AG1029" s="1149">
        <f>IFERROR(VLOOKUP(CONCATENATE($L1029,$N1029),'Drop List'!$G$23:$K$87,2,FALSE),0)</f>
        <v>0</v>
      </c>
      <c r="AH1029" s="1150">
        <f>IFERROR(VLOOKUP(CONCATENATE($L1029,$N1029),'Drop List'!$G$23:$K$87,3,FALSE),0)</f>
        <v>0</v>
      </c>
      <c r="AI1029" s="1150">
        <f>IFERROR(VLOOKUP(CONCATENATE($L1029,$N1029),'Drop List'!$G$23:$K$87,4,FALSE),0)</f>
        <v>0</v>
      </c>
      <c r="AJ1029" s="1151">
        <f>IFERROR(VLOOKUP(CONCATENATE($L1029,$N1029),'Drop List'!$G$23:$K$87,5,FALSE),0)</f>
        <v>0</v>
      </c>
      <c r="AK1029" s="1152">
        <f t="shared" si="282"/>
        <v>0</v>
      </c>
      <c r="AL1029" s="1153">
        <f t="shared" si="283"/>
        <v>0</v>
      </c>
      <c r="AM1029" s="1153">
        <f t="shared" si="284"/>
        <v>0</v>
      </c>
      <c r="AN1029" s="1145">
        <f t="shared" si="285"/>
        <v>0</v>
      </c>
      <c r="AO1029" s="1154">
        <f t="shared" si="286"/>
        <v>0</v>
      </c>
      <c r="AP1029" s="1147">
        <f t="shared" si="273"/>
        <v>19298.986592088215</v>
      </c>
      <c r="AQ1029" s="1144">
        <f t="shared" si="274"/>
        <v>0</v>
      </c>
      <c r="AR1029" s="1146">
        <f t="shared" si="275"/>
        <v>19298.986592088215</v>
      </c>
    </row>
    <row r="1030" spans="1:44" x14ac:dyDescent="0.2">
      <c r="A1030" s="1141" t="str">
        <f t="shared" si="288"/>
        <v>1544</v>
      </c>
      <c r="B1030" s="1141" t="str">
        <f>IFERROR(VLOOKUP(A1030,'LAC 103'!A:C,3,FALSE),"")</f>
        <v>OP</v>
      </c>
      <c r="C1030" s="1478" t="str">
        <f>Info!$B$8</f>
        <v>00100</v>
      </c>
      <c r="D1030" s="1474" t="s">
        <v>256</v>
      </c>
      <c r="E1030" s="1474" t="s">
        <v>95</v>
      </c>
      <c r="F1030" s="1478" t="s">
        <v>396</v>
      </c>
      <c r="G1030" s="1478" t="s">
        <v>396</v>
      </c>
      <c r="H1030" s="1474" t="s">
        <v>989</v>
      </c>
      <c r="I1030" s="1478" t="s">
        <v>823</v>
      </c>
      <c r="J1030" s="1478" t="s">
        <v>1999</v>
      </c>
      <c r="K1030" s="1475" t="s">
        <v>846</v>
      </c>
      <c r="L1030" s="1474" t="s">
        <v>332</v>
      </c>
      <c r="M1030" s="1476" t="s">
        <v>1699</v>
      </c>
      <c r="N1030" s="1477" t="s">
        <v>1694</v>
      </c>
      <c r="O1030" s="1479">
        <v>11192</v>
      </c>
      <c r="P1030" s="1479"/>
      <c r="Q1030" s="1142">
        <f t="shared" si="289"/>
        <v>11192</v>
      </c>
      <c r="R1030" s="1143">
        <f>IFERROR(VLOOKUP(CONCATENATE(E1030,G1030),'LAC 103'!$A$12:$O$95,11,FALSE),0)</f>
        <v>3.2074101033884355</v>
      </c>
      <c r="S1030" s="1144">
        <f>IFERROR(VLOOKUP(CONCATENATE($E1030,$G1030),'LAC 103'!$A$12:$O$95,12,FALSE),0)</f>
        <v>3.99</v>
      </c>
      <c r="T1030" s="1144">
        <f>IFERROR(VLOOKUP(CONCATENATE($E1030,$G1030),'LAC 103'!$A$12:$O$95,13,FALSE),0)</f>
        <v>2.48</v>
      </c>
      <c r="U1030" s="1144">
        <f>IFERROR(VLOOKUP(CONCATENATE($E1030,$G1030),'LAC 103'!$A$12:$O$95,14,FALSE),0)</f>
        <v>0</v>
      </c>
      <c r="V1030" s="1144">
        <f>IFERROR(VLOOKUP(CONCATENATE($E1030,$G1030),'LAC 103'!$A$12:$O$95,15,FALSE),0)</f>
        <v>0</v>
      </c>
      <c r="W1030" s="1145" t="str">
        <f>IFERROR(VLOOKUP(CONCATENATE($B1030,$N1030),'LAC 103'!$AI:$AQ,9,FALSE),"")</f>
        <v>Costs</v>
      </c>
      <c r="X1030" s="1146">
        <f t="shared" si="276"/>
        <v>3.2074101033884355</v>
      </c>
      <c r="Y1030" s="1143">
        <f t="shared" si="287"/>
        <v>35897.333877123368</v>
      </c>
      <c r="Z1030" s="1147">
        <f t="shared" si="277"/>
        <v>44656.08</v>
      </c>
      <c r="AA1030" s="1144">
        <f t="shared" si="278"/>
        <v>27756.16</v>
      </c>
      <c r="AB1030" s="1144">
        <f t="shared" si="279"/>
        <v>0</v>
      </c>
      <c r="AC1030" s="1144">
        <f t="shared" si="280"/>
        <v>0</v>
      </c>
      <c r="AD1030" s="1148">
        <f t="shared" si="272"/>
        <v>35897.333877123368</v>
      </c>
      <c r="AE1030" s="1487">
        <v>0</v>
      </c>
      <c r="AF1030" s="1145">
        <f t="shared" si="281"/>
        <v>35897.333877123368</v>
      </c>
      <c r="AG1030" s="1149">
        <f>IFERROR(VLOOKUP(CONCATENATE($L1030,$N1030),'Drop List'!$G$23:$K$87,2,FALSE),0)</f>
        <v>0</v>
      </c>
      <c r="AH1030" s="1150">
        <f>IFERROR(VLOOKUP(CONCATENATE($L1030,$N1030),'Drop List'!$G$23:$K$87,3,FALSE),0)</f>
        <v>0</v>
      </c>
      <c r="AI1030" s="1150">
        <f>IFERROR(VLOOKUP(CONCATENATE($L1030,$N1030),'Drop List'!$G$23:$K$87,4,FALSE),0)</f>
        <v>0</v>
      </c>
      <c r="AJ1030" s="1151">
        <f>IFERROR(VLOOKUP(CONCATENATE($L1030,$N1030),'Drop List'!$G$23:$K$87,5,FALSE),0)</f>
        <v>0</v>
      </c>
      <c r="AK1030" s="1152">
        <f t="shared" si="282"/>
        <v>0</v>
      </c>
      <c r="AL1030" s="1153">
        <f t="shared" si="283"/>
        <v>0</v>
      </c>
      <c r="AM1030" s="1153">
        <f t="shared" si="284"/>
        <v>0</v>
      </c>
      <c r="AN1030" s="1145">
        <f t="shared" si="285"/>
        <v>0</v>
      </c>
      <c r="AO1030" s="1154">
        <f t="shared" si="286"/>
        <v>0</v>
      </c>
      <c r="AP1030" s="1147">
        <f t="shared" si="273"/>
        <v>35897.333877123368</v>
      </c>
      <c r="AQ1030" s="1144">
        <f t="shared" si="274"/>
        <v>0</v>
      </c>
      <c r="AR1030" s="1146">
        <f t="shared" si="275"/>
        <v>35897.333877123368</v>
      </c>
    </row>
    <row r="1031" spans="1:44" x14ac:dyDescent="0.2">
      <c r="A1031" s="1141" t="str">
        <f t="shared" si="288"/>
        <v>1544</v>
      </c>
      <c r="B1031" s="1141" t="str">
        <f>IFERROR(VLOOKUP(A1031,'LAC 103'!A:C,3,FALSE),"")</f>
        <v>OP</v>
      </c>
      <c r="C1031" s="1478" t="str">
        <f>Info!$B$8</f>
        <v>00100</v>
      </c>
      <c r="D1031" s="1474" t="s">
        <v>256</v>
      </c>
      <c r="E1031" s="1474" t="s">
        <v>95</v>
      </c>
      <c r="F1031" s="1478" t="s">
        <v>396</v>
      </c>
      <c r="G1031" s="1478" t="s">
        <v>396</v>
      </c>
      <c r="H1031" s="1474" t="s">
        <v>989</v>
      </c>
      <c r="I1031" s="1478" t="s">
        <v>823</v>
      </c>
      <c r="J1031" s="1478" t="s">
        <v>1999</v>
      </c>
      <c r="K1031" s="1475" t="s">
        <v>846</v>
      </c>
      <c r="L1031" s="1474" t="s">
        <v>332</v>
      </c>
      <c r="M1031" s="1476" t="s">
        <v>841</v>
      </c>
      <c r="N1031" s="1477" t="s">
        <v>1695</v>
      </c>
      <c r="O1031" s="1479">
        <v>5344</v>
      </c>
      <c r="P1031" s="1479"/>
      <c r="Q1031" s="1142">
        <f t="shared" si="289"/>
        <v>5344</v>
      </c>
      <c r="R1031" s="1143">
        <f>IFERROR(VLOOKUP(CONCATENATE(E1031,G1031),'LAC 103'!$A$12:$O$95,11,FALSE),0)</f>
        <v>3.2074101033884355</v>
      </c>
      <c r="S1031" s="1144">
        <f>IFERROR(VLOOKUP(CONCATENATE($E1031,$G1031),'LAC 103'!$A$12:$O$95,12,FALSE),0)</f>
        <v>3.99</v>
      </c>
      <c r="T1031" s="1144">
        <f>IFERROR(VLOOKUP(CONCATENATE($E1031,$G1031),'LAC 103'!$A$12:$O$95,13,FALSE),0)</f>
        <v>2.48</v>
      </c>
      <c r="U1031" s="1144">
        <f>IFERROR(VLOOKUP(CONCATENATE($E1031,$G1031),'LAC 103'!$A$12:$O$95,14,FALSE),0)</f>
        <v>0</v>
      </c>
      <c r="V1031" s="1144">
        <f>IFERROR(VLOOKUP(CONCATENATE($E1031,$G1031),'LAC 103'!$A$12:$O$95,15,FALSE),0)</f>
        <v>0</v>
      </c>
      <c r="W1031" s="1145" t="str">
        <f>IFERROR(VLOOKUP(CONCATENATE($B1031,$N1031),'LAC 103'!$AI:$AQ,9,FALSE),"")</f>
        <v>Costs</v>
      </c>
      <c r="X1031" s="1146">
        <f t="shared" si="276"/>
        <v>3.2074101033884355</v>
      </c>
      <c r="Y1031" s="1143">
        <f t="shared" si="287"/>
        <v>17140.399592507798</v>
      </c>
      <c r="Z1031" s="1147">
        <f t="shared" si="277"/>
        <v>21322.560000000001</v>
      </c>
      <c r="AA1031" s="1144">
        <f t="shared" si="278"/>
        <v>13253.12</v>
      </c>
      <c r="AB1031" s="1144">
        <f t="shared" si="279"/>
        <v>0</v>
      </c>
      <c r="AC1031" s="1144">
        <f t="shared" si="280"/>
        <v>0</v>
      </c>
      <c r="AD1031" s="1148">
        <f t="shared" ref="AD1031:AD1094" si="290">Q1031*X1031</f>
        <v>17140.399592507798</v>
      </c>
      <c r="AE1031" s="1487">
        <v>0</v>
      </c>
      <c r="AF1031" s="1145">
        <f t="shared" si="281"/>
        <v>17140.399592507798</v>
      </c>
      <c r="AG1031" s="1149">
        <f>IFERROR(VLOOKUP(CONCATENATE($L1031,$N1031),'Drop List'!$G$23:$K$87,2,FALSE),0)</f>
        <v>0</v>
      </c>
      <c r="AH1031" s="1150">
        <f>IFERROR(VLOOKUP(CONCATENATE($L1031,$N1031),'Drop List'!$G$23:$K$87,3,FALSE),0)</f>
        <v>0</v>
      </c>
      <c r="AI1031" s="1150">
        <f>IFERROR(VLOOKUP(CONCATENATE($L1031,$N1031),'Drop List'!$G$23:$K$87,4,FALSE),0)</f>
        <v>0</v>
      </c>
      <c r="AJ1031" s="1151">
        <f>IFERROR(VLOOKUP(CONCATENATE($L1031,$N1031),'Drop List'!$G$23:$K$87,5,FALSE),0)</f>
        <v>0</v>
      </c>
      <c r="AK1031" s="1152">
        <f t="shared" si="282"/>
        <v>0</v>
      </c>
      <c r="AL1031" s="1153">
        <f t="shared" si="283"/>
        <v>0</v>
      </c>
      <c r="AM1031" s="1153">
        <f t="shared" si="284"/>
        <v>0</v>
      </c>
      <c r="AN1031" s="1145">
        <f t="shared" si="285"/>
        <v>0</v>
      </c>
      <c r="AO1031" s="1154">
        <f t="shared" si="286"/>
        <v>0</v>
      </c>
      <c r="AP1031" s="1147">
        <f t="shared" ref="AP1031:AP1094" si="291">IF($L1031="14",$AF1031,0)</f>
        <v>17140.399592507798</v>
      </c>
      <c r="AQ1031" s="1144">
        <f t="shared" ref="AQ1031:AQ1094" si="292">IF($L1031="15",$AF1031,0)</f>
        <v>0</v>
      </c>
      <c r="AR1031" s="1146">
        <f t="shared" ref="AR1031:AR1094" si="293">AO1031+AP1031+AQ1031</f>
        <v>17140.399592507798</v>
      </c>
    </row>
    <row r="1032" spans="1:44" x14ac:dyDescent="0.2">
      <c r="A1032" s="1141" t="str">
        <f t="shared" si="288"/>
        <v>1544</v>
      </c>
      <c r="B1032" s="1141" t="str">
        <f>IFERROR(VLOOKUP(A1032,'LAC 103'!A:C,3,FALSE),"")</f>
        <v>OP</v>
      </c>
      <c r="C1032" s="1478" t="str">
        <f>Info!$B$8</f>
        <v>00100</v>
      </c>
      <c r="D1032" s="1474" t="s">
        <v>256</v>
      </c>
      <c r="E1032" s="1474" t="s">
        <v>95</v>
      </c>
      <c r="F1032" s="1478" t="s">
        <v>396</v>
      </c>
      <c r="G1032" s="1478" t="s">
        <v>396</v>
      </c>
      <c r="H1032" s="1474" t="s">
        <v>989</v>
      </c>
      <c r="I1032" s="1478" t="s">
        <v>823</v>
      </c>
      <c r="J1032" s="1478" t="s">
        <v>1999</v>
      </c>
      <c r="K1032" s="1475" t="s">
        <v>846</v>
      </c>
      <c r="L1032" s="1474" t="s">
        <v>332</v>
      </c>
      <c r="M1032" s="1476" t="s">
        <v>840</v>
      </c>
      <c r="N1032" s="1477" t="s">
        <v>1700</v>
      </c>
      <c r="O1032" s="1479">
        <v>5246</v>
      </c>
      <c r="P1032" s="1479"/>
      <c r="Q1032" s="1142">
        <f t="shared" si="289"/>
        <v>5246</v>
      </c>
      <c r="R1032" s="1143">
        <f>IFERROR(VLOOKUP(CONCATENATE(E1032,G1032),'LAC 103'!$A$12:$O$95,11,FALSE),0)</f>
        <v>3.2074101033884355</v>
      </c>
      <c r="S1032" s="1144">
        <f>IFERROR(VLOOKUP(CONCATENATE($E1032,$G1032),'LAC 103'!$A$12:$O$95,12,FALSE),0)</f>
        <v>3.99</v>
      </c>
      <c r="T1032" s="1144">
        <f>IFERROR(VLOOKUP(CONCATENATE($E1032,$G1032),'LAC 103'!$A$12:$O$95,13,FALSE),0)</f>
        <v>2.48</v>
      </c>
      <c r="U1032" s="1144">
        <f>IFERROR(VLOOKUP(CONCATENATE($E1032,$G1032),'LAC 103'!$A$12:$O$95,14,FALSE),0)</f>
        <v>0</v>
      </c>
      <c r="V1032" s="1144">
        <f>IFERROR(VLOOKUP(CONCATENATE($E1032,$G1032),'LAC 103'!$A$12:$O$95,15,FALSE),0)</f>
        <v>0</v>
      </c>
      <c r="W1032" s="1145" t="str">
        <f>IFERROR(VLOOKUP(CONCATENATE($B1032,$N1032),'LAC 103'!$AI:$AQ,9,FALSE),"")</f>
        <v>P.C.</v>
      </c>
      <c r="X1032" s="1146">
        <f t="shared" ref="X1032:X1095" si="294">IF($W1032="Costs",$R1032,IF($W1032="CMA",$S1032,IF($W1032="P.C.",$T1032,IF($W1032="SMA",$U1032,$V1032))))</f>
        <v>2.48</v>
      </c>
      <c r="Y1032" s="1143">
        <f t="shared" si="287"/>
        <v>16826.073402375732</v>
      </c>
      <c r="Z1032" s="1147">
        <f t="shared" ref="Z1032:Z1095" si="295">IF(S1032=0,Y1032,$Q1032*S1032)</f>
        <v>20931.54</v>
      </c>
      <c r="AA1032" s="1144">
        <f t="shared" ref="AA1032:AA1095" si="296">IF(T1032=0,Y1032,$Q1032*T1032)</f>
        <v>13010.08</v>
      </c>
      <c r="AB1032" s="1144">
        <f t="shared" ref="AB1032:AB1095" si="297">$Q1032*U1032</f>
        <v>0</v>
      </c>
      <c r="AC1032" s="1144">
        <f t="shared" ref="AC1032:AC1095" si="298">$Q1032*V1032</f>
        <v>0</v>
      </c>
      <c r="AD1032" s="1148">
        <f t="shared" si="290"/>
        <v>13010.08</v>
      </c>
      <c r="AE1032" s="1487">
        <v>0</v>
      </c>
      <c r="AF1032" s="1145">
        <f t="shared" ref="AF1032:AF1095" si="299">AD1032-AE1032</f>
        <v>13010.08</v>
      </c>
      <c r="AG1032" s="1149">
        <f>IFERROR(VLOOKUP(CONCATENATE($L1032,$N1032),'Drop List'!$G$23:$K$87,2,FALSE),0)</f>
        <v>0</v>
      </c>
      <c r="AH1032" s="1150">
        <f>IFERROR(VLOOKUP(CONCATENATE($L1032,$N1032),'Drop List'!$G$23:$K$87,3,FALSE),0)</f>
        <v>0</v>
      </c>
      <c r="AI1032" s="1150">
        <f>IFERROR(VLOOKUP(CONCATENATE($L1032,$N1032),'Drop List'!$G$23:$K$87,4,FALSE),0)</f>
        <v>0</v>
      </c>
      <c r="AJ1032" s="1151">
        <f>IFERROR(VLOOKUP(CONCATENATE($L1032,$N1032),'Drop List'!$G$23:$K$87,5,FALSE),0)</f>
        <v>0</v>
      </c>
      <c r="AK1032" s="1152">
        <f t="shared" ref="AK1032:AK1095" si="300">IFERROR($AF1032*AG1032,0)</f>
        <v>0</v>
      </c>
      <c r="AL1032" s="1153">
        <f t="shared" ref="AL1032:AL1095" si="301">IFERROR($AF1032*AH1032,0)</f>
        <v>0</v>
      </c>
      <c r="AM1032" s="1153">
        <f t="shared" ref="AM1032:AM1095" si="302">IFERROR($AF1032*AI1032,0)</f>
        <v>0</v>
      </c>
      <c r="AN1032" s="1145">
        <f t="shared" ref="AN1032:AN1095" si="303">IFERROR($AF1032*AJ1032,0)</f>
        <v>0</v>
      </c>
      <c r="AO1032" s="1154">
        <f t="shared" ref="AO1032:AO1095" si="304">SUM(AK1032:AN1032)</f>
        <v>0</v>
      </c>
      <c r="AP1032" s="1147">
        <f t="shared" si="291"/>
        <v>13010.08</v>
      </c>
      <c r="AQ1032" s="1144">
        <f t="shared" si="292"/>
        <v>0</v>
      </c>
      <c r="AR1032" s="1146">
        <f t="shared" si="293"/>
        <v>13010.08</v>
      </c>
    </row>
    <row r="1033" spans="1:44" x14ac:dyDescent="0.2">
      <c r="A1033" s="1141" t="str">
        <f t="shared" si="288"/>
        <v>1544</v>
      </c>
      <c r="B1033" s="1141" t="str">
        <f>IFERROR(VLOOKUP(A1033,'LAC 103'!A:C,3,FALSE),"")</f>
        <v>OP</v>
      </c>
      <c r="C1033" s="1478" t="str">
        <f>Info!$B$8</f>
        <v>00100</v>
      </c>
      <c r="D1033" s="1474" t="s">
        <v>256</v>
      </c>
      <c r="E1033" s="1474" t="s">
        <v>95</v>
      </c>
      <c r="F1033" s="1478" t="s">
        <v>396</v>
      </c>
      <c r="G1033" s="1478" t="s">
        <v>396</v>
      </c>
      <c r="H1033" s="1474" t="s">
        <v>989</v>
      </c>
      <c r="I1033" s="1478" t="s">
        <v>823</v>
      </c>
      <c r="J1033" s="1478" t="s">
        <v>1999</v>
      </c>
      <c r="K1033" s="1475" t="s">
        <v>846</v>
      </c>
      <c r="L1033" s="1474" t="s">
        <v>332</v>
      </c>
      <c r="M1033" s="1476" t="s">
        <v>842</v>
      </c>
      <c r="N1033" s="1477" t="s">
        <v>1692</v>
      </c>
      <c r="O1033" s="1479">
        <v>11014</v>
      </c>
      <c r="P1033" s="1479"/>
      <c r="Q1033" s="1142">
        <f t="shared" si="289"/>
        <v>11014</v>
      </c>
      <c r="R1033" s="1143">
        <f>IFERROR(VLOOKUP(CONCATENATE(E1033,G1033),'LAC 103'!$A$12:$O$95,11,FALSE),0)</f>
        <v>3.2074101033884355</v>
      </c>
      <c r="S1033" s="1144">
        <f>IFERROR(VLOOKUP(CONCATENATE($E1033,$G1033),'LAC 103'!$A$12:$O$95,12,FALSE),0)</f>
        <v>3.99</v>
      </c>
      <c r="T1033" s="1144">
        <f>IFERROR(VLOOKUP(CONCATENATE($E1033,$G1033),'LAC 103'!$A$12:$O$95,13,FALSE),0)</f>
        <v>2.48</v>
      </c>
      <c r="U1033" s="1144">
        <f>IFERROR(VLOOKUP(CONCATENATE($E1033,$G1033),'LAC 103'!$A$12:$O$95,14,FALSE),0)</f>
        <v>0</v>
      </c>
      <c r="V1033" s="1144">
        <f>IFERROR(VLOOKUP(CONCATENATE($E1033,$G1033),'LAC 103'!$A$12:$O$95,15,FALSE),0)</f>
        <v>0</v>
      </c>
      <c r="W1033" s="1145" t="str">
        <f>IFERROR(VLOOKUP(CONCATENATE($B1033,$N1033),'LAC 103'!$AI:$AQ,9,FALSE),"")</f>
        <v>Costs</v>
      </c>
      <c r="X1033" s="1146">
        <f t="shared" si="294"/>
        <v>3.2074101033884355</v>
      </c>
      <c r="Y1033" s="1143">
        <f t="shared" si="287"/>
        <v>35326.414878720228</v>
      </c>
      <c r="Z1033" s="1147">
        <f t="shared" si="295"/>
        <v>43945.86</v>
      </c>
      <c r="AA1033" s="1144">
        <f t="shared" si="296"/>
        <v>27314.720000000001</v>
      </c>
      <c r="AB1033" s="1144">
        <f t="shared" si="297"/>
        <v>0</v>
      </c>
      <c r="AC1033" s="1144">
        <f t="shared" si="298"/>
        <v>0</v>
      </c>
      <c r="AD1033" s="1148">
        <f t="shared" si="290"/>
        <v>35326.414878720228</v>
      </c>
      <c r="AE1033" s="1487">
        <v>0</v>
      </c>
      <c r="AF1033" s="1145">
        <f t="shared" si="299"/>
        <v>35326.414878720228</v>
      </c>
      <c r="AG1033" s="1149">
        <f>IFERROR(VLOOKUP(CONCATENATE($L1033,$N1033),'Drop List'!$G$23:$K$87,2,FALSE),0)</f>
        <v>0</v>
      </c>
      <c r="AH1033" s="1150">
        <f>IFERROR(VLOOKUP(CONCATENATE($L1033,$N1033),'Drop List'!$G$23:$K$87,3,FALSE),0)</f>
        <v>0</v>
      </c>
      <c r="AI1033" s="1150">
        <f>IFERROR(VLOOKUP(CONCATENATE($L1033,$N1033),'Drop List'!$G$23:$K$87,4,FALSE),0)</f>
        <v>0</v>
      </c>
      <c r="AJ1033" s="1151">
        <f>IFERROR(VLOOKUP(CONCATENATE($L1033,$N1033),'Drop List'!$G$23:$K$87,5,FALSE),0)</f>
        <v>0</v>
      </c>
      <c r="AK1033" s="1152">
        <f t="shared" si="300"/>
        <v>0</v>
      </c>
      <c r="AL1033" s="1153">
        <f t="shared" si="301"/>
        <v>0</v>
      </c>
      <c r="AM1033" s="1153">
        <f t="shared" si="302"/>
        <v>0</v>
      </c>
      <c r="AN1033" s="1145">
        <f t="shared" si="303"/>
        <v>0</v>
      </c>
      <c r="AO1033" s="1154">
        <f t="shared" si="304"/>
        <v>0</v>
      </c>
      <c r="AP1033" s="1147">
        <f t="shared" si="291"/>
        <v>35326.414878720228</v>
      </c>
      <c r="AQ1033" s="1144">
        <f t="shared" si="292"/>
        <v>0</v>
      </c>
      <c r="AR1033" s="1146">
        <f t="shared" si="293"/>
        <v>35326.414878720228</v>
      </c>
    </row>
    <row r="1034" spans="1:44" x14ac:dyDescent="0.2">
      <c r="A1034" s="1141" t="str">
        <f t="shared" si="288"/>
        <v>1544</v>
      </c>
      <c r="B1034" s="1141" t="str">
        <f>IFERROR(VLOOKUP(A1034,'LAC 103'!A:C,3,FALSE),"")</f>
        <v>OP</v>
      </c>
      <c r="C1034" s="1478" t="str">
        <f>Info!$B$8</f>
        <v>00100</v>
      </c>
      <c r="D1034" s="1474" t="s">
        <v>256</v>
      </c>
      <c r="E1034" s="1474" t="s">
        <v>95</v>
      </c>
      <c r="F1034" s="1478" t="s">
        <v>396</v>
      </c>
      <c r="G1034" s="1478" t="s">
        <v>396</v>
      </c>
      <c r="H1034" s="1474" t="s">
        <v>989</v>
      </c>
      <c r="I1034" s="1478" t="s">
        <v>823</v>
      </c>
      <c r="J1034" s="1478" t="s">
        <v>1999</v>
      </c>
      <c r="K1034" s="1475" t="s">
        <v>846</v>
      </c>
      <c r="L1034" s="1474" t="s">
        <v>332</v>
      </c>
      <c r="M1034" s="1476" t="s">
        <v>1698</v>
      </c>
      <c r="N1034" s="1477" t="s">
        <v>1693</v>
      </c>
      <c r="O1034" s="1479">
        <v>14195</v>
      </c>
      <c r="P1034" s="1479"/>
      <c r="Q1034" s="1142">
        <f t="shared" si="289"/>
        <v>14195</v>
      </c>
      <c r="R1034" s="1143">
        <f>IFERROR(VLOOKUP(CONCATENATE(E1034,G1034),'LAC 103'!$A$12:$O$95,11,FALSE),0)</f>
        <v>3.2074101033884355</v>
      </c>
      <c r="S1034" s="1144">
        <f>IFERROR(VLOOKUP(CONCATENATE($E1034,$G1034),'LAC 103'!$A$12:$O$95,12,FALSE),0)</f>
        <v>3.99</v>
      </c>
      <c r="T1034" s="1144">
        <f>IFERROR(VLOOKUP(CONCATENATE($E1034,$G1034),'LAC 103'!$A$12:$O$95,13,FALSE),0)</f>
        <v>2.48</v>
      </c>
      <c r="U1034" s="1144">
        <f>IFERROR(VLOOKUP(CONCATENATE($E1034,$G1034),'LAC 103'!$A$12:$O$95,14,FALSE),0)</f>
        <v>0</v>
      </c>
      <c r="V1034" s="1144">
        <f>IFERROR(VLOOKUP(CONCATENATE($E1034,$G1034),'LAC 103'!$A$12:$O$95,15,FALSE),0)</f>
        <v>0</v>
      </c>
      <c r="W1034" s="1145" t="str">
        <f>IFERROR(VLOOKUP(CONCATENATE($B1034,$N1034),'LAC 103'!$AI:$AQ,9,FALSE),"")</f>
        <v>Costs</v>
      </c>
      <c r="X1034" s="1146">
        <f t="shared" si="294"/>
        <v>3.2074101033884355</v>
      </c>
      <c r="Y1034" s="1143">
        <f t="shared" ref="Y1034:Y1097" si="305">$Q1034*R1034</f>
        <v>45529.186417598845</v>
      </c>
      <c r="Z1034" s="1147">
        <f t="shared" si="295"/>
        <v>56638.05</v>
      </c>
      <c r="AA1034" s="1144">
        <f t="shared" si="296"/>
        <v>35203.599999999999</v>
      </c>
      <c r="AB1034" s="1144">
        <f t="shared" si="297"/>
        <v>0</v>
      </c>
      <c r="AC1034" s="1144">
        <f t="shared" si="298"/>
        <v>0</v>
      </c>
      <c r="AD1034" s="1148">
        <f t="shared" si="290"/>
        <v>45529.186417598845</v>
      </c>
      <c r="AE1034" s="1487">
        <v>0</v>
      </c>
      <c r="AF1034" s="1145">
        <f t="shared" si="299"/>
        <v>45529.186417598845</v>
      </c>
      <c r="AG1034" s="1149">
        <f>IFERROR(VLOOKUP(CONCATENATE($L1034,$N1034),'Drop List'!$G$23:$K$87,2,FALSE),0)</f>
        <v>0</v>
      </c>
      <c r="AH1034" s="1150">
        <f>IFERROR(VLOOKUP(CONCATENATE($L1034,$N1034),'Drop List'!$G$23:$K$87,3,FALSE),0)</f>
        <v>0</v>
      </c>
      <c r="AI1034" s="1150">
        <f>IFERROR(VLOOKUP(CONCATENATE($L1034,$N1034),'Drop List'!$G$23:$K$87,4,FALSE),0)</f>
        <v>0</v>
      </c>
      <c r="AJ1034" s="1151">
        <f>IFERROR(VLOOKUP(CONCATENATE($L1034,$N1034),'Drop List'!$G$23:$K$87,5,FALSE),0)</f>
        <v>0</v>
      </c>
      <c r="AK1034" s="1152">
        <f t="shared" si="300"/>
        <v>0</v>
      </c>
      <c r="AL1034" s="1153">
        <f t="shared" si="301"/>
        <v>0</v>
      </c>
      <c r="AM1034" s="1153">
        <f t="shared" si="302"/>
        <v>0</v>
      </c>
      <c r="AN1034" s="1145">
        <f t="shared" si="303"/>
        <v>0</v>
      </c>
      <c r="AO1034" s="1154">
        <f t="shared" si="304"/>
        <v>0</v>
      </c>
      <c r="AP1034" s="1147">
        <f t="shared" si="291"/>
        <v>45529.186417598845</v>
      </c>
      <c r="AQ1034" s="1144">
        <f t="shared" si="292"/>
        <v>0</v>
      </c>
      <c r="AR1034" s="1146">
        <f t="shared" si="293"/>
        <v>45529.186417598845</v>
      </c>
    </row>
    <row r="1035" spans="1:44" x14ac:dyDescent="0.2">
      <c r="A1035" s="1141" t="str">
        <f t="shared" si="288"/>
        <v>1544</v>
      </c>
      <c r="B1035" s="1141" t="str">
        <f>IFERROR(VLOOKUP(A1035,'LAC 103'!A:C,3,FALSE),"")</f>
        <v>OP</v>
      </c>
      <c r="C1035" s="1478" t="str">
        <f>Info!$B$8</f>
        <v>00100</v>
      </c>
      <c r="D1035" s="1474" t="s">
        <v>256</v>
      </c>
      <c r="E1035" s="1474" t="s">
        <v>95</v>
      </c>
      <c r="F1035" s="1478" t="s">
        <v>396</v>
      </c>
      <c r="G1035" s="1478" t="s">
        <v>396</v>
      </c>
      <c r="H1035" s="1474" t="s">
        <v>989</v>
      </c>
      <c r="I1035" s="1478" t="s">
        <v>823</v>
      </c>
      <c r="J1035" s="1478" t="s">
        <v>2000</v>
      </c>
      <c r="K1035" s="1475" t="s">
        <v>846</v>
      </c>
      <c r="L1035" s="1474" t="s">
        <v>332</v>
      </c>
      <c r="M1035" s="1476" t="s">
        <v>1699</v>
      </c>
      <c r="N1035" s="1477" t="s">
        <v>1694</v>
      </c>
      <c r="O1035" s="1479">
        <v>40484</v>
      </c>
      <c r="P1035" s="1479"/>
      <c r="Q1035" s="1142">
        <f t="shared" si="289"/>
        <v>40484</v>
      </c>
      <c r="R1035" s="1143">
        <f>IFERROR(VLOOKUP(CONCATENATE(E1035,G1035),'LAC 103'!$A$12:$O$95,11,FALSE),0)</f>
        <v>3.2074101033884355</v>
      </c>
      <c r="S1035" s="1144">
        <f>IFERROR(VLOOKUP(CONCATENATE($E1035,$G1035),'LAC 103'!$A$12:$O$95,12,FALSE),0)</f>
        <v>3.99</v>
      </c>
      <c r="T1035" s="1144">
        <f>IFERROR(VLOOKUP(CONCATENATE($E1035,$G1035),'LAC 103'!$A$12:$O$95,13,FALSE),0)</f>
        <v>2.48</v>
      </c>
      <c r="U1035" s="1144">
        <f>IFERROR(VLOOKUP(CONCATENATE($E1035,$G1035),'LAC 103'!$A$12:$O$95,14,FALSE),0)</f>
        <v>0</v>
      </c>
      <c r="V1035" s="1144">
        <f>IFERROR(VLOOKUP(CONCATENATE($E1035,$G1035),'LAC 103'!$A$12:$O$95,15,FALSE),0)</f>
        <v>0</v>
      </c>
      <c r="W1035" s="1145" t="str">
        <f>IFERROR(VLOOKUP(CONCATENATE($B1035,$N1035),'LAC 103'!$AI:$AQ,9,FALSE),"")</f>
        <v>Costs</v>
      </c>
      <c r="X1035" s="1146">
        <f t="shared" si="294"/>
        <v>3.2074101033884355</v>
      </c>
      <c r="Y1035" s="1143">
        <f t="shared" si="305"/>
        <v>129848.79062557741</v>
      </c>
      <c r="Z1035" s="1147">
        <f t="shared" si="295"/>
        <v>161531.16</v>
      </c>
      <c r="AA1035" s="1144">
        <f t="shared" si="296"/>
        <v>100400.31999999999</v>
      </c>
      <c r="AB1035" s="1144">
        <f t="shared" si="297"/>
        <v>0</v>
      </c>
      <c r="AC1035" s="1144">
        <f t="shared" si="298"/>
        <v>0</v>
      </c>
      <c r="AD1035" s="1148">
        <f t="shared" si="290"/>
        <v>129848.79062557741</v>
      </c>
      <c r="AE1035" s="1487">
        <v>0</v>
      </c>
      <c r="AF1035" s="1145">
        <f t="shared" si="299"/>
        <v>129848.79062557741</v>
      </c>
      <c r="AG1035" s="1149">
        <f>IFERROR(VLOOKUP(CONCATENATE($L1035,$N1035),'Drop List'!$G$23:$K$87,2,FALSE),0)</f>
        <v>0</v>
      </c>
      <c r="AH1035" s="1150">
        <f>IFERROR(VLOOKUP(CONCATENATE($L1035,$N1035),'Drop List'!$G$23:$K$87,3,FALSE),0)</f>
        <v>0</v>
      </c>
      <c r="AI1035" s="1150">
        <f>IFERROR(VLOOKUP(CONCATENATE($L1035,$N1035),'Drop List'!$G$23:$K$87,4,FALSE),0)</f>
        <v>0</v>
      </c>
      <c r="AJ1035" s="1151">
        <f>IFERROR(VLOOKUP(CONCATENATE($L1035,$N1035),'Drop List'!$G$23:$K$87,5,FALSE),0)</f>
        <v>0</v>
      </c>
      <c r="AK1035" s="1152">
        <f t="shared" si="300"/>
        <v>0</v>
      </c>
      <c r="AL1035" s="1153">
        <f t="shared" si="301"/>
        <v>0</v>
      </c>
      <c r="AM1035" s="1153">
        <f t="shared" si="302"/>
        <v>0</v>
      </c>
      <c r="AN1035" s="1145">
        <f t="shared" si="303"/>
        <v>0</v>
      </c>
      <c r="AO1035" s="1154">
        <f t="shared" si="304"/>
        <v>0</v>
      </c>
      <c r="AP1035" s="1147">
        <f t="shared" si="291"/>
        <v>129848.79062557741</v>
      </c>
      <c r="AQ1035" s="1144">
        <f t="shared" si="292"/>
        <v>0</v>
      </c>
      <c r="AR1035" s="1146">
        <f t="shared" si="293"/>
        <v>129848.79062557741</v>
      </c>
    </row>
    <row r="1036" spans="1:44" x14ac:dyDescent="0.2">
      <c r="A1036" s="1141" t="str">
        <f t="shared" si="288"/>
        <v>1544</v>
      </c>
      <c r="B1036" s="1141" t="str">
        <f>IFERROR(VLOOKUP(A1036,'LAC 103'!A:C,3,FALSE),"")</f>
        <v>OP</v>
      </c>
      <c r="C1036" s="1478" t="str">
        <f>Info!$B$8</f>
        <v>00100</v>
      </c>
      <c r="D1036" s="1474" t="s">
        <v>256</v>
      </c>
      <c r="E1036" s="1474" t="s">
        <v>95</v>
      </c>
      <c r="F1036" s="1478" t="s">
        <v>396</v>
      </c>
      <c r="G1036" s="1478" t="s">
        <v>396</v>
      </c>
      <c r="H1036" s="1474" t="s">
        <v>989</v>
      </c>
      <c r="I1036" s="1478" t="s">
        <v>823</v>
      </c>
      <c r="J1036" s="1478" t="s">
        <v>2000</v>
      </c>
      <c r="K1036" s="1475" t="s">
        <v>846</v>
      </c>
      <c r="L1036" s="1474" t="s">
        <v>332</v>
      </c>
      <c r="M1036" s="1476" t="s">
        <v>841</v>
      </c>
      <c r="N1036" s="1477" t="s">
        <v>1695</v>
      </c>
      <c r="O1036" s="1479">
        <v>15741</v>
      </c>
      <c r="P1036" s="1479"/>
      <c r="Q1036" s="1142">
        <f t="shared" si="289"/>
        <v>15741</v>
      </c>
      <c r="R1036" s="1143">
        <f>IFERROR(VLOOKUP(CONCATENATE(E1036,G1036),'LAC 103'!$A$12:$O$95,11,FALSE),0)</f>
        <v>3.2074101033884355</v>
      </c>
      <c r="S1036" s="1144">
        <f>IFERROR(VLOOKUP(CONCATENATE($E1036,$G1036),'LAC 103'!$A$12:$O$95,12,FALSE),0)</f>
        <v>3.99</v>
      </c>
      <c r="T1036" s="1144">
        <f>IFERROR(VLOOKUP(CONCATENATE($E1036,$G1036),'LAC 103'!$A$12:$O$95,13,FALSE),0)</f>
        <v>2.48</v>
      </c>
      <c r="U1036" s="1144">
        <f>IFERROR(VLOOKUP(CONCATENATE($E1036,$G1036),'LAC 103'!$A$12:$O$95,14,FALSE),0)</f>
        <v>0</v>
      </c>
      <c r="V1036" s="1144">
        <f>IFERROR(VLOOKUP(CONCATENATE($E1036,$G1036),'LAC 103'!$A$12:$O$95,15,FALSE),0)</f>
        <v>0</v>
      </c>
      <c r="W1036" s="1145" t="str">
        <f>IFERROR(VLOOKUP(CONCATENATE($B1036,$N1036),'LAC 103'!$AI:$AQ,9,FALSE),"")</f>
        <v>Costs</v>
      </c>
      <c r="X1036" s="1146">
        <f t="shared" si="294"/>
        <v>3.2074101033884355</v>
      </c>
      <c r="Y1036" s="1143">
        <f t="shared" si="305"/>
        <v>50487.842437437364</v>
      </c>
      <c r="Z1036" s="1147">
        <f t="shared" si="295"/>
        <v>62806.590000000004</v>
      </c>
      <c r="AA1036" s="1144">
        <f t="shared" si="296"/>
        <v>39037.68</v>
      </c>
      <c r="AB1036" s="1144">
        <f t="shared" si="297"/>
        <v>0</v>
      </c>
      <c r="AC1036" s="1144">
        <f t="shared" si="298"/>
        <v>0</v>
      </c>
      <c r="AD1036" s="1148">
        <f t="shared" si="290"/>
        <v>50487.842437437364</v>
      </c>
      <c r="AE1036" s="1487">
        <v>0</v>
      </c>
      <c r="AF1036" s="1145">
        <f t="shared" si="299"/>
        <v>50487.842437437364</v>
      </c>
      <c r="AG1036" s="1149">
        <f>IFERROR(VLOOKUP(CONCATENATE($L1036,$N1036),'Drop List'!$G$23:$K$87,2,FALSE),0)</f>
        <v>0</v>
      </c>
      <c r="AH1036" s="1150">
        <f>IFERROR(VLOOKUP(CONCATENATE($L1036,$N1036),'Drop List'!$G$23:$K$87,3,FALSE),0)</f>
        <v>0</v>
      </c>
      <c r="AI1036" s="1150">
        <f>IFERROR(VLOOKUP(CONCATENATE($L1036,$N1036),'Drop List'!$G$23:$K$87,4,FALSE),0)</f>
        <v>0</v>
      </c>
      <c r="AJ1036" s="1151">
        <f>IFERROR(VLOOKUP(CONCATENATE($L1036,$N1036),'Drop List'!$G$23:$K$87,5,FALSE),0)</f>
        <v>0</v>
      </c>
      <c r="AK1036" s="1152">
        <f t="shared" si="300"/>
        <v>0</v>
      </c>
      <c r="AL1036" s="1153">
        <f t="shared" si="301"/>
        <v>0</v>
      </c>
      <c r="AM1036" s="1153">
        <f t="shared" si="302"/>
        <v>0</v>
      </c>
      <c r="AN1036" s="1145">
        <f t="shared" si="303"/>
        <v>0</v>
      </c>
      <c r="AO1036" s="1154">
        <f t="shared" si="304"/>
        <v>0</v>
      </c>
      <c r="AP1036" s="1147">
        <f t="shared" si="291"/>
        <v>50487.842437437364</v>
      </c>
      <c r="AQ1036" s="1144">
        <f t="shared" si="292"/>
        <v>0</v>
      </c>
      <c r="AR1036" s="1146">
        <f t="shared" si="293"/>
        <v>50487.842437437364</v>
      </c>
    </row>
    <row r="1037" spans="1:44" x14ac:dyDescent="0.2">
      <c r="A1037" s="1141" t="str">
        <f t="shared" si="288"/>
        <v>1544</v>
      </c>
      <c r="B1037" s="1141" t="str">
        <f>IFERROR(VLOOKUP(A1037,'LAC 103'!A:C,3,FALSE),"")</f>
        <v>OP</v>
      </c>
      <c r="C1037" s="1478" t="str">
        <f>Info!$B$8</f>
        <v>00100</v>
      </c>
      <c r="D1037" s="1474" t="s">
        <v>256</v>
      </c>
      <c r="E1037" s="1474" t="s">
        <v>95</v>
      </c>
      <c r="F1037" s="1478" t="s">
        <v>396</v>
      </c>
      <c r="G1037" s="1478" t="s">
        <v>396</v>
      </c>
      <c r="H1037" s="1474" t="s">
        <v>989</v>
      </c>
      <c r="I1037" s="1478" t="s">
        <v>823</v>
      </c>
      <c r="J1037" s="1478" t="s">
        <v>2000</v>
      </c>
      <c r="K1037" s="1475" t="s">
        <v>846</v>
      </c>
      <c r="L1037" s="1474" t="s">
        <v>332</v>
      </c>
      <c r="M1037" s="1476" t="s">
        <v>840</v>
      </c>
      <c r="N1037" s="1477" t="s">
        <v>1700</v>
      </c>
      <c r="O1037" s="1479">
        <v>16431</v>
      </c>
      <c r="P1037" s="1479"/>
      <c r="Q1037" s="1142">
        <f t="shared" si="289"/>
        <v>16431</v>
      </c>
      <c r="R1037" s="1143">
        <f>IFERROR(VLOOKUP(CONCATENATE(E1037,G1037),'LAC 103'!$A$12:$O$95,11,FALSE),0)</f>
        <v>3.2074101033884355</v>
      </c>
      <c r="S1037" s="1144">
        <f>IFERROR(VLOOKUP(CONCATENATE($E1037,$G1037),'LAC 103'!$A$12:$O$95,12,FALSE),0)</f>
        <v>3.99</v>
      </c>
      <c r="T1037" s="1144">
        <f>IFERROR(VLOOKUP(CONCATENATE($E1037,$G1037),'LAC 103'!$A$12:$O$95,13,FALSE),0)</f>
        <v>2.48</v>
      </c>
      <c r="U1037" s="1144">
        <f>IFERROR(VLOOKUP(CONCATENATE($E1037,$G1037),'LAC 103'!$A$12:$O$95,14,FALSE),0)</f>
        <v>0</v>
      </c>
      <c r="V1037" s="1144">
        <f>IFERROR(VLOOKUP(CONCATENATE($E1037,$G1037),'LAC 103'!$A$12:$O$95,15,FALSE),0)</f>
        <v>0</v>
      </c>
      <c r="W1037" s="1145" t="str">
        <f>IFERROR(VLOOKUP(CONCATENATE($B1037,$N1037),'LAC 103'!$AI:$AQ,9,FALSE),"")</f>
        <v>P.C.</v>
      </c>
      <c r="X1037" s="1146">
        <f t="shared" si="294"/>
        <v>2.48</v>
      </c>
      <c r="Y1037" s="1143">
        <f t="shared" si="305"/>
        <v>52700.955408775386</v>
      </c>
      <c r="Z1037" s="1147">
        <f t="shared" si="295"/>
        <v>65559.69</v>
      </c>
      <c r="AA1037" s="1144">
        <f t="shared" si="296"/>
        <v>40748.879999999997</v>
      </c>
      <c r="AB1037" s="1144">
        <f t="shared" si="297"/>
        <v>0</v>
      </c>
      <c r="AC1037" s="1144">
        <f t="shared" si="298"/>
        <v>0</v>
      </c>
      <c r="AD1037" s="1148">
        <f t="shared" si="290"/>
        <v>40748.879999999997</v>
      </c>
      <c r="AE1037" s="1487">
        <v>0</v>
      </c>
      <c r="AF1037" s="1145">
        <f t="shared" si="299"/>
        <v>40748.879999999997</v>
      </c>
      <c r="AG1037" s="1149">
        <f>IFERROR(VLOOKUP(CONCATENATE($L1037,$N1037),'Drop List'!$G$23:$K$87,2,FALSE),0)</f>
        <v>0</v>
      </c>
      <c r="AH1037" s="1150">
        <f>IFERROR(VLOOKUP(CONCATENATE($L1037,$N1037),'Drop List'!$G$23:$K$87,3,FALSE),0)</f>
        <v>0</v>
      </c>
      <c r="AI1037" s="1150">
        <f>IFERROR(VLOOKUP(CONCATENATE($L1037,$N1037),'Drop List'!$G$23:$K$87,4,FALSE),0)</f>
        <v>0</v>
      </c>
      <c r="AJ1037" s="1151">
        <f>IFERROR(VLOOKUP(CONCATENATE($L1037,$N1037),'Drop List'!$G$23:$K$87,5,FALSE),0)</f>
        <v>0</v>
      </c>
      <c r="AK1037" s="1152">
        <f t="shared" si="300"/>
        <v>0</v>
      </c>
      <c r="AL1037" s="1153">
        <f t="shared" si="301"/>
        <v>0</v>
      </c>
      <c r="AM1037" s="1153">
        <f t="shared" si="302"/>
        <v>0</v>
      </c>
      <c r="AN1037" s="1145">
        <f t="shared" si="303"/>
        <v>0</v>
      </c>
      <c r="AO1037" s="1154">
        <f t="shared" si="304"/>
        <v>0</v>
      </c>
      <c r="AP1037" s="1147">
        <f t="shared" si="291"/>
        <v>40748.879999999997</v>
      </c>
      <c r="AQ1037" s="1144">
        <f t="shared" si="292"/>
        <v>0</v>
      </c>
      <c r="AR1037" s="1146">
        <f t="shared" si="293"/>
        <v>40748.879999999997</v>
      </c>
    </row>
    <row r="1038" spans="1:44" x14ac:dyDescent="0.2">
      <c r="A1038" s="1141" t="str">
        <f t="shared" si="288"/>
        <v>1544</v>
      </c>
      <c r="B1038" s="1141" t="str">
        <f>IFERROR(VLOOKUP(A1038,'LAC 103'!A:C,3,FALSE),"")</f>
        <v>OP</v>
      </c>
      <c r="C1038" s="1478" t="str">
        <f>Info!$B$8</f>
        <v>00100</v>
      </c>
      <c r="D1038" s="1474" t="s">
        <v>256</v>
      </c>
      <c r="E1038" s="1474" t="s">
        <v>95</v>
      </c>
      <c r="F1038" s="1478" t="s">
        <v>396</v>
      </c>
      <c r="G1038" s="1478" t="s">
        <v>396</v>
      </c>
      <c r="H1038" s="1474" t="s">
        <v>989</v>
      </c>
      <c r="I1038" s="1478" t="s">
        <v>823</v>
      </c>
      <c r="J1038" s="1478" t="s">
        <v>2000</v>
      </c>
      <c r="K1038" s="1475" t="s">
        <v>846</v>
      </c>
      <c r="L1038" s="1474" t="s">
        <v>332</v>
      </c>
      <c r="M1038" s="1476" t="s">
        <v>842</v>
      </c>
      <c r="N1038" s="1477" t="s">
        <v>1692</v>
      </c>
      <c r="O1038" s="1479">
        <v>38112</v>
      </c>
      <c r="P1038" s="1479"/>
      <c r="Q1038" s="1142">
        <f t="shared" si="289"/>
        <v>38112</v>
      </c>
      <c r="R1038" s="1143">
        <f>IFERROR(VLOOKUP(CONCATENATE(E1038,G1038),'LAC 103'!$A$12:$O$95,11,FALSE),0)</f>
        <v>3.2074101033884355</v>
      </c>
      <c r="S1038" s="1144">
        <f>IFERROR(VLOOKUP(CONCATENATE($E1038,$G1038),'LAC 103'!$A$12:$O$95,12,FALSE),0)</f>
        <v>3.99</v>
      </c>
      <c r="T1038" s="1144">
        <f>IFERROR(VLOOKUP(CONCATENATE($E1038,$G1038),'LAC 103'!$A$12:$O$95,13,FALSE),0)</f>
        <v>2.48</v>
      </c>
      <c r="U1038" s="1144">
        <f>IFERROR(VLOOKUP(CONCATENATE($E1038,$G1038),'LAC 103'!$A$12:$O$95,14,FALSE),0)</f>
        <v>0</v>
      </c>
      <c r="V1038" s="1144">
        <f>IFERROR(VLOOKUP(CONCATENATE($E1038,$G1038),'LAC 103'!$A$12:$O$95,15,FALSE),0)</f>
        <v>0</v>
      </c>
      <c r="W1038" s="1145" t="str">
        <f>IFERROR(VLOOKUP(CONCATENATE($B1038,$N1038),'LAC 103'!$AI:$AQ,9,FALSE),"")</f>
        <v>Costs</v>
      </c>
      <c r="X1038" s="1146">
        <f t="shared" si="294"/>
        <v>3.2074101033884355</v>
      </c>
      <c r="Y1038" s="1143">
        <f t="shared" si="305"/>
        <v>122240.81386034006</v>
      </c>
      <c r="Z1038" s="1147">
        <f t="shared" si="295"/>
        <v>152066.88</v>
      </c>
      <c r="AA1038" s="1144">
        <f t="shared" si="296"/>
        <v>94517.759999999995</v>
      </c>
      <c r="AB1038" s="1144">
        <f t="shared" si="297"/>
        <v>0</v>
      </c>
      <c r="AC1038" s="1144">
        <f t="shared" si="298"/>
        <v>0</v>
      </c>
      <c r="AD1038" s="1148">
        <f t="shared" si="290"/>
        <v>122240.81386034006</v>
      </c>
      <c r="AE1038" s="1487">
        <v>0</v>
      </c>
      <c r="AF1038" s="1145">
        <f t="shared" si="299"/>
        <v>122240.81386034006</v>
      </c>
      <c r="AG1038" s="1149">
        <f>IFERROR(VLOOKUP(CONCATENATE($L1038,$N1038),'Drop List'!$G$23:$K$87,2,FALSE),0)</f>
        <v>0</v>
      </c>
      <c r="AH1038" s="1150">
        <f>IFERROR(VLOOKUP(CONCATENATE($L1038,$N1038),'Drop List'!$G$23:$K$87,3,FALSE),0)</f>
        <v>0</v>
      </c>
      <c r="AI1038" s="1150">
        <f>IFERROR(VLOOKUP(CONCATENATE($L1038,$N1038),'Drop List'!$G$23:$K$87,4,FALSE),0)</f>
        <v>0</v>
      </c>
      <c r="AJ1038" s="1151">
        <f>IFERROR(VLOOKUP(CONCATENATE($L1038,$N1038),'Drop List'!$G$23:$K$87,5,FALSE),0)</f>
        <v>0</v>
      </c>
      <c r="AK1038" s="1152">
        <f t="shared" si="300"/>
        <v>0</v>
      </c>
      <c r="AL1038" s="1153">
        <f t="shared" si="301"/>
        <v>0</v>
      </c>
      <c r="AM1038" s="1153">
        <f t="shared" si="302"/>
        <v>0</v>
      </c>
      <c r="AN1038" s="1145">
        <f t="shared" si="303"/>
        <v>0</v>
      </c>
      <c r="AO1038" s="1154">
        <f t="shared" si="304"/>
        <v>0</v>
      </c>
      <c r="AP1038" s="1147">
        <f t="shared" si="291"/>
        <v>122240.81386034006</v>
      </c>
      <c r="AQ1038" s="1144">
        <f t="shared" si="292"/>
        <v>0</v>
      </c>
      <c r="AR1038" s="1146">
        <f t="shared" si="293"/>
        <v>122240.81386034006</v>
      </c>
    </row>
    <row r="1039" spans="1:44" x14ac:dyDescent="0.2">
      <c r="A1039" s="1141" t="str">
        <f t="shared" si="288"/>
        <v>1544</v>
      </c>
      <c r="B1039" s="1141" t="str">
        <f>IFERROR(VLOOKUP(A1039,'LAC 103'!A:C,3,FALSE),"")</f>
        <v>OP</v>
      </c>
      <c r="C1039" s="1478" t="str">
        <f>Info!$B$8</f>
        <v>00100</v>
      </c>
      <c r="D1039" s="1474" t="s">
        <v>256</v>
      </c>
      <c r="E1039" s="1474" t="s">
        <v>95</v>
      </c>
      <c r="F1039" s="1478" t="s">
        <v>396</v>
      </c>
      <c r="G1039" s="1478" t="s">
        <v>396</v>
      </c>
      <c r="H1039" s="1474" t="s">
        <v>989</v>
      </c>
      <c r="I1039" s="1478" t="s">
        <v>823</v>
      </c>
      <c r="J1039" s="1478" t="s">
        <v>2000</v>
      </c>
      <c r="K1039" s="1475" t="s">
        <v>846</v>
      </c>
      <c r="L1039" s="1474" t="s">
        <v>332</v>
      </c>
      <c r="M1039" s="1476" t="s">
        <v>1698</v>
      </c>
      <c r="N1039" s="1477" t="s">
        <v>1693</v>
      </c>
      <c r="O1039" s="1479">
        <v>37611</v>
      </c>
      <c r="P1039" s="1479"/>
      <c r="Q1039" s="1142">
        <f t="shared" si="289"/>
        <v>37611</v>
      </c>
      <c r="R1039" s="1143">
        <f>IFERROR(VLOOKUP(CONCATENATE(E1039,G1039),'LAC 103'!$A$12:$O$95,11,FALSE),0)</f>
        <v>3.2074101033884355</v>
      </c>
      <c r="S1039" s="1144">
        <f>IFERROR(VLOOKUP(CONCATENATE($E1039,$G1039),'LAC 103'!$A$12:$O$95,12,FALSE),0)</f>
        <v>3.99</v>
      </c>
      <c r="T1039" s="1144">
        <f>IFERROR(VLOOKUP(CONCATENATE($E1039,$G1039),'LAC 103'!$A$12:$O$95,13,FALSE),0)</f>
        <v>2.48</v>
      </c>
      <c r="U1039" s="1144">
        <f>IFERROR(VLOOKUP(CONCATENATE($E1039,$G1039),'LAC 103'!$A$12:$O$95,14,FALSE),0)</f>
        <v>0</v>
      </c>
      <c r="V1039" s="1144">
        <f>IFERROR(VLOOKUP(CONCATENATE($E1039,$G1039),'LAC 103'!$A$12:$O$95,15,FALSE),0)</f>
        <v>0</v>
      </c>
      <c r="W1039" s="1145" t="str">
        <f>IFERROR(VLOOKUP(CONCATENATE($B1039,$N1039),'LAC 103'!$AI:$AQ,9,FALSE),"")</f>
        <v>Costs</v>
      </c>
      <c r="X1039" s="1146">
        <f t="shared" si="294"/>
        <v>3.2074101033884355</v>
      </c>
      <c r="Y1039" s="1143">
        <f t="shared" si="305"/>
        <v>120633.90139854244</v>
      </c>
      <c r="Z1039" s="1147">
        <f t="shared" si="295"/>
        <v>150067.89000000001</v>
      </c>
      <c r="AA1039" s="1144">
        <f t="shared" si="296"/>
        <v>93275.28</v>
      </c>
      <c r="AB1039" s="1144">
        <f t="shared" si="297"/>
        <v>0</v>
      </c>
      <c r="AC1039" s="1144">
        <f t="shared" si="298"/>
        <v>0</v>
      </c>
      <c r="AD1039" s="1148">
        <f t="shared" si="290"/>
        <v>120633.90139854244</v>
      </c>
      <c r="AE1039" s="1487">
        <v>0</v>
      </c>
      <c r="AF1039" s="1145">
        <f t="shared" si="299"/>
        <v>120633.90139854244</v>
      </c>
      <c r="AG1039" s="1149">
        <f>IFERROR(VLOOKUP(CONCATENATE($L1039,$N1039),'Drop List'!$G$23:$K$87,2,FALSE),0)</f>
        <v>0</v>
      </c>
      <c r="AH1039" s="1150">
        <f>IFERROR(VLOOKUP(CONCATENATE($L1039,$N1039),'Drop List'!$G$23:$K$87,3,FALSE),0)</f>
        <v>0</v>
      </c>
      <c r="AI1039" s="1150">
        <f>IFERROR(VLOOKUP(CONCATENATE($L1039,$N1039),'Drop List'!$G$23:$K$87,4,FALSE),0)</f>
        <v>0</v>
      </c>
      <c r="AJ1039" s="1151">
        <f>IFERROR(VLOOKUP(CONCATENATE($L1039,$N1039),'Drop List'!$G$23:$K$87,5,FALSE),0)</f>
        <v>0</v>
      </c>
      <c r="AK1039" s="1152">
        <f t="shared" si="300"/>
        <v>0</v>
      </c>
      <c r="AL1039" s="1153">
        <f t="shared" si="301"/>
        <v>0</v>
      </c>
      <c r="AM1039" s="1153">
        <f t="shared" si="302"/>
        <v>0</v>
      </c>
      <c r="AN1039" s="1145">
        <f t="shared" si="303"/>
        <v>0</v>
      </c>
      <c r="AO1039" s="1154">
        <f t="shared" si="304"/>
        <v>0</v>
      </c>
      <c r="AP1039" s="1147">
        <f t="shared" si="291"/>
        <v>120633.90139854244</v>
      </c>
      <c r="AQ1039" s="1144">
        <f t="shared" si="292"/>
        <v>0</v>
      </c>
      <c r="AR1039" s="1146">
        <f t="shared" si="293"/>
        <v>120633.90139854244</v>
      </c>
    </row>
    <row r="1040" spans="1:44" x14ac:dyDescent="0.2">
      <c r="A1040" s="1141" t="str">
        <f t="shared" si="288"/>
        <v>1544</v>
      </c>
      <c r="B1040" s="1141" t="str">
        <f>IFERROR(VLOOKUP(A1040,'LAC 103'!A:C,3,FALSE),"")</f>
        <v>OP</v>
      </c>
      <c r="C1040" s="1478" t="str">
        <f>Info!$B$8</f>
        <v>00100</v>
      </c>
      <c r="D1040" s="1474" t="s">
        <v>256</v>
      </c>
      <c r="E1040" s="1474" t="s">
        <v>95</v>
      </c>
      <c r="F1040" s="1478" t="s">
        <v>396</v>
      </c>
      <c r="G1040" s="1478" t="s">
        <v>396</v>
      </c>
      <c r="H1040" s="1474" t="s">
        <v>989</v>
      </c>
      <c r="I1040" s="1478" t="s">
        <v>823</v>
      </c>
      <c r="J1040" s="1478" t="s">
        <v>2001</v>
      </c>
      <c r="K1040" s="1475" t="s">
        <v>846</v>
      </c>
      <c r="L1040" s="1474" t="s">
        <v>332</v>
      </c>
      <c r="M1040" s="1476" t="s">
        <v>1699</v>
      </c>
      <c r="N1040" s="1477" t="s">
        <v>1694</v>
      </c>
      <c r="O1040" s="1479">
        <v>22673</v>
      </c>
      <c r="P1040" s="1479"/>
      <c r="Q1040" s="1142">
        <f t="shared" si="289"/>
        <v>22673</v>
      </c>
      <c r="R1040" s="1143">
        <f>IFERROR(VLOOKUP(CONCATENATE(E1040,G1040),'LAC 103'!$A$12:$O$95,11,FALSE),0)</f>
        <v>3.2074101033884355</v>
      </c>
      <c r="S1040" s="1144">
        <f>IFERROR(VLOOKUP(CONCATENATE($E1040,$G1040),'LAC 103'!$A$12:$O$95,12,FALSE),0)</f>
        <v>3.99</v>
      </c>
      <c r="T1040" s="1144">
        <f>IFERROR(VLOOKUP(CONCATENATE($E1040,$G1040),'LAC 103'!$A$12:$O$95,13,FALSE),0)</f>
        <v>2.48</v>
      </c>
      <c r="U1040" s="1144">
        <f>IFERROR(VLOOKUP(CONCATENATE($E1040,$G1040),'LAC 103'!$A$12:$O$95,14,FALSE),0)</f>
        <v>0</v>
      </c>
      <c r="V1040" s="1144">
        <f>IFERROR(VLOOKUP(CONCATENATE($E1040,$G1040),'LAC 103'!$A$12:$O$95,15,FALSE),0)</f>
        <v>0</v>
      </c>
      <c r="W1040" s="1145" t="str">
        <f>IFERROR(VLOOKUP(CONCATENATE($B1040,$N1040),'LAC 103'!$AI:$AQ,9,FALSE),"")</f>
        <v>Costs</v>
      </c>
      <c r="X1040" s="1146">
        <f t="shared" si="294"/>
        <v>3.2074101033884355</v>
      </c>
      <c r="Y1040" s="1143">
        <f t="shared" si="305"/>
        <v>72721.609274125993</v>
      </c>
      <c r="Z1040" s="1147">
        <f t="shared" si="295"/>
        <v>90465.27</v>
      </c>
      <c r="AA1040" s="1144">
        <f t="shared" si="296"/>
        <v>56229.04</v>
      </c>
      <c r="AB1040" s="1144">
        <f t="shared" si="297"/>
        <v>0</v>
      </c>
      <c r="AC1040" s="1144">
        <f t="shared" si="298"/>
        <v>0</v>
      </c>
      <c r="AD1040" s="1148">
        <f t="shared" si="290"/>
        <v>72721.609274125993</v>
      </c>
      <c r="AE1040" s="1487">
        <v>0</v>
      </c>
      <c r="AF1040" s="1145">
        <f t="shared" si="299"/>
        <v>72721.609274125993</v>
      </c>
      <c r="AG1040" s="1149">
        <f>IFERROR(VLOOKUP(CONCATENATE($L1040,$N1040),'Drop List'!$G$23:$K$87,2,FALSE),0)</f>
        <v>0</v>
      </c>
      <c r="AH1040" s="1150">
        <f>IFERROR(VLOOKUP(CONCATENATE($L1040,$N1040),'Drop List'!$G$23:$K$87,3,FALSE),0)</f>
        <v>0</v>
      </c>
      <c r="AI1040" s="1150">
        <f>IFERROR(VLOOKUP(CONCATENATE($L1040,$N1040),'Drop List'!$G$23:$K$87,4,FALSE),0)</f>
        <v>0</v>
      </c>
      <c r="AJ1040" s="1151">
        <f>IFERROR(VLOOKUP(CONCATENATE($L1040,$N1040),'Drop List'!$G$23:$K$87,5,FALSE),0)</f>
        <v>0</v>
      </c>
      <c r="AK1040" s="1152">
        <f t="shared" si="300"/>
        <v>0</v>
      </c>
      <c r="AL1040" s="1153">
        <f t="shared" si="301"/>
        <v>0</v>
      </c>
      <c r="AM1040" s="1153">
        <f t="shared" si="302"/>
        <v>0</v>
      </c>
      <c r="AN1040" s="1145">
        <f t="shared" si="303"/>
        <v>0</v>
      </c>
      <c r="AO1040" s="1154">
        <f t="shared" si="304"/>
        <v>0</v>
      </c>
      <c r="AP1040" s="1147">
        <f t="shared" si="291"/>
        <v>72721.609274125993</v>
      </c>
      <c r="AQ1040" s="1144">
        <f t="shared" si="292"/>
        <v>0</v>
      </c>
      <c r="AR1040" s="1146">
        <f t="shared" si="293"/>
        <v>72721.609274125993</v>
      </c>
    </row>
    <row r="1041" spans="1:44" x14ac:dyDescent="0.2">
      <c r="A1041" s="1141" t="str">
        <f t="shared" si="288"/>
        <v>1544</v>
      </c>
      <c r="B1041" s="1141" t="str">
        <f>IFERROR(VLOOKUP(A1041,'LAC 103'!A:C,3,FALSE),"")</f>
        <v>OP</v>
      </c>
      <c r="C1041" s="1478" t="str">
        <f>Info!$B$8</f>
        <v>00100</v>
      </c>
      <c r="D1041" s="1474" t="s">
        <v>256</v>
      </c>
      <c r="E1041" s="1474" t="s">
        <v>95</v>
      </c>
      <c r="F1041" s="1478" t="s">
        <v>396</v>
      </c>
      <c r="G1041" s="1478" t="s">
        <v>396</v>
      </c>
      <c r="H1041" s="1474" t="s">
        <v>989</v>
      </c>
      <c r="I1041" s="1478" t="s">
        <v>823</v>
      </c>
      <c r="J1041" s="1478" t="s">
        <v>2001</v>
      </c>
      <c r="K1041" s="1475" t="s">
        <v>846</v>
      </c>
      <c r="L1041" s="1474" t="s">
        <v>332</v>
      </c>
      <c r="M1041" s="1476" t="s">
        <v>841</v>
      </c>
      <c r="N1041" s="1477" t="s">
        <v>1695</v>
      </c>
      <c r="O1041" s="1479">
        <v>11230</v>
      </c>
      <c r="P1041" s="1479"/>
      <c r="Q1041" s="1142">
        <f t="shared" si="289"/>
        <v>11230</v>
      </c>
      <c r="R1041" s="1143">
        <f>IFERROR(VLOOKUP(CONCATENATE(E1041,G1041),'LAC 103'!$A$12:$O$95,11,FALSE),0)</f>
        <v>3.2074101033884355</v>
      </c>
      <c r="S1041" s="1144">
        <f>IFERROR(VLOOKUP(CONCATENATE($E1041,$G1041),'LAC 103'!$A$12:$O$95,12,FALSE),0)</f>
        <v>3.99</v>
      </c>
      <c r="T1041" s="1144">
        <f>IFERROR(VLOOKUP(CONCATENATE($E1041,$G1041),'LAC 103'!$A$12:$O$95,13,FALSE),0)</f>
        <v>2.48</v>
      </c>
      <c r="U1041" s="1144">
        <f>IFERROR(VLOOKUP(CONCATENATE($E1041,$G1041),'LAC 103'!$A$12:$O$95,14,FALSE),0)</f>
        <v>0</v>
      </c>
      <c r="V1041" s="1144">
        <f>IFERROR(VLOOKUP(CONCATENATE($E1041,$G1041),'LAC 103'!$A$12:$O$95,15,FALSE),0)</f>
        <v>0</v>
      </c>
      <c r="W1041" s="1145" t="str">
        <f>IFERROR(VLOOKUP(CONCATENATE($B1041,$N1041),'LAC 103'!$AI:$AQ,9,FALSE),"")</f>
        <v>Costs</v>
      </c>
      <c r="X1041" s="1146">
        <f t="shared" si="294"/>
        <v>3.2074101033884355</v>
      </c>
      <c r="Y1041" s="1143">
        <f t="shared" si="305"/>
        <v>36019.215461052132</v>
      </c>
      <c r="Z1041" s="1147">
        <f t="shared" si="295"/>
        <v>44807.700000000004</v>
      </c>
      <c r="AA1041" s="1144">
        <f t="shared" si="296"/>
        <v>27850.400000000001</v>
      </c>
      <c r="AB1041" s="1144">
        <f t="shared" si="297"/>
        <v>0</v>
      </c>
      <c r="AC1041" s="1144">
        <f t="shared" si="298"/>
        <v>0</v>
      </c>
      <c r="AD1041" s="1148">
        <f t="shared" si="290"/>
        <v>36019.215461052132</v>
      </c>
      <c r="AE1041" s="1487">
        <v>0</v>
      </c>
      <c r="AF1041" s="1145">
        <f t="shared" si="299"/>
        <v>36019.215461052132</v>
      </c>
      <c r="AG1041" s="1149">
        <f>IFERROR(VLOOKUP(CONCATENATE($L1041,$N1041),'Drop List'!$G$23:$K$87,2,FALSE),0)</f>
        <v>0</v>
      </c>
      <c r="AH1041" s="1150">
        <f>IFERROR(VLOOKUP(CONCATENATE($L1041,$N1041),'Drop List'!$G$23:$K$87,3,FALSE),0)</f>
        <v>0</v>
      </c>
      <c r="AI1041" s="1150">
        <f>IFERROR(VLOOKUP(CONCATENATE($L1041,$N1041),'Drop List'!$G$23:$K$87,4,FALSE),0)</f>
        <v>0</v>
      </c>
      <c r="AJ1041" s="1151">
        <f>IFERROR(VLOOKUP(CONCATENATE($L1041,$N1041),'Drop List'!$G$23:$K$87,5,FALSE),0)</f>
        <v>0</v>
      </c>
      <c r="AK1041" s="1152">
        <f t="shared" si="300"/>
        <v>0</v>
      </c>
      <c r="AL1041" s="1153">
        <f t="shared" si="301"/>
        <v>0</v>
      </c>
      <c r="AM1041" s="1153">
        <f t="shared" si="302"/>
        <v>0</v>
      </c>
      <c r="AN1041" s="1145">
        <f t="shared" si="303"/>
        <v>0</v>
      </c>
      <c r="AO1041" s="1154">
        <f t="shared" si="304"/>
        <v>0</v>
      </c>
      <c r="AP1041" s="1147">
        <f t="shared" si="291"/>
        <v>36019.215461052132</v>
      </c>
      <c r="AQ1041" s="1144">
        <f t="shared" si="292"/>
        <v>0</v>
      </c>
      <c r="AR1041" s="1146">
        <f t="shared" si="293"/>
        <v>36019.215461052132</v>
      </c>
    </row>
    <row r="1042" spans="1:44" x14ac:dyDescent="0.2">
      <c r="A1042" s="1141" t="str">
        <f t="shared" si="288"/>
        <v>1544</v>
      </c>
      <c r="B1042" s="1141" t="str">
        <f>IFERROR(VLOOKUP(A1042,'LAC 103'!A:C,3,FALSE),"")</f>
        <v>OP</v>
      </c>
      <c r="C1042" s="1478" t="str">
        <f>Info!$B$8</f>
        <v>00100</v>
      </c>
      <c r="D1042" s="1474" t="s">
        <v>256</v>
      </c>
      <c r="E1042" s="1474" t="s">
        <v>95</v>
      </c>
      <c r="F1042" s="1478" t="s">
        <v>396</v>
      </c>
      <c r="G1042" s="1478" t="s">
        <v>396</v>
      </c>
      <c r="H1042" s="1474" t="s">
        <v>989</v>
      </c>
      <c r="I1042" s="1478" t="s">
        <v>823</v>
      </c>
      <c r="J1042" s="1478" t="s">
        <v>2001</v>
      </c>
      <c r="K1042" s="1475" t="s">
        <v>846</v>
      </c>
      <c r="L1042" s="1474" t="s">
        <v>332</v>
      </c>
      <c r="M1042" s="1476" t="s">
        <v>840</v>
      </c>
      <c r="N1042" s="1477" t="s">
        <v>1700</v>
      </c>
      <c r="O1042" s="1479">
        <v>14192</v>
      </c>
      <c r="P1042" s="1479"/>
      <c r="Q1042" s="1142">
        <f t="shared" si="289"/>
        <v>14192</v>
      </c>
      <c r="R1042" s="1143">
        <f>IFERROR(VLOOKUP(CONCATENATE(E1042,G1042),'LAC 103'!$A$12:$O$95,11,FALSE),0)</f>
        <v>3.2074101033884355</v>
      </c>
      <c r="S1042" s="1144">
        <f>IFERROR(VLOOKUP(CONCATENATE($E1042,$G1042),'LAC 103'!$A$12:$O$95,12,FALSE),0)</f>
        <v>3.99</v>
      </c>
      <c r="T1042" s="1144">
        <f>IFERROR(VLOOKUP(CONCATENATE($E1042,$G1042),'LAC 103'!$A$12:$O$95,13,FALSE),0)</f>
        <v>2.48</v>
      </c>
      <c r="U1042" s="1144">
        <f>IFERROR(VLOOKUP(CONCATENATE($E1042,$G1042),'LAC 103'!$A$12:$O$95,14,FALSE),0)</f>
        <v>0</v>
      </c>
      <c r="V1042" s="1144">
        <f>IFERROR(VLOOKUP(CONCATENATE($E1042,$G1042),'LAC 103'!$A$12:$O$95,15,FALSE),0)</f>
        <v>0</v>
      </c>
      <c r="W1042" s="1145" t="str">
        <f>IFERROR(VLOOKUP(CONCATENATE($B1042,$N1042),'LAC 103'!$AI:$AQ,9,FALSE),"")</f>
        <v>P.C.</v>
      </c>
      <c r="X1042" s="1146">
        <f t="shared" si="294"/>
        <v>2.48</v>
      </c>
      <c r="Y1042" s="1143">
        <f t="shared" si="305"/>
        <v>45519.564187288677</v>
      </c>
      <c r="Z1042" s="1147">
        <f t="shared" si="295"/>
        <v>56626.080000000002</v>
      </c>
      <c r="AA1042" s="1144">
        <f t="shared" si="296"/>
        <v>35196.159999999996</v>
      </c>
      <c r="AB1042" s="1144">
        <f t="shared" si="297"/>
        <v>0</v>
      </c>
      <c r="AC1042" s="1144">
        <f t="shared" si="298"/>
        <v>0</v>
      </c>
      <c r="AD1042" s="1148">
        <f t="shared" si="290"/>
        <v>35196.159999999996</v>
      </c>
      <c r="AE1042" s="1487">
        <v>0</v>
      </c>
      <c r="AF1042" s="1145">
        <f t="shared" si="299"/>
        <v>35196.159999999996</v>
      </c>
      <c r="AG1042" s="1149">
        <f>IFERROR(VLOOKUP(CONCATENATE($L1042,$N1042),'Drop List'!$G$23:$K$87,2,FALSE),0)</f>
        <v>0</v>
      </c>
      <c r="AH1042" s="1150">
        <f>IFERROR(VLOOKUP(CONCATENATE($L1042,$N1042),'Drop List'!$G$23:$K$87,3,FALSE),0)</f>
        <v>0</v>
      </c>
      <c r="AI1042" s="1150">
        <f>IFERROR(VLOOKUP(CONCATENATE($L1042,$N1042),'Drop List'!$G$23:$K$87,4,FALSE),0)</f>
        <v>0</v>
      </c>
      <c r="AJ1042" s="1151">
        <f>IFERROR(VLOOKUP(CONCATENATE($L1042,$N1042),'Drop List'!$G$23:$K$87,5,FALSE),0)</f>
        <v>0</v>
      </c>
      <c r="AK1042" s="1152">
        <f t="shared" si="300"/>
        <v>0</v>
      </c>
      <c r="AL1042" s="1153">
        <f t="shared" si="301"/>
        <v>0</v>
      </c>
      <c r="AM1042" s="1153">
        <f t="shared" si="302"/>
        <v>0</v>
      </c>
      <c r="AN1042" s="1145">
        <f t="shared" si="303"/>
        <v>0</v>
      </c>
      <c r="AO1042" s="1154">
        <f t="shared" si="304"/>
        <v>0</v>
      </c>
      <c r="AP1042" s="1147">
        <f t="shared" si="291"/>
        <v>35196.159999999996</v>
      </c>
      <c r="AQ1042" s="1144">
        <f t="shared" si="292"/>
        <v>0</v>
      </c>
      <c r="AR1042" s="1146">
        <f t="shared" si="293"/>
        <v>35196.159999999996</v>
      </c>
    </row>
    <row r="1043" spans="1:44" x14ac:dyDescent="0.2">
      <c r="A1043" s="1141" t="str">
        <f t="shared" si="288"/>
        <v>1544</v>
      </c>
      <c r="B1043" s="1141" t="str">
        <f>IFERROR(VLOOKUP(A1043,'LAC 103'!A:C,3,FALSE),"")</f>
        <v>OP</v>
      </c>
      <c r="C1043" s="1478" t="str">
        <f>Info!$B$8</f>
        <v>00100</v>
      </c>
      <c r="D1043" s="1474" t="s">
        <v>256</v>
      </c>
      <c r="E1043" s="1474" t="s">
        <v>95</v>
      </c>
      <c r="F1043" s="1478" t="s">
        <v>396</v>
      </c>
      <c r="G1043" s="1478" t="s">
        <v>396</v>
      </c>
      <c r="H1043" s="1474" t="s">
        <v>989</v>
      </c>
      <c r="I1043" s="1478" t="s">
        <v>823</v>
      </c>
      <c r="J1043" s="1478" t="s">
        <v>2001</v>
      </c>
      <c r="K1043" s="1475" t="s">
        <v>846</v>
      </c>
      <c r="L1043" s="1474" t="s">
        <v>332</v>
      </c>
      <c r="M1043" s="1476" t="s">
        <v>842</v>
      </c>
      <c r="N1043" s="1477" t="s">
        <v>1692</v>
      </c>
      <c r="O1043" s="1479">
        <v>28961</v>
      </c>
      <c r="P1043" s="1479"/>
      <c r="Q1043" s="1142">
        <f t="shared" si="289"/>
        <v>28961</v>
      </c>
      <c r="R1043" s="1143">
        <f>IFERROR(VLOOKUP(CONCATENATE(E1043,G1043),'LAC 103'!$A$12:$O$95,11,FALSE),0)</f>
        <v>3.2074101033884355</v>
      </c>
      <c r="S1043" s="1144">
        <f>IFERROR(VLOOKUP(CONCATENATE($E1043,$G1043),'LAC 103'!$A$12:$O$95,12,FALSE),0)</f>
        <v>3.99</v>
      </c>
      <c r="T1043" s="1144">
        <f>IFERROR(VLOOKUP(CONCATENATE($E1043,$G1043),'LAC 103'!$A$12:$O$95,13,FALSE),0)</f>
        <v>2.48</v>
      </c>
      <c r="U1043" s="1144">
        <f>IFERROR(VLOOKUP(CONCATENATE($E1043,$G1043),'LAC 103'!$A$12:$O$95,14,FALSE),0)</f>
        <v>0</v>
      </c>
      <c r="V1043" s="1144">
        <f>IFERROR(VLOOKUP(CONCATENATE($E1043,$G1043),'LAC 103'!$A$12:$O$95,15,FALSE),0)</f>
        <v>0</v>
      </c>
      <c r="W1043" s="1145" t="str">
        <f>IFERROR(VLOOKUP(CONCATENATE($B1043,$N1043),'LAC 103'!$AI:$AQ,9,FALSE),"")</f>
        <v>Costs</v>
      </c>
      <c r="X1043" s="1146">
        <f t="shared" si="294"/>
        <v>3.2074101033884355</v>
      </c>
      <c r="Y1043" s="1143">
        <f t="shared" si="305"/>
        <v>92889.804004232486</v>
      </c>
      <c r="Z1043" s="1147">
        <f t="shared" si="295"/>
        <v>115554.39</v>
      </c>
      <c r="AA1043" s="1144">
        <f t="shared" si="296"/>
        <v>71823.28</v>
      </c>
      <c r="AB1043" s="1144">
        <f t="shared" si="297"/>
        <v>0</v>
      </c>
      <c r="AC1043" s="1144">
        <f t="shared" si="298"/>
        <v>0</v>
      </c>
      <c r="AD1043" s="1148">
        <f t="shared" si="290"/>
        <v>92889.804004232486</v>
      </c>
      <c r="AE1043" s="1487">
        <v>0</v>
      </c>
      <c r="AF1043" s="1145">
        <f t="shared" si="299"/>
        <v>92889.804004232486</v>
      </c>
      <c r="AG1043" s="1149">
        <f>IFERROR(VLOOKUP(CONCATENATE($L1043,$N1043),'Drop List'!$G$23:$K$87,2,FALSE),0)</f>
        <v>0</v>
      </c>
      <c r="AH1043" s="1150">
        <f>IFERROR(VLOOKUP(CONCATENATE($L1043,$N1043),'Drop List'!$G$23:$K$87,3,FALSE),0)</f>
        <v>0</v>
      </c>
      <c r="AI1043" s="1150">
        <f>IFERROR(VLOOKUP(CONCATENATE($L1043,$N1043),'Drop List'!$G$23:$K$87,4,FALSE),0)</f>
        <v>0</v>
      </c>
      <c r="AJ1043" s="1151">
        <f>IFERROR(VLOOKUP(CONCATENATE($L1043,$N1043),'Drop List'!$G$23:$K$87,5,FALSE),0)</f>
        <v>0</v>
      </c>
      <c r="AK1043" s="1152">
        <f t="shared" si="300"/>
        <v>0</v>
      </c>
      <c r="AL1043" s="1153">
        <f t="shared" si="301"/>
        <v>0</v>
      </c>
      <c r="AM1043" s="1153">
        <f t="shared" si="302"/>
        <v>0</v>
      </c>
      <c r="AN1043" s="1145">
        <f t="shared" si="303"/>
        <v>0</v>
      </c>
      <c r="AO1043" s="1154">
        <f t="shared" si="304"/>
        <v>0</v>
      </c>
      <c r="AP1043" s="1147">
        <f t="shared" si="291"/>
        <v>92889.804004232486</v>
      </c>
      <c r="AQ1043" s="1144">
        <f t="shared" si="292"/>
        <v>0</v>
      </c>
      <c r="AR1043" s="1146">
        <f t="shared" si="293"/>
        <v>92889.804004232486</v>
      </c>
    </row>
    <row r="1044" spans="1:44" x14ac:dyDescent="0.2">
      <c r="A1044" s="1141" t="str">
        <f t="shared" si="288"/>
        <v>1544</v>
      </c>
      <c r="B1044" s="1141" t="str">
        <f>IFERROR(VLOOKUP(A1044,'LAC 103'!A:C,3,FALSE),"")</f>
        <v>OP</v>
      </c>
      <c r="C1044" s="1478" t="str">
        <f>Info!$B$8</f>
        <v>00100</v>
      </c>
      <c r="D1044" s="1474" t="s">
        <v>256</v>
      </c>
      <c r="E1044" s="1474" t="s">
        <v>95</v>
      </c>
      <c r="F1044" s="1478" t="s">
        <v>396</v>
      </c>
      <c r="G1044" s="1478" t="s">
        <v>396</v>
      </c>
      <c r="H1044" s="1474" t="s">
        <v>989</v>
      </c>
      <c r="I1044" s="1478" t="s">
        <v>823</v>
      </c>
      <c r="J1044" s="1478" t="s">
        <v>2001</v>
      </c>
      <c r="K1044" s="1475" t="s">
        <v>846</v>
      </c>
      <c r="L1044" s="1474" t="s">
        <v>332</v>
      </c>
      <c r="M1044" s="1476" t="s">
        <v>1698</v>
      </c>
      <c r="N1044" s="1477" t="s">
        <v>1693</v>
      </c>
      <c r="O1044" s="1479">
        <v>23610</v>
      </c>
      <c r="P1044" s="1479"/>
      <c r="Q1044" s="1142">
        <f t="shared" si="289"/>
        <v>23610</v>
      </c>
      <c r="R1044" s="1143">
        <f>IFERROR(VLOOKUP(CONCATENATE(E1044,G1044),'LAC 103'!$A$12:$O$95,11,FALSE),0)</f>
        <v>3.2074101033884355</v>
      </c>
      <c r="S1044" s="1144">
        <f>IFERROR(VLOOKUP(CONCATENATE($E1044,$G1044),'LAC 103'!$A$12:$O$95,12,FALSE),0)</f>
        <v>3.99</v>
      </c>
      <c r="T1044" s="1144">
        <f>IFERROR(VLOOKUP(CONCATENATE($E1044,$G1044),'LAC 103'!$A$12:$O$95,13,FALSE),0)</f>
        <v>2.48</v>
      </c>
      <c r="U1044" s="1144">
        <f>IFERROR(VLOOKUP(CONCATENATE($E1044,$G1044),'LAC 103'!$A$12:$O$95,14,FALSE),0)</f>
        <v>0</v>
      </c>
      <c r="V1044" s="1144">
        <f>IFERROR(VLOOKUP(CONCATENATE($E1044,$G1044),'LAC 103'!$A$12:$O$95,15,FALSE),0)</f>
        <v>0</v>
      </c>
      <c r="W1044" s="1145" t="str">
        <f>IFERROR(VLOOKUP(CONCATENATE($B1044,$N1044),'LAC 103'!$AI:$AQ,9,FALSE),"")</f>
        <v>Costs</v>
      </c>
      <c r="X1044" s="1146">
        <f t="shared" si="294"/>
        <v>3.2074101033884355</v>
      </c>
      <c r="Y1044" s="1143">
        <f t="shared" si="305"/>
        <v>75726.952541000966</v>
      </c>
      <c r="Z1044" s="1147">
        <f t="shared" si="295"/>
        <v>94203.900000000009</v>
      </c>
      <c r="AA1044" s="1144">
        <f t="shared" si="296"/>
        <v>58552.800000000003</v>
      </c>
      <c r="AB1044" s="1144">
        <f t="shared" si="297"/>
        <v>0</v>
      </c>
      <c r="AC1044" s="1144">
        <f t="shared" si="298"/>
        <v>0</v>
      </c>
      <c r="AD1044" s="1148">
        <f t="shared" si="290"/>
        <v>75726.952541000966</v>
      </c>
      <c r="AE1044" s="1487">
        <v>0</v>
      </c>
      <c r="AF1044" s="1145">
        <f t="shared" si="299"/>
        <v>75726.952541000966</v>
      </c>
      <c r="AG1044" s="1149">
        <f>IFERROR(VLOOKUP(CONCATENATE($L1044,$N1044),'Drop List'!$G$23:$K$87,2,FALSE),0)</f>
        <v>0</v>
      </c>
      <c r="AH1044" s="1150">
        <f>IFERROR(VLOOKUP(CONCATENATE($L1044,$N1044),'Drop List'!$G$23:$K$87,3,FALSE),0)</f>
        <v>0</v>
      </c>
      <c r="AI1044" s="1150">
        <f>IFERROR(VLOOKUP(CONCATENATE($L1044,$N1044),'Drop List'!$G$23:$K$87,4,FALSE),0)</f>
        <v>0</v>
      </c>
      <c r="AJ1044" s="1151">
        <f>IFERROR(VLOOKUP(CONCATENATE($L1044,$N1044),'Drop List'!$G$23:$K$87,5,FALSE),0)</f>
        <v>0</v>
      </c>
      <c r="AK1044" s="1152">
        <f t="shared" si="300"/>
        <v>0</v>
      </c>
      <c r="AL1044" s="1153">
        <f t="shared" si="301"/>
        <v>0</v>
      </c>
      <c r="AM1044" s="1153">
        <f t="shared" si="302"/>
        <v>0</v>
      </c>
      <c r="AN1044" s="1145">
        <f t="shared" si="303"/>
        <v>0</v>
      </c>
      <c r="AO1044" s="1154">
        <f t="shared" si="304"/>
        <v>0</v>
      </c>
      <c r="AP1044" s="1147">
        <f t="shared" si="291"/>
        <v>75726.952541000966</v>
      </c>
      <c r="AQ1044" s="1144">
        <f t="shared" si="292"/>
        <v>0</v>
      </c>
      <c r="AR1044" s="1146">
        <f t="shared" si="293"/>
        <v>75726.952541000966</v>
      </c>
    </row>
    <row r="1045" spans="1:44" x14ac:dyDescent="0.2">
      <c r="A1045" s="1141" t="str">
        <f t="shared" si="288"/>
        <v>1544</v>
      </c>
      <c r="B1045" s="1141" t="str">
        <f>IFERROR(VLOOKUP(A1045,'LAC 103'!A:C,3,FALSE),"")</f>
        <v>OP</v>
      </c>
      <c r="C1045" s="1478" t="str">
        <f>Info!$B$8</f>
        <v>00100</v>
      </c>
      <c r="D1045" s="1474" t="s">
        <v>256</v>
      </c>
      <c r="E1045" s="1474" t="s">
        <v>95</v>
      </c>
      <c r="F1045" s="1478" t="s">
        <v>396</v>
      </c>
      <c r="G1045" s="1478" t="s">
        <v>396</v>
      </c>
      <c r="H1045" s="1474" t="s">
        <v>1664</v>
      </c>
      <c r="I1045" s="1478" t="s">
        <v>927</v>
      </c>
      <c r="J1045" s="1478" t="s">
        <v>123</v>
      </c>
      <c r="K1045" s="1475" t="s">
        <v>846</v>
      </c>
      <c r="L1045" s="1474" t="s">
        <v>332</v>
      </c>
      <c r="M1045" s="1476" t="s">
        <v>1699</v>
      </c>
      <c r="N1045" s="1477" t="s">
        <v>1694</v>
      </c>
      <c r="O1045" s="1479">
        <v>5005</v>
      </c>
      <c r="P1045" s="1479"/>
      <c r="Q1045" s="1142">
        <f t="shared" si="289"/>
        <v>5005</v>
      </c>
      <c r="R1045" s="1143">
        <f>IFERROR(VLOOKUP(CONCATENATE(E1045,G1045),'LAC 103'!$A$12:$O$95,11,FALSE),0)</f>
        <v>3.2074101033884355</v>
      </c>
      <c r="S1045" s="1144">
        <f>IFERROR(VLOOKUP(CONCATENATE($E1045,$G1045),'LAC 103'!$A$12:$O$95,12,FALSE),0)</f>
        <v>3.99</v>
      </c>
      <c r="T1045" s="1144">
        <f>IFERROR(VLOOKUP(CONCATENATE($E1045,$G1045),'LAC 103'!$A$12:$O$95,13,FALSE),0)</f>
        <v>2.48</v>
      </c>
      <c r="U1045" s="1144">
        <f>IFERROR(VLOOKUP(CONCATENATE($E1045,$G1045),'LAC 103'!$A$12:$O$95,14,FALSE),0)</f>
        <v>0</v>
      </c>
      <c r="V1045" s="1144">
        <f>IFERROR(VLOOKUP(CONCATENATE($E1045,$G1045),'LAC 103'!$A$12:$O$95,15,FALSE),0)</f>
        <v>0</v>
      </c>
      <c r="W1045" s="1145" t="str">
        <f>IFERROR(VLOOKUP(CONCATENATE($B1045,$N1045),'LAC 103'!$AI:$AQ,9,FALSE),"")</f>
        <v>Costs</v>
      </c>
      <c r="X1045" s="1146">
        <f t="shared" si="294"/>
        <v>3.2074101033884355</v>
      </c>
      <c r="Y1045" s="1143">
        <f t="shared" si="305"/>
        <v>16053.087567459119</v>
      </c>
      <c r="Z1045" s="1147">
        <f t="shared" si="295"/>
        <v>19969.95</v>
      </c>
      <c r="AA1045" s="1144">
        <f t="shared" si="296"/>
        <v>12412.4</v>
      </c>
      <c r="AB1045" s="1144">
        <f t="shared" si="297"/>
        <v>0</v>
      </c>
      <c r="AC1045" s="1144">
        <f t="shared" si="298"/>
        <v>0</v>
      </c>
      <c r="AD1045" s="1148">
        <f t="shared" si="290"/>
        <v>16053.087567459119</v>
      </c>
      <c r="AE1045" s="1487">
        <v>0</v>
      </c>
      <c r="AF1045" s="1145">
        <f t="shared" si="299"/>
        <v>16053.087567459119</v>
      </c>
      <c r="AG1045" s="1149">
        <f>IFERROR(VLOOKUP(CONCATENATE($L1045,$N1045),'Drop List'!$G$23:$K$87,2,FALSE),0)</f>
        <v>0</v>
      </c>
      <c r="AH1045" s="1150">
        <f>IFERROR(VLOOKUP(CONCATENATE($L1045,$N1045),'Drop List'!$G$23:$K$87,3,FALSE),0)</f>
        <v>0</v>
      </c>
      <c r="AI1045" s="1150">
        <f>IFERROR(VLOOKUP(CONCATENATE($L1045,$N1045),'Drop List'!$G$23:$K$87,4,FALSE),0)</f>
        <v>0</v>
      </c>
      <c r="AJ1045" s="1151">
        <f>IFERROR(VLOOKUP(CONCATENATE($L1045,$N1045),'Drop List'!$G$23:$K$87,5,FALSE),0)</f>
        <v>0</v>
      </c>
      <c r="AK1045" s="1152">
        <f t="shared" si="300"/>
        <v>0</v>
      </c>
      <c r="AL1045" s="1153">
        <f t="shared" si="301"/>
        <v>0</v>
      </c>
      <c r="AM1045" s="1153">
        <f t="shared" si="302"/>
        <v>0</v>
      </c>
      <c r="AN1045" s="1145">
        <f t="shared" si="303"/>
        <v>0</v>
      </c>
      <c r="AO1045" s="1154">
        <f t="shared" si="304"/>
        <v>0</v>
      </c>
      <c r="AP1045" s="1147">
        <f t="shared" si="291"/>
        <v>16053.087567459119</v>
      </c>
      <c r="AQ1045" s="1144">
        <f t="shared" si="292"/>
        <v>0</v>
      </c>
      <c r="AR1045" s="1146">
        <f t="shared" si="293"/>
        <v>16053.087567459119</v>
      </c>
    </row>
    <row r="1046" spans="1:44" x14ac:dyDescent="0.2">
      <c r="A1046" s="1141" t="str">
        <f t="shared" ref="A1046:A1109" si="306">IF(CONCATENATE(E1046,G1046)="","",CONCATENATE(E1046,G1046))</f>
        <v>1544</v>
      </c>
      <c r="B1046" s="1141" t="str">
        <f>IFERROR(VLOOKUP(A1046,'LAC 103'!A:C,3,FALSE),"")</f>
        <v>OP</v>
      </c>
      <c r="C1046" s="1478" t="str">
        <f>Info!$B$8</f>
        <v>00100</v>
      </c>
      <c r="D1046" s="1474" t="s">
        <v>256</v>
      </c>
      <c r="E1046" s="1474" t="s">
        <v>95</v>
      </c>
      <c r="F1046" s="1478" t="s">
        <v>396</v>
      </c>
      <c r="G1046" s="1478" t="s">
        <v>396</v>
      </c>
      <c r="H1046" s="1474" t="s">
        <v>1664</v>
      </c>
      <c r="I1046" s="1478" t="s">
        <v>927</v>
      </c>
      <c r="J1046" s="1478"/>
      <c r="K1046" s="1475" t="s">
        <v>846</v>
      </c>
      <c r="L1046" s="1474" t="s">
        <v>332</v>
      </c>
      <c r="M1046" s="1476" t="s">
        <v>841</v>
      </c>
      <c r="N1046" s="1477" t="s">
        <v>1695</v>
      </c>
      <c r="O1046" s="1479">
        <v>3124</v>
      </c>
      <c r="P1046" s="1479"/>
      <c r="Q1046" s="1142">
        <f t="shared" si="289"/>
        <v>3124</v>
      </c>
      <c r="R1046" s="1143">
        <f>IFERROR(VLOOKUP(CONCATENATE(E1046,G1046),'LAC 103'!$A$12:$O$95,11,FALSE),0)</f>
        <v>3.2074101033884355</v>
      </c>
      <c r="S1046" s="1144">
        <f>IFERROR(VLOOKUP(CONCATENATE($E1046,$G1046),'LAC 103'!$A$12:$O$95,12,FALSE),0)</f>
        <v>3.99</v>
      </c>
      <c r="T1046" s="1144">
        <f>IFERROR(VLOOKUP(CONCATENATE($E1046,$G1046),'LAC 103'!$A$12:$O$95,13,FALSE),0)</f>
        <v>2.48</v>
      </c>
      <c r="U1046" s="1144">
        <f>IFERROR(VLOOKUP(CONCATENATE($E1046,$G1046),'LAC 103'!$A$12:$O$95,14,FALSE),0)</f>
        <v>0</v>
      </c>
      <c r="V1046" s="1144">
        <f>IFERROR(VLOOKUP(CONCATENATE($E1046,$G1046),'LAC 103'!$A$12:$O$95,15,FALSE),0)</f>
        <v>0</v>
      </c>
      <c r="W1046" s="1145" t="str">
        <f>IFERROR(VLOOKUP(CONCATENATE($B1046,$N1046),'LAC 103'!$AI:$AQ,9,FALSE),"")</f>
        <v>Costs</v>
      </c>
      <c r="X1046" s="1146">
        <f t="shared" si="294"/>
        <v>3.2074101033884355</v>
      </c>
      <c r="Y1046" s="1143">
        <f t="shared" si="305"/>
        <v>10019.949162985473</v>
      </c>
      <c r="Z1046" s="1147">
        <f t="shared" si="295"/>
        <v>12464.76</v>
      </c>
      <c r="AA1046" s="1144">
        <f t="shared" si="296"/>
        <v>7747.5199999999995</v>
      </c>
      <c r="AB1046" s="1144">
        <f t="shared" si="297"/>
        <v>0</v>
      </c>
      <c r="AC1046" s="1144">
        <f t="shared" si="298"/>
        <v>0</v>
      </c>
      <c r="AD1046" s="1148">
        <f t="shared" si="290"/>
        <v>10019.949162985473</v>
      </c>
      <c r="AE1046" s="1487">
        <v>0</v>
      </c>
      <c r="AF1046" s="1145">
        <f t="shared" si="299"/>
        <v>10019.949162985473</v>
      </c>
      <c r="AG1046" s="1149">
        <f>IFERROR(VLOOKUP(CONCATENATE($L1046,$N1046),'Drop List'!$G$23:$K$87,2,FALSE),0)</f>
        <v>0</v>
      </c>
      <c r="AH1046" s="1150">
        <f>IFERROR(VLOOKUP(CONCATENATE($L1046,$N1046),'Drop List'!$G$23:$K$87,3,FALSE),0)</f>
        <v>0</v>
      </c>
      <c r="AI1046" s="1150">
        <f>IFERROR(VLOOKUP(CONCATENATE($L1046,$N1046),'Drop List'!$G$23:$K$87,4,FALSE),0)</f>
        <v>0</v>
      </c>
      <c r="AJ1046" s="1151">
        <f>IFERROR(VLOOKUP(CONCATENATE($L1046,$N1046),'Drop List'!$G$23:$K$87,5,FALSE),0)</f>
        <v>0</v>
      </c>
      <c r="AK1046" s="1152">
        <f t="shared" si="300"/>
        <v>0</v>
      </c>
      <c r="AL1046" s="1153">
        <f t="shared" si="301"/>
        <v>0</v>
      </c>
      <c r="AM1046" s="1153">
        <f t="shared" si="302"/>
        <v>0</v>
      </c>
      <c r="AN1046" s="1145">
        <f t="shared" si="303"/>
        <v>0</v>
      </c>
      <c r="AO1046" s="1154">
        <f t="shared" si="304"/>
        <v>0</v>
      </c>
      <c r="AP1046" s="1147">
        <f t="shared" si="291"/>
        <v>10019.949162985473</v>
      </c>
      <c r="AQ1046" s="1144">
        <f t="shared" si="292"/>
        <v>0</v>
      </c>
      <c r="AR1046" s="1146">
        <f t="shared" si="293"/>
        <v>10019.949162985473</v>
      </c>
    </row>
    <row r="1047" spans="1:44" x14ac:dyDescent="0.2">
      <c r="A1047" s="1141" t="str">
        <f t="shared" si="306"/>
        <v>1544</v>
      </c>
      <c r="B1047" s="1141" t="str">
        <f>IFERROR(VLOOKUP(A1047,'LAC 103'!A:C,3,FALSE),"")</f>
        <v>OP</v>
      </c>
      <c r="C1047" s="1478" t="str">
        <f>Info!$B$8</f>
        <v>00100</v>
      </c>
      <c r="D1047" s="1474" t="s">
        <v>256</v>
      </c>
      <c r="E1047" s="1474" t="s">
        <v>95</v>
      </c>
      <c r="F1047" s="1478" t="s">
        <v>396</v>
      </c>
      <c r="G1047" s="1478" t="s">
        <v>396</v>
      </c>
      <c r="H1047" s="1474" t="s">
        <v>1664</v>
      </c>
      <c r="I1047" s="1478" t="s">
        <v>927</v>
      </c>
      <c r="J1047" s="1478"/>
      <c r="K1047" s="1475" t="s">
        <v>846</v>
      </c>
      <c r="L1047" s="1474" t="s">
        <v>332</v>
      </c>
      <c r="M1047" s="1476" t="s">
        <v>840</v>
      </c>
      <c r="N1047" s="1477" t="s">
        <v>1700</v>
      </c>
      <c r="O1047" s="1479">
        <v>1377</v>
      </c>
      <c r="P1047" s="1479"/>
      <c r="Q1047" s="1142">
        <f t="shared" si="289"/>
        <v>1377</v>
      </c>
      <c r="R1047" s="1143">
        <f>IFERROR(VLOOKUP(CONCATENATE(E1047,G1047),'LAC 103'!$A$12:$O$95,11,FALSE),0)</f>
        <v>3.2074101033884355</v>
      </c>
      <c r="S1047" s="1144">
        <f>IFERROR(VLOOKUP(CONCATENATE($E1047,$G1047),'LAC 103'!$A$12:$O$95,12,FALSE),0)</f>
        <v>3.99</v>
      </c>
      <c r="T1047" s="1144">
        <f>IFERROR(VLOOKUP(CONCATENATE($E1047,$G1047),'LAC 103'!$A$12:$O$95,13,FALSE),0)</f>
        <v>2.48</v>
      </c>
      <c r="U1047" s="1144">
        <f>IFERROR(VLOOKUP(CONCATENATE($E1047,$G1047),'LAC 103'!$A$12:$O$95,14,FALSE),0)</f>
        <v>0</v>
      </c>
      <c r="V1047" s="1144">
        <f>IFERROR(VLOOKUP(CONCATENATE($E1047,$G1047),'LAC 103'!$A$12:$O$95,15,FALSE),0)</f>
        <v>0</v>
      </c>
      <c r="W1047" s="1145" t="str">
        <f>IFERROR(VLOOKUP(CONCATENATE($B1047,$N1047),'LAC 103'!$AI:$AQ,9,FALSE),"")</f>
        <v>P.C.</v>
      </c>
      <c r="X1047" s="1146">
        <f t="shared" si="294"/>
        <v>2.48</v>
      </c>
      <c r="Y1047" s="1143">
        <f t="shared" si="305"/>
        <v>4416.6037123658753</v>
      </c>
      <c r="Z1047" s="1147">
        <f t="shared" si="295"/>
        <v>5494.2300000000005</v>
      </c>
      <c r="AA1047" s="1144">
        <f t="shared" si="296"/>
        <v>3414.96</v>
      </c>
      <c r="AB1047" s="1144">
        <f t="shared" si="297"/>
        <v>0</v>
      </c>
      <c r="AC1047" s="1144">
        <f t="shared" si="298"/>
        <v>0</v>
      </c>
      <c r="AD1047" s="1148">
        <f t="shared" si="290"/>
        <v>3414.96</v>
      </c>
      <c r="AE1047" s="1487">
        <v>0</v>
      </c>
      <c r="AF1047" s="1145">
        <f t="shared" si="299"/>
        <v>3414.96</v>
      </c>
      <c r="AG1047" s="1149">
        <f>IFERROR(VLOOKUP(CONCATENATE($L1047,$N1047),'Drop List'!$G$23:$K$87,2,FALSE),0)</f>
        <v>0</v>
      </c>
      <c r="AH1047" s="1150">
        <f>IFERROR(VLOOKUP(CONCATENATE($L1047,$N1047),'Drop List'!$G$23:$K$87,3,FALSE),0)</f>
        <v>0</v>
      </c>
      <c r="AI1047" s="1150">
        <f>IFERROR(VLOOKUP(CONCATENATE($L1047,$N1047),'Drop List'!$G$23:$K$87,4,FALSE),0)</f>
        <v>0</v>
      </c>
      <c r="AJ1047" s="1151">
        <f>IFERROR(VLOOKUP(CONCATENATE($L1047,$N1047),'Drop List'!$G$23:$K$87,5,FALSE),0)</f>
        <v>0</v>
      </c>
      <c r="AK1047" s="1152">
        <f t="shared" si="300"/>
        <v>0</v>
      </c>
      <c r="AL1047" s="1153">
        <f t="shared" si="301"/>
        <v>0</v>
      </c>
      <c r="AM1047" s="1153">
        <f t="shared" si="302"/>
        <v>0</v>
      </c>
      <c r="AN1047" s="1145">
        <f t="shared" si="303"/>
        <v>0</v>
      </c>
      <c r="AO1047" s="1154">
        <f t="shared" si="304"/>
        <v>0</v>
      </c>
      <c r="AP1047" s="1147">
        <f t="shared" si="291"/>
        <v>3414.96</v>
      </c>
      <c r="AQ1047" s="1144">
        <f t="shared" si="292"/>
        <v>0</v>
      </c>
      <c r="AR1047" s="1146">
        <f t="shared" si="293"/>
        <v>3414.96</v>
      </c>
    </row>
    <row r="1048" spans="1:44" x14ac:dyDescent="0.2">
      <c r="A1048" s="1141" t="str">
        <f t="shared" si="306"/>
        <v>1544</v>
      </c>
      <c r="B1048" s="1141" t="str">
        <f>IFERROR(VLOOKUP(A1048,'LAC 103'!A:C,3,FALSE),"")</f>
        <v>OP</v>
      </c>
      <c r="C1048" s="1478" t="str">
        <f>Info!$B$8</f>
        <v>00100</v>
      </c>
      <c r="D1048" s="1474" t="s">
        <v>256</v>
      </c>
      <c r="E1048" s="1474" t="s">
        <v>95</v>
      </c>
      <c r="F1048" s="1478" t="s">
        <v>396</v>
      </c>
      <c r="G1048" s="1478" t="s">
        <v>396</v>
      </c>
      <c r="H1048" s="1474" t="s">
        <v>1664</v>
      </c>
      <c r="I1048" s="1478" t="s">
        <v>927</v>
      </c>
      <c r="J1048" s="1478"/>
      <c r="K1048" s="1475" t="s">
        <v>846</v>
      </c>
      <c r="L1048" s="1474" t="s">
        <v>332</v>
      </c>
      <c r="M1048" s="1476" t="s">
        <v>842</v>
      </c>
      <c r="N1048" s="1477" t="s">
        <v>1692</v>
      </c>
      <c r="O1048" s="1479">
        <v>8226</v>
      </c>
      <c r="P1048" s="1479"/>
      <c r="Q1048" s="1142">
        <f t="shared" si="289"/>
        <v>8226</v>
      </c>
      <c r="R1048" s="1143">
        <f>IFERROR(VLOOKUP(CONCATENATE(E1048,G1048),'LAC 103'!$A$12:$O$95,11,FALSE),0)</f>
        <v>3.2074101033884355</v>
      </c>
      <c r="S1048" s="1144">
        <f>IFERROR(VLOOKUP(CONCATENATE($E1048,$G1048),'LAC 103'!$A$12:$O$95,12,FALSE),0)</f>
        <v>3.99</v>
      </c>
      <c r="T1048" s="1144">
        <f>IFERROR(VLOOKUP(CONCATENATE($E1048,$G1048),'LAC 103'!$A$12:$O$95,13,FALSE),0)</f>
        <v>2.48</v>
      </c>
      <c r="U1048" s="1144">
        <f>IFERROR(VLOOKUP(CONCATENATE($E1048,$G1048),'LAC 103'!$A$12:$O$95,14,FALSE),0)</f>
        <v>0</v>
      </c>
      <c r="V1048" s="1144">
        <f>IFERROR(VLOOKUP(CONCATENATE($E1048,$G1048),'LAC 103'!$A$12:$O$95,15,FALSE),0)</f>
        <v>0</v>
      </c>
      <c r="W1048" s="1145" t="str">
        <f>IFERROR(VLOOKUP(CONCATENATE($B1048,$N1048),'LAC 103'!$AI:$AQ,9,FALSE),"")</f>
        <v>Costs</v>
      </c>
      <c r="X1048" s="1146">
        <f t="shared" si="294"/>
        <v>3.2074101033884355</v>
      </c>
      <c r="Y1048" s="1143">
        <f t="shared" si="305"/>
        <v>26384.155510473269</v>
      </c>
      <c r="Z1048" s="1147">
        <f t="shared" si="295"/>
        <v>32821.740000000005</v>
      </c>
      <c r="AA1048" s="1144">
        <f t="shared" si="296"/>
        <v>20400.48</v>
      </c>
      <c r="AB1048" s="1144">
        <f t="shared" si="297"/>
        <v>0</v>
      </c>
      <c r="AC1048" s="1144">
        <f t="shared" si="298"/>
        <v>0</v>
      </c>
      <c r="AD1048" s="1148">
        <f t="shared" si="290"/>
        <v>26384.155510473269</v>
      </c>
      <c r="AE1048" s="1487">
        <v>0</v>
      </c>
      <c r="AF1048" s="1145">
        <f t="shared" si="299"/>
        <v>26384.155510473269</v>
      </c>
      <c r="AG1048" s="1149">
        <f>IFERROR(VLOOKUP(CONCATENATE($L1048,$N1048),'Drop List'!$G$23:$K$87,2,FALSE),0)</f>
        <v>0</v>
      </c>
      <c r="AH1048" s="1150">
        <f>IFERROR(VLOOKUP(CONCATENATE($L1048,$N1048),'Drop List'!$G$23:$K$87,3,FALSE),0)</f>
        <v>0</v>
      </c>
      <c r="AI1048" s="1150">
        <f>IFERROR(VLOOKUP(CONCATENATE($L1048,$N1048),'Drop List'!$G$23:$K$87,4,FALSE),0)</f>
        <v>0</v>
      </c>
      <c r="AJ1048" s="1151">
        <f>IFERROR(VLOOKUP(CONCATENATE($L1048,$N1048),'Drop List'!$G$23:$K$87,5,FALSE),0)</f>
        <v>0</v>
      </c>
      <c r="AK1048" s="1152">
        <f t="shared" si="300"/>
        <v>0</v>
      </c>
      <c r="AL1048" s="1153">
        <f t="shared" si="301"/>
        <v>0</v>
      </c>
      <c r="AM1048" s="1153">
        <f t="shared" si="302"/>
        <v>0</v>
      </c>
      <c r="AN1048" s="1145">
        <f t="shared" si="303"/>
        <v>0</v>
      </c>
      <c r="AO1048" s="1154">
        <f t="shared" si="304"/>
        <v>0</v>
      </c>
      <c r="AP1048" s="1147">
        <f t="shared" si="291"/>
        <v>26384.155510473269</v>
      </c>
      <c r="AQ1048" s="1144">
        <f t="shared" si="292"/>
        <v>0</v>
      </c>
      <c r="AR1048" s="1146">
        <f t="shared" si="293"/>
        <v>26384.155510473269</v>
      </c>
    </row>
    <row r="1049" spans="1:44" x14ac:dyDescent="0.2">
      <c r="A1049" s="1141" t="str">
        <f t="shared" si="306"/>
        <v>1544</v>
      </c>
      <c r="B1049" s="1141" t="str">
        <f>IFERROR(VLOOKUP(A1049,'LAC 103'!A:C,3,FALSE),"")</f>
        <v>OP</v>
      </c>
      <c r="C1049" s="1478" t="str">
        <f>Info!$B$8</f>
        <v>00100</v>
      </c>
      <c r="D1049" s="1474" t="s">
        <v>256</v>
      </c>
      <c r="E1049" s="1474" t="s">
        <v>95</v>
      </c>
      <c r="F1049" s="1478" t="s">
        <v>396</v>
      </c>
      <c r="G1049" s="1478" t="s">
        <v>396</v>
      </c>
      <c r="H1049" s="1474" t="s">
        <v>1664</v>
      </c>
      <c r="I1049" s="1478" t="s">
        <v>927</v>
      </c>
      <c r="J1049" s="1478"/>
      <c r="K1049" s="1475" t="s">
        <v>846</v>
      </c>
      <c r="L1049" s="1474" t="s">
        <v>332</v>
      </c>
      <c r="M1049" s="1476" t="s">
        <v>1698</v>
      </c>
      <c r="N1049" s="1477" t="s">
        <v>1693</v>
      </c>
      <c r="O1049" s="1479">
        <v>5553</v>
      </c>
      <c r="P1049" s="1479"/>
      <c r="Q1049" s="1142">
        <f t="shared" si="289"/>
        <v>5553</v>
      </c>
      <c r="R1049" s="1143">
        <f>IFERROR(VLOOKUP(CONCATENATE(E1049,G1049),'LAC 103'!$A$12:$O$95,11,FALSE),0)</f>
        <v>3.2074101033884355</v>
      </c>
      <c r="S1049" s="1144">
        <f>IFERROR(VLOOKUP(CONCATENATE($E1049,$G1049),'LAC 103'!$A$12:$O$95,12,FALSE),0)</f>
        <v>3.99</v>
      </c>
      <c r="T1049" s="1144">
        <f>IFERROR(VLOOKUP(CONCATENATE($E1049,$G1049),'LAC 103'!$A$12:$O$95,13,FALSE),0)</f>
        <v>2.48</v>
      </c>
      <c r="U1049" s="1144">
        <f>IFERROR(VLOOKUP(CONCATENATE($E1049,$G1049),'LAC 103'!$A$12:$O$95,14,FALSE),0)</f>
        <v>0</v>
      </c>
      <c r="V1049" s="1144">
        <f>IFERROR(VLOOKUP(CONCATENATE($E1049,$G1049),'LAC 103'!$A$12:$O$95,15,FALSE),0)</f>
        <v>0</v>
      </c>
      <c r="W1049" s="1145" t="str">
        <f>IFERROR(VLOOKUP(CONCATENATE($B1049,$N1049),'LAC 103'!$AI:$AQ,9,FALSE),"")</f>
        <v>Costs</v>
      </c>
      <c r="X1049" s="1146">
        <f t="shared" si="294"/>
        <v>3.2074101033884355</v>
      </c>
      <c r="Y1049" s="1143">
        <f t="shared" si="305"/>
        <v>17810.748304115983</v>
      </c>
      <c r="Z1049" s="1147">
        <f t="shared" si="295"/>
        <v>22156.47</v>
      </c>
      <c r="AA1049" s="1144">
        <f t="shared" si="296"/>
        <v>13771.44</v>
      </c>
      <c r="AB1049" s="1144">
        <f t="shared" si="297"/>
        <v>0</v>
      </c>
      <c r="AC1049" s="1144">
        <f t="shared" si="298"/>
        <v>0</v>
      </c>
      <c r="AD1049" s="1148">
        <f t="shared" si="290"/>
        <v>17810.748304115983</v>
      </c>
      <c r="AE1049" s="1487">
        <v>0</v>
      </c>
      <c r="AF1049" s="1145">
        <f t="shared" si="299"/>
        <v>17810.748304115983</v>
      </c>
      <c r="AG1049" s="1149">
        <f>IFERROR(VLOOKUP(CONCATENATE($L1049,$N1049),'Drop List'!$G$23:$K$87,2,FALSE),0)</f>
        <v>0</v>
      </c>
      <c r="AH1049" s="1150">
        <f>IFERROR(VLOOKUP(CONCATENATE($L1049,$N1049),'Drop List'!$G$23:$K$87,3,FALSE),0)</f>
        <v>0</v>
      </c>
      <c r="AI1049" s="1150">
        <f>IFERROR(VLOOKUP(CONCATENATE($L1049,$N1049),'Drop List'!$G$23:$K$87,4,FALSE),0)</f>
        <v>0</v>
      </c>
      <c r="AJ1049" s="1151">
        <f>IFERROR(VLOOKUP(CONCATENATE($L1049,$N1049),'Drop List'!$G$23:$K$87,5,FALSE),0)</f>
        <v>0</v>
      </c>
      <c r="AK1049" s="1152">
        <f t="shared" si="300"/>
        <v>0</v>
      </c>
      <c r="AL1049" s="1153">
        <f t="shared" si="301"/>
        <v>0</v>
      </c>
      <c r="AM1049" s="1153">
        <f t="shared" si="302"/>
        <v>0</v>
      </c>
      <c r="AN1049" s="1145">
        <f t="shared" si="303"/>
        <v>0</v>
      </c>
      <c r="AO1049" s="1154">
        <f t="shared" si="304"/>
        <v>0</v>
      </c>
      <c r="AP1049" s="1147">
        <f t="shared" si="291"/>
        <v>17810.748304115983</v>
      </c>
      <c r="AQ1049" s="1144">
        <f t="shared" si="292"/>
        <v>0</v>
      </c>
      <c r="AR1049" s="1146">
        <f t="shared" si="293"/>
        <v>17810.748304115983</v>
      </c>
    </row>
    <row r="1050" spans="1:44" x14ac:dyDescent="0.2">
      <c r="A1050" s="1141" t="str">
        <f t="shared" si="306"/>
        <v>1544</v>
      </c>
      <c r="B1050" s="1141" t="str">
        <f>IFERROR(VLOOKUP(A1050,'LAC 103'!A:C,3,FALSE),"")</f>
        <v>OP</v>
      </c>
      <c r="C1050" s="1478" t="str">
        <f>Info!$B$8</f>
        <v>00100</v>
      </c>
      <c r="D1050" s="1474" t="s">
        <v>256</v>
      </c>
      <c r="E1050" s="1474" t="s">
        <v>95</v>
      </c>
      <c r="F1050" s="1478" t="s">
        <v>396</v>
      </c>
      <c r="G1050" s="1478" t="s">
        <v>396</v>
      </c>
      <c r="H1050" s="1474" t="s">
        <v>1666</v>
      </c>
      <c r="I1050" s="1478" t="s">
        <v>803</v>
      </c>
      <c r="J1050" s="1478" t="s">
        <v>123</v>
      </c>
      <c r="K1050" s="1475" t="s">
        <v>846</v>
      </c>
      <c r="L1050" s="1474" t="s">
        <v>332</v>
      </c>
      <c r="M1050" s="1476" t="s">
        <v>1699</v>
      </c>
      <c r="N1050" s="1477" t="s">
        <v>1694</v>
      </c>
      <c r="O1050" s="1479">
        <v>26289</v>
      </c>
      <c r="P1050" s="1479"/>
      <c r="Q1050" s="1142">
        <f t="shared" si="289"/>
        <v>26289</v>
      </c>
      <c r="R1050" s="1143">
        <f>IFERROR(VLOOKUP(CONCATENATE(E1050,G1050),'LAC 103'!$A$12:$O$95,11,FALSE),0)</f>
        <v>3.2074101033884355</v>
      </c>
      <c r="S1050" s="1144">
        <f>IFERROR(VLOOKUP(CONCATENATE($E1050,$G1050),'LAC 103'!$A$12:$O$95,12,FALSE),0)</f>
        <v>3.99</v>
      </c>
      <c r="T1050" s="1144">
        <f>IFERROR(VLOOKUP(CONCATENATE($E1050,$G1050),'LAC 103'!$A$12:$O$95,13,FALSE),0)</f>
        <v>2.48</v>
      </c>
      <c r="U1050" s="1144">
        <f>IFERROR(VLOOKUP(CONCATENATE($E1050,$G1050),'LAC 103'!$A$12:$O$95,14,FALSE),0)</f>
        <v>0</v>
      </c>
      <c r="V1050" s="1144">
        <f>IFERROR(VLOOKUP(CONCATENATE($E1050,$G1050),'LAC 103'!$A$12:$O$95,15,FALSE),0)</f>
        <v>0</v>
      </c>
      <c r="W1050" s="1145" t="str">
        <f>IFERROR(VLOOKUP(CONCATENATE($B1050,$N1050),'LAC 103'!$AI:$AQ,9,FALSE),"")</f>
        <v>Costs</v>
      </c>
      <c r="X1050" s="1146">
        <f t="shared" si="294"/>
        <v>3.2074101033884355</v>
      </c>
      <c r="Y1050" s="1143">
        <f t="shared" si="305"/>
        <v>84319.604207978584</v>
      </c>
      <c r="Z1050" s="1147">
        <f t="shared" si="295"/>
        <v>104893.11</v>
      </c>
      <c r="AA1050" s="1144">
        <f t="shared" si="296"/>
        <v>65196.72</v>
      </c>
      <c r="AB1050" s="1144">
        <f t="shared" si="297"/>
        <v>0</v>
      </c>
      <c r="AC1050" s="1144">
        <f t="shared" si="298"/>
        <v>0</v>
      </c>
      <c r="AD1050" s="1148">
        <f t="shared" si="290"/>
        <v>84319.604207978584</v>
      </c>
      <c r="AE1050" s="1487">
        <v>0</v>
      </c>
      <c r="AF1050" s="1145">
        <f t="shared" si="299"/>
        <v>84319.604207978584</v>
      </c>
      <c r="AG1050" s="1149">
        <f>IFERROR(VLOOKUP(CONCATENATE($L1050,$N1050),'Drop List'!$G$23:$K$87,2,FALSE),0)</f>
        <v>0</v>
      </c>
      <c r="AH1050" s="1150">
        <f>IFERROR(VLOOKUP(CONCATENATE($L1050,$N1050),'Drop List'!$G$23:$K$87,3,FALSE),0)</f>
        <v>0</v>
      </c>
      <c r="AI1050" s="1150">
        <f>IFERROR(VLOOKUP(CONCATENATE($L1050,$N1050),'Drop List'!$G$23:$K$87,4,FALSE),0)</f>
        <v>0</v>
      </c>
      <c r="AJ1050" s="1151">
        <f>IFERROR(VLOOKUP(CONCATENATE($L1050,$N1050),'Drop List'!$G$23:$K$87,5,FALSE),0)</f>
        <v>0</v>
      </c>
      <c r="AK1050" s="1152">
        <f t="shared" si="300"/>
        <v>0</v>
      </c>
      <c r="AL1050" s="1153">
        <f t="shared" si="301"/>
        <v>0</v>
      </c>
      <c r="AM1050" s="1153">
        <f t="shared" si="302"/>
        <v>0</v>
      </c>
      <c r="AN1050" s="1145">
        <f t="shared" si="303"/>
        <v>0</v>
      </c>
      <c r="AO1050" s="1154">
        <f t="shared" si="304"/>
        <v>0</v>
      </c>
      <c r="AP1050" s="1147">
        <f t="shared" si="291"/>
        <v>84319.604207978584</v>
      </c>
      <c r="AQ1050" s="1144">
        <f t="shared" si="292"/>
        <v>0</v>
      </c>
      <c r="AR1050" s="1146">
        <f t="shared" si="293"/>
        <v>84319.604207978584</v>
      </c>
    </row>
    <row r="1051" spans="1:44" x14ac:dyDescent="0.2">
      <c r="A1051" s="1141" t="str">
        <f t="shared" si="306"/>
        <v>1544</v>
      </c>
      <c r="B1051" s="1141" t="str">
        <f>IFERROR(VLOOKUP(A1051,'LAC 103'!A:C,3,FALSE),"")</f>
        <v>OP</v>
      </c>
      <c r="C1051" s="1478" t="str">
        <f>Info!$B$8</f>
        <v>00100</v>
      </c>
      <c r="D1051" s="1474" t="s">
        <v>256</v>
      </c>
      <c r="E1051" s="1474" t="s">
        <v>95</v>
      </c>
      <c r="F1051" s="1478" t="s">
        <v>396</v>
      </c>
      <c r="G1051" s="1478" t="s">
        <v>396</v>
      </c>
      <c r="H1051" s="1474" t="s">
        <v>1666</v>
      </c>
      <c r="I1051" s="1478" t="s">
        <v>803</v>
      </c>
      <c r="J1051" s="1478"/>
      <c r="K1051" s="1475" t="s">
        <v>846</v>
      </c>
      <c r="L1051" s="1474" t="s">
        <v>332</v>
      </c>
      <c r="M1051" s="1476" t="s">
        <v>841</v>
      </c>
      <c r="N1051" s="1477" t="s">
        <v>1695</v>
      </c>
      <c r="O1051" s="1479">
        <v>9188</v>
      </c>
      <c r="P1051" s="1479"/>
      <c r="Q1051" s="1142">
        <f t="shared" si="289"/>
        <v>9188</v>
      </c>
      <c r="R1051" s="1143">
        <f>IFERROR(VLOOKUP(CONCATENATE(E1051,G1051),'LAC 103'!$A$12:$O$95,11,FALSE),0)</f>
        <v>3.2074101033884355</v>
      </c>
      <c r="S1051" s="1144">
        <f>IFERROR(VLOOKUP(CONCATENATE($E1051,$G1051),'LAC 103'!$A$12:$O$95,12,FALSE),0)</f>
        <v>3.99</v>
      </c>
      <c r="T1051" s="1144">
        <f>IFERROR(VLOOKUP(CONCATENATE($E1051,$G1051),'LAC 103'!$A$12:$O$95,13,FALSE),0)</f>
        <v>2.48</v>
      </c>
      <c r="U1051" s="1144">
        <f>IFERROR(VLOOKUP(CONCATENATE($E1051,$G1051),'LAC 103'!$A$12:$O$95,14,FALSE),0)</f>
        <v>0</v>
      </c>
      <c r="V1051" s="1144">
        <f>IFERROR(VLOOKUP(CONCATENATE($E1051,$G1051),'LAC 103'!$A$12:$O$95,15,FALSE),0)</f>
        <v>0</v>
      </c>
      <c r="W1051" s="1145" t="str">
        <f>IFERROR(VLOOKUP(CONCATENATE($B1051,$N1051),'LAC 103'!$AI:$AQ,9,FALSE),"")</f>
        <v>Costs</v>
      </c>
      <c r="X1051" s="1146">
        <f t="shared" si="294"/>
        <v>3.2074101033884355</v>
      </c>
      <c r="Y1051" s="1143">
        <f t="shared" si="305"/>
        <v>29469.684029932945</v>
      </c>
      <c r="Z1051" s="1147">
        <f t="shared" si="295"/>
        <v>36660.120000000003</v>
      </c>
      <c r="AA1051" s="1144">
        <f t="shared" si="296"/>
        <v>22786.240000000002</v>
      </c>
      <c r="AB1051" s="1144">
        <f t="shared" si="297"/>
        <v>0</v>
      </c>
      <c r="AC1051" s="1144">
        <f t="shared" si="298"/>
        <v>0</v>
      </c>
      <c r="AD1051" s="1148">
        <f t="shared" si="290"/>
        <v>29469.684029932945</v>
      </c>
      <c r="AE1051" s="1487">
        <v>0</v>
      </c>
      <c r="AF1051" s="1145">
        <f t="shared" si="299"/>
        <v>29469.684029932945</v>
      </c>
      <c r="AG1051" s="1149">
        <f>IFERROR(VLOOKUP(CONCATENATE($L1051,$N1051),'Drop List'!$G$23:$K$87,2,FALSE),0)</f>
        <v>0</v>
      </c>
      <c r="AH1051" s="1150">
        <f>IFERROR(VLOOKUP(CONCATENATE($L1051,$N1051),'Drop List'!$G$23:$K$87,3,FALSE),0)</f>
        <v>0</v>
      </c>
      <c r="AI1051" s="1150">
        <f>IFERROR(VLOOKUP(CONCATENATE($L1051,$N1051),'Drop List'!$G$23:$K$87,4,FALSE),0)</f>
        <v>0</v>
      </c>
      <c r="AJ1051" s="1151">
        <f>IFERROR(VLOOKUP(CONCATENATE($L1051,$N1051),'Drop List'!$G$23:$K$87,5,FALSE),0)</f>
        <v>0</v>
      </c>
      <c r="AK1051" s="1152">
        <f t="shared" si="300"/>
        <v>0</v>
      </c>
      <c r="AL1051" s="1153">
        <f t="shared" si="301"/>
        <v>0</v>
      </c>
      <c r="AM1051" s="1153">
        <f t="shared" si="302"/>
        <v>0</v>
      </c>
      <c r="AN1051" s="1145">
        <f t="shared" si="303"/>
        <v>0</v>
      </c>
      <c r="AO1051" s="1154">
        <f t="shared" si="304"/>
        <v>0</v>
      </c>
      <c r="AP1051" s="1147">
        <f t="shared" si="291"/>
        <v>29469.684029932945</v>
      </c>
      <c r="AQ1051" s="1144">
        <f t="shared" si="292"/>
        <v>0</v>
      </c>
      <c r="AR1051" s="1146">
        <f t="shared" si="293"/>
        <v>29469.684029932945</v>
      </c>
    </row>
    <row r="1052" spans="1:44" x14ac:dyDescent="0.2">
      <c r="A1052" s="1141" t="str">
        <f t="shared" si="306"/>
        <v>1544</v>
      </c>
      <c r="B1052" s="1141" t="str">
        <f>IFERROR(VLOOKUP(A1052,'LAC 103'!A:C,3,FALSE),"")</f>
        <v>OP</v>
      </c>
      <c r="C1052" s="1478" t="str">
        <f>Info!$B$8</f>
        <v>00100</v>
      </c>
      <c r="D1052" s="1474" t="s">
        <v>256</v>
      </c>
      <c r="E1052" s="1474" t="s">
        <v>95</v>
      </c>
      <c r="F1052" s="1478" t="s">
        <v>396</v>
      </c>
      <c r="G1052" s="1478" t="s">
        <v>396</v>
      </c>
      <c r="H1052" s="1474" t="s">
        <v>1666</v>
      </c>
      <c r="I1052" s="1478" t="s">
        <v>803</v>
      </c>
      <c r="J1052" s="1478"/>
      <c r="K1052" s="1475" t="s">
        <v>846</v>
      </c>
      <c r="L1052" s="1474" t="s">
        <v>332</v>
      </c>
      <c r="M1052" s="1476" t="s">
        <v>840</v>
      </c>
      <c r="N1052" s="1477" t="s">
        <v>1700</v>
      </c>
      <c r="O1052" s="1479">
        <v>9013</v>
      </c>
      <c r="P1052" s="1479"/>
      <c r="Q1052" s="1142">
        <f t="shared" si="289"/>
        <v>9013</v>
      </c>
      <c r="R1052" s="1143">
        <f>IFERROR(VLOOKUP(CONCATENATE(E1052,G1052),'LAC 103'!$A$12:$O$95,11,FALSE),0)</f>
        <v>3.2074101033884355</v>
      </c>
      <c r="S1052" s="1144">
        <f>IFERROR(VLOOKUP(CONCATENATE($E1052,$G1052),'LAC 103'!$A$12:$O$95,12,FALSE),0)</f>
        <v>3.99</v>
      </c>
      <c r="T1052" s="1144">
        <f>IFERROR(VLOOKUP(CONCATENATE($E1052,$G1052),'LAC 103'!$A$12:$O$95,13,FALSE),0)</f>
        <v>2.48</v>
      </c>
      <c r="U1052" s="1144">
        <f>IFERROR(VLOOKUP(CONCATENATE($E1052,$G1052),'LAC 103'!$A$12:$O$95,14,FALSE),0)</f>
        <v>0</v>
      </c>
      <c r="V1052" s="1144">
        <f>IFERROR(VLOOKUP(CONCATENATE($E1052,$G1052),'LAC 103'!$A$12:$O$95,15,FALSE),0)</f>
        <v>0</v>
      </c>
      <c r="W1052" s="1145" t="str">
        <f>IFERROR(VLOOKUP(CONCATENATE($B1052,$N1052),'LAC 103'!$AI:$AQ,9,FALSE),"")</f>
        <v>P.C.</v>
      </c>
      <c r="X1052" s="1146">
        <f t="shared" si="294"/>
        <v>2.48</v>
      </c>
      <c r="Y1052" s="1143">
        <f t="shared" si="305"/>
        <v>28908.387261839969</v>
      </c>
      <c r="Z1052" s="1147">
        <f t="shared" si="295"/>
        <v>35961.870000000003</v>
      </c>
      <c r="AA1052" s="1144">
        <f t="shared" si="296"/>
        <v>22352.240000000002</v>
      </c>
      <c r="AB1052" s="1144">
        <f t="shared" si="297"/>
        <v>0</v>
      </c>
      <c r="AC1052" s="1144">
        <f t="shared" si="298"/>
        <v>0</v>
      </c>
      <c r="AD1052" s="1148">
        <f t="shared" si="290"/>
        <v>22352.240000000002</v>
      </c>
      <c r="AE1052" s="1487">
        <v>0</v>
      </c>
      <c r="AF1052" s="1145">
        <f t="shared" si="299"/>
        <v>22352.240000000002</v>
      </c>
      <c r="AG1052" s="1149">
        <f>IFERROR(VLOOKUP(CONCATENATE($L1052,$N1052),'Drop List'!$G$23:$K$87,2,FALSE),0)</f>
        <v>0</v>
      </c>
      <c r="AH1052" s="1150">
        <f>IFERROR(VLOOKUP(CONCATENATE($L1052,$N1052),'Drop List'!$G$23:$K$87,3,FALSE),0)</f>
        <v>0</v>
      </c>
      <c r="AI1052" s="1150">
        <f>IFERROR(VLOOKUP(CONCATENATE($L1052,$N1052),'Drop List'!$G$23:$K$87,4,FALSE),0)</f>
        <v>0</v>
      </c>
      <c r="AJ1052" s="1151">
        <f>IFERROR(VLOOKUP(CONCATENATE($L1052,$N1052),'Drop List'!$G$23:$K$87,5,FALSE),0)</f>
        <v>0</v>
      </c>
      <c r="AK1052" s="1152">
        <f t="shared" si="300"/>
        <v>0</v>
      </c>
      <c r="AL1052" s="1153">
        <f t="shared" si="301"/>
        <v>0</v>
      </c>
      <c r="AM1052" s="1153">
        <f t="shared" si="302"/>
        <v>0</v>
      </c>
      <c r="AN1052" s="1145">
        <f t="shared" si="303"/>
        <v>0</v>
      </c>
      <c r="AO1052" s="1154">
        <f t="shared" si="304"/>
        <v>0</v>
      </c>
      <c r="AP1052" s="1147">
        <f t="shared" si="291"/>
        <v>22352.240000000002</v>
      </c>
      <c r="AQ1052" s="1144">
        <f t="shared" si="292"/>
        <v>0</v>
      </c>
      <c r="AR1052" s="1146">
        <f t="shared" si="293"/>
        <v>22352.240000000002</v>
      </c>
    </row>
    <row r="1053" spans="1:44" x14ac:dyDescent="0.2">
      <c r="A1053" s="1141" t="str">
        <f t="shared" si="306"/>
        <v>1544</v>
      </c>
      <c r="B1053" s="1141" t="str">
        <f>IFERROR(VLOOKUP(A1053,'LAC 103'!A:C,3,FALSE),"")</f>
        <v>OP</v>
      </c>
      <c r="C1053" s="1478" t="str">
        <f>Info!$B$8</f>
        <v>00100</v>
      </c>
      <c r="D1053" s="1474" t="s">
        <v>256</v>
      </c>
      <c r="E1053" s="1474" t="s">
        <v>95</v>
      </c>
      <c r="F1053" s="1478" t="s">
        <v>396</v>
      </c>
      <c r="G1053" s="1478" t="s">
        <v>396</v>
      </c>
      <c r="H1053" s="1474" t="s">
        <v>1666</v>
      </c>
      <c r="I1053" s="1478" t="s">
        <v>803</v>
      </c>
      <c r="J1053" s="1478"/>
      <c r="K1053" s="1475" t="s">
        <v>846</v>
      </c>
      <c r="L1053" s="1474" t="s">
        <v>332</v>
      </c>
      <c r="M1053" s="1476" t="s">
        <v>842</v>
      </c>
      <c r="N1053" s="1477" t="s">
        <v>1692</v>
      </c>
      <c r="O1053" s="1479">
        <v>46628</v>
      </c>
      <c r="P1053" s="1479"/>
      <c r="Q1053" s="1142">
        <f t="shared" si="289"/>
        <v>46628</v>
      </c>
      <c r="R1053" s="1143">
        <f>IFERROR(VLOOKUP(CONCATENATE(E1053,G1053),'LAC 103'!$A$12:$O$95,11,FALSE),0)</f>
        <v>3.2074101033884355</v>
      </c>
      <c r="S1053" s="1144">
        <f>IFERROR(VLOOKUP(CONCATENATE($E1053,$G1053),'LAC 103'!$A$12:$O$95,12,FALSE),0)</f>
        <v>3.99</v>
      </c>
      <c r="T1053" s="1144">
        <f>IFERROR(VLOOKUP(CONCATENATE($E1053,$G1053),'LAC 103'!$A$12:$O$95,13,FALSE),0)</f>
        <v>2.48</v>
      </c>
      <c r="U1053" s="1144">
        <f>IFERROR(VLOOKUP(CONCATENATE($E1053,$G1053),'LAC 103'!$A$12:$O$95,14,FALSE),0)</f>
        <v>0</v>
      </c>
      <c r="V1053" s="1144">
        <f>IFERROR(VLOOKUP(CONCATENATE($E1053,$G1053),'LAC 103'!$A$12:$O$95,15,FALSE),0)</f>
        <v>0</v>
      </c>
      <c r="W1053" s="1145" t="str">
        <f>IFERROR(VLOOKUP(CONCATENATE($B1053,$N1053),'LAC 103'!$AI:$AQ,9,FALSE),"")</f>
        <v>Costs</v>
      </c>
      <c r="X1053" s="1146">
        <f t="shared" si="294"/>
        <v>3.2074101033884355</v>
      </c>
      <c r="Y1053" s="1143">
        <f t="shared" si="305"/>
        <v>149555.11830079596</v>
      </c>
      <c r="Z1053" s="1147">
        <f t="shared" si="295"/>
        <v>186045.72</v>
      </c>
      <c r="AA1053" s="1144">
        <f t="shared" si="296"/>
        <v>115637.44</v>
      </c>
      <c r="AB1053" s="1144">
        <f t="shared" si="297"/>
        <v>0</v>
      </c>
      <c r="AC1053" s="1144">
        <f t="shared" si="298"/>
        <v>0</v>
      </c>
      <c r="AD1053" s="1148">
        <f t="shared" si="290"/>
        <v>149555.11830079596</v>
      </c>
      <c r="AE1053" s="1487">
        <v>0</v>
      </c>
      <c r="AF1053" s="1145">
        <f t="shared" si="299"/>
        <v>149555.11830079596</v>
      </c>
      <c r="AG1053" s="1149">
        <f>IFERROR(VLOOKUP(CONCATENATE($L1053,$N1053),'Drop List'!$G$23:$K$87,2,FALSE),0)</f>
        <v>0</v>
      </c>
      <c r="AH1053" s="1150">
        <f>IFERROR(VLOOKUP(CONCATENATE($L1053,$N1053),'Drop List'!$G$23:$K$87,3,FALSE),0)</f>
        <v>0</v>
      </c>
      <c r="AI1053" s="1150">
        <f>IFERROR(VLOOKUP(CONCATENATE($L1053,$N1053),'Drop List'!$G$23:$K$87,4,FALSE),0)</f>
        <v>0</v>
      </c>
      <c r="AJ1053" s="1151">
        <f>IFERROR(VLOOKUP(CONCATENATE($L1053,$N1053),'Drop List'!$G$23:$K$87,5,FALSE),0)</f>
        <v>0</v>
      </c>
      <c r="AK1053" s="1152">
        <f t="shared" si="300"/>
        <v>0</v>
      </c>
      <c r="AL1053" s="1153">
        <f t="shared" si="301"/>
        <v>0</v>
      </c>
      <c r="AM1053" s="1153">
        <f t="shared" si="302"/>
        <v>0</v>
      </c>
      <c r="AN1053" s="1145">
        <f t="shared" si="303"/>
        <v>0</v>
      </c>
      <c r="AO1053" s="1154">
        <f t="shared" si="304"/>
        <v>0</v>
      </c>
      <c r="AP1053" s="1147">
        <f t="shared" si="291"/>
        <v>149555.11830079596</v>
      </c>
      <c r="AQ1053" s="1144">
        <f t="shared" si="292"/>
        <v>0</v>
      </c>
      <c r="AR1053" s="1146">
        <f t="shared" si="293"/>
        <v>149555.11830079596</v>
      </c>
    </row>
    <row r="1054" spans="1:44" x14ac:dyDescent="0.2">
      <c r="A1054" s="1141" t="str">
        <f t="shared" si="306"/>
        <v>1544</v>
      </c>
      <c r="B1054" s="1141" t="str">
        <f>IFERROR(VLOOKUP(A1054,'LAC 103'!A:C,3,FALSE),"")</f>
        <v>OP</v>
      </c>
      <c r="C1054" s="1478" t="str">
        <f>Info!$B$8</f>
        <v>00100</v>
      </c>
      <c r="D1054" s="1474" t="s">
        <v>256</v>
      </c>
      <c r="E1054" s="1474" t="s">
        <v>95</v>
      </c>
      <c r="F1054" s="1478" t="s">
        <v>396</v>
      </c>
      <c r="G1054" s="1478" t="s">
        <v>396</v>
      </c>
      <c r="H1054" s="1474" t="s">
        <v>1666</v>
      </c>
      <c r="I1054" s="1478" t="s">
        <v>803</v>
      </c>
      <c r="J1054" s="1478"/>
      <c r="K1054" s="1475" t="s">
        <v>846</v>
      </c>
      <c r="L1054" s="1474" t="s">
        <v>332</v>
      </c>
      <c r="M1054" s="1476" t="s">
        <v>1698</v>
      </c>
      <c r="N1054" s="1477" t="s">
        <v>1693</v>
      </c>
      <c r="O1054" s="1479">
        <v>35447</v>
      </c>
      <c r="P1054" s="1479"/>
      <c r="Q1054" s="1142">
        <f t="shared" si="289"/>
        <v>35447</v>
      </c>
      <c r="R1054" s="1143">
        <f>IFERROR(VLOOKUP(CONCATENATE(E1054,G1054),'LAC 103'!$A$12:$O$95,11,FALSE),0)</f>
        <v>3.2074101033884355</v>
      </c>
      <c r="S1054" s="1144">
        <f>IFERROR(VLOOKUP(CONCATENATE($E1054,$G1054),'LAC 103'!$A$12:$O$95,12,FALSE),0)</f>
        <v>3.99</v>
      </c>
      <c r="T1054" s="1144">
        <f>IFERROR(VLOOKUP(CONCATENATE($E1054,$G1054),'LAC 103'!$A$12:$O$95,13,FALSE),0)</f>
        <v>2.48</v>
      </c>
      <c r="U1054" s="1144">
        <f>IFERROR(VLOOKUP(CONCATENATE($E1054,$G1054),'LAC 103'!$A$12:$O$95,14,FALSE),0)</f>
        <v>0</v>
      </c>
      <c r="V1054" s="1144">
        <f>IFERROR(VLOOKUP(CONCATENATE($E1054,$G1054),'LAC 103'!$A$12:$O$95,15,FALSE),0)</f>
        <v>0</v>
      </c>
      <c r="W1054" s="1145" t="str">
        <f>IFERROR(VLOOKUP(CONCATENATE($B1054,$N1054),'LAC 103'!$AI:$AQ,9,FALSE),"")</f>
        <v>Costs</v>
      </c>
      <c r="X1054" s="1146">
        <f t="shared" si="294"/>
        <v>3.2074101033884355</v>
      </c>
      <c r="Y1054" s="1143">
        <f t="shared" si="305"/>
        <v>113693.06593480987</v>
      </c>
      <c r="Z1054" s="1147">
        <f t="shared" si="295"/>
        <v>141433.53</v>
      </c>
      <c r="AA1054" s="1144">
        <f t="shared" si="296"/>
        <v>87908.56</v>
      </c>
      <c r="AB1054" s="1144">
        <f t="shared" si="297"/>
        <v>0</v>
      </c>
      <c r="AC1054" s="1144">
        <f t="shared" si="298"/>
        <v>0</v>
      </c>
      <c r="AD1054" s="1148">
        <f t="shared" si="290"/>
        <v>113693.06593480987</v>
      </c>
      <c r="AE1054" s="1487">
        <v>0</v>
      </c>
      <c r="AF1054" s="1145">
        <f t="shared" si="299"/>
        <v>113693.06593480987</v>
      </c>
      <c r="AG1054" s="1149">
        <f>IFERROR(VLOOKUP(CONCATENATE($L1054,$N1054),'Drop List'!$G$23:$K$87,2,FALSE),0)</f>
        <v>0</v>
      </c>
      <c r="AH1054" s="1150">
        <f>IFERROR(VLOOKUP(CONCATENATE($L1054,$N1054),'Drop List'!$G$23:$K$87,3,FALSE),0)</f>
        <v>0</v>
      </c>
      <c r="AI1054" s="1150">
        <f>IFERROR(VLOOKUP(CONCATENATE($L1054,$N1054),'Drop List'!$G$23:$K$87,4,FALSE),0)</f>
        <v>0</v>
      </c>
      <c r="AJ1054" s="1151">
        <f>IFERROR(VLOOKUP(CONCATENATE($L1054,$N1054),'Drop List'!$G$23:$K$87,5,FALSE),0)</f>
        <v>0</v>
      </c>
      <c r="AK1054" s="1152">
        <f t="shared" si="300"/>
        <v>0</v>
      </c>
      <c r="AL1054" s="1153">
        <f t="shared" si="301"/>
        <v>0</v>
      </c>
      <c r="AM1054" s="1153">
        <f t="shared" si="302"/>
        <v>0</v>
      </c>
      <c r="AN1054" s="1145">
        <f t="shared" si="303"/>
        <v>0</v>
      </c>
      <c r="AO1054" s="1154">
        <f t="shared" si="304"/>
        <v>0</v>
      </c>
      <c r="AP1054" s="1147">
        <f t="shared" si="291"/>
        <v>113693.06593480987</v>
      </c>
      <c r="AQ1054" s="1144">
        <f t="shared" si="292"/>
        <v>0</v>
      </c>
      <c r="AR1054" s="1146">
        <f t="shared" si="293"/>
        <v>113693.06593480987</v>
      </c>
    </row>
    <row r="1055" spans="1:44" x14ac:dyDescent="0.2">
      <c r="A1055" s="1141" t="str">
        <f t="shared" si="306"/>
        <v>1544</v>
      </c>
      <c r="B1055" s="1141" t="str">
        <f>IFERROR(VLOOKUP(A1055,'LAC 103'!A:C,3,FALSE),"")</f>
        <v>OP</v>
      </c>
      <c r="C1055" s="1478" t="str">
        <f>Info!$B$8</f>
        <v>00100</v>
      </c>
      <c r="D1055" s="1474" t="s">
        <v>256</v>
      </c>
      <c r="E1055" s="1474" t="s">
        <v>95</v>
      </c>
      <c r="F1055" s="1478" t="s">
        <v>396</v>
      </c>
      <c r="G1055" s="1478" t="s">
        <v>396</v>
      </c>
      <c r="H1055" s="1474" t="s">
        <v>981</v>
      </c>
      <c r="I1055" s="1478" t="s">
        <v>798</v>
      </c>
      <c r="J1055" s="1478" t="s">
        <v>123</v>
      </c>
      <c r="K1055" s="1475" t="s">
        <v>846</v>
      </c>
      <c r="L1055" s="1474" t="s">
        <v>332</v>
      </c>
      <c r="M1055" s="1476" t="s">
        <v>1699</v>
      </c>
      <c r="N1055" s="1477" t="s">
        <v>1694</v>
      </c>
      <c r="O1055" s="1479">
        <v>1331</v>
      </c>
      <c r="P1055" s="1479"/>
      <c r="Q1055" s="1142">
        <f t="shared" si="289"/>
        <v>1331</v>
      </c>
      <c r="R1055" s="1143">
        <f>IFERROR(VLOOKUP(CONCATENATE(E1055,G1055),'LAC 103'!$A$12:$O$95,11,FALSE),0)</f>
        <v>3.2074101033884355</v>
      </c>
      <c r="S1055" s="1144">
        <f>IFERROR(VLOOKUP(CONCATENATE($E1055,$G1055),'LAC 103'!$A$12:$O$95,12,FALSE),0)</f>
        <v>3.99</v>
      </c>
      <c r="T1055" s="1144">
        <f>IFERROR(VLOOKUP(CONCATENATE($E1055,$G1055),'LAC 103'!$A$12:$O$95,13,FALSE),0)</f>
        <v>2.48</v>
      </c>
      <c r="U1055" s="1144">
        <f>IFERROR(VLOOKUP(CONCATENATE($E1055,$G1055),'LAC 103'!$A$12:$O$95,14,FALSE),0)</f>
        <v>0</v>
      </c>
      <c r="V1055" s="1144">
        <f>IFERROR(VLOOKUP(CONCATENATE($E1055,$G1055),'LAC 103'!$A$12:$O$95,15,FALSE),0)</f>
        <v>0</v>
      </c>
      <c r="W1055" s="1145" t="str">
        <f>IFERROR(VLOOKUP(CONCATENATE($B1055,$N1055),'LAC 103'!$AI:$AQ,9,FALSE),"")</f>
        <v>Costs</v>
      </c>
      <c r="X1055" s="1146">
        <f t="shared" si="294"/>
        <v>3.2074101033884355</v>
      </c>
      <c r="Y1055" s="1143">
        <f t="shared" si="305"/>
        <v>4269.0628476100073</v>
      </c>
      <c r="Z1055" s="1147">
        <f t="shared" si="295"/>
        <v>5310.6900000000005</v>
      </c>
      <c r="AA1055" s="1144">
        <f t="shared" si="296"/>
        <v>3300.88</v>
      </c>
      <c r="AB1055" s="1144">
        <f t="shared" si="297"/>
        <v>0</v>
      </c>
      <c r="AC1055" s="1144">
        <f t="shared" si="298"/>
        <v>0</v>
      </c>
      <c r="AD1055" s="1148">
        <f t="shared" si="290"/>
        <v>4269.0628476100073</v>
      </c>
      <c r="AE1055" s="1487">
        <v>0</v>
      </c>
      <c r="AF1055" s="1145">
        <f t="shared" si="299"/>
        <v>4269.0628476100073</v>
      </c>
      <c r="AG1055" s="1149">
        <f>IFERROR(VLOOKUP(CONCATENATE($L1055,$N1055),'Drop List'!$G$23:$K$87,2,FALSE),0)</f>
        <v>0</v>
      </c>
      <c r="AH1055" s="1150">
        <f>IFERROR(VLOOKUP(CONCATENATE($L1055,$N1055),'Drop List'!$G$23:$K$87,3,FALSE),0)</f>
        <v>0</v>
      </c>
      <c r="AI1055" s="1150">
        <f>IFERROR(VLOOKUP(CONCATENATE($L1055,$N1055),'Drop List'!$G$23:$K$87,4,FALSE),0)</f>
        <v>0</v>
      </c>
      <c r="AJ1055" s="1151">
        <f>IFERROR(VLOOKUP(CONCATENATE($L1055,$N1055),'Drop List'!$G$23:$K$87,5,FALSE),0)</f>
        <v>0</v>
      </c>
      <c r="AK1055" s="1152">
        <f t="shared" si="300"/>
        <v>0</v>
      </c>
      <c r="AL1055" s="1153">
        <f t="shared" si="301"/>
        <v>0</v>
      </c>
      <c r="AM1055" s="1153">
        <f t="shared" si="302"/>
        <v>0</v>
      </c>
      <c r="AN1055" s="1145">
        <f t="shared" si="303"/>
        <v>0</v>
      </c>
      <c r="AO1055" s="1154">
        <f t="shared" si="304"/>
        <v>0</v>
      </c>
      <c r="AP1055" s="1147">
        <f t="shared" si="291"/>
        <v>4269.0628476100073</v>
      </c>
      <c r="AQ1055" s="1144">
        <f t="shared" si="292"/>
        <v>0</v>
      </c>
      <c r="AR1055" s="1146">
        <f t="shared" si="293"/>
        <v>4269.0628476100073</v>
      </c>
    </row>
    <row r="1056" spans="1:44" x14ac:dyDescent="0.2">
      <c r="A1056" s="1141" t="str">
        <f t="shared" si="306"/>
        <v>1544</v>
      </c>
      <c r="B1056" s="1141" t="str">
        <f>IFERROR(VLOOKUP(A1056,'LAC 103'!A:C,3,FALSE),"")</f>
        <v>OP</v>
      </c>
      <c r="C1056" s="1478" t="str">
        <f>Info!$B$8</f>
        <v>00100</v>
      </c>
      <c r="D1056" s="1474" t="s">
        <v>256</v>
      </c>
      <c r="E1056" s="1474" t="s">
        <v>95</v>
      </c>
      <c r="F1056" s="1478" t="s">
        <v>396</v>
      </c>
      <c r="G1056" s="1478" t="s">
        <v>396</v>
      </c>
      <c r="H1056" s="1474" t="s">
        <v>981</v>
      </c>
      <c r="I1056" s="1478" t="s">
        <v>798</v>
      </c>
      <c r="J1056" s="1478"/>
      <c r="K1056" s="1475" t="s">
        <v>846</v>
      </c>
      <c r="L1056" s="1474" t="s">
        <v>332</v>
      </c>
      <c r="M1056" s="1476" t="s">
        <v>841</v>
      </c>
      <c r="N1056" s="1477" t="s">
        <v>1695</v>
      </c>
      <c r="O1056" s="1479">
        <v>771</v>
      </c>
      <c r="P1056" s="1479"/>
      <c r="Q1056" s="1142">
        <f t="shared" si="289"/>
        <v>771</v>
      </c>
      <c r="R1056" s="1143">
        <f>IFERROR(VLOOKUP(CONCATENATE(E1056,G1056),'LAC 103'!$A$12:$O$95,11,FALSE),0)</f>
        <v>3.2074101033884355</v>
      </c>
      <c r="S1056" s="1144">
        <f>IFERROR(VLOOKUP(CONCATENATE($E1056,$G1056),'LAC 103'!$A$12:$O$95,12,FALSE),0)</f>
        <v>3.99</v>
      </c>
      <c r="T1056" s="1144">
        <f>IFERROR(VLOOKUP(CONCATENATE($E1056,$G1056),'LAC 103'!$A$12:$O$95,13,FALSE),0)</f>
        <v>2.48</v>
      </c>
      <c r="U1056" s="1144">
        <f>IFERROR(VLOOKUP(CONCATENATE($E1056,$G1056),'LAC 103'!$A$12:$O$95,14,FALSE),0)</f>
        <v>0</v>
      </c>
      <c r="V1056" s="1144">
        <f>IFERROR(VLOOKUP(CONCATENATE($E1056,$G1056),'LAC 103'!$A$12:$O$95,15,FALSE),0)</f>
        <v>0</v>
      </c>
      <c r="W1056" s="1145" t="str">
        <f>IFERROR(VLOOKUP(CONCATENATE($B1056,$N1056),'LAC 103'!$AI:$AQ,9,FALSE),"")</f>
        <v>Costs</v>
      </c>
      <c r="X1056" s="1146">
        <f t="shared" si="294"/>
        <v>3.2074101033884355</v>
      </c>
      <c r="Y1056" s="1143">
        <f t="shared" si="305"/>
        <v>2472.9131897124839</v>
      </c>
      <c r="Z1056" s="1147">
        <f t="shared" si="295"/>
        <v>3076.29</v>
      </c>
      <c r="AA1056" s="1144">
        <f t="shared" si="296"/>
        <v>1912.08</v>
      </c>
      <c r="AB1056" s="1144">
        <f t="shared" si="297"/>
        <v>0</v>
      </c>
      <c r="AC1056" s="1144">
        <f t="shared" si="298"/>
        <v>0</v>
      </c>
      <c r="AD1056" s="1148">
        <f t="shared" si="290"/>
        <v>2472.9131897124839</v>
      </c>
      <c r="AE1056" s="1487">
        <v>0</v>
      </c>
      <c r="AF1056" s="1145">
        <f t="shared" si="299"/>
        <v>2472.9131897124839</v>
      </c>
      <c r="AG1056" s="1149">
        <f>IFERROR(VLOOKUP(CONCATENATE($L1056,$N1056),'Drop List'!$G$23:$K$87,2,FALSE),0)</f>
        <v>0</v>
      </c>
      <c r="AH1056" s="1150">
        <f>IFERROR(VLOOKUP(CONCATENATE($L1056,$N1056),'Drop List'!$G$23:$K$87,3,FALSE),0)</f>
        <v>0</v>
      </c>
      <c r="AI1056" s="1150">
        <f>IFERROR(VLOOKUP(CONCATENATE($L1056,$N1056),'Drop List'!$G$23:$K$87,4,FALSE),0)</f>
        <v>0</v>
      </c>
      <c r="AJ1056" s="1151">
        <f>IFERROR(VLOOKUP(CONCATENATE($L1056,$N1056),'Drop List'!$G$23:$K$87,5,FALSE),0)</f>
        <v>0</v>
      </c>
      <c r="AK1056" s="1152">
        <f t="shared" si="300"/>
        <v>0</v>
      </c>
      <c r="AL1056" s="1153">
        <f t="shared" si="301"/>
        <v>0</v>
      </c>
      <c r="AM1056" s="1153">
        <f t="shared" si="302"/>
        <v>0</v>
      </c>
      <c r="AN1056" s="1145">
        <f t="shared" si="303"/>
        <v>0</v>
      </c>
      <c r="AO1056" s="1154">
        <f t="shared" si="304"/>
        <v>0</v>
      </c>
      <c r="AP1056" s="1147">
        <f t="shared" si="291"/>
        <v>2472.9131897124839</v>
      </c>
      <c r="AQ1056" s="1144">
        <f t="shared" si="292"/>
        <v>0</v>
      </c>
      <c r="AR1056" s="1146">
        <f t="shared" si="293"/>
        <v>2472.9131897124839</v>
      </c>
    </row>
    <row r="1057" spans="1:44" x14ac:dyDescent="0.2">
      <c r="A1057" s="1141" t="str">
        <f t="shared" si="306"/>
        <v>1544</v>
      </c>
      <c r="B1057" s="1141" t="str">
        <f>IFERROR(VLOOKUP(A1057,'LAC 103'!A:C,3,FALSE),"")</f>
        <v>OP</v>
      </c>
      <c r="C1057" s="1478" t="str">
        <f>Info!$B$8</f>
        <v>00100</v>
      </c>
      <c r="D1057" s="1474" t="s">
        <v>256</v>
      </c>
      <c r="E1057" s="1474" t="s">
        <v>95</v>
      </c>
      <c r="F1057" s="1478" t="s">
        <v>396</v>
      </c>
      <c r="G1057" s="1478" t="s">
        <v>396</v>
      </c>
      <c r="H1057" s="1474" t="s">
        <v>981</v>
      </c>
      <c r="I1057" s="1478" t="s">
        <v>798</v>
      </c>
      <c r="J1057" s="1478"/>
      <c r="K1057" s="1475" t="s">
        <v>846</v>
      </c>
      <c r="L1057" s="1474" t="s">
        <v>332</v>
      </c>
      <c r="M1057" s="1476" t="s">
        <v>840</v>
      </c>
      <c r="N1057" s="1477" t="s">
        <v>1700</v>
      </c>
      <c r="O1057" s="1479">
        <v>1310</v>
      </c>
      <c r="P1057" s="1479"/>
      <c r="Q1057" s="1142">
        <f t="shared" si="289"/>
        <v>1310</v>
      </c>
      <c r="R1057" s="1143">
        <f>IFERROR(VLOOKUP(CONCATENATE(E1057,G1057),'LAC 103'!$A$12:$O$95,11,FALSE),0)</f>
        <v>3.2074101033884355</v>
      </c>
      <c r="S1057" s="1144">
        <f>IFERROR(VLOOKUP(CONCATENATE($E1057,$G1057),'LAC 103'!$A$12:$O$95,12,FALSE),0)</f>
        <v>3.99</v>
      </c>
      <c r="T1057" s="1144">
        <f>IFERROR(VLOOKUP(CONCATENATE($E1057,$G1057),'LAC 103'!$A$12:$O$95,13,FALSE),0)</f>
        <v>2.48</v>
      </c>
      <c r="U1057" s="1144">
        <f>IFERROR(VLOOKUP(CONCATENATE($E1057,$G1057),'LAC 103'!$A$12:$O$95,14,FALSE),0)</f>
        <v>0</v>
      </c>
      <c r="V1057" s="1144">
        <f>IFERROR(VLOOKUP(CONCATENATE($E1057,$G1057),'LAC 103'!$A$12:$O$95,15,FALSE),0)</f>
        <v>0</v>
      </c>
      <c r="W1057" s="1145" t="str">
        <f>IFERROR(VLOOKUP(CONCATENATE($B1057,$N1057),'LAC 103'!$AI:$AQ,9,FALSE),"")</f>
        <v>P.C.</v>
      </c>
      <c r="X1057" s="1146">
        <f t="shared" si="294"/>
        <v>2.48</v>
      </c>
      <c r="Y1057" s="1143">
        <f t="shared" si="305"/>
        <v>4201.7072354388501</v>
      </c>
      <c r="Z1057" s="1147">
        <f t="shared" si="295"/>
        <v>5226.9000000000005</v>
      </c>
      <c r="AA1057" s="1144">
        <f t="shared" si="296"/>
        <v>3248.8</v>
      </c>
      <c r="AB1057" s="1144">
        <f t="shared" si="297"/>
        <v>0</v>
      </c>
      <c r="AC1057" s="1144">
        <f t="shared" si="298"/>
        <v>0</v>
      </c>
      <c r="AD1057" s="1148">
        <f t="shared" si="290"/>
        <v>3248.8</v>
      </c>
      <c r="AE1057" s="1487">
        <v>0</v>
      </c>
      <c r="AF1057" s="1145">
        <f t="shared" si="299"/>
        <v>3248.8</v>
      </c>
      <c r="AG1057" s="1149">
        <f>IFERROR(VLOOKUP(CONCATENATE($L1057,$N1057),'Drop List'!$G$23:$K$87,2,FALSE),0)</f>
        <v>0</v>
      </c>
      <c r="AH1057" s="1150">
        <f>IFERROR(VLOOKUP(CONCATENATE($L1057,$N1057),'Drop List'!$G$23:$K$87,3,FALSE),0)</f>
        <v>0</v>
      </c>
      <c r="AI1057" s="1150">
        <f>IFERROR(VLOOKUP(CONCATENATE($L1057,$N1057),'Drop List'!$G$23:$K$87,4,FALSE),0)</f>
        <v>0</v>
      </c>
      <c r="AJ1057" s="1151">
        <f>IFERROR(VLOOKUP(CONCATENATE($L1057,$N1057),'Drop List'!$G$23:$K$87,5,FALSE),0)</f>
        <v>0</v>
      </c>
      <c r="AK1057" s="1152">
        <f t="shared" si="300"/>
        <v>0</v>
      </c>
      <c r="AL1057" s="1153">
        <f t="shared" si="301"/>
        <v>0</v>
      </c>
      <c r="AM1057" s="1153">
        <f t="shared" si="302"/>
        <v>0</v>
      </c>
      <c r="AN1057" s="1145">
        <f t="shared" si="303"/>
        <v>0</v>
      </c>
      <c r="AO1057" s="1154">
        <f t="shared" si="304"/>
        <v>0</v>
      </c>
      <c r="AP1057" s="1147">
        <f t="shared" si="291"/>
        <v>3248.8</v>
      </c>
      <c r="AQ1057" s="1144">
        <f t="shared" si="292"/>
        <v>0</v>
      </c>
      <c r="AR1057" s="1146">
        <f t="shared" si="293"/>
        <v>3248.8</v>
      </c>
    </row>
    <row r="1058" spans="1:44" x14ac:dyDescent="0.2">
      <c r="A1058" s="1141" t="str">
        <f t="shared" si="306"/>
        <v>1544</v>
      </c>
      <c r="B1058" s="1141" t="str">
        <f>IFERROR(VLOOKUP(A1058,'LAC 103'!A:C,3,FALSE),"")</f>
        <v>OP</v>
      </c>
      <c r="C1058" s="1478" t="str">
        <f>Info!$B$8</f>
        <v>00100</v>
      </c>
      <c r="D1058" s="1474" t="s">
        <v>256</v>
      </c>
      <c r="E1058" s="1474" t="s">
        <v>95</v>
      </c>
      <c r="F1058" s="1478" t="s">
        <v>396</v>
      </c>
      <c r="G1058" s="1478" t="s">
        <v>396</v>
      </c>
      <c r="H1058" s="1474" t="s">
        <v>981</v>
      </c>
      <c r="I1058" s="1478" t="s">
        <v>798</v>
      </c>
      <c r="J1058" s="1478"/>
      <c r="K1058" s="1475" t="s">
        <v>846</v>
      </c>
      <c r="L1058" s="1474" t="s">
        <v>332</v>
      </c>
      <c r="M1058" s="1476" t="s">
        <v>842</v>
      </c>
      <c r="N1058" s="1477" t="s">
        <v>1692</v>
      </c>
      <c r="O1058" s="1479">
        <v>721</v>
      </c>
      <c r="P1058" s="1479"/>
      <c r="Q1058" s="1142">
        <f t="shared" si="289"/>
        <v>721</v>
      </c>
      <c r="R1058" s="1143">
        <f>IFERROR(VLOOKUP(CONCATENATE(E1058,G1058),'LAC 103'!$A$12:$O$95,11,FALSE),0)</f>
        <v>3.2074101033884355</v>
      </c>
      <c r="S1058" s="1144">
        <f>IFERROR(VLOOKUP(CONCATENATE($E1058,$G1058),'LAC 103'!$A$12:$O$95,12,FALSE),0)</f>
        <v>3.99</v>
      </c>
      <c r="T1058" s="1144">
        <f>IFERROR(VLOOKUP(CONCATENATE($E1058,$G1058),'LAC 103'!$A$12:$O$95,13,FALSE),0)</f>
        <v>2.48</v>
      </c>
      <c r="U1058" s="1144">
        <f>IFERROR(VLOOKUP(CONCATENATE($E1058,$G1058),'LAC 103'!$A$12:$O$95,14,FALSE),0)</f>
        <v>0</v>
      </c>
      <c r="V1058" s="1144">
        <f>IFERROR(VLOOKUP(CONCATENATE($E1058,$G1058),'LAC 103'!$A$12:$O$95,15,FALSE),0)</f>
        <v>0</v>
      </c>
      <c r="W1058" s="1145" t="str">
        <f>IFERROR(VLOOKUP(CONCATENATE($B1058,$N1058),'LAC 103'!$AI:$AQ,9,FALSE),"")</f>
        <v>Costs</v>
      </c>
      <c r="X1058" s="1146">
        <f t="shared" si="294"/>
        <v>3.2074101033884355</v>
      </c>
      <c r="Y1058" s="1143">
        <f t="shared" si="305"/>
        <v>2312.542684543062</v>
      </c>
      <c r="Z1058" s="1147">
        <f t="shared" si="295"/>
        <v>2876.79</v>
      </c>
      <c r="AA1058" s="1144">
        <f t="shared" si="296"/>
        <v>1788.08</v>
      </c>
      <c r="AB1058" s="1144">
        <f t="shared" si="297"/>
        <v>0</v>
      </c>
      <c r="AC1058" s="1144">
        <f t="shared" si="298"/>
        <v>0</v>
      </c>
      <c r="AD1058" s="1148">
        <f t="shared" si="290"/>
        <v>2312.542684543062</v>
      </c>
      <c r="AE1058" s="1487">
        <v>0</v>
      </c>
      <c r="AF1058" s="1145">
        <f t="shared" si="299"/>
        <v>2312.542684543062</v>
      </c>
      <c r="AG1058" s="1149">
        <f>IFERROR(VLOOKUP(CONCATENATE($L1058,$N1058),'Drop List'!$G$23:$K$87,2,FALSE),0)</f>
        <v>0</v>
      </c>
      <c r="AH1058" s="1150">
        <f>IFERROR(VLOOKUP(CONCATENATE($L1058,$N1058),'Drop List'!$G$23:$K$87,3,FALSE),0)</f>
        <v>0</v>
      </c>
      <c r="AI1058" s="1150">
        <f>IFERROR(VLOOKUP(CONCATENATE($L1058,$N1058),'Drop List'!$G$23:$K$87,4,FALSE),0)</f>
        <v>0</v>
      </c>
      <c r="AJ1058" s="1151">
        <f>IFERROR(VLOOKUP(CONCATENATE($L1058,$N1058),'Drop List'!$G$23:$K$87,5,FALSE),0)</f>
        <v>0</v>
      </c>
      <c r="AK1058" s="1152">
        <f t="shared" si="300"/>
        <v>0</v>
      </c>
      <c r="AL1058" s="1153">
        <f t="shared" si="301"/>
        <v>0</v>
      </c>
      <c r="AM1058" s="1153">
        <f t="shared" si="302"/>
        <v>0</v>
      </c>
      <c r="AN1058" s="1145">
        <f t="shared" si="303"/>
        <v>0</v>
      </c>
      <c r="AO1058" s="1154">
        <f t="shared" si="304"/>
        <v>0</v>
      </c>
      <c r="AP1058" s="1147">
        <f t="shared" si="291"/>
        <v>2312.542684543062</v>
      </c>
      <c r="AQ1058" s="1144">
        <f t="shared" si="292"/>
        <v>0</v>
      </c>
      <c r="AR1058" s="1146">
        <f t="shared" si="293"/>
        <v>2312.542684543062</v>
      </c>
    </row>
    <row r="1059" spans="1:44" x14ac:dyDescent="0.2">
      <c r="A1059" s="1141" t="str">
        <f t="shared" si="306"/>
        <v>1552</v>
      </c>
      <c r="B1059" s="1141" t="str">
        <f>IFERROR(VLOOKUP(A1059,'LAC 103'!A:C,3,FALSE),"")</f>
        <v>OP</v>
      </c>
      <c r="C1059" s="1478" t="str">
        <f>Info!$B$8</f>
        <v>00100</v>
      </c>
      <c r="D1059" s="1474" t="s">
        <v>256</v>
      </c>
      <c r="E1059" s="1474" t="s">
        <v>95</v>
      </c>
      <c r="F1059" s="1478" t="s">
        <v>412</v>
      </c>
      <c r="G1059" s="1478" t="s">
        <v>412</v>
      </c>
      <c r="H1059" s="1474" t="s">
        <v>1656</v>
      </c>
      <c r="I1059" s="1478" t="s">
        <v>809</v>
      </c>
      <c r="J1059" s="1478" t="s">
        <v>123</v>
      </c>
      <c r="K1059" s="1475" t="s">
        <v>847</v>
      </c>
      <c r="L1059" s="1474" t="s">
        <v>582</v>
      </c>
      <c r="M1059" s="1476" t="s">
        <v>1699</v>
      </c>
      <c r="N1059" s="1477" t="s">
        <v>1694</v>
      </c>
      <c r="O1059" s="1479">
        <v>1008</v>
      </c>
      <c r="P1059" s="1479"/>
      <c r="Q1059" s="1142">
        <f t="shared" si="289"/>
        <v>1008</v>
      </c>
      <c r="R1059" s="1143">
        <f>IFERROR(VLOOKUP(CONCATENATE(E1059,G1059),'LAC 103'!$A$12:$O$95,11,FALSE),0)</f>
        <v>3.207410103388435</v>
      </c>
      <c r="S1059" s="1144">
        <f>IFERROR(VLOOKUP(CONCATENATE($E1059,$G1059),'LAC 103'!$A$12:$O$95,12,FALSE),0)</f>
        <v>3.99</v>
      </c>
      <c r="T1059" s="1144">
        <f>IFERROR(VLOOKUP(CONCATENATE($E1059,$G1059),'LAC 103'!$A$12:$O$95,13,FALSE),0)</f>
        <v>2.48</v>
      </c>
      <c r="U1059" s="1144">
        <f>IFERROR(VLOOKUP(CONCATENATE($E1059,$G1059),'LAC 103'!$A$12:$O$95,14,FALSE),0)</f>
        <v>0</v>
      </c>
      <c r="V1059" s="1144">
        <f>IFERROR(VLOOKUP(CONCATENATE($E1059,$G1059),'LAC 103'!$A$12:$O$95,15,FALSE),0)</f>
        <v>0</v>
      </c>
      <c r="W1059" s="1145" t="str">
        <f>IFERROR(VLOOKUP(CONCATENATE($B1059,$N1059),'LAC 103'!$AI:$AQ,9,FALSE),"")</f>
        <v>Costs</v>
      </c>
      <c r="X1059" s="1146">
        <f t="shared" si="294"/>
        <v>3.207410103388435</v>
      </c>
      <c r="Y1059" s="1143">
        <f t="shared" si="305"/>
        <v>3233.0693842155424</v>
      </c>
      <c r="Z1059" s="1147">
        <f t="shared" si="295"/>
        <v>4021.92</v>
      </c>
      <c r="AA1059" s="1144">
        <f t="shared" si="296"/>
        <v>2499.84</v>
      </c>
      <c r="AB1059" s="1144">
        <f t="shared" si="297"/>
        <v>0</v>
      </c>
      <c r="AC1059" s="1144">
        <f t="shared" si="298"/>
        <v>0</v>
      </c>
      <c r="AD1059" s="1148">
        <f t="shared" si="290"/>
        <v>3233.0693842155424</v>
      </c>
      <c r="AE1059" s="1487">
        <v>0</v>
      </c>
      <c r="AF1059" s="1145">
        <f t="shared" si="299"/>
        <v>3233.0693842155424</v>
      </c>
      <c r="AG1059" s="1149">
        <f>IFERROR(VLOOKUP(CONCATENATE($L1059,$N1059),'Drop List'!$G$23:$K$87,2,FALSE),0)</f>
        <v>0.56200000000000006</v>
      </c>
      <c r="AH1059" s="1150">
        <f>IFERROR(VLOOKUP(CONCATENATE($L1059,$N1059),'Drop List'!$G$23:$K$87,3,FALSE),0)</f>
        <v>0.43799999999999994</v>
      </c>
      <c r="AI1059" s="1150">
        <f>IFERROR(VLOOKUP(CONCATENATE($L1059,$N1059),'Drop List'!$G$23:$K$87,4,FALSE),0)</f>
        <v>0</v>
      </c>
      <c r="AJ1059" s="1151">
        <f>IFERROR(VLOOKUP(CONCATENATE($L1059,$N1059),'Drop List'!$G$23:$K$87,5,FALSE),0)</f>
        <v>0</v>
      </c>
      <c r="AK1059" s="1152">
        <f t="shared" si="300"/>
        <v>1816.984993929135</v>
      </c>
      <c r="AL1059" s="1153">
        <f t="shared" si="301"/>
        <v>1416.0843902864074</v>
      </c>
      <c r="AM1059" s="1153">
        <f t="shared" si="302"/>
        <v>0</v>
      </c>
      <c r="AN1059" s="1145">
        <f t="shared" si="303"/>
        <v>0</v>
      </c>
      <c r="AO1059" s="1154">
        <f t="shared" si="304"/>
        <v>3233.0693842155424</v>
      </c>
      <c r="AP1059" s="1147">
        <f t="shared" si="291"/>
        <v>0</v>
      </c>
      <c r="AQ1059" s="1144">
        <f t="shared" si="292"/>
        <v>0</v>
      </c>
      <c r="AR1059" s="1146">
        <f t="shared" si="293"/>
        <v>3233.0693842155424</v>
      </c>
    </row>
    <row r="1060" spans="1:44" x14ac:dyDescent="0.2">
      <c r="A1060" s="1141" t="str">
        <f t="shared" si="306"/>
        <v>1552</v>
      </c>
      <c r="B1060" s="1141" t="str">
        <f>IFERROR(VLOOKUP(A1060,'LAC 103'!A:C,3,FALSE),"")</f>
        <v>OP</v>
      </c>
      <c r="C1060" s="1478" t="str">
        <f>Info!$B$8</f>
        <v>00100</v>
      </c>
      <c r="D1060" s="1474" t="s">
        <v>256</v>
      </c>
      <c r="E1060" s="1474" t="s">
        <v>95</v>
      </c>
      <c r="F1060" s="1478" t="s">
        <v>412</v>
      </c>
      <c r="G1060" s="1478" t="s">
        <v>412</v>
      </c>
      <c r="H1060" s="1474" t="s">
        <v>1656</v>
      </c>
      <c r="I1060" s="1478" t="s">
        <v>809</v>
      </c>
      <c r="J1060" s="1478"/>
      <c r="K1060" s="1475" t="s">
        <v>847</v>
      </c>
      <c r="L1060" s="1474" t="s">
        <v>582</v>
      </c>
      <c r="M1060" s="1476" t="s">
        <v>841</v>
      </c>
      <c r="N1060" s="1477" t="s">
        <v>1695</v>
      </c>
      <c r="O1060" s="1479">
        <v>270</v>
      </c>
      <c r="P1060" s="1479"/>
      <c r="Q1060" s="1142">
        <f t="shared" si="289"/>
        <v>270</v>
      </c>
      <c r="R1060" s="1143">
        <f>IFERROR(VLOOKUP(CONCATENATE(E1060,G1060),'LAC 103'!$A$12:$O$95,11,FALSE),0)</f>
        <v>3.207410103388435</v>
      </c>
      <c r="S1060" s="1144">
        <f>IFERROR(VLOOKUP(CONCATENATE($E1060,$G1060),'LAC 103'!$A$12:$O$95,12,FALSE),0)</f>
        <v>3.99</v>
      </c>
      <c r="T1060" s="1144">
        <f>IFERROR(VLOOKUP(CONCATENATE($E1060,$G1060),'LAC 103'!$A$12:$O$95,13,FALSE),0)</f>
        <v>2.48</v>
      </c>
      <c r="U1060" s="1144">
        <f>IFERROR(VLOOKUP(CONCATENATE($E1060,$G1060),'LAC 103'!$A$12:$O$95,14,FALSE),0)</f>
        <v>0</v>
      </c>
      <c r="V1060" s="1144">
        <f>IFERROR(VLOOKUP(CONCATENATE($E1060,$G1060),'LAC 103'!$A$12:$O$95,15,FALSE),0)</f>
        <v>0</v>
      </c>
      <c r="W1060" s="1145" t="str">
        <f>IFERROR(VLOOKUP(CONCATENATE($B1060,$N1060),'LAC 103'!$AI:$AQ,9,FALSE),"")</f>
        <v>Costs</v>
      </c>
      <c r="X1060" s="1146">
        <f t="shared" si="294"/>
        <v>3.207410103388435</v>
      </c>
      <c r="Y1060" s="1143">
        <f t="shared" si="305"/>
        <v>866.00072791487742</v>
      </c>
      <c r="Z1060" s="1147">
        <f t="shared" si="295"/>
        <v>1077.3</v>
      </c>
      <c r="AA1060" s="1144">
        <f t="shared" si="296"/>
        <v>669.6</v>
      </c>
      <c r="AB1060" s="1144">
        <f t="shared" si="297"/>
        <v>0</v>
      </c>
      <c r="AC1060" s="1144">
        <f t="shared" si="298"/>
        <v>0</v>
      </c>
      <c r="AD1060" s="1148">
        <f t="shared" si="290"/>
        <v>866.00072791487742</v>
      </c>
      <c r="AE1060" s="1487">
        <v>0</v>
      </c>
      <c r="AF1060" s="1145">
        <f t="shared" si="299"/>
        <v>866.00072791487742</v>
      </c>
      <c r="AG1060" s="1149">
        <f>IFERROR(VLOOKUP(CONCATENATE($L1060,$N1060),'Drop List'!$G$23:$K$87,2,FALSE),0)</f>
        <v>0.55000000000000004</v>
      </c>
      <c r="AH1060" s="1150">
        <f>IFERROR(VLOOKUP(CONCATENATE($L1060,$N1060),'Drop List'!$G$23:$K$87,3,FALSE),0)</f>
        <v>0.44999999999999996</v>
      </c>
      <c r="AI1060" s="1150">
        <f>IFERROR(VLOOKUP(CONCATENATE($L1060,$N1060),'Drop List'!$G$23:$K$87,4,FALSE),0)</f>
        <v>0</v>
      </c>
      <c r="AJ1060" s="1151">
        <f>IFERROR(VLOOKUP(CONCATENATE($L1060,$N1060),'Drop List'!$G$23:$K$87,5,FALSE),0)</f>
        <v>0</v>
      </c>
      <c r="AK1060" s="1152">
        <f t="shared" si="300"/>
        <v>476.30040035318262</v>
      </c>
      <c r="AL1060" s="1153">
        <f t="shared" si="301"/>
        <v>389.70032756169479</v>
      </c>
      <c r="AM1060" s="1153">
        <f t="shared" si="302"/>
        <v>0</v>
      </c>
      <c r="AN1060" s="1145">
        <f t="shared" si="303"/>
        <v>0</v>
      </c>
      <c r="AO1060" s="1154">
        <f t="shared" si="304"/>
        <v>866.00072791487742</v>
      </c>
      <c r="AP1060" s="1147">
        <f t="shared" si="291"/>
        <v>0</v>
      </c>
      <c r="AQ1060" s="1144">
        <f t="shared" si="292"/>
        <v>0</v>
      </c>
      <c r="AR1060" s="1146">
        <f t="shared" si="293"/>
        <v>866.00072791487742</v>
      </c>
    </row>
    <row r="1061" spans="1:44" x14ac:dyDescent="0.2">
      <c r="A1061" s="1141" t="str">
        <f t="shared" si="306"/>
        <v>1552</v>
      </c>
      <c r="B1061" s="1141" t="str">
        <f>IFERROR(VLOOKUP(A1061,'LAC 103'!A:C,3,FALSE),"")</f>
        <v>OP</v>
      </c>
      <c r="C1061" s="1478" t="str">
        <f>Info!$B$8</f>
        <v>00100</v>
      </c>
      <c r="D1061" s="1474" t="s">
        <v>256</v>
      </c>
      <c r="E1061" s="1474" t="s">
        <v>95</v>
      </c>
      <c r="F1061" s="1478" t="s">
        <v>412</v>
      </c>
      <c r="G1061" s="1478" t="s">
        <v>412</v>
      </c>
      <c r="H1061" s="1474" t="s">
        <v>1656</v>
      </c>
      <c r="I1061" s="1478" t="s">
        <v>809</v>
      </c>
      <c r="J1061" s="1478"/>
      <c r="K1061" s="1475" t="s">
        <v>847</v>
      </c>
      <c r="L1061" s="1474" t="s">
        <v>582</v>
      </c>
      <c r="M1061" s="1476" t="s">
        <v>840</v>
      </c>
      <c r="N1061" s="1477" t="s">
        <v>1700</v>
      </c>
      <c r="O1061" s="1479">
        <v>164</v>
      </c>
      <c r="P1061" s="1479"/>
      <c r="Q1061" s="1142">
        <f t="shared" si="289"/>
        <v>164</v>
      </c>
      <c r="R1061" s="1143">
        <f>IFERROR(VLOOKUP(CONCATENATE(E1061,G1061),'LAC 103'!$A$12:$O$95,11,FALSE),0)</f>
        <v>3.207410103388435</v>
      </c>
      <c r="S1061" s="1144">
        <f>IFERROR(VLOOKUP(CONCATENATE($E1061,$G1061),'LAC 103'!$A$12:$O$95,12,FALSE),0)</f>
        <v>3.99</v>
      </c>
      <c r="T1061" s="1144">
        <f>IFERROR(VLOOKUP(CONCATENATE($E1061,$G1061),'LAC 103'!$A$12:$O$95,13,FALSE),0)</f>
        <v>2.48</v>
      </c>
      <c r="U1061" s="1144">
        <f>IFERROR(VLOOKUP(CONCATENATE($E1061,$G1061),'LAC 103'!$A$12:$O$95,14,FALSE),0)</f>
        <v>0</v>
      </c>
      <c r="V1061" s="1144">
        <f>IFERROR(VLOOKUP(CONCATENATE($E1061,$G1061),'LAC 103'!$A$12:$O$95,15,FALSE),0)</f>
        <v>0</v>
      </c>
      <c r="W1061" s="1145" t="str">
        <f>IFERROR(VLOOKUP(CONCATENATE($B1061,$N1061),'LAC 103'!$AI:$AQ,9,FALSE),"")</f>
        <v>P.C.</v>
      </c>
      <c r="X1061" s="1146">
        <f t="shared" si="294"/>
        <v>2.48</v>
      </c>
      <c r="Y1061" s="1143">
        <f t="shared" si="305"/>
        <v>526.01525695570331</v>
      </c>
      <c r="Z1061" s="1147">
        <f t="shared" si="295"/>
        <v>654.36</v>
      </c>
      <c r="AA1061" s="1144">
        <f t="shared" si="296"/>
        <v>406.71999999999997</v>
      </c>
      <c r="AB1061" s="1144">
        <f t="shared" si="297"/>
        <v>0</v>
      </c>
      <c r="AC1061" s="1144">
        <f t="shared" si="298"/>
        <v>0</v>
      </c>
      <c r="AD1061" s="1148">
        <f t="shared" si="290"/>
        <v>406.71999999999997</v>
      </c>
      <c r="AE1061" s="1487">
        <v>0</v>
      </c>
      <c r="AF1061" s="1145">
        <f t="shared" si="299"/>
        <v>406.71999999999997</v>
      </c>
      <c r="AG1061" s="1149">
        <f>IFERROR(VLOOKUP(CONCATENATE($L1061,$N1061),'Drop List'!$G$23:$K$87,2,FALSE),0)</f>
        <v>0.55000000000000004</v>
      </c>
      <c r="AH1061" s="1150">
        <f>IFERROR(VLOOKUP(CONCATENATE($L1061,$N1061),'Drop List'!$G$23:$K$87,3,FALSE),0)</f>
        <v>0.44999999999999996</v>
      </c>
      <c r="AI1061" s="1150">
        <f>IFERROR(VLOOKUP(CONCATENATE($L1061,$N1061),'Drop List'!$G$23:$K$87,4,FALSE),0)</f>
        <v>0</v>
      </c>
      <c r="AJ1061" s="1151">
        <f>IFERROR(VLOOKUP(CONCATENATE($L1061,$N1061),'Drop List'!$G$23:$K$87,5,FALSE),0)</f>
        <v>0</v>
      </c>
      <c r="AK1061" s="1152">
        <f t="shared" si="300"/>
        <v>223.696</v>
      </c>
      <c r="AL1061" s="1153">
        <f t="shared" si="301"/>
        <v>183.02399999999997</v>
      </c>
      <c r="AM1061" s="1153">
        <f t="shared" si="302"/>
        <v>0</v>
      </c>
      <c r="AN1061" s="1145">
        <f t="shared" si="303"/>
        <v>0</v>
      </c>
      <c r="AO1061" s="1154">
        <f t="shared" si="304"/>
        <v>406.71999999999997</v>
      </c>
      <c r="AP1061" s="1147">
        <f t="shared" si="291"/>
        <v>0</v>
      </c>
      <c r="AQ1061" s="1144">
        <f t="shared" si="292"/>
        <v>0</v>
      </c>
      <c r="AR1061" s="1146">
        <f t="shared" si="293"/>
        <v>406.71999999999997</v>
      </c>
    </row>
    <row r="1062" spans="1:44" x14ac:dyDescent="0.2">
      <c r="A1062" s="1141" t="str">
        <f t="shared" si="306"/>
        <v>1552</v>
      </c>
      <c r="B1062" s="1141" t="str">
        <f>IFERROR(VLOOKUP(A1062,'LAC 103'!A:C,3,FALSE),"")</f>
        <v>OP</v>
      </c>
      <c r="C1062" s="1478" t="str">
        <f>Info!$B$8</f>
        <v>00100</v>
      </c>
      <c r="D1062" s="1474" t="s">
        <v>256</v>
      </c>
      <c r="E1062" s="1474" t="s">
        <v>95</v>
      </c>
      <c r="F1062" s="1478" t="s">
        <v>412</v>
      </c>
      <c r="G1062" s="1478" t="s">
        <v>412</v>
      </c>
      <c r="H1062" s="1474" t="s">
        <v>1656</v>
      </c>
      <c r="I1062" s="1478" t="s">
        <v>809</v>
      </c>
      <c r="J1062" s="1478"/>
      <c r="K1062" s="1475" t="s">
        <v>847</v>
      </c>
      <c r="L1062" s="1474" t="s">
        <v>582</v>
      </c>
      <c r="M1062" s="1476" t="s">
        <v>842</v>
      </c>
      <c r="N1062" s="1477" t="s">
        <v>1692</v>
      </c>
      <c r="O1062" s="1479">
        <v>542</v>
      </c>
      <c r="P1062" s="1479"/>
      <c r="Q1062" s="1142">
        <f t="shared" si="289"/>
        <v>542</v>
      </c>
      <c r="R1062" s="1143">
        <f>IFERROR(VLOOKUP(CONCATENATE(E1062,G1062),'LAC 103'!$A$12:$O$95,11,FALSE),0)</f>
        <v>3.207410103388435</v>
      </c>
      <c r="S1062" s="1144">
        <f>IFERROR(VLOOKUP(CONCATENATE($E1062,$G1062),'LAC 103'!$A$12:$O$95,12,FALSE),0)</f>
        <v>3.99</v>
      </c>
      <c r="T1062" s="1144">
        <f>IFERROR(VLOOKUP(CONCATENATE($E1062,$G1062),'LAC 103'!$A$12:$O$95,13,FALSE),0)</f>
        <v>2.48</v>
      </c>
      <c r="U1062" s="1144">
        <f>IFERROR(VLOOKUP(CONCATENATE($E1062,$G1062),'LAC 103'!$A$12:$O$95,14,FALSE),0)</f>
        <v>0</v>
      </c>
      <c r="V1062" s="1144">
        <f>IFERROR(VLOOKUP(CONCATENATE($E1062,$G1062),'LAC 103'!$A$12:$O$95,15,FALSE),0)</f>
        <v>0</v>
      </c>
      <c r="W1062" s="1145" t="str">
        <f>IFERROR(VLOOKUP(CONCATENATE($B1062,$N1062),'LAC 103'!$AI:$AQ,9,FALSE),"")</f>
        <v>Costs</v>
      </c>
      <c r="X1062" s="1146">
        <f t="shared" si="294"/>
        <v>3.207410103388435</v>
      </c>
      <c r="Y1062" s="1143">
        <f t="shared" si="305"/>
        <v>1738.4162760365318</v>
      </c>
      <c r="Z1062" s="1147">
        <f t="shared" si="295"/>
        <v>2162.58</v>
      </c>
      <c r="AA1062" s="1144">
        <f t="shared" si="296"/>
        <v>1344.16</v>
      </c>
      <c r="AB1062" s="1144">
        <f t="shared" si="297"/>
        <v>0</v>
      </c>
      <c r="AC1062" s="1144">
        <f t="shared" si="298"/>
        <v>0</v>
      </c>
      <c r="AD1062" s="1148">
        <f t="shared" si="290"/>
        <v>1738.4162760365318</v>
      </c>
      <c r="AE1062" s="1487">
        <v>0</v>
      </c>
      <c r="AF1062" s="1145">
        <f t="shared" si="299"/>
        <v>1738.4162760365318</v>
      </c>
      <c r="AG1062" s="1149">
        <f>IFERROR(VLOOKUP(CONCATENATE($L1062,$N1062),'Drop List'!$G$23:$K$87,2,FALSE),0)</f>
        <v>0.56200000000000006</v>
      </c>
      <c r="AH1062" s="1150">
        <f>IFERROR(VLOOKUP(CONCATENATE($L1062,$N1062),'Drop List'!$G$23:$K$87,3,FALSE),0)</f>
        <v>0.43799999999999994</v>
      </c>
      <c r="AI1062" s="1150">
        <f>IFERROR(VLOOKUP(CONCATENATE($L1062,$N1062),'Drop List'!$G$23:$K$87,4,FALSE),0)</f>
        <v>0</v>
      </c>
      <c r="AJ1062" s="1151">
        <f>IFERROR(VLOOKUP(CONCATENATE($L1062,$N1062),'Drop List'!$G$23:$K$87,5,FALSE),0)</f>
        <v>0</v>
      </c>
      <c r="AK1062" s="1152">
        <f t="shared" si="300"/>
        <v>976.98994713253103</v>
      </c>
      <c r="AL1062" s="1153">
        <f t="shared" si="301"/>
        <v>761.4263289040008</v>
      </c>
      <c r="AM1062" s="1153">
        <f t="shared" si="302"/>
        <v>0</v>
      </c>
      <c r="AN1062" s="1145">
        <f t="shared" si="303"/>
        <v>0</v>
      </c>
      <c r="AO1062" s="1154">
        <f t="shared" si="304"/>
        <v>1738.4162760365318</v>
      </c>
      <c r="AP1062" s="1147">
        <f t="shared" si="291"/>
        <v>0</v>
      </c>
      <c r="AQ1062" s="1144">
        <f t="shared" si="292"/>
        <v>0</v>
      </c>
      <c r="AR1062" s="1146">
        <f t="shared" si="293"/>
        <v>1738.4162760365318</v>
      </c>
    </row>
    <row r="1063" spans="1:44" x14ac:dyDescent="0.2">
      <c r="A1063" s="1141" t="str">
        <f t="shared" si="306"/>
        <v>1552</v>
      </c>
      <c r="B1063" s="1141" t="str">
        <f>IFERROR(VLOOKUP(A1063,'LAC 103'!A:C,3,FALSE),"")</f>
        <v>OP</v>
      </c>
      <c r="C1063" s="1478" t="str">
        <f>Info!$B$8</f>
        <v>00100</v>
      </c>
      <c r="D1063" s="1474" t="s">
        <v>256</v>
      </c>
      <c r="E1063" s="1474" t="s">
        <v>95</v>
      </c>
      <c r="F1063" s="1478" t="s">
        <v>412</v>
      </c>
      <c r="G1063" s="1478" t="s">
        <v>412</v>
      </c>
      <c r="H1063" s="1474" t="s">
        <v>1656</v>
      </c>
      <c r="I1063" s="1478" t="s">
        <v>809</v>
      </c>
      <c r="J1063" s="1478"/>
      <c r="K1063" s="1475" t="s">
        <v>847</v>
      </c>
      <c r="L1063" s="1474" t="s">
        <v>582</v>
      </c>
      <c r="M1063" s="1476" t="s">
        <v>1698</v>
      </c>
      <c r="N1063" s="1477" t="s">
        <v>1693</v>
      </c>
      <c r="O1063" s="1479">
        <v>1255</v>
      </c>
      <c r="P1063" s="1479"/>
      <c r="Q1063" s="1142">
        <f t="shared" si="289"/>
        <v>1255</v>
      </c>
      <c r="R1063" s="1143">
        <f>IFERROR(VLOOKUP(CONCATENATE(E1063,G1063),'LAC 103'!$A$12:$O$95,11,FALSE),0)</f>
        <v>3.207410103388435</v>
      </c>
      <c r="S1063" s="1144">
        <f>IFERROR(VLOOKUP(CONCATENATE($E1063,$G1063),'LAC 103'!$A$12:$O$95,12,FALSE),0)</f>
        <v>3.99</v>
      </c>
      <c r="T1063" s="1144">
        <f>IFERROR(VLOOKUP(CONCATENATE($E1063,$G1063),'LAC 103'!$A$12:$O$95,13,FALSE),0)</f>
        <v>2.48</v>
      </c>
      <c r="U1063" s="1144">
        <f>IFERROR(VLOOKUP(CONCATENATE($E1063,$G1063),'LAC 103'!$A$12:$O$95,14,FALSE),0)</f>
        <v>0</v>
      </c>
      <c r="V1063" s="1144">
        <f>IFERROR(VLOOKUP(CONCATENATE($E1063,$G1063),'LAC 103'!$A$12:$O$95,15,FALSE),0)</f>
        <v>0</v>
      </c>
      <c r="W1063" s="1145" t="str">
        <f>IFERROR(VLOOKUP(CONCATENATE($B1063,$N1063),'LAC 103'!$AI:$AQ,9,FALSE),"")</f>
        <v>Costs</v>
      </c>
      <c r="X1063" s="1146">
        <f t="shared" si="294"/>
        <v>3.207410103388435</v>
      </c>
      <c r="Y1063" s="1143">
        <f t="shared" si="305"/>
        <v>4025.2996797524861</v>
      </c>
      <c r="Z1063" s="1147">
        <f t="shared" si="295"/>
        <v>5007.45</v>
      </c>
      <c r="AA1063" s="1144">
        <f t="shared" si="296"/>
        <v>3112.4</v>
      </c>
      <c r="AB1063" s="1144">
        <f t="shared" si="297"/>
        <v>0</v>
      </c>
      <c r="AC1063" s="1144">
        <f t="shared" si="298"/>
        <v>0</v>
      </c>
      <c r="AD1063" s="1148">
        <f t="shared" si="290"/>
        <v>4025.2996797524861</v>
      </c>
      <c r="AE1063" s="1487">
        <v>0</v>
      </c>
      <c r="AF1063" s="1145">
        <f t="shared" si="299"/>
        <v>4025.2996797524861</v>
      </c>
      <c r="AG1063" s="1149">
        <f>IFERROR(VLOOKUP(CONCATENATE($L1063,$N1063),'Drop List'!$G$23:$K$87,2,FALSE),0)</f>
        <v>0.56200000000000006</v>
      </c>
      <c r="AH1063" s="1150">
        <f>IFERROR(VLOOKUP(CONCATENATE($L1063,$N1063),'Drop List'!$G$23:$K$87,3,FALSE),0)</f>
        <v>0.43799999999999994</v>
      </c>
      <c r="AI1063" s="1150">
        <f>IFERROR(VLOOKUP(CONCATENATE($L1063,$N1063),'Drop List'!$G$23:$K$87,4,FALSE),0)</f>
        <v>0</v>
      </c>
      <c r="AJ1063" s="1151">
        <f>IFERROR(VLOOKUP(CONCATENATE($L1063,$N1063),'Drop List'!$G$23:$K$87,5,FALSE),0)</f>
        <v>0</v>
      </c>
      <c r="AK1063" s="1152">
        <f t="shared" si="300"/>
        <v>2262.2184200208976</v>
      </c>
      <c r="AL1063" s="1153">
        <f t="shared" si="301"/>
        <v>1763.0812597315887</v>
      </c>
      <c r="AM1063" s="1153">
        <f t="shared" si="302"/>
        <v>0</v>
      </c>
      <c r="AN1063" s="1145">
        <f t="shared" si="303"/>
        <v>0</v>
      </c>
      <c r="AO1063" s="1154">
        <f t="shared" si="304"/>
        <v>4025.2996797524866</v>
      </c>
      <c r="AP1063" s="1147">
        <f t="shared" si="291"/>
        <v>0</v>
      </c>
      <c r="AQ1063" s="1144">
        <f t="shared" si="292"/>
        <v>0</v>
      </c>
      <c r="AR1063" s="1146">
        <f t="shared" si="293"/>
        <v>4025.2996797524866</v>
      </c>
    </row>
    <row r="1064" spans="1:44" x14ac:dyDescent="0.2">
      <c r="A1064" s="1141" t="str">
        <f t="shared" si="306"/>
        <v>1552</v>
      </c>
      <c r="B1064" s="1141" t="str">
        <f>IFERROR(VLOOKUP(A1064,'LAC 103'!A:C,3,FALSE),"")</f>
        <v>OP</v>
      </c>
      <c r="C1064" s="1478" t="str">
        <f>Info!$B$8</f>
        <v>00100</v>
      </c>
      <c r="D1064" s="1474" t="s">
        <v>256</v>
      </c>
      <c r="E1064" s="1474" t="s">
        <v>95</v>
      </c>
      <c r="F1064" s="1478" t="s">
        <v>412</v>
      </c>
      <c r="G1064" s="1478" t="s">
        <v>412</v>
      </c>
      <c r="H1064" s="1474" t="s">
        <v>1656</v>
      </c>
      <c r="I1064" s="1478" t="s">
        <v>809</v>
      </c>
      <c r="J1064" s="1478"/>
      <c r="K1064" s="1475" t="s">
        <v>848</v>
      </c>
      <c r="L1064" s="1474" t="s">
        <v>45</v>
      </c>
      <c r="M1064" s="1476" t="s">
        <v>1699</v>
      </c>
      <c r="N1064" s="1477" t="s">
        <v>1694</v>
      </c>
      <c r="O1064" s="1479">
        <v>354</v>
      </c>
      <c r="P1064" s="1479"/>
      <c r="Q1064" s="1142">
        <f t="shared" si="289"/>
        <v>354</v>
      </c>
      <c r="R1064" s="1143">
        <f>IFERROR(VLOOKUP(CONCATENATE(E1064,G1064),'LAC 103'!$A$12:$O$95,11,FALSE),0)</f>
        <v>3.207410103388435</v>
      </c>
      <c r="S1064" s="1144">
        <f>IFERROR(VLOOKUP(CONCATENATE($E1064,$G1064),'LAC 103'!$A$12:$O$95,12,FALSE),0)</f>
        <v>3.99</v>
      </c>
      <c r="T1064" s="1144">
        <f>IFERROR(VLOOKUP(CONCATENATE($E1064,$G1064),'LAC 103'!$A$12:$O$95,13,FALSE),0)</f>
        <v>2.48</v>
      </c>
      <c r="U1064" s="1144">
        <f>IFERROR(VLOOKUP(CONCATENATE($E1064,$G1064),'LAC 103'!$A$12:$O$95,14,FALSE),0)</f>
        <v>0</v>
      </c>
      <c r="V1064" s="1144">
        <f>IFERROR(VLOOKUP(CONCATENATE($E1064,$G1064),'LAC 103'!$A$12:$O$95,15,FALSE),0)</f>
        <v>0</v>
      </c>
      <c r="W1064" s="1145" t="str">
        <f>IFERROR(VLOOKUP(CONCATENATE($B1064,$N1064),'LAC 103'!$AI:$AQ,9,FALSE),"")</f>
        <v>Costs</v>
      </c>
      <c r="X1064" s="1146">
        <f t="shared" si="294"/>
        <v>3.207410103388435</v>
      </c>
      <c r="Y1064" s="1143">
        <f t="shared" si="305"/>
        <v>1135.423176599506</v>
      </c>
      <c r="Z1064" s="1147">
        <f t="shared" si="295"/>
        <v>1412.46</v>
      </c>
      <c r="AA1064" s="1144">
        <f t="shared" si="296"/>
        <v>877.92</v>
      </c>
      <c r="AB1064" s="1144">
        <f t="shared" si="297"/>
        <v>0</v>
      </c>
      <c r="AC1064" s="1144">
        <f t="shared" si="298"/>
        <v>0</v>
      </c>
      <c r="AD1064" s="1148">
        <f t="shared" si="290"/>
        <v>1135.423176599506</v>
      </c>
      <c r="AE1064" s="1487">
        <v>0</v>
      </c>
      <c r="AF1064" s="1145">
        <f t="shared" si="299"/>
        <v>1135.423176599506</v>
      </c>
      <c r="AG1064" s="1149">
        <f>IFERROR(VLOOKUP(CONCATENATE($L1064,$N1064),'Drop List'!$G$23:$K$87,2,FALSE),0)</f>
        <v>0.69340000000000002</v>
      </c>
      <c r="AH1064" s="1150">
        <f>IFERROR(VLOOKUP(CONCATENATE($L1064,$N1064),'Drop List'!$G$23:$K$87,3,FALSE),0)</f>
        <v>0.30659999999999998</v>
      </c>
      <c r="AI1064" s="1150">
        <f>IFERROR(VLOOKUP(CONCATENATE($L1064,$N1064),'Drop List'!$G$23:$K$87,4,FALSE),0)</f>
        <v>0</v>
      </c>
      <c r="AJ1064" s="1151">
        <f>IFERROR(VLOOKUP(CONCATENATE($L1064,$N1064),'Drop List'!$G$23:$K$87,5,FALSE),0)</f>
        <v>0</v>
      </c>
      <c r="AK1064" s="1152">
        <f t="shared" si="300"/>
        <v>787.30243065409741</v>
      </c>
      <c r="AL1064" s="1153">
        <f t="shared" si="301"/>
        <v>348.12074594540849</v>
      </c>
      <c r="AM1064" s="1153">
        <f t="shared" si="302"/>
        <v>0</v>
      </c>
      <c r="AN1064" s="1145">
        <f t="shared" si="303"/>
        <v>0</v>
      </c>
      <c r="AO1064" s="1154">
        <f t="shared" si="304"/>
        <v>1135.423176599506</v>
      </c>
      <c r="AP1064" s="1147">
        <f t="shared" si="291"/>
        <v>0</v>
      </c>
      <c r="AQ1064" s="1144">
        <f t="shared" si="292"/>
        <v>0</v>
      </c>
      <c r="AR1064" s="1146">
        <f t="shared" si="293"/>
        <v>1135.423176599506</v>
      </c>
    </row>
    <row r="1065" spans="1:44" x14ac:dyDescent="0.2">
      <c r="A1065" s="1141" t="str">
        <f t="shared" si="306"/>
        <v>1552</v>
      </c>
      <c r="B1065" s="1141" t="str">
        <f>IFERROR(VLOOKUP(A1065,'LAC 103'!A:C,3,FALSE),"")</f>
        <v>OP</v>
      </c>
      <c r="C1065" s="1478" t="str">
        <f>Info!$B$8</f>
        <v>00100</v>
      </c>
      <c r="D1065" s="1474" t="s">
        <v>256</v>
      </c>
      <c r="E1065" s="1474" t="s">
        <v>95</v>
      </c>
      <c r="F1065" s="1478" t="s">
        <v>412</v>
      </c>
      <c r="G1065" s="1478" t="s">
        <v>412</v>
      </c>
      <c r="H1065" s="1474" t="s">
        <v>1656</v>
      </c>
      <c r="I1065" s="1478" t="s">
        <v>809</v>
      </c>
      <c r="J1065" s="1478"/>
      <c r="K1065" s="1475" t="s">
        <v>848</v>
      </c>
      <c r="L1065" s="1474" t="s">
        <v>45</v>
      </c>
      <c r="M1065" s="1476" t="s">
        <v>841</v>
      </c>
      <c r="N1065" s="1477" t="s">
        <v>1695</v>
      </c>
      <c r="O1065" s="1479">
        <v>90</v>
      </c>
      <c r="P1065" s="1479"/>
      <c r="Q1065" s="1142">
        <f t="shared" si="289"/>
        <v>90</v>
      </c>
      <c r="R1065" s="1143">
        <f>IFERROR(VLOOKUP(CONCATENATE(E1065,G1065),'LAC 103'!$A$12:$O$95,11,FALSE),0)</f>
        <v>3.207410103388435</v>
      </c>
      <c r="S1065" s="1144">
        <f>IFERROR(VLOOKUP(CONCATENATE($E1065,$G1065),'LAC 103'!$A$12:$O$95,12,FALSE),0)</f>
        <v>3.99</v>
      </c>
      <c r="T1065" s="1144">
        <f>IFERROR(VLOOKUP(CONCATENATE($E1065,$G1065),'LAC 103'!$A$12:$O$95,13,FALSE),0)</f>
        <v>2.48</v>
      </c>
      <c r="U1065" s="1144">
        <f>IFERROR(VLOOKUP(CONCATENATE($E1065,$G1065),'LAC 103'!$A$12:$O$95,14,FALSE),0)</f>
        <v>0</v>
      </c>
      <c r="V1065" s="1144">
        <f>IFERROR(VLOOKUP(CONCATENATE($E1065,$G1065),'LAC 103'!$A$12:$O$95,15,FALSE),0)</f>
        <v>0</v>
      </c>
      <c r="W1065" s="1145" t="str">
        <f>IFERROR(VLOOKUP(CONCATENATE($B1065,$N1065),'LAC 103'!$AI:$AQ,9,FALSE),"")</f>
        <v>Costs</v>
      </c>
      <c r="X1065" s="1146">
        <f t="shared" si="294"/>
        <v>3.207410103388435</v>
      </c>
      <c r="Y1065" s="1143">
        <f t="shared" si="305"/>
        <v>288.66690930495918</v>
      </c>
      <c r="Z1065" s="1147">
        <f t="shared" si="295"/>
        <v>359.1</v>
      </c>
      <c r="AA1065" s="1144">
        <f t="shared" si="296"/>
        <v>223.2</v>
      </c>
      <c r="AB1065" s="1144">
        <f t="shared" si="297"/>
        <v>0</v>
      </c>
      <c r="AC1065" s="1144">
        <f t="shared" si="298"/>
        <v>0</v>
      </c>
      <c r="AD1065" s="1148">
        <f t="shared" si="290"/>
        <v>288.66690930495918</v>
      </c>
      <c r="AE1065" s="1487">
        <v>0</v>
      </c>
      <c r="AF1065" s="1145">
        <f t="shared" si="299"/>
        <v>288.66690930495918</v>
      </c>
      <c r="AG1065" s="1149">
        <f>IFERROR(VLOOKUP(CONCATENATE($L1065,$N1065),'Drop List'!$G$23:$K$87,2,FALSE),0)</f>
        <v>0.68500000000000005</v>
      </c>
      <c r="AH1065" s="1150">
        <f>IFERROR(VLOOKUP(CONCATENATE($L1065,$N1065),'Drop List'!$G$23:$K$87,3,FALSE),0)</f>
        <v>0.31499999999999995</v>
      </c>
      <c r="AI1065" s="1150">
        <f>IFERROR(VLOOKUP(CONCATENATE($L1065,$N1065),'Drop List'!$G$23:$K$87,4,FALSE),0)</f>
        <v>0</v>
      </c>
      <c r="AJ1065" s="1151">
        <f>IFERROR(VLOOKUP(CONCATENATE($L1065,$N1065),'Drop List'!$G$23:$K$87,5,FALSE),0)</f>
        <v>0</v>
      </c>
      <c r="AK1065" s="1152">
        <f t="shared" si="300"/>
        <v>197.73683287389704</v>
      </c>
      <c r="AL1065" s="1153">
        <f t="shared" si="301"/>
        <v>90.930076431062119</v>
      </c>
      <c r="AM1065" s="1153">
        <f t="shared" si="302"/>
        <v>0</v>
      </c>
      <c r="AN1065" s="1145">
        <f t="shared" si="303"/>
        <v>0</v>
      </c>
      <c r="AO1065" s="1154">
        <f t="shared" si="304"/>
        <v>288.66690930495918</v>
      </c>
      <c r="AP1065" s="1147">
        <f t="shared" si="291"/>
        <v>0</v>
      </c>
      <c r="AQ1065" s="1144">
        <f t="shared" si="292"/>
        <v>0</v>
      </c>
      <c r="AR1065" s="1146">
        <f t="shared" si="293"/>
        <v>288.66690930495918</v>
      </c>
    </row>
    <row r="1066" spans="1:44" x14ac:dyDescent="0.2">
      <c r="A1066" s="1141" t="str">
        <f t="shared" si="306"/>
        <v>1552</v>
      </c>
      <c r="B1066" s="1141" t="str">
        <f>IFERROR(VLOOKUP(A1066,'LAC 103'!A:C,3,FALSE),"")</f>
        <v>OP</v>
      </c>
      <c r="C1066" s="1478" t="str">
        <f>Info!$B$8</f>
        <v>00100</v>
      </c>
      <c r="D1066" s="1474" t="s">
        <v>256</v>
      </c>
      <c r="E1066" s="1474" t="s">
        <v>95</v>
      </c>
      <c r="F1066" s="1478" t="s">
        <v>412</v>
      </c>
      <c r="G1066" s="1478" t="s">
        <v>412</v>
      </c>
      <c r="H1066" s="1474" t="s">
        <v>1656</v>
      </c>
      <c r="I1066" s="1478" t="s">
        <v>809</v>
      </c>
      <c r="J1066" s="1478"/>
      <c r="K1066" s="1475" t="s">
        <v>848</v>
      </c>
      <c r="L1066" s="1474" t="s">
        <v>45</v>
      </c>
      <c r="M1066" s="1476" t="s">
        <v>840</v>
      </c>
      <c r="N1066" s="1477" t="s">
        <v>1700</v>
      </c>
      <c r="O1066" s="1479">
        <v>127</v>
      </c>
      <c r="P1066" s="1479"/>
      <c r="Q1066" s="1142">
        <f t="shared" si="289"/>
        <v>127</v>
      </c>
      <c r="R1066" s="1143">
        <f>IFERROR(VLOOKUP(CONCATENATE(E1066,G1066),'LAC 103'!$A$12:$O$95,11,FALSE),0)</f>
        <v>3.207410103388435</v>
      </c>
      <c r="S1066" s="1144">
        <f>IFERROR(VLOOKUP(CONCATENATE($E1066,$G1066),'LAC 103'!$A$12:$O$95,12,FALSE),0)</f>
        <v>3.99</v>
      </c>
      <c r="T1066" s="1144">
        <f>IFERROR(VLOOKUP(CONCATENATE($E1066,$G1066),'LAC 103'!$A$12:$O$95,13,FALSE),0)</f>
        <v>2.48</v>
      </c>
      <c r="U1066" s="1144">
        <f>IFERROR(VLOOKUP(CONCATENATE($E1066,$G1066),'LAC 103'!$A$12:$O$95,14,FALSE),0)</f>
        <v>0</v>
      </c>
      <c r="V1066" s="1144">
        <f>IFERROR(VLOOKUP(CONCATENATE($E1066,$G1066),'LAC 103'!$A$12:$O$95,15,FALSE),0)</f>
        <v>0</v>
      </c>
      <c r="W1066" s="1145" t="str">
        <f>IFERROR(VLOOKUP(CONCATENATE($B1066,$N1066),'LAC 103'!$AI:$AQ,9,FALSE),"")</f>
        <v>P.C.</v>
      </c>
      <c r="X1066" s="1146">
        <f t="shared" si="294"/>
        <v>2.48</v>
      </c>
      <c r="Y1066" s="1143">
        <f t="shared" si="305"/>
        <v>407.34108313033124</v>
      </c>
      <c r="Z1066" s="1147">
        <f t="shared" si="295"/>
        <v>506.73</v>
      </c>
      <c r="AA1066" s="1144">
        <f t="shared" si="296"/>
        <v>314.95999999999998</v>
      </c>
      <c r="AB1066" s="1144">
        <f t="shared" si="297"/>
        <v>0</v>
      </c>
      <c r="AC1066" s="1144">
        <f t="shared" si="298"/>
        <v>0</v>
      </c>
      <c r="AD1066" s="1148">
        <f t="shared" si="290"/>
        <v>314.95999999999998</v>
      </c>
      <c r="AE1066" s="1487">
        <v>0</v>
      </c>
      <c r="AF1066" s="1145">
        <f t="shared" si="299"/>
        <v>314.95999999999998</v>
      </c>
      <c r="AG1066" s="1149">
        <f>IFERROR(VLOOKUP(CONCATENATE($L1066,$N1066),'Drop List'!$G$23:$K$87,2,FALSE),0)</f>
        <v>0.68500000000000005</v>
      </c>
      <c r="AH1066" s="1150">
        <f>IFERROR(VLOOKUP(CONCATENATE($L1066,$N1066),'Drop List'!$G$23:$K$87,3,FALSE),0)</f>
        <v>0.31499999999999995</v>
      </c>
      <c r="AI1066" s="1150">
        <f>IFERROR(VLOOKUP(CONCATENATE($L1066,$N1066),'Drop List'!$G$23:$K$87,4,FALSE),0)</f>
        <v>0</v>
      </c>
      <c r="AJ1066" s="1151">
        <f>IFERROR(VLOOKUP(CONCATENATE($L1066,$N1066),'Drop List'!$G$23:$K$87,5,FALSE),0)</f>
        <v>0</v>
      </c>
      <c r="AK1066" s="1152">
        <f t="shared" si="300"/>
        <v>215.74760000000001</v>
      </c>
      <c r="AL1066" s="1153">
        <f t="shared" si="301"/>
        <v>99.212399999999974</v>
      </c>
      <c r="AM1066" s="1153">
        <f t="shared" si="302"/>
        <v>0</v>
      </c>
      <c r="AN1066" s="1145">
        <f t="shared" si="303"/>
        <v>0</v>
      </c>
      <c r="AO1066" s="1154">
        <f t="shared" si="304"/>
        <v>314.95999999999998</v>
      </c>
      <c r="AP1066" s="1147">
        <f t="shared" si="291"/>
        <v>0</v>
      </c>
      <c r="AQ1066" s="1144">
        <f t="shared" si="292"/>
        <v>0</v>
      </c>
      <c r="AR1066" s="1146">
        <f t="shared" si="293"/>
        <v>314.95999999999998</v>
      </c>
    </row>
    <row r="1067" spans="1:44" x14ac:dyDescent="0.2">
      <c r="A1067" s="1141" t="str">
        <f t="shared" si="306"/>
        <v>1552</v>
      </c>
      <c r="B1067" s="1141" t="str">
        <f>IFERROR(VLOOKUP(A1067,'LAC 103'!A:C,3,FALSE),"")</f>
        <v>OP</v>
      </c>
      <c r="C1067" s="1478" t="str">
        <f>Info!$B$8</f>
        <v>00100</v>
      </c>
      <c r="D1067" s="1474" t="s">
        <v>256</v>
      </c>
      <c r="E1067" s="1474" t="s">
        <v>95</v>
      </c>
      <c r="F1067" s="1478" t="s">
        <v>412</v>
      </c>
      <c r="G1067" s="1478" t="s">
        <v>412</v>
      </c>
      <c r="H1067" s="1474" t="s">
        <v>1656</v>
      </c>
      <c r="I1067" s="1478" t="s">
        <v>809</v>
      </c>
      <c r="J1067" s="1478"/>
      <c r="K1067" s="1475" t="s">
        <v>848</v>
      </c>
      <c r="L1067" s="1474" t="s">
        <v>45</v>
      </c>
      <c r="M1067" s="1476" t="s">
        <v>842</v>
      </c>
      <c r="N1067" s="1477" t="s">
        <v>1692</v>
      </c>
      <c r="O1067" s="1479">
        <v>377</v>
      </c>
      <c r="P1067" s="1479"/>
      <c r="Q1067" s="1142">
        <f t="shared" si="289"/>
        <v>377</v>
      </c>
      <c r="R1067" s="1143">
        <f>IFERROR(VLOOKUP(CONCATENATE(E1067,G1067),'LAC 103'!$A$12:$O$95,11,FALSE),0)</f>
        <v>3.207410103388435</v>
      </c>
      <c r="S1067" s="1144">
        <f>IFERROR(VLOOKUP(CONCATENATE($E1067,$G1067),'LAC 103'!$A$12:$O$95,12,FALSE),0)</f>
        <v>3.99</v>
      </c>
      <c r="T1067" s="1144">
        <f>IFERROR(VLOOKUP(CONCATENATE($E1067,$G1067),'LAC 103'!$A$12:$O$95,13,FALSE),0)</f>
        <v>2.48</v>
      </c>
      <c r="U1067" s="1144">
        <f>IFERROR(VLOOKUP(CONCATENATE($E1067,$G1067),'LAC 103'!$A$12:$O$95,14,FALSE),0)</f>
        <v>0</v>
      </c>
      <c r="V1067" s="1144">
        <f>IFERROR(VLOOKUP(CONCATENATE($E1067,$G1067),'LAC 103'!$A$12:$O$95,15,FALSE),0)</f>
        <v>0</v>
      </c>
      <c r="W1067" s="1145" t="str">
        <f>IFERROR(VLOOKUP(CONCATENATE($B1067,$N1067),'LAC 103'!$AI:$AQ,9,FALSE),"")</f>
        <v>Costs</v>
      </c>
      <c r="X1067" s="1146">
        <f t="shared" si="294"/>
        <v>3.207410103388435</v>
      </c>
      <c r="Y1067" s="1143">
        <f t="shared" si="305"/>
        <v>1209.1936089774399</v>
      </c>
      <c r="Z1067" s="1147">
        <f t="shared" si="295"/>
        <v>1504.23</v>
      </c>
      <c r="AA1067" s="1144">
        <f t="shared" si="296"/>
        <v>934.96</v>
      </c>
      <c r="AB1067" s="1144">
        <f t="shared" si="297"/>
        <v>0</v>
      </c>
      <c r="AC1067" s="1144">
        <f t="shared" si="298"/>
        <v>0</v>
      </c>
      <c r="AD1067" s="1148">
        <f t="shared" si="290"/>
        <v>1209.1936089774399</v>
      </c>
      <c r="AE1067" s="1487">
        <v>0</v>
      </c>
      <c r="AF1067" s="1145">
        <f t="shared" si="299"/>
        <v>1209.1936089774399</v>
      </c>
      <c r="AG1067" s="1149">
        <f>IFERROR(VLOOKUP(CONCATENATE($L1067,$N1067),'Drop List'!$G$23:$K$87,2,FALSE),0)</f>
        <v>0.69340000000000002</v>
      </c>
      <c r="AH1067" s="1150">
        <f>IFERROR(VLOOKUP(CONCATENATE($L1067,$N1067),'Drop List'!$G$23:$K$87,3,FALSE),0)</f>
        <v>0.30659999999999998</v>
      </c>
      <c r="AI1067" s="1150">
        <f>IFERROR(VLOOKUP(CONCATENATE($L1067,$N1067),'Drop List'!$G$23:$K$87,4,FALSE),0)</f>
        <v>0</v>
      </c>
      <c r="AJ1067" s="1151">
        <f>IFERROR(VLOOKUP(CONCATENATE($L1067,$N1067),'Drop List'!$G$23:$K$87,5,FALSE),0)</f>
        <v>0</v>
      </c>
      <c r="AK1067" s="1152">
        <f t="shared" si="300"/>
        <v>838.45484846495685</v>
      </c>
      <c r="AL1067" s="1153">
        <f t="shared" si="301"/>
        <v>370.73876051248305</v>
      </c>
      <c r="AM1067" s="1153">
        <f t="shared" si="302"/>
        <v>0</v>
      </c>
      <c r="AN1067" s="1145">
        <f t="shared" si="303"/>
        <v>0</v>
      </c>
      <c r="AO1067" s="1154">
        <f t="shared" si="304"/>
        <v>1209.1936089774399</v>
      </c>
      <c r="AP1067" s="1147">
        <f t="shared" si="291"/>
        <v>0</v>
      </c>
      <c r="AQ1067" s="1144">
        <f t="shared" si="292"/>
        <v>0</v>
      </c>
      <c r="AR1067" s="1146">
        <f t="shared" si="293"/>
        <v>1209.1936089774399</v>
      </c>
    </row>
    <row r="1068" spans="1:44" x14ac:dyDescent="0.2">
      <c r="A1068" s="1141" t="str">
        <f t="shared" si="306"/>
        <v>1552</v>
      </c>
      <c r="B1068" s="1141" t="str">
        <f>IFERROR(VLOOKUP(A1068,'LAC 103'!A:C,3,FALSE),"")</f>
        <v>OP</v>
      </c>
      <c r="C1068" s="1478" t="str">
        <f>Info!$B$8</f>
        <v>00100</v>
      </c>
      <c r="D1068" s="1474" t="s">
        <v>256</v>
      </c>
      <c r="E1068" s="1474" t="s">
        <v>95</v>
      </c>
      <c r="F1068" s="1478" t="s">
        <v>412</v>
      </c>
      <c r="G1068" s="1478" t="s">
        <v>412</v>
      </c>
      <c r="H1068" s="1474" t="s">
        <v>1656</v>
      </c>
      <c r="I1068" s="1478" t="s">
        <v>809</v>
      </c>
      <c r="J1068" s="1478"/>
      <c r="K1068" s="1475" t="s">
        <v>848</v>
      </c>
      <c r="L1068" s="1474" t="s">
        <v>45</v>
      </c>
      <c r="M1068" s="1476" t="s">
        <v>1698</v>
      </c>
      <c r="N1068" s="1477" t="s">
        <v>1693</v>
      </c>
      <c r="O1068" s="1479">
        <v>420</v>
      </c>
      <c r="P1068" s="1479"/>
      <c r="Q1068" s="1142">
        <f t="shared" si="289"/>
        <v>420</v>
      </c>
      <c r="R1068" s="1143">
        <f>IFERROR(VLOOKUP(CONCATENATE(E1068,G1068),'LAC 103'!$A$12:$O$95,11,FALSE),0)</f>
        <v>3.207410103388435</v>
      </c>
      <c r="S1068" s="1144">
        <f>IFERROR(VLOOKUP(CONCATENATE($E1068,$G1068),'LAC 103'!$A$12:$O$95,12,FALSE),0)</f>
        <v>3.99</v>
      </c>
      <c r="T1068" s="1144">
        <f>IFERROR(VLOOKUP(CONCATENATE($E1068,$G1068),'LAC 103'!$A$12:$O$95,13,FALSE),0)</f>
        <v>2.48</v>
      </c>
      <c r="U1068" s="1144">
        <f>IFERROR(VLOOKUP(CONCATENATE($E1068,$G1068),'LAC 103'!$A$12:$O$95,14,FALSE),0)</f>
        <v>0</v>
      </c>
      <c r="V1068" s="1144">
        <f>IFERROR(VLOOKUP(CONCATENATE($E1068,$G1068),'LAC 103'!$A$12:$O$95,15,FALSE),0)</f>
        <v>0</v>
      </c>
      <c r="W1068" s="1145" t="str">
        <f>IFERROR(VLOOKUP(CONCATENATE($B1068,$N1068),'LAC 103'!$AI:$AQ,9,FALSE),"")</f>
        <v>Costs</v>
      </c>
      <c r="X1068" s="1146">
        <f t="shared" si="294"/>
        <v>3.207410103388435</v>
      </c>
      <c r="Y1068" s="1143">
        <f t="shared" si="305"/>
        <v>1347.1122434231427</v>
      </c>
      <c r="Z1068" s="1147">
        <f t="shared" si="295"/>
        <v>1675.8000000000002</v>
      </c>
      <c r="AA1068" s="1144">
        <f t="shared" si="296"/>
        <v>1041.5999999999999</v>
      </c>
      <c r="AB1068" s="1144">
        <f t="shared" si="297"/>
        <v>0</v>
      </c>
      <c r="AC1068" s="1144">
        <f t="shared" si="298"/>
        <v>0</v>
      </c>
      <c r="AD1068" s="1148">
        <f t="shared" si="290"/>
        <v>1347.1122434231427</v>
      </c>
      <c r="AE1068" s="1487">
        <v>0</v>
      </c>
      <c r="AF1068" s="1145">
        <f t="shared" si="299"/>
        <v>1347.1122434231427</v>
      </c>
      <c r="AG1068" s="1149">
        <f>IFERROR(VLOOKUP(CONCATENATE($L1068,$N1068),'Drop List'!$G$23:$K$87,2,FALSE),0)</f>
        <v>0.69340000000000002</v>
      </c>
      <c r="AH1068" s="1150">
        <f>IFERROR(VLOOKUP(CONCATENATE($L1068,$N1068),'Drop List'!$G$23:$K$87,3,FALSE),0)</f>
        <v>0.30659999999999998</v>
      </c>
      <c r="AI1068" s="1150">
        <f>IFERROR(VLOOKUP(CONCATENATE($L1068,$N1068),'Drop List'!$G$23:$K$87,4,FALSE),0)</f>
        <v>0</v>
      </c>
      <c r="AJ1068" s="1151">
        <f>IFERROR(VLOOKUP(CONCATENATE($L1068,$N1068),'Drop List'!$G$23:$K$87,5,FALSE),0)</f>
        <v>0</v>
      </c>
      <c r="AK1068" s="1152">
        <f t="shared" si="300"/>
        <v>934.0876295896071</v>
      </c>
      <c r="AL1068" s="1153">
        <f t="shared" si="301"/>
        <v>413.02461383353551</v>
      </c>
      <c r="AM1068" s="1153">
        <f t="shared" si="302"/>
        <v>0</v>
      </c>
      <c r="AN1068" s="1145">
        <f t="shared" si="303"/>
        <v>0</v>
      </c>
      <c r="AO1068" s="1154">
        <f t="shared" si="304"/>
        <v>1347.1122434231427</v>
      </c>
      <c r="AP1068" s="1147">
        <f t="shared" si="291"/>
        <v>0</v>
      </c>
      <c r="AQ1068" s="1144">
        <f t="shared" si="292"/>
        <v>0</v>
      </c>
      <c r="AR1068" s="1146">
        <f t="shared" si="293"/>
        <v>1347.1122434231427</v>
      </c>
    </row>
    <row r="1069" spans="1:44" x14ac:dyDescent="0.2">
      <c r="A1069" s="1141" t="str">
        <f t="shared" si="306"/>
        <v>1552</v>
      </c>
      <c r="B1069" s="1141" t="str">
        <f>IFERROR(VLOOKUP(A1069,'LAC 103'!A:C,3,FALSE),"")</f>
        <v>OP</v>
      </c>
      <c r="C1069" s="1478" t="str">
        <f>Info!$B$8</f>
        <v>00100</v>
      </c>
      <c r="D1069" s="1474" t="s">
        <v>256</v>
      </c>
      <c r="E1069" s="1474" t="s">
        <v>95</v>
      </c>
      <c r="F1069" s="1478" t="s">
        <v>412</v>
      </c>
      <c r="G1069" s="1478" t="s">
        <v>412</v>
      </c>
      <c r="H1069" s="1474" t="s">
        <v>1656</v>
      </c>
      <c r="I1069" s="1478" t="s">
        <v>809</v>
      </c>
      <c r="J1069" s="1478"/>
      <c r="K1069" s="1475" t="s">
        <v>849</v>
      </c>
      <c r="L1069" s="1474" t="s">
        <v>77</v>
      </c>
      <c r="M1069" s="1476" t="s">
        <v>1699</v>
      </c>
      <c r="N1069" s="1477" t="s">
        <v>1694</v>
      </c>
      <c r="O1069" s="1479">
        <v>57</v>
      </c>
      <c r="P1069" s="1479"/>
      <c r="Q1069" s="1142">
        <f t="shared" si="289"/>
        <v>57</v>
      </c>
      <c r="R1069" s="1143">
        <f>IFERROR(VLOOKUP(CONCATENATE(E1069,G1069),'LAC 103'!$A$12:$O$95,11,FALSE),0)</f>
        <v>3.207410103388435</v>
      </c>
      <c r="S1069" s="1144">
        <f>IFERROR(VLOOKUP(CONCATENATE($E1069,$G1069),'LAC 103'!$A$12:$O$95,12,FALSE),0)</f>
        <v>3.99</v>
      </c>
      <c r="T1069" s="1144">
        <f>IFERROR(VLOOKUP(CONCATENATE($E1069,$G1069),'LAC 103'!$A$12:$O$95,13,FALSE),0)</f>
        <v>2.48</v>
      </c>
      <c r="U1069" s="1144">
        <f>IFERROR(VLOOKUP(CONCATENATE($E1069,$G1069),'LAC 103'!$A$12:$O$95,14,FALSE),0)</f>
        <v>0</v>
      </c>
      <c r="V1069" s="1144">
        <f>IFERROR(VLOOKUP(CONCATENATE($E1069,$G1069),'LAC 103'!$A$12:$O$95,15,FALSE),0)</f>
        <v>0</v>
      </c>
      <c r="W1069" s="1145" t="str">
        <f>IFERROR(VLOOKUP(CONCATENATE($B1069,$N1069),'LAC 103'!$AI:$AQ,9,FALSE),"")</f>
        <v>Costs</v>
      </c>
      <c r="X1069" s="1146">
        <f t="shared" si="294"/>
        <v>3.207410103388435</v>
      </c>
      <c r="Y1069" s="1143">
        <f t="shared" si="305"/>
        <v>182.82237589314079</v>
      </c>
      <c r="Z1069" s="1147">
        <f t="shared" si="295"/>
        <v>227.43</v>
      </c>
      <c r="AA1069" s="1144">
        <f t="shared" si="296"/>
        <v>141.35999999999999</v>
      </c>
      <c r="AB1069" s="1144">
        <f t="shared" si="297"/>
        <v>0</v>
      </c>
      <c r="AC1069" s="1144">
        <f t="shared" si="298"/>
        <v>0</v>
      </c>
      <c r="AD1069" s="1148">
        <f t="shared" si="290"/>
        <v>182.82237589314079</v>
      </c>
      <c r="AE1069" s="1487">
        <v>0</v>
      </c>
      <c r="AF1069" s="1145">
        <f t="shared" si="299"/>
        <v>182.82237589314079</v>
      </c>
      <c r="AG1069" s="1149">
        <f>IFERROR(VLOOKUP(CONCATENATE($L1069,$N1069),'Drop List'!$G$23:$K$87,2,FALSE),0)</f>
        <v>0.9</v>
      </c>
      <c r="AH1069" s="1150">
        <f>IFERROR(VLOOKUP(CONCATENATE($L1069,$N1069),'Drop List'!$G$23:$K$87,3,FALSE),0)</f>
        <v>0</v>
      </c>
      <c r="AI1069" s="1150">
        <f>IFERROR(VLOOKUP(CONCATENATE($L1069,$N1069),'Drop List'!$G$23:$K$87,4,FALSE),0)</f>
        <v>0.1</v>
      </c>
      <c r="AJ1069" s="1151">
        <f>IFERROR(VLOOKUP(CONCATENATE($L1069,$N1069),'Drop List'!$G$23:$K$87,5,FALSE),0)</f>
        <v>0</v>
      </c>
      <c r="AK1069" s="1152">
        <f t="shared" si="300"/>
        <v>164.54013830382672</v>
      </c>
      <c r="AL1069" s="1153">
        <f t="shared" si="301"/>
        <v>0</v>
      </c>
      <c r="AM1069" s="1153">
        <f t="shared" si="302"/>
        <v>18.282237589314079</v>
      </c>
      <c r="AN1069" s="1145">
        <f t="shared" si="303"/>
        <v>0</v>
      </c>
      <c r="AO1069" s="1154">
        <f t="shared" si="304"/>
        <v>182.82237589314082</v>
      </c>
      <c r="AP1069" s="1147">
        <f t="shared" si="291"/>
        <v>0</v>
      </c>
      <c r="AQ1069" s="1144">
        <f t="shared" si="292"/>
        <v>0</v>
      </c>
      <c r="AR1069" s="1146">
        <f t="shared" si="293"/>
        <v>182.82237589314082</v>
      </c>
    </row>
    <row r="1070" spans="1:44" x14ac:dyDescent="0.2">
      <c r="A1070" s="1141" t="str">
        <f t="shared" si="306"/>
        <v>1552</v>
      </c>
      <c r="B1070" s="1141" t="str">
        <f>IFERROR(VLOOKUP(A1070,'LAC 103'!A:C,3,FALSE),"")</f>
        <v>OP</v>
      </c>
      <c r="C1070" s="1478" t="str">
        <f>Info!$B$8</f>
        <v>00100</v>
      </c>
      <c r="D1070" s="1474" t="s">
        <v>256</v>
      </c>
      <c r="E1070" s="1474" t="s">
        <v>95</v>
      </c>
      <c r="F1070" s="1478" t="s">
        <v>412</v>
      </c>
      <c r="G1070" s="1478" t="s">
        <v>412</v>
      </c>
      <c r="H1070" s="1474" t="s">
        <v>1656</v>
      </c>
      <c r="I1070" s="1478" t="s">
        <v>809</v>
      </c>
      <c r="J1070" s="1478"/>
      <c r="K1070" s="1475" t="s">
        <v>849</v>
      </c>
      <c r="L1070" s="1474" t="s">
        <v>77</v>
      </c>
      <c r="M1070" s="1476" t="s">
        <v>841</v>
      </c>
      <c r="N1070" s="1477" t="s">
        <v>1695</v>
      </c>
      <c r="O1070" s="1479">
        <v>254</v>
      </c>
      <c r="P1070" s="1479"/>
      <c r="Q1070" s="1142">
        <f t="shared" si="289"/>
        <v>254</v>
      </c>
      <c r="R1070" s="1143">
        <f>IFERROR(VLOOKUP(CONCATENATE(E1070,G1070),'LAC 103'!$A$12:$O$95,11,FALSE),0)</f>
        <v>3.207410103388435</v>
      </c>
      <c r="S1070" s="1144">
        <f>IFERROR(VLOOKUP(CONCATENATE($E1070,$G1070),'LAC 103'!$A$12:$O$95,12,FALSE),0)</f>
        <v>3.99</v>
      </c>
      <c r="T1070" s="1144">
        <f>IFERROR(VLOOKUP(CONCATENATE($E1070,$G1070),'LAC 103'!$A$12:$O$95,13,FALSE),0)</f>
        <v>2.48</v>
      </c>
      <c r="U1070" s="1144">
        <f>IFERROR(VLOOKUP(CONCATENATE($E1070,$G1070),'LAC 103'!$A$12:$O$95,14,FALSE),0)</f>
        <v>0</v>
      </c>
      <c r="V1070" s="1144">
        <f>IFERROR(VLOOKUP(CONCATENATE($E1070,$G1070),'LAC 103'!$A$12:$O$95,15,FALSE),0)</f>
        <v>0</v>
      </c>
      <c r="W1070" s="1145" t="str">
        <f>IFERROR(VLOOKUP(CONCATENATE($B1070,$N1070),'LAC 103'!$AI:$AQ,9,FALSE),"")</f>
        <v>Costs</v>
      </c>
      <c r="X1070" s="1146">
        <f t="shared" si="294"/>
        <v>3.207410103388435</v>
      </c>
      <c r="Y1070" s="1143">
        <f t="shared" si="305"/>
        <v>814.68216626066248</v>
      </c>
      <c r="Z1070" s="1147">
        <f t="shared" si="295"/>
        <v>1013.46</v>
      </c>
      <c r="AA1070" s="1144">
        <f t="shared" si="296"/>
        <v>629.91999999999996</v>
      </c>
      <c r="AB1070" s="1144">
        <f t="shared" si="297"/>
        <v>0</v>
      </c>
      <c r="AC1070" s="1144">
        <f t="shared" si="298"/>
        <v>0</v>
      </c>
      <c r="AD1070" s="1148">
        <f t="shared" si="290"/>
        <v>814.68216626066248</v>
      </c>
      <c r="AE1070" s="1487">
        <v>0</v>
      </c>
      <c r="AF1070" s="1145">
        <f t="shared" si="299"/>
        <v>814.68216626066248</v>
      </c>
      <c r="AG1070" s="1149">
        <f>IFERROR(VLOOKUP(CONCATENATE($L1070,$N1070),'Drop List'!$G$23:$K$87,2,FALSE),0)</f>
        <v>0.9</v>
      </c>
      <c r="AH1070" s="1150">
        <f>IFERROR(VLOOKUP(CONCATENATE($L1070,$N1070),'Drop List'!$G$23:$K$87,3,FALSE),0)</f>
        <v>0</v>
      </c>
      <c r="AI1070" s="1150">
        <f>IFERROR(VLOOKUP(CONCATENATE($L1070,$N1070),'Drop List'!$G$23:$K$87,4,FALSE),0)</f>
        <v>0.1</v>
      </c>
      <c r="AJ1070" s="1151">
        <f>IFERROR(VLOOKUP(CONCATENATE($L1070,$N1070),'Drop List'!$G$23:$K$87,5,FALSE),0)</f>
        <v>0</v>
      </c>
      <c r="AK1070" s="1152">
        <f t="shared" si="300"/>
        <v>733.21394963459625</v>
      </c>
      <c r="AL1070" s="1153">
        <f t="shared" si="301"/>
        <v>0</v>
      </c>
      <c r="AM1070" s="1153">
        <f t="shared" si="302"/>
        <v>81.468216626066251</v>
      </c>
      <c r="AN1070" s="1145">
        <f t="shared" si="303"/>
        <v>0</v>
      </c>
      <c r="AO1070" s="1154">
        <f t="shared" si="304"/>
        <v>814.68216626066248</v>
      </c>
      <c r="AP1070" s="1147">
        <f t="shared" si="291"/>
        <v>0</v>
      </c>
      <c r="AQ1070" s="1144">
        <f t="shared" si="292"/>
        <v>0</v>
      </c>
      <c r="AR1070" s="1146">
        <f t="shared" si="293"/>
        <v>814.68216626066248</v>
      </c>
    </row>
    <row r="1071" spans="1:44" x14ac:dyDescent="0.2">
      <c r="A1071" s="1141" t="str">
        <f t="shared" si="306"/>
        <v>1552</v>
      </c>
      <c r="B1071" s="1141" t="str">
        <f>IFERROR(VLOOKUP(A1071,'LAC 103'!A:C,3,FALSE),"")</f>
        <v>OP</v>
      </c>
      <c r="C1071" s="1478" t="str">
        <f>Info!$B$8</f>
        <v>00100</v>
      </c>
      <c r="D1071" s="1474" t="s">
        <v>256</v>
      </c>
      <c r="E1071" s="1474" t="s">
        <v>95</v>
      </c>
      <c r="F1071" s="1478" t="s">
        <v>412</v>
      </c>
      <c r="G1071" s="1478" t="s">
        <v>412</v>
      </c>
      <c r="H1071" s="1474" t="s">
        <v>1656</v>
      </c>
      <c r="I1071" s="1478" t="s">
        <v>809</v>
      </c>
      <c r="J1071" s="1478"/>
      <c r="K1071" s="1475" t="s">
        <v>849</v>
      </c>
      <c r="L1071" s="1474" t="s">
        <v>77</v>
      </c>
      <c r="M1071" s="1476" t="s">
        <v>840</v>
      </c>
      <c r="N1071" s="1477" t="s">
        <v>1700</v>
      </c>
      <c r="O1071" s="1479">
        <v>551</v>
      </c>
      <c r="P1071" s="1479"/>
      <c r="Q1071" s="1142">
        <f t="shared" si="289"/>
        <v>551</v>
      </c>
      <c r="R1071" s="1143">
        <f>IFERROR(VLOOKUP(CONCATENATE(E1071,G1071),'LAC 103'!$A$12:$O$95,11,FALSE),0)</f>
        <v>3.207410103388435</v>
      </c>
      <c r="S1071" s="1144">
        <f>IFERROR(VLOOKUP(CONCATENATE($E1071,$G1071),'LAC 103'!$A$12:$O$95,12,FALSE),0)</f>
        <v>3.99</v>
      </c>
      <c r="T1071" s="1144">
        <f>IFERROR(VLOOKUP(CONCATENATE($E1071,$G1071),'LAC 103'!$A$12:$O$95,13,FALSE),0)</f>
        <v>2.48</v>
      </c>
      <c r="U1071" s="1144">
        <f>IFERROR(VLOOKUP(CONCATENATE($E1071,$G1071),'LAC 103'!$A$12:$O$95,14,FALSE),0)</f>
        <v>0</v>
      </c>
      <c r="V1071" s="1144">
        <f>IFERROR(VLOOKUP(CONCATENATE($E1071,$G1071),'LAC 103'!$A$12:$O$95,15,FALSE),0)</f>
        <v>0</v>
      </c>
      <c r="W1071" s="1145" t="str">
        <f>IFERROR(VLOOKUP(CONCATENATE($B1071,$N1071),'LAC 103'!$AI:$AQ,9,FALSE),"")</f>
        <v>P.C.</v>
      </c>
      <c r="X1071" s="1146">
        <f t="shared" si="294"/>
        <v>2.48</v>
      </c>
      <c r="Y1071" s="1143">
        <f t="shared" si="305"/>
        <v>1767.2829669670277</v>
      </c>
      <c r="Z1071" s="1147">
        <f t="shared" si="295"/>
        <v>2198.4900000000002</v>
      </c>
      <c r="AA1071" s="1144">
        <f t="shared" si="296"/>
        <v>1366.48</v>
      </c>
      <c r="AB1071" s="1144">
        <f t="shared" si="297"/>
        <v>0</v>
      </c>
      <c r="AC1071" s="1144">
        <f t="shared" si="298"/>
        <v>0</v>
      </c>
      <c r="AD1071" s="1148">
        <f t="shared" si="290"/>
        <v>1366.48</v>
      </c>
      <c r="AE1071" s="1487">
        <v>0</v>
      </c>
      <c r="AF1071" s="1145">
        <f t="shared" si="299"/>
        <v>1366.48</v>
      </c>
      <c r="AG1071" s="1149">
        <f>IFERROR(VLOOKUP(CONCATENATE($L1071,$N1071),'Drop List'!$G$23:$K$87,2,FALSE),0)</f>
        <v>0.9</v>
      </c>
      <c r="AH1071" s="1150">
        <f>IFERROR(VLOOKUP(CONCATENATE($L1071,$N1071),'Drop List'!$G$23:$K$87,3,FALSE),0)</f>
        <v>0</v>
      </c>
      <c r="AI1071" s="1150">
        <f>IFERROR(VLOOKUP(CONCATENATE($L1071,$N1071),'Drop List'!$G$23:$K$87,4,FALSE),0)</f>
        <v>0.1</v>
      </c>
      <c r="AJ1071" s="1151">
        <f>IFERROR(VLOOKUP(CONCATENATE($L1071,$N1071),'Drop List'!$G$23:$K$87,5,FALSE),0)</f>
        <v>0</v>
      </c>
      <c r="AK1071" s="1152">
        <f t="shared" si="300"/>
        <v>1229.8320000000001</v>
      </c>
      <c r="AL1071" s="1153">
        <f t="shared" si="301"/>
        <v>0</v>
      </c>
      <c r="AM1071" s="1153">
        <f t="shared" si="302"/>
        <v>136.648</v>
      </c>
      <c r="AN1071" s="1145">
        <f t="shared" si="303"/>
        <v>0</v>
      </c>
      <c r="AO1071" s="1154">
        <f t="shared" si="304"/>
        <v>1366.48</v>
      </c>
      <c r="AP1071" s="1147">
        <f t="shared" si="291"/>
        <v>0</v>
      </c>
      <c r="AQ1071" s="1144">
        <f t="shared" si="292"/>
        <v>0</v>
      </c>
      <c r="AR1071" s="1146">
        <f t="shared" si="293"/>
        <v>1366.48</v>
      </c>
    </row>
    <row r="1072" spans="1:44" x14ac:dyDescent="0.2">
      <c r="A1072" s="1141" t="str">
        <f t="shared" si="306"/>
        <v>1552</v>
      </c>
      <c r="B1072" s="1141" t="str">
        <f>IFERROR(VLOOKUP(A1072,'LAC 103'!A:C,3,FALSE),"")</f>
        <v>OP</v>
      </c>
      <c r="C1072" s="1478" t="str">
        <f>Info!$B$8</f>
        <v>00100</v>
      </c>
      <c r="D1072" s="1474" t="s">
        <v>256</v>
      </c>
      <c r="E1072" s="1474" t="s">
        <v>95</v>
      </c>
      <c r="F1072" s="1478" t="s">
        <v>412</v>
      </c>
      <c r="G1072" s="1478" t="s">
        <v>412</v>
      </c>
      <c r="H1072" s="1474" t="s">
        <v>1656</v>
      </c>
      <c r="I1072" s="1478" t="s">
        <v>809</v>
      </c>
      <c r="J1072" s="1478"/>
      <c r="K1072" s="1475" t="s">
        <v>849</v>
      </c>
      <c r="L1072" s="1474" t="s">
        <v>77</v>
      </c>
      <c r="M1072" s="1476" t="s">
        <v>842</v>
      </c>
      <c r="N1072" s="1477" t="s">
        <v>1692</v>
      </c>
      <c r="O1072" s="1479">
        <v>75</v>
      </c>
      <c r="P1072" s="1479"/>
      <c r="Q1072" s="1142">
        <f t="shared" si="289"/>
        <v>75</v>
      </c>
      <c r="R1072" s="1143">
        <f>IFERROR(VLOOKUP(CONCATENATE(E1072,G1072),'LAC 103'!$A$12:$O$95,11,FALSE),0)</f>
        <v>3.207410103388435</v>
      </c>
      <c r="S1072" s="1144">
        <f>IFERROR(VLOOKUP(CONCATENATE($E1072,$G1072),'LAC 103'!$A$12:$O$95,12,FALSE),0)</f>
        <v>3.99</v>
      </c>
      <c r="T1072" s="1144">
        <f>IFERROR(VLOOKUP(CONCATENATE($E1072,$G1072),'LAC 103'!$A$12:$O$95,13,FALSE),0)</f>
        <v>2.48</v>
      </c>
      <c r="U1072" s="1144">
        <f>IFERROR(VLOOKUP(CONCATENATE($E1072,$G1072),'LAC 103'!$A$12:$O$95,14,FALSE),0)</f>
        <v>0</v>
      </c>
      <c r="V1072" s="1144">
        <f>IFERROR(VLOOKUP(CONCATENATE($E1072,$G1072),'LAC 103'!$A$12:$O$95,15,FALSE),0)</f>
        <v>0</v>
      </c>
      <c r="W1072" s="1145" t="str">
        <f>IFERROR(VLOOKUP(CONCATENATE($B1072,$N1072),'LAC 103'!$AI:$AQ,9,FALSE),"")</f>
        <v>Costs</v>
      </c>
      <c r="X1072" s="1146">
        <f t="shared" si="294"/>
        <v>3.207410103388435</v>
      </c>
      <c r="Y1072" s="1143">
        <f t="shared" si="305"/>
        <v>240.55575775413263</v>
      </c>
      <c r="Z1072" s="1147">
        <f t="shared" si="295"/>
        <v>299.25</v>
      </c>
      <c r="AA1072" s="1144">
        <f t="shared" si="296"/>
        <v>186</v>
      </c>
      <c r="AB1072" s="1144">
        <f t="shared" si="297"/>
        <v>0</v>
      </c>
      <c r="AC1072" s="1144">
        <f t="shared" si="298"/>
        <v>0</v>
      </c>
      <c r="AD1072" s="1148">
        <f t="shared" si="290"/>
        <v>240.55575775413263</v>
      </c>
      <c r="AE1072" s="1487">
        <v>0</v>
      </c>
      <c r="AF1072" s="1145">
        <f t="shared" si="299"/>
        <v>240.55575775413263</v>
      </c>
      <c r="AG1072" s="1149">
        <f>IFERROR(VLOOKUP(CONCATENATE($L1072,$N1072),'Drop List'!$G$23:$K$87,2,FALSE),0)</f>
        <v>0.9</v>
      </c>
      <c r="AH1072" s="1150">
        <f>IFERROR(VLOOKUP(CONCATENATE($L1072,$N1072),'Drop List'!$G$23:$K$87,3,FALSE),0)</f>
        <v>0</v>
      </c>
      <c r="AI1072" s="1150">
        <f>IFERROR(VLOOKUP(CONCATENATE($L1072,$N1072),'Drop List'!$G$23:$K$87,4,FALSE),0)</f>
        <v>0.1</v>
      </c>
      <c r="AJ1072" s="1151">
        <f>IFERROR(VLOOKUP(CONCATENATE($L1072,$N1072),'Drop List'!$G$23:$K$87,5,FALSE),0)</f>
        <v>0</v>
      </c>
      <c r="AK1072" s="1152">
        <f t="shared" si="300"/>
        <v>216.50018197871938</v>
      </c>
      <c r="AL1072" s="1153">
        <f t="shared" si="301"/>
        <v>0</v>
      </c>
      <c r="AM1072" s="1153">
        <f t="shared" si="302"/>
        <v>24.055575775413264</v>
      </c>
      <c r="AN1072" s="1145">
        <f t="shared" si="303"/>
        <v>0</v>
      </c>
      <c r="AO1072" s="1154">
        <f t="shared" si="304"/>
        <v>240.55575775413266</v>
      </c>
      <c r="AP1072" s="1147">
        <f t="shared" si="291"/>
        <v>0</v>
      </c>
      <c r="AQ1072" s="1144">
        <f t="shared" si="292"/>
        <v>0</v>
      </c>
      <c r="AR1072" s="1146">
        <f t="shared" si="293"/>
        <v>240.55575775413266</v>
      </c>
    </row>
    <row r="1073" spans="1:44" x14ac:dyDescent="0.2">
      <c r="A1073" s="1141" t="str">
        <f t="shared" si="306"/>
        <v>1552</v>
      </c>
      <c r="B1073" s="1141" t="str">
        <f>IFERROR(VLOOKUP(A1073,'LAC 103'!A:C,3,FALSE),"")</f>
        <v>OP</v>
      </c>
      <c r="C1073" s="1478" t="str">
        <f>Info!$B$8</f>
        <v>00100</v>
      </c>
      <c r="D1073" s="1474" t="s">
        <v>256</v>
      </c>
      <c r="E1073" s="1474" t="s">
        <v>95</v>
      </c>
      <c r="F1073" s="1478" t="s">
        <v>412</v>
      </c>
      <c r="G1073" s="1478" t="s">
        <v>412</v>
      </c>
      <c r="H1073" s="1474" t="s">
        <v>1656</v>
      </c>
      <c r="I1073" s="1478" t="s">
        <v>809</v>
      </c>
      <c r="J1073" s="1478"/>
      <c r="K1073" s="1475" t="s">
        <v>851</v>
      </c>
      <c r="L1073" s="1474" t="s">
        <v>584</v>
      </c>
      <c r="M1073" s="1476" t="s">
        <v>1699</v>
      </c>
      <c r="N1073" s="1477" t="s">
        <v>1694</v>
      </c>
      <c r="O1073" s="1479">
        <v>473</v>
      </c>
      <c r="P1073" s="1479"/>
      <c r="Q1073" s="1142">
        <f t="shared" si="289"/>
        <v>473</v>
      </c>
      <c r="R1073" s="1143">
        <f>IFERROR(VLOOKUP(CONCATENATE(E1073,G1073),'LAC 103'!$A$12:$O$95,11,FALSE),0)</f>
        <v>3.207410103388435</v>
      </c>
      <c r="S1073" s="1144">
        <f>IFERROR(VLOOKUP(CONCATENATE($E1073,$G1073),'LAC 103'!$A$12:$O$95,12,FALSE),0)</f>
        <v>3.99</v>
      </c>
      <c r="T1073" s="1144">
        <f>IFERROR(VLOOKUP(CONCATENATE($E1073,$G1073),'LAC 103'!$A$12:$O$95,13,FALSE),0)</f>
        <v>2.48</v>
      </c>
      <c r="U1073" s="1144">
        <f>IFERROR(VLOOKUP(CONCATENATE($E1073,$G1073),'LAC 103'!$A$12:$O$95,14,FALSE),0)</f>
        <v>0</v>
      </c>
      <c r="V1073" s="1144">
        <f>IFERROR(VLOOKUP(CONCATENATE($E1073,$G1073),'LAC 103'!$A$12:$O$95,15,FALSE),0)</f>
        <v>0</v>
      </c>
      <c r="W1073" s="1145" t="str">
        <f>IFERROR(VLOOKUP(CONCATENATE($B1073,$N1073),'LAC 103'!$AI:$AQ,9,FALSE),"")</f>
        <v>Costs</v>
      </c>
      <c r="X1073" s="1146">
        <f t="shared" si="294"/>
        <v>3.207410103388435</v>
      </c>
      <c r="Y1073" s="1143">
        <f t="shared" si="305"/>
        <v>1517.1049789027297</v>
      </c>
      <c r="Z1073" s="1147">
        <f t="shared" si="295"/>
        <v>1887.2700000000002</v>
      </c>
      <c r="AA1073" s="1144">
        <f t="shared" si="296"/>
        <v>1173.04</v>
      </c>
      <c r="AB1073" s="1144">
        <f t="shared" si="297"/>
        <v>0</v>
      </c>
      <c r="AC1073" s="1144">
        <f t="shared" si="298"/>
        <v>0</v>
      </c>
      <c r="AD1073" s="1148">
        <f t="shared" si="290"/>
        <v>1517.1049789027297</v>
      </c>
      <c r="AE1073" s="1487">
        <v>0</v>
      </c>
      <c r="AF1073" s="1145">
        <f t="shared" si="299"/>
        <v>1517.1049789027297</v>
      </c>
      <c r="AG1073" s="1149">
        <f>IFERROR(VLOOKUP(CONCATENATE($L1073,$N1073),'Drop List'!$G$23:$K$87,2,FALSE),0)</f>
        <v>0.56200000000000006</v>
      </c>
      <c r="AH1073" s="1150">
        <f>IFERROR(VLOOKUP(CONCATENATE($L1073,$N1073),'Drop List'!$G$23:$K$87,3,FALSE),0)</f>
        <v>0</v>
      </c>
      <c r="AI1073" s="1150">
        <f>IFERROR(VLOOKUP(CONCATENATE($L1073,$N1073),'Drop List'!$G$23:$K$87,4,FALSE),0)</f>
        <v>0</v>
      </c>
      <c r="AJ1073" s="1151">
        <f>IFERROR(VLOOKUP(CONCATENATE($L1073,$N1073),'Drop List'!$G$23:$K$87,5,FALSE),0)</f>
        <v>0.43799999999999994</v>
      </c>
      <c r="AK1073" s="1152">
        <f t="shared" si="300"/>
        <v>852.61299814333415</v>
      </c>
      <c r="AL1073" s="1153">
        <f t="shared" si="301"/>
        <v>0</v>
      </c>
      <c r="AM1073" s="1153">
        <f t="shared" si="302"/>
        <v>0</v>
      </c>
      <c r="AN1073" s="1145">
        <f t="shared" si="303"/>
        <v>664.49198075939557</v>
      </c>
      <c r="AO1073" s="1154">
        <f t="shared" si="304"/>
        <v>1517.1049789027297</v>
      </c>
      <c r="AP1073" s="1147">
        <f t="shared" si="291"/>
        <v>0</v>
      </c>
      <c r="AQ1073" s="1144">
        <f t="shared" si="292"/>
        <v>0</v>
      </c>
      <c r="AR1073" s="1146">
        <f t="shared" si="293"/>
        <v>1517.1049789027297</v>
      </c>
    </row>
    <row r="1074" spans="1:44" x14ac:dyDescent="0.2">
      <c r="A1074" s="1141" t="str">
        <f t="shared" si="306"/>
        <v>1552</v>
      </c>
      <c r="B1074" s="1141" t="str">
        <f>IFERROR(VLOOKUP(A1074,'LAC 103'!A:C,3,FALSE),"")</f>
        <v>OP</v>
      </c>
      <c r="C1074" s="1478" t="str">
        <f>Info!$B$8</f>
        <v>00100</v>
      </c>
      <c r="D1074" s="1474" t="s">
        <v>256</v>
      </c>
      <c r="E1074" s="1474" t="s">
        <v>95</v>
      </c>
      <c r="F1074" s="1478" t="s">
        <v>412</v>
      </c>
      <c r="G1074" s="1478" t="s">
        <v>412</v>
      </c>
      <c r="H1074" s="1474" t="s">
        <v>1656</v>
      </c>
      <c r="I1074" s="1478" t="s">
        <v>809</v>
      </c>
      <c r="J1074" s="1478"/>
      <c r="K1074" s="1475" t="s">
        <v>851</v>
      </c>
      <c r="L1074" s="1474" t="s">
        <v>584</v>
      </c>
      <c r="M1074" s="1476" t="s">
        <v>841</v>
      </c>
      <c r="N1074" s="1477" t="s">
        <v>1695</v>
      </c>
      <c r="O1074" s="1479">
        <v>294</v>
      </c>
      <c r="P1074" s="1479"/>
      <c r="Q1074" s="1142">
        <f t="shared" si="289"/>
        <v>294</v>
      </c>
      <c r="R1074" s="1143">
        <f>IFERROR(VLOOKUP(CONCATENATE(E1074,G1074),'LAC 103'!$A$12:$O$95,11,FALSE),0)</f>
        <v>3.207410103388435</v>
      </c>
      <c r="S1074" s="1144">
        <f>IFERROR(VLOOKUP(CONCATENATE($E1074,$G1074),'LAC 103'!$A$12:$O$95,12,FALSE),0)</f>
        <v>3.99</v>
      </c>
      <c r="T1074" s="1144">
        <f>IFERROR(VLOOKUP(CONCATENATE($E1074,$G1074),'LAC 103'!$A$12:$O$95,13,FALSE),0)</f>
        <v>2.48</v>
      </c>
      <c r="U1074" s="1144">
        <f>IFERROR(VLOOKUP(CONCATENATE($E1074,$G1074),'LAC 103'!$A$12:$O$95,14,FALSE),0)</f>
        <v>0</v>
      </c>
      <c r="V1074" s="1144">
        <f>IFERROR(VLOOKUP(CONCATENATE($E1074,$G1074),'LAC 103'!$A$12:$O$95,15,FALSE),0)</f>
        <v>0</v>
      </c>
      <c r="W1074" s="1145" t="str">
        <f>IFERROR(VLOOKUP(CONCATENATE($B1074,$N1074),'LAC 103'!$AI:$AQ,9,FALSE),"")</f>
        <v>Costs</v>
      </c>
      <c r="X1074" s="1146">
        <f t="shared" si="294"/>
        <v>3.207410103388435</v>
      </c>
      <c r="Y1074" s="1143">
        <f t="shared" si="305"/>
        <v>942.97857039619987</v>
      </c>
      <c r="Z1074" s="1147">
        <f t="shared" si="295"/>
        <v>1173.0600000000002</v>
      </c>
      <c r="AA1074" s="1144">
        <f t="shared" si="296"/>
        <v>729.12</v>
      </c>
      <c r="AB1074" s="1144">
        <f t="shared" si="297"/>
        <v>0</v>
      </c>
      <c r="AC1074" s="1144">
        <f t="shared" si="298"/>
        <v>0</v>
      </c>
      <c r="AD1074" s="1148">
        <f t="shared" si="290"/>
        <v>942.97857039619987</v>
      </c>
      <c r="AE1074" s="1487">
        <v>0</v>
      </c>
      <c r="AF1074" s="1145">
        <f t="shared" si="299"/>
        <v>942.97857039619987</v>
      </c>
      <c r="AG1074" s="1149">
        <f>IFERROR(VLOOKUP(CONCATENATE($L1074,$N1074),'Drop List'!$G$23:$K$87,2,FALSE),0)</f>
        <v>0.55000000000000004</v>
      </c>
      <c r="AH1074" s="1150">
        <f>IFERROR(VLOOKUP(CONCATENATE($L1074,$N1074),'Drop List'!$G$23:$K$87,3,FALSE),0)</f>
        <v>0</v>
      </c>
      <c r="AI1074" s="1150">
        <f>IFERROR(VLOOKUP(CONCATENATE($L1074,$N1074),'Drop List'!$G$23:$K$87,4,FALSE),0)</f>
        <v>0</v>
      </c>
      <c r="AJ1074" s="1151">
        <f>IFERROR(VLOOKUP(CONCATENATE($L1074,$N1074),'Drop List'!$G$23:$K$87,5,FALSE),0)</f>
        <v>0.44999999999999996</v>
      </c>
      <c r="AK1074" s="1152">
        <f t="shared" si="300"/>
        <v>518.63821371790993</v>
      </c>
      <c r="AL1074" s="1153">
        <f t="shared" si="301"/>
        <v>0</v>
      </c>
      <c r="AM1074" s="1153">
        <f t="shared" si="302"/>
        <v>0</v>
      </c>
      <c r="AN1074" s="1145">
        <f t="shared" si="303"/>
        <v>424.34035667828988</v>
      </c>
      <c r="AO1074" s="1154">
        <f t="shared" si="304"/>
        <v>942.97857039619976</v>
      </c>
      <c r="AP1074" s="1147">
        <f t="shared" si="291"/>
        <v>0</v>
      </c>
      <c r="AQ1074" s="1144">
        <f t="shared" si="292"/>
        <v>0</v>
      </c>
      <c r="AR1074" s="1146">
        <f t="shared" si="293"/>
        <v>942.97857039619976</v>
      </c>
    </row>
    <row r="1075" spans="1:44" x14ac:dyDescent="0.2">
      <c r="A1075" s="1141" t="str">
        <f t="shared" si="306"/>
        <v>1552</v>
      </c>
      <c r="B1075" s="1141" t="str">
        <f>IFERROR(VLOOKUP(A1075,'LAC 103'!A:C,3,FALSE),"")</f>
        <v>OP</v>
      </c>
      <c r="C1075" s="1478" t="str">
        <f>Info!$B$8</f>
        <v>00100</v>
      </c>
      <c r="D1075" s="1474" t="s">
        <v>256</v>
      </c>
      <c r="E1075" s="1474" t="s">
        <v>95</v>
      </c>
      <c r="F1075" s="1478" t="s">
        <v>412</v>
      </c>
      <c r="G1075" s="1478" t="s">
        <v>412</v>
      </c>
      <c r="H1075" s="1474" t="s">
        <v>1656</v>
      </c>
      <c r="I1075" s="1478" t="s">
        <v>809</v>
      </c>
      <c r="J1075" s="1478"/>
      <c r="K1075" s="1475" t="s">
        <v>851</v>
      </c>
      <c r="L1075" s="1474" t="s">
        <v>584</v>
      </c>
      <c r="M1075" s="1476" t="s">
        <v>840</v>
      </c>
      <c r="N1075" s="1477" t="s">
        <v>1700</v>
      </c>
      <c r="O1075" s="1479">
        <v>813</v>
      </c>
      <c r="P1075" s="1479"/>
      <c r="Q1075" s="1142">
        <f t="shared" si="289"/>
        <v>813</v>
      </c>
      <c r="R1075" s="1143">
        <f>IFERROR(VLOOKUP(CONCATENATE(E1075,G1075),'LAC 103'!$A$12:$O$95,11,FALSE),0)</f>
        <v>3.207410103388435</v>
      </c>
      <c r="S1075" s="1144">
        <f>IFERROR(VLOOKUP(CONCATENATE($E1075,$G1075),'LAC 103'!$A$12:$O$95,12,FALSE),0)</f>
        <v>3.99</v>
      </c>
      <c r="T1075" s="1144">
        <f>IFERROR(VLOOKUP(CONCATENATE($E1075,$G1075),'LAC 103'!$A$12:$O$95,13,FALSE),0)</f>
        <v>2.48</v>
      </c>
      <c r="U1075" s="1144">
        <f>IFERROR(VLOOKUP(CONCATENATE($E1075,$G1075),'LAC 103'!$A$12:$O$95,14,FALSE),0)</f>
        <v>0</v>
      </c>
      <c r="V1075" s="1144">
        <f>IFERROR(VLOOKUP(CONCATENATE($E1075,$G1075),'LAC 103'!$A$12:$O$95,15,FALSE),0)</f>
        <v>0</v>
      </c>
      <c r="W1075" s="1145" t="str">
        <f>IFERROR(VLOOKUP(CONCATENATE($B1075,$N1075),'LAC 103'!$AI:$AQ,9,FALSE),"")</f>
        <v>P.C.</v>
      </c>
      <c r="X1075" s="1146">
        <f t="shared" si="294"/>
        <v>2.48</v>
      </c>
      <c r="Y1075" s="1143">
        <f t="shared" si="305"/>
        <v>2607.6244140547979</v>
      </c>
      <c r="Z1075" s="1147">
        <f t="shared" si="295"/>
        <v>3243.8700000000003</v>
      </c>
      <c r="AA1075" s="1144">
        <f t="shared" si="296"/>
        <v>2016.24</v>
      </c>
      <c r="AB1075" s="1144">
        <f t="shared" si="297"/>
        <v>0</v>
      </c>
      <c r="AC1075" s="1144">
        <f t="shared" si="298"/>
        <v>0</v>
      </c>
      <c r="AD1075" s="1148">
        <f t="shared" si="290"/>
        <v>2016.24</v>
      </c>
      <c r="AE1075" s="1487">
        <v>0</v>
      </c>
      <c r="AF1075" s="1145">
        <f t="shared" si="299"/>
        <v>2016.24</v>
      </c>
      <c r="AG1075" s="1149">
        <f>IFERROR(VLOOKUP(CONCATENATE($L1075,$N1075),'Drop List'!$G$23:$K$87,2,FALSE),0)</f>
        <v>0.55000000000000004</v>
      </c>
      <c r="AH1075" s="1150">
        <f>IFERROR(VLOOKUP(CONCATENATE($L1075,$N1075),'Drop List'!$G$23:$K$87,3,FALSE),0)</f>
        <v>0</v>
      </c>
      <c r="AI1075" s="1150">
        <f>IFERROR(VLOOKUP(CONCATENATE($L1075,$N1075),'Drop List'!$G$23:$K$87,4,FALSE),0)</f>
        <v>0</v>
      </c>
      <c r="AJ1075" s="1151">
        <f>IFERROR(VLOOKUP(CONCATENATE($L1075,$N1075),'Drop List'!$G$23:$K$87,5,FALSE),0)</f>
        <v>0.44999999999999996</v>
      </c>
      <c r="AK1075" s="1152">
        <f t="shared" si="300"/>
        <v>1108.932</v>
      </c>
      <c r="AL1075" s="1153">
        <f t="shared" si="301"/>
        <v>0</v>
      </c>
      <c r="AM1075" s="1153">
        <f t="shared" si="302"/>
        <v>0</v>
      </c>
      <c r="AN1075" s="1145">
        <f t="shared" si="303"/>
        <v>907.30799999999988</v>
      </c>
      <c r="AO1075" s="1154">
        <f t="shared" si="304"/>
        <v>2016.2399999999998</v>
      </c>
      <c r="AP1075" s="1147">
        <f t="shared" si="291"/>
        <v>0</v>
      </c>
      <c r="AQ1075" s="1144">
        <f t="shared" si="292"/>
        <v>0</v>
      </c>
      <c r="AR1075" s="1146">
        <f t="shared" si="293"/>
        <v>2016.2399999999998</v>
      </c>
    </row>
    <row r="1076" spans="1:44" x14ac:dyDescent="0.2">
      <c r="A1076" s="1141" t="str">
        <f t="shared" si="306"/>
        <v>1552</v>
      </c>
      <c r="B1076" s="1141" t="str">
        <f>IFERROR(VLOOKUP(A1076,'LAC 103'!A:C,3,FALSE),"")</f>
        <v>OP</v>
      </c>
      <c r="C1076" s="1478" t="str">
        <f>Info!$B$8</f>
        <v>00100</v>
      </c>
      <c r="D1076" s="1474" t="s">
        <v>256</v>
      </c>
      <c r="E1076" s="1474" t="s">
        <v>95</v>
      </c>
      <c r="F1076" s="1478" t="s">
        <v>412</v>
      </c>
      <c r="G1076" s="1478" t="s">
        <v>412</v>
      </c>
      <c r="H1076" s="1474" t="s">
        <v>1656</v>
      </c>
      <c r="I1076" s="1478" t="s">
        <v>809</v>
      </c>
      <c r="J1076" s="1478"/>
      <c r="K1076" s="1475" t="s">
        <v>851</v>
      </c>
      <c r="L1076" s="1474" t="s">
        <v>584</v>
      </c>
      <c r="M1076" s="1476" t="s">
        <v>842</v>
      </c>
      <c r="N1076" s="1477" t="s">
        <v>1692</v>
      </c>
      <c r="O1076" s="1479">
        <v>1023</v>
      </c>
      <c r="P1076" s="1479"/>
      <c r="Q1076" s="1142">
        <f t="shared" si="289"/>
        <v>1023</v>
      </c>
      <c r="R1076" s="1143">
        <f>IFERROR(VLOOKUP(CONCATENATE(E1076,G1076),'LAC 103'!$A$12:$O$95,11,FALSE),0)</f>
        <v>3.207410103388435</v>
      </c>
      <c r="S1076" s="1144">
        <f>IFERROR(VLOOKUP(CONCATENATE($E1076,$G1076),'LAC 103'!$A$12:$O$95,12,FALSE),0)</f>
        <v>3.99</v>
      </c>
      <c r="T1076" s="1144">
        <f>IFERROR(VLOOKUP(CONCATENATE($E1076,$G1076),'LAC 103'!$A$12:$O$95,13,FALSE),0)</f>
        <v>2.48</v>
      </c>
      <c r="U1076" s="1144">
        <f>IFERROR(VLOOKUP(CONCATENATE($E1076,$G1076),'LAC 103'!$A$12:$O$95,14,FALSE),0)</f>
        <v>0</v>
      </c>
      <c r="V1076" s="1144">
        <f>IFERROR(VLOOKUP(CONCATENATE($E1076,$G1076),'LAC 103'!$A$12:$O$95,15,FALSE),0)</f>
        <v>0</v>
      </c>
      <c r="W1076" s="1145" t="str">
        <f>IFERROR(VLOOKUP(CONCATENATE($B1076,$N1076),'LAC 103'!$AI:$AQ,9,FALSE),"")</f>
        <v>Costs</v>
      </c>
      <c r="X1076" s="1146">
        <f t="shared" si="294"/>
        <v>3.207410103388435</v>
      </c>
      <c r="Y1076" s="1143">
        <f t="shared" si="305"/>
        <v>3281.1805357663688</v>
      </c>
      <c r="Z1076" s="1147">
        <f t="shared" si="295"/>
        <v>4081.7700000000004</v>
      </c>
      <c r="AA1076" s="1144">
        <f t="shared" si="296"/>
        <v>2537.04</v>
      </c>
      <c r="AB1076" s="1144">
        <f t="shared" si="297"/>
        <v>0</v>
      </c>
      <c r="AC1076" s="1144">
        <f t="shared" si="298"/>
        <v>0</v>
      </c>
      <c r="AD1076" s="1148">
        <f t="shared" si="290"/>
        <v>3281.1805357663688</v>
      </c>
      <c r="AE1076" s="1487">
        <v>0</v>
      </c>
      <c r="AF1076" s="1145">
        <f t="shared" si="299"/>
        <v>3281.1805357663688</v>
      </c>
      <c r="AG1076" s="1149">
        <f>IFERROR(VLOOKUP(CONCATENATE($L1076,$N1076),'Drop List'!$G$23:$K$87,2,FALSE),0)</f>
        <v>0.56200000000000006</v>
      </c>
      <c r="AH1076" s="1150">
        <f>IFERROR(VLOOKUP(CONCATENATE($L1076,$N1076),'Drop List'!$G$23:$K$87,3,FALSE),0)</f>
        <v>0</v>
      </c>
      <c r="AI1076" s="1150">
        <f>IFERROR(VLOOKUP(CONCATENATE($L1076,$N1076),'Drop List'!$G$23:$K$87,4,FALSE),0)</f>
        <v>0</v>
      </c>
      <c r="AJ1076" s="1151">
        <f>IFERROR(VLOOKUP(CONCATENATE($L1076,$N1076),'Drop List'!$G$23:$K$87,5,FALSE),0)</f>
        <v>0.43799999999999994</v>
      </c>
      <c r="AK1076" s="1152">
        <f t="shared" si="300"/>
        <v>1844.0234611006995</v>
      </c>
      <c r="AL1076" s="1153">
        <f t="shared" si="301"/>
        <v>0</v>
      </c>
      <c r="AM1076" s="1153">
        <f t="shared" si="302"/>
        <v>0</v>
      </c>
      <c r="AN1076" s="1145">
        <f t="shared" si="303"/>
        <v>1437.1570746656694</v>
      </c>
      <c r="AO1076" s="1154">
        <f t="shared" si="304"/>
        <v>3281.1805357663688</v>
      </c>
      <c r="AP1076" s="1147">
        <f t="shared" si="291"/>
        <v>0</v>
      </c>
      <c r="AQ1076" s="1144">
        <f t="shared" si="292"/>
        <v>0</v>
      </c>
      <c r="AR1076" s="1146">
        <f t="shared" si="293"/>
        <v>3281.1805357663688</v>
      </c>
    </row>
    <row r="1077" spans="1:44" x14ac:dyDescent="0.2">
      <c r="A1077" s="1141" t="str">
        <f t="shared" si="306"/>
        <v>1552</v>
      </c>
      <c r="B1077" s="1141" t="str">
        <f>IFERROR(VLOOKUP(A1077,'LAC 103'!A:C,3,FALSE),"")</f>
        <v>OP</v>
      </c>
      <c r="C1077" s="1478" t="str">
        <f>Info!$B$8</f>
        <v>00100</v>
      </c>
      <c r="D1077" s="1474" t="s">
        <v>256</v>
      </c>
      <c r="E1077" s="1474" t="s">
        <v>95</v>
      </c>
      <c r="F1077" s="1478" t="s">
        <v>412</v>
      </c>
      <c r="G1077" s="1478" t="s">
        <v>412</v>
      </c>
      <c r="H1077" s="1474" t="s">
        <v>1656</v>
      </c>
      <c r="I1077" s="1478" t="s">
        <v>809</v>
      </c>
      <c r="J1077" s="1478"/>
      <c r="K1077" s="1475" t="s">
        <v>851</v>
      </c>
      <c r="L1077" s="1474" t="s">
        <v>584</v>
      </c>
      <c r="M1077" s="1476" t="s">
        <v>1698</v>
      </c>
      <c r="N1077" s="1477" t="s">
        <v>1693</v>
      </c>
      <c r="O1077" s="1479">
        <v>1084</v>
      </c>
      <c r="P1077" s="1479"/>
      <c r="Q1077" s="1142">
        <f t="shared" si="289"/>
        <v>1084</v>
      </c>
      <c r="R1077" s="1143">
        <f>IFERROR(VLOOKUP(CONCATENATE(E1077,G1077),'LAC 103'!$A$12:$O$95,11,FALSE),0)</f>
        <v>3.207410103388435</v>
      </c>
      <c r="S1077" s="1144">
        <f>IFERROR(VLOOKUP(CONCATENATE($E1077,$G1077),'LAC 103'!$A$12:$O$95,12,FALSE),0)</f>
        <v>3.99</v>
      </c>
      <c r="T1077" s="1144">
        <f>IFERROR(VLOOKUP(CONCATENATE($E1077,$G1077),'LAC 103'!$A$12:$O$95,13,FALSE),0)</f>
        <v>2.48</v>
      </c>
      <c r="U1077" s="1144">
        <f>IFERROR(VLOOKUP(CONCATENATE($E1077,$G1077),'LAC 103'!$A$12:$O$95,14,FALSE),0)</f>
        <v>0</v>
      </c>
      <c r="V1077" s="1144">
        <f>IFERROR(VLOOKUP(CONCATENATE($E1077,$G1077),'LAC 103'!$A$12:$O$95,15,FALSE),0)</f>
        <v>0</v>
      </c>
      <c r="W1077" s="1145" t="str">
        <f>IFERROR(VLOOKUP(CONCATENATE($B1077,$N1077),'LAC 103'!$AI:$AQ,9,FALSE),"")</f>
        <v>Costs</v>
      </c>
      <c r="X1077" s="1146">
        <f t="shared" si="294"/>
        <v>3.207410103388435</v>
      </c>
      <c r="Y1077" s="1143">
        <f t="shared" si="305"/>
        <v>3476.8325520730637</v>
      </c>
      <c r="Z1077" s="1147">
        <f t="shared" si="295"/>
        <v>4325.16</v>
      </c>
      <c r="AA1077" s="1144">
        <f t="shared" si="296"/>
        <v>2688.32</v>
      </c>
      <c r="AB1077" s="1144">
        <f t="shared" si="297"/>
        <v>0</v>
      </c>
      <c r="AC1077" s="1144">
        <f t="shared" si="298"/>
        <v>0</v>
      </c>
      <c r="AD1077" s="1148">
        <f t="shared" si="290"/>
        <v>3476.8325520730637</v>
      </c>
      <c r="AE1077" s="1487">
        <v>0</v>
      </c>
      <c r="AF1077" s="1145">
        <f t="shared" si="299"/>
        <v>3476.8325520730637</v>
      </c>
      <c r="AG1077" s="1149">
        <f>IFERROR(VLOOKUP(CONCATENATE($L1077,$N1077),'Drop List'!$G$23:$K$87,2,FALSE),0)</f>
        <v>0.56200000000000006</v>
      </c>
      <c r="AH1077" s="1150">
        <f>IFERROR(VLOOKUP(CONCATENATE($L1077,$N1077),'Drop List'!$G$23:$K$87,3,FALSE),0)</f>
        <v>0</v>
      </c>
      <c r="AI1077" s="1150">
        <f>IFERROR(VLOOKUP(CONCATENATE($L1077,$N1077),'Drop List'!$G$23:$K$87,4,FALSE),0)</f>
        <v>0</v>
      </c>
      <c r="AJ1077" s="1151">
        <f>IFERROR(VLOOKUP(CONCATENATE($L1077,$N1077),'Drop List'!$G$23:$K$87,5,FALSE),0)</f>
        <v>0.43799999999999994</v>
      </c>
      <c r="AK1077" s="1152">
        <f t="shared" si="300"/>
        <v>1953.9798942650621</v>
      </c>
      <c r="AL1077" s="1153">
        <f t="shared" si="301"/>
        <v>0</v>
      </c>
      <c r="AM1077" s="1153">
        <f t="shared" si="302"/>
        <v>0</v>
      </c>
      <c r="AN1077" s="1145">
        <f t="shared" si="303"/>
        <v>1522.8526578080016</v>
      </c>
      <c r="AO1077" s="1154">
        <f t="shared" si="304"/>
        <v>3476.8325520730637</v>
      </c>
      <c r="AP1077" s="1147">
        <f t="shared" si="291"/>
        <v>0</v>
      </c>
      <c r="AQ1077" s="1144">
        <f t="shared" si="292"/>
        <v>0</v>
      </c>
      <c r="AR1077" s="1146">
        <f t="shared" si="293"/>
        <v>3476.8325520730637</v>
      </c>
    </row>
    <row r="1078" spans="1:44" x14ac:dyDescent="0.2">
      <c r="A1078" s="1141" t="str">
        <f t="shared" si="306"/>
        <v>1552</v>
      </c>
      <c r="B1078" s="1141" t="str">
        <f>IFERROR(VLOOKUP(A1078,'LAC 103'!A:C,3,FALSE),"")</f>
        <v>OP</v>
      </c>
      <c r="C1078" s="1478" t="str">
        <f>Info!$B$8</f>
        <v>00100</v>
      </c>
      <c r="D1078" s="1474" t="s">
        <v>256</v>
      </c>
      <c r="E1078" s="1474" t="s">
        <v>95</v>
      </c>
      <c r="F1078" s="1478" t="s">
        <v>412</v>
      </c>
      <c r="G1078" s="1478" t="s">
        <v>412</v>
      </c>
      <c r="H1078" s="1474" t="s">
        <v>1658</v>
      </c>
      <c r="I1078" s="1478" t="s">
        <v>807</v>
      </c>
      <c r="J1078" s="1478" t="s">
        <v>123</v>
      </c>
      <c r="K1078" s="1475" t="s">
        <v>849</v>
      </c>
      <c r="L1078" s="1474" t="s">
        <v>77</v>
      </c>
      <c r="M1078" s="1476" t="s">
        <v>1699</v>
      </c>
      <c r="N1078" s="1477" t="s">
        <v>1694</v>
      </c>
      <c r="O1078" s="1479">
        <v>99</v>
      </c>
      <c r="P1078" s="1479"/>
      <c r="Q1078" s="1142">
        <f t="shared" si="289"/>
        <v>99</v>
      </c>
      <c r="R1078" s="1143">
        <f>IFERROR(VLOOKUP(CONCATENATE(E1078,G1078),'LAC 103'!$A$12:$O$95,11,FALSE),0)</f>
        <v>3.207410103388435</v>
      </c>
      <c r="S1078" s="1144">
        <f>IFERROR(VLOOKUP(CONCATENATE($E1078,$G1078),'LAC 103'!$A$12:$O$95,12,FALSE),0)</f>
        <v>3.99</v>
      </c>
      <c r="T1078" s="1144">
        <f>IFERROR(VLOOKUP(CONCATENATE($E1078,$G1078),'LAC 103'!$A$12:$O$95,13,FALSE),0)</f>
        <v>2.48</v>
      </c>
      <c r="U1078" s="1144">
        <f>IFERROR(VLOOKUP(CONCATENATE($E1078,$G1078),'LAC 103'!$A$12:$O$95,14,FALSE),0)</f>
        <v>0</v>
      </c>
      <c r="V1078" s="1144">
        <f>IFERROR(VLOOKUP(CONCATENATE($E1078,$G1078),'LAC 103'!$A$12:$O$95,15,FALSE),0)</f>
        <v>0</v>
      </c>
      <c r="W1078" s="1145" t="str">
        <f>IFERROR(VLOOKUP(CONCATENATE($B1078,$N1078),'LAC 103'!$AI:$AQ,9,FALSE),"")</f>
        <v>Costs</v>
      </c>
      <c r="X1078" s="1146">
        <f t="shared" si="294"/>
        <v>3.207410103388435</v>
      </c>
      <c r="Y1078" s="1143">
        <f t="shared" si="305"/>
        <v>317.53360023545508</v>
      </c>
      <c r="Z1078" s="1147">
        <f t="shared" si="295"/>
        <v>395.01000000000005</v>
      </c>
      <c r="AA1078" s="1144">
        <f t="shared" si="296"/>
        <v>245.52</v>
      </c>
      <c r="AB1078" s="1144">
        <f t="shared" si="297"/>
        <v>0</v>
      </c>
      <c r="AC1078" s="1144">
        <f t="shared" si="298"/>
        <v>0</v>
      </c>
      <c r="AD1078" s="1148">
        <f t="shared" si="290"/>
        <v>317.53360023545508</v>
      </c>
      <c r="AE1078" s="1487">
        <v>0</v>
      </c>
      <c r="AF1078" s="1145">
        <f t="shared" si="299"/>
        <v>317.53360023545508</v>
      </c>
      <c r="AG1078" s="1149">
        <f>IFERROR(VLOOKUP(CONCATENATE($L1078,$N1078),'Drop List'!$G$23:$K$87,2,FALSE),0)</f>
        <v>0.9</v>
      </c>
      <c r="AH1078" s="1150">
        <f>IFERROR(VLOOKUP(CONCATENATE($L1078,$N1078),'Drop List'!$G$23:$K$87,3,FALSE),0)</f>
        <v>0</v>
      </c>
      <c r="AI1078" s="1150">
        <f>IFERROR(VLOOKUP(CONCATENATE($L1078,$N1078),'Drop List'!$G$23:$K$87,4,FALSE),0)</f>
        <v>0.1</v>
      </c>
      <c r="AJ1078" s="1151">
        <f>IFERROR(VLOOKUP(CONCATENATE($L1078,$N1078),'Drop List'!$G$23:$K$87,5,FALSE),0)</f>
        <v>0</v>
      </c>
      <c r="AK1078" s="1152">
        <f t="shared" si="300"/>
        <v>285.78024021190959</v>
      </c>
      <c r="AL1078" s="1153">
        <f t="shared" si="301"/>
        <v>0</v>
      </c>
      <c r="AM1078" s="1153">
        <f t="shared" si="302"/>
        <v>31.753360023545511</v>
      </c>
      <c r="AN1078" s="1145">
        <f t="shared" si="303"/>
        <v>0</v>
      </c>
      <c r="AO1078" s="1154">
        <f t="shared" si="304"/>
        <v>317.53360023545508</v>
      </c>
      <c r="AP1078" s="1147">
        <f t="shared" si="291"/>
        <v>0</v>
      </c>
      <c r="AQ1078" s="1144">
        <f t="shared" si="292"/>
        <v>0</v>
      </c>
      <c r="AR1078" s="1146">
        <f t="shared" si="293"/>
        <v>317.53360023545508</v>
      </c>
    </row>
    <row r="1079" spans="1:44" x14ac:dyDescent="0.2">
      <c r="A1079" s="1141" t="str">
        <f t="shared" si="306"/>
        <v>1552</v>
      </c>
      <c r="B1079" s="1141" t="str">
        <f>IFERROR(VLOOKUP(A1079,'LAC 103'!A:C,3,FALSE),"")</f>
        <v>OP</v>
      </c>
      <c r="C1079" s="1478" t="str">
        <f>Info!$B$8</f>
        <v>00100</v>
      </c>
      <c r="D1079" s="1474" t="s">
        <v>256</v>
      </c>
      <c r="E1079" s="1474" t="s">
        <v>95</v>
      </c>
      <c r="F1079" s="1478" t="s">
        <v>412</v>
      </c>
      <c r="G1079" s="1478" t="s">
        <v>412</v>
      </c>
      <c r="H1079" s="1474" t="s">
        <v>1658</v>
      </c>
      <c r="I1079" s="1478" t="s">
        <v>807</v>
      </c>
      <c r="J1079" s="1478"/>
      <c r="K1079" s="1475" t="s">
        <v>849</v>
      </c>
      <c r="L1079" s="1474" t="s">
        <v>77</v>
      </c>
      <c r="M1079" s="1476" t="s">
        <v>840</v>
      </c>
      <c r="N1079" s="1477" t="s">
        <v>1700</v>
      </c>
      <c r="O1079" s="1479">
        <v>193</v>
      </c>
      <c r="P1079" s="1479"/>
      <c r="Q1079" s="1142">
        <f t="shared" si="289"/>
        <v>193</v>
      </c>
      <c r="R1079" s="1143">
        <f>IFERROR(VLOOKUP(CONCATENATE(E1079,G1079),'LAC 103'!$A$12:$O$95,11,FALSE),0)</f>
        <v>3.207410103388435</v>
      </c>
      <c r="S1079" s="1144">
        <f>IFERROR(VLOOKUP(CONCATENATE($E1079,$G1079),'LAC 103'!$A$12:$O$95,12,FALSE),0)</f>
        <v>3.99</v>
      </c>
      <c r="T1079" s="1144">
        <f>IFERROR(VLOOKUP(CONCATENATE($E1079,$G1079),'LAC 103'!$A$12:$O$95,13,FALSE),0)</f>
        <v>2.48</v>
      </c>
      <c r="U1079" s="1144">
        <f>IFERROR(VLOOKUP(CONCATENATE($E1079,$G1079),'LAC 103'!$A$12:$O$95,14,FALSE),0)</f>
        <v>0</v>
      </c>
      <c r="V1079" s="1144">
        <f>IFERROR(VLOOKUP(CONCATENATE($E1079,$G1079),'LAC 103'!$A$12:$O$95,15,FALSE),0)</f>
        <v>0</v>
      </c>
      <c r="W1079" s="1145" t="str">
        <f>IFERROR(VLOOKUP(CONCATENATE($B1079,$N1079),'LAC 103'!$AI:$AQ,9,FALSE),"")</f>
        <v>P.C.</v>
      </c>
      <c r="X1079" s="1146">
        <f t="shared" si="294"/>
        <v>2.48</v>
      </c>
      <c r="Y1079" s="1143">
        <f t="shared" si="305"/>
        <v>619.03014995396791</v>
      </c>
      <c r="Z1079" s="1147">
        <f t="shared" si="295"/>
        <v>770.07</v>
      </c>
      <c r="AA1079" s="1144">
        <f t="shared" si="296"/>
        <v>478.64</v>
      </c>
      <c r="AB1079" s="1144">
        <f t="shared" si="297"/>
        <v>0</v>
      </c>
      <c r="AC1079" s="1144">
        <f t="shared" si="298"/>
        <v>0</v>
      </c>
      <c r="AD1079" s="1148">
        <f t="shared" si="290"/>
        <v>478.64</v>
      </c>
      <c r="AE1079" s="1487">
        <v>0</v>
      </c>
      <c r="AF1079" s="1145">
        <f t="shared" si="299"/>
        <v>478.64</v>
      </c>
      <c r="AG1079" s="1149">
        <f>IFERROR(VLOOKUP(CONCATENATE($L1079,$N1079),'Drop List'!$G$23:$K$87,2,FALSE),0)</f>
        <v>0.9</v>
      </c>
      <c r="AH1079" s="1150">
        <f>IFERROR(VLOOKUP(CONCATENATE($L1079,$N1079),'Drop List'!$G$23:$K$87,3,FALSE),0)</f>
        <v>0</v>
      </c>
      <c r="AI1079" s="1150">
        <f>IFERROR(VLOOKUP(CONCATENATE($L1079,$N1079),'Drop List'!$G$23:$K$87,4,FALSE),0)</f>
        <v>0.1</v>
      </c>
      <c r="AJ1079" s="1151">
        <f>IFERROR(VLOOKUP(CONCATENATE($L1079,$N1079),'Drop List'!$G$23:$K$87,5,FALSE),0)</f>
        <v>0</v>
      </c>
      <c r="AK1079" s="1152">
        <f t="shared" si="300"/>
        <v>430.77600000000001</v>
      </c>
      <c r="AL1079" s="1153">
        <f t="shared" si="301"/>
        <v>0</v>
      </c>
      <c r="AM1079" s="1153">
        <f t="shared" si="302"/>
        <v>47.864000000000004</v>
      </c>
      <c r="AN1079" s="1145">
        <f t="shared" si="303"/>
        <v>0</v>
      </c>
      <c r="AO1079" s="1154">
        <f t="shared" si="304"/>
        <v>478.64</v>
      </c>
      <c r="AP1079" s="1147">
        <f t="shared" si="291"/>
        <v>0</v>
      </c>
      <c r="AQ1079" s="1144">
        <f t="shared" si="292"/>
        <v>0</v>
      </c>
      <c r="AR1079" s="1146">
        <f t="shared" si="293"/>
        <v>478.64</v>
      </c>
    </row>
    <row r="1080" spans="1:44" x14ac:dyDescent="0.2">
      <c r="A1080" s="1141" t="str">
        <f t="shared" si="306"/>
        <v>1552</v>
      </c>
      <c r="B1080" s="1141" t="str">
        <f>IFERROR(VLOOKUP(A1080,'LAC 103'!A:C,3,FALSE),"")</f>
        <v>OP</v>
      </c>
      <c r="C1080" s="1478" t="str">
        <f>Info!$B$8</f>
        <v>00100</v>
      </c>
      <c r="D1080" s="1474" t="s">
        <v>256</v>
      </c>
      <c r="E1080" s="1474" t="s">
        <v>95</v>
      </c>
      <c r="F1080" s="1478" t="s">
        <v>412</v>
      </c>
      <c r="G1080" s="1478" t="s">
        <v>412</v>
      </c>
      <c r="H1080" s="1474" t="s">
        <v>1658</v>
      </c>
      <c r="I1080" s="1478" t="s">
        <v>807</v>
      </c>
      <c r="J1080" s="1478"/>
      <c r="K1080" s="1475" t="s">
        <v>849</v>
      </c>
      <c r="L1080" s="1474" t="s">
        <v>77</v>
      </c>
      <c r="M1080" s="1476" t="s">
        <v>842</v>
      </c>
      <c r="N1080" s="1477" t="s">
        <v>1692</v>
      </c>
      <c r="O1080" s="1479">
        <v>270</v>
      </c>
      <c r="P1080" s="1479"/>
      <c r="Q1080" s="1142">
        <f t="shared" si="289"/>
        <v>270</v>
      </c>
      <c r="R1080" s="1143">
        <f>IFERROR(VLOOKUP(CONCATENATE(E1080,G1080),'LAC 103'!$A$12:$O$95,11,FALSE),0)</f>
        <v>3.207410103388435</v>
      </c>
      <c r="S1080" s="1144">
        <f>IFERROR(VLOOKUP(CONCATENATE($E1080,$G1080),'LAC 103'!$A$12:$O$95,12,FALSE),0)</f>
        <v>3.99</v>
      </c>
      <c r="T1080" s="1144">
        <f>IFERROR(VLOOKUP(CONCATENATE($E1080,$G1080),'LAC 103'!$A$12:$O$95,13,FALSE),0)</f>
        <v>2.48</v>
      </c>
      <c r="U1080" s="1144">
        <f>IFERROR(VLOOKUP(CONCATENATE($E1080,$G1080),'LAC 103'!$A$12:$O$95,14,FALSE),0)</f>
        <v>0</v>
      </c>
      <c r="V1080" s="1144">
        <f>IFERROR(VLOOKUP(CONCATENATE($E1080,$G1080),'LAC 103'!$A$12:$O$95,15,FALSE),0)</f>
        <v>0</v>
      </c>
      <c r="W1080" s="1145" t="str">
        <f>IFERROR(VLOOKUP(CONCATENATE($B1080,$N1080),'LAC 103'!$AI:$AQ,9,FALSE),"")</f>
        <v>Costs</v>
      </c>
      <c r="X1080" s="1146">
        <f t="shared" si="294"/>
        <v>3.207410103388435</v>
      </c>
      <c r="Y1080" s="1143">
        <f t="shared" si="305"/>
        <v>866.00072791487742</v>
      </c>
      <c r="Z1080" s="1147">
        <f t="shared" si="295"/>
        <v>1077.3</v>
      </c>
      <c r="AA1080" s="1144">
        <f t="shared" si="296"/>
        <v>669.6</v>
      </c>
      <c r="AB1080" s="1144">
        <f t="shared" si="297"/>
        <v>0</v>
      </c>
      <c r="AC1080" s="1144">
        <f t="shared" si="298"/>
        <v>0</v>
      </c>
      <c r="AD1080" s="1148">
        <f t="shared" si="290"/>
        <v>866.00072791487742</v>
      </c>
      <c r="AE1080" s="1487">
        <v>0</v>
      </c>
      <c r="AF1080" s="1145">
        <f t="shared" si="299"/>
        <v>866.00072791487742</v>
      </c>
      <c r="AG1080" s="1149">
        <f>IFERROR(VLOOKUP(CONCATENATE($L1080,$N1080),'Drop List'!$G$23:$K$87,2,FALSE),0)</f>
        <v>0.9</v>
      </c>
      <c r="AH1080" s="1150">
        <f>IFERROR(VLOOKUP(CONCATENATE($L1080,$N1080),'Drop List'!$G$23:$K$87,3,FALSE),0)</f>
        <v>0</v>
      </c>
      <c r="AI1080" s="1150">
        <f>IFERROR(VLOOKUP(CONCATENATE($L1080,$N1080),'Drop List'!$G$23:$K$87,4,FALSE),0)</f>
        <v>0.1</v>
      </c>
      <c r="AJ1080" s="1151">
        <f>IFERROR(VLOOKUP(CONCATENATE($L1080,$N1080),'Drop List'!$G$23:$K$87,5,FALSE),0)</f>
        <v>0</v>
      </c>
      <c r="AK1080" s="1152">
        <f t="shared" si="300"/>
        <v>779.4006551233897</v>
      </c>
      <c r="AL1080" s="1153">
        <f t="shared" si="301"/>
        <v>0</v>
      </c>
      <c r="AM1080" s="1153">
        <f t="shared" si="302"/>
        <v>86.600072791487747</v>
      </c>
      <c r="AN1080" s="1145">
        <f t="shared" si="303"/>
        <v>0</v>
      </c>
      <c r="AO1080" s="1154">
        <f t="shared" si="304"/>
        <v>866.00072791487742</v>
      </c>
      <c r="AP1080" s="1147">
        <f t="shared" si="291"/>
        <v>0</v>
      </c>
      <c r="AQ1080" s="1144">
        <f t="shared" si="292"/>
        <v>0</v>
      </c>
      <c r="AR1080" s="1146">
        <f t="shared" si="293"/>
        <v>866.00072791487742</v>
      </c>
    </row>
    <row r="1081" spans="1:44" x14ac:dyDescent="0.2">
      <c r="A1081" s="1141" t="str">
        <f t="shared" si="306"/>
        <v>1552</v>
      </c>
      <c r="B1081" s="1141" t="str">
        <f>IFERROR(VLOOKUP(A1081,'LAC 103'!A:C,3,FALSE),"")</f>
        <v>OP</v>
      </c>
      <c r="C1081" s="1478" t="str">
        <f>Info!$B$8</f>
        <v>00100</v>
      </c>
      <c r="D1081" s="1474" t="s">
        <v>256</v>
      </c>
      <c r="E1081" s="1474" t="s">
        <v>95</v>
      </c>
      <c r="F1081" s="1478" t="s">
        <v>412</v>
      </c>
      <c r="G1081" s="1478" t="s">
        <v>412</v>
      </c>
      <c r="H1081" s="1474" t="s">
        <v>1658</v>
      </c>
      <c r="I1081" s="1478" t="s">
        <v>807</v>
      </c>
      <c r="J1081" s="1478"/>
      <c r="K1081" s="1475" t="s">
        <v>849</v>
      </c>
      <c r="L1081" s="1474" t="s">
        <v>77</v>
      </c>
      <c r="M1081" s="1476" t="s">
        <v>1698</v>
      </c>
      <c r="N1081" s="1477" t="s">
        <v>1693</v>
      </c>
      <c r="O1081" s="1479">
        <v>433</v>
      </c>
      <c r="P1081" s="1479"/>
      <c r="Q1081" s="1142">
        <f t="shared" si="289"/>
        <v>433</v>
      </c>
      <c r="R1081" s="1143">
        <f>IFERROR(VLOOKUP(CONCATENATE(E1081,G1081),'LAC 103'!$A$12:$O$95,11,FALSE),0)</f>
        <v>3.207410103388435</v>
      </c>
      <c r="S1081" s="1144">
        <f>IFERROR(VLOOKUP(CONCATENATE($E1081,$G1081),'LAC 103'!$A$12:$O$95,12,FALSE),0)</f>
        <v>3.99</v>
      </c>
      <c r="T1081" s="1144">
        <f>IFERROR(VLOOKUP(CONCATENATE($E1081,$G1081),'LAC 103'!$A$12:$O$95,13,FALSE),0)</f>
        <v>2.48</v>
      </c>
      <c r="U1081" s="1144">
        <f>IFERROR(VLOOKUP(CONCATENATE($E1081,$G1081),'LAC 103'!$A$12:$O$95,14,FALSE),0)</f>
        <v>0</v>
      </c>
      <c r="V1081" s="1144">
        <f>IFERROR(VLOOKUP(CONCATENATE($E1081,$G1081),'LAC 103'!$A$12:$O$95,15,FALSE),0)</f>
        <v>0</v>
      </c>
      <c r="W1081" s="1145" t="str">
        <f>IFERROR(VLOOKUP(CONCATENATE($B1081,$N1081),'LAC 103'!$AI:$AQ,9,FALSE),"")</f>
        <v>Costs</v>
      </c>
      <c r="X1081" s="1146">
        <f t="shared" si="294"/>
        <v>3.207410103388435</v>
      </c>
      <c r="Y1081" s="1143">
        <f t="shared" si="305"/>
        <v>1388.8085747671923</v>
      </c>
      <c r="Z1081" s="1147">
        <f t="shared" si="295"/>
        <v>1727.67</v>
      </c>
      <c r="AA1081" s="1144">
        <f t="shared" si="296"/>
        <v>1073.8399999999999</v>
      </c>
      <c r="AB1081" s="1144">
        <f t="shared" si="297"/>
        <v>0</v>
      </c>
      <c r="AC1081" s="1144">
        <f t="shared" si="298"/>
        <v>0</v>
      </c>
      <c r="AD1081" s="1148">
        <f t="shared" si="290"/>
        <v>1388.8085747671923</v>
      </c>
      <c r="AE1081" s="1487">
        <v>0</v>
      </c>
      <c r="AF1081" s="1145">
        <f t="shared" si="299"/>
        <v>1388.8085747671923</v>
      </c>
      <c r="AG1081" s="1149">
        <f>IFERROR(VLOOKUP(CONCATENATE($L1081,$N1081),'Drop List'!$G$23:$K$87,2,FALSE),0)</f>
        <v>0.9</v>
      </c>
      <c r="AH1081" s="1150">
        <f>IFERROR(VLOOKUP(CONCATENATE($L1081,$N1081),'Drop List'!$G$23:$K$87,3,FALSE),0)</f>
        <v>0</v>
      </c>
      <c r="AI1081" s="1150">
        <f>IFERROR(VLOOKUP(CONCATENATE($L1081,$N1081),'Drop List'!$G$23:$K$87,4,FALSE),0)</f>
        <v>0.1</v>
      </c>
      <c r="AJ1081" s="1151">
        <f>IFERROR(VLOOKUP(CONCATENATE($L1081,$N1081),'Drop List'!$G$23:$K$87,5,FALSE),0)</f>
        <v>0</v>
      </c>
      <c r="AK1081" s="1152">
        <f t="shared" si="300"/>
        <v>1249.9277172904731</v>
      </c>
      <c r="AL1081" s="1153">
        <f t="shared" si="301"/>
        <v>0</v>
      </c>
      <c r="AM1081" s="1153">
        <f t="shared" si="302"/>
        <v>138.88085747671923</v>
      </c>
      <c r="AN1081" s="1145">
        <f t="shared" si="303"/>
        <v>0</v>
      </c>
      <c r="AO1081" s="1154">
        <f t="shared" si="304"/>
        <v>1388.8085747671923</v>
      </c>
      <c r="AP1081" s="1147">
        <f t="shared" si="291"/>
        <v>0</v>
      </c>
      <c r="AQ1081" s="1144">
        <f t="shared" si="292"/>
        <v>0</v>
      </c>
      <c r="AR1081" s="1146">
        <f t="shared" si="293"/>
        <v>1388.8085747671923</v>
      </c>
    </row>
    <row r="1082" spans="1:44" x14ac:dyDescent="0.2">
      <c r="A1082" s="1141" t="str">
        <f t="shared" si="306"/>
        <v>1552</v>
      </c>
      <c r="B1082" s="1141" t="str">
        <f>IFERROR(VLOOKUP(A1082,'LAC 103'!A:C,3,FALSE),"")</f>
        <v>OP</v>
      </c>
      <c r="C1082" s="1478" t="str">
        <f>Info!$B$8</f>
        <v>00100</v>
      </c>
      <c r="D1082" s="1474" t="s">
        <v>256</v>
      </c>
      <c r="E1082" s="1474" t="s">
        <v>95</v>
      </c>
      <c r="F1082" s="1478" t="s">
        <v>412</v>
      </c>
      <c r="G1082" s="1478" t="s">
        <v>412</v>
      </c>
      <c r="H1082" s="1474" t="s">
        <v>1658</v>
      </c>
      <c r="I1082" s="1478" t="s">
        <v>807</v>
      </c>
      <c r="J1082" s="1478"/>
      <c r="K1082" s="1475" t="s">
        <v>850</v>
      </c>
      <c r="L1082" s="1474" t="s">
        <v>330</v>
      </c>
      <c r="M1082" s="1476" t="s">
        <v>842</v>
      </c>
      <c r="N1082" s="1477" t="s">
        <v>1692</v>
      </c>
      <c r="O1082" s="1479">
        <v>24</v>
      </c>
      <c r="P1082" s="1479"/>
      <c r="Q1082" s="1142">
        <f t="shared" si="289"/>
        <v>24</v>
      </c>
      <c r="R1082" s="1143">
        <f>IFERROR(VLOOKUP(CONCATENATE(E1082,G1082),'LAC 103'!$A$12:$O$95,11,FALSE),0)</f>
        <v>3.207410103388435</v>
      </c>
      <c r="S1082" s="1144">
        <f>IFERROR(VLOOKUP(CONCATENATE($E1082,$G1082),'LAC 103'!$A$12:$O$95,12,FALSE),0)</f>
        <v>3.99</v>
      </c>
      <c r="T1082" s="1144">
        <f>IFERROR(VLOOKUP(CONCATENATE($E1082,$G1082),'LAC 103'!$A$12:$O$95,13,FALSE),0)</f>
        <v>2.48</v>
      </c>
      <c r="U1082" s="1144">
        <f>IFERROR(VLOOKUP(CONCATENATE($E1082,$G1082),'LAC 103'!$A$12:$O$95,14,FALSE),0)</f>
        <v>0</v>
      </c>
      <c r="V1082" s="1144">
        <f>IFERROR(VLOOKUP(CONCATENATE($E1082,$G1082),'LAC 103'!$A$12:$O$95,15,FALSE),0)</f>
        <v>0</v>
      </c>
      <c r="W1082" s="1145" t="str">
        <f>IFERROR(VLOOKUP(CONCATENATE($B1082,$N1082),'LAC 103'!$AI:$AQ,9,FALSE),"")</f>
        <v>Costs</v>
      </c>
      <c r="X1082" s="1146">
        <f t="shared" si="294"/>
        <v>3.207410103388435</v>
      </c>
      <c r="Y1082" s="1143">
        <f t="shared" si="305"/>
        <v>76.97784248132244</v>
      </c>
      <c r="Z1082" s="1147">
        <f t="shared" si="295"/>
        <v>95.76</v>
      </c>
      <c r="AA1082" s="1144">
        <f t="shared" si="296"/>
        <v>59.519999999999996</v>
      </c>
      <c r="AB1082" s="1144">
        <f t="shared" si="297"/>
        <v>0</v>
      </c>
      <c r="AC1082" s="1144">
        <f t="shared" si="298"/>
        <v>0</v>
      </c>
      <c r="AD1082" s="1148">
        <f t="shared" si="290"/>
        <v>76.97784248132244</v>
      </c>
      <c r="AE1082" s="1487">
        <v>0</v>
      </c>
      <c r="AF1082" s="1145">
        <f t="shared" si="299"/>
        <v>76.97784248132244</v>
      </c>
      <c r="AG1082" s="1149">
        <f>IFERROR(VLOOKUP(CONCATENATE($L1082,$N1082),'Drop List'!$G$23:$K$87,2,FALSE),0)</f>
        <v>0</v>
      </c>
      <c r="AH1082" s="1150">
        <f>IFERROR(VLOOKUP(CONCATENATE($L1082,$N1082),'Drop List'!$G$23:$K$87,3,FALSE),0)</f>
        <v>0</v>
      </c>
      <c r="AI1082" s="1150">
        <f>IFERROR(VLOOKUP(CONCATENATE($L1082,$N1082),'Drop List'!$G$23:$K$87,4,FALSE),0)</f>
        <v>1</v>
      </c>
      <c r="AJ1082" s="1151">
        <f>IFERROR(VLOOKUP(CONCATENATE($L1082,$N1082),'Drop List'!$G$23:$K$87,5,FALSE),0)</f>
        <v>0</v>
      </c>
      <c r="AK1082" s="1152">
        <f t="shared" si="300"/>
        <v>0</v>
      </c>
      <c r="AL1082" s="1153">
        <f t="shared" si="301"/>
        <v>0</v>
      </c>
      <c r="AM1082" s="1153">
        <f t="shared" si="302"/>
        <v>76.97784248132244</v>
      </c>
      <c r="AN1082" s="1145">
        <f t="shared" si="303"/>
        <v>0</v>
      </c>
      <c r="AO1082" s="1154">
        <f t="shared" si="304"/>
        <v>76.97784248132244</v>
      </c>
      <c r="AP1082" s="1147">
        <f t="shared" si="291"/>
        <v>0</v>
      </c>
      <c r="AQ1082" s="1144">
        <f t="shared" si="292"/>
        <v>0</v>
      </c>
      <c r="AR1082" s="1146">
        <f t="shared" si="293"/>
        <v>76.97784248132244</v>
      </c>
    </row>
    <row r="1083" spans="1:44" x14ac:dyDescent="0.2">
      <c r="A1083" s="1141" t="str">
        <f t="shared" si="306"/>
        <v>1552</v>
      </c>
      <c r="B1083" s="1141" t="str">
        <f>IFERROR(VLOOKUP(A1083,'LAC 103'!A:C,3,FALSE),"")</f>
        <v>OP</v>
      </c>
      <c r="C1083" s="1478" t="str">
        <f>Info!$B$8</f>
        <v>00100</v>
      </c>
      <c r="D1083" s="1474" t="s">
        <v>256</v>
      </c>
      <c r="E1083" s="1474" t="s">
        <v>95</v>
      </c>
      <c r="F1083" s="1478" t="s">
        <v>412</v>
      </c>
      <c r="G1083" s="1478" t="s">
        <v>412</v>
      </c>
      <c r="H1083" s="1474" t="s">
        <v>1658</v>
      </c>
      <c r="I1083" s="1478" t="s">
        <v>807</v>
      </c>
      <c r="J1083" s="1478"/>
      <c r="K1083" s="1475" t="s">
        <v>851</v>
      </c>
      <c r="L1083" s="1474" t="s">
        <v>584</v>
      </c>
      <c r="M1083" s="1476" t="s">
        <v>1699</v>
      </c>
      <c r="N1083" s="1477" t="s">
        <v>1694</v>
      </c>
      <c r="O1083" s="1479">
        <v>274</v>
      </c>
      <c r="P1083" s="1479"/>
      <c r="Q1083" s="1142">
        <f t="shared" si="289"/>
        <v>274</v>
      </c>
      <c r="R1083" s="1143">
        <f>IFERROR(VLOOKUP(CONCATENATE(E1083,G1083),'LAC 103'!$A$12:$O$95,11,FALSE),0)</f>
        <v>3.207410103388435</v>
      </c>
      <c r="S1083" s="1144">
        <f>IFERROR(VLOOKUP(CONCATENATE($E1083,$G1083),'LAC 103'!$A$12:$O$95,12,FALSE),0)</f>
        <v>3.99</v>
      </c>
      <c r="T1083" s="1144">
        <f>IFERROR(VLOOKUP(CONCATENATE($E1083,$G1083),'LAC 103'!$A$12:$O$95,13,FALSE),0)</f>
        <v>2.48</v>
      </c>
      <c r="U1083" s="1144">
        <f>IFERROR(VLOOKUP(CONCATENATE($E1083,$G1083),'LAC 103'!$A$12:$O$95,14,FALSE),0)</f>
        <v>0</v>
      </c>
      <c r="V1083" s="1144">
        <f>IFERROR(VLOOKUP(CONCATENATE($E1083,$G1083),'LAC 103'!$A$12:$O$95,15,FALSE),0)</f>
        <v>0</v>
      </c>
      <c r="W1083" s="1145" t="str">
        <f>IFERROR(VLOOKUP(CONCATENATE($B1083,$N1083),'LAC 103'!$AI:$AQ,9,FALSE),"")</f>
        <v>Costs</v>
      </c>
      <c r="X1083" s="1146">
        <f t="shared" si="294"/>
        <v>3.207410103388435</v>
      </c>
      <c r="Y1083" s="1143">
        <f t="shared" si="305"/>
        <v>878.83036832843118</v>
      </c>
      <c r="Z1083" s="1147">
        <f t="shared" si="295"/>
        <v>1093.26</v>
      </c>
      <c r="AA1083" s="1144">
        <f t="shared" si="296"/>
        <v>679.52</v>
      </c>
      <c r="AB1083" s="1144">
        <f t="shared" si="297"/>
        <v>0</v>
      </c>
      <c r="AC1083" s="1144">
        <f t="shared" si="298"/>
        <v>0</v>
      </c>
      <c r="AD1083" s="1148">
        <f t="shared" si="290"/>
        <v>878.83036832843118</v>
      </c>
      <c r="AE1083" s="1487">
        <v>0</v>
      </c>
      <c r="AF1083" s="1145">
        <f t="shared" si="299"/>
        <v>878.83036832843118</v>
      </c>
      <c r="AG1083" s="1149">
        <f>IFERROR(VLOOKUP(CONCATENATE($L1083,$N1083),'Drop List'!$G$23:$K$87,2,FALSE),0)</f>
        <v>0.56200000000000006</v>
      </c>
      <c r="AH1083" s="1150">
        <f>IFERROR(VLOOKUP(CONCATENATE($L1083,$N1083),'Drop List'!$G$23:$K$87,3,FALSE),0)</f>
        <v>0</v>
      </c>
      <c r="AI1083" s="1150">
        <f>IFERROR(VLOOKUP(CONCATENATE($L1083,$N1083),'Drop List'!$G$23:$K$87,4,FALSE),0)</f>
        <v>0</v>
      </c>
      <c r="AJ1083" s="1151">
        <f>IFERROR(VLOOKUP(CONCATENATE($L1083,$N1083),'Drop List'!$G$23:$K$87,5,FALSE),0)</f>
        <v>0.43799999999999994</v>
      </c>
      <c r="AK1083" s="1152">
        <f t="shared" si="300"/>
        <v>493.90266700057839</v>
      </c>
      <c r="AL1083" s="1153">
        <f t="shared" si="301"/>
        <v>0</v>
      </c>
      <c r="AM1083" s="1153">
        <f t="shared" si="302"/>
        <v>0</v>
      </c>
      <c r="AN1083" s="1145">
        <f t="shared" si="303"/>
        <v>384.92770132785279</v>
      </c>
      <c r="AO1083" s="1154">
        <f t="shared" si="304"/>
        <v>878.83036832843118</v>
      </c>
      <c r="AP1083" s="1147">
        <f t="shared" si="291"/>
        <v>0</v>
      </c>
      <c r="AQ1083" s="1144">
        <f t="shared" si="292"/>
        <v>0</v>
      </c>
      <c r="AR1083" s="1146">
        <f t="shared" si="293"/>
        <v>878.83036832843118</v>
      </c>
    </row>
    <row r="1084" spans="1:44" x14ac:dyDescent="0.2">
      <c r="A1084" s="1141" t="str">
        <f t="shared" si="306"/>
        <v>1552</v>
      </c>
      <c r="B1084" s="1141" t="str">
        <f>IFERROR(VLOOKUP(A1084,'LAC 103'!A:C,3,FALSE),"")</f>
        <v>OP</v>
      </c>
      <c r="C1084" s="1478" t="str">
        <f>Info!$B$8</f>
        <v>00100</v>
      </c>
      <c r="D1084" s="1474" t="s">
        <v>256</v>
      </c>
      <c r="E1084" s="1474" t="s">
        <v>95</v>
      </c>
      <c r="F1084" s="1478" t="s">
        <v>412</v>
      </c>
      <c r="G1084" s="1478" t="s">
        <v>412</v>
      </c>
      <c r="H1084" s="1474" t="s">
        <v>1658</v>
      </c>
      <c r="I1084" s="1478" t="s">
        <v>807</v>
      </c>
      <c r="J1084" s="1478"/>
      <c r="K1084" s="1475" t="s">
        <v>851</v>
      </c>
      <c r="L1084" s="1474" t="s">
        <v>584</v>
      </c>
      <c r="M1084" s="1476" t="s">
        <v>840</v>
      </c>
      <c r="N1084" s="1477" t="s">
        <v>1700</v>
      </c>
      <c r="O1084" s="1479">
        <v>386</v>
      </c>
      <c r="P1084" s="1479"/>
      <c r="Q1084" s="1142">
        <f t="shared" ref="Q1084:Q1147" si="307">O1084+P1084</f>
        <v>386</v>
      </c>
      <c r="R1084" s="1143">
        <f>IFERROR(VLOOKUP(CONCATENATE(E1084,G1084),'LAC 103'!$A$12:$O$95,11,FALSE),0)</f>
        <v>3.207410103388435</v>
      </c>
      <c r="S1084" s="1144">
        <f>IFERROR(VLOOKUP(CONCATENATE($E1084,$G1084),'LAC 103'!$A$12:$O$95,12,FALSE),0)</f>
        <v>3.99</v>
      </c>
      <c r="T1084" s="1144">
        <f>IFERROR(VLOOKUP(CONCATENATE($E1084,$G1084),'LAC 103'!$A$12:$O$95,13,FALSE),0)</f>
        <v>2.48</v>
      </c>
      <c r="U1084" s="1144">
        <f>IFERROR(VLOOKUP(CONCATENATE($E1084,$G1084),'LAC 103'!$A$12:$O$95,14,FALSE),0)</f>
        <v>0</v>
      </c>
      <c r="V1084" s="1144">
        <f>IFERROR(VLOOKUP(CONCATENATE($E1084,$G1084),'LAC 103'!$A$12:$O$95,15,FALSE),0)</f>
        <v>0</v>
      </c>
      <c r="W1084" s="1145" t="str">
        <f>IFERROR(VLOOKUP(CONCATENATE($B1084,$N1084),'LAC 103'!$AI:$AQ,9,FALSE),"")</f>
        <v>P.C.</v>
      </c>
      <c r="X1084" s="1146">
        <f t="shared" si="294"/>
        <v>2.48</v>
      </c>
      <c r="Y1084" s="1143">
        <f t="shared" si="305"/>
        <v>1238.0602999079358</v>
      </c>
      <c r="Z1084" s="1147">
        <f t="shared" si="295"/>
        <v>1540.14</v>
      </c>
      <c r="AA1084" s="1144">
        <f t="shared" si="296"/>
        <v>957.28</v>
      </c>
      <c r="AB1084" s="1144">
        <f t="shared" si="297"/>
        <v>0</v>
      </c>
      <c r="AC1084" s="1144">
        <f t="shared" si="298"/>
        <v>0</v>
      </c>
      <c r="AD1084" s="1148">
        <f t="shared" si="290"/>
        <v>957.28</v>
      </c>
      <c r="AE1084" s="1487">
        <v>0</v>
      </c>
      <c r="AF1084" s="1145">
        <f t="shared" si="299"/>
        <v>957.28</v>
      </c>
      <c r="AG1084" s="1149">
        <f>IFERROR(VLOOKUP(CONCATENATE($L1084,$N1084),'Drop List'!$G$23:$K$87,2,FALSE),0)</f>
        <v>0.55000000000000004</v>
      </c>
      <c r="AH1084" s="1150">
        <f>IFERROR(VLOOKUP(CONCATENATE($L1084,$N1084),'Drop List'!$G$23:$K$87,3,FALSE),0)</f>
        <v>0</v>
      </c>
      <c r="AI1084" s="1150">
        <f>IFERROR(VLOOKUP(CONCATENATE($L1084,$N1084),'Drop List'!$G$23:$K$87,4,FALSE),0)</f>
        <v>0</v>
      </c>
      <c r="AJ1084" s="1151">
        <f>IFERROR(VLOOKUP(CONCATENATE($L1084,$N1084),'Drop List'!$G$23:$K$87,5,FALSE),0)</f>
        <v>0.44999999999999996</v>
      </c>
      <c r="AK1084" s="1152">
        <f t="shared" si="300"/>
        <v>526.50400000000002</v>
      </c>
      <c r="AL1084" s="1153">
        <f t="shared" si="301"/>
        <v>0</v>
      </c>
      <c r="AM1084" s="1153">
        <f t="shared" si="302"/>
        <v>0</v>
      </c>
      <c r="AN1084" s="1145">
        <f t="shared" si="303"/>
        <v>430.77599999999995</v>
      </c>
      <c r="AO1084" s="1154">
        <f t="shared" si="304"/>
        <v>957.28</v>
      </c>
      <c r="AP1084" s="1147">
        <f t="shared" si="291"/>
        <v>0</v>
      </c>
      <c r="AQ1084" s="1144">
        <f t="shared" si="292"/>
        <v>0</v>
      </c>
      <c r="AR1084" s="1146">
        <f t="shared" si="293"/>
        <v>957.28</v>
      </c>
    </row>
    <row r="1085" spans="1:44" x14ac:dyDescent="0.2">
      <c r="A1085" s="1141" t="str">
        <f t="shared" si="306"/>
        <v>1552</v>
      </c>
      <c r="B1085" s="1141" t="str">
        <f>IFERROR(VLOOKUP(A1085,'LAC 103'!A:C,3,FALSE),"")</f>
        <v>OP</v>
      </c>
      <c r="C1085" s="1478" t="str">
        <f>Info!$B$8</f>
        <v>00100</v>
      </c>
      <c r="D1085" s="1474" t="s">
        <v>256</v>
      </c>
      <c r="E1085" s="1474" t="s">
        <v>95</v>
      </c>
      <c r="F1085" s="1478" t="s">
        <v>412</v>
      </c>
      <c r="G1085" s="1478" t="s">
        <v>412</v>
      </c>
      <c r="H1085" s="1474" t="s">
        <v>1658</v>
      </c>
      <c r="I1085" s="1478" t="s">
        <v>807</v>
      </c>
      <c r="J1085" s="1478"/>
      <c r="K1085" s="1475" t="s">
        <v>851</v>
      </c>
      <c r="L1085" s="1474" t="s">
        <v>584</v>
      </c>
      <c r="M1085" s="1476" t="s">
        <v>842</v>
      </c>
      <c r="N1085" s="1477" t="s">
        <v>1692</v>
      </c>
      <c r="O1085" s="1479">
        <v>859</v>
      </c>
      <c r="P1085" s="1479"/>
      <c r="Q1085" s="1142">
        <f t="shared" si="307"/>
        <v>859</v>
      </c>
      <c r="R1085" s="1143">
        <f>IFERROR(VLOOKUP(CONCATENATE(E1085,G1085),'LAC 103'!$A$12:$O$95,11,FALSE),0)</f>
        <v>3.207410103388435</v>
      </c>
      <c r="S1085" s="1144">
        <f>IFERROR(VLOOKUP(CONCATENATE($E1085,$G1085),'LAC 103'!$A$12:$O$95,12,FALSE),0)</f>
        <v>3.99</v>
      </c>
      <c r="T1085" s="1144">
        <f>IFERROR(VLOOKUP(CONCATENATE($E1085,$G1085),'LAC 103'!$A$12:$O$95,13,FALSE),0)</f>
        <v>2.48</v>
      </c>
      <c r="U1085" s="1144">
        <f>IFERROR(VLOOKUP(CONCATENATE($E1085,$G1085),'LAC 103'!$A$12:$O$95,14,FALSE),0)</f>
        <v>0</v>
      </c>
      <c r="V1085" s="1144">
        <f>IFERROR(VLOOKUP(CONCATENATE($E1085,$G1085),'LAC 103'!$A$12:$O$95,15,FALSE),0)</f>
        <v>0</v>
      </c>
      <c r="W1085" s="1145" t="str">
        <f>IFERROR(VLOOKUP(CONCATENATE($B1085,$N1085),'LAC 103'!$AI:$AQ,9,FALSE),"")</f>
        <v>Costs</v>
      </c>
      <c r="X1085" s="1146">
        <f t="shared" si="294"/>
        <v>3.207410103388435</v>
      </c>
      <c r="Y1085" s="1143">
        <f t="shared" si="305"/>
        <v>2755.1652788106658</v>
      </c>
      <c r="Z1085" s="1147">
        <f t="shared" si="295"/>
        <v>3427.4100000000003</v>
      </c>
      <c r="AA1085" s="1144">
        <f t="shared" si="296"/>
        <v>2130.3200000000002</v>
      </c>
      <c r="AB1085" s="1144">
        <f t="shared" si="297"/>
        <v>0</v>
      </c>
      <c r="AC1085" s="1144">
        <f t="shared" si="298"/>
        <v>0</v>
      </c>
      <c r="AD1085" s="1148">
        <f t="shared" si="290"/>
        <v>2755.1652788106658</v>
      </c>
      <c r="AE1085" s="1487">
        <v>0</v>
      </c>
      <c r="AF1085" s="1145">
        <f t="shared" si="299"/>
        <v>2755.1652788106658</v>
      </c>
      <c r="AG1085" s="1149">
        <f>IFERROR(VLOOKUP(CONCATENATE($L1085,$N1085),'Drop List'!$G$23:$K$87,2,FALSE),0)</f>
        <v>0.56200000000000006</v>
      </c>
      <c r="AH1085" s="1150">
        <f>IFERROR(VLOOKUP(CONCATENATE($L1085,$N1085),'Drop List'!$G$23:$K$87,3,FALSE),0)</f>
        <v>0</v>
      </c>
      <c r="AI1085" s="1150">
        <f>IFERROR(VLOOKUP(CONCATENATE($L1085,$N1085),'Drop List'!$G$23:$K$87,4,FALSE),0)</f>
        <v>0</v>
      </c>
      <c r="AJ1085" s="1151">
        <f>IFERROR(VLOOKUP(CONCATENATE($L1085,$N1085),'Drop List'!$G$23:$K$87,5,FALSE),0)</f>
        <v>0.43799999999999994</v>
      </c>
      <c r="AK1085" s="1152">
        <f t="shared" si="300"/>
        <v>1548.4028866915944</v>
      </c>
      <c r="AL1085" s="1153">
        <f t="shared" si="301"/>
        <v>0</v>
      </c>
      <c r="AM1085" s="1153">
        <f t="shared" si="302"/>
        <v>0</v>
      </c>
      <c r="AN1085" s="1145">
        <f t="shared" si="303"/>
        <v>1206.7623921190714</v>
      </c>
      <c r="AO1085" s="1154">
        <f t="shared" si="304"/>
        <v>2755.1652788106658</v>
      </c>
      <c r="AP1085" s="1147">
        <f t="shared" si="291"/>
        <v>0</v>
      </c>
      <c r="AQ1085" s="1144">
        <f t="shared" si="292"/>
        <v>0</v>
      </c>
      <c r="AR1085" s="1146">
        <f t="shared" si="293"/>
        <v>2755.1652788106658</v>
      </c>
    </row>
    <row r="1086" spans="1:44" x14ac:dyDescent="0.2">
      <c r="A1086" s="1141" t="str">
        <f t="shared" si="306"/>
        <v>1552</v>
      </c>
      <c r="B1086" s="1141" t="str">
        <f>IFERROR(VLOOKUP(A1086,'LAC 103'!A:C,3,FALSE),"")</f>
        <v>OP</v>
      </c>
      <c r="C1086" s="1478" t="str">
        <f>Info!$B$8</f>
        <v>00100</v>
      </c>
      <c r="D1086" s="1474" t="s">
        <v>256</v>
      </c>
      <c r="E1086" s="1474" t="s">
        <v>95</v>
      </c>
      <c r="F1086" s="1478" t="s">
        <v>412</v>
      </c>
      <c r="G1086" s="1478" t="s">
        <v>412</v>
      </c>
      <c r="H1086" s="1474" t="s">
        <v>1658</v>
      </c>
      <c r="I1086" s="1478" t="s">
        <v>807</v>
      </c>
      <c r="J1086" s="1478"/>
      <c r="K1086" s="1475" t="s">
        <v>851</v>
      </c>
      <c r="L1086" s="1474" t="s">
        <v>584</v>
      </c>
      <c r="M1086" s="1476" t="s">
        <v>1698</v>
      </c>
      <c r="N1086" s="1477" t="s">
        <v>1693</v>
      </c>
      <c r="O1086" s="1479">
        <v>1102</v>
      </c>
      <c r="P1086" s="1479"/>
      <c r="Q1086" s="1142">
        <f t="shared" si="307"/>
        <v>1102</v>
      </c>
      <c r="R1086" s="1143">
        <f>IFERROR(VLOOKUP(CONCATENATE(E1086,G1086),'LAC 103'!$A$12:$O$95,11,FALSE),0)</f>
        <v>3.207410103388435</v>
      </c>
      <c r="S1086" s="1144">
        <f>IFERROR(VLOOKUP(CONCATENATE($E1086,$G1086),'LAC 103'!$A$12:$O$95,12,FALSE),0)</f>
        <v>3.99</v>
      </c>
      <c r="T1086" s="1144">
        <f>IFERROR(VLOOKUP(CONCATENATE($E1086,$G1086),'LAC 103'!$A$12:$O$95,13,FALSE),0)</f>
        <v>2.48</v>
      </c>
      <c r="U1086" s="1144">
        <f>IFERROR(VLOOKUP(CONCATENATE($E1086,$G1086),'LAC 103'!$A$12:$O$95,14,FALSE),0)</f>
        <v>0</v>
      </c>
      <c r="V1086" s="1144">
        <f>IFERROR(VLOOKUP(CONCATENATE($E1086,$G1086),'LAC 103'!$A$12:$O$95,15,FALSE),0)</f>
        <v>0</v>
      </c>
      <c r="W1086" s="1145" t="str">
        <f>IFERROR(VLOOKUP(CONCATENATE($B1086,$N1086),'LAC 103'!$AI:$AQ,9,FALSE),"")</f>
        <v>Costs</v>
      </c>
      <c r="X1086" s="1146">
        <f t="shared" si="294"/>
        <v>3.207410103388435</v>
      </c>
      <c r="Y1086" s="1143">
        <f t="shared" si="305"/>
        <v>3534.5659339340555</v>
      </c>
      <c r="Z1086" s="1147">
        <f t="shared" si="295"/>
        <v>4396.9800000000005</v>
      </c>
      <c r="AA1086" s="1144">
        <f t="shared" si="296"/>
        <v>2732.96</v>
      </c>
      <c r="AB1086" s="1144">
        <f t="shared" si="297"/>
        <v>0</v>
      </c>
      <c r="AC1086" s="1144">
        <f t="shared" si="298"/>
        <v>0</v>
      </c>
      <c r="AD1086" s="1148">
        <f t="shared" si="290"/>
        <v>3534.5659339340555</v>
      </c>
      <c r="AE1086" s="1487">
        <v>0</v>
      </c>
      <c r="AF1086" s="1145">
        <f t="shared" si="299"/>
        <v>3534.5659339340555</v>
      </c>
      <c r="AG1086" s="1149">
        <f>IFERROR(VLOOKUP(CONCATENATE($L1086,$N1086),'Drop List'!$G$23:$K$87,2,FALSE),0)</f>
        <v>0.56200000000000006</v>
      </c>
      <c r="AH1086" s="1150">
        <f>IFERROR(VLOOKUP(CONCATENATE($L1086,$N1086),'Drop List'!$G$23:$K$87,3,FALSE),0)</f>
        <v>0</v>
      </c>
      <c r="AI1086" s="1150">
        <f>IFERROR(VLOOKUP(CONCATENATE($L1086,$N1086),'Drop List'!$G$23:$K$87,4,FALSE),0)</f>
        <v>0</v>
      </c>
      <c r="AJ1086" s="1151">
        <f>IFERROR(VLOOKUP(CONCATENATE($L1086,$N1086),'Drop List'!$G$23:$K$87,5,FALSE),0)</f>
        <v>0.43799999999999994</v>
      </c>
      <c r="AK1086" s="1152">
        <f t="shared" si="300"/>
        <v>1986.4260548709394</v>
      </c>
      <c r="AL1086" s="1153">
        <f t="shared" si="301"/>
        <v>0</v>
      </c>
      <c r="AM1086" s="1153">
        <f t="shared" si="302"/>
        <v>0</v>
      </c>
      <c r="AN1086" s="1145">
        <f t="shared" si="303"/>
        <v>1548.139879063116</v>
      </c>
      <c r="AO1086" s="1154">
        <f t="shared" si="304"/>
        <v>3534.5659339340555</v>
      </c>
      <c r="AP1086" s="1147">
        <f t="shared" si="291"/>
        <v>0</v>
      </c>
      <c r="AQ1086" s="1144">
        <f t="shared" si="292"/>
        <v>0</v>
      </c>
      <c r="AR1086" s="1146">
        <f t="shared" si="293"/>
        <v>3534.5659339340555</v>
      </c>
    </row>
    <row r="1087" spans="1:44" x14ac:dyDescent="0.2">
      <c r="A1087" s="1141" t="str">
        <f t="shared" si="306"/>
        <v>1552</v>
      </c>
      <c r="B1087" s="1141" t="str">
        <f>IFERROR(VLOOKUP(A1087,'LAC 103'!A:C,3,FALSE),"")</f>
        <v>OP</v>
      </c>
      <c r="C1087" s="1478" t="str">
        <f>Info!$B$8</f>
        <v>00100</v>
      </c>
      <c r="D1087" s="1474" t="s">
        <v>256</v>
      </c>
      <c r="E1087" s="1474" t="s">
        <v>95</v>
      </c>
      <c r="F1087" s="1478" t="s">
        <v>412</v>
      </c>
      <c r="G1087" s="1478" t="s">
        <v>412</v>
      </c>
      <c r="H1087" s="1474" t="s">
        <v>988</v>
      </c>
      <c r="I1087" s="1478" t="s">
        <v>811</v>
      </c>
      <c r="J1087" s="1478" t="s">
        <v>123</v>
      </c>
      <c r="K1087" s="1475" t="s">
        <v>1654</v>
      </c>
      <c r="L1087" s="1474" t="s">
        <v>332</v>
      </c>
      <c r="M1087" s="1476" t="s">
        <v>841</v>
      </c>
      <c r="N1087" s="1477" t="s">
        <v>1695</v>
      </c>
      <c r="O1087" s="1479">
        <v>224</v>
      </c>
      <c r="P1087" s="1479"/>
      <c r="Q1087" s="1142">
        <f t="shared" si="307"/>
        <v>224</v>
      </c>
      <c r="R1087" s="1143">
        <f>IFERROR(VLOOKUP(CONCATENATE(E1087,G1087),'LAC 103'!$A$12:$O$95,11,FALSE),0)</f>
        <v>3.207410103388435</v>
      </c>
      <c r="S1087" s="1144">
        <f>IFERROR(VLOOKUP(CONCATENATE($E1087,$G1087),'LAC 103'!$A$12:$O$95,12,FALSE),0)</f>
        <v>3.99</v>
      </c>
      <c r="T1087" s="1144">
        <f>IFERROR(VLOOKUP(CONCATENATE($E1087,$G1087),'LAC 103'!$A$12:$O$95,13,FALSE),0)</f>
        <v>2.48</v>
      </c>
      <c r="U1087" s="1144">
        <f>IFERROR(VLOOKUP(CONCATENATE($E1087,$G1087),'LAC 103'!$A$12:$O$95,14,FALSE),0)</f>
        <v>0</v>
      </c>
      <c r="V1087" s="1144">
        <f>IFERROR(VLOOKUP(CONCATENATE($E1087,$G1087),'LAC 103'!$A$12:$O$95,15,FALSE),0)</f>
        <v>0</v>
      </c>
      <c r="W1087" s="1145" t="str">
        <f>IFERROR(VLOOKUP(CONCATENATE($B1087,$N1087),'LAC 103'!$AI:$AQ,9,FALSE),"")</f>
        <v>Costs</v>
      </c>
      <c r="X1087" s="1146">
        <f t="shared" si="294"/>
        <v>3.207410103388435</v>
      </c>
      <c r="Y1087" s="1143">
        <f t="shared" si="305"/>
        <v>718.4598631590095</v>
      </c>
      <c r="Z1087" s="1147">
        <f t="shared" si="295"/>
        <v>893.76</v>
      </c>
      <c r="AA1087" s="1144">
        <f t="shared" si="296"/>
        <v>555.52</v>
      </c>
      <c r="AB1087" s="1144">
        <f t="shared" si="297"/>
        <v>0</v>
      </c>
      <c r="AC1087" s="1144">
        <f t="shared" si="298"/>
        <v>0</v>
      </c>
      <c r="AD1087" s="1148">
        <f t="shared" si="290"/>
        <v>718.4598631590095</v>
      </c>
      <c r="AE1087" s="1487">
        <v>0</v>
      </c>
      <c r="AF1087" s="1145">
        <f t="shared" si="299"/>
        <v>718.4598631590095</v>
      </c>
      <c r="AG1087" s="1149">
        <f>IFERROR(VLOOKUP(CONCATENATE($L1087,$N1087),'Drop List'!$G$23:$K$87,2,FALSE),0)</f>
        <v>0</v>
      </c>
      <c r="AH1087" s="1150">
        <f>IFERROR(VLOOKUP(CONCATENATE($L1087,$N1087),'Drop List'!$G$23:$K$87,3,FALSE),0)</f>
        <v>0</v>
      </c>
      <c r="AI1087" s="1150">
        <f>IFERROR(VLOOKUP(CONCATENATE($L1087,$N1087),'Drop List'!$G$23:$K$87,4,FALSE),0)</f>
        <v>0</v>
      </c>
      <c r="AJ1087" s="1151">
        <f>IFERROR(VLOOKUP(CONCATENATE($L1087,$N1087),'Drop List'!$G$23:$K$87,5,FALSE),0)</f>
        <v>0</v>
      </c>
      <c r="AK1087" s="1152">
        <f t="shared" si="300"/>
        <v>0</v>
      </c>
      <c r="AL1087" s="1153">
        <f t="shared" si="301"/>
        <v>0</v>
      </c>
      <c r="AM1087" s="1153">
        <f t="shared" si="302"/>
        <v>0</v>
      </c>
      <c r="AN1087" s="1145">
        <f t="shared" si="303"/>
        <v>0</v>
      </c>
      <c r="AO1087" s="1154">
        <f t="shared" si="304"/>
        <v>0</v>
      </c>
      <c r="AP1087" s="1147">
        <f t="shared" si="291"/>
        <v>718.4598631590095</v>
      </c>
      <c r="AQ1087" s="1144">
        <f t="shared" si="292"/>
        <v>0</v>
      </c>
      <c r="AR1087" s="1146">
        <f t="shared" si="293"/>
        <v>718.4598631590095</v>
      </c>
    </row>
    <row r="1088" spans="1:44" x14ac:dyDescent="0.2">
      <c r="A1088" s="1141" t="str">
        <f t="shared" si="306"/>
        <v>1552</v>
      </c>
      <c r="B1088" s="1141" t="str">
        <f>IFERROR(VLOOKUP(A1088,'LAC 103'!A:C,3,FALSE),"")</f>
        <v>OP</v>
      </c>
      <c r="C1088" s="1478" t="str">
        <f>Info!$B$8</f>
        <v>00100</v>
      </c>
      <c r="D1088" s="1474" t="s">
        <v>256</v>
      </c>
      <c r="E1088" s="1474" t="s">
        <v>95</v>
      </c>
      <c r="F1088" s="1478" t="s">
        <v>412</v>
      </c>
      <c r="G1088" s="1478" t="s">
        <v>412</v>
      </c>
      <c r="H1088" s="1474" t="s">
        <v>988</v>
      </c>
      <c r="I1088" s="1478" t="s">
        <v>811</v>
      </c>
      <c r="J1088" s="1478"/>
      <c r="K1088" s="1475" t="s">
        <v>1654</v>
      </c>
      <c r="L1088" s="1474" t="s">
        <v>332</v>
      </c>
      <c r="M1088" s="1476" t="s">
        <v>840</v>
      </c>
      <c r="N1088" s="1477" t="s">
        <v>1700</v>
      </c>
      <c r="O1088" s="1479">
        <v>142</v>
      </c>
      <c r="P1088" s="1479"/>
      <c r="Q1088" s="1142">
        <f t="shared" si="307"/>
        <v>142</v>
      </c>
      <c r="R1088" s="1143">
        <f>IFERROR(VLOOKUP(CONCATENATE(E1088,G1088),'LAC 103'!$A$12:$O$95,11,FALSE),0)</f>
        <v>3.207410103388435</v>
      </c>
      <c r="S1088" s="1144">
        <f>IFERROR(VLOOKUP(CONCATENATE($E1088,$G1088),'LAC 103'!$A$12:$O$95,12,FALSE),0)</f>
        <v>3.99</v>
      </c>
      <c r="T1088" s="1144">
        <f>IFERROR(VLOOKUP(CONCATENATE($E1088,$G1088),'LAC 103'!$A$12:$O$95,13,FALSE),0)</f>
        <v>2.48</v>
      </c>
      <c r="U1088" s="1144">
        <f>IFERROR(VLOOKUP(CONCATENATE($E1088,$G1088),'LAC 103'!$A$12:$O$95,14,FALSE),0)</f>
        <v>0</v>
      </c>
      <c r="V1088" s="1144">
        <f>IFERROR(VLOOKUP(CONCATENATE($E1088,$G1088),'LAC 103'!$A$12:$O$95,15,FALSE),0)</f>
        <v>0</v>
      </c>
      <c r="W1088" s="1145" t="str">
        <f>IFERROR(VLOOKUP(CONCATENATE($B1088,$N1088),'LAC 103'!$AI:$AQ,9,FALSE),"")</f>
        <v>P.C.</v>
      </c>
      <c r="X1088" s="1146">
        <f t="shared" si="294"/>
        <v>2.48</v>
      </c>
      <c r="Y1088" s="1143">
        <f t="shared" si="305"/>
        <v>455.45223468115779</v>
      </c>
      <c r="Z1088" s="1147">
        <f t="shared" si="295"/>
        <v>566.58000000000004</v>
      </c>
      <c r="AA1088" s="1144">
        <f t="shared" si="296"/>
        <v>352.16</v>
      </c>
      <c r="AB1088" s="1144">
        <f t="shared" si="297"/>
        <v>0</v>
      </c>
      <c r="AC1088" s="1144">
        <f t="shared" si="298"/>
        <v>0</v>
      </c>
      <c r="AD1088" s="1148">
        <f t="shared" si="290"/>
        <v>352.16</v>
      </c>
      <c r="AE1088" s="1487">
        <v>0</v>
      </c>
      <c r="AF1088" s="1145">
        <f t="shared" si="299"/>
        <v>352.16</v>
      </c>
      <c r="AG1088" s="1149">
        <f>IFERROR(VLOOKUP(CONCATENATE($L1088,$N1088),'Drop List'!$G$23:$K$87,2,FALSE),0)</f>
        <v>0</v>
      </c>
      <c r="AH1088" s="1150">
        <f>IFERROR(VLOOKUP(CONCATENATE($L1088,$N1088),'Drop List'!$G$23:$K$87,3,FALSE),0)</f>
        <v>0</v>
      </c>
      <c r="AI1088" s="1150">
        <f>IFERROR(VLOOKUP(CONCATENATE($L1088,$N1088),'Drop List'!$G$23:$K$87,4,FALSE),0)</f>
        <v>0</v>
      </c>
      <c r="AJ1088" s="1151">
        <f>IFERROR(VLOOKUP(CONCATENATE($L1088,$N1088),'Drop List'!$G$23:$K$87,5,FALSE),0)</f>
        <v>0</v>
      </c>
      <c r="AK1088" s="1152">
        <f t="shared" si="300"/>
        <v>0</v>
      </c>
      <c r="AL1088" s="1153">
        <f t="shared" si="301"/>
        <v>0</v>
      </c>
      <c r="AM1088" s="1153">
        <f t="shared" si="302"/>
        <v>0</v>
      </c>
      <c r="AN1088" s="1145">
        <f t="shared" si="303"/>
        <v>0</v>
      </c>
      <c r="AO1088" s="1154">
        <f t="shared" si="304"/>
        <v>0</v>
      </c>
      <c r="AP1088" s="1147">
        <f t="shared" si="291"/>
        <v>352.16</v>
      </c>
      <c r="AQ1088" s="1144">
        <f t="shared" si="292"/>
        <v>0</v>
      </c>
      <c r="AR1088" s="1146">
        <f t="shared" si="293"/>
        <v>352.16</v>
      </c>
    </row>
    <row r="1089" spans="1:44" x14ac:dyDescent="0.2">
      <c r="A1089" s="1141" t="str">
        <f t="shared" si="306"/>
        <v>1552</v>
      </c>
      <c r="B1089" s="1141" t="str">
        <f>IFERROR(VLOOKUP(A1089,'LAC 103'!A:C,3,FALSE),"")</f>
        <v>OP</v>
      </c>
      <c r="C1089" s="1478" t="str">
        <f>Info!$B$8</f>
        <v>00100</v>
      </c>
      <c r="D1089" s="1474" t="s">
        <v>256</v>
      </c>
      <c r="E1089" s="1474" t="s">
        <v>95</v>
      </c>
      <c r="F1089" s="1478" t="s">
        <v>412</v>
      </c>
      <c r="G1089" s="1478" t="s">
        <v>412</v>
      </c>
      <c r="H1089" s="1474" t="s">
        <v>988</v>
      </c>
      <c r="I1089" s="1478" t="s">
        <v>811</v>
      </c>
      <c r="J1089" s="1478"/>
      <c r="K1089" s="1475" t="s">
        <v>847</v>
      </c>
      <c r="L1089" s="1474" t="s">
        <v>582</v>
      </c>
      <c r="M1089" s="1476" t="s">
        <v>1699</v>
      </c>
      <c r="N1089" s="1477" t="s">
        <v>1694</v>
      </c>
      <c r="O1089" s="1479">
        <v>596</v>
      </c>
      <c r="P1089" s="1479"/>
      <c r="Q1089" s="1142">
        <f t="shared" si="307"/>
        <v>596</v>
      </c>
      <c r="R1089" s="1143">
        <f>IFERROR(VLOOKUP(CONCATENATE(E1089,G1089),'LAC 103'!$A$12:$O$95,11,FALSE),0)</f>
        <v>3.207410103388435</v>
      </c>
      <c r="S1089" s="1144">
        <f>IFERROR(VLOOKUP(CONCATENATE($E1089,$G1089),'LAC 103'!$A$12:$O$95,12,FALSE),0)</f>
        <v>3.99</v>
      </c>
      <c r="T1089" s="1144">
        <f>IFERROR(VLOOKUP(CONCATENATE($E1089,$G1089),'LAC 103'!$A$12:$O$95,13,FALSE),0)</f>
        <v>2.48</v>
      </c>
      <c r="U1089" s="1144">
        <f>IFERROR(VLOOKUP(CONCATENATE($E1089,$G1089),'LAC 103'!$A$12:$O$95,14,FALSE),0)</f>
        <v>0</v>
      </c>
      <c r="V1089" s="1144">
        <f>IFERROR(VLOOKUP(CONCATENATE($E1089,$G1089),'LAC 103'!$A$12:$O$95,15,FALSE),0)</f>
        <v>0</v>
      </c>
      <c r="W1089" s="1145" t="str">
        <f>IFERROR(VLOOKUP(CONCATENATE($B1089,$N1089),'LAC 103'!$AI:$AQ,9,FALSE),"")</f>
        <v>Costs</v>
      </c>
      <c r="X1089" s="1146">
        <f t="shared" si="294"/>
        <v>3.207410103388435</v>
      </c>
      <c r="Y1089" s="1143">
        <f t="shared" si="305"/>
        <v>1911.6164216195073</v>
      </c>
      <c r="Z1089" s="1147">
        <f t="shared" si="295"/>
        <v>2378.04</v>
      </c>
      <c r="AA1089" s="1144">
        <f t="shared" si="296"/>
        <v>1478.08</v>
      </c>
      <c r="AB1089" s="1144">
        <f t="shared" si="297"/>
        <v>0</v>
      </c>
      <c r="AC1089" s="1144">
        <f t="shared" si="298"/>
        <v>0</v>
      </c>
      <c r="AD1089" s="1148">
        <f t="shared" si="290"/>
        <v>1911.6164216195073</v>
      </c>
      <c r="AE1089" s="1487">
        <v>0</v>
      </c>
      <c r="AF1089" s="1145">
        <f t="shared" si="299"/>
        <v>1911.6164216195073</v>
      </c>
      <c r="AG1089" s="1149">
        <f>IFERROR(VLOOKUP(CONCATENATE($L1089,$N1089),'Drop List'!$G$23:$K$87,2,FALSE),0)</f>
        <v>0.56200000000000006</v>
      </c>
      <c r="AH1089" s="1150">
        <f>IFERROR(VLOOKUP(CONCATENATE($L1089,$N1089),'Drop List'!$G$23:$K$87,3,FALSE),0)</f>
        <v>0.43799999999999994</v>
      </c>
      <c r="AI1089" s="1150">
        <f>IFERROR(VLOOKUP(CONCATENATE($L1089,$N1089),'Drop List'!$G$23:$K$87,4,FALSE),0)</f>
        <v>0</v>
      </c>
      <c r="AJ1089" s="1151">
        <f>IFERROR(VLOOKUP(CONCATENATE($L1089,$N1089),'Drop List'!$G$23:$K$87,5,FALSE),0)</f>
        <v>0</v>
      </c>
      <c r="AK1089" s="1152">
        <f t="shared" si="300"/>
        <v>1074.3284289501632</v>
      </c>
      <c r="AL1089" s="1153">
        <f t="shared" si="301"/>
        <v>837.28799266934402</v>
      </c>
      <c r="AM1089" s="1153">
        <f t="shared" si="302"/>
        <v>0</v>
      </c>
      <c r="AN1089" s="1145">
        <f t="shared" si="303"/>
        <v>0</v>
      </c>
      <c r="AO1089" s="1154">
        <f t="shared" si="304"/>
        <v>1911.6164216195073</v>
      </c>
      <c r="AP1089" s="1147">
        <f t="shared" si="291"/>
        <v>0</v>
      </c>
      <c r="AQ1089" s="1144">
        <f t="shared" si="292"/>
        <v>0</v>
      </c>
      <c r="AR1089" s="1146">
        <f t="shared" si="293"/>
        <v>1911.6164216195073</v>
      </c>
    </row>
    <row r="1090" spans="1:44" x14ac:dyDescent="0.2">
      <c r="A1090" s="1141" t="str">
        <f t="shared" si="306"/>
        <v>1552</v>
      </c>
      <c r="B1090" s="1141" t="str">
        <f>IFERROR(VLOOKUP(A1090,'LAC 103'!A:C,3,FALSE),"")</f>
        <v>OP</v>
      </c>
      <c r="C1090" s="1478" t="str">
        <f>Info!$B$8</f>
        <v>00100</v>
      </c>
      <c r="D1090" s="1474" t="s">
        <v>256</v>
      </c>
      <c r="E1090" s="1474" t="s">
        <v>95</v>
      </c>
      <c r="F1090" s="1478" t="s">
        <v>412</v>
      </c>
      <c r="G1090" s="1478" t="s">
        <v>412</v>
      </c>
      <c r="H1090" s="1474" t="s">
        <v>988</v>
      </c>
      <c r="I1090" s="1478" t="s">
        <v>811</v>
      </c>
      <c r="J1090" s="1478"/>
      <c r="K1090" s="1475" t="s">
        <v>847</v>
      </c>
      <c r="L1090" s="1474" t="s">
        <v>582</v>
      </c>
      <c r="M1090" s="1476" t="s">
        <v>841</v>
      </c>
      <c r="N1090" s="1477" t="s">
        <v>1695</v>
      </c>
      <c r="O1090" s="1479">
        <v>536</v>
      </c>
      <c r="P1090" s="1479"/>
      <c r="Q1090" s="1142">
        <f t="shared" si="307"/>
        <v>536</v>
      </c>
      <c r="R1090" s="1143">
        <f>IFERROR(VLOOKUP(CONCATENATE(E1090,G1090),'LAC 103'!$A$12:$O$95,11,FALSE),0)</f>
        <v>3.207410103388435</v>
      </c>
      <c r="S1090" s="1144">
        <f>IFERROR(VLOOKUP(CONCATENATE($E1090,$G1090),'LAC 103'!$A$12:$O$95,12,FALSE),0)</f>
        <v>3.99</v>
      </c>
      <c r="T1090" s="1144">
        <f>IFERROR(VLOOKUP(CONCATENATE($E1090,$G1090),'LAC 103'!$A$12:$O$95,13,FALSE),0)</f>
        <v>2.48</v>
      </c>
      <c r="U1090" s="1144">
        <f>IFERROR(VLOOKUP(CONCATENATE($E1090,$G1090),'LAC 103'!$A$12:$O$95,14,FALSE),0)</f>
        <v>0</v>
      </c>
      <c r="V1090" s="1144">
        <f>IFERROR(VLOOKUP(CONCATENATE($E1090,$G1090),'LAC 103'!$A$12:$O$95,15,FALSE),0)</f>
        <v>0</v>
      </c>
      <c r="W1090" s="1145" t="str">
        <f>IFERROR(VLOOKUP(CONCATENATE($B1090,$N1090),'LAC 103'!$AI:$AQ,9,FALSE),"")</f>
        <v>Costs</v>
      </c>
      <c r="X1090" s="1146">
        <f t="shared" si="294"/>
        <v>3.207410103388435</v>
      </c>
      <c r="Y1090" s="1143">
        <f t="shared" si="305"/>
        <v>1719.1718154162011</v>
      </c>
      <c r="Z1090" s="1147">
        <f t="shared" si="295"/>
        <v>2138.6400000000003</v>
      </c>
      <c r="AA1090" s="1144">
        <f t="shared" si="296"/>
        <v>1329.28</v>
      </c>
      <c r="AB1090" s="1144">
        <f t="shared" si="297"/>
        <v>0</v>
      </c>
      <c r="AC1090" s="1144">
        <f t="shared" si="298"/>
        <v>0</v>
      </c>
      <c r="AD1090" s="1148">
        <f t="shared" si="290"/>
        <v>1719.1718154162011</v>
      </c>
      <c r="AE1090" s="1487">
        <v>0</v>
      </c>
      <c r="AF1090" s="1145">
        <f t="shared" si="299"/>
        <v>1719.1718154162011</v>
      </c>
      <c r="AG1090" s="1149">
        <f>IFERROR(VLOOKUP(CONCATENATE($L1090,$N1090),'Drop List'!$G$23:$K$87,2,FALSE),0)</f>
        <v>0.55000000000000004</v>
      </c>
      <c r="AH1090" s="1150">
        <f>IFERROR(VLOOKUP(CONCATENATE($L1090,$N1090),'Drop List'!$G$23:$K$87,3,FALSE),0)</f>
        <v>0.44999999999999996</v>
      </c>
      <c r="AI1090" s="1150">
        <f>IFERROR(VLOOKUP(CONCATENATE($L1090,$N1090),'Drop List'!$G$23:$K$87,4,FALSE),0)</f>
        <v>0</v>
      </c>
      <c r="AJ1090" s="1151">
        <f>IFERROR(VLOOKUP(CONCATENATE($L1090,$N1090),'Drop List'!$G$23:$K$87,5,FALSE),0)</f>
        <v>0</v>
      </c>
      <c r="AK1090" s="1152">
        <f t="shared" si="300"/>
        <v>945.54449847891067</v>
      </c>
      <c r="AL1090" s="1153">
        <f t="shared" si="301"/>
        <v>773.6273169372904</v>
      </c>
      <c r="AM1090" s="1153">
        <f t="shared" si="302"/>
        <v>0</v>
      </c>
      <c r="AN1090" s="1145">
        <f t="shared" si="303"/>
        <v>0</v>
      </c>
      <c r="AO1090" s="1154">
        <f t="shared" si="304"/>
        <v>1719.1718154162011</v>
      </c>
      <c r="AP1090" s="1147">
        <f t="shared" si="291"/>
        <v>0</v>
      </c>
      <c r="AQ1090" s="1144">
        <f t="shared" si="292"/>
        <v>0</v>
      </c>
      <c r="AR1090" s="1146">
        <f t="shared" si="293"/>
        <v>1719.1718154162011</v>
      </c>
    </row>
    <row r="1091" spans="1:44" x14ac:dyDescent="0.2">
      <c r="A1091" s="1141" t="str">
        <f t="shared" si="306"/>
        <v>1552</v>
      </c>
      <c r="B1091" s="1141" t="str">
        <f>IFERROR(VLOOKUP(A1091,'LAC 103'!A:C,3,FALSE),"")</f>
        <v>OP</v>
      </c>
      <c r="C1091" s="1478" t="str">
        <f>Info!$B$8</f>
        <v>00100</v>
      </c>
      <c r="D1091" s="1474" t="s">
        <v>256</v>
      </c>
      <c r="E1091" s="1474" t="s">
        <v>95</v>
      </c>
      <c r="F1091" s="1478" t="s">
        <v>412</v>
      </c>
      <c r="G1091" s="1478" t="s">
        <v>412</v>
      </c>
      <c r="H1091" s="1474" t="s">
        <v>988</v>
      </c>
      <c r="I1091" s="1478" t="s">
        <v>811</v>
      </c>
      <c r="J1091" s="1478"/>
      <c r="K1091" s="1475" t="s">
        <v>847</v>
      </c>
      <c r="L1091" s="1474" t="s">
        <v>582</v>
      </c>
      <c r="M1091" s="1476" t="s">
        <v>840</v>
      </c>
      <c r="N1091" s="1477" t="s">
        <v>1700</v>
      </c>
      <c r="O1091" s="1479">
        <v>1394</v>
      </c>
      <c r="P1091" s="1479"/>
      <c r="Q1091" s="1142">
        <f t="shared" si="307"/>
        <v>1394</v>
      </c>
      <c r="R1091" s="1143">
        <f>IFERROR(VLOOKUP(CONCATENATE(E1091,G1091),'LAC 103'!$A$12:$O$95,11,FALSE),0)</f>
        <v>3.207410103388435</v>
      </c>
      <c r="S1091" s="1144">
        <f>IFERROR(VLOOKUP(CONCATENATE($E1091,$G1091),'LAC 103'!$A$12:$O$95,12,FALSE),0)</f>
        <v>3.99</v>
      </c>
      <c r="T1091" s="1144">
        <f>IFERROR(VLOOKUP(CONCATENATE($E1091,$G1091),'LAC 103'!$A$12:$O$95,13,FALSE),0)</f>
        <v>2.48</v>
      </c>
      <c r="U1091" s="1144">
        <f>IFERROR(VLOOKUP(CONCATENATE($E1091,$G1091),'LAC 103'!$A$12:$O$95,14,FALSE),0)</f>
        <v>0</v>
      </c>
      <c r="V1091" s="1144">
        <f>IFERROR(VLOOKUP(CONCATENATE($E1091,$G1091),'LAC 103'!$A$12:$O$95,15,FALSE),0)</f>
        <v>0</v>
      </c>
      <c r="W1091" s="1145" t="str">
        <f>IFERROR(VLOOKUP(CONCATENATE($B1091,$N1091),'LAC 103'!$AI:$AQ,9,FALSE),"")</f>
        <v>P.C.</v>
      </c>
      <c r="X1091" s="1146">
        <f t="shared" si="294"/>
        <v>2.48</v>
      </c>
      <c r="Y1091" s="1143">
        <f t="shared" si="305"/>
        <v>4471.129684123478</v>
      </c>
      <c r="Z1091" s="1147">
        <f t="shared" si="295"/>
        <v>5562.06</v>
      </c>
      <c r="AA1091" s="1144">
        <f t="shared" si="296"/>
        <v>3457.12</v>
      </c>
      <c r="AB1091" s="1144">
        <f t="shared" si="297"/>
        <v>0</v>
      </c>
      <c r="AC1091" s="1144">
        <f t="shared" si="298"/>
        <v>0</v>
      </c>
      <c r="AD1091" s="1148">
        <f t="shared" si="290"/>
        <v>3457.12</v>
      </c>
      <c r="AE1091" s="1487">
        <v>0</v>
      </c>
      <c r="AF1091" s="1145">
        <f t="shared" si="299"/>
        <v>3457.12</v>
      </c>
      <c r="AG1091" s="1149">
        <f>IFERROR(VLOOKUP(CONCATENATE($L1091,$N1091),'Drop List'!$G$23:$K$87,2,FALSE),0)</f>
        <v>0.55000000000000004</v>
      </c>
      <c r="AH1091" s="1150">
        <f>IFERROR(VLOOKUP(CONCATENATE($L1091,$N1091),'Drop List'!$G$23:$K$87,3,FALSE),0)</f>
        <v>0.44999999999999996</v>
      </c>
      <c r="AI1091" s="1150">
        <f>IFERROR(VLOOKUP(CONCATENATE($L1091,$N1091),'Drop List'!$G$23:$K$87,4,FALSE),0)</f>
        <v>0</v>
      </c>
      <c r="AJ1091" s="1151">
        <f>IFERROR(VLOOKUP(CONCATENATE($L1091,$N1091),'Drop List'!$G$23:$K$87,5,FALSE),0)</f>
        <v>0</v>
      </c>
      <c r="AK1091" s="1152">
        <f t="shared" si="300"/>
        <v>1901.4160000000002</v>
      </c>
      <c r="AL1091" s="1153">
        <f t="shared" si="301"/>
        <v>1555.7039999999997</v>
      </c>
      <c r="AM1091" s="1153">
        <f t="shared" si="302"/>
        <v>0</v>
      </c>
      <c r="AN1091" s="1145">
        <f t="shared" si="303"/>
        <v>0</v>
      </c>
      <c r="AO1091" s="1154">
        <f t="shared" si="304"/>
        <v>3457.12</v>
      </c>
      <c r="AP1091" s="1147">
        <f t="shared" si="291"/>
        <v>0</v>
      </c>
      <c r="AQ1091" s="1144">
        <f t="shared" si="292"/>
        <v>0</v>
      </c>
      <c r="AR1091" s="1146">
        <f t="shared" si="293"/>
        <v>3457.12</v>
      </c>
    </row>
    <row r="1092" spans="1:44" x14ac:dyDescent="0.2">
      <c r="A1092" s="1141" t="str">
        <f t="shared" si="306"/>
        <v>1552</v>
      </c>
      <c r="B1092" s="1141" t="str">
        <f>IFERROR(VLOOKUP(A1092,'LAC 103'!A:C,3,FALSE),"")</f>
        <v>OP</v>
      </c>
      <c r="C1092" s="1478" t="str">
        <f>Info!$B$8</f>
        <v>00100</v>
      </c>
      <c r="D1092" s="1474" t="s">
        <v>256</v>
      </c>
      <c r="E1092" s="1474" t="s">
        <v>95</v>
      </c>
      <c r="F1092" s="1478" t="s">
        <v>412</v>
      </c>
      <c r="G1092" s="1478" t="s">
        <v>412</v>
      </c>
      <c r="H1092" s="1474" t="s">
        <v>988</v>
      </c>
      <c r="I1092" s="1478" t="s">
        <v>811</v>
      </c>
      <c r="J1092" s="1478"/>
      <c r="K1092" s="1475" t="s">
        <v>847</v>
      </c>
      <c r="L1092" s="1474" t="s">
        <v>582</v>
      </c>
      <c r="M1092" s="1476" t="s">
        <v>842</v>
      </c>
      <c r="N1092" s="1477" t="s">
        <v>1692</v>
      </c>
      <c r="O1092" s="1479">
        <v>1289</v>
      </c>
      <c r="P1092" s="1479"/>
      <c r="Q1092" s="1142">
        <f t="shared" si="307"/>
        <v>1289</v>
      </c>
      <c r="R1092" s="1143">
        <f>IFERROR(VLOOKUP(CONCATENATE(E1092,G1092),'LAC 103'!$A$12:$O$95,11,FALSE),0)</f>
        <v>3.207410103388435</v>
      </c>
      <c r="S1092" s="1144">
        <f>IFERROR(VLOOKUP(CONCATENATE($E1092,$G1092),'LAC 103'!$A$12:$O$95,12,FALSE),0)</f>
        <v>3.99</v>
      </c>
      <c r="T1092" s="1144">
        <f>IFERROR(VLOOKUP(CONCATENATE($E1092,$G1092),'LAC 103'!$A$12:$O$95,13,FALSE),0)</f>
        <v>2.48</v>
      </c>
      <c r="U1092" s="1144">
        <f>IFERROR(VLOOKUP(CONCATENATE($E1092,$G1092),'LAC 103'!$A$12:$O$95,14,FALSE),0)</f>
        <v>0</v>
      </c>
      <c r="V1092" s="1144">
        <f>IFERROR(VLOOKUP(CONCATENATE($E1092,$G1092),'LAC 103'!$A$12:$O$95,15,FALSE),0)</f>
        <v>0</v>
      </c>
      <c r="W1092" s="1145" t="str">
        <f>IFERROR(VLOOKUP(CONCATENATE($B1092,$N1092),'LAC 103'!$AI:$AQ,9,FALSE),"")</f>
        <v>Costs</v>
      </c>
      <c r="X1092" s="1146">
        <f t="shared" si="294"/>
        <v>3.207410103388435</v>
      </c>
      <c r="Y1092" s="1143">
        <f t="shared" si="305"/>
        <v>4134.351623267693</v>
      </c>
      <c r="Z1092" s="1147">
        <f t="shared" si="295"/>
        <v>5143.1100000000006</v>
      </c>
      <c r="AA1092" s="1144">
        <f t="shared" si="296"/>
        <v>3196.72</v>
      </c>
      <c r="AB1092" s="1144">
        <f t="shared" si="297"/>
        <v>0</v>
      </c>
      <c r="AC1092" s="1144">
        <f t="shared" si="298"/>
        <v>0</v>
      </c>
      <c r="AD1092" s="1148">
        <f t="shared" si="290"/>
        <v>4134.351623267693</v>
      </c>
      <c r="AE1092" s="1487">
        <v>0</v>
      </c>
      <c r="AF1092" s="1145">
        <f t="shared" si="299"/>
        <v>4134.351623267693</v>
      </c>
      <c r="AG1092" s="1149">
        <f>IFERROR(VLOOKUP(CONCATENATE($L1092,$N1092),'Drop List'!$G$23:$K$87,2,FALSE),0)</f>
        <v>0.56200000000000006</v>
      </c>
      <c r="AH1092" s="1150">
        <f>IFERROR(VLOOKUP(CONCATENATE($L1092,$N1092),'Drop List'!$G$23:$K$87,3,FALSE),0)</f>
        <v>0.43799999999999994</v>
      </c>
      <c r="AI1092" s="1150">
        <f>IFERROR(VLOOKUP(CONCATENATE($L1092,$N1092),'Drop List'!$G$23:$K$87,4,FALSE),0)</f>
        <v>0</v>
      </c>
      <c r="AJ1092" s="1151">
        <f>IFERROR(VLOOKUP(CONCATENATE($L1092,$N1092),'Drop List'!$G$23:$K$87,5,FALSE),0)</f>
        <v>0</v>
      </c>
      <c r="AK1092" s="1152">
        <f t="shared" si="300"/>
        <v>2323.5056122764436</v>
      </c>
      <c r="AL1092" s="1153">
        <f t="shared" si="301"/>
        <v>1810.8460109912494</v>
      </c>
      <c r="AM1092" s="1153">
        <f t="shared" si="302"/>
        <v>0</v>
      </c>
      <c r="AN1092" s="1145">
        <f t="shared" si="303"/>
        <v>0</v>
      </c>
      <c r="AO1092" s="1154">
        <f t="shared" si="304"/>
        <v>4134.351623267693</v>
      </c>
      <c r="AP1092" s="1147">
        <f t="shared" si="291"/>
        <v>0</v>
      </c>
      <c r="AQ1092" s="1144">
        <f t="shared" si="292"/>
        <v>0</v>
      </c>
      <c r="AR1092" s="1146">
        <f t="shared" si="293"/>
        <v>4134.351623267693</v>
      </c>
    </row>
    <row r="1093" spans="1:44" x14ac:dyDescent="0.2">
      <c r="A1093" s="1141" t="str">
        <f t="shared" si="306"/>
        <v>1552</v>
      </c>
      <c r="B1093" s="1141" t="str">
        <f>IFERROR(VLOOKUP(A1093,'LAC 103'!A:C,3,FALSE),"")</f>
        <v>OP</v>
      </c>
      <c r="C1093" s="1478" t="str">
        <f>Info!$B$8</f>
        <v>00100</v>
      </c>
      <c r="D1093" s="1474" t="s">
        <v>256</v>
      </c>
      <c r="E1093" s="1474" t="s">
        <v>95</v>
      </c>
      <c r="F1093" s="1478" t="s">
        <v>412</v>
      </c>
      <c r="G1093" s="1478" t="s">
        <v>412</v>
      </c>
      <c r="H1093" s="1474" t="s">
        <v>988</v>
      </c>
      <c r="I1093" s="1478" t="s">
        <v>811</v>
      </c>
      <c r="J1093" s="1478"/>
      <c r="K1093" s="1475" t="s">
        <v>847</v>
      </c>
      <c r="L1093" s="1474" t="s">
        <v>582</v>
      </c>
      <c r="M1093" s="1476" t="s">
        <v>1698</v>
      </c>
      <c r="N1093" s="1477" t="s">
        <v>1693</v>
      </c>
      <c r="O1093" s="1479">
        <v>483</v>
      </c>
      <c r="P1093" s="1479"/>
      <c r="Q1093" s="1142">
        <f t="shared" si="307"/>
        <v>483</v>
      </c>
      <c r="R1093" s="1143">
        <f>IFERROR(VLOOKUP(CONCATENATE(E1093,G1093),'LAC 103'!$A$12:$O$95,11,FALSE),0)</f>
        <v>3.207410103388435</v>
      </c>
      <c r="S1093" s="1144">
        <f>IFERROR(VLOOKUP(CONCATENATE($E1093,$G1093),'LAC 103'!$A$12:$O$95,12,FALSE),0)</f>
        <v>3.99</v>
      </c>
      <c r="T1093" s="1144">
        <f>IFERROR(VLOOKUP(CONCATENATE($E1093,$G1093),'LAC 103'!$A$12:$O$95,13,FALSE),0)</f>
        <v>2.48</v>
      </c>
      <c r="U1093" s="1144">
        <f>IFERROR(VLOOKUP(CONCATENATE($E1093,$G1093),'LAC 103'!$A$12:$O$95,14,FALSE),0)</f>
        <v>0</v>
      </c>
      <c r="V1093" s="1144">
        <f>IFERROR(VLOOKUP(CONCATENATE($E1093,$G1093),'LAC 103'!$A$12:$O$95,15,FALSE),0)</f>
        <v>0</v>
      </c>
      <c r="W1093" s="1145" t="str">
        <f>IFERROR(VLOOKUP(CONCATENATE($B1093,$N1093),'LAC 103'!$AI:$AQ,9,FALSE),"")</f>
        <v>Costs</v>
      </c>
      <c r="X1093" s="1146">
        <f t="shared" si="294"/>
        <v>3.207410103388435</v>
      </c>
      <c r="Y1093" s="1143">
        <f t="shared" si="305"/>
        <v>1549.179079936614</v>
      </c>
      <c r="Z1093" s="1147">
        <f t="shared" si="295"/>
        <v>1927.17</v>
      </c>
      <c r="AA1093" s="1144">
        <f t="shared" si="296"/>
        <v>1197.8399999999999</v>
      </c>
      <c r="AB1093" s="1144">
        <f t="shared" si="297"/>
        <v>0</v>
      </c>
      <c r="AC1093" s="1144">
        <f t="shared" si="298"/>
        <v>0</v>
      </c>
      <c r="AD1093" s="1148">
        <f t="shared" si="290"/>
        <v>1549.179079936614</v>
      </c>
      <c r="AE1093" s="1487">
        <v>0</v>
      </c>
      <c r="AF1093" s="1145">
        <f t="shared" si="299"/>
        <v>1549.179079936614</v>
      </c>
      <c r="AG1093" s="1149">
        <f>IFERROR(VLOOKUP(CONCATENATE($L1093,$N1093),'Drop List'!$G$23:$K$87,2,FALSE),0)</f>
        <v>0.56200000000000006</v>
      </c>
      <c r="AH1093" s="1150">
        <f>IFERROR(VLOOKUP(CONCATENATE($L1093,$N1093),'Drop List'!$G$23:$K$87,3,FALSE),0)</f>
        <v>0.43799999999999994</v>
      </c>
      <c r="AI1093" s="1150">
        <f>IFERROR(VLOOKUP(CONCATENATE($L1093,$N1093),'Drop List'!$G$23:$K$87,4,FALSE),0)</f>
        <v>0</v>
      </c>
      <c r="AJ1093" s="1151">
        <f>IFERROR(VLOOKUP(CONCATENATE($L1093,$N1093),'Drop List'!$G$23:$K$87,5,FALSE),0)</f>
        <v>0</v>
      </c>
      <c r="AK1093" s="1152">
        <f t="shared" si="300"/>
        <v>870.63864292437711</v>
      </c>
      <c r="AL1093" s="1153">
        <f t="shared" si="301"/>
        <v>678.54043701223691</v>
      </c>
      <c r="AM1093" s="1153">
        <f t="shared" si="302"/>
        <v>0</v>
      </c>
      <c r="AN1093" s="1145">
        <f t="shared" si="303"/>
        <v>0</v>
      </c>
      <c r="AO1093" s="1154">
        <f t="shared" si="304"/>
        <v>1549.179079936614</v>
      </c>
      <c r="AP1093" s="1147">
        <f t="shared" si="291"/>
        <v>0</v>
      </c>
      <c r="AQ1093" s="1144">
        <f t="shared" si="292"/>
        <v>0</v>
      </c>
      <c r="AR1093" s="1146">
        <f t="shared" si="293"/>
        <v>1549.179079936614</v>
      </c>
    </row>
    <row r="1094" spans="1:44" x14ac:dyDescent="0.2">
      <c r="A1094" s="1141" t="str">
        <f t="shared" si="306"/>
        <v>1552</v>
      </c>
      <c r="B1094" s="1141" t="str">
        <f>IFERROR(VLOOKUP(A1094,'LAC 103'!A:C,3,FALSE),"")</f>
        <v>OP</v>
      </c>
      <c r="C1094" s="1478" t="str">
        <f>Info!$B$8</f>
        <v>00100</v>
      </c>
      <c r="D1094" s="1474" t="s">
        <v>256</v>
      </c>
      <c r="E1094" s="1474" t="s">
        <v>95</v>
      </c>
      <c r="F1094" s="1478" t="s">
        <v>412</v>
      </c>
      <c r="G1094" s="1478" t="s">
        <v>412</v>
      </c>
      <c r="H1094" s="1474" t="s">
        <v>988</v>
      </c>
      <c r="I1094" s="1478" t="s">
        <v>811</v>
      </c>
      <c r="J1094" s="1478"/>
      <c r="K1094" s="1475" t="s">
        <v>848</v>
      </c>
      <c r="L1094" s="1474" t="s">
        <v>45</v>
      </c>
      <c r="M1094" s="1476" t="s">
        <v>1699</v>
      </c>
      <c r="N1094" s="1477" t="s">
        <v>1694</v>
      </c>
      <c r="O1094" s="1479">
        <v>60</v>
      </c>
      <c r="P1094" s="1479"/>
      <c r="Q1094" s="1142">
        <f t="shared" si="307"/>
        <v>60</v>
      </c>
      <c r="R1094" s="1143">
        <f>IFERROR(VLOOKUP(CONCATENATE(E1094,G1094),'LAC 103'!$A$12:$O$95,11,FALSE),0)</f>
        <v>3.207410103388435</v>
      </c>
      <c r="S1094" s="1144">
        <f>IFERROR(VLOOKUP(CONCATENATE($E1094,$G1094),'LAC 103'!$A$12:$O$95,12,FALSE),0)</f>
        <v>3.99</v>
      </c>
      <c r="T1094" s="1144">
        <f>IFERROR(VLOOKUP(CONCATENATE($E1094,$G1094),'LAC 103'!$A$12:$O$95,13,FALSE),0)</f>
        <v>2.48</v>
      </c>
      <c r="U1094" s="1144">
        <f>IFERROR(VLOOKUP(CONCATENATE($E1094,$G1094),'LAC 103'!$A$12:$O$95,14,FALSE),0)</f>
        <v>0</v>
      </c>
      <c r="V1094" s="1144">
        <f>IFERROR(VLOOKUP(CONCATENATE($E1094,$G1094),'LAC 103'!$A$12:$O$95,15,FALSE),0)</f>
        <v>0</v>
      </c>
      <c r="W1094" s="1145" t="str">
        <f>IFERROR(VLOOKUP(CONCATENATE($B1094,$N1094),'LAC 103'!$AI:$AQ,9,FALSE),"")</f>
        <v>Costs</v>
      </c>
      <c r="X1094" s="1146">
        <f t="shared" si="294"/>
        <v>3.207410103388435</v>
      </c>
      <c r="Y1094" s="1143">
        <f t="shared" si="305"/>
        <v>192.44460620330611</v>
      </c>
      <c r="Z1094" s="1147">
        <f t="shared" si="295"/>
        <v>239.4</v>
      </c>
      <c r="AA1094" s="1144">
        <f t="shared" si="296"/>
        <v>148.80000000000001</v>
      </c>
      <c r="AB1094" s="1144">
        <f t="shared" si="297"/>
        <v>0</v>
      </c>
      <c r="AC1094" s="1144">
        <f t="shared" si="298"/>
        <v>0</v>
      </c>
      <c r="AD1094" s="1148">
        <f t="shared" si="290"/>
        <v>192.44460620330611</v>
      </c>
      <c r="AE1094" s="1487">
        <v>0</v>
      </c>
      <c r="AF1094" s="1145">
        <f t="shared" si="299"/>
        <v>192.44460620330611</v>
      </c>
      <c r="AG1094" s="1149">
        <f>IFERROR(VLOOKUP(CONCATENATE($L1094,$N1094),'Drop List'!$G$23:$K$87,2,FALSE),0)</f>
        <v>0.69340000000000002</v>
      </c>
      <c r="AH1094" s="1150">
        <f>IFERROR(VLOOKUP(CONCATENATE($L1094,$N1094),'Drop List'!$G$23:$K$87,3,FALSE),0)</f>
        <v>0.30659999999999998</v>
      </c>
      <c r="AI1094" s="1150">
        <f>IFERROR(VLOOKUP(CONCATENATE($L1094,$N1094),'Drop List'!$G$23:$K$87,4,FALSE),0)</f>
        <v>0</v>
      </c>
      <c r="AJ1094" s="1151">
        <f>IFERROR(VLOOKUP(CONCATENATE($L1094,$N1094),'Drop List'!$G$23:$K$87,5,FALSE),0)</f>
        <v>0</v>
      </c>
      <c r="AK1094" s="1152">
        <f t="shared" si="300"/>
        <v>133.44108994137247</v>
      </c>
      <c r="AL1094" s="1153">
        <f t="shared" si="301"/>
        <v>59.003516261933648</v>
      </c>
      <c r="AM1094" s="1153">
        <f t="shared" si="302"/>
        <v>0</v>
      </c>
      <c r="AN1094" s="1145">
        <f t="shared" si="303"/>
        <v>0</v>
      </c>
      <c r="AO1094" s="1154">
        <f t="shared" si="304"/>
        <v>192.44460620330611</v>
      </c>
      <c r="AP1094" s="1147">
        <f t="shared" si="291"/>
        <v>0</v>
      </c>
      <c r="AQ1094" s="1144">
        <f t="shared" si="292"/>
        <v>0</v>
      </c>
      <c r="AR1094" s="1146">
        <f t="shared" si="293"/>
        <v>192.44460620330611</v>
      </c>
    </row>
    <row r="1095" spans="1:44" x14ac:dyDescent="0.2">
      <c r="A1095" s="1141" t="str">
        <f t="shared" si="306"/>
        <v>1552</v>
      </c>
      <c r="B1095" s="1141" t="str">
        <f>IFERROR(VLOOKUP(A1095,'LAC 103'!A:C,3,FALSE),"")</f>
        <v>OP</v>
      </c>
      <c r="C1095" s="1478" t="str">
        <f>Info!$B$8</f>
        <v>00100</v>
      </c>
      <c r="D1095" s="1474" t="s">
        <v>256</v>
      </c>
      <c r="E1095" s="1474" t="s">
        <v>95</v>
      </c>
      <c r="F1095" s="1478" t="s">
        <v>412</v>
      </c>
      <c r="G1095" s="1478" t="s">
        <v>412</v>
      </c>
      <c r="H1095" s="1474" t="s">
        <v>988</v>
      </c>
      <c r="I1095" s="1478" t="s">
        <v>811</v>
      </c>
      <c r="J1095" s="1478"/>
      <c r="K1095" s="1475" t="s">
        <v>848</v>
      </c>
      <c r="L1095" s="1474" t="s">
        <v>45</v>
      </c>
      <c r="M1095" s="1476" t="s">
        <v>842</v>
      </c>
      <c r="N1095" s="1477" t="s">
        <v>1692</v>
      </c>
      <c r="O1095" s="1479">
        <v>271</v>
      </c>
      <c r="P1095" s="1479"/>
      <c r="Q1095" s="1142">
        <f t="shared" si="307"/>
        <v>271</v>
      </c>
      <c r="R1095" s="1143">
        <f>IFERROR(VLOOKUP(CONCATENATE(E1095,G1095),'LAC 103'!$A$12:$O$95,11,FALSE),0)</f>
        <v>3.207410103388435</v>
      </c>
      <c r="S1095" s="1144">
        <f>IFERROR(VLOOKUP(CONCATENATE($E1095,$G1095),'LAC 103'!$A$12:$O$95,12,FALSE),0)</f>
        <v>3.99</v>
      </c>
      <c r="T1095" s="1144">
        <f>IFERROR(VLOOKUP(CONCATENATE($E1095,$G1095),'LAC 103'!$A$12:$O$95,13,FALSE),0)</f>
        <v>2.48</v>
      </c>
      <c r="U1095" s="1144">
        <f>IFERROR(VLOOKUP(CONCATENATE($E1095,$G1095),'LAC 103'!$A$12:$O$95,14,FALSE),0)</f>
        <v>0</v>
      </c>
      <c r="V1095" s="1144">
        <f>IFERROR(VLOOKUP(CONCATENATE($E1095,$G1095),'LAC 103'!$A$12:$O$95,15,FALSE),0)</f>
        <v>0</v>
      </c>
      <c r="W1095" s="1145" t="str">
        <f>IFERROR(VLOOKUP(CONCATENATE($B1095,$N1095),'LAC 103'!$AI:$AQ,9,FALSE),"")</f>
        <v>Costs</v>
      </c>
      <c r="X1095" s="1146">
        <f t="shared" si="294"/>
        <v>3.207410103388435</v>
      </c>
      <c r="Y1095" s="1143">
        <f t="shared" si="305"/>
        <v>869.20813801826591</v>
      </c>
      <c r="Z1095" s="1147">
        <f t="shared" si="295"/>
        <v>1081.29</v>
      </c>
      <c r="AA1095" s="1144">
        <f t="shared" si="296"/>
        <v>672.08</v>
      </c>
      <c r="AB1095" s="1144">
        <f t="shared" si="297"/>
        <v>0</v>
      </c>
      <c r="AC1095" s="1144">
        <f t="shared" si="298"/>
        <v>0</v>
      </c>
      <c r="AD1095" s="1148">
        <f t="shared" ref="AD1095:AD1158" si="308">Q1095*X1095</f>
        <v>869.20813801826591</v>
      </c>
      <c r="AE1095" s="1487">
        <v>0</v>
      </c>
      <c r="AF1095" s="1145">
        <f t="shared" si="299"/>
        <v>869.20813801826591</v>
      </c>
      <c r="AG1095" s="1149">
        <f>IFERROR(VLOOKUP(CONCATENATE($L1095,$N1095),'Drop List'!$G$23:$K$87,2,FALSE),0)</f>
        <v>0.69340000000000002</v>
      </c>
      <c r="AH1095" s="1150">
        <f>IFERROR(VLOOKUP(CONCATENATE($L1095,$N1095),'Drop List'!$G$23:$K$87,3,FALSE),0)</f>
        <v>0.30659999999999998</v>
      </c>
      <c r="AI1095" s="1150">
        <f>IFERROR(VLOOKUP(CONCATENATE($L1095,$N1095),'Drop List'!$G$23:$K$87,4,FALSE),0)</f>
        <v>0</v>
      </c>
      <c r="AJ1095" s="1151">
        <f>IFERROR(VLOOKUP(CONCATENATE($L1095,$N1095),'Drop List'!$G$23:$K$87,5,FALSE),0)</f>
        <v>0</v>
      </c>
      <c r="AK1095" s="1152">
        <f t="shared" si="300"/>
        <v>602.70892290186555</v>
      </c>
      <c r="AL1095" s="1153">
        <f t="shared" si="301"/>
        <v>266.49921511640031</v>
      </c>
      <c r="AM1095" s="1153">
        <f t="shared" si="302"/>
        <v>0</v>
      </c>
      <c r="AN1095" s="1145">
        <f t="shared" si="303"/>
        <v>0</v>
      </c>
      <c r="AO1095" s="1154">
        <f t="shared" si="304"/>
        <v>869.2081380182658</v>
      </c>
      <c r="AP1095" s="1147">
        <f t="shared" ref="AP1095:AP1158" si="309">IF($L1095="14",$AF1095,0)</f>
        <v>0</v>
      </c>
      <c r="AQ1095" s="1144">
        <f t="shared" ref="AQ1095:AQ1158" si="310">IF($L1095="15",$AF1095,0)</f>
        <v>0</v>
      </c>
      <c r="AR1095" s="1146">
        <f t="shared" ref="AR1095:AR1158" si="311">AO1095+AP1095+AQ1095</f>
        <v>869.2081380182658</v>
      </c>
    </row>
    <row r="1096" spans="1:44" x14ac:dyDescent="0.2">
      <c r="A1096" s="1141" t="str">
        <f t="shared" si="306"/>
        <v>1552</v>
      </c>
      <c r="B1096" s="1141" t="str">
        <f>IFERROR(VLOOKUP(A1096,'LAC 103'!A:C,3,FALSE),"")</f>
        <v>OP</v>
      </c>
      <c r="C1096" s="1478" t="str">
        <f>Info!$B$8</f>
        <v>00100</v>
      </c>
      <c r="D1096" s="1474" t="s">
        <v>256</v>
      </c>
      <c r="E1096" s="1474" t="s">
        <v>95</v>
      </c>
      <c r="F1096" s="1478" t="s">
        <v>412</v>
      </c>
      <c r="G1096" s="1478" t="s">
        <v>412</v>
      </c>
      <c r="H1096" s="1474" t="s">
        <v>988</v>
      </c>
      <c r="I1096" s="1478" t="s">
        <v>811</v>
      </c>
      <c r="J1096" s="1478"/>
      <c r="K1096" s="1475" t="s">
        <v>849</v>
      </c>
      <c r="L1096" s="1474" t="s">
        <v>77</v>
      </c>
      <c r="M1096" s="1476" t="s">
        <v>1699</v>
      </c>
      <c r="N1096" s="1477" t="s">
        <v>1694</v>
      </c>
      <c r="O1096" s="1479">
        <v>19969</v>
      </c>
      <c r="P1096" s="1479"/>
      <c r="Q1096" s="1142">
        <f t="shared" si="307"/>
        <v>19969</v>
      </c>
      <c r="R1096" s="1143">
        <f>IFERROR(VLOOKUP(CONCATENATE(E1096,G1096),'LAC 103'!$A$12:$O$95,11,FALSE),0)</f>
        <v>3.207410103388435</v>
      </c>
      <c r="S1096" s="1144">
        <f>IFERROR(VLOOKUP(CONCATENATE($E1096,$G1096),'LAC 103'!$A$12:$O$95,12,FALSE),0)</f>
        <v>3.99</v>
      </c>
      <c r="T1096" s="1144">
        <f>IFERROR(VLOOKUP(CONCATENATE($E1096,$G1096),'LAC 103'!$A$12:$O$95,13,FALSE),0)</f>
        <v>2.48</v>
      </c>
      <c r="U1096" s="1144">
        <f>IFERROR(VLOOKUP(CONCATENATE($E1096,$G1096),'LAC 103'!$A$12:$O$95,14,FALSE),0)</f>
        <v>0</v>
      </c>
      <c r="V1096" s="1144">
        <f>IFERROR(VLOOKUP(CONCATENATE($E1096,$G1096),'LAC 103'!$A$12:$O$95,15,FALSE),0)</f>
        <v>0</v>
      </c>
      <c r="W1096" s="1145" t="str">
        <f>IFERROR(VLOOKUP(CONCATENATE($B1096,$N1096),'LAC 103'!$AI:$AQ,9,FALSE),"")</f>
        <v>Costs</v>
      </c>
      <c r="X1096" s="1146">
        <f t="shared" ref="X1096:X1159" si="312">IF($W1096="Costs",$R1096,IF($W1096="CMA",$S1096,IF($W1096="P.C.",$T1096,IF($W1096="SMA",$U1096,$V1096))))</f>
        <v>3.207410103388435</v>
      </c>
      <c r="Y1096" s="1143">
        <f t="shared" si="305"/>
        <v>64048.772354563662</v>
      </c>
      <c r="Z1096" s="1147">
        <f t="shared" ref="Z1096:Z1159" si="313">IF(S1096=0,Y1096,$Q1096*S1096)</f>
        <v>79676.31</v>
      </c>
      <c r="AA1096" s="1144">
        <f t="shared" ref="AA1096:AA1159" si="314">IF(T1096=0,Y1096,$Q1096*T1096)</f>
        <v>49523.12</v>
      </c>
      <c r="AB1096" s="1144">
        <f t="shared" ref="AB1096:AB1159" si="315">$Q1096*U1096</f>
        <v>0</v>
      </c>
      <c r="AC1096" s="1144">
        <f t="shared" ref="AC1096:AC1159" si="316">$Q1096*V1096</f>
        <v>0</v>
      </c>
      <c r="AD1096" s="1148">
        <f t="shared" si="308"/>
        <v>64048.772354563662</v>
      </c>
      <c r="AE1096" s="1487">
        <v>0</v>
      </c>
      <c r="AF1096" s="1145">
        <f t="shared" ref="AF1096:AF1159" si="317">AD1096-AE1096</f>
        <v>64048.772354563662</v>
      </c>
      <c r="AG1096" s="1149">
        <f>IFERROR(VLOOKUP(CONCATENATE($L1096,$N1096),'Drop List'!$G$23:$K$87,2,FALSE),0)</f>
        <v>0.9</v>
      </c>
      <c r="AH1096" s="1150">
        <f>IFERROR(VLOOKUP(CONCATENATE($L1096,$N1096),'Drop List'!$G$23:$K$87,3,FALSE),0)</f>
        <v>0</v>
      </c>
      <c r="AI1096" s="1150">
        <f>IFERROR(VLOOKUP(CONCATENATE($L1096,$N1096),'Drop List'!$G$23:$K$87,4,FALSE),0)</f>
        <v>0.1</v>
      </c>
      <c r="AJ1096" s="1151">
        <f>IFERROR(VLOOKUP(CONCATENATE($L1096,$N1096),'Drop List'!$G$23:$K$87,5,FALSE),0)</f>
        <v>0</v>
      </c>
      <c r="AK1096" s="1152">
        <f t="shared" ref="AK1096:AK1159" si="318">IFERROR($AF1096*AG1096,0)</f>
        <v>57643.895119107299</v>
      </c>
      <c r="AL1096" s="1153">
        <f t="shared" ref="AL1096:AL1159" si="319">IFERROR($AF1096*AH1096,0)</f>
        <v>0</v>
      </c>
      <c r="AM1096" s="1153">
        <f t="shared" ref="AM1096:AM1159" si="320">IFERROR($AF1096*AI1096,0)</f>
        <v>6404.8772354563662</v>
      </c>
      <c r="AN1096" s="1145">
        <f t="shared" ref="AN1096:AN1159" si="321">IFERROR($AF1096*AJ1096,0)</f>
        <v>0</v>
      </c>
      <c r="AO1096" s="1154">
        <f t="shared" ref="AO1096:AO1159" si="322">SUM(AK1096:AN1096)</f>
        <v>64048.772354563669</v>
      </c>
      <c r="AP1096" s="1147">
        <f t="shared" si="309"/>
        <v>0</v>
      </c>
      <c r="AQ1096" s="1144">
        <f t="shared" si="310"/>
        <v>0</v>
      </c>
      <c r="AR1096" s="1146">
        <f t="shared" si="311"/>
        <v>64048.772354563669</v>
      </c>
    </row>
    <row r="1097" spans="1:44" x14ac:dyDescent="0.2">
      <c r="A1097" s="1141" t="str">
        <f t="shared" si="306"/>
        <v>1552</v>
      </c>
      <c r="B1097" s="1141" t="str">
        <f>IFERROR(VLOOKUP(A1097,'LAC 103'!A:C,3,FALSE),"")</f>
        <v>OP</v>
      </c>
      <c r="C1097" s="1478" t="str">
        <f>Info!$B$8</f>
        <v>00100</v>
      </c>
      <c r="D1097" s="1474" t="s">
        <v>256</v>
      </c>
      <c r="E1097" s="1474" t="s">
        <v>95</v>
      </c>
      <c r="F1097" s="1478" t="s">
        <v>412</v>
      </c>
      <c r="G1097" s="1478" t="s">
        <v>412</v>
      </c>
      <c r="H1097" s="1474" t="s">
        <v>988</v>
      </c>
      <c r="I1097" s="1478" t="s">
        <v>811</v>
      </c>
      <c r="J1097" s="1478"/>
      <c r="K1097" s="1475" t="s">
        <v>849</v>
      </c>
      <c r="L1097" s="1474" t="s">
        <v>77</v>
      </c>
      <c r="M1097" s="1476" t="s">
        <v>841</v>
      </c>
      <c r="N1097" s="1477" t="s">
        <v>1695</v>
      </c>
      <c r="O1097" s="1479">
        <v>10283</v>
      </c>
      <c r="P1097" s="1479"/>
      <c r="Q1097" s="1142">
        <f t="shared" si="307"/>
        <v>10283</v>
      </c>
      <c r="R1097" s="1143">
        <f>IFERROR(VLOOKUP(CONCATENATE(E1097,G1097),'LAC 103'!$A$12:$O$95,11,FALSE),0)</f>
        <v>3.207410103388435</v>
      </c>
      <c r="S1097" s="1144">
        <f>IFERROR(VLOOKUP(CONCATENATE($E1097,$G1097),'LAC 103'!$A$12:$O$95,12,FALSE),0)</f>
        <v>3.99</v>
      </c>
      <c r="T1097" s="1144">
        <f>IFERROR(VLOOKUP(CONCATENATE($E1097,$G1097),'LAC 103'!$A$12:$O$95,13,FALSE),0)</f>
        <v>2.48</v>
      </c>
      <c r="U1097" s="1144">
        <f>IFERROR(VLOOKUP(CONCATENATE($E1097,$G1097),'LAC 103'!$A$12:$O$95,14,FALSE),0)</f>
        <v>0</v>
      </c>
      <c r="V1097" s="1144">
        <f>IFERROR(VLOOKUP(CONCATENATE($E1097,$G1097),'LAC 103'!$A$12:$O$95,15,FALSE),0)</f>
        <v>0</v>
      </c>
      <c r="W1097" s="1145" t="str">
        <f>IFERROR(VLOOKUP(CONCATENATE($B1097,$N1097),'LAC 103'!$AI:$AQ,9,FALSE),"")</f>
        <v>Costs</v>
      </c>
      <c r="X1097" s="1146">
        <f t="shared" si="312"/>
        <v>3.207410103388435</v>
      </c>
      <c r="Y1097" s="1143">
        <f t="shared" si="305"/>
        <v>32981.798093143276</v>
      </c>
      <c r="Z1097" s="1147">
        <f t="shared" si="313"/>
        <v>41029.170000000006</v>
      </c>
      <c r="AA1097" s="1144">
        <f t="shared" si="314"/>
        <v>25501.84</v>
      </c>
      <c r="AB1097" s="1144">
        <f t="shared" si="315"/>
        <v>0</v>
      </c>
      <c r="AC1097" s="1144">
        <f t="shared" si="316"/>
        <v>0</v>
      </c>
      <c r="AD1097" s="1148">
        <f t="shared" si="308"/>
        <v>32981.798093143276</v>
      </c>
      <c r="AE1097" s="1487">
        <v>0</v>
      </c>
      <c r="AF1097" s="1145">
        <f t="shared" si="317"/>
        <v>32981.798093143276</v>
      </c>
      <c r="AG1097" s="1149">
        <f>IFERROR(VLOOKUP(CONCATENATE($L1097,$N1097),'Drop List'!$G$23:$K$87,2,FALSE),0)</f>
        <v>0.9</v>
      </c>
      <c r="AH1097" s="1150">
        <f>IFERROR(VLOOKUP(CONCATENATE($L1097,$N1097),'Drop List'!$G$23:$K$87,3,FALSE),0)</f>
        <v>0</v>
      </c>
      <c r="AI1097" s="1150">
        <f>IFERROR(VLOOKUP(CONCATENATE($L1097,$N1097),'Drop List'!$G$23:$K$87,4,FALSE),0)</f>
        <v>0.1</v>
      </c>
      <c r="AJ1097" s="1151">
        <f>IFERROR(VLOOKUP(CONCATENATE($L1097,$N1097),'Drop List'!$G$23:$K$87,5,FALSE),0)</f>
        <v>0</v>
      </c>
      <c r="AK1097" s="1152">
        <f t="shared" si="318"/>
        <v>29683.61828382895</v>
      </c>
      <c r="AL1097" s="1153">
        <f t="shared" si="319"/>
        <v>0</v>
      </c>
      <c r="AM1097" s="1153">
        <f t="shared" si="320"/>
        <v>3298.1798093143279</v>
      </c>
      <c r="AN1097" s="1145">
        <f t="shared" si="321"/>
        <v>0</v>
      </c>
      <c r="AO1097" s="1154">
        <f t="shared" si="322"/>
        <v>32981.798093143276</v>
      </c>
      <c r="AP1097" s="1147">
        <f t="shared" si="309"/>
        <v>0</v>
      </c>
      <c r="AQ1097" s="1144">
        <f t="shared" si="310"/>
        <v>0</v>
      </c>
      <c r="AR1097" s="1146">
        <f t="shared" si="311"/>
        <v>32981.798093143276</v>
      </c>
    </row>
    <row r="1098" spans="1:44" x14ac:dyDescent="0.2">
      <c r="A1098" s="1141" t="str">
        <f t="shared" si="306"/>
        <v>1552</v>
      </c>
      <c r="B1098" s="1141" t="str">
        <f>IFERROR(VLOOKUP(A1098,'LAC 103'!A:C,3,FALSE),"")</f>
        <v>OP</v>
      </c>
      <c r="C1098" s="1478" t="str">
        <f>Info!$B$8</f>
        <v>00100</v>
      </c>
      <c r="D1098" s="1474" t="s">
        <v>256</v>
      </c>
      <c r="E1098" s="1474" t="s">
        <v>95</v>
      </c>
      <c r="F1098" s="1478" t="s">
        <v>412</v>
      </c>
      <c r="G1098" s="1478" t="s">
        <v>412</v>
      </c>
      <c r="H1098" s="1474" t="s">
        <v>988</v>
      </c>
      <c r="I1098" s="1478" t="s">
        <v>811</v>
      </c>
      <c r="J1098" s="1478"/>
      <c r="K1098" s="1475" t="s">
        <v>849</v>
      </c>
      <c r="L1098" s="1474" t="s">
        <v>77</v>
      </c>
      <c r="M1098" s="1476" t="s">
        <v>840</v>
      </c>
      <c r="N1098" s="1477" t="s">
        <v>1700</v>
      </c>
      <c r="O1098" s="1479">
        <v>10591</v>
      </c>
      <c r="P1098" s="1479"/>
      <c r="Q1098" s="1142">
        <f t="shared" si="307"/>
        <v>10591</v>
      </c>
      <c r="R1098" s="1143">
        <f>IFERROR(VLOOKUP(CONCATENATE(E1098,G1098),'LAC 103'!$A$12:$O$95,11,FALSE),0)</f>
        <v>3.207410103388435</v>
      </c>
      <c r="S1098" s="1144">
        <f>IFERROR(VLOOKUP(CONCATENATE($E1098,$G1098),'LAC 103'!$A$12:$O$95,12,FALSE),0)</f>
        <v>3.99</v>
      </c>
      <c r="T1098" s="1144">
        <f>IFERROR(VLOOKUP(CONCATENATE($E1098,$G1098),'LAC 103'!$A$12:$O$95,13,FALSE),0)</f>
        <v>2.48</v>
      </c>
      <c r="U1098" s="1144">
        <f>IFERROR(VLOOKUP(CONCATENATE($E1098,$G1098),'LAC 103'!$A$12:$O$95,14,FALSE),0)</f>
        <v>0</v>
      </c>
      <c r="V1098" s="1144">
        <f>IFERROR(VLOOKUP(CONCATENATE($E1098,$G1098),'LAC 103'!$A$12:$O$95,15,FALSE),0)</f>
        <v>0</v>
      </c>
      <c r="W1098" s="1145" t="str">
        <f>IFERROR(VLOOKUP(CONCATENATE($B1098,$N1098),'LAC 103'!$AI:$AQ,9,FALSE),"")</f>
        <v>P.C.</v>
      </c>
      <c r="X1098" s="1146">
        <f t="shared" si="312"/>
        <v>2.48</v>
      </c>
      <c r="Y1098" s="1143">
        <f t="shared" ref="Y1098:Y1161" si="323">$Q1098*R1098</f>
        <v>33969.680404986917</v>
      </c>
      <c r="Z1098" s="1147">
        <f t="shared" si="313"/>
        <v>42258.090000000004</v>
      </c>
      <c r="AA1098" s="1144">
        <f t="shared" si="314"/>
        <v>26265.68</v>
      </c>
      <c r="AB1098" s="1144">
        <f t="shared" si="315"/>
        <v>0</v>
      </c>
      <c r="AC1098" s="1144">
        <f t="shared" si="316"/>
        <v>0</v>
      </c>
      <c r="AD1098" s="1148">
        <f t="shared" si="308"/>
        <v>26265.68</v>
      </c>
      <c r="AE1098" s="1487">
        <v>0</v>
      </c>
      <c r="AF1098" s="1145">
        <f t="shared" si="317"/>
        <v>26265.68</v>
      </c>
      <c r="AG1098" s="1149">
        <f>IFERROR(VLOOKUP(CONCATENATE($L1098,$N1098),'Drop List'!$G$23:$K$87,2,FALSE),0)</f>
        <v>0.9</v>
      </c>
      <c r="AH1098" s="1150">
        <f>IFERROR(VLOOKUP(CONCATENATE($L1098,$N1098),'Drop List'!$G$23:$K$87,3,FALSE),0)</f>
        <v>0</v>
      </c>
      <c r="AI1098" s="1150">
        <f>IFERROR(VLOOKUP(CONCATENATE($L1098,$N1098),'Drop List'!$G$23:$K$87,4,FALSE),0)</f>
        <v>0.1</v>
      </c>
      <c r="AJ1098" s="1151">
        <f>IFERROR(VLOOKUP(CONCATENATE($L1098,$N1098),'Drop List'!$G$23:$K$87,5,FALSE),0)</f>
        <v>0</v>
      </c>
      <c r="AK1098" s="1152">
        <f t="shared" si="318"/>
        <v>23639.112000000001</v>
      </c>
      <c r="AL1098" s="1153">
        <f t="shared" si="319"/>
        <v>0</v>
      </c>
      <c r="AM1098" s="1153">
        <f t="shared" si="320"/>
        <v>2626.5680000000002</v>
      </c>
      <c r="AN1098" s="1145">
        <f t="shared" si="321"/>
        <v>0</v>
      </c>
      <c r="AO1098" s="1154">
        <f t="shared" si="322"/>
        <v>26265.68</v>
      </c>
      <c r="AP1098" s="1147">
        <f t="shared" si="309"/>
        <v>0</v>
      </c>
      <c r="AQ1098" s="1144">
        <f t="shared" si="310"/>
        <v>0</v>
      </c>
      <c r="AR1098" s="1146">
        <f t="shared" si="311"/>
        <v>26265.68</v>
      </c>
    </row>
    <row r="1099" spans="1:44" x14ac:dyDescent="0.2">
      <c r="A1099" s="1141" t="str">
        <f t="shared" si="306"/>
        <v>1552</v>
      </c>
      <c r="B1099" s="1141" t="str">
        <f>IFERROR(VLOOKUP(A1099,'LAC 103'!A:C,3,FALSE),"")</f>
        <v>OP</v>
      </c>
      <c r="C1099" s="1478" t="str">
        <f>Info!$B$8</f>
        <v>00100</v>
      </c>
      <c r="D1099" s="1474" t="s">
        <v>256</v>
      </c>
      <c r="E1099" s="1474" t="s">
        <v>95</v>
      </c>
      <c r="F1099" s="1478" t="s">
        <v>412</v>
      </c>
      <c r="G1099" s="1478" t="s">
        <v>412</v>
      </c>
      <c r="H1099" s="1474" t="s">
        <v>988</v>
      </c>
      <c r="I1099" s="1478" t="s">
        <v>811</v>
      </c>
      <c r="J1099" s="1478"/>
      <c r="K1099" s="1475" t="s">
        <v>849</v>
      </c>
      <c r="L1099" s="1474" t="s">
        <v>77</v>
      </c>
      <c r="M1099" s="1476" t="s">
        <v>842</v>
      </c>
      <c r="N1099" s="1477" t="s">
        <v>1692</v>
      </c>
      <c r="O1099" s="1479">
        <v>13876</v>
      </c>
      <c r="P1099" s="1479"/>
      <c r="Q1099" s="1142">
        <f t="shared" si="307"/>
        <v>13876</v>
      </c>
      <c r="R1099" s="1143">
        <f>IFERROR(VLOOKUP(CONCATENATE(E1099,G1099),'LAC 103'!$A$12:$O$95,11,FALSE),0)</f>
        <v>3.207410103388435</v>
      </c>
      <c r="S1099" s="1144">
        <f>IFERROR(VLOOKUP(CONCATENATE($E1099,$G1099),'LAC 103'!$A$12:$O$95,12,FALSE),0)</f>
        <v>3.99</v>
      </c>
      <c r="T1099" s="1144">
        <f>IFERROR(VLOOKUP(CONCATENATE($E1099,$G1099),'LAC 103'!$A$12:$O$95,13,FALSE),0)</f>
        <v>2.48</v>
      </c>
      <c r="U1099" s="1144">
        <f>IFERROR(VLOOKUP(CONCATENATE($E1099,$G1099),'LAC 103'!$A$12:$O$95,14,FALSE),0)</f>
        <v>0</v>
      </c>
      <c r="V1099" s="1144">
        <f>IFERROR(VLOOKUP(CONCATENATE($E1099,$G1099),'LAC 103'!$A$12:$O$95,15,FALSE),0)</f>
        <v>0</v>
      </c>
      <c r="W1099" s="1145" t="str">
        <f>IFERROR(VLOOKUP(CONCATENATE($B1099,$N1099),'LAC 103'!$AI:$AQ,9,FALSE),"")</f>
        <v>Costs</v>
      </c>
      <c r="X1099" s="1146">
        <f t="shared" si="312"/>
        <v>3.207410103388435</v>
      </c>
      <c r="Y1099" s="1143">
        <f t="shared" si="323"/>
        <v>44506.022594617927</v>
      </c>
      <c r="Z1099" s="1147">
        <f t="shared" si="313"/>
        <v>55365.240000000005</v>
      </c>
      <c r="AA1099" s="1144">
        <f t="shared" si="314"/>
        <v>34412.480000000003</v>
      </c>
      <c r="AB1099" s="1144">
        <f t="shared" si="315"/>
        <v>0</v>
      </c>
      <c r="AC1099" s="1144">
        <f t="shared" si="316"/>
        <v>0</v>
      </c>
      <c r="AD1099" s="1148">
        <f t="shared" si="308"/>
        <v>44506.022594617927</v>
      </c>
      <c r="AE1099" s="1487">
        <v>0</v>
      </c>
      <c r="AF1099" s="1145">
        <f t="shared" si="317"/>
        <v>44506.022594617927</v>
      </c>
      <c r="AG1099" s="1149">
        <f>IFERROR(VLOOKUP(CONCATENATE($L1099,$N1099),'Drop List'!$G$23:$K$87,2,FALSE),0)</f>
        <v>0.9</v>
      </c>
      <c r="AH1099" s="1150">
        <f>IFERROR(VLOOKUP(CONCATENATE($L1099,$N1099),'Drop List'!$G$23:$K$87,3,FALSE),0)</f>
        <v>0</v>
      </c>
      <c r="AI1099" s="1150">
        <f>IFERROR(VLOOKUP(CONCATENATE($L1099,$N1099),'Drop List'!$G$23:$K$87,4,FALSE),0)</f>
        <v>0.1</v>
      </c>
      <c r="AJ1099" s="1151">
        <f>IFERROR(VLOOKUP(CONCATENATE($L1099,$N1099),'Drop List'!$G$23:$K$87,5,FALSE),0)</f>
        <v>0</v>
      </c>
      <c r="AK1099" s="1152">
        <f t="shared" si="318"/>
        <v>40055.420335156137</v>
      </c>
      <c r="AL1099" s="1153">
        <f t="shared" si="319"/>
        <v>0</v>
      </c>
      <c r="AM1099" s="1153">
        <f t="shared" si="320"/>
        <v>4450.6022594617925</v>
      </c>
      <c r="AN1099" s="1145">
        <f t="shared" si="321"/>
        <v>0</v>
      </c>
      <c r="AO1099" s="1154">
        <f t="shared" si="322"/>
        <v>44506.022594617927</v>
      </c>
      <c r="AP1099" s="1147">
        <f t="shared" si="309"/>
        <v>0</v>
      </c>
      <c r="AQ1099" s="1144">
        <f t="shared" si="310"/>
        <v>0</v>
      </c>
      <c r="AR1099" s="1146">
        <f t="shared" si="311"/>
        <v>44506.022594617927</v>
      </c>
    </row>
    <row r="1100" spans="1:44" x14ac:dyDescent="0.2">
      <c r="A1100" s="1141" t="str">
        <f t="shared" si="306"/>
        <v>1552</v>
      </c>
      <c r="B1100" s="1141" t="str">
        <f>IFERROR(VLOOKUP(A1100,'LAC 103'!A:C,3,FALSE),"")</f>
        <v>OP</v>
      </c>
      <c r="C1100" s="1478" t="str">
        <f>Info!$B$8</f>
        <v>00100</v>
      </c>
      <c r="D1100" s="1474" t="s">
        <v>256</v>
      </c>
      <c r="E1100" s="1474" t="s">
        <v>95</v>
      </c>
      <c r="F1100" s="1478" t="s">
        <v>412</v>
      </c>
      <c r="G1100" s="1478" t="s">
        <v>412</v>
      </c>
      <c r="H1100" s="1474" t="s">
        <v>988</v>
      </c>
      <c r="I1100" s="1478" t="s">
        <v>811</v>
      </c>
      <c r="J1100" s="1478"/>
      <c r="K1100" s="1475" t="s">
        <v>849</v>
      </c>
      <c r="L1100" s="1474" t="s">
        <v>77</v>
      </c>
      <c r="M1100" s="1476" t="s">
        <v>1698</v>
      </c>
      <c r="N1100" s="1477" t="s">
        <v>1693</v>
      </c>
      <c r="O1100" s="1479">
        <v>14952</v>
      </c>
      <c r="P1100" s="1479"/>
      <c r="Q1100" s="1142">
        <f t="shared" si="307"/>
        <v>14952</v>
      </c>
      <c r="R1100" s="1143">
        <f>IFERROR(VLOOKUP(CONCATENATE(E1100,G1100),'LAC 103'!$A$12:$O$95,11,FALSE),0)</f>
        <v>3.207410103388435</v>
      </c>
      <c r="S1100" s="1144">
        <f>IFERROR(VLOOKUP(CONCATENATE($E1100,$G1100),'LAC 103'!$A$12:$O$95,12,FALSE),0)</f>
        <v>3.99</v>
      </c>
      <c r="T1100" s="1144">
        <f>IFERROR(VLOOKUP(CONCATENATE($E1100,$G1100),'LAC 103'!$A$12:$O$95,13,FALSE),0)</f>
        <v>2.48</v>
      </c>
      <c r="U1100" s="1144">
        <f>IFERROR(VLOOKUP(CONCATENATE($E1100,$G1100),'LAC 103'!$A$12:$O$95,14,FALSE),0)</f>
        <v>0</v>
      </c>
      <c r="V1100" s="1144">
        <f>IFERROR(VLOOKUP(CONCATENATE($E1100,$G1100),'LAC 103'!$A$12:$O$95,15,FALSE),0)</f>
        <v>0</v>
      </c>
      <c r="W1100" s="1145" t="str">
        <f>IFERROR(VLOOKUP(CONCATENATE($B1100,$N1100),'LAC 103'!$AI:$AQ,9,FALSE),"")</f>
        <v>Costs</v>
      </c>
      <c r="X1100" s="1146">
        <f t="shared" si="312"/>
        <v>3.207410103388435</v>
      </c>
      <c r="Y1100" s="1143">
        <f t="shared" si="323"/>
        <v>47957.195865863883</v>
      </c>
      <c r="Z1100" s="1147">
        <f t="shared" si="313"/>
        <v>59658.48</v>
      </c>
      <c r="AA1100" s="1144">
        <f t="shared" si="314"/>
        <v>37080.959999999999</v>
      </c>
      <c r="AB1100" s="1144">
        <f t="shared" si="315"/>
        <v>0</v>
      </c>
      <c r="AC1100" s="1144">
        <f t="shared" si="316"/>
        <v>0</v>
      </c>
      <c r="AD1100" s="1148">
        <f t="shared" si="308"/>
        <v>47957.195865863883</v>
      </c>
      <c r="AE1100" s="1487">
        <v>0</v>
      </c>
      <c r="AF1100" s="1145">
        <f t="shared" si="317"/>
        <v>47957.195865863883</v>
      </c>
      <c r="AG1100" s="1149">
        <f>IFERROR(VLOOKUP(CONCATENATE($L1100,$N1100),'Drop List'!$G$23:$K$87,2,FALSE),0)</f>
        <v>0.9</v>
      </c>
      <c r="AH1100" s="1150">
        <f>IFERROR(VLOOKUP(CONCATENATE($L1100,$N1100),'Drop List'!$G$23:$K$87,3,FALSE),0)</f>
        <v>0</v>
      </c>
      <c r="AI1100" s="1150">
        <f>IFERROR(VLOOKUP(CONCATENATE($L1100,$N1100),'Drop List'!$G$23:$K$87,4,FALSE),0)</f>
        <v>0.1</v>
      </c>
      <c r="AJ1100" s="1151">
        <f>IFERROR(VLOOKUP(CONCATENATE($L1100,$N1100),'Drop List'!$G$23:$K$87,5,FALSE),0)</f>
        <v>0</v>
      </c>
      <c r="AK1100" s="1152">
        <f t="shared" si="318"/>
        <v>43161.476279277493</v>
      </c>
      <c r="AL1100" s="1153">
        <f t="shared" si="319"/>
        <v>0</v>
      </c>
      <c r="AM1100" s="1153">
        <f t="shared" si="320"/>
        <v>4795.7195865863887</v>
      </c>
      <c r="AN1100" s="1145">
        <f t="shared" si="321"/>
        <v>0</v>
      </c>
      <c r="AO1100" s="1154">
        <f t="shared" si="322"/>
        <v>47957.195865863883</v>
      </c>
      <c r="AP1100" s="1147">
        <f t="shared" si="309"/>
        <v>0</v>
      </c>
      <c r="AQ1100" s="1144">
        <f t="shared" si="310"/>
        <v>0</v>
      </c>
      <c r="AR1100" s="1146">
        <f t="shared" si="311"/>
        <v>47957.195865863883</v>
      </c>
    </row>
    <row r="1101" spans="1:44" x14ac:dyDescent="0.2">
      <c r="A1101" s="1141" t="str">
        <f t="shared" si="306"/>
        <v>1552</v>
      </c>
      <c r="B1101" s="1141" t="str">
        <f>IFERROR(VLOOKUP(A1101,'LAC 103'!A:C,3,FALSE),"")</f>
        <v>OP</v>
      </c>
      <c r="C1101" s="1478" t="str">
        <f>Info!$B$8</f>
        <v>00100</v>
      </c>
      <c r="D1101" s="1474" t="s">
        <v>256</v>
      </c>
      <c r="E1101" s="1474" t="s">
        <v>95</v>
      </c>
      <c r="F1101" s="1478" t="s">
        <v>412</v>
      </c>
      <c r="G1101" s="1478" t="s">
        <v>412</v>
      </c>
      <c r="H1101" s="1474" t="s">
        <v>988</v>
      </c>
      <c r="I1101" s="1478" t="s">
        <v>811</v>
      </c>
      <c r="J1101" s="1478"/>
      <c r="K1101" s="1475" t="s">
        <v>971</v>
      </c>
      <c r="L1101" s="1474" t="s">
        <v>332</v>
      </c>
      <c r="M1101" s="1476" t="s">
        <v>1699</v>
      </c>
      <c r="N1101" s="1477" t="s">
        <v>1694</v>
      </c>
      <c r="O1101" s="1479">
        <v>77</v>
      </c>
      <c r="P1101" s="1479"/>
      <c r="Q1101" s="1142">
        <f t="shared" si="307"/>
        <v>77</v>
      </c>
      <c r="R1101" s="1143">
        <f>IFERROR(VLOOKUP(CONCATENATE(E1101,G1101),'LAC 103'!$A$12:$O$95,11,FALSE),0)</f>
        <v>3.207410103388435</v>
      </c>
      <c r="S1101" s="1144">
        <f>IFERROR(VLOOKUP(CONCATENATE($E1101,$G1101),'LAC 103'!$A$12:$O$95,12,FALSE),0)</f>
        <v>3.99</v>
      </c>
      <c r="T1101" s="1144">
        <f>IFERROR(VLOOKUP(CONCATENATE($E1101,$G1101),'LAC 103'!$A$12:$O$95,13,FALSE),0)</f>
        <v>2.48</v>
      </c>
      <c r="U1101" s="1144">
        <f>IFERROR(VLOOKUP(CONCATENATE($E1101,$G1101),'LAC 103'!$A$12:$O$95,14,FALSE),0)</f>
        <v>0</v>
      </c>
      <c r="V1101" s="1144">
        <f>IFERROR(VLOOKUP(CONCATENATE($E1101,$G1101),'LAC 103'!$A$12:$O$95,15,FALSE),0)</f>
        <v>0</v>
      </c>
      <c r="W1101" s="1145" t="str">
        <f>IFERROR(VLOOKUP(CONCATENATE($B1101,$N1101),'LAC 103'!$AI:$AQ,9,FALSE),"")</f>
        <v>Costs</v>
      </c>
      <c r="X1101" s="1146">
        <f t="shared" si="312"/>
        <v>3.207410103388435</v>
      </c>
      <c r="Y1101" s="1143">
        <f t="shared" si="323"/>
        <v>246.97057796090951</v>
      </c>
      <c r="Z1101" s="1147">
        <f t="shared" si="313"/>
        <v>307.23</v>
      </c>
      <c r="AA1101" s="1144">
        <f t="shared" si="314"/>
        <v>190.96</v>
      </c>
      <c r="AB1101" s="1144">
        <f t="shared" si="315"/>
        <v>0</v>
      </c>
      <c r="AC1101" s="1144">
        <f t="shared" si="316"/>
        <v>0</v>
      </c>
      <c r="AD1101" s="1148">
        <f t="shared" si="308"/>
        <v>246.97057796090951</v>
      </c>
      <c r="AE1101" s="1487">
        <v>0</v>
      </c>
      <c r="AF1101" s="1145">
        <f t="shared" si="317"/>
        <v>246.97057796090951</v>
      </c>
      <c r="AG1101" s="1149">
        <f>IFERROR(VLOOKUP(CONCATENATE($L1101,$N1101),'Drop List'!$G$23:$K$87,2,FALSE),0)</f>
        <v>0</v>
      </c>
      <c r="AH1101" s="1150">
        <f>IFERROR(VLOOKUP(CONCATENATE($L1101,$N1101),'Drop List'!$G$23:$K$87,3,FALSE),0)</f>
        <v>0</v>
      </c>
      <c r="AI1101" s="1150">
        <f>IFERROR(VLOOKUP(CONCATENATE($L1101,$N1101),'Drop List'!$G$23:$K$87,4,FALSE),0)</f>
        <v>0</v>
      </c>
      <c r="AJ1101" s="1151">
        <f>IFERROR(VLOOKUP(CONCATENATE($L1101,$N1101),'Drop List'!$G$23:$K$87,5,FALSE),0)</f>
        <v>0</v>
      </c>
      <c r="AK1101" s="1152">
        <f t="shared" si="318"/>
        <v>0</v>
      </c>
      <c r="AL1101" s="1153">
        <f t="shared" si="319"/>
        <v>0</v>
      </c>
      <c r="AM1101" s="1153">
        <f t="shared" si="320"/>
        <v>0</v>
      </c>
      <c r="AN1101" s="1145">
        <f t="shared" si="321"/>
        <v>0</v>
      </c>
      <c r="AO1101" s="1154">
        <f t="shared" si="322"/>
        <v>0</v>
      </c>
      <c r="AP1101" s="1147">
        <f t="shared" si="309"/>
        <v>246.97057796090951</v>
      </c>
      <c r="AQ1101" s="1144">
        <f t="shared" si="310"/>
        <v>0</v>
      </c>
      <c r="AR1101" s="1146">
        <f t="shared" si="311"/>
        <v>246.97057796090951</v>
      </c>
    </row>
    <row r="1102" spans="1:44" x14ac:dyDescent="0.2">
      <c r="A1102" s="1141" t="str">
        <f t="shared" si="306"/>
        <v>1552</v>
      </c>
      <c r="B1102" s="1141" t="str">
        <f>IFERROR(VLOOKUP(A1102,'LAC 103'!A:C,3,FALSE),"")</f>
        <v>OP</v>
      </c>
      <c r="C1102" s="1478" t="str">
        <f>Info!$B$8</f>
        <v>00100</v>
      </c>
      <c r="D1102" s="1474" t="s">
        <v>256</v>
      </c>
      <c r="E1102" s="1474" t="s">
        <v>95</v>
      </c>
      <c r="F1102" s="1478" t="s">
        <v>412</v>
      </c>
      <c r="G1102" s="1478" t="s">
        <v>412</v>
      </c>
      <c r="H1102" s="1474" t="s">
        <v>988</v>
      </c>
      <c r="I1102" s="1478" t="s">
        <v>811</v>
      </c>
      <c r="J1102" s="1478"/>
      <c r="K1102" s="1475" t="s">
        <v>971</v>
      </c>
      <c r="L1102" s="1474" t="s">
        <v>332</v>
      </c>
      <c r="M1102" s="1476" t="s">
        <v>842</v>
      </c>
      <c r="N1102" s="1477" t="s">
        <v>1692</v>
      </c>
      <c r="O1102" s="1479">
        <v>16</v>
      </c>
      <c r="P1102" s="1479"/>
      <c r="Q1102" s="1142">
        <f t="shared" si="307"/>
        <v>16</v>
      </c>
      <c r="R1102" s="1143">
        <f>IFERROR(VLOOKUP(CONCATENATE(E1102,G1102),'LAC 103'!$A$12:$O$95,11,FALSE),0)</f>
        <v>3.207410103388435</v>
      </c>
      <c r="S1102" s="1144">
        <f>IFERROR(VLOOKUP(CONCATENATE($E1102,$G1102),'LAC 103'!$A$12:$O$95,12,FALSE),0)</f>
        <v>3.99</v>
      </c>
      <c r="T1102" s="1144">
        <f>IFERROR(VLOOKUP(CONCATENATE($E1102,$G1102),'LAC 103'!$A$12:$O$95,13,FALSE),0)</f>
        <v>2.48</v>
      </c>
      <c r="U1102" s="1144">
        <f>IFERROR(VLOOKUP(CONCATENATE($E1102,$G1102),'LAC 103'!$A$12:$O$95,14,FALSE),0)</f>
        <v>0</v>
      </c>
      <c r="V1102" s="1144">
        <f>IFERROR(VLOOKUP(CONCATENATE($E1102,$G1102),'LAC 103'!$A$12:$O$95,15,FALSE),0)</f>
        <v>0</v>
      </c>
      <c r="W1102" s="1145" t="str">
        <f>IFERROR(VLOOKUP(CONCATENATE($B1102,$N1102),'LAC 103'!$AI:$AQ,9,FALSE),"")</f>
        <v>Costs</v>
      </c>
      <c r="X1102" s="1146">
        <f t="shared" si="312"/>
        <v>3.207410103388435</v>
      </c>
      <c r="Y1102" s="1143">
        <f t="shared" si="323"/>
        <v>51.31856165421496</v>
      </c>
      <c r="Z1102" s="1147">
        <f t="shared" si="313"/>
        <v>63.84</v>
      </c>
      <c r="AA1102" s="1144">
        <f t="shared" si="314"/>
        <v>39.68</v>
      </c>
      <c r="AB1102" s="1144">
        <f t="shared" si="315"/>
        <v>0</v>
      </c>
      <c r="AC1102" s="1144">
        <f t="shared" si="316"/>
        <v>0</v>
      </c>
      <c r="AD1102" s="1148">
        <f t="shared" si="308"/>
        <v>51.31856165421496</v>
      </c>
      <c r="AE1102" s="1487">
        <v>0</v>
      </c>
      <c r="AF1102" s="1145">
        <f t="shared" si="317"/>
        <v>51.31856165421496</v>
      </c>
      <c r="AG1102" s="1149">
        <f>IFERROR(VLOOKUP(CONCATENATE($L1102,$N1102),'Drop List'!$G$23:$K$87,2,FALSE),0)</f>
        <v>0</v>
      </c>
      <c r="AH1102" s="1150">
        <f>IFERROR(VLOOKUP(CONCATENATE($L1102,$N1102),'Drop List'!$G$23:$K$87,3,FALSE),0)</f>
        <v>0</v>
      </c>
      <c r="AI1102" s="1150">
        <f>IFERROR(VLOOKUP(CONCATENATE($L1102,$N1102),'Drop List'!$G$23:$K$87,4,FALSE),0)</f>
        <v>0</v>
      </c>
      <c r="AJ1102" s="1151">
        <f>IFERROR(VLOOKUP(CONCATENATE($L1102,$N1102),'Drop List'!$G$23:$K$87,5,FALSE),0)</f>
        <v>0</v>
      </c>
      <c r="AK1102" s="1152">
        <f t="shared" si="318"/>
        <v>0</v>
      </c>
      <c r="AL1102" s="1153">
        <f t="shared" si="319"/>
        <v>0</v>
      </c>
      <c r="AM1102" s="1153">
        <f t="shared" si="320"/>
        <v>0</v>
      </c>
      <c r="AN1102" s="1145">
        <f t="shared" si="321"/>
        <v>0</v>
      </c>
      <c r="AO1102" s="1154">
        <f t="shared" si="322"/>
        <v>0</v>
      </c>
      <c r="AP1102" s="1147">
        <f t="shared" si="309"/>
        <v>51.31856165421496</v>
      </c>
      <c r="AQ1102" s="1144">
        <f t="shared" si="310"/>
        <v>0</v>
      </c>
      <c r="AR1102" s="1146">
        <f t="shared" si="311"/>
        <v>51.31856165421496</v>
      </c>
    </row>
    <row r="1103" spans="1:44" x14ac:dyDescent="0.2">
      <c r="A1103" s="1141" t="str">
        <f t="shared" si="306"/>
        <v>1552</v>
      </c>
      <c r="B1103" s="1141" t="str">
        <f>IFERROR(VLOOKUP(A1103,'LAC 103'!A:C,3,FALSE),"")</f>
        <v>OP</v>
      </c>
      <c r="C1103" s="1478" t="str">
        <f>Info!$B$8</f>
        <v>00100</v>
      </c>
      <c r="D1103" s="1474" t="s">
        <v>256</v>
      </c>
      <c r="E1103" s="1474" t="s">
        <v>95</v>
      </c>
      <c r="F1103" s="1478" t="s">
        <v>412</v>
      </c>
      <c r="G1103" s="1478" t="s">
        <v>412</v>
      </c>
      <c r="H1103" s="1474" t="s">
        <v>988</v>
      </c>
      <c r="I1103" s="1478" t="s">
        <v>811</v>
      </c>
      <c r="J1103" s="1478"/>
      <c r="K1103" s="1475" t="s">
        <v>971</v>
      </c>
      <c r="L1103" s="1474" t="s">
        <v>332</v>
      </c>
      <c r="M1103" s="1476" t="s">
        <v>1698</v>
      </c>
      <c r="N1103" s="1477" t="s">
        <v>1693</v>
      </c>
      <c r="O1103" s="1479">
        <v>459</v>
      </c>
      <c r="P1103" s="1479"/>
      <c r="Q1103" s="1142">
        <f t="shared" si="307"/>
        <v>459</v>
      </c>
      <c r="R1103" s="1143">
        <f>IFERROR(VLOOKUP(CONCATENATE(E1103,G1103),'LAC 103'!$A$12:$O$95,11,FALSE),0)</f>
        <v>3.207410103388435</v>
      </c>
      <c r="S1103" s="1144">
        <f>IFERROR(VLOOKUP(CONCATENATE($E1103,$G1103),'LAC 103'!$A$12:$O$95,12,FALSE),0)</f>
        <v>3.99</v>
      </c>
      <c r="T1103" s="1144">
        <f>IFERROR(VLOOKUP(CONCATENATE($E1103,$G1103),'LAC 103'!$A$12:$O$95,13,FALSE),0)</f>
        <v>2.48</v>
      </c>
      <c r="U1103" s="1144">
        <f>IFERROR(VLOOKUP(CONCATENATE($E1103,$G1103),'LAC 103'!$A$12:$O$95,14,FALSE),0)</f>
        <v>0</v>
      </c>
      <c r="V1103" s="1144">
        <f>IFERROR(VLOOKUP(CONCATENATE($E1103,$G1103),'LAC 103'!$A$12:$O$95,15,FALSE),0)</f>
        <v>0</v>
      </c>
      <c r="W1103" s="1145" t="str">
        <f>IFERROR(VLOOKUP(CONCATENATE($B1103,$N1103),'LAC 103'!$AI:$AQ,9,FALSE),"")</f>
        <v>Costs</v>
      </c>
      <c r="X1103" s="1146">
        <f t="shared" si="312"/>
        <v>3.207410103388435</v>
      </c>
      <c r="Y1103" s="1143">
        <f t="shared" si="323"/>
        <v>1472.2012374552917</v>
      </c>
      <c r="Z1103" s="1147">
        <f t="shared" si="313"/>
        <v>1831.41</v>
      </c>
      <c r="AA1103" s="1144">
        <f t="shared" si="314"/>
        <v>1138.32</v>
      </c>
      <c r="AB1103" s="1144">
        <f t="shared" si="315"/>
        <v>0</v>
      </c>
      <c r="AC1103" s="1144">
        <f t="shared" si="316"/>
        <v>0</v>
      </c>
      <c r="AD1103" s="1148">
        <f t="shared" si="308"/>
        <v>1472.2012374552917</v>
      </c>
      <c r="AE1103" s="1487">
        <v>0</v>
      </c>
      <c r="AF1103" s="1145">
        <f t="shared" si="317"/>
        <v>1472.2012374552917</v>
      </c>
      <c r="AG1103" s="1149">
        <f>IFERROR(VLOOKUP(CONCATENATE($L1103,$N1103),'Drop List'!$G$23:$K$87,2,FALSE),0)</f>
        <v>0</v>
      </c>
      <c r="AH1103" s="1150">
        <f>IFERROR(VLOOKUP(CONCATENATE($L1103,$N1103),'Drop List'!$G$23:$K$87,3,FALSE),0)</f>
        <v>0</v>
      </c>
      <c r="AI1103" s="1150">
        <f>IFERROR(VLOOKUP(CONCATENATE($L1103,$N1103),'Drop List'!$G$23:$K$87,4,FALSE),0)</f>
        <v>0</v>
      </c>
      <c r="AJ1103" s="1151">
        <f>IFERROR(VLOOKUP(CONCATENATE($L1103,$N1103),'Drop List'!$G$23:$K$87,5,FALSE),0)</f>
        <v>0</v>
      </c>
      <c r="AK1103" s="1152">
        <f t="shared" si="318"/>
        <v>0</v>
      </c>
      <c r="AL1103" s="1153">
        <f t="shared" si="319"/>
        <v>0</v>
      </c>
      <c r="AM1103" s="1153">
        <f t="shared" si="320"/>
        <v>0</v>
      </c>
      <c r="AN1103" s="1145">
        <f t="shared" si="321"/>
        <v>0</v>
      </c>
      <c r="AO1103" s="1154">
        <f t="shared" si="322"/>
        <v>0</v>
      </c>
      <c r="AP1103" s="1147">
        <f t="shared" si="309"/>
        <v>1472.2012374552917</v>
      </c>
      <c r="AQ1103" s="1144">
        <f t="shared" si="310"/>
        <v>0</v>
      </c>
      <c r="AR1103" s="1146">
        <f t="shared" si="311"/>
        <v>1472.2012374552917</v>
      </c>
    </row>
    <row r="1104" spans="1:44" x14ac:dyDescent="0.2">
      <c r="A1104" s="1141" t="str">
        <f t="shared" si="306"/>
        <v>1552</v>
      </c>
      <c r="B1104" s="1141" t="str">
        <f>IFERROR(VLOOKUP(A1104,'LAC 103'!A:C,3,FALSE),"")</f>
        <v>OP</v>
      </c>
      <c r="C1104" s="1478" t="str">
        <f>Info!$B$8</f>
        <v>00100</v>
      </c>
      <c r="D1104" s="1474" t="s">
        <v>256</v>
      </c>
      <c r="E1104" s="1474" t="s">
        <v>95</v>
      </c>
      <c r="F1104" s="1478" t="s">
        <v>412</v>
      </c>
      <c r="G1104" s="1478" t="s">
        <v>412</v>
      </c>
      <c r="H1104" s="1474" t="s">
        <v>988</v>
      </c>
      <c r="I1104" s="1478" t="s">
        <v>811</v>
      </c>
      <c r="J1104" s="1478"/>
      <c r="K1104" s="1475" t="s">
        <v>850</v>
      </c>
      <c r="L1104" s="1474" t="s">
        <v>330</v>
      </c>
      <c r="M1104" s="1476" t="s">
        <v>1699</v>
      </c>
      <c r="N1104" s="1477" t="s">
        <v>1694</v>
      </c>
      <c r="O1104" s="1479">
        <v>94</v>
      </c>
      <c r="P1104" s="1479"/>
      <c r="Q1104" s="1142">
        <f t="shared" si="307"/>
        <v>94</v>
      </c>
      <c r="R1104" s="1143">
        <f>IFERROR(VLOOKUP(CONCATENATE(E1104,G1104),'LAC 103'!$A$12:$O$95,11,FALSE),0)</f>
        <v>3.207410103388435</v>
      </c>
      <c r="S1104" s="1144">
        <f>IFERROR(VLOOKUP(CONCATENATE($E1104,$G1104),'LAC 103'!$A$12:$O$95,12,FALSE),0)</f>
        <v>3.99</v>
      </c>
      <c r="T1104" s="1144">
        <f>IFERROR(VLOOKUP(CONCATENATE($E1104,$G1104),'LAC 103'!$A$12:$O$95,13,FALSE),0)</f>
        <v>2.48</v>
      </c>
      <c r="U1104" s="1144">
        <f>IFERROR(VLOOKUP(CONCATENATE($E1104,$G1104),'LAC 103'!$A$12:$O$95,14,FALSE),0)</f>
        <v>0</v>
      </c>
      <c r="V1104" s="1144">
        <f>IFERROR(VLOOKUP(CONCATENATE($E1104,$G1104),'LAC 103'!$A$12:$O$95,15,FALSE),0)</f>
        <v>0</v>
      </c>
      <c r="W1104" s="1145" t="str">
        <f>IFERROR(VLOOKUP(CONCATENATE($B1104,$N1104),'LAC 103'!$AI:$AQ,9,FALSE),"")</f>
        <v>Costs</v>
      </c>
      <c r="X1104" s="1146">
        <f t="shared" si="312"/>
        <v>3.207410103388435</v>
      </c>
      <c r="Y1104" s="1143">
        <f t="shared" si="323"/>
        <v>301.49654971851288</v>
      </c>
      <c r="Z1104" s="1147">
        <f t="shared" si="313"/>
        <v>375.06</v>
      </c>
      <c r="AA1104" s="1144">
        <f t="shared" si="314"/>
        <v>233.12</v>
      </c>
      <c r="AB1104" s="1144">
        <f t="shared" si="315"/>
        <v>0</v>
      </c>
      <c r="AC1104" s="1144">
        <f t="shared" si="316"/>
        <v>0</v>
      </c>
      <c r="AD1104" s="1148">
        <f t="shared" si="308"/>
        <v>301.49654971851288</v>
      </c>
      <c r="AE1104" s="1487">
        <v>0</v>
      </c>
      <c r="AF1104" s="1145">
        <f t="shared" si="317"/>
        <v>301.49654971851288</v>
      </c>
      <c r="AG1104" s="1149">
        <f>IFERROR(VLOOKUP(CONCATENATE($L1104,$N1104),'Drop List'!$G$23:$K$87,2,FALSE),0)</f>
        <v>0</v>
      </c>
      <c r="AH1104" s="1150">
        <f>IFERROR(VLOOKUP(CONCATENATE($L1104,$N1104),'Drop List'!$G$23:$K$87,3,FALSE),0)</f>
        <v>0</v>
      </c>
      <c r="AI1104" s="1150">
        <f>IFERROR(VLOOKUP(CONCATENATE($L1104,$N1104),'Drop List'!$G$23:$K$87,4,FALSE),0)</f>
        <v>1</v>
      </c>
      <c r="AJ1104" s="1151">
        <f>IFERROR(VLOOKUP(CONCATENATE($L1104,$N1104),'Drop List'!$G$23:$K$87,5,FALSE),0)</f>
        <v>0</v>
      </c>
      <c r="AK1104" s="1152">
        <f t="shared" si="318"/>
        <v>0</v>
      </c>
      <c r="AL1104" s="1153">
        <f t="shared" si="319"/>
        <v>0</v>
      </c>
      <c r="AM1104" s="1153">
        <f t="shared" si="320"/>
        <v>301.49654971851288</v>
      </c>
      <c r="AN1104" s="1145">
        <f t="shared" si="321"/>
        <v>0</v>
      </c>
      <c r="AO1104" s="1154">
        <f t="shared" si="322"/>
        <v>301.49654971851288</v>
      </c>
      <c r="AP1104" s="1147">
        <f t="shared" si="309"/>
        <v>0</v>
      </c>
      <c r="AQ1104" s="1144">
        <f t="shared" si="310"/>
        <v>0</v>
      </c>
      <c r="AR1104" s="1146">
        <f t="shared" si="311"/>
        <v>301.49654971851288</v>
      </c>
    </row>
    <row r="1105" spans="1:44" x14ac:dyDescent="0.2">
      <c r="A1105" s="1141" t="str">
        <f t="shared" si="306"/>
        <v>1552</v>
      </c>
      <c r="B1105" s="1141" t="str">
        <f>IFERROR(VLOOKUP(A1105,'LAC 103'!A:C,3,FALSE),"")</f>
        <v>OP</v>
      </c>
      <c r="C1105" s="1478" t="str">
        <f>Info!$B$8</f>
        <v>00100</v>
      </c>
      <c r="D1105" s="1474" t="s">
        <v>256</v>
      </c>
      <c r="E1105" s="1474" t="s">
        <v>95</v>
      </c>
      <c r="F1105" s="1478" t="s">
        <v>412</v>
      </c>
      <c r="G1105" s="1478" t="s">
        <v>412</v>
      </c>
      <c r="H1105" s="1474" t="s">
        <v>988</v>
      </c>
      <c r="I1105" s="1478" t="s">
        <v>811</v>
      </c>
      <c r="J1105" s="1478"/>
      <c r="K1105" s="1475" t="s">
        <v>850</v>
      </c>
      <c r="L1105" s="1474" t="s">
        <v>330</v>
      </c>
      <c r="M1105" s="1476" t="s">
        <v>842</v>
      </c>
      <c r="N1105" s="1477" t="s">
        <v>1692</v>
      </c>
      <c r="O1105" s="1479">
        <v>350</v>
      </c>
      <c r="P1105" s="1479"/>
      <c r="Q1105" s="1142">
        <f t="shared" si="307"/>
        <v>350</v>
      </c>
      <c r="R1105" s="1143">
        <f>IFERROR(VLOOKUP(CONCATENATE(E1105,G1105),'LAC 103'!$A$12:$O$95,11,FALSE),0)</f>
        <v>3.207410103388435</v>
      </c>
      <c r="S1105" s="1144">
        <f>IFERROR(VLOOKUP(CONCATENATE($E1105,$G1105),'LAC 103'!$A$12:$O$95,12,FALSE),0)</f>
        <v>3.99</v>
      </c>
      <c r="T1105" s="1144">
        <f>IFERROR(VLOOKUP(CONCATENATE($E1105,$G1105),'LAC 103'!$A$12:$O$95,13,FALSE),0)</f>
        <v>2.48</v>
      </c>
      <c r="U1105" s="1144">
        <f>IFERROR(VLOOKUP(CONCATENATE($E1105,$G1105),'LAC 103'!$A$12:$O$95,14,FALSE),0)</f>
        <v>0</v>
      </c>
      <c r="V1105" s="1144">
        <f>IFERROR(VLOOKUP(CONCATENATE($E1105,$G1105),'LAC 103'!$A$12:$O$95,15,FALSE),0)</f>
        <v>0</v>
      </c>
      <c r="W1105" s="1145" t="str">
        <f>IFERROR(VLOOKUP(CONCATENATE($B1105,$N1105),'LAC 103'!$AI:$AQ,9,FALSE),"")</f>
        <v>Costs</v>
      </c>
      <c r="X1105" s="1146">
        <f t="shared" si="312"/>
        <v>3.207410103388435</v>
      </c>
      <c r="Y1105" s="1143">
        <f t="shared" si="323"/>
        <v>1122.5935361859522</v>
      </c>
      <c r="Z1105" s="1147">
        <f t="shared" si="313"/>
        <v>1396.5</v>
      </c>
      <c r="AA1105" s="1144">
        <f t="shared" si="314"/>
        <v>868</v>
      </c>
      <c r="AB1105" s="1144">
        <f t="shared" si="315"/>
        <v>0</v>
      </c>
      <c r="AC1105" s="1144">
        <f t="shared" si="316"/>
        <v>0</v>
      </c>
      <c r="AD1105" s="1148">
        <f t="shared" si="308"/>
        <v>1122.5935361859522</v>
      </c>
      <c r="AE1105" s="1487">
        <v>0</v>
      </c>
      <c r="AF1105" s="1145">
        <f t="shared" si="317"/>
        <v>1122.5935361859522</v>
      </c>
      <c r="AG1105" s="1149">
        <f>IFERROR(VLOOKUP(CONCATENATE($L1105,$N1105),'Drop List'!$G$23:$K$87,2,FALSE),0)</f>
        <v>0</v>
      </c>
      <c r="AH1105" s="1150">
        <f>IFERROR(VLOOKUP(CONCATENATE($L1105,$N1105),'Drop List'!$G$23:$K$87,3,FALSE),0)</f>
        <v>0</v>
      </c>
      <c r="AI1105" s="1150">
        <f>IFERROR(VLOOKUP(CONCATENATE($L1105,$N1105),'Drop List'!$G$23:$K$87,4,FALSE),0)</f>
        <v>1</v>
      </c>
      <c r="AJ1105" s="1151">
        <f>IFERROR(VLOOKUP(CONCATENATE($L1105,$N1105),'Drop List'!$G$23:$K$87,5,FALSE),0)</f>
        <v>0</v>
      </c>
      <c r="AK1105" s="1152">
        <f t="shared" si="318"/>
        <v>0</v>
      </c>
      <c r="AL1105" s="1153">
        <f t="shared" si="319"/>
        <v>0</v>
      </c>
      <c r="AM1105" s="1153">
        <f t="shared" si="320"/>
        <v>1122.5935361859522</v>
      </c>
      <c r="AN1105" s="1145">
        <f t="shared" si="321"/>
        <v>0</v>
      </c>
      <c r="AO1105" s="1154">
        <f t="shared" si="322"/>
        <v>1122.5935361859522</v>
      </c>
      <c r="AP1105" s="1147">
        <f t="shared" si="309"/>
        <v>0</v>
      </c>
      <c r="AQ1105" s="1144">
        <f t="shared" si="310"/>
        <v>0</v>
      </c>
      <c r="AR1105" s="1146">
        <f t="shared" si="311"/>
        <v>1122.5935361859522</v>
      </c>
    </row>
    <row r="1106" spans="1:44" x14ac:dyDescent="0.2">
      <c r="A1106" s="1141" t="str">
        <f t="shared" si="306"/>
        <v>1552</v>
      </c>
      <c r="B1106" s="1141" t="str">
        <f>IFERROR(VLOOKUP(A1106,'LAC 103'!A:C,3,FALSE),"")</f>
        <v>OP</v>
      </c>
      <c r="C1106" s="1478" t="str">
        <f>Info!$B$8</f>
        <v>00100</v>
      </c>
      <c r="D1106" s="1474" t="s">
        <v>256</v>
      </c>
      <c r="E1106" s="1474" t="s">
        <v>95</v>
      </c>
      <c r="F1106" s="1478" t="s">
        <v>412</v>
      </c>
      <c r="G1106" s="1478" t="s">
        <v>412</v>
      </c>
      <c r="H1106" s="1474" t="s">
        <v>988</v>
      </c>
      <c r="I1106" s="1478" t="s">
        <v>811</v>
      </c>
      <c r="J1106" s="1478"/>
      <c r="K1106" s="1475" t="s">
        <v>850</v>
      </c>
      <c r="L1106" s="1474" t="s">
        <v>330</v>
      </c>
      <c r="M1106" s="1476" t="s">
        <v>1698</v>
      </c>
      <c r="N1106" s="1477" t="s">
        <v>1693</v>
      </c>
      <c r="O1106" s="1479">
        <v>407</v>
      </c>
      <c r="P1106" s="1479"/>
      <c r="Q1106" s="1142">
        <f t="shared" si="307"/>
        <v>407</v>
      </c>
      <c r="R1106" s="1143">
        <f>IFERROR(VLOOKUP(CONCATENATE(E1106,G1106),'LAC 103'!$A$12:$O$95,11,FALSE),0)</f>
        <v>3.207410103388435</v>
      </c>
      <c r="S1106" s="1144">
        <f>IFERROR(VLOOKUP(CONCATENATE($E1106,$G1106),'LAC 103'!$A$12:$O$95,12,FALSE),0)</f>
        <v>3.99</v>
      </c>
      <c r="T1106" s="1144">
        <f>IFERROR(VLOOKUP(CONCATENATE($E1106,$G1106),'LAC 103'!$A$12:$O$95,13,FALSE),0)</f>
        <v>2.48</v>
      </c>
      <c r="U1106" s="1144">
        <f>IFERROR(VLOOKUP(CONCATENATE($E1106,$G1106),'LAC 103'!$A$12:$O$95,14,FALSE),0)</f>
        <v>0</v>
      </c>
      <c r="V1106" s="1144">
        <f>IFERROR(VLOOKUP(CONCATENATE($E1106,$G1106),'LAC 103'!$A$12:$O$95,15,FALSE),0)</f>
        <v>0</v>
      </c>
      <c r="W1106" s="1145" t="str">
        <f>IFERROR(VLOOKUP(CONCATENATE($B1106,$N1106),'LAC 103'!$AI:$AQ,9,FALSE),"")</f>
        <v>Costs</v>
      </c>
      <c r="X1106" s="1146">
        <f t="shared" si="312"/>
        <v>3.207410103388435</v>
      </c>
      <c r="Y1106" s="1143">
        <f t="shared" si="323"/>
        <v>1305.415912079093</v>
      </c>
      <c r="Z1106" s="1147">
        <f t="shared" si="313"/>
        <v>1623.93</v>
      </c>
      <c r="AA1106" s="1144">
        <f t="shared" si="314"/>
        <v>1009.36</v>
      </c>
      <c r="AB1106" s="1144">
        <f t="shared" si="315"/>
        <v>0</v>
      </c>
      <c r="AC1106" s="1144">
        <f t="shared" si="316"/>
        <v>0</v>
      </c>
      <c r="AD1106" s="1148">
        <f t="shared" si="308"/>
        <v>1305.415912079093</v>
      </c>
      <c r="AE1106" s="1487">
        <v>0</v>
      </c>
      <c r="AF1106" s="1145">
        <f t="shared" si="317"/>
        <v>1305.415912079093</v>
      </c>
      <c r="AG1106" s="1149">
        <f>IFERROR(VLOOKUP(CONCATENATE($L1106,$N1106),'Drop List'!$G$23:$K$87,2,FALSE),0)</f>
        <v>0</v>
      </c>
      <c r="AH1106" s="1150">
        <f>IFERROR(VLOOKUP(CONCATENATE($L1106,$N1106),'Drop List'!$G$23:$K$87,3,FALSE),0)</f>
        <v>0</v>
      </c>
      <c r="AI1106" s="1150">
        <f>IFERROR(VLOOKUP(CONCATENATE($L1106,$N1106),'Drop List'!$G$23:$K$87,4,FALSE),0)</f>
        <v>1</v>
      </c>
      <c r="AJ1106" s="1151">
        <f>IFERROR(VLOOKUP(CONCATENATE($L1106,$N1106),'Drop List'!$G$23:$K$87,5,FALSE),0)</f>
        <v>0</v>
      </c>
      <c r="AK1106" s="1152">
        <f t="shared" si="318"/>
        <v>0</v>
      </c>
      <c r="AL1106" s="1153">
        <f t="shared" si="319"/>
        <v>0</v>
      </c>
      <c r="AM1106" s="1153">
        <f t="shared" si="320"/>
        <v>1305.415912079093</v>
      </c>
      <c r="AN1106" s="1145">
        <f t="shared" si="321"/>
        <v>0</v>
      </c>
      <c r="AO1106" s="1154">
        <f t="shared" si="322"/>
        <v>1305.415912079093</v>
      </c>
      <c r="AP1106" s="1147">
        <f t="shared" si="309"/>
        <v>0</v>
      </c>
      <c r="AQ1106" s="1144">
        <f t="shared" si="310"/>
        <v>0</v>
      </c>
      <c r="AR1106" s="1146">
        <f t="shared" si="311"/>
        <v>1305.415912079093</v>
      </c>
    </row>
    <row r="1107" spans="1:44" x14ac:dyDescent="0.2">
      <c r="A1107" s="1141" t="str">
        <f t="shared" si="306"/>
        <v>1552</v>
      </c>
      <c r="B1107" s="1141" t="str">
        <f>IFERROR(VLOOKUP(A1107,'LAC 103'!A:C,3,FALSE),"")</f>
        <v>OP</v>
      </c>
      <c r="C1107" s="1478" t="str">
        <f>Info!$B$8</f>
        <v>00100</v>
      </c>
      <c r="D1107" s="1474" t="s">
        <v>256</v>
      </c>
      <c r="E1107" s="1474" t="s">
        <v>95</v>
      </c>
      <c r="F1107" s="1478" t="s">
        <v>412</v>
      </c>
      <c r="G1107" s="1478" t="s">
        <v>412</v>
      </c>
      <c r="H1107" s="1474" t="s">
        <v>988</v>
      </c>
      <c r="I1107" s="1478" t="s">
        <v>811</v>
      </c>
      <c r="J1107" s="1478"/>
      <c r="K1107" s="1475" t="s">
        <v>851</v>
      </c>
      <c r="L1107" s="1474" t="s">
        <v>584</v>
      </c>
      <c r="M1107" s="1476" t="s">
        <v>1699</v>
      </c>
      <c r="N1107" s="1477" t="s">
        <v>1694</v>
      </c>
      <c r="O1107" s="1479">
        <v>12940</v>
      </c>
      <c r="P1107" s="1479"/>
      <c r="Q1107" s="1142">
        <f t="shared" si="307"/>
        <v>12940</v>
      </c>
      <c r="R1107" s="1143">
        <f>IFERROR(VLOOKUP(CONCATENATE(E1107,G1107),'LAC 103'!$A$12:$O$95,11,FALSE),0)</f>
        <v>3.207410103388435</v>
      </c>
      <c r="S1107" s="1144">
        <f>IFERROR(VLOOKUP(CONCATENATE($E1107,$G1107),'LAC 103'!$A$12:$O$95,12,FALSE),0)</f>
        <v>3.99</v>
      </c>
      <c r="T1107" s="1144">
        <f>IFERROR(VLOOKUP(CONCATENATE($E1107,$G1107),'LAC 103'!$A$12:$O$95,13,FALSE),0)</f>
        <v>2.48</v>
      </c>
      <c r="U1107" s="1144">
        <f>IFERROR(VLOOKUP(CONCATENATE($E1107,$G1107),'LAC 103'!$A$12:$O$95,14,FALSE),0)</f>
        <v>0</v>
      </c>
      <c r="V1107" s="1144">
        <f>IFERROR(VLOOKUP(CONCATENATE($E1107,$G1107),'LAC 103'!$A$12:$O$95,15,FALSE),0)</f>
        <v>0</v>
      </c>
      <c r="W1107" s="1145" t="str">
        <f>IFERROR(VLOOKUP(CONCATENATE($B1107,$N1107),'LAC 103'!$AI:$AQ,9,FALSE),"")</f>
        <v>Costs</v>
      </c>
      <c r="X1107" s="1146">
        <f t="shared" si="312"/>
        <v>3.207410103388435</v>
      </c>
      <c r="Y1107" s="1143">
        <f t="shared" si="323"/>
        <v>41503.886737846347</v>
      </c>
      <c r="Z1107" s="1147">
        <f t="shared" si="313"/>
        <v>51630.600000000006</v>
      </c>
      <c r="AA1107" s="1144">
        <f t="shared" si="314"/>
        <v>32091.200000000001</v>
      </c>
      <c r="AB1107" s="1144">
        <f t="shared" si="315"/>
        <v>0</v>
      </c>
      <c r="AC1107" s="1144">
        <f t="shared" si="316"/>
        <v>0</v>
      </c>
      <c r="AD1107" s="1148">
        <f t="shared" si="308"/>
        <v>41503.886737846347</v>
      </c>
      <c r="AE1107" s="1487">
        <v>0</v>
      </c>
      <c r="AF1107" s="1145">
        <f t="shared" si="317"/>
        <v>41503.886737846347</v>
      </c>
      <c r="AG1107" s="1149">
        <f>IFERROR(VLOOKUP(CONCATENATE($L1107,$N1107),'Drop List'!$G$23:$K$87,2,FALSE),0)</f>
        <v>0.56200000000000006</v>
      </c>
      <c r="AH1107" s="1150">
        <f>IFERROR(VLOOKUP(CONCATENATE($L1107,$N1107),'Drop List'!$G$23:$K$87,3,FALSE),0)</f>
        <v>0</v>
      </c>
      <c r="AI1107" s="1150">
        <f>IFERROR(VLOOKUP(CONCATENATE($L1107,$N1107),'Drop List'!$G$23:$K$87,4,FALSE),0)</f>
        <v>0</v>
      </c>
      <c r="AJ1107" s="1151">
        <f>IFERROR(VLOOKUP(CONCATENATE($L1107,$N1107),'Drop List'!$G$23:$K$87,5,FALSE),0)</f>
        <v>0.43799999999999994</v>
      </c>
      <c r="AK1107" s="1152">
        <f t="shared" si="318"/>
        <v>23325.184346669648</v>
      </c>
      <c r="AL1107" s="1153">
        <f t="shared" si="319"/>
        <v>0</v>
      </c>
      <c r="AM1107" s="1153">
        <f t="shared" si="320"/>
        <v>0</v>
      </c>
      <c r="AN1107" s="1145">
        <f t="shared" si="321"/>
        <v>18178.702391176699</v>
      </c>
      <c r="AO1107" s="1154">
        <f t="shared" si="322"/>
        <v>41503.886737846347</v>
      </c>
      <c r="AP1107" s="1147">
        <f t="shared" si="309"/>
        <v>0</v>
      </c>
      <c r="AQ1107" s="1144">
        <f t="shared" si="310"/>
        <v>0</v>
      </c>
      <c r="AR1107" s="1146">
        <f t="shared" si="311"/>
        <v>41503.886737846347</v>
      </c>
    </row>
    <row r="1108" spans="1:44" x14ac:dyDescent="0.2">
      <c r="A1108" s="1141" t="str">
        <f t="shared" si="306"/>
        <v>1552</v>
      </c>
      <c r="B1108" s="1141" t="str">
        <f>IFERROR(VLOOKUP(A1108,'LAC 103'!A:C,3,FALSE),"")</f>
        <v>OP</v>
      </c>
      <c r="C1108" s="1478" t="str">
        <f>Info!$B$8</f>
        <v>00100</v>
      </c>
      <c r="D1108" s="1474" t="s">
        <v>256</v>
      </c>
      <c r="E1108" s="1474" t="s">
        <v>95</v>
      </c>
      <c r="F1108" s="1478" t="s">
        <v>412</v>
      </c>
      <c r="G1108" s="1478" t="s">
        <v>412</v>
      </c>
      <c r="H1108" s="1474" t="s">
        <v>988</v>
      </c>
      <c r="I1108" s="1478" t="s">
        <v>811</v>
      </c>
      <c r="J1108" s="1478"/>
      <c r="K1108" s="1475" t="s">
        <v>851</v>
      </c>
      <c r="L1108" s="1474" t="s">
        <v>584</v>
      </c>
      <c r="M1108" s="1476" t="s">
        <v>841</v>
      </c>
      <c r="N1108" s="1477" t="s">
        <v>1695</v>
      </c>
      <c r="O1108" s="1479">
        <v>6432</v>
      </c>
      <c r="P1108" s="1479"/>
      <c r="Q1108" s="1142">
        <f t="shared" si="307"/>
        <v>6432</v>
      </c>
      <c r="R1108" s="1143">
        <f>IFERROR(VLOOKUP(CONCATENATE(E1108,G1108),'LAC 103'!$A$12:$O$95,11,FALSE),0)</f>
        <v>3.207410103388435</v>
      </c>
      <c r="S1108" s="1144">
        <f>IFERROR(VLOOKUP(CONCATENATE($E1108,$G1108),'LAC 103'!$A$12:$O$95,12,FALSE),0)</f>
        <v>3.99</v>
      </c>
      <c r="T1108" s="1144">
        <f>IFERROR(VLOOKUP(CONCATENATE($E1108,$G1108),'LAC 103'!$A$12:$O$95,13,FALSE),0)</f>
        <v>2.48</v>
      </c>
      <c r="U1108" s="1144">
        <f>IFERROR(VLOOKUP(CONCATENATE($E1108,$G1108),'LAC 103'!$A$12:$O$95,14,FALSE),0)</f>
        <v>0</v>
      </c>
      <c r="V1108" s="1144">
        <f>IFERROR(VLOOKUP(CONCATENATE($E1108,$G1108),'LAC 103'!$A$12:$O$95,15,FALSE),0)</f>
        <v>0</v>
      </c>
      <c r="W1108" s="1145" t="str">
        <f>IFERROR(VLOOKUP(CONCATENATE($B1108,$N1108),'LAC 103'!$AI:$AQ,9,FALSE),"")</f>
        <v>Costs</v>
      </c>
      <c r="X1108" s="1146">
        <f t="shared" si="312"/>
        <v>3.207410103388435</v>
      </c>
      <c r="Y1108" s="1143">
        <f t="shared" si="323"/>
        <v>20630.061784994414</v>
      </c>
      <c r="Z1108" s="1147">
        <f t="shared" si="313"/>
        <v>25663.68</v>
      </c>
      <c r="AA1108" s="1144">
        <f t="shared" si="314"/>
        <v>15951.36</v>
      </c>
      <c r="AB1108" s="1144">
        <f t="shared" si="315"/>
        <v>0</v>
      </c>
      <c r="AC1108" s="1144">
        <f t="shared" si="316"/>
        <v>0</v>
      </c>
      <c r="AD1108" s="1148">
        <f t="shared" si="308"/>
        <v>20630.061784994414</v>
      </c>
      <c r="AE1108" s="1487">
        <v>0</v>
      </c>
      <c r="AF1108" s="1145">
        <f t="shared" si="317"/>
        <v>20630.061784994414</v>
      </c>
      <c r="AG1108" s="1149">
        <f>IFERROR(VLOOKUP(CONCATENATE($L1108,$N1108),'Drop List'!$G$23:$K$87,2,FALSE),0)</f>
        <v>0.55000000000000004</v>
      </c>
      <c r="AH1108" s="1150">
        <f>IFERROR(VLOOKUP(CONCATENATE($L1108,$N1108),'Drop List'!$G$23:$K$87,3,FALSE),0)</f>
        <v>0</v>
      </c>
      <c r="AI1108" s="1150">
        <f>IFERROR(VLOOKUP(CONCATENATE($L1108,$N1108),'Drop List'!$G$23:$K$87,4,FALSE),0)</f>
        <v>0</v>
      </c>
      <c r="AJ1108" s="1151">
        <f>IFERROR(VLOOKUP(CONCATENATE($L1108,$N1108),'Drop List'!$G$23:$K$87,5,FALSE),0)</f>
        <v>0.44999999999999996</v>
      </c>
      <c r="AK1108" s="1152">
        <f t="shared" si="318"/>
        <v>11346.533981746928</v>
      </c>
      <c r="AL1108" s="1153">
        <f t="shared" si="319"/>
        <v>0</v>
      </c>
      <c r="AM1108" s="1153">
        <f t="shared" si="320"/>
        <v>0</v>
      </c>
      <c r="AN1108" s="1145">
        <f t="shared" si="321"/>
        <v>9283.5278032474853</v>
      </c>
      <c r="AO1108" s="1154">
        <f t="shared" si="322"/>
        <v>20630.061784994414</v>
      </c>
      <c r="AP1108" s="1147">
        <f t="shared" si="309"/>
        <v>0</v>
      </c>
      <c r="AQ1108" s="1144">
        <f t="shared" si="310"/>
        <v>0</v>
      </c>
      <c r="AR1108" s="1146">
        <f t="shared" si="311"/>
        <v>20630.061784994414</v>
      </c>
    </row>
    <row r="1109" spans="1:44" x14ac:dyDescent="0.2">
      <c r="A1109" s="1141" t="str">
        <f t="shared" si="306"/>
        <v>1552</v>
      </c>
      <c r="B1109" s="1141" t="str">
        <f>IFERROR(VLOOKUP(A1109,'LAC 103'!A:C,3,FALSE),"")</f>
        <v>OP</v>
      </c>
      <c r="C1109" s="1478" t="str">
        <f>Info!$B$8</f>
        <v>00100</v>
      </c>
      <c r="D1109" s="1474" t="s">
        <v>256</v>
      </c>
      <c r="E1109" s="1474" t="s">
        <v>95</v>
      </c>
      <c r="F1109" s="1478" t="s">
        <v>412</v>
      </c>
      <c r="G1109" s="1478" t="s">
        <v>412</v>
      </c>
      <c r="H1109" s="1474" t="s">
        <v>988</v>
      </c>
      <c r="I1109" s="1478" t="s">
        <v>811</v>
      </c>
      <c r="J1109" s="1478"/>
      <c r="K1109" s="1475" t="s">
        <v>851</v>
      </c>
      <c r="L1109" s="1474" t="s">
        <v>584</v>
      </c>
      <c r="M1109" s="1476" t="s">
        <v>840</v>
      </c>
      <c r="N1109" s="1477" t="s">
        <v>1700</v>
      </c>
      <c r="O1109" s="1479">
        <v>7529</v>
      </c>
      <c r="P1109" s="1479"/>
      <c r="Q1109" s="1142">
        <f t="shared" si="307"/>
        <v>7529</v>
      </c>
      <c r="R1109" s="1143">
        <f>IFERROR(VLOOKUP(CONCATENATE(E1109,G1109),'LAC 103'!$A$12:$O$95,11,FALSE),0)</f>
        <v>3.207410103388435</v>
      </c>
      <c r="S1109" s="1144">
        <f>IFERROR(VLOOKUP(CONCATENATE($E1109,$G1109),'LAC 103'!$A$12:$O$95,12,FALSE),0)</f>
        <v>3.99</v>
      </c>
      <c r="T1109" s="1144">
        <f>IFERROR(VLOOKUP(CONCATENATE($E1109,$G1109),'LAC 103'!$A$12:$O$95,13,FALSE),0)</f>
        <v>2.48</v>
      </c>
      <c r="U1109" s="1144">
        <f>IFERROR(VLOOKUP(CONCATENATE($E1109,$G1109),'LAC 103'!$A$12:$O$95,14,FALSE),0)</f>
        <v>0</v>
      </c>
      <c r="V1109" s="1144">
        <f>IFERROR(VLOOKUP(CONCATENATE($E1109,$G1109),'LAC 103'!$A$12:$O$95,15,FALSE),0)</f>
        <v>0</v>
      </c>
      <c r="W1109" s="1145" t="str">
        <f>IFERROR(VLOOKUP(CONCATENATE($B1109,$N1109),'LAC 103'!$AI:$AQ,9,FALSE),"")</f>
        <v>P.C.</v>
      </c>
      <c r="X1109" s="1146">
        <f t="shared" si="312"/>
        <v>2.48</v>
      </c>
      <c r="Y1109" s="1143">
        <f t="shared" si="323"/>
        <v>24148.590668411529</v>
      </c>
      <c r="Z1109" s="1147">
        <f t="shared" si="313"/>
        <v>30040.710000000003</v>
      </c>
      <c r="AA1109" s="1144">
        <f t="shared" si="314"/>
        <v>18671.919999999998</v>
      </c>
      <c r="AB1109" s="1144">
        <f t="shared" si="315"/>
        <v>0</v>
      </c>
      <c r="AC1109" s="1144">
        <f t="shared" si="316"/>
        <v>0</v>
      </c>
      <c r="AD1109" s="1148">
        <f t="shared" si="308"/>
        <v>18671.919999999998</v>
      </c>
      <c r="AE1109" s="1487">
        <v>0</v>
      </c>
      <c r="AF1109" s="1145">
        <f t="shared" si="317"/>
        <v>18671.919999999998</v>
      </c>
      <c r="AG1109" s="1149">
        <f>IFERROR(VLOOKUP(CONCATENATE($L1109,$N1109),'Drop List'!$G$23:$K$87,2,FALSE),0)</f>
        <v>0.55000000000000004</v>
      </c>
      <c r="AH1109" s="1150">
        <f>IFERROR(VLOOKUP(CONCATENATE($L1109,$N1109),'Drop List'!$G$23:$K$87,3,FALSE),0)</f>
        <v>0</v>
      </c>
      <c r="AI1109" s="1150">
        <f>IFERROR(VLOOKUP(CONCATENATE($L1109,$N1109),'Drop List'!$G$23:$K$87,4,FALSE),0)</f>
        <v>0</v>
      </c>
      <c r="AJ1109" s="1151">
        <f>IFERROR(VLOOKUP(CONCATENATE($L1109,$N1109),'Drop List'!$G$23:$K$87,5,FALSE),0)</f>
        <v>0.44999999999999996</v>
      </c>
      <c r="AK1109" s="1152">
        <f t="shared" si="318"/>
        <v>10269.556</v>
      </c>
      <c r="AL1109" s="1153">
        <f t="shared" si="319"/>
        <v>0</v>
      </c>
      <c r="AM1109" s="1153">
        <f t="shared" si="320"/>
        <v>0</v>
      </c>
      <c r="AN1109" s="1145">
        <f t="shared" si="321"/>
        <v>8402.3639999999978</v>
      </c>
      <c r="AO1109" s="1154">
        <f t="shared" si="322"/>
        <v>18671.919999999998</v>
      </c>
      <c r="AP1109" s="1147">
        <f t="shared" si="309"/>
        <v>0</v>
      </c>
      <c r="AQ1109" s="1144">
        <f t="shared" si="310"/>
        <v>0</v>
      </c>
      <c r="AR1109" s="1146">
        <f t="shared" si="311"/>
        <v>18671.919999999998</v>
      </c>
    </row>
    <row r="1110" spans="1:44" x14ac:dyDescent="0.2">
      <c r="A1110" s="1141" t="str">
        <f t="shared" ref="A1110:A1173" si="324">IF(CONCATENATE(E1110,G1110)="","",CONCATENATE(E1110,G1110))</f>
        <v>1552</v>
      </c>
      <c r="B1110" s="1141" t="str">
        <f>IFERROR(VLOOKUP(A1110,'LAC 103'!A:C,3,FALSE),"")</f>
        <v>OP</v>
      </c>
      <c r="C1110" s="1478" t="str">
        <f>Info!$B$8</f>
        <v>00100</v>
      </c>
      <c r="D1110" s="1474" t="s">
        <v>256</v>
      </c>
      <c r="E1110" s="1474" t="s">
        <v>95</v>
      </c>
      <c r="F1110" s="1478" t="s">
        <v>412</v>
      </c>
      <c r="G1110" s="1478" t="s">
        <v>412</v>
      </c>
      <c r="H1110" s="1474" t="s">
        <v>988</v>
      </c>
      <c r="I1110" s="1478" t="s">
        <v>811</v>
      </c>
      <c r="J1110" s="1478"/>
      <c r="K1110" s="1475" t="s">
        <v>851</v>
      </c>
      <c r="L1110" s="1474" t="s">
        <v>584</v>
      </c>
      <c r="M1110" s="1476" t="s">
        <v>842</v>
      </c>
      <c r="N1110" s="1477" t="s">
        <v>1692</v>
      </c>
      <c r="O1110" s="1479">
        <v>10036</v>
      </c>
      <c r="P1110" s="1479"/>
      <c r="Q1110" s="1142">
        <f t="shared" si="307"/>
        <v>10036</v>
      </c>
      <c r="R1110" s="1143">
        <f>IFERROR(VLOOKUP(CONCATENATE(E1110,G1110),'LAC 103'!$A$12:$O$95,11,FALSE),0)</f>
        <v>3.207410103388435</v>
      </c>
      <c r="S1110" s="1144">
        <f>IFERROR(VLOOKUP(CONCATENATE($E1110,$G1110),'LAC 103'!$A$12:$O$95,12,FALSE),0)</f>
        <v>3.99</v>
      </c>
      <c r="T1110" s="1144">
        <f>IFERROR(VLOOKUP(CONCATENATE($E1110,$G1110),'LAC 103'!$A$12:$O$95,13,FALSE),0)</f>
        <v>2.48</v>
      </c>
      <c r="U1110" s="1144">
        <f>IFERROR(VLOOKUP(CONCATENATE($E1110,$G1110),'LAC 103'!$A$12:$O$95,14,FALSE),0)</f>
        <v>0</v>
      </c>
      <c r="V1110" s="1144">
        <f>IFERROR(VLOOKUP(CONCATENATE($E1110,$G1110),'LAC 103'!$A$12:$O$95,15,FALSE),0)</f>
        <v>0</v>
      </c>
      <c r="W1110" s="1145" t="str">
        <f>IFERROR(VLOOKUP(CONCATENATE($B1110,$N1110),'LAC 103'!$AI:$AQ,9,FALSE),"")</f>
        <v>Costs</v>
      </c>
      <c r="X1110" s="1146">
        <f t="shared" si="312"/>
        <v>3.207410103388435</v>
      </c>
      <c r="Y1110" s="1143">
        <f t="shared" si="323"/>
        <v>32189.567797606334</v>
      </c>
      <c r="Z1110" s="1147">
        <f t="shared" si="313"/>
        <v>40043.64</v>
      </c>
      <c r="AA1110" s="1144">
        <f t="shared" si="314"/>
        <v>24889.279999999999</v>
      </c>
      <c r="AB1110" s="1144">
        <f t="shared" si="315"/>
        <v>0</v>
      </c>
      <c r="AC1110" s="1144">
        <f t="shared" si="316"/>
        <v>0</v>
      </c>
      <c r="AD1110" s="1148">
        <f t="shared" si="308"/>
        <v>32189.567797606334</v>
      </c>
      <c r="AE1110" s="1487">
        <v>0</v>
      </c>
      <c r="AF1110" s="1145">
        <f t="shared" si="317"/>
        <v>32189.567797606334</v>
      </c>
      <c r="AG1110" s="1149">
        <f>IFERROR(VLOOKUP(CONCATENATE($L1110,$N1110),'Drop List'!$G$23:$K$87,2,FALSE),0)</f>
        <v>0.56200000000000006</v>
      </c>
      <c r="AH1110" s="1150">
        <f>IFERROR(VLOOKUP(CONCATENATE($L1110,$N1110),'Drop List'!$G$23:$K$87,3,FALSE),0)</f>
        <v>0</v>
      </c>
      <c r="AI1110" s="1150">
        <f>IFERROR(VLOOKUP(CONCATENATE($L1110,$N1110),'Drop List'!$G$23:$K$87,4,FALSE),0)</f>
        <v>0</v>
      </c>
      <c r="AJ1110" s="1151">
        <f>IFERROR(VLOOKUP(CONCATENATE($L1110,$N1110),'Drop List'!$G$23:$K$87,5,FALSE),0)</f>
        <v>0.43799999999999994</v>
      </c>
      <c r="AK1110" s="1152">
        <f t="shared" si="318"/>
        <v>18090.537102254762</v>
      </c>
      <c r="AL1110" s="1153">
        <f t="shared" si="319"/>
        <v>0</v>
      </c>
      <c r="AM1110" s="1153">
        <f t="shared" si="320"/>
        <v>0</v>
      </c>
      <c r="AN1110" s="1145">
        <f t="shared" si="321"/>
        <v>14099.030695351572</v>
      </c>
      <c r="AO1110" s="1154">
        <f t="shared" si="322"/>
        <v>32189.567797606334</v>
      </c>
      <c r="AP1110" s="1147">
        <f t="shared" si="309"/>
        <v>0</v>
      </c>
      <c r="AQ1110" s="1144">
        <f t="shared" si="310"/>
        <v>0</v>
      </c>
      <c r="AR1110" s="1146">
        <f t="shared" si="311"/>
        <v>32189.567797606334</v>
      </c>
    </row>
    <row r="1111" spans="1:44" x14ac:dyDescent="0.2">
      <c r="A1111" s="1141" t="str">
        <f t="shared" si="324"/>
        <v>1552</v>
      </c>
      <c r="B1111" s="1141" t="str">
        <f>IFERROR(VLOOKUP(A1111,'LAC 103'!A:C,3,FALSE),"")</f>
        <v>OP</v>
      </c>
      <c r="C1111" s="1478" t="str">
        <f>Info!$B$8</f>
        <v>00100</v>
      </c>
      <c r="D1111" s="1474" t="s">
        <v>256</v>
      </c>
      <c r="E1111" s="1474" t="s">
        <v>95</v>
      </c>
      <c r="F1111" s="1478" t="s">
        <v>412</v>
      </c>
      <c r="G1111" s="1478" t="s">
        <v>412</v>
      </c>
      <c r="H1111" s="1474" t="s">
        <v>988</v>
      </c>
      <c r="I1111" s="1478" t="s">
        <v>811</v>
      </c>
      <c r="J1111" s="1478"/>
      <c r="K1111" s="1475" t="s">
        <v>851</v>
      </c>
      <c r="L1111" s="1474" t="s">
        <v>584</v>
      </c>
      <c r="M1111" s="1476" t="s">
        <v>1698</v>
      </c>
      <c r="N1111" s="1477" t="s">
        <v>1693</v>
      </c>
      <c r="O1111" s="1479">
        <v>10608</v>
      </c>
      <c r="P1111" s="1479"/>
      <c r="Q1111" s="1142">
        <f t="shared" si="307"/>
        <v>10608</v>
      </c>
      <c r="R1111" s="1143">
        <f>IFERROR(VLOOKUP(CONCATENATE(E1111,G1111),'LAC 103'!$A$12:$O$95,11,FALSE),0)</f>
        <v>3.207410103388435</v>
      </c>
      <c r="S1111" s="1144">
        <f>IFERROR(VLOOKUP(CONCATENATE($E1111,$G1111),'LAC 103'!$A$12:$O$95,12,FALSE),0)</f>
        <v>3.99</v>
      </c>
      <c r="T1111" s="1144">
        <f>IFERROR(VLOOKUP(CONCATENATE($E1111,$G1111),'LAC 103'!$A$12:$O$95,13,FALSE),0)</f>
        <v>2.48</v>
      </c>
      <c r="U1111" s="1144">
        <f>IFERROR(VLOOKUP(CONCATENATE($E1111,$G1111),'LAC 103'!$A$12:$O$95,14,FALSE),0)</f>
        <v>0</v>
      </c>
      <c r="V1111" s="1144">
        <f>IFERROR(VLOOKUP(CONCATENATE($E1111,$G1111),'LAC 103'!$A$12:$O$95,15,FALSE),0)</f>
        <v>0</v>
      </c>
      <c r="W1111" s="1145" t="str">
        <f>IFERROR(VLOOKUP(CONCATENATE($B1111,$N1111),'LAC 103'!$AI:$AQ,9,FALSE),"")</f>
        <v>Costs</v>
      </c>
      <c r="X1111" s="1146">
        <f t="shared" si="312"/>
        <v>3.207410103388435</v>
      </c>
      <c r="Y1111" s="1143">
        <f t="shared" si="323"/>
        <v>34024.206376744522</v>
      </c>
      <c r="Z1111" s="1147">
        <f t="shared" si="313"/>
        <v>42325.920000000006</v>
      </c>
      <c r="AA1111" s="1144">
        <f t="shared" si="314"/>
        <v>26307.84</v>
      </c>
      <c r="AB1111" s="1144">
        <f t="shared" si="315"/>
        <v>0</v>
      </c>
      <c r="AC1111" s="1144">
        <f t="shared" si="316"/>
        <v>0</v>
      </c>
      <c r="AD1111" s="1148">
        <f t="shared" si="308"/>
        <v>34024.206376744522</v>
      </c>
      <c r="AE1111" s="1487">
        <v>0</v>
      </c>
      <c r="AF1111" s="1145">
        <f t="shared" si="317"/>
        <v>34024.206376744522</v>
      </c>
      <c r="AG1111" s="1149">
        <f>IFERROR(VLOOKUP(CONCATENATE($L1111,$N1111),'Drop List'!$G$23:$K$87,2,FALSE),0)</f>
        <v>0.56200000000000006</v>
      </c>
      <c r="AH1111" s="1150">
        <f>IFERROR(VLOOKUP(CONCATENATE($L1111,$N1111),'Drop List'!$G$23:$K$87,3,FALSE),0)</f>
        <v>0</v>
      </c>
      <c r="AI1111" s="1150">
        <f>IFERROR(VLOOKUP(CONCATENATE($L1111,$N1111),'Drop List'!$G$23:$K$87,4,FALSE),0)</f>
        <v>0</v>
      </c>
      <c r="AJ1111" s="1151">
        <f>IFERROR(VLOOKUP(CONCATENATE($L1111,$N1111),'Drop List'!$G$23:$K$87,5,FALSE),0)</f>
        <v>0.43799999999999994</v>
      </c>
      <c r="AK1111" s="1152">
        <f t="shared" si="318"/>
        <v>19121.603983730423</v>
      </c>
      <c r="AL1111" s="1153">
        <f t="shared" si="319"/>
        <v>0</v>
      </c>
      <c r="AM1111" s="1153">
        <f t="shared" si="320"/>
        <v>0</v>
      </c>
      <c r="AN1111" s="1145">
        <f t="shared" si="321"/>
        <v>14902.602393014098</v>
      </c>
      <c r="AO1111" s="1154">
        <f t="shared" si="322"/>
        <v>34024.206376744522</v>
      </c>
      <c r="AP1111" s="1147">
        <f t="shared" si="309"/>
        <v>0</v>
      </c>
      <c r="AQ1111" s="1144">
        <f t="shared" si="310"/>
        <v>0</v>
      </c>
      <c r="AR1111" s="1146">
        <f t="shared" si="311"/>
        <v>34024.206376744522</v>
      </c>
    </row>
    <row r="1112" spans="1:44" x14ac:dyDescent="0.2">
      <c r="A1112" s="1141" t="str">
        <f t="shared" si="324"/>
        <v>1552</v>
      </c>
      <c r="B1112" s="1141" t="str">
        <f>IFERROR(VLOOKUP(A1112,'LAC 103'!A:C,3,FALSE),"")</f>
        <v>OP</v>
      </c>
      <c r="C1112" s="1478" t="str">
        <f>Info!$B$8</f>
        <v>00100</v>
      </c>
      <c r="D1112" s="1474" t="s">
        <v>256</v>
      </c>
      <c r="E1112" s="1474" t="s">
        <v>95</v>
      </c>
      <c r="F1112" s="1478" t="s">
        <v>412</v>
      </c>
      <c r="G1112" s="1478" t="s">
        <v>412</v>
      </c>
      <c r="H1112" s="1474" t="s">
        <v>1661</v>
      </c>
      <c r="I1112" s="1478" t="s">
        <v>819</v>
      </c>
      <c r="J1112" s="1478" t="s">
        <v>123</v>
      </c>
      <c r="K1112" s="1475" t="s">
        <v>849</v>
      </c>
      <c r="L1112" s="1474" t="s">
        <v>77</v>
      </c>
      <c r="M1112" s="1476" t="s">
        <v>840</v>
      </c>
      <c r="N1112" s="1477" t="s">
        <v>1700</v>
      </c>
      <c r="O1112" s="1479">
        <v>48</v>
      </c>
      <c r="P1112" s="1479"/>
      <c r="Q1112" s="1142">
        <f t="shared" si="307"/>
        <v>48</v>
      </c>
      <c r="R1112" s="1143">
        <f>IFERROR(VLOOKUP(CONCATENATE(E1112,G1112),'LAC 103'!$A$12:$O$95,11,FALSE),0)</f>
        <v>3.207410103388435</v>
      </c>
      <c r="S1112" s="1144">
        <f>IFERROR(VLOOKUP(CONCATENATE($E1112,$G1112),'LAC 103'!$A$12:$O$95,12,FALSE),0)</f>
        <v>3.99</v>
      </c>
      <c r="T1112" s="1144">
        <f>IFERROR(VLOOKUP(CONCATENATE($E1112,$G1112),'LAC 103'!$A$12:$O$95,13,FALSE),0)</f>
        <v>2.48</v>
      </c>
      <c r="U1112" s="1144">
        <f>IFERROR(VLOOKUP(CONCATENATE($E1112,$G1112),'LAC 103'!$A$12:$O$95,14,FALSE),0)</f>
        <v>0</v>
      </c>
      <c r="V1112" s="1144">
        <f>IFERROR(VLOOKUP(CONCATENATE($E1112,$G1112),'LAC 103'!$A$12:$O$95,15,FALSE),0)</f>
        <v>0</v>
      </c>
      <c r="W1112" s="1145" t="str">
        <f>IFERROR(VLOOKUP(CONCATENATE($B1112,$N1112),'LAC 103'!$AI:$AQ,9,FALSE),"")</f>
        <v>P.C.</v>
      </c>
      <c r="X1112" s="1146">
        <f t="shared" si="312"/>
        <v>2.48</v>
      </c>
      <c r="Y1112" s="1143">
        <f t="shared" si="323"/>
        <v>153.95568496264488</v>
      </c>
      <c r="Z1112" s="1147">
        <f t="shared" si="313"/>
        <v>191.52</v>
      </c>
      <c r="AA1112" s="1144">
        <f t="shared" si="314"/>
        <v>119.03999999999999</v>
      </c>
      <c r="AB1112" s="1144">
        <f t="shared" si="315"/>
        <v>0</v>
      </c>
      <c r="AC1112" s="1144">
        <f t="shared" si="316"/>
        <v>0</v>
      </c>
      <c r="AD1112" s="1148">
        <f t="shared" si="308"/>
        <v>119.03999999999999</v>
      </c>
      <c r="AE1112" s="1487">
        <v>0</v>
      </c>
      <c r="AF1112" s="1145">
        <f t="shared" si="317"/>
        <v>119.03999999999999</v>
      </c>
      <c r="AG1112" s="1149">
        <f>IFERROR(VLOOKUP(CONCATENATE($L1112,$N1112),'Drop List'!$G$23:$K$87,2,FALSE),0)</f>
        <v>0.9</v>
      </c>
      <c r="AH1112" s="1150">
        <f>IFERROR(VLOOKUP(CONCATENATE($L1112,$N1112),'Drop List'!$G$23:$K$87,3,FALSE),0)</f>
        <v>0</v>
      </c>
      <c r="AI1112" s="1150">
        <f>IFERROR(VLOOKUP(CONCATENATE($L1112,$N1112),'Drop List'!$G$23:$K$87,4,FALSE),0)</f>
        <v>0.1</v>
      </c>
      <c r="AJ1112" s="1151">
        <f>IFERROR(VLOOKUP(CONCATENATE($L1112,$N1112),'Drop List'!$G$23:$K$87,5,FALSE),0)</f>
        <v>0</v>
      </c>
      <c r="AK1112" s="1152">
        <f t="shared" si="318"/>
        <v>107.136</v>
      </c>
      <c r="AL1112" s="1153">
        <f t="shared" si="319"/>
        <v>0</v>
      </c>
      <c r="AM1112" s="1153">
        <f t="shared" si="320"/>
        <v>11.904</v>
      </c>
      <c r="AN1112" s="1145">
        <f t="shared" si="321"/>
        <v>0</v>
      </c>
      <c r="AO1112" s="1154">
        <f t="shared" si="322"/>
        <v>119.03999999999999</v>
      </c>
      <c r="AP1112" s="1147">
        <f t="shared" si="309"/>
        <v>0</v>
      </c>
      <c r="AQ1112" s="1144">
        <f t="shared" si="310"/>
        <v>0</v>
      </c>
      <c r="AR1112" s="1146">
        <f t="shared" si="311"/>
        <v>119.03999999999999</v>
      </c>
    </row>
    <row r="1113" spans="1:44" x14ac:dyDescent="0.2">
      <c r="A1113" s="1141" t="str">
        <f t="shared" si="324"/>
        <v>1552</v>
      </c>
      <c r="B1113" s="1141" t="str">
        <f>IFERROR(VLOOKUP(A1113,'LAC 103'!A:C,3,FALSE),"")</f>
        <v>OP</v>
      </c>
      <c r="C1113" s="1478" t="str">
        <f>Info!$B$8</f>
        <v>00100</v>
      </c>
      <c r="D1113" s="1474" t="s">
        <v>256</v>
      </c>
      <c r="E1113" s="1474" t="s">
        <v>95</v>
      </c>
      <c r="F1113" s="1478" t="s">
        <v>412</v>
      </c>
      <c r="G1113" s="1478" t="s">
        <v>412</v>
      </c>
      <c r="H1113" s="1474" t="s">
        <v>1661</v>
      </c>
      <c r="I1113" s="1478" t="s">
        <v>819</v>
      </c>
      <c r="J1113" s="1478"/>
      <c r="K1113" s="1475" t="s">
        <v>849</v>
      </c>
      <c r="L1113" s="1474" t="s">
        <v>77</v>
      </c>
      <c r="M1113" s="1476" t="s">
        <v>842</v>
      </c>
      <c r="N1113" s="1477" t="s">
        <v>1692</v>
      </c>
      <c r="O1113" s="1479">
        <v>649</v>
      </c>
      <c r="P1113" s="1479"/>
      <c r="Q1113" s="1142">
        <f t="shared" si="307"/>
        <v>649</v>
      </c>
      <c r="R1113" s="1143">
        <f>IFERROR(VLOOKUP(CONCATENATE(E1113,G1113),'LAC 103'!$A$12:$O$95,11,FALSE),0)</f>
        <v>3.207410103388435</v>
      </c>
      <c r="S1113" s="1144">
        <f>IFERROR(VLOOKUP(CONCATENATE($E1113,$G1113),'LAC 103'!$A$12:$O$95,12,FALSE),0)</f>
        <v>3.99</v>
      </c>
      <c r="T1113" s="1144">
        <f>IFERROR(VLOOKUP(CONCATENATE($E1113,$G1113),'LAC 103'!$A$12:$O$95,13,FALSE),0)</f>
        <v>2.48</v>
      </c>
      <c r="U1113" s="1144">
        <f>IFERROR(VLOOKUP(CONCATENATE($E1113,$G1113),'LAC 103'!$A$12:$O$95,14,FALSE),0)</f>
        <v>0</v>
      </c>
      <c r="V1113" s="1144">
        <f>IFERROR(VLOOKUP(CONCATENATE($E1113,$G1113),'LAC 103'!$A$12:$O$95,15,FALSE),0)</f>
        <v>0</v>
      </c>
      <c r="W1113" s="1145" t="str">
        <f>IFERROR(VLOOKUP(CONCATENATE($B1113,$N1113),'LAC 103'!$AI:$AQ,9,FALSE),"")</f>
        <v>Costs</v>
      </c>
      <c r="X1113" s="1146">
        <f t="shared" si="312"/>
        <v>3.207410103388435</v>
      </c>
      <c r="Y1113" s="1143">
        <f t="shared" si="323"/>
        <v>2081.6091570990943</v>
      </c>
      <c r="Z1113" s="1147">
        <f t="shared" si="313"/>
        <v>2589.5100000000002</v>
      </c>
      <c r="AA1113" s="1144">
        <f t="shared" si="314"/>
        <v>1609.52</v>
      </c>
      <c r="AB1113" s="1144">
        <f t="shared" si="315"/>
        <v>0</v>
      </c>
      <c r="AC1113" s="1144">
        <f t="shared" si="316"/>
        <v>0</v>
      </c>
      <c r="AD1113" s="1148">
        <f t="shared" si="308"/>
        <v>2081.6091570990943</v>
      </c>
      <c r="AE1113" s="1487">
        <v>0</v>
      </c>
      <c r="AF1113" s="1145">
        <f t="shared" si="317"/>
        <v>2081.6091570990943</v>
      </c>
      <c r="AG1113" s="1149">
        <f>IFERROR(VLOOKUP(CONCATENATE($L1113,$N1113),'Drop List'!$G$23:$K$87,2,FALSE),0)</f>
        <v>0.9</v>
      </c>
      <c r="AH1113" s="1150">
        <f>IFERROR(VLOOKUP(CONCATENATE($L1113,$N1113),'Drop List'!$G$23:$K$87,3,FALSE),0)</f>
        <v>0</v>
      </c>
      <c r="AI1113" s="1150">
        <f>IFERROR(VLOOKUP(CONCATENATE($L1113,$N1113),'Drop List'!$G$23:$K$87,4,FALSE),0)</f>
        <v>0.1</v>
      </c>
      <c r="AJ1113" s="1151">
        <f>IFERROR(VLOOKUP(CONCATENATE($L1113,$N1113),'Drop List'!$G$23:$K$87,5,FALSE),0)</f>
        <v>0</v>
      </c>
      <c r="AK1113" s="1152">
        <f t="shared" si="318"/>
        <v>1873.4482413891849</v>
      </c>
      <c r="AL1113" s="1153">
        <f t="shared" si="319"/>
        <v>0</v>
      </c>
      <c r="AM1113" s="1153">
        <f t="shared" si="320"/>
        <v>208.16091570990943</v>
      </c>
      <c r="AN1113" s="1145">
        <f t="shared" si="321"/>
        <v>0</v>
      </c>
      <c r="AO1113" s="1154">
        <f t="shared" si="322"/>
        <v>2081.6091570990943</v>
      </c>
      <c r="AP1113" s="1147">
        <f t="shared" si="309"/>
        <v>0</v>
      </c>
      <c r="AQ1113" s="1144">
        <f t="shared" si="310"/>
        <v>0</v>
      </c>
      <c r="AR1113" s="1146">
        <f t="shared" si="311"/>
        <v>2081.6091570990943</v>
      </c>
    </row>
    <row r="1114" spans="1:44" x14ac:dyDescent="0.2">
      <c r="A1114" s="1141" t="str">
        <f t="shared" si="324"/>
        <v>1552</v>
      </c>
      <c r="B1114" s="1141" t="str">
        <f>IFERROR(VLOOKUP(A1114,'LAC 103'!A:C,3,FALSE),"")</f>
        <v>OP</v>
      </c>
      <c r="C1114" s="1478" t="str">
        <f>Info!$B$8</f>
        <v>00100</v>
      </c>
      <c r="D1114" s="1474" t="s">
        <v>256</v>
      </c>
      <c r="E1114" s="1474" t="s">
        <v>95</v>
      </c>
      <c r="F1114" s="1478" t="s">
        <v>412</v>
      </c>
      <c r="G1114" s="1478" t="s">
        <v>412</v>
      </c>
      <c r="H1114" s="1474" t="s">
        <v>1661</v>
      </c>
      <c r="I1114" s="1478" t="s">
        <v>819</v>
      </c>
      <c r="J1114" s="1478"/>
      <c r="K1114" s="1475" t="s">
        <v>849</v>
      </c>
      <c r="L1114" s="1474" t="s">
        <v>77</v>
      </c>
      <c r="M1114" s="1476" t="s">
        <v>1698</v>
      </c>
      <c r="N1114" s="1477" t="s">
        <v>1693</v>
      </c>
      <c r="O1114" s="1479">
        <v>433</v>
      </c>
      <c r="P1114" s="1479"/>
      <c r="Q1114" s="1142">
        <f t="shared" si="307"/>
        <v>433</v>
      </c>
      <c r="R1114" s="1143">
        <f>IFERROR(VLOOKUP(CONCATENATE(E1114,G1114),'LAC 103'!$A$12:$O$95,11,FALSE),0)</f>
        <v>3.207410103388435</v>
      </c>
      <c r="S1114" s="1144">
        <f>IFERROR(VLOOKUP(CONCATENATE($E1114,$G1114),'LAC 103'!$A$12:$O$95,12,FALSE),0)</f>
        <v>3.99</v>
      </c>
      <c r="T1114" s="1144">
        <f>IFERROR(VLOOKUP(CONCATENATE($E1114,$G1114),'LAC 103'!$A$12:$O$95,13,FALSE),0)</f>
        <v>2.48</v>
      </c>
      <c r="U1114" s="1144">
        <f>IFERROR(VLOOKUP(CONCATENATE($E1114,$G1114),'LAC 103'!$A$12:$O$95,14,FALSE),0)</f>
        <v>0</v>
      </c>
      <c r="V1114" s="1144">
        <f>IFERROR(VLOOKUP(CONCATENATE($E1114,$G1114),'LAC 103'!$A$12:$O$95,15,FALSE),0)</f>
        <v>0</v>
      </c>
      <c r="W1114" s="1145" t="str">
        <f>IFERROR(VLOOKUP(CONCATENATE($B1114,$N1114),'LAC 103'!$AI:$AQ,9,FALSE),"")</f>
        <v>Costs</v>
      </c>
      <c r="X1114" s="1146">
        <f t="shared" si="312"/>
        <v>3.207410103388435</v>
      </c>
      <c r="Y1114" s="1143">
        <f t="shared" si="323"/>
        <v>1388.8085747671923</v>
      </c>
      <c r="Z1114" s="1147">
        <f t="shared" si="313"/>
        <v>1727.67</v>
      </c>
      <c r="AA1114" s="1144">
        <f t="shared" si="314"/>
        <v>1073.8399999999999</v>
      </c>
      <c r="AB1114" s="1144">
        <f t="shared" si="315"/>
        <v>0</v>
      </c>
      <c r="AC1114" s="1144">
        <f t="shared" si="316"/>
        <v>0</v>
      </c>
      <c r="AD1114" s="1148">
        <f t="shared" si="308"/>
        <v>1388.8085747671923</v>
      </c>
      <c r="AE1114" s="1487">
        <v>0</v>
      </c>
      <c r="AF1114" s="1145">
        <f t="shared" si="317"/>
        <v>1388.8085747671923</v>
      </c>
      <c r="AG1114" s="1149">
        <f>IFERROR(VLOOKUP(CONCATENATE($L1114,$N1114),'Drop List'!$G$23:$K$87,2,FALSE),0)</f>
        <v>0.9</v>
      </c>
      <c r="AH1114" s="1150">
        <f>IFERROR(VLOOKUP(CONCATENATE($L1114,$N1114),'Drop List'!$G$23:$K$87,3,FALSE),0)</f>
        <v>0</v>
      </c>
      <c r="AI1114" s="1150">
        <f>IFERROR(VLOOKUP(CONCATENATE($L1114,$N1114),'Drop List'!$G$23:$K$87,4,FALSE),0)</f>
        <v>0.1</v>
      </c>
      <c r="AJ1114" s="1151">
        <f>IFERROR(VLOOKUP(CONCATENATE($L1114,$N1114),'Drop List'!$G$23:$K$87,5,FALSE),0)</f>
        <v>0</v>
      </c>
      <c r="AK1114" s="1152">
        <f t="shared" si="318"/>
        <v>1249.9277172904731</v>
      </c>
      <c r="AL1114" s="1153">
        <f t="shared" si="319"/>
        <v>0</v>
      </c>
      <c r="AM1114" s="1153">
        <f t="shared" si="320"/>
        <v>138.88085747671923</v>
      </c>
      <c r="AN1114" s="1145">
        <f t="shared" si="321"/>
        <v>0</v>
      </c>
      <c r="AO1114" s="1154">
        <f t="shared" si="322"/>
        <v>1388.8085747671923</v>
      </c>
      <c r="AP1114" s="1147">
        <f t="shared" si="309"/>
        <v>0</v>
      </c>
      <c r="AQ1114" s="1144">
        <f t="shared" si="310"/>
        <v>0</v>
      </c>
      <c r="AR1114" s="1146">
        <f t="shared" si="311"/>
        <v>1388.8085747671923</v>
      </c>
    </row>
    <row r="1115" spans="1:44" x14ac:dyDescent="0.2">
      <c r="A1115" s="1141" t="str">
        <f t="shared" si="324"/>
        <v>1552</v>
      </c>
      <c r="B1115" s="1141" t="str">
        <f>IFERROR(VLOOKUP(A1115,'LAC 103'!A:C,3,FALSE),"")</f>
        <v>OP</v>
      </c>
      <c r="C1115" s="1478" t="str">
        <f>Info!$B$8</f>
        <v>00100</v>
      </c>
      <c r="D1115" s="1474" t="s">
        <v>256</v>
      </c>
      <c r="E1115" s="1474" t="s">
        <v>95</v>
      </c>
      <c r="F1115" s="1478" t="s">
        <v>412</v>
      </c>
      <c r="G1115" s="1478" t="s">
        <v>412</v>
      </c>
      <c r="H1115" s="1474" t="s">
        <v>1661</v>
      </c>
      <c r="I1115" s="1478" t="s">
        <v>819</v>
      </c>
      <c r="J1115" s="1478"/>
      <c r="K1115" s="1475" t="s">
        <v>851</v>
      </c>
      <c r="L1115" s="1474" t="s">
        <v>584</v>
      </c>
      <c r="M1115" s="1476" t="s">
        <v>842</v>
      </c>
      <c r="N1115" s="1477" t="s">
        <v>1692</v>
      </c>
      <c r="O1115" s="1479">
        <v>568</v>
      </c>
      <c r="P1115" s="1479"/>
      <c r="Q1115" s="1142">
        <f t="shared" si="307"/>
        <v>568</v>
      </c>
      <c r="R1115" s="1143">
        <f>IFERROR(VLOOKUP(CONCATENATE(E1115,G1115),'LAC 103'!$A$12:$O$95,11,FALSE),0)</f>
        <v>3.207410103388435</v>
      </c>
      <c r="S1115" s="1144">
        <f>IFERROR(VLOOKUP(CONCATENATE($E1115,$G1115),'LAC 103'!$A$12:$O$95,12,FALSE),0)</f>
        <v>3.99</v>
      </c>
      <c r="T1115" s="1144">
        <f>IFERROR(VLOOKUP(CONCATENATE($E1115,$G1115),'LAC 103'!$A$12:$O$95,13,FALSE),0)</f>
        <v>2.48</v>
      </c>
      <c r="U1115" s="1144">
        <f>IFERROR(VLOOKUP(CONCATENATE($E1115,$G1115),'LAC 103'!$A$12:$O$95,14,FALSE),0)</f>
        <v>0</v>
      </c>
      <c r="V1115" s="1144">
        <f>IFERROR(VLOOKUP(CONCATENATE($E1115,$G1115),'LAC 103'!$A$12:$O$95,15,FALSE),0)</f>
        <v>0</v>
      </c>
      <c r="W1115" s="1145" t="str">
        <f>IFERROR(VLOOKUP(CONCATENATE($B1115,$N1115),'LAC 103'!$AI:$AQ,9,FALSE),"")</f>
        <v>Costs</v>
      </c>
      <c r="X1115" s="1146">
        <f t="shared" si="312"/>
        <v>3.207410103388435</v>
      </c>
      <c r="Y1115" s="1143">
        <f t="shared" si="323"/>
        <v>1821.8089387246312</v>
      </c>
      <c r="Z1115" s="1147">
        <f t="shared" si="313"/>
        <v>2266.3200000000002</v>
      </c>
      <c r="AA1115" s="1144">
        <f t="shared" si="314"/>
        <v>1408.64</v>
      </c>
      <c r="AB1115" s="1144">
        <f t="shared" si="315"/>
        <v>0</v>
      </c>
      <c r="AC1115" s="1144">
        <f t="shared" si="316"/>
        <v>0</v>
      </c>
      <c r="AD1115" s="1148">
        <f t="shared" si="308"/>
        <v>1821.8089387246312</v>
      </c>
      <c r="AE1115" s="1487">
        <v>0</v>
      </c>
      <c r="AF1115" s="1145">
        <f t="shared" si="317"/>
        <v>1821.8089387246312</v>
      </c>
      <c r="AG1115" s="1149">
        <f>IFERROR(VLOOKUP(CONCATENATE($L1115,$N1115),'Drop List'!$G$23:$K$87,2,FALSE),0)</f>
        <v>0.56200000000000006</v>
      </c>
      <c r="AH1115" s="1150">
        <f>IFERROR(VLOOKUP(CONCATENATE($L1115,$N1115),'Drop List'!$G$23:$K$87,3,FALSE),0)</f>
        <v>0</v>
      </c>
      <c r="AI1115" s="1150">
        <f>IFERROR(VLOOKUP(CONCATENATE($L1115,$N1115),'Drop List'!$G$23:$K$87,4,FALSE),0)</f>
        <v>0</v>
      </c>
      <c r="AJ1115" s="1151">
        <f>IFERROR(VLOOKUP(CONCATENATE($L1115,$N1115),'Drop List'!$G$23:$K$87,5,FALSE),0)</f>
        <v>0.43799999999999994</v>
      </c>
      <c r="AK1115" s="1152">
        <f t="shared" si="318"/>
        <v>1023.8566235632428</v>
      </c>
      <c r="AL1115" s="1153">
        <f t="shared" si="319"/>
        <v>0</v>
      </c>
      <c r="AM1115" s="1153">
        <f t="shared" si="320"/>
        <v>0</v>
      </c>
      <c r="AN1115" s="1145">
        <f t="shared" si="321"/>
        <v>797.95231516138836</v>
      </c>
      <c r="AO1115" s="1154">
        <f t="shared" si="322"/>
        <v>1821.8089387246312</v>
      </c>
      <c r="AP1115" s="1147">
        <f t="shared" si="309"/>
        <v>0</v>
      </c>
      <c r="AQ1115" s="1144">
        <f t="shared" si="310"/>
        <v>0</v>
      </c>
      <c r="AR1115" s="1146">
        <f t="shared" si="311"/>
        <v>1821.8089387246312</v>
      </c>
    </row>
    <row r="1116" spans="1:44" x14ac:dyDescent="0.2">
      <c r="A1116" s="1141" t="str">
        <f t="shared" si="324"/>
        <v>1552</v>
      </c>
      <c r="B1116" s="1141" t="str">
        <f>IFERROR(VLOOKUP(A1116,'LAC 103'!A:C,3,FALSE),"")</f>
        <v>OP</v>
      </c>
      <c r="C1116" s="1478" t="str">
        <f>Info!$B$8</f>
        <v>00100</v>
      </c>
      <c r="D1116" s="1474" t="s">
        <v>256</v>
      </c>
      <c r="E1116" s="1474" t="s">
        <v>95</v>
      </c>
      <c r="F1116" s="1478" t="s">
        <v>412</v>
      </c>
      <c r="G1116" s="1478" t="s">
        <v>412</v>
      </c>
      <c r="H1116" s="1474" t="s">
        <v>1661</v>
      </c>
      <c r="I1116" s="1478" t="s">
        <v>819</v>
      </c>
      <c r="J1116" s="1478"/>
      <c r="K1116" s="1475" t="s">
        <v>851</v>
      </c>
      <c r="L1116" s="1474" t="s">
        <v>584</v>
      </c>
      <c r="M1116" s="1476" t="s">
        <v>1698</v>
      </c>
      <c r="N1116" s="1477" t="s">
        <v>1693</v>
      </c>
      <c r="O1116" s="1479">
        <v>124</v>
      </c>
      <c r="P1116" s="1479"/>
      <c r="Q1116" s="1142">
        <f t="shared" si="307"/>
        <v>124</v>
      </c>
      <c r="R1116" s="1143">
        <f>IFERROR(VLOOKUP(CONCATENATE(E1116,G1116),'LAC 103'!$A$12:$O$95,11,FALSE),0)</f>
        <v>3.207410103388435</v>
      </c>
      <c r="S1116" s="1144">
        <f>IFERROR(VLOOKUP(CONCATENATE($E1116,$G1116),'LAC 103'!$A$12:$O$95,12,FALSE),0)</f>
        <v>3.99</v>
      </c>
      <c r="T1116" s="1144">
        <f>IFERROR(VLOOKUP(CONCATENATE($E1116,$G1116),'LAC 103'!$A$12:$O$95,13,FALSE),0)</f>
        <v>2.48</v>
      </c>
      <c r="U1116" s="1144">
        <f>IFERROR(VLOOKUP(CONCATENATE($E1116,$G1116),'LAC 103'!$A$12:$O$95,14,FALSE),0)</f>
        <v>0</v>
      </c>
      <c r="V1116" s="1144">
        <f>IFERROR(VLOOKUP(CONCATENATE($E1116,$G1116),'LAC 103'!$A$12:$O$95,15,FALSE),0)</f>
        <v>0</v>
      </c>
      <c r="W1116" s="1145" t="str">
        <f>IFERROR(VLOOKUP(CONCATENATE($B1116,$N1116),'LAC 103'!$AI:$AQ,9,FALSE),"")</f>
        <v>Costs</v>
      </c>
      <c r="X1116" s="1146">
        <f t="shared" si="312"/>
        <v>3.207410103388435</v>
      </c>
      <c r="Y1116" s="1143">
        <f t="shared" si="323"/>
        <v>397.71885282016592</v>
      </c>
      <c r="Z1116" s="1147">
        <f t="shared" si="313"/>
        <v>494.76000000000005</v>
      </c>
      <c r="AA1116" s="1144">
        <f t="shared" si="314"/>
        <v>307.52</v>
      </c>
      <c r="AB1116" s="1144">
        <f t="shared" si="315"/>
        <v>0</v>
      </c>
      <c r="AC1116" s="1144">
        <f t="shared" si="316"/>
        <v>0</v>
      </c>
      <c r="AD1116" s="1148">
        <f t="shared" si="308"/>
        <v>397.71885282016592</v>
      </c>
      <c r="AE1116" s="1487">
        <v>0</v>
      </c>
      <c r="AF1116" s="1145">
        <f t="shared" si="317"/>
        <v>397.71885282016592</v>
      </c>
      <c r="AG1116" s="1149">
        <f>IFERROR(VLOOKUP(CONCATENATE($L1116,$N1116),'Drop List'!$G$23:$K$87,2,FALSE),0)</f>
        <v>0.56200000000000006</v>
      </c>
      <c r="AH1116" s="1150">
        <f>IFERROR(VLOOKUP(CONCATENATE($L1116,$N1116),'Drop List'!$G$23:$K$87,3,FALSE),0)</f>
        <v>0</v>
      </c>
      <c r="AI1116" s="1150">
        <f>IFERROR(VLOOKUP(CONCATENATE($L1116,$N1116),'Drop List'!$G$23:$K$87,4,FALSE),0)</f>
        <v>0</v>
      </c>
      <c r="AJ1116" s="1151">
        <f>IFERROR(VLOOKUP(CONCATENATE($L1116,$N1116),'Drop List'!$G$23:$K$87,5,FALSE),0)</f>
        <v>0.43799999999999994</v>
      </c>
      <c r="AK1116" s="1152">
        <f t="shared" si="318"/>
        <v>223.51799528493328</v>
      </c>
      <c r="AL1116" s="1153">
        <f t="shared" si="319"/>
        <v>0</v>
      </c>
      <c r="AM1116" s="1153">
        <f t="shared" si="320"/>
        <v>0</v>
      </c>
      <c r="AN1116" s="1145">
        <f t="shared" si="321"/>
        <v>174.20085753523264</v>
      </c>
      <c r="AO1116" s="1154">
        <f t="shared" si="322"/>
        <v>397.71885282016592</v>
      </c>
      <c r="AP1116" s="1147">
        <f t="shared" si="309"/>
        <v>0</v>
      </c>
      <c r="AQ1116" s="1144">
        <f t="shared" si="310"/>
        <v>0</v>
      </c>
      <c r="AR1116" s="1146">
        <f t="shared" si="311"/>
        <v>397.71885282016592</v>
      </c>
    </row>
    <row r="1117" spans="1:44" x14ac:dyDescent="0.2">
      <c r="A1117" s="1141" t="str">
        <f t="shared" si="324"/>
        <v>1552</v>
      </c>
      <c r="B1117" s="1141" t="str">
        <f>IFERROR(VLOOKUP(A1117,'LAC 103'!A:C,3,FALSE),"")</f>
        <v>OP</v>
      </c>
      <c r="C1117" s="1478" t="str">
        <f>Info!$B$8</f>
        <v>00100</v>
      </c>
      <c r="D1117" s="1474" t="s">
        <v>256</v>
      </c>
      <c r="E1117" s="1474" t="s">
        <v>95</v>
      </c>
      <c r="F1117" s="1478" t="s">
        <v>412</v>
      </c>
      <c r="G1117" s="1478" t="s">
        <v>412</v>
      </c>
      <c r="H1117" s="1474" t="s">
        <v>1091</v>
      </c>
      <c r="I1117" s="1478" t="s">
        <v>815</v>
      </c>
      <c r="J1117" s="1478" t="s">
        <v>123</v>
      </c>
      <c r="K1117" s="1475" t="s">
        <v>1654</v>
      </c>
      <c r="L1117" s="1474" t="s">
        <v>332</v>
      </c>
      <c r="M1117" s="1476" t="s">
        <v>841</v>
      </c>
      <c r="N1117" s="1477" t="s">
        <v>1695</v>
      </c>
      <c r="O1117" s="1479">
        <v>174</v>
      </c>
      <c r="P1117" s="1479"/>
      <c r="Q1117" s="1142">
        <f t="shared" si="307"/>
        <v>174</v>
      </c>
      <c r="R1117" s="1143">
        <f>IFERROR(VLOOKUP(CONCATENATE(E1117,G1117),'LAC 103'!$A$12:$O$95,11,FALSE),0)</f>
        <v>3.207410103388435</v>
      </c>
      <c r="S1117" s="1144">
        <f>IFERROR(VLOOKUP(CONCATENATE($E1117,$G1117),'LAC 103'!$A$12:$O$95,12,FALSE),0)</f>
        <v>3.99</v>
      </c>
      <c r="T1117" s="1144">
        <f>IFERROR(VLOOKUP(CONCATENATE($E1117,$G1117),'LAC 103'!$A$12:$O$95,13,FALSE),0)</f>
        <v>2.48</v>
      </c>
      <c r="U1117" s="1144">
        <f>IFERROR(VLOOKUP(CONCATENATE($E1117,$G1117),'LAC 103'!$A$12:$O$95,14,FALSE),0)</f>
        <v>0</v>
      </c>
      <c r="V1117" s="1144">
        <f>IFERROR(VLOOKUP(CONCATENATE($E1117,$G1117),'LAC 103'!$A$12:$O$95,15,FALSE),0)</f>
        <v>0</v>
      </c>
      <c r="W1117" s="1145" t="str">
        <f>IFERROR(VLOOKUP(CONCATENATE($B1117,$N1117),'LAC 103'!$AI:$AQ,9,FALSE),"")</f>
        <v>Costs</v>
      </c>
      <c r="X1117" s="1146">
        <f t="shared" si="312"/>
        <v>3.207410103388435</v>
      </c>
      <c r="Y1117" s="1143">
        <f t="shared" si="323"/>
        <v>558.08935798958771</v>
      </c>
      <c r="Z1117" s="1147">
        <f t="shared" si="313"/>
        <v>694.26</v>
      </c>
      <c r="AA1117" s="1144">
        <f t="shared" si="314"/>
        <v>431.52</v>
      </c>
      <c r="AB1117" s="1144">
        <f t="shared" si="315"/>
        <v>0</v>
      </c>
      <c r="AC1117" s="1144">
        <f t="shared" si="316"/>
        <v>0</v>
      </c>
      <c r="AD1117" s="1148">
        <f t="shared" si="308"/>
        <v>558.08935798958771</v>
      </c>
      <c r="AE1117" s="1487">
        <v>0</v>
      </c>
      <c r="AF1117" s="1145">
        <f t="shared" si="317"/>
        <v>558.08935798958771</v>
      </c>
      <c r="AG1117" s="1149">
        <f>IFERROR(VLOOKUP(CONCATENATE($L1117,$N1117),'Drop List'!$G$23:$K$87,2,FALSE),0)</f>
        <v>0</v>
      </c>
      <c r="AH1117" s="1150">
        <f>IFERROR(VLOOKUP(CONCATENATE($L1117,$N1117),'Drop List'!$G$23:$K$87,3,FALSE),0)</f>
        <v>0</v>
      </c>
      <c r="AI1117" s="1150">
        <f>IFERROR(VLOOKUP(CONCATENATE($L1117,$N1117),'Drop List'!$G$23:$K$87,4,FALSE),0)</f>
        <v>0</v>
      </c>
      <c r="AJ1117" s="1151">
        <f>IFERROR(VLOOKUP(CONCATENATE($L1117,$N1117),'Drop List'!$G$23:$K$87,5,FALSE),0)</f>
        <v>0</v>
      </c>
      <c r="AK1117" s="1152">
        <f t="shared" si="318"/>
        <v>0</v>
      </c>
      <c r="AL1117" s="1153">
        <f t="shared" si="319"/>
        <v>0</v>
      </c>
      <c r="AM1117" s="1153">
        <f t="shared" si="320"/>
        <v>0</v>
      </c>
      <c r="AN1117" s="1145">
        <f t="shared" si="321"/>
        <v>0</v>
      </c>
      <c r="AO1117" s="1154">
        <f t="shared" si="322"/>
        <v>0</v>
      </c>
      <c r="AP1117" s="1147">
        <f t="shared" si="309"/>
        <v>558.08935798958771</v>
      </c>
      <c r="AQ1117" s="1144">
        <f t="shared" si="310"/>
        <v>0</v>
      </c>
      <c r="AR1117" s="1146">
        <f t="shared" si="311"/>
        <v>558.08935798958771</v>
      </c>
    </row>
    <row r="1118" spans="1:44" x14ac:dyDescent="0.2">
      <c r="A1118" s="1141" t="str">
        <f t="shared" si="324"/>
        <v>1552</v>
      </c>
      <c r="B1118" s="1141" t="str">
        <f>IFERROR(VLOOKUP(A1118,'LAC 103'!A:C,3,FALSE),"")</f>
        <v>OP</v>
      </c>
      <c r="C1118" s="1478" t="str">
        <f>Info!$B$8</f>
        <v>00100</v>
      </c>
      <c r="D1118" s="1474" t="s">
        <v>256</v>
      </c>
      <c r="E1118" s="1474" t="s">
        <v>95</v>
      </c>
      <c r="F1118" s="1478" t="s">
        <v>412</v>
      </c>
      <c r="G1118" s="1478" t="s">
        <v>412</v>
      </c>
      <c r="H1118" s="1474" t="s">
        <v>1091</v>
      </c>
      <c r="I1118" s="1478" t="s">
        <v>815</v>
      </c>
      <c r="J1118" s="1478"/>
      <c r="K1118" s="1475" t="s">
        <v>1654</v>
      </c>
      <c r="L1118" s="1474" t="s">
        <v>332</v>
      </c>
      <c r="M1118" s="1476" t="s">
        <v>840</v>
      </c>
      <c r="N1118" s="1477" t="s">
        <v>1700</v>
      </c>
      <c r="O1118" s="1479">
        <v>145</v>
      </c>
      <c r="P1118" s="1479"/>
      <c r="Q1118" s="1142">
        <f t="shared" si="307"/>
        <v>145</v>
      </c>
      <c r="R1118" s="1143">
        <f>IFERROR(VLOOKUP(CONCATENATE(E1118,G1118),'LAC 103'!$A$12:$O$95,11,FALSE),0)</f>
        <v>3.207410103388435</v>
      </c>
      <c r="S1118" s="1144">
        <f>IFERROR(VLOOKUP(CONCATENATE($E1118,$G1118),'LAC 103'!$A$12:$O$95,12,FALSE),0)</f>
        <v>3.99</v>
      </c>
      <c r="T1118" s="1144">
        <f>IFERROR(VLOOKUP(CONCATENATE($E1118,$G1118),'LAC 103'!$A$12:$O$95,13,FALSE),0)</f>
        <v>2.48</v>
      </c>
      <c r="U1118" s="1144">
        <f>IFERROR(VLOOKUP(CONCATENATE($E1118,$G1118),'LAC 103'!$A$12:$O$95,14,FALSE),0)</f>
        <v>0</v>
      </c>
      <c r="V1118" s="1144">
        <f>IFERROR(VLOOKUP(CONCATENATE($E1118,$G1118),'LAC 103'!$A$12:$O$95,15,FALSE),0)</f>
        <v>0</v>
      </c>
      <c r="W1118" s="1145" t="str">
        <f>IFERROR(VLOOKUP(CONCATENATE($B1118,$N1118),'LAC 103'!$AI:$AQ,9,FALSE),"")</f>
        <v>P.C.</v>
      </c>
      <c r="X1118" s="1146">
        <f t="shared" si="312"/>
        <v>2.48</v>
      </c>
      <c r="Y1118" s="1143">
        <f t="shared" si="323"/>
        <v>465.07446499132305</v>
      </c>
      <c r="Z1118" s="1147">
        <f t="shared" si="313"/>
        <v>578.55000000000007</v>
      </c>
      <c r="AA1118" s="1144">
        <f t="shared" si="314"/>
        <v>359.6</v>
      </c>
      <c r="AB1118" s="1144">
        <f t="shared" si="315"/>
        <v>0</v>
      </c>
      <c r="AC1118" s="1144">
        <f t="shared" si="316"/>
        <v>0</v>
      </c>
      <c r="AD1118" s="1148">
        <f t="shared" si="308"/>
        <v>359.6</v>
      </c>
      <c r="AE1118" s="1487">
        <v>0</v>
      </c>
      <c r="AF1118" s="1145">
        <f t="shared" si="317"/>
        <v>359.6</v>
      </c>
      <c r="AG1118" s="1149">
        <f>IFERROR(VLOOKUP(CONCATENATE($L1118,$N1118),'Drop List'!$G$23:$K$87,2,FALSE),0)</f>
        <v>0</v>
      </c>
      <c r="AH1118" s="1150">
        <f>IFERROR(VLOOKUP(CONCATENATE($L1118,$N1118),'Drop List'!$G$23:$K$87,3,FALSE),0)</f>
        <v>0</v>
      </c>
      <c r="AI1118" s="1150">
        <f>IFERROR(VLOOKUP(CONCATENATE($L1118,$N1118),'Drop List'!$G$23:$K$87,4,FALSE),0)</f>
        <v>0</v>
      </c>
      <c r="AJ1118" s="1151">
        <f>IFERROR(VLOOKUP(CONCATENATE($L1118,$N1118),'Drop List'!$G$23:$K$87,5,FALSE),0)</f>
        <v>0</v>
      </c>
      <c r="AK1118" s="1152">
        <f t="shared" si="318"/>
        <v>0</v>
      </c>
      <c r="AL1118" s="1153">
        <f t="shared" si="319"/>
        <v>0</v>
      </c>
      <c r="AM1118" s="1153">
        <f t="shared" si="320"/>
        <v>0</v>
      </c>
      <c r="AN1118" s="1145">
        <f t="shared" si="321"/>
        <v>0</v>
      </c>
      <c r="AO1118" s="1154">
        <f t="shared" si="322"/>
        <v>0</v>
      </c>
      <c r="AP1118" s="1147">
        <f t="shared" si="309"/>
        <v>359.6</v>
      </c>
      <c r="AQ1118" s="1144">
        <f t="shared" si="310"/>
        <v>0</v>
      </c>
      <c r="AR1118" s="1146">
        <f t="shared" si="311"/>
        <v>359.6</v>
      </c>
    </row>
    <row r="1119" spans="1:44" x14ac:dyDescent="0.2">
      <c r="A1119" s="1141" t="str">
        <f t="shared" si="324"/>
        <v>1552</v>
      </c>
      <c r="B1119" s="1141" t="str">
        <f>IFERROR(VLOOKUP(A1119,'LAC 103'!A:C,3,FALSE),"")</f>
        <v>OP</v>
      </c>
      <c r="C1119" s="1478" t="str">
        <f>Info!$B$8</f>
        <v>00100</v>
      </c>
      <c r="D1119" s="1474" t="s">
        <v>256</v>
      </c>
      <c r="E1119" s="1474" t="s">
        <v>95</v>
      </c>
      <c r="F1119" s="1478" t="s">
        <v>412</v>
      </c>
      <c r="G1119" s="1478" t="s">
        <v>412</v>
      </c>
      <c r="H1119" s="1474" t="s">
        <v>1091</v>
      </c>
      <c r="I1119" s="1478" t="s">
        <v>815</v>
      </c>
      <c r="J1119" s="1478"/>
      <c r="K1119" s="1475" t="s">
        <v>847</v>
      </c>
      <c r="L1119" s="1474" t="s">
        <v>582</v>
      </c>
      <c r="M1119" s="1476" t="s">
        <v>1699</v>
      </c>
      <c r="N1119" s="1477" t="s">
        <v>1694</v>
      </c>
      <c r="O1119" s="1479">
        <v>10618</v>
      </c>
      <c r="P1119" s="1479"/>
      <c r="Q1119" s="1142">
        <f t="shared" si="307"/>
        <v>10618</v>
      </c>
      <c r="R1119" s="1143">
        <f>IFERROR(VLOOKUP(CONCATENATE(E1119,G1119),'LAC 103'!$A$12:$O$95,11,FALSE),0)</f>
        <v>3.207410103388435</v>
      </c>
      <c r="S1119" s="1144">
        <f>IFERROR(VLOOKUP(CONCATENATE($E1119,$G1119),'LAC 103'!$A$12:$O$95,12,FALSE),0)</f>
        <v>3.99</v>
      </c>
      <c r="T1119" s="1144">
        <f>IFERROR(VLOOKUP(CONCATENATE($E1119,$G1119),'LAC 103'!$A$12:$O$95,13,FALSE),0)</f>
        <v>2.48</v>
      </c>
      <c r="U1119" s="1144">
        <f>IFERROR(VLOOKUP(CONCATENATE($E1119,$G1119),'LAC 103'!$A$12:$O$95,14,FALSE),0)</f>
        <v>0</v>
      </c>
      <c r="V1119" s="1144">
        <f>IFERROR(VLOOKUP(CONCATENATE($E1119,$G1119),'LAC 103'!$A$12:$O$95,15,FALSE),0)</f>
        <v>0</v>
      </c>
      <c r="W1119" s="1145" t="str">
        <f>IFERROR(VLOOKUP(CONCATENATE($B1119,$N1119),'LAC 103'!$AI:$AQ,9,FALSE),"")</f>
        <v>Costs</v>
      </c>
      <c r="X1119" s="1146">
        <f t="shared" si="312"/>
        <v>3.207410103388435</v>
      </c>
      <c r="Y1119" s="1143">
        <f t="shared" si="323"/>
        <v>34056.280477778404</v>
      </c>
      <c r="Z1119" s="1147">
        <f t="shared" si="313"/>
        <v>42365.82</v>
      </c>
      <c r="AA1119" s="1144">
        <f t="shared" si="314"/>
        <v>26332.639999999999</v>
      </c>
      <c r="AB1119" s="1144">
        <f t="shared" si="315"/>
        <v>0</v>
      </c>
      <c r="AC1119" s="1144">
        <f t="shared" si="316"/>
        <v>0</v>
      </c>
      <c r="AD1119" s="1148">
        <f t="shared" si="308"/>
        <v>34056.280477778404</v>
      </c>
      <c r="AE1119" s="1487">
        <v>0</v>
      </c>
      <c r="AF1119" s="1145">
        <f t="shared" si="317"/>
        <v>34056.280477778404</v>
      </c>
      <c r="AG1119" s="1149">
        <f>IFERROR(VLOOKUP(CONCATENATE($L1119,$N1119),'Drop List'!$G$23:$K$87,2,FALSE),0)</f>
        <v>0.56200000000000006</v>
      </c>
      <c r="AH1119" s="1150">
        <f>IFERROR(VLOOKUP(CONCATENATE($L1119,$N1119),'Drop List'!$G$23:$K$87,3,FALSE),0)</f>
        <v>0.43799999999999994</v>
      </c>
      <c r="AI1119" s="1150">
        <f>IFERROR(VLOOKUP(CONCATENATE($L1119,$N1119),'Drop List'!$G$23:$K$87,4,FALSE),0)</f>
        <v>0</v>
      </c>
      <c r="AJ1119" s="1151">
        <f>IFERROR(VLOOKUP(CONCATENATE($L1119,$N1119),'Drop List'!$G$23:$K$87,5,FALSE),0)</f>
        <v>0</v>
      </c>
      <c r="AK1119" s="1152">
        <f t="shared" si="318"/>
        <v>19139.629628511466</v>
      </c>
      <c r="AL1119" s="1153">
        <f t="shared" si="319"/>
        <v>14916.65084926694</v>
      </c>
      <c r="AM1119" s="1153">
        <f t="shared" si="320"/>
        <v>0</v>
      </c>
      <c r="AN1119" s="1145">
        <f t="shared" si="321"/>
        <v>0</v>
      </c>
      <c r="AO1119" s="1154">
        <f t="shared" si="322"/>
        <v>34056.280477778404</v>
      </c>
      <c r="AP1119" s="1147">
        <f t="shared" si="309"/>
        <v>0</v>
      </c>
      <c r="AQ1119" s="1144">
        <f t="shared" si="310"/>
        <v>0</v>
      </c>
      <c r="AR1119" s="1146">
        <f t="shared" si="311"/>
        <v>34056.280477778404</v>
      </c>
    </row>
    <row r="1120" spans="1:44" x14ac:dyDescent="0.2">
      <c r="A1120" s="1141" t="str">
        <f t="shared" si="324"/>
        <v>1552</v>
      </c>
      <c r="B1120" s="1141" t="str">
        <f>IFERROR(VLOOKUP(A1120,'LAC 103'!A:C,3,FALSE),"")</f>
        <v>OP</v>
      </c>
      <c r="C1120" s="1478" t="str">
        <f>Info!$B$8</f>
        <v>00100</v>
      </c>
      <c r="D1120" s="1474" t="s">
        <v>256</v>
      </c>
      <c r="E1120" s="1474" t="s">
        <v>95</v>
      </c>
      <c r="F1120" s="1478" t="s">
        <v>412</v>
      </c>
      <c r="G1120" s="1478" t="s">
        <v>412</v>
      </c>
      <c r="H1120" s="1474" t="s">
        <v>1091</v>
      </c>
      <c r="I1120" s="1478" t="s">
        <v>815</v>
      </c>
      <c r="J1120" s="1478"/>
      <c r="K1120" s="1475" t="s">
        <v>847</v>
      </c>
      <c r="L1120" s="1474" t="s">
        <v>582</v>
      </c>
      <c r="M1120" s="1476" t="s">
        <v>841</v>
      </c>
      <c r="N1120" s="1477" t="s">
        <v>1695</v>
      </c>
      <c r="O1120" s="1479">
        <v>3881</v>
      </c>
      <c r="P1120" s="1479"/>
      <c r="Q1120" s="1142">
        <f t="shared" si="307"/>
        <v>3881</v>
      </c>
      <c r="R1120" s="1143">
        <f>IFERROR(VLOOKUP(CONCATENATE(E1120,G1120),'LAC 103'!$A$12:$O$95,11,FALSE),0)</f>
        <v>3.207410103388435</v>
      </c>
      <c r="S1120" s="1144">
        <f>IFERROR(VLOOKUP(CONCATENATE($E1120,$G1120),'LAC 103'!$A$12:$O$95,12,FALSE),0)</f>
        <v>3.99</v>
      </c>
      <c r="T1120" s="1144">
        <f>IFERROR(VLOOKUP(CONCATENATE($E1120,$G1120),'LAC 103'!$A$12:$O$95,13,FALSE),0)</f>
        <v>2.48</v>
      </c>
      <c r="U1120" s="1144">
        <f>IFERROR(VLOOKUP(CONCATENATE($E1120,$G1120),'LAC 103'!$A$12:$O$95,14,FALSE),0)</f>
        <v>0</v>
      </c>
      <c r="V1120" s="1144">
        <f>IFERROR(VLOOKUP(CONCATENATE($E1120,$G1120),'LAC 103'!$A$12:$O$95,15,FALSE),0)</f>
        <v>0</v>
      </c>
      <c r="W1120" s="1145" t="str">
        <f>IFERROR(VLOOKUP(CONCATENATE($B1120,$N1120),'LAC 103'!$AI:$AQ,9,FALSE),"")</f>
        <v>Costs</v>
      </c>
      <c r="X1120" s="1146">
        <f t="shared" si="312"/>
        <v>3.207410103388435</v>
      </c>
      <c r="Y1120" s="1143">
        <f t="shared" si="323"/>
        <v>12447.958611250517</v>
      </c>
      <c r="Z1120" s="1147">
        <f t="shared" si="313"/>
        <v>15485.19</v>
      </c>
      <c r="AA1120" s="1144">
        <f t="shared" si="314"/>
        <v>9624.8799999999992</v>
      </c>
      <c r="AB1120" s="1144">
        <f t="shared" si="315"/>
        <v>0</v>
      </c>
      <c r="AC1120" s="1144">
        <f t="shared" si="316"/>
        <v>0</v>
      </c>
      <c r="AD1120" s="1148">
        <f t="shared" si="308"/>
        <v>12447.958611250517</v>
      </c>
      <c r="AE1120" s="1487">
        <v>0</v>
      </c>
      <c r="AF1120" s="1145">
        <f t="shared" si="317"/>
        <v>12447.958611250517</v>
      </c>
      <c r="AG1120" s="1149">
        <f>IFERROR(VLOOKUP(CONCATENATE($L1120,$N1120),'Drop List'!$G$23:$K$87,2,FALSE),0)</f>
        <v>0.55000000000000004</v>
      </c>
      <c r="AH1120" s="1150">
        <f>IFERROR(VLOOKUP(CONCATENATE($L1120,$N1120),'Drop List'!$G$23:$K$87,3,FALSE),0)</f>
        <v>0.44999999999999996</v>
      </c>
      <c r="AI1120" s="1150">
        <f>IFERROR(VLOOKUP(CONCATENATE($L1120,$N1120),'Drop List'!$G$23:$K$87,4,FALSE),0)</f>
        <v>0</v>
      </c>
      <c r="AJ1120" s="1151">
        <f>IFERROR(VLOOKUP(CONCATENATE($L1120,$N1120),'Drop List'!$G$23:$K$87,5,FALSE),0)</f>
        <v>0</v>
      </c>
      <c r="AK1120" s="1152">
        <f t="shared" si="318"/>
        <v>6846.3772361877845</v>
      </c>
      <c r="AL1120" s="1153">
        <f t="shared" si="319"/>
        <v>5601.5813750627321</v>
      </c>
      <c r="AM1120" s="1153">
        <f t="shared" si="320"/>
        <v>0</v>
      </c>
      <c r="AN1120" s="1145">
        <f t="shared" si="321"/>
        <v>0</v>
      </c>
      <c r="AO1120" s="1154">
        <f t="shared" si="322"/>
        <v>12447.958611250517</v>
      </c>
      <c r="AP1120" s="1147">
        <f t="shared" si="309"/>
        <v>0</v>
      </c>
      <c r="AQ1120" s="1144">
        <f t="shared" si="310"/>
        <v>0</v>
      </c>
      <c r="AR1120" s="1146">
        <f t="shared" si="311"/>
        <v>12447.958611250517</v>
      </c>
    </row>
    <row r="1121" spans="1:44" x14ac:dyDescent="0.2">
      <c r="A1121" s="1141" t="str">
        <f t="shared" si="324"/>
        <v>1552</v>
      </c>
      <c r="B1121" s="1141" t="str">
        <f>IFERROR(VLOOKUP(A1121,'LAC 103'!A:C,3,FALSE),"")</f>
        <v>OP</v>
      </c>
      <c r="C1121" s="1478" t="str">
        <f>Info!$B$8</f>
        <v>00100</v>
      </c>
      <c r="D1121" s="1474" t="s">
        <v>256</v>
      </c>
      <c r="E1121" s="1474" t="s">
        <v>95</v>
      </c>
      <c r="F1121" s="1478" t="s">
        <v>412</v>
      </c>
      <c r="G1121" s="1478" t="s">
        <v>412</v>
      </c>
      <c r="H1121" s="1474" t="s">
        <v>1091</v>
      </c>
      <c r="I1121" s="1478" t="s">
        <v>815</v>
      </c>
      <c r="J1121" s="1478"/>
      <c r="K1121" s="1475" t="s">
        <v>847</v>
      </c>
      <c r="L1121" s="1474" t="s">
        <v>582</v>
      </c>
      <c r="M1121" s="1476" t="s">
        <v>840</v>
      </c>
      <c r="N1121" s="1477" t="s">
        <v>1700</v>
      </c>
      <c r="O1121" s="1479">
        <v>3286</v>
      </c>
      <c r="P1121" s="1479"/>
      <c r="Q1121" s="1142">
        <f t="shared" si="307"/>
        <v>3286</v>
      </c>
      <c r="R1121" s="1143">
        <f>IFERROR(VLOOKUP(CONCATENATE(E1121,G1121),'LAC 103'!$A$12:$O$95,11,FALSE),0)</f>
        <v>3.207410103388435</v>
      </c>
      <c r="S1121" s="1144">
        <f>IFERROR(VLOOKUP(CONCATENATE($E1121,$G1121),'LAC 103'!$A$12:$O$95,12,FALSE),0)</f>
        <v>3.99</v>
      </c>
      <c r="T1121" s="1144">
        <f>IFERROR(VLOOKUP(CONCATENATE($E1121,$G1121),'LAC 103'!$A$12:$O$95,13,FALSE),0)</f>
        <v>2.48</v>
      </c>
      <c r="U1121" s="1144">
        <f>IFERROR(VLOOKUP(CONCATENATE($E1121,$G1121),'LAC 103'!$A$12:$O$95,14,FALSE),0)</f>
        <v>0</v>
      </c>
      <c r="V1121" s="1144">
        <f>IFERROR(VLOOKUP(CONCATENATE($E1121,$G1121),'LAC 103'!$A$12:$O$95,15,FALSE),0)</f>
        <v>0</v>
      </c>
      <c r="W1121" s="1145" t="str">
        <f>IFERROR(VLOOKUP(CONCATENATE($B1121,$N1121),'LAC 103'!$AI:$AQ,9,FALSE),"")</f>
        <v>P.C.</v>
      </c>
      <c r="X1121" s="1146">
        <f t="shared" si="312"/>
        <v>2.48</v>
      </c>
      <c r="Y1121" s="1143">
        <f t="shared" si="323"/>
        <v>10539.549599734397</v>
      </c>
      <c r="Z1121" s="1147">
        <f t="shared" si="313"/>
        <v>13111.140000000001</v>
      </c>
      <c r="AA1121" s="1144">
        <f t="shared" si="314"/>
        <v>8149.28</v>
      </c>
      <c r="AB1121" s="1144">
        <f t="shared" si="315"/>
        <v>0</v>
      </c>
      <c r="AC1121" s="1144">
        <f t="shared" si="316"/>
        <v>0</v>
      </c>
      <c r="AD1121" s="1148">
        <f t="shared" si="308"/>
        <v>8149.28</v>
      </c>
      <c r="AE1121" s="1487">
        <v>0</v>
      </c>
      <c r="AF1121" s="1145">
        <f t="shared" si="317"/>
        <v>8149.28</v>
      </c>
      <c r="AG1121" s="1149">
        <f>IFERROR(VLOOKUP(CONCATENATE($L1121,$N1121),'Drop List'!$G$23:$K$87,2,FALSE),0)</f>
        <v>0.55000000000000004</v>
      </c>
      <c r="AH1121" s="1150">
        <f>IFERROR(VLOOKUP(CONCATENATE($L1121,$N1121),'Drop List'!$G$23:$K$87,3,FALSE),0)</f>
        <v>0.44999999999999996</v>
      </c>
      <c r="AI1121" s="1150">
        <f>IFERROR(VLOOKUP(CONCATENATE($L1121,$N1121),'Drop List'!$G$23:$K$87,4,FALSE),0)</f>
        <v>0</v>
      </c>
      <c r="AJ1121" s="1151">
        <f>IFERROR(VLOOKUP(CONCATENATE($L1121,$N1121),'Drop List'!$G$23:$K$87,5,FALSE),0)</f>
        <v>0</v>
      </c>
      <c r="AK1121" s="1152">
        <f t="shared" si="318"/>
        <v>4482.1040000000003</v>
      </c>
      <c r="AL1121" s="1153">
        <f t="shared" si="319"/>
        <v>3667.1759999999995</v>
      </c>
      <c r="AM1121" s="1153">
        <f t="shared" si="320"/>
        <v>0</v>
      </c>
      <c r="AN1121" s="1145">
        <f t="shared" si="321"/>
        <v>0</v>
      </c>
      <c r="AO1121" s="1154">
        <f t="shared" si="322"/>
        <v>8149.28</v>
      </c>
      <c r="AP1121" s="1147">
        <f t="shared" si="309"/>
        <v>0</v>
      </c>
      <c r="AQ1121" s="1144">
        <f t="shared" si="310"/>
        <v>0</v>
      </c>
      <c r="AR1121" s="1146">
        <f t="shared" si="311"/>
        <v>8149.28</v>
      </c>
    </row>
    <row r="1122" spans="1:44" x14ac:dyDescent="0.2">
      <c r="A1122" s="1141" t="str">
        <f t="shared" si="324"/>
        <v>1552</v>
      </c>
      <c r="B1122" s="1141" t="str">
        <f>IFERROR(VLOOKUP(A1122,'LAC 103'!A:C,3,FALSE),"")</f>
        <v>OP</v>
      </c>
      <c r="C1122" s="1478" t="str">
        <f>Info!$B$8</f>
        <v>00100</v>
      </c>
      <c r="D1122" s="1474" t="s">
        <v>256</v>
      </c>
      <c r="E1122" s="1474" t="s">
        <v>95</v>
      </c>
      <c r="F1122" s="1478" t="s">
        <v>412</v>
      </c>
      <c r="G1122" s="1478" t="s">
        <v>412</v>
      </c>
      <c r="H1122" s="1474" t="s">
        <v>1091</v>
      </c>
      <c r="I1122" s="1478" t="s">
        <v>815</v>
      </c>
      <c r="J1122" s="1478"/>
      <c r="K1122" s="1475" t="s">
        <v>847</v>
      </c>
      <c r="L1122" s="1474" t="s">
        <v>582</v>
      </c>
      <c r="M1122" s="1476" t="s">
        <v>842</v>
      </c>
      <c r="N1122" s="1477" t="s">
        <v>1692</v>
      </c>
      <c r="O1122" s="1479">
        <v>4318</v>
      </c>
      <c r="P1122" s="1479"/>
      <c r="Q1122" s="1142">
        <f t="shared" si="307"/>
        <v>4318</v>
      </c>
      <c r="R1122" s="1143">
        <f>IFERROR(VLOOKUP(CONCATENATE(E1122,G1122),'LAC 103'!$A$12:$O$95,11,FALSE),0)</f>
        <v>3.207410103388435</v>
      </c>
      <c r="S1122" s="1144">
        <f>IFERROR(VLOOKUP(CONCATENATE($E1122,$G1122),'LAC 103'!$A$12:$O$95,12,FALSE),0)</f>
        <v>3.99</v>
      </c>
      <c r="T1122" s="1144">
        <f>IFERROR(VLOOKUP(CONCATENATE($E1122,$G1122),'LAC 103'!$A$12:$O$95,13,FALSE),0)</f>
        <v>2.48</v>
      </c>
      <c r="U1122" s="1144">
        <f>IFERROR(VLOOKUP(CONCATENATE($E1122,$G1122),'LAC 103'!$A$12:$O$95,14,FALSE),0)</f>
        <v>0</v>
      </c>
      <c r="V1122" s="1144">
        <f>IFERROR(VLOOKUP(CONCATENATE($E1122,$G1122),'LAC 103'!$A$12:$O$95,15,FALSE),0)</f>
        <v>0</v>
      </c>
      <c r="W1122" s="1145" t="str">
        <f>IFERROR(VLOOKUP(CONCATENATE($B1122,$N1122),'LAC 103'!$AI:$AQ,9,FALSE),"")</f>
        <v>Costs</v>
      </c>
      <c r="X1122" s="1146">
        <f t="shared" si="312"/>
        <v>3.207410103388435</v>
      </c>
      <c r="Y1122" s="1143">
        <f t="shared" si="323"/>
        <v>13849.596826431263</v>
      </c>
      <c r="Z1122" s="1147">
        <f t="shared" si="313"/>
        <v>17228.82</v>
      </c>
      <c r="AA1122" s="1144">
        <f t="shared" si="314"/>
        <v>10708.64</v>
      </c>
      <c r="AB1122" s="1144">
        <f t="shared" si="315"/>
        <v>0</v>
      </c>
      <c r="AC1122" s="1144">
        <f t="shared" si="316"/>
        <v>0</v>
      </c>
      <c r="AD1122" s="1148">
        <f t="shared" si="308"/>
        <v>13849.596826431263</v>
      </c>
      <c r="AE1122" s="1487">
        <v>0</v>
      </c>
      <c r="AF1122" s="1145">
        <f t="shared" si="317"/>
        <v>13849.596826431263</v>
      </c>
      <c r="AG1122" s="1149">
        <f>IFERROR(VLOOKUP(CONCATENATE($L1122,$N1122),'Drop List'!$G$23:$K$87,2,FALSE),0)</f>
        <v>0.56200000000000006</v>
      </c>
      <c r="AH1122" s="1150">
        <f>IFERROR(VLOOKUP(CONCATENATE($L1122,$N1122),'Drop List'!$G$23:$K$87,3,FALSE),0)</f>
        <v>0.43799999999999994</v>
      </c>
      <c r="AI1122" s="1150">
        <f>IFERROR(VLOOKUP(CONCATENATE($L1122,$N1122),'Drop List'!$G$23:$K$87,4,FALSE),0)</f>
        <v>0</v>
      </c>
      <c r="AJ1122" s="1151">
        <f>IFERROR(VLOOKUP(CONCATENATE($L1122,$N1122),'Drop List'!$G$23:$K$87,5,FALSE),0)</f>
        <v>0</v>
      </c>
      <c r="AK1122" s="1152">
        <f t="shared" si="318"/>
        <v>7783.4734164543706</v>
      </c>
      <c r="AL1122" s="1153">
        <f t="shared" si="319"/>
        <v>6066.1234099768926</v>
      </c>
      <c r="AM1122" s="1153">
        <f t="shared" si="320"/>
        <v>0</v>
      </c>
      <c r="AN1122" s="1145">
        <f t="shared" si="321"/>
        <v>0</v>
      </c>
      <c r="AO1122" s="1154">
        <f t="shared" si="322"/>
        <v>13849.596826431263</v>
      </c>
      <c r="AP1122" s="1147">
        <f t="shared" si="309"/>
        <v>0</v>
      </c>
      <c r="AQ1122" s="1144">
        <f t="shared" si="310"/>
        <v>0</v>
      </c>
      <c r="AR1122" s="1146">
        <f t="shared" si="311"/>
        <v>13849.596826431263</v>
      </c>
    </row>
    <row r="1123" spans="1:44" x14ac:dyDescent="0.2">
      <c r="A1123" s="1141" t="str">
        <f t="shared" si="324"/>
        <v>1552</v>
      </c>
      <c r="B1123" s="1141" t="str">
        <f>IFERROR(VLOOKUP(A1123,'LAC 103'!A:C,3,FALSE),"")</f>
        <v>OP</v>
      </c>
      <c r="C1123" s="1478" t="str">
        <f>Info!$B$8</f>
        <v>00100</v>
      </c>
      <c r="D1123" s="1474" t="s">
        <v>256</v>
      </c>
      <c r="E1123" s="1474" t="s">
        <v>95</v>
      </c>
      <c r="F1123" s="1478" t="s">
        <v>412</v>
      </c>
      <c r="G1123" s="1478" t="s">
        <v>412</v>
      </c>
      <c r="H1123" s="1474" t="s">
        <v>1091</v>
      </c>
      <c r="I1123" s="1478" t="s">
        <v>815</v>
      </c>
      <c r="J1123" s="1478"/>
      <c r="K1123" s="1475" t="s">
        <v>847</v>
      </c>
      <c r="L1123" s="1474" t="s">
        <v>582</v>
      </c>
      <c r="M1123" s="1476" t="s">
        <v>1698</v>
      </c>
      <c r="N1123" s="1477" t="s">
        <v>1693</v>
      </c>
      <c r="O1123" s="1479">
        <v>6875</v>
      </c>
      <c r="P1123" s="1479"/>
      <c r="Q1123" s="1142">
        <f t="shared" si="307"/>
        <v>6875</v>
      </c>
      <c r="R1123" s="1143">
        <f>IFERROR(VLOOKUP(CONCATENATE(E1123,G1123),'LAC 103'!$A$12:$O$95,11,FALSE),0)</f>
        <v>3.207410103388435</v>
      </c>
      <c r="S1123" s="1144">
        <f>IFERROR(VLOOKUP(CONCATENATE($E1123,$G1123),'LAC 103'!$A$12:$O$95,12,FALSE),0)</f>
        <v>3.99</v>
      </c>
      <c r="T1123" s="1144">
        <f>IFERROR(VLOOKUP(CONCATENATE($E1123,$G1123),'LAC 103'!$A$12:$O$95,13,FALSE),0)</f>
        <v>2.48</v>
      </c>
      <c r="U1123" s="1144">
        <f>IFERROR(VLOOKUP(CONCATENATE($E1123,$G1123),'LAC 103'!$A$12:$O$95,14,FALSE),0)</f>
        <v>0</v>
      </c>
      <c r="V1123" s="1144">
        <f>IFERROR(VLOOKUP(CONCATENATE($E1123,$G1123),'LAC 103'!$A$12:$O$95,15,FALSE),0)</f>
        <v>0</v>
      </c>
      <c r="W1123" s="1145" t="str">
        <f>IFERROR(VLOOKUP(CONCATENATE($B1123,$N1123),'LAC 103'!$AI:$AQ,9,FALSE),"")</f>
        <v>Costs</v>
      </c>
      <c r="X1123" s="1146">
        <f t="shared" si="312"/>
        <v>3.207410103388435</v>
      </c>
      <c r="Y1123" s="1143">
        <f t="shared" si="323"/>
        <v>22050.94446079549</v>
      </c>
      <c r="Z1123" s="1147">
        <f t="shared" si="313"/>
        <v>27431.25</v>
      </c>
      <c r="AA1123" s="1144">
        <f t="shared" si="314"/>
        <v>17050</v>
      </c>
      <c r="AB1123" s="1144">
        <f t="shared" si="315"/>
        <v>0</v>
      </c>
      <c r="AC1123" s="1144">
        <f t="shared" si="316"/>
        <v>0</v>
      </c>
      <c r="AD1123" s="1148">
        <f t="shared" si="308"/>
        <v>22050.94446079549</v>
      </c>
      <c r="AE1123" s="1487">
        <v>0</v>
      </c>
      <c r="AF1123" s="1145">
        <f t="shared" si="317"/>
        <v>22050.94446079549</v>
      </c>
      <c r="AG1123" s="1149">
        <f>IFERROR(VLOOKUP(CONCATENATE($L1123,$N1123),'Drop List'!$G$23:$K$87,2,FALSE),0)</f>
        <v>0.56200000000000006</v>
      </c>
      <c r="AH1123" s="1150">
        <f>IFERROR(VLOOKUP(CONCATENATE($L1123,$N1123),'Drop List'!$G$23:$K$87,3,FALSE),0)</f>
        <v>0.43799999999999994</v>
      </c>
      <c r="AI1123" s="1150">
        <f>IFERROR(VLOOKUP(CONCATENATE($L1123,$N1123),'Drop List'!$G$23:$K$87,4,FALSE),0)</f>
        <v>0</v>
      </c>
      <c r="AJ1123" s="1151">
        <f>IFERROR(VLOOKUP(CONCATENATE($L1123,$N1123),'Drop List'!$G$23:$K$87,5,FALSE),0)</f>
        <v>0</v>
      </c>
      <c r="AK1123" s="1152">
        <f t="shared" si="318"/>
        <v>12392.630786967067</v>
      </c>
      <c r="AL1123" s="1153">
        <f t="shared" si="319"/>
        <v>9658.3136738284229</v>
      </c>
      <c r="AM1123" s="1153">
        <f t="shared" si="320"/>
        <v>0</v>
      </c>
      <c r="AN1123" s="1145">
        <f t="shared" si="321"/>
        <v>0</v>
      </c>
      <c r="AO1123" s="1154">
        <f t="shared" si="322"/>
        <v>22050.94446079549</v>
      </c>
      <c r="AP1123" s="1147">
        <f t="shared" si="309"/>
        <v>0</v>
      </c>
      <c r="AQ1123" s="1144">
        <f t="shared" si="310"/>
        <v>0</v>
      </c>
      <c r="AR1123" s="1146">
        <f t="shared" si="311"/>
        <v>22050.94446079549</v>
      </c>
    </row>
    <row r="1124" spans="1:44" x14ac:dyDescent="0.2">
      <c r="A1124" s="1141" t="str">
        <f t="shared" si="324"/>
        <v>1552</v>
      </c>
      <c r="B1124" s="1141" t="str">
        <f>IFERROR(VLOOKUP(A1124,'LAC 103'!A:C,3,FALSE),"")</f>
        <v>OP</v>
      </c>
      <c r="C1124" s="1478" t="str">
        <f>Info!$B$8</f>
        <v>00100</v>
      </c>
      <c r="D1124" s="1474" t="s">
        <v>256</v>
      </c>
      <c r="E1124" s="1474" t="s">
        <v>95</v>
      </c>
      <c r="F1124" s="1478" t="s">
        <v>412</v>
      </c>
      <c r="G1124" s="1478" t="s">
        <v>412</v>
      </c>
      <c r="H1124" s="1474" t="s">
        <v>1091</v>
      </c>
      <c r="I1124" s="1478" t="s">
        <v>815</v>
      </c>
      <c r="J1124" s="1478"/>
      <c r="K1124" s="1475" t="s">
        <v>848</v>
      </c>
      <c r="L1124" s="1474" t="s">
        <v>45</v>
      </c>
      <c r="M1124" s="1476" t="s">
        <v>1699</v>
      </c>
      <c r="N1124" s="1477" t="s">
        <v>1694</v>
      </c>
      <c r="O1124" s="1479">
        <v>2572</v>
      </c>
      <c r="P1124" s="1479"/>
      <c r="Q1124" s="1142">
        <f t="shared" si="307"/>
        <v>2572</v>
      </c>
      <c r="R1124" s="1143">
        <f>IFERROR(VLOOKUP(CONCATENATE(E1124,G1124),'LAC 103'!$A$12:$O$95,11,FALSE),0)</f>
        <v>3.207410103388435</v>
      </c>
      <c r="S1124" s="1144">
        <f>IFERROR(VLOOKUP(CONCATENATE($E1124,$G1124),'LAC 103'!$A$12:$O$95,12,FALSE),0)</f>
        <v>3.99</v>
      </c>
      <c r="T1124" s="1144">
        <f>IFERROR(VLOOKUP(CONCATENATE($E1124,$G1124),'LAC 103'!$A$12:$O$95,13,FALSE),0)</f>
        <v>2.48</v>
      </c>
      <c r="U1124" s="1144">
        <f>IFERROR(VLOOKUP(CONCATENATE($E1124,$G1124),'LAC 103'!$A$12:$O$95,14,FALSE),0)</f>
        <v>0</v>
      </c>
      <c r="V1124" s="1144">
        <f>IFERROR(VLOOKUP(CONCATENATE($E1124,$G1124),'LAC 103'!$A$12:$O$95,15,FALSE),0)</f>
        <v>0</v>
      </c>
      <c r="W1124" s="1145" t="str">
        <f>IFERROR(VLOOKUP(CONCATENATE($B1124,$N1124),'LAC 103'!$AI:$AQ,9,FALSE),"")</f>
        <v>Costs</v>
      </c>
      <c r="X1124" s="1146">
        <f t="shared" si="312"/>
        <v>3.207410103388435</v>
      </c>
      <c r="Y1124" s="1143">
        <f t="shared" si="323"/>
        <v>8249.4587859150542</v>
      </c>
      <c r="Z1124" s="1147">
        <f t="shared" si="313"/>
        <v>10262.280000000001</v>
      </c>
      <c r="AA1124" s="1144">
        <f t="shared" si="314"/>
        <v>6378.56</v>
      </c>
      <c r="AB1124" s="1144">
        <f t="shared" si="315"/>
        <v>0</v>
      </c>
      <c r="AC1124" s="1144">
        <f t="shared" si="316"/>
        <v>0</v>
      </c>
      <c r="AD1124" s="1148">
        <f t="shared" si="308"/>
        <v>8249.4587859150542</v>
      </c>
      <c r="AE1124" s="1487">
        <v>0</v>
      </c>
      <c r="AF1124" s="1145">
        <f t="shared" si="317"/>
        <v>8249.4587859150542</v>
      </c>
      <c r="AG1124" s="1149">
        <f>IFERROR(VLOOKUP(CONCATENATE($L1124,$N1124),'Drop List'!$G$23:$K$87,2,FALSE),0)</f>
        <v>0.69340000000000002</v>
      </c>
      <c r="AH1124" s="1150">
        <f>IFERROR(VLOOKUP(CONCATENATE($L1124,$N1124),'Drop List'!$G$23:$K$87,3,FALSE),0)</f>
        <v>0.30659999999999998</v>
      </c>
      <c r="AI1124" s="1150">
        <f>IFERROR(VLOOKUP(CONCATENATE($L1124,$N1124),'Drop List'!$G$23:$K$87,4,FALSE),0)</f>
        <v>0</v>
      </c>
      <c r="AJ1124" s="1151">
        <f>IFERROR(VLOOKUP(CONCATENATE($L1124,$N1124),'Drop List'!$G$23:$K$87,5,FALSE),0)</f>
        <v>0</v>
      </c>
      <c r="AK1124" s="1152">
        <f t="shared" si="318"/>
        <v>5720.1747221534988</v>
      </c>
      <c r="AL1124" s="1153">
        <f t="shared" si="319"/>
        <v>2529.2840637615554</v>
      </c>
      <c r="AM1124" s="1153">
        <f t="shared" si="320"/>
        <v>0</v>
      </c>
      <c r="AN1124" s="1145">
        <f t="shared" si="321"/>
        <v>0</v>
      </c>
      <c r="AO1124" s="1154">
        <f t="shared" si="322"/>
        <v>8249.4587859150542</v>
      </c>
      <c r="AP1124" s="1147">
        <f t="shared" si="309"/>
        <v>0</v>
      </c>
      <c r="AQ1124" s="1144">
        <f t="shared" si="310"/>
        <v>0</v>
      </c>
      <c r="AR1124" s="1146">
        <f t="shared" si="311"/>
        <v>8249.4587859150542</v>
      </c>
    </row>
    <row r="1125" spans="1:44" x14ac:dyDescent="0.2">
      <c r="A1125" s="1141" t="str">
        <f t="shared" si="324"/>
        <v>1552</v>
      </c>
      <c r="B1125" s="1141" t="str">
        <f>IFERROR(VLOOKUP(A1125,'LAC 103'!A:C,3,FALSE),"")</f>
        <v>OP</v>
      </c>
      <c r="C1125" s="1478" t="str">
        <f>Info!$B$8</f>
        <v>00100</v>
      </c>
      <c r="D1125" s="1474" t="s">
        <v>256</v>
      </c>
      <c r="E1125" s="1474" t="s">
        <v>95</v>
      </c>
      <c r="F1125" s="1478" t="s">
        <v>412</v>
      </c>
      <c r="G1125" s="1478" t="s">
        <v>412</v>
      </c>
      <c r="H1125" s="1474" t="s">
        <v>1091</v>
      </c>
      <c r="I1125" s="1478" t="s">
        <v>815</v>
      </c>
      <c r="J1125" s="1478"/>
      <c r="K1125" s="1475" t="s">
        <v>848</v>
      </c>
      <c r="L1125" s="1474" t="s">
        <v>45</v>
      </c>
      <c r="M1125" s="1476" t="s">
        <v>841</v>
      </c>
      <c r="N1125" s="1477" t="s">
        <v>1695</v>
      </c>
      <c r="O1125" s="1479">
        <v>967</v>
      </c>
      <c r="P1125" s="1479"/>
      <c r="Q1125" s="1142">
        <f t="shared" si="307"/>
        <v>967</v>
      </c>
      <c r="R1125" s="1143">
        <f>IFERROR(VLOOKUP(CONCATENATE(E1125,G1125),'LAC 103'!$A$12:$O$95,11,FALSE),0)</f>
        <v>3.207410103388435</v>
      </c>
      <c r="S1125" s="1144">
        <f>IFERROR(VLOOKUP(CONCATENATE($E1125,$G1125),'LAC 103'!$A$12:$O$95,12,FALSE),0)</f>
        <v>3.99</v>
      </c>
      <c r="T1125" s="1144">
        <f>IFERROR(VLOOKUP(CONCATENATE($E1125,$G1125),'LAC 103'!$A$12:$O$95,13,FALSE),0)</f>
        <v>2.48</v>
      </c>
      <c r="U1125" s="1144">
        <f>IFERROR(VLOOKUP(CONCATENATE($E1125,$G1125),'LAC 103'!$A$12:$O$95,14,FALSE),0)</f>
        <v>0</v>
      </c>
      <c r="V1125" s="1144">
        <f>IFERROR(VLOOKUP(CONCATENATE($E1125,$G1125),'LAC 103'!$A$12:$O$95,15,FALSE),0)</f>
        <v>0</v>
      </c>
      <c r="W1125" s="1145" t="str">
        <f>IFERROR(VLOOKUP(CONCATENATE($B1125,$N1125),'LAC 103'!$AI:$AQ,9,FALSE),"")</f>
        <v>Costs</v>
      </c>
      <c r="X1125" s="1146">
        <f t="shared" si="312"/>
        <v>3.207410103388435</v>
      </c>
      <c r="Y1125" s="1143">
        <f t="shared" si="323"/>
        <v>3101.5655699766166</v>
      </c>
      <c r="Z1125" s="1147">
        <f t="shared" si="313"/>
        <v>3858.3300000000004</v>
      </c>
      <c r="AA1125" s="1144">
        <f t="shared" si="314"/>
        <v>2398.16</v>
      </c>
      <c r="AB1125" s="1144">
        <f t="shared" si="315"/>
        <v>0</v>
      </c>
      <c r="AC1125" s="1144">
        <f t="shared" si="316"/>
        <v>0</v>
      </c>
      <c r="AD1125" s="1148">
        <f t="shared" si="308"/>
        <v>3101.5655699766166</v>
      </c>
      <c r="AE1125" s="1487">
        <v>0</v>
      </c>
      <c r="AF1125" s="1145">
        <f t="shared" si="317"/>
        <v>3101.5655699766166</v>
      </c>
      <c r="AG1125" s="1149">
        <f>IFERROR(VLOOKUP(CONCATENATE($L1125,$N1125),'Drop List'!$G$23:$K$87,2,FALSE),0)</f>
        <v>0.68500000000000005</v>
      </c>
      <c r="AH1125" s="1150">
        <f>IFERROR(VLOOKUP(CONCATENATE($L1125,$N1125),'Drop List'!$G$23:$K$87,3,FALSE),0)</f>
        <v>0.31499999999999995</v>
      </c>
      <c r="AI1125" s="1150">
        <f>IFERROR(VLOOKUP(CONCATENATE($L1125,$N1125),'Drop List'!$G$23:$K$87,4,FALSE),0)</f>
        <v>0</v>
      </c>
      <c r="AJ1125" s="1151">
        <f>IFERROR(VLOOKUP(CONCATENATE($L1125,$N1125),'Drop List'!$G$23:$K$87,5,FALSE),0)</f>
        <v>0</v>
      </c>
      <c r="AK1125" s="1152">
        <f t="shared" si="318"/>
        <v>2124.5724154339828</v>
      </c>
      <c r="AL1125" s="1153">
        <f t="shared" si="319"/>
        <v>976.9931545426341</v>
      </c>
      <c r="AM1125" s="1153">
        <f t="shared" si="320"/>
        <v>0</v>
      </c>
      <c r="AN1125" s="1145">
        <f t="shared" si="321"/>
        <v>0</v>
      </c>
      <c r="AO1125" s="1154">
        <f t="shared" si="322"/>
        <v>3101.5655699766166</v>
      </c>
      <c r="AP1125" s="1147">
        <f t="shared" si="309"/>
        <v>0</v>
      </c>
      <c r="AQ1125" s="1144">
        <f t="shared" si="310"/>
        <v>0</v>
      </c>
      <c r="AR1125" s="1146">
        <f t="shared" si="311"/>
        <v>3101.5655699766166</v>
      </c>
    </row>
    <row r="1126" spans="1:44" x14ac:dyDescent="0.2">
      <c r="A1126" s="1141" t="str">
        <f t="shared" si="324"/>
        <v>1552</v>
      </c>
      <c r="B1126" s="1141" t="str">
        <f>IFERROR(VLOOKUP(A1126,'LAC 103'!A:C,3,FALSE),"")</f>
        <v>OP</v>
      </c>
      <c r="C1126" s="1478" t="str">
        <f>Info!$B$8</f>
        <v>00100</v>
      </c>
      <c r="D1126" s="1474" t="s">
        <v>256</v>
      </c>
      <c r="E1126" s="1474" t="s">
        <v>95</v>
      </c>
      <c r="F1126" s="1478" t="s">
        <v>412</v>
      </c>
      <c r="G1126" s="1478" t="s">
        <v>412</v>
      </c>
      <c r="H1126" s="1474" t="s">
        <v>1091</v>
      </c>
      <c r="I1126" s="1478" t="s">
        <v>815</v>
      </c>
      <c r="J1126" s="1478"/>
      <c r="K1126" s="1475" t="s">
        <v>848</v>
      </c>
      <c r="L1126" s="1474" t="s">
        <v>45</v>
      </c>
      <c r="M1126" s="1476" t="s">
        <v>840</v>
      </c>
      <c r="N1126" s="1477" t="s">
        <v>1700</v>
      </c>
      <c r="O1126" s="1479">
        <v>933</v>
      </c>
      <c r="P1126" s="1479"/>
      <c r="Q1126" s="1142">
        <f t="shared" si="307"/>
        <v>933</v>
      </c>
      <c r="R1126" s="1143">
        <f>IFERROR(VLOOKUP(CONCATENATE(E1126,G1126),'LAC 103'!$A$12:$O$95,11,FALSE),0)</f>
        <v>3.207410103388435</v>
      </c>
      <c r="S1126" s="1144">
        <f>IFERROR(VLOOKUP(CONCATENATE($E1126,$G1126),'LAC 103'!$A$12:$O$95,12,FALSE),0)</f>
        <v>3.99</v>
      </c>
      <c r="T1126" s="1144">
        <f>IFERROR(VLOOKUP(CONCATENATE($E1126,$G1126),'LAC 103'!$A$12:$O$95,13,FALSE),0)</f>
        <v>2.48</v>
      </c>
      <c r="U1126" s="1144">
        <f>IFERROR(VLOOKUP(CONCATENATE($E1126,$G1126),'LAC 103'!$A$12:$O$95,14,FALSE),0)</f>
        <v>0</v>
      </c>
      <c r="V1126" s="1144">
        <f>IFERROR(VLOOKUP(CONCATENATE($E1126,$G1126),'LAC 103'!$A$12:$O$95,15,FALSE),0)</f>
        <v>0</v>
      </c>
      <c r="W1126" s="1145" t="str">
        <f>IFERROR(VLOOKUP(CONCATENATE($B1126,$N1126),'LAC 103'!$AI:$AQ,9,FALSE),"")</f>
        <v>P.C.</v>
      </c>
      <c r="X1126" s="1146">
        <f t="shared" si="312"/>
        <v>2.48</v>
      </c>
      <c r="Y1126" s="1143">
        <f t="shared" si="323"/>
        <v>2992.5136264614098</v>
      </c>
      <c r="Z1126" s="1147">
        <f t="shared" si="313"/>
        <v>3722.67</v>
      </c>
      <c r="AA1126" s="1144">
        <f t="shared" si="314"/>
        <v>2313.84</v>
      </c>
      <c r="AB1126" s="1144">
        <f t="shared" si="315"/>
        <v>0</v>
      </c>
      <c r="AC1126" s="1144">
        <f t="shared" si="316"/>
        <v>0</v>
      </c>
      <c r="AD1126" s="1148">
        <f t="shared" si="308"/>
        <v>2313.84</v>
      </c>
      <c r="AE1126" s="1487">
        <v>0</v>
      </c>
      <c r="AF1126" s="1145">
        <f t="shared" si="317"/>
        <v>2313.84</v>
      </c>
      <c r="AG1126" s="1149">
        <f>IFERROR(VLOOKUP(CONCATENATE($L1126,$N1126),'Drop List'!$G$23:$K$87,2,FALSE),0)</f>
        <v>0.68500000000000005</v>
      </c>
      <c r="AH1126" s="1150">
        <f>IFERROR(VLOOKUP(CONCATENATE($L1126,$N1126),'Drop List'!$G$23:$K$87,3,FALSE),0)</f>
        <v>0.31499999999999995</v>
      </c>
      <c r="AI1126" s="1150">
        <f>IFERROR(VLOOKUP(CONCATENATE($L1126,$N1126),'Drop List'!$G$23:$K$87,4,FALSE),0)</f>
        <v>0</v>
      </c>
      <c r="AJ1126" s="1151">
        <f>IFERROR(VLOOKUP(CONCATENATE($L1126,$N1126),'Drop List'!$G$23:$K$87,5,FALSE),0)</f>
        <v>0</v>
      </c>
      <c r="AK1126" s="1152">
        <f t="shared" si="318"/>
        <v>1584.9804000000001</v>
      </c>
      <c r="AL1126" s="1153">
        <f t="shared" si="319"/>
        <v>728.85959999999989</v>
      </c>
      <c r="AM1126" s="1153">
        <f t="shared" si="320"/>
        <v>0</v>
      </c>
      <c r="AN1126" s="1145">
        <f t="shared" si="321"/>
        <v>0</v>
      </c>
      <c r="AO1126" s="1154">
        <f t="shared" si="322"/>
        <v>2313.84</v>
      </c>
      <c r="AP1126" s="1147">
        <f t="shared" si="309"/>
        <v>0</v>
      </c>
      <c r="AQ1126" s="1144">
        <f t="shared" si="310"/>
        <v>0</v>
      </c>
      <c r="AR1126" s="1146">
        <f t="shared" si="311"/>
        <v>2313.84</v>
      </c>
    </row>
    <row r="1127" spans="1:44" x14ac:dyDescent="0.2">
      <c r="A1127" s="1141" t="str">
        <f t="shared" si="324"/>
        <v>1552</v>
      </c>
      <c r="B1127" s="1141" t="str">
        <f>IFERROR(VLOOKUP(A1127,'LAC 103'!A:C,3,FALSE),"")</f>
        <v>OP</v>
      </c>
      <c r="C1127" s="1478" t="str">
        <f>Info!$B$8</f>
        <v>00100</v>
      </c>
      <c r="D1127" s="1474" t="s">
        <v>256</v>
      </c>
      <c r="E1127" s="1474" t="s">
        <v>95</v>
      </c>
      <c r="F1127" s="1478" t="s">
        <v>412</v>
      </c>
      <c r="G1127" s="1478" t="s">
        <v>412</v>
      </c>
      <c r="H1127" s="1474" t="s">
        <v>1091</v>
      </c>
      <c r="I1127" s="1478" t="s">
        <v>815</v>
      </c>
      <c r="J1127" s="1478"/>
      <c r="K1127" s="1475" t="s">
        <v>848</v>
      </c>
      <c r="L1127" s="1474" t="s">
        <v>45</v>
      </c>
      <c r="M1127" s="1476" t="s">
        <v>842</v>
      </c>
      <c r="N1127" s="1477" t="s">
        <v>1692</v>
      </c>
      <c r="O1127" s="1479">
        <v>1327</v>
      </c>
      <c r="P1127" s="1479"/>
      <c r="Q1127" s="1142">
        <f t="shared" si="307"/>
        <v>1327</v>
      </c>
      <c r="R1127" s="1143">
        <f>IFERROR(VLOOKUP(CONCATENATE(E1127,G1127),'LAC 103'!$A$12:$O$95,11,FALSE),0)</f>
        <v>3.207410103388435</v>
      </c>
      <c r="S1127" s="1144">
        <f>IFERROR(VLOOKUP(CONCATENATE($E1127,$G1127),'LAC 103'!$A$12:$O$95,12,FALSE),0)</f>
        <v>3.99</v>
      </c>
      <c r="T1127" s="1144">
        <f>IFERROR(VLOOKUP(CONCATENATE($E1127,$G1127),'LAC 103'!$A$12:$O$95,13,FALSE),0)</f>
        <v>2.48</v>
      </c>
      <c r="U1127" s="1144">
        <f>IFERROR(VLOOKUP(CONCATENATE($E1127,$G1127),'LAC 103'!$A$12:$O$95,14,FALSE),0)</f>
        <v>0</v>
      </c>
      <c r="V1127" s="1144">
        <f>IFERROR(VLOOKUP(CONCATENATE($E1127,$G1127),'LAC 103'!$A$12:$O$95,15,FALSE),0)</f>
        <v>0</v>
      </c>
      <c r="W1127" s="1145" t="str">
        <f>IFERROR(VLOOKUP(CONCATENATE($B1127,$N1127),'LAC 103'!$AI:$AQ,9,FALSE),"")</f>
        <v>Costs</v>
      </c>
      <c r="X1127" s="1146">
        <f t="shared" si="312"/>
        <v>3.207410103388435</v>
      </c>
      <c r="Y1127" s="1143">
        <f t="shared" si="323"/>
        <v>4256.2332071964529</v>
      </c>
      <c r="Z1127" s="1147">
        <f t="shared" si="313"/>
        <v>5294.7300000000005</v>
      </c>
      <c r="AA1127" s="1144">
        <f t="shared" si="314"/>
        <v>3290.96</v>
      </c>
      <c r="AB1127" s="1144">
        <f t="shared" si="315"/>
        <v>0</v>
      </c>
      <c r="AC1127" s="1144">
        <f t="shared" si="316"/>
        <v>0</v>
      </c>
      <c r="AD1127" s="1148">
        <f t="shared" si="308"/>
        <v>4256.2332071964529</v>
      </c>
      <c r="AE1127" s="1487">
        <v>0</v>
      </c>
      <c r="AF1127" s="1145">
        <f t="shared" si="317"/>
        <v>4256.2332071964529</v>
      </c>
      <c r="AG1127" s="1149">
        <f>IFERROR(VLOOKUP(CONCATENATE($L1127,$N1127),'Drop List'!$G$23:$K$87,2,FALSE),0)</f>
        <v>0.69340000000000002</v>
      </c>
      <c r="AH1127" s="1150">
        <f>IFERROR(VLOOKUP(CONCATENATE($L1127,$N1127),'Drop List'!$G$23:$K$87,3,FALSE),0)</f>
        <v>0.30659999999999998</v>
      </c>
      <c r="AI1127" s="1150">
        <f>IFERROR(VLOOKUP(CONCATENATE($L1127,$N1127),'Drop List'!$G$23:$K$87,4,FALSE),0)</f>
        <v>0</v>
      </c>
      <c r="AJ1127" s="1151">
        <f>IFERROR(VLOOKUP(CONCATENATE($L1127,$N1127),'Drop List'!$G$23:$K$87,5,FALSE),0)</f>
        <v>0</v>
      </c>
      <c r="AK1127" s="1152">
        <f t="shared" si="318"/>
        <v>2951.2721058700204</v>
      </c>
      <c r="AL1127" s="1153">
        <f t="shared" si="319"/>
        <v>1304.9611013264323</v>
      </c>
      <c r="AM1127" s="1153">
        <f t="shared" si="320"/>
        <v>0</v>
      </c>
      <c r="AN1127" s="1145">
        <f t="shared" si="321"/>
        <v>0</v>
      </c>
      <c r="AO1127" s="1154">
        <f t="shared" si="322"/>
        <v>4256.2332071964529</v>
      </c>
      <c r="AP1127" s="1147">
        <f t="shared" si="309"/>
        <v>0</v>
      </c>
      <c r="AQ1127" s="1144">
        <f t="shared" si="310"/>
        <v>0</v>
      </c>
      <c r="AR1127" s="1146">
        <f t="shared" si="311"/>
        <v>4256.2332071964529</v>
      </c>
    </row>
    <row r="1128" spans="1:44" x14ac:dyDescent="0.2">
      <c r="A1128" s="1141" t="str">
        <f t="shared" si="324"/>
        <v>1552</v>
      </c>
      <c r="B1128" s="1141" t="str">
        <f>IFERROR(VLOOKUP(A1128,'LAC 103'!A:C,3,FALSE),"")</f>
        <v>OP</v>
      </c>
      <c r="C1128" s="1478" t="str">
        <f>Info!$B$8</f>
        <v>00100</v>
      </c>
      <c r="D1128" s="1474" t="s">
        <v>256</v>
      </c>
      <c r="E1128" s="1474" t="s">
        <v>95</v>
      </c>
      <c r="F1128" s="1478" t="s">
        <v>412</v>
      </c>
      <c r="G1128" s="1478" t="s">
        <v>412</v>
      </c>
      <c r="H1128" s="1474" t="s">
        <v>1091</v>
      </c>
      <c r="I1128" s="1478" t="s">
        <v>815</v>
      </c>
      <c r="J1128" s="1478"/>
      <c r="K1128" s="1475" t="s">
        <v>848</v>
      </c>
      <c r="L1128" s="1474" t="s">
        <v>45</v>
      </c>
      <c r="M1128" s="1476" t="s">
        <v>1698</v>
      </c>
      <c r="N1128" s="1477" t="s">
        <v>1693</v>
      </c>
      <c r="O1128" s="1479">
        <v>1306</v>
      </c>
      <c r="P1128" s="1479"/>
      <c r="Q1128" s="1142">
        <f t="shared" si="307"/>
        <v>1306</v>
      </c>
      <c r="R1128" s="1143">
        <f>IFERROR(VLOOKUP(CONCATENATE(E1128,G1128),'LAC 103'!$A$12:$O$95,11,FALSE),0)</f>
        <v>3.207410103388435</v>
      </c>
      <c r="S1128" s="1144">
        <f>IFERROR(VLOOKUP(CONCATENATE($E1128,$G1128),'LAC 103'!$A$12:$O$95,12,FALSE),0)</f>
        <v>3.99</v>
      </c>
      <c r="T1128" s="1144">
        <f>IFERROR(VLOOKUP(CONCATENATE($E1128,$G1128),'LAC 103'!$A$12:$O$95,13,FALSE),0)</f>
        <v>2.48</v>
      </c>
      <c r="U1128" s="1144">
        <f>IFERROR(VLOOKUP(CONCATENATE($E1128,$G1128),'LAC 103'!$A$12:$O$95,14,FALSE),0)</f>
        <v>0</v>
      </c>
      <c r="V1128" s="1144">
        <f>IFERROR(VLOOKUP(CONCATENATE($E1128,$G1128),'LAC 103'!$A$12:$O$95,15,FALSE),0)</f>
        <v>0</v>
      </c>
      <c r="W1128" s="1145" t="str">
        <f>IFERROR(VLOOKUP(CONCATENATE($B1128,$N1128),'LAC 103'!$AI:$AQ,9,FALSE),"")</f>
        <v>Costs</v>
      </c>
      <c r="X1128" s="1146">
        <f t="shared" si="312"/>
        <v>3.207410103388435</v>
      </c>
      <c r="Y1128" s="1143">
        <f t="shared" si="323"/>
        <v>4188.8775950252957</v>
      </c>
      <c r="Z1128" s="1147">
        <f t="shared" si="313"/>
        <v>5210.9400000000005</v>
      </c>
      <c r="AA1128" s="1144">
        <f t="shared" si="314"/>
        <v>3238.88</v>
      </c>
      <c r="AB1128" s="1144">
        <f t="shared" si="315"/>
        <v>0</v>
      </c>
      <c r="AC1128" s="1144">
        <f t="shared" si="316"/>
        <v>0</v>
      </c>
      <c r="AD1128" s="1148">
        <f t="shared" si="308"/>
        <v>4188.8775950252957</v>
      </c>
      <c r="AE1128" s="1487">
        <v>0</v>
      </c>
      <c r="AF1128" s="1145">
        <f t="shared" si="317"/>
        <v>4188.8775950252957</v>
      </c>
      <c r="AG1128" s="1149">
        <f>IFERROR(VLOOKUP(CONCATENATE($L1128,$N1128),'Drop List'!$G$23:$K$87,2,FALSE),0)</f>
        <v>0.69340000000000002</v>
      </c>
      <c r="AH1128" s="1150">
        <f>IFERROR(VLOOKUP(CONCATENATE($L1128,$N1128),'Drop List'!$G$23:$K$87,3,FALSE),0)</f>
        <v>0.30659999999999998</v>
      </c>
      <c r="AI1128" s="1150">
        <f>IFERROR(VLOOKUP(CONCATENATE($L1128,$N1128),'Drop List'!$G$23:$K$87,4,FALSE),0)</f>
        <v>0</v>
      </c>
      <c r="AJ1128" s="1151">
        <f>IFERROR(VLOOKUP(CONCATENATE($L1128,$N1128),'Drop List'!$G$23:$K$87,5,FALSE),0)</f>
        <v>0</v>
      </c>
      <c r="AK1128" s="1152">
        <f t="shared" si="318"/>
        <v>2904.5677243905402</v>
      </c>
      <c r="AL1128" s="1153">
        <f t="shared" si="319"/>
        <v>1284.3098706347555</v>
      </c>
      <c r="AM1128" s="1153">
        <f t="shared" si="320"/>
        <v>0</v>
      </c>
      <c r="AN1128" s="1145">
        <f t="shared" si="321"/>
        <v>0</v>
      </c>
      <c r="AO1128" s="1154">
        <f t="shared" si="322"/>
        <v>4188.8775950252957</v>
      </c>
      <c r="AP1128" s="1147">
        <f t="shared" si="309"/>
        <v>0</v>
      </c>
      <c r="AQ1128" s="1144">
        <f t="shared" si="310"/>
        <v>0</v>
      </c>
      <c r="AR1128" s="1146">
        <f t="shared" si="311"/>
        <v>4188.8775950252957</v>
      </c>
    </row>
    <row r="1129" spans="1:44" x14ac:dyDescent="0.2">
      <c r="A1129" s="1141" t="str">
        <f t="shared" si="324"/>
        <v>1552</v>
      </c>
      <c r="B1129" s="1141" t="str">
        <f>IFERROR(VLOOKUP(A1129,'LAC 103'!A:C,3,FALSE),"")</f>
        <v>OP</v>
      </c>
      <c r="C1129" s="1478" t="str">
        <f>Info!$B$8</f>
        <v>00100</v>
      </c>
      <c r="D1129" s="1474" t="s">
        <v>256</v>
      </c>
      <c r="E1129" s="1474" t="s">
        <v>95</v>
      </c>
      <c r="F1129" s="1478" t="s">
        <v>412</v>
      </c>
      <c r="G1129" s="1478" t="s">
        <v>412</v>
      </c>
      <c r="H1129" s="1474" t="s">
        <v>1091</v>
      </c>
      <c r="I1129" s="1478" t="s">
        <v>815</v>
      </c>
      <c r="J1129" s="1478"/>
      <c r="K1129" s="1475" t="s">
        <v>849</v>
      </c>
      <c r="L1129" s="1474" t="s">
        <v>77</v>
      </c>
      <c r="M1129" s="1476" t="s">
        <v>1699</v>
      </c>
      <c r="N1129" s="1477" t="s">
        <v>1694</v>
      </c>
      <c r="O1129" s="1479">
        <v>3176</v>
      </c>
      <c r="P1129" s="1479"/>
      <c r="Q1129" s="1142">
        <f t="shared" si="307"/>
        <v>3176</v>
      </c>
      <c r="R1129" s="1143">
        <f>IFERROR(VLOOKUP(CONCATENATE(E1129,G1129),'LAC 103'!$A$12:$O$95,11,FALSE),0)</f>
        <v>3.207410103388435</v>
      </c>
      <c r="S1129" s="1144">
        <f>IFERROR(VLOOKUP(CONCATENATE($E1129,$G1129),'LAC 103'!$A$12:$O$95,12,FALSE),0)</f>
        <v>3.99</v>
      </c>
      <c r="T1129" s="1144">
        <f>IFERROR(VLOOKUP(CONCATENATE($E1129,$G1129),'LAC 103'!$A$12:$O$95,13,FALSE),0)</f>
        <v>2.48</v>
      </c>
      <c r="U1129" s="1144">
        <f>IFERROR(VLOOKUP(CONCATENATE($E1129,$G1129),'LAC 103'!$A$12:$O$95,14,FALSE),0)</f>
        <v>0</v>
      </c>
      <c r="V1129" s="1144">
        <f>IFERROR(VLOOKUP(CONCATENATE($E1129,$G1129),'LAC 103'!$A$12:$O$95,15,FALSE),0)</f>
        <v>0</v>
      </c>
      <c r="W1129" s="1145" t="str">
        <f>IFERROR(VLOOKUP(CONCATENATE($B1129,$N1129),'LAC 103'!$AI:$AQ,9,FALSE),"")</f>
        <v>Costs</v>
      </c>
      <c r="X1129" s="1146">
        <f t="shared" si="312"/>
        <v>3.207410103388435</v>
      </c>
      <c r="Y1129" s="1143">
        <f t="shared" si="323"/>
        <v>10186.73448836167</v>
      </c>
      <c r="Z1129" s="1147">
        <f t="shared" si="313"/>
        <v>12672.24</v>
      </c>
      <c r="AA1129" s="1144">
        <f t="shared" si="314"/>
        <v>7876.48</v>
      </c>
      <c r="AB1129" s="1144">
        <f t="shared" si="315"/>
        <v>0</v>
      </c>
      <c r="AC1129" s="1144">
        <f t="shared" si="316"/>
        <v>0</v>
      </c>
      <c r="AD1129" s="1148">
        <f t="shared" si="308"/>
        <v>10186.73448836167</v>
      </c>
      <c r="AE1129" s="1487">
        <v>0</v>
      </c>
      <c r="AF1129" s="1145">
        <f t="shared" si="317"/>
        <v>10186.73448836167</v>
      </c>
      <c r="AG1129" s="1149">
        <f>IFERROR(VLOOKUP(CONCATENATE($L1129,$N1129),'Drop List'!$G$23:$K$87,2,FALSE),0)</f>
        <v>0.9</v>
      </c>
      <c r="AH1129" s="1150">
        <f>IFERROR(VLOOKUP(CONCATENATE($L1129,$N1129),'Drop List'!$G$23:$K$87,3,FALSE),0)</f>
        <v>0</v>
      </c>
      <c r="AI1129" s="1150">
        <f>IFERROR(VLOOKUP(CONCATENATE($L1129,$N1129),'Drop List'!$G$23:$K$87,4,FALSE),0)</f>
        <v>0.1</v>
      </c>
      <c r="AJ1129" s="1151">
        <f>IFERROR(VLOOKUP(CONCATENATE($L1129,$N1129),'Drop List'!$G$23:$K$87,5,FALSE),0)</f>
        <v>0</v>
      </c>
      <c r="AK1129" s="1152">
        <f t="shared" si="318"/>
        <v>9168.0610395255026</v>
      </c>
      <c r="AL1129" s="1153">
        <f t="shared" si="319"/>
        <v>0</v>
      </c>
      <c r="AM1129" s="1153">
        <f t="shared" si="320"/>
        <v>1018.673448836167</v>
      </c>
      <c r="AN1129" s="1145">
        <f t="shared" si="321"/>
        <v>0</v>
      </c>
      <c r="AO1129" s="1154">
        <f t="shared" si="322"/>
        <v>10186.73448836167</v>
      </c>
      <c r="AP1129" s="1147">
        <f t="shared" si="309"/>
        <v>0</v>
      </c>
      <c r="AQ1129" s="1144">
        <f t="shared" si="310"/>
        <v>0</v>
      </c>
      <c r="AR1129" s="1146">
        <f t="shared" si="311"/>
        <v>10186.73448836167</v>
      </c>
    </row>
    <row r="1130" spans="1:44" x14ac:dyDescent="0.2">
      <c r="A1130" s="1141" t="str">
        <f t="shared" si="324"/>
        <v>1552</v>
      </c>
      <c r="B1130" s="1141" t="str">
        <f>IFERROR(VLOOKUP(A1130,'LAC 103'!A:C,3,FALSE),"")</f>
        <v>OP</v>
      </c>
      <c r="C1130" s="1478" t="str">
        <f>Info!$B$8</f>
        <v>00100</v>
      </c>
      <c r="D1130" s="1474" t="s">
        <v>256</v>
      </c>
      <c r="E1130" s="1474" t="s">
        <v>95</v>
      </c>
      <c r="F1130" s="1478" t="s">
        <v>412</v>
      </c>
      <c r="G1130" s="1478" t="s">
        <v>412</v>
      </c>
      <c r="H1130" s="1474" t="s">
        <v>1091</v>
      </c>
      <c r="I1130" s="1478" t="s">
        <v>815</v>
      </c>
      <c r="J1130" s="1478"/>
      <c r="K1130" s="1475" t="s">
        <v>849</v>
      </c>
      <c r="L1130" s="1474" t="s">
        <v>77</v>
      </c>
      <c r="M1130" s="1476" t="s">
        <v>841</v>
      </c>
      <c r="N1130" s="1477" t="s">
        <v>1695</v>
      </c>
      <c r="O1130" s="1479">
        <v>1881</v>
      </c>
      <c r="P1130" s="1479"/>
      <c r="Q1130" s="1142">
        <f t="shared" si="307"/>
        <v>1881</v>
      </c>
      <c r="R1130" s="1143">
        <f>IFERROR(VLOOKUP(CONCATENATE(E1130,G1130),'LAC 103'!$A$12:$O$95,11,FALSE),0)</f>
        <v>3.207410103388435</v>
      </c>
      <c r="S1130" s="1144">
        <f>IFERROR(VLOOKUP(CONCATENATE($E1130,$G1130),'LAC 103'!$A$12:$O$95,12,FALSE),0)</f>
        <v>3.99</v>
      </c>
      <c r="T1130" s="1144">
        <f>IFERROR(VLOOKUP(CONCATENATE($E1130,$G1130),'LAC 103'!$A$12:$O$95,13,FALSE),0)</f>
        <v>2.48</v>
      </c>
      <c r="U1130" s="1144">
        <f>IFERROR(VLOOKUP(CONCATENATE($E1130,$G1130),'LAC 103'!$A$12:$O$95,14,FALSE),0)</f>
        <v>0</v>
      </c>
      <c r="V1130" s="1144">
        <f>IFERROR(VLOOKUP(CONCATENATE($E1130,$G1130),'LAC 103'!$A$12:$O$95,15,FALSE),0)</f>
        <v>0</v>
      </c>
      <c r="W1130" s="1145" t="str">
        <f>IFERROR(VLOOKUP(CONCATENATE($B1130,$N1130),'LAC 103'!$AI:$AQ,9,FALSE),"")</f>
        <v>Costs</v>
      </c>
      <c r="X1130" s="1146">
        <f t="shared" si="312"/>
        <v>3.207410103388435</v>
      </c>
      <c r="Y1130" s="1143">
        <f t="shared" si="323"/>
        <v>6033.138404473646</v>
      </c>
      <c r="Z1130" s="1147">
        <f t="shared" si="313"/>
        <v>7505.1900000000005</v>
      </c>
      <c r="AA1130" s="1144">
        <f t="shared" si="314"/>
        <v>4664.88</v>
      </c>
      <c r="AB1130" s="1144">
        <f t="shared" si="315"/>
        <v>0</v>
      </c>
      <c r="AC1130" s="1144">
        <f t="shared" si="316"/>
        <v>0</v>
      </c>
      <c r="AD1130" s="1148">
        <f t="shared" si="308"/>
        <v>6033.138404473646</v>
      </c>
      <c r="AE1130" s="1487">
        <v>0</v>
      </c>
      <c r="AF1130" s="1145">
        <f t="shared" si="317"/>
        <v>6033.138404473646</v>
      </c>
      <c r="AG1130" s="1149">
        <f>IFERROR(VLOOKUP(CONCATENATE($L1130,$N1130),'Drop List'!$G$23:$K$87,2,FALSE),0)</f>
        <v>0.9</v>
      </c>
      <c r="AH1130" s="1150">
        <f>IFERROR(VLOOKUP(CONCATENATE($L1130,$N1130),'Drop List'!$G$23:$K$87,3,FALSE),0)</f>
        <v>0</v>
      </c>
      <c r="AI1130" s="1150">
        <f>IFERROR(VLOOKUP(CONCATENATE($L1130,$N1130),'Drop List'!$G$23:$K$87,4,FALSE),0)</f>
        <v>0.1</v>
      </c>
      <c r="AJ1130" s="1151">
        <f>IFERROR(VLOOKUP(CONCATENATE($L1130,$N1130),'Drop List'!$G$23:$K$87,5,FALSE),0)</f>
        <v>0</v>
      </c>
      <c r="AK1130" s="1152">
        <f t="shared" si="318"/>
        <v>5429.8245640262812</v>
      </c>
      <c r="AL1130" s="1153">
        <f t="shared" si="319"/>
        <v>0</v>
      </c>
      <c r="AM1130" s="1153">
        <f t="shared" si="320"/>
        <v>603.31384044736467</v>
      </c>
      <c r="AN1130" s="1145">
        <f t="shared" si="321"/>
        <v>0</v>
      </c>
      <c r="AO1130" s="1154">
        <f t="shared" si="322"/>
        <v>6033.138404473646</v>
      </c>
      <c r="AP1130" s="1147">
        <f t="shared" si="309"/>
        <v>0</v>
      </c>
      <c r="AQ1130" s="1144">
        <f t="shared" si="310"/>
        <v>0</v>
      </c>
      <c r="AR1130" s="1146">
        <f t="shared" si="311"/>
        <v>6033.138404473646</v>
      </c>
    </row>
    <row r="1131" spans="1:44" x14ac:dyDescent="0.2">
      <c r="A1131" s="1141" t="str">
        <f t="shared" si="324"/>
        <v>1552</v>
      </c>
      <c r="B1131" s="1141" t="str">
        <f>IFERROR(VLOOKUP(A1131,'LAC 103'!A:C,3,FALSE),"")</f>
        <v>OP</v>
      </c>
      <c r="C1131" s="1478" t="str">
        <f>Info!$B$8</f>
        <v>00100</v>
      </c>
      <c r="D1131" s="1474" t="s">
        <v>256</v>
      </c>
      <c r="E1131" s="1474" t="s">
        <v>95</v>
      </c>
      <c r="F1131" s="1478" t="s">
        <v>412</v>
      </c>
      <c r="G1131" s="1478" t="s">
        <v>412</v>
      </c>
      <c r="H1131" s="1474" t="s">
        <v>1091</v>
      </c>
      <c r="I1131" s="1478" t="s">
        <v>815</v>
      </c>
      <c r="J1131" s="1478"/>
      <c r="K1131" s="1475" t="s">
        <v>849</v>
      </c>
      <c r="L1131" s="1474" t="s">
        <v>77</v>
      </c>
      <c r="M1131" s="1476" t="s">
        <v>840</v>
      </c>
      <c r="N1131" s="1477" t="s">
        <v>1700</v>
      </c>
      <c r="O1131" s="1479">
        <v>2365</v>
      </c>
      <c r="P1131" s="1479"/>
      <c r="Q1131" s="1142">
        <f t="shared" si="307"/>
        <v>2365</v>
      </c>
      <c r="R1131" s="1143">
        <f>IFERROR(VLOOKUP(CONCATENATE(E1131,G1131),'LAC 103'!$A$12:$O$95,11,FALSE),0)</f>
        <v>3.207410103388435</v>
      </c>
      <c r="S1131" s="1144">
        <f>IFERROR(VLOOKUP(CONCATENATE($E1131,$G1131),'LAC 103'!$A$12:$O$95,12,FALSE),0)</f>
        <v>3.99</v>
      </c>
      <c r="T1131" s="1144">
        <f>IFERROR(VLOOKUP(CONCATENATE($E1131,$G1131),'LAC 103'!$A$12:$O$95,13,FALSE),0)</f>
        <v>2.48</v>
      </c>
      <c r="U1131" s="1144">
        <f>IFERROR(VLOOKUP(CONCATENATE($E1131,$G1131),'LAC 103'!$A$12:$O$95,14,FALSE),0)</f>
        <v>0</v>
      </c>
      <c r="V1131" s="1144">
        <f>IFERROR(VLOOKUP(CONCATENATE($E1131,$G1131),'LAC 103'!$A$12:$O$95,15,FALSE),0)</f>
        <v>0</v>
      </c>
      <c r="W1131" s="1145" t="str">
        <f>IFERROR(VLOOKUP(CONCATENATE($B1131,$N1131),'LAC 103'!$AI:$AQ,9,FALSE),"")</f>
        <v>P.C.</v>
      </c>
      <c r="X1131" s="1146">
        <f t="shared" si="312"/>
        <v>2.48</v>
      </c>
      <c r="Y1131" s="1143">
        <f t="shared" si="323"/>
        <v>7585.5248945136491</v>
      </c>
      <c r="Z1131" s="1147">
        <f t="shared" si="313"/>
        <v>9436.35</v>
      </c>
      <c r="AA1131" s="1144">
        <f t="shared" si="314"/>
        <v>5865.2</v>
      </c>
      <c r="AB1131" s="1144">
        <f t="shared" si="315"/>
        <v>0</v>
      </c>
      <c r="AC1131" s="1144">
        <f t="shared" si="316"/>
        <v>0</v>
      </c>
      <c r="AD1131" s="1148">
        <f t="shared" si="308"/>
        <v>5865.2</v>
      </c>
      <c r="AE1131" s="1487">
        <v>0</v>
      </c>
      <c r="AF1131" s="1145">
        <f t="shared" si="317"/>
        <v>5865.2</v>
      </c>
      <c r="AG1131" s="1149">
        <f>IFERROR(VLOOKUP(CONCATENATE($L1131,$N1131),'Drop List'!$G$23:$K$87,2,FALSE),0)</f>
        <v>0.9</v>
      </c>
      <c r="AH1131" s="1150">
        <f>IFERROR(VLOOKUP(CONCATENATE($L1131,$N1131),'Drop List'!$G$23:$K$87,3,FALSE),0)</f>
        <v>0</v>
      </c>
      <c r="AI1131" s="1150">
        <f>IFERROR(VLOOKUP(CONCATENATE($L1131,$N1131),'Drop List'!$G$23:$K$87,4,FALSE),0)</f>
        <v>0.1</v>
      </c>
      <c r="AJ1131" s="1151">
        <f>IFERROR(VLOOKUP(CONCATENATE($L1131,$N1131),'Drop List'!$G$23:$K$87,5,FALSE),0)</f>
        <v>0</v>
      </c>
      <c r="AK1131" s="1152">
        <f t="shared" si="318"/>
        <v>5278.68</v>
      </c>
      <c r="AL1131" s="1153">
        <f t="shared" si="319"/>
        <v>0</v>
      </c>
      <c r="AM1131" s="1153">
        <f t="shared" si="320"/>
        <v>586.52</v>
      </c>
      <c r="AN1131" s="1145">
        <f t="shared" si="321"/>
        <v>0</v>
      </c>
      <c r="AO1131" s="1154">
        <f t="shared" si="322"/>
        <v>5865.2000000000007</v>
      </c>
      <c r="AP1131" s="1147">
        <f t="shared" si="309"/>
        <v>0</v>
      </c>
      <c r="AQ1131" s="1144">
        <f t="shared" si="310"/>
        <v>0</v>
      </c>
      <c r="AR1131" s="1146">
        <f t="shared" si="311"/>
        <v>5865.2000000000007</v>
      </c>
    </row>
    <row r="1132" spans="1:44" x14ac:dyDescent="0.2">
      <c r="A1132" s="1141" t="str">
        <f t="shared" si="324"/>
        <v>1552</v>
      </c>
      <c r="B1132" s="1141" t="str">
        <f>IFERROR(VLOOKUP(A1132,'LAC 103'!A:C,3,FALSE),"")</f>
        <v>OP</v>
      </c>
      <c r="C1132" s="1478" t="str">
        <f>Info!$B$8</f>
        <v>00100</v>
      </c>
      <c r="D1132" s="1474" t="s">
        <v>256</v>
      </c>
      <c r="E1132" s="1474" t="s">
        <v>95</v>
      </c>
      <c r="F1132" s="1478" t="s">
        <v>412</v>
      </c>
      <c r="G1132" s="1478" t="s">
        <v>412</v>
      </c>
      <c r="H1132" s="1474" t="s">
        <v>1091</v>
      </c>
      <c r="I1132" s="1478" t="s">
        <v>815</v>
      </c>
      <c r="J1132" s="1478"/>
      <c r="K1132" s="1475" t="s">
        <v>849</v>
      </c>
      <c r="L1132" s="1474" t="s">
        <v>77</v>
      </c>
      <c r="M1132" s="1476" t="s">
        <v>842</v>
      </c>
      <c r="N1132" s="1477" t="s">
        <v>1692</v>
      </c>
      <c r="O1132" s="1479">
        <v>4702</v>
      </c>
      <c r="P1132" s="1479"/>
      <c r="Q1132" s="1142">
        <f t="shared" si="307"/>
        <v>4702</v>
      </c>
      <c r="R1132" s="1143">
        <f>IFERROR(VLOOKUP(CONCATENATE(E1132,G1132),'LAC 103'!$A$12:$O$95,11,FALSE),0)</f>
        <v>3.207410103388435</v>
      </c>
      <c r="S1132" s="1144">
        <f>IFERROR(VLOOKUP(CONCATENATE($E1132,$G1132),'LAC 103'!$A$12:$O$95,12,FALSE),0)</f>
        <v>3.99</v>
      </c>
      <c r="T1132" s="1144">
        <f>IFERROR(VLOOKUP(CONCATENATE($E1132,$G1132),'LAC 103'!$A$12:$O$95,13,FALSE),0)</f>
        <v>2.48</v>
      </c>
      <c r="U1132" s="1144">
        <f>IFERROR(VLOOKUP(CONCATENATE($E1132,$G1132),'LAC 103'!$A$12:$O$95,14,FALSE),0)</f>
        <v>0</v>
      </c>
      <c r="V1132" s="1144">
        <f>IFERROR(VLOOKUP(CONCATENATE($E1132,$G1132),'LAC 103'!$A$12:$O$95,15,FALSE),0)</f>
        <v>0</v>
      </c>
      <c r="W1132" s="1145" t="str">
        <f>IFERROR(VLOOKUP(CONCATENATE($B1132,$N1132),'LAC 103'!$AI:$AQ,9,FALSE),"")</f>
        <v>Costs</v>
      </c>
      <c r="X1132" s="1146">
        <f t="shared" si="312"/>
        <v>3.207410103388435</v>
      </c>
      <c r="Y1132" s="1143">
        <f t="shared" si="323"/>
        <v>15081.242306132421</v>
      </c>
      <c r="Z1132" s="1147">
        <f t="shared" si="313"/>
        <v>18760.98</v>
      </c>
      <c r="AA1132" s="1144">
        <f t="shared" si="314"/>
        <v>11660.96</v>
      </c>
      <c r="AB1132" s="1144">
        <f t="shared" si="315"/>
        <v>0</v>
      </c>
      <c r="AC1132" s="1144">
        <f t="shared" si="316"/>
        <v>0</v>
      </c>
      <c r="AD1132" s="1148">
        <f t="shared" si="308"/>
        <v>15081.242306132421</v>
      </c>
      <c r="AE1132" s="1487">
        <v>0</v>
      </c>
      <c r="AF1132" s="1145">
        <f t="shared" si="317"/>
        <v>15081.242306132421</v>
      </c>
      <c r="AG1132" s="1149">
        <f>IFERROR(VLOOKUP(CONCATENATE($L1132,$N1132),'Drop List'!$G$23:$K$87,2,FALSE),0)</f>
        <v>0.9</v>
      </c>
      <c r="AH1132" s="1150">
        <f>IFERROR(VLOOKUP(CONCATENATE($L1132,$N1132),'Drop List'!$G$23:$K$87,3,FALSE),0)</f>
        <v>0</v>
      </c>
      <c r="AI1132" s="1150">
        <f>IFERROR(VLOOKUP(CONCATENATE($L1132,$N1132),'Drop List'!$G$23:$K$87,4,FALSE),0)</f>
        <v>0.1</v>
      </c>
      <c r="AJ1132" s="1151">
        <f>IFERROR(VLOOKUP(CONCATENATE($L1132,$N1132),'Drop List'!$G$23:$K$87,5,FALSE),0)</f>
        <v>0</v>
      </c>
      <c r="AK1132" s="1152">
        <f t="shared" si="318"/>
        <v>13573.118075519178</v>
      </c>
      <c r="AL1132" s="1153">
        <f t="shared" si="319"/>
        <v>0</v>
      </c>
      <c r="AM1132" s="1153">
        <f t="shared" si="320"/>
        <v>1508.1242306132422</v>
      </c>
      <c r="AN1132" s="1145">
        <f t="shared" si="321"/>
        <v>0</v>
      </c>
      <c r="AO1132" s="1154">
        <f t="shared" si="322"/>
        <v>15081.242306132421</v>
      </c>
      <c r="AP1132" s="1147">
        <f t="shared" si="309"/>
        <v>0</v>
      </c>
      <c r="AQ1132" s="1144">
        <f t="shared" si="310"/>
        <v>0</v>
      </c>
      <c r="AR1132" s="1146">
        <f t="shared" si="311"/>
        <v>15081.242306132421</v>
      </c>
    </row>
    <row r="1133" spans="1:44" x14ac:dyDescent="0.2">
      <c r="A1133" s="1141" t="str">
        <f t="shared" si="324"/>
        <v>1552</v>
      </c>
      <c r="B1133" s="1141" t="str">
        <f>IFERROR(VLOOKUP(A1133,'LAC 103'!A:C,3,FALSE),"")</f>
        <v>OP</v>
      </c>
      <c r="C1133" s="1478" t="str">
        <f>Info!$B$8</f>
        <v>00100</v>
      </c>
      <c r="D1133" s="1474" t="s">
        <v>256</v>
      </c>
      <c r="E1133" s="1474" t="s">
        <v>95</v>
      </c>
      <c r="F1133" s="1478" t="s">
        <v>412</v>
      </c>
      <c r="G1133" s="1478" t="s">
        <v>412</v>
      </c>
      <c r="H1133" s="1474" t="s">
        <v>1091</v>
      </c>
      <c r="I1133" s="1478" t="s">
        <v>815</v>
      </c>
      <c r="J1133" s="1478"/>
      <c r="K1133" s="1475" t="s">
        <v>849</v>
      </c>
      <c r="L1133" s="1474" t="s">
        <v>77</v>
      </c>
      <c r="M1133" s="1476" t="s">
        <v>1698</v>
      </c>
      <c r="N1133" s="1477" t="s">
        <v>1693</v>
      </c>
      <c r="O1133" s="1479">
        <v>3383</v>
      </c>
      <c r="P1133" s="1479"/>
      <c r="Q1133" s="1142">
        <f t="shared" si="307"/>
        <v>3383</v>
      </c>
      <c r="R1133" s="1143">
        <f>IFERROR(VLOOKUP(CONCATENATE(E1133,G1133),'LAC 103'!$A$12:$O$95,11,FALSE),0)</f>
        <v>3.207410103388435</v>
      </c>
      <c r="S1133" s="1144">
        <f>IFERROR(VLOOKUP(CONCATENATE($E1133,$G1133),'LAC 103'!$A$12:$O$95,12,FALSE),0)</f>
        <v>3.99</v>
      </c>
      <c r="T1133" s="1144">
        <f>IFERROR(VLOOKUP(CONCATENATE($E1133,$G1133),'LAC 103'!$A$12:$O$95,13,FALSE),0)</f>
        <v>2.48</v>
      </c>
      <c r="U1133" s="1144">
        <f>IFERROR(VLOOKUP(CONCATENATE($E1133,$G1133),'LAC 103'!$A$12:$O$95,14,FALSE),0)</f>
        <v>0</v>
      </c>
      <c r="V1133" s="1144">
        <f>IFERROR(VLOOKUP(CONCATENATE($E1133,$G1133),'LAC 103'!$A$12:$O$95,15,FALSE),0)</f>
        <v>0</v>
      </c>
      <c r="W1133" s="1145" t="str">
        <f>IFERROR(VLOOKUP(CONCATENATE($B1133,$N1133),'LAC 103'!$AI:$AQ,9,FALSE),"")</f>
        <v>Costs</v>
      </c>
      <c r="X1133" s="1146">
        <f t="shared" si="312"/>
        <v>3.207410103388435</v>
      </c>
      <c r="Y1133" s="1143">
        <f t="shared" si="323"/>
        <v>10850.668379763076</v>
      </c>
      <c r="Z1133" s="1147">
        <f t="shared" si="313"/>
        <v>13498.17</v>
      </c>
      <c r="AA1133" s="1144">
        <f t="shared" si="314"/>
        <v>8389.84</v>
      </c>
      <c r="AB1133" s="1144">
        <f t="shared" si="315"/>
        <v>0</v>
      </c>
      <c r="AC1133" s="1144">
        <f t="shared" si="316"/>
        <v>0</v>
      </c>
      <c r="AD1133" s="1148">
        <f t="shared" si="308"/>
        <v>10850.668379763076</v>
      </c>
      <c r="AE1133" s="1487">
        <v>0</v>
      </c>
      <c r="AF1133" s="1145">
        <f t="shared" si="317"/>
        <v>10850.668379763076</v>
      </c>
      <c r="AG1133" s="1149">
        <f>IFERROR(VLOOKUP(CONCATENATE($L1133,$N1133),'Drop List'!$G$23:$K$87,2,FALSE),0)</f>
        <v>0.9</v>
      </c>
      <c r="AH1133" s="1150">
        <f>IFERROR(VLOOKUP(CONCATENATE($L1133,$N1133),'Drop List'!$G$23:$K$87,3,FALSE),0)</f>
        <v>0</v>
      </c>
      <c r="AI1133" s="1150">
        <f>IFERROR(VLOOKUP(CONCATENATE($L1133,$N1133),'Drop List'!$G$23:$K$87,4,FALSE),0)</f>
        <v>0.1</v>
      </c>
      <c r="AJ1133" s="1151">
        <f>IFERROR(VLOOKUP(CONCATENATE($L1133,$N1133),'Drop List'!$G$23:$K$87,5,FALSE),0)</f>
        <v>0</v>
      </c>
      <c r="AK1133" s="1152">
        <f t="shared" si="318"/>
        <v>9765.6015417867693</v>
      </c>
      <c r="AL1133" s="1153">
        <f t="shared" si="319"/>
        <v>0</v>
      </c>
      <c r="AM1133" s="1153">
        <f t="shared" si="320"/>
        <v>1085.0668379763076</v>
      </c>
      <c r="AN1133" s="1145">
        <f t="shared" si="321"/>
        <v>0</v>
      </c>
      <c r="AO1133" s="1154">
        <f t="shared" si="322"/>
        <v>10850.668379763078</v>
      </c>
      <c r="AP1133" s="1147">
        <f t="shared" si="309"/>
        <v>0</v>
      </c>
      <c r="AQ1133" s="1144">
        <f t="shared" si="310"/>
        <v>0</v>
      </c>
      <c r="AR1133" s="1146">
        <f t="shared" si="311"/>
        <v>10850.668379763078</v>
      </c>
    </row>
    <row r="1134" spans="1:44" x14ac:dyDescent="0.2">
      <c r="A1134" s="1141" t="str">
        <f t="shared" si="324"/>
        <v>1552</v>
      </c>
      <c r="B1134" s="1141" t="str">
        <f>IFERROR(VLOOKUP(A1134,'LAC 103'!A:C,3,FALSE),"")</f>
        <v>OP</v>
      </c>
      <c r="C1134" s="1478" t="str">
        <f>Info!$B$8</f>
        <v>00100</v>
      </c>
      <c r="D1134" s="1474" t="s">
        <v>256</v>
      </c>
      <c r="E1134" s="1474" t="s">
        <v>95</v>
      </c>
      <c r="F1134" s="1478" t="s">
        <v>412</v>
      </c>
      <c r="G1134" s="1478" t="s">
        <v>412</v>
      </c>
      <c r="H1134" s="1474" t="s">
        <v>1091</v>
      </c>
      <c r="I1134" s="1478" t="s">
        <v>815</v>
      </c>
      <c r="J1134" s="1478"/>
      <c r="K1134" s="1475" t="s">
        <v>971</v>
      </c>
      <c r="L1134" s="1474" t="s">
        <v>332</v>
      </c>
      <c r="M1134" s="1476" t="s">
        <v>1699</v>
      </c>
      <c r="N1134" s="1477" t="s">
        <v>1694</v>
      </c>
      <c r="O1134" s="1479">
        <v>1549</v>
      </c>
      <c r="P1134" s="1479"/>
      <c r="Q1134" s="1142">
        <f t="shared" si="307"/>
        <v>1549</v>
      </c>
      <c r="R1134" s="1143">
        <f>IFERROR(VLOOKUP(CONCATENATE(E1134,G1134),'LAC 103'!$A$12:$O$95,11,FALSE),0)</f>
        <v>3.207410103388435</v>
      </c>
      <c r="S1134" s="1144">
        <f>IFERROR(VLOOKUP(CONCATENATE($E1134,$G1134),'LAC 103'!$A$12:$O$95,12,FALSE),0)</f>
        <v>3.99</v>
      </c>
      <c r="T1134" s="1144">
        <f>IFERROR(VLOOKUP(CONCATENATE($E1134,$G1134),'LAC 103'!$A$12:$O$95,13,FALSE),0)</f>
        <v>2.48</v>
      </c>
      <c r="U1134" s="1144">
        <f>IFERROR(VLOOKUP(CONCATENATE($E1134,$G1134),'LAC 103'!$A$12:$O$95,14,FALSE),0)</f>
        <v>0</v>
      </c>
      <c r="V1134" s="1144">
        <f>IFERROR(VLOOKUP(CONCATENATE($E1134,$G1134),'LAC 103'!$A$12:$O$95,15,FALSE),0)</f>
        <v>0</v>
      </c>
      <c r="W1134" s="1145" t="str">
        <f>IFERROR(VLOOKUP(CONCATENATE($B1134,$N1134),'LAC 103'!$AI:$AQ,9,FALSE),"")</f>
        <v>Costs</v>
      </c>
      <c r="X1134" s="1146">
        <f t="shared" si="312"/>
        <v>3.207410103388435</v>
      </c>
      <c r="Y1134" s="1143">
        <f t="shared" si="323"/>
        <v>4968.2782501486854</v>
      </c>
      <c r="Z1134" s="1147">
        <f t="shared" si="313"/>
        <v>6180.51</v>
      </c>
      <c r="AA1134" s="1144">
        <f t="shared" si="314"/>
        <v>3841.52</v>
      </c>
      <c r="AB1134" s="1144">
        <f t="shared" si="315"/>
        <v>0</v>
      </c>
      <c r="AC1134" s="1144">
        <f t="shared" si="316"/>
        <v>0</v>
      </c>
      <c r="AD1134" s="1148">
        <f t="shared" si="308"/>
        <v>4968.2782501486854</v>
      </c>
      <c r="AE1134" s="1487">
        <v>0</v>
      </c>
      <c r="AF1134" s="1145">
        <f t="shared" si="317"/>
        <v>4968.2782501486854</v>
      </c>
      <c r="AG1134" s="1149">
        <f>IFERROR(VLOOKUP(CONCATENATE($L1134,$N1134),'Drop List'!$G$23:$K$87,2,FALSE),0)</f>
        <v>0</v>
      </c>
      <c r="AH1134" s="1150">
        <f>IFERROR(VLOOKUP(CONCATENATE($L1134,$N1134),'Drop List'!$G$23:$K$87,3,FALSE),0)</f>
        <v>0</v>
      </c>
      <c r="AI1134" s="1150">
        <f>IFERROR(VLOOKUP(CONCATENATE($L1134,$N1134),'Drop List'!$G$23:$K$87,4,FALSE),0)</f>
        <v>0</v>
      </c>
      <c r="AJ1134" s="1151">
        <f>IFERROR(VLOOKUP(CONCATENATE($L1134,$N1134),'Drop List'!$G$23:$K$87,5,FALSE),0)</f>
        <v>0</v>
      </c>
      <c r="AK1134" s="1152">
        <f t="shared" si="318"/>
        <v>0</v>
      </c>
      <c r="AL1134" s="1153">
        <f t="shared" si="319"/>
        <v>0</v>
      </c>
      <c r="AM1134" s="1153">
        <f t="shared" si="320"/>
        <v>0</v>
      </c>
      <c r="AN1134" s="1145">
        <f t="shared" si="321"/>
        <v>0</v>
      </c>
      <c r="AO1134" s="1154">
        <f t="shared" si="322"/>
        <v>0</v>
      </c>
      <c r="AP1134" s="1147">
        <f t="shared" si="309"/>
        <v>4968.2782501486854</v>
      </c>
      <c r="AQ1134" s="1144">
        <f t="shared" si="310"/>
        <v>0</v>
      </c>
      <c r="AR1134" s="1146">
        <f t="shared" si="311"/>
        <v>4968.2782501486854</v>
      </c>
    </row>
    <row r="1135" spans="1:44" x14ac:dyDescent="0.2">
      <c r="A1135" s="1141" t="str">
        <f t="shared" si="324"/>
        <v>1552</v>
      </c>
      <c r="B1135" s="1141" t="str">
        <f>IFERROR(VLOOKUP(A1135,'LAC 103'!A:C,3,FALSE),"")</f>
        <v>OP</v>
      </c>
      <c r="C1135" s="1478" t="str">
        <f>Info!$B$8</f>
        <v>00100</v>
      </c>
      <c r="D1135" s="1474" t="s">
        <v>256</v>
      </c>
      <c r="E1135" s="1474" t="s">
        <v>95</v>
      </c>
      <c r="F1135" s="1478" t="s">
        <v>412</v>
      </c>
      <c r="G1135" s="1478" t="s">
        <v>412</v>
      </c>
      <c r="H1135" s="1474" t="s">
        <v>1091</v>
      </c>
      <c r="I1135" s="1478" t="s">
        <v>815</v>
      </c>
      <c r="J1135" s="1478"/>
      <c r="K1135" s="1475" t="s">
        <v>971</v>
      </c>
      <c r="L1135" s="1474" t="s">
        <v>332</v>
      </c>
      <c r="M1135" s="1476" t="s">
        <v>841</v>
      </c>
      <c r="N1135" s="1477" t="s">
        <v>1695</v>
      </c>
      <c r="O1135" s="1479">
        <v>801</v>
      </c>
      <c r="P1135" s="1479"/>
      <c r="Q1135" s="1142">
        <f t="shared" si="307"/>
        <v>801</v>
      </c>
      <c r="R1135" s="1143">
        <f>IFERROR(VLOOKUP(CONCATENATE(E1135,G1135),'LAC 103'!$A$12:$O$95,11,FALSE),0)</f>
        <v>3.207410103388435</v>
      </c>
      <c r="S1135" s="1144">
        <f>IFERROR(VLOOKUP(CONCATENATE($E1135,$G1135),'LAC 103'!$A$12:$O$95,12,FALSE),0)</f>
        <v>3.99</v>
      </c>
      <c r="T1135" s="1144">
        <f>IFERROR(VLOOKUP(CONCATENATE($E1135,$G1135),'LAC 103'!$A$12:$O$95,13,FALSE),0)</f>
        <v>2.48</v>
      </c>
      <c r="U1135" s="1144">
        <f>IFERROR(VLOOKUP(CONCATENATE($E1135,$G1135),'LAC 103'!$A$12:$O$95,14,FALSE),0)</f>
        <v>0</v>
      </c>
      <c r="V1135" s="1144">
        <f>IFERROR(VLOOKUP(CONCATENATE($E1135,$G1135),'LAC 103'!$A$12:$O$95,15,FALSE),0)</f>
        <v>0</v>
      </c>
      <c r="W1135" s="1145" t="str">
        <f>IFERROR(VLOOKUP(CONCATENATE($B1135,$N1135),'LAC 103'!$AI:$AQ,9,FALSE),"")</f>
        <v>Costs</v>
      </c>
      <c r="X1135" s="1146">
        <f t="shared" si="312"/>
        <v>3.207410103388435</v>
      </c>
      <c r="Y1135" s="1143">
        <f t="shared" si="323"/>
        <v>2569.1354928141363</v>
      </c>
      <c r="Z1135" s="1147">
        <f t="shared" si="313"/>
        <v>3195.9900000000002</v>
      </c>
      <c r="AA1135" s="1144">
        <f t="shared" si="314"/>
        <v>1986.48</v>
      </c>
      <c r="AB1135" s="1144">
        <f t="shared" si="315"/>
        <v>0</v>
      </c>
      <c r="AC1135" s="1144">
        <f t="shared" si="316"/>
        <v>0</v>
      </c>
      <c r="AD1135" s="1148">
        <f t="shared" si="308"/>
        <v>2569.1354928141363</v>
      </c>
      <c r="AE1135" s="1487">
        <v>0</v>
      </c>
      <c r="AF1135" s="1145">
        <f t="shared" si="317"/>
        <v>2569.1354928141363</v>
      </c>
      <c r="AG1135" s="1149">
        <f>IFERROR(VLOOKUP(CONCATENATE($L1135,$N1135),'Drop List'!$G$23:$K$87,2,FALSE),0)</f>
        <v>0</v>
      </c>
      <c r="AH1135" s="1150">
        <f>IFERROR(VLOOKUP(CONCATENATE($L1135,$N1135),'Drop List'!$G$23:$K$87,3,FALSE),0)</f>
        <v>0</v>
      </c>
      <c r="AI1135" s="1150">
        <f>IFERROR(VLOOKUP(CONCATENATE($L1135,$N1135),'Drop List'!$G$23:$K$87,4,FALSE),0)</f>
        <v>0</v>
      </c>
      <c r="AJ1135" s="1151">
        <f>IFERROR(VLOOKUP(CONCATENATE($L1135,$N1135),'Drop List'!$G$23:$K$87,5,FALSE),0)</f>
        <v>0</v>
      </c>
      <c r="AK1135" s="1152">
        <f t="shared" si="318"/>
        <v>0</v>
      </c>
      <c r="AL1135" s="1153">
        <f t="shared" si="319"/>
        <v>0</v>
      </c>
      <c r="AM1135" s="1153">
        <f t="shared" si="320"/>
        <v>0</v>
      </c>
      <c r="AN1135" s="1145">
        <f t="shared" si="321"/>
        <v>0</v>
      </c>
      <c r="AO1135" s="1154">
        <f t="shared" si="322"/>
        <v>0</v>
      </c>
      <c r="AP1135" s="1147">
        <f t="shared" si="309"/>
        <v>2569.1354928141363</v>
      </c>
      <c r="AQ1135" s="1144">
        <f t="shared" si="310"/>
        <v>0</v>
      </c>
      <c r="AR1135" s="1146">
        <f t="shared" si="311"/>
        <v>2569.1354928141363</v>
      </c>
    </row>
    <row r="1136" spans="1:44" x14ac:dyDescent="0.2">
      <c r="A1136" s="1141" t="str">
        <f t="shared" si="324"/>
        <v>1552</v>
      </c>
      <c r="B1136" s="1141" t="str">
        <f>IFERROR(VLOOKUP(A1136,'LAC 103'!A:C,3,FALSE),"")</f>
        <v>OP</v>
      </c>
      <c r="C1136" s="1478" t="str">
        <f>Info!$B$8</f>
        <v>00100</v>
      </c>
      <c r="D1136" s="1474" t="s">
        <v>256</v>
      </c>
      <c r="E1136" s="1474" t="s">
        <v>95</v>
      </c>
      <c r="F1136" s="1478" t="s">
        <v>412</v>
      </c>
      <c r="G1136" s="1478" t="s">
        <v>412</v>
      </c>
      <c r="H1136" s="1474" t="s">
        <v>1091</v>
      </c>
      <c r="I1136" s="1478" t="s">
        <v>815</v>
      </c>
      <c r="J1136" s="1478"/>
      <c r="K1136" s="1475" t="s">
        <v>971</v>
      </c>
      <c r="L1136" s="1474" t="s">
        <v>332</v>
      </c>
      <c r="M1136" s="1476" t="s">
        <v>842</v>
      </c>
      <c r="N1136" s="1477" t="s">
        <v>1692</v>
      </c>
      <c r="O1136" s="1479">
        <v>4426</v>
      </c>
      <c r="P1136" s="1479"/>
      <c r="Q1136" s="1142">
        <f t="shared" si="307"/>
        <v>4426</v>
      </c>
      <c r="R1136" s="1143">
        <f>IFERROR(VLOOKUP(CONCATENATE(E1136,G1136),'LAC 103'!$A$12:$O$95,11,FALSE),0)</f>
        <v>3.207410103388435</v>
      </c>
      <c r="S1136" s="1144">
        <f>IFERROR(VLOOKUP(CONCATENATE($E1136,$G1136),'LAC 103'!$A$12:$O$95,12,FALSE),0)</f>
        <v>3.99</v>
      </c>
      <c r="T1136" s="1144">
        <f>IFERROR(VLOOKUP(CONCATENATE($E1136,$G1136),'LAC 103'!$A$12:$O$95,13,FALSE),0)</f>
        <v>2.48</v>
      </c>
      <c r="U1136" s="1144">
        <f>IFERROR(VLOOKUP(CONCATENATE($E1136,$G1136),'LAC 103'!$A$12:$O$95,14,FALSE),0)</f>
        <v>0</v>
      </c>
      <c r="V1136" s="1144">
        <f>IFERROR(VLOOKUP(CONCATENATE($E1136,$G1136),'LAC 103'!$A$12:$O$95,15,FALSE),0)</f>
        <v>0</v>
      </c>
      <c r="W1136" s="1145" t="str">
        <f>IFERROR(VLOOKUP(CONCATENATE($B1136,$N1136),'LAC 103'!$AI:$AQ,9,FALSE),"")</f>
        <v>Costs</v>
      </c>
      <c r="X1136" s="1146">
        <f t="shared" si="312"/>
        <v>3.207410103388435</v>
      </c>
      <c r="Y1136" s="1143">
        <f t="shared" si="323"/>
        <v>14195.997117597213</v>
      </c>
      <c r="Z1136" s="1147">
        <f t="shared" si="313"/>
        <v>17659.740000000002</v>
      </c>
      <c r="AA1136" s="1144">
        <f t="shared" si="314"/>
        <v>10976.48</v>
      </c>
      <c r="AB1136" s="1144">
        <f t="shared" si="315"/>
        <v>0</v>
      </c>
      <c r="AC1136" s="1144">
        <f t="shared" si="316"/>
        <v>0</v>
      </c>
      <c r="AD1136" s="1148">
        <f t="shared" si="308"/>
        <v>14195.997117597213</v>
      </c>
      <c r="AE1136" s="1487">
        <v>0</v>
      </c>
      <c r="AF1136" s="1145">
        <f t="shared" si="317"/>
        <v>14195.997117597213</v>
      </c>
      <c r="AG1136" s="1149">
        <f>IFERROR(VLOOKUP(CONCATENATE($L1136,$N1136),'Drop List'!$G$23:$K$87,2,FALSE),0)</f>
        <v>0</v>
      </c>
      <c r="AH1136" s="1150">
        <f>IFERROR(VLOOKUP(CONCATENATE($L1136,$N1136),'Drop List'!$G$23:$K$87,3,FALSE),0)</f>
        <v>0</v>
      </c>
      <c r="AI1136" s="1150">
        <f>IFERROR(VLOOKUP(CONCATENATE($L1136,$N1136),'Drop List'!$G$23:$K$87,4,FALSE),0)</f>
        <v>0</v>
      </c>
      <c r="AJ1136" s="1151">
        <f>IFERROR(VLOOKUP(CONCATENATE($L1136,$N1136),'Drop List'!$G$23:$K$87,5,FALSE),0)</f>
        <v>0</v>
      </c>
      <c r="AK1136" s="1152">
        <f t="shared" si="318"/>
        <v>0</v>
      </c>
      <c r="AL1136" s="1153">
        <f t="shared" si="319"/>
        <v>0</v>
      </c>
      <c r="AM1136" s="1153">
        <f t="shared" si="320"/>
        <v>0</v>
      </c>
      <c r="AN1136" s="1145">
        <f t="shared" si="321"/>
        <v>0</v>
      </c>
      <c r="AO1136" s="1154">
        <f t="shared" si="322"/>
        <v>0</v>
      </c>
      <c r="AP1136" s="1147">
        <f t="shared" si="309"/>
        <v>14195.997117597213</v>
      </c>
      <c r="AQ1136" s="1144">
        <f t="shared" si="310"/>
        <v>0</v>
      </c>
      <c r="AR1136" s="1146">
        <f t="shared" si="311"/>
        <v>14195.997117597213</v>
      </c>
    </row>
    <row r="1137" spans="1:44" x14ac:dyDescent="0.2">
      <c r="A1137" s="1141" t="str">
        <f t="shared" si="324"/>
        <v>1552</v>
      </c>
      <c r="B1137" s="1141" t="str">
        <f>IFERROR(VLOOKUP(A1137,'LAC 103'!A:C,3,FALSE),"")</f>
        <v>OP</v>
      </c>
      <c r="C1137" s="1478" t="str">
        <f>Info!$B$8</f>
        <v>00100</v>
      </c>
      <c r="D1137" s="1474" t="s">
        <v>256</v>
      </c>
      <c r="E1137" s="1474" t="s">
        <v>95</v>
      </c>
      <c r="F1137" s="1478" t="s">
        <v>412</v>
      </c>
      <c r="G1137" s="1478" t="s">
        <v>412</v>
      </c>
      <c r="H1137" s="1474" t="s">
        <v>1091</v>
      </c>
      <c r="I1137" s="1478" t="s">
        <v>815</v>
      </c>
      <c r="J1137" s="1478"/>
      <c r="K1137" s="1475" t="s">
        <v>971</v>
      </c>
      <c r="L1137" s="1474" t="s">
        <v>332</v>
      </c>
      <c r="M1137" s="1476" t="s">
        <v>1698</v>
      </c>
      <c r="N1137" s="1477" t="s">
        <v>1693</v>
      </c>
      <c r="O1137" s="1479">
        <v>2347</v>
      </c>
      <c r="P1137" s="1479"/>
      <c r="Q1137" s="1142">
        <f t="shared" si="307"/>
        <v>2347</v>
      </c>
      <c r="R1137" s="1143">
        <f>IFERROR(VLOOKUP(CONCATENATE(E1137,G1137),'LAC 103'!$A$12:$O$95,11,FALSE),0)</f>
        <v>3.207410103388435</v>
      </c>
      <c r="S1137" s="1144">
        <f>IFERROR(VLOOKUP(CONCATENATE($E1137,$G1137),'LAC 103'!$A$12:$O$95,12,FALSE),0)</f>
        <v>3.99</v>
      </c>
      <c r="T1137" s="1144">
        <f>IFERROR(VLOOKUP(CONCATENATE($E1137,$G1137),'LAC 103'!$A$12:$O$95,13,FALSE),0)</f>
        <v>2.48</v>
      </c>
      <c r="U1137" s="1144">
        <f>IFERROR(VLOOKUP(CONCATENATE($E1137,$G1137),'LAC 103'!$A$12:$O$95,14,FALSE),0)</f>
        <v>0</v>
      </c>
      <c r="V1137" s="1144">
        <f>IFERROR(VLOOKUP(CONCATENATE($E1137,$G1137),'LAC 103'!$A$12:$O$95,15,FALSE),0)</f>
        <v>0</v>
      </c>
      <c r="W1137" s="1145" t="str">
        <f>IFERROR(VLOOKUP(CONCATENATE($B1137,$N1137),'LAC 103'!$AI:$AQ,9,FALSE),"")</f>
        <v>Costs</v>
      </c>
      <c r="X1137" s="1146">
        <f t="shared" si="312"/>
        <v>3.207410103388435</v>
      </c>
      <c r="Y1137" s="1143">
        <f t="shared" si="323"/>
        <v>7527.7915126526568</v>
      </c>
      <c r="Z1137" s="1147">
        <f t="shared" si="313"/>
        <v>9364.5300000000007</v>
      </c>
      <c r="AA1137" s="1144">
        <f t="shared" si="314"/>
        <v>5820.56</v>
      </c>
      <c r="AB1137" s="1144">
        <f t="shared" si="315"/>
        <v>0</v>
      </c>
      <c r="AC1137" s="1144">
        <f t="shared" si="316"/>
        <v>0</v>
      </c>
      <c r="AD1137" s="1148">
        <f t="shared" si="308"/>
        <v>7527.7915126526568</v>
      </c>
      <c r="AE1137" s="1487">
        <v>0</v>
      </c>
      <c r="AF1137" s="1145">
        <f t="shared" si="317"/>
        <v>7527.7915126526568</v>
      </c>
      <c r="AG1137" s="1149">
        <f>IFERROR(VLOOKUP(CONCATENATE($L1137,$N1137),'Drop List'!$G$23:$K$87,2,FALSE),0)</f>
        <v>0</v>
      </c>
      <c r="AH1137" s="1150">
        <f>IFERROR(VLOOKUP(CONCATENATE($L1137,$N1137),'Drop List'!$G$23:$K$87,3,FALSE),0)</f>
        <v>0</v>
      </c>
      <c r="AI1137" s="1150">
        <f>IFERROR(VLOOKUP(CONCATENATE($L1137,$N1137),'Drop List'!$G$23:$K$87,4,FALSE),0)</f>
        <v>0</v>
      </c>
      <c r="AJ1137" s="1151">
        <f>IFERROR(VLOOKUP(CONCATENATE($L1137,$N1137),'Drop List'!$G$23:$K$87,5,FALSE),0)</f>
        <v>0</v>
      </c>
      <c r="AK1137" s="1152">
        <f t="shared" si="318"/>
        <v>0</v>
      </c>
      <c r="AL1137" s="1153">
        <f t="shared" si="319"/>
        <v>0</v>
      </c>
      <c r="AM1137" s="1153">
        <f t="shared" si="320"/>
        <v>0</v>
      </c>
      <c r="AN1137" s="1145">
        <f t="shared" si="321"/>
        <v>0</v>
      </c>
      <c r="AO1137" s="1154">
        <f t="shared" si="322"/>
        <v>0</v>
      </c>
      <c r="AP1137" s="1147">
        <f t="shared" si="309"/>
        <v>7527.7915126526568</v>
      </c>
      <c r="AQ1137" s="1144">
        <f t="shared" si="310"/>
        <v>0</v>
      </c>
      <c r="AR1137" s="1146">
        <f t="shared" si="311"/>
        <v>7527.7915126526568</v>
      </c>
    </row>
    <row r="1138" spans="1:44" x14ac:dyDescent="0.2">
      <c r="A1138" s="1141" t="str">
        <f t="shared" si="324"/>
        <v>1552</v>
      </c>
      <c r="B1138" s="1141" t="str">
        <f>IFERROR(VLOOKUP(A1138,'LAC 103'!A:C,3,FALSE),"")</f>
        <v>OP</v>
      </c>
      <c r="C1138" s="1478" t="str">
        <f>Info!$B$8</f>
        <v>00100</v>
      </c>
      <c r="D1138" s="1474" t="s">
        <v>256</v>
      </c>
      <c r="E1138" s="1474" t="s">
        <v>95</v>
      </c>
      <c r="F1138" s="1478" t="s">
        <v>412</v>
      </c>
      <c r="G1138" s="1478" t="s">
        <v>412</v>
      </c>
      <c r="H1138" s="1474" t="s">
        <v>1091</v>
      </c>
      <c r="I1138" s="1478" t="s">
        <v>815</v>
      </c>
      <c r="J1138" s="1478"/>
      <c r="K1138" s="1475" t="s">
        <v>850</v>
      </c>
      <c r="L1138" s="1474" t="s">
        <v>330</v>
      </c>
      <c r="M1138" s="1476" t="s">
        <v>1699</v>
      </c>
      <c r="N1138" s="1477" t="s">
        <v>1694</v>
      </c>
      <c r="O1138" s="1479">
        <v>90</v>
      </c>
      <c r="P1138" s="1479"/>
      <c r="Q1138" s="1142">
        <f t="shared" si="307"/>
        <v>90</v>
      </c>
      <c r="R1138" s="1143">
        <f>IFERROR(VLOOKUP(CONCATENATE(E1138,G1138),'LAC 103'!$A$12:$O$95,11,FALSE),0)</f>
        <v>3.207410103388435</v>
      </c>
      <c r="S1138" s="1144">
        <f>IFERROR(VLOOKUP(CONCATENATE($E1138,$G1138),'LAC 103'!$A$12:$O$95,12,FALSE),0)</f>
        <v>3.99</v>
      </c>
      <c r="T1138" s="1144">
        <f>IFERROR(VLOOKUP(CONCATENATE($E1138,$G1138),'LAC 103'!$A$12:$O$95,13,FALSE),0)</f>
        <v>2.48</v>
      </c>
      <c r="U1138" s="1144">
        <f>IFERROR(VLOOKUP(CONCATENATE($E1138,$G1138),'LAC 103'!$A$12:$O$95,14,FALSE),0)</f>
        <v>0</v>
      </c>
      <c r="V1138" s="1144">
        <f>IFERROR(VLOOKUP(CONCATENATE($E1138,$G1138),'LAC 103'!$A$12:$O$95,15,FALSE),0)</f>
        <v>0</v>
      </c>
      <c r="W1138" s="1145" t="str">
        <f>IFERROR(VLOOKUP(CONCATENATE($B1138,$N1138),'LAC 103'!$AI:$AQ,9,FALSE),"")</f>
        <v>Costs</v>
      </c>
      <c r="X1138" s="1146">
        <f t="shared" si="312"/>
        <v>3.207410103388435</v>
      </c>
      <c r="Y1138" s="1143">
        <f t="shared" si="323"/>
        <v>288.66690930495918</v>
      </c>
      <c r="Z1138" s="1147">
        <f t="shared" si="313"/>
        <v>359.1</v>
      </c>
      <c r="AA1138" s="1144">
        <f t="shared" si="314"/>
        <v>223.2</v>
      </c>
      <c r="AB1138" s="1144">
        <f t="shared" si="315"/>
        <v>0</v>
      </c>
      <c r="AC1138" s="1144">
        <f t="shared" si="316"/>
        <v>0</v>
      </c>
      <c r="AD1138" s="1148">
        <f t="shared" si="308"/>
        <v>288.66690930495918</v>
      </c>
      <c r="AE1138" s="1487">
        <v>0</v>
      </c>
      <c r="AF1138" s="1145">
        <f t="shared" si="317"/>
        <v>288.66690930495918</v>
      </c>
      <c r="AG1138" s="1149">
        <f>IFERROR(VLOOKUP(CONCATENATE($L1138,$N1138),'Drop List'!$G$23:$K$87,2,FALSE),0)</f>
        <v>0</v>
      </c>
      <c r="AH1138" s="1150">
        <f>IFERROR(VLOOKUP(CONCATENATE($L1138,$N1138),'Drop List'!$G$23:$K$87,3,FALSE),0)</f>
        <v>0</v>
      </c>
      <c r="AI1138" s="1150">
        <f>IFERROR(VLOOKUP(CONCATENATE($L1138,$N1138),'Drop List'!$G$23:$K$87,4,FALSE),0)</f>
        <v>1</v>
      </c>
      <c r="AJ1138" s="1151">
        <f>IFERROR(VLOOKUP(CONCATENATE($L1138,$N1138),'Drop List'!$G$23:$K$87,5,FALSE),0)</f>
        <v>0</v>
      </c>
      <c r="AK1138" s="1152">
        <f t="shared" si="318"/>
        <v>0</v>
      </c>
      <c r="AL1138" s="1153">
        <f t="shared" si="319"/>
        <v>0</v>
      </c>
      <c r="AM1138" s="1153">
        <f t="shared" si="320"/>
        <v>288.66690930495918</v>
      </c>
      <c r="AN1138" s="1145">
        <f t="shared" si="321"/>
        <v>0</v>
      </c>
      <c r="AO1138" s="1154">
        <f t="shared" si="322"/>
        <v>288.66690930495918</v>
      </c>
      <c r="AP1138" s="1147">
        <f t="shared" si="309"/>
        <v>0</v>
      </c>
      <c r="AQ1138" s="1144">
        <f t="shared" si="310"/>
        <v>0</v>
      </c>
      <c r="AR1138" s="1146">
        <f t="shared" si="311"/>
        <v>288.66690930495918</v>
      </c>
    </row>
    <row r="1139" spans="1:44" x14ac:dyDescent="0.2">
      <c r="A1139" s="1141" t="str">
        <f t="shared" si="324"/>
        <v>1552</v>
      </c>
      <c r="B1139" s="1141" t="str">
        <f>IFERROR(VLOOKUP(A1139,'LAC 103'!A:C,3,FALSE),"")</f>
        <v>OP</v>
      </c>
      <c r="C1139" s="1478" t="str">
        <f>Info!$B$8</f>
        <v>00100</v>
      </c>
      <c r="D1139" s="1474" t="s">
        <v>256</v>
      </c>
      <c r="E1139" s="1474" t="s">
        <v>95</v>
      </c>
      <c r="F1139" s="1478" t="s">
        <v>412</v>
      </c>
      <c r="G1139" s="1478" t="s">
        <v>412</v>
      </c>
      <c r="H1139" s="1474" t="s">
        <v>1091</v>
      </c>
      <c r="I1139" s="1478" t="s">
        <v>815</v>
      </c>
      <c r="J1139" s="1478"/>
      <c r="K1139" s="1475" t="s">
        <v>850</v>
      </c>
      <c r="L1139" s="1474" t="s">
        <v>330</v>
      </c>
      <c r="M1139" s="1476" t="s">
        <v>842</v>
      </c>
      <c r="N1139" s="1477" t="s">
        <v>1692</v>
      </c>
      <c r="O1139" s="1479">
        <v>517</v>
      </c>
      <c r="P1139" s="1479"/>
      <c r="Q1139" s="1142">
        <f t="shared" si="307"/>
        <v>517</v>
      </c>
      <c r="R1139" s="1143">
        <f>IFERROR(VLOOKUP(CONCATENATE(E1139,G1139),'LAC 103'!$A$12:$O$95,11,FALSE),0)</f>
        <v>3.207410103388435</v>
      </c>
      <c r="S1139" s="1144">
        <f>IFERROR(VLOOKUP(CONCATENATE($E1139,$G1139),'LAC 103'!$A$12:$O$95,12,FALSE),0)</f>
        <v>3.99</v>
      </c>
      <c r="T1139" s="1144">
        <f>IFERROR(VLOOKUP(CONCATENATE($E1139,$G1139),'LAC 103'!$A$12:$O$95,13,FALSE),0)</f>
        <v>2.48</v>
      </c>
      <c r="U1139" s="1144">
        <f>IFERROR(VLOOKUP(CONCATENATE($E1139,$G1139),'LAC 103'!$A$12:$O$95,14,FALSE),0)</f>
        <v>0</v>
      </c>
      <c r="V1139" s="1144">
        <f>IFERROR(VLOOKUP(CONCATENATE($E1139,$G1139),'LAC 103'!$A$12:$O$95,15,FALSE),0)</f>
        <v>0</v>
      </c>
      <c r="W1139" s="1145" t="str">
        <f>IFERROR(VLOOKUP(CONCATENATE($B1139,$N1139),'LAC 103'!$AI:$AQ,9,FALSE),"")</f>
        <v>Costs</v>
      </c>
      <c r="X1139" s="1146">
        <f t="shared" si="312"/>
        <v>3.207410103388435</v>
      </c>
      <c r="Y1139" s="1143">
        <f t="shared" si="323"/>
        <v>1658.2310234518209</v>
      </c>
      <c r="Z1139" s="1147">
        <f t="shared" si="313"/>
        <v>2062.83</v>
      </c>
      <c r="AA1139" s="1144">
        <f t="shared" si="314"/>
        <v>1282.1600000000001</v>
      </c>
      <c r="AB1139" s="1144">
        <f t="shared" si="315"/>
        <v>0</v>
      </c>
      <c r="AC1139" s="1144">
        <f t="shared" si="316"/>
        <v>0</v>
      </c>
      <c r="AD1139" s="1148">
        <f t="shared" si="308"/>
        <v>1658.2310234518209</v>
      </c>
      <c r="AE1139" s="1487">
        <v>0</v>
      </c>
      <c r="AF1139" s="1145">
        <f t="shared" si="317"/>
        <v>1658.2310234518209</v>
      </c>
      <c r="AG1139" s="1149">
        <f>IFERROR(VLOOKUP(CONCATENATE($L1139,$N1139),'Drop List'!$G$23:$K$87,2,FALSE),0)</f>
        <v>0</v>
      </c>
      <c r="AH1139" s="1150">
        <f>IFERROR(VLOOKUP(CONCATENATE($L1139,$N1139),'Drop List'!$G$23:$K$87,3,FALSE),0)</f>
        <v>0</v>
      </c>
      <c r="AI1139" s="1150">
        <f>IFERROR(VLOOKUP(CONCATENATE($L1139,$N1139),'Drop List'!$G$23:$K$87,4,FALSE),0)</f>
        <v>1</v>
      </c>
      <c r="AJ1139" s="1151">
        <f>IFERROR(VLOOKUP(CONCATENATE($L1139,$N1139),'Drop List'!$G$23:$K$87,5,FALSE),0)</f>
        <v>0</v>
      </c>
      <c r="AK1139" s="1152">
        <f t="shared" si="318"/>
        <v>0</v>
      </c>
      <c r="AL1139" s="1153">
        <f t="shared" si="319"/>
        <v>0</v>
      </c>
      <c r="AM1139" s="1153">
        <f t="shared" si="320"/>
        <v>1658.2310234518209</v>
      </c>
      <c r="AN1139" s="1145">
        <f t="shared" si="321"/>
        <v>0</v>
      </c>
      <c r="AO1139" s="1154">
        <f t="shared" si="322"/>
        <v>1658.2310234518209</v>
      </c>
      <c r="AP1139" s="1147">
        <f t="shared" si="309"/>
        <v>0</v>
      </c>
      <c r="AQ1139" s="1144">
        <f t="shared" si="310"/>
        <v>0</v>
      </c>
      <c r="AR1139" s="1146">
        <f t="shared" si="311"/>
        <v>1658.2310234518209</v>
      </c>
    </row>
    <row r="1140" spans="1:44" x14ac:dyDescent="0.2">
      <c r="A1140" s="1141" t="str">
        <f t="shared" si="324"/>
        <v>1552</v>
      </c>
      <c r="B1140" s="1141" t="str">
        <f>IFERROR(VLOOKUP(A1140,'LAC 103'!A:C,3,FALSE),"")</f>
        <v>OP</v>
      </c>
      <c r="C1140" s="1478" t="str">
        <f>Info!$B$8</f>
        <v>00100</v>
      </c>
      <c r="D1140" s="1474" t="s">
        <v>256</v>
      </c>
      <c r="E1140" s="1474" t="s">
        <v>95</v>
      </c>
      <c r="F1140" s="1478" t="s">
        <v>412</v>
      </c>
      <c r="G1140" s="1478" t="s">
        <v>412</v>
      </c>
      <c r="H1140" s="1474" t="s">
        <v>1091</v>
      </c>
      <c r="I1140" s="1478" t="s">
        <v>815</v>
      </c>
      <c r="J1140" s="1478"/>
      <c r="K1140" s="1475" t="s">
        <v>850</v>
      </c>
      <c r="L1140" s="1474" t="s">
        <v>330</v>
      </c>
      <c r="M1140" s="1476" t="s">
        <v>1698</v>
      </c>
      <c r="N1140" s="1477" t="s">
        <v>1693</v>
      </c>
      <c r="O1140" s="1479">
        <v>662</v>
      </c>
      <c r="P1140" s="1479"/>
      <c r="Q1140" s="1142">
        <f t="shared" si="307"/>
        <v>662</v>
      </c>
      <c r="R1140" s="1143">
        <f>IFERROR(VLOOKUP(CONCATENATE(E1140,G1140),'LAC 103'!$A$12:$O$95,11,FALSE),0)</f>
        <v>3.207410103388435</v>
      </c>
      <c r="S1140" s="1144">
        <f>IFERROR(VLOOKUP(CONCATENATE($E1140,$G1140),'LAC 103'!$A$12:$O$95,12,FALSE),0)</f>
        <v>3.99</v>
      </c>
      <c r="T1140" s="1144">
        <f>IFERROR(VLOOKUP(CONCATENATE($E1140,$G1140),'LAC 103'!$A$12:$O$95,13,FALSE),0)</f>
        <v>2.48</v>
      </c>
      <c r="U1140" s="1144">
        <f>IFERROR(VLOOKUP(CONCATENATE($E1140,$G1140),'LAC 103'!$A$12:$O$95,14,FALSE),0)</f>
        <v>0</v>
      </c>
      <c r="V1140" s="1144">
        <f>IFERROR(VLOOKUP(CONCATENATE($E1140,$G1140),'LAC 103'!$A$12:$O$95,15,FALSE),0)</f>
        <v>0</v>
      </c>
      <c r="W1140" s="1145" t="str">
        <f>IFERROR(VLOOKUP(CONCATENATE($B1140,$N1140),'LAC 103'!$AI:$AQ,9,FALSE),"")</f>
        <v>Costs</v>
      </c>
      <c r="X1140" s="1146">
        <f t="shared" si="312"/>
        <v>3.207410103388435</v>
      </c>
      <c r="Y1140" s="1143">
        <f t="shared" si="323"/>
        <v>2123.305488443144</v>
      </c>
      <c r="Z1140" s="1147">
        <f t="shared" si="313"/>
        <v>2641.38</v>
      </c>
      <c r="AA1140" s="1144">
        <f t="shared" si="314"/>
        <v>1641.76</v>
      </c>
      <c r="AB1140" s="1144">
        <f t="shared" si="315"/>
        <v>0</v>
      </c>
      <c r="AC1140" s="1144">
        <f t="shared" si="316"/>
        <v>0</v>
      </c>
      <c r="AD1140" s="1148">
        <f t="shared" si="308"/>
        <v>2123.305488443144</v>
      </c>
      <c r="AE1140" s="1487">
        <v>0</v>
      </c>
      <c r="AF1140" s="1145">
        <f t="shared" si="317"/>
        <v>2123.305488443144</v>
      </c>
      <c r="AG1140" s="1149">
        <f>IFERROR(VLOOKUP(CONCATENATE($L1140,$N1140),'Drop List'!$G$23:$K$87,2,FALSE),0)</f>
        <v>0</v>
      </c>
      <c r="AH1140" s="1150">
        <f>IFERROR(VLOOKUP(CONCATENATE($L1140,$N1140),'Drop List'!$G$23:$K$87,3,FALSE),0)</f>
        <v>0</v>
      </c>
      <c r="AI1140" s="1150">
        <f>IFERROR(VLOOKUP(CONCATENATE($L1140,$N1140),'Drop List'!$G$23:$K$87,4,FALSE),0)</f>
        <v>1</v>
      </c>
      <c r="AJ1140" s="1151">
        <f>IFERROR(VLOOKUP(CONCATENATE($L1140,$N1140),'Drop List'!$G$23:$K$87,5,FALSE),0)</f>
        <v>0</v>
      </c>
      <c r="AK1140" s="1152">
        <f t="shared" si="318"/>
        <v>0</v>
      </c>
      <c r="AL1140" s="1153">
        <f t="shared" si="319"/>
        <v>0</v>
      </c>
      <c r="AM1140" s="1153">
        <f t="shared" si="320"/>
        <v>2123.305488443144</v>
      </c>
      <c r="AN1140" s="1145">
        <f t="shared" si="321"/>
        <v>0</v>
      </c>
      <c r="AO1140" s="1154">
        <f t="shared" si="322"/>
        <v>2123.305488443144</v>
      </c>
      <c r="AP1140" s="1147">
        <f t="shared" si="309"/>
        <v>0</v>
      </c>
      <c r="AQ1140" s="1144">
        <f t="shared" si="310"/>
        <v>0</v>
      </c>
      <c r="AR1140" s="1146">
        <f t="shared" si="311"/>
        <v>2123.305488443144</v>
      </c>
    </row>
    <row r="1141" spans="1:44" x14ac:dyDescent="0.2">
      <c r="A1141" s="1141" t="str">
        <f t="shared" si="324"/>
        <v>1552</v>
      </c>
      <c r="B1141" s="1141" t="str">
        <f>IFERROR(VLOOKUP(A1141,'LAC 103'!A:C,3,FALSE),"")</f>
        <v>OP</v>
      </c>
      <c r="C1141" s="1478" t="str">
        <f>Info!$B$8</f>
        <v>00100</v>
      </c>
      <c r="D1141" s="1474" t="s">
        <v>256</v>
      </c>
      <c r="E1141" s="1474" t="s">
        <v>95</v>
      </c>
      <c r="F1141" s="1478" t="s">
        <v>412</v>
      </c>
      <c r="G1141" s="1478" t="s">
        <v>412</v>
      </c>
      <c r="H1141" s="1474" t="s">
        <v>1091</v>
      </c>
      <c r="I1141" s="1478" t="s">
        <v>815</v>
      </c>
      <c r="J1141" s="1478"/>
      <c r="K1141" s="1475" t="s">
        <v>851</v>
      </c>
      <c r="L1141" s="1474" t="s">
        <v>584</v>
      </c>
      <c r="M1141" s="1476" t="s">
        <v>1699</v>
      </c>
      <c r="N1141" s="1477" t="s">
        <v>1694</v>
      </c>
      <c r="O1141" s="1479">
        <v>21008</v>
      </c>
      <c r="P1141" s="1479"/>
      <c r="Q1141" s="1142">
        <f t="shared" si="307"/>
        <v>21008</v>
      </c>
      <c r="R1141" s="1143">
        <f>IFERROR(VLOOKUP(CONCATENATE(E1141,G1141),'LAC 103'!$A$12:$O$95,11,FALSE),0)</f>
        <v>3.207410103388435</v>
      </c>
      <c r="S1141" s="1144">
        <f>IFERROR(VLOOKUP(CONCATENATE($E1141,$G1141),'LAC 103'!$A$12:$O$95,12,FALSE),0)</f>
        <v>3.99</v>
      </c>
      <c r="T1141" s="1144">
        <f>IFERROR(VLOOKUP(CONCATENATE($E1141,$G1141),'LAC 103'!$A$12:$O$95,13,FALSE),0)</f>
        <v>2.48</v>
      </c>
      <c r="U1141" s="1144">
        <f>IFERROR(VLOOKUP(CONCATENATE($E1141,$G1141),'LAC 103'!$A$12:$O$95,14,FALSE),0)</f>
        <v>0</v>
      </c>
      <c r="V1141" s="1144">
        <f>IFERROR(VLOOKUP(CONCATENATE($E1141,$G1141),'LAC 103'!$A$12:$O$95,15,FALSE),0)</f>
        <v>0</v>
      </c>
      <c r="W1141" s="1145" t="str">
        <f>IFERROR(VLOOKUP(CONCATENATE($B1141,$N1141),'LAC 103'!$AI:$AQ,9,FALSE),"")</f>
        <v>Costs</v>
      </c>
      <c r="X1141" s="1146">
        <f t="shared" si="312"/>
        <v>3.207410103388435</v>
      </c>
      <c r="Y1141" s="1143">
        <f t="shared" si="323"/>
        <v>67381.271451984241</v>
      </c>
      <c r="Z1141" s="1147">
        <f t="shared" si="313"/>
        <v>83821.919999999998</v>
      </c>
      <c r="AA1141" s="1144">
        <f t="shared" si="314"/>
        <v>52099.839999999997</v>
      </c>
      <c r="AB1141" s="1144">
        <f t="shared" si="315"/>
        <v>0</v>
      </c>
      <c r="AC1141" s="1144">
        <f t="shared" si="316"/>
        <v>0</v>
      </c>
      <c r="AD1141" s="1148">
        <f t="shared" si="308"/>
        <v>67381.271451984241</v>
      </c>
      <c r="AE1141" s="1487">
        <v>0</v>
      </c>
      <c r="AF1141" s="1145">
        <f t="shared" si="317"/>
        <v>67381.271451984241</v>
      </c>
      <c r="AG1141" s="1149">
        <f>IFERROR(VLOOKUP(CONCATENATE($L1141,$N1141),'Drop List'!$G$23:$K$87,2,FALSE),0)</f>
        <v>0.56200000000000006</v>
      </c>
      <c r="AH1141" s="1150">
        <f>IFERROR(VLOOKUP(CONCATENATE($L1141,$N1141),'Drop List'!$G$23:$K$87,3,FALSE),0)</f>
        <v>0</v>
      </c>
      <c r="AI1141" s="1150">
        <f>IFERROR(VLOOKUP(CONCATENATE($L1141,$N1141),'Drop List'!$G$23:$K$87,4,FALSE),0)</f>
        <v>0</v>
      </c>
      <c r="AJ1141" s="1151">
        <f>IFERROR(VLOOKUP(CONCATENATE($L1141,$N1141),'Drop List'!$G$23:$K$87,5,FALSE),0)</f>
        <v>0.43799999999999994</v>
      </c>
      <c r="AK1141" s="1152">
        <f t="shared" si="318"/>
        <v>37868.274556015145</v>
      </c>
      <c r="AL1141" s="1153">
        <f t="shared" si="319"/>
        <v>0</v>
      </c>
      <c r="AM1141" s="1153">
        <f t="shared" si="320"/>
        <v>0</v>
      </c>
      <c r="AN1141" s="1145">
        <f t="shared" si="321"/>
        <v>29512.996895969092</v>
      </c>
      <c r="AO1141" s="1154">
        <f t="shared" si="322"/>
        <v>67381.271451984241</v>
      </c>
      <c r="AP1141" s="1147">
        <f t="shared" si="309"/>
        <v>0</v>
      </c>
      <c r="AQ1141" s="1144">
        <f t="shared" si="310"/>
        <v>0</v>
      </c>
      <c r="AR1141" s="1146">
        <f t="shared" si="311"/>
        <v>67381.271451984241</v>
      </c>
    </row>
    <row r="1142" spans="1:44" x14ac:dyDescent="0.2">
      <c r="A1142" s="1141" t="str">
        <f t="shared" si="324"/>
        <v>1552</v>
      </c>
      <c r="B1142" s="1141" t="str">
        <f>IFERROR(VLOOKUP(A1142,'LAC 103'!A:C,3,FALSE),"")</f>
        <v>OP</v>
      </c>
      <c r="C1142" s="1478" t="str">
        <f>Info!$B$8</f>
        <v>00100</v>
      </c>
      <c r="D1142" s="1474" t="s">
        <v>256</v>
      </c>
      <c r="E1142" s="1474" t="s">
        <v>95</v>
      </c>
      <c r="F1142" s="1478" t="s">
        <v>412</v>
      </c>
      <c r="G1142" s="1478" t="s">
        <v>412</v>
      </c>
      <c r="H1142" s="1474" t="s">
        <v>1091</v>
      </c>
      <c r="I1142" s="1478" t="s">
        <v>815</v>
      </c>
      <c r="J1142" s="1478"/>
      <c r="K1142" s="1475" t="s">
        <v>851</v>
      </c>
      <c r="L1142" s="1474" t="s">
        <v>584</v>
      </c>
      <c r="M1142" s="1476" t="s">
        <v>841</v>
      </c>
      <c r="N1142" s="1477" t="s">
        <v>1695</v>
      </c>
      <c r="O1142" s="1479">
        <v>8375</v>
      </c>
      <c r="P1142" s="1479"/>
      <c r="Q1142" s="1142">
        <f t="shared" si="307"/>
        <v>8375</v>
      </c>
      <c r="R1142" s="1143">
        <f>IFERROR(VLOOKUP(CONCATENATE(E1142,G1142),'LAC 103'!$A$12:$O$95,11,FALSE),0)</f>
        <v>3.207410103388435</v>
      </c>
      <c r="S1142" s="1144">
        <f>IFERROR(VLOOKUP(CONCATENATE($E1142,$G1142),'LAC 103'!$A$12:$O$95,12,FALSE),0)</f>
        <v>3.99</v>
      </c>
      <c r="T1142" s="1144">
        <f>IFERROR(VLOOKUP(CONCATENATE($E1142,$G1142),'LAC 103'!$A$12:$O$95,13,FALSE),0)</f>
        <v>2.48</v>
      </c>
      <c r="U1142" s="1144">
        <f>IFERROR(VLOOKUP(CONCATENATE($E1142,$G1142),'LAC 103'!$A$12:$O$95,14,FALSE),0)</f>
        <v>0</v>
      </c>
      <c r="V1142" s="1144">
        <f>IFERROR(VLOOKUP(CONCATENATE($E1142,$G1142),'LAC 103'!$A$12:$O$95,15,FALSE),0)</f>
        <v>0</v>
      </c>
      <c r="W1142" s="1145" t="str">
        <f>IFERROR(VLOOKUP(CONCATENATE($B1142,$N1142),'LAC 103'!$AI:$AQ,9,FALSE),"")</f>
        <v>Costs</v>
      </c>
      <c r="X1142" s="1146">
        <f t="shared" si="312"/>
        <v>3.207410103388435</v>
      </c>
      <c r="Y1142" s="1143">
        <f t="shared" si="323"/>
        <v>26862.059615878145</v>
      </c>
      <c r="Z1142" s="1147">
        <f t="shared" si="313"/>
        <v>33416.25</v>
      </c>
      <c r="AA1142" s="1144">
        <f t="shared" si="314"/>
        <v>20770</v>
      </c>
      <c r="AB1142" s="1144">
        <f t="shared" si="315"/>
        <v>0</v>
      </c>
      <c r="AC1142" s="1144">
        <f t="shared" si="316"/>
        <v>0</v>
      </c>
      <c r="AD1142" s="1148">
        <f t="shared" si="308"/>
        <v>26862.059615878145</v>
      </c>
      <c r="AE1142" s="1487">
        <v>0</v>
      </c>
      <c r="AF1142" s="1145">
        <f t="shared" si="317"/>
        <v>26862.059615878145</v>
      </c>
      <c r="AG1142" s="1149">
        <f>IFERROR(VLOOKUP(CONCATENATE($L1142,$N1142),'Drop List'!$G$23:$K$87,2,FALSE),0)</f>
        <v>0.55000000000000004</v>
      </c>
      <c r="AH1142" s="1150">
        <f>IFERROR(VLOOKUP(CONCATENATE($L1142,$N1142),'Drop List'!$G$23:$K$87,3,FALSE),0)</f>
        <v>0</v>
      </c>
      <c r="AI1142" s="1150">
        <f>IFERROR(VLOOKUP(CONCATENATE($L1142,$N1142),'Drop List'!$G$23:$K$87,4,FALSE),0)</f>
        <v>0</v>
      </c>
      <c r="AJ1142" s="1151">
        <f>IFERROR(VLOOKUP(CONCATENATE($L1142,$N1142),'Drop List'!$G$23:$K$87,5,FALSE),0)</f>
        <v>0.44999999999999996</v>
      </c>
      <c r="AK1142" s="1152">
        <f t="shared" si="318"/>
        <v>14774.132788732981</v>
      </c>
      <c r="AL1142" s="1153">
        <f t="shared" si="319"/>
        <v>0</v>
      </c>
      <c r="AM1142" s="1153">
        <f t="shared" si="320"/>
        <v>0</v>
      </c>
      <c r="AN1142" s="1145">
        <f t="shared" si="321"/>
        <v>12087.926827145164</v>
      </c>
      <c r="AO1142" s="1154">
        <f t="shared" si="322"/>
        <v>26862.059615878145</v>
      </c>
      <c r="AP1142" s="1147">
        <f t="shared" si="309"/>
        <v>0</v>
      </c>
      <c r="AQ1142" s="1144">
        <f t="shared" si="310"/>
        <v>0</v>
      </c>
      <c r="AR1142" s="1146">
        <f t="shared" si="311"/>
        <v>26862.059615878145</v>
      </c>
    </row>
    <row r="1143" spans="1:44" x14ac:dyDescent="0.2">
      <c r="A1143" s="1141" t="str">
        <f t="shared" si="324"/>
        <v>1552</v>
      </c>
      <c r="B1143" s="1141" t="str">
        <f>IFERROR(VLOOKUP(A1143,'LAC 103'!A:C,3,FALSE),"")</f>
        <v>OP</v>
      </c>
      <c r="C1143" s="1478" t="str">
        <f>Info!$B$8</f>
        <v>00100</v>
      </c>
      <c r="D1143" s="1474" t="s">
        <v>256</v>
      </c>
      <c r="E1143" s="1474" t="s">
        <v>95</v>
      </c>
      <c r="F1143" s="1478" t="s">
        <v>412</v>
      </c>
      <c r="G1143" s="1478" t="s">
        <v>412</v>
      </c>
      <c r="H1143" s="1474" t="s">
        <v>1091</v>
      </c>
      <c r="I1143" s="1478" t="s">
        <v>815</v>
      </c>
      <c r="J1143" s="1478"/>
      <c r="K1143" s="1475" t="s">
        <v>851</v>
      </c>
      <c r="L1143" s="1474" t="s">
        <v>584</v>
      </c>
      <c r="M1143" s="1476" t="s">
        <v>840</v>
      </c>
      <c r="N1143" s="1477" t="s">
        <v>1700</v>
      </c>
      <c r="O1143" s="1479">
        <v>12294</v>
      </c>
      <c r="P1143" s="1479"/>
      <c r="Q1143" s="1142">
        <f t="shared" si="307"/>
        <v>12294</v>
      </c>
      <c r="R1143" s="1143">
        <f>IFERROR(VLOOKUP(CONCATENATE(E1143,G1143),'LAC 103'!$A$12:$O$95,11,FALSE),0)</f>
        <v>3.207410103388435</v>
      </c>
      <c r="S1143" s="1144">
        <f>IFERROR(VLOOKUP(CONCATENATE($E1143,$G1143),'LAC 103'!$A$12:$O$95,12,FALSE),0)</f>
        <v>3.99</v>
      </c>
      <c r="T1143" s="1144">
        <f>IFERROR(VLOOKUP(CONCATENATE($E1143,$G1143),'LAC 103'!$A$12:$O$95,13,FALSE),0)</f>
        <v>2.48</v>
      </c>
      <c r="U1143" s="1144">
        <f>IFERROR(VLOOKUP(CONCATENATE($E1143,$G1143),'LAC 103'!$A$12:$O$95,14,FALSE),0)</f>
        <v>0</v>
      </c>
      <c r="V1143" s="1144">
        <f>IFERROR(VLOOKUP(CONCATENATE($E1143,$G1143),'LAC 103'!$A$12:$O$95,15,FALSE),0)</f>
        <v>0</v>
      </c>
      <c r="W1143" s="1145" t="str">
        <f>IFERROR(VLOOKUP(CONCATENATE($B1143,$N1143),'LAC 103'!$AI:$AQ,9,FALSE),"")</f>
        <v>P.C.</v>
      </c>
      <c r="X1143" s="1146">
        <f t="shared" si="312"/>
        <v>2.48</v>
      </c>
      <c r="Y1143" s="1143">
        <f t="shared" si="323"/>
        <v>39431.899811057418</v>
      </c>
      <c r="Z1143" s="1147">
        <f t="shared" si="313"/>
        <v>49053.060000000005</v>
      </c>
      <c r="AA1143" s="1144">
        <f t="shared" si="314"/>
        <v>30489.119999999999</v>
      </c>
      <c r="AB1143" s="1144">
        <f t="shared" si="315"/>
        <v>0</v>
      </c>
      <c r="AC1143" s="1144">
        <f t="shared" si="316"/>
        <v>0</v>
      </c>
      <c r="AD1143" s="1148">
        <f t="shared" si="308"/>
        <v>30489.119999999999</v>
      </c>
      <c r="AE1143" s="1487">
        <v>0</v>
      </c>
      <c r="AF1143" s="1145">
        <f t="shared" si="317"/>
        <v>30489.119999999999</v>
      </c>
      <c r="AG1143" s="1149">
        <f>IFERROR(VLOOKUP(CONCATENATE($L1143,$N1143),'Drop List'!$G$23:$K$87,2,FALSE),0)</f>
        <v>0.55000000000000004</v>
      </c>
      <c r="AH1143" s="1150">
        <f>IFERROR(VLOOKUP(CONCATENATE($L1143,$N1143),'Drop List'!$G$23:$K$87,3,FALSE),0)</f>
        <v>0</v>
      </c>
      <c r="AI1143" s="1150">
        <f>IFERROR(VLOOKUP(CONCATENATE($L1143,$N1143),'Drop List'!$G$23:$K$87,4,FALSE),0)</f>
        <v>0</v>
      </c>
      <c r="AJ1143" s="1151">
        <f>IFERROR(VLOOKUP(CONCATENATE($L1143,$N1143),'Drop List'!$G$23:$K$87,5,FALSE),0)</f>
        <v>0.44999999999999996</v>
      </c>
      <c r="AK1143" s="1152">
        <f t="shared" si="318"/>
        <v>16769.016</v>
      </c>
      <c r="AL1143" s="1153">
        <f t="shared" si="319"/>
        <v>0</v>
      </c>
      <c r="AM1143" s="1153">
        <f t="shared" si="320"/>
        <v>0</v>
      </c>
      <c r="AN1143" s="1145">
        <f t="shared" si="321"/>
        <v>13720.103999999998</v>
      </c>
      <c r="AO1143" s="1154">
        <f t="shared" si="322"/>
        <v>30489.119999999995</v>
      </c>
      <c r="AP1143" s="1147">
        <f t="shared" si="309"/>
        <v>0</v>
      </c>
      <c r="AQ1143" s="1144">
        <f t="shared" si="310"/>
        <v>0</v>
      </c>
      <c r="AR1143" s="1146">
        <f t="shared" si="311"/>
        <v>30489.119999999995</v>
      </c>
    </row>
    <row r="1144" spans="1:44" x14ac:dyDescent="0.2">
      <c r="A1144" s="1141" t="str">
        <f t="shared" si="324"/>
        <v>1552</v>
      </c>
      <c r="B1144" s="1141" t="str">
        <f>IFERROR(VLOOKUP(A1144,'LAC 103'!A:C,3,FALSE),"")</f>
        <v>OP</v>
      </c>
      <c r="C1144" s="1478" t="str">
        <f>Info!$B$8</f>
        <v>00100</v>
      </c>
      <c r="D1144" s="1474" t="s">
        <v>256</v>
      </c>
      <c r="E1144" s="1474" t="s">
        <v>95</v>
      </c>
      <c r="F1144" s="1478" t="s">
        <v>412</v>
      </c>
      <c r="G1144" s="1478" t="s">
        <v>412</v>
      </c>
      <c r="H1144" s="1474" t="s">
        <v>1091</v>
      </c>
      <c r="I1144" s="1478" t="s">
        <v>815</v>
      </c>
      <c r="J1144" s="1478"/>
      <c r="K1144" s="1475" t="s">
        <v>851</v>
      </c>
      <c r="L1144" s="1474" t="s">
        <v>584</v>
      </c>
      <c r="M1144" s="1476" t="s">
        <v>842</v>
      </c>
      <c r="N1144" s="1477" t="s">
        <v>1692</v>
      </c>
      <c r="O1144" s="1479">
        <v>20659</v>
      </c>
      <c r="P1144" s="1479"/>
      <c r="Q1144" s="1142">
        <f t="shared" si="307"/>
        <v>20659</v>
      </c>
      <c r="R1144" s="1143">
        <f>IFERROR(VLOOKUP(CONCATENATE(E1144,G1144),'LAC 103'!$A$12:$O$95,11,FALSE),0)</f>
        <v>3.207410103388435</v>
      </c>
      <c r="S1144" s="1144">
        <f>IFERROR(VLOOKUP(CONCATENATE($E1144,$G1144),'LAC 103'!$A$12:$O$95,12,FALSE),0)</f>
        <v>3.99</v>
      </c>
      <c r="T1144" s="1144">
        <f>IFERROR(VLOOKUP(CONCATENATE($E1144,$G1144),'LAC 103'!$A$12:$O$95,13,FALSE),0)</f>
        <v>2.48</v>
      </c>
      <c r="U1144" s="1144">
        <f>IFERROR(VLOOKUP(CONCATENATE($E1144,$G1144),'LAC 103'!$A$12:$O$95,14,FALSE),0)</f>
        <v>0</v>
      </c>
      <c r="V1144" s="1144">
        <f>IFERROR(VLOOKUP(CONCATENATE($E1144,$G1144),'LAC 103'!$A$12:$O$95,15,FALSE),0)</f>
        <v>0</v>
      </c>
      <c r="W1144" s="1145" t="str">
        <f>IFERROR(VLOOKUP(CONCATENATE($B1144,$N1144),'LAC 103'!$AI:$AQ,9,FALSE),"")</f>
        <v>Costs</v>
      </c>
      <c r="X1144" s="1146">
        <f t="shared" si="312"/>
        <v>3.207410103388435</v>
      </c>
      <c r="Y1144" s="1143">
        <f t="shared" si="323"/>
        <v>66261.885325901676</v>
      </c>
      <c r="Z1144" s="1147">
        <f t="shared" si="313"/>
        <v>82429.41</v>
      </c>
      <c r="AA1144" s="1144">
        <f t="shared" si="314"/>
        <v>51234.32</v>
      </c>
      <c r="AB1144" s="1144">
        <f t="shared" si="315"/>
        <v>0</v>
      </c>
      <c r="AC1144" s="1144">
        <f t="shared" si="316"/>
        <v>0</v>
      </c>
      <c r="AD1144" s="1148">
        <f t="shared" si="308"/>
        <v>66261.885325901676</v>
      </c>
      <c r="AE1144" s="1487">
        <v>0</v>
      </c>
      <c r="AF1144" s="1145">
        <f t="shared" si="317"/>
        <v>66261.885325901676</v>
      </c>
      <c r="AG1144" s="1149">
        <f>IFERROR(VLOOKUP(CONCATENATE($L1144,$N1144),'Drop List'!$G$23:$K$87,2,FALSE),0)</f>
        <v>0.56200000000000006</v>
      </c>
      <c r="AH1144" s="1150">
        <f>IFERROR(VLOOKUP(CONCATENATE($L1144,$N1144),'Drop List'!$G$23:$K$87,3,FALSE),0)</f>
        <v>0</v>
      </c>
      <c r="AI1144" s="1150">
        <f>IFERROR(VLOOKUP(CONCATENATE($L1144,$N1144),'Drop List'!$G$23:$K$87,4,FALSE),0)</f>
        <v>0</v>
      </c>
      <c r="AJ1144" s="1151">
        <f>IFERROR(VLOOKUP(CONCATENATE($L1144,$N1144),'Drop List'!$G$23:$K$87,5,FALSE),0)</f>
        <v>0.43799999999999994</v>
      </c>
      <c r="AK1144" s="1152">
        <f t="shared" si="318"/>
        <v>37239.179553156748</v>
      </c>
      <c r="AL1144" s="1153">
        <f t="shared" si="319"/>
        <v>0</v>
      </c>
      <c r="AM1144" s="1153">
        <f t="shared" si="320"/>
        <v>0</v>
      </c>
      <c r="AN1144" s="1145">
        <f t="shared" si="321"/>
        <v>29022.705772744932</v>
      </c>
      <c r="AO1144" s="1154">
        <f t="shared" si="322"/>
        <v>66261.885325901676</v>
      </c>
      <c r="AP1144" s="1147">
        <f t="shared" si="309"/>
        <v>0</v>
      </c>
      <c r="AQ1144" s="1144">
        <f t="shared" si="310"/>
        <v>0</v>
      </c>
      <c r="AR1144" s="1146">
        <f t="shared" si="311"/>
        <v>66261.885325901676</v>
      </c>
    </row>
    <row r="1145" spans="1:44" x14ac:dyDescent="0.2">
      <c r="A1145" s="1141" t="str">
        <f t="shared" si="324"/>
        <v>1552</v>
      </c>
      <c r="B1145" s="1141" t="str">
        <f>IFERROR(VLOOKUP(A1145,'LAC 103'!A:C,3,FALSE),"")</f>
        <v>OP</v>
      </c>
      <c r="C1145" s="1478" t="str">
        <f>Info!$B$8</f>
        <v>00100</v>
      </c>
      <c r="D1145" s="1474" t="s">
        <v>256</v>
      </c>
      <c r="E1145" s="1474" t="s">
        <v>95</v>
      </c>
      <c r="F1145" s="1478" t="s">
        <v>412</v>
      </c>
      <c r="G1145" s="1478" t="s">
        <v>412</v>
      </c>
      <c r="H1145" s="1474" t="s">
        <v>1091</v>
      </c>
      <c r="I1145" s="1478" t="s">
        <v>815</v>
      </c>
      <c r="J1145" s="1478"/>
      <c r="K1145" s="1475" t="s">
        <v>851</v>
      </c>
      <c r="L1145" s="1474" t="s">
        <v>584</v>
      </c>
      <c r="M1145" s="1476" t="s">
        <v>1698</v>
      </c>
      <c r="N1145" s="1477" t="s">
        <v>1693</v>
      </c>
      <c r="O1145" s="1479">
        <v>23791</v>
      </c>
      <c r="P1145" s="1479"/>
      <c r="Q1145" s="1142">
        <f t="shared" si="307"/>
        <v>23791</v>
      </c>
      <c r="R1145" s="1143">
        <f>IFERROR(VLOOKUP(CONCATENATE(E1145,G1145),'LAC 103'!$A$12:$O$95,11,FALSE),0)</f>
        <v>3.207410103388435</v>
      </c>
      <c r="S1145" s="1144">
        <f>IFERROR(VLOOKUP(CONCATENATE($E1145,$G1145),'LAC 103'!$A$12:$O$95,12,FALSE),0)</f>
        <v>3.99</v>
      </c>
      <c r="T1145" s="1144">
        <f>IFERROR(VLOOKUP(CONCATENATE($E1145,$G1145),'LAC 103'!$A$12:$O$95,13,FALSE),0)</f>
        <v>2.48</v>
      </c>
      <c r="U1145" s="1144">
        <f>IFERROR(VLOOKUP(CONCATENATE($E1145,$G1145),'LAC 103'!$A$12:$O$95,14,FALSE),0)</f>
        <v>0</v>
      </c>
      <c r="V1145" s="1144">
        <f>IFERROR(VLOOKUP(CONCATENATE($E1145,$G1145),'LAC 103'!$A$12:$O$95,15,FALSE),0)</f>
        <v>0</v>
      </c>
      <c r="W1145" s="1145" t="str">
        <f>IFERROR(VLOOKUP(CONCATENATE($B1145,$N1145),'LAC 103'!$AI:$AQ,9,FALSE),"")</f>
        <v>Costs</v>
      </c>
      <c r="X1145" s="1146">
        <f t="shared" si="312"/>
        <v>3.207410103388435</v>
      </c>
      <c r="Y1145" s="1143">
        <f t="shared" si="323"/>
        <v>76307.49376971426</v>
      </c>
      <c r="Z1145" s="1147">
        <f t="shared" si="313"/>
        <v>94926.090000000011</v>
      </c>
      <c r="AA1145" s="1144">
        <f t="shared" si="314"/>
        <v>59001.68</v>
      </c>
      <c r="AB1145" s="1144">
        <f t="shared" si="315"/>
        <v>0</v>
      </c>
      <c r="AC1145" s="1144">
        <f t="shared" si="316"/>
        <v>0</v>
      </c>
      <c r="AD1145" s="1148">
        <f t="shared" si="308"/>
        <v>76307.49376971426</v>
      </c>
      <c r="AE1145" s="1487">
        <v>0</v>
      </c>
      <c r="AF1145" s="1145">
        <f t="shared" si="317"/>
        <v>76307.49376971426</v>
      </c>
      <c r="AG1145" s="1149">
        <f>IFERROR(VLOOKUP(CONCATENATE($L1145,$N1145),'Drop List'!$G$23:$K$87,2,FALSE),0)</f>
        <v>0.56200000000000006</v>
      </c>
      <c r="AH1145" s="1150">
        <f>IFERROR(VLOOKUP(CONCATENATE($L1145,$N1145),'Drop List'!$G$23:$K$87,3,FALSE),0)</f>
        <v>0</v>
      </c>
      <c r="AI1145" s="1150">
        <f>IFERROR(VLOOKUP(CONCATENATE($L1145,$N1145),'Drop List'!$G$23:$K$87,4,FALSE),0)</f>
        <v>0</v>
      </c>
      <c r="AJ1145" s="1151">
        <f>IFERROR(VLOOKUP(CONCATENATE($L1145,$N1145),'Drop List'!$G$23:$K$87,5,FALSE),0)</f>
        <v>0.43799999999999994</v>
      </c>
      <c r="AK1145" s="1152">
        <f t="shared" si="318"/>
        <v>42884.811498579416</v>
      </c>
      <c r="AL1145" s="1153">
        <f t="shared" si="319"/>
        <v>0</v>
      </c>
      <c r="AM1145" s="1153">
        <f t="shared" si="320"/>
        <v>0</v>
      </c>
      <c r="AN1145" s="1145">
        <f t="shared" si="321"/>
        <v>33422.682271134843</v>
      </c>
      <c r="AO1145" s="1154">
        <f t="shared" si="322"/>
        <v>76307.49376971426</v>
      </c>
      <c r="AP1145" s="1147">
        <f t="shared" si="309"/>
        <v>0</v>
      </c>
      <c r="AQ1145" s="1144">
        <f t="shared" si="310"/>
        <v>0</v>
      </c>
      <c r="AR1145" s="1146">
        <f t="shared" si="311"/>
        <v>76307.49376971426</v>
      </c>
    </row>
    <row r="1146" spans="1:44" x14ac:dyDescent="0.2">
      <c r="A1146" s="1141" t="str">
        <f t="shared" si="324"/>
        <v>1552</v>
      </c>
      <c r="B1146" s="1141" t="str">
        <f>IFERROR(VLOOKUP(A1146,'LAC 103'!A:C,3,FALSE),"")</f>
        <v>OP</v>
      </c>
      <c r="C1146" s="1478" t="str">
        <f>Info!$B$8</f>
        <v>00100</v>
      </c>
      <c r="D1146" s="1474" t="s">
        <v>256</v>
      </c>
      <c r="E1146" s="1474" t="s">
        <v>95</v>
      </c>
      <c r="F1146" s="1478" t="s">
        <v>412</v>
      </c>
      <c r="G1146" s="1478" t="s">
        <v>412</v>
      </c>
      <c r="H1146" s="1474" t="s">
        <v>983</v>
      </c>
      <c r="I1146" s="1478" t="s">
        <v>823</v>
      </c>
      <c r="J1146" s="1478" t="s">
        <v>1998</v>
      </c>
      <c r="K1146" s="1475" t="s">
        <v>847</v>
      </c>
      <c r="L1146" s="1474" t="s">
        <v>582</v>
      </c>
      <c r="M1146" s="1476" t="s">
        <v>1699</v>
      </c>
      <c r="N1146" s="1477" t="s">
        <v>1694</v>
      </c>
      <c r="O1146" s="1479">
        <v>381</v>
      </c>
      <c r="P1146" s="1479"/>
      <c r="Q1146" s="1142">
        <f t="shared" si="307"/>
        <v>381</v>
      </c>
      <c r="R1146" s="1143">
        <f>IFERROR(VLOOKUP(CONCATENATE(E1146,G1146),'LAC 103'!$A$12:$O$95,11,FALSE),0)</f>
        <v>3.207410103388435</v>
      </c>
      <c r="S1146" s="1144">
        <f>IFERROR(VLOOKUP(CONCATENATE($E1146,$G1146),'LAC 103'!$A$12:$O$95,12,FALSE),0)</f>
        <v>3.99</v>
      </c>
      <c r="T1146" s="1144">
        <f>IFERROR(VLOOKUP(CONCATENATE($E1146,$G1146),'LAC 103'!$A$12:$O$95,13,FALSE),0)</f>
        <v>2.48</v>
      </c>
      <c r="U1146" s="1144">
        <f>IFERROR(VLOOKUP(CONCATENATE($E1146,$G1146),'LAC 103'!$A$12:$O$95,14,FALSE),0)</f>
        <v>0</v>
      </c>
      <c r="V1146" s="1144">
        <f>IFERROR(VLOOKUP(CONCATENATE($E1146,$G1146),'LAC 103'!$A$12:$O$95,15,FALSE),0)</f>
        <v>0</v>
      </c>
      <c r="W1146" s="1145" t="str">
        <f>IFERROR(VLOOKUP(CONCATENATE($B1146,$N1146),'LAC 103'!$AI:$AQ,9,FALSE),"")</f>
        <v>Costs</v>
      </c>
      <c r="X1146" s="1146">
        <f t="shared" si="312"/>
        <v>3.207410103388435</v>
      </c>
      <c r="Y1146" s="1143">
        <f t="shared" si="323"/>
        <v>1222.0232493909937</v>
      </c>
      <c r="Z1146" s="1147">
        <f t="shared" si="313"/>
        <v>1520.19</v>
      </c>
      <c r="AA1146" s="1144">
        <f t="shared" si="314"/>
        <v>944.88</v>
      </c>
      <c r="AB1146" s="1144">
        <f t="shared" si="315"/>
        <v>0</v>
      </c>
      <c r="AC1146" s="1144">
        <f t="shared" si="316"/>
        <v>0</v>
      </c>
      <c r="AD1146" s="1148">
        <f t="shared" si="308"/>
        <v>1222.0232493909937</v>
      </c>
      <c r="AE1146" s="1487">
        <v>0</v>
      </c>
      <c r="AF1146" s="1145">
        <f t="shared" si="317"/>
        <v>1222.0232493909937</v>
      </c>
      <c r="AG1146" s="1149">
        <f>IFERROR(VLOOKUP(CONCATENATE($L1146,$N1146),'Drop List'!$G$23:$K$87,2,FALSE),0)</f>
        <v>0.56200000000000006</v>
      </c>
      <c r="AH1146" s="1150">
        <f>IFERROR(VLOOKUP(CONCATENATE($L1146,$N1146),'Drop List'!$G$23:$K$87,3,FALSE),0)</f>
        <v>0.43799999999999994</v>
      </c>
      <c r="AI1146" s="1150">
        <f>IFERROR(VLOOKUP(CONCATENATE($L1146,$N1146),'Drop List'!$G$23:$K$87,4,FALSE),0)</f>
        <v>0</v>
      </c>
      <c r="AJ1146" s="1151">
        <f>IFERROR(VLOOKUP(CONCATENATE($L1146,$N1146),'Drop List'!$G$23:$K$87,5,FALSE),0)</f>
        <v>0</v>
      </c>
      <c r="AK1146" s="1152">
        <f t="shared" si="318"/>
        <v>686.77706615773855</v>
      </c>
      <c r="AL1146" s="1153">
        <f t="shared" si="319"/>
        <v>535.24618323325512</v>
      </c>
      <c r="AM1146" s="1153">
        <f t="shared" si="320"/>
        <v>0</v>
      </c>
      <c r="AN1146" s="1145">
        <f t="shared" si="321"/>
        <v>0</v>
      </c>
      <c r="AO1146" s="1154">
        <f t="shared" si="322"/>
        <v>1222.0232493909937</v>
      </c>
      <c r="AP1146" s="1147">
        <f t="shared" si="309"/>
        <v>0</v>
      </c>
      <c r="AQ1146" s="1144">
        <f t="shared" si="310"/>
        <v>0</v>
      </c>
      <c r="AR1146" s="1146">
        <f t="shared" si="311"/>
        <v>1222.0232493909937</v>
      </c>
    </row>
    <row r="1147" spans="1:44" x14ac:dyDescent="0.2">
      <c r="A1147" s="1141" t="str">
        <f t="shared" si="324"/>
        <v>1552</v>
      </c>
      <c r="B1147" s="1141" t="str">
        <f>IFERROR(VLOOKUP(A1147,'LAC 103'!A:C,3,FALSE),"")</f>
        <v>OP</v>
      </c>
      <c r="C1147" s="1478" t="str">
        <f>Info!$B$8</f>
        <v>00100</v>
      </c>
      <c r="D1147" s="1474" t="s">
        <v>256</v>
      </c>
      <c r="E1147" s="1474" t="s">
        <v>95</v>
      </c>
      <c r="F1147" s="1478" t="s">
        <v>412</v>
      </c>
      <c r="G1147" s="1478" t="s">
        <v>412</v>
      </c>
      <c r="H1147" s="1474" t="s">
        <v>983</v>
      </c>
      <c r="I1147" s="1478" t="s">
        <v>823</v>
      </c>
      <c r="J1147" s="1478" t="s">
        <v>1998</v>
      </c>
      <c r="K1147" s="1475" t="s">
        <v>847</v>
      </c>
      <c r="L1147" s="1474" t="s">
        <v>582</v>
      </c>
      <c r="M1147" s="1476" t="s">
        <v>1698</v>
      </c>
      <c r="N1147" s="1477" t="s">
        <v>1693</v>
      </c>
      <c r="O1147" s="1479">
        <v>185</v>
      </c>
      <c r="P1147" s="1479"/>
      <c r="Q1147" s="1142">
        <f t="shared" si="307"/>
        <v>185</v>
      </c>
      <c r="R1147" s="1143">
        <f>IFERROR(VLOOKUP(CONCATENATE(E1147,G1147),'LAC 103'!$A$12:$O$95,11,FALSE),0)</f>
        <v>3.207410103388435</v>
      </c>
      <c r="S1147" s="1144">
        <f>IFERROR(VLOOKUP(CONCATENATE($E1147,$G1147),'LAC 103'!$A$12:$O$95,12,FALSE),0)</f>
        <v>3.99</v>
      </c>
      <c r="T1147" s="1144">
        <f>IFERROR(VLOOKUP(CONCATENATE($E1147,$G1147),'LAC 103'!$A$12:$O$95,13,FALSE),0)</f>
        <v>2.48</v>
      </c>
      <c r="U1147" s="1144">
        <f>IFERROR(VLOOKUP(CONCATENATE($E1147,$G1147),'LAC 103'!$A$12:$O$95,14,FALSE),0)</f>
        <v>0</v>
      </c>
      <c r="V1147" s="1144">
        <f>IFERROR(VLOOKUP(CONCATENATE($E1147,$G1147),'LAC 103'!$A$12:$O$95,15,FALSE),0)</f>
        <v>0</v>
      </c>
      <c r="W1147" s="1145" t="str">
        <f>IFERROR(VLOOKUP(CONCATENATE($B1147,$N1147),'LAC 103'!$AI:$AQ,9,FALSE),"")</f>
        <v>Costs</v>
      </c>
      <c r="X1147" s="1146">
        <f t="shared" si="312"/>
        <v>3.207410103388435</v>
      </c>
      <c r="Y1147" s="1143">
        <f t="shared" si="323"/>
        <v>593.3708691268605</v>
      </c>
      <c r="Z1147" s="1147">
        <f t="shared" si="313"/>
        <v>738.15000000000009</v>
      </c>
      <c r="AA1147" s="1144">
        <f t="shared" si="314"/>
        <v>458.8</v>
      </c>
      <c r="AB1147" s="1144">
        <f t="shared" si="315"/>
        <v>0</v>
      </c>
      <c r="AC1147" s="1144">
        <f t="shared" si="316"/>
        <v>0</v>
      </c>
      <c r="AD1147" s="1148">
        <f t="shared" si="308"/>
        <v>593.3708691268605</v>
      </c>
      <c r="AE1147" s="1487">
        <v>0</v>
      </c>
      <c r="AF1147" s="1145">
        <f t="shared" si="317"/>
        <v>593.3708691268605</v>
      </c>
      <c r="AG1147" s="1149">
        <f>IFERROR(VLOOKUP(CONCATENATE($L1147,$N1147),'Drop List'!$G$23:$K$87,2,FALSE),0)</f>
        <v>0.56200000000000006</v>
      </c>
      <c r="AH1147" s="1150">
        <f>IFERROR(VLOOKUP(CONCATENATE($L1147,$N1147),'Drop List'!$G$23:$K$87,3,FALSE),0)</f>
        <v>0.43799999999999994</v>
      </c>
      <c r="AI1147" s="1150">
        <f>IFERROR(VLOOKUP(CONCATENATE($L1147,$N1147),'Drop List'!$G$23:$K$87,4,FALSE),0)</f>
        <v>0</v>
      </c>
      <c r="AJ1147" s="1151">
        <f>IFERROR(VLOOKUP(CONCATENATE($L1147,$N1147),'Drop List'!$G$23:$K$87,5,FALSE),0)</f>
        <v>0</v>
      </c>
      <c r="AK1147" s="1152">
        <f t="shared" si="318"/>
        <v>333.47442844929566</v>
      </c>
      <c r="AL1147" s="1153">
        <f t="shared" si="319"/>
        <v>259.89644067756484</v>
      </c>
      <c r="AM1147" s="1153">
        <f t="shared" si="320"/>
        <v>0</v>
      </c>
      <c r="AN1147" s="1145">
        <f t="shared" si="321"/>
        <v>0</v>
      </c>
      <c r="AO1147" s="1154">
        <f t="shared" si="322"/>
        <v>593.3708691268605</v>
      </c>
      <c r="AP1147" s="1147">
        <f t="shared" si="309"/>
        <v>0</v>
      </c>
      <c r="AQ1147" s="1144">
        <f t="shared" si="310"/>
        <v>0</v>
      </c>
      <c r="AR1147" s="1146">
        <f t="shared" si="311"/>
        <v>593.3708691268605</v>
      </c>
    </row>
    <row r="1148" spans="1:44" x14ac:dyDescent="0.2">
      <c r="A1148" s="1141" t="str">
        <f t="shared" si="324"/>
        <v>1552</v>
      </c>
      <c r="B1148" s="1141" t="str">
        <f>IFERROR(VLOOKUP(A1148,'LAC 103'!A:C,3,FALSE),"")</f>
        <v>OP</v>
      </c>
      <c r="C1148" s="1478" t="str">
        <f>Info!$B$8</f>
        <v>00100</v>
      </c>
      <c r="D1148" s="1474" t="s">
        <v>256</v>
      </c>
      <c r="E1148" s="1474" t="s">
        <v>95</v>
      </c>
      <c r="F1148" s="1478" t="s">
        <v>412</v>
      </c>
      <c r="G1148" s="1478" t="s">
        <v>412</v>
      </c>
      <c r="H1148" s="1474" t="s">
        <v>983</v>
      </c>
      <c r="I1148" s="1478" t="s">
        <v>823</v>
      </c>
      <c r="J1148" s="1478" t="s">
        <v>1998</v>
      </c>
      <c r="K1148" s="1475" t="s">
        <v>848</v>
      </c>
      <c r="L1148" s="1474" t="s">
        <v>45</v>
      </c>
      <c r="M1148" s="1476" t="s">
        <v>841</v>
      </c>
      <c r="N1148" s="1477" t="s">
        <v>1695</v>
      </c>
      <c r="O1148" s="1479">
        <v>142</v>
      </c>
      <c r="P1148" s="1479"/>
      <c r="Q1148" s="1142">
        <f t="shared" ref="Q1148:Q1211" si="325">O1148+P1148</f>
        <v>142</v>
      </c>
      <c r="R1148" s="1143">
        <f>IFERROR(VLOOKUP(CONCATENATE(E1148,G1148),'LAC 103'!$A$12:$O$95,11,FALSE),0)</f>
        <v>3.207410103388435</v>
      </c>
      <c r="S1148" s="1144">
        <f>IFERROR(VLOOKUP(CONCATENATE($E1148,$G1148),'LAC 103'!$A$12:$O$95,12,FALSE),0)</f>
        <v>3.99</v>
      </c>
      <c r="T1148" s="1144">
        <f>IFERROR(VLOOKUP(CONCATENATE($E1148,$G1148),'LAC 103'!$A$12:$O$95,13,FALSE),0)</f>
        <v>2.48</v>
      </c>
      <c r="U1148" s="1144">
        <f>IFERROR(VLOOKUP(CONCATENATE($E1148,$G1148),'LAC 103'!$A$12:$O$95,14,FALSE),0)</f>
        <v>0</v>
      </c>
      <c r="V1148" s="1144">
        <f>IFERROR(VLOOKUP(CONCATENATE($E1148,$G1148),'LAC 103'!$A$12:$O$95,15,FALSE),0)</f>
        <v>0</v>
      </c>
      <c r="W1148" s="1145" t="str">
        <f>IFERROR(VLOOKUP(CONCATENATE($B1148,$N1148),'LAC 103'!$AI:$AQ,9,FALSE),"")</f>
        <v>Costs</v>
      </c>
      <c r="X1148" s="1146">
        <f t="shared" si="312"/>
        <v>3.207410103388435</v>
      </c>
      <c r="Y1148" s="1143">
        <f t="shared" si="323"/>
        <v>455.45223468115779</v>
      </c>
      <c r="Z1148" s="1147">
        <f t="shared" si="313"/>
        <v>566.58000000000004</v>
      </c>
      <c r="AA1148" s="1144">
        <f t="shared" si="314"/>
        <v>352.16</v>
      </c>
      <c r="AB1148" s="1144">
        <f t="shared" si="315"/>
        <v>0</v>
      </c>
      <c r="AC1148" s="1144">
        <f t="shared" si="316"/>
        <v>0</v>
      </c>
      <c r="AD1148" s="1148">
        <f t="shared" si="308"/>
        <v>455.45223468115779</v>
      </c>
      <c r="AE1148" s="1487">
        <v>0</v>
      </c>
      <c r="AF1148" s="1145">
        <f t="shared" si="317"/>
        <v>455.45223468115779</v>
      </c>
      <c r="AG1148" s="1149">
        <f>IFERROR(VLOOKUP(CONCATENATE($L1148,$N1148),'Drop List'!$G$23:$K$87,2,FALSE),0)</f>
        <v>0.68500000000000005</v>
      </c>
      <c r="AH1148" s="1150">
        <f>IFERROR(VLOOKUP(CONCATENATE($L1148,$N1148),'Drop List'!$G$23:$K$87,3,FALSE),0)</f>
        <v>0.31499999999999995</v>
      </c>
      <c r="AI1148" s="1150">
        <f>IFERROR(VLOOKUP(CONCATENATE($L1148,$N1148),'Drop List'!$G$23:$K$87,4,FALSE),0)</f>
        <v>0</v>
      </c>
      <c r="AJ1148" s="1151">
        <f>IFERROR(VLOOKUP(CONCATENATE($L1148,$N1148),'Drop List'!$G$23:$K$87,5,FALSE),0)</f>
        <v>0</v>
      </c>
      <c r="AK1148" s="1152">
        <f t="shared" si="318"/>
        <v>311.98478075659312</v>
      </c>
      <c r="AL1148" s="1153">
        <f t="shared" si="319"/>
        <v>143.46745392456467</v>
      </c>
      <c r="AM1148" s="1153">
        <f t="shared" si="320"/>
        <v>0</v>
      </c>
      <c r="AN1148" s="1145">
        <f t="shared" si="321"/>
        <v>0</v>
      </c>
      <c r="AO1148" s="1154">
        <f t="shared" si="322"/>
        <v>455.45223468115779</v>
      </c>
      <c r="AP1148" s="1147">
        <f t="shared" si="309"/>
        <v>0</v>
      </c>
      <c r="AQ1148" s="1144">
        <f t="shared" si="310"/>
        <v>0</v>
      </c>
      <c r="AR1148" s="1146">
        <f t="shared" si="311"/>
        <v>455.45223468115779</v>
      </c>
    </row>
    <row r="1149" spans="1:44" x14ac:dyDescent="0.2">
      <c r="A1149" s="1141" t="str">
        <f t="shared" si="324"/>
        <v>1552</v>
      </c>
      <c r="B1149" s="1141" t="str">
        <f>IFERROR(VLOOKUP(A1149,'LAC 103'!A:C,3,FALSE),"")</f>
        <v>OP</v>
      </c>
      <c r="C1149" s="1478" t="str">
        <f>Info!$B$8</f>
        <v>00100</v>
      </c>
      <c r="D1149" s="1474" t="s">
        <v>256</v>
      </c>
      <c r="E1149" s="1474" t="s">
        <v>95</v>
      </c>
      <c r="F1149" s="1478" t="s">
        <v>412</v>
      </c>
      <c r="G1149" s="1478" t="s">
        <v>412</v>
      </c>
      <c r="H1149" s="1474" t="s">
        <v>983</v>
      </c>
      <c r="I1149" s="1478" t="s">
        <v>823</v>
      </c>
      <c r="J1149" s="1478" t="s">
        <v>1998</v>
      </c>
      <c r="K1149" s="1475" t="s">
        <v>848</v>
      </c>
      <c r="L1149" s="1474" t="s">
        <v>45</v>
      </c>
      <c r="M1149" s="1476" t="s">
        <v>842</v>
      </c>
      <c r="N1149" s="1477" t="s">
        <v>1692</v>
      </c>
      <c r="O1149" s="1479">
        <v>1738</v>
      </c>
      <c r="P1149" s="1479"/>
      <c r="Q1149" s="1142">
        <f t="shared" si="325"/>
        <v>1738</v>
      </c>
      <c r="R1149" s="1143">
        <f>IFERROR(VLOOKUP(CONCATENATE(E1149,G1149),'LAC 103'!$A$12:$O$95,11,FALSE),0)</f>
        <v>3.207410103388435</v>
      </c>
      <c r="S1149" s="1144">
        <f>IFERROR(VLOOKUP(CONCATENATE($E1149,$G1149),'LAC 103'!$A$12:$O$95,12,FALSE),0)</f>
        <v>3.99</v>
      </c>
      <c r="T1149" s="1144">
        <f>IFERROR(VLOOKUP(CONCATENATE($E1149,$G1149),'LAC 103'!$A$12:$O$95,13,FALSE),0)</f>
        <v>2.48</v>
      </c>
      <c r="U1149" s="1144">
        <f>IFERROR(VLOOKUP(CONCATENATE($E1149,$G1149),'LAC 103'!$A$12:$O$95,14,FALSE),0)</f>
        <v>0</v>
      </c>
      <c r="V1149" s="1144">
        <f>IFERROR(VLOOKUP(CONCATENATE($E1149,$G1149),'LAC 103'!$A$12:$O$95,15,FALSE),0)</f>
        <v>0</v>
      </c>
      <c r="W1149" s="1145" t="str">
        <f>IFERROR(VLOOKUP(CONCATENATE($B1149,$N1149),'LAC 103'!$AI:$AQ,9,FALSE),"")</f>
        <v>Costs</v>
      </c>
      <c r="X1149" s="1146">
        <f t="shared" si="312"/>
        <v>3.207410103388435</v>
      </c>
      <c r="Y1149" s="1143">
        <f t="shared" si="323"/>
        <v>5574.4787596891001</v>
      </c>
      <c r="Z1149" s="1147">
        <f t="shared" si="313"/>
        <v>6934.6200000000008</v>
      </c>
      <c r="AA1149" s="1144">
        <f t="shared" si="314"/>
        <v>4310.24</v>
      </c>
      <c r="AB1149" s="1144">
        <f t="shared" si="315"/>
        <v>0</v>
      </c>
      <c r="AC1149" s="1144">
        <f t="shared" si="316"/>
        <v>0</v>
      </c>
      <c r="AD1149" s="1148">
        <f t="shared" si="308"/>
        <v>5574.4787596891001</v>
      </c>
      <c r="AE1149" s="1487">
        <v>0</v>
      </c>
      <c r="AF1149" s="1145">
        <f t="shared" si="317"/>
        <v>5574.4787596891001</v>
      </c>
      <c r="AG1149" s="1149">
        <f>IFERROR(VLOOKUP(CONCATENATE($L1149,$N1149),'Drop List'!$G$23:$K$87,2,FALSE),0)</f>
        <v>0.69340000000000002</v>
      </c>
      <c r="AH1149" s="1150">
        <f>IFERROR(VLOOKUP(CONCATENATE($L1149,$N1149),'Drop List'!$G$23:$K$87,3,FALSE),0)</f>
        <v>0.30659999999999998</v>
      </c>
      <c r="AI1149" s="1150">
        <f>IFERROR(VLOOKUP(CONCATENATE($L1149,$N1149),'Drop List'!$G$23:$K$87,4,FALSE),0)</f>
        <v>0</v>
      </c>
      <c r="AJ1149" s="1151">
        <f>IFERROR(VLOOKUP(CONCATENATE($L1149,$N1149),'Drop List'!$G$23:$K$87,5,FALSE),0)</f>
        <v>0</v>
      </c>
      <c r="AK1149" s="1152">
        <f t="shared" si="318"/>
        <v>3865.3435719684221</v>
      </c>
      <c r="AL1149" s="1153">
        <f t="shared" si="319"/>
        <v>1709.135187720678</v>
      </c>
      <c r="AM1149" s="1153">
        <f t="shared" si="320"/>
        <v>0</v>
      </c>
      <c r="AN1149" s="1145">
        <f t="shared" si="321"/>
        <v>0</v>
      </c>
      <c r="AO1149" s="1154">
        <f t="shared" si="322"/>
        <v>5574.4787596891001</v>
      </c>
      <c r="AP1149" s="1147">
        <f t="shared" si="309"/>
        <v>0</v>
      </c>
      <c r="AQ1149" s="1144">
        <f t="shared" si="310"/>
        <v>0</v>
      </c>
      <c r="AR1149" s="1146">
        <f t="shared" si="311"/>
        <v>5574.4787596891001</v>
      </c>
    </row>
    <row r="1150" spans="1:44" x14ac:dyDescent="0.2">
      <c r="A1150" s="1141" t="str">
        <f t="shared" si="324"/>
        <v>1552</v>
      </c>
      <c r="B1150" s="1141" t="str">
        <f>IFERROR(VLOOKUP(A1150,'LAC 103'!A:C,3,FALSE),"")</f>
        <v>OP</v>
      </c>
      <c r="C1150" s="1478" t="str">
        <f>Info!$B$8</f>
        <v>00100</v>
      </c>
      <c r="D1150" s="1474" t="s">
        <v>256</v>
      </c>
      <c r="E1150" s="1474" t="s">
        <v>95</v>
      </c>
      <c r="F1150" s="1478" t="s">
        <v>412</v>
      </c>
      <c r="G1150" s="1478" t="s">
        <v>412</v>
      </c>
      <c r="H1150" s="1474" t="s">
        <v>983</v>
      </c>
      <c r="I1150" s="1478" t="s">
        <v>823</v>
      </c>
      <c r="J1150" s="1478" t="s">
        <v>1998</v>
      </c>
      <c r="K1150" s="1475" t="s">
        <v>848</v>
      </c>
      <c r="L1150" s="1474" t="s">
        <v>45</v>
      </c>
      <c r="M1150" s="1476" t="s">
        <v>1698</v>
      </c>
      <c r="N1150" s="1477" t="s">
        <v>1693</v>
      </c>
      <c r="O1150" s="1479">
        <v>93</v>
      </c>
      <c r="P1150" s="1479"/>
      <c r="Q1150" s="1142">
        <f t="shared" si="325"/>
        <v>93</v>
      </c>
      <c r="R1150" s="1143">
        <f>IFERROR(VLOOKUP(CONCATENATE(E1150,G1150),'LAC 103'!$A$12:$O$95,11,FALSE),0)</f>
        <v>3.207410103388435</v>
      </c>
      <c r="S1150" s="1144">
        <f>IFERROR(VLOOKUP(CONCATENATE($E1150,$G1150),'LAC 103'!$A$12:$O$95,12,FALSE),0)</f>
        <v>3.99</v>
      </c>
      <c r="T1150" s="1144">
        <f>IFERROR(VLOOKUP(CONCATENATE($E1150,$G1150),'LAC 103'!$A$12:$O$95,13,FALSE),0)</f>
        <v>2.48</v>
      </c>
      <c r="U1150" s="1144">
        <f>IFERROR(VLOOKUP(CONCATENATE($E1150,$G1150),'LAC 103'!$A$12:$O$95,14,FALSE),0)</f>
        <v>0</v>
      </c>
      <c r="V1150" s="1144">
        <f>IFERROR(VLOOKUP(CONCATENATE($E1150,$G1150),'LAC 103'!$A$12:$O$95,15,FALSE),0)</f>
        <v>0</v>
      </c>
      <c r="W1150" s="1145" t="str">
        <f>IFERROR(VLOOKUP(CONCATENATE($B1150,$N1150),'LAC 103'!$AI:$AQ,9,FALSE),"")</f>
        <v>Costs</v>
      </c>
      <c r="X1150" s="1146">
        <f t="shared" si="312"/>
        <v>3.207410103388435</v>
      </c>
      <c r="Y1150" s="1143">
        <f t="shared" si="323"/>
        <v>298.28913961512444</v>
      </c>
      <c r="Z1150" s="1147">
        <f t="shared" si="313"/>
        <v>371.07</v>
      </c>
      <c r="AA1150" s="1144">
        <f t="shared" si="314"/>
        <v>230.64</v>
      </c>
      <c r="AB1150" s="1144">
        <f t="shared" si="315"/>
        <v>0</v>
      </c>
      <c r="AC1150" s="1144">
        <f t="shared" si="316"/>
        <v>0</v>
      </c>
      <c r="AD1150" s="1148">
        <f t="shared" si="308"/>
        <v>298.28913961512444</v>
      </c>
      <c r="AE1150" s="1487">
        <v>0</v>
      </c>
      <c r="AF1150" s="1145">
        <f t="shared" si="317"/>
        <v>298.28913961512444</v>
      </c>
      <c r="AG1150" s="1149">
        <f>IFERROR(VLOOKUP(CONCATENATE($L1150,$N1150),'Drop List'!$G$23:$K$87,2,FALSE),0)</f>
        <v>0.69340000000000002</v>
      </c>
      <c r="AH1150" s="1150">
        <f>IFERROR(VLOOKUP(CONCATENATE($L1150,$N1150),'Drop List'!$G$23:$K$87,3,FALSE),0)</f>
        <v>0.30659999999999998</v>
      </c>
      <c r="AI1150" s="1150">
        <f>IFERROR(VLOOKUP(CONCATENATE($L1150,$N1150),'Drop List'!$G$23:$K$87,4,FALSE),0)</f>
        <v>0</v>
      </c>
      <c r="AJ1150" s="1151">
        <f>IFERROR(VLOOKUP(CONCATENATE($L1150,$N1150),'Drop List'!$G$23:$K$87,5,FALSE),0)</f>
        <v>0</v>
      </c>
      <c r="AK1150" s="1152">
        <f t="shared" si="318"/>
        <v>206.83368940912729</v>
      </c>
      <c r="AL1150" s="1153">
        <f t="shared" si="319"/>
        <v>91.455450205997153</v>
      </c>
      <c r="AM1150" s="1153">
        <f t="shared" si="320"/>
        <v>0</v>
      </c>
      <c r="AN1150" s="1145">
        <f t="shared" si="321"/>
        <v>0</v>
      </c>
      <c r="AO1150" s="1154">
        <f t="shared" si="322"/>
        <v>298.28913961512444</v>
      </c>
      <c r="AP1150" s="1147">
        <f t="shared" si="309"/>
        <v>0</v>
      </c>
      <c r="AQ1150" s="1144">
        <f t="shared" si="310"/>
        <v>0</v>
      </c>
      <c r="AR1150" s="1146">
        <f t="shared" si="311"/>
        <v>298.28913961512444</v>
      </c>
    </row>
    <row r="1151" spans="1:44" x14ac:dyDescent="0.2">
      <c r="A1151" s="1141" t="str">
        <f t="shared" si="324"/>
        <v>1552</v>
      </c>
      <c r="B1151" s="1141" t="str">
        <f>IFERROR(VLOOKUP(A1151,'LAC 103'!A:C,3,FALSE),"")</f>
        <v>OP</v>
      </c>
      <c r="C1151" s="1478" t="str">
        <f>Info!$B$8</f>
        <v>00100</v>
      </c>
      <c r="D1151" s="1474" t="s">
        <v>256</v>
      </c>
      <c r="E1151" s="1474" t="s">
        <v>95</v>
      </c>
      <c r="F1151" s="1478" t="s">
        <v>412</v>
      </c>
      <c r="G1151" s="1478" t="s">
        <v>412</v>
      </c>
      <c r="H1151" s="1474" t="s">
        <v>983</v>
      </c>
      <c r="I1151" s="1478" t="s">
        <v>823</v>
      </c>
      <c r="J1151" s="1478" t="s">
        <v>1998</v>
      </c>
      <c r="K1151" s="1475" t="s">
        <v>971</v>
      </c>
      <c r="L1151" s="1474" t="s">
        <v>332</v>
      </c>
      <c r="M1151" s="1476" t="s">
        <v>842</v>
      </c>
      <c r="N1151" s="1477" t="s">
        <v>1692</v>
      </c>
      <c r="O1151" s="1479">
        <v>4276</v>
      </c>
      <c r="P1151" s="1479"/>
      <c r="Q1151" s="1142">
        <f t="shared" si="325"/>
        <v>4276</v>
      </c>
      <c r="R1151" s="1143">
        <f>IFERROR(VLOOKUP(CONCATENATE(E1151,G1151),'LAC 103'!$A$12:$O$95,11,FALSE),0)</f>
        <v>3.207410103388435</v>
      </c>
      <c r="S1151" s="1144">
        <f>IFERROR(VLOOKUP(CONCATENATE($E1151,$G1151),'LAC 103'!$A$12:$O$95,12,FALSE),0)</f>
        <v>3.99</v>
      </c>
      <c r="T1151" s="1144">
        <f>IFERROR(VLOOKUP(CONCATENATE($E1151,$G1151),'LAC 103'!$A$12:$O$95,13,FALSE),0)</f>
        <v>2.48</v>
      </c>
      <c r="U1151" s="1144">
        <f>IFERROR(VLOOKUP(CONCATENATE($E1151,$G1151),'LAC 103'!$A$12:$O$95,14,FALSE),0)</f>
        <v>0</v>
      </c>
      <c r="V1151" s="1144">
        <f>IFERROR(VLOOKUP(CONCATENATE($E1151,$G1151),'LAC 103'!$A$12:$O$95,15,FALSE),0)</f>
        <v>0</v>
      </c>
      <c r="W1151" s="1145" t="str">
        <f>IFERROR(VLOOKUP(CONCATENATE($B1151,$N1151),'LAC 103'!$AI:$AQ,9,FALSE),"")</f>
        <v>Costs</v>
      </c>
      <c r="X1151" s="1146">
        <f t="shared" si="312"/>
        <v>3.207410103388435</v>
      </c>
      <c r="Y1151" s="1143">
        <f t="shared" si="323"/>
        <v>13714.885602088949</v>
      </c>
      <c r="Z1151" s="1147">
        <f t="shared" si="313"/>
        <v>17061.240000000002</v>
      </c>
      <c r="AA1151" s="1144">
        <f t="shared" si="314"/>
        <v>10604.48</v>
      </c>
      <c r="AB1151" s="1144">
        <f t="shared" si="315"/>
        <v>0</v>
      </c>
      <c r="AC1151" s="1144">
        <f t="shared" si="316"/>
        <v>0</v>
      </c>
      <c r="AD1151" s="1148">
        <f t="shared" si="308"/>
        <v>13714.885602088949</v>
      </c>
      <c r="AE1151" s="1487">
        <v>0</v>
      </c>
      <c r="AF1151" s="1145">
        <f t="shared" si="317"/>
        <v>13714.885602088949</v>
      </c>
      <c r="AG1151" s="1149">
        <f>IFERROR(VLOOKUP(CONCATENATE($L1151,$N1151),'Drop List'!$G$23:$K$87,2,FALSE),0)</f>
        <v>0</v>
      </c>
      <c r="AH1151" s="1150">
        <f>IFERROR(VLOOKUP(CONCATENATE($L1151,$N1151),'Drop List'!$G$23:$K$87,3,FALSE),0)</f>
        <v>0</v>
      </c>
      <c r="AI1151" s="1150">
        <f>IFERROR(VLOOKUP(CONCATENATE($L1151,$N1151),'Drop List'!$G$23:$K$87,4,FALSE),0)</f>
        <v>0</v>
      </c>
      <c r="AJ1151" s="1151">
        <f>IFERROR(VLOOKUP(CONCATENATE($L1151,$N1151),'Drop List'!$G$23:$K$87,5,FALSE),0)</f>
        <v>0</v>
      </c>
      <c r="AK1151" s="1152">
        <f t="shared" si="318"/>
        <v>0</v>
      </c>
      <c r="AL1151" s="1153">
        <f t="shared" si="319"/>
        <v>0</v>
      </c>
      <c r="AM1151" s="1153">
        <f t="shared" si="320"/>
        <v>0</v>
      </c>
      <c r="AN1151" s="1145">
        <f t="shared" si="321"/>
        <v>0</v>
      </c>
      <c r="AO1151" s="1154">
        <f t="shared" si="322"/>
        <v>0</v>
      </c>
      <c r="AP1151" s="1147">
        <f t="shared" si="309"/>
        <v>13714.885602088949</v>
      </c>
      <c r="AQ1151" s="1144">
        <f t="shared" si="310"/>
        <v>0</v>
      </c>
      <c r="AR1151" s="1146">
        <f t="shared" si="311"/>
        <v>13714.885602088949</v>
      </c>
    </row>
    <row r="1152" spans="1:44" x14ac:dyDescent="0.2">
      <c r="A1152" s="1141" t="str">
        <f t="shared" si="324"/>
        <v>1552</v>
      </c>
      <c r="B1152" s="1141" t="str">
        <f>IFERROR(VLOOKUP(A1152,'LAC 103'!A:C,3,FALSE),"")</f>
        <v>OP</v>
      </c>
      <c r="C1152" s="1478" t="str">
        <f>Info!$B$8</f>
        <v>00100</v>
      </c>
      <c r="D1152" s="1474" t="s">
        <v>256</v>
      </c>
      <c r="E1152" s="1474" t="s">
        <v>95</v>
      </c>
      <c r="F1152" s="1478" t="s">
        <v>412</v>
      </c>
      <c r="G1152" s="1478" t="s">
        <v>412</v>
      </c>
      <c r="H1152" s="1474" t="s">
        <v>983</v>
      </c>
      <c r="I1152" s="1478" t="s">
        <v>823</v>
      </c>
      <c r="J1152" s="1478" t="s">
        <v>1998</v>
      </c>
      <c r="K1152" s="1475" t="s">
        <v>971</v>
      </c>
      <c r="L1152" s="1474" t="s">
        <v>332</v>
      </c>
      <c r="M1152" s="1476" t="s">
        <v>1698</v>
      </c>
      <c r="N1152" s="1477" t="s">
        <v>1693</v>
      </c>
      <c r="O1152" s="1479">
        <v>79</v>
      </c>
      <c r="P1152" s="1479"/>
      <c r="Q1152" s="1142">
        <f t="shared" si="325"/>
        <v>79</v>
      </c>
      <c r="R1152" s="1143">
        <f>IFERROR(VLOOKUP(CONCATENATE(E1152,G1152),'LAC 103'!$A$12:$O$95,11,FALSE),0)</f>
        <v>3.207410103388435</v>
      </c>
      <c r="S1152" s="1144">
        <f>IFERROR(VLOOKUP(CONCATENATE($E1152,$G1152),'LAC 103'!$A$12:$O$95,12,FALSE),0)</f>
        <v>3.99</v>
      </c>
      <c r="T1152" s="1144">
        <f>IFERROR(VLOOKUP(CONCATENATE($E1152,$G1152),'LAC 103'!$A$12:$O$95,13,FALSE),0)</f>
        <v>2.48</v>
      </c>
      <c r="U1152" s="1144">
        <f>IFERROR(VLOOKUP(CONCATENATE($E1152,$G1152),'LAC 103'!$A$12:$O$95,14,FALSE),0)</f>
        <v>0</v>
      </c>
      <c r="V1152" s="1144">
        <f>IFERROR(VLOOKUP(CONCATENATE($E1152,$G1152),'LAC 103'!$A$12:$O$95,15,FALSE),0)</f>
        <v>0</v>
      </c>
      <c r="W1152" s="1145" t="str">
        <f>IFERROR(VLOOKUP(CONCATENATE($B1152,$N1152),'LAC 103'!$AI:$AQ,9,FALSE),"")</f>
        <v>Costs</v>
      </c>
      <c r="X1152" s="1146">
        <f t="shared" si="312"/>
        <v>3.207410103388435</v>
      </c>
      <c r="Y1152" s="1143">
        <f t="shared" si="323"/>
        <v>253.38539816768636</v>
      </c>
      <c r="Z1152" s="1147">
        <f t="shared" si="313"/>
        <v>315.21000000000004</v>
      </c>
      <c r="AA1152" s="1144">
        <f t="shared" si="314"/>
        <v>195.92</v>
      </c>
      <c r="AB1152" s="1144">
        <f t="shared" si="315"/>
        <v>0</v>
      </c>
      <c r="AC1152" s="1144">
        <f t="shared" si="316"/>
        <v>0</v>
      </c>
      <c r="AD1152" s="1148">
        <f t="shared" si="308"/>
        <v>253.38539816768636</v>
      </c>
      <c r="AE1152" s="1487">
        <v>0</v>
      </c>
      <c r="AF1152" s="1145">
        <f t="shared" si="317"/>
        <v>253.38539816768636</v>
      </c>
      <c r="AG1152" s="1149">
        <f>IFERROR(VLOOKUP(CONCATENATE($L1152,$N1152),'Drop List'!$G$23:$K$87,2,FALSE),0)</f>
        <v>0</v>
      </c>
      <c r="AH1152" s="1150">
        <f>IFERROR(VLOOKUP(CONCATENATE($L1152,$N1152),'Drop List'!$G$23:$K$87,3,FALSE),0)</f>
        <v>0</v>
      </c>
      <c r="AI1152" s="1150">
        <f>IFERROR(VLOOKUP(CONCATENATE($L1152,$N1152),'Drop List'!$G$23:$K$87,4,FALSE),0)</f>
        <v>0</v>
      </c>
      <c r="AJ1152" s="1151">
        <f>IFERROR(VLOOKUP(CONCATENATE($L1152,$N1152),'Drop List'!$G$23:$K$87,5,FALSE),0)</f>
        <v>0</v>
      </c>
      <c r="AK1152" s="1152">
        <f t="shared" si="318"/>
        <v>0</v>
      </c>
      <c r="AL1152" s="1153">
        <f t="shared" si="319"/>
        <v>0</v>
      </c>
      <c r="AM1152" s="1153">
        <f t="shared" si="320"/>
        <v>0</v>
      </c>
      <c r="AN1152" s="1145">
        <f t="shared" si="321"/>
        <v>0</v>
      </c>
      <c r="AO1152" s="1154">
        <f t="shared" si="322"/>
        <v>0</v>
      </c>
      <c r="AP1152" s="1147">
        <f t="shared" si="309"/>
        <v>253.38539816768636</v>
      </c>
      <c r="AQ1152" s="1144">
        <f t="shared" si="310"/>
        <v>0</v>
      </c>
      <c r="AR1152" s="1146">
        <f t="shared" si="311"/>
        <v>253.38539816768636</v>
      </c>
    </row>
    <row r="1153" spans="1:44" x14ac:dyDescent="0.2">
      <c r="A1153" s="1141" t="str">
        <f t="shared" si="324"/>
        <v>1552</v>
      </c>
      <c r="B1153" s="1141" t="str">
        <f>IFERROR(VLOOKUP(A1153,'LAC 103'!A:C,3,FALSE),"")</f>
        <v>OP</v>
      </c>
      <c r="C1153" s="1478" t="str">
        <f>Info!$B$8</f>
        <v>00100</v>
      </c>
      <c r="D1153" s="1474" t="s">
        <v>256</v>
      </c>
      <c r="E1153" s="1474" t="s">
        <v>95</v>
      </c>
      <c r="F1153" s="1478" t="s">
        <v>412</v>
      </c>
      <c r="G1153" s="1478" t="s">
        <v>412</v>
      </c>
      <c r="H1153" s="1474" t="s">
        <v>983</v>
      </c>
      <c r="I1153" s="1478" t="s">
        <v>823</v>
      </c>
      <c r="J1153" s="1478" t="s">
        <v>1999</v>
      </c>
      <c r="K1153" s="1475" t="s">
        <v>847</v>
      </c>
      <c r="L1153" s="1474" t="s">
        <v>582</v>
      </c>
      <c r="M1153" s="1476" t="s">
        <v>1699</v>
      </c>
      <c r="N1153" s="1477" t="s">
        <v>1694</v>
      </c>
      <c r="O1153" s="1479">
        <v>214</v>
      </c>
      <c r="P1153" s="1479"/>
      <c r="Q1153" s="1142">
        <f t="shared" si="325"/>
        <v>214</v>
      </c>
      <c r="R1153" s="1143">
        <f>IFERROR(VLOOKUP(CONCATENATE(E1153,G1153),'LAC 103'!$A$12:$O$95,11,FALSE),0)</f>
        <v>3.207410103388435</v>
      </c>
      <c r="S1153" s="1144">
        <f>IFERROR(VLOOKUP(CONCATENATE($E1153,$G1153),'LAC 103'!$A$12:$O$95,12,FALSE),0)</f>
        <v>3.99</v>
      </c>
      <c r="T1153" s="1144">
        <f>IFERROR(VLOOKUP(CONCATENATE($E1153,$G1153),'LAC 103'!$A$12:$O$95,13,FALSE),0)</f>
        <v>2.48</v>
      </c>
      <c r="U1153" s="1144">
        <f>IFERROR(VLOOKUP(CONCATENATE($E1153,$G1153),'LAC 103'!$A$12:$O$95,14,FALSE),0)</f>
        <v>0</v>
      </c>
      <c r="V1153" s="1144">
        <f>IFERROR(VLOOKUP(CONCATENATE($E1153,$G1153),'LAC 103'!$A$12:$O$95,15,FALSE),0)</f>
        <v>0</v>
      </c>
      <c r="W1153" s="1145" t="str">
        <f>IFERROR(VLOOKUP(CONCATENATE($B1153,$N1153),'LAC 103'!$AI:$AQ,9,FALSE),"")</f>
        <v>Costs</v>
      </c>
      <c r="X1153" s="1146">
        <f t="shared" si="312"/>
        <v>3.207410103388435</v>
      </c>
      <c r="Y1153" s="1143">
        <f t="shared" si="323"/>
        <v>686.3857621251251</v>
      </c>
      <c r="Z1153" s="1147">
        <f t="shared" si="313"/>
        <v>853.86</v>
      </c>
      <c r="AA1153" s="1144">
        <f t="shared" si="314"/>
        <v>530.72</v>
      </c>
      <c r="AB1153" s="1144">
        <f t="shared" si="315"/>
        <v>0</v>
      </c>
      <c r="AC1153" s="1144">
        <f t="shared" si="316"/>
        <v>0</v>
      </c>
      <c r="AD1153" s="1148">
        <f t="shared" si="308"/>
        <v>686.3857621251251</v>
      </c>
      <c r="AE1153" s="1487">
        <v>0</v>
      </c>
      <c r="AF1153" s="1145">
        <f t="shared" si="317"/>
        <v>686.3857621251251</v>
      </c>
      <c r="AG1153" s="1149">
        <f>IFERROR(VLOOKUP(CONCATENATE($L1153,$N1153),'Drop List'!$G$23:$K$87,2,FALSE),0)</f>
        <v>0.56200000000000006</v>
      </c>
      <c r="AH1153" s="1150">
        <f>IFERROR(VLOOKUP(CONCATENATE($L1153,$N1153),'Drop List'!$G$23:$K$87,3,FALSE),0)</f>
        <v>0.43799999999999994</v>
      </c>
      <c r="AI1153" s="1150">
        <f>IFERROR(VLOOKUP(CONCATENATE($L1153,$N1153),'Drop List'!$G$23:$K$87,4,FALSE),0)</f>
        <v>0</v>
      </c>
      <c r="AJ1153" s="1151">
        <f>IFERROR(VLOOKUP(CONCATENATE($L1153,$N1153),'Drop List'!$G$23:$K$87,5,FALSE),0)</f>
        <v>0</v>
      </c>
      <c r="AK1153" s="1152">
        <f t="shared" si="318"/>
        <v>385.74879831432037</v>
      </c>
      <c r="AL1153" s="1153">
        <f t="shared" si="319"/>
        <v>300.63696381080473</v>
      </c>
      <c r="AM1153" s="1153">
        <f t="shared" si="320"/>
        <v>0</v>
      </c>
      <c r="AN1153" s="1145">
        <f t="shared" si="321"/>
        <v>0</v>
      </c>
      <c r="AO1153" s="1154">
        <f t="shared" si="322"/>
        <v>686.3857621251251</v>
      </c>
      <c r="AP1153" s="1147">
        <f t="shared" si="309"/>
        <v>0</v>
      </c>
      <c r="AQ1153" s="1144">
        <f t="shared" si="310"/>
        <v>0</v>
      </c>
      <c r="AR1153" s="1146">
        <f t="shared" si="311"/>
        <v>686.3857621251251</v>
      </c>
    </row>
    <row r="1154" spans="1:44" x14ac:dyDescent="0.2">
      <c r="A1154" s="1141" t="str">
        <f t="shared" si="324"/>
        <v>1552</v>
      </c>
      <c r="B1154" s="1141" t="str">
        <f>IFERROR(VLOOKUP(A1154,'LAC 103'!A:C,3,FALSE),"")</f>
        <v>OP</v>
      </c>
      <c r="C1154" s="1478" t="str">
        <f>Info!$B$8</f>
        <v>00100</v>
      </c>
      <c r="D1154" s="1474" t="s">
        <v>256</v>
      </c>
      <c r="E1154" s="1474" t="s">
        <v>95</v>
      </c>
      <c r="F1154" s="1478" t="s">
        <v>412</v>
      </c>
      <c r="G1154" s="1478" t="s">
        <v>412</v>
      </c>
      <c r="H1154" s="1474" t="s">
        <v>983</v>
      </c>
      <c r="I1154" s="1478" t="s">
        <v>823</v>
      </c>
      <c r="J1154" s="1478" t="s">
        <v>1999</v>
      </c>
      <c r="K1154" s="1475" t="s">
        <v>847</v>
      </c>
      <c r="L1154" s="1474" t="s">
        <v>582</v>
      </c>
      <c r="M1154" s="1476" t="s">
        <v>840</v>
      </c>
      <c r="N1154" s="1477" t="s">
        <v>1700</v>
      </c>
      <c r="O1154" s="1479">
        <v>48</v>
      </c>
      <c r="P1154" s="1479"/>
      <c r="Q1154" s="1142">
        <f t="shared" si="325"/>
        <v>48</v>
      </c>
      <c r="R1154" s="1143">
        <f>IFERROR(VLOOKUP(CONCATENATE(E1154,G1154),'LAC 103'!$A$12:$O$95,11,FALSE),0)</f>
        <v>3.207410103388435</v>
      </c>
      <c r="S1154" s="1144">
        <f>IFERROR(VLOOKUP(CONCATENATE($E1154,$G1154),'LAC 103'!$A$12:$O$95,12,FALSE),0)</f>
        <v>3.99</v>
      </c>
      <c r="T1154" s="1144">
        <f>IFERROR(VLOOKUP(CONCATENATE($E1154,$G1154),'LAC 103'!$A$12:$O$95,13,FALSE),0)</f>
        <v>2.48</v>
      </c>
      <c r="U1154" s="1144">
        <f>IFERROR(VLOOKUP(CONCATENATE($E1154,$G1154),'LAC 103'!$A$12:$O$95,14,FALSE),0)</f>
        <v>0</v>
      </c>
      <c r="V1154" s="1144">
        <f>IFERROR(VLOOKUP(CONCATENATE($E1154,$G1154),'LAC 103'!$A$12:$O$95,15,FALSE),0)</f>
        <v>0</v>
      </c>
      <c r="W1154" s="1145" t="str">
        <f>IFERROR(VLOOKUP(CONCATENATE($B1154,$N1154),'LAC 103'!$AI:$AQ,9,FALSE),"")</f>
        <v>P.C.</v>
      </c>
      <c r="X1154" s="1146">
        <f t="shared" si="312"/>
        <v>2.48</v>
      </c>
      <c r="Y1154" s="1143">
        <f t="shared" si="323"/>
        <v>153.95568496264488</v>
      </c>
      <c r="Z1154" s="1147">
        <f t="shared" si="313"/>
        <v>191.52</v>
      </c>
      <c r="AA1154" s="1144">
        <f t="shared" si="314"/>
        <v>119.03999999999999</v>
      </c>
      <c r="AB1154" s="1144">
        <f t="shared" si="315"/>
        <v>0</v>
      </c>
      <c r="AC1154" s="1144">
        <f t="shared" si="316"/>
        <v>0</v>
      </c>
      <c r="AD1154" s="1148">
        <f t="shared" si="308"/>
        <v>119.03999999999999</v>
      </c>
      <c r="AE1154" s="1487">
        <v>0</v>
      </c>
      <c r="AF1154" s="1145">
        <f t="shared" si="317"/>
        <v>119.03999999999999</v>
      </c>
      <c r="AG1154" s="1149">
        <f>IFERROR(VLOOKUP(CONCATENATE($L1154,$N1154),'Drop List'!$G$23:$K$87,2,FALSE),0)</f>
        <v>0.55000000000000004</v>
      </c>
      <c r="AH1154" s="1150">
        <f>IFERROR(VLOOKUP(CONCATENATE($L1154,$N1154),'Drop List'!$G$23:$K$87,3,FALSE),0)</f>
        <v>0.44999999999999996</v>
      </c>
      <c r="AI1154" s="1150">
        <f>IFERROR(VLOOKUP(CONCATENATE($L1154,$N1154),'Drop List'!$G$23:$K$87,4,FALSE),0)</f>
        <v>0</v>
      </c>
      <c r="AJ1154" s="1151">
        <f>IFERROR(VLOOKUP(CONCATENATE($L1154,$N1154),'Drop List'!$G$23:$K$87,5,FALSE),0)</f>
        <v>0</v>
      </c>
      <c r="AK1154" s="1152">
        <f t="shared" si="318"/>
        <v>65.471999999999994</v>
      </c>
      <c r="AL1154" s="1153">
        <f t="shared" si="319"/>
        <v>53.567999999999991</v>
      </c>
      <c r="AM1154" s="1153">
        <f t="shared" si="320"/>
        <v>0</v>
      </c>
      <c r="AN1154" s="1145">
        <f t="shared" si="321"/>
        <v>0</v>
      </c>
      <c r="AO1154" s="1154">
        <f t="shared" si="322"/>
        <v>119.03999999999999</v>
      </c>
      <c r="AP1154" s="1147">
        <f t="shared" si="309"/>
        <v>0</v>
      </c>
      <c r="AQ1154" s="1144">
        <f t="shared" si="310"/>
        <v>0</v>
      </c>
      <c r="AR1154" s="1146">
        <f t="shared" si="311"/>
        <v>119.03999999999999</v>
      </c>
    </row>
    <row r="1155" spans="1:44" x14ac:dyDescent="0.2">
      <c r="A1155" s="1141" t="str">
        <f t="shared" si="324"/>
        <v>1552</v>
      </c>
      <c r="B1155" s="1141" t="str">
        <f>IFERROR(VLOOKUP(A1155,'LAC 103'!A:C,3,FALSE),"")</f>
        <v>OP</v>
      </c>
      <c r="C1155" s="1478" t="str">
        <f>Info!$B$8</f>
        <v>00100</v>
      </c>
      <c r="D1155" s="1474" t="s">
        <v>256</v>
      </c>
      <c r="E1155" s="1474" t="s">
        <v>95</v>
      </c>
      <c r="F1155" s="1478" t="s">
        <v>412</v>
      </c>
      <c r="G1155" s="1478" t="s">
        <v>412</v>
      </c>
      <c r="H1155" s="1474" t="s">
        <v>983</v>
      </c>
      <c r="I1155" s="1478" t="s">
        <v>823</v>
      </c>
      <c r="J1155" s="1478" t="s">
        <v>2000</v>
      </c>
      <c r="K1155" s="1475" t="s">
        <v>849</v>
      </c>
      <c r="L1155" s="1474" t="s">
        <v>77</v>
      </c>
      <c r="M1155" s="1476" t="s">
        <v>842</v>
      </c>
      <c r="N1155" s="1477" t="s">
        <v>1692</v>
      </c>
      <c r="O1155" s="1479">
        <v>376</v>
      </c>
      <c r="P1155" s="1479"/>
      <c r="Q1155" s="1142">
        <f t="shared" si="325"/>
        <v>376</v>
      </c>
      <c r="R1155" s="1143">
        <f>IFERROR(VLOOKUP(CONCATENATE(E1155,G1155),'LAC 103'!$A$12:$O$95,11,FALSE),0)</f>
        <v>3.207410103388435</v>
      </c>
      <c r="S1155" s="1144">
        <f>IFERROR(VLOOKUP(CONCATENATE($E1155,$G1155),'LAC 103'!$A$12:$O$95,12,FALSE),0)</f>
        <v>3.99</v>
      </c>
      <c r="T1155" s="1144">
        <f>IFERROR(VLOOKUP(CONCATENATE($E1155,$G1155),'LAC 103'!$A$12:$O$95,13,FALSE),0)</f>
        <v>2.48</v>
      </c>
      <c r="U1155" s="1144">
        <f>IFERROR(VLOOKUP(CONCATENATE($E1155,$G1155),'LAC 103'!$A$12:$O$95,14,FALSE),0)</f>
        <v>0</v>
      </c>
      <c r="V1155" s="1144">
        <f>IFERROR(VLOOKUP(CONCATENATE($E1155,$G1155),'LAC 103'!$A$12:$O$95,15,FALSE),0)</f>
        <v>0</v>
      </c>
      <c r="W1155" s="1145" t="str">
        <f>IFERROR(VLOOKUP(CONCATENATE($B1155,$N1155),'LAC 103'!$AI:$AQ,9,FALSE),"")</f>
        <v>Costs</v>
      </c>
      <c r="X1155" s="1146">
        <f t="shared" si="312"/>
        <v>3.207410103388435</v>
      </c>
      <c r="Y1155" s="1143">
        <f t="shared" si="323"/>
        <v>1205.9861988740515</v>
      </c>
      <c r="Z1155" s="1147">
        <f t="shared" si="313"/>
        <v>1500.24</v>
      </c>
      <c r="AA1155" s="1144">
        <f t="shared" si="314"/>
        <v>932.48</v>
      </c>
      <c r="AB1155" s="1144">
        <f t="shared" si="315"/>
        <v>0</v>
      </c>
      <c r="AC1155" s="1144">
        <f t="shared" si="316"/>
        <v>0</v>
      </c>
      <c r="AD1155" s="1148">
        <f t="shared" si="308"/>
        <v>1205.9861988740515</v>
      </c>
      <c r="AE1155" s="1487">
        <v>0</v>
      </c>
      <c r="AF1155" s="1145">
        <f t="shared" si="317"/>
        <v>1205.9861988740515</v>
      </c>
      <c r="AG1155" s="1149">
        <f>IFERROR(VLOOKUP(CONCATENATE($L1155,$N1155),'Drop List'!$G$23:$K$87,2,FALSE),0)</f>
        <v>0.9</v>
      </c>
      <c r="AH1155" s="1150">
        <f>IFERROR(VLOOKUP(CONCATENATE($L1155,$N1155),'Drop List'!$G$23:$K$87,3,FALSE),0)</f>
        <v>0</v>
      </c>
      <c r="AI1155" s="1150">
        <f>IFERROR(VLOOKUP(CONCATENATE($L1155,$N1155),'Drop List'!$G$23:$K$87,4,FALSE),0)</f>
        <v>0.1</v>
      </c>
      <c r="AJ1155" s="1151">
        <f>IFERROR(VLOOKUP(CONCATENATE($L1155,$N1155),'Drop List'!$G$23:$K$87,5,FALSE),0)</f>
        <v>0</v>
      </c>
      <c r="AK1155" s="1152">
        <f t="shared" si="318"/>
        <v>1085.3875789866463</v>
      </c>
      <c r="AL1155" s="1153">
        <f t="shared" si="319"/>
        <v>0</v>
      </c>
      <c r="AM1155" s="1153">
        <f t="shared" si="320"/>
        <v>120.59861988740516</v>
      </c>
      <c r="AN1155" s="1145">
        <f t="shared" si="321"/>
        <v>0</v>
      </c>
      <c r="AO1155" s="1154">
        <f t="shared" si="322"/>
        <v>1205.9861988740515</v>
      </c>
      <c r="AP1155" s="1147">
        <f t="shared" si="309"/>
        <v>0</v>
      </c>
      <c r="AQ1155" s="1144">
        <f t="shared" si="310"/>
        <v>0</v>
      </c>
      <c r="AR1155" s="1146">
        <f t="shared" si="311"/>
        <v>1205.9861988740515</v>
      </c>
    </row>
    <row r="1156" spans="1:44" x14ac:dyDescent="0.2">
      <c r="A1156" s="1141" t="str">
        <f t="shared" si="324"/>
        <v>1552</v>
      </c>
      <c r="B1156" s="1141" t="str">
        <f>IFERROR(VLOOKUP(A1156,'LAC 103'!A:C,3,FALSE),"")</f>
        <v>OP</v>
      </c>
      <c r="C1156" s="1478" t="str">
        <f>Info!$B$8</f>
        <v>00100</v>
      </c>
      <c r="D1156" s="1474" t="s">
        <v>256</v>
      </c>
      <c r="E1156" s="1474" t="s">
        <v>95</v>
      </c>
      <c r="F1156" s="1478" t="s">
        <v>412</v>
      </c>
      <c r="G1156" s="1478" t="s">
        <v>412</v>
      </c>
      <c r="H1156" s="1474" t="s">
        <v>983</v>
      </c>
      <c r="I1156" s="1478" t="s">
        <v>823</v>
      </c>
      <c r="J1156" s="1478" t="s">
        <v>2000</v>
      </c>
      <c r="K1156" s="1475" t="s">
        <v>849</v>
      </c>
      <c r="L1156" s="1474" t="s">
        <v>77</v>
      </c>
      <c r="M1156" s="1476" t="s">
        <v>1698</v>
      </c>
      <c r="N1156" s="1477" t="s">
        <v>1693</v>
      </c>
      <c r="O1156" s="1479">
        <v>173</v>
      </c>
      <c r="P1156" s="1479"/>
      <c r="Q1156" s="1142">
        <f t="shared" si="325"/>
        <v>173</v>
      </c>
      <c r="R1156" s="1143">
        <f>IFERROR(VLOOKUP(CONCATENATE(E1156,G1156),'LAC 103'!$A$12:$O$95,11,FALSE),0)</f>
        <v>3.207410103388435</v>
      </c>
      <c r="S1156" s="1144">
        <f>IFERROR(VLOOKUP(CONCATENATE($E1156,$G1156),'LAC 103'!$A$12:$O$95,12,FALSE),0)</f>
        <v>3.99</v>
      </c>
      <c r="T1156" s="1144">
        <f>IFERROR(VLOOKUP(CONCATENATE($E1156,$G1156),'LAC 103'!$A$12:$O$95,13,FALSE),0)</f>
        <v>2.48</v>
      </c>
      <c r="U1156" s="1144">
        <f>IFERROR(VLOOKUP(CONCATENATE($E1156,$G1156),'LAC 103'!$A$12:$O$95,14,FALSE),0)</f>
        <v>0</v>
      </c>
      <c r="V1156" s="1144">
        <f>IFERROR(VLOOKUP(CONCATENATE($E1156,$G1156),'LAC 103'!$A$12:$O$95,15,FALSE),0)</f>
        <v>0</v>
      </c>
      <c r="W1156" s="1145" t="str">
        <f>IFERROR(VLOOKUP(CONCATENATE($B1156,$N1156),'LAC 103'!$AI:$AQ,9,FALSE),"")</f>
        <v>Costs</v>
      </c>
      <c r="X1156" s="1146">
        <f t="shared" si="312"/>
        <v>3.207410103388435</v>
      </c>
      <c r="Y1156" s="1143">
        <f t="shared" si="323"/>
        <v>554.88194788619921</v>
      </c>
      <c r="Z1156" s="1147">
        <f t="shared" si="313"/>
        <v>690.27</v>
      </c>
      <c r="AA1156" s="1144">
        <f t="shared" si="314"/>
        <v>429.04</v>
      </c>
      <c r="AB1156" s="1144">
        <f t="shared" si="315"/>
        <v>0</v>
      </c>
      <c r="AC1156" s="1144">
        <f t="shared" si="316"/>
        <v>0</v>
      </c>
      <c r="AD1156" s="1148">
        <f t="shared" si="308"/>
        <v>554.88194788619921</v>
      </c>
      <c r="AE1156" s="1487">
        <v>0</v>
      </c>
      <c r="AF1156" s="1145">
        <f t="shared" si="317"/>
        <v>554.88194788619921</v>
      </c>
      <c r="AG1156" s="1149">
        <f>IFERROR(VLOOKUP(CONCATENATE($L1156,$N1156),'Drop List'!$G$23:$K$87,2,FALSE),0)</f>
        <v>0.9</v>
      </c>
      <c r="AH1156" s="1150">
        <f>IFERROR(VLOOKUP(CONCATENATE($L1156,$N1156),'Drop List'!$G$23:$K$87,3,FALSE),0)</f>
        <v>0</v>
      </c>
      <c r="AI1156" s="1150">
        <f>IFERROR(VLOOKUP(CONCATENATE($L1156,$N1156),'Drop List'!$G$23:$K$87,4,FALSE),0)</f>
        <v>0.1</v>
      </c>
      <c r="AJ1156" s="1151">
        <f>IFERROR(VLOOKUP(CONCATENATE($L1156,$N1156),'Drop List'!$G$23:$K$87,5,FALSE),0)</f>
        <v>0</v>
      </c>
      <c r="AK1156" s="1152">
        <f t="shared" si="318"/>
        <v>499.39375309757929</v>
      </c>
      <c r="AL1156" s="1153">
        <f t="shared" si="319"/>
        <v>0</v>
      </c>
      <c r="AM1156" s="1153">
        <f t="shared" si="320"/>
        <v>55.488194788619921</v>
      </c>
      <c r="AN1156" s="1145">
        <f t="shared" si="321"/>
        <v>0</v>
      </c>
      <c r="AO1156" s="1154">
        <f t="shared" si="322"/>
        <v>554.88194788619921</v>
      </c>
      <c r="AP1156" s="1147">
        <f t="shared" si="309"/>
        <v>0</v>
      </c>
      <c r="AQ1156" s="1144">
        <f t="shared" si="310"/>
        <v>0</v>
      </c>
      <c r="AR1156" s="1146">
        <f t="shared" si="311"/>
        <v>554.88194788619921</v>
      </c>
    </row>
    <row r="1157" spans="1:44" x14ac:dyDescent="0.2">
      <c r="A1157" s="1141" t="str">
        <f t="shared" si="324"/>
        <v>1552</v>
      </c>
      <c r="B1157" s="1141" t="str">
        <f>IFERROR(VLOOKUP(A1157,'LAC 103'!A:C,3,FALSE),"")</f>
        <v>OP</v>
      </c>
      <c r="C1157" s="1478" t="str">
        <f>Info!$B$8</f>
        <v>00100</v>
      </c>
      <c r="D1157" s="1474" t="s">
        <v>256</v>
      </c>
      <c r="E1157" s="1474" t="s">
        <v>95</v>
      </c>
      <c r="F1157" s="1478" t="s">
        <v>412</v>
      </c>
      <c r="G1157" s="1478" t="s">
        <v>412</v>
      </c>
      <c r="H1157" s="1474" t="s">
        <v>983</v>
      </c>
      <c r="I1157" s="1478" t="s">
        <v>823</v>
      </c>
      <c r="J1157" s="1478" t="s">
        <v>2000</v>
      </c>
      <c r="K1157" s="1475" t="s">
        <v>851</v>
      </c>
      <c r="L1157" s="1474" t="s">
        <v>584</v>
      </c>
      <c r="M1157" s="1476" t="s">
        <v>841</v>
      </c>
      <c r="N1157" s="1477" t="s">
        <v>1695</v>
      </c>
      <c r="O1157" s="1479">
        <v>141</v>
      </c>
      <c r="P1157" s="1479"/>
      <c r="Q1157" s="1142">
        <f t="shared" si="325"/>
        <v>141</v>
      </c>
      <c r="R1157" s="1143">
        <f>IFERROR(VLOOKUP(CONCATENATE(E1157,G1157),'LAC 103'!$A$12:$O$95,11,FALSE),0)</f>
        <v>3.207410103388435</v>
      </c>
      <c r="S1157" s="1144">
        <f>IFERROR(VLOOKUP(CONCATENATE($E1157,$G1157),'LAC 103'!$A$12:$O$95,12,FALSE),0)</f>
        <v>3.99</v>
      </c>
      <c r="T1157" s="1144">
        <f>IFERROR(VLOOKUP(CONCATENATE($E1157,$G1157),'LAC 103'!$A$12:$O$95,13,FALSE),0)</f>
        <v>2.48</v>
      </c>
      <c r="U1157" s="1144">
        <f>IFERROR(VLOOKUP(CONCATENATE($E1157,$G1157),'LAC 103'!$A$12:$O$95,14,FALSE),0)</f>
        <v>0</v>
      </c>
      <c r="V1157" s="1144">
        <f>IFERROR(VLOOKUP(CONCATENATE($E1157,$G1157),'LAC 103'!$A$12:$O$95,15,FALSE),0)</f>
        <v>0</v>
      </c>
      <c r="W1157" s="1145" t="str">
        <f>IFERROR(VLOOKUP(CONCATENATE($B1157,$N1157),'LAC 103'!$AI:$AQ,9,FALSE),"")</f>
        <v>Costs</v>
      </c>
      <c r="X1157" s="1146">
        <f t="shared" si="312"/>
        <v>3.207410103388435</v>
      </c>
      <c r="Y1157" s="1143">
        <f t="shared" si="323"/>
        <v>452.24482457776935</v>
      </c>
      <c r="Z1157" s="1147">
        <f t="shared" si="313"/>
        <v>562.59</v>
      </c>
      <c r="AA1157" s="1144">
        <f t="shared" si="314"/>
        <v>349.68</v>
      </c>
      <c r="AB1157" s="1144">
        <f t="shared" si="315"/>
        <v>0</v>
      </c>
      <c r="AC1157" s="1144">
        <f t="shared" si="316"/>
        <v>0</v>
      </c>
      <c r="AD1157" s="1148">
        <f t="shared" si="308"/>
        <v>452.24482457776935</v>
      </c>
      <c r="AE1157" s="1487">
        <v>0</v>
      </c>
      <c r="AF1157" s="1145">
        <f t="shared" si="317"/>
        <v>452.24482457776935</v>
      </c>
      <c r="AG1157" s="1149">
        <f>IFERROR(VLOOKUP(CONCATENATE($L1157,$N1157),'Drop List'!$G$23:$K$87,2,FALSE),0)</f>
        <v>0.55000000000000004</v>
      </c>
      <c r="AH1157" s="1150">
        <f>IFERROR(VLOOKUP(CONCATENATE($L1157,$N1157),'Drop List'!$G$23:$K$87,3,FALSE),0)</f>
        <v>0</v>
      </c>
      <c r="AI1157" s="1150">
        <f>IFERROR(VLOOKUP(CONCATENATE($L1157,$N1157),'Drop List'!$G$23:$K$87,4,FALSE),0)</f>
        <v>0</v>
      </c>
      <c r="AJ1157" s="1151">
        <f>IFERROR(VLOOKUP(CONCATENATE($L1157,$N1157),'Drop List'!$G$23:$K$87,5,FALSE),0)</f>
        <v>0.44999999999999996</v>
      </c>
      <c r="AK1157" s="1152">
        <f t="shared" si="318"/>
        <v>248.73465351777315</v>
      </c>
      <c r="AL1157" s="1153">
        <f t="shared" si="319"/>
        <v>0</v>
      </c>
      <c r="AM1157" s="1153">
        <f t="shared" si="320"/>
        <v>0</v>
      </c>
      <c r="AN1157" s="1145">
        <f t="shared" si="321"/>
        <v>203.5101710599962</v>
      </c>
      <c r="AO1157" s="1154">
        <f t="shared" si="322"/>
        <v>452.24482457776935</v>
      </c>
      <c r="AP1157" s="1147">
        <f t="shared" si="309"/>
        <v>0</v>
      </c>
      <c r="AQ1157" s="1144">
        <f t="shared" si="310"/>
        <v>0</v>
      </c>
      <c r="AR1157" s="1146">
        <f t="shared" si="311"/>
        <v>452.24482457776935</v>
      </c>
    </row>
    <row r="1158" spans="1:44" x14ac:dyDescent="0.2">
      <c r="A1158" s="1141" t="str">
        <f t="shared" si="324"/>
        <v>1552</v>
      </c>
      <c r="B1158" s="1141" t="str">
        <f>IFERROR(VLOOKUP(A1158,'LAC 103'!A:C,3,FALSE),"")</f>
        <v>OP</v>
      </c>
      <c r="C1158" s="1478" t="str">
        <f>Info!$B$8</f>
        <v>00100</v>
      </c>
      <c r="D1158" s="1474" t="s">
        <v>256</v>
      </c>
      <c r="E1158" s="1474" t="s">
        <v>95</v>
      </c>
      <c r="F1158" s="1478" t="s">
        <v>412</v>
      </c>
      <c r="G1158" s="1478" t="s">
        <v>412</v>
      </c>
      <c r="H1158" s="1474" t="s">
        <v>983</v>
      </c>
      <c r="I1158" s="1478" t="s">
        <v>823</v>
      </c>
      <c r="J1158" s="1478" t="s">
        <v>2000</v>
      </c>
      <c r="K1158" s="1475" t="s">
        <v>851</v>
      </c>
      <c r="L1158" s="1474" t="s">
        <v>584</v>
      </c>
      <c r="M1158" s="1476" t="s">
        <v>840</v>
      </c>
      <c r="N1158" s="1477" t="s">
        <v>1700</v>
      </c>
      <c r="O1158" s="1479">
        <v>118</v>
      </c>
      <c r="P1158" s="1479"/>
      <c r="Q1158" s="1142">
        <f t="shared" si="325"/>
        <v>118</v>
      </c>
      <c r="R1158" s="1143">
        <f>IFERROR(VLOOKUP(CONCATENATE(E1158,G1158),'LAC 103'!$A$12:$O$95,11,FALSE),0)</f>
        <v>3.207410103388435</v>
      </c>
      <c r="S1158" s="1144">
        <f>IFERROR(VLOOKUP(CONCATENATE($E1158,$G1158),'LAC 103'!$A$12:$O$95,12,FALSE),0)</f>
        <v>3.99</v>
      </c>
      <c r="T1158" s="1144">
        <f>IFERROR(VLOOKUP(CONCATENATE($E1158,$G1158),'LAC 103'!$A$12:$O$95,13,FALSE),0)</f>
        <v>2.48</v>
      </c>
      <c r="U1158" s="1144">
        <f>IFERROR(VLOOKUP(CONCATENATE($E1158,$G1158),'LAC 103'!$A$12:$O$95,14,FALSE),0)</f>
        <v>0</v>
      </c>
      <c r="V1158" s="1144">
        <f>IFERROR(VLOOKUP(CONCATENATE($E1158,$G1158),'LAC 103'!$A$12:$O$95,15,FALSE),0)</f>
        <v>0</v>
      </c>
      <c r="W1158" s="1145" t="str">
        <f>IFERROR(VLOOKUP(CONCATENATE($B1158,$N1158),'LAC 103'!$AI:$AQ,9,FALSE),"")</f>
        <v>P.C.</v>
      </c>
      <c r="X1158" s="1146">
        <f t="shared" si="312"/>
        <v>2.48</v>
      </c>
      <c r="Y1158" s="1143">
        <f t="shared" si="323"/>
        <v>378.47439219983534</v>
      </c>
      <c r="Z1158" s="1147">
        <f t="shared" si="313"/>
        <v>470.82000000000005</v>
      </c>
      <c r="AA1158" s="1144">
        <f t="shared" si="314"/>
        <v>292.64</v>
      </c>
      <c r="AB1158" s="1144">
        <f t="shared" si="315"/>
        <v>0</v>
      </c>
      <c r="AC1158" s="1144">
        <f t="shared" si="316"/>
        <v>0</v>
      </c>
      <c r="AD1158" s="1148">
        <f t="shared" si="308"/>
        <v>292.64</v>
      </c>
      <c r="AE1158" s="1487">
        <v>0</v>
      </c>
      <c r="AF1158" s="1145">
        <f t="shared" si="317"/>
        <v>292.64</v>
      </c>
      <c r="AG1158" s="1149">
        <f>IFERROR(VLOOKUP(CONCATENATE($L1158,$N1158),'Drop List'!$G$23:$K$87,2,FALSE),0)</f>
        <v>0.55000000000000004</v>
      </c>
      <c r="AH1158" s="1150">
        <f>IFERROR(VLOOKUP(CONCATENATE($L1158,$N1158),'Drop List'!$G$23:$K$87,3,FALSE),0)</f>
        <v>0</v>
      </c>
      <c r="AI1158" s="1150">
        <f>IFERROR(VLOOKUP(CONCATENATE($L1158,$N1158),'Drop List'!$G$23:$K$87,4,FALSE),0)</f>
        <v>0</v>
      </c>
      <c r="AJ1158" s="1151">
        <f>IFERROR(VLOOKUP(CONCATENATE($L1158,$N1158),'Drop List'!$G$23:$K$87,5,FALSE),0)</f>
        <v>0.44999999999999996</v>
      </c>
      <c r="AK1158" s="1152">
        <f t="shared" si="318"/>
        <v>160.952</v>
      </c>
      <c r="AL1158" s="1153">
        <f t="shared" si="319"/>
        <v>0</v>
      </c>
      <c r="AM1158" s="1153">
        <f t="shared" si="320"/>
        <v>0</v>
      </c>
      <c r="AN1158" s="1145">
        <f t="shared" si="321"/>
        <v>131.68799999999999</v>
      </c>
      <c r="AO1158" s="1154">
        <f t="shared" si="322"/>
        <v>292.64</v>
      </c>
      <c r="AP1158" s="1147">
        <f t="shared" si="309"/>
        <v>0</v>
      </c>
      <c r="AQ1158" s="1144">
        <f t="shared" si="310"/>
        <v>0</v>
      </c>
      <c r="AR1158" s="1146">
        <f t="shared" si="311"/>
        <v>292.64</v>
      </c>
    </row>
    <row r="1159" spans="1:44" x14ac:dyDescent="0.2">
      <c r="A1159" s="1141" t="str">
        <f t="shared" si="324"/>
        <v>1552</v>
      </c>
      <c r="B1159" s="1141" t="str">
        <f>IFERROR(VLOOKUP(A1159,'LAC 103'!A:C,3,FALSE),"")</f>
        <v>OP</v>
      </c>
      <c r="C1159" s="1478" t="str">
        <f>Info!$B$8</f>
        <v>00100</v>
      </c>
      <c r="D1159" s="1474" t="s">
        <v>256</v>
      </c>
      <c r="E1159" s="1474" t="s">
        <v>95</v>
      </c>
      <c r="F1159" s="1478" t="s">
        <v>412</v>
      </c>
      <c r="G1159" s="1478" t="s">
        <v>412</v>
      </c>
      <c r="H1159" s="1474" t="s">
        <v>983</v>
      </c>
      <c r="I1159" s="1478" t="s">
        <v>823</v>
      </c>
      <c r="J1159" s="1478" t="s">
        <v>2001</v>
      </c>
      <c r="K1159" s="1475" t="s">
        <v>849</v>
      </c>
      <c r="L1159" s="1474" t="s">
        <v>77</v>
      </c>
      <c r="M1159" s="1476" t="s">
        <v>1699</v>
      </c>
      <c r="N1159" s="1477" t="s">
        <v>1694</v>
      </c>
      <c r="O1159" s="1479">
        <v>797</v>
      </c>
      <c r="P1159" s="1479"/>
      <c r="Q1159" s="1142">
        <f t="shared" si="325"/>
        <v>797</v>
      </c>
      <c r="R1159" s="1143">
        <f>IFERROR(VLOOKUP(CONCATENATE(E1159,G1159),'LAC 103'!$A$12:$O$95,11,FALSE),0)</f>
        <v>3.207410103388435</v>
      </c>
      <c r="S1159" s="1144">
        <f>IFERROR(VLOOKUP(CONCATENATE($E1159,$G1159),'LAC 103'!$A$12:$O$95,12,FALSE),0)</f>
        <v>3.99</v>
      </c>
      <c r="T1159" s="1144">
        <f>IFERROR(VLOOKUP(CONCATENATE($E1159,$G1159),'LAC 103'!$A$12:$O$95,13,FALSE),0)</f>
        <v>2.48</v>
      </c>
      <c r="U1159" s="1144">
        <f>IFERROR(VLOOKUP(CONCATENATE($E1159,$G1159),'LAC 103'!$A$12:$O$95,14,FALSE),0)</f>
        <v>0</v>
      </c>
      <c r="V1159" s="1144">
        <f>IFERROR(VLOOKUP(CONCATENATE($E1159,$G1159),'LAC 103'!$A$12:$O$95,15,FALSE),0)</f>
        <v>0</v>
      </c>
      <c r="W1159" s="1145" t="str">
        <f>IFERROR(VLOOKUP(CONCATENATE($B1159,$N1159),'LAC 103'!$AI:$AQ,9,FALSE),"")</f>
        <v>Costs</v>
      </c>
      <c r="X1159" s="1146">
        <f t="shared" si="312"/>
        <v>3.207410103388435</v>
      </c>
      <c r="Y1159" s="1143">
        <f t="shared" si="323"/>
        <v>2556.3058524005828</v>
      </c>
      <c r="Z1159" s="1147">
        <f t="shared" si="313"/>
        <v>3180.03</v>
      </c>
      <c r="AA1159" s="1144">
        <f t="shared" si="314"/>
        <v>1976.56</v>
      </c>
      <c r="AB1159" s="1144">
        <f t="shared" si="315"/>
        <v>0</v>
      </c>
      <c r="AC1159" s="1144">
        <f t="shared" si="316"/>
        <v>0</v>
      </c>
      <c r="AD1159" s="1148">
        <f t="shared" ref="AD1159:AD1222" si="326">Q1159*X1159</f>
        <v>2556.3058524005828</v>
      </c>
      <c r="AE1159" s="1487">
        <v>0</v>
      </c>
      <c r="AF1159" s="1145">
        <f t="shared" si="317"/>
        <v>2556.3058524005828</v>
      </c>
      <c r="AG1159" s="1149">
        <f>IFERROR(VLOOKUP(CONCATENATE($L1159,$N1159),'Drop List'!$G$23:$K$87,2,FALSE),0)</f>
        <v>0.9</v>
      </c>
      <c r="AH1159" s="1150">
        <f>IFERROR(VLOOKUP(CONCATENATE($L1159,$N1159),'Drop List'!$G$23:$K$87,3,FALSE),0)</f>
        <v>0</v>
      </c>
      <c r="AI1159" s="1150">
        <f>IFERROR(VLOOKUP(CONCATENATE($L1159,$N1159),'Drop List'!$G$23:$K$87,4,FALSE),0)</f>
        <v>0.1</v>
      </c>
      <c r="AJ1159" s="1151">
        <f>IFERROR(VLOOKUP(CONCATENATE($L1159,$N1159),'Drop List'!$G$23:$K$87,5,FALSE),0)</f>
        <v>0</v>
      </c>
      <c r="AK1159" s="1152">
        <f t="shared" si="318"/>
        <v>2300.6752671605245</v>
      </c>
      <c r="AL1159" s="1153">
        <f t="shared" si="319"/>
        <v>0</v>
      </c>
      <c r="AM1159" s="1153">
        <f t="shared" si="320"/>
        <v>255.63058524005828</v>
      </c>
      <c r="AN1159" s="1145">
        <f t="shared" si="321"/>
        <v>0</v>
      </c>
      <c r="AO1159" s="1154">
        <f t="shared" si="322"/>
        <v>2556.3058524005828</v>
      </c>
      <c r="AP1159" s="1147">
        <f t="shared" ref="AP1159:AP1222" si="327">IF($L1159="14",$AF1159,0)</f>
        <v>0</v>
      </c>
      <c r="AQ1159" s="1144">
        <f t="shared" ref="AQ1159:AQ1222" si="328">IF($L1159="15",$AF1159,0)</f>
        <v>0</v>
      </c>
      <c r="AR1159" s="1146">
        <f t="shared" ref="AR1159:AR1222" si="329">AO1159+AP1159+AQ1159</f>
        <v>2556.3058524005828</v>
      </c>
    </row>
    <row r="1160" spans="1:44" x14ac:dyDescent="0.2">
      <c r="A1160" s="1141" t="str">
        <f t="shared" si="324"/>
        <v>1552</v>
      </c>
      <c r="B1160" s="1141" t="str">
        <f>IFERROR(VLOOKUP(A1160,'LAC 103'!A:C,3,FALSE),"")</f>
        <v>OP</v>
      </c>
      <c r="C1160" s="1478" t="str">
        <f>Info!$B$8</f>
        <v>00100</v>
      </c>
      <c r="D1160" s="1474" t="s">
        <v>256</v>
      </c>
      <c r="E1160" s="1474" t="s">
        <v>95</v>
      </c>
      <c r="F1160" s="1478" t="s">
        <v>412</v>
      </c>
      <c r="G1160" s="1478" t="s">
        <v>412</v>
      </c>
      <c r="H1160" s="1474" t="s">
        <v>983</v>
      </c>
      <c r="I1160" s="1478" t="s">
        <v>823</v>
      </c>
      <c r="J1160" s="1478" t="s">
        <v>2001</v>
      </c>
      <c r="K1160" s="1475" t="s">
        <v>849</v>
      </c>
      <c r="L1160" s="1474" t="s">
        <v>77</v>
      </c>
      <c r="M1160" s="1476" t="s">
        <v>841</v>
      </c>
      <c r="N1160" s="1477" t="s">
        <v>1695</v>
      </c>
      <c r="O1160" s="1479">
        <v>274</v>
      </c>
      <c r="P1160" s="1479"/>
      <c r="Q1160" s="1142">
        <f t="shared" si="325"/>
        <v>274</v>
      </c>
      <c r="R1160" s="1143">
        <f>IFERROR(VLOOKUP(CONCATENATE(E1160,G1160),'LAC 103'!$A$12:$O$95,11,FALSE),0)</f>
        <v>3.207410103388435</v>
      </c>
      <c r="S1160" s="1144">
        <f>IFERROR(VLOOKUP(CONCATENATE($E1160,$G1160),'LAC 103'!$A$12:$O$95,12,FALSE),0)</f>
        <v>3.99</v>
      </c>
      <c r="T1160" s="1144">
        <f>IFERROR(VLOOKUP(CONCATENATE($E1160,$G1160),'LAC 103'!$A$12:$O$95,13,FALSE),0)</f>
        <v>2.48</v>
      </c>
      <c r="U1160" s="1144">
        <f>IFERROR(VLOOKUP(CONCATENATE($E1160,$G1160),'LAC 103'!$A$12:$O$95,14,FALSE),0)</f>
        <v>0</v>
      </c>
      <c r="V1160" s="1144">
        <f>IFERROR(VLOOKUP(CONCATENATE($E1160,$G1160),'LAC 103'!$A$12:$O$95,15,FALSE),0)</f>
        <v>0</v>
      </c>
      <c r="W1160" s="1145" t="str">
        <f>IFERROR(VLOOKUP(CONCATENATE($B1160,$N1160),'LAC 103'!$AI:$AQ,9,FALSE),"")</f>
        <v>Costs</v>
      </c>
      <c r="X1160" s="1146">
        <f t="shared" ref="X1160:X1223" si="330">IF($W1160="Costs",$R1160,IF($W1160="CMA",$S1160,IF($W1160="P.C.",$T1160,IF($W1160="SMA",$U1160,$V1160))))</f>
        <v>3.207410103388435</v>
      </c>
      <c r="Y1160" s="1143">
        <f t="shared" si="323"/>
        <v>878.83036832843118</v>
      </c>
      <c r="Z1160" s="1147">
        <f t="shared" ref="Z1160:Z1223" si="331">IF(S1160=0,Y1160,$Q1160*S1160)</f>
        <v>1093.26</v>
      </c>
      <c r="AA1160" s="1144">
        <f t="shared" ref="AA1160:AA1223" si="332">IF(T1160=0,Y1160,$Q1160*T1160)</f>
        <v>679.52</v>
      </c>
      <c r="AB1160" s="1144">
        <f t="shared" ref="AB1160:AB1223" si="333">$Q1160*U1160</f>
        <v>0</v>
      </c>
      <c r="AC1160" s="1144">
        <f t="shared" ref="AC1160:AC1223" si="334">$Q1160*V1160</f>
        <v>0</v>
      </c>
      <c r="AD1160" s="1148">
        <f t="shared" si="326"/>
        <v>878.83036832843118</v>
      </c>
      <c r="AE1160" s="1487">
        <v>0</v>
      </c>
      <c r="AF1160" s="1145">
        <f t="shared" ref="AF1160:AF1223" si="335">AD1160-AE1160</f>
        <v>878.83036832843118</v>
      </c>
      <c r="AG1160" s="1149">
        <f>IFERROR(VLOOKUP(CONCATENATE($L1160,$N1160),'Drop List'!$G$23:$K$87,2,FALSE),0)</f>
        <v>0.9</v>
      </c>
      <c r="AH1160" s="1150">
        <f>IFERROR(VLOOKUP(CONCATENATE($L1160,$N1160),'Drop List'!$G$23:$K$87,3,FALSE),0)</f>
        <v>0</v>
      </c>
      <c r="AI1160" s="1150">
        <f>IFERROR(VLOOKUP(CONCATENATE($L1160,$N1160),'Drop List'!$G$23:$K$87,4,FALSE),0)</f>
        <v>0.1</v>
      </c>
      <c r="AJ1160" s="1151">
        <f>IFERROR(VLOOKUP(CONCATENATE($L1160,$N1160),'Drop List'!$G$23:$K$87,5,FALSE),0)</f>
        <v>0</v>
      </c>
      <c r="AK1160" s="1152">
        <f t="shared" ref="AK1160:AK1223" si="336">IFERROR($AF1160*AG1160,0)</f>
        <v>790.94733149558806</v>
      </c>
      <c r="AL1160" s="1153">
        <f t="shared" ref="AL1160:AL1223" si="337">IFERROR($AF1160*AH1160,0)</f>
        <v>0</v>
      </c>
      <c r="AM1160" s="1153">
        <f t="shared" ref="AM1160:AM1223" si="338">IFERROR($AF1160*AI1160,0)</f>
        <v>87.883036832843118</v>
      </c>
      <c r="AN1160" s="1145">
        <f t="shared" ref="AN1160:AN1223" si="339">IFERROR($AF1160*AJ1160,0)</f>
        <v>0</v>
      </c>
      <c r="AO1160" s="1154">
        <f t="shared" ref="AO1160:AO1223" si="340">SUM(AK1160:AN1160)</f>
        <v>878.83036832843118</v>
      </c>
      <c r="AP1160" s="1147">
        <f t="shared" si="327"/>
        <v>0</v>
      </c>
      <c r="AQ1160" s="1144">
        <f t="shared" si="328"/>
        <v>0</v>
      </c>
      <c r="AR1160" s="1146">
        <f t="shared" si="329"/>
        <v>878.83036832843118</v>
      </c>
    </row>
    <row r="1161" spans="1:44" x14ac:dyDescent="0.2">
      <c r="A1161" s="1141" t="str">
        <f t="shared" si="324"/>
        <v>1552</v>
      </c>
      <c r="B1161" s="1141" t="str">
        <f>IFERROR(VLOOKUP(A1161,'LAC 103'!A:C,3,FALSE),"")</f>
        <v>OP</v>
      </c>
      <c r="C1161" s="1478" t="str">
        <f>Info!$B$8</f>
        <v>00100</v>
      </c>
      <c r="D1161" s="1474" t="s">
        <v>256</v>
      </c>
      <c r="E1161" s="1474" t="s">
        <v>95</v>
      </c>
      <c r="F1161" s="1478" t="s">
        <v>412</v>
      </c>
      <c r="G1161" s="1478" t="s">
        <v>412</v>
      </c>
      <c r="H1161" s="1474" t="s">
        <v>983</v>
      </c>
      <c r="I1161" s="1478" t="s">
        <v>823</v>
      </c>
      <c r="J1161" s="1478" t="s">
        <v>2001</v>
      </c>
      <c r="K1161" s="1475" t="s">
        <v>849</v>
      </c>
      <c r="L1161" s="1474" t="s">
        <v>77</v>
      </c>
      <c r="M1161" s="1476" t="s">
        <v>842</v>
      </c>
      <c r="N1161" s="1477" t="s">
        <v>1692</v>
      </c>
      <c r="O1161" s="1479">
        <v>544</v>
      </c>
      <c r="P1161" s="1479"/>
      <c r="Q1161" s="1142">
        <f t="shared" si="325"/>
        <v>544</v>
      </c>
      <c r="R1161" s="1143">
        <f>IFERROR(VLOOKUP(CONCATENATE(E1161,G1161),'LAC 103'!$A$12:$O$95,11,FALSE),0)</f>
        <v>3.207410103388435</v>
      </c>
      <c r="S1161" s="1144">
        <f>IFERROR(VLOOKUP(CONCATENATE($E1161,$G1161),'LAC 103'!$A$12:$O$95,12,FALSE),0)</f>
        <v>3.99</v>
      </c>
      <c r="T1161" s="1144">
        <f>IFERROR(VLOOKUP(CONCATENATE($E1161,$G1161),'LAC 103'!$A$12:$O$95,13,FALSE),0)</f>
        <v>2.48</v>
      </c>
      <c r="U1161" s="1144">
        <f>IFERROR(VLOOKUP(CONCATENATE($E1161,$G1161),'LAC 103'!$A$12:$O$95,14,FALSE),0)</f>
        <v>0</v>
      </c>
      <c r="V1161" s="1144">
        <f>IFERROR(VLOOKUP(CONCATENATE($E1161,$G1161),'LAC 103'!$A$12:$O$95,15,FALSE),0)</f>
        <v>0</v>
      </c>
      <c r="W1161" s="1145" t="str">
        <f>IFERROR(VLOOKUP(CONCATENATE($B1161,$N1161),'LAC 103'!$AI:$AQ,9,FALSE),"")</f>
        <v>Costs</v>
      </c>
      <c r="X1161" s="1146">
        <f t="shared" si="330"/>
        <v>3.207410103388435</v>
      </c>
      <c r="Y1161" s="1143">
        <f t="shared" si="323"/>
        <v>1744.8310962433086</v>
      </c>
      <c r="Z1161" s="1147">
        <f t="shared" si="331"/>
        <v>2170.56</v>
      </c>
      <c r="AA1161" s="1144">
        <f t="shared" si="332"/>
        <v>1349.12</v>
      </c>
      <c r="AB1161" s="1144">
        <f t="shared" si="333"/>
        <v>0</v>
      </c>
      <c r="AC1161" s="1144">
        <f t="shared" si="334"/>
        <v>0</v>
      </c>
      <c r="AD1161" s="1148">
        <f t="shared" si="326"/>
        <v>1744.8310962433086</v>
      </c>
      <c r="AE1161" s="1487">
        <v>0</v>
      </c>
      <c r="AF1161" s="1145">
        <f t="shared" si="335"/>
        <v>1744.8310962433086</v>
      </c>
      <c r="AG1161" s="1149">
        <f>IFERROR(VLOOKUP(CONCATENATE($L1161,$N1161),'Drop List'!$G$23:$K$87,2,FALSE),0)</f>
        <v>0.9</v>
      </c>
      <c r="AH1161" s="1150">
        <f>IFERROR(VLOOKUP(CONCATENATE($L1161,$N1161),'Drop List'!$G$23:$K$87,3,FALSE),0)</f>
        <v>0</v>
      </c>
      <c r="AI1161" s="1150">
        <f>IFERROR(VLOOKUP(CONCATENATE($L1161,$N1161),'Drop List'!$G$23:$K$87,4,FALSE),0)</f>
        <v>0.1</v>
      </c>
      <c r="AJ1161" s="1151">
        <f>IFERROR(VLOOKUP(CONCATENATE($L1161,$N1161),'Drop List'!$G$23:$K$87,5,FALSE),0)</f>
        <v>0</v>
      </c>
      <c r="AK1161" s="1152">
        <f t="shared" si="336"/>
        <v>1570.3479866189778</v>
      </c>
      <c r="AL1161" s="1153">
        <f t="shared" si="337"/>
        <v>0</v>
      </c>
      <c r="AM1161" s="1153">
        <f t="shared" si="338"/>
        <v>174.48310962433087</v>
      </c>
      <c r="AN1161" s="1145">
        <f t="shared" si="339"/>
        <v>0</v>
      </c>
      <c r="AO1161" s="1154">
        <f t="shared" si="340"/>
        <v>1744.8310962433086</v>
      </c>
      <c r="AP1161" s="1147">
        <f t="shared" si="327"/>
        <v>0</v>
      </c>
      <c r="AQ1161" s="1144">
        <f t="shared" si="328"/>
        <v>0</v>
      </c>
      <c r="AR1161" s="1146">
        <f t="shared" si="329"/>
        <v>1744.8310962433086</v>
      </c>
    </row>
    <row r="1162" spans="1:44" x14ac:dyDescent="0.2">
      <c r="A1162" s="1141" t="str">
        <f t="shared" si="324"/>
        <v>1552</v>
      </c>
      <c r="B1162" s="1141" t="str">
        <f>IFERROR(VLOOKUP(A1162,'LAC 103'!A:C,3,FALSE),"")</f>
        <v>OP</v>
      </c>
      <c r="C1162" s="1478" t="str">
        <f>Info!$B$8</f>
        <v>00100</v>
      </c>
      <c r="D1162" s="1474" t="s">
        <v>256</v>
      </c>
      <c r="E1162" s="1474" t="s">
        <v>95</v>
      </c>
      <c r="F1162" s="1478" t="s">
        <v>412</v>
      </c>
      <c r="G1162" s="1478" t="s">
        <v>412</v>
      </c>
      <c r="H1162" s="1474" t="s">
        <v>983</v>
      </c>
      <c r="I1162" s="1478" t="s">
        <v>823</v>
      </c>
      <c r="J1162" s="1478" t="s">
        <v>2001</v>
      </c>
      <c r="K1162" s="1475" t="s">
        <v>849</v>
      </c>
      <c r="L1162" s="1474" t="s">
        <v>77</v>
      </c>
      <c r="M1162" s="1476" t="s">
        <v>1698</v>
      </c>
      <c r="N1162" s="1477" t="s">
        <v>1693</v>
      </c>
      <c r="O1162" s="1479">
        <v>569</v>
      </c>
      <c r="P1162" s="1479"/>
      <c r="Q1162" s="1142">
        <f t="shared" si="325"/>
        <v>569</v>
      </c>
      <c r="R1162" s="1143">
        <f>IFERROR(VLOOKUP(CONCATENATE(E1162,G1162),'LAC 103'!$A$12:$O$95,11,FALSE),0)</f>
        <v>3.207410103388435</v>
      </c>
      <c r="S1162" s="1144">
        <f>IFERROR(VLOOKUP(CONCATENATE($E1162,$G1162),'LAC 103'!$A$12:$O$95,12,FALSE),0)</f>
        <v>3.99</v>
      </c>
      <c r="T1162" s="1144">
        <f>IFERROR(VLOOKUP(CONCATENATE($E1162,$G1162),'LAC 103'!$A$12:$O$95,13,FALSE),0)</f>
        <v>2.48</v>
      </c>
      <c r="U1162" s="1144">
        <f>IFERROR(VLOOKUP(CONCATENATE($E1162,$G1162),'LAC 103'!$A$12:$O$95,14,FALSE),0)</f>
        <v>0</v>
      </c>
      <c r="V1162" s="1144">
        <f>IFERROR(VLOOKUP(CONCATENATE($E1162,$G1162),'LAC 103'!$A$12:$O$95,15,FALSE),0)</f>
        <v>0</v>
      </c>
      <c r="W1162" s="1145" t="str">
        <f>IFERROR(VLOOKUP(CONCATENATE($B1162,$N1162),'LAC 103'!$AI:$AQ,9,FALSE),"")</f>
        <v>Costs</v>
      </c>
      <c r="X1162" s="1146">
        <f t="shared" si="330"/>
        <v>3.207410103388435</v>
      </c>
      <c r="Y1162" s="1143">
        <f t="shared" ref="Y1162:Y1225" si="341">$Q1162*R1162</f>
        <v>1825.0163488280195</v>
      </c>
      <c r="Z1162" s="1147">
        <f t="shared" si="331"/>
        <v>2270.31</v>
      </c>
      <c r="AA1162" s="1144">
        <f t="shared" si="332"/>
        <v>1411.12</v>
      </c>
      <c r="AB1162" s="1144">
        <f t="shared" si="333"/>
        <v>0</v>
      </c>
      <c r="AC1162" s="1144">
        <f t="shared" si="334"/>
        <v>0</v>
      </c>
      <c r="AD1162" s="1148">
        <f t="shared" si="326"/>
        <v>1825.0163488280195</v>
      </c>
      <c r="AE1162" s="1487">
        <v>0</v>
      </c>
      <c r="AF1162" s="1145">
        <f t="shared" si="335"/>
        <v>1825.0163488280195</v>
      </c>
      <c r="AG1162" s="1149">
        <f>IFERROR(VLOOKUP(CONCATENATE($L1162,$N1162),'Drop List'!$G$23:$K$87,2,FALSE),0)</f>
        <v>0.9</v>
      </c>
      <c r="AH1162" s="1150">
        <f>IFERROR(VLOOKUP(CONCATENATE($L1162,$N1162),'Drop List'!$G$23:$K$87,3,FALSE),0)</f>
        <v>0</v>
      </c>
      <c r="AI1162" s="1150">
        <f>IFERROR(VLOOKUP(CONCATENATE($L1162,$N1162),'Drop List'!$G$23:$K$87,4,FALSE),0)</f>
        <v>0.1</v>
      </c>
      <c r="AJ1162" s="1151">
        <f>IFERROR(VLOOKUP(CONCATENATE($L1162,$N1162),'Drop List'!$G$23:$K$87,5,FALSE),0)</f>
        <v>0</v>
      </c>
      <c r="AK1162" s="1152">
        <f t="shared" si="336"/>
        <v>1642.5147139452176</v>
      </c>
      <c r="AL1162" s="1153">
        <f t="shared" si="337"/>
        <v>0</v>
      </c>
      <c r="AM1162" s="1153">
        <f t="shared" si="338"/>
        <v>182.50163488280197</v>
      </c>
      <c r="AN1162" s="1145">
        <f t="shared" si="339"/>
        <v>0</v>
      </c>
      <c r="AO1162" s="1154">
        <f t="shared" si="340"/>
        <v>1825.0163488280195</v>
      </c>
      <c r="AP1162" s="1147">
        <f t="shared" si="327"/>
        <v>0</v>
      </c>
      <c r="AQ1162" s="1144">
        <f t="shared" si="328"/>
        <v>0</v>
      </c>
      <c r="AR1162" s="1146">
        <f t="shared" si="329"/>
        <v>1825.0163488280195</v>
      </c>
    </row>
    <row r="1163" spans="1:44" x14ac:dyDescent="0.2">
      <c r="A1163" s="1141" t="str">
        <f t="shared" si="324"/>
        <v>1552</v>
      </c>
      <c r="B1163" s="1141" t="str">
        <f>IFERROR(VLOOKUP(A1163,'LAC 103'!A:C,3,FALSE),"")</f>
        <v>OP</v>
      </c>
      <c r="C1163" s="1478" t="str">
        <f>Info!$B$8</f>
        <v>00100</v>
      </c>
      <c r="D1163" s="1474" t="s">
        <v>256</v>
      </c>
      <c r="E1163" s="1474" t="s">
        <v>95</v>
      </c>
      <c r="F1163" s="1478" t="s">
        <v>412</v>
      </c>
      <c r="G1163" s="1478" t="s">
        <v>412</v>
      </c>
      <c r="H1163" s="1474" t="s">
        <v>983</v>
      </c>
      <c r="I1163" s="1478" t="s">
        <v>823</v>
      </c>
      <c r="J1163" s="1478" t="s">
        <v>2001</v>
      </c>
      <c r="K1163" s="1475" t="s">
        <v>851</v>
      </c>
      <c r="L1163" s="1474" t="s">
        <v>584</v>
      </c>
      <c r="M1163" s="1476" t="s">
        <v>841</v>
      </c>
      <c r="N1163" s="1477" t="s">
        <v>1695</v>
      </c>
      <c r="O1163" s="1479">
        <v>103</v>
      </c>
      <c r="P1163" s="1479"/>
      <c r="Q1163" s="1142">
        <f t="shared" si="325"/>
        <v>103</v>
      </c>
      <c r="R1163" s="1143">
        <f>IFERROR(VLOOKUP(CONCATENATE(E1163,G1163),'LAC 103'!$A$12:$O$95,11,FALSE),0)</f>
        <v>3.207410103388435</v>
      </c>
      <c r="S1163" s="1144">
        <f>IFERROR(VLOOKUP(CONCATENATE($E1163,$G1163),'LAC 103'!$A$12:$O$95,12,FALSE),0)</f>
        <v>3.99</v>
      </c>
      <c r="T1163" s="1144">
        <f>IFERROR(VLOOKUP(CONCATENATE($E1163,$G1163),'LAC 103'!$A$12:$O$95,13,FALSE),0)</f>
        <v>2.48</v>
      </c>
      <c r="U1163" s="1144">
        <f>IFERROR(VLOOKUP(CONCATENATE($E1163,$G1163),'LAC 103'!$A$12:$O$95,14,FALSE),0)</f>
        <v>0</v>
      </c>
      <c r="V1163" s="1144">
        <f>IFERROR(VLOOKUP(CONCATENATE($E1163,$G1163),'LAC 103'!$A$12:$O$95,15,FALSE),0)</f>
        <v>0</v>
      </c>
      <c r="W1163" s="1145" t="str">
        <f>IFERROR(VLOOKUP(CONCATENATE($B1163,$N1163),'LAC 103'!$AI:$AQ,9,FALSE),"")</f>
        <v>Costs</v>
      </c>
      <c r="X1163" s="1146">
        <f t="shared" si="330"/>
        <v>3.207410103388435</v>
      </c>
      <c r="Y1163" s="1143">
        <f t="shared" si="341"/>
        <v>330.36324064900879</v>
      </c>
      <c r="Z1163" s="1147">
        <f t="shared" si="331"/>
        <v>410.97</v>
      </c>
      <c r="AA1163" s="1144">
        <f t="shared" si="332"/>
        <v>255.44</v>
      </c>
      <c r="AB1163" s="1144">
        <f t="shared" si="333"/>
        <v>0</v>
      </c>
      <c r="AC1163" s="1144">
        <f t="shared" si="334"/>
        <v>0</v>
      </c>
      <c r="AD1163" s="1148">
        <f t="shared" si="326"/>
        <v>330.36324064900879</v>
      </c>
      <c r="AE1163" s="1487">
        <v>0</v>
      </c>
      <c r="AF1163" s="1145">
        <f t="shared" si="335"/>
        <v>330.36324064900879</v>
      </c>
      <c r="AG1163" s="1149">
        <f>IFERROR(VLOOKUP(CONCATENATE($L1163,$N1163),'Drop List'!$G$23:$K$87,2,FALSE),0)</f>
        <v>0.55000000000000004</v>
      </c>
      <c r="AH1163" s="1150">
        <f>IFERROR(VLOOKUP(CONCATENATE($L1163,$N1163),'Drop List'!$G$23:$K$87,3,FALSE),0)</f>
        <v>0</v>
      </c>
      <c r="AI1163" s="1150">
        <f>IFERROR(VLOOKUP(CONCATENATE($L1163,$N1163),'Drop List'!$G$23:$K$87,4,FALSE),0)</f>
        <v>0</v>
      </c>
      <c r="AJ1163" s="1151">
        <f>IFERROR(VLOOKUP(CONCATENATE($L1163,$N1163),'Drop List'!$G$23:$K$87,5,FALSE),0)</f>
        <v>0.44999999999999996</v>
      </c>
      <c r="AK1163" s="1152">
        <f t="shared" si="336"/>
        <v>181.69978235695484</v>
      </c>
      <c r="AL1163" s="1153">
        <f t="shared" si="337"/>
        <v>0</v>
      </c>
      <c r="AM1163" s="1153">
        <f t="shared" si="338"/>
        <v>0</v>
      </c>
      <c r="AN1163" s="1145">
        <f t="shared" si="339"/>
        <v>148.66345829205395</v>
      </c>
      <c r="AO1163" s="1154">
        <f t="shared" si="340"/>
        <v>330.36324064900879</v>
      </c>
      <c r="AP1163" s="1147">
        <f t="shared" si="327"/>
        <v>0</v>
      </c>
      <c r="AQ1163" s="1144">
        <f t="shared" si="328"/>
        <v>0</v>
      </c>
      <c r="AR1163" s="1146">
        <f t="shared" si="329"/>
        <v>330.36324064900879</v>
      </c>
    </row>
    <row r="1164" spans="1:44" x14ac:dyDescent="0.2">
      <c r="A1164" s="1141" t="str">
        <f t="shared" si="324"/>
        <v>1552</v>
      </c>
      <c r="B1164" s="1141" t="str">
        <f>IFERROR(VLOOKUP(A1164,'LAC 103'!A:C,3,FALSE),"")</f>
        <v>OP</v>
      </c>
      <c r="C1164" s="1478" t="str">
        <f>Info!$B$8</f>
        <v>00100</v>
      </c>
      <c r="D1164" s="1474" t="s">
        <v>256</v>
      </c>
      <c r="E1164" s="1474" t="s">
        <v>95</v>
      </c>
      <c r="F1164" s="1478" t="s">
        <v>412</v>
      </c>
      <c r="G1164" s="1478" t="s">
        <v>412</v>
      </c>
      <c r="H1164" s="1474" t="s">
        <v>983</v>
      </c>
      <c r="I1164" s="1478" t="s">
        <v>823</v>
      </c>
      <c r="J1164" s="1478" t="s">
        <v>2001</v>
      </c>
      <c r="K1164" s="1475" t="s">
        <v>851</v>
      </c>
      <c r="L1164" s="1474" t="s">
        <v>584</v>
      </c>
      <c r="M1164" s="1476" t="s">
        <v>840</v>
      </c>
      <c r="N1164" s="1477" t="s">
        <v>1700</v>
      </c>
      <c r="O1164" s="1479">
        <v>151</v>
      </c>
      <c r="P1164" s="1479"/>
      <c r="Q1164" s="1142">
        <f t="shared" si="325"/>
        <v>151</v>
      </c>
      <c r="R1164" s="1143">
        <f>IFERROR(VLOOKUP(CONCATENATE(E1164,G1164),'LAC 103'!$A$12:$O$95,11,FALSE),0)</f>
        <v>3.207410103388435</v>
      </c>
      <c r="S1164" s="1144">
        <f>IFERROR(VLOOKUP(CONCATENATE($E1164,$G1164),'LAC 103'!$A$12:$O$95,12,FALSE),0)</f>
        <v>3.99</v>
      </c>
      <c r="T1164" s="1144">
        <f>IFERROR(VLOOKUP(CONCATENATE($E1164,$G1164),'LAC 103'!$A$12:$O$95,13,FALSE),0)</f>
        <v>2.48</v>
      </c>
      <c r="U1164" s="1144">
        <f>IFERROR(VLOOKUP(CONCATENATE($E1164,$G1164),'LAC 103'!$A$12:$O$95,14,FALSE),0)</f>
        <v>0</v>
      </c>
      <c r="V1164" s="1144">
        <f>IFERROR(VLOOKUP(CONCATENATE($E1164,$G1164),'LAC 103'!$A$12:$O$95,15,FALSE),0)</f>
        <v>0</v>
      </c>
      <c r="W1164" s="1145" t="str">
        <f>IFERROR(VLOOKUP(CONCATENATE($B1164,$N1164),'LAC 103'!$AI:$AQ,9,FALSE),"")</f>
        <v>P.C.</v>
      </c>
      <c r="X1164" s="1146">
        <f t="shared" si="330"/>
        <v>2.48</v>
      </c>
      <c r="Y1164" s="1143">
        <f t="shared" si="341"/>
        <v>484.3189256116537</v>
      </c>
      <c r="Z1164" s="1147">
        <f t="shared" si="331"/>
        <v>602.49</v>
      </c>
      <c r="AA1164" s="1144">
        <f t="shared" si="332"/>
        <v>374.48</v>
      </c>
      <c r="AB1164" s="1144">
        <f t="shared" si="333"/>
        <v>0</v>
      </c>
      <c r="AC1164" s="1144">
        <f t="shared" si="334"/>
        <v>0</v>
      </c>
      <c r="AD1164" s="1148">
        <f t="shared" si="326"/>
        <v>374.48</v>
      </c>
      <c r="AE1164" s="1487">
        <v>0</v>
      </c>
      <c r="AF1164" s="1145">
        <f t="shared" si="335"/>
        <v>374.48</v>
      </c>
      <c r="AG1164" s="1149">
        <f>IFERROR(VLOOKUP(CONCATENATE($L1164,$N1164),'Drop List'!$G$23:$K$87,2,FALSE),0)</f>
        <v>0.55000000000000004</v>
      </c>
      <c r="AH1164" s="1150">
        <f>IFERROR(VLOOKUP(CONCATENATE($L1164,$N1164),'Drop List'!$G$23:$K$87,3,FALSE),0)</f>
        <v>0</v>
      </c>
      <c r="AI1164" s="1150">
        <f>IFERROR(VLOOKUP(CONCATENATE($L1164,$N1164),'Drop List'!$G$23:$K$87,4,FALSE),0)</f>
        <v>0</v>
      </c>
      <c r="AJ1164" s="1151">
        <f>IFERROR(VLOOKUP(CONCATENATE($L1164,$N1164),'Drop List'!$G$23:$K$87,5,FALSE),0)</f>
        <v>0.44999999999999996</v>
      </c>
      <c r="AK1164" s="1152">
        <f t="shared" si="336"/>
        <v>205.96400000000003</v>
      </c>
      <c r="AL1164" s="1153">
        <f t="shared" si="337"/>
        <v>0</v>
      </c>
      <c r="AM1164" s="1153">
        <f t="shared" si="338"/>
        <v>0</v>
      </c>
      <c r="AN1164" s="1145">
        <f t="shared" si="339"/>
        <v>168.51599999999999</v>
      </c>
      <c r="AO1164" s="1154">
        <f t="shared" si="340"/>
        <v>374.48</v>
      </c>
      <c r="AP1164" s="1147">
        <f t="shared" si="327"/>
        <v>0</v>
      </c>
      <c r="AQ1164" s="1144">
        <f t="shared" si="328"/>
        <v>0</v>
      </c>
      <c r="AR1164" s="1146">
        <f t="shared" si="329"/>
        <v>374.48</v>
      </c>
    </row>
    <row r="1165" spans="1:44" x14ac:dyDescent="0.2">
      <c r="A1165" s="1141" t="str">
        <f t="shared" si="324"/>
        <v>1552</v>
      </c>
      <c r="B1165" s="1141" t="str">
        <f>IFERROR(VLOOKUP(A1165,'LAC 103'!A:C,3,FALSE),"")</f>
        <v>OP</v>
      </c>
      <c r="C1165" s="1478" t="str">
        <f>Info!$B$8</f>
        <v>00100</v>
      </c>
      <c r="D1165" s="1474" t="s">
        <v>256</v>
      </c>
      <c r="E1165" s="1474" t="s">
        <v>95</v>
      </c>
      <c r="F1165" s="1478" t="s">
        <v>412</v>
      </c>
      <c r="G1165" s="1478" t="s">
        <v>412</v>
      </c>
      <c r="H1165" s="1474" t="s">
        <v>1665</v>
      </c>
      <c r="I1165" s="1478" t="s">
        <v>803</v>
      </c>
      <c r="J1165" s="1478" t="s">
        <v>123</v>
      </c>
      <c r="K1165" s="1475" t="s">
        <v>849</v>
      </c>
      <c r="L1165" s="1474" t="s">
        <v>77</v>
      </c>
      <c r="M1165" s="1476" t="s">
        <v>1699</v>
      </c>
      <c r="N1165" s="1477" t="s">
        <v>1694</v>
      </c>
      <c r="O1165" s="1479">
        <v>5250</v>
      </c>
      <c r="P1165" s="1479"/>
      <c r="Q1165" s="1142">
        <f t="shared" si="325"/>
        <v>5250</v>
      </c>
      <c r="R1165" s="1143">
        <f>IFERROR(VLOOKUP(CONCATENATE(E1165,G1165),'LAC 103'!$A$12:$O$95,11,FALSE),0)</f>
        <v>3.207410103388435</v>
      </c>
      <c r="S1165" s="1144">
        <f>IFERROR(VLOOKUP(CONCATENATE($E1165,$G1165),'LAC 103'!$A$12:$O$95,12,FALSE),0)</f>
        <v>3.99</v>
      </c>
      <c r="T1165" s="1144">
        <f>IFERROR(VLOOKUP(CONCATENATE($E1165,$G1165),'LAC 103'!$A$12:$O$95,13,FALSE),0)</f>
        <v>2.48</v>
      </c>
      <c r="U1165" s="1144">
        <f>IFERROR(VLOOKUP(CONCATENATE($E1165,$G1165),'LAC 103'!$A$12:$O$95,14,FALSE),0)</f>
        <v>0</v>
      </c>
      <c r="V1165" s="1144">
        <f>IFERROR(VLOOKUP(CONCATENATE($E1165,$G1165),'LAC 103'!$A$12:$O$95,15,FALSE),0)</f>
        <v>0</v>
      </c>
      <c r="W1165" s="1145" t="str">
        <f>IFERROR(VLOOKUP(CONCATENATE($B1165,$N1165),'LAC 103'!$AI:$AQ,9,FALSE),"")</f>
        <v>Costs</v>
      </c>
      <c r="X1165" s="1146">
        <f t="shared" si="330"/>
        <v>3.207410103388435</v>
      </c>
      <c r="Y1165" s="1143">
        <f t="shared" si="341"/>
        <v>16838.903042789283</v>
      </c>
      <c r="Z1165" s="1147">
        <f t="shared" si="331"/>
        <v>20947.5</v>
      </c>
      <c r="AA1165" s="1144">
        <f t="shared" si="332"/>
        <v>13020</v>
      </c>
      <c r="AB1165" s="1144">
        <f t="shared" si="333"/>
        <v>0</v>
      </c>
      <c r="AC1165" s="1144">
        <f t="shared" si="334"/>
        <v>0</v>
      </c>
      <c r="AD1165" s="1148">
        <f t="shared" si="326"/>
        <v>16838.903042789283</v>
      </c>
      <c r="AE1165" s="1487">
        <v>0</v>
      </c>
      <c r="AF1165" s="1145">
        <f t="shared" si="335"/>
        <v>16838.903042789283</v>
      </c>
      <c r="AG1165" s="1149">
        <f>IFERROR(VLOOKUP(CONCATENATE($L1165,$N1165),'Drop List'!$G$23:$K$87,2,FALSE),0)</f>
        <v>0.9</v>
      </c>
      <c r="AH1165" s="1150">
        <f>IFERROR(VLOOKUP(CONCATENATE($L1165,$N1165),'Drop List'!$G$23:$K$87,3,FALSE),0)</f>
        <v>0</v>
      </c>
      <c r="AI1165" s="1150">
        <f>IFERROR(VLOOKUP(CONCATENATE($L1165,$N1165),'Drop List'!$G$23:$K$87,4,FALSE),0)</f>
        <v>0.1</v>
      </c>
      <c r="AJ1165" s="1151">
        <f>IFERROR(VLOOKUP(CONCATENATE($L1165,$N1165),'Drop List'!$G$23:$K$87,5,FALSE),0)</f>
        <v>0</v>
      </c>
      <c r="AK1165" s="1152">
        <f t="shared" si="336"/>
        <v>15155.012738510355</v>
      </c>
      <c r="AL1165" s="1153">
        <f t="shared" si="337"/>
        <v>0</v>
      </c>
      <c r="AM1165" s="1153">
        <f t="shared" si="338"/>
        <v>1683.8903042789284</v>
      </c>
      <c r="AN1165" s="1145">
        <f t="shared" si="339"/>
        <v>0</v>
      </c>
      <c r="AO1165" s="1154">
        <f t="shared" si="340"/>
        <v>16838.903042789283</v>
      </c>
      <c r="AP1165" s="1147">
        <f t="shared" si="327"/>
        <v>0</v>
      </c>
      <c r="AQ1165" s="1144">
        <f t="shared" si="328"/>
        <v>0</v>
      </c>
      <c r="AR1165" s="1146">
        <f t="shared" si="329"/>
        <v>16838.903042789283</v>
      </c>
    </row>
    <row r="1166" spans="1:44" x14ac:dyDescent="0.2">
      <c r="A1166" s="1141" t="str">
        <f t="shared" si="324"/>
        <v>1552</v>
      </c>
      <c r="B1166" s="1141" t="str">
        <f>IFERROR(VLOOKUP(A1166,'LAC 103'!A:C,3,FALSE),"")</f>
        <v>OP</v>
      </c>
      <c r="C1166" s="1478" t="str">
        <f>Info!$B$8</f>
        <v>00100</v>
      </c>
      <c r="D1166" s="1474" t="s">
        <v>256</v>
      </c>
      <c r="E1166" s="1474" t="s">
        <v>95</v>
      </c>
      <c r="F1166" s="1478" t="s">
        <v>412</v>
      </c>
      <c r="G1166" s="1478" t="s">
        <v>412</v>
      </c>
      <c r="H1166" s="1474" t="s">
        <v>1665</v>
      </c>
      <c r="I1166" s="1478" t="s">
        <v>803</v>
      </c>
      <c r="J1166" s="1478"/>
      <c r="K1166" s="1475" t="s">
        <v>849</v>
      </c>
      <c r="L1166" s="1474" t="s">
        <v>77</v>
      </c>
      <c r="M1166" s="1476" t="s">
        <v>841</v>
      </c>
      <c r="N1166" s="1477" t="s">
        <v>1695</v>
      </c>
      <c r="O1166" s="1479">
        <v>4321</v>
      </c>
      <c r="P1166" s="1479"/>
      <c r="Q1166" s="1142">
        <f t="shared" si="325"/>
        <v>4321</v>
      </c>
      <c r="R1166" s="1143">
        <f>IFERROR(VLOOKUP(CONCATENATE(E1166,G1166),'LAC 103'!$A$12:$O$95,11,FALSE),0)</f>
        <v>3.207410103388435</v>
      </c>
      <c r="S1166" s="1144">
        <f>IFERROR(VLOOKUP(CONCATENATE($E1166,$G1166),'LAC 103'!$A$12:$O$95,12,FALSE),0)</f>
        <v>3.99</v>
      </c>
      <c r="T1166" s="1144">
        <f>IFERROR(VLOOKUP(CONCATENATE($E1166,$G1166),'LAC 103'!$A$12:$O$95,13,FALSE),0)</f>
        <v>2.48</v>
      </c>
      <c r="U1166" s="1144">
        <f>IFERROR(VLOOKUP(CONCATENATE($E1166,$G1166),'LAC 103'!$A$12:$O$95,14,FALSE),0)</f>
        <v>0</v>
      </c>
      <c r="V1166" s="1144">
        <f>IFERROR(VLOOKUP(CONCATENATE($E1166,$G1166),'LAC 103'!$A$12:$O$95,15,FALSE),0)</f>
        <v>0</v>
      </c>
      <c r="W1166" s="1145" t="str">
        <f>IFERROR(VLOOKUP(CONCATENATE($B1166,$N1166),'LAC 103'!$AI:$AQ,9,FALSE),"")</f>
        <v>Costs</v>
      </c>
      <c r="X1166" s="1146">
        <f t="shared" si="330"/>
        <v>3.207410103388435</v>
      </c>
      <c r="Y1166" s="1143">
        <f t="shared" si="341"/>
        <v>13859.219056741427</v>
      </c>
      <c r="Z1166" s="1147">
        <f t="shared" si="331"/>
        <v>17240.79</v>
      </c>
      <c r="AA1166" s="1144">
        <f t="shared" si="332"/>
        <v>10716.08</v>
      </c>
      <c r="AB1166" s="1144">
        <f t="shared" si="333"/>
        <v>0</v>
      </c>
      <c r="AC1166" s="1144">
        <f t="shared" si="334"/>
        <v>0</v>
      </c>
      <c r="AD1166" s="1148">
        <f t="shared" si="326"/>
        <v>13859.219056741427</v>
      </c>
      <c r="AE1166" s="1487">
        <v>0</v>
      </c>
      <c r="AF1166" s="1145">
        <f t="shared" si="335"/>
        <v>13859.219056741427</v>
      </c>
      <c r="AG1166" s="1149">
        <f>IFERROR(VLOOKUP(CONCATENATE($L1166,$N1166),'Drop List'!$G$23:$K$87,2,FALSE),0)</f>
        <v>0.9</v>
      </c>
      <c r="AH1166" s="1150">
        <f>IFERROR(VLOOKUP(CONCATENATE($L1166,$N1166),'Drop List'!$G$23:$K$87,3,FALSE),0)</f>
        <v>0</v>
      </c>
      <c r="AI1166" s="1150">
        <f>IFERROR(VLOOKUP(CONCATENATE($L1166,$N1166),'Drop List'!$G$23:$K$87,4,FALSE),0)</f>
        <v>0.1</v>
      </c>
      <c r="AJ1166" s="1151">
        <f>IFERROR(VLOOKUP(CONCATENATE($L1166,$N1166),'Drop List'!$G$23:$K$87,5,FALSE),0)</f>
        <v>0</v>
      </c>
      <c r="AK1166" s="1152">
        <f t="shared" si="336"/>
        <v>12473.297151067285</v>
      </c>
      <c r="AL1166" s="1153">
        <f t="shared" si="337"/>
        <v>0</v>
      </c>
      <c r="AM1166" s="1153">
        <f t="shared" si="338"/>
        <v>1385.9219056741429</v>
      </c>
      <c r="AN1166" s="1145">
        <f t="shared" si="339"/>
        <v>0</v>
      </c>
      <c r="AO1166" s="1154">
        <f t="shared" si="340"/>
        <v>13859.219056741427</v>
      </c>
      <c r="AP1166" s="1147">
        <f t="shared" si="327"/>
        <v>0</v>
      </c>
      <c r="AQ1166" s="1144">
        <f t="shared" si="328"/>
        <v>0</v>
      </c>
      <c r="AR1166" s="1146">
        <f t="shared" si="329"/>
        <v>13859.219056741427</v>
      </c>
    </row>
    <row r="1167" spans="1:44" x14ac:dyDescent="0.2">
      <c r="A1167" s="1141" t="str">
        <f t="shared" si="324"/>
        <v>1552</v>
      </c>
      <c r="B1167" s="1141" t="str">
        <f>IFERROR(VLOOKUP(A1167,'LAC 103'!A:C,3,FALSE),"")</f>
        <v>OP</v>
      </c>
      <c r="C1167" s="1478" t="str">
        <f>Info!$B$8</f>
        <v>00100</v>
      </c>
      <c r="D1167" s="1474" t="s">
        <v>256</v>
      </c>
      <c r="E1167" s="1474" t="s">
        <v>95</v>
      </c>
      <c r="F1167" s="1478" t="s">
        <v>412</v>
      </c>
      <c r="G1167" s="1478" t="s">
        <v>412</v>
      </c>
      <c r="H1167" s="1474" t="s">
        <v>1665</v>
      </c>
      <c r="I1167" s="1478" t="s">
        <v>803</v>
      </c>
      <c r="J1167" s="1478"/>
      <c r="K1167" s="1475" t="s">
        <v>849</v>
      </c>
      <c r="L1167" s="1474" t="s">
        <v>77</v>
      </c>
      <c r="M1167" s="1476" t="s">
        <v>840</v>
      </c>
      <c r="N1167" s="1477" t="s">
        <v>1700</v>
      </c>
      <c r="O1167" s="1479">
        <v>3667</v>
      </c>
      <c r="P1167" s="1479"/>
      <c r="Q1167" s="1142">
        <f t="shared" si="325"/>
        <v>3667</v>
      </c>
      <c r="R1167" s="1143">
        <f>IFERROR(VLOOKUP(CONCATENATE(E1167,G1167),'LAC 103'!$A$12:$O$95,11,FALSE),0)</f>
        <v>3.207410103388435</v>
      </c>
      <c r="S1167" s="1144">
        <f>IFERROR(VLOOKUP(CONCATENATE($E1167,$G1167),'LAC 103'!$A$12:$O$95,12,FALSE),0)</f>
        <v>3.99</v>
      </c>
      <c r="T1167" s="1144">
        <f>IFERROR(VLOOKUP(CONCATENATE($E1167,$G1167),'LAC 103'!$A$12:$O$95,13,FALSE),0)</f>
        <v>2.48</v>
      </c>
      <c r="U1167" s="1144">
        <f>IFERROR(VLOOKUP(CONCATENATE($E1167,$G1167),'LAC 103'!$A$12:$O$95,14,FALSE),0)</f>
        <v>0</v>
      </c>
      <c r="V1167" s="1144">
        <f>IFERROR(VLOOKUP(CONCATENATE($E1167,$G1167),'LAC 103'!$A$12:$O$95,15,FALSE),0)</f>
        <v>0</v>
      </c>
      <c r="W1167" s="1145" t="str">
        <f>IFERROR(VLOOKUP(CONCATENATE($B1167,$N1167),'LAC 103'!$AI:$AQ,9,FALSE),"")</f>
        <v>P.C.</v>
      </c>
      <c r="X1167" s="1146">
        <f t="shared" si="330"/>
        <v>2.48</v>
      </c>
      <c r="Y1167" s="1143">
        <f t="shared" si="341"/>
        <v>11761.57284912539</v>
      </c>
      <c r="Z1167" s="1147">
        <f t="shared" si="331"/>
        <v>14631.33</v>
      </c>
      <c r="AA1167" s="1144">
        <f t="shared" si="332"/>
        <v>9094.16</v>
      </c>
      <c r="AB1167" s="1144">
        <f t="shared" si="333"/>
        <v>0</v>
      </c>
      <c r="AC1167" s="1144">
        <f t="shared" si="334"/>
        <v>0</v>
      </c>
      <c r="AD1167" s="1148">
        <f t="shared" si="326"/>
        <v>9094.16</v>
      </c>
      <c r="AE1167" s="1487">
        <v>0</v>
      </c>
      <c r="AF1167" s="1145">
        <f t="shared" si="335"/>
        <v>9094.16</v>
      </c>
      <c r="AG1167" s="1149">
        <f>IFERROR(VLOOKUP(CONCATENATE($L1167,$N1167),'Drop List'!$G$23:$K$87,2,FALSE),0)</f>
        <v>0.9</v>
      </c>
      <c r="AH1167" s="1150">
        <f>IFERROR(VLOOKUP(CONCATENATE($L1167,$N1167),'Drop List'!$G$23:$K$87,3,FALSE),0)</f>
        <v>0</v>
      </c>
      <c r="AI1167" s="1150">
        <f>IFERROR(VLOOKUP(CONCATENATE($L1167,$N1167),'Drop List'!$G$23:$K$87,4,FALSE),0)</f>
        <v>0.1</v>
      </c>
      <c r="AJ1167" s="1151">
        <f>IFERROR(VLOOKUP(CONCATENATE($L1167,$N1167),'Drop List'!$G$23:$K$87,5,FALSE),0)</f>
        <v>0</v>
      </c>
      <c r="AK1167" s="1152">
        <f t="shared" si="336"/>
        <v>8184.7439999999997</v>
      </c>
      <c r="AL1167" s="1153">
        <f t="shared" si="337"/>
        <v>0</v>
      </c>
      <c r="AM1167" s="1153">
        <f t="shared" si="338"/>
        <v>909.41600000000005</v>
      </c>
      <c r="AN1167" s="1145">
        <f t="shared" si="339"/>
        <v>0</v>
      </c>
      <c r="AO1167" s="1154">
        <f t="shared" si="340"/>
        <v>9094.16</v>
      </c>
      <c r="AP1167" s="1147">
        <f t="shared" si="327"/>
        <v>0</v>
      </c>
      <c r="AQ1167" s="1144">
        <f t="shared" si="328"/>
        <v>0</v>
      </c>
      <c r="AR1167" s="1146">
        <f t="shared" si="329"/>
        <v>9094.16</v>
      </c>
    </row>
    <row r="1168" spans="1:44" x14ac:dyDescent="0.2">
      <c r="A1168" s="1141" t="str">
        <f t="shared" si="324"/>
        <v>1552</v>
      </c>
      <c r="B1168" s="1141" t="str">
        <f>IFERROR(VLOOKUP(A1168,'LAC 103'!A:C,3,FALSE),"")</f>
        <v>OP</v>
      </c>
      <c r="C1168" s="1478" t="str">
        <f>Info!$B$8</f>
        <v>00100</v>
      </c>
      <c r="D1168" s="1474" t="s">
        <v>256</v>
      </c>
      <c r="E1168" s="1474" t="s">
        <v>95</v>
      </c>
      <c r="F1168" s="1478" t="s">
        <v>412</v>
      </c>
      <c r="G1168" s="1478" t="s">
        <v>412</v>
      </c>
      <c r="H1168" s="1474" t="s">
        <v>1665</v>
      </c>
      <c r="I1168" s="1478" t="s">
        <v>803</v>
      </c>
      <c r="J1168" s="1478"/>
      <c r="K1168" s="1475" t="s">
        <v>849</v>
      </c>
      <c r="L1168" s="1474" t="s">
        <v>77</v>
      </c>
      <c r="M1168" s="1476" t="s">
        <v>842</v>
      </c>
      <c r="N1168" s="1477" t="s">
        <v>1692</v>
      </c>
      <c r="O1168" s="1479">
        <v>7125</v>
      </c>
      <c r="P1168" s="1479"/>
      <c r="Q1168" s="1142">
        <f t="shared" si="325"/>
        <v>7125</v>
      </c>
      <c r="R1168" s="1143">
        <f>IFERROR(VLOOKUP(CONCATENATE(E1168,G1168),'LAC 103'!$A$12:$O$95,11,FALSE),0)</f>
        <v>3.207410103388435</v>
      </c>
      <c r="S1168" s="1144">
        <f>IFERROR(VLOOKUP(CONCATENATE($E1168,$G1168),'LAC 103'!$A$12:$O$95,12,FALSE),0)</f>
        <v>3.99</v>
      </c>
      <c r="T1168" s="1144">
        <f>IFERROR(VLOOKUP(CONCATENATE($E1168,$G1168),'LAC 103'!$A$12:$O$95,13,FALSE),0)</f>
        <v>2.48</v>
      </c>
      <c r="U1168" s="1144">
        <f>IFERROR(VLOOKUP(CONCATENATE($E1168,$G1168),'LAC 103'!$A$12:$O$95,14,FALSE),0)</f>
        <v>0</v>
      </c>
      <c r="V1168" s="1144">
        <f>IFERROR(VLOOKUP(CONCATENATE($E1168,$G1168),'LAC 103'!$A$12:$O$95,15,FALSE),0)</f>
        <v>0</v>
      </c>
      <c r="W1168" s="1145" t="str">
        <f>IFERROR(VLOOKUP(CONCATENATE($B1168,$N1168),'LAC 103'!$AI:$AQ,9,FALSE),"")</f>
        <v>Costs</v>
      </c>
      <c r="X1168" s="1146">
        <f t="shared" si="330"/>
        <v>3.207410103388435</v>
      </c>
      <c r="Y1168" s="1143">
        <f t="shared" si="341"/>
        <v>22852.796986642599</v>
      </c>
      <c r="Z1168" s="1147">
        <f t="shared" si="331"/>
        <v>28428.75</v>
      </c>
      <c r="AA1168" s="1144">
        <f t="shared" si="332"/>
        <v>17670</v>
      </c>
      <c r="AB1168" s="1144">
        <f t="shared" si="333"/>
        <v>0</v>
      </c>
      <c r="AC1168" s="1144">
        <f t="shared" si="334"/>
        <v>0</v>
      </c>
      <c r="AD1168" s="1148">
        <f t="shared" si="326"/>
        <v>22852.796986642599</v>
      </c>
      <c r="AE1168" s="1487">
        <v>0</v>
      </c>
      <c r="AF1168" s="1145">
        <f t="shared" si="335"/>
        <v>22852.796986642599</v>
      </c>
      <c r="AG1168" s="1149">
        <f>IFERROR(VLOOKUP(CONCATENATE($L1168,$N1168),'Drop List'!$G$23:$K$87,2,FALSE),0)</f>
        <v>0.9</v>
      </c>
      <c r="AH1168" s="1150">
        <f>IFERROR(VLOOKUP(CONCATENATE($L1168,$N1168),'Drop List'!$G$23:$K$87,3,FALSE),0)</f>
        <v>0</v>
      </c>
      <c r="AI1168" s="1150">
        <f>IFERROR(VLOOKUP(CONCATENATE($L1168,$N1168),'Drop List'!$G$23:$K$87,4,FALSE),0)</f>
        <v>0.1</v>
      </c>
      <c r="AJ1168" s="1151">
        <f>IFERROR(VLOOKUP(CONCATENATE($L1168,$N1168),'Drop List'!$G$23:$K$87,5,FALSE),0)</f>
        <v>0</v>
      </c>
      <c r="AK1168" s="1152">
        <f t="shared" si="336"/>
        <v>20567.517287978339</v>
      </c>
      <c r="AL1168" s="1153">
        <f t="shared" si="337"/>
        <v>0</v>
      </c>
      <c r="AM1168" s="1153">
        <f t="shared" si="338"/>
        <v>2285.2796986642602</v>
      </c>
      <c r="AN1168" s="1145">
        <f t="shared" si="339"/>
        <v>0</v>
      </c>
      <c r="AO1168" s="1154">
        <f t="shared" si="340"/>
        <v>22852.796986642599</v>
      </c>
      <c r="AP1168" s="1147">
        <f t="shared" si="327"/>
        <v>0</v>
      </c>
      <c r="AQ1168" s="1144">
        <f t="shared" si="328"/>
        <v>0</v>
      </c>
      <c r="AR1168" s="1146">
        <f t="shared" si="329"/>
        <v>22852.796986642599</v>
      </c>
    </row>
    <row r="1169" spans="1:44" x14ac:dyDescent="0.2">
      <c r="A1169" s="1141" t="str">
        <f t="shared" si="324"/>
        <v>1552</v>
      </c>
      <c r="B1169" s="1141" t="str">
        <f>IFERROR(VLOOKUP(A1169,'LAC 103'!A:C,3,FALSE),"")</f>
        <v>OP</v>
      </c>
      <c r="C1169" s="1478" t="str">
        <f>Info!$B$8</f>
        <v>00100</v>
      </c>
      <c r="D1169" s="1474" t="s">
        <v>256</v>
      </c>
      <c r="E1169" s="1474" t="s">
        <v>95</v>
      </c>
      <c r="F1169" s="1478" t="s">
        <v>412</v>
      </c>
      <c r="G1169" s="1478" t="s">
        <v>412</v>
      </c>
      <c r="H1169" s="1474" t="s">
        <v>1665</v>
      </c>
      <c r="I1169" s="1478" t="s">
        <v>803</v>
      </c>
      <c r="J1169" s="1478"/>
      <c r="K1169" s="1475" t="s">
        <v>849</v>
      </c>
      <c r="L1169" s="1474" t="s">
        <v>77</v>
      </c>
      <c r="M1169" s="1476" t="s">
        <v>1698</v>
      </c>
      <c r="N1169" s="1477" t="s">
        <v>1693</v>
      </c>
      <c r="O1169" s="1479">
        <v>1974</v>
      </c>
      <c r="P1169" s="1479"/>
      <c r="Q1169" s="1142">
        <f t="shared" si="325"/>
        <v>1974</v>
      </c>
      <c r="R1169" s="1143">
        <f>IFERROR(VLOOKUP(CONCATENATE(E1169,G1169),'LAC 103'!$A$12:$O$95,11,FALSE),0)</f>
        <v>3.207410103388435</v>
      </c>
      <c r="S1169" s="1144">
        <f>IFERROR(VLOOKUP(CONCATENATE($E1169,$G1169),'LAC 103'!$A$12:$O$95,12,FALSE),0)</f>
        <v>3.99</v>
      </c>
      <c r="T1169" s="1144">
        <f>IFERROR(VLOOKUP(CONCATENATE($E1169,$G1169),'LAC 103'!$A$12:$O$95,13,FALSE),0)</f>
        <v>2.48</v>
      </c>
      <c r="U1169" s="1144">
        <f>IFERROR(VLOOKUP(CONCATENATE($E1169,$G1169),'LAC 103'!$A$12:$O$95,14,FALSE),0)</f>
        <v>0</v>
      </c>
      <c r="V1169" s="1144">
        <f>IFERROR(VLOOKUP(CONCATENATE($E1169,$G1169),'LAC 103'!$A$12:$O$95,15,FALSE),0)</f>
        <v>0</v>
      </c>
      <c r="W1169" s="1145" t="str">
        <f>IFERROR(VLOOKUP(CONCATENATE($B1169,$N1169),'LAC 103'!$AI:$AQ,9,FALSE),"")</f>
        <v>Costs</v>
      </c>
      <c r="X1169" s="1146">
        <f t="shared" si="330"/>
        <v>3.207410103388435</v>
      </c>
      <c r="Y1169" s="1143">
        <f t="shared" si="341"/>
        <v>6331.4275440887704</v>
      </c>
      <c r="Z1169" s="1147">
        <f t="shared" si="331"/>
        <v>7876.26</v>
      </c>
      <c r="AA1169" s="1144">
        <f t="shared" si="332"/>
        <v>4895.5199999999995</v>
      </c>
      <c r="AB1169" s="1144">
        <f t="shared" si="333"/>
        <v>0</v>
      </c>
      <c r="AC1169" s="1144">
        <f t="shared" si="334"/>
        <v>0</v>
      </c>
      <c r="AD1169" s="1148">
        <f t="shared" si="326"/>
        <v>6331.4275440887704</v>
      </c>
      <c r="AE1169" s="1487">
        <v>0</v>
      </c>
      <c r="AF1169" s="1145">
        <f t="shared" si="335"/>
        <v>6331.4275440887704</v>
      </c>
      <c r="AG1169" s="1149">
        <f>IFERROR(VLOOKUP(CONCATENATE($L1169,$N1169),'Drop List'!$G$23:$K$87,2,FALSE),0)</f>
        <v>0.9</v>
      </c>
      <c r="AH1169" s="1150">
        <f>IFERROR(VLOOKUP(CONCATENATE($L1169,$N1169),'Drop List'!$G$23:$K$87,3,FALSE),0)</f>
        <v>0</v>
      </c>
      <c r="AI1169" s="1150">
        <f>IFERROR(VLOOKUP(CONCATENATE($L1169,$N1169),'Drop List'!$G$23:$K$87,4,FALSE),0)</f>
        <v>0.1</v>
      </c>
      <c r="AJ1169" s="1151">
        <f>IFERROR(VLOOKUP(CONCATENATE($L1169,$N1169),'Drop List'!$G$23:$K$87,5,FALSE),0)</f>
        <v>0</v>
      </c>
      <c r="AK1169" s="1152">
        <f t="shared" si="336"/>
        <v>5698.2847896798939</v>
      </c>
      <c r="AL1169" s="1153">
        <f t="shared" si="337"/>
        <v>0</v>
      </c>
      <c r="AM1169" s="1153">
        <f t="shared" si="338"/>
        <v>633.14275440887707</v>
      </c>
      <c r="AN1169" s="1145">
        <f t="shared" si="339"/>
        <v>0</v>
      </c>
      <c r="AO1169" s="1154">
        <f t="shared" si="340"/>
        <v>6331.4275440887714</v>
      </c>
      <c r="AP1169" s="1147">
        <f t="shared" si="327"/>
        <v>0</v>
      </c>
      <c r="AQ1169" s="1144">
        <f t="shared" si="328"/>
        <v>0</v>
      </c>
      <c r="AR1169" s="1146">
        <f t="shared" si="329"/>
        <v>6331.4275440887714</v>
      </c>
    </row>
    <row r="1170" spans="1:44" x14ac:dyDescent="0.2">
      <c r="A1170" s="1141" t="str">
        <f t="shared" si="324"/>
        <v>1552</v>
      </c>
      <c r="B1170" s="1141" t="str">
        <f>IFERROR(VLOOKUP(A1170,'LAC 103'!A:C,3,FALSE),"")</f>
        <v>OP</v>
      </c>
      <c r="C1170" s="1478" t="str">
        <f>Info!$B$8</f>
        <v>00100</v>
      </c>
      <c r="D1170" s="1474" t="s">
        <v>256</v>
      </c>
      <c r="E1170" s="1474" t="s">
        <v>95</v>
      </c>
      <c r="F1170" s="1478" t="s">
        <v>412</v>
      </c>
      <c r="G1170" s="1478" t="s">
        <v>412</v>
      </c>
      <c r="H1170" s="1474" t="s">
        <v>1665</v>
      </c>
      <c r="I1170" s="1478" t="s">
        <v>803</v>
      </c>
      <c r="J1170" s="1478"/>
      <c r="K1170" s="1475" t="s">
        <v>971</v>
      </c>
      <c r="L1170" s="1474" t="s">
        <v>332</v>
      </c>
      <c r="M1170" s="1476" t="s">
        <v>841</v>
      </c>
      <c r="N1170" s="1477" t="s">
        <v>1695</v>
      </c>
      <c r="O1170" s="1479">
        <v>80</v>
      </c>
      <c r="P1170" s="1479"/>
      <c r="Q1170" s="1142">
        <f t="shared" si="325"/>
        <v>80</v>
      </c>
      <c r="R1170" s="1143">
        <f>IFERROR(VLOOKUP(CONCATENATE(E1170,G1170),'LAC 103'!$A$12:$O$95,11,FALSE),0)</f>
        <v>3.207410103388435</v>
      </c>
      <c r="S1170" s="1144">
        <f>IFERROR(VLOOKUP(CONCATENATE($E1170,$G1170),'LAC 103'!$A$12:$O$95,12,FALSE),0)</f>
        <v>3.99</v>
      </c>
      <c r="T1170" s="1144">
        <f>IFERROR(VLOOKUP(CONCATENATE($E1170,$G1170),'LAC 103'!$A$12:$O$95,13,FALSE),0)</f>
        <v>2.48</v>
      </c>
      <c r="U1170" s="1144">
        <f>IFERROR(VLOOKUP(CONCATENATE($E1170,$G1170),'LAC 103'!$A$12:$O$95,14,FALSE),0)</f>
        <v>0</v>
      </c>
      <c r="V1170" s="1144">
        <f>IFERROR(VLOOKUP(CONCATENATE($E1170,$G1170),'LAC 103'!$A$12:$O$95,15,FALSE),0)</f>
        <v>0</v>
      </c>
      <c r="W1170" s="1145" t="str">
        <f>IFERROR(VLOOKUP(CONCATENATE($B1170,$N1170),'LAC 103'!$AI:$AQ,9,FALSE),"")</f>
        <v>Costs</v>
      </c>
      <c r="X1170" s="1146">
        <f t="shared" si="330"/>
        <v>3.207410103388435</v>
      </c>
      <c r="Y1170" s="1143">
        <f t="shared" si="341"/>
        <v>256.59280827107477</v>
      </c>
      <c r="Z1170" s="1147">
        <f t="shared" si="331"/>
        <v>319.20000000000005</v>
      </c>
      <c r="AA1170" s="1144">
        <f t="shared" si="332"/>
        <v>198.4</v>
      </c>
      <c r="AB1170" s="1144">
        <f t="shared" si="333"/>
        <v>0</v>
      </c>
      <c r="AC1170" s="1144">
        <f t="shared" si="334"/>
        <v>0</v>
      </c>
      <c r="AD1170" s="1148">
        <f t="shared" si="326"/>
        <v>256.59280827107477</v>
      </c>
      <c r="AE1170" s="1487">
        <v>0</v>
      </c>
      <c r="AF1170" s="1145">
        <f t="shared" si="335"/>
        <v>256.59280827107477</v>
      </c>
      <c r="AG1170" s="1149">
        <f>IFERROR(VLOOKUP(CONCATENATE($L1170,$N1170),'Drop List'!$G$23:$K$87,2,FALSE),0)</f>
        <v>0</v>
      </c>
      <c r="AH1170" s="1150">
        <f>IFERROR(VLOOKUP(CONCATENATE($L1170,$N1170),'Drop List'!$G$23:$K$87,3,FALSE),0)</f>
        <v>0</v>
      </c>
      <c r="AI1170" s="1150">
        <f>IFERROR(VLOOKUP(CONCATENATE($L1170,$N1170),'Drop List'!$G$23:$K$87,4,FALSE),0)</f>
        <v>0</v>
      </c>
      <c r="AJ1170" s="1151">
        <f>IFERROR(VLOOKUP(CONCATENATE($L1170,$N1170),'Drop List'!$G$23:$K$87,5,FALSE),0)</f>
        <v>0</v>
      </c>
      <c r="AK1170" s="1152">
        <f t="shared" si="336"/>
        <v>0</v>
      </c>
      <c r="AL1170" s="1153">
        <f t="shared" si="337"/>
        <v>0</v>
      </c>
      <c r="AM1170" s="1153">
        <f t="shared" si="338"/>
        <v>0</v>
      </c>
      <c r="AN1170" s="1145">
        <f t="shared" si="339"/>
        <v>0</v>
      </c>
      <c r="AO1170" s="1154">
        <f t="shared" si="340"/>
        <v>0</v>
      </c>
      <c r="AP1170" s="1147">
        <f t="shared" si="327"/>
        <v>256.59280827107477</v>
      </c>
      <c r="AQ1170" s="1144">
        <f t="shared" si="328"/>
        <v>0</v>
      </c>
      <c r="AR1170" s="1146">
        <f t="shared" si="329"/>
        <v>256.59280827107477</v>
      </c>
    </row>
    <row r="1171" spans="1:44" x14ac:dyDescent="0.2">
      <c r="A1171" s="1141" t="str">
        <f t="shared" si="324"/>
        <v>1552</v>
      </c>
      <c r="B1171" s="1141" t="str">
        <f>IFERROR(VLOOKUP(A1171,'LAC 103'!A:C,3,FALSE),"")</f>
        <v>OP</v>
      </c>
      <c r="C1171" s="1478" t="str">
        <f>Info!$B$8</f>
        <v>00100</v>
      </c>
      <c r="D1171" s="1474" t="s">
        <v>256</v>
      </c>
      <c r="E1171" s="1474" t="s">
        <v>95</v>
      </c>
      <c r="F1171" s="1478" t="s">
        <v>412</v>
      </c>
      <c r="G1171" s="1478" t="s">
        <v>412</v>
      </c>
      <c r="H1171" s="1474" t="s">
        <v>1665</v>
      </c>
      <c r="I1171" s="1478" t="s">
        <v>803</v>
      </c>
      <c r="J1171" s="1478"/>
      <c r="K1171" s="1475" t="s">
        <v>850</v>
      </c>
      <c r="L1171" s="1474" t="s">
        <v>330</v>
      </c>
      <c r="M1171" s="1476" t="s">
        <v>1699</v>
      </c>
      <c r="N1171" s="1477" t="s">
        <v>1694</v>
      </c>
      <c r="O1171" s="1479">
        <v>733</v>
      </c>
      <c r="P1171" s="1479"/>
      <c r="Q1171" s="1142">
        <f t="shared" si="325"/>
        <v>733</v>
      </c>
      <c r="R1171" s="1143">
        <f>IFERROR(VLOOKUP(CONCATENATE(E1171,G1171),'LAC 103'!$A$12:$O$95,11,FALSE),0)</f>
        <v>3.207410103388435</v>
      </c>
      <c r="S1171" s="1144">
        <f>IFERROR(VLOOKUP(CONCATENATE($E1171,$G1171),'LAC 103'!$A$12:$O$95,12,FALSE),0)</f>
        <v>3.99</v>
      </c>
      <c r="T1171" s="1144">
        <f>IFERROR(VLOOKUP(CONCATENATE($E1171,$G1171),'LAC 103'!$A$12:$O$95,13,FALSE),0)</f>
        <v>2.48</v>
      </c>
      <c r="U1171" s="1144">
        <f>IFERROR(VLOOKUP(CONCATENATE($E1171,$G1171),'LAC 103'!$A$12:$O$95,14,FALSE),0)</f>
        <v>0</v>
      </c>
      <c r="V1171" s="1144">
        <f>IFERROR(VLOOKUP(CONCATENATE($E1171,$G1171),'LAC 103'!$A$12:$O$95,15,FALSE),0)</f>
        <v>0</v>
      </c>
      <c r="W1171" s="1145" t="str">
        <f>IFERROR(VLOOKUP(CONCATENATE($B1171,$N1171),'LAC 103'!$AI:$AQ,9,FALSE),"")</f>
        <v>Costs</v>
      </c>
      <c r="X1171" s="1146">
        <f t="shared" si="330"/>
        <v>3.207410103388435</v>
      </c>
      <c r="Y1171" s="1143">
        <f t="shared" si="341"/>
        <v>2351.0316057837231</v>
      </c>
      <c r="Z1171" s="1147">
        <f t="shared" si="331"/>
        <v>2924.67</v>
      </c>
      <c r="AA1171" s="1144">
        <f t="shared" si="332"/>
        <v>1817.84</v>
      </c>
      <c r="AB1171" s="1144">
        <f t="shared" si="333"/>
        <v>0</v>
      </c>
      <c r="AC1171" s="1144">
        <f t="shared" si="334"/>
        <v>0</v>
      </c>
      <c r="AD1171" s="1148">
        <f t="shared" si="326"/>
        <v>2351.0316057837231</v>
      </c>
      <c r="AE1171" s="1487">
        <v>0</v>
      </c>
      <c r="AF1171" s="1145">
        <f t="shared" si="335"/>
        <v>2351.0316057837231</v>
      </c>
      <c r="AG1171" s="1149">
        <f>IFERROR(VLOOKUP(CONCATENATE($L1171,$N1171),'Drop List'!$G$23:$K$87,2,FALSE),0)</f>
        <v>0</v>
      </c>
      <c r="AH1171" s="1150">
        <f>IFERROR(VLOOKUP(CONCATENATE($L1171,$N1171),'Drop List'!$G$23:$K$87,3,FALSE),0)</f>
        <v>0</v>
      </c>
      <c r="AI1171" s="1150">
        <f>IFERROR(VLOOKUP(CONCATENATE($L1171,$N1171),'Drop List'!$G$23:$K$87,4,FALSE),0)</f>
        <v>1</v>
      </c>
      <c r="AJ1171" s="1151">
        <f>IFERROR(VLOOKUP(CONCATENATE($L1171,$N1171),'Drop List'!$G$23:$K$87,5,FALSE),0)</f>
        <v>0</v>
      </c>
      <c r="AK1171" s="1152">
        <f t="shared" si="336"/>
        <v>0</v>
      </c>
      <c r="AL1171" s="1153">
        <f t="shared" si="337"/>
        <v>0</v>
      </c>
      <c r="AM1171" s="1153">
        <f t="shared" si="338"/>
        <v>2351.0316057837231</v>
      </c>
      <c r="AN1171" s="1145">
        <f t="shared" si="339"/>
        <v>0</v>
      </c>
      <c r="AO1171" s="1154">
        <f t="shared" si="340"/>
        <v>2351.0316057837231</v>
      </c>
      <c r="AP1171" s="1147">
        <f t="shared" si="327"/>
        <v>0</v>
      </c>
      <c r="AQ1171" s="1144">
        <f t="shared" si="328"/>
        <v>0</v>
      </c>
      <c r="AR1171" s="1146">
        <f t="shared" si="329"/>
        <v>2351.0316057837231</v>
      </c>
    </row>
    <row r="1172" spans="1:44" x14ac:dyDescent="0.2">
      <c r="A1172" s="1141" t="str">
        <f t="shared" si="324"/>
        <v>1552</v>
      </c>
      <c r="B1172" s="1141" t="str">
        <f>IFERROR(VLOOKUP(A1172,'LAC 103'!A:C,3,FALSE),"")</f>
        <v>OP</v>
      </c>
      <c r="C1172" s="1478" t="str">
        <f>Info!$B$8</f>
        <v>00100</v>
      </c>
      <c r="D1172" s="1474" t="s">
        <v>256</v>
      </c>
      <c r="E1172" s="1474" t="s">
        <v>95</v>
      </c>
      <c r="F1172" s="1478" t="s">
        <v>412</v>
      </c>
      <c r="G1172" s="1478" t="s">
        <v>412</v>
      </c>
      <c r="H1172" s="1474" t="s">
        <v>1665</v>
      </c>
      <c r="I1172" s="1478" t="s">
        <v>803</v>
      </c>
      <c r="J1172" s="1478"/>
      <c r="K1172" s="1475" t="s">
        <v>850</v>
      </c>
      <c r="L1172" s="1474" t="s">
        <v>330</v>
      </c>
      <c r="M1172" s="1476" t="s">
        <v>1698</v>
      </c>
      <c r="N1172" s="1477" t="s">
        <v>1693</v>
      </c>
      <c r="O1172" s="1479">
        <v>1604</v>
      </c>
      <c r="P1172" s="1479"/>
      <c r="Q1172" s="1142">
        <f t="shared" si="325"/>
        <v>1604</v>
      </c>
      <c r="R1172" s="1143">
        <f>IFERROR(VLOOKUP(CONCATENATE(E1172,G1172),'LAC 103'!$A$12:$O$95,11,FALSE),0)</f>
        <v>3.207410103388435</v>
      </c>
      <c r="S1172" s="1144">
        <f>IFERROR(VLOOKUP(CONCATENATE($E1172,$G1172),'LAC 103'!$A$12:$O$95,12,FALSE),0)</f>
        <v>3.99</v>
      </c>
      <c r="T1172" s="1144">
        <f>IFERROR(VLOOKUP(CONCATENATE($E1172,$G1172),'LAC 103'!$A$12:$O$95,13,FALSE),0)</f>
        <v>2.48</v>
      </c>
      <c r="U1172" s="1144">
        <f>IFERROR(VLOOKUP(CONCATENATE($E1172,$G1172),'LAC 103'!$A$12:$O$95,14,FALSE),0)</f>
        <v>0</v>
      </c>
      <c r="V1172" s="1144">
        <f>IFERROR(VLOOKUP(CONCATENATE($E1172,$G1172),'LAC 103'!$A$12:$O$95,15,FALSE),0)</f>
        <v>0</v>
      </c>
      <c r="W1172" s="1145" t="str">
        <f>IFERROR(VLOOKUP(CONCATENATE($B1172,$N1172),'LAC 103'!$AI:$AQ,9,FALSE),"")</f>
        <v>Costs</v>
      </c>
      <c r="X1172" s="1146">
        <f t="shared" si="330"/>
        <v>3.207410103388435</v>
      </c>
      <c r="Y1172" s="1143">
        <f t="shared" si="341"/>
        <v>5144.6858058350499</v>
      </c>
      <c r="Z1172" s="1147">
        <f t="shared" si="331"/>
        <v>6399.96</v>
      </c>
      <c r="AA1172" s="1144">
        <f t="shared" si="332"/>
        <v>3977.92</v>
      </c>
      <c r="AB1172" s="1144">
        <f t="shared" si="333"/>
        <v>0</v>
      </c>
      <c r="AC1172" s="1144">
        <f t="shared" si="334"/>
        <v>0</v>
      </c>
      <c r="AD1172" s="1148">
        <f t="shared" si="326"/>
        <v>5144.6858058350499</v>
      </c>
      <c r="AE1172" s="1487">
        <v>0</v>
      </c>
      <c r="AF1172" s="1145">
        <f t="shared" si="335"/>
        <v>5144.6858058350499</v>
      </c>
      <c r="AG1172" s="1149">
        <f>IFERROR(VLOOKUP(CONCATENATE($L1172,$N1172),'Drop List'!$G$23:$K$87,2,FALSE),0)</f>
        <v>0</v>
      </c>
      <c r="AH1172" s="1150">
        <f>IFERROR(VLOOKUP(CONCATENATE($L1172,$N1172),'Drop List'!$G$23:$K$87,3,FALSE),0)</f>
        <v>0</v>
      </c>
      <c r="AI1172" s="1150">
        <f>IFERROR(VLOOKUP(CONCATENATE($L1172,$N1172),'Drop List'!$G$23:$K$87,4,FALSE),0)</f>
        <v>1</v>
      </c>
      <c r="AJ1172" s="1151">
        <f>IFERROR(VLOOKUP(CONCATENATE($L1172,$N1172),'Drop List'!$G$23:$K$87,5,FALSE),0)</f>
        <v>0</v>
      </c>
      <c r="AK1172" s="1152">
        <f t="shared" si="336"/>
        <v>0</v>
      </c>
      <c r="AL1172" s="1153">
        <f t="shared" si="337"/>
        <v>0</v>
      </c>
      <c r="AM1172" s="1153">
        <f t="shared" si="338"/>
        <v>5144.6858058350499</v>
      </c>
      <c r="AN1172" s="1145">
        <f t="shared" si="339"/>
        <v>0</v>
      </c>
      <c r="AO1172" s="1154">
        <f t="shared" si="340"/>
        <v>5144.6858058350499</v>
      </c>
      <c r="AP1172" s="1147">
        <f t="shared" si="327"/>
        <v>0</v>
      </c>
      <c r="AQ1172" s="1144">
        <f t="shared" si="328"/>
        <v>0</v>
      </c>
      <c r="AR1172" s="1146">
        <f t="shared" si="329"/>
        <v>5144.6858058350499</v>
      </c>
    </row>
    <row r="1173" spans="1:44" x14ac:dyDescent="0.2">
      <c r="A1173" s="1141" t="str">
        <f t="shared" si="324"/>
        <v>1552</v>
      </c>
      <c r="B1173" s="1141" t="str">
        <f>IFERROR(VLOOKUP(A1173,'LAC 103'!A:C,3,FALSE),"")</f>
        <v>OP</v>
      </c>
      <c r="C1173" s="1478" t="str">
        <f>Info!$B$8</f>
        <v>00100</v>
      </c>
      <c r="D1173" s="1474" t="s">
        <v>256</v>
      </c>
      <c r="E1173" s="1474" t="s">
        <v>95</v>
      </c>
      <c r="F1173" s="1478" t="s">
        <v>412</v>
      </c>
      <c r="G1173" s="1478" t="s">
        <v>412</v>
      </c>
      <c r="H1173" s="1474" t="s">
        <v>1665</v>
      </c>
      <c r="I1173" s="1478" t="s">
        <v>803</v>
      </c>
      <c r="J1173" s="1478"/>
      <c r="K1173" s="1475" t="s">
        <v>851</v>
      </c>
      <c r="L1173" s="1474" t="s">
        <v>584</v>
      </c>
      <c r="M1173" s="1476" t="s">
        <v>1699</v>
      </c>
      <c r="N1173" s="1477" t="s">
        <v>1694</v>
      </c>
      <c r="O1173" s="1479">
        <v>595</v>
      </c>
      <c r="P1173" s="1479"/>
      <c r="Q1173" s="1142">
        <f t="shared" si="325"/>
        <v>595</v>
      </c>
      <c r="R1173" s="1143">
        <f>IFERROR(VLOOKUP(CONCATENATE(E1173,G1173),'LAC 103'!$A$12:$O$95,11,FALSE),0)</f>
        <v>3.207410103388435</v>
      </c>
      <c r="S1173" s="1144">
        <f>IFERROR(VLOOKUP(CONCATENATE($E1173,$G1173),'LAC 103'!$A$12:$O$95,12,FALSE),0)</f>
        <v>3.99</v>
      </c>
      <c r="T1173" s="1144">
        <f>IFERROR(VLOOKUP(CONCATENATE($E1173,$G1173),'LAC 103'!$A$12:$O$95,13,FALSE),0)</f>
        <v>2.48</v>
      </c>
      <c r="U1173" s="1144">
        <f>IFERROR(VLOOKUP(CONCATENATE($E1173,$G1173),'LAC 103'!$A$12:$O$95,14,FALSE),0)</f>
        <v>0</v>
      </c>
      <c r="V1173" s="1144">
        <f>IFERROR(VLOOKUP(CONCATENATE($E1173,$G1173),'LAC 103'!$A$12:$O$95,15,FALSE),0)</f>
        <v>0</v>
      </c>
      <c r="W1173" s="1145" t="str">
        <f>IFERROR(VLOOKUP(CONCATENATE($B1173,$N1173),'LAC 103'!$AI:$AQ,9,FALSE),"")</f>
        <v>Costs</v>
      </c>
      <c r="X1173" s="1146">
        <f t="shared" si="330"/>
        <v>3.207410103388435</v>
      </c>
      <c r="Y1173" s="1143">
        <f t="shared" si="341"/>
        <v>1908.4090115161189</v>
      </c>
      <c r="Z1173" s="1147">
        <f t="shared" si="331"/>
        <v>2374.0500000000002</v>
      </c>
      <c r="AA1173" s="1144">
        <f t="shared" si="332"/>
        <v>1475.6</v>
      </c>
      <c r="AB1173" s="1144">
        <f t="shared" si="333"/>
        <v>0</v>
      </c>
      <c r="AC1173" s="1144">
        <f t="shared" si="334"/>
        <v>0</v>
      </c>
      <c r="AD1173" s="1148">
        <f t="shared" si="326"/>
        <v>1908.4090115161189</v>
      </c>
      <c r="AE1173" s="1487">
        <v>0</v>
      </c>
      <c r="AF1173" s="1145">
        <f t="shared" si="335"/>
        <v>1908.4090115161189</v>
      </c>
      <c r="AG1173" s="1149">
        <f>IFERROR(VLOOKUP(CONCATENATE($L1173,$N1173),'Drop List'!$G$23:$K$87,2,FALSE),0)</f>
        <v>0.56200000000000006</v>
      </c>
      <c r="AH1173" s="1150">
        <f>IFERROR(VLOOKUP(CONCATENATE($L1173,$N1173),'Drop List'!$G$23:$K$87,3,FALSE),0)</f>
        <v>0</v>
      </c>
      <c r="AI1173" s="1150">
        <f>IFERROR(VLOOKUP(CONCATENATE($L1173,$N1173),'Drop List'!$G$23:$K$87,4,FALSE),0)</f>
        <v>0</v>
      </c>
      <c r="AJ1173" s="1151">
        <f>IFERROR(VLOOKUP(CONCATENATE($L1173,$N1173),'Drop List'!$G$23:$K$87,5,FALSE),0)</f>
        <v>0.43799999999999994</v>
      </c>
      <c r="AK1173" s="1152">
        <f t="shared" si="336"/>
        <v>1072.5258644720589</v>
      </c>
      <c r="AL1173" s="1153">
        <f t="shared" si="337"/>
        <v>0</v>
      </c>
      <c r="AM1173" s="1153">
        <f t="shared" si="338"/>
        <v>0</v>
      </c>
      <c r="AN1173" s="1145">
        <f t="shared" si="339"/>
        <v>835.88314704405991</v>
      </c>
      <c r="AO1173" s="1154">
        <f t="shared" si="340"/>
        <v>1908.4090115161189</v>
      </c>
      <c r="AP1173" s="1147">
        <f t="shared" si="327"/>
        <v>0</v>
      </c>
      <c r="AQ1173" s="1144">
        <f t="shared" si="328"/>
        <v>0</v>
      </c>
      <c r="AR1173" s="1146">
        <f t="shared" si="329"/>
        <v>1908.4090115161189</v>
      </c>
    </row>
    <row r="1174" spans="1:44" x14ac:dyDescent="0.2">
      <c r="A1174" s="1141" t="str">
        <f t="shared" ref="A1174:A1237" si="342">IF(CONCATENATE(E1174,G1174)="","",CONCATENATE(E1174,G1174))</f>
        <v>1552</v>
      </c>
      <c r="B1174" s="1141" t="str">
        <f>IFERROR(VLOOKUP(A1174,'LAC 103'!A:C,3,FALSE),"")</f>
        <v>OP</v>
      </c>
      <c r="C1174" s="1478" t="str">
        <f>Info!$B$8</f>
        <v>00100</v>
      </c>
      <c r="D1174" s="1474" t="s">
        <v>256</v>
      </c>
      <c r="E1174" s="1474" t="s">
        <v>95</v>
      </c>
      <c r="F1174" s="1478" t="s">
        <v>412</v>
      </c>
      <c r="G1174" s="1478" t="s">
        <v>412</v>
      </c>
      <c r="H1174" s="1474" t="s">
        <v>1665</v>
      </c>
      <c r="I1174" s="1478" t="s">
        <v>803</v>
      </c>
      <c r="J1174" s="1478"/>
      <c r="K1174" s="1475" t="s">
        <v>851</v>
      </c>
      <c r="L1174" s="1474" t="s">
        <v>584</v>
      </c>
      <c r="M1174" s="1476" t="s">
        <v>841</v>
      </c>
      <c r="N1174" s="1477" t="s">
        <v>1695</v>
      </c>
      <c r="O1174" s="1479">
        <v>68</v>
      </c>
      <c r="P1174" s="1479"/>
      <c r="Q1174" s="1142">
        <f t="shared" si="325"/>
        <v>68</v>
      </c>
      <c r="R1174" s="1143">
        <f>IFERROR(VLOOKUP(CONCATENATE(E1174,G1174),'LAC 103'!$A$12:$O$95,11,FALSE),0)</f>
        <v>3.207410103388435</v>
      </c>
      <c r="S1174" s="1144">
        <f>IFERROR(VLOOKUP(CONCATENATE($E1174,$G1174),'LAC 103'!$A$12:$O$95,12,FALSE),0)</f>
        <v>3.99</v>
      </c>
      <c r="T1174" s="1144">
        <f>IFERROR(VLOOKUP(CONCATENATE($E1174,$G1174),'LAC 103'!$A$12:$O$95,13,FALSE),0)</f>
        <v>2.48</v>
      </c>
      <c r="U1174" s="1144">
        <f>IFERROR(VLOOKUP(CONCATENATE($E1174,$G1174),'LAC 103'!$A$12:$O$95,14,FALSE),0)</f>
        <v>0</v>
      </c>
      <c r="V1174" s="1144">
        <f>IFERROR(VLOOKUP(CONCATENATE($E1174,$G1174),'LAC 103'!$A$12:$O$95,15,FALSE),0)</f>
        <v>0</v>
      </c>
      <c r="W1174" s="1145" t="str">
        <f>IFERROR(VLOOKUP(CONCATENATE($B1174,$N1174),'LAC 103'!$AI:$AQ,9,FALSE),"")</f>
        <v>Costs</v>
      </c>
      <c r="X1174" s="1146">
        <f t="shared" si="330"/>
        <v>3.207410103388435</v>
      </c>
      <c r="Y1174" s="1143">
        <f t="shared" si="341"/>
        <v>218.10388703041357</v>
      </c>
      <c r="Z1174" s="1147">
        <f t="shared" si="331"/>
        <v>271.32</v>
      </c>
      <c r="AA1174" s="1144">
        <f t="shared" si="332"/>
        <v>168.64</v>
      </c>
      <c r="AB1174" s="1144">
        <f t="shared" si="333"/>
        <v>0</v>
      </c>
      <c r="AC1174" s="1144">
        <f t="shared" si="334"/>
        <v>0</v>
      </c>
      <c r="AD1174" s="1148">
        <f t="shared" si="326"/>
        <v>218.10388703041357</v>
      </c>
      <c r="AE1174" s="1487">
        <v>0</v>
      </c>
      <c r="AF1174" s="1145">
        <f t="shared" si="335"/>
        <v>218.10388703041357</v>
      </c>
      <c r="AG1174" s="1149">
        <f>IFERROR(VLOOKUP(CONCATENATE($L1174,$N1174),'Drop List'!$G$23:$K$87,2,FALSE),0)</f>
        <v>0.55000000000000004</v>
      </c>
      <c r="AH1174" s="1150">
        <f>IFERROR(VLOOKUP(CONCATENATE($L1174,$N1174),'Drop List'!$G$23:$K$87,3,FALSE),0)</f>
        <v>0</v>
      </c>
      <c r="AI1174" s="1150">
        <f>IFERROR(VLOOKUP(CONCATENATE($L1174,$N1174),'Drop List'!$G$23:$K$87,4,FALSE),0)</f>
        <v>0</v>
      </c>
      <c r="AJ1174" s="1151">
        <f>IFERROR(VLOOKUP(CONCATENATE($L1174,$N1174),'Drop List'!$G$23:$K$87,5,FALSE),0)</f>
        <v>0.44999999999999996</v>
      </c>
      <c r="AK1174" s="1152">
        <f t="shared" si="336"/>
        <v>119.95713786672748</v>
      </c>
      <c r="AL1174" s="1153">
        <f t="shared" si="337"/>
        <v>0</v>
      </c>
      <c r="AM1174" s="1153">
        <f t="shared" si="338"/>
        <v>0</v>
      </c>
      <c r="AN1174" s="1145">
        <f t="shared" si="339"/>
        <v>98.146749163686096</v>
      </c>
      <c r="AO1174" s="1154">
        <f t="shared" si="340"/>
        <v>218.10388703041357</v>
      </c>
      <c r="AP1174" s="1147">
        <f t="shared" si="327"/>
        <v>0</v>
      </c>
      <c r="AQ1174" s="1144">
        <f t="shared" si="328"/>
        <v>0</v>
      </c>
      <c r="AR1174" s="1146">
        <f t="shared" si="329"/>
        <v>218.10388703041357</v>
      </c>
    </row>
    <row r="1175" spans="1:44" x14ac:dyDescent="0.2">
      <c r="A1175" s="1141" t="str">
        <f t="shared" si="342"/>
        <v>1552</v>
      </c>
      <c r="B1175" s="1141" t="str">
        <f>IFERROR(VLOOKUP(A1175,'LAC 103'!A:C,3,FALSE),"")</f>
        <v>OP</v>
      </c>
      <c r="C1175" s="1478" t="str">
        <f>Info!$B$8</f>
        <v>00100</v>
      </c>
      <c r="D1175" s="1474" t="s">
        <v>256</v>
      </c>
      <c r="E1175" s="1474" t="s">
        <v>95</v>
      </c>
      <c r="F1175" s="1478" t="s">
        <v>412</v>
      </c>
      <c r="G1175" s="1478" t="s">
        <v>412</v>
      </c>
      <c r="H1175" s="1474" t="s">
        <v>1665</v>
      </c>
      <c r="I1175" s="1478" t="s">
        <v>803</v>
      </c>
      <c r="J1175" s="1478"/>
      <c r="K1175" s="1475" t="s">
        <v>851</v>
      </c>
      <c r="L1175" s="1474" t="s">
        <v>584</v>
      </c>
      <c r="M1175" s="1476" t="s">
        <v>840</v>
      </c>
      <c r="N1175" s="1477" t="s">
        <v>1700</v>
      </c>
      <c r="O1175" s="1479">
        <v>205</v>
      </c>
      <c r="P1175" s="1479"/>
      <c r="Q1175" s="1142">
        <f t="shared" si="325"/>
        <v>205</v>
      </c>
      <c r="R1175" s="1143">
        <f>IFERROR(VLOOKUP(CONCATENATE(E1175,G1175),'LAC 103'!$A$12:$O$95,11,FALSE),0)</f>
        <v>3.207410103388435</v>
      </c>
      <c r="S1175" s="1144">
        <f>IFERROR(VLOOKUP(CONCATENATE($E1175,$G1175),'LAC 103'!$A$12:$O$95,12,FALSE),0)</f>
        <v>3.99</v>
      </c>
      <c r="T1175" s="1144">
        <f>IFERROR(VLOOKUP(CONCATENATE($E1175,$G1175),'LAC 103'!$A$12:$O$95,13,FALSE),0)</f>
        <v>2.48</v>
      </c>
      <c r="U1175" s="1144">
        <f>IFERROR(VLOOKUP(CONCATENATE($E1175,$G1175),'LAC 103'!$A$12:$O$95,14,FALSE),0)</f>
        <v>0</v>
      </c>
      <c r="V1175" s="1144">
        <f>IFERROR(VLOOKUP(CONCATENATE($E1175,$G1175),'LAC 103'!$A$12:$O$95,15,FALSE),0)</f>
        <v>0</v>
      </c>
      <c r="W1175" s="1145" t="str">
        <f>IFERROR(VLOOKUP(CONCATENATE($B1175,$N1175),'LAC 103'!$AI:$AQ,9,FALSE),"")</f>
        <v>P.C.</v>
      </c>
      <c r="X1175" s="1146">
        <f t="shared" si="330"/>
        <v>2.48</v>
      </c>
      <c r="Y1175" s="1143">
        <f t="shared" si="341"/>
        <v>657.51907119462919</v>
      </c>
      <c r="Z1175" s="1147">
        <f t="shared" si="331"/>
        <v>817.95</v>
      </c>
      <c r="AA1175" s="1144">
        <f t="shared" si="332"/>
        <v>508.4</v>
      </c>
      <c r="AB1175" s="1144">
        <f t="shared" si="333"/>
        <v>0</v>
      </c>
      <c r="AC1175" s="1144">
        <f t="shared" si="334"/>
        <v>0</v>
      </c>
      <c r="AD1175" s="1148">
        <f t="shared" si="326"/>
        <v>508.4</v>
      </c>
      <c r="AE1175" s="1487">
        <v>0</v>
      </c>
      <c r="AF1175" s="1145">
        <f t="shared" si="335"/>
        <v>508.4</v>
      </c>
      <c r="AG1175" s="1149">
        <f>IFERROR(VLOOKUP(CONCATENATE($L1175,$N1175),'Drop List'!$G$23:$K$87,2,FALSE),0)</f>
        <v>0.55000000000000004</v>
      </c>
      <c r="AH1175" s="1150">
        <f>IFERROR(VLOOKUP(CONCATENATE($L1175,$N1175),'Drop List'!$G$23:$K$87,3,FALSE),0)</f>
        <v>0</v>
      </c>
      <c r="AI1175" s="1150">
        <f>IFERROR(VLOOKUP(CONCATENATE($L1175,$N1175),'Drop List'!$G$23:$K$87,4,FALSE),0)</f>
        <v>0</v>
      </c>
      <c r="AJ1175" s="1151">
        <f>IFERROR(VLOOKUP(CONCATENATE($L1175,$N1175),'Drop List'!$G$23:$K$87,5,FALSE),0)</f>
        <v>0.44999999999999996</v>
      </c>
      <c r="AK1175" s="1152">
        <f t="shared" si="336"/>
        <v>279.62</v>
      </c>
      <c r="AL1175" s="1153">
        <f t="shared" si="337"/>
        <v>0</v>
      </c>
      <c r="AM1175" s="1153">
        <f t="shared" si="338"/>
        <v>0</v>
      </c>
      <c r="AN1175" s="1145">
        <f t="shared" si="339"/>
        <v>228.77999999999997</v>
      </c>
      <c r="AO1175" s="1154">
        <f t="shared" si="340"/>
        <v>508.4</v>
      </c>
      <c r="AP1175" s="1147">
        <f t="shared" si="327"/>
        <v>0</v>
      </c>
      <c r="AQ1175" s="1144">
        <f t="shared" si="328"/>
        <v>0</v>
      </c>
      <c r="AR1175" s="1146">
        <f t="shared" si="329"/>
        <v>508.4</v>
      </c>
    </row>
    <row r="1176" spans="1:44" x14ac:dyDescent="0.2">
      <c r="A1176" s="1141" t="str">
        <f t="shared" si="342"/>
        <v>1552</v>
      </c>
      <c r="B1176" s="1141" t="str">
        <f>IFERROR(VLOOKUP(A1176,'LAC 103'!A:C,3,FALSE),"")</f>
        <v>OP</v>
      </c>
      <c r="C1176" s="1478" t="str">
        <f>Info!$B$8</f>
        <v>00100</v>
      </c>
      <c r="D1176" s="1474" t="s">
        <v>256</v>
      </c>
      <c r="E1176" s="1474" t="s">
        <v>95</v>
      </c>
      <c r="F1176" s="1478" t="s">
        <v>412</v>
      </c>
      <c r="G1176" s="1478" t="s">
        <v>412</v>
      </c>
      <c r="H1176" s="1474" t="s">
        <v>1665</v>
      </c>
      <c r="I1176" s="1478" t="s">
        <v>803</v>
      </c>
      <c r="J1176" s="1478"/>
      <c r="K1176" s="1475" t="s">
        <v>851</v>
      </c>
      <c r="L1176" s="1474" t="s">
        <v>584</v>
      </c>
      <c r="M1176" s="1476" t="s">
        <v>1698</v>
      </c>
      <c r="N1176" s="1477" t="s">
        <v>1693</v>
      </c>
      <c r="O1176" s="1479">
        <v>277</v>
      </c>
      <c r="P1176" s="1479"/>
      <c r="Q1176" s="1142">
        <f t="shared" si="325"/>
        <v>277</v>
      </c>
      <c r="R1176" s="1143">
        <f>IFERROR(VLOOKUP(CONCATENATE(E1176,G1176),'LAC 103'!$A$12:$O$95,11,FALSE),0)</f>
        <v>3.207410103388435</v>
      </c>
      <c r="S1176" s="1144">
        <f>IFERROR(VLOOKUP(CONCATENATE($E1176,$G1176),'LAC 103'!$A$12:$O$95,12,FALSE),0)</f>
        <v>3.99</v>
      </c>
      <c r="T1176" s="1144">
        <f>IFERROR(VLOOKUP(CONCATENATE($E1176,$G1176),'LAC 103'!$A$12:$O$95,13,FALSE),0)</f>
        <v>2.48</v>
      </c>
      <c r="U1176" s="1144">
        <f>IFERROR(VLOOKUP(CONCATENATE($E1176,$G1176),'LAC 103'!$A$12:$O$95,14,FALSE),0)</f>
        <v>0</v>
      </c>
      <c r="V1176" s="1144">
        <f>IFERROR(VLOOKUP(CONCATENATE($E1176,$G1176),'LAC 103'!$A$12:$O$95,15,FALSE),0)</f>
        <v>0</v>
      </c>
      <c r="W1176" s="1145" t="str">
        <f>IFERROR(VLOOKUP(CONCATENATE($B1176,$N1176),'LAC 103'!$AI:$AQ,9,FALSE),"")</f>
        <v>Costs</v>
      </c>
      <c r="X1176" s="1146">
        <f t="shared" si="330"/>
        <v>3.207410103388435</v>
      </c>
      <c r="Y1176" s="1143">
        <f t="shared" si="341"/>
        <v>888.45259863859656</v>
      </c>
      <c r="Z1176" s="1147">
        <f t="shared" si="331"/>
        <v>1105.23</v>
      </c>
      <c r="AA1176" s="1144">
        <f t="shared" si="332"/>
        <v>686.96</v>
      </c>
      <c r="AB1176" s="1144">
        <f t="shared" si="333"/>
        <v>0</v>
      </c>
      <c r="AC1176" s="1144">
        <f t="shared" si="334"/>
        <v>0</v>
      </c>
      <c r="AD1176" s="1148">
        <f t="shared" si="326"/>
        <v>888.45259863859656</v>
      </c>
      <c r="AE1176" s="1487">
        <v>0</v>
      </c>
      <c r="AF1176" s="1145">
        <f t="shared" si="335"/>
        <v>888.45259863859656</v>
      </c>
      <c r="AG1176" s="1149">
        <f>IFERROR(VLOOKUP(CONCATENATE($L1176,$N1176),'Drop List'!$G$23:$K$87,2,FALSE),0)</f>
        <v>0.56200000000000006</v>
      </c>
      <c r="AH1176" s="1150">
        <f>IFERROR(VLOOKUP(CONCATENATE($L1176,$N1176),'Drop List'!$G$23:$K$87,3,FALSE),0)</f>
        <v>0</v>
      </c>
      <c r="AI1176" s="1150">
        <f>IFERROR(VLOOKUP(CONCATENATE($L1176,$N1176),'Drop List'!$G$23:$K$87,4,FALSE),0)</f>
        <v>0</v>
      </c>
      <c r="AJ1176" s="1151">
        <f>IFERROR(VLOOKUP(CONCATENATE($L1176,$N1176),'Drop List'!$G$23:$K$87,5,FALSE),0)</f>
        <v>0.43799999999999994</v>
      </c>
      <c r="AK1176" s="1152">
        <f t="shared" si="336"/>
        <v>499.31036043489132</v>
      </c>
      <c r="AL1176" s="1153">
        <f t="shared" si="337"/>
        <v>0</v>
      </c>
      <c r="AM1176" s="1153">
        <f t="shared" si="338"/>
        <v>0</v>
      </c>
      <c r="AN1176" s="1145">
        <f t="shared" si="339"/>
        <v>389.14223820370523</v>
      </c>
      <c r="AO1176" s="1154">
        <f t="shared" si="340"/>
        <v>888.45259863859656</v>
      </c>
      <c r="AP1176" s="1147">
        <f t="shared" si="327"/>
        <v>0</v>
      </c>
      <c r="AQ1176" s="1144">
        <f t="shared" si="328"/>
        <v>0</v>
      </c>
      <c r="AR1176" s="1146">
        <f t="shared" si="329"/>
        <v>888.45259863859656</v>
      </c>
    </row>
    <row r="1177" spans="1:44" x14ac:dyDescent="0.2">
      <c r="A1177" s="1141" t="str">
        <f t="shared" si="342"/>
        <v>1552</v>
      </c>
      <c r="B1177" s="1141" t="str">
        <f>IFERROR(VLOOKUP(A1177,'LAC 103'!A:C,3,FALSE),"")</f>
        <v>OP</v>
      </c>
      <c r="C1177" s="1478" t="str">
        <f>Info!$B$8</f>
        <v>00100</v>
      </c>
      <c r="D1177" s="1474" t="s">
        <v>256</v>
      </c>
      <c r="E1177" s="1474" t="s">
        <v>95</v>
      </c>
      <c r="F1177" s="1478" t="s">
        <v>412</v>
      </c>
      <c r="G1177" s="1478" t="s">
        <v>412</v>
      </c>
      <c r="H1177" s="1474" t="s">
        <v>1057</v>
      </c>
      <c r="I1177" s="1478" t="s">
        <v>798</v>
      </c>
      <c r="J1177" s="1478" t="s">
        <v>123</v>
      </c>
      <c r="K1177" s="1475" t="s">
        <v>847</v>
      </c>
      <c r="L1177" s="1474" t="s">
        <v>582</v>
      </c>
      <c r="M1177" s="1476" t="s">
        <v>1699</v>
      </c>
      <c r="N1177" s="1477" t="s">
        <v>1694</v>
      </c>
      <c r="O1177" s="1479">
        <v>838</v>
      </c>
      <c r="P1177" s="1479"/>
      <c r="Q1177" s="1142">
        <f t="shared" si="325"/>
        <v>838</v>
      </c>
      <c r="R1177" s="1143">
        <f>IFERROR(VLOOKUP(CONCATENATE(E1177,G1177),'LAC 103'!$A$12:$O$95,11,FALSE),0)</f>
        <v>3.207410103388435</v>
      </c>
      <c r="S1177" s="1144">
        <f>IFERROR(VLOOKUP(CONCATENATE($E1177,$G1177),'LAC 103'!$A$12:$O$95,12,FALSE),0)</f>
        <v>3.99</v>
      </c>
      <c r="T1177" s="1144">
        <f>IFERROR(VLOOKUP(CONCATENATE($E1177,$G1177),'LAC 103'!$A$12:$O$95,13,FALSE),0)</f>
        <v>2.48</v>
      </c>
      <c r="U1177" s="1144">
        <f>IFERROR(VLOOKUP(CONCATENATE($E1177,$G1177),'LAC 103'!$A$12:$O$95,14,FALSE),0)</f>
        <v>0</v>
      </c>
      <c r="V1177" s="1144">
        <f>IFERROR(VLOOKUP(CONCATENATE($E1177,$G1177),'LAC 103'!$A$12:$O$95,15,FALSE),0)</f>
        <v>0</v>
      </c>
      <c r="W1177" s="1145" t="str">
        <f>IFERROR(VLOOKUP(CONCATENATE($B1177,$N1177),'LAC 103'!$AI:$AQ,9,FALSE),"")</f>
        <v>Costs</v>
      </c>
      <c r="X1177" s="1146">
        <f t="shared" si="330"/>
        <v>3.207410103388435</v>
      </c>
      <c r="Y1177" s="1143">
        <f t="shared" si="341"/>
        <v>2687.8096666395086</v>
      </c>
      <c r="Z1177" s="1147">
        <f t="shared" si="331"/>
        <v>3343.6200000000003</v>
      </c>
      <c r="AA1177" s="1144">
        <f t="shared" si="332"/>
        <v>2078.2399999999998</v>
      </c>
      <c r="AB1177" s="1144">
        <f t="shared" si="333"/>
        <v>0</v>
      </c>
      <c r="AC1177" s="1144">
        <f t="shared" si="334"/>
        <v>0</v>
      </c>
      <c r="AD1177" s="1148">
        <f t="shared" si="326"/>
        <v>2687.8096666395086</v>
      </c>
      <c r="AE1177" s="1487">
        <v>0</v>
      </c>
      <c r="AF1177" s="1145">
        <f t="shared" si="335"/>
        <v>2687.8096666395086</v>
      </c>
      <c r="AG1177" s="1149">
        <f>IFERROR(VLOOKUP(CONCATENATE($L1177,$N1177),'Drop List'!$G$23:$K$87,2,FALSE),0)</f>
        <v>0.56200000000000006</v>
      </c>
      <c r="AH1177" s="1150">
        <f>IFERROR(VLOOKUP(CONCATENATE($L1177,$N1177),'Drop List'!$G$23:$K$87,3,FALSE),0)</f>
        <v>0.43799999999999994</v>
      </c>
      <c r="AI1177" s="1150">
        <f>IFERROR(VLOOKUP(CONCATENATE($L1177,$N1177),'Drop List'!$G$23:$K$87,4,FALSE),0)</f>
        <v>0</v>
      </c>
      <c r="AJ1177" s="1151">
        <f>IFERROR(VLOOKUP(CONCATENATE($L1177,$N1177),'Drop List'!$G$23:$K$87,5,FALSE),0)</f>
        <v>0</v>
      </c>
      <c r="AK1177" s="1152">
        <f t="shared" si="336"/>
        <v>1510.5490326514039</v>
      </c>
      <c r="AL1177" s="1153">
        <f t="shared" si="337"/>
        <v>1177.2606339881047</v>
      </c>
      <c r="AM1177" s="1153">
        <f t="shared" si="338"/>
        <v>0</v>
      </c>
      <c r="AN1177" s="1145">
        <f t="shared" si="339"/>
        <v>0</v>
      </c>
      <c r="AO1177" s="1154">
        <f t="shared" si="340"/>
        <v>2687.8096666395086</v>
      </c>
      <c r="AP1177" s="1147">
        <f t="shared" si="327"/>
        <v>0</v>
      </c>
      <c r="AQ1177" s="1144">
        <f t="shared" si="328"/>
        <v>0</v>
      </c>
      <c r="AR1177" s="1146">
        <f t="shared" si="329"/>
        <v>2687.8096666395086</v>
      </c>
    </row>
    <row r="1178" spans="1:44" x14ac:dyDescent="0.2">
      <c r="A1178" s="1141" t="str">
        <f t="shared" si="342"/>
        <v>1552</v>
      </c>
      <c r="B1178" s="1141" t="str">
        <f>IFERROR(VLOOKUP(A1178,'LAC 103'!A:C,3,FALSE),"")</f>
        <v>OP</v>
      </c>
      <c r="C1178" s="1478" t="str">
        <f>Info!$B$8</f>
        <v>00100</v>
      </c>
      <c r="D1178" s="1474" t="s">
        <v>256</v>
      </c>
      <c r="E1178" s="1474" t="s">
        <v>95</v>
      </c>
      <c r="F1178" s="1478" t="s">
        <v>412</v>
      </c>
      <c r="G1178" s="1478" t="s">
        <v>412</v>
      </c>
      <c r="H1178" s="1474" t="s">
        <v>1057</v>
      </c>
      <c r="I1178" s="1478" t="s">
        <v>798</v>
      </c>
      <c r="J1178" s="1478"/>
      <c r="K1178" s="1475" t="s">
        <v>847</v>
      </c>
      <c r="L1178" s="1474" t="s">
        <v>582</v>
      </c>
      <c r="M1178" s="1476" t="s">
        <v>840</v>
      </c>
      <c r="N1178" s="1477" t="s">
        <v>1700</v>
      </c>
      <c r="O1178" s="1479">
        <v>105</v>
      </c>
      <c r="P1178" s="1479"/>
      <c r="Q1178" s="1142">
        <f t="shared" si="325"/>
        <v>105</v>
      </c>
      <c r="R1178" s="1143">
        <f>IFERROR(VLOOKUP(CONCATENATE(E1178,G1178),'LAC 103'!$A$12:$O$95,11,FALSE),0)</f>
        <v>3.207410103388435</v>
      </c>
      <c r="S1178" s="1144">
        <f>IFERROR(VLOOKUP(CONCATENATE($E1178,$G1178),'LAC 103'!$A$12:$O$95,12,FALSE),0)</f>
        <v>3.99</v>
      </c>
      <c r="T1178" s="1144">
        <f>IFERROR(VLOOKUP(CONCATENATE($E1178,$G1178),'LAC 103'!$A$12:$O$95,13,FALSE),0)</f>
        <v>2.48</v>
      </c>
      <c r="U1178" s="1144">
        <f>IFERROR(VLOOKUP(CONCATENATE($E1178,$G1178),'LAC 103'!$A$12:$O$95,14,FALSE),0)</f>
        <v>0</v>
      </c>
      <c r="V1178" s="1144">
        <f>IFERROR(VLOOKUP(CONCATENATE($E1178,$G1178),'LAC 103'!$A$12:$O$95,15,FALSE),0)</f>
        <v>0</v>
      </c>
      <c r="W1178" s="1145" t="str">
        <f>IFERROR(VLOOKUP(CONCATENATE($B1178,$N1178),'LAC 103'!$AI:$AQ,9,FALSE),"")</f>
        <v>P.C.</v>
      </c>
      <c r="X1178" s="1146">
        <f t="shared" si="330"/>
        <v>2.48</v>
      </c>
      <c r="Y1178" s="1143">
        <f t="shared" si="341"/>
        <v>336.77806085578567</v>
      </c>
      <c r="Z1178" s="1147">
        <f t="shared" si="331"/>
        <v>418.95000000000005</v>
      </c>
      <c r="AA1178" s="1144">
        <f t="shared" si="332"/>
        <v>260.39999999999998</v>
      </c>
      <c r="AB1178" s="1144">
        <f t="shared" si="333"/>
        <v>0</v>
      </c>
      <c r="AC1178" s="1144">
        <f t="shared" si="334"/>
        <v>0</v>
      </c>
      <c r="AD1178" s="1148">
        <f t="shared" si="326"/>
        <v>260.39999999999998</v>
      </c>
      <c r="AE1178" s="1487">
        <v>0</v>
      </c>
      <c r="AF1178" s="1145">
        <f t="shared" si="335"/>
        <v>260.39999999999998</v>
      </c>
      <c r="AG1178" s="1149">
        <f>IFERROR(VLOOKUP(CONCATENATE($L1178,$N1178),'Drop List'!$G$23:$K$87,2,FALSE),0)</f>
        <v>0.55000000000000004</v>
      </c>
      <c r="AH1178" s="1150">
        <f>IFERROR(VLOOKUP(CONCATENATE($L1178,$N1178),'Drop List'!$G$23:$K$87,3,FALSE),0)</f>
        <v>0.44999999999999996</v>
      </c>
      <c r="AI1178" s="1150">
        <f>IFERROR(VLOOKUP(CONCATENATE($L1178,$N1178),'Drop List'!$G$23:$K$87,4,FALSE),0)</f>
        <v>0</v>
      </c>
      <c r="AJ1178" s="1151">
        <f>IFERROR(VLOOKUP(CONCATENATE($L1178,$N1178),'Drop List'!$G$23:$K$87,5,FALSE),0)</f>
        <v>0</v>
      </c>
      <c r="AK1178" s="1152">
        <f t="shared" si="336"/>
        <v>143.22</v>
      </c>
      <c r="AL1178" s="1153">
        <f t="shared" si="337"/>
        <v>117.17999999999998</v>
      </c>
      <c r="AM1178" s="1153">
        <f t="shared" si="338"/>
        <v>0</v>
      </c>
      <c r="AN1178" s="1145">
        <f t="shared" si="339"/>
        <v>0</v>
      </c>
      <c r="AO1178" s="1154">
        <f t="shared" si="340"/>
        <v>260.39999999999998</v>
      </c>
      <c r="AP1178" s="1147">
        <f t="shared" si="327"/>
        <v>0</v>
      </c>
      <c r="AQ1178" s="1144">
        <f t="shared" si="328"/>
        <v>0</v>
      </c>
      <c r="AR1178" s="1146">
        <f t="shared" si="329"/>
        <v>260.39999999999998</v>
      </c>
    </row>
    <row r="1179" spans="1:44" x14ac:dyDescent="0.2">
      <c r="A1179" s="1141" t="str">
        <f t="shared" si="342"/>
        <v>1552</v>
      </c>
      <c r="B1179" s="1141" t="str">
        <f>IFERROR(VLOOKUP(A1179,'LAC 103'!A:C,3,FALSE),"")</f>
        <v>OP</v>
      </c>
      <c r="C1179" s="1478" t="str">
        <f>Info!$B$8</f>
        <v>00100</v>
      </c>
      <c r="D1179" s="1474" t="s">
        <v>256</v>
      </c>
      <c r="E1179" s="1474" t="s">
        <v>95</v>
      </c>
      <c r="F1179" s="1478" t="s">
        <v>412</v>
      </c>
      <c r="G1179" s="1478" t="s">
        <v>412</v>
      </c>
      <c r="H1179" s="1474" t="s">
        <v>1057</v>
      </c>
      <c r="I1179" s="1478" t="s">
        <v>798</v>
      </c>
      <c r="J1179" s="1478"/>
      <c r="K1179" s="1475" t="s">
        <v>847</v>
      </c>
      <c r="L1179" s="1474" t="s">
        <v>582</v>
      </c>
      <c r="M1179" s="1476" t="s">
        <v>842</v>
      </c>
      <c r="N1179" s="1477" t="s">
        <v>1692</v>
      </c>
      <c r="O1179" s="1479">
        <v>690</v>
      </c>
      <c r="P1179" s="1479"/>
      <c r="Q1179" s="1142">
        <f t="shared" si="325"/>
        <v>690</v>
      </c>
      <c r="R1179" s="1143">
        <f>IFERROR(VLOOKUP(CONCATENATE(E1179,G1179),'LAC 103'!$A$12:$O$95,11,FALSE),0)</f>
        <v>3.207410103388435</v>
      </c>
      <c r="S1179" s="1144">
        <f>IFERROR(VLOOKUP(CONCATENATE($E1179,$G1179),'LAC 103'!$A$12:$O$95,12,FALSE),0)</f>
        <v>3.99</v>
      </c>
      <c r="T1179" s="1144">
        <f>IFERROR(VLOOKUP(CONCATENATE($E1179,$G1179),'LAC 103'!$A$12:$O$95,13,FALSE),0)</f>
        <v>2.48</v>
      </c>
      <c r="U1179" s="1144">
        <f>IFERROR(VLOOKUP(CONCATENATE($E1179,$G1179),'LAC 103'!$A$12:$O$95,14,FALSE),0)</f>
        <v>0</v>
      </c>
      <c r="V1179" s="1144">
        <f>IFERROR(VLOOKUP(CONCATENATE($E1179,$G1179),'LAC 103'!$A$12:$O$95,15,FALSE),0)</f>
        <v>0</v>
      </c>
      <c r="W1179" s="1145" t="str">
        <f>IFERROR(VLOOKUP(CONCATENATE($B1179,$N1179),'LAC 103'!$AI:$AQ,9,FALSE),"")</f>
        <v>Costs</v>
      </c>
      <c r="X1179" s="1146">
        <f t="shared" si="330"/>
        <v>3.207410103388435</v>
      </c>
      <c r="Y1179" s="1143">
        <f t="shared" si="341"/>
        <v>2213.1129713380201</v>
      </c>
      <c r="Z1179" s="1147">
        <f t="shared" si="331"/>
        <v>2753.1000000000004</v>
      </c>
      <c r="AA1179" s="1144">
        <f t="shared" si="332"/>
        <v>1711.2</v>
      </c>
      <c r="AB1179" s="1144">
        <f t="shared" si="333"/>
        <v>0</v>
      </c>
      <c r="AC1179" s="1144">
        <f t="shared" si="334"/>
        <v>0</v>
      </c>
      <c r="AD1179" s="1148">
        <f t="shared" si="326"/>
        <v>2213.1129713380201</v>
      </c>
      <c r="AE1179" s="1487">
        <v>0</v>
      </c>
      <c r="AF1179" s="1145">
        <f t="shared" si="335"/>
        <v>2213.1129713380201</v>
      </c>
      <c r="AG1179" s="1149">
        <f>IFERROR(VLOOKUP(CONCATENATE($L1179,$N1179),'Drop List'!$G$23:$K$87,2,FALSE),0)</f>
        <v>0.56200000000000006</v>
      </c>
      <c r="AH1179" s="1150">
        <f>IFERROR(VLOOKUP(CONCATENATE($L1179,$N1179),'Drop List'!$G$23:$K$87,3,FALSE),0)</f>
        <v>0.43799999999999994</v>
      </c>
      <c r="AI1179" s="1150">
        <f>IFERROR(VLOOKUP(CONCATENATE($L1179,$N1179),'Drop List'!$G$23:$K$87,4,FALSE),0)</f>
        <v>0</v>
      </c>
      <c r="AJ1179" s="1151">
        <f>IFERROR(VLOOKUP(CONCATENATE($L1179,$N1179),'Drop List'!$G$23:$K$87,5,FALSE),0)</f>
        <v>0</v>
      </c>
      <c r="AK1179" s="1152">
        <f t="shared" si="336"/>
        <v>1243.7694898919674</v>
      </c>
      <c r="AL1179" s="1153">
        <f t="shared" si="337"/>
        <v>969.34348144605269</v>
      </c>
      <c r="AM1179" s="1153">
        <f t="shared" si="338"/>
        <v>0</v>
      </c>
      <c r="AN1179" s="1145">
        <f t="shared" si="339"/>
        <v>0</v>
      </c>
      <c r="AO1179" s="1154">
        <f t="shared" si="340"/>
        <v>2213.1129713380201</v>
      </c>
      <c r="AP1179" s="1147">
        <f t="shared" si="327"/>
        <v>0</v>
      </c>
      <c r="AQ1179" s="1144">
        <f t="shared" si="328"/>
        <v>0</v>
      </c>
      <c r="AR1179" s="1146">
        <f t="shared" si="329"/>
        <v>2213.1129713380201</v>
      </c>
    </row>
    <row r="1180" spans="1:44" x14ac:dyDescent="0.2">
      <c r="A1180" s="1141" t="str">
        <f t="shared" si="342"/>
        <v>1552</v>
      </c>
      <c r="B1180" s="1141" t="str">
        <f>IFERROR(VLOOKUP(A1180,'LAC 103'!A:C,3,FALSE),"")</f>
        <v>OP</v>
      </c>
      <c r="C1180" s="1478" t="str">
        <f>Info!$B$8</f>
        <v>00100</v>
      </c>
      <c r="D1180" s="1474" t="s">
        <v>256</v>
      </c>
      <c r="E1180" s="1474" t="s">
        <v>95</v>
      </c>
      <c r="F1180" s="1478" t="s">
        <v>412</v>
      </c>
      <c r="G1180" s="1478" t="s">
        <v>412</v>
      </c>
      <c r="H1180" s="1474" t="s">
        <v>1057</v>
      </c>
      <c r="I1180" s="1478" t="s">
        <v>798</v>
      </c>
      <c r="J1180" s="1478"/>
      <c r="K1180" s="1475" t="s">
        <v>847</v>
      </c>
      <c r="L1180" s="1474" t="s">
        <v>582</v>
      </c>
      <c r="M1180" s="1476" t="s">
        <v>1698</v>
      </c>
      <c r="N1180" s="1477" t="s">
        <v>1693</v>
      </c>
      <c r="O1180" s="1479">
        <v>1028</v>
      </c>
      <c r="P1180" s="1479"/>
      <c r="Q1180" s="1142">
        <f t="shared" si="325"/>
        <v>1028</v>
      </c>
      <c r="R1180" s="1143">
        <f>IFERROR(VLOOKUP(CONCATENATE(E1180,G1180),'LAC 103'!$A$12:$O$95,11,FALSE),0)</f>
        <v>3.207410103388435</v>
      </c>
      <c r="S1180" s="1144">
        <f>IFERROR(VLOOKUP(CONCATENATE($E1180,$G1180),'LAC 103'!$A$12:$O$95,12,FALSE),0)</f>
        <v>3.99</v>
      </c>
      <c r="T1180" s="1144">
        <f>IFERROR(VLOOKUP(CONCATENATE($E1180,$G1180),'LAC 103'!$A$12:$O$95,13,FALSE),0)</f>
        <v>2.48</v>
      </c>
      <c r="U1180" s="1144">
        <f>IFERROR(VLOOKUP(CONCATENATE($E1180,$G1180),'LAC 103'!$A$12:$O$95,14,FALSE),0)</f>
        <v>0</v>
      </c>
      <c r="V1180" s="1144">
        <f>IFERROR(VLOOKUP(CONCATENATE($E1180,$G1180),'LAC 103'!$A$12:$O$95,15,FALSE),0)</f>
        <v>0</v>
      </c>
      <c r="W1180" s="1145" t="str">
        <f>IFERROR(VLOOKUP(CONCATENATE($B1180,$N1180),'LAC 103'!$AI:$AQ,9,FALSE),"")</f>
        <v>Costs</v>
      </c>
      <c r="X1180" s="1146">
        <f t="shared" si="330"/>
        <v>3.207410103388435</v>
      </c>
      <c r="Y1180" s="1143">
        <f t="shared" si="341"/>
        <v>3297.217586283311</v>
      </c>
      <c r="Z1180" s="1147">
        <f t="shared" si="331"/>
        <v>4101.72</v>
      </c>
      <c r="AA1180" s="1144">
        <f t="shared" si="332"/>
        <v>2549.44</v>
      </c>
      <c r="AB1180" s="1144">
        <f t="shared" si="333"/>
        <v>0</v>
      </c>
      <c r="AC1180" s="1144">
        <f t="shared" si="334"/>
        <v>0</v>
      </c>
      <c r="AD1180" s="1148">
        <f t="shared" si="326"/>
        <v>3297.217586283311</v>
      </c>
      <c r="AE1180" s="1487">
        <v>0</v>
      </c>
      <c r="AF1180" s="1145">
        <f t="shared" si="335"/>
        <v>3297.217586283311</v>
      </c>
      <c r="AG1180" s="1149">
        <f>IFERROR(VLOOKUP(CONCATENATE($L1180,$N1180),'Drop List'!$G$23:$K$87,2,FALSE),0)</f>
        <v>0.56200000000000006</v>
      </c>
      <c r="AH1180" s="1150">
        <f>IFERROR(VLOOKUP(CONCATENATE($L1180,$N1180),'Drop List'!$G$23:$K$87,3,FALSE),0)</f>
        <v>0.43799999999999994</v>
      </c>
      <c r="AI1180" s="1150">
        <f>IFERROR(VLOOKUP(CONCATENATE($L1180,$N1180),'Drop List'!$G$23:$K$87,4,FALSE),0)</f>
        <v>0</v>
      </c>
      <c r="AJ1180" s="1151">
        <f>IFERROR(VLOOKUP(CONCATENATE($L1180,$N1180),'Drop List'!$G$23:$K$87,5,FALSE),0)</f>
        <v>0</v>
      </c>
      <c r="AK1180" s="1152">
        <f t="shared" si="336"/>
        <v>1853.036283491221</v>
      </c>
      <c r="AL1180" s="1153">
        <f t="shared" si="337"/>
        <v>1444.18130279209</v>
      </c>
      <c r="AM1180" s="1153">
        <f t="shared" si="338"/>
        <v>0</v>
      </c>
      <c r="AN1180" s="1145">
        <f t="shared" si="339"/>
        <v>0</v>
      </c>
      <c r="AO1180" s="1154">
        <f t="shared" si="340"/>
        <v>3297.217586283311</v>
      </c>
      <c r="AP1180" s="1147">
        <f t="shared" si="327"/>
        <v>0</v>
      </c>
      <c r="AQ1180" s="1144">
        <f t="shared" si="328"/>
        <v>0</v>
      </c>
      <c r="AR1180" s="1146">
        <f t="shared" si="329"/>
        <v>3297.217586283311</v>
      </c>
    </row>
    <row r="1181" spans="1:44" x14ac:dyDescent="0.2">
      <c r="A1181" s="1141" t="str">
        <f t="shared" si="342"/>
        <v>1557</v>
      </c>
      <c r="B1181" s="1141" t="str">
        <f>IFERROR(VLOOKUP(A1181,'LAC 103'!A:C,3,FALSE),"")</f>
        <v>OP</v>
      </c>
      <c r="C1181" s="1478" t="str">
        <f>Info!$B$8</f>
        <v>00100</v>
      </c>
      <c r="D1181" s="1474" t="s">
        <v>256</v>
      </c>
      <c r="E1181" s="1474" t="s">
        <v>95</v>
      </c>
      <c r="F1181" s="1478" t="s">
        <v>422</v>
      </c>
      <c r="G1181" s="1478" t="s">
        <v>422</v>
      </c>
      <c r="H1181" s="1474" t="s">
        <v>988</v>
      </c>
      <c r="I1181" s="1478" t="s">
        <v>811</v>
      </c>
      <c r="J1181" s="1478" t="s">
        <v>123</v>
      </c>
      <c r="K1181" s="1475" t="s">
        <v>1654</v>
      </c>
      <c r="L1181" s="1474" t="s">
        <v>332</v>
      </c>
      <c r="M1181" s="1476" t="s">
        <v>1699</v>
      </c>
      <c r="N1181" s="1477" t="s">
        <v>1694</v>
      </c>
      <c r="O1181" s="1479">
        <v>720</v>
      </c>
      <c r="P1181" s="1479"/>
      <c r="Q1181" s="1142">
        <f t="shared" si="325"/>
        <v>720</v>
      </c>
      <c r="R1181" s="1143">
        <f>IFERROR(VLOOKUP(CONCATENATE(E1181,G1181),'LAC 103'!$A$12:$O$95,11,FALSE),0)</f>
        <v>3.2074101033884359</v>
      </c>
      <c r="S1181" s="1144">
        <f>IFERROR(VLOOKUP(CONCATENATE($E1181,$G1181),'LAC 103'!$A$12:$O$95,12,FALSE),0)</f>
        <v>3.99</v>
      </c>
      <c r="T1181" s="1144">
        <f>IFERROR(VLOOKUP(CONCATENATE($E1181,$G1181),'LAC 103'!$A$12:$O$95,13,FALSE),0)</f>
        <v>2.48</v>
      </c>
      <c r="U1181" s="1144">
        <f>IFERROR(VLOOKUP(CONCATENATE($E1181,$G1181),'LAC 103'!$A$12:$O$95,14,FALSE),0)</f>
        <v>0</v>
      </c>
      <c r="V1181" s="1144">
        <f>IFERROR(VLOOKUP(CONCATENATE($E1181,$G1181),'LAC 103'!$A$12:$O$95,15,FALSE),0)</f>
        <v>0</v>
      </c>
      <c r="W1181" s="1145" t="str">
        <f>IFERROR(VLOOKUP(CONCATENATE($B1181,$N1181),'LAC 103'!$AI:$AQ,9,FALSE),"")</f>
        <v>Costs</v>
      </c>
      <c r="X1181" s="1146">
        <f t="shared" si="330"/>
        <v>3.2074101033884359</v>
      </c>
      <c r="Y1181" s="1143">
        <f t="shared" si="341"/>
        <v>2309.3352744396739</v>
      </c>
      <c r="Z1181" s="1147">
        <f t="shared" si="331"/>
        <v>2872.8</v>
      </c>
      <c r="AA1181" s="1144">
        <f t="shared" si="332"/>
        <v>1785.6</v>
      </c>
      <c r="AB1181" s="1144">
        <f t="shared" si="333"/>
        <v>0</v>
      </c>
      <c r="AC1181" s="1144">
        <f t="shared" si="334"/>
        <v>0</v>
      </c>
      <c r="AD1181" s="1148">
        <f t="shared" si="326"/>
        <v>2309.3352744396739</v>
      </c>
      <c r="AE1181" s="1487">
        <v>0</v>
      </c>
      <c r="AF1181" s="1145">
        <f t="shared" si="335"/>
        <v>2309.3352744396739</v>
      </c>
      <c r="AG1181" s="1149">
        <f>IFERROR(VLOOKUP(CONCATENATE($L1181,$N1181),'Drop List'!$G$23:$K$87,2,FALSE),0)</f>
        <v>0</v>
      </c>
      <c r="AH1181" s="1150">
        <f>IFERROR(VLOOKUP(CONCATENATE($L1181,$N1181),'Drop List'!$G$23:$K$87,3,FALSE),0)</f>
        <v>0</v>
      </c>
      <c r="AI1181" s="1150">
        <f>IFERROR(VLOOKUP(CONCATENATE($L1181,$N1181),'Drop List'!$G$23:$K$87,4,FALSE),0)</f>
        <v>0</v>
      </c>
      <c r="AJ1181" s="1151">
        <f>IFERROR(VLOOKUP(CONCATENATE($L1181,$N1181),'Drop List'!$G$23:$K$87,5,FALSE),0)</f>
        <v>0</v>
      </c>
      <c r="AK1181" s="1152">
        <f t="shared" si="336"/>
        <v>0</v>
      </c>
      <c r="AL1181" s="1153">
        <f t="shared" si="337"/>
        <v>0</v>
      </c>
      <c r="AM1181" s="1153">
        <f t="shared" si="338"/>
        <v>0</v>
      </c>
      <c r="AN1181" s="1145">
        <f t="shared" si="339"/>
        <v>0</v>
      </c>
      <c r="AO1181" s="1154">
        <f t="shared" si="340"/>
        <v>0</v>
      </c>
      <c r="AP1181" s="1147">
        <f t="shared" si="327"/>
        <v>2309.3352744396739</v>
      </c>
      <c r="AQ1181" s="1144">
        <f t="shared" si="328"/>
        <v>0</v>
      </c>
      <c r="AR1181" s="1146">
        <f t="shared" si="329"/>
        <v>2309.3352744396739</v>
      </c>
    </row>
    <row r="1182" spans="1:44" x14ac:dyDescent="0.2">
      <c r="A1182" s="1141" t="str">
        <f t="shared" si="342"/>
        <v>1557</v>
      </c>
      <c r="B1182" s="1141" t="str">
        <f>IFERROR(VLOOKUP(A1182,'LAC 103'!A:C,3,FALSE),"")</f>
        <v>OP</v>
      </c>
      <c r="C1182" s="1478" t="str">
        <f>Info!$B$8</f>
        <v>00100</v>
      </c>
      <c r="D1182" s="1474" t="s">
        <v>256</v>
      </c>
      <c r="E1182" s="1474" t="s">
        <v>95</v>
      </c>
      <c r="F1182" s="1478" t="s">
        <v>422</v>
      </c>
      <c r="G1182" s="1478" t="s">
        <v>422</v>
      </c>
      <c r="H1182" s="1474" t="s">
        <v>988</v>
      </c>
      <c r="I1182" s="1478" t="s">
        <v>811</v>
      </c>
      <c r="J1182" s="1478"/>
      <c r="K1182" s="1475" t="s">
        <v>1654</v>
      </c>
      <c r="L1182" s="1474" t="s">
        <v>332</v>
      </c>
      <c r="M1182" s="1476" t="s">
        <v>1698</v>
      </c>
      <c r="N1182" s="1477" t="s">
        <v>1693</v>
      </c>
      <c r="O1182" s="1479">
        <v>98</v>
      </c>
      <c r="P1182" s="1479"/>
      <c r="Q1182" s="1142">
        <f t="shared" si="325"/>
        <v>98</v>
      </c>
      <c r="R1182" s="1143">
        <f>IFERROR(VLOOKUP(CONCATENATE(E1182,G1182),'LAC 103'!$A$12:$O$95,11,FALSE),0)</f>
        <v>3.2074101033884359</v>
      </c>
      <c r="S1182" s="1144">
        <f>IFERROR(VLOOKUP(CONCATENATE($E1182,$G1182),'LAC 103'!$A$12:$O$95,12,FALSE),0)</f>
        <v>3.99</v>
      </c>
      <c r="T1182" s="1144">
        <f>IFERROR(VLOOKUP(CONCATENATE($E1182,$G1182),'LAC 103'!$A$12:$O$95,13,FALSE),0)</f>
        <v>2.48</v>
      </c>
      <c r="U1182" s="1144">
        <f>IFERROR(VLOOKUP(CONCATENATE($E1182,$G1182),'LAC 103'!$A$12:$O$95,14,FALSE),0)</f>
        <v>0</v>
      </c>
      <c r="V1182" s="1144">
        <f>IFERROR(VLOOKUP(CONCATENATE($E1182,$G1182),'LAC 103'!$A$12:$O$95,15,FALSE),0)</f>
        <v>0</v>
      </c>
      <c r="W1182" s="1145" t="str">
        <f>IFERROR(VLOOKUP(CONCATENATE($B1182,$N1182),'LAC 103'!$AI:$AQ,9,FALSE),"")</f>
        <v>Costs</v>
      </c>
      <c r="X1182" s="1146">
        <f t="shared" si="330"/>
        <v>3.2074101033884359</v>
      </c>
      <c r="Y1182" s="1143">
        <f t="shared" si="341"/>
        <v>314.3261901320667</v>
      </c>
      <c r="Z1182" s="1147">
        <f t="shared" si="331"/>
        <v>391.02000000000004</v>
      </c>
      <c r="AA1182" s="1144">
        <f t="shared" si="332"/>
        <v>243.04</v>
      </c>
      <c r="AB1182" s="1144">
        <f t="shared" si="333"/>
        <v>0</v>
      </c>
      <c r="AC1182" s="1144">
        <f t="shared" si="334"/>
        <v>0</v>
      </c>
      <c r="AD1182" s="1148">
        <f t="shared" si="326"/>
        <v>314.3261901320667</v>
      </c>
      <c r="AE1182" s="1487">
        <v>0</v>
      </c>
      <c r="AF1182" s="1145">
        <f t="shared" si="335"/>
        <v>314.3261901320667</v>
      </c>
      <c r="AG1182" s="1149">
        <f>IFERROR(VLOOKUP(CONCATENATE($L1182,$N1182),'Drop List'!$G$23:$K$87,2,FALSE),0)</f>
        <v>0</v>
      </c>
      <c r="AH1182" s="1150">
        <f>IFERROR(VLOOKUP(CONCATENATE($L1182,$N1182),'Drop List'!$G$23:$K$87,3,FALSE),0)</f>
        <v>0</v>
      </c>
      <c r="AI1182" s="1150">
        <f>IFERROR(VLOOKUP(CONCATENATE($L1182,$N1182),'Drop List'!$G$23:$K$87,4,FALSE),0)</f>
        <v>0</v>
      </c>
      <c r="AJ1182" s="1151">
        <f>IFERROR(VLOOKUP(CONCATENATE($L1182,$N1182),'Drop List'!$G$23:$K$87,5,FALSE),0)</f>
        <v>0</v>
      </c>
      <c r="AK1182" s="1152">
        <f t="shared" si="336"/>
        <v>0</v>
      </c>
      <c r="AL1182" s="1153">
        <f t="shared" si="337"/>
        <v>0</v>
      </c>
      <c r="AM1182" s="1153">
        <f t="shared" si="338"/>
        <v>0</v>
      </c>
      <c r="AN1182" s="1145">
        <f t="shared" si="339"/>
        <v>0</v>
      </c>
      <c r="AO1182" s="1154">
        <f t="shared" si="340"/>
        <v>0</v>
      </c>
      <c r="AP1182" s="1147">
        <f t="shared" si="327"/>
        <v>314.3261901320667</v>
      </c>
      <c r="AQ1182" s="1144">
        <f t="shared" si="328"/>
        <v>0</v>
      </c>
      <c r="AR1182" s="1146">
        <f t="shared" si="329"/>
        <v>314.3261901320667</v>
      </c>
    </row>
    <row r="1183" spans="1:44" x14ac:dyDescent="0.2">
      <c r="A1183" s="1141" t="str">
        <f t="shared" si="342"/>
        <v>1557</v>
      </c>
      <c r="B1183" s="1141" t="str">
        <f>IFERROR(VLOOKUP(A1183,'LAC 103'!A:C,3,FALSE),"")</f>
        <v>OP</v>
      </c>
      <c r="C1183" s="1478" t="str">
        <f>Info!$B$8</f>
        <v>00100</v>
      </c>
      <c r="D1183" s="1474" t="s">
        <v>256</v>
      </c>
      <c r="E1183" s="1474" t="s">
        <v>95</v>
      </c>
      <c r="F1183" s="1478" t="s">
        <v>422</v>
      </c>
      <c r="G1183" s="1478" t="s">
        <v>422</v>
      </c>
      <c r="H1183" s="1474" t="s">
        <v>988</v>
      </c>
      <c r="I1183" s="1478" t="s">
        <v>811</v>
      </c>
      <c r="J1183" s="1478"/>
      <c r="K1183" s="1475" t="s">
        <v>847</v>
      </c>
      <c r="L1183" s="1474" t="s">
        <v>582</v>
      </c>
      <c r="M1183" s="1476" t="s">
        <v>1699</v>
      </c>
      <c r="N1183" s="1477" t="s">
        <v>1694</v>
      </c>
      <c r="O1183" s="1479">
        <v>11841</v>
      </c>
      <c r="P1183" s="1479"/>
      <c r="Q1183" s="1142">
        <f t="shared" si="325"/>
        <v>11841</v>
      </c>
      <c r="R1183" s="1143">
        <f>IFERROR(VLOOKUP(CONCATENATE(E1183,G1183),'LAC 103'!$A$12:$O$95,11,FALSE),0)</f>
        <v>3.2074101033884359</v>
      </c>
      <c r="S1183" s="1144">
        <f>IFERROR(VLOOKUP(CONCATENATE($E1183,$G1183),'LAC 103'!$A$12:$O$95,12,FALSE),0)</f>
        <v>3.99</v>
      </c>
      <c r="T1183" s="1144">
        <f>IFERROR(VLOOKUP(CONCATENATE($E1183,$G1183),'LAC 103'!$A$12:$O$95,13,FALSE),0)</f>
        <v>2.48</v>
      </c>
      <c r="U1183" s="1144">
        <f>IFERROR(VLOOKUP(CONCATENATE($E1183,$G1183),'LAC 103'!$A$12:$O$95,14,FALSE),0)</f>
        <v>0</v>
      </c>
      <c r="V1183" s="1144">
        <f>IFERROR(VLOOKUP(CONCATENATE($E1183,$G1183),'LAC 103'!$A$12:$O$95,15,FALSE),0)</f>
        <v>0</v>
      </c>
      <c r="W1183" s="1145" t="str">
        <f>IFERROR(VLOOKUP(CONCATENATE($B1183,$N1183),'LAC 103'!$AI:$AQ,9,FALSE),"")</f>
        <v>Costs</v>
      </c>
      <c r="X1183" s="1146">
        <f t="shared" si="330"/>
        <v>3.2074101033884359</v>
      </c>
      <c r="Y1183" s="1143">
        <f t="shared" si="341"/>
        <v>37978.943034222466</v>
      </c>
      <c r="Z1183" s="1147">
        <f t="shared" si="331"/>
        <v>47245.590000000004</v>
      </c>
      <c r="AA1183" s="1144">
        <f t="shared" si="332"/>
        <v>29365.68</v>
      </c>
      <c r="AB1183" s="1144">
        <f t="shared" si="333"/>
        <v>0</v>
      </c>
      <c r="AC1183" s="1144">
        <f t="shared" si="334"/>
        <v>0</v>
      </c>
      <c r="AD1183" s="1148">
        <f t="shared" si="326"/>
        <v>37978.943034222466</v>
      </c>
      <c r="AE1183" s="1487">
        <v>0</v>
      </c>
      <c r="AF1183" s="1145">
        <f t="shared" si="335"/>
        <v>37978.943034222466</v>
      </c>
      <c r="AG1183" s="1149">
        <f>IFERROR(VLOOKUP(CONCATENATE($L1183,$N1183),'Drop List'!$G$23:$K$87,2,FALSE),0)</f>
        <v>0.56200000000000006</v>
      </c>
      <c r="AH1183" s="1150">
        <f>IFERROR(VLOOKUP(CONCATENATE($L1183,$N1183),'Drop List'!$G$23:$K$87,3,FALSE),0)</f>
        <v>0.43799999999999994</v>
      </c>
      <c r="AI1183" s="1150">
        <f>IFERROR(VLOOKUP(CONCATENATE($L1183,$N1183),'Drop List'!$G$23:$K$87,4,FALSE),0)</f>
        <v>0</v>
      </c>
      <c r="AJ1183" s="1151">
        <f>IFERROR(VLOOKUP(CONCATENATE($L1183,$N1183),'Drop List'!$G$23:$K$87,5,FALSE),0)</f>
        <v>0</v>
      </c>
      <c r="AK1183" s="1152">
        <f t="shared" si="336"/>
        <v>21344.165985233027</v>
      </c>
      <c r="AL1183" s="1153">
        <f t="shared" si="337"/>
        <v>16634.777048989439</v>
      </c>
      <c r="AM1183" s="1153">
        <f t="shared" si="338"/>
        <v>0</v>
      </c>
      <c r="AN1183" s="1145">
        <f t="shared" si="339"/>
        <v>0</v>
      </c>
      <c r="AO1183" s="1154">
        <f t="shared" si="340"/>
        <v>37978.943034222466</v>
      </c>
      <c r="AP1183" s="1147">
        <f t="shared" si="327"/>
        <v>0</v>
      </c>
      <c r="AQ1183" s="1144">
        <f t="shared" si="328"/>
        <v>0</v>
      </c>
      <c r="AR1183" s="1146">
        <f t="shared" si="329"/>
        <v>37978.943034222466</v>
      </c>
    </row>
    <row r="1184" spans="1:44" x14ac:dyDescent="0.2">
      <c r="A1184" s="1141" t="str">
        <f t="shared" si="342"/>
        <v>1557</v>
      </c>
      <c r="B1184" s="1141" t="str">
        <f>IFERROR(VLOOKUP(A1184,'LAC 103'!A:C,3,FALSE),"")</f>
        <v>OP</v>
      </c>
      <c r="C1184" s="1478" t="str">
        <f>Info!$B$8</f>
        <v>00100</v>
      </c>
      <c r="D1184" s="1474" t="s">
        <v>256</v>
      </c>
      <c r="E1184" s="1474" t="s">
        <v>95</v>
      </c>
      <c r="F1184" s="1478" t="s">
        <v>422</v>
      </c>
      <c r="G1184" s="1478" t="s">
        <v>422</v>
      </c>
      <c r="H1184" s="1474" t="s">
        <v>988</v>
      </c>
      <c r="I1184" s="1478" t="s">
        <v>811</v>
      </c>
      <c r="J1184" s="1478"/>
      <c r="K1184" s="1475" t="s">
        <v>847</v>
      </c>
      <c r="L1184" s="1474" t="s">
        <v>582</v>
      </c>
      <c r="M1184" s="1476" t="s">
        <v>841</v>
      </c>
      <c r="N1184" s="1477" t="s">
        <v>1695</v>
      </c>
      <c r="O1184" s="1479">
        <v>11344</v>
      </c>
      <c r="P1184" s="1479"/>
      <c r="Q1184" s="1142">
        <f t="shared" si="325"/>
        <v>11344</v>
      </c>
      <c r="R1184" s="1143">
        <f>IFERROR(VLOOKUP(CONCATENATE(E1184,G1184),'LAC 103'!$A$12:$O$95,11,FALSE),0)</f>
        <v>3.2074101033884359</v>
      </c>
      <c r="S1184" s="1144">
        <f>IFERROR(VLOOKUP(CONCATENATE($E1184,$G1184),'LAC 103'!$A$12:$O$95,12,FALSE),0)</f>
        <v>3.99</v>
      </c>
      <c r="T1184" s="1144">
        <f>IFERROR(VLOOKUP(CONCATENATE($E1184,$G1184),'LAC 103'!$A$12:$O$95,13,FALSE),0)</f>
        <v>2.48</v>
      </c>
      <c r="U1184" s="1144">
        <f>IFERROR(VLOOKUP(CONCATENATE($E1184,$G1184),'LAC 103'!$A$12:$O$95,14,FALSE),0)</f>
        <v>0</v>
      </c>
      <c r="V1184" s="1144">
        <f>IFERROR(VLOOKUP(CONCATENATE($E1184,$G1184),'LAC 103'!$A$12:$O$95,15,FALSE),0)</f>
        <v>0</v>
      </c>
      <c r="W1184" s="1145" t="str">
        <f>IFERROR(VLOOKUP(CONCATENATE($B1184,$N1184),'LAC 103'!$AI:$AQ,9,FALSE),"")</f>
        <v>Costs</v>
      </c>
      <c r="X1184" s="1146">
        <f t="shared" si="330"/>
        <v>3.2074101033884359</v>
      </c>
      <c r="Y1184" s="1143">
        <f t="shared" si="341"/>
        <v>36384.860212838415</v>
      </c>
      <c r="Z1184" s="1147">
        <f t="shared" si="331"/>
        <v>45262.560000000005</v>
      </c>
      <c r="AA1184" s="1144">
        <f t="shared" si="332"/>
        <v>28133.119999999999</v>
      </c>
      <c r="AB1184" s="1144">
        <f t="shared" si="333"/>
        <v>0</v>
      </c>
      <c r="AC1184" s="1144">
        <f t="shared" si="334"/>
        <v>0</v>
      </c>
      <c r="AD1184" s="1148">
        <f t="shared" si="326"/>
        <v>36384.860212838415</v>
      </c>
      <c r="AE1184" s="1487">
        <v>0</v>
      </c>
      <c r="AF1184" s="1145">
        <f t="shared" si="335"/>
        <v>36384.860212838415</v>
      </c>
      <c r="AG1184" s="1149">
        <f>IFERROR(VLOOKUP(CONCATENATE($L1184,$N1184),'Drop List'!$G$23:$K$87,2,FALSE),0)</f>
        <v>0.55000000000000004</v>
      </c>
      <c r="AH1184" s="1150">
        <f>IFERROR(VLOOKUP(CONCATENATE($L1184,$N1184),'Drop List'!$G$23:$K$87,3,FALSE),0)</f>
        <v>0.44999999999999996</v>
      </c>
      <c r="AI1184" s="1150">
        <f>IFERROR(VLOOKUP(CONCATENATE($L1184,$N1184),'Drop List'!$G$23:$K$87,4,FALSE),0)</f>
        <v>0</v>
      </c>
      <c r="AJ1184" s="1151">
        <f>IFERROR(VLOOKUP(CONCATENATE($L1184,$N1184),'Drop List'!$G$23:$K$87,5,FALSE),0)</f>
        <v>0</v>
      </c>
      <c r="AK1184" s="1152">
        <f t="shared" si="336"/>
        <v>20011.673117061131</v>
      </c>
      <c r="AL1184" s="1153">
        <f t="shared" si="337"/>
        <v>16373.187095777286</v>
      </c>
      <c r="AM1184" s="1153">
        <f t="shared" si="338"/>
        <v>0</v>
      </c>
      <c r="AN1184" s="1145">
        <f t="shared" si="339"/>
        <v>0</v>
      </c>
      <c r="AO1184" s="1154">
        <f t="shared" si="340"/>
        <v>36384.860212838415</v>
      </c>
      <c r="AP1184" s="1147">
        <f t="shared" si="327"/>
        <v>0</v>
      </c>
      <c r="AQ1184" s="1144">
        <f t="shared" si="328"/>
        <v>0</v>
      </c>
      <c r="AR1184" s="1146">
        <f t="shared" si="329"/>
        <v>36384.860212838415</v>
      </c>
    </row>
    <row r="1185" spans="1:44" x14ac:dyDescent="0.2">
      <c r="A1185" s="1141" t="str">
        <f t="shared" si="342"/>
        <v>1557</v>
      </c>
      <c r="B1185" s="1141" t="str">
        <f>IFERROR(VLOOKUP(A1185,'LAC 103'!A:C,3,FALSE),"")</f>
        <v>OP</v>
      </c>
      <c r="C1185" s="1478" t="str">
        <f>Info!$B$8</f>
        <v>00100</v>
      </c>
      <c r="D1185" s="1474" t="s">
        <v>256</v>
      </c>
      <c r="E1185" s="1474" t="s">
        <v>95</v>
      </c>
      <c r="F1185" s="1478" t="s">
        <v>422</v>
      </c>
      <c r="G1185" s="1478" t="s">
        <v>422</v>
      </c>
      <c r="H1185" s="1474" t="s">
        <v>988</v>
      </c>
      <c r="I1185" s="1478" t="s">
        <v>811</v>
      </c>
      <c r="J1185" s="1478"/>
      <c r="K1185" s="1475" t="s">
        <v>847</v>
      </c>
      <c r="L1185" s="1474" t="s">
        <v>582</v>
      </c>
      <c r="M1185" s="1476" t="s">
        <v>840</v>
      </c>
      <c r="N1185" s="1477" t="s">
        <v>1700</v>
      </c>
      <c r="O1185" s="1479">
        <v>12056</v>
      </c>
      <c r="P1185" s="1479"/>
      <c r="Q1185" s="1142">
        <f t="shared" si="325"/>
        <v>12056</v>
      </c>
      <c r="R1185" s="1143">
        <f>IFERROR(VLOOKUP(CONCATENATE(E1185,G1185),'LAC 103'!$A$12:$O$95,11,FALSE),0)</f>
        <v>3.2074101033884359</v>
      </c>
      <c r="S1185" s="1144">
        <f>IFERROR(VLOOKUP(CONCATENATE($E1185,$G1185),'LAC 103'!$A$12:$O$95,12,FALSE),0)</f>
        <v>3.99</v>
      </c>
      <c r="T1185" s="1144">
        <f>IFERROR(VLOOKUP(CONCATENATE($E1185,$G1185),'LAC 103'!$A$12:$O$95,13,FALSE),0)</f>
        <v>2.48</v>
      </c>
      <c r="U1185" s="1144">
        <f>IFERROR(VLOOKUP(CONCATENATE($E1185,$G1185),'LAC 103'!$A$12:$O$95,14,FALSE),0)</f>
        <v>0</v>
      </c>
      <c r="V1185" s="1144">
        <f>IFERROR(VLOOKUP(CONCATENATE($E1185,$G1185),'LAC 103'!$A$12:$O$95,15,FALSE),0)</f>
        <v>0</v>
      </c>
      <c r="W1185" s="1145" t="str">
        <f>IFERROR(VLOOKUP(CONCATENATE($B1185,$N1185),'LAC 103'!$AI:$AQ,9,FALSE),"")</f>
        <v>P.C.</v>
      </c>
      <c r="X1185" s="1146">
        <f t="shared" si="330"/>
        <v>2.48</v>
      </c>
      <c r="Y1185" s="1143">
        <f t="shared" si="341"/>
        <v>38668.536206450983</v>
      </c>
      <c r="Z1185" s="1147">
        <f t="shared" si="331"/>
        <v>48103.44</v>
      </c>
      <c r="AA1185" s="1144">
        <f t="shared" si="332"/>
        <v>29898.880000000001</v>
      </c>
      <c r="AB1185" s="1144">
        <f t="shared" si="333"/>
        <v>0</v>
      </c>
      <c r="AC1185" s="1144">
        <f t="shared" si="334"/>
        <v>0</v>
      </c>
      <c r="AD1185" s="1148">
        <f t="shared" si="326"/>
        <v>29898.880000000001</v>
      </c>
      <c r="AE1185" s="1487">
        <v>0</v>
      </c>
      <c r="AF1185" s="1145">
        <f t="shared" si="335"/>
        <v>29898.880000000001</v>
      </c>
      <c r="AG1185" s="1149">
        <f>IFERROR(VLOOKUP(CONCATENATE($L1185,$N1185),'Drop List'!$G$23:$K$87,2,FALSE),0)</f>
        <v>0.55000000000000004</v>
      </c>
      <c r="AH1185" s="1150">
        <f>IFERROR(VLOOKUP(CONCATENATE($L1185,$N1185),'Drop List'!$G$23:$K$87,3,FALSE),0)</f>
        <v>0.44999999999999996</v>
      </c>
      <c r="AI1185" s="1150">
        <f>IFERROR(VLOOKUP(CONCATENATE($L1185,$N1185),'Drop List'!$G$23:$K$87,4,FALSE),0)</f>
        <v>0</v>
      </c>
      <c r="AJ1185" s="1151">
        <f>IFERROR(VLOOKUP(CONCATENATE($L1185,$N1185),'Drop List'!$G$23:$K$87,5,FALSE),0)</f>
        <v>0</v>
      </c>
      <c r="AK1185" s="1152">
        <f t="shared" si="336"/>
        <v>16444.384000000002</v>
      </c>
      <c r="AL1185" s="1153">
        <f t="shared" si="337"/>
        <v>13454.495999999999</v>
      </c>
      <c r="AM1185" s="1153">
        <f t="shared" si="338"/>
        <v>0</v>
      </c>
      <c r="AN1185" s="1145">
        <f t="shared" si="339"/>
        <v>0</v>
      </c>
      <c r="AO1185" s="1154">
        <f t="shared" si="340"/>
        <v>29898.880000000001</v>
      </c>
      <c r="AP1185" s="1147">
        <f t="shared" si="327"/>
        <v>0</v>
      </c>
      <c r="AQ1185" s="1144">
        <f t="shared" si="328"/>
        <v>0</v>
      </c>
      <c r="AR1185" s="1146">
        <f t="shared" si="329"/>
        <v>29898.880000000001</v>
      </c>
    </row>
    <row r="1186" spans="1:44" x14ac:dyDescent="0.2">
      <c r="A1186" s="1141" t="str">
        <f t="shared" si="342"/>
        <v>1557</v>
      </c>
      <c r="B1186" s="1141" t="str">
        <f>IFERROR(VLOOKUP(A1186,'LAC 103'!A:C,3,FALSE),"")</f>
        <v>OP</v>
      </c>
      <c r="C1186" s="1478" t="str">
        <f>Info!$B$8</f>
        <v>00100</v>
      </c>
      <c r="D1186" s="1474" t="s">
        <v>256</v>
      </c>
      <c r="E1186" s="1474" t="s">
        <v>95</v>
      </c>
      <c r="F1186" s="1478" t="s">
        <v>422</v>
      </c>
      <c r="G1186" s="1478" t="s">
        <v>422</v>
      </c>
      <c r="H1186" s="1474" t="s">
        <v>988</v>
      </c>
      <c r="I1186" s="1478" t="s">
        <v>811</v>
      </c>
      <c r="J1186" s="1478"/>
      <c r="K1186" s="1475" t="s">
        <v>847</v>
      </c>
      <c r="L1186" s="1474" t="s">
        <v>582</v>
      </c>
      <c r="M1186" s="1476" t="s">
        <v>842</v>
      </c>
      <c r="N1186" s="1477" t="s">
        <v>1692</v>
      </c>
      <c r="O1186" s="1479">
        <v>12986</v>
      </c>
      <c r="P1186" s="1479"/>
      <c r="Q1186" s="1142">
        <f t="shared" si="325"/>
        <v>12986</v>
      </c>
      <c r="R1186" s="1143">
        <f>IFERROR(VLOOKUP(CONCATENATE(E1186,G1186),'LAC 103'!$A$12:$O$95,11,FALSE),0)</f>
        <v>3.2074101033884359</v>
      </c>
      <c r="S1186" s="1144">
        <f>IFERROR(VLOOKUP(CONCATENATE($E1186,$G1186),'LAC 103'!$A$12:$O$95,12,FALSE),0)</f>
        <v>3.99</v>
      </c>
      <c r="T1186" s="1144">
        <f>IFERROR(VLOOKUP(CONCATENATE($E1186,$G1186),'LAC 103'!$A$12:$O$95,13,FALSE),0)</f>
        <v>2.48</v>
      </c>
      <c r="U1186" s="1144">
        <f>IFERROR(VLOOKUP(CONCATENATE($E1186,$G1186),'LAC 103'!$A$12:$O$95,14,FALSE),0)</f>
        <v>0</v>
      </c>
      <c r="V1186" s="1144">
        <f>IFERROR(VLOOKUP(CONCATENATE($E1186,$G1186),'LAC 103'!$A$12:$O$95,15,FALSE),0)</f>
        <v>0</v>
      </c>
      <c r="W1186" s="1145" t="str">
        <f>IFERROR(VLOOKUP(CONCATENATE($B1186,$N1186),'LAC 103'!$AI:$AQ,9,FALSE),"")</f>
        <v>Costs</v>
      </c>
      <c r="X1186" s="1146">
        <f t="shared" si="330"/>
        <v>3.2074101033884359</v>
      </c>
      <c r="Y1186" s="1143">
        <f t="shared" si="341"/>
        <v>41651.427602602227</v>
      </c>
      <c r="Z1186" s="1147">
        <f t="shared" si="331"/>
        <v>51814.14</v>
      </c>
      <c r="AA1186" s="1144">
        <f t="shared" si="332"/>
        <v>32205.279999999999</v>
      </c>
      <c r="AB1186" s="1144">
        <f t="shared" si="333"/>
        <v>0</v>
      </c>
      <c r="AC1186" s="1144">
        <f t="shared" si="334"/>
        <v>0</v>
      </c>
      <c r="AD1186" s="1148">
        <f t="shared" si="326"/>
        <v>41651.427602602227</v>
      </c>
      <c r="AE1186" s="1487">
        <v>0</v>
      </c>
      <c r="AF1186" s="1145">
        <f t="shared" si="335"/>
        <v>41651.427602602227</v>
      </c>
      <c r="AG1186" s="1149">
        <f>IFERROR(VLOOKUP(CONCATENATE($L1186,$N1186),'Drop List'!$G$23:$K$87,2,FALSE),0)</f>
        <v>0.56200000000000006</v>
      </c>
      <c r="AH1186" s="1150">
        <f>IFERROR(VLOOKUP(CONCATENATE($L1186,$N1186),'Drop List'!$G$23:$K$87,3,FALSE),0)</f>
        <v>0.43799999999999994</v>
      </c>
      <c r="AI1186" s="1150">
        <f>IFERROR(VLOOKUP(CONCATENATE($L1186,$N1186),'Drop List'!$G$23:$K$87,4,FALSE),0)</f>
        <v>0</v>
      </c>
      <c r="AJ1186" s="1151">
        <f>IFERROR(VLOOKUP(CONCATENATE($L1186,$N1186),'Drop List'!$G$23:$K$87,5,FALSE),0)</f>
        <v>0</v>
      </c>
      <c r="AK1186" s="1152">
        <f t="shared" si="336"/>
        <v>23408.102312662453</v>
      </c>
      <c r="AL1186" s="1153">
        <f t="shared" si="337"/>
        <v>18243.325289939774</v>
      </c>
      <c r="AM1186" s="1153">
        <f t="shared" si="338"/>
        <v>0</v>
      </c>
      <c r="AN1186" s="1145">
        <f t="shared" si="339"/>
        <v>0</v>
      </c>
      <c r="AO1186" s="1154">
        <f t="shared" si="340"/>
        <v>41651.427602602227</v>
      </c>
      <c r="AP1186" s="1147">
        <f t="shared" si="327"/>
        <v>0</v>
      </c>
      <c r="AQ1186" s="1144">
        <f t="shared" si="328"/>
        <v>0</v>
      </c>
      <c r="AR1186" s="1146">
        <f t="shared" si="329"/>
        <v>41651.427602602227</v>
      </c>
    </row>
    <row r="1187" spans="1:44" x14ac:dyDescent="0.2">
      <c r="A1187" s="1141" t="str">
        <f t="shared" si="342"/>
        <v>1557</v>
      </c>
      <c r="B1187" s="1141" t="str">
        <f>IFERROR(VLOOKUP(A1187,'LAC 103'!A:C,3,FALSE),"")</f>
        <v>OP</v>
      </c>
      <c r="C1187" s="1478" t="str">
        <f>Info!$B$8</f>
        <v>00100</v>
      </c>
      <c r="D1187" s="1474" t="s">
        <v>256</v>
      </c>
      <c r="E1187" s="1474" t="s">
        <v>95</v>
      </c>
      <c r="F1187" s="1478" t="s">
        <v>422</v>
      </c>
      <c r="G1187" s="1478" t="s">
        <v>422</v>
      </c>
      <c r="H1187" s="1474" t="s">
        <v>988</v>
      </c>
      <c r="I1187" s="1478" t="s">
        <v>811</v>
      </c>
      <c r="J1187" s="1478"/>
      <c r="K1187" s="1475" t="s">
        <v>847</v>
      </c>
      <c r="L1187" s="1474" t="s">
        <v>582</v>
      </c>
      <c r="M1187" s="1476" t="s">
        <v>1698</v>
      </c>
      <c r="N1187" s="1477" t="s">
        <v>1693</v>
      </c>
      <c r="O1187" s="1479">
        <v>9179</v>
      </c>
      <c r="P1187" s="1479"/>
      <c r="Q1187" s="1142">
        <f t="shared" si="325"/>
        <v>9179</v>
      </c>
      <c r="R1187" s="1143">
        <f>IFERROR(VLOOKUP(CONCATENATE(E1187,G1187),'LAC 103'!$A$12:$O$95,11,FALSE),0)</f>
        <v>3.2074101033884359</v>
      </c>
      <c r="S1187" s="1144">
        <f>IFERROR(VLOOKUP(CONCATENATE($E1187,$G1187),'LAC 103'!$A$12:$O$95,12,FALSE),0)</f>
        <v>3.99</v>
      </c>
      <c r="T1187" s="1144">
        <f>IFERROR(VLOOKUP(CONCATENATE($E1187,$G1187),'LAC 103'!$A$12:$O$95,13,FALSE),0)</f>
        <v>2.48</v>
      </c>
      <c r="U1187" s="1144">
        <f>IFERROR(VLOOKUP(CONCATENATE($E1187,$G1187),'LAC 103'!$A$12:$O$95,14,FALSE),0)</f>
        <v>0</v>
      </c>
      <c r="V1187" s="1144">
        <f>IFERROR(VLOOKUP(CONCATENATE($E1187,$G1187),'LAC 103'!$A$12:$O$95,15,FALSE),0)</f>
        <v>0</v>
      </c>
      <c r="W1187" s="1145" t="str">
        <f>IFERROR(VLOOKUP(CONCATENATE($B1187,$N1187),'LAC 103'!$AI:$AQ,9,FALSE),"")</f>
        <v>Costs</v>
      </c>
      <c r="X1187" s="1146">
        <f t="shared" si="330"/>
        <v>3.2074101033884359</v>
      </c>
      <c r="Y1187" s="1143">
        <f t="shared" si="341"/>
        <v>29440.817339002453</v>
      </c>
      <c r="Z1187" s="1147">
        <f t="shared" si="331"/>
        <v>36624.21</v>
      </c>
      <c r="AA1187" s="1144">
        <f t="shared" si="332"/>
        <v>22763.919999999998</v>
      </c>
      <c r="AB1187" s="1144">
        <f t="shared" si="333"/>
        <v>0</v>
      </c>
      <c r="AC1187" s="1144">
        <f t="shared" si="334"/>
        <v>0</v>
      </c>
      <c r="AD1187" s="1148">
        <f t="shared" si="326"/>
        <v>29440.817339002453</v>
      </c>
      <c r="AE1187" s="1487">
        <v>0</v>
      </c>
      <c r="AF1187" s="1145">
        <f t="shared" si="335"/>
        <v>29440.817339002453</v>
      </c>
      <c r="AG1187" s="1149">
        <f>IFERROR(VLOOKUP(CONCATENATE($L1187,$N1187),'Drop List'!$G$23:$K$87,2,FALSE),0)</f>
        <v>0.56200000000000006</v>
      </c>
      <c r="AH1187" s="1150">
        <f>IFERROR(VLOOKUP(CONCATENATE($L1187,$N1187),'Drop List'!$G$23:$K$87,3,FALSE),0)</f>
        <v>0.43799999999999994</v>
      </c>
      <c r="AI1187" s="1150">
        <f>IFERROR(VLOOKUP(CONCATENATE($L1187,$N1187),'Drop List'!$G$23:$K$87,4,FALSE),0)</f>
        <v>0</v>
      </c>
      <c r="AJ1187" s="1151">
        <f>IFERROR(VLOOKUP(CONCATENATE($L1187,$N1187),'Drop List'!$G$23:$K$87,5,FALSE),0)</f>
        <v>0</v>
      </c>
      <c r="AK1187" s="1152">
        <f t="shared" si="336"/>
        <v>16545.739344519381</v>
      </c>
      <c r="AL1187" s="1153">
        <f t="shared" si="337"/>
        <v>12895.077994483072</v>
      </c>
      <c r="AM1187" s="1153">
        <f t="shared" si="338"/>
        <v>0</v>
      </c>
      <c r="AN1187" s="1145">
        <f t="shared" si="339"/>
        <v>0</v>
      </c>
      <c r="AO1187" s="1154">
        <f t="shared" si="340"/>
        <v>29440.817339002453</v>
      </c>
      <c r="AP1187" s="1147">
        <f t="shared" si="327"/>
        <v>0</v>
      </c>
      <c r="AQ1187" s="1144">
        <f t="shared" si="328"/>
        <v>0</v>
      </c>
      <c r="AR1187" s="1146">
        <f t="shared" si="329"/>
        <v>29440.817339002453</v>
      </c>
    </row>
    <row r="1188" spans="1:44" x14ac:dyDescent="0.2">
      <c r="A1188" s="1141" t="str">
        <f t="shared" si="342"/>
        <v>1557</v>
      </c>
      <c r="B1188" s="1141" t="str">
        <f>IFERROR(VLOOKUP(A1188,'LAC 103'!A:C,3,FALSE),"")</f>
        <v>OP</v>
      </c>
      <c r="C1188" s="1478" t="str">
        <f>Info!$B$8</f>
        <v>00100</v>
      </c>
      <c r="D1188" s="1474" t="s">
        <v>256</v>
      </c>
      <c r="E1188" s="1474" t="s">
        <v>95</v>
      </c>
      <c r="F1188" s="1478" t="s">
        <v>422</v>
      </c>
      <c r="G1188" s="1478" t="s">
        <v>422</v>
      </c>
      <c r="H1188" s="1474" t="s">
        <v>988</v>
      </c>
      <c r="I1188" s="1478" t="s">
        <v>811</v>
      </c>
      <c r="J1188" s="1478"/>
      <c r="K1188" s="1475" t="s">
        <v>848</v>
      </c>
      <c r="L1188" s="1474" t="s">
        <v>45</v>
      </c>
      <c r="M1188" s="1476" t="s">
        <v>1699</v>
      </c>
      <c r="N1188" s="1477" t="s">
        <v>1694</v>
      </c>
      <c r="O1188" s="1479">
        <v>252</v>
      </c>
      <c r="P1188" s="1479"/>
      <c r="Q1188" s="1142">
        <f t="shared" si="325"/>
        <v>252</v>
      </c>
      <c r="R1188" s="1143">
        <f>IFERROR(VLOOKUP(CONCATENATE(E1188,G1188),'LAC 103'!$A$12:$O$95,11,FALSE),0)</f>
        <v>3.2074101033884359</v>
      </c>
      <c r="S1188" s="1144">
        <f>IFERROR(VLOOKUP(CONCATENATE($E1188,$G1188),'LAC 103'!$A$12:$O$95,12,FALSE),0)</f>
        <v>3.99</v>
      </c>
      <c r="T1188" s="1144">
        <f>IFERROR(VLOOKUP(CONCATENATE($E1188,$G1188),'LAC 103'!$A$12:$O$95,13,FALSE),0)</f>
        <v>2.48</v>
      </c>
      <c r="U1188" s="1144">
        <f>IFERROR(VLOOKUP(CONCATENATE($E1188,$G1188),'LAC 103'!$A$12:$O$95,14,FALSE),0)</f>
        <v>0</v>
      </c>
      <c r="V1188" s="1144">
        <f>IFERROR(VLOOKUP(CONCATENATE($E1188,$G1188),'LAC 103'!$A$12:$O$95,15,FALSE),0)</f>
        <v>0</v>
      </c>
      <c r="W1188" s="1145" t="str">
        <f>IFERROR(VLOOKUP(CONCATENATE($B1188,$N1188),'LAC 103'!$AI:$AQ,9,FALSE),"")</f>
        <v>Costs</v>
      </c>
      <c r="X1188" s="1146">
        <f t="shared" si="330"/>
        <v>3.2074101033884359</v>
      </c>
      <c r="Y1188" s="1143">
        <f t="shared" si="341"/>
        <v>808.26734605388583</v>
      </c>
      <c r="Z1188" s="1147">
        <f t="shared" si="331"/>
        <v>1005.48</v>
      </c>
      <c r="AA1188" s="1144">
        <f t="shared" si="332"/>
        <v>624.96</v>
      </c>
      <c r="AB1188" s="1144">
        <f t="shared" si="333"/>
        <v>0</v>
      </c>
      <c r="AC1188" s="1144">
        <f t="shared" si="334"/>
        <v>0</v>
      </c>
      <c r="AD1188" s="1148">
        <f t="shared" si="326"/>
        <v>808.26734605388583</v>
      </c>
      <c r="AE1188" s="1487">
        <v>0</v>
      </c>
      <c r="AF1188" s="1145">
        <f t="shared" si="335"/>
        <v>808.26734605388583</v>
      </c>
      <c r="AG1188" s="1149">
        <f>IFERROR(VLOOKUP(CONCATENATE($L1188,$N1188),'Drop List'!$G$23:$K$87,2,FALSE),0)</f>
        <v>0.69340000000000002</v>
      </c>
      <c r="AH1188" s="1150">
        <f>IFERROR(VLOOKUP(CONCATENATE($L1188,$N1188),'Drop List'!$G$23:$K$87,3,FALSE),0)</f>
        <v>0.30659999999999998</v>
      </c>
      <c r="AI1188" s="1150">
        <f>IFERROR(VLOOKUP(CONCATENATE($L1188,$N1188),'Drop List'!$G$23:$K$87,4,FALSE),0)</f>
        <v>0</v>
      </c>
      <c r="AJ1188" s="1151">
        <f>IFERROR(VLOOKUP(CONCATENATE($L1188,$N1188),'Drop List'!$G$23:$K$87,5,FALSE),0)</f>
        <v>0</v>
      </c>
      <c r="AK1188" s="1152">
        <f t="shared" si="336"/>
        <v>560.45257775376444</v>
      </c>
      <c r="AL1188" s="1153">
        <f t="shared" si="337"/>
        <v>247.81476830012139</v>
      </c>
      <c r="AM1188" s="1153">
        <f t="shared" si="338"/>
        <v>0</v>
      </c>
      <c r="AN1188" s="1145">
        <f t="shared" si="339"/>
        <v>0</v>
      </c>
      <c r="AO1188" s="1154">
        <f t="shared" si="340"/>
        <v>808.26734605388583</v>
      </c>
      <c r="AP1188" s="1147">
        <f t="shared" si="327"/>
        <v>0</v>
      </c>
      <c r="AQ1188" s="1144">
        <f t="shared" si="328"/>
        <v>0</v>
      </c>
      <c r="AR1188" s="1146">
        <f t="shared" si="329"/>
        <v>808.26734605388583</v>
      </c>
    </row>
    <row r="1189" spans="1:44" x14ac:dyDescent="0.2">
      <c r="A1189" s="1141" t="str">
        <f t="shared" si="342"/>
        <v>1557</v>
      </c>
      <c r="B1189" s="1141" t="str">
        <f>IFERROR(VLOOKUP(A1189,'LAC 103'!A:C,3,FALSE),"")</f>
        <v>OP</v>
      </c>
      <c r="C1189" s="1478" t="str">
        <f>Info!$B$8</f>
        <v>00100</v>
      </c>
      <c r="D1189" s="1474" t="s">
        <v>256</v>
      </c>
      <c r="E1189" s="1474" t="s">
        <v>95</v>
      </c>
      <c r="F1189" s="1478" t="s">
        <v>422</v>
      </c>
      <c r="G1189" s="1478" t="s">
        <v>422</v>
      </c>
      <c r="H1189" s="1474" t="s">
        <v>988</v>
      </c>
      <c r="I1189" s="1478" t="s">
        <v>811</v>
      </c>
      <c r="J1189" s="1478"/>
      <c r="K1189" s="1475" t="s">
        <v>848</v>
      </c>
      <c r="L1189" s="1474" t="s">
        <v>45</v>
      </c>
      <c r="M1189" s="1476" t="s">
        <v>841</v>
      </c>
      <c r="N1189" s="1477" t="s">
        <v>1695</v>
      </c>
      <c r="O1189" s="1479">
        <v>305</v>
      </c>
      <c r="P1189" s="1479"/>
      <c r="Q1189" s="1142">
        <f t="shared" si="325"/>
        <v>305</v>
      </c>
      <c r="R1189" s="1143">
        <f>IFERROR(VLOOKUP(CONCATENATE(E1189,G1189),'LAC 103'!$A$12:$O$95,11,FALSE),0)</f>
        <v>3.2074101033884359</v>
      </c>
      <c r="S1189" s="1144">
        <f>IFERROR(VLOOKUP(CONCATENATE($E1189,$G1189),'LAC 103'!$A$12:$O$95,12,FALSE),0)</f>
        <v>3.99</v>
      </c>
      <c r="T1189" s="1144">
        <f>IFERROR(VLOOKUP(CONCATENATE($E1189,$G1189),'LAC 103'!$A$12:$O$95,13,FALSE),0)</f>
        <v>2.48</v>
      </c>
      <c r="U1189" s="1144">
        <f>IFERROR(VLOOKUP(CONCATENATE($E1189,$G1189),'LAC 103'!$A$12:$O$95,14,FALSE),0)</f>
        <v>0</v>
      </c>
      <c r="V1189" s="1144">
        <f>IFERROR(VLOOKUP(CONCATENATE($E1189,$G1189),'LAC 103'!$A$12:$O$95,15,FALSE),0)</f>
        <v>0</v>
      </c>
      <c r="W1189" s="1145" t="str">
        <f>IFERROR(VLOOKUP(CONCATENATE($B1189,$N1189),'LAC 103'!$AI:$AQ,9,FALSE),"")</f>
        <v>Costs</v>
      </c>
      <c r="X1189" s="1146">
        <f t="shared" si="330"/>
        <v>3.2074101033884359</v>
      </c>
      <c r="Y1189" s="1143">
        <f t="shared" si="341"/>
        <v>978.260081533473</v>
      </c>
      <c r="Z1189" s="1147">
        <f t="shared" si="331"/>
        <v>1216.95</v>
      </c>
      <c r="AA1189" s="1144">
        <f t="shared" si="332"/>
        <v>756.4</v>
      </c>
      <c r="AB1189" s="1144">
        <f t="shared" si="333"/>
        <v>0</v>
      </c>
      <c r="AC1189" s="1144">
        <f t="shared" si="334"/>
        <v>0</v>
      </c>
      <c r="AD1189" s="1148">
        <f t="shared" si="326"/>
        <v>978.260081533473</v>
      </c>
      <c r="AE1189" s="1487">
        <v>0</v>
      </c>
      <c r="AF1189" s="1145">
        <f t="shared" si="335"/>
        <v>978.260081533473</v>
      </c>
      <c r="AG1189" s="1149">
        <f>IFERROR(VLOOKUP(CONCATENATE($L1189,$N1189),'Drop List'!$G$23:$K$87,2,FALSE),0)</f>
        <v>0.68500000000000005</v>
      </c>
      <c r="AH1189" s="1150">
        <f>IFERROR(VLOOKUP(CONCATENATE($L1189,$N1189),'Drop List'!$G$23:$K$87,3,FALSE),0)</f>
        <v>0.31499999999999995</v>
      </c>
      <c r="AI1189" s="1150">
        <f>IFERROR(VLOOKUP(CONCATENATE($L1189,$N1189),'Drop List'!$G$23:$K$87,4,FALSE),0)</f>
        <v>0</v>
      </c>
      <c r="AJ1189" s="1151">
        <f>IFERROR(VLOOKUP(CONCATENATE($L1189,$N1189),'Drop List'!$G$23:$K$87,5,FALSE),0)</f>
        <v>0</v>
      </c>
      <c r="AK1189" s="1152">
        <f t="shared" si="336"/>
        <v>670.10815585042906</v>
      </c>
      <c r="AL1189" s="1153">
        <f t="shared" si="337"/>
        <v>308.15192568304394</v>
      </c>
      <c r="AM1189" s="1153">
        <f t="shared" si="338"/>
        <v>0</v>
      </c>
      <c r="AN1189" s="1145">
        <f t="shared" si="339"/>
        <v>0</v>
      </c>
      <c r="AO1189" s="1154">
        <f t="shared" si="340"/>
        <v>978.260081533473</v>
      </c>
      <c r="AP1189" s="1147">
        <f t="shared" si="327"/>
        <v>0</v>
      </c>
      <c r="AQ1189" s="1144">
        <f t="shared" si="328"/>
        <v>0</v>
      </c>
      <c r="AR1189" s="1146">
        <f t="shared" si="329"/>
        <v>978.260081533473</v>
      </c>
    </row>
    <row r="1190" spans="1:44" x14ac:dyDescent="0.2">
      <c r="A1190" s="1141" t="str">
        <f t="shared" si="342"/>
        <v>1557</v>
      </c>
      <c r="B1190" s="1141" t="str">
        <f>IFERROR(VLOOKUP(A1190,'LAC 103'!A:C,3,FALSE),"")</f>
        <v>OP</v>
      </c>
      <c r="C1190" s="1478" t="str">
        <f>Info!$B$8</f>
        <v>00100</v>
      </c>
      <c r="D1190" s="1474" t="s">
        <v>256</v>
      </c>
      <c r="E1190" s="1474" t="s">
        <v>95</v>
      </c>
      <c r="F1190" s="1478" t="s">
        <v>422</v>
      </c>
      <c r="G1190" s="1478" t="s">
        <v>422</v>
      </c>
      <c r="H1190" s="1474" t="s">
        <v>988</v>
      </c>
      <c r="I1190" s="1478" t="s">
        <v>811</v>
      </c>
      <c r="J1190" s="1478"/>
      <c r="K1190" s="1475" t="s">
        <v>848</v>
      </c>
      <c r="L1190" s="1474" t="s">
        <v>45</v>
      </c>
      <c r="M1190" s="1476" t="s">
        <v>840</v>
      </c>
      <c r="N1190" s="1477" t="s">
        <v>1700</v>
      </c>
      <c r="O1190" s="1479">
        <v>880</v>
      </c>
      <c r="P1190" s="1479"/>
      <c r="Q1190" s="1142">
        <f t="shared" si="325"/>
        <v>880</v>
      </c>
      <c r="R1190" s="1143">
        <f>IFERROR(VLOOKUP(CONCATENATE(E1190,G1190),'LAC 103'!$A$12:$O$95,11,FALSE),0)</f>
        <v>3.2074101033884359</v>
      </c>
      <c r="S1190" s="1144">
        <f>IFERROR(VLOOKUP(CONCATENATE($E1190,$G1190),'LAC 103'!$A$12:$O$95,12,FALSE),0)</f>
        <v>3.99</v>
      </c>
      <c r="T1190" s="1144">
        <f>IFERROR(VLOOKUP(CONCATENATE($E1190,$G1190),'LAC 103'!$A$12:$O$95,13,FALSE),0)</f>
        <v>2.48</v>
      </c>
      <c r="U1190" s="1144">
        <f>IFERROR(VLOOKUP(CONCATENATE($E1190,$G1190),'LAC 103'!$A$12:$O$95,14,FALSE),0)</f>
        <v>0</v>
      </c>
      <c r="V1190" s="1144">
        <f>IFERROR(VLOOKUP(CONCATENATE($E1190,$G1190),'LAC 103'!$A$12:$O$95,15,FALSE),0)</f>
        <v>0</v>
      </c>
      <c r="W1190" s="1145" t="str">
        <f>IFERROR(VLOOKUP(CONCATENATE($B1190,$N1190),'LAC 103'!$AI:$AQ,9,FALSE),"")</f>
        <v>P.C.</v>
      </c>
      <c r="X1190" s="1146">
        <f t="shared" si="330"/>
        <v>2.48</v>
      </c>
      <c r="Y1190" s="1143">
        <f t="shared" si="341"/>
        <v>2822.5208909818234</v>
      </c>
      <c r="Z1190" s="1147">
        <f t="shared" si="331"/>
        <v>3511.2000000000003</v>
      </c>
      <c r="AA1190" s="1144">
        <f t="shared" si="332"/>
        <v>2182.4</v>
      </c>
      <c r="AB1190" s="1144">
        <f t="shared" si="333"/>
        <v>0</v>
      </c>
      <c r="AC1190" s="1144">
        <f t="shared" si="334"/>
        <v>0</v>
      </c>
      <c r="AD1190" s="1148">
        <f t="shared" si="326"/>
        <v>2182.4</v>
      </c>
      <c r="AE1190" s="1487">
        <v>0</v>
      </c>
      <c r="AF1190" s="1145">
        <f t="shared" si="335"/>
        <v>2182.4</v>
      </c>
      <c r="AG1190" s="1149">
        <f>IFERROR(VLOOKUP(CONCATENATE($L1190,$N1190),'Drop List'!$G$23:$K$87,2,FALSE),0)</f>
        <v>0.68500000000000005</v>
      </c>
      <c r="AH1190" s="1150">
        <f>IFERROR(VLOOKUP(CONCATENATE($L1190,$N1190),'Drop List'!$G$23:$K$87,3,FALSE),0)</f>
        <v>0.31499999999999995</v>
      </c>
      <c r="AI1190" s="1150">
        <f>IFERROR(VLOOKUP(CONCATENATE($L1190,$N1190),'Drop List'!$G$23:$K$87,4,FALSE),0)</f>
        <v>0</v>
      </c>
      <c r="AJ1190" s="1151">
        <f>IFERROR(VLOOKUP(CONCATENATE($L1190,$N1190),'Drop List'!$G$23:$K$87,5,FALSE),0)</f>
        <v>0</v>
      </c>
      <c r="AK1190" s="1152">
        <f t="shared" si="336"/>
        <v>1494.9440000000002</v>
      </c>
      <c r="AL1190" s="1153">
        <f t="shared" si="337"/>
        <v>687.4559999999999</v>
      </c>
      <c r="AM1190" s="1153">
        <f t="shared" si="338"/>
        <v>0</v>
      </c>
      <c r="AN1190" s="1145">
        <f t="shared" si="339"/>
        <v>0</v>
      </c>
      <c r="AO1190" s="1154">
        <f t="shared" si="340"/>
        <v>2182.4</v>
      </c>
      <c r="AP1190" s="1147">
        <f t="shared" si="327"/>
        <v>0</v>
      </c>
      <c r="AQ1190" s="1144">
        <f t="shared" si="328"/>
        <v>0</v>
      </c>
      <c r="AR1190" s="1146">
        <f t="shared" si="329"/>
        <v>2182.4</v>
      </c>
    </row>
    <row r="1191" spans="1:44" x14ac:dyDescent="0.2">
      <c r="A1191" s="1141" t="str">
        <f t="shared" si="342"/>
        <v>1557</v>
      </c>
      <c r="B1191" s="1141" t="str">
        <f>IFERROR(VLOOKUP(A1191,'LAC 103'!A:C,3,FALSE),"")</f>
        <v>OP</v>
      </c>
      <c r="C1191" s="1478" t="str">
        <f>Info!$B$8</f>
        <v>00100</v>
      </c>
      <c r="D1191" s="1474" t="s">
        <v>256</v>
      </c>
      <c r="E1191" s="1474" t="s">
        <v>95</v>
      </c>
      <c r="F1191" s="1478" t="s">
        <v>422</v>
      </c>
      <c r="G1191" s="1478" t="s">
        <v>422</v>
      </c>
      <c r="H1191" s="1474" t="s">
        <v>988</v>
      </c>
      <c r="I1191" s="1478" t="s">
        <v>811</v>
      </c>
      <c r="J1191" s="1478"/>
      <c r="K1191" s="1475" t="s">
        <v>848</v>
      </c>
      <c r="L1191" s="1474" t="s">
        <v>45</v>
      </c>
      <c r="M1191" s="1476" t="s">
        <v>1698</v>
      </c>
      <c r="N1191" s="1477" t="s">
        <v>1693</v>
      </c>
      <c r="O1191" s="1479">
        <v>57</v>
      </c>
      <c r="P1191" s="1479"/>
      <c r="Q1191" s="1142">
        <f t="shared" si="325"/>
        <v>57</v>
      </c>
      <c r="R1191" s="1143">
        <f>IFERROR(VLOOKUP(CONCATENATE(E1191,G1191),'LAC 103'!$A$12:$O$95,11,FALSE),0)</f>
        <v>3.2074101033884359</v>
      </c>
      <c r="S1191" s="1144">
        <f>IFERROR(VLOOKUP(CONCATENATE($E1191,$G1191),'LAC 103'!$A$12:$O$95,12,FALSE),0)</f>
        <v>3.99</v>
      </c>
      <c r="T1191" s="1144">
        <f>IFERROR(VLOOKUP(CONCATENATE($E1191,$G1191),'LAC 103'!$A$12:$O$95,13,FALSE),0)</f>
        <v>2.48</v>
      </c>
      <c r="U1191" s="1144">
        <f>IFERROR(VLOOKUP(CONCATENATE($E1191,$G1191),'LAC 103'!$A$12:$O$95,14,FALSE),0)</f>
        <v>0</v>
      </c>
      <c r="V1191" s="1144">
        <f>IFERROR(VLOOKUP(CONCATENATE($E1191,$G1191),'LAC 103'!$A$12:$O$95,15,FALSE),0)</f>
        <v>0</v>
      </c>
      <c r="W1191" s="1145" t="str">
        <f>IFERROR(VLOOKUP(CONCATENATE($B1191,$N1191),'LAC 103'!$AI:$AQ,9,FALSE),"")</f>
        <v>Costs</v>
      </c>
      <c r="X1191" s="1146">
        <f t="shared" si="330"/>
        <v>3.2074101033884359</v>
      </c>
      <c r="Y1191" s="1143">
        <f t="shared" si="341"/>
        <v>182.82237589314084</v>
      </c>
      <c r="Z1191" s="1147">
        <f t="shared" si="331"/>
        <v>227.43</v>
      </c>
      <c r="AA1191" s="1144">
        <f t="shared" si="332"/>
        <v>141.35999999999999</v>
      </c>
      <c r="AB1191" s="1144">
        <f t="shared" si="333"/>
        <v>0</v>
      </c>
      <c r="AC1191" s="1144">
        <f t="shared" si="334"/>
        <v>0</v>
      </c>
      <c r="AD1191" s="1148">
        <f t="shared" si="326"/>
        <v>182.82237589314084</v>
      </c>
      <c r="AE1191" s="1487">
        <v>0</v>
      </c>
      <c r="AF1191" s="1145">
        <f t="shared" si="335"/>
        <v>182.82237589314084</v>
      </c>
      <c r="AG1191" s="1149">
        <f>IFERROR(VLOOKUP(CONCATENATE($L1191,$N1191),'Drop List'!$G$23:$K$87,2,FALSE),0)</f>
        <v>0.69340000000000002</v>
      </c>
      <c r="AH1191" s="1150">
        <f>IFERROR(VLOOKUP(CONCATENATE($L1191,$N1191),'Drop List'!$G$23:$K$87,3,FALSE),0)</f>
        <v>0.30659999999999998</v>
      </c>
      <c r="AI1191" s="1150">
        <f>IFERROR(VLOOKUP(CONCATENATE($L1191,$N1191),'Drop List'!$G$23:$K$87,4,FALSE),0)</f>
        <v>0</v>
      </c>
      <c r="AJ1191" s="1151">
        <f>IFERROR(VLOOKUP(CONCATENATE($L1191,$N1191),'Drop List'!$G$23:$K$87,5,FALSE),0)</f>
        <v>0</v>
      </c>
      <c r="AK1191" s="1152">
        <f t="shared" si="336"/>
        <v>126.76903544430387</v>
      </c>
      <c r="AL1191" s="1153">
        <f t="shared" si="337"/>
        <v>56.053340448836977</v>
      </c>
      <c r="AM1191" s="1153">
        <f t="shared" si="338"/>
        <v>0</v>
      </c>
      <c r="AN1191" s="1145">
        <f t="shared" si="339"/>
        <v>0</v>
      </c>
      <c r="AO1191" s="1154">
        <f t="shared" si="340"/>
        <v>182.82237589314084</v>
      </c>
      <c r="AP1191" s="1147">
        <f t="shared" si="327"/>
        <v>0</v>
      </c>
      <c r="AQ1191" s="1144">
        <f t="shared" si="328"/>
        <v>0</v>
      </c>
      <c r="AR1191" s="1146">
        <f t="shared" si="329"/>
        <v>182.82237589314084</v>
      </c>
    </row>
    <row r="1192" spans="1:44" x14ac:dyDescent="0.2">
      <c r="A1192" s="1141" t="str">
        <f t="shared" si="342"/>
        <v>1557</v>
      </c>
      <c r="B1192" s="1141" t="str">
        <f>IFERROR(VLOOKUP(A1192,'LAC 103'!A:C,3,FALSE),"")</f>
        <v>OP</v>
      </c>
      <c r="C1192" s="1478" t="str">
        <f>Info!$B$8</f>
        <v>00100</v>
      </c>
      <c r="D1192" s="1474" t="s">
        <v>256</v>
      </c>
      <c r="E1192" s="1474" t="s">
        <v>95</v>
      </c>
      <c r="F1192" s="1478" t="s">
        <v>422</v>
      </c>
      <c r="G1192" s="1478" t="s">
        <v>422</v>
      </c>
      <c r="H1192" s="1474" t="s">
        <v>988</v>
      </c>
      <c r="I1192" s="1478" t="s">
        <v>811</v>
      </c>
      <c r="J1192" s="1478"/>
      <c r="K1192" s="1475" t="s">
        <v>971</v>
      </c>
      <c r="L1192" s="1474" t="s">
        <v>332</v>
      </c>
      <c r="M1192" s="1476" t="s">
        <v>1699</v>
      </c>
      <c r="N1192" s="1477" t="s">
        <v>1694</v>
      </c>
      <c r="O1192" s="1479">
        <v>670</v>
      </c>
      <c r="P1192" s="1479"/>
      <c r="Q1192" s="1142">
        <f t="shared" si="325"/>
        <v>670</v>
      </c>
      <c r="R1192" s="1143">
        <f>IFERROR(VLOOKUP(CONCATENATE(E1192,G1192),'LAC 103'!$A$12:$O$95,11,FALSE),0)</f>
        <v>3.2074101033884359</v>
      </c>
      <c r="S1192" s="1144">
        <f>IFERROR(VLOOKUP(CONCATENATE($E1192,$G1192),'LAC 103'!$A$12:$O$95,12,FALSE),0)</f>
        <v>3.99</v>
      </c>
      <c r="T1192" s="1144">
        <f>IFERROR(VLOOKUP(CONCATENATE($E1192,$G1192),'LAC 103'!$A$12:$O$95,13,FALSE),0)</f>
        <v>2.48</v>
      </c>
      <c r="U1192" s="1144">
        <f>IFERROR(VLOOKUP(CONCATENATE($E1192,$G1192),'LAC 103'!$A$12:$O$95,14,FALSE),0)</f>
        <v>0</v>
      </c>
      <c r="V1192" s="1144">
        <f>IFERROR(VLOOKUP(CONCATENATE($E1192,$G1192),'LAC 103'!$A$12:$O$95,15,FALSE),0)</f>
        <v>0</v>
      </c>
      <c r="W1192" s="1145" t="str">
        <f>IFERROR(VLOOKUP(CONCATENATE($B1192,$N1192),'LAC 103'!$AI:$AQ,9,FALSE),"")</f>
        <v>Costs</v>
      </c>
      <c r="X1192" s="1146">
        <f t="shared" si="330"/>
        <v>3.2074101033884359</v>
      </c>
      <c r="Y1192" s="1143">
        <f t="shared" si="341"/>
        <v>2148.964769270252</v>
      </c>
      <c r="Z1192" s="1147">
        <f t="shared" si="331"/>
        <v>2673.3</v>
      </c>
      <c r="AA1192" s="1144">
        <f t="shared" si="332"/>
        <v>1661.6</v>
      </c>
      <c r="AB1192" s="1144">
        <f t="shared" si="333"/>
        <v>0</v>
      </c>
      <c r="AC1192" s="1144">
        <f t="shared" si="334"/>
        <v>0</v>
      </c>
      <c r="AD1192" s="1148">
        <f t="shared" si="326"/>
        <v>2148.964769270252</v>
      </c>
      <c r="AE1192" s="1487">
        <v>0</v>
      </c>
      <c r="AF1192" s="1145">
        <f t="shared" si="335"/>
        <v>2148.964769270252</v>
      </c>
      <c r="AG1192" s="1149">
        <f>IFERROR(VLOOKUP(CONCATENATE($L1192,$N1192),'Drop List'!$G$23:$K$87,2,FALSE),0)</f>
        <v>0</v>
      </c>
      <c r="AH1192" s="1150">
        <f>IFERROR(VLOOKUP(CONCATENATE($L1192,$N1192),'Drop List'!$G$23:$K$87,3,FALSE),0)</f>
        <v>0</v>
      </c>
      <c r="AI1192" s="1150">
        <f>IFERROR(VLOOKUP(CONCATENATE($L1192,$N1192),'Drop List'!$G$23:$K$87,4,FALSE),0)</f>
        <v>0</v>
      </c>
      <c r="AJ1192" s="1151">
        <f>IFERROR(VLOOKUP(CONCATENATE($L1192,$N1192),'Drop List'!$G$23:$K$87,5,FALSE),0)</f>
        <v>0</v>
      </c>
      <c r="AK1192" s="1152">
        <f t="shared" si="336"/>
        <v>0</v>
      </c>
      <c r="AL1192" s="1153">
        <f t="shared" si="337"/>
        <v>0</v>
      </c>
      <c r="AM1192" s="1153">
        <f t="shared" si="338"/>
        <v>0</v>
      </c>
      <c r="AN1192" s="1145">
        <f t="shared" si="339"/>
        <v>0</v>
      </c>
      <c r="AO1192" s="1154">
        <f t="shared" si="340"/>
        <v>0</v>
      </c>
      <c r="AP1192" s="1147">
        <f t="shared" si="327"/>
        <v>2148.964769270252</v>
      </c>
      <c r="AQ1192" s="1144">
        <f t="shared" si="328"/>
        <v>0</v>
      </c>
      <c r="AR1192" s="1146">
        <f t="shared" si="329"/>
        <v>2148.964769270252</v>
      </c>
    </row>
    <row r="1193" spans="1:44" x14ac:dyDescent="0.2">
      <c r="A1193" s="1141" t="str">
        <f t="shared" si="342"/>
        <v>1557</v>
      </c>
      <c r="B1193" s="1141" t="str">
        <f>IFERROR(VLOOKUP(A1193,'LAC 103'!A:C,3,FALSE),"")</f>
        <v>OP</v>
      </c>
      <c r="C1193" s="1478" t="str">
        <f>Info!$B$8</f>
        <v>00100</v>
      </c>
      <c r="D1193" s="1474" t="s">
        <v>256</v>
      </c>
      <c r="E1193" s="1474" t="s">
        <v>95</v>
      </c>
      <c r="F1193" s="1478" t="s">
        <v>422</v>
      </c>
      <c r="G1193" s="1478" t="s">
        <v>422</v>
      </c>
      <c r="H1193" s="1474" t="s">
        <v>988</v>
      </c>
      <c r="I1193" s="1478" t="s">
        <v>811</v>
      </c>
      <c r="J1193" s="1478"/>
      <c r="K1193" s="1475" t="s">
        <v>971</v>
      </c>
      <c r="L1193" s="1474" t="s">
        <v>332</v>
      </c>
      <c r="M1193" s="1476" t="s">
        <v>842</v>
      </c>
      <c r="N1193" s="1477" t="s">
        <v>1692</v>
      </c>
      <c r="O1193" s="1479">
        <v>1298</v>
      </c>
      <c r="P1193" s="1479"/>
      <c r="Q1193" s="1142">
        <f t="shared" si="325"/>
        <v>1298</v>
      </c>
      <c r="R1193" s="1143">
        <f>IFERROR(VLOOKUP(CONCATENATE(E1193,G1193),'LAC 103'!$A$12:$O$95,11,FALSE),0)</f>
        <v>3.2074101033884359</v>
      </c>
      <c r="S1193" s="1144">
        <f>IFERROR(VLOOKUP(CONCATENATE($E1193,$G1193),'LAC 103'!$A$12:$O$95,12,FALSE),0)</f>
        <v>3.99</v>
      </c>
      <c r="T1193" s="1144">
        <f>IFERROR(VLOOKUP(CONCATENATE($E1193,$G1193),'LAC 103'!$A$12:$O$95,13,FALSE),0)</f>
        <v>2.48</v>
      </c>
      <c r="U1193" s="1144">
        <f>IFERROR(VLOOKUP(CONCATENATE($E1193,$G1193),'LAC 103'!$A$12:$O$95,14,FALSE),0)</f>
        <v>0</v>
      </c>
      <c r="V1193" s="1144">
        <f>IFERROR(VLOOKUP(CONCATENATE($E1193,$G1193),'LAC 103'!$A$12:$O$95,15,FALSE),0)</f>
        <v>0</v>
      </c>
      <c r="W1193" s="1145" t="str">
        <f>IFERROR(VLOOKUP(CONCATENATE($B1193,$N1193),'LAC 103'!$AI:$AQ,9,FALSE),"")</f>
        <v>Costs</v>
      </c>
      <c r="X1193" s="1146">
        <f t="shared" si="330"/>
        <v>3.2074101033884359</v>
      </c>
      <c r="Y1193" s="1143">
        <f t="shared" si="341"/>
        <v>4163.2183141981895</v>
      </c>
      <c r="Z1193" s="1147">
        <f t="shared" si="331"/>
        <v>5179.0200000000004</v>
      </c>
      <c r="AA1193" s="1144">
        <f t="shared" si="332"/>
        <v>3219.04</v>
      </c>
      <c r="AB1193" s="1144">
        <f t="shared" si="333"/>
        <v>0</v>
      </c>
      <c r="AC1193" s="1144">
        <f t="shared" si="334"/>
        <v>0</v>
      </c>
      <c r="AD1193" s="1148">
        <f t="shared" si="326"/>
        <v>4163.2183141981895</v>
      </c>
      <c r="AE1193" s="1487">
        <v>0</v>
      </c>
      <c r="AF1193" s="1145">
        <f t="shared" si="335"/>
        <v>4163.2183141981895</v>
      </c>
      <c r="AG1193" s="1149">
        <f>IFERROR(VLOOKUP(CONCATENATE($L1193,$N1193),'Drop List'!$G$23:$K$87,2,FALSE),0)</f>
        <v>0</v>
      </c>
      <c r="AH1193" s="1150">
        <f>IFERROR(VLOOKUP(CONCATENATE($L1193,$N1193),'Drop List'!$G$23:$K$87,3,FALSE),0)</f>
        <v>0</v>
      </c>
      <c r="AI1193" s="1150">
        <f>IFERROR(VLOOKUP(CONCATENATE($L1193,$N1193),'Drop List'!$G$23:$K$87,4,FALSE),0)</f>
        <v>0</v>
      </c>
      <c r="AJ1193" s="1151">
        <f>IFERROR(VLOOKUP(CONCATENATE($L1193,$N1193),'Drop List'!$G$23:$K$87,5,FALSE),0)</f>
        <v>0</v>
      </c>
      <c r="AK1193" s="1152">
        <f t="shared" si="336"/>
        <v>0</v>
      </c>
      <c r="AL1193" s="1153">
        <f t="shared" si="337"/>
        <v>0</v>
      </c>
      <c r="AM1193" s="1153">
        <f t="shared" si="338"/>
        <v>0</v>
      </c>
      <c r="AN1193" s="1145">
        <f t="shared" si="339"/>
        <v>0</v>
      </c>
      <c r="AO1193" s="1154">
        <f t="shared" si="340"/>
        <v>0</v>
      </c>
      <c r="AP1193" s="1147">
        <f t="shared" si="327"/>
        <v>4163.2183141981895</v>
      </c>
      <c r="AQ1193" s="1144">
        <f t="shared" si="328"/>
        <v>0</v>
      </c>
      <c r="AR1193" s="1146">
        <f t="shared" si="329"/>
        <v>4163.2183141981895</v>
      </c>
    </row>
    <row r="1194" spans="1:44" x14ac:dyDescent="0.2">
      <c r="A1194" s="1141" t="str">
        <f t="shared" si="342"/>
        <v>1557</v>
      </c>
      <c r="B1194" s="1141" t="str">
        <f>IFERROR(VLOOKUP(A1194,'LAC 103'!A:C,3,FALSE),"")</f>
        <v>OP</v>
      </c>
      <c r="C1194" s="1478" t="str">
        <f>Info!$B$8</f>
        <v>00100</v>
      </c>
      <c r="D1194" s="1474" t="s">
        <v>256</v>
      </c>
      <c r="E1194" s="1474" t="s">
        <v>95</v>
      </c>
      <c r="F1194" s="1478" t="s">
        <v>422</v>
      </c>
      <c r="G1194" s="1478" t="s">
        <v>422</v>
      </c>
      <c r="H1194" s="1474" t="s">
        <v>988</v>
      </c>
      <c r="I1194" s="1478" t="s">
        <v>811</v>
      </c>
      <c r="J1194" s="1478"/>
      <c r="K1194" s="1475" t="s">
        <v>971</v>
      </c>
      <c r="L1194" s="1474" t="s">
        <v>332</v>
      </c>
      <c r="M1194" s="1476" t="s">
        <v>1698</v>
      </c>
      <c r="N1194" s="1477" t="s">
        <v>1693</v>
      </c>
      <c r="O1194" s="1479">
        <v>1101</v>
      </c>
      <c r="P1194" s="1479"/>
      <c r="Q1194" s="1142">
        <f t="shared" si="325"/>
        <v>1101</v>
      </c>
      <c r="R1194" s="1143">
        <f>IFERROR(VLOOKUP(CONCATENATE(E1194,G1194),'LAC 103'!$A$12:$O$95,11,FALSE),0)</f>
        <v>3.2074101033884359</v>
      </c>
      <c r="S1194" s="1144">
        <f>IFERROR(VLOOKUP(CONCATENATE($E1194,$G1194),'LAC 103'!$A$12:$O$95,12,FALSE),0)</f>
        <v>3.99</v>
      </c>
      <c r="T1194" s="1144">
        <f>IFERROR(VLOOKUP(CONCATENATE($E1194,$G1194),'LAC 103'!$A$12:$O$95,13,FALSE),0)</f>
        <v>2.48</v>
      </c>
      <c r="U1194" s="1144">
        <f>IFERROR(VLOOKUP(CONCATENATE($E1194,$G1194),'LAC 103'!$A$12:$O$95,14,FALSE),0)</f>
        <v>0</v>
      </c>
      <c r="V1194" s="1144">
        <f>IFERROR(VLOOKUP(CONCATENATE($E1194,$G1194),'LAC 103'!$A$12:$O$95,15,FALSE),0)</f>
        <v>0</v>
      </c>
      <c r="W1194" s="1145" t="str">
        <f>IFERROR(VLOOKUP(CONCATENATE($B1194,$N1194),'LAC 103'!$AI:$AQ,9,FALSE),"")</f>
        <v>Costs</v>
      </c>
      <c r="X1194" s="1146">
        <f t="shared" si="330"/>
        <v>3.2074101033884359</v>
      </c>
      <c r="Y1194" s="1143">
        <f t="shared" si="341"/>
        <v>3531.3585238306678</v>
      </c>
      <c r="Z1194" s="1147">
        <f t="shared" si="331"/>
        <v>4392.99</v>
      </c>
      <c r="AA1194" s="1144">
        <f t="shared" si="332"/>
        <v>2730.48</v>
      </c>
      <c r="AB1194" s="1144">
        <f t="shared" si="333"/>
        <v>0</v>
      </c>
      <c r="AC1194" s="1144">
        <f t="shared" si="334"/>
        <v>0</v>
      </c>
      <c r="AD1194" s="1148">
        <f t="shared" si="326"/>
        <v>3531.3585238306678</v>
      </c>
      <c r="AE1194" s="1487">
        <v>0</v>
      </c>
      <c r="AF1194" s="1145">
        <f t="shared" si="335"/>
        <v>3531.3585238306678</v>
      </c>
      <c r="AG1194" s="1149">
        <f>IFERROR(VLOOKUP(CONCATENATE($L1194,$N1194),'Drop List'!$G$23:$K$87,2,FALSE),0)</f>
        <v>0</v>
      </c>
      <c r="AH1194" s="1150">
        <f>IFERROR(VLOOKUP(CONCATENATE($L1194,$N1194),'Drop List'!$G$23:$K$87,3,FALSE),0)</f>
        <v>0</v>
      </c>
      <c r="AI1194" s="1150">
        <f>IFERROR(VLOOKUP(CONCATENATE($L1194,$N1194),'Drop List'!$G$23:$K$87,4,FALSE),0)</f>
        <v>0</v>
      </c>
      <c r="AJ1194" s="1151">
        <f>IFERROR(VLOOKUP(CONCATENATE($L1194,$N1194),'Drop List'!$G$23:$K$87,5,FALSE),0)</f>
        <v>0</v>
      </c>
      <c r="AK1194" s="1152">
        <f t="shared" si="336"/>
        <v>0</v>
      </c>
      <c r="AL1194" s="1153">
        <f t="shared" si="337"/>
        <v>0</v>
      </c>
      <c r="AM1194" s="1153">
        <f t="shared" si="338"/>
        <v>0</v>
      </c>
      <c r="AN1194" s="1145">
        <f t="shared" si="339"/>
        <v>0</v>
      </c>
      <c r="AO1194" s="1154">
        <f t="shared" si="340"/>
        <v>0</v>
      </c>
      <c r="AP1194" s="1147">
        <f t="shared" si="327"/>
        <v>3531.3585238306678</v>
      </c>
      <c r="AQ1194" s="1144">
        <f t="shared" si="328"/>
        <v>0</v>
      </c>
      <c r="AR1194" s="1146">
        <f t="shared" si="329"/>
        <v>3531.3585238306678</v>
      </c>
    </row>
    <row r="1195" spans="1:44" x14ac:dyDescent="0.2">
      <c r="A1195" s="1141" t="str">
        <f t="shared" si="342"/>
        <v>1557</v>
      </c>
      <c r="B1195" s="1141" t="str">
        <f>IFERROR(VLOOKUP(A1195,'LAC 103'!A:C,3,FALSE),"")</f>
        <v>OP</v>
      </c>
      <c r="C1195" s="1478" t="str">
        <f>Info!$B$8</f>
        <v>00100</v>
      </c>
      <c r="D1195" s="1474" t="s">
        <v>256</v>
      </c>
      <c r="E1195" s="1474" t="s">
        <v>95</v>
      </c>
      <c r="F1195" s="1478" t="s">
        <v>422</v>
      </c>
      <c r="G1195" s="1478" t="s">
        <v>422</v>
      </c>
      <c r="H1195" s="1474" t="s">
        <v>988</v>
      </c>
      <c r="I1195" s="1478" t="s">
        <v>811</v>
      </c>
      <c r="J1195" s="1478"/>
      <c r="K1195" s="1475" t="s">
        <v>850</v>
      </c>
      <c r="L1195" s="1474" t="s">
        <v>330</v>
      </c>
      <c r="M1195" s="1476" t="s">
        <v>842</v>
      </c>
      <c r="N1195" s="1477" t="s">
        <v>1692</v>
      </c>
      <c r="O1195" s="1479">
        <v>540</v>
      </c>
      <c r="P1195" s="1479"/>
      <c r="Q1195" s="1142">
        <f t="shared" si="325"/>
        <v>540</v>
      </c>
      <c r="R1195" s="1143">
        <f>IFERROR(VLOOKUP(CONCATENATE(E1195,G1195),'LAC 103'!$A$12:$O$95,11,FALSE),0)</f>
        <v>3.2074101033884359</v>
      </c>
      <c r="S1195" s="1144">
        <f>IFERROR(VLOOKUP(CONCATENATE($E1195,$G1195),'LAC 103'!$A$12:$O$95,12,FALSE),0)</f>
        <v>3.99</v>
      </c>
      <c r="T1195" s="1144">
        <f>IFERROR(VLOOKUP(CONCATENATE($E1195,$G1195),'LAC 103'!$A$12:$O$95,13,FALSE),0)</f>
        <v>2.48</v>
      </c>
      <c r="U1195" s="1144">
        <f>IFERROR(VLOOKUP(CONCATENATE($E1195,$G1195),'LAC 103'!$A$12:$O$95,14,FALSE),0)</f>
        <v>0</v>
      </c>
      <c r="V1195" s="1144">
        <f>IFERROR(VLOOKUP(CONCATENATE($E1195,$G1195),'LAC 103'!$A$12:$O$95,15,FALSE),0)</f>
        <v>0</v>
      </c>
      <c r="W1195" s="1145" t="str">
        <f>IFERROR(VLOOKUP(CONCATENATE($B1195,$N1195),'LAC 103'!$AI:$AQ,9,FALSE),"")</f>
        <v>Costs</v>
      </c>
      <c r="X1195" s="1146">
        <f t="shared" si="330"/>
        <v>3.2074101033884359</v>
      </c>
      <c r="Y1195" s="1143">
        <f t="shared" si="341"/>
        <v>1732.0014558297553</v>
      </c>
      <c r="Z1195" s="1147">
        <f t="shared" si="331"/>
        <v>2154.6</v>
      </c>
      <c r="AA1195" s="1144">
        <f t="shared" si="332"/>
        <v>1339.2</v>
      </c>
      <c r="AB1195" s="1144">
        <f t="shared" si="333"/>
        <v>0</v>
      </c>
      <c r="AC1195" s="1144">
        <f t="shared" si="334"/>
        <v>0</v>
      </c>
      <c r="AD1195" s="1148">
        <f t="shared" si="326"/>
        <v>1732.0014558297553</v>
      </c>
      <c r="AE1195" s="1487">
        <v>0</v>
      </c>
      <c r="AF1195" s="1145">
        <f t="shared" si="335"/>
        <v>1732.0014558297553</v>
      </c>
      <c r="AG1195" s="1149">
        <f>IFERROR(VLOOKUP(CONCATENATE($L1195,$N1195),'Drop List'!$G$23:$K$87,2,FALSE),0)</f>
        <v>0</v>
      </c>
      <c r="AH1195" s="1150">
        <f>IFERROR(VLOOKUP(CONCATENATE($L1195,$N1195),'Drop List'!$G$23:$K$87,3,FALSE),0)</f>
        <v>0</v>
      </c>
      <c r="AI1195" s="1150">
        <f>IFERROR(VLOOKUP(CONCATENATE($L1195,$N1195),'Drop List'!$G$23:$K$87,4,FALSE),0)</f>
        <v>1</v>
      </c>
      <c r="AJ1195" s="1151">
        <f>IFERROR(VLOOKUP(CONCATENATE($L1195,$N1195),'Drop List'!$G$23:$K$87,5,FALSE),0)</f>
        <v>0</v>
      </c>
      <c r="AK1195" s="1152">
        <f t="shared" si="336"/>
        <v>0</v>
      </c>
      <c r="AL1195" s="1153">
        <f t="shared" si="337"/>
        <v>0</v>
      </c>
      <c r="AM1195" s="1153">
        <f t="shared" si="338"/>
        <v>1732.0014558297553</v>
      </c>
      <c r="AN1195" s="1145">
        <f t="shared" si="339"/>
        <v>0</v>
      </c>
      <c r="AO1195" s="1154">
        <f t="shared" si="340"/>
        <v>1732.0014558297553</v>
      </c>
      <c r="AP1195" s="1147">
        <f t="shared" si="327"/>
        <v>0</v>
      </c>
      <c r="AQ1195" s="1144">
        <f t="shared" si="328"/>
        <v>0</v>
      </c>
      <c r="AR1195" s="1146">
        <f t="shared" si="329"/>
        <v>1732.0014558297553</v>
      </c>
    </row>
    <row r="1196" spans="1:44" x14ac:dyDescent="0.2">
      <c r="A1196" s="1141" t="str">
        <f t="shared" si="342"/>
        <v>1557</v>
      </c>
      <c r="B1196" s="1141" t="str">
        <f>IFERROR(VLOOKUP(A1196,'LAC 103'!A:C,3,FALSE),"")</f>
        <v>OP</v>
      </c>
      <c r="C1196" s="1478" t="str">
        <f>Info!$B$8</f>
        <v>00100</v>
      </c>
      <c r="D1196" s="1474" t="s">
        <v>256</v>
      </c>
      <c r="E1196" s="1474" t="s">
        <v>95</v>
      </c>
      <c r="F1196" s="1478" t="s">
        <v>422</v>
      </c>
      <c r="G1196" s="1478" t="s">
        <v>422</v>
      </c>
      <c r="H1196" s="1474" t="s">
        <v>988</v>
      </c>
      <c r="I1196" s="1478" t="s">
        <v>811</v>
      </c>
      <c r="J1196" s="1478"/>
      <c r="K1196" s="1475" t="s">
        <v>851</v>
      </c>
      <c r="L1196" s="1474" t="s">
        <v>584</v>
      </c>
      <c r="M1196" s="1476" t="s">
        <v>1699</v>
      </c>
      <c r="N1196" s="1477" t="s">
        <v>1694</v>
      </c>
      <c r="O1196" s="1479">
        <v>243</v>
      </c>
      <c r="P1196" s="1479"/>
      <c r="Q1196" s="1142">
        <f t="shared" si="325"/>
        <v>243</v>
      </c>
      <c r="R1196" s="1143">
        <f>IFERROR(VLOOKUP(CONCATENATE(E1196,G1196),'LAC 103'!$A$12:$O$95,11,FALSE),0)</f>
        <v>3.2074101033884359</v>
      </c>
      <c r="S1196" s="1144">
        <f>IFERROR(VLOOKUP(CONCATENATE($E1196,$G1196),'LAC 103'!$A$12:$O$95,12,FALSE),0)</f>
        <v>3.99</v>
      </c>
      <c r="T1196" s="1144">
        <f>IFERROR(VLOOKUP(CONCATENATE($E1196,$G1196),'LAC 103'!$A$12:$O$95,13,FALSE),0)</f>
        <v>2.48</v>
      </c>
      <c r="U1196" s="1144">
        <f>IFERROR(VLOOKUP(CONCATENATE($E1196,$G1196),'LAC 103'!$A$12:$O$95,14,FALSE),0)</f>
        <v>0</v>
      </c>
      <c r="V1196" s="1144">
        <f>IFERROR(VLOOKUP(CONCATENATE($E1196,$G1196),'LAC 103'!$A$12:$O$95,15,FALSE),0)</f>
        <v>0</v>
      </c>
      <c r="W1196" s="1145" t="str">
        <f>IFERROR(VLOOKUP(CONCATENATE($B1196,$N1196),'LAC 103'!$AI:$AQ,9,FALSE),"")</f>
        <v>Costs</v>
      </c>
      <c r="X1196" s="1146">
        <f t="shared" si="330"/>
        <v>3.2074101033884359</v>
      </c>
      <c r="Y1196" s="1143">
        <f t="shared" si="341"/>
        <v>779.40065512338992</v>
      </c>
      <c r="Z1196" s="1147">
        <f t="shared" si="331"/>
        <v>969.57</v>
      </c>
      <c r="AA1196" s="1144">
        <f t="shared" si="332"/>
        <v>602.64</v>
      </c>
      <c r="AB1196" s="1144">
        <f t="shared" si="333"/>
        <v>0</v>
      </c>
      <c r="AC1196" s="1144">
        <f t="shared" si="334"/>
        <v>0</v>
      </c>
      <c r="AD1196" s="1148">
        <f t="shared" si="326"/>
        <v>779.40065512338992</v>
      </c>
      <c r="AE1196" s="1487">
        <v>0</v>
      </c>
      <c r="AF1196" s="1145">
        <f t="shared" si="335"/>
        <v>779.40065512338992</v>
      </c>
      <c r="AG1196" s="1149">
        <f>IFERROR(VLOOKUP(CONCATENATE($L1196,$N1196),'Drop List'!$G$23:$K$87,2,FALSE),0)</f>
        <v>0.56200000000000006</v>
      </c>
      <c r="AH1196" s="1150">
        <f>IFERROR(VLOOKUP(CONCATENATE($L1196,$N1196),'Drop List'!$G$23:$K$87,3,FALSE),0)</f>
        <v>0</v>
      </c>
      <c r="AI1196" s="1150">
        <f>IFERROR(VLOOKUP(CONCATENATE($L1196,$N1196),'Drop List'!$G$23:$K$87,4,FALSE),0)</f>
        <v>0</v>
      </c>
      <c r="AJ1196" s="1151">
        <f>IFERROR(VLOOKUP(CONCATENATE($L1196,$N1196),'Drop List'!$G$23:$K$87,5,FALSE),0)</f>
        <v>0.43799999999999994</v>
      </c>
      <c r="AK1196" s="1152">
        <f t="shared" si="336"/>
        <v>438.02316817934519</v>
      </c>
      <c r="AL1196" s="1153">
        <f t="shared" si="337"/>
        <v>0</v>
      </c>
      <c r="AM1196" s="1153">
        <f t="shared" si="338"/>
        <v>0</v>
      </c>
      <c r="AN1196" s="1145">
        <f t="shared" si="339"/>
        <v>341.37748694404473</v>
      </c>
      <c r="AO1196" s="1154">
        <f t="shared" si="340"/>
        <v>779.40065512338992</v>
      </c>
      <c r="AP1196" s="1147">
        <f t="shared" si="327"/>
        <v>0</v>
      </c>
      <c r="AQ1196" s="1144">
        <f t="shared" si="328"/>
        <v>0</v>
      </c>
      <c r="AR1196" s="1146">
        <f t="shared" si="329"/>
        <v>779.40065512338992</v>
      </c>
    </row>
    <row r="1197" spans="1:44" x14ac:dyDescent="0.2">
      <c r="A1197" s="1141" t="str">
        <f t="shared" si="342"/>
        <v>1557</v>
      </c>
      <c r="B1197" s="1141" t="str">
        <f>IFERROR(VLOOKUP(A1197,'LAC 103'!A:C,3,FALSE),"")</f>
        <v>OP</v>
      </c>
      <c r="C1197" s="1478" t="str">
        <f>Info!$B$8</f>
        <v>00100</v>
      </c>
      <c r="D1197" s="1474" t="s">
        <v>256</v>
      </c>
      <c r="E1197" s="1474" t="s">
        <v>95</v>
      </c>
      <c r="F1197" s="1478" t="s">
        <v>422</v>
      </c>
      <c r="G1197" s="1478" t="s">
        <v>422</v>
      </c>
      <c r="H1197" s="1474" t="s">
        <v>988</v>
      </c>
      <c r="I1197" s="1478" t="s">
        <v>811</v>
      </c>
      <c r="J1197" s="1478"/>
      <c r="K1197" s="1475" t="s">
        <v>851</v>
      </c>
      <c r="L1197" s="1474" t="s">
        <v>584</v>
      </c>
      <c r="M1197" s="1476" t="s">
        <v>842</v>
      </c>
      <c r="N1197" s="1477" t="s">
        <v>1692</v>
      </c>
      <c r="O1197" s="1479">
        <v>530</v>
      </c>
      <c r="P1197" s="1479"/>
      <c r="Q1197" s="1142">
        <f t="shared" si="325"/>
        <v>530</v>
      </c>
      <c r="R1197" s="1143">
        <f>IFERROR(VLOOKUP(CONCATENATE(E1197,G1197),'LAC 103'!$A$12:$O$95,11,FALSE),0)</f>
        <v>3.2074101033884359</v>
      </c>
      <c r="S1197" s="1144">
        <f>IFERROR(VLOOKUP(CONCATENATE($E1197,$G1197),'LAC 103'!$A$12:$O$95,12,FALSE),0)</f>
        <v>3.99</v>
      </c>
      <c r="T1197" s="1144">
        <f>IFERROR(VLOOKUP(CONCATENATE($E1197,$G1197),'LAC 103'!$A$12:$O$95,13,FALSE),0)</f>
        <v>2.48</v>
      </c>
      <c r="U1197" s="1144">
        <f>IFERROR(VLOOKUP(CONCATENATE($E1197,$G1197),'LAC 103'!$A$12:$O$95,14,FALSE),0)</f>
        <v>0</v>
      </c>
      <c r="V1197" s="1144">
        <f>IFERROR(VLOOKUP(CONCATENATE($E1197,$G1197),'LAC 103'!$A$12:$O$95,15,FALSE),0)</f>
        <v>0</v>
      </c>
      <c r="W1197" s="1145" t="str">
        <f>IFERROR(VLOOKUP(CONCATENATE($B1197,$N1197),'LAC 103'!$AI:$AQ,9,FALSE),"")</f>
        <v>Costs</v>
      </c>
      <c r="X1197" s="1146">
        <f t="shared" si="330"/>
        <v>3.2074101033884359</v>
      </c>
      <c r="Y1197" s="1143">
        <f t="shared" si="341"/>
        <v>1699.927354795871</v>
      </c>
      <c r="Z1197" s="1147">
        <f t="shared" si="331"/>
        <v>2114.7000000000003</v>
      </c>
      <c r="AA1197" s="1144">
        <f t="shared" si="332"/>
        <v>1314.4</v>
      </c>
      <c r="AB1197" s="1144">
        <f t="shared" si="333"/>
        <v>0</v>
      </c>
      <c r="AC1197" s="1144">
        <f t="shared" si="334"/>
        <v>0</v>
      </c>
      <c r="AD1197" s="1148">
        <f t="shared" si="326"/>
        <v>1699.927354795871</v>
      </c>
      <c r="AE1197" s="1487">
        <v>0</v>
      </c>
      <c r="AF1197" s="1145">
        <f t="shared" si="335"/>
        <v>1699.927354795871</v>
      </c>
      <c r="AG1197" s="1149">
        <f>IFERROR(VLOOKUP(CONCATENATE($L1197,$N1197),'Drop List'!$G$23:$K$87,2,FALSE),0)</f>
        <v>0.56200000000000006</v>
      </c>
      <c r="AH1197" s="1150">
        <f>IFERROR(VLOOKUP(CONCATENATE($L1197,$N1197),'Drop List'!$G$23:$K$87,3,FALSE),0)</f>
        <v>0</v>
      </c>
      <c r="AI1197" s="1150">
        <f>IFERROR(VLOOKUP(CONCATENATE($L1197,$N1197),'Drop List'!$G$23:$K$87,4,FALSE),0)</f>
        <v>0</v>
      </c>
      <c r="AJ1197" s="1151">
        <f>IFERROR(VLOOKUP(CONCATENATE($L1197,$N1197),'Drop List'!$G$23:$K$87,5,FALSE),0)</f>
        <v>0.43799999999999994</v>
      </c>
      <c r="AK1197" s="1152">
        <f t="shared" si="336"/>
        <v>955.35917339527964</v>
      </c>
      <c r="AL1197" s="1153">
        <f t="shared" si="337"/>
        <v>0</v>
      </c>
      <c r="AM1197" s="1153">
        <f t="shared" si="338"/>
        <v>0</v>
      </c>
      <c r="AN1197" s="1145">
        <f t="shared" si="339"/>
        <v>744.56818140059136</v>
      </c>
      <c r="AO1197" s="1154">
        <f t="shared" si="340"/>
        <v>1699.927354795871</v>
      </c>
      <c r="AP1197" s="1147">
        <f t="shared" si="327"/>
        <v>0</v>
      </c>
      <c r="AQ1197" s="1144">
        <f t="shared" si="328"/>
        <v>0</v>
      </c>
      <c r="AR1197" s="1146">
        <f t="shared" si="329"/>
        <v>1699.927354795871</v>
      </c>
    </row>
    <row r="1198" spans="1:44" x14ac:dyDescent="0.2">
      <c r="A1198" s="1141" t="str">
        <f t="shared" si="342"/>
        <v>1557</v>
      </c>
      <c r="B1198" s="1141" t="str">
        <f>IFERROR(VLOOKUP(A1198,'LAC 103'!A:C,3,FALSE),"")</f>
        <v>OP</v>
      </c>
      <c r="C1198" s="1478" t="str">
        <f>Info!$B$8</f>
        <v>00100</v>
      </c>
      <c r="D1198" s="1474" t="s">
        <v>256</v>
      </c>
      <c r="E1198" s="1474" t="s">
        <v>95</v>
      </c>
      <c r="F1198" s="1478" t="s">
        <v>422</v>
      </c>
      <c r="G1198" s="1478" t="s">
        <v>422</v>
      </c>
      <c r="H1198" s="1474" t="s">
        <v>988</v>
      </c>
      <c r="I1198" s="1478" t="s">
        <v>811</v>
      </c>
      <c r="J1198" s="1478"/>
      <c r="K1198" s="1475" t="s">
        <v>851</v>
      </c>
      <c r="L1198" s="1474" t="s">
        <v>584</v>
      </c>
      <c r="M1198" s="1476" t="s">
        <v>1698</v>
      </c>
      <c r="N1198" s="1477" t="s">
        <v>1693</v>
      </c>
      <c r="O1198" s="1479">
        <v>593</v>
      </c>
      <c r="P1198" s="1479"/>
      <c r="Q1198" s="1142">
        <f t="shared" si="325"/>
        <v>593</v>
      </c>
      <c r="R1198" s="1143">
        <f>IFERROR(VLOOKUP(CONCATENATE(E1198,G1198),'LAC 103'!$A$12:$O$95,11,FALSE),0)</f>
        <v>3.2074101033884359</v>
      </c>
      <c r="S1198" s="1144">
        <f>IFERROR(VLOOKUP(CONCATENATE($E1198,$G1198),'LAC 103'!$A$12:$O$95,12,FALSE),0)</f>
        <v>3.99</v>
      </c>
      <c r="T1198" s="1144">
        <f>IFERROR(VLOOKUP(CONCATENATE($E1198,$G1198),'LAC 103'!$A$12:$O$95,13,FALSE),0)</f>
        <v>2.48</v>
      </c>
      <c r="U1198" s="1144">
        <f>IFERROR(VLOOKUP(CONCATENATE($E1198,$G1198),'LAC 103'!$A$12:$O$95,14,FALSE),0)</f>
        <v>0</v>
      </c>
      <c r="V1198" s="1144">
        <f>IFERROR(VLOOKUP(CONCATENATE($E1198,$G1198),'LAC 103'!$A$12:$O$95,15,FALSE),0)</f>
        <v>0</v>
      </c>
      <c r="W1198" s="1145" t="str">
        <f>IFERROR(VLOOKUP(CONCATENATE($B1198,$N1198),'LAC 103'!$AI:$AQ,9,FALSE),"")</f>
        <v>Costs</v>
      </c>
      <c r="X1198" s="1146">
        <f t="shared" si="330"/>
        <v>3.2074101033884359</v>
      </c>
      <c r="Y1198" s="1143">
        <f t="shared" si="341"/>
        <v>1901.9941913093426</v>
      </c>
      <c r="Z1198" s="1147">
        <f t="shared" si="331"/>
        <v>2366.0700000000002</v>
      </c>
      <c r="AA1198" s="1144">
        <f t="shared" si="332"/>
        <v>1470.64</v>
      </c>
      <c r="AB1198" s="1144">
        <f t="shared" si="333"/>
        <v>0</v>
      </c>
      <c r="AC1198" s="1144">
        <f t="shared" si="334"/>
        <v>0</v>
      </c>
      <c r="AD1198" s="1148">
        <f t="shared" si="326"/>
        <v>1901.9941913093426</v>
      </c>
      <c r="AE1198" s="1487">
        <v>0</v>
      </c>
      <c r="AF1198" s="1145">
        <f t="shared" si="335"/>
        <v>1901.9941913093426</v>
      </c>
      <c r="AG1198" s="1149">
        <f>IFERROR(VLOOKUP(CONCATENATE($L1198,$N1198),'Drop List'!$G$23:$K$87,2,FALSE),0)</f>
        <v>0.56200000000000006</v>
      </c>
      <c r="AH1198" s="1150">
        <f>IFERROR(VLOOKUP(CONCATENATE($L1198,$N1198),'Drop List'!$G$23:$K$87,3,FALSE),0)</f>
        <v>0</v>
      </c>
      <c r="AI1198" s="1150">
        <f>IFERROR(VLOOKUP(CONCATENATE($L1198,$N1198),'Drop List'!$G$23:$K$87,4,FALSE),0)</f>
        <v>0</v>
      </c>
      <c r="AJ1198" s="1151">
        <f>IFERROR(VLOOKUP(CONCATENATE($L1198,$N1198),'Drop List'!$G$23:$K$87,5,FALSE),0)</f>
        <v>0.43799999999999994</v>
      </c>
      <c r="AK1198" s="1152">
        <f t="shared" si="336"/>
        <v>1068.9207355158505</v>
      </c>
      <c r="AL1198" s="1153">
        <f t="shared" si="337"/>
        <v>0</v>
      </c>
      <c r="AM1198" s="1153">
        <f t="shared" si="338"/>
        <v>0</v>
      </c>
      <c r="AN1198" s="1145">
        <f t="shared" si="339"/>
        <v>833.07345579349192</v>
      </c>
      <c r="AO1198" s="1154">
        <f t="shared" si="340"/>
        <v>1901.9941913093426</v>
      </c>
      <c r="AP1198" s="1147">
        <f t="shared" si="327"/>
        <v>0</v>
      </c>
      <c r="AQ1198" s="1144">
        <f t="shared" si="328"/>
        <v>0</v>
      </c>
      <c r="AR1198" s="1146">
        <f t="shared" si="329"/>
        <v>1901.9941913093426</v>
      </c>
    </row>
    <row r="1199" spans="1:44" x14ac:dyDescent="0.2">
      <c r="A1199" s="1141" t="str">
        <f t="shared" si="342"/>
        <v>1557</v>
      </c>
      <c r="B1199" s="1141" t="str">
        <f>IFERROR(VLOOKUP(A1199,'LAC 103'!A:C,3,FALSE),"")</f>
        <v>OP</v>
      </c>
      <c r="C1199" s="1478" t="str">
        <f>Info!$B$8</f>
        <v>00100</v>
      </c>
      <c r="D1199" s="1474" t="s">
        <v>256</v>
      </c>
      <c r="E1199" s="1474" t="s">
        <v>95</v>
      </c>
      <c r="F1199" s="1478" t="s">
        <v>422</v>
      </c>
      <c r="G1199" s="1478" t="s">
        <v>422</v>
      </c>
      <c r="H1199" s="1474" t="s">
        <v>1057</v>
      </c>
      <c r="I1199" s="1478" t="s">
        <v>798</v>
      </c>
      <c r="J1199" s="1478" t="s">
        <v>123</v>
      </c>
      <c r="K1199" s="1475" t="s">
        <v>1654</v>
      </c>
      <c r="L1199" s="1474" t="s">
        <v>332</v>
      </c>
      <c r="M1199" s="1476" t="s">
        <v>840</v>
      </c>
      <c r="N1199" s="1477" t="s">
        <v>1700</v>
      </c>
      <c r="O1199" s="1479">
        <v>100</v>
      </c>
      <c r="P1199" s="1479"/>
      <c r="Q1199" s="1142">
        <f t="shared" si="325"/>
        <v>100</v>
      </c>
      <c r="R1199" s="1143">
        <f>IFERROR(VLOOKUP(CONCATENATE(E1199,G1199),'LAC 103'!$A$12:$O$95,11,FALSE),0)</f>
        <v>3.2074101033884359</v>
      </c>
      <c r="S1199" s="1144">
        <f>IFERROR(VLOOKUP(CONCATENATE($E1199,$G1199),'LAC 103'!$A$12:$O$95,12,FALSE),0)</f>
        <v>3.99</v>
      </c>
      <c r="T1199" s="1144">
        <f>IFERROR(VLOOKUP(CONCATENATE($E1199,$G1199),'LAC 103'!$A$12:$O$95,13,FALSE),0)</f>
        <v>2.48</v>
      </c>
      <c r="U1199" s="1144">
        <f>IFERROR(VLOOKUP(CONCATENATE($E1199,$G1199),'LAC 103'!$A$12:$O$95,14,FALSE),0)</f>
        <v>0</v>
      </c>
      <c r="V1199" s="1144">
        <f>IFERROR(VLOOKUP(CONCATENATE($E1199,$G1199),'LAC 103'!$A$12:$O$95,15,FALSE),0)</f>
        <v>0</v>
      </c>
      <c r="W1199" s="1145" t="str">
        <f>IFERROR(VLOOKUP(CONCATENATE($B1199,$N1199),'LAC 103'!$AI:$AQ,9,FALSE),"")</f>
        <v>P.C.</v>
      </c>
      <c r="X1199" s="1146">
        <f t="shared" si="330"/>
        <v>2.48</v>
      </c>
      <c r="Y1199" s="1143">
        <f t="shared" si="341"/>
        <v>320.74101033884358</v>
      </c>
      <c r="Z1199" s="1147">
        <f t="shared" si="331"/>
        <v>399</v>
      </c>
      <c r="AA1199" s="1144">
        <f t="shared" si="332"/>
        <v>248</v>
      </c>
      <c r="AB1199" s="1144">
        <f t="shared" si="333"/>
        <v>0</v>
      </c>
      <c r="AC1199" s="1144">
        <f t="shared" si="334"/>
        <v>0</v>
      </c>
      <c r="AD1199" s="1148">
        <f t="shared" si="326"/>
        <v>248</v>
      </c>
      <c r="AE1199" s="1487">
        <v>0</v>
      </c>
      <c r="AF1199" s="1145">
        <f t="shared" si="335"/>
        <v>248</v>
      </c>
      <c r="AG1199" s="1149">
        <f>IFERROR(VLOOKUP(CONCATENATE($L1199,$N1199),'Drop List'!$G$23:$K$87,2,FALSE),0)</f>
        <v>0</v>
      </c>
      <c r="AH1199" s="1150">
        <f>IFERROR(VLOOKUP(CONCATENATE($L1199,$N1199),'Drop List'!$G$23:$K$87,3,FALSE),0)</f>
        <v>0</v>
      </c>
      <c r="AI1199" s="1150">
        <f>IFERROR(VLOOKUP(CONCATENATE($L1199,$N1199),'Drop List'!$G$23:$K$87,4,FALSE),0)</f>
        <v>0</v>
      </c>
      <c r="AJ1199" s="1151">
        <f>IFERROR(VLOOKUP(CONCATENATE($L1199,$N1199),'Drop List'!$G$23:$K$87,5,FALSE),0)</f>
        <v>0</v>
      </c>
      <c r="AK1199" s="1152">
        <f t="shared" si="336"/>
        <v>0</v>
      </c>
      <c r="AL1199" s="1153">
        <f t="shared" si="337"/>
        <v>0</v>
      </c>
      <c r="AM1199" s="1153">
        <f t="shared" si="338"/>
        <v>0</v>
      </c>
      <c r="AN1199" s="1145">
        <f t="shared" si="339"/>
        <v>0</v>
      </c>
      <c r="AO1199" s="1154">
        <f t="shared" si="340"/>
        <v>0</v>
      </c>
      <c r="AP1199" s="1147">
        <f t="shared" si="327"/>
        <v>248</v>
      </c>
      <c r="AQ1199" s="1144">
        <f t="shared" si="328"/>
        <v>0</v>
      </c>
      <c r="AR1199" s="1146">
        <f t="shared" si="329"/>
        <v>248</v>
      </c>
    </row>
    <row r="1200" spans="1:44" x14ac:dyDescent="0.2">
      <c r="A1200" s="1141" t="str">
        <f t="shared" si="342"/>
        <v>1557</v>
      </c>
      <c r="B1200" s="1141" t="str">
        <f>IFERROR(VLOOKUP(A1200,'LAC 103'!A:C,3,FALSE),"")</f>
        <v>OP</v>
      </c>
      <c r="C1200" s="1478" t="str">
        <f>Info!$B$8</f>
        <v>00100</v>
      </c>
      <c r="D1200" s="1474" t="s">
        <v>256</v>
      </c>
      <c r="E1200" s="1474" t="s">
        <v>95</v>
      </c>
      <c r="F1200" s="1478" t="s">
        <v>422</v>
      </c>
      <c r="G1200" s="1478" t="s">
        <v>422</v>
      </c>
      <c r="H1200" s="1474" t="s">
        <v>1057</v>
      </c>
      <c r="I1200" s="1478" t="s">
        <v>798</v>
      </c>
      <c r="J1200" s="1478"/>
      <c r="K1200" s="1475" t="s">
        <v>1654</v>
      </c>
      <c r="L1200" s="1474" t="s">
        <v>332</v>
      </c>
      <c r="M1200" s="1476" t="s">
        <v>842</v>
      </c>
      <c r="N1200" s="1477" t="s">
        <v>1692</v>
      </c>
      <c r="O1200" s="1479">
        <v>382</v>
      </c>
      <c r="P1200" s="1479"/>
      <c r="Q1200" s="1142">
        <f t="shared" si="325"/>
        <v>382</v>
      </c>
      <c r="R1200" s="1143">
        <f>IFERROR(VLOOKUP(CONCATENATE(E1200,G1200),'LAC 103'!$A$12:$O$95,11,FALSE),0)</f>
        <v>3.2074101033884359</v>
      </c>
      <c r="S1200" s="1144">
        <f>IFERROR(VLOOKUP(CONCATENATE($E1200,$G1200),'LAC 103'!$A$12:$O$95,12,FALSE),0)</f>
        <v>3.99</v>
      </c>
      <c r="T1200" s="1144">
        <f>IFERROR(VLOOKUP(CONCATENATE($E1200,$G1200),'LAC 103'!$A$12:$O$95,13,FALSE),0)</f>
        <v>2.48</v>
      </c>
      <c r="U1200" s="1144">
        <f>IFERROR(VLOOKUP(CONCATENATE($E1200,$G1200),'LAC 103'!$A$12:$O$95,14,FALSE),0)</f>
        <v>0</v>
      </c>
      <c r="V1200" s="1144">
        <f>IFERROR(VLOOKUP(CONCATENATE($E1200,$G1200),'LAC 103'!$A$12:$O$95,15,FALSE),0)</f>
        <v>0</v>
      </c>
      <c r="W1200" s="1145" t="str">
        <f>IFERROR(VLOOKUP(CONCATENATE($B1200,$N1200),'LAC 103'!$AI:$AQ,9,FALSE),"")</f>
        <v>Costs</v>
      </c>
      <c r="X1200" s="1146">
        <f t="shared" si="330"/>
        <v>3.2074101033884359</v>
      </c>
      <c r="Y1200" s="1143">
        <f t="shared" si="341"/>
        <v>1225.2306594943825</v>
      </c>
      <c r="Z1200" s="1147">
        <f t="shared" si="331"/>
        <v>1524.18</v>
      </c>
      <c r="AA1200" s="1144">
        <f t="shared" si="332"/>
        <v>947.36</v>
      </c>
      <c r="AB1200" s="1144">
        <f t="shared" si="333"/>
        <v>0</v>
      </c>
      <c r="AC1200" s="1144">
        <f t="shared" si="334"/>
        <v>0</v>
      </c>
      <c r="AD1200" s="1148">
        <f t="shared" si="326"/>
        <v>1225.2306594943825</v>
      </c>
      <c r="AE1200" s="1487">
        <v>0</v>
      </c>
      <c r="AF1200" s="1145">
        <f t="shared" si="335"/>
        <v>1225.2306594943825</v>
      </c>
      <c r="AG1200" s="1149">
        <f>IFERROR(VLOOKUP(CONCATENATE($L1200,$N1200),'Drop List'!$G$23:$K$87,2,FALSE),0)</f>
        <v>0</v>
      </c>
      <c r="AH1200" s="1150">
        <f>IFERROR(VLOOKUP(CONCATENATE($L1200,$N1200),'Drop List'!$G$23:$K$87,3,FALSE),0)</f>
        <v>0</v>
      </c>
      <c r="AI1200" s="1150">
        <f>IFERROR(VLOOKUP(CONCATENATE($L1200,$N1200),'Drop List'!$G$23:$K$87,4,FALSE),0)</f>
        <v>0</v>
      </c>
      <c r="AJ1200" s="1151">
        <f>IFERROR(VLOOKUP(CONCATENATE($L1200,$N1200),'Drop List'!$G$23:$K$87,5,FALSE),0)</f>
        <v>0</v>
      </c>
      <c r="AK1200" s="1152">
        <f t="shared" si="336"/>
        <v>0</v>
      </c>
      <c r="AL1200" s="1153">
        <f t="shared" si="337"/>
        <v>0</v>
      </c>
      <c r="AM1200" s="1153">
        <f t="shared" si="338"/>
        <v>0</v>
      </c>
      <c r="AN1200" s="1145">
        <f t="shared" si="339"/>
        <v>0</v>
      </c>
      <c r="AO1200" s="1154">
        <f t="shared" si="340"/>
        <v>0</v>
      </c>
      <c r="AP1200" s="1147">
        <f t="shared" si="327"/>
        <v>1225.2306594943825</v>
      </c>
      <c r="AQ1200" s="1144">
        <f t="shared" si="328"/>
        <v>0</v>
      </c>
      <c r="AR1200" s="1146">
        <f t="shared" si="329"/>
        <v>1225.2306594943825</v>
      </c>
    </row>
    <row r="1201" spans="1:44" x14ac:dyDescent="0.2">
      <c r="A1201" s="1141" t="str">
        <f t="shared" si="342"/>
        <v>1557</v>
      </c>
      <c r="B1201" s="1141" t="str">
        <f>IFERROR(VLOOKUP(A1201,'LAC 103'!A:C,3,FALSE),"")</f>
        <v>OP</v>
      </c>
      <c r="C1201" s="1478" t="str">
        <f>Info!$B$8</f>
        <v>00100</v>
      </c>
      <c r="D1201" s="1474" t="s">
        <v>256</v>
      </c>
      <c r="E1201" s="1474" t="s">
        <v>95</v>
      </c>
      <c r="F1201" s="1478" t="s">
        <v>422</v>
      </c>
      <c r="G1201" s="1478" t="s">
        <v>422</v>
      </c>
      <c r="H1201" s="1474" t="s">
        <v>1057</v>
      </c>
      <c r="I1201" s="1478" t="s">
        <v>798</v>
      </c>
      <c r="J1201" s="1478"/>
      <c r="K1201" s="1475" t="s">
        <v>847</v>
      </c>
      <c r="L1201" s="1474" t="s">
        <v>582</v>
      </c>
      <c r="M1201" s="1476" t="s">
        <v>1699</v>
      </c>
      <c r="N1201" s="1477" t="s">
        <v>1694</v>
      </c>
      <c r="O1201" s="1479">
        <v>56462</v>
      </c>
      <c r="P1201" s="1479"/>
      <c r="Q1201" s="1142">
        <f t="shared" si="325"/>
        <v>56462</v>
      </c>
      <c r="R1201" s="1143">
        <f>IFERROR(VLOOKUP(CONCATENATE(E1201,G1201),'LAC 103'!$A$12:$O$95,11,FALSE),0)</f>
        <v>3.2074101033884359</v>
      </c>
      <c r="S1201" s="1144">
        <f>IFERROR(VLOOKUP(CONCATENATE($E1201,$G1201),'LAC 103'!$A$12:$O$95,12,FALSE),0)</f>
        <v>3.99</v>
      </c>
      <c r="T1201" s="1144">
        <f>IFERROR(VLOOKUP(CONCATENATE($E1201,$G1201),'LAC 103'!$A$12:$O$95,13,FALSE),0)</f>
        <v>2.48</v>
      </c>
      <c r="U1201" s="1144">
        <f>IFERROR(VLOOKUP(CONCATENATE($E1201,$G1201),'LAC 103'!$A$12:$O$95,14,FALSE),0)</f>
        <v>0</v>
      </c>
      <c r="V1201" s="1144">
        <f>IFERROR(VLOOKUP(CONCATENATE($E1201,$G1201),'LAC 103'!$A$12:$O$95,15,FALSE),0)</f>
        <v>0</v>
      </c>
      <c r="W1201" s="1145" t="str">
        <f>IFERROR(VLOOKUP(CONCATENATE($B1201,$N1201),'LAC 103'!$AI:$AQ,9,FALSE),"")</f>
        <v>Costs</v>
      </c>
      <c r="X1201" s="1146">
        <f t="shared" si="330"/>
        <v>3.2074101033884359</v>
      </c>
      <c r="Y1201" s="1143">
        <f t="shared" si="341"/>
        <v>181096.78925751787</v>
      </c>
      <c r="Z1201" s="1147">
        <f t="shared" si="331"/>
        <v>225283.38</v>
      </c>
      <c r="AA1201" s="1144">
        <f t="shared" si="332"/>
        <v>140025.76</v>
      </c>
      <c r="AB1201" s="1144">
        <f t="shared" si="333"/>
        <v>0</v>
      </c>
      <c r="AC1201" s="1144">
        <f t="shared" si="334"/>
        <v>0</v>
      </c>
      <c r="AD1201" s="1148">
        <f t="shared" si="326"/>
        <v>181096.78925751787</v>
      </c>
      <c r="AE1201" s="1487">
        <v>0</v>
      </c>
      <c r="AF1201" s="1145">
        <f t="shared" si="335"/>
        <v>181096.78925751787</v>
      </c>
      <c r="AG1201" s="1149">
        <f>IFERROR(VLOOKUP(CONCATENATE($L1201,$N1201),'Drop List'!$G$23:$K$87,2,FALSE),0)</f>
        <v>0.56200000000000006</v>
      </c>
      <c r="AH1201" s="1150">
        <f>IFERROR(VLOOKUP(CONCATENATE($L1201,$N1201),'Drop List'!$G$23:$K$87,3,FALSE),0)</f>
        <v>0.43799999999999994</v>
      </c>
      <c r="AI1201" s="1150">
        <f>IFERROR(VLOOKUP(CONCATENATE($L1201,$N1201),'Drop List'!$G$23:$K$87,4,FALSE),0)</f>
        <v>0</v>
      </c>
      <c r="AJ1201" s="1151">
        <f>IFERROR(VLOOKUP(CONCATENATE($L1201,$N1201),'Drop List'!$G$23:$K$87,5,FALSE),0)</f>
        <v>0</v>
      </c>
      <c r="AK1201" s="1152">
        <f t="shared" si="336"/>
        <v>101776.39556272505</v>
      </c>
      <c r="AL1201" s="1153">
        <f t="shared" si="337"/>
        <v>79320.393694792816</v>
      </c>
      <c r="AM1201" s="1153">
        <f t="shared" si="338"/>
        <v>0</v>
      </c>
      <c r="AN1201" s="1145">
        <f t="shared" si="339"/>
        <v>0</v>
      </c>
      <c r="AO1201" s="1154">
        <f t="shared" si="340"/>
        <v>181096.78925751787</v>
      </c>
      <c r="AP1201" s="1147">
        <f t="shared" si="327"/>
        <v>0</v>
      </c>
      <c r="AQ1201" s="1144">
        <f t="shared" si="328"/>
        <v>0</v>
      </c>
      <c r="AR1201" s="1146">
        <f t="shared" si="329"/>
        <v>181096.78925751787</v>
      </c>
    </row>
    <row r="1202" spans="1:44" x14ac:dyDescent="0.2">
      <c r="A1202" s="1141" t="str">
        <f t="shared" si="342"/>
        <v>1557</v>
      </c>
      <c r="B1202" s="1141" t="str">
        <f>IFERROR(VLOOKUP(A1202,'LAC 103'!A:C,3,FALSE),"")</f>
        <v>OP</v>
      </c>
      <c r="C1202" s="1478" t="str">
        <f>Info!$B$8</f>
        <v>00100</v>
      </c>
      <c r="D1202" s="1474" t="s">
        <v>256</v>
      </c>
      <c r="E1202" s="1474" t="s">
        <v>95</v>
      </c>
      <c r="F1202" s="1478" t="s">
        <v>422</v>
      </c>
      <c r="G1202" s="1478" t="s">
        <v>422</v>
      </c>
      <c r="H1202" s="1474" t="s">
        <v>1057</v>
      </c>
      <c r="I1202" s="1478" t="s">
        <v>798</v>
      </c>
      <c r="J1202" s="1478"/>
      <c r="K1202" s="1475" t="s">
        <v>847</v>
      </c>
      <c r="L1202" s="1474" t="s">
        <v>582</v>
      </c>
      <c r="M1202" s="1476" t="s">
        <v>841</v>
      </c>
      <c r="N1202" s="1477" t="s">
        <v>1695</v>
      </c>
      <c r="O1202" s="1479">
        <v>25945</v>
      </c>
      <c r="P1202" s="1479"/>
      <c r="Q1202" s="1142">
        <f t="shared" si="325"/>
        <v>25945</v>
      </c>
      <c r="R1202" s="1143">
        <f>IFERROR(VLOOKUP(CONCATENATE(E1202,G1202),'LAC 103'!$A$12:$O$95,11,FALSE),0)</f>
        <v>3.2074101033884359</v>
      </c>
      <c r="S1202" s="1144">
        <f>IFERROR(VLOOKUP(CONCATENATE($E1202,$G1202),'LAC 103'!$A$12:$O$95,12,FALSE),0)</f>
        <v>3.99</v>
      </c>
      <c r="T1202" s="1144">
        <f>IFERROR(VLOOKUP(CONCATENATE($E1202,$G1202),'LAC 103'!$A$12:$O$95,13,FALSE),0)</f>
        <v>2.48</v>
      </c>
      <c r="U1202" s="1144">
        <f>IFERROR(VLOOKUP(CONCATENATE($E1202,$G1202),'LAC 103'!$A$12:$O$95,14,FALSE),0)</f>
        <v>0</v>
      </c>
      <c r="V1202" s="1144">
        <f>IFERROR(VLOOKUP(CONCATENATE($E1202,$G1202),'LAC 103'!$A$12:$O$95,15,FALSE),0)</f>
        <v>0</v>
      </c>
      <c r="W1202" s="1145" t="str">
        <f>IFERROR(VLOOKUP(CONCATENATE($B1202,$N1202),'LAC 103'!$AI:$AQ,9,FALSE),"")</f>
        <v>Costs</v>
      </c>
      <c r="X1202" s="1146">
        <f t="shared" si="330"/>
        <v>3.2074101033884359</v>
      </c>
      <c r="Y1202" s="1143">
        <f t="shared" si="341"/>
        <v>83216.255132412974</v>
      </c>
      <c r="Z1202" s="1147">
        <f t="shared" si="331"/>
        <v>103520.55</v>
      </c>
      <c r="AA1202" s="1144">
        <f t="shared" si="332"/>
        <v>64343.6</v>
      </c>
      <c r="AB1202" s="1144">
        <f t="shared" si="333"/>
        <v>0</v>
      </c>
      <c r="AC1202" s="1144">
        <f t="shared" si="334"/>
        <v>0</v>
      </c>
      <c r="AD1202" s="1148">
        <f t="shared" si="326"/>
        <v>83216.255132412974</v>
      </c>
      <c r="AE1202" s="1487">
        <v>0</v>
      </c>
      <c r="AF1202" s="1145">
        <f t="shared" si="335"/>
        <v>83216.255132412974</v>
      </c>
      <c r="AG1202" s="1149">
        <f>IFERROR(VLOOKUP(CONCATENATE($L1202,$N1202),'Drop List'!$G$23:$K$87,2,FALSE),0)</f>
        <v>0.55000000000000004</v>
      </c>
      <c r="AH1202" s="1150">
        <f>IFERROR(VLOOKUP(CONCATENATE($L1202,$N1202),'Drop List'!$G$23:$K$87,3,FALSE),0)</f>
        <v>0.44999999999999996</v>
      </c>
      <c r="AI1202" s="1150">
        <f>IFERROR(VLOOKUP(CONCATENATE($L1202,$N1202),'Drop List'!$G$23:$K$87,4,FALSE),0)</f>
        <v>0</v>
      </c>
      <c r="AJ1202" s="1151">
        <f>IFERROR(VLOOKUP(CONCATENATE($L1202,$N1202),'Drop List'!$G$23:$K$87,5,FALSE),0)</f>
        <v>0</v>
      </c>
      <c r="AK1202" s="1152">
        <f t="shared" si="336"/>
        <v>45768.94032282714</v>
      </c>
      <c r="AL1202" s="1153">
        <f t="shared" si="337"/>
        <v>37447.314809585834</v>
      </c>
      <c r="AM1202" s="1153">
        <f t="shared" si="338"/>
        <v>0</v>
      </c>
      <c r="AN1202" s="1145">
        <f t="shared" si="339"/>
        <v>0</v>
      </c>
      <c r="AO1202" s="1154">
        <f t="shared" si="340"/>
        <v>83216.255132412974</v>
      </c>
      <c r="AP1202" s="1147">
        <f t="shared" si="327"/>
        <v>0</v>
      </c>
      <c r="AQ1202" s="1144">
        <f t="shared" si="328"/>
        <v>0</v>
      </c>
      <c r="AR1202" s="1146">
        <f t="shared" si="329"/>
        <v>83216.255132412974</v>
      </c>
    </row>
    <row r="1203" spans="1:44" x14ac:dyDescent="0.2">
      <c r="A1203" s="1141" t="str">
        <f t="shared" si="342"/>
        <v>1557</v>
      </c>
      <c r="B1203" s="1141" t="str">
        <f>IFERROR(VLOOKUP(A1203,'LAC 103'!A:C,3,FALSE),"")</f>
        <v>OP</v>
      </c>
      <c r="C1203" s="1478" t="str">
        <f>Info!$B$8</f>
        <v>00100</v>
      </c>
      <c r="D1203" s="1474" t="s">
        <v>256</v>
      </c>
      <c r="E1203" s="1474" t="s">
        <v>95</v>
      </c>
      <c r="F1203" s="1478" t="s">
        <v>422</v>
      </c>
      <c r="G1203" s="1478" t="s">
        <v>422</v>
      </c>
      <c r="H1203" s="1474" t="s">
        <v>1057</v>
      </c>
      <c r="I1203" s="1478" t="s">
        <v>798</v>
      </c>
      <c r="J1203" s="1478"/>
      <c r="K1203" s="1475" t="s">
        <v>847</v>
      </c>
      <c r="L1203" s="1474" t="s">
        <v>582</v>
      </c>
      <c r="M1203" s="1476" t="s">
        <v>840</v>
      </c>
      <c r="N1203" s="1477" t="s">
        <v>1700</v>
      </c>
      <c r="O1203" s="1479">
        <v>36194</v>
      </c>
      <c r="P1203" s="1479"/>
      <c r="Q1203" s="1142">
        <f t="shared" si="325"/>
        <v>36194</v>
      </c>
      <c r="R1203" s="1143">
        <f>IFERROR(VLOOKUP(CONCATENATE(E1203,G1203),'LAC 103'!$A$12:$O$95,11,FALSE),0)</f>
        <v>3.2074101033884359</v>
      </c>
      <c r="S1203" s="1144">
        <f>IFERROR(VLOOKUP(CONCATENATE($E1203,$G1203),'LAC 103'!$A$12:$O$95,12,FALSE),0)</f>
        <v>3.99</v>
      </c>
      <c r="T1203" s="1144">
        <f>IFERROR(VLOOKUP(CONCATENATE($E1203,$G1203),'LAC 103'!$A$12:$O$95,13,FALSE),0)</f>
        <v>2.48</v>
      </c>
      <c r="U1203" s="1144">
        <f>IFERROR(VLOOKUP(CONCATENATE($E1203,$G1203),'LAC 103'!$A$12:$O$95,14,FALSE),0)</f>
        <v>0</v>
      </c>
      <c r="V1203" s="1144">
        <f>IFERROR(VLOOKUP(CONCATENATE($E1203,$G1203),'LAC 103'!$A$12:$O$95,15,FALSE),0)</f>
        <v>0</v>
      </c>
      <c r="W1203" s="1145" t="str">
        <f>IFERROR(VLOOKUP(CONCATENATE($B1203,$N1203),'LAC 103'!$AI:$AQ,9,FALSE),"")</f>
        <v>P.C.</v>
      </c>
      <c r="X1203" s="1146">
        <f t="shared" si="330"/>
        <v>2.48</v>
      </c>
      <c r="Y1203" s="1143">
        <f t="shared" si="341"/>
        <v>116089.00128204105</v>
      </c>
      <c r="Z1203" s="1147">
        <f t="shared" si="331"/>
        <v>144414.06</v>
      </c>
      <c r="AA1203" s="1144">
        <f t="shared" si="332"/>
        <v>89761.12</v>
      </c>
      <c r="AB1203" s="1144">
        <f t="shared" si="333"/>
        <v>0</v>
      </c>
      <c r="AC1203" s="1144">
        <f t="shared" si="334"/>
        <v>0</v>
      </c>
      <c r="AD1203" s="1148">
        <f t="shared" si="326"/>
        <v>89761.12</v>
      </c>
      <c r="AE1203" s="1487">
        <v>0</v>
      </c>
      <c r="AF1203" s="1145">
        <f t="shared" si="335"/>
        <v>89761.12</v>
      </c>
      <c r="AG1203" s="1149">
        <f>IFERROR(VLOOKUP(CONCATENATE($L1203,$N1203),'Drop List'!$G$23:$K$87,2,FALSE),0)</f>
        <v>0.55000000000000004</v>
      </c>
      <c r="AH1203" s="1150">
        <f>IFERROR(VLOOKUP(CONCATENATE($L1203,$N1203),'Drop List'!$G$23:$K$87,3,FALSE),0)</f>
        <v>0.44999999999999996</v>
      </c>
      <c r="AI1203" s="1150">
        <f>IFERROR(VLOOKUP(CONCATENATE($L1203,$N1203),'Drop List'!$G$23:$K$87,4,FALSE),0)</f>
        <v>0</v>
      </c>
      <c r="AJ1203" s="1151">
        <f>IFERROR(VLOOKUP(CONCATENATE($L1203,$N1203),'Drop List'!$G$23:$K$87,5,FALSE),0)</f>
        <v>0</v>
      </c>
      <c r="AK1203" s="1152">
        <f t="shared" si="336"/>
        <v>49368.616000000002</v>
      </c>
      <c r="AL1203" s="1153">
        <f t="shared" si="337"/>
        <v>40392.503999999994</v>
      </c>
      <c r="AM1203" s="1153">
        <f t="shared" si="338"/>
        <v>0</v>
      </c>
      <c r="AN1203" s="1145">
        <f t="shared" si="339"/>
        <v>0</v>
      </c>
      <c r="AO1203" s="1154">
        <f t="shared" si="340"/>
        <v>89761.12</v>
      </c>
      <c r="AP1203" s="1147">
        <f t="shared" si="327"/>
        <v>0</v>
      </c>
      <c r="AQ1203" s="1144">
        <f t="shared" si="328"/>
        <v>0</v>
      </c>
      <c r="AR1203" s="1146">
        <f t="shared" si="329"/>
        <v>89761.12</v>
      </c>
    </row>
    <row r="1204" spans="1:44" x14ac:dyDescent="0.2">
      <c r="A1204" s="1141" t="str">
        <f t="shared" si="342"/>
        <v>1557</v>
      </c>
      <c r="B1204" s="1141" t="str">
        <f>IFERROR(VLOOKUP(A1204,'LAC 103'!A:C,3,FALSE),"")</f>
        <v>OP</v>
      </c>
      <c r="C1204" s="1478" t="str">
        <f>Info!$B$8</f>
        <v>00100</v>
      </c>
      <c r="D1204" s="1474" t="s">
        <v>256</v>
      </c>
      <c r="E1204" s="1474" t="s">
        <v>95</v>
      </c>
      <c r="F1204" s="1478" t="s">
        <v>422</v>
      </c>
      <c r="G1204" s="1478" t="s">
        <v>422</v>
      </c>
      <c r="H1204" s="1474" t="s">
        <v>1057</v>
      </c>
      <c r="I1204" s="1478" t="s">
        <v>798</v>
      </c>
      <c r="J1204" s="1478"/>
      <c r="K1204" s="1475" t="s">
        <v>847</v>
      </c>
      <c r="L1204" s="1474" t="s">
        <v>582</v>
      </c>
      <c r="M1204" s="1476" t="s">
        <v>842</v>
      </c>
      <c r="N1204" s="1477" t="s">
        <v>1692</v>
      </c>
      <c r="O1204" s="1479">
        <v>78027</v>
      </c>
      <c r="P1204" s="1479"/>
      <c r="Q1204" s="1142">
        <f t="shared" si="325"/>
        <v>78027</v>
      </c>
      <c r="R1204" s="1143">
        <f>IFERROR(VLOOKUP(CONCATENATE(E1204,G1204),'LAC 103'!$A$12:$O$95,11,FALSE),0)</f>
        <v>3.2074101033884359</v>
      </c>
      <c r="S1204" s="1144">
        <f>IFERROR(VLOOKUP(CONCATENATE($E1204,$G1204),'LAC 103'!$A$12:$O$95,12,FALSE),0)</f>
        <v>3.99</v>
      </c>
      <c r="T1204" s="1144">
        <f>IFERROR(VLOOKUP(CONCATENATE($E1204,$G1204),'LAC 103'!$A$12:$O$95,13,FALSE),0)</f>
        <v>2.48</v>
      </c>
      <c r="U1204" s="1144">
        <f>IFERROR(VLOOKUP(CONCATENATE($E1204,$G1204),'LAC 103'!$A$12:$O$95,14,FALSE),0)</f>
        <v>0</v>
      </c>
      <c r="V1204" s="1144">
        <f>IFERROR(VLOOKUP(CONCATENATE($E1204,$G1204),'LAC 103'!$A$12:$O$95,15,FALSE),0)</f>
        <v>0</v>
      </c>
      <c r="W1204" s="1145" t="str">
        <f>IFERROR(VLOOKUP(CONCATENATE($B1204,$N1204),'LAC 103'!$AI:$AQ,9,FALSE),"")</f>
        <v>Costs</v>
      </c>
      <c r="X1204" s="1146">
        <f t="shared" si="330"/>
        <v>3.2074101033884359</v>
      </c>
      <c r="Y1204" s="1143">
        <f t="shared" si="341"/>
        <v>250264.58813708948</v>
      </c>
      <c r="Z1204" s="1147">
        <f t="shared" si="331"/>
        <v>311327.73000000004</v>
      </c>
      <c r="AA1204" s="1144">
        <f t="shared" si="332"/>
        <v>193506.96</v>
      </c>
      <c r="AB1204" s="1144">
        <f t="shared" si="333"/>
        <v>0</v>
      </c>
      <c r="AC1204" s="1144">
        <f t="shared" si="334"/>
        <v>0</v>
      </c>
      <c r="AD1204" s="1148">
        <f t="shared" si="326"/>
        <v>250264.58813708948</v>
      </c>
      <c r="AE1204" s="1487">
        <v>0</v>
      </c>
      <c r="AF1204" s="1145">
        <f t="shared" si="335"/>
        <v>250264.58813708948</v>
      </c>
      <c r="AG1204" s="1149">
        <f>IFERROR(VLOOKUP(CONCATENATE($L1204,$N1204),'Drop List'!$G$23:$K$87,2,FALSE),0)</f>
        <v>0.56200000000000006</v>
      </c>
      <c r="AH1204" s="1150">
        <f>IFERROR(VLOOKUP(CONCATENATE($L1204,$N1204),'Drop List'!$G$23:$K$87,3,FALSE),0)</f>
        <v>0.43799999999999994</v>
      </c>
      <c r="AI1204" s="1150">
        <f>IFERROR(VLOOKUP(CONCATENATE($L1204,$N1204),'Drop List'!$G$23:$K$87,4,FALSE),0)</f>
        <v>0</v>
      </c>
      <c r="AJ1204" s="1151">
        <f>IFERROR(VLOOKUP(CONCATENATE($L1204,$N1204),'Drop List'!$G$23:$K$87,5,FALSE),0)</f>
        <v>0</v>
      </c>
      <c r="AK1204" s="1152">
        <f t="shared" si="336"/>
        <v>140648.69853304431</v>
      </c>
      <c r="AL1204" s="1153">
        <f t="shared" si="337"/>
        <v>109615.88960404518</v>
      </c>
      <c r="AM1204" s="1153">
        <f t="shared" si="338"/>
        <v>0</v>
      </c>
      <c r="AN1204" s="1145">
        <f t="shared" si="339"/>
        <v>0</v>
      </c>
      <c r="AO1204" s="1154">
        <f t="shared" si="340"/>
        <v>250264.58813708951</v>
      </c>
      <c r="AP1204" s="1147">
        <f t="shared" si="327"/>
        <v>0</v>
      </c>
      <c r="AQ1204" s="1144">
        <f t="shared" si="328"/>
        <v>0</v>
      </c>
      <c r="AR1204" s="1146">
        <f t="shared" si="329"/>
        <v>250264.58813708951</v>
      </c>
    </row>
    <row r="1205" spans="1:44" x14ac:dyDescent="0.2">
      <c r="A1205" s="1141" t="str">
        <f t="shared" si="342"/>
        <v>1557</v>
      </c>
      <c r="B1205" s="1141" t="str">
        <f>IFERROR(VLOOKUP(A1205,'LAC 103'!A:C,3,FALSE),"")</f>
        <v>OP</v>
      </c>
      <c r="C1205" s="1478" t="str">
        <f>Info!$B$8</f>
        <v>00100</v>
      </c>
      <c r="D1205" s="1474" t="s">
        <v>256</v>
      </c>
      <c r="E1205" s="1474" t="s">
        <v>95</v>
      </c>
      <c r="F1205" s="1478" t="s">
        <v>422</v>
      </c>
      <c r="G1205" s="1478" t="s">
        <v>422</v>
      </c>
      <c r="H1205" s="1474" t="s">
        <v>1057</v>
      </c>
      <c r="I1205" s="1478" t="s">
        <v>798</v>
      </c>
      <c r="J1205" s="1478"/>
      <c r="K1205" s="1475" t="s">
        <v>847</v>
      </c>
      <c r="L1205" s="1474" t="s">
        <v>582</v>
      </c>
      <c r="M1205" s="1476" t="s">
        <v>1698</v>
      </c>
      <c r="N1205" s="1477" t="s">
        <v>1693</v>
      </c>
      <c r="O1205" s="1479">
        <v>62600</v>
      </c>
      <c r="P1205" s="1479"/>
      <c r="Q1205" s="1142">
        <f t="shared" si="325"/>
        <v>62600</v>
      </c>
      <c r="R1205" s="1143">
        <f>IFERROR(VLOOKUP(CONCATENATE(E1205,G1205),'LAC 103'!$A$12:$O$95,11,FALSE),0)</f>
        <v>3.2074101033884359</v>
      </c>
      <c r="S1205" s="1144">
        <f>IFERROR(VLOOKUP(CONCATENATE($E1205,$G1205),'LAC 103'!$A$12:$O$95,12,FALSE),0)</f>
        <v>3.99</v>
      </c>
      <c r="T1205" s="1144">
        <f>IFERROR(VLOOKUP(CONCATENATE($E1205,$G1205),'LAC 103'!$A$12:$O$95,13,FALSE),0)</f>
        <v>2.48</v>
      </c>
      <c r="U1205" s="1144">
        <f>IFERROR(VLOOKUP(CONCATENATE($E1205,$G1205),'LAC 103'!$A$12:$O$95,14,FALSE),0)</f>
        <v>0</v>
      </c>
      <c r="V1205" s="1144">
        <f>IFERROR(VLOOKUP(CONCATENATE($E1205,$G1205),'LAC 103'!$A$12:$O$95,15,FALSE),0)</f>
        <v>0</v>
      </c>
      <c r="W1205" s="1145" t="str">
        <f>IFERROR(VLOOKUP(CONCATENATE($B1205,$N1205),'LAC 103'!$AI:$AQ,9,FALSE),"")</f>
        <v>Costs</v>
      </c>
      <c r="X1205" s="1146">
        <f t="shared" si="330"/>
        <v>3.2074101033884359</v>
      </c>
      <c r="Y1205" s="1143">
        <f t="shared" si="341"/>
        <v>200783.87247211608</v>
      </c>
      <c r="Z1205" s="1147">
        <f t="shared" si="331"/>
        <v>249774</v>
      </c>
      <c r="AA1205" s="1144">
        <f t="shared" si="332"/>
        <v>155248</v>
      </c>
      <c r="AB1205" s="1144">
        <f t="shared" si="333"/>
        <v>0</v>
      </c>
      <c r="AC1205" s="1144">
        <f t="shared" si="334"/>
        <v>0</v>
      </c>
      <c r="AD1205" s="1148">
        <f t="shared" si="326"/>
        <v>200783.87247211608</v>
      </c>
      <c r="AE1205" s="1487">
        <v>0</v>
      </c>
      <c r="AF1205" s="1145">
        <f t="shared" si="335"/>
        <v>200783.87247211608</v>
      </c>
      <c r="AG1205" s="1149">
        <f>IFERROR(VLOOKUP(CONCATENATE($L1205,$N1205),'Drop List'!$G$23:$K$87,2,FALSE),0)</f>
        <v>0.56200000000000006</v>
      </c>
      <c r="AH1205" s="1150">
        <f>IFERROR(VLOOKUP(CONCATENATE($L1205,$N1205),'Drop List'!$G$23:$K$87,3,FALSE),0)</f>
        <v>0.43799999999999994</v>
      </c>
      <c r="AI1205" s="1150">
        <f>IFERROR(VLOOKUP(CONCATENATE($L1205,$N1205),'Drop List'!$G$23:$K$87,4,FALSE),0)</f>
        <v>0</v>
      </c>
      <c r="AJ1205" s="1151">
        <f>IFERROR(VLOOKUP(CONCATENATE($L1205,$N1205),'Drop List'!$G$23:$K$87,5,FALSE),0)</f>
        <v>0</v>
      </c>
      <c r="AK1205" s="1152">
        <f t="shared" si="336"/>
        <v>112840.53632932925</v>
      </c>
      <c r="AL1205" s="1153">
        <f t="shared" si="337"/>
        <v>87943.336142786837</v>
      </c>
      <c r="AM1205" s="1153">
        <f t="shared" si="338"/>
        <v>0</v>
      </c>
      <c r="AN1205" s="1145">
        <f t="shared" si="339"/>
        <v>0</v>
      </c>
      <c r="AO1205" s="1154">
        <f t="shared" si="340"/>
        <v>200783.87247211608</v>
      </c>
      <c r="AP1205" s="1147">
        <f t="shared" si="327"/>
        <v>0</v>
      </c>
      <c r="AQ1205" s="1144">
        <f t="shared" si="328"/>
        <v>0</v>
      </c>
      <c r="AR1205" s="1146">
        <f t="shared" si="329"/>
        <v>200783.87247211608</v>
      </c>
    </row>
    <row r="1206" spans="1:44" x14ac:dyDescent="0.2">
      <c r="A1206" s="1141" t="str">
        <f t="shared" si="342"/>
        <v>1557</v>
      </c>
      <c r="B1206" s="1141" t="str">
        <f>IFERROR(VLOOKUP(A1206,'LAC 103'!A:C,3,FALSE),"")</f>
        <v>OP</v>
      </c>
      <c r="C1206" s="1478" t="str">
        <f>Info!$B$8</f>
        <v>00100</v>
      </c>
      <c r="D1206" s="1474" t="s">
        <v>256</v>
      </c>
      <c r="E1206" s="1474" t="s">
        <v>95</v>
      </c>
      <c r="F1206" s="1478" t="s">
        <v>422</v>
      </c>
      <c r="G1206" s="1478" t="s">
        <v>422</v>
      </c>
      <c r="H1206" s="1474" t="s">
        <v>1057</v>
      </c>
      <c r="I1206" s="1478" t="s">
        <v>798</v>
      </c>
      <c r="J1206" s="1478"/>
      <c r="K1206" s="1475" t="s">
        <v>848</v>
      </c>
      <c r="L1206" s="1474" t="s">
        <v>45</v>
      </c>
      <c r="M1206" s="1476" t="s">
        <v>841</v>
      </c>
      <c r="N1206" s="1477" t="s">
        <v>1695</v>
      </c>
      <c r="O1206" s="1479">
        <v>808</v>
      </c>
      <c r="P1206" s="1479"/>
      <c r="Q1206" s="1142">
        <f t="shared" si="325"/>
        <v>808</v>
      </c>
      <c r="R1206" s="1143">
        <f>IFERROR(VLOOKUP(CONCATENATE(E1206,G1206),'LAC 103'!$A$12:$O$95,11,FALSE),0)</f>
        <v>3.2074101033884359</v>
      </c>
      <c r="S1206" s="1144">
        <f>IFERROR(VLOOKUP(CONCATENATE($E1206,$G1206),'LAC 103'!$A$12:$O$95,12,FALSE),0)</f>
        <v>3.99</v>
      </c>
      <c r="T1206" s="1144">
        <f>IFERROR(VLOOKUP(CONCATENATE($E1206,$G1206),'LAC 103'!$A$12:$O$95,13,FALSE),0)</f>
        <v>2.48</v>
      </c>
      <c r="U1206" s="1144">
        <f>IFERROR(VLOOKUP(CONCATENATE($E1206,$G1206),'LAC 103'!$A$12:$O$95,14,FALSE),0)</f>
        <v>0</v>
      </c>
      <c r="V1206" s="1144">
        <f>IFERROR(VLOOKUP(CONCATENATE($E1206,$G1206),'LAC 103'!$A$12:$O$95,15,FALSE),0)</f>
        <v>0</v>
      </c>
      <c r="W1206" s="1145" t="str">
        <f>IFERROR(VLOOKUP(CONCATENATE($B1206,$N1206),'LAC 103'!$AI:$AQ,9,FALSE),"")</f>
        <v>Costs</v>
      </c>
      <c r="X1206" s="1146">
        <f t="shared" si="330"/>
        <v>3.2074101033884359</v>
      </c>
      <c r="Y1206" s="1143">
        <f t="shared" si="341"/>
        <v>2591.5873635378562</v>
      </c>
      <c r="Z1206" s="1147">
        <f t="shared" si="331"/>
        <v>3223.92</v>
      </c>
      <c r="AA1206" s="1144">
        <f t="shared" si="332"/>
        <v>2003.84</v>
      </c>
      <c r="AB1206" s="1144">
        <f t="shared" si="333"/>
        <v>0</v>
      </c>
      <c r="AC1206" s="1144">
        <f t="shared" si="334"/>
        <v>0</v>
      </c>
      <c r="AD1206" s="1148">
        <f t="shared" si="326"/>
        <v>2591.5873635378562</v>
      </c>
      <c r="AE1206" s="1487">
        <v>0</v>
      </c>
      <c r="AF1206" s="1145">
        <f t="shared" si="335"/>
        <v>2591.5873635378562</v>
      </c>
      <c r="AG1206" s="1149">
        <f>IFERROR(VLOOKUP(CONCATENATE($L1206,$N1206),'Drop List'!$G$23:$K$87,2,FALSE),0)</f>
        <v>0.68500000000000005</v>
      </c>
      <c r="AH1206" s="1150">
        <f>IFERROR(VLOOKUP(CONCATENATE($L1206,$N1206),'Drop List'!$G$23:$K$87,3,FALSE),0)</f>
        <v>0.31499999999999995</v>
      </c>
      <c r="AI1206" s="1150">
        <f>IFERROR(VLOOKUP(CONCATENATE($L1206,$N1206),'Drop List'!$G$23:$K$87,4,FALSE),0)</f>
        <v>0</v>
      </c>
      <c r="AJ1206" s="1151">
        <f>IFERROR(VLOOKUP(CONCATENATE($L1206,$N1206),'Drop List'!$G$23:$K$87,5,FALSE),0)</f>
        <v>0</v>
      </c>
      <c r="AK1206" s="1152">
        <f t="shared" si="336"/>
        <v>1775.2373440234317</v>
      </c>
      <c r="AL1206" s="1153">
        <f t="shared" si="337"/>
        <v>816.3500195144245</v>
      </c>
      <c r="AM1206" s="1153">
        <f t="shared" si="338"/>
        <v>0</v>
      </c>
      <c r="AN1206" s="1145">
        <f t="shared" si="339"/>
        <v>0</v>
      </c>
      <c r="AO1206" s="1154">
        <f t="shared" si="340"/>
        <v>2591.5873635378562</v>
      </c>
      <c r="AP1206" s="1147">
        <f t="shared" si="327"/>
        <v>0</v>
      </c>
      <c r="AQ1206" s="1144">
        <f t="shared" si="328"/>
        <v>0</v>
      </c>
      <c r="AR1206" s="1146">
        <f t="shared" si="329"/>
        <v>2591.5873635378562</v>
      </c>
    </row>
    <row r="1207" spans="1:44" x14ac:dyDescent="0.2">
      <c r="A1207" s="1141" t="str">
        <f t="shared" si="342"/>
        <v>1557</v>
      </c>
      <c r="B1207" s="1141" t="str">
        <f>IFERROR(VLOOKUP(A1207,'LAC 103'!A:C,3,FALSE),"")</f>
        <v>OP</v>
      </c>
      <c r="C1207" s="1478" t="str">
        <f>Info!$B$8</f>
        <v>00100</v>
      </c>
      <c r="D1207" s="1474" t="s">
        <v>256</v>
      </c>
      <c r="E1207" s="1474" t="s">
        <v>95</v>
      </c>
      <c r="F1207" s="1478" t="s">
        <v>422</v>
      </c>
      <c r="G1207" s="1478" t="s">
        <v>422</v>
      </c>
      <c r="H1207" s="1474" t="s">
        <v>1057</v>
      </c>
      <c r="I1207" s="1478" t="s">
        <v>798</v>
      </c>
      <c r="J1207" s="1478"/>
      <c r="K1207" s="1475" t="s">
        <v>848</v>
      </c>
      <c r="L1207" s="1474" t="s">
        <v>45</v>
      </c>
      <c r="M1207" s="1476" t="s">
        <v>840</v>
      </c>
      <c r="N1207" s="1477" t="s">
        <v>1700</v>
      </c>
      <c r="O1207" s="1479">
        <v>2282</v>
      </c>
      <c r="P1207" s="1479"/>
      <c r="Q1207" s="1142">
        <f t="shared" si="325"/>
        <v>2282</v>
      </c>
      <c r="R1207" s="1143">
        <f>IFERROR(VLOOKUP(CONCATENATE(E1207,G1207),'LAC 103'!$A$12:$O$95,11,FALSE),0)</f>
        <v>3.2074101033884359</v>
      </c>
      <c r="S1207" s="1144">
        <f>IFERROR(VLOOKUP(CONCATENATE($E1207,$G1207),'LAC 103'!$A$12:$O$95,12,FALSE),0)</f>
        <v>3.99</v>
      </c>
      <c r="T1207" s="1144">
        <f>IFERROR(VLOOKUP(CONCATENATE($E1207,$G1207),'LAC 103'!$A$12:$O$95,13,FALSE),0)</f>
        <v>2.48</v>
      </c>
      <c r="U1207" s="1144">
        <f>IFERROR(VLOOKUP(CONCATENATE($E1207,$G1207),'LAC 103'!$A$12:$O$95,14,FALSE),0)</f>
        <v>0</v>
      </c>
      <c r="V1207" s="1144">
        <f>IFERROR(VLOOKUP(CONCATENATE($E1207,$G1207),'LAC 103'!$A$12:$O$95,15,FALSE),0)</f>
        <v>0</v>
      </c>
      <c r="W1207" s="1145" t="str">
        <f>IFERROR(VLOOKUP(CONCATENATE($B1207,$N1207),'LAC 103'!$AI:$AQ,9,FALSE),"")</f>
        <v>P.C.</v>
      </c>
      <c r="X1207" s="1146">
        <f t="shared" si="330"/>
        <v>2.48</v>
      </c>
      <c r="Y1207" s="1143">
        <f t="shared" si="341"/>
        <v>7319.3098559324108</v>
      </c>
      <c r="Z1207" s="1147">
        <f t="shared" si="331"/>
        <v>9105.18</v>
      </c>
      <c r="AA1207" s="1144">
        <f t="shared" si="332"/>
        <v>5659.36</v>
      </c>
      <c r="AB1207" s="1144">
        <f t="shared" si="333"/>
        <v>0</v>
      </c>
      <c r="AC1207" s="1144">
        <f t="shared" si="334"/>
        <v>0</v>
      </c>
      <c r="AD1207" s="1148">
        <f t="shared" si="326"/>
        <v>5659.36</v>
      </c>
      <c r="AE1207" s="1487">
        <v>0</v>
      </c>
      <c r="AF1207" s="1145">
        <f t="shared" si="335"/>
        <v>5659.36</v>
      </c>
      <c r="AG1207" s="1149">
        <f>IFERROR(VLOOKUP(CONCATENATE($L1207,$N1207),'Drop List'!$G$23:$K$87,2,FALSE),0)</f>
        <v>0.68500000000000005</v>
      </c>
      <c r="AH1207" s="1150">
        <f>IFERROR(VLOOKUP(CONCATENATE($L1207,$N1207),'Drop List'!$G$23:$K$87,3,FALSE),0)</f>
        <v>0.31499999999999995</v>
      </c>
      <c r="AI1207" s="1150">
        <f>IFERROR(VLOOKUP(CONCATENATE($L1207,$N1207),'Drop List'!$G$23:$K$87,4,FALSE),0)</f>
        <v>0</v>
      </c>
      <c r="AJ1207" s="1151">
        <f>IFERROR(VLOOKUP(CONCATENATE($L1207,$N1207),'Drop List'!$G$23:$K$87,5,FALSE),0)</f>
        <v>0</v>
      </c>
      <c r="AK1207" s="1152">
        <f t="shared" si="336"/>
        <v>3876.6615999999999</v>
      </c>
      <c r="AL1207" s="1153">
        <f t="shared" si="337"/>
        <v>1782.6983999999995</v>
      </c>
      <c r="AM1207" s="1153">
        <f t="shared" si="338"/>
        <v>0</v>
      </c>
      <c r="AN1207" s="1145">
        <f t="shared" si="339"/>
        <v>0</v>
      </c>
      <c r="AO1207" s="1154">
        <f t="shared" si="340"/>
        <v>5659.36</v>
      </c>
      <c r="AP1207" s="1147">
        <f t="shared" si="327"/>
        <v>0</v>
      </c>
      <c r="AQ1207" s="1144">
        <f t="shared" si="328"/>
        <v>0</v>
      </c>
      <c r="AR1207" s="1146">
        <f t="shared" si="329"/>
        <v>5659.36</v>
      </c>
    </row>
    <row r="1208" spans="1:44" x14ac:dyDescent="0.2">
      <c r="A1208" s="1141" t="str">
        <f t="shared" si="342"/>
        <v>1562</v>
      </c>
      <c r="B1208" s="1141" t="str">
        <f>IFERROR(VLOOKUP(A1208,'LAC 103'!A:C,3,FALSE),"")</f>
        <v>OP</v>
      </c>
      <c r="C1208" s="1478" t="str">
        <f>Info!$B$8</f>
        <v>00100</v>
      </c>
      <c r="D1208" s="1474" t="s">
        <v>256</v>
      </c>
      <c r="E1208" s="1474" t="s">
        <v>95</v>
      </c>
      <c r="F1208" s="1478" t="s">
        <v>432</v>
      </c>
      <c r="G1208" s="1478" t="s">
        <v>432</v>
      </c>
      <c r="H1208" s="1474" t="s">
        <v>1656</v>
      </c>
      <c r="I1208" s="1478" t="s">
        <v>809</v>
      </c>
      <c r="J1208" s="1478" t="s">
        <v>123</v>
      </c>
      <c r="K1208" s="1475" t="s">
        <v>1654</v>
      </c>
      <c r="L1208" s="1474" t="s">
        <v>332</v>
      </c>
      <c r="M1208" s="1476" t="s">
        <v>1699</v>
      </c>
      <c r="N1208" s="1477" t="s">
        <v>1694</v>
      </c>
      <c r="O1208" s="1479">
        <v>43</v>
      </c>
      <c r="P1208" s="1479"/>
      <c r="Q1208" s="1142">
        <f t="shared" si="325"/>
        <v>43</v>
      </c>
      <c r="R1208" s="1143">
        <f>IFERROR(VLOOKUP(CONCATENATE(E1208,G1208),'LAC 103'!$A$12:$O$95,11,FALSE),0)</f>
        <v>5.936295312319726</v>
      </c>
      <c r="S1208" s="1144">
        <f>IFERROR(VLOOKUP(CONCATENATE($E1208,$G1208),'LAC 103'!$A$12:$O$95,12,FALSE),0)</f>
        <v>7.34</v>
      </c>
      <c r="T1208" s="1144">
        <f>IFERROR(VLOOKUP(CONCATENATE($E1208,$G1208),'LAC 103'!$A$12:$O$95,13,FALSE),0)</f>
        <v>4.59</v>
      </c>
      <c r="U1208" s="1144">
        <f>IFERROR(VLOOKUP(CONCATENATE($E1208,$G1208),'LAC 103'!$A$12:$O$95,14,FALSE),0)</f>
        <v>0</v>
      </c>
      <c r="V1208" s="1144">
        <f>IFERROR(VLOOKUP(CONCATENATE($E1208,$G1208),'LAC 103'!$A$12:$O$95,15,FALSE),0)</f>
        <v>0</v>
      </c>
      <c r="W1208" s="1145" t="str">
        <f>IFERROR(VLOOKUP(CONCATENATE($B1208,$N1208),'LAC 103'!$AI:$AQ,9,FALSE),"")</f>
        <v>Costs</v>
      </c>
      <c r="X1208" s="1146">
        <f t="shared" si="330"/>
        <v>5.936295312319726</v>
      </c>
      <c r="Y1208" s="1143">
        <f t="shared" si="341"/>
        <v>255.2606984297482</v>
      </c>
      <c r="Z1208" s="1147">
        <f t="shared" si="331"/>
        <v>315.62</v>
      </c>
      <c r="AA1208" s="1144">
        <f t="shared" si="332"/>
        <v>197.37</v>
      </c>
      <c r="AB1208" s="1144">
        <f t="shared" si="333"/>
        <v>0</v>
      </c>
      <c r="AC1208" s="1144">
        <f t="shared" si="334"/>
        <v>0</v>
      </c>
      <c r="AD1208" s="1148">
        <f t="shared" si="326"/>
        <v>255.2606984297482</v>
      </c>
      <c r="AE1208" s="1487">
        <v>0</v>
      </c>
      <c r="AF1208" s="1145">
        <f t="shared" si="335"/>
        <v>255.2606984297482</v>
      </c>
      <c r="AG1208" s="1149">
        <f>IFERROR(VLOOKUP(CONCATENATE($L1208,$N1208),'Drop List'!$G$23:$K$87,2,FALSE),0)</f>
        <v>0</v>
      </c>
      <c r="AH1208" s="1150">
        <f>IFERROR(VLOOKUP(CONCATENATE($L1208,$N1208),'Drop List'!$G$23:$K$87,3,FALSE),0)</f>
        <v>0</v>
      </c>
      <c r="AI1208" s="1150">
        <f>IFERROR(VLOOKUP(CONCATENATE($L1208,$N1208),'Drop List'!$G$23:$K$87,4,FALSE),0)</f>
        <v>0</v>
      </c>
      <c r="AJ1208" s="1151">
        <f>IFERROR(VLOOKUP(CONCATENATE($L1208,$N1208),'Drop List'!$G$23:$K$87,5,FALSE),0)</f>
        <v>0</v>
      </c>
      <c r="AK1208" s="1152">
        <f t="shared" si="336"/>
        <v>0</v>
      </c>
      <c r="AL1208" s="1153">
        <f t="shared" si="337"/>
        <v>0</v>
      </c>
      <c r="AM1208" s="1153">
        <f t="shared" si="338"/>
        <v>0</v>
      </c>
      <c r="AN1208" s="1145">
        <f t="shared" si="339"/>
        <v>0</v>
      </c>
      <c r="AO1208" s="1154">
        <f t="shared" si="340"/>
        <v>0</v>
      </c>
      <c r="AP1208" s="1147">
        <f t="shared" si="327"/>
        <v>255.2606984297482</v>
      </c>
      <c r="AQ1208" s="1144">
        <f t="shared" si="328"/>
        <v>0</v>
      </c>
      <c r="AR1208" s="1146">
        <f t="shared" si="329"/>
        <v>255.2606984297482</v>
      </c>
    </row>
    <row r="1209" spans="1:44" x14ac:dyDescent="0.2">
      <c r="A1209" s="1141" t="str">
        <f t="shared" si="342"/>
        <v>1562</v>
      </c>
      <c r="B1209" s="1141" t="str">
        <f>IFERROR(VLOOKUP(A1209,'LAC 103'!A:C,3,FALSE),"")</f>
        <v>OP</v>
      </c>
      <c r="C1209" s="1478" t="str">
        <f>Info!$B$8</f>
        <v>00100</v>
      </c>
      <c r="D1209" s="1474" t="s">
        <v>256</v>
      </c>
      <c r="E1209" s="1474" t="s">
        <v>95</v>
      </c>
      <c r="F1209" s="1478" t="s">
        <v>432</v>
      </c>
      <c r="G1209" s="1478" t="s">
        <v>432</v>
      </c>
      <c r="H1209" s="1474" t="s">
        <v>1656</v>
      </c>
      <c r="I1209" s="1478" t="s">
        <v>809</v>
      </c>
      <c r="J1209" s="1478"/>
      <c r="K1209" s="1475" t="s">
        <v>1654</v>
      </c>
      <c r="L1209" s="1474" t="s">
        <v>332</v>
      </c>
      <c r="M1209" s="1476" t="s">
        <v>840</v>
      </c>
      <c r="N1209" s="1477" t="s">
        <v>1700</v>
      </c>
      <c r="O1209" s="1479">
        <v>91</v>
      </c>
      <c r="P1209" s="1479"/>
      <c r="Q1209" s="1142">
        <f t="shared" si="325"/>
        <v>91</v>
      </c>
      <c r="R1209" s="1143">
        <f>IFERROR(VLOOKUP(CONCATENATE(E1209,G1209),'LAC 103'!$A$12:$O$95,11,FALSE),0)</f>
        <v>5.936295312319726</v>
      </c>
      <c r="S1209" s="1144">
        <f>IFERROR(VLOOKUP(CONCATENATE($E1209,$G1209),'LAC 103'!$A$12:$O$95,12,FALSE),0)</f>
        <v>7.34</v>
      </c>
      <c r="T1209" s="1144">
        <f>IFERROR(VLOOKUP(CONCATENATE($E1209,$G1209),'LAC 103'!$A$12:$O$95,13,FALSE),0)</f>
        <v>4.59</v>
      </c>
      <c r="U1209" s="1144">
        <f>IFERROR(VLOOKUP(CONCATENATE($E1209,$G1209),'LAC 103'!$A$12:$O$95,14,FALSE),0)</f>
        <v>0</v>
      </c>
      <c r="V1209" s="1144">
        <f>IFERROR(VLOOKUP(CONCATENATE($E1209,$G1209),'LAC 103'!$A$12:$O$95,15,FALSE),0)</f>
        <v>0</v>
      </c>
      <c r="W1209" s="1145" t="str">
        <f>IFERROR(VLOOKUP(CONCATENATE($B1209,$N1209),'LAC 103'!$AI:$AQ,9,FALSE),"")</f>
        <v>P.C.</v>
      </c>
      <c r="X1209" s="1146">
        <f t="shared" si="330"/>
        <v>4.59</v>
      </c>
      <c r="Y1209" s="1143">
        <f t="shared" si="341"/>
        <v>540.20287342109509</v>
      </c>
      <c r="Z1209" s="1147">
        <f t="shared" si="331"/>
        <v>667.93999999999994</v>
      </c>
      <c r="AA1209" s="1144">
        <f t="shared" si="332"/>
        <v>417.69</v>
      </c>
      <c r="AB1209" s="1144">
        <f t="shared" si="333"/>
        <v>0</v>
      </c>
      <c r="AC1209" s="1144">
        <f t="shared" si="334"/>
        <v>0</v>
      </c>
      <c r="AD1209" s="1148">
        <f t="shared" si="326"/>
        <v>417.69</v>
      </c>
      <c r="AE1209" s="1487">
        <v>0</v>
      </c>
      <c r="AF1209" s="1145">
        <f t="shared" si="335"/>
        <v>417.69</v>
      </c>
      <c r="AG1209" s="1149">
        <f>IFERROR(VLOOKUP(CONCATENATE($L1209,$N1209),'Drop List'!$G$23:$K$87,2,FALSE),0)</f>
        <v>0</v>
      </c>
      <c r="AH1209" s="1150">
        <f>IFERROR(VLOOKUP(CONCATENATE($L1209,$N1209),'Drop List'!$G$23:$K$87,3,FALSE),0)</f>
        <v>0</v>
      </c>
      <c r="AI1209" s="1150">
        <f>IFERROR(VLOOKUP(CONCATENATE($L1209,$N1209),'Drop List'!$G$23:$K$87,4,FALSE),0)</f>
        <v>0</v>
      </c>
      <c r="AJ1209" s="1151">
        <f>IFERROR(VLOOKUP(CONCATENATE($L1209,$N1209),'Drop List'!$G$23:$K$87,5,FALSE),0)</f>
        <v>0</v>
      </c>
      <c r="AK1209" s="1152">
        <f t="shared" si="336"/>
        <v>0</v>
      </c>
      <c r="AL1209" s="1153">
        <f t="shared" si="337"/>
        <v>0</v>
      </c>
      <c r="AM1209" s="1153">
        <f t="shared" si="338"/>
        <v>0</v>
      </c>
      <c r="AN1209" s="1145">
        <f t="shared" si="339"/>
        <v>0</v>
      </c>
      <c r="AO1209" s="1154">
        <f t="shared" si="340"/>
        <v>0</v>
      </c>
      <c r="AP1209" s="1147">
        <f t="shared" si="327"/>
        <v>417.69</v>
      </c>
      <c r="AQ1209" s="1144">
        <f t="shared" si="328"/>
        <v>0</v>
      </c>
      <c r="AR1209" s="1146">
        <f t="shared" si="329"/>
        <v>417.69</v>
      </c>
    </row>
    <row r="1210" spans="1:44" x14ac:dyDescent="0.2">
      <c r="A1210" s="1141" t="str">
        <f t="shared" si="342"/>
        <v>1562</v>
      </c>
      <c r="B1210" s="1141" t="str">
        <f>IFERROR(VLOOKUP(A1210,'LAC 103'!A:C,3,FALSE),"")</f>
        <v>OP</v>
      </c>
      <c r="C1210" s="1478" t="str">
        <f>Info!$B$8</f>
        <v>00100</v>
      </c>
      <c r="D1210" s="1474" t="s">
        <v>256</v>
      </c>
      <c r="E1210" s="1474" t="s">
        <v>95</v>
      </c>
      <c r="F1210" s="1478" t="s">
        <v>432</v>
      </c>
      <c r="G1210" s="1478" t="s">
        <v>432</v>
      </c>
      <c r="H1210" s="1474" t="s">
        <v>1656</v>
      </c>
      <c r="I1210" s="1478" t="s">
        <v>809</v>
      </c>
      <c r="J1210" s="1478"/>
      <c r="K1210" s="1475" t="s">
        <v>847</v>
      </c>
      <c r="L1210" s="1474" t="s">
        <v>582</v>
      </c>
      <c r="M1210" s="1476" t="s">
        <v>1699</v>
      </c>
      <c r="N1210" s="1477" t="s">
        <v>1694</v>
      </c>
      <c r="O1210" s="1479">
        <v>3013</v>
      </c>
      <c r="P1210" s="1479"/>
      <c r="Q1210" s="1142">
        <f t="shared" si="325"/>
        <v>3013</v>
      </c>
      <c r="R1210" s="1143">
        <f>IFERROR(VLOOKUP(CONCATENATE(E1210,G1210),'LAC 103'!$A$12:$O$95,11,FALSE),0)</f>
        <v>5.936295312319726</v>
      </c>
      <c r="S1210" s="1144">
        <f>IFERROR(VLOOKUP(CONCATENATE($E1210,$G1210),'LAC 103'!$A$12:$O$95,12,FALSE),0)</f>
        <v>7.34</v>
      </c>
      <c r="T1210" s="1144">
        <f>IFERROR(VLOOKUP(CONCATENATE($E1210,$G1210),'LAC 103'!$A$12:$O$95,13,FALSE),0)</f>
        <v>4.59</v>
      </c>
      <c r="U1210" s="1144">
        <f>IFERROR(VLOOKUP(CONCATENATE($E1210,$G1210),'LAC 103'!$A$12:$O$95,14,FALSE),0)</f>
        <v>0</v>
      </c>
      <c r="V1210" s="1144">
        <f>IFERROR(VLOOKUP(CONCATENATE($E1210,$G1210),'LAC 103'!$A$12:$O$95,15,FALSE),0)</f>
        <v>0</v>
      </c>
      <c r="W1210" s="1145" t="str">
        <f>IFERROR(VLOOKUP(CONCATENATE($B1210,$N1210),'LAC 103'!$AI:$AQ,9,FALSE),"")</f>
        <v>Costs</v>
      </c>
      <c r="X1210" s="1146">
        <f t="shared" si="330"/>
        <v>5.936295312319726</v>
      </c>
      <c r="Y1210" s="1143">
        <f t="shared" si="341"/>
        <v>17886.057776019334</v>
      </c>
      <c r="Z1210" s="1147">
        <f t="shared" si="331"/>
        <v>22115.42</v>
      </c>
      <c r="AA1210" s="1144">
        <f t="shared" si="332"/>
        <v>13829.67</v>
      </c>
      <c r="AB1210" s="1144">
        <f t="shared" si="333"/>
        <v>0</v>
      </c>
      <c r="AC1210" s="1144">
        <f t="shared" si="334"/>
        <v>0</v>
      </c>
      <c r="AD1210" s="1148">
        <f t="shared" si="326"/>
        <v>17886.057776019334</v>
      </c>
      <c r="AE1210" s="1487">
        <v>0</v>
      </c>
      <c r="AF1210" s="1145">
        <f t="shared" si="335"/>
        <v>17886.057776019334</v>
      </c>
      <c r="AG1210" s="1149">
        <f>IFERROR(VLOOKUP(CONCATENATE($L1210,$N1210),'Drop List'!$G$23:$K$87,2,FALSE),0)</f>
        <v>0.56200000000000006</v>
      </c>
      <c r="AH1210" s="1150">
        <f>IFERROR(VLOOKUP(CONCATENATE($L1210,$N1210),'Drop List'!$G$23:$K$87,3,FALSE),0)</f>
        <v>0.43799999999999994</v>
      </c>
      <c r="AI1210" s="1150">
        <f>IFERROR(VLOOKUP(CONCATENATE($L1210,$N1210),'Drop List'!$G$23:$K$87,4,FALSE),0)</f>
        <v>0</v>
      </c>
      <c r="AJ1210" s="1151">
        <f>IFERROR(VLOOKUP(CONCATENATE($L1210,$N1210),'Drop List'!$G$23:$K$87,5,FALSE),0)</f>
        <v>0</v>
      </c>
      <c r="AK1210" s="1152">
        <f t="shared" si="336"/>
        <v>10051.964470122866</v>
      </c>
      <c r="AL1210" s="1153">
        <f t="shared" si="337"/>
        <v>7834.0933058964674</v>
      </c>
      <c r="AM1210" s="1153">
        <f t="shared" si="338"/>
        <v>0</v>
      </c>
      <c r="AN1210" s="1145">
        <f t="shared" si="339"/>
        <v>0</v>
      </c>
      <c r="AO1210" s="1154">
        <f t="shared" si="340"/>
        <v>17886.057776019334</v>
      </c>
      <c r="AP1210" s="1147">
        <f t="shared" si="327"/>
        <v>0</v>
      </c>
      <c r="AQ1210" s="1144">
        <f t="shared" si="328"/>
        <v>0</v>
      </c>
      <c r="AR1210" s="1146">
        <f t="shared" si="329"/>
        <v>17886.057776019334</v>
      </c>
    </row>
    <row r="1211" spans="1:44" x14ac:dyDescent="0.2">
      <c r="A1211" s="1141" t="str">
        <f t="shared" si="342"/>
        <v>1562</v>
      </c>
      <c r="B1211" s="1141" t="str">
        <f>IFERROR(VLOOKUP(A1211,'LAC 103'!A:C,3,FALSE),"")</f>
        <v>OP</v>
      </c>
      <c r="C1211" s="1478" t="str">
        <f>Info!$B$8</f>
        <v>00100</v>
      </c>
      <c r="D1211" s="1474" t="s">
        <v>256</v>
      </c>
      <c r="E1211" s="1474" t="s">
        <v>95</v>
      </c>
      <c r="F1211" s="1478" t="s">
        <v>432</v>
      </c>
      <c r="G1211" s="1478" t="s">
        <v>432</v>
      </c>
      <c r="H1211" s="1474" t="s">
        <v>1656</v>
      </c>
      <c r="I1211" s="1478" t="s">
        <v>809</v>
      </c>
      <c r="J1211" s="1478"/>
      <c r="K1211" s="1475" t="s">
        <v>847</v>
      </c>
      <c r="L1211" s="1474" t="s">
        <v>582</v>
      </c>
      <c r="M1211" s="1476" t="s">
        <v>841</v>
      </c>
      <c r="N1211" s="1477" t="s">
        <v>1695</v>
      </c>
      <c r="O1211" s="1479">
        <v>1284</v>
      </c>
      <c r="P1211" s="1479"/>
      <c r="Q1211" s="1142">
        <f t="shared" si="325"/>
        <v>1284</v>
      </c>
      <c r="R1211" s="1143">
        <f>IFERROR(VLOOKUP(CONCATENATE(E1211,G1211),'LAC 103'!$A$12:$O$95,11,FALSE),0)</f>
        <v>5.936295312319726</v>
      </c>
      <c r="S1211" s="1144">
        <f>IFERROR(VLOOKUP(CONCATENATE($E1211,$G1211),'LAC 103'!$A$12:$O$95,12,FALSE),0)</f>
        <v>7.34</v>
      </c>
      <c r="T1211" s="1144">
        <f>IFERROR(VLOOKUP(CONCATENATE($E1211,$G1211),'LAC 103'!$A$12:$O$95,13,FALSE),0)</f>
        <v>4.59</v>
      </c>
      <c r="U1211" s="1144">
        <f>IFERROR(VLOOKUP(CONCATENATE($E1211,$G1211),'LAC 103'!$A$12:$O$95,14,FALSE),0)</f>
        <v>0</v>
      </c>
      <c r="V1211" s="1144">
        <f>IFERROR(VLOOKUP(CONCATENATE($E1211,$G1211),'LAC 103'!$A$12:$O$95,15,FALSE),0)</f>
        <v>0</v>
      </c>
      <c r="W1211" s="1145" t="str">
        <f>IFERROR(VLOOKUP(CONCATENATE($B1211,$N1211),'LAC 103'!$AI:$AQ,9,FALSE),"")</f>
        <v>Costs</v>
      </c>
      <c r="X1211" s="1146">
        <f t="shared" si="330"/>
        <v>5.936295312319726</v>
      </c>
      <c r="Y1211" s="1143">
        <f t="shared" si="341"/>
        <v>7622.2031810185281</v>
      </c>
      <c r="Z1211" s="1147">
        <f t="shared" si="331"/>
        <v>9424.56</v>
      </c>
      <c r="AA1211" s="1144">
        <f t="shared" si="332"/>
        <v>5893.5599999999995</v>
      </c>
      <c r="AB1211" s="1144">
        <f t="shared" si="333"/>
        <v>0</v>
      </c>
      <c r="AC1211" s="1144">
        <f t="shared" si="334"/>
        <v>0</v>
      </c>
      <c r="AD1211" s="1148">
        <f t="shared" si="326"/>
        <v>7622.2031810185281</v>
      </c>
      <c r="AE1211" s="1487">
        <v>0</v>
      </c>
      <c r="AF1211" s="1145">
        <f t="shared" si="335"/>
        <v>7622.2031810185281</v>
      </c>
      <c r="AG1211" s="1149">
        <f>IFERROR(VLOOKUP(CONCATENATE($L1211,$N1211),'Drop List'!$G$23:$K$87,2,FALSE),0)</f>
        <v>0.55000000000000004</v>
      </c>
      <c r="AH1211" s="1150">
        <f>IFERROR(VLOOKUP(CONCATENATE($L1211,$N1211),'Drop List'!$G$23:$K$87,3,FALSE),0)</f>
        <v>0.44999999999999996</v>
      </c>
      <c r="AI1211" s="1150">
        <f>IFERROR(VLOOKUP(CONCATENATE($L1211,$N1211),'Drop List'!$G$23:$K$87,4,FALSE),0)</f>
        <v>0</v>
      </c>
      <c r="AJ1211" s="1151">
        <f>IFERROR(VLOOKUP(CONCATENATE($L1211,$N1211),'Drop List'!$G$23:$K$87,5,FALSE),0)</f>
        <v>0</v>
      </c>
      <c r="AK1211" s="1152">
        <f t="shared" si="336"/>
        <v>4192.2117495601906</v>
      </c>
      <c r="AL1211" s="1153">
        <f t="shared" si="337"/>
        <v>3429.9914314583375</v>
      </c>
      <c r="AM1211" s="1153">
        <f t="shared" si="338"/>
        <v>0</v>
      </c>
      <c r="AN1211" s="1145">
        <f t="shared" si="339"/>
        <v>0</v>
      </c>
      <c r="AO1211" s="1154">
        <f t="shared" si="340"/>
        <v>7622.2031810185281</v>
      </c>
      <c r="AP1211" s="1147">
        <f t="shared" si="327"/>
        <v>0</v>
      </c>
      <c r="AQ1211" s="1144">
        <f t="shared" si="328"/>
        <v>0</v>
      </c>
      <c r="AR1211" s="1146">
        <f t="shared" si="329"/>
        <v>7622.2031810185281</v>
      </c>
    </row>
    <row r="1212" spans="1:44" x14ac:dyDescent="0.2">
      <c r="A1212" s="1141" t="str">
        <f t="shared" si="342"/>
        <v>1562</v>
      </c>
      <c r="B1212" s="1141" t="str">
        <f>IFERROR(VLOOKUP(A1212,'LAC 103'!A:C,3,FALSE),"")</f>
        <v>OP</v>
      </c>
      <c r="C1212" s="1478" t="str">
        <f>Info!$B$8</f>
        <v>00100</v>
      </c>
      <c r="D1212" s="1474" t="s">
        <v>256</v>
      </c>
      <c r="E1212" s="1474" t="s">
        <v>95</v>
      </c>
      <c r="F1212" s="1478" t="s">
        <v>432</v>
      </c>
      <c r="G1212" s="1478" t="s">
        <v>432</v>
      </c>
      <c r="H1212" s="1474" t="s">
        <v>1656</v>
      </c>
      <c r="I1212" s="1478" t="s">
        <v>809</v>
      </c>
      <c r="J1212" s="1478"/>
      <c r="K1212" s="1475" t="s">
        <v>847</v>
      </c>
      <c r="L1212" s="1474" t="s">
        <v>582</v>
      </c>
      <c r="M1212" s="1476" t="s">
        <v>840</v>
      </c>
      <c r="N1212" s="1477" t="s">
        <v>1700</v>
      </c>
      <c r="O1212" s="1479">
        <v>1318</v>
      </c>
      <c r="P1212" s="1479"/>
      <c r="Q1212" s="1142">
        <f t="shared" ref="Q1212:Q1275" si="343">O1212+P1212</f>
        <v>1318</v>
      </c>
      <c r="R1212" s="1143">
        <f>IFERROR(VLOOKUP(CONCATENATE(E1212,G1212),'LAC 103'!$A$12:$O$95,11,FALSE),0)</f>
        <v>5.936295312319726</v>
      </c>
      <c r="S1212" s="1144">
        <f>IFERROR(VLOOKUP(CONCATENATE($E1212,$G1212),'LAC 103'!$A$12:$O$95,12,FALSE),0)</f>
        <v>7.34</v>
      </c>
      <c r="T1212" s="1144">
        <f>IFERROR(VLOOKUP(CONCATENATE($E1212,$G1212),'LAC 103'!$A$12:$O$95,13,FALSE),0)</f>
        <v>4.59</v>
      </c>
      <c r="U1212" s="1144">
        <f>IFERROR(VLOOKUP(CONCATENATE($E1212,$G1212),'LAC 103'!$A$12:$O$95,14,FALSE),0)</f>
        <v>0</v>
      </c>
      <c r="V1212" s="1144">
        <f>IFERROR(VLOOKUP(CONCATENATE($E1212,$G1212),'LAC 103'!$A$12:$O$95,15,FALSE),0)</f>
        <v>0</v>
      </c>
      <c r="W1212" s="1145" t="str">
        <f>IFERROR(VLOOKUP(CONCATENATE($B1212,$N1212),'LAC 103'!$AI:$AQ,9,FALSE),"")</f>
        <v>P.C.</v>
      </c>
      <c r="X1212" s="1146">
        <f t="shared" si="330"/>
        <v>4.59</v>
      </c>
      <c r="Y1212" s="1143">
        <f t="shared" si="341"/>
        <v>7824.0372216373989</v>
      </c>
      <c r="Z1212" s="1147">
        <f t="shared" si="331"/>
        <v>9674.119999999999</v>
      </c>
      <c r="AA1212" s="1144">
        <f t="shared" si="332"/>
        <v>6049.62</v>
      </c>
      <c r="AB1212" s="1144">
        <f t="shared" si="333"/>
        <v>0</v>
      </c>
      <c r="AC1212" s="1144">
        <f t="shared" si="334"/>
        <v>0</v>
      </c>
      <c r="AD1212" s="1148">
        <f t="shared" si="326"/>
        <v>6049.62</v>
      </c>
      <c r="AE1212" s="1487">
        <v>0</v>
      </c>
      <c r="AF1212" s="1145">
        <f t="shared" si="335"/>
        <v>6049.62</v>
      </c>
      <c r="AG1212" s="1149">
        <f>IFERROR(VLOOKUP(CONCATENATE($L1212,$N1212),'Drop List'!$G$23:$K$87,2,FALSE),0)</f>
        <v>0.55000000000000004</v>
      </c>
      <c r="AH1212" s="1150">
        <f>IFERROR(VLOOKUP(CONCATENATE($L1212,$N1212),'Drop List'!$G$23:$K$87,3,FALSE),0)</f>
        <v>0.44999999999999996</v>
      </c>
      <c r="AI1212" s="1150">
        <f>IFERROR(VLOOKUP(CONCATENATE($L1212,$N1212),'Drop List'!$G$23:$K$87,4,FALSE),0)</f>
        <v>0</v>
      </c>
      <c r="AJ1212" s="1151">
        <f>IFERROR(VLOOKUP(CONCATENATE($L1212,$N1212),'Drop List'!$G$23:$K$87,5,FALSE),0)</f>
        <v>0</v>
      </c>
      <c r="AK1212" s="1152">
        <f t="shared" si="336"/>
        <v>3327.2910000000002</v>
      </c>
      <c r="AL1212" s="1153">
        <f t="shared" si="337"/>
        <v>2722.3289999999997</v>
      </c>
      <c r="AM1212" s="1153">
        <f t="shared" si="338"/>
        <v>0</v>
      </c>
      <c r="AN1212" s="1145">
        <f t="shared" si="339"/>
        <v>0</v>
      </c>
      <c r="AO1212" s="1154">
        <f t="shared" si="340"/>
        <v>6049.62</v>
      </c>
      <c r="AP1212" s="1147">
        <f t="shared" si="327"/>
        <v>0</v>
      </c>
      <c r="AQ1212" s="1144">
        <f t="shared" si="328"/>
        <v>0</v>
      </c>
      <c r="AR1212" s="1146">
        <f t="shared" si="329"/>
        <v>6049.62</v>
      </c>
    </row>
    <row r="1213" spans="1:44" x14ac:dyDescent="0.2">
      <c r="A1213" s="1141" t="str">
        <f t="shared" si="342"/>
        <v>1562</v>
      </c>
      <c r="B1213" s="1141" t="str">
        <f>IFERROR(VLOOKUP(A1213,'LAC 103'!A:C,3,FALSE),"")</f>
        <v>OP</v>
      </c>
      <c r="C1213" s="1478" t="str">
        <f>Info!$B$8</f>
        <v>00100</v>
      </c>
      <c r="D1213" s="1474" t="s">
        <v>256</v>
      </c>
      <c r="E1213" s="1474" t="s">
        <v>95</v>
      </c>
      <c r="F1213" s="1478" t="s">
        <v>432</v>
      </c>
      <c r="G1213" s="1478" t="s">
        <v>432</v>
      </c>
      <c r="H1213" s="1474" t="s">
        <v>1656</v>
      </c>
      <c r="I1213" s="1478" t="s">
        <v>809</v>
      </c>
      <c r="J1213" s="1478"/>
      <c r="K1213" s="1475" t="s">
        <v>847</v>
      </c>
      <c r="L1213" s="1474" t="s">
        <v>582</v>
      </c>
      <c r="M1213" s="1476" t="s">
        <v>842</v>
      </c>
      <c r="N1213" s="1477" t="s">
        <v>1692</v>
      </c>
      <c r="O1213" s="1479">
        <v>3788</v>
      </c>
      <c r="P1213" s="1479"/>
      <c r="Q1213" s="1142">
        <f t="shared" si="343"/>
        <v>3788</v>
      </c>
      <c r="R1213" s="1143">
        <f>IFERROR(VLOOKUP(CONCATENATE(E1213,G1213),'LAC 103'!$A$12:$O$95,11,FALSE),0)</f>
        <v>5.936295312319726</v>
      </c>
      <c r="S1213" s="1144">
        <f>IFERROR(VLOOKUP(CONCATENATE($E1213,$G1213),'LAC 103'!$A$12:$O$95,12,FALSE),0)</f>
        <v>7.34</v>
      </c>
      <c r="T1213" s="1144">
        <f>IFERROR(VLOOKUP(CONCATENATE($E1213,$G1213),'LAC 103'!$A$12:$O$95,13,FALSE),0)</f>
        <v>4.59</v>
      </c>
      <c r="U1213" s="1144">
        <f>IFERROR(VLOOKUP(CONCATENATE($E1213,$G1213),'LAC 103'!$A$12:$O$95,14,FALSE),0)</f>
        <v>0</v>
      </c>
      <c r="V1213" s="1144">
        <f>IFERROR(VLOOKUP(CONCATENATE($E1213,$G1213),'LAC 103'!$A$12:$O$95,15,FALSE),0)</f>
        <v>0</v>
      </c>
      <c r="W1213" s="1145" t="str">
        <f>IFERROR(VLOOKUP(CONCATENATE($B1213,$N1213),'LAC 103'!$AI:$AQ,9,FALSE),"")</f>
        <v>Costs</v>
      </c>
      <c r="X1213" s="1146">
        <f t="shared" si="330"/>
        <v>5.936295312319726</v>
      </c>
      <c r="Y1213" s="1143">
        <f t="shared" si="341"/>
        <v>22486.686643067122</v>
      </c>
      <c r="Z1213" s="1147">
        <f t="shared" si="331"/>
        <v>27803.919999999998</v>
      </c>
      <c r="AA1213" s="1144">
        <f t="shared" si="332"/>
        <v>17386.919999999998</v>
      </c>
      <c r="AB1213" s="1144">
        <f t="shared" si="333"/>
        <v>0</v>
      </c>
      <c r="AC1213" s="1144">
        <f t="shared" si="334"/>
        <v>0</v>
      </c>
      <c r="AD1213" s="1148">
        <f t="shared" si="326"/>
        <v>22486.686643067122</v>
      </c>
      <c r="AE1213" s="1487">
        <v>0</v>
      </c>
      <c r="AF1213" s="1145">
        <f t="shared" si="335"/>
        <v>22486.686643067122</v>
      </c>
      <c r="AG1213" s="1149">
        <f>IFERROR(VLOOKUP(CONCATENATE($L1213,$N1213),'Drop List'!$G$23:$K$87,2,FALSE),0)</f>
        <v>0.56200000000000006</v>
      </c>
      <c r="AH1213" s="1150">
        <f>IFERROR(VLOOKUP(CONCATENATE($L1213,$N1213),'Drop List'!$G$23:$K$87,3,FALSE),0)</f>
        <v>0.43799999999999994</v>
      </c>
      <c r="AI1213" s="1150">
        <f>IFERROR(VLOOKUP(CONCATENATE($L1213,$N1213),'Drop List'!$G$23:$K$87,4,FALSE),0)</f>
        <v>0</v>
      </c>
      <c r="AJ1213" s="1151">
        <f>IFERROR(VLOOKUP(CONCATENATE($L1213,$N1213),'Drop List'!$G$23:$K$87,5,FALSE),0)</f>
        <v>0</v>
      </c>
      <c r="AK1213" s="1152">
        <f t="shared" si="336"/>
        <v>12637.517893403723</v>
      </c>
      <c r="AL1213" s="1153">
        <f t="shared" si="337"/>
        <v>9849.1687496633986</v>
      </c>
      <c r="AM1213" s="1153">
        <f t="shared" si="338"/>
        <v>0</v>
      </c>
      <c r="AN1213" s="1145">
        <f t="shared" si="339"/>
        <v>0</v>
      </c>
      <c r="AO1213" s="1154">
        <f t="shared" si="340"/>
        <v>22486.686643067122</v>
      </c>
      <c r="AP1213" s="1147">
        <f t="shared" si="327"/>
        <v>0</v>
      </c>
      <c r="AQ1213" s="1144">
        <f t="shared" si="328"/>
        <v>0</v>
      </c>
      <c r="AR1213" s="1146">
        <f t="shared" si="329"/>
        <v>22486.686643067122</v>
      </c>
    </row>
    <row r="1214" spans="1:44" x14ac:dyDescent="0.2">
      <c r="A1214" s="1141" t="str">
        <f t="shared" si="342"/>
        <v>1562</v>
      </c>
      <c r="B1214" s="1141" t="str">
        <f>IFERROR(VLOOKUP(A1214,'LAC 103'!A:C,3,FALSE),"")</f>
        <v>OP</v>
      </c>
      <c r="C1214" s="1478" t="str">
        <f>Info!$B$8</f>
        <v>00100</v>
      </c>
      <c r="D1214" s="1474" t="s">
        <v>256</v>
      </c>
      <c r="E1214" s="1474" t="s">
        <v>95</v>
      </c>
      <c r="F1214" s="1478" t="s">
        <v>432</v>
      </c>
      <c r="G1214" s="1478" t="s">
        <v>432</v>
      </c>
      <c r="H1214" s="1474" t="s">
        <v>1656</v>
      </c>
      <c r="I1214" s="1478" t="s">
        <v>809</v>
      </c>
      <c r="J1214" s="1478"/>
      <c r="K1214" s="1475" t="s">
        <v>847</v>
      </c>
      <c r="L1214" s="1474" t="s">
        <v>582</v>
      </c>
      <c r="M1214" s="1476" t="s">
        <v>1698</v>
      </c>
      <c r="N1214" s="1477" t="s">
        <v>1693</v>
      </c>
      <c r="O1214" s="1479">
        <v>3766</v>
      </c>
      <c r="P1214" s="1479"/>
      <c r="Q1214" s="1142">
        <f t="shared" si="343"/>
        <v>3766</v>
      </c>
      <c r="R1214" s="1143">
        <f>IFERROR(VLOOKUP(CONCATENATE(E1214,G1214),'LAC 103'!$A$12:$O$95,11,FALSE),0)</f>
        <v>5.936295312319726</v>
      </c>
      <c r="S1214" s="1144">
        <f>IFERROR(VLOOKUP(CONCATENATE($E1214,$G1214),'LAC 103'!$A$12:$O$95,12,FALSE),0)</f>
        <v>7.34</v>
      </c>
      <c r="T1214" s="1144">
        <f>IFERROR(VLOOKUP(CONCATENATE($E1214,$G1214),'LAC 103'!$A$12:$O$95,13,FALSE),0)</f>
        <v>4.59</v>
      </c>
      <c r="U1214" s="1144">
        <f>IFERROR(VLOOKUP(CONCATENATE($E1214,$G1214),'LAC 103'!$A$12:$O$95,14,FALSE),0)</f>
        <v>0</v>
      </c>
      <c r="V1214" s="1144">
        <f>IFERROR(VLOOKUP(CONCATENATE($E1214,$G1214),'LAC 103'!$A$12:$O$95,15,FALSE),0)</f>
        <v>0</v>
      </c>
      <c r="W1214" s="1145" t="str">
        <f>IFERROR(VLOOKUP(CONCATENATE($B1214,$N1214),'LAC 103'!$AI:$AQ,9,FALSE),"")</f>
        <v>Costs</v>
      </c>
      <c r="X1214" s="1146">
        <f t="shared" si="330"/>
        <v>5.936295312319726</v>
      </c>
      <c r="Y1214" s="1143">
        <f t="shared" si="341"/>
        <v>22356.088146196089</v>
      </c>
      <c r="Z1214" s="1147">
        <f t="shared" si="331"/>
        <v>27642.44</v>
      </c>
      <c r="AA1214" s="1144">
        <f t="shared" si="332"/>
        <v>17285.939999999999</v>
      </c>
      <c r="AB1214" s="1144">
        <f t="shared" si="333"/>
        <v>0</v>
      </c>
      <c r="AC1214" s="1144">
        <f t="shared" si="334"/>
        <v>0</v>
      </c>
      <c r="AD1214" s="1148">
        <f t="shared" si="326"/>
        <v>22356.088146196089</v>
      </c>
      <c r="AE1214" s="1487">
        <v>0</v>
      </c>
      <c r="AF1214" s="1145">
        <f t="shared" si="335"/>
        <v>22356.088146196089</v>
      </c>
      <c r="AG1214" s="1149">
        <f>IFERROR(VLOOKUP(CONCATENATE($L1214,$N1214),'Drop List'!$G$23:$K$87,2,FALSE),0)</f>
        <v>0.56200000000000006</v>
      </c>
      <c r="AH1214" s="1150">
        <f>IFERROR(VLOOKUP(CONCATENATE($L1214,$N1214),'Drop List'!$G$23:$K$87,3,FALSE),0)</f>
        <v>0.43799999999999994</v>
      </c>
      <c r="AI1214" s="1150">
        <f>IFERROR(VLOOKUP(CONCATENATE($L1214,$N1214),'Drop List'!$G$23:$K$87,4,FALSE),0)</f>
        <v>0</v>
      </c>
      <c r="AJ1214" s="1151">
        <f>IFERROR(VLOOKUP(CONCATENATE($L1214,$N1214),'Drop List'!$G$23:$K$87,5,FALSE),0)</f>
        <v>0</v>
      </c>
      <c r="AK1214" s="1152">
        <f t="shared" si="336"/>
        <v>12564.121538162202</v>
      </c>
      <c r="AL1214" s="1153">
        <f t="shared" si="337"/>
        <v>9791.9666080338866</v>
      </c>
      <c r="AM1214" s="1153">
        <f t="shared" si="338"/>
        <v>0</v>
      </c>
      <c r="AN1214" s="1145">
        <f t="shared" si="339"/>
        <v>0</v>
      </c>
      <c r="AO1214" s="1154">
        <f t="shared" si="340"/>
        <v>22356.088146196089</v>
      </c>
      <c r="AP1214" s="1147">
        <f t="shared" si="327"/>
        <v>0</v>
      </c>
      <c r="AQ1214" s="1144">
        <f t="shared" si="328"/>
        <v>0</v>
      </c>
      <c r="AR1214" s="1146">
        <f t="shared" si="329"/>
        <v>22356.088146196089</v>
      </c>
    </row>
    <row r="1215" spans="1:44" x14ac:dyDescent="0.2">
      <c r="A1215" s="1141" t="str">
        <f t="shared" si="342"/>
        <v>1562</v>
      </c>
      <c r="B1215" s="1141" t="str">
        <f>IFERROR(VLOOKUP(A1215,'LAC 103'!A:C,3,FALSE),"")</f>
        <v>OP</v>
      </c>
      <c r="C1215" s="1478" t="str">
        <f>Info!$B$8</f>
        <v>00100</v>
      </c>
      <c r="D1215" s="1474" t="s">
        <v>256</v>
      </c>
      <c r="E1215" s="1474" t="s">
        <v>95</v>
      </c>
      <c r="F1215" s="1478" t="s">
        <v>432</v>
      </c>
      <c r="G1215" s="1478" t="s">
        <v>432</v>
      </c>
      <c r="H1215" s="1474" t="s">
        <v>1656</v>
      </c>
      <c r="I1215" s="1478" t="s">
        <v>809</v>
      </c>
      <c r="J1215" s="1478"/>
      <c r="K1215" s="1475" t="s">
        <v>848</v>
      </c>
      <c r="L1215" s="1474" t="s">
        <v>45</v>
      </c>
      <c r="M1215" s="1476" t="s">
        <v>1699</v>
      </c>
      <c r="N1215" s="1477" t="s">
        <v>1694</v>
      </c>
      <c r="O1215" s="1479">
        <v>1886</v>
      </c>
      <c r="P1215" s="1479"/>
      <c r="Q1215" s="1142">
        <f t="shared" si="343"/>
        <v>1886</v>
      </c>
      <c r="R1215" s="1143">
        <f>IFERROR(VLOOKUP(CONCATENATE(E1215,G1215),'LAC 103'!$A$12:$O$95,11,FALSE),0)</f>
        <v>5.936295312319726</v>
      </c>
      <c r="S1215" s="1144">
        <f>IFERROR(VLOOKUP(CONCATENATE($E1215,$G1215),'LAC 103'!$A$12:$O$95,12,FALSE),0)</f>
        <v>7.34</v>
      </c>
      <c r="T1215" s="1144">
        <f>IFERROR(VLOOKUP(CONCATENATE($E1215,$G1215),'LAC 103'!$A$12:$O$95,13,FALSE),0)</f>
        <v>4.59</v>
      </c>
      <c r="U1215" s="1144">
        <f>IFERROR(VLOOKUP(CONCATENATE($E1215,$G1215),'LAC 103'!$A$12:$O$95,14,FALSE),0)</f>
        <v>0</v>
      </c>
      <c r="V1215" s="1144">
        <f>IFERROR(VLOOKUP(CONCATENATE($E1215,$G1215),'LAC 103'!$A$12:$O$95,15,FALSE),0)</f>
        <v>0</v>
      </c>
      <c r="W1215" s="1145" t="str">
        <f>IFERROR(VLOOKUP(CONCATENATE($B1215,$N1215),'LAC 103'!$AI:$AQ,9,FALSE),"")</f>
        <v>Costs</v>
      </c>
      <c r="X1215" s="1146">
        <f t="shared" si="330"/>
        <v>5.936295312319726</v>
      </c>
      <c r="Y1215" s="1143">
        <f t="shared" si="341"/>
        <v>11195.852959035003</v>
      </c>
      <c r="Z1215" s="1147">
        <f t="shared" si="331"/>
        <v>13843.24</v>
      </c>
      <c r="AA1215" s="1144">
        <f t="shared" si="332"/>
        <v>8656.74</v>
      </c>
      <c r="AB1215" s="1144">
        <f t="shared" si="333"/>
        <v>0</v>
      </c>
      <c r="AC1215" s="1144">
        <f t="shared" si="334"/>
        <v>0</v>
      </c>
      <c r="AD1215" s="1148">
        <f t="shared" si="326"/>
        <v>11195.852959035003</v>
      </c>
      <c r="AE1215" s="1487">
        <v>0</v>
      </c>
      <c r="AF1215" s="1145">
        <f t="shared" si="335"/>
        <v>11195.852959035003</v>
      </c>
      <c r="AG1215" s="1149">
        <f>IFERROR(VLOOKUP(CONCATENATE($L1215,$N1215),'Drop List'!$G$23:$K$87,2,FALSE),0)</f>
        <v>0.69340000000000002</v>
      </c>
      <c r="AH1215" s="1150">
        <f>IFERROR(VLOOKUP(CONCATENATE($L1215,$N1215),'Drop List'!$G$23:$K$87,3,FALSE),0)</f>
        <v>0.30659999999999998</v>
      </c>
      <c r="AI1215" s="1150">
        <f>IFERROR(VLOOKUP(CONCATENATE($L1215,$N1215),'Drop List'!$G$23:$K$87,4,FALSE),0)</f>
        <v>0</v>
      </c>
      <c r="AJ1215" s="1151">
        <f>IFERROR(VLOOKUP(CONCATENATE($L1215,$N1215),'Drop List'!$G$23:$K$87,5,FALSE),0)</f>
        <v>0</v>
      </c>
      <c r="AK1215" s="1152">
        <f t="shared" si="336"/>
        <v>7763.2044417948709</v>
      </c>
      <c r="AL1215" s="1153">
        <f t="shared" si="337"/>
        <v>3432.6485172401317</v>
      </c>
      <c r="AM1215" s="1153">
        <f t="shared" si="338"/>
        <v>0</v>
      </c>
      <c r="AN1215" s="1145">
        <f t="shared" si="339"/>
        <v>0</v>
      </c>
      <c r="AO1215" s="1154">
        <f t="shared" si="340"/>
        <v>11195.852959035003</v>
      </c>
      <c r="AP1215" s="1147">
        <f t="shared" si="327"/>
        <v>0</v>
      </c>
      <c r="AQ1215" s="1144">
        <f t="shared" si="328"/>
        <v>0</v>
      </c>
      <c r="AR1215" s="1146">
        <f t="shared" si="329"/>
        <v>11195.852959035003</v>
      </c>
    </row>
    <row r="1216" spans="1:44" x14ac:dyDescent="0.2">
      <c r="A1216" s="1141" t="str">
        <f t="shared" si="342"/>
        <v>1562</v>
      </c>
      <c r="B1216" s="1141" t="str">
        <f>IFERROR(VLOOKUP(A1216,'LAC 103'!A:C,3,FALSE),"")</f>
        <v>OP</v>
      </c>
      <c r="C1216" s="1478" t="str">
        <f>Info!$B$8</f>
        <v>00100</v>
      </c>
      <c r="D1216" s="1474" t="s">
        <v>256</v>
      </c>
      <c r="E1216" s="1474" t="s">
        <v>95</v>
      </c>
      <c r="F1216" s="1478" t="s">
        <v>432</v>
      </c>
      <c r="G1216" s="1478" t="s">
        <v>432</v>
      </c>
      <c r="H1216" s="1474" t="s">
        <v>1656</v>
      </c>
      <c r="I1216" s="1478" t="s">
        <v>809</v>
      </c>
      <c r="J1216" s="1478"/>
      <c r="K1216" s="1475" t="s">
        <v>848</v>
      </c>
      <c r="L1216" s="1474" t="s">
        <v>45</v>
      </c>
      <c r="M1216" s="1476" t="s">
        <v>841</v>
      </c>
      <c r="N1216" s="1477" t="s">
        <v>1695</v>
      </c>
      <c r="O1216" s="1479">
        <v>559</v>
      </c>
      <c r="P1216" s="1479"/>
      <c r="Q1216" s="1142">
        <f t="shared" si="343"/>
        <v>559</v>
      </c>
      <c r="R1216" s="1143">
        <f>IFERROR(VLOOKUP(CONCATENATE(E1216,G1216),'LAC 103'!$A$12:$O$95,11,FALSE),0)</f>
        <v>5.936295312319726</v>
      </c>
      <c r="S1216" s="1144">
        <f>IFERROR(VLOOKUP(CONCATENATE($E1216,$G1216),'LAC 103'!$A$12:$O$95,12,FALSE),0)</f>
        <v>7.34</v>
      </c>
      <c r="T1216" s="1144">
        <f>IFERROR(VLOOKUP(CONCATENATE($E1216,$G1216),'LAC 103'!$A$12:$O$95,13,FALSE),0)</f>
        <v>4.59</v>
      </c>
      <c r="U1216" s="1144">
        <f>IFERROR(VLOOKUP(CONCATENATE($E1216,$G1216),'LAC 103'!$A$12:$O$95,14,FALSE),0)</f>
        <v>0</v>
      </c>
      <c r="V1216" s="1144">
        <f>IFERROR(VLOOKUP(CONCATENATE($E1216,$G1216),'LAC 103'!$A$12:$O$95,15,FALSE),0)</f>
        <v>0</v>
      </c>
      <c r="W1216" s="1145" t="str">
        <f>IFERROR(VLOOKUP(CONCATENATE($B1216,$N1216),'LAC 103'!$AI:$AQ,9,FALSE),"")</f>
        <v>Costs</v>
      </c>
      <c r="X1216" s="1146">
        <f t="shared" si="330"/>
        <v>5.936295312319726</v>
      </c>
      <c r="Y1216" s="1143">
        <f t="shared" si="341"/>
        <v>3318.3890795867269</v>
      </c>
      <c r="Z1216" s="1147">
        <f t="shared" si="331"/>
        <v>4103.0599999999995</v>
      </c>
      <c r="AA1216" s="1144">
        <f t="shared" si="332"/>
        <v>2565.81</v>
      </c>
      <c r="AB1216" s="1144">
        <f t="shared" si="333"/>
        <v>0</v>
      </c>
      <c r="AC1216" s="1144">
        <f t="shared" si="334"/>
        <v>0</v>
      </c>
      <c r="AD1216" s="1148">
        <f t="shared" si="326"/>
        <v>3318.3890795867269</v>
      </c>
      <c r="AE1216" s="1487">
        <v>0</v>
      </c>
      <c r="AF1216" s="1145">
        <f t="shared" si="335"/>
        <v>3318.3890795867269</v>
      </c>
      <c r="AG1216" s="1149">
        <f>IFERROR(VLOOKUP(CONCATENATE($L1216,$N1216),'Drop List'!$G$23:$K$87,2,FALSE),0)</f>
        <v>0.68500000000000005</v>
      </c>
      <c r="AH1216" s="1150">
        <f>IFERROR(VLOOKUP(CONCATENATE($L1216,$N1216),'Drop List'!$G$23:$K$87,3,FALSE),0)</f>
        <v>0.31499999999999995</v>
      </c>
      <c r="AI1216" s="1150">
        <f>IFERROR(VLOOKUP(CONCATENATE($L1216,$N1216),'Drop List'!$G$23:$K$87,4,FALSE),0)</f>
        <v>0</v>
      </c>
      <c r="AJ1216" s="1151">
        <f>IFERROR(VLOOKUP(CONCATENATE($L1216,$N1216),'Drop List'!$G$23:$K$87,5,FALSE),0)</f>
        <v>0</v>
      </c>
      <c r="AK1216" s="1152">
        <f t="shared" si="336"/>
        <v>2273.0965195169083</v>
      </c>
      <c r="AL1216" s="1153">
        <f t="shared" si="337"/>
        <v>1045.2925600698188</v>
      </c>
      <c r="AM1216" s="1153">
        <f t="shared" si="338"/>
        <v>0</v>
      </c>
      <c r="AN1216" s="1145">
        <f t="shared" si="339"/>
        <v>0</v>
      </c>
      <c r="AO1216" s="1154">
        <f t="shared" si="340"/>
        <v>3318.3890795867273</v>
      </c>
      <c r="AP1216" s="1147">
        <f t="shared" si="327"/>
        <v>0</v>
      </c>
      <c r="AQ1216" s="1144">
        <f t="shared" si="328"/>
        <v>0</v>
      </c>
      <c r="AR1216" s="1146">
        <f t="shared" si="329"/>
        <v>3318.3890795867273</v>
      </c>
    </row>
    <row r="1217" spans="1:44" x14ac:dyDescent="0.2">
      <c r="A1217" s="1141" t="str">
        <f t="shared" si="342"/>
        <v>1562</v>
      </c>
      <c r="B1217" s="1141" t="str">
        <f>IFERROR(VLOOKUP(A1217,'LAC 103'!A:C,3,FALSE),"")</f>
        <v>OP</v>
      </c>
      <c r="C1217" s="1478" t="str">
        <f>Info!$B$8</f>
        <v>00100</v>
      </c>
      <c r="D1217" s="1474" t="s">
        <v>256</v>
      </c>
      <c r="E1217" s="1474" t="s">
        <v>95</v>
      </c>
      <c r="F1217" s="1478" t="s">
        <v>432</v>
      </c>
      <c r="G1217" s="1478" t="s">
        <v>432</v>
      </c>
      <c r="H1217" s="1474" t="s">
        <v>1656</v>
      </c>
      <c r="I1217" s="1478" t="s">
        <v>809</v>
      </c>
      <c r="J1217" s="1478"/>
      <c r="K1217" s="1475" t="s">
        <v>848</v>
      </c>
      <c r="L1217" s="1474" t="s">
        <v>45</v>
      </c>
      <c r="M1217" s="1476" t="s">
        <v>840</v>
      </c>
      <c r="N1217" s="1477" t="s">
        <v>1700</v>
      </c>
      <c r="O1217" s="1479">
        <v>1046</v>
      </c>
      <c r="P1217" s="1479"/>
      <c r="Q1217" s="1142">
        <f t="shared" si="343"/>
        <v>1046</v>
      </c>
      <c r="R1217" s="1143">
        <f>IFERROR(VLOOKUP(CONCATENATE(E1217,G1217),'LAC 103'!$A$12:$O$95,11,FALSE),0)</f>
        <v>5.936295312319726</v>
      </c>
      <c r="S1217" s="1144">
        <f>IFERROR(VLOOKUP(CONCATENATE($E1217,$G1217),'LAC 103'!$A$12:$O$95,12,FALSE),0)</f>
        <v>7.34</v>
      </c>
      <c r="T1217" s="1144">
        <f>IFERROR(VLOOKUP(CONCATENATE($E1217,$G1217),'LAC 103'!$A$12:$O$95,13,FALSE),0)</f>
        <v>4.59</v>
      </c>
      <c r="U1217" s="1144">
        <f>IFERROR(VLOOKUP(CONCATENATE($E1217,$G1217),'LAC 103'!$A$12:$O$95,14,FALSE),0)</f>
        <v>0</v>
      </c>
      <c r="V1217" s="1144">
        <f>IFERROR(VLOOKUP(CONCATENATE($E1217,$G1217),'LAC 103'!$A$12:$O$95,15,FALSE),0)</f>
        <v>0</v>
      </c>
      <c r="W1217" s="1145" t="str">
        <f>IFERROR(VLOOKUP(CONCATENATE($B1217,$N1217),'LAC 103'!$AI:$AQ,9,FALSE),"")</f>
        <v>P.C.</v>
      </c>
      <c r="X1217" s="1146">
        <f t="shared" si="330"/>
        <v>4.59</v>
      </c>
      <c r="Y1217" s="1143">
        <f t="shared" si="341"/>
        <v>6209.364896686433</v>
      </c>
      <c r="Z1217" s="1147">
        <f t="shared" si="331"/>
        <v>7677.6399999999994</v>
      </c>
      <c r="AA1217" s="1144">
        <f t="shared" si="332"/>
        <v>4801.1399999999994</v>
      </c>
      <c r="AB1217" s="1144">
        <f t="shared" si="333"/>
        <v>0</v>
      </c>
      <c r="AC1217" s="1144">
        <f t="shared" si="334"/>
        <v>0</v>
      </c>
      <c r="AD1217" s="1148">
        <f t="shared" si="326"/>
        <v>4801.1399999999994</v>
      </c>
      <c r="AE1217" s="1487">
        <v>0</v>
      </c>
      <c r="AF1217" s="1145">
        <f t="shared" si="335"/>
        <v>4801.1399999999994</v>
      </c>
      <c r="AG1217" s="1149">
        <f>IFERROR(VLOOKUP(CONCATENATE($L1217,$N1217),'Drop List'!$G$23:$K$87,2,FALSE),0)</f>
        <v>0.68500000000000005</v>
      </c>
      <c r="AH1217" s="1150">
        <f>IFERROR(VLOOKUP(CONCATENATE($L1217,$N1217),'Drop List'!$G$23:$K$87,3,FALSE),0)</f>
        <v>0.31499999999999995</v>
      </c>
      <c r="AI1217" s="1150">
        <f>IFERROR(VLOOKUP(CONCATENATE($L1217,$N1217),'Drop List'!$G$23:$K$87,4,FALSE),0)</f>
        <v>0</v>
      </c>
      <c r="AJ1217" s="1151">
        <f>IFERROR(VLOOKUP(CONCATENATE($L1217,$N1217),'Drop List'!$G$23:$K$87,5,FALSE),0)</f>
        <v>0</v>
      </c>
      <c r="AK1217" s="1152">
        <f t="shared" si="336"/>
        <v>3288.7808999999997</v>
      </c>
      <c r="AL1217" s="1153">
        <f t="shared" si="337"/>
        <v>1512.3590999999997</v>
      </c>
      <c r="AM1217" s="1153">
        <f t="shared" si="338"/>
        <v>0</v>
      </c>
      <c r="AN1217" s="1145">
        <f t="shared" si="339"/>
        <v>0</v>
      </c>
      <c r="AO1217" s="1154">
        <f t="shared" si="340"/>
        <v>4801.1399999999994</v>
      </c>
      <c r="AP1217" s="1147">
        <f t="shared" si="327"/>
        <v>0</v>
      </c>
      <c r="AQ1217" s="1144">
        <f t="shared" si="328"/>
        <v>0</v>
      </c>
      <c r="AR1217" s="1146">
        <f t="shared" si="329"/>
        <v>4801.1399999999994</v>
      </c>
    </row>
    <row r="1218" spans="1:44" x14ac:dyDescent="0.2">
      <c r="A1218" s="1141" t="str">
        <f t="shared" si="342"/>
        <v>1562</v>
      </c>
      <c r="B1218" s="1141" t="str">
        <f>IFERROR(VLOOKUP(A1218,'LAC 103'!A:C,3,FALSE),"")</f>
        <v>OP</v>
      </c>
      <c r="C1218" s="1478" t="str">
        <f>Info!$B$8</f>
        <v>00100</v>
      </c>
      <c r="D1218" s="1474" t="s">
        <v>256</v>
      </c>
      <c r="E1218" s="1474" t="s">
        <v>95</v>
      </c>
      <c r="F1218" s="1478" t="s">
        <v>432</v>
      </c>
      <c r="G1218" s="1478" t="s">
        <v>432</v>
      </c>
      <c r="H1218" s="1474" t="s">
        <v>1656</v>
      </c>
      <c r="I1218" s="1478" t="s">
        <v>809</v>
      </c>
      <c r="J1218" s="1478"/>
      <c r="K1218" s="1475" t="s">
        <v>848</v>
      </c>
      <c r="L1218" s="1474" t="s">
        <v>45</v>
      </c>
      <c r="M1218" s="1476" t="s">
        <v>842</v>
      </c>
      <c r="N1218" s="1477" t="s">
        <v>1692</v>
      </c>
      <c r="O1218" s="1479">
        <v>2476</v>
      </c>
      <c r="P1218" s="1479"/>
      <c r="Q1218" s="1142">
        <f t="shared" si="343"/>
        <v>2476</v>
      </c>
      <c r="R1218" s="1143">
        <f>IFERROR(VLOOKUP(CONCATENATE(E1218,G1218),'LAC 103'!$A$12:$O$95,11,FALSE),0)</f>
        <v>5.936295312319726</v>
      </c>
      <c r="S1218" s="1144">
        <f>IFERROR(VLOOKUP(CONCATENATE($E1218,$G1218),'LAC 103'!$A$12:$O$95,12,FALSE),0)</f>
        <v>7.34</v>
      </c>
      <c r="T1218" s="1144">
        <f>IFERROR(VLOOKUP(CONCATENATE($E1218,$G1218),'LAC 103'!$A$12:$O$95,13,FALSE),0)</f>
        <v>4.59</v>
      </c>
      <c r="U1218" s="1144">
        <f>IFERROR(VLOOKUP(CONCATENATE($E1218,$G1218),'LAC 103'!$A$12:$O$95,14,FALSE),0)</f>
        <v>0</v>
      </c>
      <c r="V1218" s="1144">
        <f>IFERROR(VLOOKUP(CONCATENATE($E1218,$G1218),'LAC 103'!$A$12:$O$95,15,FALSE),0)</f>
        <v>0</v>
      </c>
      <c r="W1218" s="1145" t="str">
        <f>IFERROR(VLOOKUP(CONCATENATE($B1218,$N1218),'LAC 103'!$AI:$AQ,9,FALSE),"")</f>
        <v>Costs</v>
      </c>
      <c r="X1218" s="1146">
        <f t="shared" si="330"/>
        <v>5.936295312319726</v>
      </c>
      <c r="Y1218" s="1143">
        <f t="shared" si="341"/>
        <v>14698.267193303642</v>
      </c>
      <c r="Z1218" s="1147">
        <f t="shared" si="331"/>
        <v>18173.84</v>
      </c>
      <c r="AA1218" s="1144">
        <f t="shared" si="332"/>
        <v>11364.84</v>
      </c>
      <c r="AB1218" s="1144">
        <f t="shared" si="333"/>
        <v>0</v>
      </c>
      <c r="AC1218" s="1144">
        <f t="shared" si="334"/>
        <v>0</v>
      </c>
      <c r="AD1218" s="1148">
        <f t="shared" si="326"/>
        <v>14698.267193303642</v>
      </c>
      <c r="AE1218" s="1487">
        <v>0</v>
      </c>
      <c r="AF1218" s="1145">
        <f t="shared" si="335"/>
        <v>14698.267193303642</v>
      </c>
      <c r="AG1218" s="1149">
        <f>IFERROR(VLOOKUP(CONCATENATE($L1218,$N1218),'Drop List'!$G$23:$K$87,2,FALSE),0)</f>
        <v>0.69340000000000002</v>
      </c>
      <c r="AH1218" s="1150">
        <f>IFERROR(VLOOKUP(CONCATENATE($L1218,$N1218),'Drop List'!$G$23:$K$87,3,FALSE),0)</f>
        <v>0.30659999999999998</v>
      </c>
      <c r="AI1218" s="1150">
        <f>IFERROR(VLOOKUP(CONCATENATE($L1218,$N1218),'Drop List'!$G$23:$K$87,4,FALSE),0)</f>
        <v>0</v>
      </c>
      <c r="AJ1218" s="1151">
        <f>IFERROR(VLOOKUP(CONCATENATE($L1218,$N1218),'Drop List'!$G$23:$K$87,5,FALSE),0)</f>
        <v>0</v>
      </c>
      <c r="AK1218" s="1152">
        <f t="shared" si="336"/>
        <v>10191.778471836746</v>
      </c>
      <c r="AL1218" s="1153">
        <f t="shared" si="337"/>
        <v>4506.4887214668961</v>
      </c>
      <c r="AM1218" s="1153">
        <f t="shared" si="338"/>
        <v>0</v>
      </c>
      <c r="AN1218" s="1145">
        <f t="shared" si="339"/>
        <v>0</v>
      </c>
      <c r="AO1218" s="1154">
        <f t="shared" si="340"/>
        <v>14698.267193303642</v>
      </c>
      <c r="AP1218" s="1147">
        <f t="shared" si="327"/>
        <v>0</v>
      </c>
      <c r="AQ1218" s="1144">
        <f t="shared" si="328"/>
        <v>0</v>
      </c>
      <c r="AR1218" s="1146">
        <f t="shared" si="329"/>
        <v>14698.267193303642</v>
      </c>
    </row>
    <row r="1219" spans="1:44" x14ac:dyDescent="0.2">
      <c r="A1219" s="1141" t="str">
        <f t="shared" si="342"/>
        <v>1562</v>
      </c>
      <c r="B1219" s="1141" t="str">
        <f>IFERROR(VLOOKUP(A1219,'LAC 103'!A:C,3,FALSE),"")</f>
        <v>OP</v>
      </c>
      <c r="C1219" s="1478" t="str">
        <f>Info!$B$8</f>
        <v>00100</v>
      </c>
      <c r="D1219" s="1474" t="s">
        <v>256</v>
      </c>
      <c r="E1219" s="1474" t="s">
        <v>95</v>
      </c>
      <c r="F1219" s="1478" t="s">
        <v>432</v>
      </c>
      <c r="G1219" s="1478" t="s">
        <v>432</v>
      </c>
      <c r="H1219" s="1474" t="s">
        <v>1656</v>
      </c>
      <c r="I1219" s="1478" t="s">
        <v>809</v>
      </c>
      <c r="J1219" s="1478"/>
      <c r="K1219" s="1475" t="s">
        <v>848</v>
      </c>
      <c r="L1219" s="1474" t="s">
        <v>45</v>
      </c>
      <c r="M1219" s="1476" t="s">
        <v>1698</v>
      </c>
      <c r="N1219" s="1477" t="s">
        <v>1693</v>
      </c>
      <c r="O1219" s="1479">
        <v>1937</v>
      </c>
      <c r="P1219" s="1479"/>
      <c r="Q1219" s="1142">
        <f t="shared" si="343"/>
        <v>1937</v>
      </c>
      <c r="R1219" s="1143">
        <f>IFERROR(VLOOKUP(CONCATENATE(E1219,G1219),'LAC 103'!$A$12:$O$95,11,FALSE),0)</f>
        <v>5.936295312319726</v>
      </c>
      <c r="S1219" s="1144">
        <f>IFERROR(VLOOKUP(CONCATENATE($E1219,$G1219),'LAC 103'!$A$12:$O$95,12,FALSE),0)</f>
        <v>7.34</v>
      </c>
      <c r="T1219" s="1144">
        <f>IFERROR(VLOOKUP(CONCATENATE($E1219,$G1219),'LAC 103'!$A$12:$O$95,13,FALSE),0)</f>
        <v>4.59</v>
      </c>
      <c r="U1219" s="1144">
        <f>IFERROR(VLOOKUP(CONCATENATE($E1219,$G1219),'LAC 103'!$A$12:$O$95,14,FALSE),0)</f>
        <v>0</v>
      </c>
      <c r="V1219" s="1144">
        <f>IFERROR(VLOOKUP(CONCATENATE($E1219,$G1219),'LAC 103'!$A$12:$O$95,15,FALSE),0)</f>
        <v>0</v>
      </c>
      <c r="W1219" s="1145" t="str">
        <f>IFERROR(VLOOKUP(CONCATENATE($B1219,$N1219),'LAC 103'!$AI:$AQ,9,FALSE),"")</f>
        <v>Costs</v>
      </c>
      <c r="X1219" s="1146">
        <f t="shared" si="330"/>
        <v>5.936295312319726</v>
      </c>
      <c r="Y1219" s="1143">
        <f t="shared" si="341"/>
        <v>11498.60401996331</v>
      </c>
      <c r="Z1219" s="1147">
        <f t="shared" si="331"/>
        <v>14217.58</v>
      </c>
      <c r="AA1219" s="1144">
        <f t="shared" si="332"/>
        <v>8890.83</v>
      </c>
      <c r="AB1219" s="1144">
        <f t="shared" si="333"/>
        <v>0</v>
      </c>
      <c r="AC1219" s="1144">
        <f t="shared" si="334"/>
        <v>0</v>
      </c>
      <c r="AD1219" s="1148">
        <f t="shared" si="326"/>
        <v>11498.60401996331</v>
      </c>
      <c r="AE1219" s="1487">
        <v>0</v>
      </c>
      <c r="AF1219" s="1145">
        <f t="shared" si="335"/>
        <v>11498.60401996331</v>
      </c>
      <c r="AG1219" s="1149">
        <f>IFERROR(VLOOKUP(CONCATENATE($L1219,$N1219),'Drop List'!$G$23:$K$87,2,FALSE),0)</f>
        <v>0.69340000000000002</v>
      </c>
      <c r="AH1219" s="1150">
        <f>IFERROR(VLOOKUP(CONCATENATE($L1219,$N1219),'Drop List'!$G$23:$K$87,3,FALSE),0)</f>
        <v>0.30659999999999998</v>
      </c>
      <c r="AI1219" s="1150">
        <f>IFERROR(VLOOKUP(CONCATENATE($L1219,$N1219),'Drop List'!$G$23:$K$87,4,FALSE),0)</f>
        <v>0</v>
      </c>
      <c r="AJ1219" s="1151">
        <f>IFERROR(VLOOKUP(CONCATENATE($L1219,$N1219),'Drop List'!$G$23:$K$87,5,FALSE),0)</f>
        <v>0</v>
      </c>
      <c r="AK1219" s="1152">
        <f t="shared" si="336"/>
        <v>7973.1320274425589</v>
      </c>
      <c r="AL1219" s="1153">
        <f t="shared" si="337"/>
        <v>3525.4719925207505</v>
      </c>
      <c r="AM1219" s="1153">
        <f t="shared" si="338"/>
        <v>0</v>
      </c>
      <c r="AN1219" s="1145">
        <f t="shared" si="339"/>
        <v>0</v>
      </c>
      <c r="AO1219" s="1154">
        <f t="shared" si="340"/>
        <v>11498.60401996331</v>
      </c>
      <c r="AP1219" s="1147">
        <f t="shared" si="327"/>
        <v>0</v>
      </c>
      <c r="AQ1219" s="1144">
        <f t="shared" si="328"/>
        <v>0</v>
      </c>
      <c r="AR1219" s="1146">
        <f t="shared" si="329"/>
        <v>11498.60401996331</v>
      </c>
    </row>
    <row r="1220" spans="1:44" x14ac:dyDescent="0.2">
      <c r="A1220" s="1141" t="str">
        <f t="shared" si="342"/>
        <v>1562</v>
      </c>
      <c r="B1220" s="1141" t="str">
        <f>IFERROR(VLOOKUP(A1220,'LAC 103'!A:C,3,FALSE),"")</f>
        <v>OP</v>
      </c>
      <c r="C1220" s="1478" t="str">
        <f>Info!$B$8</f>
        <v>00100</v>
      </c>
      <c r="D1220" s="1474" t="s">
        <v>256</v>
      </c>
      <c r="E1220" s="1474" t="s">
        <v>95</v>
      </c>
      <c r="F1220" s="1478" t="s">
        <v>432</v>
      </c>
      <c r="G1220" s="1478" t="s">
        <v>432</v>
      </c>
      <c r="H1220" s="1474" t="s">
        <v>1656</v>
      </c>
      <c r="I1220" s="1478" t="s">
        <v>809</v>
      </c>
      <c r="J1220" s="1478"/>
      <c r="K1220" s="1475" t="s">
        <v>849</v>
      </c>
      <c r="L1220" s="1474" t="s">
        <v>77</v>
      </c>
      <c r="M1220" s="1476" t="s">
        <v>1699</v>
      </c>
      <c r="N1220" s="1477" t="s">
        <v>1694</v>
      </c>
      <c r="O1220" s="1479">
        <v>6623</v>
      </c>
      <c r="P1220" s="1479"/>
      <c r="Q1220" s="1142">
        <f t="shared" si="343"/>
        <v>6623</v>
      </c>
      <c r="R1220" s="1143">
        <f>IFERROR(VLOOKUP(CONCATENATE(E1220,G1220),'LAC 103'!$A$12:$O$95,11,FALSE),0)</f>
        <v>5.936295312319726</v>
      </c>
      <c r="S1220" s="1144">
        <f>IFERROR(VLOOKUP(CONCATENATE($E1220,$G1220),'LAC 103'!$A$12:$O$95,12,FALSE),0)</f>
        <v>7.34</v>
      </c>
      <c r="T1220" s="1144">
        <f>IFERROR(VLOOKUP(CONCATENATE($E1220,$G1220),'LAC 103'!$A$12:$O$95,13,FALSE),0)</f>
        <v>4.59</v>
      </c>
      <c r="U1220" s="1144">
        <f>IFERROR(VLOOKUP(CONCATENATE($E1220,$G1220),'LAC 103'!$A$12:$O$95,14,FALSE),0)</f>
        <v>0</v>
      </c>
      <c r="V1220" s="1144">
        <f>IFERROR(VLOOKUP(CONCATENATE($E1220,$G1220),'LAC 103'!$A$12:$O$95,15,FALSE),0)</f>
        <v>0</v>
      </c>
      <c r="W1220" s="1145" t="str">
        <f>IFERROR(VLOOKUP(CONCATENATE($B1220,$N1220),'LAC 103'!$AI:$AQ,9,FALSE),"")</f>
        <v>Costs</v>
      </c>
      <c r="X1220" s="1146">
        <f t="shared" si="330"/>
        <v>5.936295312319726</v>
      </c>
      <c r="Y1220" s="1143">
        <f t="shared" si="341"/>
        <v>39316.083853493546</v>
      </c>
      <c r="Z1220" s="1147">
        <f t="shared" si="331"/>
        <v>48612.82</v>
      </c>
      <c r="AA1220" s="1144">
        <f t="shared" si="332"/>
        <v>30399.57</v>
      </c>
      <c r="AB1220" s="1144">
        <f t="shared" si="333"/>
        <v>0</v>
      </c>
      <c r="AC1220" s="1144">
        <f t="shared" si="334"/>
        <v>0</v>
      </c>
      <c r="AD1220" s="1148">
        <f t="shared" si="326"/>
        <v>39316.083853493546</v>
      </c>
      <c r="AE1220" s="1487">
        <v>0</v>
      </c>
      <c r="AF1220" s="1145">
        <f t="shared" si="335"/>
        <v>39316.083853493546</v>
      </c>
      <c r="AG1220" s="1149">
        <f>IFERROR(VLOOKUP(CONCATENATE($L1220,$N1220),'Drop List'!$G$23:$K$87,2,FALSE),0)</f>
        <v>0.9</v>
      </c>
      <c r="AH1220" s="1150">
        <f>IFERROR(VLOOKUP(CONCATENATE($L1220,$N1220),'Drop List'!$G$23:$K$87,3,FALSE),0)</f>
        <v>0</v>
      </c>
      <c r="AI1220" s="1150">
        <f>IFERROR(VLOOKUP(CONCATENATE($L1220,$N1220),'Drop List'!$G$23:$K$87,4,FALSE),0)</f>
        <v>0.1</v>
      </c>
      <c r="AJ1220" s="1151">
        <f>IFERROR(VLOOKUP(CONCATENATE($L1220,$N1220),'Drop List'!$G$23:$K$87,5,FALSE),0)</f>
        <v>0</v>
      </c>
      <c r="AK1220" s="1152">
        <f t="shared" si="336"/>
        <v>35384.475468144192</v>
      </c>
      <c r="AL1220" s="1153">
        <f t="shared" si="337"/>
        <v>0</v>
      </c>
      <c r="AM1220" s="1153">
        <f t="shared" si="338"/>
        <v>3931.6083853493546</v>
      </c>
      <c r="AN1220" s="1145">
        <f t="shared" si="339"/>
        <v>0</v>
      </c>
      <c r="AO1220" s="1154">
        <f t="shared" si="340"/>
        <v>39316.083853493546</v>
      </c>
      <c r="AP1220" s="1147">
        <f t="shared" si="327"/>
        <v>0</v>
      </c>
      <c r="AQ1220" s="1144">
        <f t="shared" si="328"/>
        <v>0</v>
      </c>
      <c r="AR1220" s="1146">
        <f t="shared" si="329"/>
        <v>39316.083853493546</v>
      </c>
    </row>
    <row r="1221" spans="1:44" x14ac:dyDescent="0.2">
      <c r="A1221" s="1141" t="str">
        <f t="shared" si="342"/>
        <v>1562</v>
      </c>
      <c r="B1221" s="1141" t="str">
        <f>IFERROR(VLOOKUP(A1221,'LAC 103'!A:C,3,FALSE),"")</f>
        <v>OP</v>
      </c>
      <c r="C1221" s="1478" t="str">
        <f>Info!$B$8</f>
        <v>00100</v>
      </c>
      <c r="D1221" s="1474" t="s">
        <v>256</v>
      </c>
      <c r="E1221" s="1474" t="s">
        <v>95</v>
      </c>
      <c r="F1221" s="1478" t="s">
        <v>432</v>
      </c>
      <c r="G1221" s="1478" t="s">
        <v>432</v>
      </c>
      <c r="H1221" s="1474" t="s">
        <v>1656</v>
      </c>
      <c r="I1221" s="1478" t="s">
        <v>809</v>
      </c>
      <c r="J1221" s="1478"/>
      <c r="K1221" s="1475" t="s">
        <v>849</v>
      </c>
      <c r="L1221" s="1474" t="s">
        <v>77</v>
      </c>
      <c r="M1221" s="1476" t="s">
        <v>841</v>
      </c>
      <c r="N1221" s="1477" t="s">
        <v>1695</v>
      </c>
      <c r="O1221" s="1479">
        <v>2455</v>
      </c>
      <c r="P1221" s="1479"/>
      <c r="Q1221" s="1142">
        <f t="shared" si="343"/>
        <v>2455</v>
      </c>
      <c r="R1221" s="1143">
        <f>IFERROR(VLOOKUP(CONCATENATE(E1221,G1221),'LAC 103'!$A$12:$O$95,11,FALSE),0)</f>
        <v>5.936295312319726</v>
      </c>
      <c r="S1221" s="1144">
        <f>IFERROR(VLOOKUP(CONCATENATE($E1221,$G1221),'LAC 103'!$A$12:$O$95,12,FALSE),0)</f>
        <v>7.34</v>
      </c>
      <c r="T1221" s="1144">
        <f>IFERROR(VLOOKUP(CONCATENATE($E1221,$G1221),'LAC 103'!$A$12:$O$95,13,FALSE),0)</f>
        <v>4.59</v>
      </c>
      <c r="U1221" s="1144">
        <f>IFERROR(VLOOKUP(CONCATENATE($E1221,$G1221),'LAC 103'!$A$12:$O$95,14,FALSE),0)</f>
        <v>0</v>
      </c>
      <c r="V1221" s="1144">
        <f>IFERROR(VLOOKUP(CONCATENATE($E1221,$G1221),'LAC 103'!$A$12:$O$95,15,FALSE),0)</f>
        <v>0</v>
      </c>
      <c r="W1221" s="1145" t="str">
        <f>IFERROR(VLOOKUP(CONCATENATE($B1221,$N1221),'LAC 103'!$AI:$AQ,9,FALSE),"")</f>
        <v>Costs</v>
      </c>
      <c r="X1221" s="1146">
        <f t="shared" si="330"/>
        <v>5.936295312319726</v>
      </c>
      <c r="Y1221" s="1143">
        <f t="shared" si="341"/>
        <v>14573.604991744927</v>
      </c>
      <c r="Z1221" s="1147">
        <f t="shared" si="331"/>
        <v>18019.7</v>
      </c>
      <c r="AA1221" s="1144">
        <f t="shared" si="332"/>
        <v>11268.449999999999</v>
      </c>
      <c r="AB1221" s="1144">
        <f t="shared" si="333"/>
        <v>0</v>
      </c>
      <c r="AC1221" s="1144">
        <f t="shared" si="334"/>
        <v>0</v>
      </c>
      <c r="AD1221" s="1148">
        <f t="shared" si="326"/>
        <v>14573.604991744927</v>
      </c>
      <c r="AE1221" s="1487">
        <v>0</v>
      </c>
      <c r="AF1221" s="1145">
        <f t="shared" si="335"/>
        <v>14573.604991744927</v>
      </c>
      <c r="AG1221" s="1149">
        <f>IFERROR(VLOOKUP(CONCATENATE($L1221,$N1221),'Drop List'!$G$23:$K$87,2,FALSE),0)</f>
        <v>0.9</v>
      </c>
      <c r="AH1221" s="1150">
        <f>IFERROR(VLOOKUP(CONCATENATE($L1221,$N1221),'Drop List'!$G$23:$K$87,3,FALSE),0)</f>
        <v>0</v>
      </c>
      <c r="AI1221" s="1150">
        <f>IFERROR(VLOOKUP(CONCATENATE($L1221,$N1221),'Drop List'!$G$23:$K$87,4,FALSE),0)</f>
        <v>0.1</v>
      </c>
      <c r="AJ1221" s="1151">
        <f>IFERROR(VLOOKUP(CONCATENATE($L1221,$N1221),'Drop List'!$G$23:$K$87,5,FALSE),0)</f>
        <v>0</v>
      </c>
      <c r="AK1221" s="1152">
        <f t="shared" si="336"/>
        <v>13116.244492570435</v>
      </c>
      <c r="AL1221" s="1153">
        <f t="shared" si="337"/>
        <v>0</v>
      </c>
      <c r="AM1221" s="1153">
        <f t="shared" si="338"/>
        <v>1457.3604991744928</v>
      </c>
      <c r="AN1221" s="1145">
        <f t="shared" si="339"/>
        <v>0</v>
      </c>
      <c r="AO1221" s="1154">
        <f t="shared" si="340"/>
        <v>14573.604991744927</v>
      </c>
      <c r="AP1221" s="1147">
        <f t="shared" si="327"/>
        <v>0</v>
      </c>
      <c r="AQ1221" s="1144">
        <f t="shared" si="328"/>
        <v>0</v>
      </c>
      <c r="AR1221" s="1146">
        <f t="shared" si="329"/>
        <v>14573.604991744927</v>
      </c>
    </row>
    <row r="1222" spans="1:44" x14ac:dyDescent="0.2">
      <c r="A1222" s="1141" t="str">
        <f t="shared" si="342"/>
        <v>1562</v>
      </c>
      <c r="B1222" s="1141" t="str">
        <f>IFERROR(VLOOKUP(A1222,'LAC 103'!A:C,3,FALSE),"")</f>
        <v>OP</v>
      </c>
      <c r="C1222" s="1478" t="str">
        <f>Info!$B$8</f>
        <v>00100</v>
      </c>
      <c r="D1222" s="1474" t="s">
        <v>256</v>
      </c>
      <c r="E1222" s="1474" t="s">
        <v>95</v>
      </c>
      <c r="F1222" s="1478" t="s">
        <v>432</v>
      </c>
      <c r="G1222" s="1478" t="s">
        <v>432</v>
      </c>
      <c r="H1222" s="1474" t="s">
        <v>1656</v>
      </c>
      <c r="I1222" s="1478" t="s">
        <v>809</v>
      </c>
      <c r="J1222" s="1478"/>
      <c r="K1222" s="1475" t="s">
        <v>849</v>
      </c>
      <c r="L1222" s="1474" t="s">
        <v>77</v>
      </c>
      <c r="M1222" s="1476" t="s">
        <v>840</v>
      </c>
      <c r="N1222" s="1477" t="s">
        <v>1700</v>
      </c>
      <c r="O1222" s="1479">
        <v>2904</v>
      </c>
      <c r="P1222" s="1479"/>
      <c r="Q1222" s="1142">
        <f t="shared" si="343"/>
        <v>2904</v>
      </c>
      <c r="R1222" s="1143">
        <f>IFERROR(VLOOKUP(CONCATENATE(E1222,G1222),'LAC 103'!$A$12:$O$95,11,FALSE),0)</f>
        <v>5.936295312319726</v>
      </c>
      <c r="S1222" s="1144">
        <f>IFERROR(VLOOKUP(CONCATENATE($E1222,$G1222),'LAC 103'!$A$12:$O$95,12,FALSE),0)</f>
        <v>7.34</v>
      </c>
      <c r="T1222" s="1144">
        <f>IFERROR(VLOOKUP(CONCATENATE($E1222,$G1222),'LAC 103'!$A$12:$O$95,13,FALSE),0)</f>
        <v>4.59</v>
      </c>
      <c r="U1222" s="1144">
        <f>IFERROR(VLOOKUP(CONCATENATE($E1222,$G1222),'LAC 103'!$A$12:$O$95,14,FALSE),0)</f>
        <v>0</v>
      </c>
      <c r="V1222" s="1144">
        <f>IFERROR(VLOOKUP(CONCATENATE($E1222,$G1222),'LAC 103'!$A$12:$O$95,15,FALSE),0)</f>
        <v>0</v>
      </c>
      <c r="W1222" s="1145" t="str">
        <f>IFERROR(VLOOKUP(CONCATENATE($B1222,$N1222),'LAC 103'!$AI:$AQ,9,FALSE),"")</f>
        <v>P.C.</v>
      </c>
      <c r="X1222" s="1146">
        <f t="shared" si="330"/>
        <v>4.59</v>
      </c>
      <c r="Y1222" s="1143">
        <f t="shared" si="341"/>
        <v>17239.001586976483</v>
      </c>
      <c r="Z1222" s="1147">
        <f t="shared" si="331"/>
        <v>21315.360000000001</v>
      </c>
      <c r="AA1222" s="1144">
        <f t="shared" si="332"/>
        <v>13329.359999999999</v>
      </c>
      <c r="AB1222" s="1144">
        <f t="shared" si="333"/>
        <v>0</v>
      </c>
      <c r="AC1222" s="1144">
        <f t="shared" si="334"/>
        <v>0</v>
      </c>
      <c r="AD1222" s="1148">
        <f t="shared" si="326"/>
        <v>13329.359999999999</v>
      </c>
      <c r="AE1222" s="1487">
        <v>0</v>
      </c>
      <c r="AF1222" s="1145">
        <f t="shared" si="335"/>
        <v>13329.359999999999</v>
      </c>
      <c r="AG1222" s="1149">
        <f>IFERROR(VLOOKUP(CONCATENATE($L1222,$N1222),'Drop List'!$G$23:$K$87,2,FALSE),0)</f>
        <v>0.9</v>
      </c>
      <c r="AH1222" s="1150">
        <f>IFERROR(VLOOKUP(CONCATENATE($L1222,$N1222),'Drop List'!$G$23:$K$87,3,FALSE),0)</f>
        <v>0</v>
      </c>
      <c r="AI1222" s="1150">
        <f>IFERROR(VLOOKUP(CONCATENATE($L1222,$N1222),'Drop List'!$G$23:$K$87,4,FALSE),0)</f>
        <v>0.1</v>
      </c>
      <c r="AJ1222" s="1151">
        <f>IFERROR(VLOOKUP(CONCATENATE($L1222,$N1222),'Drop List'!$G$23:$K$87,5,FALSE),0)</f>
        <v>0</v>
      </c>
      <c r="AK1222" s="1152">
        <f t="shared" si="336"/>
        <v>11996.423999999999</v>
      </c>
      <c r="AL1222" s="1153">
        <f t="shared" si="337"/>
        <v>0</v>
      </c>
      <c r="AM1222" s="1153">
        <f t="shared" si="338"/>
        <v>1332.9359999999999</v>
      </c>
      <c r="AN1222" s="1145">
        <f t="shared" si="339"/>
        <v>0</v>
      </c>
      <c r="AO1222" s="1154">
        <f t="shared" si="340"/>
        <v>13329.359999999999</v>
      </c>
      <c r="AP1222" s="1147">
        <f t="shared" si="327"/>
        <v>0</v>
      </c>
      <c r="AQ1222" s="1144">
        <f t="shared" si="328"/>
        <v>0</v>
      </c>
      <c r="AR1222" s="1146">
        <f t="shared" si="329"/>
        <v>13329.359999999999</v>
      </c>
    </row>
    <row r="1223" spans="1:44" x14ac:dyDescent="0.2">
      <c r="A1223" s="1141" t="str">
        <f t="shared" si="342"/>
        <v>1562</v>
      </c>
      <c r="B1223" s="1141" t="str">
        <f>IFERROR(VLOOKUP(A1223,'LAC 103'!A:C,3,FALSE),"")</f>
        <v>OP</v>
      </c>
      <c r="C1223" s="1478" t="str">
        <f>Info!$B$8</f>
        <v>00100</v>
      </c>
      <c r="D1223" s="1474" t="s">
        <v>256</v>
      </c>
      <c r="E1223" s="1474" t="s">
        <v>95</v>
      </c>
      <c r="F1223" s="1478" t="s">
        <v>432</v>
      </c>
      <c r="G1223" s="1478" t="s">
        <v>432</v>
      </c>
      <c r="H1223" s="1474" t="s">
        <v>1656</v>
      </c>
      <c r="I1223" s="1478" t="s">
        <v>809</v>
      </c>
      <c r="J1223" s="1478"/>
      <c r="K1223" s="1475" t="s">
        <v>849</v>
      </c>
      <c r="L1223" s="1474" t="s">
        <v>77</v>
      </c>
      <c r="M1223" s="1476" t="s">
        <v>842</v>
      </c>
      <c r="N1223" s="1477" t="s">
        <v>1692</v>
      </c>
      <c r="O1223" s="1479">
        <v>6445</v>
      </c>
      <c r="P1223" s="1479"/>
      <c r="Q1223" s="1142">
        <f t="shared" si="343"/>
        <v>6445</v>
      </c>
      <c r="R1223" s="1143">
        <f>IFERROR(VLOOKUP(CONCATENATE(E1223,G1223),'LAC 103'!$A$12:$O$95,11,FALSE),0)</f>
        <v>5.936295312319726</v>
      </c>
      <c r="S1223" s="1144">
        <f>IFERROR(VLOOKUP(CONCATENATE($E1223,$G1223),'LAC 103'!$A$12:$O$95,12,FALSE),0)</f>
        <v>7.34</v>
      </c>
      <c r="T1223" s="1144">
        <f>IFERROR(VLOOKUP(CONCATENATE($E1223,$G1223),'LAC 103'!$A$12:$O$95,13,FALSE),0)</f>
        <v>4.59</v>
      </c>
      <c r="U1223" s="1144">
        <f>IFERROR(VLOOKUP(CONCATENATE($E1223,$G1223),'LAC 103'!$A$12:$O$95,14,FALSE),0)</f>
        <v>0</v>
      </c>
      <c r="V1223" s="1144">
        <f>IFERROR(VLOOKUP(CONCATENATE($E1223,$G1223),'LAC 103'!$A$12:$O$95,15,FALSE),0)</f>
        <v>0</v>
      </c>
      <c r="W1223" s="1145" t="str">
        <f>IFERROR(VLOOKUP(CONCATENATE($B1223,$N1223),'LAC 103'!$AI:$AQ,9,FALSE),"")</f>
        <v>Costs</v>
      </c>
      <c r="X1223" s="1146">
        <f t="shared" si="330"/>
        <v>5.936295312319726</v>
      </c>
      <c r="Y1223" s="1143">
        <f t="shared" si="341"/>
        <v>38259.42328790063</v>
      </c>
      <c r="Z1223" s="1147">
        <f t="shared" si="331"/>
        <v>47306.299999999996</v>
      </c>
      <c r="AA1223" s="1144">
        <f t="shared" si="332"/>
        <v>29582.55</v>
      </c>
      <c r="AB1223" s="1144">
        <f t="shared" si="333"/>
        <v>0</v>
      </c>
      <c r="AC1223" s="1144">
        <f t="shared" si="334"/>
        <v>0</v>
      </c>
      <c r="AD1223" s="1148">
        <f t="shared" ref="AD1223:AD1286" si="344">Q1223*X1223</f>
        <v>38259.42328790063</v>
      </c>
      <c r="AE1223" s="1487">
        <v>0</v>
      </c>
      <c r="AF1223" s="1145">
        <f t="shared" si="335"/>
        <v>38259.42328790063</v>
      </c>
      <c r="AG1223" s="1149">
        <f>IFERROR(VLOOKUP(CONCATENATE($L1223,$N1223),'Drop List'!$G$23:$K$87,2,FALSE),0)</f>
        <v>0.9</v>
      </c>
      <c r="AH1223" s="1150">
        <f>IFERROR(VLOOKUP(CONCATENATE($L1223,$N1223),'Drop List'!$G$23:$K$87,3,FALSE),0)</f>
        <v>0</v>
      </c>
      <c r="AI1223" s="1150">
        <f>IFERROR(VLOOKUP(CONCATENATE($L1223,$N1223),'Drop List'!$G$23:$K$87,4,FALSE),0)</f>
        <v>0.1</v>
      </c>
      <c r="AJ1223" s="1151">
        <f>IFERROR(VLOOKUP(CONCATENATE($L1223,$N1223),'Drop List'!$G$23:$K$87,5,FALSE),0)</f>
        <v>0</v>
      </c>
      <c r="AK1223" s="1152">
        <f t="shared" si="336"/>
        <v>34433.480959110566</v>
      </c>
      <c r="AL1223" s="1153">
        <f t="shared" si="337"/>
        <v>0</v>
      </c>
      <c r="AM1223" s="1153">
        <f t="shared" si="338"/>
        <v>3825.9423287900631</v>
      </c>
      <c r="AN1223" s="1145">
        <f t="shared" si="339"/>
        <v>0</v>
      </c>
      <c r="AO1223" s="1154">
        <f t="shared" si="340"/>
        <v>38259.42328790063</v>
      </c>
      <c r="AP1223" s="1147">
        <f t="shared" ref="AP1223:AP1286" si="345">IF($L1223="14",$AF1223,0)</f>
        <v>0</v>
      </c>
      <c r="AQ1223" s="1144">
        <f t="shared" ref="AQ1223:AQ1286" si="346">IF($L1223="15",$AF1223,0)</f>
        <v>0</v>
      </c>
      <c r="AR1223" s="1146">
        <f t="shared" ref="AR1223:AR1286" si="347">AO1223+AP1223+AQ1223</f>
        <v>38259.42328790063</v>
      </c>
    </row>
    <row r="1224" spans="1:44" x14ac:dyDescent="0.2">
      <c r="A1224" s="1141" t="str">
        <f t="shared" si="342"/>
        <v>1562</v>
      </c>
      <c r="B1224" s="1141" t="str">
        <f>IFERROR(VLOOKUP(A1224,'LAC 103'!A:C,3,FALSE),"")</f>
        <v>OP</v>
      </c>
      <c r="C1224" s="1478" t="str">
        <f>Info!$B$8</f>
        <v>00100</v>
      </c>
      <c r="D1224" s="1474" t="s">
        <v>256</v>
      </c>
      <c r="E1224" s="1474" t="s">
        <v>95</v>
      </c>
      <c r="F1224" s="1478" t="s">
        <v>432</v>
      </c>
      <c r="G1224" s="1478" t="s">
        <v>432</v>
      </c>
      <c r="H1224" s="1474" t="s">
        <v>1656</v>
      </c>
      <c r="I1224" s="1478" t="s">
        <v>809</v>
      </c>
      <c r="J1224" s="1478"/>
      <c r="K1224" s="1475" t="s">
        <v>849</v>
      </c>
      <c r="L1224" s="1474" t="s">
        <v>77</v>
      </c>
      <c r="M1224" s="1476" t="s">
        <v>1698</v>
      </c>
      <c r="N1224" s="1477" t="s">
        <v>1693</v>
      </c>
      <c r="O1224" s="1479">
        <v>6839</v>
      </c>
      <c r="P1224" s="1479"/>
      <c r="Q1224" s="1142">
        <f t="shared" si="343"/>
        <v>6839</v>
      </c>
      <c r="R1224" s="1143">
        <f>IFERROR(VLOOKUP(CONCATENATE(E1224,G1224),'LAC 103'!$A$12:$O$95,11,FALSE),0)</f>
        <v>5.936295312319726</v>
      </c>
      <c r="S1224" s="1144">
        <f>IFERROR(VLOOKUP(CONCATENATE($E1224,$G1224),'LAC 103'!$A$12:$O$95,12,FALSE),0)</f>
        <v>7.34</v>
      </c>
      <c r="T1224" s="1144">
        <f>IFERROR(VLOOKUP(CONCATENATE($E1224,$G1224),'LAC 103'!$A$12:$O$95,13,FALSE),0)</f>
        <v>4.59</v>
      </c>
      <c r="U1224" s="1144">
        <f>IFERROR(VLOOKUP(CONCATENATE($E1224,$G1224),'LAC 103'!$A$12:$O$95,14,FALSE),0)</f>
        <v>0</v>
      </c>
      <c r="V1224" s="1144">
        <f>IFERROR(VLOOKUP(CONCATENATE($E1224,$G1224),'LAC 103'!$A$12:$O$95,15,FALSE),0)</f>
        <v>0</v>
      </c>
      <c r="W1224" s="1145" t="str">
        <f>IFERROR(VLOOKUP(CONCATENATE($B1224,$N1224),'LAC 103'!$AI:$AQ,9,FALSE),"")</f>
        <v>Costs</v>
      </c>
      <c r="X1224" s="1146">
        <f t="shared" ref="X1224:X1287" si="348">IF($W1224="Costs",$R1224,IF($W1224="CMA",$S1224,IF($W1224="P.C.",$T1224,IF($W1224="SMA",$U1224,$V1224))))</f>
        <v>5.936295312319726</v>
      </c>
      <c r="Y1224" s="1143">
        <f t="shared" si="341"/>
        <v>40598.323640954608</v>
      </c>
      <c r="Z1224" s="1147">
        <f t="shared" ref="Z1224:Z1287" si="349">IF(S1224=0,Y1224,$Q1224*S1224)</f>
        <v>50198.26</v>
      </c>
      <c r="AA1224" s="1144">
        <f t="shared" ref="AA1224:AA1287" si="350">IF(T1224=0,Y1224,$Q1224*T1224)</f>
        <v>31391.01</v>
      </c>
      <c r="AB1224" s="1144">
        <f t="shared" ref="AB1224:AB1287" si="351">$Q1224*U1224</f>
        <v>0</v>
      </c>
      <c r="AC1224" s="1144">
        <f t="shared" ref="AC1224:AC1287" si="352">$Q1224*V1224</f>
        <v>0</v>
      </c>
      <c r="AD1224" s="1148">
        <f t="shared" si="344"/>
        <v>40598.323640954608</v>
      </c>
      <c r="AE1224" s="1487">
        <v>0</v>
      </c>
      <c r="AF1224" s="1145">
        <f t="shared" ref="AF1224:AF1287" si="353">AD1224-AE1224</f>
        <v>40598.323640954608</v>
      </c>
      <c r="AG1224" s="1149">
        <f>IFERROR(VLOOKUP(CONCATENATE($L1224,$N1224),'Drop List'!$G$23:$K$87,2,FALSE),0)</f>
        <v>0.9</v>
      </c>
      <c r="AH1224" s="1150">
        <f>IFERROR(VLOOKUP(CONCATENATE($L1224,$N1224),'Drop List'!$G$23:$K$87,3,FALSE),0)</f>
        <v>0</v>
      </c>
      <c r="AI1224" s="1150">
        <f>IFERROR(VLOOKUP(CONCATENATE($L1224,$N1224),'Drop List'!$G$23:$K$87,4,FALSE),0)</f>
        <v>0.1</v>
      </c>
      <c r="AJ1224" s="1151">
        <f>IFERROR(VLOOKUP(CONCATENATE($L1224,$N1224),'Drop List'!$G$23:$K$87,5,FALSE),0)</f>
        <v>0</v>
      </c>
      <c r="AK1224" s="1152">
        <f t="shared" ref="AK1224:AK1287" si="354">IFERROR($AF1224*AG1224,0)</f>
        <v>36538.491276859146</v>
      </c>
      <c r="AL1224" s="1153">
        <f t="shared" ref="AL1224:AL1287" si="355">IFERROR($AF1224*AH1224,0)</f>
        <v>0</v>
      </c>
      <c r="AM1224" s="1153">
        <f t="shared" ref="AM1224:AM1287" si="356">IFERROR($AF1224*AI1224,0)</f>
        <v>4059.8323640954609</v>
      </c>
      <c r="AN1224" s="1145">
        <f t="shared" ref="AN1224:AN1287" si="357">IFERROR($AF1224*AJ1224,0)</f>
        <v>0</v>
      </c>
      <c r="AO1224" s="1154">
        <f t="shared" ref="AO1224:AO1287" si="358">SUM(AK1224:AN1224)</f>
        <v>40598.323640954608</v>
      </c>
      <c r="AP1224" s="1147">
        <f t="shared" si="345"/>
        <v>0</v>
      </c>
      <c r="AQ1224" s="1144">
        <f t="shared" si="346"/>
        <v>0</v>
      </c>
      <c r="AR1224" s="1146">
        <f t="shared" si="347"/>
        <v>40598.323640954608</v>
      </c>
    </row>
    <row r="1225" spans="1:44" x14ac:dyDescent="0.2">
      <c r="A1225" s="1141" t="str">
        <f t="shared" si="342"/>
        <v>1562</v>
      </c>
      <c r="B1225" s="1141" t="str">
        <f>IFERROR(VLOOKUP(A1225,'LAC 103'!A:C,3,FALSE),"")</f>
        <v>OP</v>
      </c>
      <c r="C1225" s="1478" t="str">
        <f>Info!$B$8</f>
        <v>00100</v>
      </c>
      <c r="D1225" s="1474" t="s">
        <v>256</v>
      </c>
      <c r="E1225" s="1474" t="s">
        <v>95</v>
      </c>
      <c r="F1225" s="1478" t="s">
        <v>432</v>
      </c>
      <c r="G1225" s="1478" t="s">
        <v>432</v>
      </c>
      <c r="H1225" s="1474" t="s">
        <v>1656</v>
      </c>
      <c r="I1225" s="1478" t="s">
        <v>809</v>
      </c>
      <c r="J1225" s="1478"/>
      <c r="K1225" s="1475" t="s">
        <v>971</v>
      </c>
      <c r="L1225" s="1474" t="s">
        <v>332</v>
      </c>
      <c r="M1225" s="1476" t="s">
        <v>1699</v>
      </c>
      <c r="N1225" s="1477" t="s">
        <v>1694</v>
      </c>
      <c r="O1225" s="1479">
        <v>213</v>
      </c>
      <c r="P1225" s="1479"/>
      <c r="Q1225" s="1142">
        <f t="shared" si="343"/>
        <v>213</v>
      </c>
      <c r="R1225" s="1143">
        <f>IFERROR(VLOOKUP(CONCATENATE(E1225,G1225),'LAC 103'!$A$12:$O$95,11,FALSE),0)</f>
        <v>5.936295312319726</v>
      </c>
      <c r="S1225" s="1144">
        <f>IFERROR(VLOOKUP(CONCATENATE($E1225,$G1225),'LAC 103'!$A$12:$O$95,12,FALSE),0)</f>
        <v>7.34</v>
      </c>
      <c r="T1225" s="1144">
        <f>IFERROR(VLOOKUP(CONCATENATE($E1225,$G1225),'LAC 103'!$A$12:$O$95,13,FALSE),0)</f>
        <v>4.59</v>
      </c>
      <c r="U1225" s="1144">
        <f>IFERROR(VLOOKUP(CONCATENATE($E1225,$G1225),'LAC 103'!$A$12:$O$95,14,FALSE),0)</f>
        <v>0</v>
      </c>
      <c r="V1225" s="1144">
        <f>IFERROR(VLOOKUP(CONCATENATE($E1225,$G1225),'LAC 103'!$A$12:$O$95,15,FALSE),0)</f>
        <v>0</v>
      </c>
      <c r="W1225" s="1145" t="str">
        <f>IFERROR(VLOOKUP(CONCATENATE($B1225,$N1225),'LAC 103'!$AI:$AQ,9,FALSE),"")</f>
        <v>Costs</v>
      </c>
      <c r="X1225" s="1146">
        <f t="shared" si="348"/>
        <v>5.936295312319726</v>
      </c>
      <c r="Y1225" s="1143">
        <f t="shared" si="341"/>
        <v>1264.4309015241017</v>
      </c>
      <c r="Z1225" s="1147">
        <f t="shared" si="349"/>
        <v>1563.42</v>
      </c>
      <c r="AA1225" s="1144">
        <f t="shared" si="350"/>
        <v>977.67</v>
      </c>
      <c r="AB1225" s="1144">
        <f t="shared" si="351"/>
        <v>0</v>
      </c>
      <c r="AC1225" s="1144">
        <f t="shared" si="352"/>
        <v>0</v>
      </c>
      <c r="AD1225" s="1148">
        <f t="shared" si="344"/>
        <v>1264.4309015241017</v>
      </c>
      <c r="AE1225" s="1487">
        <v>0</v>
      </c>
      <c r="AF1225" s="1145">
        <f t="shared" si="353"/>
        <v>1264.4309015241017</v>
      </c>
      <c r="AG1225" s="1149">
        <f>IFERROR(VLOOKUP(CONCATENATE($L1225,$N1225),'Drop List'!$G$23:$K$87,2,FALSE),0)</f>
        <v>0</v>
      </c>
      <c r="AH1225" s="1150">
        <f>IFERROR(VLOOKUP(CONCATENATE($L1225,$N1225),'Drop List'!$G$23:$K$87,3,FALSE),0)</f>
        <v>0</v>
      </c>
      <c r="AI1225" s="1150">
        <f>IFERROR(VLOOKUP(CONCATENATE($L1225,$N1225),'Drop List'!$G$23:$K$87,4,FALSE),0)</f>
        <v>0</v>
      </c>
      <c r="AJ1225" s="1151">
        <f>IFERROR(VLOOKUP(CONCATENATE($L1225,$N1225),'Drop List'!$G$23:$K$87,5,FALSE),0)</f>
        <v>0</v>
      </c>
      <c r="AK1225" s="1152">
        <f t="shared" si="354"/>
        <v>0</v>
      </c>
      <c r="AL1225" s="1153">
        <f t="shared" si="355"/>
        <v>0</v>
      </c>
      <c r="AM1225" s="1153">
        <f t="shared" si="356"/>
        <v>0</v>
      </c>
      <c r="AN1225" s="1145">
        <f t="shared" si="357"/>
        <v>0</v>
      </c>
      <c r="AO1225" s="1154">
        <f t="shared" si="358"/>
        <v>0</v>
      </c>
      <c r="AP1225" s="1147">
        <f t="shared" si="345"/>
        <v>1264.4309015241017</v>
      </c>
      <c r="AQ1225" s="1144">
        <f t="shared" si="346"/>
        <v>0</v>
      </c>
      <c r="AR1225" s="1146">
        <f t="shared" si="347"/>
        <v>1264.4309015241017</v>
      </c>
    </row>
    <row r="1226" spans="1:44" x14ac:dyDescent="0.2">
      <c r="A1226" s="1141" t="str">
        <f t="shared" si="342"/>
        <v>1562</v>
      </c>
      <c r="B1226" s="1141" t="str">
        <f>IFERROR(VLOOKUP(A1226,'LAC 103'!A:C,3,FALSE),"")</f>
        <v>OP</v>
      </c>
      <c r="C1226" s="1478" t="str">
        <f>Info!$B$8</f>
        <v>00100</v>
      </c>
      <c r="D1226" s="1474" t="s">
        <v>256</v>
      </c>
      <c r="E1226" s="1474" t="s">
        <v>95</v>
      </c>
      <c r="F1226" s="1478" t="s">
        <v>432</v>
      </c>
      <c r="G1226" s="1478" t="s">
        <v>432</v>
      </c>
      <c r="H1226" s="1474" t="s">
        <v>1656</v>
      </c>
      <c r="I1226" s="1478" t="s">
        <v>809</v>
      </c>
      <c r="J1226" s="1478"/>
      <c r="K1226" s="1475" t="s">
        <v>971</v>
      </c>
      <c r="L1226" s="1474" t="s">
        <v>332</v>
      </c>
      <c r="M1226" s="1476" t="s">
        <v>842</v>
      </c>
      <c r="N1226" s="1477" t="s">
        <v>1692</v>
      </c>
      <c r="O1226" s="1479">
        <v>35</v>
      </c>
      <c r="P1226" s="1479"/>
      <c r="Q1226" s="1142">
        <f t="shared" si="343"/>
        <v>35</v>
      </c>
      <c r="R1226" s="1143">
        <f>IFERROR(VLOOKUP(CONCATENATE(E1226,G1226),'LAC 103'!$A$12:$O$95,11,FALSE),0)</f>
        <v>5.936295312319726</v>
      </c>
      <c r="S1226" s="1144">
        <f>IFERROR(VLOOKUP(CONCATENATE($E1226,$G1226),'LAC 103'!$A$12:$O$95,12,FALSE),0)</f>
        <v>7.34</v>
      </c>
      <c r="T1226" s="1144">
        <f>IFERROR(VLOOKUP(CONCATENATE($E1226,$G1226),'LAC 103'!$A$12:$O$95,13,FALSE),0)</f>
        <v>4.59</v>
      </c>
      <c r="U1226" s="1144">
        <f>IFERROR(VLOOKUP(CONCATENATE($E1226,$G1226),'LAC 103'!$A$12:$O$95,14,FALSE),0)</f>
        <v>0</v>
      </c>
      <c r="V1226" s="1144">
        <f>IFERROR(VLOOKUP(CONCATENATE($E1226,$G1226),'LAC 103'!$A$12:$O$95,15,FALSE),0)</f>
        <v>0</v>
      </c>
      <c r="W1226" s="1145" t="str">
        <f>IFERROR(VLOOKUP(CONCATENATE($B1226,$N1226),'LAC 103'!$AI:$AQ,9,FALSE),"")</f>
        <v>Costs</v>
      </c>
      <c r="X1226" s="1146">
        <f t="shared" si="348"/>
        <v>5.936295312319726</v>
      </c>
      <c r="Y1226" s="1143">
        <f t="shared" ref="Y1226:Y1289" si="359">$Q1226*R1226</f>
        <v>207.7703359311904</v>
      </c>
      <c r="Z1226" s="1147">
        <f t="shared" si="349"/>
        <v>256.89999999999998</v>
      </c>
      <c r="AA1226" s="1144">
        <f t="shared" si="350"/>
        <v>160.65</v>
      </c>
      <c r="AB1226" s="1144">
        <f t="shared" si="351"/>
        <v>0</v>
      </c>
      <c r="AC1226" s="1144">
        <f t="shared" si="352"/>
        <v>0</v>
      </c>
      <c r="AD1226" s="1148">
        <f t="shared" si="344"/>
        <v>207.7703359311904</v>
      </c>
      <c r="AE1226" s="1487">
        <v>0</v>
      </c>
      <c r="AF1226" s="1145">
        <f t="shared" si="353"/>
        <v>207.7703359311904</v>
      </c>
      <c r="AG1226" s="1149">
        <f>IFERROR(VLOOKUP(CONCATENATE($L1226,$N1226),'Drop List'!$G$23:$K$87,2,FALSE),0)</f>
        <v>0</v>
      </c>
      <c r="AH1226" s="1150">
        <f>IFERROR(VLOOKUP(CONCATENATE($L1226,$N1226),'Drop List'!$G$23:$K$87,3,FALSE),0)</f>
        <v>0</v>
      </c>
      <c r="AI1226" s="1150">
        <f>IFERROR(VLOOKUP(CONCATENATE($L1226,$N1226),'Drop List'!$G$23:$K$87,4,FALSE),0)</f>
        <v>0</v>
      </c>
      <c r="AJ1226" s="1151">
        <f>IFERROR(VLOOKUP(CONCATENATE($L1226,$N1226),'Drop List'!$G$23:$K$87,5,FALSE),0)</f>
        <v>0</v>
      </c>
      <c r="AK1226" s="1152">
        <f t="shared" si="354"/>
        <v>0</v>
      </c>
      <c r="AL1226" s="1153">
        <f t="shared" si="355"/>
        <v>0</v>
      </c>
      <c r="AM1226" s="1153">
        <f t="shared" si="356"/>
        <v>0</v>
      </c>
      <c r="AN1226" s="1145">
        <f t="shared" si="357"/>
        <v>0</v>
      </c>
      <c r="AO1226" s="1154">
        <f t="shared" si="358"/>
        <v>0</v>
      </c>
      <c r="AP1226" s="1147">
        <f t="shared" si="345"/>
        <v>207.7703359311904</v>
      </c>
      <c r="AQ1226" s="1144">
        <f t="shared" si="346"/>
        <v>0</v>
      </c>
      <c r="AR1226" s="1146">
        <f t="shared" si="347"/>
        <v>207.7703359311904</v>
      </c>
    </row>
    <row r="1227" spans="1:44" x14ac:dyDescent="0.2">
      <c r="A1227" s="1141" t="str">
        <f t="shared" si="342"/>
        <v>1562</v>
      </c>
      <c r="B1227" s="1141" t="str">
        <f>IFERROR(VLOOKUP(A1227,'LAC 103'!A:C,3,FALSE),"")</f>
        <v>OP</v>
      </c>
      <c r="C1227" s="1478" t="str">
        <f>Info!$B$8</f>
        <v>00100</v>
      </c>
      <c r="D1227" s="1474" t="s">
        <v>256</v>
      </c>
      <c r="E1227" s="1474" t="s">
        <v>95</v>
      </c>
      <c r="F1227" s="1478" t="s">
        <v>432</v>
      </c>
      <c r="G1227" s="1478" t="s">
        <v>432</v>
      </c>
      <c r="H1227" s="1474" t="s">
        <v>1656</v>
      </c>
      <c r="I1227" s="1478" t="s">
        <v>809</v>
      </c>
      <c r="J1227" s="1478"/>
      <c r="K1227" s="1475" t="s">
        <v>971</v>
      </c>
      <c r="L1227" s="1474" t="s">
        <v>332</v>
      </c>
      <c r="M1227" s="1476" t="s">
        <v>1698</v>
      </c>
      <c r="N1227" s="1477" t="s">
        <v>1693</v>
      </c>
      <c r="O1227" s="1479">
        <v>285</v>
      </c>
      <c r="P1227" s="1479"/>
      <c r="Q1227" s="1142">
        <f t="shared" si="343"/>
        <v>285</v>
      </c>
      <c r="R1227" s="1143">
        <f>IFERROR(VLOOKUP(CONCATENATE(E1227,G1227),'LAC 103'!$A$12:$O$95,11,FALSE),0)</f>
        <v>5.936295312319726</v>
      </c>
      <c r="S1227" s="1144">
        <f>IFERROR(VLOOKUP(CONCATENATE($E1227,$G1227),'LAC 103'!$A$12:$O$95,12,FALSE),0)</f>
        <v>7.34</v>
      </c>
      <c r="T1227" s="1144">
        <f>IFERROR(VLOOKUP(CONCATENATE($E1227,$G1227),'LAC 103'!$A$12:$O$95,13,FALSE),0)</f>
        <v>4.59</v>
      </c>
      <c r="U1227" s="1144">
        <f>IFERROR(VLOOKUP(CONCATENATE($E1227,$G1227),'LAC 103'!$A$12:$O$95,14,FALSE),0)</f>
        <v>0</v>
      </c>
      <c r="V1227" s="1144">
        <f>IFERROR(VLOOKUP(CONCATENATE($E1227,$G1227),'LAC 103'!$A$12:$O$95,15,FALSE),0)</f>
        <v>0</v>
      </c>
      <c r="W1227" s="1145" t="str">
        <f>IFERROR(VLOOKUP(CONCATENATE($B1227,$N1227),'LAC 103'!$AI:$AQ,9,FALSE),"")</f>
        <v>Costs</v>
      </c>
      <c r="X1227" s="1146">
        <f t="shared" si="348"/>
        <v>5.936295312319726</v>
      </c>
      <c r="Y1227" s="1143">
        <f t="shared" si="359"/>
        <v>1691.8441640111218</v>
      </c>
      <c r="Z1227" s="1147">
        <f t="shared" si="349"/>
        <v>2091.9</v>
      </c>
      <c r="AA1227" s="1144">
        <f t="shared" si="350"/>
        <v>1308.1499999999999</v>
      </c>
      <c r="AB1227" s="1144">
        <f t="shared" si="351"/>
        <v>0</v>
      </c>
      <c r="AC1227" s="1144">
        <f t="shared" si="352"/>
        <v>0</v>
      </c>
      <c r="AD1227" s="1148">
        <f t="shared" si="344"/>
        <v>1691.8441640111218</v>
      </c>
      <c r="AE1227" s="1487">
        <v>0</v>
      </c>
      <c r="AF1227" s="1145">
        <f t="shared" si="353"/>
        <v>1691.8441640111218</v>
      </c>
      <c r="AG1227" s="1149">
        <f>IFERROR(VLOOKUP(CONCATENATE($L1227,$N1227),'Drop List'!$G$23:$K$87,2,FALSE),0)</f>
        <v>0</v>
      </c>
      <c r="AH1227" s="1150">
        <f>IFERROR(VLOOKUP(CONCATENATE($L1227,$N1227),'Drop List'!$G$23:$K$87,3,FALSE),0)</f>
        <v>0</v>
      </c>
      <c r="AI1227" s="1150">
        <f>IFERROR(VLOOKUP(CONCATENATE($L1227,$N1227),'Drop List'!$G$23:$K$87,4,FALSE),0)</f>
        <v>0</v>
      </c>
      <c r="AJ1227" s="1151">
        <f>IFERROR(VLOOKUP(CONCATENATE($L1227,$N1227),'Drop List'!$G$23:$K$87,5,FALSE),0)</f>
        <v>0</v>
      </c>
      <c r="AK1227" s="1152">
        <f t="shared" si="354"/>
        <v>0</v>
      </c>
      <c r="AL1227" s="1153">
        <f t="shared" si="355"/>
        <v>0</v>
      </c>
      <c r="AM1227" s="1153">
        <f t="shared" si="356"/>
        <v>0</v>
      </c>
      <c r="AN1227" s="1145">
        <f t="shared" si="357"/>
        <v>0</v>
      </c>
      <c r="AO1227" s="1154">
        <f t="shared" si="358"/>
        <v>0</v>
      </c>
      <c r="AP1227" s="1147">
        <f t="shared" si="345"/>
        <v>1691.8441640111218</v>
      </c>
      <c r="AQ1227" s="1144">
        <f t="shared" si="346"/>
        <v>0</v>
      </c>
      <c r="AR1227" s="1146">
        <f t="shared" si="347"/>
        <v>1691.8441640111218</v>
      </c>
    </row>
    <row r="1228" spans="1:44" x14ac:dyDescent="0.2">
      <c r="A1228" s="1141" t="str">
        <f t="shared" si="342"/>
        <v>1562</v>
      </c>
      <c r="B1228" s="1141" t="str">
        <f>IFERROR(VLOOKUP(A1228,'LAC 103'!A:C,3,FALSE),"")</f>
        <v>OP</v>
      </c>
      <c r="C1228" s="1478" t="str">
        <f>Info!$B$8</f>
        <v>00100</v>
      </c>
      <c r="D1228" s="1474" t="s">
        <v>256</v>
      </c>
      <c r="E1228" s="1474" t="s">
        <v>95</v>
      </c>
      <c r="F1228" s="1478" t="s">
        <v>432</v>
      </c>
      <c r="G1228" s="1478" t="s">
        <v>432</v>
      </c>
      <c r="H1228" s="1474" t="s">
        <v>1656</v>
      </c>
      <c r="I1228" s="1478" t="s">
        <v>809</v>
      </c>
      <c r="J1228" s="1478"/>
      <c r="K1228" s="1475" t="s">
        <v>854</v>
      </c>
      <c r="L1228" s="1474" t="s">
        <v>593</v>
      </c>
      <c r="M1228" s="1476" t="s">
        <v>1699</v>
      </c>
      <c r="N1228" s="1477" t="s">
        <v>1694</v>
      </c>
      <c r="O1228" s="1479">
        <v>38</v>
      </c>
      <c r="P1228" s="1479"/>
      <c r="Q1228" s="1142">
        <f t="shared" si="343"/>
        <v>38</v>
      </c>
      <c r="R1228" s="1143">
        <f>IFERROR(VLOOKUP(CONCATENATE(E1228,G1228),'LAC 103'!$A$12:$O$95,11,FALSE),0)</f>
        <v>5.936295312319726</v>
      </c>
      <c r="S1228" s="1144">
        <f>IFERROR(VLOOKUP(CONCATENATE($E1228,$G1228),'LAC 103'!$A$12:$O$95,12,FALSE),0)</f>
        <v>7.34</v>
      </c>
      <c r="T1228" s="1144">
        <f>IFERROR(VLOOKUP(CONCATENATE($E1228,$G1228),'LAC 103'!$A$12:$O$95,13,FALSE),0)</f>
        <v>4.59</v>
      </c>
      <c r="U1228" s="1144">
        <f>IFERROR(VLOOKUP(CONCATENATE($E1228,$G1228),'LAC 103'!$A$12:$O$95,14,FALSE),0)</f>
        <v>0</v>
      </c>
      <c r="V1228" s="1144">
        <f>IFERROR(VLOOKUP(CONCATENATE($E1228,$G1228),'LAC 103'!$A$12:$O$95,15,FALSE),0)</f>
        <v>0</v>
      </c>
      <c r="W1228" s="1145" t="str">
        <f>IFERROR(VLOOKUP(CONCATENATE($B1228,$N1228),'LAC 103'!$AI:$AQ,9,FALSE),"")</f>
        <v>Costs</v>
      </c>
      <c r="X1228" s="1146">
        <f t="shared" si="348"/>
        <v>5.936295312319726</v>
      </c>
      <c r="Y1228" s="1143">
        <f t="shared" si="359"/>
        <v>225.57922186814957</v>
      </c>
      <c r="Z1228" s="1147">
        <f t="shared" si="349"/>
        <v>278.92</v>
      </c>
      <c r="AA1228" s="1144">
        <f t="shared" si="350"/>
        <v>174.42</v>
      </c>
      <c r="AB1228" s="1144">
        <f t="shared" si="351"/>
        <v>0</v>
      </c>
      <c r="AC1228" s="1144">
        <f t="shared" si="352"/>
        <v>0</v>
      </c>
      <c r="AD1228" s="1148">
        <f t="shared" si="344"/>
        <v>225.57922186814957</v>
      </c>
      <c r="AE1228" s="1487">
        <v>0</v>
      </c>
      <c r="AF1228" s="1145">
        <f t="shared" si="353"/>
        <v>225.57922186814957</v>
      </c>
      <c r="AG1228" s="1149">
        <f>IFERROR(VLOOKUP(CONCATENATE($L1228,$N1228),'Drop List'!$G$23:$K$87,2,FALSE),0)</f>
        <v>0.69340000000000002</v>
      </c>
      <c r="AH1228" s="1150">
        <f>IFERROR(VLOOKUP(CONCATENATE($L1228,$N1228),'Drop List'!$G$23:$K$87,3,FALSE),0)</f>
        <v>0</v>
      </c>
      <c r="AI1228" s="1150">
        <f>IFERROR(VLOOKUP(CONCATENATE($L1228,$N1228),'Drop List'!$G$23:$K$87,4,FALSE),0)</f>
        <v>0</v>
      </c>
      <c r="AJ1228" s="1151">
        <f>IFERROR(VLOOKUP(CONCATENATE($L1228,$N1228),'Drop List'!$G$23:$K$87,5,FALSE),0)</f>
        <v>0.30659999999999998</v>
      </c>
      <c r="AK1228" s="1152">
        <f t="shared" si="354"/>
        <v>156.41663244337491</v>
      </c>
      <c r="AL1228" s="1153">
        <f t="shared" si="355"/>
        <v>0</v>
      </c>
      <c r="AM1228" s="1153">
        <f t="shared" si="356"/>
        <v>0</v>
      </c>
      <c r="AN1228" s="1145">
        <f t="shared" si="357"/>
        <v>69.162589424774652</v>
      </c>
      <c r="AO1228" s="1154">
        <f t="shared" si="358"/>
        <v>225.57922186814955</v>
      </c>
      <c r="AP1228" s="1147">
        <f t="shared" si="345"/>
        <v>0</v>
      </c>
      <c r="AQ1228" s="1144">
        <f t="shared" si="346"/>
        <v>0</v>
      </c>
      <c r="AR1228" s="1146">
        <f t="shared" si="347"/>
        <v>225.57922186814955</v>
      </c>
    </row>
    <row r="1229" spans="1:44" x14ac:dyDescent="0.2">
      <c r="A1229" s="1141" t="str">
        <f t="shared" si="342"/>
        <v>1562</v>
      </c>
      <c r="B1229" s="1141" t="str">
        <f>IFERROR(VLOOKUP(A1229,'LAC 103'!A:C,3,FALSE),"")</f>
        <v>OP</v>
      </c>
      <c r="C1229" s="1478" t="str">
        <f>Info!$B$8</f>
        <v>00100</v>
      </c>
      <c r="D1229" s="1474" t="s">
        <v>256</v>
      </c>
      <c r="E1229" s="1474" t="s">
        <v>95</v>
      </c>
      <c r="F1229" s="1478" t="s">
        <v>432</v>
      </c>
      <c r="G1229" s="1478" t="s">
        <v>432</v>
      </c>
      <c r="H1229" s="1474" t="s">
        <v>1656</v>
      </c>
      <c r="I1229" s="1478" t="s">
        <v>809</v>
      </c>
      <c r="J1229" s="1478"/>
      <c r="K1229" s="1475" t="s">
        <v>854</v>
      </c>
      <c r="L1229" s="1474" t="s">
        <v>593</v>
      </c>
      <c r="M1229" s="1476" t="s">
        <v>841</v>
      </c>
      <c r="N1229" s="1477" t="s">
        <v>1695</v>
      </c>
      <c r="O1229" s="1479">
        <v>48</v>
      </c>
      <c r="P1229" s="1479"/>
      <c r="Q1229" s="1142">
        <f t="shared" si="343"/>
        <v>48</v>
      </c>
      <c r="R1229" s="1143">
        <f>IFERROR(VLOOKUP(CONCATENATE(E1229,G1229),'LAC 103'!$A$12:$O$95,11,FALSE),0)</f>
        <v>5.936295312319726</v>
      </c>
      <c r="S1229" s="1144">
        <f>IFERROR(VLOOKUP(CONCATENATE($E1229,$G1229),'LAC 103'!$A$12:$O$95,12,FALSE),0)</f>
        <v>7.34</v>
      </c>
      <c r="T1229" s="1144">
        <f>IFERROR(VLOOKUP(CONCATENATE($E1229,$G1229),'LAC 103'!$A$12:$O$95,13,FALSE),0)</f>
        <v>4.59</v>
      </c>
      <c r="U1229" s="1144">
        <f>IFERROR(VLOOKUP(CONCATENATE($E1229,$G1229),'LAC 103'!$A$12:$O$95,14,FALSE),0)</f>
        <v>0</v>
      </c>
      <c r="V1229" s="1144">
        <f>IFERROR(VLOOKUP(CONCATENATE($E1229,$G1229),'LAC 103'!$A$12:$O$95,15,FALSE),0)</f>
        <v>0</v>
      </c>
      <c r="W1229" s="1145" t="str">
        <f>IFERROR(VLOOKUP(CONCATENATE($B1229,$N1229),'LAC 103'!$AI:$AQ,9,FALSE),"")</f>
        <v>Costs</v>
      </c>
      <c r="X1229" s="1146">
        <f t="shared" si="348"/>
        <v>5.936295312319726</v>
      </c>
      <c r="Y1229" s="1143">
        <f t="shared" si="359"/>
        <v>284.94217499134686</v>
      </c>
      <c r="Z1229" s="1147">
        <f t="shared" si="349"/>
        <v>352.32</v>
      </c>
      <c r="AA1229" s="1144">
        <f t="shared" si="350"/>
        <v>220.32</v>
      </c>
      <c r="AB1229" s="1144">
        <f t="shared" si="351"/>
        <v>0</v>
      </c>
      <c r="AC1229" s="1144">
        <f t="shared" si="352"/>
        <v>0</v>
      </c>
      <c r="AD1229" s="1148">
        <f t="shared" si="344"/>
        <v>284.94217499134686</v>
      </c>
      <c r="AE1229" s="1487">
        <v>0</v>
      </c>
      <c r="AF1229" s="1145">
        <f t="shared" si="353"/>
        <v>284.94217499134686</v>
      </c>
      <c r="AG1229" s="1149">
        <f>IFERROR(VLOOKUP(CONCATENATE($L1229,$N1229),'Drop List'!$G$23:$K$87,2,FALSE),0)</f>
        <v>0.68500000000000005</v>
      </c>
      <c r="AH1229" s="1150">
        <f>IFERROR(VLOOKUP(CONCATENATE($L1229,$N1229),'Drop List'!$G$23:$K$87,3,FALSE),0)</f>
        <v>0</v>
      </c>
      <c r="AI1229" s="1150">
        <f>IFERROR(VLOOKUP(CONCATENATE($L1229,$N1229),'Drop List'!$G$23:$K$87,4,FALSE),0)</f>
        <v>0</v>
      </c>
      <c r="AJ1229" s="1151">
        <f>IFERROR(VLOOKUP(CONCATENATE($L1229,$N1229),'Drop List'!$G$23:$K$87,5,FALSE),0)</f>
        <v>0.31499999999999995</v>
      </c>
      <c r="AK1229" s="1152">
        <f t="shared" si="354"/>
        <v>195.18538986907262</v>
      </c>
      <c r="AL1229" s="1153">
        <f t="shared" si="355"/>
        <v>0</v>
      </c>
      <c r="AM1229" s="1153">
        <f t="shared" si="356"/>
        <v>0</v>
      </c>
      <c r="AN1229" s="1145">
        <f t="shared" si="357"/>
        <v>89.756785122274252</v>
      </c>
      <c r="AO1229" s="1154">
        <f t="shared" si="358"/>
        <v>284.94217499134686</v>
      </c>
      <c r="AP1229" s="1147">
        <f t="shared" si="345"/>
        <v>0</v>
      </c>
      <c r="AQ1229" s="1144">
        <f t="shared" si="346"/>
        <v>0</v>
      </c>
      <c r="AR1229" s="1146">
        <f t="shared" si="347"/>
        <v>284.94217499134686</v>
      </c>
    </row>
    <row r="1230" spans="1:44" x14ac:dyDescent="0.2">
      <c r="A1230" s="1141" t="str">
        <f t="shared" si="342"/>
        <v>1562</v>
      </c>
      <c r="B1230" s="1141" t="str">
        <f>IFERROR(VLOOKUP(A1230,'LAC 103'!A:C,3,FALSE),"")</f>
        <v>OP</v>
      </c>
      <c r="C1230" s="1478" t="str">
        <f>Info!$B$8</f>
        <v>00100</v>
      </c>
      <c r="D1230" s="1474" t="s">
        <v>256</v>
      </c>
      <c r="E1230" s="1474" t="s">
        <v>95</v>
      </c>
      <c r="F1230" s="1478" t="s">
        <v>432</v>
      </c>
      <c r="G1230" s="1478" t="s">
        <v>432</v>
      </c>
      <c r="H1230" s="1474" t="s">
        <v>1656</v>
      </c>
      <c r="I1230" s="1478" t="s">
        <v>809</v>
      </c>
      <c r="J1230" s="1478"/>
      <c r="K1230" s="1475" t="s">
        <v>854</v>
      </c>
      <c r="L1230" s="1474" t="s">
        <v>593</v>
      </c>
      <c r="M1230" s="1476" t="s">
        <v>840</v>
      </c>
      <c r="N1230" s="1477" t="s">
        <v>1700</v>
      </c>
      <c r="O1230" s="1479">
        <v>73</v>
      </c>
      <c r="P1230" s="1479"/>
      <c r="Q1230" s="1142">
        <f t="shared" si="343"/>
        <v>73</v>
      </c>
      <c r="R1230" s="1143">
        <f>IFERROR(VLOOKUP(CONCATENATE(E1230,G1230),'LAC 103'!$A$12:$O$95,11,FALSE),0)</f>
        <v>5.936295312319726</v>
      </c>
      <c r="S1230" s="1144">
        <f>IFERROR(VLOOKUP(CONCATENATE($E1230,$G1230),'LAC 103'!$A$12:$O$95,12,FALSE),0)</f>
        <v>7.34</v>
      </c>
      <c r="T1230" s="1144">
        <f>IFERROR(VLOOKUP(CONCATENATE($E1230,$G1230),'LAC 103'!$A$12:$O$95,13,FALSE),0)</f>
        <v>4.59</v>
      </c>
      <c r="U1230" s="1144">
        <f>IFERROR(VLOOKUP(CONCATENATE($E1230,$G1230),'LAC 103'!$A$12:$O$95,14,FALSE),0)</f>
        <v>0</v>
      </c>
      <c r="V1230" s="1144">
        <f>IFERROR(VLOOKUP(CONCATENATE($E1230,$G1230),'LAC 103'!$A$12:$O$95,15,FALSE),0)</f>
        <v>0</v>
      </c>
      <c r="W1230" s="1145" t="str">
        <f>IFERROR(VLOOKUP(CONCATENATE($B1230,$N1230),'LAC 103'!$AI:$AQ,9,FALSE),"")</f>
        <v>P.C.</v>
      </c>
      <c r="X1230" s="1146">
        <f t="shared" si="348"/>
        <v>4.59</v>
      </c>
      <c r="Y1230" s="1143">
        <f t="shared" si="359"/>
        <v>433.34955779934</v>
      </c>
      <c r="Z1230" s="1147">
        <f t="shared" si="349"/>
        <v>535.81999999999994</v>
      </c>
      <c r="AA1230" s="1144">
        <f t="shared" si="350"/>
        <v>335.07</v>
      </c>
      <c r="AB1230" s="1144">
        <f t="shared" si="351"/>
        <v>0</v>
      </c>
      <c r="AC1230" s="1144">
        <f t="shared" si="352"/>
        <v>0</v>
      </c>
      <c r="AD1230" s="1148">
        <f t="shared" si="344"/>
        <v>335.07</v>
      </c>
      <c r="AE1230" s="1487">
        <v>0</v>
      </c>
      <c r="AF1230" s="1145">
        <f t="shared" si="353"/>
        <v>335.07</v>
      </c>
      <c r="AG1230" s="1149">
        <f>IFERROR(VLOOKUP(CONCATENATE($L1230,$N1230),'Drop List'!$G$23:$K$87,2,FALSE),0)</f>
        <v>0.68500000000000005</v>
      </c>
      <c r="AH1230" s="1150">
        <f>IFERROR(VLOOKUP(CONCATENATE($L1230,$N1230),'Drop List'!$G$23:$K$87,3,FALSE),0)</f>
        <v>0</v>
      </c>
      <c r="AI1230" s="1150">
        <f>IFERROR(VLOOKUP(CONCATENATE($L1230,$N1230),'Drop List'!$G$23:$K$87,4,FALSE),0)</f>
        <v>0</v>
      </c>
      <c r="AJ1230" s="1151">
        <f>IFERROR(VLOOKUP(CONCATENATE($L1230,$N1230),'Drop List'!$G$23:$K$87,5,FALSE),0)</f>
        <v>0.31499999999999995</v>
      </c>
      <c r="AK1230" s="1152">
        <f t="shared" si="354"/>
        <v>229.52295000000001</v>
      </c>
      <c r="AL1230" s="1153">
        <f t="shared" si="355"/>
        <v>0</v>
      </c>
      <c r="AM1230" s="1153">
        <f t="shared" si="356"/>
        <v>0</v>
      </c>
      <c r="AN1230" s="1145">
        <f t="shared" si="357"/>
        <v>105.54704999999998</v>
      </c>
      <c r="AO1230" s="1154">
        <f t="shared" si="358"/>
        <v>335.07</v>
      </c>
      <c r="AP1230" s="1147">
        <f t="shared" si="345"/>
        <v>0</v>
      </c>
      <c r="AQ1230" s="1144">
        <f t="shared" si="346"/>
        <v>0</v>
      </c>
      <c r="AR1230" s="1146">
        <f t="shared" si="347"/>
        <v>335.07</v>
      </c>
    </row>
    <row r="1231" spans="1:44" x14ac:dyDescent="0.2">
      <c r="A1231" s="1141" t="str">
        <f t="shared" si="342"/>
        <v>1562</v>
      </c>
      <c r="B1231" s="1141" t="str">
        <f>IFERROR(VLOOKUP(A1231,'LAC 103'!A:C,3,FALSE),"")</f>
        <v>OP</v>
      </c>
      <c r="C1231" s="1478" t="str">
        <f>Info!$B$8</f>
        <v>00100</v>
      </c>
      <c r="D1231" s="1474" t="s">
        <v>256</v>
      </c>
      <c r="E1231" s="1474" t="s">
        <v>95</v>
      </c>
      <c r="F1231" s="1478" t="s">
        <v>432</v>
      </c>
      <c r="G1231" s="1478" t="s">
        <v>432</v>
      </c>
      <c r="H1231" s="1474" t="s">
        <v>1656</v>
      </c>
      <c r="I1231" s="1478" t="s">
        <v>809</v>
      </c>
      <c r="J1231" s="1478"/>
      <c r="K1231" s="1475" t="s">
        <v>854</v>
      </c>
      <c r="L1231" s="1474" t="s">
        <v>593</v>
      </c>
      <c r="M1231" s="1476" t="s">
        <v>842</v>
      </c>
      <c r="N1231" s="1477" t="s">
        <v>1692</v>
      </c>
      <c r="O1231" s="1479">
        <v>71</v>
      </c>
      <c r="P1231" s="1479"/>
      <c r="Q1231" s="1142">
        <f t="shared" si="343"/>
        <v>71</v>
      </c>
      <c r="R1231" s="1143">
        <f>IFERROR(VLOOKUP(CONCATENATE(E1231,G1231),'LAC 103'!$A$12:$O$95,11,FALSE),0)</f>
        <v>5.936295312319726</v>
      </c>
      <c r="S1231" s="1144">
        <f>IFERROR(VLOOKUP(CONCATENATE($E1231,$G1231),'LAC 103'!$A$12:$O$95,12,FALSE),0)</f>
        <v>7.34</v>
      </c>
      <c r="T1231" s="1144">
        <f>IFERROR(VLOOKUP(CONCATENATE($E1231,$G1231),'LAC 103'!$A$12:$O$95,13,FALSE),0)</f>
        <v>4.59</v>
      </c>
      <c r="U1231" s="1144">
        <f>IFERROR(VLOOKUP(CONCATENATE($E1231,$G1231),'LAC 103'!$A$12:$O$95,14,FALSE),0)</f>
        <v>0</v>
      </c>
      <c r="V1231" s="1144">
        <f>IFERROR(VLOOKUP(CONCATENATE($E1231,$G1231),'LAC 103'!$A$12:$O$95,15,FALSE),0)</f>
        <v>0</v>
      </c>
      <c r="W1231" s="1145" t="str">
        <f>IFERROR(VLOOKUP(CONCATENATE($B1231,$N1231),'LAC 103'!$AI:$AQ,9,FALSE),"")</f>
        <v>Costs</v>
      </c>
      <c r="X1231" s="1146">
        <f t="shared" si="348"/>
        <v>5.936295312319726</v>
      </c>
      <c r="Y1231" s="1143">
        <f t="shared" si="359"/>
        <v>421.47696717470052</v>
      </c>
      <c r="Z1231" s="1147">
        <f t="shared" si="349"/>
        <v>521.14</v>
      </c>
      <c r="AA1231" s="1144">
        <f t="shared" si="350"/>
        <v>325.89</v>
      </c>
      <c r="AB1231" s="1144">
        <f t="shared" si="351"/>
        <v>0</v>
      </c>
      <c r="AC1231" s="1144">
        <f t="shared" si="352"/>
        <v>0</v>
      </c>
      <c r="AD1231" s="1148">
        <f t="shared" si="344"/>
        <v>421.47696717470052</v>
      </c>
      <c r="AE1231" s="1487">
        <v>0</v>
      </c>
      <c r="AF1231" s="1145">
        <f t="shared" si="353"/>
        <v>421.47696717470052</v>
      </c>
      <c r="AG1231" s="1149">
        <f>IFERROR(VLOOKUP(CONCATENATE($L1231,$N1231),'Drop List'!$G$23:$K$87,2,FALSE),0)</f>
        <v>0.69340000000000002</v>
      </c>
      <c r="AH1231" s="1150">
        <f>IFERROR(VLOOKUP(CONCATENATE($L1231,$N1231),'Drop List'!$G$23:$K$87,3,FALSE),0)</f>
        <v>0</v>
      </c>
      <c r="AI1231" s="1150">
        <f>IFERROR(VLOOKUP(CONCATENATE($L1231,$N1231),'Drop List'!$G$23:$K$87,4,FALSE),0)</f>
        <v>0</v>
      </c>
      <c r="AJ1231" s="1151">
        <f>IFERROR(VLOOKUP(CONCATENATE($L1231,$N1231),'Drop List'!$G$23:$K$87,5,FALSE),0)</f>
        <v>0.30659999999999998</v>
      </c>
      <c r="AK1231" s="1152">
        <f t="shared" si="354"/>
        <v>292.25212903893737</v>
      </c>
      <c r="AL1231" s="1153">
        <f t="shared" si="355"/>
        <v>0</v>
      </c>
      <c r="AM1231" s="1153">
        <f t="shared" si="356"/>
        <v>0</v>
      </c>
      <c r="AN1231" s="1145">
        <f t="shared" si="357"/>
        <v>129.22483813576318</v>
      </c>
      <c r="AO1231" s="1154">
        <f t="shared" si="358"/>
        <v>421.47696717470058</v>
      </c>
      <c r="AP1231" s="1147">
        <f t="shared" si="345"/>
        <v>0</v>
      </c>
      <c r="AQ1231" s="1144">
        <f t="shared" si="346"/>
        <v>0</v>
      </c>
      <c r="AR1231" s="1146">
        <f t="shared" si="347"/>
        <v>421.47696717470058</v>
      </c>
    </row>
    <row r="1232" spans="1:44" x14ac:dyDescent="0.2">
      <c r="A1232" s="1141" t="str">
        <f t="shared" si="342"/>
        <v>1562</v>
      </c>
      <c r="B1232" s="1141" t="str">
        <f>IFERROR(VLOOKUP(A1232,'LAC 103'!A:C,3,FALSE),"")</f>
        <v>OP</v>
      </c>
      <c r="C1232" s="1478" t="str">
        <f>Info!$B$8</f>
        <v>00100</v>
      </c>
      <c r="D1232" s="1474" t="s">
        <v>256</v>
      </c>
      <c r="E1232" s="1474" t="s">
        <v>95</v>
      </c>
      <c r="F1232" s="1478" t="s">
        <v>432</v>
      </c>
      <c r="G1232" s="1478" t="s">
        <v>432</v>
      </c>
      <c r="H1232" s="1474" t="s">
        <v>1656</v>
      </c>
      <c r="I1232" s="1478" t="s">
        <v>809</v>
      </c>
      <c r="J1232" s="1478"/>
      <c r="K1232" s="1475" t="s">
        <v>854</v>
      </c>
      <c r="L1232" s="1474" t="s">
        <v>593</v>
      </c>
      <c r="M1232" s="1476" t="s">
        <v>1698</v>
      </c>
      <c r="N1232" s="1477" t="s">
        <v>1693</v>
      </c>
      <c r="O1232" s="1479">
        <v>77</v>
      </c>
      <c r="P1232" s="1479"/>
      <c r="Q1232" s="1142">
        <f t="shared" si="343"/>
        <v>77</v>
      </c>
      <c r="R1232" s="1143">
        <f>IFERROR(VLOOKUP(CONCATENATE(E1232,G1232),'LAC 103'!$A$12:$O$95,11,FALSE),0)</f>
        <v>5.936295312319726</v>
      </c>
      <c r="S1232" s="1144">
        <f>IFERROR(VLOOKUP(CONCATENATE($E1232,$G1232),'LAC 103'!$A$12:$O$95,12,FALSE),0)</f>
        <v>7.34</v>
      </c>
      <c r="T1232" s="1144">
        <f>IFERROR(VLOOKUP(CONCATENATE($E1232,$G1232),'LAC 103'!$A$12:$O$95,13,FALSE),0)</f>
        <v>4.59</v>
      </c>
      <c r="U1232" s="1144">
        <f>IFERROR(VLOOKUP(CONCATENATE($E1232,$G1232),'LAC 103'!$A$12:$O$95,14,FALSE),0)</f>
        <v>0</v>
      </c>
      <c r="V1232" s="1144">
        <f>IFERROR(VLOOKUP(CONCATENATE($E1232,$G1232),'LAC 103'!$A$12:$O$95,15,FALSE),0)</f>
        <v>0</v>
      </c>
      <c r="W1232" s="1145" t="str">
        <f>IFERROR(VLOOKUP(CONCATENATE($B1232,$N1232),'LAC 103'!$AI:$AQ,9,FALSE),"")</f>
        <v>Costs</v>
      </c>
      <c r="X1232" s="1146">
        <f t="shared" si="348"/>
        <v>5.936295312319726</v>
      </c>
      <c r="Y1232" s="1143">
        <f t="shared" si="359"/>
        <v>457.09473904861892</v>
      </c>
      <c r="Z1232" s="1147">
        <f t="shared" si="349"/>
        <v>565.17999999999995</v>
      </c>
      <c r="AA1232" s="1144">
        <f t="shared" si="350"/>
        <v>353.43</v>
      </c>
      <c r="AB1232" s="1144">
        <f t="shared" si="351"/>
        <v>0</v>
      </c>
      <c r="AC1232" s="1144">
        <f t="shared" si="352"/>
        <v>0</v>
      </c>
      <c r="AD1232" s="1148">
        <f t="shared" si="344"/>
        <v>457.09473904861892</v>
      </c>
      <c r="AE1232" s="1487">
        <v>0</v>
      </c>
      <c r="AF1232" s="1145">
        <f t="shared" si="353"/>
        <v>457.09473904861892</v>
      </c>
      <c r="AG1232" s="1149">
        <f>IFERROR(VLOOKUP(CONCATENATE($L1232,$N1232),'Drop List'!$G$23:$K$87,2,FALSE),0)</f>
        <v>0.69340000000000002</v>
      </c>
      <c r="AH1232" s="1150">
        <f>IFERROR(VLOOKUP(CONCATENATE($L1232,$N1232),'Drop List'!$G$23:$K$87,3,FALSE),0)</f>
        <v>0</v>
      </c>
      <c r="AI1232" s="1150">
        <f>IFERROR(VLOOKUP(CONCATENATE($L1232,$N1232),'Drop List'!$G$23:$K$87,4,FALSE),0)</f>
        <v>0</v>
      </c>
      <c r="AJ1232" s="1151">
        <f>IFERROR(VLOOKUP(CONCATENATE($L1232,$N1232),'Drop List'!$G$23:$K$87,5,FALSE),0)</f>
        <v>0.30659999999999998</v>
      </c>
      <c r="AK1232" s="1152">
        <f t="shared" si="354"/>
        <v>316.94949205631235</v>
      </c>
      <c r="AL1232" s="1153">
        <f t="shared" si="355"/>
        <v>0</v>
      </c>
      <c r="AM1232" s="1153">
        <f t="shared" si="356"/>
        <v>0</v>
      </c>
      <c r="AN1232" s="1145">
        <f t="shared" si="357"/>
        <v>140.14524699230654</v>
      </c>
      <c r="AO1232" s="1154">
        <f t="shared" si="358"/>
        <v>457.09473904861886</v>
      </c>
      <c r="AP1232" s="1147">
        <f t="shared" si="345"/>
        <v>0</v>
      </c>
      <c r="AQ1232" s="1144">
        <f t="shared" si="346"/>
        <v>0</v>
      </c>
      <c r="AR1232" s="1146">
        <f t="shared" si="347"/>
        <v>457.09473904861886</v>
      </c>
    </row>
    <row r="1233" spans="1:44" x14ac:dyDescent="0.2">
      <c r="A1233" s="1141" t="str">
        <f t="shared" si="342"/>
        <v>1562</v>
      </c>
      <c r="B1233" s="1141" t="str">
        <f>IFERROR(VLOOKUP(A1233,'LAC 103'!A:C,3,FALSE),"")</f>
        <v>OP</v>
      </c>
      <c r="C1233" s="1478" t="str">
        <f>Info!$B$8</f>
        <v>00100</v>
      </c>
      <c r="D1233" s="1474" t="s">
        <v>256</v>
      </c>
      <c r="E1233" s="1474" t="s">
        <v>95</v>
      </c>
      <c r="F1233" s="1478" t="s">
        <v>432</v>
      </c>
      <c r="G1233" s="1478" t="s">
        <v>432</v>
      </c>
      <c r="H1233" s="1474" t="s">
        <v>1656</v>
      </c>
      <c r="I1233" s="1478" t="s">
        <v>809</v>
      </c>
      <c r="J1233" s="1478"/>
      <c r="K1233" s="1475" t="s">
        <v>850</v>
      </c>
      <c r="L1233" s="1474" t="s">
        <v>330</v>
      </c>
      <c r="M1233" s="1476" t="s">
        <v>1698</v>
      </c>
      <c r="N1233" s="1477" t="s">
        <v>1693</v>
      </c>
      <c r="O1233" s="1479">
        <v>76</v>
      </c>
      <c r="P1233" s="1479"/>
      <c r="Q1233" s="1142">
        <f t="shared" si="343"/>
        <v>76</v>
      </c>
      <c r="R1233" s="1143">
        <f>IFERROR(VLOOKUP(CONCATENATE(E1233,G1233),'LAC 103'!$A$12:$O$95,11,FALSE),0)</f>
        <v>5.936295312319726</v>
      </c>
      <c r="S1233" s="1144">
        <f>IFERROR(VLOOKUP(CONCATENATE($E1233,$G1233),'LAC 103'!$A$12:$O$95,12,FALSE),0)</f>
        <v>7.34</v>
      </c>
      <c r="T1233" s="1144">
        <f>IFERROR(VLOOKUP(CONCATENATE($E1233,$G1233),'LAC 103'!$A$12:$O$95,13,FALSE),0)</f>
        <v>4.59</v>
      </c>
      <c r="U1233" s="1144">
        <f>IFERROR(VLOOKUP(CONCATENATE($E1233,$G1233),'LAC 103'!$A$12:$O$95,14,FALSE),0)</f>
        <v>0</v>
      </c>
      <c r="V1233" s="1144">
        <f>IFERROR(VLOOKUP(CONCATENATE($E1233,$G1233),'LAC 103'!$A$12:$O$95,15,FALSE),0)</f>
        <v>0</v>
      </c>
      <c r="W1233" s="1145" t="str">
        <f>IFERROR(VLOOKUP(CONCATENATE($B1233,$N1233),'LAC 103'!$AI:$AQ,9,FALSE),"")</f>
        <v>Costs</v>
      </c>
      <c r="X1233" s="1146">
        <f t="shared" si="348"/>
        <v>5.936295312319726</v>
      </c>
      <c r="Y1233" s="1143">
        <f t="shared" si="359"/>
        <v>451.15844373629915</v>
      </c>
      <c r="Z1233" s="1147">
        <f t="shared" si="349"/>
        <v>557.84</v>
      </c>
      <c r="AA1233" s="1144">
        <f t="shared" si="350"/>
        <v>348.84</v>
      </c>
      <c r="AB1233" s="1144">
        <f t="shared" si="351"/>
        <v>0</v>
      </c>
      <c r="AC1233" s="1144">
        <f t="shared" si="352"/>
        <v>0</v>
      </c>
      <c r="AD1233" s="1148">
        <f t="shared" si="344"/>
        <v>451.15844373629915</v>
      </c>
      <c r="AE1233" s="1487">
        <v>0</v>
      </c>
      <c r="AF1233" s="1145">
        <f t="shared" si="353"/>
        <v>451.15844373629915</v>
      </c>
      <c r="AG1233" s="1149">
        <f>IFERROR(VLOOKUP(CONCATENATE($L1233,$N1233),'Drop List'!$G$23:$K$87,2,FALSE),0)</f>
        <v>0</v>
      </c>
      <c r="AH1233" s="1150">
        <f>IFERROR(VLOOKUP(CONCATENATE($L1233,$N1233),'Drop List'!$G$23:$K$87,3,FALSE),0)</f>
        <v>0</v>
      </c>
      <c r="AI1233" s="1150">
        <f>IFERROR(VLOOKUP(CONCATENATE($L1233,$N1233),'Drop List'!$G$23:$K$87,4,FALSE),0)</f>
        <v>1</v>
      </c>
      <c r="AJ1233" s="1151">
        <f>IFERROR(VLOOKUP(CONCATENATE($L1233,$N1233),'Drop List'!$G$23:$K$87,5,FALSE),0)</f>
        <v>0</v>
      </c>
      <c r="AK1233" s="1152">
        <f t="shared" si="354"/>
        <v>0</v>
      </c>
      <c r="AL1233" s="1153">
        <f t="shared" si="355"/>
        <v>0</v>
      </c>
      <c r="AM1233" s="1153">
        <f t="shared" si="356"/>
        <v>451.15844373629915</v>
      </c>
      <c r="AN1233" s="1145">
        <f t="shared" si="357"/>
        <v>0</v>
      </c>
      <c r="AO1233" s="1154">
        <f t="shared" si="358"/>
        <v>451.15844373629915</v>
      </c>
      <c r="AP1233" s="1147">
        <f t="shared" si="345"/>
        <v>0</v>
      </c>
      <c r="AQ1233" s="1144">
        <f t="shared" si="346"/>
        <v>0</v>
      </c>
      <c r="AR1233" s="1146">
        <f t="shared" si="347"/>
        <v>451.15844373629915</v>
      </c>
    </row>
    <row r="1234" spans="1:44" x14ac:dyDescent="0.2">
      <c r="A1234" s="1141" t="str">
        <f t="shared" si="342"/>
        <v>1562</v>
      </c>
      <c r="B1234" s="1141" t="str">
        <f>IFERROR(VLOOKUP(A1234,'LAC 103'!A:C,3,FALSE),"")</f>
        <v>OP</v>
      </c>
      <c r="C1234" s="1478" t="str">
        <f>Info!$B$8</f>
        <v>00100</v>
      </c>
      <c r="D1234" s="1474" t="s">
        <v>256</v>
      </c>
      <c r="E1234" s="1474" t="s">
        <v>95</v>
      </c>
      <c r="F1234" s="1478" t="s">
        <v>432</v>
      </c>
      <c r="G1234" s="1478" t="s">
        <v>432</v>
      </c>
      <c r="H1234" s="1474" t="s">
        <v>1656</v>
      </c>
      <c r="I1234" s="1478" t="s">
        <v>809</v>
      </c>
      <c r="J1234" s="1478"/>
      <c r="K1234" s="1475" t="s">
        <v>851</v>
      </c>
      <c r="L1234" s="1474" t="s">
        <v>584</v>
      </c>
      <c r="M1234" s="1476" t="s">
        <v>1699</v>
      </c>
      <c r="N1234" s="1477" t="s">
        <v>1694</v>
      </c>
      <c r="O1234" s="1479">
        <v>14877</v>
      </c>
      <c r="P1234" s="1479"/>
      <c r="Q1234" s="1142">
        <f t="shared" si="343"/>
        <v>14877</v>
      </c>
      <c r="R1234" s="1143">
        <f>IFERROR(VLOOKUP(CONCATENATE(E1234,G1234),'LAC 103'!$A$12:$O$95,11,FALSE),0)</f>
        <v>5.936295312319726</v>
      </c>
      <c r="S1234" s="1144">
        <f>IFERROR(VLOOKUP(CONCATENATE($E1234,$G1234),'LAC 103'!$A$12:$O$95,12,FALSE),0)</f>
        <v>7.34</v>
      </c>
      <c r="T1234" s="1144">
        <f>IFERROR(VLOOKUP(CONCATENATE($E1234,$G1234),'LAC 103'!$A$12:$O$95,13,FALSE),0)</f>
        <v>4.59</v>
      </c>
      <c r="U1234" s="1144">
        <f>IFERROR(VLOOKUP(CONCATENATE($E1234,$G1234),'LAC 103'!$A$12:$O$95,14,FALSE),0)</f>
        <v>0</v>
      </c>
      <c r="V1234" s="1144">
        <f>IFERROR(VLOOKUP(CONCATENATE($E1234,$G1234),'LAC 103'!$A$12:$O$95,15,FALSE),0)</f>
        <v>0</v>
      </c>
      <c r="W1234" s="1145" t="str">
        <f>IFERROR(VLOOKUP(CONCATENATE($B1234,$N1234),'LAC 103'!$AI:$AQ,9,FALSE),"")</f>
        <v>Costs</v>
      </c>
      <c r="X1234" s="1146">
        <f t="shared" si="348"/>
        <v>5.936295312319726</v>
      </c>
      <c r="Y1234" s="1143">
        <f t="shared" si="359"/>
        <v>88314.26536138056</v>
      </c>
      <c r="Z1234" s="1147">
        <f t="shared" si="349"/>
        <v>109197.18</v>
      </c>
      <c r="AA1234" s="1144">
        <f t="shared" si="350"/>
        <v>68285.429999999993</v>
      </c>
      <c r="AB1234" s="1144">
        <f t="shared" si="351"/>
        <v>0</v>
      </c>
      <c r="AC1234" s="1144">
        <f t="shared" si="352"/>
        <v>0</v>
      </c>
      <c r="AD1234" s="1148">
        <f t="shared" si="344"/>
        <v>88314.26536138056</v>
      </c>
      <c r="AE1234" s="1487">
        <v>0</v>
      </c>
      <c r="AF1234" s="1145">
        <f t="shared" si="353"/>
        <v>88314.26536138056</v>
      </c>
      <c r="AG1234" s="1149">
        <f>IFERROR(VLOOKUP(CONCATENATE($L1234,$N1234),'Drop List'!$G$23:$K$87,2,FALSE),0)</f>
        <v>0.56200000000000006</v>
      </c>
      <c r="AH1234" s="1150">
        <f>IFERROR(VLOOKUP(CONCATENATE($L1234,$N1234),'Drop List'!$G$23:$K$87,3,FALSE),0)</f>
        <v>0</v>
      </c>
      <c r="AI1234" s="1150">
        <f>IFERROR(VLOOKUP(CONCATENATE($L1234,$N1234),'Drop List'!$G$23:$K$87,4,FALSE),0)</f>
        <v>0</v>
      </c>
      <c r="AJ1234" s="1151">
        <f>IFERROR(VLOOKUP(CONCATENATE($L1234,$N1234),'Drop List'!$G$23:$K$87,5,FALSE),0)</f>
        <v>0.43799999999999994</v>
      </c>
      <c r="AK1234" s="1152">
        <f t="shared" si="354"/>
        <v>49632.617133095882</v>
      </c>
      <c r="AL1234" s="1153">
        <f t="shared" si="355"/>
        <v>0</v>
      </c>
      <c r="AM1234" s="1153">
        <f t="shared" si="356"/>
        <v>0</v>
      </c>
      <c r="AN1234" s="1145">
        <f t="shared" si="357"/>
        <v>38681.648228284677</v>
      </c>
      <c r="AO1234" s="1154">
        <f t="shared" si="358"/>
        <v>88314.26536138056</v>
      </c>
      <c r="AP1234" s="1147">
        <f t="shared" si="345"/>
        <v>0</v>
      </c>
      <c r="AQ1234" s="1144">
        <f t="shared" si="346"/>
        <v>0</v>
      </c>
      <c r="AR1234" s="1146">
        <f t="shared" si="347"/>
        <v>88314.26536138056</v>
      </c>
    </row>
    <row r="1235" spans="1:44" x14ac:dyDescent="0.2">
      <c r="A1235" s="1141" t="str">
        <f t="shared" si="342"/>
        <v>1562</v>
      </c>
      <c r="B1235" s="1141" t="str">
        <f>IFERROR(VLOOKUP(A1235,'LAC 103'!A:C,3,FALSE),"")</f>
        <v>OP</v>
      </c>
      <c r="C1235" s="1478" t="str">
        <f>Info!$B$8</f>
        <v>00100</v>
      </c>
      <c r="D1235" s="1474" t="s">
        <v>256</v>
      </c>
      <c r="E1235" s="1474" t="s">
        <v>95</v>
      </c>
      <c r="F1235" s="1478" t="s">
        <v>432</v>
      </c>
      <c r="G1235" s="1478" t="s">
        <v>432</v>
      </c>
      <c r="H1235" s="1474" t="s">
        <v>1656</v>
      </c>
      <c r="I1235" s="1478" t="s">
        <v>809</v>
      </c>
      <c r="J1235" s="1478"/>
      <c r="K1235" s="1475" t="s">
        <v>851</v>
      </c>
      <c r="L1235" s="1474" t="s">
        <v>584</v>
      </c>
      <c r="M1235" s="1476" t="s">
        <v>841</v>
      </c>
      <c r="N1235" s="1477" t="s">
        <v>1695</v>
      </c>
      <c r="O1235" s="1479">
        <v>5002</v>
      </c>
      <c r="P1235" s="1479"/>
      <c r="Q1235" s="1142">
        <f t="shared" si="343"/>
        <v>5002</v>
      </c>
      <c r="R1235" s="1143">
        <f>IFERROR(VLOOKUP(CONCATENATE(E1235,G1235),'LAC 103'!$A$12:$O$95,11,FALSE),0)</f>
        <v>5.936295312319726</v>
      </c>
      <c r="S1235" s="1144">
        <f>IFERROR(VLOOKUP(CONCATENATE($E1235,$G1235),'LAC 103'!$A$12:$O$95,12,FALSE),0)</f>
        <v>7.34</v>
      </c>
      <c r="T1235" s="1144">
        <f>IFERROR(VLOOKUP(CONCATENATE($E1235,$G1235),'LAC 103'!$A$12:$O$95,13,FALSE),0)</f>
        <v>4.59</v>
      </c>
      <c r="U1235" s="1144">
        <f>IFERROR(VLOOKUP(CONCATENATE($E1235,$G1235),'LAC 103'!$A$12:$O$95,14,FALSE),0)</f>
        <v>0</v>
      </c>
      <c r="V1235" s="1144">
        <f>IFERROR(VLOOKUP(CONCATENATE($E1235,$G1235),'LAC 103'!$A$12:$O$95,15,FALSE),0)</f>
        <v>0</v>
      </c>
      <c r="W1235" s="1145" t="str">
        <f>IFERROR(VLOOKUP(CONCATENATE($B1235,$N1235),'LAC 103'!$AI:$AQ,9,FALSE),"")</f>
        <v>Costs</v>
      </c>
      <c r="X1235" s="1146">
        <f t="shared" si="348"/>
        <v>5.936295312319726</v>
      </c>
      <c r="Y1235" s="1143">
        <f t="shared" si="359"/>
        <v>29693.349152223269</v>
      </c>
      <c r="Z1235" s="1147">
        <f t="shared" si="349"/>
        <v>36714.68</v>
      </c>
      <c r="AA1235" s="1144">
        <f t="shared" si="350"/>
        <v>22959.18</v>
      </c>
      <c r="AB1235" s="1144">
        <f t="shared" si="351"/>
        <v>0</v>
      </c>
      <c r="AC1235" s="1144">
        <f t="shared" si="352"/>
        <v>0</v>
      </c>
      <c r="AD1235" s="1148">
        <f t="shared" si="344"/>
        <v>29693.349152223269</v>
      </c>
      <c r="AE1235" s="1487">
        <v>0</v>
      </c>
      <c r="AF1235" s="1145">
        <f t="shared" si="353"/>
        <v>29693.349152223269</v>
      </c>
      <c r="AG1235" s="1149">
        <f>IFERROR(VLOOKUP(CONCATENATE($L1235,$N1235),'Drop List'!$G$23:$K$87,2,FALSE),0)</f>
        <v>0.55000000000000004</v>
      </c>
      <c r="AH1235" s="1150">
        <f>IFERROR(VLOOKUP(CONCATENATE($L1235,$N1235),'Drop List'!$G$23:$K$87,3,FALSE),0)</f>
        <v>0</v>
      </c>
      <c r="AI1235" s="1150">
        <f>IFERROR(VLOOKUP(CONCATENATE($L1235,$N1235),'Drop List'!$G$23:$K$87,4,FALSE),0)</f>
        <v>0</v>
      </c>
      <c r="AJ1235" s="1151">
        <f>IFERROR(VLOOKUP(CONCATENATE($L1235,$N1235),'Drop List'!$G$23:$K$87,5,FALSE),0)</f>
        <v>0.44999999999999996</v>
      </c>
      <c r="AK1235" s="1152">
        <f t="shared" si="354"/>
        <v>16331.3420337228</v>
      </c>
      <c r="AL1235" s="1153">
        <f t="shared" si="355"/>
        <v>0</v>
      </c>
      <c r="AM1235" s="1153">
        <f t="shared" si="356"/>
        <v>0</v>
      </c>
      <c r="AN1235" s="1145">
        <f t="shared" si="357"/>
        <v>13362.007118500469</v>
      </c>
      <c r="AO1235" s="1154">
        <f t="shared" si="358"/>
        <v>29693.349152223269</v>
      </c>
      <c r="AP1235" s="1147">
        <f t="shared" si="345"/>
        <v>0</v>
      </c>
      <c r="AQ1235" s="1144">
        <f t="shared" si="346"/>
        <v>0</v>
      </c>
      <c r="AR1235" s="1146">
        <f t="shared" si="347"/>
        <v>29693.349152223269</v>
      </c>
    </row>
    <row r="1236" spans="1:44" x14ac:dyDescent="0.2">
      <c r="A1236" s="1141" t="str">
        <f t="shared" si="342"/>
        <v>1562</v>
      </c>
      <c r="B1236" s="1141" t="str">
        <f>IFERROR(VLOOKUP(A1236,'LAC 103'!A:C,3,FALSE),"")</f>
        <v>OP</v>
      </c>
      <c r="C1236" s="1478" t="str">
        <f>Info!$B$8</f>
        <v>00100</v>
      </c>
      <c r="D1236" s="1474" t="s">
        <v>256</v>
      </c>
      <c r="E1236" s="1474" t="s">
        <v>95</v>
      </c>
      <c r="F1236" s="1478" t="s">
        <v>432</v>
      </c>
      <c r="G1236" s="1478" t="s">
        <v>432</v>
      </c>
      <c r="H1236" s="1474" t="s">
        <v>1656</v>
      </c>
      <c r="I1236" s="1478" t="s">
        <v>809</v>
      </c>
      <c r="J1236" s="1478"/>
      <c r="K1236" s="1475" t="s">
        <v>851</v>
      </c>
      <c r="L1236" s="1474" t="s">
        <v>584</v>
      </c>
      <c r="M1236" s="1476" t="s">
        <v>840</v>
      </c>
      <c r="N1236" s="1477" t="s">
        <v>1700</v>
      </c>
      <c r="O1236" s="1479">
        <v>6772</v>
      </c>
      <c r="P1236" s="1479"/>
      <c r="Q1236" s="1142">
        <f t="shared" si="343"/>
        <v>6772</v>
      </c>
      <c r="R1236" s="1143">
        <f>IFERROR(VLOOKUP(CONCATENATE(E1236,G1236),'LAC 103'!$A$12:$O$95,11,FALSE),0)</f>
        <v>5.936295312319726</v>
      </c>
      <c r="S1236" s="1144">
        <f>IFERROR(VLOOKUP(CONCATENATE($E1236,$G1236),'LAC 103'!$A$12:$O$95,12,FALSE),0)</f>
        <v>7.34</v>
      </c>
      <c r="T1236" s="1144">
        <f>IFERROR(VLOOKUP(CONCATENATE($E1236,$G1236),'LAC 103'!$A$12:$O$95,13,FALSE),0)</f>
        <v>4.59</v>
      </c>
      <c r="U1236" s="1144">
        <f>IFERROR(VLOOKUP(CONCATENATE($E1236,$G1236),'LAC 103'!$A$12:$O$95,14,FALSE),0)</f>
        <v>0</v>
      </c>
      <c r="V1236" s="1144">
        <f>IFERROR(VLOOKUP(CONCATENATE($E1236,$G1236),'LAC 103'!$A$12:$O$95,15,FALSE),0)</f>
        <v>0</v>
      </c>
      <c r="W1236" s="1145" t="str">
        <f>IFERROR(VLOOKUP(CONCATENATE($B1236,$N1236),'LAC 103'!$AI:$AQ,9,FALSE),"")</f>
        <v>P.C.</v>
      </c>
      <c r="X1236" s="1146">
        <f t="shared" si="348"/>
        <v>4.59</v>
      </c>
      <c r="Y1236" s="1143">
        <f t="shared" si="359"/>
        <v>40200.591855029183</v>
      </c>
      <c r="Z1236" s="1147">
        <f t="shared" si="349"/>
        <v>49706.479999999996</v>
      </c>
      <c r="AA1236" s="1144">
        <f t="shared" si="350"/>
        <v>31083.48</v>
      </c>
      <c r="AB1236" s="1144">
        <f t="shared" si="351"/>
        <v>0</v>
      </c>
      <c r="AC1236" s="1144">
        <f t="shared" si="352"/>
        <v>0</v>
      </c>
      <c r="AD1236" s="1148">
        <f t="shared" si="344"/>
        <v>31083.48</v>
      </c>
      <c r="AE1236" s="1487">
        <v>0</v>
      </c>
      <c r="AF1236" s="1145">
        <f t="shared" si="353"/>
        <v>31083.48</v>
      </c>
      <c r="AG1236" s="1149">
        <f>IFERROR(VLOOKUP(CONCATENATE($L1236,$N1236),'Drop List'!$G$23:$K$87,2,FALSE),0)</f>
        <v>0.55000000000000004</v>
      </c>
      <c r="AH1236" s="1150">
        <f>IFERROR(VLOOKUP(CONCATENATE($L1236,$N1236),'Drop List'!$G$23:$K$87,3,FALSE),0)</f>
        <v>0</v>
      </c>
      <c r="AI1236" s="1150">
        <f>IFERROR(VLOOKUP(CONCATENATE($L1236,$N1236),'Drop List'!$G$23:$K$87,4,FALSE),0)</f>
        <v>0</v>
      </c>
      <c r="AJ1236" s="1151">
        <f>IFERROR(VLOOKUP(CONCATENATE($L1236,$N1236),'Drop List'!$G$23:$K$87,5,FALSE),0)</f>
        <v>0.44999999999999996</v>
      </c>
      <c r="AK1236" s="1152">
        <f t="shared" si="354"/>
        <v>17095.914000000001</v>
      </c>
      <c r="AL1236" s="1153">
        <f t="shared" si="355"/>
        <v>0</v>
      </c>
      <c r="AM1236" s="1153">
        <f t="shared" si="356"/>
        <v>0</v>
      </c>
      <c r="AN1236" s="1145">
        <f t="shared" si="357"/>
        <v>13987.565999999999</v>
      </c>
      <c r="AO1236" s="1154">
        <f t="shared" si="358"/>
        <v>31083.48</v>
      </c>
      <c r="AP1236" s="1147">
        <f t="shared" si="345"/>
        <v>0</v>
      </c>
      <c r="AQ1236" s="1144">
        <f t="shared" si="346"/>
        <v>0</v>
      </c>
      <c r="AR1236" s="1146">
        <f t="shared" si="347"/>
        <v>31083.48</v>
      </c>
    </row>
    <row r="1237" spans="1:44" x14ac:dyDescent="0.2">
      <c r="A1237" s="1141" t="str">
        <f t="shared" si="342"/>
        <v>1562</v>
      </c>
      <c r="B1237" s="1141" t="str">
        <f>IFERROR(VLOOKUP(A1237,'LAC 103'!A:C,3,FALSE),"")</f>
        <v>OP</v>
      </c>
      <c r="C1237" s="1478" t="str">
        <f>Info!$B$8</f>
        <v>00100</v>
      </c>
      <c r="D1237" s="1474" t="s">
        <v>256</v>
      </c>
      <c r="E1237" s="1474" t="s">
        <v>95</v>
      </c>
      <c r="F1237" s="1478" t="s">
        <v>432</v>
      </c>
      <c r="G1237" s="1478" t="s">
        <v>432</v>
      </c>
      <c r="H1237" s="1474" t="s">
        <v>1656</v>
      </c>
      <c r="I1237" s="1478" t="s">
        <v>809</v>
      </c>
      <c r="J1237" s="1478"/>
      <c r="K1237" s="1475" t="s">
        <v>851</v>
      </c>
      <c r="L1237" s="1474" t="s">
        <v>584</v>
      </c>
      <c r="M1237" s="1476" t="s">
        <v>842</v>
      </c>
      <c r="N1237" s="1477" t="s">
        <v>1692</v>
      </c>
      <c r="O1237" s="1479">
        <v>15581</v>
      </c>
      <c r="P1237" s="1479"/>
      <c r="Q1237" s="1142">
        <f t="shared" si="343"/>
        <v>15581</v>
      </c>
      <c r="R1237" s="1143">
        <f>IFERROR(VLOOKUP(CONCATENATE(E1237,G1237),'LAC 103'!$A$12:$O$95,11,FALSE),0)</f>
        <v>5.936295312319726</v>
      </c>
      <c r="S1237" s="1144">
        <f>IFERROR(VLOOKUP(CONCATENATE($E1237,$G1237),'LAC 103'!$A$12:$O$95,12,FALSE),0)</f>
        <v>7.34</v>
      </c>
      <c r="T1237" s="1144">
        <f>IFERROR(VLOOKUP(CONCATENATE($E1237,$G1237),'LAC 103'!$A$12:$O$95,13,FALSE),0)</f>
        <v>4.59</v>
      </c>
      <c r="U1237" s="1144">
        <f>IFERROR(VLOOKUP(CONCATENATE($E1237,$G1237),'LAC 103'!$A$12:$O$95,14,FALSE),0)</f>
        <v>0</v>
      </c>
      <c r="V1237" s="1144">
        <f>IFERROR(VLOOKUP(CONCATENATE($E1237,$G1237),'LAC 103'!$A$12:$O$95,15,FALSE),0)</f>
        <v>0</v>
      </c>
      <c r="W1237" s="1145" t="str">
        <f>IFERROR(VLOOKUP(CONCATENATE($B1237,$N1237),'LAC 103'!$AI:$AQ,9,FALSE),"")</f>
        <v>Costs</v>
      </c>
      <c r="X1237" s="1146">
        <f t="shared" si="348"/>
        <v>5.936295312319726</v>
      </c>
      <c r="Y1237" s="1143">
        <f t="shared" si="359"/>
        <v>92493.417261253649</v>
      </c>
      <c r="Z1237" s="1147">
        <f t="shared" si="349"/>
        <v>114364.54</v>
      </c>
      <c r="AA1237" s="1144">
        <f t="shared" si="350"/>
        <v>71516.789999999994</v>
      </c>
      <c r="AB1237" s="1144">
        <f t="shared" si="351"/>
        <v>0</v>
      </c>
      <c r="AC1237" s="1144">
        <f t="shared" si="352"/>
        <v>0</v>
      </c>
      <c r="AD1237" s="1148">
        <f t="shared" si="344"/>
        <v>92493.417261253649</v>
      </c>
      <c r="AE1237" s="1487">
        <v>0</v>
      </c>
      <c r="AF1237" s="1145">
        <f t="shared" si="353"/>
        <v>92493.417261253649</v>
      </c>
      <c r="AG1237" s="1149">
        <f>IFERROR(VLOOKUP(CONCATENATE($L1237,$N1237),'Drop List'!$G$23:$K$87,2,FALSE),0)</f>
        <v>0.56200000000000006</v>
      </c>
      <c r="AH1237" s="1150">
        <f>IFERROR(VLOOKUP(CONCATENATE($L1237,$N1237),'Drop List'!$G$23:$K$87,3,FALSE),0)</f>
        <v>0</v>
      </c>
      <c r="AI1237" s="1150">
        <f>IFERROR(VLOOKUP(CONCATENATE($L1237,$N1237),'Drop List'!$G$23:$K$87,4,FALSE),0)</f>
        <v>0</v>
      </c>
      <c r="AJ1237" s="1151">
        <f>IFERROR(VLOOKUP(CONCATENATE($L1237,$N1237),'Drop List'!$G$23:$K$87,5,FALSE),0)</f>
        <v>0.43799999999999994</v>
      </c>
      <c r="AK1237" s="1152">
        <f t="shared" si="354"/>
        <v>51981.300500824553</v>
      </c>
      <c r="AL1237" s="1153">
        <f t="shared" si="355"/>
        <v>0</v>
      </c>
      <c r="AM1237" s="1153">
        <f t="shared" si="356"/>
        <v>0</v>
      </c>
      <c r="AN1237" s="1145">
        <f t="shared" si="357"/>
        <v>40512.116760429097</v>
      </c>
      <c r="AO1237" s="1154">
        <f t="shared" si="358"/>
        <v>92493.417261253649</v>
      </c>
      <c r="AP1237" s="1147">
        <f t="shared" si="345"/>
        <v>0</v>
      </c>
      <c r="AQ1237" s="1144">
        <f t="shared" si="346"/>
        <v>0</v>
      </c>
      <c r="AR1237" s="1146">
        <f t="shared" si="347"/>
        <v>92493.417261253649</v>
      </c>
    </row>
    <row r="1238" spans="1:44" x14ac:dyDescent="0.2">
      <c r="A1238" s="1141" t="str">
        <f t="shared" ref="A1238:A1301" si="360">IF(CONCATENATE(E1238,G1238)="","",CONCATENATE(E1238,G1238))</f>
        <v>1562</v>
      </c>
      <c r="B1238" s="1141" t="str">
        <f>IFERROR(VLOOKUP(A1238,'LAC 103'!A:C,3,FALSE),"")</f>
        <v>OP</v>
      </c>
      <c r="C1238" s="1478" t="str">
        <f>Info!$B$8</f>
        <v>00100</v>
      </c>
      <c r="D1238" s="1474" t="s">
        <v>256</v>
      </c>
      <c r="E1238" s="1474" t="s">
        <v>95</v>
      </c>
      <c r="F1238" s="1478" t="s">
        <v>432</v>
      </c>
      <c r="G1238" s="1478" t="s">
        <v>432</v>
      </c>
      <c r="H1238" s="1474" t="s">
        <v>1656</v>
      </c>
      <c r="I1238" s="1478" t="s">
        <v>809</v>
      </c>
      <c r="J1238" s="1478"/>
      <c r="K1238" s="1475" t="s">
        <v>851</v>
      </c>
      <c r="L1238" s="1474" t="s">
        <v>584</v>
      </c>
      <c r="M1238" s="1476" t="s">
        <v>1698</v>
      </c>
      <c r="N1238" s="1477" t="s">
        <v>1693</v>
      </c>
      <c r="O1238" s="1479">
        <v>16068</v>
      </c>
      <c r="P1238" s="1479"/>
      <c r="Q1238" s="1142">
        <f t="shared" si="343"/>
        <v>16068</v>
      </c>
      <c r="R1238" s="1143">
        <f>IFERROR(VLOOKUP(CONCATENATE(E1238,G1238),'LAC 103'!$A$12:$O$95,11,FALSE),0)</f>
        <v>5.936295312319726</v>
      </c>
      <c r="S1238" s="1144">
        <f>IFERROR(VLOOKUP(CONCATENATE($E1238,$G1238),'LAC 103'!$A$12:$O$95,12,FALSE),0)</f>
        <v>7.34</v>
      </c>
      <c r="T1238" s="1144">
        <f>IFERROR(VLOOKUP(CONCATENATE($E1238,$G1238),'LAC 103'!$A$12:$O$95,13,FALSE),0)</f>
        <v>4.59</v>
      </c>
      <c r="U1238" s="1144">
        <f>IFERROR(VLOOKUP(CONCATENATE($E1238,$G1238),'LAC 103'!$A$12:$O$95,14,FALSE),0)</f>
        <v>0</v>
      </c>
      <c r="V1238" s="1144">
        <f>IFERROR(VLOOKUP(CONCATENATE($E1238,$G1238),'LAC 103'!$A$12:$O$95,15,FALSE),0)</f>
        <v>0</v>
      </c>
      <c r="W1238" s="1145" t="str">
        <f>IFERROR(VLOOKUP(CONCATENATE($B1238,$N1238),'LAC 103'!$AI:$AQ,9,FALSE),"")</f>
        <v>Costs</v>
      </c>
      <c r="X1238" s="1146">
        <f t="shared" si="348"/>
        <v>5.936295312319726</v>
      </c>
      <c r="Y1238" s="1143">
        <f t="shared" si="359"/>
        <v>95384.393078353358</v>
      </c>
      <c r="Z1238" s="1147">
        <f t="shared" si="349"/>
        <v>117939.12</v>
      </c>
      <c r="AA1238" s="1144">
        <f t="shared" si="350"/>
        <v>73752.12</v>
      </c>
      <c r="AB1238" s="1144">
        <f t="shared" si="351"/>
        <v>0</v>
      </c>
      <c r="AC1238" s="1144">
        <f t="shared" si="352"/>
        <v>0</v>
      </c>
      <c r="AD1238" s="1148">
        <f t="shared" si="344"/>
        <v>95384.393078353358</v>
      </c>
      <c r="AE1238" s="1487">
        <v>0</v>
      </c>
      <c r="AF1238" s="1145">
        <f t="shared" si="353"/>
        <v>95384.393078353358</v>
      </c>
      <c r="AG1238" s="1149">
        <f>IFERROR(VLOOKUP(CONCATENATE($L1238,$N1238),'Drop List'!$G$23:$K$87,2,FALSE),0)</f>
        <v>0.56200000000000006</v>
      </c>
      <c r="AH1238" s="1150">
        <f>IFERROR(VLOOKUP(CONCATENATE($L1238,$N1238),'Drop List'!$G$23:$K$87,3,FALSE),0)</f>
        <v>0</v>
      </c>
      <c r="AI1238" s="1150">
        <f>IFERROR(VLOOKUP(CONCATENATE($L1238,$N1238),'Drop List'!$G$23:$K$87,4,FALSE),0)</f>
        <v>0</v>
      </c>
      <c r="AJ1238" s="1151">
        <f>IFERROR(VLOOKUP(CONCATENATE($L1238,$N1238),'Drop List'!$G$23:$K$87,5,FALSE),0)</f>
        <v>0.43799999999999994</v>
      </c>
      <c r="AK1238" s="1152">
        <f t="shared" si="354"/>
        <v>53606.028910034591</v>
      </c>
      <c r="AL1238" s="1153">
        <f t="shared" si="355"/>
        <v>0</v>
      </c>
      <c r="AM1238" s="1153">
        <f t="shared" si="356"/>
        <v>0</v>
      </c>
      <c r="AN1238" s="1145">
        <f t="shared" si="357"/>
        <v>41778.364168318767</v>
      </c>
      <c r="AO1238" s="1154">
        <f t="shared" si="358"/>
        <v>95384.393078353358</v>
      </c>
      <c r="AP1238" s="1147">
        <f t="shared" si="345"/>
        <v>0</v>
      </c>
      <c r="AQ1238" s="1144">
        <f t="shared" si="346"/>
        <v>0</v>
      </c>
      <c r="AR1238" s="1146">
        <f t="shared" si="347"/>
        <v>95384.393078353358</v>
      </c>
    </row>
    <row r="1239" spans="1:44" x14ac:dyDescent="0.2">
      <c r="A1239" s="1141" t="str">
        <f t="shared" si="360"/>
        <v>1562</v>
      </c>
      <c r="B1239" s="1141" t="str">
        <f>IFERROR(VLOOKUP(A1239,'LAC 103'!A:C,3,FALSE),"")</f>
        <v>OP</v>
      </c>
      <c r="C1239" s="1478" t="str">
        <f>Info!$B$8</f>
        <v>00100</v>
      </c>
      <c r="D1239" s="1474" t="s">
        <v>256</v>
      </c>
      <c r="E1239" s="1474" t="s">
        <v>95</v>
      </c>
      <c r="F1239" s="1478" t="s">
        <v>432</v>
      </c>
      <c r="G1239" s="1478" t="s">
        <v>432</v>
      </c>
      <c r="H1239" s="1474" t="s">
        <v>1658</v>
      </c>
      <c r="I1239" s="1478" t="s">
        <v>807</v>
      </c>
      <c r="J1239" s="1478" t="s">
        <v>123</v>
      </c>
      <c r="K1239" s="1475" t="s">
        <v>1654</v>
      </c>
      <c r="L1239" s="1474" t="s">
        <v>332</v>
      </c>
      <c r="M1239" s="1476" t="s">
        <v>1699</v>
      </c>
      <c r="N1239" s="1477" t="s">
        <v>1694</v>
      </c>
      <c r="O1239" s="1479">
        <v>1133</v>
      </c>
      <c r="P1239" s="1479"/>
      <c r="Q1239" s="1142">
        <f t="shared" si="343"/>
        <v>1133</v>
      </c>
      <c r="R1239" s="1143">
        <f>IFERROR(VLOOKUP(CONCATENATE(E1239,G1239),'LAC 103'!$A$12:$O$95,11,FALSE),0)</f>
        <v>5.936295312319726</v>
      </c>
      <c r="S1239" s="1144">
        <f>IFERROR(VLOOKUP(CONCATENATE($E1239,$G1239),'LAC 103'!$A$12:$O$95,12,FALSE),0)</f>
        <v>7.34</v>
      </c>
      <c r="T1239" s="1144">
        <f>IFERROR(VLOOKUP(CONCATENATE($E1239,$G1239),'LAC 103'!$A$12:$O$95,13,FALSE),0)</f>
        <v>4.59</v>
      </c>
      <c r="U1239" s="1144">
        <f>IFERROR(VLOOKUP(CONCATENATE($E1239,$G1239),'LAC 103'!$A$12:$O$95,14,FALSE),0)</f>
        <v>0</v>
      </c>
      <c r="V1239" s="1144">
        <f>IFERROR(VLOOKUP(CONCATENATE($E1239,$G1239),'LAC 103'!$A$12:$O$95,15,FALSE),0)</f>
        <v>0</v>
      </c>
      <c r="W1239" s="1145" t="str">
        <f>IFERROR(VLOOKUP(CONCATENATE($B1239,$N1239),'LAC 103'!$AI:$AQ,9,FALSE),"")</f>
        <v>Costs</v>
      </c>
      <c r="X1239" s="1146">
        <f t="shared" si="348"/>
        <v>5.936295312319726</v>
      </c>
      <c r="Y1239" s="1143">
        <f t="shared" si="359"/>
        <v>6725.8225888582492</v>
      </c>
      <c r="Z1239" s="1147">
        <f t="shared" si="349"/>
        <v>8316.2199999999993</v>
      </c>
      <c r="AA1239" s="1144">
        <f t="shared" si="350"/>
        <v>5200.47</v>
      </c>
      <c r="AB1239" s="1144">
        <f t="shared" si="351"/>
        <v>0</v>
      </c>
      <c r="AC1239" s="1144">
        <f t="shared" si="352"/>
        <v>0</v>
      </c>
      <c r="AD1239" s="1148">
        <f t="shared" si="344"/>
        <v>6725.8225888582492</v>
      </c>
      <c r="AE1239" s="1487">
        <v>0</v>
      </c>
      <c r="AF1239" s="1145">
        <f t="shared" si="353"/>
        <v>6725.8225888582492</v>
      </c>
      <c r="AG1239" s="1149">
        <f>IFERROR(VLOOKUP(CONCATENATE($L1239,$N1239),'Drop List'!$G$23:$K$87,2,FALSE),0)</f>
        <v>0</v>
      </c>
      <c r="AH1239" s="1150">
        <f>IFERROR(VLOOKUP(CONCATENATE($L1239,$N1239),'Drop List'!$G$23:$K$87,3,FALSE),0)</f>
        <v>0</v>
      </c>
      <c r="AI1239" s="1150">
        <f>IFERROR(VLOOKUP(CONCATENATE($L1239,$N1239),'Drop List'!$G$23:$K$87,4,FALSE),0)</f>
        <v>0</v>
      </c>
      <c r="AJ1239" s="1151">
        <f>IFERROR(VLOOKUP(CONCATENATE($L1239,$N1239),'Drop List'!$G$23:$K$87,5,FALSE),0)</f>
        <v>0</v>
      </c>
      <c r="AK1239" s="1152">
        <f t="shared" si="354"/>
        <v>0</v>
      </c>
      <c r="AL1239" s="1153">
        <f t="shared" si="355"/>
        <v>0</v>
      </c>
      <c r="AM1239" s="1153">
        <f t="shared" si="356"/>
        <v>0</v>
      </c>
      <c r="AN1239" s="1145">
        <f t="shared" si="357"/>
        <v>0</v>
      </c>
      <c r="AO1239" s="1154">
        <f t="shared" si="358"/>
        <v>0</v>
      </c>
      <c r="AP1239" s="1147">
        <f t="shared" si="345"/>
        <v>6725.8225888582492</v>
      </c>
      <c r="AQ1239" s="1144">
        <f t="shared" si="346"/>
        <v>0</v>
      </c>
      <c r="AR1239" s="1146">
        <f t="shared" si="347"/>
        <v>6725.8225888582492</v>
      </c>
    </row>
    <row r="1240" spans="1:44" x14ac:dyDescent="0.2">
      <c r="A1240" s="1141" t="str">
        <f t="shared" si="360"/>
        <v>1562</v>
      </c>
      <c r="B1240" s="1141" t="str">
        <f>IFERROR(VLOOKUP(A1240,'LAC 103'!A:C,3,FALSE),"")</f>
        <v>OP</v>
      </c>
      <c r="C1240" s="1478" t="str">
        <f>Info!$B$8</f>
        <v>00100</v>
      </c>
      <c r="D1240" s="1474" t="s">
        <v>256</v>
      </c>
      <c r="E1240" s="1474" t="s">
        <v>95</v>
      </c>
      <c r="F1240" s="1478" t="s">
        <v>432</v>
      </c>
      <c r="G1240" s="1478" t="s">
        <v>432</v>
      </c>
      <c r="H1240" s="1474" t="s">
        <v>1658</v>
      </c>
      <c r="I1240" s="1478" t="s">
        <v>807</v>
      </c>
      <c r="J1240" s="1478"/>
      <c r="K1240" s="1475" t="s">
        <v>1654</v>
      </c>
      <c r="L1240" s="1474" t="s">
        <v>332</v>
      </c>
      <c r="M1240" s="1476" t="s">
        <v>841</v>
      </c>
      <c r="N1240" s="1477" t="s">
        <v>1695</v>
      </c>
      <c r="O1240" s="1479">
        <v>1024</v>
      </c>
      <c r="P1240" s="1479"/>
      <c r="Q1240" s="1142">
        <f t="shared" si="343"/>
        <v>1024</v>
      </c>
      <c r="R1240" s="1143">
        <f>IFERROR(VLOOKUP(CONCATENATE(E1240,G1240),'LAC 103'!$A$12:$O$95,11,FALSE),0)</f>
        <v>5.936295312319726</v>
      </c>
      <c r="S1240" s="1144">
        <f>IFERROR(VLOOKUP(CONCATENATE($E1240,$G1240),'LAC 103'!$A$12:$O$95,12,FALSE),0)</f>
        <v>7.34</v>
      </c>
      <c r="T1240" s="1144">
        <f>IFERROR(VLOOKUP(CONCATENATE($E1240,$G1240),'LAC 103'!$A$12:$O$95,13,FALSE),0)</f>
        <v>4.59</v>
      </c>
      <c r="U1240" s="1144">
        <f>IFERROR(VLOOKUP(CONCATENATE($E1240,$G1240),'LAC 103'!$A$12:$O$95,14,FALSE),0)</f>
        <v>0</v>
      </c>
      <c r="V1240" s="1144">
        <f>IFERROR(VLOOKUP(CONCATENATE($E1240,$G1240),'LAC 103'!$A$12:$O$95,15,FALSE),0)</f>
        <v>0</v>
      </c>
      <c r="W1240" s="1145" t="str">
        <f>IFERROR(VLOOKUP(CONCATENATE($B1240,$N1240),'LAC 103'!$AI:$AQ,9,FALSE),"")</f>
        <v>Costs</v>
      </c>
      <c r="X1240" s="1146">
        <f t="shared" si="348"/>
        <v>5.936295312319726</v>
      </c>
      <c r="Y1240" s="1143">
        <f t="shared" si="359"/>
        <v>6078.7663998153994</v>
      </c>
      <c r="Z1240" s="1147">
        <f t="shared" si="349"/>
        <v>7516.16</v>
      </c>
      <c r="AA1240" s="1144">
        <f t="shared" si="350"/>
        <v>4700.16</v>
      </c>
      <c r="AB1240" s="1144">
        <f t="shared" si="351"/>
        <v>0</v>
      </c>
      <c r="AC1240" s="1144">
        <f t="shared" si="352"/>
        <v>0</v>
      </c>
      <c r="AD1240" s="1148">
        <f t="shared" si="344"/>
        <v>6078.7663998153994</v>
      </c>
      <c r="AE1240" s="1487">
        <v>0</v>
      </c>
      <c r="AF1240" s="1145">
        <f t="shared" si="353"/>
        <v>6078.7663998153994</v>
      </c>
      <c r="AG1240" s="1149">
        <f>IFERROR(VLOOKUP(CONCATENATE($L1240,$N1240),'Drop List'!$G$23:$K$87,2,FALSE),0)</f>
        <v>0</v>
      </c>
      <c r="AH1240" s="1150">
        <f>IFERROR(VLOOKUP(CONCATENATE($L1240,$N1240),'Drop List'!$G$23:$K$87,3,FALSE),0)</f>
        <v>0</v>
      </c>
      <c r="AI1240" s="1150">
        <f>IFERROR(VLOOKUP(CONCATENATE($L1240,$N1240),'Drop List'!$G$23:$K$87,4,FALSE),0)</f>
        <v>0</v>
      </c>
      <c r="AJ1240" s="1151">
        <f>IFERROR(VLOOKUP(CONCATENATE($L1240,$N1240),'Drop List'!$G$23:$K$87,5,FALSE),0)</f>
        <v>0</v>
      </c>
      <c r="AK1240" s="1152">
        <f t="shared" si="354"/>
        <v>0</v>
      </c>
      <c r="AL1240" s="1153">
        <f t="shared" si="355"/>
        <v>0</v>
      </c>
      <c r="AM1240" s="1153">
        <f t="shared" si="356"/>
        <v>0</v>
      </c>
      <c r="AN1240" s="1145">
        <f t="shared" si="357"/>
        <v>0</v>
      </c>
      <c r="AO1240" s="1154">
        <f t="shared" si="358"/>
        <v>0</v>
      </c>
      <c r="AP1240" s="1147">
        <f t="shared" si="345"/>
        <v>6078.7663998153994</v>
      </c>
      <c r="AQ1240" s="1144">
        <f t="shared" si="346"/>
        <v>0</v>
      </c>
      <c r="AR1240" s="1146">
        <f t="shared" si="347"/>
        <v>6078.7663998153994</v>
      </c>
    </row>
    <row r="1241" spans="1:44" x14ac:dyDescent="0.2">
      <c r="A1241" s="1141" t="str">
        <f t="shared" si="360"/>
        <v>1562</v>
      </c>
      <c r="B1241" s="1141" t="str">
        <f>IFERROR(VLOOKUP(A1241,'LAC 103'!A:C,3,FALSE),"")</f>
        <v>OP</v>
      </c>
      <c r="C1241" s="1478" t="str">
        <f>Info!$B$8</f>
        <v>00100</v>
      </c>
      <c r="D1241" s="1474" t="s">
        <v>256</v>
      </c>
      <c r="E1241" s="1474" t="s">
        <v>95</v>
      </c>
      <c r="F1241" s="1478" t="s">
        <v>432</v>
      </c>
      <c r="G1241" s="1478" t="s">
        <v>432</v>
      </c>
      <c r="H1241" s="1474" t="s">
        <v>1658</v>
      </c>
      <c r="I1241" s="1478" t="s">
        <v>807</v>
      </c>
      <c r="J1241" s="1478"/>
      <c r="K1241" s="1475" t="s">
        <v>1654</v>
      </c>
      <c r="L1241" s="1474" t="s">
        <v>332</v>
      </c>
      <c r="M1241" s="1476" t="s">
        <v>840</v>
      </c>
      <c r="N1241" s="1477" t="s">
        <v>1700</v>
      </c>
      <c r="O1241" s="1479">
        <v>373</v>
      </c>
      <c r="P1241" s="1479"/>
      <c r="Q1241" s="1142">
        <f t="shared" si="343"/>
        <v>373</v>
      </c>
      <c r="R1241" s="1143">
        <f>IFERROR(VLOOKUP(CONCATENATE(E1241,G1241),'LAC 103'!$A$12:$O$95,11,FALSE),0)</f>
        <v>5.936295312319726</v>
      </c>
      <c r="S1241" s="1144">
        <f>IFERROR(VLOOKUP(CONCATENATE($E1241,$G1241),'LAC 103'!$A$12:$O$95,12,FALSE),0)</f>
        <v>7.34</v>
      </c>
      <c r="T1241" s="1144">
        <f>IFERROR(VLOOKUP(CONCATENATE($E1241,$G1241),'LAC 103'!$A$12:$O$95,13,FALSE),0)</f>
        <v>4.59</v>
      </c>
      <c r="U1241" s="1144">
        <f>IFERROR(VLOOKUP(CONCATENATE($E1241,$G1241),'LAC 103'!$A$12:$O$95,14,FALSE),0)</f>
        <v>0</v>
      </c>
      <c r="V1241" s="1144">
        <f>IFERROR(VLOOKUP(CONCATENATE($E1241,$G1241),'LAC 103'!$A$12:$O$95,15,FALSE),0)</f>
        <v>0</v>
      </c>
      <c r="W1241" s="1145" t="str">
        <f>IFERROR(VLOOKUP(CONCATENATE($B1241,$N1241),'LAC 103'!$AI:$AQ,9,FALSE),"")</f>
        <v>P.C.</v>
      </c>
      <c r="X1241" s="1146">
        <f t="shared" si="348"/>
        <v>4.59</v>
      </c>
      <c r="Y1241" s="1143">
        <f t="shared" si="359"/>
        <v>2214.2381514952576</v>
      </c>
      <c r="Z1241" s="1147">
        <f t="shared" si="349"/>
        <v>2737.82</v>
      </c>
      <c r="AA1241" s="1144">
        <f t="shared" si="350"/>
        <v>1712.07</v>
      </c>
      <c r="AB1241" s="1144">
        <f t="shared" si="351"/>
        <v>0</v>
      </c>
      <c r="AC1241" s="1144">
        <f t="shared" si="352"/>
        <v>0</v>
      </c>
      <c r="AD1241" s="1148">
        <f t="shared" si="344"/>
        <v>1712.07</v>
      </c>
      <c r="AE1241" s="1487">
        <v>0</v>
      </c>
      <c r="AF1241" s="1145">
        <f t="shared" si="353"/>
        <v>1712.07</v>
      </c>
      <c r="AG1241" s="1149">
        <f>IFERROR(VLOOKUP(CONCATENATE($L1241,$N1241),'Drop List'!$G$23:$K$87,2,FALSE),0)</f>
        <v>0</v>
      </c>
      <c r="AH1241" s="1150">
        <f>IFERROR(VLOOKUP(CONCATENATE($L1241,$N1241),'Drop List'!$G$23:$K$87,3,FALSE),0)</f>
        <v>0</v>
      </c>
      <c r="AI1241" s="1150">
        <f>IFERROR(VLOOKUP(CONCATENATE($L1241,$N1241),'Drop List'!$G$23:$K$87,4,FALSE),0)</f>
        <v>0</v>
      </c>
      <c r="AJ1241" s="1151">
        <f>IFERROR(VLOOKUP(CONCATENATE($L1241,$N1241),'Drop List'!$G$23:$K$87,5,FALSE),0)</f>
        <v>0</v>
      </c>
      <c r="AK1241" s="1152">
        <f t="shared" si="354"/>
        <v>0</v>
      </c>
      <c r="AL1241" s="1153">
        <f t="shared" si="355"/>
        <v>0</v>
      </c>
      <c r="AM1241" s="1153">
        <f t="shared" si="356"/>
        <v>0</v>
      </c>
      <c r="AN1241" s="1145">
        <f t="shared" si="357"/>
        <v>0</v>
      </c>
      <c r="AO1241" s="1154">
        <f t="shared" si="358"/>
        <v>0</v>
      </c>
      <c r="AP1241" s="1147">
        <f t="shared" si="345"/>
        <v>1712.07</v>
      </c>
      <c r="AQ1241" s="1144">
        <f t="shared" si="346"/>
        <v>0</v>
      </c>
      <c r="AR1241" s="1146">
        <f t="shared" si="347"/>
        <v>1712.07</v>
      </c>
    </row>
    <row r="1242" spans="1:44" x14ac:dyDescent="0.2">
      <c r="A1242" s="1141" t="str">
        <f t="shared" si="360"/>
        <v>1562</v>
      </c>
      <c r="B1242" s="1141" t="str">
        <f>IFERROR(VLOOKUP(A1242,'LAC 103'!A:C,3,FALSE),"")</f>
        <v>OP</v>
      </c>
      <c r="C1242" s="1478" t="str">
        <f>Info!$B$8</f>
        <v>00100</v>
      </c>
      <c r="D1242" s="1474" t="s">
        <v>256</v>
      </c>
      <c r="E1242" s="1474" t="s">
        <v>95</v>
      </c>
      <c r="F1242" s="1478" t="s">
        <v>432</v>
      </c>
      <c r="G1242" s="1478" t="s">
        <v>432</v>
      </c>
      <c r="H1242" s="1474" t="s">
        <v>1658</v>
      </c>
      <c r="I1242" s="1478" t="s">
        <v>807</v>
      </c>
      <c r="J1242" s="1478"/>
      <c r="K1242" s="1475" t="s">
        <v>1654</v>
      </c>
      <c r="L1242" s="1474" t="s">
        <v>332</v>
      </c>
      <c r="M1242" s="1476" t="s">
        <v>1698</v>
      </c>
      <c r="N1242" s="1477" t="s">
        <v>1693</v>
      </c>
      <c r="O1242" s="1479">
        <v>26</v>
      </c>
      <c r="P1242" s="1479"/>
      <c r="Q1242" s="1142">
        <f t="shared" si="343"/>
        <v>26</v>
      </c>
      <c r="R1242" s="1143">
        <f>IFERROR(VLOOKUP(CONCATENATE(E1242,G1242),'LAC 103'!$A$12:$O$95,11,FALSE),0)</f>
        <v>5.936295312319726</v>
      </c>
      <c r="S1242" s="1144">
        <f>IFERROR(VLOOKUP(CONCATENATE($E1242,$G1242),'LAC 103'!$A$12:$O$95,12,FALSE),0)</f>
        <v>7.34</v>
      </c>
      <c r="T1242" s="1144">
        <f>IFERROR(VLOOKUP(CONCATENATE($E1242,$G1242),'LAC 103'!$A$12:$O$95,13,FALSE),0)</f>
        <v>4.59</v>
      </c>
      <c r="U1242" s="1144">
        <f>IFERROR(VLOOKUP(CONCATENATE($E1242,$G1242),'LAC 103'!$A$12:$O$95,14,FALSE),0)</f>
        <v>0</v>
      </c>
      <c r="V1242" s="1144">
        <f>IFERROR(VLOOKUP(CONCATENATE($E1242,$G1242),'LAC 103'!$A$12:$O$95,15,FALSE),0)</f>
        <v>0</v>
      </c>
      <c r="W1242" s="1145" t="str">
        <f>IFERROR(VLOOKUP(CONCATENATE($B1242,$N1242),'LAC 103'!$AI:$AQ,9,FALSE),"")</f>
        <v>Costs</v>
      </c>
      <c r="X1242" s="1146">
        <f t="shared" si="348"/>
        <v>5.936295312319726</v>
      </c>
      <c r="Y1242" s="1143">
        <f t="shared" si="359"/>
        <v>154.34367812031289</v>
      </c>
      <c r="Z1242" s="1147">
        <f t="shared" si="349"/>
        <v>190.84</v>
      </c>
      <c r="AA1242" s="1144">
        <f t="shared" si="350"/>
        <v>119.34</v>
      </c>
      <c r="AB1242" s="1144">
        <f t="shared" si="351"/>
        <v>0</v>
      </c>
      <c r="AC1242" s="1144">
        <f t="shared" si="352"/>
        <v>0</v>
      </c>
      <c r="AD1242" s="1148">
        <f t="shared" si="344"/>
        <v>154.34367812031289</v>
      </c>
      <c r="AE1242" s="1487">
        <v>0</v>
      </c>
      <c r="AF1242" s="1145">
        <f t="shared" si="353"/>
        <v>154.34367812031289</v>
      </c>
      <c r="AG1242" s="1149">
        <f>IFERROR(VLOOKUP(CONCATENATE($L1242,$N1242),'Drop List'!$G$23:$K$87,2,FALSE),0)</f>
        <v>0</v>
      </c>
      <c r="AH1242" s="1150">
        <f>IFERROR(VLOOKUP(CONCATENATE($L1242,$N1242),'Drop List'!$G$23:$K$87,3,FALSE),0)</f>
        <v>0</v>
      </c>
      <c r="AI1242" s="1150">
        <f>IFERROR(VLOOKUP(CONCATENATE($L1242,$N1242),'Drop List'!$G$23:$K$87,4,FALSE),0)</f>
        <v>0</v>
      </c>
      <c r="AJ1242" s="1151">
        <f>IFERROR(VLOOKUP(CONCATENATE($L1242,$N1242),'Drop List'!$G$23:$K$87,5,FALSE),0)</f>
        <v>0</v>
      </c>
      <c r="AK1242" s="1152">
        <f t="shared" si="354"/>
        <v>0</v>
      </c>
      <c r="AL1242" s="1153">
        <f t="shared" si="355"/>
        <v>0</v>
      </c>
      <c r="AM1242" s="1153">
        <f t="shared" si="356"/>
        <v>0</v>
      </c>
      <c r="AN1242" s="1145">
        <f t="shared" si="357"/>
        <v>0</v>
      </c>
      <c r="AO1242" s="1154">
        <f t="shared" si="358"/>
        <v>0</v>
      </c>
      <c r="AP1242" s="1147">
        <f t="shared" si="345"/>
        <v>154.34367812031289</v>
      </c>
      <c r="AQ1242" s="1144">
        <f t="shared" si="346"/>
        <v>0</v>
      </c>
      <c r="AR1242" s="1146">
        <f t="shared" si="347"/>
        <v>154.34367812031289</v>
      </c>
    </row>
    <row r="1243" spans="1:44" x14ac:dyDescent="0.2">
      <c r="A1243" s="1141" t="str">
        <f t="shared" si="360"/>
        <v>1562</v>
      </c>
      <c r="B1243" s="1141" t="str">
        <f>IFERROR(VLOOKUP(A1243,'LAC 103'!A:C,3,FALSE),"")</f>
        <v>OP</v>
      </c>
      <c r="C1243" s="1478" t="str">
        <f>Info!$B$8</f>
        <v>00100</v>
      </c>
      <c r="D1243" s="1474" t="s">
        <v>256</v>
      </c>
      <c r="E1243" s="1474" t="s">
        <v>95</v>
      </c>
      <c r="F1243" s="1478" t="s">
        <v>432</v>
      </c>
      <c r="G1243" s="1478" t="s">
        <v>432</v>
      </c>
      <c r="H1243" s="1474" t="s">
        <v>1658</v>
      </c>
      <c r="I1243" s="1478" t="s">
        <v>807</v>
      </c>
      <c r="J1243" s="1478"/>
      <c r="K1243" s="1475" t="s">
        <v>849</v>
      </c>
      <c r="L1243" s="1474" t="s">
        <v>77</v>
      </c>
      <c r="M1243" s="1476" t="s">
        <v>1699</v>
      </c>
      <c r="N1243" s="1477" t="s">
        <v>1694</v>
      </c>
      <c r="O1243" s="1479">
        <v>14982</v>
      </c>
      <c r="P1243" s="1479"/>
      <c r="Q1243" s="1142">
        <f t="shared" si="343"/>
        <v>14982</v>
      </c>
      <c r="R1243" s="1143">
        <f>IFERROR(VLOOKUP(CONCATENATE(E1243,G1243),'LAC 103'!$A$12:$O$95,11,FALSE),0)</f>
        <v>5.936295312319726</v>
      </c>
      <c r="S1243" s="1144">
        <f>IFERROR(VLOOKUP(CONCATENATE($E1243,$G1243),'LAC 103'!$A$12:$O$95,12,FALSE),0)</f>
        <v>7.34</v>
      </c>
      <c r="T1243" s="1144">
        <f>IFERROR(VLOOKUP(CONCATENATE($E1243,$G1243),'LAC 103'!$A$12:$O$95,13,FALSE),0)</f>
        <v>4.59</v>
      </c>
      <c r="U1243" s="1144">
        <f>IFERROR(VLOOKUP(CONCATENATE($E1243,$G1243),'LAC 103'!$A$12:$O$95,14,FALSE),0)</f>
        <v>0</v>
      </c>
      <c r="V1243" s="1144">
        <f>IFERROR(VLOOKUP(CONCATENATE($E1243,$G1243),'LAC 103'!$A$12:$O$95,15,FALSE),0)</f>
        <v>0</v>
      </c>
      <c r="W1243" s="1145" t="str">
        <f>IFERROR(VLOOKUP(CONCATENATE($B1243,$N1243),'LAC 103'!$AI:$AQ,9,FALSE),"")</f>
        <v>Costs</v>
      </c>
      <c r="X1243" s="1146">
        <f t="shared" si="348"/>
        <v>5.936295312319726</v>
      </c>
      <c r="Y1243" s="1143">
        <f t="shared" si="359"/>
        <v>88937.57636917413</v>
      </c>
      <c r="Z1243" s="1147">
        <f t="shared" si="349"/>
        <v>109967.88</v>
      </c>
      <c r="AA1243" s="1144">
        <f t="shared" si="350"/>
        <v>68767.38</v>
      </c>
      <c r="AB1243" s="1144">
        <f t="shared" si="351"/>
        <v>0</v>
      </c>
      <c r="AC1243" s="1144">
        <f t="shared" si="352"/>
        <v>0</v>
      </c>
      <c r="AD1243" s="1148">
        <f t="shared" si="344"/>
        <v>88937.57636917413</v>
      </c>
      <c r="AE1243" s="1487">
        <v>0</v>
      </c>
      <c r="AF1243" s="1145">
        <f t="shared" si="353"/>
        <v>88937.57636917413</v>
      </c>
      <c r="AG1243" s="1149">
        <f>IFERROR(VLOOKUP(CONCATENATE($L1243,$N1243),'Drop List'!$G$23:$K$87,2,FALSE),0)</f>
        <v>0.9</v>
      </c>
      <c r="AH1243" s="1150">
        <f>IFERROR(VLOOKUP(CONCATENATE($L1243,$N1243),'Drop List'!$G$23:$K$87,3,FALSE),0)</f>
        <v>0</v>
      </c>
      <c r="AI1243" s="1150">
        <f>IFERROR(VLOOKUP(CONCATENATE($L1243,$N1243),'Drop List'!$G$23:$K$87,4,FALSE),0)</f>
        <v>0.1</v>
      </c>
      <c r="AJ1243" s="1151">
        <f>IFERROR(VLOOKUP(CONCATENATE($L1243,$N1243),'Drop List'!$G$23:$K$87,5,FALSE),0)</f>
        <v>0</v>
      </c>
      <c r="AK1243" s="1152">
        <f t="shared" si="354"/>
        <v>80043.818732256725</v>
      </c>
      <c r="AL1243" s="1153">
        <f t="shared" si="355"/>
        <v>0</v>
      </c>
      <c r="AM1243" s="1153">
        <f t="shared" si="356"/>
        <v>8893.757636917413</v>
      </c>
      <c r="AN1243" s="1145">
        <f t="shared" si="357"/>
        <v>0</v>
      </c>
      <c r="AO1243" s="1154">
        <f t="shared" si="358"/>
        <v>88937.576369174145</v>
      </c>
      <c r="AP1243" s="1147">
        <f t="shared" si="345"/>
        <v>0</v>
      </c>
      <c r="AQ1243" s="1144">
        <f t="shared" si="346"/>
        <v>0</v>
      </c>
      <c r="AR1243" s="1146">
        <f t="shared" si="347"/>
        <v>88937.576369174145</v>
      </c>
    </row>
    <row r="1244" spans="1:44" x14ac:dyDescent="0.2">
      <c r="A1244" s="1141" t="str">
        <f t="shared" si="360"/>
        <v>1562</v>
      </c>
      <c r="B1244" s="1141" t="str">
        <f>IFERROR(VLOOKUP(A1244,'LAC 103'!A:C,3,FALSE),"")</f>
        <v>OP</v>
      </c>
      <c r="C1244" s="1478" t="str">
        <f>Info!$B$8</f>
        <v>00100</v>
      </c>
      <c r="D1244" s="1474" t="s">
        <v>256</v>
      </c>
      <c r="E1244" s="1474" t="s">
        <v>95</v>
      </c>
      <c r="F1244" s="1478" t="s">
        <v>432</v>
      </c>
      <c r="G1244" s="1478" t="s">
        <v>432</v>
      </c>
      <c r="H1244" s="1474" t="s">
        <v>1658</v>
      </c>
      <c r="I1244" s="1478" t="s">
        <v>807</v>
      </c>
      <c r="J1244" s="1478"/>
      <c r="K1244" s="1475" t="s">
        <v>849</v>
      </c>
      <c r="L1244" s="1474" t="s">
        <v>77</v>
      </c>
      <c r="M1244" s="1476" t="s">
        <v>841</v>
      </c>
      <c r="N1244" s="1477" t="s">
        <v>1695</v>
      </c>
      <c r="O1244" s="1479">
        <v>8688</v>
      </c>
      <c r="P1244" s="1479"/>
      <c r="Q1244" s="1142">
        <f t="shared" si="343"/>
        <v>8688</v>
      </c>
      <c r="R1244" s="1143">
        <f>IFERROR(VLOOKUP(CONCATENATE(E1244,G1244),'LAC 103'!$A$12:$O$95,11,FALSE),0)</f>
        <v>5.936295312319726</v>
      </c>
      <c r="S1244" s="1144">
        <f>IFERROR(VLOOKUP(CONCATENATE($E1244,$G1244),'LAC 103'!$A$12:$O$95,12,FALSE),0)</f>
        <v>7.34</v>
      </c>
      <c r="T1244" s="1144">
        <f>IFERROR(VLOOKUP(CONCATENATE($E1244,$G1244),'LAC 103'!$A$12:$O$95,13,FALSE),0)</f>
        <v>4.59</v>
      </c>
      <c r="U1244" s="1144">
        <f>IFERROR(VLOOKUP(CONCATENATE($E1244,$G1244),'LAC 103'!$A$12:$O$95,14,FALSE),0)</f>
        <v>0</v>
      </c>
      <c r="V1244" s="1144">
        <f>IFERROR(VLOOKUP(CONCATENATE($E1244,$G1244),'LAC 103'!$A$12:$O$95,15,FALSE),0)</f>
        <v>0</v>
      </c>
      <c r="W1244" s="1145" t="str">
        <f>IFERROR(VLOOKUP(CONCATENATE($B1244,$N1244),'LAC 103'!$AI:$AQ,9,FALSE),"")</f>
        <v>Costs</v>
      </c>
      <c r="X1244" s="1146">
        <f t="shared" si="348"/>
        <v>5.936295312319726</v>
      </c>
      <c r="Y1244" s="1143">
        <f t="shared" si="359"/>
        <v>51574.533673433776</v>
      </c>
      <c r="Z1244" s="1147">
        <f t="shared" si="349"/>
        <v>63769.919999999998</v>
      </c>
      <c r="AA1244" s="1144">
        <f t="shared" si="350"/>
        <v>39877.919999999998</v>
      </c>
      <c r="AB1244" s="1144">
        <f t="shared" si="351"/>
        <v>0</v>
      </c>
      <c r="AC1244" s="1144">
        <f t="shared" si="352"/>
        <v>0</v>
      </c>
      <c r="AD1244" s="1148">
        <f t="shared" si="344"/>
        <v>51574.533673433776</v>
      </c>
      <c r="AE1244" s="1487">
        <v>0</v>
      </c>
      <c r="AF1244" s="1145">
        <f t="shared" si="353"/>
        <v>51574.533673433776</v>
      </c>
      <c r="AG1244" s="1149">
        <f>IFERROR(VLOOKUP(CONCATENATE($L1244,$N1244),'Drop List'!$G$23:$K$87,2,FALSE),0)</f>
        <v>0.9</v>
      </c>
      <c r="AH1244" s="1150">
        <f>IFERROR(VLOOKUP(CONCATENATE($L1244,$N1244),'Drop List'!$G$23:$K$87,3,FALSE),0)</f>
        <v>0</v>
      </c>
      <c r="AI1244" s="1150">
        <f>IFERROR(VLOOKUP(CONCATENATE($L1244,$N1244),'Drop List'!$G$23:$K$87,4,FALSE),0)</f>
        <v>0.1</v>
      </c>
      <c r="AJ1244" s="1151">
        <f>IFERROR(VLOOKUP(CONCATENATE($L1244,$N1244),'Drop List'!$G$23:$K$87,5,FALSE),0)</f>
        <v>0</v>
      </c>
      <c r="AK1244" s="1152">
        <f t="shared" si="354"/>
        <v>46417.0803060904</v>
      </c>
      <c r="AL1244" s="1153">
        <f t="shared" si="355"/>
        <v>0</v>
      </c>
      <c r="AM1244" s="1153">
        <f t="shared" si="356"/>
        <v>5157.453367343378</v>
      </c>
      <c r="AN1244" s="1145">
        <f t="shared" si="357"/>
        <v>0</v>
      </c>
      <c r="AO1244" s="1154">
        <f t="shared" si="358"/>
        <v>51574.533673433776</v>
      </c>
      <c r="AP1244" s="1147">
        <f t="shared" si="345"/>
        <v>0</v>
      </c>
      <c r="AQ1244" s="1144">
        <f t="shared" si="346"/>
        <v>0</v>
      </c>
      <c r="AR1244" s="1146">
        <f t="shared" si="347"/>
        <v>51574.533673433776</v>
      </c>
    </row>
    <row r="1245" spans="1:44" x14ac:dyDescent="0.2">
      <c r="A1245" s="1141" t="str">
        <f t="shared" si="360"/>
        <v>1562</v>
      </c>
      <c r="B1245" s="1141" t="str">
        <f>IFERROR(VLOOKUP(A1245,'LAC 103'!A:C,3,FALSE),"")</f>
        <v>OP</v>
      </c>
      <c r="C1245" s="1478" t="str">
        <f>Info!$B$8</f>
        <v>00100</v>
      </c>
      <c r="D1245" s="1474" t="s">
        <v>256</v>
      </c>
      <c r="E1245" s="1474" t="s">
        <v>95</v>
      </c>
      <c r="F1245" s="1478" t="s">
        <v>432</v>
      </c>
      <c r="G1245" s="1478" t="s">
        <v>432</v>
      </c>
      <c r="H1245" s="1474" t="s">
        <v>1658</v>
      </c>
      <c r="I1245" s="1478" t="s">
        <v>807</v>
      </c>
      <c r="J1245" s="1478"/>
      <c r="K1245" s="1475" t="s">
        <v>849</v>
      </c>
      <c r="L1245" s="1474" t="s">
        <v>77</v>
      </c>
      <c r="M1245" s="1476" t="s">
        <v>840</v>
      </c>
      <c r="N1245" s="1477" t="s">
        <v>1700</v>
      </c>
      <c r="O1245" s="1479">
        <v>9390</v>
      </c>
      <c r="P1245" s="1479"/>
      <c r="Q1245" s="1142">
        <f t="shared" si="343"/>
        <v>9390</v>
      </c>
      <c r="R1245" s="1143">
        <f>IFERROR(VLOOKUP(CONCATENATE(E1245,G1245),'LAC 103'!$A$12:$O$95,11,FALSE),0)</f>
        <v>5.936295312319726</v>
      </c>
      <c r="S1245" s="1144">
        <f>IFERROR(VLOOKUP(CONCATENATE($E1245,$G1245),'LAC 103'!$A$12:$O$95,12,FALSE),0)</f>
        <v>7.34</v>
      </c>
      <c r="T1245" s="1144">
        <f>IFERROR(VLOOKUP(CONCATENATE($E1245,$G1245),'LAC 103'!$A$12:$O$95,13,FALSE),0)</f>
        <v>4.59</v>
      </c>
      <c r="U1245" s="1144">
        <f>IFERROR(VLOOKUP(CONCATENATE($E1245,$G1245),'LAC 103'!$A$12:$O$95,14,FALSE),0)</f>
        <v>0</v>
      </c>
      <c r="V1245" s="1144">
        <f>IFERROR(VLOOKUP(CONCATENATE($E1245,$G1245),'LAC 103'!$A$12:$O$95,15,FALSE),0)</f>
        <v>0</v>
      </c>
      <c r="W1245" s="1145" t="str">
        <f>IFERROR(VLOOKUP(CONCATENATE($B1245,$N1245),'LAC 103'!$AI:$AQ,9,FALSE),"")</f>
        <v>P.C.</v>
      </c>
      <c r="X1245" s="1146">
        <f t="shared" si="348"/>
        <v>4.59</v>
      </c>
      <c r="Y1245" s="1143">
        <f t="shared" si="359"/>
        <v>55741.812982682226</v>
      </c>
      <c r="Z1245" s="1147">
        <f t="shared" si="349"/>
        <v>68922.600000000006</v>
      </c>
      <c r="AA1245" s="1144">
        <f t="shared" si="350"/>
        <v>43100.1</v>
      </c>
      <c r="AB1245" s="1144">
        <f t="shared" si="351"/>
        <v>0</v>
      </c>
      <c r="AC1245" s="1144">
        <f t="shared" si="352"/>
        <v>0</v>
      </c>
      <c r="AD1245" s="1148">
        <f t="shared" si="344"/>
        <v>43100.1</v>
      </c>
      <c r="AE1245" s="1487">
        <v>54949</v>
      </c>
      <c r="AF1245" s="1145">
        <f t="shared" si="353"/>
        <v>-11848.900000000001</v>
      </c>
      <c r="AG1245" s="1149">
        <f>IFERROR(VLOOKUP(CONCATENATE($L1245,$N1245),'Drop List'!$G$23:$K$87,2,FALSE),0)</f>
        <v>0.9</v>
      </c>
      <c r="AH1245" s="1150">
        <f>IFERROR(VLOOKUP(CONCATENATE($L1245,$N1245),'Drop List'!$G$23:$K$87,3,FALSE),0)</f>
        <v>0</v>
      </c>
      <c r="AI1245" s="1150">
        <f>IFERROR(VLOOKUP(CONCATENATE($L1245,$N1245),'Drop List'!$G$23:$K$87,4,FALSE),0)</f>
        <v>0.1</v>
      </c>
      <c r="AJ1245" s="1151">
        <f>IFERROR(VLOOKUP(CONCATENATE($L1245,$N1245),'Drop List'!$G$23:$K$87,5,FALSE),0)</f>
        <v>0</v>
      </c>
      <c r="AK1245" s="1152">
        <f t="shared" si="354"/>
        <v>-10664.010000000002</v>
      </c>
      <c r="AL1245" s="1153">
        <f t="shared" si="355"/>
        <v>0</v>
      </c>
      <c r="AM1245" s="1153">
        <f t="shared" si="356"/>
        <v>-1184.8900000000001</v>
      </c>
      <c r="AN1245" s="1145">
        <f t="shared" si="357"/>
        <v>0</v>
      </c>
      <c r="AO1245" s="1154">
        <f t="shared" si="358"/>
        <v>-11848.900000000001</v>
      </c>
      <c r="AP1245" s="1147">
        <f t="shared" si="345"/>
        <v>0</v>
      </c>
      <c r="AQ1245" s="1144">
        <f t="shared" si="346"/>
        <v>0</v>
      </c>
      <c r="AR1245" s="1146">
        <f t="shared" si="347"/>
        <v>-11848.900000000001</v>
      </c>
    </row>
    <row r="1246" spans="1:44" x14ac:dyDescent="0.2">
      <c r="A1246" s="1141" t="str">
        <f t="shared" si="360"/>
        <v>1562</v>
      </c>
      <c r="B1246" s="1141" t="str">
        <f>IFERROR(VLOOKUP(A1246,'LAC 103'!A:C,3,FALSE),"")</f>
        <v>OP</v>
      </c>
      <c r="C1246" s="1478" t="str">
        <f>Info!$B$8</f>
        <v>00100</v>
      </c>
      <c r="D1246" s="1474" t="s">
        <v>256</v>
      </c>
      <c r="E1246" s="1474" t="s">
        <v>95</v>
      </c>
      <c r="F1246" s="1478" t="s">
        <v>432</v>
      </c>
      <c r="G1246" s="1478" t="s">
        <v>432</v>
      </c>
      <c r="H1246" s="1474" t="s">
        <v>1658</v>
      </c>
      <c r="I1246" s="1478" t="s">
        <v>807</v>
      </c>
      <c r="J1246" s="1478"/>
      <c r="K1246" s="1475" t="s">
        <v>849</v>
      </c>
      <c r="L1246" s="1474" t="s">
        <v>77</v>
      </c>
      <c r="M1246" s="1476" t="s">
        <v>842</v>
      </c>
      <c r="N1246" s="1477" t="s">
        <v>1692</v>
      </c>
      <c r="O1246" s="1479">
        <v>12764</v>
      </c>
      <c r="P1246" s="1479"/>
      <c r="Q1246" s="1142">
        <f t="shared" si="343"/>
        <v>12764</v>
      </c>
      <c r="R1246" s="1143">
        <f>IFERROR(VLOOKUP(CONCATENATE(E1246,G1246),'LAC 103'!$A$12:$O$95,11,FALSE),0)</f>
        <v>5.936295312319726</v>
      </c>
      <c r="S1246" s="1144">
        <f>IFERROR(VLOOKUP(CONCATENATE($E1246,$G1246),'LAC 103'!$A$12:$O$95,12,FALSE),0)</f>
        <v>7.34</v>
      </c>
      <c r="T1246" s="1144">
        <f>IFERROR(VLOOKUP(CONCATENATE($E1246,$G1246),'LAC 103'!$A$12:$O$95,13,FALSE),0)</f>
        <v>4.59</v>
      </c>
      <c r="U1246" s="1144">
        <f>IFERROR(VLOOKUP(CONCATENATE($E1246,$G1246),'LAC 103'!$A$12:$O$95,14,FALSE),0)</f>
        <v>0</v>
      </c>
      <c r="V1246" s="1144">
        <f>IFERROR(VLOOKUP(CONCATENATE($E1246,$G1246),'LAC 103'!$A$12:$O$95,15,FALSE),0)</f>
        <v>0</v>
      </c>
      <c r="W1246" s="1145" t="str">
        <f>IFERROR(VLOOKUP(CONCATENATE($B1246,$N1246),'LAC 103'!$AI:$AQ,9,FALSE),"")</f>
        <v>Costs</v>
      </c>
      <c r="X1246" s="1146">
        <f t="shared" si="348"/>
        <v>5.936295312319726</v>
      </c>
      <c r="Y1246" s="1143">
        <f t="shared" si="359"/>
        <v>75770.873366448985</v>
      </c>
      <c r="Z1246" s="1147">
        <f t="shared" si="349"/>
        <v>93687.76</v>
      </c>
      <c r="AA1246" s="1144">
        <f t="shared" si="350"/>
        <v>58586.759999999995</v>
      </c>
      <c r="AB1246" s="1144">
        <f t="shared" si="351"/>
        <v>0</v>
      </c>
      <c r="AC1246" s="1144">
        <f t="shared" si="352"/>
        <v>0</v>
      </c>
      <c r="AD1246" s="1148">
        <f t="shared" si="344"/>
        <v>75770.873366448985</v>
      </c>
      <c r="AE1246" s="1487">
        <v>0</v>
      </c>
      <c r="AF1246" s="1145">
        <f t="shared" si="353"/>
        <v>75770.873366448985</v>
      </c>
      <c r="AG1246" s="1149">
        <f>IFERROR(VLOOKUP(CONCATENATE($L1246,$N1246),'Drop List'!$G$23:$K$87,2,FALSE),0)</f>
        <v>0.9</v>
      </c>
      <c r="AH1246" s="1150">
        <f>IFERROR(VLOOKUP(CONCATENATE($L1246,$N1246),'Drop List'!$G$23:$K$87,3,FALSE),0)</f>
        <v>0</v>
      </c>
      <c r="AI1246" s="1150">
        <f>IFERROR(VLOOKUP(CONCATENATE($L1246,$N1246),'Drop List'!$G$23:$K$87,4,FALSE),0)</f>
        <v>0.1</v>
      </c>
      <c r="AJ1246" s="1151">
        <f>IFERROR(VLOOKUP(CONCATENATE($L1246,$N1246),'Drop List'!$G$23:$K$87,5,FALSE),0)</f>
        <v>0</v>
      </c>
      <c r="AK1246" s="1152">
        <f t="shared" si="354"/>
        <v>68193.786029804091</v>
      </c>
      <c r="AL1246" s="1153">
        <f t="shared" si="355"/>
        <v>0</v>
      </c>
      <c r="AM1246" s="1153">
        <f t="shared" si="356"/>
        <v>7577.0873366448986</v>
      </c>
      <c r="AN1246" s="1145">
        <f t="shared" si="357"/>
        <v>0</v>
      </c>
      <c r="AO1246" s="1154">
        <f t="shared" si="358"/>
        <v>75770.873366448985</v>
      </c>
      <c r="AP1246" s="1147">
        <f t="shared" si="345"/>
        <v>0</v>
      </c>
      <c r="AQ1246" s="1144">
        <f t="shared" si="346"/>
        <v>0</v>
      </c>
      <c r="AR1246" s="1146">
        <f t="shared" si="347"/>
        <v>75770.873366448985</v>
      </c>
    </row>
    <row r="1247" spans="1:44" x14ac:dyDescent="0.2">
      <c r="A1247" s="1141" t="str">
        <f t="shared" si="360"/>
        <v>1562</v>
      </c>
      <c r="B1247" s="1141" t="str">
        <f>IFERROR(VLOOKUP(A1247,'LAC 103'!A:C,3,FALSE),"")</f>
        <v>OP</v>
      </c>
      <c r="C1247" s="1478" t="str">
        <f>Info!$B$8</f>
        <v>00100</v>
      </c>
      <c r="D1247" s="1474" t="s">
        <v>256</v>
      </c>
      <c r="E1247" s="1474" t="s">
        <v>95</v>
      </c>
      <c r="F1247" s="1478" t="s">
        <v>432</v>
      </c>
      <c r="G1247" s="1478" t="s">
        <v>432</v>
      </c>
      <c r="H1247" s="1474" t="s">
        <v>1658</v>
      </c>
      <c r="I1247" s="1478" t="s">
        <v>807</v>
      </c>
      <c r="J1247" s="1478"/>
      <c r="K1247" s="1475" t="s">
        <v>849</v>
      </c>
      <c r="L1247" s="1474" t="s">
        <v>77</v>
      </c>
      <c r="M1247" s="1476" t="s">
        <v>1698</v>
      </c>
      <c r="N1247" s="1477" t="s">
        <v>1693</v>
      </c>
      <c r="O1247" s="1479">
        <v>11641</v>
      </c>
      <c r="P1247" s="1479"/>
      <c r="Q1247" s="1142">
        <f t="shared" si="343"/>
        <v>11641</v>
      </c>
      <c r="R1247" s="1143">
        <f>IFERROR(VLOOKUP(CONCATENATE(E1247,G1247),'LAC 103'!$A$12:$O$95,11,FALSE),0)</f>
        <v>5.936295312319726</v>
      </c>
      <c r="S1247" s="1144">
        <f>IFERROR(VLOOKUP(CONCATENATE($E1247,$G1247),'LAC 103'!$A$12:$O$95,12,FALSE),0)</f>
        <v>7.34</v>
      </c>
      <c r="T1247" s="1144">
        <f>IFERROR(VLOOKUP(CONCATENATE($E1247,$G1247),'LAC 103'!$A$12:$O$95,13,FALSE),0)</f>
        <v>4.59</v>
      </c>
      <c r="U1247" s="1144">
        <f>IFERROR(VLOOKUP(CONCATENATE($E1247,$G1247),'LAC 103'!$A$12:$O$95,14,FALSE),0)</f>
        <v>0</v>
      </c>
      <c r="V1247" s="1144">
        <f>IFERROR(VLOOKUP(CONCATENATE($E1247,$G1247),'LAC 103'!$A$12:$O$95,15,FALSE),0)</f>
        <v>0</v>
      </c>
      <c r="W1247" s="1145" t="str">
        <f>IFERROR(VLOOKUP(CONCATENATE($B1247,$N1247),'LAC 103'!$AI:$AQ,9,FALSE),"")</f>
        <v>Costs</v>
      </c>
      <c r="X1247" s="1146">
        <f t="shared" si="348"/>
        <v>5.936295312319726</v>
      </c>
      <c r="Y1247" s="1143">
        <f t="shared" si="359"/>
        <v>69104.413730713932</v>
      </c>
      <c r="Z1247" s="1147">
        <f t="shared" si="349"/>
        <v>85444.94</v>
      </c>
      <c r="AA1247" s="1144">
        <f t="shared" si="350"/>
        <v>53432.189999999995</v>
      </c>
      <c r="AB1247" s="1144">
        <f t="shared" si="351"/>
        <v>0</v>
      </c>
      <c r="AC1247" s="1144">
        <f t="shared" si="352"/>
        <v>0</v>
      </c>
      <c r="AD1247" s="1148">
        <f t="shared" si="344"/>
        <v>69104.413730713932</v>
      </c>
      <c r="AE1247" s="1487">
        <v>0</v>
      </c>
      <c r="AF1247" s="1145">
        <f t="shared" si="353"/>
        <v>69104.413730713932</v>
      </c>
      <c r="AG1247" s="1149">
        <f>IFERROR(VLOOKUP(CONCATENATE($L1247,$N1247),'Drop List'!$G$23:$K$87,2,FALSE),0)</f>
        <v>0.9</v>
      </c>
      <c r="AH1247" s="1150">
        <f>IFERROR(VLOOKUP(CONCATENATE($L1247,$N1247),'Drop List'!$G$23:$K$87,3,FALSE),0)</f>
        <v>0</v>
      </c>
      <c r="AI1247" s="1150">
        <f>IFERROR(VLOOKUP(CONCATENATE($L1247,$N1247),'Drop List'!$G$23:$K$87,4,FALSE),0)</f>
        <v>0.1</v>
      </c>
      <c r="AJ1247" s="1151">
        <f>IFERROR(VLOOKUP(CONCATENATE($L1247,$N1247),'Drop List'!$G$23:$K$87,5,FALSE),0)</f>
        <v>0</v>
      </c>
      <c r="AK1247" s="1152">
        <f t="shared" si="354"/>
        <v>62193.972357642539</v>
      </c>
      <c r="AL1247" s="1153">
        <f t="shared" si="355"/>
        <v>0</v>
      </c>
      <c r="AM1247" s="1153">
        <f t="shared" si="356"/>
        <v>6910.4413730713932</v>
      </c>
      <c r="AN1247" s="1145">
        <f t="shared" si="357"/>
        <v>0</v>
      </c>
      <c r="AO1247" s="1154">
        <f t="shared" si="358"/>
        <v>69104.413730713932</v>
      </c>
      <c r="AP1247" s="1147">
        <f t="shared" si="345"/>
        <v>0</v>
      </c>
      <c r="AQ1247" s="1144">
        <f t="shared" si="346"/>
        <v>0</v>
      </c>
      <c r="AR1247" s="1146">
        <f t="shared" si="347"/>
        <v>69104.413730713932</v>
      </c>
    </row>
    <row r="1248" spans="1:44" x14ac:dyDescent="0.2">
      <c r="A1248" s="1141" t="str">
        <f t="shared" si="360"/>
        <v>1562</v>
      </c>
      <c r="B1248" s="1141" t="str">
        <f>IFERROR(VLOOKUP(A1248,'LAC 103'!A:C,3,FALSE),"")</f>
        <v>OP</v>
      </c>
      <c r="C1248" s="1478" t="str">
        <f>Info!$B$8</f>
        <v>00100</v>
      </c>
      <c r="D1248" s="1474" t="s">
        <v>256</v>
      </c>
      <c r="E1248" s="1474" t="s">
        <v>95</v>
      </c>
      <c r="F1248" s="1478" t="s">
        <v>432</v>
      </c>
      <c r="G1248" s="1478" t="s">
        <v>432</v>
      </c>
      <c r="H1248" s="1474" t="s">
        <v>1658</v>
      </c>
      <c r="I1248" s="1478" t="s">
        <v>807</v>
      </c>
      <c r="J1248" s="1478"/>
      <c r="K1248" s="1475" t="s">
        <v>850</v>
      </c>
      <c r="L1248" s="1474" t="s">
        <v>330</v>
      </c>
      <c r="M1248" s="1476" t="s">
        <v>1699</v>
      </c>
      <c r="N1248" s="1477" t="s">
        <v>1694</v>
      </c>
      <c r="O1248" s="1479">
        <v>30</v>
      </c>
      <c r="P1248" s="1479"/>
      <c r="Q1248" s="1142">
        <f t="shared" si="343"/>
        <v>30</v>
      </c>
      <c r="R1248" s="1143">
        <f>IFERROR(VLOOKUP(CONCATENATE(E1248,G1248),'LAC 103'!$A$12:$O$95,11,FALSE),0)</f>
        <v>5.936295312319726</v>
      </c>
      <c r="S1248" s="1144">
        <f>IFERROR(VLOOKUP(CONCATENATE($E1248,$G1248),'LAC 103'!$A$12:$O$95,12,FALSE),0)</f>
        <v>7.34</v>
      </c>
      <c r="T1248" s="1144">
        <f>IFERROR(VLOOKUP(CONCATENATE($E1248,$G1248),'LAC 103'!$A$12:$O$95,13,FALSE),0)</f>
        <v>4.59</v>
      </c>
      <c r="U1248" s="1144">
        <f>IFERROR(VLOOKUP(CONCATENATE($E1248,$G1248),'LAC 103'!$A$12:$O$95,14,FALSE),0)</f>
        <v>0</v>
      </c>
      <c r="V1248" s="1144">
        <f>IFERROR(VLOOKUP(CONCATENATE($E1248,$G1248),'LAC 103'!$A$12:$O$95,15,FALSE),0)</f>
        <v>0</v>
      </c>
      <c r="W1248" s="1145" t="str">
        <f>IFERROR(VLOOKUP(CONCATENATE($B1248,$N1248),'LAC 103'!$AI:$AQ,9,FALSE),"")</f>
        <v>Costs</v>
      </c>
      <c r="X1248" s="1146">
        <f t="shared" si="348"/>
        <v>5.936295312319726</v>
      </c>
      <c r="Y1248" s="1143">
        <f t="shared" si="359"/>
        <v>178.08885936959177</v>
      </c>
      <c r="Z1248" s="1147">
        <f t="shared" si="349"/>
        <v>220.2</v>
      </c>
      <c r="AA1248" s="1144">
        <f t="shared" si="350"/>
        <v>137.69999999999999</v>
      </c>
      <c r="AB1248" s="1144">
        <f t="shared" si="351"/>
        <v>0</v>
      </c>
      <c r="AC1248" s="1144">
        <f t="shared" si="352"/>
        <v>0</v>
      </c>
      <c r="AD1248" s="1148">
        <f t="shared" si="344"/>
        <v>178.08885936959177</v>
      </c>
      <c r="AE1248" s="1487">
        <v>0</v>
      </c>
      <c r="AF1248" s="1145">
        <f t="shared" si="353"/>
        <v>178.08885936959177</v>
      </c>
      <c r="AG1248" s="1149">
        <f>IFERROR(VLOOKUP(CONCATENATE($L1248,$N1248),'Drop List'!$G$23:$K$87,2,FALSE),0)</f>
        <v>0</v>
      </c>
      <c r="AH1248" s="1150">
        <f>IFERROR(VLOOKUP(CONCATENATE($L1248,$N1248),'Drop List'!$G$23:$K$87,3,FALSE),0)</f>
        <v>0</v>
      </c>
      <c r="AI1248" s="1150">
        <f>IFERROR(VLOOKUP(CONCATENATE($L1248,$N1248),'Drop List'!$G$23:$K$87,4,FALSE),0)</f>
        <v>1</v>
      </c>
      <c r="AJ1248" s="1151">
        <f>IFERROR(VLOOKUP(CONCATENATE($L1248,$N1248),'Drop List'!$G$23:$K$87,5,FALSE),0)</f>
        <v>0</v>
      </c>
      <c r="AK1248" s="1152">
        <f t="shared" si="354"/>
        <v>0</v>
      </c>
      <c r="AL1248" s="1153">
        <f t="shared" si="355"/>
        <v>0</v>
      </c>
      <c r="AM1248" s="1153">
        <f t="shared" si="356"/>
        <v>178.08885936959177</v>
      </c>
      <c r="AN1248" s="1145">
        <f t="shared" si="357"/>
        <v>0</v>
      </c>
      <c r="AO1248" s="1154">
        <f t="shared" si="358"/>
        <v>178.08885936959177</v>
      </c>
      <c r="AP1248" s="1147">
        <f t="shared" si="345"/>
        <v>0</v>
      </c>
      <c r="AQ1248" s="1144">
        <f t="shared" si="346"/>
        <v>0</v>
      </c>
      <c r="AR1248" s="1146">
        <f t="shared" si="347"/>
        <v>178.08885936959177</v>
      </c>
    </row>
    <row r="1249" spans="1:44" x14ac:dyDescent="0.2">
      <c r="A1249" s="1141" t="str">
        <f t="shared" si="360"/>
        <v>1562</v>
      </c>
      <c r="B1249" s="1141" t="str">
        <f>IFERROR(VLOOKUP(A1249,'LAC 103'!A:C,3,FALSE),"")</f>
        <v>OP</v>
      </c>
      <c r="C1249" s="1478" t="str">
        <f>Info!$B$8</f>
        <v>00100</v>
      </c>
      <c r="D1249" s="1474" t="s">
        <v>256</v>
      </c>
      <c r="E1249" s="1474" t="s">
        <v>95</v>
      </c>
      <c r="F1249" s="1478" t="s">
        <v>432</v>
      </c>
      <c r="G1249" s="1478" t="s">
        <v>432</v>
      </c>
      <c r="H1249" s="1474" t="s">
        <v>1658</v>
      </c>
      <c r="I1249" s="1478" t="s">
        <v>807</v>
      </c>
      <c r="J1249" s="1478"/>
      <c r="K1249" s="1475" t="s">
        <v>850</v>
      </c>
      <c r="L1249" s="1474" t="s">
        <v>330</v>
      </c>
      <c r="M1249" s="1476" t="s">
        <v>842</v>
      </c>
      <c r="N1249" s="1477" t="s">
        <v>1692</v>
      </c>
      <c r="O1249" s="1479">
        <v>268</v>
      </c>
      <c r="P1249" s="1479"/>
      <c r="Q1249" s="1142">
        <f t="shared" si="343"/>
        <v>268</v>
      </c>
      <c r="R1249" s="1143">
        <f>IFERROR(VLOOKUP(CONCATENATE(E1249,G1249),'LAC 103'!$A$12:$O$95,11,FALSE),0)</f>
        <v>5.936295312319726</v>
      </c>
      <c r="S1249" s="1144">
        <f>IFERROR(VLOOKUP(CONCATENATE($E1249,$G1249),'LAC 103'!$A$12:$O$95,12,FALSE),0)</f>
        <v>7.34</v>
      </c>
      <c r="T1249" s="1144">
        <f>IFERROR(VLOOKUP(CONCATENATE($E1249,$G1249),'LAC 103'!$A$12:$O$95,13,FALSE),0)</f>
        <v>4.59</v>
      </c>
      <c r="U1249" s="1144">
        <f>IFERROR(VLOOKUP(CONCATENATE($E1249,$G1249),'LAC 103'!$A$12:$O$95,14,FALSE),0)</f>
        <v>0</v>
      </c>
      <c r="V1249" s="1144">
        <f>IFERROR(VLOOKUP(CONCATENATE($E1249,$G1249),'LAC 103'!$A$12:$O$95,15,FALSE),0)</f>
        <v>0</v>
      </c>
      <c r="W1249" s="1145" t="str">
        <f>IFERROR(VLOOKUP(CONCATENATE($B1249,$N1249),'LAC 103'!$AI:$AQ,9,FALSE),"")</f>
        <v>Costs</v>
      </c>
      <c r="X1249" s="1146">
        <f t="shared" si="348"/>
        <v>5.936295312319726</v>
      </c>
      <c r="Y1249" s="1143">
        <f t="shared" si="359"/>
        <v>1590.9271437016866</v>
      </c>
      <c r="Z1249" s="1147">
        <f t="shared" si="349"/>
        <v>1967.12</v>
      </c>
      <c r="AA1249" s="1144">
        <f t="shared" si="350"/>
        <v>1230.1199999999999</v>
      </c>
      <c r="AB1249" s="1144">
        <f t="shared" si="351"/>
        <v>0</v>
      </c>
      <c r="AC1249" s="1144">
        <f t="shared" si="352"/>
        <v>0</v>
      </c>
      <c r="AD1249" s="1148">
        <f t="shared" si="344"/>
        <v>1590.9271437016866</v>
      </c>
      <c r="AE1249" s="1487">
        <v>0</v>
      </c>
      <c r="AF1249" s="1145">
        <f t="shared" si="353"/>
        <v>1590.9271437016866</v>
      </c>
      <c r="AG1249" s="1149">
        <f>IFERROR(VLOOKUP(CONCATENATE($L1249,$N1249),'Drop List'!$G$23:$K$87,2,FALSE),0)</f>
        <v>0</v>
      </c>
      <c r="AH1249" s="1150">
        <f>IFERROR(VLOOKUP(CONCATENATE($L1249,$N1249),'Drop List'!$G$23:$K$87,3,FALSE),0)</f>
        <v>0</v>
      </c>
      <c r="AI1249" s="1150">
        <f>IFERROR(VLOOKUP(CONCATENATE($L1249,$N1249),'Drop List'!$G$23:$K$87,4,FALSE),0)</f>
        <v>1</v>
      </c>
      <c r="AJ1249" s="1151">
        <f>IFERROR(VLOOKUP(CONCATENATE($L1249,$N1249),'Drop List'!$G$23:$K$87,5,FALSE),0)</f>
        <v>0</v>
      </c>
      <c r="AK1249" s="1152">
        <f t="shared" si="354"/>
        <v>0</v>
      </c>
      <c r="AL1249" s="1153">
        <f t="shared" si="355"/>
        <v>0</v>
      </c>
      <c r="AM1249" s="1153">
        <f t="shared" si="356"/>
        <v>1590.9271437016866</v>
      </c>
      <c r="AN1249" s="1145">
        <f t="shared" si="357"/>
        <v>0</v>
      </c>
      <c r="AO1249" s="1154">
        <f t="shared" si="358"/>
        <v>1590.9271437016866</v>
      </c>
      <c r="AP1249" s="1147">
        <f t="shared" si="345"/>
        <v>0</v>
      </c>
      <c r="AQ1249" s="1144">
        <f t="shared" si="346"/>
        <v>0</v>
      </c>
      <c r="AR1249" s="1146">
        <f t="shared" si="347"/>
        <v>1590.9271437016866</v>
      </c>
    </row>
    <row r="1250" spans="1:44" x14ac:dyDescent="0.2">
      <c r="A1250" s="1141" t="str">
        <f t="shared" si="360"/>
        <v>1562</v>
      </c>
      <c r="B1250" s="1141" t="str">
        <f>IFERROR(VLOOKUP(A1250,'LAC 103'!A:C,3,FALSE),"")</f>
        <v>OP</v>
      </c>
      <c r="C1250" s="1478" t="str">
        <f>Info!$B$8</f>
        <v>00100</v>
      </c>
      <c r="D1250" s="1474" t="s">
        <v>256</v>
      </c>
      <c r="E1250" s="1474" t="s">
        <v>95</v>
      </c>
      <c r="F1250" s="1478" t="s">
        <v>432</v>
      </c>
      <c r="G1250" s="1478" t="s">
        <v>432</v>
      </c>
      <c r="H1250" s="1474" t="s">
        <v>1658</v>
      </c>
      <c r="I1250" s="1478" t="s">
        <v>807</v>
      </c>
      <c r="J1250" s="1478"/>
      <c r="K1250" s="1475" t="s">
        <v>850</v>
      </c>
      <c r="L1250" s="1474" t="s">
        <v>330</v>
      </c>
      <c r="M1250" s="1476" t="s">
        <v>1698</v>
      </c>
      <c r="N1250" s="1477" t="s">
        <v>1693</v>
      </c>
      <c r="O1250" s="1479">
        <v>160</v>
      </c>
      <c r="P1250" s="1479"/>
      <c r="Q1250" s="1142">
        <f t="shared" si="343"/>
        <v>160</v>
      </c>
      <c r="R1250" s="1143">
        <f>IFERROR(VLOOKUP(CONCATENATE(E1250,G1250),'LAC 103'!$A$12:$O$95,11,FALSE),0)</f>
        <v>5.936295312319726</v>
      </c>
      <c r="S1250" s="1144">
        <f>IFERROR(VLOOKUP(CONCATENATE($E1250,$G1250),'LAC 103'!$A$12:$O$95,12,FALSE),0)</f>
        <v>7.34</v>
      </c>
      <c r="T1250" s="1144">
        <f>IFERROR(VLOOKUP(CONCATENATE($E1250,$G1250),'LAC 103'!$A$12:$O$95,13,FALSE),0)</f>
        <v>4.59</v>
      </c>
      <c r="U1250" s="1144">
        <f>IFERROR(VLOOKUP(CONCATENATE($E1250,$G1250),'LAC 103'!$A$12:$O$95,14,FALSE),0)</f>
        <v>0</v>
      </c>
      <c r="V1250" s="1144">
        <f>IFERROR(VLOOKUP(CONCATENATE($E1250,$G1250),'LAC 103'!$A$12:$O$95,15,FALSE),0)</f>
        <v>0</v>
      </c>
      <c r="W1250" s="1145" t="str">
        <f>IFERROR(VLOOKUP(CONCATENATE($B1250,$N1250),'LAC 103'!$AI:$AQ,9,FALSE),"")</f>
        <v>Costs</v>
      </c>
      <c r="X1250" s="1146">
        <f t="shared" si="348"/>
        <v>5.936295312319726</v>
      </c>
      <c r="Y1250" s="1143">
        <f t="shared" si="359"/>
        <v>949.80724997115612</v>
      </c>
      <c r="Z1250" s="1147">
        <f t="shared" si="349"/>
        <v>1174.4000000000001</v>
      </c>
      <c r="AA1250" s="1144">
        <f t="shared" si="350"/>
        <v>734.4</v>
      </c>
      <c r="AB1250" s="1144">
        <f t="shared" si="351"/>
        <v>0</v>
      </c>
      <c r="AC1250" s="1144">
        <f t="shared" si="352"/>
        <v>0</v>
      </c>
      <c r="AD1250" s="1148">
        <f t="shared" si="344"/>
        <v>949.80724997115612</v>
      </c>
      <c r="AE1250" s="1487">
        <v>0</v>
      </c>
      <c r="AF1250" s="1145">
        <f t="shared" si="353"/>
        <v>949.80724997115612</v>
      </c>
      <c r="AG1250" s="1149">
        <f>IFERROR(VLOOKUP(CONCATENATE($L1250,$N1250),'Drop List'!$G$23:$K$87,2,FALSE),0)</f>
        <v>0</v>
      </c>
      <c r="AH1250" s="1150">
        <f>IFERROR(VLOOKUP(CONCATENATE($L1250,$N1250),'Drop List'!$G$23:$K$87,3,FALSE),0)</f>
        <v>0</v>
      </c>
      <c r="AI1250" s="1150">
        <f>IFERROR(VLOOKUP(CONCATENATE($L1250,$N1250),'Drop List'!$G$23:$K$87,4,FALSE),0)</f>
        <v>1</v>
      </c>
      <c r="AJ1250" s="1151">
        <f>IFERROR(VLOOKUP(CONCATENATE($L1250,$N1250),'Drop List'!$G$23:$K$87,5,FALSE),0)</f>
        <v>0</v>
      </c>
      <c r="AK1250" s="1152">
        <f t="shared" si="354"/>
        <v>0</v>
      </c>
      <c r="AL1250" s="1153">
        <f t="shared" si="355"/>
        <v>0</v>
      </c>
      <c r="AM1250" s="1153">
        <f t="shared" si="356"/>
        <v>949.80724997115612</v>
      </c>
      <c r="AN1250" s="1145">
        <f t="shared" si="357"/>
        <v>0</v>
      </c>
      <c r="AO1250" s="1154">
        <f t="shared" si="358"/>
        <v>949.80724997115612</v>
      </c>
      <c r="AP1250" s="1147">
        <f t="shared" si="345"/>
        <v>0</v>
      </c>
      <c r="AQ1250" s="1144">
        <f t="shared" si="346"/>
        <v>0</v>
      </c>
      <c r="AR1250" s="1146">
        <f t="shared" si="347"/>
        <v>949.80724997115612</v>
      </c>
    </row>
    <row r="1251" spans="1:44" x14ac:dyDescent="0.2">
      <c r="A1251" s="1141" t="str">
        <f t="shared" si="360"/>
        <v>1562</v>
      </c>
      <c r="B1251" s="1141" t="str">
        <f>IFERROR(VLOOKUP(A1251,'LAC 103'!A:C,3,FALSE),"")</f>
        <v>OP</v>
      </c>
      <c r="C1251" s="1478" t="str">
        <f>Info!$B$8</f>
        <v>00100</v>
      </c>
      <c r="D1251" s="1474" t="s">
        <v>256</v>
      </c>
      <c r="E1251" s="1474" t="s">
        <v>95</v>
      </c>
      <c r="F1251" s="1478" t="s">
        <v>432</v>
      </c>
      <c r="G1251" s="1478" t="s">
        <v>432</v>
      </c>
      <c r="H1251" s="1474" t="s">
        <v>1658</v>
      </c>
      <c r="I1251" s="1478" t="s">
        <v>807</v>
      </c>
      <c r="J1251" s="1478"/>
      <c r="K1251" s="1475" t="s">
        <v>851</v>
      </c>
      <c r="L1251" s="1474" t="s">
        <v>584</v>
      </c>
      <c r="M1251" s="1476" t="s">
        <v>1699</v>
      </c>
      <c r="N1251" s="1477" t="s">
        <v>1694</v>
      </c>
      <c r="O1251" s="1479">
        <v>15852</v>
      </c>
      <c r="P1251" s="1479"/>
      <c r="Q1251" s="1142">
        <f t="shared" si="343"/>
        <v>15852</v>
      </c>
      <c r="R1251" s="1143">
        <f>IFERROR(VLOOKUP(CONCATENATE(E1251,G1251),'LAC 103'!$A$12:$O$95,11,FALSE),0)</f>
        <v>5.936295312319726</v>
      </c>
      <c r="S1251" s="1144">
        <f>IFERROR(VLOOKUP(CONCATENATE($E1251,$G1251),'LAC 103'!$A$12:$O$95,12,FALSE),0)</f>
        <v>7.34</v>
      </c>
      <c r="T1251" s="1144">
        <f>IFERROR(VLOOKUP(CONCATENATE($E1251,$G1251),'LAC 103'!$A$12:$O$95,13,FALSE),0)</f>
        <v>4.59</v>
      </c>
      <c r="U1251" s="1144">
        <f>IFERROR(VLOOKUP(CONCATENATE($E1251,$G1251),'LAC 103'!$A$12:$O$95,14,FALSE),0)</f>
        <v>0</v>
      </c>
      <c r="V1251" s="1144">
        <f>IFERROR(VLOOKUP(CONCATENATE($E1251,$G1251),'LAC 103'!$A$12:$O$95,15,FALSE),0)</f>
        <v>0</v>
      </c>
      <c r="W1251" s="1145" t="str">
        <f>IFERROR(VLOOKUP(CONCATENATE($B1251,$N1251),'LAC 103'!$AI:$AQ,9,FALSE),"")</f>
        <v>Costs</v>
      </c>
      <c r="X1251" s="1146">
        <f t="shared" si="348"/>
        <v>5.936295312319726</v>
      </c>
      <c r="Y1251" s="1143">
        <f t="shared" si="359"/>
        <v>94102.153290892296</v>
      </c>
      <c r="Z1251" s="1147">
        <f t="shared" si="349"/>
        <v>116353.68</v>
      </c>
      <c r="AA1251" s="1144">
        <f t="shared" si="350"/>
        <v>72760.679999999993</v>
      </c>
      <c r="AB1251" s="1144">
        <f t="shared" si="351"/>
        <v>0</v>
      </c>
      <c r="AC1251" s="1144">
        <f t="shared" si="352"/>
        <v>0</v>
      </c>
      <c r="AD1251" s="1148">
        <f t="shared" si="344"/>
        <v>94102.153290892296</v>
      </c>
      <c r="AE1251" s="1487">
        <v>0</v>
      </c>
      <c r="AF1251" s="1145">
        <f t="shared" si="353"/>
        <v>94102.153290892296</v>
      </c>
      <c r="AG1251" s="1149">
        <f>IFERROR(VLOOKUP(CONCATENATE($L1251,$N1251),'Drop List'!$G$23:$K$87,2,FALSE),0)</f>
        <v>0.56200000000000006</v>
      </c>
      <c r="AH1251" s="1150">
        <f>IFERROR(VLOOKUP(CONCATENATE($L1251,$N1251),'Drop List'!$G$23:$K$87,3,FALSE),0)</f>
        <v>0</v>
      </c>
      <c r="AI1251" s="1150">
        <f>IFERROR(VLOOKUP(CONCATENATE($L1251,$N1251),'Drop List'!$G$23:$K$87,4,FALSE),0)</f>
        <v>0</v>
      </c>
      <c r="AJ1251" s="1151">
        <f>IFERROR(VLOOKUP(CONCATENATE($L1251,$N1251),'Drop List'!$G$23:$K$87,5,FALSE),0)</f>
        <v>0.43799999999999994</v>
      </c>
      <c r="AK1251" s="1152">
        <f t="shared" si="354"/>
        <v>52885.410149481475</v>
      </c>
      <c r="AL1251" s="1153">
        <f t="shared" si="355"/>
        <v>0</v>
      </c>
      <c r="AM1251" s="1153">
        <f t="shared" si="356"/>
        <v>0</v>
      </c>
      <c r="AN1251" s="1145">
        <f t="shared" si="357"/>
        <v>41216.743141410821</v>
      </c>
      <c r="AO1251" s="1154">
        <f t="shared" si="358"/>
        <v>94102.153290892296</v>
      </c>
      <c r="AP1251" s="1147">
        <f t="shared" si="345"/>
        <v>0</v>
      </c>
      <c r="AQ1251" s="1144">
        <f t="shared" si="346"/>
        <v>0</v>
      </c>
      <c r="AR1251" s="1146">
        <f t="shared" si="347"/>
        <v>94102.153290892296</v>
      </c>
    </row>
    <row r="1252" spans="1:44" x14ac:dyDescent="0.2">
      <c r="A1252" s="1141" t="str">
        <f t="shared" si="360"/>
        <v>1562</v>
      </c>
      <c r="B1252" s="1141" t="str">
        <f>IFERROR(VLOOKUP(A1252,'LAC 103'!A:C,3,FALSE),"")</f>
        <v>OP</v>
      </c>
      <c r="C1252" s="1478" t="str">
        <f>Info!$B$8</f>
        <v>00100</v>
      </c>
      <c r="D1252" s="1474" t="s">
        <v>256</v>
      </c>
      <c r="E1252" s="1474" t="s">
        <v>95</v>
      </c>
      <c r="F1252" s="1478" t="s">
        <v>432</v>
      </c>
      <c r="G1252" s="1478" t="s">
        <v>432</v>
      </c>
      <c r="H1252" s="1474" t="s">
        <v>1658</v>
      </c>
      <c r="I1252" s="1478" t="s">
        <v>807</v>
      </c>
      <c r="J1252" s="1478"/>
      <c r="K1252" s="1475" t="s">
        <v>851</v>
      </c>
      <c r="L1252" s="1474" t="s">
        <v>584</v>
      </c>
      <c r="M1252" s="1476" t="s">
        <v>841</v>
      </c>
      <c r="N1252" s="1477" t="s">
        <v>1695</v>
      </c>
      <c r="O1252" s="1479">
        <v>8533</v>
      </c>
      <c r="P1252" s="1479"/>
      <c r="Q1252" s="1142">
        <f t="shared" si="343"/>
        <v>8533</v>
      </c>
      <c r="R1252" s="1143">
        <f>IFERROR(VLOOKUP(CONCATENATE(E1252,G1252),'LAC 103'!$A$12:$O$95,11,FALSE),0)</f>
        <v>5.936295312319726</v>
      </c>
      <c r="S1252" s="1144">
        <f>IFERROR(VLOOKUP(CONCATENATE($E1252,$G1252),'LAC 103'!$A$12:$O$95,12,FALSE),0)</f>
        <v>7.34</v>
      </c>
      <c r="T1252" s="1144">
        <f>IFERROR(VLOOKUP(CONCATENATE($E1252,$G1252),'LAC 103'!$A$12:$O$95,13,FALSE),0)</f>
        <v>4.59</v>
      </c>
      <c r="U1252" s="1144">
        <f>IFERROR(VLOOKUP(CONCATENATE($E1252,$G1252),'LAC 103'!$A$12:$O$95,14,FALSE),0)</f>
        <v>0</v>
      </c>
      <c r="V1252" s="1144">
        <f>IFERROR(VLOOKUP(CONCATENATE($E1252,$G1252),'LAC 103'!$A$12:$O$95,15,FALSE),0)</f>
        <v>0</v>
      </c>
      <c r="W1252" s="1145" t="str">
        <f>IFERROR(VLOOKUP(CONCATENATE($B1252,$N1252),'LAC 103'!$AI:$AQ,9,FALSE),"")</f>
        <v>Costs</v>
      </c>
      <c r="X1252" s="1146">
        <f t="shared" si="348"/>
        <v>5.936295312319726</v>
      </c>
      <c r="Y1252" s="1143">
        <f t="shared" si="359"/>
        <v>50654.40790002422</v>
      </c>
      <c r="Z1252" s="1147">
        <f t="shared" si="349"/>
        <v>62632.22</v>
      </c>
      <c r="AA1252" s="1144">
        <f t="shared" si="350"/>
        <v>39166.47</v>
      </c>
      <c r="AB1252" s="1144">
        <f t="shared" si="351"/>
        <v>0</v>
      </c>
      <c r="AC1252" s="1144">
        <f t="shared" si="352"/>
        <v>0</v>
      </c>
      <c r="AD1252" s="1148">
        <f t="shared" si="344"/>
        <v>50654.40790002422</v>
      </c>
      <c r="AE1252" s="1487">
        <v>0</v>
      </c>
      <c r="AF1252" s="1145">
        <f t="shared" si="353"/>
        <v>50654.40790002422</v>
      </c>
      <c r="AG1252" s="1149">
        <f>IFERROR(VLOOKUP(CONCATENATE($L1252,$N1252),'Drop List'!$G$23:$K$87,2,FALSE),0)</f>
        <v>0.55000000000000004</v>
      </c>
      <c r="AH1252" s="1150">
        <f>IFERROR(VLOOKUP(CONCATENATE($L1252,$N1252),'Drop List'!$G$23:$K$87,3,FALSE),0)</f>
        <v>0</v>
      </c>
      <c r="AI1252" s="1150">
        <f>IFERROR(VLOOKUP(CONCATENATE($L1252,$N1252),'Drop List'!$G$23:$K$87,4,FALSE),0)</f>
        <v>0</v>
      </c>
      <c r="AJ1252" s="1151">
        <f>IFERROR(VLOOKUP(CONCATENATE($L1252,$N1252),'Drop List'!$G$23:$K$87,5,FALSE),0)</f>
        <v>0.44999999999999996</v>
      </c>
      <c r="AK1252" s="1152">
        <f t="shared" si="354"/>
        <v>27859.924345013322</v>
      </c>
      <c r="AL1252" s="1153">
        <f t="shared" si="355"/>
        <v>0</v>
      </c>
      <c r="AM1252" s="1153">
        <f t="shared" si="356"/>
        <v>0</v>
      </c>
      <c r="AN1252" s="1145">
        <f t="shared" si="357"/>
        <v>22794.483555010898</v>
      </c>
      <c r="AO1252" s="1154">
        <f t="shared" si="358"/>
        <v>50654.40790002422</v>
      </c>
      <c r="AP1252" s="1147">
        <f t="shared" si="345"/>
        <v>0</v>
      </c>
      <c r="AQ1252" s="1144">
        <f t="shared" si="346"/>
        <v>0</v>
      </c>
      <c r="AR1252" s="1146">
        <f t="shared" si="347"/>
        <v>50654.40790002422</v>
      </c>
    </row>
    <row r="1253" spans="1:44" x14ac:dyDescent="0.2">
      <c r="A1253" s="1141" t="str">
        <f t="shared" si="360"/>
        <v>1562</v>
      </c>
      <c r="B1253" s="1141" t="str">
        <f>IFERROR(VLOOKUP(A1253,'LAC 103'!A:C,3,FALSE),"")</f>
        <v>OP</v>
      </c>
      <c r="C1253" s="1478" t="str">
        <f>Info!$B$8</f>
        <v>00100</v>
      </c>
      <c r="D1253" s="1474" t="s">
        <v>256</v>
      </c>
      <c r="E1253" s="1474" t="s">
        <v>95</v>
      </c>
      <c r="F1253" s="1478" t="s">
        <v>432</v>
      </c>
      <c r="G1253" s="1478" t="s">
        <v>432</v>
      </c>
      <c r="H1253" s="1474" t="s">
        <v>1658</v>
      </c>
      <c r="I1253" s="1478" t="s">
        <v>807</v>
      </c>
      <c r="J1253" s="1478"/>
      <c r="K1253" s="1475" t="s">
        <v>851</v>
      </c>
      <c r="L1253" s="1474" t="s">
        <v>584</v>
      </c>
      <c r="M1253" s="1476" t="s">
        <v>840</v>
      </c>
      <c r="N1253" s="1477" t="s">
        <v>1700</v>
      </c>
      <c r="O1253" s="1479">
        <v>9795</v>
      </c>
      <c r="P1253" s="1479"/>
      <c r="Q1253" s="1142">
        <f t="shared" si="343"/>
        <v>9795</v>
      </c>
      <c r="R1253" s="1143">
        <f>IFERROR(VLOOKUP(CONCATENATE(E1253,G1253),'LAC 103'!$A$12:$O$95,11,FALSE),0)</f>
        <v>5.936295312319726</v>
      </c>
      <c r="S1253" s="1144">
        <f>IFERROR(VLOOKUP(CONCATENATE($E1253,$G1253),'LAC 103'!$A$12:$O$95,12,FALSE),0)</f>
        <v>7.34</v>
      </c>
      <c r="T1253" s="1144">
        <f>IFERROR(VLOOKUP(CONCATENATE($E1253,$G1253),'LAC 103'!$A$12:$O$95,13,FALSE),0)</f>
        <v>4.59</v>
      </c>
      <c r="U1253" s="1144">
        <f>IFERROR(VLOOKUP(CONCATENATE($E1253,$G1253),'LAC 103'!$A$12:$O$95,14,FALSE),0)</f>
        <v>0</v>
      </c>
      <c r="V1253" s="1144">
        <f>IFERROR(VLOOKUP(CONCATENATE($E1253,$G1253),'LAC 103'!$A$12:$O$95,15,FALSE),0)</f>
        <v>0</v>
      </c>
      <c r="W1253" s="1145" t="str">
        <f>IFERROR(VLOOKUP(CONCATENATE($B1253,$N1253),'LAC 103'!$AI:$AQ,9,FALSE),"")</f>
        <v>P.C.</v>
      </c>
      <c r="X1253" s="1146">
        <f t="shared" si="348"/>
        <v>4.59</v>
      </c>
      <c r="Y1253" s="1143">
        <f t="shared" si="359"/>
        <v>58146.012584171716</v>
      </c>
      <c r="Z1253" s="1147">
        <f t="shared" si="349"/>
        <v>71895.3</v>
      </c>
      <c r="AA1253" s="1144">
        <f t="shared" si="350"/>
        <v>44959.049999999996</v>
      </c>
      <c r="AB1253" s="1144">
        <f t="shared" si="351"/>
        <v>0</v>
      </c>
      <c r="AC1253" s="1144">
        <f t="shared" si="352"/>
        <v>0</v>
      </c>
      <c r="AD1253" s="1148">
        <f t="shared" si="344"/>
        <v>44959.049999999996</v>
      </c>
      <c r="AE1253" s="1487">
        <v>0</v>
      </c>
      <c r="AF1253" s="1145">
        <f t="shared" si="353"/>
        <v>44959.049999999996</v>
      </c>
      <c r="AG1253" s="1149">
        <f>IFERROR(VLOOKUP(CONCATENATE($L1253,$N1253),'Drop List'!$G$23:$K$87,2,FALSE),0)</f>
        <v>0.55000000000000004</v>
      </c>
      <c r="AH1253" s="1150">
        <f>IFERROR(VLOOKUP(CONCATENATE($L1253,$N1253),'Drop List'!$G$23:$K$87,3,FALSE),0)</f>
        <v>0</v>
      </c>
      <c r="AI1253" s="1150">
        <f>IFERROR(VLOOKUP(CONCATENATE($L1253,$N1253),'Drop List'!$G$23:$K$87,4,FALSE),0)</f>
        <v>0</v>
      </c>
      <c r="AJ1253" s="1151">
        <f>IFERROR(VLOOKUP(CONCATENATE($L1253,$N1253),'Drop List'!$G$23:$K$87,5,FALSE),0)</f>
        <v>0.44999999999999996</v>
      </c>
      <c r="AK1253" s="1152">
        <f t="shared" si="354"/>
        <v>24727.477500000001</v>
      </c>
      <c r="AL1253" s="1153">
        <f t="shared" si="355"/>
        <v>0</v>
      </c>
      <c r="AM1253" s="1153">
        <f t="shared" si="356"/>
        <v>0</v>
      </c>
      <c r="AN1253" s="1145">
        <f t="shared" si="357"/>
        <v>20231.572499999995</v>
      </c>
      <c r="AO1253" s="1154">
        <f t="shared" si="358"/>
        <v>44959.049999999996</v>
      </c>
      <c r="AP1253" s="1147">
        <f t="shared" si="345"/>
        <v>0</v>
      </c>
      <c r="AQ1253" s="1144">
        <f t="shared" si="346"/>
        <v>0</v>
      </c>
      <c r="AR1253" s="1146">
        <f t="shared" si="347"/>
        <v>44959.049999999996</v>
      </c>
    </row>
    <row r="1254" spans="1:44" x14ac:dyDescent="0.2">
      <c r="A1254" s="1141" t="str">
        <f t="shared" si="360"/>
        <v>1562</v>
      </c>
      <c r="B1254" s="1141" t="str">
        <f>IFERROR(VLOOKUP(A1254,'LAC 103'!A:C,3,FALSE),"")</f>
        <v>OP</v>
      </c>
      <c r="C1254" s="1478" t="str">
        <f>Info!$B$8</f>
        <v>00100</v>
      </c>
      <c r="D1254" s="1474" t="s">
        <v>256</v>
      </c>
      <c r="E1254" s="1474" t="s">
        <v>95</v>
      </c>
      <c r="F1254" s="1478" t="s">
        <v>432</v>
      </c>
      <c r="G1254" s="1478" t="s">
        <v>432</v>
      </c>
      <c r="H1254" s="1474" t="s">
        <v>1658</v>
      </c>
      <c r="I1254" s="1478" t="s">
        <v>807</v>
      </c>
      <c r="J1254" s="1478"/>
      <c r="K1254" s="1475" t="s">
        <v>851</v>
      </c>
      <c r="L1254" s="1474" t="s">
        <v>584</v>
      </c>
      <c r="M1254" s="1476" t="s">
        <v>842</v>
      </c>
      <c r="N1254" s="1477" t="s">
        <v>1692</v>
      </c>
      <c r="O1254" s="1479">
        <v>16698</v>
      </c>
      <c r="P1254" s="1479"/>
      <c r="Q1254" s="1142">
        <f t="shared" si="343"/>
        <v>16698</v>
      </c>
      <c r="R1254" s="1143">
        <f>IFERROR(VLOOKUP(CONCATENATE(E1254,G1254),'LAC 103'!$A$12:$O$95,11,FALSE),0)</f>
        <v>5.936295312319726</v>
      </c>
      <c r="S1254" s="1144">
        <f>IFERROR(VLOOKUP(CONCATENATE($E1254,$G1254),'LAC 103'!$A$12:$O$95,12,FALSE),0)</f>
        <v>7.34</v>
      </c>
      <c r="T1254" s="1144">
        <f>IFERROR(VLOOKUP(CONCATENATE($E1254,$G1254),'LAC 103'!$A$12:$O$95,13,FALSE),0)</f>
        <v>4.59</v>
      </c>
      <c r="U1254" s="1144">
        <f>IFERROR(VLOOKUP(CONCATENATE($E1254,$G1254),'LAC 103'!$A$12:$O$95,14,FALSE),0)</f>
        <v>0</v>
      </c>
      <c r="V1254" s="1144">
        <f>IFERROR(VLOOKUP(CONCATENATE($E1254,$G1254),'LAC 103'!$A$12:$O$95,15,FALSE),0)</f>
        <v>0</v>
      </c>
      <c r="W1254" s="1145" t="str">
        <f>IFERROR(VLOOKUP(CONCATENATE($B1254,$N1254),'LAC 103'!$AI:$AQ,9,FALSE),"")</f>
        <v>Costs</v>
      </c>
      <c r="X1254" s="1146">
        <f t="shared" si="348"/>
        <v>5.936295312319726</v>
      </c>
      <c r="Y1254" s="1143">
        <f t="shared" si="359"/>
        <v>99124.259125114782</v>
      </c>
      <c r="Z1254" s="1147">
        <f t="shared" si="349"/>
        <v>122563.31999999999</v>
      </c>
      <c r="AA1254" s="1144">
        <f t="shared" si="350"/>
        <v>76643.819999999992</v>
      </c>
      <c r="AB1254" s="1144">
        <f t="shared" si="351"/>
        <v>0</v>
      </c>
      <c r="AC1254" s="1144">
        <f t="shared" si="352"/>
        <v>0</v>
      </c>
      <c r="AD1254" s="1148">
        <f t="shared" si="344"/>
        <v>99124.259125114782</v>
      </c>
      <c r="AE1254" s="1487">
        <v>0</v>
      </c>
      <c r="AF1254" s="1145">
        <f t="shared" si="353"/>
        <v>99124.259125114782</v>
      </c>
      <c r="AG1254" s="1149">
        <f>IFERROR(VLOOKUP(CONCATENATE($L1254,$N1254),'Drop List'!$G$23:$K$87,2,FALSE),0)</f>
        <v>0.56200000000000006</v>
      </c>
      <c r="AH1254" s="1150">
        <f>IFERROR(VLOOKUP(CONCATENATE($L1254,$N1254),'Drop List'!$G$23:$K$87,3,FALSE),0)</f>
        <v>0</v>
      </c>
      <c r="AI1254" s="1150">
        <f>IFERROR(VLOOKUP(CONCATENATE($L1254,$N1254),'Drop List'!$G$23:$K$87,4,FALSE),0)</f>
        <v>0</v>
      </c>
      <c r="AJ1254" s="1151">
        <f>IFERROR(VLOOKUP(CONCATENATE($L1254,$N1254),'Drop List'!$G$23:$K$87,5,FALSE),0)</f>
        <v>0.43799999999999994</v>
      </c>
      <c r="AK1254" s="1152">
        <f t="shared" si="354"/>
        <v>55707.833628314511</v>
      </c>
      <c r="AL1254" s="1153">
        <f t="shared" si="355"/>
        <v>0</v>
      </c>
      <c r="AM1254" s="1153">
        <f t="shared" si="356"/>
        <v>0</v>
      </c>
      <c r="AN1254" s="1145">
        <f t="shared" si="357"/>
        <v>43416.425496800272</v>
      </c>
      <c r="AO1254" s="1154">
        <f t="shared" si="358"/>
        <v>99124.259125114782</v>
      </c>
      <c r="AP1254" s="1147">
        <f t="shared" si="345"/>
        <v>0</v>
      </c>
      <c r="AQ1254" s="1144">
        <f t="shared" si="346"/>
        <v>0</v>
      </c>
      <c r="AR1254" s="1146">
        <f t="shared" si="347"/>
        <v>99124.259125114782</v>
      </c>
    </row>
    <row r="1255" spans="1:44" x14ac:dyDescent="0.2">
      <c r="A1255" s="1141" t="str">
        <f t="shared" si="360"/>
        <v>1562</v>
      </c>
      <c r="B1255" s="1141" t="str">
        <f>IFERROR(VLOOKUP(A1255,'LAC 103'!A:C,3,FALSE),"")</f>
        <v>OP</v>
      </c>
      <c r="C1255" s="1478" t="str">
        <f>Info!$B$8</f>
        <v>00100</v>
      </c>
      <c r="D1255" s="1474" t="s">
        <v>256</v>
      </c>
      <c r="E1255" s="1474" t="s">
        <v>95</v>
      </c>
      <c r="F1255" s="1478" t="s">
        <v>432</v>
      </c>
      <c r="G1255" s="1478" t="s">
        <v>432</v>
      </c>
      <c r="H1255" s="1474" t="s">
        <v>1658</v>
      </c>
      <c r="I1255" s="1478" t="s">
        <v>807</v>
      </c>
      <c r="J1255" s="1478"/>
      <c r="K1255" s="1475" t="s">
        <v>851</v>
      </c>
      <c r="L1255" s="1474" t="s">
        <v>584</v>
      </c>
      <c r="M1255" s="1476" t="s">
        <v>1698</v>
      </c>
      <c r="N1255" s="1477" t="s">
        <v>1693</v>
      </c>
      <c r="O1255" s="1479">
        <v>14490</v>
      </c>
      <c r="P1255" s="1479"/>
      <c r="Q1255" s="1142">
        <f t="shared" si="343"/>
        <v>14490</v>
      </c>
      <c r="R1255" s="1143">
        <f>IFERROR(VLOOKUP(CONCATENATE(E1255,G1255),'LAC 103'!$A$12:$O$95,11,FALSE),0)</f>
        <v>5.936295312319726</v>
      </c>
      <c r="S1255" s="1144">
        <f>IFERROR(VLOOKUP(CONCATENATE($E1255,$G1255),'LAC 103'!$A$12:$O$95,12,FALSE),0)</f>
        <v>7.34</v>
      </c>
      <c r="T1255" s="1144">
        <f>IFERROR(VLOOKUP(CONCATENATE($E1255,$G1255),'LAC 103'!$A$12:$O$95,13,FALSE),0)</f>
        <v>4.59</v>
      </c>
      <c r="U1255" s="1144">
        <f>IFERROR(VLOOKUP(CONCATENATE($E1255,$G1255),'LAC 103'!$A$12:$O$95,14,FALSE),0)</f>
        <v>0</v>
      </c>
      <c r="V1255" s="1144">
        <f>IFERROR(VLOOKUP(CONCATENATE($E1255,$G1255),'LAC 103'!$A$12:$O$95,15,FALSE),0)</f>
        <v>0</v>
      </c>
      <c r="W1255" s="1145" t="str">
        <f>IFERROR(VLOOKUP(CONCATENATE($B1255,$N1255),'LAC 103'!$AI:$AQ,9,FALSE),"")</f>
        <v>Costs</v>
      </c>
      <c r="X1255" s="1146">
        <f t="shared" si="348"/>
        <v>5.936295312319726</v>
      </c>
      <c r="Y1255" s="1143">
        <f t="shared" si="359"/>
        <v>86016.919075512822</v>
      </c>
      <c r="Z1255" s="1147">
        <f t="shared" si="349"/>
        <v>106356.59999999999</v>
      </c>
      <c r="AA1255" s="1144">
        <f t="shared" si="350"/>
        <v>66509.099999999991</v>
      </c>
      <c r="AB1255" s="1144">
        <f t="shared" si="351"/>
        <v>0</v>
      </c>
      <c r="AC1255" s="1144">
        <f t="shared" si="352"/>
        <v>0</v>
      </c>
      <c r="AD1255" s="1148">
        <f t="shared" si="344"/>
        <v>86016.919075512822</v>
      </c>
      <c r="AE1255" s="1487">
        <v>0</v>
      </c>
      <c r="AF1255" s="1145">
        <f t="shared" si="353"/>
        <v>86016.919075512822</v>
      </c>
      <c r="AG1255" s="1149">
        <f>IFERROR(VLOOKUP(CONCATENATE($L1255,$N1255),'Drop List'!$G$23:$K$87,2,FALSE),0)</f>
        <v>0.56200000000000006</v>
      </c>
      <c r="AH1255" s="1150">
        <f>IFERROR(VLOOKUP(CONCATENATE($L1255,$N1255),'Drop List'!$G$23:$K$87,3,FALSE),0)</f>
        <v>0</v>
      </c>
      <c r="AI1255" s="1150">
        <f>IFERROR(VLOOKUP(CONCATENATE($L1255,$N1255),'Drop List'!$G$23:$K$87,4,FALSE),0)</f>
        <v>0</v>
      </c>
      <c r="AJ1255" s="1151">
        <f>IFERROR(VLOOKUP(CONCATENATE($L1255,$N1255),'Drop List'!$G$23:$K$87,5,FALSE),0)</f>
        <v>0.43799999999999994</v>
      </c>
      <c r="AK1255" s="1152">
        <f t="shared" si="354"/>
        <v>48341.508520438212</v>
      </c>
      <c r="AL1255" s="1153">
        <f t="shared" si="355"/>
        <v>0</v>
      </c>
      <c r="AM1255" s="1153">
        <f t="shared" si="356"/>
        <v>0</v>
      </c>
      <c r="AN1255" s="1145">
        <f t="shared" si="357"/>
        <v>37675.41055507461</v>
      </c>
      <c r="AO1255" s="1154">
        <f t="shared" si="358"/>
        <v>86016.919075512822</v>
      </c>
      <c r="AP1255" s="1147">
        <f t="shared" si="345"/>
        <v>0</v>
      </c>
      <c r="AQ1255" s="1144">
        <f t="shared" si="346"/>
        <v>0</v>
      </c>
      <c r="AR1255" s="1146">
        <f t="shared" si="347"/>
        <v>86016.919075512822</v>
      </c>
    </row>
    <row r="1256" spans="1:44" x14ac:dyDescent="0.2">
      <c r="A1256" s="1141" t="str">
        <f t="shared" si="360"/>
        <v>1562</v>
      </c>
      <c r="B1256" s="1141" t="str">
        <f>IFERROR(VLOOKUP(A1256,'LAC 103'!A:C,3,FALSE),"")</f>
        <v>OP</v>
      </c>
      <c r="C1256" s="1478" t="str">
        <f>Info!$B$8</f>
        <v>00100</v>
      </c>
      <c r="D1256" s="1474" t="s">
        <v>256</v>
      </c>
      <c r="E1256" s="1474" t="s">
        <v>95</v>
      </c>
      <c r="F1256" s="1478" t="s">
        <v>432</v>
      </c>
      <c r="G1256" s="1478" t="s">
        <v>432</v>
      </c>
      <c r="H1256" s="1474" t="s">
        <v>970</v>
      </c>
      <c r="I1256" s="1478" t="s">
        <v>817</v>
      </c>
      <c r="J1256" s="1478" t="s">
        <v>123</v>
      </c>
      <c r="K1256" s="1475" t="s">
        <v>851</v>
      </c>
      <c r="L1256" s="1474" t="s">
        <v>584</v>
      </c>
      <c r="M1256" s="1476" t="s">
        <v>1699</v>
      </c>
      <c r="N1256" s="1477" t="s">
        <v>1694</v>
      </c>
      <c r="O1256" s="1479">
        <v>32</v>
      </c>
      <c r="P1256" s="1479"/>
      <c r="Q1256" s="1142">
        <f t="shared" si="343"/>
        <v>32</v>
      </c>
      <c r="R1256" s="1143">
        <f>IFERROR(VLOOKUP(CONCATENATE(E1256,G1256),'LAC 103'!$A$12:$O$95,11,FALSE),0)</f>
        <v>5.936295312319726</v>
      </c>
      <c r="S1256" s="1144">
        <f>IFERROR(VLOOKUP(CONCATENATE($E1256,$G1256),'LAC 103'!$A$12:$O$95,12,FALSE),0)</f>
        <v>7.34</v>
      </c>
      <c r="T1256" s="1144">
        <f>IFERROR(VLOOKUP(CONCATENATE($E1256,$G1256),'LAC 103'!$A$12:$O$95,13,FALSE),0)</f>
        <v>4.59</v>
      </c>
      <c r="U1256" s="1144">
        <f>IFERROR(VLOOKUP(CONCATENATE($E1256,$G1256),'LAC 103'!$A$12:$O$95,14,FALSE),0)</f>
        <v>0</v>
      </c>
      <c r="V1256" s="1144">
        <f>IFERROR(VLOOKUP(CONCATENATE($E1256,$G1256),'LAC 103'!$A$12:$O$95,15,FALSE),0)</f>
        <v>0</v>
      </c>
      <c r="W1256" s="1145" t="str">
        <f>IFERROR(VLOOKUP(CONCATENATE($B1256,$N1256),'LAC 103'!$AI:$AQ,9,FALSE),"")</f>
        <v>Costs</v>
      </c>
      <c r="X1256" s="1146">
        <f t="shared" si="348"/>
        <v>5.936295312319726</v>
      </c>
      <c r="Y1256" s="1143">
        <f t="shared" si="359"/>
        <v>189.96144999423123</v>
      </c>
      <c r="Z1256" s="1147">
        <f t="shared" si="349"/>
        <v>234.88</v>
      </c>
      <c r="AA1256" s="1144">
        <f t="shared" si="350"/>
        <v>146.88</v>
      </c>
      <c r="AB1256" s="1144">
        <f t="shared" si="351"/>
        <v>0</v>
      </c>
      <c r="AC1256" s="1144">
        <f t="shared" si="352"/>
        <v>0</v>
      </c>
      <c r="AD1256" s="1148">
        <f t="shared" si="344"/>
        <v>189.96144999423123</v>
      </c>
      <c r="AE1256" s="1487">
        <v>0</v>
      </c>
      <c r="AF1256" s="1145">
        <f t="shared" si="353"/>
        <v>189.96144999423123</v>
      </c>
      <c r="AG1256" s="1149">
        <f>IFERROR(VLOOKUP(CONCATENATE($L1256,$N1256),'Drop List'!$G$23:$K$87,2,FALSE),0)</f>
        <v>0.56200000000000006</v>
      </c>
      <c r="AH1256" s="1150">
        <f>IFERROR(VLOOKUP(CONCATENATE($L1256,$N1256),'Drop List'!$G$23:$K$87,3,FALSE),0)</f>
        <v>0</v>
      </c>
      <c r="AI1256" s="1150">
        <f>IFERROR(VLOOKUP(CONCATENATE($L1256,$N1256),'Drop List'!$G$23:$K$87,4,FALSE),0)</f>
        <v>0</v>
      </c>
      <c r="AJ1256" s="1151">
        <f>IFERROR(VLOOKUP(CONCATENATE($L1256,$N1256),'Drop List'!$G$23:$K$87,5,FALSE),0)</f>
        <v>0.43799999999999994</v>
      </c>
      <c r="AK1256" s="1152">
        <f t="shared" si="354"/>
        <v>106.75833489675796</v>
      </c>
      <c r="AL1256" s="1153">
        <f t="shared" si="355"/>
        <v>0</v>
      </c>
      <c r="AM1256" s="1153">
        <f t="shared" si="356"/>
        <v>0</v>
      </c>
      <c r="AN1256" s="1145">
        <f t="shared" si="357"/>
        <v>83.203115097473272</v>
      </c>
      <c r="AO1256" s="1154">
        <f t="shared" si="358"/>
        <v>189.96144999423123</v>
      </c>
      <c r="AP1256" s="1147">
        <f t="shared" si="345"/>
        <v>0</v>
      </c>
      <c r="AQ1256" s="1144">
        <f t="shared" si="346"/>
        <v>0</v>
      </c>
      <c r="AR1256" s="1146">
        <f t="shared" si="347"/>
        <v>189.96144999423123</v>
      </c>
    </row>
    <row r="1257" spans="1:44" x14ac:dyDescent="0.2">
      <c r="A1257" s="1141" t="str">
        <f t="shared" si="360"/>
        <v>1562</v>
      </c>
      <c r="B1257" s="1141" t="str">
        <f>IFERROR(VLOOKUP(A1257,'LAC 103'!A:C,3,FALSE),"")</f>
        <v>OP</v>
      </c>
      <c r="C1257" s="1478" t="str">
        <f>Info!$B$8</f>
        <v>00100</v>
      </c>
      <c r="D1257" s="1474" t="s">
        <v>256</v>
      </c>
      <c r="E1257" s="1474" t="s">
        <v>95</v>
      </c>
      <c r="F1257" s="1478" t="s">
        <v>432</v>
      </c>
      <c r="G1257" s="1478" t="s">
        <v>432</v>
      </c>
      <c r="H1257" s="1474" t="s">
        <v>970</v>
      </c>
      <c r="I1257" s="1478" t="s">
        <v>817</v>
      </c>
      <c r="J1257" s="1478"/>
      <c r="K1257" s="1475" t="s">
        <v>851</v>
      </c>
      <c r="L1257" s="1474" t="s">
        <v>584</v>
      </c>
      <c r="M1257" s="1476" t="s">
        <v>1698</v>
      </c>
      <c r="N1257" s="1477" t="s">
        <v>1693</v>
      </c>
      <c r="O1257" s="1479">
        <v>32</v>
      </c>
      <c r="P1257" s="1479"/>
      <c r="Q1257" s="1142">
        <f t="shared" si="343"/>
        <v>32</v>
      </c>
      <c r="R1257" s="1143">
        <f>IFERROR(VLOOKUP(CONCATENATE(E1257,G1257),'LAC 103'!$A$12:$O$95,11,FALSE),0)</f>
        <v>5.936295312319726</v>
      </c>
      <c r="S1257" s="1144">
        <f>IFERROR(VLOOKUP(CONCATENATE($E1257,$G1257),'LAC 103'!$A$12:$O$95,12,FALSE),0)</f>
        <v>7.34</v>
      </c>
      <c r="T1257" s="1144">
        <f>IFERROR(VLOOKUP(CONCATENATE($E1257,$G1257),'LAC 103'!$A$12:$O$95,13,FALSE),0)</f>
        <v>4.59</v>
      </c>
      <c r="U1257" s="1144">
        <f>IFERROR(VLOOKUP(CONCATENATE($E1257,$G1257),'LAC 103'!$A$12:$O$95,14,FALSE),0)</f>
        <v>0</v>
      </c>
      <c r="V1257" s="1144">
        <f>IFERROR(VLOOKUP(CONCATENATE($E1257,$G1257),'LAC 103'!$A$12:$O$95,15,FALSE),0)</f>
        <v>0</v>
      </c>
      <c r="W1257" s="1145" t="str">
        <f>IFERROR(VLOOKUP(CONCATENATE($B1257,$N1257),'LAC 103'!$AI:$AQ,9,FALSE),"")</f>
        <v>Costs</v>
      </c>
      <c r="X1257" s="1146">
        <f t="shared" si="348"/>
        <v>5.936295312319726</v>
      </c>
      <c r="Y1257" s="1143">
        <f t="shared" si="359"/>
        <v>189.96144999423123</v>
      </c>
      <c r="Z1257" s="1147">
        <f t="shared" si="349"/>
        <v>234.88</v>
      </c>
      <c r="AA1257" s="1144">
        <f t="shared" si="350"/>
        <v>146.88</v>
      </c>
      <c r="AB1257" s="1144">
        <f t="shared" si="351"/>
        <v>0</v>
      </c>
      <c r="AC1257" s="1144">
        <f t="shared" si="352"/>
        <v>0</v>
      </c>
      <c r="AD1257" s="1148">
        <f t="shared" si="344"/>
        <v>189.96144999423123</v>
      </c>
      <c r="AE1257" s="1487">
        <v>0</v>
      </c>
      <c r="AF1257" s="1145">
        <f t="shared" si="353"/>
        <v>189.96144999423123</v>
      </c>
      <c r="AG1257" s="1149">
        <f>IFERROR(VLOOKUP(CONCATENATE($L1257,$N1257),'Drop List'!$G$23:$K$87,2,FALSE),0)</f>
        <v>0.56200000000000006</v>
      </c>
      <c r="AH1257" s="1150">
        <f>IFERROR(VLOOKUP(CONCATENATE($L1257,$N1257),'Drop List'!$G$23:$K$87,3,FALSE),0)</f>
        <v>0</v>
      </c>
      <c r="AI1257" s="1150">
        <f>IFERROR(VLOOKUP(CONCATENATE($L1257,$N1257),'Drop List'!$G$23:$K$87,4,FALSE),0)</f>
        <v>0</v>
      </c>
      <c r="AJ1257" s="1151">
        <f>IFERROR(VLOOKUP(CONCATENATE($L1257,$N1257),'Drop List'!$G$23:$K$87,5,FALSE),0)</f>
        <v>0.43799999999999994</v>
      </c>
      <c r="AK1257" s="1152">
        <f t="shared" si="354"/>
        <v>106.75833489675796</v>
      </c>
      <c r="AL1257" s="1153">
        <f t="shared" si="355"/>
        <v>0</v>
      </c>
      <c r="AM1257" s="1153">
        <f t="shared" si="356"/>
        <v>0</v>
      </c>
      <c r="AN1257" s="1145">
        <f t="shared" si="357"/>
        <v>83.203115097473272</v>
      </c>
      <c r="AO1257" s="1154">
        <f t="shared" si="358"/>
        <v>189.96144999423123</v>
      </c>
      <c r="AP1257" s="1147">
        <f t="shared" si="345"/>
        <v>0</v>
      </c>
      <c r="AQ1257" s="1144">
        <f t="shared" si="346"/>
        <v>0</v>
      </c>
      <c r="AR1257" s="1146">
        <f t="shared" si="347"/>
        <v>189.96144999423123</v>
      </c>
    </row>
    <row r="1258" spans="1:44" x14ac:dyDescent="0.2">
      <c r="A1258" s="1141" t="str">
        <f t="shared" si="360"/>
        <v>1562</v>
      </c>
      <c r="B1258" s="1141" t="str">
        <f>IFERROR(VLOOKUP(A1258,'LAC 103'!A:C,3,FALSE),"")</f>
        <v>OP</v>
      </c>
      <c r="C1258" s="1478" t="str">
        <f>Info!$B$8</f>
        <v>00100</v>
      </c>
      <c r="D1258" s="1474" t="s">
        <v>256</v>
      </c>
      <c r="E1258" s="1474" t="s">
        <v>95</v>
      </c>
      <c r="F1258" s="1478" t="s">
        <v>432</v>
      </c>
      <c r="G1258" s="1478" t="s">
        <v>432</v>
      </c>
      <c r="H1258" s="1474" t="s">
        <v>988</v>
      </c>
      <c r="I1258" s="1478" t="s">
        <v>811</v>
      </c>
      <c r="J1258" s="1478" t="s">
        <v>123</v>
      </c>
      <c r="K1258" s="1475" t="s">
        <v>1654</v>
      </c>
      <c r="L1258" s="1474" t="s">
        <v>332</v>
      </c>
      <c r="M1258" s="1476" t="s">
        <v>1699</v>
      </c>
      <c r="N1258" s="1477" t="s">
        <v>1694</v>
      </c>
      <c r="O1258" s="1479">
        <v>295</v>
      </c>
      <c r="P1258" s="1479"/>
      <c r="Q1258" s="1142">
        <f t="shared" si="343"/>
        <v>295</v>
      </c>
      <c r="R1258" s="1143">
        <f>IFERROR(VLOOKUP(CONCATENATE(E1258,G1258),'LAC 103'!$A$12:$O$95,11,FALSE),0)</f>
        <v>5.936295312319726</v>
      </c>
      <c r="S1258" s="1144">
        <f>IFERROR(VLOOKUP(CONCATENATE($E1258,$G1258),'LAC 103'!$A$12:$O$95,12,FALSE),0)</f>
        <v>7.34</v>
      </c>
      <c r="T1258" s="1144">
        <f>IFERROR(VLOOKUP(CONCATENATE($E1258,$G1258),'LAC 103'!$A$12:$O$95,13,FALSE),0)</f>
        <v>4.59</v>
      </c>
      <c r="U1258" s="1144">
        <f>IFERROR(VLOOKUP(CONCATENATE($E1258,$G1258),'LAC 103'!$A$12:$O$95,14,FALSE),0)</f>
        <v>0</v>
      </c>
      <c r="V1258" s="1144">
        <f>IFERROR(VLOOKUP(CONCATENATE($E1258,$G1258),'LAC 103'!$A$12:$O$95,15,FALSE),0)</f>
        <v>0</v>
      </c>
      <c r="W1258" s="1145" t="str">
        <f>IFERROR(VLOOKUP(CONCATENATE($B1258,$N1258),'LAC 103'!$AI:$AQ,9,FALSE),"")</f>
        <v>Costs</v>
      </c>
      <c r="X1258" s="1146">
        <f t="shared" si="348"/>
        <v>5.936295312319726</v>
      </c>
      <c r="Y1258" s="1143">
        <f t="shared" si="359"/>
        <v>1751.2071171343191</v>
      </c>
      <c r="Z1258" s="1147">
        <f t="shared" si="349"/>
        <v>2165.3000000000002</v>
      </c>
      <c r="AA1258" s="1144">
        <f t="shared" si="350"/>
        <v>1354.05</v>
      </c>
      <c r="AB1258" s="1144">
        <f t="shared" si="351"/>
        <v>0</v>
      </c>
      <c r="AC1258" s="1144">
        <f t="shared" si="352"/>
        <v>0</v>
      </c>
      <c r="AD1258" s="1148">
        <f t="shared" si="344"/>
        <v>1751.2071171343191</v>
      </c>
      <c r="AE1258" s="1487">
        <v>0</v>
      </c>
      <c r="AF1258" s="1145">
        <f t="shared" si="353"/>
        <v>1751.2071171343191</v>
      </c>
      <c r="AG1258" s="1149">
        <f>IFERROR(VLOOKUP(CONCATENATE($L1258,$N1258),'Drop List'!$G$23:$K$87,2,FALSE),0)</f>
        <v>0</v>
      </c>
      <c r="AH1258" s="1150">
        <f>IFERROR(VLOOKUP(CONCATENATE($L1258,$N1258),'Drop List'!$G$23:$K$87,3,FALSE),0)</f>
        <v>0</v>
      </c>
      <c r="AI1258" s="1150">
        <f>IFERROR(VLOOKUP(CONCATENATE($L1258,$N1258),'Drop List'!$G$23:$K$87,4,FALSE),0)</f>
        <v>0</v>
      </c>
      <c r="AJ1258" s="1151">
        <f>IFERROR(VLOOKUP(CONCATENATE($L1258,$N1258),'Drop List'!$G$23:$K$87,5,FALSE),0)</f>
        <v>0</v>
      </c>
      <c r="AK1258" s="1152">
        <f t="shared" si="354"/>
        <v>0</v>
      </c>
      <c r="AL1258" s="1153">
        <f t="shared" si="355"/>
        <v>0</v>
      </c>
      <c r="AM1258" s="1153">
        <f t="shared" si="356"/>
        <v>0</v>
      </c>
      <c r="AN1258" s="1145">
        <f t="shared" si="357"/>
        <v>0</v>
      </c>
      <c r="AO1258" s="1154">
        <f t="shared" si="358"/>
        <v>0</v>
      </c>
      <c r="AP1258" s="1147">
        <f t="shared" si="345"/>
        <v>1751.2071171343191</v>
      </c>
      <c r="AQ1258" s="1144">
        <f t="shared" si="346"/>
        <v>0</v>
      </c>
      <c r="AR1258" s="1146">
        <f t="shared" si="347"/>
        <v>1751.2071171343191</v>
      </c>
    </row>
    <row r="1259" spans="1:44" x14ac:dyDescent="0.2">
      <c r="A1259" s="1141" t="str">
        <f t="shared" si="360"/>
        <v>1562</v>
      </c>
      <c r="B1259" s="1141" t="str">
        <f>IFERROR(VLOOKUP(A1259,'LAC 103'!A:C,3,FALSE),"")</f>
        <v>OP</v>
      </c>
      <c r="C1259" s="1478" t="str">
        <f>Info!$B$8</f>
        <v>00100</v>
      </c>
      <c r="D1259" s="1474" t="s">
        <v>256</v>
      </c>
      <c r="E1259" s="1474" t="s">
        <v>95</v>
      </c>
      <c r="F1259" s="1478" t="s">
        <v>432</v>
      </c>
      <c r="G1259" s="1478" t="s">
        <v>432</v>
      </c>
      <c r="H1259" s="1474" t="s">
        <v>988</v>
      </c>
      <c r="I1259" s="1478" t="s">
        <v>811</v>
      </c>
      <c r="J1259" s="1478"/>
      <c r="K1259" s="1475" t="s">
        <v>1654</v>
      </c>
      <c r="L1259" s="1474" t="s">
        <v>332</v>
      </c>
      <c r="M1259" s="1476" t="s">
        <v>841</v>
      </c>
      <c r="N1259" s="1477" t="s">
        <v>1695</v>
      </c>
      <c r="O1259" s="1479">
        <v>184</v>
      </c>
      <c r="P1259" s="1479"/>
      <c r="Q1259" s="1142">
        <f t="shared" si="343"/>
        <v>184</v>
      </c>
      <c r="R1259" s="1143">
        <f>IFERROR(VLOOKUP(CONCATENATE(E1259,G1259),'LAC 103'!$A$12:$O$95,11,FALSE),0)</f>
        <v>5.936295312319726</v>
      </c>
      <c r="S1259" s="1144">
        <f>IFERROR(VLOOKUP(CONCATENATE($E1259,$G1259),'LAC 103'!$A$12:$O$95,12,FALSE),0)</f>
        <v>7.34</v>
      </c>
      <c r="T1259" s="1144">
        <f>IFERROR(VLOOKUP(CONCATENATE($E1259,$G1259),'LAC 103'!$A$12:$O$95,13,FALSE),0)</f>
        <v>4.59</v>
      </c>
      <c r="U1259" s="1144">
        <f>IFERROR(VLOOKUP(CONCATENATE($E1259,$G1259),'LAC 103'!$A$12:$O$95,14,FALSE),0)</f>
        <v>0</v>
      </c>
      <c r="V1259" s="1144">
        <f>IFERROR(VLOOKUP(CONCATENATE($E1259,$G1259),'LAC 103'!$A$12:$O$95,15,FALSE),0)</f>
        <v>0</v>
      </c>
      <c r="W1259" s="1145" t="str">
        <f>IFERROR(VLOOKUP(CONCATENATE($B1259,$N1259),'LAC 103'!$AI:$AQ,9,FALSE),"")</f>
        <v>Costs</v>
      </c>
      <c r="X1259" s="1146">
        <f t="shared" si="348"/>
        <v>5.936295312319726</v>
      </c>
      <c r="Y1259" s="1143">
        <f t="shared" si="359"/>
        <v>1092.2783374668295</v>
      </c>
      <c r="Z1259" s="1147">
        <f t="shared" si="349"/>
        <v>1350.56</v>
      </c>
      <c r="AA1259" s="1144">
        <f t="shared" si="350"/>
        <v>844.56</v>
      </c>
      <c r="AB1259" s="1144">
        <f t="shared" si="351"/>
        <v>0</v>
      </c>
      <c r="AC1259" s="1144">
        <f t="shared" si="352"/>
        <v>0</v>
      </c>
      <c r="AD1259" s="1148">
        <f t="shared" si="344"/>
        <v>1092.2783374668295</v>
      </c>
      <c r="AE1259" s="1487">
        <v>0</v>
      </c>
      <c r="AF1259" s="1145">
        <f t="shared" si="353"/>
        <v>1092.2783374668295</v>
      </c>
      <c r="AG1259" s="1149">
        <f>IFERROR(VLOOKUP(CONCATENATE($L1259,$N1259),'Drop List'!$G$23:$K$87,2,FALSE),0)</f>
        <v>0</v>
      </c>
      <c r="AH1259" s="1150">
        <f>IFERROR(VLOOKUP(CONCATENATE($L1259,$N1259),'Drop List'!$G$23:$K$87,3,FALSE),0)</f>
        <v>0</v>
      </c>
      <c r="AI1259" s="1150">
        <f>IFERROR(VLOOKUP(CONCATENATE($L1259,$N1259),'Drop List'!$G$23:$K$87,4,FALSE),0)</f>
        <v>0</v>
      </c>
      <c r="AJ1259" s="1151">
        <f>IFERROR(VLOOKUP(CONCATENATE($L1259,$N1259),'Drop List'!$G$23:$K$87,5,FALSE),0)</f>
        <v>0</v>
      </c>
      <c r="AK1259" s="1152">
        <f t="shared" si="354"/>
        <v>0</v>
      </c>
      <c r="AL1259" s="1153">
        <f t="shared" si="355"/>
        <v>0</v>
      </c>
      <c r="AM1259" s="1153">
        <f t="shared" si="356"/>
        <v>0</v>
      </c>
      <c r="AN1259" s="1145">
        <f t="shared" si="357"/>
        <v>0</v>
      </c>
      <c r="AO1259" s="1154">
        <f t="shared" si="358"/>
        <v>0</v>
      </c>
      <c r="AP1259" s="1147">
        <f t="shared" si="345"/>
        <v>1092.2783374668295</v>
      </c>
      <c r="AQ1259" s="1144">
        <f t="shared" si="346"/>
        <v>0</v>
      </c>
      <c r="AR1259" s="1146">
        <f t="shared" si="347"/>
        <v>1092.2783374668295</v>
      </c>
    </row>
    <row r="1260" spans="1:44" x14ac:dyDescent="0.2">
      <c r="A1260" s="1141" t="str">
        <f t="shared" si="360"/>
        <v>1562</v>
      </c>
      <c r="B1260" s="1141" t="str">
        <f>IFERROR(VLOOKUP(A1260,'LAC 103'!A:C,3,FALSE),"")</f>
        <v>OP</v>
      </c>
      <c r="C1260" s="1478" t="str">
        <f>Info!$B$8</f>
        <v>00100</v>
      </c>
      <c r="D1260" s="1474" t="s">
        <v>256</v>
      </c>
      <c r="E1260" s="1474" t="s">
        <v>95</v>
      </c>
      <c r="F1260" s="1478" t="s">
        <v>432</v>
      </c>
      <c r="G1260" s="1478" t="s">
        <v>432</v>
      </c>
      <c r="H1260" s="1474" t="s">
        <v>988</v>
      </c>
      <c r="I1260" s="1478" t="s">
        <v>811</v>
      </c>
      <c r="J1260" s="1478"/>
      <c r="K1260" s="1475" t="s">
        <v>1654</v>
      </c>
      <c r="L1260" s="1474" t="s">
        <v>332</v>
      </c>
      <c r="M1260" s="1476" t="s">
        <v>840</v>
      </c>
      <c r="N1260" s="1477" t="s">
        <v>1700</v>
      </c>
      <c r="O1260" s="1479">
        <v>15</v>
      </c>
      <c r="P1260" s="1479"/>
      <c r="Q1260" s="1142">
        <f t="shared" si="343"/>
        <v>15</v>
      </c>
      <c r="R1260" s="1143">
        <f>IFERROR(VLOOKUP(CONCATENATE(E1260,G1260),'LAC 103'!$A$12:$O$95,11,FALSE),0)</f>
        <v>5.936295312319726</v>
      </c>
      <c r="S1260" s="1144">
        <f>IFERROR(VLOOKUP(CONCATENATE($E1260,$G1260),'LAC 103'!$A$12:$O$95,12,FALSE),0)</f>
        <v>7.34</v>
      </c>
      <c r="T1260" s="1144">
        <f>IFERROR(VLOOKUP(CONCATENATE($E1260,$G1260),'LAC 103'!$A$12:$O$95,13,FALSE),0)</f>
        <v>4.59</v>
      </c>
      <c r="U1260" s="1144">
        <f>IFERROR(VLOOKUP(CONCATENATE($E1260,$G1260),'LAC 103'!$A$12:$O$95,14,FALSE),0)</f>
        <v>0</v>
      </c>
      <c r="V1260" s="1144">
        <f>IFERROR(VLOOKUP(CONCATENATE($E1260,$G1260),'LAC 103'!$A$12:$O$95,15,FALSE),0)</f>
        <v>0</v>
      </c>
      <c r="W1260" s="1145" t="str">
        <f>IFERROR(VLOOKUP(CONCATENATE($B1260,$N1260),'LAC 103'!$AI:$AQ,9,FALSE),"")</f>
        <v>P.C.</v>
      </c>
      <c r="X1260" s="1146">
        <f t="shared" si="348"/>
        <v>4.59</v>
      </c>
      <c r="Y1260" s="1143">
        <f t="shared" si="359"/>
        <v>89.044429684795887</v>
      </c>
      <c r="Z1260" s="1147">
        <f t="shared" si="349"/>
        <v>110.1</v>
      </c>
      <c r="AA1260" s="1144">
        <f t="shared" si="350"/>
        <v>68.849999999999994</v>
      </c>
      <c r="AB1260" s="1144">
        <f t="shared" si="351"/>
        <v>0</v>
      </c>
      <c r="AC1260" s="1144">
        <f t="shared" si="352"/>
        <v>0</v>
      </c>
      <c r="AD1260" s="1148">
        <f t="shared" si="344"/>
        <v>68.849999999999994</v>
      </c>
      <c r="AE1260" s="1487">
        <v>0</v>
      </c>
      <c r="AF1260" s="1145">
        <f t="shared" si="353"/>
        <v>68.849999999999994</v>
      </c>
      <c r="AG1260" s="1149">
        <f>IFERROR(VLOOKUP(CONCATENATE($L1260,$N1260),'Drop List'!$G$23:$K$87,2,FALSE),0)</f>
        <v>0</v>
      </c>
      <c r="AH1260" s="1150">
        <f>IFERROR(VLOOKUP(CONCATENATE($L1260,$N1260),'Drop List'!$G$23:$K$87,3,FALSE),0)</f>
        <v>0</v>
      </c>
      <c r="AI1260" s="1150">
        <f>IFERROR(VLOOKUP(CONCATENATE($L1260,$N1260),'Drop List'!$G$23:$K$87,4,FALSE),0)</f>
        <v>0</v>
      </c>
      <c r="AJ1260" s="1151">
        <f>IFERROR(VLOOKUP(CONCATENATE($L1260,$N1260),'Drop List'!$G$23:$K$87,5,FALSE),0)</f>
        <v>0</v>
      </c>
      <c r="AK1260" s="1152">
        <f t="shared" si="354"/>
        <v>0</v>
      </c>
      <c r="AL1260" s="1153">
        <f t="shared" si="355"/>
        <v>0</v>
      </c>
      <c r="AM1260" s="1153">
        <f t="shared" si="356"/>
        <v>0</v>
      </c>
      <c r="AN1260" s="1145">
        <f t="shared" si="357"/>
        <v>0</v>
      </c>
      <c r="AO1260" s="1154">
        <f t="shared" si="358"/>
        <v>0</v>
      </c>
      <c r="AP1260" s="1147">
        <f t="shared" si="345"/>
        <v>68.849999999999994</v>
      </c>
      <c r="AQ1260" s="1144">
        <f t="shared" si="346"/>
        <v>0</v>
      </c>
      <c r="AR1260" s="1146">
        <f t="shared" si="347"/>
        <v>68.849999999999994</v>
      </c>
    </row>
    <row r="1261" spans="1:44" x14ac:dyDescent="0.2">
      <c r="A1261" s="1141" t="str">
        <f t="shared" si="360"/>
        <v>1562</v>
      </c>
      <c r="B1261" s="1141" t="str">
        <f>IFERROR(VLOOKUP(A1261,'LAC 103'!A:C,3,FALSE),"")</f>
        <v>OP</v>
      </c>
      <c r="C1261" s="1478" t="str">
        <f>Info!$B$8</f>
        <v>00100</v>
      </c>
      <c r="D1261" s="1474" t="s">
        <v>256</v>
      </c>
      <c r="E1261" s="1474" t="s">
        <v>95</v>
      </c>
      <c r="F1261" s="1478" t="s">
        <v>432</v>
      </c>
      <c r="G1261" s="1478" t="s">
        <v>432</v>
      </c>
      <c r="H1261" s="1474" t="s">
        <v>988</v>
      </c>
      <c r="I1261" s="1478" t="s">
        <v>811</v>
      </c>
      <c r="J1261" s="1478"/>
      <c r="K1261" s="1475" t="s">
        <v>1654</v>
      </c>
      <c r="L1261" s="1474" t="s">
        <v>332</v>
      </c>
      <c r="M1261" s="1476" t="s">
        <v>842</v>
      </c>
      <c r="N1261" s="1477" t="s">
        <v>1692</v>
      </c>
      <c r="O1261" s="1479">
        <v>259</v>
      </c>
      <c r="P1261" s="1479"/>
      <c r="Q1261" s="1142">
        <f t="shared" si="343"/>
        <v>259</v>
      </c>
      <c r="R1261" s="1143">
        <f>IFERROR(VLOOKUP(CONCATENATE(E1261,G1261),'LAC 103'!$A$12:$O$95,11,FALSE),0)</f>
        <v>5.936295312319726</v>
      </c>
      <c r="S1261" s="1144">
        <f>IFERROR(VLOOKUP(CONCATENATE($E1261,$G1261),'LAC 103'!$A$12:$O$95,12,FALSE),0)</f>
        <v>7.34</v>
      </c>
      <c r="T1261" s="1144">
        <f>IFERROR(VLOOKUP(CONCATENATE($E1261,$G1261),'LAC 103'!$A$12:$O$95,13,FALSE),0)</f>
        <v>4.59</v>
      </c>
      <c r="U1261" s="1144">
        <f>IFERROR(VLOOKUP(CONCATENATE($E1261,$G1261),'LAC 103'!$A$12:$O$95,14,FALSE),0)</f>
        <v>0</v>
      </c>
      <c r="V1261" s="1144">
        <f>IFERROR(VLOOKUP(CONCATENATE($E1261,$G1261),'LAC 103'!$A$12:$O$95,15,FALSE),0)</f>
        <v>0</v>
      </c>
      <c r="W1261" s="1145" t="str">
        <f>IFERROR(VLOOKUP(CONCATENATE($B1261,$N1261),'LAC 103'!$AI:$AQ,9,FALSE),"")</f>
        <v>Costs</v>
      </c>
      <c r="X1261" s="1146">
        <f t="shared" si="348"/>
        <v>5.936295312319726</v>
      </c>
      <c r="Y1261" s="1143">
        <f t="shared" si="359"/>
        <v>1537.5004858908089</v>
      </c>
      <c r="Z1261" s="1147">
        <f t="shared" si="349"/>
        <v>1901.06</v>
      </c>
      <c r="AA1261" s="1144">
        <f t="shared" si="350"/>
        <v>1188.81</v>
      </c>
      <c r="AB1261" s="1144">
        <f t="shared" si="351"/>
        <v>0</v>
      </c>
      <c r="AC1261" s="1144">
        <f t="shared" si="352"/>
        <v>0</v>
      </c>
      <c r="AD1261" s="1148">
        <f t="shared" si="344"/>
        <v>1537.5004858908089</v>
      </c>
      <c r="AE1261" s="1487">
        <v>0</v>
      </c>
      <c r="AF1261" s="1145">
        <f t="shared" si="353"/>
        <v>1537.5004858908089</v>
      </c>
      <c r="AG1261" s="1149">
        <f>IFERROR(VLOOKUP(CONCATENATE($L1261,$N1261),'Drop List'!$G$23:$K$87,2,FALSE),0)</f>
        <v>0</v>
      </c>
      <c r="AH1261" s="1150">
        <f>IFERROR(VLOOKUP(CONCATENATE($L1261,$N1261),'Drop List'!$G$23:$K$87,3,FALSE),0)</f>
        <v>0</v>
      </c>
      <c r="AI1261" s="1150">
        <f>IFERROR(VLOOKUP(CONCATENATE($L1261,$N1261),'Drop List'!$G$23:$K$87,4,FALSE),0)</f>
        <v>0</v>
      </c>
      <c r="AJ1261" s="1151">
        <f>IFERROR(VLOOKUP(CONCATENATE($L1261,$N1261),'Drop List'!$G$23:$K$87,5,FALSE),0)</f>
        <v>0</v>
      </c>
      <c r="AK1261" s="1152">
        <f t="shared" si="354"/>
        <v>0</v>
      </c>
      <c r="AL1261" s="1153">
        <f t="shared" si="355"/>
        <v>0</v>
      </c>
      <c r="AM1261" s="1153">
        <f t="shared" si="356"/>
        <v>0</v>
      </c>
      <c r="AN1261" s="1145">
        <f t="shared" si="357"/>
        <v>0</v>
      </c>
      <c r="AO1261" s="1154">
        <f t="shared" si="358"/>
        <v>0</v>
      </c>
      <c r="AP1261" s="1147">
        <f t="shared" si="345"/>
        <v>1537.5004858908089</v>
      </c>
      <c r="AQ1261" s="1144">
        <f t="shared" si="346"/>
        <v>0</v>
      </c>
      <c r="AR1261" s="1146">
        <f t="shared" si="347"/>
        <v>1537.5004858908089</v>
      </c>
    </row>
    <row r="1262" spans="1:44" x14ac:dyDescent="0.2">
      <c r="A1262" s="1141" t="str">
        <f t="shared" si="360"/>
        <v>1562</v>
      </c>
      <c r="B1262" s="1141" t="str">
        <f>IFERROR(VLOOKUP(A1262,'LAC 103'!A:C,3,FALSE),"")</f>
        <v>OP</v>
      </c>
      <c r="C1262" s="1478" t="str">
        <f>Info!$B$8</f>
        <v>00100</v>
      </c>
      <c r="D1262" s="1474" t="s">
        <v>256</v>
      </c>
      <c r="E1262" s="1474" t="s">
        <v>95</v>
      </c>
      <c r="F1262" s="1478" t="s">
        <v>432</v>
      </c>
      <c r="G1262" s="1478" t="s">
        <v>432</v>
      </c>
      <c r="H1262" s="1474" t="s">
        <v>988</v>
      </c>
      <c r="I1262" s="1478" t="s">
        <v>811</v>
      </c>
      <c r="J1262" s="1478"/>
      <c r="K1262" s="1475" t="s">
        <v>1654</v>
      </c>
      <c r="L1262" s="1474" t="s">
        <v>332</v>
      </c>
      <c r="M1262" s="1476" t="s">
        <v>1698</v>
      </c>
      <c r="N1262" s="1477" t="s">
        <v>1693</v>
      </c>
      <c r="O1262" s="1479">
        <v>48</v>
      </c>
      <c r="P1262" s="1479"/>
      <c r="Q1262" s="1142">
        <f t="shared" si="343"/>
        <v>48</v>
      </c>
      <c r="R1262" s="1143">
        <f>IFERROR(VLOOKUP(CONCATENATE(E1262,G1262),'LAC 103'!$A$12:$O$95,11,FALSE),0)</f>
        <v>5.936295312319726</v>
      </c>
      <c r="S1262" s="1144">
        <f>IFERROR(VLOOKUP(CONCATENATE($E1262,$G1262),'LAC 103'!$A$12:$O$95,12,FALSE),0)</f>
        <v>7.34</v>
      </c>
      <c r="T1262" s="1144">
        <f>IFERROR(VLOOKUP(CONCATENATE($E1262,$G1262),'LAC 103'!$A$12:$O$95,13,FALSE),0)</f>
        <v>4.59</v>
      </c>
      <c r="U1262" s="1144">
        <f>IFERROR(VLOOKUP(CONCATENATE($E1262,$G1262),'LAC 103'!$A$12:$O$95,14,FALSE),0)</f>
        <v>0</v>
      </c>
      <c r="V1262" s="1144">
        <f>IFERROR(VLOOKUP(CONCATENATE($E1262,$G1262),'LAC 103'!$A$12:$O$95,15,FALSE),0)</f>
        <v>0</v>
      </c>
      <c r="W1262" s="1145" t="str">
        <f>IFERROR(VLOOKUP(CONCATENATE($B1262,$N1262),'LAC 103'!$AI:$AQ,9,FALSE),"")</f>
        <v>Costs</v>
      </c>
      <c r="X1262" s="1146">
        <f t="shared" si="348"/>
        <v>5.936295312319726</v>
      </c>
      <c r="Y1262" s="1143">
        <f t="shared" si="359"/>
        <v>284.94217499134686</v>
      </c>
      <c r="Z1262" s="1147">
        <f t="shared" si="349"/>
        <v>352.32</v>
      </c>
      <c r="AA1262" s="1144">
        <f t="shared" si="350"/>
        <v>220.32</v>
      </c>
      <c r="AB1262" s="1144">
        <f t="shared" si="351"/>
        <v>0</v>
      </c>
      <c r="AC1262" s="1144">
        <f t="shared" si="352"/>
        <v>0</v>
      </c>
      <c r="AD1262" s="1148">
        <f t="shared" si="344"/>
        <v>284.94217499134686</v>
      </c>
      <c r="AE1262" s="1487">
        <v>0</v>
      </c>
      <c r="AF1262" s="1145">
        <f t="shared" si="353"/>
        <v>284.94217499134686</v>
      </c>
      <c r="AG1262" s="1149">
        <f>IFERROR(VLOOKUP(CONCATENATE($L1262,$N1262),'Drop List'!$G$23:$K$87,2,FALSE),0)</f>
        <v>0</v>
      </c>
      <c r="AH1262" s="1150">
        <f>IFERROR(VLOOKUP(CONCATENATE($L1262,$N1262),'Drop List'!$G$23:$K$87,3,FALSE),0)</f>
        <v>0</v>
      </c>
      <c r="AI1262" s="1150">
        <f>IFERROR(VLOOKUP(CONCATENATE($L1262,$N1262),'Drop List'!$G$23:$K$87,4,FALSE),0)</f>
        <v>0</v>
      </c>
      <c r="AJ1262" s="1151">
        <f>IFERROR(VLOOKUP(CONCATENATE($L1262,$N1262),'Drop List'!$G$23:$K$87,5,FALSE),0)</f>
        <v>0</v>
      </c>
      <c r="AK1262" s="1152">
        <f t="shared" si="354"/>
        <v>0</v>
      </c>
      <c r="AL1262" s="1153">
        <f t="shared" si="355"/>
        <v>0</v>
      </c>
      <c r="AM1262" s="1153">
        <f t="shared" si="356"/>
        <v>0</v>
      </c>
      <c r="AN1262" s="1145">
        <f t="shared" si="357"/>
        <v>0</v>
      </c>
      <c r="AO1262" s="1154">
        <f t="shared" si="358"/>
        <v>0</v>
      </c>
      <c r="AP1262" s="1147">
        <f t="shared" si="345"/>
        <v>284.94217499134686</v>
      </c>
      <c r="AQ1262" s="1144">
        <f t="shared" si="346"/>
        <v>0</v>
      </c>
      <c r="AR1262" s="1146">
        <f t="shared" si="347"/>
        <v>284.94217499134686</v>
      </c>
    </row>
    <row r="1263" spans="1:44" x14ac:dyDescent="0.2">
      <c r="A1263" s="1141" t="str">
        <f t="shared" si="360"/>
        <v>1562</v>
      </c>
      <c r="B1263" s="1141" t="str">
        <f>IFERROR(VLOOKUP(A1263,'LAC 103'!A:C,3,FALSE),"")</f>
        <v>OP</v>
      </c>
      <c r="C1263" s="1478" t="str">
        <f>Info!$B$8</f>
        <v>00100</v>
      </c>
      <c r="D1263" s="1474" t="s">
        <v>256</v>
      </c>
      <c r="E1263" s="1474" t="s">
        <v>95</v>
      </c>
      <c r="F1263" s="1478" t="s">
        <v>432</v>
      </c>
      <c r="G1263" s="1478" t="s">
        <v>432</v>
      </c>
      <c r="H1263" s="1474" t="s">
        <v>988</v>
      </c>
      <c r="I1263" s="1478" t="s">
        <v>811</v>
      </c>
      <c r="J1263" s="1478"/>
      <c r="K1263" s="1475" t="s">
        <v>847</v>
      </c>
      <c r="L1263" s="1474" t="s">
        <v>582</v>
      </c>
      <c r="M1263" s="1476" t="s">
        <v>1699</v>
      </c>
      <c r="N1263" s="1477" t="s">
        <v>1694</v>
      </c>
      <c r="O1263" s="1479">
        <v>7741</v>
      </c>
      <c r="P1263" s="1479"/>
      <c r="Q1263" s="1142">
        <f t="shared" si="343"/>
        <v>7741</v>
      </c>
      <c r="R1263" s="1143">
        <f>IFERROR(VLOOKUP(CONCATENATE(E1263,G1263),'LAC 103'!$A$12:$O$95,11,FALSE),0)</f>
        <v>5.936295312319726</v>
      </c>
      <c r="S1263" s="1144">
        <f>IFERROR(VLOOKUP(CONCATENATE($E1263,$G1263),'LAC 103'!$A$12:$O$95,12,FALSE),0)</f>
        <v>7.34</v>
      </c>
      <c r="T1263" s="1144">
        <f>IFERROR(VLOOKUP(CONCATENATE($E1263,$G1263),'LAC 103'!$A$12:$O$95,13,FALSE),0)</f>
        <v>4.59</v>
      </c>
      <c r="U1263" s="1144">
        <f>IFERROR(VLOOKUP(CONCATENATE($E1263,$G1263),'LAC 103'!$A$12:$O$95,14,FALSE),0)</f>
        <v>0</v>
      </c>
      <c r="V1263" s="1144">
        <f>IFERROR(VLOOKUP(CONCATENATE($E1263,$G1263),'LAC 103'!$A$12:$O$95,15,FALSE),0)</f>
        <v>0</v>
      </c>
      <c r="W1263" s="1145" t="str">
        <f>IFERROR(VLOOKUP(CONCATENATE($B1263,$N1263),'LAC 103'!$AI:$AQ,9,FALSE),"")</f>
        <v>Costs</v>
      </c>
      <c r="X1263" s="1146">
        <f t="shared" si="348"/>
        <v>5.936295312319726</v>
      </c>
      <c r="Y1263" s="1143">
        <f t="shared" si="359"/>
        <v>45952.862012666999</v>
      </c>
      <c r="Z1263" s="1147">
        <f t="shared" si="349"/>
        <v>56818.94</v>
      </c>
      <c r="AA1263" s="1144">
        <f t="shared" si="350"/>
        <v>35531.19</v>
      </c>
      <c r="AB1263" s="1144">
        <f t="shared" si="351"/>
        <v>0</v>
      </c>
      <c r="AC1263" s="1144">
        <f t="shared" si="352"/>
        <v>0</v>
      </c>
      <c r="AD1263" s="1148">
        <f t="shared" si="344"/>
        <v>45952.862012666999</v>
      </c>
      <c r="AE1263" s="1487">
        <v>0</v>
      </c>
      <c r="AF1263" s="1145">
        <f t="shared" si="353"/>
        <v>45952.862012666999</v>
      </c>
      <c r="AG1263" s="1149">
        <f>IFERROR(VLOOKUP(CONCATENATE($L1263,$N1263),'Drop List'!$G$23:$K$87,2,FALSE),0)</f>
        <v>0.56200000000000006</v>
      </c>
      <c r="AH1263" s="1150">
        <f>IFERROR(VLOOKUP(CONCATENATE($L1263,$N1263),'Drop List'!$G$23:$K$87,3,FALSE),0)</f>
        <v>0.43799999999999994</v>
      </c>
      <c r="AI1263" s="1150">
        <f>IFERROR(VLOOKUP(CONCATENATE($L1263,$N1263),'Drop List'!$G$23:$K$87,4,FALSE),0)</f>
        <v>0</v>
      </c>
      <c r="AJ1263" s="1151">
        <f>IFERROR(VLOOKUP(CONCATENATE($L1263,$N1263),'Drop List'!$G$23:$K$87,5,FALSE),0)</f>
        <v>0</v>
      </c>
      <c r="AK1263" s="1152">
        <f t="shared" si="354"/>
        <v>25825.508451118858</v>
      </c>
      <c r="AL1263" s="1153">
        <f t="shared" si="355"/>
        <v>20127.353561548141</v>
      </c>
      <c r="AM1263" s="1153">
        <f t="shared" si="356"/>
        <v>0</v>
      </c>
      <c r="AN1263" s="1145">
        <f t="shared" si="357"/>
        <v>0</v>
      </c>
      <c r="AO1263" s="1154">
        <f t="shared" si="358"/>
        <v>45952.862012666999</v>
      </c>
      <c r="AP1263" s="1147">
        <f t="shared" si="345"/>
        <v>0</v>
      </c>
      <c r="AQ1263" s="1144">
        <f t="shared" si="346"/>
        <v>0</v>
      </c>
      <c r="AR1263" s="1146">
        <f t="shared" si="347"/>
        <v>45952.862012666999</v>
      </c>
    </row>
    <row r="1264" spans="1:44" x14ac:dyDescent="0.2">
      <c r="A1264" s="1141" t="str">
        <f t="shared" si="360"/>
        <v>1562</v>
      </c>
      <c r="B1264" s="1141" t="str">
        <f>IFERROR(VLOOKUP(A1264,'LAC 103'!A:C,3,FALSE),"")</f>
        <v>OP</v>
      </c>
      <c r="C1264" s="1478" t="str">
        <f>Info!$B$8</f>
        <v>00100</v>
      </c>
      <c r="D1264" s="1474" t="s">
        <v>256</v>
      </c>
      <c r="E1264" s="1474" t="s">
        <v>95</v>
      </c>
      <c r="F1264" s="1478" t="s">
        <v>432</v>
      </c>
      <c r="G1264" s="1478" t="s">
        <v>432</v>
      </c>
      <c r="H1264" s="1474" t="s">
        <v>988</v>
      </c>
      <c r="I1264" s="1478" t="s">
        <v>811</v>
      </c>
      <c r="J1264" s="1478"/>
      <c r="K1264" s="1475" t="s">
        <v>847</v>
      </c>
      <c r="L1264" s="1474" t="s">
        <v>582</v>
      </c>
      <c r="M1264" s="1476" t="s">
        <v>841</v>
      </c>
      <c r="N1264" s="1477" t="s">
        <v>1695</v>
      </c>
      <c r="O1264" s="1479">
        <v>3135</v>
      </c>
      <c r="P1264" s="1479"/>
      <c r="Q1264" s="1142">
        <f t="shared" si="343"/>
        <v>3135</v>
      </c>
      <c r="R1264" s="1143">
        <f>IFERROR(VLOOKUP(CONCATENATE(E1264,G1264),'LAC 103'!$A$12:$O$95,11,FALSE),0)</f>
        <v>5.936295312319726</v>
      </c>
      <c r="S1264" s="1144">
        <f>IFERROR(VLOOKUP(CONCATENATE($E1264,$G1264),'LAC 103'!$A$12:$O$95,12,FALSE),0)</f>
        <v>7.34</v>
      </c>
      <c r="T1264" s="1144">
        <f>IFERROR(VLOOKUP(CONCATENATE($E1264,$G1264),'LAC 103'!$A$12:$O$95,13,FALSE),0)</f>
        <v>4.59</v>
      </c>
      <c r="U1264" s="1144">
        <f>IFERROR(VLOOKUP(CONCATENATE($E1264,$G1264),'LAC 103'!$A$12:$O$95,14,FALSE),0)</f>
        <v>0</v>
      </c>
      <c r="V1264" s="1144">
        <f>IFERROR(VLOOKUP(CONCATENATE($E1264,$G1264),'LAC 103'!$A$12:$O$95,15,FALSE),0)</f>
        <v>0</v>
      </c>
      <c r="W1264" s="1145" t="str">
        <f>IFERROR(VLOOKUP(CONCATENATE($B1264,$N1264),'LAC 103'!$AI:$AQ,9,FALSE),"")</f>
        <v>Costs</v>
      </c>
      <c r="X1264" s="1146">
        <f t="shared" si="348"/>
        <v>5.936295312319726</v>
      </c>
      <c r="Y1264" s="1143">
        <f t="shared" si="359"/>
        <v>18610.285804122341</v>
      </c>
      <c r="Z1264" s="1147">
        <f t="shared" si="349"/>
        <v>23010.899999999998</v>
      </c>
      <c r="AA1264" s="1144">
        <f t="shared" si="350"/>
        <v>14389.65</v>
      </c>
      <c r="AB1264" s="1144">
        <f t="shared" si="351"/>
        <v>0</v>
      </c>
      <c r="AC1264" s="1144">
        <f t="shared" si="352"/>
        <v>0</v>
      </c>
      <c r="AD1264" s="1148">
        <f t="shared" si="344"/>
        <v>18610.285804122341</v>
      </c>
      <c r="AE1264" s="1487">
        <v>0</v>
      </c>
      <c r="AF1264" s="1145">
        <f t="shared" si="353"/>
        <v>18610.285804122341</v>
      </c>
      <c r="AG1264" s="1149">
        <f>IFERROR(VLOOKUP(CONCATENATE($L1264,$N1264),'Drop List'!$G$23:$K$87,2,FALSE),0)</f>
        <v>0.55000000000000004</v>
      </c>
      <c r="AH1264" s="1150">
        <f>IFERROR(VLOOKUP(CONCATENATE($L1264,$N1264),'Drop List'!$G$23:$K$87,3,FALSE),0)</f>
        <v>0.44999999999999996</v>
      </c>
      <c r="AI1264" s="1150">
        <f>IFERROR(VLOOKUP(CONCATENATE($L1264,$N1264),'Drop List'!$G$23:$K$87,4,FALSE),0)</f>
        <v>0</v>
      </c>
      <c r="AJ1264" s="1151">
        <f>IFERROR(VLOOKUP(CONCATENATE($L1264,$N1264),'Drop List'!$G$23:$K$87,5,FALSE),0)</f>
        <v>0</v>
      </c>
      <c r="AK1264" s="1152">
        <f t="shared" si="354"/>
        <v>10235.657192267288</v>
      </c>
      <c r="AL1264" s="1153">
        <f t="shared" si="355"/>
        <v>8374.6286118550524</v>
      </c>
      <c r="AM1264" s="1153">
        <f t="shared" si="356"/>
        <v>0</v>
      </c>
      <c r="AN1264" s="1145">
        <f t="shared" si="357"/>
        <v>0</v>
      </c>
      <c r="AO1264" s="1154">
        <f t="shared" si="358"/>
        <v>18610.285804122341</v>
      </c>
      <c r="AP1264" s="1147">
        <f t="shared" si="345"/>
        <v>0</v>
      </c>
      <c r="AQ1264" s="1144">
        <f t="shared" si="346"/>
        <v>0</v>
      </c>
      <c r="AR1264" s="1146">
        <f t="shared" si="347"/>
        <v>18610.285804122341</v>
      </c>
    </row>
    <row r="1265" spans="1:44" x14ac:dyDescent="0.2">
      <c r="A1265" s="1141" t="str">
        <f t="shared" si="360"/>
        <v>1562</v>
      </c>
      <c r="B1265" s="1141" t="str">
        <f>IFERROR(VLOOKUP(A1265,'LAC 103'!A:C,3,FALSE),"")</f>
        <v>OP</v>
      </c>
      <c r="C1265" s="1478" t="str">
        <f>Info!$B$8</f>
        <v>00100</v>
      </c>
      <c r="D1265" s="1474" t="s">
        <v>256</v>
      </c>
      <c r="E1265" s="1474" t="s">
        <v>95</v>
      </c>
      <c r="F1265" s="1478" t="s">
        <v>432</v>
      </c>
      <c r="G1265" s="1478" t="s">
        <v>432</v>
      </c>
      <c r="H1265" s="1474" t="s">
        <v>988</v>
      </c>
      <c r="I1265" s="1478" t="s">
        <v>811</v>
      </c>
      <c r="J1265" s="1478"/>
      <c r="K1265" s="1475" t="s">
        <v>847</v>
      </c>
      <c r="L1265" s="1474" t="s">
        <v>582</v>
      </c>
      <c r="M1265" s="1476" t="s">
        <v>840</v>
      </c>
      <c r="N1265" s="1477" t="s">
        <v>1700</v>
      </c>
      <c r="O1265" s="1479">
        <v>3996</v>
      </c>
      <c r="P1265" s="1479"/>
      <c r="Q1265" s="1142">
        <f t="shared" si="343"/>
        <v>3996</v>
      </c>
      <c r="R1265" s="1143">
        <f>IFERROR(VLOOKUP(CONCATENATE(E1265,G1265),'LAC 103'!$A$12:$O$95,11,FALSE),0)</f>
        <v>5.936295312319726</v>
      </c>
      <c r="S1265" s="1144">
        <f>IFERROR(VLOOKUP(CONCATENATE($E1265,$G1265),'LAC 103'!$A$12:$O$95,12,FALSE),0)</f>
        <v>7.34</v>
      </c>
      <c r="T1265" s="1144">
        <f>IFERROR(VLOOKUP(CONCATENATE($E1265,$G1265),'LAC 103'!$A$12:$O$95,13,FALSE),0)</f>
        <v>4.59</v>
      </c>
      <c r="U1265" s="1144">
        <f>IFERROR(VLOOKUP(CONCATENATE($E1265,$G1265),'LAC 103'!$A$12:$O$95,14,FALSE),0)</f>
        <v>0</v>
      </c>
      <c r="V1265" s="1144">
        <f>IFERROR(VLOOKUP(CONCATENATE($E1265,$G1265),'LAC 103'!$A$12:$O$95,15,FALSE),0)</f>
        <v>0</v>
      </c>
      <c r="W1265" s="1145" t="str">
        <f>IFERROR(VLOOKUP(CONCATENATE($B1265,$N1265),'LAC 103'!$AI:$AQ,9,FALSE),"")</f>
        <v>P.C.</v>
      </c>
      <c r="X1265" s="1146">
        <f t="shared" si="348"/>
        <v>4.59</v>
      </c>
      <c r="Y1265" s="1143">
        <f t="shared" si="359"/>
        <v>23721.436068029623</v>
      </c>
      <c r="Z1265" s="1147">
        <f t="shared" si="349"/>
        <v>29330.639999999999</v>
      </c>
      <c r="AA1265" s="1144">
        <f t="shared" si="350"/>
        <v>18341.64</v>
      </c>
      <c r="AB1265" s="1144">
        <f t="shared" si="351"/>
        <v>0</v>
      </c>
      <c r="AC1265" s="1144">
        <f t="shared" si="352"/>
        <v>0</v>
      </c>
      <c r="AD1265" s="1148">
        <f t="shared" si="344"/>
        <v>18341.64</v>
      </c>
      <c r="AE1265" s="1487">
        <v>0</v>
      </c>
      <c r="AF1265" s="1145">
        <f t="shared" si="353"/>
        <v>18341.64</v>
      </c>
      <c r="AG1265" s="1149">
        <f>IFERROR(VLOOKUP(CONCATENATE($L1265,$N1265),'Drop List'!$G$23:$K$87,2,FALSE),0)</f>
        <v>0.55000000000000004</v>
      </c>
      <c r="AH1265" s="1150">
        <f>IFERROR(VLOOKUP(CONCATENATE($L1265,$N1265),'Drop List'!$G$23:$K$87,3,FALSE),0)</f>
        <v>0.44999999999999996</v>
      </c>
      <c r="AI1265" s="1150">
        <f>IFERROR(VLOOKUP(CONCATENATE($L1265,$N1265),'Drop List'!$G$23:$K$87,4,FALSE),0)</f>
        <v>0</v>
      </c>
      <c r="AJ1265" s="1151">
        <f>IFERROR(VLOOKUP(CONCATENATE($L1265,$N1265),'Drop List'!$G$23:$K$87,5,FALSE),0)</f>
        <v>0</v>
      </c>
      <c r="AK1265" s="1152">
        <f t="shared" si="354"/>
        <v>10087.902</v>
      </c>
      <c r="AL1265" s="1153">
        <f t="shared" si="355"/>
        <v>8253.7379999999994</v>
      </c>
      <c r="AM1265" s="1153">
        <f t="shared" si="356"/>
        <v>0</v>
      </c>
      <c r="AN1265" s="1145">
        <f t="shared" si="357"/>
        <v>0</v>
      </c>
      <c r="AO1265" s="1154">
        <f t="shared" si="358"/>
        <v>18341.64</v>
      </c>
      <c r="AP1265" s="1147">
        <f t="shared" si="345"/>
        <v>0</v>
      </c>
      <c r="AQ1265" s="1144">
        <f t="shared" si="346"/>
        <v>0</v>
      </c>
      <c r="AR1265" s="1146">
        <f t="shared" si="347"/>
        <v>18341.64</v>
      </c>
    </row>
    <row r="1266" spans="1:44" x14ac:dyDescent="0.2">
      <c r="A1266" s="1141" t="str">
        <f t="shared" si="360"/>
        <v>1562</v>
      </c>
      <c r="B1266" s="1141" t="str">
        <f>IFERROR(VLOOKUP(A1266,'LAC 103'!A:C,3,FALSE),"")</f>
        <v>OP</v>
      </c>
      <c r="C1266" s="1478" t="str">
        <f>Info!$B$8</f>
        <v>00100</v>
      </c>
      <c r="D1266" s="1474" t="s">
        <v>256</v>
      </c>
      <c r="E1266" s="1474" t="s">
        <v>95</v>
      </c>
      <c r="F1266" s="1478" t="s">
        <v>432</v>
      </c>
      <c r="G1266" s="1478" t="s">
        <v>432</v>
      </c>
      <c r="H1266" s="1474" t="s">
        <v>988</v>
      </c>
      <c r="I1266" s="1478" t="s">
        <v>811</v>
      </c>
      <c r="J1266" s="1478"/>
      <c r="K1266" s="1475" t="s">
        <v>847</v>
      </c>
      <c r="L1266" s="1474" t="s">
        <v>582</v>
      </c>
      <c r="M1266" s="1476" t="s">
        <v>842</v>
      </c>
      <c r="N1266" s="1477" t="s">
        <v>1692</v>
      </c>
      <c r="O1266" s="1479">
        <v>6753</v>
      </c>
      <c r="P1266" s="1479"/>
      <c r="Q1266" s="1142">
        <f t="shared" si="343"/>
        <v>6753</v>
      </c>
      <c r="R1266" s="1143">
        <f>IFERROR(VLOOKUP(CONCATENATE(E1266,G1266),'LAC 103'!$A$12:$O$95,11,FALSE),0)</f>
        <v>5.936295312319726</v>
      </c>
      <c r="S1266" s="1144">
        <f>IFERROR(VLOOKUP(CONCATENATE($E1266,$G1266),'LAC 103'!$A$12:$O$95,12,FALSE),0)</f>
        <v>7.34</v>
      </c>
      <c r="T1266" s="1144">
        <f>IFERROR(VLOOKUP(CONCATENATE($E1266,$G1266),'LAC 103'!$A$12:$O$95,13,FALSE),0)</f>
        <v>4.59</v>
      </c>
      <c r="U1266" s="1144">
        <f>IFERROR(VLOOKUP(CONCATENATE($E1266,$G1266),'LAC 103'!$A$12:$O$95,14,FALSE),0)</f>
        <v>0</v>
      </c>
      <c r="V1266" s="1144">
        <f>IFERROR(VLOOKUP(CONCATENATE($E1266,$G1266),'LAC 103'!$A$12:$O$95,15,FALSE),0)</f>
        <v>0</v>
      </c>
      <c r="W1266" s="1145" t="str">
        <f>IFERROR(VLOOKUP(CONCATENATE($B1266,$N1266),'LAC 103'!$AI:$AQ,9,FALSE),"")</f>
        <v>Costs</v>
      </c>
      <c r="X1266" s="1146">
        <f t="shared" si="348"/>
        <v>5.936295312319726</v>
      </c>
      <c r="Y1266" s="1143">
        <f t="shared" si="359"/>
        <v>40087.80224409511</v>
      </c>
      <c r="Z1266" s="1147">
        <f t="shared" si="349"/>
        <v>49567.02</v>
      </c>
      <c r="AA1266" s="1144">
        <f t="shared" si="350"/>
        <v>30996.27</v>
      </c>
      <c r="AB1266" s="1144">
        <f t="shared" si="351"/>
        <v>0</v>
      </c>
      <c r="AC1266" s="1144">
        <f t="shared" si="352"/>
        <v>0</v>
      </c>
      <c r="AD1266" s="1148">
        <f t="shared" si="344"/>
        <v>40087.80224409511</v>
      </c>
      <c r="AE1266" s="1487">
        <v>0</v>
      </c>
      <c r="AF1266" s="1145">
        <f t="shared" si="353"/>
        <v>40087.80224409511</v>
      </c>
      <c r="AG1266" s="1149">
        <f>IFERROR(VLOOKUP(CONCATENATE($L1266,$N1266),'Drop List'!$G$23:$K$87,2,FALSE),0)</f>
        <v>0.56200000000000006</v>
      </c>
      <c r="AH1266" s="1150">
        <f>IFERROR(VLOOKUP(CONCATENATE($L1266,$N1266),'Drop List'!$G$23:$K$87,3,FALSE),0)</f>
        <v>0.43799999999999994</v>
      </c>
      <c r="AI1266" s="1150">
        <f>IFERROR(VLOOKUP(CONCATENATE($L1266,$N1266),'Drop List'!$G$23:$K$87,4,FALSE),0)</f>
        <v>0</v>
      </c>
      <c r="AJ1266" s="1151">
        <f>IFERROR(VLOOKUP(CONCATENATE($L1266,$N1266),'Drop List'!$G$23:$K$87,5,FALSE),0)</f>
        <v>0</v>
      </c>
      <c r="AK1266" s="1152">
        <f t="shared" si="354"/>
        <v>22529.344861181453</v>
      </c>
      <c r="AL1266" s="1153">
        <f t="shared" si="355"/>
        <v>17558.457382913657</v>
      </c>
      <c r="AM1266" s="1153">
        <f t="shared" si="356"/>
        <v>0</v>
      </c>
      <c r="AN1266" s="1145">
        <f t="shared" si="357"/>
        <v>0</v>
      </c>
      <c r="AO1266" s="1154">
        <f t="shared" si="358"/>
        <v>40087.80224409511</v>
      </c>
      <c r="AP1266" s="1147">
        <f t="shared" si="345"/>
        <v>0</v>
      </c>
      <c r="AQ1266" s="1144">
        <f t="shared" si="346"/>
        <v>0</v>
      </c>
      <c r="AR1266" s="1146">
        <f t="shared" si="347"/>
        <v>40087.80224409511</v>
      </c>
    </row>
    <row r="1267" spans="1:44" x14ac:dyDescent="0.2">
      <c r="A1267" s="1141" t="str">
        <f t="shared" si="360"/>
        <v>1562</v>
      </c>
      <c r="B1267" s="1141" t="str">
        <f>IFERROR(VLOOKUP(A1267,'LAC 103'!A:C,3,FALSE),"")</f>
        <v>OP</v>
      </c>
      <c r="C1267" s="1478" t="str">
        <f>Info!$B$8</f>
        <v>00100</v>
      </c>
      <c r="D1267" s="1474" t="s">
        <v>256</v>
      </c>
      <c r="E1267" s="1474" t="s">
        <v>95</v>
      </c>
      <c r="F1267" s="1478" t="s">
        <v>432</v>
      </c>
      <c r="G1267" s="1478" t="s">
        <v>432</v>
      </c>
      <c r="H1267" s="1474" t="s">
        <v>988</v>
      </c>
      <c r="I1267" s="1478" t="s">
        <v>811</v>
      </c>
      <c r="J1267" s="1478"/>
      <c r="K1267" s="1475" t="s">
        <v>847</v>
      </c>
      <c r="L1267" s="1474" t="s">
        <v>582</v>
      </c>
      <c r="M1267" s="1476" t="s">
        <v>1698</v>
      </c>
      <c r="N1267" s="1477" t="s">
        <v>1693</v>
      </c>
      <c r="O1267" s="1479">
        <v>7642</v>
      </c>
      <c r="P1267" s="1479"/>
      <c r="Q1267" s="1142">
        <f t="shared" si="343"/>
        <v>7642</v>
      </c>
      <c r="R1267" s="1143">
        <f>IFERROR(VLOOKUP(CONCATENATE(E1267,G1267),'LAC 103'!$A$12:$O$95,11,FALSE),0)</f>
        <v>5.936295312319726</v>
      </c>
      <c r="S1267" s="1144">
        <f>IFERROR(VLOOKUP(CONCATENATE($E1267,$G1267),'LAC 103'!$A$12:$O$95,12,FALSE),0)</f>
        <v>7.34</v>
      </c>
      <c r="T1267" s="1144">
        <f>IFERROR(VLOOKUP(CONCATENATE($E1267,$G1267),'LAC 103'!$A$12:$O$95,13,FALSE),0)</f>
        <v>4.59</v>
      </c>
      <c r="U1267" s="1144">
        <f>IFERROR(VLOOKUP(CONCATENATE($E1267,$G1267),'LAC 103'!$A$12:$O$95,14,FALSE),0)</f>
        <v>0</v>
      </c>
      <c r="V1267" s="1144">
        <f>IFERROR(VLOOKUP(CONCATENATE($E1267,$G1267),'LAC 103'!$A$12:$O$95,15,FALSE),0)</f>
        <v>0</v>
      </c>
      <c r="W1267" s="1145" t="str">
        <f>IFERROR(VLOOKUP(CONCATENATE($B1267,$N1267),'LAC 103'!$AI:$AQ,9,FALSE),"")</f>
        <v>Costs</v>
      </c>
      <c r="X1267" s="1146">
        <f t="shared" si="348"/>
        <v>5.936295312319726</v>
      </c>
      <c r="Y1267" s="1143">
        <f t="shared" si="359"/>
        <v>45365.168776747349</v>
      </c>
      <c r="Z1267" s="1147">
        <f t="shared" si="349"/>
        <v>56092.28</v>
      </c>
      <c r="AA1267" s="1144">
        <f t="shared" si="350"/>
        <v>35076.78</v>
      </c>
      <c r="AB1267" s="1144">
        <f t="shared" si="351"/>
        <v>0</v>
      </c>
      <c r="AC1267" s="1144">
        <f t="shared" si="352"/>
        <v>0</v>
      </c>
      <c r="AD1267" s="1148">
        <f t="shared" si="344"/>
        <v>45365.168776747349</v>
      </c>
      <c r="AE1267" s="1487">
        <v>0</v>
      </c>
      <c r="AF1267" s="1145">
        <f t="shared" si="353"/>
        <v>45365.168776747349</v>
      </c>
      <c r="AG1267" s="1149">
        <f>IFERROR(VLOOKUP(CONCATENATE($L1267,$N1267),'Drop List'!$G$23:$K$87,2,FALSE),0)</f>
        <v>0.56200000000000006</v>
      </c>
      <c r="AH1267" s="1150">
        <f>IFERROR(VLOOKUP(CONCATENATE($L1267,$N1267),'Drop List'!$G$23:$K$87,3,FALSE),0)</f>
        <v>0.43799999999999994</v>
      </c>
      <c r="AI1267" s="1150">
        <f>IFERROR(VLOOKUP(CONCATENATE($L1267,$N1267),'Drop List'!$G$23:$K$87,4,FALSE),0)</f>
        <v>0</v>
      </c>
      <c r="AJ1267" s="1151">
        <f>IFERROR(VLOOKUP(CONCATENATE($L1267,$N1267),'Drop List'!$G$23:$K$87,5,FALSE),0)</f>
        <v>0</v>
      </c>
      <c r="AK1267" s="1152">
        <f t="shared" si="354"/>
        <v>25495.224852532014</v>
      </c>
      <c r="AL1267" s="1153">
        <f t="shared" si="355"/>
        <v>19869.943924215335</v>
      </c>
      <c r="AM1267" s="1153">
        <f t="shared" si="356"/>
        <v>0</v>
      </c>
      <c r="AN1267" s="1145">
        <f t="shared" si="357"/>
        <v>0</v>
      </c>
      <c r="AO1267" s="1154">
        <f t="shared" si="358"/>
        <v>45365.168776747349</v>
      </c>
      <c r="AP1267" s="1147">
        <f t="shared" si="345"/>
        <v>0</v>
      </c>
      <c r="AQ1267" s="1144">
        <f t="shared" si="346"/>
        <v>0</v>
      </c>
      <c r="AR1267" s="1146">
        <f t="shared" si="347"/>
        <v>45365.168776747349</v>
      </c>
    </row>
    <row r="1268" spans="1:44" x14ac:dyDescent="0.2">
      <c r="A1268" s="1141" t="str">
        <f t="shared" si="360"/>
        <v>1562</v>
      </c>
      <c r="B1268" s="1141" t="str">
        <f>IFERROR(VLOOKUP(A1268,'LAC 103'!A:C,3,FALSE),"")</f>
        <v>OP</v>
      </c>
      <c r="C1268" s="1478" t="str">
        <f>Info!$B$8</f>
        <v>00100</v>
      </c>
      <c r="D1268" s="1474" t="s">
        <v>256</v>
      </c>
      <c r="E1268" s="1474" t="s">
        <v>95</v>
      </c>
      <c r="F1268" s="1478" t="s">
        <v>432</v>
      </c>
      <c r="G1268" s="1478" t="s">
        <v>432</v>
      </c>
      <c r="H1268" s="1474" t="s">
        <v>988</v>
      </c>
      <c r="I1268" s="1478" t="s">
        <v>811</v>
      </c>
      <c r="J1268" s="1478"/>
      <c r="K1268" s="1475" t="s">
        <v>852</v>
      </c>
      <c r="L1268" s="1474" t="s">
        <v>591</v>
      </c>
      <c r="M1268" s="1476" t="s">
        <v>1699</v>
      </c>
      <c r="N1268" s="1477" t="s">
        <v>1694</v>
      </c>
      <c r="O1268" s="1479">
        <v>30</v>
      </c>
      <c r="P1268" s="1479"/>
      <c r="Q1268" s="1142">
        <f t="shared" si="343"/>
        <v>30</v>
      </c>
      <c r="R1268" s="1143">
        <f>IFERROR(VLOOKUP(CONCATENATE(E1268,G1268),'LAC 103'!$A$12:$O$95,11,FALSE),0)</f>
        <v>5.936295312319726</v>
      </c>
      <c r="S1268" s="1144">
        <f>IFERROR(VLOOKUP(CONCATENATE($E1268,$G1268),'LAC 103'!$A$12:$O$95,12,FALSE),0)</f>
        <v>7.34</v>
      </c>
      <c r="T1268" s="1144">
        <f>IFERROR(VLOOKUP(CONCATENATE($E1268,$G1268),'LAC 103'!$A$12:$O$95,13,FALSE),0)</f>
        <v>4.59</v>
      </c>
      <c r="U1268" s="1144">
        <f>IFERROR(VLOOKUP(CONCATENATE($E1268,$G1268),'LAC 103'!$A$12:$O$95,14,FALSE),0)</f>
        <v>0</v>
      </c>
      <c r="V1268" s="1144">
        <f>IFERROR(VLOOKUP(CONCATENATE($E1268,$G1268),'LAC 103'!$A$12:$O$95,15,FALSE),0)</f>
        <v>0</v>
      </c>
      <c r="W1268" s="1145" t="str">
        <f>IFERROR(VLOOKUP(CONCATENATE($B1268,$N1268),'LAC 103'!$AI:$AQ,9,FALSE),"")</f>
        <v>Costs</v>
      </c>
      <c r="X1268" s="1146">
        <f t="shared" si="348"/>
        <v>5.936295312319726</v>
      </c>
      <c r="Y1268" s="1143">
        <f t="shared" si="359"/>
        <v>178.08885936959177</v>
      </c>
      <c r="Z1268" s="1147">
        <f t="shared" si="349"/>
        <v>220.2</v>
      </c>
      <c r="AA1268" s="1144">
        <f t="shared" si="350"/>
        <v>137.69999999999999</v>
      </c>
      <c r="AB1268" s="1144">
        <f t="shared" si="351"/>
        <v>0</v>
      </c>
      <c r="AC1268" s="1144">
        <f t="shared" si="352"/>
        <v>0</v>
      </c>
      <c r="AD1268" s="1148">
        <f t="shared" si="344"/>
        <v>178.08885936959177</v>
      </c>
      <c r="AE1268" s="1487">
        <v>0</v>
      </c>
      <c r="AF1268" s="1145">
        <f t="shared" si="353"/>
        <v>178.08885936959177</v>
      </c>
      <c r="AG1268" s="1149">
        <f>IFERROR(VLOOKUP(CONCATENATE($L1268,$N1268),'Drop List'!$G$23:$K$87,2,FALSE),0)</f>
        <v>0.69340000000000002</v>
      </c>
      <c r="AH1268" s="1150">
        <f>IFERROR(VLOOKUP(CONCATENATE($L1268,$N1268),'Drop List'!$G$23:$K$87,3,FALSE),0)</f>
        <v>0</v>
      </c>
      <c r="AI1268" s="1150">
        <f>IFERROR(VLOOKUP(CONCATENATE($L1268,$N1268),'Drop List'!$G$23:$K$87,4,FALSE),0)</f>
        <v>0</v>
      </c>
      <c r="AJ1268" s="1151">
        <f>IFERROR(VLOOKUP(CONCATENATE($L1268,$N1268),'Drop List'!$G$23:$K$87,5,FALSE),0)</f>
        <v>0.30659999999999998</v>
      </c>
      <c r="AK1268" s="1152">
        <f t="shared" si="354"/>
        <v>123.48681508687494</v>
      </c>
      <c r="AL1268" s="1153">
        <f t="shared" si="355"/>
        <v>0</v>
      </c>
      <c r="AM1268" s="1153">
        <f t="shared" si="356"/>
        <v>0</v>
      </c>
      <c r="AN1268" s="1145">
        <f t="shared" si="357"/>
        <v>54.602044282716832</v>
      </c>
      <c r="AO1268" s="1154">
        <f t="shared" si="358"/>
        <v>178.08885936959177</v>
      </c>
      <c r="AP1268" s="1147">
        <f t="shared" si="345"/>
        <v>0</v>
      </c>
      <c r="AQ1268" s="1144">
        <f t="shared" si="346"/>
        <v>0</v>
      </c>
      <c r="AR1268" s="1146">
        <f t="shared" si="347"/>
        <v>178.08885936959177</v>
      </c>
    </row>
    <row r="1269" spans="1:44" x14ac:dyDescent="0.2">
      <c r="A1269" s="1141" t="str">
        <f t="shared" si="360"/>
        <v>1562</v>
      </c>
      <c r="B1269" s="1141" t="str">
        <f>IFERROR(VLOOKUP(A1269,'LAC 103'!A:C,3,FALSE),"")</f>
        <v>OP</v>
      </c>
      <c r="C1269" s="1478" t="str">
        <f>Info!$B$8</f>
        <v>00100</v>
      </c>
      <c r="D1269" s="1474" t="s">
        <v>256</v>
      </c>
      <c r="E1269" s="1474" t="s">
        <v>95</v>
      </c>
      <c r="F1269" s="1478" t="s">
        <v>432</v>
      </c>
      <c r="G1269" s="1478" t="s">
        <v>432</v>
      </c>
      <c r="H1269" s="1474" t="s">
        <v>988</v>
      </c>
      <c r="I1269" s="1478" t="s">
        <v>811</v>
      </c>
      <c r="J1269" s="1478"/>
      <c r="K1269" s="1475" t="s">
        <v>852</v>
      </c>
      <c r="L1269" s="1474" t="s">
        <v>591</v>
      </c>
      <c r="M1269" s="1476" t="s">
        <v>841</v>
      </c>
      <c r="N1269" s="1477" t="s">
        <v>1695</v>
      </c>
      <c r="O1269" s="1479">
        <v>30</v>
      </c>
      <c r="P1269" s="1479"/>
      <c r="Q1269" s="1142">
        <f t="shared" si="343"/>
        <v>30</v>
      </c>
      <c r="R1269" s="1143">
        <f>IFERROR(VLOOKUP(CONCATENATE(E1269,G1269),'LAC 103'!$A$12:$O$95,11,FALSE),0)</f>
        <v>5.936295312319726</v>
      </c>
      <c r="S1269" s="1144">
        <f>IFERROR(VLOOKUP(CONCATENATE($E1269,$G1269),'LAC 103'!$A$12:$O$95,12,FALSE),0)</f>
        <v>7.34</v>
      </c>
      <c r="T1269" s="1144">
        <f>IFERROR(VLOOKUP(CONCATENATE($E1269,$G1269),'LAC 103'!$A$12:$O$95,13,FALSE),0)</f>
        <v>4.59</v>
      </c>
      <c r="U1269" s="1144">
        <f>IFERROR(VLOOKUP(CONCATENATE($E1269,$G1269),'LAC 103'!$A$12:$O$95,14,FALSE),0)</f>
        <v>0</v>
      </c>
      <c r="V1269" s="1144">
        <f>IFERROR(VLOOKUP(CONCATENATE($E1269,$G1269),'LAC 103'!$A$12:$O$95,15,FALSE),0)</f>
        <v>0</v>
      </c>
      <c r="W1269" s="1145" t="str">
        <f>IFERROR(VLOOKUP(CONCATENATE($B1269,$N1269),'LAC 103'!$AI:$AQ,9,FALSE),"")</f>
        <v>Costs</v>
      </c>
      <c r="X1269" s="1146">
        <f t="shared" si="348"/>
        <v>5.936295312319726</v>
      </c>
      <c r="Y1269" s="1143">
        <f t="shared" si="359"/>
        <v>178.08885936959177</v>
      </c>
      <c r="Z1269" s="1147">
        <f t="shared" si="349"/>
        <v>220.2</v>
      </c>
      <c r="AA1269" s="1144">
        <f t="shared" si="350"/>
        <v>137.69999999999999</v>
      </c>
      <c r="AB1269" s="1144">
        <f t="shared" si="351"/>
        <v>0</v>
      </c>
      <c r="AC1269" s="1144">
        <f t="shared" si="352"/>
        <v>0</v>
      </c>
      <c r="AD1269" s="1148">
        <f t="shared" si="344"/>
        <v>178.08885936959177</v>
      </c>
      <c r="AE1269" s="1487">
        <v>0</v>
      </c>
      <c r="AF1269" s="1145">
        <f t="shared" si="353"/>
        <v>178.08885936959177</v>
      </c>
      <c r="AG1269" s="1149">
        <f>IFERROR(VLOOKUP(CONCATENATE($L1269,$N1269),'Drop List'!$G$23:$K$87,2,FALSE),0)</f>
        <v>0.68500000000000005</v>
      </c>
      <c r="AH1269" s="1150">
        <f>IFERROR(VLOOKUP(CONCATENATE($L1269,$N1269),'Drop List'!$G$23:$K$87,3,FALSE),0)</f>
        <v>0</v>
      </c>
      <c r="AI1269" s="1150">
        <f>IFERROR(VLOOKUP(CONCATENATE($L1269,$N1269),'Drop List'!$G$23:$K$87,4,FALSE),0)</f>
        <v>0</v>
      </c>
      <c r="AJ1269" s="1151">
        <f>IFERROR(VLOOKUP(CONCATENATE($L1269,$N1269),'Drop List'!$G$23:$K$87,5,FALSE),0)</f>
        <v>0.31499999999999995</v>
      </c>
      <c r="AK1269" s="1152">
        <f t="shared" si="354"/>
        <v>121.99086866817038</v>
      </c>
      <c r="AL1269" s="1153">
        <f t="shared" si="355"/>
        <v>0</v>
      </c>
      <c r="AM1269" s="1153">
        <f t="shared" si="356"/>
        <v>0</v>
      </c>
      <c r="AN1269" s="1145">
        <f t="shared" si="357"/>
        <v>56.097990701421402</v>
      </c>
      <c r="AO1269" s="1154">
        <f t="shared" si="358"/>
        <v>178.08885936959177</v>
      </c>
      <c r="AP1269" s="1147">
        <f t="shared" si="345"/>
        <v>0</v>
      </c>
      <c r="AQ1269" s="1144">
        <f t="shared" si="346"/>
        <v>0</v>
      </c>
      <c r="AR1269" s="1146">
        <f t="shared" si="347"/>
        <v>178.08885936959177</v>
      </c>
    </row>
    <row r="1270" spans="1:44" x14ac:dyDescent="0.2">
      <c r="A1270" s="1141" t="str">
        <f t="shared" si="360"/>
        <v>1562</v>
      </c>
      <c r="B1270" s="1141" t="str">
        <f>IFERROR(VLOOKUP(A1270,'LAC 103'!A:C,3,FALSE),"")</f>
        <v>OP</v>
      </c>
      <c r="C1270" s="1478" t="str">
        <f>Info!$B$8</f>
        <v>00100</v>
      </c>
      <c r="D1270" s="1474" t="s">
        <v>256</v>
      </c>
      <c r="E1270" s="1474" t="s">
        <v>95</v>
      </c>
      <c r="F1270" s="1478" t="s">
        <v>432</v>
      </c>
      <c r="G1270" s="1478" t="s">
        <v>432</v>
      </c>
      <c r="H1270" s="1474" t="s">
        <v>988</v>
      </c>
      <c r="I1270" s="1478" t="s">
        <v>811</v>
      </c>
      <c r="J1270" s="1478"/>
      <c r="K1270" s="1475" t="s">
        <v>852</v>
      </c>
      <c r="L1270" s="1474" t="s">
        <v>591</v>
      </c>
      <c r="M1270" s="1476" t="s">
        <v>1698</v>
      </c>
      <c r="N1270" s="1477" t="s">
        <v>1693</v>
      </c>
      <c r="O1270" s="1479">
        <v>41</v>
      </c>
      <c r="P1270" s="1479"/>
      <c r="Q1270" s="1142">
        <f t="shared" si="343"/>
        <v>41</v>
      </c>
      <c r="R1270" s="1143">
        <f>IFERROR(VLOOKUP(CONCATENATE(E1270,G1270),'LAC 103'!$A$12:$O$95,11,FALSE),0)</f>
        <v>5.936295312319726</v>
      </c>
      <c r="S1270" s="1144">
        <f>IFERROR(VLOOKUP(CONCATENATE($E1270,$G1270),'LAC 103'!$A$12:$O$95,12,FALSE),0)</f>
        <v>7.34</v>
      </c>
      <c r="T1270" s="1144">
        <f>IFERROR(VLOOKUP(CONCATENATE($E1270,$G1270),'LAC 103'!$A$12:$O$95,13,FALSE),0)</f>
        <v>4.59</v>
      </c>
      <c r="U1270" s="1144">
        <f>IFERROR(VLOOKUP(CONCATENATE($E1270,$G1270),'LAC 103'!$A$12:$O$95,14,FALSE),0)</f>
        <v>0</v>
      </c>
      <c r="V1270" s="1144">
        <f>IFERROR(VLOOKUP(CONCATENATE($E1270,$G1270),'LAC 103'!$A$12:$O$95,15,FALSE),0)</f>
        <v>0</v>
      </c>
      <c r="W1270" s="1145" t="str">
        <f>IFERROR(VLOOKUP(CONCATENATE($B1270,$N1270),'LAC 103'!$AI:$AQ,9,FALSE),"")</f>
        <v>Costs</v>
      </c>
      <c r="X1270" s="1146">
        <f t="shared" si="348"/>
        <v>5.936295312319726</v>
      </c>
      <c r="Y1270" s="1143">
        <f t="shared" si="359"/>
        <v>243.38810780510877</v>
      </c>
      <c r="Z1270" s="1147">
        <f t="shared" si="349"/>
        <v>300.94</v>
      </c>
      <c r="AA1270" s="1144">
        <f t="shared" si="350"/>
        <v>188.19</v>
      </c>
      <c r="AB1270" s="1144">
        <f t="shared" si="351"/>
        <v>0</v>
      </c>
      <c r="AC1270" s="1144">
        <f t="shared" si="352"/>
        <v>0</v>
      </c>
      <c r="AD1270" s="1148">
        <f t="shared" si="344"/>
        <v>243.38810780510877</v>
      </c>
      <c r="AE1270" s="1487">
        <v>0</v>
      </c>
      <c r="AF1270" s="1145">
        <f t="shared" si="353"/>
        <v>243.38810780510877</v>
      </c>
      <c r="AG1270" s="1149">
        <f>IFERROR(VLOOKUP(CONCATENATE($L1270,$N1270),'Drop List'!$G$23:$K$87,2,FALSE),0)</f>
        <v>0.69340000000000002</v>
      </c>
      <c r="AH1270" s="1150">
        <f>IFERROR(VLOOKUP(CONCATENATE($L1270,$N1270),'Drop List'!$G$23:$K$87,3,FALSE),0)</f>
        <v>0</v>
      </c>
      <c r="AI1270" s="1150">
        <f>IFERROR(VLOOKUP(CONCATENATE($L1270,$N1270),'Drop List'!$G$23:$K$87,4,FALSE),0)</f>
        <v>0</v>
      </c>
      <c r="AJ1270" s="1151">
        <f>IFERROR(VLOOKUP(CONCATENATE($L1270,$N1270),'Drop List'!$G$23:$K$87,5,FALSE),0)</f>
        <v>0.30659999999999998</v>
      </c>
      <c r="AK1270" s="1152">
        <f t="shared" si="354"/>
        <v>168.76531395206243</v>
      </c>
      <c r="AL1270" s="1153">
        <f t="shared" si="355"/>
        <v>0</v>
      </c>
      <c r="AM1270" s="1153">
        <f t="shared" si="356"/>
        <v>0</v>
      </c>
      <c r="AN1270" s="1145">
        <f t="shared" si="357"/>
        <v>74.622793853046346</v>
      </c>
      <c r="AO1270" s="1154">
        <f t="shared" si="358"/>
        <v>243.38810780510877</v>
      </c>
      <c r="AP1270" s="1147">
        <f t="shared" si="345"/>
        <v>0</v>
      </c>
      <c r="AQ1270" s="1144">
        <f t="shared" si="346"/>
        <v>0</v>
      </c>
      <c r="AR1270" s="1146">
        <f t="shared" si="347"/>
        <v>243.38810780510877</v>
      </c>
    </row>
    <row r="1271" spans="1:44" x14ac:dyDescent="0.2">
      <c r="A1271" s="1141" t="str">
        <f t="shared" si="360"/>
        <v>1562</v>
      </c>
      <c r="B1271" s="1141" t="str">
        <f>IFERROR(VLOOKUP(A1271,'LAC 103'!A:C,3,FALSE),"")</f>
        <v>OP</v>
      </c>
      <c r="C1271" s="1478" t="str">
        <f>Info!$B$8</f>
        <v>00100</v>
      </c>
      <c r="D1271" s="1474" t="s">
        <v>256</v>
      </c>
      <c r="E1271" s="1474" t="s">
        <v>95</v>
      </c>
      <c r="F1271" s="1478" t="s">
        <v>432</v>
      </c>
      <c r="G1271" s="1478" t="s">
        <v>432</v>
      </c>
      <c r="H1271" s="1474" t="s">
        <v>988</v>
      </c>
      <c r="I1271" s="1478" t="s">
        <v>811</v>
      </c>
      <c r="J1271" s="1478"/>
      <c r="K1271" s="1475" t="s">
        <v>848</v>
      </c>
      <c r="L1271" s="1474" t="s">
        <v>45</v>
      </c>
      <c r="M1271" s="1476" t="s">
        <v>1699</v>
      </c>
      <c r="N1271" s="1477" t="s">
        <v>1694</v>
      </c>
      <c r="O1271" s="1479">
        <v>1215</v>
      </c>
      <c r="P1271" s="1479"/>
      <c r="Q1271" s="1142">
        <f t="shared" si="343"/>
        <v>1215</v>
      </c>
      <c r="R1271" s="1143">
        <f>IFERROR(VLOOKUP(CONCATENATE(E1271,G1271),'LAC 103'!$A$12:$O$95,11,FALSE),0)</f>
        <v>5.936295312319726</v>
      </c>
      <c r="S1271" s="1144">
        <f>IFERROR(VLOOKUP(CONCATENATE($E1271,$G1271),'LAC 103'!$A$12:$O$95,12,FALSE),0)</f>
        <v>7.34</v>
      </c>
      <c r="T1271" s="1144">
        <f>IFERROR(VLOOKUP(CONCATENATE($E1271,$G1271),'LAC 103'!$A$12:$O$95,13,FALSE),0)</f>
        <v>4.59</v>
      </c>
      <c r="U1271" s="1144">
        <f>IFERROR(VLOOKUP(CONCATENATE($E1271,$G1271),'LAC 103'!$A$12:$O$95,14,FALSE),0)</f>
        <v>0</v>
      </c>
      <c r="V1271" s="1144">
        <f>IFERROR(VLOOKUP(CONCATENATE($E1271,$G1271),'LAC 103'!$A$12:$O$95,15,FALSE),0)</f>
        <v>0</v>
      </c>
      <c r="W1271" s="1145" t="str">
        <f>IFERROR(VLOOKUP(CONCATENATE($B1271,$N1271),'LAC 103'!$AI:$AQ,9,FALSE),"")</f>
        <v>Costs</v>
      </c>
      <c r="X1271" s="1146">
        <f t="shared" si="348"/>
        <v>5.936295312319726</v>
      </c>
      <c r="Y1271" s="1143">
        <f t="shared" si="359"/>
        <v>7212.5988044684673</v>
      </c>
      <c r="Z1271" s="1147">
        <f t="shared" si="349"/>
        <v>8918.1</v>
      </c>
      <c r="AA1271" s="1144">
        <f t="shared" si="350"/>
        <v>5576.8499999999995</v>
      </c>
      <c r="AB1271" s="1144">
        <f t="shared" si="351"/>
        <v>0</v>
      </c>
      <c r="AC1271" s="1144">
        <f t="shared" si="352"/>
        <v>0</v>
      </c>
      <c r="AD1271" s="1148">
        <f t="shared" si="344"/>
        <v>7212.5988044684673</v>
      </c>
      <c r="AE1271" s="1487">
        <v>0</v>
      </c>
      <c r="AF1271" s="1145">
        <f t="shared" si="353"/>
        <v>7212.5988044684673</v>
      </c>
      <c r="AG1271" s="1149">
        <f>IFERROR(VLOOKUP(CONCATENATE($L1271,$N1271),'Drop List'!$G$23:$K$87,2,FALSE),0)</f>
        <v>0.69340000000000002</v>
      </c>
      <c r="AH1271" s="1150">
        <f>IFERROR(VLOOKUP(CONCATENATE($L1271,$N1271),'Drop List'!$G$23:$K$87,3,FALSE),0)</f>
        <v>0.30659999999999998</v>
      </c>
      <c r="AI1271" s="1150">
        <f>IFERROR(VLOOKUP(CONCATENATE($L1271,$N1271),'Drop List'!$G$23:$K$87,4,FALSE),0)</f>
        <v>0</v>
      </c>
      <c r="AJ1271" s="1151">
        <f>IFERROR(VLOOKUP(CONCATENATE($L1271,$N1271),'Drop List'!$G$23:$K$87,5,FALSE),0)</f>
        <v>0</v>
      </c>
      <c r="AK1271" s="1152">
        <f t="shared" si="354"/>
        <v>5001.216011018435</v>
      </c>
      <c r="AL1271" s="1153">
        <f t="shared" si="355"/>
        <v>2211.3827934500318</v>
      </c>
      <c r="AM1271" s="1153">
        <f t="shared" si="356"/>
        <v>0</v>
      </c>
      <c r="AN1271" s="1145">
        <f t="shared" si="357"/>
        <v>0</v>
      </c>
      <c r="AO1271" s="1154">
        <f t="shared" si="358"/>
        <v>7212.5988044684673</v>
      </c>
      <c r="AP1271" s="1147">
        <f t="shared" si="345"/>
        <v>0</v>
      </c>
      <c r="AQ1271" s="1144">
        <f t="shared" si="346"/>
        <v>0</v>
      </c>
      <c r="AR1271" s="1146">
        <f t="shared" si="347"/>
        <v>7212.5988044684673</v>
      </c>
    </row>
    <row r="1272" spans="1:44" x14ac:dyDescent="0.2">
      <c r="A1272" s="1141" t="str">
        <f t="shared" si="360"/>
        <v>1562</v>
      </c>
      <c r="B1272" s="1141" t="str">
        <f>IFERROR(VLOOKUP(A1272,'LAC 103'!A:C,3,FALSE),"")</f>
        <v>OP</v>
      </c>
      <c r="C1272" s="1478" t="str">
        <f>Info!$B$8</f>
        <v>00100</v>
      </c>
      <c r="D1272" s="1474" t="s">
        <v>256</v>
      </c>
      <c r="E1272" s="1474" t="s">
        <v>95</v>
      </c>
      <c r="F1272" s="1478" t="s">
        <v>432</v>
      </c>
      <c r="G1272" s="1478" t="s">
        <v>432</v>
      </c>
      <c r="H1272" s="1474" t="s">
        <v>988</v>
      </c>
      <c r="I1272" s="1478" t="s">
        <v>811</v>
      </c>
      <c r="J1272" s="1478"/>
      <c r="K1272" s="1475" t="s">
        <v>848</v>
      </c>
      <c r="L1272" s="1474" t="s">
        <v>45</v>
      </c>
      <c r="M1272" s="1476" t="s">
        <v>841</v>
      </c>
      <c r="N1272" s="1477" t="s">
        <v>1695</v>
      </c>
      <c r="O1272" s="1479">
        <v>483</v>
      </c>
      <c r="P1272" s="1479"/>
      <c r="Q1272" s="1142">
        <f t="shared" si="343"/>
        <v>483</v>
      </c>
      <c r="R1272" s="1143">
        <f>IFERROR(VLOOKUP(CONCATENATE(E1272,G1272),'LAC 103'!$A$12:$O$95,11,FALSE),0)</f>
        <v>5.936295312319726</v>
      </c>
      <c r="S1272" s="1144">
        <f>IFERROR(VLOOKUP(CONCATENATE($E1272,$G1272),'LAC 103'!$A$12:$O$95,12,FALSE),0)</f>
        <v>7.34</v>
      </c>
      <c r="T1272" s="1144">
        <f>IFERROR(VLOOKUP(CONCATENATE($E1272,$G1272),'LAC 103'!$A$12:$O$95,13,FALSE),0)</f>
        <v>4.59</v>
      </c>
      <c r="U1272" s="1144">
        <f>IFERROR(VLOOKUP(CONCATENATE($E1272,$G1272),'LAC 103'!$A$12:$O$95,14,FALSE),0)</f>
        <v>0</v>
      </c>
      <c r="V1272" s="1144">
        <f>IFERROR(VLOOKUP(CONCATENATE($E1272,$G1272),'LAC 103'!$A$12:$O$95,15,FALSE),0)</f>
        <v>0</v>
      </c>
      <c r="W1272" s="1145" t="str">
        <f>IFERROR(VLOOKUP(CONCATENATE($B1272,$N1272),'LAC 103'!$AI:$AQ,9,FALSE),"")</f>
        <v>Costs</v>
      </c>
      <c r="X1272" s="1146">
        <f t="shared" si="348"/>
        <v>5.936295312319726</v>
      </c>
      <c r="Y1272" s="1143">
        <f t="shared" si="359"/>
        <v>2867.2306358504275</v>
      </c>
      <c r="Z1272" s="1147">
        <f t="shared" si="349"/>
        <v>3545.22</v>
      </c>
      <c r="AA1272" s="1144">
        <f t="shared" si="350"/>
        <v>2216.9699999999998</v>
      </c>
      <c r="AB1272" s="1144">
        <f t="shared" si="351"/>
        <v>0</v>
      </c>
      <c r="AC1272" s="1144">
        <f t="shared" si="352"/>
        <v>0</v>
      </c>
      <c r="AD1272" s="1148">
        <f t="shared" si="344"/>
        <v>2867.2306358504275</v>
      </c>
      <c r="AE1272" s="1487">
        <v>0</v>
      </c>
      <c r="AF1272" s="1145">
        <f t="shared" si="353"/>
        <v>2867.2306358504275</v>
      </c>
      <c r="AG1272" s="1149">
        <f>IFERROR(VLOOKUP(CONCATENATE($L1272,$N1272),'Drop List'!$G$23:$K$87,2,FALSE),0)</f>
        <v>0.68500000000000005</v>
      </c>
      <c r="AH1272" s="1150">
        <f>IFERROR(VLOOKUP(CONCATENATE($L1272,$N1272),'Drop List'!$G$23:$K$87,3,FALSE),0)</f>
        <v>0.31499999999999995</v>
      </c>
      <c r="AI1272" s="1150">
        <f>IFERROR(VLOOKUP(CONCATENATE($L1272,$N1272),'Drop List'!$G$23:$K$87,4,FALSE),0)</f>
        <v>0</v>
      </c>
      <c r="AJ1272" s="1151">
        <f>IFERROR(VLOOKUP(CONCATENATE($L1272,$N1272),'Drop List'!$G$23:$K$87,5,FALSE),0)</f>
        <v>0</v>
      </c>
      <c r="AK1272" s="1152">
        <f t="shared" si="354"/>
        <v>1964.052985557543</v>
      </c>
      <c r="AL1272" s="1153">
        <f t="shared" si="355"/>
        <v>903.17765029288455</v>
      </c>
      <c r="AM1272" s="1153">
        <f t="shared" si="356"/>
        <v>0</v>
      </c>
      <c r="AN1272" s="1145">
        <f t="shared" si="357"/>
        <v>0</v>
      </c>
      <c r="AO1272" s="1154">
        <f t="shared" si="358"/>
        <v>2867.2306358504275</v>
      </c>
      <c r="AP1272" s="1147">
        <f t="shared" si="345"/>
        <v>0</v>
      </c>
      <c r="AQ1272" s="1144">
        <f t="shared" si="346"/>
        <v>0</v>
      </c>
      <c r="AR1272" s="1146">
        <f t="shared" si="347"/>
        <v>2867.2306358504275</v>
      </c>
    </row>
    <row r="1273" spans="1:44" x14ac:dyDescent="0.2">
      <c r="A1273" s="1141" t="str">
        <f t="shared" si="360"/>
        <v>1562</v>
      </c>
      <c r="B1273" s="1141" t="str">
        <f>IFERROR(VLOOKUP(A1273,'LAC 103'!A:C,3,FALSE),"")</f>
        <v>OP</v>
      </c>
      <c r="C1273" s="1478" t="str">
        <f>Info!$B$8</f>
        <v>00100</v>
      </c>
      <c r="D1273" s="1474" t="s">
        <v>256</v>
      </c>
      <c r="E1273" s="1474" t="s">
        <v>95</v>
      </c>
      <c r="F1273" s="1478" t="s">
        <v>432</v>
      </c>
      <c r="G1273" s="1478" t="s">
        <v>432</v>
      </c>
      <c r="H1273" s="1474" t="s">
        <v>988</v>
      </c>
      <c r="I1273" s="1478" t="s">
        <v>811</v>
      </c>
      <c r="J1273" s="1478"/>
      <c r="K1273" s="1475" t="s">
        <v>848</v>
      </c>
      <c r="L1273" s="1474" t="s">
        <v>45</v>
      </c>
      <c r="M1273" s="1476" t="s">
        <v>840</v>
      </c>
      <c r="N1273" s="1477" t="s">
        <v>1700</v>
      </c>
      <c r="O1273" s="1479">
        <v>301</v>
      </c>
      <c r="P1273" s="1479"/>
      <c r="Q1273" s="1142">
        <f t="shared" si="343"/>
        <v>301</v>
      </c>
      <c r="R1273" s="1143">
        <f>IFERROR(VLOOKUP(CONCATENATE(E1273,G1273),'LAC 103'!$A$12:$O$95,11,FALSE),0)</f>
        <v>5.936295312319726</v>
      </c>
      <c r="S1273" s="1144">
        <f>IFERROR(VLOOKUP(CONCATENATE($E1273,$G1273),'LAC 103'!$A$12:$O$95,12,FALSE),0)</f>
        <v>7.34</v>
      </c>
      <c r="T1273" s="1144">
        <f>IFERROR(VLOOKUP(CONCATENATE($E1273,$G1273),'LAC 103'!$A$12:$O$95,13,FALSE),0)</f>
        <v>4.59</v>
      </c>
      <c r="U1273" s="1144">
        <f>IFERROR(VLOOKUP(CONCATENATE($E1273,$G1273),'LAC 103'!$A$12:$O$95,14,FALSE),0)</f>
        <v>0</v>
      </c>
      <c r="V1273" s="1144">
        <f>IFERROR(VLOOKUP(CONCATENATE($E1273,$G1273),'LAC 103'!$A$12:$O$95,15,FALSE),0)</f>
        <v>0</v>
      </c>
      <c r="W1273" s="1145" t="str">
        <f>IFERROR(VLOOKUP(CONCATENATE($B1273,$N1273),'LAC 103'!$AI:$AQ,9,FALSE),"")</f>
        <v>P.C.</v>
      </c>
      <c r="X1273" s="1146">
        <f t="shared" si="348"/>
        <v>4.59</v>
      </c>
      <c r="Y1273" s="1143">
        <f t="shared" si="359"/>
        <v>1786.8248890082375</v>
      </c>
      <c r="Z1273" s="1147">
        <f t="shared" si="349"/>
        <v>2209.34</v>
      </c>
      <c r="AA1273" s="1144">
        <f t="shared" si="350"/>
        <v>1381.59</v>
      </c>
      <c r="AB1273" s="1144">
        <f t="shared" si="351"/>
        <v>0</v>
      </c>
      <c r="AC1273" s="1144">
        <f t="shared" si="352"/>
        <v>0</v>
      </c>
      <c r="AD1273" s="1148">
        <f t="shared" si="344"/>
        <v>1381.59</v>
      </c>
      <c r="AE1273" s="1487">
        <v>0</v>
      </c>
      <c r="AF1273" s="1145">
        <f t="shared" si="353"/>
        <v>1381.59</v>
      </c>
      <c r="AG1273" s="1149">
        <f>IFERROR(VLOOKUP(CONCATENATE($L1273,$N1273),'Drop List'!$G$23:$K$87,2,FALSE),0)</f>
        <v>0.68500000000000005</v>
      </c>
      <c r="AH1273" s="1150">
        <f>IFERROR(VLOOKUP(CONCATENATE($L1273,$N1273),'Drop List'!$G$23:$K$87,3,FALSE),0)</f>
        <v>0.31499999999999995</v>
      </c>
      <c r="AI1273" s="1150">
        <f>IFERROR(VLOOKUP(CONCATENATE($L1273,$N1273),'Drop List'!$G$23:$K$87,4,FALSE),0)</f>
        <v>0</v>
      </c>
      <c r="AJ1273" s="1151">
        <f>IFERROR(VLOOKUP(CONCATENATE($L1273,$N1273),'Drop List'!$G$23:$K$87,5,FALSE),0)</f>
        <v>0</v>
      </c>
      <c r="AK1273" s="1152">
        <f t="shared" si="354"/>
        <v>946.38914999999997</v>
      </c>
      <c r="AL1273" s="1153">
        <f t="shared" si="355"/>
        <v>435.20084999999989</v>
      </c>
      <c r="AM1273" s="1153">
        <f t="shared" si="356"/>
        <v>0</v>
      </c>
      <c r="AN1273" s="1145">
        <f t="shared" si="357"/>
        <v>0</v>
      </c>
      <c r="AO1273" s="1154">
        <f t="shared" si="358"/>
        <v>1381.59</v>
      </c>
      <c r="AP1273" s="1147">
        <f t="shared" si="345"/>
        <v>0</v>
      </c>
      <c r="AQ1273" s="1144">
        <f t="shared" si="346"/>
        <v>0</v>
      </c>
      <c r="AR1273" s="1146">
        <f t="shared" si="347"/>
        <v>1381.59</v>
      </c>
    </row>
    <row r="1274" spans="1:44" x14ac:dyDescent="0.2">
      <c r="A1274" s="1141" t="str">
        <f t="shared" si="360"/>
        <v>1562</v>
      </c>
      <c r="B1274" s="1141" t="str">
        <f>IFERROR(VLOOKUP(A1274,'LAC 103'!A:C,3,FALSE),"")</f>
        <v>OP</v>
      </c>
      <c r="C1274" s="1478" t="str">
        <f>Info!$B$8</f>
        <v>00100</v>
      </c>
      <c r="D1274" s="1474" t="s">
        <v>256</v>
      </c>
      <c r="E1274" s="1474" t="s">
        <v>95</v>
      </c>
      <c r="F1274" s="1478" t="s">
        <v>432</v>
      </c>
      <c r="G1274" s="1478" t="s">
        <v>432</v>
      </c>
      <c r="H1274" s="1474" t="s">
        <v>988</v>
      </c>
      <c r="I1274" s="1478" t="s">
        <v>811</v>
      </c>
      <c r="J1274" s="1478"/>
      <c r="K1274" s="1475" t="s">
        <v>848</v>
      </c>
      <c r="L1274" s="1474" t="s">
        <v>45</v>
      </c>
      <c r="M1274" s="1476" t="s">
        <v>842</v>
      </c>
      <c r="N1274" s="1477" t="s">
        <v>1692</v>
      </c>
      <c r="O1274" s="1479">
        <v>1916</v>
      </c>
      <c r="P1274" s="1479"/>
      <c r="Q1274" s="1142">
        <f t="shared" si="343"/>
        <v>1916</v>
      </c>
      <c r="R1274" s="1143">
        <f>IFERROR(VLOOKUP(CONCATENATE(E1274,G1274),'LAC 103'!$A$12:$O$95,11,FALSE),0)</f>
        <v>5.936295312319726</v>
      </c>
      <c r="S1274" s="1144">
        <f>IFERROR(VLOOKUP(CONCATENATE($E1274,$G1274),'LAC 103'!$A$12:$O$95,12,FALSE),0)</f>
        <v>7.34</v>
      </c>
      <c r="T1274" s="1144">
        <f>IFERROR(VLOOKUP(CONCATENATE($E1274,$G1274),'LAC 103'!$A$12:$O$95,13,FALSE),0)</f>
        <v>4.59</v>
      </c>
      <c r="U1274" s="1144">
        <f>IFERROR(VLOOKUP(CONCATENATE($E1274,$G1274),'LAC 103'!$A$12:$O$95,14,FALSE),0)</f>
        <v>0</v>
      </c>
      <c r="V1274" s="1144">
        <f>IFERROR(VLOOKUP(CONCATENATE($E1274,$G1274),'LAC 103'!$A$12:$O$95,15,FALSE),0)</f>
        <v>0</v>
      </c>
      <c r="W1274" s="1145" t="str">
        <f>IFERROR(VLOOKUP(CONCATENATE($B1274,$N1274),'LAC 103'!$AI:$AQ,9,FALSE),"")</f>
        <v>Costs</v>
      </c>
      <c r="X1274" s="1146">
        <f t="shared" si="348"/>
        <v>5.936295312319726</v>
      </c>
      <c r="Y1274" s="1143">
        <f t="shared" si="359"/>
        <v>11373.941818404595</v>
      </c>
      <c r="Z1274" s="1147">
        <f t="shared" si="349"/>
        <v>14063.44</v>
      </c>
      <c r="AA1274" s="1144">
        <f t="shared" si="350"/>
        <v>8794.44</v>
      </c>
      <c r="AB1274" s="1144">
        <f t="shared" si="351"/>
        <v>0</v>
      </c>
      <c r="AC1274" s="1144">
        <f t="shared" si="352"/>
        <v>0</v>
      </c>
      <c r="AD1274" s="1148">
        <f t="shared" si="344"/>
        <v>11373.941818404595</v>
      </c>
      <c r="AE1274" s="1487">
        <v>0</v>
      </c>
      <c r="AF1274" s="1145">
        <f t="shared" si="353"/>
        <v>11373.941818404595</v>
      </c>
      <c r="AG1274" s="1149">
        <f>IFERROR(VLOOKUP(CONCATENATE($L1274,$N1274),'Drop List'!$G$23:$K$87,2,FALSE),0)</f>
        <v>0.69340000000000002</v>
      </c>
      <c r="AH1274" s="1150">
        <f>IFERROR(VLOOKUP(CONCATENATE($L1274,$N1274),'Drop List'!$G$23:$K$87,3,FALSE),0)</f>
        <v>0.30659999999999998</v>
      </c>
      <c r="AI1274" s="1150">
        <f>IFERROR(VLOOKUP(CONCATENATE($L1274,$N1274),'Drop List'!$G$23:$K$87,4,FALSE),0)</f>
        <v>0</v>
      </c>
      <c r="AJ1274" s="1151">
        <f>IFERROR(VLOOKUP(CONCATENATE($L1274,$N1274),'Drop List'!$G$23:$K$87,5,FALSE),0)</f>
        <v>0</v>
      </c>
      <c r="AK1274" s="1152">
        <f t="shared" si="354"/>
        <v>7886.691256881747</v>
      </c>
      <c r="AL1274" s="1153">
        <f t="shared" si="355"/>
        <v>3487.2505615228488</v>
      </c>
      <c r="AM1274" s="1153">
        <f t="shared" si="356"/>
        <v>0</v>
      </c>
      <c r="AN1274" s="1145">
        <f t="shared" si="357"/>
        <v>0</v>
      </c>
      <c r="AO1274" s="1154">
        <f t="shared" si="358"/>
        <v>11373.941818404595</v>
      </c>
      <c r="AP1274" s="1147">
        <f t="shared" si="345"/>
        <v>0</v>
      </c>
      <c r="AQ1274" s="1144">
        <f t="shared" si="346"/>
        <v>0</v>
      </c>
      <c r="AR1274" s="1146">
        <f t="shared" si="347"/>
        <v>11373.941818404595</v>
      </c>
    </row>
    <row r="1275" spans="1:44" x14ac:dyDescent="0.2">
      <c r="A1275" s="1141" t="str">
        <f t="shared" si="360"/>
        <v>1562</v>
      </c>
      <c r="B1275" s="1141" t="str">
        <f>IFERROR(VLOOKUP(A1275,'LAC 103'!A:C,3,FALSE),"")</f>
        <v>OP</v>
      </c>
      <c r="C1275" s="1478" t="str">
        <f>Info!$B$8</f>
        <v>00100</v>
      </c>
      <c r="D1275" s="1474" t="s">
        <v>256</v>
      </c>
      <c r="E1275" s="1474" t="s">
        <v>95</v>
      </c>
      <c r="F1275" s="1478" t="s">
        <v>432</v>
      </c>
      <c r="G1275" s="1478" t="s">
        <v>432</v>
      </c>
      <c r="H1275" s="1474" t="s">
        <v>988</v>
      </c>
      <c r="I1275" s="1478" t="s">
        <v>811</v>
      </c>
      <c r="J1275" s="1478"/>
      <c r="K1275" s="1475" t="s">
        <v>848</v>
      </c>
      <c r="L1275" s="1474" t="s">
        <v>45</v>
      </c>
      <c r="M1275" s="1476" t="s">
        <v>1698</v>
      </c>
      <c r="N1275" s="1477" t="s">
        <v>1693</v>
      </c>
      <c r="O1275" s="1479">
        <v>1152</v>
      </c>
      <c r="P1275" s="1479"/>
      <c r="Q1275" s="1142">
        <f t="shared" si="343"/>
        <v>1152</v>
      </c>
      <c r="R1275" s="1143">
        <f>IFERROR(VLOOKUP(CONCATENATE(E1275,G1275),'LAC 103'!$A$12:$O$95,11,FALSE),0)</f>
        <v>5.936295312319726</v>
      </c>
      <c r="S1275" s="1144">
        <f>IFERROR(VLOOKUP(CONCATENATE($E1275,$G1275),'LAC 103'!$A$12:$O$95,12,FALSE),0)</f>
        <v>7.34</v>
      </c>
      <c r="T1275" s="1144">
        <f>IFERROR(VLOOKUP(CONCATENATE($E1275,$G1275),'LAC 103'!$A$12:$O$95,13,FALSE),0)</f>
        <v>4.59</v>
      </c>
      <c r="U1275" s="1144">
        <f>IFERROR(VLOOKUP(CONCATENATE($E1275,$G1275),'LAC 103'!$A$12:$O$95,14,FALSE),0)</f>
        <v>0</v>
      </c>
      <c r="V1275" s="1144">
        <f>IFERROR(VLOOKUP(CONCATENATE($E1275,$G1275),'LAC 103'!$A$12:$O$95,15,FALSE),0)</f>
        <v>0</v>
      </c>
      <c r="W1275" s="1145" t="str">
        <f>IFERROR(VLOOKUP(CONCATENATE($B1275,$N1275),'LAC 103'!$AI:$AQ,9,FALSE),"")</f>
        <v>Costs</v>
      </c>
      <c r="X1275" s="1146">
        <f t="shared" si="348"/>
        <v>5.936295312319726</v>
      </c>
      <c r="Y1275" s="1143">
        <f t="shared" si="359"/>
        <v>6838.6121997923246</v>
      </c>
      <c r="Z1275" s="1147">
        <f t="shared" si="349"/>
        <v>8455.68</v>
      </c>
      <c r="AA1275" s="1144">
        <f t="shared" si="350"/>
        <v>5287.68</v>
      </c>
      <c r="AB1275" s="1144">
        <f t="shared" si="351"/>
        <v>0</v>
      </c>
      <c r="AC1275" s="1144">
        <f t="shared" si="352"/>
        <v>0</v>
      </c>
      <c r="AD1275" s="1148">
        <f t="shared" si="344"/>
        <v>6838.6121997923246</v>
      </c>
      <c r="AE1275" s="1487">
        <v>0</v>
      </c>
      <c r="AF1275" s="1145">
        <f t="shared" si="353"/>
        <v>6838.6121997923246</v>
      </c>
      <c r="AG1275" s="1149">
        <f>IFERROR(VLOOKUP(CONCATENATE($L1275,$N1275),'Drop List'!$G$23:$K$87,2,FALSE),0)</f>
        <v>0.69340000000000002</v>
      </c>
      <c r="AH1275" s="1150">
        <f>IFERROR(VLOOKUP(CONCATENATE($L1275,$N1275),'Drop List'!$G$23:$K$87,3,FALSE),0)</f>
        <v>0.30659999999999998</v>
      </c>
      <c r="AI1275" s="1150">
        <f>IFERROR(VLOOKUP(CONCATENATE($L1275,$N1275),'Drop List'!$G$23:$K$87,4,FALSE),0)</f>
        <v>0</v>
      </c>
      <c r="AJ1275" s="1151">
        <f>IFERROR(VLOOKUP(CONCATENATE($L1275,$N1275),'Drop List'!$G$23:$K$87,5,FALSE),0)</f>
        <v>0</v>
      </c>
      <c r="AK1275" s="1152">
        <f t="shared" si="354"/>
        <v>4741.8936993359985</v>
      </c>
      <c r="AL1275" s="1153">
        <f t="shared" si="355"/>
        <v>2096.7185004563266</v>
      </c>
      <c r="AM1275" s="1153">
        <f t="shared" si="356"/>
        <v>0</v>
      </c>
      <c r="AN1275" s="1145">
        <f t="shared" si="357"/>
        <v>0</v>
      </c>
      <c r="AO1275" s="1154">
        <f t="shared" si="358"/>
        <v>6838.6121997923256</v>
      </c>
      <c r="AP1275" s="1147">
        <f t="shared" si="345"/>
        <v>0</v>
      </c>
      <c r="AQ1275" s="1144">
        <f t="shared" si="346"/>
        <v>0</v>
      </c>
      <c r="AR1275" s="1146">
        <f t="shared" si="347"/>
        <v>6838.6121997923256</v>
      </c>
    </row>
    <row r="1276" spans="1:44" x14ac:dyDescent="0.2">
      <c r="A1276" s="1141" t="str">
        <f t="shared" si="360"/>
        <v>1562</v>
      </c>
      <c r="B1276" s="1141" t="str">
        <f>IFERROR(VLOOKUP(A1276,'LAC 103'!A:C,3,FALSE),"")</f>
        <v>OP</v>
      </c>
      <c r="C1276" s="1478" t="str">
        <f>Info!$B$8</f>
        <v>00100</v>
      </c>
      <c r="D1276" s="1474" t="s">
        <v>256</v>
      </c>
      <c r="E1276" s="1474" t="s">
        <v>95</v>
      </c>
      <c r="F1276" s="1478" t="s">
        <v>432</v>
      </c>
      <c r="G1276" s="1478" t="s">
        <v>432</v>
      </c>
      <c r="H1276" s="1474" t="s">
        <v>988</v>
      </c>
      <c r="I1276" s="1478" t="s">
        <v>811</v>
      </c>
      <c r="J1276" s="1478"/>
      <c r="K1276" s="1475" t="s">
        <v>849</v>
      </c>
      <c r="L1276" s="1474" t="s">
        <v>77</v>
      </c>
      <c r="M1276" s="1476" t="s">
        <v>1699</v>
      </c>
      <c r="N1276" s="1477" t="s">
        <v>1694</v>
      </c>
      <c r="O1276" s="1479">
        <v>13324</v>
      </c>
      <c r="P1276" s="1479"/>
      <c r="Q1276" s="1142">
        <f t="shared" ref="Q1276:Q1339" si="361">O1276+P1276</f>
        <v>13324</v>
      </c>
      <c r="R1276" s="1143">
        <f>IFERROR(VLOOKUP(CONCATENATE(E1276,G1276),'LAC 103'!$A$12:$O$95,11,FALSE),0)</f>
        <v>5.936295312319726</v>
      </c>
      <c r="S1276" s="1144">
        <f>IFERROR(VLOOKUP(CONCATENATE($E1276,$G1276),'LAC 103'!$A$12:$O$95,12,FALSE),0)</f>
        <v>7.34</v>
      </c>
      <c r="T1276" s="1144">
        <f>IFERROR(VLOOKUP(CONCATENATE($E1276,$G1276),'LAC 103'!$A$12:$O$95,13,FALSE),0)</f>
        <v>4.59</v>
      </c>
      <c r="U1276" s="1144">
        <f>IFERROR(VLOOKUP(CONCATENATE($E1276,$G1276),'LAC 103'!$A$12:$O$95,14,FALSE),0)</f>
        <v>0</v>
      </c>
      <c r="V1276" s="1144">
        <f>IFERROR(VLOOKUP(CONCATENATE($E1276,$G1276),'LAC 103'!$A$12:$O$95,15,FALSE),0)</f>
        <v>0</v>
      </c>
      <c r="W1276" s="1145" t="str">
        <f>IFERROR(VLOOKUP(CONCATENATE($B1276,$N1276),'LAC 103'!$AI:$AQ,9,FALSE),"")</f>
        <v>Costs</v>
      </c>
      <c r="X1276" s="1146">
        <f t="shared" si="348"/>
        <v>5.936295312319726</v>
      </c>
      <c r="Y1276" s="1143">
        <f t="shared" si="359"/>
        <v>79095.198741348024</v>
      </c>
      <c r="Z1276" s="1147">
        <f t="shared" si="349"/>
        <v>97798.16</v>
      </c>
      <c r="AA1276" s="1144">
        <f t="shared" si="350"/>
        <v>61157.159999999996</v>
      </c>
      <c r="AB1276" s="1144">
        <f t="shared" si="351"/>
        <v>0</v>
      </c>
      <c r="AC1276" s="1144">
        <f t="shared" si="352"/>
        <v>0</v>
      </c>
      <c r="AD1276" s="1148">
        <f t="shared" si="344"/>
        <v>79095.198741348024</v>
      </c>
      <c r="AE1276" s="1487">
        <v>0</v>
      </c>
      <c r="AF1276" s="1145">
        <f t="shared" si="353"/>
        <v>79095.198741348024</v>
      </c>
      <c r="AG1276" s="1149">
        <f>IFERROR(VLOOKUP(CONCATENATE($L1276,$N1276),'Drop List'!$G$23:$K$87,2,FALSE),0)</f>
        <v>0.9</v>
      </c>
      <c r="AH1276" s="1150">
        <f>IFERROR(VLOOKUP(CONCATENATE($L1276,$N1276),'Drop List'!$G$23:$K$87,3,FALSE),0)</f>
        <v>0</v>
      </c>
      <c r="AI1276" s="1150">
        <f>IFERROR(VLOOKUP(CONCATENATE($L1276,$N1276),'Drop List'!$G$23:$K$87,4,FALSE),0)</f>
        <v>0.1</v>
      </c>
      <c r="AJ1276" s="1151">
        <f>IFERROR(VLOOKUP(CONCATENATE($L1276,$N1276),'Drop List'!$G$23:$K$87,5,FALSE),0)</f>
        <v>0</v>
      </c>
      <c r="AK1276" s="1152">
        <f t="shared" si="354"/>
        <v>71185.678867213224</v>
      </c>
      <c r="AL1276" s="1153">
        <f t="shared" si="355"/>
        <v>0</v>
      </c>
      <c r="AM1276" s="1153">
        <f t="shared" si="356"/>
        <v>7909.5198741348031</v>
      </c>
      <c r="AN1276" s="1145">
        <f t="shared" si="357"/>
        <v>0</v>
      </c>
      <c r="AO1276" s="1154">
        <f t="shared" si="358"/>
        <v>79095.198741348024</v>
      </c>
      <c r="AP1276" s="1147">
        <f t="shared" si="345"/>
        <v>0</v>
      </c>
      <c r="AQ1276" s="1144">
        <f t="shared" si="346"/>
        <v>0</v>
      </c>
      <c r="AR1276" s="1146">
        <f t="shared" si="347"/>
        <v>79095.198741348024</v>
      </c>
    </row>
    <row r="1277" spans="1:44" x14ac:dyDescent="0.2">
      <c r="A1277" s="1141" t="str">
        <f t="shared" si="360"/>
        <v>1562</v>
      </c>
      <c r="B1277" s="1141" t="str">
        <f>IFERROR(VLOOKUP(A1277,'LAC 103'!A:C,3,FALSE),"")</f>
        <v>OP</v>
      </c>
      <c r="C1277" s="1478" t="str">
        <f>Info!$B$8</f>
        <v>00100</v>
      </c>
      <c r="D1277" s="1474" t="s">
        <v>256</v>
      </c>
      <c r="E1277" s="1474" t="s">
        <v>95</v>
      </c>
      <c r="F1277" s="1478" t="s">
        <v>432</v>
      </c>
      <c r="G1277" s="1478" t="s">
        <v>432</v>
      </c>
      <c r="H1277" s="1474" t="s">
        <v>988</v>
      </c>
      <c r="I1277" s="1478" t="s">
        <v>811</v>
      </c>
      <c r="J1277" s="1478"/>
      <c r="K1277" s="1475" t="s">
        <v>849</v>
      </c>
      <c r="L1277" s="1474" t="s">
        <v>77</v>
      </c>
      <c r="M1277" s="1476" t="s">
        <v>841</v>
      </c>
      <c r="N1277" s="1477" t="s">
        <v>1695</v>
      </c>
      <c r="O1277" s="1479">
        <v>6621</v>
      </c>
      <c r="P1277" s="1479"/>
      <c r="Q1277" s="1142">
        <f t="shared" si="361"/>
        <v>6621</v>
      </c>
      <c r="R1277" s="1143">
        <f>IFERROR(VLOOKUP(CONCATENATE(E1277,G1277),'LAC 103'!$A$12:$O$95,11,FALSE),0)</f>
        <v>5.936295312319726</v>
      </c>
      <c r="S1277" s="1144">
        <f>IFERROR(VLOOKUP(CONCATENATE($E1277,$G1277),'LAC 103'!$A$12:$O$95,12,FALSE),0)</f>
        <v>7.34</v>
      </c>
      <c r="T1277" s="1144">
        <f>IFERROR(VLOOKUP(CONCATENATE($E1277,$G1277),'LAC 103'!$A$12:$O$95,13,FALSE),0)</f>
        <v>4.59</v>
      </c>
      <c r="U1277" s="1144">
        <f>IFERROR(VLOOKUP(CONCATENATE($E1277,$G1277),'LAC 103'!$A$12:$O$95,14,FALSE),0)</f>
        <v>0</v>
      </c>
      <c r="V1277" s="1144">
        <f>IFERROR(VLOOKUP(CONCATENATE($E1277,$G1277),'LAC 103'!$A$12:$O$95,15,FALSE),0)</f>
        <v>0</v>
      </c>
      <c r="W1277" s="1145" t="str">
        <f>IFERROR(VLOOKUP(CONCATENATE($B1277,$N1277),'LAC 103'!$AI:$AQ,9,FALSE),"")</f>
        <v>Costs</v>
      </c>
      <c r="X1277" s="1146">
        <f t="shared" si="348"/>
        <v>5.936295312319726</v>
      </c>
      <c r="Y1277" s="1143">
        <f t="shared" si="359"/>
        <v>39304.211262868906</v>
      </c>
      <c r="Z1277" s="1147">
        <f t="shared" si="349"/>
        <v>48598.14</v>
      </c>
      <c r="AA1277" s="1144">
        <f t="shared" si="350"/>
        <v>30390.39</v>
      </c>
      <c r="AB1277" s="1144">
        <f t="shared" si="351"/>
        <v>0</v>
      </c>
      <c r="AC1277" s="1144">
        <f t="shared" si="352"/>
        <v>0</v>
      </c>
      <c r="AD1277" s="1148">
        <f t="shared" si="344"/>
        <v>39304.211262868906</v>
      </c>
      <c r="AE1277" s="1487">
        <v>0</v>
      </c>
      <c r="AF1277" s="1145">
        <f t="shared" si="353"/>
        <v>39304.211262868906</v>
      </c>
      <c r="AG1277" s="1149">
        <f>IFERROR(VLOOKUP(CONCATENATE($L1277,$N1277),'Drop List'!$G$23:$K$87,2,FALSE),0)</f>
        <v>0.9</v>
      </c>
      <c r="AH1277" s="1150">
        <f>IFERROR(VLOOKUP(CONCATENATE($L1277,$N1277),'Drop List'!$G$23:$K$87,3,FALSE),0)</f>
        <v>0</v>
      </c>
      <c r="AI1277" s="1150">
        <f>IFERROR(VLOOKUP(CONCATENATE($L1277,$N1277),'Drop List'!$G$23:$K$87,4,FALSE),0)</f>
        <v>0.1</v>
      </c>
      <c r="AJ1277" s="1151">
        <f>IFERROR(VLOOKUP(CONCATENATE($L1277,$N1277),'Drop List'!$G$23:$K$87,5,FALSE),0)</f>
        <v>0</v>
      </c>
      <c r="AK1277" s="1152">
        <f t="shared" si="354"/>
        <v>35373.790136582014</v>
      </c>
      <c r="AL1277" s="1153">
        <f t="shared" si="355"/>
        <v>0</v>
      </c>
      <c r="AM1277" s="1153">
        <f t="shared" si="356"/>
        <v>3930.4211262868907</v>
      </c>
      <c r="AN1277" s="1145">
        <f t="shared" si="357"/>
        <v>0</v>
      </c>
      <c r="AO1277" s="1154">
        <f t="shared" si="358"/>
        <v>39304.211262868906</v>
      </c>
      <c r="AP1277" s="1147">
        <f t="shared" si="345"/>
        <v>0</v>
      </c>
      <c r="AQ1277" s="1144">
        <f t="shared" si="346"/>
        <v>0</v>
      </c>
      <c r="AR1277" s="1146">
        <f t="shared" si="347"/>
        <v>39304.211262868906</v>
      </c>
    </row>
    <row r="1278" spans="1:44" x14ac:dyDescent="0.2">
      <c r="A1278" s="1141" t="str">
        <f t="shared" si="360"/>
        <v>1562</v>
      </c>
      <c r="B1278" s="1141" t="str">
        <f>IFERROR(VLOOKUP(A1278,'LAC 103'!A:C,3,FALSE),"")</f>
        <v>OP</v>
      </c>
      <c r="C1278" s="1478" t="str">
        <f>Info!$B$8</f>
        <v>00100</v>
      </c>
      <c r="D1278" s="1474" t="s">
        <v>256</v>
      </c>
      <c r="E1278" s="1474" t="s">
        <v>95</v>
      </c>
      <c r="F1278" s="1478" t="s">
        <v>432</v>
      </c>
      <c r="G1278" s="1478" t="s">
        <v>432</v>
      </c>
      <c r="H1278" s="1474" t="s">
        <v>988</v>
      </c>
      <c r="I1278" s="1478" t="s">
        <v>811</v>
      </c>
      <c r="J1278" s="1478"/>
      <c r="K1278" s="1475" t="s">
        <v>849</v>
      </c>
      <c r="L1278" s="1474" t="s">
        <v>77</v>
      </c>
      <c r="M1278" s="1476" t="s">
        <v>840</v>
      </c>
      <c r="N1278" s="1477" t="s">
        <v>1700</v>
      </c>
      <c r="O1278" s="1479">
        <v>7186</v>
      </c>
      <c r="P1278" s="1479"/>
      <c r="Q1278" s="1142">
        <f t="shared" si="361"/>
        <v>7186</v>
      </c>
      <c r="R1278" s="1143">
        <f>IFERROR(VLOOKUP(CONCATENATE(E1278,G1278),'LAC 103'!$A$12:$O$95,11,FALSE),0)</f>
        <v>5.936295312319726</v>
      </c>
      <c r="S1278" s="1144">
        <f>IFERROR(VLOOKUP(CONCATENATE($E1278,$G1278),'LAC 103'!$A$12:$O$95,12,FALSE),0)</f>
        <v>7.34</v>
      </c>
      <c r="T1278" s="1144">
        <f>IFERROR(VLOOKUP(CONCATENATE($E1278,$G1278),'LAC 103'!$A$12:$O$95,13,FALSE),0)</f>
        <v>4.59</v>
      </c>
      <c r="U1278" s="1144">
        <f>IFERROR(VLOOKUP(CONCATENATE($E1278,$G1278),'LAC 103'!$A$12:$O$95,14,FALSE),0)</f>
        <v>0</v>
      </c>
      <c r="V1278" s="1144">
        <f>IFERROR(VLOOKUP(CONCATENATE($E1278,$G1278),'LAC 103'!$A$12:$O$95,15,FALSE),0)</f>
        <v>0</v>
      </c>
      <c r="W1278" s="1145" t="str">
        <f>IFERROR(VLOOKUP(CONCATENATE($B1278,$N1278),'LAC 103'!$AI:$AQ,9,FALSE),"")</f>
        <v>P.C.</v>
      </c>
      <c r="X1278" s="1146">
        <f t="shared" si="348"/>
        <v>4.59</v>
      </c>
      <c r="Y1278" s="1143">
        <f t="shared" si="359"/>
        <v>42658.218114329553</v>
      </c>
      <c r="Z1278" s="1147">
        <f t="shared" si="349"/>
        <v>52745.24</v>
      </c>
      <c r="AA1278" s="1144">
        <f t="shared" si="350"/>
        <v>32983.74</v>
      </c>
      <c r="AB1278" s="1144">
        <f t="shared" si="351"/>
        <v>0</v>
      </c>
      <c r="AC1278" s="1144">
        <f t="shared" si="352"/>
        <v>0</v>
      </c>
      <c r="AD1278" s="1148">
        <f t="shared" si="344"/>
        <v>32983.74</v>
      </c>
      <c r="AE1278" s="1487">
        <v>0</v>
      </c>
      <c r="AF1278" s="1145">
        <f t="shared" si="353"/>
        <v>32983.74</v>
      </c>
      <c r="AG1278" s="1149">
        <f>IFERROR(VLOOKUP(CONCATENATE($L1278,$N1278),'Drop List'!$G$23:$K$87,2,FALSE),0)</f>
        <v>0.9</v>
      </c>
      <c r="AH1278" s="1150">
        <f>IFERROR(VLOOKUP(CONCATENATE($L1278,$N1278),'Drop List'!$G$23:$K$87,3,FALSE),0)</f>
        <v>0</v>
      </c>
      <c r="AI1278" s="1150">
        <f>IFERROR(VLOOKUP(CONCATENATE($L1278,$N1278),'Drop List'!$G$23:$K$87,4,FALSE),0)</f>
        <v>0.1</v>
      </c>
      <c r="AJ1278" s="1151">
        <f>IFERROR(VLOOKUP(CONCATENATE($L1278,$N1278),'Drop List'!$G$23:$K$87,5,FALSE),0)</f>
        <v>0</v>
      </c>
      <c r="AK1278" s="1152">
        <f t="shared" si="354"/>
        <v>29685.365999999998</v>
      </c>
      <c r="AL1278" s="1153">
        <f t="shared" si="355"/>
        <v>0</v>
      </c>
      <c r="AM1278" s="1153">
        <f t="shared" si="356"/>
        <v>3298.3739999999998</v>
      </c>
      <c r="AN1278" s="1145">
        <f t="shared" si="357"/>
        <v>0</v>
      </c>
      <c r="AO1278" s="1154">
        <f t="shared" si="358"/>
        <v>32983.74</v>
      </c>
      <c r="AP1278" s="1147">
        <f t="shared" si="345"/>
        <v>0</v>
      </c>
      <c r="AQ1278" s="1144">
        <f t="shared" si="346"/>
        <v>0</v>
      </c>
      <c r="AR1278" s="1146">
        <f t="shared" si="347"/>
        <v>32983.74</v>
      </c>
    </row>
    <row r="1279" spans="1:44" x14ac:dyDescent="0.2">
      <c r="A1279" s="1141" t="str">
        <f t="shared" si="360"/>
        <v>1562</v>
      </c>
      <c r="B1279" s="1141" t="str">
        <f>IFERROR(VLOOKUP(A1279,'LAC 103'!A:C,3,FALSE),"")</f>
        <v>OP</v>
      </c>
      <c r="C1279" s="1478" t="str">
        <f>Info!$B$8</f>
        <v>00100</v>
      </c>
      <c r="D1279" s="1474" t="s">
        <v>256</v>
      </c>
      <c r="E1279" s="1474" t="s">
        <v>95</v>
      </c>
      <c r="F1279" s="1478" t="s">
        <v>432</v>
      </c>
      <c r="G1279" s="1478" t="s">
        <v>432</v>
      </c>
      <c r="H1279" s="1474" t="s">
        <v>988</v>
      </c>
      <c r="I1279" s="1478" t="s">
        <v>811</v>
      </c>
      <c r="J1279" s="1478"/>
      <c r="K1279" s="1475" t="s">
        <v>849</v>
      </c>
      <c r="L1279" s="1474" t="s">
        <v>77</v>
      </c>
      <c r="M1279" s="1476" t="s">
        <v>842</v>
      </c>
      <c r="N1279" s="1477" t="s">
        <v>1692</v>
      </c>
      <c r="O1279" s="1479">
        <v>10480</v>
      </c>
      <c r="P1279" s="1479"/>
      <c r="Q1279" s="1142">
        <f t="shared" si="361"/>
        <v>10480</v>
      </c>
      <c r="R1279" s="1143">
        <f>IFERROR(VLOOKUP(CONCATENATE(E1279,G1279),'LAC 103'!$A$12:$O$95,11,FALSE),0)</f>
        <v>5.936295312319726</v>
      </c>
      <c r="S1279" s="1144">
        <f>IFERROR(VLOOKUP(CONCATENATE($E1279,$G1279),'LAC 103'!$A$12:$O$95,12,FALSE),0)</f>
        <v>7.34</v>
      </c>
      <c r="T1279" s="1144">
        <f>IFERROR(VLOOKUP(CONCATENATE($E1279,$G1279),'LAC 103'!$A$12:$O$95,13,FALSE),0)</f>
        <v>4.59</v>
      </c>
      <c r="U1279" s="1144">
        <f>IFERROR(VLOOKUP(CONCATENATE($E1279,$G1279),'LAC 103'!$A$12:$O$95,14,FALSE),0)</f>
        <v>0</v>
      </c>
      <c r="V1279" s="1144">
        <f>IFERROR(VLOOKUP(CONCATENATE($E1279,$G1279),'LAC 103'!$A$12:$O$95,15,FALSE),0)</f>
        <v>0</v>
      </c>
      <c r="W1279" s="1145" t="str">
        <f>IFERROR(VLOOKUP(CONCATENATE($B1279,$N1279),'LAC 103'!$AI:$AQ,9,FALSE),"")</f>
        <v>Costs</v>
      </c>
      <c r="X1279" s="1146">
        <f t="shared" si="348"/>
        <v>5.936295312319726</v>
      </c>
      <c r="Y1279" s="1143">
        <f t="shared" si="359"/>
        <v>62212.374873110726</v>
      </c>
      <c r="Z1279" s="1147">
        <f t="shared" si="349"/>
        <v>76923.199999999997</v>
      </c>
      <c r="AA1279" s="1144">
        <f t="shared" si="350"/>
        <v>48103.199999999997</v>
      </c>
      <c r="AB1279" s="1144">
        <f t="shared" si="351"/>
        <v>0</v>
      </c>
      <c r="AC1279" s="1144">
        <f t="shared" si="352"/>
        <v>0</v>
      </c>
      <c r="AD1279" s="1148">
        <f t="shared" si="344"/>
        <v>62212.374873110726</v>
      </c>
      <c r="AE1279" s="1487">
        <v>0</v>
      </c>
      <c r="AF1279" s="1145">
        <f t="shared" si="353"/>
        <v>62212.374873110726</v>
      </c>
      <c r="AG1279" s="1149">
        <f>IFERROR(VLOOKUP(CONCATENATE($L1279,$N1279),'Drop List'!$G$23:$K$87,2,FALSE),0)</f>
        <v>0.9</v>
      </c>
      <c r="AH1279" s="1150">
        <f>IFERROR(VLOOKUP(CONCATENATE($L1279,$N1279),'Drop List'!$G$23:$K$87,3,FALSE),0)</f>
        <v>0</v>
      </c>
      <c r="AI1279" s="1150">
        <f>IFERROR(VLOOKUP(CONCATENATE($L1279,$N1279),'Drop List'!$G$23:$K$87,4,FALSE),0)</f>
        <v>0.1</v>
      </c>
      <c r="AJ1279" s="1151">
        <f>IFERROR(VLOOKUP(CONCATENATE($L1279,$N1279),'Drop List'!$G$23:$K$87,5,FALSE),0)</f>
        <v>0</v>
      </c>
      <c r="AK1279" s="1152">
        <f t="shared" si="354"/>
        <v>55991.137385799651</v>
      </c>
      <c r="AL1279" s="1153">
        <f t="shared" si="355"/>
        <v>0</v>
      </c>
      <c r="AM1279" s="1153">
        <f t="shared" si="356"/>
        <v>6221.237487311073</v>
      </c>
      <c r="AN1279" s="1145">
        <f t="shared" si="357"/>
        <v>0</v>
      </c>
      <c r="AO1279" s="1154">
        <f t="shared" si="358"/>
        <v>62212.374873110726</v>
      </c>
      <c r="AP1279" s="1147">
        <f t="shared" si="345"/>
        <v>0</v>
      </c>
      <c r="AQ1279" s="1144">
        <f t="shared" si="346"/>
        <v>0</v>
      </c>
      <c r="AR1279" s="1146">
        <f t="shared" si="347"/>
        <v>62212.374873110726</v>
      </c>
    </row>
    <row r="1280" spans="1:44" x14ac:dyDescent="0.2">
      <c r="A1280" s="1141" t="str">
        <f t="shared" si="360"/>
        <v>1562</v>
      </c>
      <c r="B1280" s="1141" t="str">
        <f>IFERROR(VLOOKUP(A1280,'LAC 103'!A:C,3,FALSE),"")</f>
        <v>OP</v>
      </c>
      <c r="C1280" s="1478" t="str">
        <f>Info!$B$8</f>
        <v>00100</v>
      </c>
      <c r="D1280" s="1474" t="s">
        <v>256</v>
      </c>
      <c r="E1280" s="1474" t="s">
        <v>95</v>
      </c>
      <c r="F1280" s="1478" t="s">
        <v>432</v>
      </c>
      <c r="G1280" s="1478" t="s">
        <v>432</v>
      </c>
      <c r="H1280" s="1474" t="s">
        <v>988</v>
      </c>
      <c r="I1280" s="1478" t="s">
        <v>811</v>
      </c>
      <c r="J1280" s="1478"/>
      <c r="K1280" s="1475" t="s">
        <v>849</v>
      </c>
      <c r="L1280" s="1474" t="s">
        <v>77</v>
      </c>
      <c r="M1280" s="1476" t="s">
        <v>1698</v>
      </c>
      <c r="N1280" s="1477" t="s">
        <v>1693</v>
      </c>
      <c r="O1280" s="1479">
        <v>11902</v>
      </c>
      <c r="P1280" s="1479"/>
      <c r="Q1280" s="1142">
        <f t="shared" si="361"/>
        <v>11902</v>
      </c>
      <c r="R1280" s="1143">
        <f>IFERROR(VLOOKUP(CONCATENATE(E1280,G1280),'LAC 103'!$A$12:$O$95,11,FALSE),0)</f>
        <v>5.936295312319726</v>
      </c>
      <c r="S1280" s="1144">
        <f>IFERROR(VLOOKUP(CONCATENATE($E1280,$G1280),'LAC 103'!$A$12:$O$95,12,FALSE),0)</f>
        <v>7.34</v>
      </c>
      <c r="T1280" s="1144">
        <f>IFERROR(VLOOKUP(CONCATENATE($E1280,$G1280),'LAC 103'!$A$12:$O$95,13,FALSE),0)</f>
        <v>4.59</v>
      </c>
      <c r="U1280" s="1144">
        <f>IFERROR(VLOOKUP(CONCATENATE($E1280,$G1280),'LAC 103'!$A$12:$O$95,14,FALSE),0)</f>
        <v>0</v>
      </c>
      <c r="V1280" s="1144">
        <f>IFERROR(VLOOKUP(CONCATENATE($E1280,$G1280),'LAC 103'!$A$12:$O$95,15,FALSE),0)</f>
        <v>0</v>
      </c>
      <c r="W1280" s="1145" t="str">
        <f>IFERROR(VLOOKUP(CONCATENATE($B1280,$N1280),'LAC 103'!$AI:$AQ,9,FALSE),"")</f>
        <v>Costs</v>
      </c>
      <c r="X1280" s="1146">
        <f t="shared" si="348"/>
        <v>5.936295312319726</v>
      </c>
      <c r="Y1280" s="1143">
        <f t="shared" si="359"/>
        <v>70653.786807229379</v>
      </c>
      <c r="Z1280" s="1147">
        <f t="shared" si="349"/>
        <v>87360.68</v>
      </c>
      <c r="AA1280" s="1144">
        <f t="shared" si="350"/>
        <v>54630.18</v>
      </c>
      <c r="AB1280" s="1144">
        <f t="shared" si="351"/>
        <v>0</v>
      </c>
      <c r="AC1280" s="1144">
        <f t="shared" si="352"/>
        <v>0</v>
      </c>
      <c r="AD1280" s="1148">
        <f t="shared" si="344"/>
        <v>70653.786807229379</v>
      </c>
      <c r="AE1280" s="1487">
        <v>0</v>
      </c>
      <c r="AF1280" s="1145">
        <f t="shared" si="353"/>
        <v>70653.786807229379</v>
      </c>
      <c r="AG1280" s="1149">
        <f>IFERROR(VLOOKUP(CONCATENATE($L1280,$N1280),'Drop List'!$G$23:$K$87,2,FALSE),0)</f>
        <v>0.9</v>
      </c>
      <c r="AH1280" s="1150">
        <f>IFERROR(VLOOKUP(CONCATENATE($L1280,$N1280),'Drop List'!$G$23:$K$87,3,FALSE),0)</f>
        <v>0</v>
      </c>
      <c r="AI1280" s="1150">
        <f>IFERROR(VLOOKUP(CONCATENATE($L1280,$N1280),'Drop List'!$G$23:$K$87,4,FALSE),0)</f>
        <v>0.1</v>
      </c>
      <c r="AJ1280" s="1151">
        <f>IFERROR(VLOOKUP(CONCATENATE($L1280,$N1280),'Drop List'!$G$23:$K$87,5,FALSE),0)</f>
        <v>0</v>
      </c>
      <c r="AK1280" s="1152">
        <f t="shared" si="354"/>
        <v>63588.408126506445</v>
      </c>
      <c r="AL1280" s="1153">
        <f t="shared" si="355"/>
        <v>0</v>
      </c>
      <c r="AM1280" s="1153">
        <f t="shared" si="356"/>
        <v>7065.378680722938</v>
      </c>
      <c r="AN1280" s="1145">
        <f t="shared" si="357"/>
        <v>0</v>
      </c>
      <c r="AO1280" s="1154">
        <f t="shared" si="358"/>
        <v>70653.786807229379</v>
      </c>
      <c r="AP1280" s="1147">
        <f t="shared" si="345"/>
        <v>0</v>
      </c>
      <c r="AQ1280" s="1144">
        <f t="shared" si="346"/>
        <v>0</v>
      </c>
      <c r="AR1280" s="1146">
        <f t="shared" si="347"/>
        <v>70653.786807229379</v>
      </c>
    </row>
    <row r="1281" spans="1:44" x14ac:dyDescent="0.2">
      <c r="A1281" s="1141" t="str">
        <f t="shared" si="360"/>
        <v>1562</v>
      </c>
      <c r="B1281" s="1141" t="str">
        <f>IFERROR(VLOOKUP(A1281,'LAC 103'!A:C,3,FALSE),"")</f>
        <v>OP</v>
      </c>
      <c r="C1281" s="1478" t="str">
        <f>Info!$B$8</f>
        <v>00100</v>
      </c>
      <c r="D1281" s="1474" t="s">
        <v>256</v>
      </c>
      <c r="E1281" s="1474" t="s">
        <v>95</v>
      </c>
      <c r="F1281" s="1478" t="s">
        <v>432</v>
      </c>
      <c r="G1281" s="1478" t="s">
        <v>432</v>
      </c>
      <c r="H1281" s="1474" t="s">
        <v>988</v>
      </c>
      <c r="I1281" s="1478" t="s">
        <v>811</v>
      </c>
      <c r="J1281" s="1478"/>
      <c r="K1281" s="1475" t="s">
        <v>971</v>
      </c>
      <c r="L1281" s="1474" t="s">
        <v>332</v>
      </c>
      <c r="M1281" s="1476" t="s">
        <v>1699</v>
      </c>
      <c r="N1281" s="1477" t="s">
        <v>1694</v>
      </c>
      <c r="O1281" s="1479">
        <v>340</v>
      </c>
      <c r="P1281" s="1479"/>
      <c r="Q1281" s="1142">
        <f t="shared" si="361"/>
        <v>340</v>
      </c>
      <c r="R1281" s="1143">
        <f>IFERROR(VLOOKUP(CONCATENATE(E1281,G1281),'LAC 103'!$A$12:$O$95,11,FALSE),0)</f>
        <v>5.936295312319726</v>
      </c>
      <c r="S1281" s="1144">
        <f>IFERROR(VLOOKUP(CONCATENATE($E1281,$G1281),'LAC 103'!$A$12:$O$95,12,FALSE),0)</f>
        <v>7.34</v>
      </c>
      <c r="T1281" s="1144">
        <f>IFERROR(VLOOKUP(CONCATENATE($E1281,$G1281),'LAC 103'!$A$12:$O$95,13,FALSE),0)</f>
        <v>4.59</v>
      </c>
      <c r="U1281" s="1144">
        <f>IFERROR(VLOOKUP(CONCATENATE($E1281,$G1281),'LAC 103'!$A$12:$O$95,14,FALSE),0)</f>
        <v>0</v>
      </c>
      <c r="V1281" s="1144">
        <f>IFERROR(VLOOKUP(CONCATENATE($E1281,$G1281),'LAC 103'!$A$12:$O$95,15,FALSE),0)</f>
        <v>0</v>
      </c>
      <c r="W1281" s="1145" t="str">
        <f>IFERROR(VLOOKUP(CONCATENATE($B1281,$N1281),'LAC 103'!$AI:$AQ,9,FALSE),"")</f>
        <v>Costs</v>
      </c>
      <c r="X1281" s="1146">
        <f t="shared" si="348"/>
        <v>5.936295312319726</v>
      </c>
      <c r="Y1281" s="1143">
        <f t="shared" si="359"/>
        <v>2018.3404061887068</v>
      </c>
      <c r="Z1281" s="1147">
        <f t="shared" si="349"/>
        <v>2495.6</v>
      </c>
      <c r="AA1281" s="1144">
        <f t="shared" si="350"/>
        <v>1560.6</v>
      </c>
      <c r="AB1281" s="1144">
        <f t="shared" si="351"/>
        <v>0</v>
      </c>
      <c r="AC1281" s="1144">
        <f t="shared" si="352"/>
        <v>0</v>
      </c>
      <c r="AD1281" s="1148">
        <f t="shared" si="344"/>
        <v>2018.3404061887068</v>
      </c>
      <c r="AE1281" s="1487">
        <v>0</v>
      </c>
      <c r="AF1281" s="1145">
        <f t="shared" si="353"/>
        <v>2018.3404061887068</v>
      </c>
      <c r="AG1281" s="1149">
        <f>IFERROR(VLOOKUP(CONCATENATE($L1281,$N1281),'Drop List'!$G$23:$K$87,2,FALSE),0)</f>
        <v>0</v>
      </c>
      <c r="AH1281" s="1150">
        <f>IFERROR(VLOOKUP(CONCATENATE($L1281,$N1281),'Drop List'!$G$23:$K$87,3,FALSE),0)</f>
        <v>0</v>
      </c>
      <c r="AI1281" s="1150">
        <f>IFERROR(VLOOKUP(CONCATENATE($L1281,$N1281),'Drop List'!$G$23:$K$87,4,FALSE),0)</f>
        <v>0</v>
      </c>
      <c r="AJ1281" s="1151">
        <f>IFERROR(VLOOKUP(CONCATENATE($L1281,$N1281),'Drop List'!$G$23:$K$87,5,FALSE),0)</f>
        <v>0</v>
      </c>
      <c r="AK1281" s="1152">
        <f t="shared" si="354"/>
        <v>0</v>
      </c>
      <c r="AL1281" s="1153">
        <f t="shared" si="355"/>
        <v>0</v>
      </c>
      <c r="AM1281" s="1153">
        <f t="shared" si="356"/>
        <v>0</v>
      </c>
      <c r="AN1281" s="1145">
        <f t="shared" si="357"/>
        <v>0</v>
      </c>
      <c r="AO1281" s="1154">
        <f t="shared" si="358"/>
        <v>0</v>
      </c>
      <c r="AP1281" s="1147">
        <f t="shared" si="345"/>
        <v>2018.3404061887068</v>
      </c>
      <c r="AQ1281" s="1144">
        <f t="shared" si="346"/>
        <v>0</v>
      </c>
      <c r="AR1281" s="1146">
        <f t="shared" si="347"/>
        <v>2018.3404061887068</v>
      </c>
    </row>
    <row r="1282" spans="1:44" x14ac:dyDescent="0.2">
      <c r="A1282" s="1141" t="str">
        <f t="shared" si="360"/>
        <v>1562</v>
      </c>
      <c r="B1282" s="1141" t="str">
        <f>IFERROR(VLOOKUP(A1282,'LAC 103'!A:C,3,FALSE),"")</f>
        <v>OP</v>
      </c>
      <c r="C1282" s="1478" t="str">
        <f>Info!$B$8</f>
        <v>00100</v>
      </c>
      <c r="D1282" s="1474" t="s">
        <v>256</v>
      </c>
      <c r="E1282" s="1474" t="s">
        <v>95</v>
      </c>
      <c r="F1282" s="1478" t="s">
        <v>432</v>
      </c>
      <c r="G1282" s="1478" t="s">
        <v>432</v>
      </c>
      <c r="H1282" s="1474" t="s">
        <v>988</v>
      </c>
      <c r="I1282" s="1478" t="s">
        <v>811</v>
      </c>
      <c r="J1282" s="1478"/>
      <c r="K1282" s="1475" t="s">
        <v>971</v>
      </c>
      <c r="L1282" s="1474" t="s">
        <v>332</v>
      </c>
      <c r="M1282" s="1476" t="s">
        <v>841</v>
      </c>
      <c r="N1282" s="1477" t="s">
        <v>1695</v>
      </c>
      <c r="O1282" s="1479">
        <v>158</v>
      </c>
      <c r="P1282" s="1479"/>
      <c r="Q1282" s="1142">
        <f t="shared" si="361"/>
        <v>158</v>
      </c>
      <c r="R1282" s="1143">
        <f>IFERROR(VLOOKUP(CONCATENATE(E1282,G1282),'LAC 103'!$A$12:$O$95,11,FALSE),0)</f>
        <v>5.936295312319726</v>
      </c>
      <c r="S1282" s="1144">
        <f>IFERROR(VLOOKUP(CONCATENATE($E1282,$G1282),'LAC 103'!$A$12:$O$95,12,FALSE),0)</f>
        <v>7.34</v>
      </c>
      <c r="T1282" s="1144">
        <f>IFERROR(VLOOKUP(CONCATENATE($E1282,$G1282),'LAC 103'!$A$12:$O$95,13,FALSE),0)</f>
        <v>4.59</v>
      </c>
      <c r="U1282" s="1144">
        <f>IFERROR(VLOOKUP(CONCATENATE($E1282,$G1282),'LAC 103'!$A$12:$O$95,14,FALSE),0)</f>
        <v>0</v>
      </c>
      <c r="V1282" s="1144">
        <f>IFERROR(VLOOKUP(CONCATENATE($E1282,$G1282),'LAC 103'!$A$12:$O$95,15,FALSE),0)</f>
        <v>0</v>
      </c>
      <c r="W1282" s="1145" t="str">
        <f>IFERROR(VLOOKUP(CONCATENATE($B1282,$N1282),'LAC 103'!$AI:$AQ,9,FALSE),"")</f>
        <v>Costs</v>
      </c>
      <c r="X1282" s="1146">
        <f t="shared" si="348"/>
        <v>5.936295312319726</v>
      </c>
      <c r="Y1282" s="1143">
        <f t="shared" si="359"/>
        <v>937.9346593465167</v>
      </c>
      <c r="Z1282" s="1147">
        <f t="shared" si="349"/>
        <v>1159.72</v>
      </c>
      <c r="AA1282" s="1144">
        <f t="shared" si="350"/>
        <v>725.22</v>
      </c>
      <c r="AB1282" s="1144">
        <f t="shared" si="351"/>
        <v>0</v>
      </c>
      <c r="AC1282" s="1144">
        <f t="shared" si="352"/>
        <v>0</v>
      </c>
      <c r="AD1282" s="1148">
        <f t="shared" si="344"/>
        <v>937.9346593465167</v>
      </c>
      <c r="AE1282" s="1487">
        <v>0</v>
      </c>
      <c r="AF1282" s="1145">
        <f t="shared" si="353"/>
        <v>937.9346593465167</v>
      </c>
      <c r="AG1282" s="1149">
        <f>IFERROR(VLOOKUP(CONCATENATE($L1282,$N1282),'Drop List'!$G$23:$K$87,2,FALSE),0)</f>
        <v>0</v>
      </c>
      <c r="AH1282" s="1150">
        <f>IFERROR(VLOOKUP(CONCATENATE($L1282,$N1282),'Drop List'!$G$23:$K$87,3,FALSE),0)</f>
        <v>0</v>
      </c>
      <c r="AI1282" s="1150">
        <f>IFERROR(VLOOKUP(CONCATENATE($L1282,$N1282),'Drop List'!$G$23:$K$87,4,FALSE),0)</f>
        <v>0</v>
      </c>
      <c r="AJ1282" s="1151">
        <f>IFERROR(VLOOKUP(CONCATENATE($L1282,$N1282),'Drop List'!$G$23:$K$87,5,FALSE),0)</f>
        <v>0</v>
      </c>
      <c r="AK1282" s="1152">
        <f t="shared" si="354"/>
        <v>0</v>
      </c>
      <c r="AL1282" s="1153">
        <f t="shared" si="355"/>
        <v>0</v>
      </c>
      <c r="AM1282" s="1153">
        <f t="shared" si="356"/>
        <v>0</v>
      </c>
      <c r="AN1282" s="1145">
        <f t="shared" si="357"/>
        <v>0</v>
      </c>
      <c r="AO1282" s="1154">
        <f t="shared" si="358"/>
        <v>0</v>
      </c>
      <c r="AP1282" s="1147">
        <f t="shared" si="345"/>
        <v>937.9346593465167</v>
      </c>
      <c r="AQ1282" s="1144">
        <f t="shared" si="346"/>
        <v>0</v>
      </c>
      <c r="AR1282" s="1146">
        <f t="shared" si="347"/>
        <v>937.9346593465167</v>
      </c>
    </row>
    <row r="1283" spans="1:44" x14ac:dyDescent="0.2">
      <c r="A1283" s="1141" t="str">
        <f t="shared" si="360"/>
        <v>1562</v>
      </c>
      <c r="B1283" s="1141" t="str">
        <f>IFERROR(VLOOKUP(A1283,'LAC 103'!A:C,3,FALSE),"")</f>
        <v>OP</v>
      </c>
      <c r="C1283" s="1478" t="str">
        <f>Info!$B$8</f>
        <v>00100</v>
      </c>
      <c r="D1283" s="1474" t="s">
        <v>256</v>
      </c>
      <c r="E1283" s="1474" t="s">
        <v>95</v>
      </c>
      <c r="F1283" s="1478" t="s">
        <v>432</v>
      </c>
      <c r="G1283" s="1478" t="s">
        <v>432</v>
      </c>
      <c r="H1283" s="1474" t="s">
        <v>988</v>
      </c>
      <c r="I1283" s="1478" t="s">
        <v>811</v>
      </c>
      <c r="J1283" s="1478"/>
      <c r="K1283" s="1475" t="s">
        <v>971</v>
      </c>
      <c r="L1283" s="1474" t="s">
        <v>332</v>
      </c>
      <c r="M1283" s="1476" t="s">
        <v>842</v>
      </c>
      <c r="N1283" s="1477" t="s">
        <v>1692</v>
      </c>
      <c r="O1283" s="1479">
        <v>290</v>
      </c>
      <c r="P1283" s="1479"/>
      <c r="Q1283" s="1142">
        <f t="shared" si="361"/>
        <v>290</v>
      </c>
      <c r="R1283" s="1143">
        <f>IFERROR(VLOOKUP(CONCATENATE(E1283,G1283),'LAC 103'!$A$12:$O$95,11,FALSE),0)</f>
        <v>5.936295312319726</v>
      </c>
      <c r="S1283" s="1144">
        <f>IFERROR(VLOOKUP(CONCATENATE($E1283,$G1283),'LAC 103'!$A$12:$O$95,12,FALSE),0)</f>
        <v>7.34</v>
      </c>
      <c r="T1283" s="1144">
        <f>IFERROR(VLOOKUP(CONCATENATE($E1283,$G1283),'LAC 103'!$A$12:$O$95,13,FALSE),0)</f>
        <v>4.59</v>
      </c>
      <c r="U1283" s="1144">
        <f>IFERROR(VLOOKUP(CONCATENATE($E1283,$G1283),'LAC 103'!$A$12:$O$95,14,FALSE),0)</f>
        <v>0</v>
      </c>
      <c r="V1283" s="1144">
        <f>IFERROR(VLOOKUP(CONCATENATE($E1283,$G1283),'LAC 103'!$A$12:$O$95,15,FALSE),0)</f>
        <v>0</v>
      </c>
      <c r="W1283" s="1145" t="str">
        <f>IFERROR(VLOOKUP(CONCATENATE($B1283,$N1283),'LAC 103'!$AI:$AQ,9,FALSE),"")</f>
        <v>Costs</v>
      </c>
      <c r="X1283" s="1146">
        <f t="shared" si="348"/>
        <v>5.936295312319726</v>
      </c>
      <c r="Y1283" s="1143">
        <f t="shared" si="359"/>
        <v>1721.5256405727205</v>
      </c>
      <c r="Z1283" s="1147">
        <f t="shared" si="349"/>
        <v>2128.6</v>
      </c>
      <c r="AA1283" s="1144">
        <f t="shared" si="350"/>
        <v>1331.1</v>
      </c>
      <c r="AB1283" s="1144">
        <f t="shared" si="351"/>
        <v>0</v>
      </c>
      <c r="AC1283" s="1144">
        <f t="shared" si="352"/>
        <v>0</v>
      </c>
      <c r="AD1283" s="1148">
        <f t="shared" si="344"/>
        <v>1721.5256405727205</v>
      </c>
      <c r="AE1283" s="1487">
        <v>0</v>
      </c>
      <c r="AF1283" s="1145">
        <f t="shared" si="353"/>
        <v>1721.5256405727205</v>
      </c>
      <c r="AG1283" s="1149">
        <f>IFERROR(VLOOKUP(CONCATENATE($L1283,$N1283),'Drop List'!$G$23:$K$87,2,FALSE),0)</f>
        <v>0</v>
      </c>
      <c r="AH1283" s="1150">
        <f>IFERROR(VLOOKUP(CONCATENATE($L1283,$N1283),'Drop List'!$G$23:$K$87,3,FALSE),0)</f>
        <v>0</v>
      </c>
      <c r="AI1283" s="1150">
        <f>IFERROR(VLOOKUP(CONCATENATE($L1283,$N1283),'Drop List'!$G$23:$K$87,4,FALSE),0)</f>
        <v>0</v>
      </c>
      <c r="AJ1283" s="1151">
        <f>IFERROR(VLOOKUP(CONCATENATE($L1283,$N1283),'Drop List'!$G$23:$K$87,5,FALSE),0)</f>
        <v>0</v>
      </c>
      <c r="AK1283" s="1152">
        <f t="shared" si="354"/>
        <v>0</v>
      </c>
      <c r="AL1283" s="1153">
        <f t="shared" si="355"/>
        <v>0</v>
      </c>
      <c r="AM1283" s="1153">
        <f t="shared" si="356"/>
        <v>0</v>
      </c>
      <c r="AN1283" s="1145">
        <f t="shared" si="357"/>
        <v>0</v>
      </c>
      <c r="AO1283" s="1154">
        <f t="shared" si="358"/>
        <v>0</v>
      </c>
      <c r="AP1283" s="1147">
        <f t="shared" si="345"/>
        <v>1721.5256405727205</v>
      </c>
      <c r="AQ1283" s="1144">
        <f t="shared" si="346"/>
        <v>0</v>
      </c>
      <c r="AR1283" s="1146">
        <f t="shared" si="347"/>
        <v>1721.5256405727205</v>
      </c>
    </row>
    <row r="1284" spans="1:44" x14ac:dyDescent="0.2">
      <c r="A1284" s="1141" t="str">
        <f t="shared" si="360"/>
        <v>1562</v>
      </c>
      <c r="B1284" s="1141" t="str">
        <f>IFERROR(VLOOKUP(A1284,'LAC 103'!A:C,3,FALSE),"")</f>
        <v>OP</v>
      </c>
      <c r="C1284" s="1478" t="str">
        <f>Info!$B$8</f>
        <v>00100</v>
      </c>
      <c r="D1284" s="1474" t="s">
        <v>256</v>
      </c>
      <c r="E1284" s="1474" t="s">
        <v>95</v>
      </c>
      <c r="F1284" s="1478" t="s">
        <v>432</v>
      </c>
      <c r="G1284" s="1478" t="s">
        <v>432</v>
      </c>
      <c r="H1284" s="1474" t="s">
        <v>988</v>
      </c>
      <c r="I1284" s="1478" t="s">
        <v>811</v>
      </c>
      <c r="J1284" s="1478"/>
      <c r="K1284" s="1475" t="s">
        <v>971</v>
      </c>
      <c r="L1284" s="1474" t="s">
        <v>332</v>
      </c>
      <c r="M1284" s="1476" t="s">
        <v>1698</v>
      </c>
      <c r="N1284" s="1477" t="s">
        <v>1693</v>
      </c>
      <c r="O1284" s="1479">
        <v>548</v>
      </c>
      <c r="P1284" s="1479"/>
      <c r="Q1284" s="1142">
        <f t="shared" si="361"/>
        <v>548</v>
      </c>
      <c r="R1284" s="1143">
        <f>IFERROR(VLOOKUP(CONCATENATE(E1284,G1284),'LAC 103'!$A$12:$O$95,11,FALSE),0)</f>
        <v>5.936295312319726</v>
      </c>
      <c r="S1284" s="1144">
        <f>IFERROR(VLOOKUP(CONCATENATE($E1284,$G1284),'LAC 103'!$A$12:$O$95,12,FALSE),0)</f>
        <v>7.34</v>
      </c>
      <c r="T1284" s="1144">
        <f>IFERROR(VLOOKUP(CONCATENATE($E1284,$G1284),'LAC 103'!$A$12:$O$95,13,FALSE),0)</f>
        <v>4.59</v>
      </c>
      <c r="U1284" s="1144">
        <f>IFERROR(VLOOKUP(CONCATENATE($E1284,$G1284),'LAC 103'!$A$12:$O$95,14,FALSE),0)</f>
        <v>0</v>
      </c>
      <c r="V1284" s="1144">
        <f>IFERROR(VLOOKUP(CONCATENATE($E1284,$G1284),'LAC 103'!$A$12:$O$95,15,FALSE),0)</f>
        <v>0</v>
      </c>
      <c r="W1284" s="1145" t="str">
        <f>IFERROR(VLOOKUP(CONCATENATE($B1284,$N1284),'LAC 103'!$AI:$AQ,9,FALSE),"")</f>
        <v>Costs</v>
      </c>
      <c r="X1284" s="1146">
        <f t="shared" si="348"/>
        <v>5.936295312319726</v>
      </c>
      <c r="Y1284" s="1143">
        <f t="shared" si="359"/>
        <v>3253.0898311512096</v>
      </c>
      <c r="Z1284" s="1147">
        <f t="shared" si="349"/>
        <v>4022.3199999999997</v>
      </c>
      <c r="AA1284" s="1144">
        <f t="shared" si="350"/>
        <v>2515.3199999999997</v>
      </c>
      <c r="AB1284" s="1144">
        <f t="shared" si="351"/>
        <v>0</v>
      </c>
      <c r="AC1284" s="1144">
        <f t="shared" si="352"/>
        <v>0</v>
      </c>
      <c r="AD1284" s="1148">
        <f t="shared" si="344"/>
        <v>3253.0898311512096</v>
      </c>
      <c r="AE1284" s="1487">
        <v>0</v>
      </c>
      <c r="AF1284" s="1145">
        <f t="shared" si="353"/>
        <v>3253.0898311512096</v>
      </c>
      <c r="AG1284" s="1149">
        <f>IFERROR(VLOOKUP(CONCATENATE($L1284,$N1284),'Drop List'!$G$23:$K$87,2,FALSE),0)</f>
        <v>0</v>
      </c>
      <c r="AH1284" s="1150">
        <f>IFERROR(VLOOKUP(CONCATENATE($L1284,$N1284),'Drop List'!$G$23:$K$87,3,FALSE),0)</f>
        <v>0</v>
      </c>
      <c r="AI1284" s="1150">
        <f>IFERROR(VLOOKUP(CONCATENATE($L1284,$N1284),'Drop List'!$G$23:$K$87,4,FALSE),0)</f>
        <v>0</v>
      </c>
      <c r="AJ1284" s="1151">
        <f>IFERROR(VLOOKUP(CONCATENATE($L1284,$N1284),'Drop List'!$G$23:$K$87,5,FALSE),0)</f>
        <v>0</v>
      </c>
      <c r="AK1284" s="1152">
        <f t="shared" si="354"/>
        <v>0</v>
      </c>
      <c r="AL1284" s="1153">
        <f t="shared" si="355"/>
        <v>0</v>
      </c>
      <c r="AM1284" s="1153">
        <f t="shared" si="356"/>
        <v>0</v>
      </c>
      <c r="AN1284" s="1145">
        <f t="shared" si="357"/>
        <v>0</v>
      </c>
      <c r="AO1284" s="1154">
        <f t="shared" si="358"/>
        <v>0</v>
      </c>
      <c r="AP1284" s="1147">
        <f t="shared" si="345"/>
        <v>3253.0898311512096</v>
      </c>
      <c r="AQ1284" s="1144">
        <f t="shared" si="346"/>
        <v>0</v>
      </c>
      <c r="AR1284" s="1146">
        <f t="shared" si="347"/>
        <v>3253.0898311512096</v>
      </c>
    </row>
    <row r="1285" spans="1:44" x14ac:dyDescent="0.2">
      <c r="A1285" s="1141" t="str">
        <f t="shared" si="360"/>
        <v>1562</v>
      </c>
      <c r="B1285" s="1141" t="str">
        <f>IFERROR(VLOOKUP(A1285,'LAC 103'!A:C,3,FALSE),"")</f>
        <v>OP</v>
      </c>
      <c r="C1285" s="1478" t="str">
        <f>Info!$B$8</f>
        <v>00100</v>
      </c>
      <c r="D1285" s="1474" t="s">
        <v>256</v>
      </c>
      <c r="E1285" s="1474" t="s">
        <v>95</v>
      </c>
      <c r="F1285" s="1478" t="s">
        <v>432</v>
      </c>
      <c r="G1285" s="1478" t="s">
        <v>432</v>
      </c>
      <c r="H1285" s="1474" t="s">
        <v>988</v>
      </c>
      <c r="I1285" s="1478" t="s">
        <v>811</v>
      </c>
      <c r="J1285" s="1478"/>
      <c r="K1285" s="1475" t="s">
        <v>850</v>
      </c>
      <c r="L1285" s="1474" t="s">
        <v>330</v>
      </c>
      <c r="M1285" s="1476" t="s">
        <v>1699</v>
      </c>
      <c r="N1285" s="1477" t="s">
        <v>1694</v>
      </c>
      <c r="O1285" s="1479">
        <v>123</v>
      </c>
      <c r="P1285" s="1479"/>
      <c r="Q1285" s="1142">
        <f t="shared" si="361"/>
        <v>123</v>
      </c>
      <c r="R1285" s="1143">
        <f>IFERROR(VLOOKUP(CONCATENATE(E1285,G1285),'LAC 103'!$A$12:$O$95,11,FALSE),0)</f>
        <v>5.936295312319726</v>
      </c>
      <c r="S1285" s="1144">
        <f>IFERROR(VLOOKUP(CONCATENATE($E1285,$G1285),'LAC 103'!$A$12:$O$95,12,FALSE),0)</f>
        <v>7.34</v>
      </c>
      <c r="T1285" s="1144">
        <f>IFERROR(VLOOKUP(CONCATENATE($E1285,$G1285),'LAC 103'!$A$12:$O$95,13,FALSE),0)</f>
        <v>4.59</v>
      </c>
      <c r="U1285" s="1144">
        <f>IFERROR(VLOOKUP(CONCATENATE($E1285,$G1285),'LAC 103'!$A$12:$O$95,14,FALSE),0)</f>
        <v>0</v>
      </c>
      <c r="V1285" s="1144">
        <f>IFERROR(VLOOKUP(CONCATENATE($E1285,$G1285),'LAC 103'!$A$12:$O$95,15,FALSE),0)</f>
        <v>0</v>
      </c>
      <c r="W1285" s="1145" t="str">
        <f>IFERROR(VLOOKUP(CONCATENATE($B1285,$N1285),'LAC 103'!$AI:$AQ,9,FALSE),"")</f>
        <v>Costs</v>
      </c>
      <c r="X1285" s="1146">
        <f t="shared" si="348"/>
        <v>5.936295312319726</v>
      </c>
      <c r="Y1285" s="1143">
        <f t="shared" si="359"/>
        <v>730.16432341532629</v>
      </c>
      <c r="Z1285" s="1147">
        <f t="shared" si="349"/>
        <v>902.81999999999994</v>
      </c>
      <c r="AA1285" s="1144">
        <f t="shared" si="350"/>
        <v>564.56999999999994</v>
      </c>
      <c r="AB1285" s="1144">
        <f t="shared" si="351"/>
        <v>0</v>
      </c>
      <c r="AC1285" s="1144">
        <f t="shared" si="352"/>
        <v>0</v>
      </c>
      <c r="AD1285" s="1148">
        <f t="shared" si="344"/>
        <v>730.16432341532629</v>
      </c>
      <c r="AE1285" s="1487">
        <v>0</v>
      </c>
      <c r="AF1285" s="1145">
        <f t="shared" si="353"/>
        <v>730.16432341532629</v>
      </c>
      <c r="AG1285" s="1149">
        <f>IFERROR(VLOOKUP(CONCATENATE($L1285,$N1285),'Drop List'!$G$23:$K$87,2,FALSE),0)</f>
        <v>0</v>
      </c>
      <c r="AH1285" s="1150">
        <f>IFERROR(VLOOKUP(CONCATENATE($L1285,$N1285),'Drop List'!$G$23:$K$87,3,FALSE),0)</f>
        <v>0</v>
      </c>
      <c r="AI1285" s="1150">
        <f>IFERROR(VLOOKUP(CONCATENATE($L1285,$N1285),'Drop List'!$G$23:$K$87,4,FALSE),0)</f>
        <v>1</v>
      </c>
      <c r="AJ1285" s="1151">
        <f>IFERROR(VLOOKUP(CONCATENATE($L1285,$N1285),'Drop List'!$G$23:$K$87,5,FALSE),0)</f>
        <v>0</v>
      </c>
      <c r="AK1285" s="1152">
        <f t="shared" si="354"/>
        <v>0</v>
      </c>
      <c r="AL1285" s="1153">
        <f t="shared" si="355"/>
        <v>0</v>
      </c>
      <c r="AM1285" s="1153">
        <f t="shared" si="356"/>
        <v>730.16432341532629</v>
      </c>
      <c r="AN1285" s="1145">
        <f t="shared" si="357"/>
        <v>0</v>
      </c>
      <c r="AO1285" s="1154">
        <f t="shared" si="358"/>
        <v>730.16432341532629</v>
      </c>
      <c r="AP1285" s="1147">
        <f t="shared" si="345"/>
        <v>0</v>
      </c>
      <c r="AQ1285" s="1144">
        <f t="shared" si="346"/>
        <v>0</v>
      </c>
      <c r="AR1285" s="1146">
        <f t="shared" si="347"/>
        <v>730.16432341532629</v>
      </c>
    </row>
    <row r="1286" spans="1:44" x14ac:dyDescent="0.2">
      <c r="A1286" s="1141" t="str">
        <f t="shared" si="360"/>
        <v>1562</v>
      </c>
      <c r="B1286" s="1141" t="str">
        <f>IFERROR(VLOOKUP(A1286,'LAC 103'!A:C,3,FALSE),"")</f>
        <v>OP</v>
      </c>
      <c r="C1286" s="1478" t="str">
        <f>Info!$B$8</f>
        <v>00100</v>
      </c>
      <c r="D1286" s="1474" t="s">
        <v>256</v>
      </c>
      <c r="E1286" s="1474" t="s">
        <v>95</v>
      </c>
      <c r="F1286" s="1478" t="s">
        <v>432</v>
      </c>
      <c r="G1286" s="1478" t="s">
        <v>432</v>
      </c>
      <c r="H1286" s="1474" t="s">
        <v>988</v>
      </c>
      <c r="I1286" s="1478" t="s">
        <v>811</v>
      </c>
      <c r="J1286" s="1478"/>
      <c r="K1286" s="1475" t="s">
        <v>850</v>
      </c>
      <c r="L1286" s="1474" t="s">
        <v>330</v>
      </c>
      <c r="M1286" s="1476" t="s">
        <v>842</v>
      </c>
      <c r="N1286" s="1477" t="s">
        <v>1692</v>
      </c>
      <c r="O1286" s="1479">
        <v>1195</v>
      </c>
      <c r="P1286" s="1479"/>
      <c r="Q1286" s="1142">
        <f t="shared" si="361"/>
        <v>1195</v>
      </c>
      <c r="R1286" s="1143">
        <f>IFERROR(VLOOKUP(CONCATENATE(E1286,G1286),'LAC 103'!$A$12:$O$95,11,FALSE),0)</f>
        <v>5.936295312319726</v>
      </c>
      <c r="S1286" s="1144">
        <f>IFERROR(VLOOKUP(CONCATENATE($E1286,$G1286),'LAC 103'!$A$12:$O$95,12,FALSE),0)</f>
        <v>7.34</v>
      </c>
      <c r="T1286" s="1144">
        <f>IFERROR(VLOOKUP(CONCATENATE($E1286,$G1286),'LAC 103'!$A$12:$O$95,13,FALSE),0)</f>
        <v>4.59</v>
      </c>
      <c r="U1286" s="1144">
        <f>IFERROR(VLOOKUP(CONCATENATE($E1286,$G1286),'LAC 103'!$A$12:$O$95,14,FALSE),0)</f>
        <v>0</v>
      </c>
      <c r="V1286" s="1144">
        <f>IFERROR(VLOOKUP(CONCATENATE($E1286,$G1286),'LAC 103'!$A$12:$O$95,15,FALSE),0)</f>
        <v>0</v>
      </c>
      <c r="W1286" s="1145" t="str">
        <f>IFERROR(VLOOKUP(CONCATENATE($B1286,$N1286),'LAC 103'!$AI:$AQ,9,FALSE),"")</f>
        <v>Costs</v>
      </c>
      <c r="X1286" s="1146">
        <f t="shared" si="348"/>
        <v>5.936295312319726</v>
      </c>
      <c r="Y1286" s="1143">
        <f t="shared" si="359"/>
        <v>7093.8728982220728</v>
      </c>
      <c r="Z1286" s="1147">
        <f t="shared" si="349"/>
        <v>8771.2999999999993</v>
      </c>
      <c r="AA1286" s="1144">
        <f t="shared" si="350"/>
        <v>5485.05</v>
      </c>
      <c r="AB1286" s="1144">
        <f t="shared" si="351"/>
        <v>0</v>
      </c>
      <c r="AC1286" s="1144">
        <f t="shared" si="352"/>
        <v>0</v>
      </c>
      <c r="AD1286" s="1148">
        <f t="shared" si="344"/>
        <v>7093.8728982220728</v>
      </c>
      <c r="AE1286" s="1487">
        <v>0</v>
      </c>
      <c r="AF1286" s="1145">
        <f t="shared" si="353"/>
        <v>7093.8728982220728</v>
      </c>
      <c r="AG1286" s="1149">
        <f>IFERROR(VLOOKUP(CONCATENATE($L1286,$N1286),'Drop List'!$G$23:$K$87,2,FALSE),0)</f>
        <v>0</v>
      </c>
      <c r="AH1286" s="1150">
        <f>IFERROR(VLOOKUP(CONCATENATE($L1286,$N1286),'Drop List'!$G$23:$K$87,3,FALSE),0)</f>
        <v>0</v>
      </c>
      <c r="AI1286" s="1150">
        <f>IFERROR(VLOOKUP(CONCATENATE($L1286,$N1286),'Drop List'!$G$23:$K$87,4,FALSE),0)</f>
        <v>1</v>
      </c>
      <c r="AJ1286" s="1151">
        <f>IFERROR(VLOOKUP(CONCATENATE($L1286,$N1286),'Drop List'!$G$23:$K$87,5,FALSE),0)</f>
        <v>0</v>
      </c>
      <c r="AK1286" s="1152">
        <f t="shared" si="354"/>
        <v>0</v>
      </c>
      <c r="AL1286" s="1153">
        <f t="shared" si="355"/>
        <v>0</v>
      </c>
      <c r="AM1286" s="1153">
        <f t="shared" si="356"/>
        <v>7093.8728982220728</v>
      </c>
      <c r="AN1286" s="1145">
        <f t="shared" si="357"/>
        <v>0</v>
      </c>
      <c r="AO1286" s="1154">
        <f t="shared" si="358"/>
        <v>7093.8728982220728</v>
      </c>
      <c r="AP1286" s="1147">
        <f t="shared" si="345"/>
        <v>0</v>
      </c>
      <c r="AQ1286" s="1144">
        <f t="shared" si="346"/>
        <v>0</v>
      </c>
      <c r="AR1286" s="1146">
        <f t="shared" si="347"/>
        <v>7093.8728982220728</v>
      </c>
    </row>
    <row r="1287" spans="1:44" x14ac:dyDescent="0.2">
      <c r="A1287" s="1141" t="str">
        <f t="shared" si="360"/>
        <v>1562</v>
      </c>
      <c r="B1287" s="1141" t="str">
        <f>IFERROR(VLOOKUP(A1287,'LAC 103'!A:C,3,FALSE),"")</f>
        <v>OP</v>
      </c>
      <c r="C1287" s="1478" t="str">
        <f>Info!$B$8</f>
        <v>00100</v>
      </c>
      <c r="D1287" s="1474" t="s">
        <v>256</v>
      </c>
      <c r="E1287" s="1474" t="s">
        <v>95</v>
      </c>
      <c r="F1287" s="1478" t="s">
        <v>432</v>
      </c>
      <c r="G1287" s="1478" t="s">
        <v>432</v>
      </c>
      <c r="H1287" s="1474" t="s">
        <v>988</v>
      </c>
      <c r="I1287" s="1478" t="s">
        <v>811</v>
      </c>
      <c r="J1287" s="1478"/>
      <c r="K1287" s="1475" t="s">
        <v>850</v>
      </c>
      <c r="L1287" s="1474" t="s">
        <v>330</v>
      </c>
      <c r="M1287" s="1476" t="s">
        <v>1698</v>
      </c>
      <c r="N1287" s="1477" t="s">
        <v>1693</v>
      </c>
      <c r="O1287" s="1479">
        <v>941</v>
      </c>
      <c r="P1287" s="1479"/>
      <c r="Q1287" s="1142">
        <f t="shared" si="361"/>
        <v>941</v>
      </c>
      <c r="R1287" s="1143">
        <f>IFERROR(VLOOKUP(CONCATENATE(E1287,G1287),'LAC 103'!$A$12:$O$95,11,FALSE),0)</f>
        <v>5.936295312319726</v>
      </c>
      <c r="S1287" s="1144">
        <f>IFERROR(VLOOKUP(CONCATENATE($E1287,$G1287),'LAC 103'!$A$12:$O$95,12,FALSE),0)</f>
        <v>7.34</v>
      </c>
      <c r="T1287" s="1144">
        <f>IFERROR(VLOOKUP(CONCATENATE($E1287,$G1287),'LAC 103'!$A$12:$O$95,13,FALSE),0)</f>
        <v>4.59</v>
      </c>
      <c r="U1287" s="1144">
        <f>IFERROR(VLOOKUP(CONCATENATE($E1287,$G1287),'LAC 103'!$A$12:$O$95,14,FALSE),0)</f>
        <v>0</v>
      </c>
      <c r="V1287" s="1144">
        <f>IFERROR(VLOOKUP(CONCATENATE($E1287,$G1287),'LAC 103'!$A$12:$O$95,15,FALSE),0)</f>
        <v>0</v>
      </c>
      <c r="W1287" s="1145" t="str">
        <f>IFERROR(VLOOKUP(CONCATENATE($B1287,$N1287),'LAC 103'!$AI:$AQ,9,FALSE),"")</f>
        <v>Costs</v>
      </c>
      <c r="X1287" s="1146">
        <f t="shared" si="348"/>
        <v>5.936295312319726</v>
      </c>
      <c r="Y1287" s="1143">
        <f t="shared" si="359"/>
        <v>5586.0538888928622</v>
      </c>
      <c r="Z1287" s="1147">
        <f t="shared" si="349"/>
        <v>6906.94</v>
      </c>
      <c r="AA1287" s="1144">
        <f t="shared" si="350"/>
        <v>4319.1899999999996</v>
      </c>
      <c r="AB1287" s="1144">
        <f t="shared" si="351"/>
        <v>0</v>
      </c>
      <c r="AC1287" s="1144">
        <f t="shared" si="352"/>
        <v>0</v>
      </c>
      <c r="AD1287" s="1148">
        <f t="shared" ref="AD1287:AD1350" si="362">Q1287*X1287</f>
        <v>5586.0538888928622</v>
      </c>
      <c r="AE1287" s="1487">
        <v>0</v>
      </c>
      <c r="AF1287" s="1145">
        <f t="shared" si="353"/>
        <v>5586.0538888928622</v>
      </c>
      <c r="AG1287" s="1149">
        <f>IFERROR(VLOOKUP(CONCATENATE($L1287,$N1287),'Drop List'!$G$23:$K$87,2,FALSE),0)</f>
        <v>0</v>
      </c>
      <c r="AH1287" s="1150">
        <f>IFERROR(VLOOKUP(CONCATENATE($L1287,$N1287),'Drop List'!$G$23:$K$87,3,FALSE),0)</f>
        <v>0</v>
      </c>
      <c r="AI1287" s="1150">
        <f>IFERROR(VLOOKUP(CONCATENATE($L1287,$N1287),'Drop List'!$G$23:$K$87,4,FALSE),0)</f>
        <v>1</v>
      </c>
      <c r="AJ1287" s="1151">
        <f>IFERROR(VLOOKUP(CONCATENATE($L1287,$N1287),'Drop List'!$G$23:$K$87,5,FALSE),0)</f>
        <v>0</v>
      </c>
      <c r="AK1287" s="1152">
        <f t="shared" si="354"/>
        <v>0</v>
      </c>
      <c r="AL1287" s="1153">
        <f t="shared" si="355"/>
        <v>0</v>
      </c>
      <c r="AM1287" s="1153">
        <f t="shared" si="356"/>
        <v>5586.0538888928622</v>
      </c>
      <c r="AN1287" s="1145">
        <f t="shared" si="357"/>
        <v>0</v>
      </c>
      <c r="AO1287" s="1154">
        <f t="shared" si="358"/>
        <v>5586.0538888928622</v>
      </c>
      <c r="AP1287" s="1147">
        <f t="shared" ref="AP1287:AP1350" si="363">IF($L1287="14",$AF1287,0)</f>
        <v>0</v>
      </c>
      <c r="AQ1287" s="1144">
        <f t="shared" ref="AQ1287:AQ1350" si="364">IF($L1287="15",$AF1287,0)</f>
        <v>0</v>
      </c>
      <c r="AR1287" s="1146">
        <f t="shared" ref="AR1287:AR1350" si="365">AO1287+AP1287+AQ1287</f>
        <v>5586.0538888928622</v>
      </c>
    </row>
    <row r="1288" spans="1:44" x14ac:dyDescent="0.2">
      <c r="A1288" s="1141" t="str">
        <f t="shared" si="360"/>
        <v>1562</v>
      </c>
      <c r="B1288" s="1141" t="str">
        <f>IFERROR(VLOOKUP(A1288,'LAC 103'!A:C,3,FALSE),"")</f>
        <v>OP</v>
      </c>
      <c r="C1288" s="1478" t="str">
        <f>Info!$B$8</f>
        <v>00100</v>
      </c>
      <c r="D1288" s="1474" t="s">
        <v>256</v>
      </c>
      <c r="E1288" s="1474" t="s">
        <v>95</v>
      </c>
      <c r="F1288" s="1478" t="s">
        <v>432</v>
      </c>
      <c r="G1288" s="1478" t="s">
        <v>432</v>
      </c>
      <c r="H1288" s="1474" t="s">
        <v>988</v>
      </c>
      <c r="I1288" s="1478" t="s">
        <v>811</v>
      </c>
      <c r="J1288" s="1478"/>
      <c r="K1288" s="1475" t="s">
        <v>851</v>
      </c>
      <c r="L1288" s="1474" t="s">
        <v>584</v>
      </c>
      <c r="M1288" s="1476" t="s">
        <v>1699</v>
      </c>
      <c r="N1288" s="1477" t="s">
        <v>1694</v>
      </c>
      <c r="O1288" s="1479">
        <v>11407</v>
      </c>
      <c r="P1288" s="1479"/>
      <c r="Q1288" s="1142">
        <f t="shared" si="361"/>
        <v>11407</v>
      </c>
      <c r="R1288" s="1143">
        <f>IFERROR(VLOOKUP(CONCATENATE(E1288,G1288),'LAC 103'!$A$12:$O$95,11,FALSE),0)</f>
        <v>5.936295312319726</v>
      </c>
      <c r="S1288" s="1144">
        <f>IFERROR(VLOOKUP(CONCATENATE($E1288,$G1288),'LAC 103'!$A$12:$O$95,12,FALSE),0)</f>
        <v>7.34</v>
      </c>
      <c r="T1288" s="1144">
        <f>IFERROR(VLOOKUP(CONCATENATE($E1288,$G1288),'LAC 103'!$A$12:$O$95,13,FALSE),0)</f>
        <v>4.59</v>
      </c>
      <c r="U1288" s="1144">
        <f>IFERROR(VLOOKUP(CONCATENATE($E1288,$G1288),'LAC 103'!$A$12:$O$95,14,FALSE),0)</f>
        <v>0</v>
      </c>
      <c r="V1288" s="1144">
        <f>IFERROR(VLOOKUP(CONCATENATE($E1288,$G1288),'LAC 103'!$A$12:$O$95,15,FALSE),0)</f>
        <v>0</v>
      </c>
      <c r="W1288" s="1145" t="str">
        <f>IFERROR(VLOOKUP(CONCATENATE($B1288,$N1288),'LAC 103'!$AI:$AQ,9,FALSE),"")</f>
        <v>Costs</v>
      </c>
      <c r="X1288" s="1146">
        <f t="shared" ref="X1288:X1351" si="366">IF($W1288="Costs",$R1288,IF($W1288="CMA",$S1288,IF($W1288="P.C.",$T1288,IF($W1288="SMA",$U1288,$V1288))))</f>
        <v>5.936295312319726</v>
      </c>
      <c r="Y1288" s="1143">
        <f t="shared" si="359"/>
        <v>67715.32062763111</v>
      </c>
      <c r="Z1288" s="1147">
        <f t="shared" ref="Z1288:Z1351" si="367">IF(S1288=0,Y1288,$Q1288*S1288)</f>
        <v>83727.38</v>
      </c>
      <c r="AA1288" s="1144">
        <f t="shared" ref="AA1288:AA1351" si="368">IF(T1288=0,Y1288,$Q1288*T1288)</f>
        <v>52358.13</v>
      </c>
      <c r="AB1288" s="1144">
        <f t="shared" ref="AB1288:AB1351" si="369">$Q1288*U1288</f>
        <v>0</v>
      </c>
      <c r="AC1288" s="1144">
        <f t="shared" ref="AC1288:AC1351" si="370">$Q1288*V1288</f>
        <v>0</v>
      </c>
      <c r="AD1288" s="1148">
        <f t="shared" si="362"/>
        <v>67715.32062763111</v>
      </c>
      <c r="AE1288" s="1487">
        <v>0</v>
      </c>
      <c r="AF1288" s="1145">
        <f t="shared" ref="AF1288:AF1351" si="371">AD1288-AE1288</f>
        <v>67715.32062763111</v>
      </c>
      <c r="AG1288" s="1149">
        <f>IFERROR(VLOOKUP(CONCATENATE($L1288,$N1288),'Drop List'!$G$23:$K$87,2,FALSE),0)</f>
        <v>0.56200000000000006</v>
      </c>
      <c r="AH1288" s="1150">
        <f>IFERROR(VLOOKUP(CONCATENATE($L1288,$N1288),'Drop List'!$G$23:$K$87,3,FALSE),0)</f>
        <v>0</v>
      </c>
      <c r="AI1288" s="1150">
        <f>IFERROR(VLOOKUP(CONCATENATE($L1288,$N1288),'Drop List'!$G$23:$K$87,4,FALSE),0)</f>
        <v>0</v>
      </c>
      <c r="AJ1288" s="1151">
        <f>IFERROR(VLOOKUP(CONCATENATE($L1288,$N1288),'Drop List'!$G$23:$K$87,5,FALSE),0)</f>
        <v>0.43799999999999994</v>
      </c>
      <c r="AK1288" s="1152">
        <f t="shared" ref="AK1288:AK1351" si="372">IFERROR($AF1288*AG1288,0)</f>
        <v>38056.010192728689</v>
      </c>
      <c r="AL1288" s="1153">
        <f t="shared" ref="AL1288:AL1351" si="373">IFERROR($AF1288*AH1288,0)</f>
        <v>0</v>
      </c>
      <c r="AM1288" s="1153">
        <f t="shared" ref="AM1288:AM1351" si="374">IFERROR($AF1288*AI1288,0)</f>
        <v>0</v>
      </c>
      <c r="AN1288" s="1145">
        <f t="shared" ref="AN1288:AN1351" si="375">IFERROR($AF1288*AJ1288,0)</f>
        <v>29659.310434902422</v>
      </c>
      <c r="AO1288" s="1154">
        <f t="shared" ref="AO1288:AO1351" si="376">SUM(AK1288:AN1288)</f>
        <v>67715.32062763111</v>
      </c>
      <c r="AP1288" s="1147">
        <f t="shared" si="363"/>
        <v>0</v>
      </c>
      <c r="AQ1288" s="1144">
        <f t="shared" si="364"/>
        <v>0</v>
      </c>
      <c r="AR1288" s="1146">
        <f t="shared" si="365"/>
        <v>67715.32062763111</v>
      </c>
    </row>
    <row r="1289" spans="1:44" x14ac:dyDescent="0.2">
      <c r="A1289" s="1141" t="str">
        <f t="shared" si="360"/>
        <v>1562</v>
      </c>
      <c r="B1289" s="1141" t="str">
        <f>IFERROR(VLOOKUP(A1289,'LAC 103'!A:C,3,FALSE),"")</f>
        <v>OP</v>
      </c>
      <c r="C1289" s="1478" t="str">
        <f>Info!$B$8</f>
        <v>00100</v>
      </c>
      <c r="D1289" s="1474" t="s">
        <v>256</v>
      </c>
      <c r="E1289" s="1474" t="s">
        <v>95</v>
      </c>
      <c r="F1289" s="1478" t="s">
        <v>432</v>
      </c>
      <c r="G1289" s="1478" t="s">
        <v>432</v>
      </c>
      <c r="H1289" s="1474" t="s">
        <v>988</v>
      </c>
      <c r="I1289" s="1478" t="s">
        <v>811</v>
      </c>
      <c r="J1289" s="1478"/>
      <c r="K1289" s="1475" t="s">
        <v>851</v>
      </c>
      <c r="L1289" s="1474" t="s">
        <v>584</v>
      </c>
      <c r="M1289" s="1476" t="s">
        <v>841</v>
      </c>
      <c r="N1289" s="1477" t="s">
        <v>1695</v>
      </c>
      <c r="O1289" s="1479">
        <v>5358</v>
      </c>
      <c r="P1289" s="1479"/>
      <c r="Q1289" s="1142">
        <f t="shared" si="361"/>
        <v>5358</v>
      </c>
      <c r="R1289" s="1143">
        <f>IFERROR(VLOOKUP(CONCATENATE(E1289,G1289),'LAC 103'!$A$12:$O$95,11,FALSE),0)</f>
        <v>5.936295312319726</v>
      </c>
      <c r="S1289" s="1144">
        <f>IFERROR(VLOOKUP(CONCATENATE($E1289,$G1289),'LAC 103'!$A$12:$O$95,12,FALSE),0)</f>
        <v>7.34</v>
      </c>
      <c r="T1289" s="1144">
        <f>IFERROR(VLOOKUP(CONCATENATE($E1289,$G1289),'LAC 103'!$A$12:$O$95,13,FALSE),0)</f>
        <v>4.59</v>
      </c>
      <c r="U1289" s="1144">
        <f>IFERROR(VLOOKUP(CONCATENATE($E1289,$G1289),'LAC 103'!$A$12:$O$95,14,FALSE),0)</f>
        <v>0</v>
      </c>
      <c r="V1289" s="1144">
        <f>IFERROR(VLOOKUP(CONCATENATE($E1289,$G1289),'LAC 103'!$A$12:$O$95,15,FALSE),0)</f>
        <v>0</v>
      </c>
      <c r="W1289" s="1145" t="str">
        <f>IFERROR(VLOOKUP(CONCATENATE($B1289,$N1289),'LAC 103'!$AI:$AQ,9,FALSE),"")</f>
        <v>Costs</v>
      </c>
      <c r="X1289" s="1146">
        <f t="shared" si="366"/>
        <v>5.936295312319726</v>
      </c>
      <c r="Y1289" s="1143">
        <f t="shared" si="359"/>
        <v>31806.67028340909</v>
      </c>
      <c r="Z1289" s="1147">
        <f t="shared" si="367"/>
        <v>39327.72</v>
      </c>
      <c r="AA1289" s="1144">
        <f t="shared" si="368"/>
        <v>24593.219999999998</v>
      </c>
      <c r="AB1289" s="1144">
        <f t="shared" si="369"/>
        <v>0</v>
      </c>
      <c r="AC1289" s="1144">
        <f t="shared" si="370"/>
        <v>0</v>
      </c>
      <c r="AD1289" s="1148">
        <f t="shared" si="362"/>
        <v>31806.67028340909</v>
      </c>
      <c r="AE1289" s="1487">
        <v>0</v>
      </c>
      <c r="AF1289" s="1145">
        <f t="shared" si="371"/>
        <v>31806.67028340909</v>
      </c>
      <c r="AG1289" s="1149">
        <f>IFERROR(VLOOKUP(CONCATENATE($L1289,$N1289),'Drop List'!$G$23:$K$87,2,FALSE),0)</f>
        <v>0.55000000000000004</v>
      </c>
      <c r="AH1289" s="1150">
        <f>IFERROR(VLOOKUP(CONCATENATE($L1289,$N1289),'Drop List'!$G$23:$K$87,3,FALSE),0)</f>
        <v>0</v>
      </c>
      <c r="AI1289" s="1150">
        <f>IFERROR(VLOOKUP(CONCATENATE($L1289,$N1289),'Drop List'!$G$23:$K$87,4,FALSE),0)</f>
        <v>0</v>
      </c>
      <c r="AJ1289" s="1151">
        <f>IFERROR(VLOOKUP(CONCATENATE($L1289,$N1289),'Drop List'!$G$23:$K$87,5,FALSE),0)</f>
        <v>0.44999999999999996</v>
      </c>
      <c r="AK1289" s="1152">
        <f t="shared" si="372"/>
        <v>17493.668655875001</v>
      </c>
      <c r="AL1289" s="1153">
        <f t="shared" si="373"/>
        <v>0</v>
      </c>
      <c r="AM1289" s="1153">
        <f t="shared" si="374"/>
        <v>0</v>
      </c>
      <c r="AN1289" s="1145">
        <f t="shared" si="375"/>
        <v>14313.001627534089</v>
      </c>
      <c r="AO1289" s="1154">
        <f t="shared" si="376"/>
        <v>31806.67028340909</v>
      </c>
      <c r="AP1289" s="1147">
        <f t="shared" si="363"/>
        <v>0</v>
      </c>
      <c r="AQ1289" s="1144">
        <f t="shared" si="364"/>
        <v>0</v>
      </c>
      <c r="AR1289" s="1146">
        <f t="shared" si="365"/>
        <v>31806.67028340909</v>
      </c>
    </row>
    <row r="1290" spans="1:44" x14ac:dyDescent="0.2">
      <c r="A1290" s="1141" t="str">
        <f t="shared" si="360"/>
        <v>1562</v>
      </c>
      <c r="B1290" s="1141" t="str">
        <f>IFERROR(VLOOKUP(A1290,'LAC 103'!A:C,3,FALSE),"")</f>
        <v>OP</v>
      </c>
      <c r="C1290" s="1478" t="str">
        <f>Info!$B$8</f>
        <v>00100</v>
      </c>
      <c r="D1290" s="1474" t="s">
        <v>256</v>
      </c>
      <c r="E1290" s="1474" t="s">
        <v>95</v>
      </c>
      <c r="F1290" s="1478" t="s">
        <v>432</v>
      </c>
      <c r="G1290" s="1478" t="s">
        <v>432</v>
      </c>
      <c r="H1290" s="1474" t="s">
        <v>988</v>
      </c>
      <c r="I1290" s="1478" t="s">
        <v>811</v>
      </c>
      <c r="J1290" s="1478"/>
      <c r="K1290" s="1475" t="s">
        <v>851</v>
      </c>
      <c r="L1290" s="1474" t="s">
        <v>584</v>
      </c>
      <c r="M1290" s="1476" t="s">
        <v>840</v>
      </c>
      <c r="N1290" s="1477" t="s">
        <v>1700</v>
      </c>
      <c r="O1290" s="1479">
        <v>6617</v>
      </c>
      <c r="P1290" s="1479"/>
      <c r="Q1290" s="1142">
        <f t="shared" si="361"/>
        <v>6617</v>
      </c>
      <c r="R1290" s="1143">
        <f>IFERROR(VLOOKUP(CONCATENATE(E1290,G1290),'LAC 103'!$A$12:$O$95,11,FALSE),0)</f>
        <v>5.936295312319726</v>
      </c>
      <c r="S1290" s="1144">
        <f>IFERROR(VLOOKUP(CONCATENATE($E1290,$G1290),'LAC 103'!$A$12:$O$95,12,FALSE),0)</f>
        <v>7.34</v>
      </c>
      <c r="T1290" s="1144">
        <f>IFERROR(VLOOKUP(CONCATENATE($E1290,$G1290),'LAC 103'!$A$12:$O$95,13,FALSE),0)</f>
        <v>4.59</v>
      </c>
      <c r="U1290" s="1144">
        <f>IFERROR(VLOOKUP(CONCATENATE($E1290,$G1290),'LAC 103'!$A$12:$O$95,14,FALSE),0)</f>
        <v>0</v>
      </c>
      <c r="V1290" s="1144">
        <f>IFERROR(VLOOKUP(CONCATENATE($E1290,$G1290),'LAC 103'!$A$12:$O$95,15,FALSE),0)</f>
        <v>0</v>
      </c>
      <c r="W1290" s="1145" t="str">
        <f>IFERROR(VLOOKUP(CONCATENATE($B1290,$N1290),'LAC 103'!$AI:$AQ,9,FALSE),"")</f>
        <v>P.C.</v>
      </c>
      <c r="X1290" s="1146">
        <f t="shared" si="366"/>
        <v>4.59</v>
      </c>
      <c r="Y1290" s="1143">
        <f t="shared" ref="Y1290:Y1353" si="377">$Q1290*R1290</f>
        <v>39280.466081619626</v>
      </c>
      <c r="Z1290" s="1147">
        <f t="shared" si="367"/>
        <v>48568.78</v>
      </c>
      <c r="AA1290" s="1144">
        <f t="shared" si="368"/>
        <v>30372.03</v>
      </c>
      <c r="AB1290" s="1144">
        <f t="shared" si="369"/>
        <v>0</v>
      </c>
      <c r="AC1290" s="1144">
        <f t="shared" si="370"/>
        <v>0</v>
      </c>
      <c r="AD1290" s="1148">
        <f t="shared" si="362"/>
        <v>30372.03</v>
      </c>
      <c r="AE1290" s="1487">
        <v>0</v>
      </c>
      <c r="AF1290" s="1145">
        <f t="shared" si="371"/>
        <v>30372.03</v>
      </c>
      <c r="AG1290" s="1149">
        <f>IFERROR(VLOOKUP(CONCATENATE($L1290,$N1290),'Drop List'!$G$23:$K$87,2,FALSE),0)</f>
        <v>0.55000000000000004</v>
      </c>
      <c r="AH1290" s="1150">
        <f>IFERROR(VLOOKUP(CONCATENATE($L1290,$N1290),'Drop List'!$G$23:$K$87,3,FALSE),0)</f>
        <v>0</v>
      </c>
      <c r="AI1290" s="1150">
        <f>IFERROR(VLOOKUP(CONCATENATE($L1290,$N1290),'Drop List'!$G$23:$K$87,4,FALSE),0)</f>
        <v>0</v>
      </c>
      <c r="AJ1290" s="1151">
        <f>IFERROR(VLOOKUP(CONCATENATE($L1290,$N1290),'Drop List'!$G$23:$K$87,5,FALSE),0)</f>
        <v>0.44999999999999996</v>
      </c>
      <c r="AK1290" s="1152">
        <f t="shared" si="372"/>
        <v>16704.6165</v>
      </c>
      <c r="AL1290" s="1153">
        <f t="shared" si="373"/>
        <v>0</v>
      </c>
      <c r="AM1290" s="1153">
        <f t="shared" si="374"/>
        <v>0</v>
      </c>
      <c r="AN1290" s="1145">
        <f t="shared" si="375"/>
        <v>13667.413499999999</v>
      </c>
      <c r="AO1290" s="1154">
        <f t="shared" si="376"/>
        <v>30372.03</v>
      </c>
      <c r="AP1290" s="1147">
        <f t="shared" si="363"/>
        <v>0</v>
      </c>
      <c r="AQ1290" s="1144">
        <f t="shared" si="364"/>
        <v>0</v>
      </c>
      <c r="AR1290" s="1146">
        <f t="shared" si="365"/>
        <v>30372.03</v>
      </c>
    </row>
    <row r="1291" spans="1:44" x14ac:dyDescent="0.2">
      <c r="A1291" s="1141" t="str">
        <f t="shared" si="360"/>
        <v>1562</v>
      </c>
      <c r="B1291" s="1141" t="str">
        <f>IFERROR(VLOOKUP(A1291,'LAC 103'!A:C,3,FALSE),"")</f>
        <v>OP</v>
      </c>
      <c r="C1291" s="1478" t="str">
        <f>Info!$B$8</f>
        <v>00100</v>
      </c>
      <c r="D1291" s="1474" t="s">
        <v>256</v>
      </c>
      <c r="E1291" s="1474" t="s">
        <v>95</v>
      </c>
      <c r="F1291" s="1478" t="s">
        <v>432</v>
      </c>
      <c r="G1291" s="1478" t="s">
        <v>432</v>
      </c>
      <c r="H1291" s="1474" t="s">
        <v>988</v>
      </c>
      <c r="I1291" s="1478" t="s">
        <v>811</v>
      </c>
      <c r="J1291" s="1478"/>
      <c r="K1291" s="1475" t="s">
        <v>851</v>
      </c>
      <c r="L1291" s="1474" t="s">
        <v>584</v>
      </c>
      <c r="M1291" s="1476" t="s">
        <v>842</v>
      </c>
      <c r="N1291" s="1477" t="s">
        <v>1692</v>
      </c>
      <c r="O1291" s="1479">
        <v>12083</v>
      </c>
      <c r="P1291" s="1479"/>
      <c r="Q1291" s="1142">
        <f t="shared" si="361"/>
        <v>12083</v>
      </c>
      <c r="R1291" s="1143">
        <f>IFERROR(VLOOKUP(CONCATENATE(E1291,G1291),'LAC 103'!$A$12:$O$95,11,FALSE),0)</f>
        <v>5.936295312319726</v>
      </c>
      <c r="S1291" s="1144">
        <f>IFERROR(VLOOKUP(CONCATENATE($E1291,$G1291),'LAC 103'!$A$12:$O$95,12,FALSE),0)</f>
        <v>7.34</v>
      </c>
      <c r="T1291" s="1144">
        <f>IFERROR(VLOOKUP(CONCATENATE($E1291,$G1291),'LAC 103'!$A$12:$O$95,13,FALSE),0)</f>
        <v>4.59</v>
      </c>
      <c r="U1291" s="1144">
        <f>IFERROR(VLOOKUP(CONCATENATE($E1291,$G1291),'LAC 103'!$A$12:$O$95,14,FALSE),0)</f>
        <v>0</v>
      </c>
      <c r="V1291" s="1144">
        <f>IFERROR(VLOOKUP(CONCATENATE($E1291,$G1291),'LAC 103'!$A$12:$O$95,15,FALSE),0)</f>
        <v>0</v>
      </c>
      <c r="W1291" s="1145" t="str">
        <f>IFERROR(VLOOKUP(CONCATENATE($B1291,$N1291),'LAC 103'!$AI:$AQ,9,FALSE),"")</f>
        <v>Costs</v>
      </c>
      <c r="X1291" s="1146">
        <f t="shared" si="366"/>
        <v>5.936295312319726</v>
      </c>
      <c r="Y1291" s="1143">
        <f t="shared" si="377"/>
        <v>71728.256258759255</v>
      </c>
      <c r="Z1291" s="1147">
        <f t="shared" si="367"/>
        <v>88689.22</v>
      </c>
      <c r="AA1291" s="1144">
        <f t="shared" si="368"/>
        <v>55460.97</v>
      </c>
      <c r="AB1291" s="1144">
        <f t="shared" si="369"/>
        <v>0</v>
      </c>
      <c r="AC1291" s="1144">
        <f t="shared" si="370"/>
        <v>0</v>
      </c>
      <c r="AD1291" s="1148">
        <f t="shared" si="362"/>
        <v>71728.256258759255</v>
      </c>
      <c r="AE1291" s="1487">
        <v>0</v>
      </c>
      <c r="AF1291" s="1145">
        <f t="shared" si="371"/>
        <v>71728.256258759255</v>
      </c>
      <c r="AG1291" s="1149">
        <f>IFERROR(VLOOKUP(CONCATENATE($L1291,$N1291),'Drop List'!$G$23:$K$87,2,FALSE),0)</f>
        <v>0.56200000000000006</v>
      </c>
      <c r="AH1291" s="1150">
        <f>IFERROR(VLOOKUP(CONCATENATE($L1291,$N1291),'Drop List'!$G$23:$K$87,3,FALSE),0)</f>
        <v>0</v>
      </c>
      <c r="AI1291" s="1150">
        <f>IFERROR(VLOOKUP(CONCATENATE($L1291,$N1291),'Drop List'!$G$23:$K$87,4,FALSE),0)</f>
        <v>0</v>
      </c>
      <c r="AJ1291" s="1151">
        <f>IFERROR(VLOOKUP(CONCATENATE($L1291,$N1291),'Drop List'!$G$23:$K$87,5,FALSE),0)</f>
        <v>0.43799999999999994</v>
      </c>
      <c r="AK1291" s="1152">
        <f t="shared" si="372"/>
        <v>40311.280017422709</v>
      </c>
      <c r="AL1291" s="1153">
        <f t="shared" si="373"/>
        <v>0</v>
      </c>
      <c r="AM1291" s="1153">
        <f t="shared" si="374"/>
        <v>0</v>
      </c>
      <c r="AN1291" s="1145">
        <f t="shared" si="375"/>
        <v>31416.97624133655</v>
      </c>
      <c r="AO1291" s="1154">
        <f t="shared" si="376"/>
        <v>71728.256258759255</v>
      </c>
      <c r="AP1291" s="1147">
        <f t="shared" si="363"/>
        <v>0</v>
      </c>
      <c r="AQ1291" s="1144">
        <f t="shared" si="364"/>
        <v>0</v>
      </c>
      <c r="AR1291" s="1146">
        <f t="shared" si="365"/>
        <v>71728.256258759255</v>
      </c>
    </row>
    <row r="1292" spans="1:44" x14ac:dyDescent="0.2">
      <c r="A1292" s="1141" t="str">
        <f t="shared" si="360"/>
        <v>1562</v>
      </c>
      <c r="B1292" s="1141" t="str">
        <f>IFERROR(VLOOKUP(A1292,'LAC 103'!A:C,3,FALSE),"")</f>
        <v>OP</v>
      </c>
      <c r="C1292" s="1478" t="str">
        <f>Info!$B$8</f>
        <v>00100</v>
      </c>
      <c r="D1292" s="1474" t="s">
        <v>256</v>
      </c>
      <c r="E1292" s="1474" t="s">
        <v>95</v>
      </c>
      <c r="F1292" s="1478" t="s">
        <v>432</v>
      </c>
      <c r="G1292" s="1478" t="s">
        <v>432</v>
      </c>
      <c r="H1292" s="1474" t="s">
        <v>988</v>
      </c>
      <c r="I1292" s="1478" t="s">
        <v>811</v>
      </c>
      <c r="J1292" s="1478"/>
      <c r="K1292" s="1475" t="s">
        <v>851</v>
      </c>
      <c r="L1292" s="1474" t="s">
        <v>584</v>
      </c>
      <c r="M1292" s="1476" t="s">
        <v>1698</v>
      </c>
      <c r="N1292" s="1477" t="s">
        <v>1693</v>
      </c>
      <c r="O1292" s="1479">
        <v>11921</v>
      </c>
      <c r="P1292" s="1479"/>
      <c r="Q1292" s="1142">
        <f t="shared" si="361"/>
        <v>11921</v>
      </c>
      <c r="R1292" s="1143">
        <f>IFERROR(VLOOKUP(CONCATENATE(E1292,G1292),'LAC 103'!$A$12:$O$95,11,FALSE),0)</f>
        <v>5.936295312319726</v>
      </c>
      <c r="S1292" s="1144">
        <f>IFERROR(VLOOKUP(CONCATENATE($E1292,$G1292),'LAC 103'!$A$12:$O$95,12,FALSE),0)</f>
        <v>7.34</v>
      </c>
      <c r="T1292" s="1144">
        <f>IFERROR(VLOOKUP(CONCATENATE($E1292,$G1292),'LAC 103'!$A$12:$O$95,13,FALSE),0)</f>
        <v>4.59</v>
      </c>
      <c r="U1292" s="1144">
        <f>IFERROR(VLOOKUP(CONCATENATE($E1292,$G1292),'LAC 103'!$A$12:$O$95,14,FALSE),0)</f>
        <v>0</v>
      </c>
      <c r="V1292" s="1144">
        <f>IFERROR(VLOOKUP(CONCATENATE($E1292,$G1292),'LAC 103'!$A$12:$O$95,15,FALSE),0)</f>
        <v>0</v>
      </c>
      <c r="W1292" s="1145" t="str">
        <f>IFERROR(VLOOKUP(CONCATENATE($B1292,$N1292),'LAC 103'!$AI:$AQ,9,FALSE),"")</f>
        <v>Costs</v>
      </c>
      <c r="X1292" s="1146">
        <f t="shared" si="366"/>
        <v>5.936295312319726</v>
      </c>
      <c r="Y1292" s="1143">
        <f t="shared" si="377"/>
        <v>70766.576418163459</v>
      </c>
      <c r="Z1292" s="1147">
        <f t="shared" si="367"/>
        <v>87500.14</v>
      </c>
      <c r="AA1292" s="1144">
        <f t="shared" si="368"/>
        <v>54717.39</v>
      </c>
      <c r="AB1292" s="1144">
        <f t="shared" si="369"/>
        <v>0</v>
      </c>
      <c r="AC1292" s="1144">
        <f t="shared" si="370"/>
        <v>0</v>
      </c>
      <c r="AD1292" s="1148">
        <f t="shared" si="362"/>
        <v>70766.576418163459</v>
      </c>
      <c r="AE1292" s="1487">
        <v>0</v>
      </c>
      <c r="AF1292" s="1145">
        <f t="shared" si="371"/>
        <v>70766.576418163459</v>
      </c>
      <c r="AG1292" s="1149">
        <f>IFERROR(VLOOKUP(CONCATENATE($L1292,$N1292),'Drop List'!$G$23:$K$87,2,FALSE),0)</f>
        <v>0.56200000000000006</v>
      </c>
      <c r="AH1292" s="1150">
        <f>IFERROR(VLOOKUP(CONCATENATE($L1292,$N1292),'Drop List'!$G$23:$K$87,3,FALSE),0)</f>
        <v>0</v>
      </c>
      <c r="AI1292" s="1150">
        <f>IFERROR(VLOOKUP(CONCATENATE($L1292,$N1292),'Drop List'!$G$23:$K$87,4,FALSE),0)</f>
        <v>0</v>
      </c>
      <c r="AJ1292" s="1151">
        <f>IFERROR(VLOOKUP(CONCATENATE($L1292,$N1292),'Drop List'!$G$23:$K$87,5,FALSE),0)</f>
        <v>0.43799999999999994</v>
      </c>
      <c r="AK1292" s="1152">
        <f t="shared" si="372"/>
        <v>39770.815947007868</v>
      </c>
      <c r="AL1292" s="1153">
        <f t="shared" si="373"/>
        <v>0</v>
      </c>
      <c r="AM1292" s="1153">
        <f t="shared" si="374"/>
        <v>0</v>
      </c>
      <c r="AN1292" s="1145">
        <f t="shared" si="375"/>
        <v>30995.76047115559</v>
      </c>
      <c r="AO1292" s="1154">
        <f t="shared" si="376"/>
        <v>70766.576418163459</v>
      </c>
      <c r="AP1292" s="1147">
        <f t="shared" si="363"/>
        <v>0</v>
      </c>
      <c r="AQ1292" s="1144">
        <f t="shared" si="364"/>
        <v>0</v>
      </c>
      <c r="AR1292" s="1146">
        <f t="shared" si="365"/>
        <v>70766.576418163459</v>
      </c>
    </row>
    <row r="1293" spans="1:44" x14ac:dyDescent="0.2">
      <c r="A1293" s="1141" t="str">
        <f t="shared" si="360"/>
        <v>1562</v>
      </c>
      <c r="B1293" s="1141" t="str">
        <f>IFERROR(VLOOKUP(A1293,'LAC 103'!A:C,3,FALSE),"")</f>
        <v>OP</v>
      </c>
      <c r="C1293" s="1478" t="str">
        <f>Info!$B$8</f>
        <v>00100</v>
      </c>
      <c r="D1293" s="1474" t="s">
        <v>256</v>
      </c>
      <c r="E1293" s="1474" t="s">
        <v>95</v>
      </c>
      <c r="F1293" s="1478" t="s">
        <v>432</v>
      </c>
      <c r="G1293" s="1478" t="s">
        <v>432</v>
      </c>
      <c r="H1293" s="1474" t="s">
        <v>1661</v>
      </c>
      <c r="I1293" s="1478" t="s">
        <v>819</v>
      </c>
      <c r="J1293" s="1478" t="s">
        <v>123</v>
      </c>
      <c r="K1293" s="1475" t="s">
        <v>849</v>
      </c>
      <c r="L1293" s="1474" t="s">
        <v>77</v>
      </c>
      <c r="M1293" s="1476" t="s">
        <v>1699</v>
      </c>
      <c r="N1293" s="1477" t="s">
        <v>1694</v>
      </c>
      <c r="O1293" s="1479">
        <v>280</v>
      </c>
      <c r="P1293" s="1479"/>
      <c r="Q1293" s="1142">
        <f t="shared" si="361"/>
        <v>280</v>
      </c>
      <c r="R1293" s="1143">
        <f>IFERROR(VLOOKUP(CONCATENATE(E1293,G1293),'LAC 103'!$A$12:$O$95,11,FALSE),0)</f>
        <v>5.936295312319726</v>
      </c>
      <c r="S1293" s="1144">
        <f>IFERROR(VLOOKUP(CONCATENATE($E1293,$G1293),'LAC 103'!$A$12:$O$95,12,FALSE),0)</f>
        <v>7.34</v>
      </c>
      <c r="T1293" s="1144">
        <f>IFERROR(VLOOKUP(CONCATENATE($E1293,$G1293),'LAC 103'!$A$12:$O$95,13,FALSE),0)</f>
        <v>4.59</v>
      </c>
      <c r="U1293" s="1144">
        <f>IFERROR(VLOOKUP(CONCATENATE($E1293,$G1293),'LAC 103'!$A$12:$O$95,14,FALSE),0)</f>
        <v>0</v>
      </c>
      <c r="V1293" s="1144">
        <f>IFERROR(VLOOKUP(CONCATENATE($E1293,$G1293),'LAC 103'!$A$12:$O$95,15,FALSE),0)</f>
        <v>0</v>
      </c>
      <c r="W1293" s="1145" t="str">
        <f>IFERROR(VLOOKUP(CONCATENATE($B1293,$N1293),'LAC 103'!$AI:$AQ,9,FALSE),"")</f>
        <v>Costs</v>
      </c>
      <c r="X1293" s="1146">
        <f t="shared" si="366"/>
        <v>5.936295312319726</v>
      </c>
      <c r="Y1293" s="1143">
        <f t="shared" si="377"/>
        <v>1662.1626874495232</v>
      </c>
      <c r="Z1293" s="1147">
        <f t="shared" si="367"/>
        <v>2055.1999999999998</v>
      </c>
      <c r="AA1293" s="1144">
        <f t="shared" si="368"/>
        <v>1285.2</v>
      </c>
      <c r="AB1293" s="1144">
        <f t="shared" si="369"/>
        <v>0</v>
      </c>
      <c r="AC1293" s="1144">
        <f t="shared" si="370"/>
        <v>0</v>
      </c>
      <c r="AD1293" s="1148">
        <f t="shared" si="362"/>
        <v>1662.1626874495232</v>
      </c>
      <c r="AE1293" s="1487">
        <v>0</v>
      </c>
      <c r="AF1293" s="1145">
        <f t="shared" si="371"/>
        <v>1662.1626874495232</v>
      </c>
      <c r="AG1293" s="1149">
        <f>IFERROR(VLOOKUP(CONCATENATE($L1293,$N1293),'Drop List'!$G$23:$K$87,2,FALSE),0)</f>
        <v>0.9</v>
      </c>
      <c r="AH1293" s="1150">
        <f>IFERROR(VLOOKUP(CONCATENATE($L1293,$N1293),'Drop List'!$G$23:$K$87,3,FALSE),0)</f>
        <v>0</v>
      </c>
      <c r="AI1293" s="1150">
        <f>IFERROR(VLOOKUP(CONCATENATE($L1293,$N1293),'Drop List'!$G$23:$K$87,4,FALSE),0)</f>
        <v>0.1</v>
      </c>
      <c r="AJ1293" s="1151">
        <f>IFERROR(VLOOKUP(CONCATENATE($L1293,$N1293),'Drop List'!$G$23:$K$87,5,FALSE),0)</f>
        <v>0</v>
      </c>
      <c r="AK1293" s="1152">
        <f t="shared" si="372"/>
        <v>1495.946418704571</v>
      </c>
      <c r="AL1293" s="1153">
        <f t="shared" si="373"/>
        <v>0</v>
      </c>
      <c r="AM1293" s="1153">
        <f t="shared" si="374"/>
        <v>166.21626874495234</v>
      </c>
      <c r="AN1293" s="1145">
        <f t="shared" si="375"/>
        <v>0</v>
      </c>
      <c r="AO1293" s="1154">
        <f t="shared" si="376"/>
        <v>1662.1626874495232</v>
      </c>
      <c r="AP1293" s="1147">
        <f t="shared" si="363"/>
        <v>0</v>
      </c>
      <c r="AQ1293" s="1144">
        <f t="shared" si="364"/>
        <v>0</v>
      </c>
      <c r="AR1293" s="1146">
        <f t="shared" si="365"/>
        <v>1662.1626874495232</v>
      </c>
    </row>
    <row r="1294" spans="1:44" x14ac:dyDescent="0.2">
      <c r="A1294" s="1141" t="str">
        <f t="shared" si="360"/>
        <v>1562</v>
      </c>
      <c r="B1294" s="1141" t="str">
        <f>IFERROR(VLOOKUP(A1294,'LAC 103'!A:C,3,FALSE),"")</f>
        <v>OP</v>
      </c>
      <c r="C1294" s="1478" t="str">
        <f>Info!$B$8</f>
        <v>00100</v>
      </c>
      <c r="D1294" s="1474" t="s">
        <v>256</v>
      </c>
      <c r="E1294" s="1474" t="s">
        <v>95</v>
      </c>
      <c r="F1294" s="1478" t="s">
        <v>432</v>
      </c>
      <c r="G1294" s="1478" t="s">
        <v>432</v>
      </c>
      <c r="H1294" s="1474" t="s">
        <v>1661</v>
      </c>
      <c r="I1294" s="1478" t="s">
        <v>819</v>
      </c>
      <c r="J1294" s="1478"/>
      <c r="K1294" s="1475" t="s">
        <v>849</v>
      </c>
      <c r="L1294" s="1474" t="s">
        <v>77</v>
      </c>
      <c r="M1294" s="1476" t="s">
        <v>841</v>
      </c>
      <c r="N1294" s="1477" t="s">
        <v>1695</v>
      </c>
      <c r="O1294" s="1479">
        <v>30</v>
      </c>
      <c r="P1294" s="1479"/>
      <c r="Q1294" s="1142">
        <f t="shared" si="361"/>
        <v>30</v>
      </c>
      <c r="R1294" s="1143">
        <f>IFERROR(VLOOKUP(CONCATENATE(E1294,G1294),'LAC 103'!$A$12:$O$95,11,FALSE),0)</f>
        <v>5.936295312319726</v>
      </c>
      <c r="S1294" s="1144">
        <f>IFERROR(VLOOKUP(CONCATENATE($E1294,$G1294),'LAC 103'!$A$12:$O$95,12,FALSE),0)</f>
        <v>7.34</v>
      </c>
      <c r="T1294" s="1144">
        <f>IFERROR(VLOOKUP(CONCATENATE($E1294,$G1294),'LAC 103'!$A$12:$O$95,13,FALSE),0)</f>
        <v>4.59</v>
      </c>
      <c r="U1294" s="1144">
        <f>IFERROR(VLOOKUP(CONCATENATE($E1294,$G1294),'LAC 103'!$A$12:$O$95,14,FALSE),0)</f>
        <v>0</v>
      </c>
      <c r="V1294" s="1144">
        <f>IFERROR(VLOOKUP(CONCATENATE($E1294,$G1294),'LAC 103'!$A$12:$O$95,15,FALSE),0)</f>
        <v>0</v>
      </c>
      <c r="W1294" s="1145" t="str">
        <f>IFERROR(VLOOKUP(CONCATENATE($B1294,$N1294),'LAC 103'!$AI:$AQ,9,FALSE),"")</f>
        <v>Costs</v>
      </c>
      <c r="X1294" s="1146">
        <f t="shared" si="366"/>
        <v>5.936295312319726</v>
      </c>
      <c r="Y1294" s="1143">
        <f t="shared" si="377"/>
        <v>178.08885936959177</v>
      </c>
      <c r="Z1294" s="1147">
        <f t="shared" si="367"/>
        <v>220.2</v>
      </c>
      <c r="AA1294" s="1144">
        <f t="shared" si="368"/>
        <v>137.69999999999999</v>
      </c>
      <c r="AB1294" s="1144">
        <f t="shared" si="369"/>
        <v>0</v>
      </c>
      <c r="AC1294" s="1144">
        <f t="shared" si="370"/>
        <v>0</v>
      </c>
      <c r="AD1294" s="1148">
        <f t="shared" si="362"/>
        <v>178.08885936959177</v>
      </c>
      <c r="AE1294" s="1487">
        <v>0</v>
      </c>
      <c r="AF1294" s="1145">
        <f t="shared" si="371"/>
        <v>178.08885936959177</v>
      </c>
      <c r="AG1294" s="1149">
        <f>IFERROR(VLOOKUP(CONCATENATE($L1294,$N1294),'Drop List'!$G$23:$K$87,2,FALSE),0)</f>
        <v>0.9</v>
      </c>
      <c r="AH1294" s="1150">
        <f>IFERROR(VLOOKUP(CONCATENATE($L1294,$N1294),'Drop List'!$G$23:$K$87,3,FALSE),0)</f>
        <v>0</v>
      </c>
      <c r="AI1294" s="1150">
        <f>IFERROR(VLOOKUP(CONCATENATE($L1294,$N1294),'Drop List'!$G$23:$K$87,4,FALSE),0)</f>
        <v>0.1</v>
      </c>
      <c r="AJ1294" s="1151">
        <f>IFERROR(VLOOKUP(CONCATENATE($L1294,$N1294),'Drop List'!$G$23:$K$87,5,FALSE),0)</f>
        <v>0</v>
      </c>
      <c r="AK1294" s="1152">
        <f t="shared" si="372"/>
        <v>160.2799734326326</v>
      </c>
      <c r="AL1294" s="1153">
        <f t="shared" si="373"/>
        <v>0</v>
      </c>
      <c r="AM1294" s="1153">
        <f t="shared" si="374"/>
        <v>17.808885936959179</v>
      </c>
      <c r="AN1294" s="1145">
        <f t="shared" si="375"/>
        <v>0</v>
      </c>
      <c r="AO1294" s="1154">
        <f t="shared" si="376"/>
        <v>178.08885936959177</v>
      </c>
      <c r="AP1294" s="1147">
        <f t="shared" si="363"/>
        <v>0</v>
      </c>
      <c r="AQ1294" s="1144">
        <f t="shared" si="364"/>
        <v>0</v>
      </c>
      <c r="AR1294" s="1146">
        <f t="shared" si="365"/>
        <v>178.08885936959177</v>
      </c>
    </row>
    <row r="1295" spans="1:44" x14ac:dyDescent="0.2">
      <c r="A1295" s="1141" t="str">
        <f t="shared" si="360"/>
        <v>1562</v>
      </c>
      <c r="B1295" s="1141" t="str">
        <f>IFERROR(VLOOKUP(A1295,'LAC 103'!A:C,3,FALSE),"")</f>
        <v>OP</v>
      </c>
      <c r="C1295" s="1478" t="str">
        <f>Info!$B$8</f>
        <v>00100</v>
      </c>
      <c r="D1295" s="1474" t="s">
        <v>256</v>
      </c>
      <c r="E1295" s="1474" t="s">
        <v>95</v>
      </c>
      <c r="F1295" s="1478" t="s">
        <v>432</v>
      </c>
      <c r="G1295" s="1478" t="s">
        <v>432</v>
      </c>
      <c r="H1295" s="1474" t="s">
        <v>1661</v>
      </c>
      <c r="I1295" s="1478" t="s">
        <v>819</v>
      </c>
      <c r="J1295" s="1478"/>
      <c r="K1295" s="1475" t="s">
        <v>849</v>
      </c>
      <c r="L1295" s="1474" t="s">
        <v>77</v>
      </c>
      <c r="M1295" s="1476" t="s">
        <v>840</v>
      </c>
      <c r="N1295" s="1477" t="s">
        <v>1700</v>
      </c>
      <c r="O1295" s="1479">
        <v>30</v>
      </c>
      <c r="P1295" s="1479"/>
      <c r="Q1295" s="1142">
        <f t="shared" si="361"/>
        <v>30</v>
      </c>
      <c r="R1295" s="1143">
        <f>IFERROR(VLOOKUP(CONCATENATE(E1295,G1295),'LAC 103'!$A$12:$O$95,11,FALSE),0)</f>
        <v>5.936295312319726</v>
      </c>
      <c r="S1295" s="1144">
        <f>IFERROR(VLOOKUP(CONCATENATE($E1295,$G1295),'LAC 103'!$A$12:$O$95,12,FALSE),0)</f>
        <v>7.34</v>
      </c>
      <c r="T1295" s="1144">
        <f>IFERROR(VLOOKUP(CONCATENATE($E1295,$G1295),'LAC 103'!$A$12:$O$95,13,FALSE),0)</f>
        <v>4.59</v>
      </c>
      <c r="U1295" s="1144">
        <f>IFERROR(VLOOKUP(CONCATENATE($E1295,$G1295),'LAC 103'!$A$12:$O$95,14,FALSE),0)</f>
        <v>0</v>
      </c>
      <c r="V1295" s="1144">
        <f>IFERROR(VLOOKUP(CONCATENATE($E1295,$G1295),'LAC 103'!$A$12:$O$95,15,FALSE),0)</f>
        <v>0</v>
      </c>
      <c r="W1295" s="1145" t="str">
        <f>IFERROR(VLOOKUP(CONCATENATE($B1295,$N1295),'LAC 103'!$AI:$AQ,9,FALSE),"")</f>
        <v>P.C.</v>
      </c>
      <c r="X1295" s="1146">
        <f t="shared" si="366"/>
        <v>4.59</v>
      </c>
      <c r="Y1295" s="1143">
        <f t="shared" si="377"/>
        <v>178.08885936959177</v>
      </c>
      <c r="Z1295" s="1147">
        <f t="shared" si="367"/>
        <v>220.2</v>
      </c>
      <c r="AA1295" s="1144">
        <f t="shared" si="368"/>
        <v>137.69999999999999</v>
      </c>
      <c r="AB1295" s="1144">
        <f t="shared" si="369"/>
        <v>0</v>
      </c>
      <c r="AC1295" s="1144">
        <f t="shared" si="370"/>
        <v>0</v>
      </c>
      <c r="AD1295" s="1148">
        <f t="shared" si="362"/>
        <v>137.69999999999999</v>
      </c>
      <c r="AE1295" s="1487">
        <v>0</v>
      </c>
      <c r="AF1295" s="1145">
        <f t="shared" si="371"/>
        <v>137.69999999999999</v>
      </c>
      <c r="AG1295" s="1149">
        <f>IFERROR(VLOOKUP(CONCATENATE($L1295,$N1295),'Drop List'!$G$23:$K$87,2,FALSE),0)</f>
        <v>0.9</v>
      </c>
      <c r="AH1295" s="1150">
        <f>IFERROR(VLOOKUP(CONCATENATE($L1295,$N1295),'Drop List'!$G$23:$K$87,3,FALSE),0)</f>
        <v>0</v>
      </c>
      <c r="AI1295" s="1150">
        <f>IFERROR(VLOOKUP(CONCATENATE($L1295,$N1295),'Drop List'!$G$23:$K$87,4,FALSE),0)</f>
        <v>0.1</v>
      </c>
      <c r="AJ1295" s="1151">
        <f>IFERROR(VLOOKUP(CONCATENATE($L1295,$N1295),'Drop List'!$G$23:$K$87,5,FALSE),0)</f>
        <v>0</v>
      </c>
      <c r="AK1295" s="1152">
        <f t="shared" si="372"/>
        <v>123.92999999999999</v>
      </c>
      <c r="AL1295" s="1153">
        <f t="shared" si="373"/>
        <v>0</v>
      </c>
      <c r="AM1295" s="1153">
        <f t="shared" si="374"/>
        <v>13.77</v>
      </c>
      <c r="AN1295" s="1145">
        <f t="shared" si="375"/>
        <v>0</v>
      </c>
      <c r="AO1295" s="1154">
        <f t="shared" si="376"/>
        <v>137.69999999999999</v>
      </c>
      <c r="AP1295" s="1147">
        <f t="shared" si="363"/>
        <v>0</v>
      </c>
      <c r="AQ1295" s="1144">
        <f t="shared" si="364"/>
        <v>0</v>
      </c>
      <c r="AR1295" s="1146">
        <f t="shared" si="365"/>
        <v>137.69999999999999</v>
      </c>
    </row>
    <row r="1296" spans="1:44" x14ac:dyDescent="0.2">
      <c r="A1296" s="1141" t="str">
        <f t="shared" si="360"/>
        <v>1562</v>
      </c>
      <c r="B1296" s="1141" t="str">
        <f>IFERROR(VLOOKUP(A1296,'LAC 103'!A:C,3,FALSE),"")</f>
        <v>OP</v>
      </c>
      <c r="C1296" s="1478" t="str">
        <f>Info!$B$8</f>
        <v>00100</v>
      </c>
      <c r="D1296" s="1474" t="s">
        <v>256</v>
      </c>
      <c r="E1296" s="1474" t="s">
        <v>95</v>
      </c>
      <c r="F1296" s="1478" t="s">
        <v>432</v>
      </c>
      <c r="G1296" s="1478" t="s">
        <v>432</v>
      </c>
      <c r="H1296" s="1474" t="s">
        <v>1661</v>
      </c>
      <c r="I1296" s="1478" t="s">
        <v>819</v>
      </c>
      <c r="J1296" s="1478"/>
      <c r="K1296" s="1475" t="s">
        <v>849</v>
      </c>
      <c r="L1296" s="1474" t="s">
        <v>77</v>
      </c>
      <c r="M1296" s="1476" t="s">
        <v>842</v>
      </c>
      <c r="N1296" s="1477" t="s">
        <v>1692</v>
      </c>
      <c r="O1296" s="1479">
        <v>425</v>
      </c>
      <c r="P1296" s="1479"/>
      <c r="Q1296" s="1142">
        <f t="shared" si="361"/>
        <v>425</v>
      </c>
      <c r="R1296" s="1143">
        <f>IFERROR(VLOOKUP(CONCATENATE(E1296,G1296),'LAC 103'!$A$12:$O$95,11,FALSE),0)</f>
        <v>5.936295312319726</v>
      </c>
      <c r="S1296" s="1144">
        <f>IFERROR(VLOOKUP(CONCATENATE($E1296,$G1296),'LAC 103'!$A$12:$O$95,12,FALSE),0)</f>
        <v>7.34</v>
      </c>
      <c r="T1296" s="1144">
        <f>IFERROR(VLOOKUP(CONCATENATE($E1296,$G1296),'LAC 103'!$A$12:$O$95,13,FALSE),0)</f>
        <v>4.59</v>
      </c>
      <c r="U1296" s="1144">
        <f>IFERROR(VLOOKUP(CONCATENATE($E1296,$G1296),'LAC 103'!$A$12:$O$95,14,FALSE),0)</f>
        <v>0</v>
      </c>
      <c r="V1296" s="1144">
        <f>IFERROR(VLOOKUP(CONCATENATE($E1296,$G1296),'LAC 103'!$A$12:$O$95,15,FALSE),0)</f>
        <v>0</v>
      </c>
      <c r="W1296" s="1145" t="str">
        <f>IFERROR(VLOOKUP(CONCATENATE($B1296,$N1296),'LAC 103'!$AI:$AQ,9,FALSE),"")</f>
        <v>Costs</v>
      </c>
      <c r="X1296" s="1146">
        <f t="shared" si="366"/>
        <v>5.936295312319726</v>
      </c>
      <c r="Y1296" s="1143">
        <f t="shared" si="377"/>
        <v>2522.9255077358835</v>
      </c>
      <c r="Z1296" s="1147">
        <f t="shared" si="367"/>
        <v>3119.5</v>
      </c>
      <c r="AA1296" s="1144">
        <f t="shared" si="368"/>
        <v>1950.75</v>
      </c>
      <c r="AB1296" s="1144">
        <f t="shared" si="369"/>
        <v>0</v>
      </c>
      <c r="AC1296" s="1144">
        <f t="shared" si="370"/>
        <v>0</v>
      </c>
      <c r="AD1296" s="1148">
        <f t="shared" si="362"/>
        <v>2522.9255077358835</v>
      </c>
      <c r="AE1296" s="1487">
        <v>0</v>
      </c>
      <c r="AF1296" s="1145">
        <f t="shared" si="371"/>
        <v>2522.9255077358835</v>
      </c>
      <c r="AG1296" s="1149">
        <f>IFERROR(VLOOKUP(CONCATENATE($L1296,$N1296),'Drop List'!$G$23:$K$87,2,FALSE),0)</f>
        <v>0.9</v>
      </c>
      <c r="AH1296" s="1150">
        <f>IFERROR(VLOOKUP(CONCATENATE($L1296,$N1296),'Drop List'!$G$23:$K$87,3,FALSE),0)</f>
        <v>0</v>
      </c>
      <c r="AI1296" s="1150">
        <f>IFERROR(VLOOKUP(CONCATENATE($L1296,$N1296),'Drop List'!$G$23:$K$87,4,FALSE),0)</f>
        <v>0.1</v>
      </c>
      <c r="AJ1296" s="1151">
        <f>IFERROR(VLOOKUP(CONCATENATE($L1296,$N1296),'Drop List'!$G$23:$K$87,5,FALSE),0)</f>
        <v>0</v>
      </c>
      <c r="AK1296" s="1152">
        <f t="shared" si="372"/>
        <v>2270.6329569622953</v>
      </c>
      <c r="AL1296" s="1153">
        <f t="shared" si="373"/>
        <v>0</v>
      </c>
      <c r="AM1296" s="1153">
        <f t="shared" si="374"/>
        <v>252.29255077358835</v>
      </c>
      <c r="AN1296" s="1145">
        <f t="shared" si="375"/>
        <v>0</v>
      </c>
      <c r="AO1296" s="1154">
        <f t="shared" si="376"/>
        <v>2522.9255077358839</v>
      </c>
      <c r="AP1296" s="1147">
        <f t="shared" si="363"/>
        <v>0</v>
      </c>
      <c r="AQ1296" s="1144">
        <f t="shared" si="364"/>
        <v>0</v>
      </c>
      <c r="AR1296" s="1146">
        <f t="shared" si="365"/>
        <v>2522.9255077358839</v>
      </c>
    </row>
    <row r="1297" spans="1:44" x14ac:dyDescent="0.2">
      <c r="A1297" s="1141" t="str">
        <f t="shared" si="360"/>
        <v>1562</v>
      </c>
      <c r="B1297" s="1141" t="str">
        <f>IFERROR(VLOOKUP(A1297,'LAC 103'!A:C,3,FALSE),"")</f>
        <v>OP</v>
      </c>
      <c r="C1297" s="1478" t="str">
        <f>Info!$B$8</f>
        <v>00100</v>
      </c>
      <c r="D1297" s="1474" t="s">
        <v>256</v>
      </c>
      <c r="E1297" s="1474" t="s">
        <v>95</v>
      </c>
      <c r="F1297" s="1478" t="s">
        <v>432</v>
      </c>
      <c r="G1297" s="1478" t="s">
        <v>432</v>
      </c>
      <c r="H1297" s="1474" t="s">
        <v>1661</v>
      </c>
      <c r="I1297" s="1478" t="s">
        <v>819</v>
      </c>
      <c r="J1297" s="1478"/>
      <c r="K1297" s="1475" t="s">
        <v>849</v>
      </c>
      <c r="L1297" s="1474" t="s">
        <v>77</v>
      </c>
      <c r="M1297" s="1476" t="s">
        <v>1698</v>
      </c>
      <c r="N1297" s="1477" t="s">
        <v>1693</v>
      </c>
      <c r="O1297" s="1479">
        <v>325</v>
      </c>
      <c r="P1297" s="1479"/>
      <c r="Q1297" s="1142">
        <f t="shared" si="361"/>
        <v>325</v>
      </c>
      <c r="R1297" s="1143">
        <f>IFERROR(VLOOKUP(CONCATENATE(E1297,G1297),'LAC 103'!$A$12:$O$95,11,FALSE),0)</f>
        <v>5.936295312319726</v>
      </c>
      <c r="S1297" s="1144">
        <f>IFERROR(VLOOKUP(CONCATENATE($E1297,$G1297),'LAC 103'!$A$12:$O$95,12,FALSE),0)</f>
        <v>7.34</v>
      </c>
      <c r="T1297" s="1144">
        <f>IFERROR(VLOOKUP(CONCATENATE($E1297,$G1297),'LAC 103'!$A$12:$O$95,13,FALSE),0)</f>
        <v>4.59</v>
      </c>
      <c r="U1297" s="1144">
        <f>IFERROR(VLOOKUP(CONCATENATE($E1297,$G1297),'LAC 103'!$A$12:$O$95,14,FALSE),0)</f>
        <v>0</v>
      </c>
      <c r="V1297" s="1144">
        <f>IFERROR(VLOOKUP(CONCATENATE($E1297,$G1297),'LAC 103'!$A$12:$O$95,15,FALSE),0)</f>
        <v>0</v>
      </c>
      <c r="W1297" s="1145" t="str">
        <f>IFERROR(VLOOKUP(CONCATENATE($B1297,$N1297),'LAC 103'!$AI:$AQ,9,FALSE),"")</f>
        <v>Costs</v>
      </c>
      <c r="X1297" s="1146">
        <f t="shared" si="366"/>
        <v>5.936295312319726</v>
      </c>
      <c r="Y1297" s="1143">
        <f t="shared" si="377"/>
        <v>1929.2959765039109</v>
      </c>
      <c r="Z1297" s="1147">
        <f t="shared" si="367"/>
        <v>2385.5</v>
      </c>
      <c r="AA1297" s="1144">
        <f t="shared" si="368"/>
        <v>1491.75</v>
      </c>
      <c r="AB1297" s="1144">
        <f t="shared" si="369"/>
        <v>0</v>
      </c>
      <c r="AC1297" s="1144">
        <f t="shared" si="370"/>
        <v>0</v>
      </c>
      <c r="AD1297" s="1148">
        <f t="shared" si="362"/>
        <v>1929.2959765039109</v>
      </c>
      <c r="AE1297" s="1487">
        <v>0</v>
      </c>
      <c r="AF1297" s="1145">
        <f t="shared" si="371"/>
        <v>1929.2959765039109</v>
      </c>
      <c r="AG1297" s="1149">
        <f>IFERROR(VLOOKUP(CONCATENATE($L1297,$N1297),'Drop List'!$G$23:$K$87,2,FALSE),0)</f>
        <v>0.9</v>
      </c>
      <c r="AH1297" s="1150">
        <f>IFERROR(VLOOKUP(CONCATENATE($L1297,$N1297),'Drop List'!$G$23:$K$87,3,FALSE),0)</f>
        <v>0</v>
      </c>
      <c r="AI1297" s="1150">
        <f>IFERROR(VLOOKUP(CONCATENATE($L1297,$N1297),'Drop List'!$G$23:$K$87,4,FALSE),0)</f>
        <v>0.1</v>
      </c>
      <c r="AJ1297" s="1151">
        <f>IFERROR(VLOOKUP(CONCATENATE($L1297,$N1297),'Drop List'!$G$23:$K$87,5,FALSE),0)</f>
        <v>0</v>
      </c>
      <c r="AK1297" s="1152">
        <f t="shared" si="372"/>
        <v>1736.3663788535198</v>
      </c>
      <c r="AL1297" s="1153">
        <f t="shared" si="373"/>
        <v>0</v>
      </c>
      <c r="AM1297" s="1153">
        <f t="shared" si="374"/>
        <v>192.92959765039109</v>
      </c>
      <c r="AN1297" s="1145">
        <f t="shared" si="375"/>
        <v>0</v>
      </c>
      <c r="AO1297" s="1154">
        <f t="shared" si="376"/>
        <v>1929.2959765039109</v>
      </c>
      <c r="AP1297" s="1147">
        <f t="shared" si="363"/>
        <v>0</v>
      </c>
      <c r="AQ1297" s="1144">
        <f t="shared" si="364"/>
        <v>0</v>
      </c>
      <c r="AR1297" s="1146">
        <f t="shared" si="365"/>
        <v>1929.2959765039109</v>
      </c>
    </row>
    <row r="1298" spans="1:44" x14ac:dyDescent="0.2">
      <c r="A1298" s="1141" t="str">
        <f t="shared" si="360"/>
        <v>1562</v>
      </c>
      <c r="B1298" s="1141" t="str">
        <f>IFERROR(VLOOKUP(A1298,'LAC 103'!A:C,3,FALSE),"")</f>
        <v>OP</v>
      </c>
      <c r="C1298" s="1478" t="str">
        <f>Info!$B$8</f>
        <v>00100</v>
      </c>
      <c r="D1298" s="1474" t="s">
        <v>256</v>
      </c>
      <c r="E1298" s="1474" t="s">
        <v>95</v>
      </c>
      <c r="F1298" s="1478" t="s">
        <v>432</v>
      </c>
      <c r="G1298" s="1478" t="s">
        <v>432</v>
      </c>
      <c r="H1298" s="1474" t="s">
        <v>1661</v>
      </c>
      <c r="I1298" s="1478" t="s">
        <v>819</v>
      </c>
      <c r="J1298" s="1478"/>
      <c r="K1298" s="1475" t="s">
        <v>971</v>
      </c>
      <c r="L1298" s="1474" t="s">
        <v>332</v>
      </c>
      <c r="M1298" s="1476" t="s">
        <v>1699</v>
      </c>
      <c r="N1298" s="1477" t="s">
        <v>1694</v>
      </c>
      <c r="O1298" s="1479">
        <v>35</v>
      </c>
      <c r="P1298" s="1479"/>
      <c r="Q1298" s="1142">
        <f t="shared" si="361"/>
        <v>35</v>
      </c>
      <c r="R1298" s="1143">
        <f>IFERROR(VLOOKUP(CONCATENATE(E1298,G1298),'LAC 103'!$A$12:$O$95,11,FALSE),0)</f>
        <v>5.936295312319726</v>
      </c>
      <c r="S1298" s="1144">
        <f>IFERROR(VLOOKUP(CONCATENATE($E1298,$G1298),'LAC 103'!$A$12:$O$95,12,FALSE),0)</f>
        <v>7.34</v>
      </c>
      <c r="T1298" s="1144">
        <f>IFERROR(VLOOKUP(CONCATENATE($E1298,$G1298),'LAC 103'!$A$12:$O$95,13,FALSE),0)</f>
        <v>4.59</v>
      </c>
      <c r="U1298" s="1144">
        <f>IFERROR(VLOOKUP(CONCATENATE($E1298,$G1298),'LAC 103'!$A$12:$O$95,14,FALSE),0)</f>
        <v>0</v>
      </c>
      <c r="V1298" s="1144">
        <f>IFERROR(VLOOKUP(CONCATENATE($E1298,$G1298),'LAC 103'!$A$12:$O$95,15,FALSE),0)</f>
        <v>0</v>
      </c>
      <c r="W1298" s="1145" t="str">
        <f>IFERROR(VLOOKUP(CONCATENATE($B1298,$N1298),'LAC 103'!$AI:$AQ,9,FALSE),"")</f>
        <v>Costs</v>
      </c>
      <c r="X1298" s="1146">
        <f t="shared" si="366"/>
        <v>5.936295312319726</v>
      </c>
      <c r="Y1298" s="1143">
        <f t="shared" si="377"/>
        <v>207.7703359311904</v>
      </c>
      <c r="Z1298" s="1147">
        <f t="shared" si="367"/>
        <v>256.89999999999998</v>
      </c>
      <c r="AA1298" s="1144">
        <f t="shared" si="368"/>
        <v>160.65</v>
      </c>
      <c r="AB1298" s="1144">
        <f t="shared" si="369"/>
        <v>0</v>
      </c>
      <c r="AC1298" s="1144">
        <f t="shared" si="370"/>
        <v>0</v>
      </c>
      <c r="AD1298" s="1148">
        <f t="shared" si="362"/>
        <v>207.7703359311904</v>
      </c>
      <c r="AE1298" s="1487">
        <v>0</v>
      </c>
      <c r="AF1298" s="1145">
        <f t="shared" si="371"/>
        <v>207.7703359311904</v>
      </c>
      <c r="AG1298" s="1149">
        <f>IFERROR(VLOOKUP(CONCATENATE($L1298,$N1298),'Drop List'!$G$23:$K$87,2,FALSE),0)</f>
        <v>0</v>
      </c>
      <c r="AH1298" s="1150">
        <f>IFERROR(VLOOKUP(CONCATENATE($L1298,$N1298),'Drop List'!$G$23:$K$87,3,FALSE),0)</f>
        <v>0</v>
      </c>
      <c r="AI1298" s="1150">
        <f>IFERROR(VLOOKUP(CONCATENATE($L1298,$N1298),'Drop List'!$G$23:$K$87,4,FALSE),0)</f>
        <v>0</v>
      </c>
      <c r="AJ1298" s="1151">
        <f>IFERROR(VLOOKUP(CONCATENATE($L1298,$N1298),'Drop List'!$G$23:$K$87,5,FALSE),0)</f>
        <v>0</v>
      </c>
      <c r="AK1298" s="1152">
        <f t="shared" si="372"/>
        <v>0</v>
      </c>
      <c r="AL1298" s="1153">
        <f t="shared" si="373"/>
        <v>0</v>
      </c>
      <c r="AM1298" s="1153">
        <f t="shared" si="374"/>
        <v>0</v>
      </c>
      <c r="AN1298" s="1145">
        <f t="shared" si="375"/>
        <v>0</v>
      </c>
      <c r="AO1298" s="1154">
        <f t="shared" si="376"/>
        <v>0</v>
      </c>
      <c r="AP1298" s="1147">
        <f t="shared" si="363"/>
        <v>207.7703359311904</v>
      </c>
      <c r="AQ1298" s="1144">
        <f t="shared" si="364"/>
        <v>0</v>
      </c>
      <c r="AR1298" s="1146">
        <f t="shared" si="365"/>
        <v>207.7703359311904</v>
      </c>
    </row>
    <row r="1299" spans="1:44" x14ac:dyDescent="0.2">
      <c r="A1299" s="1141" t="str">
        <f t="shared" si="360"/>
        <v>1562</v>
      </c>
      <c r="B1299" s="1141" t="str">
        <f>IFERROR(VLOOKUP(A1299,'LAC 103'!A:C,3,FALSE),"")</f>
        <v>OP</v>
      </c>
      <c r="C1299" s="1478" t="str">
        <f>Info!$B$8</f>
        <v>00100</v>
      </c>
      <c r="D1299" s="1474" t="s">
        <v>256</v>
      </c>
      <c r="E1299" s="1474" t="s">
        <v>95</v>
      </c>
      <c r="F1299" s="1478" t="s">
        <v>432</v>
      </c>
      <c r="G1299" s="1478" t="s">
        <v>432</v>
      </c>
      <c r="H1299" s="1474" t="s">
        <v>1661</v>
      </c>
      <c r="I1299" s="1478" t="s">
        <v>819</v>
      </c>
      <c r="J1299" s="1478"/>
      <c r="K1299" s="1475" t="s">
        <v>851</v>
      </c>
      <c r="L1299" s="1474" t="s">
        <v>584</v>
      </c>
      <c r="M1299" s="1476" t="s">
        <v>1699</v>
      </c>
      <c r="N1299" s="1477" t="s">
        <v>1694</v>
      </c>
      <c r="O1299" s="1479">
        <v>492</v>
      </c>
      <c r="P1299" s="1479"/>
      <c r="Q1299" s="1142">
        <f t="shared" si="361"/>
        <v>492</v>
      </c>
      <c r="R1299" s="1143">
        <f>IFERROR(VLOOKUP(CONCATENATE(E1299,G1299),'LAC 103'!$A$12:$O$95,11,FALSE),0)</f>
        <v>5.936295312319726</v>
      </c>
      <c r="S1299" s="1144">
        <f>IFERROR(VLOOKUP(CONCATENATE($E1299,$G1299),'LAC 103'!$A$12:$O$95,12,FALSE),0)</f>
        <v>7.34</v>
      </c>
      <c r="T1299" s="1144">
        <f>IFERROR(VLOOKUP(CONCATENATE($E1299,$G1299),'LAC 103'!$A$12:$O$95,13,FALSE),0)</f>
        <v>4.59</v>
      </c>
      <c r="U1299" s="1144">
        <f>IFERROR(VLOOKUP(CONCATENATE($E1299,$G1299),'LAC 103'!$A$12:$O$95,14,FALSE),0)</f>
        <v>0</v>
      </c>
      <c r="V1299" s="1144">
        <f>IFERROR(VLOOKUP(CONCATENATE($E1299,$G1299),'LAC 103'!$A$12:$O$95,15,FALSE),0)</f>
        <v>0</v>
      </c>
      <c r="W1299" s="1145" t="str">
        <f>IFERROR(VLOOKUP(CONCATENATE($B1299,$N1299),'LAC 103'!$AI:$AQ,9,FALSE),"")</f>
        <v>Costs</v>
      </c>
      <c r="X1299" s="1146">
        <f t="shared" si="366"/>
        <v>5.936295312319726</v>
      </c>
      <c r="Y1299" s="1143">
        <f t="shared" si="377"/>
        <v>2920.6572936613052</v>
      </c>
      <c r="Z1299" s="1147">
        <f t="shared" si="367"/>
        <v>3611.2799999999997</v>
      </c>
      <c r="AA1299" s="1144">
        <f t="shared" si="368"/>
        <v>2258.2799999999997</v>
      </c>
      <c r="AB1299" s="1144">
        <f t="shared" si="369"/>
        <v>0</v>
      </c>
      <c r="AC1299" s="1144">
        <f t="shared" si="370"/>
        <v>0</v>
      </c>
      <c r="AD1299" s="1148">
        <f t="shared" si="362"/>
        <v>2920.6572936613052</v>
      </c>
      <c r="AE1299" s="1487">
        <v>0</v>
      </c>
      <c r="AF1299" s="1145">
        <f t="shared" si="371"/>
        <v>2920.6572936613052</v>
      </c>
      <c r="AG1299" s="1149">
        <f>IFERROR(VLOOKUP(CONCATENATE($L1299,$N1299),'Drop List'!$G$23:$K$87,2,FALSE),0)</f>
        <v>0.56200000000000006</v>
      </c>
      <c r="AH1299" s="1150">
        <f>IFERROR(VLOOKUP(CONCATENATE($L1299,$N1299),'Drop List'!$G$23:$K$87,3,FALSE),0)</f>
        <v>0</v>
      </c>
      <c r="AI1299" s="1150">
        <f>IFERROR(VLOOKUP(CONCATENATE($L1299,$N1299),'Drop List'!$G$23:$K$87,4,FALSE),0)</f>
        <v>0</v>
      </c>
      <c r="AJ1299" s="1151">
        <f>IFERROR(VLOOKUP(CONCATENATE($L1299,$N1299),'Drop List'!$G$23:$K$87,5,FALSE),0)</f>
        <v>0.43799999999999994</v>
      </c>
      <c r="AK1299" s="1152">
        <f t="shared" si="372"/>
        <v>1641.4093990376537</v>
      </c>
      <c r="AL1299" s="1153">
        <f t="shared" si="373"/>
        <v>0</v>
      </c>
      <c r="AM1299" s="1153">
        <f t="shared" si="374"/>
        <v>0</v>
      </c>
      <c r="AN1299" s="1145">
        <f t="shared" si="375"/>
        <v>1279.2478946236515</v>
      </c>
      <c r="AO1299" s="1154">
        <f t="shared" si="376"/>
        <v>2920.6572936613052</v>
      </c>
      <c r="AP1299" s="1147">
        <f t="shared" si="363"/>
        <v>0</v>
      </c>
      <c r="AQ1299" s="1144">
        <f t="shared" si="364"/>
        <v>0</v>
      </c>
      <c r="AR1299" s="1146">
        <f t="shared" si="365"/>
        <v>2920.6572936613052</v>
      </c>
    </row>
    <row r="1300" spans="1:44" x14ac:dyDescent="0.2">
      <c r="A1300" s="1141" t="str">
        <f t="shared" si="360"/>
        <v>1562</v>
      </c>
      <c r="B1300" s="1141" t="str">
        <f>IFERROR(VLOOKUP(A1300,'LAC 103'!A:C,3,FALSE),"")</f>
        <v>OP</v>
      </c>
      <c r="C1300" s="1478" t="str">
        <f>Info!$B$8</f>
        <v>00100</v>
      </c>
      <c r="D1300" s="1474" t="s">
        <v>256</v>
      </c>
      <c r="E1300" s="1474" t="s">
        <v>95</v>
      </c>
      <c r="F1300" s="1478" t="s">
        <v>432</v>
      </c>
      <c r="G1300" s="1478" t="s">
        <v>432</v>
      </c>
      <c r="H1300" s="1474" t="s">
        <v>1661</v>
      </c>
      <c r="I1300" s="1478" t="s">
        <v>819</v>
      </c>
      <c r="J1300" s="1478"/>
      <c r="K1300" s="1475" t="s">
        <v>851</v>
      </c>
      <c r="L1300" s="1474" t="s">
        <v>584</v>
      </c>
      <c r="M1300" s="1476" t="s">
        <v>841</v>
      </c>
      <c r="N1300" s="1477" t="s">
        <v>1695</v>
      </c>
      <c r="O1300" s="1479">
        <v>35</v>
      </c>
      <c r="P1300" s="1479"/>
      <c r="Q1300" s="1142">
        <f t="shared" si="361"/>
        <v>35</v>
      </c>
      <c r="R1300" s="1143">
        <f>IFERROR(VLOOKUP(CONCATENATE(E1300,G1300),'LAC 103'!$A$12:$O$95,11,FALSE),0)</f>
        <v>5.936295312319726</v>
      </c>
      <c r="S1300" s="1144">
        <f>IFERROR(VLOOKUP(CONCATENATE($E1300,$G1300),'LAC 103'!$A$12:$O$95,12,FALSE),0)</f>
        <v>7.34</v>
      </c>
      <c r="T1300" s="1144">
        <f>IFERROR(VLOOKUP(CONCATENATE($E1300,$G1300),'LAC 103'!$A$12:$O$95,13,FALSE),0)</f>
        <v>4.59</v>
      </c>
      <c r="U1300" s="1144">
        <f>IFERROR(VLOOKUP(CONCATENATE($E1300,$G1300),'LAC 103'!$A$12:$O$95,14,FALSE),0)</f>
        <v>0</v>
      </c>
      <c r="V1300" s="1144">
        <f>IFERROR(VLOOKUP(CONCATENATE($E1300,$G1300),'LAC 103'!$A$12:$O$95,15,FALSE),0)</f>
        <v>0</v>
      </c>
      <c r="W1300" s="1145" t="str">
        <f>IFERROR(VLOOKUP(CONCATENATE($B1300,$N1300),'LAC 103'!$AI:$AQ,9,FALSE),"")</f>
        <v>Costs</v>
      </c>
      <c r="X1300" s="1146">
        <f t="shared" si="366"/>
        <v>5.936295312319726</v>
      </c>
      <c r="Y1300" s="1143">
        <f t="shared" si="377"/>
        <v>207.7703359311904</v>
      </c>
      <c r="Z1300" s="1147">
        <f t="shared" si="367"/>
        <v>256.89999999999998</v>
      </c>
      <c r="AA1300" s="1144">
        <f t="shared" si="368"/>
        <v>160.65</v>
      </c>
      <c r="AB1300" s="1144">
        <f t="shared" si="369"/>
        <v>0</v>
      </c>
      <c r="AC1300" s="1144">
        <f t="shared" si="370"/>
        <v>0</v>
      </c>
      <c r="AD1300" s="1148">
        <f t="shared" si="362"/>
        <v>207.7703359311904</v>
      </c>
      <c r="AE1300" s="1487">
        <v>0</v>
      </c>
      <c r="AF1300" s="1145">
        <f t="shared" si="371"/>
        <v>207.7703359311904</v>
      </c>
      <c r="AG1300" s="1149">
        <f>IFERROR(VLOOKUP(CONCATENATE($L1300,$N1300),'Drop List'!$G$23:$K$87,2,FALSE),0)</f>
        <v>0.55000000000000004</v>
      </c>
      <c r="AH1300" s="1150">
        <f>IFERROR(VLOOKUP(CONCATENATE($L1300,$N1300),'Drop List'!$G$23:$K$87,3,FALSE),0)</f>
        <v>0</v>
      </c>
      <c r="AI1300" s="1150">
        <f>IFERROR(VLOOKUP(CONCATENATE($L1300,$N1300),'Drop List'!$G$23:$K$87,4,FALSE),0)</f>
        <v>0</v>
      </c>
      <c r="AJ1300" s="1151">
        <f>IFERROR(VLOOKUP(CONCATENATE($L1300,$N1300),'Drop List'!$G$23:$K$87,5,FALSE),0)</f>
        <v>0.44999999999999996</v>
      </c>
      <c r="AK1300" s="1152">
        <f t="shared" si="372"/>
        <v>114.27368476215473</v>
      </c>
      <c r="AL1300" s="1153">
        <f t="shared" si="373"/>
        <v>0</v>
      </c>
      <c r="AM1300" s="1153">
        <f t="shared" si="374"/>
        <v>0</v>
      </c>
      <c r="AN1300" s="1145">
        <f t="shared" si="375"/>
        <v>93.496651169035673</v>
      </c>
      <c r="AO1300" s="1154">
        <f t="shared" si="376"/>
        <v>207.7703359311904</v>
      </c>
      <c r="AP1300" s="1147">
        <f t="shared" si="363"/>
        <v>0</v>
      </c>
      <c r="AQ1300" s="1144">
        <f t="shared" si="364"/>
        <v>0</v>
      </c>
      <c r="AR1300" s="1146">
        <f t="shared" si="365"/>
        <v>207.7703359311904</v>
      </c>
    </row>
    <row r="1301" spans="1:44" x14ac:dyDescent="0.2">
      <c r="A1301" s="1141" t="str">
        <f t="shared" si="360"/>
        <v>1562</v>
      </c>
      <c r="B1301" s="1141" t="str">
        <f>IFERROR(VLOOKUP(A1301,'LAC 103'!A:C,3,FALSE),"")</f>
        <v>OP</v>
      </c>
      <c r="C1301" s="1478" t="str">
        <f>Info!$B$8</f>
        <v>00100</v>
      </c>
      <c r="D1301" s="1474" t="s">
        <v>256</v>
      </c>
      <c r="E1301" s="1474" t="s">
        <v>95</v>
      </c>
      <c r="F1301" s="1478" t="s">
        <v>432</v>
      </c>
      <c r="G1301" s="1478" t="s">
        <v>432</v>
      </c>
      <c r="H1301" s="1474" t="s">
        <v>1661</v>
      </c>
      <c r="I1301" s="1478" t="s">
        <v>819</v>
      </c>
      <c r="J1301" s="1478"/>
      <c r="K1301" s="1475" t="s">
        <v>851</v>
      </c>
      <c r="L1301" s="1474" t="s">
        <v>584</v>
      </c>
      <c r="M1301" s="1476" t="s">
        <v>840</v>
      </c>
      <c r="N1301" s="1477" t="s">
        <v>1700</v>
      </c>
      <c r="O1301" s="1479">
        <v>137</v>
      </c>
      <c r="P1301" s="1479"/>
      <c r="Q1301" s="1142">
        <f t="shared" si="361"/>
        <v>137</v>
      </c>
      <c r="R1301" s="1143">
        <f>IFERROR(VLOOKUP(CONCATENATE(E1301,G1301),'LAC 103'!$A$12:$O$95,11,FALSE),0)</f>
        <v>5.936295312319726</v>
      </c>
      <c r="S1301" s="1144">
        <f>IFERROR(VLOOKUP(CONCATENATE($E1301,$G1301),'LAC 103'!$A$12:$O$95,12,FALSE),0)</f>
        <v>7.34</v>
      </c>
      <c r="T1301" s="1144">
        <f>IFERROR(VLOOKUP(CONCATENATE($E1301,$G1301),'LAC 103'!$A$12:$O$95,13,FALSE),0)</f>
        <v>4.59</v>
      </c>
      <c r="U1301" s="1144">
        <f>IFERROR(VLOOKUP(CONCATENATE($E1301,$G1301),'LAC 103'!$A$12:$O$95,14,FALSE),0)</f>
        <v>0</v>
      </c>
      <c r="V1301" s="1144">
        <f>IFERROR(VLOOKUP(CONCATENATE($E1301,$G1301),'LAC 103'!$A$12:$O$95,15,FALSE),0)</f>
        <v>0</v>
      </c>
      <c r="W1301" s="1145" t="str">
        <f>IFERROR(VLOOKUP(CONCATENATE($B1301,$N1301),'LAC 103'!$AI:$AQ,9,FALSE),"")</f>
        <v>P.C.</v>
      </c>
      <c r="X1301" s="1146">
        <f t="shared" si="366"/>
        <v>4.59</v>
      </c>
      <c r="Y1301" s="1143">
        <f t="shared" si="377"/>
        <v>813.27245778780241</v>
      </c>
      <c r="Z1301" s="1147">
        <f t="shared" si="367"/>
        <v>1005.5799999999999</v>
      </c>
      <c r="AA1301" s="1144">
        <f t="shared" si="368"/>
        <v>628.82999999999993</v>
      </c>
      <c r="AB1301" s="1144">
        <f t="shared" si="369"/>
        <v>0</v>
      </c>
      <c r="AC1301" s="1144">
        <f t="shared" si="370"/>
        <v>0</v>
      </c>
      <c r="AD1301" s="1148">
        <f t="shared" si="362"/>
        <v>628.82999999999993</v>
      </c>
      <c r="AE1301" s="1487">
        <v>0</v>
      </c>
      <c r="AF1301" s="1145">
        <f t="shared" si="371"/>
        <v>628.82999999999993</v>
      </c>
      <c r="AG1301" s="1149">
        <f>IFERROR(VLOOKUP(CONCATENATE($L1301,$N1301),'Drop List'!$G$23:$K$87,2,FALSE),0)</f>
        <v>0.55000000000000004</v>
      </c>
      <c r="AH1301" s="1150">
        <f>IFERROR(VLOOKUP(CONCATENATE($L1301,$N1301),'Drop List'!$G$23:$K$87,3,FALSE),0)</f>
        <v>0</v>
      </c>
      <c r="AI1301" s="1150">
        <f>IFERROR(VLOOKUP(CONCATENATE($L1301,$N1301),'Drop List'!$G$23:$K$87,4,FALSE),0)</f>
        <v>0</v>
      </c>
      <c r="AJ1301" s="1151">
        <f>IFERROR(VLOOKUP(CONCATENATE($L1301,$N1301),'Drop List'!$G$23:$K$87,5,FALSE),0)</f>
        <v>0.44999999999999996</v>
      </c>
      <c r="AK1301" s="1152">
        <f t="shared" si="372"/>
        <v>345.85649999999998</v>
      </c>
      <c r="AL1301" s="1153">
        <f t="shared" si="373"/>
        <v>0</v>
      </c>
      <c r="AM1301" s="1153">
        <f t="shared" si="374"/>
        <v>0</v>
      </c>
      <c r="AN1301" s="1145">
        <f t="shared" si="375"/>
        <v>282.97349999999994</v>
      </c>
      <c r="AO1301" s="1154">
        <f t="shared" si="376"/>
        <v>628.82999999999993</v>
      </c>
      <c r="AP1301" s="1147">
        <f t="shared" si="363"/>
        <v>0</v>
      </c>
      <c r="AQ1301" s="1144">
        <f t="shared" si="364"/>
        <v>0</v>
      </c>
      <c r="AR1301" s="1146">
        <f t="shared" si="365"/>
        <v>628.82999999999993</v>
      </c>
    </row>
    <row r="1302" spans="1:44" x14ac:dyDescent="0.2">
      <c r="A1302" s="1141" t="str">
        <f t="shared" ref="A1302:A1365" si="378">IF(CONCATENATE(E1302,G1302)="","",CONCATENATE(E1302,G1302))</f>
        <v>1562</v>
      </c>
      <c r="B1302" s="1141" t="str">
        <f>IFERROR(VLOOKUP(A1302,'LAC 103'!A:C,3,FALSE),"")</f>
        <v>OP</v>
      </c>
      <c r="C1302" s="1478" t="str">
        <f>Info!$B$8</f>
        <v>00100</v>
      </c>
      <c r="D1302" s="1474" t="s">
        <v>256</v>
      </c>
      <c r="E1302" s="1474" t="s">
        <v>95</v>
      </c>
      <c r="F1302" s="1478" t="s">
        <v>432</v>
      </c>
      <c r="G1302" s="1478" t="s">
        <v>432</v>
      </c>
      <c r="H1302" s="1474" t="s">
        <v>1661</v>
      </c>
      <c r="I1302" s="1478" t="s">
        <v>819</v>
      </c>
      <c r="J1302" s="1478"/>
      <c r="K1302" s="1475" t="s">
        <v>851</v>
      </c>
      <c r="L1302" s="1474" t="s">
        <v>584</v>
      </c>
      <c r="M1302" s="1476" t="s">
        <v>842</v>
      </c>
      <c r="N1302" s="1477" t="s">
        <v>1692</v>
      </c>
      <c r="O1302" s="1479">
        <v>1271</v>
      </c>
      <c r="P1302" s="1479"/>
      <c r="Q1302" s="1142">
        <f t="shared" si="361"/>
        <v>1271</v>
      </c>
      <c r="R1302" s="1143">
        <f>IFERROR(VLOOKUP(CONCATENATE(E1302,G1302),'LAC 103'!$A$12:$O$95,11,FALSE),0)</f>
        <v>5.936295312319726</v>
      </c>
      <c r="S1302" s="1144">
        <f>IFERROR(VLOOKUP(CONCATENATE($E1302,$G1302),'LAC 103'!$A$12:$O$95,12,FALSE),0)</f>
        <v>7.34</v>
      </c>
      <c r="T1302" s="1144">
        <f>IFERROR(VLOOKUP(CONCATENATE($E1302,$G1302),'LAC 103'!$A$12:$O$95,13,FALSE),0)</f>
        <v>4.59</v>
      </c>
      <c r="U1302" s="1144">
        <f>IFERROR(VLOOKUP(CONCATENATE($E1302,$G1302),'LAC 103'!$A$12:$O$95,14,FALSE),0)</f>
        <v>0</v>
      </c>
      <c r="V1302" s="1144">
        <f>IFERROR(VLOOKUP(CONCATENATE($E1302,$G1302),'LAC 103'!$A$12:$O$95,15,FALSE),0)</f>
        <v>0</v>
      </c>
      <c r="W1302" s="1145" t="str">
        <f>IFERROR(VLOOKUP(CONCATENATE($B1302,$N1302),'LAC 103'!$AI:$AQ,9,FALSE),"")</f>
        <v>Costs</v>
      </c>
      <c r="X1302" s="1146">
        <f t="shared" si="366"/>
        <v>5.936295312319726</v>
      </c>
      <c r="Y1302" s="1143">
        <f t="shared" si="377"/>
        <v>7545.0313419583717</v>
      </c>
      <c r="Z1302" s="1147">
        <f t="shared" si="367"/>
        <v>9329.14</v>
      </c>
      <c r="AA1302" s="1144">
        <f t="shared" si="368"/>
        <v>5833.8899999999994</v>
      </c>
      <c r="AB1302" s="1144">
        <f t="shared" si="369"/>
        <v>0</v>
      </c>
      <c r="AC1302" s="1144">
        <f t="shared" si="370"/>
        <v>0</v>
      </c>
      <c r="AD1302" s="1148">
        <f t="shared" si="362"/>
        <v>7545.0313419583717</v>
      </c>
      <c r="AE1302" s="1487">
        <v>0</v>
      </c>
      <c r="AF1302" s="1145">
        <f t="shared" si="371"/>
        <v>7545.0313419583717</v>
      </c>
      <c r="AG1302" s="1149">
        <f>IFERROR(VLOOKUP(CONCATENATE($L1302,$N1302),'Drop List'!$G$23:$K$87,2,FALSE),0)</f>
        <v>0.56200000000000006</v>
      </c>
      <c r="AH1302" s="1150">
        <f>IFERROR(VLOOKUP(CONCATENATE($L1302,$N1302),'Drop List'!$G$23:$K$87,3,FALSE),0)</f>
        <v>0</v>
      </c>
      <c r="AI1302" s="1150">
        <f>IFERROR(VLOOKUP(CONCATENATE($L1302,$N1302),'Drop List'!$G$23:$K$87,4,FALSE),0)</f>
        <v>0</v>
      </c>
      <c r="AJ1302" s="1151">
        <f>IFERROR(VLOOKUP(CONCATENATE($L1302,$N1302),'Drop List'!$G$23:$K$87,5,FALSE),0)</f>
        <v>0.43799999999999994</v>
      </c>
      <c r="AK1302" s="1152">
        <f t="shared" si="372"/>
        <v>4240.307614180605</v>
      </c>
      <c r="AL1302" s="1153">
        <f t="shared" si="373"/>
        <v>0</v>
      </c>
      <c r="AM1302" s="1153">
        <f t="shared" si="374"/>
        <v>0</v>
      </c>
      <c r="AN1302" s="1145">
        <f t="shared" si="375"/>
        <v>3304.7237277777663</v>
      </c>
      <c r="AO1302" s="1154">
        <f t="shared" si="376"/>
        <v>7545.0313419583708</v>
      </c>
      <c r="AP1302" s="1147">
        <f t="shared" si="363"/>
        <v>0</v>
      </c>
      <c r="AQ1302" s="1144">
        <f t="shared" si="364"/>
        <v>0</v>
      </c>
      <c r="AR1302" s="1146">
        <f t="shared" si="365"/>
        <v>7545.0313419583708</v>
      </c>
    </row>
    <row r="1303" spans="1:44" x14ac:dyDescent="0.2">
      <c r="A1303" s="1141" t="str">
        <f t="shared" si="378"/>
        <v>1562</v>
      </c>
      <c r="B1303" s="1141" t="str">
        <f>IFERROR(VLOOKUP(A1303,'LAC 103'!A:C,3,FALSE),"")</f>
        <v>OP</v>
      </c>
      <c r="C1303" s="1478" t="str">
        <f>Info!$B$8</f>
        <v>00100</v>
      </c>
      <c r="D1303" s="1474" t="s">
        <v>256</v>
      </c>
      <c r="E1303" s="1474" t="s">
        <v>95</v>
      </c>
      <c r="F1303" s="1478" t="s">
        <v>432</v>
      </c>
      <c r="G1303" s="1478" t="s">
        <v>432</v>
      </c>
      <c r="H1303" s="1474" t="s">
        <v>1661</v>
      </c>
      <c r="I1303" s="1478" t="s">
        <v>819</v>
      </c>
      <c r="J1303" s="1478"/>
      <c r="K1303" s="1475" t="s">
        <v>851</v>
      </c>
      <c r="L1303" s="1474" t="s">
        <v>584</v>
      </c>
      <c r="M1303" s="1476" t="s">
        <v>1698</v>
      </c>
      <c r="N1303" s="1477" t="s">
        <v>1693</v>
      </c>
      <c r="O1303" s="1479">
        <v>298</v>
      </c>
      <c r="P1303" s="1479"/>
      <c r="Q1303" s="1142">
        <f t="shared" si="361"/>
        <v>298</v>
      </c>
      <c r="R1303" s="1143">
        <f>IFERROR(VLOOKUP(CONCATENATE(E1303,G1303),'LAC 103'!$A$12:$O$95,11,FALSE),0)</f>
        <v>5.936295312319726</v>
      </c>
      <c r="S1303" s="1144">
        <f>IFERROR(VLOOKUP(CONCATENATE($E1303,$G1303),'LAC 103'!$A$12:$O$95,12,FALSE),0)</f>
        <v>7.34</v>
      </c>
      <c r="T1303" s="1144">
        <f>IFERROR(VLOOKUP(CONCATENATE($E1303,$G1303),'LAC 103'!$A$12:$O$95,13,FALSE),0)</f>
        <v>4.59</v>
      </c>
      <c r="U1303" s="1144">
        <f>IFERROR(VLOOKUP(CONCATENATE($E1303,$G1303),'LAC 103'!$A$12:$O$95,14,FALSE),0)</f>
        <v>0</v>
      </c>
      <c r="V1303" s="1144">
        <f>IFERROR(VLOOKUP(CONCATENATE($E1303,$G1303),'LAC 103'!$A$12:$O$95,15,FALSE),0)</f>
        <v>0</v>
      </c>
      <c r="W1303" s="1145" t="str">
        <f>IFERROR(VLOOKUP(CONCATENATE($B1303,$N1303),'LAC 103'!$AI:$AQ,9,FALSE),"")</f>
        <v>Costs</v>
      </c>
      <c r="X1303" s="1146">
        <f t="shared" si="366"/>
        <v>5.936295312319726</v>
      </c>
      <c r="Y1303" s="1143">
        <f t="shared" si="377"/>
        <v>1769.0160030712784</v>
      </c>
      <c r="Z1303" s="1147">
        <f t="shared" si="367"/>
        <v>2187.3200000000002</v>
      </c>
      <c r="AA1303" s="1144">
        <f t="shared" si="368"/>
        <v>1367.82</v>
      </c>
      <c r="AB1303" s="1144">
        <f t="shared" si="369"/>
        <v>0</v>
      </c>
      <c r="AC1303" s="1144">
        <f t="shared" si="370"/>
        <v>0</v>
      </c>
      <c r="AD1303" s="1148">
        <f t="shared" si="362"/>
        <v>1769.0160030712784</v>
      </c>
      <c r="AE1303" s="1487">
        <v>0</v>
      </c>
      <c r="AF1303" s="1145">
        <f t="shared" si="371"/>
        <v>1769.0160030712784</v>
      </c>
      <c r="AG1303" s="1149">
        <f>IFERROR(VLOOKUP(CONCATENATE($L1303,$N1303),'Drop List'!$G$23:$K$87,2,FALSE),0)</f>
        <v>0.56200000000000006</v>
      </c>
      <c r="AH1303" s="1150">
        <f>IFERROR(VLOOKUP(CONCATENATE($L1303,$N1303),'Drop List'!$G$23:$K$87,3,FALSE),0)</f>
        <v>0</v>
      </c>
      <c r="AI1303" s="1150">
        <f>IFERROR(VLOOKUP(CONCATENATE($L1303,$N1303),'Drop List'!$G$23:$K$87,4,FALSE),0)</f>
        <v>0</v>
      </c>
      <c r="AJ1303" s="1151">
        <f>IFERROR(VLOOKUP(CONCATENATE($L1303,$N1303),'Drop List'!$G$23:$K$87,5,FALSE),0)</f>
        <v>0.43799999999999994</v>
      </c>
      <c r="AK1303" s="1152">
        <f t="shared" si="372"/>
        <v>994.18699372605852</v>
      </c>
      <c r="AL1303" s="1153">
        <f t="shared" si="373"/>
        <v>0</v>
      </c>
      <c r="AM1303" s="1153">
        <f t="shared" si="374"/>
        <v>0</v>
      </c>
      <c r="AN1303" s="1145">
        <f t="shared" si="375"/>
        <v>774.8290093452199</v>
      </c>
      <c r="AO1303" s="1154">
        <f t="shared" si="376"/>
        <v>1769.0160030712784</v>
      </c>
      <c r="AP1303" s="1147">
        <f t="shared" si="363"/>
        <v>0</v>
      </c>
      <c r="AQ1303" s="1144">
        <f t="shared" si="364"/>
        <v>0</v>
      </c>
      <c r="AR1303" s="1146">
        <f t="shared" si="365"/>
        <v>1769.0160030712784</v>
      </c>
    </row>
    <row r="1304" spans="1:44" x14ac:dyDescent="0.2">
      <c r="A1304" s="1141" t="str">
        <f t="shared" si="378"/>
        <v>1562</v>
      </c>
      <c r="B1304" s="1141" t="str">
        <f>IFERROR(VLOOKUP(A1304,'LAC 103'!A:C,3,FALSE),"")</f>
        <v>OP</v>
      </c>
      <c r="C1304" s="1478" t="str">
        <f>Info!$B$8</f>
        <v>00100</v>
      </c>
      <c r="D1304" s="1474" t="s">
        <v>256</v>
      </c>
      <c r="E1304" s="1474" t="s">
        <v>95</v>
      </c>
      <c r="F1304" s="1478" t="s">
        <v>432</v>
      </c>
      <c r="G1304" s="1478" t="s">
        <v>432</v>
      </c>
      <c r="H1304" s="1474" t="s">
        <v>1091</v>
      </c>
      <c r="I1304" s="1478" t="s">
        <v>815</v>
      </c>
      <c r="J1304" s="1478" t="s">
        <v>123</v>
      </c>
      <c r="K1304" s="1475" t="s">
        <v>1654</v>
      </c>
      <c r="L1304" s="1474" t="s">
        <v>332</v>
      </c>
      <c r="M1304" s="1476" t="s">
        <v>1699</v>
      </c>
      <c r="N1304" s="1477" t="s">
        <v>1694</v>
      </c>
      <c r="O1304" s="1479">
        <v>999</v>
      </c>
      <c r="P1304" s="1479"/>
      <c r="Q1304" s="1142">
        <f t="shared" si="361"/>
        <v>999</v>
      </c>
      <c r="R1304" s="1143">
        <f>IFERROR(VLOOKUP(CONCATENATE(E1304,G1304),'LAC 103'!$A$12:$O$95,11,FALSE),0)</f>
        <v>5.936295312319726</v>
      </c>
      <c r="S1304" s="1144">
        <f>IFERROR(VLOOKUP(CONCATENATE($E1304,$G1304),'LAC 103'!$A$12:$O$95,12,FALSE),0)</f>
        <v>7.34</v>
      </c>
      <c r="T1304" s="1144">
        <f>IFERROR(VLOOKUP(CONCATENATE($E1304,$G1304),'LAC 103'!$A$12:$O$95,13,FALSE),0)</f>
        <v>4.59</v>
      </c>
      <c r="U1304" s="1144">
        <f>IFERROR(VLOOKUP(CONCATENATE($E1304,$G1304),'LAC 103'!$A$12:$O$95,14,FALSE),0)</f>
        <v>0</v>
      </c>
      <c r="V1304" s="1144">
        <f>IFERROR(VLOOKUP(CONCATENATE($E1304,$G1304),'LAC 103'!$A$12:$O$95,15,FALSE),0)</f>
        <v>0</v>
      </c>
      <c r="W1304" s="1145" t="str">
        <f>IFERROR(VLOOKUP(CONCATENATE($B1304,$N1304),'LAC 103'!$AI:$AQ,9,FALSE),"")</f>
        <v>Costs</v>
      </c>
      <c r="X1304" s="1146">
        <f t="shared" si="366"/>
        <v>5.936295312319726</v>
      </c>
      <c r="Y1304" s="1143">
        <f t="shared" si="377"/>
        <v>5930.3590170074058</v>
      </c>
      <c r="Z1304" s="1147">
        <f t="shared" si="367"/>
        <v>7332.66</v>
      </c>
      <c r="AA1304" s="1144">
        <f t="shared" si="368"/>
        <v>4585.41</v>
      </c>
      <c r="AB1304" s="1144">
        <f t="shared" si="369"/>
        <v>0</v>
      </c>
      <c r="AC1304" s="1144">
        <f t="shared" si="370"/>
        <v>0</v>
      </c>
      <c r="AD1304" s="1148">
        <f t="shared" si="362"/>
        <v>5930.3590170074058</v>
      </c>
      <c r="AE1304" s="1487">
        <v>0</v>
      </c>
      <c r="AF1304" s="1145">
        <f t="shared" si="371"/>
        <v>5930.3590170074058</v>
      </c>
      <c r="AG1304" s="1149">
        <f>IFERROR(VLOOKUP(CONCATENATE($L1304,$N1304),'Drop List'!$G$23:$K$87,2,FALSE),0)</f>
        <v>0</v>
      </c>
      <c r="AH1304" s="1150">
        <f>IFERROR(VLOOKUP(CONCATENATE($L1304,$N1304),'Drop List'!$G$23:$K$87,3,FALSE),0)</f>
        <v>0</v>
      </c>
      <c r="AI1304" s="1150">
        <f>IFERROR(VLOOKUP(CONCATENATE($L1304,$N1304),'Drop List'!$G$23:$K$87,4,FALSE),0)</f>
        <v>0</v>
      </c>
      <c r="AJ1304" s="1151">
        <f>IFERROR(VLOOKUP(CONCATENATE($L1304,$N1304),'Drop List'!$G$23:$K$87,5,FALSE),0)</f>
        <v>0</v>
      </c>
      <c r="AK1304" s="1152">
        <f t="shared" si="372"/>
        <v>0</v>
      </c>
      <c r="AL1304" s="1153">
        <f t="shared" si="373"/>
        <v>0</v>
      </c>
      <c r="AM1304" s="1153">
        <f t="shared" si="374"/>
        <v>0</v>
      </c>
      <c r="AN1304" s="1145">
        <f t="shared" si="375"/>
        <v>0</v>
      </c>
      <c r="AO1304" s="1154">
        <f t="shared" si="376"/>
        <v>0</v>
      </c>
      <c r="AP1304" s="1147">
        <f t="shared" si="363"/>
        <v>5930.3590170074058</v>
      </c>
      <c r="AQ1304" s="1144">
        <f t="shared" si="364"/>
        <v>0</v>
      </c>
      <c r="AR1304" s="1146">
        <f t="shared" si="365"/>
        <v>5930.3590170074058</v>
      </c>
    </row>
    <row r="1305" spans="1:44" x14ac:dyDescent="0.2">
      <c r="A1305" s="1141" t="str">
        <f t="shared" si="378"/>
        <v>1562</v>
      </c>
      <c r="B1305" s="1141" t="str">
        <f>IFERROR(VLOOKUP(A1305,'LAC 103'!A:C,3,FALSE),"")</f>
        <v>OP</v>
      </c>
      <c r="C1305" s="1478" t="str">
        <f>Info!$B$8</f>
        <v>00100</v>
      </c>
      <c r="D1305" s="1474" t="s">
        <v>256</v>
      </c>
      <c r="E1305" s="1474" t="s">
        <v>95</v>
      </c>
      <c r="F1305" s="1478" t="s">
        <v>432</v>
      </c>
      <c r="G1305" s="1478" t="s">
        <v>432</v>
      </c>
      <c r="H1305" s="1474" t="s">
        <v>1091</v>
      </c>
      <c r="I1305" s="1478" t="s">
        <v>815</v>
      </c>
      <c r="J1305" s="1478"/>
      <c r="K1305" s="1475" t="s">
        <v>1654</v>
      </c>
      <c r="L1305" s="1474" t="s">
        <v>332</v>
      </c>
      <c r="M1305" s="1476" t="s">
        <v>841</v>
      </c>
      <c r="N1305" s="1477" t="s">
        <v>1695</v>
      </c>
      <c r="O1305" s="1479">
        <v>602</v>
      </c>
      <c r="P1305" s="1479"/>
      <c r="Q1305" s="1142">
        <f t="shared" si="361"/>
        <v>602</v>
      </c>
      <c r="R1305" s="1143">
        <f>IFERROR(VLOOKUP(CONCATENATE(E1305,G1305),'LAC 103'!$A$12:$O$95,11,FALSE),0)</f>
        <v>5.936295312319726</v>
      </c>
      <c r="S1305" s="1144">
        <f>IFERROR(VLOOKUP(CONCATENATE($E1305,$G1305),'LAC 103'!$A$12:$O$95,12,FALSE),0)</f>
        <v>7.34</v>
      </c>
      <c r="T1305" s="1144">
        <f>IFERROR(VLOOKUP(CONCATENATE($E1305,$G1305),'LAC 103'!$A$12:$O$95,13,FALSE),0)</f>
        <v>4.59</v>
      </c>
      <c r="U1305" s="1144">
        <f>IFERROR(VLOOKUP(CONCATENATE($E1305,$G1305),'LAC 103'!$A$12:$O$95,14,FALSE),0)</f>
        <v>0</v>
      </c>
      <c r="V1305" s="1144">
        <f>IFERROR(VLOOKUP(CONCATENATE($E1305,$G1305),'LAC 103'!$A$12:$O$95,15,FALSE),0)</f>
        <v>0</v>
      </c>
      <c r="W1305" s="1145" t="str">
        <f>IFERROR(VLOOKUP(CONCATENATE($B1305,$N1305),'LAC 103'!$AI:$AQ,9,FALSE),"")</f>
        <v>Costs</v>
      </c>
      <c r="X1305" s="1146">
        <f t="shared" si="366"/>
        <v>5.936295312319726</v>
      </c>
      <c r="Y1305" s="1143">
        <f t="shared" si="377"/>
        <v>3573.649778016475</v>
      </c>
      <c r="Z1305" s="1147">
        <f t="shared" si="367"/>
        <v>4418.68</v>
      </c>
      <c r="AA1305" s="1144">
        <f t="shared" si="368"/>
        <v>2763.18</v>
      </c>
      <c r="AB1305" s="1144">
        <f t="shared" si="369"/>
        <v>0</v>
      </c>
      <c r="AC1305" s="1144">
        <f t="shared" si="370"/>
        <v>0</v>
      </c>
      <c r="AD1305" s="1148">
        <f t="shared" si="362"/>
        <v>3573.649778016475</v>
      </c>
      <c r="AE1305" s="1487">
        <v>0</v>
      </c>
      <c r="AF1305" s="1145">
        <f t="shared" si="371"/>
        <v>3573.649778016475</v>
      </c>
      <c r="AG1305" s="1149">
        <f>IFERROR(VLOOKUP(CONCATENATE($L1305,$N1305),'Drop List'!$G$23:$K$87,2,FALSE),0)</f>
        <v>0</v>
      </c>
      <c r="AH1305" s="1150">
        <f>IFERROR(VLOOKUP(CONCATENATE($L1305,$N1305),'Drop List'!$G$23:$K$87,3,FALSE),0)</f>
        <v>0</v>
      </c>
      <c r="AI1305" s="1150">
        <f>IFERROR(VLOOKUP(CONCATENATE($L1305,$N1305),'Drop List'!$G$23:$K$87,4,FALSE),0)</f>
        <v>0</v>
      </c>
      <c r="AJ1305" s="1151">
        <f>IFERROR(VLOOKUP(CONCATENATE($L1305,$N1305),'Drop List'!$G$23:$K$87,5,FALSE),0)</f>
        <v>0</v>
      </c>
      <c r="AK1305" s="1152">
        <f t="shared" si="372"/>
        <v>0</v>
      </c>
      <c r="AL1305" s="1153">
        <f t="shared" si="373"/>
        <v>0</v>
      </c>
      <c r="AM1305" s="1153">
        <f t="shared" si="374"/>
        <v>0</v>
      </c>
      <c r="AN1305" s="1145">
        <f t="shared" si="375"/>
        <v>0</v>
      </c>
      <c r="AO1305" s="1154">
        <f t="shared" si="376"/>
        <v>0</v>
      </c>
      <c r="AP1305" s="1147">
        <f t="shared" si="363"/>
        <v>3573.649778016475</v>
      </c>
      <c r="AQ1305" s="1144">
        <f t="shared" si="364"/>
        <v>0</v>
      </c>
      <c r="AR1305" s="1146">
        <f t="shared" si="365"/>
        <v>3573.649778016475</v>
      </c>
    </row>
    <row r="1306" spans="1:44" x14ac:dyDescent="0.2">
      <c r="A1306" s="1141" t="str">
        <f t="shared" si="378"/>
        <v>1562</v>
      </c>
      <c r="B1306" s="1141" t="str">
        <f>IFERROR(VLOOKUP(A1306,'LAC 103'!A:C,3,FALSE),"")</f>
        <v>OP</v>
      </c>
      <c r="C1306" s="1478" t="str">
        <f>Info!$B$8</f>
        <v>00100</v>
      </c>
      <c r="D1306" s="1474" t="s">
        <v>256</v>
      </c>
      <c r="E1306" s="1474" t="s">
        <v>95</v>
      </c>
      <c r="F1306" s="1478" t="s">
        <v>432</v>
      </c>
      <c r="G1306" s="1478" t="s">
        <v>432</v>
      </c>
      <c r="H1306" s="1474" t="s">
        <v>1091</v>
      </c>
      <c r="I1306" s="1478" t="s">
        <v>815</v>
      </c>
      <c r="J1306" s="1478"/>
      <c r="K1306" s="1475" t="s">
        <v>1654</v>
      </c>
      <c r="L1306" s="1474" t="s">
        <v>332</v>
      </c>
      <c r="M1306" s="1476" t="s">
        <v>840</v>
      </c>
      <c r="N1306" s="1477" t="s">
        <v>1700</v>
      </c>
      <c r="O1306" s="1479">
        <v>358</v>
      </c>
      <c r="P1306" s="1479"/>
      <c r="Q1306" s="1142">
        <f t="shared" si="361"/>
        <v>358</v>
      </c>
      <c r="R1306" s="1143">
        <f>IFERROR(VLOOKUP(CONCATENATE(E1306,G1306),'LAC 103'!$A$12:$O$95,11,FALSE),0)</f>
        <v>5.936295312319726</v>
      </c>
      <c r="S1306" s="1144">
        <f>IFERROR(VLOOKUP(CONCATENATE($E1306,$G1306),'LAC 103'!$A$12:$O$95,12,FALSE),0)</f>
        <v>7.34</v>
      </c>
      <c r="T1306" s="1144">
        <f>IFERROR(VLOOKUP(CONCATENATE($E1306,$G1306),'LAC 103'!$A$12:$O$95,13,FALSE),0)</f>
        <v>4.59</v>
      </c>
      <c r="U1306" s="1144">
        <f>IFERROR(VLOOKUP(CONCATENATE($E1306,$G1306),'LAC 103'!$A$12:$O$95,14,FALSE),0)</f>
        <v>0</v>
      </c>
      <c r="V1306" s="1144">
        <f>IFERROR(VLOOKUP(CONCATENATE($E1306,$G1306),'LAC 103'!$A$12:$O$95,15,FALSE),0)</f>
        <v>0</v>
      </c>
      <c r="W1306" s="1145" t="str">
        <f>IFERROR(VLOOKUP(CONCATENATE($B1306,$N1306),'LAC 103'!$AI:$AQ,9,FALSE),"")</f>
        <v>P.C.</v>
      </c>
      <c r="X1306" s="1146">
        <f t="shared" si="366"/>
        <v>4.59</v>
      </c>
      <c r="Y1306" s="1143">
        <f t="shared" si="377"/>
        <v>2125.1937218104617</v>
      </c>
      <c r="Z1306" s="1147">
        <f t="shared" si="367"/>
        <v>2627.72</v>
      </c>
      <c r="AA1306" s="1144">
        <f t="shared" si="368"/>
        <v>1643.22</v>
      </c>
      <c r="AB1306" s="1144">
        <f t="shared" si="369"/>
        <v>0</v>
      </c>
      <c r="AC1306" s="1144">
        <f t="shared" si="370"/>
        <v>0</v>
      </c>
      <c r="AD1306" s="1148">
        <f t="shared" si="362"/>
        <v>1643.22</v>
      </c>
      <c r="AE1306" s="1487">
        <v>0</v>
      </c>
      <c r="AF1306" s="1145">
        <f t="shared" si="371"/>
        <v>1643.22</v>
      </c>
      <c r="AG1306" s="1149">
        <f>IFERROR(VLOOKUP(CONCATENATE($L1306,$N1306),'Drop List'!$G$23:$K$87,2,FALSE),0)</f>
        <v>0</v>
      </c>
      <c r="AH1306" s="1150">
        <f>IFERROR(VLOOKUP(CONCATENATE($L1306,$N1306),'Drop List'!$G$23:$K$87,3,FALSE),0)</f>
        <v>0</v>
      </c>
      <c r="AI1306" s="1150">
        <f>IFERROR(VLOOKUP(CONCATENATE($L1306,$N1306),'Drop List'!$G$23:$K$87,4,FALSE),0)</f>
        <v>0</v>
      </c>
      <c r="AJ1306" s="1151">
        <f>IFERROR(VLOOKUP(CONCATENATE($L1306,$N1306),'Drop List'!$G$23:$K$87,5,FALSE),0)</f>
        <v>0</v>
      </c>
      <c r="AK1306" s="1152">
        <f t="shared" si="372"/>
        <v>0</v>
      </c>
      <c r="AL1306" s="1153">
        <f t="shared" si="373"/>
        <v>0</v>
      </c>
      <c r="AM1306" s="1153">
        <f t="shared" si="374"/>
        <v>0</v>
      </c>
      <c r="AN1306" s="1145">
        <f t="shared" si="375"/>
        <v>0</v>
      </c>
      <c r="AO1306" s="1154">
        <f t="shared" si="376"/>
        <v>0</v>
      </c>
      <c r="AP1306" s="1147">
        <f t="shared" si="363"/>
        <v>1643.22</v>
      </c>
      <c r="AQ1306" s="1144">
        <f t="shared" si="364"/>
        <v>0</v>
      </c>
      <c r="AR1306" s="1146">
        <f t="shared" si="365"/>
        <v>1643.22</v>
      </c>
    </row>
    <row r="1307" spans="1:44" x14ac:dyDescent="0.2">
      <c r="A1307" s="1141" t="str">
        <f t="shared" si="378"/>
        <v>1562</v>
      </c>
      <c r="B1307" s="1141" t="str">
        <f>IFERROR(VLOOKUP(A1307,'LAC 103'!A:C,3,FALSE),"")</f>
        <v>OP</v>
      </c>
      <c r="C1307" s="1478" t="str">
        <f>Info!$B$8</f>
        <v>00100</v>
      </c>
      <c r="D1307" s="1474" t="s">
        <v>256</v>
      </c>
      <c r="E1307" s="1474" t="s">
        <v>95</v>
      </c>
      <c r="F1307" s="1478" t="s">
        <v>432</v>
      </c>
      <c r="G1307" s="1478" t="s">
        <v>432</v>
      </c>
      <c r="H1307" s="1474" t="s">
        <v>1091</v>
      </c>
      <c r="I1307" s="1478" t="s">
        <v>815</v>
      </c>
      <c r="J1307" s="1478"/>
      <c r="K1307" s="1475" t="s">
        <v>1654</v>
      </c>
      <c r="L1307" s="1474" t="s">
        <v>332</v>
      </c>
      <c r="M1307" s="1476" t="s">
        <v>842</v>
      </c>
      <c r="N1307" s="1477" t="s">
        <v>1692</v>
      </c>
      <c r="O1307" s="1479">
        <v>273</v>
      </c>
      <c r="P1307" s="1479"/>
      <c r="Q1307" s="1142">
        <f t="shared" si="361"/>
        <v>273</v>
      </c>
      <c r="R1307" s="1143">
        <f>IFERROR(VLOOKUP(CONCATENATE(E1307,G1307),'LAC 103'!$A$12:$O$95,11,FALSE),0)</f>
        <v>5.936295312319726</v>
      </c>
      <c r="S1307" s="1144">
        <f>IFERROR(VLOOKUP(CONCATENATE($E1307,$G1307),'LAC 103'!$A$12:$O$95,12,FALSE),0)</f>
        <v>7.34</v>
      </c>
      <c r="T1307" s="1144">
        <f>IFERROR(VLOOKUP(CONCATENATE($E1307,$G1307),'LAC 103'!$A$12:$O$95,13,FALSE),0)</f>
        <v>4.59</v>
      </c>
      <c r="U1307" s="1144">
        <f>IFERROR(VLOOKUP(CONCATENATE($E1307,$G1307),'LAC 103'!$A$12:$O$95,14,FALSE),0)</f>
        <v>0</v>
      </c>
      <c r="V1307" s="1144">
        <f>IFERROR(VLOOKUP(CONCATENATE($E1307,$G1307),'LAC 103'!$A$12:$O$95,15,FALSE),0)</f>
        <v>0</v>
      </c>
      <c r="W1307" s="1145" t="str">
        <f>IFERROR(VLOOKUP(CONCATENATE($B1307,$N1307),'LAC 103'!$AI:$AQ,9,FALSE),"")</f>
        <v>Costs</v>
      </c>
      <c r="X1307" s="1146">
        <f t="shared" si="366"/>
        <v>5.936295312319726</v>
      </c>
      <c r="Y1307" s="1143">
        <f t="shared" si="377"/>
        <v>1620.6086202632853</v>
      </c>
      <c r="Z1307" s="1147">
        <f t="shared" si="367"/>
        <v>2003.82</v>
      </c>
      <c r="AA1307" s="1144">
        <f t="shared" si="368"/>
        <v>1253.07</v>
      </c>
      <c r="AB1307" s="1144">
        <f t="shared" si="369"/>
        <v>0</v>
      </c>
      <c r="AC1307" s="1144">
        <f t="shared" si="370"/>
        <v>0</v>
      </c>
      <c r="AD1307" s="1148">
        <f t="shared" si="362"/>
        <v>1620.6086202632853</v>
      </c>
      <c r="AE1307" s="1487">
        <v>0</v>
      </c>
      <c r="AF1307" s="1145">
        <f t="shared" si="371"/>
        <v>1620.6086202632853</v>
      </c>
      <c r="AG1307" s="1149">
        <f>IFERROR(VLOOKUP(CONCATENATE($L1307,$N1307),'Drop List'!$G$23:$K$87,2,FALSE),0)</f>
        <v>0</v>
      </c>
      <c r="AH1307" s="1150">
        <f>IFERROR(VLOOKUP(CONCATENATE($L1307,$N1307),'Drop List'!$G$23:$K$87,3,FALSE),0)</f>
        <v>0</v>
      </c>
      <c r="AI1307" s="1150">
        <f>IFERROR(VLOOKUP(CONCATENATE($L1307,$N1307),'Drop List'!$G$23:$K$87,4,FALSE),0)</f>
        <v>0</v>
      </c>
      <c r="AJ1307" s="1151">
        <f>IFERROR(VLOOKUP(CONCATENATE($L1307,$N1307),'Drop List'!$G$23:$K$87,5,FALSE),0)</f>
        <v>0</v>
      </c>
      <c r="AK1307" s="1152">
        <f t="shared" si="372"/>
        <v>0</v>
      </c>
      <c r="AL1307" s="1153">
        <f t="shared" si="373"/>
        <v>0</v>
      </c>
      <c r="AM1307" s="1153">
        <f t="shared" si="374"/>
        <v>0</v>
      </c>
      <c r="AN1307" s="1145">
        <f t="shared" si="375"/>
        <v>0</v>
      </c>
      <c r="AO1307" s="1154">
        <f t="shared" si="376"/>
        <v>0</v>
      </c>
      <c r="AP1307" s="1147">
        <f t="shared" si="363"/>
        <v>1620.6086202632853</v>
      </c>
      <c r="AQ1307" s="1144">
        <f t="shared" si="364"/>
        <v>0</v>
      </c>
      <c r="AR1307" s="1146">
        <f t="shared" si="365"/>
        <v>1620.6086202632853</v>
      </c>
    </row>
    <row r="1308" spans="1:44" x14ac:dyDescent="0.2">
      <c r="A1308" s="1141" t="str">
        <f t="shared" si="378"/>
        <v>1562</v>
      </c>
      <c r="B1308" s="1141" t="str">
        <f>IFERROR(VLOOKUP(A1308,'LAC 103'!A:C,3,FALSE),"")</f>
        <v>OP</v>
      </c>
      <c r="C1308" s="1478" t="str">
        <f>Info!$B$8</f>
        <v>00100</v>
      </c>
      <c r="D1308" s="1474" t="s">
        <v>256</v>
      </c>
      <c r="E1308" s="1474" t="s">
        <v>95</v>
      </c>
      <c r="F1308" s="1478" t="s">
        <v>432</v>
      </c>
      <c r="G1308" s="1478" t="s">
        <v>432</v>
      </c>
      <c r="H1308" s="1474" t="s">
        <v>1091</v>
      </c>
      <c r="I1308" s="1478" t="s">
        <v>815</v>
      </c>
      <c r="J1308" s="1478"/>
      <c r="K1308" s="1475" t="s">
        <v>1654</v>
      </c>
      <c r="L1308" s="1474" t="s">
        <v>332</v>
      </c>
      <c r="M1308" s="1476" t="s">
        <v>1698</v>
      </c>
      <c r="N1308" s="1477" t="s">
        <v>1693</v>
      </c>
      <c r="O1308" s="1479">
        <v>99</v>
      </c>
      <c r="P1308" s="1479"/>
      <c r="Q1308" s="1142">
        <f t="shared" si="361"/>
        <v>99</v>
      </c>
      <c r="R1308" s="1143">
        <f>IFERROR(VLOOKUP(CONCATENATE(E1308,G1308),'LAC 103'!$A$12:$O$95,11,FALSE),0)</f>
        <v>5.936295312319726</v>
      </c>
      <c r="S1308" s="1144">
        <f>IFERROR(VLOOKUP(CONCATENATE($E1308,$G1308),'LAC 103'!$A$12:$O$95,12,FALSE),0)</f>
        <v>7.34</v>
      </c>
      <c r="T1308" s="1144">
        <f>IFERROR(VLOOKUP(CONCATENATE($E1308,$G1308),'LAC 103'!$A$12:$O$95,13,FALSE),0)</f>
        <v>4.59</v>
      </c>
      <c r="U1308" s="1144">
        <f>IFERROR(VLOOKUP(CONCATENATE($E1308,$G1308),'LAC 103'!$A$12:$O$95,14,FALSE),0)</f>
        <v>0</v>
      </c>
      <c r="V1308" s="1144">
        <f>IFERROR(VLOOKUP(CONCATENATE($E1308,$G1308),'LAC 103'!$A$12:$O$95,15,FALSE),0)</f>
        <v>0</v>
      </c>
      <c r="W1308" s="1145" t="str">
        <f>IFERROR(VLOOKUP(CONCATENATE($B1308,$N1308),'LAC 103'!$AI:$AQ,9,FALSE),"")</f>
        <v>Costs</v>
      </c>
      <c r="X1308" s="1146">
        <f t="shared" si="366"/>
        <v>5.936295312319726</v>
      </c>
      <c r="Y1308" s="1143">
        <f t="shared" si="377"/>
        <v>587.69323591965292</v>
      </c>
      <c r="Z1308" s="1147">
        <f t="shared" si="367"/>
        <v>726.66</v>
      </c>
      <c r="AA1308" s="1144">
        <f t="shared" si="368"/>
        <v>454.40999999999997</v>
      </c>
      <c r="AB1308" s="1144">
        <f t="shared" si="369"/>
        <v>0</v>
      </c>
      <c r="AC1308" s="1144">
        <f t="shared" si="370"/>
        <v>0</v>
      </c>
      <c r="AD1308" s="1148">
        <f t="shared" si="362"/>
        <v>587.69323591965292</v>
      </c>
      <c r="AE1308" s="1487">
        <v>0</v>
      </c>
      <c r="AF1308" s="1145">
        <f t="shared" si="371"/>
        <v>587.69323591965292</v>
      </c>
      <c r="AG1308" s="1149">
        <f>IFERROR(VLOOKUP(CONCATENATE($L1308,$N1308),'Drop List'!$G$23:$K$87,2,FALSE),0)</f>
        <v>0</v>
      </c>
      <c r="AH1308" s="1150">
        <f>IFERROR(VLOOKUP(CONCATENATE($L1308,$N1308),'Drop List'!$G$23:$K$87,3,FALSE),0)</f>
        <v>0</v>
      </c>
      <c r="AI1308" s="1150">
        <f>IFERROR(VLOOKUP(CONCATENATE($L1308,$N1308),'Drop List'!$G$23:$K$87,4,FALSE),0)</f>
        <v>0</v>
      </c>
      <c r="AJ1308" s="1151">
        <f>IFERROR(VLOOKUP(CONCATENATE($L1308,$N1308),'Drop List'!$G$23:$K$87,5,FALSE),0)</f>
        <v>0</v>
      </c>
      <c r="AK1308" s="1152">
        <f t="shared" si="372"/>
        <v>0</v>
      </c>
      <c r="AL1308" s="1153">
        <f t="shared" si="373"/>
        <v>0</v>
      </c>
      <c r="AM1308" s="1153">
        <f t="shared" si="374"/>
        <v>0</v>
      </c>
      <c r="AN1308" s="1145">
        <f t="shared" si="375"/>
        <v>0</v>
      </c>
      <c r="AO1308" s="1154">
        <f t="shared" si="376"/>
        <v>0</v>
      </c>
      <c r="AP1308" s="1147">
        <f t="shared" si="363"/>
        <v>587.69323591965292</v>
      </c>
      <c r="AQ1308" s="1144">
        <f t="shared" si="364"/>
        <v>0</v>
      </c>
      <c r="AR1308" s="1146">
        <f t="shared" si="365"/>
        <v>587.69323591965292</v>
      </c>
    </row>
    <row r="1309" spans="1:44" x14ac:dyDescent="0.2">
      <c r="A1309" s="1141" t="str">
        <f t="shared" si="378"/>
        <v>1562</v>
      </c>
      <c r="B1309" s="1141" t="str">
        <f>IFERROR(VLOOKUP(A1309,'LAC 103'!A:C,3,FALSE),"")</f>
        <v>OP</v>
      </c>
      <c r="C1309" s="1478" t="str">
        <f>Info!$B$8</f>
        <v>00100</v>
      </c>
      <c r="D1309" s="1474" t="s">
        <v>256</v>
      </c>
      <c r="E1309" s="1474" t="s">
        <v>95</v>
      </c>
      <c r="F1309" s="1478" t="s">
        <v>432</v>
      </c>
      <c r="G1309" s="1478" t="s">
        <v>432</v>
      </c>
      <c r="H1309" s="1474" t="s">
        <v>1091</v>
      </c>
      <c r="I1309" s="1478" t="s">
        <v>815</v>
      </c>
      <c r="J1309" s="1478"/>
      <c r="K1309" s="1475" t="s">
        <v>847</v>
      </c>
      <c r="L1309" s="1474" t="s">
        <v>582</v>
      </c>
      <c r="M1309" s="1476" t="s">
        <v>1699</v>
      </c>
      <c r="N1309" s="1477" t="s">
        <v>1694</v>
      </c>
      <c r="O1309" s="1479">
        <v>12190</v>
      </c>
      <c r="P1309" s="1479"/>
      <c r="Q1309" s="1142">
        <f t="shared" si="361"/>
        <v>12190</v>
      </c>
      <c r="R1309" s="1143">
        <f>IFERROR(VLOOKUP(CONCATENATE(E1309,G1309),'LAC 103'!$A$12:$O$95,11,FALSE),0)</f>
        <v>5.936295312319726</v>
      </c>
      <c r="S1309" s="1144">
        <f>IFERROR(VLOOKUP(CONCATENATE($E1309,$G1309),'LAC 103'!$A$12:$O$95,12,FALSE),0)</f>
        <v>7.34</v>
      </c>
      <c r="T1309" s="1144">
        <f>IFERROR(VLOOKUP(CONCATENATE($E1309,$G1309),'LAC 103'!$A$12:$O$95,13,FALSE),0)</f>
        <v>4.59</v>
      </c>
      <c r="U1309" s="1144">
        <f>IFERROR(VLOOKUP(CONCATENATE($E1309,$G1309),'LAC 103'!$A$12:$O$95,14,FALSE),0)</f>
        <v>0</v>
      </c>
      <c r="V1309" s="1144">
        <f>IFERROR(VLOOKUP(CONCATENATE($E1309,$G1309),'LAC 103'!$A$12:$O$95,15,FALSE),0)</f>
        <v>0</v>
      </c>
      <c r="W1309" s="1145" t="str">
        <f>IFERROR(VLOOKUP(CONCATENATE($B1309,$N1309),'LAC 103'!$AI:$AQ,9,FALSE),"")</f>
        <v>Costs</v>
      </c>
      <c r="X1309" s="1146">
        <f t="shared" si="366"/>
        <v>5.936295312319726</v>
      </c>
      <c r="Y1309" s="1143">
        <f t="shared" si="377"/>
        <v>72363.439857177465</v>
      </c>
      <c r="Z1309" s="1147">
        <f t="shared" si="367"/>
        <v>89474.599999999991</v>
      </c>
      <c r="AA1309" s="1144">
        <f t="shared" si="368"/>
        <v>55952.1</v>
      </c>
      <c r="AB1309" s="1144">
        <f t="shared" si="369"/>
        <v>0</v>
      </c>
      <c r="AC1309" s="1144">
        <f t="shared" si="370"/>
        <v>0</v>
      </c>
      <c r="AD1309" s="1148">
        <f t="shared" si="362"/>
        <v>72363.439857177465</v>
      </c>
      <c r="AE1309" s="1487">
        <v>0</v>
      </c>
      <c r="AF1309" s="1145">
        <f t="shared" si="371"/>
        <v>72363.439857177465</v>
      </c>
      <c r="AG1309" s="1149">
        <f>IFERROR(VLOOKUP(CONCATENATE($L1309,$N1309),'Drop List'!$G$23:$K$87,2,FALSE),0)</f>
        <v>0.56200000000000006</v>
      </c>
      <c r="AH1309" s="1150">
        <f>IFERROR(VLOOKUP(CONCATENATE($L1309,$N1309),'Drop List'!$G$23:$K$87,3,FALSE),0)</f>
        <v>0.43799999999999994</v>
      </c>
      <c r="AI1309" s="1150">
        <f>IFERROR(VLOOKUP(CONCATENATE($L1309,$N1309),'Drop List'!$G$23:$K$87,4,FALSE),0)</f>
        <v>0</v>
      </c>
      <c r="AJ1309" s="1151">
        <f>IFERROR(VLOOKUP(CONCATENATE($L1309,$N1309),'Drop List'!$G$23:$K$87,5,FALSE),0)</f>
        <v>0</v>
      </c>
      <c r="AK1309" s="1152">
        <f t="shared" si="372"/>
        <v>40668.253199733743</v>
      </c>
      <c r="AL1309" s="1153">
        <f t="shared" si="373"/>
        <v>31695.186657443726</v>
      </c>
      <c r="AM1309" s="1153">
        <f t="shared" si="374"/>
        <v>0</v>
      </c>
      <c r="AN1309" s="1145">
        <f t="shared" si="375"/>
        <v>0</v>
      </c>
      <c r="AO1309" s="1154">
        <f t="shared" si="376"/>
        <v>72363.439857177465</v>
      </c>
      <c r="AP1309" s="1147">
        <f t="shared" si="363"/>
        <v>0</v>
      </c>
      <c r="AQ1309" s="1144">
        <f t="shared" si="364"/>
        <v>0</v>
      </c>
      <c r="AR1309" s="1146">
        <f t="shared" si="365"/>
        <v>72363.439857177465</v>
      </c>
    </row>
    <row r="1310" spans="1:44" x14ac:dyDescent="0.2">
      <c r="A1310" s="1141" t="str">
        <f t="shared" si="378"/>
        <v>1562</v>
      </c>
      <c r="B1310" s="1141" t="str">
        <f>IFERROR(VLOOKUP(A1310,'LAC 103'!A:C,3,FALSE),"")</f>
        <v>OP</v>
      </c>
      <c r="C1310" s="1478" t="str">
        <f>Info!$B$8</f>
        <v>00100</v>
      </c>
      <c r="D1310" s="1474" t="s">
        <v>256</v>
      </c>
      <c r="E1310" s="1474" t="s">
        <v>95</v>
      </c>
      <c r="F1310" s="1478" t="s">
        <v>432</v>
      </c>
      <c r="G1310" s="1478" t="s">
        <v>432</v>
      </c>
      <c r="H1310" s="1474" t="s">
        <v>1091</v>
      </c>
      <c r="I1310" s="1478" t="s">
        <v>815</v>
      </c>
      <c r="J1310" s="1478"/>
      <c r="K1310" s="1475" t="s">
        <v>847</v>
      </c>
      <c r="L1310" s="1474" t="s">
        <v>582</v>
      </c>
      <c r="M1310" s="1476" t="s">
        <v>841</v>
      </c>
      <c r="N1310" s="1477" t="s">
        <v>1695</v>
      </c>
      <c r="O1310" s="1479">
        <v>5717</v>
      </c>
      <c r="P1310" s="1479"/>
      <c r="Q1310" s="1142">
        <f t="shared" si="361"/>
        <v>5717</v>
      </c>
      <c r="R1310" s="1143">
        <f>IFERROR(VLOOKUP(CONCATENATE(E1310,G1310),'LAC 103'!$A$12:$O$95,11,FALSE),0)</f>
        <v>5.936295312319726</v>
      </c>
      <c r="S1310" s="1144">
        <f>IFERROR(VLOOKUP(CONCATENATE($E1310,$G1310),'LAC 103'!$A$12:$O$95,12,FALSE),0)</f>
        <v>7.34</v>
      </c>
      <c r="T1310" s="1144">
        <f>IFERROR(VLOOKUP(CONCATENATE($E1310,$G1310),'LAC 103'!$A$12:$O$95,13,FALSE),0)</f>
        <v>4.59</v>
      </c>
      <c r="U1310" s="1144">
        <f>IFERROR(VLOOKUP(CONCATENATE($E1310,$G1310),'LAC 103'!$A$12:$O$95,14,FALSE),0)</f>
        <v>0</v>
      </c>
      <c r="V1310" s="1144">
        <f>IFERROR(VLOOKUP(CONCATENATE($E1310,$G1310),'LAC 103'!$A$12:$O$95,15,FALSE),0)</f>
        <v>0</v>
      </c>
      <c r="W1310" s="1145" t="str">
        <f>IFERROR(VLOOKUP(CONCATENATE($B1310,$N1310),'LAC 103'!$AI:$AQ,9,FALSE),"")</f>
        <v>Costs</v>
      </c>
      <c r="X1310" s="1146">
        <f t="shared" si="366"/>
        <v>5.936295312319726</v>
      </c>
      <c r="Y1310" s="1143">
        <f t="shared" si="377"/>
        <v>33937.800300531875</v>
      </c>
      <c r="Z1310" s="1147">
        <f t="shared" si="367"/>
        <v>41962.78</v>
      </c>
      <c r="AA1310" s="1144">
        <f t="shared" si="368"/>
        <v>26241.03</v>
      </c>
      <c r="AB1310" s="1144">
        <f t="shared" si="369"/>
        <v>0</v>
      </c>
      <c r="AC1310" s="1144">
        <f t="shared" si="370"/>
        <v>0</v>
      </c>
      <c r="AD1310" s="1148">
        <f t="shared" si="362"/>
        <v>33937.800300531875</v>
      </c>
      <c r="AE1310" s="1487">
        <v>0</v>
      </c>
      <c r="AF1310" s="1145">
        <f t="shared" si="371"/>
        <v>33937.800300531875</v>
      </c>
      <c r="AG1310" s="1149">
        <f>IFERROR(VLOOKUP(CONCATENATE($L1310,$N1310),'Drop List'!$G$23:$K$87,2,FALSE),0)</f>
        <v>0.55000000000000004</v>
      </c>
      <c r="AH1310" s="1150">
        <f>IFERROR(VLOOKUP(CONCATENATE($L1310,$N1310),'Drop List'!$G$23:$K$87,3,FALSE),0)</f>
        <v>0.44999999999999996</v>
      </c>
      <c r="AI1310" s="1150">
        <f>IFERROR(VLOOKUP(CONCATENATE($L1310,$N1310),'Drop List'!$G$23:$K$87,4,FALSE),0)</f>
        <v>0</v>
      </c>
      <c r="AJ1310" s="1151">
        <f>IFERROR(VLOOKUP(CONCATENATE($L1310,$N1310),'Drop List'!$G$23:$K$87,5,FALSE),0)</f>
        <v>0</v>
      </c>
      <c r="AK1310" s="1152">
        <f t="shared" si="372"/>
        <v>18665.790165292532</v>
      </c>
      <c r="AL1310" s="1153">
        <f t="shared" si="373"/>
        <v>15272.010135239343</v>
      </c>
      <c r="AM1310" s="1153">
        <f t="shared" si="374"/>
        <v>0</v>
      </c>
      <c r="AN1310" s="1145">
        <f t="shared" si="375"/>
        <v>0</v>
      </c>
      <c r="AO1310" s="1154">
        <f t="shared" si="376"/>
        <v>33937.800300531875</v>
      </c>
      <c r="AP1310" s="1147">
        <f t="shared" si="363"/>
        <v>0</v>
      </c>
      <c r="AQ1310" s="1144">
        <f t="shared" si="364"/>
        <v>0</v>
      </c>
      <c r="AR1310" s="1146">
        <f t="shared" si="365"/>
        <v>33937.800300531875</v>
      </c>
    </row>
    <row r="1311" spans="1:44" x14ac:dyDescent="0.2">
      <c r="A1311" s="1141" t="str">
        <f t="shared" si="378"/>
        <v>1562</v>
      </c>
      <c r="B1311" s="1141" t="str">
        <f>IFERROR(VLOOKUP(A1311,'LAC 103'!A:C,3,FALSE),"")</f>
        <v>OP</v>
      </c>
      <c r="C1311" s="1478" t="str">
        <f>Info!$B$8</f>
        <v>00100</v>
      </c>
      <c r="D1311" s="1474" t="s">
        <v>256</v>
      </c>
      <c r="E1311" s="1474" t="s">
        <v>95</v>
      </c>
      <c r="F1311" s="1478" t="s">
        <v>432</v>
      </c>
      <c r="G1311" s="1478" t="s">
        <v>432</v>
      </c>
      <c r="H1311" s="1474" t="s">
        <v>1091</v>
      </c>
      <c r="I1311" s="1478" t="s">
        <v>815</v>
      </c>
      <c r="J1311" s="1478"/>
      <c r="K1311" s="1475" t="s">
        <v>847</v>
      </c>
      <c r="L1311" s="1474" t="s">
        <v>582</v>
      </c>
      <c r="M1311" s="1476" t="s">
        <v>840</v>
      </c>
      <c r="N1311" s="1477" t="s">
        <v>1700</v>
      </c>
      <c r="O1311" s="1479">
        <v>5483</v>
      </c>
      <c r="P1311" s="1479"/>
      <c r="Q1311" s="1142">
        <f t="shared" si="361"/>
        <v>5483</v>
      </c>
      <c r="R1311" s="1143">
        <f>IFERROR(VLOOKUP(CONCATENATE(E1311,G1311),'LAC 103'!$A$12:$O$95,11,FALSE),0)</f>
        <v>5.936295312319726</v>
      </c>
      <c r="S1311" s="1144">
        <f>IFERROR(VLOOKUP(CONCATENATE($E1311,$G1311),'LAC 103'!$A$12:$O$95,12,FALSE),0)</f>
        <v>7.34</v>
      </c>
      <c r="T1311" s="1144">
        <f>IFERROR(VLOOKUP(CONCATENATE($E1311,$G1311),'LAC 103'!$A$12:$O$95,13,FALSE),0)</f>
        <v>4.59</v>
      </c>
      <c r="U1311" s="1144">
        <f>IFERROR(VLOOKUP(CONCATENATE($E1311,$G1311),'LAC 103'!$A$12:$O$95,14,FALSE),0)</f>
        <v>0</v>
      </c>
      <c r="V1311" s="1144">
        <f>IFERROR(VLOOKUP(CONCATENATE($E1311,$G1311),'LAC 103'!$A$12:$O$95,15,FALSE),0)</f>
        <v>0</v>
      </c>
      <c r="W1311" s="1145" t="str">
        <f>IFERROR(VLOOKUP(CONCATENATE($B1311,$N1311),'LAC 103'!$AI:$AQ,9,FALSE),"")</f>
        <v>P.C.</v>
      </c>
      <c r="X1311" s="1146">
        <f t="shared" si="366"/>
        <v>4.59</v>
      </c>
      <c r="Y1311" s="1143">
        <f t="shared" si="377"/>
        <v>32548.707197449057</v>
      </c>
      <c r="Z1311" s="1147">
        <f t="shared" si="367"/>
        <v>40245.22</v>
      </c>
      <c r="AA1311" s="1144">
        <f t="shared" si="368"/>
        <v>25166.969999999998</v>
      </c>
      <c r="AB1311" s="1144">
        <f t="shared" si="369"/>
        <v>0</v>
      </c>
      <c r="AC1311" s="1144">
        <f t="shared" si="370"/>
        <v>0</v>
      </c>
      <c r="AD1311" s="1148">
        <f t="shared" si="362"/>
        <v>25166.969999999998</v>
      </c>
      <c r="AE1311" s="1487">
        <v>0</v>
      </c>
      <c r="AF1311" s="1145">
        <f t="shared" si="371"/>
        <v>25166.969999999998</v>
      </c>
      <c r="AG1311" s="1149">
        <f>IFERROR(VLOOKUP(CONCATENATE($L1311,$N1311),'Drop List'!$G$23:$K$87,2,FALSE),0)</f>
        <v>0.55000000000000004</v>
      </c>
      <c r="AH1311" s="1150">
        <f>IFERROR(VLOOKUP(CONCATENATE($L1311,$N1311),'Drop List'!$G$23:$K$87,3,FALSE),0)</f>
        <v>0.44999999999999996</v>
      </c>
      <c r="AI1311" s="1150">
        <f>IFERROR(VLOOKUP(CONCATENATE($L1311,$N1311),'Drop List'!$G$23:$K$87,4,FALSE),0)</f>
        <v>0</v>
      </c>
      <c r="AJ1311" s="1151">
        <f>IFERROR(VLOOKUP(CONCATENATE($L1311,$N1311),'Drop List'!$G$23:$K$87,5,FALSE),0)</f>
        <v>0</v>
      </c>
      <c r="AK1311" s="1152">
        <f t="shared" si="372"/>
        <v>13841.833500000001</v>
      </c>
      <c r="AL1311" s="1153">
        <f t="shared" si="373"/>
        <v>11325.136499999997</v>
      </c>
      <c r="AM1311" s="1153">
        <f t="shared" si="374"/>
        <v>0</v>
      </c>
      <c r="AN1311" s="1145">
        <f t="shared" si="375"/>
        <v>0</v>
      </c>
      <c r="AO1311" s="1154">
        <f t="shared" si="376"/>
        <v>25166.969999999998</v>
      </c>
      <c r="AP1311" s="1147">
        <f t="shared" si="363"/>
        <v>0</v>
      </c>
      <c r="AQ1311" s="1144">
        <f t="shared" si="364"/>
        <v>0</v>
      </c>
      <c r="AR1311" s="1146">
        <f t="shared" si="365"/>
        <v>25166.969999999998</v>
      </c>
    </row>
    <row r="1312" spans="1:44" x14ac:dyDescent="0.2">
      <c r="A1312" s="1141" t="str">
        <f t="shared" si="378"/>
        <v>1562</v>
      </c>
      <c r="B1312" s="1141" t="str">
        <f>IFERROR(VLOOKUP(A1312,'LAC 103'!A:C,3,FALSE),"")</f>
        <v>OP</v>
      </c>
      <c r="C1312" s="1478" t="str">
        <f>Info!$B$8</f>
        <v>00100</v>
      </c>
      <c r="D1312" s="1474" t="s">
        <v>256</v>
      </c>
      <c r="E1312" s="1474" t="s">
        <v>95</v>
      </c>
      <c r="F1312" s="1478" t="s">
        <v>432</v>
      </c>
      <c r="G1312" s="1478" t="s">
        <v>432</v>
      </c>
      <c r="H1312" s="1474" t="s">
        <v>1091</v>
      </c>
      <c r="I1312" s="1478" t="s">
        <v>815</v>
      </c>
      <c r="J1312" s="1478"/>
      <c r="K1312" s="1475" t="s">
        <v>847</v>
      </c>
      <c r="L1312" s="1474" t="s">
        <v>582</v>
      </c>
      <c r="M1312" s="1476" t="s">
        <v>842</v>
      </c>
      <c r="N1312" s="1477" t="s">
        <v>1692</v>
      </c>
      <c r="O1312" s="1479">
        <v>8337</v>
      </c>
      <c r="P1312" s="1479"/>
      <c r="Q1312" s="1142">
        <f t="shared" si="361"/>
        <v>8337</v>
      </c>
      <c r="R1312" s="1143">
        <f>IFERROR(VLOOKUP(CONCATENATE(E1312,G1312),'LAC 103'!$A$12:$O$95,11,FALSE),0)</f>
        <v>5.936295312319726</v>
      </c>
      <c r="S1312" s="1144">
        <f>IFERROR(VLOOKUP(CONCATENATE($E1312,$G1312),'LAC 103'!$A$12:$O$95,12,FALSE),0)</f>
        <v>7.34</v>
      </c>
      <c r="T1312" s="1144">
        <f>IFERROR(VLOOKUP(CONCATENATE($E1312,$G1312),'LAC 103'!$A$12:$O$95,13,FALSE),0)</f>
        <v>4.59</v>
      </c>
      <c r="U1312" s="1144">
        <f>IFERROR(VLOOKUP(CONCATENATE($E1312,$G1312),'LAC 103'!$A$12:$O$95,14,FALSE),0)</f>
        <v>0</v>
      </c>
      <c r="V1312" s="1144">
        <f>IFERROR(VLOOKUP(CONCATENATE($E1312,$G1312),'LAC 103'!$A$12:$O$95,15,FALSE),0)</f>
        <v>0</v>
      </c>
      <c r="W1312" s="1145" t="str">
        <f>IFERROR(VLOOKUP(CONCATENATE($B1312,$N1312),'LAC 103'!$AI:$AQ,9,FALSE),"")</f>
        <v>Costs</v>
      </c>
      <c r="X1312" s="1146">
        <f t="shared" si="366"/>
        <v>5.936295312319726</v>
      </c>
      <c r="Y1312" s="1143">
        <f t="shared" si="377"/>
        <v>49490.894018809558</v>
      </c>
      <c r="Z1312" s="1147">
        <f t="shared" si="367"/>
        <v>61193.58</v>
      </c>
      <c r="AA1312" s="1144">
        <f t="shared" si="368"/>
        <v>38266.83</v>
      </c>
      <c r="AB1312" s="1144">
        <f t="shared" si="369"/>
        <v>0</v>
      </c>
      <c r="AC1312" s="1144">
        <f t="shared" si="370"/>
        <v>0</v>
      </c>
      <c r="AD1312" s="1148">
        <f t="shared" si="362"/>
        <v>49490.894018809558</v>
      </c>
      <c r="AE1312" s="1487">
        <v>0</v>
      </c>
      <c r="AF1312" s="1145">
        <f t="shared" si="371"/>
        <v>49490.894018809558</v>
      </c>
      <c r="AG1312" s="1149">
        <f>IFERROR(VLOOKUP(CONCATENATE($L1312,$N1312),'Drop List'!$G$23:$K$87,2,FALSE),0)</f>
        <v>0.56200000000000006</v>
      </c>
      <c r="AH1312" s="1150">
        <f>IFERROR(VLOOKUP(CONCATENATE($L1312,$N1312),'Drop List'!$G$23:$K$87,3,FALSE),0)</f>
        <v>0.43799999999999994</v>
      </c>
      <c r="AI1312" s="1150">
        <f>IFERROR(VLOOKUP(CONCATENATE($L1312,$N1312),'Drop List'!$G$23:$K$87,4,FALSE),0)</f>
        <v>0</v>
      </c>
      <c r="AJ1312" s="1151">
        <f>IFERROR(VLOOKUP(CONCATENATE($L1312,$N1312),'Drop List'!$G$23:$K$87,5,FALSE),0)</f>
        <v>0</v>
      </c>
      <c r="AK1312" s="1152">
        <f t="shared" si="372"/>
        <v>27813.882438570974</v>
      </c>
      <c r="AL1312" s="1153">
        <f t="shared" si="373"/>
        <v>21677.011580238584</v>
      </c>
      <c r="AM1312" s="1153">
        <f t="shared" si="374"/>
        <v>0</v>
      </c>
      <c r="AN1312" s="1145">
        <f t="shared" si="375"/>
        <v>0</v>
      </c>
      <c r="AO1312" s="1154">
        <f t="shared" si="376"/>
        <v>49490.894018809558</v>
      </c>
      <c r="AP1312" s="1147">
        <f t="shared" si="363"/>
        <v>0</v>
      </c>
      <c r="AQ1312" s="1144">
        <f t="shared" si="364"/>
        <v>0</v>
      </c>
      <c r="AR1312" s="1146">
        <f t="shared" si="365"/>
        <v>49490.894018809558</v>
      </c>
    </row>
    <row r="1313" spans="1:44" x14ac:dyDescent="0.2">
      <c r="A1313" s="1141" t="str">
        <f t="shared" si="378"/>
        <v>1562</v>
      </c>
      <c r="B1313" s="1141" t="str">
        <f>IFERROR(VLOOKUP(A1313,'LAC 103'!A:C,3,FALSE),"")</f>
        <v>OP</v>
      </c>
      <c r="C1313" s="1478" t="str">
        <f>Info!$B$8</f>
        <v>00100</v>
      </c>
      <c r="D1313" s="1474" t="s">
        <v>256</v>
      </c>
      <c r="E1313" s="1474" t="s">
        <v>95</v>
      </c>
      <c r="F1313" s="1478" t="s">
        <v>432</v>
      </c>
      <c r="G1313" s="1478" t="s">
        <v>432</v>
      </c>
      <c r="H1313" s="1474" t="s">
        <v>1091</v>
      </c>
      <c r="I1313" s="1478" t="s">
        <v>815</v>
      </c>
      <c r="J1313" s="1478"/>
      <c r="K1313" s="1475" t="s">
        <v>847</v>
      </c>
      <c r="L1313" s="1474" t="s">
        <v>582</v>
      </c>
      <c r="M1313" s="1476" t="s">
        <v>1698</v>
      </c>
      <c r="N1313" s="1477" t="s">
        <v>1693</v>
      </c>
      <c r="O1313" s="1479">
        <v>9888</v>
      </c>
      <c r="P1313" s="1479"/>
      <c r="Q1313" s="1142">
        <f t="shared" si="361"/>
        <v>9888</v>
      </c>
      <c r="R1313" s="1143">
        <f>IFERROR(VLOOKUP(CONCATENATE(E1313,G1313),'LAC 103'!$A$12:$O$95,11,FALSE),0)</f>
        <v>5.936295312319726</v>
      </c>
      <c r="S1313" s="1144">
        <f>IFERROR(VLOOKUP(CONCATENATE($E1313,$G1313),'LAC 103'!$A$12:$O$95,12,FALSE),0)</f>
        <v>7.34</v>
      </c>
      <c r="T1313" s="1144">
        <f>IFERROR(VLOOKUP(CONCATENATE($E1313,$G1313),'LAC 103'!$A$12:$O$95,13,FALSE),0)</f>
        <v>4.59</v>
      </c>
      <c r="U1313" s="1144">
        <f>IFERROR(VLOOKUP(CONCATENATE($E1313,$G1313),'LAC 103'!$A$12:$O$95,14,FALSE),0)</f>
        <v>0</v>
      </c>
      <c r="V1313" s="1144">
        <f>IFERROR(VLOOKUP(CONCATENATE($E1313,$G1313),'LAC 103'!$A$12:$O$95,15,FALSE),0)</f>
        <v>0</v>
      </c>
      <c r="W1313" s="1145" t="str">
        <f>IFERROR(VLOOKUP(CONCATENATE($B1313,$N1313),'LAC 103'!$AI:$AQ,9,FALSE),"")</f>
        <v>Costs</v>
      </c>
      <c r="X1313" s="1146">
        <f t="shared" si="366"/>
        <v>5.936295312319726</v>
      </c>
      <c r="Y1313" s="1143">
        <f t="shared" si="377"/>
        <v>58698.088048217447</v>
      </c>
      <c r="Z1313" s="1147">
        <f t="shared" si="367"/>
        <v>72577.919999999998</v>
      </c>
      <c r="AA1313" s="1144">
        <f t="shared" si="368"/>
        <v>45385.919999999998</v>
      </c>
      <c r="AB1313" s="1144">
        <f t="shared" si="369"/>
        <v>0</v>
      </c>
      <c r="AC1313" s="1144">
        <f t="shared" si="370"/>
        <v>0</v>
      </c>
      <c r="AD1313" s="1148">
        <f t="shared" si="362"/>
        <v>58698.088048217447</v>
      </c>
      <c r="AE1313" s="1487">
        <v>0</v>
      </c>
      <c r="AF1313" s="1145">
        <f t="shared" si="371"/>
        <v>58698.088048217447</v>
      </c>
      <c r="AG1313" s="1149">
        <f>IFERROR(VLOOKUP(CONCATENATE($L1313,$N1313),'Drop List'!$G$23:$K$87,2,FALSE),0)</f>
        <v>0.56200000000000006</v>
      </c>
      <c r="AH1313" s="1150">
        <f>IFERROR(VLOOKUP(CONCATENATE($L1313,$N1313),'Drop List'!$G$23:$K$87,3,FALSE),0)</f>
        <v>0.43799999999999994</v>
      </c>
      <c r="AI1313" s="1150">
        <f>IFERROR(VLOOKUP(CONCATENATE($L1313,$N1313),'Drop List'!$G$23:$K$87,4,FALSE),0)</f>
        <v>0</v>
      </c>
      <c r="AJ1313" s="1151">
        <f>IFERROR(VLOOKUP(CONCATENATE($L1313,$N1313),'Drop List'!$G$23:$K$87,5,FALSE),0)</f>
        <v>0</v>
      </c>
      <c r="AK1313" s="1152">
        <f t="shared" si="372"/>
        <v>32988.325483098211</v>
      </c>
      <c r="AL1313" s="1153">
        <f t="shared" si="373"/>
        <v>25709.762565119239</v>
      </c>
      <c r="AM1313" s="1153">
        <f t="shared" si="374"/>
        <v>0</v>
      </c>
      <c r="AN1313" s="1145">
        <f t="shared" si="375"/>
        <v>0</v>
      </c>
      <c r="AO1313" s="1154">
        <f t="shared" si="376"/>
        <v>58698.088048217454</v>
      </c>
      <c r="AP1313" s="1147">
        <f t="shared" si="363"/>
        <v>0</v>
      </c>
      <c r="AQ1313" s="1144">
        <f t="shared" si="364"/>
        <v>0</v>
      </c>
      <c r="AR1313" s="1146">
        <f t="shared" si="365"/>
        <v>58698.088048217454</v>
      </c>
    </row>
    <row r="1314" spans="1:44" x14ac:dyDescent="0.2">
      <c r="A1314" s="1141" t="str">
        <f t="shared" si="378"/>
        <v>1562</v>
      </c>
      <c r="B1314" s="1141" t="str">
        <f>IFERROR(VLOOKUP(A1314,'LAC 103'!A:C,3,FALSE),"")</f>
        <v>OP</v>
      </c>
      <c r="C1314" s="1478" t="str">
        <f>Info!$B$8</f>
        <v>00100</v>
      </c>
      <c r="D1314" s="1474" t="s">
        <v>256</v>
      </c>
      <c r="E1314" s="1474" t="s">
        <v>95</v>
      </c>
      <c r="F1314" s="1478" t="s">
        <v>432</v>
      </c>
      <c r="G1314" s="1478" t="s">
        <v>432</v>
      </c>
      <c r="H1314" s="1474" t="s">
        <v>1091</v>
      </c>
      <c r="I1314" s="1478" t="s">
        <v>815</v>
      </c>
      <c r="J1314" s="1478"/>
      <c r="K1314" s="1475" t="s">
        <v>852</v>
      </c>
      <c r="L1314" s="1474" t="s">
        <v>591</v>
      </c>
      <c r="M1314" s="1476" t="s">
        <v>841</v>
      </c>
      <c r="N1314" s="1477" t="s">
        <v>1695</v>
      </c>
      <c r="O1314" s="1479">
        <v>60</v>
      </c>
      <c r="P1314" s="1479"/>
      <c r="Q1314" s="1142">
        <f t="shared" si="361"/>
        <v>60</v>
      </c>
      <c r="R1314" s="1143">
        <f>IFERROR(VLOOKUP(CONCATENATE(E1314,G1314),'LAC 103'!$A$12:$O$95,11,FALSE),0)</f>
        <v>5.936295312319726</v>
      </c>
      <c r="S1314" s="1144">
        <f>IFERROR(VLOOKUP(CONCATENATE($E1314,$G1314),'LAC 103'!$A$12:$O$95,12,FALSE),0)</f>
        <v>7.34</v>
      </c>
      <c r="T1314" s="1144">
        <f>IFERROR(VLOOKUP(CONCATENATE($E1314,$G1314),'LAC 103'!$A$12:$O$95,13,FALSE),0)</f>
        <v>4.59</v>
      </c>
      <c r="U1314" s="1144">
        <f>IFERROR(VLOOKUP(CONCATENATE($E1314,$G1314),'LAC 103'!$A$12:$O$95,14,FALSE),0)</f>
        <v>0</v>
      </c>
      <c r="V1314" s="1144">
        <f>IFERROR(VLOOKUP(CONCATENATE($E1314,$G1314),'LAC 103'!$A$12:$O$95,15,FALSE),0)</f>
        <v>0</v>
      </c>
      <c r="W1314" s="1145" t="str">
        <f>IFERROR(VLOOKUP(CONCATENATE($B1314,$N1314),'LAC 103'!$AI:$AQ,9,FALSE),"")</f>
        <v>Costs</v>
      </c>
      <c r="X1314" s="1146">
        <f t="shared" si="366"/>
        <v>5.936295312319726</v>
      </c>
      <c r="Y1314" s="1143">
        <f t="shared" si="377"/>
        <v>356.17771873918355</v>
      </c>
      <c r="Z1314" s="1147">
        <f t="shared" si="367"/>
        <v>440.4</v>
      </c>
      <c r="AA1314" s="1144">
        <f t="shared" si="368"/>
        <v>275.39999999999998</v>
      </c>
      <c r="AB1314" s="1144">
        <f t="shared" si="369"/>
        <v>0</v>
      </c>
      <c r="AC1314" s="1144">
        <f t="shared" si="370"/>
        <v>0</v>
      </c>
      <c r="AD1314" s="1148">
        <f t="shared" si="362"/>
        <v>356.17771873918355</v>
      </c>
      <c r="AE1314" s="1487">
        <v>0</v>
      </c>
      <c r="AF1314" s="1145">
        <f t="shared" si="371"/>
        <v>356.17771873918355</v>
      </c>
      <c r="AG1314" s="1149">
        <f>IFERROR(VLOOKUP(CONCATENATE($L1314,$N1314),'Drop List'!$G$23:$K$87,2,FALSE),0)</f>
        <v>0.68500000000000005</v>
      </c>
      <c r="AH1314" s="1150">
        <f>IFERROR(VLOOKUP(CONCATENATE($L1314,$N1314),'Drop List'!$G$23:$K$87,3,FALSE),0)</f>
        <v>0</v>
      </c>
      <c r="AI1314" s="1150">
        <f>IFERROR(VLOOKUP(CONCATENATE($L1314,$N1314),'Drop List'!$G$23:$K$87,4,FALSE),0)</f>
        <v>0</v>
      </c>
      <c r="AJ1314" s="1151">
        <f>IFERROR(VLOOKUP(CONCATENATE($L1314,$N1314),'Drop List'!$G$23:$K$87,5,FALSE),0)</f>
        <v>0.31499999999999995</v>
      </c>
      <c r="AK1314" s="1152">
        <f t="shared" si="372"/>
        <v>243.98173733634076</v>
      </c>
      <c r="AL1314" s="1153">
        <f t="shared" si="373"/>
        <v>0</v>
      </c>
      <c r="AM1314" s="1153">
        <f t="shared" si="374"/>
        <v>0</v>
      </c>
      <c r="AN1314" s="1145">
        <f t="shared" si="375"/>
        <v>112.1959814028428</v>
      </c>
      <c r="AO1314" s="1154">
        <f t="shared" si="376"/>
        <v>356.17771873918355</v>
      </c>
      <c r="AP1314" s="1147">
        <f t="shared" si="363"/>
        <v>0</v>
      </c>
      <c r="AQ1314" s="1144">
        <f t="shared" si="364"/>
        <v>0</v>
      </c>
      <c r="AR1314" s="1146">
        <f t="shared" si="365"/>
        <v>356.17771873918355</v>
      </c>
    </row>
    <row r="1315" spans="1:44" x14ac:dyDescent="0.2">
      <c r="A1315" s="1141" t="str">
        <f t="shared" si="378"/>
        <v>1562</v>
      </c>
      <c r="B1315" s="1141" t="str">
        <f>IFERROR(VLOOKUP(A1315,'LAC 103'!A:C,3,FALSE),"")</f>
        <v>OP</v>
      </c>
      <c r="C1315" s="1478" t="str">
        <f>Info!$B$8</f>
        <v>00100</v>
      </c>
      <c r="D1315" s="1474" t="s">
        <v>256</v>
      </c>
      <c r="E1315" s="1474" t="s">
        <v>95</v>
      </c>
      <c r="F1315" s="1478" t="s">
        <v>432</v>
      </c>
      <c r="G1315" s="1478" t="s">
        <v>432</v>
      </c>
      <c r="H1315" s="1474" t="s">
        <v>1091</v>
      </c>
      <c r="I1315" s="1478" t="s">
        <v>815</v>
      </c>
      <c r="J1315" s="1478"/>
      <c r="K1315" s="1475" t="s">
        <v>852</v>
      </c>
      <c r="L1315" s="1474" t="s">
        <v>591</v>
      </c>
      <c r="M1315" s="1476" t="s">
        <v>840</v>
      </c>
      <c r="N1315" s="1477" t="s">
        <v>1700</v>
      </c>
      <c r="O1315" s="1479">
        <v>30</v>
      </c>
      <c r="P1315" s="1479"/>
      <c r="Q1315" s="1142">
        <f t="shared" si="361"/>
        <v>30</v>
      </c>
      <c r="R1315" s="1143">
        <f>IFERROR(VLOOKUP(CONCATENATE(E1315,G1315),'LAC 103'!$A$12:$O$95,11,FALSE),0)</f>
        <v>5.936295312319726</v>
      </c>
      <c r="S1315" s="1144">
        <f>IFERROR(VLOOKUP(CONCATENATE($E1315,$G1315),'LAC 103'!$A$12:$O$95,12,FALSE),0)</f>
        <v>7.34</v>
      </c>
      <c r="T1315" s="1144">
        <f>IFERROR(VLOOKUP(CONCATENATE($E1315,$G1315),'LAC 103'!$A$12:$O$95,13,FALSE),0)</f>
        <v>4.59</v>
      </c>
      <c r="U1315" s="1144">
        <f>IFERROR(VLOOKUP(CONCATENATE($E1315,$G1315),'LAC 103'!$A$12:$O$95,14,FALSE),0)</f>
        <v>0</v>
      </c>
      <c r="V1315" s="1144">
        <f>IFERROR(VLOOKUP(CONCATENATE($E1315,$G1315),'LAC 103'!$A$12:$O$95,15,FALSE),0)</f>
        <v>0</v>
      </c>
      <c r="W1315" s="1145" t="str">
        <f>IFERROR(VLOOKUP(CONCATENATE($B1315,$N1315),'LAC 103'!$AI:$AQ,9,FALSE),"")</f>
        <v>P.C.</v>
      </c>
      <c r="X1315" s="1146">
        <f t="shared" si="366"/>
        <v>4.59</v>
      </c>
      <c r="Y1315" s="1143">
        <f t="shared" si="377"/>
        <v>178.08885936959177</v>
      </c>
      <c r="Z1315" s="1147">
        <f t="shared" si="367"/>
        <v>220.2</v>
      </c>
      <c r="AA1315" s="1144">
        <f t="shared" si="368"/>
        <v>137.69999999999999</v>
      </c>
      <c r="AB1315" s="1144">
        <f t="shared" si="369"/>
        <v>0</v>
      </c>
      <c r="AC1315" s="1144">
        <f t="shared" si="370"/>
        <v>0</v>
      </c>
      <c r="AD1315" s="1148">
        <f t="shared" si="362"/>
        <v>137.69999999999999</v>
      </c>
      <c r="AE1315" s="1487">
        <v>0</v>
      </c>
      <c r="AF1315" s="1145">
        <f t="shared" si="371"/>
        <v>137.69999999999999</v>
      </c>
      <c r="AG1315" s="1149">
        <f>IFERROR(VLOOKUP(CONCATENATE($L1315,$N1315),'Drop List'!$G$23:$K$87,2,FALSE),0)</f>
        <v>0.68500000000000005</v>
      </c>
      <c r="AH1315" s="1150">
        <f>IFERROR(VLOOKUP(CONCATENATE($L1315,$N1315),'Drop List'!$G$23:$K$87,3,FALSE),0)</f>
        <v>0</v>
      </c>
      <c r="AI1315" s="1150">
        <f>IFERROR(VLOOKUP(CONCATENATE($L1315,$N1315),'Drop List'!$G$23:$K$87,4,FALSE),0)</f>
        <v>0</v>
      </c>
      <c r="AJ1315" s="1151">
        <f>IFERROR(VLOOKUP(CONCATENATE($L1315,$N1315),'Drop List'!$G$23:$K$87,5,FALSE),0)</f>
        <v>0.31499999999999995</v>
      </c>
      <c r="AK1315" s="1152">
        <f t="shared" si="372"/>
        <v>94.3245</v>
      </c>
      <c r="AL1315" s="1153">
        <f t="shared" si="373"/>
        <v>0</v>
      </c>
      <c r="AM1315" s="1153">
        <f t="shared" si="374"/>
        <v>0</v>
      </c>
      <c r="AN1315" s="1145">
        <f t="shared" si="375"/>
        <v>43.375499999999988</v>
      </c>
      <c r="AO1315" s="1154">
        <f t="shared" si="376"/>
        <v>137.69999999999999</v>
      </c>
      <c r="AP1315" s="1147">
        <f t="shared" si="363"/>
        <v>0</v>
      </c>
      <c r="AQ1315" s="1144">
        <f t="shared" si="364"/>
        <v>0</v>
      </c>
      <c r="AR1315" s="1146">
        <f t="shared" si="365"/>
        <v>137.69999999999999</v>
      </c>
    </row>
    <row r="1316" spans="1:44" x14ac:dyDescent="0.2">
      <c r="A1316" s="1141" t="str">
        <f t="shared" si="378"/>
        <v>1562</v>
      </c>
      <c r="B1316" s="1141" t="str">
        <f>IFERROR(VLOOKUP(A1316,'LAC 103'!A:C,3,FALSE),"")</f>
        <v>OP</v>
      </c>
      <c r="C1316" s="1478" t="str">
        <f>Info!$B$8</f>
        <v>00100</v>
      </c>
      <c r="D1316" s="1474" t="s">
        <v>256</v>
      </c>
      <c r="E1316" s="1474" t="s">
        <v>95</v>
      </c>
      <c r="F1316" s="1478" t="s">
        <v>432</v>
      </c>
      <c r="G1316" s="1478" t="s">
        <v>432</v>
      </c>
      <c r="H1316" s="1474" t="s">
        <v>1091</v>
      </c>
      <c r="I1316" s="1478" t="s">
        <v>815</v>
      </c>
      <c r="J1316" s="1478"/>
      <c r="K1316" s="1475" t="s">
        <v>848</v>
      </c>
      <c r="L1316" s="1474" t="s">
        <v>45</v>
      </c>
      <c r="M1316" s="1476" t="s">
        <v>1699</v>
      </c>
      <c r="N1316" s="1477" t="s">
        <v>1694</v>
      </c>
      <c r="O1316" s="1479">
        <v>1615</v>
      </c>
      <c r="P1316" s="1479"/>
      <c r="Q1316" s="1142">
        <f t="shared" si="361"/>
        <v>1615</v>
      </c>
      <c r="R1316" s="1143">
        <f>IFERROR(VLOOKUP(CONCATENATE(E1316,G1316),'LAC 103'!$A$12:$O$95,11,FALSE),0)</f>
        <v>5.936295312319726</v>
      </c>
      <c r="S1316" s="1144">
        <f>IFERROR(VLOOKUP(CONCATENATE($E1316,$G1316),'LAC 103'!$A$12:$O$95,12,FALSE),0)</f>
        <v>7.34</v>
      </c>
      <c r="T1316" s="1144">
        <f>IFERROR(VLOOKUP(CONCATENATE($E1316,$G1316),'LAC 103'!$A$12:$O$95,13,FALSE),0)</f>
        <v>4.59</v>
      </c>
      <c r="U1316" s="1144">
        <f>IFERROR(VLOOKUP(CONCATENATE($E1316,$G1316),'LAC 103'!$A$12:$O$95,14,FALSE),0)</f>
        <v>0</v>
      </c>
      <c r="V1316" s="1144">
        <f>IFERROR(VLOOKUP(CONCATENATE($E1316,$G1316),'LAC 103'!$A$12:$O$95,15,FALSE),0)</f>
        <v>0</v>
      </c>
      <c r="W1316" s="1145" t="str">
        <f>IFERROR(VLOOKUP(CONCATENATE($B1316,$N1316),'LAC 103'!$AI:$AQ,9,FALSE),"")</f>
        <v>Costs</v>
      </c>
      <c r="X1316" s="1146">
        <f t="shared" si="366"/>
        <v>5.936295312319726</v>
      </c>
      <c r="Y1316" s="1143">
        <f t="shared" si="377"/>
        <v>9587.1169293963576</v>
      </c>
      <c r="Z1316" s="1147">
        <f t="shared" si="367"/>
        <v>11854.1</v>
      </c>
      <c r="AA1316" s="1144">
        <f t="shared" si="368"/>
        <v>7412.8499999999995</v>
      </c>
      <c r="AB1316" s="1144">
        <f t="shared" si="369"/>
        <v>0</v>
      </c>
      <c r="AC1316" s="1144">
        <f t="shared" si="370"/>
        <v>0</v>
      </c>
      <c r="AD1316" s="1148">
        <f t="shared" si="362"/>
        <v>9587.1169293963576</v>
      </c>
      <c r="AE1316" s="1487">
        <v>0</v>
      </c>
      <c r="AF1316" s="1145">
        <f t="shared" si="371"/>
        <v>9587.1169293963576</v>
      </c>
      <c r="AG1316" s="1149">
        <f>IFERROR(VLOOKUP(CONCATENATE($L1316,$N1316),'Drop List'!$G$23:$K$87,2,FALSE),0)</f>
        <v>0.69340000000000002</v>
      </c>
      <c r="AH1316" s="1150">
        <f>IFERROR(VLOOKUP(CONCATENATE($L1316,$N1316),'Drop List'!$G$23:$K$87,3,FALSE),0)</f>
        <v>0.30659999999999998</v>
      </c>
      <c r="AI1316" s="1150">
        <f>IFERROR(VLOOKUP(CONCATENATE($L1316,$N1316),'Drop List'!$G$23:$K$87,4,FALSE),0)</f>
        <v>0</v>
      </c>
      <c r="AJ1316" s="1151">
        <f>IFERROR(VLOOKUP(CONCATENATE($L1316,$N1316),'Drop List'!$G$23:$K$87,5,FALSE),0)</f>
        <v>0</v>
      </c>
      <c r="AK1316" s="1152">
        <f t="shared" si="372"/>
        <v>6647.7068788434344</v>
      </c>
      <c r="AL1316" s="1153">
        <f t="shared" si="373"/>
        <v>2939.4100505529232</v>
      </c>
      <c r="AM1316" s="1153">
        <f t="shared" si="374"/>
        <v>0</v>
      </c>
      <c r="AN1316" s="1145">
        <f t="shared" si="375"/>
        <v>0</v>
      </c>
      <c r="AO1316" s="1154">
        <f t="shared" si="376"/>
        <v>9587.1169293963576</v>
      </c>
      <c r="AP1316" s="1147">
        <f t="shared" si="363"/>
        <v>0</v>
      </c>
      <c r="AQ1316" s="1144">
        <f t="shared" si="364"/>
        <v>0</v>
      </c>
      <c r="AR1316" s="1146">
        <f t="shared" si="365"/>
        <v>9587.1169293963576</v>
      </c>
    </row>
    <row r="1317" spans="1:44" x14ac:dyDescent="0.2">
      <c r="A1317" s="1141" t="str">
        <f t="shared" si="378"/>
        <v>1562</v>
      </c>
      <c r="B1317" s="1141" t="str">
        <f>IFERROR(VLOOKUP(A1317,'LAC 103'!A:C,3,FALSE),"")</f>
        <v>OP</v>
      </c>
      <c r="C1317" s="1478" t="str">
        <f>Info!$B$8</f>
        <v>00100</v>
      </c>
      <c r="D1317" s="1474" t="s">
        <v>256</v>
      </c>
      <c r="E1317" s="1474" t="s">
        <v>95</v>
      </c>
      <c r="F1317" s="1478" t="s">
        <v>432</v>
      </c>
      <c r="G1317" s="1478" t="s">
        <v>432</v>
      </c>
      <c r="H1317" s="1474" t="s">
        <v>1091</v>
      </c>
      <c r="I1317" s="1478" t="s">
        <v>815</v>
      </c>
      <c r="J1317" s="1478"/>
      <c r="K1317" s="1475" t="s">
        <v>848</v>
      </c>
      <c r="L1317" s="1474" t="s">
        <v>45</v>
      </c>
      <c r="M1317" s="1476" t="s">
        <v>841</v>
      </c>
      <c r="N1317" s="1477" t="s">
        <v>1695</v>
      </c>
      <c r="O1317" s="1479">
        <v>998</v>
      </c>
      <c r="P1317" s="1479"/>
      <c r="Q1317" s="1142">
        <f t="shared" si="361"/>
        <v>998</v>
      </c>
      <c r="R1317" s="1143">
        <f>IFERROR(VLOOKUP(CONCATENATE(E1317,G1317),'LAC 103'!$A$12:$O$95,11,FALSE),0)</f>
        <v>5.936295312319726</v>
      </c>
      <c r="S1317" s="1144">
        <f>IFERROR(VLOOKUP(CONCATENATE($E1317,$G1317),'LAC 103'!$A$12:$O$95,12,FALSE),0)</f>
        <v>7.34</v>
      </c>
      <c r="T1317" s="1144">
        <f>IFERROR(VLOOKUP(CONCATENATE($E1317,$G1317),'LAC 103'!$A$12:$O$95,13,FALSE),0)</f>
        <v>4.59</v>
      </c>
      <c r="U1317" s="1144">
        <f>IFERROR(VLOOKUP(CONCATENATE($E1317,$G1317),'LAC 103'!$A$12:$O$95,14,FALSE),0)</f>
        <v>0</v>
      </c>
      <c r="V1317" s="1144">
        <f>IFERROR(VLOOKUP(CONCATENATE($E1317,$G1317),'LAC 103'!$A$12:$O$95,15,FALSE),0)</f>
        <v>0</v>
      </c>
      <c r="W1317" s="1145" t="str">
        <f>IFERROR(VLOOKUP(CONCATENATE($B1317,$N1317),'LAC 103'!$AI:$AQ,9,FALSE),"")</f>
        <v>Costs</v>
      </c>
      <c r="X1317" s="1146">
        <f t="shared" si="366"/>
        <v>5.936295312319726</v>
      </c>
      <c r="Y1317" s="1143">
        <f t="shared" si="377"/>
        <v>5924.4227216950867</v>
      </c>
      <c r="Z1317" s="1147">
        <f t="shared" si="367"/>
        <v>7325.32</v>
      </c>
      <c r="AA1317" s="1144">
        <f t="shared" si="368"/>
        <v>4580.82</v>
      </c>
      <c r="AB1317" s="1144">
        <f t="shared" si="369"/>
        <v>0</v>
      </c>
      <c r="AC1317" s="1144">
        <f t="shared" si="370"/>
        <v>0</v>
      </c>
      <c r="AD1317" s="1148">
        <f t="shared" si="362"/>
        <v>5924.4227216950867</v>
      </c>
      <c r="AE1317" s="1487">
        <v>0</v>
      </c>
      <c r="AF1317" s="1145">
        <f t="shared" si="371"/>
        <v>5924.4227216950867</v>
      </c>
      <c r="AG1317" s="1149">
        <f>IFERROR(VLOOKUP(CONCATENATE($L1317,$N1317),'Drop List'!$G$23:$K$87,2,FALSE),0)</f>
        <v>0.68500000000000005</v>
      </c>
      <c r="AH1317" s="1150">
        <f>IFERROR(VLOOKUP(CONCATENATE($L1317,$N1317),'Drop List'!$G$23:$K$87,3,FALSE),0)</f>
        <v>0.31499999999999995</v>
      </c>
      <c r="AI1317" s="1150">
        <f>IFERROR(VLOOKUP(CONCATENATE($L1317,$N1317),'Drop List'!$G$23:$K$87,4,FALSE),0)</f>
        <v>0</v>
      </c>
      <c r="AJ1317" s="1151">
        <f>IFERROR(VLOOKUP(CONCATENATE($L1317,$N1317),'Drop List'!$G$23:$K$87,5,FALSE),0)</f>
        <v>0</v>
      </c>
      <c r="AK1317" s="1152">
        <f t="shared" si="372"/>
        <v>4058.2295643611346</v>
      </c>
      <c r="AL1317" s="1153">
        <f t="shared" si="373"/>
        <v>1866.1931573339521</v>
      </c>
      <c r="AM1317" s="1153">
        <f t="shared" si="374"/>
        <v>0</v>
      </c>
      <c r="AN1317" s="1145">
        <f t="shared" si="375"/>
        <v>0</v>
      </c>
      <c r="AO1317" s="1154">
        <f t="shared" si="376"/>
        <v>5924.4227216950867</v>
      </c>
      <c r="AP1317" s="1147">
        <f t="shared" si="363"/>
        <v>0</v>
      </c>
      <c r="AQ1317" s="1144">
        <f t="shared" si="364"/>
        <v>0</v>
      </c>
      <c r="AR1317" s="1146">
        <f t="shared" si="365"/>
        <v>5924.4227216950867</v>
      </c>
    </row>
    <row r="1318" spans="1:44" x14ac:dyDescent="0.2">
      <c r="A1318" s="1141" t="str">
        <f t="shared" si="378"/>
        <v>1562</v>
      </c>
      <c r="B1318" s="1141" t="str">
        <f>IFERROR(VLOOKUP(A1318,'LAC 103'!A:C,3,FALSE),"")</f>
        <v>OP</v>
      </c>
      <c r="C1318" s="1478" t="str">
        <f>Info!$B$8</f>
        <v>00100</v>
      </c>
      <c r="D1318" s="1474" t="s">
        <v>256</v>
      </c>
      <c r="E1318" s="1474" t="s">
        <v>95</v>
      </c>
      <c r="F1318" s="1478" t="s">
        <v>432</v>
      </c>
      <c r="G1318" s="1478" t="s">
        <v>432</v>
      </c>
      <c r="H1318" s="1474" t="s">
        <v>1091</v>
      </c>
      <c r="I1318" s="1478" t="s">
        <v>815</v>
      </c>
      <c r="J1318" s="1478"/>
      <c r="K1318" s="1475" t="s">
        <v>848</v>
      </c>
      <c r="L1318" s="1474" t="s">
        <v>45</v>
      </c>
      <c r="M1318" s="1476" t="s">
        <v>840</v>
      </c>
      <c r="N1318" s="1477" t="s">
        <v>1700</v>
      </c>
      <c r="O1318" s="1479">
        <v>966</v>
      </c>
      <c r="P1318" s="1479"/>
      <c r="Q1318" s="1142">
        <f t="shared" si="361"/>
        <v>966</v>
      </c>
      <c r="R1318" s="1143">
        <f>IFERROR(VLOOKUP(CONCATENATE(E1318,G1318),'LAC 103'!$A$12:$O$95,11,FALSE),0)</f>
        <v>5.936295312319726</v>
      </c>
      <c r="S1318" s="1144">
        <f>IFERROR(VLOOKUP(CONCATENATE($E1318,$G1318),'LAC 103'!$A$12:$O$95,12,FALSE),0)</f>
        <v>7.34</v>
      </c>
      <c r="T1318" s="1144">
        <f>IFERROR(VLOOKUP(CONCATENATE($E1318,$G1318),'LAC 103'!$A$12:$O$95,13,FALSE),0)</f>
        <v>4.59</v>
      </c>
      <c r="U1318" s="1144">
        <f>IFERROR(VLOOKUP(CONCATENATE($E1318,$G1318),'LAC 103'!$A$12:$O$95,14,FALSE),0)</f>
        <v>0</v>
      </c>
      <c r="V1318" s="1144">
        <f>IFERROR(VLOOKUP(CONCATENATE($E1318,$G1318),'LAC 103'!$A$12:$O$95,15,FALSE),0)</f>
        <v>0</v>
      </c>
      <c r="W1318" s="1145" t="str">
        <f>IFERROR(VLOOKUP(CONCATENATE($B1318,$N1318),'LAC 103'!$AI:$AQ,9,FALSE),"")</f>
        <v>P.C.</v>
      </c>
      <c r="X1318" s="1146">
        <f t="shared" si="366"/>
        <v>4.59</v>
      </c>
      <c r="Y1318" s="1143">
        <f t="shared" si="377"/>
        <v>5734.4612717008549</v>
      </c>
      <c r="Z1318" s="1147">
        <f t="shared" si="367"/>
        <v>7090.44</v>
      </c>
      <c r="AA1318" s="1144">
        <f t="shared" si="368"/>
        <v>4433.9399999999996</v>
      </c>
      <c r="AB1318" s="1144">
        <f t="shared" si="369"/>
        <v>0</v>
      </c>
      <c r="AC1318" s="1144">
        <f t="shared" si="370"/>
        <v>0</v>
      </c>
      <c r="AD1318" s="1148">
        <f t="shared" si="362"/>
        <v>4433.9399999999996</v>
      </c>
      <c r="AE1318" s="1487">
        <v>0</v>
      </c>
      <c r="AF1318" s="1145">
        <f t="shared" si="371"/>
        <v>4433.9399999999996</v>
      </c>
      <c r="AG1318" s="1149">
        <f>IFERROR(VLOOKUP(CONCATENATE($L1318,$N1318),'Drop List'!$G$23:$K$87,2,FALSE),0)</f>
        <v>0.68500000000000005</v>
      </c>
      <c r="AH1318" s="1150">
        <f>IFERROR(VLOOKUP(CONCATENATE($L1318,$N1318),'Drop List'!$G$23:$K$87,3,FALSE),0)</f>
        <v>0.31499999999999995</v>
      </c>
      <c r="AI1318" s="1150">
        <f>IFERROR(VLOOKUP(CONCATENATE($L1318,$N1318),'Drop List'!$G$23:$K$87,4,FALSE),0)</f>
        <v>0</v>
      </c>
      <c r="AJ1318" s="1151">
        <f>IFERROR(VLOOKUP(CONCATENATE($L1318,$N1318),'Drop List'!$G$23:$K$87,5,FALSE),0)</f>
        <v>0</v>
      </c>
      <c r="AK1318" s="1152">
        <f t="shared" si="372"/>
        <v>3037.2489</v>
      </c>
      <c r="AL1318" s="1153">
        <f t="shared" si="373"/>
        <v>1396.6910999999996</v>
      </c>
      <c r="AM1318" s="1153">
        <f t="shared" si="374"/>
        <v>0</v>
      </c>
      <c r="AN1318" s="1145">
        <f t="shared" si="375"/>
        <v>0</v>
      </c>
      <c r="AO1318" s="1154">
        <f t="shared" si="376"/>
        <v>4433.9399999999996</v>
      </c>
      <c r="AP1318" s="1147">
        <f t="shared" si="363"/>
        <v>0</v>
      </c>
      <c r="AQ1318" s="1144">
        <f t="shared" si="364"/>
        <v>0</v>
      </c>
      <c r="AR1318" s="1146">
        <f t="shared" si="365"/>
        <v>4433.9399999999996</v>
      </c>
    </row>
    <row r="1319" spans="1:44" x14ac:dyDescent="0.2">
      <c r="A1319" s="1141" t="str">
        <f t="shared" si="378"/>
        <v>1562</v>
      </c>
      <c r="B1319" s="1141" t="str">
        <f>IFERROR(VLOOKUP(A1319,'LAC 103'!A:C,3,FALSE),"")</f>
        <v>OP</v>
      </c>
      <c r="C1319" s="1478" t="str">
        <f>Info!$B$8</f>
        <v>00100</v>
      </c>
      <c r="D1319" s="1474" t="s">
        <v>256</v>
      </c>
      <c r="E1319" s="1474" t="s">
        <v>95</v>
      </c>
      <c r="F1319" s="1478" t="s">
        <v>432</v>
      </c>
      <c r="G1319" s="1478" t="s">
        <v>432</v>
      </c>
      <c r="H1319" s="1474" t="s">
        <v>1091</v>
      </c>
      <c r="I1319" s="1478" t="s">
        <v>815</v>
      </c>
      <c r="J1319" s="1478"/>
      <c r="K1319" s="1475" t="s">
        <v>848</v>
      </c>
      <c r="L1319" s="1474" t="s">
        <v>45</v>
      </c>
      <c r="M1319" s="1476" t="s">
        <v>842</v>
      </c>
      <c r="N1319" s="1477" t="s">
        <v>1692</v>
      </c>
      <c r="O1319" s="1479">
        <v>2298</v>
      </c>
      <c r="P1319" s="1479"/>
      <c r="Q1319" s="1142">
        <f t="shared" si="361"/>
        <v>2298</v>
      </c>
      <c r="R1319" s="1143">
        <f>IFERROR(VLOOKUP(CONCATENATE(E1319,G1319),'LAC 103'!$A$12:$O$95,11,FALSE),0)</f>
        <v>5.936295312319726</v>
      </c>
      <c r="S1319" s="1144">
        <f>IFERROR(VLOOKUP(CONCATENATE($E1319,$G1319),'LAC 103'!$A$12:$O$95,12,FALSE),0)</f>
        <v>7.34</v>
      </c>
      <c r="T1319" s="1144">
        <f>IFERROR(VLOOKUP(CONCATENATE($E1319,$G1319),'LAC 103'!$A$12:$O$95,13,FALSE),0)</f>
        <v>4.59</v>
      </c>
      <c r="U1319" s="1144">
        <f>IFERROR(VLOOKUP(CONCATENATE($E1319,$G1319),'LAC 103'!$A$12:$O$95,14,FALSE),0)</f>
        <v>0</v>
      </c>
      <c r="V1319" s="1144">
        <f>IFERROR(VLOOKUP(CONCATENATE($E1319,$G1319),'LAC 103'!$A$12:$O$95,15,FALSE),0)</f>
        <v>0</v>
      </c>
      <c r="W1319" s="1145" t="str">
        <f>IFERROR(VLOOKUP(CONCATENATE($B1319,$N1319),'LAC 103'!$AI:$AQ,9,FALSE),"")</f>
        <v>Costs</v>
      </c>
      <c r="X1319" s="1146">
        <f t="shared" si="366"/>
        <v>5.936295312319726</v>
      </c>
      <c r="Y1319" s="1143">
        <f t="shared" si="377"/>
        <v>13641.606627710731</v>
      </c>
      <c r="Z1319" s="1147">
        <f t="shared" si="367"/>
        <v>16867.32</v>
      </c>
      <c r="AA1319" s="1144">
        <f t="shared" si="368"/>
        <v>10547.82</v>
      </c>
      <c r="AB1319" s="1144">
        <f t="shared" si="369"/>
        <v>0</v>
      </c>
      <c r="AC1319" s="1144">
        <f t="shared" si="370"/>
        <v>0</v>
      </c>
      <c r="AD1319" s="1148">
        <f t="shared" si="362"/>
        <v>13641.606627710731</v>
      </c>
      <c r="AE1319" s="1487">
        <v>0</v>
      </c>
      <c r="AF1319" s="1145">
        <f t="shared" si="371"/>
        <v>13641.606627710731</v>
      </c>
      <c r="AG1319" s="1149">
        <f>IFERROR(VLOOKUP(CONCATENATE($L1319,$N1319),'Drop List'!$G$23:$K$87,2,FALSE),0)</f>
        <v>0.69340000000000002</v>
      </c>
      <c r="AH1319" s="1150">
        <f>IFERROR(VLOOKUP(CONCATENATE($L1319,$N1319),'Drop List'!$G$23:$K$87,3,FALSE),0)</f>
        <v>0.30659999999999998</v>
      </c>
      <c r="AI1319" s="1150">
        <f>IFERROR(VLOOKUP(CONCATENATE($L1319,$N1319),'Drop List'!$G$23:$K$87,4,FALSE),0)</f>
        <v>0</v>
      </c>
      <c r="AJ1319" s="1151">
        <f>IFERROR(VLOOKUP(CONCATENATE($L1319,$N1319),'Drop List'!$G$23:$K$87,5,FALSE),0)</f>
        <v>0</v>
      </c>
      <c r="AK1319" s="1152">
        <f t="shared" si="372"/>
        <v>9459.0900356546208</v>
      </c>
      <c r="AL1319" s="1153">
        <f t="shared" si="373"/>
        <v>4182.5165920561103</v>
      </c>
      <c r="AM1319" s="1153">
        <f t="shared" si="374"/>
        <v>0</v>
      </c>
      <c r="AN1319" s="1145">
        <f t="shared" si="375"/>
        <v>0</v>
      </c>
      <c r="AO1319" s="1154">
        <f t="shared" si="376"/>
        <v>13641.606627710731</v>
      </c>
      <c r="AP1319" s="1147">
        <f t="shared" si="363"/>
        <v>0</v>
      </c>
      <c r="AQ1319" s="1144">
        <f t="shared" si="364"/>
        <v>0</v>
      </c>
      <c r="AR1319" s="1146">
        <f t="shared" si="365"/>
        <v>13641.606627710731</v>
      </c>
    </row>
    <row r="1320" spans="1:44" x14ac:dyDescent="0.2">
      <c r="A1320" s="1141" t="str">
        <f t="shared" si="378"/>
        <v>1562</v>
      </c>
      <c r="B1320" s="1141" t="str">
        <f>IFERROR(VLOOKUP(A1320,'LAC 103'!A:C,3,FALSE),"")</f>
        <v>OP</v>
      </c>
      <c r="C1320" s="1478" t="str">
        <f>Info!$B$8</f>
        <v>00100</v>
      </c>
      <c r="D1320" s="1474" t="s">
        <v>256</v>
      </c>
      <c r="E1320" s="1474" t="s">
        <v>95</v>
      </c>
      <c r="F1320" s="1478" t="s">
        <v>432</v>
      </c>
      <c r="G1320" s="1478" t="s">
        <v>432</v>
      </c>
      <c r="H1320" s="1474" t="s">
        <v>1091</v>
      </c>
      <c r="I1320" s="1478" t="s">
        <v>815</v>
      </c>
      <c r="J1320" s="1478"/>
      <c r="K1320" s="1475" t="s">
        <v>848</v>
      </c>
      <c r="L1320" s="1474" t="s">
        <v>45</v>
      </c>
      <c r="M1320" s="1476" t="s">
        <v>1698</v>
      </c>
      <c r="N1320" s="1477" t="s">
        <v>1693</v>
      </c>
      <c r="O1320" s="1479">
        <v>1960</v>
      </c>
      <c r="P1320" s="1479"/>
      <c r="Q1320" s="1142">
        <f t="shared" si="361"/>
        <v>1960</v>
      </c>
      <c r="R1320" s="1143">
        <f>IFERROR(VLOOKUP(CONCATENATE(E1320,G1320),'LAC 103'!$A$12:$O$95,11,FALSE),0)</f>
        <v>5.936295312319726</v>
      </c>
      <c r="S1320" s="1144">
        <f>IFERROR(VLOOKUP(CONCATENATE($E1320,$G1320),'LAC 103'!$A$12:$O$95,12,FALSE),0)</f>
        <v>7.34</v>
      </c>
      <c r="T1320" s="1144">
        <f>IFERROR(VLOOKUP(CONCATENATE($E1320,$G1320),'LAC 103'!$A$12:$O$95,13,FALSE),0)</f>
        <v>4.59</v>
      </c>
      <c r="U1320" s="1144">
        <f>IFERROR(VLOOKUP(CONCATENATE($E1320,$G1320),'LAC 103'!$A$12:$O$95,14,FALSE),0)</f>
        <v>0</v>
      </c>
      <c r="V1320" s="1144">
        <f>IFERROR(VLOOKUP(CONCATENATE($E1320,$G1320),'LAC 103'!$A$12:$O$95,15,FALSE),0)</f>
        <v>0</v>
      </c>
      <c r="W1320" s="1145" t="str">
        <f>IFERROR(VLOOKUP(CONCATENATE($B1320,$N1320),'LAC 103'!$AI:$AQ,9,FALSE),"")</f>
        <v>Costs</v>
      </c>
      <c r="X1320" s="1146">
        <f t="shared" si="366"/>
        <v>5.936295312319726</v>
      </c>
      <c r="Y1320" s="1143">
        <f t="shared" si="377"/>
        <v>11635.138812146663</v>
      </c>
      <c r="Z1320" s="1147">
        <f t="shared" si="367"/>
        <v>14386.4</v>
      </c>
      <c r="AA1320" s="1144">
        <f t="shared" si="368"/>
        <v>8996.4</v>
      </c>
      <c r="AB1320" s="1144">
        <f t="shared" si="369"/>
        <v>0</v>
      </c>
      <c r="AC1320" s="1144">
        <f t="shared" si="370"/>
        <v>0</v>
      </c>
      <c r="AD1320" s="1148">
        <f t="shared" si="362"/>
        <v>11635.138812146663</v>
      </c>
      <c r="AE1320" s="1487">
        <v>0</v>
      </c>
      <c r="AF1320" s="1145">
        <f t="shared" si="371"/>
        <v>11635.138812146663</v>
      </c>
      <c r="AG1320" s="1149">
        <f>IFERROR(VLOOKUP(CONCATENATE($L1320,$N1320),'Drop List'!$G$23:$K$87,2,FALSE),0)</f>
        <v>0.69340000000000002</v>
      </c>
      <c r="AH1320" s="1150">
        <f>IFERROR(VLOOKUP(CONCATENATE($L1320,$N1320),'Drop List'!$G$23:$K$87,3,FALSE),0)</f>
        <v>0.30659999999999998</v>
      </c>
      <c r="AI1320" s="1150">
        <f>IFERROR(VLOOKUP(CONCATENATE($L1320,$N1320),'Drop List'!$G$23:$K$87,4,FALSE),0)</f>
        <v>0</v>
      </c>
      <c r="AJ1320" s="1151">
        <f>IFERROR(VLOOKUP(CONCATENATE($L1320,$N1320),'Drop List'!$G$23:$K$87,5,FALSE),0)</f>
        <v>0</v>
      </c>
      <c r="AK1320" s="1152">
        <f t="shared" si="372"/>
        <v>8067.8052523424958</v>
      </c>
      <c r="AL1320" s="1153">
        <f t="shared" si="373"/>
        <v>3567.3335598041667</v>
      </c>
      <c r="AM1320" s="1153">
        <f t="shared" si="374"/>
        <v>0</v>
      </c>
      <c r="AN1320" s="1145">
        <f t="shared" si="375"/>
        <v>0</v>
      </c>
      <c r="AO1320" s="1154">
        <f t="shared" si="376"/>
        <v>11635.138812146663</v>
      </c>
      <c r="AP1320" s="1147">
        <f t="shared" si="363"/>
        <v>0</v>
      </c>
      <c r="AQ1320" s="1144">
        <f t="shared" si="364"/>
        <v>0</v>
      </c>
      <c r="AR1320" s="1146">
        <f t="shared" si="365"/>
        <v>11635.138812146663</v>
      </c>
    </row>
    <row r="1321" spans="1:44" x14ac:dyDescent="0.2">
      <c r="A1321" s="1141" t="str">
        <f t="shared" si="378"/>
        <v>1562</v>
      </c>
      <c r="B1321" s="1141" t="str">
        <f>IFERROR(VLOOKUP(A1321,'LAC 103'!A:C,3,FALSE),"")</f>
        <v>OP</v>
      </c>
      <c r="C1321" s="1478" t="str">
        <f>Info!$B$8</f>
        <v>00100</v>
      </c>
      <c r="D1321" s="1474" t="s">
        <v>256</v>
      </c>
      <c r="E1321" s="1474" t="s">
        <v>95</v>
      </c>
      <c r="F1321" s="1478" t="s">
        <v>432</v>
      </c>
      <c r="G1321" s="1478" t="s">
        <v>432</v>
      </c>
      <c r="H1321" s="1474" t="s">
        <v>1091</v>
      </c>
      <c r="I1321" s="1478" t="s">
        <v>815</v>
      </c>
      <c r="J1321" s="1478"/>
      <c r="K1321" s="1475" t="s">
        <v>849</v>
      </c>
      <c r="L1321" s="1474" t="s">
        <v>77</v>
      </c>
      <c r="M1321" s="1476" t="s">
        <v>1699</v>
      </c>
      <c r="N1321" s="1477" t="s">
        <v>1694</v>
      </c>
      <c r="O1321" s="1479">
        <v>34136</v>
      </c>
      <c r="P1321" s="1479"/>
      <c r="Q1321" s="1142">
        <f t="shared" si="361"/>
        <v>34136</v>
      </c>
      <c r="R1321" s="1143">
        <f>IFERROR(VLOOKUP(CONCATENATE(E1321,G1321),'LAC 103'!$A$12:$O$95,11,FALSE),0)</f>
        <v>5.936295312319726</v>
      </c>
      <c r="S1321" s="1144">
        <f>IFERROR(VLOOKUP(CONCATENATE($E1321,$G1321),'LAC 103'!$A$12:$O$95,12,FALSE),0)</f>
        <v>7.34</v>
      </c>
      <c r="T1321" s="1144">
        <f>IFERROR(VLOOKUP(CONCATENATE($E1321,$G1321),'LAC 103'!$A$12:$O$95,13,FALSE),0)</f>
        <v>4.59</v>
      </c>
      <c r="U1321" s="1144">
        <f>IFERROR(VLOOKUP(CONCATENATE($E1321,$G1321),'LAC 103'!$A$12:$O$95,14,FALSE),0)</f>
        <v>0</v>
      </c>
      <c r="V1321" s="1144">
        <f>IFERROR(VLOOKUP(CONCATENATE($E1321,$G1321),'LAC 103'!$A$12:$O$95,15,FALSE),0)</f>
        <v>0</v>
      </c>
      <c r="W1321" s="1145" t="str">
        <f>IFERROR(VLOOKUP(CONCATENATE($B1321,$N1321),'LAC 103'!$AI:$AQ,9,FALSE),"")</f>
        <v>Costs</v>
      </c>
      <c r="X1321" s="1146">
        <f t="shared" si="366"/>
        <v>5.936295312319726</v>
      </c>
      <c r="Y1321" s="1143">
        <f t="shared" si="377"/>
        <v>202641.37678134616</v>
      </c>
      <c r="Z1321" s="1147">
        <f t="shared" si="367"/>
        <v>250558.24</v>
      </c>
      <c r="AA1321" s="1144">
        <f t="shared" si="368"/>
        <v>156684.24</v>
      </c>
      <c r="AB1321" s="1144">
        <f t="shared" si="369"/>
        <v>0</v>
      </c>
      <c r="AC1321" s="1144">
        <f t="shared" si="370"/>
        <v>0</v>
      </c>
      <c r="AD1321" s="1148">
        <f t="shared" si="362"/>
        <v>202641.37678134616</v>
      </c>
      <c r="AE1321" s="1487">
        <v>0</v>
      </c>
      <c r="AF1321" s="1145">
        <f t="shared" si="371"/>
        <v>202641.37678134616</v>
      </c>
      <c r="AG1321" s="1149">
        <f>IFERROR(VLOOKUP(CONCATENATE($L1321,$N1321),'Drop List'!$G$23:$K$87,2,FALSE),0)</f>
        <v>0.9</v>
      </c>
      <c r="AH1321" s="1150">
        <f>IFERROR(VLOOKUP(CONCATENATE($L1321,$N1321),'Drop List'!$G$23:$K$87,3,FALSE),0)</f>
        <v>0</v>
      </c>
      <c r="AI1321" s="1150">
        <f>IFERROR(VLOOKUP(CONCATENATE($L1321,$N1321),'Drop List'!$G$23:$K$87,4,FALSE),0)</f>
        <v>0.1</v>
      </c>
      <c r="AJ1321" s="1151">
        <f>IFERROR(VLOOKUP(CONCATENATE($L1321,$N1321),'Drop List'!$G$23:$K$87,5,FALSE),0)</f>
        <v>0</v>
      </c>
      <c r="AK1321" s="1152">
        <f t="shared" si="372"/>
        <v>182377.23910321156</v>
      </c>
      <c r="AL1321" s="1153">
        <f t="shared" si="373"/>
        <v>0</v>
      </c>
      <c r="AM1321" s="1153">
        <f t="shared" si="374"/>
        <v>20264.137678134619</v>
      </c>
      <c r="AN1321" s="1145">
        <f t="shared" si="375"/>
        <v>0</v>
      </c>
      <c r="AO1321" s="1154">
        <f t="shared" si="376"/>
        <v>202641.37678134616</v>
      </c>
      <c r="AP1321" s="1147">
        <f t="shared" si="363"/>
        <v>0</v>
      </c>
      <c r="AQ1321" s="1144">
        <f t="shared" si="364"/>
        <v>0</v>
      </c>
      <c r="AR1321" s="1146">
        <f t="shared" si="365"/>
        <v>202641.37678134616</v>
      </c>
    </row>
    <row r="1322" spans="1:44" x14ac:dyDescent="0.2">
      <c r="A1322" s="1141" t="str">
        <f t="shared" si="378"/>
        <v>1562</v>
      </c>
      <c r="B1322" s="1141" t="str">
        <f>IFERROR(VLOOKUP(A1322,'LAC 103'!A:C,3,FALSE),"")</f>
        <v>OP</v>
      </c>
      <c r="C1322" s="1478" t="str">
        <f>Info!$B$8</f>
        <v>00100</v>
      </c>
      <c r="D1322" s="1474" t="s">
        <v>256</v>
      </c>
      <c r="E1322" s="1474" t="s">
        <v>95</v>
      </c>
      <c r="F1322" s="1478" t="s">
        <v>432</v>
      </c>
      <c r="G1322" s="1478" t="s">
        <v>432</v>
      </c>
      <c r="H1322" s="1474" t="s">
        <v>1091</v>
      </c>
      <c r="I1322" s="1478" t="s">
        <v>815</v>
      </c>
      <c r="J1322" s="1478"/>
      <c r="K1322" s="1475" t="s">
        <v>849</v>
      </c>
      <c r="L1322" s="1474" t="s">
        <v>77</v>
      </c>
      <c r="M1322" s="1476" t="s">
        <v>841</v>
      </c>
      <c r="N1322" s="1477" t="s">
        <v>1695</v>
      </c>
      <c r="O1322" s="1479">
        <v>15608</v>
      </c>
      <c r="P1322" s="1479"/>
      <c r="Q1322" s="1142">
        <f t="shared" si="361"/>
        <v>15608</v>
      </c>
      <c r="R1322" s="1143">
        <f>IFERROR(VLOOKUP(CONCATENATE(E1322,G1322),'LAC 103'!$A$12:$O$95,11,FALSE),0)</f>
        <v>5.936295312319726</v>
      </c>
      <c r="S1322" s="1144">
        <f>IFERROR(VLOOKUP(CONCATENATE($E1322,$G1322),'LAC 103'!$A$12:$O$95,12,FALSE),0)</f>
        <v>7.34</v>
      </c>
      <c r="T1322" s="1144">
        <f>IFERROR(VLOOKUP(CONCATENATE($E1322,$G1322),'LAC 103'!$A$12:$O$95,13,FALSE),0)</f>
        <v>4.59</v>
      </c>
      <c r="U1322" s="1144">
        <f>IFERROR(VLOOKUP(CONCATENATE($E1322,$G1322),'LAC 103'!$A$12:$O$95,14,FALSE),0)</f>
        <v>0</v>
      </c>
      <c r="V1322" s="1144">
        <f>IFERROR(VLOOKUP(CONCATENATE($E1322,$G1322),'LAC 103'!$A$12:$O$95,15,FALSE),0)</f>
        <v>0</v>
      </c>
      <c r="W1322" s="1145" t="str">
        <f>IFERROR(VLOOKUP(CONCATENATE($B1322,$N1322),'LAC 103'!$AI:$AQ,9,FALSE),"")</f>
        <v>Costs</v>
      </c>
      <c r="X1322" s="1146">
        <f t="shared" si="366"/>
        <v>5.936295312319726</v>
      </c>
      <c r="Y1322" s="1143">
        <f t="shared" si="377"/>
        <v>92653.697234686289</v>
      </c>
      <c r="Z1322" s="1147">
        <f t="shared" si="367"/>
        <v>114562.72</v>
      </c>
      <c r="AA1322" s="1144">
        <f t="shared" si="368"/>
        <v>71640.72</v>
      </c>
      <c r="AB1322" s="1144">
        <f t="shared" si="369"/>
        <v>0</v>
      </c>
      <c r="AC1322" s="1144">
        <f t="shared" si="370"/>
        <v>0</v>
      </c>
      <c r="AD1322" s="1148">
        <f t="shared" si="362"/>
        <v>92653.697234686289</v>
      </c>
      <c r="AE1322" s="1487">
        <v>0</v>
      </c>
      <c r="AF1322" s="1145">
        <f t="shared" si="371"/>
        <v>92653.697234686289</v>
      </c>
      <c r="AG1322" s="1149">
        <f>IFERROR(VLOOKUP(CONCATENATE($L1322,$N1322),'Drop List'!$G$23:$K$87,2,FALSE),0)</f>
        <v>0.9</v>
      </c>
      <c r="AH1322" s="1150">
        <f>IFERROR(VLOOKUP(CONCATENATE($L1322,$N1322),'Drop List'!$G$23:$K$87,3,FALSE),0)</f>
        <v>0</v>
      </c>
      <c r="AI1322" s="1150">
        <f>IFERROR(VLOOKUP(CONCATENATE($L1322,$N1322),'Drop List'!$G$23:$K$87,4,FALSE),0)</f>
        <v>0.1</v>
      </c>
      <c r="AJ1322" s="1151">
        <f>IFERROR(VLOOKUP(CONCATENATE($L1322,$N1322),'Drop List'!$G$23:$K$87,5,FALSE),0)</f>
        <v>0</v>
      </c>
      <c r="AK1322" s="1152">
        <f t="shared" si="372"/>
        <v>83388.327511217663</v>
      </c>
      <c r="AL1322" s="1153">
        <f t="shared" si="373"/>
        <v>0</v>
      </c>
      <c r="AM1322" s="1153">
        <f t="shared" si="374"/>
        <v>9265.3697234686297</v>
      </c>
      <c r="AN1322" s="1145">
        <f t="shared" si="375"/>
        <v>0</v>
      </c>
      <c r="AO1322" s="1154">
        <f t="shared" si="376"/>
        <v>92653.697234686289</v>
      </c>
      <c r="AP1322" s="1147">
        <f t="shared" si="363"/>
        <v>0</v>
      </c>
      <c r="AQ1322" s="1144">
        <f t="shared" si="364"/>
        <v>0</v>
      </c>
      <c r="AR1322" s="1146">
        <f t="shared" si="365"/>
        <v>92653.697234686289</v>
      </c>
    </row>
    <row r="1323" spans="1:44" x14ac:dyDescent="0.2">
      <c r="A1323" s="1141" t="str">
        <f t="shared" si="378"/>
        <v>1562</v>
      </c>
      <c r="B1323" s="1141" t="str">
        <f>IFERROR(VLOOKUP(A1323,'LAC 103'!A:C,3,FALSE),"")</f>
        <v>OP</v>
      </c>
      <c r="C1323" s="1478" t="str">
        <f>Info!$B$8</f>
        <v>00100</v>
      </c>
      <c r="D1323" s="1474" t="s">
        <v>256</v>
      </c>
      <c r="E1323" s="1474" t="s">
        <v>95</v>
      </c>
      <c r="F1323" s="1478" t="s">
        <v>432</v>
      </c>
      <c r="G1323" s="1478" t="s">
        <v>432</v>
      </c>
      <c r="H1323" s="1474" t="s">
        <v>1091</v>
      </c>
      <c r="I1323" s="1478" t="s">
        <v>815</v>
      </c>
      <c r="J1323" s="1478"/>
      <c r="K1323" s="1475" t="s">
        <v>849</v>
      </c>
      <c r="L1323" s="1474" t="s">
        <v>77</v>
      </c>
      <c r="M1323" s="1476" t="s">
        <v>840</v>
      </c>
      <c r="N1323" s="1477" t="s">
        <v>1700</v>
      </c>
      <c r="O1323" s="1479">
        <v>17925</v>
      </c>
      <c r="P1323" s="1479"/>
      <c r="Q1323" s="1142">
        <f t="shared" si="361"/>
        <v>17925</v>
      </c>
      <c r="R1323" s="1143">
        <f>IFERROR(VLOOKUP(CONCATENATE(E1323,G1323),'LAC 103'!$A$12:$O$95,11,FALSE),0)</f>
        <v>5.936295312319726</v>
      </c>
      <c r="S1323" s="1144">
        <f>IFERROR(VLOOKUP(CONCATENATE($E1323,$G1323),'LAC 103'!$A$12:$O$95,12,FALSE),0)</f>
        <v>7.34</v>
      </c>
      <c r="T1323" s="1144">
        <f>IFERROR(VLOOKUP(CONCATENATE($E1323,$G1323),'LAC 103'!$A$12:$O$95,13,FALSE),0)</f>
        <v>4.59</v>
      </c>
      <c r="U1323" s="1144">
        <f>IFERROR(VLOOKUP(CONCATENATE($E1323,$G1323),'LAC 103'!$A$12:$O$95,14,FALSE),0)</f>
        <v>0</v>
      </c>
      <c r="V1323" s="1144">
        <f>IFERROR(VLOOKUP(CONCATENATE($E1323,$G1323),'LAC 103'!$A$12:$O$95,15,FALSE),0)</f>
        <v>0</v>
      </c>
      <c r="W1323" s="1145" t="str">
        <f>IFERROR(VLOOKUP(CONCATENATE($B1323,$N1323),'LAC 103'!$AI:$AQ,9,FALSE),"")</f>
        <v>P.C.</v>
      </c>
      <c r="X1323" s="1146">
        <f t="shared" si="366"/>
        <v>4.59</v>
      </c>
      <c r="Y1323" s="1143">
        <f t="shared" si="377"/>
        <v>106408.09347333109</v>
      </c>
      <c r="Z1323" s="1147">
        <f t="shared" si="367"/>
        <v>131569.5</v>
      </c>
      <c r="AA1323" s="1144">
        <f t="shared" si="368"/>
        <v>82275.75</v>
      </c>
      <c r="AB1323" s="1144">
        <f t="shared" si="369"/>
        <v>0</v>
      </c>
      <c r="AC1323" s="1144">
        <f t="shared" si="370"/>
        <v>0</v>
      </c>
      <c r="AD1323" s="1148">
        <f t="shared" si="362"/>
        <v>82275.75</v>
      </c>
      <c r="AE1323" s="1487">
        <v>0</v>
      </c>
      <c r="AF1323" s="1145">
        <f t="shared" si="371"/>
        <v>82275.75</v>
      </c>
      <c r="AG1323" s="1149">
        <f>IFERROR(VLOOKUP(CONCATENATE($L1323,$N1323),'Drop List'!$G$23:$K$87,2,FALSE),0)</f>
        <v>0.9</v>
      </c>
      <c r="AH1323" s="1150">
        <f>IFERROR(VLOOKUP(CONCATENATE($L1323,$N1323),'Drop List'!$G$23:$K$87,3,FALSE),0)</f>
        <v>0</v>
      </c>
      <c r="AI1323" s="1150">
        <f>IFERROR(VLOOKUP(CONCATENATE($L1323,$N1323),'Drop List'!$G$23:$K$87,4,FALSE),0)</f>
        <v>0.1</v>
      </c>
      <c r="AJ1323" s="1151">
        <f>IFERROR(VLOOKUP(CONCATENATE($L1323,$N1323),'Drop List'!$G$23:$K$87,5,FALSE),0)</f>
        <v>0</v>
      </c>
      <c r="AK1323" s="1152">
        <f t="shared" si="372"/>
        <v>74048.175000000003</v>
      </c>
      <c r="AL1323" s="1153">
        <f t="shared" si="373"/>
        <v>0</v>
      </c>
      <c r="AM1323" s="1153">
        <f t="shared" si="374"/>
        <v>8227.5750000000007</v>
      </c>
      <c r="AN1323" s="1145">
        <f t="shared" si="375"/>
        <v>0</v>
      </c>
      <c r="AO1323" s="1154">
        <f t="shared" si="376"/>
        <v>82275.75</v>
      </c>
      <c r="AP1323" s="1147">
        <f t="shared" si="363"/>
        <v>0</v>
      </c>
      <c r="AQ1323" s="1144">
        <f t="shared" si="364"/>
        <v>0</v>
      </c>
      <c r="AR1323" s="1146">
        <f t="shared" si="365"/>
        <v>82275.75</v>
      </c>
    </row>
    <row r="1324" spans="1:44" x14ac:dyDescent="0.2">
      <c r="A1324" s="1141" t="str">
        <f t="shared" si="378"/>
        <v>1562</v>
      </c>
      <c r="B1324" s="1141" t="str">
        <f>IFERROR(VLOOKUP(A1324,'LAC 103'!A:C,3,FALSE),"")</f>
        <v>OP</v>
      </c>
      <c r="C1324" s="1478" t="str">
        <f>Info!$B$8</f>
        <v>00100</v>
      </c>
      <c r="D1324" s="1474" t="s">
        <v>256</v>
      </c>
      <c r="E1324" s="1474" t="s">
        <v>95</v>
      </c>
      <c r="F1324" s="1478" t="s">
        <v>432</v>
      </c>
      <c r="G1324" s="1478" t="s">
        <v>432</v>
      </c>
      <c r="H1324" s="1474" t="s">
        <v>1091</v>
      </c>
      <c r="I1324" s="1478" t="s">
        <v>815</v>
      </c>
      <c r="J1324" s="1478"/>
      <c r="K1324" s="1475" t="s">
        <v>849</v>
      </c>
      <c r="L1324" s="1474" t="s">
        <v>77</v>
      </c>
      <c r="M1324" s="1476" t="s">
        <v>842</v>
      </c>
      <c r="N1324" s="1477" t="s">
        <v>1692</v>
      </c>
      <c r="O1324" s="1479">
        <v>34630</v>
      </c>
      <c r="P1324" s="1479"/>
      <c r="Q1324" s="1142">
        <f t="shared" si="361"/>
        <v>34630</v>
      </c>
      <c r="R1324" s="1143">
        <f>IFERROR(VLOOKUP(CONCATENATE(E1324,G1324),'LAC 103'!$A$12:$O$95,11,FALSE),0)</f>
        <v>5.936295312319726</v>
      </c>
      <c r="S1324" s="1144">
        <f>IFERROR(VLOOKUP(CONCATENATE($E1324,$G1324),'LAC 103'!$A$12:$O$95,12,FALSE),0)</f>
        <v>7.34</v>
      </c>
      <c r="T1324" s="1144">
        <f>IFERROR(VLOOKUP(CONCATENATE($E1324,$G1324),'LAC 103'!$A$12:$O$95,13,FALSE),0)</f>
        <v>4.59</v>
      </c>
      <c r="U1324" s="1144">
        <f>IFERROR(VLOOKUP(CONCATENATE($E1324,$G1324),'LAC 103'!$A$12:$O$95,14,FALSE),0)</f>
        <v>0</v>
      </c>
      <c r="V1324" s="1144">
        <f>IFERROR(VLOOKUP(CONCATENATE($E1324,$G1324),'LAC 103'!$A$12:$O$95,15,FALSE),0)</f>
        <v>0</v>
      </c>
      <c r="W1324" s="1145" t="str">
        <f>IFERROR(VLOOKUP(CONCATENATE($B1324,$N1324),'LAC 103'!$AI:$AQ,9,FALSE),"")</f>
        <v>Costs</v>
      </c>
      <c r="X1324" s="1146">
        <f t="shared" si="366"/>
        <v>5.936295312319726</v>
      </c>
      <c r="Y1324" s="1143">
        <f t="shared" si="377"/>
        <v>205573.90666563212</v>
      </c>
      <c r="Z1324" s="1147">
        <f t="shared" si="367"/>
        <v>254184.19999999998</v>
      </c>
      <c r="AA1324" s="1144">
        <f t="shared" si="368"/>
        <v>158951.69999999998</v>
      </c>
      <c r="AB1324" s="1144">
        <f t="shared" si="369"/>
        <v>0</v>
      </c>
      <c r="AC1324" s="1144">
        <f t="shared" si="370"/>
        <v>0</v>
      </c>
      <c r="AD1324" s="1148">
        <f t="shared" si="362"/>
        <v>205573.90666563212</v>
      </c>
      <c r="AE1324" s="1487">
        <v>0</v>
      </c>
      <c r="AF1324" s="1145">
        <f t="shared" si="371"/>
        <v>205573.90666563212</v>
      </c>
      <c r="AG1324" s="1149">
        <f>IFERROR(VLOOKUP(CONCATENATE($L1324,$N1324),'Drop List'!$G$23:$K$87,2,FALSE),0)</f>
        <v>0.9</v>
      </c>
      <c r="AH1324" s="1150">
        <f>IFERROR(VLOOKUP(CONCATENATE($L1324,$N1324),'Drop List'!$G$23:$K$87,3,FALSE),0)</f>
        <v>0</v>
      </c>
      <c r="AI1324" s="1150">
        <f>IFERROR(VLOOKUP(CONCATENATE($L1324,$N1324),'Drop List'!$G$23:$K$87,4,FALSE),0)</f>
        <v>0.1</v>
      </c>
      <c r="AJ1324" s="1151">
        <f>IFERROR(VLOOKUP(CONCATENATE($L1324,$N1324),'Drop List'!$G$23:$K$87,5,FALSE),0)</f>
        <v>0</v>
      </c>
      <c r="AK1324" s="1152">
        <f t="shared" si="372"/>
        <v>185016.51599906891</v>
      </c>
      <c r="AL1324" s="1153">
        <f t="shared" si="373"/>
        <v>0</v>
      </c>
      <c r="AM1324" s="1153">
        <f t="shared" si="374"/>
        <v>20557.390666563213</v>
      </c>
      <c r="AN1324" s="1145">
        <f t="shared" si="375"/>
        <v>0</v>
      </c>
      <c r="AO1324" s="1154">
        <f t="shared" si="376"/>
        <v>205573.90666563212</v>
      </c>
      <c r="AP1324" s="1147">
        <f t="shared" si="363"/>
        <v>0</v>
      </c>
      <c r="AQ1324" s="1144">
        <f t="shared" si="364"/>
        <v>0</v>
      </c>
      <c r="AR1324" s="1146">
        <f t="shared" si="365"/>
        <v>205573.90666563212</v>
      </c>
    </row>
    <row r="1325" spans="1:44" x14ac:dyDescent="0.2">
      <c r="A1325" s="1141" t="str">
        <f t="shared" si="378"/>
        <v>1562</v>
      </c>
      <c r="B1325" s="1141" t="str">
        <f>IFERROR(VLOOKUP(A1325,'LAC 103'!A:C,3,FALSE),"")</f>
        <v>OP</v>
      </c>
      <c r="C1325" s="1478" t="str">
        <f>Info!$B$8</f>
        <v>00100</v>
      </c>
      <c r="D1325" s="1474" t="s">
        <v>256</v>
      </c>
      <c r="E1325" s="1474" t="s">
        <v>95</v>
      </c>
      <c r="F1325" s="1478" t="s">
        <v>432</v>
      </c>
      <c r="G1325" s="1478" t="s">
        <v>432</v>
      </c>
      <c r="H1325" s="1474" t="s">
        <v>1091</v>
      </c>
      <c r="I1325" s="1478" t="s">
        <v>815</v>
      </c>
      <c r="J1325" s="1478"/>
      <c r="K1325" s="1475" t="s">
        <v>849</v>
      </c>
      <c r="L1325" s="1474" t="s">
        <v>77</v>
      </c>
      <c r="M1325" s="1476" t="s">
        <v>1698</v>
      </c>
      <c r="N1325" s="1477" t="s">
        <v>1693</v>
      </c>
      <c r="O1325" s="1479">
        <v>34641</v>
      </c>
      <c r="P1325" s="1479"/>
      <c r="Q1325" s="1142">
        <f t="shared" si="361"/>
        <v>34641</v>
      </c>
      <c r="R1325" s="1143">
        <f>IFERROR(VLOOKUP(CONCATENATE(E1325,G1325),'LAC 103'!$A$12:$O$95,11,FALSE),0)</f>
        <v>5.936295312319726</v>
      </c>
      <c r="S1325" s="1144">
        <f>IFERROR(VLOOKUP(CONCATENATE($E1325,$G1325),'LAC 103'!$A$12:$O$95,12,FALSE),0)</f>
        <v>7.34</v>
      </c>
      <c r="T1325" s="1144">
        <f>IFERROR(VLOOKUP(CONCATENATE($E1325,$G1325),'LAC 103'!$A$12:$O$95,13,FALSE),0)</f>
        <v>4.59</v>
      </c>
      <c r="U1325" s="1144">
        <f>IFERROR(VLOOKUP(CONCATENATE($E1325,$G1325),'LAC 103'!$A$12:$O$95,14,FALSE),0)</f>
        <v>0</v>
      </c>
      <c r="V1325" s="1144">
        <f>IFERROR(VLOOKUP(CONCATENATE($E1325,$G1325),'LAC 103'!$A$12:$O$95,15,FALSE),0)</f>
        <v>0</v>
      </c>
      <c r="W1325" s="1145" t="str">
        <f>IFERROR(VLOOKUP(CONCATENATE($B1325,$N1325),'LAC 103'!$AI:$AQ,9,FALSE),"")</f>
        <v>Costs</v>
      </c>
      <c r="X1325" s="1146">
        <f t="shared" si="366"/>
        <v>5.936295312319726</v>
      </c>
      <c r="Y1325" s="1143">
        <f t="shared" si="377"/>
        <v>205639.20591406763</v>
      </c>
      <c r="Z1325" s="1147">
        <f t="shared" si="367"/>
        <v>254264.94</v>
      </c>
      <c r="AA1325" s="1144">
        <f t="shared" si="368"/>
        <v>159002.19</v>
      </c>
      <c r="AB1325" s="1144">
        <f t="shared" si="369"/>
        <v>0</v>
      </c>
      <c r="AC1325" s="1144">
        <f t="shared" si="370"/>
        <v>0</v>
      </c>
      <c r="AD1325" s="1148">
        <f t="shared" si="362"/>
        <v>205639.20591406763</v>
      </c>
      <c r="AE1325" s="1487">
        <v>0</v>
      </c>
      <c r="AF1325" s="1145">
        <f t="shared" si="371"/>
        <v>205639.20591406763</v>
      </c>
      <c r="AG1325" s="1149">
        <f>IFERROR(VLOOKUP(CONCATENATE($L1325,$N1325),'Drop List'!$G$23:$K$87,2,FALSE),0)</f>
        <v>0.9</v>
      </c>
      <c r="AH1325" s="1150">
        <f>IFERROR(VLOOKUP(CONCATENATE($L1325,$N1325),'Drop List'!$G$23:$K$87,3,FALSE),0)</f>
        <v>0</v>
      </c>
      <c r="AI1325" s="1150">
        <f>IFERROR(VLOOKUP(CONCATENATE($L1325,$N1325),'Drop List'!$G$23:$K$87,4,FALSE),0)</f>
        <v>0.1</v>
      </c>
      <c r="AJ1325" s="1151">
        <f>IFERROR(VLOOKUP(CONCATENATE($L1325,$N1325),'Drop List'!$G$23:$K$87,5,FALSE),0)</f>
        <v>0</v>
      </c>
      <c r="AK1325" s="1152">
        <f t="shared" si="372"/>
        <v>185075.28532266087</v>
      </c>
      <c r="AL1325" s="1153">
        <f t="shared" si="373"/>
        <v>0</v>
      </c>
      <c r="AM1325" s="1153">
        <f t="shared" si="374"/>
        <v>20563.920591406764</v>
      </c>
      <c r="AN1325" s="1145">
        <f t="shared" si="375"/>
        <v>0</v>
      </c>
      <c r="AO1325" s="1154">
        <f t="shared" si="376"/>
        <v>205639.20591406763</v>
      </c>
      <c r="AP1325" s="1147">
        <f t="shared" si="363"/>
        <v>0</v>
      </c>
      <c r="AQ1325" s="1144">
        <f t="shared" si="364"/>
        <v>0</v>
      </c>
      <c r="AR1325" s="1146">
        <f t="shared" si="365"/>
        <v>205639.20591406763</v>
      </c>
    </row>
    <row r="1326" spans="1:44" x14ac:dyDescent="0.2">
      <c r="A1326" s="1141" t="str">
        <f t="shared" si="378"/>
        <v>1562</v>
      </c>
      <c r="B1326" s="1141" t="str">
        <f>IFERROR(VLOOKUP(A1326,'LAC 103'!A:C,3,FALSE),"")</f>
        <v>OP</v>
      </c>
      <c r="C1326" s="1478" t="str">
        <f>Info!$B$8</f>
        <v>00100</v>
      </c>
      <c r="D1326" s="1474" t="s">
        <v>256</v>
      </c>
      <c r="E1326" s="1474" t="s">
        <v>95</v>
      </c>
      <c r="F1326" s="1478" t="s">
        <v>432</v>
      </c>
      <c r="G1326" s="1478" t="s">
        <v>432</v>
      </c>
      <c r="H1326" s="1474" t="s">
        <v>1091</v>
      </c>
      <c r="I1326" s="1478" t="s">
        <v>815</v>
      </c>
      <c r="J1326" s="1478"/>
      <c r="K1326" s="1475" t="s">
        <v>971</v>
      </c>
      <c r="L1326" s="1474" t="s">
        <v>332</v>
      </c>
      <c r="M1326" s="1476" t="s">
        <v>1699</v>
      </c>
      <c r="N1326" s="1477" t="s">
        <v>1694</v>
      </c>
      <c r="O1326" s="1479">
        <v>813</v>
      </c>
      <c r="P1326" s="1479"/>
      <c r="Q1326" s="1142">
        <f t="shared" si="361"/>
        <v>813</v>
      </c>
      <c r="R1326" s="1143">
        <f>IFERROR(VLOOKUP(CONCATENATE(E1326,G1326),'LAC 103'!$A$12:$O$95,11,FALSE),0)</f>
        <v>5.936295312319726</v>
      </c>
      <c r="S1326" s="1144">
        <f>IFERROR(VLOOKUP(CONCATENATE($E1326,$G1326),'LAC 103'!$A$12:$O$95,12,FALSE),0)</f>
        <v>7.34</v>
      </c>
      <c r="T1326" s="1144">
        <f>IFERROR(VLOOKUP(CONCATENATE($E1326,$G1326),'LAC 103'!$A$12:$O$95,13,FALSE),0)</f>
        <v>4.59</v>
      </c>
      <c r="U1326" s="1144">
        <f>IFERROR(VLOOKUP(CONCATENATE($E1326,$G1326),'LAC 103'!$A$12:$O$95,14,FALSE),0)</f>
        <v>0</v>
      </c>
      <c r="V1326" s="1144">
        <f>IFERROR(VLOOKUP(CONCATENATE($E1326,$G1326),'LAC 103'!$A$12:$O$95,15,FALSE),0)</f>
        <v>0</v>
      </c>
      <c r="W1326" s="1145" t="str">
        <f>IFERROR(VLOOKUP(CONCATENATE($B1326,$N1326),'LAC 103'!$AI:$AQ,9,FALSE),"")</f>
        <v>Costs</v>
      </c>
      <c r="X1326" s="1146">
        <f t="shared" si="366"/>
        <v>5.936295312319726</v>
      </c>
      <c r="Y1326" s="1143">
        <f t="shared" si="377"/>
        <v>4826.208088915937</v>
      </c>
      <c r="Z1326" s="1147">
        <f t="shared" si="367"/>
        <v>5967.42</v>
      </c>
      <c r="AA1326" s="1144">
        <f t="shared" si="368"/>
        <v>3731.67</v>
      </c>
      <c r="AB1326" s="1144">
        <f t="shared" si="369"/>
        <v>0</v>
      </c>
      <c r="AC1326" s="1144">
        <f t="shared" si="370"/>
        <v>0</v>
      </c>
      <c r="AD1326" s="1148">
        <f t="shared" si="362"/>
        <v>4826.208088915937</v>
      </c>
      <c r="AE1326" s="1487">
        <v>0</v>
      </c>
      <c r="AF1326" s="1145">
        <f t="shared" si="371"/>
        <v>4826.208088915937</v>
      </c>
      <c r="AG1326" s="1149">
        <f>IFERROR(VLOOKUP(CONCATENATE($L1326,$N1326),'Drop List'!$G$23:$K$87,2,FALSE),0)</f>
        <v>0</v>
      </c>
      <c r="AH1326" s="1150">
        <f>IFERROR(VLOOKUP(CONCATENATE($L1326,$N1326),'Drop List'!$G$23:$K$87,3,FALSE),0)</f>
        <v>0</v>
      </c>
      <c r="AI1326" s="1150">
        <f>IFERROR(VLOOKUP(CONCATENATE($L1326,$N1326),'Drop List'!$G$23:$K$87,4,FALSE),0)</f>
        <v>0</v>
      </c>
      <c r="AJ1326" s="1151">
        <f>IFERROR(VLOOKUP(CONCATENATE($L1326,$N1326),'Drop List'!$G$23:$K$87,5,FALSE),0)</f>
        <v>0</v>
      </c>
      <c r="AK1326" s="1152">
        <f t="shared" si="372"/>
        <v>0</v>
      </c>
      <c r="AL1326" s="1153">
        <f t="shared" si="373"/>
        <v>0</v>
      </c>
      <c r="AM1326" s="1153">
        <f t="shared" si="374"/>
        <v>0</v>
      </c>
      <c r="AN1326" s="1145">
        <f t="shared" si="375"/>
        <v>0</v>
      </c>
      <c r="AO1326" s="1154">
        <f t="shared" si="376"/>
        <v>0</v>
      </c>
      <c r="AP1326" s="1147">
        <f t="shared" si="363"/>
        <v>4826.208088915937</v>
      </c>
      <c r="AQ1326" s="1144">
        <f t="shared" si="364"/>
        <v>0</v>
      </c>
      <c r="AR1326" s="1146">
        <f t="shared" si="365"/>
        <v>4826.208088915937</v>
      </c>
    </row>
    <row r="1327" spans="1:44" x14ac:dyDescent="0.2">
      <c r="A1327" s="1141" t="str">
        <f t="shared" si="378"/>
        <v>1562</v>
      </c>
      <c r="B1327" s="1141" t="str">
        <f>IFERROR(VLOOKUP(A1327,'LAC 103'!A:C,3,FALSE),"")</f>
        <v>OP</v>
      </c>
      <c r="C1327" s="1478" t="str">
        <f>Info!$B$8</f>
        <v>00100</v>
      </c>
      <c r="D1327" s="1474" t="s">
        <v>256</v>
      </c>
      <c r="E1327" s="1474" t="s">
        <v>95</v>
      </c>
      <c r="F1327" s="1478" t="s">
        <v>432</v>
      </c>
      <c r="G1327" s="1478" t="s">
        <v>432</v>
      </c>
      <c r="H1327" s="1474" t="s">
        <v>1091</v>
      </c>
      <c r="I1327" s="1478" t="s">
        <v>815</v>
      </c>
      <c r="J1327" s="1478"/>
      <c r="K1327" s="1475" t="s">
        <v>971</v>
      </c>
      <c r="L1327" s="1474" t="s">
        <v>332</v>
      </c>
      <c r="M1327" s="1476" t="s">
        <v>841</v>
      </c>
      <c r="N1327" s="1477" t="s">
        <v>1695</v>
      </c>
      <c r="O1327" s="1479">
        <v>89</v>
      </c>
      <c r="P1327" s="1479"/>
      <c r="Q1327" s="1142">
        <f t="shared" si="361"/>
        <v>89</v>
      </c>
      <c r="R1327" s="1143">
        <f>IFERROR(VLOOKUP(CONCATENATE(E1327,G1327),'LAC 103'!$A$12:$O$95,11,FALSE),0)</f>
        <v>5.936295312319726</v>
      </c>
      <c r="S1327" s="1144">
        <f>IFERROR(VLOOKUP(CONCATENATE($E1327,$G1327),'LAC 103'!$A$12:$O$95,12,FALSE),0)</f>
        <v>7.34</v>
      </c>
      <c r="T1327" s="1144">
        <f>IFERROR(VLOOKUP(CONCATENATE($E1327,$G1327),'LAC 103'!$A$12:$O$95,13,FALSE),0)</f>
        <v>4.59</v>
      </c>
      <c r="U1327" s="1144">
        <f>IFERROR(VLOOKUP(CONCATENATE($E1327,$G1327),'LAC 103'!$A$12:$O$95,14,FALSE),0)</f>
        <v>0</v>
      </c>
      <c r="V1327" s="1144">
        <f>IFERROR(VLOOKUP(CONCATENATE($E1327,$G1327),'LAC 103'!$A$12:$O$95,15,FALSE),0)</f>
        <v>0</v>
      </c>
      <c r="W1327" s="1145" t="str">
        <f>IFERROR(VLOOKUP(CONCATENATE($B1327,$N1327),'LAC 103'!$AI:$AQ,9,FALSE),"")</f>
        <v>Costs</v>
      </c>
      <c r="X1327" s="1146">
        <f t="shared" si="366"/>
        <v>5.936295312319726</v>
      </c>
      <c r="Y1327" s="1143">
        <f t="shared" si="377"/>
        <v>528.33028279645566</v>
      </c>
      <c r="Z1327" s="1147">
        <f t="shared" si="367"/>
        <v>653.26</v>
      </c>
      <c r="AA1327" s="1144">
        <f t="shared" si="368"/>
        <v>408.51</v>
      </c>
      <c r="AB1327" s="1144">
        <f t="shared" si="369"/>
        <v>0</v>
      </c>
      <c r="AC1327" s="1144">
        <f t="shared" si="370"/>
        <v>0</v>
      </c>
      <c r="AD1327" s="1148">
        <f t="shared" si="362"/>
        <v>528.33028279645566</v>
      </c>
      <c r="AE1327" s="1487">
        <v>0</v>
      </c>
      <c r="AF1327" s="1145">
        <f t="shared" si="371"/>
        <v>528.33028279645566</v>
      </c>
      <c r="AG1327" s="1149">
        <f>IFERROR(VLOOKUP(CONCATENATE($L1327,$N1327),'Drop List'!$G$23:$K$87,2,FALSE),0)</f>
        <v>0</v>
      </c>
      <c r="AH1327" s="1150">
        <f>IFERROR(VLOOKUP(CONCATENATE($L1327,$N1327),'Drop List'!$G$23:$K$87,3,FALSE),0)</f>
        <v>0</v>
      </c>
      <c r="AI1327" s="1150">
        <f>IFERROR(VLOOKUP(CONCATENATE($L1327,$N1327),'Drop List'!$G$23:$K$87,4,FALSE),0)</f>
        <v>0</v>
      </c>
      <c r="AJ1327" s="1151">
        <f>IFERROR(VLOOKUP(CONCATENATE($L1327,$N1327),'Drop List'!$G$23:$K$87,5,FALSE),0)</f>
        <v>0</v>
      </c>
      <c r="AK1327" s="1152">
        <f t="shared" si="372"/>
        <v>0</v>
      </c>
      <c r="AL1327" s="1153">
        <f t="shared" si="373"/>
        <v>0</v>
      </c>
      <c r="AM1327" s="1153">
        <f t="shared" si="374"/>
        <v>0</v>
      </c>
      <c r="AN1327" s="1145">
        <f t="shared" si="375"/>
        <v>0</v>
      </c>
      <c r="AO1327" s="1154">
        <f t="shared" si="376"/>
        <v>0</v>
      </c>
      <c r="AP1327" s="1147">
        <f t="shared" si="363"/>
        <v>528.33028279645566</v>
      </c>
      <c r="AQ1327" s="1144">
        <f t="shared" si="364"/>
        <v>0</v>
      </c>
      <c r="AR1327" s="1146">
        <f t="shared" si="365"/>
        <v>528.33028279645566</v>
      </c>
    </row>
    <row r="1328" spans="1:44" x14ac:dyDescent="0.2">
      <c r="A1328" s="1141" t="str">
        <f t="shared" si="378"/>
        <v>1562</v>
      </c>
      <c r="B1328" s="1141" t="str">
        <f>IFERROR(VLOOKUP(A1328,'LAC 103'!A:C,3,FALSE),"")</f>
        <v>OP</v>
      </c>
      <c r="C1328" s="1478" t="str">
        <f>Info!$B$8</f>
        <v>00100</v>
      </c>
      <c r="D1328" s="1474" t="s">
        <v>256</v>
      </c>
      <c r="E1328" s="1474" t="s">
        <v>95</v>
      </c>
      <c r="F1328" s="1478" t="s">
        <v>432</v>
      </c>
      <c r="G1328" s="1478" t="s">
        <v>432</v>
      </c>
      <c r="H1328" s="1474" t="s">
        <v>1091</v>
      </c>
      <c r="I1328" s="1478" t="s">
        <v>815</v>
      </c>
      <c r="J1328" s="1478"/>
      <c r="K1328" s="1475" t="s">
        <v>971</v>
      </c>
      <c r="L1328" s="1474" t="s">
        <v>332</v>
      </c>
      <c r="M1328" s="1476" t="s">
        <v>842</v>
      </c>
      <c r="N1328" s="1477" t="s">
        <v>1692</v>
      </c>
      <c r="O1328" s="1479">
        <v>929</v>
      </c>
      <c r="P1328" s="1479"/>
      <c r="Q1328" s="1142">
        <f t="shared" si="361"/>
        <v>929</v>
      </c>
      <c r="R1328" s="1143">
        <f>IFERROR(VLOOKUP(CONCATENATE(E1328,G1328),'LAC 103'!$A$12:$O$95,11,FALSE),0)</f>
        <v>5.936295312319726</v>
      </c>
      <c r="S1328" s="1144">
        <f>IFERROR(VLOOKUP(CONCATENATE($E1328,$G1328),'LAC 103'!$A$12:$O$95,12,FALSE),0)</f>
        <v>7.34</v>
      </c>
      <c r="T1328" s="1144">
        <f>IFERROR(VLOOKUP(CONCATENATE($E1328,$G1328),'LAC 103'!$A$12:$O$95,13,FALSE),0)</f>
        <v>4.59</v>
      </c>
      <c r="U1328" s="1144">
        <f>IFERROR(VLOOKUP(CONCATENATE($E1328,$G1328),'LAC 103'!$A$12:$O$95,14,FALSE),0)</f>
        <v>0</v>
      </c>
      <c r="V1328" s="1144">
        <f>IFERROR(VLOOKUP(CONCATENATE($E1328,$G1328),'LAC 103'!$A$12:$O$95,15,FALSE),0)</f>
        <v>0</v>
      </c>
      <c r="W1328" s="1145" t="str">
        <f>IFERROR(VLOOKUP(CONCATENATE($B1328,$N1328),'LAC 103'!$AI:$AQ,9,FALSE),"")</f>
        <v>Costs</v>
      </c>
      <c r="X1328" s="1146">
        <f t="shared" si="366"/>
        <v>5.936295312319726</v>
      </c>
      <c r="Y1328" s="1143">
        <f t="shared" si="377"/>
        <v>5514.818345145025</v>
      </c>
      <c r="Z1328" s="1147">
        <f t="shared" si="367"/>
        <v>6818.86</v>
      </c>
      <c r="AA1328" s="1144">
        <f t="shared" si="368"/>
        <v>4264.1099999999997</v>
      </c>
      <c r="AB1328" s="1144">
        <f t="shared" si="369"/>
        <v>0</v>
      </c>
      <c r="AC1328" s="1144">
        <f t="shared" si="370"/>
        <v>0</v>
      </c>
      <c r="AD1328" s="1148">
        <f t="shared" si="362"/>
        <v>5514.818345145025</v>
      </c>
      <c r="AE1328" s="1487">
        <v>0</v>
      </c>
      <c r="AF1328" s="1145">
        <f t="shared" si="371"/>
        <v>5514.818345145025</v>
      </c>
      <c r="AG1328" s="1149">
        <f>IFERROR(VLOOKUP(CONCATENATE($L1328,$N1328),'Drop List'!$G$23:$K$87,2,FALSE),0)</f>
        <v>0</v>
      </c>
      <c r="AH1328" s="1150">
        <f>IFERROR(VLOOKUP(CONCATENATE($L1328,$N1328),'Drop List'!$G$23:$K$87,3,FALSE),0)</f>
        <v>0</v>
      </c>
      <c r="AI1328" s="1150">
        <f>IFERROR(VLOOKUP(CONCATENATE($L1328,$N1328),'Drop List'!$G$23:$K$87,4,FALSE),0)</f>
        <v>0</v>
      </c>
      <c r="AJ1328" s="1151">
        <f>IFERROR(VLOOKUP(CONCATENATE($L1328,$N1328),'Drop List'!$G$23:$K$87,5,FALSE),0)</f>
        <v>0</v>
      </c>
      <c r="AK1328" s="1152">
        <f t="shared" si="372"/>
        <v>0</v>
      </c>
      <c r="AL1328" s="1153">
        <f t="shared" si="373"/>
        <v>0</v>
      </c>
      <c r="AM1328" s="1153">
        <f t="shared" si="374"/>
        <v>0</v>
      </c>
      <c r="AN1328" s="1145">
        <f t="shared" si="375"/>
        <v>0</v>
      </c>
      <c r="AO1328" s="1154">
        <f t="shared" si="376"/>
        <v>0</v>
      </c>
      <c r="AP1328" s="1147">
        <f t="shared" si="363"/>
        <v>5514.818345145025</v>
      </c>
      <c r="AQ1328" s="1144">
        <f t="shared" si="364"/>
        <v>0</v>
      </c>
      <c r="AR1328" s="1146">
        <f t="shared" si="365"/>
        <v>5514.818345145025</v>
      </c>
    </row>
    <row r="1329" spans="1:44" x14ac:dyDescent="0.2">
      <c r="A1329" s="1141" t="str">
        <f t="shared" si="378"/>
        <v>1562</v>
      </c>
      <c r="B1329" s="1141" t="str">
        <f>IFERROR(VLOOKUP(A1329,'LAC 103'!A:C,3,FALSE),"")</f>
        <v>OP</v>
      </c>
      <c r="C1329" s="1478" t="str">
        <f>Info!$B$8</f>
        <v>00100</v>
      </c>
      <c r="D1329" s="1474" t="s">
        <v>256</v>
      </c>
      <c r="E1329" s="1474" t="s">
        <v>95</v>
      </c>
      <c r="F1329" s="1478" t="s">
        <v>432</v>
      </c>
      <c r="G1329" s="1478" t="s">
        <v>432</v>
      </c>
      <c r="H1329" s="1474" t="s">
        <v>1091</v>
      </c>
      <c r="I1329" s="1478" t="s">
        <v>815</v>
      </c>
      <c r="J1329" s="1478"/>
      <c r="K1329" s="1475" t="s">
        <v>971</v>
      </c>
      <c r="L1329" s="1474" t="s">
        <v>332</v>
      </c>
      <c r="M1329" s="1476" t="s">
        <v>1698</v>
      </c>
      <c r="N1329" s="1477" t="s">
        <v>1693</v>
      </c>
      <c r="O1329" s="1479">
        <v>707</v>
      </c>
      <c r="P1329" s="1479"/>
      <c r="Q1329" s="1142">
        <f t="shared" si="361"/>
        <v>707</v>
      </c>
      <c r="R1329" s="1143">
        <f>IFERROR(VLOOKUP(CONCATENATE(E1329,G1329),'LAC 103'!$A$12:$O$95,11,FALSE),0)</f>
        <v>5.936295312319726</v>
      </c>
      <c r="S1329" s="1144">
        <f>IFERROR(VLOOKUP(CONCATENATE($E1329,$G1329),'LAC 103'!$A$12:$O$95,12,FALSE),0)</f>
        <v>7.34</v>
      </c>
      <c r="T1329" s="1144">
        <f>IFERROR(VLOOKUP(CONCATENATE($E1329,$G1329),'LAC 103'!$A$12:$O$95,13,FALSE),0)</f>
        <v>4.59</v>
      </c>
      <c r="U1329" s="1144">
        <f>IFERROR(VLOOKUP(CONCATENATE($E1329,$G1329),'LAC 103'!$A$12:$O$95,14,FALSE),0)</f>
        <v>0</v>
      </c>
      <c r="V1329" s="1144">
        <f>IFERROR(VLOOKUP(CONCATENATE($E1329,$G1329),'LAC 103'!$A$12:$O$95,15,FALSE),0)</f>
        <v>0</v>
      </c>
      <c r="W1329" s="1145" t="str">
        <f>IFERROR(VLOOKUP(CONCATENATE($B1329,$N1329),'LAC 103'!$AI:$AQ,9,FALSE),"")</f>
        <v>Costs</v>
      </c>
      <c r="X1329" s="1146">
        <f t="shared" si="366"/>
        <v>5.936295312319726</v>
      </c>
      <c r="Y1329" s="1143">
        <f t="shared" si="377"/>
        <v>4196.9607858100462</v>
      </c>
      <c r="Z1329" s="1147">
        <f t="shared" si="367"/>
        <v>5189.38</v>
      </c>
      <c r="AA1329" s="1144">
        <f t="shared" si="368"/>
        <v>3245.13</v>
      </c>
      <c r="AB1329" s="1144">
        <f t="shared" si="369"/>
        <v>0</v>
      </c>
      <c r="AC1329" s="1144">
        <f t="shared" si="370"/>
        <v>0</v>
      </c>
      <c r="AD1329" s="1148">
        <f t="shared" si="362"/>
        <v>4196.9607858100462</v>
      </c>
      <c r="AE1329" s="1487">
        <v>0</v>
      </c>
      <c r="AF1329" s="1145">
        <f t="shared" si="371"/>
        <v>4196.9607858100462</v>
      </c>
      <c r="AG1329" s="1149">
        <f>IFERROR(VLOOKUP(CONCATENATE($L1329,$N1329),'Drop List'!$G$23:$K$87,2,FALSE),0)</f>
        <v>0</v>
      </c>
      <c r="AH1329" s="1150">
        <f>IFERROR(VLOOKUP(CONCATENATE($L1329,$N1329),'Drop List'!$G$23:$K$87,3,FALSE),0)</f>
        <v>0</v>
      </c>
      <c r="AI1329" s="1150">
        <f>IFERROR(VLOOKUP(CONCATENATE($L1329,$N1329),'Drop List'!$G$23:$K$87,4,FALSE),0)</f>
        <v>0</v>
      </c>
      <c r="AJ1329" s="1151">
        <f>IFERROR(VLOOKUP(CONCATENATE($L1329,$N1329),'Drop List'!$G$23:$K$87,5,FALSE),0)</f>
        <v>0</v>
      </c>
      <c r="AK1329" s="1152">
        <f t="shared" si="372"/>
        <v>0</v>
      </c>
      <c r="AL1329" s="1153">
        <f t="shared" si="373"/>
        <v>0</v>
      </c>
      <c r="AM1329" s="1153">
        <f t="shared" si="374"/>
        <v>0</v>
      </c>
      <c r="AN1329" s="1145">
        <f t="shared" si="375"/>
        <v>0</v>
      </c>
      <c r="AO1329" s="1154">
        <f t="shared" si="376"/>
        <v>0</v>
      </c>
      <c r="AP1329" s="1147">
        <f t="shared" si="363"/>
        <v>4196.9607858100462</v>
      </c>
      <c r="AQ1329" s="1144">
        <f t="shared" si="364"/>
        <v>0</v>
      </c>
      <c r="AR1329" s="1146">
        <f t="shared" si="365"/>
        <v>4196.9607858100462</v>
      </c>
    </row>
    <row r="1330" spans="1:44" x14ac:dyDescent="0.2">
      <c r="A1330" s="1141" t="str">
        <f t="shared" si="378"/>
        <v>1562</v>
      </c>
      <c r="B1330" s="1141" t="str">
        <f>IFERROR(VLOOKUP(A1330,'LAC 103'!A:C,3,FALSE),"")</f>
        <v>OP</v>
      </c>
      <c r="C1330" s="1478" t="str">
        <f>Info!$B$8</f>
        <v>00100</v>
      </c>
      <c r="D1330" s="1474" t="s">
        <v>256</v>
      </c>
      <c r="E1330" s="1474" t="s">
        <v>95</v>
      </c>
      <c r="F1330" s="1478" t="s">
        <v>432</v>
      </c>
      <c r="G1330" s="1478" t="s">
        <v>432</v>
      </c>
      <c r="H1330" s="1474" t="s">
        <v>1091</v>
      </c>
      <c r="I1330" s="1478" t="s">
        <v>815</v>
      </c>
      <c r="J1330" s="1478"/>
      <c r="K1330" s="1475" t="s">
        <v>850</v>
      </c>
      <c r="L1330" s="1474" t="s">
        <v>330</v>
      </c>
      <c r="M1330" s="1476" t="s">
        <v>1699</v>
      </c>
      <c r="N1330" s="1477" t="s">
        <v>1694</v>
      </c>
      <c r="O1330" s="1479">
        <v>300</v>
      </c>
      <c r="P1330" s="1479"/>
      <c r="Q1330" s="1142">
        <f t="shared" si="361"/>
        <v>300</v>
      </c>
      <c r="R1330" s="1143">
        <f>IFERROR(VLOOKUP(CONCATENATE(E1330,G1330),'LAC 103'!$A$12:$O$95,11,FALSE),0)</f>
        <v>5.936295312319726</v>
      </c>
      <c r="S1330" s="1144">
        <f>IFERROR(VLOOKUP(CONCATENATE($E1330,$G1330),'LAC 103'!$A$12:$O$95,12,FALSE),0)</f>
        <v>7.34</v>
      </c>
      <c r="T1330" s="1144">
        <f>IFERROR(VLOOKUP(CONCATENATE($E1330,$G1330),'LAC 103'!$A$12:$O$95,13,FALSE),0)</f>
        <v>4.59</v>
      </c>
      <c r="U1330" s="1144">
        <f>IFERROR(VLOOKUP(CONCATENATE($E1330,$G1330),'LAC 103'!$A$12:$O$95,14,FALSE),0)</f>
        <v>0</v>
      </c>
      <c r="V1330" s="1144">
        <f>IFERROR(VLOOKUP(CONCATENATE($E1330,$G1330),'LAC 103'!$A$12:$O$95,15,FALSE),0)</f>
        <v>0</v>
      </c>
      <c r="W1330" s="1145" t="str">
        <f>IFERROR(VLOOKUP(CONCATENATE($B1330,$N1330),'LAC 103'!$AI:$AQ,9,FALSE),"")</f>
        <v>Costs</v>
      </c>
      <c r="X1330" s="1146">
        <f t="shared" si="366"/>
        <v>5.936295312319726</v>
      </c>
      <c r="Y1330" s="1143">
        <f t="shared" si="377"/>
        <v>1780.8885936959177</v>
      </c>
      <c r="Z1330" s="1147">
        <f t="shared" si="367"/>
        <v>2202</v>
      </c>
      <c r="AA1330" s="1144">
        <f t="shared" si="368"/>
        <v>1377</v>
      </c>
      <c r="AB1330" s="1144">
        <f t="shared" si="369"/>
        <v>0</v>
      </c>
      <c r="AC1330" s="1144">
        <f t="shared" si="370"/>
        <v>0</v>
      </c>
      <c r="AD1330" s="1148">
        <f t="shared" si="362"/>
        <v>1780.8885936959177</v>
      </c>
      <c r="AE1330" s="1487">
        <v>0</v>
      </c>
      <c r="AF1330" s="1145">
        <f t="shared" si="371"/>
        <v>1780.8885936959177</v>
      </c>
      <c r="AG1330" s="1149">
        <f>IFERROR(VLOOKUP(CONCATENATE($L1330,$N1330),'Drop List'!$G$23:$K$87,2,FALSE),0)</f>
        <v>0</v>
      </c>
      <c r="AH1330" s="1150">
        <f>IFERROR(VLOOKUP(CONCATENATE($L1330,$N1330),'Drop List'!$G$23:$K$87,3,FALSE),0)</f>
        <v>0</v>
      </c>
      <c r="AI1330" s="1150">
        <f>IFERROR(VLOOKUP(CONCATENATE($L1330,$N1330),'Drop List'!$G$23:$K$87,4,FALSE),0)</f>
        <v>1</v>
      </c>
      <c r="AJ1330" s="1151">
        <f>IFERROR(VLOOKUP(CONCATENATE($L1330,$N1330),'Drop List'!$G$23:$K$87,5,FALSE),0)</f>
        <v>0</v>
      </c>
      <c r="AK1330" s="1152">
        <f t="shared" si="372"/>
        <v>0</v>
      </c>
      <c r="AL1330" s="1153">
        <f t="shared" si="373"/>
        <v>0</v>
      </c>
      <c r="AM1330" s="1153">
        <f t="shared" si="374"/>
        <v>1780.8885936959177</v>
      </c>
      <c r="AN1330" s="1145">
        <f t="shared" si="375"/>
        <v>0</v>
      </c>
      <c r="AO1330" s="1154">
        <f t="shared" si="376"/>
        <v>1780.8885936959177</v>
      </c>
      <c r="AP1330" s="1147">
        <f t="shared" si="363"/>
        <v>0</v>
      </c>
      <c r="AQ1330" s="1144">
        <f t="shared" si="364"/>
        <v>0</v>
      </c>
      <c r="AR1330" s="1146">
        <f t="shared" si="365"/>
        <v>1780.8885936959177</v>
      </c>
    </row>
    <row r="1331" spans="1:44" x14ac:dyDescent="0.2">
      <c r="A1331" s="1141" t="str">
        <f t="shared" si="378"/>
        <v>1562</v>
      </c>
      <c r="B1331" s="1141" t="str">
        <f>IFERROR(VLOOKUP(A1331,'LAC 103'!A:C,3,FALSE),"")</f>
        <v>OP</v>
      </c>
      <c r="C1331" s="1478" t="str">
        <f>Info!$B$8</f>
        <v>00100</v>
      </c>
      <c r="D1331" s="1474" t="s">
        <v>256</v>
      </c>
      <c r="E1331" s="1474" t="s">
        <v>95</v>
      </c>
      <c r="F1331" s="1478" t="s">
        <v>432</v>
      </c>
      <c r="G1331" s="1478" t="s">
        <v>432</v>
      </c>
      <c r="H1331" s="1474" t="s">
        <v>1091</v>
      </c>
      <c r="I1331" s="1478" t="s">
        <v>815</v>
      </c>
      <c r="J1331" s="1478"/>
      <c r="K1331" s="1475" t="s">
        <v>850</v>
      </c>
      <c r="L1331" s="1474" t="s">
        <v>330</v>
      </c>
      <c r="M1331" s="1476" t="s">
        <v>842</v>
      </c>
      <c r="N1331" s="1477" t="s">
        <v>1692</v>
      </c>
      <c r="O1331" s="1479">
        <v>1053</v>
      </c>
      <c r="P1331" s="1479"/>
      <c r="Q1331" s="1142">
        <f t="shared" si="361"/>
        <v>1053</v>
      </c>
      <c r="R1331" s="1143">
        <f>IFERROR(VLOOKUP(CONCATENATE(E1331,G1331),'LAC 103'!$A$12:$O$95,11,FALSE),0)</f>
        <v>5.936295312319726</v>
      </c>
      <c r="S1331" s="1144">
        <f>IFERROR(VLOOKUP(CONCATENATE($E1331,$G1331),'LAC 103'!$A$12:$O$95,12,FALSE),0)</f>
        <v>7.34</v>
      </c>
      <c r="T1331" s="1144">
        <f>IFERROR(VLOOKUP(CONCATENATE($E1331,$G1331),'LAC 103'!$A$12:$O$95,13,FALSE),0)</f>
        <v>4.59</v>
      </c>
      <c r="U1331" s="1144">
        <f>IFERROR(VLOOKUP(CONCATENATE($E1331,$G1331),'LAC 103'!$A$12:$O$95,14,FALSE),0)</f>
        <v>0</v>
      </c>
      <c r="V1331" s="1144">
        <f>IFERROR(VLOOKUP(CONCATENATE($E1331,$G1331),'LAC 103'!$A$12:$O$95,15,FALSE),0)</f>
        <v>0</v>
      </c>
      <c r="W1331" s="1145" t="str">
        <f>IFERROR(VLOOKUP(CONCATENATE($B1331,$N1331),'LAC 103'!$AI:$AQ,9,FALSE),"")</f>
        <v>Costs</v>
      </c>
      <c r="X1331" s="1146">
        <f t="shared" si="366"/>
        <v>5.936295312319726</v>
      </c>
      <c r="Y1331" s="1143">
        <f t="shared" si="377"/>
        <v>6250.9189638726712</v>
      </c>
      <c r="Z1331" s="1147">
        <f t="shared" si="367"/>
        <v>7729.0199999999995</v>
      </c>
      <c r="AA1331" s="1144">
        <f t="shared" si="368"/>
        <v>4833.2699999999995</v>
      </c>
      <c r="AB1331" s="1144">
        <f t="shared" si="369"/>
        <v>0</v>
      </c>
      <c r="AC1331" s="1144">
        <f t="shared" si="370"/>
        <v>0</v>
      </c>
      <c r="AD1331" s="1148">
        <f t="shared" si="362"/>
        <v>6250.9189638726712</v>
      </c>
      <c r="AE1331" s="1487">
        <v>0</v>
      </c>
      <c r="AF1331" s="1145">
        <f t="shared" si="371"/>
        <v>6250.9189638726712</v>
      </c>
      <c r="AG1331" s="1149">
        <f>IFERROR(VLOOKUP(CONCATENATE($L1331,$N1331),'Drop List'!$G$23:$K$87,2,FALSE),0)</f>
        <v>0</v>
      </c>
      <c r="AH1331" s="1150">
        <f>IFERROR(VLOOKUP(CONCATENATE($L1331,$N1331),'Drop List'!$G$23:$K$87,3,FALSE),0)</f>
        <v>0</v>
      </c>
      <c r="AI1331" s="1150">
        <f>IFERROR(VLOOKUP(CONCATENATE($L1331,$N1331),'Drop List'!$G$23:$K$87,4,FALSE),0)</f>
        <v>1</v>
      </c>
      <c r="AJ1331" s="1151">
        <f>IFERROR(VLOOKUP(CONCATENATE($L1331,$N1331),'Drop List'!$G$23:$K$87,5,FALSE),0)</f>
        <v>0</v>
      </c>
      <c r="AK1331" s="1152">
        <f t="shared" si="372"/>
        <v>0</v>
      </c>
      <c r="AL1331" s="1153">
        <f t="shared" si="373"/>
        <v>0</v>
      </c>
      <c r="AM1331" s="1153">
        <f t="shared" si="374"/>
        <v>6250.9189638726712</v>
      </c>
      <c r="AN1331" s="1145">
        <f t="shared" si="375"/>
        <v>0</v>
      </c>
      <c r="AO1331" s="1154">
        <f t="shared" si="376"/>
        <v>6250.9189638726712</v>
      </c>
      <c r="AP1331" s="1147">
        <f t="shared" si="363"/>
        <v>0</v>
      </c>
      <c r="AQ1331" s="1144">
        <f t="shared" si="364"/>
        <v>0</v>
      </c>
      <c r="AR1331" s="1146">
        <f t="shared" si="365"/>
        <v>6250.9189638726712</v>
      </c>
    </row>
    <row r="1332" spans="1:44" x14ac:dyDescent="0.2">
      <c r="A1332" s="1141" t="str">
        <f t="shared" si="378"/>
        <v>1562</v>
      </c>
      <c r="B1332" s="1141" t="str">
        <f>IFERROR(VLOOKUP(A1332,'LAC 103'!A:C,3,FALSE),"")</f>
        <v>OP</v>
      </c>
      <c r="C1332" s="1478" t="str">
        <f>Info!$B$8</f>
        <v>00100</v>
      </c>
      <c r="D1332" s="1474" t="s">
        <v>256</v>
      </c>
      <c r="E1332" s="1474" t="s">
        <v>95</v>
      </c>
      <c r="F1332" s="1478" t="s">
        <v>432</v>
      </c>
      <c r="G1332" s="1478" t="s">
        <v>432</v>
      </c>
      <c r="H1332" s="1474" t="s">
        <v>1091</v>
      </c>
      <c r="I1332" s="1478" t="s">
        <v>815</v>
      </c>
      <c r="J1332" s="1478"/>
      <c r="K1332" s="1475" t="s">
        <v>850</v>
      </c>
      <c r="L1332" s="1474" t="s">
        <v>330</v>
      </c>
      <c r="M1332" s="1476" t="s">
        <v>1698</v>
      </c>
      <c r="N1332" s="1477" t="s">
        <v>1693</v>
      </c>
      <c r="O1332" s="1479">
        <v>1174</v>
      </c>
      <c r="P1332" s="1479"/>
      <c r="Q1332" s="1142">
        <f t="shared" si="361"/>
        <v>1174</v>
      </c>
      <c r="R1332" s="1143">
        <f>IFERROR(VLOOKUP(CONCATENATE(E1332,G1332),'LAC 103'!$A$12:$O$95,11,FALSE),0)</f>
        <v>5.936295312319726</v>
      </c>
      <c r="S1332" s="1144">
        <f>IFERROR(VLOOKUP(CONCATENATE($E1332,$G1332),'LAC 103'!$A$12:$O$95,12,FALSE),0)</f>
        <v>7.34</v>
      </c>
      <c r="T1332" s="1144">
        <f>IFERROR(VLOOKUP(CONCATENATE($E1332,$G1332),'LAC 103'!$A$12:$O$95,13,FALSE),0)</f>
        <v>4.59</v>
      </c>
      <c r="U1332" s="1144">
        <f>IFERROR(VLOOKUP(CONCATENATE($E1332,$G1332),'LAC 103'!$A$12:$O$95,14,FALSE),0)</f>
        <v>0</v>
      </c>
      <c r="V1332" s="1144">
        <f>IFERROR(VLOOKUP(CONCATENATE($E1332,$G1332),'LAC 103'!$A$12:$O$95,15,FALSE),0)</f>
        <v>0</v>
      </c>
      <c r="W1332" s="1145" t="str">
        <f>IFERROR(VLOOKUP(CONCATENATE($B1332,$N1332),'LAC 103'!$AI:$AQ,9,FALSE),"")</f>
        <v>Costs</v>
      </c>
      <c r="X1332" s="1146">
        <f t="shared" si="366"/>
        <v>5.936295312319726</v>
      </c>
      <c r="Y1332" s="1143">
        <f t="shared" si="377"/>
        <v>6969.2106966633582</v>
      </c>
      <c r="Z1332" s="1147">
        <f t="shared" si="367"/>
        <v>8617.16</v>
      </c>
      <c r="AA1332" s="1144">
        <f t="shared" si="368"/>
        <v>5388.66</v>
      </c>
      <c r="AB1332" s="1144">
        <f t="shared" si="369"/>
        <v>0</v>
      </c>
      <c r="AC1332" s="1144">
        <f t="shared" si="370"/>
        <v>0</v>
      </c>
      <c r="AD1332" s="1148">
        <f t="shared" si="362"/>
        <v>6969.2106966633582</v>
      </c>
      <c r="AE1332" s="1487">
        <v>0</v>
      </c>
      <c r="AF1332" s="1145">
        <f t="shared" si="371"/>
        <v>6969.2106966633582</v>
      </c>
      <c r="AG1332" s="1149">
        <f>IFERROR(VLOOKUP(CONCATENATE($L1332,$N1332),'Drop List'!$G$23:$K$87,2,FALSE),0)</f>
        <v>0</v>
      </c>
      <c r="AH1332" s="1150">
        <f>IFERROR(VLOOKUP(CONCATENATE($L1332,$N1332),'Drop List'!$G$23:$K$87,3,FALSE),0)</f>
        <v>0</v>
      </c>
      <c r="AI1332" s="1150">
        <f>IFERROR(VLOOKUP(CONCATENATE($L1332,$N1332),'Drop List'!$G$23:$K$87,4,FALSE),0)</f>
        <v>1</v>
      </c>
      <c r="AJ1332" s="1151">
        <f>IFERROR(VLOOKUP(CONCATENATE($L1332,$N1332),'Drop List'!$G$23:$K$87,5,FALSE),0)</f>
        <v>0</v>
      </c>
      <c r="AK1332" s="1152">
        <f t="shared" si="372"/>
        <v>0</v>
      </c>
      <c r="AL1332" s="1153">
        <f t="shared" si="373"/>
        <v>0</v>
      </c>
      <c r="AM1332" s="1153">
        <f t="shared" si="374"/>
        <v>6969.2106966633582</v>
      </c>
      <c r="AN1332" s="1145">
        <f t="shared" si="375"/>
        <v>0</v>
      </c>
      <c r="AO1332" s="1154">
        <f t="shared" si="376"/>
        <v>6969.2106966633582</v>
      </c>
      <c r="AP1332" s="1147">
        <f t="shared" si="363"/>
        <v>0</v>
      </c>
      <c r="AQ1332" s="1144">
        <f t="shared" si="364"/>
        <v>0</v>
      </c>
      <c r="AR1332" s="1146">
        <f t="shared" si="365"/>
        <v>6969.2106966633582</v>
      </c>
    </row>
    <row r="1333" spans="1:44" x14ac:dyDescent="0.2">
      <c r="A1333" s="1141" t="str">
        <f t="shared" si="378"/>
        <v>1562</v>
      </c>
      <c r="B1333" s="1141" t="str">
        <f>IFERROR(VLOOKUP(A1333,'LAC 103'!A:C,3,FALSE),"")</f>
        <v>OP</v>
      </c>
      <c r="C1333" s="1478" t="str">
        <f>Info!$B$8</f>
        <v>00100</v>
      </c>
      <c r="D1333" s="1474" t="s">
        <v>256</v>
      </c>
      <c r="E1333" s="1474" t="s">
        <v>95</v>
      </c>
      <c r="F1333" s="1478" t="s">
        <v>432</v>
      </c>
      <c r="G1333" s="1478" t="s">
        <v>432</v>
      </c>
      <c r="H1333" s="1474" t="s">
        <v>1091</v>
      </c>
      <c r="I1333" s="1478" t="s">
        <v>815</v>
      </c>
      <c r="J1333" s="1478"/>
      <c r="K1333" s="1475" t="s">
        <v>851</v>
      </c>
      <c r="L1333" s="1474" t="s">
        <v>584</v>
      </c>
      <c r="M1333" s="1476" t="s">
        <v>1699</v>
      </c>
      <c r="N1333" s="1477" t="s">
        <v>1694</v>
      </c>
      <c r="O1333" s="1479">
        <v>50590</v>
      </c>
      <c r="P1333" s="1479"/>
      <c r="Q1333" s="1142">
        <f t="shared" si="361"/>
        <v>50590</v>
      </c>
      <c r="R1333" s="1143">
        <f>IFERROR(VLOOKUP(CONCATENATE(E1333,G1333),'LAC 103'!$A$12:$O$95,11,FALSE),0)</f>
        <v>5.936295312319726</v>
      </c>
      <c r="S1333" s="1144">
        <f>IFERROR(VLOOKUP(CONCATENATE($E1333,$G1333),'LAC 103'!$A$12:$O$95,12,FALSE),0)</f>
        <v>7.34</v>
      </c>
      <c r="T1333" s="1144">
        <f>IFERROR(VLOOKUP(CONCATENATE($E1333,$G1333),'LAC 103'!$A$12:$O$95,13,FALSE),0)</f>
        <v>4.59</v>
      </c>
      <c r="U1333" s="1144">
        <f>IFERROR(VLOOKUP(CONCATENATE($E1333,$G1333),'LAC 103'!$A$12:$O$95,14,FALSE),0)</f>
        <v>0</v>
      </c>
      <c r="V1333" s="1144">
        <f>IFERROR(VLOOKUP(CONCATENATE($E1333,$G1333),'LAC 103'!$A$12:$O$95,15,FALSE),0)</f>
        <v>0</v>
      </c>
      <c r="W1333" s="1145" t="str">
        <f>IFERROR(VLOOKUP(CONCATENATE($B1333,$N1333),'LAC 103'!$AI:$AQ,9,FALSE),"")</f>
        <v>Costs</v>
      </c>
      <c r="X1333" s="1146">
        <f t="shared" si="366"/>
        <v>5.936295312319726</v>
      </c>
      <c r="Y1333" s="1143">
        <f t="shared" si="377"/>
        <v>300317.17985025496</v>
      </c>
      <c r="Z1333" s="1147">
        <f t="shared" si="367"/>
        <v>371330.6</v>
      </c>
      <c r="AA1333" s="1144">
        <f t="shared" si="368"/>
        <v>232208.1</v>
      </c>
      <c r="AB1333" s="1144">
        <f t="shared" si="369"/>
        <v>0</v>
      </c>
      <c r="AC1333" s="1144">
        <f t="shared" si="370"/>
        <v>0</v>
      </c>
      <c r="AD1333" s="1148">
        <f t="shared" si="362"/>
        <v>300317.17985025496</v>
      </c>
      <c r="AE1333" s="1487">
        <v>0</v>
      </c>
      <c r="AF1333" s="1145">
        <f t="shared" si="371"/>
        <v>300317.17985025496</v>
      </c>
      <c r="AG1333" s="1149">
        <f>IFERROR(VLOOKUP(CONCATENATE($L1333,$N1333),'Drop List'!$G$23:$K$87,2,FALSE),0)</f>
        <v>0.56200000000000006</v>
      </c>
      <c r="AH1333" s="1150">
        <f>IFERROR(VLOOKUP(CONCATENATE($L1333,$N1333),'Drop List'!$G$23:$K$87,3,FALSE),0)</f>
        <v>0</v>
      </c>
      <c r="AI1333" s="1150">
        <f>IFERROR(VLOOKUP(CONCATENATE($L1333,$N1333),'Drop List'!$G$23:$K$87,4,FALSE),0)</f>
        <v>0</v>
      </c>
      <c r="AJ1333" s="1151">
        <f>IFERROR(VLOOKUP(CONCATENATE($L1333,$N1333),'Drop List'!$G$23:$K$87,5,FALSE),0)</f>
        <v>0.43799999999999994</v>
      </c>
      <c r="AK1333" s="1152">
        <f t="shared" si="372"/>
        <v>168778.25507584331</v>
      </c>
      <c r="AL1333" s="1153">
        <f t="shared" si="373"/>
        <v>0</v>
      </c>
      <c r="AM1333" s="1153">
        <f t="shared" si="374"/>
        <v>0</v>
      </c>
      <c r="AN1333" s="1145">
        <f t="shared" si="375"/>
        <v>131538.92477441166</v>
      </c>
      <c r="AO1333" s="1154">
        <f t="shared" si="376"/>
        <v>300317.17985025496</v>
      </c>
      <c r="AP1333" s="1147">
        <f t="shared" si="363"/>
        <v>0</v>
      </c>
      <c r="AQ1333" s="1144">
        <f t="shared" si="364"/>
        <v>0</v>
      </c>
      <c r="AR1333" s="1146">
        <f t="shared" si="365"/>
        <v>300317.17985025496</v>
      </c>
    </row>
    <row r="1334" spans="1:44" x14ac:dyDescent="0.2">
      <c r="A1334" s="1141" t="str">
        <f t="shared" si="378"/>
        <v>1562</v>
      </c>
      <c r="B1334" s="1141" t="str">
        <f>IFERROR(VLOOKUP(A1334,'LAC 103'!A:C,3,FALSE),"")</f>
        <v>OP</v>
      </c>
      <c r="C1334" s="1478" t="str">
        <f>Info!$B$8</f>
        <v>00100</v>
      </c>
      <c r="D1334" s="1474" t="s">
        <v>256</v>
      </c>
      <c r="E1334" s="1474" t="s">
        <v>95</v>
      </c>
      <c r="F1334" s="1478" t="s">
        <v>432</v>
      </c>
      <c r="G1334" s="1478" t="s">
        <v>432</v>
      </c>
      <c r="H1334" s="1474" t="s">
        <v>1091</v>
      </c>
      <c r="I1334" s="1478" t="s">
        <v>815</v>
      </c>
      <c r="J1334" s="1478"/>
      <c r="K1334" s="1475" t="s">
        <v>851</v>
      </c>
      <c r="L1334" s="1474" t="s">
        <v>584</v>
      </c>
      <c r="M1334" s="1476" t="s">
        <v>841</v>
      </c>
      <c r="N1334" s="1477" t="s">
        <v>1695</v>
      </c>
      <c r="O1334" s="1479">
        <v>21363</v>
      </c>
      <c r="P1334" s="1479"/>
      <c r="Q1334" s="1142">
        <f t="shared" si="361"/>
        <v>21363</v>
      </c>
      <c r="R1334" s="1143">
        <f>IFERROR(VLOOKUP(CONCATENATE(E1334,G1334),'LAC 103'!$A$12:$O$95,11,FALSE),0)</f>
        <v>5.936295312319726</v>
      </c>
      <c r="S1334" s="1144">
        <f>IFERROR(VLOOKUP(CONCATENATE($E1334,$G1334),'LAC 103'!$A$12:$O$95,12,FALSE),0)</f>
        <v>7.34</v>
      </c>
      <c r="T1334" s="1144">
        <f>IFERROR(VLOOKUP(CONCATENATE($E1334,$G1334),'LAC 103'!$A$12:$O$95,13,FALSE),0)</f>
        <v>4.59</v>
      </c>
      <c r="U1334" s="1144">
        <f>IFERROR(VLOOKUP(CONCATENATE($E1334,$G1334),'LAC 103'!$A$12:$O$95,14,FALSE),0)</f>
        <v>0</v>
      </c>
      <c r="V1334" s="1144">
        <f>IFERROR(VLOOKUP(CONCATENATE($E1334,$G1334),'LAC 103'!$A$12:$O$95,15,FALSE),0)</f>
        <v>0</v>
      </c>
      <c r="W1334" s="1145" t="str">
        <f>IFERROR(VLOOKUP(CONCATENATE($B1334,$N1334),'LAC 103'!$AI:$AQ,9,FALSE),"")</f>
        <v>Costs</v>
      </c>
      <c r="X1334" s="1146">
        <f t="shared" si="366"/>
        <v>5.936295312319726</v>
      </c>
      <c r="Y1334" s="1143">
        <f t="shared" si="377"/>
        <v>126817.07675708631</v>
      </c>
      <c r="Z1334" s="1147">
        <f t="shared" si="367"/>
        <v>156804.41999999998</v>
      </c>
      <c r="AA1334" s="1144">
        <f t="shared" si="368"/>
        <v>98056.17</v>
      </c>
      <c r="AB1334" s="1144">
        <f t="shared" si="369"/>
        <v>0</v>
      </c>
      <c r="AC1334" s="1144">
        <f t="shared" si="370"/>
        <v>0</v>
      </c>
      <c r="AD1334" s="1148">
        <f t="shared" si="362"/>
        <v>126817.07675708631</v>
      </c>
      <c r="AE1334" s="1487">
        <v>0</v>
      </c>
      <c r="AF1334" s="1145">
        <f t="shared" si="371"/>
        <v>126817.07675708631</v>
      </c>
      <c r="AG1334" s="1149">
        <f>IFERROR(VLOOKUP(CONCATENATE($L1334,$N1334),'Drop List'!$G$23:$K$87,2,FALSE),0)</f>
        <v>0.55000000000000004</v>
      </c>
      <c r="AH1334" s="1150">
        <f>IFERROR(VLOOKUP(CONCATENATE($L1334,$N1334),'Drop List'!$G$23:$K$87,3,FALSE),0)</f>
        <v>0</v>
      </c>
      <c r="AI1334" s="1150">
        <f>IFERROR(VLOOKUP(CONCATENATE($L1334,$N1334),'Drop List'!$G$23:$K$87,4,FALSE),0)</f>
        <v>0</v>
      </c>
      <c r="AJ1334" s="1151">
        <f>IFERROR(VLOOKUP(CONCATENATE($L1334,$N1334),'Drop List'!$G$23:$K$87,5,FALSE),0)</f>
        <v>0.44999999999999996</v>
      </c>
      <c r="AK1334" s="1152">
        <f t="shared" si="372"/>
        <v>69749.392216397478</v>
      </c>
      <c r="AL1334" s="1153">
        <f t="shared" si="373"/>
        <v>0</v>
      </c>
      <c r="AM1334" s="1153">
        <f t="shared" si="374"/>
        <v>0</v>
      </c>
      <c r="AN1334" s="1145">
        <f t="shared" si="375"/>
        <v>57067.684540688831</v>
      </c>
      <c r="AO1334" s="1154">
        <f t="shared" si="376"/>
        <v>126817.07675708631</v>
      </c>
      <c r="AP1334" s="1147">
        <f t="shared" si="363"/>
        <v>0</v>
      </c>
      <c r="AQ1334" s="1144">
        <f t="shared" si="364"/>
        <v>0</v>
      </c>
      <c r="AR1334" s="1146">
        <f t="shared" si="365"/>
        <v>126817.07675708631</v>
      </c>
    </row>
    <row r="1335" spans="1:44" x14ac:dyDescent="0.2">
      <c r="A1335" s="1141" t="str">
        <f t="shared" si="378"/>
        <v>1562</v>
      </c>
      <c r="B1335" s="1141" t="str">
        <f>IFERROR(VLOOKUP(A1335,'LAC 103'!A:C,3,FALSE),"")</f>
        <v>OP</v>
      </c>
      <c r="C1335" s="1478" t="str">
        <f>Info!$B$8</f>
        <v>00100</v>
      </c>
      <c r="D1335" s="1474" t="s">
        <v>256</v>
      </c>
      <c r="E1335" s="1474" t="s">
        <v>95</v>
      </c>
      <c r="F1335" s="1478" t="s">
        <v>432</v>
      </c>
      <c r="G1335" s="1478" t="s">
        <v>432</v>
      </c>
      <c r="H1335" s="1474" t="s">
        <v>1091</v>
      </c>
      <c r="I1335" s="1478" t="s">
        <v>815</v>
      </c>
      <c r="J1335" s="1478"/>
      <c r="K1335" s="1475" t="s">
        <v>851</v>
      </c>
      <c r="L1335" s="1474" t="s">
        <v>584</v>
      </c>
      <c r="M1335" s="1476" t="s">
        <v>840</v>
      </c>
      <c r="N1335" s="1477" t="s">
        <v>1700</v>
      </c>
      <c r="O1335" s="1479">
        <v>25358</v>
      </c>
      <c r="P1335" s="1479"/>
      <c r="Q1335" s="1142">
        <f t="shared" si="361"/>
        <v>25358</v>
      </c>
      <c r="R1335" s="1143">
        <f>IFERROR(VLOOKUP(CONCATENATE(E1335,G1335),'LAC 103'!$A$12:$O$95,11,FALSE),0)</f>
        <v>5.936295312319726</v>
      </c>
      <c r="S1335" s="1144">
        <f>IFERROR(VLOOKUP(CONCATENATE($E1335,$G1335),'LAC 103'!$A$12:$O$95,12,FALSE),0)</f>
        <v>7.34</v>
      </c>
      <c r="T1335" s="1144">
        <f>IFERROR(VLOOKUP(CONCATENATE($E1335,$G1335),'LAC 103'!$A$12:$O$95,13,FALSE),0)</f>
        <v>4.59</v>
      </c>
      <c r="U1335" s="1144">
        <f>IFERROR(VLOOKUP(CONCATENATE($E1335,$G1335),'LAC 103'!$A$12:$O$95,14,FALSE),0)</f>
        <v>0</v>
      </c>
      <c r="V1335" s="1144">
        <f>IFERROR(VLOOKUP(CONCATENATE($E1335,$G1335),'LAC 103'!$A$12:$O$95,15,FALSE),0)</f>
        <v>0</v>
      </c>
      <c r="W1335" s="1145" t="str">
        <f>IFERROR(VLOOKUP(CONCATENATE($B1335,$N1335),'LAC 103'!$AI:$AQ,9,FALSE),"")</f>
        <v>P.C.</v>
      </c>
      <c r="X1335" s="1146">
        <f t="shared" si="366"/>
        <v>4.59</v>
      </c>
      <c r="Y1335" s="1143">
        <f t="shared" si="377"/>
        <v>150532.5765298036</v>
      </c>
      <c r="Z1335" s="1147">
        <f t="shared" si="367"/>
        <v>186127.72</v>
      </c>
      <c r="AA1335" s="1144">
        <f t="shared" si="368"/>
        <v>116393.22</v>
      </c>
      <c r="AB1335" s="1144">
        <f t="shared" si="369"/>
        <v>0</v>
      </c>
      <c r="AC1335" s="1144">
        <f t="shared" si="370"/>
        <v>0</v>
      </c>
      <c r="AD1335" s="1148">
        <f t="shared" si="362"/>
        <v>116393.22</v>
      </c>
      <c r="AE1335" s="1487">
        <v>0</v>
      </c>
      <c r="AF1335" s="1145">
        <f t="shared" si="371"/>
        <v>116393.22</v>
      </c>
      <c r="AG1335" s="1149">
        <f>IFERROR(VLOOKUP(CONCATENATE($L1335,$N1335),'Drop List'!$G$23:$K$87,2,FALSE),0)</f>
        <v>0.55000000000000004</v>
      </c>
      <c r="AH1335" s="1150">
        <f>IFERROR(VLOOKUP(CONCATENATE($L1335,$N1335),'Drop List'!$G$23:$K$87,3,FALSE),0)</f>
        <v>0</v>
      </c>
      <c r="AI1335" s="1150">
        <f>IFERROR(VLOOKUP(CONCATENATE($L1335,$N1335),'Drop List'!$G$23:$K$87,4,FALSE),0)</f>
        <v>0</v>
      </c>
      <c r="AJ1335" s="1151">
        <f>IFERROR(VLOOKUP(CONCATENATE($L1335,$N1335),'Drop List'!$G$23:$K$87,5,FALSE),0)</f>
        <v>0.44999999999999996</v>
      </c>
      <c r="AK1335" s="1152">
        <f t="shared" si="372"/>
        <v>64016.271000000008</v>
      </c>
      <c r="AL1335" s="1153">
        <f t="shared" si="373"/>
        <v>0</v>
      </c>
      <c r="AM1335" s="1153">
        <f t="shared" si="374"/>
        <v>0</v>
      </c>
      <c r="AN1335" s="1145">
        <f t="shared" si="375"/>
        <v>52376.948999999993</v>
      </c>
      <c r="AO1335" s="1154">
        <f t="shared" si="376"/>
        <v>116393.22</v>
      </c>
      <c r="AP1335" s="1147">
        <f t="shared" si="363"/>
        <v>0</v>
      </c>
      <c r="AQ1335" s="1144">
        <f t="shared" si="364"/>
        <v>0</v>
      </c>
      <c r="AR1335" s="1146">
        <f t="shared" si="365"/>
        <v>116393.22</v>
      </c>
    </row>
    <row r="1336" spans="1:44" x14ac:dyDescent="0.2">
      <c r="A1336" s="1141" t="str">
        <f t="shared" si="378"/>
        <v>1562</v>
      </c>
      <c r="B1336" s="1141" t="str">
        <f>IFERROR(VLOOKUP(A1336,'LAC 103'!A:C,3,FALSE),"")</f>
        <v>OP</v>
      </c>
      <c r="C1336" s="1478" t="str">
        <f>Info!$B$8</f>
        <v>00100</v>
      </c>
      <c r="D1336" s="1474" t="s">
        <v>256</v>
      </c>
      <c r="E1336" s="1474" t="s">
        <v>95</v>
      </c>
      <c r="F1336" s="1478" t="s">
        <v>432</v>
      </c>
      <c r="G1336" s="1478" t="s">
        <v>432</v>
      </c>
      <c r="H1336" s="1474" t="s">
        <v>1091</v>
      </c>
      <c r="I1336" s="1478" t="s">
        <v>815</v>
      </c>
      <c r="J1336" s="1478"/>
      <c r="K1336" s="1475" t="s">
        <v>851</v>
      </c>
      <c r="L1336" s="1474" t="s">
        <v>584</v>
      </c>
      <c r="M1336" s="1476" t="s">
        <v>842</v>
      </c>
      <c r="N1336" s="1477" t="s">
        <v>1692</v>
      </c>
      <c r="O1336" s="1479">
        <v>50289</v>
      </c>
      <c r="P1336" s="1479"/>
      <c r="Q1336" s="1142">
        <f t="shared" si="361"/>
        <v>50289</v>
      </c>
      <c r="R1336" s="1143">
        <f>IFERROR(VLOOKUP(CONCATENATE(E1336,G1336),'LAC 103'!$A$12:$O$95,11,FALSE),0)</f>
        <v>5.936295312319726</v>
      </c>
      <c r="S1336" s="1144">
        <f>IFERROR(VLOOKUP(CONCATENATE($E1336,$G1336),'LAC 103'!$A$12:$O$95,12,FALSE),0)</f>
        <v>7.34</v>
      </c>
      <c r="T1336" s="1144">
        <f>IFERROR(VLOOKUP(CONCATENATE($E1336,$G1336),'LAC 103'!$A$12:$O$95,13,FALSE),0)</f>
        <v>4.59</v>
      </c>
      <c r="U1336" s="1144">
        <f>IFERROR(VLOOKUP(CONCATENATE($E1336,$G1336),'LAC 103'!$A$12:$O$95,14,FALSE),0)</f>
        <v>0</v>
      </c>
      <c r="V1336" s="1144">
        <f>IFERROR(VLOOKUP(CONCATENATE($E1336,$G1336),'LAC 103'!$A$12:$O$95,15,FALSE),0)</f>
        <v>0</v>
      </c>
      <c r="W1336" s="1145" t="str">
        <f>IFERROR(VLOOKUP(CONCATENATE($B1336,$N1336),'LAC 103'!$AI:$AQ,9,FALSE),"")</f>
        <v>Costs</v>
      </c>
      <c r="X1336" s="1146">
        <f t="shared" si="366"/>
        <v>5.936295312319726</v>
      </c>
      <c r="Y1336" s="1143">
        <f t="shared" si="377"/>
        <v>298530.35496124672</v>
      </c>
      <c r="Z1336" s="1147">
        <f t="shared" si="367"/>
        <v>369121.26</v>
      </c>
      <c r="AA1336" s="1144">
        <f t="shared" si="368"/>
        <v>230826.50999999998</v>
      </c>
      <c r="AB1336" s="1144">
        <f t="shared" si="369"/>
        <v>0</v>
      </c>
      <c r="AC1336" s="1144">
        <f t="shared" si="370"/>
        <v>0</v>
      </c>
      <c r="AD1336" s="1148">
        <f t="shared" si="362"/>
        <v>298530.35496124672</v>
      </c>
      <c r="AE1336" s="1487">
        <v>0</v>
      </c>
      <c r="AF1336" s="1145">
        <f t="shared" si="371"/>
        <v>298530.35496124672</v>
      </c>
      <c r="AG1336" s="1149">
        <f>IFERROR(VLOOKUP(CONCATENATE($L1336,$N1336),'Drop List'!$G$23:$K$87,2,FALSE),0)</f>
        <v>0.56200000000000006</v>
      </c>
      <c r="AH1336" s="1150">
        <f>IFERROR(VLOOKUP(CONCATENATE($L1336,$N1336),'Drop List'!$G$23:$K$87,3,FALSE),0)</f>
        <v>0</v>
      </c>
      <c r="AI1336" s="1150">
        <f>IFERROR(VLOOKUP(CONCATENATE($L1336,$N1336),'Drop List'!$G$23:$K$87,4,FALSE),0)</f>
        <v>0</v>
      </c>
      <c r="AJ1336" s="1151">
        <f>IFERROR(VLOOKUP(CONCATENATE($L1336,$N1336),'Drop List'!$G$23:$K$87,5,FALSE),0)</f>
        <v>0.43799999999999994</v>
      </c>
      <c r="AK1336" s="1152">
        <f t="shared" si="372"/>
        <v>167774.05948822066</v>
      </c>
      <c r="AL1336" s="1153">
        <f t="shared" si="373"/>
        <v>0</v>
      </c>
      <c r="AM1336" s="1153">
        <f t="shared" si="374"/>
        <v>0</v>
      </c>
      <c r="AN1336" s="1145">
        <f t="shared" si="375"/>
        <v>130756.29547302604</v>
      </c>
      <c r="AO1336" s="1154">
        <f t="shared" si="376"/>
        <v>298530.35496124672</v>
      </c>
      <c r="AP1336" s="1147">
        <f t="shared" si="363"/>
        <v>0</v>
      </c>
      <c r="AQ1336" s="1144">
        <f t="shared" si="364"/>
        <v>0</v>
      </c>
      <c r="AR1336" s="1146">
        <f t="shared" si="365"/>
        <v>298530.35496124672</v>
      </c>
    </row>
    <row r="1337" spans="1:44" x14ac:dyDescent="0.2">
      <c r="A1337" s="1141" t="str">
        <f t="shared" si="378"/>
        <v>1562</v>
      </c>
      <c r="B1337" s="1141" t="str">
        <f>IFERROR(VLOOKUP(A1337,'LAC 103'!A:C,3,FALSE),"")</f>
        <v>OP</v>
      </c>
      <c r="C1337" s="1478" t="str">
        <f>Info!$B$8</f>
        <v>00100</v>
      </c>
      <c r="D1337" s="1474" t="s">
        <v>256</v>
      </c>
      <c r="E1337" s="1474" t="s">
        <v>95</v>
      </c>
      <c r="F1337" s="1478" t="s">
        <v>432</v>
      </c>
      <c r="G1337" s="1478" t="s">
        <v>432</v>
      </c>
      <c r="H1337" s="1474" t="s">
        <v>1091</v>
      </c>
      <c r="I1337" s="1478" t="s">
        <v>815</v>
      </c>
      <c r="J1337" s="1478"/>
      <c r="K1337" s="1475" t="s">
        <v>851</v>
      </c>
      <c r="L1337" s="1474" t="s">
        <v>584</v>
      </c>
      <c r="M1337" s="1476" t="s">
        <v>1698</v>
      </c>
      <c r="N1337" s="1477" t="s">
        <v>1693</v>
      </c>
      <c r="O1337" s="1479">
        <v>50178</v>
      </c>
      <c r="P1337" s="1479"/>
      <c r="Q1337" s="1142">
        <f t="shared" si="361"/>
        <v>50178</v>
      </c>
      <c r="R1337" s="1143">
        <f>IFERROR(VLOOKUP(CONCATENATE(E1337,G1337),'LAC 103'!$A$12:$O$95,11,FALSE),0)</f>
        <v>5.936295312319726</v>
      </c>
      <c r="S1337" s="1144">
        <f>IFERROR(VLOOKUP(CONCATENATE($E1337,$G1337),'LAC 103'!$A$12:$O$95,12,FALSE),0)</f>
        <v>7.34</v>
      </c>
      <c r="T1337" s="1144">
        <f>IFERROR(VLOOKUP(CONCATENATE($E1337,$G1337),'LAC 103'!$A$12:$O$95,13,FALSE),0)</f>
        <v>4.59</v>
      </c>
      <c r="U1337" s="1144">
        <f>IFERROR(VLOOKUP(CONCATENATE($E1337,$G1337),'LAC 103'!$A$12:$O$95,14,FALSE),0)</f>
        <v>0</v>
      </c>
      <c r="V1337" s="1144">
        <f>IFERROR(VLOOKUP(CONCATENATE($E1337,$G1337),'LAC 103'!$A$12:$O$95,15,FALSE),0)</f>
        <v>0</v>
      </c>
      <c r="W1337" s="1145" t="str">
        <f>IFERROR(VLOOKUP(CONCATENATE($B1337,$N1337),'LAC 103'!$AI:$AQ,9,FALSE),"")</f>
        <v>Costs</v>
      </c>
      <c r="X1337" s="1146">
        <f t="shared" si="366"/>
        <v>5.936295312319726</v>
      </c>
      <c r="Y1337" s="1143">
        <f t="shared" si="377"/>
        <v>297871.42618157918</v>
      </c>
      <c r="Z1337" s="1147">
        <f t="shared" si="367"/>
        <v>368306.52</v>
      </c>
      <c r="AA1337" s="1144">
        <f t="shared" si="368"/>
        <v>230317.02</v>
      </c>
      <c r="AB1337" s="1144">
        <f t="shared" si="369"/>
        <v>0</v>
      </c>
      <c r="AC1337" s="1144">
        <f t="shared" si="370"/>
        <v>0</v>
      </c>
      <c r="AD1337" s="1148">
        <f t="shared" si="362"/>
        <v>297871.42618157918</v>
      </c>
      <c r="AE1337" s="1487">
        <v>0</v>
      </c>
      <c r="AF1337" s="1145">
        <f t="shared" si="371"/>
        <v>297871.42618157918</v>
      </c>
      <c r="AG1337" s="1149">
        <f>IFERROR(VLOOKUP(CONCATENATE($L1337,$N1337),'Drop List'!$G$23:$K$87,2,FALSE),0)</f>
        <v>0.56200000000000006</v>
      </c>
      <c r="AH1337" s="1150">
        <f>IFERROR(VLOOKUP(CONCATENATE($L1337,$N1337),'Drop List'!$G$23:$K$87,3,FALSE),0)</f>
        <v>0</v>
      </c>
      <c r="AI1337" s="1150">
        <f>IFERROR(VLOOKUP(CONCATENATE($L1337,$N1337),'Drop List'!$G$23:$K$87,4,FALSE),0)</f>
        <v>0</v>
      </c>
      <c r="AJ1337" s="1151">
        <f>IFERROR(VLOOKUP(CONCATENATE($L1337,$N1337),'Drop List'!$G$23:$K$87,5,FALSE),0)</f>
        <v>0.43799999999999994</v>
      </c>
      <c r="AK1337" s="1152">
        <f t="shared" si="372"/>
        <v>167403.74151404752</v>
      </c>
      <c r="AL1337" s="1153">
        <f t="shared" si="373"/>
        <v>0</v>
      </c>
      <c r="AM1337" s="1153">
        <f t="shared" si="374"/>
        <v>0</v>
      </c>
      <c r="AN1337" s="1145">
        <f t="shared" si="375"/>
        <v>130467.68466753166</v>
      </c>
      <c r="AO1337" s="1154">
        <f t="shared" si="376"/>
        <v>297871.42618157918</v>
      </c>
      <c r="AP1337" s="1147">
        <f t="shared" si="363"/>
        <v>0</v>
      </c>
      <c r="AQ1337" s="1144">
        <f t="shared" si="364"/>
        <v>0</v>
      </c>
      <c r="AR1337" s="1146">
        <f t="shared" si="365"/>
        <v>297871.42618157918</v>
      </c>
    </row>
    <row r="1338" spans="1:44" x14ac:dyDescent="0.2">
      <c r="A1338" s="1141" t="str">
        <f t="shared" si="378"/>
        <v>1562</v>
      </c>
      <c r="B1338" s="1141" t="str">
        <f>IFERROR(VLOOKUP(A1338,'LAC 103'!A:C,3,FALSE),"")</f>
        <v>OP</v>
      </c>
      <c r="C1338" s="1478" t="str">
        <f>Info!$B$8</f>
        <v>00100</v>
      </c>
      <c r="D1338" s="1474" t="s">
        <v>256</v>
      </c>
      <c r="E1338" s="1474" t="s">
        <v>95</v>
      </c>
      <c r="F1338" s="1478" t="s">
        <v>432</v>
      </c>
      <c r="G1338" s="1478" t="s">
        <v>432</v>
      </c>
      <c r="H1338" s="1474" t="s">
        <v>983</v>
      </c>
      <c r="I1338" s="1478" t="s">
        <v>823</v>
      </c>
      <c r="J1338" s="1478" t="s">
        <v>1998</v>
      </c>
      <c r="K1338" s="1475" t="s">
        <v>847</v>
      </c>
      <c r="L1338" s="1474" t="s">
        <v>582</v>
      </c>
      <c r="M1338" s="1476" t="s">
        <v>1699</v>
      </c>
      <c r="N1338" s="1477" t="s">
        <v>1694</v>
      </c>
      <c r="O1338" s="1479">
        <v>540</v>
      </c>
      <c r="P1338" s="1479"/>
      <c r="Q1338" s="1142">
        <f t="shared" si="361"/>
        <v>540</v>
      </c>
      <c r="R1338" s="1143">
        <f>IFERROR(VLOOKUP(CONCATENATE(E1338,G1338),'LAC 103'!$A$12:$O$95,11,FALSE),0)</f>
        <v>5.936295312319726</v>
      </c>
      <c r="S1338" s="1144">
        <f>IFERROR(VLOOKUP(CONCATENATE($E1338,$G1338),'LAC 103'!$A$12:$O$95,12,FALSE),0)</f>
        <v>7.34</v>
      </c>
      <c r="T1338" s="1144">
        <f>IFERROR(VLOOKUP(CONCATENATE($E1338,$G1338),'LAC 103'!$A$12:$O$95,13,FALSE),0)</f>
        <v>4.59</v>
      </c>
      <c r="U1338" s="1144">
        <f>IFERROR(VLOOKUP(CONCATENATE($E1338,$G1338),'LAC 103'!$A$12:$O$95,14,FALSE),0)</f>
        <v>0</v>
      </c>
      <c r="V1338" s="1144">
        <f>IFERROR(VLOOKUP(CONCATENATE($E1338,$G1338),'LAC 103'!$A$12:$O$95,15,FALSE),0)</f>
        <v>0</v>
      </c>
      <c r="W1338" s="1145" t="str">
        <f>IFERROR(VLOOKUP(CONCATENATE($B1338,$N1338),'LAC 103'!$AI:$AQ,9,FALSE),"")</f>
        <v>Costs</v>
      </c>
      <c r="X1338" s="1146">
        <f t="shared" si="366"/>
        <v>5.936295312319726</v>
      </c>
      <c r="Y1338" s="1143">
        <f t="shared" si="377"/>
        <v>3205.5994686526519</v>
      </c>
      <c r="Z1338" s="1147">
        <f t="shared" si="367"/>
        <v>3963.6</v>
      </c>
      <c r="AA1338" s="1144">
        <f t="shared" si="368"/>
        <v>2478.6</v>
      </c>
      <c r="AB1338" s="1144">
        <f t="shared" si="369"/>
        <v>0</v>
      </c>
      <c r="AC1338" s="1144">
        <f t="shared" si="370"/>
        <v>0</v>
      </c>
      <c r="AD1338" s="1148">
        <f t="shared" si="362"/>
        <v>3205.5994686526519</v>
      </c>
      <c r="AE1338" s="1487">
        <v>0</v>
      </c>
      <c r="AF1338" s="1145">
        <f t="shared" si="371"/>
        <v>3205.5994686526519</v>
      </c>
      <c r="AG1338" s="1149">
        <f>IFERROR(VLOOKUP(CONCATENATE($L1338,$N1338),'Drop List'!$G$23:$K$87,2,FALSE),0)</f>
        <v>0.56200000000000006</v>
      </c>
      <c r="AH1338" s="1150">
        <f>IFERROR(VLOOKUP(CONCATENATE($L1338,$N1338),'Drop List'!$G$23:$K$87,3,FALSE),0)</f>
        <v>0.43799999999999994</v>
      </c>
      <c r="AI1338" s="1150">
        <f>IFERROR(VLOOKUP(CONCATENATE($L1338,$N1338),'Drop List'!$G$23:$K$87,4,FALSE),0)</f>
        <v>0</v>
      </c>
      <c r="AJ1338" s="1151">
        <f>IFERROR(VLOOKUP(CONCATENATE($L1338,$N1338),'Drop List'!$G$23:$K$87,5,FALSE),0)</f>
        <v>0</v>
      </c>
      <c r="AK1338" s="1152">
        <f t="shared" si="372"/>
        <v>1801.5469013827906</v>
      </c>
      <c r="AL1338" s="1153">
        <f t="shared" si="373"/>
        <v>1404.0525672698614</v>
      </c>
      <c r="AM1338" s="1153">
        <f t="shared" si="374"/>
        <v>0</v>
      </c>
      <c r="AN1338" s="1145">
        <f t="shared" si="375"/>
        <v>0</v>
      </c>
      <c r="AO1338" s="1154">
        <f t="shared" si="376"/>
        <v>3205.5994686526519</v>
      </c>
      <c r="AP1338" s="1147">
        <f t="shared" si="363"/>
        <v>0</v>
      </c>
      <c r="AQ1338" s="1144">
        <f t="shared" si="364"/>
        <v>0</v>
      </c>
      <c r="AR1338" s="1146">
        <f t="shared" si="365"/>
        <v>3205.5994686526519</v>
      </c>
    </row>
    <row r="1339" spans="1:44" x14ac:dyDescent="0.2">
      <c r="A1339" s="1141" t="str">
        <f t="shared" si="378"/>
        <v>1562</v>
      </c>
      <c r="B1339" s="1141" t="str">
        <f>IFERROR(VLOOKUP(A1339,'LAC 103'!A:C,3,FALSE),"")</f>
        <v>OP</v>
      </c>
      <c r="C1339" s="1478" t="str">
        <f>Info!$B$8</f>
        <v>00100</v>
      </c>
      <c r="D1339" s="1474" t="s">
        <v>256</v>
      </c>
      <c r="E1339" s="1474" t="s">
        <v>95</v>
      </c>
      <c r="F1339" s="1478" t="s">
        <v>432</v>
      </c>
      <c r="G1339" s="1478" t="s">
        <v>432</v>
      </c>
      <c r="H1339" s="1474" t="s">
        <v>983</v>
      </c>
      <c r="I1339" s="1478" t="s">
        <v>823</v>
      </c>
      <c r="J1339" s="1478" t="s">
        <v>1998</v>
      </c>
      <c r="K1339" s="1475" t="s">
        <v>847</v>
      </c>
      <c r="L1339" s="1474" t="s">
        <v>582</v>
      </c>
      <c r="M1339" s="1476" t="s">
        <v>841</v>
      </c>
      <c r="N1339" s="1477" t="s">
        <v>1695</v>
      </c>
      <c r="O1339" s="1479">
        <v>659</v>
      </c>
      <c r="P1339" s="1479"/>
      <c r="Q1339" s="1142">
        <f t="shared" si="361"/>
        <v>659</v>
      </c>
      <c r="R1339" s="1143">
        <f>IFERROR(VLOOKUP(CONCATENATE(E1339,G1339),'LAC 103'!$A$12:$O$95,11,FALSE),0)</f>
        <v>5.936295312319726</v>
      </c>
      <c r="S1339" s="1144">
        <f>IFERROR(VLOOKUP(CONCATENATE($E1339,$G1339),'LAC 103'!$A$12:$O$95,12,FALSE),0)</f>
        <v>7.34</v>
      </c>
      <c r="T1339" s="1144">
        <f>IFERROR(VLOOKUP(CONCATENATE($E1339,$G1339),'LAC 103'!$A$12:$O$95,13,FALSE),0)</f>
        <v>4.59</v>
      </c>
      <c r="U1339" s="1144">
        <f>IFERROR(VLOOKUP(CONCATENATE($E1339,$G1339),'LAC 103'!$A$12:$O$95,14,FALSE),0)</f>
        <v>0</v>
      </c>
      <c r="V1339" s="1144">
        <f>IFERROR(VLOOKUP(CONCATENATE($E1339,$G1339),'LAC 103'!$A$12:$O$95,15,FALSE),0)</f>
        <v>0</v>
      </c>
      <c r="W1339" s="1145" t="str">
        <f>IFERROR(VLOOKUP(CONCATENATE($B1339,$N1339),'LAC 103'!$AI:$AQ,9,FALSE),"")</f>
        <v>Costs</v>
      </c>
      <c r="X1339" s="1146">
        <f t="shared" si="366"/>
        <v>5.936295312319726</v>
      </c>
      <c r="Y1339" s="1143">
        <f t="shared" si="377"/>
        <v>3912.0186108186995</v>
      </c>
      <c r="Z1339" s="1147">
        <f t="shared" si="367"/>
        <v>4837.0599999999995</v>
      </c>
      <c r="AA1339" s="1144">
        <f t="shared" si="368"/>
        <v>3024.81</v>
      </c>
      <c r="AB1339" s="1144">
        <f t="shared" si="369"/>
        <v>0</v>
      </c>
      <c r="AC1339" s="1144">
        <f t="shared" si="370"/>
        <v>0</v>
      </c>
      <c r="AD1339" s="1148">
        <f t="shared" si="362"/>
        <v>3912.0186108186995</v>
      </c>
      <c r="AE1339" s="1487">
        <v>0</v>
      </c>
      <c r="AF1339" s="1145">
        <f t="shared" si="371"/>
        <v>3912.0186108186995</v>
      </c>
      <c r="AG1339" s="1149">
        <f>IFERROR(VLOOKUP(CONCATENATE($L1339,$N1339),'Drop List'!$G$23:$K$87,2,FALSE),0)</f>
        <v>0.55000000000000004</v>
      </c>
      <c r="AH1339" s="1150">
        <f>IFERROR(VLOOKUP(CONCATENATE($L1339,$N1339),'Drop List'!$G$23:$K$87,3,FALSE),0)</f>
        <v>0.44999999999999996</v>
      </c>
      <c r="AI1339" s="1150">
        <f>IFERROR(VLOOKUP(CONCATENATE($L1339,$N1339),'Drop List'!$G$23:$K$87,4,FALSE),0)</f>
        <v>0</v>
      </c>
      <c r="AJ1339" s="1151">
        <f>IFERROR(VLOOKUP(CONCATENATE($L1339,$N1339),'Drop List'!$G$23:$K$87,5,FALSE),0)</f>
        <v>0</v>
      </c>
      <c r="AK1339" s="1152">
        <f t="shared" si="372"/>
        <v>2151.6102359502847</v>
      </c>
      <c r="AL1339" s="1153">
        <f t="shared" si="373"/>
        <v>1760.4083748684145</v>
      </c>
      <c r="AM1339" s="1153">
        <f t="shared" si="374"/>
        <v>0</v>
      </c>
      <c r="AN1339" s="1145">
        <f t="shared" si="375"/>
        <v>0</v>
      </c>
      <c r="AO1339" s="1154">
        <f t="shared" si="376"/>
        <v>3912.018610818699</v>
      </c>
      <c r="AP1339" s="1147">
        <f t="shared" si="363"/>
        <v>0</v>
      </c>
      <c r="AQ1339" s="1144">
        <f t="shared" si="364"/>
        <v>0</v>
      </c>
      <c r="AR1339" s="1146">
        <f t="shared" si="365"/>
        <v>3912.018610818699</v>
      </c>
    </row>
    <row r="1340" spans="1:44" x14ac:dyDescent="0.2">
      <c r="A1340" s="1141" t="str">
        <f t="shared" si="378"/>
        <v>1562</v>
      </c>
      <c r="B1340" s="1141" t="str">
        <f>IFERROR(VLOOKUP(A1340,'LAC 103'!A:C,3,FALSE),"")</f>
        <v>OP</v>
      </c>
      <c r="C1340" s="1478" t="str">
        <f>Info!$B$8</f>
        <v>00100</v>
      </c>
      <c r="D1340" s="1474" t="s">
        <v>256</v>
      </c>
      <c r="E1340" s="1474" t="s">
        <v>95</v>
      </c>
      <c r="F1340" s="1478" t="s">
        <v>432</v>
      </c>
      <c r="G1340" s="1478" t="s">
        <v>432</v>
      </c>
      <c r="H1340" s="1474" t="s">
        <v>983</v>
      </c>
      <c r="I1340" s="1478" t="s">
        <v>823</v>
      </c>
      <c r="J1340" s="1478" t="s">
        <v>1998</v>
      </c>
      <c r="K1340" s="1475" t="s">
        <v>847</v>
      </c>
      <c r="L1340" s="1474" t="s">
        <v>582</v>
      </c>
      <c r="M1340" s="1476" t="s">
        <v>840</v>
      </c>
      <c r="N1340" s="1477" t="s">
        <v>1700</v>
      </c>
      <c r="O1340" s="1479">
        <v>432</v>
      </c>
      <c r="P1340" s="1479"/>
      <c r="Q1340" s="1142">
        <f t="shared" ref="Q1340:Q1403" si="379">O1340+P1340</f>
        <v>432</v>
      </c>
      <c r="R1340" s="1143">
        <f>IFERROR(VLOOKUP(CONCATENATE(E1340,G1340),'LAC 103'!$A$12:$O$95,11,FALSE),0)</f>
        <v>5.936295312319726</v>
      </c>
      <c r="S1340" s="1144">
        <f>IFERROR(VLOOKUP(CONCATENATE($E1340,$G1340),'LAC 103'!$A$12:$O$95,12,FALSE),0)</f>
        <v>7.34</v>
      </c>
      <c r="T1340" s="1144">
        <f>IFERROR(VLOOKUP(CONCATENATE($E1340,$G1340),'LAC 103'!$A$12:$O$95,13,FALSE),0)</f>
        <v>4.59</v>
      </c>
      <c r="U1340" s="1144">
        <f>IFERROR(VLOOKUP(CONCATENATE($E1340,$G1340),'LAC 103'!$A$12:$O$95,14,FALSE),0)</f>
        <v>0</v>
      </c>
      <c r="V1340" s="1144">
        <f>IFERROR(VLOOKUP(CONCATENATE($E1340,$G1340),'LAC 103'!$A$12:$O$95,15,FALSE),0)</f>
        <v>0</v>
      </c>
      <c r="W1340" s="1145" t="str">
        <f>IFERROR(VLOOKUP(CONCATENATE($B1340,$N1340),'LAC 103'!$AI:$AQ,9,FALSE),"")</f>
        <v>P.C.</v>
      </c>
      <c r="X1340" s="1146">
        <f t="shared" si="366"/>
        <v>4.59</v>
      </c>
      <c r="Y1340" s="1143">
        <f t="shared" si="377"/>
        <v>2564.4795749221216</v>
      </c>
      <c r="Z1340" s="1147">
        <f t="shared" si="367"/>
        <v>3170.88</v>
      </c>
      <c r="AA1340" s="1144">
        <f t="shared" si="368"/>
        <v>1982.8799999999999</v>
      </c>
      <c r="AB1340" s="1144">
        <f t="shared" si="369"/>
        <v>0</v>
      </c>
      <c r="AC1340" s="1144">
        <f t="shared" si="370"/>
        <v>0</v>
      </c>
      <c r="AD1340" s="1148">
        <f t="shared" si="362"/>
        <v>1982.8799999999999</v>
      </c>
      <c r="AE1340" s="1487">
        <v>72121</v>
      </c>
      <c r="AF1340" s="1145">
        <f t="shared" si="371"/>
        <v>-70138.12</v>
      </c>
      <c r="AG1340" s="1149">
        <f>IFERROR(VLOOKUP(CONCATENATE($L1340,$N1340),'Drop List'!$G$23:$K$87,2,FALSE),0)</f>
        <v>0.55000000000000004</v>
      </c>
      <c r="AH1340" s="1150">
        <f>IFERROR(VLOOKUP(CONCATENATE($L1340,$N1340),'Drop List'!$G$23:$K$87,3,FALSE),0)</f>
        <v>0.44999999999999996</v>
      </c>
      <c r="AI1340" s="1150">
        <f>IFERROR(VLOOKUP(CONCATENATE($L1340,$N1340),'Drop List'!$G$23:$K$87,4,FALSE),0)</f>
        <v>0</v>
      </c>
      <c r="AJ1340" s="1151">
        <f>IFERROR(VLOOKUP(CONCATENATE($L1340,$N1340),'Drop List'!$G$23:$K$87,5,FALSE),0)</f>
        <v>0</v>
      </c>
      <c r="AK1340" s="1152">
        <f t="shared" si="372"/>
        <v>-38575.966</v>
      </c>
      <c r="AL1340" s="1153">
        <f t="shared" si="373"/>
        <v>-31562.153999999995</v>
      </c>
      <c r="AM1340" s="1153">
        <f t="shared" si="374"/>
        <v>0</v>
      </c>
      <c r="AN1340" s="1145">
        <f t="shared" si="375"/>
        <v>0</v>
      </c>
      <c r="AO1340" s="1154">
        <f t="shared" si="376"/>
        <v>-70138.12</v>
      </c>
      <c r="AP1340" s="1147">
        <f t="shared" si="363"/>
        <v>0</v>
      </c>
      <c r="AQ1340" s="1144">
        <f t="shared" si="364"/>
        <v>0</v>
      </c>
      <c r="AR1340" s="1146">
        <f t="shared" si="365"/>
        <v>-70138.12</v>
      </c>
    </row>
    <row r="1341" spans="1:44" x14ac:dyDescent="0.2">
      <c r="A1341" s="1141" t="str">
        <f t="shared" si="378"/>
        <v>1562</v>
      </c>
      <c r="B1341" s="1141" t="str">
        <f>IFERROR(VLOOKUP(A1341,'LAC 103'!A:C,3,FALSE),"")</f>
        <v>OP</v>
      </c>
      <c r="C1341" s="1478" t="str">
        <f>Info!$B$8</f>
        <v>00100</v>
      </c>
      <c r="D1341" s="1474" t="s">
        <v>256</v>
      </c>
      <c r="E1341" s="1474" t="s">
        <v>95</v>
      </c>
      <c r="F1341" s="1478" t="s">
        <v>432</v>
      </c>
      <c r="G1341" s="1478" t="s">
        <v>432</v>
      </c>
      <c r="H1341" s="1474" t="s">
        <v>983</v>
      </c>
      <c r="I1341" s="1478" t="s">
        <v>823</v>
      </c>
      <c r="J1341" s="1478" t="s">
        <v>1998</v>
      </c>
      <c r="K1341" s="1475" t="s">
        <v>847</v>
      </c>
      <c r="L1341" s="1474" t="s">
        <v>582</v>
      </c>
      <c r="M1341" s="1476" t="s">
        <v>842</v>
      </c>
      <c r="N1341" s="1477" t="s">
        <v>1692</v>
      </c>
      <c r="O1341" s="1479">
        <v>1134</v>
      </c>
      <c r="P1341" s="1479"/>
      <c r="Q1341" s="1142">
        <f t="shared" si="379"/>
        <v>1134</v>
      </c>
      <c r="R1341" s="1143">
        <f>IFERROR(VLOOKUP(CONCATENATE(E1341,G1341),'LAC 103'!$A$12:$O$95,11,FALSE),0)</f>
        <v>5.936295312319726</v>
      </c>
      <c r="S1341" s="1144">
        <f>IFERROR(VLOOKUP(CONCATENATE($E1341,$G1341),'LAC 103'!$A$12:$O$95,12,FALSE),0)</f>
        <v>7.34</v>
      </c>
      <c r="T1341" s="1144">
        <f>IFERROR(VLOOKUP(CONCATENATE($E1341,$G1341),'LAC 103'!$A$12:$O$95,13,FALSE),0)</f>
        <v>4.59</v>
      </c>
      <c r="U1341" s="1144">
        <f>IFERROR(VLOOKUP(CONCATENATE($E1341,$G1341),'LAC 103'!$A$12:$O$95,14,FALSE),0)</f>
        <v>0</v>
      </c>
      <c r="V1341" s="1144">
        <f>IFERROR(VLOOKUP(CONCATENATE($E1341,$G1341),'LAC 103'!$A$12:$O$95,15,FALSE),0)</f>
        <v>0</v>
      </c>
      <c r="W1341" s="1145" t="str">
        <f>IFERROR(VLOOKUP(CONCATENATE($B1341,$N1341),'LAC 103'!$AI:$AQ,9,FALSE),"")</f>
        <v>Costs</v>
      </c>
      <c r="X1341" s="1146">
        <f t="shared" si="366"/>
        <v>5.936295312319726</v>
      </c>
      <c r="Y1341" s="1143">
        <f t="shared" si="377"/>
        <v>6731.7588841705692</v>
      </c>
      <c r="Z1341" s="1147">
        <f t="shared" si="367"/>
        <v>8323.56</v>
      </c>
      <c r="AA1341" s="1144">
        <f t="shared" si="368"/>
        <v>5205.0599999999995</v>
      </c>
      <c r="AB1341" s="1144">
        <f t="shared" si="369"/>
        <v>0</v>
      </c>
      <c r="AC1341" s="1144">
        <f t="shared" si="370"/>
        <v>0</v>
      </c>
      <c r="AD1341" s="1148">
        <f t="shared" si="362"/>
        <v>6731.7588841705692</v>
      </c>
      <c r="AE1341" s="1487">
        <v>0</v>
      </c>
      <c r="AF1341" s="1145">
        <f t="shared" si="371"/>
        <v>6731.7588841705692</v>
      </c>
      <c r="AG1341" s="1149">
        <f>IFERROR(VLOOKUP(CONCATENATE($L1341,$N1341),'Drop List'!$G$23:$K$87,2,FALSE),0)</f>
        <v>0.56200000000000006</v>
      </c>
      <c r="AH1341" s="1150">
        <f>IFERROR(VLOOKUP(CONCATENATE($L1341,$N1341),'Drop List'!$G$23:$K$87,3,FALSE),0)</f>
        <v>0.43799999999999994</v>
      </c>
      <c r="AI1341" s="1150">
        <f>IFERROR(VLOOKUP(CONCATENATE($L1341,$N1341),'Drop List'!$G$23:$K$87,4,FALSE),0)</f>
        <v>0</v>
      </c>
      <c r="AJ1341" s="1151">
        <f>IFERROR(VLOOKUP(CONCATENATE($L1341,$N1341),'Drop List'!$G$23:$K$87,5,FALSE),0)</f>
        <v>0</v>
      </c>
      <c r="AK1341" s="1152">
        <f t="shared" si="372"/>
        <v>3783.2484929038601</v>
      </c>
      <c r="AL1341" s="1153">
        <f t="shared" si="373"/>
        <v>2948.5103912667091</v>
      </c>
      <c r="AM1341" s="1153">
        <f t="shared" si="374"/>
        <v>0</v>
      </c>
      <c r="AN1341" s="1145">
        <f t="shared" si="375"/>
        <v>0</v>
      </c>
      <c r="AO1341" s="1154">
        <f t="shared" si="376"/>
        <v>6731.7588841705692</v>
      </c>
      <c r="AP1341" s="1147">
        <f t="shared" si="363"/>
        <v>0</v>
      </c>
      <c r="AQ1341" s="1144">
        <f t="shared" si="364"/>
        <v>0</v>
      </c>
      <c r="AR1341" s="1146">
        <f t="shared" si="365"/>
        <v>6731.7588841705692</v>
      </c>
    </row>
    <row r="1342" spans="1:44" x14ac:dyDescent="0.2">
      <c r="A1342" s="1141" t="str">
        <f t="shared" si="378"/>
        <v>1562</v>
      </c>
      <c r="B1342" s="1141" t="str">
        <f>IFERROR(VLOOKUP(A1342,'LAC 103'!A:C,3,FALSE),"")</f>
        <v>OP</v>
      </c>
      <c r="C1342" s="1478" t="str">
        <f>Info!$B$8</f>
        <v>00100</v>
      </c>
      <c r="D1342" s="1474" t="s">
        <v>256</v>
      </c>
      <c r="E1342" s="1474" t="s">
        <v>95</v>
      </c>
      <c r="F1342" s="1478" t="s">
        <v>432</v>
      </c>
      <c r="G1342" s="1478" t="s">
        <v>432</v>
      </c>
      <c r="H1342" s="1474" t="s">
        <v>983</v>
      </c>
      <c r="I1342" s="1478" t="s">
        <v>823</v>
      </c>
      <c r="J1342" s="1478" t="s">
        <v>1998</v>
      </c>
      <c r="K1342" s="1475" t="s">
        <v>847</v>
      </c>
      <c r="L1342" s="1474" t="s">
        <v>582</v>
      </c>
      <c r="M1342" s="1476" t="s">
        <v>1698</v>
      </c>
      <c r="N1342" s="1477" t="s">
        <v>1693</v>
      </c>
      <c r="O1342" s="1479">
        <v>477</v>
      </c>
      <c r="P1342" s="1479"/>
      <c r="Q1342" s="1142">
        <f t="shared" si="379"/>
        <v>477</v>
      </c>
      <c r="R1342" s="1143">
        <f>IFERROR(VLOOKUP(CONCATENATE(E1342,G1342),'LAC 103'!$A$12:$O$95,11,FALSE),0)</f>
        <v>5.936295312319726</v>
      </c>
      <c r="S1342" s="1144">
        <f>IFERROR(VLOOKUP(CONCATENATE($E1342,$G1342),'LAC 103'!$A$12:$O$95,12,FALSE),0)</f>
        <v>7.34</v>
      </c>
      <c r="T1342" s="1144">
        <f>IFERROR(VLOOKUP(CONCATENATE($E1342,$G1342),'LAC 103'!$A$12:$O$95,13,FALSE),0)</f>
        <v>4.59</v>
      </c>
      <c r="U1342" s="1144">
        <f>IFERROR(VLOOKUP(CONCATENATE($E1342,$G1342),'LAC 103'!$A$12:$O$95,14,FALSE),0)</f>
        <v>0</v>
      </c>
      <c r="V1342" s="1144">
        <f>IFERROR(VLOOKUP(CONCATENATE($E1342,$G1342),'LAC 103'!$A$12:$O$95,15,FALSE),0)</f>
        <v>0</v>
      </c>
      <c r="W1342" s="1145" t="str">
        <f>IFERROR(VLOOKUP(CONCATENATE($B1342,$N1342),'LAC 103'!$AI:$AQ,9,FALSE),"")</f>
        <v>Costs</v>
      </c>
      <c r="X1342" s="1146">
        <f t="shared" si="366"/>
        <v>5.936295312319726</v>
      </c>
      <c r="Y1342" s="1143">
        <f t="shared" si="377"/>
        <v>2831.6128639765093</v>
      </c>
      <c r="Z1342" s="1147">
        <f t="shared" si="367"/>
        <v>3501.18</v>
      </c>
      <c r="AA1342" s="1144">
        <f t="shared" si="368"/>
        <v>2189.4299999999998</v>
      </c>
      <c r="AB1342" s="1144">
        <f t="shared" si="369"/>
        <v>0</v>
      </c>
      <c r="AC1342" s="1144">
        <f t="shared" si="370"/>
        <v>0</v>
      </c>
      <c r="AD1342" s="1148">
        <f t="shared" si="362"/>
        <v>2831.6128639765093</v>
      </c>
      <c r="AE1342" s="1487">
        <v>0</v>
      </c>
      <c r="AF1342" s="1145">
        <f t="shared" si="371"/>
        <v>2831.6128639765093</v>
      </c>
      <c r="AG1342" s="1149">
        <f>IFERROR(VLOOKUP(CONCATENATE($L1342,$N1342),'Drop List'!$G$23:$K$87,2,FALSE),0)</f>
        <v>0.56200000000000006</v>
      </c>
      <c r="AH1342" s="1150">
        <f>IFERROR(VLOOKUP(CONCATENATE($L1342,$N1342),'Drop List'!$G$23:$K$87,3,FALSE),0)</f>
        <v>0.43799999999999994</v>
      </c>
      <c r="AI1342" s="1150">
        <f>IFERROR(VLOOKUP(CONCATENATE($L1342,$N1342),'Drop List'!$G$23:$K$87,4,FALSE),0)</f>
        <v>0</v>
      </c>
      <c r="AJ1342" s="1151">
        <f>IFERROR(VLOOKUP(CONCATENATE($L1342,$N1342),'Drop List'!$G$23:$K$87,5,FALSE),0)</f>
        <v>0</v>
      </c>
      <c r="AK1342" s="1152">
        <f t="shared" si="372"/>
        <v>1591.3664295547983</v>
      </c>
      <c r="AL1342" s="1153">
        <f t="shared" si="373"/>
        <v>1240.246434421711</v>
      </c>
      <c r="AM1342" s="1153">
        <f t="shared" si="374"/>
        <v>0</v>
      </c>
      <c r="AN1342" s="1145">
        <f t="shared" si="375"/>
        <v>0</v>
      </c>
      <c r="AO1342" s="1154">
        <f t="shared" si="376"/>
        <v>2831.6128639765093</v>
      </c>
      <c r="AP1342" s="1147">
        <f t="shared" si="363"/>
        <v>0</v>
      </c>
      <c r="AQ1342" s="1144">
        <f t="shared" si="364"/>
        <v>0</v>
      </c>
      <c r="AR1342" s="1146">
        <f t="shared" si="365"/>
        <v>2831.6128639765093</v>
      </c>
    </row>
    <row r="1343" spans="1:44" x14ac:dyDescent="0.2">
      <c r="A1343" s="1141" t="str">
        <f t="shared" si="378"/>
        <v>1562</v>
      </c>
      <c r="B1343" s="1141" t="str">
        <f>IFERROR(VLOOKUP(A1343,'LAC 103'!A:C,3,FALSE),"")</f>
        <v>OP</v>
      </c>
      <c r="C1343" s="1478" t="str">
        <f>Info!$B$8</f>
        <v>00100</v>
      </c>
      <c r="D1343" s="1474" t="s">
        <v>256</v>
      </c>
      <c r="E1343" s="1474" t="s">
        <v>95</v>
      </c>
      <c r="F1343" s="1478" t="s">
        <v>432</v>
      </c>
      <c r="G1343" s="1478" t="s">
        <v>432</v>
      </c>
      <c r="H1343" s="1474" t="s">
        <v>983</v>
      </c>
      <c r="I1343" s="1478" t="s">
        <v>823</v>
      </c>
      <c r="J1343" s="1478" t="s">
        <v>1998</v>
      </c>
      <c r="K1343" s="1475" t="s">
        <v>848</v>
      </c>
      <c r="L1343" s="1474" t="s">
        <v>45</v>
      </c>
      <c r="M1343" s="1476" t="s">
        <v>1699</v>
      </c>
      <c r="N1343" s="1477" t="s">
        <v>1694</v>
      </c>
      <c r="O1343" s="1479">
        <v>327</v>
      </c>
      <c r="P1343" s="1479"/>
      <c r="Q1343" s="1142">
        <f t="shared" si="379"/>
        <v>327</v>
      </c>
      <c r="R1343" s="1143">
        <f>IFERROR(VLOOKUP(CONCATENATE(E1343,G1343),'LAC 103'!$A$12:$O$95,11,FALSE),0)</f>
        <v>5.936295312319726</v>
      </c>
      <c r="S1343" s="1144">
        <f>IFERROR(VLOOKUP(CONCATENATE($E1343,$G1343),'LAC 103'!$A$12:$O$95,12,FALSE),0)</f>
        <v>7.34</v>
      </c>
      <c r="T1343" s="1144">
        <f>IFERROR(VLOOKUP(CONCATENATE($E1343,$G1343),'LAC 103'!$A$12:$O$95,13,FALSE),0)</f>
        <v>4.59</v>
      </c>
      <c r="U1343" s="1144">
        <f>IFERROR(VLOOKUP(CONCATENATE($E1343,$G1343),'LAC 103'!$A$12:$O$95,14,FALSE),0)</f>
        <v>0</v>
      </c>
      <c r="V1343" s="1144">
        <f>IFERROR(VLOOKUP(CONCATENATE($E1343,$G1343),'LAC 103'!$A$12:$O$95,15,FALSE),0)</f>
        <v>0</v>
      </c>
      <c r="W1343" s="1145" t="str">
        <f>IFERROR(VLOOKUP(CONCATENATE($B1343,$N1343),'LAC 103'!$AI:$AQ,9,FALSE),"")</f>
        <v>Costs</v>
      </c>
      <c r="X1343" s="1146">
        <f t="shared" si="366"/>
        <v>5.936295312319726</v>
      </c>
      <c r="Y1343" s="1143">
        <f t="shared" si="377"/>
        <v>1941.1685671285504</v>
      </c>
      <c r="Z1343" s="1147">
        <f t="shared" si="367"/>
        <v>2400.1799999999998</v>
      </c>
      <c r="AA1343" s="1144">
        <f t="shared" si="368"/>
        <v>1500.93</v>
      </c>
      <c r="AB1343" s="1144">
        <f t="shared" si="369"/>
        <v>0</v>
      </c>
      <c r="AC1343" s="1144">
        <f t="shared" si="370"/>
        <v>0</v>
      </c>
      <c r="AD1343" s="1148">
        <f t="shared" si="362"/>
        <v>1941.1685671285504</v>
      </c>
      <c r="AE1343" s="1487">
        <v>0</v>
      </c>
      <c r="AF1343" s="1145">
        <f t="shared" si="371"/>
        <v>1941.1685671285504</v>
      </c>
      <c r="AG1343" s="1149">
        <f>IFERROR(VLOOKUP(CONCATENATE($L1343,$N1343),'Drop List'!$G$23:$K$87,2,FALSE),0)</f>
        <v>0.69340000000000002</v>
      </c>
      <c r="AH1343" s="1150">
        <f>IFERROR(VLOOKUP(CONCATENATE($L1343,$N1343),'Drop List'!$G$23:$K$87,3,FALSE),0)</f>
        <v>0.30659999999999998</v>
      </c>
      <c r="AI1343" s="1150">
        <f>IFERROR(VLOOKUP(CONCATENATE($L1343,$N1343),'Drop List'!$G$23:$K$87,4,FALSE),0)</f>
        <v>0</v>
      </c>
      <c r="AJ1343" s="1151">
        <f>IFERROR(VLOOKUP(CONCATENATE($L1343,$N1343),'Drop List'!$G$23:$K$87,5,FALSE),0)</f>
        <v>0</v>
      </c>
      <c r="AK1343" s="1152">
        <f t="shared" si="372"/>
        <v>1346.0062844469369</v>
      </c>
      <c r="AL1343" s="1153">
        <f t="shared" si="373"/>
        <v>595.16228268161353</v>
      </c>
      <c r="AM1343" s="1153">
        <f t="shared" si="374"/>
        <v>0</v>
      </c>
      <c r="AN1343" s="1145">
        <f t="shared" si="375"/>
        <v>0</v>
      </c>
      <c r="AO1343" s="1154">
        <f t="shared" si="376"/>
        <v>1941.1685671285504</v>
      </c>
      <c r="AP1343" s="1147">
        <f t="shared" si="363"/>
        <v>0</v>
      </c>
      <c r="AQ1343" s="1144">
        <f t="shared" si="364"/>
        <v>0</v>
      </c>
      <c r="AR1343" s="1146">
        <f t="shared" si="365"/>
        <v>1941.1685671285504</v>
      </c>
    </row>
    <row r="1344" spans="1:44" x14ac:dyDescent="0.2">
      <c r="A1344" s="1141" t="str">
        <f t="shared" si="378"/>
        <v>1562</v>
      </c>
      <c r="B1344" s="1141" t="str">
        <f>IFERROR(VLOOKUP(A1344,'LAC 103'!A:C,3,FALSE),"")</f>
        <v>OP</v>
      </c>
      <c r="C1344" s="1478" t="str">
        <f>Info!$B$8</f>
        <v>00100</v>
      </c>
      <c r="D1344" s="1474" t="s">
        <v>256</v>
      </c>
      <c r="E1344" s="1474" t="s">
        <v>95</v>
      </c>
      <c r="F1344" s="1478" t="s">
        <v>432</v>
      </c>
      <c r="G1344" s="1478" t="s">
        <v>432</v>
      </c>
      <c r="H1344" s="1474" t="s">
        <v>983</v>
      </c>
      <c r="I1344" s="1478" t="s">
        <v>823</v>
      </c>
      <c r="J1344" s="1478" t="s">
        <v>1998</v>
      </c>
      <c r="K1344" s="1475" t="s">
        <v>848</v>
      </c>
      <c r="L1344" s="1474" t="s">
        <v>45</v>
      </c>
      <c r="M1344" s="1476" t="s">
        <v>841</v>
      </c>
      <c r="N1344" s="1477" t="s">
        <v>1695</v>
      </c>
      <c r="O1344" s="1479">
        <v>101</v>
      </c>
      <c r="P1344" s="1479"/>
      <c r="Q1344" s="1142">
        <f t="shared" si="379"/>
        <v>101</v>
      </c>
      <c r="R1344" s="1143">
        <f>IFERROR(VLOOKUP(CONCATENATE(E1344,G1344),'LAC 103'!$A$12:$O$95,11,FALSE),0)</f>
        <v>5.936295312319726</v>
      </c>
      <c r="S1344" s="1144">
        <f>IFERROR(VLOOKUP(CONCATENATE($E1344,$G1344),'LAC 103'!$A$12:$O$95,12,FALSE),0)</f>
        <v>7.34</v>
      </c>
      <c r="T1344" s="1144">
        <f>IFERROR(VLOOKUP(CONCATENATE($E1344,$G1344),'LAC 103'!$A$12:$O$95,13,FALSE),0)</f>
        <v>4.59</v>
      </c>
      <c r="U1344" s="1144">
        <f>IFERROR(VLOOKUP(CONCATENATE($E1344,$G1344),'LAC 103'!$A$12:$O$95,14,FALSE),0)</f>
        <v>0</v>
      </c>
      <c r="V1344" s="1144">
        <f>IFERROR(VLOOKUP(CONCATENATE($E1344,$G1344),'LAC 103'!$A$12:$O$95,15,FALSE),0)</f>
        <v>0</v>
      </c>
      <c r="W1344" s="1145" t="str">
        <f>IFERROR(VLOOKUP(CONCATENATE($B1344,$N1344),'LAC 103'!$AI:$AQ,9,FALSE),"")</f>
        <v>Costs</v>
      </c>
      <c r="X1344" s="1146">
        <f t="shared" si="366"/>
        <v>5.936295312319726</v>
      </c>
      <c r="Y1344" s="1143">
        <f t="shared" si="377"/>
        <v>599.56582654429235</v>
      </c>
      <c r="Z1344" s="1147">
        <f t="shared" si="367"/>
        <v>741.34</v>
      </c>
      <c r="AA1344" s="1144">
        <f t="shared" si="368"/>
        <v>463.59</v>
      </c>
      <c r="AB1344" s="1144">
        <f t="shared" si="369"/>
        <v>0</v>
      </c>
      <c r="AC1344" s="1144">
        <f t="shared" si="370"/>
        <v>0</v>
      </c>
      <c r="AD1344" s="1148">
        <f t="shared" si="362"/>
        <v>599.56582654429235</v>
      </c>
      <c r="AE1344" s="1487">
        <v>0</v>
      </c>
      <c r="AF1344" s="1145">
        <f t="shared" si="371"/>
        <v>599.56582654429235</v>
      </c>
      <c r="AG1344" s="1149">
        <f>IFERROR(VLOOKUP(CONCATENATE($L1344,$N1344),'Drop List'!$G$23:$K$87,2,FALSE),0)</f>
        <v>0.68500000000000005</v>
      </c>
      <c r="AH1344" s="1150">
        <f>IFERROR(VLOOKUP(CONCATENATE($L1344,$N1344),'Drop List'!$G$23:$K$87,3,FALSE),0)</f>
        <v>0.31499999999999995</v>
      </c>
      <c r="AI1344" s="1150">
        <f>IFERROR(VLOOKUP(CONCATENATE($L1344,$N1344),'Drop List'!$G$23:$K$87,4,FALSE),0)</f>
        <v>0</v>
      </c>
      <c r="AJ1344" s="1151">
        <f>IFERROR(VLOOKUP(CONCATENATE($L1344,$N1344),'Drop List'!$G$23:$K$87,5,FALSE),0)</f>
        <v>0</v>
      </c>
      <c r="AK1344" s="1152">
        <f t="shared" si="372"/>
        <v>410.70259118284031</v>
      </c>
      <c r="AL1344" s="1153">
        <f t="shared" si="373"/>
        <v>188.86323536145207</v>
      </c>
      <c r="AM1344" s="1153">
        <f t="shared" si="374"/>
        <v>0</v>
      </c>
      <c r="AN1344" s="1145">
        <f t="shared" si="375"/>
        <v>0</v>
      </c>
      <c r="AO1344" s="1154">
        <f t="shared" si="376"/>
        <v>599.56582654429235</v>
      </c>
      <c r="AP1344" s="1147">
        <f t="shared" si="363"/>
        <v>0</v>
      </c>
      <c r="AQ1344" s="1144">
        <f t="shared" si="364"/>
        <v>0</v>
      </c>
      <c r="AR1344" s="1146">
        <f t="shared" si="365"/>
        <v>599.56582654429235</v>
      </c>
    </row>
    <row r="1345" spans="1:44" x14ac:dyDescent="0.2">
      <c r="A1345" s="1141" t="str">
        <f t="shared" si="378"/>
        <v>1562</v>
      </c>
      <c r="B1345" s="1141" t="str">
        <f>IFERROR(VLOOKUP(A1345,'LAC 103'!A:C,3,FALSE),"")</f>
        <v>OP</v>
      </c>
      <c r="C1345" s="1478" t="str">
        <f>Info!$B$8</f>
        <v>00100</v>
      </c>
      <c r="D1345" s="1474" t="s">
        <v>256</v>
      </c>
      <c r="E1345" s="1474" t="s">
        <v>95</v>
      </c>
      <c r="F1345" s="1478" t="s">
        <v>432</v>
      </c>
      <c r="G1345" s="1478" t="s">
        <v>432</v>
      </c>
      <c r="H1345" s="1474" t="s">
        <v>983</v>
      </c>
      <c r="I1345" s="1478" t="s">
        <v>823</v>
      </c>
      <c r="J1345" s="1478" t="s">
        <v>1998</v>
      </c>
      <c r="K1345" s="1475" t="s">
        <v>848</v>
      </c>
      <c r="L1345" s="1474" t="s">
        <v>45</v>
      </c>
      <c r="M1345" s="1476" t="s">
        <v>840</v>
      </c>
      <c r="N1345" s="1477" t="s">
        <v>1700</v>
      </c>
      <c r="O1345" s="1479">
        <v>119</v>
      </c>
      <c r="P1345" s="1479"/>
      <c r="Q1345" s="1142">
        <f t="shared" si="379"/>
        <v>119</v>
      </c>
      <c r="R1345" s="1143">
        <f>IFERROR(VLOOKUP(CONCATENATE(E1345,G1345),'LAC 103'!$A$12:$O$95,11,FALSE),0)</f>
        <v>5.936295312319726</v>
      </c>
      <c r="S1345" s="1144">
        <f>IFERROR(VLOOKUP(CONCATENATE($E1345,$G1345),'LAC 103'!$A$12:$O$95,12,FALSE),0)</f>
        <v>7.34</v>
      </c>
      <c r="T1345" s="1144">
        <f>IFERROR(VLOOKUP(CONCATENATE($E1345,$G1345),'LAC 103'!$A$12:$O$95,13,FALSE),0)</f>
        <v>4.59</v>
      </c>
      <c r="U1345" s="1144">
        <f>IFERROR(VLOOKUP(CONCATENATE($E1345,$G1345),'LAC 103'!$A$12:$O$95,14,FALSE),0)</f>
        <v>0</v>
      </c>
      <c r="V1345" s="1144">
        <f>IFERROR(VLOOKUP(CONCATENATE($E1345,$G1345),'LAC 103'!$A$12:$O$95,15,FALSE),0)</f>
        <v>0</v>
      </c>
      <c r="W1345" s="1145" t="str">
        <f>IFERROR(VLOOKUP(CONCATENATE($B1345,$N1345),'LAC 103'!$AI:$AQ,9,FALSE),"")</f>
        <v>P.C.</v>
      </c>
      <c r="X1345" s="1146">
        <f t="shared" si="366"/>
        <v>4.59</v>
      </c>
      <c r="Y1345" s="1143">
        <f t="shared" si="377"/>
        <v>706.41914216604744</v>
      </c>
      <c r="Z1345" s="1147">
        <f t="shared" si="367"/>
        <v>873.46</v>
      </c>
      <c r="AA1345" s="1144">
        <f t="shared" si="368"/>
        <v>546.21</v>
      </c>
      <c r="AB1345" s="1144">
        <f t="shared" si="369"/>
        <v>0</v>
      </c>
      <c r="AC1345" s="1144">
        <f t="shared" si="370"/>
        <v>0</v>
      </c>
      <c r="AD1345" s="1148">
        <f t="shared" si="362"/>
        <v>546.21</v>
      </c>
      <c r="AE1345" s="1487">
        <v>0</v>
      </c>
      <c r="AF1345" s="1145">
        <f t="shared" si="371"/>
        <v>546.21</v>
      </c>
      <c r="AG1345" s="1149">
        <f>IFERROR(VLOOKUP(CONCATENATE($L1345,$N1345),'Drop List'!$G$23:$K$87,2,FALSE),0)</f>
        <v>0.68500000000000005</v>
      </c>
      <c r="AH1345" s="1150">
        <f>IFERROR(VLOOKUP(CONCATENATE($L1345,$N1345),'Drop List'!$G$23:$K$87,3,FALSE),0)</f>
        <v>0.31499999999999995</v>
      </c>
      <c r="AI1345" s="1150">
        <f>IFERROR(VLOOKUP(CONCATENATE($L1345,$N1345),'Drop List'!$G$23:$K$87,4,FALSE),0)</f>
        <v>0</v>
      </c>
      <c r="AJ1345" s="1151">
        <f>IFERROR(VLOOKUP(CONCATENATE($L1345,$N1345),'Drop List'!$G$23:$K$87,5,FALSE),0)</f>
        <v>0</v>
      </c>
      <c r="AK1345" s="1152">
        <f t="shared" si="372"/>
        <v>374.15385000000003</v>
      </c>
      <c r="AL1345" s="1153">
        <f t="shared" si="373"/>
        <v>172.05614999999997</v>
      </c>
      <c r="AM1345" s="1153">
        <f t="shared" si="374"/>
        <v>0</v>
      </c>
      <c r="AN1345" s="1145">
        <f t="shared" si="375"/>
        <v>0</v>
      </c>
      <c r="AO1345" s="1154">
        <f t="shared" si="376"/>
        <v>546.21</v>
      </c>
      <c r="AP1345" s="1147">
        <f t="shared" si="363"/>
        <v>0</v>
      </c>
      <c r="AQ1345" s="1144">
        <f t="shared" si="364"/>
        <v>0</v>
      </c>
      <c r="AR1345" s="1146">
        <f t="shared" si="365"/>
        <v>546.21</v>
      </c>
    </row>
    <row r="1346" spans="1:44" x14ac:dyDescent="0.2">
      <c r="A1346" s="1141" t="str">
        <f t="shared" si="378"/>
        <v>1562</v>
      </c>
      <c r="B1346" s="1141" t="str">
        <f>IFERROR(VLOOKUP(A1346,'LAC 103'!A:C,3,FALSE),"")</f>
        <v>OP</v>
      </c>
      <c r="C1346" s="1478" t="str">
        <f>Info!$B$8</f>
        <v>00100</v>
      </c>
      <c r="D1346" s="1474" t="s">
        <v>256</v>
      </c>
      <c r="E1346" s="1474" t="s">
        <v>95</v>
      </c>
      <c r="F1346" s="1478" t="s">
        <v>432</v>
      </c>
      <c r="G1346" s="1478" t="s">
        <v>432</v>
      </c>
      <c r="H1346" s="1474" t="s">
        <v>983</v>
      </c>
      <c r="I1346" s="1478" t="s">
        <v>823</v>
      </c>
      <c r="J1346" s="1478" t="s">
        <v>1998</v>
      </c>
      <c r="K1346" s="1475" t="s">
        <v>848</v>
      </c>
      <c r="L1346" s="1474" t="s">
        <v>45</v>
      </c>
      <c r="M1346" s="1476" t="s">
        <v>842</v>
      </c>
      <c r="N1346" s="1477" t="s">
        <v>1692</v>
      </c>
      <c r="O1346" s="1479">
        <v>644</v>
      </c>
      <c r="P1346" s="1479"/>
      <c r="Q1346" s="1142">
        <f t="shared" si="379"/>
        <v>644</v>
      </c>
      <c r="R1346" s="1143">
        <f>IFERROR(VLOOKUP(CONCATENATE(E1346,G1346),'LAC 103'!$A$12:$O$95,11,FALSE),0)</f>
        <v>5.936295312319726</v>
      </c>
      <c r="S1346" s="1144">
        <f>IFERROR(VLOOKUP(CONCATENATE($E1346,$G1346),'LAC 103'!$A$12:$O$95,12,FALSE),0)</f>
        <v>7.34</v>
      </c>
      <c r="T1346" s="1144">
        <f>IFERROR(VLOOKUP(CONCATENATE($E1346,$G1346),'LAC 103'!$A$12:$O$95,13,FALSE),0)</f>
        <v>4.59</v>
      </c>
      <c r="U1346" s="1144">
        <f>IFERROR(VLOOKUP(CONCATENATE($E1346,$G1346),'LAC 103'!$A$12:$O$95,14,FALSE),0)</f>
        <v>0</v>
      </c>
      <c r="V1346" s="1144">
        <f>IFERROR(VLOOKUP(CONCATENATE($E1346,$G1346),'LAC 103'!$A$12:$O$95,15,FALSE),0)</f>
        <v>0</v>
      </c>
      <c r="W1346" s="1145" t="str">
        <f>IFERROR(VLOOKUP(CONCATENATE($B1346,$N1346),'LAC 103'!$AI:$AQ,9,FALSE),"")</f>
        <v>Costs</v>
      </c>
      <c r="X1346" s="1146">
        <f t="shared" si="366"/>
        <v>5.936295312319726</v>
      </c>
      <c r="Y1346" s="1143">
        <f t="shared" si="377"/>
        <v>3822.9741811339036</v>
      </c>
      <c r="Z1346" s="1147">
        <f t="shared" si="367"/>
        <v>4726.96</v>
      </c>
      <c r="AA1346" s="1144">
        <f t="shared" si="368"/>
        <v>2955.96</v>
      </c>
      <c r="AB1346" s="1144">
        <f t="shared" si="369"/>
        <v>0</v>
      </c>
      <c r="AC1346" s="1144">
        <f t="shared" si="370"/>
        <v>0</v>
      </c>
      <c r="AD1346" s="1148">
        <f t="shared" si="362"/>
        <v>3822.9741811339036</v>
      </c>
      <c r="AE1346" s="1487">
        <v>0</v>
      </c>
      <c r="AF1346" s="1145">
        <f t="shared" si="371"/>
        <v>3822.9741811339036</v>
      </c>
      <c r="AG1346" s="1149">
        <f>IFERROR(VLOOKUP(CONCATENATE($L1346,$N1346),'Drop List'!$G$23:$K$87,2,FALSE),0)</f>
        <v>0.69340000000000002</v>
      </c>
      <c r="AH1346" s="1150">
        <f>IFERROR(VLOOKUP(CONCATENATE($L1346,$N1346),'Drop List'!$G$23:$K$87,3,FALSE),0)</f>
        <v>0.30659999999999998</v>
      </c>
      <c r="AI1346" s="1150">
        <f>IFERROR(VLOOKUP(CONCATENATE($L1346,$N1346),'Drop List'!$G$23:$K$87,4,FALSE),0)</f>
        <v>0</v>
      </c>
      <c r="AJ1346" s="1151">
        <f>IFERROR(VLOOKUP(CONCATENATE($L1346,$N1346),'Drop List'!$G$23:$K$87,5,FALSE),0)</f>
        <v>0</v>
      </c>
      <c r="AK1346" s="1152">
        <f t="shared" si="372"/>
        <v>2650.8502971982489</v>
      </c>
      <c r="AL1346" s="1153">
        <f t="shared" si="373"/>
        <v>1172.1238839356547</v>
      </c>
      <c r="AM1346" s="1153">
        <f t="shared" si="374"/>
        <v>0</v>
      </c>
      <c r="AN1346" s="1145">
        <f t="shared" si="375"/>
        <v>0</v>
      </c>
      <c r="AO1346" s="1154">
        <f t="shared" si="376"/>
        <v>3822.9741811339036</v>
      </c>
      <c r="AP1346" s="1147">
        <f t="shared" si="363"/>
        <v>0</v>
      </c>
      <c r="AQ1346" s="1144">
        <f t="shared" si="364"/>
        <v>0</v>
      </c>
      <c r="AR1346" s="1146">
        <f t="shared" si="365"/>
        <v>3822.9741811339036</v>
      </c>
    </row>
    <row r="1347" spans="1:44" x14ac:dyDescent="0.2">
      <c r="A1347" s="1141" t="str">
        <f t="shared" si="378"/>
        <v>1562</v>
      </c>
      <c r="B1347" s="1141" t="str">
        <f>IFERROR(VLOOKUP(A1347,'LAC 103'!A:C,3,FALSE),"")</f>
        <v>OP</v>
      </c>
      <c r="C1347" s="1478" t="str">
        <f>Info!$B$8</f>
        <v>00100</v>
      </c>
      <c r="D1347" s="1474" t="s">
        <v>256</v>
      </c>
      <c r="E1347" s="1474" t="s">
        <v>95</v>
      </c>
      <c r="F1347" s="1478" t="s">
        <v>432</v>
      </c>
      <c r="G1347" s="1478" t="s">
        <v>432</v>
      </c>
      <c r="H1347" s="1474" t="s">
        <v>983</v>
      </c>
      <c r="I1347" s="1478" t="s">
        <v>823</v>
      </c>
      <c r="J1347" s="1478" t="s">
        <v>1998</v>
      </c>
      <c r="K1347" s="1475" t="s">
        <v>848</v>
      </c>
      <c r="L1347" s="1474" t="s">
        <v>45</v>
      </c>
      <c r="M1347" s="1476" t="s">
        <v>1698</v>
      </c>
      <c r="N1347" s="1477" t="s">
        <v>1693</v>
      </c>
      <c r="O1347" s="1479">
        <v>484</v>
      </c>
      <c r="P1347" s="1479"/>
      <c r="Q1347" s="1142">
        <f t="shared" si="379"/>
        <v>484</v>
      </c>
      <c r="R1347" s="1143">
        <f>IFERROR(VLOOKUP(CONCATENATE(E1347,G1347),'LAC 103'!$A$12:$O$95,11,FALSE),0)</f>
        <v>5.936295312319726</v>
      </c>
      <c r="S1347" s="1144">
        <f>IFERROR(VLOOKUP(CONCATENATE($E1347,$G1347),'LAC 103'!$A$12:$O$95,12,FALSE),0)</f>
        <v>7.34</v>
      </c>
      <c r="T1347" s="1144">
        <f>IFERROR(VLOOKUP(CONCATENATE($E1347,$G1347),'LAC 103'!$A$12:$O$95,13,FALSE),0)</f>
        <v>4.59</v>
      </c>
      <c r="U1347" s="1144">
        <f>IFERROR(VLOOKUP(CONCATENATE($E1347,$G1347),'LAC 103'!$A$12:$O$95,14,FALSE),0)</f>
        <v>0</v>
      </c>
      <c r="V1347" s="1144">
        <f>IFERROR(VLOOKUP(CONCATENATE($E1347,$G1347),'LAC 103'!$A$12:$O$95,15,FALSE),0)</f>
        <v>0</v>
      </c>
      <c r="W1347" s="1145" t="str">
        <f>IFERROR(VLOOKUP(CONCATENATE($B1347,$N1347),'LAC 103'!$AI:$AQ,9,FALSE),"")</f>
        <v>Costs</v>
      </c>
      <c r="X1347" s="1146">
        <f t="shared" si="366"/>
        <v>5.936295312319726</v>
      </c>
      <c r="Y1347" s="1143">
        <f t="shared" si="377"/>
        <v>2873.1669311627475</v>
      </c>
      <c r="Z1347" s="1147">
        <f t="shared" si="367"/>
        <v>3552.56</v>
      </c>
      <c r="AA1347" s="1144">
        <f t="shared" si="368"/>
        <v>2221.56</v>
      </c>
      <c r="AB1347" s="1144">
        <f t="shared" si="369"/>
        <v>0</v>
      </c>
      <c r="AC1347" s="1144">
        <f t="shared" si="370"/>
        <v>0</v>
      </c>
      <c r="AD1347" s="1148">
        <f t="shared" si="362"/>
        <v>2873.1669311627475</v>
      </c>
      <c r="AE1347" s="1487">
        <v>0</v>
      </c>
      <c r="AF1347" s="1145">
        <f t="shared" si="371"/>
        <v>2873.1669311627475</v>
      </c>
      <c r="AG1347" s="1149">
        <f>IFERROR(VLOOKUP(CONCATENATE($L1347,$N1347),'Drop List'!$G$23:$K$87,2,FALSE),0)</f>
        <v>0.69340000000000002</v>
      </c>
      <c r="AH1347" s="1150">
        <f>IFERROR(VLOOKUP(CONCATENATE($L1347,$N1347),'Drop List'!$G$23:$K$87,3,FALSE),0)</f>
        <v>0.30659999999999998</v>
      </c>
      <c r="AI1347" s="1150">
        <f>IFERROR(VLOOKUP(CONCATENATE($L1347,$N1347),'Drop List'!$G$23:$K$87,4,FALSE),0)</f>
        <v>0</v>
      </c>
      <c r="AJ1347" s="1151">
        <f>IFERROR(VLOOKUP(CONCATENATE($L1347,$N1347),'Drop List'!$G$23:$K$87,5,FALSE),0)</f>
        <v>0</v>
      </c>
      <c r="AK1347" s="1152">
        <f t="shared" si="372"/>
        <v>1992.2539500682492</v>
      </c>
      <c r="AL1347" s="1153">
        <f t="shared" si="373"/>
        <v>880.91298109449838</v>
      </c>
      <c r="AM1347" s="1153">
        <f t="shared" si="374"/>
        <v>0</v>
      </c>
      <c r="AN1347" s="1145">
        <f t="shared" si="375"/>
        <v>0</v>
      </c>
      <c r="AO1347" s="1154">
        <f t="shared" si="376"/>
        <v>2873.1669311627475</v>
      </c>
      <c r="AP1347" s="1147">
        <f t="shared" si="363"/>
        <v>0</v>
      </c>
      <c r="AQ1347" s="1144">
        <f t="shared" si="364"/>
        <v>0</v>
      </c>
      <c r="AR1347" s="1146">
        <f t="shared" si="365"/>
        <v>2873.1669311627475</v>
      </c>
    </row>
    <row r="1348" spans="1:44" x14ac:dyDescent="0.2">
      <c r="A1348" s="1141" t="str">
        <f t="shared" si="378"/>
        <v>1562</v>
      </c>
      <c r="B1348" s="1141" t="str">
        <f>IFERROR(VLOOKUP(A1348,'LAC 103'!A:C,3,FALSE),"")</f>
        <v>OP</v>
      </c>
      <c r="C1348" s="1478" t="str">
        <f>Info!$B$8</f>
        <v>00100</v>
      </c>
      <c r="D1348" s="1474" t="s">
        <v>256</v>
      </c>
      <c r="E1348" s="1474" t="s">
        <v>95</v>
      </c>
      <c r="F1348" s="1478" t="s">
        <v>432</v>
      </c>
      <c r="G1348" s="1478" t="s">
        <v>432</v>
      </c>
      <c r="H1348" s="1474" t="s">
        <v>983</v>
      </c>
      <c r="I1348" s="1478" t="s">
        <v>823</v>
      </c>
      <c r="J1348" s="1478" t="s">
        <v>1998</v>
      </c>
      <c r="K1348" s="1475" t="s">
        <v>850</v>
      </c>
      <c r="L1348" s="1474" t="s">
        <v>330</v>
      </c>
      <c r="M1348" s="1476" t="s">
        <v>1699</v>
      </c>
      <c r="N1348" s="1477" t="s">
        <v>1694</v>
      </c>
      <c r="O1348" s="1479">
        <v>31</v>
      </c>
      <c r="P1348" s="1479"/>
      <c r="Q1348" s="1142">
        <f t="shared" si="379"/>
        <v>31</v>
      </c>
      <c r="R1348" s="1143">
        <f>IFERROR(VLOOKUP(CONCATENATE(E1348,G1348),'LAC 103'!$A$12:$O$95,11,FALSE),0)</f>
        <v>5.936295312319726</v>
      </c>
      <c r="S1348" s="1144">
        <f>IFERROR(VLOOKUP(CONCATENATE($E1348,$G1348),'LAC 103'!$A$12:$O$95,12,FALSE),0)</f>
        <v>7.34</v>
      </c>
      <c r="T1348" s="1144">
        <f>IFERROR(VLOOKUP(CONCATENATE($E1348,$G1348),'LAC 103'!$A$12:$O$95,13,FALSE),0)</f>
        <v>4.59</v>
      </c>
      <c r="U1348" s="1144">
        <f>IFERROR(VLOOKUP(CONCATENATE($E1348,$G1348),'LAC 103'!$A$12:$O$95,14,FALSE),0)</f>
        <v>0</v>
      </c>
      <c r="V1348" s="1144">
        <f>IFERROR(VLOOKUP(CONCATENATE($E1348,$G1348),'LAC 103'!$A$12:$O$95,15,FALSE),0)</f>
        <v>0</v>
      </c>
      <c r="W1348" s="1145" t="str">
        <f>IFERROR(VLOOKUP(CONCATENATE($B1348,$N1348),'LAC 103'!$AI:$AQ,9,FALSE),"")</f>
        <v>Costs</v>
      </c>
      <c r="X1348" s="1146">
        <f t="shared" si="366"/>
        <v>5.936295312319726</v>
      </c>
      <c r="Y1348" s="1143">
        <f t="shared" si="377"/>
        <v>184.02515468191152</v>
      </c>
      <c r="Z1348" s="1147">
        <f t="shared" si="367"/>
        <v>227.54</v>
      </c>
      <c r="AA1348" s="1144">
        <f t="shared" si="368"/>
        <v>142.29</v>
      </c>
      <c r="AB1348" s="1144">
        <f t="shared" si="369"/>
        <v>0</v>
      </c>
      <c r="AC1348" s="1144">
        <f t="shared" si="370"/>
        <v>0</v>
      </c>
      <c r="AD1348" s="1148">
        <f t="shared" si="362"/>
        <v>184.02515468191152</v>
      </c>
      <c r="AE1348" s="1487">
        <v>0</v>
      </c>
      <c r="AF1348" s="1145">
        <f t="shared" si="371"/>
        <v>184.02515468191152</v>
      </c>
      <c r="AG1348" s="1149">
        <f>IFERROR(VLOOKUP(CONCATENATE($L1348,$N1348),'Drop List'!$G$23:$K$87,2,FALSE),0)</f>
        <v>0</v>
      </c>
      <c r="AH1348" s="1150">
        <f>IFERROR(VLOOKUP(CONCATENATE($L1348,$N1348),'Drop List'!$G$23:$K$87,3,FALSE),0)</f>
        <v>0</v>
      </c>
      <c r="AI1348" s="1150">
        <f>IFERROR(VLOOKUP(CONCATENATE($L1348,$N1348),'Drop List'!$G$23:$K$87,4,FALSE),0)</f>
        <v>1</v>
      </c>
      <c r="AJ1348" s="1151">
        <f>IFERROR(VLOOKUP(CONCATENATE($L1348,$N1348),'Drop List'!$G$23:$K$87,5,FALSE),0)</f>
        <v>0</v>
      </c>
      <c r="AK1348" s="1152">
        <f t="shared" si="372"/>
        <v>0</v>
      </c>
      <c r="AL1348" s="1153">
        <f t="shared" si="373"/>
        <v>0</v>
      </c>
      <c r="AM1348" s="1153">
        <f t="shared" si="374"/>
        <v>184.02515468191152</v>
      </c>
      <c r="AN1348" s="1145">
        <f t="shared" si="375"/>
        <v>0</v>
      </c>
      <c r="AO1348" s="1154">
        <f t="shared" si="376"/>
        <v>184.02515468191152</v>
      </c>
      <c r="AP1348" s="1147">
        <f t="shared" si="363"/>
        <v>0</v>
      </c>
      <c r="AQ1348" s="1144">
        <f t="shared" si="364"/>
        <v>0</v>
      </c>
      <c r="AR1348" s="1146">
        <f t="shared" si="365"/>
        <v>184.02515468191152</v>
      </c>
    </row>
    <row r="1349" spans="1:44" x14ac:dyDescent="0.2">
      <c r="A1349" s="1141" t="str">
        <f t="shared" si="378"/>
        <v>1562</v>
      </c>
      <c r="B1349" s="1141" t="str">
        <f>IFERROR(VLOOKUP(A1349,'LAC 103'!A:C,3,FALSE),"")</f>
        <v>OP</v>
      </c>
      <c r="C1349" s="1478" t="str">
        <f>Info!$B$8</f>
        <v>00100</v>
      </c>
      <c r="D1349" s="1474" t="s">
        <v>256</v>
      </c>
      <c r="E1349" s="1474" t="s">
        <v>95</v>
      </c>
      <c r="F1349" s="1478" t="s">
        <v>432</v>
      </c>
      <c r="G1349" s="1478" t="s">
        <v>432</v>
      </c>
      <c r="H1349" s="1474" t="s">
        <v>983</v>
      </c>
      <c r="I1349" s="1478" t="s">
        <v>823</v>
      </c>
      <c r="J1349" s="1478" t="s">
        <v>1998</v>
      </c>
      <c r="K1349" s="1475" t="s">
        <v>850</v>
      </c>
      <c r="L1349" s="1474" t="s">
        <v>330</v>
      </c>
      <c r="M1349" s="1476" t="s">
        <v>1698</v>
      </c>
      <c r="N1349" s="1477" t="s">
        <v>1693</v>
      </c>
      <c r="O1349" s="1479">
        <v>180</v>
      </c>
      <c r="P1349" s="1479"/>
      <c r="Q1349" s="1142">
        <f t="shared" si="379"/>
        <v>180</v>
      </c>
      <c r="R1349" s="1143">
        <f>IFERROR(VLOOKUP(CONCATENATE(E1349,G1349),'LAC 103'!$A$12:$O$95,11,FALSE),0)</f>
        <v>5.936295312319726</v>
      </c>
      <c r="S1349" s="1144">
        <f>IFERROR(VLOOKUP(CONCATENATE($E1349,$G1349),'LAC 103'!$A$12:$O$95,12,FALSE),0)</f>
        <v>7.34</v>
      </c>
      <c r="T1349" s="1144">
        <f>IFERROR(VLOOKUP(CONCATENATE($E1349,$G1349),'LAC 103'!$A$12:$O$95,13,FALSE),0)</f>
        <v>4.59</v>
      </c>
      <c r="U1349" s="1144">
        <f>IFERROR(VLOOKUP(CONCATENATE($E1349,$G1349),'LAC 103'!$A$12:$O$95,14,FALSE),0)</f>
        <v>0</v>
      </c>
      <c r="V1349" s="1144">
        <f>IFERROR(VLOOKUP(CONCATENATE($E1349,$G1349),'LAC 103'!$A$12:$O$95,15,FALSE),0)</f>
        <v>0</v>
      </c>
      <c r="W1349" s="1145" t="str">
        <f>IFERROR(VLOOKUP(CONCATENATE($B1349,$N1349),'LAC 103'!$AI:$AQ,9,FALSE),"")</f>
        <v>Costs</v>
      </c>
      <c r="X1349" s="1146">
        <f t="shared" si="366"/>
        <v>5.936295312319726</v>
      </c>
      <c r="Y1349" s="1143">
        <f t="shared" si="377"/>
        <v>1068.5331562175506</v>
      </c>
      <c r="Z1349" s="1147">
        <f t="shared" si="367"/>
        <v>1321.2</v>
      </c>
      <c r="AA1349" s="1144">
        <f t="shared" si="368"/>
        <v>826.19999999999993</v>
      </c>
      <c r="AB1349" s="1144">
        <f t="shared" si="369"/>
        <v>0</v>
      </c>
      <c r="AC1349" s="1144">
        <f t="shared" si="370"/>
        <v>0</v>
      </c>
      <c r="AD1349" s="1148">
        <f t="shared" si="362"/>
        <v>1068.5331562175506</v>
      </c>
      <c r="AE1349" s="1487">
        <v>0</v>
      </c>
      <c r="AF1349" s="1145">
        <f t="shared" si="371"/>
        <v>1068.5331562175506</v>
      </c>
      <c r="AG1349" s="1149">
        <f>IFERROR(VLOOKUP(CONCATENATE($L1349,$N1349),'Drop List'!$G$23:$K$87,2,FALSE),0)</f>
        <v>0</v>
      </c>
      <c r="AH1349" s="1150">
        <f>IFERROR(VLOOKUP(CONCATENATE($L1349,$N1349),'Drop List'!$G$23:$K$87,3,FALSE),0)</f>
        <v>0</v>
      </c>
      <c r="AI1349" s="1150">
        <f>IFERROR(VLOOKUP(CONCATENATE($L1349,$N1349),'Drop List'!$G$23:$K$87,4,FALSE),0)</f>
        <v>1</v>
      </c>
      <c r="AJ1349" s="1151">
        <f>IFERROR(VLOOKUP(CONCATENATE($L1349,$N1349),'Drop List'!$G$23:$K$87,5,FALSE),0)</f>
        <v>0</v>
      </c>
      <c r="AK1349" s="1152">
        <f t="shared" si="372"/>
        <v>0</v>
      </c>
      <c r="AL1349" s="1153">
        <f t="shared" si="373"/>
        <v>0</v>
      </c>
      <c r="AM1349" s="1153">
        <f t="shared" si="374"/>
        <v>1068.5331562175506</v>
      </c>
      <c r="AN1349" s="1145">
        <f t="shared" si="375"/>
        <v>0</v>
      </c>
      <c r="AO1349" s="1154">
        <f t="shared" si="376"/>
        <v>1068.5331562175506</v>
      </c>
      <c r="AP1349" s="1147">
        <f t="shared" si="363"/>
        <v>0</v>
      </c>
      <c r="AQ1349" s="1144">
        <f t="shared" si="364"/>
        <v>0</v>
      </c>
      <c r="AR1349" s="1146">
        <f t="shared" si="365"/>
        <v>1068.5331562175506</v>
      </c>
    </row>
    <row r="1350" spans="1:44" x14ac:dyDescent="0.2">
      <c r="A1350" s="1141" t="str">
        <f t="shared" si="378"/>
        <v>1562</v>
      </c>
      <c r="B1350" s="1141" t="str">
        <f>IFERROR(VLOOKUP(A1350,'LAC 103'!A:C,3,FALSE),"")</f>
        <v>OP</v>
      </c>
      <c r="C1350" s="1478" t="str">
        <f>Info!$B$8</f>
        <v>00100</v>
      </c>
      <c r="D1350" s="1474" t="s">
        <v>256</v>
      </c>
      <c r="E1350" s="1474" t="s">
        <v>95</v>
      </c>
      <c r="F1350" s="1478" t="s">
        <v>432</v>
      </c>
      <c r="G1350" s="1478" t="s">
        <v>432</v>
      </c>
      <c r="H1350" s="1474" t="s">
        <v>983</v>
      </c>
      <c r="I1350" s="1478" t="s">
        <v>823</v>
      </c>
      <c r="J1350" s="1478" t="s">
        <v>1999</v>
      </c>
      <c r="K1350" s="1475" t="s">
        <v>847</v>
      </c>
      <c r="L1350" s="1474" t="s">
        <v>582</v>
      </c>
      <c r="M1350" s="1476" t="s">
        <v>1699</v>
      </c>
      <c r="N1350" s="1477" t="s">
        <v>1694</v>
      </c>
      <c r="O1350" s="1479">
        <v>801</v>
      </c>
      <c r="P1350" s="1479"/>
      <c r="Q1350" s="1142">
        <f t="shared" si="379"/>
        <v>801</v>
      </c>
      <c r="R1350" s="1143">
        <f>IFERROR(VLOOKUP(CONCATENATE(E1350,G1350),'LAC 103'!$A$12:$O$95,11,FALSE),0)</f>
        <v>5.936295312319726</v>
      </c>
      <c r="S1350" s="1144">
        <f>IFERROR(VLOOKUP(CONCATENATE($E1350,$G1350),'LAC 103'!$A$12:$O$95,12,FALSE),0)</f>
        <v>7.34</v>
      </c>
      <c r="T1350" s="1144">
        <f>IFERROR(VLOOKUP(CONCATENATE($E1350,$G1350),'LAC 103'!$A$12:$O$95,13,FALSE),0)</f>
        <v>4.59</v>
      </c>
      <c r="U1350" s="1144">
        <f>IFERROR(VLOOKUP(CONCATENATE($E1350,$G1350),'LAC 103'!$A$12:$O$95,14,FALSE),0)</f>
        <v>0</v>
      </c>
      <c r="V1350" s="1144">
        <f>IFERROR(VLOOKUP(CONCATENATE($E1350,$G1350),'LAC 103'!$A$12:$O$95,15,FALSE),0)</f>
        <v>0</v>
      </c>
      <c r="W1350" s="1145" t="str">
        <f>IFERROR(VLOOKUP(CONCATENATE($B1350,$N1350),'LAC 103'!$AI:$AQ,9,FALSE),"")</f>
        <v>Costs</v>
      </c>
      <c r="X1350" s="1146">
        <f t="shared" si="366"/>
        <v>5.936295312319726</v>
      </c>
      <c r="Y1350" s="1143">
        <f t="shared" si="377"/>
        <v>4754.9725451681006</v>
      </c>
      <c r="Z1350" s="1147">
        <f t="shared" si="367"/>
        <v>5879.34</v>
      </c>
      <c r="AA1350" s="1144">
        <f t="shared" si="368"/>
        <v>3676.5899999999997</v>
      </c>
      <c r="AB1350" s="1144">
        <f t="shared" si="369"/>
        <v>0</v>
      </c>
      <c r="AC1350" s="1144">
        <f t="shared" si="370"/>
        <v>0</v>
      </c>
      <c r="AD1350" s="1148">
        <f t="shared" si="362"/>
        <v>4754.9725451681006</v>
      </c>
      <c r="AE1350" s="1487">
        <v>0</v>
      </c>
      <c r="AF1350" s="1145">
        <f t="shared" si="371"/>
        <v>4754.9725451681006</v>
      </c>
      <c r="AG1350" s="1149">
        <f>IFERROR(VLOOKUP(CONCATENATE($L1350,$N1350),'Drop List'!$G$23:$K$87,2,FALSE),0)</f>
        <v>0.56200000000000006</v>
      </c>
      <c r="AH1350" s="1150">
        <f>IFERROR(VLOOKUP(CONCATENATE($L1350,$N1350),'Drop List'!$G$23:$K$87,3,FALSE),0)</f>
        <v>0.43799999999999994</v>
      </c>
      <c r="AI1350" s="1150">
        <f>IFERROR(VLOOKUP(CONCATENATE($L1350,$N1350),'Drop List'!$G$23:$K$87,4,FALSE),0)</f>
        <v>0</v>
      </c>
      <c r="AJ1350" s="1151">
        <f>IFERROR(VLOOKUP(CONCATENATE($L1350,$N1350),'Drop List'!$G$23:$K$87,5,FALSE),0)</f>
        <v>0</v>
      </c>
      <c r="AK1350" s="1152">
        <f t="shared" si="372"/>
        <v>2672.294570384473</v>
      </c>
      <c r="AL1350" s="1153">
        <f t="shared" si="373"/>
        <v>2082.6779747836276</v>
      </c>
      <c r="AM1350" s="1153">
        <f t="shared" si="374"/>
        <v>0</v>
      </c>
      <c r="AN1350" s="1145">
        <f t="shared" si="375"/>
        <v>0</v>
      </c>
      <c r="AO1350" s="1154">
        <f t="shared" si="376"/>
        <v>4754.9725451681006</v>
      </c>
      <c r="AP1350" s="1147">
        <f t="shared" si="363"/>
        <v>0</v>
      </c>
      <c r="AQ1350" s="1144">
        <f t="shared" si="364"/>
        <v>0</v>
      </c>
      <c r="AR1350" s="1146">
        <f t="shared" si="365"/>
        <v>4754.9725451681006</v>
      </c>
    </row>
    <row r="1351" spans="1:44" x14ac:dyDescent="0.2">
      <c r="A1351" s="1141" t="str">
        <f t="shared" si="378"/>
        <v>1562</v>
      </c>
      <c r="B1351" s="1141" t="str">
        <f>IFERROR(VLOOKUP(A1351,'LAC 103'!A:C,3,FALSE),"")</f>
        <v>OP</v>
      </c>
      <c r="C1351" s="1478" t="str">
        <f>Info!$B$8</f>
        <v>00100</v>
      </c>
      <c r="D1351" s="1474" t="s">
        <v>256</v>
      </c>
      <c r="E1351" s="1474" t="s">
        <v>95</v>
      </c>
      <c r="F1351" s="1478" t="s">
        <v>432</v>
      </c>
      <c r="G1351" s="1478" t="s">
        <v>432</v>
      </c>
      <c r="H1351" s="1474" t="s">
        <v>983</v>
      </c>
      <c r="I1351" s="1478" t="s">
        <v>823</v>
      </c>
      <c r="J1351" s="1478" t="s">
        <v>1999</v>
      </c>
      <c r="K1351" s="1475" t="s">
        <v>847</v>
      </c>
      <c r="L1351" s="1474" t="s">
        <v>582</v>
      </c>
      <c r="M1351" s="1476" t="s">
        <v>841</v>
      </c>
      <c r="N1351" s="1477" t="s">
        <v>1695</v>
      </c>
      <c r="O1351" s="1479">
        <v>474</v>
      </c>
      <c r="P1351" s="1479"/>
      <c r="Q1351" s="1142">
        <f t="shared" si="379"/>
        <v>474</v>
      </c>
      <c r="R1351" s="1143">
        <f>IFERROR(VLOOKUP(CONCATENATE(E1351,G1351),'LAC 103'!$A$12:$O$95,11,FALSE),0)</f>
        <v>5.936295312319726</v>
      </c>
      <c r="S1351" s="1144">
        <f>IFERROR(VLOOKUP(CONCATENATE($E1351,$G1351),'LAC 103'!$A$12:$O$95,12,FALSE),0)</f>
        <v>7.34</v>
      </c>
      <c r="T1351" s="1144">
        <f>IFERROR(VLOOKUP(CONCATENATE($E1351,$G1351),'LAC 103'!$A$12:$O$95,13,FALSE),0)</f>
        <v>4.59</v>
      </c>
      <c r="U1351" s="1144">
        <f>IFERROR(VLOOKUP(CONCATENATE($E1351,$G1351),'LAC 103'!$A$12:$O$95,14,FALSE),0)</f>
        <v>0</v>
      </c>
      <c r="V1351" s="1144">
        <f>IFERROR(VLOOKUP(CONCATENATE($E1351,$G1351),'LAC 103'!$A$12:$O$95,15,FALSE),0)</f>
        <v>0</v>
      </c>
      <c r="W1351" s="1145" t="str">
        <f>IFERROR(VLOOKUP(CONCATENATE($B1351,$N1351),'LAC 103'!$AI:$AQ,9,FALSE),"")</f>
        <v>Costs</v>
      </c>
      <c r="X1351" s="1146">
        <f t="shared" si="366"/>
        <v>5.936295312319726</v>
      </c>
      <c r="Y1351" s="1143">
        <f t="shared" si="377"/>
        <v>2813.8039780395502</v>
      </c>
      <c r="Z1351" s="1147">
        <f t="shared" si="367"/>
        <v>3479.16</v>
      </c>
      <c r="AA1351" s="1144">
        <f t="shared" si="368"/>
        <v>2175.66</v>
      </c>
      <c r="AB1351" s="1144">
        <f t="shared" si="369"/>
        <v>0</v>
      </c>
      <c r="AC1351" s="1144">
        <f t="shared" si="370"/>
        <v>0</v>
      </c>
      <c r="AD1351" s="1148">
        <f t="shared" ref="AD1351:AD1414" si="380">Q1351*X1351</f>
        <v>2813.8039780395502</v>
      </c>
      <c r="AE1351" s="1487">
        <v>0</v>
      </c>
      <c r="AF1351" s="1145">
        <f t="shared" si="371"/>
        <v>2813.8039780395502</v>
      </c>
      <c r="AG1351" s="1149">
        <f>IFERROR(VLOOKUP(CONCATENATE($L1351,$N1351),'Drop List'!$G$23:$K$87,2,FALSE),0)</f>
        <v>0.55000000000000004</v>
      </c>
      <c r="AH1351" s="1150">
        <f>IFERROR(VLOOKUP(CONCATENATE($L1351,$N1351),'Drop List'!$G$23:$K$87,3,FALSE),0)</f>
        <v>0.44999999999999996</v>
      </c>
      <c r="AI1351" s="1150">
        <f>IFERROR(VLOOKUP(CONCATENATE($L1351,$N1351),'Drop List'!$G$23:$K$87,4,FALSE),0)</f>
        <v>0</v>
      </c>
      <c r="AJ1351" s="1151">
        <f>IFERROR(VLOOKUP(CONCATENATE($L1351,$N1351),'Drop List'!$G$23:$K$87,5,FALSE),0)</f>
        <v>0</v>
      </c>
      <c r="AK1351" s="1152">
        <f t="shared" si="372"/>
        <v>1547.5921879217528</v>
      </c>
      <c r="AL1351" s="1153">
        <f t="shared" si="373"/>
        <v>1266.2117901177974</v>
      </c>
      <c r="AM1351" s="1153">
        <f t="shared" si="374"/>
        <v>0</v>
      </c>
      <c r="AN1351" s="1145">
        <f t="shared" si="375"/>
        <v>0</v>
      </c>
      <c r="AO1351" s="1154">
        <f t="shared" si="376"/>
        <v>2813.8039780395502</v>
      </c>
      <c r="AP1351" s="1147">
        <f t="shared" ref="AP1351:AP1414" si="381">IF($L1351="14",$AF1351,0)</f>
        <v>0</v>
      </c>
      <c r="AQ1351" s="1144">
        <f t="shared" ref="AQ1351:AQ1414" si="382">IF($L1351="15",$AF1351,0)</f>
        <v>0</v>
      </c>
      <c r="AR1351" s="1146">
        <f t="shared" ref="AR1351:AR1414" si="383">AO1351+AP1351+AQ1351</f>
        <v>2813.8039780395502</v>
      </c>
    </row>
    <row r="1352" spans="1:44" x14ac:dyDescent="0.2">
      <c r="A1352" s="1141" t="str">
        <f t="shared" si="378"/>
        <v>1562</v>
      </c>
      <c r="B1352" s="1141" t="str">
        <f>IFERROR(VLOOKUP(A1352,'LAC 103'!A:C,3,FALSE),"")</f>
        <v>OP</v>
      </c>
      <c r="C1352" s="1478" t="str">
        <f>Info!$B$8</f>
        <v>00100</v>
      </c>
      <c r="D1352" s="1474" t="s">
        <v>256</v>
      </c>
      <c r="E1352" s="1474" t="s">
        <v>95</v>
      </c>
      <c r="F1352" s="1478" t="s">
        <v>432</v>
      </c>
      <c r="G1352" s="1478" t="s">
        <v>432</v>
      </c>
      <c r="H1352" s="1474" t="s">
        <v>983</v>
      </c>
      <c r="I1352" s="1478" t="s">
        <v>823</v>
      </c>
      <c r="J1352" s="1478" t="s">
        <v>1999</v>
      </c>
      <c r="K1352" s="1475" t="s">
        <v>847</v>
      </c>
      <c r="L1352" s="1474" t="s">
        <v>582</v>
      </c>
      <c r="M1352" s="1476" t="s">
        <v>840</v>
      </c>
      <c r="N1352" s="1477" t="s">
        <v>1700</v>
      </c>
      <c r="O1352" s="1479">
        <v>320</v>
      </c>
      <c r="P1352" s="1479"/>
      <c r="Q1352" s="1142">
        <f t="shared" si="379"/>
        <v>320</v>
      </c>
      <c r="R1352" s="1143">
        <f>IFERROR(VLOOKUP(CONCATENATE(E1352,G1352),'LAC 103'!$A$12:$O$95,11,FALSE),0)</f>
        <v>5.936295312319726</v>
      </c>
      <c r="S1352" s="1144">
        <f>IFERROR(VLOOKUP(CONCATENATE($E1352,$G1352),'LAC 103'!$A$12:$O$95,12,FALSE),0)</f>
        <v>7.34</v>
      </c>
      <c r="T1352" s="1144">
        <f>IFERROR(VLOOKUP(CONCATENATE($E1352,$G1352),'LAC 103'!$A$12:$O$95,13,FALSE),0)</f>
        <v>4.59</v>
      </c>
      <c r="U1352" s="1144">
        <f>IFERROR(VLOOKUP(CONCATENATE($E1352,$G1352),'LAC 103'!$A$12:$O$95,14,FALSE),0)</f>
        <v>0</v>
      </c>
      <c r="V1352" s="1144">
        <f>IFERROR(VLOOKUP(CONCATENATE($E1352,$G1352),'LAC 103'!$A$12:$O$95,15,FALSE),0)</f>
        <v>0</v>
      </c>
      <c r="W1352" s="1145" t="str">
        <f>IFERROR(VLOOKUP(CONCATENATE($B1352,$N1352),'LAC 103'!$AI:$AQ,9,FALSE),"")</f>
        <v>P.C.</v>
      </c>
      <c r="X1352" s="1146">
        <f t="shared" ref="X1352:X1415" si="384">IF($W1352="Costs",$R1352,IF($W1352="CMA",$S1352,IF($W1352="P.C.",$T1352,IF($W1352="SMA",$U1352,$V1352))))</f>
        <v>4.59</v>
      </c>
      <c r="Y1352" s="1143">
        <f t="shared" si="377"/>
        <v>1899.6144999423122</v>
      </c>
      <c r="Z1352" s="1147">
        <f t="shared" ref="Z1352:Z1415" si="385">IF(S1352=0,Y1352,$Q1352*S1352)</f>
        <v>2348.8000000000002</v>
      </c>
      <c r="AA1352" s="1144">
        <f t="shared" ref="AA1352:AA1415" si="386">IF(T1352=0,Y1352,$Q1352*T1352)</f>
        <v>1468.8</v>
      </c>
      <c r="AB1352" s="1144">
        <f t="shared" ref="AB1352:AB1415" si="387">$Q1352*U1352</f>
        <v>0</v>
      </c>
      <c r="AC1352" s="1144">
        <f t="shared" ref="AC1352:AC1415" si="388">$Q1352*V1352</f>
        <v>0</v>
      </c>
      <c r="AD1352" s="1148">
        <f t="shared" si="380"/>
        <v>1468.8</v>
      </c>
      <c r="AE1352" s="1487">
        <v>0</v>
      </c>
      <c r="AF1352" s="1145">
        <f t="shared" ref="AF1352:AF1415" si="389">AD1352-AE1352</f>
        <v>1468.8</v>
      </c>
      <c r="AG1352" s="1149">
        <f>IFERROR(VLOOKUP(CONCATENATE($L1352,$N1352),'Drop List'!$G$23:$K$87,2,FALSE),0)</f>
        <v>0.55000000000000004</v>
      </c>
      <c r="AH1352" s="1150">
        <f>IFERROR(VLOOKUP(CONCATENATE($L1352,$N1352),'Drop List'!$G$23:$K$87,3,FALSE),0)</f>
        <v>0.44999999999999996</v>
      </c>
      <c r="AI1352" s="1150">
        <f>IFERROR(VLOOKUP(CONCATENATE($L1352,$N1352),'Drop List'!$G$23:$K$87,4,FALSE),0)</f>
        <v>0</v>
      </c>
      <c r="AJ1352" s="1151">
        <f>IFERROR(VLOOKUP(CONCATENATE($L1352,$N1352),'Drop List'!$G$23:$K$87,5,FALSE),0)</f>
        <v>0</v>
      </c>
      <c r="AK1352" s="1152">
        <f t="shared" ref="AK1352:AK1415" si="390">IFERROR($AF1352*AG1352,0)</f>
        <v>807.84</v>
      </c>
      <c r="AL1352" s="1153">
        <f t="shared" ref="AL1352:AL1415" si="391">IFERROR($AF1352*AH1352,0)</f>
        <v>660.95999999999992</v>
      </c>
      <c r="AM1352" s="1153">
        <f t="shared" ref="AM1352:AM1415" si="392">IFERROR($AF1352*AI1352,0)</f>
        <v>0</v>
      </c>
      <c r="AN1352" s="1145">
        <f t="shared" ref="AN1352:AN1415" si="393">IFERROR($AF1352*AJ1352,0)</f>
        <v>0</v>
      </c>
      <c r="AO1352" s="1154">
        <f t="shared" ref="AO1352:AO1415" si="394">SUM(AK1352:AN1352)</f>
        <v>1468.8</v>
      </c>
      <c r="AP1352" s="1147">
        <f t="shared" si="381"/>
        <v>0</v>
      </c>
      <c r="AQ1352" s="1144">
        <f t="shared" si="382"/>
        <v>0</v>
      </c>
      <c r="AR1352" s="1146">
        <f t="shared" si="383"/>
        <v>1468.8</v>
      </c>
    </row>
    <row r="1353" spans="1:44" x14ac:dyDescent="0.2">
      <c r="A1353" s="1141" t="str">
        <f t="shared" si="378"/>
        <v>1562</v>
      </c>
      <c r="B1353" s="1141" t="str">
        <f>IFERROR(VLOOKUP(A1353,'LAC 103'!A:C,3,FALSE),"")</f>
        <v>OP</v>
      </c>
      <c r="C1353" s="1478" t="str">
        <f>Info!$B$8</f>
        <v>00100</v>
      </c>
      <c r="D1353" s="1474" t="s">
        <v>256</v>
      </c>
      <c r="E1353" s="1474" t="s">
        <v>95</v>
      </c>
      <c r="F1353" s="1478" t="s">
        <v>432</v>
      </c>
      <c r="G1353" s="1478" t="s">
        <v>432</v>
      </c>
      <c r="H1353" s="1474" t="s">
        <v>983</v>
      </c>
      <c r="I1353" s="1478" t="s">
        <v>823</v>
      </c>
      <c r="J1353" s="1478" t="s">
        <v>1999</v>
      </c>
      <c r="K1353" s="1475" t="s">
        <v>847</v>
      </c>
      <c r="L1353" s="1474" t="s">
        <v>582</v>
      </c>
      <c r="M1353" s="1476" t="s">
        <v>842</v>
      </c>
      <c r="N1353" s="1477" t="s">
        <v>1692</v>
      </c>
      <c r="O1353" s="1479">
        <v>431</v>
      </c>
      <c r="P1353" s="1479"/>
      <c r="Q1353" s="1142">
        <f t="shared" si="379"/>
        <v>431</v>
      </c>
      <c r="R1353" s="1143">
        <f>IFERROR(VLOOKUP(CONCATENATE(E1353,G1353),'LAC 103'!$A$12:$O$95,11,FALSE),0)</f>
        <v>5.936295312319726</v>
      </c>
      <c r="S1353" s="1144">
        <f>IFERROR(VLOOKUP(CONCATENATE($E1353,$G1353),'LAC 103'!$A$12:$O$95,12,FALSE),0)</f>
        <v>7.34</v>
      </c>
      <c r="T1353" s="1144">
        <f>IFERROR(VLOOKUP(CONCATENATE($E1353,$G1353),'LAC 103'!$A$12:$O$95,13,FALSE),0)</f>
        <v>4.59</v>
      </c>
      <c r="U1353" s="1144">
        <f>IFERROR(VLOOKUP(CONCATENATE($E1353,$G1353),'LAC 103'!$A$12:$O$95,14,FALSE),0)</f>
        <v>0</v>
      </c>
      <c r="V1353" s="1144">
        <f>IFERROR(VLOOKUP(CONCATENATE($E1353,$G1353),'LAC 103'!$A$12:$O$95,15,FALSE),0)</f>
        <v>0</v>
      </c>
      <c r="W1353" s="1145" t="str">
        <f>IFERROR(VLOOKUP(CONCATENATE($B1353,$N1353),'LAC 103'!$AI:$AQ,9,FALSE),"")</f>
        <v>Costs</v>
      </c>
      <c r="X1353" s="1146">
        <f t="shared" si="384"/>
        <v>5.936295312319726</v>
      </c>
      <c r="Y1353" s="1143">
        <f t="shared" si="377"/>
        <v>2558.5432796098021</v>
      </c>
      <c r="Z1353" s="1147">
        <f t="shared" si="385"/>
        <v>3163.54</v>
      </c>
      <c r="AA1353" s="1144">
        <f t="shared" si="386"/>
        <v>1978.29</v>
      </c>
      <c r="AB1353" s="1144">
        <f t="shared" si="387"/>
        <v>0</v>
      </c>
      <c r="AC1353" s="1144">
        <f t="shared" si="388"/>
        <v>0</v>
      </c>
      <c r="AD1353" s="1148">
        <f t="shared" si="380"/>
        <v>2558.5432796098021</v>
      </c>
      <c r="AE1353" s="1487">
        <v>0</v>
      </c>
      <c r="AF1353" s="1145">
        <f t="shared" si="389"/>
        <v>2558.5432796098021</v>
      </c>
      <c r="AG1353" s="1149">
        <f>IFERROR(VLOOKUP(CONCATENATE($L1353,$N1353),'Drop List'!$G$23:$K$87,2,FALSE),0)</f>
        <v>0.56200000000000006</v>
      </c>
      <c r="AH1353" s="1150">
        <f>IFERROR(VLOOKUP(CONCATENATE($L1353,$N1353),'Drop List'!$G$23:$K$87,3,FALSE),0)</f>
        <v>0.43799999999999994</v>
      </c>
      <c r="AI1353" s="1150">
        <f>IFERROR(VLOOKUP(CONCATENATE($L1353,$N1353),'Drop List'!$G$23:$K$87,4,FALSE),0)</f>
        <v>0</v>
      </c>
      <c r="AJ1353" s="1151">
        <f>IFERROR(VLOOKUP(CONCATENATE($L1353,$N1353),'Drop List'!$G$23:$K$87,5,FALSE),0)</f>
        <v>0</v>
      </c>
      <c r="AK1353" s="1152">
        <f t="shared" si="390"/>
        <v>1437.9013231407089</v>
      </c>
      <c r="AL1353" s="1153">
        <f t="shared" si="391"/>
        <v>1120.6419564690932</v>
      </c>
      <c r="AM1353" s="1153">
        <f t="shared" si="392"/>
        <v>0</v>
      </c>
      <c r="AN1353" s="1145">
        <f t="shared" si="393"/>
        <v>0</v>
      </c>
      <c r="AO1353" s="1154">
        <f t="shared" si="394"/>
        <v>2558.5432796098021</v>
      </c>
      <c r="AP1353" s="1147">
        <f t="shared" si="381"/>
        <v>0</v>
      </c>
      <c r="AQ1353" s="1144">
        <f t="shared" si="382"/>
        <v>0</v>
      </c>
      <c r="AR1353" s="1146">
        <f t="shared" si="383"/>
        <v>2558.5432796098021</v>
      </c>
    </row>
    <row r="1354" spans="1:44" x14ac:dyDescent="0.2">
      <c r="A1354" s="1141" t="str">
        <f t="shared" si="378"/>
        <v>1562</v>
      </c>
      <c r="B1354" s="1141" t="str">
        <f>IFERROR(VLOOKUP(A1354,'LAC 103'!A:C,3,FALSE),"")</f>
        <v>OP</v>
      </c>
      <c r="C1354" s="1478" t="str">
        <f>Info!$B$8</f>
        <v>00100</v>
      </c>
      <c r="D1354" s="1474" t="s">
        <v>256</v>
      </c>
      <c r="E1354" s="1474" t="s">
        <v>95</v>
      </c>
      <c r="F1354" s="1478" t="s">
        <v>432</v>
      </c>
      <c r="G1354" s="1478" t="s">
        <v>432</v>
      </c>
      <c r="H1354" s="1474" t="s">
        <v>983</v>
      </c>
      <c r="I1354" s="1478" t="s">
        <v>823</v>
      </c>
      <c r="J1354" s="1478" t="s">
        <v>1999</v>
      </c>
      <c r="K1354" s="1475" t="s">
        <v>847</v>
      </c>
      <c r="L1354" s="1474" t="s">
        <v>582</v>
      </c>
      <c r="M1354" s="1476" t="s">
        <v>1698</v>
      </c>
      <c r="N1354" s="1477" t="s">
        <v>1693</v>
      </c>
      <c r="O1354" s="1479">
        <v>362</v>
      </c>
      <c r="P1354" s="1479"/>
      <c r="Q1354" s="1142">
        <f t="shared" si="379"/>
        <v>362</v>
      </c>
      <c r="R1354" s="1143">
        <f>IFERROR(VLOOKUP(CONCATENATE(E1354,G1354),'LAC 103'!$A$12:$O$95,11,FALSE),0)</f>
        <v>5.936295312319726</v>
      </c>
      <c r="S1354" s="1144">
        <f>IFERROR(VLOOKUP(CONCATENATE($E1354,$G1354),'LAC 103'!$A$12:$O$95,12,FALSE),0)</f>
        <v>7.34</v>
      </c>
      <c r="T1354" s="1144">
        <f>IFERROR(VLOOKUP(CONCATENATE($E1354,$G1354),'LAC 103'!$A$12:$O$95,13,FALSE),0)</f>
        <v>4.59</v>
      </c>
      <c r="U1354" s="1144">
        <f>IFERROR(VLOOKUP(CONCATENATE($E1354,$G1354),'LAC 103'!$A$12:$O$95,14,FALSE),0)</f>
        <v>0</v>
      </c>
      <c r="V1354" s="1144">
        <f>IFERROR(VLOOKUP(CONCATENATE($E1354,$G1354),'LAC 103'!$A$12:$O$95,15,FALSE),0)</f>
        <v>0</v>
      </c>
      <c r="W1354" s="1145" t="str">
        <f>IFERROR(VLOOKUP(CONCATENATE($B1354,$N1354),'LAC 103'!$AI:$AQ,9,FALSE),"")</f>
        <v>Costs</v>
      </c>
      <c r="X1354" s="1146">
        <f t="shared" si="384"/>
        <v>5.936295312319726</v>
      </c>
      <c r="Y1354" s="1143">
        <f t="shared" ref="Y1354:Y1417" si="395">$Q1354*R1354</f>
        <v>2148.9389030597408</v>
      </c>
      <c r="Z1354" s="1147">
        <f t="shared" si="385"/>
        <v>2657.08</v>
      </c>
      <c r="AA1354" s="1144">
        <f t="shared" si="386"/>
        <v>1661.58</v>
      </c>
      <c r="AB1354" s="1144">
        <f t="shared" si="387"/>
        <v>0</v>
      </c>
      <c r="AC1354" s="1144">
        <f t="shared" si="388"/>
        <v>0</v>
      </c>
      <c r="AD1354" s="1148">
        <f t="shared" si="380"/>
        <v>2148.9389030597408</v>
      </c>
      <c r="AE1354" s="1487">
        <v>0</v>
      </c>
      <c r="AF1354" s="1145">
        <f t="shared" si="389"/>
        <v>2148.9389030597408</v>
      </c>
      <c r="AG1354" s="1149">
        <f>IFERROR(VLOOKUP(CONCATENATE($L1354,$N1354),'Drop List'!$G$23:$K$87,2,FALSE),0)</f>
        <v>0.56200000000000006</v>
      </c>
      <c r="AH1354" s="1150">
        <f>IFERROR(VLOOKUP(CONCATENATE($L1354,$N1354),'Drop List'!$G$23:$K$87,3,FALSE),0)</f>
        <v>0.43799999999999994</v>
      </c>
      <c r="AI1354" s="1150">
        <f>IFERROR(VLOOKUP(CONCATENATE($L1354,$N1354),'Drop List'!$G$23:$K$87,4,FALSE),0)</f>
        <v>0</v>
      </c>
      <c r="AJ1354" s="1151">
        <f>IFERROR(VLOOKUP(CONCATENATE($L1354,$N1354),'Drop List'!$G$23:$K$87,5,FALSE),0)</f>
        <v>0</v>
      </c>
      <c r="AK1354" s="1152">
        <f t="shared" si="390"/>
        <v>1207.7036635195745</v>
      </c>
      <c r="AL1354" s="1153">
        <f t="shared" si="391"/>
        <v>941.23523954016639</v>
      </c>
      <c r="AM1354" s="1153">
        <f t="shared" si="392"/>
        <v>0</v>
      </c>
      <c r="AN1354" s="1145">
        <f t="shared" si="393"/>
        <v>0</v>
      </c>
      <c r="AO1354" s="1154">
        <f t="shared" si="394"/>
        <v>2148.9389030597408</v>
      </c>
      <c r="AP1354" s="1147">
        <f t="shared" si="381"/>
        <v>0</v>
      </c>
      <c r="AQ1354" s="1144">
        <f t="shared" si="382"/>
        <v>0</v>
      </c>
      <c r="AR1354" s="1146">
        <f t="shared" si="383"/>
        <v>2148.9389030597408</v>
      </c>
    </row>
    <row r="1355" spans="1:44" x14ac:dyDescent="0.2">
      <c r="A1355" s="1141" t="str">
        <f t="shared" si="378"/>
        <v>1562</v>
      </c>
      <c r="B1355" s="1141" t="str">
        <f>IFERROR(VLOOKUP(A1355,'LAC 103'!A:C,3,FALSE),"")</f>
        <v>OP</v>
      </c>
      <c r="C1355" s="1478" t="str">
        <f>Info!$B$8</f>
        <v>00100</v>
      </c>
      <c r="D1355" s="1474" t="s">
        <v>256</v>
      </c>
      <c r="E1355" s="1474" t="s">
        <v>95</v>
      </c>
      <c r="F1355" s="1478" t="s">
        <v>432</v>
      </c>
      <c r="G1355" s="1478" t="s">
        <v>432</v>
      </c>
      <c r="H1355" s="1474" t="s">
        <v>983</v>
      </c>
      <c r="I1355" s="1478" t="s">
        <v>823</v>
      </c>
      <c r="J1355" s="1478" t="s">
        <v>1999</v>
      </c>
      <c r="K1355" s="1475" t="s">
        <v>848</v>
      </c>
      <c r="L1355" s="1474" t="s">
        <v>45</v>
      </c>
      <c r="M1355" s="1476" t="s">
        <v>1699</v>
      </c>
      <c r="N1355" s="1477" t="s">
        <v>1694</v>
      </c>
      <c r="O1355" s="1479">
        <v>178</v>
      </c>
      <c r="P1355" s="1479"/>
      <c r="Q1355" s="1142">
        <f t="shared" si="379"/>
        <v>178</v>
      </c>
      <c r="R1355" s="1143">
        <f>IFERROR(VLOOKUP(CONCATENATE(E1355,G1355),'LAC 103'!$A$12:$O$95,11,FALSE),0)</f>
        <v>5.936295312319726</v>
      </c>
      <c r="S1355" s="1144">
        <f>IFERROR(VLOOKUP(CONCATENATE($E1355,$G1355),'LAC 103'!$A$12:$O$95,12,FALSE),0)</f>
        <v>7.34</v>
      </c>
      <c r="T1355" s="1144">
        <f>IFERROR(VLOOKUP(CONCATENATE($E1355,$G1355),'LAC 103'!$A$12:$O$95,13,FALSE),0)</f>
        <v>4.59</v>
      </c>
      <c r="U1355" s="1144">
        <f>IFERROR(VLOOKUP(CONCATENATE($E1355,$G1355),'LAC 103'!$A$12:$O$95,14,FALSE),0)</f>
        <v>0</v>
      </c>
      <c r="V1355" s="1144">
        <f>IFERROR(VLOOKUP(CONCATENATE($E1355,$G1355),'LAC 103'!$A$12:$O$95,15,FALSE),0)</f>
        <v>0</v>
      </c>
      <c r="W1355" s="1145" t="str">
        <f>IFERROR(VLOOKUP(CONCATENATE($B1355,$N1355),'LAC 103'!$AI:$AQ,9,FALSE),"")</f>
        <v>Costs</v>
      </c>
      <c r="X1355" s="1146">
        <f t="shared" si="384"/>
        <v>5.936295312319726</v>
      </c>
      <c r="Y1355" s="1143">
        <f t="shared" si="395"/>
        <v>1056.6605655929113</v>
      </c>
      <c r="Z1355" s="1147">
        <f t="shared" si="385"/>
        <v>1306.52</v>
      </c>
      <c r="AA1355" s="1144">
        <f t="shared" si="386"/>
        <v>817.02</v>
      </c>
      <c r="AB1355" s="1144">
        <f t="shared" si="387"/>
        <v>0</v>
      </c>
      <c r="AC1355" s="1144">
        <f t="shared" si="388"/>
        <v>0</v>
      </c>
      <c r="AD1355" s="1148">
        <f t="shared" si="380"/>
        <v>1056.6605655929113</v>
      </c>
      <c r="AE1355" s="1487">
        <v>0</v>
      </c>
      <c r="AF1355" s="1145">
        <f t="shared" si="389"/>
        <v>1056.6605655929113</v>
      </c>
      <c r="AG1355" s="1149">
        <f>IFERROR(VLOOKUP(CONCATENATE($L1355,$N1355),'Drop List'!$G$23:$K$87,2,FALSE),0)</f>
        <v>0.69340000000000002</v>
      </c>
      <c r="AH1355" s="1150">
        <f>IFERROR(VLOOKUP(CONCATENATE($L1355,$N1355),'Drop List'!$G$23:$K$87,3,FALSE),0)</f>
        <v>0.30659999999999998</v>
      </c>
      <c r="AI1355" s="1150">
        <f>IFERROR(VLOOKUP(CONCATENATE($L1355,$N1355),'Drop List'!$G$23:$K$87,4,FALSE),0)</f>
        <v>0</v>
      </c>
      <c r="AJ1355" s="1151">
        <f>IFERROR(VLOOKUP(CONCATENATE($L1355,$N1355),'Drop List'!$G$23:$K$87,5,FALSE),0)</f>
        <v>0</v>
      </c>
      <c r="AK1355" s="1152">
        <f t="shared" si="390"/>
        <v>732.68843618212475</v>
      </c>
      <c r="AL1355" s="1153">
        <f t="shared" si="391"/>
        <v>323.97212941078658</v>
      </c>
      <c r="AM1355" s="1153">
        <f t="shared" si="392"/>
        <v>0</v>
      </c>
      <c r="AN1355" s="1145">
        <f t="shared" si="393"/>
        <v>0</v>
      </c>
      <c r="AO1355" s="1154">
        <f t="shared" si="394"/>
        <v>1056.6605655929113</v>
      </c>
      <c r="AP1355" s="1147">
        <f t="shared" si="381"/>
        <v>0</v>
      </c>
      <c r="AQ1355" s="1144">
        <f t="shared" si="382"/>
        <v>0</v>
      </c>
      <c r="AR1355" s="1146">
        <f t="shared" si="383"/>
        <v>1056.6605655929113</v>
      </c>
    </row>
    <row r="1356" spans="1:44" x14ac:dyDescent="0.2">
      <c r="A1356" s="1141" t="str">
        <f t="shared" si="378"/>
        <v>1562</v>
      </c>
      <c r="B1356" s="1141" t="str">
        <f>IFERROR(VLOOKUP(A1356,'LAC 103'!A:C,3,FALSE),"")</f>
        <v>OP</v>
      </c>
      <c r="C1356" s="1478" t="str">
        <f>Info!$B$8</f>
        <v>00100</v>
      </c>
      <c r="D1356" s="1474" t="s">
        <v>256</v>
      </c>
      <c r="E1356" s="1474" t="s">
        <v>95</v>
      </c>
      <c r="F1356" s="1478" t="s">
        <v>432</v>
      </c>
      <c r="G1356" s="1478" t="s">
        <v>432</v>
      </c>
      <c r="H1356" s="1474" t="s">
        <v>983</v>
      </c>
      <c r="I1356" s="1478" t="s">
        <v>823</v>
      </c>
      <c r="J1356" s="1478" t="s">
        <v>1999</v>
      </c>
      <c r="K1356" s="1475" t="s">
        <v>848</v>
      </c>
      <c r="L1356" s="1474" t="s">
        <v>45</v>
      </c>
      <c r="M1356" s="1476" t="s">
        <v>841</v>
      </c>
      <c r="N1356" s="1477" t="s">
        <v>1695</v>
      </c>
      <c r="O1356" s="1479">
        <v>97</v>
      </c>
      <c r="P1356" s="1479"/>
      <c r="Q1356" s="1142">
        <f t="shared" si="379"/>
        <v>97</v>
      </c>
      <c r="R1356" s="1143">
        <f>IFERROR(VLOOKUP(CONCATENATE(E1356,G1356),'LAC 103'!$A$12:$O$95,11,FALSE),0)</f>
        <v>5.936295312319726</v>
      </c>
      <c r="S1356" s="1144">
        <f>IFERROR(VLOOKUP(CONCATENATE($E1356,$G1356),'LAC 103'!$A$12:$O$95,12,FALSE),0)</f>
        <v>7.34</v>
      </c>
      <c r="T1356" s="1144">
        <f>IFERROR(VLOOKUP(CONCATENATE($E1356,$G1356),'LAC 103'!$A$12:$O$95,13,FALSE),0)</f>
        <v>4.59</v>
      </c>
      <c r="U1356" s="1144">
        <f>IFERROR(VLOOKUP(CONCATENATE($E1356,$G1356),'LAC 103'!$A$12:$O$95,14,FALSE),0)</f>
        <v>0</v>
      </c>
      <c r="V1356" s="1144">
        <f>IFERROR(VLOOKUP(CONCATENATE($E1356,$G1356),'LAC 103'!$A$12:$O$95,15,FALSE),0)</f>
        <v>0</v>
      </c>
      <c r="W1356" s="1145" t="str">
        <f>IFERROR(VLOOKUP(CONCATENATE($B1356,$N1356),'LAC 103'!$AI:$AQ,9,FALSE),"")</f>
        <v>Costs</v>
      </c>
      <c r="X1356" s="1146">
        <f t="shared" si="384"/>
        <v>5.936295312319726</v>
      </c>
      <c r="Y1356" s="1143">
        <f t="shared" si="395"/>
        <v>575.82064529501338</v>
      </c>
      <c r="Z1356" s="1147">
        <f t="shared" si="385"/>
        <v>711.98</v>
      </c>
      <c r="AA1356" s="1144">
        <f t="shared" si="386"/>
        <v>445.22999999999996</v>
      </c>
      <c r="AB1356" s="1144">
        <f t="shared" si="387"/>
        <v>0</v>
      </c>
      <c r="AC1356" s="1144">
        <f t="shared" si="388"/>
        <v>0</v>
      </c>
      <c r="AD1356" s="1148">
        <f t="shared" si="380"/>
        <v>575.82064529501338</v>
      </c>
      <c r="AE1356" s="1487">
        <v>0</v>
      </c>
      <c r="AF1356" s="1145">
        <f t="shared" si="389"/>
        <v>575.82064529501338</v>
      </c>
      <c r="AG1356" s="1149">
        <f>IFERROR(VLOOKUP(CONCATENATE($L1356,$N1356),'Drop List'!$G$23:$K$87,2,FALSE),0)</f>
        <v>0.68500000000000005</v>
      </c>
      <c r="AH1356" s="1150">
        <f>IFERROR(VLOOKUP(CONCATENATE($L1356,$N1356),'Drop List'!$G$23:$K$87,3,FALSE),0)</f>
        <v>0.31499999999999995</v>
      </c>
      <c r="AI1356" s="1150">
        <f>IFERROR(VLOOKUP(CONCATENATE($L1356,$N1356),'Drop List'!$G$23:$K$87,4,FALSE),0)</f>
        <v>0</v>
      </c>
      <c r="AJ1356" s="1151">
        <f>IFERROR(VLOOKUP(CONCATENATE($L1356,$N1356),'Drop List'!$G$23:$K$87,5,FALSE),0)</f>
        <v>0</v>
      </c>
      <c r="AK1356" s="1152">
        <f t="shared" si="390"/>
        <v>394.43714202708418</v>
      </c>
      <c r="AL1356" s="1153">
        <f t="shared" si="391"/>
        <v>181.38350326792917</v>
      </c>
      <c r="AM1356" s="1153">
        <f t="shared" si="392"/>
        <v>0</v>
      </c>
      <c r="AN1356" s="1145">
        <f t="shared" si="393"/>
        <v>0</v>
      </c>
      <c r="AO1356" s="1154">
        <f t="shared" si="394"/>
        <v>575.82064529501338</v>
      </c>
      <c r="AP1356" s="1147">
        <f t="shared" si="381"/>
        <v>0</v>
      </c>
      <c r="AQ1356" s="1144">
        <f t="shared" si="382"/>
        <v>0</v>
      </c>
      <c r="AR1356" s="1146">
        <f t="shared" si="383"/>
        <v>575.82064529501338</v>
      </c>
    </row>
    <row r="1357" spans="1:44" x14ac:dyDescent="0.2">
      <c r="A1357" s="1141" t="str">
        <f t="shared" si="378"/>
        <v>1562</v>
      </c>
      <c r="B1357" s="1141" t="str">
        <f>IFERROR(VLOOKUP(A1357,'LAC 103'!A:C,3,FALSE),"")</f>
        <v>OP</v>
      </c>
      <c r="C1357" s="1478" t="str">
        <f>Info!$B$8</f>
        <v>00100</v>
      </c>
      <c r="D1357" s="1474" t="s">
        <v>256</v>
      </c>
      <c r="E1357" s="1474" t="s">
        <v>95</v>
      </c>
      <c r="F1357" s="1478" t="s">
        <v>432</v>
      </c>
      <c r="G1357" s="1478" t="s">
        <v>432</v>
      </c>
      <c r="H1357" s="1474" t="s">
        <v>983</v>
      </c>
      <c r="I1357" s="1478" t="s">
        <v>823</v>
      </c>
      <c r="J1357" s="1478" t="s">
        <v>1999</v>
      </c>
      <c r="K1357" s="1475" t="s">
        <v>848</v>
      </c>
      <c r="L1357" s="1474" t="s">
        <v>45</v>
      </c>
      <c r="M1357" s="1476" t="s">
        <v>840</v>
      </c>
      <c r="N1357" s="1477" t="s">
        <v>1700</v>
      </c>
      <c r="O1357" s="1479">
        <v>25</v>
      </c>
      <c r="P1357" s="1479"/>
      <c r="Q1357" s="1142">
        <f t="shared" si="379"/>
        <v>25</v>
      </c>
      <c r="R1357" s="1143">
        <f>IFERROR(VLOOKUP(CONCATENATE(E1357,G1357),'LAC 103'!$A$12:$O$95,11,FALSE),0)</f>
        <v>5.936295312319726</v>
      </c>
      <c r="S1357" s="1144">
        <f>IFERROR(VLOOKUP(CONCATENATE($E1357,$G1357),'LAC 103'!$A$12:$O$95,12,FALSE),0)</f>
        <v>7.34</v>
      </c>
      <c r="T1357" s="1144">
        <f>IFERROR(VLOOKUP(CONCATENATE($E1357,$G1357),'LAC 103'!$A$12:$O$95,13,FALSE),0)</f>
        <v>4.59</v>
      </c>
      <c r="U1357" s="1144">
        <f>IFERROR(VLOOKUP(CONCATENATE($E1357,$G1357),'LAC 103'!$A$12:$O$95,14,FALSE),0)</f>
        <v>0</v>
      </c>
      <c r="V1357" s="1144">
        <f>IFERROR(VLOOKUP(CONCATENATE($E1357,$G1357),'LAC 103'!$A$12:$O$95,15,FALSE),0)</f>
        <v>0</v>
      </c>
      <c r="W1357" s="1145" t="str">
        <f>IFERROR(VLOOKUP(CONCATENATE($B1357,$N1357),'LAC 103'!$AI:$AQ,9,FALSE),"")</f>
        <v>P.C.</v>
      </c>
      <c r="X1357" s="1146">
        <f t="shared" si="384"/>
        <v>4.59</v>
      </c>
      <c r="Y1357" s="1143">
        <f t="shared" si="395"/>
        <v>148.40738280799314</v>
      </c>
      <c r="Z1357" s="1147">
        <f t="shared" si="385"/>
        <v>183.5</v>
      </c>
      <c r="AA1357" s="1144">
        <f t="shared" si="386"/>
        <v>114.75</v>
      </c>
      <c r="AB1357" s="1144">
        <f t="shared" si="387"/>
        <v>0</v>
      </c>
      <c r="AC1357" s="1144">
        <f t="shared" si="388"/>
        <v>0</v>
      </c>
      <c r="AD1357" s="1148">
        <f t="shared" si="380"/>
        <v>114.75</v>
      </c>
      <c r="AE1357" s="1487">
        <v>0</v>
      </c>
      <c r="AF1357" s="1145">
        <f t="shared" si="389"/>
        <v>114.75</v>
      </c>
      <c r="AG1357" s="1149">
        <f>IFERROR(VLOOKUP(CONCATENATE($L1357,$N1357),'Drop List'!$G$23:$K$87,2,FALSE),0)</f>
        <v>0.68500000000000005</v>
      </c>
      <c r="AH1357" s="1150">
        <f>IFERROR(VLOOKUP(CONCATENATE($L1357,$N1357),'Drop List'!$G$23:$K$87,3,FALSE),0)</f>
        <v>0.31499999999999995</v>
      </c>
      <c r="AI1357" s="1150">
        <f>IFERROR(VLOOKUP(CONCATENATE($L1357,$N1357),'Drop List'!$G$23:$K$87,4,FALSE),0)</f>
        <v>0</v>
      </c>
      <c r="AJ1357" s="1151">
        <f>IFERROR(VLOOKUP(CONCATENATE($L1357,$N1357),'Drop List'!$G$23:$K$87,5,FALSE),0)</f>
        <v>0</v>
      </c>
      <c r="AK1357" s="1152">
        <f t="shared" si="390"/>
        <v>78.603750000000005</v>
      </c>
      <c r="AL1357" s="1153">
        <f t="shared" si="391"/>
        <v>36.146249999999995</v>
      </c>
      <c r="AM1357" s="1153">
        <f t="shared" si="392"/>
        <v>0</v>
      </c>
      <c r="AN1357" s="1145">
        <f t="shared" si="393"/>
        <v>0</v>
      </c>
      <c r="AO1357" s="1154">
        <f t="shared" si="394"/>
        <v>114.75</v>
      </c>
      <c r="AP1357" s="1147">
        <f t="shared" si="381"/>
        <v>0</v>
      </c>
      <c r="AQ1357" s="1144">
        <f t="shared" si="382"/>
        <v>0</v>
      </c>
      <c r="AR1357" s="1146">
        <f t="shared" si="383"/>
        <v>114.75</v>
      </c>
    </row>
    <row r="1358" spans="1:44" x14ac:dyDescent="0.2">
      <c r="A1358" s="1141" t="str">
        <f t="shared" si="378"/>
        <v>1562</v>
      </c>
      <c r="B1358" s="1141" t="str">
        <f>IFERROR(VLOOKUP(A1358,'LAC 103'!A:C,3,FALSE),"")</f>
        <v>OP</v>
      </c>
      <c r="C1358" s="1478" t="str">
        <f>Info!$B$8</f>
        <v>00100</v>
      </c>
      <c r="D1358" s="1474" t="s">
        <v>256</v>
      </c>
      <c r="E1358" s="1474" t="s">
        <v>95</v>
      </c>
      <c r="F1358" s="1478" t="s">
        <v>432</v>
      </c>
      <c r="G1358" s="1478" t="s">
        <v>432</v>
      </c>
      <c r="H1358" s="1474" t="s">
        <v>983</v>
      </c>
      <c r="I1358" s="1478" t="s">
        <v>823</v>
      </c>
      <c r="J1358" s="1478" t="s">
        <v>1999</v>
      </c>
      <c r="K1358" s="1475" t="s">
        <v>848</v>
      </c>
      <c r="L1358" s="1474" t="s">
        <v>45</v>
      </c>
      <c r="M1358" s="1476" t="s">
        <v>842</v>
      </c>
      <c r="N1358" s="1477" t="s">
        <v>1692</v>
      </c>
      <c r="O1358" s="1479">
        <v>277</v>
      </c>
      <c r="P1358" s="1479"/>
      <c r="Q1358" s="1142">
        <f t="shared" si="379"/>
        <v>277</v>
      </c>
      <c r="R1358" s="1143">
        <f>IFERROR(VLOOKUP(CONCATENATE(E1358,G1358),'LAC 103'!$A$12:$O$95,11,FALSE),0)</f>
        <v>5.936295312319726</v>
      </c>
      <c r="S1358" s="1144">
        <f>IFERROR(VLOOKUP(CONCATENATE($E1358,$G1358),'LAC 103'!$A$12:$O$95,12,FALSE),0)</f>
        <v>7.34</v>
      </c>
      <c r="T1358" s="1144">
        <f>IFERROR(VLOOKUP(CONCATENATE($E1358,$G1358),'LAC 103'!$A$12:$O$95,13,FALSE),0)</f>
        <v>4.59</v>
      </c>
      <c r="U1358" s="1144">
        <f>IFERROR(VLOOKUP(CONCATENATE($E1358,$G1358),'LAC 103'!$A$12:$O$95,14,FALSE),0)</f>
        <v>0</v>
      </c>
      <c r="V1358" s="1144">
        <f>IFERROR(VLOOKUP(CONCATENATE($E1358,$G1358),'LAC 103'!$A$12:$O$95,15,FALSE),0)</f>
        <v>0</v>
      </c>
      <c r="W1358" s="1145" t="str">
        <f>IFERROR(VLOOKUP(CONCATENATE($B1358,$N1358),'LAC 103'!$AI:$AQ,9,FALSE),"")</f>
        <v>Costs</v>
      </c>
      <c r="X1358" s="1146">
        <f t="shared" si="384"/>
        <v>5.936295312319726</v>
      </c>
      <c r="Y1358" s="1143">
        <f t="shared" si="395"/>
        <v>1644.3538015125641</v>
      </c>
      <c r="Z1358" s="1147">
        <f t="shared" si="385"/>
        <v>2033.18</v>
      </c>
      <c r="AA1358" s="1144">
        <f t="shared" si="386"/>
        <v>1271.43</v>
      </c>
      <c r="AB1358" s="1144">
        <f t="shared" si="387"/>
        <v>0</v>
      </c>
      <c r="AC1358" s="1144">
        <f t="shared" si="388"/>
        <v>0</v>
      </c>
      <c r="AD1358" s="1148">
        <f t="shared" si="380"/>
        <v>1644.3538015125641</v>
      </c>
      <c r="AE1358" s="1487">
        <v>0</v>
      </c>
      <c r="AF1358" s="1145">
        <f t="shared" si="389"/>
        <v>1644.3538015125641</v>
      </c>
      <c r="AG1358" s="1149">
        <f>IFERROR(VLOOKUP(CONCATENATE($L1358,$N1358),'Drop List'!$G$23:$K$87,2,FALSE),0)</f>
        <v>0.69340000000000002</v>
      </c>
      <c r="AH1358" s="1150">
        <f>IFERROR(VLOOKUP(CONCATENATE($L1358,$N1358),'Drop List'!$G$23:$K$87,3,FALSE),0)</f>
        <v>0.30659999999999998</v>
      </c>
      <c r="AI1358" s="1150">
        <f>IFERROR(VLOOKUP(CONCATENATE($L1358,$N1358),'Drop List'!$G$23:$K$87,4,FALSE),0)</f>
        <v>0</v>
      </c>
      <c r="AJ1358" s="1151">
        <f>IFERROR(VLOOKUP(CONCATENATE($L1358,$N1358),'Drop List'!$G$23:$K$87,5,FALSE),0)</f>
        <v>0</v>
      </c>
      <c r="AK1358" s="1152">
        <f t="shared" si="390"/>
        <v>1140.194925968812</v>
      </c>
      <c r="AL1358" s="1153">
        <f t="shared" si="391"/>
        <v>504.15887554375212</v>
      </c>
      <c r="AM1358" s="1153">
        <f t="shared" si="392"/>
        <v>0</v>
      </c>
      <c r="AN1358" s="1145">
        <f t="shared" si="393"/>
        <v>0</v>
      </c>
      <c r="AO1358" s="1154">
        <f t="shared" si="394"/>
        <v>1644.3538015125641</v>
      </c>
      <c r="AP1358" s="1147">
        <f t="shared" si="381"/>
        <v>0</v>
      </c>
      <c r="AQ1358" s="1144">
        <f t="shared" si="382"/>
        <v>0</v>
      </c>
      <c r="AR1358" s="1146">
        <f t="shared" si="383"/>
        <v>1644.3538015125641</v>
      </c>
    </row>
    <row r="1359" spans="1:44" x14ac:dyDescent="0.2">
      <c r="A1359" s="1141" t="str">
        <f t="shared" si="378"/>
        <v>1562</v>
      </c>
      <c r="B1359" s="1141" t="str">
        <f>IFERROR(VLOOKUP(A1359,'LAC 103'!A:C,3,FALSE),"")</f>
        <v>OP</v>
      </c>
      <c r="C1359" s="1478" t="str">
        <f>Info!$B$8</f>
        <v>00100</v>
      </c>
      <c r="D1359" s="1474" t="s">
        <v>256</v>
      </c>
      <c r="E1359" s="1474" t="s">
        <v>95</v>
      </c>
      <c r="F1359" s="1478" t="s">
        <v>432</v>
      </c>
      <c r="G1359" s="1478" t="s">
        <v>432</v>
      </c>
      <c r="H1359" s="1474" t="s">
        <v>983</v>
      </c>
      <c r="I1359" s="1478" t="s">
        <v>823</v>
      </c>
      <c r="J1359" s="1478" t="s">
        <v>1999</v>
      </c>
      <c r="K1359" s="1475" t="s">
        <v>848</v>
      </c>
      <c r="L1359" s="1474" t="s">
        <v>45</v>
      </c>
      <c r="M1359" s="1476" t="s">
        <v>1698</v>
      </c>
      <c r="N1359" s="1477" t="s">
        <v>1693</v>
      </c>
      <c r="O1359" s="1479">
        <v>109</v>
      </c>
      <c r="P1359" s="1479"/>
      <c r="Q1359" s="1142">
        <f t="shared" si="379"/>
        <v>109</v>
      </c>
      <c r="R1359" s="1143">
        <f>IFERROR(VLOOKUP(CONCATENATE(E1359,G1359),'LAC 103'!$A$12:$O$95,11,FALSE),0)</f>
        <v>5.936295312319726</v>
      </c>
      <c r="S1359" s="1144">
        <f>IFERROR(VLOOKUP(CONCATENATE($E1359,$G1359),'LAC 103'!$A$12:$O$95,12,FALSE),0)</f>
        <v>7.34</v>
      </c>
      <c r="T1359" s="1144">
        <f>IFERROR(VLOOKUP(CONCATENATE($E1359,$G1359),'LAC 103'!$A$12:$O$95,13,FALSE),0)</f>
        <v>4.59</v>
      </c>
      <c r="U1359" s="1144">
        <f>IFERROR(VLOOKUP(CONCATENATE($E1359,$G1359),'LAC 103'!$A$12:$O$95,14,FALSE),0)</f>
        <v>0</v>
      </c>
      <c r="V1359" s="1144">
        <f>IFERROR(VLOOKUP(CONCATENATE($E1359,$G1359),'LAC 103'!$A$12:$O$95,15,FALSE),0)</f>
        <v>0</v>
      </c>
      <c r="W1359" s="1145" t="str">
        <f>IFERROR(VLOOKUP(CONCATENATE($B1359,$N1359),'LAC 103'!$AI:$AQ,9,FALSE),"")</f>
        <v>Costs</v>
      </c>
      <c r="X1359" s="1146">
        <f t="shared" si="384"/>
        <v>5.936295312319726</v>
      </c>
      <c r="Y1359" s="1143">
        <f t="shared" si="395"/>
        <v>647.05618904285018</v>
      </c>
      <c r="Z1359" s="1147">
        <f t="shared" si="385"/>
        <v>800.06</v>
      </c>
      <c r="AA1359" s="1144">
        <f t="shared" si="386"/>
        <v>500.31</v>
      </c>
      <c r="AB1359" s="1144">
        <f t="shared" si="387"/>
        <v>0</v>
      </c>
      <c r="AC1359" s="1144">
        <f t="shared" si="388"/>
        <v>0</v>
      </c>
      <c r="AD1359" s="1148">
        <f t="shared" si="380"/>
        <v>647.05618904285018</v>
      </c>
      <c r="AE1359" s="1487">
        <v>0</v>
      </c>
      <c r="AF1359" s="1145">
        <f t="shared" si="389"/>
        <v>647.05618904285018</v>
      </c>
      <c r="AG1359" s="1149">
        <f>IFERROR(VLOOKUP(CONCATENATE($L1359,$N1359),'Drop List'!$G$23:$K$87,2,FALSE),0)</f>
        <v>0.69340000000000002</v>
      </c>
      <c r="AH1359" s="1150">
        <f>IFERROR(VLOOKUP(CONCATENATE($L1359,$N1359),'Drop List'!$G$23:$K$87,3,FALSE),0)</f>
        <v>0.30659999999999998</v>
      </c>
      <c r="AI1359" s="1150">
        <f>IFERROR(VLOOKUP(CONCATENATE($L1359,$N1359),'Drop List'!$G$23:$K$87,4,FALSE),0)</f>
        <v>0</v>
      </c>
      <c r="AJ1359" s="1151">
        <f>IFERROR(VLOOKUP(CONCATENATE($L1359,$N1359),'Drop List'!$G$23:$K$87,5,FALSE),0)</f>
        <v>0</v>
      </c>
      <c r="AK1359" s="1152">
        <f t="shared" si="390"/>
        <v>448.66876148231233</v>
      </c>
      <c r="AL1359" s="1153">
        <f t="shared" si="391"/>
        <v>198.38742756053784</v>
      </c>
      <c r="AM1359" s="1153">
        <f t="shared" si="392"/>
        <v>0</v>
      </c>
      <c r="AN1359" s="1145">
        <f t="shared" si="393"/>
        <v>0</v>
      </c>
      <c r="AO1359" s="1154">
        <f t="shared" si="394"/>
        <v>647.05618904285018</v>
      </c>
      <c r="AP1359" s="1147">
        <f t="shared" si="381"/>
        <v>0</v>
      </c>
      <c r="AQ1359" s="1144">
        <f t="shared" si="382"/>
        <v>0</v>
      </c>
      <c r="AR1359" s="1146">
        <f t="shared" si="383"/>
        <v>647.05618904285018</v>
      </c>
    </row>
    <row r="1360" spans="1:44" x14ac:dyDescent="0.2">
      <c r="A1360" s="1141" t="str">
        <f t="shared" si="378"/>
        <v>1562</v>
      </c>
      <c r="B1360" s="1141" t="str">
        <f>IFERROR(VLOOKUP(A1360,'LAC 103'!A:C,3,FALSE),"")</f>
        <v>OP</v>
      </c>
      <c r="C1360" s="1478" t="str">
        <f>Info!$B$8</f>
        <v>00100</v>
      </c>
      <c r="D1360" s="1474" t="s">
        <v>256</v>
      </c>
      <c r="E1360" s="1474" t="s">
        <v>95</v>
      </c>
      <c r="F1360" s="1478" t="s">
        <v>432</v>
      </c>
      <c r="G1360" s="1478" t="s">
        <v>432</v>
      </c>
      <c r="H1360" s="1474" t="s">
        <v>983</v>
      </c>
      <c r="I1360" s="1478" t="s">
        <v>823</v>
      </c>
      <c r="J1360" s="1478" t="s">
        <v>1999</v>
      </c>
      <c r="K1360" s="1475" t="s">
        <v>849</v>
      </c>
      <c r="L1360" s="1474" t="s">
        <v>77</v>
      </c>
      <c r="M1360" s="1476" t="s">
        <v>1699</v>
      </c>
      <c r="N1360" s="1477" t="s">
        <v>1694</v>
      </c>
      <c r="O1360" s="1479">
        <v>462</v>
      </c>
      <c r="P1360" s="1479"/>
      <c r="Q1360" s="1142">
        <f t="shared" si="379"/>
        <v>462</v>
      </c>
      <c r="R1360" s="1143">
        <f>IFERROR(VLOOKUP(CONCATENATE(E1360,G1360),'LAC 103'!$A$12:$O$95,11,FALSE),0)</f>
        <v>5.936295312319726</v>
      </c>
      <c r="S1360" s="1144">
        <f>IFERROR(VLOOKUP(CONCATENATE($E1360,$G1360),'LAC 103'!$A$12:$O$95,12,FALSE),0)</f>
        <v>7.34</v>
      </c>
      <c r="T1360" s="1144">
        <f>IFERROR(VLOOKUP(CONCATENATE($E1360,$G1360),'LAC 103'!$A$12:$O$95,13,FALSE),0)</f>
        <v>4.59</v>
      </c>
      <c r="U1360" s="1144">
        <f>IFERROR(VLOOKUP(CONCATENATE($E1360,$G1360),'LAC 103'!$A$12:$O$95,14,FALSE),0)</f>
        <v>0</v>
      </c>
      <c r="V1360" s="1144">
        <f>IFERROR(VLOOKUP(CONCATENATE($E1360,$G1360),'LAC 103'!$A$12:$O$95,15,FALSE),0)</f>
        <v>0</v>
      </c>
      <c r="W1360" s="1145" t="str">
        <f>IFERROR(VLOOKUP(CONCATENATE($B1360,$N1360),'LAC 103'!$AI:$AQ,9,FALSE),"")</f>
        <v>Costs</v>
      </c>
      <c r="X1360" s="1146">
        <f t="shared" si="384"/>
        <v>5.936295312319726</v>
      </c>
      <c r="Y1360" s="1143">
        <f t="shared" si="395"/>
        <v>2742.5684342917134</v>
      </c>
      <c r="Z1360" s="1147">
        <f t="shared" si="385"/>
        <v>3391.08</v>
      </c>
      <c r="AA1360" s="1144">
        <f t="shared" si="386"/>
        <v>2120.58</v>
      </c>
      <c r="AB1360" s="1144">
        <f t="shared" si="387"/>
        <v>0</v>
      </c>
      <c r="AC1360" s="1144">
        <f t="shared" si="388"/>
        <v>0</v>
      </c>
      <c r="AD1360" s="1148">
        <f t="shared" si="380"/>
        <v>2742.5684342917134</v>
      </c>
      <c r="AE1360" s="1487">
        <v>0</v>
      </c>
      <c r="AF1360" s="1145">
        <f t="shared" si="389"/>
        <v>2742.5684342917134</v>
      </c>
      <c r="AG1360" s="1149">
        <f>IFERROR(VLOOKUP(CONCATENATE($L1360,$N1360),'Drop List'!$G$23:$K$87,2,FALSE),0)</f>
        <v>0.9</v>
      </c>
      <c r="AH1360" s="1150">
        <f>IFERROR(VLOOKUP(CONCATENATE($L1360,$N1360),'Drop List'!$G$23:$K$87,3,FALSE),0)</f>
        <v>0</v>
      </c>
      <c r="AI1360" s="1150">
        <f>IFERROR(VLOOKUP(CONCATENATE($L1360,$N1360),'Drop List'!$G$23:$K$87,4,FALSE),0)</f>
        <v>0.1</v>
      </c>
      <c r="AJ1360" s="1151">
        <f>IFERROR(VLOOKUP(CONCATENATE($L1360,$N1360),'Drop List'!$G$23:$K$87,5,FALSE),0)</f>
        <v>0</v>
      </c>
      <c r="AK1360" s="1152">
        <f t="shared" si="390"/>
        <v>2468.3115908625423</v>
      </c>
      <c r="AL1360" s="1153">
        <f t="shared" si="391"/>
        <v>0</v>
      </c>
      <c r="AM1360" s="1153">
        <f t="shared" si="392"/>
        <v>274.25684342917134</v>
      </c>
      <c r="AN1360" s="1145">
        <f t="shared" si="393"/>
        <v>0</v>
      </c>
      <c r="AO1360" s="1154">
        <f t="shared" si="394"/>
        <v>2742.5684342917139</v>
      </c>
      <c r="AP1360" s="1147">
        <f t="shared" si="381"/>
        <v>0</v>
      </c>
      <c r="AQ1360" s="1144">
        <f t="shared" si="382"/>
        <v>0</v>
      </c>
      <c r="AR1360" s="1146">
        <f t="shared" si="383"/>
        <v>2742.5684342917139</v>
      </c>
    </row>
    <row r="1361" spans="1:44" x14ac:dyDescent="0.2">
      <c r="A1361" s="1141" t="str">
        <f t="shared" si="378"/>
        <v>1562</v>
      </c>
      <c r="B1361" s="1141" t="str">
        <f>IFERROR(VLOOKUP(A1361,'LAC 103'!A:C,3,FALSE),"")</f>
        <v>OP</v>
      </c>
      <c r="C1361" s="1478" t="str">
        <f>Info!$B$8</f>
        <v>00100</v>
      </c>
      <c r="D1361" s="1474" t="s">
        <v>256</v>
      </c>
      <c r="E1361" s="1474" t="s">
        <v>95</v>
      </c>
      <c r="F1361" s="1478" t="s">
        <v>432</v>
      </c>
      <c r="G1361" s="1478" t="s">
        <v>432</v>
      </c>
      <c r="H1361" s="1474" t="s">
        <v>983</v>
      </c>
      <c r="I1361" s="1478" t="s">
        <v>823</v>
      </c>
      <c r="J1361" s="1478" t="s">
        <v>1999</v>
      </c>
      <c r="K1361" s="1475" t="s">
        <v>849</v>
      </c>
      <c r="L1361" s="1474" t="s">
        <v>77</v>
      </c>
      <c r="M1361" s="1476" t="s">
        <v>841</v>
      </c>
      <c r="N1361" s="1477" t="s">
        <v>1695</v>
      </c>
      <c r="O1361" s="1479">
        <v>99</v>
      </c>
      <c r="P1361" s="1479"/>
      <c r="Q1361" s="1142">
        <f t="shared" si="379"/>
        <v>99</v>
      </c>
      <c r="R1361" s="1143">
        <f>IFERROR(VLOOKUP(CONCATENATE(E1361,G1361),'LAC 103'!$A$12:$O$95,11,FALSE),0)</f>
        <v>5.936295312319726</v>
      </c>
      <c r="S1361" s="1144">
        <f>IFERROR(VLOOKUP(CONCATENATE($E1361,$G1361),'LAC 103'!$A$12:$O$95,12,FALSE),0)</f>
        <v>7.34</v>
      </c>
      <c r="T1361" s="1144">
        <f>IFERROR(VLOOKUP(CONCATENATE($E1361,$G1361),'LAC 103'!$A$12:$O$95,13,FALSE),0)</f>
        <v>4.59</v>
      </c>
      <c r="U1361" s="1144">
        <f>IFERROR(VLOOKUP(CONCATENATE($E1361,$G1361),'LAC 103'!$A$12:$O$95,14,FALSE),0)</f>
        <v>0</v>
      </c>
      <c r="V1361" s="1144">
        <f>IFERROR(VLOOKUP(CONCATENATE($E1361,$G1361),'LAC 103'!$A$12:$O$95,15,FALSE),0)</f>
        <v>0</v>
      </c>
      <c r="W1361" s="1145" t="str">
        <f>IFERROR(VLOOKUP(CONCATENATE($B1361,$N1361),'LAC 103'!$AI:$AQ,9,FALSE),"")</f>
        <v>Costs</v>
      </c>
      <c r="X1361" s="1146">
        <f t="shared" si="384"/>
        <v>5.936295312319726</v>
      </c>
      <c r="Y1361" s="1143">
        <f t="shared" si="395"/>
        <v>587.69323591965292</v>
      </c>
      <c r="Z1361" s="1147">
        <f t="shared" si="385"/>
        <v>726.66</v>
      </c>
      <c r="AA1361" s="1144">
        <f t="shared" si="386"/>
        <v>454.40999999999997</v>
      </c>
      <c r="AB1361" s="1144">
        <f t="shared" si="387"/>
        <v>0</v>
      </c>
      <c r="AC1361" s="1144">
        <f t="shared" si="388"/>
        <v>0</v>
      </c>
      <c r="AD1361" s="1148">
        <f t="shared" si="380"/>
        <v>587.69323591965292</v>
      </c>
      <c r="AE1361" s="1487">
        <v>0</v>
      </c>
      <c r="AF1361" s="1145">
        <f t="shared" si="389"/>
        <v>587.69323591965292</v>
      </c>
      <c r="AG1361" s="1149">
        <f>IFERROR(VLOOKUP(CONCATENATE($L1361,$N1361),'Drop List'!$G$23:$K$87,2,FALSE),0)</f>
        <v>0.9</v>
      </c>
      <c r="AH1361" s="1150">
        <f>IFERROR(VLOOKUP(CONCATENATE($L1361,$N1361),'Drop List'!$G$23:$K$87,3,FALSE),0)</f>
        <v>0</v>
      </c>
      <c r="AI1361" s="1150">
        <f>IFERROR(VLOOKUP(CONCATENATE($L1361,$N1361),'Drop List'!$G$23:$K$87,4,FALSE),0)</f>
        <v>0.1</v>
      </c>
      <c r="AJ1361" s="1151">
        <f>IFERROR(VLOOKUP(CONCATENATE($L1361,$N1361),'Drop List'!$G$23:$K$87,5,FALSE),0)</f>
        <v>0</v>
      </c>
      <c r="AK1361" s="1152">
        <f t="shared" si="390"/>
        <v>528.92391232768762</v>
      </c>
      <c r="AL1361" s="1153">
        <f t="shared" si="391"/>
        <v>0</v>
      </c>
      <c r="AM1361" s="1153">
        <f t="shared" si="392"/>
        <v>58.769323591965296</v>
      </c>
      <c r="AN1361" s="1145">
        <f t="shared" si="393"/>
        <v>0</v>
      </c>
      <c r="AO1361" s="1154">
        <f t="shared" si="394"/>
        <v>587.69323591965292</v>
      </c>
      <c r="AP1361" s="1147">
        <f t="shared" si="381"/>
        <v>0</v>
      </c>
      <c r="AQ1361" s="1144">
        <f t="shared" si="382"/>
        <v>0</v>
      </c>
      <c r="AR1361" s="1146">
        <f t="shared" si="383"/>
        <v>587.69323591965292</v>
      </c>
    </row>
    <row r="1362" spans="1:44" x14ac:dyDescent="0.2">
      <c r="A1362" s="1141" t="str">
        <f t="shared" si="378"/>
        <v>1562</v>
      </c>
      <c r="B1362" s="1141" t="str">
        <f>IFERROR(VLOOKUP(A1362,'LAC 103'!A:C,3,FALSE),"")</f>
        <v>OP</v>
      </c>
      <c r="C1362" s="1478" t="str">
        <f>Info!$B$8</f>
        <v>00100</v>
      </c>
      <c r="D1362" s="1474" t="s">
        <v>256</v>
      </c>
      <c r="E1362" s="1474" t="s">
        <v>95</v>
      </c>
      <c r="F1362" s="1478" t="s">
        <v>432</v>
      </c>
      <c r="G1362" s="1478" t="s">
        <v>432</v>
      </c>
      <c r="H1362" s="1474" t="s">
        <v>983</v>
      </c>
      <c r="I1362" s="1478" t="s">
        <v>823</v>
      </c>
      <c r="J1362" s="1478" t="s">
        <v>1999</v>
      </c>
      <c r="K1362" s="1475" t="s">
        <v>849</v>
      </c>
      <c r="L1362" s="1474" t="s">
        <v>77</v>
      </c>
      <c r="M1362" s="1476" t="s">
        <v>840</v>
      </c>
      <c r="N1362" s="1477" t="s">
        <v>1700</v>
      </c>
      <c r="O1362" s="1479">
        <v>298</v>
      </c>
      <c r="P1362" s="1479"/>
      <c r="Q1362" s="1142">
        <f t="shared" si="379"/>
        <v>298</v>
      </c>
      <c r="R1362" s="1143">
        <f>IFERROR(VLOOKUP(CONCATENATE(E1362,G1362),'LAC 103'!$A$12:$O$95,11,FALSE),0)</f>
        <v>5.936295312319726</v>
      </c>
      <c r="S1362" s="1144">
        <f>IFERROR(VLOOKUP(CONCATENATE($E1362,$G1362),'LAC 103'!$A$12:$O$95,12,FALSE),0)</f>
        <v>7.34</v>
      </c>
      <c r="T1362" s="1144">
        <f>IFERROR(VLOOKUP(CONCATENATE($E1362,$G1362),'LAC 103'!$A$12:$O$95,13,FALSE),0)</f>
        <v>4.59</v>
      </c>
      <c r="U1362" s="1144">
        <f>IFERROR(VLOOKUP(CONCATENATE($E1362,$G1362),'LAC 103'!$A$12:$O$95,14,FALSE),0)</f>
        <v>0</v>
      </c>
      <c r="V1362" s="1144">
        <f>IFERROR(VLOOKUP(CONCATENATE($E1362,$G1362),'LAC 103'!$A$12:$O$95,15,FALSE),0)</f>
        <v>0</v>
      </c>
      <c r="W1362" s="1145" t="str">
        <f>IFERROR(VLOOKUP(CONCATENATE($B1362,$N1362),'LAC 103'!$AI:$AQ,9,FALSE),"")</f>
        <v>P.C.</v>
      </c>
      <c r="X1362" s="1146">
        <f t="shared" si="384"/>
        <v>4.59</v>
      </c>
      <c r="Y1362" s="1143">
        <f t="shared" si="395"/>
        <v>1769.0160030712784</v>
      </c>
      <c r="Z1362" s="1147">
        <f t="shared" si="385"/>
        <v>2187.3200000000002</v>
      </c>
      <c r="AA1362" s="1144">
        <f t="shared" si="386"/>
        <v>1367.82</v>
      </c>
      <c r="AB1362" s="1144">
        <f t="shared" si="387"/>
        <v>0</v>
      </c>
      <c r="AC1362" s="1144">
        <f t="shared" si="388"/>
        <v>0</v>
      </c>
      <c r="AD1362" s="1148">
        <f t="shared" si="380"/>
        <v>1367.82</v>
      </c>
      <c r="AE1362" s="1487">
        <v>0</v>
      </c>
      <c r="AF1362" s="1145">
        <f t="shared" si="389"/>
        <v>1367.82</v>
      </c>
      <c r="AG1362" s="1149">
        <f>IFERROR(VLOOKUP(CONCATENATE($L1362,$N1362),'Drop List'!$G$23:$K$87,2,FALSE),0)</f>
        <v>0.9</v>
      </c>
      <c r="AH1362" s="1150">
        <f>IFERROR(VLOOKUP(CONCATENATE($L1362,$N1362),'Drop List'!$G$23:$K$87,3,FALSE),0)</f>
        <v>0</v>
      </c>
      <c r="AI1362" s="1150">
        <f>IFERROR(VLOOKUP(CONCATENATE($L1362,$N1362),'Drop List'!$G$23:$K$87,4,FALSE),0)</f>
        <v>0.1</v>
      </c>
      <c r="AJ1362" s="1151">
        <f>IFERROR(VLOOKUP(CONCATENATE($L1362,$N1362),'Drop List'!$G$23:$K$87,5,FALSE),0)</f>
        <v>0</v>
      </c>
      <c r="AK1362" s="1152">
        <f t="shared" si="390"/>
        <v>1231.038</v>
      </c>
      <c r="AL1362" s="1153">
        <f t="shared" si="391"/>
        <v>0</v>
      </c>
      <c r="AM1362" s="1153">
        <f t="shared" si="392"/>
        <v>136.78200000000001</v>
      </c>
      <c r="AN1362" s="1145">
        <f t="shared" si="393"/>
        <v>0</v>
      </c>
      <c r="AO1362" s="1154">
        <f t="shared" si="394"/>
        <v>1367.82</v>
      </c>
      <c r="AP1362" s="1147">
        <f t="shared" si="381"/>
        <v>0</v>
      </c>
      <c r="AQ1362" s="1144">
        <f t="shared" si="382"/>
        <v>0</v>
      </c>
      <c r="AR1362" s="1146">
        <f t="shared" si="383"/>
        <v>1367.82</v>
      </c>
    </row>
    <row r="1363" spans="1:44" x14ac:dyDescent="0.2">
      <c r="A1363" s="1141" t="str">
        <f t="shared" si="378"/>
        <v>1562</v>
      </c>
      <c r="B1363" s="1141" t="str">
        <f>IFERROR(VLOOKUP(A1363,'LAC 103'!A:C,3,FALSE),"")</f>
        <v>OP</v>
      </c>
      <c r="C1363" s="1478" t="str">
        <f>Info!$B$8</f>
        <v>00100</v>
      </c>
      <c r="D1363" s="1474" t="s">
        <v>256</v>
      </c>
      <c r="E1363" s="1474" t="s">
        <v>95</v>
      </c>
      <c r="F1363" s="1478" t="s">
        <v>432</v>
      </c>
      <c r="G1363" s="1478" t="s">
        <v>432</v>
      </c>
      <c r="H1363" s="1474" t="s">
        <v>983</v>
      </c>
      <c r="I1363" s="1478" t="s">
        <v>823</v>
      </c>
      <c r="J1363" s="1478" t="s">
        <v>1999</v>
      </c>
      <c r="K1363" s="1475" t="s">
        <v>849</v>
      </c>
      <c r="L1363" s="1474" t="s">
        <v>77</v>
      </c>
      <c r="M1363" s="1476" t="s">
        <v>842</v>
      </c>
      <c r="N1363" s="1477" t="s">
        <v>1692</v>
      </c>
      <c r="O1363" s="1479">
        <v>309</v>
      </c>
      <c r="P1363" s="1479"/>
      <c r="Q1363" s="1142">
        <f t="shared" si="379"/>
        <v>309</v>
      </c>
      <c r="R1363" s="1143">
        <f>IFERROR(VLOOKUP(CONCATENATE(E1363,G1363),'LAC 103'!$A$12:$O$95,11,FALSE),0)</f>
        <v>5.936295312319726</v>
      </c>
      <c r="S1363" s="1144">
        <f>IFERROR(VLOOKUP(CONCATENATE($E1363,$G1363),'LAC 103'!$A$12:$O$95,12,FALSE),0)</f>
        <v>7.34</v>
      </c>
      <c r="T1363" s="1144">
        <f>IFERROR(VLOOKUP(CONCATENATE($E1363,$G1363),'LAC 103'!$A$12:$O$95,13,FALSE),0)</f>
        <v>4.59</v>
      </c>
      <c r="U1363" s="1144">
        <f>IFERROR(VLOOKUP(CONCATENATE($E1363,$G1363),'LAC 103'!$A$12:$O$95,14,FALSE),0)</f>
        <v>0</v>
      </c>
      <c r="V1363" s="1144">
        <f>IFERROR(VLOOKUP(CONCATENATE($E1363,$G1363),'LAC 103'!$A$12:$O$95,15,FALSE),0)</f>
        <v>0</v>
      </c>
      <c r="W1363" s="1145" t="str">
        <f>IFERROR(VLOOKUP(CONCATENATE($B1363,$N1363),'LAC 103'!$AI:$AQ,9,FALSE),"")</f>
        <v>Costs</v>
      </c>
      <c r="X1363" s="1146">
        <f t="shared" si="384"/>
        <v>5.936295312319726</v>
      </c>
      <c r="Y1363" s="1143">
        <f t="shared" si="395"/>
        <v>1834.3152515067952</v>
      </c>
      <c r="Z1363" s="1147">
        <f t="shared" si="385"/>
        <v>2268.06</v>
      </c>
      <c r="AA1363" s="1144">
        <f t="shared" si="386"/>
        <v>1418.31</v>
      </c>
      <c r="AB1363" s="1144">
        <f t="shared" si="387"/>
        <v>0</v>
      </c>
      <c r="AC1363" s="1144">
        <f t="shared" si="388"/>
        <v>0</v>
      </c>
      <c r="AD1363" s="1148">
        <f t="shared" si="380"/>
        <v>1834.3152515067952</v>
      </c>
      <c r="AE1363" s="1487">
        <v>0</v>
      </c>
      <c r="AF1363" s="1145">
        <f t="shared" si="389"/>
        <v>1834.3152515067952</v>
      </c>
      <c r="AG1363" s="1149">
        <f>IFERROR(VLOOKUP(CONCATENATE($L1363,$N1363),'Drop List'!$G$23:$K$87,2,FALSE),0)</f>
        <v>0.9</v>
      </c>
      <c r="AH1363" s="1150">
        <f>IFERROR(VLOOKUP(CONCATENATE($L1363,$N1363),'Drop List'!$G$23:$K$87,3,FALSE),0)</f>
        <v>0</v>
      </c>
      <c r="AI1363" s="1150">
        <f>IFERROR(VLOOKUP(CONCATENATE($L1363,$N1363),'Drop List'!$G$23:$K$87,4,FALSE),0)</f>
        <v>0.1</v>
      </c>
      <c r="AJ1363" s="1151">
        <f>IFERROR(VLOOKUP(CONCATENATE($L1363,$N1363),'Drop List'!$G$23:$K$87,5,FALSE),0)</f>
        <v>0</v>
      </c>
      <c r="AK1363" s="1152">
        <f t="shared" si="390"/>
        <v>1650.8837263561156</v>
      </c>
      <c r="AL1363" s="1153">
        <f t="shared" si="391"/>
        <v>0</v>
      </c>
      <c r="AM1363" s="1153">
        <f t="shared" si="392"/>
        <v>183.43152515067953</v>
      </c>
      <c r="AN1363" s="1145">
        <f t="shared" si="393"/>
        <v>0</v>
      </c>
      <c r="AO1363" s="1154">
        <f t="shared" si="394"/>
        <v>1834.3152515067952</v>
      </c>
      <c r="AP1363" s="1147">
        <f t="shared" si="381"/>
        <v>0</v>
      </c>
      <c r="AQ1363" s="1144">
        <f t="shared" si="382"/>
        <v>0</v>
      </c>
      <c r="AR1363" s="1146">
        <f t="shared" si="383"/>
        <v>1834.3152515067952</v>
      </c>
    </row>
    <row r="1364" spans="1:44" x14ac:dyDescent="0.2">
      <c r="A1364" s="1141" t="str">
        <f t="shared" si="378"/>
        <v>1562</v>
      </c>
      <c r="B1364" s="1141" t="str">
        <f>IFERROR(VLOOKUP(A1364,'LAC 103'!A:C,3,FALSE),"")</f>
        <v>OP</v>
      </c>
      <c r="C1364" s="1478" t="str">
        <f>Info!$B$8</f>
        <v>00100</v>
      </c>
      <c r="D1364" s="1474" t="s">
        <v>256</v>
      </c>
      <c r="E1364" s="1474" t="s">
        <v>95</v>
      </c>
      <c r="F1364" s="1478" t="s">
        <v>432</v>
      </c>
      <c r="G1364" s="1478" t="s">
        <v>432</v>
      </c>
      <c r="H1364" s="1474" t="s">
        <v>983</v>
      </c>
      <c r="I1364" s="1478" t="s">
        <v>823</v>
      </c>
      <c r="J1364" s="1478" t="s">
        <v>1999</v>
      </c>
      <c r="K1364" s="1475" t="s">
        <v>849</v>
      </c>
      <c r="L1364" s="1474" t="s">
        <v>77</v>
      </c>
      <c r="M1364" s="1476" t="s">
        <v>1698</v>
      </c>
      <c r="N1364" s="1477" t="s">
        <v>1693</v>
      </c>
      <c r="O1364" s="1479">
        <v>335</v>
      </c>
      <c r="P1364" s="1479"/>
      <c r="Q1364" s="1142">
        <f t="shared" si="379"/>
        <v>335</v>
      </c>
      <c r="R1364" s="1143">
        <f>IFERROR(VLOOKUP(CONCATENATE(E1364,G1364),'LAC 103'!$A$12:$O$95,11,FALSE),0)</f>
        <v>5.936295312319726</v>
      </c>
      <c r="S1364" s="1144">
        <f>IFERROR(VLOOKUP(CONCATENATE($E1364,$G1364),'LAC 103'!$A$12:$O$95,12,FALSE),0)</f>
        <v>7.34</v>
      </c>
      <c r="T1364" s="1144">
        <f>IFERROR(VLOOKUP(CONCATENATE($E1364,$G1364),'LAC 103'!$A$12:$O$95,13,FALSE),0)</f>
        <v>4.59</v>
      </c>
      <c r="U1364" s="1144">
        <f>IFERROR(VLOOKUP(CONCATENATE($E1364,$G1364),'LAC 103'!$A$12:$O$95,14,FALSE),0)</f>
        <v>0</v>
      </c>
      <c r="V1364" s="1144">
        <f>IFERROR(VLOOKUP(CONCATENATE($E1364,$G1364),'LAC 103'!$A$12:$O$95,15,FALSE),0)</f>
        <v>0</v>
      </c>
      <c r="W1364" s="1145" t="str">
        <f>IFERROR(VLOOKUP(CONCATENATE($B1364,$N1364),'LAC 103'!$AI:$AQ,9,FALSE),"")</f>
        <v>Costs</v>
      </c>
      <c r="X1364" s="1146">
        <f t="shared" si="384"/>
        <v>5.936295312319726</v>
      </c>
      <c r="Y1364" s="1143">
        <f t="shared" si="395"/>
        <v>1988.6589296271081</v>
      </c>
      <c r="Z1364" s="1147">
        <f t="shared" si="385"/>
        <v>2458.9</v>
      </c>
      <c r="AA1364" s="1144">
        <f t="shared" si="386"/>
        <v>1537.6499999999999</v>
      </c>
      <c r="AB1364" s="1144">
        <f t="shared" si="387"/>
        <v>0</v>
      </c>
      <c r="AC1364" s="1144">
        <f t="shared" si="388"/>
        <v>0</v>
      </c>
      <c r="AD1364" s="1148">
        <f t="shared" si="380"/>
        <v>1988.6589296271081</v>
      </c>
      <c r="AE1364" s="1487">
        <v>0</v>
      </c>
      <c r="AF1364" s="1145">
        <f t="shared" si="389"/>
        <v>1988.6589296271081</v>
      </c>
      <c r="AG1364" s="1149">
        <f>IFERROR(VLOOKUP(CONCATENATE($L1364,$N1364),'Drop List'!$G$23:$K$87,2,FALSE),0)</f>
        <v>0.9</v>
      </c>
      <c r="AH1364" s="1150">
        <f>IFERROR(VLOOKUP(CONCATENATE($L1364,$N1364),'Drop List'!$G$23:$K$87,3,FALSE),0)</f>
        <v>0</v>
      </c>
      <c r="AI1364" s="1150">
        <f>IFERROR(VLOOKUP(CONCATENATE($L1364,$N1364),'Drop List'!$G$23:$K$87,4,FALSE),0)</f>
        <v>0.1</v>
      </c>
      <c r="AJ1364" s="1151">
        <f>IFERROR(VLOOKUP(CONCATENATE($L1364,$N1364),'Drop List'!$G$23:$K$87,5,FALSE),0)</f>
        <v>0</v>
      </c>
      <c r="AK1364" s="1152">
        <f t="shared" si="390"/>
        <v>1789.7930366643973</v>
      </c>
      <c r="AL1364" s="1153">
        <f t="shared" si="391"/>
        <v>0</v>
      </c>
      <c r="AM1364" s="1153">
        <f t="shared" si="392"/>
        <v>198.86589296271083</v>
      </c>
      <c r="AN1364" s="1145">
        <f t="shared" si="393"/>
        <v>0</v>
      </c>
      <c r="AO1364" s="1154">
        <f t="shared" si="394"/>
        <v>1988.6589296271081</v>
      </c>
      <c r="AP1364" s="1147">
        <f t="shared" si="381"/>
        <v>0</v>
      </c>
      <c r="AQ1364" s="1144">
        <f t="shared" si="382"/>
        <v>0</v>
      </c>
      <c r="AR1364" s="1146">
        <f t="shared" si="383"/>
        <v>1988.6589296271081</v>
      </c>
    </row>
    <row r="1365" spans="1:44" x14ac:dyDescent="0.2">
      <c r="A1365" s="1141" t="str">
        <f t="shared" si="378"/>
        <v>1562</v>
      </c>
      <c r="B1365" s="1141" t="str">
        <f>IFERROR(VLOOKUP(A1365,'LAC 103'!A:C,3,FALSE),"")</f>
        <v>OP</v>
      </c>
      <c r="C1365" s="1478" t="str">
        <f>Info!$B$8</f>
        <v>00100</v>
      </c>
      <c r="D1365" s="1474" t="s">
        <v>256</v>
      </c>
      <c r="E1365" s="1474" t="s">
        <v>95</v>
      </c>
      <c r="F1365" s="1478" t="s">
        <v>432</v>
      </c>
      <c r="G1365" s="1478" t="s">
        <v>432</v>
      </c>
      <c r="H1365" s="1474" t="s">
        <v>983</v>
      </c>
      <c r="I1365" s="1478" t="s">
        <v>823</v>
      </c>
      <c r="J1365" s="1478" t="s">
        <v>1999</v>
      </c>
      <c r="K1365" s="1475" t="s">
        <v>851</v>
      </c>
      <c r="L1365" s="1474" t="s">
        <v>584</v>
      </c>
      <c r="M1365" s="1476" t="s">
        <v>1699</v>
      </c>
      <c r="N1365" s="1477" t="s">
        <v>1694</v>
      </c>
      <c r="O1365" s="1479">
        <v>169</v>
      </c>
      <c r="P1365" s="1479"/>
      <c r="Q1365" s="1142">
        <f t="shared" si="379"/>
        <v>169</v>
      </c>
      <c r="R1365" s="1143">
        <f>IFERROR(VLOOKUP(CONCATENATE(E1365,G1365),'LAC 103'!$A$12:$O$95,11,FALSE),0)</f>
        <v>5.936295312319726</v>
      </c>
      <c r="S1365" s="1144">
        <f>IFERROR(VLOOKUP(CONCATENATE($E1365,$G1365),'LAC 103'!$A$12:$O$95,12,FALSE),0)</f>
        <v>7.34</v>
      </c>
      <c r="T1365" s="1144">
        <f>IFERROR(VLOOKUP(CONCATENATE($E1365,$G1365),'LAC 103'!$A$12:$O$95,13,FALSE),0)</f>
        <v>4.59</v>
      </c>
      <c r="U1365" s="1144">
        <f>IFERROR(VLOOKUP(CONCATENATE($E1365,$G1365),'LAC 103'!$A$12:$O$95,14,FALSE),0)</f>
        <v>0</v>
      </c>
      <c r="V1365" s="1144">
        <f>IFERROR(VLOOKUP(CONCATENATE($E1365,$G1365),'LAC 103'!$A$12:$O$95,15,FALSE),0)</f>
        <v>0</v>
      </c>
      <c r="W1365" s="1145" t="str">
        <f>IFERROR(VLOOKUP(CONCATENATE($B1365,$N1365),'LAC 103'!$AI:$AQ,9,FALSE),"")</f>
        <v>Costs</v>
      </c>
      <c r="X1365" s="1146">
        <f t="shared" si="384"/>
        <v>5.936295312319726</v>
      </c>
      <c r="Y1365" s="1143">
        <f t="shared" si="395"/>
        <v>1003.2339077820337</v>
      </c>
      <c r="Z1365" s="1147">
        <f t="shared" si="385"/>
        <v>1240.46</v>
      </c>
      <c r="AA1365" s="1144">
        <f t="shared" si="386"/>
        <v>775.70999999999992</v>
      </c>
      <c r="AB1365" s="1144">
        <f t="shared" si="387"/>
        <v>0</v>
      </c>
      <c r="AC1365" s="1144">
        <f t="shared" si="388"/>
        <v>0</v>
      </c>
      <c r="AD1365" s="1148">
        <f t="shared" si="380"/>
        <v>1003.2339077820337</v>
      </c>
      <c r="AE1365" s="1487">
        <v>0</v>
      </c>
      <c r="AF1365" s="1145">
        <f t="shared" si="389"/>
        <v>1003.2339077820337</v>
      </c>
      <c r="AG1365" s="1149">
        <f>IFERROR(VLOOKUP(CONCATENATE($L1365,$N1365),'Drop List'!$G$23:$K$87,2,FALSE),0)</f>
        <v>0.56200000000000006</v>
      </c>
      <c r="AH1365" s="1150">
        <f>IFERROR(VLOOKUP(CONCATENATE($L1365,$N1365),'Drop List'!$G$23:$K$87,3,FALSE),0)</f>
        <v>0</v>
      </c>
      <c r="AI1365" s="1150">
        <f>IFERROR(VLOOKUP(CONCATENATE($L1365,$N1365),'Drop List'!$G$23:$K$87,4,FALSE),0)</f>
        <v>0</v>
      </c>
      <c r="AJ1365" s="1151">
        <f>IFERROR(VLOOKUP(CONCATENATE($L1365,$N1365),'Drop List'!$G$23:$K$87,5,FALSE),0)</f>
        <v>0.43799999999999994</v>
      </c>
      <c r="AK1365" s="1152">
        <f t="shared" si="390"/>
        <v>563.81745617350305</v>
      </c>
      <c r="AL1365" s="1153">
        <f t="shared" si="391"/>
        <v>0</v>
      </c>
      <c r="AM1365" s="1153">
        <f t="shared" si="392"/>
        <v>0</v>
      </c>
      <c r="AN1365" s="1145">
        <f t="shared" si="393"/>
        <v>439.41645160853074</v>
      </c>
      <c r="AO1365" s="1154">
        <f t="shared" si="394"/>
        <v>1003.2339077820338</v>
      </c>
      <c r="AP1365" s="1147">
        <f t="shared" si="381"/>
        <v>0</v>
      </c>
      <c r="AQ1365" s="1144">
        <f t="shared" si="382"/>
        <v>0</v>
      </c>
      <c r="AR1365" s="1146">
        <f t="shared" si="383"/>
        <v>1003.2339077820338</v>
      </c>
    </row>
    <row r="1366" spans="1:44" x14ac:dyDescent="0.2">
      <c r="A1366" s="1141" t="str">
        <f t="shared" ref="A1366:A1429" si="396">IF(CONCATENATE(E1366,G1366)="","",CONCATENATE(E1366,G1366))</f>
        <v>1562</v>
      </c>
      <c r="B1366" s="1141" t="str">
        <f>IFERROR(VLOOKUP(A1366,'LAC 103'!A:C,3,FALSE),"")</f>
        <v>OP</v>
      </c>
      <c r="C1366" s="1478" t="str">
        <f>Info!$B$8</f>
        <v>00100</v>
      </c>
      <c r="D1366" s="1474" t="s">
        <v>256</v>
      </c>
      <c r="E1366" s="1474" t="s">
        <v>95</v>
      </c>
      <c r="F1366" s="1478" t="s">
        <v>432</v>
      </c>
      <c r="G1366" s="1478" t="s">
        <v>432</v>
      </c>
      <c r="H1366" s="1474" t="s">
        <v>983</v>
      </c>
      <c r="I1366" s="1478" t="s">
        <v>823</v>
      </c>
      <c r="J1366" s="1478" t="s">
        <v>1999</v>
      </c>
      <c r="K1366" s="1475" t="s">
        <v>851</v>
      </c>
      <c r="L1366" s="1474" t="s">
        <v>584</v>
      </c>
      <c r="M1366" s="1476" t="s">
        <v>841</v>
      </c>
      <c r="N1366" s="1477" t="s">
        <v>1695</v>
      </c>
      <c r="O1366" s="1479">
        <v>32</v>
      </c>
      <c r="P1366" s="1479"/>
      <c r="Q1366" s="1142">
        <f t="shared" si="379"/>
        <v>32</v>
      </c>
      <c r="R1366" s="1143">
        <f>IFERROR(VLOOKUP(CONCATENATE(E1366,G1366),'LAC 103'!$A$12:$O$95,11,FALSE),0)</f>
        <v>5.936295312319726</v>
      </c>
      <c r="S1366" s="1144">
        <f>IFERROR(VLOOKUP(CONCATENATE($E1366,$G1366),'LAC 103'!$A$12:$O$95,12,FALSE),0)</f>
        <v>7.34</v>
      </c>
      <c r="T1366" s="1144">
        <f>IFERROR(VLOOKUP(CONCATENATE($E1366,$G1366),'LAC 103'!$A$12:$O$95,13,FALSE),0)</f>
        <v>4.59</v>
      </c>
      <c r="U1366" s="1144">
        <f>IFERROR(VLOOKUP(CONCATENATE($E1366,$G1366),'LAC 103'!$A$12:$O$95,14,FALSE),0)</f>
        <v>0</v>
      </c>
      <c r="V1366" s="1144">
        <f>IFERROR(VLOOKUP(CONCATENATE($E1366,$G1366),'LAC 103'!$A$12:$O$95,15,FALSE),0)</f>
        <v>0</v>
      </c>
      <c r="W1366" s="1145" t="str">
        <f>IFERROR(VLOOKUP(CONCATENATE($B1366,$N1366),'LAC 103'!$AI:$AQ,9,FALSE),"")</f>
        <v>Costs</v>
      </c>
      <c r="X1366" s="1146">
        <f t="shared" si="384"/>
        <v>5.936295312319726</v>
      </c>
      <c r="Y1366" s="1143">
        <f t="shared" si="395"/>
        <v>189.96144999423123</v>
      </c>
      <c r="Z1366" s="1147">
        <f t="shared" si="385"/>
        <v>234.88</v>
      </c>
      <c r="AA1366" s="1144">
        <f t="shared" si="386"/>
        <v>146.88</v>
      </c>
      <c r="AB1366" s="1144">
        <f t="shared" si="387"/>
        <v>0</v>
      </c>
      <c r="AC1366" s="1144">
        <f t="shared" si="388"/>
        <v>0</v>
      </c>
      <c r="AD1366" s="1148">
        <f t="shared" si="380"/>
        <v>189.96144999423123</v>
      </c>
      <c r="AE1366" s="1487">
        <v>0</v>
      </c>
      <c r="AF1366" s="1145">
        <f t="shared" si="389"/>
        <v>189.96144999423123</v>
      </c>
      <c r="AG1366" s="1149">
        <f>IFERROR(VLOOKUP(CONCATENATE($L1366,$N1366),'Drop List'!$G$23:$K$87,2,FALSE),0)</f>
        <v>0.55000000000000004</v>
      </c>
      <c r="AH1366" s="1150">
        <f>IFERROR(VLOOKUP(CONCATENATE($L1366,$N1366),'Drop List'!$G$23:$K$87,3,FALSE),0)</f>
        <v>0</v>
      </c>
      <c r="AI1366" s="1150">
        <f>IFERROR(VLOOKUP(CONCATENATE($L1366,$N1366),'Drop List'!$G$23:$K$87,4,FALSE),0)</f>
        <v>0</v>
      </c>
      <c r="AJ1366" s="1151">
        <f>IFERROR(VLOOKUP(CONCATENATE($L1366,$N1366),'Drop List'!$G$23:$K$87,5,FALSE),0)</f>
        <v>0.44999999999999996</v>
      </c>
      <c r="AK1366" s="1152">
        <f t="shared" si="390"/>
        <v>104.47879749682718</v>
      </c>
      <c r="AL1366" s="1153">
        <f t="shared" si="391"/>
        <v>0</v>
      </c>
      <c r="AM1366" s="1153">
        <f t="shared" si="392"/>
        <v>0</v>
      </c>
      <c r="AN1366" s="1145">
        <f t="shared" si="393"/>
        <v>85.482652497404047</v>
      </c>
      <c r="AO1366" s="1154">
        <f t="shared" si="394"/>
        <v>189.96144999423123</v>
      </c>
      <c r="AP1366" s="1147">
        <f t="shared" si="381"/>
        <v>0</v>
      </c>
      <c r="AQ1366" s="1144">
        <f t="shared" si="382"/>
        <v>0</v>
      </c>
      <c r="AR1366" s="1146">
        <f t="shared" si="383"/>
        <v>189.96144999423123</v>
      </c>
    </row>
    <row r="1367" spans="1:44" x14ac:dyDescent="0.2">
      <c r="A1367" s="1141" t="str">
        <f t="shared" si="396"/>
        <v>1562</v>
      </c>
      <c r="B1367" s="1141" t="str">
        <f>IFERROR(VLOOKUP(A1367,'LAC 103'!A:C,3,FALSE),"")</f>
        <v>OP</v>
      </c>
      <c r="C1367" s="1478" t="str">
        <f>Info!$B$8</f>
        <v>00100</v>
      </c>
      <c r="D1367" s="1474" t="s">
        <v>256</v>
      </c>
      <c r="E1367" s="1474" t="s">
        <v>95</v>
      </c>
      <c r="F1367" s="1478" t="s">
        <v>432</v>
      </c>
      <c r="G1367" s="1478" t="s">
        <v>432</v>
      </c>
      <c r="H1367" s="1474" t="s">
        <v>983</v>
      </c>
      <c r="I1367" s="1478" t="s">
        <v>823</v>
      </c>
      <c r="J1367" s="1478" t="s">
        <v>1999</v>
      </c>
      <c r="K1367" s="1475" t="s">
        <v>851</v>
      </c>
      <c r="L1367" s="1474" t="s">
        <v>584</v>
      </c>
      <c r="M1367" s="1476" t="s">
        <v>840</v>
      </c>
      <c r="N1367" s="1477" t="s">
        <v>1700</v>
      </c>
      <c r="O1367" s="1479">
        <v>75</v>
      </c>
      <c r="P1367" s="1479"/>
      <c r="Q1367" s="1142">
        <f t="shared" si="379"/>
        <v>75</v>
      </c>
      <c r="R1367" s="1143">
        <f>IFERROR(VLOOKUP(CONCATENATE(E1367,G1367),'LAC 103'!$A$12:$O$95,11,FALSE),0)</f>
        <v>5.936295312319726</v>
      </c>
      <c r="S1367" s="1144">
        <f>IFERROR(VLOOKUP(CONCATENATE($E1367,$G1367),'LAC 103'!$A$12:$O$95,12,FALSE),0)</f>
        <v>7.34</v>
      </c>
      <c r="T1367" s="1144">
        <f>IFERROR(VLOOKUP(CONCATENATE($E1367,$G1367),'LAC 103'!$A$12:$O$95,13,FALSE),0)</f>
        <v>4.59</v>
      </c>
      <c r="U1367" s="1144">
        <f>IFERROR(VLOOKUP(CONCATENATE($E1367,$G1367),'LAC 103'!$A$12:$O$95,14,FALSE),0)</f>
        <v>0</v>
      </c>
      <c r="V1367" s="1144">
        <f>IFERROR(VLOOKUP(CONCATENATE($E1367,$G1367),'LAC 103'!$A$12:$O$95,15,FALSE),0)</f>
        <v>0</v>
      </c>
      <c r="W1367" s="1145" t="str">
        <f>IFERROR(VLOOKUP(CONCATENATE($B1367,$N1367),'LAC 103'!$AI:$AQ,9,FALSE),"")</f>
        <v>P.C.</v>
      </c>
      <c r="X1367" s="1146">
        <f t="shared" si="384"/>
        <v>4.59</v>
      </c>
      <c r="Y1367" s="1143">
        <f t="shared" si="395"/>
        <v>445.22214842397943</v>
      </c>
      <c r="Z1367" s="1147">
        <f t="shared" si="385"/>
        <v>550.5</v>
      </c>
      <c r="AA1367" s="1144">
        <f t="shared" si="386"/>
        <v>344.25</v>
      </c>
      <c r="AB1367" s="1144">
        <f t="shared" si="387"/>
        <v>0</v>
      </c>
      <c r="AC1367" s="1144">
        <f t="shared" si="388"/>
        <v>0</v>
      </c>
      <c r="AD1367" s="1148">
        <f t="shared" si="380"/>
        <v>344.25</v>
      </c>
      <c r="AE1367" s="1487">
        <v>0</v>
      </c>
      <c r="AF1367" s="1145">
        <f t="shared" si="389"/>
        <v>344.25</v>
      </c>
      <c r="AG1367" s="1149">
        <f>IFERROR(VLOOKUP(CONCATENATE($L1367,$N1367),'Drop List'!$G$23:$K$87,2,FALSE),0)</f>
        <v>0.55000000000000004</v>
      </c>
      <c r="AH1367" s="1150">
        <f>IFERROR(VLOOKUP(CONCATENATE($L1367,$N1367),'Drop List'!$G$23:$K$87,3,FALSE),0)</f>
        <v>0</v>
      </c>
      <c r="AI1367" s="1150">
        <f>IFERROR(VLOOKUP(CONCATENATE($L1367,$N1367),'Drop List'!$G$23:$K$87,4,FALSE),0)</f>
        <v>0</v>
      </c>
      <c r="AJ1367" s="1151">
        <f>IFERROR(VLOOKUP(CONCATENATE($L1367,$N1367),'Drop List'!$G$23:$K$87,5,FALSE),0)</f>
        <v>0.44999999999999996</v>
      </c>
      <c r="AK1367" s="1152">
        <f t="shared" si="390"/>
        <v>189.33750000000001</v>
      </c>
      <c r="AL1367" s="1153">
        <f t="shared" si="391"/>
        <v>0</v>
      </c>
      <c r="AM1367" s="1153">
        <f t="shared" si="392"/>
        <v>0</v>
      </c>
      <c r="AN1367" s="1145">
        <f t="shared" si="393"/>
        <v>154.91249999999999</v>
      </c>
      <c r="AO1367" s="1154">
        <f t="shared" si="394"/>
        <v>344.25</v>
      </c>
      <c r="AP1367" s="1147">
        <f t="shared" si="381"/>
        <v>0</v>
      </c>
      <c r="AQ1367" s="1144">
        <f t="shared" si="382"/>
        <v>0</v>
      </c>
      <c r="AR1367" s="1146">
        <f t="shared" si="383"/>
        <v>344.25</v>
      </c>
    </row>
    <row r="1368" spans="1:44" x14ac:dyDescent="0.2">
      <c r="A1368" s="1141" t="str">
        <f t="shared" si="396"/>
        <v>1562</v>
      </c>
      <c r="B1368" s="1141" t="str">
        <f>IFERROR(VLOOKUP(A1368,'LAC 103'!A:C,3,FALSE),"")</f>
        <v>OP</v>
      </c>
      <c r="C1368" s="1478" t="str">
        <f>Info!$B$8</f>
        <v>00100</v>
      </c>
      <c r="D1368" s="1474" t="s">
        <v>256</v>
      </c>
      <c r="E1368" s="1474" t="s">
        <v>95</v>
      </c>
      <c r="F1368" s="1478" t="s">
        <v>432</v>
      </c>
      <c r="G1368" s="1478" t="s">
        <v>432</v>
      </c>
      <c r="H1368" s="1474" t="s">
        <v>983</v>
      </c>
      <c r="I1368" s="1478" t="s">
        <v>823</v>
      </c>
      <c r="J1368" s="1478" t="s">
        <v>2000</v>
      </c>
      <c r="K1368" s="1475" t="s">
        <v>849</v>
      </c>
      <c r="L1368" s="1474" t="s">
        <v>77</v>
      </c>
      <c r="M1368" s="1476" t="s">
        <v>1699</v>
      </c>
      <c r="N1368" s="1477" t="s">
        <v>1694</v>
      </c>
      <c r="O1368" s="1479">
        <v>716</v>
      </c>
      <c r="P1368" s="1479"/>
      <c r="Q1368" s="1142">
        <f t="shared" si="379"/>
        <v>716</v>
      </c>
      <c r="R1368" s="1143">
        <f>IFERROR(VLOOKUP(CONCATENATE(E1368,G1368),'LAC 103'!$A$12:$O$95,11,FALSE),0)</f>
        <v>5.936295312319726</v>
      </c>
      <c r="S1368" s="1144">
        <f>IFERROR(VLOOKUP(CONCATENATE($E1368,$G1368),'LAC 103'!$A$12:$O$95,12,FALSE),0)</f>
        <v>7.34</v>
      </c>
      <c r="T1368" s="1144">
        <f>IFERROR(VLOOKUP(CONCATENATE($E1368,$G1368),'LAC 103'!$A$12:$O$95,13,FALSE),0)</f>
        <v>4.59</v>
      </c>
      <c r="U1368" s="1144">
        <f>IFERROR(VLOOKUP(CONCATENATE($E1368,$G1368),'LAC 103'!$A$12:$O$95,14,FALSE),0)</f>
        <v>0</v>
      </c>
      <c r="V1368" s="1144">
        <f>IFERROR(VLOOKUP(CONCATENATE($E1368,$G1368),'LAC 103'!$A$12:$O$95,15,FALSE),0)</f>
        <v>0</v>
      </c>
      <c r="W1368" s="1145" t="str">
        <f>IFERROR(VLOOKUP(CONCATENATE($B1368,$N1368),'LAC 103'!$AI:$AQ,9,FALSE),"")</f>
        <v>Costs</v>
      </c>
      <c r="X1368" s="1146">
        <f t="shared" si="384"/>
        <v>5.936295312319726</v>
      </c>
      <c r="Y1368" s="1143">
        <f t="shared" si="395"/>
        <v>4250.3874436209235</v>
      </c>
      <c r="Z1368" s="1147">
        <f t="shared" si="385"/>
        <v>5255.44</v>
      </c>
      <c r="AA1368" s="1144">
        <f t="shared" si="386"/>
        <v>3286.44</v>
      </c>
      <c r="AB1368" s="1144">
        <f t="shared" si="387"/>
        <v>0</v>
      </c>
      <c r="AC1368" s="1144">
        <f t="shared" si="388"/>
        <v>0</v>
      </c>
      <c r="AD1368" s="1148">
        <f t="shared" si="380"/>
        <v>4250.3874436209235</v>
      </c>
      <c r="AE1368" s="1487">
        <v>0</v>
      </c>
      <c r="AF1368" s="1145">
        <f t="shared" si="389"/>
        <v>4250.3874436209235</v>
      </c>
      <c r="AG1368" s="1149">
        <f>IFERROR(VLOOKUP(CONCATENATE($L1368,$N1368),'Drop List'!$G$23:$K$87,2,FALSE),0)</f>
        <v>0.9</v>
      </c>
      <c r="AH1368" s="1150">
        <f>IFERROR(VLOOKUP(CONCATENATE($L1368,$N1368),'Drop List'!$G$23:$K$87,3,FALSE),0)</f>
        <v>0</v>
      </c>
      <c r="AI1368" s="1150">
        <f>IFERROR(VLOOKUP(CONCATENATE($L1368,$N1368),'Drop List'!$G$23:$K$87,4,FALSE),0)</f>
        <v>0.1</v>
      </c>
      <c r="AJ1368" s="1151">
        <f>IFERROR(VLOOKUP(CONCATENATE($L1368,$N1368),'Drop List'!$G$23:$K$87,5,FALSE),0)</f>
        <v>0</v>
      </c>
      <c r="AK1368" s="1152">
        <f t="shared" si="390"/>
        <v>3825.3486992588314</v>
      </c>
      <c r="AL1368" s="1153">
        <f t="shared" si="391"/>
        <v>0</v>
      </c>
      <c r="AM1368" s="1153">
        <f t="shared" si="392"/>
        <v>425.03874436209236</v>
      </c>
      <c r="AN1368" s="1145">
        <f t="shared" si="393"/>
        <v>0</v>
      </c>
      <c r="AO1368" s="1154">
        <f t="shared" si="394"/>
        <v>4250.3874436209235</v>
      </c>
      <c r="AP1368" s="1147">
        <f t="shared" si="381"/>
        <v>0</v>
      </c>
      <c r="AQ1368" s="1144">
        <f t="shared" si="382"/>
        <v>0</v>
      </c>
      <c r="AR1368" s="1146">
        <f t="shared" si="383"/>
        <v>4250.3874436209235</v>
      </c>
    </row>
    <row r="1369" spans="1:44" x14ac:dyDescent="0.2">
      <c r="A1369" s="1141" t="str">
        <f t="shared" si="396"/>
        <v>1562</v>
      </c>
      <c r="B1369" s="1141" t="str">
        <f>IFERROR(VLOOKUP(A1369,'LAC 103'!A:C,3,FALSE),"")</f>
        <v>OP</v>
      </c>
      <c r="C1369" s="1478" t="str">
        <f>Info!$B$8</f>
        <v>00100</v>
      </c>
      <c r="D1369" s="1474" t="s">
        <v>256</v>
      </c>
      <c r="E1369" s="1474" t="s">
        <v>95</v>
      </c>
      <c r="F1369" s="1478" t="s">
        <v>432</v>
      </c>
      <c r="G1369" s="1478" t="s">
        <v>432</v>
      </c>
      <c r="H1369" s="1474" t="s">
        <v>983</v>
      </c>
      <c r="I1369" s="1478" t="s">
        <v>823</v>
      </c>
      <c r="J1369" s="1478" t="s">
        <v>2000</v>
      </c>
      <c r="K1369" s="1475" t="s">
        <v>849</v>
      </c>
      <c r="L1369" s="1474" t="s">
        <v>77</v>
      </c>
      <c r="M1369" s="1476" t="s">
        <v>841</v>
      </c>
      <c r="N1369" s="1477" t="s">
        <v>1695</v>
      </c>
      <c r="O1369" s="1479">
        <v>273</v>
      </c>
      <c r="P1369" s="1479"/>
      <c r="Q1369" s="1142">
        <f t="shared" si="379"/>
        <v>273</v>
      </c>
      <c r="R1369" s="1143">
        <f>IFERROR(VLOOKUP(CONCATENATE(E1369,G1369),'LAC 103'!$A$12:$O$95,11,FALSE),0)</f>
        <v>5.936295312319726</v>
      </c>
      <c r="S1369" s="1144">
        <f>IFERROR(VLOOKUP(CONCATENATE($E1369,$G1369),'LAC 103'!$A$12:$O$95,12,FALSE),0)</f>
        <v>7.34</v>
      </c>
      <c r="T1369" s="1144">
        <f>IFERROR(VLOOKUP(CONCATENATE($E1369,$G1369),'LAC 103'!$A$12:$O$95,13,FALSE),0)</f>
        <v>4.59</v>
      </c>
      <c r="U1369" s="1144">
        <f>IFERROR(VLOOKUP(CONCATENATE($E1369,$G1369),'LAC 103'!$A$12:$O$95,14,FALSE),0)</f>
        <v>0</v>
      </c>
      <c r="V1369" s="1144">
        <f>IFERROR(VLOOKUP(CONCATENATE($E1369,$G1369),'LAC 103'!$A$12:$O$95,15,FALSE),0)</f>
        <v>0</v>
      </c>
      <c r="W1369" s="1145" t="str">
        <f>IFERROR(VLOOKUP(CONCATENATE($B1369,$N1369),'LAC 103'!$AI:$AQ,9,FALSE),"")</f>
        <v>Costs</v>
      </c>
      <c r="X1369" s="1146">
        <f t="shared" si="384"/>
        <v>5.936295312319726</v>
      </c>
      <c r="Y1369" s="1143">
        <f t="shared" si="395"/>
        <v>1620.6086202632853</v>
      </c>
      <c r="Z1369" s="1147">
        <f t="shared" si="385"/>
        <v>2003.82</v>
      </c>
      <c r="AA1369" s="1144">
        <f t="shared" si="386"/>
        <v>1253.07</v>
      </c>
      <c r="AB1369" s="1144">
        <f t="shared" si="387"/>
        <v>0</v>
      </c>
      <c r="AC1369" s="1144">
        <f t="shared" si="388"/>
        <v>0</v>
      </c>
      <c r="AD1369" s="1148">
        <f t="shared" si="380"/>
        <v>1620.6086202632853</v>
      </c>
      <c r="AE1369" s="1487">
        <v>0</v>
      </c>
      <c r="AF1369" s="1145">
        <f t="shared" si="389"/>
        <v>1620.6086202632853</v>
      </c>
      <c r="AG1369" s="1149">
        <f>IFERROR(VLOOKUP(CONCATENATE($L1369,$N1369),'Drop List'!$G$23:$K$87,2,FALSE),0)</f>
        <v>0.9</v>
      </c>
      <c r="AH1369" s="1150">
        <f>IFERROR(VLOOKUP(CONCATENATE($L1369,$N1369),'Drop List'!$G$23:$K$87,3,FALSE),0)</f>
        <v>0</v>
      </c>
      <c r="AI1369" s="1150">
        <f>IFERROR(VLOOKUP(CONCATENATE($L1369,$N1369),'Drop List'!$G$23:$K$87,4,FALSE),0)</f>
        <v>0.1</v>
      </c>
      <c r="AJ1369" s="1151">
        <f>IFERROR(VLOOKUP(CONCATENATE($L1369,$N1369),'Drop List'!$G$23:$K$87,5,FALSE),0)</f>
        <v>0</v>
      </c>
      <c r="AK1369" s="1152">
        <f t="shared" si="390"/>
        <v>1458.5477582369567</v>
      </c>
      <c r="AL1369" s="1153">
        <f t="shared" si="391"/>
        <v>0</v>
      </c>
      <c r="AM1369" s="1153">
        <f t="shared" si="392"/>
        <v>162.06086202632855</v>
      </c>
      <c r="AN1369" s="1145">
        <f t="shared" si="393"/>
        <v>0</v>
      </c>
      <c r="AO1369" s="1154">
        <f t="shared" si="394"/>
        <v>1620.6086202632853</v>
      </c>
      <c r="AP1369" s="1147">
        <f t="shared" si="381"/>
        <v>0</v>
      </c>
      <c r="AQ1369" s="1144">
        <f t="shared" si="382"/>
        <v>0</v>
      </c>
      <c r="AR1369" s="1146">
        <f t="shared" si="383"/>
        <v>1620.6086202632853</v>
      </c>
    </row>
    <row r="1370" spans="1:44" x14ac:dyDescent="0.2">
      <c r="A1370" s="1141" t="str">
        <f t="shared" si="396"/>
        <v>1562</v>
      </c>
      <c r="B1370" s="1141" t="str">
        <f>IFERROR(VLOOKUP(A1370,'LAC 103'!A:C,3,FALSE),"")</f>
        <v>OP</v>
      </c>
      <c r="C1370" s="1478" t="str">
        <f>Info!$B$8</f>
        <v>00100</v>
      </c>
      <c r="D1370" s="1474" t="s">
        <v>256</v>
      </c>
      <c r="E1370" s="1474" t="s">
        <v>95</v>
      </c>
      <c r="F1370" s="1478" t="s">
        <v>432</v>
      </c>
      <c r="G1370" s="1478" t="s">
        <v>432</v>
      </c>
      <c r="H1370" s="1474" t="s">
        <v>983</v>
      </c>
      <c r="I1370" s="1478" t="s">
        <v>823</v>
      </c>
      <c r="J1370" s="1478" t="s">
        <v>2000</v>
      </c>
      <c r="K1370" s="1475" t="s">
        <v>849</v>
      </c>
      <c r="L1370" s="1474" t="s">
        <v>77</v>
      </c>
      <c r="M1370" s="1476" t="s">
        <v>840</v>
      </c>
      <c r="N1370" s="1477" t="s">
        <v>1700</v>
      </c>
      <c r="O1370" s="1479">
        <v>358</v>
      </c>
      <c r="P1370" s="1479"/>
      <c r="Q1370" s="1142">
        <f t="shared" si="379"/>
        <v>358</v>
      </c>
      <c r="R1370" s="1143">
        <f>IFERROR(VLOOKUP(CONCATENATE(E1370,G1370),'LAC 103'!$A$12:$O$95,11,FALSE),0)</f>
        <v>5.936295312319726</v>
      </c>
      <c r="S1370" s="1144">
        <f>IFERROR(VLOOKUP(CONCATENATE($E1370,$G1370),'LAC 103'!$A$12:$O$95,12,FALSE),0)</f>
        <v>7.34</v>
      </c>
      <c r="T1370" s="1144">
        <f>IFERROR(VLOOKUP(CONCATENATE($E1370,$G1370),'LAC 103'!$A$12:$O$95,13,FALSE),0)</f>
        <v>4.59</v>
      </c>
      <c r="U1370" s="1144">
        <f>IFERROR(VLOOKUP(CONCATENATE($E1370,$G1370),'LAC 103'!$A$12:$O$95,14,FALSE),0)</f>
        <v>0</v>
      </c>
      <c r="V1370" s="1144">
        <f>IFERROR(VLOOKUP(CONCATENATE($E1370,$G1370),'LAC 103'!$A$12:$O$95,15,FALSE),0)</f>
        <v>0</v>
      </c>
      <c r="W1370" s="1145" t="str">
        <f>IFERROR(VLOOKUP(CONCATENATE($B1370,$N1370),'LAC 103'!$AI:$AQ,9,FALSE),"")</f>
        <v>P.C.</v>
      </c>
      <c r="X1370" s="1146">
        <f t="shared" si="384"/>
        <v>4.59</v>
      </c>
      <c r="Y1370" s="1143">
        <f t="shared" si="395"/>
        <v>2125.1937218104617</v>
      </c>
      <c r="Z1370" s="1147">
        <f t="shared" si="385"/>
        <v>2627.72</v>
      </c>
      <c r="AA1370" s="1144">
        <f t="shared" si="386"/>
        <v>1643.22</v>
      </c>
      <c r="AB1370" s="1144">
        <f t="shared" si="387"/>
        <v>0</v>
      </c>
      <c r="AC1370" s="1144">
        <f t="shared" si="388"/>
        <v>0</v>
      </c>
      <c r="AD1370" s="1148">
        <f t="shared" si="380"/>
        <v>1643.22</v>
      </c>
      <c r="AE1370" s="1487">
        <v>0</v>
      </c>
      <c r="AF1370" s="1145">
        <f t="shared" si="389"/>
        <v>1643.22</v>
      </c>
      <c r="AG1370" s="1149">
        <f>IFERROR(VLOOKUP(CONCATENATE($L1370,$N1370),'Drop List'!$G$23:$K$87,2,FALSE),0)</f>
        <v>0.9</v>
      </c>
      <c r="AH1370" s="1150">
        <f>IFERROR(VLOOKUP(CONCATENATE($L1370,$N1370),'Drop List'!$G$23:$K$87,3,FALSE),0)</f>
        <v>0</v>
      </c>
      <c r="AI1370" s="1150">
        <f>IFERROR(VLOOKUP(CONCATENATE($L1370,$N1370),'Drop List'!$G$23:$K$87,4,FALSE),0)</f>
        <v>0.1</v>
      </c>
      <c r="AJ1370" s="1151">
        <f>IFERROR(VLOOKUP(CONCATENATE($L1370,$N1370),'Drop List'!$G$23:$K$87,5,FALSE),0)</f>
        <v>0</v>
      </c>
      <c r="AK1370" s="1152">
        <f t="shared" si="390"/>
        <v>1478.8980000000001</v>
      </c>
      <c r="AL1370" s="1153">
        <f t="shared" si="391"/>
        <v>0</v>
      </c>
      <c r="AM1370" s="1153">
        <f t="shared" si="392"/>
        <v>164.322</v>
      </c>
      <c r="AN1370" s="1145">
        <f t="shared" si="393"/>
        <v>0</v>
      </c>
      <c r="AO1370" s="1154">
        <f t="shared" si="394"/>
        <v>1643.2200000000003</v>
      </c>
      <c r="AP1370" s="1147">
        <f t="shared" si="381"/>
        <v>0</v>
      </c>
      <c r="AQ1370" s="1144">
        <f t="shared" si="382"/>
        <v>0</v>
      </c>
      <c r="AR1370" s="1146">
        <f t="shared" si="383"/>
        <v>1643.2200000000003</v>
      </c>
    </row>
    <row r="1371" spans="1:44" x14ac:dyDescent="0.2">
      <c r="A1371" s="1141" t="str">
        <f t="shared" si="396"/>
        <v>1562</v>
      </c>
      <c r="B1371" s="1141" t="str">
        <f>IFERROR(VLOOKUP(A1371,'LAC 103'!A:C,3,FALSE),"")</f>
        <v>OP</v>
      </c>
      <c r="C1371" s="1478" t="str">
        <f>Info!$B$8</f>
        <v>00100</v>
      </c>
      <c r="D1371" s="1474" t="s">
        <v>256</v>
      </c>
      <c r="E1371" s="1474" t="s">
        <v>95</v>
      </c>
      <c r="F1371" s="1478" t="s">
        <v>432</v>
      </c>
      <c r="G1371" s="1478" t="s">
        <v>432</v>
      </c>
      <c r="H1371" s="1474" t="s">
        <v>983</v>
      </c>
      <c r="I1371" s="1478" t="s">
        <v>823</v>
      </c>
      <c r="J1371" s="1478" t="s">
        <v>2000</v>
      </c>
      <c r="K1371" s="1475" t="s">
        <v>849</v>
      </c>
      <c r="L1371" s="1474" t="s">
        <v>77</v>
      </c>
      <c r="M1371" s="1476" t="s">
        <v>842</v>
      </c>
      <c r="N1371" s="1477" t="s">
        <v>1692</v>
      </c>
      <c r="O1371" s="1479">
        <v>762</v>
      </c>
      <c r="P1371" s="1479"/>
      <c r="Q1371" s="1142">
        <f t="shared" si="379"/>
        <v>762</v>
      </c>
      <c r="R1371" s="1143">
        <f>IFERROR(VLOOKUP(CONCATENATE(E1371,G1371),'LAC 103'!$A$12:$O$95,11,FALSE),0)</f>
        <v>5.936295312319726</v>
      </c>
      <c r="S1371" s="1144">
        <f>IFERROR(VLOOKUP(CONCATENATE($E1371,$G1371),'LAC 103'!$A$12:$O$95,12,FALSE),0)</f>
        <v>7.34</v>
      </c>
      <c r="T1371" s="1144">
        <f>IFERROR(VLOOKUP(CONCATENATE($E1371,$G1371),'LAC 103'!$A$12:$O$95,13,FALSE),0)</f>
        <v>4.59</v>
      </c>
      <c r="U1371" s="1144">
        <f>IFERROR(VLOOKUP(CONCATENATE($E1371,$G1371),'LAC 103'!$A$12:$O$95,14,FALSE),0)</f>
        <v>0</v>
      </c>
      <c r="V1371" s="1144">
        <f>IFERROR(VLOOKUP(CONCATENATE($E1371,$G1371),'LAC 103'!$A$12:$O$95,15,FALSE),0)</f>
        <v>0</v>
      </c>
      <c r="W1371" s="1145" t="str">
        <f>IFERROR(VLOOKUP(CONCATENATE($B1371,$N1371),'LAC 103'!$AI:$AQ,9,FALSE),"")</f>
        <v>Costs</v>
      </c>
      <c r="X1371" s="1146">
        <f t="shared" si="384"/>
        <v>5.936295312319726</v>
      </c>
      <c r="Y1371" s="1143">
        <f t="shared" si="395"/>
        <v>4523.4570279876316</v>
      </c>
      <c r="Z1371" s="1147">
        <f t="shared" si="385"/>
        <v>5593.08</v>
      </c>
      <c r="AA1371" s="1144">
        <f t="shared" si="386"/>
        <v>3497.58</v>
      </c>
      <c r="AB1371" s="1144">
        <f t="shared" si="387"/>
        <v>0</v>
      </c>
      <c r="AC1371" s="1144">
        <f t="shared" si="388"/>
        <v>0</v>
      </c>
      <c r="AD1371" s="1148">
        <f t="shared" si="380"/>
        <v>4523.4570279876316</v>
      </c>
      <c r="AE1371" s="1487">
        <v>0</v>
      </c>
      <c r="AF1371" s="1145">
        <f t="shared" si="389"/>
        <v>4523.4570279876316</v>
      </c>
      <c r="AG1371" s="1149">
        <f>IFERROR(VLOOKUP(CONCATENATE($L1371,$N1371),'Drop List'!$G$23:$K$87,2,FALSE),0)</f>
        <v>0.9</v>
      </c>
      <c r="AH1371" s="1150">
        <f>IFERROR(VLOOKUP(CONCATENATE($L1371,$N1371),'Drop List'!$G$23:$K$87,3,FALSE),0)</f>
        <v>0</v>
      </c>
      <c r="AI1371" s="1150">
        <f>IFERROR(VLOOKUP(CONCATENATE($L1371,$N1371),'Drop List'!$G$23:$K$87,4,FALSE),0)</f>
        <v>0.1</v>
      </c>
      <c r="AJ1371" s="1151">
        <f>IFERROR(VLOOKUP(CONCATENATE($L1371,$N1371),'Drop List'!$G$23:$K$87,5,FALSE),0)</f>
        <v>0</v>
      </c>
      <c r="AK1371" s="1152">
        <f t="shared" si="390"/>
        <v>4071.1113251888687</v>
      </c>
      <c r="AL1371" s="1153">
        <f t="shared" si="391"/>
        <v>0</v>
      </c>
      <c r="AM1371" s="1153">
        <f t="shared" si="392"/>
        <v>452.34570279876317</v>
      </c>
      <c r="AN1371" s="1145">
        <f t="shared" si="393"/>
        <v>0</v>
      </c>
      <c r="AO1371" s="1154">
        <f t="shared" si="394"/>
        <v>4523.4570279876316</v>
      </c>
      <c r="AP1371" s="1147">
        <f t="shared" si="381"/>
        <v>0</v>
      </c>
      <c r="AQ1371" s="1144">
        <f t="shared" si="382"/>
        <v>0</v>
      </c>
      <c r="AR1371" s="1146">
        <f t="shared" si="383"/>
        <v>4523.4570279876316</v>
      </c>
    </row>
    <row r="1372" spans="1:44" x14ac:dyDescent="0.2">
      <c r="A1372" s="1141" t="str">
        <f t="shared" si="396"/>
        <v>1562</v>
      </c>
      <c r="B1372" s="1141" t="str">
        <f>IFERROR(VLOOKUP(A1372,'LAC 103'!A:C,3,FALSE),"")</f>
        <v>OP</v>
      </c>
      <c r="C1372" s="1478" t="str">
        <f>Info!$B$8</f>
        <v>00100</v>
      </c>
      <c r="D1372" s="1474" t="s">
        <v>256</v>
      </c>
      <c r="E1372" s="1474" t="s">
        <v>95</v>
      </c>
      <c r="F1372" s="1478" t="s">
        <v>432</v>
      </c>
      <c r="G1372" s="1478" t="s">
        <v>432</v>
      </c>
      <c r="H1372" s="1474" t="s">
        <v>983</v>
      </c>
      <c r="I1372" s="1478" t="s">
        <v>823</v>
      </c>
      <c r="J1372" s="1478" t="s">
        <v>2000</v>
      </c>
      <c r="K1372" s="1475" t="s">
        <v>849</v>
      </c>
      <c r="L1372" s="1474" t="s">
        <v>77</v>
      </c>
      <c r="M1372" s="1476" t="s">
        <v>1698</v>
      </c>
      <c r="N1372" s="1477" t="s">
        <v>1693</v>
      </c>
      <c r="O1372" s="1479">
        <v>697</v>
      </c>
      <c r="P1372" s="1479"/>
      <c r="Q1372" s="1142">
        <f t="shared" si="379"/>
        <v>697</v>
      </c>
      <c r="R1372" s="1143">
        <f>IFERROR(VLOOKUP(CONCATENATE(E1372,G1372),'LAC 103'!$A$12:$O$95,11,FALSE),0)</f>
        <v>5.936295312319726</v>
      </c>
      <c r="S1372" s="1144">
        <f>IFERROR(VLOOKUP(CONCATENATE($E1372,$G1372),'LAC 103'!$A$12:$O$95,12,FALSE),0)</f>
        <v>7.34</v>
      </c>
      <c r="T1372" s="1144">
        <f>IFERROR(VLOOKUP(CONCATENATE($E1372,$G1372),'LAC 103'!$A$12:$O$95,13,FALSE),0)</f>
        <v>4.59</v>
      </c>
      <c r="U1372" s="1144">
        <f>IFERROR(VLOOKUP(CONCATENATE($E1372,$G1372),'LAC 103'!$A$12:$O$95,14,FALSE),0)</f>
        <v>0</v>
      </c>
      <c r="V1372" s="1144">
        <f>IFERROR(VLOOKUP(CONCATENATE($E1372,$G1372),'LAC 103'!$A$12:$O$95,15,FALSE),0)</f>
        <v>0</v>
      </c>
      <c r="W1372" s="1145" t="str">
        <f>IFERROR(VLOOKUP(CONCATENATE($B1372,$N1372),'LAC 103'!$AI:$AQ,9,FALSE),"")</f>
        <v>Costs</v>
      </c>
      <c r="X1372" s="1146">
        <f t="shared" si="384"/>
        <v>5.936295312319726</v>
      </c>
      <c r="Y1372" s="1143">
        <f t="shared" si="395"/>
        <v>4137.597832686849</v>
      </c>
      <c r="Z1372" s="1147">
        <f t="shared" si="385"/>
        <v>5115.9799999999996</v>
      </c>
      <c r="AA1372" s="1144">
        <f t="shared" si="386"/>
        <v>3199.23</v>
      </c>
      <c r="AB1372" s="1144">
        <f t="shared" si="387"/>
        <v>0</v>
      </c>
      <c r="AC1372" s="1144">
        <f t="shared" si="388"/>
        <v>0</v>
      </c>
      <c r="AD1372" s="1148">
        <f t="shared" si="380"/>
        <v>4137.597832686849</v>
      </c>
      <c r="AE1372" s="1487">
        <v>0</v>
      </c>
      <c r="AF1372" s="1145">
        <f t="shared" si="389"/>
        <v>4137.597832686849</v>
      </c>
      <c r="AG1372" s="1149">
        <f>IFERROR(VLOOKUP(CONCATENATE($L1372,$N1372),'Drop List'!$G$23:$K$87,2,FALSE),0)</f>
        <v>0.9</v>
      </c>
      <c r="AH1372" s="1150">
        <f>IFERROR(VLOOKUP(CONCATENATE($L1372,$N1372),'Drop List'!$G$23:$K$87,3,FALSE),0)</f>
        <v>0</v>
      </c>
      <c r="AI1372" s="1150">
        <f>IFERROR(VLOOKUP(CONCATENATE($L1372,$N1372),'Drop List'!$G$23:$K$87,4,FALSE),0)</f>
        <v>0.1</v>
      </c>
      <c r="AJ1372" s="1151">
        <f>IFERROR(VLOOKUP(CONCATENATE($L1372,$N1372),'Drop List'!$G$23:$K$87,5,FALSE),0)</f>
        <v>0</v>
      </c>
      <c r="AK1372" s="1152">
        <f t="shared" si="390"/>
        <v>3723.8380494181642</v>
      </c>
      <c r="AL1372" s="1153">
        <f t="shared" si="391"/>
        <v>0</v>
      </c>
      <c r="AM1372" s="1153">
        <f t="shared" si="392"/>
        <v>413.75978326868494</v>
      </c>
      <c r="AN1372" s="1145">
        <f t="shared" si="393"/>
        <v>0</v>
      </c>
      <c r="AO1372" s="1154">
        <f t="shared" si="394"/>
        <v>4137.597832686849</v>
      </c>
      <c r="AP1372" s="1147">
        <f t="shared" si="381"/>
        <v>0</v>
      </c>
      <c r="AQ1372" s="1144">
        <f t="shared" si="382"/>
        <v>0</v>
      </c>
      <c r="AR1372" s="1146">
        <f t="shared" si="383"/>
        <v>4137.597832686849</v>
      </c>
    </row>
    <row r="1373" spans="1:44" x14ac:dyDescent="0.2">
      <c r="A1373" s="1141" t="str">
        <f t="shared" si="396"/>
        <v>1562</v>
      </c>
      <c r="B1373" s="1141" t="str">
        <f>IFERROR(VLOOKUP(A1373,'LAC 103'!A:C,3,FALSE),"")</f>
        <v>OP</v>
      </c>
      <c r="C1373" s="1478" t="str">
        <f>Info!$B$8</f>
        <v>00100</v>
      </c>
      <c r="D1373" s="1474" t="s">
        <v>256</v>
      </c>
      <c r="E1373" s="1474" t="s">
        <v>95</v>
      </c>
      <c r="F1373" s="1478" t="s">
        <v>432</v>
      </c>
      <c r="G1373" s="1478" t="s">
        <v>432</v>
      </c>
      <c r="H1373" s="1474" t="s">
        <v>983</v>
      </c>
      <c r="I1373" s="1478" t="s">
        <v>823</v>
      </c>
      <c r="J1373" s="1478" t="s">
        <v>2000</v>
      </c>
      <c r="K1373" s="1475" t="s">
        <v>971</v>
      </c>
      <c r="L1373" s="1474" t="s">
        <v>332</v>
      </c>
      <c r="M1373" s="1476" t="s">
        <v>842</v>
      </c>
      <c r="N1373" s="1477" t="s">
        <v>1692</v>
      </c>
      <c r="O1373" s="1479">
        <v>72</v>
      </c>
      <c r="P1373" s="1479"/>
      <c r="Q1373" s="1142">
        <f t="shared" si="379"/>
        <v>72</v>
      </c>
      <c r="R1373" s="1143">
        <f>IFERROR(VLOOKUP(CONCATENATE(E1373,G1373),'LAC 103'!$A$12:$O$95,11,FALSE),0)</f>
        <v>5.936295312319726</v>
      </c>
      <c r="S1373" s="1144">
        <f>IFERROR(VLOOKUP(CONCATENATE($E1373,$G1373),'LAC 103'!$A$12:$O$95,12,FALSE),0)</f>
        <v>7.34</v>
      </c>
      <c r="T1373" s="1144">
        <f>IFERROR(VLOOKUP(CONCATENATE($E1373,$G1373),'LAC 103'!$A$12:$O$95,13,FALSE),0)</f>
        <v>4.59</v>
      </c>
      <c r="U1373" s="1144">
        <f>IFERROR(VLOOKUP(CONCATENATE($E1373,$G1373),'LAC 103'!$A$12:$O$95,14,FALSE),0)</f>
        <v>0</v>
      </c>
      <c r="V1373" s="1144">
        <f>IFERROR(VLOOKUP(CONCATENATE($E1373,$G1373),'LAC 103'!$A$12:$O$95,15,FALSE),0)</f>
        <v>0</v>
      </c>
      <c r="W1373" s="1145" t="str">
        <f>IFERROR(VLOOKUP(CONCATENATE($B1373,$N1373),'LAC 103'!$AI:$AQ,9,FALSE),"")</f>
        <v>Costs</v>
      </c>
      <c r="X1373" s="1146">
        <f t="shared" si="384"/>
        <v>5.936295312319726</v>
      </c>
      <c r="Y1373" s="1143">
        <f t="shared" si="395"/>
        <v>427.41326248702029</v>
      </c>
      <c r="Z1373" s="1147">
        <f t="shared" si="385"/>
        <v>528.48</v>
      </c>
      <c r="AA1373" s="1144">
        <f t="shared" si="386"/>
        <v>330.48</v>
      </c>
      <c r="AB1373" s="1144">
        <f t="shared" si="387"/>
        <v>0</v>
      </c>
      <c r="AC1373" s="1144">
        <f t="shared" si="388"/>
        <v>0</v>
      </c>
      <c r="AD1373" s="1148">
        <f t="shared" si="380"/>
        <v>427.41326248702029</v>
      </c>
      <c r="AE1373" s="1487">
        <v>0</v>
      </c>
      <c r="AF1373" s="1145">
        <f t="shared" si="389"/>
        <v>427.41326248702029</v>
      </c>
      <c r="AG1373" s="1149">
        <f>IFERROR(VLOOKUP(CONCATENATE($L1373,$N1373),'Drop List'!$G$23:$K$87,2,FALSE),0)</f>
        <v>0</v>
      </c>
      <c r="AH1373" s="1150">
        <f>IFERROR(VLOOKUP(CONCATENATE($L1373,$N1373),'Drop List'!$G$23:$K$87,3,FALSE),0)</f>
        <v>0</v>
      </c>
      <c r="AI1373" s="1150">
        <f>IFERROR(VLOOKUP(CONCATENATE($L1373,$N1373),'Drop List'!$G$23:$K$87,4,FALSE),0)</f>
        <v>0</v>
      </c>
      <c r="AJ1373" s="1151">
        <f>IFERROR(VLOOKUP(CONCATENATE($L1373,$N1373),'Drop List'!$G$23:$K$87,5,FALSE),0)</f>
        <v>0</v>
      </c>
      <c r="AK1373" s="1152">
        <f t="shared" si="390"/>
        <v>0</v>
      </c>
      <c r="AL1373" s="1153">
        <f t="shared" si="391"/>
        <v>0</v>
      </c>
      <c r="AM1373" s="1153">
        <f t="shared" si="392"/>
        <v>0</v>
      </c>
      <c r="AN1373" s="1145">
        <f t="shared" si="393"/>
        <v>0</v>
      </c>
      <c r="AO1373" s="1154">
        <f t="shared" si="394"/>
        <v>0</v>
      </c>
      <c r="AP1373" s="1147">
        <f t="shared" si="381"/>
        <v>427.41326248702029</v>
      </c>
      <c r="AQ1373" s="1144">
        <f t="shared" si="382"/>
        <v>0</v>
      </c>
      <c r="AR1373" s="1146">
        <f t="shared" si="383"/>
        <v>427.41326248702029</v>
      </c>
    </row>
    <row r="1374" spans="1:44" x14ac:dyDescent="0.2">
      <c r="A1374" s="1141" t="str">
        <f t="shared" si="396"/>
        <v>1562</v>
      </c>
      <c r="B1374" s="1141" t="str">
        <f>IFERROR(VLOOKUP(A1374,'LAC 103'!A:C,3,FALSE),"")</f>
        <v>OP</v>
      </c>
      <c r="C1374" s="1478" t="str">
        <f>Info!$B$8</f>
        <v>00100</v>
      </c>
      <c r="D1374" s="1474" t="s">
        <v>256</v>
      </c>
      <c r="E1374" s="1474" t="s">
        <v>95</v>
      </c>
      <c r="F1374" s="1478" t="s">
        <v>432</v>
      </c>
      <c r="G1374" s="1478" t="s">
        <v>432</v>
      </c>
      <c r="H1374" s="1474" t="s">
        <v>983</v>
      </c>
      <c r="I1374" s="1478" t="s">
        <v>823</v>
      </c>
      <c r="J1374" s="1478" t="s">
        <v>2000</v>
      </c>
      <c r="K1374" s="1475" t="s">
        <v>850</v>
      </c>
      <c r="L1374" s="1474" t="s">
        <v>330</v>
      </c>
      <c r="M1374" s="1476" t="s">
        <v>1699</v>
      </c>
      <c r="N1374" s="1477" t="s">
        <v>1694</v>
      </c>
      <c r="O1374" s="1479">
        <v>57</v>
      </c>
      <c r="P1374" s="1479"/>
      <c r="Q1374" s="1142">
        <f t="shared" si="379"/>
        <v>57</v>
      </c>
      <c r="R1374" s="1143">
        <f>IFERROR(VLOOKUP(CONCATENATE(E1374,G1374),'LAC 103'!$A$12:$O$95,11,FALSE),0)</f>
        <v>5.936295312319726</v>
      </c>
      <c r="S1374" s="1144">
        <f>IFERROR(VLOOKUP(CONCATENATE($E1374,$G1374),'LAC 103'!$A$12:$O$95,12,FALSE),0)</f>
        <v>7.34</v>
      </c>
      <c r="T1374" s="1144">
        <f>IFERROR(VLOOKUP(CONCATENATE($E1374,$G1374),'LAC 103'!$A$12:$O$95,13,FALSE),0)</f>
        <v>4.59</v>
      </c>
      <c r="U1374" s="1144">
        <f>IFERROR(VLOOKUP(CONCATENATE($E1374,$G1374),'LAC 103'!$A$12:$O$95,14,FALSE),0)</f>
        <v>0</v>
      </c>
      <c r="V1374" s="1144">
        <f>IFERROR(VLOOKUP(CONCATENATE($E1374,$G1374),'LAC 103'!$A$12:$O$95,15,FALSE),0)</f>
        <v>0</v>
      </c>
      <c r="W1374" s="1145" t="str">
        <f>IFERROR(VLOOKUP(CONCATENATE($B1374,$N1374),'LAC 103'!$AI:$AQ,9,FALSE),"")</f>
        <v>Costs</v>
      </c>
      <c r="X1374" s="1146">
        <f t="shared" si="384"/>
        <v>5.936295312319726</v>
      </c>
      <c r="Y1374" s="1143">
        <f t="shared" si="395"/>
        <v>338.3688328022244</v>
      </c>
      <c r="Z1374" s="1147">
        <f t="shared" si="385"/>
        <v>418.38</v>
      </c>
      <c r="AA1374" s="1144">
        <f t="shared" si="386"/>
        <v>261.63</v>
      </c>
      <c r="AB1374" s="1144">
        <f t="shared" si="387"/>
        <v>0</v>
      </c>
      <c r="AC1374" s="1144">
        <f t="shared" si="388"/>
        <v>0</v>
      </c>
      <c r="AD1374" s="1148">
        <f t="shared" si="380"/>
        <v>338.3688328022244</v>
      </c>
      <c r="AE1374" s="1487">
        <v>0</v>
      </c>
      <c r="AF1374" s="1145">
        <f t="shared" si="389"/>
        <v>338.3688328022244</v>
      </c>
      <c r="AG1374" s="1149">
        <f>IFERROR(VLOOKUP(CONCATENATE($L1374,$N1374),'Drop List'!$G$23:$K$87,2,FALSE),0)</f>
        <v>0</v>
      </c>
      <c r="AH1374" s="1150">
        <f>IFERROR(VLOOKUP(CONCATENATE($L1374,$N1374),'Drop List'!$G$23:$K$87,3,FALSE),0)</f>
        <v>0</v>
      </c>
      <c r="AI1374" s="1150">
        <f>IFERROR(VLOOKUP(CONCATENATE($L1374,$N1374),'Drop List'!$G$23:$K$87,4,FALSE),0)</f>
        <v>1</v>
      </c>
      <c r="AJ1374" s="1151">
        <f>IFERROR(VLOOKUP(CONCATENATE($L1374,$N1374),'Drop List'!$G$23:$K$87,5,FALSE),0)</f>
        <v>0</v>
      </c>
      <c r="AK1374" s="1152">
        <f t="shared" si="390"/>
        <v>0</v>
      </c>
      <c r="AL1374" s="1153">
        <f t="shared" si="391"/>
        <v>0</v>
      </c>
      <c r="AM1374" s="1153">
        <f t="shared" si="392"/>
        <v>338.3688328022244</v>
      </c>
      <c r="AN1374" s="1145">
        <f t="shared" si="393"/>
        <v>0</v>
      </c>
      <c r="AO1374" s="1154">
        <f t="shared" si="394"/>
        <v>338.3688328022244</v>
      </c>
      <c r="AP1374" s="1147">
        <f t="shared" si="381"/>
        <v>0</v>
      </c>
      <c r="AQ1374" s="1144">
        <f t="shared" si="382"/>
        <v>0</v>
      </c>
      <c r="AR1374" s="1146">
        <f t="shared" si="383"/>
        <v>338.3688328022244</v>
      </c>
    </row>
    <row r="1375" spans="1:44" x14ac:dyDescent="0.2">
      <c r="A1375" s="1141" t="str">
        <f t="shared" si="396"/>
        <v>1562</v>
      </c>
      <c r="B1375" s="1141" t="str">
        <f>IFERROR(VLOOKUP(A1375,'LAC 103'!A:C,3,FALSE),"")</f>
        <v>OP</v>
      </c>
      <c r="C1375" s="1478" t="str">
        <f>Info!$B$8</f>
        <v>00100</v>
      </c>
      <c r="D1375" s="1474" t="s">
        <v>256</v>
      </c>
      <c r="E1375" s="1474" t="s">
        <v>95</v>
      </c>
      <c r="F1375" s="1478" t="s">
        <v>432</v>
      </c>
      <c r="G1375" s="1478" t="s">
        <v>432</v>
      </c>
      <c r="H1375" s="1474" t="s">
        <v>983</v>
      </c>
      <c r="I1375" s="1478" t="s">
        <v>823</v>
      </c>
      <c r="J1375" s="1478" t="s">
        <v>2000</v>
      </c>
      <c r="K1375" s="1475" t="s">
        <v>850</v>
      </c>
      <c r="L1375" s="1474" t="s">
        <v>330</v>
      </c>
      <c r="M1375" s="1476" t="s">
        <v>1698</v>
      </c>
      <c r="N1375" s="1477" t="s">
        <v>1693</v>
      </c>
      <c r="O1375" s="1479">
        <v>204</v>
      </c>
      <c r="P1375" s="1479"/>
      <c r="Q1375" s="1142">
        <f t="shared" si="379"/>
        <v>204</v>
      </c>
      <c r="R1375" s="1143">
        <f>IFERROR(VLOOKUP(CONCATENATE(E1375,G1375),'LAC 103'!$A$12:$O$95,11,FALSE),0)</f>
        <v>5.936295312319726</v>
      </c>
      <c r="S1375" s="1144">
        <f>IFERROR(VLOOKUP(CONCATENATE($E1375,$G1375),'LAC 103'!$A$12:$O$95,12,FALSE),0)</f>
        <v>7.34</v>
      </c>
      <c r="T1375" s="1144">
        <f>IFERROR(VLOOKUP(CONCATENATE($E1375,$G1375),'LAC 103'!$A$12:$O$95,13,FALSE),0)</f>
        <v>4.59</v>
      </c>
      <c r="U1375" s="1144">
        <f>IFERROR(VLOOKUP(CONCATENATE($E1375,$G1375),'LAC 103'!$A$12:$O$95,14,FALSE),0)</f>
        <v>0</v>
      </c>
      <c r="V1375" s="1144">
        <f>IFERROR(VLOOKUP(CONCATENATE($E1375,$G1375),'LAC 103'!$A$12:$O$95,15,FALSE),0)</f>
        <v>0</v>
      </c>
      <c r="W1375" s="1145" t="str">
        <f>IFERROR(VLOOKUP(CONCATENATE($B1375,$N1375),'LAC 103'!$AI:$AQ,9,FALSE),"")</f>
        <v>Costs</v>
      </c>
      <c r="X1375" s="1146">
        <f t="shared" si="384"/>
        <v>5.936295312319726</v>
      </c>
      <c r="Y1375" s="1143">
        <f t="shared" si="395"/>
        <v>1211.004243713224</v>
      </c>
      <c r="Z1375" s="1147">
        <f t="shared" si="385"/>
        <v>1497.36</v>
      </c>
      <c r="AA1375" s="1144">
        <f t="shared" si="386"/>
        <v>936.36</v>
      </c>
      <c r="AB1375" s="1144">
        <f t="shared" si="387"/>
        <v>0</v>
      </c>
      <c r="AC1375" s="1144">
        <f t="shared" si="388"/>
        <v>0</v>
      </c>
      <c r="AD1375" s="1148">
        <f t="shared" si="380"/>
        <v>1211.004243713224</v>
      </c>
      <c r="AE1375" s="1487">
        <v>0</v>
      </c>
      <c r="AF1375" s="1145">
        <f t="shared" si="389"/>
        <v>1211.004243713224</v>
      </c>
      <c r="AG1375" s="1149">
        <f>IFERROR(VLOOKUP(CONCATENATE($L1375,$N1375),'Drop List'!$G$23:$K$87,2,FALSE),0)</f>
        <v>0</v>
      </c>
      <c r="AH1375" s="1150">
        <f>IFERROR(VLOOKUP(CONCATENATE($L1375,$N1375),'Drop List'!$G$23:$K$87,3,FALSE),0)</f>
        <v>0</v>
      </c>
      <c r="AI1375" s="1150">
        <f>IFERROR(VLOOKUP(CONCATENATE($L1375,$N1375),'Drop List'!$G$23:$K$87,4,FALSE),0)</f>
        <v>1</v>
      </c>
      <c r="AJ1375" s="1151">
        <f>IFERROR(VLOOKUP(CONCATENATE($L1375,$N1375),'Drop List'!$G$23:$K$87,5,FALSE),0)</f>
        <v>0</v>
      </c>
      <c r="AK1375" s="1152">
        <f t="shared" si="390"/>
        <v>0</v>
      </c>
      <c r="AL1375" s="1153">
        <f t="shared" si="391"/>
        <v>0</v>
      </c>
      <c r="AM1375" s="1153">
        <f t="shared" si="392"/>
        <v>1211.004243713224</v>
      </c>
      <c r="AN1375" s="1145">
        <f t="shared" si="393"/>
        <v>0</v>
      </c>
      <c r="AO1375" s="1154">
        <f t="shared" si="394"/>
        <v>1211.004243713224</v>
      </c>
      <c r="AP1375" s="1147">
        <f t="shared" si="381"/>
        <v>0</v>
      </c>
      <c r="AQ1375" s="1144">
        <f t="shared" si="382"/>
        <v>0</v>
      </c>
      <c r="AR1375" s="1146">
        <f t="shared" si="383"/>
        <v>1211.004243713224</v>
      </c>
    </row>
    <row r="1376" spans="1:44" x14ac:dyDescent="0.2">
      <c r="A1376" s="1141" t="str">
        <f t="shared" si="396"/>
        <v>1562</v>
      </c>
      <c r="B1376" s="1141" t="str">
        <f>IFERROR(VLOOKUP(A1376,'LAC 103'!A:C,3,FALSE),"")</f>
        <v>OP</v>
      </c>
      <c r="C1376" s="1478" t="str">
        <f>Info!$B$8</f>
        <v>00100</v>
      </c>
      <c r="D1376" s="1474" t="s">
        <v>256</v>
      </c>
      <c r="E1376" s="1474" t="s">
        <v>95</v>
      </c>
      <c r="F1376" s="1478" t="s">
        <v>432</v>
      </c>
      <c r="G1376" s="1478" t="s">
        <v>432</v>
      </c>
      <c r="H1376" s="1474" t="s">
        <v>983</v>
      </c>
      <c r="I1376" s="1478" t="s">
        <v>823</v>
      </c>
      <c r="J1376" s="1478" t="s">
        <v>2000</v>
      </c>
      <c r="K1376" s="1475" t="s">
        <v>851</v>
      </c>
      <c r="L1376" s="1474" t="s">
        <v>584</v>
      </c>
      <c r="M1376" s="1476" t="s">
        <v>841</v>
      </c>
      <c r="N1376" s="1477" t="s">
        <v>1695</v>
      </c>
      <c r="O1376" s="1479">
        <v>120</v>
      </c>
      <c r="P1376" s="1479"/>
      <c r="Q1376" s="1142">
        <f t="shared" si="379"/>
        <v>120</v>
      </c>
      <c r="R1376" s="1143">
        <f>IFERROR(VLOOKUP(CONCATENATE(E1376,G1376),'LAC 103'!$A$12:$O$95,11,FALSE),0)</f>
        <v>5.936295312319726</v>
      </c>
      <c r="S1376" s="1144">
        <f>IFERROR(VLOOKUP(CONCATENATE($E1376,$G1376),'LAC 103'!$A$12:$O$95,12,FALSE),0)</f>
        <v>7.34</v>
      </c>
      <c r="T1376" s="1144">
        <f>IFERROR(VLOOKUP(CONCATENATE($E1376,$G1376),'LAC 103'!$A$12:$O$95,13,FALSE),0)</f>
        <v>4.59</v>
      </c>
      <c r="U1376" s="1144">
        <f>IFERROR(VLOOKUP(CONCATENATE($E1376,$G1376),'LAC 103'!$A$12:$O$95,14,FALSE),0)</f>
        <v>0</v>
      </c>
      <c r="V1376" s="1144">
        <f>IFERROR(VLOOKUP(CONCATENATE($E1376,$G1376),'LAC 103'!$A$12:$O$95,15,FALSE),0)</f>
        <v>0</v>
      </c>
      <c r="W1376" s="1145" t="str">
        <f>IFERROR(VLOOKUP(CONCATENATE($B1376,$N1376),'LAC 103'!$AI:$AQ,9,FALSE),"")</f>
        <v>Costs</v>
      </c>
      <c r="X1376" s="1146">
        <f t="shared" si="384"/>
        <v>5.936295312319726</v>
      </c>
      <c r="Y1376" s="1143">
        <f t="shared" si="395"/>
        <v>712.35543747836709</v>
      </c>
      <c r="Z1376" s="1147">
        <f t="shared" si="385"/>
        <v>880.8</v>
      </c>
      <c r="AA1376" s="1144">
        <f t="shared" si="386"/>
        <v>550.79999999999995</v>
      </c>
      <c r="AB1376" s="1144">
        <f t="shared" si="387"/>
        <v>0</v>
      </c>
      <c r="AC1376" s="1144">
        <f t="shared" si="388"/>
        <v>0</v>
      </c>
      <c r="AD1376" s="1148">
        <f t="shared" si="380"/>
        <v>712.35543747836709</v>
      </c>
      <c r="AE1376" s="1487">
        <v>0</v>
      </c>
      <c r="AF1376" s="1145">
        <f t="shared" si="389"/>
        <v>712.35543747836709</v>
      </c>
      <c r="AG1376" s="1149">
        <f>IFERROR(VLOOKUP(CONCATENATE($L1376,$N1376),'Drop List'!$G$23:$K$87,2,FALSE),0)</f>
        <v>0.55000000000000004</v>
      </c>
      <c r="AH1376" s="1150">
        <f>IFERROR(VLOOKUP(CONCATENATE($L1376,$N1376),'Drop List'!$G$23:$K$87,3,FALSE),0)</f>
        <v>0</v>
      </c>
      <c r="AI1376" s="1150">
        <f>IFERROR(VLOOKUP(CONCATENATE($L1376,$N1376),'Drop List'!$G$23:$K$87,4,FALSE),0)</f>
        <v>0</v>
      </c>
      <c r="AJ1376" s="1151">
        <f>IFERROR(VLOOKUP(CONCATENATE($L1376,$N1376),'Drop List'!$G$23:$K$87,5,FALSE),0)</f>
        <v>0.44999999999999996</v>
      </c>
      <c r="AK1376" s="1152">
        <f t="shared" si="390"/>
        <v>391.79549061310195</v>
      </c>
      <c r="AL1376" s="1153">
        <f t="shared" si="391"/>
        <v>0</v>
      </c>
      <c r="AM1376" s="1153">
        <f t="shared" si="392"/>
        <v>0</v>
      </c>
      <c r="AN1376" s="1145">
        <f t="shared" si="393"/>
        <v>320.55994686526515</v>
      </c>
      <c r="AO1376" s="1154">
        <f t="shared" si="394"/>
        <v>712.35543747836709</v>
      </c>
      <c r="AP1376" s="1147">
        <f t="shared" si="381"/>
        <v>0</v>
      </c>
      <c r="AQ1376" s="1144">
        <f t="shared" si="382"/>
        <v>0</v>
      </c>
      <c r="AR1376" s="1146">
        <f t="shared" si="383"/>
        <v>712.35543747836709</v>
      </c>
    </row>
    <row r="1377" spans="1:44" x14ac:dyDescent="0.2">
      <c r="A1377" s="1141" t="str">
        <f t="shared" si="396"/>
        <v>1562</v>
      </c>
      <c r="B1377" s="1141" t="str">
        <f>IFERROR(VLOOKUP(A1377,'LAC 103'!A:C,3,FALSE),"")</f>
        <v>OP</v>
      </c>
      <c r="C1377" s="1478" t="str">
        <f>Info!$B$8</f>
        <v>00100</v>
      </c>
      <c r="D1377" s="1474" t="s">
        <v>256</v>
      </c>
      <c r="E1377" s="1474" t="s">
        <v>95</v>
      </c>
      <c r="F1377" s="1478" t="s">
        <v>432</v>
      </c>
      <c r="G1377" s="1478" t="s">
        <v>432</v>
      </c>
      <c r="H1377" s="1474" t="s">
        <v>983</v>
      </c>
      <c r="I1377" s="1478" t="s">
        <v>823</v>
      </c>
      <c r="J1377" s="1478" t="s">
        <v>2000</v>
      </c>
      <c r="K1377" s="1475" t="s">
        <v>851</v>
      </c>
      <c r="L1377" s="1474" t="s">
        <v>584</v>
      </c>
      <c r="M1377" s="1476" t="s">
        <v>842</v>
      </c>
      <c r="N1377" s="1477" t="s">
        <v>1692</v>
      </c>
      <c r="O1377" s="1479">
        <v>79</v>
      </c>
      <c r="P1377" s="1479"/>
      <c r="Q1377" s="1142">
        <f t="shared" si="379"/>
        <v>79</v>
      </c>
      <c r="R1377" s="1143">
        <f>IFERROR(VLOOKUP(CONCATENATE(E1377,G1377),'LAC 103'!$A$12:$O$95,11,FALSE),0)</f>
        <v>5.936295312319726</v>
      </c>
      <c r="S1377" s="1144">
        <f>IFERROR(VLOOKUP(CONCATENATE($E1377,$G1377),'LAC 103'!$A$12:$O$95,12,FALSE),0)</f>
        <v>7.34</v>
      </c>
      <c r="T1377" s="1144">
        <f>IFERROR(VLOOKUP(CONCATENATE($E1377,$G1377),'LAC 103'!$A$12:$O$95,13,FALSE),0)</f>
        <v>4.59</v>
      </c>
      <c r="U1377" s="1144">
        <f>IFERROR(VLOOKUP(CONCATENATE($E1377,$G1377),'LAC 103'!$A$12:$O$95,14,FALSE),0)</f>
        <v>0</v>
      </c>
      <c r="V1377" s="1144">
        <f>IFERROR(VLOOKUP(CONCATENATE($E1377,$G1377),'LAC 103'!$A$12:$O$95,15,FALSE),0)</f>
        <v>0</v>
      </c>
      <c r="W1377" s="1145" t="str">
        <f>IFERROR(VLOOKUP(CONCATENATE($B1377,$N1377),'LAC 103'!$AI:$AQ,9,FALSE),"")</f>
        <v>Costs</v>
      </c>
      <c r="X1377" s="1146">
        <f t="shared" si="384"/>
        <v>5.936295312319726</v>
      </c>
      <c r="Y1377" s="1143">
        <f t="shared" si="395"/>
        <v>468.96732967325835</v>
      </c>
      <c r="Z1377" s="1147">
        <f t="shared" si="385"/>
        <v>579.86</v>
      </c>
      <c r="AA1377" s="1144">
        <f t="shared" si="386"/>
        <v>362.61</v>
      </c>
      <c r="AB1377" s="1144">
        <f t="shared" si="387"/>
        <v>0</v>
      </c>
      <c r="AC1377" s="1144">
        <f t="shared" si="388"/>
        <v>0</v>
      </c>
      <c r="AD1377" s="1148">
        <f t="shared" si="380"/>
        <v>468.96732967325835</v>
      </c>
      <c r="AE1377" s="1487">
        <v>0</v>
      </c>
      <c r="AF1377" s="1145">
        <f t="shared" si="389"/>
        <v>468.96732967325835</v>
      </c>
      <c r="AG1377" s="1149">
        <f>IFERROR(VLOOKUP(CONCATENATE($L1377,$N1377),'Drop List'!$G$23:$K$87,2,FALSE),0)</f>
        <v>0.56200000000000006</v>
      </c>
      <c r="AH1377" s="1150">
        <f>IFERROR(VLOOKUP(CONCATENATE($L1377,$N1377),'Drop List'!$G$23:$K$87,3,FALSE),0)</f>
        <v>0</v>
      </c>
      <c r="AI1377" s="1150">
        <f>IFERROR(VLOOKUP(CONCATENATE($L1377,$N1377),'Drop List'!$G$23:$K$87,4,FALSE),0)</f>
        <v>0</v>
      </c>
      <c r="AJ1377" s="1151">
        <f>IFERROR(VLOOKUP(CONCATENATE($L1377,$N1377),'Drop List'!$G$23:$K$87,5,FALSE),0)</f>
        <v>0.43799999999999994</v>
      </c>
      <c r="AK1377" s="1152">
        <f t="shared" si="390"/>
        <v>263.55963927637123</v>
      </c>
      <c r="AL1377" s="1153">
        <f t="shared" si="391"/>
        <v>0</v>
      </c>
      <c r="AM1377" s="1153">
        <f t="shared" si="392"/>
        <v>0</v>
      </c>
      <c r="AN1377" s="1145">
        <f t="shared" si="393"/>
        <v>205.40769039688712</v>
      </c>
      <c r="AO1377" s="1154">
        <f t="shared" si="394"/>
        <v>468.96732967325835</v>
      </c>
      <c r="AP1377" s="1147">
        <f t="shared" si="381"/>
        <v>0</v>
      </c>
      <c r="AQ1377" s="1144">
        <f t="shared" si="382"/>
        <v>0</v>
      </c>
      <c r="AR1377" s="1146">
        <f t="shared" si="383"/>
        <v>468.96732967325835</v>
      </c>
    </row>
    <row r="1378" spans="1:44" x14ac:dyDescent="0.2">
      <c r="A1378" s="1141" t="str">
        <f t="shared" si="396"/>
        <v>1562</v>
      </c>
      <c r="B1378" s="1141" t="str">
        <f>IFERROR(VLOOKUP(A1378,'LAC 103'!A:C,3,FALSE),"")</f>
        <v>OP</v>
      </c>
      <c r="C1378" s="1478" t="str">
        <f>Info!$B$8</f>
        <v>00100</v>
      </c>
      <c r="D1378" s="1474" t="s">
        <v>256</v>
      </c>
      <c r="E1378" s="1474" t="s">
        <v>95</v>
      </c>
      <c r="F1378" s="1478" t="s">
        <v>432</v>
      </c>
      <c r="G1378" s="1478" t="s">
        <v>432</v>
      </c>
      <c r="H1378" s="1474" t="s">
        <v>983</v>
      </c>
      <c r="I1378" s="1478" t="s">
        <v>823</v>
      </c>
      <c r="J1378" s="1478" t="s">
        <v>2000</v>
      </c>
      <c r="K1378" s="1475" t="s">
        <v>851</v>
      </c>
      <c r="L1378" s="1474" t="s">
        <v>584</v>
      </c>
      <c r="M1378" s="1476" t="s">
        <v>1698</v>
      </c>
      <c r="N1378" s="1477" t="s">
        <v>1693</v>
      </c>
      <c r="O1378" s="1479">
        <v>87</v>
      </c>
      <c r="P1378" s="1479"/>
      <c r="Q1378" s="1142">
        <f t="shared" si="379"/>
        <v>87</v>
      </c>
      <c r="R1378" s="1143">
        <f>IFERROR(VLOOKUP(CONCATENATE(E1378,G1378),'LAC 103'!$A$12:$O$95,11,FALSE),0)</f>
        <v>5.936295312319726</v>
      </c>
      <c r="S1378" s="1144">
        <f>IFERROR(VLOOKUP(CONCATENATE($E1378,$G1378),'LAC 103'!$A$12:$O$95,12,FALSE),0)</f>
        <v>7.34</v>
      </c>
      <c r="T1378" s="1144">
        <f>IFERROR(VLOOKUP(CONCATENATE($E1378,$G1378),'LAC 103'!$A$12:$O$95,13,FALSE),0)</f>
        <v>4.59</v>
      </c>
      <c r="U1378" s="1144">
        <f>IFERROR(VLOOKUP(CONCATENATE($E1378,$G1378),'LAC 103'!$A$12:$O$95,14,FALSE),0)</f>
        <v>0</v>
      </c>
      <c r="V1378" s="1144">
        <f>IFERROR(VLOOKUP(CONCATENATE($E1378,$G1378),'LAC 103'!$A$12:$O$95,15,FALSE),0)</f>
        <v>0</v>
      </c>
      <c r="W1378" s="1145" t="str">
        <f>IFERROR(VLOOKUP(CONCATENATE($B1378,$N1378),'LAC 103'!$AI:$AQ,9,FALSE),"")</f>
        <v>Costs</v>
      </c>
      <c r="X1378" s="1146">
        <f t="shared" si="384"/>
        <v>5.936295312319726</v>
      </c>
      <c r="Y1378" s="1143">
        <f t="shared" si="395"/>
        <v>516.45769217181612</v>
      </c>
      <c r="Z1378" s="1147">
        <f t="shared" si="385"/>
        <v>638.58000000000004</v>
      </c>
      <c r="AA1378" s="1144">
        <f t="shared" si="386"/>
        <v>399.33</v>
      </c>
      <c r="AB1378" s="1144">
        <f t="shared" si="387"/>
        <v>0</v>
      </c>
      <c r="AC1378" s="1144">
        <f t="shared" si="388"/>
        <v>0</v>
      </c>
      <c r="AD1378" s="1148">
        <f t="shared" si="380"/>
        <v>516.45769217181612</v>
      </c>
      <c r="AE1378" s="1487">
        <v>0</v>
      </c>
      <c r="AF1378" s="1145">
        <f t="shared" si="389"/>
        <v>516.45769217181612</v>
      </c>
      <c r="AG1378" s="1149">
        <f>IFERROR(VLOOKUP(CONCATENATE($L1378,$N1378),'Drop List'!$G$23:$K$87,2,FALSE),0)</f>
        <v>0.56200000000000006</v>
      </c>
      <c r="AH1378" s="1150">
        <f>IFERROR(VLOOKUP(CONCATENATE($L1378,$N1378),'Drop List'!$G$23:$K$87,3,FALSE),0)</f>
        <v>0</v>
      </c>
      <c r="AI1378" s="1150">
        <f>IFERROR(VLOOKUP(CONCATENATE($L1378,$N1378),'Drop List'!$G$23:$K$87,4,FALSE),0)</f>
        <v>0</v>
      </c>
      <c r="AJ1378" s="1151">
        <f>IFERROR(VLOOKUP(CONCATENATE($L1378,$N1378),'Drop List'!$G$23:$K$87,5,FALSE),0)</f>
        <v>0.43799999999999994</v>
      </c>
      <c r="AK1378" s="1152">
        <f t="shared" si="390"/>
        <v>290.24922300056068</v>
      </c>
      <c r="AL1378" s="1153">
        <f t="shared" si="391"/>
        <v>0</v>
      </c>
      <c r="AM1378" s="1153">
        <f t="shared" si="392"/>
        <v>0</v>
      </c>
      <c r="AN1378" s="1145">
        <f t="shared" si="393"/>
        <v>226.20846917125544</v>
      </c>
      <c r="AO1378" s="1154">
        <f t="shared" si="394"/>
        <v>516.45769217181612</v>
      </c>
      <c r="AP1378" s="1147">
        <f t="shared" si="381"/>
        <v>0</v>
      </c>
      <c r="AQ1378" s="1144">
        <f t="shared" si="382"/>
        <v>0</v>
      </c>
      <c r="AR1378" s="1146">
        <f t="shared" si="383"/>
        <v>516.45769217181612</v>
      </c>
    </row>
    <row r="1379" spans="1:44" x14ac:dyDescent="0.2">
      <c r="A1379" s="1141" t="str">
        <f t="shared" si="396"/>
        <v>1562</v>
      </c>
      <c r="B1379" s="1141" t="str">
        <f>IFERROR(VLOOKUP(A1379,'LAC 103'!A:C,3,FALSE),"")</f>
        <v>OP</v>
      </c>
      <c r="C1379" s="1478" t="str">
        <f>Info!$B$8</f>
        <v>00100</v>
      </c>
      <c r="D1379" s="1474" t="s">
        <v>256</v>
      </c>
      <c r="E1379" s="1474" t="s">
        <v>95</v>
      </c>
      <c r="F1379" s="1478" t="s">
        <v>432</v>
      </c>
      <c r="G1379" s="1478" t="s">
        <v>432</v>
      </c>
      <c r="H1379" s="1474" t="s">
        <v>983</v>
      </c>
      <c r="I1379" s="1478" t="s">
        <v>823</v>
      </c>
      <c r="J1379" s="1478" t="s">
        <v>2001</v>
      </c>
      <c r="K1379" s="1475" t="s">
        <v>849</v>
      </c>
      <c r="L1379" s="1474" t="s">
        <v>77</v>
      </c>
      <c r="M1379" s="1476" t="s">
        <v>1699</v>
      </c>
      <c r="N1379" s="1477" t="s">
        <v>1694</v>
      </c>
      <c r="O1379" s="1479">
        <v>96</v>
      </c>
      <c r="P1379" s="1479"/>
      <c r="Q1379" s="1142">
        <f t="shared" si="379"/>
        <v>96</v>
      </c>
      <c r="R1379" s="1143">
        <f>IFERROR(VLOOKUP(CONCATENATE(E1379,G1379),'LAC 103'!$A$12:$O$95,11,FALSE),0)</f>
        <v>5.936295312319726</v>
      </c>
      <c r="S1379" s="1144">
        <f>IFERROR(VLOOKUP(CONCATENATE($E1379,$G1379),'LAC 103'!$A$12:$O$95,12,FALSE),0)</f>
        <v>7.34</v>
      </c>
      <c r="T1379" s="1144">
        <f>IFERROR(VLOOKUP(CONCATENATE($E1379,$G1379),'LAC 103'!$A$12:$O$95,13,FALSE),0)</f>
        <v>4.59</v>
      </c>
      <c r="U1379" s="1144">
        <f>IFERROR(VLOOKUP(CONCATENATE($E1379,$G1379),'LAC 103'!$A$12:$O$95,14,FALSE),0)</f>
        <v>0</v>
      </c>
      <c r="V1379" s="1144">
        <f>IFERROR(VLOOKUP(CONCATENATE($E1379,$G1379),'LAC 103'!$A$12:$O$95,15,FALSE),0)</f>
        <v>0</v>
      </c>
      <c r="W1379" s="1145" t="str">
        <f>IFERROR(VLOOKUP(CONCATENATE($B1379,$N1379),'LAC 103'!$AI:$AQ,9,FALSE),"")</f>
        <v>Costs</v>
      </c>
      <c r="X1379" s="1146">
        <f t="shared" si="384"/>
        <v>5.936295312319726</v>
      </c>
      <c r="Y1379" s="1143">
        <f t="shared" si="395"/>
        <v>569.88434998269372</v>
      </c>
      <c r="Z1379" s="1147">
        <f t="shared" si="385"/>
        <v>704.64</v>
      </c>
      <c r="AA1379" s="1144">
        <f t="shared" si="386"/>
        <v>440.64</v>
      </c>
      <c r="AB1379" s="1144">
        <f t="shared" si="387"/>
        <v>0</v>
      </c>
      <c r="AC1379" s="1144">
        <f t="shared" si="388"/>
        <v>0</v>
      </c>
      <c r="AD1379" s="1148">
        <f t="shared" si="380"/>
        <v>569.88434998269372</v>
      </c>
      <c r="AE1379" s="1487">
        <v>0</v>
      </c>
      <c r="AF1379" s="1145">
        <f t="shared" si="389"/>
        <v>569.88434998269372</v>
      </c>
      <c r="AG1379" s="1149">
        <f>IFERROR(VLOOKUP(CONCATENATE($L1379,$N1379),'Drop List'!$G$23:$K$87,2,FALSE),0)</f>
        <v>0.9</v>
      </c>
      <c r="AH1379" s="1150">
        <f>IFERROR(VLOOKUP(CONCATENATE($L1379,$N1379),'Drop List'!$G$23:$K$87,3,FALSE),0)</f>
        <v>0</v>
      </c>
      <c r="AI1379" s="1150">
        <f>IFERROR(VLOOKUP(CONCATENATE($L1379,$N1379),'Drop List'!$G$23:$K$87,4,FALSE),0)</f>
        <v>0.1</v>
      </c>
      <c r="AJ1379" s="1151">
        <f>IFERROR(VLOOKUP(CONCATENATE($L1379,$N1379),'Drop List'!$G$23:$K$87,5,FALSE),0)</f>
        <v>0</v>
      </c>
      <c r="AK1379" s="1152">
        <f t="shared" si="390"/>
        <v>512.89591498442439</v>
      </c>
      <c r="AL1379" s="1153">
        <f t="shared" si="391"/>
        <v>0</v>
      </c>
      <c r="AM1379" s="1153">
        <f t="shared" si="392"/>
        <v>56.988434998269376</v>
      </c>
      <c r="AN1379" s="1145">
        <f t="shared" si="393"/>
        <v>0</v>
      </c>
      <c r="AO1379" s="1154">
        <f t="shared" si="394"/>
        <v>569.88434998269372</v>
      </c>
      <c r="AP1379" s="1147">
        <f t="shared" si="381"/>
        <v>0</v>
      </c>
      <c r="AQ1379" s="1144">
        <f t="shared" si="382"/>
        <v>0</v>
      </c>
      <c r="AR1379" s="1146">
        <f t="shared" si="383"/>
        <v>569.88434998269372</v>
      </c>
    </row>
    <row r="1380" spans="1:44" x14ac:dyDescent="0.2">
      <c r="A1380" s="1141" t="str">
        <f t="shared" si="396"/>
        <v>1562</v>
      </c>
      <c r="B1380" s="1141" t="str">
        <f>IFERROR(VLOOKUP(A1380,'LAC 103'!A:C,3,FALSE),"")</f>
        <v>OP</v>
      </c>
      <c r="C1380" s="1478" t="str">
        <f>Info!$B$8</f>
        <v>00100</v>
      </c>
      <c r="D1380" s="1474" t="s">
        <v>256</v>
      </c>
      <c r="E1380" s="1474" t="s">
        <v>95</v>
      </c>
      <c r="F1380" s="1478" t="s">
        <v>432</v>
      </c>
      <c r="G1380" s="1478" t="s">
        <v>432</v>
      </c>
      <c r="H1380" s="1474" t="s">
        <v>983</v>
      </c>
      <c r="I1380" s="1478" t="s">
        <v>823</v>
      </c>
      <c r="J1380" s="1478" t="s">
        <v>2001</v>
      </c>
      <c r="K1380" s="1475" t="s">
        <v>849</v>
      </c>
      <c r="L1380" s="1474" t="s">
        <v>77</v>
      </c>
      <c r="M1380" s="1476" t="s">
        <v>1698</v>
      </c>
      <c r="N1380" s="1477" t="s">
        <v>1693</v>
      </c>
      <c r="O1380" s="1479">
        <v>90</v>
      </c>
      <c r="P1380" s="1479"/>
      <c r="Q1380" s="1142">
        <f t="shared" si="379"/>
        <v>90</v>
      </c>
      <c r="R1380" s="1143">
        <f>IFERROR(VLOOKUP(CONCATENATE(E1380,G1380),'LAC 103'!$A$12:$O$95,11,FALSE),0)</f>
        <v>5.936295312319726</v>
      </c>
      <c r="S1380" s="1144">
        <f>IFERROR(VLOOKUP(CONCATENATE($E1380,$G1380),'LAC 103'!$A$12:$O$95,12,FALSE),0)</f>
        <v>7.34</v>
      </c>
      <c r="T1380" s="1144">
        <f>IFERROR(VLOOKUP(CONCATENATE($E1380,$G1380),'LAC 103'!$A$12:$O$95,13,FALSE),0)</f>
        <v>4.59</v>
      </c>
      <c r="U1380" s="1144">
        <f>IFERROR(VLOOKUP(CONCATENATE($E1380,$G1380),'LAC 103'!$A$12:$O$95,14,FALSE),0)</f>
        <v>0</v>
      </c>
      <c r="V1380" s="1144">
        <f>IFERROR(VLOOKUP(CONCATENATE($E1380,$G1380),'LAC 103'!$A$12:$O$95,15,FALSE),0)</f>
        <v>0</v>
      </c>
      <c r="W1380" s="1145" t="str">
        <f>IFERROR(VLOOKUP(CONCATENATE($B1380,$N1380),'LAC 103'!$AI:$AQ,9,FALSE),"")</f>
        <v>Costs</v>
      </c>
      <c r="X1380" s="1146">
        <f t="shared" si="384"/>
        <v>5.936295312319726</v>
      </c>
      <c r="Y1380" s="1143">
        <f t="shared" si="395"/>
        <v>534.26657810877532</v>
      </c>
      <c r="Z1380" s="1147">
        <f t="shared" si="385"/>
        <v>660.6</v>
      </c>
      <c r="AA1380" s="1144">
        <f t="shared" si="386"/>
        <v>413.09999999999997</v>
      </c>
      <c r="AB1380" s="1144">
        <f t="shared" si="387"/>
        <v>0</v>
      </c>
      <c r="AC1380" s="1144">
        <f t="shared" si="388"/>
        <v>0</v>
      </c>
      <c r="AD1380" s="1148">
        <f t="shared" si="380"/>
        <v>534.26657810877532</v>
      </c>
      <c r="AE1380" s="1487">
        <v>0</v>
      </c>
      <c r="AF1380" s="1145">
        <f t="shared" si="389"/>
        <v>534.26657810877532</v>
      </c>
      <c r="AG1380" s="1149">
        <f>IFERROR(VLOOKUP(CONCATENATE($L1380,$N1380),'Drop List'!$G$23:$K$87,2,FALSE),0)</f>
        <v>0.9</v>
      </c>
      <c r="AH1380" s="1150">
        <f>IFERROR(VLOOKUP(CONCATENATE($L1380,$N1380),'Drop List'!$G$23:$K$87,3,FALSE),0)</f>
        <v>0</v>
      </c>
      <c r="AI1380" s="1150">
        <f>IFERROR(VLOOKUP(CONCATENATE($L1380,$N1380),'Drop List'!$G$23:$K$87,4,FALSE),0)</f>
        <v>0.1</v>
      </c>
      <c r="AJ1380" s="1151">
        <f>IFERROR(VLOOKUP(CONCATENATE($L1380,$N1380),'Drop List'!$G$23:$K$87,5,FALSE),0)</f>
        <v>0</v>
      </c>
      <c r="AK1380" s="1152">
        <f t="shared" si="390"/>
        <v>480.83992029789778</v>
      </c>
      <c r="AL1380" s="1153">
        <f t="shared" si="391"/>
        <v>0</v>
      </c>
      <c r="AM1380" s="1153">
        <f t="shared" si="392"/>
        <v>53.426657810877536</v>
      </c>
      <c r="AN1380" s="1145">
        <f t="shared" si="393"/>
        <v>0</v>
      </c>
      <c r="AO1380" s="1154">
        <f t="shared" si="394"/>
        <v>534.26657810877532</v>
      </c>
      <c r="AP1380" s="1147">
        <f t="shared" si="381"/>
        <v>0</v>
      </c>
      <c r="AQ1380" s="1144">
        <f t="shared" si="382"/>
        <v>0</v>
      </c>
      <c r="AR1380" s="1146">
        <f t="shared" si="383"/>
        <v>534.26657810877532</v>
      </c>
    </row>
    <row r="1381" spans="1:44" x14ac:dyDescent="0.2">
      <c r="A1381" s="1141" t="str">
        <f t="shared" si="396"/>
        <v>1562</v>
      </c>
      <c r="B1381" s="1141" t="str">
        <f>IFERROR(VLOOKUP(A1381,'LAC 103'!A:C,3,FALSE),"")</f>
        <v>OP</v>
      </c>
      <c r="C1381" s="1478" t="str">
        <f>Info!$B$8</f>
        <v>00100</v>
      </c>
      <c r="D1381" s="1474" t="s">
        <v>256</v>
      </c>
      <c r="E1381" s="1474" t="s">
        <v>95</v>
      </c>
      <c r="F1381" s="1478" t="s">
        <v>432</v>
      </c>
      <c r="G1381" s="1478" t="s">
        <v>432</v>
      </c>
      <c r="H1381" s="1474" t="s">
        <v>983</v>
      </c>
      <c r="I1381" s="1478" t="s">
        <v>823</v>
      </c>
      <c r="J1381" s="1478" t="s">
        <v>2001</v>
      </c>
      <c r="K1381" s="1475" t="s">
        <v>851</v>
      </c>
      <c r="L1381" s="1474" t="s">
        <v>584</v>
      </c>
      <c r="M1381" s="1476" t="s">
        <v>1699</v>
      </c>
      <c r="N1381" s="1477" t="s">
        <v>1694</v>
      </c>
      <c r="O1381" s="1479">
        <v>76</v>
      </c>
      <c r="P1381" s="1479"/>
      <c r="Q1381" s="1142">
        <f t="shared" si="379"/>
        <v>76</v>
      </c>
      <c r="R1381" s="1143">
        <f>IFERROR(VLOOKUP(CONCATENATE(E1381,G1381),'LAC 103'!$A$12:$O$95,11,FALSE),0)</f>
        <v>5.936295312319726</v>
      </c>
      <c r="S1381" s="1144">
        <f>IFERROR(VLOOKUP(CONCATENATE($E1381,$G1381),'LAC 103'!$A$12:$O$95,12,FALSE),0)</f>
        <v>7.34</v>
      </c>
      <c r="T1381" s="1144">
        <f>IFERROR(VLOOKUP(CONCATENATE($E1381,$G1381),'LAC 103'!$A$12:$O$95,13,FALSE),0)</f>
        <v>4.59</v>
      </c>
      <c r="U1381" s="1144">
        <f>IFERROR(VLOOKUP(CONCATENATE($E1381,$G1381),'LAC 103'!$A$12:$O$95,14,FALSE),0)</f>
        <v>0</v>
      </c>
      <c r="V1381" s="1144">
        <f>IFERROR(VLOOKUP(CONCATENATE($E1381,$G1381),'LAC 103'!$A$12:$O$95,15,FALSE),0)</f>
        <v>0</v>
      </c>
      <c r="W1381" s="1145" t="str">
        <f>IFERROR(VLOOKUP(CONCATENATE($B1381,$N1381),'LAC 103'!$AI:$AQ,9,FALSE),"")</f>
        <v>Costs</v>
      </c>
      <c r="X1381" s="1146">
        <f t="shared" si="384"/>
        <v>5.936295312319726</v>
      </c>
      <c r="Y1381" s="1143">
        <f t="shared" si="395"/>
        <v>451.15844373629915</v>
      </c>
      <c r="Z1381" s="1147">
        <f t="shared" si="385"/>
        <v>557.84</v>
      </c>
      <c r="AA1381" s="1144">
        <f t="shared" si="386"/>
        <v>348.84</v>
      </c>
      <c r="AB1381" s="1144">
        <f t="shared" si="387"/>
        <v>0</v>
      </c>
      <c r="AC1381" s="1144">
        <f t="shared" si="388"/>
        <v>0</v>
      </c>
      <c r="AD1381" s="1148">
        <f t="shared" si="380"/>
        <v>451.15844373629915</v>
      </c>
      <c r="AE1381" s="1487">
        <v>0</v>
      </c>
      <c r="AF1381" s="1145">
        <f t="shared" si="389"/>
        <v>451.15844373629915</v>
      </c>
      <c r="AG1381" s="1149">
        <f>IFERROR(VLOOKUP(CONCATENATE($L1381,$N1381),'Drop List'!$G$23:$K$87,2,FALSE),0)</f>
        <v>0.56200000000000006</v>
      </c>
      <c r="AH1381" s="1150">
        <f>IFERROR(VLOOKUP(CONCATENATE($L1381,$N1381),'Drop List'!$G$23:$K$87,3,FALSE),0)</f>
        <v>0</v>
      </c>
      <c r="AI1381" s="1150">
        <f>IFERROR(VLOOKUP(CONCATENATE($L1381,$N1381),'Drop List'!$G$23:$K$87,4,FALSE),0)</f>
        <v>0</v>
      </c>
      <c r="AJ1381" s="1151">
        <f>IFERROR(VLOOKUP(CONCATENATE($L1381,$N1381),'Drop List'!$G$23:$K$87,5,FALSE),0)</f>
        <v>0.43799999999999994</v>
      </c>
      <c r="AK1381" s="1152">
        <f t="shared" si="390"/>
        <v>253.55104537980014</v>
      </c>
      <c r="AL1381" s="1153">
        <f t="shared" si="391"/>
        <v>0</v>
      </c>
      <c r="AM1381" s="1153">
        <f t="shared" si="392"/>
        <v>0</v>
      </c>
      <c r="AN1381" s="1145">
        <f t="shared" si="393"/>
        <v>197.607398356499</v>
      </c>
      <c r="AO1381" s="1154">
        <f t="shared" si="394"/>
        <v>451.15844373629915</v>
      </c>
      <c r="AP1381" s="1147">
        <f t="shared" si="381"/>
        <v>0</v>
      </c>
      <c r="AQ1381" s="1144">
        <f t="shared" si="382"/>
        <v>0</v>
      </c>
      <c r="AR1381" s="1146">
        <f t="shared" si="383"/>
        <v>451.15844373629915</v>
      </c>
    </row>
    <row r="1382" spans="1:44" x14ac:dyDescent="0.2">
      <c r="A1382" s="1141" t="str">
        <f t="shared" si="396"/>
        <v>1562</v>
      </c>
      <c r="B1382" s="1141" t="str">
        <f>IFERROR(VLOOKUP(A1382,'LAC 103'!A:C,3,FALSE),"")</f>
        <v>OP</v>
      </c>
      <c r="C1382" s="1478" t="str">
        <f>Info!$B$8</f>
        <v>00100</v>
      </c>
      <c r="D1382" s="1474" t="s">
        <v>256</v>
      </c>
      <c r="E1382" s="1474" t="s">
        <v>95</v>
      </c>
      <c r="F1382" s="1478" t="s">
        <v>432</v>
      </c>
      <c r="G1382" s="1478" t="s">
        <v>432</v>
      </c>
      <c r="H1382" s="1474" t="s">
        <v>983</v>
      </c>
      <c r="I1382" s="1478" t="s">
        <v>823</v>
      </c>
      <c r="J1382" s="1478" t="s">
        <v>2001</v>
      </c>
      <c r="K1382" s="1475" t="s">
        <v>851</v>
      </c>
      <c r="L1382" s="1474" t="s">
        <v>584</v>
      </c>
      <c r="M1382" s="1476" t="s">
        <v>842</v>
      </c>
      <c r="N1382" s="1477" t="s">
        <v>1692</v>
      </c>
      <c r="O1382" s="1479">
        <v>264</v>
      </c>
      <c r="P1382" s="1479"/>
      <c r="Q1382" s="1142">
        <f t="shared" si="379"/>
        <v>264</v>
      </c>
      <c r="R1382" s="1143">
        <f>IFERROR(VLOOKUP(CONCATENATE(E1382,G1382),'LAC 103'!$A$12:$O$95,11,FALSE),0)</f>
        <v>5.936295312319726</v>
      </c>
      <c r="S1382" s="1144">
        <f>IFERROR(VLOOKUP(CONCATENATE($E1382,$G1382),'LAC 103'!$A$12:$O$95,12,FALSE),0)</f>
        <v>7.34</v>
      </c>
      <c r="T1382" s="1144">
        <f>IFERROR(VLOOKUP(CONCATENATE($E1382,$G1382),'LAC 103'!$A$12:$O$95,13,FALSE),0)</f>
        <v>4.59</v>
      </c>
      <c r="U1382" s="1144">
        <f>IFERROR(VLOOKUP(CONCATENATE($E1382,$G1382),'LAC 103'!$A$12:$O$95,14,FALSE),0)</f>
        <v>0</v>
      </c>
      <c r="V1382" s="1144">
        <f>IFERROR(VLOOKUP(CONCATENATE($E1382,$G1382),'LAC 103'!$A$12:$O$95,15,FALSE),0)</f>
        <v>0</v>
      </c>
      <c r="W1382" s="1145" t="str">
        <f>IFERROR(VLOOKUP(CONCATENATE($B1382,$N1382),'LAC 103'!$AI:$AQ,9,FALSE),"")</f>
        <v>Costs</v>
      </c>
      <c r="X1382" s="1146">
        <f t="shared" si="384"/>
        <v>5.936295312319726</v>
      </c>
      <c r="Y1382" s="1143">
        <f t="shared" si="395"/>
        <v>1567.1819624524076</v>
      </c>
      <c r="Z1382" s="1147">
        <f t="shared" si="385"/>
        <v>1937.76</v>
      </c>
      <c r="AA1382" s="1144">
        <f t="shared" si="386"/>
        <v>1211.76</v>
      </c>
      <c r="AB1382" s="1144">
        <f t="shared" si="387"/>
        <v>0</v>
      </c>
      <c r="AC1382" s="1144">
        <f t="shared" si="388"/>
        <v>0</v>
      </c>
      <c r="AD1382" s="1148">
        <f t="shared" si="380"/>
        <v>1567.1819624524076</v>
      </c>
      <c r="AE1382" s="1487">
        <v>0</v>
      </c>
      <c r="AF1382" s="1145">
        <f t="shared" si="389"/>
        <v>1567.1819624524076</v>
      </c>
      <c r="AG1382" s="1149">
        <f>IFERROR(VLOOKUP(CONCATENATE($L1382,$N1382),'Drop List'!$G$23:$K$87,2,FALSE),0)</f>
        <v>0.56200000000000006</v>
      </c>
      <c r="AH1382" s="1150">
        <f>IFERROR(VLOOKUP(CONCATENATE($L1382,$N1382),'Drop List'!$G$23:$K$87,3,FALSE),0)</f>
        <v>0</v>
      </c>
      <c r="AI1382" s="1150">
        <f>IFERROR(VLOOKUP(CONCATENATE($L1382,$N1382),'Drop List'!$G$23:$K$87,4,FALSE),0)</f>
        <v>0</v>
      </c>
      <c r="AJ1382" s="1151">
        <f>IFERROR(VLOOKUP(CONCATENATE($L1382,$N1382),'Drop List'!$G$23:$K$87,5,FALSE),0)</f>
        <v>0.43799999999999994</v>
      </c>
      <c r="AK1382" s="1152">
        <f t="shared" si="390"/>
        <v>880.75626289825311</v>
      </c>
      <c r="AL1382" s="1153">
        <f t="shared" si="391"/>
        <v>0</v>
      </c>
      <c r="AM1382" s="1153">
        <f t="shared" si="392"/>
        <v>0</v>
      </c>
      <c r="AN1382" s="1145">
        <f t="shared" si="393"/>
        <v>686.42569955415445</v>
      </c>
      <c r="AO1382" s="1154">
        <f t="shared" si="394"/>
        <v>1567.1819624524076</v>
      </c>
      <c r="AP1382" s="1147">
        <f t="shared" si="381"/>
        <v>0</v>
      </c>
      <c r="AQ1382" s="1144">
        <f t="shared" si="382"/>
        <v>0</v>
      </c>
      <c r="AR1382" s="1146">
        <f t="shared" si="383"/>
        <v>1567.1819624524076</v>
      </c>
    </row>
    <row r="1383" spans="1:44" x14ac:dyDescent="0.2">
      <c r="A1383" s="1141" t="str">
        <f t="shared" si="396"/>
        <v>1562</v>
      </c>
      <c r="B1383" s="1141" t="str">
        <f>IFERROR(VLOOKUP(A1383,'LAC 103'!A:C,3,FALSE),"")</f>
        <v>OP</v>
      </c>
      <c r="C1383" s="1478" t="str">
        <f>Info!$B$8</f>
        <v>00100</v>
      </c>
      <c r="D1383" s="1474" t="s">
        <v>256</v>
      </c>
      <c r="E1383" s="1474" t="s">
        <v>95</v>
      </c>
      <c r="F1383" s="1478" t="s">
        <v>432</v>
      </c>
      <c r="G1383" s="1478" t="s">
        <v>432</v>
      </c>
      <c r="H1383" s="1474" t="s">
        <v>983</v>
      </c>
      <c r="I1383" s="1478" t="s">
        <v>823</v>
      </c>
      <c r="J1383" s="1478" t="s">
        <v>2001</v>
      </c>
      <c r="K1383" s="1475" t="s">
        <v>851</v>
      </c>
      <c r="L1383" s="1474" t="s">
        <v>584</v>
      </c>
      <c r="M1383" s="1476" t="s">
        <v>1698</v>
      </c>
      <c r="N1383" s="1477" t="s">
        <v>1693</v>
      </c>
      <c r="O1383" s="1479">
        <v>253</v>
      </c>
      <c r="P1383" s="1479"/>
      <c r="Q1383" s="1142">
        <f t="shared" si="379"/>
        <v>253</v>
      </c>
      <c r="R1383" s="1143">
        <f>IFERROR(VLOOKUP(CONCATENATE(E1383,G1383),'LAC 103'!$A$12:$O$95,11,FALSE),0)</f>
        <v>5.936295312319726</v>
      </c>
      <c r="S1383" s="1144">
        <f>IFERROR(VLOOKUP(CONCATENATE($E1383,$G1383),'LAC 103'!$A$12:$O$95,12,FALSE),0)</f>
        <v>7.34</v>
      </c>
      <c r="T1383" s="1144">
        <f>IFERROR(VLOOKUP(CONCATENATE($E1383,$G1383),'LAC 103'!$A$12:$O$95,13,FALSE),0)</f>
        <v>4.59</v>
      </c>
      <c r="U1383" s="1144">
        <f>IFERROR(VLOOKUP(CONCATENATE($E1383,$G1383),'LAC 103'!$A$12:$O$95,14,FALSE),0)</f>
        <v>0</v>
      </c>
      <c r="V1383" s="1144">
        <f>IFERROR(VLOOKUP(CONCATENATE($E1383,$G1383),'LAC 103'!$A$12:$O$95,15,FALSE),0)</f>
        <v>0</v>
      </c>
      <c r="W1383" s="1145" t="str">
        <f>IFERROR(VLOOKUP(CONCATENATE($B1383,$N1383),'LAC 103'!$AI:$AQ,9,FALSE),"")</f>
        <v>Costs</v>
      </c>
      <c r="X1383" s="1146">
        <f t="shared" si="384"/>
        <v>5.936295312319726</v>
      </c>
      <c r="Y1383" s="1143">
        <f t="shared" si="395"/>
        <v>1501.8827140168908</v>
      </c>
      <c r="Z1383" s="1147">
        <f t="shared" si="385"/>
        <v>1857.02</v>
      </c>
      <c r="AA1383" s="1144">
        <f t="shared" si="386"/>
        <v>1161.27</v>
      </c>
      <c r="AB1383" s="1144">
        <f t="shared" si="387"/>
        <v>0</v>
      </c>
      <c r="AC1383" s="1144">
        <f t="shared" si="388"/>
        <v>0</v>
      </c>
      <c r="AD1383" s="1148">
        <f t="shared" si="380"/>
        <v>1501.8827140168908</v>
      </c>
      <c r="AE1383" s="1487">
        <v>0</v>
      </c>
      <c r="AF1383" s="1145">
        <f t="shared" si="389"/>
        <v>1501.8827140168908</v>
      </c>
      <c r="AG1383" s="1149">
        <f>IFERROR(VLOOKUP(CONCATENATE($L1383,$N1383),'Drop List'!$G$23:$K$87,2,FALSE),0)</f>
        <v>0.56200000000000006</v>
      </c>
      <c r="AH1383" s="1150">
        <f>IFERROR(VLOOKUP(CONCATENATE($L1383,$N1383),'Drop List'!$G$23:$K$87,3,FALSE),0)</f>
        <v>0</v>
      </c>
      <c r="AI1383" s="1150">
        <f>IFERROR(VLOOKUP(CONCATENATE($L1383,$N1383),'Drop List'!$G$23:$K$87,4,FALSE),0)</f>
        <v>0</v>
      </c>
      <c r="AJ1383" s="1151">
        <f>IFERROR(VLOOKUP(CONCATENATE($L1383,$N1383),'Drop List'!$G$23:$K$87,5,FALSE),0)</f>
        <v>0.43799999999999994</v>
      </c>
      <c r="AK1383" s="1152">
        <f t="shared" si="390"/>
        <v>844.05808527749264</v>
      </c>
      <c r="AL1383" s="1153">
        <f t="shared" si="391"/>
        <v>0</v>
      </c>
      <c r="AM1383" s="1153">
        <f t="shared" si="392"/>
        <v>0</v>
      </c>
      <c r="AN1383" s="1145">
        <f t="shared" si="393"/>
        <v>657.82462873939812</v>
      </c>
      <c r="AO1383" s="1154">
        <f t="shared" si="394"/>
        <v>1501.8827140168908</v>
      </c>
      <c r="AP1383" s="1147">
        <f t="shared" si="381"/>
        <v>0</v>
      </c>
      <c r="AQ1383" s="1144">
        <f t="shared" si="382"/>
        <v>0</v>
      </c>
      <c r="AR1383" s="1146">
        <f t="shared" si="383"/>
        <v>1501.8827140168908</v>
      </c>
    </row>
    <row r="1384" spans="1:44" x14ac:dyDescent="0.2">
      <c r="A1384" s="1141" t="str">
        <f t="shared" si="396"/>
        <v>1562</v>
      </c>
      <c r="B1384" s="1141" t="str">
        <f>IFERROR(VLOOKUP(A1384,'LAC 103'!A:C,3,FALSE),"")</f>
        <v>OP</v>
      </c>
      <c r="C1384" s="1478" t="str">
        <f>Info!$B$8</f>
        <v>00100</v>
      </c>
      <c r="D1384" s="1474" t="s">
        <v>256</v>
      </c>
      <c r="E1384" s="1474" t="s">
        <v>95</v>
      </c>
      <c r="F1384" s="1478" t="s">
        <v>432</v>
      </c>
      <c r="G1384" s="1478" t="s">
        <v>432</v>
      </c>
      <c r="H1384" s="1474" t="s">
        <v>1665</v>
      </c>
      <c r="I1384" s="1478" t="s">
        <v>803</v>
      </c>
      <c r="J1384" s="1478" t="s">
        <v>123</v>
      </c>
      <c r="K1384" s="1475" t="s">
        <v>1654</v>
      </c>
      <c r="L1384" s="1474" t="s">
        <v>332</v>
      </c>
      <c r="M1384" s="1476" t="s">
        <v>1699</v>
      </c>
      <c r="N1384" s="1477" t="s">
        <v>1694</v>
      </c>
      <c r="O1384" s="1479">
        <v>198</v>
      </c>
      <c r="P1384" s="1479"/>
      <c r="Q1384" s="1142">
        <f t="shared" si="379"/>
        <v>198</v>
      </c>
      <c r="R1384" s="1143">
        <f>IFERROR(VLOOKUP(CONCATENATE(E1384,G1384),'LAC 103'!$A$12:$O$95,11,FALSE),0)</f>
        <v>5.936295312319726</v>
      </c>
      <c r="S1384" s="1144">
        <f>IFERROR(VLOOKUP(CONCATENATE($E1384,$G1384),'LAC 103'!$A$12:$O$95,12,FALSE),0)</f>
        <v>7.34</v>
      </c>
      <c r="T1384" s="1144">
        <f>IFERROR(VLOOKUP(CONCATENATE($E1384,$G1384),'LAC 103'!$A$12:$O$95,13,FALSE),0)</f>
        <v>4.59</v>
      </c>
      <c r="U1384" s="1144">
        <f>IFERROR(VLOOKUP(CONCATENATE($E1384,$G1384),'LAC 103'!$A$12:$O$95,14,FALSE),0)</f>
        <v>0</v>
      </c>
      <c r="V1384" s="1144">
        <f>IFERROR(VLOOKUP(CONCATENATE($E1384,$G1384),'LAC 103'!$A$12:$O$95,15,FALSE),0)</f>
        <v>0</v>
      </c>
      <c r="W1384" s="1145" t="str">
        <f>IFERROR(VLOOKUP(CONCATENATE($B1384,$N1384),'LAC 103'!$AI:$AQ,9,FALSE),"")</f>
        <v>Costs</v>
      </c>
      <c r="X1384" s="1146">
        <f t="shared" si="384"/>
        <v>5.936295312319726</v>
      </c>
      <c r="Y1384" s="1143">
        <f t="shared" si="395"/>
        <v>1175.3864718393058</v>
      </c>
      <c r="Z1384" s="1147">
        <f t="shared" si="385"/>
        <v>1453.32</v>
      </c>
      <c r="AA1384" s="1144">
        <f t="shared" si="386"/>
        <v>908.81999999999994</v>
      </c>
      <c r="AB1384" s="1144">
        <f t="shared" si="387"/>
        <v>0</v>
      </c>
      <c r="AC1384" s="1144">
        <f t="shared" si="388"/>
        <v>0</v>
      </c>
      <c r="AD1384" s="1148">
        <f t="shared" si="380"/>
        <v>1175.3864718393058</v>
      </c>
      <c r="AE1384" s="1487">
        <v>0</v>
      </c>
      <c r="AF1384" s="1145">
        <f t="shared" si="389"/>
        <v>1175.3864718393058</v>
      </c>
      <c r="AG1384" s="1149">
        <f>IFERROR(VLOOKUP(CONCATENATE($L1384,$N1384),'Drop List'!$G$23:$K$87,2,FALSE),0)</f>
        <v>0</v>
      </c>
      <c r="AH1384" s="1150">
        <f>IFERROR(VLOOKUP(CONCATENATE($L1384,$N1384),'Drop List'!$G$23:$K$87,3,FALSE),0)</f>
        <v>0</v>
      </c>
      <c r="AI1384" s="1150">
        <f>IFERROR(VLOOKUP(CONCATENATE($L1384,$N1384),'Drop List'!$G$23:$K$87,4,FALSE),0)</f>
        <v>0</v>
      </c>
      <c r="AJ1384" s="1151">
        <f>IFERROR(VLOOKUP(CONCATENATE($L1384,$N1384),'Drop List'!$G$23:$K$87,5,FALSE),0)</f>
        <v>0</v>
      </c>
      <c r="AK1384" s="1152">
        <f t="shared" si="390"/>
        <v>0</v>
      </c>
      <c r="AL1384" s="1153">
        <f t="shared" si="391"/>
        <v>0</v>
      </c>
      <c r="AM1384" s="1153">
        <f t="shared" si="392"/>
        <v>0</v>
      </c>
      <c r="AN1384" s="1145">
        <f t="shared" si="393"/>
        <v>0</v>
      </c>
      <c r="AO1384" s="1154">
        <f t="shared" si="394"/>
        <v>0</v>
      </c>
      <c r="AP1384" s="1147">
        <f t="shared" si="381"/>
        <v>1175.3864718393058</v>
      </c>
      <c r="AQ1384" s="1144">
        <f t="shared" si="382"/>
        <v>0</v>
      </c>
      <c r="AR1384" s="1146">
        <f t="shared" si="383"/>
        <v>1175.3864718393058</v>
      </c>
    </row>
    <row r="1385" spans="1:44" x14ac:dyDescent="0.2">
      <c r="A1385" s="1141" t="str">
        <f t="shared" si="396"/>
        <v>1562</v>
      </c>
      <c r="B1385" s="1141" t="str">
        <f>IFERROR(VLOOKUP(A1385,'LAC 103'!A:C,3,FALSE),"")</f>
        <v>OP</v>
      </c>
      <c r="C1385" s="1478" t="str">
        <f>Info!$B$8</f>
        <v>00100</v>
      </c>
      <c r="D1385" s="1474" t="s">
        <v>256</v>
      </c>
      <c r="E1385" s="1474" t="s">
        <v>95</v>
      </c>
      <c r="F1385" s="1478" t="s">
        <v>432</v>
      </c>
      <c r="G1385" s="1478" t="s">
        <v>432</v>
      </c>
      <c r="H1385" s="1474" t="s">
        <v>1665</v>
      </c>
      <c r="I1385" s="1478" t="s">
        <v>803</v>
      </c>
      <c r="J1385" s="1478"/>
      <c r="K1385" s="1475" t="s">
        <v>1654</v>
      </c>
      <c r="L1385" s="1474" t="s">
        <v>332</v>
      </c>
      <c r="M1385" s="1476" t="s">
        <v>842</v>
      </c>
      <c r="N1385" s="1477" t="s">
        <v>1692</v>
      </c>
      <c r="O1385" s="1479">
        <v>18</v>
      </c>
      <c r="P1385" s="1479"/>
      <c r="Q1385" s="1142">
        <f t="shared" si="379"/>
        <v>18</v>
      </c>
      <c r="R1385" s="1143">
        <f>IFERROR(VLOOKUP(CONCATENATE(E1385,G1385),'LAC 103'!$A$12:$O$95,11,FALSE),0)</f>
        <v>5.936295312319726</v>
      </c>
      <c r="S1385" s="1144">
        <f>IFERROR(VLOOKUP(CONCATENATE($E1385,$G1385),'LAC 103'!$A$12:$O$95,12,FALSE),0)</f>
        <v>7.34</v>
      </c>
      <c r="T1385" s="1144">
        <f>IFERROR(VLOOKUP(CONCATENATE($E1385,$G1385),'LAC 103'!$A$12:$O$95,13,FALSE),0)</f>
        <v>4.59</v>
      </c>
      <c r="U1385" s="1144">
        <f>IFERROR(VLOOKUP(CONCATENATE($E1385,$G1385),'LAC 103'!$A$12:$O$95,14,FALSE),0)</f>
        <v>0</v>
      </c>
      <c r="V1385" s="1144">
        <f>IFERROR(VLOOKUP(CONCATENATE($E1385,$G1385),'LAC 103'!$A$12:$O$95,15,FALSE),0)</f>
        <v>0</v>
      </c>
      <c r="W1385" s="1145" t="str">
        <f>IFERROR(VLOOKUP(CONCATENATE($B1385,$N1385),'LAC 103'!$AI:$AQ,9,FALSE),"")</f>
        <v>Costs</v>
      </c>
      <c r="X1385" s="1146">
        <f t="shared" si="384"/>
        <v>5.936295312319726</v>
      </c>
      <c r="Y1385" s="1143">
        <f t="shared" si="395"/>
        <v>106.85331562175507</v>
      </c>
      <c r="Z1385" s="1147">
        <f t="shared" si="385"/>
        <v>132.12</v>
      </c>
      <c r="AA1385" s="1144">
        <f t="shared" si="386"/>
        <v>82.62</v>
      </c>
      <c r="AB1385" s="1144">
        <f t="shared" si="387"/>
        <v>0</v>
      </c>
      <c r="AC1385" s="1144">
        <f t="shared" si="388"/>
        <v>0</v>
      </c>
      <c r="AD1385" s="1148">
        <f t="shared" si="380"/>
        <v>106.85331562175507</v>
      </c>
      <c r="AE1385" s="1487">
        <v>0</v>
      </c>
      <c r="AF1385" s="1145">
        <f t="shared" si="389"/>
        <v>106.85331562175507</v>
      </c>
      <c r="AG1385" s="1149">
        <f>IFERROR(VLOOKUP(CONCATENATE($L1385,$N1385),'Drop List'!$G$23:$K$87,2,FALSE),0)</f>
        <v>0</v>
      </c>
      <c r="AH1385" s="1150">
        <f>IFERROR(VLOOKUP(CONCATENATE($L1385,$N1385),'Drop List'!$G$23:$K$87,3,FALSE),0)</f>
        <v>0</v>
      </c>
      <c r="AI1385" s="1150">
        <f>IFERROR(VLOOKUP(CONCATENATE($L1385,$N1385),'Drop List'!$G$23:$K$87,4,FALSE),0)</f>
        <v>0</v>
      </c>
      <c r="AJ1385" s="1151">
        <f>IFERROR(VLOOKUP(CONCATENATE($L1385,$N1385),'Drop List'!$G$23:$K$87,5,FALSE),0)</f>
        <v>0</v>
      </c>
      <c r="AK1385" s="1152">
        <f t="shared" si="390"/>
        <v>0</v>
      </c>
      <c r="AL1385" s="1153">
        <f t="shared" si="391"/>
        <v>0</v>
      </c>
      <c r="AM1385" s="1153">
        <f t="shared" si="392"/>
        <v>0</v>
      </c>
      <c r="AN1385" s="1145">
        <f t="shared" si="393"/>
        <v>0</v>
      </c>
      <c r="AO1385" s="1154">
        <f t="shared" si="394"/>
        <v>0</v>
      </c>
      <c r="AP1385" s="1147">
        <f t="shared" si="381"/>
        <v>106.85331562175507</v>
      </c>
      <c r="AQ1385" s="1144">
        <f t="shared" si="382"/>
        <v>0</v>
      </c>
      <c r="AR1385" s="1146">
        <f t="shared" si="383"/>
        <v>106.85331562175507</v>
      </c>
    </row>
    <row r="1386" spans="1:44" x14ac:dyDescent="0.2">
      <c r="A1386" s="1141" t="str">
        <f t="shared" si="396"/>
        <v>1562</v>
      </c>
      <c r="B1386" s="1141" t="str">
        <f>IFERROR(VLOOKUP(A1386,'LAC 103'!A:C,3,FALSE),"")</f>
        <v>OP</v>
      </c>
      <c r="C1386" s="1478" t="str">
        <f>Info!$B$8</f>
        <v>00100</v>
      </c>
      <c r="D1386" s="1474" t="s">
        <v>256</v>
      </c>
      <c r="E1386" s="1474" t="s">
        <v>95</v>
      </c>
      <c r="F1386" s="1478" t="s">
        <v>432</v>
      </c>
      <c r="G1386" s="1478" t="s">
        <v>432</v>
      </c>
      <c r="H1386" s="1474" t="s">
        <v>1665</v>
      </c>
      <c r="I1386" s="1478" t="s">
        <v>803</v>
      </c>
      <c r="J1386" s="1478"/>
      <c r="K1386" s="1475" t="s">
        <v>1654</v>
      </c>
      <c r="L1386" s="1474" t="s">
        <v>332</v>
      </c>
      <c r="M1386" s="1476" t="s">
        <v>1698</v>
      </c>
      <c r="N1386" s="1477" t="s">
        <v>1693</v>
      </c>
      <c r="O1386" s="1479">
        <v>128</v>
      </c>
      <c r="P1386" s="1479"/>
      <c r="Q1386" s="1142">
        <f t="shared" si="379"/>
        <v>128</v>
      </c>
      <c r="R1386" s="1143">
        <f>IFERROR(VLOOKUP(CONCATENATE(E1386,G1386),'LAC 103'!$A$12:$O$95,11,FALSE),0)</f>
        <v>5.936295312319726</v>
      </c>
      <c r="S1386" s="1144">
        <f>IFERROR(VLOOKUP(CONCATENATE($E1386,$G1386),'LAC 103'!$A$12:$O$95,12,FALSE),0)</f>
        <v>7.34</v>
      </c>
      <c r="T1386" s="1144">
        <f>IFERROR(VLOOKUP(CONCATENATE($E1386,$G1386),'LAC 103'!$A$12:$O$95,13,FALSE),0)</f>
        <v>4.59</v>
      </c>
      <c r="U1386" s="1144">
        <f>IFERROR(VLOOKUP(CONCATENATE($E1386,$G1386),'LAC 103'!$A$12:$O$95,14,FALSE),0)</f>
        <v>0</v>
      </c>
      <c r="V1386" s="1144">
        <f>IFERROR(VLOOKUP(CONCATENATE($E1386,$G1386),'LAC 103'!$A$12:$O$95,15,FALSE),0)</f>
        <v>0</v>
      </c>
      <c r="W1386" s="1145" t="str">
        <f>IFERROR(VLOOKUP(CONCATENATE($B1386,$N1386),'LAC 103'!$AI:$AQ,9,FALSE),"")</f>
        <v>Costs</v>
      </c>
      <c r="X1386" s="1146">
        <f t="shared" si="384"/>
        <v>5.936295312319726</v>
      </c>
      <c r="Y1386" s="1143">
        <f t="shared" si="395"/>
        <v>759.84579997692492</v>
      </c>
      <c r="Z1386" s="1147">
        <f t="shared" si="385"/>
        <v>939.52</v>
      </c>
      <c r="AA1386" s="1144">
        <f t="shared" si="386"/>
        <v>587.52</v>
      </c>
      <c r="AB1386" s="1144">
        <f t="shared" si="387"/>
        <v>0</v>
      </c>
      <c r="AC1386" s="1144">
        <f t="shared" si="388"/>
        <v>0</v>
      </c>
      <c r="AD1386" s="1148">
        <f t="shared" si="380"/>
        <v>759.84579997692492</v>
      </c>
      <c r="AE1386" s="1487">
        <v>0</v>
      </c>
      <c r="AF1386" s="1145">
        <f t="shared" si="389"/>
        <v>759.84579997692492</v>
      </c>
      <c r="AG1386" s="1149">
        <f>IFERROR(VLOOKUP(CONCATENATE($L1386,$N1386),'Drop List'!$G$23:$K$87,2,FALSE),0)</f>
        <v>0</v>
      </c>
      <c r="AH1386" s="1150">
        <f>IFERROR(VLOOKUP(CONCATENATE($L1386,$N1386),'Drop List'!$G$23:$K$87,3,FALSE),0)</f>
        <v>0</v>
      </c>
      <c r="AI1386" s="1150">
        <f>IFERROR(VLOOKUP(CONCATENATE($L1386,$N1386),'Drop List'!$G$23:$K$87,4,FALSE),0)</f>
        <v>0</v>
      </c>
      <c r="AJ1386" s="1151">
        <f>IFERROR(VLOOKUP(CONCATENATE($L1386,$N1386),'Drop List'!$G$23:$K$87,5,FALSE),0)</f>
        <v>0</v>
      </c>
      <c r="AK1386" s="1152">
        <f t="shared" si="390"/>
        <v>0</v>
      </c>
      <c r="AL1386" s="1153">
        <f t="shared" si="391"/>
        <v>0</v>
      </c>
      <c r="AM1386" s="1153">
        <f t="shared" si="392"/>
        <v>0</v>
      </c>
      <c r="AN1386" s="1145">
        <f t="shared" si="393"/>
        <v>0</v>
      </c>
      <c r="AO1386" s="1154">
        <f t="shared" si="394"/>
        <v>0</v>
      </c>
      <c r="AP1386" s="1147">
        <f t="shared" si="381"/>
        <v>759.84579997692492</v>
      </c>
      <c r="AQ1386" s="1144">
        <f t="shared" si="382"/>
        <v>0</v>
      </c>
      <c r="AR1386" s="1146">
        <f t="shared" si="383"/>
        <v>759.84579997692492</v>
      </c>
    </row>
    <row r="1387" spans="1:44" x14ac:dyDescent="0.2">
      <c r="A1387" s="1141" t="str">
        <f t="shared" si="396"/>
        <v>1562</v>
      </c>
      <c r="B1387" s="1141" t="str">
        <f>IFERROR(VLOOKUP(A1387,'LAC 103'!A:C,3,FALSE),"")</f>
        <v>OP</v>
      </c>
      <c r="C1387" s="1478" t="str">
        <f>Info!$B$8</f>
        <v>00100</v>
      </c>
      <c r="D1387" s="1474" t="s">
        <v>256</v>
      </c>
      <c r="E1387" s="1474" t="s">
        <v>95</v>
      </c>
      <c r="F1387" s="1478" t="s">
        <v>432</v>
      </c>
      <c r="G1387" s="1478" t="s">
        <v>432</v>
      </c>
      <c r="H1387" s="1474" t="s">
        <v>1665</v>
      </c>
      <c r="I1387" s="1478" t="s">
        <v>803</v>
      </c>
      <c r="J1387" s="1478"/>
      <c r="K1387" s="1475" t="s">
        <v>852</v>
      </c>
      <c r="L1387" s="1474" t="s">
        <v>591</v>
      </c>
      <c r="M1387" s="1476" t="s">
        <v>842</v>
      </c>
      <c r="N1387" s="1477" t="s">
        <v>1692</v>
      </c>
      <c r="O1387" s="1479">
        <v>40</v>
      </c>
      <c r="P1387" s="1479"/>
      <c r="Q1387" s="1142">
        <f t="shared" si="379"/>
        <v>40</v>
      </c>
      <c r="R1387" s="1143">
        <f>IFERROR(VLOOKUP(CONCATENATE(E1387,G1387),'LAC 103'!$A$12:$O$95,11,FALSE),0)</f>
        <v>5.936295312319726</v>
      </c>
      <c r="S1387" s="1144">
        <f>IFERROR(VLOOKUP(CONCATENATE($E1387,$G1387),'LAC 103'!$A$12:$O$95,12,FALSE),0)</f>
        <v>7.34</v>
      </c>
      <c r="T1387" s="1144">
        <f>IFERROR(VLOOKUP(CONCATENATE($E1387,$G1387),'LAC 103'!$A$12:$O$95,13,FALSE),0)</f>
        <v>4.59</v>
      </c>
      <c r="U1387" s="1144">
        <f>IFERROR(VLOOKUP(CONCATENATE($E1387,$G1387),'LAC 103'!$A$12:$O$95,14,FALSE),0)</f>
        <v>0</v>
      </c>
      <c r="V1387" s="1144">
        <f>IFERROR(VLOOKUP(CONCATENATE($E1387,$G1387),'LAC 103'!$A$12:$O$95,15,FALSE),0)</f>
        <v>0</v>
      </c>
      <c r="W1387" s="1145" t="str">
        <f>IFERROR(VLOOKUP(CONCATENATE($B1387,$N1387),'LAC 103'!$AI:$AQ,9,FALSE),"")</f>
        <v>Costs</v>
      </c>
      <c r="X1387" s="1146">
        <f t="shared" si="384"/>
        <v>5.936295312319726</v>
      </c>
      <c r="Y1387" s="1143">
        <f t="shared" si="395"/>
        <v>237.45181249278903</v>
      </c>
      <c r="Z1387" s="1147">
        <f t="shared" si="385"/>
        <v>293.60000000000002</v>
      </c>
      <c r="AA1387" s="1144">
        <f t="shared" si="386"/>
        <v>183.6</v>
      </c>
      <c r="AB1387" s="1144">
        <f t="shared" si="387"/>
        <v>0</v>
      </c>
      <c r="AC1387" s="1144">
        <f t="shared" si="388"/>
        <v>0</v>
      </c>
      <c r="AD1387" s="1148">
        <f t="shared" si="380"/>
        <v>237.45181249278903</v>
      </c>
      <c r="AE1387" s="1487">
        <v>0</v>
      </c>
      <c r="AF1387" s="1145">
        <f t="shared" si="389"/>
        <v>237.45181249278903</v>
      </c>
      <c r="AG1387" s="1149">
        <f>IFERROR(VLOOKUP(CONCATENATE($L1387,$N1387),'Drop List'!$G$23:$K$87,2,FALSE),0)</f>
        <v>0.69340000000000002</v>
      </c>
      <c r="AH1387" s="1150">
        <f>IFERROR(VLOOKUP(CONCATENATE($L1387,$N1387),'Drop List'!$G$23:$K$87,3,FALSE),0)</f>
        <v>0</v>
      </c>
      <c r="AI1387" s="1150">
        <f>IFERROR(VLOOKUP(CONCATENATE($L1387,$N1387),'Drop List'!$G$23:$K$87,4,FALSE),0)</f>
        <v>0</v>
      </c>
      <c r="AJ1387" s="1151">
        <f>IFERROR(VLOOKUP(CONCATENATE($L1387,$N1387),'Drop List'!$G$23:$K$87,5,FALSE),0)</f>
        <v>0.30659999999999998</v>
      </c>
      <c r="AK1387" s="1152">
        <f t="shared" si="390"/>
        <v>164.64908678249992</v>
      </c>
      <c r="AL1387" s="1153">
        <f t="shared" si="391"/>
        <v>0</v>
      </c>
      <c r="AM1387" s="1153">
        <f t="shared" si="392"/>
        <v>0</v>
      </c>
      <c r="AN1387" s="1145">
        <f t="shared" si="393"/>
        <v>72.80272571028911</v>
      </c>
      <c r="AO1387" s="1154">
        <f t="shared" si="394"/>
        <v>237.45181249278903</v>
      </c>
      <c r="AP1387" s="1147">
        <f t="shared" si="381"/>
        <v>0</v>
      </c>
      <c r="AQ1387" s="1144">
        <f t="shared" si="382"/>
        <v>0</v>
      </c>
      <c r="AR1387" s="1146">
        <f t="shared" si="383"/>
        <v>237.45181249278903</v>
      </c>
    </row>
    <row r="1388" spans="1:44" x14ac:dyDescent="0.2">
      <c r="A1388" s="1141" t="str">
        <f t="shared" si="396"/>
        <v>1562</v>
      </c>
      <c r="B1388" s="1141" t="str">
        <f>IFERROR(VLOOKUP(A1388,'LAC 103'!A:C,3,FALSE),"")</f>
        <v>OP</v>
      </c>
      <c r="C1388" s="1478" t="str">
        <f>Info!$B$8</f>
        <v>00100</v>
      </c>
      <c r="D1388" s="1474" t="s">
        <v>256</v>
      </c>
      <c r="E1388" s="1474" t="s">
        <v>95</v>
      </c>
      <c r="F1388" s="1478" t="s">
        <v>432</v>
      </c>
      <c r="G1388" s="1478" t="s">
        <v>432</v>
      </c>
      <c r="H1388" s="1474" t="s">
        <v>1665</v>
      </c>
      <c r="I1388" s="1478" t="s">
        <v>803</v>
      </c>
      <c r="J1388" s="1478"/>
      <c r="K1388" s="1475" t="s">
        <v>849</v>
      </c>
      <c r="L1388" s="1474" t="s">
        <v>77</v>
      </c>
      <c r="M1388" s="1476" t="s">
        <v>1699</v>
      </c>
      <c r="N1388" s="1477" t="s">
        <v>1694</v>
      </c>
      <c r="O1388" s="1479">
        <v>9201</v>
      </c>
      <c r="P1388" s="1479"/>
      <c r="Q1388" s="1142">
        <f t="shared" si="379"/>
        <v>9201</v>
      </c>
      <c r="R1388" s="1143">
        <f>IFERROR(VLOOKUP(CONCATENATE(E1388,G1388),'LAC 103'!$A$12:$O$95,11,FALSE),0)</f>
        <v>5.936295312319726</v>
      </c>
      <c r="S1388" s="1144">
        <f>IFERROR(VLOOKUP(CONCATENATE($E1388,$G1388),'LAC 103'!$A$12:$O$95,12,FALSE),0)</f>
        <v>7.34</v>
      </c>
      <c r="T1388" s="1144">
        <f>IFERROR(VLOOKUP(CONCATENATE($E1388,$G1388),'LAC 103'!$A$12:$O$95,13,FALSE),0)</f>
        <v>4.59</v>
      </c>
      <c r="U1388" s="1144">
        <f>IFERROR(VLOOKUP(CONCATENATE($E1388,$G1388),'LAC 103'!$A$12:$O$95,14,FALSE),0)</f>
        <v>0</v>
      </c>
      <c r="V1388" s="1144">
        <f>IFERROR(VLOOKUP(CONCATENATE($E1388,$G1388),'LAC 103'!$A$12:$O$95,15,FALSE),0)</f>
        <v>0</v>
      </c>
      <c r="W1388" s="1145" t="str">
        <f>IFERROR(VLOOKUP(CONCATENATE($B1388,$N1388),'LAC 103'!$AI:$AQ,9,FALSE),"")</f>
        <v>Costs</v>
      </c>
      <c r="X1388" s="1146">
        <f t="shared" si="384"/>
        <v>5.936295312319726</v>
      </c>
      <c r="Y1388" s="1143">
        <f t="shared" si="395"/>
        <v>54619.853168653797</v>
      </c>
      <c r="Z1388" s="1147">
        <f t="shared" si="385"/>
        <v>67535.34</v>
      </c>
      <c r="AA1388" s="1144">
        <f t="shared" si="386"/>
        <v>42232.59</v>
      </c>
      <c r="AB1388" s="1144">
        <f t="shared" si="387"/>
        <v>0</v>
      </c>
      <c r="AC1388" s="1144">
        <f t="shared" si="388"/>
        <v>0</v>
      </c>
      <c r="AD1388" s="1148">
        <f t="shared" si="380"/>
        <v>54619.853168653797</v>
      </c>
      <c r="AE1388" s="1487">
        <v>0</v>
      </c>
      <c r="AF1388" s="1145">
        <f t="shared" si="389"/>
        <v>54619.853168653797</v>
      </c>
      <c r="AG1388" s="1149">
        <f>IFERROR(VLOOKUP(CONCATENATE($L1388,$N1388),'Drop List'!$G$23:$K$87,2,FALSE),0)</f>
        <v>0.9</v>
      </c>
      <c r="AH1388" s="1150">
        <f>IFERROR(VLOOKUP(CONCATENATE($L1388,$N1388),'Drop List'!$G$23:$K$87,3,FALSE),0)</f>
        <v>0</v>
      </c>
      <c r="AI1388" s="1150">
        <f>IFERROR(VLOOKUP(CONCATENATE($L1388,$N1388),'Drop List'!$G$23:$K$87,4,FALSE),0)</f>
        <v>0.1</v>
      </c>
      <c r="AJ1388" s="1151">
        <f>IFERROR(VLOOKUP(CONCATENATE($L1388,$N1388),'Drop List'!$G$23:$K$87,5,FALSE),0)</f>
        <v>0</v>
      </c>
      <c r="AK1388" s="1152">
        <f t="shared" si="390"/>
        <v>49157.867851788418</v>
      </c>
      <c r="AL1388" s="1153">
        <f t="shared" si="391"/>
        <v>0</v>
      </c>
      <c r="AM1388" s="1153">
        <f t="shared" si="392"/>
        <v>5461.9853168653799</v>
      </c>
      <c r="AN1388" s="1145">
        <f t="shared" si="393"/>
        <v>0</v>
      </c>
      <c r="AO1388" s="1154">
        <f t="shared" si="394"/>
        <v>54619.853168653797</v>
      </c>
      <c r="AP1388" s="1147">
        <f t="shared" si="381"/>
        <v>0</v>
      </c>
      <c r="AQ1388" s="1144">
        <f t="shared" si="382"/>
        <v>0</v>
      </c>
      <c r="AR1388" s="1146">
        <f t="shared" si="383"/>
        <v>54619.853168653797</v>
      </c>
    </row>
    <row r="1389" spans="1:44" x14ac:dyDescent="0.2">
      <c r="A1389" s="1141" t="str">
        <f t="shared" si="396"/>
        <v>1562</v>
      </c>
      <c r="B1389" s="1141" t="str">
        <f>IFERROR(VLOOKUP(A1389,'LAC 103'!A:C,3,FALSE),"")</f>
        <v>OP</v>
      </c>
      <c r="C1389" s="1478" t="str">
        <f>Info!$B$8</f>
        <v>00100</v>
      </c>
      <c r="D1389" s="1474" t="s">
        <v>256</v>
      </c>
      <c r="E1389" s="1474" t="s">
        <v>95</v>
      </c>
      <c r="F1389" s="1478" t="s">
        <v>432</v>
      </c>
      <c r="G1389" s="1478" t="s">
        <v>432</v>
      </c>
      <c r="H1389" s="1474" t="s">
        <v>1665</v>
      </c>
      <c r="I1389" s="1478" t="s">
        <v>803</v>
      </c>
      <c r="J1389" s="1478"/>
      <c r="K1389" s="1475" t="s">
        <v>849</v>
      </c>
      <c r="L1389" s="1474" t="s">
        <v>77</v>
      </c>
      <c r="M1389" s="1476" t="s">
        <v>841</v>
      </c>
      <c r="N1389" s="1477" t="s">
        <v>1695</v>
      </c>
      <c r="O1389" s="1479">
        <v>4201</v>
      </c>
      <c r="P1389" s="1479"/>
      <c r="Q1389" s="1142">
        <f t="shared" si="379"/>
        <v>4201</v>
      </c>
      <c r="R1389" s="1143">
        <f>IFERROR(VLOOKUP(CONCATENATE(E1389,G1389),'LAC 103'!$A$12:$O$95,11,FALSE),0)</f>
        <v>5.936295312319726</v>
      </c>
      <c r="S1389" s="1144">
        <f>IFERROR(VLOOKUP(CONCATENATE($E1389,$G1389),'LAC 103'!$A$12:$O$95,12,FALSE),0)</f>
        <v>7.34</v>
      </c>
      <c r="T1389" s="1144">
        <f>IFERROR(VLOOKUP(CONCATENATE($E1389,$G1389),'LAC 103'!$A$12:$O$95,13,FALSE),0)</f>
        <v>4.59</v>
      </c>
      <c r="U1389" s="1144">
        <f>IFERROR(VLOOKUP(CONCATENATE($E1389,$G1389),'LAC 103'!$A$12:$O$95,14,FALSE),0)</f>
        <v>0</v>
      </c>
      <c r="V1389" s="1144">
        <f>IFERROR(VLOOKUP(CONCATENATE($E1389,$G1389),'LAC 103'!$A$12:$O$95,15,FALSE),0)</f>
        <v>0</v>
      </c>
      <c r="W1389" s="1145" t="str">
        <f>IFERROR(VLOOKUP(CONCATENATE($B1389,$N1389),'LAC 103'!$AI:$AQ,9,FALSE),"")</f>
        <v>Costs</v>
      </c>
      <c r="X1389" s="1146">
        <f t="shared" si="384"/>
        <v>5.936295312319726</v>
      </c>
      <c r="Y1389" s="1143">
        <f t="shared" si="395"/>
        <v>24938.376607055168</v>
      </c>
      <c r="Z1389" s="1147">
        <f t="shared" si="385"/>
        <v>30835.34</v>
      </c>
      <c r="AA1389" s="1144">
        <f t="shared" si="386"/>
        <v>19282.59</v>
      </c>
      <c r="AB1389" s="1144">
        <f t="shared" si="387"/>
        <v>0</v>
      </c>
      <c r="AC1389" s="1144">
        <f t="shared" si="388"/>
        <v>0</v>
      </c>
      <c r="AD1389" s="1148">
        <f t="shared" si="380"/>
        <v>24938.376607055168</v>
      </c>
      <c r="AE1389" s="1487">
        <v>0</v>
      </c>
      <c r="AF1389" s="1145">
        <f t="shared" si="389"/>
        <v>24938.376607055168</v>
      </c>
      <c r="AG1389" s="1149">
        <f>IFERROR(VLOOKUP(CONCATENATE($L1389,$N1389),'Drop List'!$G$23:$K$87,2,FALSE),0)</f>
        <v>0.9</v>
      </c>
      <c r="AH1389" s="1150">
        <f>IFERROR(VLOOKUP(CONCATENATE($L1389,$N1389),'Drop List'!$G$23:$K$87,3,FALSE),0)</f>
        <v>0</v>
      </c>
      <c r="AI1389" s="1150">
        <f>IFERROR(VLOOKUP(CONCATENATE($L1389,$N1389),'Drop List'!$G$23:$K$87,4,FALSE),0)</f>
        <v>0.1</v>
      </c>
      <c r="AJ1389" s="1151">
        <f>IFERROR(VLOOKUP(CONCATENATE($L1389,$N1389),'Drop List'!$G$23:$K$87,5,FALSE),0)</f>
        <v>0</v>
      </c>
      <c r="AK1389" s="1152">
        <f t="shared" si="390"/>
        <v>22444.53894634965</v>
      </c>
      <c r="AL1389" s="1153">
        <f t="shared" si="391"/>
        <v>0</v>
      </c>
      <c r="AM1389" s="1153">
        <f t="shared" si="392"/>
        <v>2493.837660705517</v>
      </c>
      <c r="AN1389" s="1145">
        <f t="shared" si="393"/>
        <v>0</v>
      </c>
      <c r="AO1389" s="1154">
        <f t="shared" si="394"/>
        <v>24938.376607055168</v>
      </c>
      <c r="AP1389" s="1147">
        <f t="shared" si="381"/>
        <v>0</v>
      </c>
      <c r="AQ1389" s="1144">
        <f t="shared" si="382"/>
        <v>0</v>
      </c>
      <c r="AR1389" s="1146">
        <f t="shared" si="383"/>
        <v>24938.376607055168</v>
      </c>
    </row>
    <row r="1390" spans="1:44" x14ac:dyDescent="0.2">
      <c r="A1390" s="1141" t="str">
        <f t="shared" si="396"/>
        <v>1562</v>
      </c>
      <c r="B1390" s="1141" t="str">
        <f>IFERROR(VLOOKUP(A1390,'LAC 103'!A:C,3,FALSE),"")</f>
        <v>OP</v>
      </c>
      <c r="C1390" s="1478" t="str">
        <f>Info!$B$8</f>
        <v>00100</v>
      </c>
      <c r="D1390" s="1474" t="s">
        <v>256</v>
      </c>
      <c r="E1390" s="1474" t="s">
        <v>95</v>
      </c>
      <c r="F1390" s="1478" t="s">
        <v>432</v>
      </c>
      <c r="G1390" s="1478" t="s">
        <v>432</v>
      </c>
      <c r="H1390" s="1474" t="s">
        <v>1665</v>
      </c>
      <c r="I1390" s="1478" t="s">
        <v>803</v>
      </c>
      <c r="J1390" s="1478"/>
      <c r="K1390" s="1475" t="s">
        <v>849</v>
      </c>
      <c r="L1390" s="1474" t="s">
        <v>77</v>
      </c>
      <c r="M1390" s="1476" t="s">
        <v>840</v>
      </c>
      <c r="N1390" s="1477" t="s">
        <v>1700</v>
      </c>
      <c r="O1390" s="1479">
        <v>4949</v>
      </c>
      <c r="P1390" s="1479"/>
      <c r="Q1390" s="1142">
        <f t="shared" si="379"/>
        <v>4949</v>
      </c>
      <c r="R1390" s="1143">
        <f>IFERROR(VLOOKUP(CONCATENATE(E1390,G1390),'LAC 103'!$A$12:$O$95,11,FALSE),0)</f>
        <v>5.936295312319726</v>
      </c>
      <c r="S1390" s="1144">
        <f>IFERROR(VLOOKUP(CONCATENATE($E1390,$G1390),'LAC 103'!$A$12:$O$95,12,FALSE),0)</f>
        <v>7.34</v>
      </c>
      <c r="T1390" s="1144">
        <f>IFERROR(VLOOKUP(CONCATENATE($E1390,$G1390),'LAC 103'!$A$12:$O$95,13,FALSE),0)</f>
        <v>4.59</v>
      </c>
      <c r="U1390" s="1144">
        <f>IFERROR(VLOOKUP(CONCATENATE($E1390,$G1390),'LAC 103'!$A$12:$O$95,14,FALSE),0)</f>
        <v>0</v>
      </c>
      <c r="V1390" s="1144">
        <f>IFERROR(VLOOKUP(CONCATENATE($E1390,$G1390),'LAC 103'!$A$12:$O$95,15,FALSE),0)</f>
        <v>0</v>
      </c>
      <c r="W1390" s="1145" t="str">
        <f>IFERROR(VLOOKUP(CONCATENATE($B1390,$N1390),'LAC 103'!$AI:$AQ,9,FALSE),"")</f>
        <v>P.C.</v>
      </c>
      <c r="X1390" s="1146">
        <f t="shared" si="384"/>
        <v>4.59</v>
      </c>
      <c r="Y1390" s="1143">
        <f t="shared" si="395"/>
        <v>29378.725500670324</v>
      </c>
      <c r="Z1390" s="1147">
        <f t="shared" si="385"/>
        <v>36325.659999999996</v>
      </c>
      <c r="AA1390" s="1144">
        <f t="shared" si="386"/>
        <v>22715.91</v>
      </c>
      <c r="AB1390" s="1144">
        <f t="shared" si="387"/>
        <v>0</v>
      </c>
      <c r="AC1390" s="1144">
        <f t="shared" si="388"/>
        <v>0</v>
      </c>
      <c r="AD1390" s="1148">
        <f t="shared" si="380"/>
        <v>22715.91</v>
      </c>
      <c r="AE1390" s="1487">
        <v>0</v>
      </c>
      <c r="AF1390" s="1145">
        <f t="shared" si="389"/>
        <v>22715.91</v>
      </c>
      <c r="AG1390" s="1149">
        <f>IFERROR(VLOOKUP(CONCATENATE($L1390,$N1390),'Drop List'!$G$23:$K$87,2,FALSE),0)</f>
        <v>0.9</v>
      </c>
      <c r="AH1390" s="1150">
        <f>IFERROR(VLOOKUP(CONCATENATE($L1390,$N1390),'Drop List'!$G$23:$K$87,3,FALSE),0)</f>
        <v>0</v>
      </c>
      <c r="AI1390" s="1150">
        <f>IFERROR(VLOOKUP(CONCATENATE($L1390,$N1390),'Drop List'!$G$23:$K$87,4,FALSE),0)</f>
        <v>0.1</v>
      </c>
      <c r="AJ1390" s="1151">
        <f>IFERROR(VLOOKUP(CONCATENATE($L1390,$N1390),'Drop List'!$G$23:$K$87,5,FALSE),0)</f>
        <v>0</v>
      </c>
      <c r="AK1390" s="1152">
        <f t="shared" si="390"/>
        <v>20444.319</v>
      </c>
      <c r="AL1390" s="1153">
        <f t="shared" si="391"/>
        <v>0</v>
      </c>
      <c r="AM1390" s="1153">
        <f t="shared" si="392"/>
        <v>2271.5909999999999</v>
      </c>
      <c r="AN1390" s="1145">
        <f t="shared" si="393"/>
        <v>0</v>
      </c>
      <c r="AO1390" s="1154">
        <f t="shared" si="394"/>
        <v>22715.91</v>
      </c>
      <c r="AP1390" s="1147">
        <f t="shared" si="381"/>
        <v>0</v>
      </c>
      <c r="AQ1390" s="1144">
        <f t="shared" si="382"/>
        <v>0</v>
      </c>
      <c r="AR1390" s="1146">
        <f t="shared" si="383"/>
        <v>22715.91</v>
      </c>
    </row>
    <row r="1391" spans="1:44" x14ac:dyDescent="0.2">
      <c r="A1391" s="1141" t="str">
        <f t="shared" si="396"/>
        <v>1562</v>
      </c>
      <c r="B1391" s="1141" t="str">
        <f>IFERROR(VLOOKUP(A1391,'LAC 103'!A:C,3,FALSE),"")</f>
        <v>OP</v>
      </c>
      <c r="C1391" s="1478" t="str">
        <f>Info!$B$8</f>
        <v>00100</v>
      </c>
      <c r="D1391" s="1474" t="s">
        <v>256</v>
      </c>
      <c r="E1391" s="1474" t="s">
        <v>95</v>
      </c>
      <c r="F1391" s="1478" t="s">
        <v>432</v>
      </c>
      <c r="G1391" s="1478" t="s">
        <v>432</v>
      </c>
      <c r="H1391" s="1474" t="s">
        <v>1665</v>
      </c>
      <c r="I1391" s="1478" t="s">
        <v>803</v>
      </c>
      <c r="J1391" s="1478"/>
      <c r="K1391" s="1475" t="s">
        <v>849</v>
      </c>
      <c r="L1391" s="1474" t="s">
        <v>77</v>
      </c>
      <c r="M1391" s="1476" t="s">
        <v>842</v>
      </c>
      <c r="N1391" s="1477" t="s">
        <v>1692</v>
      </c>
      <c r="O1391" s="1479">
        <v>8187</v>
      </c>
      <c r="P1391" s="1479"/>
      <c r="Q1391" s="1142">
        <f t="shared" si="379"/>
        <v>8187</v>
      </c>
      <c r="R1391" s="1143">
        <f>IFERROR(VLOOKUP(CONCATENATE(E1391,G1391),'LAC 103'!$A$12:$O$95,11,FALSE),0)</f>
        <v>5.936295312319726</v>
      </c>
      <c r="S1391" s="1144">
        <f>IFERROR(VLOOKUP(CONCATENATE($E1391,$G1391),'LAC 103'!$A$12:$O$95,12,FALSE),0)</f>
        <v>7.34</v>
      </c>
      <c r="T1391" s="1144">
        <f>IFERROR(VLOOKUP(CONCATENATE($E1391,$G1391),'LAC 103'!$A$12:$O$95,13,FALSE),0)</f>
        <v>4.59</v>
      </c>
      <c r="U1391" s="1144">
        <f>IFERROR(VLOOKUP(CONCATENATE($E1391,$G1391),'LAC 103'!$A$12:$O$95,14,FALSE),0)</f>
        <v>0</v>
      </c>
      <c r="V1391" s="1144">
        <f>IFERROR(VLOOKUP(CONCATENATE($E1391,$G1391),'LAC 103'!$A$12:$O$95,15,FALSE),0)</f>
        <v>0</v>
      </c>
      <c r="W1391" s="1145" t="str">
        <f>IFERROR(VLOOKUP(CONCATENATE($B1391,$N1391),'LAC 103'!$AI:$AQ,9,FALSE),"")</f>
        <v>Costs</v>
      </c>
      <c r="X1391" s="1146">
        <f t="shared" si="384"/>
        <v>5.936295312319726</v>
      </c>
      <c r="Y1391" s="1143">
        <f t="shared" si="395"/>
        <v>48600.449721961595</v>
      </c>
      <c r="Z1391" s="1147">
        <f t="shared" si="385"/>
        <v>60092.58</v>
      </c>
      <c r="AA1391" s="1144">
        <f t="shared" si="386"/>
        <v>37578.33</v>
      </c>
      <c r="AB1391" s="1144">
        <f t="shared" si="387"/>
        <v>0</v>
      </c>
      <c r="AC1391" s="1144">
        <f t="shared" si="388"/>
        <v>0</v>
      </c>
      <c r="AD1391" s="1148">
        <f t="shared" si="380"/>
        <v>48600.449721961595</v>
      </c>
      <c r="AE1391" s="1487">
        <v>0</v>
      </c>
      <c r="AF1391" s="1145">
        <f t="shared" si="389"/>
        <v>48600.449721961595</v>
      </c>
      <c r="AG1391" s="1149">
        <f>IFERROR(VLOOKUP(CONCATENATE($L1391,$N1391),'Drop List'!$G$23:$K$87,2,FALSE),0)</f>
        <v>0.9</v>
      </c>
      <c r="AH1391" s="1150">
        <f>IFERROR(VLOOKUP(CONCATENATE($L1391,$N1391),'Drop List'!$G$23:$K$87,3,FALSE),0)</f>
        <v>0</v>
      </c>
      <c r="AI1391" s="1150">
        <f>IFERROR(VLOOKUP(CONCATENATE($L1391,$N1391),'Drop List'!$G$23:$K$87,4,FALSE),0)</f>
        <v>0.1</v>
      </c>
      <c r="AJ1391" s="1151">
        <f>IFERROR(VLOOKUP(CONCATENATE($L1391,$N1391),'Drop List'!$G$23:$K$87,5,FALSE),0)</f>
        <v>0</v>
      </c>
      <c r="AK1391" s="1152">
        <f t="shared" si="390"/>
        <v>43740.404749765439</v>
      </c>
      <c r="AL1391" s="1153">
        <f t="shared" si="391"/>
        <v>0</v>
      </c>
      <c r="AM1391" s="1153">
        <f t="shared" si="392"/>
        <v>4860.0449721961595</v>
      </c>
      <c r="AN1391" s="1145">
        <f t="shared" si="393"/>
        <v>0</v>
      </c>
      <c r="AO1391" s="1154">
        <f t="shared" si="394"/>
        <v>48600.449721961602</v>
      </c>
      <c r="AP1391" s="1147">
        <f t="shared" si="381"/>
        <v>0</v>
      </c>
      <c r="AQ1391" s="1144">
        <f t="shared" si="382"/>
        <v>0</v>
      </c>
      <c r="AR1391" s="1146">
        <f t="shared" si="383"/>
        <v>48600.449721961602</v>
      </c>
    </row>
    <row r="1392" spans="1:44" x14ac:dyDescent="0.2">
      <c r="A1392" s="1141" t="str">
        <f t="shared" si="396"/>
        <v>1562</v>
      </c>
      <c r="B1392" s="1141" t="str">
        <f>IFERROR(VLOOKUP(A1392,'LAC 103'!A:C,3,FALSE),"")</f>
        <v>OP</v>
      </c>
      <c r="C1392" s="1478" t="str">
        <f>Info!$B$8</f>
        <v>00100</v>
      </c>
      <c r="D1392" s="1474" t="s">
        <v>256</v>
      </c>
      <c r="E1392" s="1474" t="s">
        <v>95</v>
      </c>
      <c r="F1392" s="1478" t="s">
        <v>432</v>
      </c>
      <c r="G1392" s="1478" t="s">
        <v>432</v>
      </c>
      <c r="H1392" s="1474" t="s">
        <v>1665</v>
      </c>
      <c r="I1392" s="1478" t="s">
        <v>803</v>
      </c>
      <c r="J1392" s="1478"/>
      <c r="K1392" s="1475" t="s">
        <v>849</v>
      </c>
      <c r="L1392" s="1474" t="s">
        <v>77</v>
      </c>
      <c r="M1392" s="1476" t="s">
        <v>1698</v>
      </c>
      <c r="N1392" s="1477" t="s">
        <v>1693</v>
      </c>
      <c r="O1392" s="1479">
        <v>8682</v>
      </c>
      <c r="P1392" s="1479"/>
      <c r="Q1392" s="1142">
        <f t="shared" si="379"/>
        <v>8682</v>
      </c>
      <c r="R1392" s="1143">
        <f>IFERROR(VLOOKUP(CONCATENATE(E1392,G1392),'LAC 103'!$A$12:$O$95,11,FALSE),0)</f>
        <v>5.936295312319726</v>
      </c>
      <c r="S1392" s="1144">
        <f>IFERROR(VLOOKUP(CONCATENATE($E1392,$G1392),'LAC 103'!$A$12:$O$95,12,FALSE),0)</f>
        <v>7.34</v>
      </c>
      <c r="T1392" s="1144">
        <f>IFERROR(VLOOKUP(CONCATENATE($E1392,$G1392),'LAC 103'!$A$12:$O$95,13,FALSE),0)</f>
        <v>4.59</v>
      </c>
      <c r="U1392" s="1144">
        <f>IFERROR(VLOOKUP(CONCATENATE($E1392,$G1392),'LAC 103'!$A$12:$O$95,14,FALSE),0)</f>
        <v>0</v>
      </c>
      <c r="V1392" s="1144">
        <f>IFERROR(VLOOKUP(CONCATENATE($E1392,$G1392),'LAC 103'!$A$12:$O$95,15,FALSE),0)</f>
        <v>0</v>
      </c>
      <c r="W1392" s="1145" t="str">
        <f>IFERROR(VLOOKUP(CONCATENATE($B1392,$N1392),'LAC 103'!$AI:$AQ,9,FALSE),"")</f>
        <v>Costs</v>
      </c>
      <c r="X1392" s="1146">
        <f t="shared" si="384"/>
        <v>5.936295312319726</v>
      </c>
      <c r="Y1392" s="1143">
        <f t="shared" si="395"/>
        <v>51538.915901559863</v>
      </c>
      <c r="Z1392" s="1147">
        <f t="shared" si="385"/>
        <v>63725.88</v>
      </c>
      <c r="AA1392" s="1144">
        <f t="shared" si="386"/>
        <v>39850.379999999997</v>
      </c>
      <c r="AB1392" s="1144">
        <f t="shared" si="387"/>
        <v>0</v>
      </c>
      <c r="AC1392" s="1144">
        <f t="shared" si="388"/>
        <v>0</v>
      </c>
      <c r="AD1392" s="1148">
        <f t="shared" si="380"/>
        <v>51538.915901559863</v>
      </c>
      <c r="AE1392" s="1487">
        <v>0</v>
      </c>
      <c r="AF1392" s="1145">
        <f t="shared" si="389"/>
        <v>51538.915901559863</v>
      </c>
      <c r="AG1392" s="1149">
        <f>IFERROR(VLOOKUP(CONCATENATE($L1392,$N1392),'Drop List'!$G$23:$K$87,2,FALSE),0)</f>
        <v>0.9</v>
      </c>
      <c r="AH1392" s="1150">
        <f>IFERROR(VLOOKUP(CONCATENATE($L1392,$N1392),'Drop List'!$G$23:$K$87,3,FALSE),0)</f>
        <v>0</v>
      </c>
      <c r="AI1392" s="1150">
        <f>IFERROR(VLOOKUP(CONCATENATE($L1392,$N1392),'Drop List'!$G$23:$K$87,4,FALSE),0)</f>
        <v>0.1</v>
      </c>
      <c r="AJ1392" s="1151">
        <f>IFERROR(VLOOKUP(CONCATENATE($L1392,$N1392),'Drop List'!$G$23:$K$87,5,FALSE),0)</f>
        <v>0</v>
      </c>
      <c r="AK1392" s="1152">
        <f t="shared" si="390"/>
        <v>46385.024311403875</v>
      </c>
      <c r="AL1392" s="1153">
        <f t="shared" si="391"/>
        <v>0</v>
      </c>
      <c r="AM1392" s="1153">
        <f t="shared" si="392"/>
        <v>5153.8915901559867</v>
      </c>
      <c r="AN1392" s="1145">
        <f t="shared" si="393"/>
        <v>0</v>
      </c>
      <c r="AO1392" s="1154">
        <f t="shared" si="394"/>
        <v>51538.915901559863</v>
      </c>
      <c r="AP1392" s="1147">
        <f t="shared" si="381"/>
        <v>0</v>
      </c>
      <c r="AQ1392" s="1144">
        <f t="shared" si="382"/>
        <v>0</v>
      </c>
      <c r="AR1392" s="1146">
        <f t="shared" si="383"/>
        <v>51538.915901559863</v>
      </c>
    </row>
    <row r="1393" spans="1:44" x14ac:dyDescent="0.2">
      <c r="A1393" s="1141" t="str">
        <f t="shared" si="396"/>
        <v>1562</v>
      </c>
      <c r="B1393" s="1141" t="str">
        <f>IFERROR(VLOOKUP(A1393,'LAC 103'!A:C,3,FALSE),"")</f>
        <v>OP</v>
      </c>
      <c r="C1393" s="1478" t="str">
        <f>Info!$B$8</f>
        <v>00100</v>
      </c>
      <c r="D1393" s="1474" t="s">
        <v>256</v>
      </c>
      <c r="E1393" s="1474" t="s">
        <v>95</v>
      </c>
      <c r="F1393" s="1478" t="s">
        <v>432</v>
      </c>
      <c r="G1393" s="1478" t="s">
        <v>432</v>
      </c>
      <c r="H1393" s="1474" t="s">
        <v>1665</v>
      </c>
      <c r="I1393" s="1478" t="s">
        <v>803</v>
      </c>
      <c r="J1393" s="1478"/>
      <c r="K1393" s="1475" t="s">
        <v>971</v>
      </c>
      <c r="L1393" s="1474" t="s">
        <v>332</v>
      </c>
      <c r="M1393" s="1476" t="s">
        <v>1699</v>
      </c>
      <c r="N1393" s="1477" t="s">
        <v>1694</v>
      </c>
      <c r="O1393" s="1479">
        <v>58</v>
      </c>
      <c r="P1393" s="1479"/>
      <c r="Q1393" s="1142">
        <f t="shared" si="379"/>
        <v>58</v>
      </c>
      <c r="R1393" s="1143">
        <f>IFERROR(VLOOKUP(CONCATENATE(E1393,G1393),'LAC 103'!$A$12:$O$95,11,FALSE),0)</f>
        <v>5.936295312319726</v>
      </c>
      <c r="S1393" s="1144">
        <f>IFERROR(VLOOKUP(CONCATENATE($E1393,$G1393),'LAC 103'!$A$12:$O$95,12,FALSE),0)</f>
        <v>7.34</v>
      </c>
      <c r="T1393" s="1144">
        <f>IFERROR(VLOOKUP(CONCATENATE($E1393,$G1393),'LAC 103'!$A$12:$O$95,13,FALSE),0)</f>
        <v>4.59</v>
      </c>
      <c r="U1393" s="1144">
        <f>IFERROR(VLOOKUP(CONCATENATE($E1393,$G1393),'LAC 103'!$A$12:$O$95,14,FALSE),0)</f>
        <v>0</v>
      </c>
      <c r="V1393" s="1144">
        <f>IFERROR(VLOOKUP(CONCATENATE($E1393,$G1393),'LAC 103'!$A$12:$O$95,15,FALSE),0)</f>
        <v>0</v>
      </c>
      <c r="W1393" s="1145" t="str">
        <f>IFERROR(VLOOKUP(CONCATENATE($B1393,$N1393),'LAC 103'!$AI:$AQ,9,FALSE),"")</f>
        <v>Costs</v>
      </c>
      <c r="X1393" s="1146">
        <f t="shared" si="384"/>
        <v>5.936295312319726</v>
      </c>
      <c r="Y1393" s="1143">
        <f t="shared" si="395"/>
        <v>344.30512811454412</v>
      </c>
      <c r="Z1393" s="1147">
        <f t="shared" si="385"/>
        <v>425.71999999999997</v>
      </c>
      <c r="AA1393" s="1144">
        <f t="shared" si="386"/>
        <v>266.21999999999997</v>
      </c>
      <c r="AB1393" s="1144">
        <f t="shared" si="387"/>
        <v>0</v>
      </c>
      <c r="AC1393" s="1144">
        <f t="shared" si="388"/>
        <v>0</v>
      </c>
      <c r="AD1393" s="1148">
        <f t="shared" si="380"/>
        <v>344.30512811454412</v>
      </c>
      <c r="AE1393" s="1487">
        <v>0</v>
      </c>
      <c r="AF1393" s="1145">
        <f t="shared" si="389"/>
        <v>344.30512811454412</v>
      </c>
      <c r="AG1393" s="1149">
        <f>IFERROR(VLOOKUP(CONCATENATE($L1393,$N1393),'Drop List'!$G$23:$K$87,2,FALSE),0)</f>
        <v>0</v>
      </c>
      <c r="AH1393" s="1150">
        <f>IFERROR(VLOOKUP(CONCATENATE($L1393,$N1393),'Drop List'!$G$23:$K$87,3,FALSE),0)</f>
        <v>0</v>
      </c>
      <c r="AI1393" s="1150">
        <f>IFERROR(VLOOKUP(CONCATENATE($L1393,$N1393),'Drop List'!$G$23:$K$87,4,FALSE),0)</f>
        <v>0</v>
      </c>
      <c r="AJ1393" s="1151">
        <f>IFERROR(VLOOKUP(CONCATENATE($L1393,$N1393),'Drop List'!$G$23:$K$87,5,FALSE),0)</f>
        <v>0</v>
      </c>
      <c r="AK1393" s="1152">
        <f t="shared" si="390"/>
        <v>0</v>
      </c>
      <c r="AL1393" s="1153">
        <f t="shared" si="391"/>
        <v>0</v>
      </c>
      <c r="AM1393" s="1153">
        <f t="shared" si="392"/>
        <v>0</v>
      </c>
      <c r="AN1393" s="1145">
        <f t="shared" si="393"/>
        <v>0</v>
      </c>
      <c r="AO1393" s="1154">
        <f t="shared" si="394"/>
        <v>0</v>
      </c>
      <c r="AP1393" s="1147">
        <f t="shared" si="381"/>
        <v>344.30512811454412</v>
      </c>
      <c r="AQ1393" s="1144">
        <f t="shared" si="382"/>
        <v>0</v>
      </c>
      <c r="AR1393" s="1146">
        <f t="shared" si="383"/>
        <v>344.30512811454412</v>
      </c>
    </row>
    <row r="1394" spans="1:44" x14ac:dyDescent="0.2">
      <c r="A1394" s="1141" t="str">
        <f t="shared" si="396"/>
        <v>1562</v>
      </c>
      <c r="B1394" s="1141" t="str">
        <f>IFERROR(VLOOKUP(A1394,'LAC 103'!A:C,3,FALSE),"")</f>
        <v>OP</v>
      </c>
      <c r="C1394" s="1478" t="str">
        <f>Info!$B$8</f>
        <v>00100</v>
      </c>
      <c r="D1394" s="1474" t="s">
        <v>256</v>
      </c>
      <c r="E1394" s="1474" t="s">
        <v>95</v>
      </c>
      <c r="F1394" s="1478" t="s">
        <v>432</v>
      </c>
      <c r="G1394" s="1478" t="s">
        <v>432</v>
      </c>
      <c r="H1394" s="1474" t="s">
        <v>1665</v>
      </c>
      <c r="I1394" s="1478" t="s">
        <v>803</v>
      </c>
      <c r="J1394" s="1478"/>
      <c r="K1394" s="1475" t="s">
        <v>971</v>
      </c>
      <c r="L1394" s="1474" t="s">
        <v>332</v>
      </c>
      <c r="M1394" s="1476" t="s">
        <v>842</v>
      </c>
      <c r="N1394" s="1477" t="s">
        <v>1692</v>
      </c>
      <c r="O1394" s="1479">
        <v>97</v>
      </c>
      <c r="P1394" s="1479"/>
      <c r="Q1394" s="1142">
        <f t="shared" si="379"/>
        <v>97</v>
      </c>
      <c r="R1394" s="1143">
        <f>IFERROR(VLOOKUP(CONCATENATE(E1394,G1394),'LAC 103'!$A$12:$O$95,11,FALSE),0)</f>
        <v>5.936295312319726</v>
      </c>
      <c r="S1394" s="1144">
        <f>IFERROR(VLOOKUP(CONCATENATE($E1394,$G1394),'LAC 103'!$A$12:$O$95,12,FALSE),0)</f>
        <v>7.34</v>
      </c>
      <c r="T1394" s="1144">
        <f>IFERROR(VLOOKUP(CONCATENATE($E1394,$G1394),'LAC 103'!$A$12:$O$95,13,FALSE),0)</f>
        <v>4.59</v>
      </c>
      <c r="U1394" s="1144">
        <f>IFERROR(VLOOKUP(CONCATENATE($E1394,$G1394),'LAC 103'!$A$12:$O$95,14,FALSE),0)</f>
        <v>0</v>
      </c>
      <c r="V1394" s="1144">
        <f>IFERROR(VLOOKUP(CONCATENATE($E1394,$G1394),'LAC 103'!$A$12:$O$95,15,FALSE),0)</f>
        <v>0</v>
      </c>
      <c r="W1394" s="1145" t="str">
        <f>IFERROR(VLOOKUP(CONCATENATE($B1394,$N1394),'LAC 103'!$AI:$AQ,9,FALSE),"")</f>
        <v>Costs</v>
      </c>
      <c r="X1394" s="1146">
        <f t="shared" si="384"/>
        <v>5.936295312319726</v>
      </c>
      <c r="Y1394" s="1143">
        <f t="shared" si="395"/>
        <v>575.82064529501338</v>
      </c>
      <c r="Z1394" s="1147">
        <f t="shared" si="385"/>
        <v>711.98</v>
      </c>
      <c r="AA1394" s="1144">
        <f t="shared" si="386"/>
        <v>445.22999999999996</v>
      </c>
      <c r="AB1394" s="1144">
        <f t="shared" si="387"/>
        <v>0</v>
      </c>
      <c r="AC1394" s="1144">
        <f t="shared" si="388"/>
        <v>0</v>
      </c>
      <c r="AD1394" s="1148">
        <f t="shared" si="380"/>
        <v>575.82064529501338</v>
      </c>
      <c r="AE1394" s="1487">
        <v>0</v>
      </c>
      <c r="AF1394" s="1145">
        <f t="shared" si="389"/>
        <v>575.82064529501338</v>
      </c>
      <c r="AG1394" s="1149">
        <f>IFERROR(VLOOKUP(CONCATENATE($L1394,$N1394),'Drop List'!$G$23:$K$87,2,FALSE),0)</f>
        <v>0</v>
      </c>
      <c r="AH1394" s="1150">
        <f>IFERROR(VLOOKUP(CONCATENATE($L1394,$N1394),'Drop List'!$G$23:$K$87,3,FALSE),0)</f>
        <v>0</v>
      </c>
      <c r="AI1394" s="1150">
        <f>IFERROR(VLOOKUP(CONCATENATE($L1394,$N1394),'Drop List'!$G$23:$K$87,4,FALSE),0)</f>
        <v>0</v>
      </c>
      <c r="AJ1394" s="1151">
        <f>IFERROR(VLOOKUP(CONCATENATE($L1394,$N1394),'Drop List'!$G$23:$K$87,5,FALSE),0)</f>
        <v>0</v>
      </c>
      <c r="AK1394" s="1152">
        <f t="shared" si="390"/>
        <v>0</v>
      </c>
      <c r="AL1394" s="1153">
        <f t="shared" si="391"/>
        <v>0</v>
      </c>
      <c r="AM1394" s="1153">
        <f t="shared" si="392"/>
        <v>0</v>
      </c>
      <c r="AN1394" s="1145">
        <f t="shared" si="393"/>
        <v>0</v>
      </c>
      <c r="AO1394" s="1154">
        <f t="shared" si="394"/>
        <v>0</v>
      </c>
      <c r="AP1394" s="1147">
        <f t="shared" si="381"/>
        <v>575.82064529501338</v>
      </c>
      <c r="AQ1394" s="1144">
        <f t="shared" si="382"/>
        <v>0</v>
      </c>
      <c r="AR1394" s="1146">
        <f t="shared" si="383"/>
        <v>575.82064529501338</v>
      </c>
    </row>
    <row r="1395" spans="1:44" x14ac:dyDescent="0.2">
      <c r="A1395" s="1141" t="str">
        <f t="shared" si="396"/>
        <v>1562</v>
      </c>
      <c r="B1395" s="1141" t="str">
        <f>IFERROR(VLOOKUP(A1395,'LAC 103'!A:C,3,FALSE),"")</f>
        <v>OP</v>
      </c>
      <c r="C1395" s="1478" t="str">
        <f>Info!$B$8</f>
        <v>00100</v>
      </c>
      <c r="D1395" s="1474" t="s">
        <v>256</v>
      </c>
      <c r="E1395" s="1474" t="s">
        <v>95</v>
      </c>
      <c r="F1395" s="1478" t="s">
        <v>432</v>
      </c>
      <c r="G1395" s="1478" t="s">
        <v>432</v>
      </c>
      <c r="H1395" s="1474" t="s">
        <v>1665</v>
      </c>
      <c r="I1395" s="1478" t="s">
        <v>803</v>
      </c>
      <c r="J1395" s="1478"/>
      <c r="K1395" s="1475" t="s">
        <v>971</v>
      </c>
      <c r="L1395" s="1474" t="s">
        <v>332</v>
      </c>
      <c r="M1395" s="1476" t="s">
        <v>1698</v>
      </c>
      <c r="N1395" s="1477" t="s">
        <v>1693</v>
      </c>
      <c r="O1395" s="1479">
        <v>161</v>
      </c>
      <c r="P1395" s="1479"/>
      <c r="Q1395" s="1142">
        <f t="shared" si="379"/>
        <v>161</v>
      </c>
      <c r="R1395" s="1143">
        <f>IFERROR(VLOOKUP(CONCATENATE(E1395,G1395),'LAC 103'!$A$12:$O$95,11,FALSE),0)</f>
        <v>5.936295312319726</v>
      </c>
      <c r="S1395" s="1144">
        <f>IFERROR(VLOOKUP(CONCATENATE($E1395,$G1395),'LAC 103'!$A$12:$O$95,12,FALSE),0)</f>
        <v>7.34</v>
      </c>
      <c r="T1395" s="1144">
        <f>IFERROR(VLOOKUP(CONCATENATE($E1395,$G1395),'LAC 103'!$A$12:$O$95,13,FALSE),0)</f>
        <v>4.59</v>
      </c>
      <c r="U1395" s="1144">
        <f>IFERROR(VLOOKUP(CONCATENATE($E1395,$G1395),'LAC 103'!$A$12:$O$95,14,FALSE),0)</f>
        <v>0</v>
      </c>
      <c r="V1395" s="1144">
        <f>IFERROR(VLOOKUP(CONCATENATE($E1395,$G1395),'LAC 103'!$A$12:$O$95,15,FALSE),0)</f>
        <v>0</v>
      </c>
      <c r="W1395" s="1145" t="str">
        <f>IFERROR(VLOOKUP(CONCATENATE($B1395,$N1395),'LAC 103'!$AI:$AQ,9,FALSE),"")</f>
        <v>Costs</v>
      </c>
      <c r="X1395" s="1146">
        <f t="shared" si="384"/>
        <v>5.936295312319726</v>
      </c>
      <c r="Y1395" s="1143">
        <f t="shared" si="395"/>
        <v>955.7435452834759</v>
      </c>
      <c r="Z1395" s="1147">
        <f t="shared" si="385"/>
        <v>1181.74</v>
      </c>
      <c r="AA1395" s="1144">
        <f t="shared" si="386"/>
        <v>738.99</v>
      </c>
      <c r="AB1395" s="1144">
        <f t="shared" si="387"/>
        <v>0</v>
      </c>
      <c r="AC1395" s="1144">
        <f t="shared" si="388"/>
        <v>0</v>
      </c>
      <c r="AD1395" s="1148">
        <f t="shared" si="380"/>
        <v>955.7435452834759</v>
      </c>
      <c r="AE1395" s="1487">
        <v>0</v>
      </c>
      <c r="AF1395" s="1145">
        <f t="shared" si="389"/>
        <v>955.7435452834759</v>
      </c>
      <c r="AG1395" s="1149">
        <f>IFERROR(VLOOKUP(CONCATENATE($L1395,$N1395),'Drop List'!$G$23:$K$87,2,FALSE),0)</f>
        <v>0</v>
      </c>
      <c r="AH1395" s="1150">
        <f>IFERROR(VLOOKUP(CONCATENATE($L1395,$N1395),'Drop List'!$G$23:$K$87,3,FALSE),0)</f>
        <v>0</v>
      </c>
      <c r="AI1395" s="1150">
        <f>IFERROR(VLOOKUP(CONCATENATE($L1395,$N1395),'Drop List'!$G$23:$K$87,4,FALSE),0)</f>
        <v>0</v>
      </c>
      <c r="AJ1395" s="1151">
        <f>IFERROR(VLOOKUP(CONCATENATE($L1395,$N1395),'Drop List'!$G$23:$K$87,5,FALSE),0)</f>
        <v>0</v>
      </c>
      <c r="AK1395" s="1152">
        <f t="shared" si="390"/>
        <v>0</v>
      </c>
      <c r="AL1395" s="1153">
        <f t="shared" si="391"/>
        <v>0</v>
      </c>
      <c r="AM1395" s="1153">
        <f t="shared" si="392"/>
        <v>0</v>
      </c>
      <c r="AN1395" s="1145">
        <f t="shared" si="393"/>
        <v>0</v>
      </c>
      <c r="AO1395" s="1154">
        <f t="shared" si="394"/>
        <v>0</v>
      </c>
      <c r="AP1395" s="1147">
        <f t="shared" si="381"/>
        <v>955.7435452834759</v>
      </c>
      <c r="AQ1395" s="1144">
        <f t="shared" si="382"/>
        <v>0</v>
      </c>
      <c r="AR1395" s="1146">
        <f t="shared" si="383"/>
        <v>955.7435452834759</v>
      </c>
    </row>
    <row r="1396" spans="1:44" x14ac:dyDescent="0.2">
      <c r="A1396" s="1141" t="str">
        <f t="shared" si="396"/>
        <v>1562</v>
      </c>
      <c r="B1396" s="1141" t="str">
        <f>IFERROR(VLOOKUP(A1396,'LAC 103'!A:C,3,FALSE),"")</f>
        <v>OP</v>
      </c>
      <c r="C1396" s="1478" t="str">
        <f>Info!$B$8</f>
        <v>00100</v>
      </c>
      <c r="D1396" s="1474" t="s">
        <v>256</v>
      </c>
      <c r="E1396" s="1474" t="s">
        <v>95</v>
      </c>
      <c r="F1396" s="1478" t="s">
        <v>432</v>
      </c>
      <c r="G1396" s="1478" t="s">
        <v>432</v>
      </c>
      <c r="H1396" s="1474" t="s">
        <v>1665</v>
      </c>
      <c r="I1396" s="1478" t="s">
        <v>803</v>
      </c>
      <c r="J1396" s="1478"/>
      <c r="K1396" s="1475" t="s">
        <v>850</v>
      </c>
      <c r="L1396" s="1474" t="s">
        <v>330</v>
      </c>
      <c r="M1396" s="1476" t="s">
        <v>1699</v>
      </c>
      <c r="N1396" s="1477" t="s">
        <v>1694</v>
      </c>
      <c r="O1396" s="1479">
        <v>33</v>
      </c>
      <c r="P1396" s="1479"/>
      <c r="Q1396" s="1142">
        <f t="shared" si="379"/>
        <v>33</v>
      </c>
      <c r="R1396" s="1143">
        <f>IFERROR(VLOOKUP(CONCATENATE(E1396,G1396),'LAC 103'!$A$12:$O$95,11,FALSE),0)</f>
        <v>5.936295312319726</v>
      </c>
      <c r="S1396" s="1144">
        <f>IFERROR(VLOOKUP(CONCATENATE($E1396,$G1396),'LAC 103'!$A$12:$O$95,12,FALSE),0)</f>
        <v>7.34</v>
      </c>
      <c r="T1396" s="1144">
        <f>IFERROR(VLOOKUP(CONCATENATE($E1396,$G1396),'LAC 103'!$A$12:$O$95,13,FALSE),0)</f>
        <v>4.59</v>
      </c>
      <c r="U1396" s="1144">
        <f>IFERROR(VLOOKUP(CONCATENATE($E1396,$G1396),'LAC 103'!$A$12:$O$95,14,FALSE),0)</f>
        <v>0</v>
      </c>
      <c r="V1396" s="1144">
        <f>IFERROR(VLOOKUP(CONCATENATE($E1396,$G1396),'LAC 103'!$A$12:$O$95,15,FALSE),0)</f>
        <v>0</v>
      </c>
      <c r="W1396" s="1145" t="str">
        <f>IFERROR(VLOOKUP(CONCATENATE($B1396,$N1396),'LAC 103'!$AI:$AQ,9,FALSE),"")</f>
        <v>Costs</v>
      </c>
      <c r="X1396" s="1146">
        <f t="shared" si="384"/>
        <v>5.936295312319726</v>
      </c>
      <c r="Y1396" s="1143">
        <f t="shared" si="395"/>
        <v>195.89774530655095</v>
      </c>
      <c r="Z1396" s="1147">
        <f t="shared" si="385"/>
        <v>242.22</v>
      </c>
      <c r="AA1396" s="1144">
        <f t="shared" si="386"/>
        <v>151.47</v>
      </c>
      <c r="AB1396" s="1144">
        <f t="shared" si="387"/>
        <v>0</v>
      </c>
      <c r="AC1396" s="1144">
        <f t="shared" si="388"/>
        <v>0</v>
      </c>
      <c r="AD1396" s="1148">
        <f t="shared" si="380"/>
        <v>195.89774530655095</v>
      </c>
      <c r="AE1396" s="1487">
        <v>0</v>
      </c>
      <c r="AF1396" s="1145">
        <f t="shared" si="389"/>
        <v>195.89774530655095</v>
      </c>
      <c r="AG1396" s="1149">
        <f>IFERROR(VLOOKUP(CONCATENATE($L1396,$N1396),'Drop List'!$G$23:$K$87,2,FALSE),0)</f>
        <v>0</v>
      </c>
      <c r="AH1396" s="1150">
        <f>IFERROR(VLOOKUP(CONCATENATE($L1396,$N1396),'Drop List'!$G$23:$K$87,3,FALSE),0)</f>
        <v>0</v>
      </c>
      <c r="AI1396" s="1150">
        <f>IFERROR(VLOOKUP(CONCATENATE($L1396,$N1396),'Drop List'!$G$23:$K$87,4,FALSE),0)</f>
        <v>1</v>
      </c>
      <c r="AJ1396" s="1151">
        <f>IFERROR(VLOOKUP(CONCATENATE($L1396,$N1396),'Drop List'!$G$23:$K$87,5,FALSE),0)</f>
        <v>0</v>
      </c>
      <c r="AK1396" s="1152">
        <f t="shared" si="390"/>
        <v>0</v>
      </c>
      <c r="AL1396" s="1153">
        <f t="shared" si="391"/>
        <v>0</v>
      </c>
      <c r="AM1396" s="1153">
        <f t="shared" si="392"/>
        <v>195.89774530655095</v>
      </c>
      <c r="AN1396" s="1145">
        <f t="shared" si="393"/>
        <v>0</v>
      </c>
      <c r="AO1396" s="1154">
        <f t="shared" si="394"/>
        <v>195.89774530655095</v>
      </c>
      <c r="AP1396" s="1147">
        <f t="shared" si="381"/>
        <v>0</v>
      </c>
      <c r="AQ1396" s="1144">
        <f t="shared" si="382"/>
        <v>0</v>
      </c>
      <c r="AR1396" s="1146">
        <f t="shared" si="383"/>
        <v>195.89774530655095</v>
      </c>
    </row>
    <row r="1397" spans="1:44" x14ac:dyDescent="0.2">
      <c r="A1397" s="1141" t="str">
        <f t="shared" si="396"/>
        <v>1562</v>
      </c>
      <c r="B1397" s="1141" t="str">
        <f>IFERROR(VLOOKUP(A1397,'LAC 103'!A:C,3,FALSE),"")</f>
        <v>OP</v>
      </c>
      <c r="C1397" s="1478" t="str">
        <f>Info!$B$8</f>
        <v>00100</v>
      </c>
      <c r="D1397" s="1474" t="s">
        <v>256</v>
      </c>
      <c r="E1397" s="1474" t="s">
        <v>95</v>
      </c>
      <c r="F1397" s="1478" t="s">
        <v>432</v>
      </c>
      <c r="G1397" s="1478" t="s">
        <v>432</v>
      </c>
      <c r="H1397" s="1474" t="s">
        <v>1665</v>
      </c>
      <c r="I1397" s="1478" t="s">
        <v>803</v>
      </c>
      <c r="J1397" s="1478"/>
      <c r="K1397" s="1475" t="s">
        <v>850</v>
      </c>
      <c r="L1397" s="1474" t="s">
        <v>330</v>
      </c>
      <c r="M1397" s="1476" t="s">
        <v>1698</v>
      </c>
      <c r="N1397" s="1477" t="s">
        <v>1693</v>
      </c>
      <c r="O1397" s="1479">
        <v>66</v>
      </c>
      <c r="P1397" s="1479"/>
      <c r="Q1397" s="1142">
        <f t="shared" si="379"/>
        <v>66</v>
      </c>
      <c r="R1397" s="1143">
        <f>IFERROR(VLOOKUP(CONCATENATE(E1397,G1397),'LAC 103'!$A$12:$O$95,11,FALSE),0)</f>
        <v>5.936295312319726</v>
      </c>
      <c r="S1397" s="1144">
        <f>IFERROR(VLOOKUP(CONCATENATE($E1397,$G1397),'LAC 103'!$A$12:$O$95,12,FALSE),0)</f>
        <v>7.34</v>
      </c>
      <c r="T1397" s="1144">
        <f>IFERROR(VLOOKUP(CONCATENATE($E1397,$G1397),'LAC 103'!$A$12:$O$95,13,FALSE),0)</f>
        <v>4.59</v>
      </c>
      <c r="U1397" s="1144">
        <f>IFERROR(VLOOKUP(CONCATENATE($E1397,$G1397),'LAC 103'!$A$12:$O$95,14,FALSE),0)</f>
        <v>0</v>
      </c>
      <c r="V1397" s="1144">
        <f>IFERROR(VLOOKUP(CONCATENATE($E1397,$G1397),'LAC 103'!$A$12:$O$95,15,FALSE),0)</f>
        <v>0</v>
      </c>
      <c r="W1397" s="1145" t="str">
        <f>IFERROR(VLOOKUP(CONCATENATE($B1397,$N1397),'LAC 103'!$AI:$AQ,9,FALSE),"")</f>
        <v>Costs</v>
      </c>
      <c r="X1397" s="1146">
        <f t="shared" si="384"/>
        <v>5.936295312319726</v>
      </c>
      <c r="Y1397" s="1143">
        <f t="shared" si="395"/>
        <v>391.79549061310189</v>
      </c>
      <c r="Z1397" s="1147">
        <f t="shared" si="385"/>
        <v>484.44</v>
      </c>
      <c r="AA1397" s="1144">
        <f t="shared" si="386"/>
        <v>302.94</v>
      </c>
      <c r="AB1397" s="1144">
        <f t="shared" si="387"/>
        <v>0</v>
      </c>
      <c r="AC1397" s="1144">
        <f t="shared" si="388"/>
        <v>0</v>
      </c>
      <c r="AD1397" s="1148">
        <f t="shared" si="380"/>
        <v>391.79549061310189</v>
      </c>
      <c r="AE1397" s="1487">
        <v>0</v>
      </c>
      <c r="AF1397" s="1145">
        <f t="shared" si="389"/>
        <v>391.79549061310189</v>
      </c>
      <c r="AG1397" s="1149">
        <f>IFERROR(VLOOKUP(CONCATENATE($L1397,$N1397),'Drop List'!$G$23:$K$87,2,FALSE),0)</f>
        <v>0</v>
      </c>
      <c r="AH1397" s="1150">
        <f>IFERROR(VLOOKUP(CONCATENATE($L1397,$N1397),'Drop List'!$G$23:$K$87,3,FALSE),0)</f>
        <v>0</v>
      </c>
      <c r="AI1397" s="1150">
        <f>IFERROR(VLOOKUP(CONCATENATE($L1397,$N1397),'Drop List'!$G$23:$K$87,4,FALSE),0)</f>
        <v>1</v>
      </c>
      <c r="AJ1397" s="1151">
        <f>IFERROR(VLOOKUP(CONCATENATE($L1397,$N1397),'Drop List'!$G$23:$K$87,5,FALSE),0)</f>
        <v>0</v>
      </c>
      <c r="AK1397" s="1152">
        <f t="shared" si="390"/>
        <v>0</v>
      </c>
      <c r="AL1397" s="1153">
        <f t="shared" si="391"/>
        <v>0</v>
      </c>
      <c r="AM1397" s="1153">
        <f t="shared" si="392"/>
        <v>391.79549061310189</v>
      </c>
      <c r="AN1397" s="1145">
        <f t="shared" si="393"/>
        <v>0</v>
      </c>
      <c r="AO1397" s="1154">
        <f t="shared" si="394"/>
        <v>391.79549061310189</v>
      </c>
      <c r="AP1397" s="1147">
        <f t="shared" si="381"/>
        <v>0</v>
      </c>
      <c r="AQ1397" s="1144">
        <f t="shared" si="382"/>
        <v>0</v>
      </c>
      <c r="AR1397" s="1146">
        <f t="shared" si="383"/>
        <v>391.79549061310189</v>
      </c>
    </row>
    <row r="1398" spans="1:44" x14ac:dyDescent="0.2">
      <c r="A1398" s="1141" t="str">
        <f t="shared" si="396"/>
        <v>1562</v>
      </c>
      <c r="B1398" s="1141" t="str">
        <f>IFERROR(VLOOKUP(A1398,'LAC 103'!A:C,3,FALSE),"")</f>
        <v>OP</v>
      </c>
      <c r="C1398" s="1478" t="str">
        <f>Info!$B$8</f>
        <v>00100</v>
      </c>
      <c r="D1398" s="1474" t="s">
        <v>256</v>
      </c>
      <c r="E1398" s="1474" t="s">
        <v>95</v>
      </c>
      <c r="F1398" s="1478" t="s">
        <v>432</v>
      </c>
      <c r="G1398" s="1478" t="s">
        <v>432</v>
      </c>
      <c r="H1398" s="1474" t="s">
        <v>1665</v>
      </c>
      <c r="I1398" s="1478" t="s">
        <v>803</v>
      </c>
      <c r="J1398" s="1478"/>
      <c r="K1398" s="1475" t="s">
        <v>851</v>
      </c>
      <c r="L1398" s="1474" t="s">
        <v>584</v>
      </c>
      <c r="M1398" s="1476" t="s">
        <v>1699</v>
      </c>
      <c r="N1398" s="1477" t="s">
        <v>1694</v>
      </c>
      <c r="O1398" s="1479">
        <v>2371</v>
      </c>
      <c r="P1398" s="1479"/>
      <c r="Q1398" s="1142">
        <f t="shared" si="379"/>
        <v>2371</v>
      </c>
      <c r="R1398" s="1143">
        <f>IFERROR(VLOOKUP(CONCATENATE(E1398,G1398),'LAC 103'!$A$12:$O$95,11,FALSE),0)</f>
        <v>5.936295312319726</v>
      </c>
      <c r="S1398" s="1144">
        <f>IFERROR(VLOOKUP(CONCATENATE($E1398,$G1398),'LAC 103'!$A$12:$O$95,12,FALSE),0)</f>
        <v>7.34</v>
      </c>
      <c r="T1398" s="1144">
        <f>IFERROR(VLOOKUP(CONCATENATE($E1398,$G1398),'LAC 103'!$A$12:$O$95,13,FALSE),0)</f>
        <v>4.59</v>
      </c>
      <c r="U1398" s="1144">
        <f>IFERROR(VLOOKUP(CONCATENATE($E1398,$G1398),'LAC 103'!$A$12:$O$95,14,FALSE),0)</f>
        <v>0</v>
      </c>
      <c r="V1398" s="1144">
        <f>IFERROR(VLOOKUP(CONCATENATE($E1398,$G1398),'LAC 103'!$A$12:$O$95,15,FALSE),0)</f>
        <v>0</v>
      </c>
      <c r="W1398" s="1145" t="str">
        <f>IFERROR(VLOOKUP(CONCATENATE($B1398,$N1398),'LAC 103'!$AI:$AQ,9,FALSE),"")</f>
        <v>Costs</v>
      </c>
      <c r="X1398" s="1146">
        <f t="shared" si="384"/>
        <v>5.936295312319726</v>
      </c>
      <c r="Y1398" s="1143">
        <f t="shared" si="395"/>
        <v>14074.956185510071</v>
      </c>
      <c r="Z1398" s="1147">
        <f t="shared" si="385"/>
        <v>17403.14</v>
      </c>
      <c r="AA1398" s="1144">
        <f t="shared" si="386"/>
        <v>10882.89</v>
      </c>
      <c r="AB1398" s="1144">
        <f t="shared" si="387"/>
        <v>0</v>
      </c>
      <c r="AC1398" s="1144">
        <f t="shared" si="388"/>
        <v>0</v>
      </c>
      <c r="AD1398" s="1148">
        <f t="shared" si="380"/>
        <v>14074.956185510071</v>
      </c>
      <c r="AE1398" s="1487">
        <v>0</v>
      </c>
      <c r="AF1398" s="1145">
        <f t="shared" si="389"/>
        <v>14074.956185510071</v>
      </c>
      <c r="AG1398" s="1149">
        <f>IFERROR(VLOOKUP(CONCATENATE($L1398,$N1398),'Drop List'!$G$23:$K$87,2,FALSE),0)</f>
        <v>0.56200000000000006</v>
      </c>
      <c r="AH1398" s="1150">
        <f>IFERROR(VLOOKUP(CONCATENATE($L1398,$N1398),'Drop List'!$G$23:$K$87,3,FALSE),0)</f>
        <v>0</v>
      </c>
      <c r="AI1398" s="1150">
        <f>IFERROR(VLOOKUP(CONCATENATE($L1398,$N1398),'Drop List'!$G$23:$K$87,4,FALSE),0)</f>
        <v>0</v>
      </c>
      <c r="AJ1398" s="1151">
        <f>IFERROR(VLOOKUP(CONCATENATE($L1398,$N1398),'Drop List'!$G$23:$K$87,5,FALSE),0)</f>
        <v>0.43799999999999994</v>
      </c>
      <c r="AK1398" s="1152">
        <f t="shared" si="390"/>
        <v>7910.1253762566603</v>
      </c>
      <c r="AL1398" s="1153">
        <f t="shared" si="391"/>
        <v>0</v>
      </c>
      <c r="AM1398" s="1153">
        <f t="shared" si="392"/>
        <v>0</v>
      </c>
      <c r="AN1398" s="1145">
        <f t="shared" si="393"/>
        <v>6164.8308092534107</v>
      </c>
      <c r="AO1398" s="1154">
        <f t="shared" si="394"/>
        <v>14074.956185510071</v>
      </c>
      <c r="AP1398" s="1147">
        <f t="shared" si="381"/>
        <v>0</v>
      </c>
      <c r="AQ1398" s="1144">
        <f t="shared" si="382"/>
        <v>0</v>
      </c>
      <c r="AR1398" s="1146">
        <f t="shared" si="383"/>
        <v>14074.956185510071</v>
      </c>
    </row>
    <row r="1399" spans="1:44" x14ac:dyDescent="0.2">
      <c r="A1399" s="1141" t="str">
        <f t="shared" si="396"/>
        <v>1562</v>
      </c>
      <c r="B1399" s="1141" t="str">
        <f>IFERROR(VLOOKUP(A1399,'LAC 103'!A:C,3,FALSE),"")</f>
        <v>OP</v>
      </c>
      <c r="C1399" s="1478" t="str">
        <f>Info!$B$8</f>
        <v>00100</v>
      </c>
      <c r="D1399" s="1474" t="s">
        <v>256</v>
      </c>
      <c r="E1399" s="1474" t="s">
        <v>95</v>
      </c>
      <c r="F1399" s="1478" t="s">
        <v>432</v>
      </c>
      <c r="G1399" s="1478" t="s">
        <v>432</v>
      </c>
      <c r="H1399" s="1474" t="s">
        <v>1665</v>
      </c>
      <c r="I1399" s="1478" t="s">
        <v>803</v>
      </c>
      <c r="J1399" s="1478"/>
      <c r="K1399" s="1475" t="s">
        <v>851</v>
      </c>
      <c r="L1399" s="1474" t="s">
        <v>584</v>
      </c>
      <c r="M1399" s="1476" t="s">
        <v>841</v>
      </c>
      <c r="N1399" s="1477" t="s">
        <v>1695</v>
      </c>
      <c r="O1399" s="1479">
        <v>1035</v>
      </c>
      <c r="P1399" s="1479"/>
      <c r="Q1399" s="1142">
        <f t="shared" si="379"/>
        <v>1035</v>
      </c>
      <c r="R1399" s="1143">
        <f>IFERROR(VLOOKUP(CONCATENATE(E1399,G1399),'LAC 103'!$A$12:$O$95,11,FALSE),0)</f>
        <v>5.936295312319726</v>
      </c>
      <c r="S1399" s="1144">
        <f>IFERROR(VLOOKUP(CONCATENATE($E1399,$G1399),'LAC 103'!$A$12:$O$95,12,FALSE),0)</f>
        <v>7.34</v>
      </c>
      <c r="T1399" s="1144">
        <f>IFERROR(VLOOKUP(CONCATENATE($E1399,$G1399),'LAC 103'!$A$12:$O$95,13,FALSE),0)</f>
        <v>4.59</v>
      </c>
      <c r="U1399" s="1144">
        <f>IFERROR(VLOOKUP(CONCATENATE($E1399,$G1399),'LAC 103'!$A$12:$O$95,14,FALSE),0)</f>
        <v>0</v>
      </c>
      <c r="V1399" s="1144">
        <f>IFERROR(VLOOKUP(CONCATENATE($E1399,$G1399),'LAC 103'!$A$12:$O$95,15,FALSE),0)</f>
        <v>0</v>
      </c>
      <c r="W1399" s="1145" t="str">
        <f>IFERROR(VLOOKUP(CONCATENATE($B1399,$N1399),'LAC 103'!$AI:$AQ,9,FALSE),"")</f>
        <v>Costs</v>
      </c>
      <c r="X1399" s="1146">
        <f t="shared" si="384"/>
        <v>5.936295312319726</v>
      </c>
      <c r="Y1399" s="1143">
        <f t="shared" si="395"/>
        <v>6144.0656482509166</v>
      </c>
      <c r="Z1399" s="1147">
        <f t="shared" si="385"/>
        <v>7596.9</v>
      </c>
      <c r="AA1399" s="1144">
        <f t="shared" si="386"/>
        <v>4750.6499999999996</v>
      </c>
      <c r="AB1399" s="1144">
        <f t="shared" si="387"/>
        <v>0</v>
      </c>
      <c r="AC1399" s="1144">
        <f t="shared" si="388"/>
        <v>0</v>
      </c>
      <c r="AD1399" s="1148">
        <f t="shared" si="380"/>
        <v>6144.0656482509166</v>
      </c>
      <c r="AE1399" s="1487">
        <v>0</v>
      </c>
      <c r="AF1399" s="1145">
        <f t="shared" si="389"/>
        <v>6144.0656482509166</v>
      </c>
      <c r="AG1399" s="1149">
        <f>IFERROR(VLOOKUP(CONCATENATE($L1399,$N1399),'Drop List'!$G$23:$K$87,2,FALSE),0)</f>
        <v>0.55000000000000004</v>
      </c>
      <c r="AH1399" s="1150">
        <f>IFERROR(VLOOKUP(CONCATENATE($L1399,$N1399),'Drop List'!$G$23:$K$87,3,FALSE),0)</f>
        <v>0</v>
      </c>
      <c r="AI1399" s="1150">
        <f>IFERROR(VLOOKUP(CONCATENATE($L1399,$N1399),'Drop List'!$G$23:$K$87,4,FALSE),0)</f>
        <v>0</v>
      </c>
      <c r="AJ1399" s="1151">
        <f>IFERROR(VLOOKUP(CONCATENATE($L1399,$N1399),'Drop List'!$G$23:$K$87,5,FALSE),0)</f>
        <v>0.44999999999999996</v>
      </c>
      <c r="AK1399" s="1152">
        <f t="shared" si="390"/>
        <v>3379.2361065380046</v>
      </c>
      <c r="AL1399" s="1153">
        <f t="shared" si="391"/>
        <v>0</v>
      </c>
      <c r="AM1399" s="1153">
        <f t="shared" si="392"/>
        <v>0</v>
      </c>
      <c r="AN1399" s="1145">
        <f t="shared" si="393"/>
        <v>2764.829541712912</v>
      </c>
      <c r="AO1399" s="1154">
        <f t="shared" si="394"/>
        <v>6144.0656482509166</v>
      </c>
      <c r="AP1399" s="1147">
        <f t="shared" si="381"/>
        <v>0</v>
      </c>
      <c r="AQ1399" s="1144">
        <f t="shared" si="382"/>
        <v>0</v>
      </c>
      <c r="AR1399" s="1146">
        <f t="shared" si="383"/>
        <v>6144.0656482509166</v>
      </c>
    </row>
    <row r="1400" spans="1:44" x14ac:dyDescent="0.2">
      <c r="A1400" s="1141" t="str">
        <f t="shared" si="396"/>
        <v>1562</v>
      </c>
      <c r="B1400" s="1141" t="str">
        <f>IFERROR(VLOOKUP(A1400,'LAC 103'!A:C,3,FALSE),"")</f>
        <v>OP</v>
      </c>
      <c r="C1400" s="1478" t="str">
        <f>Info!$B$8</f>
        <v>00100</v>
      </c>
      <c r="D1400" s="1474" t="s">
        <v>256</v>
      </c>
      <c r="E1400" s="1474" t="s">
        <v>95</v>
      </c>
      <c r="F1400" s="1478" t="s">
        <v>432</v>
      </c>
      <c r="G1400" s="1478" t="s">
        <v>432</v>
      </c>
      <c r="H1400" s="1474" t="s">
        <v>1665</v>
      </c>
      <c r="I1400" s="1478" t="s">
        <v>803</v>
      </c>
      <c r="J1400" s="1478"/>
      <c r="K1400" s="1475" t="s">
        <v>851</v>
      </c>
      <c r="L1400" s="1474" t="s">
        <v>584</v>
      </c>
      <c r="M1400" s="1476" t="s">
        <v>840</v>
      </c>
      <c r="N1400" s="1477" t="s">
        <v>1700</v>
      </c>
      <c r="O1400" s="1479">
        <v>1173</v>
      </c>
      <c r="P1400" s="1479"/>
      <c r="Q1400" s="1142">
        <f t="shared" si="379"/>
        <v>1173</v>
      </c>
      <c r="R1400" s="1143">
        <f>IFERROR(VLOOKUP(CONCATENATE(E1400,G1400),'LAC 103'!$A$12:$O$95,11,FALSE),0)</f>
        <v>5.936295312319726</v>
      </c>
      <c r="S1400" s="1144">
        <f>IFERROR(VLOOKUP(CONCATENATE($E1400,$G1400),'LAC 103'!$A$12:$O$95,12,FALSE),0)</f>
        <v>7.34</v>
      </c>
      <c r="T1400" s="1144">
        <f>IFERROR(VLOOKUP(CONCATENATE($E1400,$G1400),'LAC 103'!$A$12:$O$95,13,FALSE),0)</f>
        <v>4.59</v>
      </c>
      <c r="U1400" s="1144">
        <f>IFERROR(VLOOKUP(CONCATENATE($E1400,$G1400),'LAC 103'!$A$12:$O$95,14,FALSE),0)</f>
        <v>0</v>
      </c>
      <c r="V1400" s="1144">
        <f>IFERROR(VLOOKUP(CONCATENATE($E1400,$G1400),'LAC 103'!$A$12:$O$95,15,FALSE),0)</f>
        <v>0</v>
      </c>
      <c r="W1400" s="1145" t="str">
        <f>IFERROR(VLOOKUP(CONCATENATE($B1400,$N1400),'LAC 103'!$AI:$AQ,9,FALSE),"")</f>
        <v>P.C.</v>
      </c>
      <c r="X1400" s="1146">
        <f t="shared" si="384"/>
        <v>4.59</v>
      </c>
      <c r="Y1400" s="1143">
        <f t="shared" si="395"/>
        <v>6963.2744013510383</v>
      </c>
      <c r="Z1400" s="1147">
        <f t="shared" si="385"/>
        <v>8609.82</v>
      </c>
      <c r="AA1400" s="1144">
        <f t="shared" si="386"/>
        <v>5384.07</v>
      </c>
      <c r="AB1400" s="1144">
        <f t="shared" si="387"/>
        <v>0</v>
      </c>
      <c r="AC1400" s="1144">
        <f t="shared" si="388"/>
        <v>0</v>
      </c>
      <c r="AD1400" s="1148">
        <f t="shared" si="380"/>
        <v>5384.07</v>
      </c>
      <c r="AE1400" s="1487">
        <v>0</v>
      </c>
      <c r="AF1400" s="1145">
        <f t="shared" si="389"/>
        <v>5384.07</v>
      </c>
      <c r="AG1400" s="1149">
        <f>IFERROR(VLOOKUP(CONCATENATE($L1400,$N1400),'Drop List'!$G$23:$K$87,2,FALSE),0)</f>
        <v>0.55000000000000004</v>
      </c>
      <c r="AH1400" s="1150">
        <f>IFERROR(VLOOKUP(CONCATENATE($L1400,$N1400),'Drop List'!$G$23:$K$87,3,FALSE),0)</f>
        <v>0</v>
      </c>
      <c r="AI1400" s="1150">
        <f>IFERROR(VLOOKUP(CONCATENATE($L1400,$N1400),'Drop List'!$G$23:$K$87,4,FALSE),0)</f>
        <v>0</v>
      </c>
      <c r="AJ1400" s="1151">
        <f>IFERROR(VLOOKUP(CONCATENATE($L1400,$N1400),'Drop List'!$G$23:$K$87,5,FALSE),0)</f>
        <v>0.44999999999999996</v>
      </c>
      <c r="AK1400" s="1152">
        <f t="shared" si="390"/>
        <v>2961.2384999999999</v>
      </c>
      <c r="AL1400" s="1153">
        <f t="shared" si="391"/>
        <v>0</v>
      </c>
      <c r="AM1400" s="1153">
        <f t="shared" si="392"/>
        <v>0</v>
      </c>
      <c r="AN1400" s="1145">
        <f t="shared" si="393"/>
        <v>2422.8314999999998</v>
      </c>
      <c r="AO1400" s="1154">
        <f t="shared" si="394"/>
        <v>5384.07</v>
      </c>
      <c r="AP1400" s="1147">
        <f t="shared" si="381"/>
        <v>0</v>
      </c>
      <c r="AQ1400" s="1144">
        <f t="shared" si="382"/>
        <v>0</v>
      </c>
      <c r="AR1400" s="1146">
        <f t="shared" si="383"/>
        <v>5384.07</v>
      </c>
    </row>
    <row r="1401" spans="1:44" x14ac:dyDescent="0.2">
      <c r="A1401" s="1141" t="str">
        <f t="shared" si="396"/>
        <v>1562</v>
      </c>
      <c r="B1401" s="1141" t="str">
        <f>IFERROR(VLOOKUP(A1401,'LAC 103'!A:C,3,FALSE),"")</f>
        <v>OP</v>
      </c>
      <c r="C1401" s="1478" t="str">
        <f>Info!$B$8</f>
        <v>00100</v>
      </c>
      <c r="D1401" s="1474" t="s">
        <v>256</v>
      </c>
      <c r="E1401" s="1474" t="s">
        <v>95</v>
      </c>
      <c r="F1401" s="1478" t="s">
        <v>432</v>
      </c>
      <c r="G1401" s="1478" t="s">
        <v>432</v>
      </c>
      <c r="H1401" s="1474" t="s">
        <v>1665</v>
      </c>
      <c r="I1401" s="1478" t="s">
        <v>803</v>
      </c>
      <c r="J1401" s="1478"/>
      <c r="K1401" s="1475" t="s">
        <v>851</v>
      </c>
      <c r="L1401" s="1474" t="s">
        <v>584</v>
      </c>
      <c r="M1401" s="1476" t="s">
        <v>842</v>
      </c>
      <c r="N1401" s="1477" t="s">
        <v>1692</v>
      </c>
      <c r="O1401" s="1479">
        <v>1104</v>
      </c>
      <c r="P1401" s="1479"/>
      <c r="Q1401" s="1142">
        <f t="shared" si="379"/>
        <v>1104</v>
      </c>
      <c r="R1401" s="1143">
        <f>IFERROR(VLOOKUP(CONCATENATE(E1401,G1401),'LAC 103'!$A$12:$O$95,11,FALSE),0)</f>
        <v>5.936295312319726</v>
      </c>
      <c r="S1401" s="1144">
        <f>IFERROR(VLOOKUP(CONCATENATE($E1401,$G1401),'LAC 103'!$A$12:$O$95,12,FALSE),0)</f>
        <v>7.34</v>
      </c>
      <c r="T1401" s="1144">
        <f>IFERROR(VLOOKUP(CONCATENATE($E1401,$G1401),'LAC 103'!$A$12:$O$95,13,FALSE),0)</f>
        <v>4.59</v>
      </c>
      <c r="U1401" s="1144">
        <f>IFERROR(VLOOKUP(CONCATENATE($E1401,$G1401),'LAC 103'!$A$12:$O$95,14,FALSE),0)</f>
        <v>0</v>
      </c>
      <c r="V1401" s="1144">
        <f>IFERROR(VLOOKUP(CONCATENATE($E1401,$G1401),'LAC 103'!$A$12:$O$95,15,FALSE),0)</f>
        <v>0</v>
      </c>
      <c r="W1401" s="1145" t="str">
        <f>IFERROR(VLOOKUP(CONCATENATE($B1401,$N1401),'LAC 103'!$AI:$AQ,9,FALSE),"")</f>
        <v>Costs</v>
      </c>
      <c r="X1401" s="1146">
        <f t="shared" si="384"/>
        <v>5.936295312319726</v>
      </c>
      <c r="Y1401" s="1143">
        <f t="shared" si="395"/>
        <v>6553.6700248009774</v>
      </c>
      <c r="Z1401" s="1147">
        <f t="shared" si="385"/>
        <v>8103.36</v>
      </c>
      <c r="AA1401" s="1144">
        <f t="shared" si="386"/>
        <v>5067.3599999999997</v>
      </c>
      <c r="AB1401" s="1144">
        <f t="shared" si="387"/>
        <v>0</v>
      </c>
      <c r="AC1401" s="1144">
        <f t="shared" si="388"/>
        <v>0</v>
      </c>
      <c r="AD1401" s="1148">
        <f t="shared" si="380"/>
        <v>6553.6700248009774</v>
      </c>
      <c r="AE1401" s="1487">
        <v>0</v>
      </c>
      <c r="AF1401" s="1145">
        <f t="shared" si="389"/>
        <v>6553.6700248009774</v>
      </c>
      <c r="AG1401" s="1149">
        <f>IFERROR(VLOOKUP(CONCATENATE($L1401,$N1401),'Drop List'!$G$23:$K$87,2,FALSE),0)</f>
        <v>0.56200000000000006</v>
      </c>
      <c r="AH1401" s="1150">
        <f>IFERROR(VLOOKUP(CONCATENATE($L1401,$N1401),'Drop List'!$G$23:$K$87,3,FALSE),0)</f>
        <v>0</v>
      </c>
      <c r="AI1401" s="1150">
        <f>IFERROR(VLOOKUP(CONCATENATE($L1401,$N1401),'Drop List'!$G$23:$K$87,4,FALSE),0)</f>
        <v>0</v>
      </c>
      <c r="AJ1401" s="1151">
        <f>IFERROR(VLOOKUP(CONCATENATE($L1401,$N1401),'Drop List'!$G$23:$K$87,5,FALSE),0)</f>
        <v>0.43799999999999994</v>
      </c>
      <c r="AK1401" s="1152">
        <f t="shared" si="390"/>
        <v>3683.1625539381498</v>
      </c>
      <c r="AL1401" s="1153">
        <f t="shared" si="391"/>
        <v>0</v>
      </c>
      <c r="AM1401" s="1153">
        <f t="shared" si="392"/>
        <v>0</v>
      </c>
      <c r="AN1401" s="1145">
        <f t="shared" si="393"/>
        <v>2870.5074708628276</v>
      </c>
      <c r="AO1401" s="1154">
        <f t="shared" si="394"/>
        <v>6553.6700248009774</v>
      </c>
      <c r="AP1401" s="1147">
        <f t="shared" si="381"/>
        <v>0</v>
      </c>
      <c r="AQ1401" s="1144">
        <f t="shared" si="382"/>
        <v>0</v>
      </c>
      <c r="AR1401" s="1146">
        <f t="shared" si="383"/>
        <v>6553.6700248009774</v>
      </c>
    </row>
    <row r="1402" spans="1:44" x14ac:dyDescent="0.2">
      <c r="A1402" s="1141" t="str">
        <f t="shared" si="396"/>
        <v>1562</v>
      </c>
      <c r="B1402" s="1141" t="str">
        <f>IFERROR(VLOOKUP(A1402,'LAC 103'!A:C,3,FALSE),"")</f>
        <v>OP</v>
      </c>
      <c r="C1402" s="1478" t="str">
        <f>Info!$B$8</f>
        <v>00100</v>
      </c>
      <c r="D1402" s="1474" t="s">
        <v>256</v>
      </c>
      <c r="E1402" s="1474" t="s">
        <v>95</v>
      </c>
      <c r="F1402" s="1478" t="s">
        <v>432</v>
      </c>
      <c r="G1402" s="1478" t="s">
        <v>432</v>
      </c>
      <c r="H1402" s="1474" t="s">
        <v>1665</v>
      </c>
      <c r="I1402" s="1478" t="s">
        <v>803</v>
      </c>
      <c r="J1402" s="1478"/>
      <c r="K1402" s="1475" t="s">
        <v>851</v>
      </c>
      <c r="L1402" s="1474" t="s">
        <v>584</v>
      </c>
      <c r="M1402" s="1476" t="s">
        <v>1698</v>
      </c>
      <c r="N1402" s="1477" t="s">
        <v>1693</v>
      </c>
      <c r="O1402" s="1479">
        <v>1481</v>
      </c>
      <c r="P1402" s="1479"/>
      <c r="Q1402" s="1142">
        <f t="shared" si="379"/>
        <v>1481</v>
      </c>
      <c r="R1402" s="1143">
        <f>IFERROR(VLOOKUP(CONCATENATE(E1402,G1402),'LAC 103'!$A$12:$O$95,11,FALSE),0)</f>
        <v>5.936295312319726</v>
      </c>
      <c r="S1402" s="1144">
        <f>IFERROR(VLOOKUP(CONCATENATE($E1402,$G1402),'LAC 103'!$A$12:$O$95,12,FALSE),0)</f>
        <v>7.34</v>
      </c>
      <c r="T1402" s="1144">
        <f>IFERROR(VLOOKUP(CONCATENATE($E1402,$G1402),'LAC 103'!$A$12:$O$95,13,FALSE),0)</f>
        <v>4.59</v>
      </c>
      <c r="U1402" s="1144">
        <f>IFERROR(VLOOKUP(CONCATENATE($E1402,$G1402),'LAC 103'!$A$12:$O$95,14,FALSE),0)</f>
        <v>0</v>
      </c>
      <c r="V1402" s="1144">
        <f>IFERROR(VLOOKUP(CONCATENATE($E1402,$G1402),'LAC 103'!$A$12:$O$95,15,FALSE),0)</f>
        <v>0</v>
      </c>
      <c r="W1402" s="1145" t="str">
        <f>IFERROR(VLOOKUP(CONCATENATE($B1402,$N1402),'LAC 103'!$AI:$AQ,9,FALSE),"")</f>
        <v>Costs</v>
      </c>
      <c r="X1402" s="1146">
        <f t="shared" si="384"/>
        <v>5.936295312319726</v>
      </c>
      <c r="Y1402" s="1143">
        <f t="shared" si="395"/>
        <v>8791.6533575455142</v>
      </c>
      <c r="Z1402" s="1147">
        <f t="shared" si="385"/>
        <v>10870.539999999999</v>
      </c>
      <c r="AA1402" s="1144">
        <f t="shared" si="386"/>
        <v>6797.79</v>
      </c>
      <c r="AB1402" s="1144">
        <f t="shared" si="387"/>
        <v>0</v>
      </c>
      <c r="AC1402" s="1144">
        <f t="shared" si="388"/>
        <v>0</v>
      </c>
      <c r="AD1402" s="1148">
        <f t="shared" si="380"/>
        <v>8791.6533575455142</v>
      </c>
      <c r="AE1402" s="1487">
        <v>0</v>
      </c>
      <c r="AF1402" s="1145">
        <f t="shared" si="389"/>
        <v>8791.6533575455142</v>
      </c>
      <c r="AG1402" s="1149">
        <f>IFERROR(VLOOKUP(CONCATENATE($L1402,$N1402),'Drop List'!$G$23:$K$87,2,FALSE),0)</f>
        <v>0.56200000000000006</v>
      </c>
      <c r="AH1402" s="1150">
        <f>IFERROR(VLOOKUP(CONCATENATE($L1402,$N1402),'Drop List'!$G$23:$K$87,3,FALSE),0)</f>
        <v>0</v>
      </c>
      <c r="AI1402" s="1150">
        <f>IFERROR(VLOOKUP(CONCATENATE($L1402,$N1402),'Drop List'!$G$23:$K$87,4,FALSE),0)</f>
        <v>0</v>
      </c>
      <c r="AJ1402" s="1151">
        <f>IFERROR(VLOOKUP(CONCATENATE($L1402,$N1402),'Drop List'!$G$23:$K$87,5,FALSE),0)</f>
        <v>0.43799999999999994</v>
      </c>
      <c r="AK1402" s="1152">
        <f t="shared" si="390"/>
        <v>4940.9091869405793</v>
      </c>
      <c r="AL1402" s="1153">
        <f t="shared" si="391"/>
        <v>0</v>
      </c>
      <c r="AM1402" s="1153">
        <f t="shared" si="392"/>
        <v>0</v>
      </c>
      <c r="AN1402" s="1145">
        <f t="shared" si="393"/>
        <v>3850.7441706049349</v>
      </c>
      <c r="AO1402" s="1154">
        <f t="shared" si="394"/>
        <v>8791.6533575455142</v>
      </c>
      <c r="AP1402" s="1147">
        <f t="shared" si="381"/>
        <v>0</v>
      </c>
      <c r="AQ1402" s="1144">
        <f t="shared" si="382"/>
        <v>0</v>
      </c>
      <c r="AR1402" s="1146">
        <f t="shared" si="383"/>
        <v>8791.6533575455142</v>
      </c>
    </row>
    <row r="1403" spans="1:44" x14ac:dyDescent="0.2">
      <c r="A1403" s="1141" t="str">
        <f t="shared" si="396"/>
        <v>1562</v>
      </c>
      <c r="B1403" s="1141" t="str">
        <f>IFERROR(VLOOKUP(A1403,'LAC 103'!A:C,3,FALSE),"")</f>
        <v>OP</v>
      </c>
      <c r="C1403" s="1478" t="str">
        <f>Info!$B$8</f>
        <v>00100</v>
      </c>
      <c r="D1403" s="1474" t="s">
        <v>256</v>
      </c>
      <c r="E1403" s="1474" t="s">
        <v>95</v>
      </c>
      <c r="F1403" s="1478" t="s">
        <v>432</v>
      </c>
      <c r="G1403" s="1478" t="s">
        <v>432</v>
      </c>
      <c r="H1403" s="1474" t="s">
        <v>1057</v>
      </c>
      <c r="I1403" s="1478" t="s">
        <v>798</v>
      </c>
      <c r="J1403" s="1478" t="s">
        <v>123</v>
      </c>
      <c r="K1403" s="1475" t="s">
        <v>847</v>
      </c>
      <c r="L1403" s="1474" t="s">
        <v>582</v>
      </c>
      <c r="M1403" s="1476" t="s">
        <v>1699</v>
      </c>
      <c r="N1403" s="1477" t="s">
        <v>1694</v>
      </c>
      <c r="O1403" s="1479">
        <v>2904</v>
      </c>
      <c r="P1403" s="1479"/>
      <c r="Q1403" s="1142">
        <f t="shared" si="379"/>
        <v>2904</v>
      </c>
      <c r="R1403" s="1143">
        <f>IFERROR(VLOOKUP(CONCATENATE(E1403,G1403),'LAC 103'!$A$12:$O$95,11,FALSE),0)</f>
        <v>5.936295312319726</v>
      </c>
      <c r="S1403" s="1144">
        <f>IFERROR(VLOOKUP(CONCATENATE($E1403,$G1403),'LAC 103'!$A$12:$O$95,12,FALSE),0)</f>
        <v>7.34</v>
      </c>
      <c r="T1403" s="1144">
        <f>IFERROR(VLOOKUP(CONCATENATE($E1403,$G1403),'LAC 103'!$A$12:$O$95,13,FALSE),0)</f>
        <v>4.59</v>
      </c>
      <c r="U1403" s="1144">
        <f>IFERROR(VLOOKUP(CONCATENATE($E1403,$G1403),'LAC 103'!$A$12:$O$95,14,FALSE),0)</f>
        <v>0</v>
      </c>
      <c r="V1403" s="1144">
        <f>IFERROR(VLOOKUP(CONCATENATE($E1403,$G1403),'LAC 103'!$A$12:$O$95,15,FALSE),0)</f>
        <v>0</v>
      </c>
      <c r="W1403" s="1145" t="str">
        <f>IFERROR(VLOOKUP(CONCATENATE($B1403,$N1403),'LAC 103'!$AI:$AQ,9,FALSE),"")</f>
        <v>Costs</v>
      </c>
      <c r="X1403" s="1146">
        <f t="shared" si="384"/>
        <v>5.936295312319726</v>
      </c>
      <c r="Y1403" s="1143">
        <f t="shared" si="395"/>
        <v>17239.001586976483</v>
      </c>
      <c r="Z1403" s="1147">
        <f t="shared" si="385"/>
        <v>21315.360000000001</v>
      </c>
      <c r="AA1403" s="1144">
        <f t="shared" si="386"/>
        <v>13329.359999999999</v>
      </c>
      <c r="AB1403" s="1144">
        <f t="shared" si="387"/>
        <v>0</v>
      </c>
      <c r="AC1403" s="1144">
        <f t="shared" si="388"/>
        <v>0</v>
      </c>
      <c r="AD1403" s="1148">
        <f t="shared" si="380"/>
        <v>17239.001586976483</v>
      </c>
      <c r="AE1403" s="1487">
        <v>0</v>
      </c>
      <c r="AF1403" s="1145">
        <f t="shared" si="389"/>
        <v>17239.001586976483</v>
      </c>
      <c r="AG1403" s="1149">
        <f>IFERROR(VLOOKUP(CONCATENATE($L1403,$N1403),'Drop List'!$G$23:$K$87,2,FALSE),0)</f>
        <v>0.56200000000000006</v>
      </c>
      <c r="AH1403" s="1150">
        <f>IFERROR(VLOOKUP(CONCATENATE($L1403,$N1403),'Drop List'!$G$23:$K$87,3,FALSE),0)</f>
        <v>0.43799999999999994</v>
      </c>
      <c r="AI1403" s="1150">
        <f>IFERROR(VLOOKUP(CONCATENATE($L1403,$N1403),'Drop List'!$G$23:$K$87,4,FALSE),0)</f>
        <v>0</v>
      </c>
      <c r="AJ1403" s="1151">
        <f>IFERROR(VLOOKUP(CONCATENATE($L1403,$N1403),'Drop List'!$G$23:$K$87,5,FALSE),0)</f>
        <v>0</v>
      </c>
      <c r="AK1403" s="1152">
        <f t="shared" si="390"/>
        <v>9688.3188918807846</v>
      </c>
      <c r="AL1403" s="1153">
        <f t="shared" si="391"/>
        <v>7550.6826950956984</v>
      </c>
      <c r="AM1403" s="1153">
        <f t="shared" si="392"/>
        <v>0</v>
      </c>
      <c r="AN1403" s="1145">
        <f t="shared" si="393"/>
        <v>0</v>
      </c>
      <c r="AO1403" s="1154">
        <f t="shared" si="394"/>
        <v>17239.001586976483</v>
      </c>
      <c r="AP1403" s="1147">
        <f t="shared" si="381"/>
        <v>0</v>
      </c>
      <c r="AQ1403" s="1144">
        <f t="shared" si="382"/>
        <v>0</v>
      </c>
      <c r="AR1403" s="1146">
        <f t="shared" si="383"/>
        <v>17239.001586976483</v>
      </c>
    </row>
    <row r="1404" spans="1:44" x14ac:dyDescent="0.2">
      <c r="A1404" s="1141" t="str">
        <f t="shared" si="396"/>
        <v>1562</v>
      </c>
      <c r="B1404" s="1141" t="str">
        <f>IFERROR(VLOOKUP(A1404,'LAC 103'!A:C,3,FALSE),"")</f>
        <v>OP</v>
      </c>
      <c r="C1404" s="1478" t="str">
        <f>Info!$B$8</f>
        <v>00100</v>
      </c>
      <c r="D1404" s="1474" t="s">
        <v>256</v>
      </c>
      <c r="E1404" s="1474" t="s">
        <v>95</v>
      </c>
      <c r="F1404" s="1478" t="s">
        <v>432</v>
      </c>
      <c r="G1404" s="1478" t="s">
        <v>432</v>
      </c>
      <c r="H1404" s="1474" t="s">
        <v>1057</v>
      </c>
      <c r="I1404" s="1478" t="s">
        <v>798</v>
      </c>
      <c r="J1404" s="1478"/>
      <c r="K1404" s="1475" t="s">
        <v>847</v>
      </c>
      <c r="L1404" s="1474" t="s">
        <v>582</v>
      </c>
      <c r="M1404" s="1476" t="s">
        <v>841</v>
      </c>
      <c r="N1404" s="1477" t="s">
        <v>1695</v>
      </c>
      <c r="O1404" s="1479">
        <v>650</v>
      </c>
      <c r="P1404" s="1479"/>
      <c r="Q1404" s="1142">
        <f t="shared" ref="Q1404:Q1467" si="397">O1404+P1404</f>
        <v>650</v>
      </c>
      <c r="R1404" s="1143">
        <f>IFERROR(VLOOKUP(CONCATENATE(E1404,G1404),'LAC 103'!$A$12:$O$95,11,FALSE),0)</f>
        <v>5.936295312319726</v>
      </c>
      <c r="S1404" s="1144">
        <f>IFERROR(VLOOKUP(CONCATENATE($E1404,$G1404),'LAC 103'!$A$12:$O$95,12,FALSE),0)</f>
        <v>7.34</v>
      </c>
      <c r="T1404" s="1144">
        <f>IFERROR(VLOOKUP(CONCATENATE($E1404,$G1404),'LAC 103'!$A$12:$O$95,13,FALSE),0)</f>
        <v>4.59</v>
      </c>
      <c r="U1404" s="1144">
        <f>IFERROR(VLOOKUP(CONCATENATE($E1404,$G1404),'LAC 103'!$A$12:$O$95,14,FALSE),0)</f>
        <v>0</v>
      </c>
      <c r="V1404" s="1144">
        <f>IFERROR(VLOOKUP(CONCATENATE($E1404,$G1404),'LAC 103'!$A$12:$O$95,15,FALSE),0)</f>
        <v>0</v>
      </c>
      <c r="W1404" s="1145" t="str">
        <f>IFERROR(VLOOKUP(CONCATENATE($B1404,$N1404),'LAC 103'!$AI:$AQ,9,FALSE),"")</f>
        <v>Costs</v>
      </c>
      <c r="X1404" s="1146">
        <f t="shared" si="384"/>
        <v>5.936295312319726</v>
      </c>
      <c r="Y1404" s="1143">
        <f t="shared" si="395"/>
        <v>3858.5919530078218</v>
      </c>
      <c r="Z1404" s="1147">
        <f t="shared" si="385"/>
        <v>4771</v>
      </c>
      <c r="AA1404" s="1144">
        <f t="shared" si="386"/>
        <v>2983.5</v>
      </c>
      <c r="AB1404" s="1144">
        <f t="shared" si="387"/>
        <v>0</v>
      </c>
      <c r="AC1404" s="1144">
        <f t="shared" si="388"/>
        <v>0</v>
      </c>
      <c r="AD1404" s="1148">
        <f t="shared" si="380"/>
        <v>3858.5919530078218</v>
      </c>
      <c r="AE1404" s="1487">
        <v>0</v>
      </c>
      <c r="AF1404" s="1145">
        <f t="shared" si="389"/>
        <v>3858.5919530078218</v>
      </c>
      <c r="AG1404" s="1149">
        <f>IFERROR(VLOOKUP(CONCATENATE($L1404,$N1404),'Drop List'!$G$23:$K$87,2,FALSE),0)</f>
        <v>0.55000000000000004</v>
      </c>
      <c r="AH1404" s="1150">
        <f>IFERROR(VLOOKUP(CONCATENATE($L1404,$N1404),'Drop List'!$G$23:$K$87,3,FALSE),0)</f>
        <v>0.44999999999999996</v>
      </c>
      <c r="AI1404" s="1150">
        <f>IFERROR(VLOOKUP(CONCATENATE($L1404,$N1404),'Drop List'!$G$23:$K$87,4,FALSE),0)</f>
        <v>0</v>
      </c>
      <c r="AJ1404" s="1151">
        <f>IFERROR(VLOOKUP(CONCATENATE($L1404,$N1404),'Drop List'!$G$23:$K$87,5,FALSE),0)</f>
        <v>0</v>
      </c>
      <c r="AK1404" s="1152">
        <f t="shared" si="390"/>
        <v>2122.2255741543022</v>
      </c>
      <c r="AL1404" s="1153">
        <f t="shared" si="391"/>
        <v>1736.3663788535196</v>
      </c>
      <c r="AM1404" s="1153">
        <f t="shared" si="392"/>
        <v>0</v>
      </c>
      <c r="AN1404" s="1145">
        <f t="shared" si="393"/>
        <v>0</v>
      </c>
      <c r="AO1404" s="1154">
        <f t="shared" si="394"/>
        <v>3858.5919530078218</v>
      </c>
      <c r="AP1404" s="1147">
        <f t="shared" si="381"/>
        <v>0</v>
      </c>
      <c r="AQ1404" s="1144">
        <f t="shared" si="382"/>
        <v>0</v>
      </c>
      <c r="AR1404" s="1146">
        <f t="shared" si="383"/>
        <v>3858.5919530078218</v>
      </c>
    </row>
    <row r="1405" spans="1:44" x14ac:dyDescent="0.2">
      <c r="A1405" s="1141" t="str">
        <f t="shared" si="396"/>
        <v>1562</v>
      </c>
      <c r="B1405" s="1141" t="str">
        <f>IFERROR(VLOOKUP(A1405,'LAC 103'!A:C,3,FALSE),"")</f>
        <v>OP</v>
      </c>
      <c r="C1405" s="1478" t="str">
        <f>Info!$B$8</f>
        <v>00100</v>
      </c>
      <c r="D1405" s="1474" t="s">
        <v>256</v>
      </c>
      <c r="E1405" s="1474" t="s">
        <v>95</v>
      </c>
      <c r="F1405" s="1478" t="s">
        <v>432</v>
      </c>
      <c r="G1405" s="1478" t="s">
        <v>432</v>
      </c>
      <c r="H1405" s="1474" t="s">
        <v>1057</v>
      </c>
      <c r="I1405" s="1478" t="s">
        <v>798</v>
      </c>
      <c r="J1405" s="1478"/>
      <c r="K1405" s="1475" t="s">
        <v>847</v>
      </c>
      <c r="L1405" s="1474" t="s">
        <v>582</v>
      </c>
      <c r="M1405" s="1476" t="s">
        <v>840</v>
      </c>
      <c r="N1405" s="1477" t="s">
        <v>1700</v>
      </c>
      <c r="O1405" s="1479">
        <v>1336</v>
      </c>
      <c r="P1405" s="1479"/>
      <c r="Q1405" s="1142">
        <f t="shared" si="397"/>
        <v>1336</v>
      </c>
      <c r="R1405" s="1143">
        <f>IFERROR(VLOOKUP(CONCATENATE(E1405,G1405),'LAC 103'!$A$12:$O$95,11,FALSE),0)</f>
        <v>5.936295312319726</v>
      </c>
      <c r="S1405" s="1144">
        <f>IFERROR(VLOOKUP(CONCATENATE($E1405,$G1405),'LAC 103'!$A$12:$O$95,12,FALSE),0)</f>
        <v>7.34</v>
      </c>
      <c r="T1405" s="1144">
        <f>IFERROR(VLOOKUP(CONCATENATE($E1405,$G1405),'LAC 103'!$A$12:$O$95,13,FALSE),0)</f>
        <v>4.59</v>
      </c>
      <c r="U1405" s="1144">
        <f>IFERROR(VLOOKUP(CONCATENATE($E1405,$G1405),'LAC 103'!$A$12:$O$95,14,FALSE),0)</f>
        <v>0</v>
      </c>
      <c r="V1405" s="1144">
        <f>IFERROR(VLOOKUP(CONCATENATE($E1405,$G1405),'LAC 103'!$A$12:$O$95,15,FALSE),0)</f>
        <v>0</v>
      </c>
      <c r="W1405" s="1145" t="str">
        <f>IFERROR(VLOOKUP(CONCATENATE($B1405,$N1405),'LAC 103'!$AI:$AQ,9,FALSE),"")</f>
        <v>P.C.</v>
      </c>
      <c r="X1405" s="1146">
        <f t="shared" si="384"/>
        <v>4.59</v>
      </c>
      <c r="Y1405" s="1143">
        <f t="shared" si="395"/>
        <v>7930.8905372591535</v>
      </c>
      <c r="Z1405" s="1147">
        <f t="shared" si="385"/>
        <v>9806.24</v>
      </c>
      <c r="AA1405" s="1144">
        <f t="shared" si="386"/>
        <v>6132.24</v>
      </c>
      <c r="AB1405" s="1144">
        <f t="shared" si="387"/>
        <v>0</v>
      </c>
      <c r="AC1405" s="1144">
        <f t="shared" si="388"/>
        <v>0</v>
      </c>
      <c r="AD1405" s="1148">
        <f t="shared" si="380"/>
        <v>6132.24</v>
      </c>
      <c r="AE1405" s="1487">
        <v>0</v>
      </c>
      <c r="AF1405" s="1145">
        <f t="shared" si="389"/>
        <v>6132.24</v>
      </c>
      <c r="AG1405" s="1149">
        <f>IFERROR(VLOOKUP(CONCATENATE($L1405,$N1405),'Drop List'!$G$23:$K$87,2,FALSE),0)</f>
        <v>0.55000000000000004</v>
      </c>
      <c r="AH1405" s="1150">
        <f>IFERROR(VLOOKUP(CONCATENATE($L1405,$N1405),'Drop List'!$G$23:$K$87,3,FALSE),0)</f>
        <v>0.44999999999999996</v>
      </c>
      <c r="AI1405" s="1150">
        <f>IFERROR(VLOOKUP(CONCATENATE($L1405,$N1405),'Drop List'!$G$23:$K$87,4,FALSE),0)</f>
        <v>0</v>
      </c>
      <c r="AJ1405" s="1151">
        <f>IFERROR(VLOOKUP(CONCATENATE($L1405,$N1405),'Drop List'!$G$23:$K$87,5,FALSE),0)</f>
        <v>0</v>
      </c>
      <c r="AK1405" s="1152">
        <f t="shared" si="390"/>
        <v>3372.732</v>
      </c>
      <c r="AL1405" s="1153">
        <f t="shared" si="391"/>
        <v>2759.5079999999998</v>
      </c>
      <c r="AM1405" s="1153">
        <f t="shared" si="392"/>
        <v>0</v>
      </c>
      <c r="AN1405" s="1145">
        <f t="shared" si="393"/>
        <v>0</v>
      </c>
      <c r="AO1405" s="1154">
        <f t="shared" si="394"/>
        <v>6132.24</v>
      </c>
      <c r="AP1405" s="1147">
        <f t="shared" si="381"/>
        <v>0</v>
      </c>
      <c r="AQ1405" s="1144">
        <f t="shared" si="382"/>
        <v>0</v>
      </c>
      <c r="AR1405" s="1146">
        <f t="shared" si="383"/>
        <v>6132.24</v>
      </c>
    </row>
    <row r="1406" spans="1:44" x14ac:dyDescent="0.2">
      <c r="A1406" s="1141" t="str">
        <f t="shared" si="396"/>
        <v>1562</v>
      </c>
      <c r="B1406" s="1141" t="str">
        <f>IFERROR(VLOOKUP(A1406,'LAC 103'!A:C,3,FALSE),"")</f>
        <v>OP</v>
      </c>
      <c r="C1406" s="1478" t="str">
        <f>Info!$B$8</f>
        <v>00100</v>
      </c>
      <c r="D1406" s="1474" t="s">
        <v>256</v>
      </c>
      <c r="E1406" s="1474" t="s">
        <v>95</v>
      </c>
      <c r="F1406" s="1478" t="s">
        <v>432</v>
      </c>
      <c r="G1406" s="1478" t="s">
        <v>432</v>
      </c>
      <c r="H1406" s="1474" t="s">
        <v>1057</v>
      </c>
      <c r="I1406" s="1478" t="s">
        <v>798</v>
      </c>
      <c r="J1406" s="1478"/>
      <c r="K1406" s="1475" t="s">
        <v>847</v>
      </c>
      <c r="L1406" s="1474" t="s">
        <v>582</v>
      </c>
      <c r="M1406" s="1476" t="s">
        <v>842</v>
      </c>
      <c r="N1406" s="1477" t="s">
        <v>1692</v>
      </c>
      <c r="O1406" s="1479">
        <v>2978</v>
      </c>
      <c r="P1406" s="1479"/>
      <c r="Q1406" s="1142">
        <f t="shared" si="397"/>
        <v>2978</v>
      </c>
      <c r="R1406" s="1143">
        <f>IFERROR(VLOOKUP(CONCATENATE(E1406,G1406),'LAC 103'!$A$12:$O$95,11,FALSE),0)</f>
        <v>5.936295312319726</v>
      </c>
      <c r="S1406" s="1144">
        <f>IFERROR(VLOOKUP(CONCATENATE($E1406,$G1406),'LAC 103'!$A$12:$O$95,12,FALSE),0)</f>
        <v>7.34</v>
      </c>
      <c r="T1406" s="1144">
        <f>IFERROR(VLOOKUP(CONCATENATE($E1406,$G1406),'LAC 103'!$A$12:$O$95,13,FALSE),0)</f>
        <v>4.59</v>
      </c>
      <c r="U1406" s="1144">
        <f>IFERROR(VLOOKUP(CONCATENATE($E1406,$G1406),'LAC 103'!$A$12:$O$95,14,FALSE),0)</f>
        <v>0</v>
      </c>
      <c r="V1406" s="1144">
        <f>IFERROR(VLOOKUP(CONCATENATE($E1406,$G1406),'LAC 103'!$A$12:$O$95,15,FALSE),0)</f>
        <v>0</v>
      </c>
      <c r="W1406" s="1145" t="str">
        <f>IFERROR(VLOOKUP(CONCATENATE($B1406,$N1406),'LAC 103'!$AI:$AQ,9,FALSE),"")</f>
        <v>Costs</v>
      </c>
      <c r="X1406" s="1146">
        <f t="shared" si="384"/>
        <v>5.936295312319726</v>
      </c>
      <c r="Y1406" s="1143">
        <f t="shared" si="395"/>
        <v>17678.287440088145</v>
      </c>
      <c r="Z1406" s="1147">
        <f t="shared" si="385"/>
        <v>21858.52</v>
      </c>
      <c r="AA1406" s="1144">
        <f t="shared" si="386"/>
        <v>13669.02</v>
      </c>
      <c r="AB1406" s="1144">
        <f t="shared" si="387"/>
        <v>0</v>
      </c>
      <c r="AC1406" s="1144">
        <f t="shared" si="388"/>
        <v>0</v>
      </c>
      <c r="AD1406" s="1148">
        <f t="shared" si="380"/>
        <v>17678.287440088145</v>
      </c>
      <c r="AE1406" s="1487">
        <v>0</v>
      </c>
      <c r="AF1406" s="1145">
        <f t="shared" si="389"/>
        <v>17678.287440088145</v>
      </c>
      <c r="AG1406" s="1149">
        <f>IFERROR(VLOOKUP(CONCATENATE($L1406,$N1406),'Drop List'!$G$23:$K$87,2,FALSE),0)</f>
        <v>0.56200000000000006</v>
      </c>
      <c r="AH1406" s="1150">
        <f>IFERROR(VLOOKUP(CONCATENATE($L1406,$N1406),'Drop List'!$G$23:$K$87,3,FALSE),0)</f>
        <v>0.43799999999999994</v>
      </c>
      <c r="AI1406" s="1150">
        <f>IFERROR(VLOOKUP(CONCATENATE($L1406,$N1406),'Drop List'!$G$23:$K$87,4,FALSE),0)</f>
        <v>0</v>
      </c>
      <c r="AJ1406" s="1151">
        <f>IFERROR(VLOOKUP(CONCATENATE($L1406,$N1406),'Drop List'!$G$23:$K$87,5,FALSE),0)</f>
        <v>0</v>
      </c>
      <c r="AK1406" s="1152">
        <f t="shared" si="390"/>
        <v>9935.1975413295386</v>
      </c>
      <c r="AL1406" s="1153">
        <f t="shared" si="391"/>
        <v>7743.0898987586061</v>
      </c>
      <c r="AM1406" s="1153">
        <f t="shared" si="392"/>
        <v>0</v>
      </c>
      <c r="AN1406" s="1145">
        <f t="shared" si="393"/>
        <v>0</v>
      </c>
      <c r="AO1406" s="1154">
        <f t="shared" si="394"/>
        <v>17678.287440088145</v>
      </c>
      <c r="AP1406" s="1147">
        <f t="shared" si="381"/>
        <v>0</v>
      </c>
      <c r="AQ1406" s="1144">
        <f t="shared" si="382"/>
        <v>0</v>
      </c>
      <c r="AR1406" s="1146">
        <f t="shared" si="383"/>
        <v>17678.287440088145</v>
      </c>
    </row>
    <row r="1407" spans="1:44" x14ac:dyDescent="0.2">
      <c r="A1407" s="1141" t="str">
        <f t="shared" si="396"/>
        <v>1562</v>
      </c>
      <c r="B1407" s="1141" t="str">
        <f>IFERROR(VLOOKUP(A1407,'LAC 103'!A:C,3,FALSE),"")</f>
        <v>OP</v>
      </c>
      <c r="C1407" s="1478" t="str">
        <f>Info!$B$8</f>
        <v>00100</v>
      </c>
      <c r="D1407" s="1474" t="s">
        <v>256</v>
      </c>
      <c r="E1407" s="1474" t="s">
        <v>95</v>
      </c>
      <c r="F1407" s="1478" t="s">
        <v>432</v>
      </c>
      <c r="G1407" s="1478" t="s">
        <v>432</v>
      </c>
      <c r="H1407" s="1474" t="s">
        <v>1057</v>
      </c>
      <c r="I1407" s="1478" t="s">
        <v>798</v>
      </c>
      <c r="J1407" s="1478"/>
      <c r="K1407" s="1475" t="s">
        <v>847</v>
      </c>
      <c r="L1407" s="1474" t="s">
        <v>582</v>
      </c>
      <c r="M1407" s="1476" t="s">
        <v>1698</v>
      </c>
      <c r="N1407" s="1477" t="s">
        <v>1693</v>
      </c>
      <c r="O1407" s="1479">
        <v>2732</v>
      </c>
      <c r="P1407" s="1479"/>
      <c r="Q1407" s="1142">
        <f t="shared" si="397"/>
        <v>2732</v>
      </c>
      <c r="R1407" s="1143">
        <f>IFERROR(VLOOKUP(CONCATENATE(E1407,G1407),'LAC 103'!$A$12:$O$95,11,FALSE),0)</f>
        <v>5.936295312319726</v>
      </c>
      <c r="S1407" s="1144">
        <f>IFERROR(VLOOKUP(CONCATENATE($E1407,$G1407),'LAC 103'!$A$12:$O$95,12,FALSE),0)</f>
        <v>7.34</v>
      </c>
      <c r="T1407" s="1144">
        <f>IFERROR(VLOOKUP(CONCATENATE($E1407,$G1407),'LAC 103'!$A$12:$O$95,13,FALSE),0)</f>
        <v>4.59</v>
      </c>
      <c r="U1407" s="1144">
        <f>IFERROR(VLOOKUP(CONCATENATE($E1407,$G1407),'LAC 103'!$A$12:$O$95,14,FALSE),0)</f>
        <v>0</v>
      </c>
      <c r="V1407" s="1144">
        <f>IFERROR(VLOOKUP(CONCATENATE($E1407,$G1407),'LAC 103'!$A$12:$O$95,15,FALSE),0)</f>
        <v>0</v>
      </c>
      <c r="W1407" s="1145" t="str">
        <f>IFERROR(VLOOKUP(CONCATENATE($B1407,$N1407),'LAC 103'!$AI:$AQ,9,FALSE),"")</f>
        <v>Costs</v>
      </c>
      <c r="X1407" s="1146">
        <f t="shared" si="384"/>
        <v>5.936295312319726</v>
      </c>
      <c r="Y1407" s="1143">
        <f t="shared" si="395"/>
        <v>16217.95879325749</v>
      </c>
      <c r="Z1407" s="1147">
        <f t="shared" si="385"/>
        <v>20052.88</v>
      </c>
      <c r="AA1407" s="1144">
        <f t="shared" si="386"/>
        <v>12539.88</v>
      </c>
      <c r="AB1407" s="1144">
        <f t="shared" si="387"/>
        <v>0</v>
      </c>
      <c r="AC1407" s="1144">
        <f t="shared" si="388"/>
        <v>0</v>
      </c>
      <c r="AD1407" s="1148">
        <f t="shared" si="380"/>
        <v>16217.95879325749</v>
      </c>
      <c r="AE1407" s="1487">
        <v>0</v>
      </c>
      <c r="AF1407" s="1145">
        <f t="shared" si="389"/>
        <v>16217.95879325749</v>
      </c>
      <c r="AG1407" s="1149">
        <f>IFERROR(VLOOKUP(CONCATENATE($L1407,$N1407),'Drop List'!$G$23:$K$87,2,FALSE),0)</f>
        <v>0.56200000000000006</v>
      </c>
      <c r="AH1407" s="1150">
        <f>IFERROR(VLOOKUP(CONCATENATE($L1407,$N1407),'Drop List'!$G$23:$K$87,3,FALSE),0)</f>
        <v>0.43799999999999994</v>
      </c>
      <c r="AI1407" s="1150">
        <f>IFERROR(VLOOKUP(CONCATENATE($L1407,$N1407),'Drop List'!$G$23:$K$87,4,FALSE),0)</f>
        <v>0</v>
      </c>
      <c r="AJ1407" s="1151">
        <f>IFERROR(VLOOKUP(CONCATENATE($L1407,$N1407),'Drop List'!$G$23:$K$87,5,FALSE),0)</f>
        <v>0</v>
      </c>
      <c r="AK1407" s="1152">
        <f t="shared" si="390"/>
        <v>9114.4928418107102</v>
      </c>
      <c r="AL1407" s="1153">
        <f t="shared" si="391"/>
        <v>7103.4659514467803</v>
      </c>
      <c r="AM1407" s="1153">
        <f t="shared" si="392"/>
        <v>0</v>
      </c>
      <c r="AN1407" s="1145">
        <f t="shared" si="393"/>
        <v>0</v>
      </c>
      <c r="AO1407" s="1154">
        <f t="shared" si="394"/>
        <v>16217.95879325749</v>
      </c>
      <c r="AP1407" s="1147">
        <f t="shared" si="381"/>
        <v>0</v>
      </c>
      <c r="AQ1407" s="1144">
        <f t="shared" si="382"/>
        <v>0</v>
      </c>
      <c r="AR1407" s="1146">
        <f t="shared" si="383"/>
        <v>16217.95879325749</v>
      </c>
    </row>
    <row r="1408" spans="1:44" x14ac:dyDescent="0.2">
      <c r="A1408" s="1141" t="str">
        <f t="shared" si="396"/>
        <v>1562</v>
      </c>
      <c r="B1408" s="1141" t="str">
        <f>IFERROR(VLOOKUP(A1408,'LAC 103'!A:C,3,FALSE),"")</f>
        <v>OP</v>
      </c>
      <c r="C1408" s="1478" t="str">
        <f>Info!$B$8</f>
        <v>00100</v>
      </c>
      <c r="D1408" s="1474" t="s">
        <v>256</v>
      </c>
      <c r="E1408" s="1474" t="s">
        <v>95</v>
      </c>
      <c r="F1408" s="1478" t="s">
        <v>432</v>
      </c>
      <c r="G1408" s="1478" t="s">
        <v>432</v>
      </c>
      <c r="H1408" s="1474" t="s">
        <v>1057</v>
      </c>
      <c r="I1408" s="1478" t="s">
        <v>798</v>
      </c>
      <c r="J1408" s="1478"/>
      <c r="K1408" s="1475" t="s">
        <v>971</v>
      </c>
      <c r="L1408" s="1474" t="s">
        <v>332</v>
      </c>
      <c r="M1408" s="1476" t="s">
        <v>1699</v>
      </c>
      <c r="N1408" s="1477" t="s">
        <v>1694</v>
      </c>
      <c r="O1408" s="1479">
        <v>30</v>
      </c>
      <c r="P1408" s="1479"/>
      <c r="Q1408" s="1142">
        <f t="shared" si="397"/>
        <v>30</v>
      </c>
      <c r="R1408" s="1143">
        <f>IFERROR(VLOOKUP(CONCATENATE(E1408,G1408),'LAC 103'!$A$12:$O$95,11,FALSE),0)</f>
        <v>5.936295312319726</v>
      </c>
      <c r="S1408" s="1144">
        <f>IFERROR(VLOOKUP(CONCATENATE($E1408,$G1408),'LAC 103'!$A$12:$O$95,12,FALSE),0)</f>
        <v>7.34</v>
      </c>
      <c r="T1408" s="1144">
        <f>IFERROR(VLOOKUP(CONCATENATE($E1408,$G1408),'LAC 103'!$A$12:$O$95,13,FALSE),0)</f>
        <v>4.59</v>
      </c>
      <c r="U1408" s="1144">
        <f>IFERROR(VLOOKUP(CONCATENATE($E1408,$G1408),'LAC 103'!$A$12:$O$95,14,FALSE),0)</f>
        <v>0</v>
      </c>
      <c r="V1408" s="1144">
        <f>IFERROR(VLOOKUP(CONCATENATE($E1408,$G1408),'LAC 103'!$A$12:$O$95,15,FALSE),0)</f>
        <v>0</v>
      </c>
      <c r="W1408" s="1145" t="str">
        <f>IFERROR(VLOOKUP(CONCATENATE($B1408,$N1408),'LAC 103'!$AI:$AQ,9,FALSE),"")</f>
        <v>Costs</v>
      </c>
      <c r="X1408" s="1146">
        <f t="shared" si="384"/>
        <v>5.936295312319726</v>
      </c>
      <c r="Y1408" s="1143">
        <f t="shared" si="395"/>
        <v>178.08885936959177</v>
      </c>
      <c r="Z1408" s="1147">
        <f t="shared" si="385"/>
        <v>220.2</v>
      </c>
      <c r="AA1408" s="1144">
        <f t="shared" si="386"/>
        <v>137.69999999999999</v>
      </c>
      <c r="AB1408" s="1144">
        <f t="shared" si="387"/>
        <v>0</v>
      </c>
      <c r="AC1408" s="1144">
        <f t="shared" si="388"/>
        <v>0</v>
      </c>
      <c r="AD1408" s="1148">
        <f t="shared" si="380"/>
        <v>178.08885936959177</v>
      </c>
      <c r="AE1408" s="1487">
        <v>0</v>
      </c>
      <c r="AF1408" s="1145">
        <f t="shared" si="389"/>
        <v>178.08885936959177</v>
      </c>
      <c r="AG1408" s="1149">
        <f>IFERROR(VLOOKUP(CONCATENATE($L1408,$N1408),'Drop List'!$G$23:$K$87,2,FALSE),0)</f>
        <v>0</v>
      </c>
      <c r="AH1408" s="1150">
        <f>IFERROR(VLOOKUP(CONCATENATE($L1408,$N1408),'Drop List'!$G$23:$K$87,3,FALSE),0)</f>
        <v>0</v>
      </c>
      <c r="AI1408" s="1150">
        <f>IFERROR(VLOOKUP(CONCATENATE($L1408,$N1408),'Drop List'!$G$23:$K$87,4,FALSE),0)</f>
        <v>0</v>
      </c>
      <c r="AJ1408" s="1151">
        <f>IFERROR(VLOOKUP(CONCATENATE($L1408,$N1408),'Drop List'!$G$23:$K$87,5,FALSE),0)</f>
        <v>0</v>
      </c>
      <c r="AK1408" s="1152">
        <f t="shared" si="390"/>
        <v>0</v>
      </c>
      <c r="AL1408" s="1153">
        <f t="shared" si="391"/>
        <v>0</v>
      </c>
      <c r="AM1408" s="1153">
        <f t="shared" si="392"/>
        <v>0</v>
      </c>
      <c r="AN1408" s="1145">
        <f t="shared" si="393"/>
        <v>0</v>
      </c>
      <c r="AO1408" s="1154">
        <f t="shared" si="394"/>
        <v>0</v>
      </c>
      <c r="AP1408" s="1147">
        <f t="shared" si="381"/>
        <v>178.08885936959177</v>
      </c>
      <c r="AQ1408" s="1144">
        <f t="shared" si="382"/>
        <v>0</v>
      </c>
      <c r="AR1408" s="1146">
        <f t="shared" si="383"/>
        <v>178.08885936959177</v>
      </c>
    </row>
    <row r="1409" spans="1:44" x14ac:dyDescent="0.2">
      <c r="A1409" s="1141" t="str">
        <f t="shared" si="396"/>
        <v>1563</v>
      </c>
      <c r="B1409" s="1141" t="str">
        <f>IFERROR(VLOOKUP(A1409,'LAC 103'!A:C,3,FALSE),"")</f>
        <v>OP</v>
      </c>
      <c r="C1409" s="1478" t="str">
        <f>Info!$B$8</f>
        <v>00100</v>
      </c>
      <c r="D1409" s="1474" t="s">
        <v>256</v>
      </c>
      <c r="E1409" s="1474" t="s">
        <v>95</v>
      </c>
      <c r="F1409" s="1478" t="s">
        <v>434</v>
      </c>
      <c r="G1409" s="1478" t="s">
        <v>434</v>
      </c>
      <c r="H1409" s="1474" t="s">
        <v>996</v>
      </c>
      <c r="I1409" s="1478" t="s">
        <v>912</v>
      </c>
      <c r="J1409" s="1478" t="s">
        <v>123</v>
      </c>
      <c r="K1409" s="1475" t="s">
        <v>846</v>
      </c>
      <c r="L1409" s="1474" t="s">
        <v>332</v>
      </c>
      <c r="M1409" s="1476" t="s">
        <v>1699</v>
      </c>
      <c r="N1409" s="1477" t="s">
        <v>1694</v>
      </c>
      <c r="O1409" s="1479">
        <v>234</v>
      </c>
      <c r="P1409" s="1479"/>
      <c r="Q1409" s="1142">
        <f t="shared" si="397"/>
        <v>234</v>
      </c>
      <c r="R1409" s="1143">
        <f>IFERROR(VLOOKUP(CONCATENATE(E1409,G1409),'LAC 103'!$A$12:$O$95,11,FALSE),0)</f>
        <v>5.936295312319726</v>
      </c>
      <c r="S1409" s="1144">
        <f>IFERROR(VLOOKUP(CONCATENATE($E1409,$G1409),'LAC 103'!$A$12:$O$95,12,FALSE),0)</f>
        <v>7.34</v>
      </c>
      <c r="T1409" s="1144">
        <f>IFERROR(VLOOKUP(CONCATENATE($E1409,$G1409),'LAC 103'!$A$12:$O$95,13,FALSE),0)</f>
        <v>4.59</v>
      </c>
      <c r="U1409" s="1144">
        <f>IFERROR(VLOOKUP(CONCATENATE($E1409,$G1409),'LAC 103'!$A$12:$O$95,14,FALSE),0)</f>
        <v>0</v>
      </c>
      <c r="V1409" s="1144">
        <f>IFERROR(VLOOKUP(CONCATENATE($E1409,$G1409),'LAC 103'!$A$12:$O$95,15,FALSE),0)</f>
        <v>0</v>
      </c>
      <c r="W1409" s="1145" t="str">
        <f>IFERROR(VLOOKUP(CONCATENATE($B1409,$N1409),'LAC 103'!$AI:$AQ,9,FALSE),"")</f>
        <v>Costs</v>
      </c>
      <c r="X1409" s="1146">
        <f t="shared" si="384"/>
        <v>5.936295312319726</v>
      </c>
      <c r="Y1409" s="1143">
        <f t="shared" si="395"/>
        <v>1389.0931030828158</v>
      </c>
      <c r="Z1409" s="1147">
        <f t="shared" si="385"/>
        <v>1717.56</v>
      </c>
      <c r="AA1409" s="1144">
        <f t="shared" si="386"/>
        <v>1074.06</v>
      </c>
      <c r="AB1409" s="1144">
        <f t="shared" si="387"/>
        <v>0</v>
      </c>
      <c r="AC1409" s="1144">
        <f t="shared" si="388"/>
        <v>0</v>
      </c>
      <c r="AD1409" s="1148">
        <f t="shared" si="380"/>
        <v>1389.0931030828158</v>
      </c>
      <c r="AE1409" s="1487">
        <v>0</v>
      </c>
      <c r="AF1409" s="1145">
        <f t="shared" si="389"/>
        <v>1389.0931030828158</v>
      </c>
      <c r="AG1409" s="1149">
        <f>IFERROR(VLOOKUP(CONCATENATE($L1409,$N1409),'Drop List'!$G$23:$K$87,2,FALSE),0)</f>
        <v>0</v>
      </c>
      <c r="AH1409" s="1150">
        <f>IFERROR(VLOOKUP(CONCATENATE($L1409,$N1409),'Drop List'!$G$23:$K$87,3,FALSE),0)</f>
        <v>0</v>
      </c>
      <c r="AI1409" s="1150">
        <f>IFERROR(VLOOKUP(CONCATENATE($L1409,$N1409),'Drop List'!$G$23:$K$87,4,FALSE),0)</f>
        <v>0</v>
      </c>
      <c r="AJ1409" s="1151">
        <f>IFERROR(VLOOKUP(CONCATENATE($L1409,$N1409),'Drop List'!$G$23:$K$87,5,FALSE),0)</f>
        <v>0</v>
      </c>
      <c r="AK1409" s="1152">
        <f t="shared" si="390"/>
        <v>0</v>
      </c>
      <c r="AL1409" s="1153">
        <f t="shared" si="391"/>
        <v>0</v>
      </c>
      <c r="AM1409" s="1153">
        <f t="shared" si="392"/>
        <v>0</v>
      </c>
      <c r="AN1409" s="1145">
        <f t="shared" si="393"/>
        <v>0</v>
      </c>
      <c r="AO1409" s="1154">
        <f t="shared" si="394"/>
        <v>0</v>
      </c>
      <c r="AP1409" s="1147">
        <f t="shared" si="381"/>
        <v>1389.0931030828158</v>
      </c>
      <c r="AQ1409" s="1144">
        <f t="shared" si="382"/>
        <v>0</v>
      </c>
      <c r="AR1409" s="1146">
        <f t="shared" si="383"/>
        <v>1389.0931030828158</v>
      </c>
    </row>
    <row r="1410" spans="1:44" x14ac:dyDescent="0.2">
      <c r="A1410" s="1141" t="str">
        <f t="shared" si="396"/>
        <v>1563</v>
      </c>
      <c r="B1410" s="1141" t="str">
        <f>IFERROR(VLOOKUP(A1410,'LAC 103'!A:C,3,FALSE),"")</f>
        <v>OP</v>
      </c>
      <c r="C1410" s="1478" t="str">
        <f>Info!$B$8</f>
        <v>00100</v>
      </c>
      <c r="D1410" s="1474" t="s">
        <v>256</v>
      </c>
      <c r="E1410" s="1474" t="s">
        <v>95</v>
      </c>
      <c r="F1410" s="1478" t="s">
        <v>434</v>
      </c>
      <c r="G1410" s="1478" t="s">
        <v>434</v>
      </c>
      <c r="H1410" s="1474" t="s">
        <v>996</v>
      </c>
      <c r="I1410" s="1478" t="s">
        <v>912</v>
      </c>
      <c r="J1410" s="1478"/>
      <c r="K1410" s="1475" t="s">
        <v>846</v>
      </c>
      <c r="L1410" s="1474" t="s">
        <v>332</v>
      </c>
      <c r="M1410" s="1476" t="s">
        <v>841</v>
      </c>
      <c r="N1410" s="1477" t="s">
        <v>1695</v>
      </c>
      <c r="O1410" s="1479">
        <v>130</v>
      </c>
      <c r="P1410" s="1479"/>
      <c r="Q1410" s="1142">
        <f t="shared" si="397"/>
        <v>130</v>
      </c>
      <c r="R1410" s="1143">
        <f>IFERROR(VLOOKUP(CONCATENATE(E1410,G1410),'LAC 103'!$A$12:$O$95,11,FALSE),0)</f>
        <v>5.936295312319726</v>
      </c>
      <c r="S1410" s="1144">
        <f>IFERROR(VLOOKUP(CONCATENATE($E1410,$G1410),'LAC 103'!$A$12:$O$95,12,FALSE),0)</f>
        <v>7.34</v>
      </c>
      <c r="T1410" s="1144">
        <f>IFERROR(VLOOKUP(CONCATENATE($E1410,$G1410),'LAC 103'!$A$12:$O$95,13,FALSE),0)</f>
        <v>4.59</v>
      </c>
      <c r="U1410" s="1144">
        <f>IFERROR(VLOOKUP(CONCATENATE($E1410,$G1410),'LAC 103'!$A$12:$O$95,14,FALSE),0)</f>
        <v>0</v>
      </c>
      <c r="V1410" s="1144">
        <f>IFERROR(VLOOKUP(CONCATENATE($E1410,$G1410),'LAC 103'!$A$12:$O$95,15,FALSE),0)</f>
        <v>0</v>
      </c>
      <c r="W1410" s="1145" t="str">
        <f>IFERROR(VLOOKUP(CONCATENATE($B1410,$N1410),'LAC 103'!$AI:$AQ,9,FALSE),"")</f>
        <v>Costs</v>
      </c>
      <c r="X1410" s="1146">
        <f t="shared" si="384"/>
        <v>5.936295312319726</v>
      </c>
      <c r="Y1410" s="1143">
        <f t="shared" si="395"/>
        <v>771.71839060156435</v>
      </c>
      <c r="Z1410" s="1147">
        <f t="shared" si="385"/>
        <v>954.19999999999993</v>
      </c>
      <c r="AA1410" s="1144">
        <f t="shared" si="386"/>
        <v>596.69999999999993</v>
      </c>
      <c r="AB1410" s="1144">
        <f t="shared" si="387"/>
        <v>0</v>
      </c>
      <c r="AC1410" s="1144">
        <f t="shared" si="388"/>
        <v>0</v>
      </c>
      <c r="AD1410" s="1148">
        <f t="shared" si="380"/>
        <v>771.71839060156435</v>
      </c>
      <c r="AE1410" s="1487">
        <v>0</v>
      </c>
      <c r="AF1410" s="1145">
        <f t="shared" si="389"/>
        <v>771.71839060156435</v>
      </c>
      <c r="AG1410" s="1149">
        <f>IFERROR(VLOOKUP(CONCATENATE($L1410,$N1410),'Drop List'!$G$23:$K$87,2,FALSE),0)</f>
        <v>0</v>
      </c>
      <c r="AH1410" s="1150">
        <f>IFERROR(VLOOKUP(CONCATENATE($L1410,$N1410),'Drop List'!$G$23:$K$87,3,FALSE),0)</f>
        <v>0</v>
      </c>
      <c r="AI1410" s="1150">
        <f>IFERROR(VLOOKUP(CONCATENATE($L1410,$N1410),'Drop List'!$G$23:$K$87,4,FALSE),0)</f>
        <v>0</v>
      </c>
      <c r="AJ1410" s="1151">
        <f>IFERROR(VLOOKUP(CONCATENATE($L1410,$N1410),'Drop List'!$G$23:$K$87,5,FALSE),0)</f>
        <v>0</v>
      </c>
      <c r="AK1410" s="1152">
        <f t="shared" si="390"/>
        <v>0</v>
      </c>
      <c r="AL1410" s="1153">
        <f t="shared" si="391"/>
        <v>0</v>
      </c>
      <c r="AM1410" s="1153">
        <f t="shared" si="392"/>
        <v>0</v>
      </c>
      <c r="AN1410" s="1145">
        <f t="shared" si="393"/>
        <v>0</v>
      </c>
      <c r="AO1410" s="1154">
        <f t="shared" si="394"/>
        <v>0</v>
      </c>
      <c r="AP1410" s="1147">
        <f t="shared" si="381"/>
        <v>771.71839060156435</v>
      </c>
      <c r="AQ1410" s="1144">
        <f t="shared" si="382"/>
        <v>0</v>
      </c>
      <c r="AR1410" s="1146">
        <f t="shared" si="383"/>
        <v>771.71839060156435</v>
      </c>
    </row>
    <row r="1411" spans="1:44" x14ac:dyDescent="0.2">
      <c r="A1411" s="1141" t="str">
        <f t="shared" si="396"/>
        <v>1563</v>
      </c>
      <c r="B1411" s="1141" t="str">
        <f>IFERROR(VLOOKUP(A1411,'LAC 103'!A:C,3,FALSE),"")</f>
        <v>OP</v>
      </c>
      <c r="C1411" s="1478" t="str">
        <f>Info!$B$8</f>
        <v>00100</v>
      </c>
      <c r="D1411" s="1474" t="s">
        <v>256</v>
      </c>
      <c r="E1411" s="1474" t="s">
        <v>95</v>
      </c>
      <c r="F1411" s="1478" t="s">
        <v>434</v>
      </c>
      <c r="G1411" s="1478" t="s">
        <v>434</v>
      </c>
      <c r="H1411" s="1474" t="s">
        <v>996</v>
      </c>
      <c r="I1411" s="1478" t="s">
        <v>912</v>
      </c>
      <c r="J1411" s="1478"/>
      <c r="K1411" s="1475" t="s">
        <v>846</v>
      </c>
      <c r="L1411" s="1474" t="s">
        <v>332</v>
      </c>
      <c r="M1411" s="1476" t="s">
        <v>840</v>
      </c>
      <c r="N1411" s="1477" t="s">
        <v>1700</v>
      </c>
      <c r="O1411" s="1479">
        <v>136</v>
      </c>
      <c r="P1411" s="1479"/>
      <c r="Q1411" s="1142">
        <f t="shared" si="397"/>
        <v>136</v>
      </c>
      <c r="R1411" s="1143">
        <f>IFERROR(VLOOKUP(CONCATENATE(E1411,G1411),'LAC 103'!$A$12:$O$95,11,FALSE),0)</f>
        <v>5.936295312319726</v>
      </c>
      <c r="S1411" s="1144">
        <f>IFERROR(VLOOKUP(CONCATENATE($E1411,$G1411),'LAC 103'!$A$12:$O$95,12,FALSE),0)</f>
        <v>7.34</v>
      </c>
      <c r="T1411" s="1144">
        <f>IFERROR(VLOOKUP(CONCATENATE($E1411,$G1411),'LAC 103'!$A$12:$O$95,13,FALSE),0)</f>
        <v>4.59</v>
      </c>
      <c r="U1411" s="1144">
        <f>IFERROR(VLOOKUP(CONCATENATE($E1411,$G1411),'LAC 103'!$A$12:$O$95,14,FALSE),0)</f>
        <v>0</v>
      </c>
      <c r="V1411" s="1144">
        <f>IFERROR(VLOOKUP(CONCATENATE($E1411,$G1411),'LAC 103'!$A$12:$O$95,15,FALSE),0)</f>
        <v>0</v>
      </c>
      <c r="W1411" s="1145" t="str">
        <f>IFERROR(VLOOKUP(CONCATENATE($B1411,$N1411),'LAC 103'!$AI:$AQ,9,FALSE),"")</f>
        <v>P.C.</v>
      </c>
      <c r="X1411" s="1146">
        <f t="shared" si="384"/>
        <v>4.59</v>
      </c>
      <c r="Y1411" s="1143">
        <f t="shared" si="395"/>
        <v>807.33616247548275</v>
      </c>
      <c r="Z1411" s="1147">
        <f t="shared" si="385"/>
        <v>998.24</v>
      </c>
      <c r="AA1411" s="1144">
        <f t="shared" si="386"/>
        <v>624.24</v>
      </c>
      <c r="AB1411" s="1144">
        <f t="shared" si="387"/>
        <v>0</v>
      </c>
      <c r="AC1411" s="1144">
        <f t="shared" si="388"/>
        <v>0</v>
      </c>
      <c r="AD1411" s="1148">
        <f t="shared" si="380"/>
        <v>624.24</v>
      </c>
      <c r="AE1411" s="1487">
        <v>0</v>
      </c>
      <c r="AF1411" s="1145">
        <f t="shared" si="389"/>
        <v>624.24</v>
      </c>
      <c r="AG1411" s="1149">
        <f>IFERROR(VLOOKUP(CONCATENATE($L1411,$N1411),'Drop List'!$G$23:$K$87,2,FALSE),0)</f>
        <v>0</v>
      </c>
      <c r="AH1411" s="1150">
        <f>IFERROR(VLOOKUP(CONCATENATE($L1411,$N1411),'Drop List'!$G$23:$K$87,3,FALSE),0)</f>
        <v>0</v>
      </c>
      <c r="AI1411" s="1150">
        <f>IFERROR(VLOOKUP(CONCATENATE($L1411,$N1411),'Drop List'!$G$23:$K$87,4,FALSE),0)</f>
        <v>0</v>
      </c>
      <c r="AJ1411" s="1151">
        <f>IFERROR(VLOOKUP(CONCATENATE($L1411,$N1411),'Drop List'!$G$23:$K$87,5,FALSE),0)</f>
        <v>0</v>
      </c>
      <c r="AK1411" s="1152">
        <f t="shared" si="390"/>
        <v>0</v>
      </c>
      <c r="AL1411" s="1153">
        <f t="shared" si="391"/>
        <v>0</v>
      </c>
      <c r="AM1411" s="1153">
        <f t="shared" si="392"/>
        <v>0</v>
      </c>
      <c r="AN1411" s="1145">
        <f t="shared" si="393"/>
        <v>0</v>
      </c>
      <c r="AO1411" s="1154">
        <f t="shared" si="394"/>
        <v>0</v>
      </c>
      <c r="AP1411" s="1147">
        <f t="shared" si="381"/>
        <v>624.24</v>
      </c>
      <c r="AQ1411" s="1144">
        <f t="shared" si="382"/>
        <v>0</v>
      </c>
      <c r="AR1411" s="1146">
        <f t="shared" si="383"/>
        <v>624.24</v>
      </c>
    </row>
    <row r="1412" spans="1:44" x14ac:dyDescent="0.2">
      <c r="A1412" s="1141" t="str">
        <f t="shared" si="396"/>
        <v>1563</v>
      </c>
      <c r="B1412" s="1141" t="str">
        <f>IFERROR(VLOOKUP(A1412,'LAC 103'!A:C,3,FALSE),"")</f>
        <v>OP</v>
      </c>
      <c r="C1412" s="1478" t="str">
        <f>Info!$B$8</f>
        <v>00100</v>
      </c>
      <c r="D1412" s="1474" t="s">
        <v>256</v>
      </c>
      <c r="E1412" s="1474" t="s">
        <v>95</v>
      </c>
      <c r="F1412" s="1478" t="s">
        <v>434</v>
      </c>
      <c r="G1412" s="1478" t="s">
        <v>434</v>
      </c>
      <c r="H1412" s="1474" t="s">
        <v>996</v>
      </c>
      <c r="I1412" s="1478" t="s">
        <v>912</v>
      </c>
      <c r="J1412" s="1478"/>
      <c r="K1412" s="1475" t="s">
        <v>846</v>
      </c>
      <c r="L1412" s="1474" t="s">
        <v>332</v>
      </c>
      <c r="M1412" s="1476" t="s">
        <v>842</v>
      </c>
      <c r="N1412" s="1477" t="s">
        <v>1692</v>
      </c>
      <c r="O1412" s="1479">
        <v>315</v>
      </c>
      <c r="P1412" s="1479"/>
      <c r="Q1412" s="1142">
        <f t="shared" si="397"/>
        <v>315</v>
      </c>
      <c r="R1412" s="1143">
        <f>IFERROR(VLOOKUP(CONCATENATE(E1412,G1412),'LAC 103'!$A$12:$O$95,11,FALSE),0)</f>
        <v>5.936295312319726</v>
      </c>
      <c r="S1412" s="1144">
        <f>IFERROR(VLOOKUP(CONCATENATE($E1412,$G1412),'LAC 103'!$A$12:$O$95,12,FALSE),0)</f>
        <v>7.34</v>
      </c>
      <c r="T1412" s="1144">
        <f>IFERROR(VLOOKUP(CONCATENATE($E1412,$G1412),'LAC 103'!$A$12:$O$95,13,FALSE),0)</f>
        <v>4.59</v>
      </c>
      <c r="U1412" s="1144">
        <f>IFERROR(VLOOKUP(CONCATENATE($E1412,$G1412),'LAC 103'!$A$12:$O$95,14,FALSE),0)</f>
        <v>0</v>
      </c>
      <c r="V1412" s="1144">
        <f>IFERROR(VLOOKUP(CONCATENATE($E1412,$G1412),'LAC 103'!$A$12:$O$95,15,FALSE),0)</f>
        <v>0</v>
      </c>
      <c r="W1412" s="1145" t="str">
        <f>IFERROR(VLOOKUP(CONCATENATE($B1412,$N1412),'LAC 103'!$AI:$AQ,9,FALSE),"")</f>
        <v>Costs</v>
      </c>
      <c r="X1412" s="1146">
        <f t="shared" si="384"/>
        <v>5.936295312319726</v>
      </c>
      <c r="Y1412" s="1143">
        <f t="shared" si="395"/>
        <v>1869.9330233807136</v>
      </c>
      <c r="Z1412" s="1147">
        <f t="shared" si="385"/>
        <v>2312.1</v>
      </c>
      <c r="AA1412" s="1144">
        <f t="shared" si="386"/>
        <v>1445.85</v>
      </c>
      <c r="AB1412" s="1144">
        <f t="shared" si="387"/>
        <v>0</v>
      </c>
      <c r="AC1412" s="1144">
        <f t="shared" si="388"/>
        <v>0</v>
      </c>
      <c r="AD1412" s="1148">
        <f t="shared" si="380"/>
        <v>1869.9330233807136</v>
      </c>
      <c r="AE1412" s="1487">
        <v>0</v>
      </c>
      <c r="AF1412" s="1145">
        <f t="shared" si="389"/>
        <v>1869.9330233807136</v>
      </c>
      <c r="AG1412" s="1149">
        <f>IFERROR(VLOOKUP(CONCATENATE($L1412,$N1412),'Drop List'!$G$23:$K$87,2,FALSE),0)</f>
        <v>0</v>
      </c>
      <c r="AH1412" s="1150">
        <f>IFERROR(VLOOKUP(CONCATENATE($L1412,$N1412),'Drop List'!$G$23:$K$87,3,FALSE),0)</f>
        <v>0</v>
      </c>
      <c r="AI1412" s="1150">
        <f>IFERROR(VLOOKUP(CONCATENATE($L1412,$N1412),'Drop List'!$G$23:$K$87,4,FALSE),0)</f>
        <v>0</v>
      </c>
      <c r="AJ1412" s="1151">
        <f>IFERROR(VLOOKUP(CONCATENATE($L1412,$N1412),'Drop List'!$G$23:$K$87,5,FALSE),0)</f>
        <v>0</v>
      </c>
      <c r="AK1412" s="1152">
        <f t="shared" si="390"/>
        <v>0</v>
      </c>
      <c r="AL1412" s="1153">
        <f t="shared" si="391"/>
        <v>0</v>
      </c>
      <c r="AM1412" s="1153">
        <f t="shared" si="392"/>
        <v>0</v>
      </c>
      <c r="AN1412" s="1145">
        <f t="shared" si="393"/>
        <v>0</v>
      </c>
      <c r="AO1412" s="1154">
        <f t="shared" si="394"/>
        <v>0</v>
      </c>
      <c r="AP1412" s="1147">
        <f t="shared" si="381"/>
        <v>1869.9330233807136</v>
      </c>
      <c r="AQ1412" s="1144">
        <f t="shared" si="382"/>
        <v>0</v>
      </c>
      <c r="AR1412" s="1146">
        <f t="shared" si="383"/>
        <v>1869.9330233807136</v>
      </c>
    </row>
    <row r="1413" spans="1:44" x14ac:dyDescent="0.2">
      <c r="A1413" s="1141" t="str">
        <f t="shared" si="396"/>
        <v>1563</v>
      </c>
      <c r="B1413" s="1141" t="str">
        <f>IFERROR(VLOOKUP(A1413,'LAC 103'!A:C,3,FALSE),"")</f>
        <v>OP</v>
      </c>
      <c r="C1413" s="1478" t="str">
        <f>Info!$B$8</f>
        <v>00100</v>
      </c>
      <c r="D1413" s="1474" t="s">
        <v>256</v>
      </c>
      <c r="E1413" s="1474" t="s">
        <v>95</v>
      </c>
      <c r="F1413" s="1478" t="s">
        <v>434</v>
      </c>
      <c r="G1413" s="1478" t="s">
        <v>434</v>
      </c>
      <c r="H1413" s="1474" t="s">
        <v>996</v>
      </c>
      <c r="I1413" s="1478" t="s">
        <v>912</v>
      </c>
      <c r="J1413" s="1478"/>
      <c r="K1413" s="1475" t="s">
        <v>846</v>
      </c>
      <c r="L1413" s="1474" t="s">
        <v>332</v>
      </c>
      <c r="M1413" s="1476" t="s">
        <v>1698</v>
      </c>
      <c r="N1413" s="1477" t="s">
        <v>1693</v>
      </c>
      <c r="O1413" s="1479">
        <v>289</v>
      </c>
      <c r="P1413" s="1479"/>
      <c r="Q1413" s="1142">
        <f t="shared" si="397"/>
        <v>289</v>
      </c>
      <c r="R1413" s="1143">
        <f>IFERROR(VLOOKUP(CONCATENATE(E1413,G1413),'LAC 103'!$A$12:$O$95,11,FALSE),0)</f>
        <v>5.936295312319726</v>
      </c>
      <c r="S1413" s="1144">
        <f>IFERROR(VLOOKUP(CONCATENATE($E1413,$G1413),'LAC 103'!$A$12:$O$95,12,FALSE),0)</f>
        <v>7.34</v>
      </c>
      <c r="T1413" s="1144">
        <f>IFERROR(VLOOKUP(CONCATENATE($E1413,$G1413),'LAC 103'!$A$12:$O$95,13,FALSE),0)</f>
        <v>4.59</v>
      </c>
      <c r="U1413" s="1144">
        <f>IFERROR(VLOOKUP(CONCATENATE($E1413,$G1413),'LAC 103'!$A$12:$O$95,14,FALSE),0)</f>
        <v>0</v>
      </c>
      <c r="V1413" s="1144">
        <f>IFERROR(VLOOKUP(CONCATENATE($E1413,$G1413),'LAC 103'!$A$12:$O$95,15,FALSE),0)</f>
        <v>0</v>
      </c>
      <c r="W1413" s="1145" t="str">
        <f>IFERROR(VLOOKUP(CONCATENATE($B1413,$N1413),'LAC 103'!$AI:$AQ,9,FALSE),"")</f>
        <v>Costs</v>
      </c>
      <c r="X1413" s="1146">
        <f t="shared" si="384"/>
        <v>5.936295312319726</v>
      </c>
      <c r="Y1413" s="1143">
        <f t="shared" si="395"/>
        <v>1715.5893452604007</v>
      </c>
      <c r="Z1413" s="1147">
        <f t="shared" si="385"/>
        <v>2121.2599999999998</v>
      </c>
      <c r="AA1413" s="1144">
        <f t="shared" si="386"/>
        <v>1326.51</v>
      </c>
      <c r="AB1413" s="1144">
        <f t="shared" si="387"/>
        <v>0</v>
      </c>
      <c r="AC1413" s="1144">
        <f t="shared" si="388"/>
        <v>0</v>
      </c>
      <c r="AD1413" s="1148">
        <f t="shared" si="380"/>
        <v>1715.5893452604007</v>
      </c>
      <c r="AE1413" s="1487">
        <v>0</v>
      </c>
      <c r="AF1413" s="1145">
        <f t="shared" si="389"/>
        <v>1715.5893452604007</v>
      </c>
      <c r="AG1413" s="1149">
        <f>IFERROR(VLOOKUP(CONCATENATE($L1413,$N1413),'Drop List'!$G$23:$K$87,2,FALSE),0)</f>
        <v>0</v>
      </c>
      <c r="AH1413" s="1150">
        <f>IFERROR(VLOOKUP(CONCATENATE($L1413,$N1413),'Drop List'!$G$23:$K$87,3,FALSE),0)</f>
        <v>0</v>
      </c>
      <c r="AI1413" s="1150">
        <f>IFERROR(VLOOKUP(CONCATENATE($L1413,$N1413),'Drop List'!$G$23:$K$87,4,FALSE),0)</f>
        <v>0</v>
      </c>
      <c r="AJ1413" s="1151">
        <f>IFERROR(VLOOKUP(CONCATENATE($L1413,$N1413),'Drop List'!$G$23:$K$87,5,FALSE),0)</f>
        <v>0</v>
      </c>
      <c r="AK1413" s="1152">
        <f t="shared" si="390"/>
        <v>0</v>
      </c>
      <c r="AL1413" s="1153">
        <f t="shared" si="391"/>
        <v>0</v>
      </c>
      <c r="AM1413" s="1153">
        <f t="shared" si="392"/>
        <v>0</v>
      </c>
      <c r="AN1413" s="1145">
        <f t="shared" si="393"/>
        <v>0</v>
      </c>
      <c r="AO1413" s="1154">
        <f t="shared" si="394"/>
        <v>0</v>
      </c>
      <c r="AP1413" s="1147">
        <f t="shared" si="381"/>
        <v>1715.5893452604007</v>
      </c>
      <c r="AQ1413" s="1144">
        <f t="shared" si="382"/>
        <v>0</v>
      </c>
      <c r="AR1413" s="1146">
        <f t="shared" si="383"/>
        <v>1715.5893452604007</v>
      </c>
    </row>
    <row r="1414" spans="1:44" x14ac:dyDescent="0.2">
      <c r="A1414" s="1141" t="str">
        <f t="shared" si="396"/>
        <v>1563</v>
      </c>
      <c r="B1414" s="1141" t="str">
        <f>IFERROR(VLOOKUP(A1414,'LAC 103'!A:C,3,FALSE),"")</f>
        <v>OP</v>
      </c>
      <c r="C1414" s="1478" t="str">
        <f>Info!$B$8</f>
        <v>00100</v>
      </c>
      <c r="D1414" s="1474" t="s">
        <v>256</v>
      </c>
      <c r="E1414" s="1474" t="s">
        <v>95</v>
      </c>
      <c r="F1414" s="1478" t="s">
        <v>434</v>
      </c>
      <c r="G1414" s="1478" t="s">
        <v>434</v>
      </c>
      <c r="H1414" s="1474" t="s">
        <v>1657</v>
      </c>
      <c r="I1414" s="1478" t="s">
        <v>809</v>
      </c>
      <c r="J1414" s="1478" t="s">
        <v>123</v>
      </c>
      <c r="K1414" s="1475" t="s">
        <v>846</v>
      </c>
      <c r="L1414" s="1474" t="s">
        <v>332</v>
      </c>
      <c r="M1414" s="1476" t="s">
        <v>1699</v>
      </c>
      <c r="N1414" s="1477" t="s">
        <v>1694</v>
      </c>
      <c r="O1414" s="1479">
        <v>780</v>
      </c>
      <c r="P1414" s="1479"/>
      <c r="Q1414" s="1142">
        <f t="shared" si="397"/>
        <v>780</v>
      </c>
      <c r="R1414" s="1143">
        <f>IFERROR(VLOOKUP(CONCATENATE(E1414,G1414),'LAC 103'!$A$12:$O$95,11,FALSE),0)</f>
        <v>5.936295312319726</v>
      </c>
      <c r="S1414" s="1144">
        <f>IFERROR(VLOOKUP(CONCATENATE($E1414,$G1414),'LAC 103'!$A$12:$O$95,12,FALSE),0)</f>
        <v>7.34</v>
      </c>
      <c r="T1414" s="1144">
        <f>IFERROR(VLOOKUP(CONCATENATE($E1414,$G1414),'LAC 103'!$A$12:$O$95,13,FALSE),0)</f>
        <v>4.59</v>
      </c>
      <c r="U1414" s="1144">
        <f>IFERROR(VLOOKUP(CONCATENATE($E1414,$G1414),'LAC 103'!$A$12:$O$95,14,FALSE),0)</f>
        <v>0</v>
      </c>
      <c r="V1414" s="1144">
        <f>IFERROR(VLOOKUP(CONCATENATE($E1414,$G1414),'LAC 103'!$A$12:$O$95,15,FALSE),0)</f>
        <v>0</v>
      </c>
      <c r="W1414" s="1145" t="str">
        <f>IFERROR(VLOOKUP(CONCATENATE($B1414,$N1414),'LAC 103'!$AI:$AQ,9,FALSE),"")</f>
        <v>Costs</v>
      </c>
      <c r="X1414" s="1146">
        <f t="shared" si="384"/>
        <v>5.936295312319726</v>
      </c>
      <c r="Y1414" s="1143">
        <f t="shared" si="395"/>
        <v>4630.3103436093861</v>
      </c>
      <c r="Z1414" s="1147">
        <f t="shared" si="385"/>
        <v>5725.2</v>
      </c>
      <c r="AA1414" s="1144">
        <f t="shared" si="386"/>
        <v>3580.2</v>
      </c>
      <c r="AB1414" s="1144">
        <f t="shared" si="387"/>
        <v>0</v>
      </c>
      <c r="AC1414" s="1144">
        <f t="shared" si="388"/>
        <v>0</v>
      </c>
      <c r="AD1414" s="1148">
        <f t="shared" si="380"/>
        <v>4630.3103436093861</v>
      </c>
      <c r="AE1414" s="1487">
        <v>0</v>
      </c>
      <c r="AF1414" s="1145">
        <f t="shared" si="389"/>
        <v>4630.3103436093861</v>
      </c>
      <c r="AG1414" s="1149">
        <f>IFERROR(VLOOKUP(CONCATENATE($L1414,$N1414),'Drop List'!$G$23:$K$87,2,FALSE),0)</f>
        <v>0</v>
      </c>
      <c r="AH1414" s="1150">
        <f>IFERROR(VLOOKUP(CONCATENATE($L1414,$N1414),'Drop List'!$G$23:$K$87,3,FALSE),0)</f>
        <v>0</v>
      </c>
      <c r="AI1414" s="1150">
        <f>IFERROR(VLOOKUP(CONCATENATE($L1414,$N1414),'Drop List'!$G$23:$K$87,4,FALSE),0)</f>
        <v>0</v>
      </c>
      <c r="AJ1414" s="1151">
        <f>IFERROR(VLOOKUP(CONCATENATE($L1414,$N1414),'Drop List'!$G$23:$K$87,5,FALSE),0)</f>
        <v>0</v>
      </c>
      <c r="AK1414" s="1152">
        <f t="shared" si="390"/>
        <v>0</v>
      </c>
      <c r="AL1414" s="1153">
        <f t="shared" si="391"/>
        <v>0</v>
      </c>
      <c r="AM1414" s="1153">
        <f t="shared" si="392"/>
        <v>0</v>
      </c>
      <c r="AN1414" s="1145">
        <f t="shared" si="393"/>
        <v>0</v>
      </c>
      <c r="AO1414" s="1154">
        <f t="shared" si="394"/>
        <v>0</v>
      </c>
      <c r="AP1414" s="1147">
        <f t="shared" si="381"/>
        <v>4630.3103436093861</v>
      </c>
      <c r="AQ1414" s="1144">
        <f t="shared" si="382"/>
        <v>0</v>
      </c>
      <c r="AR1414" s="1146">
        <f t="shared" si="383"/>
        <v>4630.3103436093861</v>
      </c>
    </row>
    <row r="1415" spans="1:44" x14ac:dyDescent="0.2">
      <c r="A1415" s="1141" t="str">
        <f t="shared" si="396"/>
        <v>1563</v>
      </c>
      <c r="B1415" s="1141" t="str">
        <f>IFERROR(VLOOKUP(A1415,'LAC 103'!A:C,3,FALSE),"")</f>
        <v>OP</v>
      </c>
      <c r="C1415" s="1478" t="str">
        <f>Info!$B$8</f>
        <v>00100</v>
      </c>
      <c r="D1415" s="1474" t="s">
        <v>256</v>
      </c>
      <c r="E1415" s="1474" t="s">
        <v>95</v>
      </c>
      <c r="F1415" s="1478" t="s">
        <v>434</v>
      </c>
      <c r="G1415" s="1478" t="s">
        <v>434</v>
      </c>
      <c r="H1415" s="1474" t="s">
        <v>1657</v>
      </c>
      <c r="I1415" s="1478" t="s">
        <v>809</v>
      </c>
      <c r="J1415" s="1478"/>
      <c r="K1415" s="1475" t="s">
        <v>846</v>
      </c>
      <c r="L1415" s="1474" t="s">
        <v>332</v>
      </c>
      <c r="M1415" s="1476" t="s">
        <v>841</v>
      </c>
      <c r="N1415" s="1477" t="s">
        <v>1695</v>
      </c>
      <c r="O1415" s="1479">
        <v>267</v>
      </c>
      <c r="P1415" s="1479"/>
      <c r="Q1415" s="1142">
        <f t="shared" si="397"/>
        <v>267</v>
      </c>
      <c r="R1415" s="1143">
        <f>IFERROR(VLOOKUP(CONCATENATE(E1415,G1415),'LAC 103'!$A$12:$O$95,11,FALSE),0)</f>
        <v>5.936295312319726</v>
      </c>
      <c r="S1415" s="1144">
        <f>IFERROR(VLOOKUP(CONCATENATE($E1415,$G1415),'LAC 103'!$A$12:$O$95,12,FALSE),0)</f>
        <v>7.34</v>
      </c>
      <c r="T1415" s="1144">
        <f>IFERROR(VLOOKUP(CONCATENATE($E1415,$G1415),'LAC 103'!$A$12:$O$95,13,FALSE),0)</f>
        <v>4.59</v>
      </c>
      <c r="U1415" s="1144">
        <f>IFERROR(VLOOKUP(CONCATENATE($E1415,$G1415),'LAC 103'!$A$12:$O$95,14,FALSE),0)</f>
        <v>0</v>
      </c>
      <c r="V1415" s="1144">
        <f>IFERROR(VLOOKUP(CONCATENATE($E1415,$G1415),'LAC 103'!$A$12:$O$95,15,FALSE),0)</f>
        <v>0</v>
      </c>
      <c r="W1415" s="1145" t="str">
        <f>IFERROR(VLOOKUP(CONCATENATE($B1415,$N1415),'LAC 103'!$AI:$AQ,9,FALSE),"")</f>
        <v>Costs</v>
      </c>
      <c r="X1415" s="1146">
        <f t="shared" si="384"/>
        <v>5.936295312319726</v>
      </c>
      <c r="Y1415" s="1143">
        <f t="shared" si="395"/>
        <v>1584.9908483893669</v>
      </c>
      <c r="Z1415" s="1147">
        <f t="shared" si="385"/>
        <v>1959.78</v>
      </c>
      <c r="AA1415" s="1144">
        <f t="shared" si="386"/>
        <v>1225.53</v>
      </c>
      <c r="AB1415" s="1144">
        <f t="shared" si="387"/>
        <v>0</v>
      </c>
      <c r="AC1415" s="1144">
        <f t="shared" si="388"/>
        <v>0</v>
      </c>
      <c r="AD1415" s="1148">
        <f t="shared" ref="AD1415:AD1478" si="398">Q1415*X1415</f>
        <v>1584.9908483893669</v>
      </c>
      <c r="AE1415" s="1487">
        <v>0</v>
      </c>
      <c r="AF1415" s="1145">
        <f t="shared" si="389"/>
        <v>1584.9908483893669</v>
      </c>
      <c r="AG1415" s="1149">
        <f>IFERROR(VLOOKUP(CONCATENATE($L1415,$N1415),'Drop List'!$G$23:$K$87,2,FALSE),0)</f>
        <v>0</v>
      </c>
      <c r="AH1415" s="1150">
        <f>IFERROR(VLOOKUP(CONCATENATE($L1415,$N1415),'Drop List'!$G$23:$K$87,3,FALSE),0)</f>
        <v>0</v>
      </c>
      <c r="AI1415" s="1150">
        <f>IFERROR(VLOOKUP(CONCATENATE($L1415,$N1415),'Drop List'!$G$23:$K$87,4,FALSE),0)</f>
        <v>0</v>
      </c>
      <c r="AJ1415" s="1151">
        <f>IFERROR(VLOOKUP(CONCATENATE($L1415,$N1415),'Drop List'!$G$23:$K$87,5,FALSE),0)</f>
        <v>0</v>
      </c>
      <c r="AK1415" s="1152">
        <f t="shared" si="390"/>
        <v>0</v>
      </c>
      <c r="AL1415" s="1153">
        <f t="shared" si="391"/>
        <v>0</v>
      </c>
      <c r="AM1415" s="1153">
        <f t="shared" si="392"/>
        <v>0</v>
      </c>
      <c r="AN1415" s="1145">
        <f t="shared" si="393"/>
        <v>0</v>
      </c>
      <c r="AO1415" s="1154">
        <f t="shared" si="394"/>
        <v>0</v>
      </c>
      <c r="AP1415" s="1147">
        <f t="shared" ref="AP1415:AP1478" si="399">IF($L1415="14",$AF1415,0)</f>
        <v>1584.9908483893669</v>
      </c>
      <c r="AQ1415" s="1144">
        <f t="shared" ref="AQ1415:AQ1478" si="400">IF($L1415="15",$AF1415,0)</f>
        <v>0</v>
      </c>
      <c r="AR1415" s="1146">
        <f t="shared" ref="AR1415:AR1478" si="401">AO1415+AP1415+AQ1415</f>
        <v>1584.9908483893669</v>
      </c>
    </row>
    <row r="1416" spans="1:44" x14ac:dyDescent="0.2">
      <c r="A1416" s="1141" t="str">
        <f t="shared" si="396"/>
        <v>1563</v>
      </c>
      <c r="B1416" s="1141" t="str">
        <f>IFERROR(VLOOKUP(A1416,'LAC 103'!A:C,3,FALSE),"")</f>
        <v>OP</v>
      </c>
      <c r="C1416" s="1478" t="str">
        <f>Info!$B$8</f>
        <v>00100</v>
      </c>
      <c r="D1416" s="1474" t="s">
        <v>256</v>
      </c>
      <c r="E1416" s="1474" t="s">
        <v>95</v>
      </c>
      <c r="F1416" s="1478" t="s">
        <v>434</v>
      </c>
      <c r="G1416" s="1478" t="s">
        <v>434</v>
      </c>
      <c r="H1416" s="1474" t="s">
        <v>1657</v>
      </c>
      <c r="I1416" s="1478" t="s">
        <v>809</v>
      </c>
      <c r="J1416" s="1478"/>
      <c r="K1416" s="1475" t="s">
        <v>846</v>
      </c>
      <c r="L1416" s="1474" t="s">
        <v>332</v>
      </c>
      <c r="M1416" s="1476" t="s">
        <v>840</v>
      </c>
      <c r="N1416" s="1477" t="s">
        <v>1700</v>
      </c>
      <c r="O1416" s="1479">
        <v>338</v>
      </c>
      <c r="P1416" s="1479"/>
      <c r="Q1416" s="1142">
        <f t="shared" si="397"/>
        <v>338</v>
      </c>
      <c r="R1416" s="1143">
        <f>IFERROR(VLOOKUP(CONCATENATE(E1416,G1416),'LAC 103'!$A$12:$O$95,11,FALSE),0)</f>
        <v>5.936295312319726</v>
      </c>
      <c r="S1416" s="1144">
        <f>IFERROR(VLOOKUP(CONCATENATE($E1416,$G1416),'LAC 103'!$A$12:$O$95,12,FALSE),0)</f>
        <v>7.34</v>
      </c>
      <c r="T1416" s="1144">
        <f>IFERROR(VLOOKUP(CONCATENATE($E1416,$G1416),'LAC 103'!$A$12:$O$95,13,FALSE),0)</f>
        <v>4.59</v>
      </c>
      <c r="U1416" s="1144">
        <f>IFERROR(VLOOKUP(CONCATENATE($E1416,$G1416),'LAC 103'!$A$12:$O$95,14,FALSE),0)</f>
        <v>0</v>
      </c>
      <c r="V1416" s="1144">
        <f>IFERROR(VLOOKUP(CONCATENATE($E1416,$G1416),'LAC 103'!$A$12:$O$95,15,FALSE),0)</f>
        <v>0</v>
      </c>
      <c r="W1416" s="1145" t="str">
        <f>IFERROR(VLOOKUP(CONCATENATE($B1416,$N1416),'LAC 103'!$AI:$AQ,9,FALSE),"")</f>
        <v>P.C.</v>
      </c>
      <c r="X1416" s="1146">
        <f t="shared" ref="X1416:X1479" si="402">IF($W1416="Costs",$R1416,IF($W1416="CMA",$S1416,IF($W1416="P.C.",$T1416,IF($W1416="SMA",$U1416,$V1416))))</f>
        <v>4.59</v>
      </c>
      <c r="Y1416" s="1143">
        <f t="shared" si="395"/>
        <v>2006.4678155640675</v>
      </c>
      <c r="Z1416" s="1147">
        <f t="shared" ref="Z1416:Z1479" si="403">IF(S1416=0,Y1416,$Q1416*S1416)</f>
        <v>2480.92</v>
      </c>
      <c r="AA1416" s="1144">
        <f t="shared" ref="AA1416:AA1479" si="404">IF(T1416=0,Y1416,$Q1416*T1416)</f>
        <v>1551.4199999999998</v>
      </c>
      <c r="AB1416" s="1144">
        <f t="shared" ref="AB1416:AB1479" si="405">$Q1416*U1416</f>
        <v>0</v>
      </c>
      <c r="AC1416" s="1144">
        <f t="shared" ref="AC1416:AC1479" si="406">$Q1416*V1416</f>
        <v>0</v>
      </c>
      <c r="AD1416" s="1148">
        <f t="shared" si="398"/>
        <v>1551.4199999999998</v>
      </c>
      <c r="AE1416" s="1487">
        <v>0</v>
      </c>
      <c r="AF1416" s="1145">
        <f t="shared" ref="AF1416:AF1479" si="407">AD1416-AE1416</f>
        <v>1551.4199999999998</v>
      </c>
      <c r="AG1416" s="1149">
        <f>IFERROR(VLOOKUP(CONCATENATE($L1416,$N1416),'Drop List'!$G$23:$K$87,2,FALSE),0)</f>
        <v>0</v>
      </c>
      <c r="AH1416" s="1150">
        <f>IFERROR(VLOOKUP(CONCATENATE($L1416,$N1416),'Drop List'!$G$23:$K$87,3,FALSE),0)</f>
        <v>0</v>
      </c>
      <c r="AI1416" s="1150">
        <f>IFERROR(VLOOKUP(CONCATENATE($L1416,$N1416),'Drop List'!$G$23:$K$87,4,FALSE),0)</f>
        <v>0</v>
      </c>
      <c r="AJ1416" s="1151">
        <f>IFERROR(VLOOKUP(CONCATENATE($L1416,$N1416),'Drop List'!$G$23:$K$87,5,FALSE),0)</f>
        <v>0</v>
      </c>
      <c r="AK1416" s="1152">
        <f t="shared" ref="AK1416:AK1479" si="408">IFERROR($AF1416*AG1416,0)</f>
        <v>0</v>
      </c>
      <c r="AL1416" s="1153">
        <f t="shared" ref="AL1416:AL1479" si="409">IFERROR($AF1416*AH1416,0)</f>
        <v>0</v>
      </c>
      <c r="AM1416" s="1153">
        <f t="shared" ref="AM1416:AM1479" si="410">IFERROR($AF1416*AI1416,0)</f>
        <v>0</v>
      </c>
      <c r="AN1416" s="1145">
        <f t="shared" ref="AN1416:AN1479" si="411">IFERROR($AF1416*AJ1416,0)</f>
        <v>0</v>
      </c>
      <c r="AO1416" s="1154">
        <f t="shared" ref="AO1416:AO1501" si="412">SUM(AK1416:AN1416)</f>
        <v>0</v>
      </c>
      <c r="AP1416" s="1147">
        <f t="shared" si="399"/>
        <v>1551.4199999999998</v>
      </c>
      <c r="AQ1416" s="1144">
        <f t="shared" si="400"/>
        <v>0</v>
      </c>
      <c r="AR1416" s="1146">
        <f t="shared" si="401"/>
        <v>1551.4199999999998</v>
      </c>
    </row>
    <row r="1417" spans="1:44" x14ac:dyDescent="0.2">
      <c r="A1417" s="1141" t="str">
        <f t="shared" si="396"/>
        <v>1563</v>
      </c>
      <c r="B1417" s="1141" t="str">
        <f>IFERROR(VLOOKUP(A1417,'LAC 103'!A:C,3,FALSE),"")</f>
        <v>OP</v>
      </c>
      <c r="C1417" s="1478" t="str">
        <f>Info!$B$8</f>
        <v>00100</v>
      </c>
      <c r="D1417" s="1474" t="s">
        <v>256</v>
      </c>
      <c r="E1417" s="1474" t="s">
        <v>95</v>
      </c>
      <c r="F1417" s="1478" t="s">
        <v>434</v>
      </c>
      <c r="G1417" s="1478" t="s">
        <v>434</v>
      </c>
      <c r="H1417" s="1474" t="s">
        <v>1657</v>
      </c>
      <c r="I1417" s="1478" t="s">
        <v>809</v>
      </c>
      <c r="J1417" s="1478"/>
      <c r="K1417" s="1475" t="s">
        <v>846</v>
      </c>
      <c r="L1417" s="1474" t="s">
        <v>332</v>
      </c>
      <c r="M1417" s="1476" t="s">
        <v>842</v>
      </c>
      <c r="N1417" s="1477" t="s">
        <v>1692</v>
      </c>
      <c r="O1417" s="1479">
        <v>427</v>
      </c>
      <c r="P1417" s="1479"/>
      <c r="Q1417" s="1142">
        <f t="shared" si="397"/>
        <v>427</v>
      </c>
      <c r="R1417" s="1143">
        <f>IFERROR(VLOOKUP(CONCATENATE(E1417,G1417),'LAC 103'!$A$12:$O$95,11,FALSE),0)</f>
        <v>5.936295312319726</v>
      </c>
      <c r="S1417" s="1144">
        <f>IFERROR(VLOOKUP(CONCATENATE($E1417,$G1417),'LAC 103'!$A$12:$O$95,12,FALSE),0)</f>
        <v>7.34</v>
      </c>
      <c r="T1417" s="1144">
        <f>IFERROR(VLOOKUP(CONCATENATE($E1417,$G1417),'LAC 103'!$A$12:$O$95,13,FALSE),0)</f>
        <v>4.59</v>
      </c>
      <c r="U1417" s="1144">
        <f>IFERROR(VLOOKUP(CONCATENATE($E1417,$G1417),'LAC 103'!$A$12:$O$95,14,FALSE),0)</f>
        <v>0</v>
      </c>
      <c r="V1417" s="1144">
        <f>IFERROR(VLOOKUP(CONCATENATE($E1417,$G1417),'LAC 103'!$A$12:$O$95,15,FALSE),0)</f>
        <v>0</v>
      </c>
      <c r="W1417" s="1145" t="str">
        <f>IFERROR(VLOOKUP(CONCATENATE($B1417,$N1417),'LAC 103'!$AI:$AQ,9,FALSE),"")</f>
        <v>Costs</v>
      </c>
      <c r="X1417" s="1146">
        <f t="shared" si="402"/>
        <v>5.936295312319726</v>
      </c>
      <c r="Y1417" s="1143">
        <f t="shared" si="395"/>
        <v>2534.798098360523</v>
      </c>
      <c r="Z1417" s="1147">
        <f t="shared" si="403"/>
        <v>3134.18</v>
      </c>
      <c r="AA1417" s="1144">
        <f t="shared" si="404"/>
        <v>1959.9299999999998</v>
      </c>
      <c r="AB1417" s="1144">
        <f t="shared" si="405"/>
        <v>0</v>
      </c>
      <c r="AC1417" s="1144">
        <f t="shared" si="406"/>
        <v>0</v>
      </c>
      <c r="AD1417" s="1148">
        <f t="shared" si="398"/>
        <v>2534.798098360523</v>
      </c>
      <c r="AE1417" s="1487">
        <v>0</v>
      </c>
      <c r="AF1417" s="1145">
        <f t="shared" si="407"/>
        <v>2534.798098360523</v>
      </c>
      <c r="AG1417" s="1149">
        <f>IFERROR(VLOOKUP(CONCATENATE($L1417,$N1417),'Drop List'!$G$23:$K$87,2,FALSE),0)</f>
        <v>0</v>
      </c>
      <c r="AH1417" s="1150">
        <f>IFERROR(VLOOKUP(CONCATENATE($L1417,$N1417),'Drop List'!$G$23:$K$87,3,FALSE),0)</f>
        <v>0</v>
      </c>
      <c r="AI1417" s="1150">
        <f>IFERROR(VLOOKUP(CONCATENATE($L1417,$N1417),'Drop List'!$G$23:$K$87,4,FALSE),0)</f>
        <v>0</v>
      </c>
      <c r="AJ1417" s="1151">
        <f>IFERROR(VLOOKUP(CONCATENATE($L1417,$N1417),'Drop List'!$G$23:$K$87,5,FALSE),0)</f>
        <v>0</v>
      </c>
      <c r="AK1417" s="1152">
        <f t="shared" si="408"/>
        <v>0</v>
      </c>
      <c r="AL1417" s="1153">
        <f t="shared" si="409"/>
        <v>0</v>
      </c>
      <c r="AM1417" s="1153">
        <f t="shared" si="410"/>
        <v>0</v>
      </c>
      <c r="AN1417" s="1145">
        <f t="shared" si="411"/>
        <v>0</v>
      </c>
      <c r="AO1417" s="1154">
        <f t="shared" si="412"/>
        <v>0</v>
      </c>
      <c r="AP1417" s="1147">
        <f t="shared" si="399"/>
        <v>2534.798098360523</v>
      </c>
      <c r="AQ1417" s="1144">
        <f t="shared" si="400"/>
        <v>0</v>
      </c>
      <c r="AR1417" s="1146">
        <f t="shared" si="401"/>
        <v>2534.798098360523</v>
      </c>
    </row>
    <row r="1418" spans="1:44" x14ac:dyDescent="0.2">
      <c r="A1418" s="1141" t="str">
        <f t="shared" si="396"/>
        <v>1563</v>
      </c>
      <c r="B1418" s="1141" t="str">
        <f>IFERROR(VLOOKUP(A1418,'LAC 103'!A:C,3,FALSE),"")</f>
        <v>OP</v>
      </c>
      <c r="C1418" s="1478" t="str">
        <f>Info!$B$8</f>
        <v>00100</v>
      </c>
      <c r="D1418" s="1474" t="s">
        <v>256</v>
      </c>
      <c r="E1418" s="1474" t="s">
        <v>95</v>
      </c>
      <c r="F1418" s="1478" t="s">
        <v>434</v>
      </c>
      <c r="G1418" s="1478" t="s">
        <v>434</v>
      </c>
      <c r="H1418" s="1474" t="s">
        <v>1657</v>
      </c>
      <c r="I1418" s="1478" t="s">
        <v>809</v>
      </c>
      <c r="J1418" s="1478"/>
      <c r="K1418" s="1475" t="s">
        <v>846</v>
      </c>
      <c r="L1418" s="1474" t="s">
        <v>332</v>
      </c>
      <c r="M1418" s="1476" t="s">
        <v>1698</v>
      </c>
      <c r="N1418" s="1477" t="s">
        <v>1693</v>
      </c>
      <c r="O1418" s="1479">
        <v>562</v>
      </c>
      <c r="P1418" s="1479"/>
      <c r="Q1418" s="1142">
        <f t="shared" si="397"/>
        <v>562</v>
      </c>
      <c r="R1418" s="1143">
        <f>IFERROR(VLOOKUP(CONCATENATE(E1418,G1418),'LAC 103'!$A$12:$O$95,11,FALSE),0)</f>
        <v>5.936295312319726</v>
      </c>
      <c r="S1418" s="1144">
        <f>IFERROR(VLOOKUP(CONCATENATE($E1418,$G1418),'LAC 103'!$A$12:$O$95,12,FALSE),0)</f>
        <v>7.34</v>
      </c>
      <c r="T1418" s="1144">
        <f>IFERROR(VLOOKUP(CONCATENATE($E1418,$G1418),'LAC 103'!$A$12:$O$95,13,FALSE),0)</f>
        <v>4.59</v>
      </c>
      <c r="U1418" s="1144">
        <f>IFERROR(VLOOKUP(CONCATENATE($E1418,$G1418),'LAC 103'!$A$12:$O$95,14,FALSE),0)</f>
        <v>0</v>
      </c>
      <c r="V1418" s="1144">
        <f>IFERROR(VLOOKUP(CONCATENATE($E1418,$G1418),'LAC 103'!$A$12:$O$95,15,FALSE),0)</f>
        <v>0</v>
      </c>
      <c r="W1418" s="1145" t="str">
        <f>IFERROR(VLOOKUP(CONCATENATE($B1418,$N1418),'LAC 103'!$AI:$AQ,9,FALSE),"")</f>
        <v>Costs</v>
      </c>
      <c r="X1418" s="1146">
        <f t="shared" si="402"/>
        <v>5.936295312319726</v>
      </c>
      <c r="Y1418" s="1143">
        <f t="shared" ref="Y1418:Y1481" si="413">$Q1418*R1418</f>
        <v>3336.197965523686</v>
      </c>
      <c r="Z1418" s="1147">
        <f t="shared" si="403"/>
        <v>4125.08</v>
      </c>
      <c r="AA1418" s="1144">
        <f t="shared" si="404"/>
        <v>2579.58</v>
      </c>
      <c r="AB1418" s="1144">
        <f t="shared" si="405"/>
        <v>0</v>
      </c>
      <c r="AC1418" s="1144">
        <f t="shared" si="406"/>
        <v>0</v>
      </c>
      <c r="AD1418" s="1148">
        <f t="shared" si="398"/>
        <v>3336.197965523686</v>
      </c>
      <c r="AE1418" s="1487">
        <v>0</v>
      </c>
      <c r="AF1418" s="1145">
        <f t="shared" si="407"/>
        <v>3336.197965523686</v>
      </c>
      <c r="AG1418" s="1149">
        <f>IFERROR(VLOOKUP(CONCATENATE($L1418,$N1418),'Drop List'!$G$23:$K$87,2,FALSE),0)</f>
        <v>0</v>
      </c>
      <c r="AH1418" s="1150">
        <f>IFERROR(VLOOKUP(CONCATENATE($L1418,$N1418),'Drop List'!$G$23:$K$87,3,FALSE),0)</f>
        <v>0</v>
      </c>
      <c r="AI1418" s="1150">
        <f>IFERROR(VLOOKUP(CONCATENATE($L1418,$N1418),'Drop List'!$G$23:$K$87,4,FALSE),0)</f>
        <v>0</v>
      </c>
      <c r="AJ1418" s="1151">
        <f>IFERROR(VLOOKUP(CONCATENATE($L1418,$N1418),'Drop List'!$G$23:$K$87,5,FALSE),0)</f>
        <v>0</v>
      </c>
      <c r="AK1418" s="1152">
        <f t="shared" si="408"/>
        <v>0</v>
      </c>
      <c r="AL1418" s="1153">
        <f t="shared" si="409"/>
        <v>0</v>
      </c>
      <c r="AM1418" s="1153">
        <f t="shared" si="410"/>
        <v>0</v>
      </c>
      <c r="AN1418" s="1145">
        <f t="shared" si="411"/>
        <v>0</v>
      </c>
      <c r="AO1418" s="1154">
        <f t="shared" si="412"/>
        <v>0</v>
      </c>
      <c r="AP1418" s="1147">
        <f t="shared" si="399"/>
        <v>3336.197965523686</v>
      </c>
      <c r="AQ1418" s="1144">
        <f t="shared" si="400"/>
        <v>0</v>
      </c>
      <c r="AR1418" s="1146">
        <f t="shared" si="401"/>
        <v>3336.197965523686</v>
      </c>
    </row>
    <row r="1419" spans="1:44" x14ac:dyDescent="0.2">
      <c r="A1419" s="1141" t="str">
        <f t="shared" si="396"/>
        <v>1563</v>
      </c>
      <c r="B1419" s="1141" t="str">
        <f>IFERROR(VLOOKUP(A1419,'LAC 103'!A:C,3,FALSE),"")</f>
        <v>OP</v>
      </c>
      <c r="C1419" s="1478" t="str">
        <f>Info!$B$8</f>
        <v>00100</v>
      </c>
      <c r="D1419" s="1474" t="s">
        <v>256</v>
      </c>
      <c r="E1419" s="1474" t="s">
        <v>95</v>
      </c>
      <c r="F1419" s="1478" t="s">
        <v>434</v>
      </c>
      <c r="G1419" s="1478" t="s">
        <v>434</v>
      </c>
      <c r="H1419" s="1474" t="s">
        <v>1659</v>
      </c>
      <c r="I1419" s="1478" t="s">
        <v>807</v>
      </c>
      <c r="J1419" s="1478" t="s">
        <v>123</v>
      </c>
      <c r="K1419" s="1475" t="s">
        <v>846</v>
      </c>
      <c r="L1419" s="1474" t="s">
        <v>332</v>
      </c>
      <c r="M1419" s="1476" t="s">
        <v>1699</v>
      </c>
      <c r="N1419" s="1477" t="s">
        <v>1694</v>
      </c>
      <c r="O1419" s="1479">
        <v>1462</v>
      </c>
      <c r="P1419" s="1479"/>
      <c r="Q1419" s="1142">
        <f t="shared" si="397"/>
        <v>1462</v>
      </c>
      <c r="R1419" s="1143">
        <f>IFERROR(VLOOKUP(CONCATENATE(E1419,G1419),'LAC 103'!$A$12:$O$95,11,FALSE),0)</f>
        <v>5.936295312319726</v>
      </c>
      <c r="S1419" s="1144">
        <f>IFERROR(VLOOKUP(CONCATENATE($E1419,$G1419),'LAC 103'!$A$12:$O$95,12,FALSE),0)</f>
        <v>7.34</v>
      </c>
      <c r="T1419" s="1144">
        <f>IFERROR(VLOOKUP(CONCATENATE($E1419,$G1419),'LAC 103'!$A$12:$O$95,13,FALSE),0)</f>
        <v>4.59</v>
      </c>
      <c r="U1419" s="1144">
        <f>IFERROR(VLOOKUP(CONCATENATE($E1419,$G1419),'LAC 103'!$A$12:$O$95,14,FALSE),0)</f>
        <v>0</v>
      </c>
      <c r="V1419" s="1144">
        <f>IFERROR(VLOOKUP(CONCATENATE($E1419,$G1419),'LAC 103'!$A$12:$O$95,15,FALSE),0)</f>
        <v>0</v>
      </c>
      <c r="W1419" s="1145" t="str">
        <f>IFERROR(VLOOKUP(CONCATENATE($B1419,$N1419),'LAC 103'!$AI:$AQ,9,FALSE),"")</f>
        <v>Costs</v>
      </c>
      <c r="X1419" s="1146">
        <f t="shared" si="402"/>
        <v>5.936295312319726</v>
      </c>
      <c r="Y1419" s="1143">
        <f t="shared" si="413"/>
        <v>8678.8637466114396</v>
      </c>
      <c r="Z1419" s="1147">
        <f t="shared" si="403"/>
        <v>10731.08</v>
      </c>
      <c r="AA1419" s="1144">
        <f t="shared" si="404"/>
        <v>6710.58</v>
      </c>
      <c r="AB1419" s="1144">
        <f t="shared" si="405"/>
        <v>0</v>
      </c>
      <c r="AC1419" s="1144">
        <f t="shared" si="406"/>
        <v>0</v>
      </c>
      <c r="AD1419" s="1148">
        <f t="shared" si="398"/>
        <v>8678.8637466114396</v>
      </c>
      <c r="AE1419" s="1487">
        <v>0</v>
      </c>
      <c r="AF1419" s="1145">
        <f t="shared" si="407"/>
        <v>8678.8637466114396</v>
      </c>
      <c r="AG1419" s="1149">
        <f>IFERROR(VLOOKUP(CONCATENATE($L1419,$N1419),'Drop List'!$G$23:$K$87,2,FALSE),0)</f>
        <v>0</v>
      </c>
      <c r="AH1419" s="1150">
        <f>IFERROR(VLOOKUP(CONCATENATE($L1419,$N1419),'Drop List'!$G$23:$K$87,3,FALSE),0)</f>
        <v>0</v>
      </c>
      <c r="AI1419" s="1150">
        <f>IFERROR(VLOOKUP(CONCATENATE($L1419,$N1419),'Drop List'!$G$23:$K$87,4,FALSE),0)</f>
        <v>0</v>
      </c>
      <c r="AJ1419" s="1151">
        <f>IFERROR(VLOOKUP(CONCATENATE($L1419,$N1419),'Drop List'!$G$23:$K$87,5,FALSE),0)</f>
        <v>0</v>
      </c>
      <c r="AK1419" s="1152">
        <f t="shared" si="408"/>
        <v>0</v>
      </c>
      <c r="AL1419" s="1153">
        <f t="shared" si="409"/>
        <v>0</v>
      </c>
      <c r="AM1419" s="1153">
        <f t="shared" si="410"/>
        <v>0</v>
      </c>
      <c r="AN1419" s="1145">
        <f t="shared" si="411"/>
        <v>0</v>
      </c>
      <c r="AO1419" s="1154">
        <f t="shared" si="412"/>
        <v>0</v>
      </c>
      <c r="AP1419" s="1147">
        <f t="shared" si="399"/>
        <v>8678.8637466114396</v>
      </c>
      <c r="AQ1419" s="1144">
        <f t="shared" si="400"/>
        <v>0</v>
      </c>
      <c r="AR1419" s="1146">
        <f t="shared" si="401"/>
        <v>8678.8637466114396</v>
      </c>
    </row>
    <row r="1420" spans="1:44" x14ac:dyDescent="0.2">
      <c r="A1420" s="1141" t="str">
        <f t="shared" si="396"/>
        <v>1563</v>
      </c>
      <c r="B1420" s="1141" t="str">
        <f>IFERROR(VLOOKUP(A1420,'LAC 103'!A:C,3,FALSE),"")</f>
        <v>OP</v>
      </c>
      <c r="C1420" s="1478" t="str">
        <f>Info!$B$8</f>
        <v>00100</v>
      </c>
      <c r="D1420" s="1474" t="s">
        <v>256</v>
      </c>
      <c r="E1420" s="1474" t="s">
        <v>95</v>
      </c>
      <c r="F1420" s="1478" t="s">
        <v>434</v>
      </c>
      <c r="G1420" s="1478" t="s">
        <v>434</v>
      </c>
      <c r="H1420" s="1474" t="s">
        <v>1659</v>
      </c>
      <c r="I1420" s="1478" t="s">
        <v>807</v>
      </c>
      <c r="J1420" s="1478"/>
      <c r="K1420" s="1475" t="s">
        <v>846</v>
      </c>
      <c r="L1420" s="1474" t="s">
        <v>332</v>
      </c>
      <c r="M1420" s="1476" t="s">
        <v>841</v>
      </c>
      <c r="N1420" s="1477" t="s">
        <v>1695</v>
      </c>
      <c r="O1420" s="1479">
        <v>653</v>
      </c>
      <c r="P1420" s="1479"/>
      <c r="Q1420" s="1142">
        <f t="shared" si="397"/>
        <v>653</v>
      </c>
      <c r="R1420" s="1143">
        <f>IFERROR(VLOOKUP(CONCATENATE(E1420,G1420),'LAC 103'!$A$12:$O$95,11,FALSE),0)</f>
        <v>5.936295312319726</v>
      </c>
      <c r="S1420" s="1144">
        <f>IFERROR(VLOOKUP(CONCATENATE($E1420,$G1420),'LAC 103'!$A$12:$O$95,12,FALSE),0)</f>
        <v>7.34</v>
      </c>
      <c r="T1420" s="1144">
        <f>IFERROR(VLOOKUP(CONCATENATE($E1420,$G1420),'LAC 103'!$A$12:$O$95,13,FALSE),0)</f>
        <v>4.59</v>
      </c>
      <c r="U1420" s="1144">
        <f>IFERROR(VLOOKUP(CONCATENATE($E1420,$G1420),'LAC 103'!$A$12:$O$95,14,FALSE),0)</f>
        <v>0</v>
      </c>
      <c r="V1420" s="1144">
        <f>IFERROR(VLOOKUP(CONCATENATE($E1420,$G1420),'LAC 103'!$A$12:$O$95,15,FALSE),0)</f>
        <v>0</v>
      </c>
      <c r="W1420" s="1145" t="str">
        <f>IFERROR(VLOOKUP(CONCATENATE($B1420,$N1420),'LAC 103'!$AI:$AQ,9,FALSE),"")</f>
        <v>Costs</v>
      </c>
      <c r="X1420" s="1146">
        <f t="shared" si="402"/>
        <v>5.936295312319726</v>
      </c>
      <c r="Y1420" s="1143">
        <f t="shared" si="413"/>
        <v>3876.4008389447808</v>
      </c>
      <c r="Z1420" s="1147">
        <f t="shared" si="403"/>
        <v>4793.0199999999995</v>
      </c>
      <c r="AA1420" s="1144">
        <f t="shared" si="404"/>
        <v>2997.27</v>
      </c>
      <c r="AB1420" s="1144">
        <f t="shared" si="405"/>
        <v>0</v>
      </c>
      <c r="AC1420" s="1144">
        <f t="shared" si="406"/>
        <v>0</v>
      </c>
      <c r="AD1420" s="1148">
        <f t="shared" si="398"/>
        <v>3876.4008389447808</v>
      </c>
      <c r="AE1420" s="1487">
        <v>0</v>
      </c>
      <c r="AF1420" s="1145">
        <f t="shared" si="407"/>
        <v>3876.4008389447808</v>
      </c>
      <c r="AG1420" s="1149">
        <f>IFERROR(VLOOKUP(CONCATENATE($L1420,$N1420),'Drop List'!$G$23:$K$87,2,FALSE),0)</f>
        <v>0</v>
      </c>
      <c r="AH1420" s="1150">
        <f>IFERROR(VLOOKUP(CONCATENATE($L1420,$N1420),'Drop List'!$G$23:$K$87,3,FALSE),0)</f>
        <v>0</v>
      </c>
      <c r="AI1420" s="1150">
        <f>IFERROR(VLOOKUP(CONCATENATE($L1420,$N1420),'Drop List'!$G$23:$K$87,4,FALSE),0)</f>
        <v>0</v>
      </c>
      <c r="AJ1420" s="1151">
        <f>IFERROR(VLOOKUP(CONCATENATE($L1420,$N1420),'Drop List'!$G$23:$K$87,5,FALSE),0)</f>
        <v>0</v>
      </c>
      <c r="AK1420" s="1152">
        <f t="shared" si="408"/>
        <v>0</v>
      </c>
      <c r="AL1420" s="1153">
        <f t="shared" si="409"/>
        <v>0</v>
      </c>
      <c r="AM1420" s="1153">
        <f t="shared" si="410"/>
        <v>0</v>
      </c>
      <c r="AN1420" s="1145">
        <f t="shared" si="411"/>
        <v>0</v>
      </c>
      <c r="AO1420" s="1154">
        <f t="shared" si="412"/>
        <v>0</v>
      </c>
      <c r="AP1420" s="1147">
        <f t="shared" si="399"/>
        <v>3876.4008389447808</v>
      </c>
      <c r="AQ1420" s="1144">
        <f t="shared" si="400"/>
        <v>0</v>
      </c>
      <c r="AR1420" s="1146">
        <f t="shared" si="401"/>
        <v>3876.4008389447808</v>
      </c>
    </row>
    <row r="1421" spans="1:44" x14ac:dyDescent="0.2">
      <c r="A1421" s="1141" t="str">
        <f t="shared" si="396"/>
        <v>1563</v>
      </c>
      <c r="B1421" s="1141" t="str">
        <f>IFERROR(VLOOKUP(A1421,'LAC 103'!A:C,3,FALSE),"")</f>
        <v>OP</v>
      </c>
      <c r="C1421" s="1478" t="str">
        <f>Info!$B$8</f>
        <v>00100</v>
      </c>
      <c r="D1421" s="1474" t="s">
        <v>256</v>
      </c>
      <c r="E1421" s="1474" t="s">
        <v>95</v>
      </c>
      <c r="F1421" s="1478" t="s">
        <v>434</v>
      </c>
      <c r="G1421" s="1478" t="s">
        <v>434</v>
      </c>
      <c r="H1421" s="1474" t="s">
        <v>1659</v>
      </c>
      <c r="I1421" s="1478" t="s">
        <v>807</v>
      </c>
      <c r="J1421" s="1478"/>
      <c r="K1421" s="1475" t="s">
        <v>846</v>
      </c>
      <c r="L1421" s="1474" t="s">
        <v>332</v>
      </c>
      <c r="M1421" s="1476" t="s">
        <v>840</v>
      </c>
      <c r="N1421" s="1477" t="s">
        <v>1700</v>
      </c>
      <c r="O1421" s="1479">
        <v>1291</v>
      </c>
      <c r="P1421" s="1479"/>
      <c r="Q1421" s="1142">
        <f t="shared" si="397"/>
        <v>1291</v>
      </c>
      <c r="R1421" s="1143">
        <f>IFERROR(VLOOKUP(CONCATENATE(E1421,G1421),'LAC 103'!$A$12:$O$95,11,FALSE),0)</f>
        <v>5.936295312319726</v>
      </c>
      <c r="S1421" s="1144">
        <f>IFERROR(VLOOKUP(CONCATENATE($E1421,$G1421),'LAC 103'!$A$12:$O$95,12,FALSE),0)</f>
        <v>7.34</v>
      </c>
      <c r="T1421" s="1144">
        <f>IFERROR(VLOOKUP(CONCATENATE($E1421,$G1421),'LAC 103'!$A$12:$O$95,13,FALSE),0)</f>
        <v>4.59</v>
      </c>
      <c r="U1421" s="1144">
        <f>IFERROR(VLOOKUP(CONCATENATE($E1421,$G1421),'LAC 103'!$A$12:$O$95,14,FALSE),0)</f>
        <v>0</v>
      </c>
      <c r="V1421" s="1144">
        <f>IFERROR(VLOOKUP(CONCATENATE($E1421,$G1421),'LAC 103'!$A$12:$O$95,15,FALSE),0)</f>
        <v>0</v>
      </c>
      <c r="W1421" s="1145" t="str">
        <f>IFERROR(VLOOKUP(CONCATENATE($B1421,$N1421),'LAC 103'!$AI:$AQ,9,FALSE),"")</f>
        <v>P.C.</v>
      </c>
      <c r="X1421" s="1146">
        <f t="shared" si="402"/>
        <v>4.59</v>
      </c>
      <c r="Y1421" s="1143">
        <f t="shared" si="413"/>
        <v>7663.7572482047663</v>
      </c>
      <c r="Z1421" s="1147">
        <f t="shared" si="403"/>
        <v>9475.94</v>
      </c>
      <c r="AA1421" s="1144">
        <f t="shared" si="404"/>
        <v>5925.69</v>
      </c>
      <c r="AB1421" s="1144">
        <f t="shared" si="405"/>
        <v>0</v>
      </c>
      <c r="AC1421" s="1144">
        <f t="shared" si="406"/>
        <v>0</v>
      </c>
      <c r="AD1421" s="1148">
        <f t="shared" si="398"/>
        <v>5925.69</v>
      </c>
      <c r="AE1421" s="1487">
        <v>0</v>
      </c>
      <c r="AF1421" s="1145">
        <f t="shared" si="407"/>
        <v>5925.69</v>
      </c>
      <c r="AG1421" s="1149">
        <f>IFERROR(VLOOKUP(CONCATENATE($L1421,$N1421),'Drop List'!$G$23:$K$87,2,FALSE),0)</f>
        <v>0</v>
      </c>
      <c r="AH1421" s="1150">
        <f>IFERROR(VLOOKUP(CONCATENATE($L1421,$N1421),'Drop List'!$G$23:$K$87,3,FALSE),0)</f>
        <v>0</v>
      </c>
      <c r="AI1421" s="1150">
        <f>IFERROR(VLOOKUP(CONCATENATE($L1421,$N1421),'Drop List'!$G$23:$K$87,4,FALSE),0)</f>
        <v>0</v>
      </c>
      <c r="AJ1421" s="1151">
        <f>IFERROR(VLOOKUP(CONCATENATE($L1421,$N1421),'Drop List'!$G$23:$K$87,5,FALSE),0)</f>
        <v>0</v>
      </c>
      <c r="AK1421" s="1152">
        <f t="shared" si="408"/>
        <v>0</v>
      </c>
      <c r="AL1421" s="1153">
        <f t="shared" si="409"/>
        <v>0</v>
      </c>
      <c r="AM1421" s="1153">
        <f t="shared" si="410"/>
        <v>0</v>
      </c>
      <c r="AN1421" s="1145">
        <f t="shared" si="411"/>
        <v>0</v>
      </c>
      <c r="AO1421" s="1154">
        <f t="shared" si="412"/>
        <v>0</v>
      </c>
      <c r="AP1421" s="1147">
        <f t="shared" si="399"/>
        <v>5925.69</v>
      </c>
      <c r="AQ1421" s="1144">
        <f t="shared" si="400"/>
        <v>0</v>
      </c>
      <c r="AR1421" s="1146">
        <f t="shared" si="401"/>
        <v>5925.69</v>
      </c>
    </row>
    <row r="1422" spans="1:44" x14ac:dyDescent="0.2">
      <c r="A1422" s="1141" t="str">
        <f t="shared" si="396"/>
        <v>1563</v>
      </c>
      <c r="B1422" s="1141" t="str">
        <f>IFERROR(VLOOKUP(A1422,'LAC 103'!A:C,3,FALSE),"")</f>
        <v>OP</v>
      </c>
      <c r="C1422" s="1478" t="str">
        <f>Info!$B$8</f>
        <v>00100</v>
      </c>
      <c r="D1422" s="1474" t="s">
        <v>256</v>
      </c>
      <c r="E1422" s="1474" t="s">
        <v>95</v>
      </c>
      <c r="F1422" s="1478" t="s">
        <v>434</v>
      </c>
      <c r="G1422" s="1478" t="s">
        <v>434</v>
      </c>
      <c r="H1422" s="1474" t="s">
        <v>1659</v>
      </c>
      <c r="I1422" s="1478" t="s">
        <v>807</v>
      </c>
      <c r="J1422" s="1478"/>
      <c r="K1422" s="1475" t="s">
        <v>846</v>
      </c>
      <c r="L1422" s="1474" t="s">
        <v>332</v>
      </c>
      <c r="M1422" s="1476" t="s">
        <v>842</v>
      </c>
      <c r="N1422" s="1477" t="s">
        <v>1692</v>
      </c>
      <c r="O1422" s="1479">
        <v>2093</v>
      </c>
      <c r="P1422" s="1479"/>
      <c r="Q1422" s="1142">
        <f t="shared" si="397"/>
        <v>2093</v>
      </c>
      <c r="R1422" s="1143">
        <f>IFERROR(VLOOKUP(CONCATENATE(E1422,G1422),'LAC 103'!$A$12:$O$95,11,FALSE),0)</f>
        <v>5.936295312319726</v>
      </c>
      <c r="S1422" s="1144">
        <f>IFERROR(VLOOKUP(CONCATENATE($E1422,$G1422),'LAC 103'!$A$12:$O$95,12,FALSE),0)</f>
        <v>7.34</v>
      </c>
      <c r="T1422" s="1144">
        <f>IFERROR(VLOOKUP(CONCATENATE($E1422,$G1422),'LAC 103'!$A$12:$O$95,13,FALSE),0)</f>
        <v>4.59</v>
      </c>
      <c r="U1422" s="1144">
        <f>IFERROR(VLOOKUP(CONCATENATE($E1422,$G1422),'LAC 103'!$A$12:$O$95,14,FALSE),0)</f>
        <v>0</v>
      </c>
      <c r="V1422" s="1144">
        <f>IFERROR(VLOOKUP(CONCATENATE($E1422,$G1422),'LAC 103'!$A$12:$O$95,15,FALSE),0)</f>
        <v>0</v>
      </c>
      <c r="W1422" s="1145" t="str">
        <f>IFERROR(VLOOKUP(CONCATENATE($B1422,$N1422),'LAC 103'!$AI:$AQ,9,FALSE),"")</f>
        <v>Costs</v>
      </c>
      <c r="X1422" s="1146">
        <f t="shared" si="402"/>
        <v>5.936295312319726</v>
      </c>
      <c r="Y1422" s="1143">
        <f t="shared" si="413"/>
        <v>12424.666088685186</v>
      </c>
      <c r="Z1422" s="1147">
        <f t="shared" si="403"/>
        <v>15362.619999999999</v>
      </c>
      <c r="AA1422" s="1144">
        <f t="shared" si="404"/>
        <v>9606.869999999999</v>
      </c>
      <c r="AB1422" s="1144">
        <f t="shared" si="405"/>
        <v>0</v>
      </c>
      <c r="AC1422" s="1144">
        <f t="shared" si="406"/>
        <v>0</v>
      </c>
      <c r="AD1422" s="1148">
        <f t="shared" si="398"/>
        <v>12424.666088685186</v>
      </c>
      <c r="AE1422" s="1487">
        <v>0</v>
      </c>
      <c r="AF1422" s="1145">
        <f t="shared" si="407"/>
        <v>12424.666088685186</v>
      </c>
      <c r="AG1422" s="1149">
        <f>IFERROR(VLOOKUP(CONCATENATE($L1422,$N1422),'Drop List'!$G$23:$K$87,2,FALSE),0)</f>
        <v>0</v>
      </c>
      <c r="AH1422" s="1150">
        <f>IFERROR(VLOOKUP(CONCATENATE($L1422,$N1422),'Drop List'!$G$23:$K$87,3,FALSE),0)</f>
        <v>0</v>
      </c>
      <c r="AI1422" s="1150">
        <f>IFERROR(VLOOKUP(CONCATENATE($L1422,$N1422),'Drop List'!$G$23:$K$87,4,FALSE),0)</f>
        <v>0</v>
      </c>
      <c r="AJ1422" s="1151">
        <f>IFERROR(VLOOKUP(CONCATENATE($L1422,$N1422),'Drop List'!$G$23:$K$87,5,FALSE),0)</f>
        <v>0</v>
      </c>
      <c r="AK1422" s="1152">
        <f t="shared" si="408"/>
        <v>0</v>
      </c>
      <c r="AL1422" s="1153">
        <f t="shared" si="409"/>
        <v>0</v>
      </c>
      <c r="AM1422" s="1153">
        <f t="shared" si="410"/>
        <v>0</v>
      </c>
      <c r="AN1422" s="1145">
        <f t="shared" si="411"/>
        <v>0</v>
      </c>
      <c r="AO1422" s="1154">
        <f t="shared" si="412"/>
        <v>0</v>
      </c>
      <c r="AP1422" s="1147">
        <f t="shared" si="399"/>
        <v>12424.666088685186</v>
      </c>
      <c r="AQ1422" s="1144">
        <f t="shared" si="400"/>
        <v>0</v>
      </c>
      <c r="AR1422" s="1146">
        <f t="shared" si="401"/>
        <v>12424.666088685186</v>
      </c>
    </row>
    <row r="1423" spans="1:44" x14ac:dyDescent="0.2">
      <c r="A1423" s="1141" t="str">
        <f t="shared" si="396"/>
        <v>1563</v>
      </c>
      <c r="B1423" s="1141" t="str">
        <f>IFERROR(VLOOKUP(A1423,'LAC 103'!A:C,3,FALSE),"")</f>
        <v>OP</v>
      </c>
      <c r="C1423" s="1478" t="str">
        <f>Info!$B$8</f>
        <v>00100</v>
      </c>
      <c r="D1423" s="1474" t="s">
        <v>256</v>
      </c>
      <c r="E1423" s="1474" t="s">
        <v>95</v>
      </c>
      <c r="F1423" s="1478" t="s">
        <v>434</v>
      </c>
      <c r="G1423" s="1478" t="s">
        <v>434</v>
      </c>
      <c r="H1423" s="1474" t="s">
        <v>1659</v>
      </c>
      <c r="I1423" s="1478" t="s">
        <v>807</v>
      </c>
      <c r="J1423" s="1478"/>
      <c r="K1423" s="1475" t="s">
        <v>846</v>
      </c>
      <c r="L1423" s="1474" t="s">
        <v>332</v>
      </c>
      <c r="M1423" s="1476" t="s">
        <v>1698</v>
      </c>
      <c r="N1423" s="1477" t="s">
        <v>1693</v>
      </c>
      <c r="O1423" s="1479">
        <v>1613</v>
      </c>
      <c r="P1423" s="1479"/>
      <c r="Q1423" s="1142">
        <f t="shared" si="397"/>
        <v>1613</v>
      </c>
      <c r="R1423" s="1143">
        <f>IFERROR(VLOOKUP(CONCATENATE(E1423,G1423),'LAC 103'!$A$12:$O$95,11,FALSE),0)</f>
        <v>5.936295312319726</v>
      </c>
      <c r="S1423" s="1144">
        <f>IFERROR(VLOOKUP(CONCATENATE($E1423,$G1423),'LAC 103'!$A$12:$O$95,12,FALSE),0)</f>
        <v>7.34</v>
      </c>
      <c r="T1423" s="1144">
        <f>IFERROR(VLOOKUP(CONCATENATE($E1423,$G1423),'LAC 103'!$A$12:$O$95,13,FALSE),0)</f>
        <v>4.59</v>
      </c>
      <c r="U1423" s="1144">
        <f>IFERROR(VLOOKUP(CONCATENATE($E1423,$G1423),'LAC 103'!$A$12:$O$95,14,FALSE),0)</f>
        <v>0</v>
      </c>
      <c r="V1423" s="1144">
        <f>IFERROR(VLOOKUP(CONCATENATE($E1423,$G1423),'LAC 103'!$A$12:$O$95,15,FALSE),0)</f>
        <v>0</v>
      </c>
      <c r="W1423" s="1145" t="str">
        <f>IFERROR(VLOOKUP(CONCATENATE($B1423,$N1423),'LAC 103'!$AI:$AQ,9,FALSE),"")</f>
        <v>Costs</v>
      </c>
      <c r="X1423" s="1146">
        <f t="shared" si="402"/>
        <v>5.936295312319726</v>
      </c>
      <c r="Y1423" s="1143">
        <f t="shared" si="413"/>
        <v>9575.2443387717176</v>
      </c>
      <c r="Z1423" s="1147">
        <f t="shared" si="403"/>
        <v>11839.42</v>
      </c>
      <c r="AA1423" s="1144">
        <f t="shared" si="404"/>
        <v>7403.67</v>
      </c>
      <c r="AB1423" s="1144">
        <f t="shared" si="405"/>
        <v>0</v>
      </c>
      <c r="AC1423" s="1144">
        <f t="shared" si="406"/>
        <v>0</v>
      </c>
      <c r="AD1423" s="1148">
        <f t="shared" si="398"/>
        <v>9575.2443387717176</v>
      </c>
      <c r="AE1423" s="1487">
        <v>0</v>
      </c>
      <c r="AF1423" s="1145">
        <f t="shared" si="407"/>
        <v>9575.2443387717176</v>
      </c>
      <c r="AG1423" s="1149">
        <f>IFERROR(VLOOKUP(CONCATENATE($L1423,$N1423),'Drop List'!$G$23:$K$87,2,FALSE),0)</f>
        <v>0</v>
      </c>
      <c r="AH1423" s="1150">
        <f>IFERROR(VLOOKUP(CONCATENATE($L1423,$N1423),'Drop List'!$G$23:$K$87,3,FALSE),0)</f>
        <v>0</v>
      </c>
      <c r="AI1423" s="1150">
        <f>IFERROR(VLOOKUP(CONCATENATE($L1423,$N1423),'Drop List'!$G$23:$K$87,4,FALSE),0)</f>
        <v>0</v>
      </c>
      <c r="AJ1423" s="1151">
        <f>IFERROR(VLOOKUP(CONCATENATE($L1423,$N1423),'Drop List'!$G$23:$K$87,5,FALSE),0)</f>
        <v>0</v>
      </c>
      <c r="AK1423" s="1152">
        <f t="shared" si="408"/>
        <v>0</v>
      </c>
      <c r="AL1423" s="1153">
        <f t="shared" si="409"/>
        <v>0</v>
      </c>
      <c r="AM1423" s="1153">
        <f t="shared" si="410"/>
        <v>0</v>
      </c>
      <c r="AN1423" s="1145">
        <f t="shared" si="411"/>
        <v>0</v>
      </c>
      <c r="AO1423" s="1154">
        <f t="shared" si="412"/>
        <v>0</v>
      </c>
      <c r="AP1423" s="1147">
        <f t="shared" si="399"/>
        <v>9575.2443387717176</v>
      </c>
      <c r="AQ1423" s="1144">
        <f t="shared" si="400"/>
        <v>0</v>
      </c>
      <c r="AR1423" s="1146">
        <f t="shared" si="401"/>
        <v>9575.2443387717176</v>
      </c>
    </row>
    <row r="1424" spans="1:44" x14ac:dyDescent="0.2">
      <c r="A1424" s="1141" t="str">
        <f t="shared" si="396"/>
        <v>1563</v>
      </c>
      <c r="B1424" s="1141" t="str">
        <f>IFERROR(VLOOKUP(A1424,'LAC 103'!A:C,3,FALSE),"")</f>
        <v>OP</v>
      </c>
      <c r="C1424" s="1478" t="str">
        <f>Info!$B$8</f>
        <v>00100</v>
      </c>
      <c r="D1424" s="1474" t="s">
        <v>256</v>
      </c>
      <c r="E1424" s="1474" t="s">
        <v>95</v>
      </c>
      <c r="F1424" s="1478" t="s">
        <v>434</v>
      </c>
      <c r="G1424" s="1478" t="s">
        <v>434</v>
      </c>
      <c r="H1424" s="1474" t="s">
        <v>987</v>
      </c>
      <c r="I1424" s="1478" t="s">
        <v>811</v>
      </c>
      <c r="J1424" s="1478" t="s">
        <v>123</v>
      </c>
      <c r="K1424" s="1475" t="s">
        <v>846</v>
      </c>
      <c r="L1424" s="1474" t="s">
        <v>332</v>
      </c>
      <c r="M1424" s="1476" t="s">
        <v>1699</v>
      </c>
      <c r="N1424" s="1477" t="s">
        <v>1694</v>
      </c>
      <c r="O1424" s="1479">
        <v>4120</v>
      </c>
      <c r="P1424" s="1479"/>
      <c r="Q1424" s="1142">
        <f t="shared" si="397"/>
        <v>4120</v>
      </c>
      <c r="R1424" s="1143">
        <f>IFERROR(VLOOKUP(CONCATENATE(E1424,G1424),'LAC 103'!$A$12:$O$95,11,FALSE),0)</f>
        <v>5.936295312319726</v>
      </c>
      <c r="S1424" s="1144">
        <f>IFERROR(VLOOKUP(CONCATENATE($E1424,$G1424),'LAC 103'!$A$12:$O$95,12,FALSE),0)</f>
        <v>7.34</v>
      </c>
      <c r="T1424" s="1144">
        <f>IFERROR(VLOOKUP(CONCATENATE($E1424,$G1424),'LAC 103'!$A$12:$O$95,13,FALSE),0)</f>
        <v>4.59</v>
      </c>
      <c r="U1424" s="1144">
        <f>IFERROR(VLOOKUP(CONCATENATE($E1424,$G1424),'LAC 103'!$A$12:$O$95,14,FALSE),0)</f>
        <v>0</v>
      </c>
      <c r="V1424" s="1144">
        <f>IFERROR(VLOOKUP(CONCATENATE($E1424,$G1424),'LAC 103'!$A$12:$O$95,15,FALSE),0)</f>
        <v>0</v>
      </c>
      <c r="W1424" s="1145" t="str">
        <f>IFERROR(VLOOKUP(CONCATENATE($B1424,$N1424),'LAC 103'!$AI:$AQ,9,FALSE),"")</f>
        <v>Costs</v>
      </c>
      <c r="X1424" s="1146">
        <f t="shared" si="402"/>
        <v>5.936295312319726</v>
      </c>
      <c r="Y1424" s="1143">
        <f t="shared" si="413"/>
        <v>24457.53668675727</v>
      </c>
      <c r="Z1424" s="1147">
        <f t="shared" si="403"/>
        <v>30240.799999999999</v>
      </c>
      <c r="AA1424" s="1144">
        <f t="shared" si="404"/>
        <v>18910.8</v>
      </c>
      <c r="AB1424" s="1144">
        <f t="shared" si="405"/>
        <v>0</v>
      </c>
      <c r="AC1424" s="1144">
        <f t="shared" si="406"/>
        <v>0</v>
      </c>
      <c r="AD1424" s="1148">
        <f t="shared" si="398"/>
        <v>24457.53668675727</v>
      </c>
      <c r="AE1424" s="1487">
        <v>0</v>
      </c>
      <c r="AF1424" s="1145">
        <f t="shared" si="407"/>
        <v>24457.53668675727</v>
      </c>
      <c r="AG1424" s="1149">
        <f>IFERROR(VLOOKUP(CONCATENATE($L1424,$N1424),'Drop List'!$G$23:$K$87,2,FALSE),0)</f>
        <v>0</v>
      </c>
      <c r="AH1424" s="1150">
        <f>IFERROR(VLOOKUP(CONCATENATE($L1424,$N1424),'Drop List'!$G$23:$K$87,3,FALSE),0)</f>
        <v>0</v>
      </c>
      <c r="AI1424" s="1150">
        <f>IFERROR(VLOOKUP(CONCATENATE($L1424,$N1424),'Drop List'!$G$23:$K$87,4,FALSE),0)</f>
        <v>0</v>
      </c>
      <c r="AJ1424" s="1151">
        <f>IFERROR(VLOOKUP(CONCATENATE($L1424,$N1424),'Drop List'!$G$23:$K$87,5,FALSE),0)</f>
        <v>0</v>
      </c>
      <c r="AK1424" s="1152">
        <f t="shared" si="408"/>
        <v>0</v>
      </c>
      <c r="AL1424" s="1153">
        <f t="shared" si="409"/>
        <v>0</v>
      </c>
      <c r="AM1424" s="1153">
        <f t="shared" si="410"/>
        <v>0</v>
      </c>
      <c r="AN1424" s="1145">
        <f t="shared" si="411"/>
        <v>0</v>
      </c>
      <c r="AO1424" s="1154">
        <f t="shared" si="412"/>
        <v>0</v>
      </c>
      <c r="AP1424" s="1147">
        <f t="shared" si="399"/>
        <v>24457.53668675727</v>
      </c>
      <c r="AQ1424" s="1144">
        <f t="shared" si="400"/>
        <v>0</v>
      </c>
      <c r="AR1424" s="1146">
        <f t="shared" si="401"/>
        <v>24457.53668675727</v>
      </c>
    </row>
    <row r="1425" spans="1:44" x14ac:dyDescent="0.2">
      <c r="A1425" s="1141" t="str">
        <f t="shared" si="396"/>
        <v>1563</v>
      </c>
      <c r="B1425" s="1141" t="str">
        <f>IFERROR(VLOOKUP(A1425,'LAC 103'!A:C,3,FALSE),"")</f>
        <v>OP</v>
      </c>
      <c r="C1425" s="1478" t="str">
        <f>Info!$B$8</f>
        <v>00100</v>
      </c>
      <c r="D1425" s="1474" t="s">
        <v>256</v>
      </c>
      <c r="E1425" s="1474" t="s">
        <v>95</v>
      </c>
      <c r="F1425" s="1478" t="s">
        <v>434</v>
      </c>
      <c r="G1425" s="1478" t="s">
        <v>434</v>
      </c>
      <c r="H1425" s="1474" t="s">
        <v>987</v>
      </c>
      <c r="I1425" s="1478" t="s">
        <v>811</v>
      </c>
      <c r="J1425" s="1478"/>
      <c r="K1425" s="1475" t="s">
        <v>846</v>
      </c>
      <c r="L1425" s="1474" t="s">
        <v>332</v>
      </c>
      <c r="M1425" s="1476" t="s">
        <v>841</v>
      </c>
      <c r="N1425" s="1477" t="s">
        <v>1695</v>
      </c>
      <c r="O1425" s="1479">
        <v>1287</v>
      </c>
      <c r="P1425" s="1479"/>
      <c r="Q1425" s="1142">
        <f t="shared" si="397"/>
        <v>1287</v>
      </c>
      <c r="R1425" s="1143">
        <f>IFERROR(VLOOKUP(CONCATENATE(E1425,G1425),'LAC 103'!$A$12:$O$95,11,FALSE),0)</f>
        <v>5.936295312319726</v>
      </c>
      <c r="S1425" s="1144">
        <f>IFERROR(VLOOKUP(CONCATENATE($E1425,$G1425),'LAC 103'!$A$12:$O$95,12,FALSE),0)</f>
        <v>7.34</v>
      </c>
      <c r="T1425" s="1144">
        <f>IFERROR(VLOOKUP(CONCATENATE($E1425,$G1425),'LAC 103'!$A$12:$O$95,13,FALSE),0)</f>
        <v>4.59</v>
      </c>
      <c r="U1425" s="1144">
        <f>IFERROR(VLOOKUP(CONCATENATE($E1425,$G1425),'LAC 103'!$A$12:$O$95,14,FALSE),0)</f>
        <v>0</v>
      </c>
      <c r="V1425" s="1144">
        <f>IFERROR(VLOOKUP(CONCATENATE($E1425,$G1425),'LAC 103'!$A$12:$O$95,15,FALSE),0)</f>
        <v>0</v>
      </c>
      <c r="W1425" s="1145" t="str">
        <f>IFERROR(VLOOKUP(CONCATENATE($B1425,$N1425),'LAC 103'!$AI:$AQ,9,FALSE),"")</f>
        <v>Costs</v>
      </c>
      <c r="X1425" s="1146">
        <f t="shared" si="402"/>
        <v>5.936295312319726</v>
      </c>
      <c r="Y1425" s="1143">
        <f t="shared" si="413"/>
        <v>7640.0120669554872</v>
      </c>
      <c r="Z1425" s="1147">
        <f t="shared" si="403"/>
        <v>9446.58</v>
      </c>
      <c r="AA1425" s="1144">
        <f t="shared" si="404"/>
        <v>5907.33</v>
      </c>
      <c r="AB1425" s="1144">
        <f t="shared" si="405"/>
        <v>0</v>
      </c>
      <c r="AC1425" s="1144">
        <f t="shared" si="406"/>
        <v>0</v>
      </c>
      <c r="AD1425" s="1148">
        <f t="shared" si="398"/>
        <v>7640.0120669554872</v>
      </c>
      <c r="AE1425" s="1487">
        <v>0</v>
      </c>
      <c r="AF1425" s="1145">
        <f t="shared" si="407"/>
        <v>7640.0120669554872</v>
      </c>
      <c r="AG1425" s="1149">
        <f>IFERROR(VLOOKUP(CONCATENATE($L1425,$N1425),'Drop List'!$G$23:$K$87,2,FALSE),0)</f>
        <v>0</v>
      </c>
      <c r="AH1425" s="1150">
        <f>IFERROR(VLOOKUP(CONCATENATE($L1425,$N1425),'Drop List'!$G$23:$K$87,3,FALSE),0)</f>
        <v>0</v>
      </c>
      <c r="AI1425" s="1150">
        <f>IFERROR(VLOOKUP(CONCATENATE($L1425,$N1425),'Drop List'!$G$23:$K$87,4,FALSE),0)</f>
        <v>0</v>
      </c>
      <c r="AJ1425" s="1151">
        <f>IFERROR(VLOOKUP(CONCATENATE($L1425,$N1425),'Drop List'!$G$23:$K$87,5,FALSE),0)</f>
        <v>0</v>
      </c>
      <c r="AK1425" s="1152">
        <f t="shared" si="408"/>
        <v>0</v>
      </c>
      <c r="AL1425" s="1153">
        <f t="shared" si="409"/>
        <v>0</v>
      </c>
      <c r="AM1425" s="1153">
        <f t="shared" si="410"/>
        <v>0</v>
      </c>
      <c r="AN1425" s="1145">
        <f t="shared" si="411"/>
        <v>0</v>
      </c>
      <c r="AO1425" s="1154">
        <f t="shared" si="412"/>
        <v>0</v>
      </c>
      <c r="AP1425" s="1147">
        <f t="shared" si="399"/>
        <v>7640.0120669554872</v>
      </c>
      <c r="AQ1425" s="1144">
        <f t="shared" si="400"/>
        <v>0</v>
      </c>
      <c r="AR1425" s="1146">
        <f t="shared" si="401"/>
        <v>7640.0120669554872</v>
      </c>
    </row>
    <row r="1426" spans="1:44" x14ac:dyDescent="0.2">
      <c r="A1426" s="1141" t="str">
        <f t="shared" si="396"/>
        <v>1563</v>
      </c>
      <c r="B1426" s="1141" t="str">
        <f>IFERROR(VLOOKUP(A1426,'LAC 103'!A:C,3,FALSE),"")</f>
        <v>OP</v>
      </c>
      <c r="C1426" s="1478" t="str">
        <f>Info!$B$8</f>
        <v>00100</v>
      </c>
      <c r="D1426" s="1474" t="s">
        <v>256</v>
      </c>
      <c r="E1426" s="1474" t="s">
        <v>95</v>
      </c>
      <c r="F1426" s="1478" t="s">
        <v>434</v>
      </c>
      <c r="G1426" s="1478" t="s">
        <v>434</v>
      </c>
      <c r="H1426" s="1474" t="s">
        <v>987</v>
      </c>
      <c r="I1426" s="1478" t="s">
        <v>811</v>
      </c>
      <c r="J1426" s="1478"/>
      <c r="K1426" s="1475" t="s">
        <v>846</v>
      </c>
      <c r="L1426" s="1474" t="s">
        <v>332</v>
      </c>
      <c r="M1426" s="1476" t="s">
        <v>840</v>
      </c>
      <c r="N1426" s="1477" t="s">
        <v>1700</v>
      </c>
      <c r="O1426" s="1479">
        <v>1805</v>
      </c>
      <c r="P1426" s="1479"/>
      <c r="Q1426" s="1142">
        <f t="shared" si="397"/>
        <v>1805</v>
      </c>
      <c r="R1426" s="1143">
        <f>IFERROR(VLOOKUP(CONCATENATE(E1426,G1426),'LAC 103'!$A$12:$O$95,11,FALSE),0)</f>
        <v>5.936295312319726</v>
      </c>
      <c r="S1426" s="1144">
        <f>IFERROR(VLOOKUP(CONCATENATE($E1426,$G1426),'LAC 103'!$A$12:$O$95,12,FALSE),0)</f>
        <v>7.34</v>
      </c>
      <c r="T1426" s="1144">
        <f>IFERROR(VLOOKUP(CONCATENATE($E1426,$G1426),'LAC 103'!$A$12:$O$95,13,FALSE),0)</f>
        <v>4.59</v>
      </c>
      <c r="U1426" s="1144">
        <f>IFERROR(VLOOKUP(CONCATENATE($E1426,$G1426),'LAC 103'!$A$12:$O$95,14,FALSE),0)</f>
        <v>0</v>
      </c>
      <c r="V1426" s="1144">
        <f>IFERROR(VLOOKUP(CONCATENATE($E1426,$G1426),'LAC 103'!$A$12:$O$95,15,FALSE),0)</f>
        <v>0</v>
      </c>
      <c r="W1426" s="1145" t="str">
        <f>IFERROR(VLOOKUP(CONCATENATE($B1426,$N1426),'LAC 103'!$AI:$AQ,9,FALSE),"")</f>
        <v>P.C.</v>
      </c>
      <c r="X1426" s="1146">
        <f t="shared" si="402"/>
        <v>4.59</v>
      </c>
      <c r="Y1426" s="1143">
        <f t="shared" si="413"/>
        <v>10715.013038737105</v>
      </c>
      <c r="Z1426" s="1147">
        <f t="shared" si="403"/>
        <v>13248.699999999999</v>
      </c>
      <c r="AA1426" s="1144">
        <f t="shared" si="404"/>
        <v>8284.9499999999989</v>
      </c>
      <c r="AB1426" s="1144">
        <f t="shared" si="405"/>
        <v>0</v>
      </c>
      <c r="AC1426" s="1144">
        <f t="shared" si="406"/>
        <v>0</v>
      </c>
      <c r="AD1426" s="1148">
        <f t="shared" si="398"/>
        <v>8284.9499999999989</v>
      </c>
      <c r="AE1426" s="1487">
        <v>0</v>
      </c>
      <c r="AF1426" s="1145">
        <f t="shared" si="407"/>
        <v>8284.9499999999989</v>
      </c>
      <c r="AG1426" s="1149">
        <f>IFERROR(VLOOKUP(CONCATENATE($L1426,$N1426),'Drop List'!$G$23:$K$87,2,FALSE),0)</f>
        <v>0</v>
      </c>
      <c r="AH1426" s="1150">
        <f>IFERROR(VLOOKUP(CONCATENATE($L1426,$N1426),'Drop List'!$G$23:$K$87,3,FALSE),0)</f>
        <v>0</v>
      </c>
      <c r="AI1426" s="1150">
        <f>IFERROR(VLOOKUP(CONCATENATE($L1426,$N1426),'Drop List'!$G$23:$K$87,4,FALSE),0)</f>
        <v>0</v>
      </c>
      <c r="AJ1426" s="1151">
        <f>IFERROR(VLOOKUP(CONCATENATE($L1426,$N1426),'Drop List'!$G$23:$K$87,5,FALSE),0)</f>
        <v>0</v>
      </c>
      <c r="AK1426" s="1152">
        <f t="shared" si="408"/>
        <v>0</v>
      </c>
      <c r="AL1426" s="1153">
        <f t="shared" si="409"/>
        <v>0</v>
      </c>
      <c r="AM1426" s="1153">
        <f t="shared" si="410"/>
        <v>0</v>
      </c>
      <c r="AN1426" s="1145">
        <f t="shared" si="411"/>
        <v>0</v>
      </c>
      <c r="AO1426" s="1154">
        <f t="shared" si="412"/>
        <v>0</v>
      </c>
      <c r="AP1426" s="1147">
        <f t="shared" si="399"/>
        <v>8284.9499999999989</v>
      </c>
      <c r="AQ1426" s="1144">
        <f t="shared" si="400"/>
        <v>0</v>
      </c>
      <c r="AR1426" s="1146">
        <f t="shared" si="401"/>
        <v>8284.9499999999989</v>
      </c>
    </row>
    <row r="1427" spans="1:44" x14ac:dyDescent="0.2">
      <c r="A1427" s="1141" t="str">
        <f t="shared" si="396"/>
        <v>1563</v>
      </c>
      <c r="B1427" s="1141" t="str">
        <f>IFERROR(VLOOKUP(A1427,'LAC 103'!A:C,3,FALSE),"")</f>
        <v>OP</v>
      </c>
      <c r="C1427" s="1478" t="str">
        <f>Info!$B$8</f>
        <v>00100</v>
      </c>
      <c r="D1427" s="1474" t="s">
        <v>256</v>
      </c>
      <c r="E1427" s="1474" t="s">
        <v>95</v>
      </c>
      <c r="F1427" s="1478" t="s">
        <v>434</v>
      </c>
      <c r="G1427" s="1478" t="s">
        <v>434</v>
      </c>
      <c r="H1427" s="1474" t="s">
        <v>987</v>
      </c>
      <c r="I1427" s="1478" t="s">
        <v>811</v>
      </c>
      <c r="J1427" s="1478"/>
      <c r="K1427" s="1475" t="s">
        <v>846</v>
      </c>
      <c r="L1427" s="1474" t="s">
        <v>332</v>
      </c>
      <c r="M1427" s="1476" t="s">
        <v>842</v>
      </c>
      <c r="N1427" s="1477" t="s">
        <v>1692</v>
      </c>
      <c r="O1427" s="1479">
        <v>3060</v>
      </c>
      <c r="P1427" s="1479"/>
      <c r="Q1427" s="1142">
        <f t="shared" si="397"/>
        <v>3060</v>
      </c>
      <c r="R1427" s="1143">
        <f>IFERROR(VLOOKUP(CONCATENATE(E1427,G1427),'LAC 103'!$A$12:$O$95,11,FALSE),0)</f>
        <v>5.936295312319726</v>
      </c>
      <c r="S1427" s="1144">
        <f>IFERROR(VLOOKUP(CONCATENATE($E1427,$G1427),'LAC 103'!$A$12:$O$95,12,FALSE),0)</f>
        <v>7.34</v>
      </c>
      <c r="T1427" s="1144">
        <f>IFERROR(VLOOKUP(CONCATENATE($E1427,$G1427),'LAC 103'!$A$12:$O$95,13,FALSE),0)</f>
        <v>4.59</v>
      </c>
      <c r="U1427" s="1144">
        <f>IFERROR(VLOOKUP(CONCATENATE($E1427,$G1427),'LAC 103'!$A$12:$O$95,14,FALSE),0)</f>
        <v>0</v>
      </c>
      <c r="V1427" s="1144">
        <f>IFERROR(VLOOKUP(CONCATENATE($E1427,$G1427),'LAC 103'!$A$12:$O$95,15,FALSE),0)</f>
        <v>0</v>
      </c>
      <c r="W1427" s="1145" t="str">
        <f>IFERROR(VLOOKUP(CONCATENATE($B1427,$N1427),'LAC 103'!$AI:$AQ,9,FALSE),"")</f>
        <v>Costs</v>
      </c>
      <c r="X1427" s="1146">
        <f t="shared" si="402"/>
        <v>5.936295312319726</v>
      </c>
      <c r="Y1427" s="1143">
        <f t="shared" si="413"/>
        <v>18165.063655698363</v>
      </c>
      <c r="Z1427" s="1147">
        <f t="shared" si="403"/>
        <v>22460.399999999998</v>
      </c>
      <c r="AA1427" s="1144">
        <f t="shared" si="404"/>
        <v>14045.4</v>
      </c>
      <c r="AB1427" s="1144">
        <f t="shared" si="405"/>
        <v>0</v>
      </c>
      <c r="AC1427" s="1144">
        <f t="shared" si="406"/>
        <v>0</v>
      </c>
      <c r="AD1427" s="1148">
        <f t="shared" si="398"/>
        <v>18165.063655698363</v>
      </c>
      <c r="AE1427" s="1487">
        <v>0</v>
      </c>
      <c r="AF1427" s="1145">
        <f t="shared" si="407"/>
        <v>18165.063655698363</v>
      </c>
      <c r="AG1427" s="1149">
        <f>IFERROR(VLOOKUP(CONCATENATE($L1427,$N1427),'Drop List'!$G$23:$K$87,2,FALSE),0)</f>
        <v>0</v>
      </c>
      <c r="AH1427" s="1150">
        <f>IFERROR(VLOOKUP(CONCATENATE($L1427,$N1427),'Drop List'!$G$23:$K$87,3,FALSE),0)</f>
        <v>0</v>
      </c>
      <c r="AI1427" s="1150">
        <f>IFERROR(VLOOKUP(CONCATENATE($L1427,$N1427),'Drop List'!$G$23:$K$87,4,FALSE),0)</f>
        <v>0</v>
      </c>
      <c r="AJ1427" s="1151">
        <f>IFERROR(VLOOKUP(CONCATENATE($L1427,$N1427),'Drop List'!$G$23:$K$87,5,FALSE),0)</f>
        <v>0</v>
      </c>
      <c r="AK1427" s="1152">
        <f t="shared" si="408"/>
        <v>0</v>
      </c>
      <c r="AL1427" s="1153">
        <f t="shared" si="409"/>
        <v>0</v>
      </c>
      <c r="AM1427" s="1153">
        <f t="shared" si="410"/>
        <v>0</v>
      </c>
      <c r="AN1427" s="1145">
        <f t="shared" si="411"/>
        <v>0</v>
      </c>
      <c r="AO1427" s="1154">
        <f t="shared" si="412"/>
        <v>0</v>
      </c>
      <c r="AP1427" s="1147">
        <f t="shared" si="399"/>
        <v>18165.063655698363</v>
      </c>
      <c r="AQ1427" s="1144">
        <f t="shared" si="400"/>
        <v>0</v>
      </c>
      <c r="AR1427" s="1146">
        <f t="shared" si="401"/>
        <v>18165.063655698363</v>
      </c>
    </row>
    <row r="1428" spans="1:44" x14ac:dyDescent="0.2">
      <c r="A1428" s="1141" t="str">
        <f t="shared" si="396"/>
        <v>1563</v>
      </c>
      <c r="B1428" s="1141" t="str">
        <f>IFERROR(VLOOKUP(A1428,'LAC 103'!A:C,3,FALSE),"")</f>
        <v>OP</v>
      </c>
      <c r="C1428" s="1478" t="str">
        <f>Info!$B$8</f>
        <v>00100</v>
      </c>
      <c r="D1428" s="1474" t="s">
        <v>256</v>
      </c>
      <c r="E1428" s="1474" t="s">
        <v>95</v>
      </c>
      <c r="F1428" s="1478" t="s">
        <v>434</v>
      </c>
      <c r="G1428" s="1478" t="s">
        <v>434</v>
      </c>
      <c r="H1428" s="1474" t="s">
        <v>987</v>
      </c>
      <c r="I1428" s="1478" t="s">
        <v>811</v>
      </c>
      <c r="J1428" s="1478"/>
      <c r="K1428" s="1475" t="s">
        <v>846</v>
      </c>
      <c r="L1428" s="1474" t="s">
        <v>332</v>
      </c>
      <c r="M1428" s="1476" t="s">
        <v>1698</v>
      </c>
      <c r="N1428" s="1477" t="s">
        <v>1693</v>
      </c>
      <c r="O1428" s="1479">
        <v>3702</v>
      </c>
      <c r="P1428" s="1479"/>
      <c r="Q1428" s="1142">
        <f t="shared" si="397"/>
        <v>3702</v>
      </c>
      <c r="R1428" s="1143">
        <f>IFERROR(VLOOKUP(CONCATENATE(E1428,G1428),'LAC 103'!$A$12:$O$95,11,FALSE),0)</f>
        <v>5.936295312319726</v>
      </c>
      <c r="S1428" s="1144">
        <f>IFERROR(VLOOKUP(CONCATENATE($E1428,$G1428),'LAC 103'!$A$12:$O$95,12,FALSE),0)</f>
        <v>7.34</v>
      </c>
      <c r="T1428" s="1144">
        <f>IFERROR(VLOOKUP(CONCATENATE($E1428,$G1428),'LAC 103'!$A$12:$O$95,13,FALSE),0)</f>
        <v>4.59</v>
      </c>
      <c r="U1428" s="1144">
        <f>IFERROR(VLOOKUP(CONCATENATE($E1428,$G1428),'LAC 103'!$A$12:$O$95,14,FALSE),0)</f>
        <v>0</v>
      </c>
      <c r="V1428" s="1144">
        <f>IFERROR(VLOOKUP(CONCATENATE($E1428,$G1428),'LAC 103'!$A$12:$O$95,15,FALSE),0)</f>
        <v>0</v>
      </c>
      <c r="W1428" s="1145" t="str">
        <f>IFERROR(VLOOKUP(CONCATENATE($B1428,$N1428),'LAC 103'!$AI:$AQ,9,FALSE),"")</f>
        <v>Costs</v>
      </c>
      <c r="X1428" s="1146">
        <f t="shared" si="402"/>
        <v>5.936295312319726</v>
      </c>
      <c r="Y1428" s="1143">
        <f t="shared" si="413"/>
        <v>21976.165246207627</v>
      </c>
      <c r="Z1428" s="1147">
        <f t="shared" si="403"/>
        <v>27172.68</v>
      </c>
      <c r="AA1428" s="1144">
        <f t="shared" si="404"/>
        <v>16992.18</v>
      </c>
      <c r="AB1428" s="1144">
        <f t="shared" si="405"/>
        <v>0</v>
      </c>
      <c r="AC1428" s="1144">
        <f t="shared" si="406"/>
        <v>0</v>
      </c>
      <c r="AD1428" s="1148">
        <f t="shared" si="398"/>
        <v>21976.165246207627</v>
      </c>
      <c r="AE1428" s="1487">
        <v>0</v>
      </c>
      <c r="AF1428" s="1145">
        <f t="shared" si="407"/>
        <v>21976.165246207627</v>
      </c>
      <c r="AG1428" s="1149">
        <f>IFERROR(VLOOKUP(CONCATENATE($L1428,$N1428),'Drop List'!$G$23:$K$87,2,FALSE),0)</f>
        <v>0</v>
      </c>
      <c r="AH1428" s="1150">
        <f>IFERROR(VLOOKUP(CONCATENATE($L1428,$N1428),'Drop List'!$G$23:$K$87,3,FALSE),0)</f>
        <v>0</v>
      </c>
      <c r="AI1428" s="1150">
        <f>IFERROR(VLOOKUP(CONCATENATE($L1428,$N1428),'Drop List'!$G$23:$K$87,4,FALSE),0)</f>
        <v>0</v>
      </c>
      <c r="AJ1428" s="1151">
        <f>IFERROR(VLOOKUP(CONCATENATE($L1428,$N1428),'Drop List'!$G$23:$K$87,5,FALSE),0)</f>
        <v>0</v>
      </c>
      <c r="AK1428" s="1152">
        <f t="shared" si="408"/>
        <v>0</v>
      </c>
      <c r="AL1428" s="1153">
        <f t="shared" si="409"/>
        <v>0</v>
      </c>
      <c r="AM1428" s="1153">
        <f t="shared" si="410"/>
        <v>0</v>
      </c>
      <c r="AN1428" s="1145">
        <f t="shared" si="411"/>
        <v>0</v>
      </c>
      <c r="AO1428" s="1154">
        <f t="shared" si="412"/>
        <v>0</v>
      </c>
      <c r="AP1428" s="1147">
        <f t="shared" si="399"/>
        <v>21976.165246207627</v>
      </c>
      <c r="AQ1428" s="1144">
        <f t="shared" si="400"/>
        <v>0</v>
      </c>
      <c r="AR1428" s="1146">
        <f t="shared" si="401"/>
        <v>21976.165246207627</v>
      </c>
    </row>
    <row r="1429" spans="1:44" x14ac:dyDescent="0.2">
      <c r="A1429" s="1141" t="str">
        <f t="shared" si="396"/>
        <v>1563</v>
      </c>
      <c r="B1429" s="1141" t="str">
        <f>IFERROR(VLOOKUP(A1429,'LAC 103'!A:C,3,FALSE),"")</f>
        <v>OP</v>
      </c>
      <c r="C1429" s="1478" t="str">
        <f>Info!$B$8</f>
        <v>00100</v>
      </c>
      <c r="D1429" s="1474" t="s">
        <v>256</v>
      </c>
      <c r="E1429" s="1474" t="s">
        <v>95</v>
      </c>
      <c r="F1429" s="1478" t="s">
        <v>434</v>
      </c>
      <c r="G1429" s="1478" t="s">
        <v>434</v>
      </c>
      <c r="H1429" s="1474" t="s">
        <v>1090</v>
      </c>
      <c r="I1429" s="1478" t="s">
        <v>815</v>
      </c>
      <c r="J1429" s="1478" t="s">
        <v>123</v>
      </c>
      <c r="K1429" s="1475" t="s">
        <v>846</v>
      </c>
      <c r="L1429" s="1474" t="s">
        <v>332</v>
      </c>
      <c r="M1429" s="1476" t="s">
        <v>1699</v>
      </c>
      <c r="N1429" s="1477" t="s">
        <v>1694</v>
      </c>
      <c r="O1429" s="1479">
        <v>7456</v>
      </c>
      <c r="P1429" s="1479"/>
      <c r="Q1429" s="1142">
        <f t="shared" si="397"/>
        <v>7456</v>
      </c>
      <c r="R1429" s="1143">
        <f>IFERROR(VLOOKUP(CONCATENATE(E1429,G1429),'LAC 103'!$A$12:$O$95,11,FALSE),0)</f>
        <v>5.936295312319726</v>
      </c>
      <c r="S1429" s="1144">
        <f>IFERROR(VLOOKUP(CONCATENATE($E1429,$G1429),'LAC 103'!$A$12:$O$95,12,FALSE),0)</f>
        <v>7.34</v>
      </c>
      <c r="T1429" s="1144">
        <f>IFERROR(VLOOKUP(CONCATENATE($E1429,$G1429),'LAC 103'!$A$12:$O$95,13,FALSE),0)</f>
        <v>4.59</v>
      </c>
      <c r="U1429" s="1144">
        <f>IFERROR(VLOOKUP(CONCATENATE($E1429,$G1429),'LAC 103'!$A$12:$O$95,14,FALSE),0)</f>
        <v>0</v>
      </c>
      <c r="V1429" s="1144">
        <f>IFERROR(VLOOKUP(CONCATENATE($E1429,$G1429),'LAC 103'!$A$12:$O$95,15,FALSE),0)</f>
        <v>0</v>
      </c>
      <c r="W1429" s="1145" t="str">
        <f>IFERROR(VLOOKUP(CONCATENATE($B1429,$N1429),'LAC 103'!$AI:$AQ,9,FALSE),"")</f>
        <v>Costs</v>
      </c>
      <c r="X1429" s="1146">
        <f t="shared" si="402"/>
        <v>5.936295312319726</v>
      </c>
      <c r="Y1429" s="1143">
        <f t="shared" si="413"/>
        <v>44261.01784865588</v>
      </c>
      <c r="Z1429" s="1147">
        <f t="shared" si="403"/>
        <v>54727.040000000001</v>
      </c>
      <c r="AA1429" s="1144">
        <f t="shared" si="404"/>
        <v>34223.040000000001</v>
      </c>
      <c r="AB1429" s="1144">
        <f t="shared" si="405"/>
        <v>0</v>
      </c>
      <c r="AC1429" s="1144">
        <f t="shared" si="406"/>
        <v>0</v>
      </c>
      <c r="AD1429" s="1148">
        <f t="shared" si="398"/>
        <v>44261.01784865588</v>
      </c>
      <c r="AE1429" s="1487">
        <v>0</v>
      </c>
      <c r="AF1429" s="1145">
        <f t="shared" si="407"/>
        <v>44261.01784865588</v>
      </c>
      <c r="AG1429" s="1149">
        <f>IFERROR(VLOOKUP(CONCATENATE($L1429,$N1429),'Drop List'!$G$23:$K$87,2,FALSE),0)</f>
        <v>0</v>
      </c>
      <c r="AH1429" s="1150">
        <f>IFERROR(VLOOKUP(CONCATENATE($L1429,$N1429),'Drop List'!$G$23:$K$87,3,FALSE),0)</f>
        <v>0</v>
      </c>
      <c r="AI1429" s="1150">
        <f>IFERROR(VLOOKUP(CONCATENATE($L1429,$N1429),'Drop List'!$G$23:$K$87,4,FALSE),0)</f>
        <v>0</v>
      </c>
      <c r="AJ1429" s="1151">
        <f>IFERROR(VLOOKUP(CONCATENATE($L1429,$N1429),'Drop List'!$G$23:$K$87,5,FALSE),0)</f>
        <v>0</v>
      </c>
      <c r="AK1429" s="1152">
        <f t="shared" si="408"/>
        <v>0</v>
      </c>
      <c r="AL1429" s="1153">
        <f t="shared" si="409"/>
        <v>0</v>
      </c>
      <c r="AM1429" s="1153">
        <f t="shared" si="410"/>
        <v>0</v>
      </c>
      <c r="AN1429" s="1145">
        <f t="shared" si="411"/>
        <v>0</v>
      </c>
      <c r="AO1429" s="1154">
        <f t="shared" si="412"/>
        <v>0</v>
      </c>
      <c r="AP1429" s="1147">
        <f t="shared" si="399"/>
        <v>44261.01784865588</v>
      </c>
      <c r="AQ1429" s="1144">
        <f t="shared" si="400"/>
        <v>0</v>
      </c>
      <c r="AR1429" s="1146">
        <f t="shared" si="401"/>
        <v>44261.01784865588</v>
      </c>
    </row>
    <row r="1430" spans="1:44" x14ac:dyDescent="0.2">
      <c r="A1430" s="1141" t="str">
        <f t="shared" ref="A1430:A1493" si="414">IF(CONCATENATE(E1430,G1430)="","",CONCATENATE(E1430,G1430))</f>
        <v>1563</v>
      </c>
      <c r="B1430" s="1141" t="str">
        <f>IFERROR(VLOOKUP(A1430,'LAC 103'!A:C,3,FALSE),"")</f>
        <v>OP</v>
      </c>
      <c r="C1430" s="1478" t="str">
        <f>Info!$B$8</f>
        <v>00100</v>
      </c>
      <c r="D1430" s="1474" t="s">
        <v>256</v>
      </c>
      <c r="E1430" s="1474" t="s">
        <v>95</v>
      </c>
      <c r="F1430" s="1478" t="s">
        <v>434</v>
      </c>
      <c r="G1430" s="1478" t="s">
        <v>434</v>
      </c>
      <c r="H1430" s="1474" t="s">
        <v>1090</v>
      </c>
      <c r="I1430" s="1478" t="s">
        <v>815</v>
      </c>
      <c r="J1430" s="1478"/>
      <c r="K1430" s="1475" t="s">
        <v>846</v>
      </c>
      <c r="L1430" s="1474" t="s">
        <v>332</v>
      </c>
      <c r="M1430" s="1476" t="s">
        <v>841</v>
      </c>
      <c r="N1430" s="1477" t="s">
        <v>1695</v>
      </c>
      <c r="O1430" s="1479">
        <v>3485</v>
      </c>
      <c r="P1430" s="1479"/>
      <c r="Q1430" s="1142">
        <f t="shared" si="397"/>
        <v>3485</v>
      </c>
      <c r="R1430" s="1143">
        <f>IFERROR(VLOOKUP(CONCATENATE(E1430,G1430),'LAC 103'!$A$12:$O$95,11,FALSE),0)</f>
        <v>5.936295312319726</v>
      </c>
      <c r="S1430" s="1144">
        <f>IFERROR(VLOOKUP(CONCATENATE($E1430,$G1430),'LAC 103'!$A$12:$O$95,12,FALSE),0)</f>
        <v>7.34</v>
      </c>
      <c r="T1430" s="1144">
        <f>IFERROR(VLOOKUP(CONCATENATE($E1430,$G1430),'LAC 103'!$A$12:$O$95,13,FALSE),0)</f>
        <v>4.59</v>
      </c>
      <c r="U1430" s="1144">
        <f>IFERROR(VLOOKUP(CONCATENATE($E1430,$G1430),'LAC 103'!$A$12:$O$95,14,FALSE),0)</f>
        <v>0</v>
      </c>
      <c r="V1430" s="1144">
        <f>IFERROR(VLOOKUP(CONCATENATE($E1430,$G1430),'LAC 103'!$A$12:$O$95,15,FALSE),0)</f>
        <v>0</v>
      </c>
      <c r="W1430" s="1145" t="str">
        <f>IFERROR(VLOOKUP(CONCATENATE($B1430,$N1430),'LAC 103'!$AI:$AQ,9,FALSE),"")</f>
        <v>Costs</v>
      </c>
      <c r="X1430" s="1146">
        <f t="shared" si="402"/>
        <v>5.936295312319726</v>
      </c>
      <c r="Y1430" s="1143">
        <f t="shared" si="413"/>
        <v>20687.989163434246</v>
      </c>
      <c r="Z1430" s="1147">
        <f t="shared" si="403"/>
        <v>25579.899999999998</v>
      </c>
      <c r="AA1430" s="1144">
        <f t="shared" si="404"/>
        <v>15996.15</v>
      </c>
      <c r="AB1430" s="1144">
        <f t="shared" si="405"/>
        <v>0</v>
      </c>
      <c r="AC1430" s="1144">
        <f t="shared" si="406"/>
        <v>0</v>
      </c>
      <c r="AD1430" s="1148">
        <f t="shared" si="398"/>
        <v>20687.989163434246</v>
      </c>
      <c r="AE1430" s="1487">
        <v>0</v>
      </c>
      <c r="AF1430" s="1145">
        <f t="shared" si="407"/>
        <v>20687.989163434246</v>
      </c>
      <c r="AG1430" s="1149">
        <f>IFERROR(VLOOKUP(CONCATENATE($L1430,$N1430),'Drop List'!$G$23:$K$87,2,FALSE),0)</f>
        <v>0</v>
      </c>
      <c r="AH1430" s="1150">
        <f>IFERROR(VLOOKUP(CONCATENATE($L1430,$N1430),'Drop List'!$G$23:$K$87,3,FALSE),0)</f>
        <v>0</v>
      </c>
      <c r="AI1430" s="1150">
        <f>IFERROR(VLOOKUP(CONCATENATE($L1430,$N1430),'Drop List'!$G$23:$K$87,4,FALSE),0)</f>
        <v>0</v>
      </c>
      <c r="AJ1430" s="1151">
        <f>IFERROR(VLOOKUP(CONCATENATE($L1430,$N1430),'Drop List'!$G$23:$K$87,5,FALSE),0)</f>
        <v>0</v>
      </c>
      <c r="AK1430" s="1152">
        <f t="shared" si="408"/>
        <v>0</v>
      </c>
      <c r="AL1430" s="1153">
        <f t="shared" si="409"/>
        <v>0</v>
      </c>
      <c r="AM1430" s="1153">
        <f t="shared" si="410"/>
        <v>0</v>
      </c>
      <c r="AN1430" s="1145">
        <f t="shared" si="411"/>
        <v>0</v>
      </c>
      <c r="AO1430" s="1154">
        <f t="shared" si="412"/>
        <v>0</v>
      </c>
      <c r="AP1430" s="1147">
        <f t="shared" si="399"/>
        <v>20687.989163434246</v>
      </c>
      <c r="AQ1430" s="1144">
        <f t="shared" si="400"/>
        <v>0</v>
      </c>
      <c r="AR1430" s="1146">
        <f t="shared" si="401"/>
        <v>20687.989163434246</v>
      </c>
    </row>
    <row r="1431" spans="1:44" x14ac:dyDescent="0.2">
      <c r="A1431" s="1141" t="str">
        <f t="shared" si="414"/>
        <v>1563</v>
      </c>
      <c r="B1431" s="1141" t="str">
        <f>IFERROR(VLOOKUP(A1431,'LAC 103'!A:C,3,FALSE),"")</f>
        <v>OP</v>
      </c>
      <c r="C1431" s="1478" t="str">
        <f>Info!$B$8</f>
        <v>00100</v>
      </c>
      <c r="D1431" s="1474" t="s">
        <v>256</v>
      </c>
      <c r="E1431" s="1474" t="s">
        <v>95</v>
      </c>
      <c r="F1431" s="1478" t="s">
        <v>434</v>
      </c>
      <c r="G1431" s="1478" t="s">
        <v>434</v>
      </c>
      <c r="H1431" s="1474" t="s">
        <v>1090</v>
      </c>
      <c r="I1431" s="1478" t="s">
        <v>815</v>
      </c>
      <c r="J1431" s="1478"/>
      <c r="K1431" s="1475" t="s">
        <v>846</v>
      </c>
      <c r="L1431" s="1474" t="s">
        <v>332</v>
      </c>
      <c r="M1431" s="1476" t="s">
        <v>840</v>
      </c>
      <c r="N1431" s="1477" t="s">
        <v>1700</v>
      </c>
      <c r="O1431" s="1479">
        <v>2460</v>
      </c>
      <c r="P1431" s="1479"/>
      <c r="Q1431" s="1142">
        <f t="shared" si="397"/>
        <v>2460</v>
      </c>
      <c r="R1431" s="1143">
        <f>IFERROR(VLOOKUP(CONCATENATE(E1431,G1431),'LAC 103'!$A$12:$O$95,11,FALSE),0)</f>
        <v>5.936295312319726</v>
      </c>
      <c r="S1431" s="1144">
        <f>IFERROR(VLOOKUP(CONCATENATE($E1431,$G1431),'LAC 103'!$A$12:$O$95,12,FALSE),0)</f>
        <v>7.34</v>
      </c>
      <c r="T1431" s="1144">
        <f>IFERROR(VLOOKUP(CONCATENATE($E1431,$G1431),'LAC 103'!$A$12:$O$95,13,FALSE),0)</f>
        <v>4.59</v>
      </c>
      <c r="U1431" s="1144">
        <f>IFERROR(VLOOKUP(CONCATENATE($E1431,$G1431),'LAC 103'!$A$12:$O$95,14,FALSE),0)</f>
        <v>0</v>
      </c>
      <c r="V1431" s="1144">
        <f>IFERROR(VLOOKUP(CONCATENATE($E1431,$G1431),'LAC 103'!$A$12:$O$95,15,FALSE),0)</f>
        <v>0</v>
      </c>
      <c r="W1431" s="1145" t="str">
        <f>IFERROR(VLOOKUP(CONCATENATE($B1431,$N1431),'LAC 103'!$AI:$AQ,9,FALSE),"")</f>
        <v>P.C.</v>
      </c>
      <c r="X1431" s="1146">
        <f t="shared" si="402"/>
        <v>4.59</v>
      </c>
      <c r="Y1431" s="1143">
        <f t="shared" si="413"/>
        <v>14603.286468306525</v>
      </c>
      <c r="Z1431" s="1147">
        <f t="shared" si="403"/>
        <v>18056.400000000001</v>
      </c>
      <c r="AA1431" s="1144">
        <f t="shared" si="404"/>
        <v>11291.4</v>
      </c>
      <c r="AB1431" s="1144">
        <f t="shared" si="405"/>
        <v>0</v>
      </c>
      <c r="AC1431" s="1144">
        <f t="shared" si="406"/>
        <v>0</v>
      </c>
      <c r="AD1431" s="1148">
        <f t="shared" si="398"/>
        <v>11291.4</v>
      </c>
      <c r="AE1431" s="1487">
        <v>0</v>
      </c>
      <c r="AF1431" s="1145">
        <f t="shared" si="407"/>
        <v>11291.4</v>
      </c>
      <c r="AG1431" s="1149">
        <f>IFERROR(VLOOKUP(CONCATENATE($L1431,$N1431),'Drop List'!$G$23:$K$87,2,FALSE),0)</f>
        <v>0</v>
      </c>
      <c r="AH1431" s="1150">
        <f>IFERROR(VLOOKUP(CONCATENATE($L1431,$N1431),'Drop List'!$G$23:$K$87,3,FALSE),0)</f>
        <v>0</v>
      </c>
      <c r="AI1431" s="1150">
        <f>IFERROR(VLOOKUP(CONCATENATE($L1431,$N1431),'Drop List'!$G$23:$K$87,4,FALSE),0)</f>
        <v>0</v>
      </c>
      <c r="AJ1431" s="1151">
        <f>IFERROR(VLOOKUP(CONCATENATE($L1431,$N1431),'Drop List'!$G$23:$K$87,5,FALSE),0)</f>
        <v>0</v>
      </c>
      <c r="AK1431" s="1152">
        <f t="shared" si="408"/>
        <v>0</v>
      </c>
      <c r="AL1431" s="1153">
        <f t="shared" si="409"/>
        <v>0</v>
      </c>
      <c r="AM1431" s="1153">
        <f t="shared" si="410"/>
        <v>0</v>
      </c>
      <c r="AN1431" s="1145">
        <f t="shared" si="411"/>
        <v>0</v>
      </c>
      <c r="AO1431" s="1154">
        <f t="shared" si="412"/>
        <v>0</v>
      </c>
      <c r="AP1431" s="1147">
        <f t="shared" si="399"/>
        <v>11291.4</v>
      </c>
      <c r="AQ1431" s="1144">
        <f t="shared" si="400"/>
        <v>0</v>
      </c>
      <c r="AR1431" s="1146">
        <f t="shared" si="401"/>
        <v>11291.4</v>
      </c>
    </row>
    <row r="1432" spans="1:44" x14ac:dyDescent="0.2">
      <c r="A1432" s="1141" t="str">
        <f t="shared" si="414"/>
        <v>1563</v>
      </c>
      <c r="B1432" s="1141" t="str">
        <f>IFERROR(VLOOKUP(A1432,'LAC 103'!A:C,3,FALSE),"")</f>
        <v>OP</v>
      </c>
      <c r="C1432" s="1478" t="str">
        <f>Info!$B$8</f>
        <v>00100</v>
      </c>
      <c r="D1432" s="1474" t="s">
        <v>256</v>
      </c>
      <c r="E1432" s="1474" t="s">
        <v>95</v>
      </c>
      <c r="F1432" s="1478" t="s">
        <v>434</v>
      </c>
      <c r="G1432" s="1478" t="s">
        <v>434</v>
      </c>
      <c r="H1432" s="1474" t="s">
        <v>1090</v>
      </c>
      <c r="I1432" s="1478" t="s">
        <v>815</v>
      </c>
      <c r="J1432" s="1478"/>
      <c r="K1432" s="1475" t="s">
        <v>846</v>
      </c>
      <c r="L1432" s="1474" t="s">
        <v>332</v>
      </c>
      <c r="M1432" s="1476" t="s">
        <v>842</v>
      </c>
      <c r="N1432" s="1477" t="s">
        <v>1692</v>
      </c>
      <c r="O1432" s="1479">
        <v>6297</v>
      </c>
      <c r="P1432" s="1479"/>
      <c r="Q1432" s="1142">
        <f t="shared" si="397"/>
        <v>6297</v>
      </c>
      <c r="R1432" s="1143">
        <f>IFERROR(VLOOKUP(CONCATENATE(E1432,G1432),'LAC 103'!$A$12:$O$95,11,FALSE),0)</f>
        <v>5.936295312319726</v>
      </c>
      <c r="S1432" s="1144">
        <f>IFERROR(VLOOKUP(CONCATENATE($E1432,$G1432),'LAC 103'!$A$12:$O$95,12,FALSE),0)</f>
        <v>7.34</v>
      </c>
      <c r="T1432" s="1144">
        <f>IFERROR(VLOOKUP(CONCATENATE($E1432,$G1432),'LAC 103'!$A$12:$O$95,13,FALSE),0)</f>
        <v>4.59</v>
      </c>
      <c r="U1432" s="1144">
        <f>IFERROR(VLOOKUP(CONCATENATE($E1432,$G1432),'LAC 103'!$A$12:$O$95,14,FALSE),0)</f>
        <v>0</v>
      </c>
      <c r="V1432" s="1144">
        <f>IFERROR(VLOOKUP(CONCATENATE($E1432,$G1432),'LAC 103'!$A$12:$O$95,15,FALSE),0)</f>
        <v>0</v>
      </c>
      <c r="W1432" s="1145" t="str">
        <f>IFERROR(VLOOKUP(CONCATENATE($B1432,$N1432),'LAC 103'!$AI:$AQ,9,FALSE),"")</f>
        <v>Costs</v>
      </c>
      <c r="X1432" s="1146">
        <f t="shared" si="402"/>
        <v>5.936295312319726</v>
      </c>
      <c r="Y1432" s="1143">
        <f t="shared" si="413"/>
        <v>37380.851581677314</v>
      </c>
      <c r="Z1432" s="1147">
        <f t="shared" si="403"/>
        <v>46219.979999999996</v>
      </c>
      <c r="AA1432" s="1144">
        <f t="shared" si="404"/>
        <v>28903.23</v>
      </c>
      <c r="AB1432" s="1144">
        <f t="shared" si="405"/>
        <v>0</v>
      </c>
      <c r="AC1432" s="1144">
        <f t="shared" si="406"/>
        <v>0</v>
      </c>
      <c r="AD1432" s="1148">
        <f t="shared" si="398"/>
        <v>37380.851581677314</v>
      </c>
      <c r="AE1432" s="1487">
        <v>0</v>
      </c>
      <c r="AF1432" s="1145">
        <f t="shared" si="407"/>
        <v>37380.851581677314</v>
      </c>
      <c r="AG1432" s="1149">
        <f>IFERROR(VLOOKUP(CONCATENATE($L1432,$N1432),'Drop List'!$G$23:$K$87,2,FALSE),0)</f>
        <v>0</v>
      </c>
      <c r="AH1432" s="1150">
        <f>IFERROR(VLOOKUP(CONCATENATE($L1432,$N1432),'Drop List'!$G$23:$K$87,3,FALSE),0)</f>
        <v>0</v>
      </c>
      <c r="AI1432" s="1150">
        <f>IFERROR(VLOOKUP(CONCATENATE($L1432,$N1432),'Drop List'!$G$23:$K$87,4,FALSE),0)</f>
        <v>0</v>
      </c>
      <c r="AJ1432" s="1151">
        <f>IFERROR(VLOOKUP(CONCATENATE($L1432,$N1432),'Drop List'!$G$23:$K$87,5,FALSE),0)</f>
        <v>0</v>
      </c>
      <c r="AK1432" s="1152">
        <f t="shared" si="408"/>
        <v>0</v>
      </c>
      <c r="AL1432" s="1153">
        <f t="shared" si="409"/>
        <v>0</v>
      </c>
      <c r="AM1432" s="1153">
        <f t="shared" si="410"/>
        <v>0</v>
      </c>
      <c r="AN1432" s="1145">
        <f t="shared" si="411"/>
        <v>0</v>
      </c>
      <c r="AO1432" s="1154">
        <f t="shared" si="412"/>
        <v>0</v>
      </c>
      <c r="AP1432" s="1147">
        <f t="shared" si="399"/>
        <v>37380.851581677314</v>
      </c>
      <c r="AQ1432" s="1144">
        <f t="shared" si="400"/>
        <v>0</v>
      </c>
      <c r="AR1432" s="1146">
        <f t="shared" si="401"/>
        <v>37380.851581677314</v>
      </c>
    </row>
    <row r="1433" spans="1:44" x14ac:dyDescent="0.2">
      <c r="A1433" s="1141" t="str">
        <f t="shared" si="414"/>
        <v>1563</v>
      </c>
      <c r="B1433" s="1141" t="str">
        <f>IFERROR(VLOOKUP(A1433,'LAC 103'!A:C,3,FALSE),"")</f>
        <v>OP</v>
      </c>
      <c r="C1433" s="1478" t="str">
        <f>Info!$B$8</f>
        <v>00100</v>
      </c>
      <c r="D1433" s="1474" t="s">
        <v>256</v>
      </c>
      <c r="E1433" s="1474" t="s">
        <v>95</v>
      </c>
      <c r="F1433" s="1478" t="s">
        <v>434</v>
      </c>
      <c r="G1433" s="1478" t="s">
        <v>434</v>
      </c>
      <c r="H1433" s="1474" t="s">
        <v>1090</v>
      </c>
      <c r="I1433" s="1478" t="s">
        <v>815</v>
      </c>
      <c r="J1433" s="1478"/>
      <c r="K1433" s="1475" t="s">
        <v>846</v>
      </c>
      <c r="L1433" s="1474" t="s">
        <v>332</v>
      </c>
      <c r="M1433" s="1476" t="s">
        <v>1698</v>
      </c>
      <c r="N1433" s="1477" t="s">
        <v>1693</v>
      </c>
      <c r="O1433" s="1479">
        <v>6945</v>
      </c>
      <c r="P1433" s="1479"/>
      <c r="Q1433" s="1142">
        <f t="shared" si="397"/>
        <v>6945</v>
      </c>
      <c r="R1433" s="1143">
        <f>IFERROR(VLOOKUP(CONCATENATE(E1433,G1433),'LAC 103'!$A$12:$O$95,11,FALSE),0)</f>
        <v>5.936295312319726</v>
      </c>
      <c r="S1433" s="1144">
        <f>IFERROR(VLOOKUP(CONCATENATE($E1433,$G1433),'LAC 103'!$A$12:$O$95,12,FALSE),0)</f>
        <v>7.34</v>
      </c>
      <c r="T1433" s="1144">
        <f>IFERROR(VLOOKUP(CONCATENATE($E1433,$G1433),'LAC 103'!$A$12:$O$95,13,FALSE),0)</f>
        <v>4.59</v>
      </c>
      <c r="U1433" s="1144">
        <f>IFERROR(VLOOKUP(CONCATENATE($E1433,$G1433),'LAC 103'!$A$12:$O$95,14,FALSE),0)</f>
        <v>0</v>
      </c>
      <c r="V1433" s="1144">
        <f>IFERROR(VLOOKUP(CONCATENATE($E1433,$G1433),'LAC 103'!$A$12:$O$95,15,FALSE),0)</f>
        <v>0</v>
      </c>
      <c r="W1433" s="1145" t="str">
        <f>IFERROR(VLOOKUP(CONCATENATE($B1433,$N1433),'LAC 103'!$AI:$AQ,9,FALSE),"")</f>
        <v>Costs</v>
      </c>
      <c r="X1433" s="1146">
        <f t="shared" si="402"/>
        <v>5.936295312319726</v>
      </c>
      <c r="Y1433" s="1143">
        <f t="shared" si="413"/>
        <v>41227.570944060499</v>
      </c>
      <c r="Z1433" s="1147">
        <f t="shared" si="403"/>
        <v>50976.299999999996</v>
      </c>
      <c r="AA1433" s="1144">
        <f t="shared" si="404"/>
        <v>31877.55</v>
      </c>
      <c r="AB1433" s="1144">
        <f t="shared" si="405"/>
        <v>0</v>
      </c>
      <c r="AC1433" s="1144">
        <f t="shared" si="406"/>
        <v>0</v>
      </c>
      <c r="AD1433" s="1148">
        <f t="shared" si="398"/>
        <v>41227.570944060499</v>
      </c>
      <c r="AE1433" s="1487">
        <v>0</v>
      </c>
      <c r="AF1433" s="1145">
        <f t="shared" si="407"/>
        <v>41227.570944060499</v>
      </c>
      <c r="AG1433" s="1149">
        <f>IFERROR(VLOOKUP(CONCATENATE($L1433,$N1433),'Drop List'!$G$23:$K$87,2,FALSE),0)</f>
        <v>0</v>
      </c>
      <c r="AH1433" s="1150">
        <f>IFERROR(VLOOKUP(CONCATENATE($L1433,$N1433),'Drop List'!$G$23:$K$87,3,FALSE),0)</f>
        <v>0</v>
      </c>
      <c r="AI1433" s="1150">
        <f>IFERROR(VLOOKUP(CONCATENATE($L1433,$N1433),'Drop List'!$G$23:$K$87,4,FALSE),0)</f>
        <v>0</v>
      </c>
      <c r="AJ1433" s="1151">
        <f>IFERROR(VLOOKUP(CONCATENATE($L1433,$N1433),'Drop List'!$G$23:$K$87,5,FALSE),0)</f>
        <v>0</v>
      </c>
      <c r="AK1433" s="1152">
        <f t="shared" si="408"/>
        <v>0</v>
      </c>
      <c r="AL1433" s="1153">
        <f t="shared" si="409"/>
        <v>0</v>
      </c>
      <c r="AM1433" s="1153">
        <f t="shared" si="410"/>
        <v>0</v>
      </c>
      <c r="AN1433" s="1145">
        <f t="shared" si="411"/>
        <v>0</v>
      </c>
      <c r="AO1433" s="1154">
        <f t="shared" si="412"/>
        <v>0</v>
      </c>
      <c r="AP1433" s="1147">
        <f t="shared" si="399"/>
        <v>41227.570944060499</v>
      </c>
      <c r="AQ1433" s="1144">
        <f t="shared" si="400"/>
        <v>0</v>
      </c>
      <c r="AR1433" s="1146">
        <f t="shared" si="401"/>
        <v>41227.570944060499</v>
      </c>
    </row>
    <row r="1434" spans="1:44" x14ac:dyDescent="0.2">
      <c r="A1434" s="1141" t="str">
        <f t="shared" si="414"/>
        <v>1563</v>
      </c>
      <c r="B1434" s="1141" t="str">
        <f>IFERROR(VLOOKUP(A1434,'LAC 103'!A:C,3,FALSE),"")</f>
        <v>OP</v>
      </c>
      <c r="C1434" s="1478" t="str">
        <f>Info!$B$8</f>
        <v>00100</v>
      </c>
      <c r="D1434" s="1474" t="s">
        <v>256</v>
      </c>
      <c r="E1434" s="1474" t="s">
        <v>95</v>
      </c>
      <c r="F1434" s="1478" t="s">
        <v>434</v>
      </c>
      <c r="G1434" s="1478" t="s">
        <v>434</v>
      </c>
      <c r="H1434" s="1474" t="s">
        <v>989</v>
      </c>
      <c r="I1434" s="1478" t="s">
        <v>823</v>
      </c>
      <c r="J1434" s="1478" t="s">
        <v>1998</v>
      </c>
      <c r="K1434" s="1475" t="s">
        <v>846</v>
      </c>
      <c r="L1434" s="1474" t="s">
        <v>332</v>
      </c>
      <c r="M1434" s="1476" t="s">
        <v>840</v>
      </c>
      <c r="N1434" s="1477" t="s">
        <v>1700</v>
      </c>
      <c r="O1434" s="1479">
        <v>95</v>
      </c>
      <c r="P1434" s="1479"/>
      <c r="Q1434" s="1142">
        <f t="shared" si="397"/>
        <v>95</v>
      </c>
      <c r="R1434" s="1143">
        <f>IFERROR(VLOOKUP(CONCATENATE(E1434,G1434),'LAC 103'!$A$12:$O$95,11,FALSE),0)</f>
        <v>5.936295312319726</v>
      </c>
      <c r="S1434" s="1144">
        <f>IFERROR(VLOOKUP(CONCATENATE($E1434,$G1434),'LAC 103'!$A$12:$O$95,12,FALSE),0)</f>
        <v>7.34</v>
      </c>
      <c r="T1434" s="1144">
        <f>IFERROR(VLOOKUP(CONCATENATE($E1434,$G1434),'LAC 103'!$A$12:$O$95,13,FALSE),0)</f>
        <v>4.59</v>
      </c>
      <c r="U1434" s="1144">
        <f>IFERROR(VLOOKUP(CONCATENATE($E1434,$G1434),'LAC 103'!$A$12:$O$95,14,FALSE),0)</f>
        <v>0</v>
      </c>
      <c r="V1434" s="1144">
        <f>IFERROR(VLOOKUP(CONCATENATE($E1434,$G1434),'LAC 103'!$A$12:$O$95,15,FALSE),0)</f>
        <v>0</v>
      </c>
      <c r="W1434" s="1145" t="str">
        <f>IFERROR(VLOOKUP(CONCATENATE($B1434,$N1434),'LAC 103'!$AI:$AQ,9,FALSE),"")</f>
        <v>P.C.</v>
      </c>
      <c r="X1434" s="1146">
        <f t="shared" si="402"/>
        <v>4.59</v>
      </c>
      <c r="Y1434" s="1143">
        <f t="shared" si="413"/>
        <v>563.94805467037395</v>
      </c>
      <c r="Z1434" s="1147">
        <f t="shared" si="403"/>
        <v>697.3</v>
      </c>
      <c r="AA1434" s="1144">
        <f t="shared" si="404"/>
        <v>436.05</v>
      </c>
      <c r="AB1434" s="1144">
        <f t="shared" si="405"/>
        <v>0</v>
      </c>
      <c r="AC1434" s="1144">
        <f t="shared" si="406"/>
        <v>0</v>
      </c>
      <c r="AD1434" s="1148">
        <f t="shared" si="398"/>
        <v>436.05</v>
      </c>
      <c r="AE1434" s="1487">
        <v>0</v>
      </c>
      <c r="AF1434" s="1145">
        <f t="shared" si="407"/>
        <v>436.05</v>
      </c>
      <c r="AG1434" s="1149">
        <f>IFERROR(VLOOKUP(CONCATENATE($L1434,$N1434),'Drop List'!$G$23:$K$87,2,FALSE),0)</f>
        <v>0</v>
      </c>
      <c r="AH1434" s="1150">
        <f>IFERROR(VLOOKUP(CONCATENATE($L1434,$N1434),'Drop List'!$G$23:$K$87,3,FALSE),0)</f>
        <v>0</v>
      </c>
      <c r="AI1434" s="1150">
        <f>IFERROR(VLOOKUP(CONCATENATE($L1434,$N1434),'Drop List'!$G$23:$K$87,4,FALSE),0)</f>
        <v>0</v>
      </c>
      <c r="AJ1434" s="1151">
        <f>IFERROR(VLOOKUP(CONCATENATE($L1434,$N1434),'Drop List'!$G$23:$K$87,5,FALSE),0)</f>
        <v>0</v>
      </c>
      <c r="AK1434" s="1152">
        <f t="shared" si="408"/>
        <v>0</v>
      </c>
      <c r="AL1434" s="1153">
        <f t="shared" si="409"/>
        <v>0</v>
      </c>
      <c r="AM1434" s="1153">
        <f t="shared" si="410"/>
        <v>0</v>
      </c>
      <c r="AN1434" s="1145">
        <f t="shared" si="411"/>
        <v>0</v>
      </c>
      <c r="AO1434" s="1154">
        <f t="shared" si="412"/>
        <v>0</v>
      </c>
      <c r="AP1434" s="1147">
        <f t="shared" si="399"/>
        <v>436.05</v>
      </c>
      <c r="AQ1434" s="1144">
        <f t="shared" si="400"/>
        <v>0</v>
      </c>
      <c r="AR1434" s="1146">
        <f t="shared" si="401"/>
        <v>436.05</v>
      </c>
    </row>
    <row r="1435" spans="1:44" x14ac:dyDescent="0.2">
      <c r="A1435" s="1141" t="str">
        <f t="shared" si="414"/>
        <v>1563</v>
      </c>
      <c r="B1435" s="1141" t="str">
        <f>IFERROR(VLOOKUP(A1435,'LAC 103'!A:C,3,FALSE),"")</f>
        <v>OP</v>
      </c>
      <c r="C1435" s="1478" t="str">
        <f>Info!$B$8</f>
        <v>00100</v>
      </c>
      <c r="D1435" s="1474" t="s">
        <v>256</v>
      </c>
      <c r="E1435" s="1474" t="s">
        <v>95</v>
      </c>
      <c r="F1435" s="1478" t="s">
        <v>434</v>
      </c>
      <c r="G1435" s="1478" t="s">
        <v>434</v>
      </c>
      <c r="H1435" s="1474" t="s">
        <v>989</v>
      </c>
      <c r="I1435" s="1478" t="s">
        <v>823</v>
      </c>
      <c r="J1435" s="1478" t="s">
        <v>1999</v>
      </c>
      <c r="K1435" s="1475" t="s">
        <v>846</v>
      </c>
      <c r="L1435" s="1474" t="s">
        <v>332</v>
      </c>
      <c r="M1435" s="1476" t="s">
        <v>1699</v>
      </c>
      <c r="N1435" s="1477" t="s">
        <v>1694</v>
      </c>
      <c r="O1435" s="1479">
        <v>453</v>
      </c>
      <c r="P1435" s="1479"/>
      <c r="Q1435" s="1142">
        <f t="shared" si="397"/>
        <v>453</v>
      </c>
      <c r="R1435" s="1143">
        <f>IFERROR(VLOOKUP(CONCATENATE(E1435,G1435),'LAC 103'!$A$12:$O$95,11,FALSE),0)</f>
        <v>5.936295312319726</v>
      </c>
      <c r="S1435" s="1144">
        <f>IFERROR(VLOOKUP(CONCATENATE($E1435,$G1435),'LAC 103'!$A$12:$O$95,12,FALSE),0)</f>
        <v>7.34</v>
      </c>
      <c r="T1435" s="1144">
        <f>IFERROR(VLOOKUP(CONCATENATE($E1435,$G1435),'LAC 103'!$A$12:$O$95,13,FALSE),0)</f>
        <v>4.59</v>
      </c>
      <c r="U1435" s="1144">
        <f>IFERROR(VLOOKUP(CONCATENATE($E1435,$G1435),'LAC 103'!$A$12:$O$95,14,FALSE),0)</f>
        <v>0</v>
      </c>
      <c r="V1435" s="1144">
        <f>IFERROR(VLOOKUP(CONCATENATE($E1435,$G1435),'LAC 103'!$A$12:$O$95,15,FALSE),0)</f>
        <v>0</v>
      </c>
      <c r="W1435" s="1145" t="str">
        <f>IFERROR(VLOOKUP(CONCATENATE($B1435,$N1435),'LAC 103'!$AI:$AQ,9,FALSE),"")</f>
        <v>Costs</v>
      </c>
      <c r="X1435" s="1146">
        <f t="shared" si="402"/>
        <v>5.936295312319726</v>
      </c>
      <c r="Y1435" s="1143">
        <f t="shared" si="413"/>
        <v>2689.1417764808357</v>
      </c>
      <c r="Z1435" s="1147">
        <f t="shared" si="403"/>
        <v>3325.02</v>
      </c>
      <c r="AA1435" s="1144">
        <f t="shared" si="404"/>
        <v>2079.27</v>
      </c>
      <c r="AB1435" s="1144">
        <f t="shared" si="405"/>
        <v>0</v>
      </c>
      <c r="AC1435" s="1144">
        <f t="shared" si="406"/>
        <v>0</v>
      </c>
      <c r="AD1435" s="1148">
        <f t="shared" si="398"/>
        <v>2689.1417764808357</v>
      </c>
      <c r="AE1435" s="1487">
        <v>0</v>
      </c>
      <c r="AF1435" s="1145">
        <f t="shared" si="407"/>
        <v>2689.1417764808357</v>
      </c>
      <c r="AG1435" s="1149">
        <f>IFERROR(VLOOKUP(CONCATENATE($L1435,$N1435),'Drop List'!$G$23:$K$87,2,FALSE),0)</f>
        <v>0</v>
      </c>
      <c r="AH1435" s="1150">
        <f>IFERROR(VLOOKUP(CONCATENATE($L1435,$N1435),'Drop List'!$G$23:$K$87,3,FALSE),0)</f>
        <v>0</v>
      </c>
      <c r="AI1435" s="1150">
        <f>IFERROR(VLOOKUP(CONCATENATE($L1435,$N1435),'Drop List'!$G$23:$K$87,4,FALSE),0)</f>
        <v>0</v>
      </c>
      <c r="AJ1435" s="1151">
        <f>IFERROR(VLOOKUP(CONCATENATE($L1435,$N1435),'Drop List'!$G$23:$K$87,5,FALSE),0)</f>
        <v>0</v>
      </c>
      <c r="AK1435" s="1152">
        <f t="shared" si="408"/>
        <v>0</v>
      </c>
      <c r="AL1435" s="1153">
        <f t="shared" si="409"/>
        <v>0</v>
      </c>
      <c r="AM1435" s="1153">
        <f t="shared" si="410"/>
        <v>0</v>
      </c>
      <c r="AN1435" s="1145">
        <f t="shared" si="411"/>
        <v>0</v>
      </c>
      <c r="AO1435" s="1154">
        <f t="shared" si="412"/>
        <v>0</v>
      </c>
      <c r="AP1435" s="1147">
        <f t="shared" si="399"/>
        <v>2689.1417764808357</v>
      </c>
      <c r="AQ1435" s="1144">
        <f t="shared" si="400"/>
        <v>0</v>
      </c>
      <c r="AR1435" s="1146">
        <f t="shared" si="401"/>
        <v>2689.1417764808357</v>
      </c>
    </row>
    <row r="1436" spans="1:44" x14ac:dyDescent="0.2">
      <c r="A1436" s="1141" t="str">
        <f t="shared" si="414"/>
        <v>1563</v>
      </c>
      <c r="B1436" s="1141" t="str">
        <f>IFERROR(VLOOKUP(A1436,'LAC 103'!A:C,3,FALSE),"")</f>
        <v>OP</v>
      </c>
      <c r="C1436" s="1478" t="str">
        <f>Info!$B$8</f>
        <v>00100</v>
      </c>
      <c r="D1436" s="1474" t="s">
        <v>256</v>
      </c>
      <c r="E1436" s="1474" t="s">
        <v>95</v>
      </c>
      <c r="F1436" s="1478" t="s">
        <v>434</v>
      </c>
      <c r="G1436" s="1478" t="s">
        <v>434</v>
      </c>
      <c r="H1436" s="1474" t="s">
        <v>989</v>
      </c>
      <c r="I1436" s="1478" t="s">
        <v>823</v>
      </c>
      <c r="J1436" s="1478" t="s">
        <v>1999</v>
      </c>
      <c r="K1436" s="1475" t="s">
        <v>846</v>
      </c>
      <c r="L1436" s="1474" t="s">
        <v>332</v>
      </c>
      <c r="M1436" s="1476" t="s">
        <v>841</v>
      </c>
      <c r="N1436" s="1477" t="s">
        <v>1695</v>
      </c>
      <c r="O1436" s="1479">
        <v>252</v>
      </c>
      <c r="P1436" s="1479"/>
      <c r="Q1436" s="1142">
        <f t="shared" si="397"/>
        <v>252</v>
      </c>
      <c r="R1436" s="1143">
        <f>IFERROR(VLOOKUP(CONCATENATE(E1436,G1436),'LAC 103'!$A$12:$O$95,11,FALSE),0)</f>
        <v>5.936295312319726</v>
      </c>
      <c r="S1436" s="1144">
        <f>IFERROR(VLOOKUP(CONCATENATE($E1436,$G1436),'LAC 103'!$A$12:$O$95,12,FALSE),0)</f>
        <v>7.34</v>
      </c>
      <c r="T1436" s="1144">
        <f>IFERROR(VLOOKUP(CONCATENATE($E1436,$G1436),'LAC 103'!$A$12:$O$95,13,FALSE),0)</f>
        <v>4.59</v>
      </c>
      <c r="U1436" s="1144">
        <f>IFERROR(VLOOKUP(CONCATENATE($E1436,$G1436),'LAC 103'!$A$12:$O$95,14,FALSE),0)</f>
        <v>0</v>
      </c>
      <c r="V1436" s="1144">
        <f>IFERROR(VLOOKUP(CONCATENATE($E1436,$G1436),'LAC 103'!$A$12:$O$95,15,FALSE),0)</f>
        <v>0</v>
      </c>
      <c r="W1436" s="1145" t="str">
        <f>IFERROR(VLOOKUP(CONCATENATE($B1436,$N1436),'LAC 103'!$AI:$AQ,9,FALSE),"")</f>
        <v>Costs</v>
      </c>
      <c r="X1436" s="1146">
        <f t="shared" si="402"/>
        <v>5.936295312319726</v>
      </c>
      <c r="Y1436" s="1143">
        <f t="shared" si="413"/>
        <v>1495.946418704571</v>
      </c>
      <c r="Z1436" s="1147">
        <f t="shared" si="403"/>
        <v>1849.68</v>
      </c>
      <c r="AA1436" s="1144">
        <f t="shared" si="404"/>
        <v>1156.68</v>
      </c>
      <c r="AB1436" s="1144">
        <f t="shared" si="405"/>
        <v>0</v>
      </c>
      <c r="AC1436" s="1144">
        <f t="shared" si="406"/>
        <v>0</v>
      </c>
      <c r="AD1436" s="1148">
        <f t="shared" si="398"/>
        <v>1495.946418704571</v>
      </c>
      <c r="AE1436" s="1487">
        <v>0</v>
      </c>
      <c r="AF1436" s="1145">
        <f t="shared" si="407"/>
        <v>1495.946418704571</v>
      </c>
      <c r="AG1436" s="1149">
        <f>IFERROR(VLOOKUP(CONCATENATE($L1436,$N1436),'Drop List'!$G$23:$K$87,2,FALSE),0)</f>
        <v>0</v>
      </c>
      <c r="AH1436" s="1150">
        <f>IFERROR(VLOOKUP(CONCATENATE($L1436,$N1436),'Drop List'!$G$23:$K$87,3,FALSE),0)</f>
        <v>0</v>
      </c>
      <c r="AI1436" s="1150">
        <f>IFERROR(VLOOKUP(CONCATENATE($L1436,$N1436),'Drop List'!$G$23:$K$87,4,FALSE),0)</f>
        <v>0</v>
      </c>
      <c r="AJ1436" s="1151">
        <f>IFERROR(VLOOKUP(CONCATENATE($L1436,$N1436),'Drop List'!$G$23:$K$87,5,FALSE),0)</f>
        <v>0</v>
      </c>
      <c r="AK1436" s="1152">
        <f t="shared" si="408"/>
        <v>0</v>
      </c>
      <c r="AL1436" s="1153">
        <f t="shared" si="409"/>
        <v>0</v>
      </c>
      <c r="AM1436" s="1153">
        <f t="shared" si="410"/>
        <v>0</v>
      </c>
      <c r="AN1436" s="1145">
        <f t="shared" si="411"/>
        <v>0</v>
      </c>
      <c r="AO1436" s="1154">
        <f t="shared" si="412"/>
        <v>0</v>
      </c>
      <c r="AP1436" s="1147">
        <f t="shared" si="399"/>
        <v>1495.946418704571</v>
      </c>
      <c r="AQ1436" s="1144">
        <f t="shared" si="400"/>
        <v>0</v>
      </c>
      <c r="AR1436" s="1146">
        <f t="shared" si="401"/>
        <v>1495.946418704571</v>
      </c>
    </row>
    <row r="1437" spans="1:44" x14ac:dyDescent="0.2">
      <c r="A1437" s="1141" t="str">
        <f t="shared" si="414"/>
        <v>1563</v>
      </c>
      <c r="B1437" s="1141" t="str">
        <f>IFERROR(VLOOKUP(A1437,'LAC 103'!A:C,3,FALSE),"")</f>
        <v>OP</v>
      </c>
      <c r="C1437" s="1478" t="str">
        <f>Info!$B$8</f>
        <v>00100</v>
      </c>
      <c r="D1437" s="1474" t="s">
        <v>256</v>
      </c>
      <c r="E1437" s="1474" t="s">
        <v>95</v>
      </c>
      <c r="F1437" s="1478" t="s">
        <v>434</v>
      </c>
      <c r="G1437" s="1478" t="s">
        <v>434</v>
      </c>
      <c r="H1437" s="1474" t="s">
        <v>989</v>
      </c>
      <c r="I1437" s="1478" t="s">
        <v>823</v>
      </c>
      <c r="J1437" s="1478" t="s">
        <v>1999</v>
      </c>
      <c r="K1437" s="1475" t="s">
        <v>846</v>
      </c>
      <c r="L1437" s="1474" t="s">
        <v>332</v>
      </c>
      <c r="M1437" s="1476" t="s">
        <v>840</v>
      </c>
      <c r="N1437" s="1477" t="s">
        <v>1700</v>
      </c>
      <c r="O1437" s="1479">
        <v>71</v>
      </c>
      <c r="P1437" s="1479"/>
      <c r="Q1437" s="1142">
        <f t="shared" si="397"/>
        <v>71</v>
      </c>
      <c r="R1437" s="1143">
        <f>IFERROR(VLOOKUP(CONCATENATE(E1437,G1437),'LAC 103'!$A$12:$O$95,11,FALSE),0)</f>
        <v>5.936295312319726</v>
      </c>
      <c r="S1437" s="1144">
        <f>IFERROR(VLOOKUP(CONCATENATE($E1437,$G1437),'LAC 103'!$A$12:$O$95,12,FALSE),0)</f>
        <v>7.34</v>
      </c>
      <c r="T1437" s="1144">
        <f>IFERROR(VLOOKUP(CONCATENATE($E1437,$G1437),'LAC 103'!$A$12:$O$95,13,FALSE),0)</f>
        <v>4.59</v>
      </c>
      <c r="U1437" s="1144">
        <f>IFERROR(VLOOKUP(CONCATENATE($E1437,$G1437),'LAC 103'!$A$12:$O$95,14,FALSE),0)</f>
        <v>0</v>
      </c>
      <c r="V1437" s="1144">
        <f>IFERROR(VLOOKUP(CONCATENATE($E1437,$G1437),'LAC 103'!$A$12:$O$95,15,FALSE),0)</f>
        <v>0</v>
      </c>
      <c r="W1437" s="1145" t="str">
        <f>IFERROR(VLOOKUP(CONCATENATE($B1437,$N1437),'LAC 103'!$AI:$AQ,9,FALSE),"")</f>
        <v>P.C.</v>
      </c>
      <c r="X1437" s="1146">
        <f t="shared" si="402"/>
        <v>4.59</v>
      </c>
      <c r="Y1437" s="1143">
        <f t="shared" si="413"/>
        <v>421.47696717470052</v>
      </c>
      <c r="Z1437" s="1147">
        <f t="shared" si="403"/>
        <v>521.14</v>
      </c>
      <c r="AA1437" s="1144">
        <f t="shared" si="404"/>
        <v>325.89</v>
      </c>
      <c r="AB1437" s="1144">
        <f t="shared" si="405"/>
        <v>0</v>
      </c>
      <c r="AC1437" s="1144">
        <f t="shared" si="406"/>
        <v>0</v>
      </c>
      <c r="AD1437" s="1148">
        <f t="shared" si="398"/>
        <v>325.89</v>
      </c>
      <c r="AE1437" s="1487">
        <v>0</v>
      </c>
      <c r="AF1437" s="1145">
        <f t="shared" si="407"/>
        <v>325.89</v>
      </c>
      <c r="AG1437" s="1149">
        <f>IFERROR(VLOOKUP(CONCATENATE($L1437,$N1437),'Drop List'!$G$23:$K$87,2,FALSE),0)</f>
        <v>0</v>
      </c>
      <c r="AH1437" s="1150">
        <f>IFERROR(VLOOKUP(CONCATENATE($L1437,$N1437),'Drop List'!$G$23:$K$87,3,FALSE),0)</f>
        <v>0</v>
      </c>
      <c r="AI1437" s="1150">
        <f>IFERROR(VLOOKUP(CONCATENATE($L1437,$N1437),'Drop List'!$G$23:$K$87,4,FALSE),0)</f>
        <v>0</v>
      </c>
      <c r="AJ1437" s="1151">
        <f>IFERROR(VLOOKUP(CONCATENATE($L1437,$N1437),'Drop List'!$G$23:$K$87,5,FALSE),0)</f>
        <v>0</v>
      </c>
      <c r="AK1437" s="1152">
        <f t="shared" si="408"/>
        <v>0</v>
      </c>
      <c r="AL1437" s="1153">
        <f t="shared" si="409"/>
        <v>0</v>
      </c>
      <c r="AM1437" s="1153">
        <f t="shared" si="410"/>
        <v>0</v>
      </c>
      <c r="AN1437" s="1145">
        <f t="shared" si="411"/>
        <v>0</v>
      </c>
      <c r="AO1437" s="1154">
        <f t="shared" si="412"/>
        <v>0</v>
      </c>
      <c r="AP1437" s="1147">
        <f t="shared" si="399"/>
        <v>325.89</v>
      </c>
      <c r="AQ1437" s="1144">
        <f t="shared" si="400"/>
        <v>0</v>
      </c>
      <c r="AR1437" s="1146">
        <f t="shared" si="401"/>
        <v>325.89</v>
      </c>
    </row>
    <row r="1438" spans="1:44" x14ac:dyDescent="0.2">
      <c r="A1438" s="1141" t="str">
        <f t="shared" si="414"/>
        <v>1563</v>
      </c>
      <c r="B1438" s="1141" t="str">
        <f>IFERROR(VLOOKUP(A1438,'LAC 103'!A:C,3,FALSE),"")</f>
        <v>OP</v>
      </c>
      <c r="C1438" s="1478" t="str">
        <f>Info!$B$8</f>
        <v>00100</v>
      </c>
      <c r="D1438" s="1474" t="s">
        <v>256</v>
      </c>
      <c r="E1438" s="1474" t="s">
        <v>95</v>
      </c>
      <c r="F1438" s="1478" t="s">
        <v>434</v>
      </c>
      <c r="G1438" s="1478" t="s">
        <v>434</v>
      </c>
      <c r="H1438" s="1474" t="s">
        <v>989</v>
      </c>
      <c r="I1438" s="1478" t="s">
        <v>823</v>
      </c>
      <c r="J1438" s="1478" t="s">
        <v>1999</v>
      </c>
      <c r="K1438" s="1475" t="s">
        <v>846</v>
      </c>
      <c r="L1438" s="1474" t="s">
        <v>332</v>
      </c>
      <c r="M1438" s="1476" t="s">
        <v>842</v>
      </c>
      <c r="N1438" s="1477" t="s">
        <v>1692</v>
      </c>
      <c r="O1438" s="1479">
        <v>316</v>
      </c>
      <c r="P1438" s="1479"/>
      <c r="Q1438" s="1142">
        <f t="shared" si="397"/>
        <v>316</v>
      </c>
      <c r="R1438" s="1143">
        <f>IFERROR(VLOOKUP(CONCATENATE(E1438,G1438),'LAC 103'!$A$12:$O$95,11,FALSE),0)</f>
        <v>5.936295312319726</v>
      </c>
      <c r="S1438" s="1144">
        <f>IFERROR(VLOOKUP(CONCATENATE($E1438,$G1438),'LAC 103'!$A$12:$O$95,12,FALSE),0)</f>
        <v>7.34</v>
      </c>
      <c r="T1438" s="1144">
        <f>IFERROR(VLOOKUP(CONCATENATE($E1438,$G1438),'LAC 103'!$A$12:$O$95,13,FALSE),0)</f>
        <v>4.59</v>
      </c>
      <c r="U1438" s="1144">
        <f>IFERROR(VLOOKUP(CONCATENATE($E1438,$G1438),'LAC 103'!$A$12:$O$95,14,FALSE),0)</f>
        <v>0</v>
      </c>
      <c r="V1438" s="1144">
        <f>IFERROR(VLOOKUP(CONCATENATE($E1438,$G1438),'LAC 103'!$A$12:$O$95,15,FALSE),0)</f>
        <v>0</v>
      </c>
      <c r="W1438" s="1145" t="str">
        <f>IFERROR(VLOOKUP(CONCATENATE($B1438,$N1438),'LAC 103'!$AI:$AQ,9,FALSE),"")</f>
        <v>Costs</v>
      </c>
      <c r="X1438" s="1146">
        <f t="shared" si="402"/>
        <v>5.936295312319726</v>
      </c>
      <c r="Y1438" s="1143">
        <f t="shared" si="413"/>
        <v>1875.8693186930334</v>
      </c>
      <c r="Z1438" s="1147">
        <f t="shared" si="403"/>
        <v>2319.44</v>
      </c>
      <c r="AA1438" s="1144">
        <f t="shared" si="404"/>
        <v>1450.44</v>
      </c>
      <c r="AB1438" s="1144">
        <f t="shared" si="405"/>
        <v>0</v>
      </c>
      <c r="AC1438" s="1144">
        <f t="shared" si="406"/>
        <v>0</v>
      </c>
      <c r="AD1438" s="1148">
        <f t="shared" si="398"/>
        <v>1875.8693186930334</v>
      </c>
      <c r="AE1438" s="1487">
        <v>0</v>
      </c>
      <c r="AF1438" s="1145">
        <f t="shared" si="407"/>
        <v>1875.8693186930334</v>
      </c>
      <c r="AG1438" s="1149">
        <f>IFERROR(VLOOKUP(CONCATENATE($L1438,$N1438),'Drop List'!$G$23:$K$87,2,FALSE),0)</f>
        <v>0</v>
      </c>
      <c r="AH1438" s="1150">
        <f>IFERROR(VLOOKUP(CONCATENATE($L1438,$N1438),'Drop List'!$G$23:$K$87,3,FALSE),0)</f>
        <v>0</v>
      </c>
      <c r="AI1438" s="1150">
        <f>IFERROR(VLOOKUP(CONCATENATE($L1438,$N1438),'Drop List'!$G$23:$K$87,4,FALSE),0)</f>
        <v>0</v>
      </c>
      <c r="AJ1438" s="1151">
        <f>IFERROR(VLOOKUP(CONCATENATE($L1438,$N1438),'Drop List'!$G$23:$K$87,5,FALSE),0)</f>
        <v>0</v>
      </c>
      <c r="AK1438" s="1152">
        <f t="shared" si="408"/>
        <v>0</v>
      </c>
      <c r="AL1438" s="1153">
        <f t="shared" si="409"/>
        <v>0</v>
      </c>
      <c r="AM1438" s="1153">
        <f t="shared" si="410"/>
        <v>0</v>
      </c>
      <c r="AN1438" s="1145">
        <f t="shared" si="411"/>
        <v>0</v>
      </c>
      <c r="AO1438" s="1154">
        <f t="shared" si="412"/>
        <v>0</v>
      </c>
      <c r="AP1438" s="1147">
        <f t="shared" si="399"/>
        <v>1875.8693186930334</v>
      </c>
      <c r="AQ1438" s="1144">
        <f t="shared" si="400"/>
        <v>0</v>
      </c>
      <c r="AR1438" s="1146">
        <f t="shared" si="401"/>
        <v>1875.8693186930334</v>
      </c>
    </row>
    <row r="1439" spans="1:44" x14ac:dyDescent="0.2">
      <c r="A1439" s="1141" t="str">
        <f t="shared" si="414"/>
        <v>1563</v>
      </c>
      <c r="B1439" s="1141" t="str">
        <f>IFERROR(VLOOKUP(A1439,'LAC 103'!A:C,3,FALSE),"")</f>
        <v>OP</v>
      </c>
      <c r="C1439" s="1478" t="str">
        <f>Info!$B$8</f>
        <v>00100</v>
      </c>
      <c r="D1439" s="1474" t="s">
        <v>256</v>
      </c>
      <c r="E1439" s="1474" t="s">
        <v>95</v>
      </c>
      <c r="F1439" s="1478" t="s">
        <v>434</v>
      </c>
      <c r="G1439" s="1478" t="s">
        <v>434</v>
      </c>
      <c r="H1439" s="1474" t="s">
        <v>989</v>
      </c>
      <c r="I1439" s="1478" t="s">
        <v>823</v>
      </c>
      <c r="J1439" s="1478" t="s">
        <v>1999</v>
      </c>
      <c r="K1439" s="1475" t="s">
        <v>846</v>
      </c>
      <c r="L1439" s="1474" t="s">
        <v>332</v>
      </c>
      <c r="M1439" s="1476" t="s">
        <v>1698</v>
      </c>
      <c r="N1439" s="1477" t="s">
        <v>1693</v>
      </c>
      <c r="O1439" s="1479">
        <v>910</v>
      </c>
      <c r="P1439" s="1479"/>
      <c r="Q1439" s="1142">
        <f t="shared" si="397"/>
        <v>910</v>
      </c>
      <c r="R1439" s="1143">
        <f>IFERROR(VLOOKUP(CONCATENATE(E1439,G1439),'LAC 103'!$A$12:$O$95,11,FALSE),0)</f>
        <v>5.936295312319726</v>
      </c>
      <c r="S1439" s="1144">
        <f>IFERROR(VLOOKUP(CONCATENATE($E1439,$G1439),'LAC 103'!$A$12:$O$95,12,FALSE),0)</f>
        <v>7.34</v>
      </c>
      <c r="T1439" s="1144">
        <f>IFERROR(VLOOKUP(CONCATENATE($E1439,$G1439),'LAC 103'!$A$12:$O$95,13,FALSE),0)</f>
        <v>4.59</v>
      </c>
      <c r="U1439" s="1144">
        <f>IFERROR(VLOOKUP(CONCATENATE($E1439,$G1439),'LAC 103'!$A$12:$O$95,14,FALSE),0)</f>
        <v>0</v>
      </c>
      <c r="V1439" s="1144">
        <f>IFERROR(VLOOKUP(CONCATENATE($E1439,$G1439),'LAC 103'!$A$12:$O$95,15,FALSE),0)</f>
        <v>0</v>
      </c>
      <c r="W1439" s="1145" t="str">
        <f>IFERROR(VLOOKUP(CONCATENATE($B1439,$N1439),'LAC 103'!$AI:$AQ,9,FALSE),"")</f>
        <v>Costs</v>
      </c>
      <c r="X1439" s="1146">
        <f t="shared" si="402"/>
        <v>5.936295312319726</v>
      </c>
      <c r="Y1439" s="1143">
        <f t="shared" si="413"/>
        <v>5402.0287342109505</v>
      </c>
      <c r="Z1439" s="1147">
        <f t="shared" si="403"/>
        <v>6679.4</v>
      </c>
      <c r="AA1439" s="1144">
        <f t="shared" si="404"/>
        <v>4176.8999999999996</v>
      </c>
      <c r="AB1439" s="1144">
        <f t="shared" si="405"/>
        <v>0</v>
      </c>
      <c r="AC1439" s="1144">
        <f t="shared" si="406"/>
        <v>0</v>
      </c>
      <c r="AD1439" s="1148">
        <f t="shared" si="398"/>
        <v>5402.0287342109505</v>
      </c>
      <c r="AE1439" s="1487">
        <v>0</v>
      </c>
      <c r="AF1439" s="1145">
        <f t="shared" si="407"/>
        <v>5402.0287342109505</v>
      </c>
      <c r="AG1439" s="1149">
        <f>IFERROR(VLOOKUP(CONCATENATE($L1439,$N1439),'Drop List'!$G$23:$K$87,2,FALSE),0)</f>
        <v>0</v>
      </c>
      <c r="AH1439" s="1150">
        <f>IFERROR(VLOOKUP(CONCATENATE($L1439,$N1439),'Drop List'!$G$23:$K$87,3,FALSE),0)</f>
        <v>0</v>
      </c>
      <c r="AI1439" s="1150">
        <f>IFERROR(VLOOKUP(CONCATENATE($L1439,$N1439),'Drop List'!$G$23:$K$87,4,FALSE),0)</f>
        <v>0</v>
      </c>
      <c r="AJ1439" s="1151">
        <f>IFERROR(VLOOKUP(CONCATENATE($L1439,$N1439),'Drop List'!$G$23:$K$87,5,FALSE),0)</f>
        <v>0</v>
      </c>
      <c r="AK1439" s="1152">
        <f t="shared" si="408"/>
        <v>0</v>
      </c>
      <c r="AL1439" s="1153">
        <f t="shared" si="409"/>
        <v>0</v>
      </c>
      <c r="AM1439" s="1153">
        <f t="shared" si="410"/>
        <v>0</v>
      </c>
      <c r="AN1439" s="1145">
        <f t="shared" si="411"/>
        <v>0</v>
      </c>
      <c r="AO1439" s="1154">
        <f t="shared" si="412"/>
        <v>0</v>
      </c>
      <c r="AP1439" s="1147">
        <f t="shared" si="399"/>
        <v>5402.0287342109505</v>
      </c>
      <c r="AQ1439" s="1144">
        <f t="shared" si="400"/>
        <v>0</v>
      </c>
      <c r="AR1439" s="1146">
        <f t="shared" si="401"/>
        <v>5402.0287342109505</v>
      </c>
    </row>
    <row r="1440" spans="1:44" x14ac:dyDescent="0.2">
      <c r="A1440" s="1141" t="str">
        <f t="shared" si="414"/>
        <v>1563</v>
      </c>
      <c r="B1440" s="1141" t="str">
        <f>IFERROR(VLOOKUP(A1440,'LAC 103'!A:C,3,FALSE),"")</f>
        <v>OP</v>
      </c>
      <c r="C1440" s="1478" t="str">
        <f>Info!$B$8</f>
        <v>00100</v>
      </c>
      <c r="D1440" s="1474" t="s">
        <v>256</v>
      </c>
      <c r="E1440" s="1474" t="s">
        <v>95</v>
      </c>
      <c r="F1440" s="1478" t="s">
        <v>434</v>
      </c>
      <c r="G1440" s="1478" t="s">
        <v>434</v>
      </c>
      <c r="H1440" s="1474" t="s">
        <v>989</v>
      </c>
      <c r="I1440" s="1478" t="s">
        <v>823</v>
      </c>
      <c r="J1440" s="1478" t="s">
        <v>2000</v>
      </c>
      <c r="K1440" s="1475" t="s">
        <v>846</v>
      </c>
      <c r="L1440" s="1474" t="s">
        <v>332</v>
      </c>
      <c r="M1440" s="1476" t="s">
        <v>1699</v>
      </c>
      <c r="N1440" s="1477" t="s">
        <v>1694</v>
      </c>
      <c r="O1440" s="1479">
        <v>1502</v>
      </c>
      <c r="P1440" s="1479"/>
      <c r="Q1440" s="1142">
        <f t="shared" si="397"/>
        <v>1502</v>
      </c>
      <c r="R1440" s="1143">
        <f>IFERROR(VLOOKUP(CONCATENATE(E1440,G1440),'LAC 103'!$A$12:$O$95,11,FALSE),0)</f>
        <v>5.936295312319726</v>
      </c>
      <c r="S1440" s="1144">
        <f>IFERROR(VLOOKUP(CONCATENATE($E1440,$G1440),'LAC 103'!$A$12:$O$95,12,FALSE),0)</f>
        <v>7.34</v>
      </c>
      <c r="T1440" s="1144">
        <f>IFERROR(VLOOKUP(CONCATENATE($E1440,$G1440),'LAC 103'!$A$12:$O$95,13,FALSE),0)</f>
        <v>4.59</v>
      </c>
      <c r="U1440" s="1144">
        <f>IFERROR(VLOOKUP(CONCATENATE($E1440,$G1440),'LAC 103'!$A$12:$O$95,14,FALSE),0)</f>
        <v>0</v>
      </c>
      <c r="V1440" s="1144">
        <f>IFERROR(VLOOKUP(CONCATENATE($E1440,$G1440),'LAC 103'!$A$12:$O$95,15,FALSE),0)</f>
        <v>0</v>
      </c>
      <c r="W1440" s="1145" t="str">
        <f>IFERROR(VLOOKUP(CONCATENATE($B1440,$N1440),'LAC 103'!$AI:$AQ,9,FALSE),"")</f>
        <v>Costs</v>
      </c>
      <c r="X1440" s="1146">
        <f t="shared" si="402"/>
        <v>5.936295312319726</v>
      </c>
      <c r="Y1440" s="1143">
        <f t="shared" si="413"/>
        <v>8916.3155591042287</v>
      </c>
      <c r="Z1440" s="1147">
        <f t="shared" si="403"/>
        <v>11024.68</v>
      </c>
      <c r="AA1440" s="1144">
        <f t="shared" si="404"/>
        <v>6894.1799999999994</v>
      </c>
      <c r="AB1440" s="1144">
        <f t="shared" si="405"/>
        <v>0</v>
      </c>
      <c r="AC1440" s="1144">
        <f t="shared" si="406"/>
        <v>0</v>
      </c>
      <c r="AD1440" s="1148">
        <f t="shared" si="398"/>
        <v>8916.3155591042287</v>
      </c>
      <c r="AE1440" s="1487">
        <v>0</v>
      </c>
      <c r="AF1440" s="1145">
        <f t="shared" si="407"/>
        <v>8916.3155591042287</v>
      </c>
      <c r="AG1440" s="1149">
        <f>IFERROR(VLOOKUP(CONCATENATE($L1440,$N1440),'Drop List'!$G$23:$K$87,2,FALSE),0)</f>
        <v>0</v>
      </c>
      <c r="AH1440" s="1150">
        <f>IFERROR(VLOOKUP(CONCATENATE($L1440,$N1440),'Drop List'!$G$23:$K$87,3,FALSE),0)</f>
        <v>0</v>
      </c>
      <c r="AI1440" s="1150">
        <f>IFERROR(VLOOKUP(CONCATENATE($L1440,$N1440),'Drop List'!$G$23:$K$87,4,FALSE),0)</f>
        <v>0</v>
      </c>
      <c r="AJ1440" s="1151">
        <f>IFERROR(VLOOKUP(CONCATENATE($L1440,$N1440),'Drop List'!$G$23:$K$87,5,FALSE),0)</f>
        <v>0</v>
      </c>
      <c r="AK1440" s="1152">
        <f t="shared" si="408"/>
        <v>0</v>
      </c>
      <c r="AL1440" s="1153">
        <f t="shared" si="409"/>
        <v>0</v>
      </c>
      <c r="AM1440" s="1153">
        <f t="shared" si="410"/>
        <v>0</v>
      </c>
      <c r="AN1440" s="1145">
        <f t="shared" si="411"/>
        <v>0</v>
      </c>
      <c r="AO1440" s="1154">
        <f t="shared" si="412"/>
        <v>0</v>
      </c>
      <c r="AP1440" s="1147">
        <f t="shared" si="399"/>
        <v>8916.3155591042287</v>
      </c>
      <c r="AQ1440" s="1144">
        <f t="shared" si="400"/>
        <v>0</v>
      </c>
      <c r="AR1440" s="1146">
        <f t="shared" si="401"/>
        <v>8916.3155591042287</v>
      </c>
    </row>
    <row r="1441" spans="1:44" x14ac:dyDescent="0.2">
      <c r="A1441" s="1141" t="str">
        <f t="shared" si="414"/>
        <v>1563</v>
      </c>
      <c r="B1441" s="1141" t="str">
        <f>IFERROR(VLOOKUP(A1441,'LAC 103'!A:C,3,FALSE),"")</f>
        <v>OP</v>
      </c>
      <c r="C1441" s="1478" t="str">
        <f>Info!$B$8</f>
        <v>00100</v>
      </c>
      <c r="D1441" s="1474" t="s">
        <v>256</v>
      </c>
      <c r="E1441" s="1474" t="s">
        <v>95</v>
      </c>
      <c r="F1441" s="1478" t="s">
        <v>434</v>
      </c>
      <c r="G1441" s="1478" t="s">
        <v>434</v>
      </c>
      <c r="H1441" s="1474" t="s">
        <v>989</v>
      </c>
      <c r="I1441" s="1478" t="s">
        <v>823</v>
      </c>
      <c r="J1441" s="1478" t="s">
        <v>2000</v>
      </c>
      <c r="K1441" s="1475" t="s">
        <v>846</v>
      </c>
      <c r="L1441" s="1474" t="s">
        <v>332</v>
      </c>
      <c r="M1441" s="1476" t="s">
        <v>841</v>
      </c>
      <c r="N1441" s="1477" t="s">
        <v>1695</v>
      </c>
      <c r="O1441" s="1479">
        <v>736</v>
      </c>
      <c r="P1441" s="1479"/>
      <c r="Q1441" s="1142">
        <f t="shared" si="397"/>
        <v>736</v>
      </c>
      <c r="R1441" s="1143">
        <f>IFERROR(VLOOKUP(CONCATENATE(E1441,G1441),'LAC 103'!$A$12:$O$95,11,FALSE),0)</f>
        <v>5.936295312319726</v>
      </c>
      <c r="S1441" s="1144">
        <f>IFERROR(VLOOKUP(CONCATENATE($E1441,$G1441),'LAC 103'!$A$12:$O$95,12,FALSE),0)</f>
        <v>7.34</v>
      </c>
      <c r="T1441" s="1144">
        <f>IFERROR(VLOOKUP(CONCATENATE($E1441,$G1441),'LAC 103'!$A$12:$O$95,13,FALSE),0)</f>
        <v>4.59</v>
      </c>
      <c r="U1441" s="1144">
        <f>IFERROR(VLOOKUP(CONCATENATE($E1441,$G1441),'LAC 103'!$A$12:$O$95,14,FALSE),0)</f>
        <v>0</v>
      </c>
      <c r="V1441" s="1144">
        <f>IFERROR(VLOOKUP(CONCATENATE($E1441,$G1441),'LAC 103'!$A$12:$O$95,15,FALSE),0)</f>
        <v>0</v>
      </c>
      <c r="W1441" s="1145" t="str">
        <f>IFERROR(VLOOKUP(CONCATENATE($B1441,$N1441),'LAC 103'!$AI:$AQ,9,FALSE),"")</f>
        <v>Costs</v>
      </c>
      <c r="X1441" s="1146">
        <f t="shared" si="402"/>
        <v>5.936295312319726</v>
      </c>
      <c r="Y1441" s="1143">
        <f t="shared" si="413"/>
        <v>4369.113349867318</v>
      </c>
      <c r="Z1441" s="1147">
        <f t="shared" si="403"/>
        <v>5402.24</v>
      </c>
      <c r="AA1441" s="1144">
        <f t="shared" si="404"/>
        <v>3378.24</v>
      </c>
      <c r="AB1441" s="1144">
        <f t="shared" si="405"/>
        <v>0</v>
      </c>
      <c r="AC1441" s="1144">
        <f t="shared" si="406"/>
        <v>0</v>
      </c>
      <c r="AD1441" s="1148">
        <f t="shared" si="398"/>
        <v>4369.113349867318</v>
      </c>
      <c r="AE1441" s="1487">
        <v>0</v>
      </c>
      <c r="AF1441" s="1145">
        <f t="shared" si="407"/>
        <v>4369.113349867318</v>
      </c>
      <c r="AG1441" s="1149">
        <f>IFERROR(VLOOKUP(CONCATENATE($L1441,$N1441),'Drop List'!$G$23:$K$87,2,FALSE),0)</f>
        <v>0</v>
      </c>
      <c r="AH1441" s="1150">
        <f>IFERROR(VLOOKUP(CONCATENATE($L1441,$N1441),'Drop List'!$G$23:$K$87,3,FALSE),0)</f>
        <v>0</v>
      </c>
      <c r="AI1441" s="1150">
        <f>IFERROR(VLOOKUP(CONCATENATE($L1441,$N1441),'Drop List'!$G$23:$K$87,4,FALSE),0)</f>
        <v>0</v>
      </c>
      <c r="AJ1441" s="1151">
        <f>IFERROR(VLOOKUP(CONCATENATE($L1441,$N1441),'Drop List'!$G$23:$K$87,5,FALSE),0)</f>
        <v>0</v>
      </c>
      <c r="AK1441" s="1152">
        <f t="shared" si="408"/>
        <v>0</v>
      </c>
      <c r="AL1441" s="1153">
        <f t="shared" si="409"/>
        <v>0</v>
      </c>
      <c r="AM1441" s="1153">
        <f t="shared" si="410"/>
        <v>0</v>
      </c>
      <c r="AN1441" s="1145">
        <f t="shared" si="411"/>
        <v>0</v>
      </c>
      <c r="AO1441" s="1154">
        <f t="shared" si="412"/>
        <v>0</v>
      </c>
      <c r="AP1441" s="1147">
        <f t="shared" si="399"/>
        <v>4369.113349867318</v>
      </c>
      <c r="AQ1441" s="1144">
        <f t="shared" si="400"/>
        <v>0</v>
      </c>
      <c r="AR1441" s="1146">
        <f t="shared" si="401"/>
        <v>4369.113349867318</v>
      </c>
    </row>
    <row r="1442" spans="1:44" x14ac:dyDescent="0.2">
      <c r="A1442" s="1141" t="str">
        <f t="shared" si="414"/>
        <v>1563</v>
      </c>
      <c r="B1442" s="1141" t="str">
        <f>IFERROR(VLOOKUP(A1442,'LAC 103'!A:C,3,FALSE),"")</f>
        <v>OP</v>
      </c>
      <c r="C1442" s="1478" t="str">
        <f>Info!$B$8</f>
        <v>00100</v>
      </c>
      <c r="D1442" s="1474" t="s">
        <v>256</v>
      </c>
      <c r="E1442" s="1474" t="s">
        <v>95</v>
      </c>
      <c r="F1442" s="1478" t="s">
        <v>434</v>
      </c>
      <c r="G1442" s="1478" t="s">
        <v>434</v>
      </c>
      <c r="H1442" s="1474" t="s">
        <v>989</v>
      </c>
      <c r="I1442" s="1478" t="s">
        <v>823</v>
      </c>
      <c r="J1442" s="1478" t="s">
        <v>2000</v>
      </c>
      <c r="K1442" s="1475" t="s">
        <v>846</v>
      </c>
      <c r="L1442" s="1474" t="s">
        <v>332</v>
      </c>
      <c r="M1442" s="1476" t="s">
        <v>840</v>
      </c>
      <c r="N1442" s="1477" t="s">
        <v>1700</v>
      </c>
      <c r="O1442" s="1479">
        <v>580</v>
      </c>
      <c r="P1442" s="1479"/>
      <c r="Q1442" s="1142">
        <f t="shared" si="397"/>
        <v>580</v>
      </c>
      <c r="R1442" s="1143">
        <f>IFERROR(VLOOKUP(CONCATENATE(E1442,G1442),'LAC 103'!$A$12:$O$95,11,FALSE),0)</f>
        <v>5.936295312319726</v>
      </c>
      <c r="S1442" s="1144">
        <f>IFERROR(VLOOKUP(CONCATENATE($E1442,$G1442),'LAC 103'!$A$12:$O$95,12,FALSE),0)</f>
        <v>7.34</v>
      </c>
      <c r="T1442" s="1144">
        <f>IFERROR(VLOOKUP(CONCATENATE($E1442,$G1442),'LAC 103'!$A$12:$O$95,13,FALSE),0)</f>
        <v>4.59</v>
      </c>
      <c r="U1442" s="1144">
        <f>IFERROR(VLOOKUP(CONCATENATE($E1442,$G1442),'LAC 103'!$A$12:$O$95,14,FALSE),0)</f>
        <v>0</v>
      </c>
      <c r="V1442" s="1144">
        <f>IFERROR(VLOOKUP(CONCATENATE($E1442,$G1442),'LAC 103'!$A$12:$O$95,15,FALSE),0)</f>
        <v>0</v>
      </c>
      <c r="W1442" s="1145" t="str">
        <f>IFERROR(VLOOKUP(CONCATENATE($B1442,$N1442),'LAC 103'!$AI:$AQ,9,FALSE),"")</f>
        <v>P.C.</v>
      </c>
      <c r="X1442" s="1146">
        <f t="shared" si="402"/>
        <v>4.59</v>
      </c>
      <c r="Y1442" s="1143">
        <f t="shared" si="413"/>
        <v>3443.051281145441</v>
      </c>
      <c r="Z1442" s="1147">
        <f t="shared" si="403"/>
        <v>4257.2</v>
      </c>
      <c r="AA1442" s="1144">
        <f t="shared" si="404"/>
        <v>2662.2</v>
      </c>
      <c r="AB1442" s="1144">
        <f t="shared" si="405"/>
        <v>0</v>
      </c>
      <c r="AC1442" s="1144">
        <f t="shared" si="406"/>
        <v>0</v>
      </c>
      <c r="AD1442" s="1148">
        <f t="shared" si="398"/>
        <v>2662.2</v>
      </c>
      <c r="AE1442" s="1487">
        <v>0</v>
      </c>
      <c r="AF1442" s="1145">
        <f t="shared" si="407"/>
        <v>2662.2</v>
      </c>
      <c r="AG1442" s="1149">
        <f>IFERROR(VLOOKUP(CONCATENATE($L1442,$N1442),'Drop List'!$G$23:$K$87,2,FALSE),0)</f>
        <v>0</v>
      </c>
      <c r="AH1442" s="1150">
        <f>IFERROR(VLOOKUP(CONCATENATE($L1442,$N1442),'Drop List'!$G$23:$K$87,3,FALSE),0)</f>
        <v>0</v>
      </c>
      <c r="AI1442" s="1150">
        <f>IFERROR(VLOOKUP(CONCATENATE($L1442,$N1442),'Drop List'!$G$23:$K$87,4,FALSE),0)</f>
        <v>0</v>
      </c>
      <c r="AJ1442" s="1151">
        <f>IFERROR(VLOOKUP(CONCATENATE($L1442,$N1442),'Drop List'!$G$23:$K$87,5,FALSE),0)</f>
        <v>0</v>
      </c>
      <c r="AK1442" s="1152">
        <f t="shared" si="408"/>
        <v>0</v>
      </c>
      <c r="AL1442" s="1153">
        <f t="shared" si="409"/>
        <v>0</v>
      </c>
      <c r="AM1442" s="1153">
        <f t="shared" si="410"/>
        <v>0</v>
      </c>
      <c r="AN1442" s="1145">
        <f t="shared" si="411"/>
        <v>0</v>
      </c>
      <c r="AO1442" s="1154">
        <f t="shared" si="412"/>
        <v>0</v>
      </c>
      <c r="AP1442" s="1147">
        <f t="shared" si="399"/>
        <v>2662.2</v>
      </c>
      <c r="AQ1442" s="1144">
        <f t="shared" si="400"/>
        <v>0</v>
      </c>
      <c r="AR1442" s="1146">
        <f t="shared" si="401"/>
        <v>2662.2</v>
      </c>
    </row>
    <row r="1443" spans="1:44" x14ac:dyDescent="0.2">
      <c r="A1443" s="1141" t="str">
        <f t="shared" si="414"/>
        <v>1563</v>
      </c>
      <c r="B1443" s="1141" t="str">
        <f>IFERROR(VLOOKUP(A1443,'LAC 103'!A:C,3,FALSE),"")</f>
        <v>OP</v>
      </c>
      <c r="C1443" s="1478" t="str">
        <f>Info!$B$8</f>
        <v>00100</v>
      </c>
      <c r="D1443" s="1474" t="s">
        <v>256</v>
      </c>
      <c r="E1443" s="1474" t="s">
        <v>95</v>
      </c>
      <c r="F1443" s="1478" t="s">
        <v>434</v>
      </c>
      <c r="G1443" s="1478" t="s">
        <v>434</v>
      </c>
      <c r="H1443" s="1474" t="s">
        <v>989</v>
      </c>
      <c r="I1443" s="1478" t="s">
        <v>823</v>
      </c>
      <c r="J1443" s="1478" t="s">
        <v>2000</v>
      </c>
      <c r="K1443" s="1475" t="s">
        <v>846</v>
      </c>
      <c r="L1443" s="1474" t="s">
        <v>332</v>
      </c>
      <c r="M1443" s="1476" t="s">
        <v>842</v>
      </c>
      <c r="N1443" s="1477" t="s">
        <v>1692</v>
      </c>
      <c r="O1443" s="1479">
        <v>1194</v>
      </c>
      <c r="P1443" s="1479"/>
      <c r="Q1443" s="1142">
        <f t="shared" si="397"/>
        <v>1194</v>
      </c>
      <c r="R1443" s="1143">
        <f>IFERROR(VLOOKUP(CONCATENATE(E1443,G1443),'LAC 103'!$A$12:$O$95,11,FALSE),0)</f>
        <v>5.936295312319726</v>
      </c>
      <c r="S1443" s="1144">
        <f>IFERROR(VLOOKUP(CONCATENATE($E1443,$G1443),'LAC 103'!$A$12:$O$95,12,FALSE),0)</f>
        <v>7.34</v>
      </c>
      <c r="T1443" s="1144">
        <f>IFERROR(VLOOKUP(CONCATENATE($E1443,$G1443),'LAC 103'!$A$12:$O$95,13,FALSE),0)</f>
        <v>4.59</v>
      </c>
      <c r="U1443" s="1144">
        <f>IFERROR(VLOOKUP(CONCATENATE($E1443,$G1443),'LAC 103'!$A$12:$O$95,14,FALSE),0)</f>
        <v>0</v>
      </c>
      <c r="V1443" s="1144">
        <f>IFERROR(VLOOKUP(CONCATENATE($E1443,$G1443),'LAC 103'!$A$12:$O$95,15,FALSE),0)</f>
        <v>0</v>
      </c>
      <c r="W1443" s="1145" t="str">
        <f>IFERROR(VLOOKUP(CONCATENATE($B1443,$N1443),'LAC 103'!$AI:$AQ,9,FALSE),"")</f>
        <v>Costs</v>
      </c>
      <c r="X1443" s="1146">
        <f t="shared" si="402"/>
        <v>5.936295312319726</v>
      </c>
      <c r="Y1443" s="1143">
        <f t="shared" si="413"/>
        <v>7087.9366029097528</v>
      </c>
      <c r="Z1443" s="1147">
        <f t="shared" si="403"/>
        <v>8763.9599999999991</v>
      </c>
      <c r="AA1443" s="1144">
        <f t="shared" si="404"/>
        <v>5480.46</v>
      </c>
      <c r="AB1443" s="1144">
        <f t="shared" si="405"/>
        <v>0</v>
      </c>
      <c r="AC1443" s="1144">
        <f t="shared" si="406"/>
        <v>0</v>
      </c>
      <c r="AD1443" s="1148">
        <f t="shared" si="398"/>
        <v>7087.9366029097528</v>
      </c>
      <c r="AE1443" s="1487">
        <v>0</v>
      </c>
      <c r="AF1443" s="1145">
        <f t="shared" si="407"/>
        <v>7087.9366029097528</v>
      </c>
      <c r="AG1443" s="1149">
        <f>IFERROR(VLOOKUP(CONCATENATE($L1443,$N1443),'Drop List'!$G$23:$K$87,2,FALSE),0)</f>
        <v>0</v>
      </c>
      <c r="AH1443" s="1150">
        <f>IFERROR(VLOOKUP(CONCATENATE($L1443,$N1443),'Drop List'!$G$23:$K$87,3,FALSE),0)</f>
        <v>0</v>
      </c>
      <c r="AI1443" s="1150">
        <f>IFERROR(VLOOKUP(CONCATENATE($L1443,$N1443),'Drop List'!$G$23:$K$87,4,FALSE),0)</f>
        <v>0</v>
      </c>
      <c r="AJ1443" s="1151">
        <f>IFERROR(VLOOKUP(CONCATENATE($L1443,$N1443),'Drop List'!$G$23:$K$87,5,FALSE),0)</f>
        <v>0</v>
      </c>
      <c r="AK1443" s="1152">
        <f t="shared" si="408"/>
        <v>0</v>
      </c>
      <c r="AL1443" s="1153">
        <f t="shared" si="409"/>
        <v>0</v>
      </c>
      <c r="AM1443" s="1153">
        <f t="shared" si="410"/>
        <v>0</v>
      </c>
      <c r="AN1443" s="1145">
        <f t="shared" si="411"/>
        <v>0</v>
      </c>
      <c r="AO1443" s="1154">
        <f t="shared" si="412"/>
        <v>0</v>
      </c>
      <c r="AP1443" s="1147">
        <f t="shared" si="399"/>
        <v>7087.9366029097528</v>
      </c>
      <c r="AQ1443" s="1144">
        <f t="shared" si="400"/>
        <v>0</v>
      </c>
      <c r="AR1443" s="1146">
        <f t="shared" si="401"/>
        <v>7087.9366029097528</v>
      </c>
    </row>
    <row r="1444" spans="1:44" x14ac:dyDescent="0.2">
      <c r="A1444" s="1141" t="str">
        <f t="shared" si="414"/>
        <v>1563</v>
      </c>
      <c r="B1444" s="1141" t="str">
        <f>IFERROR(VLOOKUP(A1444,'LAC 103'!A:C,3,FALSE),"")</f>
        <v>OP</v>
      </c>
      <c r="C1444" s="1478" t="str">
        <f>Info!$B$8</f>
        <v>00100</v>
      </c>
      <c r="D1444" s="1474" t="s">
        <v>256</v>
      </c>
      <c r="E1444" s="1474" t="s">
        <v>95</v>
      </c>
      <c r="F1444" s="1478" t="s">
        <v>434</v>
      </c>
      <c r="G1444" s="1478" t="s">
        <v>434</v>
      </c>
      <c r="H1444" s="1474" t="s">
        <v>989</v>
      </c>
      <c r="I1444" s="1478" t="s">
        <v>823</v>
      </c>
      <c r="J1444" s="1478" t="s">
        <v>2000</v>
      </c>
      <c r="K1444" s="1475" t="s">
        <v>846</v>
      </c>
      <c r="L1444" s="1474" t="s">
        <v>332</v>
      </c>
      <c r="M1444" s="1476" t="s">
        <v>1698</v>
      </c>
      <c r="N1444" s="1477" t="s">
        <v>1693</v>
      </c>
      <c r="O1444" s="1479">
        <v>1604</v>
      </c>
      <c r="P1444" s="1479"/>
      <c r="Q1444" s="1142">
        <f t="shared" si="397"/>
        <v>1604</v>
      </c>
      <c r="R1444" s="1143">
        <f>IFERROR(VLOOKUP(CONCATENATE(E1444,G1444),'LAC 103'!$A$12:$O$95,11,FALSE),0)</f>
        <v>5.936295312319726</v>
      </c>
      <c r="S1444" s="1144">
        <f>IFERROR(VLOOKUP(CONCATENATE($E1444,$G1444),'LAC 103'!$A$12:$O$95,12,FALSE),0)</f>
        <v>7.34</v>
      </c>
      <c r="T1444" s="1144">
        <f>IFERROR(VLOOKUP(CONCATENATE($E1444,$G1444),'LAC 103'!$A$12:$O$95,13,FALSE),0)</f>
        <v>4.59</v>
      </c>
      <c r="U1444" s="1144">
        <f>IFERROR(VLOOKUP(CONCATENATE($E1444,$G1444),'LAC 103'!$A$12:$O$95,14,FALSE),0)</f>
        <v>0</v>
      </c>
      <c r="V1444" s="1144">
        <f>IFERROR(VLOOKUP(CONCATENATE($E1444,$G1444),'LAC 103'!$A$12:$O$95,15,FALSE),0)</f>
        <v>0</v>
      </c>
      <c r="W1444" s="1145" t="str">
        <f>IFERROR(VLOOKUP(CONCATENATE($B1444,$N1444),'LAC 103'!$AI:$AQ,9,FALSE),"")</f>
        <v>Costs</v>
      </c>
      <c r="X1444" s="1146">
        <f t="shared" si="402"/>
        <v>5.936295312319726</v>
      </c>
      <c r="Y1444" s="1143">
        <f t="shared" si="413"/>
        <v>9521.8176809608412</v>
      </c>
      <c r="Z1444" s="1147">
        <f t="shared" si="403"/>
        <v>11773.36</v>
      </c>
      <c r="AA1444" s="1144">
        <f t="shared" si="404"/>
        <v>7362.36</v>
      </c>
      <c r="AB1444" s="1144">
        <f t="shared" si="405"/>
        <v>0</v>
      </c>
      <c r="AC1444" s="1144">
        <f t="shared" si="406"/>
        <v>0</v>
      </c>
      <c r="AD1444" s="1148">
        <f t="shared" si="398"/>
        <v>9521.8176809608412</v>
      </c>
      <c r="AE1444" s="1487">
        <v>0</v>
      </c>
      <c r="AF1444" s="1145">
        <f t="shared" si="407"/>
        <v>9521.8176809608412</v>
      </c>
      <c r="AG1444" s="1149">
        <f>IFERROR(VLOOKUP(CONCATENATE($L1444,$N1444),'Drop List'!$G$23:$K$87,2,FALSE),0)</f>
        <v>0</v>
      </c>
      <c r="AH1444" s="1150">
        <f>IFERROR(VLOOKUP(CONCATENATE($L1444,$N1444),'Drop List'!$G$23:$K$87,3,FALSE),0)</f>
        <v>0</v>
      </c>
      <c r="AI1444" s="1150">
        <f>IFERROR(VLOOKUP(CONCATENATE($L1444,$N1444),'Drop List'!$G$23:$K$87,4,FALSE),0)</f>
        <v>0</v>
      </c>
      <c r="AJ1444" s="1151">
        <f>IFERROR(VLOOKUP(CONCATENATE($L1444,$N1444),'Drop List'!$G$23:$K$87,5,FALSE),0)</f>
        <v>0</v>
      </c>
      <c r="AK1444" s="1152">
        <f t="shared" si="408"/>
        <v>0</v>
      </c>
      <c r="AL1444" s="1153">
        <f t="shared" si="409"/>
        <v>0</v>
      </c>
      <c r="AM1444" s="1153">
        <f t="shared" si="410"/>
        <v>0</v>
      </c>
      <c r="AN1444" s="1145">
        <f t="shared" si="411"/>
        <v>0</v>
      </c>
      <c r="AO1444" s="1154">
        <f t="shared" si="412"/>
        <v>0</v>
      </c>
      <c r="AP1444" s="1147">
        <f t="shared" si="399"/>
        <v>9521.8176809608412</v>
      </c>
      <c r="AQ1444" s="1144">
        <f t="shared" si="400"/>
        <v>0</v>
      </c>
      <c r="AR1444" s="1146">
        <f t="shared" si="401"/>
        <v>9521.8176809608412</v>
      </c>
    </row>
    <row r="1445" spans="1:44" x14ac:dyDescent="0.2">
      <c r="A1445" s="1141" t="str">
        <f t="shared" si="414"/>
        <v>1563</v>
      </c>
      <c r="B1445" s="1141" t="str">
        <f>IFERROR(VLOOKUP(A1445,'LAC 103'!A:C,3,FALSE),"")</f>
        <v>OP</v>
      </c>
      <c r="C1445" s="1478" t="str">
        <f>Info!$B$8</f>
        <v>00100</v>
      </c>
      <c r="D1445" s="1474" t="s">
        <v>256</v>
      </c>
      <c r="E1445" s="1474" t="s">
        <v>95</v>
      </c>
      <c r="F1445" s="1478" t="s">
        <v>434</v>
      </c>
      <c r="G1445" s="1478" t="s">
        <v>434</v>
      </c>
      <c r="H1445" s="1474" t="s">
        <v>989</v>
      </c>
      <c r="I1445" s="1478" t="s">
        <v>823</v>
      </c>
      <c r="J1445" s="1478" t="s">
        <v>2001</v>
      </c>
      <c r="K1445" s="1475" t="s">
        <v>846</v>
      </c>
      <c r="L1445" s="1474" t="s">
        <v>332</v>
      </c>
      <c r="M1445" s="1476" t="s">
        <v>1699</v>
      </c>
      <c r="N1445" s="1477" t="s">
        <v>1694</v>
      </c>
      <c r="O1445" s="1479">
        <v>84</v>
      </c>
      <c r="P1445" s="1479"/>
      <c r="Q1445" s="1142">
        <f t="shared" si="397"/>
        <v>84</v>
      </c>
      <c r="R1445" s="1143">
        <f>IFERROR(VLOOKUP(CONCATENATE(E1445,G1445),'LAC 103'!$A$12:$O$95,11,FALSE),0)</f>
        <v>5.936295312319726</v>
      </c>
      <c r="S1445" s="1144">
        <f>IFERROR(VLOOKUP(CONCATENATE($E1445,$G1445),'LAC 103'!$A$12:$O$95,12,FALSE),0)</f>
        <v>7.34</v>
      </c>
      <c r="T1445" s="1144">
        <f>IFERROR(VLOOKUP(CONCATENATE($E1445,$G1445),'LAC 103'!$A$12:$O$95,13,FALSE),0)</f>
        <v>4.59</v>
      </c>
      <c r="U1445" s="1144">
        <f>IFERROR(VLOOKUP(CONCATENATE($E1445,$G1445),'LAC 103'!$A$12:$O$95,14,FALSE),0)</f>
        <v>0</v>
      </c>
      <c r="V1445" s="1144">
        <f>IFERROR(VLOOKUP(CONCATENATE($E1445,$G1445),'LAC 103'!$A$12:$O$95,15,FALSE),0)</f>
        <v>0</v>
      </c>
      <c r="W1445" s="1145" t="str">
        <f>IFERROR(VLOOKUP(CONCATENATE($B1445,$N1445),'LAC 103'!$AI:$AQ,9,FALSE),"")</f>
        <v>Costs</v>
      </c>
      <c r="X1445" s="1146">
        <f t="shared" si="402"/>
        <v>5.936295312319726</v>
      </c>
      <c r="Y1445" s="1143">
        <f t="shared" si="413"/>
        <v>498.64880623485698</v>
      </c>
      <c r="Z1445" s="1147">
        <f t="shared" si="403"/>
        <v>616.55999999999995</v>
      </c>
      <c r="AA1445" s="1144">
        <f t="shared" si="404"/>
        <v>385.56</v>
      </c>
      <c r="AB1445" s="1144">
        <f t="shared" si="405"/>
        <v>0</v>
      </c>
      <c r="AC1445" s="1144">
        <f t="shared" si="406"/>
        <v>0</v>
      </c>
      <c r="AD1445" s="1148">
        <f t="shared" si="398"/>
        <v>498.64880623485698</v>
      </c>
      <c r="AE1445" s="1487">
        <v>0</v>
      </c>
      <c r="AF1445" s="1145">
        <f t="shared" si="407"/>
        <v>498.64880623485698</v>
      </c>
      <c r="AG1445" s="1149">
        <f>IFERROR(VLOOKUP(CONCATENATE($L1445,$N1445),'Drop List'!$G$23:$K$87,2,FALSE),0)</f>
        <v>0</v>
      </c>
      <c r="AH1445" s="1150">
        <f>IFERROR(VLOOKUP(CONCATENATE($L1445,$N1445),'Drop List'!$G$23:$K$87,3,FALSE),0)</f>
        <v>0</v>
      </c>
      <c r="AI1445" s="1150">
        <f>IFERROR(VLOOKUP(CONCATENATE($L1445,$N1445),'Drop List'!$G$23:$K$87,4,FALSE),0)</f>
        <v>0</v>
      </c>
      <c r="AJ1445" s="1151">
        <f>IFERROR(VLOOKUP(CONCATENATE($L1445,$N1445),'Drop List'!$G$23:$K$87,5,FALSE),0)</f>
        <v>0</v>
      </c>
      <c r="AK1445" s="1152">
        <f t="shared" si="408"/>
        <v>0</v>
      </c>
      <c r="AL1445" s="1153">
        <f t="shared" si="409"/>
        <v>0</v>
      </c>
      <c r="AM1445" s="1153">
        <f t="shared" si="410"/>
        <v>0</v>
      </c>
      <c r="AN1445" s="1145">
        <f t="shared" si="411"/>
        <v>0</v>
      </c>
      <c r="AO1445" s="1154">
        <f t="shared" si="412"/>
        <v>0</v>
      </c>
      <c r="AP1445" s="1147">
        <f t="shared" si="399"/>
        <v>498.64880623485698</v>
      </c>
      <c r="AQ1445" s="1144">
        <f t="shared" si="400"/>
        <v>0</v>
      </c>
      <c r="AR1445" s="1146">
        <f t="shared" si="401"/>
        <v>498.64880623485698</v>
      </c>
    </row>
    <row r="1446" spans="1:44" x14ac:dyDescent="0.2">
      <c r="A1446" s="1141" t="str">
        <f t="shared" si="414"/>
        <v>1563</v>
      </c>
      <c r="B1446" s="1141" t="str">
        <f>IFERROR(VLOOKUP(A1446,'LAC 103'!A:C,3,FALSE),"")</f>
        <v>OP</v>
      </c>
      <c r="C1446" s="1478" t="str">
        <f>Info!$B$8</f>
        <v>00100</v>
      </c>
      <c r="D1446" s="1474" t="s">
        <v>256</v>
      </c>
      <c r="E1446" s="1474" t="s">
        <v>95</v>
      </c>
      <c r="F1446" s="1478" t="s">
        <v>434</v>
      </c>
      <c r="G1446" s="1478" t="s">
        <v>434</v>
      </c>
      <c r="H1446" s="1474" t="s">
        <v>989</v>
      </c>
      <c r="I1446" s="1478" t="s">
        <v>823</v>
      </c>
      <c r="J1446" s="1478" t="s">
        <v>2001</v>
      </c>
      <c r="K1446" s="1475" t="s">
        <v>846</v>
      </c>
      <c r="L1446" s="1474" t="s">
        <v>332</v>
      </c>
      <c r="M1446" s="1476" t="s">
        <v>841</v>
      </c>
      <c r="N1446" s="1477" t="s">
        <v>1695</v>
      </c>
      <c r="O1446" s="1479">
        <v>126</v>
      </c>
      <c r="P1446" s="1479"/>
      <c r="Q1446" s="1142">
        <f t="shared" si="397"/>
        <v>126</v>
      </c>
      <c r="R1446" s="1143">
        <f>IFERROR(VLOOKUP(CONCATENATE(E1446,G1446),'LAC 103'!$A$12:$O$95,11,FALSE),0)</f>
        <v>5.936295312319726</v>
      </c>
      <c r="S1446" s="1144">
        <f>IFERROR(VLOOKUP(CONCATENATE($E1446,$G1446),'LAC 103'!$A$12:$O$95,12,FALSE),0)</f>
        <v>7.34</v>
      </c>
      <c r="T1446" s="1144">
        <f>IFERROR(VLOOKUP(CONCATENATE($E1446,$G1446),'LAC 103'!$A$12:$O$95,13,FALSE),0)</f>
        <v>4.59</v>
      </c>
      <c r="U1446" s="1144">
        <f>IFERROR(VLOOKUP(CONCATENATE($E1446,$G1446),'LAC 103'!$A$12:$O$95,14,FALSE),0)</f>
        <v>0</v>
      </c>
      <c r="V1446" s="1144">
        <f>IFERROR(VLOOKUP(CONCATENATE($E1446,$G1446),'LAC 103'!$A$12:$O$95,15,FALSE),0)</f>
        <v>0</v>
      </c>
      <c r="W1446" s="1145" t="str">
        <f>IFERROR(VLOOKUP(CONCATENATE($B1446,$N1446),'LAC 103'!$AI:$AQ,9,FALSE),"")</f>
        <v>Costs</v>
      </c>
      <c r="X1446" s="1146">
        <f t="shared" si="402"/>
        <v>5.936295312319726</v>
      </c>
      <c r="Y1446" s="1143">
        <f t="shared" si="413"/>
        <v>747.97320935228549</v>
      </c>
      <c r="Z1446" s="1147">
        <f t="shared" si="403"/>
        <v>924.84</v>
      </c>
      <c r="AA1446" s="1144">
        <f t="shared" si="404"/>
        <v>578.34</v>
      </c>
      <c r="AB1446" s="1144">
        <f t="shared" si="405"/>
        <v>0</v>
      </c>
      <c r="AC1446" s="1144">
        <f t="shared" si="406"/>
        <v>0</v>
      </c>
      <c r="AD1446" s="1148">
        <f t="shared" si="398"/>
        <v>747.97320935228549</v>
      </c>
      <c r="AE1446" s="1487">
        <v>0</v>
      </c>
      <c r="AF1446" s="1145">
        <f t="shared" si="407"/>
        <v>747.97320935228549</v>
      </c>
      <c r="AG1446" s="1149">
        <f>IFERROR(VLOOKUP(CONCATENATE($L1446,$N1446),'Drop List'!$G$23:$K$87,2,FALSE),0)</f>
        <v>0</v>
      </c>
      <c r="AH1446" s="1150">
        <f>IFERROR(VLOOKUP(CONCATENATE($L1446,$N1446),'Drop List'!$G$23:$K$87,3,FALSE),0)</f>
        <v>0</v>
      </c>
      <c r="AI1446" s="1150">
        <f>IFERROR(VLOOKUP(CONCATENATE($L1446,$N1446),'Drop List'!$G$23:$K$87,4,FALSE),0)</f>
        <v>0</v>
      </c>
      <c r="AJ1446" s="1151">
        <f>IFERROR(VLOOKUP(CONCATENATE($L1446,$N1446),'Drop List'!$G$23:$K$87,5,FALSE),0)</f>
        <v>0</v>
      </c>
      <c r="AK1446" s="1152">
        <f t="shared" si="408"/>
        <v>0</v>
      </c>
      <c r="AL1446" s="1153">
        <f t="shared" si="409"/>
        <v>0</v>
      </c>
      <c r="AM1446" s="1153">
        <f t="shared" si="410"/>
        <v>0</v>
      </c>
      <c r="AN1446" s="1145">
        <f t="shared" si="411"/>
        <v>0</v>
      </c>
      <c r="AO1446" s="1154">
        <f t="shared" si="412"/>
        <v>0</v>
      </c>
      <c r="AP1446" s="1147">
        <f t="shared" si="399"/>
        <v>747.97320935228549</v>
      </c>
      <c r="AQ1446" s="1144">
        <f t="shared" si="400"/>
        <v>0</v>
      </c>
      <c r="AR1446" s="1146">
        <f t="shared" si="401"/>
        <v>747.97320935228549</v>
      </c>
    </row>
    <row r="1447" spans="1:44" x14ac:dyDescent="0.2">
      <c r="A1447" s="1141" t="str">
        <f t="shared" si="414"/>
        <v>1563</v>
      </c>
      <c r="B1447" s="1141" t="str">
        <f>IFERROR(VLOOKUP(A1447,'LAC 103'!A:C,3,FALSE),"")</f>
        <v>OP</v>
      </c>
      <c r="C1447" s="1478" t="str">
        <f>Info!$B$8</f>
        <v>00100</v>
      </c>
      <c r="D1447" s="1474" t="s">
        <v>256</v>
      </c>
      <c r="E1447" s="1474" t="s">
        <v>95</v>
      </c>
      <c r="F1447" s="1478" t="s">
        <v>434</v>
      </c>
      <c r="G1447" s="1478" t="s">
        <v>434</v>
      </c>
      <c r="H1447" s="1474" t="s">
        <v>989</v>
      </c>
      <c r="I1447" s="1478" t="s">
        <v>823</v>
      </c>
      <c r="J1447" s="1478" t="s">
        <v>2001</v>
      </c>
      <c r="K1447" s="1475" t="s">
        <v>846</v>
      </c>
      <c r="L1447" s="1474" t="s">
        <v>332</v>
      </c>
      <c r="M1447" s="1476" t="s">
        <v>840</v>
      </c>
      <c r="N1447" s="1477" t="s">
        <v>1700</v>
      </c>
      <c r="O1447" s="1479">
        <v>177</v>
      </c>
      <c r="P1447" s="1479"/>
      <c r="Q1447" s="1142">
        <f t="shared" si="397"/>
        <v>177</v>
      </c>
      <c r="R1447" s="1143">
        <f>IFERROR(VLOOKUP(CONCATENATE(E1447,G1447),'LAC 103'!$A$12:$O$95,11,FALSE),0)</f>
        <v>5.936295312319726</v>
      </c>
      <c r="S1447" s="1144">
        <f>IFERROR(VLOOKUP(CONCATENATE($E1447,$G1447),'LAC 103'!$A$12:$O$95,12,FALSE),0)</f>
        <v>7.34</v>
      </c>
      <c r="T1447" s="1144">
        <f>IFERROR(VLOOKUP(CONCATENATE($E1447,$G1447),'LAC 103'!$A$12:$O$95,13,FALSE),0)</f>
        <v>4.59</v>
      </c>
      <c r="U1447" s="1144">
        <f>IFERROR(VLOOKUP(CONCATENATE($E1447,$G1447),'LAC 103'!$A$12:$O$95,14,FALSE),0)</f>
        <v>0</v>
      </c>
      <c r="V1447" s="1144">
        <f>IFERROR(VLOOKUP(CONCATENATE($E1447,$G1447),'LAC 103'!$A$12:$O$95,15,FALSE),0)</f>
        <v>0</v>
      </c>
      <c r="W1447" s="1145" t="str">
        <f>IFERROR(VLOOKUP(CONCATENATE($B1447,$N1447),'LAC 103'!$AI:$AQ,9,FALSE),"")</f>
        <v>P.C.</v>
      </c>
      <c r="X1447" s="1146">
        <f t="shared" si="402"/>
        <v>4.59</v>
      </c>
      <c r="Y1447" s="1143">
        <f t="shared" si="413"/>
        <v>1050.7242702805916</v>
      </c>
      <c r="Z1447" s="1147">
        <f t="shared" si="403"/>
        <v>1299.18</v>
      </c>
      <c r="AA1447" s="1144">
        <f t="shared" si="404"/>
        <v>812.43</v>
      </c>
      <c r="AB1447" s="1144">
        <f t="shared" si="405"/>
        <v>0</v>
      </c>
      <c r="AC1447" s="1144">
        <f t="shared" si="406"/>
        <v>0</v>
      </c>
      <c r="AD1447" s="1148">
        <f t="shared" si="398"/>
        <v>812.43</v>
      </c>
      <c r="AE1447" s="1487">
        <v>0</v>
      </c>
      <c r="AF1447" s="1145">
        <f t="shared" si="407"/>
        <v>812.43</v>
      </c>
      <c r="AG1447" s="1149">
        <f>IFERROR(VLOOKUP(CONCATENATE($L1447,$N1447),'Drop List'!$G$23:$K$87,2,FALSE),0)</f>
        <v>0</v>
      </c>
      <c r="AH1447" s="1150">
        <f>IFERROR(VLOOKUP(CONCATENATE($L1447,$N1447),'Drop List'!$G$23:$K$87,3,FALSE),0)</f>
        <v>0</v>
      </c>
      <c r="AI1447" s="1150">
        <f>IFERROR(VLOOKUP(CONCATENATE($L1447,$N1447),'Drop List'!$G$23:$K$87,4,FALSE),0)</f>
        <v>0</v>
      </c>
      <c r="AJ1447" s="1151">
        <f>IFERROR(VLOOKUP(CONCATENATE($L1447,$N1447),'Drop List'!$G$23:$K$87,5,FALSE),0)</f>
        <v>0</v>
      </c>
      <c r="AK1447" s="1152">
        <f t="shared" si="408"/>
        <v>0</v>
      </c>
      <c r="AL1447" s="1153">
        <f t="shared" si="409"/>
        <v>0</v>
      </c>
      <c r="AM1447" s="1153">
        <f t="shared" si="410"/>
        <v>0</v>
      </c>
      <c r="AN1447" s="1145">
        <f t="shared" si="411"/>
        <v>0</v>
      </c>
      <c r="AO1447" s="1154">
        <f t="shared" si="412"/>
        <v>0</v>
      </c>
      <c r="AP1447" s="1147">
        <f t="shared" si="399"/>
        <v>812.43</v>
      </c>
      <c r="AQ1447" s="1144">
        <f t="shared" si="400"/>
        <v>0</v>
      </c>
      <c r="AR1447" s="1146">
        <f t="shared" si="401"/>
        <v>812.43</v>
      </c>
    </row>
    <row r="1448" spans="1:44" x14ac:dyDescent="0.2">
      <c r="A1448" s="1141" t="str">
        <f t="shared" si="414"/>
        <v>1563</v>
      </c>
      <c r="B1448" s="1141" t="str">
        <f>IFERROR(VLOOKUP(A1448,'LAC 103'!A:C,3,FALSE),"")</f>
        <v>OP</v>
      </c>
      <c r="C1448" s="1478" t="str">
        <f>Info!$B$8</f>
        <v>00100</v>
      </c>
      <c r="D1448" s="1474" t="s">
        <v>256</v>
      </c>
      <c r="E1448" s="1474" t="s">
        <v>95</v>
      </c>
      <c r="F1448" s="1478" t="s">
        <v>434</v>
      </c>
      <c r="G1448" s="1478" t="s">
        <v>434</v>
      </c>
      <c r="H1448" s="1474" t="s">
        <v>989</v>
      </c>
      <c r="I1448" s="1478" t="s">
        <v>823</v>
      </c>
      <c r="J1448" s="1478" t="s">
        <v>2001</v>
      </c>
      <c r="K1448" s="1475" t="s">
        <v>846</v>
      </c>
      <c r="L1448" s="1474" t="s">
        <v>332</v>
      </c>
      <c r="M1448" s="1476" t="s">
        <v>842</v>
      </c>
      <c r="N1448" s="1477" t="s">
        <v>1692</v>
      </c>
      <c r="O1448" s="1479">
        <v>148</v>
      </c>
      <c r="P1448" s="1479"/>
      <c r="Q1448" s="1142">
        <f t="shared" si="397"/>
        <v>148</v>
      </c>
      <c r="R1448" s="1143">
        <f>IFERROR(VLOOKUP(CONCATENATE(E1448,G1448),'LAC 103'!$A$12:$O$95,11,FALSE),0)</f>
        <v>5.936295312319726</v>
      </c>
      <c r="S1448" s="1144">
        <f>IFERROR(VLOOKUP(CONCATENATE($E1448,$G1448),'LAC 103'!$A$12:$O$95,12,FALSE),0)</f>
        <v>7.34</v>
      </c>
      <c r="T1448" s="1144">
        <f>IFERROR(VLOOKUP(CONCATENATE($E1448,$G1448),'LAC 103'!$A$12:$O$95,13,FALSE),0)</f>
        <v>4.59</v>
      </c>
      <c r="U1448" s="1144">
        <f>IFERROR(VLOOKUP(CONCATENATE($E1448,$G1448),'LAC 103'!$A$12:$O$95,14,FALSE),0)</f>
        <v>0</v>
      </c>
      <c r="V1448" s="1144">
        <f>IFERROR(VLOOKUP(CONCATENATE($E1448,$G1448),'LAC 103'!$A$12:$O$95,15,FALSE),0)</f>
        <v>0</v>
      </c>
      <c r="W1448" s="1145" t="str">
        <f>IFERROR(VLOOKUP(CONCATENATE($B1448,$N1448),'LAC 103'!$AI:$AQ,9,FALSE),"")</f>
        <v>Costs</v>
      </c>
      <c r="X1448" s="1146">
        <f t="shared" si="402"/>
        <v>5.936295312319726</v>
      </c>
      <c r="Y1448" s="1143">
        <f t="shared" si="413"/>
        <v>878.57170622331944</v>
      </c>
      <c r="Z1448" s="1147">
        <f t="shared" si="403"/>
        <v>1086.32</v>
      </c>
      <c r="AA1448" s="1144">
        <f t="shared" si="404"/>
        <v>679.31999999999994</v>
      </c>
      <c r="AB1448" s="1144">
        <f t="shared" si="405"/>
        <v>0</v>
      </c>
      <c r="AC1448" s="1144">
        <f t="shared" si="406"/>
        <v>0</v>
      </c>
      <c r="AD1448" s="1148">
        <f t="shared" si="398"/>
        <v>878.57170622331944</v>
      </c>
      <c r="AE1448" s="1487">
        <v>0</v>
      </c>
      <c r="AF1448" s="1145">
        <f t="shared" si="407"/>
        <v>878.57170622331944</v>
      </c>
      <c r="AG1448" s="1149">
        <f>IFERROR(VLOOKUP(CONCATENATE($L1448,$N1448),'Drop List'!$G$23:$K$87,2,FALSE),0)</f>
        <v>0</v>
      </c>
      <c r="AH1448" s="1150">
        <f>IFERROR(VLOOKUP(CONCATENATE($L1448,$N1448),'Drop List'!$G$23:$K$87,3,FALSE),0)</f>
        <v>0</v>
      </c>
      <c r="AI1448" s="1150">
        <f>IFERROR(VLOOKUP(CONCATENATE($L1448,$N1448),'Drop List'!$G$23:$K$87,4,FALSE),0)</f>
        <v>0</v>
      </c>
      <c r="AJ1448" s="1151">
        <f>IFERROR(VLOOKUP(CONCATENATE($L1448,$N1448),'Drop List'!$G$23:$K$87,5,FALSE),0)</f>
        <v>0</v>
      </c>
      <c r="AK1448" s="1152">
        <f t="shared" si="408"/>
        <v>0</v>
      </c>
      <c r="AL1448" s="1153">
        <f t="shared" si="409"/>
        <v>0</v>
      </c>
      <c r="AM1448" s="1153">
        <f t="shared" si="410"/>
        <v>0</v>
      </c>
      <c r="AN1448" s="1145">
        <f t="shared" si="411"/>
        <v>0</v>
      </c>
      <c r="AO1448" s="1154">
        <f t="shared" si="412"/>
        <v>0</v>
      </c>
      <c r="AP1448" s="1147">
        <f t="shared" si="399"/>
        <v>878.57170622331944</v>
      </c>
      <c r="AQ1448" s="1144">
        <f t="shared" si="400"/>
        <v>0</v>
      </c>
      <c r="AR1448" s="1146">
        <f t="shared" si="401"/>
        <v>878.57170622331944</v>
      </c>
    </row>
    <row r="1449" spans="1:44" x14ac:dyDescent="0.2">
      <c r="A1449" s="1141" t="str">
        <f t="shared" si="414"/>
        <v>1563</v>
      </c>
      <c r="B1449" s="1141" t="str">
        <f>IFERROR(VLOOKUP(A1449,'LAC 103'!A:C,3,FALSE),"")</f>
        <v>OP</v>
      </c>
      <c r="C1449" s="1478" t="str">
        <f>Info!$B$8</f>
        <v>00100</v>
      </c>
      <c r="D1449" s="1474" t="s">
        <v>256</v>
      </c>
      <c r="E1449" s="1474" t="s">
        <v>95</v>
      </c>
      <c r="F1449" s="1478" t="s">
        <v>434</v>
      </c>
      <c r="G1449" s="1478" t="s">
        <v>434</v>
      </c>
      <c r="H1449" s="1474" t="s">
        <v>989</v>
      </c>
      <c r="I1449" s="1478" t="s">
        <v>823</v>
      </c>
      <c r="J1449" s="1478" t="s">
        <v>2001</v>
      </c>
      <c r="K1449" s="1475" t="s">
        <v>846</v>
      </c>
      <c r="L1449" s="1474" t="s">
        <v>332</v>
      </c>
      <c r="M1449" s="1476" t="s">
        <v>1698</v>
      </c>
      <c r="N1449" s="1477" t="s">
        <v>1693</v>
      </c>
      <c r="O1449" s="1479">
        <v>88</v>
      </c>
      <c r="P1449" s="1479"/>
      <c r="Q1449" s="1142">
        <f t="shared" si="397"/>
        <v>88</v>
      </c>
      <c r="R1449" s="1143">
        <f>IFERROR(VLOOKUP(CONCATENATE(E1449,G1449),'LAC 103'!$A$12:$O$95,11,FALSE),0)</f>
        <v>5.936295312319726</v>
      </c>
      <c r="S1449" s="1144">
        <f>IFERROR(VLOOKUP(CONCATENATE($E1449,$G1449),'LAC 103'!$A$12:$O$95,12,FALSE),0)</f>
        <v>7.34</v>
      </c>
      <c r="T1449" s="1144">
        <f>IFERROR(VLOOKUP(CONCATENATE($E1449,$G1449),'LAC 103'!$A$12:$O$95,13,FALSE),0)</f>
        <v>4.59</v>
      </c>
      <c r="U1449" s="1144">
        <f>IFERROR(VLOOKUP(CONCATENATE($E1449,$G1449),'LAC 103'!$A$12:$O$95,14,FALSE),0)</f>
        <v>0</v>
      </c>
      <c r="V1449" s="1144">
        <f>IFERROR(VLOOKUP(CONCATENATE($E1449,$G1449),'LAC 103'!$A$12:$O$95,15,FALSE),0)</f>
        <v>0</v>
      </c>
      <c r="W1449" s="1145" t="str">
        <f>IFERROR(VLOOKUP(CONCATENATE($B1449,$N1449),'LAC 103'!$AI:$AQ,9,FALSE),"")</f>
        <v>Costs</v>
      </c>
      <c r="X1449" s="1146">
        <f t="shared" si="402"/>
        <v>5.936295312319726</v>
      </c>
      <c r="Y1449" s="1143">
        <f t="shared" si="413"/>
        <v>522.39398748413589</v>
      </c>
      <c r="Z1449" s="1147">
        <f t="shared" si="403"/>
        <v>645.91999999999996</v>
      </c>
      <c r="AA1449" s="1144">
        <f t="shared" si="404"/>
        <v>403.91999999999996</v>
      </c>
      <c r="AB1449" s="1144">
        <f t="shared" si="405"/>
        <v>0</v>
      </c>
      <c r="AC1449" s="1144">
        <f t="shared" si="406"/>
        <v>0</v>
      </c>
      <c r="AD1449" s="1148">
        <f t="shared" si="398"/>
        <v>522.39398748413589</v>
      </c>
      <c r="AE1449" s="1487">
        <v>0</v>
      </c>
      <c r="AF1449" s="1145">
        <f t="shared" si="407"/>
        <v>522.39398748413589</v>
      </c>
      <c r="AG1449" s="1149">
        <f>IFERROR(VLOOKUP(CONCATENATE($L1449,$N1449),'Drop List'!$G$23:$K$87,2,FALSE),0)</f>
        <v>0</v>
      </c>
      <c r="AH1449" s="1150">
        <f>IFERROR(VLOOKUP(CONCATENATE($L1449,$N1449),'Drop List'!$G$23:$K$87,3,FALSE),0)</f>
        <v>0</v>
      </c>
      <c r="AI1449" s="1150">
        <f>IFERROR(VLOOKUP(CONCATENATE($L1449,$N1449),'Drop List'!$G$23:$K$87,4,FALSE),0)</f>
        <v>0</v>
      </c>
      <c r="AJ1449" s="1151">
        <f>IFERROR(VLOOKUP(CONCATENATE($L1449,$N1449),'Drop List'!$G$23:$K$87,5,FALSE),0)</f>
        <v>0</v>
      </c>
      <c r="AK1449" s="1152">
        <f t="shared" si="408"/>
        <v>0</v>
      </c>
      <c r="AL1449" s="1153">
        <f t="shared" si="409"/>
        <v>0</v>
      </c>
      <c r="AM1449" s="1153">
        <f t="shared" si="410"/>
        <v>0</v>
      </c>
      <c r="AN1449" s="1145">
        <f t="shared" si="411"/>
        <v>0</v>
      </c>
      <c r="AO1449" s="1154">
        <f t="shared" si="412"/>
        <v>0</v>
      </c>
      <c r="AP1449" s="1147">
        <f t="shared" si="399"/>
        <v>522.39398748413589</v>
      </c>
      <c r="AQ1449" s="1144">
        <f t="shared" si="400"/>
        <v>0</v>
      </c>
      <c r="AR1449" s="1146">
        <f t="shared" si="401"/>
        <v>522.39398748413589</v>
      </c>
    </row>
    <row r="1450" spans="1:44" x14ac:dyDescent="0.2">
      <c r="A1450" s="1141" t="str">
        <f t="shared" si="414"/>
        <v>1563</v>
      </c>
      <c r="B1450" s="1141" t="str">
        <f>IFERROR(VLOOKUP(A1450,'LAC 103'!A:C,3,FALSE),"")</f>
        <v>OP</v>
      </c>
      <c r="C1450" s="1478" t="str">
        <f>Info!$B$8</f>
        <v>00100</v>
      </c>
      <c r="D1450" s="1474" t="s">
        <v>256</v>
      </c>
      <c r="E1450" s="1474" t="s">
        <v>95</v>
      </c>
      <c r="F1450" s="1478" t="s">
        <v>434</v>
      </c>
      <c r="G1450" s="1478" t="s">
        <v>434</v>
      </c>
      <c r="H1450" s="1474" t="s">
        <v>1666</v>
      </c>
      <c r="I1450" s="1478" t="s">
        <v>803</v>
      </c>
      <c r="J1450" s="1478" t="s">
        <v>123</v>
      </c>
      <c r="K1450" s="1475" t="s">
        <v>846</v>
      </c>
      <c r="L1450" s="1474" t="s">
        <v>332</v>
      </c>
      <c r="M1450" s="1476" t="s">
        <v>1699</v>
      </c>
      <c r="N1450" s="1477" t="s">
        <v>1694</v>
      </c>
      <c r="O1450" s="1479">
        <v>2267</v>
      </c>
      <c r="P1450" s="1479"/>
      <c r="Q1450" s="1142">
        <f t="shared" si="397"/>
        <v>2267</v>
      </c>
      <c r="R1450" s="1143">
        <f>IFERROR(VLOOKUP(CONCATENATE(E1450,G1450),'LAC 103'!$A$12:$O$95,11,FALSE),0)</f>
        <v>5.936295312319726</v>
      </c>
      <c r="S1450" s="1144">
        <f>IFERROR(VLOOKUP(CONCATENATE($E1450,$G1450),'LAC 103'!$A$12:$O$95,12,FALSE),0)</f>
        <v>7.34</v>
      </c>
      <c r="T1450" s="1144">
        <f>IFERROR(VLOOKUP(CONCATENATE($E1450,$G1450),'LAC 103'!$A$12:$O$95,13,FALSE),0)</f>
        <v>4.59</v>
      </c>
      <c r="U1450" s="1144">
        <f>IFERROR(VLOOKUP(CONCATENATE($E1450,$G1450),'LAC 103'!$A$12:$O$95,14,FALSE),0)</f>
        <v>0</v>
      </c>
      <c r="V1450" s="1144">
        <f>IFERROR(VLOOKUP(CONCATENATE($E1450,$G1450),'LAC 103'!$A$12:$O$95,15,FALSE),0)</f>
        <v>0</v>
      </c>
      <c r="W1450" s="1145" t="str">
        <f>IFERROR(VLOOKUP(CONCATENATE($B1450,$N1450),'LAC 103'!$AI:$AQ,9,FALSE),"")</f>
        <v>Costs</v>
      </c>
      <c r="X1450" s="1146">
        <f t="shared" si="402"/>
        <v>5.936295312319726</v>
      </c>
      <c r="Y1450" s="1143">
        <f t="shared" si="413"/>
        <v>13457.581473028818</v>
      </c>
      <c r="Z1450" s="1147">
        <f t="shared" si="403"/>
        <v>16639.78</v>
      </c>
      <c r="AA1450" s="1144">
        <f t="shared" si="404"/>
        <v>10405.529999999999</v>
      </c>
      <c r="AB1450" s="1144">
        <f t="shared" si="405"/>
        <v>0</v>
      </c>
      <c r="AC1450" s="1144">
        <f t="shared" si="406"/>
        <v>0</v>
      </c>
      <c r="AD1450" s="1148">
        <f t="shared" si="398"/>
        <v>13457.581473028818</v>
      </c>
      <c r="AE1450" s="1487">
        <v>0</v>
      </c>
      <c r="AF1450" s="1145">
        <f t="shared" si="407"/>
        <v>13457.581473028818</v>
      </c>
      <c r="AG1450" s="1149">
        <f>IFERROR(VLOOKUP(CONCATENATE($L1450,$N1450),'Drop List'!$G$23:$K$87,2,FALSE),0)</f>
        <v>0</v>
      </c>
      <c r="AH1450" s="1150">
        <f>IFERROR(VLOOKUP(CONCATENATE($L1450,$N1450),'Drop List'!$G$23:$K$87,3,FALSE),0)</f>
        <v>0</v>
      </c>
      <c r="AI1450" s="1150">
        <f>IFERROR(VLOOKUP(CONCATENATE($L1450,$N1450),'Drop List'!$G$23:$K$87,4,FALSE),0)</f>
        <v>0</v>
      </c>
      <c r="AJ1450" s="1151">
        <f>IFERROR(VLOOKUP(CONCATENATE($L1450,$N1450),'Drop List'!$G$23:$K$87,5,FALSE),0)</f>
        <v>0</v>
      </c>
      <c r="AK1450" s="1152">
        <f t="shared" si="408"/>
        <v>0</v>
      </c>
      <c r="AL1450" s="1153">
        <f t="shared" si="409"/>
        <v>0</v>
      </c>
      <c r="AM1450" s="1153">
        <f t="shared" si="410"/>
        <v>0</v>
      </c>
      <c r="AN1450" s="1145">
        <f t="shared" si="411"/>
        <v>0</v>
      </c>
      <c r="AO1450" s="1154">
        <f t="shared" si="412"/>
        <v>0</v>
      </c>
      <c r="AP1450" s="1147">
        <f t="shared" si="399"/>
        <v>13457.581473028818</v>
      </c>
      <c r="AQ1450" s="1144">
        <f t="shared" si="400"/>
        <v>0</v>
      </c>
      <c r="AR1450" s="1146">
        <f t="shared" si="401"/>
        <v>13457.581473028818</v>
      </c>
    </row>
    <row r="1451" spans="1:44" x14ac:dyDescent="0.2">
      <c r="A1451" s="1141" t="str">
        <f t="shared" si="414"/>
        <v>1563</v>
      </c>
      <c r="B1451" s="1141" t="str">
        <f>IFERROR(VLOOKUP(A1451,'LAC 103'!A:C,3,FALSE),"")</f>
        <v>OP</v>
      </c>
      <c r="C1451" s="1478" t="str">
        <f>Info!$B$8</f>
        <v>00100</v>
      </c>
      <c r="D1451" s="1474" t="s">
        <v>256</v>
      </c>
      <c r="E1451" s="1474" t="s">
        <v>95</v>
      </c>
      <c r="F1451" s="1478" t="s">
        <v>434</v>
      </c>
      <c r="G1451" s="1478" t="s">
        <v>434</v>
      </c>
      <c r="H1451" s="1474" t="s">
        <v>1666</v>
      </c>
      <c r="I1451" s="1478" t="s">
        <v>803</v>
      </c>
      <c r="J1451" s="1478"/>
      <c r="K1451" s="1475" t="s">
        <v>846</v>
      </c>
      <c r="L1451" s="1474" t="s">
        <v>332</v>
      </c>
      <c r="M1451" s="1476" t="s">
        <v>841</v>
      </c>
      <c r="N1451" s="1477" t="s">
        <v>1695</v>
      </c>
      <c r="O1451" s="1479">
        <v>789</v>
      </c>
      <c r="P1451" s="1479"/>
      <c r="Q1451" s="1142">
        <f t="shared" si="397"/>
        <v>789</v>
      </c>
      <c r="R1451" s="1143">
        <f>IFERROR(VLOOKUP(CONCATENATE(E1451,G1451),'LAC 103'!$A$12:$O$95,11,FALSE),0)</f>
        <v>5.936295312319726</v>
      </c>
      <c r="S1451" s="1144">
        <f>IFERROR(VLOOKUP(CONCATENATE($E1451,$G1451),'LAC 103'!$A$12:$O$95,12,FALSE),0)</f>
        <v>7.34</v>
      </c>
      <c r="T1451" s="1144">
        <f>IFERROR(VLOOKUP(CONCATENATE($E1451,$G1451),'LAC 103'!$A$12:$O$95,13,FALSE),0)</f>
        <v>4.59</v>
      </c>
      <c r="U1451" s="1144">
        <f>IFERROR(VLOOKUP(CONCATENATE($E1451,$G1451),'LAC 103'!$A$12:$O$95,14,FALSE),0)</f>
        <v>0</v>
      </c>
      <c r="V1451" s="1144">
        <f>IFERROR(VLOOKUP(CONCATENATE($E1451,$G1451),'LAC 103'!$A$12:$O$95,15,FALSE),0)</f>
        <v>0</v>
      </c>
      <c r="W1451" s="1145" t="str">
        <f>IFERROR(VLOOKUP(CONCATENATE($B1451,$N1451),'LAC 103'!$AI:$AQ,9,FALSE),"")</f>
        <v>Costs</v>
      </c>
      <c r="X1451" s="1146">
        <f t="shared" si="402"/>
        <v>5.936295312319726</v>
      </c>
      <c r="Y1451" s="1143">
        <f t="shared" si="413"/>
        <v>4683.7370014202634</v>
      </c>
      <c r="Z1451" s="1147">
        <f t="shared" si="403"/>
        <v>5791.26</v>
      </c>
      <c r="AA1451" s="1144">
        <f t="shared" si="404"/>
        <v>3621.5099999999998</v>
      </c>
      <c r="AB1451" s="1144">
        <f t="shared" si="405"/>
        <v>0</v>
      </c>
      <c r="AC1451" s="1144">
        <f t="shared" si="406"/>
        <v>0</v>
      </c>
      <c r="AD1451" s="1148">
        <f t="shared" si="398"/>
        <v>4683.7370014202634</v>
      </c>
      <c r="AE1451" s="1487">
        <v>0</v>
      </c>
      <c r="AF1451" s="1145">
        <f t="shared" si="407"/>
        <v>4683.7370014202634</v>
      </c>
      <c r="AG1451" s="1149">
        <f>IFERROR(VLOOKUP(CONCATENATE($L1451,$N1451),'Drop List'!$G$23:$K$87,2,FALSE),0)</f>
        <v>0</v>
      </c>
      <c r="AH1451" s="1150">
        <f>IFERROR(VLOOKUP(CONCATENATE($L1451,$N1451),'Drop List'!$G$23:$K$87,3,FALSE),0)</f>
        <v>0</v>
      </c>
      <c r="AI1451" s="1150">
        <f>IFERROR(VLOOKUP(CONCATENATE($L1451,$N1451),'Drop List'!$G$23:$K$87,4,FALSE),0)</f>
        <v>0</v>
      </c>
      <c r="AJ1451" s="1151">
        <f>IFERROR(VLOOKUP(CONCATENATE($L1451,$N1451),'Drop List'!$G$23:$K$87,5,FALSE),0)</f>
        <v>0</v>
      </c>
      <c r="AK1451" s="1152">
        <f t="shared" si="408"/>
        <v>0</v>
      </c>
      <c r="AL1451" s="1153">
        <f t="shared" si="409"/>
        <v>0</v>
      </c>
      <c r="AM1451" s="1153">
        <f t="shared" si="410"/>
        <v>0</v>
      </c>
      <c r="AN1451" s="1145">
        <f t="shared" si="411"/>
        <v>0</v>
      </c>
      <c r="AO1451" s="1154">
        <f t="shared" si="412"/>
        <v>0</v>
      </c>
      <c r="AP1451" s="1147">
        <f t="shared" si="399"/>
        <v>4683.7370014202634</v>
      </c>
      <c r="AQ1451" s="1144">
        <f t="shared" si="400"/>
        <v>0</v>
      </c>
      <c r="AR1451" s="1146">
        <f t="shared" si="401"/>
        <v>4683.7370014202634</v>
      </c>
    </row>
    <row r="1452" spans="1:44" x14ac:dyDescent="0.2">
      <c r="A1452" s="1141" t="str">
        <f t="shared" si="414"/>
        <v>1563</v>
      </c>
      <c r="B1452" s="1141" t="str">
        <f>IFERROR(VLOOKUP(A1452,'LAC 103'!A:C,3,FALSE),"")</f>
        <v>OP</v>
      </c>
      <c r="C1452" s="1478" t="str">
        <f>Info!$B$8</f>
        <v>00100</v>
      </c>
      <c r="D1452" s="1474" t="s">
        <v>256</v>
      </c>
      <c r="E1452" s="1474" t="s">
        <v>95</v>
      </c>
      <c r="F1452" s="1478" t="s">
        <v>434</v>
      </c>
      <c r="G1452" s="1478" t="s">
        <v>434</v>
      </c>
      <c r="H1452" s="1474" t="s">
        <v>1666</v>
      </c>
      <c r="I1452" s="1478" t="s">
        <v>803</v>
      </c>
      <c r="J1452" s="1478"/>
      <c r="K1452" s="1475" t="s">
        <v>846</v>
      </c>
      <c r="L1452" s="1474" t="s">
        <v>332</v>
      </c>
      <c r="M1452" s="1476" t="s">
        <v>840</v>
      </c>
      <c r="N1452" s="1477" t="s">
        <v>1700</v>
      </c>
      <c r="O1452" s="1479">
        <v>853</v>
      </c>
      <c r="P1452" s="1479"/>
      <c r="Q1452" s="1142">
        <f t="shared" si="397"/>
        <v>853</v>
      </c>
      <c r="R1452" s="1143">
        <f>IFERROR(VLOOKUP(CONCATENATE(E1452,G1452),'LAC 103'!$A$12:$O$95,11,FALSE),0)</f>
        <v>5.936295312319726</v>
      </c>
      <c r="S1452" s="1144">
        <f>IFERROR(VLOOKUP(CONCATENATE($E1452,$G1452),'LAC 103'!$A$12:$O$95,12,FALSE),0)</f>
        <v>7.34</v>
      </c>
      <c r="T1452" s="1144">
        <f>IFERROR(VLOOKUP(CONCATENATE($E1452,$G1452),'LAC 103'!$A$12:$O$95,13,FALSE),0)</f>
        <v>4.59</v>
      </c>
      <c r="U1452" s="1144">
        <f>IFERROR(VLOOKUP(CONCATENATE($E1452,$G1452),'LAC 103'!$A$12:$O$95,14,FALSE),0)</f>
        <v>0</v>
      </c>
      <c r="V1452" s="1144">
        <f>IFERROR(VLOOKUP(CONCATENATE($E1452,$G1452),'LAC 103'!$A$12:$O$95,15,FALSE),0)</f>
        <v>0</v>
      </c>
      <c r="W1452" s="1145" t="str">
        <f>IFERROR(VLOOKUP(CONCATENATE($B1452,$N1452),'LAC 103'!$AI:$AQ,9,FALSE),"")</f>
        <v>P.C.</v>
      </c>
      <c r="X1452" s="1146">
        <f t="shared" si="402"/>
        <v>4.59</v>
      </c>
      <c r="Y1452" s="1143">
        <f t="shared" si="413"/>
        <v>5063.659901408726</v>
      </c>
      <c r="Z1452" s="1147">
        <f t="shared" si="403"/>
        <v>6261.0199999999995</v>
      </c>
      <c r="AA1452" s="1144">
        <f t="shared" si="404"/>
        <v>3915.27</v>
      </c>
      <c r="AB1452" s="1144">
        <f t="shared" si="405"/>
        <v>0</v>
      </c>
      <c r="AC1452" s="1144">
        <f t="shared" si="406"/>
        <v>0</v>
      </c>
      <c r="AD1452" s="1148">
        <f t="shared" si="398"/>
        <v>3915.27</v>
      </c>
      <c r="AE1452" s="1487">
        <v>0</v>
      </c>
      <c r="AF1452" s="1145">
        <f t="shared" si="407"/>
        <v>3915.27</v>
      </c>
      <c r="AG1452" s="1149">
        <f>IFERROR(VLOOKUP(CONCATENATE($L1452,$N1452),'Drop List'!$G$23:$K$87,2,FALSE),0)</f>
        <v>0</v>
      </c>
      <c r="AH1452" s="1150">
        <f>IFERROR(VLOOKUP(CONCATENATE($L1452,$N1452),'Drop List'!$G$23:$K$87,3,FALSE),0)</f>
        <v>0</v>
      </c>
      <c r="AI1452" s="1150">
        <f>IFERROR(VLOOKUP(CONCATENATE($L1452,$N1452),'Drop List'!$G$23:$K$87,4,FALSE),0)</f>
        <v>0</v>
      </c>
      <c r="AJ1452" s="1151">
        <f>IFERROR(VLOOKUP(CONCATENATE($L1452,$N1452),'Drop List'!$G$23:$K$87,5,FALSE),0)</f>
        <v>0</v>
      </c>
      <c r="AK1452" s="1152">
        <f t="shared" si="408"/>
        <v>0</v>
      </c>
      <c r="AL1452" s="1153">
        <f t="shared" si="409"/>
        <v>0</v>
      </c>
      <c r="AM1452" s="1153">
        <f t="shared" si="410"/>
        <v>0</v>
      </c>
      <c r="AN1452" s="1145">
        <f t="shared" si="411"/>
        <v>0</v>
      </c>
      <c r="AO1452" s="1154">
        <f t="shared" si="412"/>
        <v>0</v>
      </c>
      <c r="AP1452" s="1147">
        <f t="shared" si="399"/>
        <v>3915.27</v>
      </c>
      <c r="AQ1452" s="1144">
        <f t="shared" si="400"/>
        <v>0</v>
      </c>
      <c r="AR1452" s="1146">
        <f t="shared" si="401"/>
        <v>3915.27</v>
      </c>
    </row>
    <row r="1453" spans="1:44" x14ac:dyDescent="0.2">
      <c r="A1453" s="1141" t="str">
        <f t="shared" si="414"/>
        <v>1563</v>
      </c>
      <c r="B1453" s="1141" t="str">
        <f>IFERROR(VLOOKUP(A1453,'LAC 103'!A:C,3,FALSE),"")</f>
        <v>OP</v>
      </c>
      <c r="C1453" s="1478" t="str">
        <f>Info!$B$8</f>
        <v>00100</v>
      </c>
      <c r="D1453" s="1474" t="s">
        <v>256</v>
      </c>
      <c r="E1453" s="1474" t="s">
        <v>95</v>
      </c>
      <c r="F1453" s="1478" t="s">
        <v>434</v>
      </c>
      <c r="G1453" s="1478" t="s">
        <v>434</v>
      </c>
      <c r="H1453" s="1474" t="s">
        <v>1666</v>
      </c>
      <c r="I1453" s="1478" t="s">
        <v>803</v>
      </c>
      <c r="J1453" s="1478"/>
      <c r="K1453" s="1475" t="s">
        <v>846</v>
      </c>
      <c r="L1453" s="1474" t="s">
        <v>332</v>
      </c>
      <c r="M1453" s="1476" t="s">
        <v>842</v>
      </c>
      <c r="N1453" s="1477" t="s">
        <v>1692</v>
      </c>
      <c r="O1453" s="1479">
        <v>2000</v>
      </c>
      <c r="P1453" s="1479"/>
      <c r="Q1453" s="1142">
        <f t="shared" si="397"/>
        <v>2000</v>
      </c>
      <c r="R1453" s="1143">
        <f>IFERROR(VLOOKUP(CONCATENATE(E1453,G1453),'LAC 103'!$A$12:$O$95,11,FALSE),0)</f>
        <v>5.936295312319726</v>
      </c>
      <c r="S1453" s="1144">
        <f>IFERROR(VLOOKUP(CONCATENATE($E1453,$G1453),'LAC 103'!$A$12:$O$95,12,FALSE),0)</f>
        <v>7.34</v>
      </c>
      <c r="T1453" s="1144">
        <f>IFERROR(VLOOKUP(CONCATENATE($E1453,$G1453),'LAC 103'!$A$12:$O$95,13,FALSE),0)</f>
        <v>4.59</v>
      </c>
      <c r="U1453" s="1144">
        <f>IFERROR(VLOOKUP(CONCATENATE($E1453,$G1453),'LAC 103'!$A$12:$O$95,14,FALSE),0)</f>
        <v>0</v>
      </c>
      <c r="V1453" s="1144">
        <f>IFERROR(VLOOKUP(CONCATENATE($E1453,$G1453),'LAC 103'!$A$12:$O$95,15,FALSE),0)</f>
        <v>0</v>
      </c>
      <c r="W1453" s="1145" t="str">
        <f>IFERROR(VLOOKUP(CONCATENATE($B1453,$N1453),'LAC 103'!$AI:$AQ,9,FALSE),"")</f>
        <v>Costs</v>
      </c>
      <c r="X1453" s="1146">
        <f t="shared" si="402"/>
        <v>5.936295312319726</v>
      </c>
      <c r="Y1453" s="1143">
        <f t="shared" si="413"/>
        <v>11872.590624639452</v>
      </c>
      <c r="Z1453" s="1147">
        <f t="shared" si="403"/>
        <v>14680</v>
      </c>
      <c r="AA1453" s="1144">
        <f t="shared" si="404"/>
        <v>9180</v>
      </c>
      <c r="AB1453" s="1144">
        <f t="shared" si="405"/>
        <v>0</v>
      </c>
      <c r="AC1453" s="1144">
        <f t="shared" si="406"/>
        <v>0</v>
      </c>
      <c r="AD1453" s="1148">
        <f t="shared" si="398"/>
        <v>11872.590624639452</v>
      </c>
      <c r="AE1453" s="1487">
        <v>0</v>
      </c>
      <c r="AF1453" s="1145">
        <f t="shared" si="407"/>
        <v>11872.590624639452</v>
      </c>
      <c r="AG1453" s="1149">
        <f>IFERROR(VLOOKUP(CONCATENATE($L1453,$N1453),'Drop List'!$G$23:$K$87,2,FALSE),0)</f>
        <v>0</v>
      </c>
      <c r="AH1453" s="1150">
        <f>IFERROR(VLOOKUP(CONCATENATE($L1453,$N1453),'Drop List'!$G$23:$K$87,3,FALSE),0)</f>
        <v>0</v>
      </c>
      <c r="AI1453" s="1150">
        <f>IFERROR(VLOOKUP(CONCATENATE($L1453,$N1453),'Drop List'!$G$23:$K$87,4,FALSE),0)</f>
        <v>0</v>
      </c>
      <c r="AJ1453" s="1151">
        <f>IFERROR(VLOOKUP(CONCATENATE($L1453,$N1453),'Drop List'!$G$23:$K$87,5,FALSE),0)</f>
        <v>0</v>
      </c>
      <c r="AK1453" s="1152">
        <f t="shared" si="408"/>
        <v>0</v>
      </c>
      <c r="AL1453" s="1153">
        <f t="shared" si="409"/>
        <v>0</v>
      </c>
      <c r="AM1453" s="1153">
        <f t="shared" si="410"/>
        <v>0</v>
      </c>
      <c r="AN1453" s="1145">
        <f t="shared" si="411"/>
        <v>0</v>
      </c>
      <c r="AO1453" s="1154">
        <f t="shared" si="412"/>
        <v>0</v>
      </c>
      <c r="AP1453" s="1147">
        <f t="shared" si="399"/>
        <v>11872.590624639452</v>
      </c>
      <c r="AQ1453" s="1144">
        <f t="shared" si="400"/>
        <v>0</v>
      </c>
      <c r="AR1453" s="1146">
        <f t="shared" si="401"/>
        <v>11872.590624639452</v>
      </c>
    </row>
    <row r="1454" spans="1:44" x14ac:dyDescent="0.2">
      <c r="A1454" s="1141" t="str">
        <f t="shared" si="414"/>
        <v>1563</v>
      </c>
      <c r="B1454" s="1141" t="str">
        <f>IFERROR(VLOOKUP(A1454,'LAC 103'!A:C,3,FALSE),"")</f>
        <v>OP</v>
      </c>
      <c r="C1454" s="1478" t="str">
        <f>Info!$B$8</f>
        <v>00100</v>
      </c>
      <c r="D1454" s="1474" t="s">
        <v>256</v>
      </c>
      <c r="E1454" s="1474" t="s">
        <v>95</v>
      </c>
      <c r="F1454" s="1478" t="s">
        <v>434</v>
      </c>
      <c r="G1454" s="1478" t="s">
        <v>434</v>
      </c>
      <c r="H1454" s="1474" t="s">
        <v>1666</v>
      </c>
      <c r="I1454" s="1478" t="s">
        <v>803</v>
      </c>
      <c r="J1454" s="1478"/>
      <c r="K1454" s="1475" t="s">
        <v>846</v>
      </c>
      <c r="L1454" s="1474" t="s">
        <v>332</v>
      </c>
      <c r="M1454" s="1476" t="s">
        <v>1698</v>
      </c>
      <c r="N1454" s="1477" t="s">
        <v>1693</v>
      </c>
      <c r="O1454" s="1479">
        <v>1986</v>
      </c>
      <c r="P1454" s="1479"/>
      <c r="Q1454" s="1142">
        <f t="shared" si="397"/>
        <v>1986</v>
      </c>
      <c r="R1454" s="1143">
        <f>IFERROR(VLOOKUP(CONCATENATE(E1454,G1454),'LAC 103'!$A$12:$O$95,11,FALSE),0)</f>
        <v>5.936295312319726</v>
      </c>
      <c r="S1454" s="1144">
        <f>IFERROR(VLOOKUP(CONCATENATE($E1454,$G1454),'LAC 103'!$A$12:$O$95,12,FALSE),0)</f>
        <v>7.34</v>
      </c>
      <c r="T1454" s="1144">
        <f>IFERROR(VLOOKUP(CONCATENATE($E1454,$G1454),'LAC 103'!$A$12:$O$95,13,FALSE),0)</f>
        <v>4.59</v>
      </c>
      <c r="U1454" s="1144">
        <f>IFERROR(VLOOKUP(CONCATENATE($E1454,$G1454),'LAC 103'!$A$12:$O$95,14,FALSE),0)</f>
        <v>0</v>
      </c>
      <c r="V1454" s="1144">
        <f>IFERROR(VLOOKUP(CONCATENATE($E1454,$G1454),'LAC 103'!$A$12:$O$95,15,FALSE),0)</f>
        <v>0</v>
      </c>
      <c r="W1454" s="1145" t="str">
        <f>IFERROR(VLOOKUP(CONCATENATE($B1454,$N1454),'LAC 103'!$AI:$AQ,9,FALSE),"")</f>
        <v>Costs</v>
      </c>
      <c r="X1454" s="1146">
        <f t="shared" si="402"/>
        <v>5.936295312319726</v>
      </c>
      <c r="Y1454" s="1143">
        <f t="shared" si="413"/>
        <v>11789.482490266975</v>
      </c>
      <c r="Z1454" s="1147">
        <f t="shared" si="403"/>
        <v>14577.24</v>
      </c>
      <c r="AA1454" s="1144">
        <f t="shared" si="404"/>
        <v>9115.74</v>
      </c>
      <c r="AB1454" s="1144">
        <f t="shared" si="405"/>
        <v>0</v>
      </c>
      <c r="AC1454" s="1144">
        <f t="shared" si="406"/>
        <v>0</v>
      </c>
      <c r="AD1454" s="1148">
        <f t="shared" si="398"/>
        <v>11789.482490266975</v>
      </c>
      <c r="AE1454" s="1487">
        <v>0</v>
      </c>
      <c r="AF1454" s="1145">
        <f t="shared" si="407"/>
        <v>11789.482490266975</v>
      </c>
      <c r="AG1454" s="1149">
        <f>IFERROR(VLOOKUP(CONCATENATE($L1454,$N1454),'Drop List'!$G$23:$K$87,2,FALSE),0)</f>
        <v>0</v>
      </c>
      <c r="AH1454" s="1150">
        <f>IFERROR(VLOOKUP(CONCATENATE($L1454,$N1454),'Drop List'!$G$23:$K$87,3,FALSE),0)</f>
        <v>0</v>
      </c>
      <c r="AI1454" s="1150">
        <f>IFERROR(VLOOKUP(CONCATENATE($L1454,$N1454),'Drop List'!$G$23:$K$87,4,FALSE),0)</f>
        <v>0</v>
      </c>
      <c r="AJ1454" s="1151">
        <f>IFERROR(VLOOKUP(CONCATENATE($L1454,$N1454),'Drop List'!$G$23:$K$87,5,FALSE),0)</f>
        <v>0</v>
      </c>
      <c r="AK1454" s="1152">
        <f t="shared" si="408"/>
        <v>0</v>
      </c>
      <c r="AL1454" s="1153">
        <f t="shared" si="409"/>
        <v>0</v>
      </c>
      <c r="AM1454" s="1153">
        <f t="shared" si="410"/>
        <v>0</v>
      </c>
      <c r="AN1454" s="1145">
        <f t="shared" si="411"/>
        <v>0</v>
      </c>
      <c r="AO1454" s="1154">
        <f t="shared" si="412"/>
        <v>0</v>
      </c>
      <c r="AP1454" s="1147">
        <f t="shared" si="399"/>
        <v>11789.482490266975</v>
      </c>
      <c r="AQ1454" s="1144">
        <f t="shared" si="400"/>
        <v>0</v>
      </c>
      <c r="AR1454" s="1146">
        <f t="shared" si="401"/>
        <v>11789.482490266975</v>
      </c>
    </row>
    <row r="1455" spans="1:44" x14ac:dyDescent="0.2">
      <c r="A1455" s="1141" t="str">
        <f t="shared" si="414"/>
        <v>1577</v>
      </c>
      <c r="B1455" s="1141" t="str">
        <f>IFERROR(VLOOKUP(A1455,'LAC 103'!A:C,3,FALSE),"")</f>
        <v>OP</v>
      </c>
      <c r="C1455" s="1478" t="str">
        <f>Info!$B$8</f>
        <v>00100</v>
      </c>
      <c r="D1455" s="1474" t="s">
        <v>256</v>
      </c>
      <c r="E1455" s="1474" t="s">
        <v>95</v>
      </c>
      <c r="F1455" s="1478" t="s">
        <v>459</v>
      </c>
      <c r="G1455" s="1478" t="s">
        <v>459</v>
      </c>
      <c r="H1455" s="1474" t="s">
        <v>1653</v>
      </c>
      <c r="I1455" s="1478" t="s">
        <v>913</v>
      </c>
      <c r="J1455" s="1478" t="s">
        <v>123</v>
      </c>
      <c r="K1455" s="1475" t="s">
        <v>1654</v>
      </c>
      <c r="L1455" s="1474" t="s">
        <v>332</v>
      </c>
      <c r="M1455" s="1476" t="s">
        <v>841</v>
      </c>
      <c r="N1455" s="1477" t="s">
        <v>1695</v>
      </c>
      <c r="O1455" s="1479">
        <v>187</v>
      </c>
      <c r="P1455" s="1479"/>
      <c r="Q1455" s="1142">
        <f t="shared" si="397"/>
        <v>187</v>
      </c>
      <c r="R1455" s="1143">
        <f>IFERROR(VLOOKUP(CONCATENATE(E1455,G1455),'LAC 103'!$A$12:$O$95,11,FALSE),0)</f>
        <v>4.7723158393158576</v>
      </c>
      <c r="S1455" s="1144">
        <f>IFERROR(VLOOKUP(CONCATENATE($E1455,$G1455),'LAC 103'!$A$12:$O$95,12,FALSE),0)</f>
        <v>5.91</v>
      </c>
      <c r="T1455" s="1144">
        <f>IFERROR(VLOOKUP(CONCATENATE($E1455,$G1455),'LAC 103'!$A$12:$O$95,13,FALSE),0)</f>
        <v>3.69</v>
      </c>
      <c r="U1455" s="1144">
        <f>IFERROR(VLOOKUP(CONCATENATE($E1455,$G1455),'LAC 103'!$A$12:$O$95,14,FALSE),0)</f>
        <v>0</v>
      </c>
      <c r="V1455" s="1144">
        <f>IFERROR(VLOOKUP(CONCATENATE($E1455,$G1455),'LAC 103'!$A$12:$O$95,15,FALSE),0)</f>
        <v>0</v>
      </c>
      <c r="W1455" s="1145" t="str">
        <f>IFERROR(VLOOKUP(CONCATENATE($B1455,$N1455),'LAC 103'!$AI:$AQ,9,FALSE),"")</f>
        <v>Costs</v>
      </c>
      <c r="X1455" s="1146">
        <f t="shared" si="402"/>
        <v>4.7723158393158576</v>
      </c>
      <c r="Y1455" s="1143">
        <f t="shared" si="413"/>
        <v>892.42306195206538</v>
      </c>
      <c r="Z1455" s="1147">
        <f t="shared" si="403"/>
        <v>1105.17</v>
      </c>
      <c r="AA1455" s="1144">
        <f t="shared" si="404"/>
        <v>690.03</v>
      </c>
      <c r="AB1455" s="1144">
        <f t="shared" si="405"/>
        <v>0</v>
      </c>
      <c r="AC1455" s="1144">
        <f t="shared" si="406"/>
        <v>0</v>
      </c>
      <c r="AD1455" s="1148">
        <f t="shared" si="398"/>
        <v>892.42306195206538</v>
      </c>
      <c r="AE1455" s="1487">
        <v>0</v>
      </c>
      <c r="AF1455" s="1145">
        <f t="shared" si="407"/>
        <v>892.42306195206538</v>
      </c>
      <c r="AG1455" s="1149">
        <f>IFERROR(VLOOKUP(CONCATENATE($L1455,$N1455),'Drop List'!$G$23:$K$87,2,FALSE),0)</f>
        <v>0</v>
      </c>
      <c r="AH1455" s="1150">
        <f>IFERROR(VLOOKUP(CONCATENATE($L1455,$N1455),'Drop List'!$G$23:$K$87,3,FALSE),0)</f>
        <v>0</v>
      </c>
      <c r="AI1455" s="1150">
        <f>IFERROR(VLOOKUP(CONCATENATE($L1455,$N1455),'Drop List'!$G$23:$K$87,4,FALSE),0)</f>
        <v>0</v>
      </c>
      <c r="AJ1455" s="1151">
        <f>IFERROR(VLOOKUP(CONCATENATE($L1455,$N1455),'Drop List'!$G$23:$K$87,5,FALSE),0)</f>
        <v>0</v>
      </c>
      <c r="AK1455" s="1152">
        <f t="shared" si="408"/>
        <v>0</v>
      </c>
      <c r="AL1455" s="1153">
        <f t="shared" si="409"/>
        <v>0</v>
      </c>
      <c r="AM1455" s="1153">
        <f t="shared" si="410"/>
        <v>0</v>
      </c>
      <c r="AN1455" s="1145">
        <f t="shared" si="411"/>
        <v>0</v>
      </c>
      <c r="AO1455" s="1154">
        <f t="shared" si="412"/>
        <v>0</v>
      </c>
      <c r="AP1455" s="1147">
        <f t="shared" si="399"/>
        <v>892.42306195206538</v>
      </c>
      <c r="AQ1455" s="1144">
        <f t="shared" si="400"/>
        <v>0</v>
      </c>
      <c r="AR1455" s="1146">
        <f t="shared" si="401"/>
        <v>892.42306195206538</v>
      </c>
    </row>
    <row r="1456" spans="1:44" x14ac:dyDescent="0.2">
      <c r="A1456" s="1141" t="str">
        <f t="shared" si="414"/>
        <v>1577</v>
      </c>
      <c r="B1456" s="1141" t="str">
        <f>IFERROR(VLOOKUP(A1456,'LAC 103'!A:C,3,FALSE),"")</f>
        <v>OP</v>
      </c>
      <c r="C1456" s="1478" t="str">
        <f>Info!$B$8</f>
        <v>00100</v>
      </c>
      <c r="D1456" s="1474" t="s">
        <v>256</v>
      </c>
      <c r="E1456" s="1474" t="s">
        <v>95</v>
      </c>
      <c r="F1456" s="1478" t="s">
        <v>459</v>
      </c>
      <c r="G1456" s="1478" t="s">
        <v>459</v>
      </c>
      <c r="H1456" s="1474" t="s">
        <v>1653</v>
      </c>
      <c r="I1456" s="1478" t="s">
        <v>913</v>
      </c>
      <c r="J1456" s="1478"/>
      <c r="K1456" s="1475" t="s">
        <v>847</v>
      </c>
      <c r="L1456" s="1474" t="s">
        <v>582</v>
      </c>
      <c r="M1456" s="1476" t="s">
        <v>1699</v>
      </c>
      <c r="N1456" s="1477" t="s">
        <v>1694</v>
      </c>
      <c r="O1456" s="1479">
        <v>150</v>
      </c>
      <c r="P1456" s="1479"/>
      <c r="Q1456" s="1142">
        <f t="shared" si="397"/>
        <v>150</v>
      </c>
      <c r="R1456" s="1143">
        <f>IFERROR(VLOOKUP(CONCATENATE(E1456,G1456),'LAC 103'!$A$12:$O$95,11,FALSE),0)</f>
        <v>4.7723158393158576</v>
      </c>
      <c r="S1456" s="1144">
        <f>IFERROR(VLOOKUP(CONCATENATE($E1456,$G1456),'LAC 103'!$A$12:$O$95,12,FALSE),0)</f>
        <v>5.91</v>
      </c>
      <c r="T1456" s="1144">
        <f>IFERROR(VLOOKUP(CONCATENATE($E1456,$G1456),'LAC 103'!$A$12:$O$95,13,FALSE),0)</f>
        <v>3.69</v>
      </c>
      <c r="U1456" s="1144">
        <f>IFERROR(VLOOKUP(CONCATENATE($E1456,$G1456),'LAC 103'!$A$12:$O$95,14,FALSE),0)</f>
        <v>0</v>
      </c>
      <c r="V1456" s="1144">
        <f>IFERROR(VLOOKUP(CONCATENATE($E1456,$G1456),'LAC 103'!$A$12:$O$95,15,FALSE),0)</f>
        <v>0</v>
      </c>
      <c r="W1456" s="1145" t="str">
        <f>IFERROR(VLOOKUP(CONCATENATE($B1456,$N1456),'LAC 103'!$AI:$AQ,9,FALSE),"")</f>
        <v>Costs</v>
      </c>
      <c r="X1456" s="1146">
        <f t="shared" si="402"/>
        <v>4.7723158393158576</v>
      </c>
      <c r="Y1456" s="1143">
        <f t="shared" si="413"/>
        <v>715.84737589737858</v>
      </c>
      <c r="Z1456" s="1147">
        <f t="shared" si="403"/>
        <v>886.5</v>
      </c>
      <c r="AA1456" s="1144">
        <f t="shared" si="404"/>
        <v>553.5</v>
      </c>
      <c r="AB1456" s="1144">
        <f t="shared" si="405"/>
        <v>0</v>
      </c>
      <c r="AC1456" s="1144">
        <f t="shared" si="406"/>
        <v>0</v>
      </c>
      <c r="AD1456" s="1148">
        <f t="shared" si="398"/>
        <v>715.84737589737858</v>
      </c>
      <c r="AE1456" s="1487">
        <v>0</v>
      </c>
      <c r="AF1456" s="1145">
        <f t="shared" si="407"/>
        <v>715.84737589737858</v>
      </c>
      <c r="AG1456" s="1149">
        <f>IFERROR(VLOOKUP(CONCATENATE($L1456,$N1456),'Drop List'!$G$23:$K$87,2,FALSE),0)</f>
        <v>0.56200000000000006</v>
      </c>
      <c r="AH1456" s="1150">
        <f>IFERROR(VLOOKUP(CONCATENATE($L1456,$N1456),'Drop List'!$G$23:$K$87,3,FALSE),0)</f>
        <v>0.43799999999999994</v>
      </c>
      <c r="AI1456" s="1150">
        <f>IFERROR(VLOOKUP(CONCATENATE($L1456,$N1456),'Drop List'!$G$23:$K$87,4,FALSE),0)</f>
        <v>0</v>
      </c>
      <c r="AJ1456" s="1151">
        <f>IFERROR(VLOOKUP(CONCATENATE($L1456,$N1456),'Drop List'!$G$23:$K$87,5,FALSE),0)</f>
        <v>0</v>
      </c>
      <c r="AK1456" s="1152">
        <f t="shared" si="408"/>
        <v>402.30622525432682</v>
      </c>
      <c r="AL1456" s="1153">
        <f t="shared" si="409"/>
        <v>313.54115064305176</v>
      </c>
      <c r="AM1456" s="1153">
        <f t="shared" si="410"/>
        <v>0</v>
      </c>
      <c r="AN1456" s="1145">
        <f t="shared" si="411"/>
        <v>0</v>
      </c>
      <c r="AO1456" s="1154">
        <f t="shared" si="412"/>
        <v>715.84737589737858</v>
      </c>
      <c r="AP1456" s="1147">
        <f t="shared" si="399"/>
        <v>0</v>
      </c>
      <c r="AQ1456" s="1144">
        <f t="shared" si="400"/>
        <v>0</v>
      </c>
      <c r="AR1456" s="1146">
        <f t="shared" si="401"/>
        <v>715.84737589737858</v>
      </c>
    </row>
    <row r="1457" spans="1:44" x14ac:dyDescent="0.2">
      <c r="A1457" s="1141" t="str">
        <f t="shared" si="414"/>
        <v>1577</v>
      </c>
      <c r="B1457" s="1141" t="str">
        <f>IFERROR(VLOOKUP(A1457,'LAC 103'!A:C,3,FALSE),"")</f>
        <v>OP</v>
      </c>
      <c r="C1457" s="1478" t="str">
        <f>Info!$B$8</f>
        <v>00100</v>
      </c>
      <c r="D1457" s="1474" t="s">
        <v>256</v>
      </c>
      <c r="E1457" s="1474" t="s">
        <v>95</v>
      </c>
      <c r="F1457" s="1478" t="s">
        <v>459</v>
      </c>
      <c r="G1457" s="1478" t="s">
        <v>459</v>
      </c>
      <c r="H1457" s="1474" t="s">
        <v>1653</v>
      </c>
      <c r="I1457" s="1478" t="s">
        <v>913</v>
      </c>
      <c r="J1457" s="1478"/>
      <c r="K1457" s="1475" t="s">
        <v>847</v>
      </c>
      <c r="L1457" s="1474" t="s">
        <v>582</v>
      </c>
      <c r="M1457" s="1476" t="s">
        <v>842</v>
      </c>
      <c r="N1457" s="1477" t="s">
        <v>1692</v>
      </c>
      <c r="O1457" s="1479">
        <v>577</v>
      </c>
      <c r="P1457" s="1479"/>
      <c r="Q1457" s="1142">
        <f t="shared" si="397"/>
        <v>577</v>
      </c>
      <c r="R1457" s="1143">
        <f>IFERROR(VLOOKUP(CONCATENATE(E1457,G1457),'LAC 103'!$A$12:$O$95,11,FALSE),0)</f>
        <v>4.7723158393158576</v>
      </c>
      <c r="S1457" s="1144">
        <f>IFERROR(VLOOKUP(CONCATENATE($E1457,$G1457),'LAC 103'!$A$12:$O$95,12,FALSE),0)</f>
        <v>5.91</v>
      </c>
      <c r="T1457" s="1144">
        <f>IFERROR(VLOOKUP(CONCATENATE($E1457,$G1457),'LAC 103'!$A$12:$O$95,13,FALSE),0)</f>
        <v>3.69</v>
      </c>
      <c r="U1457" s="1144">
        <f>IFERROR(VLOOKUP(CONCATENATE($E1457,$G1457),'LAC 103'!$A$12:$O$95,14,FALSE),0)</f>
        <v>0</v>
      </c>
      <c r="V1457" s="1144">
        <f>IFERROR(VLOOKUP(CONCATENATE($E1457,$G1457),'LAC 103'!$A$12:$O$95,15,FALSE),0)</f>
        <v>0</v>
      </c>
      <c r="W1457" s="1145" t="str">
        <f>IFERROR(VLOOKUP(CONCATENATE($B1457,$N1457),'LAC 103'!$AI:$AQ,9,FALSE),"")</f>
        <v>Costs</v>
      </c>
      <c r="X1457" s="1146">
        <f t="shared" si="402"/>
        <v>4.7723158393158576</v>
      </c>
      <c r="Y1457" s="1143">
        <f t="shared" si="413"/>
        <v>2753.62623928525</v>
      </c>
      <c r="Z1457" s="1147">
        <f t="shared" si="403"/>
        <v>3410.07</v>
      </c>
      <c r="AA1457" s="1144">
        <f t="shared" si="404"/>
        <v>2129.13</v>
      </c>
      <c r="AB1457" s="1144">
        <f t="shared" si="405"/>
        <v>0</v>
      </c>
      <c r="AC1457" s="1144">
        <f t="shared" si="406"/>
        <v>0</v>
      </c>
      <c r="AD1457" s="1148">
        <f t="shared" si="398"/>
        <v>2753.62623928525</v>
      </c>
      <c r="AE1457" s="1487">
        <v>0</v>
      </c>
      <c r="AF1457" s="1145">
        <f t="shared" si="407"/>
        <v>2753.62623928525</v>
      </c>
      <c r="AG1457" s="1149">
        <f>IFERROR(VLOOKUP(CONCATENATE($L1457,$N1457),'Drop List'!$G$23:$K$87,2,FALSE),0)</f>
        <v>0.56200000000000006</v>
      </c>
      <c r="AH1457" s="1150">
        <f>IFERROR(VLOOKUP(CONCATENATE($L1457,$N1457),'Drop List'!$G$23:$K$87,3,FALSE),0)</f>
        <v>0.43799999999999994</v>
      </c>
      <c r="AI1457" s="1150">
        <f>IFERROR(VLOOKUP(CONCATENATE($L1457,$N1457),'Drop List'!$G$23:$K$87,4,FALSE),0)</f>
        <v>0</v>
      </c>
      <c r="AJ1457" s="1151">
        <f>IFERROR(VLOOKUP(CONCATENATE($L1457,$N1457),'Drop List'!$G$23:$K$87,5,FALSE),0)</f>
        <v>0</v>
      </c>
      <c r="AK1457" s="1152">
        <f t="shared" si="408"/>
        <v>1547.5379464783107</v>
      </c>
      <c r="AL1457" s="1153">
        <f t="shared" si="409"/>
        <v>1206.0882928069393</v>
      </c>
      <c r="AM1457" s="1153">
        <f t="shared" si="410"/>
        <v>0</v>
      </c>
      <c r="AN1457" s="1145">
        <f t="shared" si="411"/>
        <v>0</v>
      </c>
      <c r="AO1457" s="1154">
        <f t="shared" si="412"/>
        <v>2753.62623928525</v>
      </c>
      <c r="AP1457" s="1147">
        <f t="shared" si="399"/>
        <v>0</v>
      </c>
      <c r="AQ1457" s="1144">
        <f t="shared" si="400"/>
        <v>0</v>
      </c>
      <c r="AR1457" s="1146">
        <f t="shared" si="401"/>
        <v>2753.62623928525</v>
      </c>
    </row>
    <row r="1458" spans="1:44" x14ac:dyDescent="0.2">
      <c r="A1458" s="1141" t="str">
        <f t="shared" si="414"/>
        <v>1577</v>
      </c>
      <c r="B1458" s="1141" t="str">
        <f>IFERROR(VLOOKUP(A1458,'LAC 103'!A:C,3,FALSE),"")</f>
        <v>OP</v>
      </c>
      <c r="C1458" s="1478" t="str">
        <f>Info!$B$8</f>
        <v>00100</v>
      </c>
      <c r="D1458" s="1474" t="s">
        <v>256</v>
      </c>
      <c r="E1458" s="1474" t="s">
        <v>95</v>
      </c>
      <c r="F1458" s="1478" t="s">
        <v>459</v>
      </c>
      <c r="G1458" s="1478" t="s">
        <v>459</v>
      </c>
      <c r="H1458" s="1474" t="s">
        <v>1656</v>
      </c>
      <c r="I1458" s="1478" t="s">
        <v>809</v>
      </c>
      <c r="J1458" s="1478" t="s">
        <v>123</v>
      </c>
      <c r="K1458" s="1475" t="s">
        <v>847</v>
      </c>
      <c r="L1458" s="1474" t="s">
        <v>582</v>
      </c>
      <c r="M1458" s="1476" t="s">
        <v>1699</v>
      </c>
      <c r="N1458" s="1477" t="s">
        <v>1694</v>
      </c>
      <c r="O1458" s="1479">
        <v>105</v>
      </c>
      <c r="P1458" s="1479"/>
      <c r="Q1458" s="1142">
        <f t="shared" si="397"/>
        <v>105</v>
      </c>
      <c r="R1458" s="1143">
        <f>IFERROR(VLOOKUP(CONCATENATE(E1458,G1458),'LAC 103'!$A$12:$O$95,11,FALSE),0)</f>
        <v>4.7723158393158576</v>
      </c>
      <c r="S1458" s="1144">
        <f>IFERROR(VLOOKUP(CONCATENATE($E1458,$G1458),'LAC 103'!$A$12:$O$95,12,FALSE),0)</f>
        <v>5.91</v>
      </c>
      <c r="T1458" s="1144">
        <f>IFERROR(VLOOKUP(CONCATENATE($E1458,$G1458),'LAC 103'!$A$12:$O$95,13,FALSE),0)</f>
        <v>3.69</v>
      </c>
      <c r="U1458" s="1144">
        <f>IFERROR(VLOOKUP(CONCATENATE($E1458,$G1458),'LAC 103'!$A$12:$O$95,14,FALSE),0)</f>
        <v>0</v>
      </c>
      <c r="V1458" s="1144">
        <f>IFERROR(VLOOKUP(CONCATENATE($E1458,$G1458),'LAC 103'!$A$12:$O$95,15,FALSE),0)</f>
        <v>0</v>
      </c>
      <c r="W1458" s="1145" t="str">
        <f>IFERROR(VLOOKUP(CONCATENATE($B1458,$N1458),'LAC 103'!$AI:$AQ,9,FALSE),"")</f>
        <v>Costs</v>
      </c>
      <c r="X1458" s="1146">
        <f t="shared" si="402"/>
        <v>4.7723158393158576</v>
      </c>
      <c r="Y1458" s="1143">
        <f t="shared" si="413"/>
        <v>501.09316312816503</v>
      </c>
      <c r="Z1458" s="1147">
        <f t="shared" si="403"/>
        <v>620.55000000000007</v>
      </c>
      <c r="AA1458" s="1144">
        <f t="shared" si="404"/>
        <v>387.45</v>
      </c>
      <c r="AB1458" s="1144">
        <f t="shared" si="405"/>
        <v>0</v>
      </c>
      <c r="AC1458" s="1144">
        <f t="shared" si="406"/>
        <v>0</v>
      </c>
      <c r="AD1458" s="1148">
        <f t="shared" si="398"/>
        <v>501.09316312816503</v>
      </c>
      <c r="AE1458" s="1487">
        <v>0</v>
      </c>
      <c r="AF1458" s="1145">
        <f t="shared" si="407"/>
        <v>501.09316312816503</v>
      </c>
      <c r="AG1458" s="1149">
        <f>IFERROR(VLOOKUP(CONCATENATE($L1458,$N1458),'Drop List'!$G$23:$K$87,2,FALSE),0)</f>
        <v>0.56200000000000006</v>
      </c>
      <c r="AH1458" s="1150">
        <f>IFERROR(VLOOKUP(CONCATENATE($L1458,$N1458),'Drop List'!$G$23:$K$87,3,FALSE),0)</f>
        <v>0.43799999999999994</v>
      </c>
      <c r="AI1458" s="1150">
        <f>IFERROR(VLOOKUP(CONCATENATE($L1458,$N1458),'Drop List'!$G$23:$K$87,4,FALSE),0)</f>
        <v>0</v>
      </c>
      <c r="AJ1458" s="1151">
        <f>IFERROR(VLOOKUP(CONCATENATE($L1458,$N1458),'Drop List'!$G$23:$K$87,5,FALSE),0)</f>
        <v>0</v>
      </c>
      <c r="AK1458" s="1152">
        <f t="shared" si="408"/>
        <v>281.6143576780288</v>
      </c>
      <c r="AL1458" s="1153">
        <f t="shared" si="409"/>
        <v>219.47880545013626</v>
      </c>
      <c r="AM1458" s="1153">
        <f t="shared" si="410"/>
        <v>0</v>
      </c>
      <c r="AN1458" s="1145">
        <f t="shared" si="411"/>
        <v>0</v>
      </c>
      <c r="AO1458" s="1154">
        <f t="shared" si="412"/>
        <v>501.09316312816509</v>
      </c>
      <c r="AP1458" s="1147">
        <f t="shared" si="399"/>
        <v>0</v>
      </c>
      <c r="AQ1458" s="1144">
        <f t="shared" si="400"/>
        <v>0</v>
      </c>
      <c r="AR1458" s="1146">
        <f t="shared" si="401"/>
        <v>501.09316312816509</v>
      </c>
    </row>
    <row r="1459" spans="1:44" x14ac:dyDescent="0.2">
      <c r="A1459" s="1141" t="str">
        <f t="shared" si="414"/>
        <v>1577</v>
      </c>
      <c r="B1459" s="1141" t="str">
        <f>IFERROR(VLOOKUP(A1459,'LAC 103'!A:C,3,FALSE),"")</f>
        <v>OP</v>
      </c>
      <c r="C1459" s="1478" t="str">
        <f>Info!$B$8</f>
        <v>00100</v>
      </c>
      <c r="D1459" s="1474" t="s">
        <v>256</v>
      </c>
      <c r="E1459" s="1474" t="s">
        <v>95</v>
      </c>
      <c r="F1459" s="1478" t="s">
        <v>459</v>
      </c>
      <c r="G1459" s="1478" t="s">
        <v>459</v>
      </c>
      <c r="H1459" s="1474" t="s">
        <v>1656</v>
      </c>
      <c r="I1459" s="1478" t="s">
        <v>809</v>
      </c>
      <c r="J1459" s="1478"/>
      <c r="K1459" s="1475" t="s">
        <v>847</v>
      </c>
      <c r="L1459" s="1474" t="s">
        <v>582</v>
      </c>
      <c r="M1459" s="1476" t="s">
        <v>840</v>
      </c>
      <c r="N1459" s="1477" t="s">
        <v>1700</v>
      </c>
      <c r="O1459" s="1479">
        <v>180</v>
      </c>
      <c r="P1459" s="1479"/>
      <c r="Q1459" s="1142">
        <f t="shared" si="397"/>
        <v>180</v>
      </c>
      <c r="R1459" s="1143">
        <f>IFERROR(VLOOKUP(CONCATENATE(E1459,G1459),'LAC 103'!$A$12:$O$95,11,FALSE),0)</f>
        <v>4.7723158393158576</v>
      </c>
      <c r="S1459" s="1144">
        <f>IFERROR(VLOOKUP(CONCATENATE($E1459,$G1459),'LAC 103'!$A$12:$O$95,12,FALSE),0)</f>
        <v>5.91</v>
      </c>
      <c r="T1459" s="1144">
        <f>IFERROR(VLOOKUP(CONCATENATE($E1459,$G1459),'LAC 103'!$A$12:$O$95,13,FALSE),0)</f>
        <v>3.69</v>
      </c>
      <c r="U1459" s="1144">
        <f>IFERROR(VLOOKUP(CONCATENATE($E1459,$G1459),'LAC 103'!$A$12:$O$95,14,FALSE),0)</f>
        <v>0</v>
      </c>
      <c r="V1459" s="1144">
        <f>IFERROR(VLOOKUP(CONCATENATE($E1459,$G1459),'LAC 103'!$A$12:$O$95,15,FALSE),0)</f>
        <v>0</v>
      </c>
      <c r="W1459" s="1145" t="str">
        <f>IFERROR(VLOOKUP(CONCATENATE($B1459,$N1459),'LAC 103'!$AI:$AQ,9,FALSE),"")</f>
        <v>P.C.</v>
      </c>
      <c r="X1459" s="1146">
        <f t="shared" si="402"/>
        <v>3.69</v>
      </c>
      <c r="Y1459" s="1143">
        <f t="shared" si="413"/>
        <v>859.01685107685432</v>
      </c>
      <c r="Z1459" s="1147">
        <f t="shared" si="403"/>
        <v>1063.8</v>
      </c>
      <c r="AA1459" s="1144">
        <f t="shared" si="404"/>
        <v>664.2</v>
      </c>
      <c r="AB1459" s="1144">
        <f t="shared" si="405"/>
        <v>0</v>
      </c>
      <c r="AC1459" s="1144">
        <f t="shared" si="406"/>
        <v>0</v>
      </c>
      <c r="AD1459" s="1148">
        <f t="shared" si="398"/>
        <v>664.2</v>
      </c>
      <c r="AE1459" s="1487">
        <v>0</v>
      </c>
      <c r="AF1459" s="1145">
        <f t="shared" si="407"/>
        <v>664.2</v>
      </c>
      <c r="AG1459" s="1149">
        <f>IFERROR(VLOOKUP(CONCATENATE($L1459,$N1459),'Drop List'!$G$23:$K$87,2,FALSE),0)</f>
        <v>0.55000000000000004</v>
      </c>
      <c r="AH1459" s="1150">
        <f>IFERROR(VLOOKUP(CONCATENATE($L1459,$N1459),'Drop List'!$G$23:$K$87,3,FALSE),0)</f>
        <v>0.44999999999999996</v>
      </c>
      <c r="AI1459" s="1150">
        <f>IFERROR(VLOOKUP(CONCATENATE($L1459,$N1459),'Drop List'!$G$23:$K$87,4,FALSE),0)</f>
        <v>0</v>
      </c>
      <c r="AJ1459" s="1151">
        <f>IFERROR(VLOOKUP(CONCATENATE($L1459,$N1459),'Drop List'!$G$23:$K$87,5,FALSE),0)</f>
        <v>0</v>
      </c>
      <c r="AK1459" s="1152">
        <f t="shared" si="408"/>
        <v>365.31000000000006</v>
      </c>
      <c r="AL1459" s="1153">
        <f t="shared" si="409"/>
        <v>298.89</v>
      </c>
      <c r="AM1459" s="1153">
        <f t="shared" si="410"/>
        <v>0</v>
      </c>
      <c r="AN1459" s="1145">
        <f t="shared" si="411"/>
        <v>0</v>
      </c>
      <c r="AO1459" s="1154">
        <f t="shared" si="412"/>
        <v>664.2</v>
      </c>
      <c r="AP1459" s="1147">
        <f t="shared" si="399"/>
        <v>0</v>
      </c>
      <c r="AQ1459" s="1144">
        <f t="shared" si="400"/>
        <v>0</v>
      </c>
      <c r="AR1459" s="1146">
        <f t="shared" si="401"/>
        <v>664.2</v>
      </c>
    </row>
    <row r="1460" spans="1:44" x14ac:dyDescent="0.2">
      <c r="A1460" s="1141" t="str">
        <f t="shared" si="414"/>
        <v>1577</v>
      </c>
      <c r="B1460" s="1141" t="str">
        <f>IFERROR(VLOOKUP(A1460,'LAC 103'!A:C,3,FALSE),"")</f>
        <v>OP</v>
      </c>
      <c r="C1460" s="1478" t="str">
        <f>Info!$B$8</f>
        <v>00100</v>
      </c>
      <c r="D1460" s="1474" t="s">
        <v>256</v>
      </c>
      <c r="E1460" s="1474" t="s">
        <v>95</v>
      </c>
      <c r="F1460" s="1478" t="s">
        <v>459</v>
      </c>
      <c r="G1460" s="1478" t="s">
        <v>459</v>
      </c>
      <c r="H1460" s="1474" t="s">
        <v>1656</v>
      </c>
      <c r="I1460" s="1478" t="s">
        <v>809</v>
      </c>
      <c r="J1460" s="1478"/>
      <c r="K1460" s="1475" t="s">
        <v>847</v>
      </c>
      <c r="L1460" s="1474" t="s">
        <v>582</v>
      </c>
      <c r="M1460" s="1476" t="s">
        <v>842</v>
      </c>
      <c r="N1460" s="1477" t="s">
        <v>1692</v>
      </c>
      <c r="O1460" s="1479">
        <v>46</v>
      </c>
      <c r="P1460" s="1479"/>
      <c r="Q1460" s="1142">
        <f t="shared" si="397"/>
        <v>46</v>
      </c>
      <c r="R1460" s="1143">
        <f>IFERROR(VLOOKUP(CONCATENATE(E1460,G1460),'LAC 103'!$A$12:$O$95,11,FALSE),0)</f>
        <v>4.7723158393158576</v>
      </c>
      <c r="S1460" s="1144">
        <f>IFERROR(VLOOKUP(CONCATENATE($E1460,$G1460),'LAC 103'!$A$12:$O$95,12,FALSE),0)</f>
        <v>5.91</v>
      </c>
      <c r="T1460" s="1144">
        <f>IFERROR(VLOOKUP(CONCATENATE($E1460,$G1460),'LAC 103'!$A$12:$O$95,13,FALSE),0)</f>
        <v>3.69</v>
      </c>
      <c r="U1460" s="1144">
        <f>IFERROR(VLOOKUP(CONCATENATE($E1460,$G1460),'LAC 103'!$A$12:$O$95,14,FALSE),0)</f>
        <v>0</v>
      </c>
      <c r="V1460" s="1144">
        <f>IFERROR(VLOOKUP(CONCATENATE($E1460,$G1460),'LAC 103'!$A$12:$O$95,15,FALSE),0)</f>
        <v>0</v>
      </c>
      <c r="W1460" s="1145" t="str">
        <f>IFERROR(VLOOKUP(CONCATENATE($B1460,$N1460),'LAC 103'!$AI:$AQ,9,FALSE),"")</f>
        <v>Costs</v>
      </c>
      <c r="X1460" s="1146">
        <f t="shared" si="402"/>
        <v>4.7723158393158576</v>
      </c>
      <c r="Y1460" s="1143">
        <f t="shared" si="413"/>
        <v>219.52652860852945</v>
      </c>
      <c r="Z1460" s="1147">
        <f t="shared" si="403"/>
        <v>271.86</v>
      </c>
      <c r="AA1460" s="1144">
        <f t="shared" si="404"/>
        <v>169.74</v>
      </c>
      <c r="AB1460" s="1144">
        <f t="shared" si="405"/>
        <v>0</v>
      </c>
      <c r="AC1460" s="1144">
        <f t="shared" si="406"/>
        <v>0</v>
      </c>
      <c r="AD1460" s="1148">
        <f t="shared" si="398"/>
        <v>219.52652860852945</v>
      </c>
      <c r="AE1460" s="1487">
        <v>0</v>
      </c>
      <c r="AF1460" s="1145">
        <f t="shared" si="407"/>
        <v>219.52652860852945</v>
      </c>
      <c r="AG1460" s="1149">
        <f>IFERROR(VLOOKUP(CONCATENATE($L1460,$N1460),'Drop List'!$G$23:$K$87,2,FALSE),0)</f>
        <v>0.56200000000000006</v>
      </c>
      <c r="AH1460" s="1150">
        <f>IFERROR(VLOOKUP(CONCATENATE($L1460,$N1460),'Drop List'!$G$23:$K$87,3,FALSE),0)</f>
        <v>0.43799999999999994</v>
      </c>
      <c r="AI1460" s="1150">
        <f>IFERROR(VLOOKUP(CONCATENATE($L1460,$N1460),'Drop List'!$G$23:$K$87,4,FALSE),0)</f>
        <v>0</v>
      </c>
      <c r="AJ1460" s="1151">
        <f>IFERROR(VLOOKUP(CONCATENATE($L1460,$N1460),'Drop List'!$G$23:$K$87,5,FALSE),0)</f>
        <v>0</v>
      </c>
      <c r="AK1460" s="1152">
        <f t="shared" si="408"/>
        <v>123.37390907799356</v>
      </c>
      <c r="AL1460" s="1153">
        <f t="shared" si="409"/>
        <v>96.152619530535887</v>
      </c>
      <c r="AM1460" s="1153">
        <f t="shared" si="410"/>
        <v>0</v>
      </c>
      <c r="AN1460" s="1145">
        <f t="shared" si="411"/>
        <v>0</v>
      </c>
      <c r="AO1460" s="1154">
        <f t="shared" si="412"/>
        <v>219.52652860852945</v>
      </c>
      <c r="AP1460" s="1147">
        <f t="shared" si="399"/>
        <v>0</v>
      </c>
      <c r="AQ1460" s="1144">
        <f t="shared" si="400"/>
        <v>0</v>
      </c>
      <c r="AR1460" s="1146">
        <f t="shared" si="401"/>
        <v>219.52652860852945</v>
      </c>
    </row>
    <row r="1461" spans="1:44" x14ac:dyDescent="0.2">
      <c r="A1461" s="1141" t="str">
        <f t="shared" si="414"/>
        <v>1577</v>
      </c>
      <c r="B1461" s="1141" t="str">
        <f>IFERROR(VLOOKUP(A1461,'LAC 103'!A:C,3,FALSE),"")</f>
        <v>OP</v>
      </c>
      <c r="C1461" s="1478" t="str">
        <f>Info!$B$8</f>
        <v>00100</v>
      </c>
      <c r="D1461" s="1474" t="s">
        <v>256</v>
      </c>
      <c r="E1461" s="1474" t="s">
        <v>95</v>
      </c>
      <c r="F1461" s="1478" t="s">
        <v>459</v>
      </c>
      <c r="G1461" s="1478" t="s">
        <v>459</v>
      </c>
      <c r="H1461" s="1474" t="s">
        <v>1656</v>
      </c>
      <c r="I1461" s="1478" t="s">
        <v>809</v>
      </c>
      <c r="J1461" s="1478"/>
      <c r="K1461" s="1475" t="s">
        <v>847</v>
      </c>
      <c r="L1461" s="1474" t="s">
        <v>582</v>
      </c>
      <c r="M1461" s="1476" t="s">
        <v>1698</v>
      </c>
      <c r="N1461" s="1477" t="s">
        <v>1693</v>
      </c>
      <c r="O1461" s="1479">
        <v>89</v>
      </c>
      <c r="P1461" s="1479"/>
      <c r="Q1461" s="1142">
        <f t="shared" si="397"/>
        <v>89</v>
      </c>
      <c r="R1461" s="1143">
        <f>IFERROR(VLOOKUP(CONCATENATE(E1461,G1461),'LAC 103'!$A$12:$O$95,11,FALSE),0)</f>
        <v>4.7723158393158576</v>
      </c>
      <c r="S1461" s="1144">
        <f>IFERROR(VLOOKUP(CONCATENATE($E1461,$G1461),'LAC 103'!$A$12:$O$95,12,FALSE),0)</f>
        <v>5.91</v>
      </c>
      <c r="T1461" s="1144">
        <f>IFERROR(VLOOKUP(CONCATENATE($E1461,$G1461),'LAC 103'!$A$12:$O$95,13,FALSE),0)</f>
        <v>3.69</v>
      </c>
      <c r="U1461" s="1144">
        <f>IFERROR(VLOOKUP(CONCATENATE($E1461,$G1461),'LAC 103'!$A$12:$O$95,14,FALSE),0)</f>
        <v>0</v>
      </c>
      <c r="V1461" s="1144">
        <f>IFERROR(VLOOKUP(CONCATENATE($E1461,$G1461),'LAC 103'!$A$12:$O$95,15,FALSE),0)</f>
        <v>0</v>
      </c>
      <c r="W1461" s="1145" t="str">
        <f>IFERROR(VLOOKUP(CONCATENATE($B1461,$N1461),'LAC 103'!$AI:$AQ,9,FALSE),"")</f>
        <v>Costs</v>
      </c>
      <c r="X1461" s="1146">
        <f t="shared" si="402"/>
        <v>4.7723158393158576</v>
      </c>
      <c r="Y1461" s="1143">
        <f t="shared" si="413"/>
        <v>424.7361096991113</v>
      </c>
      <c r="Z1461" s="1147">
        <f t="shared" si="403"/>
        <v>525.99</v>
      </c>
      <c r="AA1461" s="1144">
        <f t="shared" si="404"/>
        <v>328.40999999999997</v>
      </c>
      <c r="AB1461" s="1144">
        <f t="shared" si="405"/>
        <v>0</v>
      </c>
      <c r="AC1461" s="1144">
        <f t="shared" si="406"/>
        <v>0</v>
      </c>
      <c r="AD1461" s="1148">
        <f t="shared" si="398"/>
        <v>424.7361096991113</v>
      </c>
      <c r="AE1461" s="1487">
        <v>0</v>
      </c>
      <c r="AF1461" s="1145">
        <f t="shared" si="407"/>
        <v>424.7361096991113</v>
      </c>
      <c r="AG1461" s="1149">
        <f>IFERROR(VLOOKUP(CONCATENATE($L1461,$N1461),'Drop List'!$G$23:$K$87,2,FALSE),0)</f>
        <v>0.56200000000000006</v>
      </c>
      <c r="AH1461" s="1150">
        <f>IFERROR(VLOOKUP(CONCATENATE($L1461,$N1461),'Drop List'!$G$23:$K$87,3,FALSE),0)</f>
        <v>0.43799999999999994</v>
      </c>
      <c r="AI1461" s="1150">
        <f>IFERROR(VLOOKUP(CONCATENATE($L1461,$N1461),'Drop List'!$G$23:$K$87,4,FALSE),0)</f>
        <v>0</v>
      </c>
      <c r="AJ1461" s="1151">
        <f>IFERROR(VLOOKUP(CONCATENATE($L1461,$N1461),'Drop List'!$G$23:$K$87,5,FALSE),0)</f>
        <v>0</v>
      </c>
      <c r="AK1461" s="1152">
        <f t="shared" si="408"/>
        <v>238.70169365090058</v>
      </c>
      <c r="AL1461" s="1153">
        <f t="shared" si="409"/>
        <v>186.03441604821072</v>
      </c>
      <c r="AM1461" s="1153">
        <f t="shared" si="410"/>
        <v>0</v>
      </c>
      <c r="AN1461" s="1145">
        <f t="shared" si="411"/>
        <v>0</v>
      </c>
      <c r="AO1461" s="1154">
        <f t="shared" si="412"/>
        <v>424.7361096991113</v>
      </c>
      <c r="AP1461" s="1147">
        <f t="shared" si="399"/>
        <v>0</v>
      </c>
      <c r="AQ1461" s="1144">
        <f t="shared" si="400"/>
        <v>0</v>
      </c>
      <c r="AR1461" s="1146">
        <f t="shared" si="401"/>
        <v>424.7361096991113</v>
      </c>
    </row>
    <row r="1462" spans="1:44" x14ac:dyDescent="0.2">
      <c r="A1462" s="1141" t="str">
        <f t="shared" si="414"/>
        <v>1577</v>
      </c>
      <c r="B1462" s="1141" t="str">
        <f>IFERROR(VLOOKUP(A1462,'LAC 103'!A:C,3,FALSE),"")</f>
        <v>OP</v>
      </c>
      <c r="C1462" s="1478" t="str">
        <f>Info!$B$8</f>
        <v>00100</v>
      </c>
      <c r="D1462" s="1474" t="s">
        <v>256</v>
      </c>
      <c r="E1462" s="1474" t="s">
        <v>95</v>
      </c>
      <c r="F1462" s="1478" t="s">
        <v>459</v>
      </c>
      <c r="G1462" s="1478" t="s">
        <v>459</v>
      </c>
      <c r="H1462" s="1474" t="s">
        <v>1656</v>
      </c>
      <c r="I1462" s="1478" t="s">
        <v>809</v>
      </c>
      <c r="J1462" s="1478"/>
      <c r="K1462" s="1475" t="s">
        <v>848</v>
      </c>
      <c r="L1462" s="1474" t="s">
        <v>45</v>
      </c>
      <c r="M1462" s="1476" t="s">
        <v>840</v>
      </c>
      <c r="N1462" s="1477" t="s">
        <v>1700</v>
      </c>
      <c r="O1462" s="1479">
        <v>45</v>
      </c>
      <c r="P1462" s="1479"/>
      <c r="Q1462" s="1142">
        <f t="shared" si="397"/>
        <v>45</v>
      </c>
      <c r="R1462" s="1143">
        <f>IFERROR(VLOOKUP(CONCATENATE(E1462,G1462),'LAC 103'!$A$12:$O$95,11,FALSE),0)</f>
        <v>4.7723158393158576</v>
      </c>
      <c r="S1462" s="1144">
        <f>IFERROR(VLOOKUP(CONCATENATE($E1462,$G1462),'LAC 103'!$A$12:$O$95,12,FALSE),0)</f>
        <v>5.91</v>
      </c>
      <c r="T1462" s="1144">
        <f>IFERROR(VLOOKUP(CONCATENATE($E1462,$G1462),'LAC 103'!$A$12:$O$95,13,FALSE),0)</f>
        <v>3.69</v>
      </c>
      <c r="U1462" s="1144">
        <f>IFERROR(VLOOKUP(CONCATENATE($E1462,$G1462),'LAC 103'!$A$12:$O$95,14,FALSE),0)</f>
        <v>0</v>
      </c>
      <c r="V1462" s="1144">
        <f>IFERROR(VLOOKUP(CONCATENATE($E1462,$G1462),'LAC 103'!$A$12:$O$95,15,FALSE),0)</f>
        <v>0</v>
      </c>
      <c r="W1462" s="1145" t="str">
        <f>IFERROR(VLOOKUP(CONCATENATE($B1462,$N1462),'LAC 103'!$AI:$AQ,9,FALSE),"")</f>
        <v>P.C.</v>
      </c>
      <c r="X1462" s="1146">
        <f t="shared" si="402"/>
        <v>3.69</v>
      </c>
      <c r="Y1462" s="1143">
        <f t="shared" si="413"/>
        <v>214.75421276921358</v>
      </c>
      <c r="Z1462" s="1147">
        <f t="shared" si="403"/>
        <v>265.95</v>
      </c>
      <c r="AA1462" s="1144">
        <f t="shared" si="404"/>
        <v>166.05</v>
      </c>
      <c r="AB1462" s="1144">
        <f t="shared" si="405"/>
        <v>0</v>
      </c>
      <c r="AC1462" s="1144">
        <f t="shared" si="406"/>
        <v>0</v>
      </c>
      <c r="AD1462" s="1148">
        <f t="shared" si="398"/>
        <v>166.05</v>
      </c>
      <c r="AE1462" s="1487">
        <v>0</v>
      </c>
      <c r="AF1462" s="1145">
        <f t="shared" si="407"/>
        <v>166.05</v>
      </c>
      <c r="AG1462" s="1149">
        <f>IFERROR(VLOOKUP(CONCATENATE($L1462,$N1462),'Drop List'!$G$23:$K$87,2,FALSE),0)</f>
        <v>0.68500000000000005</v>
      </c>
      <c r="AH1462" s="1150">
        <f>IFERROR(VLOOKUP(CONCATENATE($L1462,$N1462),'Drop List'!$G$23:$K$87,3,FALSE),0)</f>
        <v>0.31499999999999995</v>
      </c>
      <c r="AI1462" s="1150">
        <f>IFERROR(VLOOKUP(CONCATENATE($L1462,$N1462),'Drop List'!$G$23:$K$87,4,FALSE),0)</f>
        <v>0</v>
      </c>
      <c r="AJ1462" s="1151">
        <f>IFERROR(VLOOKUP(CONCATENATE($L1462,$N1462),'Drop List'!$G$23:$K$87,5,FALSE),0)</f>
        <v>0</v>
      </c>
      <c r="AK1462" s="1152">
        <f t="shared" si="408"/>
        <v>113.74425000000002</v>
      </c>
      <c r="AL1462" s="1153">
        <f t="shared" si="409"/>
        <v>52.305749999999996</v>
      </c>
      <c r="AM1462" s="1153">
        <f t="shared" si="410"/>
        <v>0</v>
      </c>
      <c r="AN1462" s="1145">
        <f t="shared" si="411"/>
        <v>0</v>
      </c>
      <c r="AO1462" s="1154">
        <f t="shared" si="412"/>
        <v>166.05</v>
      </c>
      <c r="AP1462" s="1147">
        <f t="shared" si="399"/>
        <v>0</v>
      </c>
      <c r="AQ1462" s="1144">
        <f t="shared" si="400"/>
        <v>0</v>
      </c>
      <c r="AR1462" s="1146">
        <f t="shared" si="401"/>
        <v>166.05</v>
      </c>
    </row>
    <row r="1463" spans="1:44" x14ac:dyDescent="0.2">
      <c r="A1463" s="1141" t="str">
        <f t="shared" si="414"/>
        <v>1577</v>
      </c>
      <c r="B1463" s="1141" t="str">
        <f>IFERROR(VLOOKUP(A1463,'LAC 103'!A:C,3,FALSE),"")</f>
        <v>OP</v>
      </c>
      <c r="C1463" s="1478" t="str">
        <f>Info!$B$8</f>
        <v>00100</v>
      </c>
      <c r="D1463" s="1474" t="s">
        <v>256</v>
      </c>
      <c r="E1463" s="1474" t="s">
        <v>95</v>
      </c>
      <c r="F1463" s="1478" t="s">
        <v>459</v>
      </c>
      <c r="G1463" s="1478" t="s">
        <v>459</v>
      </c>
      <c r="H1463" s="1474" t="s">
        <v>1656</v>
      </c>
      <c r="I1463" s="1478" t="s">
        <v>809</v>
      </c>
      <c r="J1463" s="1478"/>
      <c r="K1463" s="1475" t="s">
        <v>848</v>
      </c>
      <c r="L1463" s="1474" t="s">
        <v>45</v>
      </c>
      <c r="M1463" s="1476" t="s">
        <v>842</v>
      </c>
      <c r="N1463" s="1477" t="s">
        <v>1692</v>
      </c>
      <c r="O1463" s="1479">
        <v>43</v>
      </c>
      <c r="P1463" s="1479"/>
      <c r="Q1463" s="1142">
        <f t="shared" si="397"/>
        <v>43</v>
      </c>
      <c r="R1463" s="1143">
        <f>IFERROR(VLOOKUP(CONCATENATE(E1463,G1463),'LAC 103'!$A$12:$O$95,11,FALSE),0)</f>
        <v>4.7723158393158576</v>
      </c>
      <c r="S1463" s="1144">
        <f>IFERROR(VLOOKUP(CONCATENATE($E1463,$G1463),'LAC 103'!$A$12:$O$95,12,FALSE),0)</f>
        <v>5.91</v>
      </c>
      <c r="T1463" s="1144">
        <f>IFERROR(VLOOKUP(CONCATENATE($E1463,$G1463),'LAC 103'!$A$12:$O$95,13,FALSE),0)</f>
        <v>3.69</v>
      </c>
      <c r="U1463" s="1144">
        <f>IFERROR(VLOOKUP(CONCATENATE($E1463,$G1463),'LAC 103'!$A$12:$O$95,14,FALSE),0)</f>
        <v>0</v>
      </c>
      <c r="V1463" s="1144">
        <f>IFERROR(VLOOKUP(CONCATENATE($E1463,$G1463),'LAC 103'!$A$12:$O$95,15,FALSE),0)</f>
        <v>0</v>
      </c>
      <c r="W1463" s="1145" t="str">
        <f>IFERROR(VLOOKUP(CONCATENATE($B1463,$N1463),'LAC 103'!$AI:$AQ,9,FALSE),"")</f>
        <v>Costs</v>
      </c>
      <c r="X1463" s="1146">
        <f t="shared" si="402"/>
        <v>4.7723158393158576</v>
      </c>
      <c r="Y1463" s="1143">
        <f t="shared" si="413"/>
        <v>205.20958109058188</v>
      </c>
      <c r="Z1463" s="1147">
        <f t="shared" si="403"/>
        <v>254.13</v>
      </c>
      <c r="AA1463" s="1144">
        <f t="shared" si="404"/>
        <v>158.66999999999999</v>
      </c>
      <c r="AB1463" s="1144">
        <f t="shared" si="405"/>
        <v>0</v>
      </c>
      <c r="AC1463" s="1144">
        <f t="shared" si="406"/>
        <v>0</v>
      </c>
      <c r="AD1463" s="1148">
        <f t="shared" si="398"/>
        <v>205.20958109058188</v>
      </c>
      <c r="AE1463" s="1487">
        <v>0</v>
      </c>
      <c r="AF1463" s="1145">
        <f t="shared" si="407"/>
        <v>205.20958109058188</v>
      </c>
      <c r="AG1463" s="1149">
        <f>IFERROR(VLOOKUP(CONCATENATE($L1463,$N1463),'Drop List'!$G$23:$K$87,2,FALSE),0)</f>
        <v>0.69340000000000002</v>
      </c>
      <c r="AH1463" s="1150">
        <f>IFERROR(VLOOKUP(CONCATENATE($L1463,$N1463),'Drop List'!$G$23:$K$87,3,FALSE),0)</f>
        <v>0.30659999999999998</v>
      </c>
      <c r="AI1463" s="1150">
        <f>IFERROR(VLOOKUP(CONCATENATE($L1463,$N1463),'Drop List'!$G$23:$K$87,4,FALSE),0)</f>
        <v>0</v>
      </c>
      <c r="AJ1463" s="1151">
        <f>IFERROR(VLOOKUP(CONCATENATE($L1463,$N1463),'Drop List'!$G$23:$K$87,5,FALSE),0)</f>
        <v>0</v>
      </c>
      <c r="AK1463" s="1152">
        <f t="shared" si="408"/>
        <v>142.29232352820947</v>
      </c>
      <c r="AL1463" s="1153">
        <f t="shared" si="409"/>
        <v>62.917257562372399</v>
      </c>
      <c r="AM1463" s="1153">
        <f t="shared" si="410"/>
        <v>0</v>
      </c>
      <c r="AN1463" s="1145">
        <f t="shared" si="411"/>
        <v>0</v>
      </c>
      <c r="AO1463" s="1154">
        <f t="shared" si="412"/>
        <v>205.20958109058188</v>
      </c>
      <c r="AP1463" s="1147">
        <f t="shared" si="399"/>
        <v>0</v>
      </c>
      <c r="AQ1463" s="1144">
        <f t="shared" si="400"/>
        <v>0</v>
      </c>
      <c r="AR1463" s="1146">
        <f t="shared" si="401"/>
        <v>205.20958109058188</v>
      </c>
    </row>
    <row r="1464" spans="1:44" x14ac:dyDescent="0.2">
      <c r="A1464" s="1141" t="str">
        <f t="shared" si="414"/>
        <v>1577</v>
      </c>
      <c r="B1464" s="1141" t="str">
        <f>IFERROR(VLOOKUP(A1464,'LAC 103'!A:C,3,FALSE),"")</f>
        <v>OP</v>
      </c>
      <c r="C1464" s="1478" t="str">
        <f>Info!$B$8</f>
        <v>00100</v>
      </c>
      <c r="D1464" s="1474" t="s">
        <v>256</v>
      </c>
      <c r="E1464" s="1474" t="s">
        <v>95</v>
      </c>
      <c r="F1464" s="1478" t="s">
        <v>459</v>
      </c>
      <c r="G1464" s="1478" t="s">
        <v>459</v>
      </c>
      <c r="H1464" s="1474" t="s">
        <v>1656</v>
      </c>
      <c r="I1464" s="1478" t="s">
        <v>809</v>
      </c>
      <c r="J1464" s="1478"/>
      <c r="K1464" s="1475" t="s">
        <v>849</v>
      </c>
      <c r="L1464" s="1474" t="s">
        <v>77</v>
      </c>
      <c r="M1464" s="1476" t="s">
        <v>1699</v>
      </c>
      <c r="N1464" s="1477" t="s">
        <v>1694</v>
      </c>
      <c r="O1464" s="1479">
        <v>151</v>
      </c>
      <c r="P1464" s="1479"/>
      <c r="Q1464" s="1142">
        <f t="shared" si="397"/>
        <v>151</v>
      </c>
      <c r="R1464" s="1143">
        <f>IFERROR(VLOOKUP(CONCATENATE(E1464,G1464),'LAC 103'!$A$12:$O$95,11,FALSE),0)</f>
        <v>4.7723158393158576</v>
      </c>
      <c r="S1464" s="1144">
        <f>IFERROR(VLOOKUP(CONCATENATE($E1464,$G1464),'LAC 103'!$A$12:$O$95,12,FALSE),0)</f>
        <v>5.91</v>
      </c>
      <c r="T1464" s="1144">
        <f>IFERROR(VLOOKUP(CONCATENATE($E1464,$G1464),'LAC 103'!$A$12:$O$95,13,FALSE),0)</f>
        <v>3.69</v>
      </c>
      <c r="U1464" s="1144">
        <f>IFERROR(VLOOKUP(CONCATENATE($E1464,$G1464),'LAC 103'!$A$12:$O$95,14,FALSE),0)</f>
        <v>0</v>
      </c>
      <c r="V1464" s="1144">
        <f>IFERROR(VLOOKUP(CONCATENATE($E1464,$G1464),'LAC 103'!$A$12:$O$95,15,FALSE),0)</f>
        <v>0</v>
      </c>
      <c r="W1464" s="1145" t="str">
        <f>IFERROR(VLOOKUP(CONCATENATE($B1464,$N1464),'LAC 103'!$AI:$AQ,9,FALSE),"")</f>
        <v>Costs</v>
      </c>
      <c r="X1464" s="1146">
        <f t="shared" si="402"/>
        <v>4.7723158393158576</v>
      </c>
      <c r="Y1464" s="1143">
        <f t="shared" si="413"/>
        <v>720.61969173669445</v>
      </c>
      <c r="Z1464" s="1147">
        <f t="shared" si="403"/>
        <v>892.41</v>
      </c>
      <c r="AA1464" s="1144">
        <f t="shared" si="404"/>
        <v>557.18999999999994</v>
      </c>
      <c r="AB1464" s="1144">
        <f t="shared" si="405"/>
        <v>0</v>
      </c>
      <c r="AC1464" s="1144">
        <f t="shared" si="406"/>
        <v>0</v>
      </c>
      <c r="AD1464" s="1148">
        <f t="shared" si="398"/>
        <v>720.61969173669445</v>
      </c>
      <c r="AE1464" s="1487">
        <v>0</v>
      </c>
      <c r="AF1464" s="1145">
        <f t="shared" si="407"/>
        <v>720.61969173669445</v>
      </c>
      <c r="AG1464" s="1149">
        <f>IFERROR(VLOOKUP(CONCATENATE($L1464,$N1464),'Drop List'!$G$23:$K$87,2,FALSE),0)</f>
        <v>0.9</v>
      </c>
      <c r="AH1464" s="1150">
        <f>IFERROR(VLOOKUP(CONCATENATE($L1464,$N1464),'Drop List'!$G$23:$K$87,3,FALSE),0)</f>
        <v>0</v>
      </c>
      <c r="AI1464" s="1150">
        <f>IFERROR(VLOOKUP(CONCATENATE($L1464,$N1464),'Drop List'!$G$23:$K$87,4,FALSE),0)</f>
        <v>0.1</v>
      </c>
      <c r="AJ1464" s="1151">
        <f>IFERROR(VLOOKUP(CONCATENATE($L1464,$N1464),'Drop List'!$G$23:$K$87,5,FALSE),0)</f>
        <v>0</v>
      </c>
      <c r="AK1464" s="1152">
        <f t="shared" si="408"/>
        <v>648.55772256302498</v>
      </c>
      <c r="AL1464" s="1153">
        <f t="shared" si="409"/>
        <v>0</v>
      </c>
      <c r="AM1464" s="1153">
        <f t="shared" si="410"/>
        <v>72.061969173669453</v>
      </c>
      <c r="AN1464" s="1145">
        <f t="shared" si="411"/>
        <v>0</v>
      </c>
      <c r="AO1464" s="1154">
        <f t="shared" si="412"/>
        <v>720.61969173669445</v>
      </c>
      <c r="AP1464" s="1147">
        <f t="shared" si="399"/>
        <v>0</v>
      </c>
      <c r="AQ1464" s="1144">
        <f t="shared" si="400"/>
        <v>0</v>
      </c>
      <c r="AR1464" s="1146">
        <f t="shared" si="401"/>
        <v>720.61969173669445</v>
      </c>
    </row>
    <row r="1465" spans="1:44" x14ac:dyDescent="0.2">
      <c r="A1465" s="1141" t="str">
        <f t="shared" si="414"/>
        <v>1577</v>
      </c>
      <c r="B1465" s="1141" t="str">
        <f>IFERROR(VLOOKUP(A1465,'LAC 103'!A:C,3,FALSE),"")</f>
        <v>OP</v>
      </c>
      <c r="C1465" s="1478" t="str">
        <f>Info!$B$8</f>
        <v>00100</v>
      </c>
      <c r="D1465" s="1474" t="s">
        <v>256</v>
      </c>
      <c r="E1465" s="1474" t="s">
        <v>95</v>
      </c>
      <c r="F1465" s="1478" t="s">
        <v>459</v>
      </c>
      <c r="G1465" s="1478" t="s">
        <v>459</v>
      </c>
      <c r="H1465" s="1474" t="s">
        <v>1656</v>
      </c>
      <c r="I1465" s="1478" t="s">
        <v>809</v>
      </c>
      <c r="J1465" s="1478"/>
      <c r="K1465" s="1475" t="s">
        <v>849</v>
      </c>
      <c r="L1465" s="1474" t="s">
        <v>77</v>
      </c>
      <c r="M1465" s="1476" t="s">
        <v>840</v>
      </c>
      <c r="N1465" s="1477" t="s">
        <v>1700</v>
      </c>
      <c r="O1465" s="1479">
        <v>51</v>
      </c>
      <c r="P1465" s="1479"/>
      <c r="Q1465" s="1142">
        <f t="shared" si="397"/>
        <v>51</v>
      </c>
      <c r="R1465" s="1143">
        <f>IFERROR(VLOOKUP(CONCATENATE(E1465,G1465),'LAC 103'!$A$12:$O$95,11,FALSE),0)</f>
        <v>4.7723158393158576</v>
      </c>
      <c r="S1465" s="1144">
        <f>IFERROR(VLOOKUP(CONCATENATE($E1465,$G1465),'LAC 103'!$A$12:$O$95,12,FALSE),0)</f>
        <v>5.91</v>
      </c>
      <c r="T1465" s="1144">
        <f>IFERROR(VLOOKUP(CONCATENATE($E1465,$G1465),'LAC 103'!$A$12:$O$95,13,FALSE),0)</f>
        <v>3.69</v>
      </c>
      <c r="U1465" s="1144">
        <f>IFERROR(VLOOKUP(CONCATENATE($E1465,$G1465),'LAC 103'!$A$12:$O$95,14,FALSE),0)</f>
        <v>0</v>
      </c>
      <c r="V1465" s="1144">
        <f>IFERROR(VLOOKUP(CONCATENATE($E1465,$G1465),'LAC 103'!$A$12:$O$95,15,FALSE),0)</f>
        <v>0</v>
      </c>
      <c r="W1465" s="1145" t="str">
        <f>IFERROR(VLOOKUP(CONCATENATE($B1465,$N1465),'LAC 103'!$AI:$AQ,9,FALSE),"")</f>
        <v>P.C.</v>
      </c>
      <c r="X1465" s="1146">
        <f t="shared" si="402"/>
        <v>3.69</v>
      </c>
      <c r="Y1465" s="1143">
        <f t="shared" si="413"/>
        <v>243.38810780510875</v>
      </c>
      <c r="Z1465" s="1147">
        <f t="shared" si="403"/>
        <v>301.41000000000003</v>
      </c>
      <c r="AA1465" s="1144">
        <f t="shared" si="404"/>
        <v>188.19</v>
      </c>
      <c r="AB1465" s="1144">
        <f t="shared" si="405"/>
        <v>0</v>
      </c>
      <c r="AC1465" s="1144">
        <f t="shared" si="406"/>
        <v>0</v>
      </c>
      <c r="AD1465" s="1148">
        <f t="shared" si="398"/>
        <v>188.19</v>
      </c>
      <c r="AE1465" s="1487">
        <v>0</v>
      </c>
      <c r="AF1465" s="1145">
        <f t="shared" si="407"/>
        <v>188.19</v>
      </c>
      <c r="AG1465" s="1149">
        <f>IFERROR(VLOOKUP(CONCATENATE($L1465,$N1465),'Drop List'!$G$23:$K$87,2,FALSE),0)</f>
        <v>0.9</v>
      </c>
      <c r="AH1465" s="1150">
        <f>IFERROR(VLOOKUP(CONCATENATE($L1465,$N1465),'Drop List'!$G$23:$K$87,3,FALSE),0)</f>
        <v>0</v>
      </c>
      <c r="AI1465" s="1150">
        <f>IFERROR(VLOOKUP(CONCATENATE($L1465,$N1465),'Drop List'!$G$23:$K$87,4,FALSE),0)</f>
        <v>0.1</v>
      </c>
      <c r="AJ1465" s="1151">
        <f>IFERROR(VLOOKUP(CONCATENATE($L1465,$N1465),'Drop List'!$G$23:$K$87,5,FALSE),0)</f>
        <v>0</v>
      </c>
      <c r="AK1465" s="1152">
        <f t="shared" si="408"/>
        <v>169.37100000000001</v>
      </c>
      <c r="AL1465" s="1153">
        <f t="shared" si="409"/>
        <v>0</v>
      </c>
      <c r="AM1465" s="1153">
        <f t="shared" si="410"/>
        <v>18.818999999999999</v>
      </c>
      <c r="AN1465" s="1145">
        <f t="shared" si="411"/>
        <v>0</v>
      </c>
      <c r="AO1465" s="1154">
        <f t="shared" si="412"/>
        <v>188.19</v>
      </c>
      <c r="AP1465" s="1147">
        <f t="shared" si="399"/>
        <v>0</v>
      </c>
      <c r="AQ1465" s="1144">
        <f t="shared" si="400"/>
        <v>0</v>
      </c>
      <c r="AR1465" s="1146">
        <f t="shared" si="401"/>
        <v>188.19</v>
      </c>
    </row>
    <row r="1466" spans="1:44" x14ac:dyDescent="0.2">
      <c r="A1466" s="1141" t="str">
        <f t="shared" si="414"/>
        <v>1577</v>
      </c>
      <c r="B1466" s="1141" t="str">
        <f>IFERROR(VLOOKUP(A1466,'LAC 103'!A:C,3,FALSE),"")</f>
        <v>OP</v>
      </c>
      <c r="C1466" s="1478" t="str">
        <f>Info!$B$8</f>
        <v>00100</v>
      </c>
      <c r="D1466" s="1474" t="s">
        <v>256</v>
      </c>
      <c r="E1466" s="1474" t="s">
        <v>95</v>
      </c>
      <c r="F1466" s="1478" t="s">
        <v>459</v>
      </c>
      <c r="G1466" s="1478" t="s">
        <v>459</v>
      </c>
      <c r="H1466" s="1474" t="s">
        <v>1656</v>
      </c>
      <c r="I1466" s="1478" t="s">
        <v>809</v>
      </c>
      <c r="J1466" s="1478"/>
      <c r="K1466" s="1475" t="s">
        <v>849</v>
      </c>
      <c r="L1466" s="1474" t="s">
        <v>77</v>
      </c>
      <c r="M1466" s="1476" t="s">
        <v>842</v>
      </c>
      <c r="N1466" s="1477" t="s">
        <v>1692</v>
      </c>
      <c r="O1466" s="1479">
        <v>228</v>
      </c>
      <c r="P1466" s="1479"/>
      <c r="Q1466" s="1142">
        <f t="shared" si="397"/>
        <v>228</v>
      </c>
      <c r="R1466" s="1143">
        <f>IFERROR(VLOOKUP(CONCATENATE(E1466,G1466),'LAC 103'!$A$12:$O$95,11,FALSE),0)</f>
        <v>4.7723158393158576</v>
      </c>
      <c r="S1466" s="1144">
        <f>IFERROR(VLOOKUP(CONCATENATE($E1466,$G1466),'LAC 103'!$A$12:$O$95,12,FALSE),0)</f>
        <v>5.91</v>
      </c>
      <c r="T1466" s="1144">
        <f>IFERROR(VLOOKUP(CONCATENATE($E1466,$G1466),'LAC 103'!$A$12:$O$95,13,FALSE),0)</f>
        <v>3.69</v>
      </c>
      <c r="U1466" s="1144">
        <f>IFERROR(VLOOKUP(CONCATENATE($E1466,$G1466),'LAC 103'!$A$12:$O$95,14,FALSE),0)</f>
        <v>0</v>
      </c>
      <c r="V1466" s="1144">
        <f>IFERROR(VLOOKUP(CONCATENATE($E1466,$G1466),'LAC 103'!$A$12:$O$95,15,FALSE),0)</f>
        <v>0</v>
      </c>
      <c r="W1466" s="1145" t="str">
        <f>IFERROR(VLOOKUP(CONCATENATE($B1466,$N1466),'LAC 103'!$AI:$AQ,9,FALSE),"")</f>
        <v>Costs</v>
      </c>
      <c r="X1466" s="1146">
        <f t="shared" si="402"/>
        <v>4.7723158393158576</v>
      </c>
      <c r="Y1466" s="1143">
        <f t="shared" si="413"/>
        <v>1088.0880113640155</v>
      </c>
      <c r="Z1466" s="1147">
        <f t="shared" si="403"/>
        <v>1347.48</v>
      </c>
      <c r="AA1466" s="1144">
        <f t="shared" si="404"/>
        <v>841.31999999999994</v>
      </c>
      <c r="AB1466" s="1144">
        <f t="shared" si="405"/>
        <v>0</v>
      </c>
      <c r="AC1466" s="1144">
        <f t="shared" si="406"/>
        <v>0</v>
      </c>
      <c r="AD1466" s="1148">
        <f t="shared" si="398"/>
        <v>1088.0880113640155</v>
      </c>
      <c r="AE1466" s="1487">
        <v>0</v>
      </c>
      <c r="AF1466" s="1145">
        <f t="shared" si="407"/>
        <v>1088.0880113640155</v>
      </c>
      <c r="AG1466" s="1149">
        <f>IFERROR(VLOOKUP(CONCATENATE($L1466,$N1466),'Drop List'!$G$23:$K$87,2,FALSE),0)</f>
        <v>0.9</v>
      </c>
      <c r="AH1466" s="1150">
        <f>IFERROR(VLOOKUP(CONCATENATE($L1466,$N1466),'Drop List'!$G$23:$K$87,3,FALSE),0)</f>
        <v>0</v>
      </c>
      <c r="AI1466" s="1150">
        <f>IFERROR(VLOOKUP(CONCATENATE($L1466,$N1466),'Drop List'!$G$23:$K$87,4,FALSE),0)</f>
        <v>0.1</v>
      </c>
      <c r="AJ1466" s="1151">
        <f>IFERROR(VLOOKUP(CONCATENATE($L1466,$N1466),'Drop List'!$G$23:$K$87,5,FALSE),0)</f>
        <v>0</v>
      </c>
      <c r="AK1466" s="1152">
        <f t="shared" si="408"/>
        <v>979.27921022761404</v>
      </c>
      <c r="AL1466" s="1153">
        <f t="shared" si="409"/>
        <v>0</v>
      </c>
      <c r="AM1466" s="1153">
        <f t="shared" si="410"/>
        <v>108.80880113640156</v>
      </c>
      <c r="AN1466" s="1145">
        <f t="shared" si="411"/>
        <v>0</v>
      </c>
      <c r="AO1466" s="1154">
        <f t="shared" si="412"/>
        <v>1088.0880113640155</v>
      </c>
      <c r="AP1466" s="1147">
        <f t="shared" si="399"/>
        <v>0</v>
      </c>
      <c r="AQ1466" s="1144">
        <f t="shared" si="400"/>
        <v>0</v>
      </c>
      <c r="AR1466" s="1146">
        <f t="shared" si="401"/>
        <v>1088.0880113640155</v>
      </c>
    </row>
    <row r="1467" spans="1:44" x14ac:dyDescent="0.2">
      <c r="A1467" s="1141" t="str">
        <f t="shared" si="414"/>
        <v>1577</v>
      </c>
      <c r="B1467" s="1141" t="str">
        <f>IFERROR(VLOOKUP(A1467,'LAC 103'!A:C,3,FALSE),"")</f>
        <v>OP</v>
      </c>
      <c r="C1467" s="1478" t="str">
        <f>Info!$B$8</f>
        <v>00100</v>
      </c>
      <c r="D1467" s="1474" t="s">
        <v>256</v>
      </c>
      <c r="E1467" s="1474" t="s">
        <v>95</v>
      </c>
      <c r="F1467" s="1478" t="s">
        <v>459</v>
      </c>
      <c r="G1467" s="1478" t="s">
        <v>459</v>
      </c>
      <c r="H1467" s="1474" t="s">
        <v>1656</v>
      </c>
      <c r="I1467" s="1478" t="s">
        <v>809</v>
      </c>
      <c r="J1467" s="1478"/>
      <c r="K1467" s="1475" t="s">
        <v>849</v>
      </c>
      <c r="L1467" s="1474" t="s">
        <v>77</v>
      </c>
      <c r="M1467" s="1476" t="s">
        <v>1698</v>
      </c>
      <c r="N1467" s="1477" t="s">
        <v>1693</v>
      </c>
      <c r="O1467" s="1479">
        <v>97</v>
      </c>
      <c r="P1467" s="1479"/>
      <c r="Q1467" s="1142">
        <f t="shared" si="397"/>
        <v>97</v>
      </c>
      <c r="R1467" s="1143">
        <f>IFERROR(VLOOKUP(CONCATENATE(E1467,G1467),'LAC 103'!$A$12:$O$95,11,FALSE),0)</f>
        <v>4.7723158393158576</v>
      </c>
      <c r="S1467" s="1144">
        <f>IFERROR(VLOOKUP(CONCATENATE($E1467,$G1467),'LAC 103'!$A$12:$O$95,12,FALSE),0)</f>
        <v>5.91</v>
      </c>
      <c r="T1467" s="1144">
        <f>IFERROR(VLOOKUP(CONCATENATE($E1467,$G1467),'LAC 103'!$A$12:$O$95,13,FALSE),0)</f>
        <v>3.69</v>
      </c>
      <c r="U1467" s="1144">
        <f>IFERROR(VLOOKUP(CONCATENATE($E1467,$G1467),'LAC 103'!$A$12:$O$95,14,FALSE),0)</f>
        <v>0</v>
      </c>
      <c r="V1467" s="1144">
        <f>IFERROR(VLOOKUP(CONCATENATE($E1467,$G1467),'LAC 103'!$A$12:$O$95,15,FALSE),0)</f>
        <v>0</v>
      </c>
      <c r="W1467" s="1145" t="str">
        <f>IFERROR(VLOOKUP(CONCATENATE($B1467,$N1467),'LAC 103'!$AI:$AQ,9,FALSE),"")</f>
        <v>Costs</v>
      </c>
      <c r="X1467" s="1146">
        <f t="shared" si="402"/>
        <v>4.7723158393158576</v>
      </c>
      <c r="Y1467" s="1143">
        <f t="shared" si="413"/>
        <v>462.91463641363816</v>
      </c>
      <c r="Z1467" s="1147">
        <f t="shared" si="403"/>
        <v>573.27</v>
      </c>
      <c r="AA1467" s="1144">
        <f t="shared" si="404"/>
        <v>357.93</v>
      </c>
      <c r="AB1467" s="1144">
        <f t="shared" si="405"/>
        <v>0</v>
      </c>
      <c r="AC1467" s="1144">
        <f t="shared" si="406"/>
        <v>0</v>
      </c>
      <c r="AD1467" s="1148">
        <f t="shared" si="398"/>
        <v>462.91463641363816</v>
      </c>
      <c r="AE1467" s="1487">
        <v>0</v>
      </c>
      <c r="AF1467" s="1145">
        <f t="shared" si="407"/>
        <v>462.91463641363816</v>
      </c>
      <c r="AG1467" s="1149">
        <f>IFERROR(VLOOKUP(CONCATENATE($L1467,$N1467),'Drop List'!$G$23:$K$87,2,FALSE),0)</f>
        <v>0.9</v>
      </c>
      <c r="AH1467" s="1150">
        <f>IFERROR(VLOOKUP(CONCATENATE($L1467,$N1467),'Drop List'!$G$23:$K$87,3,FALSE),0)</f>
        <v>0</v>
      </c>
      <c r="AI1467" s="1150">
        <f>IFERROR(VLOOKUP(CONCATENATE($L1467,$N1467),'Drop List'!$G$23:$K$87,4,FALSE),0)</f>
        <v>0.1</v>
      </c>
      <c r="AJ1467" s="1151">
        <f>IFERROR(VLOOKUP(CONCATENATE($L1467,$N1467),'Drop List'!$G$23:$K$87,5,FALSE),0)</f>
        <v>0</v>
      </c>
      <c r="AK1467" s="1152">
        <f t="shared" si="408"/>
        <v>416.62317277227436</v>
      </c>
      <c r="AL1467" s="1153">
        <f t="shared" si="409"/>
        <v>0</v>
      </c>
      <c r="AM1467" s="1153">
        <f t="shared" si="410"/>
        <v>46.291463641363819</v>
      </c>
      <c r="AN1467" s="1145">
        <f t="shared" si="411"/>
        <v>0</v>
      </c>
      <c r="AO1467" s="1154">
        <f t="shared" si="412"/>
        <v>462.91463641363816</v>
      </c>
      <c r="AP1467" s="1147">
        <f t="shared" si="399"/>
        <v>0</v>
      </c>
      <c r="AQ1467" s="1144">
        <f t="shared" si="400"/>
        <v>0</v>
      </c>
      <c r="AR1467" s="1146">
        <f t="shared" si="401"/>
        <v>462.91463641363816</v>
      </c>
    </row>
    <row r="1468" spans="1:44" x14ac:dyDescent="0.2">
      <c r="A1468" s="1141" t="str">
        <f t="shared" si="414"/>
        <v>1577</v>
      </c>
      <c r="B1468" s="1141" t="str">
        <f>IFERROR(VLOOKUP(A1468,'LAC 103'!A:C,3,FALSE),"")</f>
        <v>OP</v>
      </c>
      <c r="C1468" s="1478" t="str">
        <f>Info!$B$8</f>
        <v>00100</v>
      </c>
      <c r="D1468" s="1474" t="s">
        <v>256</v>
      </c>
      <c r="E1468" s="1474" t="s">
        <v>95</v>
      </c>
      <c r="F1468" s="1478" t="s">
        <v>459</v>
      </c>
      <c r="G1468" s="1478" t="s">
        <v>459</v>
      </c>
      <c r="H1468" s="1474" t="s">
        <v>1656</v>
      </c>
      <c r="I1468" s="1478" t="s">
        <v>809</v>
      </c>
      <c r="J1468" s="1478"/>
      <c r="K1468" s="1475" t="s">
        <v>851</v>
      </c>
      <c r="L1468" s="1474" t="s">
        <v>584</v>
      </c>
      <c r="M1468" s="1476" t="s">
        <v>1699</v>
      </c>
      <c r="N1468" s="1477" t="s">
        <v>1694</v>
      </c>
      <c r="O1468" s="1479">
        <v>475</v>
      </c>
      <c r="P1468" s="1479"/>
      <c r="Q1468" s="1142">
        <f t="shared" ref="Q1468:Q1531" si="415">O1468+P1468</f>
        <v>475</v>
      </c>
      <c r="R1468" s="1143">
        <f>IFERROR(VLOOKUP(CONCATENATE(E1468,G1468),'LAC 103'!$A$12:$O$95,11,FALSE),0)</f>
        <v>4.7723158393158576</v>
      </c>
      <c r="S1468" s="1144">
        <f>IFERROR(VLOOKUP(CONCATENATE($E1468,$G1468),'LAC 103'!$A$12:$O$95,12,FALSE),0)</f>
        <v>5.91</v>
      </c>
      <c r="T1468" s="1144">
        <f>IFERROR(VLOOKUP(CONCATENATE($E1468,$G1468),'LAC 103'!$A$12:$O$95,13,FALSE),0)</f>
        <v>3.69</v>
      </c>
      <c r="U1468" s="1144">
        <f>IFERROR(VLOOKUP(CONCATENATE($E1468,$G1468),'LAC 103'!$A$12:$O$95,14,FALSE),0)</f>
        <v>0</v>
      </c>
      <c r="V1468" s="1144">
        <f>IFERROR(VLOOKUP(CONCATENATE($E1468,$G1468),'LAC 103'!$A$12:$O$95,15,FALSE),0)</f>
        <v>0</v>
      </c>
      <c r="W1468" s="1145" t="str">
        <f>IFERROR(VLOOKUP(CONCATENATE($B1468,$N1468),'LAC 103'!$AI:$AQ,9,FALSE),"")</f>
        <v>Costs</v>
      </c>
      <c r="X1468" s="1146">
        <f t="shared" si="402"/>
        <v>4.7723158393158576</v>
      </c>
      <c r="Y1468" s="1143">
        <f t="shared" si="413"/>
        <v>2266.8500236750324</v>
      </c>
      <c r="Z1468" s="1147">
        <f t="shared" si="403"/>
        <v>2807.25</v>
      </c>
      <c r="AA1468" s="1144">
        <f t="shared" si="404"/>
        <v>1752.75</v>
      </c>
      <c r="AB1468" s="1144">
        <f t="shared" si="405"/>
        <v>0</v>
      </c>
      <c r="AC1468" s="1144">
        <f t="shared" si="406"/>
        <v>0</v>
      </c>
      <c r="AD1468" s="1148">
        <f t="shared" si="398"/>
        <v>2266.8500236750324</v>
      </c>
      <c r="AE1468" s="1487">
        <v>0</v>
      </c>
      <c r="AF1468" s="1145">
        <f t="shared" si="407"/>
        <v>2266.8500236750324</v>
      </c>
      <c r="AG1468" s="1149">
        <f>IFERROR(VLOOKUP(CONCATENATE($L1468,$N1468),'Drop List'!$G$23:$K$87,2,FALSE),0)</f>
        <v>0.56200000000000006</v>
      </c>
      <c r="AH1468" s="1150">
        <f>IFERROR(VLOOKUP(CONCATENATE($L1468,$N1468),'Drop List'!$G$23:$K$87,3,FALSE),0)</f>
        <v>0</v>
      </c>
      <c r="AI1468" s="1150">
        <f>IFERROR(VLOOKUP(CONCATENATE($L1468,$N1468),'Drop List'!$G$23:$K$87,4,FALSE),0)</f>
        <v>0</v>
      </c>
      <c r="AJ1468" s="1151">
        <f>IFERROR(VLOOKUP(CONCATENATE($L1468,$N1468),'Drop List'!$G$23:$K$87,5,FALSE),0)</f>
        <v>0.43799999999999994</v>
      </c>
      <c r="AK1468" s="1152">
        <f t="shared" si="408"/>
        <v>1273.9697133053683</v>
      </c>
      <c r="AL1468" s="1153">
        <f t="shared" si="409"/>
        <v>0</v>
      </c>
      <c r="AM1468" s="1153">
        <f t="shared" si="410"/>
        <v>0</v>
      </c>
      <c r="AN1468" s="1145">
        <f t="shared" si="411"/>
        <v>992.88031036966402</v>
      </c>
      <c r="AO1468" s="1154">
        <f t="shared" si="412"/>
        <v>2266.8500236750324</v>
      </c>
      <c r="AP1468" s="1147">
        <f t="shared" si="399"/>
        <v>0</v>
      </c>
      <c r="AQ1468" s="1144">
        <f t="shared" si="400"/>
        <v>0</v>
      </c>
      <c r="AR1468" s="1146">
        <f t="shared" si="401"/>
        <v>2266.8500236750324</v>
      </c>
    </row>
    <row r="1469" spans="1:44" x14ac:dyDescent="0.2">
      <c r="A1469" s="1141" t="str">
        <f t="shared" si="414"/>
        <v>1577</v>
      </c>
      <c r="B1469" s="1141" t="str">
        <f>IFERROR(VLOOKUP(A1469,'LAC 103'!A:C,3,FALSE),"")</f>
        <v>OP</v>
      </c>
      <c r="C1469" s="1478" t="str">
        <f>Info!$B$8</f>
        <v>00100</v>
      </c>
      <c r="D1469" s="1474" t="s">
        <v>256</v>
      </c>
      <c r="E1469" s="1474" t="s">
        <v>95</v>
      </c>
      <c r="F1469" s="1478" t="s">
        <v>459</v>
      </c>
      <c r="G1469" s="1478" t="s">
        <v>459</v>
      </c>
      <c r="H1469" s="1474" t="s">
        <v>1656</v>
      </c>
      <c r="I1469" s="1478" t="s">
        <v>809</v>
      </c>
      <c r="J1469" s="1478"/>
      <c r="K1469" s="1475" t="s">
        <v>851</v>
      </c>
      <c r="L1469" s="1474" t="s">
        <v>584</v>
      </c>
      <c r="M1469" s="1476" t="s">
        <v>841</v>
      </c>
      <c r="N1469" s="1477" t="s">
        <v>1695</v>
      </c>
      <c r="O1469" s="1479">
        <v>43</v>
      </c>
      <c r="P1469" s="1479"/>
      <c r="Q1469" s="1142">
        <f t="shared" si="415"/>
        <v>43</v>
      </c>
      <c r="R1469" s="1143">
        <f>IFERROR(VLOOKUP(CONCATENATE(E1469,G1469),'LAC 103'!$A$12:$O$95,11,FALSE),0)</f>
        <v>4.7723158393158576</v>
      </c>
      <c r="S1469" s="1144">
        <f>IFERROR(VLOOKUP(CONCATENATE($E1469,$G1469),'LAC 103'!$A$12:$O$95,12,FALSE),0)</f>
        <v>5.91</v>
      </c>
      <c r="T1469" s="1144">
        <f>IFERROR(VLOOKUP(CONCATENATE($E1469,$G1469),'LAC 103'!$A$12:$O$95,13,FALSE),0)</f>
        <v>3.69</v>
      </c>
      <c r="U1469" s="1144">
        <f>IFERROR(VLOOKUP(CONCATENATE($E1469,$G1469),'LAC 103'!$A$12:$O$95,14,FALSE),0)</f>
        <v>0</v>
      </c>
      <c r="V1469" s="1144">
        <f>IFERROR(VLOOKUP(CONCATENATE($E1469,$G1469),'LAC 103'!$A$12:$O$95,15,FALSE),0)</f>
        <v>0</v>
      </c>
      <c r="W1469" s="1145" t="str">
        <f>IFERROR(VLOOKUP(CONCATENATE($B1469,$N1469),'LAC 103'!$AI:$AQ,9,FALSE),"")</f>
        <v>Costs</v>
      </c>
      <c r="X1469" s="1146">
        <f t="shared" si="402"/>
        <v>4.7723158393158576</v>
      </c>
      <c r="Y1469" s="1143">
        <f t="shared" si="413"/>
        <v>205.20958109058188</v>
      </c>
      <c r="Z1469" s="1147">
        <f t="shared" si="403"/>
        <v>254.13</v>
      </c>
      <c r="AA1469" s="1144">
        <f t="shared" si="404"/>
        <v>158.66999999999999</v>
      </c>
      <c r="AB1469" s="1144">
        <f t="shared" si="405"/>
        <v>0</v>
      </c>
      <c r="AC1469" s="1144">
        <f t="shared" si="406"/>
        <v>0</v>
      </c>
      <c r="AD1469" s="1148">
        <f t="shared" si="398"/>
        <v>205.20958109058188</v>
      </c>
      <c r="AE1469" s="1487">
        <v>0</v>
      </c>
      <c r="AF1469" s="1145">
        <f t="shared" si="407"/>
        <v>205.20958109058188</v>
      </c>
      <c r="AG1469" s="1149">
        <f>IFERROR(VLOOKUP(CONCATENATE($L1469,$N1469),'Drop List'!$G$23:$K$87,2,FALSE),0)</f>
        <v>0.55000000000000004</v>
      </c>
      <c r="AH1469" s="1150">
        <f>IFERROR(VLOOKUP(CONCATENATE($L1469,$N1469),'Drop List'!$G$23:$K$87,3,FALSE),0)</f>
        <v>0</v>
      </c>
      <c r="AI1469" s="1150">
        <f>IFERROR(VLOOKUP(CONCATENATE($L1469,$N1469),'Drop List'!$G$23:$K$87,4,FALSE),0)</f>
        <v>0</v>
      </c>
      <c r="AJ1469" s="1151">
        <f>IFERROR(VLOOKUP(CONCATENATE($L1469,$N1469),'Drop List'!$G$23:$K$87,5,FALSE),0)</f>
        <v>0.44999999999999996</v>
      </c>
      <c r="AK1469" s="1152">
        <f t="shared" si="408"/>
        <v>112.86526959982004</v>
      </c>
      <c r="AL1469" s="1153">
        <f t="shared" si="409"/>
        <v>0</v>
      </c>
      <c r="AM1469" s="1153">
        <f t="shared" si="410"/>
        <v>0</v>
      </c>
      <c r="AN1469" s="1145">
        <f t="shared" si="411"/>
        <v>92.344311490761839</v>
      </c>
      <c r="AO1469" s="1154">
        <f t="shared" si="412"/>
        <v>205.20958109058188</v>
      </c>
      <c r="AP1469" s="1147">
        <f t="shared" si="399"/>
        <v>0</v>
      </c>
      <c r="AQ1469" s="1144">
        <f t="shared" si="400"/>
        <v>0</v>
      </c>
      <c r="AR1469" s="1146">
        <f t="shared" si="401"/>
        <v>205.20958109058188</v>
      </c>
    </row>
    <row r="1470" spans="1:44" x14ac:dyDescent="0.2">
      <c r="A1470" s="1141" t="str">
        <f t="shared" si="414"/>
        <v>1577</v>
      </c>
      <c r="B1470" s="1141" t="str">
        <f>IFERROR(VLOOKUP(A1470,'LAC 103'!A:C,3,FALSE),"")</f>
        <v>OP</v>
      </c>
      <c r="C1470" s="1478" t="str">
        <f>Info!$B$8</f>
        <v>00100</v>
      </c>
      <c r="D1470" s="1474" t="s">
        <v>256</v>
      </c>
      <c r="E1470" s="1474" t="s">
        <v>95</v>
      </c>
      <c r="F1470" s="1478" t="s">
        <v>459</v>
      </c>
      <c r="G1470" s="1478" t="s">
        <v>459</v>
      </c>
      <c r="H1470" s="1474" t="s">
        <v>1656</v>
      </c>
      <c r="I1470" s="1478" t="s">
        <v>809</v>
      </c>
      <c r="J1470" s="1478"/>
      <c r="K1470" s="1475" t="s">
        <v>851</v>
      </c>
      <c r="L1470" s="1474" t="s">
        <v>584</v>
      </c>
      <c r="M1470" s="1476" t="s">
        <v>842</v>
      </c>
      <c r="N1470" s="1477" t="s">
        <v>1692</v>
      </c>
      <c r="O1470" s="1479">
        <v>135</v>
      </c>
      <c r="P1470" s="1479"/>
      <c r="Q1470" s="1142">
        <f t="shared" si="415"/>
        <v>135</v>
      </c>
      <c r="R1470" s="1143">
        <f>IFERROR(VLOOKUP(CONCATENATE(E1470,G1470),'LAC 103'!$A$12:$O$95,11,FALSE),0)</f>
        <v>4.7723158393158576</v>
      </c>
      <c r="S1470" s="1144">
        <f>IFERROR(VLOOKUP(CONCATENATE($E1470,$G1470),'LAC 103'!$A$12:$O$95,12,FALSE),0)</f>
        <v>5.91</v>
      </c>
      <c r="T1470" s="1144">
        <f>IFERROR(VLOOKUP(CONCATENATE($E1470,$G1470),'LAC 103'!$A$12:$O$95,13,FALSE),0)</f>
        <v>3.69</v>
      </c>
      <c r="U1470" s="1144">
        <f>IFERROR(VLOOKUP(CONCATENATE($E1470,$G1470),'LAC 103'!$A$12:$O$95,14,FALSE),0)</f>
        <v>0</v>
      </c>
      <c r="V1470" s="1144">
        <f>IFERROR(VLOOKUP(CONCATENATE($E1470,$G1470),'LAC 103'!$A$12:$O$95,15,FALSE),0)</f>
        <v>0</v>
      </c>
      <c r="W1470" s="1145" t="str">
        <f>IFERROR(VLOOKUP(CONCATENATE($B1470,$N1470),'LAC 103'!$AI:$AQ,9,FALSE),"")</f>
        <v>Costs</v>
      </c>
      <c r="X1470" s="1146">
        <f t="shared" si="402"/>
        <v>4.7723158393158576</v>
      </c>
      <c r="Y1470" s="1143">
        <f t="shared" si="413"/>
        <v>644.26263830764083</v>
      </c>
      <c r="Z1470" s="1147">
        <f t="shared" si="403"/>
        <v>797.85</v>
      </c>
      <c r="AA1470" s="1144">
        <f t="shared" si="404"/>
        <v>498.15</v>
      </c>
      <c r="AB1470" s="1144">
        <f t="shared" si="405"/>
        <v>0</v>
      </c>
      <c r="AC1470" s="1144">
        <f t="shared" si="406"/>
        <v>0</v>
      </c>
      <c r="AD1470" s="1148">
        <f t="shared" si="398"/>
        <v>644.26263830764083</v>
      </c>
      <c r="AE1470" s="1487">
        <v>0</v>
      </c>
      <c r="AF1470" s="1145">
        <f t="shared" si="407"/>
        <v>644.26263830764083</v>
      </c>
      <c r="AG1470" s="1149">
        <f>IFERROR(VLOOKUP(CONCATENATE($L1470,$N1470),'Drop List'!$G$23:$K$87,2,FALSE),0)</f>
        <v>0.56200000000000006</v>
      </c>
      <c r="AH1470" s="1150">
        <f>IFERROR(VLOOKUP(CONCATENATE($L1470,$N1470),'Drop List'!$G$23:$K$87,3,FALSE),0)</f>
        <v>0</v>
      </c>
      <c r="AI1470" s="1150">
        <f>IFERROR(VLOOKUP(CONCATENATE($L1470,$N1470),'Drop List'!$G$23:$K$87,4,FALSE),0)</f>
        <v>0</v>
      </c>
      <c r="AJ1470" s="1151">
        <f>IFERROR(VLOOKUP(CONCATENATE($L1470,$N1470),'Drop List'!$G$23:$K$87,5,FALSE),0)</f>
        <v>0.43799999999999994</v>
      </c>
      <c r="AK1470" s="1152">
        <f t="shared" si="408"/>
        <v>362.07560272889418</v>
      </c>
      <c r="AL1470" s="1153">
        <f t="shared" si="409"/>
        <v>0</v>
      </c>
      <c r="AM1470" s="1153">
        <f t="shared" si="410"/>
        <v>0</v>
      </c>
      <c r="AN1470" s="1145">
        <f t="shared" si="411"/>
        <v>282.18703557874665</v>
      </c>
      <c r="AO1470" s="1154">
        <f t="shared" si="412"/>
        <v>644.26263830764083</v>
      </c>
      <c r="AP1470" s="1147">
        <f t="shared" si="399"/>
        <v>0</v>
      </c>
      <c r="AQ1470" s="1144">
        <f t="shared" si="400"/>
        <v>0</v>
      </c>
      <c r="AR1470" s="1146">
        <f t="shared" si="401"/>
        <v>644.26263830764083</v>
      </c>
    </row>
    <row r="1471" spans="1:44" x14ac:dyDescent="0.2">
      <c r="A1471" s="1141" t="str">
        <f t="shared" si="414"/>
        <v>1577</v>
      </c>
      <c r="B1471" s="1141" t="str">
        <f>IFERROR(VLOOKUP(A1471,'LAC 103'!A:C,3,FALSE),"")</f>
        <v>OP</v>
      </c>
      <c r="C1471" s="1478" t="str">
        <f>Info!$B$8</f>
        <v>00100</v>
      </c>
      <c r="D1471" s="1474" t="s">
        <v>256</v>
      </c>
      <c r="E1471" s="1474" t="s">
        <v>95</v>
      </c>
      <c r="F1471" s="1478" t="s">
        <v>459</v>
      </c>
      <c r="G1471" s="1478" t="s">
        <v>459</v>
      </c>
      <c r="H1471" s="1474" t="s">
        <v>1656</v>
      </c>
      <c r="I1471" s="1478" t="s">
        <v>809</v>
      </c>
      <c r="J1471" s="1478"/>
      <c r="K1471" s="1475" t="s">
        <v>851</v>
      </c>
      <c r="L1471" s="1474" t="s">
        <v>584</v>
      </c>
      <c r="M1471" s="1476" t="s">
        <v>1698</v>
      </c>
      <c r="N1471" s="1477" t="s">
        <v>1693</v>
      </c>
      <c r="O1471" s="1479">
        <v>191</v>
      </c>
      <c r="P1471" s="1479"/>
      <c r="Q1471" s="1142">
        <f t="shared" si="415"/>
        <v>191</v>
      </c>
      <c r="R1471" s="1143">
        <f>IFERROR(VLOOKUP(CONCATENATE(E1471,G1471),'LAC 103'!$A$12:$O$95,11,FALSE),0)</f>
        <v>4.7723158393158576</v>
      </c>
      <c r="S1471" s="1144">
        <f>IFERROR(VLOOKUP(CONCATENATE($E1471,$G1471),'LAC 103'!$A$12:$O$95,12,FALSE),0)</f>
        <v>5.91</v>
      </c>
      <c r="T1471" s="1144">
        <f>IFERROR(VLOOKUP(CONCATENATE($E1471,$G1471),'LAC 103'!$A$12:$O$95,13,FALSE),0)</f>
        <v>3.69</v>
      </c>
      <c r="U1471" s="1144">
        <f>IFERROR(VLOOKUP(CONCATENATE($E1471,$G1471),'LAC 103'!$A$12:$O$95,14,FALSE),0)</f>
        <v>0</v>
      </c>
      <c r="V1471" s="1144">
        <f>IFERROR(VLOOKUP(CONCATENATE($E1471,$G1471),'LAC 103'!$A$12:$O$95,15,FALSE),0)</f>
        <v>0</v>
      </c>
      <c r="W1471" s="1145" t="str">
        <f>IFERROR(VLOOKUP(CONCATENATE($B1471,$N1471),'LAC 103'!$AI:$AQ,9,FALSE),"")</f>
        <v>Costs</v>
      </c>
      <c r="X1471" s="1146">
        <f t="shared" si="402"/>
        <v>4.7723158393158576</v>
      </c>
      <c r="Y1471" s="1143">
        <f t="shared" si="413"/>
        <v>911.51232530932884</v>
      </c>
      <c r="Z1471" s="1147">
        <f t="shared" si="403"/>
        <v>1128.81</v>
      </c>
      <c r="AA1471" s="1144">
        <f t="shared" si="404"/>
        <v>704.79</v>
      </c>
      <c r="AB1471" s="1144">
        <f t="shared" si="405"/>
        <v>0</v>
      </c>
      <c r="AC1471" s="1144">
        <f t="shared" si="406"/>
        <v>0</v>
      </c>
      <c r="AD1471" s="1148">
        <f t="shared" si="398"/>
        <v>911.51232530932884</v>
      </c>
      <c r="AE1471" s="1487">
        <v>0</v>
      </c>
      <c r="AF1471" s="1145">
        <f t="shared" si="407"/>
        <v>911.51232530932884</v>
      </c>
      <c r="AG1471" s="1149">
        <f>IFERROR(VLOOKUP(CONCATENATE($L1471,$N1471),'Drop List'!$G$23:$K$87,2,FALSE),0)</f>
        <v>0.56200000000000006</v>
      </c>
      <c r="AH1471" s="1150">
        <f>IFERROR(VLOOKUP(CONCATENATE($L1471,$N1471),'Drop List'!$G$23:$K$87,3,FALSE),0)</f>
        <v>0</v>
      </c>
      <c r="AI1471" s="1150">
        <f>IFERROR(VLOOKUP(CONCATENATE($L1471,$N1471),'Drop List'!$G$23:$K$87,4,FALSE),0)</f>
        <v>0</v>
      </c>
      <c r="AJ1471" s="1151">
        <f>IFERROR(VLOOKUP(CONCATENATE($L1471,$N1471),'Drop List'!$G$23:$K$87,5,FALSE),0)</f>
        <v>0.43799999999999994</v>
      </c>
      <c r="AK1471" s="1152">
        <f t="shared" si="408"/>
        <v>512.26992682384287</v>
      </c>
      <c r="AL1471" s="1153">
        <f t="shared" si="409"/>
        <v>0</v>
      </c>
      <c r="AM1471" s="1153">
        <f t="shared" si="410"/>
        <v>0</v>
      </c>
      <c r="AN1471" s="1145">
        <f t="shared" si="411"/>
        <v>399.24239848548598</v>
      </c>
      <c r="AO1471" s="1154">
        <f t="shared" si="412"/>
        <v>911.51232530932884</v>
      </c>
      <c r="AP1471" s="1147">
        <f t="shared" si="399"/>
        <v>0</v>
      </c>
      <c r="AQ1471" s="1144">
        <f t="shared" si="400"/>
        <v>0</v>
      </c>
      <c r="AR1471" s="1146">
        <f t="shared" si="401"/>
        <v>911.51232530932884</v>
      </c>
    </row>
    <row r="1472" spans="1:44" x14ac:dyDescent="0.2">
      <c r="A1472" s="1141" t="str">
        <f t="shared" si="414"/>
        <v>1577</v>
      </c>
      <c r="B1472" s="1141" t="str">
        <f>IFERROR(VLOOKUP(A1472,'LAC 103'!A:C,3,FALSE),"")</f>
        <v>OP</v>
      </c>
      <c r="C1472" s="1478" t="str">
        <f>Info!$B$8</f>
        <v>00100</v>
      </c>
      <c r="D1472" s="1474" t="s">
        <v>256</v>
      </c>
      <c r="E1472" s="1474" t="s">
        <v>95</v>
      </c>
      <c r="F1472" s="1478" t="s">
        <v>459</v>
      </c>
      <c r="G1472" s="1478" t="s">
        <v>459</v>
      </c>
      <c r="H1472" s="1474" t="s">
        <v>1658</v>
      </c>
      <c r="I1472" s="1478" t="s">
        <v>807</v>
      </c>
      <c r="J1472" s="1478" t="s">
        <v>123</v>
      </c>
      <c r="K1472" s="1475" t="s">
        <v>849</v>
      </c>
      <c r="L1472" s="1474" t="s">
        <v>77</v>
      </c>
      <c r="M1472" s="1476" t="s">
        <v>1699</v>
      </c>
      <c r="N1472" s="1477" t="s">
        <v>1694</v>
      </c>
      <c r="O1472" s="1479">
        <v>882</v>
      </c>
      <c r="P1472" s="1479"/>
      <c r="Q1472" s="1142">
        <f t="shared" si="415"/>
        <v>882</v>
      </c>
      <c r="R1472" s="1143">
        <f>IFERROR(VLOOKUP(CONCATENATE(E1472,G1472),'LAC 103'!$A$12:$O$95,11,FALSE),0)</f>
        <v>4.7723158393158576</v>
      </c>
      <c r="S1472" s="1144">
        <f>IFERROR(VLOOKUP(CONCATENATE($E1472,$G1472),'LAC 103'!$A$12:$O$95,12,FALSE),0)</f>
        <v>5.91</v>
      </c>
      <c r="T1472" s="1144">
        <f>IFERROR(VLOOKUP(CONCATENATE($E1472,$G1472),'LAC 103'!$A$12:$O$95,13,FALSE),0)</f>
        <v>3.69</v>
      </c>
      <c r="U1472" s="1144">
        <f>IFERROR(VLOOKUP(CONCATENATE($E1472,$G1472),'LAC 103'!$A$12:$O$95,14,FALSE),0)</f>
        <v>0</v>
      </c>
      <c r="V1472" s="1144">
        <f>IFERROR(VLOOKUP(CONCATENATE($E1472,$G1472),'LAC 103'!$A$12:$O$95,15,FALSE),0)</f>
        <v>0</v>
      </c>
      <c r="W1472" s="1145" t="str">
        <f>IFERROR(VLOOKUP(CONCATENATE($B1472,$N1472),'LAC 103'!$AI:$AQ,9,FALSE),"")</f>
        <v>Costs</v>
      </c>
      <c r="X1472" s="1146">
        <f t="shared" si="402"/>
        <v>4.7723158393158576</v>
      </c>
      <c r="Y1472" s="1143">
        <f t="shared" si="413"/>
        <v>4209.1825702765864</v>
      </c>
      <c r="Z1472" s="1147">
        <f t="shared" si="403"/>
        <v>5212.62</v>
      </c>
      <c r="AA1472" s="1144">
        <f t="shared" si="404"/>
        <v>3254.58</v>
      </c>
      <c r="AB1472" s="1144">
        <f t="shared" si="405"/>
        <v>0</v>
      </c>
      <c r="AC1472" s="1144">
        <f t="shared" si="406"/>
        <v>0</v>
      </c>
      <c r="AD1472" s="1148">
        <f t="shared" si="398"/>
        <v>4209.1825702765864</v>
      </c>
      <c r="AE1472" s="1487">
        <v>0</v>
      </c>
      <c r="AF1472" s="1145">
        <f t="shared" si="407"/>
        <v>4209.1825702765864</v>
      </c>
      <c r="AG1472" s="1149">
        <f>IFERROR(VLOOKUP(CONCATENATE($L1472,$N1472),'Drop List'!$G$23:$K$87,2,FALSE),0)</f>
        <v>0.9</v>
      </c>
      <c r="AH1472" s="1150">
        <f>IFERROR(VLOOKUP(CONCATENATE($L1472,$N1472),'Drop List'!$G$23:$K$87,3,FALSE),0)</f>
        <v>0</v>
      </c>
      <c r="AI1472" s="1150">
        <f>IFERROR(VLOOKUP(CONCATENATE($L1472,$N1472),'Drop List'!$G$23:$K$87,4,FALSE),0)</f>
        <v>0.1</v>
      </c>
      <c r="AJ1472" s="1151">
        <f>IFERROR(VLOOKUP(CONCATENATE($L1472,$N1472),'Drop List'!$G$23:$K$87,5,FALSE),0)</f>
        <v>0</v>
      </c>
      <c r="AK1472" s="1152">
        <f t="shared" si="408"/>
        <v>3788.2643132489279</v>
      </c>
      <c r="AL1472" s="1153">
        <f t="shared" si="409"/>
        <v>0</v>
      </c>
      <c r="AM1472" s="1153">
        <f t="shared" si="410"/>
        <v>420.91825702765868</v>
      </c>
      <c r="AN1472" s="1145">
        <f t="shared" si="411"/>
        <v>0</v>
      </c>
      <c r="AO1472" s="1154">
        <f t="shared" si="412"/>
        <v>4209.1825702765864</v>
      </c>
      <c r="AP1472" s="1147">
        <f t="shared" si="399"/>
        <v>0</v>
      </c>
      <c r="AQ1472" s="1144">
        <f t="shared" si="400"/>
        <v>0</v>
      </c>
      <c r="AR1472" s="1146">
        <f t="shared" si="401"/>
        <v>4209.1825702765864</v>
      </c>
    </row>
    <row r="1473" spans="1:44" x14ac:dyDescent="0.2">
      <c r="A1473" s="1141" t="str">
        <f t="shared" si="414"/>
        <v>1577</v>
      </c>
      <c r="B1473" s="1141" t="str">
        <f>IFERROR(VLOOKUP(A1473,'LAC 103'!A:C,3,FALSE),"")</f>
        <v>OP</v>
      </c>
      <c r="C1473" s="1478" t="str">
        <f>Info!$B$8</f>
        <v>00100</v>
      </c>
      <c r="D1473" s="1474" t="s">
        <v>256</v>
      </c>
      <c r="E1473" s="1474" t="s">
        <v>95</v>
      </c>
      <c r="F1473" s="1478" t="s">
        <v>459</v>
      </c>
      <c r="G1473" s="1478" t="s">
        <v>459</v>
      </c>
      <c r="H1473" s="1474" t="s">
        <v>1658</v>
      </c>
      <c r="I1473" s="1478" t="s">
        <v>807</v>
      </c>
      <c r="J1473" s="1478"/>
      <c r="K1473" s="1475" t="s">
        <v>849</v>
      </c>
      <c r="L1473" s="1474" t="s">
        <v>77</v>
      </c>
      <c r="M1473" s="1476" t="s">
        <v>841</v>
      </c>
      <c r="N1473" s="1477" t="s">
        <v>1695</v>
      </c>
      <c r="O1473" s="1479">
        <v>238</v>
      </c>
      <c r="P1473" s="1479"/>
      <c r="Q1473" s="1142">
        <f t="shared" si="415"/>
        <v>238</v>
      </c>
      <c r="R1473" s="1143">
        <f>IFERROR(VLOOKUP(CONCATENATE(E1473,G1473),'LAC 103'!$A$12:$O$95,11,FALSE),0)</f>
        <v>4.7723158393158576</v>
      </c>
      <c r="S1473" s="1144">
        <f>IFERROR(VLOOKUP(CONCATENATE($E1473,$G1473),'LAC 103'!$A$12:$O$95,12,FALSE),0)</f>
        <v>5.91</v>
      </c>
      <c r="T1473" s="1144">
        <f>IFERROR(VLOOKUP(CONCATENATE($E1473,$G1473),'LAC 103'!$A$12:$O$95,13,FALSE),0)</f>
        <v>3.69</v>
      </c>
      <c r="U1473" s="1144">
        <f>IFERROR(VLOOKUP(CONCATENATE($E1473,$G1473),'LAC 103'!$A$12:$O$95,14,FALSE),0)</f>
        <v>0</v>
      </c>
      <c r="V1473" s="1144">
        <f>IFERROR(VLOOKUP(CONCATENATE($E1473,$G1473),'LAC 103'!$A$12:$O$95,15,FALSE),0)</f>
        <v>0</v>
      </c>
      <c r="W1473" s="1145" t="str">
        <f>IFERROR(VLOOKUP(CONCATENATE($B1473,$N1473),'LAC 103'!$AI:$AQ,9,FALSE),"")</f>
        <v>Costs</v>
      </c>
      <c r="X1473" s="1146">
        <f t="shared" si="402"/>
        <v>4.7723158393158576</v>
      </c>
      <c r="Y1473" s="1143">
        <f t="shared" si="413"/>
        <v>1135.8111697571742</v>
      </c>
      <c r="Z1473" s="1147">
        <f t="shared" si="403"/>
        <v>1406.58</v>
      </c>
      <c r="AA1473" s="1144">
        <f t="shared" si="404"/>
        <v>878.22</v>
      </c>
      <c r="AB1473" s="1144">
        <f t="shared" si="405"/>
        <v>0</v>
      </c>
      <c r="AC1473" s="1144">
        <f t="shared" si="406"/>
        <v>0</v>
      </c>
      <c r="AD1473" s="1148">
        <f t="shared" si="398"/>
        <v>1135.8111697571742</v>
      </c>
      <c r="AE1473" s="1487">
        <v>0</v>
      </c>
      <c r="AF1473" s="1145">
        <f t="shared" si="407"/>
        <v>1135.8111697571742</v>
      </c>
      <c r="AG1473" s="1149">
        <f>IFERROR(VLOOKUP(CONCATENATE($L1473,$N1473),'Drop List'!$G$23:$K$87,2,FALSE),0)</f>
        <v>0.9</v>
      </c>
      <c r="AH1473" s="1150">
        <f>IFERROR(VLOOKUP(CONCATENATE($L1473,$N1473),'Drop List'!$G$23:$K$87,3,FALSE),0)</f>
        <v>0</v>
      </c>
      <c r="AI1473" s="1150">
        <f>IFERROR(VLOOKUP(CONCATENATE($L1473,$N1473),'Drop List'!$G$23:$K$87,4,FALSE),0)</f>
        <v>0.1</v>
      </c>
      <c r="AJ1473" s="1151">
        <f>IFERROR(VLOOKUP(CONCATENATE($L1473,$N1473),'Drop List'!$G$23:$K$87,5,FALSE),0)</f>
        <v>0</v>
      </c>
      <c r="AK1473" s="1152">
        <f t="shared" si="408"/>
        <v>1022.2300527814568</v>
      </c>
      <c r="AL1473" s="1153">
        <f t="shared" si="409"/>
        <v>0</v>
      </c>
      <c r="AM1473" s="1153">
        <f t="shared" si="410"/>
        <v>113.58111697571742</v>
      </c>
      <c r="AN1473" s="1145">
        <f t="shared" si="411"/>
        <v>0</v>
      </c>
      <c r="AO1473" s="1154">
        <f t="shared" si="412"/>
        <v>1135.8111697571742</v>
      </c>
      <c r="AP1473" s="1147">
        <f t="shared" si="399"/>
        <v>0</v>
      </c>
      <c r="AQ1473" s="1144">
        <f t="shared" si="400"/>
        <v>0</v>
      </c>
      <c r="AR1473" s="1146">
        <f t="shared" si="401"/>
        <v>1135.8111697571742</v>
      </c>
    </row>
    <row r="1474" spans="1:44" x14ac:dyDescent="0.2">
      <c r="A1474" s="1141" t="str">
        <f t="shared" si="414"/>
        <v>1577</v>
      </c>
      <c r="B1474" s="1141" t="str">
        <f>IFERROR(VLOOKUP(A1474,'LAC 103'!A:C,3,FALSE),"")</f>
        <v>OP</v>
      </c>
      <c r="C1474" s="1478" t="str">
        <f>Info!$B$8</f>
        <v>00100</v>
      </c>
      <c r="D1474" s="1474" t="s">
        <v>256</v>
      </c>
      <c r="E1474" s="1474" t="s">
        <v>95</v>
      </c>
      <c r="F1474" s="1478" t="s">
        <v>459</v>
      </c>
      <c r="G1474" s="1478" t="s">
        <v>459</v>
      </c>
      <c r="H1474" s="1474" t="s">
        <v>1658</v>
      </c>
      <c r="I1474" s="1478" t="s">
        <v>807</v>
      </c>
      <c r="J1474" s="1478"/>
      <c r="K1474" s="1475" t="s">
        <v>849</v>
      </c>
      <c r="L1474" s="1474" t="s">
        <v>77</v>
      </c>
      <c r="M1474" s="1476" t="s">
        <v>842</v>
      </c>
      <c r="N1474" s="1477" t="s">
        <v>1692</v>
      </c>
      <c r="O1474" s="1479">
        <v>153</v>
      </c>
      <c r="P1474" s="1479"/>
      <c r="Q1474" s="1142">
        <f t="shared" si="415"/>
        <v>153</v>
      </c>
      <c r="R1474" s="1143">
        <f>IFERROR(VLOOKUP(CONCATENATE(E1474,G1474),'LAC 103'!$A$12:$O$95,11,FALSE),0)</f>
        <v>4.7723158393158576</v>
      </c>
      <c r="S1474" s="1144">
        <f>IFERROR(VLOOKUP(CONCATENATE($E1474,$G1474),'LAC 103'!$A$12:$O$95,12,FALSE),0)</f>
        <v>5.91</v>
      </c>
      <c r="T1474" s="1144">
        <f>IFERROR(VLOOKUP(CONCATENATE($E1474,$G1474),'LAC 103'!$A$12:$O$95,13,FALSE),0)</f>
        <v>3.69</v>
      </c>
      <c r="U1474" s="1144">
        <f>IFERROR(VLOOKUP(CONCATENATE($E1474,$G1474),'LAC 103'!$A$12:$O$95,14,FALSE),0)</f>
        <v>0</v>
      </c>
      <c r="V1474" s="1144">
        <f>IFERROR(VLOOKUP(CONCATENATE($E1474,$G1474),'LAC 103'!$A$12:$O$95,15,FALSE),0)</f>
        <v>0</v>
      </c>
      <c r="W1474" s="1145" t="str">
        <f>IFERROR(VLOOKUP(CONCATENATE($B1474,$N1474),'LAC 103'!$AI:$AQ,9,FALSE),"")</f>
        <v>Costs</v>
      </c>
      <c r="X1474" s="1146">
        <f t="shared" si="402"/>
        <v>4.7723158393158576</v>
      </c>
      <c r="Y1474" s="1143">
        <f t="shared" si="413"/>
        <v>730.16432341532618</v>
      </c>
      <c r="Z1474" s="1147">
        <f t="shared" si="403"/>
        <v>904.23</v>
      </c>
      <c r="AA1474" s="1144">
        <f t="shared" si="404"/>
        <v>564.56999999999994</v>
      </c>
      <c r="AB1474" s="1144">
        <f t="shared" si="405"/>
        <v>0</v>
      </c>
      <c r="AC1474" s="1144">
        <f t="shared" si="406"/>
        <v>0</v>
      </c>
      <c r="AD1474" s="1148">
        <f t="shared" si="398"/>
        <v>730.16432341532618</v>
      </c>
      <c r="AE1474" s="1487">
        <v>0</v>
      </c>
      <c r="AF1474" s="1145">
        <f t="shared" si="407"/>
        <v>730.16432341532618</v>
      </c>
      <c r="AG1474" s="1149">
        <f>IFERROR(VLOOKUP(CONCATENATE($L1474,$N1474),'Drop List'!$G$23:$K$87,2,FALSE),0)</f>
        <v>0.9</v>
      </c>
      <c r="AH1474" s="1150">
        <f>IFERROR(VLOOKUP(CONCATENATE($L1474,$N1474),'Drop List'!$G$23:$K$87,3,FALSE),0)</f>
        <v>0</v>
      </c>
      <c r="AI1474" s="1150">
        <f>IFERROR(VLOOKUP(CONCATENATE($L1474,$N1474),'Drop List'!$G$23:$K$87,4,FALSE),0)</f>
        <v>0.1</v>
      </c>
      <c r="AJ1474" s="1151">
        <f>IFERROR(VLOOKUP(CONCATENATE($L1474,$N1474),'Drop List'!$G$23:$K$87,5,FALSE),0)</f>
        <v>0</v>
      </c>
      <c r="AK1474" s="1152">
        <f t="shared" si="408"/>
        <v>657.14789107379363</v>
      </c>
      <c r="AL1474" s="1153">
        <f t="shared" si="409"/>
        <v>0</v>
      </c>
      <c r="AM1474" s="1153">
        <f t="shared" si="410"/>
        <v>73.016432341532621</v>
      </c>
      <c r="AN1474" s="1145">
        <f t="shared" si="411"/>
        <v>0</v>
      </c>
      <c r="AO1474" s="1154">
        <f t="shared" si="412"/>
        <v>730.16432341532629</v>
      </c>
      <c r="AP1474" s="1147">
        <f t="shared" si="399"/>
        <v>0</v>
      </c>
      <c r="AQ1474" s="1144">
        <f t="shared" si="400"/>
        <v>0</v>
      </c>
      <c r="AR1474" s="1146">
        <f t="shared" si="401"/>
        <v>730.16432341532629</v>
      </c>
    </row>
    <row r="1475" spans="1:44" x14ac:dyDescent="0.2">
      <c r="A1475" s="1141" t="str">
        <f t="shared" si="414"/>
        <v>1577</v>
      </c>
      <c r="B1475" s="1141" t="str">
        <f>IFERROR(VLOOKUP(A1475,'LAC 103'!A:C,3,FALSE),"")</f>
        <v>OP</v>
      </c>
      <c r="C1475" s="1478" t="str">
        <f>Info!$B$8</f>
        <v>00100</v>
      </c>
      <c r="D1475" s="1474" t="s">
        <v>256</v>
      </c>
      <c r="E1475" s="1474" t="s">
        <v>95</v>
      </c>
      <c r="F1475" s="1478" t="s">
        <v>459</v>
      </c>
      <c r="G1475" s="1478" t="s">
        <v>459</v>
      </c>
      <c r="H1475" s="1474" t="s">
        <v>1658</v>
      </c>
      <c r="I1475" s="1478" t="s">
        <v>807</v>
      </c>
      <c r="J1475" s="1478"/>
      <c r="K1475" s="1475" t="s">
        <v>849</v>
      </c>
      <c r="L1475" s="1474" t="s">
        <v>77</v>
      </c>
      <c r="M1475" s="1476" t="s">
        <v>1698</v>
      </c>
      <c r="N1475" s="1477" t="s">
        <v>1693</v>
      </c>
      <c r="O1475" s="1479">
        <v>165</v>
      </c>
      <c r="P1475" s="1479"/>
      <c r="Q1475" s="1142">
        <f t="shared" si="415"/>
        <v>165</v>
      </c>
      <c r="R1475" s="1143">
        <f>IFERROR(VLOOKUP(CONCATENATE(E1475,G1475),'LAC 103'!$A$12:$O$95,11,FALSE),0)</f>
        <v>4.7723158393158576</v>
      </c>
      <c r="S1475" s="1144">
        <f>IFERROR(VLOOKUP(CONCATENATE($E1475,$G1475),'LAC 103'!$A$12:$O$95,12,FALSE),0)</f>
        <v>5.91</v>
      </c>
      <c r="T1475" s="1144">
        <f>IFERROR(VLOOKUP(CONCATENATE($E1475,$G1475),'LAC 103'!$A$12:$O$95,13,FALSE),0)</f>
        <v>3.69</v>
      </c>
      <c r="U1475" s="1144">
        <f>IFERROR(VLOOKUP(CONCATENATE($E1475,$G1475),'LAC 103'!$A$12:$O$95,14,FALSE),0)</f>
        <v>0</v>
      </c>
      <c r="V1475" s="1144">
        <f>IFERROR(VLOOKUP(CONCATENATE($E1475,$G1475),'LAC 103'!$A$12:$O$95,15,FALSE),0)</f>
        <v>0</v>
      </c>
      <c r="W1475" s="1145" t="str">
        <f>IFERROR(VLOOKUP(CONCATENATE($B1475,$N1475),'LAC 103'!$AI:$AQ,9,FALSE),"")</f>
        <v>Costs</v>
      </c>
      <c r="X1475" s="1146">
        <f t="shared" si="402"/>
        <v>4.7723158393158576</v>
      </c>
      <c r="Y1475" s="1143">
        <f t="shared" si="413"/>
        <v>787.43211348711645</v>
      </c>
      <c r="Z1475" s="1147">
        <f t="shared" si="403"/>
        <v>975.15</v>
      </c>
      <c r="AA1475" s="1144">
        <f t="shared" si="404"/>
        <v>608.85</v>
      </c>
      <c r="AB1475" s="1144">
        <f t="shared" si="405"/>
        <v>0</v>
      </c>
      <c r="AC1475" s="1144">
        <f t="shared" si="406"/>
        <v>0</v>
      </c>
      <c r="AD1475" s="1148">
        <f t="shared" si="398"/>
        <v>787.43211348711645</v>
      </c>
      <c r="AE1475" s="1487">
        <v>0</v>
      </c>
      <c r="AF1475" s="1145">
        <f t="shared" si="407"/>
        <v>787.43211348711645</v>
      </c>
      <c r="AG1475" s="1149">
        <f>IFERROR(VLOOKUP(CONCATENATE($L1475,$N1475),'Drop List'!$G$23:$K$87,2,FALSE),0)</f>
        <v>0.9</v>
      </c>
      <c r="AH1475" s="1150">
        <f>IFERROR(VLOOKUP(CONCATENATE($L1475,$N1475),'Drop List'!$G$23:$K$87,3,FALSE),0)</f>
        <v>0</v>
      </c>
      <c r="AI1475" s="1150">
        <f>IFERROR(VLOOKUP(CONCATENATE($L1475,$N1475),'Drop List'!$G$23:$K$87,4,FALSE),0)</f>
        <v>0.1</v>
      </c>
      <c r="AJ1475" s="1151">
        <f>IFERROR(VLOOKUP(CONCATENATE($L1475,$N1475),'Drop List'!$G$23:$K$87,5,FALSE),0)</f>
        <v>0</v>
      </c>
      <c r="AK1475" s="1152">
        <f t="shared" si="408"/>
        <v>708.68890213840484</v>
      </c>
      <c r="AL1475" s="1153">
        <f t="shared" si="409"/>
        <v>0</v>
      </c>
      <c r="AM1475" s="1153">
        <f t="shared" si="410"/>
        <v>78.743211348711654</v>
      </c>
      <c r="AN1475" s="1145">
        <f t="shared" si="411"/>
        <v>0</v>
      </c>
      <c r="AO1475" s="1154">
        <f t="shared" si="412"/>
        <v>787.43211348711645</v>
      </c>
      <c r="AP1475" s="1147">
        <f t="shared" si="399"/>
        <v>0</v>
      </c>
      <c r="AQ1475" s="1144">
        <f t="shared" si="400"/>
        <v>0</v>
      </c>
      <c r="AR1475" s="1146">
        <f t="shared" si="401"/>
        <v>787.43211348711645</v>
      </c>
    </row>
    <row r="1476" spans="1:44" x14ac:dyDescent="0.2">
      <c r="A1476" s="1141" t="str">
        <f t="shared" si="414"/>
        <v>1577</v>
      </c>
      <c r="B1476" s="1141" t="str">
        <f>IFERROR(VLOOKUP(A1476,'LAC 103'!A:C,3,FALSE),"")</f>
        <v>OP</v>
      </c>
      <c r="C1476" s="1478" t="str">
        <f>Info!$B$8</f>
        <v>00100</v>
      </c>
      <c r="D1476" s="1474" t="s">
        <v>256</v>
      </c>
      <c r="E1476" s="1474" t="s">
        <v>95</v>
      </c>
      <c r="F1476" s="1478" t="s">
        <v>459</v>
      </c>
      <c r="G1476" s="1478" t="s">
        <v>459</v>
      </c>
      <c r="H1476" s="1474" t="s">
        <v>1658</v>
      </c>
      <c r="I1476" s="1478" t="s">
        <v>807</v>
      </c>
      <c r="J1476" s="1478"/>
      <c r="K1476" s="1475" t="s">
        <v>851</v>
      </c>
      <c r="L1476" s="1474" t="s">
        <v>584</v>
      </c>
      <c r="M1476" s="1476" t="s">
        <v>1699</v>
      </c>
      <c r="N1476" s="1477" t="s">
        <v>1694</v>
      </c>
      <c r="O1476" s="1479">
        <v>527</v>
      </c>
      <c r="P1476" s="1479"/>
      <c r="Q1476" s="1142">
        <f t="shared" si="415"/>
        <v>527</v>
      </c>
      <c r="R1476" s="1143">
        <f>IFERROR(VLOOKUP(CONCATENATE(E1476,G1476),'LAC 103'!$A$12:$O$95,11,FALSE),0)</f>
        <v>4.7723158393158576</v>
      </c>
      <c r="S1476" s="1144">
        <f>IFERROR(VLOOKUP(CONCATENATE($E1476,$G1476),'LAC 103'!$A$12:$O$95,12,FALSE),0)</f>
        <v>5.91</v>
      </c>
      <c r="T1476" s="1144">
        <f>IFERROR(VLOOKUP(CONCATENATE($E1476,$G1476),'LAC 103'!$A$12:$O$95,13,FALSE),0)</f>
        <v>3.69</v>
      </c>
      <c r="U1476" s="1144">
        <f>IFERROR(VLOOKUP(CONCATENATE($E1476,$G1476),'LAC 103'!$A$12:$O$95,14,FALSE),0)</f>
        <v>0</v>
      </c>
      <c r="V1476" s="1144">
        <f>IFERROR(VLOOKUP(CONCATENATE($E1476,$G1476),'LAC 103'!$A$12:$O$95,15,FALSE),0)</f>
        <v>0</v>
      </c>
      <c r="W1476" s="1145" t="str">
        <f>IFERROR(VLOOKUP(CONCATENATE($B1476,$N1476),'LAC 103'!$AI:$AQ,9,FALSE),"")</f>
        <v>Costs</v>
      </c>
      <c r="X1476" s="1146">
        <f t="shared" si="402"/>
        <v>4.7723158393158576</v>
      </c>
      <c r="Y1476" s="1143">
        <f t="shared" si="413"/>
        <v>2515.0104473194569</v>
      </c>
      <c r="Z1476" s="1147">
        <f t="shared" si="403"/>
        <v>3114.57</v>
      </c>
      <c r="AA1476" s="1144">
        <f t="shared" si="404"/>
        <v>1944.6299999999999</v>
      </c>
      <c r="AB1476" s="1144">
        <f t="shared" si="405"/>
        <v>0</v>
      </c>
      <c r="AC1476" s="1144">
        <f t="shared" si="406"/>
        <v>0</v>
      </c>
      <c r="AD1476" s="1148">
        <f t="shared" si="398"/>
        <v>2515.0104473194569</v>
      </c>
      <c r="AE1476" s="1487">
        <v>0</v>
      </c>
      <c r="AF1476" s="1145">
        <f t="shared" si="407"/>
        <v>2515.0104473194569</v>
      </c>
      <c r="AG1476" s="1149">
        <f>IFERROR(VLOOKUP(CONCATENATE($L1476,$N1476),'Drop List'!$G$23:$K$87,2,FALSE),0)</f>
        <v>0.56200000000000006</v>
      </c>
      <c r="AH1476" s="1150">
        <f>IFERROR(VLOOKUP(CONCATENATE($L1476,$N1476),'Drop List'!$G$23:$K$87,3,FALSE),0)</f>
        <v>0</v>
      </c>
      <c r="AI1476" s="1150">
        <f>IFERROR(VLOOKUP(CONCATENATE($L1476,$N1476),'Drop List'!$G$23:$K$87,4,FALSE),0)</f>
        <v>0</v>
      </c>
      <c r="AJ1476" s="1151">
        <f>IFERROR(VLOOKUP(CONCATENATE($L1476,$N1476),'Drop List'!$G$23:$K$87,5,FALSE),0)</f>
        <v>0.43799999999999994</v>
      </c>
      <c r="AK1476" s="1152">
        <f t="shared" si="408"/>
        <v>1413.4358713935349</v>
      </c>
      <c r="AL1476" s="1153">
        <f t="shared" si="409"/>
        <v>0</v>
      </c>
      <c r="AM1476" s="1153">
        <f t="shared" si="410"/>
        <v>0</v>
      </c>
      <c r="AN1476" s="1145">
        <f t="shared" si="411"/>
        <v>1101.5745759259221</v>
      </c>
      <c r="AO1476" s="1154">
        <f t="shared" si="412"/>
        <v>2515.0104473194569</v>
      </c>
      <c r="AP1476" s="1147">
        <f t="shared" si="399"/>
        <v>0</v>
      </c>
      <c r="AQ1476" s="1144">
        <f t="shared" si="400"/>
        <v>0</v>
      </c>
      <c r="AR1476" s="1146">
        <f t="shared" si="401"/>
        <v>2515.0104473194569</v>
      </c>
    </row>
    <row r="1477" spans="1:44" x14ac:dyDescent="0.2">
      <c r="A1477" s="1141" t="str">
        <f t="shared" si="414"/>
        <v>1577</v>
      </c>
      <c r="B1477" s="1141" t="str">
        <f>IFERROR(VLOOKUP(A1477,'LAC 103'!A:C,3,FALSE),"")</f>
        <v>OP</v>
      </c>
      <c r="C1477" s="1478" t="str">
        <f>Info!$B$8</f>
        <v>00100</v>
      </c>
      <c r="D1477" s="1474" t="s">
        <v>256</v>
      </c>
      <c r="E1477" s="1474" t="s">
        <v>95</v>
      </c>
      <c r="F1477" s="1478" t="s">
        <v>459</v>
      </c>
      <c r="G1477" s="1478" t="s">
        <v>459</v>
      </c>
      <c r="H1477" s="1474" t="s">
        <v>1658</v>
      </c>
      <c r="I1477" s="1478" t="s">
        <v>807</v>
      </c>
      <c r="J1477" s="1478"/>
      <c r="K1477" s="1475" t="s">
        <v>851</v>
      </c>
      <c r="L1477" s="1474" t="s">
        <v>584</v>
      </c>
      <c r="M1477" s="1476" t="s">
        <v>841</v>
      </c>
      <c r="N1477" s="1477" t="s">
        <v>1695</v>
      </c>
      <c r="O1477" s="1479">
        <v>195</v>
      </c>
      <c r="P1477" s="1479"/>
      <c r="Q1477" s="1142">
        <f t="shared" si="415"/>
        <v>195</v>
      </c>
      <c r="R1477" s="1143">
        <f>IFERROR(VLOOKUP(CONCATENATE(E1477,G1477),'LAC 103'!$A$12:$O$95,11,FALSE),0)</f>
        <v>4.7723158393158576</v>
      </c>
      <c r="S1477" s="1144">
        <f>IFERROR(VLOOKUP(CONCATENATE($E1477,$G1477),'LAC 103'!$A$12:$O$95,12,FALSE),0)</f>
        <v>5.91</v>
      </c>
      <c r="T1477" s="1144">
        <f>IFERROR(VLOOKUP(CONCATENATE($E1477,$G1477),'LAC 103'!$A$12:$O$95,13,FALSE),0)</f>
        <v>3.69</v>
      </c>
      <c r="U1477" s="1144">
        <f>IFERROR(VLOOKUP(CONCATENATE($E1477,$G1477),'LAC 103'!$A$12:$O$95,14,FALSE),0)</f>
        <v>0</v>
      </c>
      <c r="V1477" s="1144">
        <f>IFERROR(VLOOKUP(CONCATENATE($E1477,$G1477),'LAC 103'!$A$12:$O$95,15,FALSE),0)</f>
        <v>0</v>
      </c>
      <c r="W1477" s="1145" t="str">
        <f>IFERROR(VLOOKUP(CONCATENATE($B1477,$N1477),'LAC 103'!$AI:$AQ,9,FALSE),"")</f>
        <v>Costs</v>
      </c>
      <c r="X1477" s="1146">
        <f t="shared" si="402"/>
        <v>4.7723158393158576</v>
      </c>
      <c r="Y1477" s="1143">
        <f t="shared" si="413"/>
        <v>930.60158866659219</v>
      </c>
      <c r="Z1477" s="1147">
        <f t="shared" si="403"/>
        <v>1152.45</v>
      </c>
      <c r="AA1477" s="1144">
        <f t="shared" si="404"/>
        <v>719.55</v>
      </c>
      <c r="AB1477" s="1144">
        <f t="shared" si="405"/>
        <v>0</v>
      </c>
      <c r="AC1477" s="1144">
        <f t="shared" si="406"/>
        <v>0</v>
      </c>
      <c r="AD1477" s="1148">
        <f t="shared" si="398"/>
        <v>930.60158866659219</v>
      </c>
      <c r="AE1477" s="1487">
        <v>0</v>
      </c>
      <c r="AF1477" s="1145">
        <f t="shared" si="407"/>
        <v>930.60158866659219</v>
      </c>
      <c r="AG1477" s="1149">
        <f>IFERROR(VLOOKUP(CONCATENATE($L1477,$N1477),'Drop List'!$G$23:$K$87,2,FALSE),0)</f>
        <v>0.55000000000000004</v>
      </c>
      <c r="AH1477" s="1150">
        <f>IFERROR(VLOOKUP(CONCATENATE($L1477,$N1477),'Drop List'!$G$23:$K$87,3,FALSE),0)</f>
        <v>0</v>
      </c>
      <c r="AI1477" s="1150">
        <f>IFERROR(VLOOKUP(CONCATENATE($L1477,$N1477),'Drop List'!$G$23:$K$87,4,FALSE),0)</f>
        <v>0</v>
      </c>
      <c r="AJ1477" s="1151">
        <f>IFERROR(VLOOKUP(CONCATENATE($L1477,$N1477),'Drop List'!$G$23:$K$87,5,FALSE),0)</f>
        <v>0.44999999999999996</v>
      </c>
      <c r="AK1477" s="1152">
        <f t="shared" si="408"/>
        <v>511.83087376662576</v>
      </c>
      <c r="AL1477" s="1153">
        <f t="shared" si="409"/>
        <v>0</v>
      </c>
      <c r="AM1477" s="1153">
        <f t="shared" si="410"/>
        <v>0</v>
      </c>
      <c r="AN1477" s="1145">
        <f t="shared" si="411"/>
        <v>418.77071489996644</v>
      </c>
      <c r="AO1477" s="1154">
        <f t="shared" si="412"/>
        <v>930.60158866659219</v>
      </c>
      <c r="AP1477" s="1147">
        <f t="shared" si="399"/>
        <v>0</v>
      </c>
      <c r="AQ1477" s="1144">
        <f t="shared" si="400"/>
        <v>0</v>
      </c>
      <c r="AR1477" s="1146">
        <f t="shared" si="401"/>
        <v>930.60158866659219</v>
      </c>
    </row>
    <row r="1478" spans="1:44" x14ac:dyDescent="0.2">
      <c r="A1478" s="1141" t="str">
        <f t="shared" si="414"/>
        <v>1577</v>
      </c>
      <c r="B1478" s="1141" t="str">
        <f>IFERROR(VLOOKUP(A1478,'LAC 103'!A:C,3,FALSE),"")</f>
        <v>OP</v>
      </c>
      <c r="C1478" s="1478" t="str">
        <f>Info!$B$8</f>
        <v>00100</v>
      </c>
      <c r="D1478" s="1474" t="s">
        <v>256</v>
      </c>
      <c r="E1478" s="1474" t="s">
        <v>95</v>
      </c>
      <c r="F1478" s="1478" t="s">
        <v>459</v>
      </c>
      <c r="G1478" s="1478" t="s">
        <v>459</v>
      </c>
      <c r="H1478" s="1474" t="s">
        <v>1658</v>
      </c>
      <c r="I1478" s="1478" t="s">
        <v>807</v>
      </c>
      <c r="J1478" s="1478"/>
      <c r="K1478" s="1475" t="s">
        <v>851</v>
      </c>
      <c r="L1478" s="1474" t="s">
        <v>584</v>
      </c>
      <c r="M1478" s="1476" t="s">
        <v>840</v>
      </c>
      <c r="N1478" s="1477" t="s">
        <v>1700</v>
      </c>
      <c r="O1478" s="1479">
        <v>429</v>
      </c>
      <c r="P1478" s="1479"/>
      <c r="Q1478" s="1142">
        <f t="shared" si="415"/>
        <v>429</v>
      </c>
      <c r="R1478" s="1143">
        <f>IFERROR(VLOOKUP(CONCATENATE(E1478,G1478),'LAC 103'!$A$12:$O$95,11,FALSE),0)</f>
        <v>4.7723158393158576</v>
      </c>
      <c r="S1478" s="1144">
        <f>IFERROR(VLOOKUP(CONCATENATE($E1478,$G1478),'LAC 103'!$A$12:$O$95,12,FALSE),0)</f>
        <v>5.91</v>
      </c>
      <c r="T1478" s="1144">
        <f>IFERROR(VLOOKUP(CONCATENATE($E1478,$G1478),'LAC 103'!$A$12:$O$95,13,FALSE),0)</f>
        <v>3.69</v>
      </c>
      <c r="U1478" s="1144">
        <f>IFERROR(VLOOKUP(CONCATENATE($E1478,$G1478),'LAC 103'!$A$12:$O$95,14,FALSE),0)</f>
        <v>0</v>
      </c>
      <c r="V1478" s="1144">
        <f>IFERROR(VLOOKUP(CONCATENATE($E1478,$G1478),'LAC 103'!$A$12:$O$95,15,FALSE),0)</f>
        <v>0</v>
      </c>
      <c r="W1478" s="1145" t="str">
        <f>IFERROR(VLOOKUP(CONCATENATE($B1478,$N1478),'LAC 103'!$AI:$AQ,9,FALSE),"")</f>
        <v>P.C.</v>
      </c>
      <c r="X1478" s="1146">
        <f t="shared" si="402"/>
        <v>3.69</v>
      </c>
      <c r="Y1478" s="1143">
        <f t="shared" si="413"/>
        <v>2047.3234950665028</v>
      </c>
      <c r="Z1478" s="1147">
        <f t="shared" si="403"/>
        <v>2535.39</v>
      </c>
      <c r="AA1478" s="1144">
        <f t="shared" si="404"/>
        <v>1583.01</v>
      </c>
      <c r="AB1478" s="1144">
        <f t="shared" si="405"/>
        <v>0</v>
      </c>
      <c r="AC1478" s="1144">
        <f t="shared" si="406"/>
        <v>0</v>
      </c>
      <c r="AD1478" s="1148">
        <f t="shared" si="398"/>
        <v>1583.01</v>
      </c>
      <c r="AE1478" s="1487">
        <v>0</v>
      </c>
      <c r="AF1478" s="1145">
        <f t="shared" si="407"/>
        <v>1583.01</v>
      </c>
      <c r="AG1478" s="1149">
        <f>IFERROR(VLOOKUP(CONCATENATE($L1478,$N1478),'Drop List'!$G$23:$K$87,2,FALSE),0)</f>
        <v>0.55000000000000004</v>
      </c>
      <c r="AH1478" s="1150">
        <f>IFERROR(VLOOKUP(CONCATENATE($L1478,$N1478),'Drop List'!$G$23:$K$87,3,FALSE),0)</f>
        <v>0</v>
      </c>
      <c r="AI1478" s="1150">
        <f>IFERROR(VLOOKUP(CONCATENATE($L1478,$N1478),'Drop List'!$G$23:$K$87,4,FALSE),0)</f>
        <v>0</v>
      </c>
      <c r="AJ1478" s="1151">
        <f>IFERROR(VLOOKUP(CONCATENATE($L1478,$N1478),'Drop List'!$G$23:$K$87,5,FALSE),0)</f>
        <v>0.44999999999999996</v>
      </c>
      <c r="AK1478" s="1152">
        <f t="shared" si="408"/>
        <v>870.65550000000007</v>
      </c>
      <c r="AL1478" s="1153">
        <f t="shared" si="409"/>
        <v>0</v>
      </c>
      <c r="AM1478" s="1153">
        <f t="shared" si="410"/>
        <v>0</v>
      </c>
      <c r="AN1478" s="1145">
        <f t="shared" si="411"/>
        <v>712.35449999999992</v>
      </c>
      <c r="AO1478" s="1154">
        <f t="shared" si="412"/>
        <v>1583.01</v>
      </c>
      <c r="AP1478" s="1147">
        <f t="shared" si="399"/>
        <v>0</v>
      </c>
      <c r="AQ1478" s="1144">
        <f t="shared" si="400"/>
        <v>0</v>
      </c>
      <c r="AR1478" s="1146">
        <f t="shared" si="401"/>
        <v>1583.01</v>
      </c>
    </row>
    <row r="1479" spans="1:44" x14ac:dyDescent="0.2">
      <c r="A1479" s="1141" t="str">
        <f t="shared" si="414"/>
        <v>1577</v>
      </c>
      <c r="B1479" s="1141" t="str">
        <f>IFERROR(VLOOKUP(A1479,'LAC 103'!A:C,3,FALSE),"")</f>
        <v>OP</v>
      </c>
      <c r="C1479" s="1478" t="str">
        <f>Info!$B$8</f>
        <v>00100</v>
      </c>
      <c r="D1479" s="1474" t="s">
        <v>256</v>
      </c>
      <c r="E1479" s="1474" t="s">
        <v>95</v>
      </c>
      <c r="F1479" s="1478" t="s">
        <v>459</v>
      </c>
      <c r="G1479" s="1478" t="s">
        <v>459</v>
      </c>
      <c r="H1479" s="1474" t="s">
        <v>1658</v>
      </c>
      <c r="I1479" s="1478" t="s">
        <v>807</v>
      </c>
      <c r="J1479" s="1478"/>
      <c r="K1479" s="1475" t="s">
        <v>851</v>
      </c>
      <c r="L1479" s="1474" t="s">
        <v>584</v>
      </c>
      <c r="M1479" s="1476" t="s">
        <v>842</v>
      </c>
      <c r="N1479" s="1477" t="s">
        <v>1692</v>
      </c>
      <c r="O1479" s="1479">
        <v>271</v>
      </c>
      <c r="P1479" s="1479"/>
      <c r="Q1479" s="1142">
        <f t="shared" si="415"/>
        <v>271</v>
      </c>
      <c r="R1479" s="1143">
        <f>IFERROR(VLOOKUP(CONCATENATE(E1479,G1479),'LAC 103'!$A$12:$O$95,11,FALSE),0)</f>
        <v>4.7723158393158576</v>
      </c>
      <c r="S1479" s="1144">
        <f>IFERROR(VLOOKUP(CONCATENATE($E1479,$G1479),'LAC 103'!$A$12:$O$95,12,FALSE),0)</f>
        <v>5.91</v>
      </c>
      <c r="T1479" s="1144">
        <f>IFERROR(VLOOKUP(CONCATENATE($E1479,$G1479),'LAC 103'!$A$12:$O$95,13,FALSE),0)</f>
        <v>3.69</v>
      </c>
      <c r="U1479" s="1144">
        <f>IFERROR(VLOOKUP(CONCATENATE($E1479,$G1479),'LAC 103'!$A$12:$O$95,14,FALSE),0)</f>
        <v>0</v>
      </c>
      <c r="V1479" s="1144">
        <f>IFERROR(VLOOKUP(CONCATENATE($E1479,$G1479),'LAC 103'!$A$12:$O$95,15,FALSE),0)</f>
        <v>0</v>
      </c>
      <c r="W1479" s="1145" t="str">
        <f>IFERROR(VLOOKUP(CONCATENATE($B1479,$N1479),'LAC 103'!$AI:$AQ,9,FALSE),"")</f>
        <v>Costs</v>
      </c>
      <c r="X1479" s="1146">
        <f t="shared" si="402"/>
        <v>4.7723158393158576</v>
      </c>
      <c r="Y1479" s="1143">
        <f t="shared" si="413"/>
        <v>1293.2975924545974</v>
      </c>
      <c r="Z1479" s="1147">
        <f t="shared" si="403"/>
        <v>1601.6100000000001</v>
      </c>
      <c r="AA1479" s="1144">
        <f t="shared" si="404"/>
        <v>999.99</v>
      </c>
      <c r="AB1479" s="1144">
        <f t="shared" si="405"/>
        <v>0</v>
      </c>
      <c r="AC1479" s="1144">
        <f t="shared" si="406"/>
        <v>0</v>
      </c>
      <c r="AD1479" s="1148">
        <f t="shared" ref="AD1479:AD1542" si="416">Q1479*X1479</f>
        <v>1293.2975924545974</v>
      </c>
      <c r="AE1479" s="1487">
        <v>0</v>
      </c>
      <c r="AF1479" s="1145">
        <f t="shared" si="407"/>
        <v>1293.2975924545974</v>
      </c>
      <c r="AG1479" s="1149">
        <f>IFERROR(VLOOKUP(CONCATENATE($L1479,$N1479),'Drop List'!$G$23:$K$87,2,FALSE),0)</f>
        <v>0.56200000000000006</v>
      </c>
      <c r="AH1479" s="1150">
        <f>IFERROR(VLOOKUP(CONCATENATE($L1479,$N1479),'Drop List'!$G$23:$K$87,3,FALSE),0)</f>
        <v>0</v>
      </c>
      <c r="AI1479" s="1150">
        <f>IFERROR(VLOOKUP(CONCATENATE($L1479,$N1479),'Drop List'!$G$23:$K$87,4,FALSE),0)</f>
        <v>0</v>
      </c>
      <c r="AJ1479" s="1151">
        <f>IFERROR(VLOOKUP(CONCATENATE($L1479,$N1479),'Drop List'!$G$23:$K$87,5,FALSE),0)</f>
        <v>0.43799999999999994</v>
      </c>
      <c r="AK1479" s="1152">
        <f t="shared" si="408"/>
        <v>726.83324695948386</v>
      </c>
      <c r="AL1479" s="1153">
        <f t="shared" si="409"/>
        <v>0</v>
      </c>
      <c r="AM1479" s="1153">
        <f t="shared" si="410"/>
        <v>0</v>
      </c>
      <c r="AN1479" s="1145">
        <f t="shared" si="411"/>
        <v>566.46434549511355</v>
      </c>
      <c r="AO1479" s="1154">
        <f t="shared" si="412"/>
        <v>1293.2975924545974</v>
      </c>
      <c r="AP1479" s="1147">
        <f t="shared" ref="AP1479:AP1542" si="417">IF($L1479="14",$AF1479,0)</f>
        <v>0</v>
      </c>
      <c r="AQ1479" s="1144">
        <f t="shared" ref="AQ1479:AQ1542" si="418">IF($L1479="15",$AF1479,0)</f>
        <v>0</v>
      </c>
      <c r="AR1479" s="1146">
        <f t="shared" ref="AR1479:AR1542" si="419">AO1479+AP1479+AQ1479</f>
        <v>1293.2975924545974</v>
      </c>
    </row>
    <row r="1480" spans="1:44" x14ac:dyDescent="0.2">
      <c r="A1480" s="1141" t="str">
        <f t="shared" si="414"/>
        <v>1577</v>
      </c>
      <c r="B1480" s="1141" t="str">
        <f>IFERROR(VLOOKUP(A1480,'LAC 103'!A:C,3,FALSE),"")</f>
        <v>OP</v>
      </c>
      <c r="C1480" s="1478" t="str">
        <f>Info!$B$8</f>
        <v>00100</v>
      </c>
      <c r="D1480" s="1474" t="s">
        <v>256</v>
      </c>
      <c r="E1480" s="1474" t="s">
        <v>95</v>
      </c>
      <c r="F1480" s="1478" t="s">
        <v>459</v>
      </c>
      <c r="G1480" s="1478" t="s">
        <v>459</v>
      </c>
      <c r="H1480" s="1474" t="s">
        <v>1658</v>
      </c>
      <c r="I1480" s="1478" t="s">
        <v>807</v>
      </c>
      <c r="J1480" s="1478"/>
      <c r="K1480" s="1475" t="s">
        <v>851</v>
      </c>
      <c r="L1480" s="1474" t="s">
        <v>584</v>
      </c>
      <c r="M1480" s="1476" t="s">
        <v>1698</v>
      </c>
      <c r="N1480" s="1477" t="s">
        <v>1693</v>
      </c>
      <c r="O1480" s="1479">
        <v>286</v>
      </c>
      <c r="P1480" s="1479"/>
      <c r="Q1480" s="1142">
        <f t="shared" si="415"/>
        <v>286</v>
      </c>
      <c r="R1480" s="1143">
        <f>IFERROR(VLOOKUP(CONCATENATE(E1480,G1480),'LAC 103'!$A$12:$O$95,11,FALSE),0)</f>
        <v>4.7723158393158576</v>
      </c>
      <c r="S1480" s="1144">
        <f>IFERROR(VLOOKUP(CONCATENATE($E1480,$G1480),'LAC 103'!$A$12:$O$95,12,FALSE),0)</f>
        <v>5.91</v>
      </c>
      <c r="T1480" s="1144">
        <f>IFERROR(VLOOKUP(CONCATENATE($E1480,$G1480),'LAC 103'!$A$12:$O$95,13,FALSE),0)</f>
        <v>3.69</v>
      </c>
      <c r="U1480" s="1144">
        <f>IFERROR(VLOOKUP(CONCATENATE($E1480,$G1480),'LAC 103'!$A$12:$O$95,14,FALSE),0)</f>
        <v>0</v>
      </c>
      <c r="V1480" s="1144">
        <f>IFERROR(VLOOKUP(CONCATENATE($E1480,$G1480),'LAC 103'!$A$12:$O$95,15,FALSE),0)</f>
        <v>0</v>
      </c>
      <c r="W1480" s="1145" t="str">
        <f>IFERROR(VLOOKUP(CONCATENATE($B1480,$N1480),'LAC 103'!$AI:$AQ,9,FALSE),"")</f>
        <v>Costs</v>
      </c>
      <c r="X1480" s="1146">
        <f t="shared" ref="X1480:X1543" si="420">IF($W1480="Costs",$R1480,IF($W1480="CMA",$S1480,IF($W1480="P.C.",$T1480,IF($W1480="SMA",$U1480,$V1480))))</f>
        <v>4.7723158393158576</v>
      </c>
      <c r="Y1480" s="1143">
        <f t="shared" si="413"/>
        <v>1364.8823300443353</v>
      </c>
      <c r="Z1480" s="1147">
        <f t="shared" ref="Z1480:Z1543" si="421">IF(S1480=0,Y1480,$Q1480*S1480)</f>
        <v>1690.26</v>
      </c>
      <c r="AA1480" s="1144">
        <f t="shared" ref="AA1480:AA1543" si="422">IF(T1480=0,Y1480,$Q1480*T1480)</f>
        <v>1055.3399999999999</v>
      </c>
      <c r="AB1480" s="1144">
        <f t="shared" ref="AB1480:AB1543" si="423">$Q1480*U1480</f>
        <v>0</v>
      </c>
      <c r="AC1480" s="1144">
        <f t="shared" ref="AC1480:AC1543" si="424">$Q1480*V1480</f>
        <v>0</v>
      </c>
      <c r="AD1480" s="1148">
        <f t="shared" si="416"/>
        <v>1364.8823300443353</v>
      </c>
      <c r="AE1480" s="1487">
        <v>0</v>
      </c>
      <c r="AF1480" s="1145">
        <f t="shared" ref="AF1480:AF1543" si="425">AD1480-AE1480</f>
        <v>1364.8823300443353</v>
      </c>
      <c r="AG1480" s="1149">
        <f>IFERROR(VLOOKUP(CONCATENATE($L1480,$N1480),'Drop List'!$G$23:$K$87,2,FALSE),0)</f>
        <v>0.56200000000000006</v>
      </c>
      <c r="AH1480" s="1150">
        <f>IFERROR(VLOOKUP(CONCATENATE($L1480,$N1480),'Drop List'!$G$23:$K$87,3,FALSE),0)</f>
        <v>0</v>
      </c>
      <c r="AI1480" s="1150">
        <f>IFERROR(VLOOKUP(CONCATENATE($L1480,$N1480),'Drop List'!$G$23:$K$87,4,FALSE),0)</f>
        <v>0</v>
      </c>
      <c r="AJ1480" s="1151">
        <f>IFERROR(VLOOKUP(CONCATENATE($L1480,$N1480),'Drop List'!$G$23:$K$87,5,FALSE),0)</f>
        <v>0.43799999999999994</v>
      </c>
      <c r="AK1480" s="1152">
        <f t="shared" ref="AK1480:AK1543" si="426">IFERROR($AF1480*AG1480,0)</f>
        <v>767.06386948491649</v>
      </c>
      <c r="AL1480" s="1153">
        <f t="shared" ref="AL1480:AL1543" si="427">IFERROR($AF1480*AH1480,0)</f>
        <v>0</v>
      </c>
      <c r="AM1480" s="1153">
        <f t="shared" ref="AM1480:AM1543" si="428">IFERROR($AF1480*AI1480,0)</f>
        <v>0</v>
      </c>
      <c r="AN1480" s="1145">
        <f t="shared" ref="AN1480:AN1543" si="429">IFERROR($AF1480*AJ1480,0)</f>
        <v>597.81846055941878</v>
      </c>
      <c r="AO1480" s="1154">
        <f t="shared" si="412"/>
        <v>1364.8823300443353</v>
      </c>
      <c r="AP1480" s="1147">
        <f t="shared" si="417"/>
        <v>0</v>
      </c>
      <c r="AQ1480" s="1144">
        <f t="shared" si="418"/>
        <v>0</v>
      </c>
      <c r="AR1480" s="1146">
        <f t="shared" si="419"/>
        <v>1364.8823300443353</v>
      </c>
    </row>
    <row r="1481" spans="1:44" x14ac:dyDescent="0.2">
      <c r="A1481" s="1141" t="str">
        <f t="shared" si="414"/>
        <v>1577</v>
      </c>
      <c r="B1481" s="1141" t="str">
        <f>IFERROR(VLOOKUP(A1481,'LAC 103'!A:C,3,FALSE),"")</f>
        <v>OP</v>
      </c>
      <c r="C1481" s="1478" t="str">
        <f>Info!$B$8</f>
        <v>00100</v>
      </c>
      <c r="D1481" s="1474" t="s">
        <v>256</v>
      </c>
      <c r="E1481" s="1474" t="s">
        <v>95</v>
      </c>
      <c r="F1481" s="1478" t="s">
        <v>459</v>
      </c>
      <c r="G1481" s="1478" t="s">
        <v>459</v>
      </c>
      <c r="H1481" s="1474" t="s">
        <v>988</v>
      </c>
      <c r="I1481" s="1478" t="s">
        <v>811</v>
      </c>
      <c r="J1481" s="1478" t="s">
        <v>123</v>
      </c>
      <c r="K1481" s="1475" t="s">
        <v>847</v>
      </c>
      <c r="L1481" s="1474" t="s">
        <v>582</v>
      </c>
      <c r="M1481" s="1476" t="s">
        <v>1699</v>
      </c>
      <c r="N1481" s="1477" t="s">
        <v>1694</v>
      </c>
      <c r="O1481" s="1479">
        <v>2035</v>
      </c>
      <c r="P1481" s="1479"/>
      <c r="Q1481" s="1142">
        <f t="shared" si="415"/>
        <v>2035</v>
      </c>
      <c r="R1481" s="1143">
        <f>IFERROR(VLOOKUP(CONCATENATE(E1481,G1481),'LAC 103'!$A$12:$O$95,11,FALSE),0)</f>
        <v>4.7723158393158576</v>
      </c>
      <c r="S1481" s="1144">
        <f>IFERROR(VLOOKUP(CONCATENATE($E1481,$G1481),'LAC 103'!$A$12:$O$95,12,FALSE),0)</f>
        <v>5.91</v>
      </c>
      <c r="T1481" s="1144">
        <f>IFERROR(VLOOKUP(CONCATENATE($E1481,$G1481),'LAC 103'!$A$12:$O$95,13,FALSE),0)</f>
        <v>3.69</v>
      </c>
      <c r="U1481" s="1144">
        <f>IFERROR(VLOOKUP(CONCATENATE($E1481,$G1481),'LAC 103'!$A$12:$O$95,14,FALSE),0)</f>
        <v>0</v>
      </c>
      <c r="V1481" s="1144">
        <f>IFERROR(VLOOKUP(CONCATENATE($E1481,$G1481),'LAC 103'!$A$12:$O$95,15,FALSE),0)</f>
        <v>0</v>
      </c>
      <c r="W1481" s="1145" t="str">
        <f>IFERROR(VLOOKUP(CONCATENATE($B1481,$N1481),'LAC 103'!$AI:$AQ,9,FALSE),"")</f>
        <v>Costs</v>
      </c>
      <c r="X1481" s="1146">
        <f t="shared" si="420"/>
        <v>4.7723158393158576</v>
      </c>
      <c r="Y1481" s="1143">
        <f t="shared" si="413"/>
        <v>9711.6627330077699</v>
      </c>
      <c r="Z1481" s="1147">
        <f t="shared" si="421"/>
        <v>12026.85</v>
      </c>
      <c r="AA1481" s="1144">
        <f t="shared" si="422"/>
        <v>7509.15</v>
      </c>
      <c r="AB1481" s="1144">
        <f t="shared" si="423"/>
        <v>0</v>
      </c>
      <c r="AC1481" s="1144">
        <f t="shared" si="424"/>
        <v>0</v>
      </c>
      <c r="AD1481" s="1148">
        <f t="shared" si="416"/>
        <v>9711.6627330077699</v>
      </c>
      <c r="AE1481" s="1487">
        <v>0</v>
      </c>
      <c r="AF1481" s="1145">
        <f t="shared" si="425"/>
        <v>9711.6627330077699</v>
      </c>
      <c r="AG1481" s="1149">
        <f>IFERROR(VLOOKUP(CONCATENATE($L1481,$N1481),'Drop List'!$G$23:$K$87,2,FALSE),0)</f>
        <v>0.56200000000000006</v>
      </c>
      <c r="AH1481" s="1150">
        <f>IFERROR(VLOOKUP(CONCATENATE($L1481,$N1481),'Drop List'!$G$23:$K$87,3,FALSE),0)</f>
        <v>0.43799999999999994</v>
      </c>
      <c r="AI1481" s="1150">
        <f>IFERROR(VLOOKUP(CONCATENATE($L1481,$N1481),'Drop List'!$G$23:$K$87,4,FALSE),0)</f>
        <v>0</v>
      </c>
      <c r="AJ1481" s="1151">
        <f>IFERROR(VLOOKUP(CONCATENATE($L1481,$N1481),'Drop List'!$G$23:$K$87,5,FALSE),0)</f>
        <v>0</v>
      </c>
      <c r="AK1481" s="1152">
        <f t="shared" si="426"/>
        <v>5457.9544559503674</v>
      </c>
      <c r="AL1481" s="1153">
        <f t="shared" si="427"/>
        <v>4253.7082770574025</v>
      </c>
      <c r="AM1481" s="1153">
        <f t="shared" si="428"/>
        <v>0</v>
      </c>
      <c r="AN1481" s="1145">
        <f t="shared" si="429"/>
        <v>0</v>
      </c>
      <c r="AO1481" s="1154">
        <f t="shared" si="412"/>
        <v>9711.6627330077699</v>
      </c>
      <c r="AP1481" s="1147">
        <f t="shared" si="417"/>
        <v>0</v>
      </c>
      <c r="AQ1481" s="1144">
        <f t="shared" si="418"/>
        <v>0</v>
      </c>
      <c r="AR1481" s="1146">
        <f t="shared" si="419"/>
        <v>9711.6627330077699</v>
      </c>
    </row>
    <row r="1482" spans="1:44" x14ac:dyDescent="0.2">
      <c r="A1482" s="1141" t="str">
        <f t="shared" si="414"/>
        <v>1577</v>
      </c>
      <c r="B1482" s="1141" t="str">
        <f>IFERROR(VLOOKUP(A1482,'LAC 103'!A:C,3,FALSE),"")</f>
        <v>OP</v>
      </c>
      <c r="C1482" s="1478" t="str">
        <f>Info!$B$8</f>
        <v>00100</v>
      </c>
      <c r="D1482" s="1474" t="s">
        <v>256</v>
      </c>
      <c r="E1482" s="1474" t="s">
        <v>95</v>
      </c>
      <c r="F1482" s="1478" t="s">
        <v>459</v>
      </c>
      <c r="G1482" s="1478" t="s">
        <v>459</v>
      </c>
      <c r="H1482" s="1474" t="s">
        <v>988</v>
      </c>
      <c r="I1482" s="1478" t="s">
        <v>811</v>
      </c>
      <c r="J1482" s="1478"/>
      <c r="K1482" s="1475" t="s">
        <v>847</v>
      </c>
      <c r="L1482" s="1474" t="s">
        <v>582</v>
      </c>
      <c r="M1482" s="1476" t="s">
        <v>841</v>
      </c>
      <c r="N1482" s="1477" t="s">
        <v>1695</v>
      </c>
      <c r="O1482" s="1479">
        <v>553</v>
      </c>
      <c r="P1482" s="1479"/>
      <c r="Q1482" s="1142">
        <f t="shared" si="415"/>
        <v>553</v>
      </c>
      <c r="R1482" s="1143">
        <f>IFERROR(VLOOKUP(CONCATENATE(E1482,G1482),'LAC 103'!$A$12:$O$95,11,FALSE),0)</f>
        <v>4.7723158393158576</v>
      </c>
      <c r="S1482" s="1144">
        <f>IFERROR(VLOOKUP(CONCATENATE($E1482,$G1482),'LAC 103'!$A$12:$O$95,12,FALSE),0)</f>
        <v>5.91</v>
      </c>
      <c r="T1482" s="1144">
        <f>IFERROR(VLOOKUP(CONCATENATE($E1482,$G1482),'LAC 103'!$A$12:$O$95,13,FALSE),0)</f>
        <v>3.69</v>
      </c>
      <c r="U1482" s="1144">
        <f>IFERROR(VLOOKUP(CONCATENATE($E1482,$G1482),'LAC 103'!$A$12:$O$95,14,FALSE),0)</f>
        <v>0</v>
      </c>
      <c r="V1482" s="1144">
        <f>IFERROR(VLOOKUP(CONCATENATE($E1482,$G1482),'LAC 103'!$A$12:$O$95,15,FALSE),0)</f>
        <v>0</v>
      </c>
      <c r="W1482" s="1145" t="str">
        <f>IFERROR(VLOOKUP(CONCATENATE($B1482,$N1482),'LAC 103'!$AI:$AQ,9,FALSE),"")</f>
        <v>Costs</v>
      </c>
      <c r="X1482" s="1146">
        <f t="shared" si="420"/>
        <v>4.7723158393158576</v>
      </c>
      <c r="Y1482" s="1143">
        <f t="shared" ref="Y1482:Y1545" si="430">$Q1482*R1482</f>
        <v>2639.0906591416692</v>
      </c>
      <c r="Z1482" s="1147">
        <f t="shared" si="421"/>
        <v>3268.23</v>
      </c>
      <c r="AA1482" s="1144">
        <f t="shared" si="422"/>
        <v>2040.57</v>
      </c>
      <c r="AB1482" s="1144">
        <f t="shared" si="423"/>
        <v>0</v>
      </c>
      <c r="AC1482" s="1144">
        <f t="shared" si="424"/>
        <v>0</v>
      </c>
      <c r="AD1482" s="1148">
        <f t="shared" si="416"/>
        <v>2639.0906591416692</v>
      </c>
      <c r="AE1482" s="1487">
        <v>0</v>
      </c>
      <c r="AF1482" s="1145">
        <f t="shared" si="425"/>
        <v>2639.0906591416692</v>
      </c>
      <c r="AG1482" s="1149">
        <f>IFERROR(VLOOKUP(CONCATENATE($L1482,$N1482),'Drop List'!$G$23:$K$87,2,FALSE),0)</f>
        <v>0.55000000000000004</v>
      </c>
      <c r="AH1482" s="1150">
        <f>IFERROR(VLOOKUP(CONCATENATE($L1482,$N1482),'Drop List'!$G$23:$K$87,3,FALSE),0)</f>
        <v>0.44999999999999996</v>
      </c>
      <c r="AI1482" s="1150">
        <f>IFERROR(VLOOKUP(CONCATENATE($L1482,$N1482),'Drop List'!$G$23:$K$87,4,FALSE),0)</f>
        <v>0</v>
      </c>
      <c r="AJ1482" s="1151">
        <f>IFERROR(VLOOKUP(CONCATENATE($L1482,$N1482),'Drop List'!$G$23:$K$87,5,FALSE),0)</f>
        <v>0</v>
      </c>
      <c r="AK1482" s="1152">
        <f t="shared" si="426"/>
        <v>1451.4998625279181</v>
      </c>
      <c r="AL1482" s="1153">
        <f t="shared" si="427"/>
        <v>1187.5907966137511</v>
      </c>
      <c r="AM1482" s="1153">
        <f t="shared" si="428"/>
        <v>0</v>
      </c>
      <c r="AN1482" s="1145">
        <f t="shared" si="429"/>
        <v>0</v>
      </c>
      <c r="AO1482" s="1154">
        <f t="shared" si="412"/>
        <v>2639.0906591416692</v>
      </c>
      <c r="AP1482" s="1147">
        <f t="shared" si="417"/>
        <v>0</v>
      </c>
      <c r="AQ1482" s="1144">
        <f t="shared" si="418"/>
        <v>0</v>
      </c>
      <c r="AR1482" s="1146">
        <f t="shared" si="419"/>
        <v>2639.0906591416692</v>
      </c>
    </row>
    <row r="1483" spans="1:44" x14ac:dyDescent="0.2">
      <c r="A1483" s="1141" t="str">
        <f t="shared" si="414"/>
        <v>1577</v>
      </c>
      <c r="B1483" s="1141" t="str">
        <f>IFERROR(VLOOKUP(A1483,'LAC 103'!A:C,3,FALSE),"")</f>
        <v>OP</v>
      </c>
      <c r="C1483" s="1478" t="str">
        <f>Info!$B$8</f>
        <v>00100</v>
      </c>
      <c r="D1483" s="1474" t="s">
        <v>256</v>
      </c>
      <c r="E1483" s="1474" t="s">
        <v>95</v>
      </c>
      <c r="F1483" s="1478" t="s">
        <v>459</v>
      </c>
      <c r="G1483" s="1478" t="s">
        <v>459</v>
      </c>
      <c r="H1483" s="1474" t="s">
        <v>988</v>
      </c>
      <c r="I1483" s="1478" t="s">
        <v>811</v>
      </c>
      <c r="J1483" s="1478"/>
      <c r="K1483" s="1475" t="s">
        <v>847</v>
      </c>
      <c r="L1483" s="1474" t="s">
        <v>582</v>
      </c>
      <c r="M1483" s="1476" t="s">
        <v>840</v>
      </c>
      <c r="N1483" s="1477" t="s">
        <v>1700</v>
      </c>
      <c r="O1483" s="1479">
        <v>70</v>
      </c>
      <c r="P1483" s="1479"/>
      <c r="Q1483" s="1142">
        <f t="shared" si="415"/>
        <v>70</v>
      </c>
      <c r="R1483" s="1143">
        <f>IFERROR(VLOOKUP(CONCATENATE(E1483,G1483),'LAC 103'!$A$12:$O$95,11,FALSE),0)</f>
        <v>4.7723158393158576</v>
      </c>
      <c r="S1483" s="1144">
        <f>IFERROR(VLOOKUP(CONCATENATE($E1483,$G1483),'LAC 103'!$A$12:$O$95,12,FALSE),0)</f>
        <v>5.91</v>
      </c>
      <c r="T1483" s="1144">
        <f>IFERROR(VLOOKUP(CONCATENATE($E1483,$G1483),'LAC 103'!$A$12:$O$95,13,FALSE),0)</f>
        <v>3.69</v>
      </c>
      <c r="U1483" s="1144">
        <f>IFERROR(VLOOKUP(CONCATENATE($E1483,$G1483),'LAC 103'!$A$12:$O$95,14,FALSE),0)</f>
        <v>0</v>
      </c>
      <c r="V1483" s="1144">
        <f>IFERROR(VLOOKUP(CONCATENATE($E1483,$G1483),'LAC 103'!$A$12:$O$95,15,FALSE),0)</f>
        <v>0</v>
      </c>
      <c r="W1483" s="1145" t="str">
        <f>IFERROR(VLOOKUP(CONCATENATE($B1483,$N1483),'LAC 103'!$AI:$AQ,9,FALSE),"")</f>
        <v>P.C.</v>
      </c>
      <c r="X1483" s="1146">
        <f t="shared" si="420"/>
        <v>3.69</v>
      </c>
      <c r="Y1483" s="1143">
        <f t="shared" si="430"/>
        <v>334.06210875211002</v>
      </c>
      <c r="Z1483" s="1147">
        <f t="shared" si="421"/>
        <v>413.7</v>
      </c>
      <c r="AA1483" s="1144">
        <f t="shared" si="422"/>
        <v>258.3</v>
      </c>
      <c r="AB1483" s="1144">
        <f t="shared" si="423"/>
        <v>0</v>
      </c>
      <c r="AC1483" s="1144">
        <f t="shared" si="424"/>
        <v>0</v>
      </c>
      <c r="AD1483" s="1148">
        <f t="shared" si="416"/>
        <v>258.3</v>
      </c>
      <c r="AE1483" s="1487">
        <v>0</v>
      </c>
      <c r="AF1483" s="1145">
        <f t="shared" si="425"/>
        <v>258.3</v>
      </c>
      <c r="AG1483" s="1149">
        <f>IFERROR(VLOOKUP(CONCATENATE($L1483,$N1483),'Drop List'!$G$23:$K$87,2,FALSE),0)</f>
        <v>0.55000000000000004</v>
      </c>
      <c r="AH1483" s="1150">
        <f>IFERROR(VLOOKUP(CONCATENATE($L1483,$N1483),'Drop List'!$G$23:$K$87,3,FALSE),0)</f>
        <v>0.44999999999999996</v>
      </c>
      <c r="AI1483" s="1150">
        <f>IFERROR(VLOOKUP(CONCATENATE($L1483,$N1483),'Drop List'!$G$23:$K$87,4,FALSE),0)</f>
        <v>0</v>
      </c>
      <c r="AJ1483" s="1151">
        <f>IFERROR(VLOOKUP(CONCATENATE($L1483,$N1483),'Drop List'!$G$23:$K$87,5,FALSE),0)</f>
        <v>0</v>
      </c>
      <c r="AK1483" s="1152">
        <f t="shared" si="426"/>
        <v>142.06500000000003</v>
      </c>
      <c r="AL1483" s="1153">
        <f t="shared" si="427"/>
        <v>116.235</v>
      </c>
      <c r="AM1483" s="1153">
        <f t="shared" si="428"/>
        <v>0</v>
      </c>
      <c r="AN1483" s="1145">
        <f t="shared" si="429"/>
        <v>0</v>
      </c>
      <c r="AO1483" s="1154">
        <f t="shared" si="412"/>
        <v>258.3</v>
      </c>
      <c r="AP1483" s="1147">
        <f t="shared" si="417"/>
        <v>0</v>
      </c>
      <c r="AQ1483" s="1144">
        <f t="shared" si="418"/>
        <v>0</v>
      </c>
      <c r="AR1483" s="1146">
        <f t="shared" si="419"/>
        <v>258.3</v>
      </c>
    </row>
    <row r="1484" spans="1:44" x14ac:dyDescent="0.2">
      <c r="A1484" s="1141" t="str">
        <f t="shared" si="414"/>
        <v>1577</v>
      </c>
      <c r="B1484" s="1141" t="str">
        <f>IFERROR(VLOOKUP(A1484,'LAC 103'!A:C,3,FALSE),"")</f>
        <v>OP</v>
      </c>
      <c r="C1484" s="1478" t="str">
        <f>Info!$B$8</f>
        <v>00100</v>
      </c>
      <c r="D1484" s="1474" t="s">
        <v>256</v>
      </c>
      <c r="E1484" s="1474" t="s">
        <v>95</v>
      </c>
      <c r="F1484" s="1478" t="s">
        <v>459</v>
      </c>
      <c r="G1484" s="1478" t="s">
        <v>459</v>
      </c>
      <c r="H1484" s="1474" t="s">
        <v>988</v>
      </c>
      <c r="I1484" s="1478" t="s">
        <v>811</v>
      </c>
      <c r="J1484" s="1478"/>
      <c r="K1484" s="1475" t="s">
        <v>847</v>
      </c>
      <c r="L1484" s="1474" t="s">
        <v>582</v>
      </c>
      <c r="M1484" s="1476" t="s">
        <v>842</v>
      </c>
      <c r="N1484" s="1477" t="s">
        <v>1692</v>
      </c>
      <c r="O1484" s="1479">
        <v>111</v>
      </c>
      <c r="P1484" s="1479"/>
      <c r="Q1484" s="1142">
        <f t="shared" si="415"/>
        <v>111</v>
      </c>
      <c r="R1484" s="1143">
        <f>IFERROR(VLOOKUP(CONCATENATE(E1484,G1484),'LAC 103'!$A$12:$O$95,11,FALSE),0)</f>
        <v>4.7723158393158576</v>
      </c>
      <c r="S1484" s="1144">
        <f>IFERROR(VLOOKUP(CONCATENATE($E1484,$G1484),'LAC 103'!$A$12:$O$95,12,FALSE),0)</f>
        <v>5.91</v>
      </c>
      <c r="T1484" s="1144">
        <f>IFERROR(VLOOKUP(CONCATENATE($E1484,$G1484),'LAC 103'!$A$12:$O$95,13,FALSE),0)</f>
        <v>3.69</v>
      </c>
      <c r="U1484" s="1144">
        <f>IFERROR(VLOOKUP(CONCATENATE($E1484,$G1484),'LAC 103'!$A$12:$O$95,14,FALSE),0)</f>
        <v>0</v>
      </c>
      <c r="V1484" s="1144">
        <f>IFERROR(VLOOKUP(CONCATENATE($E1484,$G1484),'LAC 103'!$A$12:$O$95,15,FALSE),0)</f>
        <v>0</v>
      </c>
      <c r="W1484" s="1145" t="str">
        <f>IFERROR(VLOOKUP(CONCATENATE($B1484,$N1484),'LAC 103'!$AI:$AQ,9,FALSE),"")</f>
        <v>Costs</v>
      </c>
      <c r="X1484" s="1146">
        <f t="shared" si="420"/>
        <v>4.7723158393158576</v>
      </c>
      <c r="Y1484" s="1143">
        <f t="shared" si="430"/>
        <v>529.72705816406017</v>
      </c>
      <c r="Z1484" s="1147">
        <f t="shared" si="421"/>
        <v>656.01</v>
      </c>
      <c r="AA1484" s="1144">
        <f t="shared" si="422"/>
        <v>409.59</v>
      </c>
      <c r="AB1484" s="1144">
        <f t="shared" si="423"/>
        <v>0</v>
      </c>
      <c r="AC1484" s="1144">
        <f t="shared" si="424"/>
        <v>0</v>
      </c>
      <c r="AD1484" s="1148">
        <f t="shared" si="416"/>
        <v>529.72705816406017</v>
      </c>
      <c r="AE1484" s="1487">
        <v>0</v>
      </c>
      <c r="AF1484" s="1145">
        <f t="shared" si="425"/>
        <v>529.72705816406017</v>
      </c>
      <c r="AG1484" s="1149">
        <f>IFERROR(VLOOKUP(CONCATENATE($L1484,$N1484),'Drop List'!$G$23:$K$87,2,FALSE),0)</f>
        <v>0.56200000000000006</v>
      </c>
      <c r="AH1484" s="1150">
        <f>IFERROR(VLOOKUP(CONCATENATE($L1484,$N1484),'Drop List'!$G$23:$K$87,3,FALSE),0)</f>
        <v>0.43799999999999994</v>
      </c>
      <c r="AI1484" s="1150">
        <f>IFERROR(VLOOKUP(CONCATENATE($L1484,$N1484),'Drop List'!$G$23:$K$87,4,FALSE),0)</f>
        <v>0</v>
      </c>
      <c r="AJ1484" s="1151">
        <f>IFERROR(VLOOKUP(CONCATENATE($L1484,$N1484),'Drop List'!$G$23:$K$87,5,FALSE),0)</f>
        <v>0</v>
      </c>
      <c r="AK1484" s="1152">
        <f t="shared" si="426"/>
        <v>297.70660668820182</v>
      </c>
      <c r="AL1484" s="1153">
        <f t="shared" si="427"/>
        <v>232.02045147585832</v>
      </c>
      <c r="AM1484" s="1153">
        <f t="shared" si="428"/>
        <v>0</v>
      </c>
      <c r="AN1484" s="1145">
        <f t="shared" si="429"/>
        <v>0</v>
      </c>
      <c r="AO1484" s="1154">
        <f t="shared" si="412"/>
        <v>529.72705816406017</v>
      </c>
      <c r="AP1484" s="1147">
        <f t="shared" si="417"/>
        <v>0</v>
      </c>
      <c r="AQ1484" s="1144">
        <f t="shared" si="418"/>
        <v>0</v>
      </c>
      <c r="AR1484" s="1146">
        <f t="shared" si="419"/>
        <v>529.72705816406017</v>
      </c>
    </row>
    <row r="1485" spans="1:44" x14ac:dyDescent="0.2">
      <c r="A1485" s="1141" t="str">
        <f t="shared" si="414"/>
        <v>1577</v>
      </c>
      <c r="B1485" s="1141" t="str">
        <f>IFERROR(VLOOKUP(A1485,'LAC 103'!A:C,3,FALSE),"")</f>
        <v>OP</v>
      </c>
      <c r="C1485" s="1478" t="str">
        <f>Info!$B$8</f>
        <v>00100</v>
      </c>
      <c r="D1485" s="1474" t="s">
        <v>256</v>
      </c>
      <c r="E1485" s="1474" t="s">
        <v>95</v>
      </c>
      <c r="F1485" s="1478" t="s">
        <v>459</v>
      </c>
      <c r="G1485" s="1478" t="s">
        <v>459</v>
      </c>
      <c r="H1485" s="1474" t="s">
        <v>988</v>
      </c>
      <c r="I1485" s="1478" t="s">
        <v>811</v>
      </c>
      <c r="J1485" s="1478"/>
      <c r="K1485" s="1475" t="s">
        <v>847</v>
      </c>
      <c r="L1485" s="1474" t="s">
        <v>582</v>
      </c>
      <c r="M1485" s="1476" t="s">
        <v>1698</v>
      </c>
      <c r="N1485" s="1477" t="s">
        <v>1693</v>
      </c>
      <c r="O1485" s="1479">
        <v>1965</v>
      </c>
      <c r="P1485" s="1479"/>
      <c r="Q1485" s="1142">
        <f t="shared" si="415"/>
        <v>1965</v>
      </c>
      <c r="R1485" s="1143">
        <f>IFERROR(VLOOKUP(CONCATENATE(E1485,G1485),'LAC 103'!$A$12:$O$95,11,FALSE),0)</f>
        <v>4.7723158393158576</v>
      </c>
      <c r="S1485" s="1144">
        <f>IFERROR(VLOOKUP(CONCATENATE($E1485,$G1485),'LAC 103'!$A$12:$O$95,12,FALSE),0)</f>
        <v>5.91</v>
      </c>
      <c r="T1485" s="1144">
        <f>IFERROR(VLOOKUP(CONCATENATE($E1485,$G1485),'LAC 103'!$A$12:$O$95,13,FALSE),0)</f>
        <v>3.69</v>
      </c>
      <c r="U1485" s="1144">
        <f>IFERROR(VLOOKUP(CONCATENATE($E1485,$G1485),'LAC 103'!$A$12:$O$95,14,FALSE),0)</f>
        <v>0</v>
      </c>
      <c r="V1485" s="1144">
        <f>IFERROR(VLOOKUP(CONCATENATE($E1485,$G1485),'LAC 103'!$A$12:$O$95,15,FALSE),0)</f>
        <v>0</v>
      </c>
      <c r="W1485" s="1145" t="str">
        <f>IFERROR(VLOOKUP(CONCATENATE($B1485,$N1485),'LAC 103'!$AI:$AQ,9,FALSE),"")</f>
        <v>Costs</v>
      </c>
      <c r="X1485" s="1146">
        <f t="shared" si="420"/>
        <v>4.7723158393158576</v>
      </c>
      <c r="Y1485" s="1143">
        <f t="shared" si="430"/>
        <v>9377.6006242556596</v>
      </c>
      <c r="Z1485" s="1147">
        <f t="shared" si="421"/>
        <v>11613.15</v>
      </c>
      <c r="AA1485" s="1144">
        <f t="shared" si="422"/>
        <v>7250.8499999999995</v>
      </c>
      <c r="AB1485" s="1144">
        <f t="shared" si="423"/>
        <v>0</v>
      </c>
      <c r="AC1485" s="1144">
        <f t="shared" si="424"/>
        <v>0</v>
      </c>
      <c r="AD1485" s="1148">
        <f t="shared" si="416"/>
        <v>9377.6006242556596</v>
      </c>
      <c r="AE1485" s="1487">
        <v>0</v>
      </c>
      <c r="AF1485" s="1145">
        <f t="shared" si="425"/>
        <v>9377.6006242556596</v>
      </c>
      <c r="AG1485" s="1149">
        <f>IFERROR(VLOOKUP(CONCATENATE($L1485,$N1485),'Drop List'!$G$23:$K$87,2,FALSE),0)</f>
        <v>0.56200000000000006</v>
      </c>
      <c r="AH1485" s="1150">
        <f>IFERROR(VLOOKUP(CONCATENATE($L1485,$N1485),'Drop List'!$G$23:$K$87,3,FALSE),0)</f>
        <v>0.43799999999999994</v>
      </c>
      <c r="AI1485" s="1150">
        <f>IFERROR(VLOOKUP(CONCATENATE($L1485,$N1485),'Drop List'!$G$23:$K$87,4,FALSE),0)</f>
        <v>0</v>
      </c>
      <c r="AJ1485" s="1151">
        <f>IFERROR(VLOOKUP(CONCATENATE($L1485,$N1485),'Drop List'!$G$23:$K$87,5,FALSE),0)</f>
        <v>0</v>
      </c>
      <c r="AK1485" s="1152">
        <f t="shared" si="426"/>
        <v>5270.2115508316811</v>
      </c>
      <c r="AL1485" s="1153">
        <f t="shared" si="427"/>
        <v>4107.3890734239785</v>
      </c>
      <c r="AM1485" s="1153">
        <f t="shared" si="428"/>
        <v>0</v>
      </c>
      <c r="AN1485" s="1145">
        <f t="shared" si="429"/>
        <v>0</v>
      </c>
      <c r="AO1485" s="1154">
        <f t="shared" si="412"/>
        <v>9377.6006242556596</v>
      </c>
      <c r="AP1485" s="1147">
        <f t="shared" si="417"/>
        <v>0</v>
      </c>
      <c r="AQ1485" s="1144">
        <f t="shared" si="418"/>
        <v>0</v>
      </c>
      <c r="AR1485" s="1146">
        <f t="shared" si="419"/>
        <v>9377.6006242556596</v>
      </c>
    </row>
    <row r="1486" spans="1:44" x14ac:dyDescent="0.2">
      <c r="A1486" s="1141" t="str">
        <f t="shared" si="414"/>
        <v>1577</v>
      </c>
      <c r="B1486" s="1141" t="str">
        <f>IFERROR(VLOOKUP(A1486,'LAC 103'!A:C,3,FALSE),"")</f>
        <v>OP</v>
      </c>
      <c r="C1486" s="1478" t="str">
        <f>Info!$B$8</f>
        <v>00100</v>
      </c>
      <c r="D1486" s="1474" t="s">
        <v>256</v>
      </c>
      <c r="E1486" s="1474" t="s">
        <v>95</v>
      </c>
      <c r="F1486" s="1478" t="s">
        <v>459</v>
      </c>
      <c r="G1486" s="1478" t="s">
        <v>459</v>
      </c>
      <c r="H1486" s="1474" t="s">
        <v>988</v>
      </c>
      <c r="I1486" s="1478" t="s">
        <v>811</v>
      </c>
      <c r="J1486" s="1478"/>
      <c r="K1486" s="1475" t="s">
        <v>848</v>
      </c>
      <c r="L1486" s="1474" t="s">
        <v>45</v>
      </c>
      <c r="M1486" s="1476" t="s">
        <v>842</v>
      </c>
      <c r="N1486" s="1477" t="s">
        <v>1692</v>
      </c>
      <c r="O1486" s="1479">
        <v>697</v>
      </c>
      <c r="P1486" s="1479"/>
      <c r="Q1486" s="1142">
        <f t="shared" si="415"/>
        <v>697</v>
      </c>
      <c r="R1486" s="1143">
        <f>IFERROR(VLOOKUP(CONCATENATE(E1486,G1486),'LAC 103'!$A$12:$O$95,11,FALSE),0)</f>
        <v>4.7723158393158576</v>
      </c>
      <c r="S1486" s="1144">
        <f>IFERROR(VLOOKUP(CONCATENATE($E1486,$G1486),'LAC 103'!$A$12:$O$95,12,FALSE),0)</f>
        <v>5.91</v>
      </c>
      <c r="T1486" s="1144">
        <f>IFERROR(VLOOKUP(CONCATENATE($E1486,$G1486),'LAC 103'!$A$12:$O$95,13,FALSE),0)</f>
        <v>3.69</v>
      </c>
      <c r="U1486" s="1144">
        <f>IFERROR(VLOOKUP(CONCATENATE($E1486,$G1486),'LAC 103'!$A$12:$O$95,14,FALSE),0)</f>
        <v>0</v>
      </c>
      <c r="V1486" s="1144">
        <f>IFERROR(VLOOKUP(CONCATENATE($E1486,$G1486),'LAC 103'!$A$12:$O$95,15,FALSE),0)</f>
        <v>0</v>
      </c>
      <c r="W1486" s="1145" t="str">
        <f>IFERROR(VLOOKUP(CONCATENATE($B1486,$N1486),'LAC 103'!$AI:$AQ,9,FALSE),"")</f>
        <v>Costs</v>
      </c>
      <c r="X1486" s="1146">
        <f t="shared" si="420"/>
        <v>4.7723158393158576</v>
      </c>
      <c r="Y1486" s="1143">
        <f t="shared" si="430"/>
        <v>3326.3041400031525</v>
      </c>
      <c r="Z1486" s="1147">
        <f t="shared" si="421"/>
        <v>4119.2700000000004</v>
      </c>
      <c r="AA1486" s="1144">
        <f t="shared" si="422"/>
        <v>2571.9299999999998</v>
      </c>
      <c r="AB1486" s="1144">
        <f t="shared" si="423"/>
        <v>0</v>
      </c>
      <c r="AC1486" s="1144">
        <f t="shared" si="424"/>
        <v>0</v>
      </c>
      <c r="AD1486" s="1148">
        <f t="shared" si="416"/>
        <v>3326.3041400031525</v>
      </c>
      <c r="AE1486" s="1487">
        <v>0</v>
      </c>
      <c r="AF1486" s="1145">
        <f t="shared" si="425"/>
        <v>3326.3041400031525</v>
      </c>
      <c r="AG1486" s="1149">
        <f>IFERROR(VLOOKUP(CONCATENATE($L1486,$N1486),'Drop List'!$G$23:$K$87,2,FALSE),0)</f>
        <v>0.69340000000000002</v>
      </c>
      <c r="AH1486" s="1150">
        <f>IFERROR(VLOOKUP(CONCATENATE($L1486,$N1486),'Drop List'!$G$23:$K$87,3,FALSE),0)</f>
        <v>0.30659999999999998</v>
      </c>
      <c r="AI1486" s="1150">
        <f>IFERROR(VLOOKUP(CONCATENATE($L1486,$N1486),'Drop List'!$G$23:$K$87,4,FALSE),0)</f>
        <v>0</v>
      </c>
      <c r="AJ1486" s="1151">
        <f>IFERROR(VLOOKUP(CONCATENATE($L1486,$N1486),'Drop List'!$G$23:$K$87,5,FALSE),0)</f>
        <v>0</v>
      </c>
      <c r="AK1486" s="1152">
        <f t="shared" si="426"/>
        <v>2306.4592906781859</v>
      </c>
      <c r="AL1486" s="1153">
        <f t="shared" si="427"/>
        <v>1019.8448493249665</v>
      </c>
      <c r="AM1486" s="1153">
        <f t="shared" si="428"/>
        <v>0</v>
      </c>
      <c r="AN1486" s="1145">
        <f t="shared" si="429"/>
        <v>0</v>
      </c>
      <c r="AO1486" s="1154">
        <f t="shared" si="412"/>
        <v>3326.3041400031525</v>
      </c>
      <c r="AP1486" s="1147">
        <f t="shared" si="417"/>
        <v>0</v>
      </c>
      <c r="AQ1486" s="1144">
        <f t="shared" si="418"/>
        <v>0</v>
      </c>
      <c r="AR1486" s="1146">
        <f t="shared" si="419"/>
        <v>3326.3041400031525</v>
      </c>
    </row>
    <row r="1487" spans="1:44" x14ac:dyDescent="0.2">
      <c r="A1487" s="1141" t="str">
        <f t="shared" si="414"/>
        <v>1577</v>
      </c>
      <c r="B1487" s="1141" t="str">
        <f>IFERROR(VLOOKUP(A1487,'LAC 103'!A:C,3,FALSE),"")</f>
        <v>OP</v>
      </c>
      <c r="C1487" s="1478" t="str">
        <f>Info!$B$8</f>
        <v>00100</v>
      </c>
      <c r="D1487" s="1474" t="s">
        <v>256</v>
      </c>
      <c r="E1487" s="1474" t="s">
        <v>95</v>
      </c>
      <c r="F1487" s="1478" t="s">
        <v>459</v>
      </c>
      <c r="G1487" s="1478" t="s">
        <v>459</v>
      </c>
      <c r="H1487" s="1474" t="s">
        <v>988</v>
      </c>
      <c r="I1487" s="1478" t="s">
        <v>811</v>
      </c>
      <c r="J1487" s="1478"/>
      <c r="K1487" s="1475" t="s">
        <v>848</v>
      </c>
      <c r="L1487" s="1474" t="s">
        <v>45</v>
      </c>
      <c r="M1487" s="1476" t="s">
        <v>1698</v>
      </c>
      <c r="N1487" s="1477" t="s">
        <v>1693</v>
      </c>
      <c r="O1487" s="1479">
        <v>75</v>
      </c>
      <c r="P1487" s="1479"/>
      <c r="Q1487" s="1142">
        <f t="shared" si="415"/>
        <v>75</v>
      </c>
      <c r="R1487" s="1143">
        <f>IFERROR(VLOOKUP(CONCATENATE(E1487,G1487),'LAC 103'!$A$12:$O$95,11,FALSE),0)</f>
        <v>4.7723158393158576</v>
      </c>
      <c r="S1487" s="1144">
        <f>IFERROR(VLOOKUP(CONCATENATE($E1487,$G1487),'LAC 103'!$A$12:$O$95,12,FALSE),0)</f>
        <v>5.91</v>
      </c>
      <c r="T1487" s="1144">
        <f>IFERROR(VLOOKUP(CONCATENATE($E1487,$G1487),'LAC 103'!$A$12:$O$95,13,FALSE),0)</f>
        <v>3.69</v>
      </c>
      <c r="U1487" s="1144">
        <f>IFERROR(VLOOKUP(CONCATENATE($E1487,$G1487),'LAC 103'!$A$12:$O$95,14,FALSE),0)</f>
        <v>0</v>
      </c>
      <c r="V1487" s="1144">
        <f>IFERROR(VLOOKUP(CONCATENATE($E1487,$G1487),'LAC 103'!$A$12:$O$95,15,FALSE),0)</f>
        <v>0</v>
      </c>
      <c r="W1487" s="1145" t="str">
        <f>IFERROR(VLOOKUP(CONCATENATE($B1487,$N1487),'LAC 103'!$AI:$AQ,9,FALSE),"")</f>
        <v>Costs</v>
      </c>
      <c r="X1487" s="1146">
        <f t="shared" si="420"/>
        <v>4.7723158393158576</v>
      </c>
      <c r="Y1487" s="1143">
        <f t="shared" si="430"/>
        <v>357.92368794868929</v>
      </c>
      <c r="Z1487" s="1147">
        <f t="shared" si="421"/>
        <v>443.25</v>
      </c>
      <c r="AA1487" s="1144">
        <f t="shared" si="422"/>
        <v>276.75</v>
      </c>
      <c r="AB1487" s="1144">
        <f t="shared" si="423"/>
        <v>0</v>
      </c>
      <c r="AC1487" s="1144">
        <f t="shared" si="424"/>
        <v>0</v>
      </c>
      <c r="AD1487" s="1148">
        <f t="shared" si="416"/>
        <v>357.92368794868929</v>
      </c>
      <c r="AE1487" s="1487">
        <v>0</v>
      </c>
      <c r="AF1487" s="1145">
        <f t="shared" si="425"/>
        <v>357.92368794868929</v>
      </c>
      <c r="AG1487" s="1149">
        <f>IFERROR(VLOOKUP(CONCATENATE($L1487,$N1487),'Drop List'!$G$23:$K$87,2,FALSE),0)</f>
        <v>0.69340000000000002</v>
      </c>
      <c r="AH1487" s="1150">
        <f>IFERROR(VLOOKUP(CONCATENATE($L1487,$N1487),'Drop List'!$G$23:$K$87,3,FALSE),0)</f>
        <v>0.30659999999999998</v>
      </c>
      <c r="AI1487" s="1150">
        <f>IFERROR(VLOOKUP(CONCATENATE($L1487,$N1487),'Drop List'!$G$23:$K$87,4,FALSE),0)</f>
        <v>0</v>
      </c>
      <c r="AJ1487" s="1151">
        <f>IFERROR(VLOOKUP(CONCATENATE($L1487,$N1487),'Drop List'!$G$23:$K$87,5,FALSE),0)</f>
        <v>0</v>
      </c>
      <c r="AK1487" s="1152">
        <f t="shared" si="426"/>
        <v>248.18428522362117</v>
      </c>
      <c r="AL1487" s="1153">
        <f t="shared" si="427"/>
        <v>109.73940272506813</v>
      </c>
      <c r="AM1487" s="1153">
        <f t="shared" si="428"/>
        <v>0</v>
      </c>
      <c r="AN1487" s="1145">
        <f t="shared" si="429"/>
        <v>0</v>
      </c>
      <c r="AO1487" s="1154">
        <f t="shared" si="412"/>
        <v>357.92368794868929</v>
      </c>
      <c r="AP1487" s="1147">
        <f t="shared" si="417"/>
        <v>0</v>
      </c>
      <c r="AQ1487" s="1144">
        <f t="shared" si="418"/>
        <v>0</v>
      </c>
      <c r="AR1487" s="1146">
        <f t="shared" si="419"/>
        <v>357.92368794868929</v>
      </c>
    </row>
    <row r="1488" spans="1:44" x14ac:dyDescent="0.2">
      <c r="A1488" s="1141" t="str">
        <f t="shared" si="414"/>
        <v>1577</v>
      </c>
      <c r="B1488" s="1141" t="str">
        <f>IFERROR(VLOOKUP(A1488,'LAC 103'!A:C,3,FALSE),"")</f>
        <v>OP</v>
      </c>
      <c r="C1488" s="1478" t="str">
        <f>Info!$B$8</f>
        <v>00100</v>
      </c>
      <c r="D1488" s="1474" t="s">
        <v>256</v>
      </c>
      <c r="E1488" s="1474" t="s">
        <v>95</v>
      </c>
      <c r="F1488" s="1478" t="s">
        <v>459</v>
      </c>
      <c r="G1488" s="1478" t="s">
        <v>459</v>
      </c>
      <c r="H1488" s="1474" t="s">
        <v>988</v>
      </c>
      <c r="I1488" s="1478" t="s">
        <v>811</v>
      </c>
      <c r="J1488" s="1478"/>
      <c r="K1488" s="1475" t="s">
        <v>849</v>
      </c>
      <c r="L1488" s="1474" t="s">
        <v>77</v>
      </c>
      <c r="M1488" s="1476" t="s">
        <v>1699</v>
      </c>
      <c r="N1488" s="1477" t="s">
        <v>1694</v>
      </c>
      <c r="O1488" s="1479">
        <v>1120</v>
      </c>
      <c r="P1488" s="1479"/>
      <c r="Q1488" s="1142">
        <f t="shared" si="415"/>
        <v>1120</v>
      </c>
      <c r="R1488" s="1143">
        <f>IFERROR(VLOOKUP(CONCATENATE(E1488,G1488),'LAC 103'!$A$12:$O$95,11,FALSE),0)</f>
        <v>4.7723158393158576</v>
      </c>
      <c r="S1488" s="1144">
        <f>IFERROR(VLOOKUP(CONCATENATE($E1488,$G1488),'LAC 103'!$A$12:$O$95,12,FALSE),0)</f>
        <v>5.91</v>
      </c>
      <c r="T1488" s="1144">
        <f>IFERROR(VLOOKUP(CONCATENATE($E1488,$G1488),'LAC 103'!$A$12:$O$95,13,FALSE),0)</f>
        <v>3.69</v>
      </c>
      <c r="U1488" s="1144">
        <f>IFERROR(VLOOKUP(CONCATENATE($E1488,$G1488),'LAC 103'!$A$12:$O$95,14,FALSE),0)</f>
        <v>0</v>
      </c>
      <c r="V1488" s="1144">
        <f>IFERROR(VLOOKUP(CONCATENATE($E1488,$G1488),'LAC 103'!$A$12:$O$95,15,FALSE),0)</f>
        <v>0</v>
      </c>
      <c r="W1488" s="1145" t="str">
        <f>IFERROR(VLOOKUP(CONCATENATE($B1488,$N1488),'LAC 103'!$AI:$AQ,9,FALSE),"")</f>
        <v>Costs</v>
      </c>
      <c r="X1488" s="1146">
        <f t="shared" si="420"/>
        <v>4.7723158393158576</v>
      </c>
      <c r="Y1488" s="1143">
        <f t="shared" si="430"/>
        <v>5344.9937400337603</v>
      </c>
      <c r="Z1488" s="1147">
        <f t="shared" si="421"/>
        <v>6619.2</v>
      </c>
      <c r="AA1488" s="1144">
        <f t="shared" si="422"/>
        <v>4132.8</v>
      </c>
      <c r="AB1488" s="1144">
        <f t="shared" si="423"/>
        <v>0</v>
      </c>
      <c r="AC1488" s="1144">
        <f t="shared" si="424"/>
        <v>0</v>
      </c>
      <c r="AD1488" s="1148">
        <f t="shared" si="416"/>
        <v>5344.9937400337603</v>
      </c>
      <c r="AE1488" s="1487">
        <v>0</v>
      </c>
      <c r="AF1488" s="1145">
        <f t="shared" si="425"/>
        <v>5344.9937400337603</v>
      </c>
      <c r="AG1488" s="1149">
        <f>IFERROR(VLOOKUP(CONCATENATE($L1488,$N1488),'Drop List'!$G$23:$K$87,2,FALSE),0)</f>
        <v>0.9</v>
      </c>
      <c r="AH1488" s="1150">
        <f>IFERROR(VLOOKUP(CONCATENATE($L1488,$N1488),'Drop List'!$G$23:$K$87,3,FALSE),0)</f>
        <v>0</v>
      </c>
      <c r="AI1488" s="1150">
        <f>IFERROR(VLOOKUP(CONCATENATE($L1488,$N1488),'Drop List'!$G$23:$K$87,4,FALSE),0)</f>
        <v>0.1</v>
      </c>
      <c r="AJ1488" s="1151">
        <f>IFERROR(VLOOKUP(CONCATENATE($L1488,$N1488),'Drop List'!$G$23:$K$87,5,FALSE),0)</f>
        <v>0</v>
      </c>
      <c r="AK1488" s="1152">
        <f t="shared" si="426"/>
        <v>4810.4943660303843</v>
      </c>
      <c r="AL1488" s="1153">
        <f t="shared" si="427"/>
        <v>0</v>
      </c>
      <c r="AM1488" s="1153">
        <f t="shared" si="428"/>
        <v>534.49937400337603</v>
      </c>
      <c r="AN1488" s="1145">
        <f t="shared" si="429"/>
        <v>0</v>
      </c>
      <c r="AO1488" s="1154">
        <f t="shared" si="412"/>
        <v>5344.9937400337603</v>
      </c>
      <c r="AP1488" s="1147">
        <f t="shared" si="417"/>
        <v>0</v>
      </c>
      <c r="AQ1488" s="1144">
        <f t="shared" si="418"/>
        <v>0</v>
      </c>
      <c r="AR1488" s="1146">
        <f t="shared" si="419"/>
        <v>5344.9937400337603</v>
      </c>
    </row>
    <row r="1489" spans="1:44" x14ac:dyDescent="0.2">
      <c r="A1489" s="1141" t="str">
        <f t="shared" si="414"/>
        <v>1577</v>
      </c>
      <c r="B1489" s="1141" t="str">
        <f>IFERROR(VLOOKUP(A1489,'LAC 103'!A:C,3,FALSE),"")</f>
        <v>OP</v>
      </c>
      <c r="C1489" s="1478" t="str">
        <f>Info!$B$8</f>
        <v>00100</v>
      </c>
      <c r="D1489" s="1474" t="s">
        <v>256</v>
      </c>
      <c r="E1489" s="1474" t="s">
        <v>95</v>
      </c>
      <c r="F1489" s="1478" t="s">
        <v>459</v>
      </c>
      <c r="G1489" s="1478" t="s">
        <v>459</v>
      </c>
      <c r="H1489" s="1474" t="s">
        <v>988</v>
      </c>
      <c r="I1489" s="1478" t="s">
        <v>811</v>
      </c>
      <c r="J1489" s="1478"/>
      <c r="K1489" s="1475" t="s">
        <v>849</v>
      </c>
      <c r="L1489" s="1474" t="s">
        <v>77</v>
      </c>
      <c r="M1489" s="1476" t="s">
        <v>841</v>
      </c>
      <c r="N1489" s="1477" t="s">
        <v>1695</v>
      </c>
      <c r="O1489" s="1479">
        <v>634</v>
      </c>
      <c r="P1489" s="1479"/>
      <c r="Q1489" s="1142">
        <f t="shared" si="415"/>
        <v>634</v>
      </c>
      <c r="R1489" s="1143">
        <f>IFERROR(VLOOKUP(CONCATENATE(E1489,G1489),'LAC 103'!$A$12:$O$95,11,FALSE),0)</f>
        <v>4.7723158393158576</v>
      </c>
      <c r="S1489" s="1144">
        <f>IFERROR(VLOOKUP(CONCATENATE($E1489,$G1489),'LAC 103'!$A$12:$O$95,12,FALSE),0)</f>
        <v>5.91</v>
      </c>
      <c r="T1489" s="1144">
        <f>IFERROR(VLOOKUP(CONCATENATE($E1489,$G1489),'LAC 103'!$A$12:$O$95,13,FALSE),0)</f>
        <v>3.69</v>
      </c>
      <c r="U1489" s="1144">
        <f>IFERROR(VLOOKUP(CONCATENATE($E1489,$G1489),'LAC 103'!$A$12:$O$95,14,FALSE),0)</f>
        <v>0</v>
      </c>
      <c r="V1489" s="1144">
        <f>IFERROR(VLOOKUP(CONCATENATE($E1489,$G1489),'LAC 103'!$A$12:$O$95,15,FALSE),0)</f>
        <v>0</v>
      </c>
      <c r="W1489" s="1145" t="str">
        <f>IFERROR(VLOOKUP(CONCATENATE($B1489,$N1489),'LAC 103'!$AI:$AQ,9,FALSE),"")</f>
        <v>Costs</v>
      </c>
      <c r="X1489" s="1146">
        <f t="shared" si="420"/>
        <v>4.7723158393158576</v>
      </c>
      <c r="Y1489" s="1143">
        <f t="shared" si="430"/>
        <v>3025.6482421262535</v>
      </c>
      <c r="Z1489" s="1147">
        <f t="shared" si="421"/>
        <v>3746.94</v>
      </c>
      <c r="AA1489" s="1144">
        <f t="shared" si="422"/>
        <v>2339.46</v>
      </c>
      <c r="AB1489" s="1144">
        <f t="shared" si="423"/>
        <v>0</v>
      </c>
      <c r="AC1489" s="1144">
        <f t="shared" si="424"/>
        <v>0</v>
      </c>
      <c r="AD1489" s="1148">
        <f t="shared" si="416"/>
        <v>3025.6482421262535</v>
      </c>
      <c r="AE1489" s="1487">
        <v>0</v>
      </c>
      <c r="AF1489" s="1145">
        <f t="shared" si="425"/>
        <v>3025.6482421262535</v>
      </c>
      <c r="AG1489" s="1149">
        <f>IFERROR(VLOOKUP(CONCATENATE($L1489,$N1489),'Drop List'!$G$23:$K$87,2,FALSE),0)</f>
        <v>0.9</v>
      </c>
      <c r="AH1489" s="1150">
        <f>IFERROR(VLOOKUP(CONCATENATE($L1489,$N1489),'Drop List'!$G$23:$K$87,3,FALSE),0)</f>
        <v>0</v>
      </c>
      <c r="AI1489" s="1150">
        <f>IFERROR(VLOOKUP(CONCATENATE($L1489,$N1489),'Drop List'!$G$23:$K$87,4,FALSE),0)</f>
        <v>0.1</v>
      </c>
      <c r="AJ1489" s="1151">
        <f>IFERROR(VLOOKUP(CONCATENATE($L1489,$N1489),'Drop List'!$G$23:$K$87,5,FALSE),0)</f>
        <v>0</v>
      </c>
      <c r="AK1489" s="1152">
        <f t="shared" si="426"/>
        <v>2723.0834179136282</v>
      </c>
      <c r="AL1489" s="1153">
        <f t="shared" si="427"/>
        <v>0</v>
      </c>
      <c r="AM1489" s="1153">
        <f t="shared" si="428"/>
        <v>302.56482421262535</v>
      </c>
      <c r="AN1489" s="1145">
        <f t="shared" si="429"/>
        <v>0</v>
      </c>
      <c r="AO1489" s="1154">
        <f t="shared" si="412"/>
        <v>3025.6482421262535</v>
      </c>
      <c r="AP1489" s="1147">
        <f t="shared" si="417"/>
        <v>0</v>
      </c>
      <c r="AQ1489" s="1144">
        <f t="shared" si="418"/>
        <v>0</v>
      </c>
      <c r="AR1489" s="1146">
        <f t="shared" si="419"/>
        <v>3025.6482421262535</v>
      </c>
    </row>
    <row r="1490" spans="1:44" x14ac:dyDescent="0.2">
      <c r="A1490" s="1141" t="str">
        <f t="shared" si="414"/>
        <v>1577</v>
      </c>
      <c r="B1490" s="1141" t="str">
        <f>IFERROR(VLOOKUP(A1490,'LAC 103'!A:C,3,FALSE),"")</f>
        <v>OP</v>
      </c>
      <c r="C1490" s="1478" t="str">
        <f>Info!$B$8</f>
        <v>00100</v>
      </c>
      <c r="D1490" s="1474" t="s">
        <v>256</v>
      </c>
      <c r="E1490" s="1474" t="s">
        <v>95</v>
      </c>
      <c r="F1490" s="1478" t="s">
        <v>459</v>
      </c>
      <c r="G1490" s="1478" t="s">
        <v>459</v>
      </c>
      <c r="H1490" s="1474" t="s">
        <v>988</v>
      </c>
      <c r="I1490" s="1478" t="s">
        <v>811</v>
      </c>
      <c r="J1490" s="1478"/>
      <c r="K1490" s="1475" t="s">
        <v>849</v>
      </c>
      <c r="L1490" s="1474" t="s">
        <v>77</v>
      </c>
      <c r="M1490" s="1476" t="s">
        <v>840</v>
      </c>
      <c r="N1490" s="1477" t="s">
        <v>1700</v>
      </c>
      <c r="O1490" s="1479">
        <v>658</v>
      </c>
      <c r="P1490" s="1479"/>
      <c r="Q1490" s="1142">
        <f t="shared" si="415"/>
        <v>658</v>
      </c>
      <c r="R1490" s="1143">
        <f>IFERROR(VLOOKUP(CONCATENATE(E1490,G1490),'LAC 103'!$A$12:$O$95,11,FALSE),0)</f>
        <v>4.7723158393158576</v>
      </c>
      <c r="S1490" s="1144">
        <f>IFERROR(VLOOKUP(CONCATENATE($E1490,$G1490),'LAC 103'!$A$12:$O$95,12,FALSE),0)</f>
        <v>5.91</v>
      </c>
      <c r="T1490" s="1144">
        <f>IFERROR(VLOOKUP(CONCATENATE($E1490,$G1490),'LAC 103'!$A$12:$O$95,13,FALSE),0)</f>
        <v>3.69</v>
      </c>
      <c r="U1490" s="1144">
        <f>IFERROR(VLOOKUP(CONCATENATE($E1490,$G1490),'LAC 103'!$A$12:$O$95,14,FALSE),0)</f>
        <v>0</v>
      </c>
      <c r="V1490" s="1144">
        <f>IFERROR(VLOOKUP(CONCATENATE($E1490,$G1490),'LAC 103'!$A$12:$O$95,15,FALSE),0)</f>
        <v>0</v>
      </c>
      <c r="W1490" s="1145" t="str">
        <f>IFERROR(VLOOKUP(CONCATENATE($B1490,$N1490),'LAC 103'!$AI:$AQ,9,FALSE),"")</f>
        <v>P.C.</v>
      </c>
      <c r="X1490" s="1146">
        <f t="shared" si="420"/>
        <v>3.69</v>
      </c>
      <c r="Y1490" s="1143">
        <f t="shared" si="430"/>
        <v>3140.1838222698343</v>
      </c>
      <c r="Z1490" s="1147">
        <f t="shared" si="421"/>
        <v>3888.78</v>
      </c>
      <c r="AA1490" s="1144">
        <f t="shared" si="422"/>
        <v>2428.02</v>
      </c>
      <c r="AB1490" s="1144">
        <f t="shared" si="423"/>
        <v>0</v>
      </c>
      <c r="AC1490" s="1144">
        <f t="shared" si="424"/>
        <v>0</v>
      </c>
      <c r="AD1490" s="1148">
        <f t="shared" si="416"/>
        <v>2428.02</v>
      </c>
      <c r="AE1490" s="1487">
        <v>0</v>
      </c>
      <c r="AF1490" s="1145">
        <f t="shared" si="425"/>
        <v>2428.02</v>
      </c>
      <c r="AG1490" s="1149">
        <f>IFERROR(VLOOKUP(CONCATENATE($L1490,$N1490),'Drop List'!$G$23:$K$87,2,FALSE),0)</f>
        <v>0.9</v>
      </c>
      <c r="AH1490" s="1150">
        <f>IFERROR(VLOOKUP(CONCATENATE($L1490,$N1490),'Drop List'!$G$23:$K$87,3,FALSE),0)</f>
        <v>0</v>
      </c>
      <c r="AI1490" s="1150">
        <f>IFERROR(VLOOKUP(CONCATENATE($L1490,$N1490),'Drop List'!$G$23:$K$87,4,FALSE),0)</f>
        <v>0.1</v>
      </c>
      <c r="AJ1490" s="1151">
        <f>IFERROR(VLOOKUP(CONCATENATE($L1490,$N1490),'Drop List'!$G$23:$K$87,5,FALSE),0)</f>
        <v>0</v>
      </c>
      <c r="AK1490" s="1152">
        <f t="shared" si="426"/>
        <v>2185.2179999999998</v>
      </c>
      <c r="AL1490" s="1153">
        <f t="shared" si="427"/>
        <v>0</v>
      </c>
      <c r="AM1490" s="1153">
        <f t="shared" si="428"/>
        <v>242.80200000000002</v>
      </c>
      <c r="AN1490" s="1145">
        <f t="shared" si="429"/>
        <v>0</v>
      </c>
      <c r="AO1490" s="1154">
        <f t="shared" si="412"/>
        <v>2428.02</v>
      </c>
      <c r="AP1490" s="1147">
        <f t="shared" si="417"/>
        <v>0</v>
      </c>
      <c r="AQ1490" s="1144">
        <f t="shared" si="418"/>
        <v>0</v>
      </c>
      <c r="AR1490" s="1146">
        <f t="shared" si="419"/>
        <v>2428.02</v>
      </c>
    </row>
    <row r="1491" spans="1:44" x14ac:dyDescent="0.2">
      <c r="A1491" s="1141" t="str">
        <f t="shared" si="414"/>
        <v>1577</v>
      </c>
      <c r="B1491" s="1141" t="str">
        <f>IFERROR(VLOOKUP(A1491,'LAC 103'!A:C,3,FALSE),"")</f>
        <v>OP</v>
      </c>
      <c r="C1491" s="1478" t="str">
        <f>Info!$B$8</f>
        <v>00100</v>
      </c>
      <c r="D1491" s="1474" t="s">
        <v>256</v>
      </c>
      <c r="E1491" s="1474" t="s">
        <v>95</v>
      </c>
      <c r="F1491" s="1478" t="s">
        <v>459</v>
      </c>
      <c r="G1491" s="1478" t="s">
        <v>459</v>
      </c>
      <c r="H1491" s="1474" t="s">
        <v>988</v>
      </c>
      <c r="I1491" s="1478" t="s">
        <v>811</v>
      </c>
      <c r="J1491" s="1478"/>
      <c r="K1491" s="1475" t="s">
        <v>849</v>
      </c>
      <c r="L1491" s="1474" t="s">
        <v>77</v>
      </c>
      <c r="M1491" s="1476" t="s">
        <v>842</v>
      </c>
      <c r="N1491" s="1477" t="s">
        <v>1692</v>
      </c>
      <c r="O1491" s="1479">
        <v>1423</v>
      </c>
      <c r="P1491" s="1479"/>
      <c r="Q1491" s="1142">
        <f t="shared" si="415"/>
        <v>1423</v>
      </c>
      <c r="R1491" s="1143">
        <f>IFERROR(VLOOKUP(CONCATENATE(E1491,G1491),'LAC 103'!$A$12:$O$95,11,FALSE),0)</f>
        <v>4.7723158393158576</v>
      </c>
      <c r="S1491" s="1144">
        <f>IFERROR(VLOOKUP(CONCATENATE($E1491,$G1491),'LAC 103'!$A$12:$O$95,12,FALSE),0)</f>
        <v>5.91</v>
      </c>
      <c r="T1491" s="1144">
        <f>IFERROR(VLOOKUP(CONCATENATE($E1491,$G1491),'LAC 103'!$A$12:$O$95,13,FALSE),0)</f>
        <v>3.69</v>
      </c>
      <c r="U1491" s="1144">
        <f>IFERROR(VLOOKUP(CONCATENATE($E1491,$G1491),'LAC 103'!$A$12:$O$95,14,FALSE),0)</f>
        <v>0</v>
      </c>
      <c r="V1491" s="1144">
        <f>IFERROR(VLOOKUP(CONCATENATE($E1491,$G1491),'LAC 103'!$A$12:$O$95,15,FALSE),0)</f>
        <v>0</v>
      </c>
      <c r="W1491" s="1145" t="str">
        <f>IFERROR(VLOOKUP(CONCATENATE($B1491,$N1491),'LAC 103'!$AI:$AQ,9,FALSE),"")</f>
        <v>Costs</v>
      </c>
      <c r="X1491" s="1146">
        <f t="shared" si="420"/>
        <v>4.7723158393158576</v>
      </c>
      <c r="Y1491" s="1143">
        <f t="shared" si="430"/>
        <v>6791.0054393464652</v>
      </c>
      <c r="Z1491" s="1147">
        <f t="shared" si="421"/>
        <v>8409.93</v>
      </c>
      <c r="AA1491" s="1144">
        <f t="shared" si="422"/>
        <v>5250.87</v>
      </c>
      <c r="AB1491" s="1144">
        <f t="shared" si="423"/>
        <v>0</v>
      </c>
      <c r="AC1491" s="1144">
        <f t="shared" si="424"/>
        <v>0</v>
      </c>
      <c r="AD1491" s="1148">
        <f t="shared" si="416"/>
        <v>6791.0054393464652</v>
      </c>
      <c r="AE1491" s="1487">
        <v>0</v>
      </c>
      <c r="AF1491" s="1145">
        <f t="shared" si="425"/>
        <v>6791.0054393464652</v>
      </c>
      <c r="AG1491" s="1149">
        <f>IFERROR(VLOOKUP(CONCATENATE($L1491,$N1491),'Drop List'!$G$23:$K$87,2,FALSE),0)</f>
        <v>0.9</v>
      </c>
      <c r="AH1491" s="1150">
        <f>IFERROR(VLOOKUP(CONCATENATE($L1491,$N1491),'Drop List'!$G$23:$K$87,3,FALSE),0)</f>
        <v>0</v>
      </c>
      <c r="AI1491" s="1150">
        <f>IFERROR(VLOOKUP(CONCATENATE($L1491,$N1491),'Drop List'!$G$23:$K$87,4,FALSE),0)</f>
        <v>0.1</v>
      </c>
      <c r="AJ1491" s="1151">
        <f>IFERROR(VLOOKUP(CONCATENATE($L1491,$N1491),'Drop List'!$G$23:$K$87,5,FALSE),0)</f>
        <v>0</v>
      </c>
      <c r="AK1491" s="1152">
        <f t="shared" si="426"/>
        <v>6111.9048954118189</v>
      </c>
      <c r="AL1491" s="1153">
        <f t="shared" si="427"/>
        <v>0</v>
      </c>
      <c r="AM1491" s="1153">
        <f t="shared" si="428"/>
        <v>679.10054393464657</v>
      </c>
      <c r="AN1491" s="1145">
        <f t="shared" si="429"/>
        <v>0</v>
      </c>
      <c r="AO1491" s="1154">
        <f t="shared" si="412"/>
        <v>6791.0054393464652</v>
      </c>
      <c r="AP1491" s="1147">
        <f t="shared" si="417"/>
        <v>0</v>
      </c>
      <c r="AQ1491" s="1144">
        <f t="shared" si="418"/>
        <v>0</v>
      </c>
      <c r="AR1491" s="1146">
        <f t="shared" si="419"/>
        <v>6791.0054393464652</v>
      </c>
    </row>
    <row r="1492" spans="1:44" x14ac:dyDescent="0.2">
      <c r="A1492" s="1141" t="str">
        <f t="shared" si="414"/>
        <v>1577</v>
      </c>
      <c r="B1492" s="1141" t="str">
        <f>IFERROR(VLOOKUP(A1492,'LAC 103'!A:C,3,FALSE),"")</f>
        <v>OP</v>
      </c>
      <c r="C1492" s="1478" t="str">
        <f>Info!$B$8</f>
        <v>00100</v>
      </c>
      <c r="D1492" s="1474" t="s">
        <v>256</v>
      </c>
      <c r="E1492" s="1474" t="s">
        <v>95</v>
      </c>
      <c r="F1492" s="1478" t="s">
        <v>459</v>
      </c>
      <c r="G1492" s="1478" t="s">
        <v>459</v>
      </c>
      <c r="H1492" s="1474" t="s">
        <v>988</v>
      </c>
      <c r="I1492" s="1478" t="s">
        <v>811</v>
      </c>
      <c r="J1492" s="1478"/>
      <c r="K1492" s="1475" t="s">
        <v>849</v>
      </c>
      <c r="L1492" s="1474" t="s">
        <v>77</v>
      </c>
      <c r="M1492" s="1476" t="s">
        <v>1698</v>
      </c>
      <c r="N1492" s="1477" t="s">
        <v>1693</v>
      </c>
      <c r="O1492" s="1479">
        <v>1599</v>
      </c>
      <c r="P1492" s="1479"/>
      <c r="Q1492" s="1142">
        <f t="shared" si="415"/>
        <v>1599</v>
      </c>
      <c r="R1492" s="1143">
        <f>IFERROR(VLOOKUP(CONCATENATE(E1492,G1492),'LAC 103'!$A$12:$O$95,11,FALSE),0)</f>
        <v>4.7723158393158576</v>
      </c>
      <c r="S1492" s="1144">
        <f>IFERROR(VLOOKUP(CONCATENATE($E1492,$G1492),'LAC 103'!$A$12:$O$95,12,FALSE),0)</f>
        <v>5.91</v>
      </c>
      <c r="T1492" s="1144">
        <f>IFERROR(VLOOKUP(CONCATENATE($E1492,$G1492),'LAC 103'!$A$12:$O$95,13,FALSE),0)</f>
        <v>3.69</v>
      </c>
      <c r="U1492" s="1144">
        <f>IFERROR(VLOOKUP(CONCATENATE($E1492,$G1492),'LAC 103'!$A$12:$O$95,14,FALSE),0)</f>
        <v>0</v>
      </c>
      <c r="V1492" s="1144">
        <f>IFERROR(VLOOKUP(CONCATENATE($E1492,$G1492),'LAC 103'!$A$12:$O$95,15,FALSE),0)</f>
        <v>0</v>
      </c>
      <c r="W1492" s="1145" t="str">
        <f>IFERROR(VLOOKUP(CONCATENATE($B1492,$N1492),'LAC 103'!$AI:$AQ,9,FALSE),"")</f>
        <v>Costs</v>
      </c>
      <c r="X1492" s="1146">
        <f t="shared" si="420"/>
        <v>4.7723158393158576</v>
      </c>
      <c r="Y1492" s="1143">
        <f t="shared" si="430"/>
        <v>7630.9330270660566</v>
      </c>
      <c r="Z1492" s="1147">
        <f t="shared" si="421"/>
        <v>9450.09</v>
      </c>
      <c r="AA1492" s="1144">
        <f t="shared" si="422"/>
        <v>5900.3099999999995</v>
      </c>
      <c r="AB1492" s="1144">
        <f t="shared" si="423"/>
        <v>0</v>
      </c>
      <c r="AC1492" s="1144">
        <f t="shared" si="424"/>
        <v>0</v>
      </c>
      <c r="AD1492" s="1148">
        <f t="shared" si="416"/>
        <v>7630.9330270660566</v>
      </c>
      <c r="AE1492" s="1487">
        <v>0</v>
      </c>
      <c r="AF1492" s="1145">
        <f t="shared" si="425"/>
        <v>7630.9330270660566</v>
      </c>
      <c r="AG1492" s="1149">
        <f>IFERROR(VLOOKUP(CONCATENATE($L1492,$N1492),'Drop List'!$G$23:$K$87,2,FALSE),0)</f>
        <v>0.9</v>
      </c>
      <c r="AH1492" s="1150">
        <f>IFERROR(VLOOKUP(CONCATENATE($L1492,$N1492),'Drop List'!$G$23:$K$87,3,FALSE),0)</f>
        <v>0</v>
      </c>
      <c r="AI1492" s="1150">
        <f>IFERROR(VLOOKUP(CONCATENATE($L1492,$N1492),'Drop List'!$G$23:$K$87,4,FALSE),0)</f>
        <v>0.1</v>
      </c>
      <c r="AJ1492" s="1151">
        <f>IFERROR(VLOOKUP(CONCATENATE($L1492,$N1492),'Drop List'!$G$23:$K$87,5,FALSE),0)</f>
        <v>0</v>
      </c>
      <c r="AK1492" s="1152">
        <f t="shared" si="426"/>
        <v>6867.8397243594509</v>
      </c>
      <c r="AL1492" s="1153">
        <f t="shared" si="427"/>
        <v>0</v>
      </c>
      <c r="AM1492" s="1153">
        <f t="shared" si="428"/>
        <v>763.09330270660575</v>
      </c>
      <c r="AN1492" s="1145">
        <f t="shared" si="429"/>
        <v>0</v>
      </c>
      <c r="AO1492" s="1154">
        <f t="shared" si="412"/>
        <v>7630.9330270660566</v>
      </c>
      <c r="AP1492" s="1147">
        <f t="shared" si="417"/>
        <v>0</v>
      </c>
      <c r="AQ1492" s="1144">
        <f t="shared" si="418"/>
        <v>0</v>
      </c>
      <c r="AR1492" s="1146">
        <f t="shared" si="419"/>
        <v>7630.9330270660566</v>
      </c>
    </row>
    <row r="1493" spans="1:44" x14ac:dyDescent="0.2">
      <c r="A1493" s="1141" t="str">
        <f t="shared" si="414"/>
        <v>1577</v>
      </c>
      <c r="B1493" s="1141" t="str">
        <f>IFERROR(VLOOKUP(A1493,'LAC 103'!A:C,3,FALSE),"")</f>
        <v>OP</v>
      </c>
      <c r="C1493" s="1478" t="str">
        <f>Info!$B$8</f>
        <v>00100</v>
      </c>
      <c r="D1493" s="1474" t="s">
        <v>256</v>
      </c>
      <c r="E1493" s="1474" t="s">
        <v>95</v>
      </c>
      <c r="F1493" s="1478" t="s">
        <v>459</v>
      </c>
      <c r="G1493" s="1478" t="s">
        <v>459</v>
      </c>
      <c r="H1493" s="1474" t="s">
        <v>988</v>
      </c>
      <c r="I1493" s="1478" t="s">
        <v>811</v>
      </c>
      <c r="J1493" s="1478"/>
      <c r="K1493" s="1475" t="s">
        <v>971</v>
      </c>
      <c r="L1493" s="1474" t="s">
        <v>332</v>
      </c>
      <c r="M1493" s="1476" t="s">
        <v>1699</v>
      </c>
      <c r="N1493" s="1477" t="s">
        <v>1694</v>
      </c>
      <c r="O1493" s="1479">
        <v>544</v>
      </c>
      <c r="P1493" s="1479"/>
      <c r="Q1493" s="1142">
        <f t="shared" si="415"/>
        <v>544</v>
      </c>
      <c r="R1493" s="1143">
        <f>IFERROR(VLOOKUP(CONCATENATE(E1493,G1493),'LAC 103'!$A$12:$O$95,11,FALSE),0)</f>
        <v>4.7723158393158576</v>
      </c>
      <c r="S1493" s="1144">
        <f>IFERROR(VLOOKUP(CONCATENATE($E1493,$G1493),'LAC 103'!$A$12:$O$95,12,FALSE),0)</f>
        <v>5.91</v>
      </c>
      <c r="T1493" s="1144">
        <f>IFERROR(VLOOKUP(CONCATENATE($E1493,$G1493),'LAC 103'!$A$12:$O$95,13,FALSE),0)</f>
        <v>3.69</v>
      </c>
      <c r="U1493" s="1144">
        <f>IFERROR(VLOOKUP(CONCATENATE($E1493,$G1493),'LAC 103'!$A$12:$O$95,14,FALSE),0)</f>
        <v>0</v>
      </c>
      <c r="V1493" s="1144">
        <f>IFERROR(VLOOKUP(CONCATENATE($E1493,$G1493),'LAC 103'!$A$12:$O$95,15,FALSE),0)</f>
        <v>0</v>
      </c>
      <c r="W1493" s="1145" t="str">
        <f>IFERROR(VLOOKUP(CONCATENATE($B1493,$N1493),'LAC 103'!$AI:$AQ,9,FALSE),"")</f>
        <v>Costs</v>
      </c>
      <c r="X1493" s="1146">
        <f t="shared" si="420"/>
        <v>4.7723158393158576</v>
      </c>
      <c r="Y1493" s="1143">
        <f t="shared" si="430"/>
        <v>2596.1398165878263</v>
      </c>
      <c r="Z1493" s="1147">
        <f t="shared" si="421"/>
        <v>3215.04</v>
      </c>
      <c r="AA1493" s="1144">
        <f t="shared" si="422"/>
        <v>2007.36</v>
      </c>
      <c r="AB1493" s="1144">
        <f t="shared" si="423"/>
        <v>0</v>
      </c>
      <c r="AC1493" s="1144">
        <f t="shared" si="424"/>
        <v>0</v>
      </c>
      <c r="AD1493" s="1148">
        <f t="shared" si="416"/>
        <v>2596.1398165878263</v>
      </c>
      <c r="AE1493" s="1487">
        <v>0</v>
      </c>
      <c r="AF1493" s="1145">
        <f t="shared" si="425"/>
        <v>2596.1398165878263</v>
      </c>
      <c r="AG1493" s="1149">
        <f>IFERROR(VLOOKUP(CONCATENATE($L1493,$N1493),'Drop List'!$G$23:$K$87,2,FALSE),0)</f>
        <v>0</v>
      </c>
      <c r="AH1493" s="1150">
        <f>IFERROR(VLOOKUP(CONCATENATE($L1493,$N1493),'Drop List'!$G$23:$K$87,3,FALSE),0)</f>
        <v>0</v>
      </c>
      <c r="AI1493" s="1150">
        <f>IFERROR(VLOOKUP(CONCATENATE($L1493,$N1493),'Drop List'!$G$23:$K$87,4,FALSE),0)</f>
        <v>0</v>
      </c>
      <c r="AJ1493" s="1151">
        <f>IFERROR(VLOOKUP(CONCATENATE($L1493,$N1493),'Drop List'!$G$23:$K$87,5,FALSE),0)</f>
        <v>0</v>
      </c>
      <c r="AK1493" s="1152">
        <f t="shared" si="426"/>
        <v>0</v>
      </c>
      <c r="AL1493" s="1153">
        <f t="shared" si="427"/>
        <v>0</v>
      </c>
      <c r="AM1493" s="1153">
        <f t="shared" si="428"/>
        <v>0</v>
      </c>
      <c r="AN1493" s="1145">
        <f t="shared" si="429"/>
        <v>0</v>
      </c>
      <c r="AO1493" s="1154">
        <f t="shared" si="412"/>
        <v>0</v>
      </c>
      <c r="AP1493" s="1147">
        <f t="shared" si="417"/>
        <v>2596.1398165878263</v>
      </c>
      <c r="AQ1493" s="1144">
        <f t="shared" si="418"/>
        <v>0</v>
      </c>
      <c r="AR1493" s="1146">
        <f t="shared" si="419"/>
        <v>2596.1398165878263</v>
      </c>
    </row>
    <row r="1494" spans="1:44" x14ac:dyDescent="0.2">
      <c r="A1494" s="1141" t="str">
        <f t="shared" ref="A1494:A1557" si="431">IF(CONCATENATE(E1494,G1494)="","",CONCATENATE(E1494,G1494))</f>
        <v>1577</v>
      </c>
      <c r="B1494" s="1141" t="str">
        <f>IFERROR(VLOOKUP(A1494,'LAC 103'!A:C,3,FALSE),"")</f>
        <v>OP</v>
      </c>
      <c r="C1494" s="1478" t="str">
        <f>Info!$B$8</f>
        <v>00100</v>
      </c>
      <c r="D1494" s="1474" t="s">
        <v>256</v>
      </c>
      <c r="E1494" s="1474" t="s">
        <v>95</v>
      </c>
      <c r="F1494" s="1478" t="s">
        <v>459</v>
      </c>
      <c r="G1494" s="1478" t="s">
        <v>459</v>
      </c>
      <c r="H1494" s="1474" t="s">
        <v>988</v>
      </c>
      <c r="I1494" s="1478" t="s">
        <v>811</v>
      </c>
      <c r="J1494" s="1478"/>
      <c r="K1494" s="1475" t="s">
        <v>971</v>
      </c>
      <c r="L1494" s="1474" t="s">
        <v>332</v>
      </c>
      <c r="M1494" s="1476" t="s">
        <v>842</v>
      </c>
      <c r="N1494" s="1477" t="s">
        <v>1692</v>
      </c>
      <c r="O1494" s="1479">
        <v>566</v>
      </c>
      <c r="P1494" s="1479"/>
      <c r="Q1494" s="1142">
        <f t="shared" si="415"/>
        <v>566</v>
      </c>
      <c r="R1494" s="1143">
        <f>IFERROR(VLOOKUP(CONCATENATE(E1494,G1494),'LAC 103'!$A$12:$O$95,11,FALSE),0)</f>
        <v>4.7723158393158576</v>
      </c>
      <c r="S1494" s="1144">
        <f>IFERROR(VLOOKUP(CONCATENATE($E1494,$G1494),'LAC 103'!$A$12:$O$95,12,FALSE),0)</f>
        <v>5.91</v>
      </c>
      <c r="T1494" s="1144">
        <f>IFERROR(VLOOKUP(CONCATENATE($E1494,$G1494),'LAC 103'!$A$12:$O$95,13,FALSE),0)</f>
        <v>3.69</v>
      </c>
      <c r="U1494" s="1144">
        <f>IFERROR(VLOOKUP(CONCATENATE($E1494,$G1494),'LAC 103'!$A$12:$O$95,14,FALSE),0)</f>
        <v>0</v>
      </c>
      <c r="V1494" s="1144">
        <f>IFERROR(VLOOKUP(CONCATENATE($E1494,$G1494),'LAC 103'!$A$12:$O$95,15,FALSE),0)</f>
        <v>0</v>
      </c>
      <c r="W1494" s="1145" t="str">
        <f>IFERROR(VLOOKUP(CONCATENATE($B1494,$N1494),'LAC 103'!$AI:$AQ,9,FALSE),"")</f>
        <v>Costs</v>
      </c>
      <c r="X1494" s="1146">
        <f t="shared" si="420"/>
        <v>4.7723158393158576</v>
      </c>
      <c r="Y1494" s="1143">
        <f t="shared" si="430"/>
        <v>2701.1307650527756</v>
      </c>
      <c r="Z1494" s="1147">
        <f t="shared" si="421"/>
        <v>3345.06</v>
      </c>
      <c r="AA1494" s="1144">
        <f t="shared" si="422"/>
        <v>2088.54</v>
      </c>
      <c r="AB1494" s="1144">
        <f t="shared" si="423"/>
        <v>0</v>
      </c>
      <c r="AC1494" s="1144">
        <f t="shared" si="424"/>
        <v>0</v>
      </c>
      <c r="AD1494" s="1148">
        <f t="shared" si="416"/>
        <v>2701.1307650527756</v>
      </c>
      <c r="AE1494" s="1487">
        <v>0</v>
      </c>
      <c r="AF1494" s="1145">
        <f t="shared" si="425"/>
        <v>2701.1307650527756</v>
      </c>
      <c r="AG1494" s="1149">
        <f>IFERROR(VLOOKUP(CONCATENATE($L1494,$N1494),'Drop List'!$G$23:$K$87,2,FALSE),0)</f>
        <v>0</v>
      </c>
      <c r="AH1494" s="1150">
        <f>IFERROR(VLOOKUP(CONCATENATE($L1494,$N1494),'Drop List'!$G$23:$K$87,3,FALSE),0)</f>
        <v>0</v>
      </c>
      <c r="AI1494" s="1150">
        <f>IFERROR(VLOOKUP(CONCATENATE($L1494,$N1494),'Drop List'!$G$23:$K$87,4,FALSE),0)</f>
        <v>0</v>
      </c>
      <c r="AJ1494" s="1151">
        <f>IFERROR(VLOOKUP(CONCATENATE($L1494,$N1494),'Drop List'!$G$23:$K$87,5,FALSE),0)</f>
        <v>0</v>
      </c>
      <c r="AK1494" s="1152">
        <f t="shared" si="426"/>
        <v>0</v>
      </c>
      <c r="AL1494" s="1153">
        <f t="shared" si="427"/>
        <v>0</v>
      </c>
      <c r="AM1494" s="1153">
        <f t="shared" si="428"/>
        <v>0</v>
      </c>
      <c r="AN1494" s="1145">
        <f t="shared" si="429"/>
        <v>0</v>
      </c>
      <c r="AO1494" s="1154">
        <f t="shared" si="412"/>
        <v>0</v>
      </c>
      <c r="AP1494" s="1147">
        <f t="shared" si="417"/>
        <v>2701.1307650527756</v>
      </c>
      <c r="AQ1494" s="1144">
        <f t="shared" si="418"/>
        <v>0</v>
      </c>
      <c r="AR1494" s="1146">
        <f t="shared" si="419"/>
        <v>2701.1307650527756</v>
      </c>
    </row>
    <row r="1495" spans="1:44" x14ac:dyDescent="0.2">
      <c r="A1495" s="1141" t="str">
        <f t="shared" si="431"/>
        <v>1577</v>
      </c>
      <c r="B1495" s="1141" t="str">
        <f>IFERROR(VLOOKUP(A1495,'LAC 103'!A:C,3,FALSE),"")</f>
        <v>OP</v>
      </c>
      <c r="C1495" s="1478" t="str">
        <f>Info!$B$8</f>
        <v>00100</v>
      </c>
      <c r="D1495" s="1474" t="s">
        <v>256</v>
      </c>
      <c r="E1495" s="1474" t="s">
        <v>95</v>
      </c>
      <c r="F1495" s="1478" t="s">
        <v>459</v>
      </c>
      <c r="G1495" s="1478" t="s">
        <v>459</v>
      </c>
      <c r="H1495" s="1474" t="s">
        <v>988</v>
      </c>
      <c r="I1495" s="1478" t="s">
        <v>811</v>
      </c>
      <c r="J1495" s="1478"/>
      <c r="K1495" s="1475" t="s">
        <v>851</v>
      </c>
      <c r="L1495" s="1474" t="s">
        <v>584</v>
      </c>
      <c r="M1495" s="1476" t="s">
        <v>1699</v>
      </c>
      <c r="N1495" s="1477" t="s">
        <v>1694</v>
      </c>
      <c r="O1495" s="1479">
        <v>1546</v>
      </c>
      <c r="P1495" s="1479"/>
      <c r="Q1495" s="1142">
        <f t="shared" si="415"/>
        <v>1546</v>
      </c>
      <c r="R1495" s="1143">
        <f>IFERROR(VLOOKUP(CONCATENATE(E1495,G1495),'LAC 103'!$A$12:$O$95,11,FALSE),0)</f>
        <v>4.7723158393158576</v>
      </c>
      <c r="S1495" s="1144">
        <f>IFERROR(VLOOKUP(CONCATENATE($E1495,$G1495),'LAC 103'!$A$12:$O$95,12,FALSE),0)</f>
        <v>5.91</v>
      </c>
      <c r="T1495" s="1144">
        <f>IFERROR(VLOOKUP(CONCATENATE($E1495,$G1495),'LAC 103'!$A$12:$O$95,13,FALSE),0)</f>
        <v>3.69</v>
      </c>
      <c r="U1495" s="1144">
        <f>IFERROR(VLOOKUP(CONCATENATE($E1495,$G1495),'LAC 103'!$A$12:$O$95,14,FALSE),0)</f>
        <v>0</v>
      </c>
      <c r="V1495" s="1144">
        <f>IFERROR(VLOOKUP(CONCATENATE($E1495,$G1495),'LAC 103'!$A$12:$O$95,15,FALSE),0)</f>
        <v>0</v>
      </c>
      <c r="W1495" s="1145" t="str">
        <f>IFERROR(VLOOKUP(CONCATENATE($B1495,$N1495),'LAC 103'!$AI:$AQ,9,FALSE),"")</f>
        <v>Costs</v>
      </c>
      <c r="X1495" s="1146">
        <f t="shared" si="420"/>
        <v>4.7723158393158576</v>
      </c>
      <c r="Y1495" s="1143">
        <f t="shared" si="430"/>
        <v>7378.0002875823157</v>
      </c>
      <c r="Z1495" s="1147">
        <f t="shared" si="421"/>
        <v>9136.86</v>
      </c>
      <c r="AA1495" s="1144">
        <f t="shared" si="422"/>
        <v>5704.74</v>
      </c>
      <c r="AB1495" s="1144">
        <f t="shared" si="423"/>
        <v>0</v>
      </c>
      <c r="AC1495" s="1144">
        <f t="shared" si="424"/>
        <v>0</v>
      </c>
      <c r="AD1495" s="1148">
        <f t="shared" si="416"/>
        <v>7378.0002875823157</v>
      </c>
      <c r="AE1495" s="1487">
        <v>0</v>
      </c>
      <c r="AF1495" s="1145">
        <f t="shared" si="425"/>
        <v>7378.0002875823157</v>
      </c>
      <c r="AG1495" s="1149">
        <f>IFERROR(VLOOKUP(CONCATENATE($L1495,$N1495),'Drop List'!$G$23:$K$87,2,FALSE),0)</f>
        <v>0.56200000000000006</v>
      </c>
      <c r="AH1495" s="1150">
        <f>IFERROR(VLOOKUP(CONCATENATE($L1495,$N1495),'Drop List'!$G$23:$K$87,3,FALSE),0)</f>
        <v>0</v>
      </c>
      <c r="AI1495" s="1150">
        <f>IFERROR(VLOOKUP(CONCATENATE($L1495,$N1495),'Drop List'!$G$23:$K$87,4,FALSE),0)</f>
        <v>0</v>
      </c>
      <c r="AJ1495" s="1151">
        <f>IFERROR(VLOOKUP(CONCATENATE($L1495,$N1495),'Drop List'!$G$23:$K$87,5,FALSE),0)</f>
        <v>0.43799999999999994</v>
      </c>
      <c r="AK1495" s="1152">
        <f t="shared" si="426"/>
        <v>4146.4361616212618</v>
      </c>
      <c r="AL1495" s="1153">
        <f t="shared" si="427"/>
        <v>0</v>
      </c>
      <c r="AM1495" s="1153">
        <f t="shared" si="428"/>
        <v>0</v>
      </c>
      <c r="AN1495" s="1145">
        <f t="shared" si="429"/>
        <v>3231.5641259610538</v>
      </c>
      <c r="AO1495" s="1154">
        <f t="shared" si="412"/>
        <v>7378.0002875823157</v>
      </c>
      <c r="AP1495" s="1147">
        <f t="shared" si="417"/>
        <v>0</v>
      </c>
      <c r="AQ1495" s="1144">
        <f t="shared" si="418"/>
        <v>0</v>
      </c>
      <c r="AR1495" s="1146">
        <f t="shared" si="419"/>
        <v>7378.0002875823157</v>
      </c>
    </row>
    <row r="1496" spans="1:44" x14ac:dyDescent="0.2">
      <c r="A1496" s="1141" t="str">
        <f t="shared" si="431"/>
        <v>1577</v>
      </c>
      <c r="B1496" s="1141" t="str">
        <f>IFERROR(VLOOKUP(A1496,'LAC 103'!A:C,3,FALSE),"")</f>
        <v>OP</v>
      </c>
      <c r="C1496" s="1478" t="str">
        <f>Info!$B$8</f>
        <v>00100</v>
      </c>
      <c r="D1496" s="1474" t="s">
        <v>256</v>
      </c>
      <c r="E1496" s="1474" t="s">
        <v>95</v>
      </c>
      <c r="F1496" s="1478" t="s">
        <v>459</v>
      </c>
      <c r="G1496" s="1478" t="s">
        <v>459</v>
      </c>
      <c r="H1496" s="1474" t="s">
        <v>988</v>
      </c>
      <c r="I1496" s="1478" t="s">
        <v>811</v>
      </c>
      <c r="J1496" s="1478"/>
      <c r="K1496" s="1475" t="s">
        <v>851</v>
      </c>
      <c r="L1496" s="1474" t="s">
        <v>584</v>
      </c>
      <c r="M1496" s="1476" t="s">
        <v>841</v>
      </c>
      <c r="N1496" s="1477" t="s">
        <v>1695</v>
      </c>
      <c r="O1496" s="1479">
        <v>842</v>
      </c>
      <c r="P1496" s="1479"/>
      <c r="Q1496" s="1142">
        <f t="shared" si="415"/>
        <v>842</v>
      </c>
      <c r="R1496" s="1143">
        <f>IFERROR(VLOOKUP(CONCATENATE(E1496,G1496),'LAC 103'!$A$12:$O$95,11,FALSE),0)</f>
        <v>4.7723158393158576</v>
      </c>
      <c r="S1496" s="1144">
        <f>IFERROR(VLOOKUP(CONCATENATE($E1496,$G1496),'LAC 103'!$A$12:$O$95,12,FALSE),0)</f>
        <v>5.91</v>
      </c>
      <c r="T1496" s="1144">
        <f>IFERROR(VLOOKUP(CONCATENATE($E1496,$G1496),'LAC 103'!$A$12:$O$95,13,FALSE),0)</f>
        <v>3.69</v>
      </c>
      <c r="U1496" s="1144">
        <f>IFERROR(VLOOKUP(CONCATENATE($E1496,$G1496),'LAC 103'!$A$12:$O$95,14,FALSE),0)</f>
        <v>0</v>
      </c>
      <c r="V1496" s="1144">
        <f>IFERROR(VLOOKUP(CONCATENATE($E1496,$G1496),'LAC 103'!$A$12:$O$95,15,FALSE),0)</f>
        <v>0</v>
      </c>
      <c r="W1496" s="1145" t="str">
        <f>IFERROR(VLOOKUP(CONCATENATE($B1496,$N1496),'LAC 103'!$AI:$AQ,9,FALSE),"")</f>
        <v>Costs</v>
      </c>
      <c r="X1496" s="1146">
        <f t="shared" si="420"/>
        <v>4.7723158393158576</v>
      </c>
      <c r="Y1496" s="1143">
        <f t="shared" si="430"/>
        <v>4018.2899367039522</v>
      </c>
      <c r="Z1496" s="1147">
        <f t="shared" si="421"/>
        <v>4976.22</v>
      </c>
      <c r="AA1496" s="1144">
        <f t="shared" si="422"/>
        <v>3106.98</v>
      </c>
      <c r="AB1496" s="1144">
        <f t="shared" si="423"/>
        <v>0</v>
      </c>
      <c r="AC1496" s="1144">
        <f t="shared" si="424"/>
        <v>0</v>
      </c>
      <c r="AD1496" s="1148">
        <f t="shared" si="416"/>
        <v>4018.2899367039522</v>
      </c>
      <c r="AE1496" s="1487">
        <v>0</v>
      </c>
      <c r="AF1496" s="1145">
        <f t="shared" si="425"/>
        <v>4018.2899367039522</v>
      </c>
      <c r="AG1496" s="1149">
        <f>IFERROR(VLOOKUP(CONCATENATE($L1496,$N1496),'Drop List'!$G$23:$K$87,2,FALSE),0)</f>
        <v>0.55000000000000004</v>
      </c>
      <c r="AH1496" s="1150">
        <f>IFERROR(VLOOKUP(CONCATENATE($L1496,$N1496),'Drop List'!$G$23:$K$87,3,FALSE),0)</f>
        <v>0</v>
      </c>
      <c r="AI1496" s="1150">
        <f>IFERROR(VLOOKUP(CONCATENATE($L1496,$N1496),'Drop List'!$G$23:$K$87,4,FALSE),0)</f>
        <v>0</v>
      </c>
      <c r="AJ1496" s="1151">
        <f>IFERROR(VLOOKUP(CONCATENATE($L1496,$N1496),'Drop List'!$G$23:$K$87,5,FALSE),0)</f>
        <v>0.44999999999999996</v>
      </c>
      <c r="AK1496" s="1152">
        <f t="shared" si="426"/>
        <v>2210.0594651871738</v>
      </c>
      <c r="AL1496" s="1153">
        <f t="shared" si="427"/>
        <v>0</v>
      </c>
      <c r="AM1496" s="1153">
        <f t="shared" si="428"/>
        <v>0</v>
      </c>
      <c r="AN1496" s="1145">
        <f t="shared" si="429"/>
        <v>1808.2304715167784</v>
      </c>
      <c r="AO1496" s="1154">
        <f t="shared" si="412"/>
        <v>4018.2899367039522</v>
      </c>
      <c r="AP1496" s="1147">
        <f t="shared" si="417"/>
        <v>0</v>
      </c>
      <c r="AQ1496" s="1144">
        <f t="shared" si="418"/>
        <v>0</v>
      </c>
      <c r="AR1496" s="1146">
        <f t="shared" si="419"/>
        <v>4018.2899367039522</v>
      </c>
    </row>
    <row r="1497" spans="1:44" x14ac:dyDescent="0.2">
      <c r="A1497" s="1141" t="str">
        <f t="shared" si="431"/>
        <v>1577</v>
      </c>
      <c r="B1497" s="1141" t="str">
        <f>IFERROR(VLOOKUP(A1497,'LAC 103'!A:C,3,FALSE),"")</f>
        <v>OP</v>
      </c>
      <c r="C1497" s="1478" t="str">
        <f>Info!$B$8</f>
        <v>00100</v>
      </c>
      <c r="D1497" s="1474" t="s">
        <v>256</v>
      </c>
      <c r="E1497" s="1474" t="s">
        <v>95</v>
      </c>
      <c r="F1497" s="1478" t="s">
        <v>459</v>
      </c>
      <c r="G1497" s="1478" t="s">
        <v>459</v>
      </c>
      <c r="H1497" s="1474" t="s">
        <v>988</v>
      </c>
      <c r="I1497" s="1478" t="s">
        <v>811</v>
      </c>
      <c r="J1497" s="1478"/>
      <c r="K1497" s="1475" t="s">
        <v>851</v>
      </c>
      <c r="L1497" s="1474" t="s">
        <v>584</v>
      </c>
      <c r="M1497" s="1476" t="s">
        <v>840</v>
      </c>
      <c r="N1497" s="1477" t="s">
        <v>1700</v>
      </c>
      <c r="O1497" s="1479">
        <v>737</v>
      </c>
      <c r="P1497" s="1479"/>
      <c r="Q1497" s="1142">
        <f t="shared" si="415"/>
        <v>737</v>
      </c>
      <c r="R1497" s="1143">
        <f>IFERROR(VLOOKUP(CONCATENATE(E1497,G1497),'LAC 103'!$A$12:$O$95,11,FALSE),0)</f>
        <v>4.7723158393158576</v>
      </c>
      <c r="S1497" s="1144">
        <f>IFERROR(VLOOKUP(CONCATENATE($E1497,$G1497),'LAC 103'!$A$12:$O$95,12,FALSE),0)</f>
        <v>5.91</v>
      </c>
      <c r="T1497" s="1144">
        <f>IFERROR(VLOOKUP(CONCATENATE($E1497,$G1497),'LAC 103'!$A$12:$O$95,13,FALSE),0)</f>
        <v>3.69</v>
      </c>
      <c r="U1497" s="1144">
        <f>IFERROR(VLOOKUP(CONCATENATE($E1497,$G1497),'LAC 103'!$A$12:$O$95,14,FALSE),0)</f>
        <v>0</v>
      </c>
      <c r="V1497" s="1144">
        <f>IFERROR(VLOOKUP(CONCATENATE($E1497,$G1497),'LAC 103'!$A$12:$O$95,15,FALSE),0)</f>
        <v>0</v>
      </c>
      <c r="W1497" s="1145" t="str">
        <f>IFERROR(VLOOKUP(CONCATENATE($B1497,$N1497),'LAC 103'!$AI:$AQ,9,FALSE),"")</f>
        <v>P.C.</v>
      </c>
      <c r="X1497" s="1146">
        <f t="shared" si="420"/>
        <v>3.69</v>
      </c>
      <c r="Y1497" s="1143">
        <f t="shared" si="430"/>
        <v>3517.1967735757871</v>
      </c>
      <c r="Z1497" s="1147">
        <f t="shared" si="421"/>
        <v>4355.67</v>
      </c>
      <c r="AA1497" s="1144">
        <f t="shared" si="422"/>
        <v>2719.5299999999997</v>
      </c>
      <c r="AB1497" s="1144">
        <f t="shared" si="423"/>
        <v>0</v>
      </c>
      <c r="AC1497" s="1144">
        <f t="shared" si="424"/>
        <v>0</v>
      </c>
      <c r="AD1497" s="1148">
        <f t="shared" si="416"/>
        <v>2719.5299999999997</v>
      </c>
      <c r="AE1497" s="1487">
        <v>0</v>
      </c>
      <c r="AF1497" s="1145">
        <f t="shared" si="425"/>
        <v>2719.5299999999997</v>
      </c>
      <c r="AG1497" s="1149">
        <f>IFERROR(VLOOKUP(CONCATENATE($L1497,$N1497),'Drop List'!$G$23:$K$87,2,FALSE),0)</f>
        <v>0.55000000000000004</v>
      </c>
      <c r="AH1497" s="1150">
        <f>IFERROR(VLOOKUP(CONCATENATE($L1497,$N1497),'Drop List'!$G$23:$K$87,3,FALSE),0)</f>
        <v>0</v>
      </c>
      <c r="AI1497" s="1150">
        <f>IFERROR(VLOOKUP(CONCATENATE($L1497,$N1497),'Drop List'!$G$23:$K$87,4,FALSE),0)</f>
        <v>0</v>
      </c>
      <c r="AJ1497" s="1151">
        <f>IFERROR(VLOOKUP(CONCATENATE($L1497,$N1497),'Drop List'!$G$23:$K$87,5,FALSE),0)</f>
        <v>0.44999999999999996</v>
      </c>
      <c r="AK1497" s="1152">
        <f t="shared" si="426"/>
        <v>1495.7415000000001</v>
      </c>
      <c r="AL1497" s="1153">
        <f t="shared" si="427"/>
        <v>0</v>
      </c>
      <c r="AM1497" s="1153">
        <f t="shared" si="428"/>
        <v>0</v>
      </c>
      <c r="AN1497" s="1145">
        <f t="shared" si="429"/>
        <v>1223.7884999999997</v>
      </c>
      <c r="AO1497" s="1154">
        <f t="shared" si="412"/>
        <v>2719.5299999999997</v>
      </c>
      <c r="AP1497" s="1147">
        <f t="shared" si="417"/>
        <v>0</v>
      </c>
      <c r="AQ1497" s="1144">
        <f t="shared" si="418"/>
        <v>0</v>
      </c>
      <c r="AR1497" s="1146">
        <f t="shared" si="419"/>
        <v>2719.5299999999997</v>
      </c>
    </row>
    <row r="1498" spans="1:44" x14ac:dyDescent="0.2">
      <c r="A1498" s="1141" t="str">
        <f t="shared" si="431"/>
        <v>1577</v>
      </c>
      <c r="B1498" s="1141" t="str">
        <f>IFERROR(VLOOKUP(A1498,'LAC 103'!A:C,3,FALSE),"")</f>
        <v>OP</v>
      </c>
      <c r="C1498" s="1478" t="str">
        <f>Info!$B$8</f>
        <v>00100</v>
      </c>
      <c r="D1498" s="1474" t="s">
        <v>256</v>
      </c>
      <c r="E1498" s="1474" t="s">
        <v>95</v>
      </c>
      <c r="F1498" s="1478" t="s">
        <v>459</v>
      </c>
      <c r="G1498" s="1478" t="s">
        <v>459</v>
      </c>
      <c r="H1498" s="1474" t="s">
        <v>988</v>
      </c>
      <c r="I1498" s="1478" t="s">
        <v>811</v>
      </c>
      <c r="J1498" s="1478"/>
      <c r="K1498" s="1475" t="s">
        <v>851</v>
      </c>
      <c r="L1498" s="1474" t="s">
        <v>584</v>
      </c>
      <c r="M1498" s="1476" t="s">
        <v>842</v>
      </c>
      <c r="N1498" s="1477" t="s">
        <v>1692</v>
      </c>
      <c r="O1498" s="1479">
        <v>1432</v>
      </c>
      <c r="P1498" s="1479"/>
      <c r="Q1498" s="1142">
        <f t="shared" si="415"/>
        <v>1432</v>
      </c>
      <c r="R1498" s="1143">
        <f>IFERROR(VLOOKUP(CONCATENATE(E1498,G1498),'LAC 103'!$A$12:$O$95,11,FALSE),0)</f>
        <v>4.7723158393158576</v>
      </c>
      <c r="S1498" s="1144">
        <f>IFERROR(VLOOKUP(CONCATENATE($E1498,$G1498),'LAC 103'!$A$12:$O$95,12,FALSE),0)</f>
        <v>5.91</v>
      </c>
      <c r="T1498" s="1144">
        <f>IFERROR(VLOOKUP(CONCATENATE($E1498,$G1498),'LAC 103'!$A$12:$O$95,13,FALSE),0)</f>
        <v>3.69</v>
      </c>
      <c r="U1498" s="1144">
        <f>IFERROR(VLOOKUP(CONCATENATE($E1498,$G1498),'LAC 103'!$A$12:$O$95,14,FALSE),0)</f>
        <v>0</v>
      </c>
      <c r="V1498" s="1144">
        <f>IFERROR(VLOOKUP(CONCATENATE($E1498,$G1498),'LAC 103'!$A$12:$O$95,15,FALSE),0)</f>
        <v>0</v>
      </c>
      <c r="W1498" s="1145" t="str">
        <f>IFERROR(VLOOKUP(CONCATENATE($B1498,$N1498),'LAC 103'!$AI:$AQ,9,FALSE),"")</f>
        <v>Costs</v>
      </c>
      <c r="X1498" s="1146">
        <f t="shared" si="420"/>
        <v>4.7723158393158576</v>
      </c>
      <c r="Y1498" s="1143">
        <f t="shared" si="430"/>
        <v>6833.9562819003077</v>
      </c>
      <c r="Z1498" s="1147">
        <f t="shared" si="421"/>
        <v>8463.1200000000008</v>
      </c>
      <c r="AA1498" s="1144">
        <f t="shared" si="422"/>
        <v>5284.08</v>
      </c>
      <c r="AB1498" s="1144">
        <f t="shared" si="423"/>
        <v>0</v>
      </c>
      <c r="AC1498" s="1144">
        <f t="shared" si="424"/>
        <v>0</v>
      </c>
      <c r="AD1498" s="1148">
        <f t="shared" si="416"/>
        <v>6833.9562819003077</v>
      </c>
      <c r="AE1498" s="1487">
        <v>0</v>
      </c>
      <c r="AF1498" s="1145">
        <f t="shared" si="425"/>
        <v>6833.9562819003077</v>
      </c>
      <c r="AG1498" s="1149">
        <f>IFERROR(VLOOKUP(CONCATENATE($L1498,$N1498),'Drop List'!$G$23:$K$87,2,FALSE),0)</f>
        <v>0.56200000000000006</v>
      </c>
      <c r="AH1498" s="1150">
        <f>IFERROR(VLOOKUP(CONCATENATE($L1498,$N1498),'Drop List'!$G$23:$K$87,3,FALSE),0)</f>
        <v>0</v>
      </c>
      <c r="AI1498" s="1150">
        <f>IFERROR(VLOOKUP(CONCATENATE($L1498,$N1498),'Drop List'!$G$23:$K$87,4,FALSE),0)</f>
        <v>0</v>
      </c>
      <c r="AJ1498" s="1151">
        <f>IFERROR(VLOOKUP(CONCATENATE($L1498,$N1498),'Drop List'!$G$23:$K$87,5,FALSE),0)</f>
        <v>0.43799999999999994</v>
      </c>
      <c r="AK1498" s="1152">
        <f t="shared" si="426"/>
        <v>3840.6834304279732</v>
      </c>
      <c r="AL1498" s="1153">
        <f t="shared" si="427"/>
        <v>0</v>
      </c>
      <c r="AM1498" s="1153">
        <f t="shared" si="428"/>
        <v>0</v>
      </c>
      <c r="AN1498" s="1145">
        <f t="shared" si="429"/>
        <v>2993.2728514723344</v>
      </c>
      <c r="AO1498" s="1154">
        <f t="shared" si="412"/>
        <v>6833.9562819003077</v>
      </c>
      <c r="AP1498" s="1147">
        <f t="shared" si="417"/>
        <v>0</v>
      </c>
      <c r="AQ1498" s="1144">
        <f t="shared" si="418"/>
        <v>0</v>
      </c>
      <c r="AR1498" s="1146">
        <f t="shared" si="419"/>
        <v>6833.9562819003077</v>
      </c>
    </row>
    <row r="1499" spans="1:44" x14ac:dyDescent="0.2">
      <c r="A1499" s="1141" t="str">
        <f t="shared" si="431"/>
        <v>1577</v>
      </c>
      <c r="B1499" s="1141" t="str">
        <f>IFERROR(VLOOKUP(A1499,'LAC 103'!A:C,3,FALSE),"")</f>
        <v>OP</v>
      </c>
      <c r="C1499" s="1478" t="str">
        <f>Info!$B$8</f>
        <v>00100</v>
      </c>
      <c r="D1499" s="1474" t="s">
        <v>256</v>
      </c>
      <c r="E1499" s="1474" t="s">
        <v>95</v>
      </c>
      <c r="F1499" s="1478" t="s">
        <v>459</v>
      </c>
      <c r="G1499" s="1478" t="s">
        <v>459</v>
      </c>
      <c r="H1499" s="1474" t="s">
        <v>988</v>
      </c>
      <c r="I1499" s="1478" t="s">
        <v>811</v>
      </c>
      <c r="J1499" s="1478"/>
      <c r="K1499" s="1475" t="s">
        <v>851</v>
      </c>
      <c r="L1499" s="1474" t="s">
        <v>584</v>
      </c>
      <c r="M1499" s="1476" t="s">
        <v>1698</v>
      </c>
      <c r="N1499" s="1477" t="s">
        <v>1693</v>
      </c>
      <c r="O1499" s="1479">
        <v>1696</v>
      </c>
      <c r="P1499" s="1479"/>
      <c r="Q1499" s="1142">
        <f t="shared" si="415"/>
        <v>1696</v>
      </c>
      <c r="R1499" s="1143">
        <f>IFERROR(VLOOKUP(CONCATENATE(E1499,G1499),'LAC 103'!$A$12:$O$95,11,FALSE),0)</f>
        <v>4.7723158393158576</v>
      </c>
      <c r="S1499" s="1144">
        <f>IFERROR(VLOOKUP(CONCATENATE($E1499,$G1499),'LAC 103'!$A$12:$O$95,12,FALSE),0)</f>
        <v>5.91</v>
      </c>
      <c r="T1499" s="1144">
        <f>IFERROR(VLOOKUP(CONCATENATE($E1499,$G1499),'LAC 103'!$A$12:$O$95,13,FALSE),0)</f>
        <v>3.69</v>
      </c>
      <c r="U1499" s="1144">
        <f>IFERROR(VLOOKUP(CONCATENATE($E1499,$G1499),'LAC 103'!$A$12:$O$95,14,FALSE),0)</f>
        <v>0</v>
      </c>
      <c r="V1499" s="1144">
        <f>IFERROR(VLOOKUP(CONCATENATE($E1499,$G1499),'LAC 103'!$A$12:$O$95,15,FALSE),0)</f>
        <v>0</v>
      </c>
      <c r="W1499" s="1145" t="str">
        <f>IFERROR(VLOOKUP(CONCATENATE($B1499,$N1499),'LAC 103'!$AI:$AQ,9,FALSE),"")</f>
        <v>Costs</v>
      </c>
      <c r="X1499" s="1146">
        <f t="shared" si="420"/>
        <v>4.7723158393158576</v>
      </c>
      <c r="Y1499" s="1143">
        <f t="shared" si="430"/>
        <v>8093.8476634796943</v>
      </c>
      <c r="Z1499" s="1147">
        <f t="shared" si="421"/>
        <v>10023.36</v>
      </c>
      <c r="AA1499" s="1144">
        <f t="shared" si="422"/>
        <v>6258.24</v>
      </c>
      <c r="AB1499" s="1144">
        <f t="shared" si="423"/>
        <v>0</v>
      </c>
      <c r="AC1499" s="1144">
        <f t="shared" si="424"/>
        <v>0</v>
      </c>
      <c r="AD1499" s="1148">
        <f t="shared" si="416"/>
        <v>8093.8476634796943</v>
      </c>
      <c r="AE1499" s="1487">
        <v>0</v>
      </c>
      <c r="AF1499" s="1145">
        <f t="shared" si="425"/>
        <v>8093.8476634796943</v>
      </c>
      <c r="AG1499" s="1149">
        <f>IFERROR(VLOOKUP(CONCATENATE($L1499,$N1499),'Drop List'!$G$23:$K$87,2,FALSE),0)</f>
        <v>0.56200000000000006</v>
      </c>
      <c r="AH1499" s="1150">
        <f>IFERROR(VLOOKUP(CONCATENATE($L1499,$N1499),'Drop List'!$G$23:$K$87,3,FALSE),0)</f>
        <v>0</v>
      </c>
      <c r="AI1499" s="1150">
        <f>IFERROR(VLOOKUP(CONCATENATE($L1499,$N1499),'Drop List'!$G$23:$K$87,4,FALSE),0)</f>
        <v>0</v>
      </c>
      <c r="AJ1499" s="1151">
        <f>IFERROR(VLOOKUP(CONCATENATE($L1499,$N1499),'Drop List'!$G$23:$K$87,5,FALSE),0)</f>
        <v>0.43799999999999994</v>
      </c>
      <c r="AK1499" s="1152">
        <f t="shared" si="426"/>
        <v>4548.7423868755886</v>
      </c>
      <c r="AL1499" s="1153">
        <f t="shared" si="427"/>
        <v>0</v>
      </c>
      <c r="AM1499" s="1153">
        <f t="shared" si="428"/>
        <v>0</v>
      </c>
      <c r="AN1499" s="1145">
        <f t="shared" si="429"/>
        <v>3545.1052766041057</v>
      </c>
      <c r="AO1499" s="1154">
        <f t="shared" si="412"/>
        <v>8093.8476634796943</v>
      </c>
      <c r="AP1499" s="1147">
        <f t="shared" si="417"/>
        <v>0</v>
      </c>
      <c r="AQ1499" s="1144">
        <f t="shared" si="418"/>
        <v>0</v>
      </c>
      <c r="AR1499" s="1146">
        <f t="shared" si="419"/>
        <v>8093.8476634796943</v>
      </c>
    </row>
    <row r="1500" spans="1:44" x14ac:dyDescent="0.2">
      <c r="A1500" s="1141" t="str">
        <f t="shared" si="431"/>
        <v>1577</v>
      </c>
      <c r="B1500" s="1141" t="str">
        <f>IFERROR(VLOOKUP(A1500,'LAC 103'!A:C,3,FALSE),"")</f>
        <v>OP</v>
      </c>
      <c r="C1500" s="1478" t="str">
        <f>Info!$B$8</f>
        <v>00100</v>
      </c>
      <c r="D1500" s="1474" t="s">
        <v>256</v>
      </c>
      <c r="E1500" s="1474" t="s">
        <v>95</v>
      </c>
      <c r="F1500" s="1478" t="s">
        <v>459</v>
      </c>
      <c r="G1500" s="1478" t="s">
        <v>459</v>
      </c>
      <c r="H1500" s="1474" t="s">
        <v>1661</v>
      </c>
      <c r="I1500" s="1478" t="s">
        <v>819</v>
      </c>
      <c r="J1500" s="1478" t="s">
        <v>123</v>
      </c>
      <c r="K1500" s="1475" t="s">
        <v>851</v>
      </c>
      <c r="L1500" s="1474" t="s">
        <v>584</v>
      </c>
      <c r="M1500" s="1476" t="s">
        <v>1698</v>
      </c>
      <c r="N1500" s="1477" t="s">
        <v>1693</v>
      </c>
      <c r="O1500" s="1479">
        <v>32</v>
      </c>
      <c r="P1500" s="1479"/>
      <c r="Q1500" s="1142">
        <f t="shared" si="415"/>
        <v>32</v>
      </c>
      <c r="R1500" s="1143">
        <f>IFERROR(VLOOKUP(CONCATENATE(E1500,G1500),'LAC 103'!$A$12:$O$95,11,FALSE),0)</f>
        <v>4.7723158393158576</v>
      </c>
      <c r="S1500" s="1144">
        <f>IFERROR(VLOOKUP(CONCATENATE($E1500,$G1500),'LAC 103'!$A$12:$O$95,12,FALSE),0)</f>
        <v>5.91</v>
      </c>
      <c r="T1500" s="1144">
        <f>IFERROR(VLOOKUP(CONCATENATE($E1500,$G1500),'LAC 103'!$A$12:$O$95,13,FALSE),0)</f>
        <v>3.69</v>
      </c>
      <c r="U1500" s="1144">
        <f>IFERROR(VLOOKUP(CONCATENATE($E1500,$G1500),'LAC 103'!$A$12:$O$95,14,FALSE),0)</f>
        <v>0</v>
      </c>
      <c r="V1500" s="1144">
        <f>IFERROR(VLOOKUP(CONCATENATE($E1500,$G1500),'LAC 103'!$A$12:$O$95,15,FALSE),0)</f>
        <v>0</v>
      </c>
      <c r="W1500" s="1145" t="str">
        <f>IFERROR(VLOOKUP(CONCATENATE($B1500,$N1500),'LAC 103'!$AI:$AQ,9,FALSE),"")</f>
        <v>Costs</v>
      </c>
      <c r="X1500" s="1146">
        <f t="shared" si="420"/>
        <v>4.7723158393158576</v>
      </c>
      <c r="Y1500" s="1143">
        <f t="shared" si="430"/>
        <v>152.71410685810744</v>
      </c>
      <c r="Z1500" s="1147">
        <f t="shared" si="421"/>
        <v>189.12</v>
      </c>
      <c r="AA1500" s="1144">
        <f t="shared" si="422"/>
        <v>118.08</v>
      </c>
      <c r="AB1500" s="1144">
        <f t="shared" si="423"/>
        <v>0</v>
      </c>
      <c r="AC1500" s="1144">
        <f t="shared" si="424"/>
        <v>0</v>
      </c>
      <c r="AD1500" s="1148">
        <f t="shared" si="416"/>
        <v>152.71410685810744</v>
      </c>
      <c r="AE1500" s="1487">
        <v>0</v>
      </c>
      <c r="AF1500" s="1145">
        <f t="shared" si="425"/>
        <v>152.71410685810744</v>
      </c>
      <c r="AG1500" s="1149">
        <f>IFERROR(VLOOKUP(CONCATENATE($L1500,$N1500),'Drop List'!$G$23:$K$87,2,FALSE),0)</f>
        <v>0.56200000000000006</v>
      </c>
      <c r="AH1500" s="1150">
        <f>IFERROR(VLOOKUP(CONCATENATE($L1500,$N1500),'Drop List'!$G$23:$K$87,3,FALSE),0)</f>
        <v>0</v>
      </c>
      <c r="AI1500" s="1150">
        <f>IFERROR(VLOOKUP(CONCATENATE($L1500,$N1500),'Drop List'!$G$23:$K$87,4,FALSE),0)</f>
        <v>0</v>
      </c>
      <c r="AJ1500" s="1151">
        <f>IFERROR(VLOOKUP(CONCATENATE($L1500,$N1500),'Drop List'!$G$23:$K$87,5,FALSE),0)</f>
        <v>0.43799999999999994</v>
      </c>
      <c r="AK1500" s="1152">
        <f t="shared" si="426"/>
        <v>85.825328054256389</v>
      </c>
      <c r="AL1500" s="1153">
        <f t="shared" si="427"/>
        <v>0</v>
      </c>
      <c r="AM1500" s="1153">
        <f t="shared" si="428"/>
        <v>0</v>
      </c>
      <c r="AN1500" s="1145">
        <f t="shared" si="429"/>
        <v>66.888778803851054</v>
      </c>
      <c r="AO1500" s="1154">
        <f t="shared" si="412"/>
        <v>152.71410685810744</v>
      </c>
      <c r="AP1500" s="1147">
        <f t="shared" si="417"/>
        <v>0</v>
      </c>
      <c r="AQ1500" s="1144">
        <f t="shared" si="418"/>
        <v>0</v>
      </c>
      <c r="AR1500" s="1146">
        <f t="shared" si="419"/>
        <v>152.71410685810744</v>
      </c>
    </row>
    <row r="1501" spans="1:44" x14ac:dyDescent="0.2">
      <c r="A1501" s="1155" t="str">
        <f t="shared" si="431"/>
        <v>1577</v>
      </c>
      <c r="B1501" s="1155" t="str">
        <f>IFERROR(VLOOKUP(A1501,'LAC 103'!A:C,3,FALSE),"")</f>
        <v>OP</v>
      </c>
      <c r="C1501" s="1478" t="str">
        <f>Info!$B$8</f>
        <v>00100</v>
      </c>
      <c r="D1501" s="1474" t="s">
        <v>256</v>
      </c>
      <c r="E1501" s="1474" t="s">
        <v>95</v>
      </c>
      <c r="F1501" s="1478" t="s">
        <v>459</v>
      </c>
      <c r="G1501" s="1478" t="s">
        <v>459</v>
      </c>
      <c r="H1501" s="1474" t="s">
        <v>1091</v>
      </c>
      <c r="I1501" s="1478" t="s">
        <v>815</v>
      </c>
      <c r="J1501" s="1478" t="s">
        <v>123</v>
      </c>
      <c r="K1501" s="1475" t="s">
        <v>847</v>
      </c>
      <c r="L1501" s="1474" t="s">
        <v>582</v>
      </c>
      <c r="M1501" s="1476" t="s">
        <v>1699</v>
      </c>
      <c r="N1501" s="1477" t="s">
        <v>1694</v>
      </c>
      <c r="O1501" s="1479">
        <v>703</v>
      </c>
      <c r="P1501" s="1479"/>
      <c r="Q1501" s="1142">
        <f t="shared" si="415"/>
        <v>703</v>
      </c>
      <c r="R1501" s="1143">
        <f>IFERROR(VLOOKUP(CONCATENATE(E1501,G1501),'LAC 103'!$A$12:$O$95,11,FALSE),0)</f>
        <v>4.7723158393158576</v>
      </c>
      <c r="S1501" s="1144">
        <f>IFERROR(VLOOKUP(CONCATENATE($E1501,$G1501),'LAC 103'!$A$12:$O$95,12,FALSE),0)</f>
        <v>5.91</v>
      </c>
      <c r="T1501" s="1144">
        <f>IFERROR(VLOOKUP(CONCATENATE($E1501,$G1501),'LAC 103'!$A$12:$O$95,13,FALSE),0)</f>
        <v>3.69</v>
      </c>
      <c r="U1501" s="1144">
        <f>IFERROR(VLOOKUP(CONCATENATE($E1501,$G1501),'LAC 103'!$A$12:$O$95,14,FALSE),0)</f>
        <v>0</v>
      </c>
      <c r="V1501" s="1144">
        <f>IFERROR(VLOOKUP(CONCATENATE($E1501,$G1501),'LAC 103'!$A$12:$O$95,15,FALSE),0)</f>
        <v>0</v>
      </c>
      <c r="W1501" s="1145" t="str">
        <f>IFERROR(VLOOKUP(CONCATENATE($B1501,$N1501),'LAC 103'!$AI:$AQ,9,FALSE),"")</f>
        <v>Costs</v>
      </c>
      <c r="X1501" s="1146">
        <f t="shared" si="420"/>
        <v>4.7723158393158576</v>
      </c>
      <c r="Y1501" s="1143">
        <f t="shared" si="430"/>
        <v>3354.9380350390479</v>
      </c>
      <c r="Z1501" s="1147">
        <f t="shared" si="421"/>
        <v>4154.7300000000005</v>
      </c>
      <c r="AA1501" s="1144">
        <f t="shared" si="422"/>
        <v>2594.0700000000002</v>
      </c>
      <c r="AB1501" s="1144">
        <f t="shared" si="423"/>
        <v>0</v>
      </c>
      <c r="AC1501" s="1144">
        <f t="shared" si="424"/>
        <v>0</v>
      </c>
      <c r="AD1501" s="1148">
        <f t="shared" si="416"/>
        <v>3354.9380350390479</v>
      </c>
      <c r="AE1501" s="1487">
        <v>0</v>
      </c>
      <c r="AF1501" s="1145">
        <f t="shared" si="425"/>
        <v>3354.9380350390479</v>
      </c>
      <c r="AG1501" s="1149">
        <f>IFERROR(VLOOKUP(CONCATENATE($L1501,$N1501),'Drop List'!$G$23:$K$87,2,FALSE),0)</f>
        <v>0.56200000000000006</v>
      </c>
      <c r="AH1501" s="1150">
        <f>IFERROR(VLOOKUP(CONCATENATE($L1501,$N1501),'Drop List'!$G$23:$K$87,3,FALSE),0)</f>
        <v>0.43799999999999994</v>
      </c>
      <c r="AI1501" s="1150">
        <f>IFERROR(VLOOKUP(CONCATENATE($L1501,$N1501),'Drop List'!$G$23:$K$87,4,FALSE),0)</f>
        <v>0</v>
      </c>
      <c r="AJ1501" s="1151">
        <f>IFERROR(VLOOKUP(CONCATENATE($L1501,$N1501),'Drop List'!$G$23:$K$87,5,FALSE),0)</f>
        <v>0</v>
      </c>
      <c r="AK1501" s="1152">
        <f t="shared" si="426"/>
        <v>1885.4751756919452</v>
      </c>
      <c r="AL1501" s="1153">
        <f t="shared" si="427"/>
        <v>1469.4628593471027</v>
      </c>
      <c r="AM1501" s="1153">
        <f t="shared" si="428"/>
        <v>0</v>
      </c>
      <c r="AN1501" s="1145">
        <f t="shared" si="429"/>
        <v>0</v>
      </c>
      <c r="AO1501" s="1154">
        <f t="shared" si="412"/>
        <v>3354.9380350390479</v>
      </c>
      <c r="AP1501" s="1147">
        <f t="shared" si="417"/>
        <v>0</v>
      </c>
      <c r="AQ1501" s="1144">
        <f t="shared" si="418"/>
        <v>0</v>
      </c>
      <c r="AR1501" s="1146">
        <f t="shared" si="419"/>
        <v>3354.9380350390479</v>
      </c>
    </row>
    <row r="1502" spans="1:44" x14ac:dyDescent="0.2">
      <c r="A1502" s="1141" t="str">
        <f t="shared" si="431"/>
        <v>1577</v>
      </c>
      <c r="B1502" s="1141" t="str">
        <f>IFERROR(VLOOKUP(A1502,'LAC 103'!A:C,3,FALSE),"")</f>
        <v>OP</v>
      </c>
      <c r="C1502" s="1478" t="str">
        <f>Info!$B$8</f>
        <v>00100</v>
      </c>
      <c r="D1502" s="1474" t="s">
        <v>256</v>
      </c>
      <c r="E1502" s="1474" t="s">
        <v>95</v>
      </c>
      <c r="F1502" s="1478" t="s">
        <v>459</v>
      </c>
      <c r="G1502" s="1478" t="s">
        <v>459</v>
      </c>
      <c r="H1502" s="1474" t="s">
        <v>1091</v>
      </c>
      <c r="I1502" s="1478" t="s">
        <v>815</v>
      </c>
      <c r="J1502" s="1478"/>
      <c r="K1502" s="1475" t="s">
        <v>847</v>
      </c>
      <c r="L1502" s="1474" t="s">
        <v>582</v>
      </c>
      <c r="M1502" s="1476" t="s">
        <v>841</v>
      </c>
      <c r="N1502" s="1477" t="s">
        <v>1695</v>
      </c>
      <c r="O1502" s="1479">
        <v>83</v>
      </c>
      <c r="P1502" s="1479">
        <f>SUM(P7:P1501)</f>
        <v>0</v>
      </c>
      <c r="Q1502" s="1142">
        <f t="shared" si="415"/>
        <v>83</v>
      </c>
      <c r="R1502" s="1143">
        <f>IFERROR(VLOOKUP(CONCATENATE($E1502,$G1502),'LAC 103'!$A$12:$O$95,11,FALSE),0)</f>
        <v>4.7723158393158576</v>
      </c>
      <c r="S1502" s="1144">
        <f>IFERROR(VLOOKUP(CONCATENATE($E1502,$G1502),'LAC 103'!$A$12:$O$95,12,FALSE),0)</f>
        <v>5.91</v>
      </c>
      <c r="T1502" s="1144">
        <f>IFERROR(VLOOKUP(CONCATENATE($E1502,$G1502),'LAC 103'!$A$12:$O$95,13,FALSE),0)</f>
        <v>3.69</v>
      </c>
      <c r="U1502" s="1144">
        <f>IFERROR(VLOOKUP(CONCATENATE($E1502,$G1502),'LAC 103'!$A$12:$O$95,14,FALSE),0)</f>
        <v>0</v>
      </c>
      <c r="V1502" s="1144">
        <f>IFERROR(VLOOKUP(CONCATENATE($E1502,$G1502),'LAC 103'!$A$12:$O$95,15,FALSE),0)</f>
        <v>0</v>
      </c>
      <c r="W1502" s="1145" t="str">
        <f>IFERROR(VLOOKUP(CONCATENATE($B1502,$N1502),'LAC 103'!$AI:$AQ,9,FALSE),"")</f>
        <v>Costs</v>
      </c>
      <c r="X1502" s="1146">
        <f t="shared" si="420"/>
        <v>4.7723158393158576</v>
      </c>
      <c r="Y1502" s="1143">
        <f t="shared" si="430"/>
        <v>396.10221466321616</v>
      </c>
      <c r="Z1502" s="1147">
        <f t="shared" si="421"/>
        <v>490.53000000000003</v>
      </c>
      <c r="AA1502" s="1144">
        <f t="shared" si="422"/>
        <v>306.27</v>
      </c>
      <c r="AB1502" s="1144">
        <f t="shared" si="423"/>
        <v>0</v>
      </c>
      <c r="AC1502" s="1144">
        <f t="shared" si="424"/>
        <v>0</v>
      </c>
      <c r="AD1502" s="1148">
        <f t="shared" si="416"/>
        <v>396.10221466321616</v>
      </c>
      <c r="AE1502" s="1487">
        <v>0</v>
      </c>
      <c r="AF1502" s="1145">
        <f t="shared" si="425"/>
        <v>396.10221466321616</v>
      </c>
      <c r="AG1502" s="1149">
        <f>IFERROR(VLOOKUP(CONCATENATE($L1502,$N1502),'Drop List'!$G$23:$K$87,2,FALSE),0)</f>
        <v>0.55000000000000004</v>
      </c>
      <c r="AH1502" s="1150">
        <f>IFERROR(VLOOKUP(CONCATENATE($L1502,$N1502),'Drop List'!$G$23:$K$87,3,FALSE),0)</f>
        <v>0.44999999999999996</v>
      </c>
      <c r="AI1502" s="1150">
        <f>IFERROR(VLOOKUP(CONCATENATE($L1502,$N1502),'Drop List'!$G$23:$K$87,4,FALSE),0)</f>
        <v>0</v>
      </c>
      <c r="AJ1502" s="1151">
        <f>IFERROR(VLOOKUP(CONCATENATE($L1502,$N1502),'Drop List'!$G$23:$K$87,5,FALSE),0)</f>
        <v>0</v>
      </c>
      <c r="AK1502" s="1152">
        <f t="shared" si="426"/>
        <v>217.85621806476891</v>
      </c>
      <c r="AL1502" s="1153">
        <f t="shared" si="427"/>
        <v>178.24599659844725</v>
      </c>
      <c r="AM1502" s="1153">
        <f t="shared" si="428"/>
        <v>0</v>
      </c>
      <c r="AN1502" s="1145">
        <f t="shared" si="429"/>
        <v>0</v>
      </c>
      <c r="AO1502" s="1154">
        <f t="shared" ref="AO1502:AO1565" si="432">SUM(AK1502:AN1502)</f>
        <v>396.10221466321616</v>
      </c>
      <c r="AP1502" s="1147">
        <f t="shared" si="417"/>
        <v>0</v>
      </c>
      <c r="AQ1502" s="1144">
        <f t="shared" si="418"/>
        <v>0</v>
      </c>
      <c r="AR1502" s="1146">
        <f t="shared" si="419"/>
        <v>396.10221466321616</v>
      </c>
    </row>
    <row r="1503" spans="1:44" x14ac:dyDescent="0.2">
      <c r="A1503" s="1141" t="str">
        <f t="shared" si="431"/>
        <v>1577</v>
      </c>
      <c r="B1503" s="1141" t="str">
        <f>IFERROR(VLOOKUP(A1503,'LAC 103'!A:C,3,FALSE),"")</f>
        <v>OP</v>
      </c>
      <c r="C1503" s="1478" t="str">
        <f>Info!$B$8</f>
        <v>00100</v>
      </c>
      <c r="D1503" s="1474" t="s">
        <v>256</v>
      </c>
      <c r="E1503" s="1474" t="s">
        <v>95</v>
      </c>
      <c r="F1503" s="1478" t="s">
        <v>459</v>
      </c>
      <c r="G1503" s="1478" t="s">
        <v>459</v>
      </c>
      <c r="H1503" s="1474" t="s">
        <v>1091</v>
      </c>
      <c r="I1503" s="1478" t="s">
        <v>815</v>
      </c>
      <c r="J1503" s="1478"/>
      <c r="K1503" s="1475" t="s">
        <v>847</v>
      </c>
      <c r="L1503" s="1474" t="s">
        <v>582</v>
      </c>
      <c r="M1503" s="1476" t="s">
        <v>842</v>
      </c>
      <c r="N1503" s="1477" t="s">
        <v>1692</v>
      </c>
      <c r="O1503" s="1479">
        <v>30</v>
      </c>
      <c r="P1503" s="1479"/>
      <c r="Q1503" s="1142">
        <f t="shared" si="415"/>
        <v>30</v>
      </c>
      <c r="R1503" s="1143">
        <f>IFERROR(VLOOKUP(CONCATENATE($E1503,$G1503),'LAC 103'!$A$12:$O$95,11,FALSE),0)</f>
        <v>4.7723158393158576</v>
      </c>
      <c r="S1503" s="1144">
        <f>IFERROR(VLOOKUP(CONCATENATE($E1503,$G1503),'LAC 103'!$A$12:$O$95,12,FALSE),0)</f>
        <v>5.91</v>
      </c>
      <c r="T1503" s="1144">
        <f>IFERROR(VLOOKUP(CONCATENATE($E1503,$G1503),'LAC 103'!$A$12:$O$95,13,FALSE),0)</f>
        <v>3.69</v>
      </c>
      <c r="U1503" s="1144">
        <f>IFERROR(VLOOKUP(CONCATENATE($E1503,$G1503),'LAC 103'!$A$12:$O$95,14,FALSE),0)</f>
        <v>0</v>
      </c>
      <c r="V1503" s="1144">
        <f>IFERROR(VLOOKUP(CONCATENATE($E1503,$G1503),'LAC 103'!$A$12:$O$95,15,FALSE),0)</f>
        <v>0</v>
      </c>
      <c r="W1503" s="1145" t="str">
        <f>IFERROR(VLOOKUP(CONCATENATE($B1503,$N1503),'LAC 103'!$AI:$AQ,9,FALSE),"")</f>
        <v>Costs</v>
      </c>
      <c r="X1503" s="1146">
        <f t="shared" si="420"/>
        <v>4.7723158393158576</v>
      </c>
      <c r="Y1503" s="1143">
        <f t="shared" si="430"/>
        <v>143.16947517947574</v>
      </c>
      <c r="Z1503" s="1147">
        <f t="shared" si="421"/>
        <v>177.3</v>
      </c>
      <c r="AA1503" s="1144">
        <f t="shared" si="422"/>
        <v>110.7</v>
      </c>
      <c r="AB1503" s="1144">
        <f t="shared" si="423"/>
        <v>0</v>
      </c>
      <c r="AC1503" s="1144">
        <f t="shared" si="424"/>
        <v>0</v>
      </c>
      <c r="AD1503" s="1148">
        <f t="shared" si="416"/>
        <v>143.16947517947574</v>
      </c>
      <c r="AE1503" s="1487">
        <v>0</v>
      </c>
      <c r="AF1503" s="1145">
        <f t="shared" si="425"/>
        <v>143.16947517947574</v>
      </c>
      <c r="AG1503" s="1149">
        <f>IFERROR(VLOOKUP(CONCATENATE($L1503,$N1503),'Drop List'!$G$23:$K$87,2,FALSE),0)</f>
        <v>0.56200000000000006</v>
      </c>
      <c r="AH1503" s="1150">
        <f>IFERROR(VLOOKUP(CONCATENATE($L1503,$N1503),'Drop List'!$G$23:$K$87,3,FALSE),0)</f>
        <v>0.43799999999999994</v>
      </c>
      <c r="AI1503" s="1150">
        <f>IFERROR(VLOOKUP(CONCATENATE($L1503,$N1503),'Drop List'!$G$23:$K$87,4,FALSE),0)</f>
        <v>0</v>
      </c>
      <c r="AJ1503" s="1151">
        <f>IFERROR(VLOOKUP(CONCATENATE($L1503,$N1503),'Drop List'!$G$23:$K$87,5,FALSE),0)</f>
        <v>0</v>
      </c>
      <c r="AK1503" s="1152">
        <f t="shared" si="426"/>
        <v>80.461245050865372</v>
      </c>
      <c r="AL1503" s="1153">
        <f t="shared" si="427"/>
        <v>62.708230128610367</v>
      </c>
      <c r="AM1503" s="1153">
        <f t="shared" si="428"/>
        <v>0</v>
      </c>
      <c r="AN1503" s="1145">
        <f t="shared" si="429"/>
        <v>0</v>
      </c>
      <c r="AO1503" s="1154">
        <f t="shared" si="432"/>
        <v>143.16947517947574</v>
      </c>
      <c r="AP1503" s="1147">
        <f t="shared" si="417"/>
        <v>0</v>
      </c>
      <c r="AQ1503" s="1144">
        <f t="shared" si="418"/>
        <v>0</v>
      </c>
      <c r="AR1503" s="1146">
        <f t="shared" si="419"/>
        <v>143.16947517947574</v>
      </c>
    </row>
    <row r="1504" spans="1:44" x14ac:dyDescent="0.2">
      <c r="A1504" s="1141" t="str">
        <f t="shared" si="431"/>
        <v>1577</v>
      </c>
      <c r="B1504" s="1141" t="str">
        <f>IFERROR(VLOOKUP(A1504,'LAC 103'!A:C,3,FALSE),"")</f>
        <v>OP</v>
      </c>
      <c r="C1504" s="1478" t="str">
        <f>Info!$B$8</f>
        <v>00100</v>
      </c>
      <c r="D1504" s="1474" t="s">
        <v>256</v>
      </c>
      <c r="E1504" s="1474" t="s">
        <v>95</v>
      </c>
      <c r="F1504" s="1478" t="s">
        <v>459</v>
      </c>
      <c r="G1504" s="1478" t="s">
        <v>459</v>
      </c>
      <c r="H1504" s="1474" t="s">
        <v>1091</v>
      </c>
      <c r="I1504" s="1478" t="s">
        <v>815</v>
      </c>
      <c r="J1504" s="1478"/>
      <c r="K1504" s="1475" t="s">
        <v>847</v>
      </c>
      <c r="L1504" s="1474" t="s">
        <v>582</v>
      </c>
      <c r="M1504" s="1476" t="s">
        <v>1698</v>
      </c>
      <c r="N1504" s="1477" t="s">
        <v>1693</v>
      </c>
      <c r="O1504" s="1479">
        <v>130</v>
      </c>
      <c r="P1504" s="1479"/>
      <c r="Q1504" s="1142">
        <f t="shared" si="415"/>
        <v>130</v>
      </c>
      <c r="R1504" s="1143">
        <f>IFERROR(VLOOKUP(CONCATENATE($E1504,$G1504),'LAC 103'!$A$12:$O$95,11,FALSE),0)</f>
        <v>4.7723158393158576</v>
      </c>
      <c r="S1504" s="1144">
        <f>IFERROR(VLOOKUP(CONCATENATE($E1504,$G1504),'LAC 103'!$A$12:$O$95,12,FALSE),0)</f>
        <v>5.91</v>
      </c>
      <c r="T1504" s="1144">
        <f>IFERROR(VLOOKUP(CONCATENATE($E1504,$G1504),'LAC 103'!$A$12:$O$95,13,FALSE),0)</f>
        <v>3.69</v>
      </c>
      <c r="U1504" s="1144">
        <f>IFERROR(VLOOKUP(CONCATENATE($E1504,$G1504),'LAC 103'!$A$12:$O$95,14,FALSE),0)</f>
        <v>0</v>
      </c>
      <c r="V1504" s="1144">
        <f>IFERROR(VLOOKUP(CONCATENATE($E1504,$G1504),'LAC 103'!$A$12:$O$95,15,FALSE),0)</f>
        <v>0</v>
      </c>
      <c r="W1504" s="1145" t="str">
        <f>IFERROR(VLOOKUP(CONCATENATE($B1504,$N1504),'LAC 103'!$AI:$AQ,9,FALSE),"")</f>
        <v>Costs</v>
      </c>
      <c r="X1504" s="1146">
        <f t="shared" si="420"/>
        <v>4.7723158393158576</v>
      </c>
      <c r="Y1504" s="1143">
        <f t="shared" si="430"/>
        <v>620.4010591110615</v>
      </c>
      <c r="Z1504" s="1147">
        <f t="shared" si="421"/>
        <v>768.30000000000007</v>
      </c>
      <c r="AA1504" s="1144">
        <f t="shared" si="422"/>
        <v>479.7</v>
      </c>
      <c r="AB1504" s="1144">
        <f t="shared" si="423"/>
        <v>0</v>
      </c>
      <c r="AC1504" s="1144">
        <f t="shared" si="424"/>
        <v>0</v>
      </c>
      <c r="AD1504" s="1148">
        <f t="shared" si="416"/>
        <v>620.4010591110615</v>
      </c>
      <c r="AE1504" s="1487">
        <v>0</v>
      </c>
      <c r="AF1504" s="1145">
        <f t="shared" si="425"/>
        <v>620.4010591110615</v>
      </c>
      <c r="AG1504" s="1149">
        <f>IFERROR(VLOOKUP(CONCATENATE($L1504,$N1504),'Drop List'!$G$23:$K$87,2,FALSE),0)</f>
        <v>0.56200000000000006</v>
      </c>
      <c r="AH1504" s="1150">
        <f>IFERROR(VLOOKUP(CONCATENATE($L1504,$N1504),'Drop List'!$G$23:$K$87,3,FALSE),0)</f>
        <v>0.43799999999999994</v>
      </c>
      <c r="AI1504" s="1150">
        <f>IFERROR(VLOOKUP(CONCATENATE($L1504,$N1504),'Drop List'!$G$23:$K$87,4,FALSE),0)</f>
        <v>0</v>
      </c>
      <c r="AJ1504" s="1151">
        <f>IFERROR(VLOOKUP(CONCATENATE($L1504,$N1504),'Drop List'!$G$23:$K$87,5,FALSE),0)</f>
        <v>0</v>
      </c>
      <c r="AK1504" s="1152">
        <f t="shared" si="426"/>
        <v>348.6653952204166</v>
      </c>
      <c r="AL1504" s="1153">
        <f t="shared" si="427"/>
        <v>271.7356638906449</v>
      </c>
      <c r="AM1504" s="1153">
        <f t="shared" si="428"/>
        <v>0</v>
      </c>
      <c r="AN1504" s="1145">
        <f t="shared" si="429"/>
        <v>0</v>
      </c>
      <c r="AO1504" s="1154">
        <f t="shared" si="432"/>
        <v>620.4010591110615</v>
      </c>
      <c r="AP1504" s="1147">
        <f t="shared" si="417"/>
        <v>0</v>
      </c>
      <c r="AQ1504" s="1144">
        <f t="shared" si="418"/>
        <v>0</v>
      </c>
      <c r="AR1504" s="1146">
        <f t="shared" si="419"/>
        <v>620.4010591110615</v>
      </c>
    </row>
    <row r="1505" spans="1:44" x14ac:dyDescent="0.2">
      <c r="A1505" s="1141" t="str">
        <f t="shared" si="431"/>
        <v>1577</v>
      </c>
      <c r="B1505" s="1141" t="str">
        <f>IFERROR(VLOOKUP(A1505,'LAC 103'!A:C,3,FALSE),"")</f>
        <v>OP</v>
      </c>
      <c r="C1505" s="1478" t="str">
        <f>Info!$B$8</f>
        <v>00100</v>
      </c>
      <c r="D1505" s="1474" t="s">
        <v>256</v>
      </c>
      <c r="E1505" s="1474" t="s">
        <v>95</v>
      </c>
      <c r="F1505" s="1478" t="s">
        <v>459</v>
      </c>
      <c r="G1505" s="1478" t="s">
        <v>459</v>
      </c>
      <c r="H1505" s="1474" t="s">
        <v>1091</v>
      </c>
      <c r="I1505" s="1478" t="s">
        <v>815</v>
      </c>
      <c r="J1505" s="1478"/>
      <c r="K1505" s="1475" t="s">
        <v>848</v>
      </c>
      <c r="L1505" s="1474" t="s">
        <v>45</v>
      </c>
      <c r="M1505" s="1476" t="s">
        <v>842</v>
      </c>
      <c r="N1505" s="1477" t="s">
        <v>1692</v>
      </c>
      <c r="O1505" s="1479">
        <v>225</v>
      </c>
      <c r="P1505" s="1479"/>
      <c r="Q1505" s="1142">
        <f t="shared" si="415"/>
        <v>225</v>
      </c>
      <c r="R1505" s="1143">
        <f>IFERROR(VLOOKUP(CONCATENATE($E1505,$G1505),'LAC 103'!$A$12:$O$95,11,FALSE),0)</f>
        <v>4.7723158393158576</v>
      </c>
      <c r="S1505" s="1144">
        <f>IFERROR(VLOOKUP(CONCATENATE($E1505,$G1505),'LAC 103'!$A$12:$O$95,12,FALSE),0)</f>
        <v>5.91</v>
      </c>
      <c r="T1505" s="1144">
        <f>IFERROR(VLOOKUP(CONCATENATE($E1505,$G1505),'LAC 103'!$A$12:$O$95,13,FALSE),0)</f>
        <v>3.69</v>
      </c>
      <c r="U1505" s="1144">
        <f>IFERROR(VLOOKUP(CONCATENATE($E1505,$G1505),'LAC 103'!$A$12:$O$95,14,FALSE),0)</f>
        <v>0</v>
      </c>
      <c r="V1505" s="1144">
        <f>IFERROR(VLOOKUP(CONCATENATE($E1505,$G1505),'LAC 103'!$A$12:$O$95,15,FALSE),0)</f>
        <v>0</v>
      </c>
      <c r="W1505" s="1145" t="str">
        <f>IFERROR(VLOOKUP(CONCATENATE($B1505,$N1505),'LAC 103'!$AI:$AQ,9,FALSE),"")</f>
        <v>Costs</v>
      </c>
      <c r="X1505" s="1146">
        <f t="shared" si="420"/>
        <v>4.7723158393158576</v>
      </c>
      <c r="Y1505" s="1143">
        <f t="shared" si="430"/>
        <v>1073.771063846068</v>
      </c>
      <c r="Z1505" s="1147">
        <f t="shared" si="421"/>
        <v>1329.75</v>
      </c>
      <c r="AA1505" s="1144">
        <f t="shared" si="422"/>
        <v>830.25</v>
      </c>
      <c r="AB1505" s="1144">
        <f t="shared" si="423"/>
        <v>0</v>
      </c>
      <c r="AC1505" s="1144">
        <f t="shared" si="424"/>
        <v>0</v>
      </c>
      <c r="AD1505" s="1148">
        <f t="shared" si="416"/>
        <v>1073.771063846068</v>
      </c>
      <c r="AE1505" s="1487">
        <v>0</v>
      </c>
      <c r="AF1505" s="1145">
        <f t="shared" si="425"/>
        <v>1073.771063846068</v>
      </c>
      <c r="AG1505" s="1149">
        <f>IFERROR(VLOOKUP(CONCATENATE($L1505,$N1505),'Drop List'!$G$23:$K$87,2,FALSE),0)</f>
        <v>0.69340000000000002</v>
      </c>
      <c r="AH1505" s="1150">
        <f>IFERROR(VLOOKUP(CONCATENATE($L1505,$N1505),'Drop List'!$G$23:$K$87,3,FALSE),0)</f>
        <v>0.30659999999999998</v>
      </c>
      <c r="AI1505" s="1150">
        <f>IFERROR(VLOOKUP(CONCATENATE($L1505,$N1505),'Drop List'!$G$23:$K$87,4,FALSE),0)</f>
        <v>0</v>
      </c>
      <c r="AJ1505" s="1151">
        <f>IFERROR(VLOOKUP(CONCATENATE($L1505,$N1505),'Drop List'!$G$23:$K$87,5,FALSE),0)</f>
        <v>0</v>
      </c>
      <c r="AK1505" s="1152">
        <f t="shared" si="426"/>
        <v>744.55285567086355</v>
      </c>
      <c r="AL1505" s="1153">
        <f t="shared" si="427"/>
        <v>329.21820817520444</v>
      </c>
      <c r="AM1505" s="1153">
        <f t="shared" si="428"/>
        <v>0</v>
      </c>
      <c r="AN1505" s="1145">
        <f t="shared" si="429"/>
        <v>0</v>
      </c>
      <c r="AO1505" s="1154">
        <f t="shared" si="432"/>
        <v>1073.771063846068</v>
      </c>
      <c r="AP1505" s="1147">
        <f t="shared" si="417"/>
        <v>0</v>
      </c>
      <c r="AQ1505" s="1144">
        <f t="shared" si="418"/>
        <v>0</v>
      </c>
      <c r="AR1505" s="1146">
        <f t="shared" si="419"/>
        <v>1073.771063846068</v>
      </c>
    </row>
    <row r="1506" spans="1:44" x14ac:dyDescent="0.2">
      <c r="A1506" s="1141" t="str">
        <f t="shared" si="431"/>
        <v>1577</v>
      </c>
      <c r="B1506" s="1141" t="str">
        <f>IFERROR(VLOOKUP(A1506,'LAC 103'!A:C,3,FALSE),"")</f>
        <v>OP</v>
      </c>
      <c r="C1506" s="1478" t="str">
        <f>Info!$B$8</f>
        <v>00100</v>
      </c>
      <c r="D1506" s="1474" t="s">
        <v>256</v>
      </c>
      <c r="E1506" s="1474" t="s">
        <v>95</v>
      </c>
      <c r="F1506" s="1478" t="s">
        <v>459</v>
      </c>
      <c r="G1506" s="1478" t="s">
        <v>459</v>
      </c>
      <c r="H1506" s="1474" t="s">
        <v>1091</v>
      </c>
      <c r="I1506" s="1478" t="s">
        <v>815</v>
      </c>
      <c r="J1506" s="1478"/>
      <c r="K1506" s="1475" t="s">
        <v>848</v>
      </c>
      <c r="L1506" s="1474" t="s">
        <v>45</v>
      </c>
      <c r="M1506" s="1476" t="s">
        <v>1698</v>
      </c>
      <c r="N1506" s="1477" t="s">
        <v>1693</v>
      </c>
      <c r="O1506" s="1479">
        <v>264</v>
      </c>
      <c r="P1506" s="1479"/>
      <c r="Q1506" s="1142">
        <f t="shared" si="415"/>
        <v>264</v>
      </c>
      <c r="R1506" s="1143">
        <f>IFERROR(VLOOKUP(CONCATENATE($E1506,$G1506),'LAC 103'!$A$12:$O$95,11,FALSE),0)</f>
        <v>4.7723158393158576</v>
      </c>
      <c r="S1506" s="1144">
        <f>IFERROR(VLOOKUP(CONCATENATE($E1506,$G1506),'LAC 103'!$A$12:$O$95,12,FALSE),0)</f>
        <v>5.91</v>
      </c>
      <c r="T1506" s="1144">
        <f>IFERROR(VLOOKUP(CONCATENATE($E1506,$G1506),'LAC 103'!$A$12:$O$95,13,FALSE),0)</f>
        <v>3.69</v>
      </c>
      <c r="U1506" s="1144">
        <f>IFERROR(VLOOKUP(CONCATENATE($E1506,$G1506),'LAC 103'!$A$12:$O$95,14,FALSE),0)</f>
        <v>0</v>
      </c>
      <c r="V1506" s="1144">
        <f>IFERROR(VLOOKUP(CONCATENATE($E1506,$G1506),'LAC 103'!$A$12:$O$95,15,FALSE),0)</f>
        <v>0</v>
      </c>
      <c r="W1506" s="1145" t="str">
        <f>IFERROR(VLOOKUP(CONCATENATE($B1506,$N1506),'LAC 103'!$AI:$AQ,9,FALSE),"")</f>
        <v>Costs</v>
      </c>
      <c r="X1506" s="1146">
        <f t="shared" si="420"/>
        <v>4.7723158393158576</v>
      </c>
      <c r="Y1506" s="1143">
        <f t="shared" si="430"/>
        <v>1259.8913815793865</v>
      </c>
      <c r="Z1506" s="1147">
        <f t="shared" si="421"/>
        <v>1560.24</v>
      </c>
      <c r="AA1506" s="1144">
        <f t="shared" si="422"/>
        <v>974.16</v>
      </c>
      <c r="AB1506" s="1144">
        <f t="shared" si="423"/>
        <v>0</v>
      </c>
      <c r="AC1506" s="1144">
        <f t="shared" si="424"/>
        <v>0</v>
      </c>
      <c r="AD1506" s="1148">
        <f t="shared" si="416"/>
        <v>1259.8913815793865</v>
      </c>
      <c r="AE1506" s="1487">
        <v>0</v>
      </c>
      <c r="AF1506" s="1145">
        <f t="shared" si="425"/>
        <v>1259.8913815793865</v>
      </c>
      <c r="AG1506" s="1149">
        <f>IFERROR(VLOOKUP(CONCATENATE($L1506,$N1506),'Drop List'!$G$23:$K$87,2,FALSE),0)</f>
        <v>0.69340000000000002</v>
      </c>
      <c r="AH1506" s="1150">
        <f>IFERROR(VLOOKUP(CONCATENATE($L1506,$N1506),'Drop List'!$G$23:$K$87,3,FALSE),0)</f>
        <v>0.30659999999999998</v>
      </c>
      <c r="AI1506" s="1150">
        <f>IFERROR(VLOOKUP(CONCATENATE($L1506,$N1506),'Drop List'!$G$23:$K$87,4,FALSE),0)</f>
        <v>0</v>
      </c>
      <c r="AJ1506" s="1151">
        <f>IFERROR(VLOOKUP(CONCATENATE($L1506,$N1506),'Drop List'!$G$23:$K$87,5,FALSE),0)</f>
        <v>0</v>
      </c>
      <c r="AK1506" s="1152">
        <f t="shared" si="426"/>
        <v>873.60868398714661</v>
      </c>
      <c r="AL1506" s="1153">
        <f t="shared" si="427"/>
        <v>386.28269759223986</v>
      </c>
      <c r="AM1506" s="1153">
        <f t="shared" si="428"/>
        <v>0</v>
      </c>
      <c r="AN1506" s="1145">
        <f t="shared" si="429"/>
        <v>0</v>
      </c>
      <c r="AO1506" s="1154">
        <f t="shared" si="432"/>
        <v>1259.8913815793865</v>
      </c>
      <c r="AP1506" s="1147">
        <f t="shared" si="417"/>
        <v>0</v>
      </c>
      <c r="AQ1506" s="1144">
        <f t="shared" si="418"/>
        <v>0</v>
      </c>
      <c r="AR1506" s="1146">
        <f t="shared" si="419"/>
        <v>1259.8913815793865</v>
      </c>
    </row>
    <row r="1507" spans="1:44" x14ac:dyDescent="0.2">
      <c r="A1507" s="1141" t="str">
        <f t="shared" si="431"/>
        <v>1577</v>
      </c>
      <c r="B1507" s="1141" t="str">
        <f>IFERROR(VLOOKUP(A1507,'LAC 103'!A:C,3,FALSE),"")</f>
        <v>OP</v>
      </c>
      <c r="C1507" s="1478" t="str">
        <f>Info!$B$8</f>
        <v>00100</v>
      </c>
      <c r="D1507" s="1474" t="s">
        <v>256</v>
      </c>
      <c r="E1507" s="1474" t="s">
        <v>95</v>
      </c>
      <c r="F1507" s="1478" t="s">
        <v>459</v>
      </c>
      <c r="G1507" s="1478" t="s">
        <v>459</v>
      </c>
      <c r="H1507" s="1474" t="s">
        <v>1091</v>
      </c>
      <c r="I1507" s="1478" t="s">
        <v>815</v>
      </c>
      <c r="J1507" s="1478"/>
      <c r="K1507" s="1475" t="s">
        <v>849</v>
      </c>
      <c r="L1507" s="1474" t="s">
        <v>77</v>
      </c>
      <c r="M1507" s="1476" t="s">
        <v>1699</v>
      </c>
      <c r="N1507" s="1477" t="s">
        <v>1694</v>
      </c>
      <c r="O1507" s="1479">
        <v>295</v>
      </c>
      <c r="P1507" s="1479"/>
      <c r="Q1507" s="1142">
        <f t="shared" si="415"/>
        <v>295</v>
      </c>
      <c r="R1507" s="1143">
        <f>IFERROR(VLOOKUP(CONCATENATE($E1507,$G1507),'LAC 103'!$A$12:$O$95,11,FALSE),0)</f>
        <v>4.7723158393158576</v>
      </c>
      <c r="S1507" s="1144">
        <f>IFERROR(VLOOKUP(CONCATENATE($E1507,$G1507),'LAC 103'!$A$12:$O$95,12,FALSE),0)</f>
        <v>5.91</v>
      </c>
      <c r="T1507" s="1144">
        <f>IFERROR(VLOOKUP(CONCATENATE($E1507,$G1507),'LAC 103'!$A$12:$O$95,13,FALSE),0)</f>
        <v>3.69</v>
      </c>
      <c r="U1507" s="1144">
        <f>IFERROR(VLOOKUP(CONCATENATE($E1507,$G1507),'LAC 103'!$A$12:$O$95,14,FALSE),0)</f>
        <v>0</v>
      </c>
      <c r="V1507" s="1144">
        <f>IFERROR(VLOOKUP(CONCATENATE($E1507,$G1507),'LAC 103'!$A$12:$O$95,15,FALSE),0)</f>
        <v>0</v>
      </c>
      <c r="W1507" s="1145" t="str">
        <f>IFERROR(VLOOKUP(CONCATENATE($B1507,$N1507),'LAC 103'!$AI:$AQ,9,FALSE),"")</f>
        <v>Costs</v>
      </c>
      <c r="X1507" s="1146">
        <f t="shared" si="420"/>
        <v>4.7723158393158576</v>
      </c>
      <c r="Y1507" s="1143">
        <f t="shared" si="430"/>
        <v>1407.833172598178</v>
      </c>
      <c r="Z1507" s="1147">
        <f t="shared" si="421"/>
        <v>1743.45</v>
      </c>
      <c r="AA1507" s="1144">
        <f t="shared" si="422"/>
        <v>1088.55</v>
      </c>
      <c r="AB1507" s="1144">
        <f t="shared" si="423"/>
        <v>0</v>
      </c>
      <c r="AC1507" s="1144">
        <f t="shared" si="424"/>
        <v>0</v>
      </c>
      <c r="AD1507" s="1148">
        <f t="shared" si="416"/>
        <v>1407.833172598178</v>
      </c>
      <c r="AE1507" s="1487">
        <v>0</v>
      </c>
      <c r="AF1507" s="1145">
        <f t="shared" si="425"/>
        <v>1407.833172598178</v>
      </c>
      <c r="AG1507" s="1149">
        <f>IFERROR(VLOOKUP(CONCATENATE($L1507,$N1507),'Drop List'!$G$23:$K$87,2,FALSE),0)</f>
        <v>0.9</v>
      </c>
      <c r="AH1507" s="1150">
        <f>IFERROR(VLOOKUP(CONCATENATE($L1507,$N1507),'Drop List'!$G$23:$K$87,3,FALSE),0)</f>
        <v>0</v>
      </c>
      <c r="AI1507" s="1150">
        <f>IFERROR(VLOOKUP(CONCATENATE($L1507,$N1507),'Drop List'!$G$23:$K$87,4,FALSE),0)</f>
        <v>0.1</v>
      </c>
      <c r="AJ1507" s="1151">
        <f>IFERROR(VLOOKUP(CONCATENATE($L1507,$N1507),'Drop List'!$G$23:$K$87,5,FALSE),0)</f>
        <v>0</v>
      </c>
      <c r="AK1507" s="1152">
        <f t="shared" si="426"/>
        <v>1267.0498553383602</v>
      </c>
      <c r="AL1507" s="1153">
        <f t="shared" si="427"/>
        <v>0</v>
      </c>
      <c r="AM1507" s="1153">
        <f t="shared" si="428"/>
        <v>140.78331725981781</v>
      </c>
      <c r="AN1507" s="1145">
        <f t="shared" si="429"/>
        <v>0</v>
      </c>
      <c r="AO1507" s="1154">
        <f t="shared" si="432"/>
        <v>1407.833172598178</v>
      </c>
      <c r="AP1507" s="1147">
        <f t="shared" si="417"/>
        <v>0</v>
      </c>
      <c r="AQ1507" s="1144">
        <f t="shared" si="418"/>
        <v>0</v>
      </c>
      <c r="AR1507" s="1146">
        <f t="shared" si="419"/>
        <v>1407.833172598178</v>
      </c>
    </row>
    <row r="1508" spans="1:44" x14ac:dyDescent="0.2">
      <c r="A1508" s="1141" t="str">
        <f t="shared" si="431"/>
        <v>1577</v>
      </c>
      <c r="B1508" s="1141" t="str">
        <f>IFERROR(VLOOKUP(A1508,'LAC 103'!A:C,3,FALSE),"")</f>
        <v>OP</v>
      </c>
      <c r="C1508" s="1478" t="str">
        <f>Info!$B$8</f>
        <v>00100</v>
      </c>
      <c r="D1508" s="1474" t="s">
        <v>256</v>
      </c>
      <c r="E1508" s="1474" t="s">
        <v>95</v>
      </c>
      <c r="F1508" s="1478" t="s">
        <v>459</v>
      </c>
      <c r="G1508" s="1478" t="s">
        <v>459</v>
      </c>
      <c r="H1508" s="1474" t="s">
        <v>1091</v>
      </c>
      <c r="I1508" s="1478" t="s">
        <v>815</v>
      </c>
      <c r="J1508" s="1478"/>
      <c r="K1508" s="1475" t="s">
        <v>849</v>
      </c>
      <c r="L1508" s="1474" t="s">
        <v>77</v>
      </c>
      <c r="M1508" s="1476" t="s">
        <v>841</v>
      </c>
      <c r="N1508" s="1477" t="s">
        <v>1695</v>
      </c>
      <c r="O1508" s="1479">
        <v>104</v>
      </c>
      <c r="P1508" s="1479"/>
      <c r="Q1508" s="1142">
        <f t="shared" si="415"/>
        <v>104</v>
      </c>
      <c r="R1508" s="1143">
        <f>IFERROR(VLOOKUP(CONCATENATE($E1508,$G1508),'LAC 103'!$A$12:$O$95,11,FALSE),0)</f>
        <v>4.7723158393158576</v>
      </c>
      <c r="S1508" s="1144">
        <f>IFERROR(VLOOKUP(CONCATENATE($E1508,$G1508),'LAC 103'!$A$12:$O$95,12,FALSE),0)</f>
        <v>5.91</v>
      </c>
      <c r="T1508" s="1144">
        <f>IFERROR(VLOOKUP(CONCATENATE($E1508,$G1508),'LAC 103'!$A$12:$O$95,13,FALSE),0)</f>
        <v>3.69</v>
      </c>
      <c r="U1508" s="1144">
        <f>IFERROR(VLOOKUP(CONCATENATE($E1508,$G1508),'LAC 103'!$A$12:$O$95,14,FALSE),0)</f>
        <v>0</v>
      </c>
      <c r="V1508" s="1144">
        <f>IFERROR(VLOOKUP(CONCATENATE($E1508,$G1508),'LAC 103'!$A$12:$O$95,15,FALSE),0)</f>
        <v>0</v>
      </c>
      <c r="W1508" s="1145" t="str">
        <f>IFERROR(VLOOKUP(CONCATENATE($B1508,$N1508),'LAC 103'!$AI:$AQ,9,FALSE),"")</f>
        <v>Costs</v>
      </c>
      <c r="X1508" s="1146">
        <f t="shared" si="420"/>
        <v>4.7723158393158576</v>
      </c>
      <c r="Y1508" s="1143">
        <f t="shared" si="430"/>
        <v>496.32084728884917</v>
      </c>
      <c r="Z1508" s="1147">
        <f t="shared" si="421"/>
        <v>614.64</v>
      </c>
      <c r="AA1508" s="1144">
        <f t="shared" si="422"/>
        <v>383.76</v>
      </c>
      <c r="AB1508" s="1144">
        <f t="shared" si="423"/>
        <v>0</v>
      </c>
      <c r="AC1508" s="1144">
        <f t="shared" si="424"/>
        <v>0</v>
      </c>
      <c r="AD1508" s="1148">
        <f t="shared" si="416"/>
        <v>496.32084728884917</v>
      </c>
      <c r="AE1508" s="1487">
        <v>0</v>
      </c>
      <c r="AF1508" s="1145">
        <f t="shared" si="425"/>
        <v>496.32084728884917</v>
      </c>
      <c r="AG1508" s="1149">
        <f>IFERROR(VLOOKUP(CONCATENATE($L1508,$N1508),'Drop List'!$G$23:$K$87,2,FALSE),0)</f>
        <v>0.9</v>
      </c>
      <c r="AH1508" s="1150">
        <f>IFERROR(VLOOKUP(CONCATENATE($L1508,$N1508),'Drop List'!$G$23:$K$87,3,FALSE),0)</f>
        <v>0</v>
      </c>
      <c r="AI1508" s="1150">
        <f>IFERROR(VLOOKUP(CONCATENATE($L1508,$N1508),'Drop List'!$G$23:$K$87,4,FALSE),0)</f>
        <v>0.1</v>
      </c>
      <c r="AJ1508" s="1151">
        <f>IFERROR(VLOOKUP(CONCATENATE($L1508,$N1508),'Drop List'!$G$23:$K$87,5,FALSE),0)</f>
        <v>0</v>
      </c>
      <c r="AK1508" s="1152">
        <f t="shared" si="426"/>
        <v>446.68876255996423</v>
      </c>
      <c r="AL1508" s="1153">
        <f t="shared" si="427"/>
        <v>0</v>
      </c>
      <c r="AM1508" s="1153">
        <f t="shared" si="428"/>
        <v>49.632084728884919</v>
      </c>
      <c r="AN1508" s="1145">
        <f t="shared" si="429"/>
        <v>0</v>
      </c>
      <c r="AO1508" s="1154">
        <f t="shared" si="432"/>
        <v>496.32084728884917</v>
      </c>
      <c r="AP1508" s="1147">
        <f t="shared" si="417"/>
        <v>0</v>
      </c>
      <c r="AQ1508" s="1144">
        <f t="shared" si="418"/>
        <v>0</v>
      </c>
      <c r="AR1508" s="1146">
        <f t="shared" si="419"/>
        <v>496.32084728884917</v>
      </c>
    </row>
    <row r="1509" spans="1:44" x14ac:dyDescent="0.2">
      <c r="A1509" s="1141" t="str">
        <f t="shared" si="431"/>
        <v>1577</v>
      </c>
      <c r="B1509" s="1141" t="str">
        <f>IFERROR(VLOOKUP(A1509,'LAC 103'!A:C,3,FALSE),"")</f>
        <v>OP</v>
      </c>
      <c r="C1509" s="1478" t="str">
        <f>Info!$B$8</f>
        <v>00100</v>
      </c>
      <c r="D1509" s="1474" t="s">
        <v>256</v>
      </c>
      <c r="E1509" s="1474" t="s">
        <v>95</v>
      </c>
      <c r="F1509" s="1478" t="s">
        <v>459</v>
      </c>
      <c r="G1509" s="1478" t="s">
        <v>459</v>
      </c>
      <c r="H1509" s="1474" t="s">
        <v>1091</v>
      </c>
      <c r="I1509" s="1478" t="s">
        <v>815</v>
      </c>
      <c r="J1509" s="1478"/>
      <c r="K1509" s="1475" t="s">
        <v>849</v>
      </c>
      <c r="L1509" s="1474" t="s">
        <v>77</v>
      </c>
      <c r="M1509" s="1476" t="s">
        <v>840</v>
      </c>
      <c r="N1509" s="1477" t="s">
        <v>1700</v>
      </c>
      <c r="O1509" s="1479">
        <v>21</v>
      </c>
      <c r="P1509" s="1479"/>
      <c r="Q1509" s="1142">
        <f t="shared" si="415"/>
        <v>21</v>
      </c>
      <c r="R1509" s="1143">
        <f>IFERROR(VLOOKUP(CONCATENATE($E1509,$G1509),'LAC 103'!$A$12:$O$95,11,FALSE),0)</f>
        <v>4.7723158393158576</v>
      </c>
      <c r="S1509" s="1144">
        <f>IFERROR(VLOOKUP(CONCATENATE($E1509,$G1509),'LAC 103'!$A$12:$O$95,12,FALSE),0)</f>
        <v>5.91</v>
      </c>
      <c r="T1509" s="1144">
        <f>IFERROR(VLOOKUP(CONCATENATE($E1509,$G1509),'LAC 103'!$A$12:$O$95,13,FALSE),0)</f>
        <v>3.69</v>
      </c>
      <c r="U1509" s="1144">
        <f>IFERROR(VLOOKUP(CONCATENATE($E1509,$G1509),'LAC 103'!$A$12:$O$95,14,FALSE),0)</f>
        <v>0</v>
      </c>
      <c r="V1509" s="1144">
        <f>IFERROR(VLOOKUP(CONCATENATE($E1509,$G1509),'LAC 103'!$A$12:$O$95,15,FALSE),0)</f>
        <v>0</v>
      </c>
      <c r="W1509" s="1145" t="str">
        <f>IFERROR(VLOOKUP(CONCATENATE($B1509,$N1509),'LAC 103'!$AI:$AQ,9,FALSE),"")</f>
        <v>P.C.</v>
      </c>
      <c r="X1509" s="1146">
        <f t="shared" si="420"/>
        <v>3.69</v>
      </c>
      <c r="Y1509" s="1143">
        <f t="shared" si="430"/>
        <v>100.21863262563301</v>
      </c>
      <c r="Z1509" s="1147">
        <f t="shared" si="421"/>
        <v>124.11</v>
      </c>
      <c r="AA1509" s="1144">
        <f t="shared" si="422"/>
        <v>77.489999999999995</v>
      </c>
      <c r="AB1509" s="1144">
        <f t="shared" si="423"/>
        <v>0</v>
      </c>
      <c r="AC1509" s="1144">
        <f t="shared" si="424"/>
        <v>0</v>
      </c>
      <c r="AD1509" s="1148">
        <f t="shared" si="416"/>
        <v>77.489999999999995</v>
      </c>
      <c r="AE1509" s="1487">
        <v>0</v>
      </c>
      <c r="AF1509" s="1145">
        <f t="shared" si="425"/>
        <v>77.489999999999995</v>
      </c>
      <c r="AG1509" s="1149">
        <f>IFERROR(VLOOKUP(CONCATENATE($L1509,$N1509),'Drop List'!$G$23:$K$87,2,FALSE),0)</f>
        <v>0.9</v>
      </c>
      <c r="AH1509" s="1150">
        <f>IFERROR(VLOOKUP(CONCATENATE($L1509,$N1509),'Drop List'!$G$23:$K$87,3,FALSE),0)</f>
        <v>0</v>
      </c>
      <c r="AI1509" s="1150">
        <f>IFERROR(VLOOKUP(CONCATENATE($L1509,$N1509),'Drop List'!$G$23:$K$87,4,FALSE),0)</f>
        <v>0.1</v>
      </c>
      <c r="AJ1509" s="1151">
        <f>IFERROR(VLOOKUP(CONCATENATE($L1509,$N1509),'Drop List'!$G$23:$K$87,5,FALSE),0)</f>
        <v>0</v>
      </c>
      <c r="AK1509" s="1152">
        <f t="shared" si="426"/>
        <v>69.741</v>
      </c>
      <c r="AL1509" s="1153">
        <f t="shared" si="427"/>
        <v>0</v>
      </c>
      <c r="AM1509" s="1153">
        <f t="shared" si="428"/>
        <v>7.7489999999999997</v>
      </c>
      <c r="AN1509" s="1145">
        <f t="shared" si="429"/>
        <v>0</v>
      </c>
      <c r="AO1509" s="1154">
        <f t="shared" si="432"/>
        <v>77.489999999999995</v>
      </c>
      <c r="AP1509" s="1147">
        <f t="shared" si="417"/>
        <v>0</v>
      </c>
      <c r="AQ1509" s="1144">
        <f t="shared" si="418"/>
        <v>0</v>
      </c>
      <c r="AR1509" s="1146">
        <f t="shared" si="419"/>
        <v>77.489999999999995</v>
      </c>
    </row>
    <row r="1510" spans="1:44" x14ac:dyDescent="0.2">
      <c r="A1510" s="1141" t="str">
        <f t="shared" si="431"/>
        <v>1577</v>
      </c>
      <c r="B1510" s="1141" t="str">
        <f>IFERROR(VLOOKUP(A1510,'LAC 103'!A:C,3,FALSE),"")</f>
        <v>OP</v>
      </c>
      <c r="C1510" s="1478" t="str">
        <f>Info!$B$8</f>
        <v>00100</v>
      </c>
      <c r="D1510" s="1474" t="s">
        <v>256</v>
      </c>
      <c r="E1510" s="1474" t="s">
        <v>95</v>
      </c>
      <c r="F1510" s="1478" t="s">
        <v>459</v>
      </c>
      <c r="G1510" s="1478" t="s">
        <v>459</v>
      </c>
      <c r="H1510" s="1474" t="s">
        <v>1091</v>
      </c>
      <c r="I1510" s="1478" t="s">
        <v>815</v>
      </c>
      <c r="J1510" s="1478"/>
      <c r="K1510" s="1475" t="s">
        <v>849</v>
      </c>
      <c r="L1510" s="1474" t="s">
        <v>77</v>
      </c>
      <c r="M1510" s="1476" t="s">
        <v>842</v>
      </c>
      <c r="N1510" s="1477" t="s">
        <v>1692</v>
      </c>
      <c r="O1510" s="1479">
        <v>184</v>
      </c>
      <c r="P1510" s="1479"/>
      <c r="Q1510" s="1142">
        <f t="shared" si="415"/>
        <v>184</v>
      </c>
      <c r="R1510" s="1143">
        <f>IFERROR(VLOOKUP(CONCATENATE($E1510,$G1510),'LAC 103'!$A$12:$O$95,11,FALSE),0)</f>
        <v>4.7723158393158576</v>
      </c>
      <c r="S1510" s="1144">
        <f>IFERROR(VLOOKUP(CONCATENATE($E1510,$G1510),'LAC 103'!$A$12:$O$95,12,FALSE),0)</f>
        <v>5.91</v>
      </c>
      <c r="T1510" s="1144">
        <f>IFERROR(VLOOKUP(CONCATENATE($E1510,$G1510),'LAC 103'!$A$12:$O$95,13,FALSE),0)</f>
        <v>3.69</v>
      </c>
      <c r="U1510" s="1144">
        <f>IFERROR(VLOOKUP(CONCATENATE($E1510,$G1510),'LAC 103'!$A$12:$O$95,14,FALSE),0)</f>
        <v>0</v>
      </c>
      <c r="V1510" s="1144">
        <f>IFERROR(VLOOKUP(CONCATENATE($E1510,$G1510),'LAC 103'!$A$12:$O$95,15,FALSE),0)</f>
        <v>0</v>
      </c>
      <c r="W1510" s="1145" t="str">
        <f>IFERROR(VLOOKUP(CONCATENATE($B1510,$N1510),'LAC 103'!$AI:$AQ,9,FALSE),"")</f>
        <v>Costs</v>
      </c>
      <c r="X1510" s="1146">
        <f t="shared" si="420"/>
        <v>4.7723158393158576</v>
      </c>
      <c r="Y1510" s="1143">
        <f t="shared" si="430"/>
        <v>878.10611443411779</v>
      </c>
      <c r="Z1510" s="1147">
        <f t="shared" si="421"/>
        <v>1087.44</v>
      </c>
      <c r="AA1510" s="1144">
        <f t="shared" si="422"/>
        <v>678.96</v>
      </c>
      <c r="AB1510" s="1144">
        <f t="shared" si="423"/>
        <v>0</v>
      </c>
      <c r="AC1510" s="1144">
        <f t="shared" si="424"/>
        <v>0</v>
      </c>
      <c r="AD1510" s="1148">
        <f t="shared" si="416"/>
        <v>878.10611443411779</v>
      </c>
      <c r="AE1510" s="1487">
        <v>0</v>
      </c>
      <c r="AF1510" s="1145">
        <f t="shared" si="425"/>
        <v>878.10611443411779</v>
      </c>
      <c r="AG1510" s="1149">
        <f>IFERROR(VLOOKUP(CONCATENATE($L1510,$N1510),'Drop List'!$G$23:$K$87,2,FALSE),0)</f>
        <v>0.9</v>
      </c>
      <c r="AH1510" s="1150">
        <f>IFERROR(VLOOKUP(CONCATENATE($L1510,$N1510),'Drop List'!$G$23:$K$87,3,FALSE),0)</f>
        <v>0</v>
      </c>
      <c r="AI1510" s="1150">
        <f>IFERROR(VLOOKUP(CONCATENATE($L1510,$N1510),'Drop List'!$G$23:$K$87,4,FALSE),0)</f>
        <v>0.1</v>
      </c>
      <c r="AJ1510" s="1151">
        <f>IFERROR(VLOOKUP(CONCATENATE($L1510,$N1510),'Drop List'!$G$23:$K$87,5,FALSE),0)</f>
        <v>0</v>
      </c>
      <c r="AK1510" s="1152">
        <f t="shared" si="426"/>
        <v>790.29550299070604</v>
      </c>
      <c r="AL1510" s="1153">
        <f t="shared" si="427"/>
        <v>0</v>
      </c>
      <c r="AM1510" s="1153">
        <f t="shared" si="428"/>
        <v>87.810611443411787</v>
      </c>
      <c r="AN1510" s="1145">
        <f t="shared" si="429"/>
        <v>0</v>
      </c>
      <c r="AO1510" s="1154">
        <f t="shared" si="432"/>
        <v>878.10611443411779</v>
      </c>
      <c r="AP1510" s="1147">
        <f t="shared" si="417"/>
        <v>0</v>
      </c>
      <c r="AQ1510" s="1144">
        <f t="shared" si="418"/>
        <v>0</v>
      </c>
      <c r="AR1510" s="1146">
        <f t="shared" si="419"/>
        <v>878.10611443411779</v>
      </c>
    </row>
    <row r="1511" spans="1:44" x14ac:dyDescent="0.2">
      <c r="A1511" s="1141" t="str">
        <f t="shared" si="431"/>
        <v>1577</v>
      </c>
      <c r="B1511" s="1141" t="str">
        <f>IFERROR(VLOOKUP(A1511,'LAC 103'!A:C,3,FALSE),"")</f>
        <v>OP</v>
      </c>
      <c r="C1511" s="1478" t="str">
        <f>Info!$B$8</f>
        <v>00100</v>
      </c>
      <c r="D1511" s="1474" t="s">
        <v>256</v>
      </c>
      <c r="E1511" s="1474" t="s">
        <v>95</v>
      </c>
      <c r="F1511" s="1478" t="s">
        <v>459</v>
      </c>
      <c r="G1511" s="1478" t="s">
        <v>459</v>
      </c>
      <c r="H1511" s="1474" t="s">
        <v>1091</v>
      </c>
      <c r="I1511" s="1478" t="s">
        <v>815</v>
      </c>
      <c r="J1511" s="1478"/>
      <c r="K1511" s="1475" t="s">
        <v>849</v>
      </c>
      <c r="L1511" s="1474" t="s">
        <v>77</v>
      </c>
      <c r="M1511" s="1476" t="s">
        <v>1698</v>
      </c>
      <c r="N1511" s="1477" t="s">
        <v>1693</v>
      </c>
      <c r="O1511" s="1479">
        <v>654</v>
      </c>
      <c r="P1511" s="1479"/>
      <c r="Q1511" s="1142">
        <f t="shared" si="415"/>
        <v>654</v>
      </c>
      <c r="R1511" s="1143">
        <f>IFERROR(VLOOKUP(CONCATENATE($E1511,$G1511),'LAC 103'!$A$12:$O$95,11,FALSE),0)</f>
        <v>4.7723158393158576</v>
      </c>
      <c r="S1511" s="1144">
        <f>IFERROR(VLOOKUP(CONCATENATE($E1511,$G1511),'LAC 103'!$A$12:$O$95,12,FALSE),0)</f>
        <v>5.91</v>
      </c>
      <c r="T1511" s="1144">
        <f>IFERROR(VLOOKUP(CONCATENATE($E1511,$G1511),'LAC 103'!$A$12:$O$95,13,FALSE),0)</f>
        <v>3.69</v>
      </c>
      <c r="U1511" s="1144">
        <f>IFERROR(VLOOKUP(CONCATENATE($E1511,$G1511),'LAC 103'!$A$12:$O$95,14,FALSE),0)</f>
        <v>0</v>
      </c>
      <c r="V1511" s="1144">
        <f>IFERROR(VLOOKUP(CONCATENATE($E1511,$G1511),'LAC 103'!$A$12:$O$95,15,FALSE),0)</f>
        <v>0</v>
      </c>
      <c r="W1511" s="1145" t="str">
        <f>IFERROR(VLOOKUP(CONCATENATE($B1511,$N1511),'LAC 103'!$AI:$AQ,9,FALSE),"")</f>
        <v>Costs</v>
      </c>
      <c r="X1511" s="1146">
        <f t="shared" si="420"/>
        <v>4.7723158393158576</v>
      </c>
      <c r="Y1511" s="1143">
        <f t="shared" si="430"/>
        <v>3121.0945589125708</v>
      </c>
      <c r="Z1511" s="1147">
        <f t="shared" si="421"/>
        <v>3865.14</v>
      </c>
      <c r="AA1511" s="1144">
        <f t="shared" si="422"/>
        <v>2413.2599999999998</v>
      </c>
      <c r="AB1511" s="1144">
        <f t="shared" si="423"/>
        <v>0</v>
      </c>
      <c r="AC1511" s="1144">
        <f t="shared" si="424"/>
        <v>0</v>
      </c>
      <c r="AD1511" s="1148">
        <f t="shared" si="416"/>
        <v>3121.0945589125708</v>
      </c>
      <c r="AE1511" s="1487">
        <v>0</v>
      </c>
      <c r="AF1511" s="1145">
        <f t="shared" si="425"/>
        <v>3121.0945589125708</v>
      </c>
      <c r="AG1511" s="1149">
        <f>IFERROR(VLOOKUP(CONCATENATE($L1511,$N1511),'Drop List'!$G$23:$K$87,2,FALSE),0)</f>
        <v>0.9</v>
      </c>
      <c r="AH1511" s="1150">
        <f>IFERROR(VLOOKUP(CONCATENATE($L1511,$N1511),'Drop List'!$G$23:$K$87,3,FALSE),0)</f>
        <v>0</v>
      </c>
      <c r="AI1511" s="1150">
        <f>IFERROR(VLOOKUP(CONCATENATE($L1511,$N1511),'Drop List'!$G$23:$K$87,4,FALSE),0)</f>
        <v>0.1</v>
      </c>
      <c r="AJ1511" s="1151">
        <f>IFERROR(VLOOKUP(CONCATENATE($L1511,$N1511),'Drop List'!$G$23:$K$87,5,FALSE),0)</f>
        <v>0</v>
      </c>
      <c r="AK1511" s="1152">
        <f t="shared" si="426"/>
        <v>2808.985103021314</v>
      </c>
      <c r="AL1511" s="1153">
        <f t="shared" si="427"/>
        <v>0</v>
      </c>
      <c r="AM1511" s="1153">
        <f t="shared" si="428"/>
        <v>312.10945589125708</v>
      </c>
      <c r="AN1511" s="1145">
        <f t="shared" si="429"/>
        <v>0</v>
      </c>
      <c r="AO1511" s="1154">
        <f t="shared" si="432"/>
        <v>3121.0945589125713</v>
      </c>
      <c r="AP1511" s="1147">
        <f t="shared" si="417"/>
        <v>0</v>
      </c>
      <c r="AQ1511" s="1144">
        <f t="shared" si="418"/>
        <v>0</v>
      </c>
      <c r="AR1511" s="1146">
        <f t="shared" si="419"/>
        <v>3121.0945589125713</v>
      </c>
    </row>
    <row r="1512" spans="1:44" x14ac:dyDescent="0.2">
      <c r="A1512" s="1141" t="str">
        <f t="shared" si="431"/>
        <v>1577</v>
      </c>
      <c r="B1512" s="1141" t="str">
        <f>IFERROR(VLOOKUP(A1512,'LAC 103'!A:C,3,FALSE),"")</f>
        <v>OP</v>
      </c>
      <c r="C1512" s="1478" t="str">
        <f>Info!$B$8</f>
        <v>00100</v>
      </c>
      <c r="D1512" s="1474" t="s">
        <v>256</v>
      </c>
      <c r="E1512" s="1474" t="s">
        <v>95</v>
      </c>
      <c r="F1512" s="1478" t="s">
        <v>459</v>
      </c>
      <c r="G1512" s="1478" t="s">
        <v>459</v>
      </c>
      <c r="H1512" s="1474" t="s">
        <v>1091</v>
      </c>
      <c r="I1512" s="1478" t="s">
        <v>815</v>
      </c>
      <c r="J1512" s="1478"/>
      <c r="K1512" s="1475" t="s">
        <v>971</v>
      </c>
      <c r="L1512" s="1474" t="s">
        <v>332</v>
      </c>
      <c r="M1512" s="1476" t="s">
        <v>1699</v>
      </c>
      <c r="N1512" s="1477" t="s">
        <v>1694</v>
      </c>
      <c r="O1512" s="1479">
        <v>62</v>
      </c>
      <c r="P1512" s="1479"/>
      <c r="Q1512" s="1142">
        <f t="shared" si="415"/>
        <v>62</v>
      </c>
      <c r="R1512" s="1143">
        <f>IFERROR(VLOOKUP(CONCATENATE($E1512,$G1512),'LAC 103'!$A$12:$O$95,11,FALSE),0)</f>
        <v>4.7723158393158576</v>
      </c>
      <c r="S1512" s="1144">
        <f>IFERROR(VLOOKUP(CONCATENATE($E1512,$G1512),'LAC 103'!$A$12:$O$95,12,FALSE),0)</f>
        <v>5.91</v>
      </c>
      <c r="T1512" s="1144">
        <f>IFERROR(VLOOKUP(CONCATENATE($E1512,$G1512),'LAC 103'!$A$12:$O$95,13,FALSE),0)</f>
        <v>3.69</v>
      </c>
      <c r="U1512" s="1144">
        <f>IFERROR(VLOOKUP(CONCATENATE($E1512,$G1512),'LAC 103'!$A$12:$O$95,14,FALSE),0)</f>
        <v>0</v>
      </c>
      <c r="V1512" s="1144">
        <f>IFERROR(VLOOKUP(CONCATENATE($E1512,$G1512),'LAC 103'!$A$12:$O$95,15,FALSE),0)</f>
        <v>0</v>
      </c>
      <c r="W1512" s="1145" t="str">
        <f>IFERROR(VLOOKUP(CONCATENATE($B1512,$N1512),'LAC 103'!$AI:$AQ,9,FALSE),"")</f>
        <v>Costs</v>
      </c>
      <c r="X1512" s="1146">
        <f t="shared" si="420"/>
        <v>4.7723158393158576</v>
      </c>
      <c r="Y1512" s="1143">
        <f t="shared" si="430"/>
        <v>295.88358203758315</v>
      </c>
      <c r="Z1512" s="1147">
        <f t="shared" si="421"/>
        <v>366.42</v>
      </c>
      <c r="AA1512" s="1144">
        <f t="shared" si="422"/>
        <v>228.78</v>
      </c>
      <c r="AB1512" s="1144">
        <f t="shared" si="423"/>
        <v>0</v>
      </c>
      <c r="AC1512" s="1144">
        <f t="shared" si="424"/>
        <v>0</v>
      </c>
      <c r="AD1512" s="1148">
        <f t="shared" si="416"/>
        <v>295.88358203758315</v>
      </c>
      <c r="AE1512" s="1487">
        <v>0</v>
      </c>
      <c r="AF1512" s="1145">
        <f t="shared" si="425"/>
        <v>295.88358203758315</v>
      </c>
      <c r="AG1512" s="1149">
        <f>IFERROR(VLOOKUP(CONCATENATE($L1512,$N1512),'Drop List'!$G$23:$K$87,2,FALSE),0)</f>
        <v>0</v>
      </c>
      <c r="AH1512" s="1150">
        <f>IFERROR(VLOOKUP(CONCATENATE($L1512,$N1512),'Drop List'!$G$23:$K$87,3,FALSE),0)</f>
        <v>0</v>
      </c>
      <c r="AI1512" s="1150">
        <f>IFERROR(VLOOKUP(CONCATENATE($L1512,$N1512),'Drop List'!$G$23:$K$87,4,FALSE),0)</f>
        <v>0</v>
      </c>
      <c r="AJ1512" s="1151">
        <f>IFERROR(VLOOKUP(CONCATENATE($L1512,$N1512),'Drop List'!$G$23:$K$87,5,FALSE),0)</f>
        <v>0</v>
      </c>
      <c r="AK1512" s="1152">
        <f t="shared" si="426"/>
        <v>0</v>
      </c>
      <c r="AL1512" s="1153">
        <f t="shared" si="427"/>
        <v>0</v>
      </c>
      <c r="AM1512" s="1153">
        <f t="shared" si="428"/>
        <v>0</v>
      </c>
      <c r="AN1512" s="1145">
        <f t="shared" si="429"/>
        <v>0</v>
      </c>
      <c r="AO1512" s="1154">
        <f t="shared" si="432"/>
        <v>0</v>
      </c>
      <c r="AP1512" s="1147">
        <f t="shared" si="417"/>
        <v>295.88358203758315</v>
      </c>
      <c r="AQ1512" s="1144">
        <f t="shared" si="418"/>
        <v>0</v>
      </c>
      <c r="AR1512" s="1146">
        <f t="shared" si="419"/>
        <v>295.88358203758315</v>
      </c>
    </row>
    <row r="1513" spans="1:44" x14ac:dyDescent="0.2">
      <c r="A1513" s="1141" t="str">
        <f t="shared" si="431"/>
        <v>1577</v>
      </c>
      <c r="B1513" s="1141" t="str">
        <f>IFERROR(VLOOKUP(A1513,'LAC 103'!A:C,3,FALSE),"")</f>
        <v>OP</v>
      </c>
      <c r="C1513" s="1478" t="str">
        <f>Info!$B$8</f>
        <v>00100</v>
      </c>
      <c r="D1513" s="1474" t="s">
        <v>256</v>
      </c>
      <c r="E1513" s="1474" t="s">
        <v>95</v>
      </c>
      <c r="F1513" s="1478" t="s">
        <v>459</v>
      </c>
      <c r="G1513" s="1478" t="s">
        <v>459</v>
      </c>
      <c r="H1513" s="1474" t="s">
        <v>1091</v>
      </c>
      <c r="I1513" s="1478" t="s">
        <v>815</v>
      </c>
      <c r="J1513" s="1478"/>
      <c r="K1513" s="1475" t="s">
        <v>850</v>
      </c>
      <c r="L1513" s="1474" t="s">
        <v>330</v>
      </c>
      <c r="M1513" s="1476" t="s">
        <v>842</v>
      </c>
      <c r="N1513" s="1477" t="s">
        <v>1692</v>
      </c>
      <c r="O1513" s="1479">
        <v>58</v>
      </c>
      <c r="P1513" s="1479"/>
      <c r="Q1513" s="1142">
        <f t="shared" si="415"/>
        <v>58</v>
      </c>
      <c r="R1513" s="1143">
        <f>IFERROR(VLOOKUP(CONCATENATE($E1513,$G1513),'LAC 103'!$A$12:$O$95,11,FALSE),0)</f>
        <v>4.7723158393158576</v>
      </c>
      <c r="S1513" s="1144">
        <f>IFERROR(VLOOKUP(CONCATENATE($E1513,$G1513),'LAC 103'!$A$12:$O$95,12,FALSE),0)</f>
        <v>5.91</v>
      </c>
      <c r="T1513" s="1144">
        <f>IFERROR(VLOOKUP(CONCATENATE($E1513,$G1513),'LAC 103'!$A$12:$O$95,13,FALSE),0)</f>
        <v>3.69</v>
      </c>
      <c r="U1513" s="1144">
        <f>IFERROR(VLOOKUP(CONCATENATE($E1513,$G1513),'LAC 103'!$A$12:$O$95,14,FALSE),0)</f>
        <v>0</v>
      </c>
      <c r="V1513" s="1144">
        <f>IFERROR(VLOOKUP(CONCATENATE($E1513,$G1513),'LAC 103'!$A$12:$O$95,15,FALSE),0)</f>
        <v>0</v>
      </c>
      <c r="W1513" s="1145" t="str">
        <f>IFERROR(VLOOKUP(CONCATENATE($B1513,$N1513),'LAC 103'!$AI:$AQ,9,FALSE),"")</f>
        <v>Costs</v>
      </c>
      <c r="X1513" s="1146">
        <f t="shared" si="420"/>
        <v>4.7723158393158576</v>
      </c>
      <c r="Y1513" s="1143">
        <f t="shared" si="430"/>
        <v>276.79431868031975</v>
      </c>
      <c r="Z1513" s="1147">
        <f t="shared" si="421"/>
        <v>342.78000000000003</v>
      </c>
      <c r="AA1513" s="1144">
        <f t="shared" si="422"/>
        <v>214.02</v>
      </c>
      <c r="AB1513" s="1144">
        <f t="shared" si="423"/>
        <v>0</v>
      </c>
      <c r="AC1513" s="1144">
        <f t="shared" si="424"/>
        <v>0</v>
      </c>
      <c r="AD1513" s="1148">
        <f t="shared" si="416"/>
        <v>276.79431868031975</v>
      </c>
      <c r="AE1513" s="1487">
        <v>0</v>
      </c>
      <c r="AF1513" s="1145">
        <f t="shared" si="425"/>
        <v>276.79431868031975</v>
      </c>
      <c r="AG1513" s="1149">
        <f>IFERROR(VLOOKUP(CONCATENATE($L1513,$N1513),'Drop List'!$G$23:$K$87,2,FALSE),0)</f>
        <v>0</v>
      </c>
      <c r="AH1513" s="1150">
        <f>IFERROR(VLOOKUP(CONCATENATE($L1513,$N1513),'Drop List'!$G$23:$K$87,3,FALSE),0)</f>
        <v>0</v>
      </c>
      <c r="AI1513" s="1150">
        <f>IFERROR(VLOOKUP(CONCATENATE($L1513,$N1513),'Drop List'!$G$23:$K$87,4,FALSE),0)</f>
        <v>1</v>
      </c>
      <c r="AJ1513" s="1151">
        <f>IFERROR(VLOOKUP(CONCATENATE($L1513,$N1513),'Drop List'!$G$23:$K$87,5,FALSE),0)</f>
        <v>0</v>
      </c>
      <c r="AK1513" s="1152">
        <f t="shared" si="426"/>
        <v>0</v>
      </c>
      <c r="AL1513" s="1153">
        <f t="shared" si="427"/>
        <v>0</v>
      </c>
      <c r="AM1513" s="1153">
        <f t="shared" si="428"/>
        <v>276.79431868031975</v>
      </c>
      <c r="AN1513" s="1145">
        <f t="shared" si="429"/>
        <v>0</v>
      </c>
      <c r="AO1513" s="1154">
        <f t="shared" si="432"/>
        <v>276.79431868031975</v>
      </c>
      <c r="AP1513" s="1147">
        <f t="shared" si="417"/>
        <v>0</v>
      </c>
      <c r="AQ1513" s="1144">
        <f t="shared" si="418"/>
        <v>0</v>
      </c>
      <c r="AR1513" s="1146">
        <f t="shared" si="419"/>
        <v>276.79431868031975</v>
      </c>
    </row>
    <row r="1514" spans="1:44" x14ac:dyDescent="0.2">
      <c r="A1514" s="1141" t="str">
        <f t="shared" si="431"/>
        <v>1577</v>
      </c>
      <c r="B1514" s="1141" t="str">
        <f>IFERROR(VLOOKUP(A1514,'LAC 103'!A:C,3,FALSE),"")</f>
        <v>OP</v>
      </c>
      <c r="C1514" s="1478" t="str">
        <f>Info!$B$8</f>
        <v>00100</v>
      </c>
      <c r="D1514" s="1474" t="s">
        <v>256</v>
      </c>
      <c r="E1514" s="1474" t="s">
        <v>95</v>
      </c>
      <c r="F1514" s="1478" t="s">
        <v>459</v>
      </c>
      <c r="G1514" s="1478" t="s">
        <v>459</v>
      </c>
      <c r="H1514" s="1474" t="s">
        <v>1091</v>
      </c>
      <c r="I1514" s="1478" t="s">
        <v>815</v>
      </c>
      <c r="J1514" s="1478"/>
      <c r="K1514" s="1475" t="s">
        <v>851</v>
      </c>
      <c r="L1514" s="1474" t="s">
        <v>584</v>
      </c>
      <c r="M1514" s="1476" t="s">
        <v>1699</v>
      </c>
      <c r="N1514" s="1477" t="s">
        <v>1694</v>
      </c>
      <c r="O1514" s="1479">
        <v>915</v>
      </c>
      <c r="P1514" s="1479"/>
      <c r="Q1514" s="1142">
        <f t="shared" si="415"/>
        <v>915</v>
      </c>
      <c r="R1514" s="1143">
        <f>IFERROR(VLOOKUP(CONCATENATE($E1514,$G1514),'LAC 103'!$A$12:$O$95,11,FALSE),0)</f>
        <v>4.7723158393158576</v>
      </c>
      <c r="S1514" s="1144">
        <f>IFERROR(VLOOKUP(CONCATENATE($E1514,$G1514),'LAC 103'!$A$12:$O$95,12,FALSE),0)</f>
        <v>5.91</v>
      </c>
      <c r="T1514" s="1144">
        <f>IFERROR(VLOOKUP(CONCATENATE($E1514,$G1514),'LAC 103'!$A$12:$O$95,13,FALSE),0)</f>
        <v>3.69</v>
      </c>
      <c r="U1514" s="1144">
        <f>IFERROR(VLOOKUP(CONCATENATE($E1514,$G1514),'LAC 103'!$A$12:$O$95,14,FALSE),0)</f>
        <v>0</v>
      </c>
      <c r="V1514" s="1144">
        <f>IFERROR(VLOOKUP(CONCATENATE($E1514,$G1514),'LAC 103'!$A$12:$O$95,15,FALSE),0)</f>
        <v>0</v>
      </c>
      <c r="W1514" s="1145" t="str">
        <f>IFERROR(VLOOKUP(CONCATENATE($B1514,$N1514),'LAC 103'!$AI:$AQ,9,FALSE),"")</f>
        <v>Costs</v>
      </c>
      <c r="X1514" s="1146">
        <f t="shared" si="420"/>
        <v>4.7723158393158576</v>
      </c>
      <c r="Y1514" s="1143">
        <f t="shared" si="430"/>
        <v>4366.6689929740096</v>
      </c>
      <c r="Z1514" s="1147">
        <f t="shared" si="421"/>
        <v>5407.6500000000005</v>
      </c>
      <c r="AA1514" s="1144">
        <f t="shared" si="422"/>
        <v>3376.35</v>
      </c>
      <c r="AB1514" s="1144">
        <f t="shared" si="423"/>
        <v>0</v>
      </c>
      <c r="AC1514" s="1144">
        <f t="shared" si="424"/>
        <v>0</v>
      </c>
      <c r="AD1514" s="1148">
        <f t="shared" si="416"/>
        <v>4366.6689929740096</v>
      </c>
      <c r="AE1514" s="1487">
        <v>0</v>
      </c>
      <c r="AF1514" s="1145">
        <f t="shared" si="425"/>
        <v>4366.6689929740096</v>
      </c>
      <c r="AG1514" s="1149">
        <f>IFERROR(VLOOKUP(CONCATENATE($L1514,$N1514),'Drop List'!$G$23:$K$87,2,FALSE),0)</f>
        <v>0.56200000000000006</v>
      </c>
      <c r="AH1514" s="1150">
        <f>IFERROR(VLOOKUP(CONCATENATE($L1514,$N1514),'Drop List'!$G$23:$K$87,3,FALSE),0)</f>
        <v>0</v>
      </c>
      <c r="AI1514" s="1150">
        <f>IFERROR(VLOOKUP(CONCATENATE($L1514,$N1514),'Drop List'!$G$23:$K$87,4,FALSE),0)</f>
        <v>0</v>
      </c>
      <c r="AJ1514" s="1151">
        <f>IFERROR(VLOOKUP(CONCATENATE($L1514,$N1514),'Drop List'!$G$23:$K$87,5,FALSE),0)</f>
        <v>0.43799999999999994</v>
      </c>
      <c r="AK1514" s="1152">
        <f t="shared" si="426"/>
        <v>2454.0679740513938</v>
      </c>
      <c r="AL1514" s="1153">
        <f t="shared" si="427"/>
        <v>0</v>
      </c>
      <c r="AM1514" s="1153">
        <f t="shared" si="428"/>
        <v>0</v>
      </c>
      <c r="AN1514" s="1145">
        <f t="shared" si="429"/>
        <v>1912.601018922616</v>
      </c>
      <c r="AO1514" s="1154">
        <f t="shared" si="432"/>
        <v>4366.6689929740096</v>
      </c>
      <c r="AP1514" s="1147">
        <f t="shared" si="417"/>
        <v>0</v>
      </c>
      <c r="AQ1514" s="1144">
        <f t="shared" si="418"/>
        <v>0</v>
      </c>
      <c r="AR1514" s="1146">
        <f t="shared" si="419"/>
        <v>4366.6689929740096</v>
      </c>
    </row>
    <row r="1515" spans="1:44" x14ac:dyDescent="0.2">
      <c r="A1515" s="1141" t="str">
        <f t="shared" si="431"/>
        <v>1577</v>
      </c>
      <c r="B1515" s="1141" t="str">
        <f>IFERROR(VLOOKUP(A1515,'LAC 103'!A:C,3,FALSE),"")</f>
        <v>OP</v>
      </c>
      <c r="C1515" s="1478" t="str">
        <f>Info!$B$8</f>
        <v>00100</v>
      </c>
      <c r="D1515" s="1474" t="s">
        <v>256</v>
      </c>
      <c r="E1515" s="1474" t="s">
        <v>95</v>
      </c>
      <c r="F1515" s="1478" t="s">
        <v>459</v>
      </c>
      <c r="G1515" s="1478" t="s">
        <v>459</v>
      </c>
      <c r="H1515" s="1474" t="s">
        <v>1091</v>
      </c>
      <c r="I1515" s="1478" t="s">
        <v>815</v>
      </c>
      <c r="J1515" s="1478"/>
      <c r="K1515" s="1475" t="s">
        <v>851</v>
      </c>
      <c r="L1515" s="1474" t="s">
        <v>584</v>
      </c>
      <c r="M1515" s="1476" t="s">
        <v>841</v>
      </c>
      <c r="N1515" s="1477" t="s">
        <v>1695</v>
      </c>
      <c r="O1515" s="1479">
        <v>457</v>
      </c>
      <c r="P1515" s="1479"/>
      <c r="Q1515" s="1142">
        <f t="shared" si="415"/>
        <v>457</v>
      </c>
      <c r="R1515" s="1143">
        <f>IFERROR(VLOOKUP(CONCATENATE($E1515,$G1515),'LAC 103'!$A$12:$O$95,11,FALSE),0)</f>
        <v>4.7723158393158576</v>
      </c>
      <c r="S1515" s="1144">
        <f>IFERROR(VLOOKUP(CONCATENATE($E1515,$G1515),'LAC 103'!$A$12:$O$95,12,FALSE),0)</f>
        <v>5.91</v>
      </c>
      <c r="T1515" s="1144">
        <f>IFERROR(VLOOKUP(CONCATENATE($E1515,$G1515),'LAC 103'!$A$12:$O$95,13,FALSE),0)</f>
        <v>3.69</v>
      </c>
      <c r="U1515" s="1144">
        <f>IFERROR(VLOOKUP(CONCATENATE($E1515,$G1515),'LAC 103'!$A$12:$O$95,14,FALSE),0)</f>
        <v>0</v>
      </c>
      <c r="V1515" s="1144">
        <f>IFERROR(VLOOKUP(CONCATENATE($E1515,$G1515),'LAC 103'!$A$12:$O$95,15,FALSE),0)</f>
        <v>0</v>
      </c>
      <c r="W1515" s="1145" t="str">
        <f>IFERROR(VLOOKUP(CONCATENATE($B1515,$N1515),'LAC 103'!$AI:$AQ,9,FALSE),"")</f>
        <v>Costs</v>
      </c>
      <c r="X1515" s="1146">
        <f t="shared" si="420"/>
        <v>4.7723158393158576</v>
      </c>
      <c r="Y1515" s="1143">
        <f t="shared" si="430"/>
        <v>2180.948338567347</v>
      </c>
      <c r="Z1515" s="1147">
        <f t="shared" si="421"/>
        <v>2700.87</v>
      </c>
      <c r="AA1515" s="1144">
        <f t="shared" si="422"/>
        <v>1686.33</v>
      </c>
      <c r="AB1515" s="1144">
        <f t="shared" si="423"/>
        <v>0</v>
      </c>
      <c r="AC1515" s="1144">
        <f t="shared" si="424"/>
        <v>0</v>
      </c>
      <c r="AD1515" s="1148">
        <f t="shared" si="416"/>
        <v>2180.948338567347</v>
      </c>
      <c r="AE1515" s="1487">
        <v>0</v>
      </c>
      <c r="AF1515" s="1145">
        <f t="shared" si="425"/>
        <v>2180.948338567347</v>
      </c>
      <c r="AG1515" s="1149">
        <f>IFERROR(VLOOKUP(CONCATENATE($L1515,$N1515),'Drop List'!$G$23:$K$87,2,FALSE),0)</f>
        <v>0.55000000000000004</v>
      </c>
      <c r="AH1515" s="1150">
        <f>IFERROR(VLOOKUP(CONCATENATE($L1515,$N1515),'Drop List'!$G$23:$K$87,3,FALSE),0)</f>
        <v>0</v>
      </c>
      <c r="AI1515" s="1150">
        <f>IFERROR(VLOOKUP(CONCATENATE($L1515,$N1515),'Drop List'!$G$23:$K$87,4,FALSE),0)</f>
        <v>0</v>
      </c>
      <c r="AJ1515" s="1151">
        <f>IFERROR(VLOOKUP(CONCATENATE($L1515,$N1515),'Drop List'!$G$23:$K$87,5,FALSE),0)</f>
        <v>0.44999999999999996</v>
      </c>
      <c r="AK1515" s="1152">
        <f t="shared" si="426"/>
        <v>1199.521586212041</v>
      </c>
      <c r="AL1515" s="1153">
        <f t="shared" si="427"/>
        <v>0</v>
      </c>
      <c r="AM1515" s="1153">
        <f t="shared" si="428"/>
        <v>0</v>
      </c>
      <c r="AN1515" s="1145">
        <f t="shared" si="429"/>
        <v>981.42675235530612</v>
      </c>
      <c r="AO1515" s="1154">
        <f t="shared" si="432"/>
        <v>2180.948338567347</v>
      </c>
      <c r="AP1515" s="1147">
        <f t="shared" si="417"/>
        <v>0</v>
      </c>
      <c r="AQ1515" s="1144">
        <f t="shared" si="418"/>
        <v>0</v>
      </c>
      <c r="AR1515" s="1146">
        <f t="shared" si="419"/>
        <v>2180.948338567347</v>
      </c>
    </row>
    <row r="1516" spans="1:44" x14ac:dyDescent="0.2">
      <c r="A1516" s="1141" t="str">
        <f t="shared" si="431"/>
        <v>1577</v>
      </c>
      <c r="B1516" s="1141" t="str">
        <f>IFERROR(VLOOKUP(A1516,'LAC 103'!A:C,3,FALSE),"")</f>
        <v>OP</v>
      </c>
      <c r="C1516" s="1478" t="str">
        <f>Info!$B$8</f>
        <v>00100</v>
      </c>
      <c r="D1516" s="1474" t="s">
        <v>256</v>
      </c>
      <c r="E1516" s="1474" t="s">
        <v>95</v>
      </c>
      <c r="F1516" s="1478" t="s">
        <v>459</v>
      </c>
      <c r="G1516" s="1478" t="s">
        <v>459</v>
      </c>
      <c r="H1516" s="1474" t="s">
        <v>1091</v>
      </c>
      <c r="I1516" s="1478" t="s">
        <v>815</v>
      </c>
      <c r="J1516" s="1478"/>
      <c r="K1516" s="1475" t="s">
        <v>851</v>
      </c>
      <c r="L1516" s="1474" t="s">
        <v>584</v>
      </c>
      <c r="M1516" s="1476" t="s">
        <v>840</v>
      </c>
      <c r="N1516" s="1477" t="s">
        <v>1700</v>
      </c>
      <c r="O1516" s="1479">
        <v>237</v>
      </c>
      <c r="P1516" s="1479"/>
      <c r="Q1516" s="1142">
        <f t="shared" si="415"/>
        <v>237</v>
      </c>
      <c r="R1516" s="1143">
        <f>IFERROR(VLOOKUP(CONCATENATE($E1516,$G1516),'LAC 103'!$A$12:$O$95,11,FALSE),0)</f>
        <v>4.7723158393158576</v>
      </c>
      <c r="S1516" s="1144">
        <f>IFERROR(VLOOKUP(CONCATENATE($E1516,$G1516),'LAC 103'!$A$12:$O$95,12,FALSE),0)</f>
        <v>5.91</v>
      </c>
      <c r="T1516" s="1144">
        <f>IFERROR(VLOOKUP(CONCATENATE($E1516,$G1516),'LAC 103'!$A$12:$O$95,13,FALSE),0)</f>
        <v>3.69</v>
      </c>
      <c r="U1516" s="1144">
        <f>IFERROR(VLOOKUP(CONCATENATE($E1516,$G1516),'LAC 103'!$A$12:$O$95,14,FALSE),0)</f>
        <v>0</v>
      </c>
      <c r="V1516" s="1144">
        <f>IFERROR(VLOOKUP(CONCATENATE($E1516,$G1516),'LAC 103'!$A$12:$O$95,15,FALSE),0)</f>
        <v>0</v>
      </c>
      <c r="W1516" s="1145" t="str">
        <f>IFERROR(VLOOKUP(CONCATENATE($B1516,$N1516),'LAC 103'!$AI:$AQ,9,FALSE),"")</f>
        <v>P.C.</v>
      </c>
      <c r="X1516" s="1146">
        <f t="shared" si="420"/>
        <v>3.69</v>
      </c>
      <c r="Y1516" s="1143">
        <f t="shared" si="430"/>
        <v>1131.0388539178582</v>
      </c>
      <c r="Z1516" s="1147">
        <f t="shared" si="421"/>
        <v>1400.67</v>
      </c>
      <c r="AA1516" s="1144">
        <f t="shared" si="422"/>
        <v>874.53</v>
      </c>
      <c r="AB1516" s="1144">
        <f t="shared" si="423"/>
        <v>0</v>
      </c>
      <c r="AC1516" s="1144">
        <f t="shared" si="424"/>
        <v>0</v>
      </c>
      <c r="AD1516" s="1148">
        <f t="shared" si="416"/>
        <v>874.53</v>
      </c>
      <c r="AE1516" s="1487">
        <v>0</v>
      </c>
      <c r="AF1516" s="1145">
        <f t="shared" si="425"/>
        <v>874.53</v>
      </c>
      <c r="AG1516" s="1149">
        <f>IFERROR(VLOOKUP(CONCATENATE($L1516,$N1516),'Drop List'!$G$23:$K$87,2,FALSE),0)</f>
        <v>0.55000000000000004</v>
      </c>
      <c r="AH1516" s="1150">
        <f>IFERROR(VLOOKUP(CONCATENATE($L1516,$N1516),'Drop List'!$G$23:$K$87,3,FALSE),0)</f>
        <v>0</v>
      </c>
      <c r="AI1516" s="1150">
        <f>IFERROR(VLOOKUP(CONCATENATE($L1516,$N1516),'Drop List'!$G$23:$K$87,4,FALSE),0)</f>
        <v>0</v>
      </c>
      <c r="AJ1516" s="1151">
        <f>IFERROR(VLOOKUP(CONCATENATE($L1516,$N1516),'Drop List'!$G$23:$K$87,5,FALSE),0)</f>
        <v>0.44999999999999996</v>
      </c>
      <c r="AK1516" s="1152">
        <f t="shared" si="426"/>
        <v>480.99150000000003</v>
      </c>
      <c r="AL1516" s="1153">
        <f t="shared" si="427"/>
        <v>0</v>
      </c>
      <c r="AM1516" s="1153">
        <f t="shared" si="428"/>
        <v>0</v>
      </c>
      <c r="AN1516" s="1145">
        <f t="shared" si="429"/>
        <v>393.53849999999994</v>
      </c>
      <c r="AO1516" s="1154">
        <f t="shared" si="432"/>
        <v>874.53</v>
      </c>
      <c r="AP1516" s="1147">
        <f t="shared" si="417"/>
        <v>0</v>
      </c>
      <c r="AQ1516" s="1144">
        <f t="shared" si="418"/>
        <v>0</v>
      </c>
      <c r="AR1516" s="1146">
        <f t="shared" si="419"/>
        <v>874.53</v>
      </c>
    </row>
    <row r="1517" spans="1:44" x14ac:dyDescent="0.2">
      <c r="A1517" s="1141" t="str">
        <f t="shared" si="431"/>
        <v>1577</v>
      </c>
      <c r="B1517" s="1141" t="str">
        <f>IFERROR(VLOOKUP(A1517,'LAC 103'!A:C,3,FALSE),"")</f>
        <v>OP</v>
      </c>
      <c r="C1517" s="1478" t="str">
        <f>Info!$B$8</f>
        <v>00100</v>
      </c>
      <c r="D1517" s="1474" t="s">
        <v>256</v>
      </c>
      <c r="E1517" s="1474" t="s">
        <v>95</v>
      </c>
      <c r="F1517" s="1478" t="s">
        <v>459</v>
      </c>
      <c r="G1517" s="1478" t="s">
        <v>459</v>
      </c>
      <c r="H1517" s="1474" t="s">
        <v>1091</v>
      </c>
      <c r="I1517" s="1478" t="s">
        <v>815</v>
      </c>
      <c r="J1517" s="1478"/>
      <c r="K1517" s="1475" t="s">
        <v>851</v>
      </c>
      <c r="L1517" s="1474" t="s">
        <v>584</v>
      </c>
      <c r="M1517" s="1476" t="s">
        <v>842</v>
      </c>
      <c r="N1517" s="1477" t="s">
        <v>1692</v>
      </c>
      <c r="O1517" s="1479">
        <v>628</v>
      </c>
      <c r="P1517" s="1479"/>
      <c r="Q1517" s="1142">
        <f t="shared" si="415"/>
        <v>628</v>
      </c>
      <c r="R1517" s="1143">
        <f>IFERROR(VLOOKUP(CONCATENATE($E1517,$G1517),'LAC 103'!$A$12:$O$95,11,FALSE),0)</f>
        <v>4.7723158393158576</v>
      </c>
      <c r="S1517" s="1144">
        <f>IFERROR(VLOOKUP(CONCATENATE($E1517,$G1517),'LAC 103'!$A$12:$O$95,12,FALSE),0)</f>
        <v>5.91</v>
      </c>
      <c r="T1517" s="1144">
        <f>IFERROR(VLOOKUP(CONCATENATE($E1517,$G1517),'LAC 103'!$A$12:$O$95,13,FALSE),0)</f>
        <v>3.69</v>
      </c>
      <c r="U1517" s="1144">
        <f>IFERROR(VLOOKUP(CONCATENATE($E1517,$G1517),'LAC 103'!$A$12:$O$95,14,FALSE),0)</f>
        <v>0</v>
      </c>
      <c r="V1517" s="1144">
        <f>IFERROR(VLOOKUP(CONCATENATE($E1517,$G1517),'LAC 103'!$A$12:$O$95,15,FALSE),0)</f>
        <v>0</v>
      </c>
      <c r="W1517" s="1145" t="str">
        <f>IFERROR(VLOOKUP(CONCATENATE($B1517,$N1517),'LAC 103'!$AI:$AQ,9,FALSE),"")</f>
        <v>Costs</v>
      </c>
      <c r="X1517" s="1146">
        <f t="shared" si="420"/>
        <v>4.7723158393158576</v>
      </c>
      <c r="Y1517" s="1143">
        <f t="shared" si="430"/>
        <v>2997.0143470903586</v>
      </c>
      <c r="Z1517" s="1147">
        <f t="shared" si="421"/>
        <v>3711.48</v>
      </c>
      <c r="AA1517" s="1144">
        <f t="shared" si="422"/>
        <v>2317.3200000000002</v>
      </c>
      <c r="AB1517" s="1144">
        <f t="shared" si="423"/>
        <v>0</v>
      </c>
      <c r="AC1517" s="1144">
        <f t="shared" si="424"/>
        <v>0</v>
      </c>
      <c r="AD1517" s="1148">
        <f t="shared" si="416"/>
        <v>2997.0143470903586</v>
      </c>
      <c r="AE1517" s="1487">
        <v>0</v>
      </c>
      <c r="AF1517" s="1145">
        <f t="shared" si="425"/>
        <v>2997.0143470903586</v>
      </c>
      <c r="AG1517" s="1149">
        <f>IFERROR(VLOOKUP(CONCATENATE($L1517,$N1517),'Drop List'!$G$23:$K$87,2,FALSE),0)</f>
        <v>0.56200000000000006</v>
      </c>
      <c r="AH1517" s="1150">
        <f>IFERROR(VLOOKUP(CONCATENATE($L1517,$N1517),'Drop List'!$G$23:$K$87,3,FALSE),0)</f>
        <v>0</v>
      </c>
      <c r="AI1517" s="1150">
        <f>IFERROR(VLOOKUP(CONCATENATE($L1517,$N1517),'Drop List'!$G$23:$K$87,4,FALSE),0)</f>
        <v>0</v>
      </c>
      <c r="AJ1517" s="1151">
        <f>IFERROR(VLOOKUP(CONCATENATE($L1517,$N1517),'Drop List'!$G$23:$K$87,5,FALSE),0)</f>
        <v>0.43799999999999994</v>
      </c>
      <c r="AK1517" s="1152">
        <f t="shared" si="426"/>
        <v>1684.3220630647818</v>
      </c>
      <c r="AL1517" s="1153">
        <f t="shared" si="427"/>
        <v>0</v>
      </c>
      <c r="AM1517" s="1153">
        <f t="shared" si="428"/>
        <v>0</v>
      </c>
      <c r="AN1517" s="1145">
        <f t="shared" si="429"/>
        <v>1312.6922840255768</v>
      </c>
      <c r="AO1517" s="1154">
        <f t="shared" si="432"/>
        <v>2997.0143470903586</v>
      </c>
      <c r="AP1517" s="1147">
        <f t="shared" si="417"/>
        <v>0</v>
      </c>
      <c r="AQ1517" s="1144">
        <f t="shared" si="418"/>
        <v>0</v>
      </c>
      <c r="AR1517" s="1146">
        <f t="shared" si="419"/>
        <v>2997.0143470903586</v>
      </c>
    </row>
    <row r="1518" spans="1:44" x14ac:dyDescent="0.2">
      <c r="A1518" s="1141" t="str">
        <f t="shared" si="431"/>
        <v>1577</v>
      </c>
      <c r="B1518" s="1141" t="str">
        <f>IFERROR(VLOOKUP(A1518,'LAC 103'!A:C,3,FALSE),"")</f>
        <v>OP</v>
      </c>
      <c r="C1518" s="1478" t="str">
        <f>Info!$B$8</f>
        <v>00100</v>
      </c>
      <c r="D1518" s="1474" t="s">
        <v>256</v>
      </c>
      <c r="E1518" s="1474" t="s">
        <v>95</v>
      </c>
      <c r="F1518" s="1478" t="s">
        <v>459</v>
      </c>
      <c r="G1518" s="1478" t="s">
        <v>459</v>
      </c>
      <c r="H1518" s="1474" t="s">
        <v>1091</v>
      </c>
      <c r="I1518" s="1478" t="s">
        <v>815</v>
      </c>
      <c r="J1518" s="1478"/>
      <c r="K1518" s="1475" t="s">
        <v>851</v>
      </c>
      <c r="L1518" s="1474" t="s">
        <v>584</v>
      </c>
      <c r="M1518" s="1476" t="s">
        <v>1698</v>
      </c>
      <c r="N1518" s="1477" t="s">
        <v>1693</v>
      </c>
      <c r="O1518" s="1479">
        <v>423</v>
      </c>
      <c r="P1518" s="1479"/>
      <c r="Q1518" s="1142">
        <f t="shared" si="415"/>
        <v>423</v>
      </c>
      <c r="R1518" s="1143">
        <f>IFERROR(VLOOKUP(CONCATENATE($E1518,$G1518),'LAC 103'!$A$12:$O$95,11,FALSE),0)</f>
        <v>4.7723158393158576</v>
      </c>
      <c r="S1518" s="1144">
        <f>IFERROR(VLOOKUP(CONCATENATE($E1518,$G1518),'LAC 103'!$A$12:$O$95,12,FALSE),0)</f>
        <v>5.91</v>
      </c>
      <c r="T1518" s="1144">
        <f>IFERROR(VLOOKUP(CONCATENATE($E1518,$G1518),'LAC 103'!$A$12:$O$95,13,FALSE),0)</f>
        <v>3.69</v>
      </c>
      <c r="U1518" s="1144">
        <f>IFERROR(VLOOKUP(CONCATENATE($E1518,$G1518),'LAC 103'!$A$12:$O$95,14,FALSE),0)</f>
        <v>0</v>
      </c>
      <c r="V1518" s="1144">
        <f>IFERROR(VLOOKUP(CONCATENATE($E1518,$G1518),'LAC 103'!$A$12:$O$95,15,FALSE),0)</f>
        <v>0</v>
      </c>
      <c r="W1518" s="1145" t="str">
        <f>IFERROR(VLOOKUP(CONCATENATE($B1518,$N1518),'LAC 103'!$AI:$AQ,9,FALSE),"")</f>
        <v>Costs</v>
      </c>
      <c r="X1518" s="1146">
        <f t="shared" si="420"/>
        <v>4.7723158393158576</v>
      </c>
      <c r="Y1518" s="1143">
        <f t="shared" si="430"/>
        <v>2018.6896000306078</v>
      </c>
      <c r="Z1518" s="1147">
        <f t="shared" si="421"/>
        <v>2499.9299999999998</v>
      </c>
      <c r="AA1518" s="1144">
        <f t="shared" si="422"/>
        <v>1560.87</v>
      </c>
      <c r="AB1518" s="1144">
        <f t="shared" si="423"/>
        <v>0</v>
      </c>
      <c r="AC1518" s="1144">
        <f t="shared" si="424"/>
        <v>0</v>
      </c>
      <c r="AD1518" s="1148">
        <f t="shared" si="416"/>
        <v>2018.6896000306078</v>
      </c>
      <c r="AE1518" s="1487">
        <v>0</v>
      </c>
      <c r="AF1518" s="1145">
        <f t="shared" si="425"/>
        <v>2018.6896000306078</v>
      </c>
      <c r="AG1518" s="1149">
        <f>IFERROR(VLOOKUP(CONCATENATE($L1518,$N1518),'Drop List'!$G$23:$K$87,2,FALSE),0)</f>
        <v>0.56200000000000006</v>
      </c>
      <c r="AH1518" s="1150">
        <f>IFERROR(VLOOKUP(CONCATENATE($L1518,$N1518),'Drop List'!$G$23:$K$87,3,FALSE),0)</f>
        <v>0</v>
      </c>
      <c r="AI1518" s="1150">
        <f>IFERROR(VLOOKUP(CONCATENATE($L1518,$N1518),'Drop List'!$G$23:$K$87,4,FALSE),0)</f>
        <v>0</v>
      </c>
      <c r="AJ1518" s="1151">
        <f>IFERROR(VLOOKUP(CONCATENATE($L1518,$N1518),'Drop List'!$G$23:$K$87,5,FALSE),0)</f>
        <v>0.43799999999999994</v>
      </c>
      <c r="AK1518" s="1152">
        <f t="shared" si="426"/>
        <v>1134.5035552172017</v>
      </c>
      <c r="AL1518" s="1153">
        <f t="shared" si="427"/>
        <v>0</v>
      </c>
      <c r="AM1518" s="1153">
        <f t="shared" si="428"/>
        <v>0</v>
      </c>
      <c r="AN1518" s="1145">
        <f t="shared" si="429"/>
        <v>884.18604481340617</v>
      </c>
      <c r="AO1518" s="1154">
        <f t="shared" si="432"/>
        <v>2018.6896000306078</v>
      </c>
      <c r="AP1518" s="1147">
        <f t="shared" si="417"/>
        <v>0</v>
      </c>
      <c r="AQ1518" s="1144">
        <f t="shared" si="418"/>
        <v>0</v>
      </c>
      <c r="AR1518" s="1146">
        <f t="shared" si="419"/>
        <v>2018.6896000306078</v>
      </c>
    </row>
    <row r="1519" spans="1:44" x14ac:dyDescent="0.2">
      <c r="A1519" s="1141" t="str">
        <f t="shared" si="431"/>
        <v>1577</v>
      </c>
      <c r="B1519" s="1141" t="str">
        <f>IFERROR(VLOOKUP(A1519,'LAC 103'!A:C,3,FALSE),"")</f>
        <v>OP</v>
      </c>
      <c r="C1519" s="1478" t="str">
        <f>Info!$B$8</f>
        <v>00100</v>
      </c>
      <c r="D1519" s="1474" t="s">
        <v>256</v>
      </c>
      <c r="E1519" s="1474" t="s">
        <v>95</v>
      </c>
      <c r="F1519" s="1478" t="s">
        <v>459</v>
      </c>
      <c r="G1519" s="1478" t="s">
        <v>459</v>
      </c>
      <c r="H1519" s="1474" t="s">
        <v>983</v>
      </c>
      <c r="I1519" s="1478" t="s">
        <v>823</v>
      </c>
      <c r="J1519" s="1478" t="s">
        <v>1998</v>
      </c>
      <c r="K1519" s="1475" t="s">
        <v>848</v>
      </c>
      <c r="L1519" s="1474" t="s">
        <v>45</v>
      </c>
      <c r="M1519" s="1476" t="s">
        <v>1699</v>
      </c>
      <c r="N1519" s="1477" t="s">
        <v>1694</v>
      </c>
      <c r="O1519" s="1479">
        <v>91</v>
      </c>
      <c r="P1519" s="1479"/>
      <c r="Q1519" s="1142">
        <f t="shared" si="415"/>
        <v>91</v>
      </c>
      <c r="R1519" s="1143">
        <f>IFERROR(VLOOKUP(CONCATENATE($E1519,$G1519),'LAC 103'!$A$12:$O$95,11,FALSE),0)</f>
        <v>4.7723158393158576</v>
      </c>
      <c r="S1519" s="1144">
        <f>IFERROR(VLOOKUP(CONCATENATE($E1519,$G1519),'LAC 103'!$A$12:$O$95,12,FALSE),0)</f>
        <v>5.91</v>
      </c>
      <c r="T1519" s="1144">
        <f>IFERROR(VLOOKUP(CONCATENATE($E1519,$G1519),'LAC 103'!$A$12:$O$95,13,FALSE),0)</f>
        <v>3.69</v>
      </c>
      <c r="U1519" s="1144">
        <f>IFERROR(VLOOKUP(CONCATENATE($E1519,$G1519),'LAC 103'!$A$12:$O$95,14,FALSE),0)</f>
        <v>0</v>
      </c>
      <c r="V1519" s="1144">
        <f>IFERROR(VLOOKUP(CONCATENATE($E1519,$G1519),'LAC 103'!$A$12:$O$95,15,FALSE),0)</f>
        <v>0</v>
      </c>
      <c r="W1519" s="1145" t="str">
        <f>IFERROR(VLOOKUP(CONCATENATE($B1519,$N1519),'LAC 103'!$AI:$AQ,9,FALSE),"")</f>
        <v>Costs</v>
      </c>
      <c r="X1519" s="1146">
        <f t="shared" si="420"/>
        <v>4.7723158393158576</v>
      </c>
      <c r="Y1519" s="1143">
        <f t="shared" si="430"/>
        <v>434.28074137774303</v>
      </c>
      <c r="Z1519" s="1147">
        <f t="shared" si="421"/>
        <v>537.81000000000006</v>
      </c>
      <c r="AA1519" s="1144">
        <f t="shared" si="422"/>
        <v>335.79</v>
      </c>
      <c r="AB1519" s="1144">
        <f t="shared" si="423"/>
        <v>0</v>
      </c>
      <c r="AC1519" s="1144">
        <f t="shared" si="424"/>
        <v>0</v>
      </c>
      <c r="AD1519" s="1148">
        <f t="shared" si="416"/>
        <v>434.28074137774303</v>
      </c>
      <c r="AE1519" s="1487">
        <v>0</v>
      </c>
      <c r="AF1519" s="1145">
        <f t="shared" si="425"/>
        <v>434.28074137774303</v>
      </c>
      <c r="AG1519" s="1149">
        <f>IFERROR(VLOOKUP(CONCATENATE($L1519,$N1519),'Drop List'!$G$23:$K$87,2,FALSE),0)</f>
        <v>0.69340000000000002</v>
      </c>
      <c r="AH1519" s="1150">
        <f>IFERROR(VLOOKUP(CONCATENATE($L1519,$N1519),'Drop List'!$G$23:$K$87,3,FALSE),0)</f>
        <v>0.30659999999999998</v>
      </c>
      <c r="AI1519" s="1150">
        <f>IFERROR(VLOOKUP(CONCATENATE($L1519,$N1519),'Drop List'!$G$23:$K$87,4,FALSE),0)</f>
        <v>0</v>
      </c>
      <c r="AJ1519" s="1151">
        <f>IFERROR(VLOOKUP(CONCATENATE($L1519,$N1519),'Drop List'!$G$23:$K$87,5,FALSE),0)</f>
        <v>0</v>
      </c>
      <c r="AK1519" s="1152">
        <f t="shared" si="426"/>
        <v>301.13026607132701</v>
      </c>
      <c r="AL1519" s="1153">
        <f t="shared" si="427"/>
        <v>133.15047530641601</v>
      </c>
      <c r="AM1519" s="1153">
        <f t="shared" si="428"/>
        <v>0</v>
      </c>
      <c r="AN1519" s="1145">
        <f t="shared" si="429"/>
        <v>0</v>
      </c>
      <c r="AO1519" s="1154">
        <f t="shared" si="432"/>
        <v>434.28074137774303</v>
      </c>
      <c r="AP1519" s="1147">
        <f t="shared" si="417"/>
        <v>0</v>
      </c>
      <c r="AQ1519" s="1144">
        <f t="shared" si="418"/>
        <v>0</v>
      </c>
      <c r="AR1519" s="1146">
        <f t="shared" si="419"/>
        <v>434.28074137774303</v>
      </c>
    </row>
    <row r="1520" spans="1:44" x14ac:dyDescent="0.2">
      <c r="A1520" s="1141" t="str">
        <f t="shared" si="431"/>
        <v>1577</v>
      </c>
      <c r="B1520" s="1141" t="str">
        <f>IFERROR(VLOOKUP(A1520,'LAC 103'!A:C,3,FALSE),"")</f>
        <v>OP</v>
      </c>
      <c r="C1520" s="1478" t="str">
        <f>Info!$B$8</f>
        <v>00100</v>
      </c>
      <c r="D1520" s="1474" t="s">
        <v>256</v>
      </c>
      <c r="E1520" s="1474" t="s">
        <v>95</v>
      </c>
      <c r="F1520" s="1478" t="s">
        <v>459</v>
      </c>
      <c r="G1520" s="1478" t="s">
        <v>459</v>
      </c>
      <c r="H1520" s="1474" t="s">
        <v>983</v>
      </c>
      <c r="I1520" s="1478" t="s">
        <v>823</v>
      </c>
      <c r="J1520" s="1478" t="s">
        <v>1999</v>
      </c>
      <c r="K1520" s="1475" t="s">
        <v>847</v>
      </c>
      <c r="L1520" s="1474" t="s">
        <v>582</v>
      </c>
      <c r="M1520" s="1476" t="s">
        <v>1699</v>
      </c>
      <c r="N1520" s="1477" t="s">
        <v>1694</v>
      </c>
      <c r="O1520" s="1479">
        <v>60</v>
      </c>
      <c r="P1520" s="1479"/>
      <c r="Q1520" s="1142">
        <f t="shared" si="415"/>
        <v>60</v>
      </c>
      <c r="R1520" s="1143">
        <f>IFERROR(VLOOKUP(CONCATENATE($E1520,$G1520),'LAC 103'!$A$12:$O$95,11,FALSE),0)</f>
        <v>4.7723158393158576</v>
      </c>
      <c r="S1520" s="1144">
        <f>IFERROR(VLOOKUP(CONCATENATE($E1520,$G1520),'LAC 103'!$A$12:$O$95,12,FALSE),0)</f>
        <v>5.91</v>
      </c>
      <c r="T1520" s="1144">
        <f>IFERROR(VLOOKUP(CONCATENATE($E1520,$G1520),'LAC 103'!$A$12:$O$95,13,FALSE),0)</f>
        <v>3.69</v>
      </c>
      <c r="U1520" s="1144">
        <f>IFERROR(VLOOKUP(CONCATENATE($E1520,$G1520),'LAC 103'!$A$12:$O$95,14,FALSE),0)</f>
        <v>0</v>
      </c>
      <c r="V1520" s="1144">
        <f>IFERROR(VLOOKUP(CONCATENATE($E1520,$G1520),'LAC 103'!$A$12:$O$95,15,FALSE),0)</f>
        <v>0</v>
      </c>
      <c r="W1520" s="1145" t="str">
        <f>IFERROR(VLOOKUP(CONCATENATE($B1520,$N1520),'LAC 103'!$AI:$AQ,9,FALSE),"")</f>
        <v>Costs</v>
      </c>
      <c r="X1520" s="1146">
        <f t="shared" si="420"/>
        <v>4.7723158393158576</v>
      </c>
      <c r="Y1520" s="1143">
        <f t="shared" si="430"/>
        <v>286.33895035895148</v>
      </c>
      <c r="Z1520" s="1147">
        <f t="shared" si="421"/>
        <v>354.6</v>
      </c>
      <c r="AA1520" s="1144">
        <f t="shared" si="422"/>
        <v>221.4</v>
      </c>
      <c r="AB1520" s="1144">
        <f t="shared" si="423"/>
        <v>0</v>
      </c>
      <c r="AC1520" s="1144">
        <f t="shared" si="424"/>
        <v>0</v>
      </c>
      <c r="AD1520" s="1148">
        <f t="shared" si="416"/>
        <v>286.33895035895148</v>
      </c>
      <c r="AE1520" s="1487">
        <v>0</v>
      </c>
      <c r="AF1520" s="1145">
        <f t="shared" si="425"/>
        <v>286.33895035895148</v>
      </c>
      <c r="AG1520" s="1149">
        <f>IFERROR(VLOOKUP(CONCATENATE($L1520,$N1520),'Drop List'!$G$23:$K$87,2,FALSE),0)</f>
        <v>0.56200000000000006</v>
      </c>
      <c r="AH1520" s="1150">
        <f>IFERROR(VLOOKUP(CONCATENATE($L1520,$N1520),'Drop List'!$G$23:$K$87,3,FALSE),0)</f>
        <v>0.43799999999999994</v>
      </c>
      <c r="AI1520" s="1150">
        <f>IFERROR(VLOOKUP(CONCATENATE($L1520,$N1520),'Drop List'!$G$23:$K$87,4,FALSE),0)</f>
        <v>0</v>
      </c>
      <c r="AJ1520" s="1151">
        <f>IFERROR(VLOOKUP(CONCATENATE($L1520,$N1520),'Drop List'!$G$23:$K$87,5,FALSE),0)</f>
        <v>0</v>
      </c>
      <c r="AK1520" s="1152">
        <f t="shared" si="426"/>
        <v>160.92249010173074</v>
      </c>
      <c r="AL1520" s="1153">
        <f t="shared" si="427"/>
        <v>125.41646025722073</v>
      </c>
      <c r="AM1520" s="1153">
        <f t="shared" si="428"/>
        <v>0</v>
      </c>
      <c r="AN1520" s="1145">
        <f t="shared" si="429"/>
        <v>0</v>
      </c>
      <c r="AO1520" s="1154">
        <f t="shared" si="432"/>
        <v>286.33895035895148</v>
      </c>
      <c r="AP1520" s="1147">
        <f t="shared" si="417"/>
        <v>0</v>
      </c>
      <c r="AQ1520" s="1144">
        <f t="shared" si="418"/>
        <v>0</v>
      </c>
      <c r="AR1520" s="1146">
        <f t="shared" si="419"/>
        <v>286.33895035895148</v>
      </c>
    </row>
    <row r="1521" spans="1:44" x14ac:dyDescent="0.2">
      <c r="A1521" s="1141" t="str">
        <f t="shared" si="431"/>
        <v>1577</v>
      </c>
      <c r="B1521" s="1141" t="str">
        <f>IFERROR(VLOOKUP(A1521,'LAC 103'!A:C,3,FALSE),"")</f>
        <v>OP</v>
      </c>
      <c r="C1521" s="1478" t="str">
        <f>Info!$B$8</f>
        <v>00100</v>
      </c>
      <c r="D1521" s="1474" t="s">
        <v>256</v>
      </c>
      <c r="E1521" s="1474" t="s">
        <v>95</v>
      </c>
      <c r="F1521" s="1478" t="s">
        <v>459</v>
      </c>
      <c r="G1521" s="1478" t="s">
        <v>459</v>
      </c>
      <c r="H1521" s="1474" t="s">
        <v>1663</v>
      </c>
      <c r="I1521" s="1478" t="s">
        <v>927</v>
      </c>
      <c r="J1521" s="1478" t="s">
        <v>123</v>
      </c>
      <c r="K1521" s="1475" t="s">
        <v>849</v>
      </c>
      <c r="L1521" s="1474" t="s">
        <v>77</v>
      </c>
      <c r="M1521" s="1476" t="s">
        <v>1698</v>
      </c>
      <c r="N1521" s="1477" t="s">
        <v>1693</v>
      </c>
      <c r="O1521" s="1479">
        <v>197</v>
      </c>
      <c r="P1521" s="1479"/>
      <c r="Q1521" s="1142">
        <f t="shared" si="415"/>
        <v>197</v>
      </c>
      <c r="R1521" s="1143">
        <f>IFERROR(VLOOKUP(CONCATENATE($E1521,$G1521),'LAC 103'!$A$12:$O$95,11,FALSE),0)</f>
        <v>4.7723158393158576</v>
      </c>
      <c r="S1521" s="1144">
        <f>IFERROR(VLOOKUP(CONCATENATE($E1521,$G1521),'LAC 103'!$A$12:$O$95,12,FALSE),0)</f>
        <v>5.91</v>
      </c>
      <c r="T1521" s="1144">
        <f>IFERROR(VLOOKUP(CONCATENATE($E1521,$G1521),'LAC 103'!$A$12:$O$95,13,FALSE),0)</f>
        <v>3.69</v>
      </c>
      <c r="U1521" s="1144">
        <f>IFERROR(VLOOKUP(CONCATENATE($E1521,$G1521),'LAC 103'!$A$12:$O$95,14,FALSE),0)</f>
        <v>0</v>
      </c>
      <c r="V1521" s="1144">
        <f>IFERROR(VLOOKUP(CONCATENATE($E1521,$G1521),'LAC 103'!$A$12:$O$95,15,FALSE),0)</f>
        <v>0</v>
      </c>
      <c r="W1521" s="1145" t="str">
        <f>IFERROR(VLOOKUP(CONCATENATE($B1521,$N1521),'LAC 103'!$AI:$AQ,9,FALSE),"")</f>
        <v>Costs</v>
      </c>
      <c r="X1521" s="1146">
        <f t="shared" si="420"/>
        <v>4.7723158393158576</v>
      </c>
      <c r="Y1521" s="1143">
        <f t="shared" si="430"/>
        <v>940.14622034522392</v>
      </c>
      <c r="Z1521" s="1147">
        <f t="shared" si="421"/>
        <v>1164.27</v>
      </c>
      <c r="AA1521" s="1144">
        <f t="shared" si="422"/>
        <v>726.93</v>
      </c>
      <c r="AB1521" s="1144">
        <f t="shared" si="423"/>
        <v>0</v>
      </c>
      <c r="AC1521" s="1144">
        <f t="shared" si="424"/>
        <v>0</v>
      </c>
      <c r="AD1521" s="1148">
        <f t="shared" si="416"/>
        <v>940.14622034522392</v>
      </c>
      <c r="AE1521" s="1487">
        <v>0</v>
      </c>
      <c r="AF1521" s="1145">
        <f t="shared" si="425"/>
        <v>940.14622034522392</v>
      </c>
      <c r="AG1521" s="1149">
        <f>IFERROR(VLOOKUP(CONCATENATE($L1521,$N1521),'Drop List'!$G$23:$K$87,2,FALSE),0)</f>
        <v>0.9</v>
      </c>
      <c r="AH1521" s="1150">
        <f>IFERROR(VLOOKUP(CONCATENATE($L1521,$N1521),'Drop List'!$G$23:$K$87,3,FALSE),0)</f>
        <v>0</v>
      </c>
      <c r="AI1521" s="1150">
        <f>IFERROR(VLOOKUP(CONCATENATE($L1521,$N1521),'Drop List'!$G$23:$K$87,4,FALSE),0)</f>
        <v>0.1</v>
      </c>
      <c r="AJ1521" s="1151">
        <f>IFERROR(VLOOKUP(CONCATENATE($L1521,$N1521),'Drop List'!$G$23:$K$87,5,FALSE),0)</f>
        <v>0</v>
      </c>
      <c r="AK1521" s="1152">
        <f t="shared" si="426"/>
        <v>846.13159831070152</v>
      </c>
      <c r="AL1521" s="1153">
        <f t="shared" si="427"/>
        <v>0</v>
      </c>
      <c r="AM1521" s="1153">
        <f t="shared" si="428"/>
        <v>94.014622034522404</v>
      </c>
      <c r="AN1521" s="1145">
        <f t="shared" si="429"/>
        <v>0</v>
      </c>
      <c r="AO1521" s="1154">
        <f t="shared" si="432"/>
        <v>940.14622034522392</v>
      </c>
      <c r="AP1521" s="1147">
        <f t="shared" si="417"/>
        <v>0</v>
      </c>
      <c r="AQ1521" s="1144">
        <f t="shared" si="418"/>
        <v>0</v>
      </c>
      <c r="AR1521" s="1146">
        <f t="shared" si="419"/>
        <v>940.14622034522392</v>
      </c>
    </row>
    <row r="1522" spans="1:44" x14ac:dyDescent="0.2">
      <c r="A1522" s="1141" t="str">
        <f t="shared" si="431"/>
        <v>1577</v>
      </c>
      <c r="B1522" s="1141" t="str">
        <f>IFERROR(VLOOKUP(A1522,'LAC 103'!A:C,3,FALSE),"")</f>
        <v>OP</v>
      </c>
      <c r="C1522" s="1478" t="str">
        <f>Info!$B$8</f>
        <v>00100</v>
      </c>
      <c r="D1522" s="1474" t="s">
        <v>256</v>
      </c>
      <c r="E1522" s="1474" t="s">
        <v>95</v>
      </c>
      <c r="F1522" s="1478" t="s">
        <v>459</v>
      </c>
      <c r="G1522" s="1478" t="s">
        <v>459</v>
      </c>
      <c r="H1522" s="1474" t="s">
        <v>1665</v>
      </c>
      <c r="I1522" s="1478" t="s">
        <v>803</v>
      </c>
      <c r="J1522" s="1478" t="s">
        <v>123</v>
      </c>
      <c r="K1522" s="1475" t="s">
        <v>849</v>
      </c>
      <c r="L1522" s="1474" t="s">
        <v>77</v>
      </c>
      <c r="M1522" s="1476" t="s">
        <v>841</v>
      </c>
      <c r="N1522" s="1477" t="s">
        <v>1695</v>
      </c>
      <c r="O1522" s="1479">
        <v>88</v>
      </c>
      <c r="P1522" s="1479"/>
      <c r="Q1522" s="1142">
        <f t="shared" si="415"/>
        <v>88</v>
      </c>
      <c r="R1522" s="1143">
        <f>IFERROR(VLOOKUP(CONCATENATE($E1522,$G1522),'LAC 103'!$A$12:$O$95,11,FALSE),0)</f>
        <v>4.7723158393158576</v>
      </c>
      <c r="S1522" s="1144">
        <f>IFERROR(VLOOKUP(CONCATENATE($E1522,$G1522),'LAC 103'!$A$12:$O$95,12,FALSE),0)</f>
        <v>5.91</v>
      </c>
      <c r="T1522" s="1144">
        <f>IFERROR(VLOOKUP(CONCATENATE($E1522,$G1522),'LAC 103'!$A$12:$O$95,13,FALSE),0)</f>
        <v>3.69</v>
      </c>
      <c r="U1522" s="1144">
        <f>IFERROR(VLOOKUP(CONCATENATE($E1522,$G1522),'LAC 103'!$A$12:$O$95,14,FALSE),0)</f>
        <v>0</v>
      </c>
      <c r="V1522" s="1144">
        <f>IFERROR(VLOOKUP(CONCATENATE($E1522,$G1522),'LAC 103'!$A$12:$O$95,15,FALSE),0)</f>
        <v>0</v>
      </c>
      <c r="W1522" s="1145" t="str">
        <f>IFERROR(VLOOKUP(CONCATENATE($B1522,$N1522),'LAC 103'!$AI:$AQ,9,FALSE),"")</f>
        <v>Costs</v>
      </c>
      <c r="X1522" s="1146">
        <f t="shared" si="420"/>
        <v>4.7723158393158576</v>
      </c>
      <c r="Y1522" s="1143">
        <f t="shared" si="430"/>
        <v>419.96379385979549</v>
      </c>
      <c r="Z1522" s="1147">
        <f t="shared" si="421"/>
        <v>520.08000000000004</v>
      </c>
      <c r="AA1522" s="1144">
        <f t="shared" si="422"/>
        <v>324.71999999999997</v>
      </c>
      <c r="AB1522" s="1144">
        <f t="shared" si="423"/>
        <v>0</v>
      </c>
      <c r="AC1522" s="1144">
        <f t="shared" si="424"/>
        <v>0</v>
      </c>
      <c r="AD1522" s="1148">
        <f t="shared" si="416"/>
        <v>419.96379385979549</v>
      </c>
      <c r="AE1522" s="1487">
        <v>0</v>
      </c>
      <c r="AF1522" s="1145">
        <f t="shared" si="425"/>
        <v>419.96379385979549</v>
      </c>
      <c r="AG1522" s="1149">
        <f>IFERROR(VLOOKUP(CONCATENATE($L1522,$N1522),'Drop List'!$G$23:$K$87,2,FALSE),0)</f>
        <v>0.9</v>
      </c>
      <c r="AH1522" s="1150">
        <f>IFERROR(VLOOKUP(CONCATENATE($L1522,$N1522),'Drop List'!$G$23:$K$87,3,FALSE),0)</f>
        <v>0</v>
      </c>
      <c r="AI1522" s="1150">
        <f>IFERROR(VLOOKUP(CONCATENATE($L1522,$N1522),'Drop List'!$G$23:$K$87,4,FALSE),0)</f>
        <v>0.1</v>
      </c>
      <c r="AJ1522" s="1151">
        <f>IFERROR(VLOOKUP(CONCATENATE($L1522,$N1522),'Drop List'!$G$23:$K$87,5,FALSE),0)</f>
        <v>0</v>
      </c>
      <c r="AK1522" s="1152">
        <f t="shared" si="426"/>
        <v>377.96741447381595</v>
      </c>
      <c r="AL1522" s="1153">
        <f t="shared" si="427"/>
        <v>0</v>
      </c>
      <c r="AM1522" s="1153">
        <f t="shared" si="428"/>
        <v>41.996379385979552</v>
      </c>
      <c r="AN1522" s="1145">
        <f t="shared" si="429"/>
        <v>0</v>
      </c>
      <c r="AO1522" s="1154">
        <f t="shared" si="432"/>
        <v>419.96379385979549</v>
      </c>
      <c r="AP1522" s="1147">
        <f t="shared" si="417"/>
        <v>0</v>
      </c>
      <c r="AQ1522" s="1144">
        <f t="shared" si="418"/>
        <v>0</v>
      </c>
      <c r="AR1522" s="1146">
        <f t="shared" si="419"/>
        <v>419.96379385979549</v>
      </c>
    </row>
    <row r="1523" spans="1:44" x14ac:dyDescent="0.2">
      <c r="A1523" s="1141" t="str">
        <f t="shared" si="431"/>
        <v>1577</v>
      </c>
      <c r="B1523" s="1141" t="str">
        <f>IFERROR(VLOOKUP(A1523,'LAC 103'!A:C,3,FALSE),"")</f>
        <v>OP</v>
      </c>
      <c r="C1523" s="1478" t="str">
        <f>Info!$B$8</f>
        <v>00100</v>
      </c>
      <c r="D1523" s="1474" t="s">
        <v>256</v>
      </c>
      <c r="E1523" s="1474" t="s">
        <v>95</v>
      </c>
      <c r="F1523" s="1478" t="s">
        <v>459</v>
      </c>
      <c r="G1523" s="1478" t="s">
        <v>459</v>
      </c>
      <c r="H1523" s="1474" t="s">
        <v>1665</v>
      </c>
      <c r="I1523" s="1478" t="s">
        <v>803</v>
      </c>
      <c r="J1523" s="1478"/>
      <c r="K1523" s="1475" t="s">
        <v>849</v>
      </c>
      <c r="L1523" s="1474" t="s">
        <v>77</v>
      </c>
      <c r="M1523" s="1476" t="s">
        <v>842</v>
      </c>
      <c r="N1523" s="1477" t="s">
        <v>1692</v>
      </c>
      <c r="O1523" s="1479">
        <v>280</v>
      </c>
      <c r="P1523" s="1479"/>
      <c r="Q1523" s="1142">
        <f t="shared" si="415"/>
        <v>280</v>
      </c>
      <c r="R1523" s="1143">
        <f>IFERROR(VLOOKUP(CONCATENATE($E1523,$G1523),'LAC 103'!$A$12:$O$95,11,FALSE),0)</f>
        <v>4.7723158393158576</v>
      </c>
      <c r="S1523" s="1144">
        <f>IFERROR(VLOOKUP(CONCATENATE($E1523,$G1523),'LAC 103'!$A$12:$O$95,12,FALSE),0)</f>
        <v>5.91</v>
      </c>
      <c r="T1523" s="1144">
        <f>IFERROR(VLOOKUP(CONCATENATE($E1523,$G1523),'LAC 103'!$A$12:$O$95,13,FALSE),0)</f>
        <v>3.69</v>
      </c>
      <c r="U1523" s="1144">
        <f>IFERROR(VLOOKUP(CONCATENATE($E1523,$G1523),'LAC 103'!$A$12:$O$95,14,FALSE),0)</f>
        <v>0</v>
      </c>
      <c r="V1523" s="1144">
        <f>IFERROR(VLOOKUP(CONCATENATE($E1523,$G1523),'LAC 103'!$A$12:$O$95,15,FALSE),0)</f>
        <v>0</v>
      </c>
      <c r="W1523" s="1145" t="str">
        <f>IFERROR(VLOOKUP(CONCATENATE($B1523,$N1523),'LAC 103'!$AI:$AQ,9,FALSE),"")</f>
        <v>Costs</v>
      </c>
      <c r="X1523" s="1146">
        <f t="shared" si="420"/>
        <v>4.7723158393158576</v>
      </c>
      <c r="Y1523" s="1143">
        <f t="shared" si="430"/>
        <v>1336.2484350084401</v>
      </c>
      <c r="Z1523" s="1147">
        <f t="shared" si="421"/>
        <v>1654.8</v>
      </c>
      <c r="AA1523" s="1144">
        <f t="shared" si="422"/>
        <v>1033.2</v>
      </c>
      <c r="AB1523" s="1144">
        <f t="shared" si="423"/>
        <v>0</v>
      </c>
      <c r="AC1523" s="1144">
        <f t="shared" si="424"/>
        <v>0</v>
      </c>
      <c r="AD1523" s="1148">
        <f t="shared" si="416"/>
        <v>1336.2484350084401</v>
      </c>
      <c r="AE1523" s="1487">
        <v>0</v>
      </c>
      <c r="AF1523" s="1145">
        <f t="shared" si="425"/>
        <v>1336.2484350084401</v>
      </c>
      <c r="AG1523" s="1149">
        <f>IFERROR(VLOOKUP(CONCATENATE($L1523,$N1523),'Drop List'!$G$23:$K$87,2,FALSE),0)</f>
        <v>0.9</v>
      </c>
      <c r="AH1523" s="1150">
        <f>IFERROR(VLOOKUP(CONCATENATE($L1523,$N1523),'Drop List'!$G$23:$K$87,3,FALSE),0)</f>
        <v>0</v>
      </c>
      <c r="AI1523" s="1150">
        <f>IFERROR(VLOOKUP(CONCATENATE($L1523,$N1523),'Drop List'!$G$23:$K$87,4,FALSE),0)</f>
        <v>0.1</v>
      </c>
      <c r="AJ1523" s="1151">
        <f>IFERROR(VLOOKUP(CONCATENATE($L1523,$N1523),'Drop List'!$G$23:$K$87,5,FALSE),0)</f>
        <v>0</v>
      </c>
      <c r="AK1523" s="1152">
        <f t="shared" si="426"/>
        <v>1202.6235915075961</v>
      </c>
      <c r="AL1523" s="1153">
        <f t="shared" si="427"/>
        <v>0</v>
      </c>
      <c r="AM1523" s="1153">
        <f t="shared" si="428"/>
        <v>133.62484350084401</v>
      </c>
      <c r="AN1523" s="1145">
        <f t="shared" si="429"/>
        <v>0</v>
      </c>
      <c r="AO1523" s="1154">
        <f t="shared" si="432"/>
        <v>1336.2484350084401</v>
      </c>
      <c r="AP1523" s="1147">
        <f t="shared" si="417"/>
        <v>0</v>
      </c>
      <c r="AQ1523" s="1144">
        <f t="shared" si="418"/>
        <v>0</v>
      </c>
      <c r="AR1523" s="1146">
        <f t="shared" si="419"/>
        <v>1336.2484350084401</v>
      </c>
    </row>
    <row r="1524" spans="1:44" x14ac:dyDescent="0.2">
      <c r="A1524" s="1141" t="str">
        <f t="shared" si="431"/>
        <v>1577</v>
      </c>
      <c r="B1524" s="1141" t="str">
        <f>IFERROR(VLOOKUP(A1524,'LAC 103'!A:C,3,FALSE),"")</f>
        <v>OP</v>
      </c>
      <c r="C1524" s="1478" t="str">
        <f>Info!$B$8</f>
        <v>00100</v>
      </c>
      <c r="D1524" s="1474" t="s">
        <v>256</v>
      </c>
      <c r="E1524" s="1474" t="s">
        <v>95</v>
      </c>
      <c r="F1524" s="1478" t="s">
        <v>459</v>
      </c>
      <c r="G1524" s="1478" t="s">
        <v>459</v>
      </c>
      <c r="H1524" s="1474" t="s">
        <v>1665</v>
      </c>
      <c r="I1524" s="1478" t="s">
        <v>803</v>
      </c>
      <c r="J1524" s="1478"/>
      <c r="K1524" s="1475" t="s">
        <v>849</v>
      </c>
      <c r="L1524" s="1474" t="s">
        <v>77</v>
      </c>
      <c r="M1524" s="1476" t="s">
        <v>1698</v>
      </c>
      <c r="N1524" s="1477" t="s">
        <v>1693</v>
      </c>
      <c r="O1524" s="1479">
        <v>239</v>
      </c>
      <c r="P1524" s="1479"/>
      <c r="Q1524" s="1142">
        <f t="shared" si="415"/>
        <v>239</v>
      </c>
      <c r="R1524" s="1143">
        <f>IFERROR(VLOOKUP(CONCATENATE($E1524,$G1524),'LAC 103'!$A$12:$O$95,11,FALSE),0)</f>
        <v>4.7723158393158576</v>
      </c>
      <c r="S1524" s="1144">
        <f>IFERROR(VLOOKUP(CONCATENATE($E1524,$G1524),'LAC 103'!$A$12:$O$95,12,FALSE),0)</f>
        <v>5.91</v>
      </c>
      <c r="T1524" s="1144">
        <f>IFERROR(VLOOKUP(CONCATENATE($E1524,$G1524),'LAC 103'!$A$12:$O$95,13,FALSE),0)</f>
        <v>3.69</v>
      </c>
      <c r="U1524" s="1144">
        <f>IFERROR(VLOOKUP(CONCATENATE($E1524,$G1524),'LAC 103'!$A$12:$O$95,14,FALSE),0)</f>
        <v>0</v>
      </c>
      <c r="V1524" s="1144">
        <f>IFERROR(VLOOKUP(CONCATENATE($E1524,$G1524),'LAC 103'!$A$12:$O$95,15,FALSE),0)</f>
        <v>0</v>
      </c>
      <c r="W1524" s="1145" t="str">
        <f>IFERROR(VLOOKUP(CONCATENATE($B1524,$N1524),'LAC 103'!$AI:$AQ,9,FALSE),"")</f>
        <v>Costs</v>
      </c>
      <c r="X1524" s="1146">
        <f t="shared" si="420"/>
        <v>4.7723158393158576</v>
      </c>
      <c r="Y1524" s="1143">
        <f t="shared" si="430"/>
        <v>1140.5834855964899</v>
      </c>
      <c r="Z1524" s="1147">
        <f t="shared" si="421"/>
        <v>1412.49</v>
      </c>
      <c r="AA1524" s="1144">
        <f t="shared" si="422"/>
        <v>881.91</v>
      </c>
      <c r="AB1524" s="1144">
        <f t="shared" si="423"/>
        <v>0</v>
      </c>
      <c r="AC1524" s="1144">
        <f t="shared" si="424"/>
        <v>0</v>
      </c>
      <c r="AD1524" s="1148">
        <f t="shared" si="416"/>
        <v>1140.5834855964899</v>
      </c>
      <c r="AE1524" s="1487">
        <v>0</v>
      </c>
      <c r="AF1524" s="1145">
        <f t="shared" si="425"/>
        <v>1140.5834855964899</v>
      </c>
      <c r="AG1524" s="1149">
        <f>IFERROR(VLOOKUP(CONCATENATE($L1524,$N1524),'Drop List'!$G$23:$K$87,2,FALSE),0)</f>
        <v>0.9</v>
      </c>
      <c r="AH1524" s="1150">
        <f>IFERROR(VLOOKUP(CONCATENATE($L1524,$N1524),'Drop List'!$G$23:$K$87,3,FALSE),0)</f>
        <v>0</v>
      </c>
      <c r="AI1524" s="1150">
        <f>IFERROR(VLOOKUP(CONCATENATE($L1524,$N1524),'Drop List'!$G$23:$K$87,4,FALSE),0)</f>
        <v>0.1</v>
      </c>
      <c r="AJ1524" s="1151">
        <f>IFERROR(VLOOKUP(CONCATENATE($L1524,$N1524),'Drop List'!$G$23:$K$87,5,FALSE),0)</f>
        <v>0</v>
      </c>
      <c r="AK1524" s="1152">
        <f t="shared" si="426"/>
        <v>1026.525137036841</v>
      </c>
      <c r="AL1524" s="1153">
        <f t="shared" si="427"/>
        <v>0</v>
      </c>
      <c r="AM1524" s="1153">
        <f t="shared" si="428"/>
        <v>114.058348559649</v>
      </c>
      <c r="AN1524" s="1145">
        <f t="shared" si="429"/>
        <v>0</v>
      </c>
      <c r="AO1524" s="1154">
        <f t="shared" si="432"/>
        <v>1140.5834855964899</v>
      </c>
      <c r="AP1524" s="1147">
        <f t="shared" si="417"/>
        <v>0</v>
      </c>
      <c r="AQ1524" s="1144">
        <f t="shared" si="418"/>
        <v>0</v>
      </c>
      <c r="AR1524" s="1146">
        <f t="shared" si="419"/>
        <v>1140.5834855964899</v>
      </c>
    </row>
    <row r="1525" spans="1:44" x14ac:dyDescent="0.2">
      <c r="A1525" s="1141" t="str">
        <f t="shared" si="431"/>
        <v>1577</v>
      </c>
      <c r="B1525" s="1141" t="str">
        <f>IFERROR(VLOOKUP(A1525,'LAC 103'!A:C,3,FALSE),"")</f>
        <v>OP</v>
      </c>
      <c r="C1525" s="1478" t="str">
        <f>Info!$B$8</f>
        <v>00100</v>
      </c>
      <c r="D1525" s="1474" t="s">
        <v>256</v>
      </c>
      <c r="E1525" s="1474" t="s">
        <v>95</v>
      </c>
      <c r="F1525" s="1478" t="s">
        <v>459</v>
      </c>
      <c r="G1525" s="1478" t="s">
        <v>459</v>
      </c>
      <c r="H1525" s="1474" t="s">
        <v>1057</v>
      </c>
      <c r="I1525" s="1478" t="s">
        <v>798</v>
      </c>
      <c r="J1525" s="1478" t="s">
        <v>123</v>
      </c>
      <c r="K1525" s="1475" t="s">
        <v>1654</v>
      </c>
      <c r="L1525" s="1474" t="s">
        <v>332</v>
      </c>
      <c r="M1525" s="1476" t="s">
        <v>841</v>
      </c>
      <c r="N1525" s="1477" t="s">
        <v>1695</v>
      </c>
      <c r="O1525" s="1479">
        <v>105</v>
      </c>
      <c r="P1525" s="1479"/>
      <c r="Q1525" s="1142">
        <f t="shared" si="415"/>
        <v>105</v>
      </c>
      <c r="R1525" s="1143">
        <f>IFERROR(VLOOKUP(CONCATENATE($E1525,$G1525),'LAC 103'!$A$12:$O$95,11,FALSE),0)</f>
        <v>4.7723158393158576</v>
      </c>
      <c r="S1525" s="1144">
        <f>IFERROR(VLOOKUP(CONCATENATE($E1525,$G1525),'LAC 103'!$A$12:$O$95,12,FALSE),0)</f>
        <v>5.91</v>
      </c>
      <c r="T1525" s="1144">
        <f>IFERROR(VLOOKUP(CONCATENATE($E1525,$G1525),'LAC 103'!$A$12:$O$95,13,FALSE),0)</f>
        <v>3.69</v>
      </c>
      <c r="U1525" s="1144">
        <f>IFERROR(VLOOKUP(CONCATENATE($E1525,$G1525),'LAC 103'!$A$12:$O$95,14,FALSE),0)</f>
        <v>0</v>
      </c>
      <c r="V1525" s="1144">
        <f>IFERROR(VLOOKUP(CONCATENATE($E1525,$G1525),'LAC 103'!$A$12:$O$95,15,FALSE),0)</f>
        <v>0</v>
      </c>
      <c r="W1525" s="1145" t="str">
        <f>IFERROR(VLOOKUP(CONCATENATE($B1525,$N1525),'LAC 103'!$AI:$AQ,9,FALSE),"")</f>
        <v>Costs</v>
      </c>
      <c r="X1525" s="1146">
        <f t="shared" si="420"/>
        <v>4.7723158393158576</v>
      </c>
      <c r="Y1525" s="1143">
        <f t="shared" si="430"/>
        <v>501.09316312816503</v>
      </c>
      <c r="Z1525" s="1147">
        <f t="shared" si="421"/>
        <v>620.55000000000007</v>
      </c>
      <c r="AA1525" s="1144">
        <f t="shared" si="422"/>
        <v>387.45</v>
      </c>
      <c r="AB1525" s="1144">
        <f t="shared" si="423"/>
        <v>0</v>
      </c>
      <c r="AC1525" s="1144">
        <f t="shared" si="424"/>
        <v>0</v>
      </c>
      <c r="AD1525" s="1148">
        <f t="shared" si="416"/>
        <v>501.09316312816503</v>
      </c>
      <c r="AE1525" s="1487">
        <v>0</v>
      </c>
      <c r="AF1525" s="1145">
        <f t="shared" si="425"/>
        <v>501.09316312816503</v>
      </c>
      <c r="AG1525" s="1149">
        <f>IFERROR(VLOOKUP(CONCATENATE($L1525,$N1525),'Drop List'!$G$23:$K$87,2,FALSE),0)</f>
        <v>0</v>
      </c>
      <c r="AH1525" s="1150">
        <f>IFERROR(VLOOKUP(CONCATENATE($L1525,$N1525),'Drop List'!$G$23:$K$87,3,FALSE),0)</f>
        <v>0</v>
      </c>
      <c r="AI1525" s="1150">
        <f>IFERROR(VLOOKUP(CONCATENATE($L1525,$N1525),'Drop List'!$G$23:$K$87,4,FALSE),0)</f>
        <v>0</v>
      </c>
      <c r="AJ1525" s="1151">
        <f>IFERROR(VLOOKUP(CONCATENATE($L1525,$N1525),'Drop List'!$G$23:$K$87,5,FALSE),0)</f>
        <v>0</v>
      </c>
      <c r="AK1525" s="1152">
        <f t="shared" si="426"/>
        <v>0</v>
      </c>
      <c r="AL1525" s="1153">
        <f t="shared" si="427"/>
        <v>0</v>
      </c>
      <c r="AM1525" s="1153">
        <f t="shared" si="428"/>
        <v>0</v>
      </c>
      <c r="AN1525" s="1145">
        <f t="shared" si="429"/>
        <v>0</v>
      </c>
      <c r="AO1525" s="1154">
        <f t="shared" si="432"/>
        <v>0</v>
      </c>
      <c r="AP1525" s="1147">
        <f t="shared" si="417"/>
        <v>501.09316312816503</v>
      </c>
      <c r="AQ1525" s="1144">
        <f t="shared" si="418"/>
        <v>0</v>
      </c>
      <c r="AR1525" s="1146">
        <f t="shared" si="419"/>
        <v>501.09316312816503</v>
      </c>
    </row>
    <row r="1526" spans="1:44" x14ac:dyDescent="0.2">
      <c r="A1526" s="1141" t="str">
        <f t="shared" si="431"/>
        <v>1577</v>
      </c>
      <c r="B1526" s="1141" t="str">
        <f>IFERROR(VLOOKUP(A1526,'LAC 103'!A:C,3,FALSE),"")</f>
        <v>OP</v>
      </c>
      <c r="C1526" s="1478" t="str">
        <f>Info!$B$8</f>
        <v>00100</v>
      </c>
      <c r="D1526" s="1474" t="s">
        <v>256</v>
      </c>
      <c r="E1526" s="1474" t="s">
        <v>95</v>
      </c>
      <c r="F1526" s="1478" t="s">
        <v>459</v>
      </c>
      <c r="G1526" s="1478" t="s">
        <v>459</v>
      </c>
      <c r="H1526" s="1474" t="s">
        <v>1057</v>
      </c>
      <c r="I1526" s="1478" t="s">
        <v>798</v>
      </c>
      <c r="J1526" s="1478"/>
      <c r="K1526" s="1475" t="s">
        <v>847</v>
      </c>
      <c r="L1526" s="1474" t="s">
        <v>582</v>
      </c>
      <c r="M1526" s="1476" t="s">
        <v>1699</v>
      </c>
      <c r="N1526" s="1477" t="s">
        <v>1694</v>
      </c>
      <c r="O1526" s="1479">
        <v>430</v>
      </c>
      <c r="P1526" s="1479"/>
      <c r="Q1526" s="1142">
        <f t="shared" si="415"/>
        <v>430</v>
      </c>
      <c r="R1526" s="1143">
        <f>IFERROR(VLOOKUP(CONCATENATE($E1526,$G1526),'LAC 103'!$A$12:$O$95,11,FALSE),0)</f>
        <v>4.7723158393158576</v>
      </c>
      <c r="S1526" s="1144">
        <f>IFERROR(VLOOKUP(CONCATENATE($E1526,$G1526),'LAC 103'!$A$12:$O$95,12,FALSE),0)</f>
        <v>5.91</v>
      </c>
      <c r="T1526" s="1144">
        <f>IFERROR(VLOOKUP(CONCATENATE($E1526,$G1526),'LAC 103'!$A$12:$O$95,13,FALSE),0)</f>
        <v>3.69</v>
      </c>
      <c r="U1526" s="1144">
        <f>IFERROR(VLOOKUP(CONCATENATE($E1526,$G1526),'LAC 103'!$A$12:$O$95,14,FALSE),0)</f>
        <v>0</v>
      </c>
      <c r="V1526" s="1144">
        <f>IFERROR(VLOOKUP(CONCATENATE($E1526,$G1526),'LAC 103'!$A$12:$O$95,15,FALSE),0)</f>
        <v>0</v>
      </c>
      <c r="W1526" s="1145" t="str">
        <f>IFERROR(VLOOKUP(CONCATENATE($B1526,$N1526),'LAC 103'!$AI:$AQ,9,FALSE),"")</f>
        <v>Costs</v>
      </c>
      <c r="X1526" s="1146">
        <f t="shared" si="420"/>
        <v>4.7723158393158576</v>
      </c>
      <c r="Y1526" s="1143">
        <f t="shared" si="430"/>
        <v>2052.0958109058188</v>
      </c>
      <c r="Z1526" s="1147">
        <f t="shared" si="421"/>
        <v>2541.3000000000002</v>
      </c>
      <c r="AA1526" s="1144">
        <f t="shared" si="422"/>
        <v>1586.7</v>
      </c>
      <c r="AB1526" s="1144">
        <f t="shared" si="423"/>
        <v>0</v>
      </c>
      <c r="AC1526" s="1144">
        <f t="shared" si="424"/>
        <v>0</v>
      </c>
      <c r="AD1526" s="1148">
        <f t="shared" si="416"/>
        <v>2052.0958109058188</v>
      </c>
      <c r="AE1526" s="1487">
        <v>0</v>
      </c>
      <c r="AF1526" s="1145">
        <f t="shared" si="425"/>
        <v>2052.0958109058188</v>
      </c>
      <c r="AG1526" s="1149">
        <f>IFERROR(VLOOKUP(CONCATENATE($L1526,$N1526),'Drop List'!$G$23:$K$87,2,FALSE),0)</f>
        <v>0.56200000000000006</v>
      </c>
      <c r="AH1526" s="1150">
        <f>IFERROR(VLOOKUP(CONCATENATE($L1526,$N1526),'Drop List'!$G$23:$K$87,3,FALSE),0)</f>
        <v>0.43799999999999994</v>
      </c>
      <c r="AI1526" s="1150">
        <f>IFERROR(VLOOKUP(CONCATENATE($L1526,$N1526),'Drop List'!$G$23:$K$87,4,FALSE),0)</f>
        <v>0</v>
      </c>
      <c r="AJ1526" s="1151">
        <f>IFERROR(VLOOKUP(CONCATENATE($L1526,$N1526),'Drop List'!$G$23:$K$87,5,FALSE),0)</f>
        <v>0</v>
      </c>
      <c r="AK1526" s="1152">
        <f t="shared" si="426"/>
        <v>1153.2778457290703</v>
      </c>
      <c r="AL1526" s="1153">
        <f t="shared" si="427"/>
        <v>898.81796517674854</v>
      </c>
      <c r="AM1526" s="1153">
        <f t="shared" si="428"/>
        <v>0</v>
      </c>
      <c r="AN1526" s="1145">
        <f t="shared" si="429"/>
        <v>0</v>
      </c>
      <c r="AO1526" s="1154">
        <f t="shared" si="432"/>
        <v>2052.0958109058188</v>
      </c>
      <c r="AP1526" s="1147">
        <f t="shared" si="417"/>
        <v>0</v>
      </c>
      <c r="AQ1526" s="1144">
        <f t="shared" si="418"/>
        <v>0</v>
      </c>
      <c r="AR1526" s="1146">
        <f t="shared" si="419"/>
        <v>2052.0958109058188</v>
      </c>
    </row>
    <row r="1527" spans="1:44" x14ac:dyDescent="0.2">
      <c r="A1527" s="1141" t="str">
        <f t="shared" si="431"/>
        <v>1577</v>
      </c>
      <c r="B1527" s="1141" t="str">
        <f>IFERROR(VLOOKUP(A1527,'LAC 103'!A:C,3,FALSE),"")</f>
        <v>OP</v>
      </c>
      <c r="C1527" s="1478" t="str">
        <f>Info!$B$8</f>
        <v>00100</v>
      </c>
      <c r="D1527" s="1474" t="s">
        <v>256</v>
      </c>
      <c r="E1527" s="1474" t="s">
        <v>95</v>
      </c>
      <c r="F1527" s="1478" t="s">
        <v>459</v>
      </c>
      <c r="G1527" s="1478" t="s">
        <v>459</v>
      </c>
      <c r="H1527" s="1474" t="s">
        <v>1057</v>
      </c>
      <c r="I1527" s="1478" t="s">
        <v>798</v>
      </c>
      <c r="J1527" s="1478"/>
      <c r="K1527" s="1475" t="s">
        <v>847</v>
      </c>
      <c r="L1527" s="1474" t="s">
        <v>582</v>
      </c>
      <c r="M1527" s="1476" t="s">
        <v>841</v>
      </c>
      <c r="N1527" s="1477" t="s">
        <v>1695</v>
      </c>
      <c r="O1527" s="1479">
        <v>338</v>
      </c>
      <c r="P1527" s="1479"/>
      <c r="Q1527" s="1142">
        <f t="shared" si="415"/>
        <v>338</v>
      </c>
      <c r="R1527" s="1143">
        <f>IFERROR(VLOOKUP(CONCATENATE($E1527,$G1527),'LAC 103'!$A$12:$O$95,11,FALSE),0)</f>
        <v>4.7723158393158576</v>
      </c>
      <c r="S1527" s="1144">
        <f>IFERROR(VLOOKUP(CONCATENATE($E1527,$G1527),'LAC 103'!$A$12:$O$95,12,FALSE),0)</f>
        <v>5.91</v>
      </c>
      <c r="T1527" s="1144">
        <f>IFERROR(VLOOKUP(CONCATENATE($E1527,$G1527),'LAC 103'!$A$12:$O$95,13,FALSE),0)</f>
        <v>3.69</v>
      </c>
      <c r="U1527" s="1144">
        <f>IFERROR(VLOOKUP(CONCATENATE($E1527,$G1527),'LAC 103'!$A$12:$O$95,14,FALSE),0)</f>
        <v>0</v>
      </c>
      <c r="V1527" s="1144">
        <f>IFERROR(VLOOKUP(CONCATENATE($E1527,$G1527),'LAC 103'!$A$12:$O$95,15,FALSE),0)</f>
        <v>0</v>
      </c>
      <c r="W1527" s="1145" t="str">
        <f>IFERROR(VLOOKUP(CONCATENATE($B1527,$N1527),'LAC 103'!$AI:$AQ,9,FALSE),"")</f>
        <v>Costs</v>
      </c>
      <c r="X1527" s="1146">
        <f t="shared" si="420"/>
        <v>4.7723158393158576</v>
      </c>
      <c r="Y1527" s="1143">
        <f t="shared" si="430"/>
        <v>1613.0427536887598</v>
      </c>
      <c r="Z1527" s="1147">
        <f t="shared" si="421"/>
        <v>1997.5800000000002</v>
      </c>
      <c r="AA1527" s="1144">
        <f t="shared" si="422"/>
        <v>1247.22</v>
      </c>
      <c r="AB1527" s="1144">
        <f t="shared" si="423"/>
        <v>0</v>
      </c>
      <c r="AC1527" s="1144">
        <f t="shared" si="424"/>
        <v>0</v>
      </c>
      <c r="AD1527" s="1148">
        <f t="shared" si="416"/>
        <v>1613.0427536887598</v>
      </c>
      <c r="AE1527" s="1487">
        <v>0</v>
      </c>
      <c r="AF1527" s="1145">
        <f t="shared" si="425"/>
        <v>1613.0427536887598</v>
      </c>
      <c r="AG1527" s="1149">
        <f>IFERROR(VLOOKUP(CONCATENATE($L1527,$N1527),'Drop List'!$G$23:$K$87,2,FALSE),0)</f>
        <v>0.55000000000000004</v>
      </c>
      <c r="AH1527" s="1150">
        <f>IFERROR(VLOOKUP(CONCATENATE($L1527,$N1527),'Drop List'!$G$23:$K$87,3,FALSE),0)</f>
        <v>0.44999999999999996</v>
      </c>
      <c r="AI1527" s="1150">
        <f>IFERROR(VLOOKUP(CONCATENATE($L1527,$N1527),'Drop List'!$G$23:$K$87,4,FALSE),0)</f>
        <v>0</v>
      </c>
      <c r="AJ1527" s="1151">
        <f>IFERROR(VLOOKUP(CONCATENATE($L1527,$N1527),'Drop List'!$G$23:$K$87,5,FALSE),0)</f>
        <v>0</v>
      </c>
      <c r="AK1527" s="1152">
        <f t="shared" si="426"/>
        <v>887.17351452881803</v>
      </c>
      <c r="AL1527" s="1153">
        <f t="shared" si="427"/>
        <v>725.8692391599418</v>
      </c>
      <c r="AM1527" s="1153">
        <f t="shared" si="428"/>
        <v>0</v>
      </c>
      <c r="AN1527" s="1145">
        <f t="shared" si="429"/>
        <v>0</v>
      </c>
      <c r="AO1527" s="1154">
        <f t="shared" si="432"/>
        <v>1613.0427536887598</v>
      </c>
      <c r="AP1527" s="1147">
        <f t="shared" si="417"/>
        <v>0</v>
      </c>
      <c r="AQ1527" s="1144">
        <f t="shared" si="418"/>
        <v>0</v>
      </c>
      <c r="AR1527" s="1146">
        <f t="shared" si="419"/>
        <v>1613.0427536887598</v>
      </c>
    </row>
    <row r="1528" spans="1:44" x14ac:dyDescent="0.2">
      <c r="A1528" s="1141" t="str">
        <f t="shared" si="431"/>
        <v>1577</v>
      </c>
      <c r="B1528" s="1141" t="str">
        <f>IFERROR(VLOOKUP(A1528,'LAC 103'!A:C,3,FALSE),"")</f>
        <v>OP</v>
      </c>
      <c r="C1528" s="1478" t="str">
        <f>Info!$B$8</f>
        <v>00100</v>
      </c>
      <c r="D1528" s="1474" t="s">
        <v>256</v>
      </c>
      <c r="E1528" s="1474" t="s">
        <v>95</v>
      </c>
      <c r="F1528" s="1478" t="s">
        <v>459</v>
      </c>
      <c r="G1528" s="1478" t="s">
        <v>459</v>
      </c>
      <c r="H1528" s="1474" t="s">
        <v>1057</v>
      </c>
      <c r="I1528" s="1478" t="s">
        <v>798</v>
      </c>
      <c r="J1528" s="1478"/>
      <c r="K1528" s="1475" t="s">
        <v>847</v>
      </c>
      <c r="L1528" s="1474" t="s">
        <v>582</v>
      </c>
      <c r="M1528" s="1476" t="s">
        <v>840</v>
      </c>
      <c r="N1528" s="1477" t="s">
        <v>1700</v>
      </c>
      <c r="O1528" s="1479">
        <v>202</v>
      </c>
      <c r="P1528" s="1479"/>
      <c r="Q1528" s="1142">
        <f t="shared" si="415"/>
        <v>202</v>
      </c>
      <c r="R1528" s="1143">
        <f>IFERROR(VLOOKUP(CONCATENATE($E1528,$G1528),'LAC 103'!$A$12:$O$95,11,FALSE),0)</f>
        <v>4.7723158393158576</v>
      </c>
      <c r="S1528" s="1144">
        <f>IFERROR(VLOOKUP(CONCATENATE($E1528,$G1528),'LAC 103'!$A$12:$O$95,12,FALSE),0)</f>
        <v>5.91</v>
      </c>
      <c r="T1528" s="1144">
        <f>IFERROR(VLOOKUP(CONCATENATE($E1528,$G1528),'LAC 103'!$A$12:$O$95,13,FALSE),0)</f>
        <v>3.69</v>
      </c>
      <c r="U1528" s="1144">
        <f>IFERROR(VLOOKUP(CONCATENATE($E1528,$G1528),'LAC 103'!$A$12:$O$95,14,FALSE),0)</f>
        <v>0</v>
      </c>
      <c r="V1528" s="1144">
        <f>IFERROR(VLOOKUP(CONCATENATE($E1528,$G1528),'LAC 103'!$A$12:$O$95,15,FALSE),0)</f>
        <v>0</v>
      </c>
      <c r="W1528" s="1145" t="str">
        <f>IFERROR(VLOOKUP(CONCATENATE($B1528,$N1528),'LAC 103'!$AI:$AQ,9,FALSE),"")</f>
        <v>P.C.</v>
      </c>
      <c r="X1528" s="1146">
        <f t="shared" si="420"/>
        <v>3.69</v>
      </c>
      <c r="Y1528" s="1143">
        <f t="shared" si="430"/>
        <v>964.00779954180325</v>
      </c>
      <c r="Z1528" s="1147">
        <f t="shared" si="421"/>
        <v>1193.82</v>
      </c>
      <c r="AA1528" s="1144">
        <f t="shared" si="422"/>
        <v>745.38</v>
      </c>
      <c r="AB1528" s="1144">
        <f t="shared" si="423"/>
        <v>0</v>
      </c>
      <c r="AC1528" s="1144">
        <f t="shared" si="424"/>
        <v>0</v>
      </c>
      <c r="AD1528" s="1148">
        <f t="shared" si="416"/>
        <v>745.38</v>
      </c>
      <c r="AE1528" s="1487">
        <v>0</v>
      </c>
      <c r="AF1528" s="1145">
        <f t="shared" si="425"/>
        <v>745.38</v>
      </c>
      <c r="AG1528" s="1149">
        <f>IFERROR(VLOOKUP(CONCATENATE($L1528,$N1528),'Drop List'!$G$23:$K$87,2,FALSE),0)</f>
        <v>0.55000000000000004</v>
      </c>
      <c r="AH1528" s="1150">
        <f>IFERROR(VLOOKUP(CONCATENATE($L1528,$N1528),'Drop List'!$G$23:$K$87,3,FALSE),0)</f>
        <v>0.44999999999999996</v>
      </c>
      <c r="AI1528" s="1150">
        <f>IFERROR(VLOOKUP(CONCATENATE($L1528,$N1528),'Drop List'!$G$23:$K$87,4,FALSE),0)</f>
        <v>0</v>
      </c>
      <c r="AJ1528" s="1151">
        <f>IFERROR(VLOOKUP(CONCATENATE($L1528,$N1528),'Drop List'!$G$23:$K$87,5,FALSE),0)</f>
        <v>0</v>
      </c>
      <c r="AK1528" s="1152">
        <f t="shared" si="426"/>
        <v>409.959</v>
      </c>
      <c r="AL1528" s="1153">
        <f t="shared" si="427"/>
        <v>335.42099999999999</v>
      </c>
      <c r="AM1528" s="1153">
        <f t="shared" si="428"/>
        <v>0</v>
      </c>
      <c r="AN1528" s="1145">
        <f t="shared" si="429"/>
        <v>0</v>
      </c>
      <c r="AO1528" s="1154">
        <f t="shared" si="432"/>
        <v>745.38</v>
      </c>
      <c r="AP1528" s="1147">
        <f t="shared" si="417"/>
        <v>0</v>
      </c>
      <c r="AQ1528" s="1144">
        <f t="shared" si="418"/>
        <v>0</v>
      </c>
      <c r="AR1528" s="1146">
        <f t="shared" si="419"/>
        <v>745.38</v>
      </c>
    </row>
    <row r="1529" spans="1:44" x14ac:dyDescent="0.2">
      <c r="A1529" s="1141" t="str">
        <f t="shared" si="431"/>
        <v>1577</v>
      </c>
      <c r="B1529" s="1141" t="str">
        <f>IFERROR(VLOOKUP(A1529,'LAC 103'!A:C,3,FALSE),"")</f>
        <v>OP</v>
      </c>
      <c r="C1529" s="1478" t="str">
        <f>Info!$B$8</f>
        <v>00100</v>
      </c>
      <c r="D1529" s="1474" t="s">
        <v>256</v>
      </c>
      <c r="E1529" s="1474" t="s">
        <v>95</v>
      </c>
      <c r="F1529" s="1478" t="s">
        <v>459</v>
      </c>
      <c r="G1529" s="1478" t="s">
        <v>459</v>
      </c>
      <c r="H1529" s="1474" t="s">
        <v>1057</v>
      </c>
      <c r="I1529" s="1478" t="s">
        <v>798</v>
      </c>
      <c r="J1529" s="1478"/>
      <c r="K1529" s="1475" t="s">
        <v>847</v>
      </c>
      <c r="L1529" s="1474" t="s">
        <v>582</v>
      </c>
      <c r="M1529" s="1476" t="s">
        <v>842</v>
      </c>
      <c r="N1529" s="1477" t="s">
        <v>1692</v>
      </c>
      <c r="O1529" s="1479">
        <v>764</v>
      </c>
      <c r="P1529" s="1479"/>
      <c r="Q1529" s="1142">
        <f t="shared" si="415"/>
        <v>764</v>
      </c>
      <c r="R1529" s="1143">
        <f>IFERROR(VLOOKUP(CONCATENATE($E1529,$G1529),'LAC 103'!$A$12:$O$95,11,FALSE),0)</f>
        <v>4.7723158393158576</v>
      </c>
      <c r="S1529" s="1144">
        <f>IFERROR(VLOOKUP(CONCATENATE($E1529,$G1529),'LAC 103'!$A$12:$O$95,12,FALSE),0)</f>
        <v>5.91</v>
      </c>
      <c r="T1529" s="1144">
        <f>IFERROR(VLOOKUP(CONCATENATE($E1529,$G1529),'LAC 103'!$A$12:$O$95,13,FALSE),0)</f>
        <v>3.69</v>
      </c>
      <c r="U1529" s="1144">
        <f>IFERROR(VLOOKUP(CONCATENATE($E1529,$G1529),'LAC 103'!$A$12:$O$95,14,FALSE),0)</f>
        <v>0</v>
      </c>
      <c r="V1529" s="1144">
        <f>IFERROR(VLOOKUP(CONCATENATE($E1529,$G1529),'LAC 103'!$A$12:$O$95,15,FALSE),0)</f>
        <v>0</v>
      </c>
      <c r="W1529" s="1145" t="str">
        <f>IFERROR(VLOOKUP(CONCATENATE($B1529,$N1529),'LAC 103'!$AI:$AQ,9,FALSE),"")</f>
        <v>Costs</v>
      </c>
      <c r="X1529" s="1146">
        <f t="shared" si="420"/>
        <v>4.7723158393158576</v>
      </c>
      <c r="Y1529" s="1143">
        <f t="shared" si="430"/>
        <v>3646.0493012373154</v>
      </c>
      <c r="Z1529" s="1147">
        <f t="shared" si="421"/>
        <v>4515.24</v>
      </c>
      <c r="AA1529" s="1144">
        <f t="shared" si="422"/>
        <v>2819.16</v>
      </c>
      <c r="AB1529" s="1144">
        <f t="shared" si="423"/>
        <v>0</v>
      </c>
      <c r="AC1529" s="1144">
        <f t="shared" si="424"/>
        <v>0</v>
      </c>
      <c r="AD1529" s="1148">
        <f t="shared" si="416"/>
        <v>3646.0493012373154</v>
      </c>
      <c r="AE1529" s="1487">
        <v>0</v>
      </c>
      <c r="AF1529" s="1145">
        <f t="shared" si="425"/>
        <v>3646.0493012373154</v>
      </c>
      <c r="AG1529" s="1149">
        <f>IFERROR(VLOOKUP(CONCATENATE($L1529,$N1529),'Drop List'!$G$23:$K$87,2,FALSE),0)</f>
        <v>0.56200000000000006</v>
      </c>
      <c r="AH1529" s="1150">
        <f>IFERROR(VLOOKUP(CONCATENATE($L1529,$N1529),'Drop List'!$G$23:$K$87,3,FALSE),0)</f>
        <v>0.43799999999999994</v>
      </c>
      <c r="AI1529" s="1150">
        <f>IFERROR(VLOOKUP(CONCATENATE($L1529,$N1529),'Drop List'!$G$23:$K$87,4,FALSE),0)</f>
        <v>0</v>
      </c>
      <c r="AJ1529" s="1151">
        <f>IFERROR(VLOOKUP(CONCATENATE($L1529,$N1529),'Drop List'!$G$23:$K$87,5,FALSE),0)</f>
        <v>0</v>
      </c>
      <c r="AK1529" s="1152">
        <f t="shared" si="426"/>
        <v>2049.0797072953715</v>
      </c>
      <c r="AL1529" s="1153">
        <f t="shared" si="427"/>
        <v>1596.9695939419439</v>
      </c>
      <c r="AM1529" s="1153">
        <f t="shared" si="428"/>
        <v>0</v>
      </c>
      <c r="AN1529" s="1145">
        <f t="shared" si="429"/>
        <v>0</v>
      </c>
      <c r="AO1529" s="1154">
        <f t="shared" si="432"/>
        <v>3646.0493012373154</v>
      </c>
      <c r="AP1529" s="1147">
        <f t="shared" si="417"/>
        <v>0</v>
      </c>
      <c r="AQ1529" s="1144">
        <f t="shared" si="418"/>
        <v>0</v>
      </c>
      <c r="AR1529" s="1146">
        <f t="shared" si="419"/>
        <v>3646.0493012373154</v>
      </c>
    </row>
    <row r="1530" spans="1:44" x14ac:dyDescent="0.2">
      <c r="A1530" s="1141" t="str">
        <f t="shared" si="431"/>
        <v>1577</v>
      </c>
      <c r="B1530" s="1141" t="str">
        <f>IFERROR(VLOOKUP(A1530,'LAC 103'!A:C,3,FALSE),"")</f>
        <v>OP</v>
      </c>
      <c r="C1530" s="1478" t="str">
        <f>Info!$B$8</f>
        <v>00100</v>
      </c>
      <c r="D1530" s="1474" t="s">
        <v>256</v>
      </c>
      <c r="E1530" s="1474" t="s">
        <v>95</v>
      </c>
      <c r="F1530" s="1478" t="s">
        <v>459</v>
      </c>
      <c r="G1530" s="1478" t="s">
        <v>459</v>
      </c>
      <c r="H1530" s="1474" t="s">
        <v>1057</v>
      </c>
      <c r="I1530" s="1478" t="s">
        <v>798</v>
      </c>
      <c r="J1530" s="1478"/>
      <c r="K1530" s="1475" t="s">
        <v>847</v>
      </c>
      <c r="L1530" s="1474" t="s">
        <v>582</v>
      </c>
      <c r="M1530" s="1476" t="s">
        <v>1698</v>
      </c>
      <c r="N1530" s="1477" t="s">
        <v>1693</v>
      </c>
      <c r="O1530" s="1479">
        <v>606</v>
      </c>
      <c r="P1530" s="1479"/>
      <c r="Q1530" s="1142">
        <f t="shared" si="415"/>
        <v>606</v>
      </c>
      <c r="R1530" s="1143">
        <f>IFERROR(VLOOKUP(CONCATENATE($E1530,$G1530),'LAC 103'!$A$12:$O$95,11,FALSE),0)</f>
        <v>4.7723158393158576</v>
      </c>
      <c r="S1530" s="1144">
        <f>IFERROR(VLOOKUP(CONCATENATE($E1530,$G1530),'LAC 103'!$A$12:$O$95,12,FALSE),0)</f>
        <v>5.91</v>
      </c>
      <c r="T1530" s="1144">
        <f>IFERROR(VLOOKUP(CONCATENATE($E1530,$G1530),'LAC 103'!$A$12:$O$95,13,FALSE),0)</f>
        <v>3.69</v>
      </c>
      <c r="U1530" s="1144">
        <f>IFERROR(VLOOKUP(CONCATENATE($E1530,$G1530),'LAC 103'!$A$12:$O$95,14,FALSE),0)</f>
        <v>0</v>
      </c>
      <c r="V1530" s="1144">
        <f>IFERROR(VLOOKUP(CONCATENATE($E1530,$G1530),'LAC 103'!$A$12:$O$95,15,FALSE),0)</f>
        <v>0</v>
      </c>
      <c r="W1530" s="1145" t="str">
        <f>IFERROR(VLOOKUP(CONCATENATE($B1530,$N1530),'LAC 103'!$AI:$AQ,9,FALSE),"")</f>
        <v>Costs</v>
      </c>
      <c r="X1530" s="1146">
        <f t="shared" si="420"/>
        <v>4.7723158393158576</v>
      </c>
      <c r="Y1530" s="1143">
        <f t="shared" si="430"/>
        <v>2892.0233986254098</v>
      </c>
      <c r="Z1530" s="1147">
        <f t="shared" si="421"/>
        <v>3581.46</v>
      </c>
      <c r="AA1530" s="1144">
        <f t="shared" si="422"/>
        <v>2236.14</v>
      </c>
      <c r="AB1530" s="1144">
        <f t="shared" si="423"/>
        <v>0</v>
      </c>
      <c r="AC1530" s="1144">
        <f t="shared" si="424"/>
        <v>0</v>
      </c>
      <c r="AD1530" s="1148">
        <f t="shared" si="416"/>
        <v>2892.0233986254098</v>
      </c>
      <c r="AE1530" s="1487">
        <v>0</v>
      </c>
      <c r="AF1530" s="1145">
        <f t="shared" si="425"/>
        <v>2892.0233986254098</v>
      </c>
      <c r="AG1530" s="1149">
        <f>IFERROR(VLOOKUP(CONCATENATE($L1530,$N1530),'Drop List'!$G$23:$K$87,2,FALSE),0)</f>
        <v>0.56200000000000006</v>
      </c>
      <c r="AH1530" s="1150">
        <f>IFERROR(VLOOKUP(CONCATENATE($L1530,$N1530),'Drop List'!$G$23:$K$87,3,FALSE),0)</f>
        <v>0.43799999999999994</v>
      </c>
      <c r="AI1530" s="1150">
        <f>IFERROR(VLOOKUP(CONCATENATE($L1530,$N1530),'Drop List'!$G$23:$K$87,4,FALSE),0)</f>
        <v>0</v>
      </c>
      <c r="AJ1530" s="1151">
        <f>IFERROR(VLOOKUP(CONCATENATE($L1530,$N1530),'Drop List'!$G$23:$K$87,5,FALSE),0)</f>
        <v>0</v>
      </c>
      <c r="AK1530" s="1152">
        <f t="shared" si="426"/>
        <v>1625.3171500274805</v>
      </c>
      <c r="AL1530" s="1153">
        <f t="shared" si="427"/>
        <v>1266.7062485979293</v>
      </c>
      <c r="AM1530" s="1153">
        <f t="shared" si="428"/>
        <v>0</v>
      </c>
      <c r="AN1530" s="1145">
        <f t="shared" si="429"/>
        <v>0</v>
      </c>
      <c r="AO1530" s="1154">
        <f t="shared" si="432"/>
        <v>2892.0233986254098</v>
      </c>
      <c r="AP1530" s="1147">
        <f t="shared" si="417"/>
        <v>0</v>
      </c>
      <c r="AQ1530" s="1144">
        <f t="shared" si="418"/>
        <v>0</v>
      </c>
      <c r="AR1530" s="1146">
        <f t="shared" si="419"/>
        <v>2892.0233986254098</v>
      </c>
    </row>
    <row r="1531" spans="1:44" x14ac:dyDescent="0.2">
      <c r="A1531" s="1141" t="str">
        <f t="shared" si="431"/>
        <v>1577</v>
      </c>
      <c r="B1531" s="1141" t="str">
        <f>IFERROR(VLOOKUP(A1531,'LAC 103'!A:C,3,FALSE),"")</f>
        <v>OP</v>
      </c>
      <c r="C1531" s="1478" t="str">
        <f>Info!$B$8</f>
        <v>00100</v>
      </c>
      <c r="D1531" s="1474" t="s">
        <v>256</v>
      </c>
      <c r="E1531" s="1474" t="s">
        <v>95</v>
      </c>
      <c r="F1531" s="1478" t="s">
        <v>459</v>
      </c>
      <c r="G1531" s="1478" t="s">
        <v>459</v>
      </c>
      <c r="H1531" s="1474" t="s">
        <v>1057</v>
      </c>
      <c r="I1531" s="1478" t="s">
        <v>798</v>
      </c>
      <c r="J1531" s="1478"/>
      <c r="K1531" s="1475" t="s">
        <v>971</v>
      </c>
      <c r="L1531" s="1474" t="s">
        <v>332</v>
      </c>
      <c r="M1531" s="1476" t="s">
        <v>1698</v>
      </c>
      <c r="N1531" s="1477" t="s">
        <v>1693</v>
      </c>
      <c r="O1531" s="1479">
        <v>150</v>
      </c>
      <c r="P1531" s="1479"/>
      <c r="Q1531" s="1142">
        <f t="shared" si="415"/>
        <v>150</v>
      </c>
      <c r="R1531" s="1143">
        <f>IFERROR(VLOOKUP(CONCATENATE($E1531,$G1531),'LAC 103'!$A$12:$O$95,11,FALSE),0)</f>
        <v>4.7723158393158576</v>
      </c>
      <c r="S1531" s="1144">
        <f>IFERROR(VLOOKUP(CONCATENATE($E1531,$G1531),'LAC 103'!$A$12:$O$95,12,FALSE),0)</f>
        <v>5.91</v>
      </c>
      <c r="T1531" s="1144">
        <f>IFERROR(VLOOKUP(CONCATENATE($E1531,$G1531),'LAC 103'!$A$12:$O$95,13,FALSE),0)</f>
        <v>3.69</v>
      </c>
      <c r="U1531" s="1144">
        <f>IFERROR(VLOOKUP(CONCATENATE($E1531,$G1531),'LAC 103'!$A$12:$O$95,14,FALSE),0)</f>
        <v>0</v>
      </c>
      <c r="V1531" s="1144">
        <f>IFERROR(VLOOKUP(CONCATENATE($E1531,$G1531),'LAC 103'!$A$12:$O$95,15,FALSE),0)</f>
        <v>0</v>
      </c>
      <c r="W1531" s="1145" t="str">
        <f>IFERROR(VLOOKUP(CONCATENATE($B1531,$N1531),'LAC 103'!$AI:$AQ,9,FALSE),"")</f>
        <v>Costs</v>
      </c>
      <c r="X1531" s="1146">
        <f t="shared" si="420"/>
        <v>4.7723158393158576</v>
      </c>
      <c r="Y1531" s="1143">
        <f t="shared" si="430"/>
        <v>715.84737589737858</v>
      </c>
      <c r="Z1531" s="1147">
        <f t="shared" si="421"/>
        <v>886.5</v>
      </c>
      <c r="AA1531" s="1144">
        <f t="shared" si="422"/>
        <v>553.5</v>
      </c>
      <c r="AB1531" s="1144">
        <f t="shared" si="423"/>
        <v>0</v>
      </c>
      <c r="AC1531" s="1144">
        <f t="shared" si="424"/>
        <v>0</v>
      </c>
      <c r="AD1531" s="1148">
        <f t="shared" si="416"/>
        <v>715.84737589737858</v>
      </c>
      <c r="AE1531" s="1487">
        <v>0</v>
      </c>
      <c r="AF1531" s="1145">
        <f t="shared" si="425"/>
        <v>715.84737589737858</v>
      </c>
      <c r="AG1531" s="1149">
        <f>IFERROR(VLOOKUP(CONCATENATE($L1531,$N1531),'Drop List'!$G$23:$K$87,2,FALSE),0)</f>
        <v>0</v>
      </c>
      <c r="AH1531" s="1150">
        <f>IFERROR(VLOOKUP(CONCATENATE($L1531,$N1531),'Drop List'!$G$23:$K$87,3,FALSE),0)</f>
        <v>0</v>
      </c>
      <c r="AI1531" s="1150">
        <f>IFERROR(VLOOKUP(CONCATENATE($L1531,$N1531),'Drop List'!$G$23:$K$87,4,FALSE),0)</f>
        <v>0</v>
      </c>
      <c r="AJ1531" s="1151">
        <f>IFERROR(VLOOKUP(CONCATENATE($L1531,$N1531),'Drop List'!$G$23:$K$87,5,FALSE),0)</f>
        <v>0</v>
      </c>
      <c r="AK1531" s="1152">
        <f t="shared" si="426"/>
        <v>0</v>
      </c>
      <c r="AL1531" s="1153">
        <f t="shared" si="427"/>
        <v>0</v>
      </c>
      <c r="AM1531" s="1153">
        <f t="shared" si="428"/>
        <v>0</v>
      </c>
      <c r="AN1531" s="1145">
        <f t="shared" si="429"/>
        <v>0</v>
      </c>
      <c r="AO1531" s="1154">
        <f t="shared" si="432"/>
        <v>0</v>
      </c>
      <c r="AP1531" s="1147">
        <f t="shared" si="417"/>
        <v>715.84737589737858</v>
      </c>
      <c r="AQ1531" s="1144">
        <f t="shared" si="418"/>
        <v>0</v>
      </c>
      <c r="AR1531" s="1146">
        <f t="shared" si="419"/>
        <v>715.84737589737858</v>
      </c>
    </row>
    <row r="1532" spans="1:44" x14ac:dyDescent="0.2">
      <c r="A1532" s="1141" t="str">
        <f t="shared" si="431"/>
        <v>1578</v>
      </c>
      <c r="B1532" s="1141" t="str">
        <f>IFERROR(VLOOKUP(A1532,'LAC 103'!A:C,3,FALSE),"")</f>
        <v>OP</v>
      </c>
      <c r="C1532" s="1478" t="str">
        <f>Info!$B$8</f>
        <v>00100</v>
      </c>
      <c r="D1532" s="1474" t="s">
        <v>256</v>
      </c>
      <c r="E1532" s="1474" t="s">
        <v>95</v>
      </c>
      <c r="F1532" s="1478" t="s">
        <v>149</v>
      </c>
      <c r="G1532" s="1478" t="s">
        <v>149</v>
      </c>
      <c r="H1532" s="1474" t="s">
        <v>1655</v>
      </c>
      <c r="I1532" s="1478" t="s">
        <v>913</v>
      </c>
      <c r="J1532" s="1478" t="s">
        <v>123</v>
      </c>
      <c r="K1532" s="1475" t="s">
        <v>846</v>
      </c>
      <c r="L1532" s="1474" t="s">
        <v>332</v>
      </c>
      <c r="M1532" s="1476" t="s">
        <v>1699</v>
      </c>
      <c r="N1532" s="1477" t="s">
        <v>1694</v>
      </c>
      <c r="O1532" s="1479">
        <v>315</v>
      </c>
      <c r="P1532" s="1479"/>
      <c r="Q1532" s="1142">
        <f t="shared" ref="Q1532:Q1595" si="433">O1532+P1532</f>
        <v>315</v>
      </c>
      <c r="R1532" s="1143">
        <f>IFERROR(VLOOKUP(CONCATENATE($E1532,$G1532),'LAC 103'!$A$12:$O$95,11,FALSE),0)</f>
        <v>4.7723158393158576</v>
      </c>
      <c r="S1532" s="1144">
        <f>IFERROR(VLOOKUP(CONCATENATE($E1532,$G1532),'LAC 103'!$A$12:$O$95,12,FALSE),0)</f>
        <v>5.91</v>
      </c>
      <c r="T1532" s="1144">
        <f>IFERROR(VLOOKUP(CONCATENATE($E1532,$G1532),'LAC 103'!$A$12:$O$95,13,FALSE),0)</f>
        <v>3.69</v>
      </c>
      <c r="U1532" s="1144">
        <f>IFERROR(VLOOKUP(CONCATENATE($E1532,$G1532),'LAC 103'!$A$12:$O$95,14,FALSE),0)</f>
        <v>0</v>
      </c>
      <c r="V1532" s="1144">
        <f>IFERROR(VLOOKUP(CONCATENATE($E1532,$G1532),'LAC 103'!$A$12:$O$95,15,FALSE),0)</f>
        <v>0</v>
      </c>
      <c r="W1532" s="1145" t="str">
        <f>IFERROR(VLOOKUP(CONCATENATE($B1532,$N1532),'LAC 103'!$AI:$AQ,9,FALSE),"")</f>
        <v>Costs</v>
      </c>
      <c r="X1532" s="1146">
        <f t="shared" si="420"/>
        <v>4.7723158393158576</v>
      </c>
      <c r="Y1532" s="1143">
        <f t="shared" si="430"/>
        <v>1503.279489384495</v>
      </c>
      <c r="Z1532" s="1147">
        <f t="shared" si="421"/>
        <v>1861.65</v>
      </c>
      <c r="AA1532" s="1144">
        <f t="shared" si="422"/>
        <v>1162.3499999999999</v>
      </c>
      <c r="AB1532" s="1144">
        <f t="shared" si="423"/>
        <v>0</v>
      </c>
      <c r="AC1532" s="1144">
        <f t="shared" si="424"/>
        <v>0</v>
      </c>
      <c r="AD1532" s="1148">
        <f t="shared" si="416"/>
        <v>1503.279489384495</v>
      </c>
      <c r="AE1532" s="1487">
        <v>0</v>
      </c>
      <c r="AF1532" s="1145">
        <f t="shared" si="425"/>
        <v>1503.279489384495</v>
      </c>
      <c r="AG1532" s="1149">
        <f>IFERROR(VLOOKUP(CONCATENATE($L1532,$N1532),'Drop List'!$G$23:$K$87,2,FALSE),0)</f>
        <v>0</v>
      </c>
      <c r="AH1532" s="1150">
        <f>IFERROR(VLOOKUP(CONCATENATE($L1532,$N1532),'Drop List'!$G$23:$K$87,3,FALSE),0)</f>
        <v>0</v>
      </c>
      <c r="AI1532" s="1150">
        <f>IFERROR(VLOOKUP(CONCATENATE($L1532,$N1532),'Drop List'!$G$23:$K$87,4,FALSE),0)</f>
        <v>0</v>
      </c>
      <c r="AJ1532" s="1151">
        <f>IFERROR(VLOOKUP(CONCATENATE($L1532,$N1532),'Drop List'!$G$23:$K$87,5,FALSE),0)</f>
        <v>0</v>
      </c>
      <c r="AK1532" s="1152">
        <f t="shared" si="426"/>
        <v>0</v>
      </c>
      <c r="AL1532" s="1153">
        <f t="shared" si="427"/>
        <v>0</v>
      </c>
      <c r="AM1532" s="1153">
        <f t="shared" si="428"/>
        <v>0</v>
      </c>
      <c r="AN1532" s="1145">
        <f t="shared" si="429"/>
        <v>0</v>
      </c>
      <c r="AO1532" s="1154">
        <f t="shared" si="432"/>
        <v>0</v>
      </c>
      <c r="AP1532" s="1147">
        <f t="shared" si="417"/>
        <v>1503.279489384495</v>
      </c>
      <c r="AQ1532" s="1144">
        <f t="shared" si="418"/>
        <v>0</v>
      </c>
      <c r="AR1532" s="1146">
        <f t="shared" si="419"/>
        <v>1503.279489384495</v>
      </c>
    </row>
    <row r="1533" spans="1:44" x14ac:dyDescent="0.2">
      <c r="A1533" s="1141" t="str">
        <f t="shared" si="431"/>
        <v>1578</v>
      </c>
      <c r="B1533" s="1141" t="str">
        <f>IFERROR(VLOOKUP(A1533,'LAC 103'!A:C,3,FALSE),"")</f>
        <v>OP</v>
      </c>
      <c r="C1533" s="1478" t="str">
        <f>Info!$B$8</f>
        <v>00100</v>
      </c>
      <c r="D1533" s="1474" t="s">
        <v>256</v>
      </c>
      <c r="E1533" s="1474" t="s">
        <v>95</v>
      </c>
      <c r="F1533" s="1478" t="s">
        <v>149</v>
      </c>
      <c r="G1533" s="1478" t="s">
        <v>149</v>
      </c>
      <c r="H1533" s="1474" t="s">
        <v>1657</v>
      </c>
      <c r="I1533" s="1478" t="s">
        <v>809</v>
      </c>
      <c r="J1533" s="1478" t="s">
        <v>123</v>
      </c>
      <c r="K1533" s="1475" t="s">
        <v>846</v>
      </c>
      <c r="L1533" s="1474" t="s">
        <v>332</v>
      </c>
      <c r="M1533" s="1476" t="s">
        <v>1698</v>
      </c>
      <c r="N1533" s="1477" t="s">
        <v>1693</v>
      </c>
      <c r="O1533" s="1479">
        <v>366</v>
      </c>
      <c r="P1533" s="1479"/>
      <c r="Q1533" s="1142">
        <f t="shared" si="433"/>
        <v>366</v>
      </c>
      <c r="R1533" s="1143">
        <f>IFERROR(VLOOKUP(CONCATENATE($E1533,$G1533),'LAC 103'!$A$12:$O$95,11,FALSE),0)</f>
        <v>4.7723158393158576</v>
      </c>
      <c r="S1533" s="1144">
        <f>IFERROR(VLOOKUP(CONCATENATE($E1533,$G1533),'LAC 103'!$A$12:$O$95,12,FALSE),0)</f>
        <v>5.91</v>
      </c>
      <c r="T1533" s="1144">
        <f>IFERROR(VLOOKUP(CONCATENATE($E1533,$G1533),'LAC 103'!$A$12:$O$95,13,FALSE),0)</f>
        <v>3.69</v>
      </c>
      <c r="U1533" s="1144">
        <f>IFERROR(VLOOKUP(CONCATENATE($E1533,$G1533),'LAC 103'!$A$12:$O$95,14,FALSE),0)</f>
        <v>0</v>
      </c>
      <c r="V1533" s="1144">
        <f>IFERROR(VLOOKUP(CONCATENATE($E1533,$G1533),'LAC 103'!$A$12:$O$95,15,FALSE),0)</f>
        <v>0</v>
      </c>
      <c r="W1533" s="1145" t="str">
        <f>IFERROR(VLOOKUP(CONCATENATE($B1533,$N1533),'LAC 103'!$AI:$AQ,9,FALSE),"")</f>
        <v>Costs</v>
      </c>
      <c r="X1533" s="1146">
        <f t="shared" si="420"/>
        <v>4.7723158393158576</v>
      </c>
      <c r="Y1533" s="1143">
        <f t="shared" si="430"/>
        <v>1746.6675971896038</v>
      </c>
      <c r="Z1533" s="1147">
        <f t="shared" si="421"/>
        <v>2163.06</v>
      </c>
      <c r="AA1533" s="1144">
        <f t="shared" si="422"/>
        <v>1350.54</v>
      </c>
      <c r="AB1533" s="1144">
        <f t="shared" si="423"/>
        <v>0</v>
      </c>
      <c r="AC1533" s="1144">
        <f t="shared" si="424"/>
        <v>0</v>
      </c>
      <c r="AD1533" s="1148">
        <f t="shared" si="416"/>
        <v>1746.6675971896038</v>
      </c>
      <c r="AE1533" s="1487">
        <v>0</v>
      </c>
      <c r="AF1533" s="1145">
        <f t="shared" si="425"/>
        <v>1746.6675971896038</v>
      </c>
      <c r="AG1533" s="1149">
        <f>IFERROR(VLOOKUP(CONCATENATE($L1533,$N1533),'Drop List'!$G$23:$K$87,2,FALSE),0)</f>
        <v>0</v>
      </c>
      <c r="AH1533" s="1150">
        <f>IFERROR(VLOOKUP(CONCATENATE($L1533,$N1533),'Drop List'!$G$23:$K$87,3,FALSE),0)</f>
        <v>0</v>
      </c>
      <c r="AI1533" s="1150">
        <f>IFERROR(VLOOKUP(CONCATENATE($L1533,$N1533),'Drop List'!$G$23:$K$87,4,FALSE),0)</f>
        <v>0</v>
      </c>
      <c r="AJ1533" s="1151">
        <f>IFERROR(VLOOKUP(CONCATENATE($L1533,$N1533),'Drop List'!$G$23:$K$87,5,FALSE),0)</f>
        <v>0</v>
      </c>
      <c r="AK1533" s="1152">
        <f t="shared" si="426"/>
        <v>0</v>
      </c>
      <c r="AL1533" s="1153">
        <f t="shared" si="427"/>
        <v>0</v>
      </c>
      <c r="AM1533" s="1153">
        <f t="shared" si="428"/>
        <v>0</v>
      </c>
      <c r="AN1533" s="1145">
        <f t="shared" si="429"/>
        <v>0</v>
      </c>
      <c r="AO1533" s="1154">
        <f t="shared" si="432"/>
        <v>0</v>
      </c>
      <c r="AP1533" s="1147">
        <f t="shared" si="417"/>
        <v>1746.6675971896038</v>
      </c>
      <c r="AQ1533" s="1144">
        <f t="shared" si="418"/>
        <v>0</v>
      </c>
      <c r="AR1533" s="1146">
        <f t="shared" si="419"/>
        <v>1746.6675971896038</v>
      </c>
    </row>
    <row r="1534" spans="1:44" x14ac:dyDescent="0.2">
      <c r="A1534" s="1141" t="str">
        <f t="shared" si="431"/>
        <v>1578</v>
      </c>
      <c r="B1534" s="1141" t="str">
        <f>IFERROR(VLOOKUP(A1534,'LAC 103'!A:C,3,FALSE),"")</f>
        <v>OP</v>
      </c>
      <c r="C1534" s="1478" t="str">
        <f>Info!$B$8</f>
        <v>00100</v>
      </c>
      <c r="D1534" s="1474" t="s">
        <v>256</v>
      </c>
      <c r="E1534" s="1474" t="s">
        <v>95</v>
      </c>
      <c r="F1534" s="1478" t="s">
        <v>149</v>
      </c>
      <c r="G1534" s="1478" t="s">
        <v>149</v>
      </c>
      <c r="H1534" s="1474" t="s">
        <v>1659</v>
      </c>
      <c r="I1534" s="1478" t="s">
        <v>807</v>
      </c>
      <c r="J1534" s="1478" t="s">
        <v>123</v>
      </c>
      <c r="K1534" s="1475" t="s">
        <v>846</v>
      </c>
      <c r="L1534" s="1474" t="s">
        <v>332</v>
      </c>
      <c r="M1534" s="1476" t="s">
        <v>842</v>
      </c>
      <c r="N1534" s="1477" t="s">
        <v>1692</v>
      </c>
      <c r="O1534" s="1479">
        <v>249</v>
      </c>
      <c r="P1534" s="1479"/>
      <c r="Q1534" s="1142">
        <f t="shared" si="433"/>
        <v>249</v>
      </c>
      <c r="R1534" s="1143">
        <f>IFERROR(VLOOKUP(CONCATENATE($E1534,$G1534),'LAC 103'!$A$12:$O$95,11,FALSE),0)</f>
        <v>4.7723158393158576</v>
      </c>
      <c r="S1534" s="1144">
        <f>IFERROR(VLOOKUP(CONCATENATE($E1534,$G1534),'LAC 103'!$A$12:$O$95,12,FALSE),0)</f>
        <v>5.91</v>
      </c>
      <c r="T1534" s="1144">
        <f>IFERROR(VLOOKUP(CONCATENATE($E1534,$G1534),'LAC 103'!$A$12:$O$95,13,FALSE),0)</f>
        <v>3.69</v>
      </c>
      <c r="U1534" s="1144">
        <f>IFERROR(VLOOKUP(CONCATENATE($E1534,$G1534),'LAC 103'!$A$12:$O$95,14,FALSE),0)</f>
        <v>0</v>
      </c>
      <c r="V1534" s="1144">
        <f>IFERROR(VLOOKUP(CONCATENATE($E1534,$G1534),'LAC 103'!$A$12:$O$95,15,FALSE),0)</f>
        <v>0</v>
      </c>
      <c r="W1534" s="1145" t="str">
        <f>IFERROR(VLOOKUP(CONCATENATE($B1534,$N1534),'LAC 103'!$AI:$AQ,9,FALSE),"")</f>
        <v>Costs</v>
      </c>
      <c r="X1534" s="1146">
        <f t="shared" si="420"/>
        <v>4.7723158393158576</v>
      </c>
      <c r="Y1534" s="1143">
        <f t="shared" si="430"/>
        <v>1188.3066439896486</v>
      </c>
      <c r="Z1534" s="1147">
        <f t="shared" si="421"/>
        <v>1471.5900000000001</v>
      </c>
      <c r="AA1534" s="1144">
        <f t="shared" si="422"/>
        <v>918.81</v>
      </c>
      <c r="AB1534" s="1144">
        <f t="shared" si="423"/>
        <v>0</v>
      </c>
      <c r="AC1534" s="1144">
        <f t="shared" si="424"/>
        <v>0</v>
      </c>
      <c r="AD1534" s="1148">
        <f t="shared" si="416"/>
        <v>1188.3066439896486</v>
      </c>
      <c r="AE1534" s="1487">
        <v>0</v>
      </c>
      <c r="AF1534" s="1145">
        <f t="shared" si="425"/>
        <v>1188.3066439896486</v>
      </c>
      <c r="AG1534" s="1149">
        <f>IFERROR(VLOOKUP(CONCATENATE($L1534,$N1534),'Drop List'!$G$23:$K$87,2,FALSE),0)</f>
        <v>0</v>
      </c>
      <c r="AH1534" s="1150">
        <f>IFERROR(VLOOKUP(CONCATENATE($L1534,$N1534),'Drop List'!$G$23:$K$87,3,FALSE),0)</f>
        <v>0</v>
      </c>
      <c r="AI1534" s="1150">
        <f>IFERROR(VLOOKUP(CONCATENATE($L1534,$N1534),'Drop List'!$G$23:$K$87,4,FALSE),0)</f>
        <v>0</v>
      </c>
      <c r="AJ1534" s="1151">
        <f>IFERROR(VLOOKUP(CONCATENATE($L1534,$N1534),'Drop List'!$G$23:$K$87,5,FALSE),0)</f>
        <v>0</v>
      </c>
      <c r="AK1534" s="1152">
        <f t="shared" si="426"/>
        <v>0</v>
      </c>
      <c r="AL1534" s="1153">
        <f t="shared" si="427"/>
        <v>0</v>
      </c>
      <c r="AM1534" s="1153">
        <f t="shared" si="428"/>
        <v>0</v>
      </c>
      <c r="AN1534" s="1145">
        <f t="shared" si="429"/>
        <v>0</v>
      </c>
      <c r="AO1534" s="1154">
        <f t="shared" si="432"/>
        <v>0</v>
      </c>
      <c r="AP1534" s="1147">
        <f t="shared" si="417"/>
        <v>1188.3066439896486</v>
      </c>
      <c r="AQ1534" s="1144">
        <f t="shared" si="418"/>
        <v>0</v>
      </c>
      <c r="AR1534" s="1146">
        <f t="shared" si="419"/>
        <v>1188.3066439896486</v>
      </c>
    </row>
    <row r="1535" spans="1:44" x14ac:dyDescent="0.2">
      <c r="A1535" s="1141" t="str">
        <f t="shared" si="431"/>
        <v>1578</v>
      </c>
      <c r="B1535" s="1141" t="str">
        <f>IFERROR(VLOOKUP(A1535,'LAC 103'!A:C,3,FALSE),"")</f>
        <v>OP</v>
      </c>
      <c r="C1535" s="1478" t="str">
        <f>Info!$B$8</f>
        <v>00100</v>
      </c>
      <c r="D1535" s="1474" t="s">
        <v>256</v>
      </c>
      <c r="E1535" s="1474" t="s">
        <v>95</v>
      </c>
      <c r="F1535" s="1478" t="s">
        <v>149</v>
      </c>
      <c r="G1535" s="1478" t="s">
        <v>149</v>
      </c>
      <c r="H1535" s="1474" t="s">
        <v>1659</v>
      </c>
      <c r="I1535" s="1478" t="s">
        <v>807</v>
      </c>
      <c r="J1535" s="1478"/>
      <c r="K1535" s="1475" t="s">
        <v>846</v>
      </c>
      <c r="L1535" s="1474" t="s">
        <v>332</v>
      </c>
      <c r="M1535" s="1476" t="s">
        <v>1698</v>
      </c>
      <c r="N1535" s="1477" t="s">
        <v>1693</v>
      </c>
      <c r="O1535" s="1479">
        <v>74</v>
      </c>
      <c r="P1535" s="1479"/>
      <c r="Q1535" s="1142">
        <f t="shared" si="433"/>
        <v>74</v>
      </c>
      <c r="R1535" s="1143">
        <f>IFERROR(VLOOKUP(CONCATENATE($E1535,$G1535),'LAC 103'!$A$12:$O$95,11,FALSE),0)</f>
        <v>4.7723158393158576</v>
      </c>
      <c r="S1535" s="1144">
        <f>IFERROR(VLOOKUP(CONCATENATE($E1535,$G1535),'LAC 103'!$A$12:$O$95,12,FALSE),0)</f>
        <v>5.91</v>
      </c>
      <c r="T1535" s="1144">
        <f>IFERROR(VLOOKUP(CONCATENATE($E1535,$G1535),'LAC 103'!$A$12:$O$95,13,FALSE),0)</f>
        <v>3.69</v>
      </c>
      <c r="U1535" s="1144">
        <f>IFERROR(VLOOKUP(CONCATENATE($E1535,$G1535),'LAC 103'!$A$12:$O$95,14,FALSE),0)</f>
        <v>0</v>
      </c>
      <c r="V1535" s="1144">
        <f>IFERROR(VLOOKUP(CONCATENATE($E1535,$G1535),'LAC 103'!$A$12:$O$95,15,FALSE),0)</f>
        <v>0</v>
      </c>
      <c r="W1535" s="1145" t="str">
        <f>IFERROR(VLOOKUP(CONCATENATE($B1535,$N1535),'LAC 103'!$AI:$AQ,9,FALSE),"")</f>
        <v>Costs</v>
      </c>
      <c r="X1535" s="1146">
        <f t="shared" si="420"/>
        <v>4.7723158393158576</v>
      </c>
      <c r="Y1535" s="1143">
        <f t="shared" si="430"/>
        <v>353.15137210937348</v>
      </c>
      <c r="Z1535" s="1147">
        <f t="shared" si="421"/>
        <v>437.34000000000003</v>
      </c>
      <c r="AA1535" s="1144">
        <f t="shared" si="422"/>
        <v>273.06</v>
      </c>
      <c r="AB1535" s="1144">
        <f t="shared" si="423"/>
        <v>0</v>
      </c>
      <c r="AC1535" s="1144">
        <f t="shared" si="424"/>
        <v>0</v>
      </c>
      <c r="AD1535" s="1148">
        <f t="shared" si="416"/>
        <v>353.15137210937348</v>
      </c>
      <c r="AE1535" s="1487">
        <v>0</v>
      </c>
      <c r="AF1535" s="1145">
        <f t="shared" si="425"/>
        <v>353.15137210937348</v>
      </c>
      <c r="AG1535" s="1149">
        <f>IFERROR(VLOOKUP(CONCATENATE($L1535,$N1535),'Drop List'!$G$23:$K$87,2,FALSE),0)</f>
        <v>0</v>
      </c>
      <c r="AH1535" s="1150">
        <f>IFERROR(VLOOKUP(CONCATENATE($L1535,$N1535),'Drop List'!$G$23:$K$87,3,FALSE),0)</f>
        <v>0</v>
      </c>
      <c r="AI1535" s="1150">
        <f>IFERROR(VLOOKUP(CONCATENATE($L1535,$N1535),'Drop List'!$G$23:$K$87,4,FALSE),0)</f>
        <v>0</v>
      </c>
      <c r="AJ1535" s="1151">
        <f>IFERROR(VLOOKUP(CONCATENATE($L1535,$N1535),'Drop List'!$G$23:$K$87,5,FALSE),0)</f>
        <v>0</v>
      </c>
      <c r="AK1535" s="1152">
        <f t="shared" si="426"/>
        <v>0</v>
      </c>
      <c r="AL1535" s="1153">
        <f t="shared" si="427"/>
        <v>0</v>
      </c>
      <c r="AM1535" s="1153">
        <f t="shared" si="428"/>
        <v>0</v>
      </c>
      <c r="AN1535" s="1145">
        <f t="shared" si="429"/>
        <v>0</v>
      </c>
      <c r="AO1535" s="1154">
        <f t="shared" si="432"/>
        <v>0</v>
      </c>
      <c r="AP1535" s="1147">
        <f t="shared" si="417"/>
        <v>353.15137210937348</v>
      </c>
      <c r="AQ1535" s="1144">
        <f t="shared" si="418"/>
        <v>0</v>
      </c>
      <c r="AR1535" s="1146">
        <f t="shared" si="419"/>
        <v>353.15137210937348</v>
      </c>
    </row>
    <row r="1536" spans="1:44" x14ac:dyDescent="0.2">
      <c r="A1536" s="1141" t="str">
        <f t="shared" si="431"/>
        <v>1578</v>
      </c>
      <c r="B1536" s="1141" t="str">
        <f>IFERROR(VLOOKUP(A1536,'LAC 103'!A:C,3,FALSE),"")</f>
        <v>OP</v>
      </c>
      <c r="C1536" s="1478" t="str">
        <f>Info!$B$8</f>
        <v>00100</v>
      </c>
      <c r="D1536" s="1474" t="s">
        <v>256</v>
      </c>
      <c r="E1536" s="1474" t="s">
        <v>95</v>
      </c>
      <c r="F1536" s="1478" t="s">
        <v>149</v>
      </c>
      <c r="G1536" s="1478" t="s">
        <v>149</v>
      </c>
      <c r="H1536" s="1474" t="s">
        <v>987</v>
      </c>
      <c r="I1536" s="1478" t="s">
        <v>811</v>
      </c>
      <c r="J1536" s="1478" t="s">
        <v>123</v>
      </c>
      <c r="K1536" s="1475" t="s">
        <v>846</v>
      </c>
      <c r="L1536" s="1474" t="s">
        <v>332</v>
      </c>
      <c r="M1536" s="1476" t="s">
        <v>1699</v>
      </c>
      <c r="N1536" s="1477" t="s">
        <v>1694</v>
      </c>
      <c r="O1536" s="1479">
        <v>310</v>
      </c>
      <c r="P1536" s="1479"/>
      <c r="Q1536" s="1142">
        <f t="shared" si="433"/>
        <v>310</v>
      </c>
      <c r="R1536" s="1143">
        <f>IFERROR(VLOOKUP(CONCATENATE($E1536,$G1536),'LAC 103'!$A$12:$O$95,11,FALSE),0)</f>
        <v>4.7723158393158576</v>
      </c>
      <c r="S1536" s="1144">
        <f>IFERROR(VLOOKUP(CONCATENATE($E1536,$G1536),'LAC 103'!$A$12:$O$95,12,FALSE),0)</f>
        <v>5.91</v>
      </c>
      <c r="T1536" s="1144">
        <f>IFERROR(VLOOKUP(CONCATENATE($E1536,$G1536),'LAC 103'!$A$12:$O$95,13,FALSE),0)</f>
        <v>3.69</v>
      </c>
      <c r="U1536" s="1144">
        <f>IFERROR(VLOOKUP(CONCATENATE($E1536,$G1536),'LAC 103'!$A$12:$O$95,14,FALSE),0)</f>
        <v>0</v>
      </c>
      <c r="V1536" s="1144">
        <f>IFERROR(VLOOKUP(CONCATENATE($E1536,$G1536),'LAC 103'!$A$12:$O$95,15,FALSE),0)</f>
        <v>0</v>
      </c>
      <c r="W1536" s="1145" t="str">
        <f>IFERROR(VLOOKUP(CONCATENATE($B1536,$N1536),'LAC 103'!$AI:$AQ,9,FALSE),"")</f>
        <v>Costs</v>
      </c>
      <c r="X1536" s="1146">
        <f t="shared" si="420"/>
        <v>4.7723158393158576</v>
      </c>
      <c r="Y1536" s="1143">
        <f t="shared" si="430"/>
        <v>1479.4179101879158</v>
      </c>
      <c r="Z1536" s="1147">
        <f t="shared" si="421"/>
        <v>1832.1000000000001</v>
      </c>
      <c r="AA1536" s="1144">
        <f t="shared" si="422"/>
        <v>1143.9000000000001</v>
      </c>
      <c r="AB1536" s="1144">
        <f t="shared" si="423"/>
        <v>0</v>
      </c>
      <c r="AC1536" s="1144">
        <f t="shared" si="424"/>
        <v>0</v>
      </c>
      <c r="AD1536" s="1148">
        <f t="shared" si="416"/>
        <v>1479.4179101879158</v>
      </c>
      <c r="AE1536" s="1487">
        <v>0</v>
      </c>
      <c r="AF1536" s="1145">
        <f t="shared" si="425"/>
        <v>1479.4179101879158</v>
      </c>
      <c r="AG1536" s="1149">
        <f>IFERROR(VLOOKUP(CONCATENATE($L1536,$N1536),'Drop List'!$G$23:$K$87,2,FALSE),0)</f>
        <v>0</v>
      </c>
      <c r="AH1536" s="1150">
        <f>IFERROR(VLOOKUP(CONCATENATE($L1536,$N1536),'Drop List'!$G$23:$K$87,3,FALSE),0)</f>
        <v>0</v>
      </c>
      <c r="AI1536" s="1150">
        <f>IFERROR(VLOOKUP(CONCATENATE($L1536,$N1536),'Drop List'!$G$23:$K$87,4,FALSE),0)</f>
        <v>0</v>
      </c>
      <c r="AJ1536" s="1151">
        <f>IFERROR(VLOOKUP(CONCATENATE($L1536,$N1536),'Drop List'!$G$23:$K$87,5,FALSE),0)</f>
        <v>0</v>
      </c>
      <c r="AK1536" s="1152">
        <f t="shared" si="426"/>
        <v>0</v>
      </c>
      <c r="AL1536" s="1153">
        <f t="shared" si="427"/>
        <v>0</v>
      </c>
      <c r="AM1536" s="1153">
        <f t="shared" si="428"/>
        <v>0</v>
      </c>
      <c r="AN1536" s="1145">
        <f t="shared" si="429"/>
        <v>0</v>
      </c>
      <c r="AO1536" s="1154">
        <f t="shared" si="432"/>
        <v>0</v>
      </c>
      <c r="AP1536" s="1147">
        <f t="shared" si="417"/>
        <v>1479.4179101879158</v>
      </c>
      <c r="AQ1536" s="1144">
        <f t="shared" si="418"/>
        <v>0</v>
      </c>
      <c r="AR1536" s="1146">
        <f t="shared" si="419"/>
        <v>1479.4179101879158</v>
      </c>
    </row>
    <row r="1537" spans="1:44" x14ac:dyDescent="0.2">
      <c r="A1537" s="1141" t="str">
        <f t="shared" si="431"/>
        <v>1578</v>
      </c>
      <c r="B1537" s="1141" t="str">
        <f>IFERROR(VLOOKUP(A1537,'LAC 103'!A:C,3,FALSE),"")</f>
        <v>OP</v>
      </c>
      <c r="C1537" s="1478" t="str">
        <f>Info!$B$8</f>
        <v>00100</v>
      </c>
      <c r="D1537" s="1474" t="s">
        <v>256</v>
      </c>
      <c r="E1537" s="1474" t="s">
        <v>95</v>
      </c>
      <c r="F1537" s="1478" t="s">
        <v>149</v>
      </c>
      <c r="G1537" s="1478" t="s">
        <v>149</v>
      </c>
      <c r="H1537" s="1474" t="s">
        <v>987</v>
      </c>
      <c r="I1537" s="1478" t="s">
        <v>811</v>
      </c>
      <c r="J1537" s="1478"/>
      <c r="K1537" s="1475" t="s">
        <v>846</v>
      </c>
      <c r="L1537" s="1474" t="s">
        <v>332</v>
      </c>
      <c r="M1537" s="1476" t="s">
        <v>841</v>
      </c>
      <c r="N1537" s="1477" t="s">
        <v>1695</v>
      </c>
      <c r="O1537" s="1479">
        <v>1008</v>
      </c>
      <c r="P1537" s="1479"/>
      <c r="Q1537" s="1142">
        <f t="shared" si="433"/>
        <v>1008</v>
      </c>
      <c r="R1537" s="1143">
        <f>IFERROR(VLOOKUP(CONCATENATE($E1537,$G1537),'LAC 103'!$A$12:$O$95,11,FALSE),0)</f>
        <v>4.7723158393158576</v>
      </c>
      <c r="S1537" s="1144">
        <f>IFERROR(VLOOKUP(CONCATENATE($E1537,$G1537),'LAC 103'!$A$12:$O$95,12,FALSE),0)</f>
        <v>5.91</v>
      </c>
      <c r="T1537" s="1144">
        <f>IFERROR(VLOOKUP(CONCATENATE($E1537,$G1537),'LAC 103'!$A$12:$O$95,13,FALSE),0)</f>
        <v>3.69</v>
      </c>
      <c r="U1537" s="1144">
        <f>IFERROR(VLOOKUP(CONCATENATE($E1537,$G1537),'LAC 103'!$A$12:$O$95,14,FALSE),0)</f>
        <v>0</v>
      </c>
      <c r="V1537" s="1144">
        <f>IFERROR(VLOOKUP(CONCATENATE($E1537,$G1537),'LAC 103'!$A$12:$O$95,15,FALSE),0)</f>
        <v>0</v>
      </c>
      <c r="W1537" s="1145" t="str">
        <f>IFERROR(VLOOKUP(CONCATENATE($B1537,$N1537),'LAC 103'!$AI:$AQ,9,FALSE),"")</f>
        <v>Costs</v>
      </c>
      <c r="X1537" s="1146">
        <f t="shared" si="420"/>
        <v>4.7723158393158576</v>
      </c>
      <c r="Y1537" s="1143">
        <f t="shared" si="430"/>
        <v>4810.4943660303843</v>
      </c>
      <c r="Z1537" s="1147">
        <f t="shared" si="421"/>
        <v>5957.28</v>
      </c>
      <c r="AA1537" s="1144">
        <f t="shared" si="422"/>
        <v>3719.52</v>
      </c>
      <c r="AB1537" s="1144">
        <f t="shared" si="423"/>
        <v>0</v>
      </c>
      <c r="AC1537" s="1144">
        <f t="shared" si="424"/>
        <v>0</v>
      </c>
      <c r="AD1537" s="1148">
        <f t="shared" si="416"/>
        <v>4810.4943660303843</v>
      </c>
      <c r="AE1537" s="1487">
        <v>0</v>
      </c>
      <c r="AF1537" s="1145">
        <f t="shared" si="425"/>
        <v>4810.4943660303843</v>
      </c>
      <c r="AG1537" s="1149">
        <f>IFERROR(VLOOKUP(CONCATENATE($L1537,$N1537),'Drop List'!$G$23:$K$87,2,FALSE),0)</f>
        <v>0</v>
      </c>
      <c r="AH1537" s="1150">
        <f>IFERROR(VLOOKUP(CONCATENATE($L1537,$N1537),'Drop List'!$G$23:$K$87,3,FALSE),0)</f>
        <v>0</v>
      </c>
      <c r="AI1537" s="1150">
        <f>IFERROR(VLOOKUP(CONCATENATE($L1537,$N1537),'Drop List'!$G$23:$K$87,4,FALSE),0)</f>
        <v>0</v>
      </c>
      <c r="AJ1537" s="1151">
        <f>IFERROR(VLOOKUP(CONCATENATE($L1537,$N1537),'Drop List'!$G$23:$K$87,5,FALSE),0)</f>
        <v>0</v>
      </c>
      <c r="AK1537" s="1152">
        <f t="shared" si="426"/>
        <v>0</v>
      </c>
      <c r="AL1537" s="1153">
        <f t="shared" si="427"/>
        <v>0</v>
      </c>
      <c r="AM1537" s="1153">
        <f t="shared" si="428"/>
        <v>0</v>
      </c>
      <c r="AN1537" s="1145">
        <f t="shared" si="429"/>
        <v>0</v>
      </c>
      <c r="AO1537" s="1154">
        <f t="shared" si="432"/>
        <v>0</v>
      </c>
      <c r="AP1537" s="1147">
        <f t="shared" si="417"/>
        <v>4810.4943660303843</v>
      </c>
      <c r="AQ1537" s="1144">
        <f t="shared" si="418"/>
        <v>0</v>
      </c>
      <c r="AR1537" s="1146">
        <f t="shared" si="419"/>
        <v>4810.4943660303843</v>
      </c>
    </row>
    <row r="1538" spans="1:44" x14ac:dyDescent="0.2">
      <c r="A1538" s="1141" t="str">
        <f t="shared" si="431"/>
        <v>1578</v>
      </c>
      <c r="B1538" s="1141" t="str">
        <f>IFERROR(VLOOKUP(A1538,'LAC 103'!A:C,3,FALSE),"")</f>
        <v>OP</v>
      </c>
      <c r="C1538" s="1478" t="str">
        <f>Info!$B$8</f>
        <v>00100</v>
      </c>
      <c r="D1538" s="1474" t="s">
        <v>256</v>
      </c>
      <c r="E1538" s="1474" t="s">
        <v>95</v>
      </c>
      <c r="F1538" s="1478" t="s">
        <v>149</v>
      </c>
      <c r="G1538" s="1478" t="s">
        <v>149</v>
      </c>
      <c r="H1538" s="1474" t="s">
        <v>987</v>
      </c>
      <c r="I1538" s="1478" t="s">
        <v>811</v>
      </c>
      <c r="J1538" s="1478"/>
      <c r="K1538" s="1475" t="s">
        <v>846</v>
      </c>
      <c r="L1538" s="1474" t="s">
        <v>332</v>
      </c>
      <c r="M1538" s="1476" t="s">
        <v>840</v>
      </c>
      <c r="N1538" s="1477" t="s">
        <v>1700</v>
      </c>
      <c r="O1538" s="1479">
        <v>465</v>
      </c>
      <c r="P1538" s="1479"/>
      <c r="Q1538" s="1142">
        <f t="shared" si="433"/>
        <v>465</v>
      </c>
      <c r="R1538" s="1143">
        <f>IFERROR(VLOOKUP(CONCATENATE($E1538,$G1538),'LAC 103'!$A$12:$O$95,11,FALSE),0)</f>
        <v>4.7723158393158576</v>
      </c>
      <c r="S1538" s="1144">
        <f>IFERROR(VLOOKUP(CONCATENATE($E1538,$G1538),'LAC 103'!$A$12:$O$95,12,FALSE),0)</f>
        <v>5.91</v>
      </c>
      <c r="T1538" s="1144">
        <f>IFERROR(VLOOKUP(CONCATENATE($E1538,$G1538),'LAC 103'!$A$12:$O$95,13,FALSE),0)</f>
        <v>3.69</v>
      </c>
      <c r="U1538" s="1144">
        <f>IFERROR(VLOOKUP(CONCATENATE($E1538,$G1538),'LAC 103'!$A$12:$O$95,14,FALSE),0)</f>
        <v>0</v>
      </c>
      <c r="V1538" s="1144">
        <f>IFERROR(VLOOKUP(CONCATENATE($E1538,$G1538),'LAC 103'!$A$12:$O$95,15,FALSE),0)</f>
        <v>0</v>
      </c>
      <c r="W1538" s="1145" t="str">
        <f>IFERROR(VLOOKUP(CONCATENATE($B1538,$N1538),'LAC 103'!$AI:$AQ,9,FALSE),"")</f>
        <v>P.C.</v>
      </c>
      <c r="X1538" s="1146">
        <f t="shared" si="420"/>
        <v>3.69</v>
      </c>
      <c r="Y1538" s="1143">
        <f t="shared" si="430"/>
        <v>2219.126865281874</v>
      </c>
      <c r="Z1538" s="1147">
        <f t="shared" si="421"/>
        <v>2748.15</v>
      </c>
      <c r="AA1538" s="1144">
        <f t="shared" si="422"/>
        <v>1715.85</v>
      </c>
      <c r="AB1538" s="1144">
        <f t="shared" si="423"/>
        <v>0</v>
      </c>
      <c r="AC1538" s="1144">
        <f t="shared" si="424"/>
        <v>0</v>
      </c>
      <c r="AD1538" s="1148">
        <f t="shared" si="416"/>
        <v>1715.85</v>
      </c>
      <c r="AE1538" s="1487">
        <v>0</v>
      </c>
      <c r="AF1538" s="1145">
        <f t="shared" si="425"/>
        <v>1715.85</v>
      </c>
      <c r="AG1538" s="1149">
        <f>IFERROR(VLOOKUP(CONCATENATE($L1538,$N1538),'Drop List'!$G$23:$K$87,2,FALSE),0)</f>
        <v>0</v>
      </c>
      <c r="AH1538" s="1150">
        <f>IFERROR(VLOOKUP(CONCATENATE($L1538,$N1538),'Drop List'!$G$23:$K$87,3,FALSE),0)</f>
        <v>0</v>
      </c>
      <c r="AI1538" s="1150">
        <f>IFERROR(VLOOKUP(CONCATENATE($L1538,$N1538),'Drop List'!$G$23:$K$87,4,FALSE),0)</f>
        <v>0</v>
      </c>
      <c r="AJ1538" s="1151">
        <f>IFERROR(VLOOKUP(CONCATENATE($L1538,$N1538),'Drop List'!$G$23:$K$87,5,FALSE),0)</f>
        <v>0</v>
      </c>
      <c r="AK1538" s="1152">
        <f t="shared" si="426"/>
        <v>0</v>
      </c>
      <c r="AL1538" s="1153">
        <f t="shared" si="427"/>
        <v>0</v>
      </c>
      <c r="AM1538" s="1153">
        <f t="shared" si="428"/>
        <v>0</v>
      </c>
      <c r="AN1538" s="1145">
        <f t="shared" si="429"/>
        <v>0</v>
      </c>
      <c r="AO1538" s="1154">
        <f t="shared" si="432"/>
        <v>0</v>
      </c>
      <c r="AP1538" s="1147">
        <f t="shared" si="417"/>
        <v>1715.85</v>
      </c>
      <c r="AQ1538" s="1144">
        <f t="shared" si="418"/>
        <v>0</v>
      </c>
      <c r="AR1538" s="1146">
        <f t="shared" si="419"/>
        <v>1715.85</v>
      </c>
    </row>
    <row r="1539" spans="1:44" x14ac:dyDescent="0.2">
      <c r="A1539" s="1141" t="str">
        <f t="shared" si="431"/>
        <v>1578</v>
      </c>
      <c r="B1539" s="1141" t="str">
        <f>IFERROR(VLOOKUP(A1539,'LAC 103'!A:C,3,FALSE),"")</f>
        <v>OP</v>
      </c>
      <c r="C1539" s="1478" t="str">
        <f>Info!$B$8</f>
        <v>00100</v>
      </c>
      <c r="D1539" s="1474" t="s">
        <v>256</v>
      </c>
      <c r="E1539" s="1474" t="s">
        <v>95</v>
      </c>
      <c r="F1539" s="1478" t="s">
        <v>149</v>
      </c>
      <c r="G1539" s="1478" t="s">
        <v>149</v>
      </c>
      <c r="H1539" s="1474" t="s">
        <v>987</v>
      </c>
      <c r="I1539" s="1478" t="s">
        <v>811</v>
      </c>
      <c r="J1539" s="1478"/>
      <c r="K1539" s="1475" t="s">
        <v>846</v>
      </c>
      <c r="L1539" s="1474" t="s">
        <v>332</v>
      </c>
      <c r="M1539" s="1476" t="s">
        <v>842</v>
      </c>
      <c r="N1539" s="1477" t="s">
        <v>1692</v>
      </c>
      <c r="O1539" s="1479">
        <v>366</v>
      </c>
      <c r="P1539" s="1479"/>
      <c r="Q1539" s="1142">
        <f t="shared" si="433"/>
        <v>366</v>
      </c>
      <c r="R1539" s="1143">
        <f>IFERROR(VLOOKUP(CONCATENATE($E1539,$G1539),'LAC 103'!$A$12:$O$95,11,FALSE),0)</f>
        <v>4.7723158393158576</v>
      </c>
      <c r="S1539" s="1144">
        <f>IFERROR(VLOOKUP(CONCATENATE($E1539,$G1539),'LAC 103'!$A$12:$O$95,12,FALSE),0)</f>
        <v>5.91</v>
      </c>
      <c r="T1539" s="1144">
        <f>IFERROR(VLOOKUP(CONCATENATE($E1539,$G1539),'LAC 103'!$A$12:$O$95,13,FALSE),0)</f>
        <v>3.69</v>
      </c>
      <c r="U1539" s="1144">
        <f>IFERROR(VLOOKUP(CONCATENATE($E1539,$G1539),'LAC 103'!$A$12:$O$95,14,FALSE),0)</f>
        <v>0</v>
      </c>
      <c r="V1539" s="1144">
        <f>IFERROR(VLOOKUP(CONCATENATE($E1539,$G1539),'LAC 103'!$A$12:$O$95,15,FALSE),0)</f>
        <v>0</v>
      </c>
      <c r="W1539" s="1145" t="str">
        <f>IFERROR(VLOOKUP(CONCATENATE($B1539,$N1539),'LAC 103'!$AI:$AQ,9,FALSE),"")</f>
        <v>Costs</v>
      </c>
      <c r="X1539" s="1146">
        <f t="shared" si="420"/>
        <v>4.7723158393158576</v>
      </c>
      <c r="Y1539" s="1143">
        <f t="shared" si="430"/>
        <v>1746.6675971896038</v>
      </c>
      <c r="Z1539" s="1147">
        <f t="shared" si="421"/>
        <v>2163.06</v>
      </c>
      <c r="AA1539" s="1144">
        <f t="shared" si="422"/>
        <v>1350.54</v>
      </c>
      <c r="AB1539" s="1144">
        <f t="shared" si="423"/>
        <v>0</v>
      </c>
      <c r="AC1539" s="1144">
        <f t="shared" si="424"/>
        <v>0</v>
      </c>
      <c r="AD1539" s="1148">
        <f t="shared" si="416"/>
        <v>1746.6675971896038</v>
      </c>
      <c r="AE1539" s="1487">
        <v>0</v>
      </c>
      <c r="AF1539" s="1145">
        <f t="shared" si="425"/>
        <v>1746.6675971896038</v>
      </c>
      <c r="AG1539" s="1149">
        <f>IFERROR(VLOOKUP(CONCATENATE($L1539,$N1539),'Drop List'!$G$23:$K$87,2,FALSE),0)</f>
        <v>0</v>
      </c>
      <c r="AH1539" s="1150">
        <f>IFERROR(VLOOKUP(CONCATENATE($L1539,$N1539),'Drop List'!$G$23:$K$87,3,FALSE),0)</f>
        <v>0</v>
      </c>
      <c r="AI1539" s="1150">
        <f>IFERROR(VLOOKUP(CONCATENATE($L1539,$N1539),'Drop List'!$G$23:$K$87,4,FALSE),0)</f>
        <v>0</v>
      </c>
      <c r="AJ1539" s="1151">
        <f>IFERROR(VLOOKUP(CONCATENATE($L1539,$N1539),'Drop List'!$G$23:$K$87,5,FALSE),0)</f>
        <v>0</v>
      </c>
      <c r="AK1539" s="1152">
        <f t="shared" si="426"/>
        <v>0</v>
      </c>
      <c r="AL1539" s="1153">
        <f t="shared" si="427"/>
        <v>0</v>
      </c>
      <c r="AM1539" s="1153">
        <f t="shared" si="428"/>
        <v>0</v>
      </c>
      <c r="AN1539" s="1145">
        <f t="shared" si="429"/>
        <v>0</v>
      </c>
      <c r="AO1539" s="1154">
        <f t="shared" si="432"/>
        <v>0</v>
      </c>
      <c r="AP1539" s="1147">
        <f t="shared" si="417"/>
        <v>1746.6675971896038</v>
      </c>
      <c r="AQ1539" s="1144">
        <f t="shared" si="418"/>
        <v>0</v>
      </c>
      <c r="AR1539" s="1146">
        <f t="shared" si="419"/>
        <v>1746.6675971896038</v>
      </c>
    </row>
    <row r="1540" spans="1:44" x14ac:dyDescent="0.2">
      <c r="A1540" s="1141" t="str">
        <f t="shared" si="431"/>
        <v>1578</v>
      </c>
      <c r="B1540" s="1141" t="str">
        <f>IFERROR(VLOOKUP(A1540,'LAC 103'!A:C,3,FALSE),"")</f>
        <v>OP</v>
      </c>
      <c r="C1540" s="1478" t="str">
        <f>Info!$B$8</f>
        <v>00100</v>
      </c>
      <c r="D1540" s="1474" t="s">
        <v>256</v>
      </c>
      <c r="E1540" s="1474" t="s">
        <v>95</v>
      </c>
      <c r="F1540" s="1478" t="s">
        <v>149</v>
      </c>
      <c r="G1540" s="1478" t="s">
        <v>149</v>
      </c>
      <c r="H1540" s="1474" t="s">
        <v>987</v>
      </c>
      <c r="I1540" s="1478" t="s">
        <v>811</v>
      </c>
      <c r="J1540" s="1478"/>
      <c r="K1540" s="1475" t="s">
        <v>846</v>
      </c>
      <c r="L1540" s="1474" t="s">
        <v>332</v>
      </c>
      <c r="M1540" s="1476" t="s">
        <v>1698</v>
      </c>
      <c r="N1540" s="1477" t="s">
        <v>1693</v>
      </c>
      <c r="O1540" s="1479">
        <v>560</v>
      </c>
      <c r="P1540" s="1479"/>
      <c r="Q1540" s="1142">
        <f t="shared" si="433"/>
        <v>560</v>
      </c>
      <c r="R1540" s="1143">
        <f>IFERROR(VLOOKUP(CONCATENATE($E1540,$G1540),'LAC 103'!$A$12:$O$95,11,FALSE),0)</f>
        <v>4.7723158393158576</v>
      </c>
      <c r="S1540" s="1144">
        <f>IFERROR(VLOOKUP(CONCATENATE($E1540,$G1540),'LAC 103'!$A$12:$O$95,12,FALSE),0)</f>
        <v>5.91</v>
      </c>
      <c r="T1540" s="1144">
        <f>IFERROR(VLOOKUP(CONCATENATE($E1540,$G1540),'LAC 103'!$A$12:$O$95,13,FALSE),0)</f>
        <v>3.69</v>
      </c>
      <c r="U1540" s="1144">
        <f>IFERROR(VLOOKUP(CONCATENATE($E1540,$G1540),'LAC 103'!$A$12:$O$95,14,FALSE),0)</f>
        <v>0</v>
      </c>
      <c r="V1540" s="1144">
        <f>IFERROR(VLOOKUP(CONCATENATE($E1540,$G1540),'LAC 103'!$A$12:$O$95,15,FALSE),0)</f>
        <v>0</v>
      </c>
      <c r="W1540" s="1145" t="str">
        <f>IFERROR(VLOOKUP(CONCATENATE($B1540,$N1540),'LAC 103'!$AI:$AQ,9,FALSE),"")</f>
        <v>Costs</v>
      </c>
      <c r="X1540" s="1146">
        <f t="shared" si="420"/>
        <v>4.7723158393158576</v>
      </c>
      <c r="Y1540" s="1143">
        <f t="shared" si="430"/>
        <v>2672.4968700168802</v>
      </c>
      <c r="Z1540" s="1147">
        <f t="shared" si="421"/>
        <v>3309.6</v>
      </c>
      <c r="AA1540" s="1144">
        <f t="shared" si="422"/>
        <v>2066.4</v>
      </c>
      <c r="AB1540" s="1144">
        <f t="shared" si="423"/>
        <v>0</v>
      </c>
      <c r="AC1540" s="1144">
        <f t="shared" si="424"/>
        <v>0</v>
      </c>
      <c r="AD1540" s="1148">
        <f t="shared" si="416"/>
        <v>2672.4968700168802</v>
      </c>
      <c r="AE1540" s="1487">
        <v>0</v>
      </c>
      <c r="AF1540" s="1145">
        <f t="shared" si="425"/>
        <v>2672.4968700168802</v>
      </c>
      <c r="AG1540" s="1149">
        <f>IFERROR(VLOOKUP(CONCATENATE($L1540,$N1540),'Drop List'!$G$23:$K$87,2,FALSE),0)</f>
        <v>0</v>
      </c>
      <c r="AH1540" s="1150">
        <f>IFERROR(VLOOKUP(CONCATENATE($L1540,$N1540),'Drop List'!$G$23:$K$87,3,FALSE),0)</f>
        <v>0</v>
      </c>
      <c r="AI1540" s="1150">
        <f>IFERROR(VLOOKUP(CONCATENATE($L1540,$N1540),'Drop List'!$G$23:$K$87,4,FALSE),0)</f>
        <v>0</v>
      </c>
      <c r="AJ1540" s="1151">
        <f>IFERROR(VLOOKUP(CONCATENATE($L1540,$N1540),'Drop List'!$G$23:$K$87,5,FALSE),0)</f>
        <v>0</v>
      </c>
      <c r="AK1540" s="1152">
        <f t="shared" si="426"/>
        <v>0</v>
      </c>
      <c r="AL1540" s="1153">
        <f t="shared" si="427"/>
        <v>0</v>
      </c>
      <c r="AM1540" s="1153">
        <f t="shared" si="428"/>
        <v>0</v>
      </c>
      <c r="AN1540" s="1145">
        <f t="shared" si="429"/>
        <v>0</v>
      </c>
      <c r="AO1540" s="1154">
        <f t="shared" si="432"/>
        <v>0</v>
      </c>
      <c r="AP1540" s="1147">
        <f t="shared" si="417"/>
        <v>2672.4968700168802</v>
      </c>
      <c r="AQ1540" s="1144">
        <f t="shared" si="418"/>
        <v>0</v>
      </c>
      <c r="AR1540" s="1146">
        <f t="shared" si="419"/>
        <v>2672.4968700168802</v>
      </c>
    </row>
    <row r="1541" spans="1:44" x14ac:dyDescent="0.2">
      <c r="A1541" s="1141" t="str">
        <f t="shared" si="431"/>
        <v>1578</v>
      </c>
      <c r="B1541" s="1141" t="str">
        <f>IFERROR(VLOOKUP(A1541,'LAC 103'!A:C,3,FALSE),"")</f>
        <v>OP</v>
      </c>
      <c r="C1541" s="1478" t="str">
        <f>Info!$B$8</f>
        <v>00100</v>
      </c>
      <c r="D1541" s="1474" t="s">
        <v>256</v>
      </c>
      <c r="E1541" s="1474" t="s">
        <v>95</v>
      </c>
      <c r="F1541" s="1478" t="s">
        <v>149</v>
      </c>
      <c r="G1541" s="1478" t="s">
        <v>149</v>
      </c>
      <c r="H1541" s="1474" t="s">
        <v>1090</v>
      </c>
      <c r="I1541" s="1478" t="s">
        <v>815</v>
      </c>
      <c r="J1541" s="1478" t="s">
        <v>123</v>
      </c>
      <c r="K1541" s="1475" t="s">
        <v>846</v>
      </c>
      <c r="L1541" s="1474" t="s">
        <v>332</v>
      </c>
      <c r="M1541" s="1476" t="s">
        <v>1699</v>
      </c>
      <c r="N1541" s="1477" t="s">
        <v>1694</v>
      </c>
      <c r="O1541" s="1479">
        <v>486</v>
      </c>
      <c r="P1541" s="1479"/>
      <c r="Q1541" s="1142">
        <f t="shared" si="433"/>
        <v>486</v>
      </c>
      <c r="R1541" s="1143">
        <f>IFERROR(VLOOKUP(CONCATENATE($E1541,$G1541),'LAC 103'!$A$12:$O$95,11,FALSE),0)</f>
        <v>4.7723158393158576</v>
      </c>
      <c r="S1541" s="1144">
        <f>IFERROR(VLOOKUP(CONCATENATE($E1541,$G1541),'LAC 103'!$A$12:$O$95,12,FALSE),0)</f>
        <v>5.91</v>
      </c>
      <c r="T1541" s="1144">
        <f>IFERROR(VLOOKUP(CONCATENATE($E1541,$G1541),'LAC 103'!$A$12:$O$95,13,FALSE),0)</f>
        <v>3.69</v>
      </c>
      <c r="U1541" s="1144">
        <f>IFERROR(VLOOKUP(CONCATENATE($E1541,$G1541),'LAC 103'!$A$12:$O$95,14,FALSE),0)</f>
        <v>0</v>
      </c>
      <c r="V1541" s="1144">
        <f>IFERROR(VLOOKUP(CONCATENATE($E1541,$G1541),'LAC 103'!$A$12:$O$95,15,FALSE),0)</f>
        <v>0</v>
      </c>
      <c r="W1541" s="1145" t="str">
        <f>IFERROR(VLOOKUP(CONCATENATE($B1541,$N1541),'LAC 103'!$AI:$AQ,9,FALSE),"")</f>
        <v>Costs</v>
      </c>
      <c r="X1541" s="1146">
        <f t="shared" si="420"/>
        <v>4.7723158393158576</v>
      </c>
      <c r="Y1541" s="1143">
        <f t="shared" si="430"/>
        <v>2319.3454979075068</v>
      </c>
      <c r="Z1541" s="1147">
        <f t="shared" si="421"/>
        <v>2872.26</v>
      </c>
      <c r="AA1541" s="1144">
        <f t="shared" si="422"/>
        <v>1793.34</v>
      </c>
      <c r="AB1541" s="1144">
        <f t="shared" si="423"/>
        <v>0</v>
      </c>
      <c r="AC1541" s="1144">
        <f t="shared" si="424"/>
        <v>0</v>
      </c>
      <c r="AD1541" s="1148">
        <f t="shared" si="416"/>
        <v>2319.3454979075068</v>
      </c>
      <c r="AE1541" s="1487">
        <v>0</v>
      </c>
      <c r="AF1541" s="1145">
        <f t="shared" si="425"/>
        <v>2319.3454979075068</v>
      </c>
      <c r="AG1541" s="1149">
        <f>IFERROR(VLOOKUP(CONCATENATE($L1541,$N1541),'Drop List'!$G$23:$K$87,2,FALSE),0)</f>
        <v>0</v>
      </c>
      <c r="AH1541" s="1150">
        <f>IFERROR(VLOOKUP(CONCATENATE($L1541,$N1541),'Drop List'!$G$23:$K$87,3,FALSE),0)</f>
        <v>0</v>
      </c>
      <c r="AI1541" s="1150">
        <f>IFERROR(VLOOKUP(CONCATENATE($L1541,$N1541),'Drop List'!$G$23:$K$87,4,FALSE),0)</f>
        <v>0</v>
      </c>
      <c r="AJ1541" s="1151">
        <f>IFERROR(VLOOKUP(CONCATENATE($L1541,$N1541),'Drop List'!$G$23:$K$87,5,FALSE),0)</f>
        <v>0</v>
      </c>
      <c r="AK1541" s="1152">
        <f t="shared" si="426"/>
        <v>0</v>
      </c>
      <c r="AL1541" s="1153">
        <f t="shared" si="427"/>
        <v>0</v>
      </c>
      <c r="AM1541" s="1153">
        <f t="shared" si="428"/>
        <v>0</v>
      </c>
      <c r="AN1541" s="1145">
        <f t="shared" si="429"/>
        <v>0</v>
      </c>
      <c r="AO1541" s="1154">
        <f t="shared" si="432"/>
        <v>0</v>
      </c>
      <c r="AP1541" s="1147">
        <f t="shared" si="417"/>
        <v>2319.3454979075068</v>
      </c>
      <c r="AQ1541" s="1144">
        <f t="shared" si="418"/>
        <v>0</v>
      </c>
      <c r="AR1541" s="1146">
        <f t="shared" si="419"/>
        <v>2319.3454979075068</v>
      </c>
    </row>
    <row r="1542" spans="1:44" x14ac:dyDescent="0.2">
      <c r="A1542" s="1141" t="str">
        <f t="shared" si="431"/>
        <v>1578</v>
      </c>
      <c r="B1542" s="1141" t="str">
        <f>IFERROR(VLOOKUP(A1542,'LAC 103'!A:C,3,FALSE),"")</f>
        <v>OP</v>
      </c>
      <c r="C1542" s="1478" t="str">
        <f>Info!$B$8</f>
        <v>00100</v>
      </c>
      <c r="D1542" s="1474" t="s">
        <v>256</v>
      </c>
      <c r="E1542" s="1474" t="s">
        <v>95</v>
      </c>
      <c r="F1542" s="1478" t="s">
        <v>149</v>
      </c>
      <c r="G1542" s="1478" t="s">
        <v>149</v>
      </c>
      <c r="H1542" s="1474" t="s">
        <v>1090</v>
      </c>
      <c r="I1542" s="1478" t="s">
        <v>815</v>
      </c>
      <c r="J1542" s="1478"/>
      <c r="K1542" s="1475" t="s">
        <v>846</v>
      </c>
      <c r="L1542" s="1474" t="s">
        <v>332</v>
      </c>
      <c r="M1542" s="1476" t="s">
        <v>842</v>
      </c>
      <c r="N1542" s="1477" t="s">
        <v>1692</v>
      </c>
      <c r="O1542" s="1479">
        <v>169</v>
      </c>
      <c r="P1542" s="1479"/>
      <c r="Q1542" s="1142">
        <f t="shared" si="433"/>
        <v>169</v>
      </c>
      <c r="R1542" s="1143">
        <f>IFERROR(VLOOKUP(CONCATENATE($E1542,$G1542),'LAC 103'!$A$12:$O$95,11,FALSE),0)</f>
        <v>4.7723158393158576</v>
      </c>
      <c r="S1542" s="1144">
        <f>IFERROR(VLOOKUP(CONCATENATE($E1542,$G1542),'LAC 103'!$A$12:$O$95,12,FALSE),0)</f>
        <v>5.91</v>
      </c>
      <c r="T1542" s="1144">
        <f>IFERROR(VLOOKUP(CONCATENATE($E1542,$G1542),'LAC 103'!$A$12:$O$95,13,FALSE),0)</f>
        <v>3.69</v>
      </c>
      <c r="U1542" s="1144">
        <f>IFERROR(VLOOKUP(CONCATENATE($E1542,$G1542),'LAC 103'!$A$12:$O$95,14,FALSE),0)</f>
        <v>0</v>
      </c>
      <c r="V1542" s="1144">
        <f>IFERROR(VLOOKUP(CONCATENATE($E1542,$G1542),'LAC 103'!$A$12:$O$95,15,FALSE),0)</f>
        <v>0</v>
      </c>
      <c r="W1542" s="1145" t="str">
        <f>IFERROR(VLOOKUP(CONCATENATE($B1542,$N1542),'LAC 103'!$AI:$AQ,9,FALSE),"")</f>
        <v>Costs</v>
      </c>
      <c r="X1542" s="1146">
        <f t="shared" si="420"/>
        <v>4.7723158393158576</v>
      </c>
      <c r="Y1542" s="1143">
        <f t="shared" si="430"/>
        <v>806.52137684437992</v>
      </c>
      <c r="Z1542" s="1147">
        <f t="shared" si="421"/>
        <v>998.79000000000008</v>
      </c>
      <c r="AA1542" s="1144">
        <f t="shared" si="422"/>
        <v>623.61</v>
      </c>
      <c r="AB1542" s="1144">
        <f t="shared" si="423"/>
        <v>0</v>
      </c>
      <c r="AC1542" s="1144">
        <f t="shared" si="424"/>
        <v>0</v>
      </c>
      <c r="AD1542" s="1148">
        <f t="shared" si="416"/>
        <v>806.52137684437992</v>
      </c>
      <c r="AE1542" s="1487">
        <v>0</v>
      </c>
      <c r="AF1542" s="1145">
        <f t="shared" si="425"/>
        <v>806.52137684437992</v>
      </c>
      <c r="AG1542" s="1149">
        <f>IFERROR(VLOOKUP(CONCATENATE($L1542,$N1542),'Drop List'!$G$23:$K$87,2,FALSE),0)</f>
        <v>0</v>
      </c>
      <c r="AH1542" s="1150">
        <f>IFERROR(VLOOKUP(CONCATENATE($L1542,$N1542),'Drop List'!$G$23:$K$87,3,FALSE),0)</f>
        <v>0</v>
      </c>
      <c r="AI1542" s="1150">
        <f>IFERROR(VLOOKUP(CONCATENATE($L1542,$N1542),'Drop List'!$G$23:$K$87,4,FALSE),0)</f>
        <v>0</v>
      </c>
      <c r="AJ1542" s="1151">
        <f>IFERROR(VLOOKUP(CONCATENATE($L1542,$N1542),'Drop List'!$G$23:$K$87,5,FALSE),0)</f>
        <v>0</v>
      </c>
      <c r="AK1542" s="1152">
        <f t="shared" si="426"/>
        <v>0</v>
      </c>
      <c r="AL1542" s="1153">
        <f t="shared" si="427"/>
        <v>0</v>
      </c>
      <c r="AM1542" s="1153">
        <f t="shared" si="428"/>
        <v>0</v>
      </c>
      <c r="AN1542" s="1145">
        <f t="shared" si="429"/>
        <v>0</v>
      </c>
      <c r="AO1542" s="1154">
        <f t="shared" si="432"/>
        <v>0</v>
      </c>
      <c r="AP1542" s="1147">
        <f t="shared" si="417"/>
        <v>806.52137684437992</v>
      </c>
      <c r="AQ1542" s="1144">
        <f t="shared" si="418"/>
        <v>0</v>
      </c>
      <c r="AR1542" s="1146">
        <f t="shared" si="419"/>
        <v>806.52137684437992</v>
      </c>
    </row>
    <row r="1543" spans="1:44" x14ac:dyDescent="0.2">
      <c r="A1543" s="1141" t="str">
        <f t="shared" si="431"/>
        <v>1578</v>
      </c>
      <c r="B1543" s="1141" t="str">
        <f>IFERROR(VLOOKUP(A1543,'LAC 103'!A:C,3,FALSE),"")</f>
        <v>OP</v>
      </c>
      <c r="C1543" s="1478" t="str">
        <f>Info!$B$8</f>
        <v>00100</v>
      </c>
      <c r="D1543" s="1474" t="s">
        <v>256</v>
      </c>
      <c r="E1543" s="1474" t="s">
        <v>95</v>
      </c>
      <c r="F1543" s="1478" t="s">
        <v>149</v>
      </c>
      <c r="G1543" s="1478" t="s">
        <v>149</v>
      </c>
      <c r="H1543" s="1474" t="s">
        <v>989</v>
      </c>
      <c r="I1543" s="1478" t="s">
        <v>823</v>
      </c>
      <c r="J1543" s="1478" t="s">
        <v>2000</v>
      </c>
      <c r="K1543" s="1475" t="s">
        <v>846</v>
      </c>
      <c r="L1543" s="1474" t="s">
        <v>332</v>
      </c>
      <c r="M1543" s="1476" t="s">
        <v>1698</v>
      </c>
      <c r="N1543" s="1477" t="s">
        <v>1693</v>
      </c>
      <c r="O1543" s="1479">
        <v>220</v>
      </c>
      <c r="P1543" s="1479"/>
      <c r="Q1543" s="1142">
        <f t="shared" si="433"/>
        <v>220</v>
      </c>
      <c r="R1543" s="1143">
        <f>IFERROR(VLOOKUP(CONCATENATE($E1543,$G1543),'LAC 103'!$A$12:$O$95,11,FALSE),0)</f>
        <v>4.7723158393158576</v>
      </c>
      <c r="S1543" s="1144">
        <f>IFERROR(VLOOKUP(CONCATENATE($E1543,$G1543),'LAC 103'!$A$12:$O$95,12,FALSE),0)</f>
        <v>5.91</v>
      </c>
      <c r="T1543" s="1144">
        <f>IFERROR(VLOOKUP(CONCATENATE($E1543,$G1543),'LAC 103'!$A$12:$O$95,13,FALSE),0)</f>
        <v>3.69</v>
      </c>
      <c r="U1543" s="1144">
        <f>IFERROR(VLOOKUP(CONCATENATE($E1543,$G1543),'LAC 103'!$A$12:$O$95,14,FALSE),0)</f>
        <v>0</v>
      </c>
      <c r="V1543" s="1144">
        <f>IFERROR(VLOOKUP(CONCATENATE($E1543,$G1543),'LAC 103'!$A$12:$O$95,15,FALSE),0)</f>
        <v>0</v>
      </c>
      <c r="W1543" s="1145" t="str">
        <f>IFERROR(VLOOKUP(CONCATENATE($B1543,$N1543),'LAC 103'!$AI:$AQ,9,FALSE),"")</f>
        <v>Costs</v>
      </c>
      <c r="X1543" s="1146">
        <f t="shared" si="420"/>
        <v>4.7723158393158576</v>
      </c>
      <c r="Y1543" s="1143">
        <f t="shared" si="430"/>
        <v>1049.9094846494886</v>
      </c>
      <c r="Z1543" s="1147">
        <f t="shared" si="421"/>
        <v>1300.2</v>
      </c>
      <c r="AA1543" s="1144">
        <f t="shared" si="422"/>
        <v>811.8</v>
      </c>
      <c r="AB1543" s="1144">
        <f t="shared" si="423"/>
        <v>0</v>
      </c>
      <c r="AC1543" s="1144">
        <f t="shared" si="424"/>
        <v>0</v>
      </c>
      <c r="AD1543" s="1148">
        <f t="shared" ref="AD1543:AD1606" si="434">Q1543*X1543</f>
        <v>1049.9094846494886</v>
      </c>
      <c r="AE1543" s="1487">
        <v>0</v>
      </c>
      <c r="AF1543" s="1145">
        <f t="shared" si="425"/>
        <v>1049.9094846494886</v>
      </c>
      <c r="AG1543" s="1149">
        <f>IFERROR(VLOOKUP(CONCATENATE($L1543,$N1543),'Drop List'!$G$23:$K$87,2,FALSE),0)</f>
        <v>0</v>
      </c>
      <c r="AH1543" s="1150">
        <f>IFERROR(VLOOKUP(CONCATENATE($L1543,$N1543),'Drop List'!$G$23:$K$87,3,FALSE),0)</f>
        <v>0</v>
      </c>
      <c r="AI1543" s="1150">
        <f>IFERROR(VLOOKUP(CONCATENATE($L1543,$N1543),'Drop List'!$G$23:$K$87,4,FALSE),0)</f>
        <v>0</v>
      </c>
      <c r="AJ1543" s="1151">
        <f>IFERROR(VLOOKUP(CONCATENATE($L1543,$N1543),'Drop List'!$G$23:$K$87,5,FALSE),0)</f>
        <v>0</v>
      </c>
      <c r="AK1543" s="1152">
        <f t="shared" si="426"/>
        <v>0</v>
      </c>
      <c r="AL1543" s="1153">
        <f t="shared" si="427"/>
        <v>0</v>
      </c>
      <c r="AM1543" s="1153">
        <f t="shared" si="428"/>
        <v>0</v>
      </c>
      <c r="AN1543" s="1145">
        <f t="shared" si="429"/>
        <v>0</v>
      </c>
      <c r="AO1543" s="1154">
        <f t="shared" si="432"/>
        <v>0</v>
      </c>
      <c r="AP1543" s="1147">
        <f t="shared" ref="AP1543:AP1606" si="435">IF($L1543="14",$AF1543,0)</f>
        <v>1049.9094846494886</v>
      </c>
      <c r="AQ1543" s="1144">
        <f t="shared" ref="AQ1543:AQ1606" si="436">IF($L1543="15",$AF1543,0)</f>
        <v>0</v>
      </c>
      <c r="AR1543" s="1146">
        <f t="shared" ref="AR1543:AR1606" si="437">AO1543+AP1543+AQ1543</f>
        <v>1049.9094846494886</v>
      </c>
    </row>
    <row r="1544" spans="1:44" x14ac:dyDescent="0.2">
      <c r="A1544" s="1141" t="str">
        <f t="shared" si="431"/>
        <v>1578</v>
      </c>
      <c r="B1544" s="1141" t="str">
        <f>IFERROR(VLOOKUP(A1544,'LAC 103'!A:C,3,FALSE),"")</f>
        <v>OP</v>
      </c>
      <c r="C1544" s="1478" t="str">
        <f>Info!$B$8</f>
        <v>00100</v>
      </c>
      <c r="D1544" s="1474" t="s">
        <v>256</v>
      </c>
      <c r="E1544" s="1474" t="s">
        <v>95</v>
      </c>
      <c r="F1544" s="1478" t="s">
        <v>149</v>
      </c>
      <c r="G1544" s="1478" t="s">
        <v>149</v>
      </c>
      <c r="H1544" s="1474" t="s">
        <v>1666</v>
      </c>
      <c r="I1544" s="1478" t="s">
        <v>803</v>
      </c>
      <c r="J1544" s="1478" t="s">
        <v>123</v>
      </c>
      <c r="K1544" s="1475" t="s">
        <v>846</v>
      </c>
      <c r="L1544" s="1474" t="s">
        <v>332</v>
      </c>
      <c r="M1544" s="1476" t="s">
        <v>842</v>
      </c>
      <c r="N1544" s="1477" t="s">
        <v>1692</v>
      </c>
      <c r="O1544" s="1479">
        <v>142</v>
      </c>
      <c r="P1544" s="1479"/>
      <c r="Q1544" s="1142">
        <f t="shared" si="433"/>
        <v>142</v>
      </c>
      <c r="R1544" s="1143">
        <f>IFERROR(VLOOKUP(CONCATENATE($E1544,$G1544),'LAC 103'!$A$12:$O$95,11,FALSE),0)</f>
        <v>4.7723158393158576</v>
      </c>
      <c r="S1544" s="1144">
        <f>IFERROR(VLOOKUP(CONCATENATE($E1544,$G1544),'LAC 103'!$A$12:$O$95,12,FALSE),0)</f>
        <v>5.91</v>
      </c>
      <c r="T1544" s="1144">
        <f>IFERROR(VLOOKUP(CONCATENATE($E1544,$G1544),'LAC 103'!$A$12:$O$95,13,FALSE),0)</f>
        <v>3.69</v>
      </c>
      <c r="U1544" s="1144">
        <f>IFERROR(VLOOKUP(CONCATENATE($E1544,$G1544),'LAC 103'!$A$12:$O$95,14,FALSE),0)</f>
        <v>0</v>
      </c>
      <c r="V1544" s="1144">
        <f>IFERROR(VLOOKUP(CONCATENATE($E1544,$G1544),'LAC 103'!$A$12:$O$95,15,FALSE),0)</f>
        <v>0</v>
      </c>
      <c r="W1544" s="1145" t="str">
        <f>IFERROR(VLOOKUP(CONCATENATE($B1544,$N1544),'LAC 103'!$AI:$AQ,9,FALSE),"")</f>
        <v>Costs</v>
      </c>
      <c r="X1544" s="1146">
        <f t="shared" ref="X1544:X1607" si="438">IF($W1544="Costs",$R1544,IF($W1544="CMA",$S1544,IF($W1544="P.C.",$T1544,IF($W1544="SMA",$U1544,$V1544))))</f>
        <v>4.7723158393158576</v>
      </c>
      <c r="Y1544" s="1143">
        <f t="shared" si="430"/>
        <v>677.66884918285177</v>
      </c>
      <c r="Z1544" s="1147">
        <f t="shared" ref="Z1544:Z1607" si="439">IF(S1544=0,Y1544,$Q1544*S1544)</f>
        <v>839.22</v>
      </c>
      <c r="AA1544" s="1144">
        <f t="shared" ref="AA1544:AA1607" si="440">IF(T1544=0,Y1544,$Q1544*T1544)</f>
        <v>523.98</v>
      </c>
      <c r="AB1544" s="1144">
        <f t="shared" ref="AB1544:AB1607" si="441">$Q1544*U1544</f>
        <v>0</v>
      </c>
      <c r="AC1544" s="1144">
        <f t="shared" ref="AC1544:AC1607" si="442">$Q1544*V1544</f>
        <v>0</v>
      </c>
      <c r="AD1544" s="1148">
        <f t="shared" si="434"/>
        <v>677.66884918285177</v>
      </c>
      <c r="AE1544" s="1487">
        <v>0</v>
      </c>
      <c r="AF1544" s="1145">
        <f t="shared" ref="AF1544:AF1607" si="443">AD1544-AE1544</f>
        <v>677.66884918285177</v>
      </c>
      <c r="AG1544" s="1149">
        <f>IFERROR(VLOOKUP(CONCATENATE($L1544,$N1544),'Drop List'!$G$23:$K$87,2,FALSE),0)</f>
        <v>0</v>
      </c>
      <c r="AH1544" s="1150">
        <f>IFERROR(VLOOKUP(CONCATENATE($L1544,$N1544),'Drop List'!$G$23:$K$87,3,FALSE),0)</f>
        <v>0</v>
      </c>
      <c r="AI1544" s="1150">
        <f>IFERROR(VLOOKUP(CONCATENATE($L1544,$N1544),'Drop List'!$G$23:$K$87,4,FALSE),0)</f>
        <v>0</v>
      </c>
      <c r="AJ1544" s="1151">
        <f>IFERROR(VLOOKUP(CONCATENATE($L1544,$N1544),'Drop List'!$G$23:$K$87,5,FALSE),0)</f>
        <v>0</v>
      </c>
      <c r="AK1544" s="1152">
        <f t="shared" ref="AK1544:AK1607" si="444">IFERROR($AF1544*AG1544,0)</f>
        <v>0</v>
      </c>
      <c r="AL1544" s="1153">
        <f t="shared" ref="AL1544:AL1607" si="445">IFERROR($AF1544*AH1544,0)</f>
        <v>0</v>
      </c>
      <c r="AM1544" s="1153">
        <f t="shared" ref="AM1544:AM1607" si="446">IFERROR($AF1544*AI1544,0)</f>
        <v>0</v>
      </c>
      <c r="AN1544" s="1145">
        <f t="shared" ref="AN1544:AN1607" si="447">IFERROR($AF1544*AJ1544,0)</f>
        <v>0</v>
      </c>
      <c r="AO1544" s="1154">
        <f t="shared" si="432"/>
        <v>0</v>
      </c>
      <c r="AP1544" s="1147">
        <f t="shared" si="435"/>
        <v>677.66884918285177</v>
      </c>
      <c r="AQ1544" s="1144">
        <f t="shared" si="436"/>
        <v>0</v>
      </c>
      <c r="AR1544" s="1146">
        <f t="shared" si="437"/>
        <v>677.66884918285177</v>
      </c>
    </row>
    <row r="1545" spans="1:44" x14ac:dyDescent="0.2">
      <c r="A1545" s="1141" t="str">
        <f t="shared" si="431"/>
        <v>4510</v>
      </c>
      <c r="B1545" s="1141" t="str">
        <f>IFERROR(VLOOKUP(A1545,'LAC 103'!A:C,3,FALSE),"")</f>
        <v>COS</v>
      </c>
      <c r="C1545" s="1478" t="str">
        <f>Info!$B$8</f>
        <v>00100</v>
      </c>
      <c r="D1545" s="1474" t="s">
        <v>256</v>
      </c>
      <c r="E1545" s="1474" t="s">
        <v>104</v>
      </c>
      <c r="F1545" s="1478" t="s">
        <v>77</v>
      </c>
      <c r="G1545" s="1478" t="s">
        <v>77</v>
      </c>
      <c r="H1545" s="1474" t="s">
        <v>996</v>
      </c>
      <c r="I1545" s="1478" t="s">
        <v>912</v>
      </c>
      <c r="J1545" s="1478" t="s">
        <v>123</v>
      </c>
      <c r="K1545" s="1475" t="s">
        <v>846</v>
      </c>
      <c r="L1545" s="1474" t="s">
        <v>332</v>
      </c>
      <c r="M1545" s="1476" t="s">
        <v>1699</v>
      </c>
      <c r="N1545" s="1477" t="s">
        <v>1694</v>
      </c>
      <c r="O1545" s="1479">
        <v>17.18333333333333</v>
      </c>
      <c r="P1545" s="1479"/>
      <c r="Q1545" s="1142">
        <f t="shared" si="433"/>
        <v>17.18333333333333</v>
      </c>
      <c r="R1545" s="1143">
        <f>IFERROR(VLOOKUP(CONCATENATE($E1545,$G1545),'LAC 103'!$A$12:$O$95,11,FALSE),0)</f>
        <v>62.693351301149079</v>
      </c>
      <c r="S1545" s="1144">
        <f>IFERROR(VLOOKUP(CONCATENATE($E1545,$G1545),'LAC 103'!$A$12:$O$95,12,FALSE),0)</f>
        <v>0</v>
      </c>
      <c r="T1545" s="1144">
        <f>IFERROR(VLOOKUP(CONCATENATE($E1545,$G1545),'LAC 103'!$A$12:$O$95,13,FALSE),0)</f>
        <v>0</v>
      </c>
      <c r="U1545" s="1144">
        <f>IFERROR(VLOOKUP(CONCATENATE($E1545,$G1545),'LAC 103'!$A$12:$O$95,14,FALSE),0)</f>
        <v>0</v>
      </c>
      <c r="V1545" s="1144">
        <f>IFERROR(VLOOKUP(CONCATENATE($E1545,$G1545),'LAC 103'!$A$12:$O$95,15,FALSE),0)</f>
        <v>0</v>
      </c>
      <c r="W1545" s="1145" t="str">
        <f>IFERROR(VLOOKUP(CONCATENATE($B1545,$N1545),'LAC 103'!$AI:$AQ,9,FALSE),"")</f>
        <v>Costs</v>
      </c>
      <c r="X1545" s="1146">
        <f t="shared" si="438"/>
        <v>62.693351301149079</v>
      </c>
      <c r="Y1545" s="1143">
        <f t="shared" si="430"/>
        <v>1077.2807531914116</v>
      </c>
      <c r="Z1545" s="1147">
        <f t="shared" si="439"/>
        <v>1077.2807531914116</v>
      </c>
      <c r="AA1545" s="1144">
        <f t="shared" si="440"/>
        <v>1077.2807531914116</v>
      </c>
      <c r="AB1545" s="1144">
        <f t="shared" si="441"/>
        <v>0</v>
      </c>
      <c r="AC1545" s="1144">
        <f t="shared" si="442"/>
        <v>0</v>
      </c>
      <c r="AD1545" s="1148">
        <f t="shared" si="434"/>
        <v>1077.2807531914116</v>
      </c>
      <c r="AE1545" s="1487">
        <v>0</v>
      </c>
      <c r="AF1545" s="1145">
        <f t="shared" si="443"/>
        <v>1077.2807531914116</v>
      </c>
      <c r="AG1545" s="1149">
        <f>IFERROR(VLOOKUP(CONCATENATE($L1545,$N1545),'Drop List'!$G$23:$K$87,2,FALSE),0)</f>
        <v>0</v>
      </c>
      <c r="AH1545" s="1150">
        <f>IFERROR(VLOOKUP(CONCATENATE($L1545,$N1545),'Drop List'!$G$23:$K$87,3,FALSE),0)</f>
        <v>0</v>
      </c>
      <c r="AI1545" s="1150">
        <f>IFERROR(VLOOKUP(CONCATENATE($L1545,$N1545),'Drop List'!$G$23:$K$87,4,FALSE),0)</f>
        <v>0</v>
      </c>
      <c r="AJ1545" s="1151">
        <f>IFERROR(VLOOKUP(CONCATENATE($L1545,$N1545),'Drop List'!$G$23:$K$87,5,FALSE),0)</f>
        <v>0</v>
      </c>
      <c r="AK1545" s="1152">
        <f t="shared" si="444"/>
        <v>0</v>
      </c>
      <c r="AL1545" s="1153">
        <f t="shared" si="445"/>
        <v>0</v>
      </c>
      <c r="AM1545" s="1153">
        <f t="shared" si="446"/>
        <v>0</v>
      </c>
      <c r="AN1545" s="1145">
        <f t="shared" si="447"/>
        <v>0</v>
      </c>
      <c r="AO1545" s="1154">
        <f t="shared" si="432"/>
        <v>0</v>
      </c>
      <c r="AP1545" s="1147">
        <f t="shared" si="435"/>
        <v>1077.2807531914116</v>
      </c>
      <c r="AQ1545" s="1144">
        <f t="shared" si="436"/>
        <v>0</v>
      </c>
      <c r="AR1545" s="1146">
        <f t="shared" si="437"/>
        <v>1077.2807531914116</v>
      </c>
    </row>
    <row r="1546" spans="1:44" x14ac:dyDescent="0.2">
      <c r="A1546" s="1141" t="str">
        <f t="shared" si="431"/>
        <v>4510</v>
      </c>
      <c r="B1546" s="1141" t="str">
        <f>IFERROR(VLOOKUP(A1546,'LAC 103'!A:C,3,FALSE),"")</f>
        <v>COS</v>
      </c>
      <c r="C1546" s="1478" t="str">
        <f>Info!$B$8</f>
        <v>00100</v>
      </c>
      <c r="D1546" s="1474" t="s">
        <v>256</v>
      </c>
      <c r="E1546" s="1474" t="s">
        <v>104</v>
      </c>
      <c r="F1546" s="1478" t="s">
        <v>77</v>
      </c>
      <c r="G1546" s="1478" t="s">
        <v>77</v>
      </c>
      <c r="H1546" s="1474" t="s">
        <v>996</v>
      </c>
      <c r="I1546" s="1478" t="s">
        <v>912</v>
      </c>
      <c r="J1546" s="1478"/>
      <c r="K1546" s="1475" t="s">
        <v>846</v>
      </c>
      <c r="L1546" s="1474" t="s">
        <v>332</v>
      </c>
      <c r="M1546" s="1476" t="s">
        <v>841</v>
      </c>
      <c r="N1546" s="1477" t="s">
        <v>1695</v>
      </c>
      <c r="O1546" s="1479">
        <v>13.733333333333334</v>
      </c>
      <c r="P1546" s="1479"/>
      <c r="Q1546" s="1142">
        <f t="shared" si="433"/>
        <v>13.733333333333334</v>
      </c>
      <c r="R1546" s="1143">
        <f>IFERROR(VLOOKUP(CONCATENATE($E1546,$G1546),'LAC 103'!$A$12:$O$95,11,FALSE),0)</f>
        <v>62.693351301149079</v>
      </c>
      <c r="S1546" s="1144">
        <f>IFERROR(VLOOKUP(CONCATENATE($E1546,$G1546),'LAC 103'!$A$12:$O$95,12,FALSE),0)</f>
        <v>0</v>
      </c>
      <c r="T1546" s="1144">
        <f>IFERROR(VLOOKUP(CONCATENATE($E1546,$G1546),'LAC 103'!$A$12:$O$95,13,FALSE),0)</f>
        <v>0</v>
      </c>
      <c r="U1546" s="1144">
        <f>IFERROR(VLOOKUP(CONCATENATE($E1546,$G1546),'LAC 103'!$A$12:$O$95,14,FALSE),0)</f>
        <v>0</v>
      </c>
      <c r="V1546" s="1144">
        <f>IFERROR(VLOOKUP(CONCATENATE($E1546,$G1546),'LAC 103'!$A$12:$O$95,15,FALSE),0)</f>
        <v>0</v>
      </c>
      <c r="W1546" s="1145" t="str">
        <f>IFERROR(VLOOKUP(CONCATENATE($B1546,$N1546),'LAC 103'!$AI:$AQ,9,FALSE),"")</f>
        <v>Costs</v>
      </c>
      <c r="X1546" s="1146">
        <f t="shared" si="438"/>
        <v>62.693351301149079</v>
      </c>
      <c r="Y1546" s="1143">
        <f t="shared" ref="Y1546:Y1609" si="448">$Q1546*R1546</f>
        <v>860.9886912024474</v>
      </c>
      <c r="Z1546" s="1147">
        <f t="shared" si="439"/>
        <v>860.9886912024474</v>
      </c>
      <c r="AA1546" s="1144">
        <f t="shared" si="440"/>
        <v>860.9886912024474</v>
      </c>
      <c r="AB1546" s="1144">
        <f t="shared" si="441"/>
        <v>0</v>
      </c>
      <c r="AC1546" s="1144">
        <f t="shared" si="442"/>
        <v>0</v>
      </c>
      <c r="AD1546" s="1148">
        <f t="shared" si="434"/>
        <v>860.9886912024474</v>
      </c>
      <c r="AE1546" s="1487">
        <v>0</v>
      </c>
      <c r="AF1546" s="1145">
        <f t="shared" si="443"/>
        <v>860.9886912024474</v>
      </c>
      <c r="AG1546" s="1149">
        <f>IFERROR(VLOOKUP(CONCATENATE($L1546,$N1546),'Drop List'!$G$23:$K$87,2,FALSE),0)</f>
        <v>0</v>
      </c>
      <c r="AH1546" s="1150">
        <f>IFERROR(VLOOKUP(CONCATENATE($L1546,$N1546),'Drop List'!$G$23:$K$87,3,FALSE),0)</f>
        <v>0</v>
      </c>
      <c r="AI1546" s="1150">
        <f>IFERROR(VLOOKUP(CONCATENATE($L1546,$N1546),'Drop List'!$G$23:$K$87,4,FALSE),0)</f>
        <v>0</v>
      </c>
      <c r="AJ1546" s="1151">
        <f>IFERROR(VLOOKUP(CONCATENATE($L1546,$N1546),'Drop List'!$G$23:$K$87,5,FALSE),0)</f>
        <v>0</v>
      </c>
      <c r="AK1546" s="1152">
        <f t="shared" si="444"/>
        <v>0</v>
      </c>
      <c r="AL1546" s="1153">
        <f t="shared" si="445"/>
        <v>0</v>
      </c>
      <c r="AM1546" s="1153">
        <f t="shared" si="446"/>
        <v>0</v>
      </c>
      <c r="AN1546" s="1145">
        <f t="shared" si="447"/>
        <v>0</v>
      </c>
      <c r="AO1546" s="1154">
        <f t="shared" si="432"/>
        <v>0</v>
      </c>
      <c r="AP1546" s="1147">
        <f t="shared" si="435"/>
        <v>860.9886912024474</v>
      </c>
      <c r="AQ1546" s="1144">
        <f t="shared" si="436"/>
        <v>0</v>
      </c>
      <c r="AR1546" s="1146">
        <f t="shared" si="437"/>
        <v>860.9886912024474</v>
      </c>
    </row>
    <row r="1547" spans="1:44" x14ac:dyDescent="0.2">
      <c r="A1547" s="1141" t="str">
        <f t="shared" si="431"/>
        <v>4510</v>
      </c>
      <c r="B1547" s="1141" t="str">
        <f>IFERROR(VLOOKUP(A1547,'LAC 103'!A:C,3,FALSE),"")</f>
        <v>COS</v>
      </c>
      <c r="C1547" s="1478" t="str">
        <f>Info!$B$8</f>
        <v>00100</v>
      </c>
      <c r="D1547" s="1474" t="s">
        <v>256</v>
      </c>
      <c r="E1547" s="1474" t="s">
        <v>104</v>
      </c>
      <c r="F1547" s="1478" t="s">
        <v>77</v>
      </c>
      <c r="G1547" s="1478" t="s">
        <v>77</v>
      </c>
      <c r="H1547" s="1474" t="s">
        <v>996</v>
      </c>
      <c r="I1547" s="1478" t="s">
        <v>912</v>
      </c>
      <c r="J1547" s="1478"/>
      <c r="K1547" s="1475" t="s">
        <v>846</v>
      </c>
      <c r="L1547" s="1474" t="s">
        <v>332</v>
      </c>
      <c r="M1547" s="1476" t="s">
        <v>840</v>
      </c>
      <c r="N1547" s="1477" t="s">
        <v>1700</v>
      </c>
      <c r="O1547" s="1479">
        <v>34</v>
      </c>
      <c r="P1547" s="1479"/>
      <c r="Q1547" s="1142">
        <f t="shared" si="433"/>
        <v>34</v>
      </c>
      <c r="R1547" s="1143">
        <f>IFERROR(VLOOKUP(CONCATENATE($E1547,$G1547),'LAC 103'!$A$12:$O$95,11,FALSE),0)</f>
        <v>62.693351301149079</v>
      </c>
      <c r="S1547" s="1144">
        <f>IFERROR(VLOOKUP(CONCATENATE($E1547,$G1547),'LAC 103'!$A$12:$O$95,12,FALSE),0)</f>
        <v>0</v>
      </c>
      <c r="T1547" s="1144">
        <f>IFERROR(VLOOKUP(CONCATENATE($E1547,$G1547),'LAC 103'!$A$12:$O$95,13,FALSE),0)</f>
        <v>0</v>
      </c>
      <c r="U1547" s="1144">
        <f>IFERROR(VLOOKUP(CONCATENATE($E1547,$G1547),'LAC 103'!$A$12:$O$95,14,FALSE),0)</f>
        <v>0</v>
      </c>
      <c r="V1547" s="1144">
        <f>IFERROR(VLOOKUP(CONCATENATE($E1547,$G1547),'LAC 103'!$A$12:$O$95,15,FALSE),0)</f>
        <v>0</v>
      </c>
      <c r="W1547" s="1145" t="str">
        <f>IFERROR(VLOOKUP(CONCATENATE($B1547,$N1547),'LAC 103'!$AI:$AQ,9,FALSE),"")</f>
        <v>Costs</v>
      </c>
      <c r="X1547" s="1146">
        <f t="shared" si="438"/>
        <v>62.693351301149079</v>
      </c>
      <c r="Y1547" s="1143">
        <f t="shared" si="448"/>
        <v>2131.5739442390686</v>
      </c>
      <c r="Z1547" s="1147">
        <f t="shared" si="439"/>
        <v>2131.5739442390686</v>
      </c>
      <c r="AA1547" s="1144">
        <f t="shared" si="440"/>
        <v>2131.5739442390686</v>
      </c>
      <c r="AB1547" s="1144">
        <f t="shared" si="441"/>
        <v>0</v>
      </c>
      <c r="AC1547" s="1144">
        <f t="shared" si="442"/>
        <v>0</v>
      </c>
      <c r="AD1547" s="1148">
        <f t="shared" si="434"/>
        <v>2131.5739442390686</v>
      </c>
      <c r="AE1547" s="1487">
        <v>0</v>
      </c>
      <c r="AF1547" s="1145">
        <f t="shared" si="443"/>
        <v>2131.5739442390686</v>
      </c>
      <c r="AG1547" s="1149">
        <f>IFERROR(VLOOKUP(CONCATENATE($L1547,$N1547),'Drop List'!$G$23:$K$87,2,FALSE),0)</f>
        <v>0</v>
      </c>
      <c r="AH1547" s="1150">
        <f>IFERROR(VLOOKUP(CONCATENATE($L1547,$N1547),'Drop List'!$G$23:$K$87,3,FALSE),0)</f>
        <v>0</v>
      </c>
      <c r="AI1547" s="1150">
        <f>IFERROR(VLOOKUP(CONCATENATE($L1547,$N1547),'Drop List'!$G$23:$K$87,4,FALSE),0)</f>
        <v>0</v>
      </c>
      <c r="AJ1547" s="1151">
        <f>IFERROR(VLOOKUP(CONCATENATE($L1547,$N1547),'Drop List'!$G$23:$K$87,5,FALSE),0)</f>
        <v>0</v>
      </c>
      <c r="AK1547" s="1152">
        <f t="shared" si="444"/>
        <v>0</v>
      </c>
      <c r="AL1547" s="1153">
        <f t="shared" si="445"/>
        <v>0</v>
      </c>
      <c r="AM1547" s="1153">
        <f t="shared" si="446"/>
        <v>0</v>
      </c>
      <c r="AN1547" s="1145">
        <f t="shared" si="447"/>
        <v>0</v>
      </c>
      <c r="AO1547" s="1154">
        <f t="shared" si="432"/>
        <v>0</v>
      </c>
      <c r="AP1547" s="1147">
        <f t="shared" si="435"/>
        <v>2131.5739442390686</v>
      </c>
      <c r="AQ1547" s="1144">
        <f t="shared" si="436"/>
        <v>0</v>
      </c>
      <c r="AR1547" s="1146">
        <f t="shared" si="437"/>
        <v>2131.5739442390686</v>
      </c>
    </row>
    <row r="1548" spans="1:44" x14ac:dyDescent="0.2">
      <c r="A1548" s="1141" t="str">
        <f t="shared" si="431"/>
        <v>4510</v>
      </c>
      <c r="B1548" s="1141" t="str">
        <f>IFERROR(VLOOKUP(A1548,'LAC 103'!A:C,3,FALSE),"")</f>
        <v>COS</v>
      </c>
      <c r="C1548" s="1478" t="str">
        <f>Info!$B$8</f>
        <v>00100</v>
      </c>
      <c r="D1548" s="1474" t="s">
        <v>256</v>
      </c>
      <c r="E1548" s="1474" t="s">
        <v>104</v>
      </c>
      <c r="F1548" s="1478" t="s">
        <v>77</v>
      </c>
      <c r="G1548" s="1478" t="s">
        <v>77</v>
      </c>
      <c r="H1548" s="1474" t="s">
        <v>996</v>
      </c>
      <c r="I1548" s="1478" t="s">
        <v>912</v>
      </c>
      <c r="J1548" s="1478"/>
      <c r="K1548" s="1475" t="s">
        <v>846</v>
      </c>
      <c r="L1548" s="1474" t="s">
        <v>332</v>
      </c>
      <c r="M1548" s="1476" t="s">
        <v>842</v>
      </c>
      <c r="N1548" s="1477" t="s">
        <v>1692</v>
      </c>
      <c r="O1548" s="1479">
        <v>12.233333333333334</v>
      </c>
      <c r="P1548" s="1479"/>
      <c r="Q1548" s="1142">
        <f t="shared" si="433"/>
        <v>12.233333333333334</v>
      </c>
      <c r="R1548" s="1143">
        <f>IFERROR(VLOOKUP(CONCATENATE($E1548,$G1548),'LAC 103'!$A$12:$O$95,11,FALSE),0)</f>
        <v>62.693351301149079</v>
      </c>
      <c r="S1548" s="1144">
        <f>IFERROR(VLOOKUP(CONCATENATE($E1548,$G1548),'LAC 103'!$A$12:$O$95,12,FALSE),0)</f>
        <v>0</v>
      </c>
      <c r="T1548" s="1144">
        <f>IFERROR(VLOOKUP(CONCATENATE($E1548,$G1548),'LAC 103'!$A$12:$O$95,13,FALSE),0)</f>
        <v>0</v>
      </c>
      <c r="U1548" s="1144">
        <f>IFERROR(VLOOKUP(CONCATENATE($E1548,$G1548),'LAC 103'!$A$12:$O$95,14,FALSE),0)</f>
        <v>0</v>
      </c>
      <c r="V1548" s="1144">
        <f>IFERROR(VLOOKUP(CONCATENATE($E1548,$G1548),'LAC 103'!$A$12:$O$95,15,FALSE),0)</f>
        <v>0</v>
      </c>
      <c r="W1548" s="1145" t="str">
        <f>IFERROR(VLOOKUP(CONCATENATE($B1548,$N1548),'LAC 103'!$AI:$AQ,9,FALSE),"")</f>
        <v>Costs</v>
      </c>
      <c r="X1548" s="1146">
        <f t="shared" si="438"/>
        <v>62.693351301149079</v>
      </c>
      <c r="Y1548" s="1143">
        <f t="shared" si="448"/>
        <v>766.94866425072382</v>
      </c>
      <c r="Z1548" s="1147">
        <f t="shared" si="439"/>
        <v>766.94866425072382</v>
      </c>
      <c r="AA1548" s="1144">
        <f t="shared" si="440"/>
        <v>766.94866425072382</v>
      </c>
      <c r="AB1548" s="1144">
        <f t="shared" si="441"/>
        <v>0</v>
      </c>
      <c r="AC1548" s="1144">
        <f t="shared" si="442"/>
        <v>0</v>
      </c>
      <c r="AD1548" s="1148">
        <f t="shared" si="434"/>
        <v>766.94866425072382</v>
      </c>
      <c r="AE1548" s="1487">
        <v>0</v>
      </c>
      <c r="AF1548" s="1145">
        <f t="shared" si="443"/>
        <v>766.94866425072382</v>
      </c>
      <c r="AG1548" s="1149">
        <f>IFERROR(VLOOKUP(CONCATENATE($L1548,$N1548),'Drop List'!$G$23:$K$87,2,FALSE),0)</f>
        <v>0</v>
      </c>
      <c r="AH1548" s="1150">
        <f>IFERROR(VLOOKUP(CONCATENATE($L1548,$N1548),'Drop List'!$G$23:$K$87,3,FALSE),0)</f>
        <v>0</v>
      </c>
      <c r="AI1548" s="1150">
        <f>IFERROR(VLOOKUP(CONCATENATE($L1548,$N1548),'Drop List'!$G$23:$K$87,4,FALSE),0)</f>
        <v>0</v>
      </c>
      <c r="AJ1548" s="1151">
        <f>IFERROR(VLOOKUP(CONCATENATE($L1548,$N1548),'Drop List'!$G$23:$K$87,5,FALSE),0)</f>
        <v>0</v>
      </c>
      <c r="AK1548" s="1152">
        <f t="shared" si="444"/>
        <v>0</v>
      </c>
      <c r="AL1548" s="1153">
        <f t="shared" si="445"/>
        <v>0</v>
      </c>
      <c r="AM1548" s="1153">
        <f t="shared" si="446"/>
        <v>0</v>
      </c>
      <c r="AN1548" s="1145">
        <f t="shared" si="447"/>
        <v>0</v>
      </c>
      <c r="AO1548" s="1154">
        <f t="shared" si="432"/>
        <v>0</v>
      </c>
      <c r="AP1548" s="1147">
        <f t="shared" si="435"/>
        <v>766.94866425072382</v>
      </c>
      <c r="AQ1548" s="1144">
        <f t="shared" si="436"/>
        <v>0</v>
      </c>
      <c r="AR1548" s="1146">
        <f t="shared" si="437"/>
        <v>766.94866425072382</v>
      </c>
    </row>
    <row r="1549" spans="1:44" x14ac:dyDescent="0.2">
      <c r="A1549" s="1141" t="str">
        <f t="shared" si="431"/>
        <v>4510</v>
      </c>
      <c r="B1549" s="1141" t="str">
        <f>IFERROR(VLOOKUP(A1549,'LAC 103'!A:C,3,FALSE),"")</f>
        <v>COS</v>
      </c>
      <c r="C1549" s="1478" t="str">
        <f>Info!$B$8</f>
        <v>00100</v>
      </c>
      <c r="D1549" s="1474" t="s">
        <v>256</v>
      </c>
      <c r="E1549" s="1474" t="s">
        <v>104</v>
      </c>
      <c r="F1549" s="1478" t="s">
        <v>77</v>
      </c>
      <c r="G1549" s="1478" t="s">
        <v>77</v>
      </c>
      <c r="H1549" s="1474" t="s">
        <v>996</v>
      </c>
      <c r="I1549" s="1478" t="s">
        <v>912</v>
      </c>
      <c r="J1549" s="1478"/>
      <c r="K1549" s="1475" t="s">
        <v>846</v>
      </c>
      <c r="L1549" s="1474" t="s">
        <v>332</v>
      </c>
      <c r="M1549" s="1476" t="s">
        <v>1698</v>
      </c>
      <c r="N1549" s="1477" t="s">
        <v>1693</v>
      </c>
      <c r="O1549" s="1479">
        <v>42.649999999999991</v>
      </c>
      <c r="P1549" s="1479"/>
      <c r="Q1549" s="1142">
        <f t="shared" si="433"/>
        <v>42.649999999999991</v>
      </c>
      <c r="R1549" s="1143">
        <f>IFERROR(VLOOKUP(CONCATENATE($E1549,$G1549),'LAC 103'!$A$12:$O$95,11,FALSE),0)</f>
        <v>62.693351301149079</v>
      </c>
      <c r="S1549" s="1144">
        <f>IFERROR(VLOOKUP(CONCATENATE($E1549,$G1549),'LAC 103'!$A$12:$O$95,12,FALSE),0)</f>
        <v>0</v>
      </c>
      <c r="T1549" s="1144">
        <f>IFERROR(VLOOKUP(CONCATENATE($E1549,$G1549),'LAC 103'!$A$12:$O$95,13,FALSE),0)</f>
        <v>0</v>
      </c>
      <c r="U1549" s="1144">
        <f>IFERROR(VLOOKUP(CONCATENATE($E1549,$G1549),'LAC 103'!$A$12:$O$95,14,FALSE),0)</f>
        <v>0</v>
      </c>
      <c r="V1549" s="1144">
        <f>IFERROR(VLOOKUP(CONCATENATE($E1549,$G1549),'LAC 103'!$A$12:$O$95,15,FALSE),0)</f>
        <v>0</v>
      </c>
      <c r="W1549" s="1145" t="str">
        <f>IFERROR(VLOOKUP(CONCATENATE($B1549,$N1549),'LAC 103'!$AI:$AQ,9,FALSE),"")</f>
        <v>Costs</v>
      </c>
      <c r="X1549" s="1146">
        <f t="shared" si="438"/>
        <v>62.693351301149079</v>
      </c>
      <c r="Y1549" s="1143">
        <f t="shared" si="448"/>
        <v>2673.8714329940076</v>
      </c>
      <c r="Z1549" s="1147">
        <f t="shared" si="439"/>
        <v>2673.8714329940076</v>
      </c>
      <c r="AA1549" s="1144">
        <f t="shared" si="440"/>
        <v>2673.8714329940076</v>
      </c>
      <c r="AB1549" s="1144">
        <f t="shared" si="441"/>
        <v>0</v>
      </c>
      <c r="AC1549" s="1144">
        <f t="shared" si="442"/>
        <v>0</v>
      </c>
      <c r="AD1549" s="1148">
        <f t="shared" si="434"/>
        <v>2673.8714329940076</v>
      </c>
      <c r="AE1549" s="1487">
        <v>0</v>
      </c>
      <c r="AF1549" s="1145">
        <f t="shared" si="443"/>
        <v>2673.8714329940076</v>
      </c>
      <c r="AG1549" s="1149">
        <f>IFERROR(VLOOKUP(CONCATENATE($L1549,$N1549),'Drop List'!$G$23:$K$87,2,FALSE),0)</f>
        <v>0</v>
      </c>
      <c r="AH1549" s="1150">
        <f>IFERROR(VLOOKUP(CONCATENATE($L1549,$N1549),'Drop List'!$G$23:$K$87,3,FALSE),0)</f>
        <v>0</v>
      </c>
      <c r="AI1549" s="1150">
        <f>IFERROR(VLOOKUP(CONCATENATE($L1549,$N1549),'Drop List'!$G$23:$K$87,4,FALSE),0)</f>
        <v>0</v>
      </c>
      <c r="AJ1549" s="1151">
        <f>IFERROR(VLOOKUP(CONCATENATE($L1549,$N1549),'Drop List'!$G$23:$K$87,5,FALSE),0)</f>
        <v>0</v>
      </c>
      <c r="AK1549" s="1152">
        <f t="shared" si="444"/>
        <v>0</v>
      </c>
      <c r="AL1549" s="1153">
        <f t="shared" si="445"/>
        <v>0</v>
      </c>
      <c r="AM1549" s="1153">
        <f t="shared" si="446"/>
        <v>0</v>
      </c>
      <c r="AN1549" s="1145">
        <f t="shared" si="447"/>
        <v>0</v>
      </c>
      <c r="AO1549" s="1154">
        <f t="shared" si="432"/>
        <v>0</v>
      </c>
      <c r="AP1549" s="1147">
        <f t="shared" si="435"/>
        <v>2673.8714329940076</v>
      </c>
      <c r="AQ1549" s="1144">
        <f t="shared" si="436"/>
        <v>0</v>
      </c>
      <c r="AR1549" s="1146">
        <f t="shared" si="437"/>
        <v>2673.8714329940076</v>
      </c>
    </row>
    <row r="1550" spans="1:44" x14ac:dyDescent="0.2">
      <c r="A1550" s="1141" t="str">
        <f t="shared" si="431"/>
        <v>4510</v>
      </c>
      <c r="B1550" s="1141" t="str">
        <f>IFERROR(VLOOKUP(A1550,'LAC 103'!A:C,3,FALSE),"")</f>
        <v>COS</v>
      </c>
      <c r="C1550" s="1478" t="str">
        <f>Info!$B$8</f>
        <v>00100</v>
      </c>
      <c r="D1550" s="1474" t="s">
        <v>256</v>
      </c>
      <c r="E1550" s="1474" t="s">
        <v>104</v>
      </c>
      <c r="F1550" s="1478" t="s">
        <v>77</v>
      </c>
      <c r="G1550" s="1478" t="s">
        <v>77</v>
      </c>
      <c r="H1550" s="1474" t="s">
        <v>1659</v>
      </c>
      <c r="I1550" s="1478" t="s">
        <v>807</v>
      </c>
      <c r="J1550" s="1478" t="s">
        <v>123</v>
      </c>
      <c r="K1550" s="1475" t="s">
        <v>846</v>
      </c>
      <c r="L1550" s="1474" t="s">
        <v>332</v>
      </c>
      <c r="M1550" s="1476" t="s">
        <v>1699</v>
      </c>
      <c r="N1550" s="1477" t="s">
        <v>1694</v>
      </c>
      <c r="O1550" s="1479">
        <v>15.066666666666665</v>
      </c>
      <c r="P1550" s="1479"/>
      <c r="Q1550" s="1142">
        <f t="shared" si="433"/>
        <v>15.066666666666665</v>
      </c>
      <c r="R1550" s="1143">
        <f>IFERROR(VLOOKUP(CONCATENATE($E1550,$G1550),'LAC 103'!$A$12:$O$95,11,FALSE),0)</f>
        <v>62.693351301149079</v>
      </c>
      <c r="S1550" s="1144">
        <f>IFERROR(VLOOKUP(CONCATENATE($E1550,$G1550),'LAC 103'!$A$12:$O$95,12,FALSE),0)</f>
        <v>0</v>
      </c>
      <c r="T1550" s="1144">
        <f>IFERROR(VLOOKUP(CONCATENATE($E1550,$G1550),'LAC 103'!$A$12:$O$95,13,FALSE),0)</f>
        <v>0</v>
      </c>
      <c r="U1550" s="1144">
        <f>IFERROR(VLOOKUP(CONCATENATE($E1550,$G1550),'LAC 103'!$A$12:$O$95,14,FALSE),0)</f>
        <v>0</v>
      </c>
      <c r="V1550" s="1144">
        <f>IFERROR(VLOOKUP(CONCATENATE($E1550,$G1550),'LAC 103'!$A$12:$O$95,15,FALSE),0)</f>
        <v>0</v>
      </c>
      <c r="W1550" s="1145" t="str">
        <f>IFERROR(VLOOKUP(CONCATENATE($B1550,$N1550),'LAC 103'!$AI:$AQ,9,FALSE),"")</f>
        <v>Costs</v>
      </c>
      <c r="X1550" s="1146">
        <f t="shared" si="438"/>
        <v>62.693351301149079</v>
      </c>
      <c r="Y1550" s="1143">
        <f t="shared" si="448"/>
        <v>944.57982627064598</v>
      </c>
      <c r="Z1550" s="1147">
        <f t="shared" si="439"/>
        <v>944.57982627064598</v>
      </c>
      <c r="AA1550" s="1144">
        <f t="shared" si="440"/>
        <v>944.57982627064598</v>
      </c>
      <c r="AB1550" s="1144">
        <f t="shared" si="441"/>
        <v>0</v>
      </c>
      <c r="AC1550" s="1144">
        <f t="shared" si="442"/>
        <v>0</v>
      </c>
      <c r="AD1550" s="1148">
        <f t="shared" si="434"/>
        <v>944.57982627064598</v>
      </c>
      <c r="AE1550" s="1487">
        <v>0</v>
      </c>
      <c r="AF1550" s="1145">
        <f t="shared" si="443"/>
        <v>944.57982627064598</v>
      </c>
      <c r="AG1550" s="1149">
        <f>IFERROR(VLOOKUP(CONCATENATE($L1550,$N1550),'Drop List'!$G$23:$K$87,2,FALSE),0)</f>
        <v>0</v>
      </c>
      <c r="AH1550" s="1150">
        <f>IFERROR(VLOOKUP(CONCATENATE($L1550,$N1550),'Drop List'!$G$23:$K$87,3,FALSE),0)</f>
        <v>0</v>
      </c>
      <c r="AI1550" s="1150">
        <f>IFERROR(VLOOKUP(CONCATENATE($L1550,$N1550),'Drop List'!$G$23:$K$87,4,FALSE),0)</f>
        <v>0</v>
      </c>
      <c r="AJ1550" s="1151">
        <f>IFERROR(VLOOKUP(CONCATENATE($L1550,$N1550),'Drop List'!$G$23:$K$87,5,FALSE),0)</f>
        <v>0</v>
      </c>
      <c r="AK1550" s="1152">
        <f t="shared" si="444"/>
        <v>0</v>
      </c>
      <c r="AL1550" s="1153">
        <f t="shared" si="445"/>
        <v>0</v>
      </c>
      <c r="AM1550" s="1153">
        <f t="shared" si="446"/>
        <v>0</v>
      </c>
      <c r="AN1550" s="1145">
        <f t="shared" si="447"/>
        <v>0</v>
      </c>
      <c r="AO1550" s="1154">
        <f t="shared" si="432"/>
        <v>0</v>
      </c>
      <c r="AP1550" s="1147">
        <f t="shared" si="435"/>
        <v>944.57982627064598</v>
      </c>
      <c r="AQ1550" s="1144">
        <f t="shared" si="436"/>
        <v>0</v>
      </c>
      <c r="AR1550" s="1146">
        <f t="shared" si="437"/>
        <v>944.57982627064598</v>
      </c>
    </row>
    <row r="1551" spans="1:44" x14ac:dyDescent="0.2">
      <c r="A1551" s="1141" t="str">
        <f t="shared" si="431"/>
        <v>4510</v>
      </c>
      <c r="B1551" s="1141" t="str">
        <f>IFERROR(VLOOKUP(A1551,'LAC 103'!A:C,3,FALSE),"")</f>
        <v>COS</v>
      </c>
      <c r="C1551" s="1478" t="str">
        <f>Info!$B$8</f>
        <v>00100</v>
      </c>
      <c r="D1551" s="1474" t="s">
        <v>256</v>
      </c>
      <c r="E1551" s="1474" t="s">
        <v>104</v>
      </c>
      <c r="F1551" s="1478" t="s">
        <v>77</v>
      </c>
      <c r="G1551" s="1478" t="s">
        <v>77</v>
      </c>
      <c r="H1551" s="1474" t="s">
        <v>1659</v>
      </c>
      <c r="I1551" s="1478" t="s">
        <v>807</v>
      </c>
      <c r="J1551" s="1478"/>
      <c r="K1551" s="1475" t="s">
        <v>846</v>
      </c>
      <c r="L1551" s="1474" t="s">
        <v>332</v>
      </c>
      <c r="M1551" s="1476" t="s">
        <v>842</v>
      </c>
      <c r="N1551" s="1477" t="s">
        <v>1692</v>
      </c>
      <c r="O1551" s="1479">
        <v>14.783333333333333</v>
      </c>
      <c r="P1551" s="1479"/>
      <c r="Q1551" s="1142">
        <f t="shared" si="433"/>
        <v>14.783333333333333</v>
      </c>
      <c r="R1551" s="1143">
        <f>IFERROR(VLOOKUP(CONCATENATE($E1551,$G1551),'LAC 103'!$A$12:$O$95,11,FALSE),0)</f>
        <v>62.693351301149079</v>
      </c>
      <c r="S1551" s="1144">
        <f>IFERROR(VLOOKUP(CONCATENATE($E1551,$G1551),'LAC 103'!$A$12:$O$95,12,FALSE),0)</f>
        <v>0</v>
      </c>
      <c r="T1551" s="1144">
        <f>IFERROR(VLOOKUP(CONCATENATE($E1551,$G1551),'LAC 103'!$A$12:$O$95,13,FALSE),0)</f>
        <v>0</v>
      </c>
      <c r="U1551" s="1144">
        <f>IFERROR(VLOOKUP(CONCATENATE($E1551,$G1551),'LAC 103'!$A$12:$O$95,14,FALSE),0)</f>
        <v>0</v>
      </c>
      <c r="V1551" s="1144">
        <f>IFERROR(VLOOKUP(CONCATENATE($E1551,$G1551),'LAC 103'!$A$12:$O$95,15,FALSE),0)</f>
        <v>0</v>
      </c>
      <c r="W1551" s="1145" t="str">
        <f>IFERROR(VLOOKUP(CONCATENATE($B1551,$N1551),'LAC 103'!$AI:$AQ,9,FALSE),"")</f>
        <v>Costs</v>
      </c>
      <c r="X1551" s="1146">
        <f t="shared" si="438"/>
        <v>62.693351301149079</v>
      </c>
      <c r="Y1551" s="1143">
        <f t="shared" si="448"/>
        <v>926.81671006865383</v>
      </c>
      <c r="Z1551" s="1147">
        <f t="shared" si="439"/>
        <v>926.81671006865383</v>
      </c>
      <c r="AA1551" s="1144">
        <f t="shared" si="440"/>
        <v>926.81671006865383</v>
      </c>
      <c r="AB1551" s="1144">
        <f t="shared" si="441"/>
        <v>0</v>
      </c>
      <c r="AC1551" s="1144">
        <f t="shared" si="442"/>
        <v>0</v>
      </c>
      <c r="AD1551" s="1148">
        <f t="shared" si="434"/>
        <v>926.81671006865383</v>
      </c>
      <c r="AE1551" s="1487">
        <v>0</v>
      </c>
      <c r="AF1551" s="1145">
        <f t="shared" si="443"/>
        <v>926.81671006865383</v>
      </c>
      <c r="AG1551" s="1149">
        <f>IFERROR(VLOOKUP(CONCATENATE($L1551,$N1551),'Drop List'!$G$23:$K$87,2,FALSE),0)</f>
        <v>0</v>
      </c>
      <c r="AH1551" s="1150">
        <f>IFERROR(VLOOKUP(CONCATENATE($L1551,$N1551),'Drop List'!$G$23:$K$87,3,FALSE),0)</f>
        <v>0</v>
      </c>
      <c r="AI1551" s="1150">
        <f>IFERROR(VLOOKUP(CONCATENATE($L1551,$N1551),'Drop List'!$G$23:$K$87,4,FALSE),0)</f>
        <v>0</v>
      </c>
      <c r="AJ1551" s="1151">
        <f>IFERROR(VLOOKUP(CONCATENATE($L1551,$N1551),'Drop List'!$G$23:$K$87,5,FALSE),0)</f>
        <v>0</v>
      </c>
      <c r="AK1551" s="1152">
        <f t="shared" si="444"/>
        <v>0</v>
      </c>
      <c r="AL1551" s="1153">
        <f t="shared" si="445"/>
        <v>0</v>
      </c>
      <c r="AM1551" s="1153">
        <f t="shared" si="446"/>
        <v>0</v>
      </c>
      <c r="AN1551" s="1145">
        <f t="shared" si="447"/>
        <v>0</v>
      </c>
      <c r="AO1551" s="1154">
        <f t="shared" si="432"/>
        <v>0</v>
      </c>
      <c r="AP1551" s="1147">
        <f t="shared" si="435"/>
        <v>926.81671006865383</v>
      </c>
      <c r="AQ1551" s="1144">
        <f t="shared" si="436"/>
        <v>0</v>
      </c>
      <c r="AR1551" s="1146">
        <f t="shared" si="437"/>
        <v>926.81671006865383</v>
      </c>
    </row>
    <row r="1552" spans="1:44" x14ac:dyDescent="0.2">
      <c r="A1552" s="1141" t="str">
        <f t="shared" si="431"/>
        <v>4510</v>
      </c>
      <c r="B1552" s="1141" t="str">
        <f>IFERROR(VLOOKUP(A1552,'LAC 103'!A:C,3,FALSE),"")</f>
        <v>COS</v>
      </c>
      <c r="C1552" s="1478" t="str">
        <f>Info!$B$8</f>
        <v>00100</v>
      </c>
      <c r="D1552" s="1474" t="s">
        <v>256</v>
      </c>
      <c r="E1552" s="1474" t="s">
        <v>104</v>
      </c>
      <c r="F1552" s="1478" t="s">
        <v>77</v>
      </c>
      <c r="G1552" s="1478" t="s">
        <v>77</v>
      </c>
      <c r="H1552" s="1474" t="s">
        <v>1659</v>
      </c>
      <c r="I1552" s="1478" t="s">
        <v>807</v>
      </c>
      <c r="J1552" s="1478"/>
      <c r="K1552" s="1475" t="s">
        <v>846</v>
      </c>
      <c r="L1552" s="1474" t="s">
        <v>332</v>
      </c>
      <c r="M1552" s="1476" t="s">
        <v>1698</v>
      </c>
      <c r="N1552" s="1477" t="s">
        <v>1693</v>
      </c>
      <c r="O1552" s="1479">
        <v>16.783333333333331</v>
      </c>
      <c r="P1552" s="1479"/>
      <c r="Q1552" s="1142">
        <f t="shared" si="433"/>
        <v>16.783333333333331</v>
      </c>
      <c r="R1552" s="1143">
        <f>IFERROR(VLOOKUP(CONCATENATE($E1552,$G1552),'LAC 103'!$A$12:$O$95,11,FALSE),0)</f>
        <v>62.693351301149079</v>
      </c>
      <c r="S1552" s="1144">
        <f>IFERROR(VLOOKUP(CONCATENATE($E1552,$G1552),'LAC 103'!$A$12:$O$95,12,FALSE),0)</f>
        <v>0</v>
      </c>
      <c r="T1552" s="1144">
        <f>IFERROR(VLOOKUP(CONCATENATE($E1552,$G1552),'LAC 103'!$A$12:$O$95,13,FALSE),0)</f>
        <v>0</v>
      </c>
      <c r="U1552" s="1144">
        <f>IFERROR(VLOOKUP(CONCATENATE($E1552,$G1552),'LAC 103'!$A$12:$O$95,14,FALSE),0)</f>
        <v>0</v>
      </c>
      <c r="V1552" s="1144">
        <f>IFERROR(VLOOKUP(CONCATENATE($E1552,$G1552),'LAC 103'!$A$12:$O$95,15,FALSE),0)</f>
        <v>0</v>
      </c>
      <c r="W1552" s="1145" t="str">
        <f>IFERROR(VLOOKUP(CONCATENATE($B1552,$N1552),'LAC 103'!$AI:$AQ,9,FALSE),"")</f>
        <v>Costs</v>
      </c>
      <c r="X1552" s="1146">
        <f t="shared" si="438"/>
        <v>62.693351301149079</v>
      </c>
      <c r="Y1552" s="1143">
        <f t="shared" si="448"/>
        <v>1052.2034126709518</v>
      </c>
      <c r="Z1552" s="1147">
        <f t="shared" si="439"/>
        <v>1052.2034126709518</v>
      </c>
      <c r="AA1552" s="1144">
        <f t="shared" si="440"/>
        <v>1052.2034126709518</v>
      </c>
      <c r="AB1552" s="1144">
        <f t="shared" si="441"/>
        <v>0</v>
      </c>
      <c r="AC1552" s="1144">
        <f t="shared" si="442"/>
        <v>0</v>
      </c>
      <c r="AD1552" s="1148">
        <f t="shared" si="434"/>
        <v>1052.2034126709518</v>
      </c>
      <c r="AE1552" s="1487">
        <v>0</v>
      </c>
      <c r="AF1552" s="1145">
        <f t="shared" si="443"/>
        <v>1052.2034126709518</v>
      </c>
      <c r="AG1552" s="1149">
        <f>IFERROR(VLOOKUP(CONCATENATE($L1552,$N1552),'Drop List'!$G$23:$K$87,2,FALSE),0)</f>
        <v>0</v>
      </c>
      <c r="AH1552" s="1150">
        <f>IFERROR(VLOOKUP(CONCATENATE($L1552,$N1552),'Drop List'!$G$23:$K$87,3,FALSE),0)</f>
        <v>0</v>
      </c>
      <c r="AI1552" s="1150">
        <f>IFERROR(VLOOKUP(CONCATENATE($L1552,$N1552),'Drop List'!$G$23:$K$87,4,FALSE),0)</f>
        <v>0</v>
      </c>
      <c r="AJ1552" s="1151">
        <f>IFERROR(VLOOKUP(CONCATENATE($L1552,$N1552),'Drop List'!$G$23:$K$87,5,FALSE),0)</f>
        <v>0</v>
      </c>
      <c r="AK1552" s="1152">
        <f t="shared" si="444"/>
        <v>0</v>
      </c>
      <c r="AL1552" s="1153">
        <f t="shared" si="445"/>
        <v>0</v>
      </c>
      <c r="AM1552" s="1153">
        <f t="shared" si="446"/>
        <v>0</v>
      </c>
      <c r="AN1552" s="1145">
        <f t="shared" si="447"/>
        <v>0</v>
      </c>
      <c r="AO1552" s="1154">
        <f t="shared" si="432"/>
        <v>0</v>
      </c>
      <c r="AP1552" s="1147">
        <f t="shared" si="435"/>
        <v>1052.2034126709518</v>
      </c>
      <c r="AQ1552" s="1144">
        <f t="shared" si="436"/>
        <v>0</v>
      </c>
      <c r="AR1552" s="1146">
        <f t="shared" si="437"/>
        <v>1052.2034126709518</v>
      </c>
    </row>
    <row r="1553" spans="1:44" x14ac:dyDescent="0.2">
      <c r="A1553" s="1141" t="str">
        <f t="shared" si="431"/>
        <v>4510</v>
      </c>
      <c r="B1553" s="1141" t="str">
        <f>IFERROR(VLOOKUP(A1553,'LAC 103'!A:C,3,FALSE),"")</f>
        <v>COS</v>
      </c>
      <c r="C1553" s="1478" t="str">
        <f>Info!$B$8</f>
        <v>00100</v>
      </c>
      <c r="D1553" s="1474" t="s">
        <v>256</v>
      </c>
      <c r="E1553" s="1474" t="s">
        <v>104</v>
      </c>
      <c r="F1553" s="1478" t="s">
        <v>77</v>
      </c>
      <c r="G1553" s="1478" t="s">
        <v>77</v>
      </c>
      <c r="H1553" s="1474" t="s">
        <v>987</v>
      </c>
      <c r="I1553" s="1478" t="s">
        <v>811</v>
      </c>
      <c r="J1553" s="1478" t="s">
        <v>123</v>
      </c>
      <c r="K1553" s="1475" t="s">
        <v>846</v>
      </c>
      <c r="L1553" s="1474" t="s">
        <v>332</v>
      </c>
      <c r="M1553" s="1476" t="s">
        <v>1699</v>
      </c>
      <c r="N1553" s="1477" t="s">
        <v>1694</v>
      </c>
      <c r="O1553" s="1479">
        <v>33.36666666666666</v>
      </c>
      <c r="P1553" s="1479"/>
      <c r="Q1553" s="1142">
        <f t="shared" si="433"/>
        <v>33.36666666666666</v>
      </c>
      <c r="R1553" s="1143">
        <f>IFERROR(VLOOKUP(CONCATENATE($E1553,$G1553),'LAC 103'!$A$12:$O$95,11,FALSE),0)</f>
        <v>62.693351301149079</v>
      </c>
      <c r="S1553" s="1144">
        <f>IFERROR(VLOOKUP(CONCATENATE($E1553,$G1553),'LAC 103'!$A$12:$O$95,12,FALSE),0)</f>
        <v>0</v>
      </c>
      <c r="T1553" s="1144">
        <f>IFERROR(VLOOKUP(CONCATENATE($E1553,$G1553),'LAC 103'!$A$12:$O$95,13,FALSE),0)</f>
        <v>0</v>
      </c>
      <c r="U1553" s="1144">
        <f>IFERROR(VLOOKUP(CONCATENATE($E1553,$G1553),'LAC 103'!$A$12:$O$95,14,FALSE),0)</f>
        <v>0</v>
      </c>
      <c r="V1553" s="1144">
        <f>IFERROR(VLOOKUP(CONCATENATE($E1553,$G1553),'LAC 103'!$A$12:$O$95,15,FALSE),0)</f>
        <v>0</v>
      </c>
      <c r="W1553" s="1145" t="str">
        <f>IFERROR(VLOOKUP(CONCATENATE($B1553,$N1553),'LAC 103'!$AI:$AQ,9,FALSE),"")</f>
        <v>Costs</v>
      </c>
      <c r="X1553" s="1146">
        <f t="shared" si="438"/>
        <v>62.693351301149079</v>
      </c>
      <c r="Y1553" s="1143">
        <f t="shared" si="448"/>
        <v>2091.8681550816736</v>
      </c>
      <c r="Z1553" s="1147">
        <f t="shared" si="439"/>
        <v>2091.8681550816736</v>
      </c>
      <c r="AA1553" s="1144">
        <f t="shared" si="440"/>
        <v>2091.8681550816736</v>
      </c>
      <c r="AB1553" s="1144">
        <f t="shared" si="441"/>
        <v>0</v>
      </c>
      <c r="AC1553" s="1144">
        <f t="shared" si="442"/>
        <v>0</v>
      </c>
      <c r="AD1553" s="1148">
        <f t="shared" si="434"/>
        <v>2091.8681550816736</v>
      </c>
      <c r="AE1553" s="1487">
        <v>0</v>
      </c>
      <c r="AF1553" s="1145">
        <f t="shared" si="443"/>
        <v>2091.8681550816736</v>
      </c>
      <c r="AG1553" s="1149">
        <f>IFERROR(VLOOKUP(CONCATENATE($L1553,$N1553),'Drop List'!$G$23:$K$87,2,FALSE),0)</f>
        <v>0</v>
      </c>
      <c r="AH1553" s="1150">
        <f>IFERROR(VLOOKUP(CONCATENATE($L1553,$N1553),'Drop List'!$G$23:$K$87,3,FALSE),0)</f>
        <v>0</v>
      </c>
      <c r="AI1553" s="1150">
        <f>IFERROR(VLOOKUP(CONCATENATE($L1553,$N1553),'Drop List'!$G$23:$K$87,4,FALSE),0)</f>
        <v>0</v>
      </c>
      <c r="AJ1553" s="1151">
        <f>IFERROR(VLOOKUP(CONCATENATE($L1553,$N1553),'Drop List'!$G$23:$K$87,5,FALSE),0)</f>
        <v>0</v>
      </c>
      <c r="AK1553" s="1152">
        <f t="shared" si="444"/>
        <v>0</v>
      </c>
      <c r="AL1553" s="1153">
        <f t="shared" si="445"/>
        <v>0</v>
      </c>
      <c r="AM1553" s="1153">
        <f t="shared" si="446"/>
        <v>0</v>
      </c>
      <c r="AN1553" s="1145">
        <f t="shared" si="447"/>
        <v>0</v>
      </c>
      <c r="AO1553" s="1154">
        <f t="shared" si="432"/>
        <v>0</v>
      </c>
      <c r="AP1553" s="1147">
        <f t="shared" si="435"/>
        <v>2091.8681550816736</v>
      </c>
      <c r="AQ1553" s="1144">
        <f t="shared" si="436"/>
        <v>0</v>
      </c>
      <c r="AR1553" s="1146">
        <f t="shared" si="437"/>
        <v>2091.8681550816736</v>
      </c>
    </row>
    <row r="1554" spans="1:44" x14ac:dyDescent="0.2">
      <c r="A1554" s="1141" t="str">
        <f t="shared" si="431"/>
        <v>4510</v>
      </c>
      <c r="B1554" s="1141" t="str">
        <f>IFERROR(VLOOKUP(A1554,'LAC 103'!A:C,3,FALSE),"")</f>
        <v>COS</v>
      </c>
      <c r="C1554" s="1478" t="str">
        <f>Info!$B$8</f>
        <v>00100</v>
      </c>
      <c r="D1554" s="1474" t="s">
        <v>256</v>
      </c>
      <c r="E1554" s="1474" t="s">
        <v>104</v>
      </c>
      <c r="F1554" s="1478" t="s">
        <v>77</v>
      </c>
      <c r="G1554" s="1478" t="s">
        <v>77</v>
      </c>
      <c r="H1554" s="1474" t="s">
        <v>987</v>
      </c>
      <c r="I1554" s="1478" t="s">
        <v>811</v>
      </c>
      <c r="J1554" s="1478"/>
      <c r="K1554" s="1475" t="s">
        <v>846</v>
      </c>
      <c r="L1554" s="1474" t="s">
        <v>332</v>
      </c>
      <c r="M1554" s="1476" t="s">
        <v>841</v>
      </c>
      <c r="N1554" s="1477" t="s">
        <v>1695</v>
      </c>
      <c r="O1554" s="1479">
        <v>29.099999999999994</v>
      </c>
      <c r="P1554" s="1479"/>
      <c r="Q1554" s="1142">
        <f t="shared" si="433"/>
        <v>29.099999999999994</v>
      </c>
      <c r="R1554" s="1143">
        <f>IFERROR(VLOOKUP(CONCATENATE($E1554,$G1554),'LAC 103'!$A$12:$O$95,11,FALSE),0)</f>
        <v>62.693351301149079</v>
      </c>
      <c r="S1554" s="1144">
        <f>IFERROR(VLOOKUP(CONCATENATE($E1554,$G1554),'LAC 103'!$A$12:$O$95,12,FALSE),0)</f>
        <v>0</v>
      </c>
      <c r="T1554" s="1144">
        <f>IFERROR(VLOOKUP(CONCATENATE($E1554,$G1554),'LAC 103'!$A$12:$O$95,13,FALSE),0)</f>
        <v>0</v>
      </c>
      <c r="U1554" s="1144">
        <f>IFERROR(VLOOKUP(CONCATENATE($E1554,$G1554),'LAC 103'!$A$12:$O$95,14,FALSE),0)</f>
        <v>0</v>
      </c>
      <c r="V1554" s="1144">
        <f>IFERROR(VLOOKUP(CONCATENATE($E1554,$G1554),'LAC 103'!$A$12:$O$95,15,FALSE),0)</f>
        <v>0</v>
      </c>
      <c r="W1554" s="1145" t="str">
        <f>IFERROR(VLOOKUP(CONCATENATE($B1554,$N1554),'LAC 103'!$AI:$AQ,9,FALSE),"")</f>
        <v>Costs</v>
      </c>
      <c r="X1554" s="1146">
        <f t="shared" si="438"/>
        <v>62.693351301149079</v>
      </c>
      <c r="Y1554" s="1143">
        <f t="shared" si="448"/>
        <v>1824.3765228634379</v>
      </c>
      <c r="Z1554" s="1147">
        <f t="shared" si="439"/>
        <v>1824.3765228634379</v>
      </c>
      <c r="AA1554" s="1144">
        <f t="shared" si="440"/>
        <v>1824.3765228634379</v>
      </c>
      <c r="AB1554" s="1144">
        <f t="shared" si="441"/>
        <v>0</v>
      </c>
      <c r="AC1554" s="1144">
        <f t="shared" si="442"/>
        <v>0</v>
      </c>
      <c r="AD1554" s="1148">
        <f t="shared" si="434"/>
        <v>1824.3765228634379</v>
      </c>
      <c r="AE1554" s="1487">
        <v>0</v>
      </c>
      <c r="AF1554" s="1145">
        <f t="shared" si="443"/>
        <v>1824.3765228634379</v>
      </c>
      <c r="AG1554" s="1149">
        <f>IFERROR(VLOOKUP(CONCATENATE($L1554,$N1554),'Drop List'!$G$23:$K$87,2,FALSE),0)</f>
        <v>0</v>
      </c>
      <c r="AH1554" s="1150">
        <f>IFERROR(VLOOKUP(CONCATENATE($L1554,$N1554),'Drop List'!$G$23:$K$87,3,FALSE),0)</f>
        <v>0</v>
      </c>
      <c r="AI1554" s="1150">
        <f>IFERROR(VLOOKUP(CONCATENATE($L1554,$N1554),'Drop List'!$G$23:$K$87,4,FALSE),0)</f>
        <v>0</v>
      </c>
      <c r="AJ1554" s="1151">
        <f>IFERROR(VLOOKUP(CONCATENATE($L1554,$N1554),'Drop List'!$G$23:$K$87,5,FALSE),0)</f>
        <v>0</v>
      </c>
      <c r="AK1554" s="1152">
        <f t="shared" si="444"/>
        <v>0</v>
      </c>
      <c r="AL1554" s="1153">
        <f t="shared" si="445"/>
        <v>0</v>
      </c>
      <c r="AM1554" s="1153">
        <f t="shared" si="446"/>
        <v>0</v>
      </c>
      <c r="AN1554" s="1145">
        <f t="shared" si="447"/>
        <v>0</v>
      </c>
      <c r="AO1554" s="1154">
        <f t="shared" si="432"/>
        <v>0</v>
      </c>
      <c r="AP1554" s="1147">
        <f t="shared" si="435"/>
        <v>1824.3765228634379</v>
      </c>
      <c r="AQ1554" s="1144">
        <f t="shared" si="436"/>
        <v>0</v>
      </c>
      <c r="AR1554" s="1146">
        <f t="shared" si="437"/>
        <v>1824.3765228634379</v>
      </c>
    </row>
    <row r="1555" spans="1:44" x14ac:dyDescent="0.2">
      <c r="A1555" s="1141" t="str">
        <f t="shared" si="431"/>
        <v>4510</v>
      </c>
      <c r="B1555" s="1141" t="str">
        <f>IFERROR(VLOOKUP(A1555,'LAC 103'!A:C,3,FALSE),"")</f>
        <v>COS</v>
      </c>
      <c r="C1555" s="1478" t="str">
        <f>Info!$B$8</f>
        <v>00100</v>
      </c>
      <c r="D1555" s="1474" t="s">
        <v>256</v>
      </c>
      <c r="E1555" s="1474" t="s">
        <v>104</v>
      </c>
      <c r="F1555" s="1478" t="s">
        <v>77</v>
      </c>
      <c r="G1555" s="1478" t="s">
        <v>77</v>
      </c>
      <c r="H1555" s="1474" t="s">
        <v>987</v>
      </c>
      <c r="I1555" s="1478" t="s">
        <v>811</v>
      </c>
      <c r="J1555" s="1478"/>
      <c r="K1555" s="1475" t="s">
        <v>846</v>
      </c>
      <c r="L1555" s="1474" t="s">
        <v>332</v>
      </c>
      <c r="M1555" s="1476" t="s">
        <v>840</v>
      </c>
      <c r="N1555" s="1477" t="s">
        <v>1700</v>
      </c>
      <c r="O1555" s="1479">
        <v>29.783333333333331</v>
      </c>
      <c r="P1555" s="1479"/>
      <c r="Q1555" s="1142">
        <f t="shared" si="433"/>
        <v>29.783333333333331</v>
      </c>
      <c r="R1555" s="1143">
        <f>IFERROR(VLOOKUP(CONCATENATE($E1555,$G1555),'LAC 103'!$A$12:$O$95,11,FALSE),0)</f>
        <v>62.693351301149079</v>
      </c>
      <c r="S1555" s="1144">
        <f>IFERROR(VLOOKUP(CONCATENATE($E1555,$G1555),'LAC 103'!$A$12:$O$95,12,FALSE),0)</f>
        <v>0</v>
      </c>
      <c r="T1555" s="1144">
        <f>IFERROR(VLOOKUP(CONCATENATE($E1555,$G1555),'LAC 103'!$A$12:$O$95,13,FALSE),0)</f>
        <v>0</v>
      </c>
      <c r="U1555" s="1144">
        <f>IFERROR(VLOOKUP(CONCATENATE($E1555,$G1555),'LAC 103'!$A$12:$O$95,14,FALSE),0)</f>
        <v>0</v>
      </c>
      <c r="V1555" s="1144">
        <f>IFERROR(VLOOKUP(CONCATENATE($E1555,$G1555),'LAC 103'!$A$12:$O$95,15,FALSE),0)</f>
        <v>0</v>
      </c>
      <c r="W1555" s="1145" t="str">
        <f>IFERROR(VLOOKUP(CONCATENATE($B1555,$N1555),'LAC 103'!$AI:$AQ,9,FALSE),"")</f>
        <v>Costs</v>
      </c>
      <c r="X1555" s="1146">
        <f t="shared" si="438"/>
        <v>62.693351301149079</v>
      </c>
      <c r="Y1555" s="1143">
        <f t="shared" si="448"/>
        <v>1867.2169795858899</v>
      </c>
      <c r="Z1555" s="1147">
        <f t="shared" si="439"/>
        <v>1867.2169795858899</v>
      </c>
      <c r="AA1555" s="1144">
        <f t="shared" si="440"/>
        <v>1867.2169795858899</v>
      </c>
      <c r="AB1555" s="1144">
        <f t="shared" si="441"/>
        <v>0</v>
      </c>
      <c r="AC1555" s="1144">
        <f t="shared" si="442"/>
        <v>0</v>
      </c>
      <c r="AD1555" s="1148">
        <f t="shared" si="434"/>
        <v>1867.2169795858899</v>
      </c>
      <c r="AE1555" s="1487">
        <v>0</v>
      </c>
      <c r="AF1555" s="1145">
        <f t="shared" si="443"/>
        <v>1867.2169795858899</v>
      </c>
      <c r="AG1555" s="1149">
        <f>IFERROR(VLOOKUP(CONCATENATE($L1555,$N1555),'Drop List'!$G$23:$K$87,2,FALSE),0)</f>
        <v>0</v>
      </c>
      <c r="AH1555" s="1150">
        <f>IFERROR(VLOOKUP(CONCATENATE($L1555,$N1555),'Drop List'!$G$23:$K$87,3,FALSE),0)</f>
        <v>0</v>
      </c>
      <c r="AI1555" s="1150">
        <f>IFERROR(VLOOKUP(CONCATENATE($L1555,$N1555),'Drop List'!$G$23:$K$87,4,FALSE),0)</f>
        <v>0</v>
      </c>
      <c r="AJ1555" s="1151">
        <f>IFERROR(VLOOKUP(CONCATENATE($L1555,$N1555),'Drop List'!$G$23:$K$87,5,FALSE),0)</f>
        <v>0</v>
      </c>
      <c r="AK1555" s="1152">
        <f t="shared" si="444"/>
        <v>0</v>
      </c>
      <c r="AL1555" s="1153">
        <f t="shared" si="445"/>
        <v>0</v>
      </c>
      <c r="AM1555" s="1153">
        <f t="shared" si="446"/>
        <v>0</v>
      </c>
      <c r="AN1555" s="1145">
        <f t="shared" si="447"/>
        <v>0</v>
      </c>
      <c r="AO1555" s="1154">
        <f t="shared" si="432"/>
        <v>0</v>
      </c>
      <c r="AP1555" s="1147">
        <f t="shared" si="435"/>
        <v>1867.2169795858899</v>
      </c>
      <c r="AQ1555" s="1144">
        <f t="shared" si="436"/>
        <v>0</v>
      </c>
      <c r="AR1555" s="1146">
        <f t="shared" si="437"/>
        <v>1867.2169795858899</v>
      </c>
    </row>
    <row r="1556" spans="1:44" x14ac:dyDescent="0.2">
      <c r="A1556" s="1141" t="str">
        <f t="shared" si="431"/>
        <v>4510</v>
      </c>
      <c r="B1556" s="1141" t="str">
        <f>IFERROR(VLOOKUP(A1556,'LAC 103'!A:C,3,FALSE),"")</f>
        <v>COS</v>
      </c>
      <c r="C1556" s="1478" t="str">
        <f>Info!$B$8</f>
        <v>00100</v>
      </c>
      <c r="D1556" s="1474" t="s">
        <v>256</v>
      </c>
      <c r="E1556" s="1474" t="s">
        <v>104</v>
      </c>
      <c r="F1556" s="1478" t="s">
        <v>77</v>
      </c>
      <c r="G1556" s="1478" t="s">
        <v>77</v>
      </c>
      <c r="H1556" s="1474" t="s">
        <v>987</v>
      </c>
      <c r="I1556" s="1478" t="s">
        <v>811</v>
      </c>
      <c r="J1556" s="1478"/>
      <c r="K1556" s="1475" t="s">
        <v>846</v>
      </c>
      <c r="L1556" s="1474" t="s">
        <v>332</v>
      </c>
      <c r="M1556" s="1476" t="s">
        <v>842</v>
      </c>
      <c r="N1556" s="1477" t="s">
        <v>1692</v>
      </c>
      <c r="O1556" s="1479">
        <v>74.5</v>
      </c>
      <c r="P1556" s="1479"/>
      <c r="Q1556" s="1142">
        <f t="shared" si="433"/>
        <v>74.5</v>
      </c>
      <c r="R1556" s="1143">
        <f>IFERROR(VLOOKUP(CONCATENATE($E1556,$G1556),'LAC 103'!$A$12:$O$95,11,FALSE),0)</f>
        <v>62.693351301149079</v>
      </c>
      <c r="S1556" s="1144">
        <f>IFERROR(VLOOKUP(CONCATENATE($E1556,$G1556),'LAC 103'!$A$12:$O$95,12,FALSE),0)</f>
        <v>0</v>
      </c>
      <c r="T1556" s="1144">
        <f>IFERROR(VLOOKUP(CONCATENATE($E1556,$G1556),'LAC 103'!$A$12:$O$95,13,FALSE),0)</f>
        <v>0</v>
      </c>
      <c r="U1556" s="1144">
        <f>IFERROR(VLOOKUP(CONCATENATE($E1556,$G1556),'LAC 103'!$A$12:$O$95,14,FALSE),0)</f>
        <v>0</v>
      </c>
      <c r="V1556" s="1144">
        <f>IFERROR(VLOOKUP(CONCATENATE($E1556,$G1556),'LAC 103'!$A$12:$O$95,15,FALSE),0)</f>
        <v>0</v>
      </c>
      <c r="W1556" s="1145" t="str">
        <f>IFERROR(VLOOKUP(CONCATENATE($B1556,$N1556),'LAC 103'!$AI:$AQ,9,FALSE),"")</f>
        <v>Costs</v>
      </c>
      <c r="X1556" s="1146">
        <f t="shared" si="438"/>
        <v>62.693351301149079</v>
      </c>
      <c r="Y1556" s="1143">
        <f t="shared" si="448"/>
        <v>4670.6546719356065</v>
      </c>
      <c r="Z1556" s="1147">
        <f t="shared" si="439"/>
        <v>4670.6546719356065</v>
      </c>
      <c r="AA1556" s="1144">
        <f t="shared" si="440"/>
        <v>4670.6546719356065</v>
      </c>
      <c r="AB1556" s="1144">
        <f t="shared" si="441"/>
        <v>0</v>
      </c>
      <c r="AC1556" s="1144">
        <f t="shared" si="442"/>
        <v>0</v>
      </c>
      <c r="AD1556" s="1148">
        <f t="shared" si="434"/>
        <v>4670.6546719356065</v>
      </c>
      <c r="AE1556" s="1487">
        <v>0</v>
      </c>
      <c r="AF1556" s="1145">
        <f t="shared" si="443"/>
        <v>4670.6546719356065</v>
      </c>
      <c r="AG1556" s="1149">
        <f>IFERROR(VLOOKUP(CONCATENATE($L1556,$N1556),'Drop List'!$G$23:$K$87,2,FALSE),0)</f>
        <v>0</v>
      </c>
      <c r="AH1556" s="1150">
        <f>IFERROR(VLOOKUP(CONCATENATE($L1556,$N1556),'Drop List'!$G$23:$K$87,3,FALSE),0)</f>
        <v>0</v>
      </c>
      <c r="AI1556" s="1150">
        <f>IFERROR(VLOOKUP(CONCATENATE($L1556,$N1556),'Drop List'!$G$23:$K$87,4,FALSE),0)</f>
        <v>0</v>
      </c>
      <c r="AJ1556" s="1151">
        <f>IFERROR(VLOOKUP(CONCATENATE($L1556,$N1556),'Drop List'!$G$23:$K$87,5,FALSE),0)</f>
        <v>0</v>
      </c>
      <c r="AK1556" s="1152">
        <f t="shared" si="444"/>
        <v>0</v>
      </c>
      <c r="AL1556" s="1153">
        <f t="shared" si="445"/>
        <v>0</v>
      </c>
      <c r="AM1556" s="1153">
        <f t="shared" si="446"/>
        <v>0</v>
      </c>
      <c r="AN1556" s="1145">
        <f t="shared" si="447"/>
        <v>0</v>
      </c>
      <c r="AO1556" s="1154">
        <f t="shared" si="432"/>
        <v>0</v>
      </c>
      <c r="AP1556" s="1147">
        <f t="shared" si="435"/>
        <v>4670.6546719356065</v>
      </c>
      <c r="AQ1556" s="1144">
        <f t="shared" si="436"/>
        <v>0</v>
      </c>
      <c r="AR1556" s="1146">
        <f t="shared" si="437"/>
        <v>4670.6546719356065</v>
      </c>
    </row>
    <row r="1557" spans="1:44" x14ac:dyDescent="0.2">
      <c r="A1557" s="1141" t="str">
        <f t="shared" si="431"/>
        <v>4510</v>
      </c>
      <c r="B1557" s="1141" t="str">
        <f>IFERROR(VLOOKUP(A1557,'LAC 103'!A:C,3,FALSE),"")</f>
        <v>COS</v>
      </c>
      <c r="C1557" s="1478" t="str">
        <f>Info!$B$8</f>
        <v>00100</v>
      </c>
      <c r="D1557" s="1474" t="s">
        <v>256</v>
      </c>
      <c r="E1557" s="1474" t="s">
        <v>104</v>
      </c>
      <c r="F1557" s="1478" t="s">
        <v>77</v>
      </c>
      <c r="G1557" s="1478" t="s">
        <v>77</v>
      </c>
      <c r="H1557" s="1474" t="s">
        <v>987</v>
      </c>
      <c r="I1557" s="1478" t="s">
        <v>811</v>
      </c>
      <c r="J1557" s="1478"/>
      <c r="K1557" s="1475" t="s">
        <v>846</v>
      </c>
      <c r="L1557" s="1474" t="s">
        <v>332</v>
      </c>
      <c r="M1557" s="1476" t="s">
        <v>1698</v>
      </c>
      <c r="N1557" s="1477" t="s">
        <v>1693</v>
      </c>
      <c r="O1557" s="1479">
        <v>23.349999999999998</v>
      </c>
      <c r="P1557" s="1479"/>
      <c r="Q1557" s="1142">
        <f t="shared" si="433"/>
        <v>23.349999999999998</v>
      </c>
      <c r="R1557" s="1143">
        <f>IFERROR(VLOOKUP(CONCATENATE($E1557,$G1557),'LAC 103'!$A$12:$O$95,11,FALSE),0)</f>
        <v>62.693351301149079</v>
      </c>
      <c r="S1557" s="1144">
        <f>IFERROR(VLOOKUP(CONCATENATE($E1557,$G1557),'LAC 103'!$A$12:$O$95,12,FALSE),0)</f>
        <v>0</v>
      </c>
      <c r="T1557" s="1144">
        <f>IFERROR(VLOOKUP(CONCATENATE($E1557,$G1557),'LAC 103'!$A$12:$O$95,13,FALSE),0)</f>
        <v>0</v>
      </c>
      <c r="U1557" s="1144">
        <f>IFERROR(VLOOKUP(CONCATENATE($E1557,$G1557),'LAC 103'!$A$12:$O$95,14,FALSE),0)</f>
        <v>0</v>
      </c>
      <c r="V1557" s="1144">
        <f>IFERROR(VLOOKUP(CONCATENATE($E1557,$G1557),'LAC 103'!$A$12:$O$95,15,FALSE),0)</f>
        <v>0</v>
      </c>
      <c r="W1557" s="1145" t="str">
        <f>IFERROR(VLOOKUP(CONCATENATE($B1557,$N1557),'LAC 103'!$AI:$AQ,9,FALSE),"")</f>
        <v>Costs</v>
      </c>
      <c r="X1557" s="1146">
        <f t="shared" si="438"/>
        <v>62.693351301149079</v>
      </c>
      <c r="Y1557" s="1143">
        <f t="shared" si="448"/>
        <v>1463.8897528818309</v>
      </c>
      <c r="Z1557" s="1147">
        <f t="shared" si="439"/>
        <v>1463.8897528818309</v>
      </c>
      <c r="AA1557" s="1144">
        <f t="shared" si="440"/>
        <v>1463.8897528818309</v>
      </c>
      <c r="AB1557" s="1144">
        <f t="shared" si="441"/>
        <v>0</v>
      </c>
      <c r="AC1557" s="1144">
        <f t="shared" si="442"/>
        <v>0</v>
      </c>
      <c r="AD1557" s="1148">
        <f t="shared" si="434"/>
        <v>1463.8897528818309</v>
      </c>
      <c r="AE1557" s="1487">
        <v>0</v>
      </c>
      <c r="AF1557" s="1145">
        <f t="shared" si="443"/>
        <v>1463.8897528818309</v>
      </c>
      <c r="AG1557" s="1149">
        <f>IFERROR(VLOOKUP(CONCATENATE($L1557,$N1557),'Drop List'!$G$23:$K$87,2,FALSE),0)</f>
        <v>0</v>
      </c>
      <c r="AH1557" s="1150">
        <f>IFERROR(VLOOKUP(CONCATENATE($L1557,$N1557),'Drop List'!$G$23:$K$87,3,FALSE),0)</f>
        <v>0</v>
      </c>
      <c r="AI1557" s="1150">
        <f>IFERROR(VLOOKUP(CONCATENATE($L1557,$N1557),'Drop List'!$G$23:$K$87,4,FALSE),0)</f>
        <v>0</v>
      </c>
      <c r="AJ1557" s="1151">
        <f>IFERROR(VLOOKUP(CONCATENATE($L1557,$N1557),'Drop List'!$G$23:$K$87,5,FALSE),0)</f>
        <v>0</v>
      </c>
      <c r="AK1557" s="1152">
        <f t="shared" si="444"/>
        <v>0</v>
      </c>
      <c r="AL1557" s="1153">
        <f t="shared" si="445"/>
        <v>0</v>
      </c>
      <c r="AM1557" s="1153">
        <f t="shared" si="446"/>
        <v>0</v>
      </c>
      <c r="AN1557" s="1145">
        <f t="shared" si="447"/>
        <v>0</v>
      </c>
      <c r="AO1557" s="1154">
        <f t="shared" si="432"/>
        <v>0</v>
      </c>
      <c r="AP1557" s="1147">
        <f t="shared" si="435"/>
        <v>1463.8897528818309</v>
      </c>
      <c r="AQ1557" s="1144">
        <f t="shared" si="436"/>
        <v>0</v>
      </c>
      <c r="AR1557" s="1146">
        <f t="shared" si="437"/>
        <v>1463.8897528818309</v>
      </c>
    </row>
    <row r="1558" spans="1:44" x14ac:dyDescent="0.2">
      <c r="A1558" s="1141" t="str">
        <f t="shared" ref="A1558:A1621" si="449">IF(CONCATENATE(E1558,G1558)="","",CONCATENATE(E1558,G1558))</f>
        <v>4510</v>
      </c>
      <c r="B1558" s="1141" t="str">
        <f>IFERROR(VLOOKUP(A1558,'LAC 103'!A:C,3,FALSE),"")</f>
        <v>COS</v>
      </c>
      <c r="C1558" s="1478" t="str">
        <f>Info!$B$8</f>
        <v>00100</v>
      </c>
      <c r="D1558" s="1474" t="s">
        <v>256</v>
      </c>
      <c r="E1558" s="1474" t="s">
        <v>104</v>
      </c>
      <c r="F1558" s="1478" t="s">
        <v>77</v>
      </c>
      <c r="G1558" s="1478" t="s">
        <v>77</v>
      </c>
      <c r="H1558" s="1474" t="s">
        <v>1090</v>
      </c>
      <c r="I1558" s="1478" t="s">
        <v>815</v>
      </c>
      <c r="J1558" s="1478" t="s">
        <v>123</v>
      </c>
      <c r="K1558" s="1475" t="s">
        <v>846</v>
      </c>
      <c r="L1558" s="1474" t="s">
        <v>332</v>
      </c>
      <c r="M1558" s="1476" t="s">
        <v>1699</v>
      </c>
      <c r="N1558" s="1477" t="s">
        <v>1694</v>
      </c>
      <c r="O1558" s="1479">
        <v>441.28333333333381</v>
      </c>
      <c r="P1558" s="1479"/>
      <c r="Q1558" s="1142">
        <f t="shared" si="433"/>
        <v>441.28333333333381</v>
      </c>
      <c r="R1558" s="1143">
        <f>IFERROR(VLOOKUP(CONCATENATE($E1558,$G1558),'LAC 103'!$A$12:$O$95,11,FALSE),0)</f>
        <v>62.693351301149079</v>
      </c>
      <c r="S1558" s="1144">
        <f>IFERROR(VLOOKUP(CONCATENATE($E1558,$G1558),'LAC 103'!$A$12:$O$95,12,FALSE),0)</f>
        <v>0</v>
      </c>
      <c r="T1558" s="1144">
        <f>IFERROR(VLOOKUP(CONCATENATE($E1558,$G1558),'LAC 103'!$A$12:$O$95,13,FALSE),0)</f>
        <v>0</v>
      </c>
      <c r="U1558" s="1144">
        <f>IFERROR(VLOOKUP(CONCATENATE($E1558,$G1558),'LAC 103'!$A$12:$O$95,14,FALSE),0)</f>
        <v>0</v>
      </c>
      <c r="V1558" s="1144">
        <f>IFERROR(VLOOKUP(CONCATENATE($E1558,$G1558),'LAC 103'!$A$12:$O$95,15,FALSE),0)</f>
        <v>0</v>
      </c>
      <c r="W1558" s="1145" t="str">
        <f>IFERROR(VLOOKUP(CONCATENATE($B1558,$N1558),'LAC 103'!$AI:$AQ,9,FALSE),"")</f>
        <v>Costs</v>
      </c>
      <c r="X1558" s="1146">
        <f t="shared" si="438"/>
        <v>62.693351301149079</v>
      </c>
      <c r="Y1558" s="1143">
        <f t="shared" si="448"/>
        <v>27665.531040008766</v>
      </c>
      <c r="Z1558" s="1147">
        <f t="shared" si="439"/>
        <v>27665.531040008766</v>
      </c>
      <c r="AA1558" s="1144">
        <f t="shared" si="440"/>
        <v>27665.531040008766</v>
      </c>
      <c r="AB1558" s="1144">
        <f t="shared" si="441"/>
        <v>0</v>
      </c>
      <c r="AC1558" s="1144">
        <f t="shared" si="442"/>
        <v>0</v>
      </c>
      <c r="AD1558" s="1148">
        <f t="shared" si="434"/>
        <v>27665.531040008766</v>
      </c>
      <c r="AE1558" s="1487">
        <v>0</v>
      </c>
      <c r="AF1558" s="1145">
        <f t="shared" si="443"/>
        <v>27665.531040008766</v>
      </c>
      <c r="AG1558" s="1149">
        <f>IFERROR(VLOOKUP(CONCATENATE($L1558,$N1558),'Drop List'!$G$23:$K$87,2,FALSE),0)</f>
        <v>0</v>
      </c>
      <c r="AH1558" s="1150">
        <f>IFERROR(VLOOKUP(CONCATENATE($L1558,$N1558),'Drop List'!$G$23:$K$87,3,FALSE),0)</f>
        <v>0</v>
      </c>
      <c r="AI1558" s="1150">
        <f>IFERROR(VLOOKUP(CONCATENATE($L1558,$N1558),'Drop List'!$G$23:$K$87,4,FALSE),0)</f>
        <v>0</v>
      </c>
      <c r="AJ1558" s="1151">
        <f>IFERROR(VLOOKUP(CONCATENATE($L1558,$N1558),'Drop List'!$G$23:$K$87,5,FALSE),0)</f>
        <v>0</v>
      </c>
      <c r="AK1558" s="1152">
        <f t="shared" si="444"/>
        <v>0</v>
      </c>
      <c r="AL1558" s="1153">
        <f t="shared" si="445"/>
        <v>0</v>
      </c>
      <c r="AM1558" s="1153">
        <f t="shared" si="446"/>
        <v>0</v>
      </c>
      <c r="AN1558" s="1145">
        <f t="shared" si="447"/>
        <v>0</v>
      </c>
      <c r="AO1558" s="1154">
        <f t="shared" si="432"/>
        <v>0</v>
      </c>
      <c r="AP1558" s="1147">
        <f t="shared" si="435"/>
        <v>27665.531040008766</v>
      </c>
      <c r="AQ1558" s="1144">
        <f t="shared" si="436"/>
        <v>0</v>
      </c>
      <c r="AR1558" s="1146">
        <f t="shared" si="437"/>
        <v>27665.531040008766</v>
      </c>
    </row>
    <row r="1559" spans="1:44" x14ac:dyDescent="0.2">
      <c r="A1559" s="1141" t="str">
        <f t="shared" si="449"/>
        <v>4510</v>
      </c>
      <c r="B1559" s="1141" t="str">
        <f>IFERROR(VLOOKUP(A1559,'LAC 103'!A:C,3,FALSE),"")</f>
        <v>COS</v>
      </c>
      <c r="C1559" s="1478" t="str">
        <f>Info!$B$8</f>
        <v>00100</v>
      </c>
      <c r="D1559" s="1474" t="s">
        <v>256</v>
      </c>
      <c r="E1559" s="1474" t="s">
        <v>104</v>
      </c>
      <c r="F1559" s="1478" t="s">
        <v>77</v>
      </c>
      <c r="G1559" s="1478" t="s">
        <v>77</v>
      </c>
      <c r="H1559" s="1474" t="s">
        <v>1090</v>
      </c>
      <c r="I1559" s="1478" t="s">
        <v>815</v>
      </c>
      <c r="J1559" s="1478"/>
      <c r="K1559" s="1475" t="s">
        <v>846</v>
      </c>
      <c r="L1559" s="1474" t="s">
        <v>332</v>
      </c>
      <c r="M1559" s="1476" t="s">
        <v>841</v>
      </c>
      <c r="N1559" s="1477" t="s">
        <v>1695</v>
      </c>
      <c r="O1559" s="1479">
        <v>196.86666666666676</v>
      </c>
      <c r="P1559" s="1479"/>
      <c r="Q1559" s="1142">
        <f t="shared" si="433"/>
        <v>196.86666666666676</v>
      </c>
      <c r="R1559" s="1143">
        <f>IFERROR(VLOOKUP(CONCATENATE($E1559,$G1559),'LAC 103'!$A$12:$O$95,11,FALSE),0)</f>
        <v>62.693351301149079</v>
      </c>
      <c r="S1559" s="1144">
        <f>IFERROR(VLOOKUP(CONCATENATE($E1559,$G1559),'LAC 103'!$A$12:$O$95,12,FALSE),0)</f>
        <v>0</v>
      </c>
      <c r="T1559" s="1144">
        <f>IFERROR(VLOOKUP(CONCATENATE($E1559,$G1559),'LAC 103'!$A$12:$O$95,13,FALSE),0)</f>
        <v>0</v>
      </c>
      <c r="U1559" s="1144">
        <f>IFERROR(VLOOKUP(CONCATENATE($E1559,$G1559),'LAC 103'!$A$12:$O$95,14,FALSE),0)</f>
        <v>0</v>
      </c>
      <c r="V1559" s="1144">
        <f>IFERROR(VLOOKUP(CONCATENATE($E1559,$G1559),'LAC 103'!$A$12:$O$95,15,FALSE),0)</f>
        <v>0</v>
      </c>
      <c r="W1559" s="1145" t="str">
        <f>IFERROR(VLOOKUP(CONCATENATE($B1559,$N1559),'LAC 103'!$AI:$AQ,9,FALSE),"")</f>
        <v>Costs</v>
      </c>
      <c r="X1559" s="1146">
        <f t="shared" si="438"/>
        <v>62.693351301149079</v>
      </c>
      <c r="Y1559" s="1143">
        <f t="shared" si="448"/>
        <v>12342.231092819555</v>
      </c>
      <c r="Z1559" s="1147">
        <f t="shared" si="439"/>
        <v>12342.231092819555</v>
      </c>
      <c r="AA1559" s="1144">
        <f t="shared" si="440"/>
        <v>12342.231092819555</v>
      </c>
      <c r="AB1559" s="1144">
        <f t="shared" si="441"/>
        <v>0</v>
      </c>
      <c r="AC1559" s="1144">
        <f t="shared" si="442"/>
        <v>0</v>
      </c>
      <c r="AD1559" s="1148">
        <f t="shared" si="434"/>
        <v>12342.231092819555</v>
      </c>
      <c r="AE1559" s="1487">
        <v>0</v>
      </c>
      <c r="AF1559" s="1145">
        <f t="shared" si="443"/>
        <v>12342.231092819555</v>
      </c>
      <c r="AG1559" s="1149">
        <f>IFERROR(VLOOKUP(CONCATENATE($L1559,$N1559),'Drop List'!$G$23:$K$87,2,FALSE),0)</f>
        <v>0</v>
      </c>
      <c r="AH1559" s="1150">
        <f>IFERROR(VLOOKUP(CONCATENATE($L1559,$N1559),'Drop List'!$G$23:$K$87,3,FALSE),0)</f>
        <v>0</v>
      </c>
      <c r="AI1559" s="1150">
        <f>IFERROR(VLOOKUP(CONCATENATE($L1559,$N1559),'Drop List'!$G$23:$K$87,4,FALSE),0)</f>
        <v>0</v>
      </c>
      <c r="AJ1559" s="1151">
        <f>IFERROR(VLOOKUP(CONCATENATE($L1559,$N1559),'Drop List'!$G$23:$K$87,5,FALSE),0)</f>
        <v>0</v>
      </c>
      <c r="AK1559" s="1152">
        <f t="shared" si="444"/>
        <v>0</v>
      </c>
      <c r="AL1559" s="1153">
        <f t="shared" si="445"/>
        <v>0</v>
      </c>
      <c r="AM1559" s="1153">
        <f t="shared" si="446"/>
        <v>0</v>
      </c>
      <c r="AN1559" s="1145">
        <f t="shared" si="447"/>
        <v>0</v>
      </c>
      <c r="AO1559" s="1154">
        <f t="shared" si="432"/>
        <v>0</v>
      </c>
      <c r="AP1559" s="1147">
        <f t="shared" si="435"/>
        <v>12342.231092819555</v>
      </c>
      <c r="AQ1559" s="1144">
        <f t="shared" si="436"/>
        <v>0</v>
      </c>
      <c r="AR1559" s="1146">
        <f t="shared" si="437"/>
        <v>12342.231092819555</v>
      </c>
    </row>
    <row r="1560" spans="1:44" x14ac:dyDescent="0.2">
      <c r="A1560" s="1141" t="str">
        <f t="shared" si="449"/>
        <v>4510</v>
      </c>
      <c r="B1560" s="1141" t="str">
        <f>IFERROR(VLOOKUP(A1560,'LAC 103'!A:C,3,FALSE),"")</f>
        <v>COS</v>
      </c>
      <c r="C1560" s="1478" t="str">
        <f>Info!$B$8</f>
        <v>00100</v>
      </c>
      <c r="D1560" s="1474" t="s">
        <v>256</v>
      </c>
      <c r="E1560" s="1474" t="s">
        <v>104</v>
      </c>
      <c r="F1560" s="1478" t="s">
        <v>77</v>
      </c>
      <c r="G1560" s="1478" t="s">
        <v>77</v>
      </c>
      <c r="H1560" s="1474" t="s">
        <v>1090</v>
      </c>
      <c r="I1560" s="1478" t="s">
        <v>815</v>
      </c>
      <c r="J1560" s="1478"/>
      <c r="K1560" s="1475" t="s">
        <v>846</v>
      </c>
      <c r="L1560" s="1474" t="s">
        <v>332</v>
      </c>
      <c r="M1560" s="1476" t="s">
        <v>840</v>
      </c>
      <c r="N1560" s="1477" t="s">
        <v>1700</v>
      </c>
      <c r="O1560" s="1479">
        <v>146.58333333333331</v>
      </c>
      <c r="P1560" s="1479"/>
      <c r="Q1560" s="1142">
        <f t="shared" si="433"/>
        <v>146.58333333333331</v>
      </c>
      <c r="R1560" s="1143">
        <f>IFERROR(VLOOKUP(CONCATENATE($E1560,$G1560),'LAC 103'!$A$12:$O$95,11,FALSE),0)</f>
        <v>62.693351301149079</v>
      </c>
      <c r="S1560" s="1144">
        <f>IFERROR(VLOOKUP(CONCATENATE($E1560,$G1560),'LAC 103'!$A$12:$O$95,12,FALSE),0)</f>
        <v>0</v>
      </c>
      <c r="T1560" s="1144">
        <f>IFERROR(VLOOKUP(CONCATENATE($E1560,$G1560),'LAC 103'!$A$12:$O$95,13,FALSE),0)</f>
        <v>0</v>
      </c>
      <c r="U1560" s="1144">
        <f>IFERROR(VLOOKUP(CONCATENATE($E1560,$G1560),'LAC 103'!$A$12:$O$95,14,FALSE),0)</f>
        <v>0</v>
      </c>
      <c r="V1560" s="1144">
        <f>IFERROR(VLOOKUP(CONCATENATE($E1560,$G1560),'LAC 103'!$A$12:$O$95,15,FALSE),0)</f>
        <v>0</v>
      </c>
      <c r="W1560" s="1145" t="str">
        <f>IFERROR(VLOOKUP(CONCATENATE($B1560,$N1560),'LAC 103'!$AI:$AQ,9,FALSE),"")</f>
        <v>Costs</v>
      </c>
      <c r="X1560" s="1146">
        <f t="shared" si="438"/>
        <v>62.693351301149079</v>
      </c>
      <c r="Y1560" s="1143">
        <f t="shared" si="448"/>
        <v>9189.8004115601016</v>
      </c>
      <c r="Z1560" s="1147">
        <f t="shared" si="439"/>
        <v>9189.8004115601016</v>
      </c>
      <c r="AA1560" s="1144">
        <f t="shared" si="440"/>
        <v>9189.8004115601016</v>
      </c>
      <c r="AB1560" s="1144">
        <f t="shared" si="441"/>
        <v>0</v>
      </c>
      <c r="AC1560" s="1144">
        <f t="shared" si="442"/>
        <v>0</v>
      </c>
      <c r="AD1560" s="1148">
        <f t="shared" si="434"/>
        <v>9189.8004115601016</v>
      </c>
      <c r="AE1560" s="1487">
        <v>0</v>
      </c>
      <c r="AF1560" s="1145">
        <f t="shared" si="443"/>
        <v>9189.8004115601016</v>
      </c>
      <c r="AG1560" s="1149">
        <f>IFERROR(VLOOKUP(CONCATENATE($L1560,$N1560),'Drop List'!$G$23:$K$87,2,FALSE),0)</f>
        <v>0</v>
      </c>
      <c r="AH1560" s="1150">
        <f>IFERROR(VLOOKUP(CONCATENATE($L1560,$N1560),'Drop List'!$G$23:$K$87,3,FALSE),0)</f>
        <v>0</v>
      </c>
      <c r="AI1560" s="1150">
        <f>IFERROR(VLOOKUP(CONCATENATE($L1560,$N1560),'Drop List'!$G$23:$K$87,4,FALSE),0)</f>
        <v>0</v>
      </c>
      <c r="AJ1560" s="1151">
        <f>IFERROR(VLOOKUP(CONCATENATE($L1560,$N1560),'Drop List'!$G$23:$K$87,5,FALSE),0)</f>
        <v>0</v>
      </c>
      <c r="AK1560" s="1152">
        <f t="shared" si="444"/>
        <v>0</v>
      </c>
      <c r="AL1560" s="1153">
        <f t="shared" si="445"/>
        <v>0</v>
      </c>
      <c r="AM1560" s="1153">
        <f t="shared" si="446"/>
        <v>0</v>
      </c>
      <c r="AN1560" s="1145">
        <f t="shared" si="447"/>
        <v>0</v>
      </c>
      <c r="AO1560" s="1154">
        <f t="shared" si="432"/>
        <v>0</v>
      </c>
      <c r="AP1560" s="1147">
        <f t="shared" si="435"/>
        <v>9189.8004115601016</v>
      </c>
      <c r="AQ1560" s="1144">
        <f t="shared" si="436"/>
        <v>0</v>
      </c>
      <c r="AR1560" s="1146">
        <f t="shared" si="437"/>
        <v>9189.8004115601016</v>
      </c>
    </row>
    <row r="1561" spans="1:44" x14ac:dyDescent="0.2">
      <c r="A1561" s="1141" t="str">
        <f t="shared" si="449"/>
        <v>4510</v>
      </c>
      <c r="B1561" s="1141" t="str">
        <f>IFERROR(VLOOKUP(A1561,'LAC 103'!A:C,3,FALSE),"")</f>
        <v>COS</v>
      </c>
      <c r="C1561" s="1478" t="str">
        <f>Info!$B$8</f>
        <v>00100</v>
      </c>
      <c r="D1561" s="1474" t="s">
        <v>256</v>
      </c>
      <c r="E1561" s="1474" t="s">
        <v>104</v>
      </c>
      <c r="F1561" s="1478" t="s">
        <v>77</v>
      </c>
      <c r="G1561" s="1478" t="s">
        <v>77</v>
      </c>
      <c r="H1561" s="1474" t="s">
        <v>1090</v>
      </c>
      <c r="I1561" s="1478" t="s">
        <v>815</v>
      </c>
      <c r="J1561" s="1478"/>
      <c r="K1561" s="1475" t="s">
        <v>846</v>
      </c>
      <c r="L1561" s="1474" t="s">
        <v>332</v>
      </c>
      <c r="M1561" s="1476" t="s">
        <v>842</v>
      </c>
      <c r="N1561" s="1477" t="s">
        <v>1692</v>
      </c>
      <c r="O1561" s="1479">
        <v>507.76666666666722</v>
      </c>
      <c r="P1561" s="1479"/>
      <c r="Q1561" s="1142">
        <f t="shared" si="433"/>
        <v>507.76666666666722</v>
      </c>
      <c r="R1561" s="1143">
        <f>IFERROR(VLOOKUP(CONCATENATE($E1561,$G1561),'LAC 103'!$A$12:$O$95,11,FALSE),0)</f>
        <v>62.693351301149079</v>
      </c>
      <c r="S1561" s="1144">
        <f>IFERROR(VLOOKUP(CONCATENATE($E1561,$G1561),'LAC 103'!$A$12:$O$95,12,FALSE),0)</f>
        <v>0</v>
      </c>
      <c r="T1561" s="1144">
        <f>IFERROR(VLOOKUP(CONCATENATE($E1561,$G1561),'LAC 103'!$A$12:$O$95,13,FALSE),0)</f>
        <v>0</v>
      </c>
      <c r="U1561" s="1144">
        <f>IFERROR(VLOOKUP(CONCATENATE($E1561,$G1561),'LAC 103'!$A$12:$O$95,14,FALSE),0)</f>
        <v>0</v>
      </c>
      <c r="V1561" s="1144">
        <f>IFERROR(VLOOKUP(CONCATENATE($E1561,$G1561),'LAC 103'!$A$12:$O$95,15,FALSE),0)</f>
        <v>0</v>
      </c>
      <c r="W1561" s="1145" t="str">
        <f>IFERROR(VLOOKUP(CONCATENATE($B1561,$N1561),'LAC 103'!$AI:$AQ,9,FALSE),"")</f>
        <v>Costs</v>
      </c>
      <c r="X1561" s="1146">
        <f t="shared" si="438"/>
        <v>62.693351301149079</v>
      </c>
      <c r="Y1561" s="1143">
        <f t="shared" si="448"/>
        <v>31833.594012346832</v>
      </c>
      <c r="Z1561" s="1147">
        <f t="shared" si="439"/>
        <v>31833.594012346832</v>
      </c>
      <c r="AA1561" s="1144">
        <f t="shared" si="440"/>
        <v>31833.594012346832</v>
      </c>
      <c r="AB1561" s="1144">
        <f t="shared" si="441"/>
        <v>0</v>
      </c>
      <c r="AC1561" s="1144">
        <f t="shared" si="442"/>
        <v>0</v>
      </c>
      <c r="AD1561" s="1148">
        <f t="shared" si="434"/>
        <v>31833.594012346832</v>
      </c>
      <c r="AE1561" s="1487">
        <v>0</v>
      </c>
      <c r="AF1561" s="1145">
        <f t="shared" si="443"/>
        <v>31833.594012346832</v>
      </c>
      <c r="AG1561" s="1149">
        <f>IFERROR(VLOOKUP(CONCATENATE($L1561,$N1561),'Drop List'!$G$23:$K$87,2,FALSE),0)</f>
        <v>0</v>
      </c>
      <c r="AH1561" s="1150">
        <f>IFERROR(VLOOKUP(CONCATENATE($L1561,$N1561),'Drop List'!$G$23:$K$87,3,FALSE),0)</f>
        <v>0</v>
      </c>
      <c r="AI1561" s="1150">
        <f>IFERROR(VLOOKUP(CONCATENATE($L1561,$N1561),'Drop List'!$G$23:$K$87,4,FALSE),0)</f>
        <v>0</v>
      </c>
      <c r="AJ1561" s="1151">
        <f>IFERROR(VLOOKUP(CONCATENATE($L1561,$N1561),'Drop List'!$G$23:$K$87,5,FALSE),0)</f>
        <v>0</v>
      </c>
      <c r="AK1561" s="1152">
        <f t="shared" si="444"/>
        <v>0</v>
      </c>
      <c r="AL1561" s="1153">
        <f t="shared" si="445"/>
        <v>0</v>
      </c>
      <c r="AM1561" s="1153">
        <f t="shared" si="446"/>
        <v>0</v>
      </c>
      <c r="AN1561" s="1145">
        <f t="shared" si="447"/>
        <v>0</v>
      </c>
      <c r="AO1561" s="1154">
        <f t="shared" si="432"/>
        <v>0</v>
      </c>
      <c r="AP1561" s="1147">
        <f t="shared" si="435"/>
        <v>31833.594012346832</v>
      </c>
      <c r="AQ1561" s="1144">
        <f t="shared" si="436"/>
        <v>0</v>
      </c>
      <c r="AR1561" s="1146">
        <f t="shared" si="437"/>
        <v>31833.594012346832</v>
      </c>
    </row>
    <row r="1562" spans="1:44" x14ac:dyDescent="0.2">
      <c r="A1562" s="1141" t="str">
        <f t="shared" si="449"/>
        <v>4510</v>
      </c>
      <c r="B1562" s="1141" t="str">
        <f>IFERROR(VLOOKUP(A1562,'LAC 103'!A:C,3,FALSE),"")</f>
        <v>COS</v>
      </c>
      <c r="C1562" s="1478" t="str">
        <f>Info!$B$8</f>
        <v>00100</v>
      </c>
      <c r="D1562" s="1474" t="s">
        <v>256</v>
      </c>
      <c r="E1562" s="1474" t="s">
        <v>104</v>
      </c>
      <c r="F1562" s="1478" t="s">
        <v>77</v>
      </c>
      <c r="G1562" s="1478" t="s">
        <v>77</v>
      </c>
      <c r="H1562" s="1474" t="s">
        <v>1090</v>
      </c>
      <c r="I1562" s="1478" t="s">
        <v>815</v>
      </c>
      <c r="J1562" s="1478"/>
      <c r="K1562" s="1475" t="s">
        <v>846</v>
      </c>
      <c r="L1562" s="1474" t="s">
        <v>332</v>
      </c>
      <c r="M1562" s="1476" t="s">
        <v>1698</v>
      </c>
      <c r="N1562" s="1477" t="s">
        <v>1693</v>
      </c>
      <c r="O1562" s="1479">
        <v>432.65000000000066</v>
      </c>
      <c r="P1562" s="1479"/>
      <c r="Q1562" s="1142">
        <f t="shared" si="433"/>
        <v>432.65000000000066</v>
      </c>
      <c r="R1562" s="1143">
        <f>IFERROR(VLOOKUP(CONCATENATE($E1562,$G1562),'LAC 103'!$A$12:$O$95,11,FALSE),0)</f>
        <v>62.693351301149079</v>
      </c>
      <c r="S1562" s="1144">
        <f>IFERROR(VLOOKUP(CONCATENATE($E1562,$G1562),'LAC 103'!$A$12:$O$95,12,FALSE),0)</f>
        <v>0</v>
      </c>
      <c r="T1562" s="1144">
        <f>IFERROR(VLOOKUP(CONCATENATE($E1562,$G1562),'LAC 103'!$A$12:$O$95,13,FALSE),0)</f>
        <v>0</v>
      </c>
      <c r="U1562" s="1144">
        <f>IFERROR(VLOOKUP(CONCATENATE($E1562,$G1562),'LAC 103'!$A$12:$O$95,14,FALSE),0)</f>
        <v>0</v>
      </c>
      <c r="V1562" s="1144">
        <f>IFERROR(VLOOKUP(CONCATENATE($E1562,$G1562),'LAC 103'!$A$12:$O$95,15,FALSE),0)</f>
        <v>0</v>
      </c>
      <c r="W1562" s="1145" t="str">
        <f>IFERROR(VLOOKUP(CONCATENATE($B1562,$N1562),'LAC 103'!$AI:$AQ,9,FALSE),"")</f>
        <v>Costs</v>
      </c>
      <c r="X1562" s="1146">
        <f t="shared" si="438"/>
        <v>62.693351301149079</v>
      </c>
      <c r="Y1562" s="1143">
        <f t="shared" si="448"/>
        <v>27124.278440442191</v>
      </c>
      <c r="Z1562" s="1147">
        <f t="shared" si="439"/>
        <v>27124.278440442191</v>
      </c>
      <c r="AA1562" s="1144">
        <f t="shared" si="440"/>
        <v>27124.278440442191</v>
      </c>
      <c r="AB1562" s="1144">
        <f t="shared" si="441"/>
        <v>0</v>
      </c>
      <c r="AC1562" s="1144">
        <f t="shared" si="442"/>
        <v>0</v>
      </c>
      <c r="AD1562" s="1148">
        <f t="shared" si="434"/>
        <v>27124.278440442191</v>
      </c>
      <c r="AE1562" s="1487">
        <v>0</v>
      </c>
      <c r="AF1562" s="1145">
        <f t="shared" si="443"/>
        <v>27124.278440442191</v>
      </c>
      <c r="AG1562" s="1149">
        <f>IFERROR(VLOOKUP(CONCATENATE($L1562,$N1562),'Drop List'!$G$23:$K$87,2,FALSE),0)</f>
        <v>0</v>
      </c>
      <c r="AH1562" s="1150">
        <f>IFERROR(VLOOKUP(CONCATENATE($L1562,$N1562),'Drop List'!$G$23:$K$87,3,FALSE),0)</f>
        <v>0</v>
      </c>
      <c r="AI1562" s="1150">
        <f>IFERROR(VLOOKUP(CONCATENATE($L1562,$N1562),'Drop List'!$G$23:$K$87,4,FALSE),0)</f>
        <v>0</v>
      </c>
      <c r="AJ1562" s="1151">
        <f>IFERROR(VLOOKUP(CONCATENATE($L1562,$N1562),'Drop List'!$G$23:$K$87,5,FALSE),0)</f>
        <v>0</v>
      </c>
      <c r="AK1562" s="1152">
        <f t="shared" si="444"/>
        <v>0</v>
      </c>
      <c r="AL1562" s="1153">
        <f t="shared" si="445"/>
        <v>0</v>
      </c>
      <c r="AM1562" s="1153">
        <f t="shared" si="446"/>
        <v>0</v>
      </c>
      <c r="AN1562" s="1145">
        <f t="shared" si="447"/>
        <v>0</v>
      </c>
      <c r="AO1562" s="1154">
        <f t="shared" si="432"/>
        <v>0</v>
      </c>
      <c r="AP1562" s="1147">
        <f t="shared" si="435"/>
        <v>27124.278440442191</v>
      </c>
      <c r="AQ1562" s="1144">
        <f t="shared" si="436"/>
        <v>0</v>
      </c>
      <c r="AR1562" s="1146">
        <f t="shared" si="437"/>
        <v>27124.278440442191</v>
      </c>
    </row>
    <row r="1563" spans="1:44" x14ac:dyDescent="0.2">
      <c r="A1563" s="1141" t="str">
        <f t="shared" si="449"/>
        <v>4510</v>
      </c>
      <c r="B1563" s="1141" t="str">
        <f>IFERROR(VLOOKUP(A1563,'LAC 103'!A:C,3,FALSE),"")</f>
        <v>COS</v>
      </c>
      <c r="C1563" s="1478" t="str">
        <f>Info!$B$8</f>
        <v>00100</v>
      </c>
      <c r="D1563" s="1474" t="s">
        <v>256</v>
      </c>
      <c r="E1563" s="1474" t="s">
        <v>104</v>
      </c>
      <c r="F1563" s="1478" t="s">
        <v>77</v>
      </c>
      <c r="G1563" s="1478" t="s">
        <v>77</v>
      </c>
      <c r="H1563" s="1474" t="s">
        <v>989</v>
      </c>
      <c r="I1563" s="1478" t="s">
        <v>823</v>
      </c>
      <c r="J1563" s="1478" t="s">
        <v>1998</v>
      </c>
      <c r="K1563" s="1475" t="s">
        <v>846</v>
      </c>
      <c r="L1563" s="1474" t="s">
        <v>332</v>
      </c>
      <c r="M1563" s="1476" t="s">
        <v>1699</v>
      </c>
      <c r="N1563" s="1477" t="s">
        <v>1694</v>
      </c>
      <c r="O1563" s="1479">
        <v>412.33333333333326</v>
      </c>
      <c r="P1563" s="1479"/>
      <c r="Q1563" s="1142">
        <f t="shared" si="433"/>
        <v>412.33333333333326</v>
      </c>
      <c r="R1563" s="1143">
        <f>IFERROR(VLOOKUP(CONCATENATE($E1563,$G1563),'LAC 103'!$A$12:$O$95,11,FALSE),0)</f>
        <v>62.693351301149079</v>
      </c>
      <c r="S1563" s="1144">
        <f>IFERROR(VLOOKUP(CONCATENATE($E1563,$G1563),'LAC 103'!$A$12:$O$95,12,FALSE),0)</f>
        <v>0</v>
      </c>
      <c r="T1563" s="1144">
        <f>IFERROR(VLOOKUP(CONCATENATE($E1563,$G1563),'LAC 103'!$A$12:$O$95,13,FALSE),0)</f>
        <v>0</v>
      </c>
      <c r="U1563" s="1144">
        <f>IFERROR(VLOOKUP(CONCATENATE($E1563,$G1563),'LAC 103'!$A$12:$O$95,14,FALSE),0)</f>
        <v>0</v>
      </c>
      <c r="V1563" s="1144">
        <f>IFERROR(VLOOKUP(CONCATENATE($E1563,$G1563),'LAC 103'!$A$12:$O$95,15,FALSE),0)</f>
        <v>0</v>
      </c>
      <c r="W1563" s="1145" t="str">
        <f>IFERROR(VLOOKUP(CONCATENATE($B1563,$N1563),'LAC 103'!$AI:$AQ,9,FALSE),"")</f>
        <v>Costs</v>
      </c>
      <c r="X1563" s="1146">
        <f t="shared" si="438"/>
        <v>62.693351301149079</v>
      </c>
      <c r="Y1563" s="1143">
        <f t="shared" si="448"/>
        <v>25850.558519840466</v>
      </c>
      <c r="Z1563" s="1147">
        <f t="shared" si="439"/>
        <v>25850.558519840466</v>
      </c>
      <c r="AA1563" s="1144">
        <f t="shared" si="440"/>
        <v>25850.558519840466</v>
      </c>
      <c r="AB1563" s="1144">
        <f t="shared" si="441"/>
        <v>0</v>
      </c>
      <c r="AC1563" s="1144">
        <f t="shared" si="442"/>
        <v>0</v>
      </c>
      <c r="AD1563" s="1148">
        <f t="shared" si="434"/>
        <v>25850.558519840466</v>
      </c>
      <c r="AE1563" s="1487">
        <v>0</v>
      </c>
      <c r="AF1563" s="1145">
        <f t="shared" si="443"/>
        <v>25850.558519840466</v>
      </c>
      <c r="AG1563" s="1149">
        <f>IFERROR(VLOOKUP(CONCATENATE($L1563,$N1563),'Drop List'!$G$23:$K$87,2,FALSE),0)</f>
        <v>0</v>
      </c>
      <c r="AH1563" s="1150">
        <f>IFERROR(VLOOKUP(CONCATENATE($L1563,$N1563),'Drop List'!$G$23:$K$87,3,FALSE),0)</f>
        <v>0</v>
      </c>
      <c r="AI1563" s="1150">
        <f>IFERROR(VLOOKUP(CONCATENATE($L1563,$N1563),'Drop List'!$G$23:$K$87,4,FALSE),0)</f>
        <v>0</v>
      </c>
      <c r="AJ1563" s="1151">
        <f>IFERROR(VLOOKUP(CONCATENATE($L1563,$N1563),'Drop List'!$G$23:$K$87,5,FALSE),0)</f>
        <v>0</v>
      </c>
      <c r="AK1563" s="1152">
        <f t="shared" si="444"/>
        <v>0</v>
      </c>
      <c r="AL1563" s="1153">
        <f t="shared" si="445"/>
        <v>0</v>
      </c>
      <c r="AM1563" s="1153">
        <f t="shared" si="446"/>
        <v>0</v>
      </c>
      <c r="AN1563" s="1145">
        <f t="shared" si="447"/>
        <v>0</v>
      </c>
      <c r="AO1563" s="1154">
        <f t="shared" si="432"/>
        <v>0</v>
      </c>
      <c r="AP1563" s="1147">
        <f t="shared" si="435"/>
        <v>25850.558519840466</v>
      </c>
      <c r="AQ1563" s="1144">
        <f t="shared" si="436"/>
        <v>0</v>
      </c>
      <c r="AR1563" s="1146">
        <f t="shared" si="437"/>
        <v>25850.558519840466</v>
      </c>
    </row>
    <row r="1564" spans="1:44" x14ac:dyDescent="0.2">
      <c r="A1564" s="1141" t="str">
        <f t="shared" si="449"/>
        <v>4510</v>
      </c>
      <c r="B1564" s="1141" t="str">
        <f>IFERROR(VLOOKUP(A1564,'LAC 103'!A:C,3,FALSE),"")</f>
        <v>COS</v>
      </c>
      <c r="C1564" s="1478" t="str">
        <f>Info!$B$8</f>
        <v>00100</v>
      </c>
      <c r="D1564" s="1474" t="s">
        <v>256</v>
      </c>
      <c r="E1564" s="1474" t="s">
        <v>104</v>
      </c>
      <c r="F1564" s="1478" t="s">
        <v>77</v>
      </c>
      <c r="G1564" s="1478" t="s">
        <v>77</v>
      </c>
      <c r="H1564" s="1474" t="s">
        <v>989</v>
      </c>
      <c r="I1564" s="1478" t="s">
        <v>823</v>
      </c>
      <c r="J1564" s="1478" t="s">
        <v>1998</v>
      </c>
      <c r="K1564" s="1475" t="s">
        <v>846</v>
      </c>
      <c r="L1564" s="1474" t="s">
        <v>332</v>
      </c>
      <c r="M1564" s="1476" t="s">
        <v>841</v>
      </c>
      <c r="N1564" s="1477" t="s">
        <v>1695</v>
      </c>
      <c r="O1564" s="1479">
        <v>168.93333333333331</v>
      </c>
      <c r="P1564" s="1479"/>
      <c r="Q1564" s="1142">
        <f t="shared" si="433"/>
        <v>168.93333333333331</v>
      </c>
      <c r="R1564" s="1143">
        <f>IFERROR(VLOOKUP(CONCATENATE($E1564,$G1564),'LAC 103'!$A$12:$O$95,11,FALSE),0)</f>
        <v>62.693351301149079</v>
      </c>
      <c r="S1564" s="1144">
        <f>IFERROR(VLOOKUP(CONCATENATE($E1564,$G1564),'LAC 103'!$A$12:$O$95,12,FALSE),0)</f>
        <v>0</v>
      </c>
      <c r="T1564" s="1144">
        <f>IFERROR(VLOOKUP(CONCATENATE($E1564,$G1564),'LAC 103'!$A$12:$O$95,13,FALSE),0)</f>
        <v>0</v>
      </c>
      <c r="U1564" s="1144">
        <f>IFERROR(VLOOKUP(CONCATENATE($E1564,$G1564),'LAC 103'!$A$12:$O$95,14,FALSE),0)</f>
        <v>0</v>
      </c>
      <c r="V1564" s="1144">
        <f>IFERROR(VLOOKUP(CONCATENATE($E1564,$G1564),'LAC 103'!$A$12:$O$95,15,FALSE),0)</f>
        <v>0</v>
      </c>
      <c r="W1564" s="1145" t="str">
        <f>IFERROR(VLOOKUP(CONCATENATE($B1564,$N1564),'LAC 103'!$AI:$AQ,9,FALSE),"")</f>
        <v>Costs</v>
      </c>
      <c r="X1564" s="1146">
        <f t="shared" si="438"/>
        <v>62.693351301149079</v>
      </c>
      <c r="Y1564" s="1143">
        <f t="shared" si="448"/>
        <v>10590.996813140782</v>
      </c>
      <c r="Z1564" s="1147">
        <f t="shared" si="439"/>
        <v>10590.996813140782</v>
      </c>
      <c r="AA1564" s="1144">
        <f t="shared" si="440"/>
        <v>10590.996813140782</v>
      </c>
      <c r="AB1564" s="1144">
        <f t="shared" si="441"/>
        <v>0</v>
      </c>
      <c r="AC1564" s="1144">
        <f t="shared" si="442"/>
        <v>0</v>
      </c>
      <c r="AD1564" s="1148">
        <f t="shared" si="434"/>
        <v>10590.996813140782</v>
      </c>
      <c r="AE1564" s="1487">
        <v>0</v>
      </c>
      <c r="AF1564" s="1145">
        <f t="shared" si="443"/>
        <v>10590.996813140782</v>
      </c>
      <c r="AG1564" s="1149">
        <f>IFERROR(VLOOKUP(CONCATENATE($L1564,$N1564),'Drop List'!$G$23:$K$87,2,FALSE),0)</f>
        <v>0</v>
      </c>
      <c r="AH1564" s="1150">
        <f>IFERROR(VLOOKUP(CONCATENATE($L1564,$N1564),'Drop List'!$G$23:$K$87,3,FALSE),0)</f>
        <v>0</v>
      </c>
      <c r="AI1564" s="1150">
        <f>IFERROR(VLOOKUP(CONCATENATE($L1564,$N1564),'Drop List'!$G$23:$K$87,4,FALSE),0)</f>
        <v>0</v>
      </c>
      <c r="AJ1564" s="1151">
        <f>IFERROR(VLOOKUP(CONCATENATE($L1564,$N1564),'Drop List'!$G$23:$K$87,5,FALSE),0)</f>
        <v>0</v>
      </c>
      <c r="AK1564" s="1152">
        <f t="shared" si="444"/>
        <v>0</v>
      </c>
      <c r="AL1564" s="1153">
        <f t="shared" si="445"/>
        <v>0</v>
      </c>
      <c r="AM1564" s="1153">
        <f t="shared" si="446"/>
        <v>0</v>
      </c>
      <c r="AN1564" s="1145">
        <f t="shared" si="447"/>
        <v>0</v>
      </c>
      <c r="AO1564" s="1154">
        <f t="shared" si="432"/>
        <v>0</v>
      </c>
      <c r="AP1564" s="1147">
        <f t="shared" si="435"/>
        <v>10590.996813140782</v>
      </c>
      <c r="AQ1564" s="1144">
        <f t="shared" si="436"/>
        <v>0</v>
      </c>
      <c r="AR1564" s="1146">
        <f t="shared" si="437"/>
        <v>10590.996813140782</v>
      </c>
    </row>
    <row r="1565" spans="1:44" x14ac:dyDescent="0.2">
      <c r="A1565" s="1141" t="str">
        <f t="shared" si="449"/>
        <v>4510</v>
      </c>
      <c r="B1565" s="1141" t="str">
        <f>IFERROR(VLOOKUP(A1565,'LAC 103'!A:C,3,FALSE),"")</f>
        <v>COS</v>
      </c>
      <c r="C1565" s="1478" t="str">
        <f>Info!$B$8</f>
        <v>00100</v>
      </c>
      <c r="D1565" s="1474" t="s">
        <v>256</v>
      </c>
      <c r="E1565" s="1474" t="s">
        <v>104</v>
      </c>
      <c r="F1565" s="1478" t="s">
        <v>77</v>
      </c>
      <c r="G1565" s="1478" t="s">
        <v>77</v>
      </c>
      <c r="H1565" s="1474" t="s">
        <v>989</v>
      </c>
      <c r="I1565" s="1478" t="s">
        <v>823</v>
      </c>
      <c r="J1565" s="1478" t="s">
        <v>1998</v>
      </c>
      <c r="K1565" s="1475" t="s">
        <v>846</v>
      </c>
      <c r="L1565" s="1474" t="s">
        <v>332</v>
      </c>
      <c r="M1565" s="1476" t="s">
        <v>840</v>
      </c>
      <c r="N1565" s="1477" t="s">
        <v>1700</v>
      </c>
      <c r="O1565" s="1479">
        <v>251.3000000000001</v>
      </c>
      <c r="P1565" s="1479"/>
      <c r="Q1565" s="1142">
        <f t="shared" si="433"/>
        <v>251.3000000000001</v>
      </c>
      <c r="R1565" s="1143">
        <f>IFERROR(VLOOKUP(CONCATENATE($E1565,$G1565),'LAC 103'!$A$12:$O$95,11,FALSE),0)</f>
        <v>62.693351301149079</v>
      </c>
      <c r="S1565" s="1144">
        <f>IFERROR(VLOOKUP(CONCATENATE($E1565,$G1565),'LAC 103'!$A$12:$O$95,12,FALSE),0)</f>
        <v>0</v>
      </c>
      <c r="T1565" s="1144">
        <f>IFERROR(VLOOKUP(CONCATENATE($E1565,$G1565),'LAC 103'!$A$12:$O$95,13,FALSE),0)</f>
        <v>0</v>
      </c>
      <c r="U1565" s="1144">
        <f>IFERROR(VLOOKUP(CONCATENATE($E1565,$G1565),'LAC 103'!$A$12:$O$95,14,FALSE),0)</f>
        <v>0</v>
      </c>
      <c r="V1565" s="1144">
        <f>IFERROR(VLOOKUP(CONCATENATE($E1565,$G1565),'LAC 103'!$A$12:$O$95,15,FALSE),0)</f>
        <v>0</v>
      </c>
      <c r="W1565" s="1145" t="str">
        <f>IFERROR(VLOOKUP(CONCATENATE($B1565,$N1565),'LAC 103'!$AI:$AQ,9,FALSE),"")</f>
        <v>Costs</v>
      </c>
      <c r="X1565" s="1146">
        <f t="shared" si="438"/>
        <v>62.693351301149079</v>
      </c>
      <c r="Y1565" s="1143">
        <f t="shared" si="448"/>
        <v>15754.83918197877</v>
      </c>
      <c r="Z1565" s="1147">
        <f t="shared" si="439"/>
        <v>15754.83918197877</v>
      </c>
      <c r="AA1565" s="1144">
        <f t="shared" si="440"/>
        <v>15754.83918197877</v>
      </c>
      <c r="AB1565" s="1144">
        <f t="shared" si="441"/>
        <v>0</v>
      </c>
      <c r="AC1565" s="1144">
        <f t="shared" si="442"/>
        <v>0</v>
      </c>
      <c r="AD1565" s="1148">
        <f t="shared" si="434"/>
        <v>15754.83918197877</v>
      </c>
      <c r="AE1565" s="1487">
        <v>0</v>
      </c>
      <c r="AF1565" s="1145">
        <f t="shared" si="443"/>
        <v>15754.83918197877</v>
      </c>
      <c r="AG1565" s="1149">
        <f>IFERROR(VLOOKUP(CONCATENATE($L1565,$N1565),'Drop List'!$G$23:$K$87,2,FALSE),0)</f>
        <v>0</v>
      </c>
      <c r="AH1565" s="1150">
        <f>IFERROR(VLOOKUP(CONCATENATE($L1565,$N1565),'Drop List'!$G$23:$K$87,3,FALSE),0)</f>
        <v>0</v>
      </c>
      <c r="AI1565" s="1150">
        <f>IFERROR(VLOOKUP(CONCATENATE($L1565,$N1565),'Drop List'!$G$23:$K$87,4,FALSE),0)</f>
        <v>0</v>
      </c>
      <c r="AJ1565" s="1151">
        <f>IFERROR(VLOOKUP(CONCATENATE($L1565,$N1565),'Drop List'!$G$23:$K$87,5,FALSE),0)</f>
        <v>0</v>
      </c>
      <c r="AK1565" s="1152">
        <f t="shared" si="444"/>
        <v>0</v>
      </c>
      <c r="AL1565" s="1153">
        <f t="shared" si="445"/>
        <v>0</v>
      </c>
      <c r="AM1565" s="1153">
        <f t="shared" si="446"/>
        <v>0</v>
      </c>
      <c r="AN1565" s="1145">
        <f t="shared" si="447"/>
        <v>0</v>
      </c>
      <c r="AO1565" s="1154">
        <f t="shared" si="432"/>
        <v>0</v>
      </c>
      <c r="AP1565" s="1147">
        <f t="shared" si="435"/>
        <v>15754.83918197877</v>
      </c>
      <c r="AQ1565" s="1144">
        <f t="shared" si="436"/>
        <v>0</v>
      </c>
      <c r="AR1565" s="1146">
        <f t="shared" si="437"/>
        <v>15754.83918197877</v>
      </c>
    </row>
    <row r="1566" spans="1:44" x14ac:dyDescent="0.2">
      <c r="A1566" s="1141" t="str">
        <f t="shared" si="449"/>
        <v>4510</v>
      </c>
      <c r="B1566" s="1141" t="str">
        <f>IFERROR(VLOOKUP(A1566,'LAC 103'!A:C,3,FALSE),"")</f>
        <v>COS</v>
      </c>
      <c r="C1566" s="1478" t="str">
        <f>Info!$B$8</f>
        <v>00100</v>
      </c>
      <c r="D1566" s="1474" t="s">
        <v>256</v>
      </c>
      <c r="E1566" s="1474" t="s">
        <v>104</v>
      </c>
      <c r="F1566" s="1478" t="s">
        <v>77</v>
      </c>
      <c r="G1566" s="1478" t="s">
        <v>77</v>
      </c>
      <c r="H1566" s="1474" t="s">
        <v>989</v>
      </c>
      <c r="I1566" s="1478" t="s">
        <v>823</v>
      </c>
      <c r="J1566" s="1478" t="s">
        <v>1998</v>
      </c>
      <c r="K1566" s="1475" t="s">
        <v>846</v>
      </c>
      <c r="L1566" s="1474" t="s">
        <v>332</v>
      </c>
      <c r="M1566" s="1476" t="s">
        <v>842</v>
      </c>
      <c r="N1566" s="1477" t="s">
        <v>1692</v>
      </c>
      <c r="O1566" s="1479">
        <v>445.04999999999899</v>
      </c>
      <c r="P1566" s="1479"/>
      <c r="Q1566" s="1142">
        <f t="shared" si="433"/>
        <v>445.04999999999899</v>
      </c>
      <c r="R1566" s="1143">
        <f>IFERROR(VLOOKUP(CONCATENATE($E1566,$G1566),'LAC 103'!$A$12:$O$95,11,FALSE),0)</f>
        <v>62.693351301149079</v>
      </c>
      <c r="S1566" s="1144">
        <f>IFERROR(VLOOKUP(CONCATENATE($E1566,$G1566),'LAC 103'!$A$12:$O$95,12,FALSE),0)</f>
        <v>0</v>
      </c>
      <c r="T1566" s="1144">
        <f>IFERROR(VLOOKUP(CONCATENATE($E1566,$G1566),'LAC 103'!$A$12:$O$95,13,FALSE),0)</f>
        <v>0</v>
      </c>
      <c r="U1566" s="1144">
        <f>IFERROR(VLOOKUP(CONCATENATE($E1566,$G1566),'LAC 103'!$A$12:$O$95,14,FALSE),0)</f>
        <v>0</v>
      </c>
      <c r="V1566" s="1144">
        <f>IFERROR(VLOOKUP(CONCATENATE($E1566,$G1566),'LAC 103'!$A$12:$O$95,15,FALSE),0)</f>
        <v>0</v>
      </c>
      <c r="W1566" s="1145" t="str">
        <f>IFERROR(VLOOKUP(CONCATENATE($B1566,$N1566),'LAC 103'!$AI:$AQ,9,FALSE),"")</f>
        <v>Costs</v>
      </c>
      <c r="X1566" s="1146">
        <f t="shared" si="438"/>
        <v>62.693351301149079</v>
      </c>
      <c r="Y1566" s="1143">
        <f t="shared" si="448"/>
        <v>27901.675996576334</v>
      </c>
      <c r="Z1566" s="1147">
        <f t="shared" si="439"/>
        <v>27901.675996576334</v>
      </c>
      <c r="AA1566" s="1144">
        <f t="shared" si="440"/>
        <v>27901.675996576334</v>
      </c>
      <c r="AB1566" s="1144">
        <f t="shared" si="441"/>
        <v>0</v>
      </c>
      <c r="AC1566" s="1144">
        <f t="shared" si="442"/>
        <v>0</v>
      </c>
      <c r="AD1566" s="1148">
        <f t="shared" si="434"/>
        <v>27901.675996576334</v>
      </c>
      <c r="AE1566" s="1487">
        <v>0</v>
      </c>
      <c r="AF1566" s="1145">
        <f t="shared" si="443"/>
        <v>27901.675996576334</v>
      </c>
      <c r="AG1566" s="1149">
        <f>IFERROR(VLOOKUP(CONCATENATE($L1566,$N1566),'Drop List'!$G$23:$K$87,2,FALSE),0)</f>
        <v>0</v>
      </c>
      <c r="AH1566" s="1150">
        <f>IFERROR(VLOOKUP(CONCATENATE($L1566,$N1566),'Drop List'!$G$23:$K$87,3,FALSE),0)</f>
        <v>0</v>
      </c>
      <c r="AI1566" s="1150">
        <f>IFERROR(VLOOKUP(CONCATENATE($L1566,$N1566),'Drop List'!$G$23:$K$87,4,FALSE),0)</f>
        <v>0</v>
      </c>
      <c r="AJ1566" s="1151">
        <f>IFERROR(VLOOKUP(CONCATENATE($L1566,$N1566),'Drop List'!$G$23:$K$87,5,FALSE),0)</f>
        <v>0</v>
      </c>
      <c r="AK1566" s="1152">
        <f t="shared" si="444"/>
        <v>0</v>
      </c>
      <c r="AL1566" s="1153">
        <f t="shared" si="445"/>
        <v>0</v>
      </c>
      <c r="AM1566" s="1153">
        <f t="shared" si="446"/>
        <v>0</v>
      </c>
      <c r="AN1566" s="1145">
        <f t="shared" si="447"/>
        <v>0</v>
      </c>
      <c r="AO1566" s="1154">
        <f t="shared" ref="AO1566:AO1629" si="450">SUM(AK1566:AN1566)</f>
        <v>0</v>
      </c>
      <c r="AP1566" s="1147">
        <f t="shared" si="435"/>
        <v>27901.675996576334</v>
      </c>
      <c r="AQ1566" s="1144">
        <f t="shared" si="436"/>
        <v>0</v>
      </c>
      <c r="AR1566" s="1146">
        <f t="shared" si="437"/>
        <v>27901.675996576334</v>
      </c>
    </row>
    <row r="1567" spans="1:44" x14ac:dyDescent="0.2">
      <c r="A1567" s="1141" t="str">
        <f t="shared" si="449"/>
        <v>4510</v>
      </c>
      <c r="B1567" s="1141" t="str">
        <f>IFERROR(VLOOKUP(A1567,'LAC 103'!A:C,3,FALSE),"")</f>
        <v>COS</v>
      </c>
      <c r="C1567" s="1478" t="str">
        <f>Info!$B$8</f>
        <v>00100</v>
      </c>
      <c r="D1567" s="1474" t="s">
        <v>256</v>
      </c>
      <c r="E1567" s="1474" t="s">
        <v>104</v>
      </c>
      <c r="F1567" s="1478" t="s">
        <v>77</v>
      </c>
      <c r="G1567" s="1478" t="s">
        <v>77</v>
      </c>
      <c r="H1567" s="1474" t="s">
        <v>989</v>
      </c>
      <c r="I1567" s="1478" t="s">
        <v>823</v>
      </c>
      <c r="J1567" s="1478" t="s">
        <v>1998</v>
      </c>
      <c r="K1567" s="1475" t="s">
        <v>846</v>
      </c>
      <c r="L1567" s="1474" t="s">
        <v>332</v>
      </c>
      <c r="M1567" s="1476" t="s">
        <v>1698</v>
      </c>
      <c r="N1567" s="1477" t="s">
        <v>1693</v>
      </c>
      <c r="O1567" s="1479">
        <v>519.83333333333371</v>
      </c>
      <c r="P1567" s="1479"/>
      <c r="Q1567" s="1142">
        <f t="shared" si="433"/>
        <v>519.83333333333371</v>
      </c>
      <c r="R1567" s="1143">
        <f>IFERROR(VLOOKUP(CONCATENATE($E1567,$G1567),'LAC 103'!$A$12:$O$95,11,FALSE),0)</f>
        <v>62.693351301149079</v>
      </c>
      <c r="S1567" s="1144">
        <f>IFERROR(VLOOKUP(CONCATENATE($E1567,$G1567),'LAC 103'!$A$12:$O$95,12,FALSE),0)</f>
        <v>0</v>
      </c>
      <c r="T1567" s="1144">
        <f>IFERROR(VLOOKUP(CONCATENATE($E1567,$G1567),'LAC 103'!$A$12:$O$95,13,FALSE),0)</f>
        <v>0</v>
      </c>
      <c r="U1567" s="1144">
        <f>IFERROR(VLOOKUP(CONCATENATE($E1567,$G1567),'LAC 103'!$A$12:$O$95,14,FALSE),0)</f>
        <v>0</v>
      </c>
      <c r="V1567" s="1144">
        <f>IFERROR(VLOOKUP(CONCATENATE($E1567,$G1567),'LAC 103'!$A$12:$O$95,15,FALSE),0)</f>
        <v>0</v>
      </c>
      <c r="W1567" s="1145" t="str">
        <f>IFERROR(VLOOKUP(CONCATENATE($B1567,$N1567),'LAC 103'!$AI:$AQ,9,FALSE),"")</f>
        <v>Costs</v>
      </c>
      <c r="X1567" s="1146">
        <f t="shared" si="438"/>
        <v>62.693351301149079</v>
      </c>
      <c r="Y1567" s="1143">
        <f t="shared" si="448"/>
        <v>32590.093784714019</v>
      </c>
      <c r="Z1567" s="1147">
        <f t="shared" si="439"/>
        <v>32590.093784714019</v>
      </c>
      <c r="AA1567" s="1144">
        <f t="shared" si="440"/>
        <v>32590.093784714019</v>
      </c>
      <c r="AB1567" s="1144">
        <f t="shared" si="441"/>
        <v>0</v>
      </c>
      <c r="AC1567" s="1144">
        <f t="shared" si="442"/>
        <v>0</v>
      </c>
      <c r="AD1567" s="1148">
        <f t="shared" si="434"/>
        <v>32590.093784714019</v>
      </c>
      <c r="AE1567" s="1487">
        <v>0</v>
      </c>
      <c r="AF1567" s="1145">
        <f t="shared" si="443"/>
        <v>32590.093784714019</v>
      </c>
      <c r="AG1567" s="1149">
        <f>IFERROR(VLOOKUP(CONCATENATE($L1567,$N1567),'Drop List'!$G$23:$K$87,2,FALSE),0)</f>
        <v>0</v>
      </c>
      <c r="AH1567" s="1150">
        <f>IFERROR(VLOOKUP(CONCATENATE($L1567,$N1567),'Drop List'!$G$23:$K$87,3,FALSE),0)</f>
        <v>0</v>
      </c>
      <c r="AI1567" s="1150">
        <f>IFERROR(VLOOKUP(CONCATENATE($L1567,$N1567),'Drop List'!$G$23:$K$87,4,FALSE),0)</f>
        <v>0</v>
      </c>
      <c r="AJ1567" s="1151">
        <f>IFERROR(VLOOKUP(CONCATENATE($L1567,$N1567),'Drop List'!$G$23:$K$87,5,FALSE),0)</f>
        <v>0</v>
      </c>
      <c r="AK1567" s="1152">
        <f t="shared" si="444"/>
        <v>0</v>
      </c>
      <c r="AL1567" s="1153">
        <f t="shared" si="445"/>
        <v>0</v>
      </c>
      <c r="AM1567" s="1153">
        <f t="shared" si="446"/>
        <v>0</v>
      </c>
      <c r="AN1567" s="1145">
        <f t="shared" si="447"/>
        <v>0</v>
      </c>
      <c r="AO1567" s="1154">
        <f t="shared" si="450"/>
        <v>0</v>
      </c>
      <c r="AP1567" s="1147">
        <f t="shared" si="435"/>
        <v>32590.093784714019</v>
      </c>
      <c r="AQ1567" s="1144">
        <f t="shared" si="436"/>
        <v>0</v>
      </c>
      <c r="AR1567" s="1146">
        <f t="shared" si="437"/>
        <v>32590.093784714019</v>
      </c>
    </row>
    <row r="1568" spans="1:44" x14ac:dyDescent="0.2">
      <c r="A1568" s="1141" t="str">
        <f t="shared" si="449"/>
        <v>4520</v>
      </c>
      <c r="B1568" s="1141" t="str">
        <f>IFERROR(VLOOKUP(A1568,'LAC 103'!A:C,3,FALSE),"")</f>
        <v>COS</v>
      </c>
      <c r="C1568" s="1478" t="str">
        <f>Info!$B$8</f>
        <v>00100</v>
      </c>
      <c r="D1568" s="1474" t="s">
        <v>256</v>
      </c>
      <c r="E1568" s="1474" t="s">
        <v>104</v>
      </c>
      <c r="F1568" s="1478" t="s">
        <v>344</v>
      </c>
      <c r="G1568" s="1478" t="s">
        <v>344</v>
      </c>
      <c r="H1568" s="1474" t="s">
        <v>996</v>
      </c>
      <c r="I1568" s="1478" t="s">
        <v>912</v>
      </c>
      <c r="J1568" s="1478" t="s">
        <v>123</v>
      </c>
      <c r="K1568" s="1475" t="s">
        <v>846</v>
      </c>
      <c r="L1568" s="1474" t="s">
        <v>332</v>
      </c>
      <c r="M1568" s="1476" t="s">
        <v>1699</v>
      </c>
      <c r="N1568" s="1477" t="s">
        <v>1694</v>
      </c>
      <c r="O1568" s="1479">
        <v>7.4999999999999991</v>
      </c>
      <c r="P1568" s="1479"/>
      <c r="Q1568" s="1142">
        <f t="shared" si="433"/>
        <v>7.4999999999999991</v>
      </c>
      <c r="R1568" s="1143">
        <f>IFERROR(VLOOKUP(CONCATENATE($E1568,$G1568),'LAC 103'!$A$12:$O$95,11,FALSE),0)</f>
        <v>62.693351301149093</v>
      </c>
      <c r="S1568" s="1144">
        <f>IFERROR(VLOOKUP(CONCATENATE($E1568,$G1568),'LAC 103'!$A$12:$O$95,12,FALSE),0)</f>
        <v>0</v>
      </c>
      <c r="T1568" s="1144">
        <f>IFERROR(VLOOKUP(CONCATENATE($E1568,$G1568),'LAC 103'!$A$12:$O$95,13,FALSE),0)</f>
        <v>0</v>
      </c>
      <c r="U1568" s="1144">
        <f>IFERROR(VLOOKUP(CONCATENATE($E1568,$G1568),'LAC 103'!$A$12:$O$95,14,FALSE),0)</f>
        <v>0</v>
      </c>
      <c r="V1568" s="1144">
        <f>IFERROR(VLOOKUP(CONCATENATE($E1568,$G1568),'LAC 103'!$A$12:$O$95,15,FALSE),0)</f>
        <v>0</v>
      </c>
      <c r="W1568" s="1145" t="str">
        <f>IFERROR(VLOOKUP(CONCATENATE($B1568,$N1568),'LAC 103'!$AI:$AQ,9,FALSE),"")</f>
        <v>Costs</v>
      </c>
      <c r="X1568" s="1146">
        <f t="shared" si="438"/>
        <v>62.693351301149093</v>
      </c>
      <c r="Y1568" s="1143">
        <f t="shared" si="448"/>
        <v>470.20013475861816</v>
      </c>
      <c r="Z1568" s="1147">
        <f t="shared" si="439"/>
        <v>470.20013475861816</v>
      </c>
      <c r="AA1568" s="1144">
        <f t="shared" si="440"/>
        <v>470.20013475861816</v>
      </c>
      <c r="AB1568" s="1144">
        <f t="shared" si="441"/>
        <v>0</v>
      </c>
      <c r="AC1568" s="1144">
        <f t="shared" si="442"/>
        <v>0</v>
      </c>
      <c r="AD1568" s="1148">
        <f t="shared" si="434"/>
        <v>470.20013475861816</v>
      </c>
      <c r="AE1568" s="1487">
        <v>0</v>
      </c>
      <c r="AF1568" s="1145">
        <f t="shared" si="443"/>
        <v>470.20013475861816</v>
      </c>
      <c r="AG1568" s="1149">
        <f>IFERROR(VLOOKUP(CONCATENATE($L1568,$N1568),'Drop List'!$G$23:$K$87,2,FALSE),0)</f>
        <v>0</v>
      </c>
      <c r="AH1568" s="1150">
        <f>IFERROR(VLOOKUP(CONCATENATE($L1568,$N1568),'Drop List'!$G$23:$K$87,3,FALSE),0)</f>
        <v>0</v>
      </c>
      <c r="AI1568" s="1150">
        <f>IFERROR(VLOOKUP(CONCATENATE($L1568,$N1568),'Drop List'!$G$23:$K$87,4,FALSE),0)</f>
        <v>0</v>
      </c>
      <c r="AJ1568" s="1151">
        <f>IFERROR(VLOOKUP(CONCATENATE($L1568,$N1568),'Drop List'!$G$23:$K$87,5,FALSE),0)</f>
        <v>0</v>
      </c>
      <c r="AK1568" s="1152">
        <f t="shared" si="444"/>
        <v>0</v>
      </c>
      <c r="AL1568" s="1153">
        <f t="shared" si="445"/>
        <v>0</v>
      </c>
      <c r="AM1568" s="1153">
        <f t="shared" si="446"/>
        <v>0</v>
      </c>
      <c r="AN1568" s="1145">
        <f t="shared" si="447"/>
        <v>0</v>
      </c>
      <c r="AO1568" s="1154">
        <f t="shared" si="450"/>
        <v>0</v>
      </c>
      <c r="AP1568" s="1147">
        <f t="shared" si="435"/>
        <v>470.20013475861816</v>
      </c>
      <c r="AQ1568" s="1144">
        <f t="shared" si="436"/>
        <v>0</v>
      </c>
      <c r="AR1568" s="1146">
        <f t="shared" si="437"/>
        <v>470.20013475861816</v>
      </c>
    </row>
    <row r="1569" spans="1:44" x14ac:dyDescent="0.2">
      <c r="A1569" s="1141" t="str">
        <f t="shared" si="449"/>
        <v>4520</v>
      </c>
      <c r="B1569" s="1141" t="str">
        <f>IFERROR(VLOOKUP(A1569,'LAC 103'!A:C,3,FALSE),"")</f>
        <v>COS</v>
      </c>
      <c r="C1569" s="1478" t="str">
        <f>Info!$B$8</f>
        <v>00100</v>
      </c>
      <c r="D1569" s="1474" t="s">
        <v>256</v>
      </c>
      <c r="E1569" s="1474" t="s">
        <v>104</v>
      </c>
      <c r="F1569" s="1478" t="s">
        <v>344</v>
      </c>
      <c r="G1569" s="1478" t="s">
        <v>344</v>
      </c>
      <c r="H1569" s="1474" t="s">
        <v>996</v>
      </c>
      <c r="I1569" s="1478" t="s">
        <v>912</v>
      </c>
      <c r="J1569" s="1478"/>
      <c r="K1569" s="1475" t="s">
        <v>846</v>
      </c>
      <c r="L1569" s="1474" t="s">
        <v>332</v>
      </c>
      <c r="M1569" s="1476" t="s">
        <v>841</v>
      </c>
      <c r="N1569" s="1477" t="s">
        <v>1695</v>
      </c>
      <c r="O1569" s="1479">
        <v>2.2833333333333332</v>
      </c>
      <c r="P1569" s="1479"/>
      <c r="Q1569" s="1142">
        <f t="shared" si="433"/>
        <v>2.2833333333333332</v>
      </c>
      <c r="R1569" s="1143">
        <f>IFERROR(VLOOKUP(CONCATENATE($E1569,$G1569),'LAC 103'!$A$12:$O$95,11,FALSE),0)</f>
        <v>62.693351301149093</v>
      </c>
      <c r="S1569" s="1144">
        <f>IFERROR(VLOOKUP(CONCATENATE($E1569,$G1569),'LAC 103'!$A$12:$O$95,12,FALSE),0)</f>
        <v>0</v>
      </c>
      <c r="T1569" s="1144">
        <f>IFERROR(VLOOKUP(CONCATENATE($E1569,$G1569),'LAC 103'!$A$12:$O$95,13,FALSE),0)</f>
        <v>0</v>
      </c>
      <c r="U1569" s="1144">
        <f>IFERROR(VLOOKUP(CONCATENATE($E1569,$G1569),'LAC 103'!$A$12:$O$95,14,FALSE),0)</f>
        <v>0</v>
      </c>
      <c r="V1569" s="1144">
        <f>IFERROR(VLOOKUP(CONCATENATE($E1569,$G1569),'LAC 103'!$A$12:$O$95,15,FALSE),0)</f>
        <v>0</v>
      </c>
      <c r="W1569" s="1145" t="str">
        <f>IFERROR(VLOOKUP(CONCATENATE($B1569,$N1569),'LAC 103'!$AI:$AQ,9,FALSE),"")</f>
        <v>Costs</v>
      </c>
      <c r="X1569" s="1146">
        <f t="shared" si="438"/>
        <v>62.693351301149093</v>
      </c>
      <c r="Y1569" s="1143">
        <f t="shared" si="448"/>
        <v>143.14981880429042</v>
      </c>
      <c r="Z1569" s="1147">
        <f t="shared" si="439"/>
        <v>143.14981880429042</v>
      </c>
      <c r="AA1569" s="1144">
        <f t="shared" si="440"/>
        <v>143.14981880429042</v>
      </c>
      <c r="AB1569" s="1144">
        <f t="shared" si="441"/>
        <v>0</v>
      </c>
      <c r="AC1569" s="1144">
        <f t="shared" si="442"/>
        <v>0</v>
      </c>
      <c r="AD1569" s="1148">
        <f t="shared" si="434"/>
        <v>143.14981880429042</v>
      </c>
      <c r="AE1569" s="1487">
        <v>0</v>
      </c>
      <c r="AF1569" s="1145">
        <f t="shared" si="443"/>
        <v>143.14981880429042</v>
      </c>
      <c r="AG1569" s="1149">
        <f>IFERROR(VLOOKUP(CONCATENATE($L1569,$N1569),'Drop List'!$G$23:$K$87,2,FALSE),0)</f>
        <v>0</v>
      </c>
      <c r="AH1569" s="1150">
        <f>IFERROR(VLOOKUP(CONCATENATE($L1569,$N1569),'Drop List'!$G$23:$K$87,3,FALSE),0)</f>
        <v>0</v>
      </c>
      <c r="AI1569" s="1150">
        <f>IFERROR(VLOOKUP(CONCATENATE($L1569,$N1569),'Drop List'!$G$23:$K$87,4,FALSE),0)</f>
        <v>0</v>
      </c>
      <c r="AJ1569" s="1151">
        <f>IFERROR(VLOOKUP(CONCATENATE($L1569,$N1569),'Drop List'!$G$23:$K$87,5,FALSE),0)</f>
        <v>0</v>
      </c>
      <c r="AK1569" s="1152">
        <f t="shared" si="444"/>
        <v>0</v>
      </c>
      <c r="AL1569" s="1153">
        <f t="shared" si="445"/>
        <v>0</v>
      </c>
      <c r="AM1569" s="1153">
        <f t="shared" si="446"/>
        <v>0</v>
      </c>
      <c r="AN1569" s="1145">
        <f t="shared" si="447"/>
        <v>0</v>
      </c>
      <c r="AO1569" s="1154">
        <f t="shared" si="450"/>
        <v>0</v>
      </c>
      <c r="AP1569" s="1147">
        <f t="shared" si="435"/>
        <v>143.14981880429042</v>
      </c>
      <c r="AQ1569" s="1144">
        <f t="shared" si="436"/>
        <v>0</v>
      </c>
      <c r="AR1569" s="1146">
        <f t="shared" si="437"/>
        <v>143.14981880429042</v>
      </c>
    </row>
    <row r="1570" spans="1:44" x14ac:dyDescent="0.2">
      <c r="A1570" s="1141" t="str">
        <f t="shared" si="449"/>
        <v>4520</v>
      </c>
      <c r="B1570" s="1141" t="str">
        <f>IFERROR(VLOOKUP(A1570,'LAC 103'!A:C,3,FALSE),"")</f>
        <v>COS</v>
      </c>
      <c r="C1570" s="1478" t="str">
        <f>Info!$B$8</f>
        <v>00100</v>
      </c>
      <c r="D1570" s="1474" t="s">
        <v>256</v>
      </c>
      <c r="E1570" s="1474" t="s">
        <v>104</v>
      </c>
      <c r="F1570" s="1478" t="s">
        <v>344</v>
      </c>
      <c r="G1570" s="1478" t="s">
        <v>344</v>
      </c>
      <c r="H1570" s="1474" t="s">
        <v>996</v>
      </c>
      <c r="I1570" s="1478" t="s">
        <v>912</v>
      </c>
      <c r="J1570" s="1478"/>
      <c r="K1570" s="1475" t="s">
        <v>846</v>
      </c>
      <c r="L1570" s="1474" t="s">
        <v>332</v>
      </c>
      <c r="M1570" s="1476" t="s">
        <v>840</v>
      </c>
      <c r="N1570" s="1477" t="s">
        <v>1700</v>
      </c>
      <c r="O1570" s="1479">
        <v>3.9166666666666665</v>
      </c>
      <c r="P1570" s="1479"/>
      <c r="Q1570" s="1142">
        <f t="shared" si="433"/>
        <v>3.9166666666666665</v>
      </c>
      <c r="R1570" s="1143">
        <f>IFERROR(VLOOKUP(CONCATENATE($E1570,$G1570),'LAC 103'!$A$12:$O$95,11,FALSE),0)</f>
        <v>62.693351301149093</v>
      </c>
      <c r="S1570" s="1144">
        <f>IFERROR(VLOOKUP(CONCATENATE($E1570,$G1570),'LAC 103'!$A$12:$O$95,12,FALSE),0)</f>
        <v>0</v>
      </c>
      <c r="T1570" s="1144">
        <f>IFERROR(VLOOKUP(CONCATENATE($E1570,$G1570),'LAC 103'!$A$12:$O$95,13,FALSE),0)</f>
        <v>0</v>
      </c>
      <c r="U1570" s="1144">
        <f>IFERROR(VLOOKUP(CONCATENATE($E1570,$G1570),'LAC 103'!$A$12:$O$95,14,FALSE),0)</f>
        <v>0</v>
      </c>
      <c r="V1570" s="1144">
        <f>IFERROR(VLOOKUP(CONCATENATE($E1570,$G1570),'LAC 103'!$A$12:$O$95,15,FALSE),0)</f>
        <v>0</v>
      </c>
      <c r="W1570" s="1145" t="str">
        <f>IFERROR(VLOOKUP(CONCATENATE($B1570,$N1570),'LAC 103'!$AI:$AQ,9,FALSE),"")</f>
        <v>Costs</v>
      </c>
      <c r="X1570" s="1146">
        <f t="shared" si="438"/>
        <v>62.693351301149093</v>
      </c>
      <c r="Y1570" s="1143">
        <f t="shared" si="448"/>
        <v>245.54895926283393</v>
      </c>
      <c r="Z1570" s="1147">
        <f t="shared" si="439"/>
        <v>245.54895926283393</v>
      </c>
      <c r="AA1570" s="1144">
        <f t="shared" si="440"/>
        <v>245.54895926283393</v>
      </c>
      <c r="AB1570" s="1144">
        <f t="shared" si="441"/>
        <v>0</v>
      </c>
      <c r="AC1570" s="1144">
        <f t="shared" si="442"/>
        <v>0</v>
      </c>
      <c r="AD1570" s="1148">
        <f t="shared" si="434"/>
        <v>245.54895926283393</v>
      </c>
      <c r="AE1570" s="1487">
        <v>0</v>
      </c>
      <c r="AF1570" s="1145">
        <f t="shared" si="443"/>
        <v>245.54895926283393</v>
      </c>
      <c r="AG1570" s="1149">
        <f>IFERROR(VLOOKUP(CONCATENATE($L1570,$N1570),'Drop List'!$G$23:$K$87,2,FALSE),0)</f>
        <v>0</v>
      </c>
      <c r="AH1570" s="1150">
        <f>IFERROR(VLOOKUP(CONCATENATE($L1570,$N1570),'Drop List'!$G$23:$K$87,3,FALSE),0)</f>
        <v>0</v>
      </c>
      <c r="AI1570" s="1150">
        <f>IFERROR(VLOOKUP(CONCATENATE($L1570,$N1570),'Drop List'!$G$23:$K$87,4,FALSE),0)</f>
        <v>0</v>
      </c>
      <c r="AJ1570" s="1151">
        <f>IFERROR(VLOOKUP(CONCATENATE($L1570,$N1570),'Drop List'!$G$23:$K$87,5,FALSE),0)</f>
        <v>0</v>
      </c>
      <c r="AK1570" s="1152">
        <f t="shared" si="444"/>
        <v>0</v>
      </c>
      <c r="AL1570" s="1153">
        <f t="shared" si="445"/>
        <v>0</v>
      </c>
      <c r="AM1570" s="1153">
        <f t="shared" si="446"/>
        <v>0</v>
      </c>
      <c r="AN1570" s="1145">
        <f t="shared" si="447"/>
        <v>0</v>
      </c>
      <c r="AO1570" s="1154">
        <f t="shared" si="450"/>
        <v>0</v>
      </c>
      <c r="AP1570" s="1147">
        <f t="shared" si="435"/>
        <v>245.54895926283393</v>
      </c>
      <c r="AQ1570" s="1144">
        <f t="shared" si="436"/>
        <v>0</v>
      </c>
      <c r="AR1570" s="1146">
        <f t="shared" si="437"/>
        <v>245.54895926283393</v>
      </c>
    </row>
    <row r="1571" spans="1:44" x14ac:dyDescent="0.2">
      <c r="A1571" s="1141" t="str">
        <f t="shared" si="449"/>
        <v>4520</v>
      </c>
      <c r="B1571" s="1141" t="str">
        <f>IFERROR(VLOOKUP(A1571,'LAC 103'!A:C,3,FALSE),"")</f>
        <v>COS</v>
      </c>
      <c r="C1571" s="1478" t="str">
        <f>Info!$B$8</f>
        <v>00100</v>
      </c>
      <c r="D1571" s="1474" t="s">
        <v>256</v>
      </c>
      <c r="E1571" s="1474" t="s">
        <v>104</v>
      </c>
      <c r="F1571" s="1478" t="s">
        <v>344</v>
      </c>
      <c r="G1571" s="1478" t="s">
        <v>344</v>
      </c>
      <c r="H1571" s="1474" t="s">
        <v>996</v>
      </c>
      <c r="I1571" s="1478" t="s">
        <v>912</v>
      </c>
      <c r="J1571" s="1478"/>
      <c r="K1571" s="1475" t="s">
        <v>846</v>
      </c>
      <c r="L1571" s="1474" t="s">
        <v>332</v>
      </c>
      <c r="M1571" s="1476" t="s">
        <v>842</v>
      </c>
      <c r="N1571" s="1477" t="s">
        <v>1692</v>
      </c>
      <c r="O1571" s="1479">
        <v>19.033333333333339</v>
      </c>
      <c r="P1571" s="1479"/>
      <c r="Q1571" s="1142">
        <f t="shared" si="433"/>
        <v>19.033333333333339</v>
      </c>
      <c r="R1571" s="1143">
        <f>IFERROR(VLOOKUP(CONCATENATE($E1571,$G1571),'LAC 103'!$A$12:$O$95,11,FALSE),0)</f>
        <v>62.693351301149093</v>
      </c>
      <c r="S1571" s="1144">
        <f>IFERROR(VLOOKUP(CONCATENATE($E1571,$G1571),'LAC 103'!$A$12:$O$95,12,FALSE),0)</f>
        <v>0</v>
      </c>
      <c r="T1571" s="1144">
        <f>IFERROR(VLOOKUP(CONCATENATE($E1571,$G1571),'LAC 103'!$A$12:$O$95,13,FALSE),0)</f>
        <v>0</v>
      </c>
      <c r="U1571" s="1144">
        <f>IFERROR(VLOOKUP(CONCATENATE($E1571,$G1571),'LAC 103'!$A$12:$O$95,14,FALSE),0)</f>
        <v>0</v>
      </c>
      <c r="V1571" s="1144">
        <f>IFERROR(VLOOKUP(CONCATENATE($E1571,$G1571),'LAC 103'!$A$12:$O$95,15,FALSE),0)</f>
        <v>0</v>
      </c>
      <c r="W1571" s="1145" t="str">
        <f>IFERROR(VLOOKUP(CONCATENATE($B1571,$N1571),'LAC 103'!$AI:$AQ,9,FALSE),"")</f>
        <v>Costs</v>
      </c>
      <c r="X1571" s="1146">
        <f t="shared" si="438"/>
        <v>62.693351301149093</v>
      </c>
      <c r="Y1571" s="1143">
        <f t="shared" si="448"/>
        <v>1193.2634530985381</v>
      </c>
      <c r="Z1571" s="1147">
        <f t="shared" si="439"/>
        <v>1193.2634530985381</v>
      </c>
      <c r="AA1571" s="1144">
        <f t="shared" si="440"/>
        <v>1193.2634530985381</v>
      </c>
      <c r="AB1571" s="1144">
        <f t="shared" si="441"/>
        <v>0</v>
      </c>
      <c r="AC1571" s="1144">
        <f t="shared" si="442"/>
        <v>0</v>
      </c>
      <c r="AD1571" s="1148">
        <f t="shared" si="434"/>
        <v>1193.2634530985381</v>
      </c>
      <c r="AE1571" s="1487">
        <v>0</v>
      </c>
      <c r="AF1571" s="1145">
        <f t="shared" si="443"/>
        <v>1193.2634530985381</v>
      </c>
      <c r="AG1571" s="1149">
        <f>IFERROR(VLOOKUP(CONCATENATE($L1571,$N1571),'Drop List'!$G$23:$K$87,2,FALSE),0)</f>
        <v>0</v>
      </c>
      <c r="AH1571" s="1150">
        <f>IFERROR(VLOOKUP(CONCATENATE($L1571,$N1571),'Drop List'!$G$23:$K$87,3,FALSE),0)</f>
        <v>0</v>
      </c>
      <c r="AI1571" s="1150">
        <f>IFERROR(VLOOKUP(CONCATENATE($L1571,$N1571),'Drop List'!$G$23:$K$87,4,FALSE),0)</f>
        <v>0</v>
      </c>
      <c r="AJ1571" s="1151">
        <f>IFERROR(VLOOKUP(CONCATENATE($L1571,$N1571),'Drop List'!$G$23:$K$87,5,FALSE),0)</f>
        <v>0</v>
      </c>
      <c r="AK1571" s="1152">
        <f t="shared" si="444"/>
        <v>0</v>
      </c>
      <c r="AL1571" s="1153">
        <f t="shared" si="445"/>
        <v>0</v>
      </c>
      <c r="AM1571" s="1153">
        <f t="shared" si="446"/>
        <v>0</v>
      </c>
      <c r="AN1571" s="1145">
        <f t="shared" si="447"/>
        <v>0</v>
      </c>
      <c r="AO1571" s="1154">
        <f t="shared" si="450"/>
        <v>0</v>
      </c>
      <c r="AP1571" s="1147">
        <f t="shared" si="435"/>
        <v>1193.2634530985381</v>
      </c>
      <c r="AQ1571" s="1144">
        <f t="shared" si="436"/>
        <v>0</v>
      </c>
      <c r="AR1571" s="1146">
        <f t="shared" si="437"/>
        <v>1193.2634530985381</v>
      </c>
    </row>
    <row r="1572" spans="1:44" x14ac:dyDescent="0.2">
      <c r="A1572" s="1141" t="str">
        <f t="shared" si="449"/>
        <v>4520</v>
      </c>
      <c r="B1572" s="1141" t="str">
        <f>IFERROR(VLOOKUP(A1572,'LAC 103'!A:C,3,FALSE),"")</f>
        <v>COS</v>
      </c>
      <c r="C1572" s="1478" t="str">
        <f>Info!$B$8</f>
        <v>00100</v>
      </c>
      <c r="D1572" s="1474" t="s">
        <v>256</v>
      </c>
      <c r="E1572" s="1474" t="s">
        <v>104</v>
      </c>
      <c r="F1572" s="1478" t="s">
        <v>344</v>
      </c>
      <c r="G1572" s="1478" t="s">
        <v>344</v>
      </c>
      <c r="H1572" s="1474" t="s">
        <v>996</v>
      </c>
      <c r="I1572" s="1478" t="s">
        <v>912</v>
      </c>
      <c r="J1572" s="1478"/>
      <c r="K1572" s="1475" t="s">
        <v>846</v>
      </c>
      <c r="L1572" s="1474" t="s">
        <v>332</v>
      </c>
      <c r="M1572" s="1476" t="s">
        <v>1698</v>
      </c>
      <c r="N1572" s="1477" t="s">
        <v>1693</v>
      </c>
      <c r="O1572" s="1479">
        <v>10.599999999999998</v>
      </c>
      <c r="P1572" s="1479"/>
      <c r="Q1572" s="1142">
        <f t="shared" si="433"/>
        <v>10.599999999999998</v>
      </c>
      <c r="R1572" s="1143">
        <f>IFERROR(VLOOKUP(CONCATENATE($E1572,$G1572),'LAC 103'!$A$12:$O$95,11,FALSE),0)</f>
        <v>62.693351301149093</v>
      </c>
      <c r="S1572" s="1144">
        <f>IFERROR(VLOOKUP(CONCATENATE($E1572,$G1572),'LAC 103'!$A$12:$O$95,12,FALSE),0)</f>
        <v>0</v>
      </c>
      <c r="T1572" s="1144">
        <f>IFERROR(VLOOKUP(CONCATENATE($E1572,$G1572),'LAC 103'!$A$12:$O$95,13,FALSE),0)</f>
        <v>0</v>
      </c>
      <c r="U1572" s="1144">
        <f>IFERROR(VLOOKUP(CONCATENATE($E1572,$G1572),'LAC 103'!$A$12:$O$95,14,FALSE),0)</f>
        <v>0</v>
      </c>
      <c r="V1572" s="1144">
        <f>IFERROR(VLOOKUP(CONCATENATE($E1572,$G1572),'LAC 103'!$A$12:$O$95,15,FALSE),0)</f>
        <v>0</v>
      </c>
      <c r="W1572" s="1145" t="str">
        <f>IFERROR(VLOOKUP(CONCATENATE($B1572,$N1572),'LAC 103'!$AI:$AQ,9,FALSE),"")</f>
        <v>Costs</v>
      </c>
      <c r="X1572" s="1146">
        <f t="shared" si="438"/>
        <v>62.693351301149093</v>
      </c>
      <c r="Y1572" s="1143">
        <f t="shared" si="448"/>
        <v>664.54952379218025</v>
      </c>
      <c r="Z1572" s="1147">
        <f t="shared" si="439"/>
        <v>664.54952379218025</v>
      </c>
      <c r="AA1572" s="1144">
        <f t="shared" si="440"/>
        <v>664.54952379218025</v>
      </c>
      <c r="AB1572" s="1144">
        <f t="shared" si="441"/>
        <v>0</v>
      </c>
      <c r="AC1572" s="1144">
        <f t="shared" si="442"/>
        <v>0</v>
      </c>
      <c r="AD1572" s="1148">
        <f t="shared" si="434"/>
        <v>664.54952379218025</v>
      </c>
      <c r="AE1572" s="1487">
        <v>0</v>
      </c>
      <c r="AF1572" s="1145">
        <f t="shared" si="443"/>
        <v>664.54952379218025</v>
      </c>
      <c r="AG1572" s="1149">
        <f>IFERROR(VLOOKUP(CONCATENATE($L1572,$N1572),'Drop List'!$G$23:$K$87,2,FALSE),0)</f>
        <v>0</v>
      </c>
      <c r="AH1572" s="1150">
        <f>IFERROR(VLOOKUP(CONCATENATE($L1572,$N1572),'Drop List'!$G$23:$K$87,3,FALSE),0)</f>
        <v>0</v>
      </c>
      <c r="AI1572" s="1150">
        <f>IFERROR(VLOOKUP(CONCATENATE($L1572,$N1572),'Drop List'!$G$23:$K$87,4,FALSE),0)</f>
        <v>0</v>
      </c>
      <c r="AJ1572" s="1151">
        <f>IFERROR(VLOOKUP(CONCATENATE($L1572,$N1572),'Drop List'!$G$23:$K$87,5,FALSE),0)</f>
        <v>0</v>
      </c>
      <c r="AK1572" s="1152">
        <f t="shared" si="444"/>
        <v>0</v>
      </c>
      <c r="AL1572" s="1153">
        <f t="shared" si="445"/>
        <v>0</v>
      </c>
      <c r="AM1572" s="1153">
        <f t="shared" si="446"/>
        <v>0</v>
      </c>
      <c r="AN1572" s="1145">
        <f t="shared" si="447"/>
        <v>0</v>
      </c>
      <c r="AO1572" s="1154">
        <f t="shared" si="450"/>
        <v>0</v>
      </c>
      <c r="AP1572" s="1147">
        <f t="shared" si="435"/>
        <v>664.54952379218025</v>
      </c>
      <c r="AQ1572" s="1144">
        <f t="shared" si="436"/>
        <v>0</v>
      </c>
      <c r="AR1572" s="1146">
        <f t="shared" si="437"/>
        <v>664.54952379218025</v>
      </c>
    </row>
    <row r="1573" spans="1:44" x14ac:dyDescent="0.2">
      <c r="A1573" s="1141" t="str">
        <f t="shared" si="449"/>
        <v>4520</v>
      </c>
      <c r="B1573" s="1141" t="str">
        <f>IFERROR(VLOOKUP(A1573,'LAC 103'!A:C,3,FALSE),"")</f>
        <v>COS</v>
      </c>
      <c r="C1573" s="1478" t="str">
        <f>Info!$B$8</f>
        <v>00100</v>
      </c>
      <c r="D1573" s="1474" t="s">
        <v>256</v>
      </c>
      <c r="E1573" s="1474" t="s">
        <v>104</v>
      </c>
      <c r="F1573" s="1478" t="s">
        <v>344</v>
      </c>
      <c r="G1573" s="1478" t="s">
        <v>344</v>
      </c>
      <c r="H1573" s="1474" t="s">
        <v>1655</v>
      </c>
      <c r="I1573" s="1478" t="s">
        <v>913</v>
      </c>
      <c r="J1573" s="1478" t="s">
        <v>123</v>
      </c>
      <c r="K1573" s="1475" t="s">
        <v>846</v>
      </c>
      <c r="L1573" s="1474" t="s">
        <v>332</v>
      </c>
      <c r="M1573" s="1476" t="s">
        <v>1699</v>
      </c>
      <c r="N1573" s="1477" t="s">
        <v>1694</v>
      </c>
      <c r="O1573" s="1479">
        <v>242.3166666666668</v>
      </c>
      <c r="P1573" s="1479"/>
      <c r="Q1573" s="1142">
        <f t="shared" si="433"/>
        <v>242.3166666666668</v>
      </c>
      <c r="R1573" s="1143">
        <f>IFERROR(VLOOKUP(CONCATENATE($E1573,$G1573),'LAC 103'!$A$12:$O$95,11,FALSE),0)</f>
        <v>62.693351301149093</v>
      </c>
      <c r="S1573" s="1144">
        <f>IFERROR(VLOOKUP(CONCATENATE($E1573,$G1573),'LAC 103'!$A$12:$O$95,12,FALSE),0)</f>
        <v>0</v>
      </c>
      <c r="T1573" s="1144">
        <f>IFERROR(VLOOKUP(CONCATENATE($E1573,$G1573),'LAC 103'!$A$12:$O$95,13,FALSE),0)</f>
        <v>0</v>
      </c>
      <c r="U1573" s="1144">
        <f>IFERROR(VLOOKUP(CONCATENATE($E1573,$G1573),'LAC 103'!$A$12:$O$95,14,FALSE),0)</f>
        <v>0</v>
      </c>
      <c r="V1573" s="1144">
        <f>IFERROR(VLOOKUP(CONCATENATE($E1573,$G1573),'LAC 103'!$A$12:$O$95,15,FALSE),0)</f>
        <v>0</v>
      </c>
      <c r="W1573" s="1145" t="str">
        <f>IFERROR(VLOOKUP(CONCATENATE($B1573,$N1573),'LAC 103'!$AI:$AQ,9,FALSE),"")</f>
        <v>Costs</v>
      </c>
      <c r="X1573" s="1146">
        <f t="shared" si="438"/>
        <v>62.693351301149093</v>
      </c>
      <c r="Y1573" s="1143">
        <f t="shared" si="448"/>
        <v>15191.643909456787</v>
      </c>
      <c r="Z1573" s="1147">
        <f t="shared" si="439"/>
        <v>15191.643909456787</v>
      </c>
      <c r="AA1573" s="1144">
        <f t="shared" si="440"/>
        <v>15191.643909456787</v>
      </c>
      <c r="AB1573" s="1144">
        <f t="shared" si="441"/>
        <v>0</v>
      </c>
      <c r="AC1573" s="1144">
        <f t="shared" si="442"/>
        <v>0</v>
      </c>
      <c r="AD1573" s="1148">
        <f t="shared" si="434"/>
        <v>15191.643909456787</v>
      </c>
      <c r="AE1573" s="1487">
        <v>0</v>
      </c>
      <c r="AF1573" s="1145">
        <f t="shared" si="443"/>
        <v>15191.643909456787</v>
      </c>
      <c r="AG1573" s="1149">
        <f>IFERROR(VLOOKUP(CONCATENATE($L1573,$N1573),'Drop List'!$G$23:$K$87,2,FALSE),0)</f>
        <v>0</v>
      </c>
      <c r="AH1573" s="1150">
        <f>IFERROR(VLOOKUP(CONCATENATE($L1573,$N1573),'Drop List'!$G$23:$K$87,3,FALSE),0)</f>
        <v>0</v>
      </c>
      <c r="AI1573" s="1150">
        <f>IFERROR(VLOOKUP(CONCATENATE($L1573,$N1573),'Drop List'!$G$23:$K$87,4,FALSE),0)</f>
        <v>0</v>
      </c>
      <c r="AJ1573" s="1151">
        <f>IFERROR(VLOOKUP(CONCATENATE($L1573,$N1573),'Drop List'!$G$23:$K$87,5,FALSE),0)</f>
        <v>0</v>
      </c>
      <c r="AK1573" s="1152">
        <f t="shared" si="444"/>
        <v>0</v>
      </c>
      <c r="AL1573" s="1153">
        <f t="shared" si="445"/>
        <v>0</v>
      </c>
      <c r="AM1573" s="1153">
        <f t="shared" si="446"/>
        <v>0</v>
      </c>
      <c r="AN1573" s="1145">
        <f t="shared" si="447"/>
        <v>0</v>
      </c>
      <c r="AO1573" s="1154">
        <f t="shared" si="450"/>
        <v>0</v>
      </c>
      <c r="AP1573" s="1147">
        <f t="shared" si="435"/>
        <v>15191.643909456787</v>
      </c>
      <c r="AQ1573" s="1144">
        <f t="shared" si="436"/>
        <v>0</v>
      </c>
      <c r="AR1573" s="1146">
        <f t="shared" si="437"/>
        <v>15191.643909456787</v>
      </c>
    </row>
    <row r="1574" spans="1:44" x14ac:dyDescent="0.2">
      <c r="A1574" s="1141" t="str">
        <f t="shared" si="449"/>
        <v>4520</v>
      </c>
      <c r="B1574" s="1141" t="str">
        <f>IFERROR(VLOOKUP(A1574,'LAC 103'!A:C,3,FALSE),"")</f>
        <v>COS</v>
      </c>
      <c r="C1574" s="1478" t="str">
        <f>Info!$B$8</f>
        <v>00100</v>
      </c>
      <c r="D1574" s="1474" t="s">
        <v>256</v>
      </c>
      <c r="E1574" s="1474" t="s">
        <v>104</v>
      </c>
      <c r="F1574" s="1478" t="s">
        <v>344</v>
      </c>
      <c r="G1574" s="1478" t="s">
        <v>344</v>
      </c>
      <c r="H1574" s="1474" t="s">
        <v>1655</v>
      </c>
      <c r="I1574" s="1478" t="s">
        <v>913</v>
      </c>
      <c r="J1574" s="1478"/>
      <c r="K1574" s="1475" t="s">
        <v>846</v>
      </c>
      <c r="L1574" s="1474" t="s">
        <v>332</v>
      </c>
      <c r="M1574" s="1476" t="s">
        <v>841</v>
      </c>
      <c r="N1574" s="1477" t="s">
        <v>1695</v>
      </c>
      <c r="O1574" s="1479">
        <v>46.816666666666663</v>
      </c>
      <c r="P1574" s="1479"/>
      <c r="Q1574" s="1142">
        <f t="shared" si="433"/>
        <v>46.816666666666663</v>
      </c>
      <c r="R1574" s="1143">
        <f>IFERROR(VLOOKUP(CONCATENATE($E1574,$G1574),'LAC 103'!$A$12:$O$95,11,FALSE),0)</f>
        <v>62.693351301149093</v>
      </c>
      <c r="S1574" s="1144">
        <f>IFERROR(VLOOKUP(CONCATENATE($E1574,$G1574),'LAC 103'!$A$12:$O$95,12,FALSE),0)</f>
        <v>0</v>
      </c>
      <c r="T1574" s="1144">
        <f>IFERROR(VLOOKUP(CONCATENATE($E1574,$G1574),'LAC 103'!$A$12:$O$95,13,FALSE),0)</f>
        <v>0</v>
      </c>
      <c r="U1574" s="1144">
        <f>IFERROR(VLOOKUP(CONCATENATE($E1574,$G1574),'LAC 103'!$A$12:$O$95,14,FALSE),0)</f>
        <v>0</v>
      </c>
      <c r="V1574" s="1144">
        <f>IFERROR(VLOOKUP(CONCATENATE($E1574,$G1574),'LAC 103'!$A$12:$O$95,15,FALSE),0)</f>
        <v>0</v>
      </c>
      <c r="W1574" s="1145" t="str">
        <f>IFERROR(VLOOKUP(CONCATENATE($B1574,$N1574),'LAC 103'!$AI:$AQ,9,FALSE),"")</f>
        <v>Costs</v>
      </c>
      <c r="X1574" s="1146">
        <f t="shared" si="438"/>
        <v>62.693351301149093</v>
      </c>
      <c r="Y1574" s="1143">
        <f t="shared" si="448"/>
        <v>2935.0937300821297</v>
      </c>
      <c r="Z1574" s="1147">
        <f t="shared" si="439"/>
        <v>2935.0937300821297</v>
      </c>
      <c r="AA1574" s="1144">
        <f t="shared" si="440"/>
        <v>2935.0937300821297</v>
      </c>
      <c r="AB1574" s="1144">
        <f t="shared" si="441"/>
        <v>0</v>
      </c>
      <c r="AC1574" s="1144">
        <f t="shared" si="442"/>
        <v>0</v>
      </c>
      <c r="AD1574" s="1148">
        <f t="shared" si="434"/>
        <v>2935.0937300821297</v>
      </c>
      <c r="AE1574" s="1487">
        <v>0</v>
      </c>
      <c r="AF1574" s="1145">
        <f t="shared" si="443"/>
        <v>2935.0937300821297</v>
      </c>
      <c r="AG1574" s="1149">
        <f>IFERROR(VLOOKUP(CONCATENATE($L1574,$N1574),'Drop List'!$G$23:$K$87,2,FALSE),0)</f>
        <v>0</v>
      </c>
      <c r="AH1574" s="1150">
        <f>IFERROR(VLOOKUP(CONCATENATE($L1574,$N1574),'Drop List'!$G$23:$K$87,3,FALSE),0)</f>
        <v>0</v>
      </c>
      <c r="AI1574" s="1150">
        <f>IFERROR(VLOOKUP(CONCATENATE($L1574,$N1574),'Drop List'!$G$23:$K$87,4,FALSE),0)</f>
        <v>0</v>
      </c>
      <c r="AJ1574" s="1151">
        <f>IFERROR(VLOOKUP(CONCATENATE($L1574,$N1574),'Drop List'!$G$23:$K$87,5,FALSE),0)</f>
        <v>0</v>
      </c>
      <c r="AK1574" s="1152">
        <f t="shared" si="444"/>
        <v>0</v>
      </c>
      <c r="AL1574" s="1153">
        <f t="shared" si="445"/>
        <v>0</v>
      </c>
      <c r="AM1574" s="1153">
        <f t="shared" si="446"/>
        <v>0</v>
      </c>
      <c r="AN1574" s="1145">
        <f t="shared" si="447"/>
        <v>0</v>
      </c>
      <c r="AO1574" s="1154">
        <f t="shared" si="450"/>
        <v>0</v>
      </c>
      <c r="AP1574" s="1147">
        <f t="shared" si="435"/>
        <v>2935.0937300821297</v>
      </c>
      <c r="AQ1574" s="1144">
        <f t="shared" si="436"/>
        <v>0</v>
      </c>
      <c r="AR1574" s="1146">
        <f t="shared" si="437"/>
        <v>2935.0937300821297</v>
      </c>
    </row>
    <row r="1575" spans="1:44" x14ac:dyDescent="0.2">
      <c r="A1575" s="1141" t="str">
        <f t="shared" si="449"/>
        <v>4520</v>
      </c>
      <c r="B1575" s="1141" t="str">
        <f>IFERROR(VLOOKUP(A1575,'LAC 103'!A:C,3,FALSE),"")</f>
        <v>COS</v>
      </c>
      <c r="C1575" s="1478" t="str">
        <f>Info!$B$8</f>
        <v>00100</v>
      </c>
      <c r="D1575" s="1474" t="s">
        <v>256</v>
      </c>
      <c r="E1575" s="1474" t="s">
        <v>104</v>
      </c>
      <c r="F1575" s="1478" t="s">
        <v>344</v>
      </c>
      <c r="G1575" s="1478" t="s">
        <v>344</v>
      </c>
      <c r="H1575" s="1474" t="s">
        <v>1655</v>
      </c>
      <c r="I1575" s="1478" t="s">
        <v>913</v>
      </c>
      <c r="J1575" s="1478"/>
      <c r="K1575" s="1475" t="s">
        <v>846</v>
      </c>
      <c r="L1575" s="1474" t="s">
        <v>332</v>
      </c>
      <c r="M1575" s="1476" t="s">
        <v>840</v>
      </c>
      <c r="N1575" s="1477" t="s">
        <v>1700</v>
      </c>
      <c r="O1575" s="1479">
        <v>2.6</v>
      </c>
      <c r="P1575" s="1479"/>
      <c r="Q1575" s="1142">
        <f t="shared" si="433"/>
        <v>2.6</v>
      </c>
      <c r="R1575" s="1143">
        <f>IFERROR(VLOOKUP(CONCATENATE($E1575,$G1575),'LAC 103'!$A$12:$O$95,11,FALSE),0)</f>
        <v>62.693351301149093</v>
      </c>
      <c r="S1575" s="1144">
        <f>IFERROR(VLOOKUP(CONCATENATE($E1575,$G1575),'LAC 103'!$A$12:$O$95,12,FALSE),0)</f>
        <v>0</v>
      </c>
      <c r="T1575" s="1144">
        <f>IFERROR(VLOOKUP(CONCATENATE($E1575,$G1575),'LAC 103'!$A$12:$O$95,13,FALSE),0)</f>
        <v>0</v>
      </c>
      <c r="U1575" s="1144">
        <f>IFERROR(VLOOKUP(CONCATENATE($E1575,$G1575),'LAC 103'!$A$12:$O$95,14,FALSE),0)</f>
        <v>0</v>
      </c>
      <c r="V1575" s="1144">
        <f>IFERROR(VLOOKUP(CONCATENATE($E1575,$G1575),'LAC 103'!$A$12:$O$95,15,FALSE),0)</f>
        <v>0</v>
      </c>
      <c r="W1575" s="1145" t="str">
        <f>IFERROR(VLOOKUP(CONCATENATE($B1575,$N1575),'LAC 103'!$AI:$AQ,9,FALSE),"")</f>
        <v>Costs</v>
      </c>
      <c r="X1575" s="1146">
        <f t="shared" si="438"/>
        <v>62.693351301149093</v>
      </c>
      <c r="Y1575" s="1143">
        <f t="shared" si="448"/>
        <v>163.00271338298765</v>
      </c>
      <c r="Z1575" s="1147">
        <f t="shared" si="439"/>
        <v>163.00271338298765</v>
      </c>
      <c r="AA1575" s="1144">
        <f t="shared" si="440"/>
        <v>163.00271338298765</v>
      </c>
      <c r="AB1575" s="1144">
        <f t="shared" si="441"/>
        <v>0</v>
      </c>
      <c r="AC1575" s="1144">
        <f t="shared" si="442"/>
        <v>0</v>
      </c>
      <c r="AD1575" s="1148">
        <f t="shared" si="434"/>
        <v>163.00271338298765</v>
      </c>
      <c r="AE1575" s="1487">
        <v>0</v>
      </c>
      <c r="AF1575" s="1145">
        <f t="shared" si="443"/>
        <v>163.00271338298765</v>
      </c>
      <c r="AG1575" s="1149">
        <f>IFERROR(VLOOKUP(CONCATENATE($L1575,$N1575),'Drop List'!$G$23:$K$87,2,FALSE),0)</f>
        <v>0</v>
      </c>
      <c r="AH1575" s="1150">
        <f>IFERROR(VLOOKUP(CONCATENATE($L1575,$N1575),'Drop List'!$G$23:$K$87,3,FALSE),0)</f>
        <v>0</v>
      </c>
      <c r="AI1575" s="1150">
        <f>IFERROR(VLOOKUP(CONCATENATE($L1575,$N1575),'Drop List'!$G$23:$K$87,4,FALSE),0)</f>
        <v>0</v>
      </c>
      <c r="AJ1575" s="1151">
        <f>IFERROR(VLOOKUP(CONCATENATE($L1575,$N1575),'Drop List'!$G$23:$K$87,5,FALSE),0)</f>
        <v>0</v>
      </c>
      <c r="AK1575" s="1152">
        <f t="shared" si="444"/>
        <v>0</v>
      </c>
      <c r="AL1575" s="1153">
        <f t="shared" si="445"/>
        <v>0</v>
      </c>
      <c r="AM1575" s="1153">
        <f t="shared" si="446"/>
        <v>0</v>
      </c>
      <c r="AN1575" s="1145">
        <f t="shared" si="447"/>
        <v>0</v>
      </c>
      <c r="AO1575" s="1154">
        <f t="shared" si="450"/>
        <v>0</v>
      </c>
      <c r="AP1575" s="1147">
        <f t="shared" si="435"/>
        <v>163.00271338298765</v>
      </c>
      <c r="AQ1575" s="1144">
        <f t="shared" si="436"/>
        <v>0</v>
      </c>
      <c r="AR1575" s="1146">
        <f t="shared" si="437"/>
        <v>163.00271338298765</v>
      </c>
    </row>
    <row r="1576" spans="1:44" x14ac:dyDescent="0.2">
      <c r="A1576" s="1141" t="str">
        <f t="shared" si="449"/>
        <v>4520</v>
      </c>
      <c r="B1576" s="1141" t="str">
        <f>IFERROR(VLOOKUP(A1576,'LAC 103'!A:C,3,FALSE),"")</f>
        <v>COS</v>
      </c>
      <c r="C1576" s="1478" t="str">
        <f>Info!$B$8</f>
        <v>00100</v>
      </c>
      <c r="D1576" s="1474" t="s">
        <v>256</v>
      </c>
      <c r="E1576" s="1474" t="s">
        <v>104</v>
      </c>
      <c r="F1576" s="1478" t="s">
        <v>344</v>
      </c>
      <c r="G1576" s="1478" t="s">
        <v>344</v>
      </c>
      <c r="H1576" s="1474" t="s">
        <v>1655</v>
      </c>
      <c r="I1576" s="1478" t="s">
        <v>913</v>
      </c>
      <c r="J1576" s="1478"/>
      <c r="K1576" s="1475" t="s">
        <v>846</v>
      </c>
      <c r="L1576" s="1474" t="s">
        <v>332</v>
      </c>
      <c r="M1576" s="1476" t="s">
        <v>842</v>
      </c>
      <c r="N1576" s="1477" t="s">
        <v>1692</v>
      </c>
      <c r="O1576" s="1479">
        <v>185.46666666666675</v>
      </c>
      <c r="P1576" s="1479"/>
      <c r="Q1576" s="1142">
        <f t="shared" si="433"/>
        <v>185.46666666666675</v>
      </c>
      <c r="R1576" s="1143">
        <f>IFERROR(VLOOKUP(CONCATENATE($E1576,$G1576),'LAC 103'!$A$12:$O$95,11,FALSE),0)</f>
        <v>62.693351301149093</v>
      </c>
      <c r="S1576" s="1144">
        <f>IFERROR(VLOOKUP(CONCATENATE($E1576,$G1576),'LAC 103'!$A$12:$O$95,12,FALSE),0)</f>
        <v>0</v>
      </c>
      <c r="T1576" s="1144">
        <f>IFERROR(VLOOKUP(CONCATENATE($E1576,$G1576),'LAC 103'!$A$12:$O$95,13,FALSE),0)</f>
        <v>0</v>
      </c>
      <c r="U1576" s="1144">
        <f>IFERROR(VLOOKUP(CONCATENATE($E1576,$G1576),'LAC 103'!$A$12:$O$95,14,FALSE),0)</f>
        <v>0</v>
      </c>
      <c r="V1576" s="1144">
        <f>IFERROR(VLOOKUP(CONCATENATE($E1576,$G1576),'LAC 103'!$A$12:$O$95,15,FALSE),0)</f>
        <v>0</v>
      </c>
      <c r="W1576" s="1145" t="str">
        <f>IFERROR(VLOOKUP(CONCATENATE($B1576,$N1576),'LAC 103'!$AI:$AQ,9,FALSE),"")</f>
        <v>Costs</v>
      </c>
      <c r="X1576" s="1146">
        <f t="shared" si="438"/>
        <v>62.693351301149093</v>
      </c>
      <c r="Y1576" s="1143">
        <f t="shared" si="448"/>
        <v>11627.526887986458</v>
      </c>
      <c r="Z1576" s="1147">
        <f t="shared" si="439"/>
        <v>11627.526887986458</v>
      </c>
      <c r="AA1576" s="1144">
        <f t="shared" si="440"/>
        <v>11627.526887986458</v>
      </c>
      <c r="AB1576" s="1144">
        <f t="shared" si="441"/>
        <v>0</v>
      </c>
      <c r="AC1576" s="1144">
        <f t="shared" si="442"/>
        <v>0</v>
      </c>
      <c r="AD1576" s="1148">
        <f t="shared" si="434"/>
        <v>11627.526887986458</v>
      </c>
      <c r="AE1576" s="1487">
        <v>0</v>
      </c>
      <c r="AF1576" s="1145">
        <f t="shared" si="443"/>
        <v>11627.526887986458</v>
      </c>
      <c r="AG1576" s="1149">
        <f>IFERROR(VLOOKUP(CONCATENATE($L1576,$N1576),'Drop List'!$G$23:$K$87,2,FALSE),0)</f>
        <v>0</v>
      </c>
      <c r="AH1576" s="1150">
        <f>IFERROR(VLOOKUP(CONCATENATE($L1576,$N1576),'Drop List'!$G$23:$K$87,3,FALSE),0)</f>
        <v>0</v>
      </c>
      <c r="AI1576" s="1150">
        <f>IFERROR(VLOOKUP(CONCATENATE($L1576,$N1576),'Drop List'!$G$23:$K$87,4,FALSE),0)</f>
        <v>0</v>
      </c>
      <c r="AJ1576" s="1151">
        <f>IFERROR(VLOOKUP(CONCATENATE($L1576,$N1576),'Drop List'!$G$23:$K$87,5,FALSE),0)</f>
        <v>0</v>
      </c>
      <c r="AK1576" s="1152">
        <f t="shared" si="444"/>
        <v>0</v>
      </c>
      <c r="AL1576" s="1153">
        <f t="shared" si="445"/>
        <v>0</v>
      </c>
      <c r="AM1576" s="1153">
        <f t="shared" si="446"/>
        <v>0</v>
      </c>
      <c r="AN1576" s="1145">
        <f t="shared" si="447"/>
        <v>0</v>
      </c>
      <c r="AO1576" s="1154">
        <f t="shared" si="450"/>
        <v>0</v>
      </c>
      <c r="AP1576" s="1147">
        <f t="shared" si="435"/>
        <v>11627.526887986458</v>
      </c>
      <c r="AQ1576" s="1144">
        <f t="shared" si="436"/>
        <v>0</v>
      </c>
      <c r="AR1576" s="1146">
        <f t="shared" si="437"/>
        <v>11627.526887986458</v>
      </c>
    </row>
    <row r="1577" spans="1:44" x14ac:dyDescent="0.2">
      <c r="A1577" s="1141" t="str">
        <f t="shared" si="449"/>
        <v>4520</v>
      </c>
      <c r="B1577" s="1141" t="str">
        <f>IFERROR(VLOOKUP(A1577,'LAC 103'!A:C,3,FALSE),"")</f>
        <v>COS</v>
      </c>
      <c r="C1577" s="1478" t="str">
        <f>Info!$B$8</f>
        <v>00100</v>
      </c>
      <c r="D1577" s="1474" t="s">
        <v>256</v>
      </c>
      <c r="E1577" s="1474" t="s">
        <v>104</v>
      </c>
      <c r="F1577" s="1478" t="s">
        <v>344</v>
      </c>
      <c r="G1577" s="1478" t="s">
        <v>344</v>
      </c>
      <c r="H1577" s="1474" t="s">
        <v>1655</v>
      </c>
      <c r="I1577" s="1478" t="s">
        <v>913</v>
      </c>
      <c r="J1577" s="1478"/>
      <c r="K1577" s="1475" t="s">
        <v>846</v>
      </c>
      <c r="L1577" s="1474" t="s">
        <v>332</v>
      </c>
      <c r="M1577" s="1476" t="s">
        <v>1698</v>
      </c>
      <c r="N1577" s="1477" t="s">
        <v>1693</v>
      </c>
      <c r="O1577" s="1479">
        <v>251.23333333333346</v>
      </c>
      <c r="P1577" s="1479"/>
      <c r="Q1577" s="1142">
        <f t="shared" si="433"/>
        <v>251.23333333333346</v>
      </c>
      <c r="R1577" s="1143">
        <f>IFERROR(VLOOKUP(CONCATENATE($E1577,$G1577),'LAC 103'!$A$12:$O$95,11,FALSE),0)</f>
        <v>62.693351301149093</v>
      </c>
      <c r="S1577" s="1144">
        <f>IFERROR(VLOOKUP(CONCATENATE($E1577,$G1577),'LAC 103'!$A$12:$O$95,12,FALSE),0)</f>
        <v>0</v>
      </c>
      <c r="T1577" s="1144">
        <f>IFERROR(VLOOKUP(CONCATENATE($E1577,$G1577),'LAC 103'!$A$12:$O$95,13,FALSE),0)</f>
        <v>0</v>
      </c>
      <c r="U1577" s="1144">
        <f>IFERROR(VLOOKUP(CONCATENATE($E1577,$G1577),'LAC 103'!$A$12:$O$95,14,FALSE),0)</f>
        <v>0</v>
      </c>
      <c r="V1577" s="1144">
        <f>IFERROR(VLOOKUP(CONCATENATE($E1577,$G1577),'LAC 103'!$A$12:$O$95,15,FALSE),0)</f>
        <v>0</v>
      </c>
      <c r="W1577" s="1145" t="str">
        <f>IFERROR(VLOOKUP(CONCATENATE($B1577,$N1577),'LAC 103'!$AI:$AQ,9,FALSE),"")</f>
        <v>Costs</v>
      </c>
      <c r="X1577" s="1146">
        <f t="shared" si="438"/>
        <v>62.693351301149093</v>
      </c>
      <c r="Y1577" s="1143">
        <f t="shared" si="448"/>
        <v>15750.659625225366</v>
      </c>
      <c r="Z1577" s="1147">
        <f t="shared" si="439"/>
        <v>15750.659625225366</v>
      </c>
      <c r="AA1577" s="1144">
        <f t="shared" si="440"/>
        <v>15750.659625225366</v>
      </c>
      <c r="AB1577" s="1144">
        <f t="shared" si="441"/>
        <v>0</v>
      </c>
      <c r="AC1577" s="1144">
        <f t="shared" si="442"/>
        <v>0</v>
      </c>
      <c r="AD1577" s="1148">
        <f t="shared" si="434"/>
        <v>15750.659625225366</v>
      </c>
      <c r="AE1577" s="1487">
        <v>0</v>
      </c>
      <c r="AF1577" s="1145">
        <f t="shared" si="443"/>
        <v>15750.659625225366</v>
      </c>
      <c r="AG1577" s="1149">
        <f>IFERROR(VLOOKUP(CONCATENATE($L1577,$N1577),'Drop List'!$G$23:$K$87,2,FALSE),0)</f>
        <v>0</v>
      </c>
      <c r="AH1577" s="1150">
        <f>IFERROR(VLOOKUP(CONCATENATE($L1577,$N1577),'Drop List'!$G$23:$K$87,3,FALSE),0)</f>
        <v>0</v>
      </c>
      <c r="AI1577" s="1150">
        <f>IFERROR(VLOOKUP(CONCATENATE($L1577,$N1577),'Drop List'!$G$23:$K$87,4,FALSE),0)</f>
        <v>0</v>
      </c>
      <c r="AJ1577" s="1151">
        <f>IFERROR(VLOOKUP(CONCATENATE($L1577,$N1577),'Drop List'!$G$23:$K$87,5,FALSE),0)</f>
        <v>0</v>
      </c>
      <c r="AK1577" s="1152">
        <f t="shared" si="444"/>
        <v>0</v>
      </c>
      <c r="AL1577" s="1153">
        <f t="shared" si="445"/>
        <v>0</v>
      </c>
      <c r="AM1577" s="1153">
        <f t="shared" si="446"/>
        <v>0</v>
      </c>
      <c r="AN1577" s="1145">
        <f t="shared" si="447"/>
        <v>0</v>
      </c>
      <c r="AO1577" s="1154">
        <f t="shared" si="450"/>
        <v>0</v>
      </c>
      <c r="AP1577" s="1147">
        <f t="shared" si="435"/>
        <v>15750.659625225366</v>
      </c>
      <c r="AQ1577" s="1144">
        <f t="shared" si="436"/>
        <v>0</v>
      </c>
      <c r="AR1577" s="1146">
        <f t="shared" si="437"/>
        <v>15750.659625225366</v>
      </c>
    </row>
    <row r="1578" spans="1:44" x14ac:dyDescent="0.2">
      <c r="A1578" s="1141" t="str">
        <f t="shared" si="449"/>
        <v>4520</v>
      </c>
      <c r="B1578" s="1141" t="str">
        <f>IFERROR(VLOOKUP(A1578,'LAC 103'!A:C,3,FALSE),"")</f>
        <v>COS</v>
      </c>
      <c r="C1578" s="1478" t="str">
        <f>Info!$B$8</f>
        <v>00100</v>
      </c>
      <c r="D1578" s="1474" t="s">
        <v>256</v>
      </c>
      <c r="E1578" s="1474" t="s">
        <v>104</v>
      </c>
      <c r="F1578" s="1478" t="s">
        <v>344</v>
      </c>
      <c r="G1578" s="1478" t="s">
        <v>344</v>
      </c>
      <c r="H1578" s="1474" t="s">
        <v>1659</v>
      </c>
      <c r="I1578" s="1478" t="s">
        <v>807</v>
      </c>
      <c r="J1578" s="1478" t="s">
        <v>123</v>
      </c>
      <c r="K1578" s="1475" t="s">
        <v>846</v>
      </c>
      <c r="L1578" s="1474" t="s">
        <v>332</v>
      </c>
      <c r="M1578" s="1476" t="s">
        <v>1699</v>
      </c>
      <c r="N1578" s="1477" t="s">
        <v>1694</v>
      </c>
      <c r="O1578" s="1479">
        <v>68.683333333333323</v>
      </c>
      <c r="P1578" s="1479"/>
      <c r="Q1578" s="1142">
        <f t="shared" si="433"/>
        <v>68.683333333333323</v>
      </c>
      <c r="R1578" s="1143">
        <f>IFERROR(VLOOKUP(CONCATENATE($E1578,$G1578),'LAC 103'!$A$12:$O$95,11,FALSE),0)</f>
        <v>62.693351301149093</v>
      </c>
      <c r="S1578" s="1144">
        <f>IFERROR(VLOOKUP(CONCATENATE($E1578,$G1578),'LAC 103'!$A$12:$O$95,12,FALSE),0)</f>
        <v>0</v>
      </c>
      <c r="T1578" s="1144">
        <f>IFERROR(VLOOKUP(CONCATENATE($E1578,$G1578),'LAC 103'!$A$12:$O$95,13,FALSE),0)</f>
        <v>0</v>
      </c>
      <c r="U1578" s="1144">
        <f>IFERROR(VLOOKUP(CONCATENATE($E1578,$G1578),'LAC 103'!$A$12:$O$95,14,FALSE),0)</f>
        <v>0</v>
      </c>
      <c r="V1578" s="1144">
        <f>IFERROR(VLOOKUP(CONCATENATE($E1578,$G1578),'LAC 103'!$A$12:$O$95,15,FALSE),0)</f>
        <v>0</v>
      </c>
      <c r="W1578" s="1145" t="str">
        <f>IFERROR(VLOOKUP(CONCATENATE($B1578,$N1578),'LAC 103'!$AI:$AQ,9,FALSE),"")</f>
        <v>Costs</v>
      </c>
      <c r="X1578" s="1146">
        <f t="shared" si="438"/>
        <v>62.693351301149093</v>
      </c>
      <c r="Y1578" s="1143">
        <f t="shared" si="448"/>
        <v>4305.9883452005897</v>
      </c>
      <c r="Z1578" s="1147">
        <f t="shared" si="439"/>
        <v>4305.9883452005897</v>
      </c>
      <c r="AA1578" s="1144">
        <f t="shared" si="440"/>
        <v>4305.9883452005897</v>
      </c>
      <c r="AB1578" s="1144">
        <f t="shared" si="441"/>
        <v>0</v>
      </c>
      <c r="AC1578" s="1144">
        <f t="shared" si="442"/>
        <v>0</v>
      </c>
      <c r="AD1578" s="1148">
        <f t="shared" si="434"/>
        <v>4305.9883452005897</v>
      </c>
      <c r="AE1578" s="1487">
        <v>0</v>
      </c>
      <c r="AF1578" s="1145">
        <f t="shared" si="443"/>
        <v>4305.9883452005897</v>
      </c>
      <c r="AG1578" s="1149">
        <f>IFERROR(VLOOKUP(CONCATENATE($L1578,$N1578),'Drop List'!$G$23:$K$87,2,FALSE),0)</f>
        <v>0</v>
      </c>
      <c r="AH1578" s="1150">
        <f>IFERROR(VLOOKUP(CONCATENATE($L1578,$N1578),'Drop List'!$G$23:$K$87,3,FALSE),0)</f>
        <v>0</v>
      </c>
      <c r="AI1578" s="1150">
        <f>IFERROR(VLOOKUP(CONCATENATE($L1578,$N1578),'Drop List'!$G$23:$K$87,4,FALSE),0)</f>
        <v>0</v>
      </c>
      <c r="AJ1578" s="1151">
        <f>IFERROR(VLOOKUP(CONCATENATE($L1578,$N1578),'Drop List'!$G$23:$K$87,5,FALSE),0)</f>
        <v>0</v>
      </c>
      <c r="AK1578" s="1152">
        <f t="shared" si="444"/>
        <v>0</v>
      </c>
      <c r="AL1578" s="1153">
        <f t="shared" si="445"/>
        <v>0</v>
      </c>
      <c r="AM1578" s="1153">
        <f t="shared" si="446"/>
        <v>0</v>
      </c>
      <c r="AN1578" s="1145">
        <f t="shared" si="447"/>
        <v>0</v>
      </c>
      <c r="AO1578" s="1154">
        <f t="shared" si="450"/>
        <v>0</v>
      </c>
      <c r="AP1578" s="1147">
        <f t="shared" si="435"/>
        <v>4305.9883452005897</v>
      </c>
      <c r="AQ1578" s="1144">
        <f t="shared" si="436"/>
        <v>0</v>
      </c>
      <c r="AR1578" s="1146">
        <f t="shared" si="437"/>
        <v>4305.9883452005897</v>
      </c>
    </row>
    <row r="1579" spans="1:44" x14ac:dyDescent="0.2">
      <c r="A1579" s="1141" t="str">
        <f t="shared" si="449"/>
        <v>4520</v>
      </c>
      <c r="B1579" s="1141" t="str">
        <f>IFERROR(VLOOKUP(A1579,'LAC 103'!A:C,3,FALSE),"")</f>
        <v>COS</v>
      </c>
      <c r="C1579" s="1478" t="str">
        <f>Info!$B$8</f>
        <v>00100</v>
      </c>
      <c r="D1579" s="1474" t="s">
        <v>256</v>
      </c>
      <c r="E1579" s="1474" t="s">
        <v>104</v>
      </c>
      <c r="F1579" s="1478" t="s">
        <v>344</v>
      </c>
      <c r="G1579" s="1478" t="s">
        <v>344</v>
      </c>
      <c r="H1579" s="1474" t="s">
        <v>1659</v>
      </c>
      <c r="I1579" s="1478" t="s">
        <v>807</v>
      </c>
      <c r="J1579" s="1478"/>
      <c r="K1579" s="1475" t="s">
        <v>846</v>
      </c>
      <c r="L1579" s="1474" t="s">
        <v>332</v>
      </c>
      <c r="M1579" s="1476" t="s">
        <v>841</v>
      </c>
      <c r="N1579" s="1477" t="s">
        <v>1695</v>
      </c>
      <c r="O1579" s="1479">
        <v>4.8833333333333337</v>
      </c>
      <c r="P1579" s="1479"/>
      <c r="Q1579" s="1142">
        <f t="shared" si="433"/>
        <v>4.8833333333333337</v>
      </c>
      <c r="R1579" s="1143">
        <f>IFERROR(VLOOKUP(CONCATENATE($E1579,$G1579),'LAC 103'!$A$12:$O$95,11,FALSE),0)</f>
        <v>62.693351301149093</v>
      </c>
      <c r="S1579" s="1144">
        <f>IFERROR(VLOOKUP(CONCATENATE($E1579,$G1579),'LAC 103'!$A$12:$O$95,12,FALSE),0)</f>
        <v>0</v>
      </c>
      <c r="T1579" s="1144">
        <f>IFERROR(VLOOKUP(CONCATENATE($E1579,$G1579),'LAC 103'!$A$12:$O$95,13,FALSE),0)</f>
        <v>0</v>
      </c>
      <c r="U1579" s="1144">
        <f>IFERROR(VLOOKUP(CONCATENATE($E1579,$G1579),'LAC 103'!$A$12:$O$95,14,FALSE),0)</f>
        <v>0</v>
      </c>
      <c r="V1579" s="1144">
        <f>IFERROR(VLOOKUP(CONCATENATE($E1579,$G1579),'LAC 103'!$A$12:$O$95,15,FALSE),0)</f>
        <v>0</v>
      </c>
      <c r="W1579" s="1145" t="str">
        <f>IFERROR(VLOOKUP(CONCATENATE($B1579,$N1579),'LAC 103'!$AI:$AQ,9,FALSE),"")</f>
        <v>Costs</v>
      </c>
      <c r="X1579" s="1146">
        <f t="shared" si="438"/>
        <v>62.693351301149093</v>
      </c>
      <c r="Y1579" s="1143">
        <f t="shared" si="448"/>
        <v>306.1525321872781</v>
      </c>
      <c r="Z1579" s="1147">
        <f t="shared" si="439"/>
        <v>306.1525321872781</v>
      </c>
      <c r="AA1579" s="1144">
        <f t="shared" si="440"/>
        <v>306.1525321872781</v>
      </c>
      <c r="AB1579" s="1144">
        <f t="shared" si="441"/>
        <v>0</v>
      </c>
      <c r="AC1579" s="1144">
        <f t="shared" si="442"/>
        <v>0</v>
      </c>
      <c r="AD1579" s="1148">
        <f t="shared" si="434"/>
        <v>306.1525321872781</v>
      </c>
      <c r="AE1579" s="1487">
        <v>0</v>
      </c>
      <c r="AF1579" s="1145">
        <f t="shared" si="443"/>
        <v>306.1525321872781</v>
      </c>
      <c r="AG1579" s="1149">
        <f>IFERROR(VLOOKUP(CONCATENATE($L1579,$N1579),'Drop List'!$G$23:$K$87,2,FALSE),0)</f>
        <v>0</v>
      </c>
      <c r="AH1579" s="1150">
        <f>IFERROR(VLOOKUP(CONCATENATE($L1579,$N1579),'Drop List'!$G$23:$K$87,3,FALSE),0)</f>
        <v>0</v>
      </c>
      <c r="AI1579" s="1150">
        <f>IFERROR(VLOOKUP(CONCATENATE($L1579,$N1579),'Drop List'!$G$23:$K$87,4,FALSE),0)</f>
        <v>0</v>
      </c>
      <c r="AJ1579" s="1151">
        <f>IFERROR(VLOOKUP(CONCATENATE($L1579,$N1579),'Drop List'!$G$23:$K$87,5,FALSE),0)</f>
        <v>0</v>
      </c>
      <c r="AK1579" s="1152">
        <f t="shared" si="444"/>
        <v>0</v>
      </c>
      <c r="AL1579" s="1153">
        <f t="shared" si="445"/>
        <v>0</v>
      </c>
      <c r="AM1579" s="1153">
        <f t="shared" si="446"/>
        <v>0</v>
      </c>
      <c r="AN1579" s="1145">
        <f t="shared" si="447"/>
        <v>0</v>
      </c>
      <c r="AO1579" s="1154">
        <f t="shared" si="450"/>
        <v>0</v>
      </c>
      <c r="AP1579" s="1147">
        <f t="shared" si="435"/>
        <v>306.1525321872781</v>
      </c>
      <c r="AQ1579" s="1144">
        <f t="shared" si="436"/>
        <v>0</v>
      </c>
      <c r="AR1579" s="1146">
        <f t="shared" si="437"/>
        <v>306.1525321872781</v>
      </c>
    </row>
    <row r="1580" spans="1:44" x14ac:dyDescent="0.2">
      <c r="A1580" s="1141" t="str">
        <f t="shared" si="449"/>
        <v>4520</v>
      </c>
      <c r="B1580" s="1141" t="str">
        <f>IFERROR(VLOOKUP(A1580,'LAC 103'!A:C,3,FALSE),"")</f>
        <v>COS</v>
      </c>
      <c r="C1580" s="1478" t="str">
        <f>Info!$B$8</f>
        <v>00100</v>
      </c>
      <c r="D1580" s="1474" t="s">
        <v>256</v>
      </c>
      <c r="E1580" s="1474" t="s">
        <v>104</v>
      </c>
      <c r="F1580" s="1478" t="s">
        <v>344</v>
      </c>
      <c r="G1580" s="1478" t="s">
        <v>344</v>
      </c>
      <c r="H1580" s="1474" t="s">
        <v>1659</v>
      </c>
      <c r="I1580" s="1478" t="s">
        <v>807</v>
      </c>
      <c r="J1580" s="1478"/>
      <c r="K1580" s="1475" t="s">
        <v>846</v>
      </c>
      <c r="L1580" s="1474" t="s">
        <v>332</v>
      </c>
      <c r="M1580" s="1476" t="s">
        <v>840</v>
      </c>
      <c r="N1580" s="1477" t="s">
        <v>1700</v>
      </c>
      <c r="O1580" s="1479">
        <v>24.6</v>
      </c>
      <c r="P1580" s="1479"/>
      <c r="Q1580" s="1142">
        <f t="shared" si="433"/>
        <v>24.6</v>
      </c>
      <c r="R1580" s="1143">
        <f>IFERROR(VLOOKUP(CONCATENATE($E1580,$G1580),'LAC 103'!$A$12:$O$95,11,FALSE),0)</f>
        <v>62.693351301149093</v>
      </c>
      <c r="S1580" s="1144">
        <f>IFERROR(VLOOKUP(CONCATENATE($E1580,$G1580),'LAC 103'!$A$12:$O$95,12,FALSE),0)</f>
        <v>0</v>
      </c>
      <c r="T1580" s="1144">
        <f>IFERROR(VLOOKUP(CONCATENATE($E1580,$G1580),'LAC 103'!$A$12:$O$95,13,FALSE),0)</f>
        <v>0</v>
      </c>
      <c r="U1580" s="1144">
        <f>IFERROR(VLOOKUP(CONCATENATE($E1580,$G1580),'LAC 103'!$A$12:$O$95,14,FALSE),0)</f>
        <v>0</v>
      </c>
      <c r="V1580" s="1144">
        <f>IFERROR(VLOOKUP(CONCATENATE($E1580,$G1580),'LAC 103'!$A$12:$O$95,15,FALSE),0)</f>
        <v>0</v>
      </c>
      <c r="W1580" s="1145" t="str">
        <f>IFERROR(VLOOKUP(CONCATENATE($B1580,$N1580),'LAC 103'!$AI:$AQ,9,FALSE),"")</f>
        <v>Costs</v>
      </c>
      <c r="X1580" s="1146">
        <f t="shared" si="438"/>
        <v>62.693351301149093</v>
      </c>
      <c r="Y1580" s="1143">
        <f t="shared" si="448"/>
        <v>1542.2564420082679</v>
      </c>
      <c r="Z1580" s="1147">
        <f t="shared" si="439"/>
        <v>1542.2564420082679</v>
      </c>
      <c r="AA1580" s="1144">
        <f t="shared" si="440"/>
        <v>1542.2564420082679</v>
      </c>
      <c r="AB1580" s="1144">
        <f t="shared" si="441"/>
        <v>0</v>
      </c>
      <c r="AC1580" s="1144">
        <f t="shared" si="442"/>
        <v>0</v>
      </c>
      <c r="AD1580" s="1148">
        <f t="shared" si="434"/>
        <v>1542.2564420082679</v>
      </c>
      <c r="AE1580" s="1487">
        <v>0</v>
      </c>
      <c r="AF1580" s="1145">
        <f t="shared" si="443"/>
        <v>1542.2564420082679</v>
      </c>
      <c r="AG1580" s="1149">
        <f>IFERROR(VLOOKUP(CONCATENATE($L1580,$N1580),'Drop List'!$G$23:$K$87,2,FALSE),0)</f>
        <v>0</v>
      </c>
      <c r="AH1580" s="1150">
        <f>IFERROR(VLOOKUP(CONCATENATE($L1580,$N1580),'Drop List'!$G$23:$K$87,3,FALSE),0)</f>
        <v>0</v>
      </c>
      <c r="AI1580" s="1150">
        <f>IFERROR(VLOOKUP(CONCATENATE($L1580,$N1580),'Drop List'!$G$23:$K$87,4,FALSE),0)</f>
        <v>0</v>
      </c>
      <c r="AJ1580" s="1151">
        <f>IFERROR(VLOOKUP(CONCATENATE($L1580,$N1580),'Drop List'!$G$23:$K$87,5,FALSE),0)</f>
        <v>0</v>
      </c>
      <c r="AK1580" s="1152">
        <f t="shared" si="444"/>
        <v>0</v>
      </c>
      <c r="AL1580" s="1153">
        <f t="shared" si="445"/>
        <v>0</v>
      </c>
      <c r="AM1580" s="1153">
        <f t="shared" si="446"/>
        <v>0</v>
      </c>
      <c r="AN1580" s="1145">
        <f t="shared" si="447"/>
        <v>0</v>
      </c>
      <c r="AO1580" s="1154">
        <f t="shared" si="450"/>
        <v>0</v>
      </c>
      <c r="AP1580" s="1147">
        <f t="shared" si="435"/>
        <v>1542.2564420082679</v>
      </c>
      <c r="AQ1580" s="1144">
        <f t="shared" si="436"/>
        <v>0</v>
      </c>
      <c r="AR1580" s="1146">
        <f t="shared" si="437"/>
        <v>1542.2564420082679</v>
      </c>
    </row>
    <row r="1581" spans="1:44" x14ac:dyDescent="0.2">
      <c r="A1581" s="1141" t="str">
        <f t="shared" si="449"/>
        <v>4520</v>
      </c>
      <c r="B1581" s="1141" t="str">
        <f>IFERROR(VLOOKUP(A1581,'LAC 103'!A:C,3,FALSE),"")</f>
        <v>COS</v>
      </c>
      <c r="C1581" s="1478" t="str">
        <f>Info!$B$8</f>
        <v>00100</v>
      </c>
      <c r="D1581" s="1474" t="s">
        <v>256</v>
      </c>
      <c r="E1581" s="1474" t="s">
        <v>104</v>
      </c>
      <c r="F1581" s="1478" t="s">
        <v>344</v>
      </c>
      <c r="G1581" s="1478" t="s">
        <v>344</v>
      </c>
      <c r="H1581" s="1474" t="s">
        <v>1659</v>
      </c>
      <c r="I1581" s="1478" t="s">
        <v>807</v>
      </c>
      <c r="J1581" s="1478"/>
      <c r="K1581" s="1475" t="s">
        <v>846</v>
      </c>
      <c r="L1581" s="1474" t="s">
        <v>332</v>
      </c>
      <c r="M1581" s="1476" t="s">
        <v>842</v>
      </c>
      <c r="N1581" s="1477" t="s">
        <v>1692</v>
      </c>
      <c r="O1581" s="1479">
        <v>70.733333333333348</v>
      </c>
      <c r="P1581" s="1479"/>
      <c r="Q1581" s="1142">
        <f t="shared" si="433"/>
        <v>70.733333333333348</v>
      </c>
      <c r="R1581" s="1143">
        <f>IFERROR(VLOOKUP(CONCATENATE($E1581,$G1581),'LAC 103'!$A$12:$O$95,11,FALSE),0)</f>
        <v>62.693351301149093</v>
      </c>
      <c r="S1581" s="1144">
        <f>IFERROR(VLOOKUP(CONCATENATE($E1581,$G1581),'LAC 103'!$A$12:$O$95,12,FALSE),0)</f>
        <v>0</v>
      </c>
      <c r="T1581" s="1144">
        <f>IFERROR(VLOOKUP(CONCATENATE($E1581,$G1581),'LAC 103'!$A$12:$O$95,13,FALSE),0)</f>
        <v>0</v>
      </c>
      <c r="U1581" s="1144">
        <f>IFERROR(VLOOKUP(CONCATENATE($E1581,$G1581),'LAC 103'!$A$12:$O$95,14,FALSE),0)</f>
        <v>0</v>
      </c>
      <c r="V1581" s="1144">
        <f>IFERROR(VLOOKUP(CONCATENATE($E1581,$G1581),'LAC 103'!$A$12:$O$95,15,FALSE),0)</f>
        <v>0</v>
      </c>
      <c r="W1581" s="1145" t="str">
        <f>IFERROR(VLOOKUP(CONCATENATE($B1581,$N1581),'LAC 103'!$AI:$AQ,9,FALSE),"")</f>
        <v>Costs</v>
      </c>
      <c r="X1581" s="1146">
        <f t="shared" si="438"/>
        <v>62.693351301149093</v>
      </c>
      <c r="Y1581" s="1143">
        <f t="shared" si="448"/>
        <v>4434.5097153679471</v>
      </c>
      <c r="Z1581" s="1147">
        <f t="shared" si="439"/>
        <v>4434.5097153679471</v>
      </c>
      <c r="AA1581" s="1144">
        <f t="shared" si="440"/>
        <v>4434.5097153679471</v>
      </c>
      <c r="AB1581" s="1144">
        <f t="shared" si="441"/>
        <v>0</v>
      </c>
      <c r="AC1581" s="1144">
        <f t="shared" si="442"/>
        <v>0</v>
      </c>
      <c r="AD1581" s="1148">
        <f t="shared" si="434"/>
        <v>4434.5097153679471</v>
      </c>
      <c r="AE1581" s="1487">
        <v>0</v>
      </c>
      <c r="AF1581" s="1145">
        <f t="shared" si="443"/>
        <v>4434.5097153679471</v>
      </c>
      <c r="AG1581" s="1149">
        <f>IFERROR(VLOOKUP(CONCATENATE($L1581,$N1581),'Drop List'!$G$23:$K$87,2,FALSE),0)</f>
        <v>0</v>
      </c>
      <c r="AH1581" s="1150">
        <f>IFERROR(VLOOKUP(CONCATENATE($L1581,$N1581),'Drop List'!$G$23:$K$87,3,FALSE),0)</f>
        <v>0</v>
      </c>
      <c r="AI1581" s="1150">
        <f>IFERROR(VLOOKUP(CONCATENATE($L1581,$N1581),'Drop List'!$G$23:$K$87,4,FALSE),0)</f>
        <v>0</v>
      </c>
      <c r="AJ1581" s="1151">
        <f>IFERROR(VLOOKUP(CONCATENATE($L1581,$N1581),'Drop List'!$G$23:$K$87,5,FALSE),0)</f>
        <v>0</v>
      </c>
      <c r="AK1581" s="1152">
        <f t="shared" si="444"/>
        <v>0</v>
      </c>
      <c r="AL1581" s="1153">
        <f t="shared" si="445"/>
        <v>0</v>
      </c>
      <c r="AM1581" s="1153">
        <f t="shared" si="446"/>
        <v>0</v>
      </c>
      <c r="AN1581" s="1145">
        <f t="shared" si="447"/>
        <v>0</v>
      </c>
      <c r="AO1581" s="1154">
        <f t="shared" si="450"/>
        <v>0</v>
      </c>
      <c r="AP1581" s="1147">
        <f t="shared" si="435"/>
        <v>4434.5097153679471</v>
      </c>
      <c r="AQ1581" s="1144">
        <f t="shared" si="436"/>
        <v>0</v>
      </c>
      <c r="AR1581" s="1146">
        <f t="shared" si="437"/>
        <v>4434.5097153679471</v>
      </c>
    </row>
    <row r="1582" spans="1:44" x14ac:dyDescent="0.2">
      <c r="A1582" s="1141" t="str">
        <f t="shared" si="449"/>
        <v>4520</v>
      </c>
      <c r="B1582" s="1141" t="str">
        <f>IFERROR(VLOOKUP(A1582,'LAC 103'!A:C,3,FALSE),"")</f>
        <v>COS</v>
      </c>
      <c r="C1582" s="1478" t="str">
        <f>Info!$B$8</f>
        <v>00100</v>
      </c>
      <c r="D1582" s="1474" t="s">
        <v>256</v>
      </c>
      <c r="E1582" s="1474" t="s">
        <v>104</v>
      </c>
      <c r="F1582" s="1478" t="s">
        <v>344</v>
      </c>
      <c r="G1582" s="1478" t="s">
        <v>344</v>
      </c>
      <c r="H1582" s="1474" t="s">
        <v>1659</v>
      </c>
      <c r="I1582" s="1478" t="s">
        <v>807</v>
      </c>
      <c r="J1582" s="1478"/>
      <c r="K1582" s="1475" t="s">
        <v>846</v>
      </c>
      <c r="L1582" s="1474" t="s">
        <v>332</v>
      </c>
      <c r="M1582" s="1476" t="s">
        <v>1698</v>
      </c>
      <c r="N1582" s="1477" t="s">
        <v>1693</v>
      </c>
      <c r="O1582" s="1479">
        <v>54.666666666666657</v>
      </c>
      <c r="P1582" s="1479"/>
      <c r="Q1582" s="1142">
        <f t="shared" si="433"/>
        <v>54.666666666666657</v>
      </c>
      <c r="R1582" s="1143">
        <f>IFERROR(VLOOKUP(CONCATENATE($E1582,$G1582),'LAC 103'!$A$12:$O$95,11,FALSE),0)</f>
        <v>62.693351301149093</v>
      </c>
      <c r="S1582" s="1144">
        <f>IFERROR(VLOOKUP(CONCATENATE($E1582,$G1582),'LAC 103'!$A$12:$O$95,12,FALSE),0)</f>
        <v>0</v>
      </c>
      <c r="T1582" s="1144">
        <f>IFERROR(VLOOKUP(CONCATENATE($E1582,$G1582),'LAC 103'!$A$12:$O$95,13,FALSE),0)</f>
        <v>0</v>
      </c>
      <c r="U1582" s="1144">
        <f>IFERROR(VLOOKUP(CONCATENATE($E1582,$G1582),'LAC 103'!$A$12:$O$95,14,FALSE),0)</f>
        <v>0</v>
      </c>
      <c r="V1582" s="1144">
        <f>IFERROR(VLOOKUP(CONCATENATE($E1582,$G1582),'LAC 103'!$A$12:$O$95,15,FALSE),0)</f>
        <v>0</v>
      </c>
      <c r="W1582" s="1145" t="str">
        <f>IFERROR(VLOOKUP(CONCATENATE($B1582,$N1582),'LAC 103'!$AI:$AQ,9,FALSE),"")</f>
        <v>Costs</v>
      </c>
      <c r="X1582" s="1146">
        <f t="shared" si="438"/>
        <v>62.693351301149093</v>
      </c>
      <c r="Y1582" s="1143">
        <f t="shared" si="448"/>
        <v>3427.2365377961496</v>
      </c>
      <c r="Z1582" s="1147">
        <f t="shared" si="439"/>
        <v>3427.2365377961496</v>
      </c>
      <c r="AA1582" s="1144">
        <f t="shared" si="440"/>
        <v>3427.2365377961496</v>
      </c>
      <c r="AB1582" s="1144">
        <f t="shared" si="441"/>
        <v>0</v>
      </c>
      <c r="AC1582" s="1144">
        <f t="shared" si="442"/>
        <v>0</v>
      </c>
      <c r="AD1582" s="1148">
        <f t="shared" si="434"/>
        <v>3427.2365377961496</v>
      </c>
      <c r="AE1582" s="1487">
        <v>0</v>
      </c>
      <c r="AF1582" s="1145">
        <f t="shared" si="443"/>
        <v>3427.2365377961496</v>
      </c>
      <c r="AG1582" s="1149">
        <f>IFERROR(VLOOKUP(CONCATENATE($L1582,$N1582),'Drop List'!$G$23:$K$87,2,FALSE),0)</f>
        <v>0</v>
      </c>
      <c r="AH1582" s="1150">
        <f>IFERROR(VLOOKUP(CONCATENATE($L1582,$N1582),'Drop List'!$G$23:$K$87,3,FALSE),0)</f>
        <v>0</v>
      </c>
      <c r="AI1582" s="1150">
        <f>IFERROR(VLOOKUP(CONCATENATE($L1582,$N1582),'Drop List'!$G$23:$K$87,4,FALSE),0)</f>
        <v>0</v>
      </c>
      <c r="AJ1582" s="1151">
        <f>IFERROR(VLOOKUP(CONCATENATE($L1582,$N1582),'Drop List'!$G$23:$K$87,5,FALSE),0)</f>
        <v>0</v>
      </c>
      <c r="AK1582" s="1152">
        <f t="shared" si="444"/>
        <v>0</v>
      </c>
      <c r="AL1582" s="1153">
        <f t="shared" si="445"/>
        <v>0</v>
      </c>
      <c r="AM1582" s="1153">
        <f t="shared" si="446"/>
        <v>0</v>
      </c>
      <c r="AN1582" s="1145">
        <f t="shared" si="447"/>
        <v>0</v>
      </c>
      <c r="AO1582" s="1154">
        <f t="shared" si="450"/>
        <v>0</v>
      </c>
      <c r="AP1582" s="1147">
        <f t="shared" si="435"/>
        <v>3427.2365377961496</v>
      </c>
      <c r="AQ1582" s="1144">
        <f t="shared" si="436"/>
        <v>0</v>
      </c>
      <c r="AR1582" s="1146">
        <f t="shared" si="437"/>
        <v>3427.2365377961496</v>
      </c>
    </row>
    <row r="1583" spans="1:44" x14ac:dyDescent="0.2">
      <c r="A1583" s="1141" t="str">
        <f t="shared" si="449"/>
        <v>4520</v>
      </c>
      <c r="B1583" s="1141" t="str">
        <f>IFERROR(VLOOKUP(A1583,'LAC 103'!A:C,3,FALSE),"")</f>
        <v>COS</v>
      </c>
      <c r="C1583" s="1478" t="str">
        <f>Info!$B$8</f>
        <v>00100</v>
      </c>
      <c r="D1583" s="1474" t="s">
        <v>256</v>
      </c>
      <c r="E1583" s="1474" t="s">
        <v>104</v>
      </c>
      <c r="F1583" s="1478" t="s">
        <v>344</v>
      </c>
      <c r="G1583" s="1478" t="s">
        <v>344</v>
      </c>
      <c r="H1583" s="1474" t="s">
        <v>987</v>
      </c>
      <c r="I1583" s="1478" t="s">
        <v>811</v>
      </c>
      <c r="J1583" s="1478" t="s">
        <v>123</v>
      </c>
      <c r="K1583" s="1475" t="s">
        <v>846</v>
      </c>
      <c r="L1583" s="1474" t="s">
        <v>332</v>
      </c>
      <c r="M1583" s="1476" t="s">
        <v>1699</v>
      </c>
      <c r="N1583" s="1477" t="s">
        <v>1694</v>
      </c>
      <c r="O1583" s="1479">
        <v>828.13333333333355</v>
      </c>
      <c r="P1583" s="1479"/>
      <c r="Q1583" s="1142">
        <f t="shared" si="433"/>
        <v>828.13333333333355</v>
      </c>
      <c r="R1583" s="1143">
        <f>IFERROR(VLOOKUP(CONCATENATE($E1583,$G1583),'LAC 103'!$A$12:$O$95,11,FALSE),0)</f>
        <v>62.693351301149093</v>
      </c>
      <c r="S1583" s="1144">
        <f>IFERROR(VLOOKUP(CONCATENATE($E1583,$G1583),'LAC 103'!$A$12:$O$95,12,FALSE),0)</f>
        <v>0</v>
      </c>
      <c r="T1583" s="1144">
        <f>IFERROR(VLOOKUP(CONCATENATE($E1583,$G1583),'LAC 103'!$A$12:$O$95,13,FALSE),0)</f>
        <v>0</v>
      </c>
      <c r="U1583" s="1144">
        <f>IFERROR(VLOOKUP(CONCATENATE($E1583,$G1583),'LAC 103'!$A$12:$O$95,14,FALSE),0)</f>
        <v>0</v>
      </c>
      <c r="V1583" s="1144">
        <f>IFERROR(VLOOKUP(CONCATENATE($E1583,$G1583),'LAC 103'!$A$12:$O$95,15,FALSE),0)</f>
        <v>0</v>
      </c>
      <c r="W1583" s="1145" t="str">
        <f>IFERROR(VLOOKUP(CONCATENATE($B1583,$N1583),'LAC 103'!$AI:$AQ,9,FALSE),"")</f>
        <v>Costs</v>
      </c>
      <c r="X1583" s="1146">
        <f t="shared" si="438"/>
        <v>62.693351301149093</v>
      </c>
      <c r="Y1583" s="1143">
        <f t="shared" si="448"/>
        <v>51918.453990858281</v>
      </c>
      <c r="Z1583" s="1147">
        <f t="shared" si="439"/>
        <v>51918.453990858281</v>
      </c>
      <c r="AA1583" s="1144">
        <f t="shared" si="440"/>
        <v>51918.453990858281</v>
      </c>
      <c r="AB1583" s="1144">
        <f t="shared" si="441"/>
        <v>0</v>
      </c>
      <c r="AC1583" s="1144">
        <f t="shared" si="442"/>
        <v>0</v>
      </c>
      <c r="AD1583" s="1148">
        <f t="shared" si="434"/>
        <v>51918.453990858281</v>
      </c>
      <c r="AE1583" s="1487">
        <v>0</v>
      </c>
      <c r="AF1583" s="1145">
        <f t="shared" si="443"/>
        <v>51918.453990858281</v>
      </c>
      <c r="AG1583" s="1149">
        <f>IFERROR(VLOOKUP(CONCATENATE($L1583,$N1583),'Drop List'!$G$23:$K$87,2,FALSE),0)</f>
        <v>0</v>
      </c>
      <c r="AH1583" s="1150">
        <f>IFERROR(VLOOKUP(CONCATENATE($L1583,$N1583),'Drop List'!$G$23:$K$87,3,FALSE),0)</f>
        <v>0</v>
      </c>
      <c r="AI1583" s="1150">
        <f>IFERROR(VLOOKUP(CONCATENATE($L1583,$N1583),'Drop List'!$G$23:$K$87,4,FALSE),0)</f>
        <v>0</v>
      </c>
      <c r="AJ1583" s="1151">
        <f>IFERROR(VLOOKUP(CONCATENATE($L1583,$N1583),'Drop List'!$G$23:$K$87,5,FALSE),0)</f>
        <v>0</v>
      </c>
      <c r="AK1583" s="1152">
        <f t="shared" si="444"/>
        <v>0</v>
      </c>
      <c r="AL1583" s="1153">
        <f t="shared" si="445"/>
        <v>0</v>
      </c>
      <c r="AM1583" s="1153">
        <f t="shared" si="446"/>
        <v>0</v>
      </c>
      <c r="AN1583" s="1145">
        <f t="shared" si="447"/>
        <v>0</v>
      </c>
      <c r="AO1583" s="1154">
        <f t="shared" si="450"/>
        <v>0</v>
      </c>
      <c r="AP1583" s="1147">
        <f t="shared" si="435"/>
        <v>51918.453990858281</v>
      </c>
      <c r="AQ1583" s="1144">
        <f t="shared" si="436"/>
        <v>0</v>
      </c>
      <c r="AR1583" s="1146">
        <f t="shared" si="437"/>
        <v>51918.453990858281</v>
      </c>
    </row>
    <row r="1584" spans="1:44" x14ac:dyDescent="0.2">
      <c r="A1584" s="1141" t="str">
        <f t="shared" si="449"/>
        <v>4520</v>
      </c>
      <c r="B1584" s="1141" t="str">
        <f>IFERROR(VLOOKUP(A1584,'LAC 103'!A:C,3,FALSE),"")</f>
        <v>COS</v>
      </c>
      <c r="C1584" s="1478" t="str">
        <f>Info!$B$8</f>
        <v>00100</v>
      </c>
      <c r="D1584" s="1474" t="s">
        <v>256</v>
      </c>
      <c r="E1584" s="1474" t="s">
        <v>104</v>
      </c>
      <c r="F1584" s="1478" t="s">
        <v>344</v>
      </c>
      <c r="G1584" s="1478" t="s">
        <v>344</v>
      </c>
      <c r="H1584" s="1474" t="s">
        <v>987</v>
      </c>
      <c r="I1584" s="1478" t="s">
        <v>811</v>
      </c>
      <c r="J1584" s="1478"/>
      <c r="K1584" s="1475" t="s">
        <v>846</v>
      </c>
      <c r="L1584" s="1474" t="s">
        <v>332</v>
      </c>
      <c r="M1584" s="1476" t="s">
        <v>841</v>
      </c>
      <c r="N1584" s="1477" t="s">
        <v>1695</v>
      </c>
      <c r="O1584" s="1479">
        <v>384.41666666666691</v>
      </c>
      <c r="P1584" s="1479"/>
      <c r="Q1584" s="1142">
        <f t="shared" si="433"/>
        <v>384.41666666666691</v>
      </c>
      <c r="R1584" s="1143">
        <f>IFERROR(VLOOKUP(CONCATENATE($E1584,$G1584),'LAC 103'!$A$12:$O$95,11,FALSE),0)</f>
        <v>62.693351301149093</v>
      </c>
      <c r="S1584" s="1144">
        <f>IFERROR(VLOOKUP(CONCATENATE($E1584,$G1584),'LAC 103'!$A$12:$O$95,12,FALSE),0)</f>
        <v>0</v>
      </c>
      <c r="T1584" s="1144">
        <f>IFERROR(VLOOKUP(CONCATENATE($E1584,$G1584),'LAC 103'!$A$12:$O$95,13,FALSE),0)</f>
        <v>0</v>
      </c>
      <c r="U1584" s="1144">
        <f>IFERROR(VLOOKUP(CONCATENATE($E1584,$G1584),'LAC 103'!$A$12:$O$95,14,FALSE),0)</f>
        <v>0</v>
      </c>
      <c r="V1584" s="1144">
        <f>IFERROR(VLOOKUP(CONCATENATE($E1584,$G1584),'LAC 103'!$A$12:$O$95,15,FALSE),0)</f>
        <v>0</v>
      </c>
      <c r="W1584" s="1145" t="str">
        <f>IFERROR(VLOOKUP(CONCATENATE($B1584,$N1584),'LAC 103'!$AI:$AQ,9,FALSE),"")</f>
        <v>Costs</v>
      </c>
      <c r="X1584" s="1146">
        <f t="shared" si="438"/>
        <v>62.693351301149093</v>
      </c>
      <c r="Y1584" s="1143">
        <f t="shared" si="448"/>
        <v>24100.369129350078</v>
      </c>
      <c r="Z1584" s="1147">
        <f t="shared" si="439"/>
        <v>24100.369129350078</v>
      </c>
      <c r="AA1584" s="1144">
        <f t="shared" si="440"/>
        <v>24100.369129350078</v>
      </c>
      <c r="AB1584" s="1144">
        <f t="shared" si="441"/>
        <v>0</v>
      </c>
      <c r="AC1584" s="1144">
        <f t="shared" si="442"/>
        <v>0</v>
      </c>
      <c r="AD1584" s="1148">
        <f t="shared" si="434"/>
        <v>24100.369129350078</v>
      </c>
      <c r="AE1584" s="1487">
        <v>0</v>
      </c>
      <c r="AF1584" s="1145">
        <f t="shared" si="443"/>
        <v>24100.369129350078</v>
      </c>
      <c r="AG1584" s="1149">
        <f>IFERROR(VLOOKUP(CONCATENATE($L1584,$N1584),'Drop List'!$G$23:$K$87,2,FALSE),0)</f>
        <v>0</v>
      </c>
      <c r="AH1584" s="1150">
        <f>IFERROR(VLOOKUP(CONCATENATE($L1584,$N1584),'Drop List'!$G$23:$K$87,3,FALSE),0)</f>
        <v>0</v>
      </c>
      <c r="AI1584" s="1150">
        <f>IFERROR(VLOOKUP(CONCATENATE($L1584,$N1584),'Drop List'!$G$23:$K$87,4,FALSE),0)</f>
        <v>0</v>
      </c>
      <c r="AJ1584" s="1151">
        <f>IFERROR(VLOOKUP(CONCATENATE($L1584,$N1584),'Drop List'!$G$23:$K$87,5,FALSE),0)</f>
        <v>0</v>
      </c>
      <c r="AK1584" s="1152">
        <f t="shared" si="444"/>
        <v>0</v>
      </c>
      <c r="AL1584" s="1153">
        <f t="shared" si="445"/>
        <v>0</v>
      </c>
      <c r="AM1584" s="1153">
        <f t="shared" si="446"/>
        <v>0</v>
      </c>
      <c r="AN1584" s="1145">
        <f t="shared" si="447"/>
        <v>0</v>
      </c>
      <c r="AO1584" s="1154">
        <f t="shared" si="450"/>
        <v>0</v>
      </c>
      <c r="AP1584" s="1147">
        <f t="shared" si="435"/>
        <v>24100.369129350078</v>
      </c>
      <c r="AQ1584" s="1144">
        <f t="shared" si="436"/>
        <v>0</v>
      </c>
      <c r="AR1584" s="1146">
        <f t="shared" si="437"/>
        <v>24100.369129350078</v>
      </c>
    </row>
    <row r="1585" spans="1:44" x14ac:dyDescent="0.2">
      <c r="A1585" s="1141" t="str">
        <f t="shared" si="449"/>
        <v>4520</v>
      </c>
      <c r="B1585" s="1141" t="str">
        <f>IFERROR(VLOOKUP(A1585,'LAC 103'!A:C,3,FALSE),"")</f>
        <v>COS</v>
      </c>
      <c r="C1585" s="1478" t="str">
        <f>Info!$B$8</f>
        <v>00100</v>
      </c>
      <c r="D1585" s="1474" t="s">
        <v>256</v>
      </c>
      <c r="E1585" s="1474" t="s">
        <v>104</v>
      </c>
      <c r="F1585" s="1478" t="s">
        <v>344</v>
      </c>
      <c r="G1585" s="1478" t="s">
        <v>344</v>
      </c>
      <c r="H1585" s="1474" t="s">
        <v>987</v>
      </c>
      <c r="I1585" s="1478" t="s">
        <v>811</v>
      </c>
      <c r="J1585" s="1478"/>
      <c r="K1585" s="1475" t="s">
        <v>846</v>
      </c>
      <c r="L1585" s="1474" t="s">
        <v>332</v>
      </c>
      <c r="M1585" s="1476" t="s">
        <v>840</v>
      </c>
      <c r="N1585" s="1477" t="s">
        <v>1700</v>
      </c>
      <c r="O1585" s="1479">
        <v>607.86666666666656</v>
      </c>
      <c r="P1585" s="1479"/>
      <c r="Q1585" s="1142">
        <f t="shared" si="433"/>
        <v>607.86666666666656</v>
      </c>
      <c r="R1585" s="1143">
        <f>IFERROR(VLOOKUP(CONCATENATE($E1585,$G1585),'LAC 103'!$A$12:$O$95,11,FALSE),0)</f>
        <v>62.693351301149093</v>
      </c>
      <c r="S1585" s="1144">
        <f>IFERROR(VLOOKUP(CONCATENATE($E1585,$G1585),'LAC 103'!$A$12:$O$95,12,FALSE),0)</f>
        <v>0</v>
      </c>
      <c r="T1585" s="1144">
        <f>IFERROR(VLOOKUP(CONCATENATE($E1585,$G1585),'LAC 103'!$A$12:$O$95,13,FALSE),0)</f>
        <v>0</v>
      </c>
      <c r="U1585" s="1144">
        <f>IFERROR(VLOOKUP(CONCATENATE($E1585,$G1585),'LAC 103'!$A$12:$O$95,14,FALSE),0)</f>
        <v>0</v>
      </c>
      <c r="V1585" s="1144">
        <f>IFERROR(VLOOKUP(CONCATENATE($E1585,$G1585),'LAC 103'!$A$12:$O$95,15,FALSE),0)</f>
        <v>0</v>
      </c>
      <c r="W1585" s="1145" t="str">
        <f>IFERROR(VLOOKUP(CONCATENATE($B1585,$N1585),'LAC 103'!$AI:$AQ,9,FALSE),"")</f>
        <v>Costs</v>
      </c>
      <c r="X1585" s="1146">
        <f t="shared" si="438"/>
        <v>62.693351301149093</v>
      </c>
      <c r="Y1585" s="1143">
        <f t="shared" si="448"/>
        <v>38109.198477591824</v>
      </c>
      <c r="Z1585" s="1147">
        <f t="shared" si="439"/>
        <v>38109.198477591824</v>
      </c>
      <c r="AA1585" s="1144">
        <f t="shared" si="440"/>
        <v>38109.198477591824</v>
      </c>
      <c r="AB1585" s="1144">
        <f t="shared" si="441"/>
        <v>0</v>
      </c>
      <c r="AC1585" s="1144">
        <f t="shared" si="442"/>
        <v>0</v>
      </c>
      <c r="AD1585" s="1148">
        <f t="shared" si="434"/>
        <v>38109.198477591824</v>
      </c>
      <c r="AE1585" s="1487">
        <v>0</v>
      </c>
      <c r="AF1585" s="1145">
        <f t="shared" si="443"/>
        <v>38109.198477591824</v>
      </c>
      <c r="AG1585" s="1149">
        <f>IFERROR(VLOOKUP(CONCATENATE($L1585,$N1585),'Drop List'!$G$23:$K$87,2,FALSE),0)</f>
        <v>0</v>
      </c>
      <c r="AH1585" s="1150">
        <f>IFERROR(VLOOKUP(CONCATENATE($L1585,$N1585),'Drop List'!$G$23:$K$87,3,FALSE),0)</f>
        <v>0</v>
      </c>
      <c r="AI1585" s="1150">
        <f>IFERROR(VLOOKUP(CONCATENATE($L1585,$N1585),'Drop List'!$G$23:$K$87,4,FALSE),0)</f>
        <v>0</v>
      </c>
      <c r="AJ1585" s="1151">
        <f>IFERROR(VLOOKUP(CONCATENATE($L1585,$N1585),'Drop List'!$G$23:$K$87,5,FALSE),0)</f>
        <v>0</v>
      </c>
      <c r="AK1585" s="1152">
        <f t="shared" si="444"/>
        <v>0</v>
      </c>
      <c r="AL1585" s="1153">
        <f t="shared" si="445"/>
        <v>0</v>
      </c>
      <c r="AM1585" s="1153">
        <f t="shared" si="446"/>
        <v>0</v>
      </c>
      <c r="AN1585" s="1145">
        <f t="shared" si="447"/>
        <v>0</v>
      </c>
      <c r="AO1585" s="1154">
        <f t="shared" si="450"/>
        <v>0</v>
      </c>
      <c r="AP1585" s="1147">
        <f t="shared" si="435"/>
        <v>38109.198477591824</v>
      </c>
      <c r="AQ1585" s="1144">
        <f t="shared" si="436"/>
        <v>0</v>
      </c>
      <c r="AR1585" s="1146">
        <f t="shared" si="437"/>
        <v>38109.198477591824</v>
      </c>
    </row>
    <row r="1586" spans="1:44" x14ac:dyDescent="0.2">
      <c r="A1586" s="1141" t="str">
        <f t="shared" si="449"/>
        <v>4520</v>
      </c>
      <c r="B1586" s="1141" t="str">
        <f>IFERROR(VLOOKUP(A1586,'LAC 103'!A:C,3,FALSE),"")</f>
        <v>COS</v>
      </c>
      <c r="C1586" s="1478" t="str">
        <f>Info!$B$8</f>
        <v>00100</v>
      </c>
      <c r="D1586" s="1474" t="s">
        <v>256</v>
      </c>
      <c r="E1586" s="1474" t="s">
        <v>104</v>
      </c>
      <c r="F1586" s="1478" t="s">
        <v>344</v>
      </c>
      <c r="G1586" s="1478" t="s">
        <v>344</v>
      </c>
      <c r="H1586" s="1474" t="s">
        <v>987</v>
      </c>
      <c r="I1586" s="1478" t="s">
        <v>811</v>
      </c>
      <c r="J1586" s="1478"/>
      <c r="K1586" s="1475" t="s">
        <v>846</v>
      </c>
      <c r="L1586" s="1474" t="s">
        <v>332</v>
      </c>
      <c r="M1586" s="1476" t="s">
        <v>842</v>
      </c>
      <c r="N1586" s="1477" t="s">
        <v>1692</v>
      </c>
      <c r="O1586" s="1479">
        <v>626.29999999999995</v>
      </c>
      <c r="P1586" s="1479"/>
      <c r="Q1586" s="1142">
        <f t="shared" si="433"/>
        <v>626.29999999999995</v>
      </c>
      <c r="R1586" s="1143">
        <f>IFERROR(VLOOKUP(CONCATENATE($E1586,$G1586),'LAC 103'!$A$12:$O$95,11,FALSE),0)</f>
        <v>62.693351301149093</v>
      </c>
      <c r="S1586" s="1144">
        <f>IFERROR(VLOOKUP(CONCATENATE($E1586,$G1586),'LAC 103'!$A$12:$O$95,12,FALSE),0)</f>
        <v>0</v>
      </c>
      <c r="T1586" s="1144">
        <f>IFERROR(VLOOKUP(CONCATENATE($E1586,$G1586),'LAC 103'!$A$12:$O$95,13,FALSE),0)</f>
        <v>0</v>
      </c>
      <c r="U1586" s="1144">
        <f>IFERROR(VLOOKUP(CONCATENATE($E1586,$G1586),'LAC 103'!$A$12:$O$95,14,FALSE),0)</f>
        <v>0</v>
      </c>
      <c r="V1586" s="1144">
        <f>IFERROR(VLOOKUP(CONCATENATE($E1586,$G1586),'LAC 103'!$A$12:$O$95,15,FALSE),0)</f>
        <v>0</v>
      </c>
      <c r="W1586" s="1145" t="str">
        <f>IFERROR(VLOOKUP(CONCATENATE($B1586,$N1586),'LAC 103'!$AI:$AQ,9,FALSE),"")</f>
        <v>Costs</v>
      </c>
      <c r="X1586" s="1146">
        <f t="shared" si="438"/>
        <v>62.693351301149093</v>
      </c>
      <c r="Y1586" s="1143">
        <f t="shared" si="448"/>
        <v>39264.845919909676</v>
      </c>
      <c r="Z1586" s="1147">
        <f t="shared" si="439"/>
        <v>39264.845919909676</v>
      </c>
      <c r="AA1586" s="1144">
        <f t="shared" si="440"/>
        <v>39264.845919909676</v>
      </c>
      <c r="AB1586" s="1144">
        <f t="shared" si="441"/>
        <v>0</v>
      </c>
      <c r="AC1586" s="1144">
        <f t="shared" si="442"/>
        <v>0</v>
      </c>
      <c r="AD1586" s="1148">
        <f t="shared" si="434"/>
        <v>39264.845919909676</v>
      </c>
      <c r="AE1586" s="1487">
        <v>0</v>
      </c>
      <c r="AF1586" s="1145">
        <f t="shared" si="443"/>
        <v>39264.845919909676</v>
      </c>
      <c r="AG1586" s="1149">
        <f>IFERROR(VLOOKUP(CONCATENATE($L1586,$N1586),'Drop List'!$G$23:$K$87,2,FALSE),0)</f>
        <v>0</v>
      </c>
      <c r="AH1586" s="1150">
        <f>IFERROR(VLOOKUP(CONCATENATE($L1586,$N1586),'Drop List'!$G$23:$K$87,3,FALSE),0)</f>
        <v>0</v>
      </c>
      <c r="AI1586" s="1150">
        <f>IFERROR(VLOOKUP(CONCATENATE($L1586,$N1586),'Drop List'!$G$23:$K$87,4,FALSE),0)</f>
        <v>0</v>
      </c>
      <c r="AJ1586" s="1151">
        <f>IFERROR(VLOOKUP(CONCATENATE($L1586,$N1586),'Drop List'!$G$23:$K$87,5,FALSE),0)</f>
        <v>0</v>
      </c>
      <c r="AK1586" s="1152">
        <f t="shared" si="444"/>
        <v>0</v>
      </c>
      <c r="AL1586" s="1153">
        <f t="shared" si="445"/>
        <v>0</v>
      </c>
      <c r="AM1586" s="1153">
        <f t="shared" si="446"/>
        <v>0</v>
      </c>
      <c r="AN1586" s="1145">
        <f t="shared" si="447"/>
        <v>0</v>
      </c>
      <c r="AO1586" s="1154">
        <f t="shared" si="450"/>
        <v>0</v>
      </c>
      <c r="AP1586" s="1147">
        <f t="shared" si="435"/>
        <v>39264.845919909676</v>
      </c>
      <c r="AQ1586" s="1144">
        <f t="shared" si="436"/>
        <v>0</v>
      </c>
      <c r="AR1586" s="1146">
        <f t="shared" si="437"/>
        <v>39264.845919909676</v>
      </c>
    </row>
    <row r="1587" spans="1:44" x14ac:dyDescent="0.2">
      <c r="A1587" s="1141" t="str">
        <f t="shared" si="449"/>
        <v>4520</v>
      </c>
      <c r="B1587" s="1141" t="str">
        <f>IFERROR(VLOOKUP(A1587,'LAC 103'!A:C,3,FALSE),"")</f>
        <v>COS</v>
      </c>
      <c r="C1587" s="1478" t="str">
        <f>Info!$B$8</f>
        <v>00100</v>
      </c>
      <c r="D1587" s="1474" t="s">
        <v>256</v>
      </c>
      <c r="E1587" s="1474" t="s">
        <v>104</v>
      </c>
      <c r="F1587" s="1478" t="s">
        <v>344</v>
      </c>
      <c r="G1587" s="1478" t="s">
        <v>344</v>
      </c>
      <c r="H1587" s="1474" t="s">
        <v>987</v>
      </c>
      <c r="I1587" s="1478" t="s">
        <v>811</v>
      </c>
      <c r="J1587" s="1478"/>
      <c r="K1587" s="1475" t="s">
        <v>846</v>
      </c>
      <c r="L1587" s="1474" t="s">
        <v>332</v>
      </c>
      <c r="M1587" s="1476" t="s">
        <v>1698</v>
      </c>
      <c r="N1587" s="1477" t="s">
        <v>1693</v>
      </c>
      <c r="O1587" s="1479">
        <v>607.5</v>
      </c>
      <c r="P1587" s="1479"/>
      <c r="Q1587" s="1142">
        <f t="shared" si="433"/>
        <v>607.5</v>
      </c>
      <c r="R1587" s="1143">
        <f>IFERROR(VLOOKUP(CONCATENATE($E1587,$G1587),'LAC 103'!$A$12:$O$95,11,FALSE),0)</f>
        <v>62.693351301149093</v>
      </c>
      <c r="S1587" s="1144">
        <f>IFERROR(VLOOKUP(CONCATENATE($E1587,$G1587),'LAC 103'!$A$12:$O$95,12,FALSE),0)</f>
        <v>0</v>
      </c>
      <c r="T1587" s="1144">
        <f>IFERROR(VLOOKUP(CONCATENATE($E1587,$G1587),'LAC 103'!$A$12:$O$95,13,FALSE),0)</f>
        <v>0</v>
      </c>
      <c r="U1587" s="1144">
        <f>IFERROR(VLOOKUP(CONCATENATE($E1587,$G1587),'LAC 103'!$A$12:$O$95,14,FALSE),0)</f>
        <v>0</v>
      </c>
      <c r="V1587" s="1144">
        <f>IFERROR(VLOOKUP(CONCATENATE($E1587,$G1587),'LAC 103'!$A$12:$O$95,15,FALSE),0)</f>
        <v>0</v>
      </c>
      <c r="W1587" s="1145" t="str">
        <f>IFERROR(VLOOKUP(CONCATENATE($B1587,$N1587),'LAC 103'!$AI:$AQ,9,FALSE),"")</f>
        <v>Costs</v>
      </c>
      <c r="X1587" s="1146">
        <f t="shared" si="438"/>
        <v>62.693351301149093</v>
      </c>
      <c r="Y1587" s="1143">
        <f t="shared" si="448"/>
        <v>38086.210915448071</v>
      </c>
      <c r="Z1587" s="1147">
        <f t="shared" si="439"/>
        <v>38086.210915448071</v>
      </c>
      <c r="AA1587" s="1144">
        <f t="shared" si="440"/>
        <v>38086.210915448071</v>
      </c>
      <c r="AB1587" s="1144">
        <f t="shared" si="441"/>
        <v>0</v>
      </c>
      <c r="AC1587" s="1144">
        <f t="shared" si="442"/>
        <v>0</v>
      </c>
      <c r="AD1587" s="1148">
        <f t="shared" si="434"/>
        <v>38086.210915448071</v>
      </c>
      <c r="AE1587" s="1487">
        <v>0</v>
      </c>
      <c r="AF1587" s="1145">
        <f t="shared" si="443"/>
        <v>38086.210915448071</v>
      </c>
      <c r="AG1587" s="1149">
        <f>IFERROR(VLOOKUP(CONCATENATE($L1587,$N1587),'Drop List'!$G$23:$K$87,2,FALSE),0)</f>
        <v>0</v>
      </c>
      <c r="AH1587" s="1150">
        <f>IFERROR(VLOOKUP(CONCATENATE($L1587,$N1587),'Drop List'!$G$23:$K$87,3,FALSE),0)</f>
        <v>0</v>
      </c>
      <c r="AI1587" s="1150">
        <f>IFERROR(VLOOKUP(CONCATENATE($L1587,$N1587),'Drop List'!$G$23:$K$87,4,FALSE),0)</f>
        <v>0</v>
      </c>
      <c r="AJ1587" s="1151">
        <f>IFERROR(VLOOKUP(CONCATENATE($L1587,$N1587),'Drop List'!$G$23:$K$87,5,FALSE),0)</f>
        <v>0</v>
      </c>
      <c r="AK1587" s="1152">
        <f t="shared" si="444"/>
        <v>0</v>
      </c>
      <c r="AL1587" s="1153">
        <f t="shared" si="445"/>
        <v>0</v>
      </c>
      <c r="AM1587" s="1153">
        <f t="shared" si="446"/>
        <v>0</v>
      </c>
      <c r="AN1587" s="1145">
        <f t="shared" si="447"/>
        <v>0</v>
      </c>
      <c r="AO1587" s="1154">
        <f t="shared" si="450"/>
        <v>0</v>
      </c>
      <c r="AP1587" s="1147">
        <f t="shared" si="435"/>
        <v>38086.210915448071</v>
      </c>
      <c r="AQ1587" s="1144">
        <f t="shared" si="436"/>
        <v>0</v>
      </c>
      <c r="AR1587" s="1146">
        <f t="shared" si="437"/>
        <v>38086.210915448071</v>
      </c>
    </row>
    <row r="1588" spans="1:44" x14ac:dyDescent="0.2">
      <c r="A1588" s="1141" t="str">
        <f t="shared" si="449"/>
        <v>4520</v>
      </c>
      <c r="B1588" s="1141" t="str">
        <f>IFERROR(VLOOKUP(A1588,'LAC 103'!A:C,3,FALSE),"")</f>
        <v>COS</v>
      </c>
      <c r="C1588" s="1478" t="str">
        <f>Info!$B$8</f>
        <v>00100</v>
      </c>
      <c r="D1588" s="1474" t="s">
        <v>256</v>
      </c>
      <c r="E1588" s="1474" t="s">
        <v>104</v>
      </c>
      <c r="F1588" s="1478" t="s">
        <v>344</v>
      </c>
      <c r="G1588" s="1478" t="s">
        <v>344</v>
      </c>
      <c r="H1588" s="1474" t="s">
        <v>1662</v>
      </c>
      <c r="I1588" s="1478" t="s">
        <v>819</v>
      </c>
      <c r="J1588" s="1478" t="s">
        <v>123</v>
      </c>
      <c r="K1588" s="1475" t="s">
        <v>846</v>
      </c>
      <c r="L1588" s="1474" t="s">
        <v>332</v>
      </c>
      <c r="M1588" s="1476" t="s">
        <v>840</v>
      </c>
      <c r="N1588" s="1477" t="s">
        <v>1700</v>
      </c>
      <c r="O1588" s="1479">
        <v>0.58333333333333337</v>
      </c>
      <c r="P1588" s="1479"/>
      <c r="Q1588" s="1142">
        <f t="shared" si="433"/>
        <v>0.58333333333333337</v>
      </c>
      <c r="R1588" s="1143">
        <f>IFERROR(VLOOKUP(CONCATENATE($E1588,$G1588),'LAC 103'!$A$12:$O$95,11,FALSE),0)</f>
        <v>62.693351301149093</v>
      </c>
      <c r="S1588" s="1144">
        <f>IFERROR(VLOOKUP(CONCATENATE($E1588,$G1588),'LAC 103'!$A$12:$O$95,12,FALSE),0)</f>
        <v>0</v>
      </c>
      <c r="T1588" s="1144">
        <f>IFERROR(VLOOKUP(CONCATENATE($E1588,$G1588),'LAC 103'!$A$12:$O$95,13,FALSE),0)</f>
        <v>0</v>
      </c>
      <c r="U1588" s="1144">
        <f>IFERROR(VLOOKUP(CONCATENATE($E1588,$G1588),'LAC 103'!$A$12:$O$95,14,FALSE),0)</f>
        <v>0</v>
      </c>
      <c r="V1588" s="1144">
        <f>IFERROR(VLOOKUP(CONCATENATE($E1588,$G1588),'LAC 103'!$A$12:$O$95,15,FALSE),0)</f>
        <v>0</v>
      </c>
      <c r="W1588" s="1145" t="str">
        <f>IFERROR(VLOOKUP(CONCATENATE($B1588,$N1588),'LAC 103'!$AI:$AQ,9,FALSE),"")</f>
        <v>Costs</v>
      </c>
      <c r="X1588" s="1146">
        <f t="shared" si="438"/>
        <v>62.693351301149093</v>
      </c>
      <c r="Y1588" s="1143">
        <f t="shared" si="448"/>
        <v>36.571121592336972</v>
      </c>
      <c r="Z1588" s="1147">
        <f t="shared" si="439"/>
        <v>36.571121592336972</v>
      </c>
      <c r="AA1588" s="1144">
        <f t="shared" si="440"/>
        <v>36.571121592336972</v>
      </c>
      <c r="AB1588" s="1144">
        <f t="shared" si="441"/>
        <v>0</v>
      </c>
      <c r="AC1588" s="1144">
        <f t="shared" si="442"/>
        <v>0</v>
      </c>
      <c r="AD1588" s="1148">
        <f t="shared" si="434"/>
        <v>36.571121592336972</v>
      </c>
      <c r="AE1588" s="1487">
        <v>0</v>
      </c>
      <c r="AF1588" s="1145">
        <f t="shared" si="443"/>
        <v>36.571121592336972</v>
      </c>
      <c r="AG1588" s="1149">
        <f>IFERROR(VLOOKUP(CONCATENATE($L1588,$N1588),'Drop List'!$G$23:$K$87,2,FALSE),0)</f>
        <v>0</v>
      </c>
      <c r="AH1588" s="1150">
        <f>IFERROR(VLOOKUP(CONCATENATE($L1588,$N1588),'Drop List'!$G$23:$K$87,3,FALSE),0)</f>
        <v>0</v>
      </c>
      <c r="AI1588" s="1150">
        <f>IFERROR(VLOOKUP(CONCATENATE($L1588,$N1588),'Drop List'!$G$23:$K$87,4,FALSE),0)</f>
        <v>0</v>
      </c>
      <c r="AJ1588" s="1151">
        <f>IFERROR(VLOOKUP(CONCATENATE($L1588,$N1588),'Drop List'!$G$23:$K$87,5,FALSE),0)</f>
        <v>0</v>
      </c>
      <c r="AK1588" s="1152">
        <f t="shared" si="444"/>
        <v>0</v>
      </c>
      <c r="AL1588" s="1153">
        <f t="shared" si="445"/>
        <v>0</v>
      </c>
      <c r="AM1588" s="1153">
        <f t="shared" si="446"/>
        <v>0</v>
      </c>
      <c r="AN1588" s="1145">
        <f t="shared" si="447"/>
        <v>0</v>
      </c>
      <c r="AO1588" s="1154">
        <f t="shared" si="450"/>
        <v>0</v>
      </c>
      <c r="AP1588" s="1147">
        <f t="shared" si="435"/>
        <v>36.571121592336972</v>
      </c>
      <c r="AQ1588" s="1144">
        <f t="shared" si="436"/>
        <v>0</v>
      </c>
      <c r="AR1588" s="1146">
        <f t="shared" si="437"/>
        <v>36.571121592336972</v>
      </c>
    </row>
    <row r="1589" spans="1:44" x14ac:dyDescent="0.2">
      <c r="A1589" s="1141" t="str">
        <f t="shared" si="449"/>
        <v>4520</v>
      </c>
      <c r="B1589" s="1141" t="str">
        <f>IFERROR(VLOOKUP(A1589,'LAC 103'!A:C,3,FALSE),"")</f>
        <v>COS</v>
      </c>
      <c r="C1589" s="1478" t="str">
        <f>Info!$B$8</f>
        <v>00100</v>
      </c>
      <c r="D1589" s="1474" t="s">
        <v>256</v>
      </c>
      <c r="E1589" s="1474" t="s">
        <v>104</v>
      </c>
      <c r="F1589" s="1478" t="s">
        <v>344</v>
      </c>
      <c r="G1589" s="1478" t="s">
        <v>344</v>
      </c>
      <c r="H1589" s="1474" t="s">
        <v>1090</v>
      </c>
      <c r="I1589" s="1478" t="s">
        <v>815</v>
      </c>
      <c r="J1589" s="1478" t="s">
        <v>123</v>
      </c>
      <c r="K1589" s="1475" t="s">
        <v>846</v>
      </c>
      <c r="L1589" s="1474" t="s">
        <v>332</v>
      </c>
      <c r="M1589" s="1476" t="s">
        <v>1699</v>
      </c>
      <c r="N1589" s="1477" t="s">
        <v>1694</v>
      </c>
      <c r="O1589" s="1479">
        <v>1827.6499999999994</v>
      </c>
      <c r="P1589" s="1479"/>
      <c r="Q1589" s="1142">
        <f t="shared" si="433"/>
        <v>1827.6499999999994</v>
      </c>
      <c r="R1589" s="1143">
        <f>IFERROR(VLOOKUP(CONCATENATE($E1589,$G1589),'LAC 103'!$A$12:$O$95,11,FALSE),0)</f>
        <v>62.693351301149093</v>
      </c>
      <c r="S1589" s="1144">
        <f>IFERROR(VLOOKUP(CONCATENATE($E1589,$G1589),'LAC 103'!$A$12:$O$95,12,FALSE),0)</f>
        <v>0</v>
      </c>
      <c r="T1589" s="1144">
        <f>IFERROR(VLOOKUP(CONCATENATE($E1589,$G1589),'LAC 103'!$A$12:$O$95,13,FALSE),0)</f>
        <v>0</v>
      </c>
      <c r="U1589" s="1144">
        <f>IFERROR(VLOOKUP(CONCATENATE($E1589,$G1589),'LAC 103'!$A$12:$O$95,14,FALSE),0)</f>
        <v>0</v>
      </c>
      <c r="V1589" s="1144">
        <f>IFERROR(VLOOKUP(CONCATENATE($E1589,$G1589),'LAC 103'!$A$12:$O$95,15,FALSE),0)</f>
        <v>0</v>
      </c>
      <c r="W1589" s="1145" t="str">
        <f>IFERROR(VLOOKUP(CONCATENATE($B1589,$N1589),'LAC 103'!$AI:$AQ,9,FALSE),"")</f>
        <v>Costs</v>
      </c>
      <c r="X1589" s="1146">
        <f t="shared" si="438"/>
        <v>62.693351301149093</v>
      </c>
      <c r="Y1589" s="1143">
        <f t="shared" si="448"/>
        <v>114581.5035055451</v>
      </c>
      <c r="Z1589" s="1147">
        <f t="shared" si="439"/>
        <v>114581.5035055451</v>
      </c>
      <c r="AA1589" s="1144">
        <f t="shared" si="440"/>
        <v>114581.5035055451</v>
      </c>
      <c r="AB1589" s="1144">
        <f t="shared" si="441"/>
        <v>0</v>
      </c>
      <c r="AC1589" s="1144">
        <f t="shared" si="442"/>
        <v>0</v>
      </c>
      <c r="AD1589" s="1148">
        <f t="shared" si="434"/>
        <v>114581.5035055451</v>
      </c>
      <c r="AE1589" s="1487">
        <v>0</v>
      </c>
      <c r="AF1589" s="1145">
        <f t="shared" si="443"/>
        <v>114581.5035055451</v>
      </c>
      <c r="AG1589" s="1149">
        <f>IFERROR(VLOOKUP(CONCATENATE($L1589,$N1589),'Drop List'!$G$23:$K$87,2,FALSE),0)</f>
        <v>0</v>
      </c>
      <c r="AH1589" s="1150">
        <f>IFERROR(VLOOKUP(CONCATENATE($L1589,$N1589),'Drop List'!$G$23:$K$87,3,FALSE),0)</f>
        <v>0</v>
      </c>
      <c r="AI1589" s="1150">
        <f>IFERROR(VLOOKUP(CONCATENATE($L1589,$N1589),'Drop List'!$G$23:$K$87,4,FALSE),0)</f>
        <v>0</v>
      </c>
      <c r="AJ1589" s="1151">
        <f>IFERROR(VLOOKUP(CONCATENATE($L1589,$N1589),'Drop List'!$G$23:$K$87,5,FALSE),0)</f>
        <v>0</v>
      </c>
      <c r="AK1589" s="1152">
        <f t="shared" si="444"/>
        <v>0</v>
      </c>
      <c r="AL1589" s="1153">
        <f t="shared" si="445"/>
        <v>0</v>
      </c>
      <c r="AM1589" s="1153">
        <f t="shared" si="446"/>
        <v>0</v>
      </c>
      <c r="AN1589" s="1145">
        <f t="shared" si="447"/>
        <v>0</v>
      </c>
      <c r="AO1589" s="1154">
        <f t="shared" si="450"/>
        <v>0</v>
      </c>
      <c r="AP1589" s="1147">
        <f t="shared" si="435"/>
        <v>114581.5035055451</v>
      </c>
      <c r="AQ1589" s="1144">
        <f t="shared" si="436"/>
        <v>0</v>
      </c>
      <c r="AR1589" s="1146">
        <f t="shared" si="437"/>
        <v>114581.5035055451</v>
      </c>
    </row>
    <row r="1590" spans="1:44" x14ac:dyDescent="0.2">
      <c r="A1590" s="1141" t="str">
        <f t="shared" si="449"/>
        <v>4520</v>
      </c>
      <c r="B1590" s="1141" t="str">
        <f>IFERROR(VLOOKUP(A1590,'LAC 103'!A:C,3,FALSE),"")</f>
        <v>COS</v>
      </c>
      <c r="C1590" s="1478" t="str">
        <f>Info!$B$8</f>
        <v>00100</v>
      </c>
      <c r="D1590" s="1474" t="s">
        <v>256</v>
      </c>
      <c r="E1590" s="1474" t="s">
        <v>104</v>
      </c>
      <c r="F1590" s="1478" t="s">
        <v>344</v>
      </c>
      <c r="G1590" s="1478" t="s">
        <v>344</v>
      </c>
      <c r="H1590" s="1474" t="s">
        <v>1090</v>
      </c>
      <c r="I1590" s="1478" t="s">
        <v>815</v>
      </c>
      <c r="J1590" s="1478"/>
      <c r="K1590" s="1475" t="s">
        <v>846</v>
      </c>
      <c r="L1590" s="1474" t="s">
        <v>332</v>
      </c>
      <c r="M1590" s="1476" t="s">
        <v>841</v>
      </c>
      <c r="N1590" s="1477" t="s">
        <v>1695</v>
      </c>
      <c r="O1590" s="1479">
        <v>830.98333333333312</v>
      </c>
      <c r="P1590" s="1479"/>
      <c r="Q1590" s="1142">
        <f t="shared" si="433"/>
        <v>830.98333333333312</v>
      </c>
      <c r="R1590" s="1143">
        <f>IFERROR(VLOOKUP(CONCATENATE($E1590,$G1590),'LAC 103'!$A$12:$O$95,11,FALSE),0)</f>
        <v>62.693351301149093</v>
      </c>
      <c r="S1590" s="1144">
        <f>IFERROR(VLOOKUP(CONCATENATE($E1590,$G1590),'LAC 103'!$A$12:$O$95,12,FALSE),0)</f>
        <v>0</v>
      </c>
      <c r="T1590" s="1144">
        <f>IFERROR(VLOOKUP(CONCATENATE($E1590,$G1590),'LAC 103'!$A$12:$O$95,13,FALSE),0)</f>
        <v>0</v>
      </c>
      <c r="U1590" s="1144">
        <f>IFERROR(VLOOKUP(CONCATENATE($E1590,$G1590),'LAC 103'!$A$12:$O$95,14,FALSE),0)</f>
        <v>0</v>
      </c>
      <c r="V1590" s="1144">
        <f>IFERROR(VLOOKUP(CONCATENATE($E1590,$G1590),'LAC 103'!$A$12:$O$95,15,FALSE),0)</f>
        <v>0</v>
      </c>
      <c r="W1590" s="1145" t="str">
        <f>IFERROR(VLOOKUP(CONCATENATE($B1590,$N1590),'LAC 103'!$AI:$AQ,9,FALSE),"")</f>
        <v>Costs</v>
      </c>
      <c r="X1590" s="1146">
        <f t="shared" si="438"/>
        <v>62.693351301149093</v>
      </c>
      <c r="Y1590" s="1143">
        <f t="shared" si="448"/>
        <v>52097.130042066528</v>
      </c>
      <c r="Z1590" s="1147">
        <f t="shared" si="439"/>
        <v>52097.130042066528</v>
      </c>
      <c r="AA1590" s="1144">
        <f t="shared" si="440"/>
        <v>52097.130042066528</v>
      </c>
      <c r="AB1590" s="1144">
        <f t="shared" si="441"/>
        <v>0</v>
      </c>
      <c r="AC1590" s="1144">
        <f t="shared" si="442"/>
        <v>0</v>
      </c>
      <c r="AD1590" s="1148">
        <f t="shared" si="434"/>
        <v>52097.130042066528</v>
      </c>
      <c r="AE1590" s="1487">
        <v>0</v>
      </c>
      <c r="AF1590" s="1145">
        <f t="shared" si="443"/>
        <v>52097.130042066528</v>
      </c>
      <c r="AG1590" s="1149">
        <f>IFERROR(VLOOKUP(CONCATENATE($L1590,$N1590),'Drop List'!$G$23:$K$87,2,FALSE),0)</f>
        <v>0</v>
      </c>
      <c r="AH1590" s="1150">
        <f>IFERROR(VLOOKUP(CONCATENATE($L1590,$N1590),'Drop List'!$G$23:$K$87,3,FALSE),0)</f>
        <v>0</v>
      </c>
      <c r="AI1590" s="1150">
        <f>IFERROR(VLOOKUP(CONCATENATE($L1590,$N1590),'Drop List'!$G$23:$K$87,4,FALSE),0)</f>
        <v>0</v>
      </c>
      <c r="AJ1590" s="1151">
        <f>IFERROR(VLOOKUP(CONCATENATE($L1590,$N1590),'Drop List'!$G$23:$K$87,5,FALSE),0)</f>
        <v>0</v>
      </c>
      <c r="AK1590" s="1152">
        <f t="shared" si="444"/>
        <v>0</v>
      </c>
      <c r="AL1590" s="1153">
        <f t="shared" si="445"/>
        <v>0</v>
      </c>
      <c r="AM1590" s="1153">
        <f t="shared" si="446"/>
        <v>0</v>
      </c>
      <c r="AN1590" s="1145">
        <f t="shared" si="447"/>
        <v>0</v>
      </c>
      <c r="AO1590" s="1154">
        <f t="shared" si="450"/>
        <v>0</v>
      </c>
      <c r="AP1590" s="1147">
        <f t="shared" si="435"/>
        <v>52097.130042066528</v>
      </c>
      <c r="AQ1590" s="1144">
        <f t="shared" si="436"/>
        <v>0</v>
      </c>
      <c r="AR1590" s="1146">
        <f t="shared" si="437"/>
        <v>52097.130042066528</v>
      </c>
    </row>
    <row r="1591" spans="1:44" x14ac:dyDescent="0.2">
      <c r="A1591" s="1141" t="str">
        <f t="shared" si="449"/>
        <v>4520</v>
      </c>
      <c r="B1591" s="1141" t="str">
        <f>IFERROR(VLOOKUP(A1591,'LAC 103'!A:C,3,FALSE),"")</f>
        <v>COS</v>
      </c>
      <c r="C1591" s="1478" t="str">
        <f>Info!$B$8</f>
        <v>00100</v>
      </c>
      <c r="D1591" s="1474" t="s">
        <v>256</v>
      </c>
      <c r="E1591" s="1474" t="s">
        <v>104</v>
      </c>
      <c r="F1591" s="1478" t="s">
        <v>344</v>
      </c>
      <c r="G1591" s="1478" t="s">
        <v>344</v>
      </c>
      <c r="H1591" s="1474" t="s">
        <v>1090</v>
      </c>
      <c r="I1591" s="1478" t="s">
        <v>815</v>
      </c>
      <c r="J1591" s="1478"/>
      <c r="K1591" s="1475" t="s">
        <v>846</v>
      </c>
      <c r="L1591" s="1474" t="s">
        <v>332</v>
      </c>
      <c r="M1591" s="1476" t="s">
        <v>840</v>
      </c>
      <c r="N1591" s="1477" t="s">
        <v>1700</v>
      </c>
      <c r="O1591" s="1479">
        <v>860.75</v>
      </c>
      <c r="P1591" s="1479"/>
      <c r="Q1591" s="1142">
        <f t="shared" si="433"/>
        <v>860.75</v>
      </c>
      <c r="R1591" s="1143">
        <f>IFERROR(VLOOKUP(CONCATENATE($E1591,$G1591),'LAC 103'!$A$12:$O$95,11,FALSE),0)</f>
        <v>62.693351301149093</v>
      </c>
      <c r="S1591" s="1144">
        <f>IFERROR(VLOOKUP(CONCATENATE($E1591,$G1591),'LAC 103'!$A$12:$O$95,12,FALSE),0)</f>
        <v>0</v>
      </c>
      <c r="T1591" s="1144">
        <f>IFERROR(VLOOKUP(CONCATENATE($E1591,$G1591),'LAC 103'!$A$12:$O$95,13,FALSE),0)</f>
        <v>0</v>
      </c>
      <c r="U1591" s="1144">
        <f>IFERROR(VLOOKUP(CONCATENATE($E1591,$G1591),'LAC 103'!$A$12:$O$95,14,FALSE),0)</f>
        <v>0</v>
      </c>
      <c r="V1591" s="1144">
        <f>IFERROR(VLOOKUP(CONCATENATE($E1591,$G1591),'LAC 103'!$A$12:$O$95,15,FALSE),0)</f>
        <v>0</v>
      </c>
      <c r="W1591" s="1145" t="str">
        <f>IFERROR(VLOOKUP(CONCATENATE($B1591,$N1591),'LAC 103'!$AI:$AQ,9,FALSE),"")</f>
        <v>Costs</v>
      </c>
      <c r="X1591" s="1146">
        <f t="shared" si="438"/>
        <v>62.693351301149093</v>
      </c>
      <c r="Y1591" s="1143">
        <f t="shared" si="448"/>
        <v>53963.302132464079</v>
      </c>
      <c r="Z1591" s="1147">
        <f t="shared" si="439"/>
        <v>53963.302132464079</v>
      </c>
      <c r="AA1591" s="1144">
        <f t="shared" si="440"/>
        <v>53963.302132464079</v>
      </c>
      <c r="AB1591" s="1144">
        <f t="shared" si="441"/>
        <v>0</v>
      </c>
      <c r="AC1591" s="1144">
        <f t="shared" si="442"/>
        <v>0</v>
      </c>
      <c r="AD1591" s="1148">
        <f t="shared" si="434"/>
        <v>53963.302132464079</v>
      </c>
      <c r="AE1591" s="1487">
        <v>0</v>
      </c>
      <c r="AF1591" s="1145">
        <f t="shared" si="443"/>
        <v>53963.302132464079</v>
      </c>
      <c r="AG1591" s="1149">
        <f>IFERROR(VLOOKUP(CONCATENATE($L1591,$N1591),'Drop List'!$G$23:$K$87,2,FALSE),0)</f>
        <v>0</v>
      </c>
      <c r="AH1591" s="1150">
        <f>IFERROR(VLOOKUP(CONCATENATE($L1591,$N1591),'Drop List'!$G$23:$K$87,3,FALSE),0)</f>
        <v>0</v>
      </c>
      <c r="AI1591" s="1150">
        <f>IFERROR(VLOOKUP(CONCATENATE($L1591,$N1591),'Drop List'!$G$23:$K$87,4,FALSE),0)</f>
        <v>0</v>
      </c>
      <c r="AJ1591" s="1151">
        <f>IFERROR(VLOOKUP(CONCATENATE($L1591,$N1591),'Drop List'!$G$23:$K$87,5,FALSE),0)</f>
        <v>0</v>
      </c>
      <c r="AK1591" s="1152">
        <f t="shared" si="444"/>
        <v>0</v>
      </c>
      <c r="AL1591" s="1153">
        <f t="shared" si="445"/>
        <v>0</v>
      </c>
      <c r="AM1591" s="1153">
        <f t="shared" si="446"/>
        <v>0</v>
      </c>
      <c r="AN1591" s="1145">
        <f t="shared" si="447"/>
        <v>0</v>
      </c>
      <c r="AO1591" s="1154">
        <f t="shared" si="450"/>
        <v>0</v>
      </c>
      <c r="AP1591" s="1147">
        <f t="shared" si="435"/>
        <v>53963.302132464079</v>
      </c>
      <c r="AQ1591" s="1144">
        <f t="shared" si="436"/>
        <v>0</v>
      </c>
      <c r="AR1591" s="1146">
        <f t="shared" si="437"/>
        <v>53963.302132464079</v>
      </c>
    </row>
    <row r="1592" spans="1:44" x14ac:dyDescent="0.2">
      <c r="A1592" s="1141" t="str">
        <f t="shared" si="449"/>
        <v>4520</v>
      </c>
      <c r="B1592" s="1141" t="str">
        <f>IFERROR(VLOOKUP(A1592,'LAC 103'!A:C,3,FALSE),"")</f>
        <v>COS</v>
      </c>
      <c r="C1592" s="1478" t="str">
        <f>Info!$B$8</f>
        <v>00100</v>
      </c>
      <c r="D1592" s="1474" t="s">
        <v>256</v>
      </c>
      <c r="E1592" s="1474" t="s">
        <v>104</v>
      </c>
      <c r="F1592" s="1478" t="s">
        <v>344</v>
      </c>
      <c r="G1592" s="1478" t="s">
        <v>344</v>
      </c>
      <c r="H1592" s="1474" t="s">
        <v>1090</v>
      </c>
      <c r="I1592" s="1478" t="s">
        <v>815</v>
      </c>
      <c r="J1592" s="1478"/>
      <c r="K1592" s="1475" t="s">
        <v>846</v>
      </c>
      <c r="L1592" s="1474" t="s">
        <v>332</v>
      </c>
      <c r="M1592" s="1476" t="s">
        <v>842</v>
      </c>
      <c r="N1592" s="1477" t="s">
        <v>1692</v>
      </c>
      <c r="O1592" s="1479">
        <v>1873.4666666666649</v>
      </c>
      <c r="P1592" s="1479"/>
      <c r="Q1592" s="1142">
        <f t="shared" si="433"/>
        <v>1873.4666666666649</v>
      </c>
      <c r="R1592" s="1143">
        <f>IFERROR(VLOOKUP(CONCATENATE($E1592,$G1592),'LAC 103'!$A$12:$O$95,11,FALSE),0)</f>
        <v>62.693351301149093</v>
      </c>
      <c r="S1592" s="1144">
        <f>IFERROR(VLOOKUP(CONCATENATE($E1592,$G1592),'LAC 103'!$A$12:$O$95,12,FALSE),0)</f>
        <v>0</v>
      </c>
      <c r="T1592" s="1144">
        <f>IFERROR(VLOOKUP(CONCATENATE($E1592,$G1592),'LAC 103'!$A$12:$O$95,13,FALSE),0)</f>
        <v>0</v>
      </c>
      <c r="U1592" s="1144">
        <f>IFERROR(VLOOKUP(CONCATENATE($E1592,$G1592),'LAC 103'!$A$12:$O$95,14,FALSE),0)</f>
        <v>0</v>
      </c>
      <c r="V1592" s="1144">
        <f>IFERROR(VLOOKUP(CONCATENATE($E1592,$G1592),'LAC 103'!$A$12:$O$95,15,FALSE),0)</f>
        <v>0</v>
      </c>
      <c r="W1592" s="1145" t="str">
        <f>IFERROR(VLOOKUP(CONCATENATE($B1592,$N1592),'LAC 103'!$AI:$AQ,9,FALSE),"")</f>
        <v>Costs</v>
      </c>
      <c r="X1592" s="1146">
        <f t="shared" si="438"/>
        <v>62.693351301149093</v>
      </c>
      <c r="Y1592" s="1143">
        <f t="shared" si="448"/>
        <v>117453.90388432601</v>
      </c>
      <c r="Z1592" s="1147">
        <f t="shared" si="439"/>
        <v>117453.90388432601</v>
      </c>
      <c r="AA1592" s="1144">
        <f t="shared" si="440"/>
        <v>117453.90388432601</v>
      </c>
      <c r="AB1592" s="1144">
        <f t="shared" si="441"/>
        <v>0</v>
      </c>
      <c r="AC1592" s="1144">
        <f t="shared" si="442"/>
        <v>0</v>
      </c>
      <c r="AD1592" s="1148">
        <f t="shared" si="434"/>
        <v>117453.90388432601</v>
      </c>
      <c r="AE1592" s="1487">
        <v>0</v>
      </c>
      <c r="AF1592" s="1145">
        <f t="shared" si="443"/>
        <v>117453.90388432601</v>
      </c>
      <c r="AG1592" s="1149">
        <f>IFERROR(VLOOKUP(CONCATENATE($L1592,$N1592),'Drop List'!$G$23:$K$87,2,FALSE),0)</f>
        <v>0</v>
      </c>
      <c r="AH1592" s="1150">
        <f>IFERROR(VLOOKUP(CONCATENATE($L1592,$N1592),'Drop List'!$G$23:$K$87,3,FALSE),0)</f>
        <v>0</v>
      </c>
      <c r="AI1592" s="1150">
        <f>IFERROR(VLOOKUP(CONCATENATE($L1592,$N1592),'Drop List'!$G$23:$K$87,4,FALSE),0)</f>
        <v>0</v>
      </c>
      <c r="AJ1592" s="1151">
        <f>IFERROR(VLOOKUP(CONCATENATE($L1592,$N1592),'Drop List'!$G$23:$K$87,5,FALSE),0)</f>
        <v>0</v>
      </c>
      <c r="AK1592" s="1152">
        <f t="shared" si="444"/>
        <v>0</v>
      </c>
      <c r="AL1592" s="1153">
        <f t="shared" si="445"/>
        <v>0</v>
      </c>
      <c r="AM1592" s="1153">
        <f t="shared" si="446"/>
        <v>0</v>
      </c>
      <c r="AN1592" s="1145">
        <f t="shared" si="447"/>
        <v>0</v>
      </c>
      <c r="AO1592" s="1154">
        <f t="shared" si="450"/>
        <v>0</v>
      </c>
      <c r="AP1592" s="1147">
        <f t="shared" si="435"/>
        <v>117453.90388432601</v>
      </c>
      <c r="AQ1592" s="1144">
        <f t="shared" si="436"/>
        <v>0</v>
      </c>
      <c r="AR1592" s="1146">
        <f t="shared" si="437"/>
        <v>117453.90388432601</v>
      </c>
    </row>
    <row r="1593" spans="1:44" x14ac:dyDescent="0.2">
      <c r="A1593" s="1141" t="str">
        <f t="shared" si="449"/>
        <v>4520</v>
      </c>
      <c r="B1593" s="1141" t="str">
        <f>IFERROR(VLOOKUP(A1593,'LAC 103'!A:C,3,FALSE),"")</f>
        <v>COS</v>
      </c>
      <c r="C1593" s="1478" t="str">
        <f>Info!$B$8</f>
        <v>00100</v>
      </c>
      <c r="D1593" s="1474" t="s">
        <v>256</v>
      </c>
      <c r="E1593" s="1474" t="s">
        <v>104</v>
      </c>
      <c r="F1593" s="1478" t="s">
        <v>344</v>
      </c>
      <c r="G1593" s="1478" t="s">
        <v>344</v>
      </c>
      <c r="H1593" s="1474" t="s">
        <v>1090</v>
      </c>
      <c r="I1593" s="1478" t="s">
        <v>815</v>
      </c>
      <c r="J1593" s="1478"/>
      <c r="K1593" s="1475" t="s">
        <v>846</v>
      </c>
      <c r="L1593" s="1474" t="s">
        <v>332</v>
      </c>
      <c r="M1593" s="1476" t="s">
        <v>1698</v>
      </c>
      <c r="N1593" s="1477" t="s">
        <v>1693</v>
      </c>
      <c r="O1593" s="1479">
        <v>1665.3833333333303</v>
      </c>
      <c r="P1593" s="1479"/>
      <c r="Q1593" s="1142">
        <f t="shared" si="433"/>
        <v>1665.3833333333303</v>
      </c>
      <c r="R1593" s="1143">
        <f>IFERROR(VLOOKUP(CONCATENATE($E1593,$G1593),'LAC 103'!$A$12:$O$95,11,FALSE),0)</f>
        <v>62.693351301149093</v>
      </c>
      <c r="S1593" s="1144">
        <f>IFERROR(VLOOKUP(CONCATENATE($E1593,$G1593),'LAC 103'!$A$12:$O$95,12,FALSE),0)</f>
        <v>0</v>
      </c>
      <c r="T1593" s="1144">
        <f>IFERROR(VLOOKUP(CONCATENATE($E1593,$G1593),'LAC 103'!$A$12:$O$95,13,FALSE),0)</f>
        <v>0</v>
      </c>
      <c r="U1593" s="1144">
        <f>IFERROR(VLOOKUP(CONCATENATE($E1593,$G1593),'LAC 103'!$A$12:$O$95,14,FALSE),0)</f>
        <v>0</v>
      </c>
      <c r="V1593" s="1144">
        <f>IFERROR(VLOOKUP(CONCATENATE($E1593,$G1593),'LAC 103'!$A$12:$O$95,15,FALSE),0)</f>
        <v>0</v>
      </c>
      <c r="W1593" s="1145" t="str">
        <f>IFERROR(VLOOKUP(CONCATENATE($B1593,$N1593),'LAC 103'!$AI:$AQ,9,FALSE),"")</f>
        <v>Costs</v>
      </c>
      <c r="X1593" s="1146">
        <f t="shared" si="438"/>
        <v>62.693351301149093</v>
      </c>
      <c r="Y1593" s="1143">
        <f t="shared" si="448"/>
        <v>104408.46236774516</v>
      </c>
      <c r="Z1593" s="1147">
        <f t="shared" si="439"/>
        <v>104408.46236774516</v>
      </c>
      <c r="AA1593" s="1144">
        <f t="shared" si="440"/>
        <v>104408.46236774516</v>
      </c>
      <c r="AB1593" s="1144">
        <f t="shared" si="441"/>
        <v>0</v>
      </c>
      <c r="AC1593" s="1144">
        <f t="shared" si="442"/>
        <v>0</v>
      </c>
      <c r="AD1593" s="1148">
        <f t="shared" si="434"/>
        <v>104408.46236774516</v>
      </c>
      <c r="AE1593" s="1487">
        <v>0</v>
      </c>
      <c r="AF1593" s="1145">
        <f t="shared" si="443"/>
        <v>104408.46236774516</v>
      </c>
      <c r="AG1593" s="1149">
        <f>IFERROR(VLOOKUP(CONCATENATE($L1593,$N1593),'Drop List'!$G$23:$K$87,2,FALSE),0)</f>
        <v>0</v>
      </c>
      <c r="AH1593" s="1150">
        <f>IFERROR(VLOOKUP(CONCATENATE($L1593,$N1593),'Drop List'!$G$23:$K$87,3,FALSE),0)</f>
        <v>0</v>
      </c>
      <c r="AI1593" s="1150">
        <f>IFERROR(VLOOKUP(CONCATENATE($L1593,$N1593),'Drop List'!$G$23:$K$87,4,FALSE),0)</f>
        <v>0</v>
      </c>
      <c r="AJ1593" s="1151">
        <f>IFERROR(VLOOKUP(CONCATENATE($L1593,$N1593),'Drop List'!$G$23:$K$87,5,FALSE),0)</f>
        <v>0</v>
      </c>
      <c r="AK1593" s="1152">
        <f t="shared" si="444"/>
        <v>0</v>
      </c>
      <c r="AL1593" s="1153">
        <f t="shared" si="445"/>
        <v>0</v>
      </c>
      <c r="AM1593" s="1153">
        <f t="shared" si="446"/>
        <v>0</v>
      </c>
      <c r="AN1593" s="1145">
        <f t="shared" si="447"/>
        <v>0</v>
      </c>
      <c r="AO1593" s="1154">
        <f t="shared" si="450"/>
        <v>0</v>
      </c>
      <c r="AP1593" s="1147">
        <f t="shared" si="435"/>
        <v>104408.46236774516</v>
      </c>
      <c r="AQ1593" s="1144">
        <f t="shared" si="436"/>
        <v>0</v>
      </c>
      <c r="AR1593" s="1146">
        <f t="shared" si="437"/>
        <v>104408.46236774516</v>
      </c>
    </row>
    <row r="1594" spans="1:44" x14ac:dyDescent="0.2">
      <c r="A1594" s="1141" t="str">
        <f t="shared" si="449"/>
        <v>4520</v>
      </c>
      <c r="B1594" s="1141" t="str">
        <f>IFERROR(VLOOKUP(A1594,'LAC 103'!A:C,3,FALSE),"")</f>
        <v>COS</v>
      </c>
      <c r="C1594" s="1478" t="str">
        <f>Info!$B$8</f>
        <v>00100</v>
      </c>
      <c r="D1594" s="1474" t="s">
        <v>256</v>
      </c>
      <c r="E1594" s="1474" t="s">
        <v>104</v>
      </c>
      <c r="F1594" s="1478" t="s">
        <v>344</v>
      </c>
      <c r="G1594" s="1478" t="s">
        <v>344</v>
      </c>
      <c r="H1594" s="1474" t="s">
        <v>989</v>
      </c>
      <c r="I1594" s="1478" t="s">
        <v>823</v>
      </c>
      <c r="J1594" s="1478" t="s">
        <v>1998</v>
      </c>
      <c r="K1594" s="1475" t="s">
        <v>846</v>
      </c>
      <c r="L1594" s="1474" t="s">
        <v>332</v>
      </c>
      <c r="M1594" s="1476" t="s">
        <v>1699</v>
      </c>
      <c r="N1594" s="1477" t="s">
        <v>1694</v>
      </c>
      <c r="O1594" s="1479">
        <v>921.06666666666626</v>
      </c>
      <c r="P1594" s="1479"/>
      <c r="Q1594" s="1142">
        <f t="shared" si="433"/>
        <v>921.06666666666626</v>
      </c>
      <c r="R1594" s="1143">
        <f>IFERROR(VLOOKUP(CONCATENATE($E1594,$G1594),'LAC 103'!$A$12:$O$95,11,FALSE),0)</f>
        <v>62.693351301149093</v>
      </c>
      <c r="S1594" s="1144">
        <f>IFERROR(VLOOKUP(CONCATENATE($E1594,$G1594),'LAC 103'!$A$12:$O$95,12,FALSE),0)</f>
        <v>0</v>
      </c>
      <c r="T1594" s="1144">
        <f>IFERROR(VLOOKUP(CONCATENATE($E1594,$G1594),'LAC 103'!$A$12:$O$95,13,FALSE),0)</f>
        <v>0</v>
      </c>
      <c r="U1594" s="1144">
        <f>IFERROR(VLOOKUP(CONCATENATE($E1594,$G1594),'LAC 103'!$A$12:$O$95,14,FALSE),0)</f>
        <v>0</v>
      </c>
      <c r="V1594" s="1144">
        <f>IFERROR(VLOOKUP(CONCATENATE($E1594,$G1594),'LAC 103'!$A$12:$O$95,15,FALSE),0)</f>
        <v>0</v>
      </c>
      <c r="W1594" s="1145" t="str">
        <f>IFERROR(VLOOKUP(CONCATENATE($B1594,$N1594),'LAC 103'!$AI:$AQ,9,FALSE),"")</f>
        <v>Costs</v>
      </c>
      <c r="X1594" s="1146">
        <f t="shared" si="438"/>
        <v>62.693351301149093</v>
      </c>
      <c r="Y1594" s="1143">
        <f t="shared" si="448"/>
        <v>57744.756105111701</v>
      </c>
      <c r="Z1594" s="1147">
        <f t="shared" si="439"/>
        <v>57744.756105111701</v>
      </c>
      <c r="AA1594" s="1144">
        <f t="shared" si="440"/>
        <v>57744.756105111701</v>
      </c>
      <c r="AB1594" s="1144">
        <f t="shared" si="441"/>
        <v>0</v>
      </c>
      <c r="AC1594" s="1144">
        <f t="shared" si="442"/>
        <v>0</v>
      </c>
      <c r="AD1594" s="1148">
        <f t="shared" si="434"/>
        <v>57744.756105111701</v>
      </c>
      <c r="AE1594" s="1487">
        <v>0</v>
      </c>
      <c r="AF1594" s="1145">
        <f t="shared" si="443"/>
        <v>57744.756105111701</v>
      </c>
      <c r="AG1594" s="1149">
        <f>IFERROR(VLOOKUP(CONCATENATE($L1594,$N1594),'Drop List'!$G$23:$K$87,2,FALSE),0)</f>
        <v>0</v>
      </c>
      <c r="AH1594" s="1150">
        <f>IFERROR(VLOOKUP(CONCATENATE($L1594,$N1594),'Drop List'!$G$23:$K$87,3,FALSE),0)</f>
        <v>0</v>
      </c>
      <c r="AI1594" s="1150">
        <f>IFERROR(VLOOKUP(CONCATENATE($L1594,$N1594),'Drop List'!$G$23:$K$87,4,FALSE),0)</f>
        <v>0</v>
      </c>
      <c r="AJ1594" s="1151">
        <f>IFERROR(VLOOKUP(CONCATENATE($L1594,$N1594),'Drop List'!$G$23:$K$87,5,FALSE),0)</f>
        <v>0</v>
      </c>
      <c r="AK1594" s="1152">
        <f t="shared" si="444"/>
        <v>0</v>
      </c>
      <c r="AL1594" s="1153">
        <f t="shared" si="445"/>
        <v>0</v>
      </c>
      <c r="AM1594" s="1153">
        <f t="shared" si="446"/>
        <v>0</v>
      </c>
      <c r="AN1594" s="1145">
        <f t="shared" si="447"/>
        <v>0</v>
      </c>
      <c r="AO1594" s="1154">
        <f t="shared" si="450"/>
        <v>0</v>
      </c>
      <c r="AP1594" s="1147">
        <f t="shared" si="435"/>
        <v>57744.756105111701</v>
      </c>
      <c r="AQ1594" s="1144">
        <f t="shared" si="436"/>
        <v>0</v>
      </c>
      <c r="AR1594" s="1146">
        <f t="shared" si="437"/>
        <v>57744.756105111701</v>
      </c>
    </row>
    <row r="1595" spans="1:44" x14ac:dyDescent="0.2">
      <c r="A1595" s="1141" t="str">
        <f t="shared" si="449"/>
        <v>4520</v>
      </c>
      <c r="B1595" s="1141" t="str">
        <f>IFERROR(VLOOKUP(A1595,'LAC 103'!A:C,3,FALSE),"")</f>
        <v>COS</v>
      </c>
      <c r="C1595" s="1478" t="str">
        <f>Info!$B$8</f>
        <v>00100</v>
      </c>
      <c r="D1595" s="1474" t="s">
        <v>256</v>
      </c>
      <c r="E1595" s="1474" t="s">
        <v>104</v>
      </c>
      <c r="F1595" s="1478" t="s">
        <v>344</v>
      </c>
      <c r="G1595" s="1478" t="s">
        <v>344</v>
      </c>
      <c r="H1595" s="1474" t="s">
        <v>989</v>
      </c>
      <c r="I1595" s="1478" t="s">
        <v>823</v>
      </c>
      <c r="J1595" s="1478" t="s">
        <v>1998</v>
      </c>
      <c r="K1595" s="1475" t="s">
        <v>846</v>
      </c>
      <c r="L1595" s="1474" t="s">
        <v>332</v>
      </c>
      <c r="M1595" s="1476" t="s">
        <v>841</v>
      </c>
      <c r="N1595" s="1477" t="s">
        <v>1695</v>
      </c>
      <c r="O1595" s="1479">
        <v>419.98333333333335</v>
      </c>
      <c r="P1595" s="1479"/>
      <c r="Q1595" s="1142">
        <f t="shared" si="433"/>
        <v>419.98333333333335</v>
      </c>
      <c r="R1595" s="1143">
        <f>IFERROR(VLOOKUP(CONCATENATE($E1595,$G1595),'LAC 103'!$A$12:$O$95,11,FALSE),0)</f>
        <v>62.693351301149093</v>
      </c>
      <c r="S1595" s="1144">
        <f>IFERROR(VLOOKUP(CONCATENATE($E1595,$G1595),'LAC 103'!$A$12:$O$95,12,FALSE),0)</f>
        <v>0</v>
      </c>
      <c r="T1595" s="1144">
        <f>IFERROR(VLOOKUP(CONCATENATE($E1595,$G1595),'LAC 103'!$A$12:$O$95,13,FALSE),0)</f>
        <v>0</v>
      </c>
      <c r="U1595" s="1144">
        <f>IFERROR(VLOOKUP(CONCATENATE($E1595,$G1595),'LAC 103'!$A$12:$O$95,14,FALSE),0)</f>
        <v>0</v>
      </c>
      <c r="V1595" s="1144">
        <f>IFERROR(VLOOKUP(CONCATENATE($E1595,$G1595),'LAC 103'!$A$12:$O$95,15,FALSE),0)</f>
        <v>0</v>
      </c>
      <c r="W1595" s="1145" t="str">
        <f>IFERROR(VLOOKUP(CONCATENATE($B1595,$N1595),'LAC 103'!$AI:$AQ,9,FALSE),"")</f>
        <v>Costs</v>
      </c>
      <c r="X1595" s="1146">
        <f t="shared" si="438"/>
        <v>62.693351301149093</v>
      </c>
      <c r="Y1595" s="1143">
        <f t="shared" si="448"/>
        <v>26330.162657294266</v>
      </c>
      <c r="Z1595" s="1147">
        <f t="shared" si="439"/>
        <v>26330.162657294266</v>
      </c>
      <c r="AA1595" s="1144">
        <f t="shared" si="440"/>
        <v>26330.162657294266</v>
      </c>
      <c r="AB1595" s="1144">
        <f t="shared" si="441"/>
        <v>0</v>
      </c>
      <c r="AC1595" s="1144">
        <f t="shared" si="442"/>
        <v>0</v>
      </c>
      <c r="AD1595" s="1148">
        <f t="shared" si="434"/>
        <v>26330.162657294266</v>
      </c>
      <c r="AE1595" s="1487">
        <v>0</v>
      </c>
      <c r="AF1595" s="1145">
        <f t="shared" si="443"/>
        <v>26330.162657294266</v>
      </c>
      <c r="AG1595" s="1149">
        <f>IFERROR(VLOOKUP(CONCATENATE($L1595,$N1595),'Drop List'!$G$23:$K$87,2,FALSE),0)</f>
        <v>0</v>
      </c>
      <c r="AH1595" s="1150">
        <f>IFERROR(VLOOKUP(CONCATENATE($L1595,$N1595),'Drop List'!$G$23:$K$87,3,FALSE),0)</f>
        <v>0</v>
      </c>
      <c r="AI1595" s="1150">
        <f>IFERROR(VLOOKUP(CONCATENATE($L1595,$N1595),'Drop List'!$G$23:$K$87,4,FALSE),0)</f>
        <v>0</v>
      </c>
      <c r="AJ1595" s="1151">
        <f>IFERROR(VLOOKUP(CONCATENATE($L1595,$N1595),'Drop List'!$G$23:$K$87,5,FALSE),0)</f>
        <v>0</v>
      </c>
      <c r="AK1595" s="1152">
        <f t="shared" si="444"/>
        <v>0</v>
      </c>
      <c r="AL1595" s="1153">
        <f t="shared" si="445"/>
        <v>0</v>
      </c>
      <c r="AM1595" s="1153">
        <f t="shared" si="446"/>
        <v>0</v>
      </c>
      <c r="AN1595" s="1145">
        <f t="shared" si="447"/>
        <v>0</v>
      </c>
      <c r="AO1595" s="1154">
        <f t="shared" si="450"/>
        <v>0</v>
      </c>
      <c r="AP1595" s="1147">
        <f t="shared" si="435"/>
        <v>26330.162657294266</v>
      </c>
      <c r="AQ1595" s="1144">
        <f t="shared" si="436"/>
        <v>0</v>
      </c>
      <c r="AR1595" s="1146">
        <f t="shared" si="437"/>
        <v>26330.162657294266</v>
      </c>
    </row>
    <row r="1596" spans="1:44" x14ac:dyDescent="0.2">
      <c r="A1596" s="1141" t="str">
        <f t="shared" si="449"/>
        <v>4520</v>
      </c>
      <c r="B1596" s="1141" t="str">
        <f>IFERROR(VLOOKUP(A1596,'LAC 103'!A:C,3,FALSE),"")</f>
        <v>COS</v>
      </c>
      <c r="C1596" s="1478" t="str">
        <f>Info!$B$8</f>
        <v>00100</v>
      </c>
      <c r="D1596" s="1474" t="s">
        <v>256</v>
      </c>
      <c r="E1596" s="1474" t="s">
        <v>104</v>
      </c>
      <c r="F1596" s="1478" t="s">
        <v>344</v>
      </c>
      <c r="G1596" s="1478" t="s">
        <v>344</v>
      </c>
      <c r="H1596" s="1474" t="s">
        <v>989</v>
      </c>
      <c r="I1596" s="1478" t="s">
        <v>823</v>
      </c>
      <c r="J1596" s="1478" t="s">
        <v>1998</v>
      </c>
      <c r="K1596" s="1475" t="s">
        <v>846</v>
      </c>
      <c r="L1596" s="1474" t="s">
        <v>332</v>
      </c>
      <c r="M1596" s="1476" t="s">
        <v>840</v>
      </c>
      <c r="N1596" s="1477" t="s">
        <v>1700</v>
      </c>
      <c r="O1596" s="1479">
        <v>893.5333333333333</v>
      </c>
      <c r="P1596" s="1479"/>
      <c r="Q1596" s="1142">
        <f t="shared" ref="Q1596:Q1659" si="451">O1596+P1596</f>
        <v>893.5333333333333</v>
      </c>
      <c r="R1596" s="1143">
        <f>IFERROR(VLOOKUP(CONCATENATE($E1596,$G1596),'LAC 103'!$A$12:$O$95,11,FALSE),0)</f>
        <v>62.693351301149093</v>
      </c>
      <c r="S1596" s="1144">
        <f>IFERROR(VLOOKUP(CONCATENATE($E1596,$G1596),'LAC 103'!$A$12:$O$95,12,FALSE),0)</f>
        <v>0</v>
      </c>
      <c r="T1596" s="1144">
        <f>IFERROR(VLOOKUP(CONCATENATE($E1596,$G1596),'LAC 103'!$A$12:$O$95,13,FALSE),0)</f>
        <v>0</v>
      </c>
      <c r="U1596" s="1144">
        <f>IFERROR(VLOOKUP(CONCATENATE($E1596,$G1596),'LAC 103'!$A$12:$O$95,14,FALSE),0)</f>
        <v>0</v>
      </c>
      <c r="V1596" s="1144">
        <f>IFERROR(VLOOKUP(CONCATENATE($E1596,$G1596),'LAC 103'!$A$12:$O$95,15,FALSE),0)</f>
        <v>0</v>
      </c>
      <c r="W1596" s="1145" t="str">
        <f>IFERROR(VLOOKUP(CONCATENATE($B1596,$N1596),'LAC 103'!$AI:$AQ,9,FALSE),"")</f>
        <v>Costs</v>
      </c>
      <c r="X1596" s="1146">
        <f t="shared" si="438"/>
        <v>62.693351301149093</v>
      </c>
      <c r="Y1596" s="1143">
        <f t="shared" si="448"/>
        <v>56018.599165953419</v>
      </c>
      <c r="Z1596" s="1147">
        <f t="shared" si="439"/>
        <v>56018.599165953419</v>
      </c>
      <c r="AA1596" s="1144">
        <f t="shared" si="440"/>
        <v>56018.599165953419</v>
      </c>
      <c r="AB1596" s="1144">
        <f t="shared" si="441"/>
        <v>0</v>
      </c>
      <c r="AC1596" s="1144">
        <f t="shared" si="442"/>
        <v>0</v>
      </c>
      <c r="AD1596" s="1148">
        <f t="shared" si="434"/>
        <v>56018.599165953419</v>
      </c>
      <c r="AE1596" s="1487">
        <v>0</v>
      </c>
      <c r="AF1596" s="1145">
        <f t="shared" si="443"/>
        <v>56018.599165953419</v>
      </c>
      <c r="AG1596" s="1149">
        <f>IFERROR(VLOOKUP(CONCATENATE($L1596,$N1596),'Drop List'!$G$23:$K$87,2,FALSE),0)</f>
        <v>0</v>
      </c>
      <c r="AH1596" s="1150">
        <f>IFERROR(VLOOKUP(CONCATENATE($L1596,$N1596),'Drop List'!$G$23:$K$87,3,FALSE),0)</f>
        <v>0</v>
      </c>
      <c r="AI1596" s="1150">
        <f>IFERROR(VLOOKUP(CONCATENATE($L1596,$N1596),'Drop List'!$G$23:$K$87,4,FALSE),0)</f>
        <v>0</v>
      </c>
      <c r="AJ1596" s="1151">
        <f>IFERROR(VLOOKUP(CONCATENATE($L1596,$N1596),'Drop List'!$G$23:$K$87,5,FALSE),0)</f>
        <v>0</v>
      </c>
      <c r="AK1596" s="1152">
        <f t="shared" si="444"/>
        <v>0</v>
      </c>
      <c r="AL1596" s="1153">
        <f t="shared" si="445"/>
        <v>0</v>
      </c>
      <c r="AM1596" s="1153">
        <f t="shared" si="446"/>
        <v>0</v>
      </c>
      <c r="AN1596" s="1145">
        <f t="shared" si="447"/>
        <v>0</v>
      </c>
      <c r="AO1596" s="1154">
        <f t="shared" si="450"/>
        <v>0</v>
      </c>
      <c r="AP1596" s="1147">
        <f t="shared" si="435"/>
        <v>56018.599165953419</v>
      </c>
      <c r="AQ1596" s="1144">
        <f t="shared" si="436"/>
        <v>0</v>
      </c>
      <c r="AR1596" s="1146">
        <f t="shared" si="437"/>
        <v>56018.599165953419</v>
      </c>
    </row>
    <row r="1597" spans="1:44" x14ac:dyDescent="0.2">
      <c r="A1597" s="1141" t="str">
        <f t="shared" si="449"/>
        <v>4520</v>
      </c>
      <c r="B1597" s="1141" t="str">
        <f>IFERROR(VLOOKUP(A1597,'LAC 103'!A:C,3,FALSE),"")</f>
        <v>COS</v>
      </c>
      <c r="C1597" s="1478" t="str">
        <f>Info!$B$8</f>
        <v>00100</v>
      </c>
      <c r="D1597" s="1474" t="s">
        <v>256</v>
      </c>
      <c r="E1597" s="1474" t="s">
        <v>104</v>
      </c>
      <c r="F1597" s="1478" t="s">
        <v>344</v>
      </c>
      <c r="G1597" s="1478" t="s">
        <v>344</v>
      </c>
      <c r="H1597" s="1474" t="s">
        <v>989</v>
      </c>
      <c r="I1597" s="1478" t="s">
        <v>823</v>
      </c>
      <c r="J1597" s="1478" t="s">
        <v>1998</v>
      </c>
      <c r="K1597" s="1475" t="s">
        <v>846</v>
      </c>
      <c r="L1597" s="1474" t="s">
        <v>332</v>
      </c>
      <c r="M1597" s="1476" t="s">
        <v>842</v>
      </c>
      <c r="N1597" s="1477" t="s">
        <v>1692</v>
      </c>
      <c r="O1597" s="1479">
        <v>1106.3166666666675</v>
      </c>
      <c r="P1597" s="1479"/>
      <c r="Q1597" s="1142">
        <f t="shared" si="451"/>
        <v>1106.3166666666675</v>
      </c>
      <c r="R1597" s="1143">
        <f>IFERROR(VLOOKUP(CONCATENATE($E1597,$G1597),'LAC 103'!$A$12:$O$95,11,FALSE),0)</f>
        <v>62.693351301149093</v>
      </c>
      <c r="S1597" s="1144">
        <f>IFERROR(VLOOKUP(CONCATENATE($E1597,$G1597),'LAC 103'!$A$12:$O$95,12,FALSE),0)</f>
        <v>0</v>
      </c>
      <c r="T1597" s="1144">
        <f>IFERROR(VLOOKUP(CONCATENATE($E1597,$G1597),'LAC 103'!$A$12:$O$95,13,FALSE),0)</f>
        <v>0</v>
      </c>
      <c r="U1597" s="1144">
        <f>IFERROR(VLOOKUP(CONCATENATE($E1597,$G1597),'LAC 103'!$A$12:$O$95,14,FALSE),0)</f>
        <v>0</v>
      </c>
      <c r="V1597" s="1144">
        <f>IFERROR(VLOOKUP(CONCATENATE($E1597,$G1597),'LAC 103'!$A$12:$O$95,15,FALSE),0)</f>
        <v>0</v>
      </c>
      <c r="W1597" s="1145" t="str">
        <f>IFERROR(VLOOKUP(CONCATENATE($B1597,$N1597),'LAC 103'!$AI:$AQ,9,FALSE),"")</f>
        <v>Costs</v>
      </c>
      <c r="X1597" s="1146">
        <f t="shared" si="438"/>
        <v>62.693351301149093</v>
      </c>
      <c r="Y1597" s="1143">
        <f t="shared" si="448"/>
        <v>69358.699433649643</v>
      </c>
      <c r="Z1597" s="1147">
        <f t="shared" si="439"/>
        <v>69358.699433649643</v>
      </c>
      <c r="AA1597" s="1144">
        <f t="shared" si="440"/>
        <v>69358.699433649643</v>
      </c>
      <c r="AB1597" s="1144">
        <f t="shared" si="441"/>
        <v>0</v>
      </c>
      <c r="AC1597" s="1144">
        <f t="shared" si="442"/>
        <v>0</v>
      </c>
      <c r="AD1597" s="1148">
        <f t="shared" si="434"/>
        <v>69358.699433649643</v>
      </c>
      <c r="AE1597" s="1487">
        <v>0</v>
      </c>
      <c r="AF1597" s="1145">
        <f t="shared" si="443"/>
        <v>69358.699433649643</v>
      </c>
      <c r="AG1597" s="1149">
        <f>IFERROR(VLOOKUP(CONCATENATE($L1597,$N1597),'Drop List'!$G$23:$K$87,2,FALSE),0)</f>
        <v>0</v>
      </c>
      <c r="AH1597" s="1150">
        <f>IFERROR(VLOOKUP(CONCATENATE($L1597,$N1597),'Drop List'!$G$23:$K$87,3,FALSE),0)</f>
        <v>0</v>
      </c>
      <c r="AI1597" s="1150">
        <f>IFERROR(VLOOKUP(CONCATENATE($L1597,$N1597),'Drop List'!$G$23:$K$87,4,FALSE),0)</f>
        <v>0</v>
      </c>
      <c r="AJ1597" s="1151">
        <f>IFERROR(VLOOKUP(CONCATENATE($L1597,$N1597),'Drop List'!$G$23:$K$87,5,FALSE),0)</f>
        <v>0</v>
      </c>
      <c r="AK1597" s="1152">
        <f t="shared" si="444"/>
        <v>0</v>
      </c>
      <c r="AL1597" s="1153">
        <f t="shared" si="445"/>
        <v>0</v>
      </c>
      <c r="AM1597" s="1153">
        <f t="shared" si="446"/>
        <v>0</v>
      </c>
      <c r="AN1597" s="1145">
        <f t="shared" si="447"/>
        <v>0</v>
      </c>
      <c r="AO1597" s="1154">
        <f t="shared" si="450"/>
        <v>0</v>
      </c>
      <c r="AP1597" s="1147">
        <f t="shared" si="435"/>
        <v>69358.699433649643</v>
      </c>
      <c r="AQ1597" s="1144">
        <f t="shared" si="436"/>
        <v>0</v>
      </c>
      <c r="AR1597" s="1146">
        <f t="shared" si="437"/>
        <v>69358.699433649643</v>
      </c>
    </row>
    <row r="1598" spans="1:44" x14ac:dyDescent="0.2">
      <c r="A1598" s="1141" t="str">
        <f t="shared" si="449"/>
        <v>4520</v>
      </c>
      <c r="B1598" s="1141" t="str">
        <f>IFERROR(VLOOKUP(A1598,'LAC 103'!A:C,3,FALSE),"")</f>
        <v>COS</v>
      </c>
      <c r="C1598" s="1478" t="str">
        <f>Info!$B$8</f>
        <v>00100</v>
      </c>
      <c r="D1598" s="1474" t="s">
        <v>256</v>
      </c>
      <c r="E1598" s="1474" t="s">
        <v>104</v>
      </c>
      <c r="F1598" s="1478" t="s">
        <v>344</v>
      </c>
      <c r="G1598" s="1478" t="s">
        <v>344</v>
      </c>
      <c r="H1598" s="1474" t="s">
        <v>989</v>
      </c>
      <c r="I1598" s="1478" t="s">
        <v>823</v>
      </c>
      <c r="J1598" s="1478" t="s">
        <v>1998</v>
      </c>
      <c r="K1598" s="1475" t="s">
        <v>846</v>
      </c>
      <c r="L1598" s="1474" t="s">
        <v>332</v>
      </c>
      <c r="M1598" s="1476" t="s">
        <v>1698</v>
      </c>
      <c r="N1598" s="1477" t="s">
        <v>1693</v>
      </c>
      <c r="O1598" s="1479">
        <v>965.36666666666417</v>
      </c>
      <c r="P1598" s="1479"/>
      <c r="Q1598" s="1142">
        <f t="shared" si="451"/>
        <v>965.36666666666417</v>
      </c>
      <c r="R1598" s="1143">
        <f>IFERROR(VLOOKUP(CONCATENATE($E1598,$G1598),'LAC 103'!$A$12:$O$95,11,FALSE),0)</f>
        <v>62.693351301149093</v>
      </c>
      <c r="S1598" s="1144">
        <f>IFERROR(VLOOKUP(CONCATENATE($E1598,$G1598),'LAC 103'!$A$12:$O$95,12,FALSE),0)</f>
        <v>0</v>
      </c>
      <c r="T1598" s="1144">
        <f>IFERROR(VLOOKUP(CONCATENATE($E1598,$G1598),'LAC 103'!$A$12:$O$95,13,FALSE),0)</f>
        <v>0</v>
      </c>
      <c r="U1598" s="1144">
        <f>IFERROR(VLOOKUP(CONCATENATE($E1598,$G1598),'LAC 103'!$A$12:$O$95,14,FALSE),0)</f>
        <v>0</v>
      </c>
      <c r="V1598" s="1144">
        <f>IFERROR(VLOOKUP(CONCATENATE($E1598,$G1598),'LAC 103'!$A$12:$O$95,15,FALSE),0)</f>
        <v>0</v>
      </c>
      <c r="W1598" s="1145" t="str">
        <f>IFERROR(VLOOKUP(CONCATENATE($B1598,$N1598),'LAC 103'!$AI:$AQ,9,FALSE),"")</f>
        <v>Costs</v>
      </c>
      <c r="X1598" s="1146">
        <f t="shared" si="438"/>
        <v>62.693351301149093</v>
      </c>
      <c r="Y1598" s="1143">
        <f t="shared" si="448"/>
        <v>60522.071567752471</v>
      </c>
      <c r="Z1598" s="1147">
        <f t="shared" si="439"/>
        <v>60522.071567752471</v>
      </c>
      <c r="AA1598" s="1144">
        <f t="shared" si="440"/>
        <v>60522.071567752471</v>
      </c>
      <c r="AB1598" s="1144">
        <f t="shared" si="441"/>
        <v>0</v>
      </c>
      <c r="AC1598" s="1144">
        <f t="shared" si="442"/>
        <v>0</v>
      </c>
      <c r="AD1598" s="1148">
        <f t="shared" si="434"/>
        <v>60522.071567752471</v>
      </c>
      <c r="AE1598" s="1487">
        <v>0</v>
      </c>
      <c r="AF1598" s="1145">
        <f t="shared" si="443"/>
        <v>60522.071567752471</v>
      </c>
      <c r="AG1598" s="1149">
        <f>IFERROR(VLOOKUP(CONCATENATE($L1598,$N1598),'Drop List'!$G$23:$K$87,2,FALSE),0)</f>
        <v>0</v>
      </c>
      <c r="AH1598" s="1150">
        <f>IFERROR(VLOOKUP(CONCATENATE($L1598,$N1598),'Drop List'!$G$23:$K$87,3,FALSE),0)</f>
        <v>0</v>
      </c>
      <c r="AI1598" s="1150">
        <f>IFERROR(VLOOKUP(CONCATENATE($L1598,$N1598),'Drop List'!$G$23:$K$87,4,FALSE),0)</f>
        <v>0</v>
      </c>
      <c r="AJ1598" s="1151">
        <f>IFERROR(VLOOKUP(CONCATENATE($L1598,$N1598),'Drop List'!$G$23:$K$87,5,FALSE),0)</f>
        <v>0</v>
      </c>
      <c r="AK1598" s="1152">
        <f t="shared" si="444"/>
        <v>0</v>
      </c>
      <c r="AL1598" s="1153">
        <f t="shared" si="445"/>
        <v>0</v>
      </c>
      <c r="AM1598" s="1153">
        <f t="shared" si="446"/>
        <v>0</v>
      </c>
      <c r="AN1598" s="1145">
        <f t="shared" si="447"/>
        <v>0</v>
      </c>
      <c r="AO1598" s="1154">
        <f t="shared" si="450"/>
        <v>0</v>
      </c>
      <c r="AP1598" s="1147">
        <f t="shared" si="435"/>
        <v>60522.071567752471</v>
      </c>
      <c r="AQ1598" s="1144">
        <f t="shared" si="436"/>
        <v>0</v>
      </c>
      <c r="AR1598" s="1146">
        <f t="shared" si="437"/>
        <v>60522.071567752471</v>
      </c>
    </row>
    <row r="1599" spans="1:44" x14ac:dyDescent="0.2">
      <c r="A1599" s="1141" t="str">
        <f t="shared" si="449"/>
        <v>4520</v>
      </c>
      <c r="B1599" s="1141" t="str">
        <f>IFERROR(VLOOKUP(A1599,'LAC 103'!A:C,3,FALSE),"")</f>
        <v>COS</v>
      </c>
      <c r="C1599" s="1478" t="str">
        <f>Info!$B$8</f>
        <v>00100</v>
      </c>
      <c r="D1599" s="1474" t="s">
        <v>256</v>
      </c>
      <c r="E1599" s="1474" t="s">
        <v>104</v>
      </c>
      <c r="F1599" s="1478" t="s">
        <v>344</v>
      </c>
      <c r="G1599" s="1478" t="s">
        <v>344</v>
      </c>
      <c r="H1599" s="1474" t="s">
        <v>1664</v>
      </c>
      <c r="I1599" s="1478" t="s">
        <v>927</v>
      </c>
      <c r="J1599" s="1478" t="s">
        <v>123</v>
      </c>
      <c r="K1599" s="1475" t="s">
        <v>846</v>
      </c>
      <c r="L1599" s="1474" t="s">
        <v>332</v>
      </c>
      <c r="M1599" s="1476" t="s">
        <v>1699</v>
      </c>
      <c r="N1599" s="1477" t="s">
        <v>1694</v>
      </c>
      <c r="O1599" s="1479">
        <v>319.41666666666663</v>
      </c>
      <c r="P1599" s="1479"/>
      <c r="Q1599" s="1142">
        <f t="shared" si="451"/>
        <v>319.41666666666663</v>
      </c>
      <c r="R1599" s="1143">
        <f>IFERROR(VLOOKUP(CONCATENATE($E1599,$G1599),'LAC 103'!$A$12:$O$95,11,FALSE),0)</f>
        <v>62.693351301149093</v>
      </c>
      <c r="S1599" s="1144">
        <f>IFERROR(VLOOKUP(CONCATENATE($E1599,$G1599),'LAC 103'!$A$12:$O$95,12,FALSE),0)</f>
        <v>0</v>
      </c>
      <c r="T1599" s="1144">
        <f>IFERROR(VLOOKUP(CONCATENATE($E1599,$G1599),'LAC 103'!$A$12:$O$95,13,FALSE),0)</f>
        <v>0</v>
      </c>
      <c r="U1599" s="1144">
        <f>IFERROR(VLOOKUP(CONCATENATE($E1599,$G1599),'LAC 103'!$A$12:$O$95,14,FALSE),0)</f>
        <v>0</v>
      </c>
      <c r="V1599" s="1144">
        <f>IFERROR(VLOOKUP(CONCATENATE($E1599,$G1599),'LAC 103'!$A$12:$O$95,15,FALSE),0)</f>
        <v>0</v>
      </c>
      <c r="W1599" s="1145" t="str">
        <f>IFERROR(VLOOKUP(CONCATENATE($B1599,$N1599),'LAC 103'!$AI:$AQ,9,FALSE),"")</f>
        <v>Costs</v>
      </c>
      <c r="X1599" s="1146">
        <f t="shared" si="438"/>
        <v>62.693351301149093</v>
      </c>
      <c r="Y1599" s="1143">
        <f t="shared" si="448"/>
        <v>20025.30129477537</v>
      </c>
      <c r="Z1599" s="1147">
        <f t="shared" si="439"/>
        <v>20025.30129477537</v>
      </c>
      <c r="AA1599" s="1144">
        <f t="shared" si="440"/>
        <v>20025.30129477537</v>
      </c>
      <c r="AB1599" s="1144">
        <f t="shared" si="441"/>
        <v>0</v>
      </c>
      <c r="AC1599" s="1144">
        <f t="shared" si="442"/>
        <v>0</v>
      </c>
      <c r="AD1599" s="1148">
        <f t="shared" si="434"/>
        <v>20025.30129477537</v>
      </c>
      <c r="AE1599" s="1487">
        <v>0</v>
      </c>
      <c r="AF1599" s="1145">
        <f t="shared" si="443"/>
        <v>20025.30129477537</v>
      </c>
      <c r="AG1599" s="1149">
        <f>IFERROR(VLOOKUP(CONCATENATE($L1599,$N1599),'Drop List'!$G$23:$K$87,2,FALSE),0)</f>
        <v>0</v>
      </c>
      <c r="AH1599" s="1150">
        <f>IFERROR(VLOOKUP(CONCATENATE($L1599,$N1599),'Drop List'!$G$23:$K$87,3,FALSE),0)</f>
        <v>0</v>
      </c>
      <c r="AI1599" s="1150">
        <f>IFERROR(VLOOKUP(CONCATENATE($L1599,$N1599),'Drop List'!$G$23:$K$87,4,FALSE),0)</f>
        <v>0</v>
      </c>
      <c r="AJ1599" s="1151">
        <f>IFERROR(VLOOKUP(CONCATENATE($L1599,$N1599),'Drop List'!$G$23:$K$87,5,FALSE),0)</f>
        <v>0</v>
      </c>
      <c r="AK1599" s="1152">
        <f t="shared" si="444"/>
        <v>0</v>
      </c>
      <c r="AL1599" s="1153">
        <f t="shared" si="445"/>
        <v>0</v>
      </c>
      <c r="AM1599" s="1153">
        <f t="shared" si="446"/>
        <v>0</v>
      </c>
      <c r="AN1599" s="1145">
        <f t="shared" si="447"/>
        <v>0</v>
      </c>
      <c r="AO1599" s="1154">
        <f t="shared" si="450"/>
        <v>0</v>
      </c>
      <c r="AP1599" s="1147">
        <f t="shared" si="435"/>
        <v>20025.30129477537</v>
      </c>
      <c r="AQ1599" s="1144">
        <f t="shared" si="436"/>
        <v>0</v>
      </c>
      <c r="AR1599" s="1146">
        <f t="shared" si="437"/>
        <v>20025.30129477537</v>
      </c>
    </row>
    <row r="1600" spans="1:44" x14ac:dyDescent="0.2">
      <c r="A1600" s="1141" t="str">
        <f t="shared" si="449"/>
        <v>4520</v>
      </c>
      <c r="B1600" s="1141" t="str">
        <f>IFERROR(VLOOKUP(A1600,'LAC 103'!A:C,3,FALSE),"")</f>
        <v>COS</v>
      </c>
      <c r="C1600" s="1478" t="str">
        <f>Info!$B$8</f>
        <v>00100</v>
      </c>
      <c r="D1600" s="1474" t="s">
        <v>256</v>
      </c>
      <c r="E1600" s="1474" t="s">
        <v>104</v>
      </c>
      <c r="F1600" s="1478" t="s">
        <v>344</v>
      </c>
      <c r="G1600" s="1478" t="s">
        <v>344</v>
      </c>
      <c r="H1600" s="1474" t="s">
        <v>1664</v>
      </c>
      <c r="I1600" s="1478" t="s">
        <v>927</v>
      </c>
      <c r="J1600" s="1478"/>
      <c r="K1600" s="1475" t="s">
        <v>846</v>
      </c>
      <c r="L1600" s="1474" t="s">
        <v>332</v>
      </c>
      <c r="M1600" s="1476" t="s">
        <v>841</v>
      </c>
      <c r="N1600" s="1477" t="s">
        <v>1695</v>
      </c>
      <c r="O1600" s="1479">
        <v>63.349999999999994</v>
      </c>
      <c r="P1600" s="1479"/>
      <c r="Q1600" s="1142">
        <f t="shared" si="451"/>
        <v>63.349999999999994</v>
      </c>
      <c r="R1600" s="1143">
        <f>IFERROR(VLOOKUP(CONCATENATE($E1600,$G1600),'LAC 103'!$A$12:$O$95,11,FALSE),0)</f>
        <v>62.693351301149093</v>
      </c>
      <c r="S1600" s="1144">
        <f>IFERROR(VLOOKUP(CONCATENATE($E1600,$G1600),'LAC 103'!$A$12:$O$95,12,FALSE),0)</f>
        <v>0</v>
      </c>
      <c r="T1600" s="1144">
        <f>IFERROR(VLOOKUP(CONCATENATE($E1600,$G1600),'LAC 103'!$A$12:$O$95,13,FALSE),0)</f>
        <v>0</v>
      </c>
      <c r="U1600" s="1144">
        <f>IFERROR(VLOOKUP(CONCATENATE($E1600,$G1600),'LAC 103'!$A$12:$O$95,14,FALSE),0)</f>
        <v>0</v>
      </c>
      <c r="V1600" s="1144">
        <f>IFERROR(VLOOKUP(CONCATENATE($E1600,$G1600),'LAC 103'!$A$12:$O$95,15,FALSE),0)</f>
        <v>0</v>
      </c>
      <c r="W1600" s="1145" t="str">
        <f>IFERROR(VLOOKUP(CONCATENATE($B1600,$N1600),'LAC 103'!$AI:$AQ,9,FALSE),"")</f>
        <v>Costs</v>
      </c>
      <c r="X1600" s="1146">
        <f t="shared" si="438"/>
        <v>62.693351301149093</v>
      </c>
      <c r="Y1600" s="1143">
        <f t="shared" si="448"/>
        <v>3971.6238049277945</v>
      </c>
      <c r="Z1600" s="1147">
        <f t="shared" si="439"/>
        <v>3971.6238049277945</v>
      </c>
      <c r="AA1600" s="1144">
        <f t="shared" si="440"/>
        <v>3971.6238049277945</v>
      </c>
      <c r="AB1600" s="1144">
        <f t="shared" si="441"/>
        <v>0</v>
      </c>
      <c r="AC1600" s="1144">
        <f t="shared" si="442"/>
        <v>0</v>
      </c>
      <c r="AD1600" s="1148">
        <f t="shared" si="434"/>
        <v>3971.6238049277945</v>
      </c>
      <c r="AE1600" s="1487">
        <v>0</v>
      </c>
      <c r="AF1600" s="1145">
        <f t="shared" si="443"/>
        <v>3971.6238049277945</v>
      </c>
      <c r="AG1600" s="1149">
        <f>IFERROR(VLOOKUP(CONCATENATE($L1600,$N1600),'Drop List'!$G$23:$K$87,2,FALSE),0)</f>
        <v>0</v>
      </c>
      <c r="AH1600" s="1150">
        <f>IFERROR(VLOOKUP(CONCATENATE($L1600,$N1600),'Drop List'!$G$23:$K$87,3,FALSE),0)</f>
        <v>0</v>
      </c>
      <c r="AI1600" s="1150">
        <f>IFERROR(VLOOKUP(CONCATENATE($L1600,$N1600),'Drop List'!$G$23:$K$87,4,FALSE),0)</f>
        <v>0</v>
      </c>
      <c r="AJ1600" s="1151">
        <f>IFERROR(VLOOKUP(CONCATENATE($L1600,$N1600),'Drop List'!$G$23:$K$87,5,FALSE),0)</f>
        <v>0</v>
      </c>
      <c r="AK1600" s="1152">
        <f t="shared" si="444"/>
        <v>0</v>
      </c>
      <c r="AL1600" s="1153">
        <f t="shared" si="445"/>
        <v>0</v>
      </c>
      <c r="AM1600" s="1153">
        <f t="shared" si="446"/>
        <v>0</v>
      </c>
      <c r="AN1600" s="1145">
        <f t="shared" si="447"/>
        <v>0</v>
      </c>
      <c r="AO1600" s="1154">
        <f t="shared" si="450"/>
        <v>0</v>
      </c>
      <c r="AP1600" s="1147">
        <f t="shared" si="435"/>
        <v>3971.6238049277945</v>
      </c>
      <c r="AQ1600" s="1144">
        <f t="shared" si="436"/>
        <v>0</v>
      </c>
      <c r="AR1600" s="1146">
        <f t="shared" si="437"/>
        <v>3971.6238049277945</v>
      </c>
    </row>
    <row r="1601" spans="1:44" x14ac:dyDescent="0.2">
      <c r="A1601" s="1141" t="str">
        <f t="shared" si="449"/>
        <v>4520</v>
      </c>
      <c r="B1601" s="1141" t="str">
        <f>IFERROR(VLOOKUP(A1601,'LAC 103'!A:C,3,FALSE),"")</f>
        <v>COS</v>
      </c>
      <c r="C1601" s="1478" t="str">
        <f>Info!$B$8</f>
        <v>00100</v>
      </c>
      <c r="D1601" s="1474" t="s">
        <v>256</v>
      </c>
      <c r="E1601" s="1474" t="s">
        <v>104</v>
      </c>
      <c r="F1601" s="1478" t="s">
        <v>344</v>
      </c>
      <c r="G1601" s="1478" t="s">
        <v>344</v>
      </c>
      <c r="H1601" s="1474" t="s">
        <v>1664</v>
      </c>
      <c r="I1601" s="1478" t="s">
        <v>927</v>
      </c>
      <c r="J1601" s="1478"/>
      <c r="K1601" s="1475" t="s">
        <v>846</v>
      </c>
      <c r="L1601" s="1474" t="s">
        <v>332</v>
      </c>
      <c r="M1601" s="1476" t="s">
        <v>840</v>
      </c>
      <c r="N1601" s="1477" t="s">
        <v>1700</v>
      </c>
      <c r="O1601" s="1479">
        <v>17.583333333333332</v>
      </c>
      <c r="P1601" s="1479"/>
      <c r="Q1601" s="1142">
        <f t="shared" si="451"/>
        <v>17.583333333333332</v>
      </c>
      <c r="R1601" s="1143">
        <f>IFERROR(VLOOKUP(CONCATENATE($E1601,$G1601),'LAC 103'!$A$12:$O$95,11,FALSE),0)</f>
        <v>62.693351301149093</v>
      </c>
      <c r="S1601" s="1144">
        <f>IFERROR(VLOOKUP(CONCATENATE($E1601,$G1601),'LAC 103'!$A$12:$O$95,12,FALSE),0)</f>
        <v>0</v>
      </c>
      <c r="T1601" s="1144">
        <f>IFERROR(VLOOKUP(CONCATENATE($E1601,$G1601),'LAC 103'!$A$12:$O$95,13,FALSE),0)</f>
        <v>0</v>
      </c>
      <c r="U1601" s="1144">
        <f>IFERROR(VLOOKUP(CONCATENATE($E1601,$G1601),'LAC 103'!$A$12:$O$95,14,FALSE),0)</f>
        <v>0</v>
      </c>
      <c r="V1601" s="1144">
        <f>IFERROR(VLOOKUP(CONCATENATE($E1601,$G1601),'LAC 103'!$A$12:$O$95,15,FALSE),0)</f>
        <v>0</v>
      </c>
      <c r="W1601" s="1145" t="str">
        <f>IFERROR(VLOOKUP(CONCATENATE($B1601,$N1601),'LAC 103'!$AI:$AQ,9,FALSE),"")</f>
        <v>Costs</v>
      </c>
      <c r="X1601" s="1146">
        <f t="shared" si="438"/>
        <v>62.693351301149093</v>
      </c>
      <c r="Y1601" s="1143">
        <f t="shared" si="448"/>
        <v>1102.3580937118716</v>
      </c>
      <c r="Z1601" s="1147">
        <f t="shared" si="439"/>
        <v>1102.3580937118716</v>
      </c>
      <c r="AA1601" s="1144">
        <f t="shared" si="440"/>
        <v>1102.3580937118716</v>
      </c>
      <c r="AB1601" s="1144">
        <f t="shared" si="441"/>
        <v>0</v>
      </c>
      <c r="AC1601" s="1144">
        <f t="shared" si="442"/>
        <v>0</v>
      </c>
      <c r="AD1601" s="1148">
        <f t="shared" si="434"/>
        <v>1102.3580937118716</v>
      </c>
      <c r="AE1601" s="1487">
        <v>0</v>
      </c>
      <c r="AF1601" s="1145">
        <f t="shared" si="443"/>
        <v>1102.3580937118716</v>
      </c>
      <c r="AG1601" s="1149">
        <f>IFERROR(VLOOKUP(CONCATENATE($L1601,$N1601),'Drop List'!$G$23:$K$87,2,FALSE),0)</f>
        <v>0</v>
      </c>
      <c r="AH1601" s="1150">
        <f>IFERROR(VLOOKUP(CONCATENATE($L1601,$N1601),'Drop List'!$G$23:$K$87,3,FALSE),0)</f>
        <v>0</v>
      </c>
      <c r="AI1601" s="1150">
        <f>IFERROR(VLOOKUP(CONCATENATE($L1601,$N1601),'Drop List'!$G$23:$K$87,4,FALSE),0)</f>
        <v>0</v>
      </c>
      <c r="AJ1601" s="1151">
        <f>IFERROR(VLOOKUP(CONCATENATE($L1601,$N1601),'Drop List'!$G$23:$K$87,5,FALSE),0)</f>
        <v>0</v>
      </c>
      <c r="AK1601" s="1152">
        <f t="shared" si="444"/>
        <v>0</v>
      </c>
      <c r="AL1601" s="1153">
        <f t="shared" si="445"/>
        <v>0</v>
      </c>
      <c r="AM1601" s="1153">
        <f t="shared" si="446"/>
        <v>0</v>
      </c>
      <c r="AN1601" s="1145">
        <f t="shared" si="447"/>
        <v>0</v>
      </c>
      <c r="AO1601" s="1154">
        <f t="shared" si="450"/>
        <v>0</v>
      </c>
      <c r="AP1601" s="1147">
        <f t="shared" si="435"/>
        <v>1102.3580937118716</v>
      </c>
      <c r="AQ1601" s="1144">
        <f t="shared" si="436"/>
        <v>0</v>
      </c>
      <c r="AR1601" s="1146">
        <f t="shared" si="437"/>
        <v>1102.3580937118716</v>
      </c>
    </row>
    <row r="1602" spans="1:44" x14ac:dyDescent="0.2">
      <c r="A1602" s="1141" t="str">
        <f t="shared" si="449"/>
        <v>4520</v>
      </c>
      <c r="B1602" s="1141" t="str">
        <f>IFERROR(VLOOKUP(A1602,'LAC 103'!A:C,3,FALSE),"")</f>
        <v>COS</v>
      </c>
      <c r="C1602" s="1478" t="str">
        <f>Info!$B$8</f>
        <v>00100</v>
      </c>
      <c r="D1602" s="1474" t="s">
        <v>256</v>
      </c>
      <c r="E1602" s="1474" t="s">
        <v>104</v>
      </c>
      <c r="F1602" s="1478" t="s">
        <v>344</v>
      </c>
      <c r="G1602" s="1478" t="s">
        <v>344</v>
      </c>
      <c r="H1602" s="1474" t="s">
        <v>1664</v>
      </c>
      <c r="I1602" s="1478" t="s">
        <v>927</v>
      </c>
      <c r="J1602" s="1478"/>
      <c r="K1602" s="1475" t="s">
        <v>846</v>
      </c>
      <c r="L1602" s="1474" t="s">
        <v>332</v>
      </c>
      <c r="M1602" s="1476" t="s">
        <v>842</v>
      </c>
      <c r="N1602" s="1477" t="s">
        <v>1692</v>
      </c>
      <c r="O1602" s="1479">
        <v>556.80000000000007</v>
      </c>
      <c r="P1602" s="1479"/>
      <c r="Q1602" s="1142">
        <f t="shared" si="451"/>
        <v>556.80000000000007</v>
      </c>
      <c r="R1602" s="1143">
        <f>IFERROR(VLOOKUP(CONCATENATE($E1602,$G1602),'LAC 103'!$A$12:$O$95,11,FALSE),0)</f>
        <v>62.693351301149093</v>
      </c>
      <c r="S1602" s="1144">
        <f>IFERROR(VLOOKUP(CONCATENATE($E1602,$G1602),'LAC 103'!$A$12:$O$95,12,FALSE),0)</f>
        <v>0</v>
      </c>
      <c r="T1602" s="1144">
        <f>IFERROR(VLOOKUP(CONCATENATE($E1602,$G1602),'LAC 103'!$A$12:$O$95,13,FALSE),0)</f>
        <v>0</v>
      </c>
      <c r="U1602" s="1144">
        <f>IFERROR(VLOOKUP(CONCATENATE($E1602,$G1602),'LAC 103'!$A$12:$O$95,14,FALSE),0)</f>
        <v>0</v>
      </c>
      <c r="V1602" s="1144">
        <f>IFERROR(VLOOKUP(CONCATENATE($E1602,$G1602),'LAC 103'!$A$12:$O$95,15,FALSE),0)</f>
        <v>0</v>
      </c>
      <c r="W1602" s="1145" t="str">
        <f>IFERROR(VLOOKUP(CONCATENATE($B1602,$N1602),'LAC 103'!$AI:$AQ,9,FALSE),"")</f>
        <v>Costs</v>
      </c>
      <c r="X1602" s="1146">
        <f t="shared" si="438"/>
        <v>62.693351301149093</v>
      </c>
      <c r="Y1602" s="1143">
        <f t="shared" si="448"/>
        <v>34907.658004479817</v>
      </c>
      <c r="Z1602" s="1147">
        <f t="shared" si="439"/>
        <v>34907.658004479817</v>
      </c>
      <c r="AA1602" s="1144">
        <f t="shared" si="440"/>
        <v>34907.658004479817</v>
      </c>
      <c r="AB1602" s="1144">
        <f t="shared" si="441"/>
        <v>0</v>
      </c>
      <c r="AC1602" s="1144">
        <f t="shared" si="442"/>
        <v>0</v>
      </c>
      <c r="AD1602" s="1148">
        <f t="shared" si="434"/>
        <v>34907.658004479817</v>
      </c>
      <c r="AE1602" s="1487">
        <v>0</v>
      </c>
      <c r="AF1602" s="1145">
        <f t="shared" si="443"/>
        <v>34907.658004479817</v>
      </c>
      <c r="AG1602" s="1149">
        <f>IFERROR(VLOOKUP(CONCATENATE($L1602,$N1602),'Drop List'!$G$23:$K$87,2,FALSE),0)</f>
        <v>0</v>
      </c>
      <c r="AH1602" s="1150">
        <f>IFERROR(VLOOKUP(CONCATENATE($L1602,$N1602),'Drop List'!$G$23:$K$87,3,FALSE),0)</f>
        <v>0</v>
      </c>
      <c r="AI1602" s="1150">
        <f>IFERROR(VLOOKUP(CONCATENATE($L1602,$N1602),'Drop List'!$G$23:$K$87,4,FALSE),0)</f>
        <v>0</v>
      </c>
      <c r="AJ1602" s="1151">
        <f>IFERROR(VLOOKUP(CONCATENATE($L1602,$N1602),'Drop List'!$G$23:$K$87,5,FALSE),0)</f>
        <v>0</v>
      </c>
      <c r="AK1602" s="1152">
        <f t="shared" si="444"/>
        <v>0</v>
      </c>
      <c r="AL1602" s="1153">
        <f t="shared" si="445"/>
        <v>0</v>
      </c>
      <c r="AM1602" s="1153">
        <f t="shared" si="446"/>
        <v>0</v>
      </c>
      <c r="AN1602" s="1145">
        <f t="shared" si="447"/>
        <v>0</v>
      </c>
      <c r="AO1602" s="1154">
        <f t="shared" si="450"/>
        <v>0</v>
      </c>
      <c r="AP1602" s="1147">
        <f t="shared" si="435"/>
        <v>34907.658004479817</v>
      </c>
      <c r="AQ1602" s="1144">
        <f t="shared" si="436"/>
        <v>0</v>
      </c>
      <c r="AR1602" s="1146">
        <f t="shared" si="437"/>
        <v>34907.658004479817</v>
      </c>
    </row>
    <row r="1603" spans="1:44" x14ac:dyDescent="0.2">
      <c r="A1603" s="1141" t="str">
        <f t="shared" si="449"/>
        <v>4520</v>
      </c>
      <c r="B1603" s="1141" t="str">
        <f>IFERROR(VLOOKUP(A1603,'LAC 103'!A:C,3,FALSE),"")</f>
        <v>COS</v>
      </c>
      <c r="C1603" s="1478" t="str">
        <f>Info!$B$8</f>
        <v>00100</v>
      </c>
      <c r="D1603" s="1474" t="s">
        <v>256</v>
      </c>
      <c r="E1603" s="1474" t="s">
        <v>104</v>
      </c>
      <c r="F1603" s="1478" t="s">
        <v>344</v>
      </c>
      <c r="G1603" s="1478" t="s">
        <v>344</v>
      </c>
      <c r="H1603" s="1474" t="s">
        <v>1664</v>
      </c>
      <c r="I1603" s="1478" t="s">
        <v>927</v>
      </c>
      <c r="J1603" s="1478"/>
      <c r="K1603" s="1475" t="s">
        <v>846</v>
      </c>
      <c r="L1603" s="1474" t="s">
        <v>332</v>
      </c>
      <c r="M1603" s="1476" t="s">
        <v>1698</v>
      </c>
      <c r="N1603" s="1477" t="s">
        <v>1693</v>
      </c>
      <c r="O1603" s="1479">
        <v>330.01666666666671</v>
      </c>
      <c r="P1603" s="1479"/>
      <c r="Q1603" s="1142">
        <f t="shared" si="451"/>
        <v>330.01666666666671</v>
      </c>
      <c r="R1603" s="1143">
        <f>IFERROR(VLOOKUP(CONCATENATE($E1603,$G1603),'LAC 103'!$A$12:$O$95,11,FALSE),0)</f>
        <v>62.693351301149093</v>
      </c>
      <c r="S1603" s="1144">
        <f>IFERROR(VLOOKUP(CONCATENATE($E1603,$G1603),'LAC 103'!$A$12:$O$95,12,FALSE),0)</f>
        <v>0</v>
      </c>
      <c r="T1603" s="1144">
        <f>IFERROR(VLOOKUP(CONCATENATE($E1603,$G1603),'LAC 103'!$A$12:$O$95,13,FALSE),0)</f>
        <v>0</v>
      </c>
      <c r="U1603" s="1144">
        <f>IFERROR(VLOOKUP(CONCATENATE($E1603,$G1603),'LAC 103'!$A$12:$O$95,14,FALSE),0)</f>
        <v>0</v>
      </c>
      <c r="V1603" s="1144">
        <f>IFERROR(VLOOKUP(CONCATENATE($E1603,$G1603),'LAC 103'!$A$12:$O$95,15,FALSE),0)</f>
        <v>0</v>
      </c>
      <c r="W1603" s="1145" t="str">
        <f>IFERROR(VLOOKUP(CONCATENATE($B1603,$N1603),'LAC 103'!$AI:$AQ,9,FALSE),"")</f>
        <v>Costs</v>
      </c>
      <c r="X1603" s="1146">
        <f t="shared" si="438"/>
        <v>62.693351301149093</v>
      </c>
      <c r="Y1603" s="1143">
        <f t="shared" si="448"/>
        <v>20689.850818567556</v>
      </c>
      <c r="Z1603" s="1147">
        <f t="shared" si="439"/>
        <v>20689.850818567556</v>
      </c>
      <c r="AA1603" s="1144">
        <f t="shared" si="440"/>
        <v>20689.850818567556</v>
      </c>
      <c r="AB1603" s="1144">
        <f t="shared" si="441"/>
        <v>0</v>
      </c>
      <c r="AC1603" s="1144">
        <f t="shared" si="442"/>
        <v>0</v>
      </c>
      <c r="AD1603" s="1148">
        <f t="shared" si="434"/>
        <v>20689.850818567556</v>
      </c>
      <c r="AE1603" s="1487">
        <v>0</v>
      </c>
      <c r="AF1603" s="1145">
        <f t="shared" si="443"/>
        <v>20689.850818567556</v>
      </c>
      <c r="AG1603" s="1149">
        <f>IFERROR(VLOOKUP(CONCATENATE($L1603,$N1603),'Drop List'!$G$23:$K$87,2,FALSE),0)</f>
        <v>0</v>
      </c>
      <c r="AH1603" s="1150">
        <f>IFERROR(VLOOKUP(CONCATENATE($L1603,$N1603),'Drop List'!$G$23:$K$87,3,FALSE),0)</f>
        <v>0</v>
      </c>
      <c r="AI1603" s="1150">
        <f>IFERROR(VLOOKUP(CONCATENATE($L1603,$N1603),'Drop List'!$G$23:$K$87,4,FALSE),0)</f>
        <v>0</v>
      </c>
      <c r="AJ1603" s="1151">
        <f>IFERROR(VLOOKUP(CONCATENATE($L1603,$N1603),'Drop List'!$G$23:$K$87,5,FALSE),0)</f>
        <v>0</v>
      </c>
      <c r="AK1603" s="1152">
        <f t="shared" si="444"/>
        <v>0</v>
      </c>
      <c r="AL1603" s="1153">
        <f t="shared" si="445"/>
        <v>0</v>
      </c>
      <c r="AM1603" s="1153">
        <f t="shared" si="446"/>
        <v>0</v>
      </c>
      <c r="AN1603" s="1145">
        <f t="shared" si="447"/>
        <v>0</v>
      </c>
      <c r="AO1603" s="1154">
        <f t="shared" si="450"/>
        <v>0</v>
      </c>
      <c r="AP1603" s="1147">
        <f t="shared" si="435"/>
        <v>20689.850818567556</v>
      </c>
      <c r="AQ1603" s="1144">
        <f t="shared" si="436"/>
        <v>0</v>
      </c>
      <c r="AR1603" s="1146">
        <f t="shared" si="437"/>
        <v>20689.850818567556</v>
      </c>
    </row>
    <row r="1604" spans="1:44" x14ac:dyDescent="0.2">
      <c r="A1604" s="1141" t="str">
        <f t="shared" si="449"/>
        <v>4520</v>
      </c>
      <c r="B1604" s="1141" t="str">
        <f>IFERROR(VLOOKUP(A1604,'LAC 103'!A:C,3,FALSE),"")</f>
        <v>COS</v>
      </c>
      <c r="C1604" s="1478" t="str">
        <f>Info!$B$8</f>
        <v>00100</v>
      </c>
      <c r="D1604" s="1474" t="s">
        <v>256</v>
      </c>
      <c r="E1604" s="1474" t="s">
        <v>104</v>
      </c>
      <c r="F1604" s="1478" t="s">
        <v>344</v>
      </c>
      <c r="G1604" s="1478" t="s">
        <v>344</v>
      </c>
      <c r="H1604" s="1474" t="s">
        <v>1666</v>
      </c>
      <c r="I1604" s="1478" t="s">
        <v>803</v>
      </c>
      <c r="J1604" s="1478" t="s">
        <v>123</v>
      </c>
      <c r="K1604" s="1475" t="s">
        <v>846</v>
      </c>
      <c r="L1604" s="1474" t="s">
        <v>332</v>
      </c>
      <c r="M1604" s="1476" t="s">
        <v>1699</v>
      </c>
      <c r="N1604" s="1477" t="s">
        <v>1694</v>
      </c>
      <c r="O1604" s="1479">
        <v>198.96666666666661</v>
      </c>
      <c r="P1604" s="1479"/>
      <c r="Q1604" s="1142">
        <f t="shared" si="451"/>
        <v>198.96666666666661</v>
      </c>
      <c r="R1604" s="1143">
        <f>IFERROR(VLOOKUP(CONCATENATE($E1604,$G1604),'LAC 103'!$A$12:$O$95,11,FALSE),0)</f>
        <v>62.693351301149093</v>
      </c>
      <c r="S1604" s="1144">
        <f>IFERROR(VLOOKUP(CONCATENATE($E1604,$G1604),'LAC 103'!$A$12:$O$95,12,FALSE),0)</f>
        <v>0</v>
      </c>
      <c r="T1604" s="1144">
        <f>IFERROR(VLOOKUP(CONCATENATE($E1604,$G1604),'LAC 103'!$A$12:$O$95,13,FALSE),0)</f>
        <v>0</v>
      </c>
      <c r="U1604" s="1144">
        <f>IFERROR(VLOOKUP(CONCATENATE($E1604,$G1604),'LAC 103'!$A$12:$O$95,14,FALSE),0)</f>
        <v>0</v>
      </c>
      <c r="V1604" s="1144">
        <f>IFERROR(VLOOKUP(CONCATENATE($E1604,$G1604),'LAC 103'!$A$12:$O$95,15,FALSE),0)</f>
        <v>0</v>
      </c>
      <c r="W1604" s="1145" t="str">
        <f>IFERROR(VLOOKUP(CONCATENATE($B1604,$N1604),'LAC 103'!$AI:$AQ,9,FALSE),"")</f>
        <v>Costs</v>
      </c>
      <c r="X1604" s="1146">
        <f t="shared" si="438"/>
        <v>62.693351301149093</v>
      </c>
      <c r="Y1604" s="1143">
        <f t="shared" si="448"/>
        <v>12473.887130551961</v>
      </c>
      <c r="Z1604" s="1147">
        <f t="shared" si="439"/>
        <v>12473.887130551961</v>
      </c>
      <c r="AA1604" s="1144">
        <f t="shared" si="440"/>
        <v>12473.887130551961</v>
      </c>
      <c r="AB1604" s="1144">
        <f t="shared" si="441"/>
        <v>0</v>
      </c>
      <c r="AC1604" s="1144">
        <f t="shared" si="442"/>
        <v>0</v>
      </c>
      <c r="AD1604" s="1148">
        <f t="shared" si="434"/>
        <v>12473.887130551961</v>
      </c>
      <c r="AE1604" s="1487">
        <v>0</v>
      </c>
      <c r="AF1604" s="1145">
        <f t="shared" si="443"/>
        <v>12473.887130551961</v>
      </c>
      <c r="AG1604" s="1149">
        <f>IFERROR(VLOOKUP(CONCATENATE($L1604,$N1604),'Drop List'!$G$23:$K$87,2,FALSE),0)</f>
        <v>0</v>
      </c>
      <c r="AH1604" s="1150">
        <f>IFERROR(VLOOKUP(CONCATENATE($L1604,$N1604),'Drop List'!$G$23:$K$87,3,FALSE),0)</f>
        <v>0</v>
      </c>
      <c r="AI1604" s="1150">
        <f>IFERROR(VLOOKUP(CONCATENATE($L1604,$N1604),'Drop List'!$G$23:$K$87,4,FALSE),0)</f>
        <v>0</v>
      </c>
      <c r="AJ1604" s="1151">
        <f>IFERROR(VLOOKUP(CONCATENATE($L1604,$N1604),'Drop List'!$G$23:$K$87,5,FALSE),0)</f>
        <v>0</v>
      </c>
      <c r="AK1604" s="1152">
        <f t="shared" si="444"/>
        <v>0</v>
      </c>
      <c r="AL1604" s="1153">
        <f t="shared" si="445"/>
        <v>0</v>
      </c>
      <c r="AM1604" s="1153">
        <f t="shared" si="446"/>
        <v>0</v>
      </c>
      <c r="AN1604" s="1145">
        <f t="shared" si="447"/>
        <v>0</v>
      </c>
      <c r="AO1604" s="1154">
        <f t="shared" si="450"/>
        <v>0</v>
      </c>
      <c r="AP1604" s="1147">
        <f t="shared" si="435"/>
        <v>12473.887130551961</v>
      </c>
      <c r="AQ1604" s="1144">
        <f t="shared" si="436"/>
        <v>0</v>
      </c>
      <c r="AR1604" s="1146">
        <f t="shared" si="437"/>
        <v>12473.887130551961</v>
      </c>
    </row>
    <row r="1605" spans="1:44" x14ac:dyDescent="0.2">
      <c r="A1605" s="1141" t="str">
        <f t="shared" si="449"/>
        <v>4520</v>
      </c>
      <c r="B1605" s="1141" t="str">
        <f>IFERROR(VLOOKUP(A1605,'LAC 103'!A:C,3,FALSE),"")</f>
        <v>COS</v>
      </c>
      <c r="C1605" s="1478" t="str">
        <f>Info!$B$8</f>
        <v>00100</v>
      </c>
      <c r="D1605" s="1474" t="s">
        <v>256</v>
      </c>
      <c r="E1605" s="1474" t="s">
        <v>104</v>
      </c>
      <c r="F1605" s="1478" t="s">
        <v>344</v>
      </c>
      <c r="G1605" s="1478" t="s">
        <v>344</v>
      </c>
      <c r="H1605" s="1474" t="s">
        <v>1666</v>
      </c>
      <c r="I1605" s="1478" t="s">
        <v>803</v>
      </c>
      <c r="J1605" s="1478"/>
      <c r="K1605" s="1475" t="s">
        <v>846</v>
      </c>
      <c r="L1605" s="1474" t="s">
        <v>332</v>
      </c>
      <c r="M1605" s="1476" t="s">
        <v>841</v>
      </c>
      <c r="N1605" s="1477" t="s">
        <v>1695</v>
      </c>
      <c r="O1605" s="1479">
        <v>98.699999999999989</v>
      </c>
      <c r="P1605" s="1479"/>
      <c r="Q1605" s="1142">
        <f t="shared" si="451"/>
        <v>98.699999999999989</v>
      </c>
      <c r="R1605" s="1143">
        <f>IFERROR(VLOOKUP(CONCATENATE($E1605,$G1605),'LAC 103'!$A$12:$O$95,11,FALSE),0)</f>
        <v>62.693351301149093</v>
      </c>
      <c r="S1605" s="1144">
        <f>IFERROR(VLOOKUP(CONCATENATE($E1605,$G1605),'LAC 103'!$A$12:$O$95,12,FALSE),0)</f>
        <v>0</v>
      </c>
      <c r="T1605" s="1144">
        <f>IFERROR(VLOOKUP(CONCATENATE($E1605,$G1605),'LAC 103'!$A$12:$O$95,13,FALSE),0)</f>
        <v>0</v>
      </c>
      <c r="U1605" s="1144">
        <f>IFERROR(VLOOKUP(CONCATENATE($E1605,$G1605),'LAC 103'!$A$12:$O$95,14,FALSE),0)</f>
        <v>0</v>
      </c>
      <c r="V1605" s="1144">
        <f>IFERROR(VLOOKUP(CONCATENATE($E1605,$G1605),'LAC 103'!$A$12:$O$95,15,FALSE),0)</f>
        <v>0</v>
      </c>
      <c r="W1605" s="1145" t="str">
        <f>IFERROR(VLOOKUP(CONCATENATE($B1605,$N1605),'LAC 103'!$AI:$AQ,9,FALSE),"")</f>
        <v>Costs</v>
      </c>
      <c r="X1605" s="1146">
        <f t="shared" si="438"/>
        <v>62.693351301149093</v>
      </c>
      <c r="Y1605" s="1143">
        <f t="shared" si="448"/>
        <v>6187.8337734234146</v>
      </c>
      <c r="Z1605" s="1147">
        <f t="shared" si="439"/>
        <v>6187.8337734234146</v>
      </c>
      <c r="AA1605" s="1144">
        <f t="shared" si="440"/>
        <v>6187.8337734234146</v>
      </c>
      <c r="AB1605" s="1144">
        <f t="shared" si="441"/>
        <v>0</v>
      </c>
      <c r="AC1605" s="1144">
        <f t="shared" si="442"/>
        <v>0</v>
      </c>
      <c r="AD1605" s="1148">
        <f t="shared" si="434"/>
        <v>6187.8337734234146</v>
      </c>
      <c r="AE1605" s="1487">
        <v>0</v>
      </c>
      <c r="AF1605" s="1145">
        <f t="shared" si="443"/>
        <v>6187.8337734234146</v>
      </c>
      <c r="AG1605" s="1149">
        <f>IFERROR(VLOOKUP(CONCATENATE($L1605,$N1605),'Drop List'!$G$23:$K$87,2,FALSE),0)</f>
        <v>0</v>
      </c>
      <c r="AH1605" s="1150">
        <f>IFERROR(VLOOKUP(CONCATENATE($L1605,$N1605),'Drop List'!$G$23:$K$87,3,FALSE),0)</f>
        <v>0</v>
      </c>
      <c r="AI1605" s="1150">
        <f>IFERROR(VLOOKUP(CONCATENATE($L1605,$N1605),'Drop List'!$G$23:$K$87,4,FALSE),0)</f>
        <v>0</v>
      </c>
      <c r="AJ1605" s="1151">
        <f>IFERROR(VLOOKUP(CONCATENATE($L1605,$N1605),'Drop List'!$G$23:$K$87,5,FALSE),0)</f>
        <v>0</v>
      </c>
      <c r="AK1605" s="1152">
        <f t="shared" si="444"/>
        <v>0</v>
      </c>
      <c r="AL1605" s="1153">
        <f t="shared" si="445"/>
        <v>0</v>
      </c>
      <c r="AM1605" s="1153">
        <f t="shared" si="446"/>
        <v>0</v>
      </c>
      <c r="AN1605" s="1145">
        <f t="shared" si="447"/>
        <v>0</v>
      </c>
      <c r="AO1605" s="1154">
        <f t="shared" si="450"/>
        <v>0</v>
      </c>
      <c r="AP1605" s="1147">
        <f t="shared" si="435"/>
        <v>6187.8337734234146</v>
      </c>
      <c r="AQ1605" s="1144">
        <f t="shared" si="436"/>
        <v>0</v>
      </c>
      <c r="AR1605" s="1146">
        <f t="shared" si="437"/>
        <v>6187.8337734234146</v>
      </c>
    </row>
    <row r="1606" spans="1:44" x14ac:dyDescent="0.2">
      <c r="A1606" s="1141" t="str">
        <f t="shared" si="449"/>
        <v>4520</v>
      </c>
      <c r="B1606" s="1141" t="str">
        <f>IFERROR(VLOOKUP(A1606,'LAC 103'!A:C,3,FALSE),"")</f>
        <v>COS</v>
      </c>
      <c r="C1606" s="1478" t="str">
        <f>Info!$B$8</f>
        <v>00100</v>
      </c>
      <c r="D1606" s="1474" t="s">
        <v>256</v>
      </c>
      <c r="E1606" s="1474" t="s">
        <v>104</v>
      </c>
      <c r="F1606" s="1478" t="s">
        <v>344</v>
      </c>
      <c r="G1606" s="1478" t="s">
        <v>344</v>
      </c>
      <c r="H1606" s="1474" t="s">
        <v>1666</v>
      </c>
      <c r="I1606" s="1478" t="s">
        <v>803</v>
      </c>
      <c r="J1606" s="1478"/>
      <c r="K1606" s="1475" t="s">
        <v>846</v>
      </c>
      <c r="L1606" s="1474" t="s">
        <v>332</v>
      </c>
      <c r="M1606" s="1476" t="s">
        <v>840</v>
      </c>
      <c r="N1606" s="1477" t="s">
        <v>1700</v>
      </c>
      <c r="O1606" s="1479">
        <v>98.783333333333317</v>
      </c>
      <c r="P1606" s="1479"/>
      <c r="Q1606" s="1142">
        <f t="shared" si="451"/>
        <v>98.783333333333317</v>
      </c>
      <c r="R1606" s="1143">
        <f>IFERROR(VLOOKUP(CONCATENATE($E1606,$G1606),'LAC 103'!$A$12:$O$95,11,FALSE),0)</f>
        <v>62.693351301149093</v>
      </c>
      <c r="S1606" s="1144">
        <f>IFERROR(VLOOKUP(CONCATENATE($E1606,$G1606),'LAC 103'!$A$12:$O$95,12,FALSE),0)</f>
        <v>0</v>
      </c>
      <c r="T1606" s="1144">
        <f>IFERROR(VLOOKUP(CONCATENATE($E1606,$G1606),'LAC 103'!$A$12:$O$95,13,FALSE),0)</f>
        <v>0</v>
      </c>
      <c r="U1606" s="1144">
        <f>IFERROR(VLOOKUP(CONCATENATE($E1606,$G1606),'LAC 103'!$A$12:$O$95,14,FALSE),0)</f>
        <v>0</v>
      </c>
      <c r="V1606" s="1144">
        <f>IFERROR(VLOOKUP(CONCATENATE($E1606,$G1606),'LAC 103'!$A$12:$O$95,15,FALSE),0)</f>
        <v>0</v>
      </c>
      <c r="W1606" s="1145" t="str">
        <f>IFERROR(VLOOKUP(CONCATENATE($B1606,$N1606),'LAC 103'!$AI:$AQ,9,FALSE),"")</f>
        <v>Costs</v>
      </c>
      <c r="X1606" s="1146">
        <f t="shared" si="438"/>
        <v>62.693351301149093</v>
      </c>
      <c r="Y1606" s="1143">
        <f t="shared" si="448"/>
        <v>6193.0582193651771</v>
      </c>
      <c r="Z1606" s="1147">
        <f t="shared" si="439"/>
        <v>6193.0582193651771</v>
      </c>
      <c r="AA1606" s="1144">
        <f t="shared" si="440"/>
        <v>6193.0582193651771</v>
      </c>
      <c r="AB1606" s="1144">
        <f t="shared" si="441"/>
        <v>0</v>
      </c>
      <c r="AC1606" s="1144">
        <f t="shared" si="442"/>
        <v>0</v>
      </c>
      <c r="AD1606" s="1148">
        <f t="shared" si="434"/>
        <v>6193.0582193651771</v>
      </c>
      <c r="AE1606" s="1487">
        <v>0</v>
      </c>
      <c r="AF1606" s="1145">
        <f t="shared" si="443"/>
        <v>6193.0582193651771</v>
      </c>
      <c r="AG1606" s="1149">
        <f>IFERROR(VLOOKUP(CONCATENATE($L1606,$N1606),'Drop List'!$G$23:$K$87,2,FALSE),0)</f>
        <v>0</v>
      </c>
      <c r="AH1606" s="1150">
        <f>IFERROR(VLOOKUP(CONCATENATE($L1606,$N1606),'Drop List'!$G$23:$K$87,3,FALSE),0)</f>
        <v>0</v>
      </c>
      <c r="AI1606" s="1150">
        <f>IFERROR(VLOOKUP(CONCATENATE($L1606,$N1606),'Drop List'!$G$23:$K$87,4,FALSE),0)</f>
        <v>0</v>
      </c>
      <c r="AJ1606" s="1151">
        <f>IFERROR(VLOOKUP(CONCATENATE($L1606,$N1606),'Drop List'!$G$23:$K$87,5,FALSE),0)</f>
        <v>0</v>
      </c>
      <c r="AK1606" s="1152">
        <f t="shared" si="444"/>
        <v>0</v>
      </c>
      <c r="AL1606" s="1153">
        <f t="shared" si="445"/>
        <v>0</v>
      </c>
      <c r="AM1606" s="1153">
        <f t="shared" si="446"/>
        <v>0</v>
      </c>
      <c r="AN1606" s="1145">
        <f t="shared" si="447"/>
        <v>0</v>
      </c>
      <c r="AO1606" s="1154">
        <f t="shared" si="450"/>
        <v>0</v>
      </c>
      <c r="AP1606" s="1147">
        <f t="shared" si="435"/>
        <v>6193.0582193651771</v>
      </c>
      <c r="AQ1606" s="1144">
        <f t="shared" si="436"/>
        <v>0</v>
      </c>
      <c r="AR1606" s="1146">
        <f t="shared" si="437"/>
        <v>6193.0582193651771</v>
      </c>
    </row>
    <row r="1607" spans="1:44" x14ac:dyDescent="0.2">
      <c r="A1607" s="1141" t="str">
        <f t="shared" si="449"/>
        <v>4520</v>
      </c>
      <c r="B1607" s="1141" t="str">
        <f>IFERROR(VLOOKUP(A1607,'LAC 103'!A:C,3,FALSE),"")</f>
        <v>COS</v>
      </c>
      <c r="C1607" s="1478" t="str">
        <f>Info!$B$8</f>
        <v>00100</v>
      </c>
      <c r="D1607" s="1474" t="s">
        <v>256</v>
      </c>
      <c r="E1607" s="1474" t="s">
        <v>104</v>
      </c>
      <c r="F1607" s="1478" t="s">
        <v>344</v>
      </c>
      <c r="G1607" s="1478" t="s">
        <v>344</v>
      </c>
      <c r="H1607" s="1474" t="s">
        <v>1666</v>
      </c>
      <c r="I1607" s="1478" t="s">
        <v>803</v>
      </c>
      <c r="J1607" s="1478"/>
      <c r="K1607" s="1475" t="s">
        <v>846</v>
      </c>
      <c r="L1607" s="1474" t="s">
        <v>332</v>
      </c>
      <c r="M1607" s="1476" t="s">
        <v>842</v>
      </c>
      <c r="N1607" s="1477" t="s">
        <v>1692</v>
      </c>
      <c r="O1607" s="1479">
        <v>151.51666666666662</v>
      </c>
      <c r="P1607" s="1479"/>
      <c r="Q1607" s="1142">
        <f t="shared" si="451"/>
        <v>151.51666666666662</v>
      </c>
      <c r="R1607" s="1143">
        <f>IFERROR(VLOOKUP(CONCATENATE($E1607,$G1607),'LAC 103'!$A$12:$O$95,11,FALSE),0)</f>
        <v>62.693351301149093</v>
      </c>
      <c r="S1607" s="1144">
        <f>IFERROR(VLOOKUP(CONCATENATE($E1607,$G1607),'LAC 103'!$A$12:$O$95,12,FALSE),0)</f>
        <v>0</v>
      </c>
      <c r="T1607" s="1144">
        <f>IFERROR(VLOOKUP(CONCATENATE($E1607,$G1607),'LAC 103'!$A$12:$O$95,13,FALSE),0)</f>
        <v>0</v>
      </c>
      <c r="U1607" s="1144">
        <f>IFERROR(VLOOKUP(CONCATENATE($E1607,$G1607),'LAC 103'!$A$12:$O$95,14,FALSE),0)</f>
        <v>0</v>
      </c>
      <c r="V1607" s="1144">
        <f>IFERROR(VLOOKUP(CONCATENATE($E1607,$G1607),'LAC 103'!$A$12:$O$95,15,FALSE),0)</f>
        <v>0</v>
      </c>
      <c r="W1607" s="1145" t="str">
        <f>IFERROR(VLOOKUP(CONCATENATE($B1607,$N1607),'LAC 103'!$AI:$AQ,9,FALSE),"")</f>
        <v>Costs</v>
      </c>
      <c r="X1607" s="1146">
        <f t="shared" si="438"/>
        <v>62.693351301149093</v>
      </c>
      <c r="Y1607" s="1143">
        <f t="shared" si="448"/>
        <v>9499.0876113124377</v>
      </c>
      <c r="Z1607" s="1147">
        <f t="shared" si="439"/>
        <v>9499.0876113124377</v>
      </c>
      <c r="AA1607" s="1144">
        <f t="shared" si="440"/>
        <v>9499.0876113124377</v>
      </c>
      <c r="AB1607" s="1144">
        <f t="shared" si="441"/>
        <v>0</v>
      </c>
      <c r="AC1607" s="1144">
        <f t="shared" si="442"/>
        <v>0</v>
      </c>
      <c r="AD1607" s="1148">
        <f t="shared" ref="AD1607:AD1670" si="452">Q1607*X1607</f>
        <v>9499.0876113124377</v>
      </c>
      <c r="AE1607" s="1487">
        <v>0</v>
      </c>
      <c r="AF1607" s="1145">
        <f t="shared" si="443"/>
        <v>9499.0876113124377</v>
      </c>
      <c r="AG1607" s="1149">
        <f>IFERROR(VLOOKUP(CONCATENATE($L1607,$N1607),'Drop List'!$G$23:$K$87,2,FALSE),0)</f>
        <v>0</v>
      </c>
      <c r="AH1607" s="1150">
        <f>IFERROR(VLOOKUP(CONCATENATE($L1607,$N1607),'Drop List'!$G$23:$K$87,3,FALSE),0)</f>
        <v>0</v>
      </c>
      <c r="AI1607" s="1150">
        <f>IFERROR(VLOOKUP(CONCATENATE($L1607,$N1607),'Drop List'!$G$23:$K$87,4,FALSE),0)</f>
        <v>0</v>
      </c>
      <c r="AJ1607" s="1151">
        <f>IFERROR(VLOOKUP(CONCATENATE($L1607,$N1607),'Drop List'!$G$23:$K$87,5,FALSE),0)</f>
        <v>0</v>
      </c>
      <c r="AK1607" s="1152">
        <f t="shared" si="444"/>
        <v>0</v>
      </c>
      <c r="AL1607" s="1153">
        <f t="shared" si="445"/>
        <v>0</v>
      </c>
      <c r="AM1607" s="1153">
        <f t="shared" si="446"/>
        <v>0</v>
      </c>
      <c r="AN1607" s="1145">
        <f t="shared" si="447"/>
        <v>0</v>
      </c>
      <c r="AO1607" s="1154">
        <f t="shared" si="450"/>
        <v>0</v>
      </c>
      <c r="AP1607" s="1147">
        <f t="shared" ref="AP1607:AP1670" si="453">IF($L1607="14",$AF1607,0)</f>
        <v>9499.0876113124377</v>
      </c>
      <c r="AQ1607" s="1144">
        <f t="shared" ref="AQ1607:AQ1670" si="454">IF($L1607="15",$AF1607,0)</f>
        <v>0</v>
      </c>
      <c r="AR1607" s="1146">
        <f t="shared" ref="AR1607:AR1670" si="455">AO1607+AP1607+AQ1607</f>
        <v>9499.0876113124377</v>
      </c>
    </row>
    <row r="1608" spans="1:44" x14ac:dyDescent="0.2">
      <c r="A1608" s="1141" t="str">
        <f t="shared" si="449"/>
        <v>4520</v>
      </c>
      <c r="B1608" s="1141" t="str">
        <f>IFERROR(VLOOKUP(A1608,'LAC 103'!A:C,3,FALSE),"")</f>
        <v>COS</v>
      </c>
      <c r="C1608" s="1478" t="str">
        <f>Info!$B$8</f>
        <v>00100</v>
      </c>
      <c r="D1608" s="1474" t="s">
        <v>256</v>
      </c>
      <c r="E1608" s="1474" t="s">
        <v>104</v>
      </c>
      <c r="F1608" s="1478" t="s">
        <v>344</v>
      </c>
      <c r="G1608" s="1478" t="s">
        <v>344</v>
      </c>
      <c r="H1608" s="1474" t="s">
        <v>1666</v>
      </c>
      <c r="I1608" s="1478" t="s">
        <v>803</v>
      </c>
      <c r="J1608" s="1478"/>
      <c r="K1608" s="1475" t="s">
        <v>846</v>
      </c>
      <c r="L1608" s="1474" t="s">
        <v>332</v>
      </c>
      <c r="M1608" s="1476" t="s">
        <v>1698</v>
      </c>
      <c r="N1608" s="1477" t="s">
        <v>1693</v>
      </c>
      <c r="O1608" s="1479">
        <v>283.86666666666707</v>
      </c>
      <c r="P1608" s="1479"/>
      <c r="Q1608" s="1142">
        <f t="shared" si="451"/>
        <v>283.86666666666707</v>
      </c>
      <c r="R1608" s="1143">
        <f>IFERROR(VLOOKUP(CONCATENATE($E1608,$G1608),'LAC 103'!$A$12:$O$95,11,FALSE),0)</f>
        <v>62.693351301149093</v>
      </c>
      <c r="S1608" s="1144">
        <f>IFERROR(VLOOKUP(CONCATENATE($E1608,$G1608),'LAC 103'!$A$12:$O$95,12,FALSE),0)</f>
        <v>0</v>
      </c>
      <c r="T1608" s="1144">
        <f>IFERROR(VLOOKUP(CONCATENATE($E1608,$G1608),'LAC 103'!$A$12:$O$95,13,FALSE),0)</f>
        <v>0</v>
      </c>
      <c r="U1608" s="1144">
        <f>IFERROR(VLOOKUP(CONCATENATE($E1608,$G1608),'LAC 103'!$A$12:$O$95,14,FALSE),0)</f>
        <v>0</v>
      </c>
      <c r="V1608" s="1144">
        <f>IFERROR(VLOOKUP(CONCATENATE($E1608,$G1608),'LAC 103'!$A$12:$O$95,15,FALSE),0)</f>
        <v>0</v>
      </c>
      <c r="W1608" s="1145" t="str">
        <f>IFERROR(VLOOKUP(CONCATENATE($B1608,$N1608),'LAC 103'!$AI:$AQ,9,FALSE),"")</f>
        <v>Costs</v>
      </c>
      <c r="X1608" s="1146">
        <f t="shared" ref="X1608:X1671" si="456">IF($W1608="Costs",$R1608,IF($W1608="CMA",$S1608,IF($W1608="P.C.",$T1608,IF($W1608="SMA",$U1608,$V1608))))</f>
        <v>62.693351301149093</v>
      </c>
      <c r="Y1608" s="1143">
        <f t="shared" si="448"/>
        <v>17796.552656019547</v>
      </c>
      <c r="Z1608" s="1147">
        <f t="shared" ref="Z1608:Z1671" si="457">IF(S1608=0,Y1608,$Q1608*S1608)</f>
        <v>17796.552656019547</v>
      </c>
      <c r="AA1608" s="1144">
        <f t="shared" ref="AA1608:AA1671" si="458">IF(T1608=0,Y1608,$Q1608*T1608)</f>
        <v>17796.552656019547</v>
      </c>
      <c r="AB1608" s="1144">
        <f t="shared" ref="AB1608:AB1671" si="459">$Q1608*U1608</f>
        <v>0</v>
      </c>
      <c r="AC1608" s="1144">
        <f t="shared" ref="AC1608:AC1671" si="460">$Q1608*V1608</f>
        <v>0</v>
      </c>
      <c r="AD1608" s="1148">
        <f t="shared" si="452"/>
        <v>17796.552656019547</v>
      </c>
      <c r="AE1608" s="1487">
        <v>0</v>
      </c>
      <c r="AF1608" s="1145">
        <f t="shared" ref="AF1608:AF1671" si="461">AD1608-AE1608</f>
        <v>17796.552656019547</v>
      </c>
      <c r="AG1608" s="1149">
        <f>IFERROR(VLOOKUP(CONCATENATE($L1608,$N1608),'Drop List'!$G$23:$K$87,2,FALSE),0)</f>
        <v>0</v>
      </c>
      <c r="AH1608" s="1150">
        <f>IFERROR(VLOOKUP(CONCATENATE($L1608,$N1608),'Drop List'!$G$23:$K$87,3,FALSE),0)</f>
        <v>0</v>
      </c>
      <c r="AI1608" s="1150">
        <f>IFERROR(VLOOKUP(CONCATENATE($L1608,$N1608),'Drop List'!$G$23:$K$87,4,FALSE),0)</f>
        <v>0</v>
      </c>
      <c r="AJ1608" s="1151">
        <f>IFERROR(VLOOKUP(CONCATENATE($L1608,$N1608),'Drop List'!$G$23:$K$87,5,FALSE),0)</f>
        <v>0</v>
      </c>
      <c r="AK1608" s="1152">
        <f t="shared" ref="AK1608:AK1671" si="462">IFERROR($AF1608*AG1608,0)</f>
        <v>0</v>
      </c>
      <c r="AL1608" s="1153">
        <f t="shared" ref="AL1608:AL1671" si="463">IFERROR($AF1608*AH1608,0)</f>
        <v>0</v>
      </c>
      <c r="AM1608" s="1153">
        <f t="shared" ref="AM1608:AM1671" si="464">IFERROR($AF1608*AI1608,0)</f>
        <v>0</v>
      </c>
      <c r="AN1608" s="1145">
        <f t="shared" ref="AN1608:AN1671" si="465">IFERROR($AF1608*AJ1608,0)</f>
        <v>0</v>
      </c>
      <c r="AO1608" s="1154">
        <f t="shared" si="450"/>
        <v>0</v>
      </c>
      <c r="AP1608" s="1147">
        <f t="shared" si="453"/>
        <v>17796.552656019547</v>
      </c>
      <c r="AQ1608" s="1144">
        <f t="shared" si="454"/>
        <v>0</v>
      </c>
      <c r="AR1608" s="1146">
        <f t="shared" si="455"/>
        <v>17796.552656019547</v>
      </c>
    </row>
    <row r="1609" spans="1:44" x14ac:dyDescent="0.2">
      <c r="A1609" s="1141" t="str">
        <f t="shared" si="449"/>
        <v>4520</v>
      </c>
      <c r="B1609" s="1141" t="str">
        <f>IFERROR(VLOOKUP(A1609,'LAC 103'!A:C,3,FALSE),"")</f>
        <v>COS</v>
      </c>
      <c r="C1609" s="1478" t="str">
        <f>Info!$B$8</f>
        <v>00100</v>
      </c>
      <c r="D1609" s="1474" t="s">
        <v>256</v>
      </c>
      <c r="E1609" s="1474" t="s">
        <v>104</v>
      </c>
      <c r="F1609" s="1478" t="s">
        <v>344</v>
      </c>
      <c r="G1609" s="1478" t="s">
        <v>344</v>
      </c>
      <c r="H1609" s="1474" t="s">
        <v>981</v>
      </c>
      <c r="I1609" s="1478" t="s">
        <v>798</v>
      </c>
      <c r="J1609" s="1478" t="s">
        <v>123</v>
      </c>
      <c r="K1609" s="1475" t="s">
        <v>846</v>
      </c>
      <c r="L1609" s="1474" t="s">
        <v>332</v>
      </c>
      <c r="M1609" s="1476" t="s">
        <v>1699</v>
      </c>
      <c r="N1609" s="1477" t="s">
        <v>1694</v>
      </c>
      <c r="O1609" s="1479">
        <v>13</v>
      </c>
      <c r="P1609" s="1479"/>
      <c r="Q1609" s="1142">
        <f t="shared" si="451"/>
        <v>13</v>
      </c>
      <c r="R1609" s="1143">
        <f>IFERROR(VLOOKUP(CONCATENATE($E1609,$G1609),'LAC 103'!$A$12:$O$95,11,FALSE),0)</f>
        <v>62.693351301149093</v>
      </c>
      <c r="S1609" s="1144">
        <f>IFERROR(VLOOKUP(CONCATENATE($E1609,$G1609),'LAC 103'!$A$12:$O$95,12,FALSE),0)</f>
        <v>0</v>
      </c>
      <c r="T1609" s="1144">
        <f>IFERROR(VLOOKUP(CONCATENATE($E1609,$G1609),'LAC 103'!$A$12:$O$95,13,FALSE),0)</f>
        <v>0</v>
      </c>
      <c r="U1609" s="1144">
        <f>IFERROR(VLOOKUP(CONCATENATE($E1609,$G1609),'LAC 103'!$A$12:$O$95,14,FALSE),0)</f>
        <v>0</v>
      </c>
      <c r="V1609" s="1144">
        <f>IFERROR(VLOOKUP(CONCATENATE($E1609,$G1609),'LAC 103'!$A$12:$O$95,15,FALSE),0)</f>
        <v>0</v>
      </c>
      <c r="W1609" s="1145" t="str">
        <f>IFERROR(VLOOKUP(CONCATENATE($B1609,$N1609),'LAC 103'!$AI:$AQ,9,FALSE),"")</f>
        <v>Costs</v>
      </c>
      <c r="X1609" s="1146">
        <f t="shared" si="456"/>
        <v>62.693351301149093</v>
      </c>
      <c r="Y1609" s="1143">
        <f t="shared" si="448"/>
        <v>815.01356691493822</v>
      </c>
      <c r="Z1609" s="1147">
        <f t="shared" si="457"/>
        <v>815.01356691493822</v>
      </c>
      <c r="AA1609" s="1144">
        <f t="shared" si="458"/>
        <v>815.01356691493822</v>
      </c>
      <c r="AB1609" s="1144">
        <f t="shared" si="459"/>
        <v>0</v>
      </c>
      <c r="AC1609" s="1144">
        <f t="shared" si="460"/>
        <v>0</v>
      </c>
      <c r="AD1609" s="1148">
        <f t="shared" si="452"/>
        <v>815.01356691493822</v>
      </c>
      <c r="AE1609" s="1487">
        <v>0</v>
      </c>
      <c r="AF1609" s="1145">
        <f t="shared" si="461"/>
        <v>815.01356691493822</v>
      </c>
      <c r="AG1609" s="1149">
        <f>IFERROR(VLOOKUP(CONCATENATE($L1609,$N1609),'Drop List'!$G$23:$K$87,2,FALSE),0)</f>
        <v>0</v>
      </c>
      <c r="AH1609" s="1150">
        <f>IFERROR(VLOOKUP(CONCATENATE($L1609,$N1609),'Drop List'!$G$23:$K$87,3,FALSE),0)</f>
        <v>0</v>
      </c>
      <c r="AI1609" s="1150">
        <f>IFERROR(VLOOKUP(CONCATENATE($L1609,$N1609),'Drop List'!$G$23:$K$87,4,FALSE),0)</f>
        <v>0</v>
      </c>
      <c r="AJ1609" s="1151">
        <f>IFERROR(VLOOKUP(CONCATENATE($L1609,$N1609),'Drop List'!$G$23:$K$87,5,FALSE),0)</f>
        <v>0</v>
      </c>
      <c r="AK1609" s="1152">
        <f t="shared" si="462"/>
        <v>0</v>
      </c>
      <c r="AL1609" s="1153">
        <f t="shared" si="463"/>
        <v>0</v>
      </c>
      <c r="AM1609" s="1153">
        <f t="shared" si="464"/>
        <v>0</v>
      </c>
      <c r="AN1609" s="1145">
        <f t="shared" si="465"/>
        <v>0</v>
      </c>
      <c r="AO1609" s="1154">
        <f t="shared" si="450"/>
        <v>0</v>
      </c>
      <c r="AP1609" s="1147">
        <f t="shared" si="453"/>
        <v>815.01356691493822</v>
      </c>
      <c r="AQ1609" s="1144">
        <f t="shared" si="454"/>
        <v>0</v>
      </c>
      <c r="AR1609" s="1146">
        <f t="shared" si="455"/>
        <v>815.01356691493822</v>
      </c>
    </row>
    <row r="1610" spans="1:44" x14ac:dyDescent="0.2">
      <c r="A1610" s="1141" t="str">
        <f t="shared" si="449"/>
        <v>4520</v>
      </c>
      <c r="B1610" s="1141" t="str">
        <f>IFERROR(VLOOKUP(A1610,'LAC 103'!A:C,3,FALSE),"")</f>
        <v>COS</v>
      </c>
      <c r="C1610" s="1478" t="str">
        <f>Info!$B$8</f>
        <v>00100</v>
      </c>
      <c r="D1610" s="1474" t="s">
        <v>256</v>
      </c>
      <c r="E1610" s="1474" t="s">
        <v>104</v>
      </c>
      <c r="F1610" s="1478" t="s">
        <v>344</v>
      </c>
      <c r="G1610" s="1478" t="s">
        <v>344</v>
      </c>
      <c r="H1610" s="1474" t="s">
        <v>981</v>
      </c>
      <c r="I1610" s="1478" t="s">
        <v>798</v>
      </c>
      <c r="J1610" s="1478"/>
      <c r="K1610" s="1475" t="s">
        <v>846</v>
      </c>
      <c r="L1610" s="1474" t="s">
        <v>332</v>
      </c>
      <c r="M1610" s="1476" t="s">
        <v>841</v>
      </c>
      <c r="N1610" s="1477" t="s">
        <v>1695</v>
      </c>
      <c r="O1610" s="1479">
        <v>80.033333333333374</v>
      </c>
      <c r="P1610" s="1479"/>
      <c r="Q1610" s="1142">
        <f t="shared" si="451"/>
        <v>80.033333333333374</v>
      </c>
      <c r="R1610" s="1143">
        <f>IFERROR(VLOOKUP(CONCATENATE($E1610,$G1610),'LAC 103'!$A$12:$O$95,11,FALSE),0)</f>
        <v>62.693351301149093</v>
      </c>
      <c r="S1610" s="1144">
        <f>IFERROR(VLOOKUP(CONCATENATE($E1610,$G1610),'LAC 103'!$A$12:$O$95,12,FALSE),0)</f>
        <v>0</v>
      </c>
      <c r="T1610" s="1144">
        <f>IFERROR(VLOOKUP(CONCATENATE($E1610,$G1610),'LAC 103'!$A$12:$O$95,13,FALSE),0)</f>
        <v>0</v>
      </c>
      <c r="U1610" s="1144">
        <f>IFERROR(VLOOKUP(CONCATENATE($E1610,$G1610),'LAC 103'!$A$12:$O$95,14,FALSE),0)</f>
        <v>0</v>
      </c>
      <c r="V1610" s="1144">
        <f>IFERROR(VLOOKUP(CONCATENATE($E1610,$G1610),'LAC 103'!$A$12:$O$95,15,FALSE),0)</f>
        <v>0</v>
      </c>
      <c r="W1610" s="1145" t="str">
        <f>IFERROR(VLOOKUP(CONCATENATE($B1610,$N1610),'LAC 103'!$AI:$AQ,9,FALSE),"")</f>
        <v>Costs</v>
      </c>
      <c r="X1610" s="1146">
        <f t="shared" si="456"/>
        <v>62.693351301149093</v>
      </c>
      <c r="Y1610" s="1143">
        <f t="shared" ref="Y1610:Y1673" si="466">$Q1610*R1610</f>
        <v>5017.5578824686354</v>
      </c>
      <c r="Z1610" s="1147">
        <f t="shared" si="457"/>
        <v>5017.5578824686354</v>
      </c>
      <c r="AA1610" s="1144">
        <f t="shared" si="458"/>
        <v>5017.5578824686354</v>
      </c>
      <c r="AB1610" s="1144">
        <f t="shared" si="459"/>
        <v>0</v>
      </c>
      <c r="AC1610" s="1144">
        <f t="shared" si="460"/>
        <v>0</v>
      </c>
      <c r="AD1610" s="1148">
        <f t="shared" si="452"/>
        <v>5017.5578824686354</v>
      </c>
      <c r="AE1610" s="1487">
        <v>0</v>
      </c>
      <c r="AF1610" s="1145">
        <f t="shared" si="461"/>
        <v>5017.5578824686354</v>
      </c>
      <c r="AG1610" s="1149">
        <f>IFERROR(VLOOKUP(CONCATENATE($L1610,$N1610),'Drop List'!$G$23:$K$87,2,FALSE),0)</f>
        <v>0</v>
      </c>
      <c r="AH1610" s="1150">
        <f>IFERROR(VLOOKUP(CONCATENATE($L1610,$N1610),'Drop List'!$G$23:$K$87,3,FALSE),0)</f>
        <v>0</v>
      </c>
      <c r="AI1610" s="1150">
        <f>IFERROR(VLOOKUP(CONCATENATE($L1610,$N1610),'Drop List'!$G$23:$K$87,4,FALSE),0)</f>
        <v>0</v>
      </c>
      <c r="AJ1610" s="1151">
        <f>IFERROR(VLOOKUP(CONCATENATE($L1610,$N1610),'Drop List'!$G$23:$K$87,5,FALSE),0)</f>
        <v>0</v>
      </c>
      <c r="AK1610" s="1152">
        <f t="shared" si="462"/>
        <v>0</v>
      </c>
      <c r="AL1610" s="1153">
        <f t="shared" si="463"/>
        <v>0</v>
      </c>
      <c r="AM1610" s="1153">
        <f t="shared" si="464"/>
        <v>0</v>
      </c>
      <c r="AN1610" s="1145">
        <f t="shared" si="465"/>
        <v>0</v>
      </c>
      <c r="AO1610" s="1154">
        <f t="shared" si="450"/>
        <v>0</v>
      </c>
      <c r="AP1610" s="1147">
        <f t="shared" si="453"/>
        <v>5017.5578824686354</v>
      </c>
      <c r="AQ1610" s="1144">
        <f t="shared" si="454"/>
        <v>0</v>
      </c>
      <c r="AR1610" s="1146">
        <f t="shared" si="455"/>
        <v>5017.5578824686354</v>
      </c>
    </row>
    <row r="1611" spans="1:44" x14ac:dyDescent="0.2">
      <c r="A1611" s="1141" t="str">
        <f t="shared" si="449"/>
        <v>4520</v>
      </c>
      <c r="B1611" s="1141" t="str">
        <f>IFERROR(VLOOKUP(A1611,'LAC 103'!A:C,3,FALSE),"")</f>
        <v>COS</v>
      </c>
      <c r="C1611" s="1478" t="str">
        <f>Info!$B$8</f>
        <v>00100</v>
      </c>
      <c r="D1611" s="1474" t="s">
        <v>256</v>
      </c>
      <c r="E1611" s="1474" t="s">
        <v>104</v>
      </c>
      <c r="F1611" s="1478" t="s">
        <v>344</v>
      </c>
      <c r="G1611" s="1478" t="s">
        <v>344</v>
      </c>
      <c r="H1611" s="1474" t="s">
        <v>981</v>
      </c>
      <c r="I1611" s="1478" t="s">
        <v>798</v>
      </c>
      <c r="J1611" s="1478"/>
      <c r="K1611" s="1475" t="s">
        <v>846</v>
      </c>
      <c r="L1611" s="1474" t="s">
        <v>332</v>
      </c>
      <c r="M1611" s="1476" t="s">
        <v>840</v>
      </c>
      <c r="N1611" s="1477" t="s">
        <v>1700</v>
      </c>
      <c r="O1611" s="1479">
        <v>58.40000000000002</v>
      </c>
      <c r="P1611" s="1479"/>
      <c r="Q1611" s="1142">
        <f t="shared" si="451"/>
        <v>58.40000000000002</v>
      </c>
      <c r="R1611" s="1143">
        <f>IFERROR(VLOOKUP(CONCATENATE($E1611,$G1611),'LAC 103'!$A$12:$O$95,11,FALSE),0)</f>
        <v>62.693351301149093</v>
      </c>
      <c r="S1611" s="1144">
        <f>IFERROR(VLOOKUP(CONCATENATE($E1611,$G1611),'LAC 103'!$A$12:$O$95,12,FALSE),0)</f>
        <v>0</v>
      </c>
      <c r="T1611" s="1144">
        <f>IFERROR(VLOOKUP(CONCATENATE($E1611,$G1611),'LAC 103'!$A$12:$O$95,13,FALSE),0)</f>
        <v>0</v>
      </c>
      <c r="U1611" s="1144">
        <f>IFERROR(VLOOKUP(CONCATENATE($E1611,$G1611),'LAC 103'!$A$12:$O$95,14,FALSE),0)</f>
        <v>0</v>
      </c>
      <c r="V1611" s="1144">
        <f>IFERROR(VLOOKUP(CONCATENATE($E1611,$G1611),'LAC 103'!$A$12:$O$95,15,FALSE),0)</f>
        <v>0</v>
      </c>
      <c r="W1611" s="1145" t="str">
        <f>IFERROR(VLOOKUP(CONCATENATE($B1611,$N1611),'LAC 103'!$AI:$AQ,9,FALSE),"")</f>
        <v>Costs</v>
      </c>
      <c r="X1611" s="1146">
        <f t="shared" si="456"/>
        <v>62.693351301149093</v>
      </c>
      <c r="Y1611" s="1143">
        <f t="shared" si="466"/>
        <v>3661.2917159871081</v>
      </c>
      <c r="Z1611" s="1147">
        <f t="shared" si="457"/>
        <v>3661.2917159871081</v>
      </c>
      <c r="AA1611" s="1144">
        <f t="shared" si="458"/>
        <v>3661.2917159871081</v>
      </c>
      <c r="AB1611" s="1144">
        <f t="shared" si="459"/>
        <v>0</v>
      </c>
      <c r="AC1611" s="1144">
        <f t="shared" si="460"/>
        <v>0</v>
      </c>
      <c r="AD1611" s="1148">
        <f t="shared" si="452"/>
        <v>3661.2917159871081</v>
      </c>
      <c r="AE1611" s="1487">
        <v>0</v>
      </c>
      <c r="AF1611" s="1145">
        <f t="shared" si="461"/>
        <v>3661.2917159871081</v>
      </c>
      <c r="AG1611" s="1149">
        <f>IFERROR(VLOOKUP(CONCATENATE($L1611,$N1611),'Drop List'!$G$23:$K$87,2,FALSE),0)</f>
        <v>0</v>
      </c>
      <c r="AH1611" s="1150">
        <f>IFERROR(VLOOKUP(CONCATENATE($L1611,$N1611),'Drop List'!$G$23:$K$87,3,FALSE),0)</f>
        <v>0</v>
      </c>
      <c r="AI1611" s="1150">
        <f>IFERROR(VLOOKUP(CONCATENATE($L1611,$N1611),'Drop List'!$G$23:$K$87,4,FALSE),0)</f>
        <v>0</v>
      </c>
      <c r="AJ1611" s="1151">
        <f>IFERROR(VLOOKUP(CONCATENATE($L1611,$N1611),'Drop List'!$G$23:$K$87,5,FALSE),0)</f>
        <v>0</v>
      </c>
      <c r="AK1611" s="1152">
        <f t="shared" si="462"/>
        <v>0</v>
      </c>
      <c r="AL1611" s="1153">
        <f t="shared" si="463"/>
        <v>0</v>
      </c>
      <c r="AM1611" s="1153">
        <f t="shared" si="464"/>
        <v>0</v>
      </c>
      <c r="AN1611" s="1145">
        <f t="shared" si="465"/>
        <v>0</v>
      </c>
      <c r="AO1611" s="1154">
        <f t="shared" si="450"/>
        <v>0</v>
      </c>
      <c r="AP1611" s="1147">
        <f t="shared" si="453"/>
        <v>3661.2917159871081</v>
      </c>
      <c r="AQ1611" s="1144">
        <f t="shared" si="454"/>
        <v>0</v>
      </c>
      <c r="AR1611" s="1146">
        <f t="shared" si="455"/>
        <v>3661.2917159871081</v>
      </c>
    </row>
    <row r="1612" spans="1:44" x14ac:dyDescent="0.2">
      <c r="A1612" s="1141" t="str">
        <f t="shared" si="449"/>
        <v>4520</v>
      </c>
      <c r="B1612" s="1141" t="str">
        <f>IFERROR(VLOOKUP(A1612,'LAC 103'!A:C,3,FALSE),"")</f>
        <v>COS</v>
      </c>
      <c r="C1612" s="1478" t="str">
        <f>Info!$B$8</f>
        <v>00100</v>
      </c>
      <c r="D1612" s="1474" t="s">
        <v>256</v>
      </c>
      <c r="E1612" s="1474" t="s">
        <v>104</v>
      </c>
      <c r="F1612" s="1478" t="s">
        <v>344</v>
      </c>
      <c r="G1612" s="1478" t="s">
        <v>344</v>
      </c>
      <c r="H1612" s="1474" t="s">
        <v>981</v>
      </c>
      <c r="I1612" s="1478" t="s">
        <v>798</v>
      </c>
      <c r="J1612" s="1478"/>
      <c r="K1612" s="1475" t="s">
        <v>846</v>
      </c>
      <c r="L1612" s="1474" t="s">
        <v>332</v>
      </c>
      <c r="M1612" s="1476" t="s">
        <v>842</v>
      </c>
      <c r="N1612" s="1477" t="s">
        <v>1692</v>
      </c>
      <c r="O1612" s="1479">
        <v>33.133333333333333</v>
      </c>
      <c r="P1612" s="1479"/>
      <c r="Q1612" s="1142">
        <f t="shared" si="451"/>
        <v>33.133333333333333</v>
      </c>
      <c r="R1612" s="1143">
        <f>IFERROR(VLOOKUP(CONCATENATE($E1612,$G1612),'LAC 103'!$A$12:$O$95,11,FALSE),0)</f>
        <v>62.693351301149093</v>
      </c>
      <c r="S1612" s="1144">
        <f>IFERROR(VLOOKUP(CONCATENATE($E1612,$G1612),'LAC 103'!$A$12:$O$95,12,FALSE),0)</f>
        <v>0</v>
      </c>
      <c r="T1612" s="1144">
        <f>IFERROR(VLOOKUP(CONCATENATE($E1612,$G1612),'LAC 103'!$A$12:$O$95,13,FALSE),0)</f>
        <v>0</v>
      </c>
      <c r="U1612" s="1144">
        <f>IFERROR(VLOOKUP(CONCATENATE($E1612,$G1612),'LAC 103'!$A$12:$O$95,14,FALSE),0)</f>
        <v>0</v>
      </c>
      <c r="V1612" s="1144">
        <f>IFERROR(VLOOKUP(CONCATENATE($E1612,$G1612),'LAC 103'!$A$12:$O$95,15,FALSE),0)</f>
        <v>0</v>
      </c>
      <c r="W1612" s="1145" t="str">
        <f>IFERROR(VLOOKUP(CONCATENATE($B1612,$N1612),'LAC 103'!$AI:$AQ,9,FALSE),"")</f>
        <v>Costs</v>
      </c>
      <c r="X1612" s="1146">
        <f t="shared" si="456"/>
        <v>62.693351301149093</v>
      </c>
      <c r="Y1612" s="1143">
        <f t="shared" si="466"/>
        <v>2077.23970644474</v>
      </c>
      <c r="Z1612" s="1147">
        <f t="shared" si="457"/>
        <v>2077.23970644474</v>
      </c>
      <c r="AA1612" s="1144">
        <f t="shared" si="458"/>
        <v>2077.23970644474</v>
      </c>
      <c r="AB1612" s="1144">
        <f t="shared" si="459"/>
        <v>0</v>
      </c>
      <c r="AC1612" s="1144">
        <f t="shared" si="460"/>
        <v>0</v>
      </c>
      <c r="AD1612" s="1148">
        <f t="shared" si="452"/>
        <v>2077.23970644474</v>
      </c>
      <c r="AE1612" s="1487">
        <v>0</v>
      </c>
      <c r="AF1612" s="1145">
        <f t="shared" si="461"/>
        <v>2077.23970644474</v>
      </c>
      <c r="AG1612" s="1149">
        <f>IFERROR(VLOOKUP(CONCATENATE($L1612,$N1612),'Drop List'!$G$23:$K$87,2,FALSE),0)</f>
        <v>0</v>
      </c>
      <c r="AH1612" s="1150">
        <f>IFERROR(VLOOKUP(CONCATENATE($L1612,$N1612),'Drop List'!$G$23:$K$87,3,FALSE),0)</f>
        <v>0</v>
      </c>
      <c r="AI1612" s="1150">
        <f>IFERROR(VLOOKUP(CONCATENATE($L1612,$N1612),'Drop List'!$G$23:$K$87,4,FALSE),0)</f>
        <v>0</v>
      </c>
      <c r="AJ1612" s="1151">
        <f>IFERROR(VLOOKUP(CONCATENATE($L1612,$N1612),'Drop List'!$G$23:$K$87,5,FALSE),0)</f>
        <v>0</v>
      </c>
      <c r="AK1612" s="1152">
        <f t="shared" si="462"/>
        <v>0</v>
      </c>
      <c r="AL1612" s="1153">
        <f t="shared" si="463"/>
        <v>0</v>
      </c>
      <c r="AM1612" s="1153">
        <f t="shared" si="464"/>
        <v>0</v>
      </c>
      <c r="AN1612" s="1145">
        <f t="shared" si="465"/>
        <v>0</v>
      </c>
      <c r="AO1612" s="1154">
        <f t="shared" si="450"/>
        <v>0</v>
      </c>
      <c r="AP1612" s="1147">
        <f t="shared" si="453"/>
        <v>2077.23970644474</v>
      </c>
      <c r="AQ1612" s="1144">
        <f t="shared" si="454"/>
        <v>0</v>
      </c>
      <c r="AR1612" s="1146">
        <f t="shared" si="455"/>
        <v>2077.23970644474</v>
      </c>
    </row>
    <row r="1613" spans="1:44" x14ac:dyDescent="0.2">
      <c r="A1613" s="1141" t="str">
        <f t="shared" si="449"/>
        <v/>
      </c>
      <c r="B1613" s="1141" t="str">
        <f>IFERROR(VLOOKUP(A1613,'LAC 103'!A:C,3,FALSE),"")</f>
        <v/>
      </c>
      <c r="C1613" s="1478" t="str">
        <f>Info!$B$8</f>
        <v>00100</v>
      </c>
      <c r="D1613" s="1474"/>
      <c r="E1613" s="1474"/>
      <c r="F1613" s="1478"/>
      <c r="G1613" s="1478"/>
      <c r="H1613" s="1474"/>
      <c r="I1613" s="1478"/>
      <c r="J1613" s="1478"/>
      <c r="K1613" s="1475"/>
      <c r="L1613" s="1474"/>
      <c r="M1613" s="1476"/>
      <c r="N1613" s="1477"/>
      <c r="O1613" s="1479"/>
      <c r="P1613" s="1479"/>
      <c r="Q1613" s="1142">
        <f t="shared" si="451"/>
        <v>0</v>
      </c>
      <c r="R1613" s="1143">
        <f>IFERROR(VLOOKUP(CONCATENATE($E1613,$G1613),'LAC 103'!$A$12:$O$95,11,FALSE),0)</f>
        <v>0</v>
      </c>
      <c r="S1613" s="1144">
        <f>IFERROR(VLOOKUP(CONCATENATE($E1613,$G1613),'LAC 103'!$A$12:$O$95,12,FALSE),0)</f>
        <v>0</v>
      </c>
      <c r="T1613" s="1144">
        <f>IFERROR(VLOOKUP(CONCATENATE($E1613,$G1613),'LAC 103'!$A$12:$O$95,13,FALSE),0)</f>
        <v>0</v>
      </c>
      <c r="U1613" s="1144">
        <f>IFERROR(VLOOKUP(CONCATENATE($E1613,$G1613),'LAC 103'!$A$12:$O$95,14,FALSE),0)</f>
        <v>0</v>
      </c>
      <c r="V1613" s="1144">
        <f>IFERROR(VLOOKUP(CONCATENATE($E1613,$G1613),'LAC 103'!$A$12:$O$95,15,FALSE),0)</f>
        <v>0</v>
      </c>
      <c r="W1613" s="1145" t="str">
        <f>IFERROR(VLOOKUP(CONCATENATE($B1613,$N1613),'LAC 103'!$AI:$AQ,9,FALSE),"")</f>
        <v/>
      </c>
      <c r="X1613" s="1146">
        <f t="shared" si="456"/>
        <v>0</v>
      </c>
      <c r="Y1613" s="1143">
        <f t="shared" si="466"/>
        <v>0</v>
      </c>
      <c r="Z1613" s="1147">
        <f t="shared" si="457"/>
        <v>0</v>
      </c>
      <c r="AA1613" s="1144">
        <f t="shared" si="458"/>
        <v>0</v>
      </c>
      <c r="AB1613" s="1144">
        <f t="shared" si="459"/>
        <v>0</v>
      </c>
      <c r="AC1613" s="1144">
        <f t="shared" si="460"/>
        <v>0</v>
      </c>
      <c r="AD1613" s="1148">
        <f t="shared" si="452"/>
        <v>0</v>
      </c>
      <c r="AE1613" s="1487">
        <v>0</v>
      </c>
      <c r="AF1613" s="1145">
        <f t="shared" si="461"/>
        <v>0</v>
      </c>
      <c r="AG1613" s="1149">
        <f>IFERROR(VLOOKUP(CONCATENATE($L1613,$N1613),'Drop List'!$G$23:$K$87,2,FALSE),0)</f>
        <v>0</v>
      </c>
      <c r="AH1613" s="1150">
        <f>IFERROR(VLOOKUP(CONCATENATE($L1613,$N1613),'Drop List'!$G$23:$K$87,3,FALSE),0)</f>
        <v>0</v>
      </c>
      <c r="AI1613" s="1150">
        <f>IFERROR(VLOOKUP(CONCATENATE($L1613,$N1613),'Drop List'!$G$23:$K$87,4,FALSE),0)</f>
        <v>0</v>
      </c>
      <c r="AJ1613" s="1151">
        <f>IFERROR(VLOOKUP(CONCATENATE($L1613,$N1613),'Drop List'!$G$23:$K$87,5,FALSE),0)</f>
        <v>0</v>
      </c>
      <c r="AK1613" s="1152">
        <f t="shared" si="462"/>
        <v>0</v>
      </c>
      <c r="AL1613" s="1153">
        <f t="shared" si="463"/>
        <v>0</v>
      </c>
      <c r="AM1613" s="1153">
        <f t="shared" si="464"/>
        <v>0</v>
      </c>
      <c r="AN1613" s="1145">
        <f t="shared" si="465"/>
        <v>0</v>
      </c>
      <c r="AO1613" s="1154">
        <f t="shared" si="450"/>
        <v>0</v>
      </c>
      <c r="AP1613" s="1147">
        <f t="shared" si="453"/>
        <v>0</v>
      </c>
      <c r="AQ1613" s="1144">
        <f t="shared" si="454"/>
        <v>0</v>
      </c>
      <c r="AR1613" s="1146">
        <f t="shared" si="455"/>
        <v>0</v>
      </c>
    </row>
    <row r="1614" spans="1:44" x14ac:dyDescent="0.2">
      <c r="A1614" s="1141" t="str">
        <f t="shared" si="449"/>
        <v/>
      </c>
      <c r="B1614" s="1141" t="str">
        <f>IFERROR(VLOOKUP(A1614,'LAC 103'!A:C,3,FALSE),"")</f>
        <v/>
      </c>
      <c r="C1614" s="1478" t="str">
        <f>Info!$B$8</f>
        <v>00100</v>
      </c>
      <c r="D1614" s="1474"/>
      <c r="E1614" s="1474"/>
      <c r="F1614" s="1478"/>
      <c r="G1614" s="1478"/>
      <c r="H1614" s="1474"/>
      <c r="I1614" s="1478"/>
      <c r="J1614" s="1478"/>
      <c r="K1614" s="1475"/>
      <c r="L1614" s="1474"/>
      <c r="M1614" s="1476"/>
      <c r="N1614" s="1477"/>
      <c r="O1614" s="1479"/>
      <c r="P1614" s="1479"/>
      <c r="Q1614" s="1142">
        <f t="shared" si="451"/>
        <v>0</v>
      </c>
      <c r="R1614" s="1143">
        <f>IFERROR(VLOOKUP(CONCATENATE($E1614,$G1614),'LAC 103'!$A$12:$O$95,11,FALSE),0)</f>
        <v>0</v>
      </c>
      <c r="S1614" s="1144">
        <f>IFERROR(VLOOKUP(CONCATENATE($E1614,$G1614),'LAC 103'!$A$12:$O$95,12,FALSE),0)</f>
        <v>0</v>
      </c>
      <c r="T1614" s="1144">
        <f>IFERROR(VLOOKUP(CONCATENATE($E1614,$G1614),'LAC 103'!$A$12:$O$95,13,FALSE),0)</f>
        <v>0</v>
      </c>
      <c r="U1614" s="1144">
        <f>IFERROR(VLOOKUP(CONCATENATE($E1614,$G1614),'LAC 103'!$A$12:$O$95,14,FALSE),0)</f>
        <v>0</v>
      </c>
      <c r="V1614" s="1144">
        <f>IFERROR(VLOOKUP(CONCATENATE($E1614,$G1614),'LAC 103'!$A$12:$O$95,15,FALSE),0)</f>
        <v>0</v>
      </c>
      <c r="W1614" s="1145" t="str">
        <f>IFERROR(VLOOKUP(CONCATENATE($B1614,$N1614),'LAC 103'!$AI:$AQ,9,FALSE),"")</f>
        <v/>
      </c>
      <c r="X1614" s="1146">
        <f t="shared" si="456"/>
        <v>0</v>
      </c>
      <c r="Y1614" s="1143">
        <f t="shared" si="466"/>
        <v>0</v>
      </c>
      <c r="Z1614" s="1147">
        <f t="shared" si="457"/>
        <v>0</v>
      </c>
      <c r="AA1614" s="1144">
        <f t="shared" si="458"/>
        <v>0</v>
      </c>
      <c r="AB1614" s="1144">
        <f t="shared" si="459"/>
        <v>0</v>
      </c>
      <c r="AC1614" s="1144">
        <f t="shared" si="460"/>
        <v>0</v>
      </c>
      <c r="AD1614" s="1148">
        <f t="shared" si="452"/>
        <v>0</v>
      </c>
      <c r="AE1614" s="1487">
        <v>0</v>
      </c>
      <c r="AF1614" s="1145">
        <f t="shared" si="461"/>
        <v>0</v>
      </c>
      <c r="AG1614" s="1149">
        <f>IFERROR(VLOOKUP(CONCATENATE($L1614,$N1614),'Drop List'!$G$23:$K$87,2,FALSE),0)</f>
        <v>0</v>
      </c>
      <c r="AH1614" s="1150">
        <f>IFERROR(VLOOKUP(CONCATENATE($L1614,$N1614),'Drop List'!$G$23:$K$87,3,FALSE),0)</f>
        <v>0</v>
      </c>
      <c r="AI1614" s="1150">
        <f>IFERROR(VLOOKUP(CONCATENATE($L1614,$N1614),'Drop List'!$G$23:$K$87,4,FALSE),0)</f>
        <v>0</v>
      </c>
      <c r="AJ1614" s="1151">
        <f>IFERROR(VLOOKUP(CONCATENATE($L1614,$N1614),'Drop List'!$G$23:$K$87,5,FALSE),0)</f>
        <v>0</v>
      </c>
      <c r="AK1614" s="1152">
        <f t="shared" si="462"/>
        <v>0</v>
      </c>
      <c r="AL1614" s="1153">
        <f t="shared" si="463"/>
        <v>0</v>
      </c>
      <c r="AM1614" s="1153">
        <f t="shared" si="464"/>
        <v>0</v>
      </c>
      <c r="AN1614" s="1145">
        <f t="shared" si="465"/>
        <v>0</v>
      </c>
      <c r="AO1614" s="1154">
        <f t="shared" si="450"/>
        <v>0</v>
      </c>
      <c r="AP1614" s="1147">
        <f t="shared" si="453"/>
        <v>0</v>
      </c>
      <c r="AQ1614" s="1144">
        <f t="shared" si="454"/>
        <v>0</v>
      </c>
      <c r="AR1614" s="1146">
        <f t="shared" si="455"/>
        <v>0</v>
      </c>
    </row>
    <row r="1615" spans="1:44" x14ac:dyDescent="0.2">
      <c r="A1615" s="1141" t="str">
        <f t="shared" si="449"/>
        <v/>
      </c>
      <c r="B1615" s="1141" t="str">
        <f>IFERROR(VLOOKUP(A1615,'LAC 103'!A:C,3,FALSE),"")</f>
        <v/>
      </c>
      <c r="C1615" s="1478" t="str">
        <f>Info!$B$8</f>
        <v>00100</v>
      </c>
      <c r="D1615" s="1474"/>
      <c r="E1615" s="1474"/>
      <c r="F1615" s="1478"/>
      <c r="G1615" s="1478"/>
      <c r="H1615" s="1474"/>
      <c r="I1615" s="1478"/>
      <c r="J1615" s="1478"/>
      <c r="K1615" s="1475"/>
      <c r="L1615" s="1474"/>
      <c r="M1615" s="1476"/>
      <c r="N1615" s="1477"/>
      <c r="O1615" s="1479"/>
      <c r="P1615" s="1479"/>
      <c r="Q1615" s="1142">
        <f t="shared" si="451"/>
        <v>0</v>
      </c>
      <c r="R1615" s="1143">
        <f>IFERROR(VLOOKUP(CONCATENATE($E1615,$G1615),'LAC 103'!$A$12:$O$95,11,FALSE),0)</f>
        <v>0</v>
      </c>
      <c r="S1615" s="1144">
        <f>IFERROR(VLOOKUP(CONCATENATE($E1615,$G1615),'LAC 103'!$A$12:$O$95,12,FALSE),0)</f>
        <v>0</v>
      </c>
      <c r="T1615" s="1144">
        <f>IFERROR(VLOOKUP(CONCATENATE($E1615,$G1615),'LAC 103'!$A$12:$O$95,13,FALSE),0)</f>
        <v>0</v>
      </c>
      <c r="U1615" s="1144">
        <f>IFERROR(VLOOKUP(CONCATENATE($E1615,$G1615),'LAC 103'!$A$12:$O$95,14,FALSE),0)</f>
        <v>0</v>
      </c>
      <c r="V1615" s="1144">
        <f>IFERROR(VLOOKUP(CONCATENATE($E1615,$G1615),'LAC 103'!$A$12:$O$95,15,FALSE),0)</f>
        <v>0</v>
      </c>
      <c r="W1615" s="1145" t="str">
        <f>IFERROR(VLOOKUP(CONCATENATE($B1615,$N1615),'LAC 103'!$AI:$AQ,9,FALSE),"")</f>
        <v/>
      </c>
      <c r="X1615" s="1146">
        <f t="shared" si="456"/>
        <v>0</v>
      </c>
      <c r="Y1615" s="1143">
        <f t="shared" si="466"/>
        <v>0</v>
      </c>
      <c r="Z1615" s="1147">
        <f t="shared" si="457"/>
        <v>0</v>
      </c>
      <c r="AA1615" s="1144">
        <f t="shared" si="458"/>
        <v>0</v>
      </c>
      <c r="AB1615" s="1144">
        <f t="shared" si="459"/>
        <v>0</v>
      </c>
      <c r="AC1615" s="1144">
        <f t="shared" si="460"/>
        <v>0</v>
      </c>
      <c r="AD1615" s="1148">
        <f t="shared" si="452"/>
        <v>0</v>
      </c>
      <c r="AE1615" s="1487">
        <v>0</v>
      </c>
      <c r="AF1615" s="1145">
        <f t="shared" si="461"/>
        <v>0</v>
      </c>
      <c r="AG1615" s="1149">
        <f>IFERROR(VLOOKUP(CONCATENATE($L1615,$N1615),'Drop List'!$G$23:$K$87,2,FALSE),0)</f>
        <v>0</v>
      </c>
      <c r="AH1615" s="1150">
        <f>IFERROR(VLOOKUP(CONCATENATE($L1615,$N1615),'Drop List'!$G$23:$K$87,3,FALSE),0)</f>
        <v>0</v>
      </c>
      <c r="AI1615" s="1150">
        <f>IFERROR(VLOOKUP(CONCATENATE($L1615,$N1615),'Drop List'!$G$23:$K$87,4,FALSE),0)</f>
        <v>0</v>
      </c>
      <c r="AJ1615" s="1151">
        <f>IFERROR(VLOOKUP(CONCATENATE($L1615,$N1615),'Drop List'!$G$23:$K$87,5,FALSE),0)</f>
        <v>0</v>
      </c>
      <c r="AK1615" s="1152">
        <f t="shared" si="462"/>
        <v>0</v>
      </c>
      <c r="AL1615" s="1153">
        <f t="shared" si="463"/>
        <v>0</v>
      </c>
      <c r="AM1615" s="1153">
        <f t="shared" si="464"/>
        <v>0</v>
      </c>
      <c r="AN1615" s="1145">
        <f t="shared" si="465"/>
        <v>0</v>
      </c>
      <c r="AO1615" s="1154">
        <f t="shared" si="450"/>
        <v>0</v>
      </c>
      <c r="AP1615" s="1147">
        <f t="shared" si="453"/>
        <v>0</v>
      </c>
      <c r="AQ1615" s="1144">
        <f t="shared" si="454"/>
        <v>0</v>
      </c>
      <c r="AR1615" s="1146">
        <f t="shared" si="455"/>
        <v>0</v>
      </c>
    </row>
    <row r="1616" spans="1:44" x14ac:dyDescent="0.2">
      <c r="A1616" s="1141" t="str">
        <f t="shared" si="449"/>
        <v/>
      </c>
      <c r="B1616" s="1141" t="str">
        <f>IFERROR(VLOOKUP(A1616,'LAC 103'!A:C,3,FALSE),"")</f>
        <v/>
      </c>
      <c r="C1616" s="1478" t="str">
        <f>Info!$B$8</f>
        <v>00100</v>
      </c>
      <c r="D1616" s="1474"/>
      <c r="E1616" s="1474"/>
      <c r="F1616" s="1478"/>
      <c r="G1616" s="1478"/>
      <c r="H1616" s="1474"/>
      <c r="I1616" s="1478"/>
      <c r="J1616" s="1478"/>
      <c r="K1616" s="1475"/>
      <c r="L1616" s="1474"/>
      <c r="M1616" s="1476"/>
      <c r="N1616" s="1477"/>
      <c r="O1616" s="1479"/>
      <c r="P1616" s="1479"/>
      <c r="Q1616" s="1142">
        <f t="shared" si="451"/>
        <v>0</v>
      </c>
      <c r="R1616" s="1143">
        <f>IFERROR(VLOOKUP(CONCATENATE($E1616,$G1616),'LAC 103'!$A$12:$O$95,11,FALSE),0)</f>
        <v>0</v>
      </c>
      <c r="S1616" s="1144">
        <f>IFERROR(VLOOKUP(CONCATENATE($E1616,$G1616),'LAC 103'!$A$12:$O$95,12,FALSE),0)</f>
        <v>0</v>
      </c>
      <c r="T1616" s="1144">
        <f>IFERROR(VLOOKUP(CONCATENATE($E1616,$G1616),'LAC 103'!$A$12:$O$95,13,FALSE),0)</f>
        <v>0</v>
      </c>
      <c r="U1616" s="1144">
        <f>IFERROR(VLOOKUP(CONCATENATE($E1616,$G1616),'LAC 103'!$A$12:$O$95,14,FALSE),0)</f>
        <v>0</v>
      </c>
      <c r="V1616" s="1144">
        <f>IFERROR(VLOOKUP(CONCATENATE($E1616,$G1616),'LAC 103'!$A$12:$O$95,15,FALSE),0)</f>
        <v>0</v>
      </c>
      <c r="W1616" s="1145" t="str">
        <f>IFERROR(VLOOKUP(CONCATENATE($B1616,$N1616),'LAC 103'!$AI:$AQ,9,FALSE),"")</f>
        <v/>
      </c>
      <c r="X1616" s="1146">
        <f t="shared" si="456"/>
        <v>0</v>
      </c>
      <c r="Y1616" s="1143">
        <f t="shared" si="466"/>
        <v>0</v>
      </c>
      <c r="Z1616" s="1147">
        <f t="shared" si="457"/>
        <v>0</v>
      </c>
      <c r="AA1616" s="1144">
        <f t="shared" si="458"/>
        <v>0</v>
      </c>
      <c r="AB1616" s="1144">
        <f t="shared" si="459"/>
        <v>0</v>
      </c>
      <c r="AC1616" s="1144">
        <f t="shared" si="460"/>
        <v>0</v>
      </c>
      <c r="AD1616" s="1148">
        <f t="shared" si="452"/>
        <v>0</v>
      </c>
      <c r="AE1616" s="1487">
        <v>0</v>
      </c>
      <c r="AF1616" s="1145">
        <f t="shared" si="461"/>
        <v>0</v>
      </c>
      <c r="AG1616" s="1149">
        <f>IFERROR(VLOOKUP(CONCATENATE($L1616,$N1616),'Drop List'!$G$23:$K$87,2,FALSE),0)</f>
        <v>0</v>
      </c>
      <c r="AH1616" s="1150">
        <f>IFERROR(VLOOKUP(CONCATENATE($L1616,$N1616),'Drop List'!$G$23:$K$87,3,FALSE),0)</f>
        <v>0</v>
      </c>
      <c r="AI1616" s="1150">
        <f>IFERROR(VLOOKUP(CONCATENATE($L1616,$N1616),'Drop List'!$G$23:$K$87,4,FALSE),0)</f>
        <v>0</v>
      </c>
      <c r="AJ1616" s="1151">
        <f>IFERROR(VLOOKUP(CONCATENATE($L1616,$N1616),'Drop List'!$G$23:$K$87,5,FALSE),0)</f>
        <v>0</v>
      </c>
      <c r="AK1616" s="1152">
        <f t="shared" si="462"/>
        <v>0</v>
      </c>
      <c r="AL1616" s="1153">
        <f t="shared" si="463"/>
        <v>0</v>
      </c>
      <c r="AM1616" s="1153">
        <f t="shared" si="464"/>
        <v>0</v>
      </c>
      <c r="AN1616" s="1145">
        <f t="shared" si="465"/>
        <v>0</v>
      </c>
      <c r="AO1616" s="1154">
        <f t="shared" si="450"/>
        <v>0</v>
      </c>
      <c r="AP1616" s="1147">
        <f t="shared" si="453"/>
        <v>0</v>
      </c>
      <c r="AQ1616" s="1144">
        <f t="shared" si="454"/>
        <v>0</v>
      </c>
      <c r="AR1616" s="1146">
        <f t="shared" si="455"/>
        <v>0</v>
      </c>
    </row>
    <row r="1617" spans="1:44" x14ac:dyDescent="0.2">
      <c r="A1617" s="1141" t="str">
        <f t="shared" si="449"/>
        <v/>
      </c>
      <c r="B1617" s="1141" t="str">
        <f>IFERROR(VLOOKUP(A1617,'LAC 103'!A:C,3,FALSE),"")</f>
        <v/>
      </c>
      <c r="C1617" s="1478" t="str">
        <f>Info!$B$8</f>
        <v>00100</v>
      </c>
      <c r="D1617" s="1474"/>
      <c r="E1617" s="1474"/>
      <c r="F1617" s="1478"/>
      <c r="G1617" s="1478"/>
      <c r="H1617" s="1474"/>
      <c r="I1617" s="1478"/>
      <c r="J1617" s="1478"/>
      <c r="K1617" s="1475"/>
      <c r="L1617" s="1474"/>
      <c r="M1617" s="1476"/>
      <c r="N1617" s="1477"/>
      <c r="O1617" s="1479"/>
      <c r="P1617" s="1479"/>
      <c r="Q1617" s="1142">
        <f t="shared" si="451"/>
        <v>0</v>
      </c>
      <c r="R1617" s="1143">
        <f>IFERROR(VLOOKUP(CONCATENATE($E1617,$G1617),'LAC 103'!$A$12:$O$95,11,FALSE),0)</f>
        <v>0</v>
      </c>
      <c r="S1617" s="1144">
        <f>IFERROR(VLOOKUP(CONCATENATE($E1617,$G1617),'LAC 103'!$A$12:$O$95,12,FALSE),0)</f>
        <v>0</v>
      </c>
      <c r="T1617" s="1144">
        <f>IFERROR(VLOOKUP(CONCATENATE($E1617,$G1617),'LAC 103'!$A$12:$O$95,13,FALSE),0)</f>
        <v>0</v>
      </c>
      <c r="U1617" s="1144">
        <f>IFERROR(VLOOKUP(CONCATENATE($E1617,$G1617),'LAC 103'!$A$12:$O$95,14,FALSE),0)</f>
        <v>0</v>
      </c>
      <c r="V1617" s="1144">
        <f>IFERROR(VLOOKUP(CONCATENATE($E1617,$G1617),'LAC 103'!$A$12:$O$95,15,FALSE),0)</f>
        <v>0</v>
      </c>
      <c r="W1617" s="1145" t="str">
        <f>IFERROR(VLOOKUP(CONCATENATE($B1617,$N1617),'LAC 103'!$AI:$AQ,9,FALSE),"")</f>
        <v/>
      </c>
      <c r="X1617" s="1146">
        <f t="shared" si="456"/>
        <v>0</v>
      </c>
      <c r="Y1617" s="1143">
        <f t="shared" si="466"/>
        <v>0</v>
      </c>
      <c r="Z1617" s="1147">
        <f t="shared" si="457"/>
        <v>0</v>
      </c>
      <c r="AA1617" s="1144">
        <f t="shared" si="458"/>
        <v>0</v>
      </c>
      <c r="AB1617" s="1144">
        <f t="shared" si="459"/>
        <v>0</v>
      </c>
      <c r="AC1617" s="1144">
        <f t="shared" si="460"/>
        <v>0</v>
      </c>
      <c r="AD1617" s="1148">
        <f t="shared" si="452"/>
        <v>0</v>
      </c>
      <c r="AE1617" s="1487">
        <v>0</v>
      </c>
      <c r="AF1617" s="1145">
        <f t="shared" si="461"/>
        <v>0</v>
      </c>
      <c r="AG1617" s="1149">
        <f>IFERROR(VLOOKUP(CONCATENATE($L1617,$N1617),'Drop List'!$G$23:$K$87,2,FALSE),0)</f>
        <v>0</v>
      </c>
      <c r="AH1617" s="1150">
        <f>IFERROR(VLOOKUP(CONCATENATE($L1617,$N1617),'Drop List'!$G$23:$K$87,3,FALSE),0)</f>
        <v>0</v>
      </c>
      <c r="AI1617" s="1150">
        <f>IFERROR(VLOOKUP(CONCATENATE($L1617,$N1617),'Drop List'!$G$23:$K$87,4,FALSE),0)</f>
        <v>0</v>
      </c>
      <c r="AJ1617" s="1151">
        <f>IFERROR(VLOOKUP(CONCATENATE($L1617,$N1617),'Drop List'!$G$23:$K$87,5,FALSE),0)</f>
        <v>0</v>
      </c>
      <c r="AK1617" s="1152">
        <f t="shared" si="462"/>
        <v>0</v>
      </c>
      <c r="AL1617" s="1153">
        <f t="shared" si="463"/>
        <v>0</v>
      </c>
      <c r="AM1617" s="1153">
        <f t="shared" si="464"/>
        <v>0</v>
      </c>
      <c r="AN1617" s="1145">
        <f t="shared" si="465"/>
        <v>0</v>
      </c>
      <c r="AO1617" s="1154">
        <f t="shared" si="450"/>
        <v>0</v>
      </c>
      <c r="AP1617" s="1147">
        <f t="shared" si="453"/>
        <v>0</v>
      </c>
      <c r="AQ1617" s="1144">
        <f t="shared" si="454"/>
        <v>0</v>
      </c>
      <c r="AR1617" s="1146">
        <f t="shared" si="455"/>
        <v>0</v>
      </c>
    </row>
    <row r="1618" spans="1:44" x14ac:dyDescent="0.2">
      <c r="A1618" s="1141" t="str">
        <f t="shared" si="449"/>
        <v/>
      </c>
      <c r="B1618" s="1141" t="str">
        <f>IFERROR(VLOOKUP(A1618,'LAC 103'!A:C,3,FALSE),"")</f>
        <v/>
      </c>
      <c r="C1618" s="1478" t="str">
        <f>Info!$B$8</f>
        <v>00100</v>
      </c>
      <c r="D1618" s="1474"/>
      <c r="E1618" s="1474"/>
      <c r="F1618" s="1478"/>
      <c r="G1618" s="1478"/>
      <c r="H1618" s="1474"/>
      <c r="I1618" s="1478"/>
      <c r="J1618" s="1478"/>
      <c r="K1618" s="1475"/>
      <c r="L1618" s="1474"/>
      <c r="M1618" s="1476"/>
      <c r="N1618" s="1477"/>
      <c r="O1618" s="1479"/>
      <c r="P1618" s="1479"/>
      <c r="Q1618" s="1142">
        <f t="shared" si="451"/>
        <v>0</v>
      </c>
      <c r="R1618" s="1143">
        <f>IFERROR(VLOOKUP(CONCATENATE($E1618,$G1618),'LAC 103'!$A$12:$O$95,11,FALSE),0)</f>
        <v>0</v>
      </c>
      <c r="S1618" s="1144">
        <f>IFERROR(VLOOKUP(CONCATENATE($E1618,$G1618),'LAC 103'!$A$12:$O$95,12,FALSE),0)</f>
        <v>0</v>
      </c>
      <c r="T1618" s="1144">
        <f>IFERROR(VLOOKUP(CONCATENATE($E1618,$G1618),'LAC 103'!$A$12:$O$95,13,FALSE),0)</f>
        <v>0</v>
      </c>
      <c r="U1618" s="1144">
        <f>IFERROR(VLOOKUP(CONCATENATE($E1618,$G1618),'LAC 103'!$A$12:$O$95,14,FALSE),0)</f>
        <v>0</v>
      </c>
      <c r="V1618" s="1144">
        <f>IFERROR(VLOOKUP(CONCATENATE($E1618,$G1618),'LAC 103'!$A$12:$O$95,15,FALSE),0)</f>
        <v>0</v>
      </c>
      <c r="W1618" s="1145" t="str">
        <f>IFERROR(VLOOKUP(CONCATENATE($B1618,$N1618),'LAC 103'!$AI:$AQ,9,FALSE),"")</f>
        <v/>
      </c>
      <c r="X1618" s="1146">
        <f t="shared" si="456"/>
        <v>0</v>
      </c>
      <c r="Y1618" s="1143">
        <f t="shared" si="466"/>
        <v>0</v>
      </c>
      <c r="Z1618" s="1147">
        <f t="shared" si="457"/>
        <v>0</v>
      </c>
      <c r="AA1618" s="1144">
        <f t="shared" si="458"/>
        <v>0</v>
      </c>
      <c r="AB1618" s="1144">
        <f t="shared" si="459"/>
        <v>0</v>
      </c>
      <c r="AC1618" s="1144">
        <f t="shared" si="460"/>
        <v>0</v>
      </c>
      <c r="AD1618" s="1148">
        <f t="shared" si="452"/>
        <v>0</v>
      </c>
      <c r="AE1618" s="1487">
        <v>0</v>
      </c>
      <c r="AF1618" s="1145">
        <f t="shared" si="461"/>
        <v>0</v>
      </c>
      <c r="AG1618" s="1149">
        <f>IFERROR(VLOOKUP(CONCATENATE($L1618,$N1618),'Drop List'!$G$23:$K$87,2,FALSE),0)</f>
        <v>0</v>
      </c>
      <c r="AH1618" s="1150">
        <f>IFERROR(VLOOKUP(CONCATENATE($L1618,$N1618),'Drop List'!$G$23:$K$87,3,FALSE),0)</f>
        <v>0</v>
      </c>
      <c r="AI1618" s="1150">
        <f>IFERROR(VLOOKUP(CONCATENATE($L1618,$N1618),'Drop List'!$G$23:$K$87,4,FALSE),0)</f>
        <v>0</v>
      </c>
      <c r="AJ1618" s="1151">
        <f>IFERROR(VLOOKUP(CONCATENATE($L1618,$N1618),'Drop List'!$G$23:$K$87,5,FALSE),0)</f>
        <v>0</v>
      </c>
      <c r="AK1618" s="1152">
        <f t="shared" si="462"/>
        <v>0</v>
      </c>
      <c r="AL1618" s="1153">
        <f t="shared" si="463"/>
        <v>0</v>
      </c>
      <c r="AM1618" s="1153">
        <f t="shared" si="464"/>
        <v>0</v>
      </c>
      <c r="AN1618" s="1145">
        <f t="shared" si="465"/>
        <v>0</v>
      </c>
      <c r="AO1618" s="1154">
        <f t="shared" si="450"/>
        <v>0</v>
      </c>
      <c r="AP1618" s="1147">
        <f t="shared" si="453"/>
        <v>0</v>
      </c>
      <c r="AQ1618" s="1144">
        <f t="shared" si="454"/>
        <v>0</v>
      </c>
      <c r="AR1618" s="1146">
        <f t="shared" si="455"/>
        <v>0</v>
      </c>
    </row>
    <row r="1619" spans="1:44" x14ac:dyDescent="0.2">
      <c r="A1619" s="1141" t="str">
        <f t="shared" si="449"/>
        <v/>
      </c>
      <c r="B1619" s="1141" t="str">
        <f>IFERROR(VLOOKUP(A1619,'LAC 103'!A:C,3,FALSE),"")</f>
        <v/>
      </c>
      <c r="C1619" s="1478" t="str">
        <f>Info!$B$8</f>
        <v>00100</v>
      </c>
      <c r="D1619" s="1474"/>
      <c r="E1619" s="1474"/>
      <c r="F1619" s="1478"/>
      <c r="G1619" s="1478"/>
      <c r="H1619" s="1474"/>
      <c r="I1619" s="1478"/>
      <c r="J1619" s="1478"/>
      <c r="K1619" s="1475"/>
      <c r="L1619" s="1474"/>
      <c r="M1619" s="1476"/>
      <c r="N1619" s="1477"/>
      <c r="O1619" s="1479"/>
      <c r="P1619" s="1479"/>
      <c r="Q1619" s="1142">
        <f t="shared" si="451"/>
        <v>0</v>
      </c>
      <c r="R1619" s="1143">
        <f>IFERROR(VLOOKUP(CONCATENATE($E1619,$G1619),'LAC 103'!$A$12:$O$95,11,FALSE),0)</f>
        <v>0</v>
      </c>
      <c r="S1619" s="1144">
        <f>IFERROR(VLOOKUP(CONCATENATE($E1619,$G1619),'LAC 103'!$A$12:$O$95,12,FALSE),0)</f>
        <v>0</v>
      </c>
      <c r="T1619" s="1144">
        <f>IFERROR(VLOOKUP(CONCATENATE($E1619,$G1619),'LAC 103'!$A$12:$O$95,13,FALSE),0)</f>
        <v>0</v>
      </c>
      <c r="U1619" s="1144">
        <f>IFERROR(VLOOKUP(CONCATENATE($E1619,$G1619),'LAC 103'!$A$12:$O$95,14,FALSE),0)</f>
        <v>0</v>
      </c>
      <c r="V1619" s="1144">
        <f>IFERROR(VLOOKUP(CONCATENATE($E1619,$G1619),'LAC 103'!$A$12:$O$95,15,FALSE),0)</f>
        <v>0</v>
      </c>
      <c r="W1619" s="1145" t="str">
        <f>IFERROR(VLOOKUP(CONCATENATE($B1619,$N1619),'LAC 103'!$AI:$AQ,9,FALSE),"")</f>
        <v/>
      </c>
      <c r="X1619" s="1146">
        <f t="shared" si="456"/>
        <v>0</v>
      </c>
      <c r="Y1619" s="1143">
        <f t="shared" si="466"/>
        <v>0</v>
      </c>
      <c r="Z1619" s="1147">
        <f t="shared" si="457"/>
        <v>0</v>
      </c>
      <c r="AA1619" s="1144">
        <f t="shared" si="458"/>
        <v>0</v>
      </c>
      <c r="AB1619" s="1144">
        <f t="shared" si="459"/>
        <v>0</v>
      </c>
      <c r="AC1619" s="1144">
        <f t="shared" si="460"/>
        <v>0</v>
      </c>
      <c r="AD1619" s="1148">
        <f t="shared" si="452"/>
        <v>0</v>
      </c>
      <c r="AE1619" s="1487">
        <v>0</v>
      </c>
      <c r="AF1619" s="1145">
        <f t="shared" si="461"/>
        <v>0</v>
      </c>
      <c r="AG1619" s="1149">
        <f>IFERROR(VLOOKUP(CONCATENATE($L1619,$N1619),'Drop List'!$G$23:$K$87,2,FALSE),0)</f>
        <v>0</v>
      </c>
      <c r="AH1619" s="1150">
        <f>IFERROR(VLOOKUP(CONCATENATE($L1619,$N1619),'Drop List'!$G$23:$K$87,3,FALSE),0)</f>
        <v>0</v>
      </c>
      <c r="AI1619" s="1150">
        <f>IFERROR(VLOOKUP(CONCATENATE($L1619,$N1619),'Drop List'!$G$23:$K$87,4,FALSE),0)</f>
        <v>0</v>
      </c>
      <c r="AJ1619" s="1151">
        <f>IFERROR(VLOOKUP(CONCATENATE($L1619,$N1619),'Drop List'!$G$23:$K$87,5,FALSE),0)</f>
        <v>0</v>
      </c>
      <c r="AK1619" s="1152">
        <f t="shared" si="462"/>
        <v>0</v>
      </c>
      <c r="AL1619" s="1153">
        <f t="shared" si="463"/>
        <v>0</v>
      </c>
      <c r="AM1619" s="1153">
        <f t="shared" si="464"/>
        <v>0</v>
      </c>
      <c r="AN1619" s="1145">
        <f t="shared" si="465"/>
        <v>0</v>
      </c>
      <c r="AO1619" s="1154">
        <f t="shared" si="450"/>
        <v>0</v>
      </c>
      <c r="AP1619" s="1147">
        <f t="shared" si="453"/>
        <v>0</v>
      </c>
      <c r="AQ1619" s="1144">
        <f t="shared" si="454"/>
        <v>0</v>
      </c>
      <c r="AR1619" s="1146">
        <f t="shared" si="455"/>
        <v>0</v>
      </c>
    </row>
    <row r="1620" spans="1:44" x14ac:dyDescent="0.2">
      <c r="A1620" s="1141" t="str">
        <f t="shared" si="449"/>
        <v/>
      </c>
      <c r="B1620" s="1141" t="str">
        <f>IFERROR(VLOOKUP(A1620,'LAC 103'!A:C,3,FALSE),"")</f>
        <v/>
      </c>
      <c r="C1620" s="1478" t="str">
        <f>Info!$B$8</f>
        <v>00100</v>
      </c>
      <c r="D1620" s="1474"/>
      <c r="E1620" s="1474"/>
      <c r="F1620" s="1478"/>
      <c r="G1620" s="1478"/>
      <c r="H1620" s="1474"/>
      <c r="I1620" s="1478"/>
      <c r="J1620" s="1478"/>
      <c r="K1620" s="1475"/>
      <c r="L1620" s="1474"/>
      <c r="M1620" s="1476"/>
      <c r="N1620" s="1477"/>
      <c r="O1620" s="1479"/>
      <c r="P1620" s="1479"/>
      <c r="Q1620" s="1142">
        <f t="shared" si="451"/>
        <v>0</v>
      </c>
      <c r="R1620" s="1143">
        <f>IFERROR(VLOOKUP(CONCATENATE($E1620,$G1620),'LAC 103'!$A$12:$O$95,11,FALSE),0)</f>
        <v>0</v>
      </c>
      <c r="S1620" s="1144">
        <f>IFERROR(VLOOKUP(CONCATENATE($E1620,$G1620),'LAC 103'!$A$12:$O$95,12,FALSE),0)</f>
        <v>0</v>
      </c>
      <c r="T1620" s="1144">
        <f>IFERROR(VLOOKUP(CONCATENATE($E1620,$G1620),'LAC 103'!$A$12:$O$95,13,FALSE),0)</f>
        <v>0</v>
      </c>
      <c r="U1620" s="1144">
        <f>IFERROR(VLOOKUP(CONCATENATE($E1620,$G1620),'LAC 103'!$A$12:$O$95,14,FALSE),0)</f>
        <v>0</v>
      </c>
      <c r="V1620" s="1144">
        <f>IFERROR(VLOOKUP(CONCATENATE($E1620,$G1620),'LAC 103'!$A$12:$O$95,15,FALSE),0)</f>
        <v>0</v>
      </c>
      <c r="W1620" s="1145" t="str">
        <f>IFERROR(VLOOKUP(CONCATENATE($B1620,$N1620),'LAC 103'!$AI:$AQ,9,FALSE),"")</f>
        <v/>
      </c>
      <c r="X1620" s="1146">
        <f t="shared" si="456"/>
        <v>0</v>
      </c>
      <c r="Y1620" s="1143">
        <f t="shared" si="466"/>
        <v>0</v>
      </c>
      <c r="Z1620" s="1147">
        <f t="shared" si="457"/>
        <v>0</v>
      </c>
      <c r="AA1620" s="1144">
        <f t="shared" si="458"/>
        <v>0</v>
      </c>
      <c r="AB1620" s="1144">
        <f t="shared" si="459"/>
        <v>0</v>
      </c>
      <c r="AC1620" s="1144">
        <f t="shared" si="460"/>
        <v>0</v>
      </c>
      <c r="AD1620" s="1148">
        <f t="shared" si="452"/>
        <v>0</v>
      </c>
      <c r="AE1620" s="1487">
        <v>0</v>
      </c>
      <c r="AF1620" s="1145">
        <f t="shared" si="461"/>
        <v>0</v>
      </c>
      <c r="AG1620" s="1149">
        <f>IFERROR(VLOOKUP(CONCATENATE($L1620,$N1620),'Drop List'!$G$23:$K$87,2,FALSE),0)</f>
        <v>0</v>
      </c>
      <c r="AH1620" s="1150">
        <f>IFERROR(VLOOKUP(CONCATENATE($L1620,$N1620),'Drop List'!$G$23:$K$87,3,FALSE),0)</f>
        <v>0</v>
      </c>
      <c r="AI1620" s="1150">
        <f>IFERROR(VLOOKUP(CONCATENATE($L1620,$N1620),'Drop List'!$G$23:$K$87,4,FALSE),0)</f>
        <v>0</v>
      </c>
      <c r="AJ1620" s="1151">
        <f>IFERROR(VLOOKUP(CONCATENATE($L1620,$N1620),'Drop List'!$G$23:$K$87,5,FALSE),0)</f>
        <v>0</v>
      </c>
      <c r="AK1620" s="1152">
        <f t="shared" si="462"/>
        <v>0</v>
      </c>
      <c r="AL1620" s="1153">
        <f t="shared" si="463"/>
        <v>0</v>
      </c>
      <c r="AM1620" s="1153">
        <f t="shared" si="464"/>
        <v>0</v>
      </c>
      <c r="AN1620" s="1145">
        <f t="shared" si="465"/>
        <v>0</v>
      </c>
      <c r="AO1620" s="1154">
        <f t="shared" si="450"/>
        <v>0</v>
      </c>
      <c r="AP1620" s="1147">
        <f t="shared" si="453"/>
        <v>0</v>
      </c>
      <c r="AQ1620" s="1144">
        <f t="shared" si="454"/>
        <v>0</v>
      </c>
      <c r="AR1620" s="1146">
        <f t="shared" si="455"/>
        <v>0</v>
      </c>
    </row>
    <row r="1621" spans="1:44" x14ac:dyDescent="0.2">
      <c r="A1621" s="1141" t="str">
        <f t="shared" si="449"/>
        <v/>
      </c>
      <c r="B1621" s="1141" t="str">
        <f>IFERROR(VLOOKUP(A1621,'LAC 103'!A:C,3,FALSE),"")</f>
        <v/>
      </c>
      <c r="C1621" s="1478" t="str">
        <f>Info!$B$8</f>
        <v>00100</v>
      </c>
      <c r="D1621" s="1474"/>
      <c r="E1621" s="1474"/>
      <c r="F1621" s="1478"/>
      <c r="G1621" s="1478"/>
      <c r="H1621" s="1474"/>
      <c r="I1621" s="1478"/>
      <c r="J1621" s="1478"/>
      <c r="K1621" s="1475"/>
      <c r="L1621" s="1474"/>
      <c r="M1621" s="1476"/>
      <c r="N1621" s="1477"/>
      <c r="O1621" s="1479"/>
      <c r="P1621" s="1479"/>
      <c r="Q1621" s="1142">
        <f t="shared" si="451"/>
        <v>0</v>
      </c>
      <c r="R1621" s="1143">
        <f>IFERROR(VLOOKUP(CONCATENATE($E1621,$G1621),'LAC 103'!$A$12:$O$95,11,FALSE),0)</f>
        <v>0</v>
      </c>
      <c r="S1621" s="1144">
        <f>IFERROR(VLOOKUP(CONCATENATE($E1621,$G1621),'LAC 103'!$A$12:$O$95,12,FALSE),0)</f>
        <v>0</v>
      </c>
      <c r="T1621" s="1144">
        <f>IFERROR(VLOOKUP(CONCATENATE($E1621,$G1621),'LAC 103'!$A$12:$O$95,13,FALSE),0)</f>
        <v>0</v>
      </c>
      <c r="U1621" s="1144">
        <f>IFERROR(VLOOKUP(CONCATENATE($E1621,$G1621),'LAC 103'!$A$12:$O$95,14,FALSE),0)</f>
        <v>0</v>
      </c>
      <c r="V1621" s="1144">
        <f>IFERROR(VLOOKUP(CONCATENATE($E1621,$G1621),'LAC 103'!$A$12:$O$95,15,FALSE),0)</f>
        <v>0</v>
      </c>
      <c r="W1621" s="1145" t="str">
        <f>IFERROR(VLOOKUP(CONCATENATE($B1621,$N1621),'LAC 103'!$AI:$AQ,9,FALSE),"")</f>
        <v/>
      </c>
      <c r="X1621" s="1146">
        <f t="shared" si="456"/>
        <v>0</v>
      </c>
      <c r="Y1621" s="1143">
        <f t="shared" si="466"/>
        <v>0</v>
      </c>
      <c r="Z1621" s="1147">
        <f t="shared" si="457"/>
        <v>0</v>
      </c>
      <c r="AA1621" s="1144">
        <f t="shared" si="458"/>
        <v>0</v>
      </c>
      <c r="AB1621" s="1144">
        <f t="shared" si="459"/>
        <v>0</v>
      </c>
      <c r="AC1621" s="1144">
        <f t="shared" si="460"/>
        <v>0</v>
      </c>
      <c r="AD1621" s="1148">
        <f t="shared" si="452"/>
        <v>0</v>
      </c>
      <c r="AE1621" s="1487">
        <v>0</v>
      </c>
      <c r="AF1621" s="1145">
        <f t="shared" si="461"/>
        <v>0</v>
      </c>
      <c r="AG1621" s="1149">
        <f>IFERROR(VLOOKUP(CONCATENATE($L1621,$N1621),'Drop List'!$G$23:$K$87,2,FALSE),0)</f>
        <v>0</v>
      </c>
      <c r="AH1621" s="1150">
        <f>IFERROR(VLOOKUP(CONCATENATE($L1621,$N1621),'Drop List'!$G$23:$K$87,3,FALSE),0)</f>
        <v>0</v>
      </c>
      <c r="AI1621" s="1150">
        <f>IFERROR(VLOOKUP(CONCATENATE($L1621,$N1621),'Drop List'!$G$23:$K$87,4,FALSE),0)</f>
        <v>0</v>
      </c>
      <c r="AJ1621" s="1151">
        <f>IFERROR(VLOOKUP(CONCATENATE($L1621,$N1621),'Drop List'!$G$23:$K$87,5,FALSE),0)</f>
        <v>0</v>
      </c>
      <c r="AK1621" s="1152">
        <f t="shared" si="462"/>
        <v>0</v>
      </c>
      <c r="AL1621" s="1153">
        <f t="shared" si="463"/>
        <v>0</v>
      </c>
      <c r="AM1621" s="1153">
        <f t="shared" si="464"/>
        <v>0</v>
      </c>
      <c r="AN1621" s="1145">
        <f t="shared" si="465"/>
        <v>0</v>
      </c>
      <c r="AO1621" s="1154">
        <f t="shared" si="450"/>
        <v>0</v>
      </c>
      <c r="AP1621" s="1147">
        <f t="shared" si="453"/>
        <v>0</v>
      </c>
      <c r="AQ1621" s="1144">
        <f t="shared" si="454"/>
        <v>0</v>
      </c>
      <c r="AR1621" s="1146">
        <f t="shared" si="455"/>
        <v>0</v>
      </c>
    </row>
    <row r="1622" spans="1:44" x14ac:dyDescent="0.2">
      <c r="A1622" s="1141" t="str">
        <f t="shared" ref="A1622:A1685" si="467">IF(CONCATENATE(E1622,G1622)="","",CONCATENATE(E1622,G1622))</f>
        <v/>
      </c>
      <c r="B1622" s="1141" t="str">
        <f>IFERROR(VLOOKUP(A1622,'LAC 103'!A:C,3,FALSE),"")</f>
        <v/>
      </c>
      <c r="C1622" s="1478" t="str">
        <f>Info!$B$8</f>
        <v>00100</v>
      </c>
      <c r="D1622" s="1474"/>
      <c r="E1622" s="1474"/>
      <c r="F1622" s="1478"/>
      <c r="G1622" s="1478"/>
      <c r="H1622" s="1474"/>
      <c r="I1622" s="1478"/>
      <c r="J1622" s="1478"/>
      <c r="K1622" s="1475"/>
      <c r="L1622" s="1474"/>
      <c r="M1622" s="1476"/>
      <c r="N1622" s="1477"/>
      <c r="O1622" s="1479"/>
      <c r="P1622" s="1479"/>
      <c r="Q1622" s="1142">
        <f t="shared" si="451"/>
        <v>0</v>
      </c>
      <c r="R1622" s="1143">
        <f>IFERROR(VLOOKUP(CONCATENATE($E1622,$G1622),'LAC 103'!$A$12:$O$95,11,FALSE),0)</f>
        <v>0</v>
      </c>
      <c r="S1622" s="1144">
        <f>IFERROR(VLOOKUP(CONCATENATE($E1622,$G1622),'LAC 103'!$A$12:$O$95,12,FALSE),0)</f>
        <v>0</v>
      </c>
      <c r="T1622" s="1144">
        <f>IFERROR(VLOOKUP(CONCATENATE($E1622,$G1622),'LAC 103'!$A$12:$O$95,13,FALSE),0)</f>
        <v>0</v>
      </c>
      <c r="U1622" s="1144">
        <f>IFERROR(VLOOKUP(CONCATENATE($E1622,$G1622),'LAC 103'!$A$12:$O$95,14,FALSE),0)</f>
        <v>0</v>
      </c>
      <c r="V1622" s="1144">
        <f>IFERROR(VLOOKUP(CONCATENATE($E1622,$G1622),'LAC 103'!$A$12:$O$95,15,FALSE),0)</f>
        <v>0</v>
      </c>
      <c r="W1622" s="1145" t="str">
        <f>IFERROR(VLOOKUP(CONCATENATE($B1622,$N1622),'LAC 103'!$AI:$AQ,9,FALSE),"")</f>
        <v/>
      </c>
      <c r="X1622" s="1146">
        <f t="shared" si="456"/>
        <v>0</v>
      </c>
      <c r="Y1622" s="1143">
        <f t="shared" si="466"/>
        <v>0</v>
      </c>
      <c r="Z1622" s="1147">
        <f t="shared" si="457"/>
        <v>0</v>
      </c>
      <c r="AA1622" s="1144">
        <f t="shared" si="458"/>
        <v>0</v>
      </c>
      <c r="AB1622" s="1144">
        <f t="shared" si="459"/>
        <v>0</v>
      </c>
      <c r="AC1622" s="1144">
        <f t="shared" si="460"/>
        <v>0</v>
      </c>
      <c r="AD1622" s="1148">
        <f t="shared" si="452"/>
        <v>0</v>
      </c>
      <c r="AE1622" s="1487">
        <v>0</v>
      </c>
      <c r="AF1622" s="1145">
        <f t="shared" si="461"/>
        <v>0</v>
      </c>
      <c r="AG1622" s="1149">
        <f>IFERROR(VLOOKUP(CONCATENATE($L1622,$N1622),'Drop List'!$G$23:$K$87,2,FALSE),0)</f>
        <v>0</v>
      </c>
      <c r="AH1622" s="1150">
        <f>IFERROR(VLOOKUP(CONCATENATE($L1622,$N1622),'Drop List'!$G$23:$K$87,3,FALSE),0)</f>
        <v>0</v>
      </c>
      <c r="AI1622" s="1150">
        <f>IFERROR(VLOOKUP(CONCATENATE($L1622,$N1622),'Drop List'!$G$23:$K$87,4,FALSE),0)</f>
        <v>0</v>
      </c>
      <c r="AJ1622" s="1151">
        <f>IFERROR(VLOOKUP(CONCATENATE($L1622,$N1622),'Drop List'!$G$23:$K$87,5,FALSE),0)</f>
        <v>0</v>
      </c>
      <c r="AK1622" s="1152">
        <f t="shared" si="462"/>
        <v>0</v>
      </c>
      <c r="AL1622" s="1153">
        <f t="shared" si="463"/>
        <v>0</v>
      </c>
      <c r="AM1622" s="1153">
        <f t="shared" si="464"/>
        <v>0</v>
      </c>
      <c r="AN1622" s="1145">
        <f t="shared" si="465"/>
        <v>0</v>
      </c>
      <c r="AO1622" s="1154">
        <f t="shared" si="450"/>
        <v>0</v>
      </c>
      <c r="AP1622" s="1147">
        <f t="shared" si="453"/>
        <v>0</v>
      </c>
      <c r="AQ1622" s="1144">
        <f t="shared" si="454"/>
        <v>0</v>
      </c>
      <c r="AR1622" s="1146">
        <f t="shared" si="455"/>
        <v>0</v>
      </c>
    </row>
    <row r="1623" spans="1:44" x14ac:dyDescent="0.2">
      <c r="A1623" s="1141" t="str">
        <f t="shared" si="467"/>
        <v/>
      </c>
      <c r="B1623" s="1141" t="str">
        <f>IFERROR(VLOOKUP(A1623,'LAC 103'!A:C,3,FALSE),"")</f>
        <v/>
      </c>
      <c r="C1623" s="1478" t="str">
        <f>Info!$B$8</f>
        <v>00100</v>
      </c>
      <c r="D1623" s="1474"/>
      <c r="E1623" s="1474"/>
      <c r="F1623" s="1478"/>
      <c r="G1623" s="1478"/>
      <c r="H1623" s="1474"/>
      <c r="I1623" s="1478"/>
      <c r="J1623" s="1478"/>
      <c r="K1623" s="1475"/>
      <c r="L1623" s="1474"/>
      <c r="M1623" s="1476"/>
      <c r="N1623" s="1477"/>
      <c r="O1623" s="1479"/>
      <c r="P1623" s="1479"/>
      <c r="Q1623" s="1142">
        <f t="shared" si="451"/>
        <v>0</v>
      </c>
      <c r="R1623" s="1143">
        <f>IFERROR(VLOOKUP(CONCATENATE($E1623,$G1623),'LAC 103'!$A$12:$O$95,11,FALSE),0)</f>
        <v>0</v>
      </c>
      <c r="S1623" s="1144">
        <f>IFERROR(VLOOKUP(CONCATENATE($E1623,$G1623),'LAC 103'!$A$12:$O$95,12,FALSE),0)</f>
        <v>0</v>
      </c>
      <c r="T1623" s="1144">
        <f>IFERROR(VLOOKUP(CONCATENATE($E1623,$G1623),'LAC 103'!$A$12:$O$95,13,FALSE),0)</f>
        <v>0</v>
      </c>
      <c r="U1623" s="1144">
        <f>IFERROR(VLOOKUP(CONCATENATE($E1623,$G1623),'LAC 103'!$A$12:$O$95,14,FALSE),0)</f>
        <v>0</v>
      </c>
      <c r="V1623" s="1144">
        <f>IFERROR(VLOOKUP(CONCATENATE($E1623,$G1623),'LAC 103'!$A$12:$O$95,15,FALSE),0)</f>
        <v>0</v>
      </c>
      <c r="W1623" s="1145" t="str">
        <f>IFERROR(VLOOKUP(CONCATENATE($B1623,$N1623),'LAC 103'!$AI:$AQ,9,FALSE),"")</f>
        <v/>
      </c>
      <c r="X1623" s="1146">
        <f t="shared" si="456"/>
        <v>0</v>
      </c>
      <c r="Y1623" s="1143">
        <f t="shared" si="466"/>
        <v>0</v>
      </c>
      <c r="Z1623" s="1147">
        <f t="shared" si="457"/>
        <v>0</v>
      </c>
      <c r="AA1623" s="1144">
        <f t="shared" si="458"/>
        <v>0</v>
      </c>
      <c r="AB1623" s="1144">
        <f t="shared" si="459"/>
        <v>0</v>
      </c>
      <c r="AC1623" s="1144">
        <f t="shared" si="460"/>
        <v>0</v>
      </c>
      <c r="AD1623" s="1148">
        <f t="shared" si="452"/>
        <v>0</v>
      </c>
      <c r="AE1623" s="1487">
        <v>0</v>
      </c>
      <c r="AF1623" s="1145">
        <f t="shared" si="461"/>
        <v>0</v>
      </c>
      <c r="AG1623" s="1149">
        <f>IFERROR(VLOOKUP(CONCATENATE($L1623,$N1623),'Drop List'!$G$23:$K$87,2,FALSE),0)</f>
        <v>0</v>
      </c>
      <c r="AH1623" s="1150">
        <f>IFERROR(VLOOKUP(CONCATENATE($L1623,$N1623),'Drop List'!$G$23:$K$87,3,FALSE),0)</f>
        <v>0</v>
      </c>
      <c r="AI1623" s="1150">
        <f>IFERROR(VLOOKUP(CONCATENATE($L1623,$N1623),'Drop List'!$G$23:$K$87,4,FALSE),0)</f>
        <v>0</v>
      </c>
      <c r="AJ1623" s="1151">
        <f>IFERROR(VLOOKUP(CONCATENATE($L1623,$N1623),'Drop List'!$G$23:$K$87,5,FALSE),0)</f>
        <v>0</v>
      </c>
      <c r="AK1623" s="1152">
        <f t="shared" si="462"/>
        <v>0</v>
      </c>
      <c r="AL1623" s="1153">
        <f t="shared" si="463"/>
        <v>0</v>
      </c>
      <c r="AM1623" s="1153">
        <f t="shared" si="464"/>
        <v>0</v>
      </c>
      <c r="AN1623" s="1145">
        <f t="shared" si="465"/>
        <v>0</v>
      </c>
      <c r="AO1623" s="1154">
        <f t="shared" si="450"/>
        <v>0</v>
      </c>
      <c r="AP1623" s="1147">
        <f t="shared" si="453"/>
        <v>0</v>
      </c>
      <c r="AQ1623" s="1144">
        <f t="shared" si="454"/>
        <v>0</v>
      </c>
      <c r="AR1623" s="1146">
        <f t="shared" si="455"/>
        <v>0</v>
      </c>
    </row>
    <row r="1624" spans="1:44" x14ac:dyDescent="0.2">
      <c r="A1624" s="1141" t="str">
        <f t="shared" si="467"/>
        <v/>
      </c>
      <c r="B1624" s="1141" t="str">
        <f>IFERROR(VLOOKUP(A1624,'LAC 103'!A:C,3,FALSE),"")</f>
        <v/>
      </c>
      <c r="C1624" s="1478" t="str">
        <f>Info!$B$8</f>
        <v>00100</v>
      </c>
      <c r="D1624" s="1474"/>
      <c r="E1624" s="1474"/>
      <c r="F1624" s="1478"/>
      <c r="G1624" s="1478"/>
      <c r="H1624" s="1474"/>
      <c r="I1624" s="1478"/>
      <c r="J1624" s="1478"/>
      <c r="K1624" s="1475"/>
      <c r="L1624" s="1474"/>
      <c r="M1624" s="1476"/>
      <c r="N1624" s="1477"/>
      <c r="O1624" s="1479"/>
      <c r="P1624" s="1479"/>
      <c r="Q1624" s="1142">
        <f t="shared" si="451"/>
        <v>0</v>
      </c>
      <c r="R1624" s="1143">
        <f>IFERROR(VLOOKUP(CONCATENATE($E1624,$G1624),'LAC 103'!$A$12:$O$95,11,FALSE),0)</f>
        <v>0</v>
      </c>
      <c r="S1624" s="1144">
        <f>IFERROR(VLOOKUP(CONCATENATE($E1624,$G1624),'LAC 103'!$A$12:$O$95,12,FALSE),0)</f>
        <v>0</v>
      </c>
      <c r="T1624" s="1144">
        <f>IFERROR(VLOOKUP(CONCATENATE($E1624,$G1624),'LAC 103'!$A$12:$O$95,13,FALSE),0)</f>
        <v>0</v>
      </c>
      <c r="U1624" s="1144">
        <f>IFERROR(VLOOKUP(CONCATENATE($E1624,$G1624),'LAC 103'!$A$12:$O$95,14,FALSE),0)</f>
        <v>0</v>
      </c>
      <c r="V1624" s="1144">
        <f>IFERROR(VLOOKUP(CONCATENATE($E1624,$G1624),'LAC 103'!$A$12:$O$95,15,FALSE),0)</f>
        <v>0</v>
      </c>
      <c r="W1624" s="1145" t="str">
        <f>IFERROR(VLOOKUP(CONCATENATE($B1624,$N1624),'LAC 103'!$AI:$AQ,9,FALSE),"")</f>
        <v/>
      </c>
      <c r="X1624" s="1146">
        <f t="shared" si="456"/>
        <v>0</v>
      </c>
      <c r="Y1624" s="1143">
        <f t="shared" si="466"/>
        <v>0</v>
      </c>
      <c r="Z1624" s="1147">
        <f t="shared" si="457"/>
        <v>0</v>
      </c>
      <c r="AA1624" s="1144">
        <f t="shared" si="458"/>
        <v>0</v>
      </c>
      <c r="AB1624" s="1144">
        <f t="shared" si="459"/>
        <v>0</v>
      </c>
      <c r="AC1624" s="1144">
        <f t="shared" si="460"/>
        <v>0</v>
      </c>
      <c r="AD1624" s="1148">
        <f t="shared" si="452"/>
        <v>0</v>
      </c>
      <c r="AE1624" s="1487">
        <v>0</v>
      </c>
      <c r="AF1624" s="1145">
        <f t="shared" si="461"/>
        <v>0</v>
      </c>
      <c r="AG1624" s="1149">
        <f>IFERROR(VLOOKUP(CONCATENATE($L1624,$N1624),'Drop List'!$G$23:$K$87,2,FALSE),0)</f>
        <v>0</v>
      </c>
      <c r="AH1624" s="1150">
        <f>IFERROR(VLOOKUP(CONCATENATE($L1624,$N1624),'Drop List'!$G$23:$K$87,3,FALSE),0)</f>
        <v>0</v>
      </c>
      <c r="AI1624" s="1150">
        <f>IFERROR(VLOOKUP(CONCATENATE($L1624,$N1624),'Drop List'!$G$23:$K$87,4,FALSE),0)</f>
        <v>0</v>
      </c>
      <c r="AJ1624" s="1151">
        <f>IFERROR(VLOOKUP(CONCATENATE($L1624,$N1624),'Drop List'!$G$23:$K$87,5,FALSE),0)</f>
        <v>0</v>
      </c>
      <c r="AK1624" s="1152">
        <f t="shared" si="462"/>
        <v>0</v>
      </c>
      <c r="AL1624" s="1153">
        <f t="shared" si="463"/>
        <v>0</v>
      </c>
      <c r="AM1624" s="1153">
        <f t="shared" si="464"/>
        <v>0</v>
      </c>
      <c r="AN1624" s="1145">
        <f t="shared" si="465"/>
        <v>0</v>
      </c>
      <c r="AO1624" s="1154">
        <f t="shared" si="450"/>
        <v>0</v>
      </c>
      <c r="AP1624" s="1147">
        <f t="shared" si="453"/>
        <v>0</v>
      </c>
      <c r="AQ1624" s="1144">
        <f t="shared" si="454"/>
        <v>0</v>
      </c>
      <c r="AR1624" s="1146">
        <f t="shared" si="455"/>
        <v>0</v>
      </c>
    </row>
    <row r="1625" spans="1:44" x14ac:dyDescent="0.2">
      <c r="A1625" s="1141" t="str">
        <f t="shared" si="467"/>
        <v/>
      </c>
      <c r="B1625" s="1141" t="str">
        <f>IFERROR(VLOOKUP(A1625,'LAC 103'!A:C,3,FALSE),"")</f>
        <v/>
      </c>
      <c r="C1625" s="1478" t="str">
        <f>Info!$B$8</f>
        <v>00100</v>
      </c>
      <c r="D1625" s="1474"/>
      <c r="E1625" s="1474"/>
      <c r="F1625" s="1478"/>
      <c r="G1625" s="1478"/>
      <c r="H1625" s="1474"/>
      <c r="I1625" s="1478"/>
      <c r="J1625" s="1478"/>
      <c r="K1625" s="1475"/>
      <c r="L1625" s="1474"/>
      <c r="M1625" s="1476"/>
      <c r="N1625" s="1477"/>
      <c r="O1625" s="1479"/>
      <c r="P1625" s="1479"/>
      <c r="Q1625" s="1142">
        <f t="shared" si="451"/>
        <v>0</v>
      </c>
      <c r="R1625" s="1143">
        <f>IFERROR(VLOOKUP(CONCATENATE($E1625,$G1625),'LAC 103'!$A$12:$O$95,11,FALSE),0)</f>
        <v>0</v>
      </c>
      <c r="S1625" s="1144">
        <f>IFERROR(VLOOKUP(CONCATENATE($E1625,$G1625),'LAC 103'!$A$12:$O$95,12,FALSE),0)</f>
        <v>0</v>
      </c>
      <c r="T1625" s="1144">
        <f>IFERROR(VLOOKUP(CONCATENATE($E1625,$G1625),'LAC 103'!$A$12:$O$95,13,FALSE),0)</f>
        <v>0</v>
      </c>
      <c r="U1625" s="1144">
        <f>IFERROR(VLOOKUP(CONCATENATE($E1625,$G1625),'LAC 103'!$A$12:$O$95,14,FALSE),0)</f>
        <v>0</v>
      </c>
      <c r="V1625" s="1144">
        <f>IFERROR(VLOOKUP(CONCATENATE($E1625,$G1625),'LAC 103'!$A$12:$O$95,15,FALSE),0)</f>
        <v>0</v>
      </c>
      <c r="W1625" s="1145" t="str">
        <f>IFERROR(VLOOKUP(CONCATENATE($B1625,$N1625),'LAC 103'!$AI:$AQ,9,FALSE),"")</f>
        <v/>
      </c>
      <c r="X1625" s="1146">
        <f t="shared" si="456"/>
        <v>0</v>
      </c>
      <c r="Y1625" s="1143">
        <f t="shared" si="466"/>
        <v>0</v>
      </c>
      <c r="Z1625" s="1147">
        <f t="shared" si="457"/>
        <v>0</v>
      </c>
      <c r="AA1625" s="1144">
        <f t="shared" si="458"/>
        <v>0</v>
      </c>
      <c r="AB1625" s="1144">
        <f t="shared" si="459"/>
        <v>0</v>
      </c>
      <c r="AC1625" s="1144">
        <f t="shared" si="460"/>
        <v>0</v>
      </c>
      <c r="AD1625" s="1148">
        <f t="shared" si="452"/>
        <v>0</v>
      </c>
      <c r="AE1625" s="1487">
        <v>0</v>
      </c>
      <c r="AF1625" s="1145">
        <f t="shared" si="461"/>
        <v>0</v>
      </c>
      <c r="AG1625" s="1149">
        <f>IFERROR(VLOOKUP(CONCATENATE($L1625,$N1625),'Drop List'!$G$23:$K$87,2,FALSE),0)</f>
        <v>0</v>
      </c>
      <c r="AH1625" s="1150">
        <f>IFERROR(VLOOKUP(CONCATENATE($L1625,$N1625),'Drop List'!$G$23:$K$87,3,FALSE),0)</f>
        <v>0</v>
      </c>
      <c r="AI1625" s="1150">
        <f>IFERROR(VLOOKUP(CONCATENATE($L1625,$N1625),'Drop List'!$G$23:$K$87,4,FALSE),0)</f>
        <v>0</v>
      </c>
      <c r="AJ1625" s="1151">
        <f>IFERROR(VLOOKUP(CONCATENATE($L1625,$N1625),'Drop List'!$G$23:$K$87,5,FALSE),0)</f>
        <v>0</v>
      </c>
      <c r="AK1625" s="1152">
        <f t="shared" si="462"/>
        <v>0</v>
      </c>
      <c r="AL1625" s="1153">
        <f t="shared" si="463"/>
        <v>0</v>
      </c>
      <c r="AM1625" s="1153">
        <f t="shared" si="464"/>
        <v>0</v>
      </c>
      <c r="AN1625" s="1145">
        <f t="shared" si="465"/>
        <v>0</v>
      </c>
      <c r="AO1625" s="1154">
        <f t="shared" si="450"/>
        <v>0</v>
      </c>
      <c r="AP1625" s="1147">
        <f t="shared" si="453"/>
        <v>0</v>
      </c>
      <c r="AQ1625" s="1144">
        <f t="shared" si="454"/>
        <v>0</v>
      </c>
      <c r="AR1625" s="1146">
        <f t="shared" si="455"/>
        <v>0</v>
      </c>
    </row>
    <row r="1626" spans="1:44" x14ac:dyDescent="0.2">
      <c r="A1626" s="1141" t="str">
        <f t="shared" si="467"/>
        <v/>
      </c>
      <c r="B1626" s="1141" t="str">
        <f>IFERROR(VLOOKUP(A1626,'LAC 103'!A:C,3,FALSE),"")</f>
        <v/>
      </c>
      <c r="C1626" s="1478" t="str">
        <f>Info!$B$8</f>
        <v>00100</v>
      </c>
      <c r="D1626" s="1474"/>
      <c r="E1626" s="1474"/>
      <c r="F1626" s="1478"/>
      <c r="G1626" s="1478"/>
      <c r="H1626" s="1474"/>
      <c r="I1626" s="1478"/>
      <c r="J1626" s="1478"/>
      <c r="K1626" s="1475"/>
      <c r="L1626" s="1474"/>
      <c r="M1626" s="1476"/>
      <c r="N1626" s="1477"/>
      <c r="O1626" s="1479"/>
      <c r="P1626" s="1479"/>
      <c r="Q1626" s="1142">
        <f t="shared" si="451"/>
        <v>0</v>
      </c>
      <c r="R1626" s="1143">
        <f>IFERROR(VLOOKUP(CONCATENATE($E1626,$G1626),'LAC 103'!$A$12:$O$95,11,FALSE),0)</f>
        <v>0</v>
      </c>
      <c r="S1626" s="1144">
        <f>IFERROR(VLOOKUP(CONCATENATE($E1626,$G1626),'LAC 103'!$A$12:$O$95,12,FALSE),0)</f>
        <v>0</v>
      </c>
      <c r="T1626" s="1144">
        <f>IFERROR(VLOOKUP(CONCATENATE($E1626,$G1626),'LAC 103'!$A$12:$O$95,13,FALSE),0)</f>
        <v>0</v>
      </c>
      <c r="U1626" s="1144">
        <f>IFERROR(VLOOKUP(CONCATENATE($E1626,$G1626),'LAC 103'!$A$12:$O$95,14,FALSE),0)</f>
        <v>0</v>
      </c>
      <c r="V1626" s="1144">
        <f>IFERROR(VLOOKUP(CONCATENATE($E1626,$G1626),'LAC 103'!$A$12:$O$95,15,FALSE),0)</f>
        <v>0</v>
      </c>
      <c r="W1626" s="1145" t="str">
        <f>IFERROR(VLOOKUP(CONCATENATE($B1626,$N1626),'LAC 103'!$AI:$AQ,9,FALSE),"")</f>
        <v/>
      </c>
      <c r="X1626" s="1146">
        <f t="shared" si="456"/>
        <v>0</v>
      </c>
      <c r="Y1626" s="1143">
        <f t="shared" si="466"/>
        <v>0</v>
      </c>
      <c r="Z1626" s="1147">
        <f t="shared" si="457"/>
        <v>0</v>
      </c>
      <c r="AA1626" s="1144">
        <f t="shared" si="458"/>
        <v>0</v>
      </c>
      <c r="AB1626" s="1144">
        <f t="shared" si="459"/>
        <v>0</v>
      </c>
      <c r="AC1626" s="1144">
        <f t="shared" si="460"/>
        <v>0</v>
      </c>
      <c r="AD1626" s="1148">
        <f t="shared" si="452"/>
        <v>0</v>
      </c>
      <c r="AE1626" s="1487">
        <v>0</v>
      </c>
      <c r="AF1626" s="1145">
        <f t="shared" si="461"/>
        <v>0</v>
      </c>
      <c r="AG1626" s="1149">
        <f>IFERROR(VLOOKUP(CONCATENATE($L1626,$N1626),'Drop List'!$G$23:$K$87,2,FALSE),0)</f>
        <v>0</v>
      </c>
      <c r="AH1626" s="1150">
        <f>IFERROR(VLOOKUP(CONCATENATE($L1626,$N1626),'Drop List'!$G$23:$K$87,3,FALSE),0)</f>
        <v>0</v>
      </c>
      <c r="AI1626" s="1150">
        <f>IFERROR(VLOOKUP(CONCATENATE($L1626,$N1626),'Drop List'!$G$23:$K$87,4,FALSE),0)</f>
        <v>0</v>
      </c>
      <c r="AJ1626" s="1151">
        <f>IFERROR(VLOOKUP(CONCATENATE($L1626,$N1626),'Drop List'!$G$23:$K$87,5,FALSE),0)</f>
        <v>0</v>
      </c>
      <c r="AK1626" s="1152">
        <f t="shared" si="462"/>
        <v>0</v>
      </c>
      <c r="AL1626" s="1153">
        <f t="shared" si="463"/>
        <v>0</v>
      </c>
      <c r="AM1626" s="1153">
        <f t="shared" si="464"/>
        <v>0</v>
      </c>
      <c r="AN1626" s="1145">
        <f t="shared" si="465"/>
        <v>0</v>
      </c>
      <c r="AO1626" s="1154">
        <f t="shared" si="450"/>
        <v>0</v>
      </c>
      <c r="AP1626" s="1147">
        <f t="shared" si="453"/>
        <v>0</v>
      </c>
      <c r="AQ1626" s="1144">
        <f t="shared" si="454"/>
        <v>0</v>
      </c>
      <c r="AR1626" s="1146">
        <f t="shared" si="455"/>
        <v>0</v>
      </c>
    </row>
    <row r="1627" spans="1:44" x14ac:dyDescent="0.2">
      <c r="A1627" s="1141" t="str">
        <f t="shared" si="467"/>
        <v/>
      </c>
      <c r="B1627" s="1141" t="str">
        <f>IFERROR(VLOOKUP(A1627,'LAC 103'!A:C,3,FALSE),"")</f>
        <v/>
      </c>
      <c r="C1627" s="1478" t="str">
        <f>Info!$B$8</f>
        <v>00100</v>
      </c>
      <c r="D1627" s="1474"/>
      <c r="E1627" s="1474"/>
      <c r="F1627" s="1478"/>
      <c r="G1627" s="1478"/>
      <c r="H1627" s="1474"/>
      <c r="I1627" s="1478"/>
      <c r="J1627" s="1478"/>
      <c r="K1627" s="1475"/>
      <c r="L1627" s="1474"/>
      <c r="M1627" s="1476"/>
      <c r="N1627" s="1477"/>
      <c r="O1627" s="1479"/>
      <c r="P1627" s="1479"/>
      <c r="Q1627" s="1142">
        <f t="shared" si="451"/>
        <v>0</v>
      </c>
      <c r="R1627" s="1143">
        <f>IFERROR(VLOOKUP(CONCATENATE($E1627,$G1627),'LAC 103'!$A$12:$O$95,11,FALSE),0)</f>
        <v>0</v>
      </c>
      <c r="S1627" s="1144">
        <f>IFERROR(VLOOKUP(CONCATENATE($E1627,$G1627),'LAC 103'!$A$12:$O$95,12,FALSE),0)</f>
        <v>0</v>
      </c>
      <c r="T1627" s="1144">
        <f>IFERROR(VLOOKUP(CONCATENATE($E1627,$G1627),'LAC 103'!$A$12:$O$95,13,FALSE),0)</f>
        <v>0</v>
      </c>
      <c r="U1627" s="1144">
        <f>IFERROR(VLOOKUP(CONCATENATE($E1627,$G1627),'LAC 103'!$A$12:$O$95,14,FALSE),0)</f>
        <v>0</v>
      </c>
      <c r="V1627" s="1144">
        <f>IFERROR(VLOOKUP(CONCATENATE($E1627,$G1627),'LAC 103'!$A$12:$O$95,15,FALSE),0)</f>
        <v>0</v>
      </c>
      <c r="W1627" s="1145" t="str">
        <f>IFERROR(VLOOKUP(CONCATENATE($B1627,$N1627),'LAC 103'!$AI:$AQ,9,FALSE),"")</f>
        <v/>
      </c>
      <c r="X1627" s="1146">
        <f t="shared" si="456"/>
        <v>0</v>
      </c>
      <c r="Y1627" s="1143">
        <f t="shared" si="466"/>
        <v>0</v>
      </c>
      <c r="Z1627" s="1147">
        <f t="shared" si="457"/>
        <v>0</v>
      </c>
      <c r="AA1627" s="1144">
        <f t="shared" si="458"/>
        <v>0</v>
      </c>
      <c r="AB1627" s="1144">
        <f t="shared" si="459"/>
        <v>0</v>
      </c>
      <c r="AC1627" s="1144">
        <f t="shared" si="460"/>
        <v>0</v>
      </c>
      <c r="AD1627" s="1148">
        <f t="shared" si="452"/>
        <v>0</v>
      </c>
      <c r="AE1627" s="1487">
        <v>0</v>
      </c>
      <c r="AF1627" s="1145">
        <f t="shared" si="461"/>
        <v>0</v>
      </c>
      <c r="AG1627" s="1149">
        <f>IFERROR(VLOOKUP(CONCATENATE($L1627,$N1627),'Drop List'!$G$23:$K$87,2,FALSE),0)</f>
        <v>0</v>
      </c>
      <c r="AH1627" s="1150">
        <f>IFERROR(VLOOKUP(CONCATENATE($L1627,$N1627),'Drop List'!$G$23:$K$87,3,FALSE),0)</f>
        <v>0</v>
      </c>
      <c r="AI1627" s="1150">
        <f>IFERROR(VLOOKUP(CONCATENATE($L1627,$N1627),'Drop List'!$G$23:$K$87,4,FALSE),0)</f>
        <v>0</v>
      </c>
      <c r="AJ1627" s="1151">
        <f>IFERROR(VLOOKUP(CONCATENATE($L1627,$N1627),'Drop List'!$G$23:$K$87,5,FALSE),0)</f>
        <v>0</v>
      </c>
      <c r="AK1627" s="1152">
        <f t="shared" si="462"/>
        <v>0</v>
      </c>
      <c r="AL1627" s="1153">
        <f t="shared" si="463"/>
        <v>0</v>
      </c>
      <c r="AM1627" s="1153">
        <f t="shared" si="464"/>
        <v>0</v>
      </c>
      <c r="AN1627" s="1145">
        <f t="shared" si="465"/>
        <v>0</v>
      </c>
      <c r="AO1627" s="1154">
        <f t="shared" si="450"/>
        <v>0</v>
      </c>
      <c r="AP1627" s="1147">
        <f t="shared" si="453"/>
        <v>0</v>
      </c>
      <c r="AQ1627" s="1144">
        <f t="shared" si="454"/>
        <v>0</v>
      </c>
      <c r="AR1627" s="1146">
        <f t="shared" si="455"/>
        <v>0</v>
      </c>
    </row>
    <row r="1628" spans="1:44" x14ac:dyDescent="0.2">
      <c r="A1628" s="1141" t="str">
        <f t="shared" si="467"/>
        <v/>
      </c>
      <c r="B1628" s="1141" t="str">
        <f>IFERROR(VLOOKUP(A1628,'LAC 103'!A:C,3,FALSE),"")</f>
        <v/>
      </c>
      <c r="C1628" s="1478" t="str">
        <f>Info!$B$8</f>
        <v>00100</v>
      </c>
      <c r="D1628" s="1474"/>
      <c r="E1628" s="1474"/>
      <c r="F1628" s="1478"/>
      <c r="G1628" s="1478"/>
      <c r="H1628" s="1474"/>
      <c r="I1628" s="1478"/>
      <c r="J1628" s="1478"/>
      <c r="K1628" s="1475"/>
      <c r="L1628" s="1474"/>
      <c r="M1628" s="1476"/>
      <c r="N1628" s="1477"/>
      <c r="O1628" s="1479"/>
      <c r="P1628" s="1479"/>
      <c r="Q1628" s="1142">
        <f t="shared" si="451"/>
        <v>0</v>
      </c>
      <c r="R1628" s="1143">
        <f>IFERROR(VLOOKUP(CONCATENATE($E1628,$G1628),'LAC 103'!$A$12:$O$95,11,FALSE),0)</f>
        <v>0</v>
      </c>
      <c r="S1628" s="1144">
        <f>IFERROR(VLOOKUP(CONCATENATE($E1628,$G1628),'LAC 103'!$A$12:$O$95,12,FALSE),0)</f>
        <v>0</v>
      </c>
      <c r="T1628" s="1144">
        <f>IFERROR(VLOOKUP(CONCATENATE($E1628,$G1628),'LAC 103'!$A$12:$O$95,13,FALSE),0)</f>
        <v>0</v>
      </c>
      <c r="U1628" s="1144">
        <f>IFERROR(VLOOKUP(CONCATENATE($E1628,$G1628),'LAC 103'!$A$12:$O$95,14,FALSE),0)</f>
        <v>0</v>
      </c>
      <c r="V1628" s="1144">
        <f>IFERROR(VLOOKUP(CONCATENATE($E1628,$G1628),'LAC 103'!$A$12:$O$95,15,FALSE),0)</f>
        <v>0</v>
      </c>
      <c r="W1628" s="1145" t="str">
        <f>IFERROR(VLOOKUP(CONCATENATE($B1628,$N1628),'LAC 103'!$AI:$AQ,9,FALSE),"")</f>
        <v/>
      </c>
      <c r="X1628" s="1146">
        <f t="shared" si="456"/>
        <v>0</v>
      </c>
      <c r="Y1628" s="1143">
        <f t="shared" si="466"/>
        <v>0</v>
      </c>
      <c r="Z1628" s="1147">
        <f t="shared" si="457"/>
        <v>0</v>
      </c>
      <c r="AA1628" s="1144">
        <f t="shared" si="458"/>
        <v>0</v>
      </c>
      <c r="AB1628" s="1144">
        <f t="shared" si="459"/>
        <v>0</v>
      </c>
      <c r="AC1628" s="1144">
        <f t="shared" si="460"/>
        <v>0</v>
      </c>
      <c r="AD1628" s="1148">
        <f t="shared" si="452"/>
        <v>0</v>
      </c>
      <c r="AE1628" s="1487">
        <v>0</v>
      </c>
      <c r="AF1628" s="1145">
        <f t="shared" si="461"/>
        <v>0</v>
      </c>
      <c r="AG1628" s="1149">
        <f>IFERROR(VLOOKUP(CONCATENATE($L1628,$N1628),'Drop List'!$G$23:$K$87,2,FALSE),0)</f>
        <v>0</v>
      </c>
      <c r="AH1628" s="1150">
        <f>IFERROR(VLOOKUP(CONCATENATE($L1628,$N1628),'Drop List'!$G$23:$K$87,3,FALSE),0)</f>
        <v>0</v>
      </c>
      <c r="AI1628" s="1150">
        <f>IFERROR(VLOOKUP(CONCATENATE($L1628,$N1628),'Drop List'!$G$23:$K$87,4,FALSE),0)</f>
        <v>0</v>
      </c>
      <c r="AJ1628" s="1151">
        <f>IFERROR(VLOOKUP(CONCATENATE($L1628,$N1628),'Drop List'!$G$23:$K$87,5,FALSE),0)</f>
        <v>0</v>
      </c>
      <c r="AK1628" s="1152">
        <f t="shared" si="462"/>
        <v>0</v>
      </c>
      <c r="AL1628" s="1153">
        <f t="shared" si="463"/>
        <v>0</v>
      </c>
      <c r="AM1628" s="1153">
        <f t="shared" si="464"/>
        <v>0</v>
      </c>
      <c r="AN1628" s="1145">
        <f t="shared" si="465"/>
        <v>0</v>
      </c>
      <c r="AO1628" s="1154">
        <f t="shared" si="450"/>
        <v>0</v>
      </c>
      <c r="AP1628" s="1147">
        <f t="shared" si="453"/>
        <v>0</v>
      </c>
      <c r="AQ1628" s="1144">
        <f t="shared" si="454"/>
        <v>0</v>
      </c>
      <c r="AR1628" s="1146">
        <f t="shared" si="455"/>
        <v>0</v>
      </c>
    </row>
    <row r="1629" spans="1:44" x14ac:dyDescent="0.2">
      <c r="A1629" s="1141" t="str">
        <f t="shared" si="467"/>
        <v/>
      </c>
      <c r="B1629" s="1141" t="str">
        <f>IFERROR(VLOOKUP(A1629,'LAC 103'!A:C,3,FALSE),"")</f>
        <v/>
      </c>
      <c r="C1629" s="1478" t="str">
        <f>Info!$B$8</f>
        <v>00100</v>
      </c>
      <c r="D1629" s="1474"/>
      <c r="E1629" s="1474"/>
      <c r="F1629" s="1478"/>
      <c r="G1629" s="1478"/>
      <c r="H1629" s="1474"/>
      <c r="I1629" s="1478"/>
      <c r="J1629" s="1478"/>
      <c r="K1629" s="1475"/>
      <c r="L1629" s="1474"/>
      <c r="M1629" s="1476"/>
      <c r="N1629" s="1477"/>
      <c r="O1629" s="1479"/>
      <c r="P1629" s="1479"/>
      <c r="Q1629" s="1142">
        <f t="shared" si="451"/>
        <v>0</v>
      </c>
      <c r="R1629" s="1143">
        <f>IFERROR(VLOOKUP(CONCATENATE($E1629,$G1629),'LAC 103'!$A$12:$O$95,11,FALSE),0)</f>
        <v>0</v>
      </c>
      <c r="S1629" s="1144">
        <f>IFERROR(VLOOKUP(CONCATENATE($E1629,$G1629),'LAC 103'!$A$12:$O$95,12,FALSE),0)</f>
        <v>0</v>
      </c>
      <c r="T1629" s="1144">
        <f>IFERROR(VLOOKUP(CONCATENATE($E1629,$G1629),'LAC 103'!$A$12:$O$95,13,FALSE),0)</f>
        <v>0</v>
      </c>
      <c r="U1629" s="1144">
        <f>IFERROR(VLOOKUP(CONCATENATE($E1629,$G1629),'LAC 103'!$A$12:$O$95,14,FALSE),0)</f>
        <v>0</v>
      </c>
      <c r="V1629" s="1144">
        <f>IFERROR(VLOOKUP(CONCATENATE($E1629,$G1629),'LAC 103'!$A$12:$O$95,15,FALSE),0)</f>
        <v>0</v>
      </c>
      <c r="W1629" s="1145" t="str">
        <f>IFERROR(VLOOKUP(CONCATENATE($B1629,$N1629),'LAC 103'!$AI:$AQ,9,FALSE),"")</f>
        <v/>
      </c>
      <c r="X1629" s="1146">
        <f t="shared" si="456"/>
        <v>0</v>
      </c>
      <c r="Y1629" s="1143">
        <f t="shared" si="466"/>
        <v>0</v>
      </c>
      <c r="Z1629" s="1147">
        <f t="shared" si="457"/>
        <v>0</v>
      </c>
      <c r="AA1629" s="1144">
        <f t="shared" si="458"/>
        <v>0</v>
      </c>
      <c r="AB1629" s="1144">
        <f t="shared" si="459"/>
        <v>0</v>
      </c>
      <c r="AC1629" s="1144">
        <f t="shared" si="460"/>
        <v>0</v>
      </c>
      <c r="AD1629" s="1148">
        <f t="shared" si="452"/>
        <v>0</v>
      </c>
      <c r="AE1629" s="1487">
        <v>0</v>
      </c>
      <c r="AF1629" s="1145">
        <f t="shared" si="461"/>
        <v>0</v>
      </c>
      <c r="AG1629" s="1149">
        <f>IFERROR(VLOOKUP(CONCATENATE($L1629,$N1629),'Drop List'!$G$23:$K$87,2,FALSE),0)</f>
        <v>0</v>
      </c>
      <c r="AH1629" s="1150">
        <f>IFERROR(VLOOKUP(CONCATENATE($L1629,$N1629),'Drop List'!$G$23:$K$87,3,FALSE),0)</f>
        <v>0</v>
      </c>
      <c r="AI1629" s="1150">
        <f>IFERROR(VLOOKUP(CONCATENATE($L1629,$N1629),'Drop List'!$G$23:$K$87,4,FALSE),0)</f>
        <v>0</v>
      </c>
      <c r="AJ1629" s="1151">
        <f>IFERROR(VLOOKUP(CONCATENATE($L1629,$N1629),'Drop List'!$G$23:$K$87,5,FALSE),0)</f>
        <v>0</v>
      </c>
      <c r="AK1629" s="1152">
        <f t="shared" si="462"/>
        <v>0</v>
      </c>
      <c r="AL1629" s="1153">
        <f t="shared" si="463"/>
        <v>0</v>
      </c>
      <c r="AM1629" s="1153">
        <f t="shared" si="464"/>
        <v>0</v>
      </c>
      <c r="AN1629" s="1145">
        <f t="shared" si="465"/>
        <v>0</v>
      </c>
      <c r="AO1629" s="1154">
        <f t="shared" si="450"/>
        <v>0</v>
      </c>
      <c r="AP1629" s="1147">
        <f t="shared" si="453"/>
        <v>0</v>
      </c>
      <c r="AQ1629" s="1144">
        <f t="shared" si="454"/>
        <v>0</v>
      </c>
      <c r="AR1629" s="1146">
        <f t="shared" si="455"/>
        <v>0</v>
      </c>
    </row>
    <row r="1630" spans="1:44" x14ac:dyDescent="0.2">
      <c r="A1630" s="1141" t="str">
        <f t="shared" si="467"/>
        <v/>
      </c>
      <c r="B1630" s="1141" t="str">
        <f>IFERROR(VLOOKUP(A1630,'LAC 103'!A:C,3,FALSE),"")</f>
        <v/>
      </c>
      <c r="C1630" s="1478" t="str">
        <f>Info!$B$8</f>
        <v>00100</v>
      </c>
      <c r="D1630" s="1474"/>
      <c r="E1630" s="1474"/>
      <c r="F1630" s="1478"/>
      <c r="G1630" s="1478"/>
      <c r="H1630" s="1474"/>
      <c r="I1630" s="1478"/>
      <c r="J1630" s="1478"/>
      <c r="K1630" s="1475"/>
      <c r="L1630" s="1474"/>
      <c r="M1630" s="1476"/>
      <c r="N1630" s="1477"/>
      <c r="O1630" s="1479"/>
      <c r="P1630" s="1479"/>
      <c r="Q1630" s="1142">
        <f t="shared" si="451"/>
        <v>0</v>
      </c>
      <c r="R1630" s="1143">
        <f>IFERROR(VLOOKUP(CONCATENATE($E1630,$G1630),'LAC 103'!$A$12:$O$95,11,FALSE),0)</f>
        <v>0</v>
      </c>
      <c r="S1630" s="1144">
        <f>IFERROR(VLOOKUP(CONCATENATE($E1630,$G1630),'LAC 103'!$A$12:$O$95,12,FALSE),0)</f>
        <v>0</v>
      </c>
      <c r="T1630" s="1144">
        <f>IFERROR(VLOOKUP(CONCATENATE($E1630,$G1630),'LAC 103'!$A$12:$O$95,13,FALSE),0)</f>
        <v>0</v>
      </c>
      <c r="U1630" s="1144">
        <f>IFERROR(VLOOKUP(CONCATENATE($E1630,$G1630),'LAC 103'!$A$12:$O$95,14,FALSE),0)</f>
        <v>0</v>
      </c>
      <c r="V1630" s="1144">
        <f>IFERROR(VLOOKUP(CONCATENATE($E1630,$G1630),'LAC 103'!$A$12:$O$95,15,FALSE),0)</f>
        <v>0</v>
      </c>
      <c r="W1630" s="1145" t="str">
        <f>IFERROR(VLOOKUP(CONCATENATE($B1630,$N1630),'LAC 103'!$AI:$AQ,9,FALSE),"")</f>
        <v/>
      </c>
      <c r="X1630" s="1146">
        <f t="shared" si="456"/>
        <v>0</v>
      </c>
      <c r="Y1630" s="1143">
        <f t="shared" si="466"/>
        <v>0</v>
      </c>
      <c r="Z1630" s="1147">
        <f t="shared" si="457"/>
        <v>0</v>
      </c>
      <c r="AA1630" s="1144">
        <f t="shared" si="458"/>
        <v>0</v>
      </c>
      <c r="AB1630" s="1144">
        <f t="shared" si="459"/>
        <v>0</v>
      </c>
      <c r="AC1630" s="1144">
        <f t="shared" si="460"/>
        <v>0</v>
      </c>
      <c r="AD1630" s="1148">
        <f t="shared" si="452"/>
        <v>0</v>
      </c>
      <c r="AE1630" s="1487">
        <v>0</v>
      </c>
      <c r="AF1630" s="1145">
        <f t="shared" si="461"/>
        <v>0</v>
      </c>
      <c r="AG1630" s="1149">
        <f>IFERROR(VLOOKUP(CONCATENATE($L1630,$N1630),'Drop List'!$G$23:$K$87,2,FALSE),0)</f>
        <v>0</v>
      </c>
      <c r="AH1630" s="1150">
        <f>IFERROR(VLOOKUP(CONCATENATE($L1630,$N1630),'Drop List'!$G$23:$K$87,3,FALSE),0)</f>
        <v>0</v>
      </c>
      <c r="AI1630" s="1150">
        <f>IFERROR(VLOOKUP(CONCATENATE($L1630,$N1630),'Drop List'!$G$23:$K$87,4,FALSE),0)</f>
        <v>0</v>
      </c>
      <c r="AJ1630" s="1151">
        <f>IFERROR(VLOOKUP(CONCATENATE($L1630,$N1630),'Drop List'!$G$23:$K$87,5,FALSE),0)</f>
        <v>0</v>
      </c>
      <c r="AK1630" s="1152">
        <f t="shared" si="462"/>
        <v>0</v>
      </c>
      <c r="AL1630" s="1153">
        <f t="shared" si="463"/>
        <v>0</v>
      </c>
      <c r="AM1630" s="1153">
        <f t="shared" si="464"/>
        <v>0</v>
      </c>
      <c r="AN1630" s="1145">
        <f t="shared" si="465"/>
        <v>0</v>
      </c>
      <c r="AO1630" s="1154">
        <f t="shared" ref="AO1630:AO1693" si="468">SUM(AK1630:AN1630)</f>
        <v>0</v>
      </c>
      <c r="AP1630" s="1147">
        <f t="shared" si="453"/>
        <v>0</v>
      </c>
      <c r="AQ1630" s="1144">
        <f t="shared" si="454"/>
        <v>0</v>
      </c>
      <c r="AR1630" s="1146">
        <f t="shared" si="455"/>
        <v>0</v>
      </c>
    </row>
    <row r="1631" spans="1:44" x14ac:dyDescent="0.2">
      <c r="A1631" s="1141" t="str">
        <f t="shared" si="467"/>
        <v/>
      </c>
      <c r="B1631" s="1141" t="str">
        <f>IFERROR(VLOOKUP(A1631,'LAC 103'!A:C,3,FALSE),"")</f>
        <v/>
      </c>
      <c r="C1631" s="1478" t="str">
        <f>Info!$B$8</f>
        <v>00100</v>
      </c>
      <c r="D1631" s="1474"/>
      <c r="E1631" s="1474"/>
      <c r="F1631" s="1478"/>
      <c r="G1631" s="1478"/>
      <c r="H1631" s="1474"/>
      <c r="I1631" s="1478"/>
      <c r="J1631" s="1478"/>
      <c r="K1631" s="1475"/>
      <c r="L1631" s="1474"/>
      <c r="M1631" s="1476"/>
      <c r="N1631" s="1477"/>
      <c r="O1631" s="1479"/>
      <c r="P1631" s="1479"/>
      <c r="Q1631" s="1142">
        <f t="shared" si="451"/>
        <v>0</v>
      </c>
      <c r="R1631" s="1143">
        <f>IFERROR(VLOOKUP(CONCATENATE($E1631,$G1631),'LAC 103'!$A$12:$O$95,11,FALSE),0)</f>
        <v>0</v>
      </c>
      <c r="S1631" s="1144">
        <f>IFERROR(VLOOKUP(CONCATENATE($E1631,$G1631),'LAC 103'!$A$12:$O$95,12,FALSE),0)</f>
        <v>0</v>
      </c>
      <c r="T1631" s="1144">
        <f>IFERROR(VLOOKUP(CONCATENATE($E1631,$G1631),'LAC 103'!$A$12:$O$95,13,FALSE),0)</f>
        <v>0</v>
      </c>
      <c r="U1631" s="1144">
        <f>IFERROR(VLOOKUP(CONCATENATE($E1631,$G1631),'LAC 103'!$A$12:$O$95,14,FALSE),0)</f>
        <v>0</v>
      </c>
      <c r="V1631" s="1144">
        <f>IFERROR(VLOOKUP(CONCATENATE($E1631,$G1631),'LAC 103'!$A$12:$O$95,15,FALSE),0)</f>
        <v>0</v>
      </c>
      <c r="W1631" s="1145" t="str">
        <f>IFERROR(VLOOKUP(CONCATENATE($B1631,$N1631),'LAC 103'!$AI:$AQ,9,FALSE),"")</f>
        <v/>
      </c>
      <c r="X1631" s="1146">
        <f t="shared" si="456"/>
        <v>0</v>
      </c>
      <c r="Y1631" s="1143">
        <f t="shared" si="466"/>
        <v>0</v>
      </c>
      <c r="Z1631" s="1147">
        <f t="shared" si="457"/>
        <v>0</v>
      </c>
      <c r="AA1631" s="1144">
        <f t="shared" si="458"/>
        <v>0</v>
      </c>
      <c r="AB1631" s="1144">
        <f t="shared" si="459"/>
        <v>0</v>
      </c>
      <c r="AC1631" s="1144">
        <f t="shared" si="460"/>
        <v>0</v>
      </c>
      <c r="AD1631" s="1148">
        <f t="shared" si="452"/>
        <v>0</v>
      </c>
      <c r="AE1631" s="1487">
        <v>0</v>
      </c>
      <c r="AF1631" s="1145">
        <f t="shared" si="461"/>
        <v>0</v>
      </c>
      <c r="AG1631" s="1149">
        <f>IFERROR(VLOOKUP(CONCATENATE($L1631,$N1631),'Drop List'!$G$23:$K$87,2,FALSE),0)</f>
        <v>0</v>
      </c>
      <c r="AH1631" s="1150">
        <f>IFERROR(VLOOKUP(CONCATENATE($L1631,$N1631),'Drop List'!$G$23:$K$87,3,FALSE),0)</f>
        <v>0</v>
      </c>
      <c r="AI1631" s="1150">
        <f>IFERROR(VLOOKUP(CONCATENATE($L1631,$N1631),'Drop List'!$G$23:$K$87,4,FALSE),0)</f>
        <v>0</v>
      </c>
      <c r="AJ1631" s="1151">
        <f>IFERROR(VLOOKUP(CONCATENATE($L1631,$N1631),'Drop List'!$G$23:$K$87,5,FALSE),0)</f>
        <v>0</v>
      </c>
      <c r="AK1631" s="1152">
        <f t="shared" si="462"/>
        <v>0</v>
      </c>
      <c r="AL1631" s="1153">
        <f t="shared" si="463"/>
        <v>0</v>
      </c>
      <c r="AM1631" s="1153">
        <f t="shared" si="464"/>
        <v>0</v>
      </c>
      <c r="AN1631" s="1145">
        <f t="shared" si="465"/>
        <v>0</v>
      </c>
      <c r="AO1631" s="1154">
        <f t="shared" si="468"/>
        <v>0</v>
      </c>
      <c r="AP1631" s="1147">
        <f t="shared" si="453"/>
        <v>0</v>
      </c>
      <c r="AQ1631" s="1144">
        <f t="shared" si="454"/>
        <v>0</v>
      </c>
      <c r="AR1631" s="1146">
        <f t="shared" si="455"/>
        <v>0</v>
      </c>
    </row>
    <row r="1632" spans="1:44" x14ac:dyDescent="0.2">
      <c r="A1632" s="1141" t="str">
        <f t="shared" si="467"/>
        <v/>
      </c>
      <c r="B1632" s="1141" t="str">
        <f>IFERROR(VLOOKUP(A1632,'LAC 103'!A:C,3,FALSE),"")</f>
        <v/>
      </c>
      <c r="C1632" s="1478" t="str">
        <f>Info!$B$8</f>
        <v>00100</v>
      </c>
      <c r="D1632" s="1474"/>
      <c r="E1632" s="1474"/>
      <c r="F1632" s="1478"/>
      <c r="G1632" s="1478"/>
      <c r="H1632" s="1474"/>
      <c r="I1632" s="1478"/>
      <c r="J1632" s="1478"/>
      <c r="K1632" s="1475"/>
      <c r="L1632" s="1474"/>
      <c r="M1632" s="1476"/>
      <c r="N1632" s="1477"/>
      <c r="O1632" s="1479"/>
      <c r="P1632" s="1479"/>
      <c r="Q1632" s="1142">
        <f t="shared" si="451"/>
        <v>0</v>
      </c>
      <c r="R1632" s="1143">
        <f>IFERROR(VLOOKUP(CONCATENATE($E1632,$G1632),'LAC 103'!$A$12:$O$95,11,FALSE),0)</f>
        <v>0</v>
      </c>
      <c r="S1632" s="1144">
        <f>IFERROR(VLOOKUP(CONCATENATE($E1632,$G1632),'LAC 103'!$A$12:$O$95,12,FALSE),0)</f>
        <v>0</v>
      </c>
      <c r="T1632" s="1144">
        <f>IFERROR(VLOOKUP(CONCATENATE($E1632,$G1632),'LAC 103'!$A$12:$O$95,13,FALSE),0)</f>
        <v>0</v>
      </c>
      <c r="U1632" s="1144">
        <f>IFERROR(VLOOKUP(CONCATENATE($E1632,$G1632),'LAC 103'!$A$12:$O$95,14,FALSE),0)</f>
        <v>0</v>
      </c>
      <c r="V1632" s="1144">
        <f>IFERROR(VLOOKUP(CONCATENATE($E1632,$G1632),'LAC 103'!$A$12:$O$95,15,FALSE),0)</f>
        <v>0</v>
      </c>
      <c r="W1632" s="1145" t="str">
        <f>IFERROR(VLOOKUP(CONCATENATE($B1632,$N1632),'LAC 103'!$AI:$AQ,9,FALSE),"")</f>
        <v/>
      </c>
      <c r="X1632" s="1146">
        <f t="shared" si="456"/>
        <v>0</v>
      </c>
      <c r="Y1632" s="1143">
        <f t="shared" si="466"/>
        <v>0</v>
      </c>
      <c r="Z1632" s="1147">
        <f t="shared" si="457"/>
        <v>0</v>
      </c>
      <c r="AA1632" s="1144">
        <f t="shared" si="458"/>
        <v>0</v>
      </c>
      <c r="AB1632" s="1144">
        <f t="shared" si="459"/>
        <v>0</v>
      </c>
      <c r="AC1632" s="1144">
        <f t="shared" si="460"/>
        <v>0</v>
      </c>
      <c r="AD1632" s="1148">
        <f t="shared" si="452"/>
        <v>0</v>
      </c>
      <c r="AE1632" s="1487">
        <v>0</v>
      </c>
      <c r="AF1632" s="1145">
        <f t="shared" si="461"/>
        <v>0</v>
      </c>
      <c r="AG1632" s="1149">
        <f>IFERROR(VLOOKUP(CONCATENATE($L1632,$N1632),'Drop List'!$G$23:$K$87,2,FALSE),0)</f>
        <v>0</v>
      </c>
      <c r="AH1632" s="1150">
        <f>IFERROR(VLOOKUP(CONCATENATE($L1632,$N1632),'Drop List'!$G$23:$K$87,3,FALSE),0)</f>
        <v>0</v>
      </c>
      <c r="AI1632" s="1150">
        <f>IFERROR(VLOOKUP(CONCATENATE($L1632,$N1632),'Drop List'!$G$23:$K$87,4,FALSE),0)</f>
        <v>0</v>
      </c>
      <c r="AJ1632" s="1151">
        <f>IFERROR(VLOOKUP(CONCATENATE($L1632,$N1632),'Drop List'!$G$23:$K$87,5,FALSE),0)</f>
        <v>0</v>
      </c>
      <c r="AK1632" s="1152">
        <f t="shared" si="462"/>
        <v>0</v>
      </c>
      <c r="AL1632" s="1153">
        <f t="shared" si="463"/>
        <v>0</v>
      </c>
      <c r="AM1632" s="1153">
        <f t="shared" si="464"/>
        <v>0</v>
      </c>
      <c r="AN1632" s="1145">
        <f t="shared" si="465"/>
        <v>0</v>
      </c>
      <c r="AO1632" s="1154">
        <f t="shared" si="468"/>
        <v>0</v>
      </c>
      <c r="AP1632" s="1147">
        <f t="shared" si="453"/>
        <v>0</v>
      </c>
      <c r="AQ1632" s="1144">
        <f t="shared" si="454"/>
        <v>0</v>
      </c>
      <c r="AR1632" s="1146">
        <f t="shared" si="455"/>
        <v>0</v>
      </c>
    </row>
    <row r="1633" spans="1:44" x14ac:dyDescent="0.2">
      <c r="A1633" s="1141" t="str">
        <f t="shared" si="467"/>
        <v/>
      </c>
      <c r="B1633" s="1141" t="str">
        <f>IFERROR(VLOOKUP(A1633,'LAC 103'!A:C,3,FALSE),"")</f>
        <v/>
      </c>
      <c r="C1633" s="1478" t="str">
        <f>Info!$B$8</f>
        <v>00100</v>
      </c>
      <c r="D1633" s="1474"/>
      <c r="E1633" s="1474"/>
      <c r="F1633" s="1478"/>
      <c r="G1633" s="1478"/>
      <c r="H1633" s="1474"/>
      <c r="I1633" s="1478"/>
      <c r="J1633" s="1478"/>
      <c r="K1633" s="1475"/>
      <c r="L1633" s="1474"/>
      <c r="M1633" s="1476"/>
      <c r="N1633" s="1477"/>
      <c r="O1633" s="1479"/>
      <c r="P1633" s="1479"/>
      <c r="Q1633" s="1142">
        <f t="shared" si="451"/>
        <v>0</v>
      </c>
      <c r="R1633" s="1143">
        <f>IFERROR(VLOOKUP(CONCATENATE($E1633,$G1633),'LAC 103'!$A$12:$O$95,11,FALSE),0)</f>
        <v>0</v>
      </c>
      <c r="S1633" s="1144">
        <f>IFERROR(VLOOKUP(CONCATENATE($E1633,$G1633),'LAC 103'!$A$12:$O$95,12,FALSE),0)</f>
        <v>0</v>
      </c>
      <c r="T1633" s="1144">
        <f>IFERROR(VLOOKUP(CONCATENATE($E1633,$G1633),'LAC 103'!$A$12:$O$95,13,FALSE),0)</f>
        <v>0</v>
      </c>
      <c r="U1633" s="1144">
        <f>IFERROR(VLOOKUP(CONCATENATE($E1633,$G1633),'LAC 103'!$A$12:$O$95,14,FALSE),0)</f>
        <v>0</v>
      </c>
      <c r="V1633" s="1144">
        <f>IFERROR(VLOOKUP(CONCATENATE($E1633,$G1633),'LAC 103'!$A$12:$O$95,15,FALSE),0)</f>
        <v>0</v>
      </c>
      <c r="W1633" s="1145" t="str">
        <f>IFERROR(VLOOKUP(CONCATENATE($B1633,$N1633),'LAC 103'!$AI:$AQ,9,FALSE),"")</f>
        <v/>
      </c>
      <c r="X1633" s="1146">
        <f t="shared" si="456"/>
        <v>0</v>
      </c>
      <c r="Y1633" s="1143">
        <f t="shared" si="466"/>
        <v>0</v>
      </c>
      <c r="Z1633" s="1147">
        <f t="shared" si="457"/>
        <v>0</v>
      </c>
      <c r="AA1633" s="1144">
        <f t="shared" si="458"/>
        <v>0</v>
      </c>
      <c r="AB1633" s="1144">
        <f t="shared" si="459"/>
        <v>0</v>
      </c>
      <c r="AC1633" s="1144">
        <f t="shared" si="460"/>
        <v>0</v>
      </c>
      <c r="AD1633" s="1148">
        <f t="shared" si="452"/>
        <v>0</v>
      </c>
      <c r="AE1633" s="1487">
        <v>0</v>
      </c>
      <c r="AF1633" s="1145">
        <f t="shared" si="461"/>
        <v>0</v>
      </c>
      <c r="AG1633" s="1149">
        <f>IFERROR(VLOOKUP(CONCATENATE($L1633,$N1633),'Drop List'!$G$23:$K$87,2,FALSE),0)</f>
        <v>0</v>
      </c>
      <c r="AH1633" s="1150">
        <f>IFERROR(VLOOKUP(CONCATENATE($L1633,$N1633),'Drop List'!$G$23:$K$87,3,FALSE),0)</f>
        <v>0</v>
      </c>
      <c r="AI1633" s="1150">
        <f>IFERROR(VLOOKUP(CONCATENATE($L1633,$N1633),'Drop List'!$G$23:$K$87,4,FALSE),0)</f>
        <v>0</v>
      </c>
      <c r="AJ1633" s="1151">
        <f>IFERROR(VLOOKUP(CONCATENATE($L1633,$N1633),'Drop List'!$G$23:$K$87,5,FALSE),0)</f>
        <v>0</v>
      </c>
      <c r="AK1633" s="1152">
        <f t="shared" si="462"/>
        <v>0</v>
      </c>
      <c r="AL1633" s="1153">
        <f t="shared" si="463"/>
        <v>0</v>
      </c>
      <c r="AM1633" s="1153">
        <f t="shared" si="464"/>
        <v>0</v>
      </c>
      <c r="AN1633" s="1145">
        <f t="shared" si="465"/>
        <v>0</v>
      </c>
      <c r="AO1633" s="1154">
        <f t="shared" si="468"/>
        <v>0</v>
      </c>
      <c r="AP1633" s="1147">
        <f t="shared" si="453"/>
        <v>0</v>
      </c>
      <c r="AQ1633" s="1144">
        <f t="shared" si="454"/>
        <v>0</v>
      </c>
      <c r="AR1633" s="1146">
        <f t="shared" si="455"/>
        <v>0</v>
      </c>
    </row>
    <row r="1634" spans="1:44" x14ac:dyDescent="0.2">
      <c r="A1634" s="1141" t="str">
        <f t="shared" si="467"/>
        <v/>
      </c>
      <c r="B1634" s="1141" t="str">
        <f>IFERROR(VLOOKUP(A1634,'LAC 103'!A:C,3,FALSE),"")</f>
        <v/>
      </c>
      <c r="C1634" s="1478" t="str">
        <f>Info!$B$8</f>
        <v>00100</v>
      </c>
      <c r="D1634" s="1474"/>
      <c r="E1634" s="1474"/>
      <c r="F1634" s="1478"/>
      <c r="G1634" s="1478"/>
      <c r="H1634" s="1474"/>
      <c r="I1634" s="1478"/>
      <c r="J1634" s="1478"/>
      <c r="K1634" s="1475"/>
      <c r="L1634" s="1474"/>
      <c r="M1634" s="1476"/>
      <c r="N1634" s="1477"/>
      <c r="O1634" s="1479"/>
      <c r="P1634" s="1479"/>
      <c r="Q1634" s="1142">
        <f t="shared" si="451"/>
        <v>0</v>
      </c>
      <c r="R1634" s="1143">
        <f>IFERROR(VLOOKUP(CONCATENATE($E1634,$G1634),'LAC 103'!$A$12:$O$95,11,FALSE),0)</f>
        <v>0</v>
      </c>
      <c r="S1634" s="1144">
        <f>IFERROR(VLOOKUP(CONCATENATE($E1634,$G1634),'LAC 103'!$A$12:$O$95,12,FALSE),0)</f>
        <v>0</v>
      </c>
      <c r="T1634" s="1144">
        <f>IFERROR(VLOOKUP(CONCATENATE($E1634,$G1634),'LAC 103'!$A$12:$O$95,13,FALSE),0)</f>
        <v>0</v>
      </c>
      <c r="U1634" s="1144">
        <f>IFERROR(VLOOKUP(CONCATENATE($E1634,$G1634),'LAC 103'!$A$12:$O$95,14,FALSE),0)</f>
        <v>0</v>
      </c>
      <c r="V1634" s="1144">
        <f>IFERROR(VLOOKUP(CONCATENATE($E1634,$G1634),'LAC 103'!$A$12:$O$95,15,FALSE),0)</f>
        <v>0</v>
      </c>
      <c r="W1634" s="1145" t="str">
        <f>IFERROR(VLOOKUP(CONCATENATE($B1634,$N1634),'LAC 103'!$AI:$AQ,9,FALSE),"")</f>
        <v/>
      </c>
      <c r="X1634" s="1146">
        <f t="shared" si="456"/>
        <v>0</v>
      </c>
      <c r="Y1634" s="1143">
        <f t="shared" si="466"/>
        <v>0</v>
      </c>
      <c r="Z1634" s="1147">
        <f t="shared" si="457"/>
        <v>0</v>
      </c>
      <c r="AA1634" s="1144">
        <f t="shared" si="458"/>
        <v>0</v>
      </c>
      <c r="AB1634" s="1144">
        <f t="shared" si="459"/>
        <v>0</v>
      </c>
      <c r="AC1634" s="1144">
        <f t="shared" si="460"/>
        <v>0</v>
      </c>
      <c r="AD1634" s="1148">
        <f t="shared" si="452"/>
        <v>0</v>
      </c>
      <c r="AE1634" s="1487">
        <v>0</v>
      </c>
      <c r="AF1634" s="1145">
        <f t="shared" si="461"/>
        <v>0</v>
      </c>
      <c r="AG1634" s="1149">
        <f>IFERROR(VLOOKUP(CONCATENATE($L1634,$N1634),'Drop List'!$G$23:$K$87,2,FALSE),0)</f>
        <v>0</v>
      </c>
      <c r="AH1634" s="1150">
        <f>IFERROR(VLOOKUP(CONCATENATE($L1634,$N1634),'Drop List'!$G$23:$K$87,3,FALSE),0)</f>
        <v>0</v>
      </c>
      <c r="AI1634" s="1150">
        <f>IFERROR(VLOOKUP(CONCATENATE($L1634,$N1634),'Drop List'!$G$23:$K$87,4,FALSE),0)</f>
        <v>0</v>
      </c>
      <c r="AJ1634" s="1151">
        <f>IFERROR(VLOOKUP(CONCATENATE($L1634,$N1634),'Drop List'!$G$23:$K$87,5,FALSE),0)</f>
        <v>0</v>
      </c>
      <c r="AK1634" s="1152">
        <f t="shared" si="462"/>
        <v>0</v>
      </c>
      <c r="AL1634" s="1153">
        <f t="shared" si="463"/>
        <v>0</v>
      </c>
      <c r="AM1634" s="1153">
        <f t="shared" si="464"/>
        <v>0</v>
      </c>
      <c r="AN1634" s="1145">
        <f t="shared" si="465"/>
        <v>0</v>
      </c>
      <c r="AO1634" s="1154">
        <f t="shared" si="468"/>
        <v>0</v>
      </c>
      <c r="AP1634" s="1147">
        <f t="shared" si="453"/>
        <v>0</v>
      </c>
      <c r="AQ1634" s="1144">
        <f t="shared" si="454"/>
        <v>0</v>
      </c>
      <c r="AR1634" s="1146">
        <f t="shared" si="455"/>
        <v>0</v>
      </c>
    </row>
    <row r="1635" spans="1:44" x14ac:dyDescent="0.2">
      <c r="A1635" s="1141" t="str">
        <f t="shared" si="467"/>
        <v/>
      </c>
      <c r="B1635" s="1141" t="str">
        <f>IFERROR(VLOOKUP(A1635,'LAC 103'!A:C,3,FALSE),"")</f>
        <v/>
      </c>
      <c r="C1635" s="1478" t="str">
        <f>Info!$B$8</f>
        <v>00100</v>
      </c>
      <c r="D1635" s="1474"/>
      <c r="E1635" s="1474"/>
      <c r="F1635" s="1478"/>
      <c r="G1635" s="1478"/>
      <c r="H1635" s="1474"/>
      <c r="I1635" s="1478"/>
      <c r="J1635" s="1478"/>
      <c r="K1635" s="1475"/>
      <c r="L1635" s="1474"/>
      <c r="M1635" s="1476"/>
      <c r="N1635" s="1477"/>
      <c r="O1635" s="1479"/>
      <c r="P1635" s="1479"/>
      <c r="Q1635" s="1142">
        <f t="shared" si="451"/>
        <v>0</v>
      </c>
      <c r="R1635" s="1143">
        <f>IFERROR(VLOOKUP(CONCATENATE($E1635,$G1635),'LAC 103'!$A$12:$O$95,11,FALSE),0)</f>
        <v>0</v>
      </c>
      <c r="S1635" s="1144">
        <f>IFERROR(VLOOKUP(CONCATENATE($E1635,$G1635),'LAC 103'!$A$12:$O$95,12,FALSE),0)</f>
        <v>0</v>
      </c>
      <c r="T1635" s="1144">
        <f>IFERROR(VLOOKUP(CONCATENATE($E1635,$G1635),'LAC 103'!$A$12:$O$95,13,FALSE),0)</f>
        <v>0</v>
      </c>
      <c r="U1635" s="1144">
        <f>IFERROR(VLOOKUP(CONCATENATE($E1635,$G1635),'LAC 103'!$A$12:$O$95,14,FALSE),0)</f>
        <v>0</v>
      </c>
      <c r="V1635" s="1144">
        <f>IFERROR(VLOOKUP(CONCATENATE($E1635,$G1635),'LAC 103'!$A$12:$O$95,15,FALSE),0)</f>
        <v>0</v>
      </c>
      <c r="W1635" s="1145" t="str">
        <f>IFERROR(VLOOKUP(CONCATENATE($B1635,$N1635),'LAC 103'!$AI:$AQ,9,FALSE),"")</f>
        <v/>
      </c>
      <c r="X1635" s="1146">
        <f t="shared" si="456"/>
        <v>0</v>
      </c>
      <c r="Y1635" s="1143">
        <f t="shared" si="466"/>
        <v>0</v>
      </c>
      <c r="Z1635" s="1147">
        <f t="shared" si="457"/>
        <v>0</v>
      </c>
      <c r="AA1635" s="1144">
        <f t="shared" si="458"/>
        <v>0</v>
      </c>
      <c r="AB1635" s="1144">
        <f t="shared" si="459"/>
        <v>0</v>
      </c>
      <c r="AC1635" s="1144">
        <f t="shared" si="460"/>
        <v>0</v>
      </c>
      <c r="AD1635" s="1148">
        <f t="shared" si="452"/>
        <v>0</v>
      </c>
      <c r="AE1635" s="1487">
        <v>0</v>
      </c>
      <c r="AF1635" s="1145">
        <f t="shared" si="461"/>
        <v>0</v>
      </c>
      <c r="AG1635" s="1149">
        <f>IFERROR(VLOOKUP(CONCATENATE($L1635,$N1635),'Drop List'!$G$23:$K$87,2,FALSE),0)</f>
        <v>0</v>
      </c>
      <c r="AH1635" s="1150">
        <f>IFERROR(VLOOKUP(CONCATENATE($L1635,$N1635),'Drop List'!$G$23:$K$87,3,FALSE),0)</f>
        <v>0</v>
      </c>
      <c r="AI1635" s="1150">
        <f>IFERROR(VLOOKUP(CONCATENATE($L1635,$N1635),'Drop List'!$G$23:$K$87,4,FALSE),0)</f>
        <v>0</v>
      </c>
      <c r="AJ1635" s="1151">
        <f>IFERROR(VLOOKUP(CONCATENATE($L1635,$N1635),'Drop List'!$G$23:$K$87,5,FALSE),0)</f>
        <v>0</v>
      </c>
      <c r="AK1635" s="1152">
        <f t="shared" si="462"/>
        <v>0</v>
      </c>
      <c r="AL1635" s="1153">
        <f t="shared" si="463"/>
        <v>0</v>
      </c>
      <c r="AM1635" s="1153">
        <f t="shared" si="464"/>
        <v>0</v>
      </c>
      <c r="AN1635" s="1145">
        <f t="shared" si="465"/>
        <v>0</v>
      </c>
      <c r="AO1635" s="1154">
        <f t="shared" si="468"/>
        <v>0</v>
      </c>
      <c r="AP1635" s="1147">
        <f t="shared" si="453"/>
        <v>0</v>
      </c>
      <c r="AQ1635" s="1144">
        <f t="shared" si="454"/>
        <v>0</v>
      </c>
      <c r="AR1635" s="1146">
        <f t="shared" si="455"/>
        <v>0</v>
      </c>
    </row>
    <row r="1636" spans="1:44" x14ac:dyDescent="0.2">
      <c r="A1636" s="1141" t="str">
        <f t="shared" si="467"/>
        <v/>
      </c>
      <c r="B1636" s="1141" t="str">
        <f>IFERROR(VLOOKUP(A1636,'LAC 103'!A:C,3,FALSE),"")</f>
        <v/>
      </c>
      <c r="C1636" s="1478" t="str">
        <f>Info!$B$8</f>
        <v>00100</v>
      </c>
      <c r="D1636" s="1474"/>
      <c r="E1636" s="1474"/>
      <c r="F1636" s="1478"/>
      <c r="G1636" s="1478"/>
      <c r="H1636" s="1474"/>
      <c r="I1636" s="1478"/>
      <c r="J1636" s="1478"/>
      <c r="K1636" s="1475"/>
      <c r="L1636" s="1474"/>
      <c r="M1636" s="1476"/>
      <c r="N1636" s="1477"/>
      <c r="O1636" s="1479"/>
      <c r="P1636" s="1479"/>
      <c r="Q1636" s="1142">
        <f t="shared" si="451"/>
        <v>0</v>
      </c>
      <c r="R1636" s="1143">
        <f>IFERROR(VLOOKUP(CONCATENATE($E1636,$G1636),'LAC 103'!$A$12:$O$95,11,FALSE),0)</f>
        <v>0</v>
      </c>
      <c r="S1636" s="1144">
        <f>IFERROR(VLOOKUP(CONCATENATE($E1636,$G1636),'LAC 103'!$A$12:$O$95,12,FALSE),0)</f>
        <v>0</v>
      </c>
      <c r="T1636" s="1144">
        <f>IFERROR(VLOOKUP(CONCATENATE($E1636,$G1636),'LAC 103'!$A$12:$O$95,13,FALSE),0)</f>
        <v>0</v>
      </c>
      <c r="U1636" s="1144">
        <f>IFERROR(VLOOKUP(CONCATENATE($E1636,$G1636),'LAC 103'!$A$12:$O$95,14,FALSE),0)</f>
        <v>0</v>
      </c>
      <c r="V1636" s="1144">
        <f>IFERROR(VLOOKUP(CONCATENATE($E1636,$G1636),'LAC 103'!$A$12:$O$95,15,FALSE),0)</f>
        <v>0</v>
      </c>
      <c r="W1636" s="1145" t="str">
        <f>IFERROR(VLOOKUP(CONCATENATE($B1636,$N1636),'LAC 103'!$AI:$AQ,9,FALSE),"")</f>
        <v/>
      </c>
      <c r="X1636" s="1146">
        <f t="shared" si="456"/>
        <v>0</v>
      </c>
      <c r="Y1636" s="1143">
        <f t="shared" si="466"/>
        <v>0</v>
      </c>
      <c r="Z1636" s="1147">
        <f t="shared" si="457"/>
        <v>0</v>
      </c>
      <c r="AA1636" s="1144">
        <f t="shared" si="458"/>
        <v>0</v>
      </c>
      <c r="AB1636" s="1144">
        <f t="shared" si="459"/>
        <v>0</v>
      </c>
      <c r="AC1636" s="1144">
        <f t="shared" si="460"/>
        <v>0</v>
      </c>
      <c r="AD1636" s="1148">
        <f t="shared" si="452"/>
        <v>0</v>
      </c>
      <c r="AE1636" s="1487">
        <v>0</v>
      </c>
      <c r="AF1636" s="1145">
        <f t="shared" si="461"/>
        <v>0</v>
      </c>
      <c r="AG1636" s="1149">
        <f>IFERROR(VLOOKUP(CONCATENATE($L1636,$N1636),'Drop List'!$G$23:$K$87,2,FALSE),0)</f>
        <v>0</v>
      </c>
      <c r="AH1636" s="1150">
        <f>IFERROR(VLOOKUP(CONCATENATE($L1636,$N1636),'Drop List'!$G$23:$K$87,3,FALSE),0)</f>
        <v>0</v>
      </c>
      <c r="AI1636" s="1150">
        <f>IFERROR(VLOOKUP(CONCATENATE($L1636,$N1636),'Drop List'!$G$23:$K$87,4,FALSE),0)</f>
        <v>0</v>
      </c>
      <c r="AJ1636" s="1151">
        <f>IFERROR(VLOOKUP(CONCATENATE($L1636,$N1636),'Drop List'!$G$23:$K$87,5,FALSE),0)</f>
        <v>0</v>
      </c>
      <c r="AK1636" s="1152">
        <f t="shared" si="462"/>
        <v>0</v>
      </c>
      <c r="AL1636" s="1153">
        <f t="shared" si="463"/>
        <v>0</v>
      </c>
      <c r="AM1636" s="1153">
        <f t="shared" si="464"/>
        <v>0</v>
      </c>
      <c r="AN1636" s="1145">
        <f t="shared" si="465"/>
        <v>0</v>
      </c>
      <c r="AO1636" s="1154">
        <f t="shared" si="468"/>
        <v>0</v>
      </c>
      <c r="AP1636" s="1147">
        <f t="shared" si="453"/>
        <v>0</v>
      </c>
      <c r="AQ1636" s="1144">
        <f t="shared" si="454"/>
        <v>0</v>
      </c>
      <c r="AR1636" s="1146">
        <f t="shared" si="455"/>
        <v>0</v>
      </c>
    </row>
    <row r="1637" spans="1:44" x14ac:dyDescent="0.2">
      <c r="A1637" s="1141" t="str">
        <f t="shared" si="467"/>
        <v/>
      </c>
      <c r="B1637" s="1141" t="str">
        <f>IFERROR(VLOOKUP(A1637,'LAC 103'!A:C,3,FALSE),"")</f>
        <v/>
      </c>
      <c r="C1637" s="1478" t="str">
        <f>Info!$B$8</f>
        <v>00100</v>
      </c>
      <c r="D1637" s="1474"/>
      <c r="E1637" s="1474"/>
      <c r="F1637" s="1478"/>
      <c r="G1637" s="1478"/>
      <c r="H1637" s="1474"/>
      <c r="I1637" s="1478"/>
      <c r="J1637" s="1478"/>
      <c r="K1637" s="1475"/>
      <c r="L1637" s="1474"/>
      <c r="M1637" s="1476"/>
      <c r="N1637" s="1477"/>
      <c r="O1637" s="1479"/>
      <c r="P1637" s="1479"/>
      <c r="Q1637" s="1142">
        <f t="shared" si="451"/>
        <v>0</v>
      </c>
      <c r="R1637" s="1143">
        <f>IFERROR(VLOOKUP(CONCATENATE($E1637,$G1637),'LAC 103'!$A$12:$O$95,11,FALSE),0)</f>
        <v>0</v>
      </c>
      <c r="S1637" s="1144">
        <f>IFERROR(VLOOKUP(CONCATENATE($E1637,$G1637),'LAC 103'!$A$12:$O$95,12,FALSE),0)</f>
        <v>0</v>
      </c>
      <c r="T1637" s="1144">
        <f>IFERROR(VLOOKUP(CONCATENATE($E1637,$G1637),'LAC 103'!$A$12:$O$95,13,FALSE),0)</f>
        <v>0</v>
      </c>
      <c r="U1637" s="1144">
        <f>IFERROR(VLOOKUP(CONCATENATE($E1637,$G1637),'LAC 103'!$A$12:$O$95,14,FALSE),0)</f>
        <v>0</v>
      </c>
      <c r="V1637" s="1144">
        <f>IFERROR(VLOOKUP(CONCATENATE($E1637,$G1637),'LAC 103'!$A$12:$O$95,15,FALSE),0)</f>
        <v>0</v>
      </c>
      <c r="W1637" s="1145" t="str">
        <f>IFERROR(VLOOKUP(CONCATENATE($B1637,$N1637),'LAC 103'!$AI:$AQ,9,FALSE),"")</f>
        <v/>
      </c>
      <c r="X1637" s="1146">
        <f t="shared" si="456"/>
        <v>0</v>
      </c>
      <c r="Y1637" s="1143">
        <f t="shared" si="466"/>
        <v>0</v>
      </c>
      <c r="Z1637" s="1147">
        <f t="shared" si="457"/>
        <v>0</v>
      </c>
      <c r="AA1637" s="1144">
        <f t="shared" si="458"/>
        <v>0</v>
      </c>
      <c r="AB1637" s="1144">
        <f t="shared" si="459"/>
        <v>0</v>
      </c>
      <c r="AC1637" s="1144">
        <f t="shared" si="460"/>
        <v>0</v>
      </c>
      <c r="AD1637" s="1148">
        <f t="shared" si="452"/>
        <v>0</v>
      </c>
      <c r="AE1637" s="1487">
        <v>0</v>
      </c>
      <c r="AF1637" s="1145">
        <f t="shared" si="461"/>
        <v>0</v>
      </c>
      <c r="AG1637" s="1149">
        <f>IFERROR(VLOOKUP(CONCATENATE($L1637,$N1637),'Drop List'!$G$23:$K$87,2,FALSE),0)</f>
        <v>0</v>
      </c>
      <c r="AH1637" s="1150">
        <f>IFERROR(VLOOKUP(CONCATENATE($L1637,$N1637),'Drop List'!$G$23:$K$87,3,FALSE),0)</f>
        <v>0</v>
      </c>
      <c r="AI1637" s="1150">
        <f>IFERROR(VLOOKUP(CONCATENATE($L1637,$N1637),'Drop List'!$G$23:$K$87,4,FALSE),0)</f>
        <v>0</v>
      </c>
      <c r="AJ1637" s="1151">
        <f>IFERROR(VLOOKUP(CONCATENATE($L1637,$N1637),'Drop List'!$G$23:$K$87,5,FALSE),0)</f>
        <v>0</v>
      </c>
      <c r="AK1637" s="1152">
        <f t="shared" si="462"/>
        <v>0</v>
      </c>
      <c r="AL1637" s="1153">
        <f t="shared" si="463"/>
        <v>0</v>
      </c>
      <c r="AM1637" s="1153">
        <f t="shared" si="464"/>
        <v>0</v>
      </c>
      <c r="AN1637" s="1145">
        <f t="shared" si="465"/>
        <v>0</v>
      </c>
      <c r="AO1637" s="1154">
        <f t="shared" si="468"/>
        <v>0</v>
      </c>
      <c r="AP1637" s="1147">
        <f t="shared" si="453"/>
        <v>0</v>
      </c>
      <c r="AQ1637" s="1144">
        <f t="shared" si="454"/>
        <v>0</v>
      </c>
      <c r="AR1637" s="1146">
        <f t="shared" si="455"/>
        <v>0</v>
      </c>
    </row>
    <row r="1638" spans="1:44" x14ac:dyDescent="0.2">
      <c r="A1638" s="1141" t="str">
        <f t="shared" si="467"/>
        <v/>
      </c>
      <c r="B1638" s="1141" t="str">
        <f>IFERROR(VLOOKUP(A1638,'LAC 103'!A:C,3,FALSE),"")</f>
        <v/>
      </c>
      <c r="C1638" s="1478" t="str">
        <f>Info!$B$8</f>
        <v>00100</v>
      </c>
      <c r="D1638" s="1474"/>
      <c r="E1638" s="1474"/>
      <c r="F1638" s="1478"/>
      <c r="G1638" s="1478"/>
      <c r="H1638" s="1474"/>
      <c r="I1638" s="1478"/>
      <c r="J1638" s="1478"/>
      <c r="K1638" s="1475"/>
      <c r="L1638" s="1474"/>
      <c r="M1638" s="1476"/>
      <c r="N1638" s="1477"/>
      <c r="O1638" s="1479"/>
      <c r="P1638" s="1479"/>
      <c r="Q1638" s="1142">
        <f t="shared" si="451"/>
        <v>0</v>
      </c>
      <c r="R1638" s="1143">
        <f>IFERROR(VLOOKUP(CONCATENATE($E1638,$G1638),'LAC 103'!$A$12:$O$95,11,FALSE),0)</f>
        <v>0</v>
      </c>
      <c r="S1638" s="1144">
        <f>IFERROR(VLOOKUP(CONCATENATE($E1638,$G1638),'LAC 103'!$A$12:$O$95,12,FALSE),0)</f>
        <v>0</v>
      </c>
      <c r="T1638" s="1144">
        <f>IFERROR(VLOOKUP(CONCATENATE($E1638,$G1638),'LAC 103'!$A$12:$O$95,13,FALSE),0)</f>
        <v>0</v>
      </c>
      <c r="U1638" s="1144">
        <f>IFERROR(VLOOKUP(CONCATENATE($E1638,$G1638),'LAC 103'!$A$12:$O$95,14,FALSE),0)</f>
        <v>0</v>
      </c>
      <c r="V1638" s="1144">
        <f>IFERROR(VLOOKUP(CONCATENATE($E1638,$G1638),'LAC 103'!$A$12:$O$95,15,FALSE),0)</f>
        <v>0</v>
      </c>
      <c r="W1638" s="1145" t="str">
        <f>IFERROR(VLOOKUP(CONCATENATE($B1638,$N1638),'LAC 103'!$AI:$AQ,9,FALSE),"")</f>
        <v/>
      </c>
      <c r="X1638" s="1146">
        <f t="shared" si="456"/>
        <v>0</v>
      </c>
      <c r="Y1638" s="1143">
        <f t="shared" si="466"/>
        <v>0</v>
      </c>
      <c r="Z1638" s="1147">
        <f t="shared" si="457"/>
        <v>0</v>
      </c>
      <c r="AA1638" s="1144">
        <f t="shared" si="458"/>
        <v>0</v>
      </c>
      <c r="AB1638" s="1144">
        <f t="shared" si="459"/>
        <v>0</v>
      </c>
      <c r="AC1638" s="1144">
        <f t="shared" si="460"/>
        <v>0</v>
      </c>
      <c r="AD1638" s="1148">
        <f t="shared" si="452"/>
        <v>0</v>
      </c>
      <c r="AE1638" s="1487">
        <v>0</v>
      </c>
      <c r="AF1638" s="1145">
        <f t="shared" si="461"/>
        <v>0</v>
      </c>
      <c r="AG1638" s="1149">
        <f>IFERROR(VLOOKUP(CONCATENATE($L1638,$N1638),'Drop List'!$G$23:$K$87,2,FALSE),0)</f>
        <v>0</v>
      </c>
      <c r="AH1638" s="1150">
        <f>IFERROR(VLOOKUP(CONCATENATE($L1638,$N1638),'Drop List'!$G$23:$K$87,3,FALSE),0)</f>
        <v>0</v>
      </c>
      <c r="AI1638" s="1150">
        <f>IFERROR(VLOOKUP(CONCATENATE($L1638,$N1638),'Drop List'!$G$23:$K$87,4,FALSE),0)</f>
        <v>0</v>
      </c>
      <c r="AJ1638" s="1151">
        <f>IFERROR(VLOOKUP(CONCATENATE($L1638,$N1638),'Drop List'!$G$23:$K$87,5,FALSE),0)</f>
        <v>0</v>
      </c>
      <c r="AK1638" s="1152">
        <f t="shared" si="462"/>
        <v>0</v>
      </c>
      <c r="AL1638" s="1153">
        <f t="shared" si="463"/>
        <v>0</v>
      </c>
      <c r="AM1638" s="1153">
        <f t="shared" si="464"/>
        <v>0</v>
      </c>
      <c r="AN1638" s="1145">
        <f t="shared" si="465"/>
        <v>0</v>
      </c>
      <c r="AO1638" s="1154">
        <f t="shared" si="468"/>
        <v>0</v>
      </c>
      <c r="AP1638" s="1147">
        <f t="shared" si="453"/>
        <v>0</v>
      </c>
      <c r="AQ1638" s="1144">
        <f t="shared" si="454"/>
        <v>0</v>
      </c>
      <c r="AR1638" s="1146">
        <f t="shared" si="455"/>
        <v>0</v>
      </c>
    </row>
    <row r="1639" spans="1:44" x14ac:dyDescent="0.2">
      <c r="A1639" s="1141" t="str">
        <f t="shared" si="467"/>
        <v/>
      </c>
      <c r="B1639" s="1141" t="str">
        <f>IFERROR(VLOOKUP(A1639,'LAC 103'!A:C,3,FALSE),"")</f>
        <v/>
      </c>
      <c r="C1639" s="1478" t="str">
        <f>Info!$B$8</f>
        <v>00100</v>
      </c>
      <c r="D1639" s="1474"/>
      <c r="E1639" s="1474"/>
      <c r="F1639" s="1478"/>
      <c r="G1639" s="1478"/>
      <c r="H1639" s="1474"/>
      <c r="I1639" s="1478"/>
      <c r="J1639" s="1478"/>
      <c r="K1639" s="1475"/>
      <c r="L1639" s="1474"/>
      <c r="M1639" s="1476"/>
      <c r="N1639" s="1477"/>
      <c r="O1639" s="1479"/>
      <c r="P1639" s="1479"/>
      <c r="Q1639" s="1142">
        <f t="shared" si="451"/>
        <v>0</v>
      </c>
      <c r="R1639" s="1143">
        <f>IFERROR(VLOOKUP(CONCATENATE($E1639,$G1639),'LAC 103'!$A$12:$O$95,11,FALSE),0)</f>
        <v>0</v>
      </c>
      <c r="S1639" s="1144">
        <f>IFERROR(VLOOKUP(CONCATENATE($E1639,$G1639),'LAC 103'!$A$12:$O$95,12,FALSE),0)</f>
        <v>0</v>
      </c>
      <c r="T1639" s="1144">
        <f>IFERROR(VLOOKUP(CONCATENATE($E1639,$G1639),'LAC 103'!$A$12:$O$95,13,FALSE),0)</f>
        <v>0</v>
      </c>
      <c r="U1639" s="1144">
        <f>IFERROR(VLOOKUP(CONCATENATE($E1639,$G1639),'LAC 103'!$A$12:$O$95,14,FALSE),0)</f>
        <v>0</v>
      </c>
      <c r="V1639" s="1144">
        <f>IFERROR(VLOOKUP(CONCATENATE($E1639,$G1639),'LAC 103'!$A$12:$O$95,15,FALSE),0)</f>
        <v>0</v>
      </c>
      <c r="W1639" s="1145" t="str">
        <f>IFERROR(VLOOKUP(CONCATENATE($B1639,$N1639),'LAC 103'!$AI:$AQ,9,FALSE),"")</f>
        <v/>
      </c>
      <c r="X1639" s="1146">
        <f t="shared" si="456"/>
        <v>0</v>
      </c>
      <c r="Y1639" s="1143">
        <f t="shared" si="466"/>
        <v>0</v>
      </c>
      <c r="Z1639" s="1147">
        <f t="shared" si="457"/>
        <v>0</v>
      </c>
      <c r="AA1639" s="1144">
        <f t="shared" si="458"/>
        <v>0</v>
      </c>
      <c r="AB1639" s="1144">
        <f t="shared" si="459"/>
        <v>0</v>
      </c>
      <c r="AC1639" s="1144">
        <f t="shared" si="460"/>
        <v>0</v>
      </c>
      <c r="AD1639" s="1148">
        <f t="shared" si="452"/>
        <v>0</v>
      </c>
      <c r="AE1639" s="1487">
        <v>0</v>
      </c>
      <c r="AF1639" s="1145">
        <f t="shared" si="461"/>
        <v>0</v>
      </c>
      <c r="AG1639" s="1149">
        <f>IFERROR(VLOOKUP(CONCATENATE($L1639,$N1639),'Drop List'!$G$23:$K$87,2,FALSE),0)</f>
        <v>0</v>
      </c>
      <c r="AH1639" s="1150">
        <f>IFERROR(VLOOKUP(CONCATENATE($L1639,$N1639),'Drop List'!$G$23:$K$87,3,FALSE),0)</f>
        <v>0</v>
      </c>
      <c r="AI1639" s="1150">
        <f>IFERROR(VLOOKUP(CONCATENATE($L1639,$N1639),'Drop List'!$G$23:$K$87,4,FALSE),0)</f>
        <v>0</v>
      </c>
      <c r="AJ1639" s="1151">
        <f>IFERROR(VLOOKUP(CONCATENATE($L1639,$N1639),'Drop List'!$G$23:$K$87,5,FALSE),0)</f>
        <v>0</v>
      </c>
      <c r="AK1639" s="1152">
        <f t="shared" si="462"/>
        <v>0</v>
      </c>
      <c r="AL1639" s="1153">
        <f t="shared" si="463"/>
        <v>0</v>
      </c>
      <c r="AM1639" s="1153">
        <f t="shared" si="464"/>
        <v>0</v>
      </c>
      <c r="AN1639" s="1145">
        <f t="shared" si="465"/>
        <v>0</v>
      </c>
      <c r="AO1639" s="1154">
        <f t="shared" si="468"/>
        <v>0</v>
      </c>
      <c r="AP1639" s="1147">
        <f t="shared" si="453"/>
        <v>0</v>
      </c>
      <c r="AQ1639" s="1144">
        <f t="shared" si="454"/>
        <v>0</v>
      </c>
      <c r="AR1639" s="1146">
        <f t="shared" si="455"/>
        <v>0</v>
      </c>
    </row>
    <row r="1640" spans="1:44" x14ac:dyDescent="0.2">
      <c r="A1640" s="1141" t="str">
        <f t="shared" si="467"/>
        <v/>
      </c>
      <c r="B1640" s="1141" t="str">
        <f>IFERROR(VLOOKUP(A1640,'LAC 103'!A:C,3,FALSE),"")</f>
        <v/>
      </c>
      <c r="C1640" s="1478" t="str">
        <f>Info!$B$8</f>
        <v>00100</v>
      </c>
      <c r="D1640" s="1474"/>
      <c r="E1640" s="1474"/>
      <c r="F1640" s="1478"/>
      <c r="G1640" s="1478"/>
      <c r="H1640" s="1474"/>
      <c r="I1640" s="1478"/>
      <c r="J1640" s="1478"/>
      <c r="K1640" s="1475"/>
      <c r="L1640" s="1474"/>
      <c r="M1640" s="1476"/>
      <c r="N1640" s="1477"/>
      <c r="O1640" s="1479"/>
      <c r="P1640" s="1479"/>
      <c r="Q1640" s="1142">
        <f t="shared" si="451"/>
        <v>0</v>
      </c>
      <c r="R1640" s="1143">
        <f>IFERROR(VLOOKUP(CONCATENATE($E1640,$G1640),'LAC 103'!$A$12:$O$95,11,FALSE),0)</f>
        <v>0</v>
      </c>
      <c r="S1640" s="1144">
        <f>IFERROR(VLOOKUP(CONCATENATE($E1640,$G1640),'LAC 103'!$A$12:$O$95,12,FALSE),0)</f>
        <v>0</v>
      </c>
      <c r="T1640" s="1144">
        <f>IFERROR(VLOOKUP(CONCATENATE($E1640,$G1640),'LAC 103'!$A$12:$O$95,13,FALSE),0)</f>
        <v>0</v>
      </c>
      <c r="U1640" s="1144">
        <f>IFERROR(VLOOKUP(CONCATENATE($E1640,$G1640),'LAC 103'!$A$12:$O$95,14,FALSE),0)</f>
        <v>0</v>
      </c>
      <c r="V1640" s="1144">
        <f>IFERROR(VLOOKUP(CONCATENATE($E1640,$G1640),'LAC 103'!$A$12:$O$95,15,FALSE),0)</f>
        <v>0</v>
      </c>
      <c r="W1640" s="1145" t="str">
        <f>IFERROR(VLOOKUP(CONCATENATE($B1640,$N1640),'LAC 103'!$AI:$AQ,9,FALSE),"")</f>
        <v/>
      </c>
      <c r="X1640" s="1146">
        <f t="shared" si="456"/>
        <v>0</v>
      </c>
      <c r="Y1640" s="1143">
        <f t="shared" si="466"/>
        <v>0</v>
      </c>
      <c r="Z1640" s="1147">
        <f t="shared" si="457"/>
        <v>0</v>
      </c>
      <c r="AA1640" s="1144">
        <f t="shared" si="458"/>
        <v>0</v>
      </c>
      <c r="AB1640" s="1144">
        <f t="shared" si="459"/>
        <v>0</v>
      </c>
      <c r="AC1640" s="1144">
        <f t="shared" si="460"/>
        <v>0</v>
      </c>
      <c r="AD1640" s="1148">
        <f t="shared" si="452"/>
        <v>0</v>
      </c>
      <c r="AE1640" s="1487">
        <v>0</v>
      </c>
      <c r="AF1640" s="1145">
        <f t="shared" si="461"/>
        <v>0</v>
      </c>
      <c r="AG1640" s="1149">
        <f>IFERROR(VLOOKUP(CONCATENATE($L1640,$N1640),'Drop List'!$G$23:$K$87,2,FALSE),0)</f>
        <v>0</v>
      </c>
      <c r="AH1640" s="1150">
        <f>IFERROR(VLOOKUP(CONCATENATE($L1640,$N1640),'Drop List'!$G$23:$K$87,3,FALSE),0)</f>
        <v>0</v>
      </c>
      <c r="AI1640" s="1150">
        <f>IFERROR(VLOOKUP(CONCATENATE($L1640,$N1640),'Drop List'!$G$23:$K$87,4,FALSE),0)</f>
        <v>0</v>
      </c>
      <c r="AJ1640" s="1151">
        <f>IFERROR(VLOOKUP(CONCATENATE($L1640,$N1640),'Drop List'!$G$23:$K$87,5,FALSE),0)</f>
        <v>0</v>
      </c>
      <c r="AK1640" s="1152">
        <f t="shared" si="462"/>
        <v>0</v>
      </c>
      <c r="AL1640" s="1153">
        <f t="shared" si="463"/>
        <v>0</v>
      </c>
      <c r="AM1640" s="1153">
        <f t="shared" si="464"/>
        <v>0</v>
      </c>
      <c r="AN1640" s="1145">
        <f t="shared" si="465"/>
        <v>0</v>
      </c>
      <c r="AO1640" s="1154">
        <f t="shared" si="468"/>
        <v>0</v>
      </c>
      <c r="AP1640" s="1147">
        <f t="shared" si="453"/>
        <v>0</v>
      </c>
      <c r="AQ1640" s="1144">
        <f t="shared" si="454"/>
        <v>0</v>
      </c>
      <c r="AR1640" s="1146">
        <f t="shared" si="455"/>
        <v>0</v>
      </c>
    </row>
    <row r="1641" spans="1:44" x14ac:dyDescent="0.2">
      <c r="A1641" s="1141" t="str">
        <f t="shared" si="467"/>
        <v/>
      </c>
      <c r="B1641" s="1141" t="str">
        <f>IFERROR(VLOOKUP(A1641,'LAC 103'!A:C,3,FALSE),"")</f>
        <v/>
      </c>
      <c r="C1641" s="1478" t="str">
        <f>Info!$B$8</f>
        <v>00100</v>
      </c>
      <c r="D1641" s="1474"/>
      <c r="E1641" s="1474"/>
      <c r="F1641" s="1478"/>
      <c r="G1641" s="1478"/>
      <c r="H1641" s="1474"/>
      <c r="I1641" s="1478"/>
      <c r="J1641" s="1478"/>
      <c r="K1641" s="1475"/>
      <c r="L1641" s="1474"/>
      <c r="M1641" s="1476"/>
      <c r="N1641" s="1477"/>
      <c r="O1641" s="1479"/>
      <c r="P1641" s="1479"/>
      <c r="Q1641" s="1142">
        <f t="shared" si="451"/>
        <v>0</v>
      </c>
      <c r="R1641" s="1143">
        <f>IFERROR(VLOOKUP(CONCATENATE($E1641,$G1641),'LAC 103'!$A$12:$O$95,11,FALSE),0)</f>
        <v>0</v>
      </c>
      <c r="S1641" s="1144">
        <f>IFERROR(VLOOKUP(CONCATENATE($E1641,$G1641),'LAC 103'!$A$12:$O$95,12,FALSE),0)</f>
        <v>0</v>
      </c>
      <c r="T1641" s="1144">
        <f>IFERROR(VLOOKUP(CONCATENATE($E1641,$G1641),'LAC 103'!$A$12:$O$95,13,FALSE),0)</f>
        <v>0</v>
      </c>
      <c r="U1641" s="1144">
        <f>IFERROR(VLOOKUP(CONCATENATE($E1641,$G1641),'LAC 103'!$A$12:$O$95,14,FALSE),0)</f>
        <v>0</v>
      </c>
      <c r="V1641" s="1144">
        <f>IFERROR(VLOOKUP(CONCATENATE($E1641,$G1641),'LAC 103'!$A$12:$O$95,15,FALSE),0)</f>
        <v>0</v>
      </c>
      <c r="W1641" s="1145" t="str">
        <f>IFERROR(VLOOKUP(CONCATENATE($B1641,$N1641),'LAC 103'!$AI:$AQ,9,FALSE),"")</f>
        <v/>
      </c>
      <c r="X1641" s="1146">
        <f t="shared" si="456"/>
        <v>0</v>
      </c>
      <c r="Y1641" s="1143">
        <f t="shared" si="466"/>
        <v>0</v>
      </c>
      <c r="Z1641" s="1147">
        <f t="shared" si="457"/>
        <v>0</v>
      </c>
      <c r="AA1641" s="1144">
        <f t="shared" si="458"/>
        <v>0</v>
      </c>
      <c r="AB1641" s="1144">
        <f t="shared" si="459"/>
        <v>0</v>
      </c>
      <c r="AC1641" s="1144">
        <f t="shared" si="460"/>
        <v>0</v>
      </c>
      <c r="AD1641" s="1148">
        <f t="shared" si="452"/>
        <v>0</v>
      </c>
      <c r="AE1641" s="1487">
        <v>0</v>
      </c>
      <c r="AF1641" s="1145">
        <f t="shared" si="461"/>
        <v>0</v>
      </c>
      <c r="AG1641" s="1149">
        <f>IFERROR(VLOOKUP(CONCATENATE($L1641,$N1641),'Drop List'!$G$23:$K$87,2,FALSE),0)</f>
        <v>0</v>
      </c>
      <c r="AH1641" s="1150">
        <f>IFERROR(VLOOKUP(CONCATENATE($L1641,$N1641),'Drop List'!$G$23:$K$87,3,FALSE),0)</f>
        <v>0</v>
      </c>
      <c r="AI1641" s="1150">
        <f>IFERROR(VLOOKUP(CONCATENATE($L1641,$N1641),'Drop List'!$G$23:$K$87,4,FALSE),0)</f>
        <v>0</v>
      </c>
      <c r="AJ1641" s="1151">
        <f>IFERROR(VLOOKUP(CONCATENATE($L1641,$N1641),'Drop List'!$G$23:$K$87,5,FALSE),0)</f>
        <v>0</v>
      </c>
      <c r="AK1641" s="1152">
        <f t="shared" si="462"/>
        <v>0</v>
      </c>
      <c r="AL1641" s="1153">
        <f t="shared" si="463"/>
        <v>0</v>
      </c>
      <c r="AM1641" s="1153">
        <f t="shared" si="464"/>
        <v>0</v>
      </c>
      <c r="AN1641" s="1145">
        <f t="shared" si="465"/>
        <v>0</v>
      </c>
      <c r="AO1641" s="1154">
        <f t="shared" si="468"/>
        <v>0</v>
      </c>
      <c r="AP1641" s="1147">
        <f t="shared" si="453"/>
        <v>0</v>
      </c>
      <c r="AQ1641" s="1144">
        <f t="shared" si="454"/>
        <v>0</v>
      </c>
      <c r="AR1641" s="1146">
        <f t="shared" si="455"/>
        <v>0</v>
      </c>
    </row>
    <row r="1642" spans="1:44" x14ac:dyDescent="0.2">
      <c r="A1642" s="1141" t="str">
        <f t="shared" si="467"/>
        <v/>
      </c>
      <c r="B1642" s="1141" t="str">
        <f>IFERROR(VLOOKUP(A1642,'LAC 103'!A:C,3,FALSE),"")</f>
        <v/>
      </c>
      <c r="C1642" s="1478" t="str">
        <f>Info!$B$8</f>
        <v>00100</v>
      </c>
      <c r="D1642" s="1474"/>
      <c r="E1642" s="1474"/>
      <c r="F1642" s="1478"/>
      <c r="G1642" s="1478"/>
      <c r="H1642" s="1474"/>
      <c r="I1642" s="1478"/>
      <c r="J1642" s="1478"/>
      <c r="K1642" s="1475"/>
      <c r="L1642" s="1474"/>
      <c r="M1642" s="1476"/>
      <c r="N1642" s="1477"/>
      <c r="O1642" s="1479"/>
      <c r="P1642" s="1479"/>
      <c r="Q1642" s="1142">
        <f t="shared" si="451"/>
        <v>0</v>
      </c>
      <c r="R1642" s="1143">
        <f>IFERROR(VLOOKUP(CONCATENATE($E1642,$G1642),'LAC 103'!$A$12:$O$95,11,FALSE),0)</f>
        <v>0</v>
      </c>
      <c r="S1642" s="1144">
        <f>IFERROR(VLOOKUP(CONCATENATE($E1642,$G1642),'LAC 103'!$A$12:$O$95,12,FALSE),0)</f>
        <v>0</v>
      </c>
      <c r="T1642" s="1144">
        <f>IFERROR(VLOOKUP(CONCATENATE($E1642,$G1642),'LAC 103'!$A$12:$O$95,13,FALSE),0)</f>
        <v>0</v>
      </c>
      <c r="U1642" s="1144">
        <f>IFERROR(VLOOKUP(CONCATENATE($E1642,$G1642),'LAC 103'!$A$12:$O$95,14,FALSE),0)</f>
        <v>0</v>
      </c>
      <c r="V1642" s="1144">
        <f>IFERROR(VLOOKUP(CONCATENATE($E1642,$G1642),'LAC 103'!$A$12:$O$95,15,FALSE),0)</f>
        <v>0</v>
      </c>
      <c r="W1642" s="1145" t="str">
        <f>IFERROR(VLOOKUP(CONCATENATE($B1642,$N1642),'LAC 103'!$AI:$AQ,9,FALSE),"")</f>
        <v/>
      </c>
      <c r="X1642" s="1146">
        <f t="shared" si="456"/>
        <v>0</v>
      </c>
      <c r="Y1642" s="1143">
        <f t="shared" si="466"/>
        <v>0</v>
      </c>
      <c r="Z1642" s="1147">
        <f t="shared" si="457"/>
        <v>0</v>
      </c>
      <c r="AA1642" s="1144">
        <f t="shared" si="458"/>
        <v>0</v>
      </c>
      <c r="AB1642" s="1144">
        <f t="shared" si="459"/>
        <v>0</v>
      </c>
      <c r="AC1642" s="1144">
        <f t="shared" si="460"/>
        <v>0</v>
      </c>
      <c r="AD1642" s="1148">
        <f t="shared" si="452"/>
        <v>0</v>
      </c>
      <c r="AE1642" s="1487">
        <v>0</v>
      </c>
      <c r="AF1642" s="1145">
        <f t="shared" si="461"/>
        <v>0</v>
      </c>
      <c r="AG1642" s="1149">
        <f>IFERROR(VLOOKUP(CONCATENATE($L1642,$N1642),'Drop List'!$G$23:$K$87,2,FALSE),0)</f>
        <v>0</v>
      </c>
      <c r="AH1642" s="1150">
        <f>IFERROR(VLOOKUP(CONCATENATE($L1642,$N1642),'Drop List'!$G$23:$K$87,3,FALSE),0)</f>
        <v>0</v>
      </c>
      <c r="AI1642" s="1150">
        <f>IFERROR(VLOOKUP(CONCATENATE($L1642,$N1642),'Drop List'!$G$23:$K$87,4,FALSE),0)</f>
        <v>0</v>
      </c>
      <c r="AJ1642" s="1151">
        <f>IFERROR(VLOOKUP(CONCATENATE($L1642,$N1642),'Drop List'!$G$23:$K$87,5,FALSE),0)</f>
        <v>0</v>
      </c>
      <c r="AK1642" s="1152">
        <f t="shared" si="462"/>
        <v>0</v>
      </c>
      <c r="AL1642" s="1153">
        <f t="shared" si="463"/>
        <v>0</v>
      </c>
      <c r="AM1642" s="1153">
        <f t="shared" si="464"/>
        <v>0</v>
      </c>
      <c r="AN1642" s="1145">
        <f t="shared" si="465"/>
        <v>0</v>
      </c>
      <c r="AO1642" s="1154">
        <f t="shared" si="468"/>
        <v>0</v>
      </c>
      <c r="AP1642" s="1147">
        <f t="shared" si="453"/>
        <v>0</v>
      </c>
      <c r="AQ1642" s="1144">
        <f t="shared" si="454"/>
        <v>0</v>
      </c>
      <c r="AR1642" s="1146">
        <f t="shared" si="455"/>
        <v>0</v>
      </c>
    </row>
    <row r="1643" spans="1:44" x14ac:dyDescent="0.2">
      <c r="A1643" s="1141" t="str">
        <f t="shared" si="467"/>
        <v/>
      </c>
      <c r="B1643" s="1141" t="str">
        <f>IFERROR(VLOOKUP(A1643,'LAC 103'!A:C,3,FALSE),"")</f>
        <v/>
      </c>
      <c r="C1643" s="1478" t="str">
        <f>Info!$B$8</f>
        <v>00100</v>
      </c>
      <c r="D1643" s="1474"/>
      <c r="E1643" s="1474"/>
      <c r="F1643" s="1478"/>
      <c r="G1643" s="1478"/>
      <c r="H1643" s="1474"/>
      <c r="I1643" s="1478"/>
      <c r="J1643" s="1478"/>
      <c r="K1643" s="1475"/>
      <c r="L1643" s="1474"/>
      <c r="M1643" s="1476"/>
      <c r="N1643" s="1477"/>
      <c r="O1643" s="1479"/>
      <c r="P1643" s="1479"/>
      <c r="Q1643" s="1142">
        <f t="shared" si="451"/>
        <v>0</v>
      </c>
      <c r="R1643" s="1143">
        <f>IFERROR(VLOOKUP(CONCATENATE($E1643,$G1643),'LAC 103'!$A$12:$O$95,11,FALSE),0)</f>
        <v>0</v>
      </c>
      <c r="S1643" s="1144">
        <f>IFERROR(VLOOKUP(CONCATENATE($E1643,$G1643),'LAC 103'!$A$12:$O$95,12,FALSE),0)</f>
        <v>0</v>
      </c>
      <c r="T1643" s="1144">
        <f>IFERROR(VLOOKUP(CONCATENATE($E1643,$G1643),'LAC 103'!$A$12:$O$95,13,FALSE),0)</f>
        <v>0</v>
      </c>
      <c r="U1643" s="1144">
        <f>IFERROR(VLOOKUP(CONCATENATE($E1643,$G1643),'LAC 103'!$A$12:$O$95,14,FALSE),0)</f>
        <v>0</v>
      </c>
      <c r="V1643" s="1144">
        <f>IFERROR(VLOOKUP(CONCATENATE($E1643,$G1643),'LAC 103'!$A$12:$O$95,15,FALSE),0)</f>
        <v>0</v>
      </c>
      <c r="W1643" s="1145" t="str">
        <f>IFERROR(VLOOKUP(CONCATENATE($B1643,$N1643),'LAC 103'!$AI:$AQ,9,FALSE),"")</f>
        <v/>
      </c>
      <c r="X1643" s="1146">
        <f t="shared" si="456"/>
        <v>0</v>
      </c>
      <c r="Y1643" s="1143">
        <f t="shared" si="466"/>
        <v>0</v>
      </c>
      <c r="Z1643" s="1147">
        <f t="shared" si="457"/>
        <v>0</v>
      </c>
      <c r="AA1643" s="1144">
        <f t="shared" si="458"/>
        <v>0</v>
      </c>
      <c r="AB1643" s="1144">
        <f t="shared" si="459"/>
        <v>0</v>
      </c>
      <c r="AC1643" s="1144">
        <f t="shared" si="460"/>
        <v>0</v>
      </c>
      <c r="AD1643" s="1148">
        <f t="shared" si="452"/>
        <v>0</v>
      </c>
      <c r="AE1643" s="1487">
        <v>0</v>
      </c>
      <c r="AF1643" s="1145">
        <f t="shared" si="461"/>
        <v>0</v>
      </c>
      <c r="AG1643" s="1149">
        <f>IFERROR(VLOOKUP(CONCATENATE($L1643,$N1643),'Drop List'!$G$23:$K$87,2,FALSE),0)</f>
        <v>0</v>
      </c>
      <c r="AH1643" s="1150">
        <f>IFERROR(VLOOKUP(CONCATENATE($L1643,$N1643),'Drop List'!$G$23:$K$87,3,FALSE),0)</f>
        <v>0</v>
      </c>
      <c r="AI1643" s="1150">
        <f>IFERROR(VLOOKUP(CONCATENATE($L1643,$N1643),'Drop List'!$G$23:$K$87,4,FALSE),0)</f>
        <v>0</v>
      </c>
      <c r="AJ1643" s="1151">
        <f>IFERROR(VLOOKUP(CONCATENATE($L1643,$N1643),'Drop List'!$G$23:$K$87,5,FALSE),0)</f>
        <v>0</v>
      </c>
      <c r="AK1643" s="1152">
        <f t="shared" si="462"/>
        <v>0</v>
      </c>
      <c r="AL1643" s="1153">
        <f t="shared" si="463"/>
        <v>0</v>
      </c>
      <c r="AM1643" s="1153">
        <f t="shared" si="464"/>
        <v>0</v>
      </c>
      <c r="AN1643" s="1145">
        <f t="shared" si="465"/>
        <v>0</v>
      </c>
      <c r="AO1643" s="1154">
        <f t="shared" si="468"/>
        <v>0</v>
      </c>
      <c r="AP1643" s="1147">
        <f t="shared" si="453"/>
        <v>0</v>
      </c>
      <c r="AQ1643" s="1144">
        <f t="shared" si="454"/>
        <v>0</v>
      </c>
      <c r="AR1643" s="1146">
        <f t="shared" si="455"/>
        <v>0</v>
      </c>
    </row>
    <row r="1644" spans="1:44" x14ac:dyDescent="0.2">
      <c r="A1644" s="1141" t="str">
        <f t="shared" si="467"/>
        <v/>
      </c>
      <c r="B1644" s="1141" t="str">
        <f>IFERROR(VLOOKUP(A1644,'LAC 103'!A:C,3,FALSE),"")</f>
        <v/>
      </c>
      <c r="C1644" s="1478" t="str">
        <f>Info!$B$8</f>
        <v>00100</v>
      </c>
      <c r="D1644" s="1474"/>
      <c r="E1644" s="1474"/>
      <c r="F1644" s="1478"/>
      <c r="G1644" s="1478"/>
      <c r="H1644" s="1474"/>
      <c r="I1644" s="1478"/>
      <c r="J1644" s="1478"/>
      <c r="K1644" s="1475"/>
      <c r="L1644" s="1474"/>
      <c r="M1644" s="1476"/>
      <c r="N1644" s="1477"/>
      <c r="O1644" s="1479"/>
      <c r="P1644" s="1479"/>
      <c r="Q1644" s="1142">
        <f t="shared" si="451"/>
        <v>0</v>
      </c>
      <c r="R1644" s="1143">
        <f>IFERROR(VLOOKUP(CONCATENATE($E1644,$G1644),'LAC 103'!$A$12:$O$95,11,FALSE),0)</f>
        <v>0</v>
      </c>
      <c r="S1644" s="1144">
        <f>IFERROR(VLOOKUP(CONCATENATE($E1644,$G1644),'LAC 103'!$A$12:$O$95,12,FALSE),0)</f>
        <v>0</v>
      </c>
      <c r="T1644" s="1144">
        <f>IFERROR(VLOOKUP(CONCATENATE($E1644,$G1644),'LAC 103'!$A$12:$O$95,13,FALSE),0)</f>
        <v>0</v>
      </c>
      <c r="U1644" s="1144">
        <f>IFERROR(VLOOKUP(CONCATENATE($E1644,$G1644),'LAC 103'!$A$12:$O$95,14,FALSE),0)</f>
        <v>0</v>
      </c>
      <c r="V1644" s="1144">
        <f>IFERROR(VLOOKUP(CONCATENATE($E1644,$G1644),'LAC 103'!$A$12:$O$95,15,FALSE),0)</f>
        <v>0</v>
      </c>
      <c r="W1644" s="1145" t="str">
        <f>IFERROR(VLOOKUP(CONCATENATE($B1644,$N1644),'LAC 103'!$AI:$AQ,9,FALSE),"")</f>
        <v/>
      </c>
      <c r="X1644" s="1146">
        <f t="shared" si="456"/>
        <v>0</v>
      </c>
      <c r="Y1644" s="1143">
        <f t="shared" si="466"/>
        <v>0</v>
      </c>
      <c r="Z1644" s="1147">
        <f t="shared" si="457"/>
        <v>0</v>
      </c>
      <c r="AA1644" s="1144">
        <f t="shared" si="458"/>
        <v>0</v>
      </c>
      <c r="AB1644" s="1144">
        <f t="shared" si="459"/>
        <v>0</v>
      </c>
      <c r="AC1644" s="1144">
        <f t="shared" si="460"/>
        <v>0</v>
      </c>
      <c r="AD1644" s="1148">
        <f t="shared" si="452"/>
        <v>0</v>
      </c>
      <c r="AE1644" s="1487">
        <v>0</v>
      </c>
      <c r="AF1644" s="1145">
        <f t="shared" si="461"/>
        <v>0</v>
      </c>
      <c r="AG1644" s="1149">
        <f>IFERROR(VLOOKUP(CONCATENATE($L1644,$N1644),'Drop List'!$G$23:$K$87,2,FALSE),0)</f>
        <v>0</v>
      </c>
      <c r="AH1644" s="1150">
        <f>IFERROR(VLOOKUP(CONCATENATE($L1644,$N1644),'Drop List'!$G$23:$K$87,3,FALSE),0)</f>
        <v>0</v>
      </c>
      <c r="AI1644" s="1150">
        <f>IFERROR(VLOOKUP(CONCATENATE($L1644,$N1644),'Drop List'!$G$23:$K$87,4,FALSE),0)</f>
        <v>0</v>
      </c>
      <c r="AJ1644" s="1151">
        <f>IFERROR(VLOOKUP(CONCATENATE($L1644,$N1644),'Drop List'!$G$23:$K$87,5,FALSE),0)</f>
        <v>0</v>
      </c>
      <c r="AK1644" s="1152">
        <f t="shared" si="462"/>
        <v>0</v>
      </c>
      <c r="AL1644" s="1153">
        <f t="shared" si="463"/>
        <v>0</v>
      </c>
      <c r="AM1644" s="1153">
        <f t="shared" si="464"/>
        <v>0</v>
      </c>
      <c r="AN1644" s="1145">
        <f t="shared" si="465"/>
        <v>0</v>
      </c>
      <c r="AO1644" s="1154">
        <f t="shared" si="468"/>
        <v>0</v>
      </c>
      <c r="AP1644" s="1147">
        <f t="shared" si="453"/>
        <v>0</v>
      </c>
      <c r="AQ1644" s="1144">
        <f t="shared" si="454"/>
        <v>0</v>
      </c>
      <c r="AR1644" s="1146">
        <f t="shared" si="455"/>
        <v>0</v>
      </c>
    </row>
    <row r="1645" spans="1:44" x14ac:dyDescent="0.2">
      <c r="A1645" s="1141" t="str">
        <f t="shared" si="467"/>
        <v/>
      </c>
      <c r="B1645" s="1141" t="str">
        <f>IFERROR(VLOOKUP(A1645,'LAC 103'!A:C,3,FALSE),"")</f>
        <v/>
      </c>
      <c r="C1645" s="1478" t="str">
        <f>Info!$B$8</f>
        <v>00100</v>
      </c>
      <c r="D1645" s="1474"/>
      <c r="E1645" s="1474"/>
      <c r="F1645" s="1478"/>
      <c r="G1645" s="1478"/>
      <c r="H1645" s="1474"/>
      <c r="I1645" s="1478"/>
      <c r="J1645" s="1478"/>
      <c r="K1645" s="1475"/>
      <c r="L1645" s="1474"/>
      <c r="M1645" s="1476"/>
      <c r="N1645" s="1477"/>
      <c r="O1645" s="1479"/>
      <c r="P1645" s="1479"/>
      <c r="Q1645" s="1142">
        <f t="shared" si="451"/>
        <v>0</v>
      </c>
      <c r="R1645" s="1143">
        <f>IFERROR(VLOOKUP(CONCATENATE($E1645,$G1645),'LAC 103'!$A$12:$O$95,11,FALSE),0)</f>
        <v>0</v>
      </c>
      <c r="S1645" s="1144">
        <f>IFERROR(VLOOKUP(CONCATENATE($E1645,$G1645),'LAC 103'!$A$12:$O$95,12,FALSE),0)</f>
        <v>0</v>
      </c>
      <c r="T1645" s="1144">
        <f>IFERROR(VLOOKUP(CONCATENATE($E1645,$G1645),'LAC 103'!$A$12:$O$95,13,FALSE),0)</f>
        <v>0</v>
      </c>
      <c r="U1645" s="1144">
        <f>IFERROR(VLOOKUP(CONCATENATE($E1645,$G1645),'LAC 103'!$A$12:$O$95,14,FALSE),0)</f>
        <v>0</v>
      </c>
      <c r="V1645" s="1144">
        <f>IFERROR(VLOOKUP(CONCATENATE($E1645,$G1645),'LAC 103'!$A$12:$O$95,15,FALSE),0)</f>
        <v>0</v>
      </c>
      <c r="W1645" s="1145" t="str">
        <f>IFERROR(VLOOKUP(CONCATENATE($B1645,$N1645),'LAC 103'!$AI:$AQ,9,FALSE),"")</f>
        <v/>
      </c>
      <c r="X1645" s="1146">
        <f t="shared" si="456"/>
        <v>0</v>
      </c>
      <c r="Y1645" s="1143">
        <f t="shared" si="466"/>
        <v>0</v>
      </c>
      <c r="Z1645" s="1147">
        <f t="shared" si="457"/>
        <v>0</v>
      </c>
      <c r="AA1645" s="1144">
        <f t="shared" si="458"/>
        <v>0</v>
      </c>
      <c r="AB1645" s="1144">
        <f t="shared" si="459"/>
        <v>0</v>
      </c>
      <c r="AC1645" s="1144">
        <f t="shared" si="460"/>
        <v>0</v>
      </c>
      <c r="AD1645" s="1148">
        <f t="shared" si="452"/>
        <v>0</v>
      </c>
      <c r="AE1645" s="1487">
        <v>0</v>
      </c>
      <c r="AF1645" s="1145">
        <f t="shared" si="461"/>
        <v>0</v>
      </c>
      <c r="AG1645" s="1149">
        <f>IFERROR(VLOOKUP(CONCATENATE($L1645,$N1645),'Drop List'!$G$23:$K$87,2,FALSE),0)</f>
        <v>0</v>
      </c>
      <c r="AH1645" s="1150">
        <f>IFERROR(VLOOKUP(CONCATENATE($L1645,$N1645),'Drop List'!$G$23:$K$87,3,FALSE),0)</f>
        <v>0</v>
      </c>
      <c r="AI1645" s="1150">
        <f>IFERROR(VLOOKUP(CONCATENATE($L1645,$N1645),'Drop List'!$G$23:$K$87,4,FALSE),0)</f>
        <v>0</v>
      </c>
      <c r="AJ1645" s="1151">
        <f>IFERROR(VLOOKUP(CONCATENATE($L1645,$N1645),'Drop List'!$G$23:$K$87,5,FALSE),0)</f>
        <v>0</v>
      </c>
      <c r="AK1645" s="1152">
        <f t="shared" si="462"/>
        <v>0</v>
      </c>
      <c r="AL1645" s="1153">
        <f t="shared" si="463"/>
        <v>0</v>
      </c>
      <c r="AM1645" s="1153">
        <f t="shared" si="464"/>
        <v>0</v>
      </c>
      <c r="AN1645" s="1145">
        <f t="shared" si="465"/>
        <v>0</v>
      </c>
      <c r="AO1645" s="1154">
        <f t="shared" si="468"/>
        <v>0</v>
      </c>
      <c r="AP1645" s="1147">
        <f t="shared" si="453"/>
        <v>0</v>
      </c>
      <c r="AQ1645" s="1144">
        <f t="shared" si="454"/>
        <v>0</v>
      </c>
      <c r="AR1645" s="1146">
        <f t="shared" si="455"/>
        <v>0</v>
      </c>
    </row>
    <row r="1646" spans="1:44" x14ac:dyDescent="0.2">
      <c r="A1646" s="1141" t="str">
        <f t="shared" si="467"/>
        <v/>
      </c>
      <c r="B1646" s="1141" t="str">
        <f>IFERROR(VLOOKUP(A1646,'LAC 103'!A:C,3,FALSE),"")</f>
        <v/>
      </c>
      <c r="C1646" s="1478" t="str">
        <f>Info!$B$8</f>
        <v>00100</v>
      </c>
      <c r="D1646" s="1474"/>
      <c r="E1646" s="1474"/>
      <c r="F1646" s="1478"/>
      <c r="G1646" s="1478"/>
      <c r="H1646" s="1474"/>
      <c r="I1646" s="1478"/>
      <c r="J1646" s="1478"/>
      <c r="K1646" s="1475"/>
      <c r="L1646" s="1474"/>
      <c r="M1646" s="1476"/>
      <c r="N1646" s="1477"/>
      <c r="O1646" s="1479"/>
      <c r="P1646" s="1479"/>
      <c r="Q1646" s="1142">
        <f t="shared" si="451"/>
        <v>0</v>
      </c>
      <c r="R1646" s="1143">
        <f>IFERROR(VLOOKUP(CONCATENATE($E1646,$G1646),'LAC 103'!$A$12:$O$95,11,FALSE),0)</f>
        <v>0</v>
      </c>
      <c r="S1646" s="1144">
        <f>IFERROR(VLOOKUP(CONCATENATE($E1646,$G1646),'LAC 103'!$A$12:$O$95,12,FALSE),0)</f>
        <v>0</v>
      </c>
      <c r="T1646" s="1144">
        <f>IFERROR(VLOOKUP(CONCATENATE($E1646,$G1646),'LAC 103'!$A$12:$O$95,13,FALSE),0)</f>
        <v>0</v>
      </c>
      <c r="U1646" s="1144">
        <f>IFERROR(VLOOKUP(CONCATENATE($E1646,$G1646),'LAC 103'!$A$12:$O$95,14,FALSE),0)</f>
        <v>0</v>
      </c>
      <c r="V1646" s="1144">
        <f>IFERROR(VLOOKUP(CONCATENATE($E1646,$G1646),'LAC 103'!$A$12:$O$95,15,FALSE),0)</f>
        <v>0</v>
      </c>
      <c r="W1646" s="1145" t="str">
        <f>IFERROR(VLOOKUP(CONCATENATE($B1646,$N1646),'LAC 103'!$AI:$AQ,9,FALSE),"")</f>
        <v/>
      </c>
      <c r="X1646" s="1146">
        <f t="shared" si="456"/>
        <v>0</v>
      </c>
      <c r="Y1646" s="1143">
        <f t="shared" si="466"/>
        <v>0</v>
      </c>
      <c r="Z1646" s="1147">
        <f t="shared" si="457"/>
        <v>0</v>
      </c>
      <c r="AA1646" s="1144">
        <f t="shared" si="458"/>
        <v>0</v>
      </c>
      <c r="AB1646" s="1144">
        <f t="shared" si="459"/>
        <v>0</v>
      </c>
      <c r="AC1646" s="1144">
        <f t="shared" si="460"/>
        <v>0</v>
      </c>
      <c r="AD1646" s="1148">
        <f t="shared" si="452"/>
        <v>0</v>
      </c>
      <c r="AE1646" s="1487">
        <v>0</v>
      </c>
      <c r="AF1646" s="1145">
        <f t="shared" si="461"/>
        <v>0</v>
      </c>
      <c r="AG1646" s="1149">
        <f>IFERROR(VLOOKUP(CONCATENATE($L1646,$N1646),'Drop List'!$G$23:$K$87,2,FALSE),0)</f>
        <v>0</v>
      </c>
      <c r="AH1646" s="1150">
        <f>IFERROR(VLOOKUP(CONCATENATE($L1646,$N1646),'Drop List'!$G$23:$K$87,3,FALSE),0)</f>
        <v>0</v>
      </c>
      <c r="AI1646" s="1150">
        <f>IFERROR(VLOOKUP(CONCATENATE($L1646,$N1646),'Drop List'!$G$23:$K$87,4,FALSE),0)</f>
        <v>0</v>
      </c>
      <c r="AJ1646" s="1151">
        <f>IFERROR(VLOOKUP(CONCATENATE($L1646,$N1646),'Drop List'!$G$23:$K$87,5,FALSE),0)</f>
        <v>0</v>
      </c>
      <c r="AK1646" s="1152">
        <f t="shared" si="462"/>
        <v>0</v>
      </c>
      <c r="AL1646" s="1153">
        <f t="shared" si="463"/>
        <v>0</v>
      </c>
      <c r="AM1646" s="1153">
        <f t="shared" si="464"/>
        <v>0</v>
      </c>
      <c r="AN1646" s="1145">
        <f t="shared" si="465"/>
        <v>0</v>
      </c>
      <c r="AO1646" s="1154">
        <f t="shared" si="468"/>
        <v>0</v>
      </c>
      <c r="AP1646" s="1147">
        <f t="shared" si="453"/>
        <v>0</v>
      </c>
      <c r="AQ1646" s="1144">
        <f t="shared" si="454"/>
        <v>0</v>
      </c>
      <c r="AR1646" s="1146">
        <f t="shared" si="455"/>
        <v>0</v>
      </c>
    </row>
    <row r="1647" spans="1:44" x14ac:dyDescent="0.2">
      <c r="A1647" s="1141" t="str">
        <f t="shared" si="467"/>
        <v/>
      </c>
      <c r="B1647" s="1141" t="str">
        <f>IFERROR(VLOOKUP(A1647,'LAC 103'!A:C,3,FALSE),"")</f>
        <v/>
      </c>
      <c r="C1647" s="1478" t="str">
        <f>Info!$B$8</f>
        <v>00100</v>
      </c>
      <c r="D1647" s="1474"/>
      <c r="E1647" s="1474"/>
      <c r="F1647" s="1478"/>
      <c r="G1647" s="1478"/>
      <c r="H1647" s="1474"/>
      <c r="I1647" s="1478"/>
      <c r="J1647" s="1478"/>
      <c r="K1647" s="1475"/>
      <c r="L1647" s="1474"/>
      <c r="M1647" s="1476"/>
      <c r="N1647" s="1477"/>
      <c r="O1647" s="1479"/>
      <c r="P1647" s="1479"/>
      <c r="Q1647" s="1142">
        <f t="shared" si="451"/>
        <v>0</v>
      </c>
      <c r="R1647" s="1143">
        <f>IFERROR(VLOOKUP(CONCATENATE($E1647,$G1647),'LAC 103'!$A$12:$O$95,11,FALSE),0)</f>
        <v>0</v>
      </c>
      <c r="S1647" s="1144">
        <f>IFERROR(VLOOKUP(CONCATENATE($E1647,$G1647),'LAC 103'!$A$12:$O$95,12,FALSE),0)</f>
        <v>0</v>
      </c>
      <c r="T1647" s="1144">
        <f>IFERROR(VLOOKUP(CONCATENATE($E1647,$G1647),'LAC 103'!$A$12:$O$95,13,FALSE),0)</f>
        <v>0</v>
      </c>
      <c r="U1647" s="1144">
        <f>IFERROR(VLOOKUP(CONCATENATE($E1647,$G1647),'LAC 103'!$A$12:$O$95,14,FALSE),0)</f>
        <v>0</v>
      </c>
      <c r="V1647" s="1144">
        <f>IFERROR(VLOOKUP(CONCATENATE($E1647,$G1647),'LAC 103'!$A$12:$O$95,15,FALSE),0)</f>
        <v>0</v>
      </c>
      <c r="W1647" s="1145" t="str">
        <f>IFERROR(VLOOKUP(CONCATENATE($B1647,$N1647),'LAC 103'!$AI:$AQ,9,FALSE),"")</f>
        <v/>
      </c>
      <c r="X1647" s="1146">
        <f t="shared" si="456"/>
        <v>0</v>
      </c>
      <c r="Y1647" s="1143">
        <f t="shared" si="466"/>
        <v>0</v>
      </c>
      <c r="Z1647" s="1147">
        <f t="shared" si="457"/>
        <v>0</v>
      </c>
      <c r="AA1647" s="1144">
        <f t="shared" si="458"/>
        <v>0</v>
      </c>
      <c r="AB1647" s="1144">
        <f t="shared" si="459"/>
        <v>0</v>
      </c>
      <c r="AC1647" s="1144">
        <f t="shared" si="460"/>
        <v>0</v>
      </c>
      <c r="AD1647" s="1148">
        <f t="shared" si="452"/>
        <v>0</v>
      </c>
      <c r="AE1647" s="1487">
        <v>0</v>
      </c>
      <c r="AF1647" s="1145">
        <f t="shared" si="461"/>
        <v>0</v>
      </c>
      <c r="AG1647" s="1149">
        <f>IFERROR(VLOOKUP(CONCATENATE($L1647,$N1647),'Drop List'!$G$23:$K$87,2,FALSE),0)</f>
        <v>0</v>
      </c>
      <c r="AH1647" s="1150">
        <f>IFERROR(VLOOKUP(CONCATENATE($L1647,$N1647),'Drop List'!$G$23:$K$87,3,FALSE),0)</f>
        <v>0</v>
      </c>
      <c r="AI1647" s="1150">
        <f>IFERROR(VLOOKUP(CONCATENATE($L1647,$N1647),'Drop List'!$G$23:$K$87,4,FALSE),0)</f>
        <v>0</v>
      </c>
      <c r="AJ1647" s="1151">
        <f>IFERROR(VLOOKUP(CONCATENATE($L1647,$N1647),'Drop List'!$G$23:$K$87,5,FALSE),0)</f>
        <v>0</v>
      </c>
      <c r="AK1647" s="1152">
        <f t="shared" si="462"/>
        <v>0</v>
      </c>
      <c r="AL1647" s="1153">
        <f t="shared" si="463"/>
        <v>0</v>
      </c>
      <c r="AM1647" s="1153">
        <f t="shared" si="464"/>
        <v>0</v>
      </c>
      <c r="AN1647" s="1145">
        <f t="shared" si="465"/>
        <v>0</v>
      </c>
      <c r="AO1647" s="1154">
        <f t="shared" si="468"/>
        <v>0</v>
      </c>
      <c r="AP1647" s="1147">
        <f t="shared" si="453"/>
        <v>0</v>
      </c>
      <c r="AQ1647" s="1144">
        <f t="shared" si="454"/>
        <v>0</v>
      </c>
      <c r="AR1647" s="1146">
        <f t="shared" si="455"/>
        <v>0</v>
      </c>
    </row>
    <row r="1648" spans="1:44" x14ac:dyDescent="0.2">
      <c r="A1648" s="1141" t="str">
        <f t="shared" si="467"/>
        <v/>
      </c>
      <c r="B1648" s="1141" t="str">
        <f>IFERROR(VLOOKUP(A1648,'LAC 103'!A:C,3,FALSE),"")</f>
        <v/>
      </c>
      <c r="C1648" s="1478" t="str">
        <f>Info!$B$8</f>
        <v>00100</v>
      </c>
      <c r="D1648" s="1474"/>
      <c r="E1648" s="1474"/>
      <c r="F1648" s="1478"/>
      <c r="G1648" s="1478"/>
      <c r="H1648" s="1474"/>
      <c r="I1648" s="1478"/>
      <c r="J1648" s="1478"/>
      <c r="K1648" s="1475"/>
      <c r="L1648" s="1474"/>
      <c r="M1648" s="1476"/>
      <c r="N1648" s="1477"/>
      <c r="O1648" s="1479"/>
      <c r="P1648" s="1479"/>
      <c r="Q1648" s="1142">
        <f t="shared" si="451"/>
        <v>0</v>
      </c>
      <c r="R1648" s="1143">
        <f>IFERROR(VLOOKUP(CONCATENATE($E1648,$G1648),'LAC 103'!$A$12:$O$95,11,FALSE),0)</f>
        <v>0</v>
      </c>
      <c r="S1648" s="1144">
        <f>IFERROR(VLOOKUP(CONCATENATE($E1648,$G1648),'LAC 103'!$A$12:$O$95,12,FALSE),0)</f>
        <v>0</v>
      </c>
      <c r="T1648" s="1144">
        <f>IFERROR(VLOOKUP(CONCATENATE($E1648,$G1648),'LAC 103'!$A$12:$O$95,13,FALSE),0)</f>
        <v>0</v>
      </c>
      <c r="U1648" s="1144">
        <f>IFERROR(VLOOKUP(CONCATENATE($E1648,$G1648),'LAC 103'!$A$12:$O$95,14,FALSE),0)</f>
        <v>0</v>
      </c>
      <c r="V1648" s="1144">
        <f>IFERROR(VLOOKUP(CONCATENATE($E1648,$G1648),'LAC 103'!$A$12:$O$95,15,FALSE),0)</f>
        <v>0</v>
      </c>
      <c r="W1648" s="1145" t="str">
        <f>IFERROR(VLOOKUP(CONCATENATE($B1648,$N1648),'LAC 103'!$AI:$AQ,9,FALSE),"")</f>
        <v/>
      </c>
      <c r="X1648" s="1146">
        <f t="shared" si="456"/>
        <v>0</v>
      </c>
      <c r="Y1648" s="1143">
        <f t="shared" si="466"/>
        <v>0</v>
      </c>
      <c r="Z1648" s="1147">
        <f t="shared" si="457"/>
        <v>0</v>
      </c>
      <c r="AA1648" s="1144">
        <f t="shared" si="458"/>
        <v>0</v>
      </c>
      <c r="AB1648" s="1144">
        <f t="shared" si="459"/>
        <v>0</v>
      </c>
      <c r="AC1648" s="1144">
        <f t="shared" si="460"/>
        <v>0</v>
      </c>
      <c r="AD1648" s="1148">
        <f t="shared" si="452"/>
        <v>0</v>
      </c>
      <c r="AE1648" s="1487">
        <v>0</v>
      </c>
      <c r="AF1648" s="1145">
        <f t="shared" si="461"/>
        <v>0</v>
      </c>
      <c r="AG1648" s="1149">
        <f>IFERROR(VLOOKUP(CONCATENATE($L1648,$N1648),'Drop List'!$G$23:$K$87,2,FALSE),0)</f>
        <v>0</v>
      </c>
      <c r="AH1648" s="1150">
        <f>IFERROR(VLOOKUP(CONCATENATE($L1648,$N1648),'Drop List'!$G$23:$K$87,3,FALSE),0)</f>
        <v>0</v>
      </c>
      <c r="AI1648" s="1150">
        <f>IFERROR(VLOOKUP(CONCATENATE($L1648,$N1648),'Drop List'!$G$23:$K$87,4,FALSE),0)</f>
        <v>0</v>
      </c>
      <c r="AJ1648" s="1151">
        <f>IFERROR(VLOOKUP(CONCATENATE($L1648,$N1648),'Drop List'!$G$23:$K$87,5,FALSE),0)</f>
        <v>0</v>
      </c>
      <c r="AK1648" s="1152">
        <f t="shared" si="462"/>
        <v>0</v>
      </c>
      <c r="AL1648" s="1153">
        <f t="shared" si="463"/>
        <v>0</v>
      </c>
      <c r="AM1648" s="1153">
        <f t="shared" si="464"/>
        <v>0</v>
      </c>
      <c r="AN1648" s="1145">
        <f t="shared" si="465"/>
        <v>0</v>
      </c>
      <c r="AO1648" s="1154">
        <f t="shared" si="468"/>
        <v>0</v>
      </c>
      <c r="AP1648" s="1147">
        <f t="shared" si="453"/>
        <v>0</v>
      </c>
      <c r="AQ1648" s="1144">
        <f t="shared" si="454"/>
        <v>0</v>
      </c>
      <c r="AR1648" s="1146">
        <f t="shared" si="455"/>
        <v>0</v>
      </c>
    </row>
    <row r="1649" spans="1:44" x14ac:dyDescent="0.2">
      <c r="A1649" s="1141" t="str">
        <f t="shared" si="467"/>
        <v/>
      </c>
      <c r="B1649" s="1141" t="str">
        <f>IFERROR(VLOOKUP(A1649,'LAC 103'!A:C,3,FALSE),"")</f>
        <v/>
      </c>
      <c r="C1649" s="1478" t="str">
        <f>Info!$B$8</f>
        <v>00100</v>
      </c>
      <c r="D1649" s="1474"/>
      <c r="E1649" s="1474"/>
      <c r="F1649" s="1478"/>
      <c r="G1649" s="1478"/>
      <c r="H1649" s="1474"/>
      <c r="I1649" s="1478"/>
      <c r="J1649" s="1478"/>
      <c r="K1649" s="1475"/>
      <c r="L1649" s="1474"/>
      <c r="M1649" s="1476"/>
      <c r="N1649" s="1477"/>
      <c r="O1649" s="1479"/>
      <c r="P1649" s="1479"/>
      <c r="Q1649" s="1142">
        <f t="shared" si="451"/>
        <v>0</v>
      </c>
      <c r="R1649" s="1143">
        <f>IFERROR(VLOOKUP(CONCATENATE($E1649,$G1649),'LAC 103'!$A$12:$O$95,11,FALSE),0)</f>
        <v>0</v>
      </c>
      <c r="S1649" s="1144">
        <f>IFERROR(VLOOKUP(CONCATENATE($E1649,$G1649),'LAC 103'!$A$12:$O$95,12,FALSE),0)</f>
        <v>0</v>
      </c>
      <c r="T1649" s="1144">
        <f>IFERROR(VLOOKUP(CONCATENATE($E1649,$G1649),'LAC 103'!$A$12:$O$95,13,FALSE),0)</f>
        <v>0</v>
      </c>
      <c r="U1649" s="1144">
        <f>IFERROR(VLOOKUP(CONCATENATE($E1649,$G1649),'LAC 103'!$A$12:$O$95,14,FALSE),0)</f>
        <v>0</v>
      </c>
      <c r="V1649" s="1144">
        <f>IFERROR(VLOOKUP(CONCATENATE($E1649,$G1649),'LAC 103'!$A$12:$O$95,15,FALSE),0)</f>
        <v>0</v>
      </c>
      <c r="W1649" s="1145" t="str">
        <f>IFERROR(VLOOKUP(CONCATENATE($B1649,$N1649),'LAC 103'!$AI:$AQ,9,FALSE),"")</f>
        <v/>
      </c>
      <c r="X1649" s="1146">
        <f t="shared" si="456"/>
        <v>0</v>
      </c>
      <c r="Y1649" s="1143">
        <f t="shared" si="466"/>
        <v>0</v>
      </c>
      <c r="Z1649" s="1147">
        <f t="shared" si="457"/>
        <v>0</v>
      </c>
      <c r="AA1649" s="1144">
        <f t="shared" si="458"/>
        <v>0</v>
      </c>
      <c r="AB1649" s="1144">
        <f t="shared" si="459"/>
        <v>0</v>
      </c>
      <c r="AC1649" s="1144">
        <f t="shared" si="460"/>
        <v>0</v>
      </c>
      <c r="AD1649" s="1148">
        <f t="shared" si="452"/>
        <v>0</v>
      </c>
      <c r="AE1649" s="1487">
        <v>0</v>
      </c>
      <c r="AF1649" s="1145">
        <f t="shared" si="461"/>
        <v>0</v>
      </c>
      <c r="AG1649" s="1149">
        <f>IFERROR(VLOOKUP(CONCATENATE($L1649,$N1649),'Drop List'!$G$23:$K$87,2,FALSE),0)</f>
        <v>0</v>
      </c>
      <c r="AH1649" s="1150">
        <f>IFERROR(VLOOKUP(CONCATENATE($L1649,$N1649),'Drop List'!$G$23:$K$87,3,FALSE),0)</f>
        <v>0</v>
      </c>
      <c r="AI1649" s="1150">
        <f>IFERROR(VLOOKUP(CONCATENATE($L1649,$N1649),'Drop List'!$G$23:$K$87,4,FALSE),0)</f>
        <v>0</v>
      </c>
      <c r="AJ1649" s="1151">
        <f>IFERROR(VLOOKUP(CONCATENATE($L1649,$N1649),'Drop List'!$G$23:$K$87,5,FALSE),0)</f>
        <v>0</v>
      </c>
      <c r="AK1649" s="1152">
        <f t="shared" si="462"/>
        <v>0</v>
      </c>
      <c r="AL1649" s="1153">
        <f t="shared" si="463"/>
        <v>0</v>
      </c>
      <c r="AM1649" s="1153">
        <f t="shared" si="464"/>
        <v>0</v>
      </c>
      <c r="AN1649" s="1145">
        <f t="shared" si="465"/>
        <v>0</v>
      </c>
      <c r="AO1649" s="1154">
        <f t="shared" si="468"/>
        <v>0</v>
      </c>
      <c r="AP1649" s="1147">
        <f t="shared" si="453"/>
        <v>0</v>
      </c>
      <c r="AQ1649" s="1144">
        <f t="shared" si="454"/>
        <v>0</v>
      </c>
      <c r="AR1649" s="1146">
        <f t="shared" si="455"/>
        <v>0</v>
      </c>
    </row>
    <row r="1650" spans="1:44" x14ac:dyDescent="0.2">
      <c r="A1650" s="1141" t="str">
        <f t="shared" si="467"/>
        <v/>
      </c>
      <c r="B1650" s="1141" t="str">
        <f>IFERROR(VLOOKUP(A1650,'LAC 103'!A:C,3,FALSE),"")</f>
        <v/>
      </c>
      <c r="C1650" s="1478" t="str">
        <f>Info!$B$8</f>
        <v>00100</v>
      </c>
      <c r="D1650" s="1474"/>
      <c r="E1650" s="1474"/>
      <c r="F1650" s="1478"/>
      <c r="G1650" s="1478"/>
      <c r="H1650" s="1474"/>
      <c r="I1650" s="1478"/>
      <c r="J1650" s="1478"/>
      <c r="K1650" s="1475"/>
      <c r="L1650" s="1474"/>
      <c r="M1650" s="1476"/>
      <c r="N1650" s="1477"/>
      <c r="O1650" s="1479"/>
      <c r="P1650" s="1479"/>
      <c r="Q1650" s="1142">
        <f t="shared" si="451"/>
        <v>0</v>
      </c>
      <c r="R1650" s="1143">
        <f>IFERROR(VLOOKUP(CONCATENATE($E1650,$G1650),'LAC 103'!$A$12:$O$95,11,FALSE),0)</f>
        <v>0</v>
      </c>
      <c r="S1650" s="1144">
        <f>IFERROR(VLOOKUP(CONCATENATE($E1650,$G1650),'LAC 103'!$A$12:$O$95,12,FALSE),0)</f>
        <v>0</v>
      </c>
      <c r="T1650" s="1144">
        <f>IFERROR(VLOOKUP(CONCATENATE($E1650,$G1650),'LAC 103'!$A$12:$O$95,13,FALSE),0)</f>
        <v>0</v>
      </c>
      <c r="U1650" s="1144">
        <f>IFERROR(VLOOKUP(CONCATENATE($E1650,$G1650),'LAC 103'!$A$12:$O$95,14,FALSE),0)</f>
        <v>0</v>
      </c>
      <c r="V1650" s="1144">
        <f>IFERROR(VLOOKUP(CONCATENATE($E1650,$G1650),'LAC 103'!$A$12:$O$95,15,FALSE),0)</f>
        <v>0</v>
      </c>
      <c r="W1650" s="1145" t="str">
        <f>IFERROR(VLOOKUP(CONCATENATE($B1650,$N1650),'LAC 103'!$AI:$AQ,9,FALSE),"")</f>
        <v/>
      </c>
      <c r="X1650" s="1146">
        <f t="shared" si="456"/>
        <v>0</v>
      </c>
      <c r="Y1650" s="1143">
        <f t="shared" si="466"/>
        <v>0</v>
      </c>
      <c r="Z1650" s="1147">
        <f t="shared" si="457"/>
        <v>0</v>
      </c>
      <c r="AA1650" s="1144">
        <f t="shared" si="458"/>
        <v>0</v>
      </c>
      <c r="AB1650" s="1144">
        <f t="shared" si="459"/>
        <v>0</v>
      </c>
      <c r="AC1650" s="1144">
        <f t="shared" si="460"/>
        <v>0</v>
      </c>
      <c r="AD1650" s="1148">
        <f t="shared" si="452"/>
        <v>0</v>
      </c>
      <c r="AE1650" s="1487">
        <v>0</v>
      </c>
      <c r="AF1650" s="1145">
        <f t="shared" si="461"/>
        <v>0</v>
      </c>
      <c r="AG1650" s="1149">
        <f>IFERROR(VLOOKUP(CONCATENATE($L1650,$N1650),'Drop List'!$G$23:$K$87,2,FALSE),0)</f>
        <v>0</v>
      </c>
      <c r="AH1650" s="1150">
        <f>IFERROR(VLOOKUP(CONCATENATE($L1650,$N1650),'Drop List'!$G$23:$K$87,3,FALSE),0)</f>
        <v>0</v>
      </c>
      <c r="AI1650" s="1150">
        <f>IFERROR(VLOOKUP(CONCATENATE($L1650,$N1650),'Drop List'!$G$23:$K$87,4,FALSE),0)</f>
        <v>0</v>
      </c>
      <c r="AJ1650" s="1151">
        <f>IFERROR(VLOOKUP(CONCATENATE($L1650,$N1650),'Drop List'!$G$23:$K$87,5,FALSE),0)</f>
        <v>0</v>
      </c>
      <c r="AK1650" s="1152">
        <f t="shared" si="462"/>
        <v>0</v>
      </c>
      <c r="AL1650" s="1153">
        <f t="shared" si="463"/>
        <v>0</v>
      </c>
      <c r="AM1650" s="1153">
        <f t="shared" si="464"/>
        <v>0</v>
      </c>
      <c r="AN1650" s="1145">
        <f t="shared" si="465"/>
        <v>0</v>
      </c>
      <c r="AO1650" s="1154">
        <f t="shared" si="468"/>
        <v>0</v>
      </c>
      <c r="AP1650" s="1147">
        <f t="shared" si="453"/>
        <v>0</v>
      </c>
      <c r="AQ1650" s="1144">
        <f t="shared" si="454"/>
        <v>0</v>
      </c>
      <c r="AR1650" s="1146">
        <f t="shared" si="455"/>
        <v>0</v>
      </c>
    </row>
    <row r="1651" spans="1:44" x14ac:dyDescent="0.2">
      <c r="A1651" s="1141" t="str">
        <f t="shared" si="467"/>
        <v/>
      </c>
      <c r="B1651" s="1141" t="str">
        <f>IFERROR(VLOOKUP(A1651,'LAC 103'!A:C,3,FALSE),"")</f>
        <v/>
      </c>
      <c r="C1651" s="1478" t="str">
        <f>Info!$B$8</f>
        <v>00100</v>
      </c>
      <c r="D1651" s="1474"/>
      <c r="E1651" s="1474"/>
      <c r="F1651" s="1478"/>
      <c r="G1651" s="1478"/>
      <c r="H1651" s="1474"/>
      <c r="I1651" s="1478"/>
      <c r="J1651" s="1478"/>
      <c r="K1651" s="1475"/>
      <c r="L1651" s="1474"/>
      <c r="M1651" s="1476"/>
      <c r="N1651" s="1477"/>
      <c r="O1651" s="1479"/>
      <c r="P1651" s="1479"/>
      <c r="Q1651" s="1142">
        <f t="shared" si="451"/>
        <v>0</v>
      </c>
      <c r="R1651" s="1143">
        <f>IFERROR(VLOOKUP(CONCATENATE($E1651,$G1651),'LAC 103'!$A$12:$O$95,11,FALSE),0)</f>
        <v>0</v>
      </c>
      <c r="S1651" s="1144">
        <f>IFERROR(VLOOKUP(CONCATENATE($E1651,$G1651),'LAC 103'!$A$12:$O$95,12,FALSE),0)</f>
        <v>0</v>
      </c>
      <c r="T1651" s="1144">
        <f>IFERROR(VLOOKUP(CONCATENATE($E1651,$G1651),'LAC 103'!$A$12:$O$95,13,FALSE),0)</f>
        <v>0</v>
      </c>
      <c r="U1651" s="1144">
        <f>IFERROR(VLOOKUP(CONCATENATE($E1651,$G1651),'LAC 103'!$A$12:$O$95,14,FALSE),0)</f>
        <v>0</v>
      </c>
      <c r="V1651" s="1144">
        <f>IFERROR(VLOOKUP(CONCATENATE($E1651,$G1651),'LAC 103'!$A$12:$O$95,15,FALSE),0)</f>
        <v>0</v>
      </c>
      <c r="W1651" s="1145" t="str">
        <f>IFERROR(VLOOKUP(CONCATENATE($B1651,$N1651),'LAC 103'!$AI:$AQ,9,FALSE),"")</f>
        <v/>
      </c>
      <c r="X1651" s="1146">
        <f t="shared" si="456"/>
        <v>0</v>
      </c>
      <c r="Y1651" s="1143">
        <f t="shared" si="466"/>
        <v>0</v>
      </c>
      <c r="Z1651" s="1147">
        <f t="shared" si="457"/>
        <v>0</v>
      </c>
      <c r="AA1651" s="1144">
        <f t="shared" si="458"/>
        <v>0</v>
      </c>
      <c r="AB1651" s="1144">
        <f t="shared" si="459"/>
        <v>0</v>
      </c>
      <c r="AC1651" s="1144">
        <f t="shared" si="460"/>
        <v>0</v>
      </c>
      <c r="AD1651" s="1148">
        <f t="shared" si="452"/>
        <v>0</v>
      </c>
      <c r="AE1651" s="1487">
        <v>0</v>
      </c>
      <c r="AF1651" s="1145">
        <f t="shared" si="461"/>
        <v>0</v>
      </c>
      <c r="AG1651" s="1149">
        <f>IFERROR(VLOOKUP(CONCATENATE($L1651,$N1651),'Drop List'!$G$23:$K$87,2,FALSE),0)</f>
        <v>0</v>
      </c>
      <c r="AH1651" s="1150">
        <f>IFERROR(VLOOKUP(CONCATENATE($L1651,$N1651),'Drop List'!$G$23:$K$87,3,FALSE),0)</f>
        <v>0</v>
      </c>
      <c r="AI1651" s="1150">
        <f>IFERROR(VLOOKUP(CONCATENATE($L1651,$N1651),'Drop List'!$G$23:$K$87,4,FALSE),0)</f>
        <v>0</v>
      </c>
      <c r="AJ1651" s="1151">
        <f>IFERROR(VLOOKUP(CONCATENATE($L1651,$N1651),'Drop List'!$G$23:$K$87,5,FALSE),0)</f>
        <v>0</v>
      </c>
      <c r="AK1651" s="1152">
        <f t="shared" si="462"/>
        <v>0</v>
      </c>
      <c r="AL1651" s="1153">
        <f t="shared" si="463"/>
        <v>0</v>
      </c>
      <c r="AM1651" s="1153">
        <f t="shared" si="464"/>
        <v>0</v>
      </c>
      <c r="AN1651" s="1145">
        <f t="shared" si="465"/>
        <v>0</v>
      </c>
      <c r="AO1651" s="1154">
        <f t="shared" si="468"/>
        <v>0</v>
      </c>
      <c r="AP1651" s="1147">
        <f t="shared" si="453"/>
        <v>0</v>
      </c>
      <c r="AQ1651" s="1144">
        <f t="shared" si="454"/>
        <v>0</v>
      </c>
      <c r="AR1651" s="1146">
        <f t="shared" si="455"/>
        <v>0</v>
      </c>
    </row>
    <row r="1652" spans="1:44" x14ac:dyDescent="0.2">
      <c r="A1652" s="1141" t="str">
        <f t="shared" si="467"/>
        <v/>
      </c>
      <c r="B1652" s="1141" t="str">
        <f>IFERROR(VLOOKUP(A1652,'LAC 103'!A:C,3,FALSE),"")</f>
        <v/>
      </c>
      <c r="C1652" s="1478" t="str">
        <f>Info!$B$8</f>
        <v>00100</v>
      </c>
      <c r="D1652" s="1474"/>
      <c r="E1652" s="1474"/>
      <c r="F1652" s="1478"/>
      <c r="G1652" s="1478"/>
      <c r="H1652" s="1474"/>
      <c r="I1652" s="1478"/>
      <c r="J1652" s="1478"/>
      <c r="K1652" s="1475"/>
      <c r="L1652" s="1474"/>
      <c r="M1652" s="1476"/>
      <c r="N1652" s="1477"/>
      <c r="O1652" s="1479"/>
      <c r="P1652" s="1479"/>
      <c r="Q1652" s="1142">
        <f t="shared" si="451"/>
        <v>0</v>
      </c>
      <c r="R1652" s="1143">
        <f>IFERROR(VLOOKUP(CONCATENATE($E1652,$G1652),'LAC 103'!$A$12:$O$95,11,FALSE),0)</f>
        <v>0</v>
      </c>
      <c r="S1652" s="1144">
        <f>IFERROR(VLOOKUP(CONCATENATE($E1652,$G1652),'LAC 103'!$A$12:$O$95,12,FALSE),0)</f>
        <v>0</v>
      </c>
      <c r="T1652" s="1144">
        <f>IFERROR(VLOOKUP(CONCATENATE($E1652,$G1652),'LAC 103'!$A$12:$O$95,13,FALSE),0)</f>
        <v>0</v>
      </c>
      <c r="U1652" s="1144">
        <f>IFERROR(VLOOKUP(CONCATENATE($E1652,$G1652),'LAC 103'!$A$12:$O$95,14,FALSE),0)</f>
        <v>0</v>
      </c>
      <c r="V1652" s="1144">
        <f>IFERROR(VLOOKUP(CONCATENATE($E1652,$G1652),'LAC 103'!$A$12:$O$95,15,FALSE),0)</f>
        <v>0</v>
      </c>
      <c r="W1652" s="1145" t="str">
        <f>IFERROR(VLOOKUP(CONCATENATE($B1652,$N1652),'LAC 103'!$AI:$AQ,9,FALSE),"")</f>
        <v/>
      </c>
      <c r="X1652" s="1146">
        <f t="shared" si="456"/>
        <v>0</v>
      </c>
      <c r="Y1652" s="1143">
        <f t="shared" si="466"/>
        <v>0</v>
      </c>
      <c r="Z1652" s="1147">
        <f t="shared" si="457"/>
        <v>0</v>
      </c>
      <c r="AA1652" s="1144">
        <f t="shared" si="458"/>
        <v>0</v>
      </c>
      <c r="AB1652" s="1144">
        <f t="shared" si="459"/>
        <v>0</v>
      </c>
      <c r="AC1652" s="1144">
        <f t="shared" si="460"/>
        <v>0</v>
      </c>
      <c r="AD1652" s="1148">
        <f t="shared" si="452"/>
        <v>0</v>
      </c>
      <c r="AE1652" s="1487">
        <v>0</v>
      </c>
      <c r="AF1652" s="1145">
        <f t="shared" si="461"/>
        <v>0</v>
      </c>
      <c r="AG1652" s="1149">
        <f>IFERROR(VLOOKUP(CONCATENATE($L1652,$N1652),'Drop List'!$G$23:$K$87,2,FALSE),0)</f>
        <v>0</v>
      </c>
      <c r="AH1652" s="1150">
        <f>IFERROR(VLOOKUP(CONCATENATE($L1652,$N1652),'Drop List'!$G$23:$K$87,3,FALSE),0)</f>
        <v>0</v>
      </c>
      <c r="AI1652" s="1150">
        <f>IFERROR(VLOOKUP(CONCATENATE($L1652,$N1652),'Drop List'!$G$23:$K$87,4,FALSE),0)</f>
        <v>0</v>
      </c>
      <c r="AJ1652" s="1151">
        <f>IFERROR(VLOOKUP(CONCATENATE($L1652,$N1652),'Drop List'!$G$23:$K$87,5,FALSE),0)</f>
        <v>0</v>
      </c>
      <c r="AK1652" s="1152">
        <f t="shared" si="462"/>
        <v>0</v>
      </c>
      <c r="AL1652" s="1153">
        <f t="shared" si="463"/>
        <v>0</v>
      </c>
      <c r="AM1652" s="1153">
        <f t="shared" si="464"/>
        <v>0</v>
      </c>
      <c r="AN1652" s="1145">
        <f t="shared" si="465"/>
        <v>0</v>
      </c>
      <c r="AO1652" s="1154">
        <f t="shared" si="468"/>
        <v>0</v>
      </c>
      <c r="AP1652" s="1147">
        <f t="shared" si="453"/>
        <v>0</v>
      </c>
      <c r="AQ1652" s="1144">
        <f t="shared" si="454"/>
        <v>0</v>
      </c>
      <c r="AR1652" s="1146">
        <f t="shared" si="455"/>
        <v>0</v>
      </c>
    </row>
    <row r="1653" spans="1:44" x14ac:dyDescent="0.2">
      <c r="A1653" s="1141" t="str">
        <f t="shared" si="467"/>
        <v/>
      </c>
      <c r="B1653" s="1141" t="str">
        <f>IFERROR(VLOOKUP(A1653,'LAC 103'!A:C,3,FALSE),"")</f>
        <v/>
      </c>
      <c r="C1653" s="1478" t="str">
        <f>Info!$B$8</f>
        <v>00100</v>
      </c>
      <c r="D1653" s="1474"/>
      <c r="E1653" s="1474"/>
      <c r="F1653" s="1478"/>
      <c r="G1653" s="1478"/>
      <c r="H1653" s="1474"/>
      <c r="I1653" s="1478"/>
      <c r="J1653" s="1478"/>
      <c r="K1653" s="1475"/>
      <c r="L1653" s="1474"/>
      <c r="M1653" s="1476"/>
      <c r="N1653" s="1477"/>
      <c r="O1653" s="1479"/>
      <c r="P1653" s="1479"/>
      <c r="Q1653" s="1142">
        <f t="shared" si="451"/>
        <v>0</v>
      </c>
      <c r="R1653" s="1143">
        <f>IFERROR(VLOOKUP(CONCATENATE($E1653,$G1653),'LAC 103'!$A$12:$O$95,11,FALSE),0)</f>
        <v>0</v>
      </c>
      <c r="S1653" s="1144">
        <f>IFERROR(VLOOKUP(CONCATENATE($E1653,$G1653),'LAC 103'!$A$12:$O$95,12,FALSE),0)</f>
        <v>0</v>
      </c>
      <c r="T1653" s="1144">
        <f>IFERROR(VLOOKUP(CONCATENATE($E1653,$G1653),'LAC 103'!$A$12:$O$95,13,FALSE),0)</f>
        <v>0</v>
      </c>
      <c r="U1653" s="1144">
        <f>IFERROR(VLOOKUP(CONCATENATE($E1653,$G1653),'LAC 103'!$A$12:$O$95,14,FALSE),0)</f>
        <v>0</v>
      </c>
      <c r="V1653" s="1144">
        <f>IFERROR(VLOOKUP(CONCATENATE($E1653,$G1653),'LAC 103'!$A$12:$O$95,15,FALSE),0)</f>
        <v>0</v>
      </c>
      <c r="W1653" s="1145" t="str">
        <f>IFERROR(VLOOKUP(CONCATENATE($B1653,$N1653),'LAC 103'!$AI:$AQ,9,FALSE),"")</f>
        <v/>
      </c>
      <c r="X1653" s="1146">
        <f t="shared" si="456"/>
        <v>0</v>
      </c>
      <c r="Y1653" s="1143">
        <f t="shared" si="466"/>
        <v>0</v>
      </c>
      <c r="Z1653" s="1147">
        <f t="shared" si="457"/>
        <v>0</v>
      </c>
      <c r="AA1653" s="1144">
        <f t="shared" si="458"/>
        <v>0</v>
      </c>
      <c r="AB1653" s="1144">
        <f t="shared" si="459"/>
        <v>0</v>
      </c>
      <c r="AC1653" s="1144">
        <f t="shared" si="460"/>
        <v>0</v>
      </c>
      <c r="AD1653" s="1148">
        <f t="shared" si="452"/>
        <v>0</v>
      </c>
      <c r="AE1653" s="1487">
        <v>0</v>
      </c>
      <c r="AF1653" s="1145">
        <f t="shared" si="461"/>
        <v>0</v>
      </c>
      <c r="AG1653" s="1149">
        <f>IFERROR(VLOOKUP(CONCATENATE($L1653,$N1653),'Drop List'!$G$23:$K$87,2,FALSE),0)</f>
        <v>0</v>
      </c>
      <c r="AH1653" s="1150">
        <f>IFERROR(VLOOKUP(CONCATENATE($L1653,$N1653),'Drop List'!$G$23:$K$87,3,FALSE),0)</f>
        <v>0</v>
      </c>
      <c r="AI1653" s="1150">
        <f>IFERROR(VLOOKUP(CONCATENATE($L1653,$N1653),'Drop List'!$G$23:$K$87,4,FALSE),0)</f>
        <v>0</v>
      </c>
      <c r="AJ1653" s="1151">
        <f>IFERROR(VLOOKUP(CONCATENATE($L1653,$N1653),'Drop List'!$G$23:$K$87,5,FALSE),0)</f>
        <v>0</v>
      </c>
      <c r="AK1653" s="1152">
        <f t="shared" si="462"/>
        <v>0</v>
      </c>
      <c r="AL1653" s="1153">
        <f t="shared" si="463"/>
        <v>0</v>
      </c>
      <c r="AM1653" s="1153">
        <f t="shared" si="464"/>
        <v>0</v>
      </c>
      <c r="AN1653" s="1145">
        <f t="shared" si="465"/>
        <v>0</v>
      </c>
      <c r="AO1653" s="1154">
        <f t="shared" si="468"/>
        <v>0</v>
      </c>
      <c r="AP1653" s="1147">
        <f t="shared" si="453"/>
        <v>0</v>
      </c>
      <c r="AQ1653" s="1144">
        <f t="shared" si="454"/>
        <v>0</v>
      </c>
      <c r="AR1653" s="1146">
        <f t="shared" si="455"/>
        <v>0</v>
      </c>
    </row>
    <row r="1654" spans="1:44" x14ac:dyDescent="0.2">
      <c r="A1654" s="1141" t="str">
        <f t="shared" si="467"/>
        <v/>
      </c>
      <c r="B1654" s="1141" t="str">
        <f>IFERROR(VLOOKUP(A1654,'LAC 103'!A:C,3,FALSE),"")</f>
        <v/>
      </c>
      <c r="C1654" s="1478" t="str">
        <f>Info!$B$8</f>
        <v>00100</v>
      </c>
      <c r="D1654" s="1474"/>
      <c r="E1654" s="1474"/>
      <c r="F1654" s="1478"/>
      <c r="G1654" s="1478"/>
      <c r="H1654" s="1474"/>
      <c r="I1654" s="1478"/>
      <c r="J1654" s="1478"/>
      <c r="K1654" s="1475"/>
      <c r="L1654" s="1474"/>
      <c r="M1654" s="1476"/>
      <c r="N1654" s="1477"/>
      <c r="O1654" s="1479"/>
      <c r="P1654" s="1479"/>
      <c r="Q1654" s="1142">
        <f t="shared" si="451"/>
        <v>0</v>
      </c>
      <c r="R1654" s="1143">
        <f>IFERROR(VLOOKUP(CONCATENATE($E1654,$G1654),'LAC 103'!$A$12:$O$95,11,FALSE),0)</f>
        <v>0</v>
      </c>
      <c r="S1654" s="1144">
        <f>IFERROR(VLOOKUP(CONCATENATE($E1654,$G1654),'LAC 103'!$A$12:$O$95,12,FALSE),0)</f>
        <v>0</v>
      </c>
      <c r="T1654" s="1144">
        <f>IFERROR(VLOOKUP(CONCATENATE($E1654,$G1654),'LAC 103'!$A$12:$O$95,13,FALSE),0)</f>
        <v>0</v>
      </c>
      <c r="U1654" s="1144">
        <f>IFERROR(VLOOKUP(CONCATENATE($E1654,$G1654),'LAC 103'!$A$12:$O$95,14,FALSE),0)</f>
        <v>0</v>
      </c>
      <c r="V1654" s="1144">
        <f>IFERROR(VLOOKUP(CONCATENATE($E1654,$G1654),'LAC 103'!$A$12:$O$95,15,FALSE),0)</f>
        <v>0</v>
      </c>
      <c r="W1654" s="1145" t="str">
        <f>IFERROR(VLOOKUP(CONCATENATE($B1654,$N1654),'LAC 103'!$AI:$AQ,9,FALSE),"")</f>
        <v/>
      </c>
      <c r="X1654" s="1146">
        <f t="shared" si="456"/>
        <v>0</v>
      </c>
      <c r="Y1654" s="1143">
        <f t="shared" si="466"/>
        <v>0</v>
      </c>
      <c r="Z1654" s="1147">
        <f t="shared" si="457"/>
        <v>0</v>
      </c>
      <c r="AA1654" s="1144">
        <f t="shared" si="458"/>
        <v>0</v>
      </c>
      <c r="AB1654" s="1144">
        <f t="shared" si="459"/>
        <v>0</v>
      </c>
      <c r="AC1654" s="1144">
        <f t="shared" si="460"/>
        <v>0</v>
      </c>
      <c r="AD1654" s="1148">
        <f t="shared" si="452"/>
        <v>0</v>
      </c>
      <c r="AE1654" s="1487">
        <v>0</v>
      </c>
      <c r="AF1654" s="1145">
        <f t="shared" si="461"/>
        <v>0</v>
      </c>
      <c r="AG1654" s="1149">
        <f>IFERROR(VLOOKUP(CONCATENATE($L1654,$N1654),'Drop List'!$G$23:$K$87,2,FALSE),0)</f>
        <v>0</v>
      </c>
      <c r="AH1654" s="1150">
        <f>IFERROR(VLOOKUP(CONCATENATE($L1654,$N1654),'Drop List'!$G$23:$K$87,3,FALSE),0)</f>
        <v>0</v>
      </c>
      <c r="AI1654" s="1150">
        <f>IFERROR(VLOOKUP(CONCATENATE($L1654,$N1654),'Drop List'!$G$23:$K$87,4,FALSE),0)</f>
        <v>0</v>
      </c>
      <c r="AJ1654" s="1151">
        <f>IFERROR(VLOOKUP(CONCATENATE($L1654,$N1654),'Drop List'!$G$23:$K$87,5,FALSE),0)</f>
        <v>0</v>
      </c>
      <c r="AK1654" s="1152">
        <f t="shared" si="462"/>
        <v>0</v>
      </c>
      <c r="AL1654" s="1153">
        <f t="shared" si="463"/>
        <v>0</v>
      </c>
      <c r="AM1654" s="1153">
        <f t="shared" si="464"/>
        <v>0</v>
      </c>
      <c r="AN1654" s="1145">
        <f t="shared" si="465"/>
        <v>0</v>
      </c>
      <c r="AO1654" s="1154">
        <f t="shared" si="468"/>
        <v>0</v>
      </c>
      <c r="AP1654" s="1147">
        <f t="shared" si="453"/>
        <v>0</v>
      </c>
      <c r="AQ1654" s="1144">
        <f t="shared" si="454"/>
        <v>0</v>
      </c>
      <c r="AR1654" s="1146">
        <f t="shared" si="455"/>
        <v>0</v>
      </c>
    </row>
    <row r="1655" spans="1:44" x14ac:dyDescent="0.2">
      <c r="A1655" s="1141" t="str">
        <f t="shared" si="467"/>
        <v/>
      </c>
      <c r="B1655" s="1141" t="str">
        <f>IFERROR(VLOOKUP(A1655,'LAC 103'!A:C,3,FALSE),"")</f>
        <v/>
      </c>
      <c r="C1655" s="1478" t="str">
        <f>Info!$B$8</f>
        <v>00100</v>
      </c>
      <c r="D1655" s="1474"/>
      <c r="E1655" s="1474"/>
      <c r="F1655" s="1478"/>
      <c r="G1655" s="1478"/>
      <c r="H1655" s="1474"/>
      <c r="I1655" s="1478"/>
      <c r="J1655" s="1478"/>
      <c r="K1655" s="1475"/>
      <c r="L1655" s="1474"/>
      <c r="M1655" s="1476"/>
      <c r="N1655" s="1477"/>
      <c r="O1655" s="1479"/>
      <c r="P1655" s="1479"/>
      <c r="Q1655" s="1142">
        <f t="shared" si="451"/>
        <v>0</v>
      </c>
      <c r="R1655" s="1143">
        <f>IFERROR(VLOOKUP(CONCATENATE($E1655,$G1655),'LAC 103'!$A$12:$O$95,11,FALSE),0)</f>
        <v>0</v>
      </c>
      <c r="S1655" s="1144">
        <f>IFERROR(VLOOKUP(CONCATENATE($E1655,$G1655),'LAC 103'!$A$12:$O$95,12,FALSE),0)</f>
        <v>0</v>
      </c>
      <c r="T1655" s="1144">
        <f>IFERROR(VLOOKUP(CONCATENATE($E1655,$G1655),'LAC 103'!$A$12:$O$95,13,FALSE),0)</f>
        <v>0</v>
      </c>
      <c r="U1655" s="1144">
        <f>IFERROR(VLOOKUP(CONCATENATE($E1655,$G1655),'LAC 103'!$A$12:$O$95,14,FALSE),0)</f>
        <v>0</v>
      </c>
      <c r="V1655" s="1144">
        <f>IFERROR(VLOOKUP(CONCATENATE($E1655,$G1655),'LAC 103'!$A$12:$O$95,15,FALSE),0)</f>
        <v>0</v>
      </c>
      <c r="W1655" s="1145" t="str">
        <f>IFERROR(VLOOKUP(CONCATENATE($B1655,$N1655),'LAC 103'!$AI:$AQ,9,FALSE),"")</f>
        <v/>
      </c>
      <c r="X1655" s="1146">
        <f t="shared" si="456"/>
        <v>0</v>
      </c>
      <c r="Y1655" s="1143">
        <f t="shared" si="466"/>
        <v>0</v>
      </c>
      <c r="Z1655" s="1147">
        <f t="shared" si="457"/>
        <v>0</v>
      </c>
      <c r="AA1655" s="1144">
        <f t="shared" si="458"/>
        <v>0</v>
      </c>
      <c r="AB1655" s="1144">
        <f t="shared" si="459"/>
        <v>0</v>
      </c>
      <c r="AC1655" s="1144">
        <f t="shared" si="460"/>
        <v>0</v>
      </c>
      <c r="AD1655" s="1148">
        <f t="shared" si="452"/>
        <v>0</v>
      </c>
      <c r="AE1655" s="1487">
        <v>0</v>
      </c>
      <c r="AF1655" s="1145">
        <f t="shared" si="461"/>
        <v>0</v>
      </c>
      <c r="AG1655" s="1149">
        <f>IFERROR(VLOOKUP(CONCATENATE($L1655,$N1655),'Drop List'!$G$23:$K$87,2,FALSE),0)</f>
        <v>0</v>
      </c>
      <c r="AH1655" s="1150">
        <f>IFERROR(VLOOKUP(CONCATENATE($L1655,$N1655),'Drop List'!$G$23:$K$87,3,FALSE),0)</f>
        <v>0</v>
      </c>
      <c r="AI1655" s="1150">
        <f>IFERROR(VLOOKUP(CONCATENATE($L1655,$N1655),'Drop List'!$G$23:$K$87,4,FALSE),0)</f>
        <v>0</v>
      </c>
      <c r="AJ1655" s="1151">
        <f>IFERROR(VLOOKUP(CONCATENATE($L1655,$N1655),'Drop List'!$G$23:$K$87,5,FALSE),0)</f>
        <v>0</v>
      </c>
      <c r="AK1655" s="1152">
        <f t="shared" si="462"/>
        <v>0</v>
      </c>
      <c r="AL1655" s="1153">
        <f t="shared" si="463"/>
        <v>0</v>
      </c>
      <c r="AM1655" s="1153">
        <f t="shared" si="464"/>
        <v>0</v>
      </c>
      <c r="AN1655" s="1145">
        <f t="shared" si="465"/>
        <v>0</v>
      </c>
      <c r="AO1655" s="1154">
        <f t="shared" si="468"/>
        <v>0</v>
      </c>
      <c r="AP1655" s="1147">
        <f t="shared" si="453"/>
        <v>0</v>
      </c>
      <c r="AQ1655" s="1144">
        <f t="shared" si="454"/>
        <v>0</v>
      </c>
      <c r="AR1655" s="1146">
        <f t="shared" si="455"/>
        <v>0</v>
      </c>
    </row>
    <row r="1656" spans="1:44" x14ac:dyDescent="0.2">
      <c r="A1656" s="1141" t="str">
        <f t="shared" si="467"/>
        <v/>
      </c>
      <c r="B1656" s="1141" t="str">
        <f>IFERROR(VLOOKUP(A1656,'LAC 103'!A:C,3,FALSE),"")</f>
        <v/>
      </c>
      <c r="C1656" s="1478" t="str">
        <f>Info!$B$8</f>
        <v>00100</v>
      </c>
      <c r="D1656" s="1474"/>
      <c r="E1656" s="1474"/>
      <c r="F1656" s="1478"/>
      <c r="G1656" s="1478"/>
      <c r="H1656" s="1474"/>
      <c r="I1656" s="1478"/>
      <c r="J1656" s="1478"/>
      <c r="K1656" s="1475"/>
      <c r="L1656" s="1474"/>
      <c r="M1656" s="1476"/>
      <c r="N1656" s="1477"/>
      <c r="O1656" s="1479"/>
      <c r="P1656" s="1479"/>
      <c r="Q1656" s="1142">
        <f t="shared" si="451"/>
        <v>0</v>
      </c>
      <c r="R1656" s="1143">
        <f>IFERROR(VLOOKUP(CONCATENATE($E1656,$G1656),'LAC 103'!$A$12:$O$95,11,FALSE),0)</f>
        <v>0</v>
      </c>
      <c r="S1656" s="1144">
        <f>IFERROR(VLOOKUP(CONCATENATE($E1656,$G1656),'LAC 103'!$A$12:$O$95,12,FALSE),0)</f>
        <v>0</v>
      </c>
      <c r="T1656" s="1144">
        <f>IFERROR(VLOOKUP(CONCATENATE($E1656,$G1656),'LAC 103'!$A$12:$O$95,13,FALSE),0)</f>
        <v>0</v>
      </c>
      <c r="U1656" s="1144">
        <f>IFERROR(VLOOKUP(CONCATENATE($E1656,$G1656),'LAC 103'!$A$12:$O$95,14,FALSE),0)</f>
        <v>0</v>
      </c>
      <c r="V1656" s="1144">
        <f>IFERROR(VLOOKUP(CONCATENATE($E1656,$G1656),'LAC 103'!$A$12:$O$95,15,FALSE),0)</f>
        <v>0</v>
      </c>
      <c r="W1656" s="1145" t="str">
        <f>IFERROR(VLOOKUP(CONCATENATE($B1656,$N1656),'LAC 103'!$AI:$AQ,9,FALSE),"")</f>
        <v/>
      </c>
      <c r="X1656" s="1146">
        <f t="shared" si="456"/>
        <v>0</v>
      </c>
      <c r="Y1656" s="1143">
        <f t="shared" si="466"/>
        <v>0</v>
      </c>
      <c r="Z1656" s="1147">
        <f t="shared" si="457"/>
        <v>0</v>
      </c>
      <c r="AA1656" s="1144">
        <f t="shared" si="458"/>
        <v>0</v>
      </c>
      <c r="AB1656" s="1144">
        <f t="shared" si="459"/>
        <v>0</v>
      </c>
      <c r="AC1656" s="1144">
        <f t="shared" si="460"/>
        <v>0</v>
      </c>
      <c r="AD1656" s="1148">
        <f t="shared" si="452"/>
        <v>0</v>
      </c>
      <c r="AE1656" s="1487">
        <v>0</v>
      </c>
      <c r="AF1656" s="1145">
        <f t="shared" si="461"/>
        <v>0</v>
      </c>
      <c r="AG1656" s="1149">
        <f>IFERROR(VLOOKUP(CONCATENATE($L1656,$N1656),'Drop List'!$G$23:$K$87,2,FALSE),0)</f>
        <v>0</v>
      </c>
      <c r="AH1656" s="1150">
        <f>IFERROR(VLOOKUP(CONCATENATE($L1656,$N1656),'Drop List'!$G$23:$K$87,3,FALSE),0)</f>
        <v>0</v>
      </c>
      <c r="AI1656" s="1150">
        <f>IFERROR(VLOOKUP(CONCATENATE($L1656,$N1656),'Drop List'!$G$23:$K$87,4,FALSE),0)</f>
        <v>0</v>
      </c>
      <c r="AJ1656" s="1151">
        <f>IFERROR(VLOOKUP(CONCATENATE($L1656,$N1656),'Drop List'!$G$23:$K$87,5,FALSE),0)</f>
        <v>0</v>
      </c>
      <c r="AK1656" s="1152">
        <f t="shared" si="462"/>
        <v>0</v>
      </c>
      <c r="AL1656" s="1153">
        <f t="shared" si="463"/>
        <v>0</v>
      </c>
      <c r="AM1656" s="1153">
        <f t="shared" si="464"/>
        <v>0</v>
      </c>
      <c r="AN1656" s="1145">
        <f t="shared" si="465"/>
        <v>0</v>
      </c>
      <c r="AO1656" s="1154">
        <f t="shared" si="468"/>
        <v>0</v>
      </c>
      <c r="AP1656" s="1147">
        <f t="shared" si="453"/>
        <v>0</v>
      </c>
      <c r="AQ1656" s="1144">
        <f t="shared" si="454"/>
        <v>0</v>
      </c>
      <c r="AR1656" s="1146">
        <f t="shared" si="455"/>
        <v>0</v>
      </c>
    </row>
    <row r="1657" spans="1:44" x14ac:dyDescent="0.2">
      <c r="A1657" s="1141" t="str">
        <f t="shared" si="467"/>
        <v/>
      </c>
      <c r="B1657" s="1141" t="str">
        <f>IFERROR(VLOOKUP(A1657,'LAC 103'!A:C,3,FALSE),"")</f>
        <v/>
      </c>
      <c r="C1657" s="1478" t="str">
        <f>Info!$B$8</f>
        <v>00100</v>
      </c>
      <c r="D1657" s="1474"/>
      <c r="E1657" s="1474"/>
      <c r="F1657" s="1478"/>
      <c r="G1657" s="1478"/>
      <c r="H1657" s="1474"/>
      <c r="I1657" s="1478"/>
      <c r="J1657" s="1478"/>
      <c r="K1657" s="1475"/>
      <c r="L1657" s="1474"/>
      <c r="M1657" s="1476"/>
      <c r="N1657" s="1477"/>
      <c r="O1657" s="1479"/>
      <c r="P1657" s="1479"/>
      <c r="Q1657" s="1142">
        <f t="shared" si="451"/>
        <v>0</v>
      </c>
      <c r="R1657" s="1143">
        <f>IFERROR(VLOOKUP(CONCATENATE($E1657,$G1657),'LAC 103'!$A$12:$O$95,11,FALSE),0)</f>
        <v>0</v>
      </c>
      <c r="S1657" s="1144">
        <f>IFERROR(VLOOKUP(CONCATENATE($E1657,$G1657),'LAC 103'!$A$12:$O$95,12,FALSE),0)</f>
        <v>0</v>
      </c>
      <c r="T1657" s="1144">
        <f>IFERROR(VLOOKUP(CONCATENATE($E1657,$G1657),'LAC 103'!$A$12:$O$95,13,FALSE),0)</f>
        <v>0</v>
      </c>
      <c r="U1657" s="1144">
        <f>IFERROR(VLOOKUP(CONCATENATE($E1657,$G1657),'LAC 103'!$A$12:$O$95,14,FALSE),0)</f>
        <v>0</v>
      </c>
      <c r="V1657" s="1144">
        <f>IFERROR(VLOOKUP(CONCATENATE($E1657,$G1657),'LAC 103'!$A$12:$O$95,15,FALSE),0)</f>
        <v>0</v>
      </c>
      <c r="W1657" s="1145" t="str">
        <f>IFERROR(VLOOKUP(CONCATENATE($B1657,$N1657),'LAC 103'!$AI:$AQ,9,FALSE),"")</f>
        <v/>
      </c>
      <c r="X1657" s="1146">
        <f t="shared" si="456"/>
        <v>0</v>
      </c>
      <c r="Y1657" s="1143">
        <f t="shared" si="466"/>
        <v>0</v>
      </c>
      <c r="Z1657" s="1147">
        <f t="shared" si="457"/>
        <v>0</v>
      </c>
      <c r="AA1657" s="1144">
        <f t="shared" si="458"/>
        <v>0</v>
      </c>
      <c r="AB1657" s="1144">
        <f t="shared" si="459"/>
        <v>0</v>
      </c>
      <c r="AC1657" s="1144">
        <f t="shared" si="460"/>
        <v>0</v>
      </c>
      <c r="AD1657" s="1148">
        <f t="shared" si="452"/>
        <v>0</v>
      </c>
      <c r="AE1657" s="1487">
        <v>0</v>
      </c>
      <c r="AF1657" s="1145">
        <f t="shared" si="461"/>
        <v>0</v>
      </c>
      <c r="AG1657" s="1149">
        <f>IFERROR(VLOOKUP(CONCATENATE($L1657,$N1657),'Drop List'!$G$23:$K$87,2,FALSE),0)</f>
        <v>0</v>
      </c>
      <c r="AH1657" s="1150">
        <f>IFERROR(VLOOKUP(CONCATENATE($L1657,$N1657),'Drop List'!$G$23:$K$87,3,FALSE),0)</f>
        <v>0</v>
      </c>
      <c r="AI1657" s="1150">
        <f>IFERROR(VLOOKUP(CONCATENATE($L1657,$N1657),'Drop List'!$G$23:$K$87,4,FALSE),0)</f>
        <v>0</v>
      </c>
      <c r="AJ1657" s="1151">
        <f>IFERROR(VLOOKUP(CONCATENATE($L1657,$N1657),'Drop List'!$G$23:$K$87,5,FALSE),0)</f>
        <v>0</v>
      </c>
      <c r="AK1657" s="1152">
        <f t="shared" si="462"/>
        <v>0</v>
      </c>
      <c r="AL1657" s="1153">
        <f t="shared" si="463"/>
        <v>0</v>
      </c>
      <c r="AM1657" s="1153">
        <f t="shared" si="464"/>
        <v>0</v>
      </c>
      <c r="AN1657" s="1145">
        <f t="shared" si="465"/>
        <v>0</v>
      </c>
      <c r="AO1657" s="1154">
        <f t="shared" si="468"/>
        <v>0</v>
      </c>
      <c r="AP1657" s="1147">
        <f t="shared" si="453"/>
        <v>0</v>
      </c>
      <c r="AQ1657" s="1144">
        <f t="shared" si="454"/>
        <v>0</v>
      </c>
      <c r="AR1657" s="1146">
        <f t="shared" si="455"/>
        <v>0</v>
      </c>
    </row>
    <row r="1658" spans="1:44" x14ac:dyDescent="0.2">
      <c r="A1658" s="1141" t="str">
        <f t="shared" si="467"/>
        <v/>
      </c>
      <c r="B1658" s="1141" t="str">
        <f>IFERROR(VLOOKUP(A1658,'LAC 103'!A:C,3,FALSE),"")</f>
        <v/>
      </c>
      <c r="C1658" s="1478" t="str">
        <f>Info!$B$8</f>
        <v>00100</v>
      </c>
      <c r="D1658" s="1474"/>
      <c r="E1658" s="1474"/>
      <c r="F1658" s="1478"/>
      <c r="G1658" s="1478"/>
      <c r="H1658" s="1474"/>
      <c r="I1658" s="1478"/>
      <c r="J1658" s="1478"/>
      <c r="K1658" s="1475"/>
      <c r="L1658" s="1474"/>
      <c r="M1658" s="1476"/>
      <c r="N1658" s="1477"/>
      <c r="O1658" s="1479"/>
      <c r="P1658" s="1479"/>
      <c r="Q1658" s="1142">
        <f t="shared" si="451"/>
        <v>0</v>
      </c>
      <c r="R1658" s="1143">
        <f>IFERROR(VLOOKUP(CONCATENATE($E1658,$G1658),'LAC 103'!$A$12:$O$95,11,FALSE),0)</f>
        <v>0</v>
      </c>
      <c r="S1658" s="1144">
        <f>IFERROR(VLOOKUP(CONCATENATE($E1658,$G1658),'LAC 103'!$A$12:$O$95,12,FALSE),0)</f>
        <v>0</v>
      </c>
      <c r="T1658" s="1144">
        <f>IFERROR(VLOOKUP(CONCATENATE($E1658,$G1658),'LAC 103'!$A$12:$O$95,13,FALSE),0)</f>
        <v>0</v>
      </c>
      <c r="U1658" s="1144">
        <f>IFERROR(VLOOKUP(CONCATENATE($E1658,$G1658),'LAC 103'!$A$12:$O$95,14,FALSE),0)</f>
        <v>0</v>
      </c>
      <c r="V1658" s="1144">
        <f>IFERROR(VLOOKUP(CONCATENATE($E1658,$G1658),'LAC 103'!$A$12:$O$95,15,FALSE),0)</f>
        <v>0</v>
      </c>
      <c r="W1658" s="1145" t="str">
        <f>IFERROR(VLOOKUP(CONCATENATE($B1658,$N1658),'LAC 103'!$AI:$AQ,9,FALSE),"")</f>
        <v/>
      </c>
      <c r="X1658" s="1146">
        <f t="shared" si="456"/>
        <v>0</v>
      </c>
      <c r="Y1658" s="1143">
        <f t="shared" si="466"/>
        <v>0</v>
      </c>
      <c r="Z1658" s="1147">
        <f t="shared" si="457"/>
        <v>0</v>
      </c>
      <c r="AA1658" s="1144">
        <f t="shared" si="458"/>
        <v>0</v>
      </c>
      <c r="AB1658" s="1144">
        <f t="shared" si="459"/>
        <v>0</v>
      </c>
      <c r="AC1658" s="1144">
        <f t="shared" si="460"/>
        <v>0</v>
      </c>
      <c r="AD1658" s="1148">
        <f t="shared" si="452"/>
        <v>0</v>
      </c>
      <c r="AE1658" s="1487">
        <v>0</v>
      </c>
      <c r="AF1658" s="1145">
        <f t="shared" si="461"/>
        <v>0</v>
      </c>
      <c r="AG1658" s="1149">
        <f>IFERROR(VLOOKUP(CONCATENATE($L1658,$N1658),'Drop List'!$G$23:$K$87,2,FALSE),0)</f>
        <v>0</v>
      </c>
      <c r="AH1658" s="1150">
        <f>IFERROR(VLOOKUP(CONCATENATE($L1658,$N1658),'Drop List'!$G$23:$K$87,3,FALSE),0)</f>
        <v>0</v>
      </c>
      <c r="AI1658" s="1150">
        <f>IFERROR(VLOOKUP(CONCATENATE($L1658,$N1658),'Drop List'!$G$23:$K$87,4,FALSE),0)</f>
        <v>0</v>
      </c>
      <c r="AJ1658" s="1151">
        <f>IFERROR(VLOOKUP(CONCATENATE($L1658,$N1658),'Drop List'!$G$23:$K$87,5,FALSE),0)</f>
        <v>0</v>
      </c>
      <c r="AK1658" s="1152">
        <f t="shared" si="462"/>
        <v>0</v>
      </c>
      <c r="AL1658" s="1153">
        <f t="shared" si="463"/>
        <v>0</v>
      </c>
      <c r="AM1658" s="1153">
        <f t="shared" si="464"/>
        <v>0</v>
      </c>
      <c r="AN1658" s="1145">
        <f t="shared" si="465"/>
        <v>0</v>
      </c>
      <c r="AO1658" s="1154">
        <f t="shared" si="468"/>
        <v>0</v>
      </c>
      <c r="AP1658" s="1147">
        <f t="shared" si="453"/>
        <v>0</v>
      </c>
      <c r="AQ1658" s="1144">
        <f t="shared" si="454"/>
        <v>0</v>
      </c>
      <c r="AR1658" s="1146">
        <f t="shared" si="455"/>
        <v>0</v>
      </c>
    </row>
    <row r="1659" spans="1:44" x14ac:dyDescent="0.2">
      <c r="A1659" s="1141" t="str">
        <f t="shared" si="467"/>
        <v/>
      </c>
      <c r="B1659" s="1141" t="str">
        <f>IFERROR(VLOOKUP(A1659,'LAC 103'!A:C,3,FALSE),"")</f>
        <v/>
      </c>
      <c r="C1659" s="1478" t="str">
        <f>Info!$B$8</f>
        <v>00100</v>
      </c>
      <c r="D1659" s="1474"/>
      <c r="E1659" s="1474"/>
      <c r="F1659" s="1478"/>
      <c r="G1659" s="1478"/>
      <c r="H1659" s="1474"/>
      <c r="I1659" s="1478"/>
      <c r="J1659" s="1478"/>
      <c r="K1659" s="1475"/>
      <c r="L1659" s="1474"/>
      <c r="M1659" s="1476"/>
      <c r="N1659" s="1477"/>
      <c r="O1659" s="1479"/>
      <c r="P1659" s="1479"/>
      <c r="Q1659" s="1142">
        <f t="shared" si="451"/>
        <v>0</v>
      </c>
      <c r="R1659" s="1143">
        <f>IFERROR(VLOOKUP(CONCATENATE($E1659,$G1659),'LAC 103'!$A$12:$O$95,11,FALSE),0)</f>
        <v>0</v>
      </c>
      <c r="S1659" s="1144">
        <f>IFERROR(VLOOKUP(CONCATENATE($E1659,$G1659),'LAC 103'!$A$12:$O$95,12,FALSE),0)</f>
        <v>0</v>
      </c>
      <c r="T1659" s="1144">
        <f>IFERROR(VLOOKUP(CONCATENATE($E1659,$G1659),'LAC 103'!$A$12:$O$95,13,FALSE),0)</f>
        <v>0</v>
      </c>
      <c r="U1659" s="1144">
        <f>IFERROR(VLOOKUP(CONCATENATE($E1659,$G1659),'LAC 103'!$A$12:$O$95,14,FALSE),0)</f>
        <v>0</v>
      </c>
      <c r="V1659" s="1144">
        <f>IFERROR(VLOOKUP(CONCATENATE($E1659,$G1659),'LAC 103'!$A$12:$O$95,15,FALSE),0)</f>
        <v>0</v>
      </c>
      <c r="W1659" s="1145" t="str">
        <f>IFERROR(VLOOKUP(CONCATENATE($B1659,$N1659),'LAC 103'!$AI:$AQ,9,FALSE),"")</f>
        <v/>
      </c>
      <c r="X1659" s="1146">
        <f t="shared" si="456"/>
        <v>0</v>
      </c>
      <c r="Y1659" s="1143">
        <f t="shared" si="466"/>
        <v>0</v>
      </c>
      <c r="Z1659" s="1147">
        <f t="shared" si="457"/>
        <v>0</v>
      </c>
      <c r="AA1659" s="1144">
        <f t="shared" si="458"/>
        <v>0</v>
      </c>
      <c r="AB1659" s="1144">
        <f t="shared" si="459"/>
        <v>0</v>
      </c>
      <c r="AC1659" s="1144">
        <f t="shared" si="460"/>
        <v>0</v>
      </c>
      <c r="AD1659" s="1148">
        <f t="shared" si="452"/>
        <v>0</v>
      </c>
      <c r="AE1659" s="1487">
        <v>0</v>
      </c>
      <c r="AF1659" s="1145">
        <f t="shared" si="461"/>
        <v>0</v>
      </c>
      <c r="AG1659" s="1149">
        <f>IFERROR(VLOOKUP(CONCATENATE($L1659,$N1659),'Drop List'!$G$23:$K$87,2,FALSE),0)</f>
        <v>0</v>
      </c>
      <c r="AH1659" s="1150">
        <f>IFERROR(VLOOKUP(CONCATENATE($L1659,$N1659),'Drop List'!$G$23:$K$87,3,FALSE),0)</f>
        <v>0</v>
      </c>
      <c r="AI1659" s="1150">
        <f>IFERROR(VLOOKUP(CONCATENATE($L1659,$N1659),'Drop List'!$G$23:$K$87,4,FALSE),0)</f>
        <v>0</v>
      </c>
      <c r="AJ1659" s="1151">
        <f>IFERROR(VLOOKUP(CONCATENATE($L1659,$N1659),'Drop List'!$G$23:$K$87,5,FALSE),0)</f>
        <v>0</v>
      </c>
      <c r="AK1659" s="1152">
        <f t="shared" si="462"/>
        <v>0</v>
      </c>
      <c r="AL1659" s="1153">
        <f t="shared" si="463"/>
        <v>0</v>
      </c>
      <c r="AM1659" s="1153">
        <f t="shared" si="464"/>
        <v>0</v>
      </c>
      <c r="AN1659" s="1145">
        <f t="shared" si="465"/>
        <v>0</v>
      </c>
      <c r="AO1659" s="1154">
        <f t="shared" si="468"/>
        <v>0</v>
      </c>
      <c r="AP1659" s="1147">
        <f t="shared" si="453"/>
        <v>0</v>
      </c>
      <c r="AQ1659" s="1144">
        <f t="shared" si="454"/>
        <v>0</v>
      </c>
      <c r="AR1659" s="1146">
        <f t="shared" si="455"/>
        <v>0</v>
      </c>
    </row>
    <row r="1660" spans="1:44" x14ac:dyDescent="0.2">
      <c r="A1660" s="1141" t="str">
        <f t="shared" si="467"/>
        <v/>
      </c>
      <c r="B1660" s="1141" t="str">
        <f>IFERROR(VLOOKUP(A1660,'LAC 103'!A:C,3,FALSE),"")</f>
        <v/>
      </c>
      <c r="C1660" s="1478" t="str">
        <f>Info!$B$8</f>
        <v>00100</v>
      </c>
      <c r="D1660" s="1474"/>
      <c r="E1660" s="1474"/>
      <c r="F1660" s="1478"/>
      <c r="G1660" s="1478"/>
      <c r="H1660" s="1474"/>
      <c r="I1660" s="1478"/>
      <c r="J1660" s="1478"/>
      <c r="K1660" s="1475"/>
      <c r="L1660" s="1474"/>
      <c r="M1660" s="1476"/>
      <c r="N1660" s="1477"/>
      <c r="O1660" s="1479"/>
      <c r="P1660" s="1479"/>
      <c r="Q1660" s="1142">
        <f t="shared" ref="Q1660:Q1723" si="469">O1660+P1660</f>
        <v>0</v>
      </c>
      <c r="R1660" s="1143">
        <f>IFERROR(VLOOKUP(CONCATENATE($E1660,$G1660),'LAC 103'!$A$12:$O$95,11,FALSE),0)</f>
        <v>0</v>
      </c>
      <c r="S1660" s="1144">
        <f>IFERROR(VLOOKUP(CONCATENATE($E1660,$G1660),'LAC 103'!$A$12:$O$95,12,FALSE),0)</f>
        <v>0</v>
      </c>
      <c r="T1660" s="1144">
        <f>IFERROR(VLOOKUP(CONCATENATE($E1660,$G1660),'LAC 103'!$A$12:$O$95,13,FALSE),0)</f>
        <v>0</v>
      </c>
      <c r="U1660" s="1144">
        <f>IFERROR(VLOOKUP(CONCATENATE($E1660,$G1660),'LAC 103'!$A$12:$O$95,14,FALSE),0)</f>
        <v>0</v>
      </c>
      <c r="V1660" s="1144">
        <f>IFERROR(VLOOKUP(CONCATENATE($E1660,$G1660),'LAC 103'!$A$12:$O$95,15,FALSE),0)</f>
        <v>0</v>
      </c>
      <c r="W1660" s="1145" t="str">
        <f>IFERROR(VLOOKUP(CONCATENATE($B1660,$N1660),'LAC 103'!$AI:$AQ,9,FALSE),"")</f>
        <v/>
      </c>
      <c r="X1660" s="1146">
        <f t="shared" si="456"/>
        <v>0</v>
      </c>
      <c r="Y1660" s="1143">
        <f t="shared" si="466"/>
        <v>0</v>
      </c>
      <c r="Z1660" s="1147">
        <f t="shared" si="457"/>
        <v>0</v>
      </c>
      <c r="AA1660" s="1144">
        <f t="shared" si="458"/>
        <v>0</v>
      </c>
      <c r="AB1660" s="1144">
        <f t="shared" si="459"/>
        <v>0</v>
      </c>
      <c r="AC1660" s="1144">
        <f t="shared" si="460"/>
        <v>0</v>
      </c>
      <c r="AD1660" s="1148">
        <f t="shared" si="452"/>
        <v>0</v>
      </c>
      <c r="AE1660" s="1487">
        <v>0</v>
      </c>
      <c r="AF1660" s="1145">
        <f t="shared" si="461"/>
        <v>0</v>
      </c>
      <c r="AG1660" s="1149">
        <f>IFERROR(VLOOKUP(CONCATENATE($L1660,$N1660),'Drop List'!$G$23:$K$87,2,FALSE),0)</f>
        <v>0</v>
      </c>
      <c r="AH1660" s="1150">
        <f>IFERROR(VLOOKUP(CONCATENATE($L1660,$N1660),'Drop List'!$G$23:$K$87,3,FALSE),0)</f>
        <v>0</v>
      </c>
      <c r="AI1660" s="1150">
        <f>IFERROR(VLOOKUP(CONCATENATE($L1660,$N1660),'Drop List'!$G$23:$K$87,4,FALSE),0)</f>
        <v>0</v>
      </c>
      <c r="AJ1660" s="1151">
        <f>IFERROR(VLOOKUP(CONCATENATE($L1660,$N1660),'Drop List'!$G$23:$K$87,5,FALSE),0)</f>
        <v>0</v>
      </c>
      <c r="AK1660" s="1152">
        <f t="shared" si="462"/>
        <v>0</v>
      </c>
      <c r="AL1660" s="1153">
        <f t="shared" si="463"/>
        <v>0</v>
      </c>
      <c r="AM1660" s="1153">
        <f t="shared" si="464"/>
        <v>0</v>
      </c>
      <c r="AN1660" s="1145">
        <f t="shared" si="465"/>
        <v>0</v>
      </c>
      <c r="AO1660" s="1154">
        <f t="shared" si="468"/>
        <v>0</v>
      </c>
      <c r="AP1660" s="1147">
        <f t="shared" si="453"/>
        <v>0</v>
      </c>
      <c r="AQ1660" s="1144">
        <f t="shared" si="454"/>
        <v>0</v>
      </c>
      <c r="AR1660" s="1146">
        <f t="shared" si="455"/>
        <v>0</v>
      </c>
    </row>
    <row r="1661" spans="1:44" x14ac:dyDescent="0.2">
      <c r="A1661" s="1141" t="str">
        <f t="shared" si="467"/>
        <v/>
      </c>
      <c r="B1661" s="1141" t="str">
        <f>IFERROR(VLOOKUP(A1661,'LAC 103'!A:C,3,FALSE),"")</f>
        <v/>
      </c>
      <c r="C1661" s="1478" t="str">
        <f>Info!$B$8</f>
        <v>00100</v>
      </c>
      <c r="D1661" s="1474"/>
      <c r="E1661" s="1474"/>
      <c r="F1661" s="1478"/>
      <c r="G1661" s="1478"/>
      <c r="H1661" s="1474"/>
      <c r="I1661" s="1478"/>
      <c r="J1661" s="1478"/>
      <c r="K1661" s="1475"/>
      <c r="L1661" s="1474"/>
      <c r="M1661" s="1476"/>
      <c r="N1661" s="1477"/>
      <c r="O1661" s="1479"/>
      <c r="P1661" s="1479"/>
      <c r="Q1661" s="1142">
        <f t="shared" si="469"/>
        <v>0</v>
      </c>
      <c r="R1661" s="1143">
        <f>IFERROR(VLOOKUP(CONCATENATE($E1661,$G1661),'LAC 103'!$A$12:$O$95,11,FALSE),0)</f>
        <v>0</v>
      </c>
      <c r="S1661" s="1144">
        <f>IFERROR(VLOOKUP(CONCATENATE($E1661,$G1661),'LAC 103'!$A$12:$O$95,12,FALSE),0)</f>
        <v>0</v>
      </c>
      <c r="T1661" s="1144">
        <f>IFERROR(VLOOKUP(CONCATENATE($E1661,$G1661),'LAC 103'!$A$12:$O$95,13,FALSE),0)</f>
        <v>0</v>
      </c>
      <c r="U1661" s="1144">
        <f>IFERROR(VLOOKUP(CONCATENATE($E1661,$G1661),'LAC 103'!$A$12:$O$95,14,FALSE),0)</f>
        <v>0</v>
      </c>
      <c r="V1661" s="1144">
        <f>IFERROR(VLOOKUP(CONCATENATE($E1661,$G1661),'LAC 103'!$A$12:$O$95,15,FALSE),0)</f>
        <v>0</v>
      </c>
      <c r="W1661" s="1145" t="str">
        <f>IFERROR(VLOOKUP(CONCATENATE($B1661,$N1661),'LAC 103'!$AI:$AQ,9,FALSE),"")</f>
        <v/>
      </c>
      <c r="X1661" s="1146">
        <f t="shared" si="456"/>
        <v>0</v>
      </c>
      <c r="Y1661" s="1143">
        <f t="shared" si="466"/>
        <v>0</v>
      </c>
      <c r="Z1661" s="1147">
        <f t="shared" si="457"/>
        <v>0</v>
      </c>
      <c r="AA1661" s="1144">
        <f t="shared" si="458"/>
        <v>0</v>
      </c>
      <c r="AB1661" s="1144">
        <f t="shared" si="459"/>
        <v>0</v>
      </c>
      <c r="AC1661" s="1144">
        <f t="shared" si="460"/>
        <v>0</v>
      </c>
      <c r="AD1661" s="1148">
        <f t="shared" si="452"/>
        <v>0</v>
      </c>
      <c r="AE1661" s="1487">
        <v>0</v>
      </c>
      <c r="AF1661" s="1145">
        <f t="shared" si="461"/>
        <v>0</v>
      </c>
      <c r="AG1661" s="1149">
        <f>IFERROR(VLOOKUP(CONCATENATE($L1661,$N1661),'Drop List'!$G$23:$K$87,2,FALSE),0)</f>
        <v>0</v>
      </c>
      <c r="AH1661" s="1150">
        <f>IFERROR(VLOOKUP(CONCATENATE($L1661,$N1661),'Drop List'!$G$23:$K$87,3,FALSE),0)</f>
        <v>0</v>
      </c>
      <c r="AI1661" s="1150">
        <f>IFERROR(VLOOKUP(CONCATENATE($L1661,$N1661),'Drop List'!$G$23:$K$87,4,FALSE),0)</f>
        <v>0</v>
      </c>
      <c r="AJ1661" s="1151">
        <f>IFERROR(VLOOKUP(CONCATENATE($L1661,$N1661),'Drop List'!$G$23:$K$87,5,FALSE),0)</f>
        <v>0</v>
      </c>
      <c r="AK1661" s="1152">
        <f t="shared" si="462"/>
        <v>0</v>
      </c>
      <c r="AL1661" s="1153">
        <f t="shared" si="463"/>
        <v>0</v>
      </c>
      <c r="AM1661" s="1153">
        <f t="shared" si="464"/>
        <v>0</v>
      </c>
      <c r="AN1661" s="1145">
        <f t="shared" si="465"/>
        <v>0</v>
      </c>
      <c r="AO1661" s="1154">
        <f t="shared" si="468"/>
        <v>0</v>
      </c>
      <c r="AP1661" s="1147">
        <f t="shared" si="453"/>
        <v>0</v>
      </c>
      <c r="AQ1661" s="1144">
        <f t="shared" si="454"/>
        <v>0</v>
      </c>
      <c r="AR1661" s="1146">
        <f t="shared" si="455"/>
        <v>0</v>
      </c>
    </row>
    <row r="1662" spans="1:44" x14ac:dyDescent="0.2">
      <c r="A1662" s="1141" t="str">
        <f t="shared" si="467"/>
        <v/>
      </c>
      <c r="B1662" s="1141" t="str">
        <f>IFERROR(VLOOKUP(A1662,'LAC 103'!A:C,3,FALSE),"")</f>
        <v/>
      </c>
      <c r="C1662" s="1478" t="str">
        <f>Info!$B$8</f>
        <v>00100</v>
      </c>
      <c r="D1662" s="1474"/>
      <c r="E1662" s="1474"/>
      <c r="F1662" s="1478"/>
      <c r="G1662" s="1478"/>
      <c r="H1662" s="1474"/>
      <c r="I1662" s="1478"/>
      <c r="J1662" s="1478"/>
      <c r="K1662" s="1475"/>
      <c r="L1662" s="1474"/>
      <c r="M1662" s="1476"/>
      <c r="N1662" s="1477"/>
      <c r="O1662" s="1479"/>
      <c r="P1662" s="1479"/>
      <c r="Q1662" s="1142">
        <f t="shared" si="469"/>
        <v>0</v>
      </c>
      <c r="R1662" s="1143">
        <f>IFERROR(VLOOKUP(CONCATENATE($E1662,$G1662),'LAC 103'!$A$12:$O$95,11,FALSE),0)</f>
        <v>0</v>
      </c>
      <c r="S1662" s="1144">
        <f>IFERROR(VLOOKUP(CONCATENATE($E1662,$G1662),'LAC 103'!$A$12:$O$95,12,FALSE),0)</f>
        <v>0</v>
      </c>
      <c r="T1662" s="1144">
        <f>IFERROR(VLOOKUP(CONCATENATE($E1662,$G1662),'LAC 103'!$A$12:$O$95,13,FALSE),0)</f>
        <v>0</v>
      </c>
      <c r="U1662" s="1144">
        <f>IFERROR(VLOOKUP(CONCATENATE($E1662,$G1662),'LAC 103'!$A$12:$O$95,14,FALSE),0)</f>
        <v>0</v>
      </c>
      <c r="V1662" s="1144">
        <f>IFERROR(VLOOKUP(CONCATENATE($E1662,$G1662),'LAC 103'!$A$12:$O$95,15,FALSE),0)</f>
        <v>0</v>
      </c>
      <c r="W1662" s="1145" t="str">
        <f>IFERROR(VLOOKUP(CONCATENATE($B1662,$N1662),'LAC 103'!$AI:$AQ,9,FALSE),"")</f>
        <v/>
      </c>
      <c r="X1662" s="1146">
        <f t="shared" si="456"/>
        <v>0</v>
      </c>
      <c r="Y1662" s="1143">
        <f t="shared" si="466"/>
        <v>0</v>
      </c>
      <c r="Z1662" s="1147">
        <f t="shared" si="457"/>
        <v>0</v>
      </c>
      <c r="AA1662" s="1144">
        <f t="shared" si="458"/>
        <v>0</v>
      </c>
      <c r="AB1662" s="1144">
        <f t="shared" si="459"/>
        <v>0</v>
      </c>
      <c r="AC1662" s="1144">
        <f t="shared" si="460"/>
        <v>0</v>
      </c>
      <c r="AD1662" s="1148">
        <f t="shared" si="452"/>
        <v>0</v>
      </c>
      <c r="AE1662" s="1487">
        <v>0</v>
      </c>
      <c r="AF1662" s="1145">
        <f t="shared" si="461"/>
        <v>0</v>
      </c>
      <c r="AG1662" s="1149">
        <f>IFERROR(VLOOKUP(CONCATENATE($L1662,$N1662),'Drop List'!$G$23:$K$87,2,FALSE),0)</f>
        <v>0</v>
      </c>
      <c r="AH1662" s="1150">
        <f>IFERROR(VLOOKUP(CONCATENATE($L1662,$N1662),'Drop List'!$G$23:$K$87,3,FALSE),0)</f>
        <v>0</v>
      </c>
      <c r="AI1662" s="1150">
        <f>IFERROR(VLOOKUP(CONCATENATE($L1662,$N1662),'Drop List'!$G$23:$K$87,4,FALSE),0)</f>
        <v>0</v>
      </c>
      <c r="AJ1662" s="1151">
        <f>IFERROR(VLOOKUP(CONCATENATE($L1662,$N1662),'Drop List'!$G$23:$K$87,5,FALSE),0)</f>
        <v>0</v>
      </c>
      <c r="AK1662" s="1152">
        <f t="shared" si="462"/>
        <v>0</v>
      </c>
      <c r="AL1662" s="1153">
        <f t="shared" si="463"/>
        <v>0</v>
      </c>
      <c r="AM1662" s="1153">
        <f t="shared" si="464"/>
        <v>0</v>
      </c>
      <c r="AN1662" s="1145">
        <f t="shared" si="465"/>
        <v>0</v>
      </c>
      <c r="AO1662" s="1154">
        <f t="shared" si="468"/>
        <v>0</v>
      </c>
      <c r="AP1662" s="1147">
        <f t="shared" si="453"/>
        <v>0</v>
      </c>
      <c r="AQ1662" s="1144">
        <f t="shared" si="454"/>
        <v>0</v>
      </c>
      <c r="AR1662" s="1146">
        <f t="shared" si="455"/>
        <v>0</v>
      </c>
    </row>
    <row r="1663" spans="1:44" x14ac:dyDescent="0.2">
      <c r="A1663" s="1141" t="str">
        <f t="shared" si="467"/>
        <v/>
      </c>
      <c r="B1663" s="1141" t="str">
        <f>IFERROR(VLOOKUP(A1663,'LAC 103'!A:C,3,FALSE),"")</f>
        <v/>
      </c>
      <c r="C1663" s="1478" t="str">
        <f>Info!$B$8</f>
        <v>00100</v>
      </c>
      <c r="D1663" s="1474"/>
      <c r="E1663" s="1474"/>
      <c r="F1663" s="1478"/>
      <c r="G1663" s="1478"/>
      <c r="H1663" s="1474"/>
      <c r="I1663" s="1478"/>
      <c r="J1663" s="1478"/>
      <c r="K1663" s="1475"/>
      <c r="L1663" s="1474"/>
      <c r="M1663" s="1476"/>
      <c r="N1663" s="1477"/>
      <c r="O1663" s="1479"/>
      <c r="P1663" s="1479"/>
      <c r="Q1663" s="1142">
        <f t="shared" si="469"/>
        <v>0</v>
      </c>
      <c r="R1663" s="1143">
        <f>IFERROR(VLOOKUP(CONCATENATE($E1663,$G1663),'LAC 103'!$A$12:$O$95,11,FALSE),0)</f>
        <v>0</v>
      </c>
      <c r="S1663" s="1144">
        <f>IFERROR(VLOOKUP(CONCATENATE($E1663,$G1663),'LAC 103'!$A$12:$O$95,12,FALSE),0)</f>
        <v>0</v>
      </c>
      <c r="T1663" s="1144">
        <f>IFERROR(VLOOKUP(CONCATENATE($E1663,$G1663),'LAC 103'!$A$12:$O$95,13,FALSE),0)</f>
        <v>0</v>
      </c>
      <c r="U1663" s="1144">
        <f>IFERROR(VLOOKUP(CONCATENATE($E1663,$G1663),'LAC 103'!$A$12:$O$95,14,FALSE),0)</f>
        <v>0</v>
      </c>
      <c r="V1663" s="1144">
        <f>IFERROR(VLOOKUP(CONCATENATE($E1663,$G1663),'LAC 103'!$A$12:$O$95,15,FALSE),0)</f>
        <v>0</v>
      </c>
      <c r="W1663" s="1145" t="str">
        <f>IFERROR(VLOOKUP(CONCATENATE($B1663,$N1663),'LAC 103'!$AI:$AQ,9,FALSE),"")</f>
        <v/>
      </c>
      <c r="X1663" s="1146">
        <f t="shared" si="456"/>
        <v>0</v>
      </c>
      <c r="Y1663" s="1143">
        <f t="shared" si="466"/>
        <v>0</v>
      </c>
      <c r="Z1663" s="1147">
        <f t="shared" si="457"/>
        <v>0</v>
      </c>
      <c r="AA1663" s="1144">
        <f t="shared" si="458"/>
        <v>0</v>
      </c>
      <c r="AB1663" s="1144">
        <f t="shared" si="459"/>
        <v>0</v>
      </c>
      <c r="AC1663" s="1144">
        <f t="shared" si="460"/>
        <v>0</v>
      </c>
      <c r="AD1663" s="1148">
        <f t="shared" si="452"/>
        <v>0</v>
      </c>
      <c r="AE1663" s="1487">
        <v>0</v>
      </c>
      <c r="AF1663" s="1145">
        <f t="shared" si="461"/>
        <v>0</v>
      </c>
      <c r="AG1663" s="1149">
        <f>IFERROR(VLOOKUP(CONCATENATE($L1663,$N1663),'Drop List'!$G$23:$K$87,2,FALSE),0)</f>
        <v>0</v>
      </c>
      <c r="AH1663" s="1150">
        <f>IFERROR(VLOOKUP(CONCATENATE($L1663,$N1663),'Drop List'!$G$23:$K$87,3,FALSE),0)</f>
        <v>0</v>
      </c>
      <c r="AI1663" s="1150">
        <f>IFERROR(VLOOKUP(CONCATENATE($L1663,$N1663),'Drop List'!$G$23:$K$87,4,FALSE),0)</f>
        <v>0</v>
      </c>
      <c r="AJ1663" s="1151">
        <f>IFERROR(VLOOKUP(CONCATENATE($L1663,$N1663),'Drop List'!$G$23:$K$87,5,FALSE),0)</f>
        <v>0</v>
      </c>
      <c r="AK1663" s="1152">
        <f t="shared" si="462"/>
        <v>0</v>
      </c>
      <c r="AL1663" s="1153">
        <f t="shared" si="463"/>
        <v>0</v>
      </c>
      <c r="AM1663" s="1153">
        <f t="shared" si="464"/>
        <v>0</v>
      </c>
      <c r="AN1663" s="1145">
        <f t="shared" si="465"/>
        <v>0</v>
      </c>
      <c r="AO1663" s="1154">
        <f t="shared" si="468"/>
        <v>0</v>
      </c>
      <c r="AP1663" s="1147">
        <f t="shared" si="453"/>
        <v>0</v>
      </c>
      <c r="AQ1663" s="1144">
        <f t="shared" si="454"/>
        <v>0</v>
      </c>
      <c r="AR1663" s="1146">
        <f t="shared" si="455"/>
        <v>0</v>
      </c>
    </row>
    <row r="1664" spans="1:44" x14ac:dyDescent="0.2">
      <c r="A1664" s="1141" t="str">
        <f t="shared" si="467"/>
        <v/>
      </c>
      <c r="B1664" s="1141" t="str">
        <f>IFERROR(VLOOKUP(A1664,'LAC 103'!A:C,3,FALSE),"")</f>
        <v/>
      </c>
      <c r="C1664" s="1478" t="str">
        <f>Info!$B$8</f>
        <v>00100</v>
      </c>
      <c r="D1664" s="1474"/>
      <c r="E1664" s="1474"/>
      <c r="F1664" s="1478"/>
      <c r="G1664" s="1478"/>
      <c r="H1664" s="1474"/>
      <c r="I1664" s="1478"/>
      <c r="J1664" s="1478"/>
      <c r="K1664" s="1475"/>
      <c r="L1664" s="1474"/>
      <c r="M1664" s="1476"/>
      <c r="N1664" s="1477"/>
      <c r="O1664" s="1479"/>
      <c r="P1664" s="1479"/>
      <c r="Q1664" s="1142">
        <f t="shared" si="469"/>
        <v>0</v>
      </c>
      <c r="R1664" s="1143">
        <f>IFERROR(VLOOKUP(CONCATENATE($E1664,$G1664),'LAC 103'!$A$12:$O$95,11,FALSE),0)</f>
        <v>0</v>
      </c>
      <c r="S1664" s="1144">
        <f>IFERROR(VLOOKUP(CONCATENATE($E1664,$G1664),'LAC 103'!$A$12:$O$95,12,FALSE),0)</f>
        <v>0</v>
      </c>
      <c r="T1664" s="1144">
        <f>IFERROR(VLOOKUP(CONCATENATE($E1664,$G1664),'LAC 103'!$A$12:$O$95,13,FALSE),0)</f>
        <v>0</v>
      </c>
      <c r="U1664" s="1144">
        <f>IFERROR(VLOOKUP(CONCATENATE($E1664,$G1664),'LAC 103'!$A$12:$O$95,14,FALSE),0)</f>
        <v>0</v>
      </c>
      <c r="V1664" s="1144">
        <f>IFERROR(VLOOKUP(CONCATENATE($E1664,$G1664),'LAC 103'!$A$12:$O$95,15,FALSE),0)</f>
        <v>0</v>
      </c>
      <c r="W1664" s="1145" t="str">
        <f>IFERROR(VLOOKUP(CONCATENATE($B1664,$N1664),'LAC 103'!$AI:$AQ,9,FALSE),"")</f>
        <v/>
      </c>
      <c r="X1664" s="1146">
        <f t="shared" si="456"/>
        <v>0</v>
      </c>
      <c r="Y1664" s="1143">
        <f t="shared" si="466"/>
        <v>0</v>
      </c>
      <c r="Z1664" s="1147">
        <f t="shared" si="457"/>
        <v>0</v>
      </c>
      <c r="AA1664" s="1144">
        <f t="shared" si="458"/>
        <v>0</v>
      </c>
      <c r="AB1664" s="1144">
        <f t="shared" si="459"/>
        <v>0</v>
      </c>
      <c r="AC1664" s="1144">
        <f t="shared" si="460"/>
        <v>0</v>
      </c>
      <c r="AD1664" s="1148">
        <f t="shared" si="452"/>
        <v>0</v>
      </c>
      <c r="AE1664" s="1487">
        <v>0</v>
      </c>
      <c r="AF1664" s="1145">
        <f t="shared" si="461"/>
        <v>0</v>
      </c>
      <c r="AG1664" s="1149">
        <f>IFERROR(VLOOKUP(CONCATENATE($L1664,$N1664),'Drop List'!$G$23:$K$87,2,FALSE),0)</f>
        <v>0</v>
      </c>
      <c r="AH1664" s="1150">
        <f>IFERROR(VLOOKUP(CONCATENATE($L1664,$N1664),'Drop List'!$G$23:$K$87,3,FALSE),0)</f>
        <v>0</v>
      </c>
      <c r="AI1664" s="1150">
        <f>IFERROR(VLOOKUP(CONCATENATE($L1664,$N1664),'Drop List'!$G$23:$K$87,4,FALSE),0)</f>
        <v>0</v>
      </c>
      <c r="AJ1664" s="1151">
        <f>IFERROR(VLOOKUP(CONCATENATE($L1664,$N1664),'Drop List'!$G$23:$K$87,5,FALSE),0)</f>
        <v>0</v>
      </c>
      <c r="AK1664" s="1152">
        <f t="shared" si="462"/>
        <v>0</v>
      </c>
      <c r="AL1664" s="1153">
        <f t="shared" si="463"/>
        <v>0</v>
      </c>
      <c r="AM1664" s="1153">
        <f t="shared" si="464"/>
        <v>0</v>
      </c>
      <c r="AN1664" s="1145">
        <f t="shared" si="465"/>
        <v>0</v>
      </c>
      <c r="AO1664" s="1154">
        <f t="shared" si="468"/>
        <v>0</v>
      </c>
      <c r="AP1664" s="1147">
        <f t="shared" si="453"/>
        <v>0</v>
      </c>
      <c r="AQ1664" s="1144">
        <f t="shared" si="454"/>
        <v>0</v>
      </c>
      <c r="AR1664" s="1146">
        <f t="shared" si="455"/>
        <v>0</v>
      </c>
    </row>
    <row r="1665" spans="1:44" x14ac:dyDescent="0.2">
      <c r="A1665" s="1141" t="str">
        <f t="shared" si="467"/>
        <v/>
      </c>
      <c r="B1665" s="1141" t="str">
        <f>IFERROR(VLOOKUP(A1665,'LAC 103'!A:C,3,FALSE),"")</f>
        <v/>
      </c>
      <c r="C1665" s="1478" t="str">
        <f>Info!$B$8</f>
        <v>00100</v>
      </c>
      <c r="D1665" s="1474"/>
      <c r="E1665" s="1474"/>
      <c r="F1665" s="1478"/>
      <c r="G1665" s="1478"/>
      <c r="H1665" s="1474"/>
      <c r="I1665" s="1478"/>
      <c r="J1665" s="1478"/>
      <c r="K1665" s="1475"/>
      <c r="L1665" s="1474"/>
      <c r="M1665" s="1476"/>
      <c r="N1665" s="1477"/>
      <c r="O1665" s="1479"/>
      <c r="P1665" s="1479"/>
      <c r="Q1665" s="1142">
        <f t="shared" si="469"/>
        <v>0</v>
      </c>
      <c r="R1665" s="1143">
        <f>IFERROR(VLOOKUP(CONCATENATE($E1665,$G1665),'LAC 103'!$A$12:$O$95,11,FALSE),0)</f>
        <v>0</v>
      </c>
      <c r="S1665" s="1144">
        <f>IFERROR(VLOOKUP(CONCATENATE($E1665,$G1665),'LAC 103'!$A$12:$O$95,12,FALSE),0)</f>
        <v>0</v>
      </c>
      <c r="T1665" s="1144">
        <f>IFERROR(VLOOKUP(CONCATENATE($E1665,$G1665),'LAC 103'!$A$12:$O$95,13,FALSE),0)</f>
        <v>0</v>
      </c>
      <c r="U1665" s="1144">
        <f>IFERROR(VLOOKUP(CONCATENATE($E1665,$G1665),'LAC 103'!$A$12:$O$95,14,FALSE),0)</f>
        <v>0</v>
      </c>
      <c r="V1665" s="1144">
        <f>IFERROR(VLOOKUP(CONCATENATE($E1665,$G1665),'LAC 103'!$A$12:$O$95,15,FALSE),0)</f>
        <v>0</v>
      </c>
      <c r="W1665" s="1145" t="str">
        <f>IFERROR(VLOOKUP(CONCATENATE($B1665,$N1665),'LAC 103'!$AI:$AQ,9,FALSE),"")</f>
        <v/>
      </c>
      <c r="X1665" s="1146">
        <f t="shared" si="456"/>
        <v>0</v>
      </c>
      <c r="Y1665" s="1143">
        <f t="shared" si="466"/>
        <v>0</v>
      </c>
      <c r="Z1665" s="1147">
        <f t="shared" si="457"/>
        <v>0</v>
      </c>
      <c r="AA1665" s="1144">
        <f t="shared" si="458"/>
        <v>0</v>
      </c>
      <c r="AB1665" s="1144">
        <f t="shared" si="459"/>
        <v>0</v>
      </c>
      <c r="AC1665" s="1144">
        <f t="shared" si="460"/>
        <v>0</v>
      </c>
      <c r="AD1665" s="1148">
        <f t="shared" si="452"/>
        <v>0</v>
      </c>
      <c r="AE1665" s="1487">
        <v>0</v>
      </c>
      <c r="AF1665" s="1145">
        <f t="shared" si="461"/>
        <v>0</v>
      </c>
      <c r="AG1665" s="1149">
        <f>IFERROR(VLOOKUP(CONCATENATE($L1665,$N1665),'Drop List'!$G$23:$K$87,2,FALSE),0)</f>
        <v>0</v>
      </c>
      <c r="AH1665" s="1150">
        <f>IFERROR(VLOOKUP(CONCATENATE($L1665,$N1665),'Drop List'!$G$23:$K$87,3,FALSE),0)</f>
        <v>0</v>
      </c>
      <c r="AI1665" s="1150">
        <f>IFERROR(VLOOKUP(CONCATENATE($L1665,$N1665),'Drop List'!$G$23:$K$87,4,FALSE),0)</f>
        <v>0</v>
      </c>
      <c r="AJ1665" s="1151">
        <f>IFERROR(VLOOKUP(CONCATENATE($L1665,$N1665),'Drop List'!$G$23:$K$87,5,FALSE),0)</f>
        <v>0</v>
      </c>
      <c r="AK1665" s="1152">
        <f t="shared" si="462"/>
        <v>0</v>
      </c>
      <c r="AL1665" s="1153">
        <f t="shared" si="463"/>
        <v>0</v>
      </c>
      <c r="AM1665" s="1153">
        <f t="shared" si="464"/>
        <v>0</v>
      </c>
      <c r="AN1665" s="1145">
        <f t="shared" si="465"/>
        <v>0</v>
      </c>
      <c r="AO1665" s="1154">
        <f t="shared" si="468"/>
        <v>0</v>
      </c>
      <c r="AP1665" s="1147">
        <f t="shared" si="453"/>
        <v>0</v>
      </c>
      <c r="AQ1665" s="1144">
        <f t="shared" si="454"/>
        <v>0</v>
      </c>
      <c r="AR1665" s="1146">
        <f t="shared" si="455"/>
        <v>0</v>
      </c>
    </row>
    <row r="1666" spans="1:44" x14ac:dyDescent="0.2">
      <c r="A1666" s="1141" t="str">
        <f t="shared" si="467"/>
        <v/>
      </c>
      <c r="B1666" s="1141" t="str">
        <f>IFERROR(VLOOKUP(A1666,'LAC 103'!A:C,3,FALSE),"")</f>
        <v/>
      </c>
      <c r="C1666" s="1478" t="str">
        <f>Info!$B$8</f>
        <v>00100</v>
      </c>
      <c r="D1666" s="1474"/>
      <c r="E1666" s="1474"/>
      <c r="F1666" s="1478"/>
      <c r="G1666" s="1478"/>
      <c r="H1666" s="1474"/>
      <c r="I1666" s="1478"/>
      <c r="J1666" s="1478"/>
      <c r="K1666" s="1475"/>
      <c r="L1666" s="1474"/>
      <c r="M1666" s="1476"/>
      <c r="N1666" s="1477"/>
      <c r="O1666" s="1479"/>
      <c r="P1666" s="1479"/>
      <c r="Q1666" s="1142">
        <f t="shared" si="469"/>
        <v>0</v>
      </c>
      <c r="R1666" s="1143">
        <f>IFERROR(VLOOKUP(CONCATENATE($E1666,$G1666),'LAC 103'!$A$12:$O$95,11,FALSE),0)</f>
        <v>0</v>
      </c>
      <c r="S1666" s="1144">
        <f>IFERROR(VLOOKUP(CONCATENATE($E1666,$G1666),'LAC 103'!$A$12:$O$95,12,FALSE),0)</f>
        <v>0</v>
      </c>
      <c r="T1666" s="1144">
        <f>IFERROR(VLOOKUP(CONCATENATE($E1666,$G1666),'LAC 103'!$A$12:$O$95,13,FALSE),0)</f>
        <v>0</v>
      </c>
      <c r="U1666" s="1144">
        <f>IFERROR(VLOOKUP(CONCATENATE($E1666,$G1666),'LAC 103'!$A$12:$O$95,14,FALSE),0)</f>
        <v>0</v>
      </c>
      <c r="V1666" s="1144">
        <f>IFERROR(VLOOKUP(CONCATENATE($E1666,$G1666),'LAC 103'!$A$12:$O$95,15,FALSE),0)</f>
        <v>0</v>
      </c>
      <c r="W1666" s="1145" t="str">
        <f>IFERROR(VLOOKUP(CONCATENATE($B1666,$N1666),'LAC 103'!$AI:$AQ,9,FALSE),"")</f>
        <v/>
      </c>
      <c r="X1666" s="1146">
        <f t="shared" si="456"/>
        <v>0</v>
      </c>
      <c r="Y1666" s="1143">
        <f t="shared" si="466"/>
        <v>0</v>
      </c>
      <c r="Z1666" s="1147">
        <f t="shared" si="457"/>
        <v>0</v>
      </c>
      <c r="AA1666" s="1144">
        <f t="shared" si="458"/>
        <v>0</v>
      </c>
      <c r="AB1666" s="1144">
        <f t="shared" si="459"/>
        <v>0</v>
      </c>
      <c r="AC1666" s="1144">
        <f t="shared" si="460"/>
        <v>0</v>
      </c>
      <c r="AD1666" s="1148">
        <f t="shared" si="452"/>
        <v>0</v>
      </c>
      <c r="AE1666" s="1487">
        <v>0</v>
      </c>
      <c r="AF1666" s="1145">
        <f t="shared" si="461"/>
        <v>0</v>
      </c>
      <c r="AG1666" s="1149">
        <f>IFERROR(VLOOKUP(CONCATENATE($L1666,$N1666),'Drop List'!$G$23:$K$87,2,FALSE),0)</f>
        <v>0</v>
      </c>
      <c r="AH1666" s="1150">
        <f>IFERROR(VLOOKUP(CONCATENATE($L1666,$N1666),'Drop List'!$G$23:$K$87,3,FALSE),0)</f>
        <v>0</v>
      </c>
      <c r="AI1666" s="1150">
        <f>IFERROR(VLOOKUP(CONCATENATE($L1666,$N1666),'Drop List'!$G$23:$K$87,4,FALSE),0)</f>
        <v>0</v>
      </c>
      <c r="AJ1666" s="1151">
        <f>IFERROR(VLOOKUP(CONCATENATE($L1666,$N1666),'Drop List'!$G$23:$K$87,5,FALSE),0)</f>
        <v>0</v>
      </c>
      <c r="AK1666" s="1152">
        <f t="shared" si="462"/>
        <v>0</v>
      </c>
      <c r="AL1666" s="1153">
        <f t="shared" si="463"/>
        <v>0</v>
      </c>
      <c r="AM1666" s="1153">
        <f t="shared" si="464"/>
        <v>0</v>
      </c>
      <c r="AN1666" s="1145">
        <f t="shared" si="465"/>
        <v>0</v>
      </c>
      <c r="AO1666" s="1154">
        <f t="shared" si="468"/>
        <v>0</v>
      </c>
      <c r="AP1666" s="1147">
        <f t="shared" si="453"/>
        <v>0</v>
      </c>
      <c r="AQ1666" s="1144">
        <f t="shared" si="454"/>
        <v>0</v>
      </c>
      <c r="AR1666" s="1146">
        <f t="shared" si="455"/>
        <v>0</v>
      </c>
    </row>
    <row r="1667" spans="1:44" x14ac:dyDescent="0.2">
      <c r="A1667" s="1141" t="str">
        <f t="shared" si="467"/>
        <v/>
      </c>
      <c r="B1667" s="1141" t="str">
        <f>IFERROR(VLOOKUP(A1667,'LAC 103'!A:C,3,FALSE),"")</f>
        <v/>
      </c>
      <c r="C1667" s="1478" t="str">
        <f>Info!$B$8</f>
        <v>00100</v>
      </c>
      <c r="D1667" s="1474"/>
      <c r="E1667" s="1474"/>
      <c r="F1667" s="1478"/>
      <c r="G1667" s="1478"/>
      <c r="H1667" s="1474"/>
      <c r="I1667" s="1478"/>
      <c r="J1667" s="1478"/>
      <c r="K1667" s="1475"/>
      <c r="L1667" s="1474"/>
      <c r="M1667" s="1476"/>
      <c r="N1667" s="1477"/>
      <c r="O1667" s="1479"/>
      <c r="P1667" s="1479"/>
      <c r="Q1667" s="1142">
        <f t="shared" si="469"/>
        <v>0</v>
      </c>
      <c r="R1667" s="1143">
        <f>IFERROR(VLOOKUP(CONCATENATE($E1667,$G1667),'LAC 103'!$A$12:$O$95,11,FALSE),0)</f>
        <v>0</v>
      </c>
      <c r="S1667" s="1144">
        <f>IFERROR(VLOOKUP(CONCATENATE($E1667,$G1667),'LAC 103'!$A$12:$O$95,12,FALSE),0)</f>
        <v>0</v>
      </c>
      <c r="T1667" s="1144">
        <f>IFERROR(VLOOKUP(CONCATENATE($E1667,$G1667),'LAC 103'!$A$12:$O$95,13,FALSE),0)</f>
        <v>0</v>
      </c>
      <c r="U1667" s="1144">
        <f>IFERROR(VLOOKUP(CONCATENATE($E1667,$G1667),'LAC 103'!$A$12:$O$95,14,FALSE),0)</f>
        <v>0</v>
      </c>
      <c r="V1667" s="1144">
        <f>IFERROR(VLOOKUP(CONCATENATE($E1667,$G1667),'LAC 103'!$A$12:$O$95,15,FALSE),0)</f>
        <v>0</v>
      </c>
      <c r="W1667" s="1145" t="str">
        <f>IFERROR(VLOOKUP(CONCATENATE($B1667,$N1667),'LAC 103'!$AI:$AQ,9,FALSE),"")</f>
        <v/>
      </c>
      <c r="X1667" s="1146">
        <f t="shared" si="456"/>
        <v>0</v>
      </c>
      <c r="Y1667" s="1143">
        <f t="shared" si="466"/>
        <v>0</v>
      </c>
      <c r="Z1667" s="1147">
        <f t="shared" si="457"/>
        <v>0</v>
      </c>
      <c r="AA1667" s="1144">
        <f t="shared" si="458"/>
        <v>0</v>
      </c>
      <c r="AB1667" s="1144">
        <f t="shared" si="459"/>
        <v>0</v>
      </c>
      <c r="AC1667" s="1144">
        <f t="shared" si="460"/>
        <v>0</v>
      </c>
      <c r="AD1667" s="1148">
        <f t="shared" si="452"/>
        <v>0</v>
      </c>
      <c r="AE1667" s="1487">
        <v>0</v>
      </c>
      <c r="AF1667" s="1145">
        <f t="shared" si="461"/>
        <v>0</v>
      </c>
      <c r="AG1667" s="1149">
        <f>IFERROR(VLOOKUP(CONCATENATE($L1667,$N1667),'Drop List'!$G$23:$K$87,2,FALSE),0)</f>
        <v>0</v>
      </c>
      <c r="AH1667" s="1150">
        <f>IFERROR(VLOOKUP(CONCATENATE($L1667,$N1667),'Drop List'!$G$23:$K$87,3,FALSE),0)</f>
        <v>0</v>
      </c>
      <c r="AI1667" s="1150">
        <f>IFERROR(VLOOKUP(CONCATENATE($L1667,$N1667),'Drop List'!$G$23:$K$87,4,FALSE),0)</f>
        <v>0</v>
      </c>
      <c r="AJ1667" s="1151">
        <f>IFERROR(VLOOKUP(CONCATENATE($L1667,$N1667),'Drop List'!$G$23:$K$87,5,FALSE),0)</f>
        <v>0</v>
      </c>
      <c r="AK1667" s="1152">
        <f t="shared" si="462"/>
        <v>0</v>
      </c>
      <c r="AL1667" s="1153">
        <f t="shared" si="463"/>
        <v>0</v>
      </c>
      <c r="AM1667" s="1153">
        <f t="shared" si="464"/>
        <v>0</v>
      </c>
      <c r="AN1667" s="1145">
        <f t="shared" si="465"/>
        <v>0</v>
      </c>
      <c r="AO1667" s="1154">
        <f t="shared" si="468"/>
        <v>0</v>
      </c>
      <c r="AP1667" s="1147">
        <f t="shared" si="453"/>
        <v>0</v>
      </c>
      <c r="AQ1667" s="1144">
        <f t="shared" si="454"/>
        <v>0</v>
      </c>
      <c r="AR1667" s="1146">
        <f t="shared" si="455"/>
        <v>0</v>
      </c>
    </row>
    <row r="1668" spans="1:44" x14ac:dyDescent="0.2">
      <c r="A1668" s="1141" t="str">
        <f t="shared" si="467"/>
        <v/>
      </c>
      <c r="B1668" s="1141" t="str">
        <f>IFERROR(VLOOKUP(A1668,'LAC 103'!A:C,3,FALSE),"")</f>
        <v/>
      </c>
      <c r="C1668" s="1478" t="str">
        <f>Info!$B$8</f>
        <v>00100</v>
      </c>
      <c r="D1668" s="1474"/>
      <c r="E1668" s="1474"/>
      <c r="F1668" s="1478"/>
      <c r="G1668" s="1478"/>
      <c r="H1668" s="1474"/>
      <c r="I1668" s="1478"/>
      <c r="J1668" s="1478"/>
      <c r="K1668" s="1475"/>
      <c r="L1668" s="1474"/>
      <c r="M1668" s="1476"/>
      <c r="N1668" s="1477"/>
      <c r="O1668" s="1479"/>
      <c r="P1668" s="1479"/>
      <c r="Q1668" s="1142">
        <f t="shared" si="469"/>
        <v>0</v>
      </c>
      <c r="R1668" s="1143">
        <f>IFERROR(VLOOKUP(CONCATENATE($E1668,$G1668),'LAC 103'!$A$12:$O$95,11,FALSE),0)</f>
        <v>0</v>
      </c>
      <c r="S1668" s="1144">
        <f>IFERROR(VLOOKUP(CONCATENATE($E1668,$G1668),'LAC 103'!$A$12:$O$95,12,FALSE),0)</f>
        <v>0</v>
      </c>
      <c r="T1668" s="1144">
        <f>IFERROR(VLOOKUP(CONCATENATE($E1668,$G1668),'LAC 103'!$A$12:$O$95,13,FALSE),0)</f>
        <v>0</v>
      </c>
      <c r="U1668" s="1144">
        <f>IFERROR(VLOOKUP(CONCATENATE($E1668,$G1668),'LAC 103'!$A$12:$O$95,14,FALSE),0)</f>
        <v>0</v>
      </c>
      <c r="V1668" s="1144">
        <f>IFERROR(VLOOKUP(CONCATENATE($E1668,$G1668),'LAC 103'!$A$12:$O$95,15,FALSE),0)</f>
        <v>0</v>
      </c>
      <c r="W1668" s="1145" t="str">
        <f>IFERROR(VLOOKUP(CONCATENATE($B1668,$N1668),'LAC 103'!$AI:$AQ,9,FALSE),"")</f>
        <v/>
      </c>
      <c r="X1668" s="1146">
        <f t="shared" si="456"/>
        <v>0</v>
      </c>
      <c r="Y1668" s="1143">
        <f t="shared" si="466"/>
        <v>0</v>
      </c>
      <c r="Z1668" s="1147">
        <f t="shared" si="457"/>
        <v>0</v>
      </c>
      <c r="AA1668" s="1144">
        <f t="shared" si="458"/>
        <v>0</v>
      </c>
      <c r="AB1668" s="1144">
        <f t="shared" si="459"/>
        <v>0</v>
      </c>
      <c r="AC1668" s="1144">
        <f t="shared" si="460"/>
        <v>0</v>
      </c>
      <c r="AD1668" s="1148">
        <f t="shared" si="452"/>
        <v>0</v>
      </c>
      <c r="AE1668" s="1487">
        <v>0</v>
      </c>
      <c r="AF1668" s="1145">
        <f t="shared" si="461"/>
        <v>0</v>
      </c>
      <c r="AG1668" s="1149">
        <f>IFERROR(VLOOKUP(CONCATENATE($L1668,$N1668),'Drop List'!$G$23:$K$87,2,FALSE),0)</f>
        <v>0</v>
      </c>
      <c r="AH1668" s="1150">
        <f>IFERROR(VLOOKUP(CONCATENATE($L1668,$N1668),'Drop List'!$G$23:$K$87,3,FALSE),0)</f>
        <v>0</v>
      </c>
      <c r="AI1668" s="1150">
        <f>IFERROR(VLOOKUP(CONCATENATE($L1668,$N1668),'Drop List'!$G$23:$K$87,4,FALSE),0)</f>
        <v>0</v>
      </c>
      <c r="AJ1668" s="1151">
        <f>IFERROR(VLOOKUP(CONCATENATE($L1668,$N1668),'Drop List'!$G$23:$K$87,5,FALSE),0)</f>
        <v>0</v>
      </c>
      <c r="AK1668" s="1152">
        <f t="shared" si="462"/>
        <v>0</v>
      </c>
      <c r="AL1668" s="1153">
        <f t="shared" si="463"/>
        <v>0</v>
      </c>
      <c r="AM1668" s="1153">
        <f t="shared" si="464"/>
        <v>0</v>
      </c>
      <c r="AN1668" s="1145">
        <f t="shared" si="465"/>
        <v>0</v>
      </c>
      <c r="AO1668" s="1154">
        <f t="shared" si="468"/>
        <v>0</v>
      </c>
      <c r="AP1668" s="1147">
        <f t="shared" si="453"/>
        <v>0</v>
      </c>
      <c r="AQ1668" s="1144">
        <f t="shared" si="454"/>
        <v>0</v>
      </c>
      <c r="AR1668" s="1146">
        <f t="shared" si="455"/>
        <v>0</v>
      </c>
    </row>
    <row r="1669" spans="1:44" x14ac:dyDescent="0.2">
      <c r="A1669" s="1141" t="str">
        <f t="shared" si="467"/>
        <v/>
      </c>
      <c r="B1669" s="1141" t="str">
        <f>IFERROR(VLOOKUP(A1669,'LAC 103'!A:C,3,FALSE),"")</f>
        <v/>
      </c>
      <c r="C1669" s="1478" t="str">
        <f>Info!$B$8</f>
        <v>00100</v>
      </c>
      <c r="D1669" s="1474"/>
      <c r="E1669" s="1474"/>
      <c r="F1669" s="1478"/>
      <c r="G1669" s="1478"/>
      <c r="H1669" s="1474"/>
      <c r="I1669" s="1478"/>
      <c r="J1669" s="1478"/>
      <c r="K1669" s="1475"/>
      <c r="L1669" s="1474"/>
      <c r="M1669" s="1476"/>
      <c r="N1669" s="1477"/>
      <c r="O1669" s="1479"/>
      <c r="P1669" s="1479"/>
      <c r="Q1669" s="1142">
        <f t="shared" si="469"/>
        <v>0</v>
      </c>
      <c r="R1669" s="1143">
        <f>IFERROR(VLOOKUP(CONCATENATE($E1669,$G1669),'LAC 103'!$A$12:$O$95,11,FALSE),0)</f>
        <v>0</v>
      </c>
      <c r="S1669" s="1144">
        <f>IFERROR(VLOOKUP(CONCATENATE($E1669,$G1669),'LAC 103'!$A$12:$O$95,12,FALSE),0)</f>
        <v>0</v>
      </c>
      <c r="T1669" s="1144">
        <f>IFERROR(VLOOKUP(CONCATENATE($E1669,$G1669),'LAC 103'!$A$12:$O$95,13,FALSE),0)</f>
        <v>0</v>
      </c>
      <c r="U1669" s="1144">
        <f>IFERROR(VLOOKUP(CONCATENATE($E1669,$G1669),'LAC 103'!$A$12:$O$95,14,FALSE),0)</f>
        <v>0</v>
      </c>
      <c r="V1669" s="1144">
        <f>IFERROR(VLOOKUP(CONCATENATE($E1669,$G1669),'LAC 103'!$A$12:$O$95,15,FALSE),0)</f>
        <v>0</v>
      </c>
      <c r="W1669" s="1145" t="str">
        <f>IFERROR(VLOOKUP(CONCATENATE($B1669,$N1669),'LAC 103'!$AI:$AQ,9,FALSE),"")</f>
        <v/>
      </c>
      <c r="X1669" s="1146">
        <f t="shared" si="456"/>
        <v>0</v>
      </c>
      <c r="Y1669" s="1143">
        <f t="shared" si="466"/>
        <v>0</v>
      </c>
      <c r="Z1669" s="1147">
        <f t="shared" si="457"/>
        <v>0</v>
      </c>
      <c r="AA1669" s="1144">
        <f t="shared" si="458"/>
        <v>0</v>
      </c>
      <c r="AB1669" s="1144">
        <f t="shared" si="459"/>
        <v>0</v>
      </c>
      <c r="AC1669" s="1144">
        <f t="shared" si="460"/>
        <v>0</v>
      </c>
      <c r="AD1669" s="1148">
        <f t="shared" si="452"/>
        <v>0</v>
      </c>
      <c r="AE1669" s="1487">
        <v>0</v>
      </c>
      <c r="AF1669" s="1145">
        <f t="shared" si="461"/>
        <v>0</v>
      </c>
      <c r="AG1669" s="1149">
        <f>IFERROR(VLOOKUP(CONCATENATE($L1669,$N1669),'Drop List'!$G$23:$K$87,2,FALSE),0)</f>
        <v>0</v>
      </c>
      <c r="AH1669" s="1150">
        <f>IFERROR(VLOOKUP(CONCATENATE($L1669,$N1669),'Drop List'!$G$23:$K$87,3,FALSE),0)</f>
        <v>0</v>
      </c>
      <c r="AI1669" s="1150">
        <f>IFERROR(VLOOKUP(CONCATENATE($L1669,$N1669),'Drop List'!$G$23:$K$87,4,FALSE),0)</f>
        <v>0</v>
      </c>
      <c r="AJ1669" s="1151">
        <f>IFERROR(VLOOKUP(CONCATENATE($L1669,$N1669),'Drop List'!$G$23:$K$87,5,FALSE),0)</f>
        <v>0</v>
      </c>
      <c r="AK1669" s="1152">
        <f t="shared" si="462"/>
        <v>0</v>
      </c>
      <c r="AL1669" s="1153">
        <f t="shared" si="463"/>
        <v>0</v>
      </c>
      <c r="AM1669" s="1153">
        <f t="shared" si="464"/>
        <v>0</v>
      </c>
      <c r="AN1669" s="1145">
        <f t="shared" si="465"/>
        <v>0</v>
      </c>
      <c r="AO1669" s="1154">
        <f t="shared" si="468"/>
        <v>0</v>
      </c>
      <c r="AP1669" s="1147">
        <f t="shared" si="453"/>
        <v>0</v>
      </c>
      <c r="AQ1669" s="1144">
        <f t="shared" si="454"/>
        <v>0</v>
      </c>
      <c r="AR1669" s="1146">
        <f t="shared" si="455"/>
        <v>0</v>
      </c>
    </row>
    <row r="1670" spans="1:44" x14ac:dyDescent="0.2">
      <c r="A1670" s="1141" t="str">
        <f t="shared" si="467"/>
        <v/>
      </c>
      <c r="B1670" s="1141" t="str">
        <f>IFERROR(VLOOKUP(A1670,'LAC 103'!A:C,3,FALSE),"")</f>
        <v/>
      </c>
      <c r="C1670" s="1478" t="str">
        <f>Info!$B$8</f>
        <v>00100</v>
      </c>
      <c r="D1670" s="1474"/>
      <c r="E1670" s="1474"/>
      <c r="F1670" s="1478"/>
      <c r="G1670" s="1478"/>
      <c r="H1670" s="1474"/>
      <c r="I1670" s="1478"/>
      <c r="J1670" s="1478"/>
      <c r="K1670" s="1475"/>
      <c r="L1670" s="1474"/>
      <c r="M1670" s="1476"/>
      <c r="N1670" s="1477"/>
      <c r="O1670" s="1479"/>
      <c r="P1670" s="1479"/>
      <c r="Q1670" s="1142">
        <f t="shared" si="469"/>
        <v>0</v>
      </c>
      <c r="R1670" s="1143">
        <f>IFERROR(VLOOKUP(CONCATENATE($E1670,$G1670),'LAC 103'!$A$12:$O$95,11,FALSE),0)</f>
        <v>0</v>
      </c>
      <c r="S1670" s="1144">
        <f>IFERROR(VLOOKUP(CONCATENATE($E1670,$G1670),'LAC 103'!$A$12:$O$95,12,FALSE),0)</f>
        <v>0</v>
      </c>
      <c r="T1670" s="1144">
        <f>IFERROR(VLOOKUP(CONCATENATE($E1670,$G1670),'LAC 103'!$A$12:$O$95,13,FALSE),0)</f>
        <v>0</v>
      </c>
      <c r="U1670" s="1144">
        <f>IFERROR(VLOOKUP(CONCATENATE($E1670,$G1670),'LAC 103'!$A$12:$O$95,14,FALSE),0)</f>
        <v>0</v>
      </c>
      <c r="V1670" s="1144">
        <f>IFERROR(VLOOKUP(CONCATENATE($E1670,$G1670),'LAC 103'!$A$12:$O$95,15,FALSE),0)</f>
        <v>0</v>
      </c>
      <c r="W1670" s="1145" t="str">
        <f>IFERROR(VLOOKUP(CONCATENATE($B1670,$N1670),'LAC 103'!$AI:$AQ,9,FALSE),"")</f>
        <v/>
      </c>
      <c r="X1670" s="1146">
        <f t="shared" si="456"/>
        <v>0</v>
      </c>
      <c r="Y1670" s="1143">
        <f t="shared" si="466"/>
        <v>0</v>
      </c>
      <c r="Z1670" s="1147">
        <f t="shared" si="457"/>
        <v>0</v>
      </c>
      <c r="AA1670" s="1144">
        <f t="shared" si="458"/>
        <v>0</v>
      </c>
      <c r="AB1670" s="1144">
        <f t="shared" si="459"/>
        <v>0</v>
      </c>
      <c r="AC1670" s="1144">
        <f t="shared" si="460"/>
        <v>0</v>
      </c>
      <c r="AD1670" s="1148">
        <f t="shared" si="452"/>
        <v>0</v>
      </c>
      <c r="AE1670" s="1487">
        <v>0</v>
      </c>
      <c r="AF1670" s="1145">
        <f t="shared" si="461"/>
        <v>0</v>
      </c>
      <c r="AG1670" s="1149">
        <f>IFERROR(VLOOKUP(CONCATENATE($L1670,$N1670),'Drop List'!$G$23:$K$87,2,FALSE),0)</f>
        <v>0</v>
      </c>
      <c r="AH1670" s="1150">
        <f>IFERROR(VLOOKUP(CONCATENATE($L1670,$N1670),'Drop List'!$G$23:$K$87,3,FALSE),0)</f>
        <v>0</v>
      </c>
      <c r="AI1670" s="1150">
        <f>IFERROR(VLOOKUP(CONCATENATE($L1670,$N1670),'Drop List'!$G$23:$K$87,4,FALSE),0)</f>
        <v>0</v>
      </c>
      <c r="AJ1670" s="1151">
        <f>IFERROR(VLOOKUP(CONCATENATE($L1670,$N1670),'Drop List'!$G$23:$K$87,5,FALSE),0)</f>
        <v>0</v>
      </c>
      <c r="AK1670" s="1152">
        <f t="shared" si="462"/>
        <v>0</v>
      </c>
      <c r="AL1670" s="1153">
        <f t="shared" si="463"/>
        <v>0</v>
      </c>
      <c r="AM1670" s="1153">
        <f t="shared" si="464"/>
        <v>0</v>
      </c>
      <c r="AN1670" s="1145">
        <f t="shared" si="465"/>
        <v>0</v>
      </c>
      <c r="AO1670" s="1154">
        <f t="shared" si="468"/>
        <v>0</v>
      </c>
      <c r="AP1670" s="1147">
        <f t="shared" si="453"/>
        <v>0</v>
      </c>
      <c r="AQ1670" s="1144">
        <f t="shared" si="454"/>
        <v>0</v>
      </c>
      <c r="AR1670" s="1146">
        <f t="shared" si="455"/>
        <v>0</v>
      </c>
    </row>
    <row r="1671" spans="1:44" x14ac:dyDescent="0.2">
      <c r="A1671" s="1141" t="str">
        <f t="shared" si="467"/>
        <v/>
      </c>
      <c r="B1671" s="1141" t="str">
        <f>IFERROR(VLOOKUP(A1671,'LAC 103'!A:C,3,FALSE),"")</f>
        <v/>
      </c>
      <c r="C1671" s="1478" t="str">
        <f>Info!$B$8</f>
        <v>00100</v>
      </c>
      <c r="D1671" s="1474"/>
      <c r="E1671" s="1474"/>
      <c r="F1671" s="1478"/>
      <c r="G1671" s="1478"/>
      <c r="H1671" s="1474"/>
      <c r="I1671" s="1478"/>
      <c r="J1671" s="1478"/>
      <c r="K1671" s="1475"/>
      <c r="L1671" s="1474"/>
      <c r="M1671" s="1476"/>
      <c r="N1671" s="1477"/>
      <c r="O1671" s="1479"/>
      <c r="P1671" s="1479"/>
      <c r="Q1671" s="1142">
        <f t="shared" si="469"/>
        <v>0</v>
      </c>
      <c r="R1671" s="1143">
        <f>IFERROR(VLOOKUP(CONCATENATE($E1671,$G1671),'LAC 103'!$A$12:$O$95,11,FALSE),0)</f>
        <v>0</v>
      </c>
      <c r="S1671" s="1144">
        <f>IFERROR(VLOOKUP(CONCATENATE($E1671,$G1671),'LAC 103'!$A$12:$O$95,12,FALSE),0)</f>
        <v>0</v>
      </c>
      <c r="T1671" s="1144">
        <f>IFERROR(VLOOKUP(CONCATENATE($E1671,$G1671),'LAC 103'!$A$12:$O$95,13,FALSE),0)</f>
        <v>0</v>
      </c>
      <c r="U1671" s="1144">
        <f>IFERROR(VLOOKUP(CONCATENATE($E1671,$G1671),'LAC 103'!$A$12:$O$95,14,FALSE),0)</f>
        <v>0</v>
      </c>
      <c r="V1671" s="1144">
        <f>IFERROR(VLOOKUP(CONCATENATE($E1671,$G1671),'LAC 103'!$A$12:$O$95,15,FALSE),0)</f>
        <v>0</v>
      </c>
      <c r="W1671" s="1145" t="str">
        <f>IFERROR(VLOOKUP(CONCATENATE($B1671,$N1671),'LAC 103'!$AI:$AQ,9,FALSE),"")</f>
        <v/>
      </c>
      <c r="X1671" s="1146">
        <f t="shared" si="456"/>
        <v>0</v>
      </c>
      <c r="Y1671" s="1143">
        <f t="shared" si="466"/>
        <v>0</v>
      </c>
      <c r="Z1671" s="1147">
        <f t="shared" si="457"/>
        <v>0</v>
      </c>
      <c r="AA1671" s="1144">
        <f t="shared" si="458"/>
        <v>0</v>
      </c>
      <c r="AB1671" s="1144">
        <f t="shared" si="459"/>
        <v>0</v>
      </c>
      <c r="AC1671" s="1144">
        <f t="shared" si="460"/>
        <v>0</v>
      </c>
      <c r="AD1671" s="1148">
        <f t="shared" ref="AD1671:AD1734" si="470">Q1671*X1671</f>
        <v>0</v>
      </c>
      <c r="AE1671" s="1487">
        <v>0</v>
      </c>
      <c r="AF1671" s="1145">
        <f t="shared" si="461"/>
        <v>0</v>
      </c>
      <c r="AG1671" s="1149">
        <f>IFERROR(VLOOKUP(CONCATENATE($L1671,$N1671),'Drop List'!$G$23:$K$87,2,FALSE),0)</f>
        <v>0</v>
      </c>
      <c r="AH1671" s="1150">
        <f>IFERROR(VLOOKUP(CONCATENATE($L1671,$N1671),'Drop List'!$G$23:$K$87,3,FALSE),0)</f>
        <v>0</v>
      </c>
      <c r="AI1671" s="1150">
        <f>IFERROR(VLOOKUP(CONCATENATE($L1671,$N1671),'Drop List'!$G$23:$K$87,4,FALSE),0)</f>
        <v>0</v>
      </c>
      <c r="AJ1671" s="1151">
        <f>IFERROR(VLOOKUP(CONCATENATE($L1671,$N1671),'Drop List'!$G$23:$K$87,5,FALSE),0)</f>
        <v>0</v>
      </c>
      <c r="AK1671" s="1152">
        <f t="shared" si="462"/>
        <v>0</v>
      </c>
      <c r="AL1671" s="1153">
        <f t="shared" si="463"/>
        <v>0</v>
      </c>
      <c r="AM1671" s="1153">
        <f t="shared" si="464"/>
        <v>0</v>
      </c>
      <c r="AN1671" s="1145">
        <f t="shared" si="465"/>
        <v>0</v>
      </c>
      <c r="AO1671" s="1154">
        <f t="shared" si="468"/>
        <v>0</v>
      </c>
      <c r="AP1671" s="1147">
        <f t="shared" ref="AP1671:AP1734" si="471">IF($L1671="14",$AF1671,0)</f>
        <v>0</v>
      </c>
      <c r="AQ1671" s="1144">
        <f t="shared" ref="AQ1671:AQ1734" si="472">IF($L1671="15",$AF1671,0)</f>
        <v>0</v>
      </c>
      <c r="AR1671" s="1146">
        <f t="shared" ref="AR1671:AR1734" si="473">AO1671+AP1671+AQ1671</f>
        <v>0</v>
      </c>
    </row>
    <row r="1672" spans="1:44" x14ac:dyDescent="0.2">
      <c r="A1672" s="1141" t="str">
        <f t="shared" si="467"/>
        <v/>
      </c>
      <c r="B1672" s="1141" t="str">
        <f>IFERROR(VLOOKUP(A1672,'LAC 103'!A:C,3,FALSE),"")</f>
        <v/>
      </c>
      <c r="C1672" s="1478" t="str">
        <f>Info!$B$8</f>
        <v>00100</v>
      </c>
      <c r="D1672" s="1474"/>
      <c r="E1672" s="1474"/>
      <c r="F1672" s="1478"/>
      <c r="G1672" s="1478"/>
      <c r="H1672" s="1474"/>
      <c r="I1672" s="1478"/>
      <c r="J1672" s="1478"/>
      <c r="K1672" s="1475"/>
      <c r="L1672" s="1474"/>
      <c r="M1672" s="1476"/>
      <c r="N1672" s="1477"/>
      <c r="O1672" s="1479"/>
      <c r="P1672" s="1479"/>
      <c r="Q1672" s="1142">
        <f t="shared" si="469"/>
        <v>0</v>
      </c>
      <c r="R1672" s="1143">
        <f>IFERROR(VLOOKUP(CONCATENATE($E1672,$G1672),'LAC 103'!$A$12:$O$95,11,FALSE),0)</f>
        <v>0</v>
      </c>
      <c r="S1672" s="1144">
        <f>IFERROR(VLOOKUP(CONCATENATE($E1672,$G1672),'LAC 103'!$A$12:$O$95,12,FALSE),0)</f>
        <v>0</v>
      </c>
      <c r="T1672" s="1144">
        <f>IFERROR(VLOOKUP(CONCATENATE($E1672,$G1672),'LAC 103'!$A$12:$O$95,13,FALSE),0)</f>
        <v>0</v>
      </c>
      <c r="U1672" s="1144">
        <f>IFERROR(VLOOKUP(CONCATENATE($E1672,$G1672),'LAC 103'!$A$12:$O$95,14,FALSE),0)</f>
        <v>0</v>
      </c>
      <c r="V1672" s="1144">
        <f>IFERROR(VLOOKUP(CONCATENATE($E1672,$G1672),'LAC 103'!$A$12:$O$95,15,FALSE),0)</f>
        <v>0</v>
      </c>
      <c r="W1672" s="1145" t="str">
        <f>IFERROR(VLOOKUP(CONCATENATE($B1672,$N1672),'LAC 103'!$AI:$AQ,9,FALSE),"")</f>
        <v/>
      </c>
      <c r="X1672" s="1146">
        <f t="shared" ref="X1672:X1735" si="474">IF($W1672="Costs",$R1672,IF($W1672="CMA",$S1672,IF($W1672="P.C.",$T1672,IF($W1672="SMA",$U1672,$V1672))))</f>
        <v>0</v>
      </c>
      <c r="Y1672" s="1143">
        <f t="shared" si="466"/>
        <v>0</v>
      </c>
      <c r="Z1672" s="1147">
        <f t="shared" ref="Z1672:Z1735" si="475">IF(S1672=0,Y1672,$Q1672*S1672)</f>
        <v>0</v>
      </c>
      <c r="AA1672" s="1144">
        <f t="shared" ref="AA1672:AA1735" si="476">IF(T1672=0,Y1672,$Q1672*T1672)</f>
        <v>0</v>
      </c>
      <c r="AB1672" s="1144">
        <f t="shared" ref="AB1672:AB1735" si="477">$Q1672*U1672</f>
        <v>0</v>
      </c>
      <c r="AC1672" s="1144">
        <f t="shared" ref="AC1672:AC1735" si="478">$Q1672*V1672</f>
        <v>0</v>
      </c>
      <c r="AD1672" s="1148">
        <f t="shared" si="470"/>
        <v>0</v>
      </c>
      <c r="AE1672" s="1487">
        <v>0</v>
      </c>
      <c r="AF1672" s="1145">
        <f t="shared" ref="AF1672:AF1735" si="479">AD1672-AE1672</f>
        <v>0</v>
      </c>
      <c r="AG1672" s="1149">
        <f>IFERROR(VLOOKUP(CONCATENATE($L1672,$N1672),'Drop List'!$G$23:$K$87,2,FALSE),0)</f>
        <v>0</v>
      </c>
      <c r="AH1672" s="1150">
        <f>IFERROR(VLOOKUP(CONCATENATE($L1672,$N1672),'Drop List'!$G$23:$K$87,3,FALSE),0)</f>
        <v>0</v>
      </c>
      <c r="AI1672" s="1150">
        <f>IFERROR(VLOOKUP(CONCATENATE($L1672,$N1672),'Drop List'!$G$23:$K$87,4,FALSE),0)</f>
        <v>0</v>
      </c>
      <c r="AJ1672" s="1151">
        <f>IFERROR(VLOOKUP(CONCATENATE($L1672,$N1672),'Drop List'!$G$23:$K$87,5,FALSE),0)</f>
        <v>0</v>
      </c>
      <c r="AK1672" s="1152">
        <f t="shared" ref="AK1672:AK1735" si="480">IFERROR($AF1672*AG1672,0)</f>
        <v>0</v>
      </c>
      <c r="AL1672" s="1153">
        <f t="shared" ref="AL1672:AL1735" si="481">IFERROR($AF1672*AH1672,0)</f>
        <v>0</v>
      </c>
      <c r="AM1672" s="1153">
        <f t="shared" ref="AM1672:AM1735" si="482">IFERROR($AF1672*AI1672,0)</f>
        <v>0</v>
      </c>
      <c r="AN1672" s="1145">
        <f t="shared" ref="AN1672:AN1735" si="483">IFERROR($AF1672*AJ1672,0)</f>
        <v>0</v>
      </c>
      <c r="AO1672" s="1154">
        <f t="shared" si="468"/>
        <v>0</v>
      </c>
      <c r="AP1672" s="1147">
        <f t="shared" si="471"/>
        <v>0</v>
      </c>
      <c r="AQ1672" s="1144">
        <f t="shared" si="472"/>
        <v>0</v>
      </c>
      <c r="AR1672" s="1146">
        <f t="shared" si="473"/>
        <v>0</v>
      </c>
    </row>
    <row r="1673" spans="1:44" x14ac:dyDescent="0.2">
      <c r="A1673" s="1141" t="str">
        <f t="shared" si="467"/>
        <v/>
      </c>
      <c r="B1673" s="1141" t="str">
        <f>IFERROR(VLOOKUP(A1673,'LAC 103'!A:C,3,FALSE),"")</f>
        <v/>
      </c>
      <c r="C1673" s="1478" t="str">
        <f>Info!$B$8</f>
        <v>00100</v>
      </c>
      <c r="D1673" s="1474"/>
      <c r="E1673" s="1474"/>
      <c r="F1673" s="1478"/>
      <c r="G1673" s="1478"/>
      <c r="H1673" s="1474"/>
      <c r="I1673" s="1478"/>
      <c r="J1673" s="1478"/>
      <c r="K1673" s="1475"/>
      <c r="L1673" s="1474"/>
      <c r="M1673" s="1476"/>
      <c r="N1673" s="1477"/>
      <c r="O1673" s="1479"/>
      <c r="P1673" s="1479"/>
      <c r="Q1673" s="1142">
        <f t="shared" si="469"/>
        <v>0</v>
      </c>
      <c r="R1673" s="1143">
        <f>IFERROR(VLOOKUP(CONCATENATE($E1673,$G1673),'LAC 103'!$A$12:$O$95,11,FALSE),0)</f>
        <v>0</v>
      </c>
      <c r="S1673" s="1144">
        <f>IFERROR(VLOOKUP(CONCATENATE($E1673,$G1673),'LAC 103'!$A$12:$O$95,12,FALSE),0)</f>
        <v>0</v>
      </c>
      <c r="T1673" s="1144">
        <f>IFERROR(VLOOKUP(CONCATENATE($E1673,$G1673),'LAC 103'!$A$12:$O$95,13,FALSE),0)</f>
        <v>0</v>
      </c>
      <c r="U1673" s="1144">
        <f>IFERROR(VLOOKUP(CONCATENATE($E1673,$G1673),'LAC 103'!$A$12:$O$95,14,FALSE),0)</f>
        <v>0</v>
      </c>
      <c r="V1673" s="1144">
        <f>IFERROR(VLOOKUP(CONCATENATE($E1673,$G1673),'LAC 103'!$A$12:$O$95,15,FALSE),0)</f>
        <v>0</v>
      </c>
      <c r="W1673" s="1145" t="str">
        <f>IFERROR(VLOOKUP(CONCATENATE($B1673,$N1673),'LAC 103'!$AI:$AQ,9,FALSE),"")</f>
        <v/>
      </c>
      <c r="X1673" s="1146">
        <f t="shared" si="474"/>
        <v>0</v>
      </c>
      <c r="Y1673" s="1143">
        <f t="shared" si="466"/>
        <v>0</v>
      </c>
      <c r="Z1673" s="1147">
        <f t="shared" si="475"/>
        <v>0</v>
      </c>
      <c r="AA1673" s="1144">
        <f t="shared" si="476"/>
        <v>0</v>
      </c>
      <c r="AB1673" s="1144">
        <f t="shared" si="477"/>
        <v>0</v>
      </c>
      <c r="AC1673" s="1144">
        <f t="shared" si="478"/>
        <v>0</v>
      </c>
      <c r="AD1673" s="1148">
        <f t="shared" si="470"/>
        <v>0</v>
      </c>
      <c r="AE1673" s="1487">
        <v>0</v>
      </c>
      <c r="AF1673" s="1145">
        <f t="shared" si="479"/>
        <v>0</v>
      </c>
      <c r="AG1673" s="1149">
        <f>IFERROR(VLOOKUP(CONCATENATE($L1673,$N1673),'Drop List'!$G$23:$K$87,2,FALSE),0)</f>
        <v>0</v>
      </c>
      <c r="AH1673" s="1150">
        <f>IFERROR(VLOOKUP(CONCATENATE($L1673,$N1673),'Drop List'!$G$23:$K$87,3,FALSE),0)</f>
        <v>0</v>
      </c>
      <c r="AI1673" s="1150">
        <f>IFERROR(VLOOKUP(CONCATENATE($L1673,$N1673),'Drop List'!$G$23:$K$87,4,FALSE),0)</f>
        <v>0</v>
      </c>
      <c r="AJ1673" s="1151">
        <f>IFERROR(VLOOKUP(CONCATENATE($L1673,$N1673),'Drop List'!$G$23:$K$87,5,FALSE),0)</f>
        <v>0</v>
      </c>
      <c r="AK1673" s="1152">
        <f t="shared" si="480"/>
        <v>0</v>
      </c>
      <c r="AL1673" s="1153">
        <f t="shared" si="481"/>
        <v>0</v>
      </c>
      <c r="AM1673" s="1153">
        <f t="shared" si="482"/>
        <v>0</v>
      </c>
      <c r="AN1673" s="1145">
        <f t="shared" si="483"/>
        <v>0</v>
      </c>
      <c r="AO1673" s="1154">
        <f t="shared" si="468"/>
        <v>0</v>
      </c>
      <c r="AP1673" s="1147">
        <f t="shared" si="471"/>
        <v>0</v>
      </c>
      <c r="AQ1673" s="1144">
        <f t="shared" si="472"/>
        <v>0</v>
      </c>
      <c r="AR1673" s="1146">
        <f t="shared" si="473"/>
        <v>0</v>
      </c>
    </row>
    <row r="1674" spans="1:44" x14ac:dyDescent="0.2">
      <c r="A1674" s="1141" t="str">
        <f t="shared" si="467"/>
        <v/>
      </c>
      <c r="B1674" s="1141" t="str">
        <f>IFERROR(VLOOKUP(A1674,'LAC 103'!A:C,3,FALSE),"")</f>
        <v/>
      </c>
      <c r="C1674" s="1478" t="str">
        <f>Info!$B$8</f>
        <v>00100</v>
      </c>
      <c r="D1674" s="1474"/>
      <c r="E1674" s="1474"/>
      <c r="F1674" s="1478"/>
      <c r="G1674" s="1478"/>
      <c r="H1674" s="1474"/>
      <c r="I1674" s="1478"/>
      <c r="J1674" s="1478"/>
      <c r="K1674" s="1475"/>
      <c r="L1674" s="1474"/>
      <c r="M1674" s="1476"/>
      <c r="N1674" s="1477"/>
      <c r="O1674" s="1479"/>
      <c r="P1674" s="1479"/>
      <c r="Q1674" s="1142">
        <f t="shared" si="469"/>
        <v>0</v>
      </c>
      <c r="R1674" s="1143">
        <f>IFERROR(VLOOKUP(CONCATENATE($E1674,$G1674),'LAC 103'!$A$12:$O$95,11,FALSE),0)</f>
        <v>0</v>
      </c>
      <c r="S1674" s="1144">
        <f>IFERROR(VLOOKUP(CONCATENATE($E1674,$G1674),'LAC 103'!$A$12:$O$95,12,FALSE),0)</f>
        <v>0</v>
      </c>
      <c r="T1674" s="1144">
        <f>IFERROR(VLOOKUP(CONCATENATE($E1674,$G1674),'LAC 103'!$A$12:$O$95,13,FALSE),0)</f>
        <v>0</v>
      </c>
      <c r="U1674" s="1144">
        <f>IFERROR(VLOOKUP(CONCATENATE($E1674,$G1674),'LAC 103'!$A$12:$O$95,14,FALSE),0)</f>
        <v>0</v>
      </c>
      <c r="V1674" s="1144">
        <f>IFERROR(VLOOKUP(CONCATENATE($E1674,$G1674),'LAC 103'!$A$12:$O$95,15,FALSE),0)</f>
        <v>0</v>
      </c>
      <c r="W1674" s="1145" t="str">
        <f>IFERROR(VLOOKUP(CONCATENATE($B1674,$N1674),'LAC 103'!$AI:$AQ,9,FALSE),"")</f>
        <v/>
      </c>
      <c r="X1674" s="1146">
        <f t="shared" si="474"/>
        <v>0</v>
      </c>
      <c r="Y1674" s="1143">
        <f t="shared" ref="Y1674:Y1737" si="484">$Q1674*R1674</f>
        <v>0</v>
      </c>
      <c r="Z1674" s="1147">
        <f t="shared" si="475"/>
        <v>0</v>
      </c>
      <c r="AA1674" s="1144">
        <f t="shared" si="476"/>
        <v>0</v>
      </c>
      <c r="AB1674" s="1144">
        <f t="shared" si="477"/>
        <v>0</v>
      </c>
      <c r="AC1674" s="1144">
        <f t="shared" si="478"/>
        <v>0</v>
      </c>
      <c r="AD1674" s="1148">
        <f t="shared" si="470"/>
        <v>0</v>
      </c>
      <c r="AE1674" s="1487">
        <v>0</v>
      </c>
      <c r="AF1674" s="1145">
        <f t="shared" si="479"/>
        <v>0</v>
      </c>
      <c r="AG1674" s="1149">
        <f>IFERROR(VLOOKUP(CONCATENATE($L1674,$N1674),'Drop List'!$G$23:$K$87,2,FALSE),0)</f>
        <v>0</v>
      </c>
      <c r="AH1674" s="1150">
        <f>IFERROR(VLOOKUP(CONCATENATE($L1674,$N1674),'Drop List'!$G$23:$K$87,3,FALSE),0)</f>
        <v>0</v>
      </c>
      <c r="AI1674" s="1150">
        <f>IFERROR(VLOOKUP(CONCATENATE($L1674,$N1674),'Drop List'!$G$23:$K$87,4,FALSE),0)</f>
        <v>0</v>
      </c>
      <c r="AJ1674" s="1151">
        <f>IFERROR(VLOOKUP(CONCATENATE($L1674,$N1674),'Drop List'!$G$23:$K$87,5,FALSE),0)</f>
        <v>0</v>
      </c>
      <c r="AK1674" s="1152">
        <f t="shared" si="480"/>
        <v>0</v>
      </c>
      <c r="AL1674" s="1153">
        <f t="shared" si="481"/>
        <v>0</v>
      </c>
      <c r="AM1674" s="1153">
        <f t="shared" si="482"/>
        <v>0</v>
      </c>
      <c r="AN1674" s="1145">
        <f t="shared" si="483"/>
        <v>0</v>
      </c>
      <c r="AO1674" s="1154">
        <f t="shared" si="468"/>
        <v>0</v>
      </c>
      <c r="AP1674" s="1147">
        <f t="shared" si="471"/>
        <v>0</v>
      </c>
      <c r="AQ1674" s="1144">
        <f t="shared" si="472"/>
        <v>0</v>
      </c>
      <c r="AR1674" s="1146">
        <f t="shared" si="473"/>
        <v>0</v>
      </c>
    </row>
    <row r="1675" spans="1:44" x14ac:dyDescent="0.2">
      <c r="A1675" s="1141" t="str">
        <f t="shared" si="467"/>
        <v/>
      </c>
      <c r="B1675" s="1141" t="str">
        <f>IFERROR(VLOOKUP(A1675,'LAC 103'!A:C,3,FALSE),"")</f>
        <v/>
      </c>
      <c r="C1675" s="1478" t="str">
        <f>Info!$B$8</f>
        <v>00100</v>
      </c>
      <c r="D1675" s="1474"/>
      <c r="E1675" s="1474"/>
      <c r="F1675" s="1478"/>
      <c r="G1675" s="1478"/>
      <c r="H1675" s="1474"/>
      <c r="I1675" s="1478"/>
      <c r="J1675" s="1478"/>
      <c r="K1675" s="1475"/>
      <c r="L1675" s="1474"/>
      <c r="M1675" s="1476"/>
      <c r="N1675" s="1477"/>
      <c r="O1675" s="1479"/>
      <c r="P1675" s="1479"/>
      <c r="Q1675" s="1142">
        <f t="shared" si="469"/>
        <v>0</v>
      </c>
      <c r="R1675" s="1143">
        <f>IFERROR(VLOOKUP(CONCATENATE($E1675,$G1675),'LAC 103'!$A$12:$O$95,11,FALSE),0)</f>
        <v>0</v>
      </c>
      <c r="S1675" s="1144">
        <f>IFERROR(VLOOKUP(CONCATENATE($E1675,$G1675),'LAC 103'!$A$12:$O$95,12,FALSE),0)</f>
        <v>0</v>
      </c>
      <c r="T1675" s="1144">
        <f>IFERROR(VLOOKUP(CONCATENATE($E1675,$G1675),'LAC 103'!$A$12:$O$95,13,FALSE),0)</f>
        <v>0</v>
      </c>
      <c r="U1675" s="1144">
        <f>IFERROR(VLOOKUP(CONCATENATE($E1675,$G1675),'LAC 103'!$A$12:$O$95,14,FALSE),0)</f>
        <v>0</v>
      </c>
      <c r="V1675" s="1144">
        <f>IFERROR(VLOOKUP(CONCATENATE($E1675,$G1675),'LAC 103'!$A$12:$O$95,15,FALSE),0)</f>
        <v>0</v>
      </c>
      <c r="W1675" s="1145" t="str">
        <f>IFERROR(VLOOKUP(CONCATENATE($B1675,$N1675),'LAC 103'!$AI:$AQ,9,FALSE),"")</f>
        <v/>
      </c>
      <c r="X1675" s="1146">
        <f t="shared" si="474"/>
        <v>0</v>
      </c>
      <c r="Y1675" s="1143">
        <f t="shared" si="484"/>
        <v>0</v>
      </c>
      <c r="Z1675" s="1147">
        <f t="shared" si="475"/>
        <v>0</v>
      </c>
      <c r="AA1675" s="1144">
        <f t="shared" si="476"/>
        <v>0</v>
      </c>
      <c r="AB1675" s="1144">
        <f t="shared" si="477"/>
        <v>0</v>
      </c>
      <c r="AC1675" s="1144">
        <f t="shared" si="478"/>
        <v>0</v>
      </c>
      <c r="AD1675" s="1148">
        <f t="shared" si="470"/>
        <v>0</v>
      </c>
      <c r="AE1675" s="1487">
        <v>0</v>
      </c>
      <c r="AF1675" s="1145">
        <f t="shared" si="479"/>
        <v>0</v>
      </c>
      <c r="AG1675" s="1149">
        <f>IFERROR(VLOOKUP(CONCATENATE($L1675,$N1675),'Drop List'!$G$23:$K$87,2,FALSE),0)</f>
        <v>0</v>
      </c>
      <c r="AH1675" s="1150">
        <f>IFERROR(VLOOKUP(CONCATENATE($L1675,$N1675),'Drop List'!$G$23:$K$87,3,FALSE),0)</f>
        <v>0</v>
      </c>
      <c r="AI1675" s="1150">
        <f>IFERROR(VLOOKUP(CONCATENATE($L1675,$N1675),'Drop List'!$G$23:$K$87,4,FALSE),0)</f>
        <v>0</v>
      </c>
      <c r="AJ1675" s="1151">
        <f>IFERROR(VLOOKUP(CONCATENATE($L1675,$N1675),'Drop List'!$G$23:$K$87,5,FALSE),0)</f>
        <v>0</v>
      </c>
      <c r="AK1675" s="1152">
        <f t="shared" si="480"/>
        <v>0</v>
      </c>
      <c r="AL1675" s="1153">
        <f t="shared" si="481"/>
        <v>0</v>
      </c>
      <c r="AM1675" s="1153">
        <f t="shared" si="482"/>
        <v>0</v>
      </c>
      <c r="AN1675" s="1145">
        <f t="shared" si="483"/>
        <v>0</v>
      </c>
      <c r="AO1675" s="1154">
        <f t="shared" si="468"/>
        <v>0</v>
      </c>
      <c r="AP1675" s="1147">
        <f t="shared" si="471"/>
        <v>0</v>
      </c>
      <c r="AQ1675" s="1144">
        <f t="shared" si="472"/>
        <v>0</v>
      </c>
      <c r="AR1675" s="1146">
        <f t="shared" si="473"/>
        <v>0</v>
      </c>
    </row>
    <row r="1676" spans="1:44" x14ac:dyDescent="0.2">
      <c r="A1676" s="1141" t="str">
        <f t="shared" si="467"/>
        <v/>
      </c>
      <c r="B1676" s="1141" t="str">
        <f>IFERROR(VLOOKUP(A1676,'LAC 103'!A:C,3,FALSE),"")</f>
        <v/>
      </c>
      <c r="C1676" s="1478" t="str">
        <f>Info!$B$8</f>
        <v>00100</v>
      </c>
      <c r="D1676" s="1474"/>
      <c r="E1676" s="1474"/>
      <c r="F1676" s="1478"/>
      <c r="G1676" s="1478"/>
      <c r="H1676" s="1474"/>
      <c r="I1676" s="1478"/>
      <c r="J1676" s="1478"/>
      <c r="K1676" s="1475"/>
      <c r="L1676" s="1474"/>
      <c r="M1676" s="1476"/>
      <c r="N1676" s="1477"/>
      <c r="O1676" s="1479"/>
      <c r="P1676" s="1479"/>
      <c r="Q1676" s="1142">
        <f t="shared" si="469"/>
        <v>0</v>
      </c>
      <c r="R1676" s="1143">
        <f>IFERROR(VLOOKUP(CONCATENATE($E1676,$G1676),'LAC 103'!$A$12:$O$95,11,FALSE),0)</f>
        <v>0</v>
      </c>
      <c r="S1676" s="1144">
        <f>IFERROR(VLOOKUP(CONCATENATE($E1676,$G1676),'LAC 103'!$A$12:$O$95,12,FALSE),0)</f>
        <v>0</v>
      </c>
      <c r="T1676" s="1144">
        <f>IFERROR(VLOOKUP(CONCATENATE($E1676,$G1676),'LAC 103'!$A$12:$O$95,13,FALSE),0)</f>
        <v>0</v>
      </c>
      <c r="U1676" s="1144">
        <f>IFERROR(VLOOKUP(CONCATENATE($E1676,$G1676),'LAC 103'!$A$12:$O$95,14,FALSE),0)</f>
        <v>0</v>
      </c>
      <c r="V1676" s="1144">
        <f>IFERROR(VLOOKUP(CONCATENATE($E1676,$G1676),'LAC 103'!$A$12:$O$95,15,FALSE),0)</f>
        <v>0</v>
      </c>
      <c r="W1676" s="1145" t="str">
        <f>IFERROR(VLOOKUP(CONCATENATE($B1676,$N1676),'LAC 103'!$AI:$AQ,9,FALSE),"")</f>
        <v/>
      </c>
      <c r="X1676" s="1146">
        <f t="shared" si="474"/>
        <v>0</v>
      </c>
      <c r="Y1676" s="1143">
        <f t="shared" si="484"/>
        <v>0</v>
      </c>
      <c r="Z1676" s="1147">
        <f t="shared" si="475"/>
        <v>0</v>
      </c>
      <c r="AA1676" s="1144">
        <f t="shared" si="476"/>
        <v>0</v>
      </c>
      <c r="AB1676" s="1144">
        <f t="shared" si="477"/>
        <v>0</v>
      </c>
      <c r="AC1676" s="1144">
        <f t="shared" si="478"/>
        <v>0</v>
      </c>
      <c r="AD1676" s="1148">
        <f t="shared" si="470"/>
        <v>0</v>
      </c>
      <c r="AE1676" s="1487">
        <v>0</v>
      </c>
      <c r="AF1676" s="1145">
        <f t="shared" si="479"/>
        <v>0</v>
      </c>
      <c r="AG1676" s="1149">
        <f>IFERROR(VLOOKUP(CONCATENATE($L1676,$N1676),'Drop List'!$G$23:$K$87,2,FALSE),0)</f>
        <v>0</v>
      </c>
      <c r="AH1676" s="1150">
        <f>IFERROR(VLOOKUP(CONCATENATE($L1676,$N1676),'Drop List'!$G$23:$K$87,3,FALSE),0)</f>
        <v>0</v>
      </c>
      <c r="AI1676" s="1150">
        <f>IFERROR(VLOOKUP(CONCATENATE($L1676,$N1676),'Drop List'!$G$23:$K$87,4,FALSE),0)</f>
        <v>0</v>
      </c>
      <c r="AJ1676" s="1151">
        <f>IFERROR(VLOOKUP(CONCATENATE($L1676,$N1676),'Drop List'!$G$23:$K$87,5,FALSE),0)</f>
        <v>0</v>
      </c>
      <c r="AK1676" s="1152">
        <f t="shared" si="480"/>
        <v>0</v>
      </c>
      <c r="AL1676" s="1153">
        <f t="shared" si="481"/>
        <v>0</v>
      </c>
      <c r="AM1676" s="1153">
        <f t="shared" si="482"/>
        <v>0</v>
      </c>
      <c r="AN1676" s="1145">
        <f t="shared" si="483"/>
        <v>0</v>
      </c>
      <c r="AO1676" s="1154">
        <f t="shared" si="468"/>
        <v>0</v>
      </c>
      <c r="AP1676" s="1147">
        <f t="shared" si="471"/>
        <v>0</v>
      </c>
      <c r="AQ1676" s="1144">
        <f t="shared" si="472"/>
        <v>0</v>
      </c>
      <c r="AR1676" s="1146">
        <f t="shared" si="473"/>
        <v>0</v>
      </c>
    </row>
    <row r="1677" spans="1:44" x14ac:dyDescent="0.2">
      <c r="A1677" s="1141" t="str">
        <f t="shared" si="467"/>
        <v/>
      </c>
      <c r="B1677" s="1141" t="str">
        <f>IFERROR(VLOOKUP(A1677,'LAC 103'!A:C,3,FALSE),"")</f>
        <v/>
      </c>
      <c r="C1677" s="1478" t="str">
        <f>Info!$B$8</f>
        <v>00100</v>
      </c>
      <c r="D1677" s="1474"/>
      <c r="E1677" s="1474"/>
      <c r="F1677" s="1478"/>
      <c r="G1677" s="1478"/>
      <c r="H1677" s="1474"/>
      <c r="I1677" s="1478"/>
      <c r="J1677" s="1478"/>
      <c r="K1677" s="1475"/>
      <c r="L1677" s="1474"/>
      <c r="M1677" s="1476"/>
      <c r="N1677" s="1477"/>
      <c r="O1677" s="1479"/>
      <c r="P1677" s="1479"/>
      <c r="Q1677" s="1142">
        <f t="shared" si="469"/>
        <v>0</v>
      </c>
      <c r="R1677" s="1143">
        <f>IFERROR(VLOOKUP(CONCATENATE($E1677,$G1677),'LAC 103'!$A$12:$O$95,11,FALSE),0)</f>
        <v>0</v>
      </c>
      <c r="S1677" s="1144">
        <f>IFERROR(VLOOKUP(CONCATENATE($E1677,$G1677),'LAC 103'!$A$12:$O$95,12,FALSE),0)</f>
        <v>0</v>
      </c>
      <c r="T1677" s="1144">
        <f>IFERROR(VLOOKUP(CONCATENATE($E1677,$G1677),'LAC 103'!$A$12:$O$95,13,FALSE),0)</f>
        <v>0</v>
      </c>
      <c r="U1677" s="1144">
        <f>IFERROR(VLOOKUP(CONCATENATE($E1677,$G1677),'LAC 103'!$A$12:$O$95,14,FALSE),0)</f>
        <v>0</v>
      </c>
      <c r="V1677" s="1144">
        <f>IFERROR(VLOOKUP(CONCATENATE($E1677,$G1677),'LAC 103'!$A$12:$O$95,15,FALSE),0)</f>
        <v>0</v>
      </c>
      <c r="W1677" s="1145" t="str">
        <f>IFERROR(VLOOKUP(CONCATENATE($B1677,$N1677),'LAC 103'!$AI:$AQ,9,FALSE),"")</f>
        <v/>
      </c>
      <c r="X1677" s="1146">
        <f t="shared" si="474"/>
        <v>0</v>
      </c>
      <c r="Y1677" s="1143">
        <f t="shared" si="484"/>
        <v>0</v>
      </c>
      <c r="Z1677" s="1147">
        <f t="shared" si="475"/>
        <v>0</v>
      </c>
      <c r="AA1677" s="1144">
        <f t="shared" si="476"/>
        <v>0</v>
      </c>
      <c r="AB1677" s="1144">
        <f t="shared" si="477"/>
        <v>0</v>
      </c>
      <c r="AC1677" s="1144">
        <f t="shared" si="478"/>
        <v>0</v>
      </c>
      <c r="AD1677" s="1148">
        <f t="shared" si="470"/>
        <v>0</v>
      </c>
      <c r="AE1677" s="1487">
        <v>0</v>
      </c>
      <c r="AF1677" s="1145">
        <f t="shared" si="479"/>
        <v>0</v>
      </c>
      <c r="AG1677" s="1149">
        <f>IFERROR(VLOOKUP(CONCATENATE($L1677,$N1677),'Drop List'!$G$23:$K$87,2,FALSE),0)</f>
        <v>0</v>
      </c>
      <c r="AH1677" s="1150">
        <f>IFERROR(VLOOKUP(CONCATENATE($L1677,$N1677),'Drop List'!$G$23:$K$87,3,FALSE),0)</f>
        <v>0</v>
      </c>
      <c r="AI1677" s="1150">
        <f>IFERROR(VLOOKUP(CONCATENATE($L1677,$N1677),'Drop List'!$G$23:$K$87,4,FALSE),0)</f>
        <v>0</v>
      </c>
      <c r="AJ1677" s="1151">
        <f>IFERROR(VLOOKUP(CONCATENATE($L1677,$N1677),'Drop List'!$G$23:$K$87,5,FALSE),0)</f>
        <v>0</v>
      </c>
      <c r="AK1677" s="1152">
        <f t="shared" si="480"/>
        <v>0</v>
      </c>
      <c r="AL1677" s="1153">
        <f t="shared" si="481"/>
        <v>0</v>
      </c>
      <c r="AM1677" s="1153">
        <f t="shared" si="482"/>
        <v>0</v>
      </c>
      <c r="AN1677" s="1145">
        <f t="shared" si="483"/>
        <v>0</v>
      </c>
      <c r="AO1677" s="1154">
        <f t="shared" si="468"/>
        <v>0</v>
      </c>
      <c r="AP1677" s="1147">
        <f t="shared" si="471"/>
        <v>0</v>
      </c>
      <c r="AQ1677" s="1144">
        <f t="shared" si="472"/>
        <v>0</v>
      </c>
      <c r="AR1677" s="1146">
        <f t="shared" si="473"/>
        <v>0</v>
      </c>
    </row>
    <row r="1678" spans="1:44" x14ac:dyDescent="0.2">
      <c r="A1678" s="1141" t="str">
        <f t="shared" si="467"/>
        <v/>
      </c>
      <c r="B1678" s="1141" t="str">
        <f>IFERROR(VLOOKUP(A1678,'LAC 103'!A:C,3,FALSE),"")</f>
        <v/>
      </c>
      <c r="C1678" s="1478" t="str">
        <f>Info!$B$8</f>
        <v>00100</v>
      </c>
      <c r="D1678" s="1474"/>
      <c r="E1678" s="1474"/>
      <c r="F1678" s="1478"/>
      <c r="G1678" s="1478"/>
      <c r="H1678" s="1474"/>
      <c r="I1678" s="1478"/>
      <c r="J1678" s="1478"/>
      <c r="K1678" s="1475"/>
      <c r="L1678" s="1474"/>
      <c r="M1678" s="1476"/>
      <c r="N1678" s="1477"/>
      <c r="O1678" s="1479"/>
      <c r="P1678" s="1479"/>
      <c r="Q1678" s="1142">
        <f t="shared" si="469"/>
        <v>0</v>
      </c>
      <c r="R1678" s="1143">
        <f>IFERROR(VLOOKUP(CONCATENATE($E1678,$G1678),'LAC 103'!$A$12:$O$95,11,FALSE),0)</f>
        <v>0</v>
      </c>
      <c r="S1678" s="1144">
        <f>IFERROR(VLOOKUP(CONCATENATE($E1678,$G1678),'LAC 103'!$A$12:$O$95,12,FALSE),0)</f>
        <v>0</v>
      </c>
      <c r="T1678" s="1144">
        <f>IFERROR(VLOOKUP(CONCATENATE($E1678,$G1678),'LAC 103'!$A$12:$O$95,13,FALSE),0)</f>
        <v>0</v>
      </c>
      <c r="U1678" s="1144">
        <f>IFERROR(VLOOKUP(CONCATENATE($E1678,$G1678),'LAC 103'!$A$12:$O$95,14,FALSE),0)</f>
        <v>0</v>
      </c>
      <c r="V1678" s="1144">
        <f>IFERROR(VLOOKUP(CONCATENATE($E1678,$G1678),'LAC 103'!$A$12:$O$95,15,FALSE),0)</f>
        <v>0</v>
      </c>
      <c r="W1678" s="1145" t="str">
        <f>IFERROR(VLOOKUP(CONCATENATE($B1678,$N1678),'LAC 103'!$AI:$AQ,9,FALSE),"")</f>
        <v/>
      </c>
      <c r="X1678" s="1146">
        <f t="shared" si="474"/>
        <v>0</v>
      </c>
      <c r="Y1678" s="1143">
        <f t="shared" si="484"/>
        <v>0</v>
      </c>
      <c r="Z1678" s="1147">
        <f t="shared" si="475"/>
        <v>0</v>
      </c>
      <c r="AA1678" s="1144">
        <f t="shared" si="476"/>
        <v>0</v>
      </c>
      <c r="AB1678" s="1144">
        <f t="shared" si="477"/>
        <v>0</v>
      </c>
      <c r="AC1678" s="1144">
        <f t="shared" si="478"/>
        <v>0</v>
      </c>
      <c r="AD1678" s="1148">
        <f t="shared" si="470"/>
        <v>0</v>
      </c>
      <c r="AE1678" s="1487">
        <v>0</v>
      </c>
      <c r="AF1678" s="1145">
        <f t="shared" si="479"/>
        <v>0</v>
      </c>
      <c r="AG1678" s="1149">
        <f>IFERROR(VLOOKUP(CONCATENATE($L1678,$N1678),'Drop List'!$G$23:$K$87,2,FALSE),0)</f>
        <v>0</v>
      </c>
      <c r="AH1678" s="1150">
        <f>IFERROR(VLOOKUP(CONCATENATE($L1678,$N1678),'Drop List'!$G$23:$K$87,3,FALSE),0)</f>
        <v>0</v>
      </c>
      <c r="AI1678" s="1150">
        <f>IFERROR(VLOOKUP(CONCATENATE($L1678,$N1678),'Drop List'!$G$23:$K$87,4,FALSE),0)</f>
        <v>0</v>
      </c>
      <c r="AJ1678" s="1151">
        <f>IFERROR(VLOOKUP(CONCATENATE($L1678,$N1678),'Drop List'!$G$23:$K$87,5,FALSE),0)</f>
        <v>0</v>
      </c>
      <c r="AK1678" s="1152">
        <f t="shared" si="480"/>
        <v>0</v>
      </c>
      <c r="AL1678" s="1153">
        <f t="shared" si="481"/>
        <v>0</v>
      </c>
      <c r="AM1678" s="1153">
        <f t="shared" si="482"/>
        <v>0</v>
      </c>
      <c r="AN1678" s="1145">
        <f t="shared" si="483"/>
        <v>0</v>
      </c>
      <c r="AO1678" s="1154">
        <f t="shared" si="468"/>
        <v>0</v>
      </c>
      <c r="AP1678" s="1147">
        <f t="shared" si="471"/>
        <v>0</v>
      </c>
      <c r="AQ1678" s="1144">
        <f t="shared" si="472"/>
        <v>0</v>
      </c>
      <c r="AR1678" s="1146">
        <f t="shared" si="473"/>
        <v>0</v>
      </c>
    </row>
    <row r="1679" spans="1:44" x14ac:dyDescent="0.2">
      <c r="A1679" s="1141" t="str">
        <f t="shared" si="467"/>
        <v/>
      </c>
      <c r="B1679" s="1141" t="str">
        <f>IFERROR(VLOOKUP(A1679,'LAC 103'!A:C,3,FALSE),"")</f>
        <v/>
      </c>
      <c r="C1679" s="1478" t="str">
        <f>Info!$B$8</f>
        <v>00100</v>
      </c>
      <c r="D1679" s="1474"/>
      <c r="E1679" s="1474"/>
      <c r="F1679" s="1478"/>
      <c r="G1679" s="1478"/>
      <c r="H1679" s="1474"/>
      <c r="I1679" s="1478"/>
      <c r="J1679" s="1478"/>
      <c r="K1679" s="1475"/>
      <c r="L1679" s="1474"/>
      <c r="M1679" s="1476"/>
      <c r="N1679" s="1477"/>
      <c r="O1679" s="1479"/>
      <c r="P1679" s="1479"/>
      <c r="Q1679" s="1142">
        <f t="shared" si="469"/>
        <v>0</v>
      </c>
      <c r="R1679" s="1143">
        <f>IFERROR(VLOOKUP(CONCATENATE($E1679,$G1679),'LAC 103'!$A$12:$O$95,11,FALSE),0)</f>
        <v>0</v>
      </c>
      <c r="S1679" s="1144">
        <f>IFERROR(VLOOKUP(CONCATENATE($E1679,$G1679),'LAC 103'!$A$12:$O$95,12,FALSE),0)</f>
        <v>0</v>
      </c>
      <c r="T1679" s="1144">
        <f>IFERROR(VLOOKUP(CONCATENATE($E1679,$G1679),'LAC 103'!$A$12:$O$95,13,FALSE),0)</f>
        <v>0</v>
      </c>
      <c r="U1679" s="1144">
        <f>IFERROR(VLOOKUP(CONCATENATE($E1679,$G1679),'LAC 103'!$A$12:$O$95,14,FALSE),0)</f>
        <v>0</v>
      </c>
      <c r="V1679" s="1144">
        <f>IFERROR(VLOOKUP(CONCATENATE($E1679,$G1679),'LAC 103'!$A$12:$O$95,15,FALSE),0)</f>
        <v>0</v>
      </c>
      <c r="W1679" s="1145" t="str">
        <f>IFERROR(VLOOKUP(CONCATENATE($B1679,$N1679),'LAC 103'!$AI:$AQ,9,FALSE),"")</f>
        <v/>
      </c>
      <c r="X1679" s="1146">
        <f t="shared" si="474"/>
        <v>0</v>
      </c>
      <c r="Y1679" s="1143">
        <f t="shared" si="484"/>
        <v>0</v>
      </c>
      <c r="Z1679" s="1147">
        <f t="shared" si="475"/>
        <v>0</v>
      </c>
      <c r="AA1679" s="1144">
        <f t="shared" si="476"/>
        <v>0</v>
      </c>
      <c r="AB1679" s="1144">
        <f t="shared" si="477"/>
        <v>0</v>
      </c>
      <c r="AC1679" s="1144">
        <f t="shared" si="478"/>
        <v>0</v>
      </c>
      <c r="AD1679" s="1148">
        <f t="shared" si="470"/>
        <v>0</v>
      </c>
      <c r="AE1679" s="1487">
        <v>0</v>
      </c>
      <c r="AF1679" s="1145">
        <f t="shared" si="479"/>
        <v>0</v>
      </c>
      <c r="AG1679" s="1149">
        <f>IFERROR(VLOOKUP(CONCATENATE($L1679,$N1679),'Drop List'!$G$23:$K$87,2,FALSE),0)</f>
        <v>0</v>
      </c>
      <c r="AH1679" s="1150">
        <f>IFERROR(VLOOKUP(CONCATENATE($L1679,$N1679),'Drop List'!$G$23:$K$87,3,FALSE),0)</f>
        <v>0</v>
      </c>
      <c r="AI1679" s="1150">
        <f>IFERROR(VLOOKUP(CONCATENATE($L1679,$N1679),'Drop List'!$G$23:$K$87,4,FALSE),0)</f>
        <v>0</v>
      </c>
      <c r="AJ1679" s="1151">
        <f>IFERROR(VLOOKUP(CONCATENATE($L1679,$N1679),'Drop List'!$G$23:$K$87,5,FALSE),0)</f>
        <v>0</v>
      </c>
      <c r="AK1679" s="1152">
        <f t="shared" si="480"/>
        <v>0</v>
      </c>
      <c r="AL1679" s="1153">
        <f t="shared" si="481"/>
        <v>0</v>
      </c>
      <c r="AM1679" s="1153">
        <f t="shared" si="482"/>
        <v>0</v>
      </c>
      <c r="AN1679" s="1145">
        <f t="shared" si="483"/>
        <v>0</v>
      </c>
      <c r="AO1679" s="1154">
        <f t="shared" si="468"/>
        <v>0</v>
      </c>
      <c r="AP1679" s="1147">
        <f t="shared" si="471"/>
        <v>0</v>
      </c>
      <c r="AQ1679" s="1144">
        <f t="shared" si="472"/>
        <v>0</v>
      </c>
      <c r="AR1679" s="1146">
        <f t="shared" si="473"/>
        <v>0</v>
      </c>
    </row>
    <row r="1680" spans="1:44" x14ac:dyDescent="0.2">
      <c r="A1680" s="1141" t="str">
        <f t="shared" si="467"/>
        <v/>
      </c>
      <c r="B1680" s="1141" t="str">
        <f>IFERROR(VLOOKUP(A1680,'LAC 103'!A:C,3,FALSE),"")</f>
        <v/>
      </c>
      <c r="C1680" s="1478" t="str">
        <f>Info!$B$8</f>
        <v>00100</v>
      </c>
      <c r="D1680" s="1474"/>
      <c r="E1680" s="1474"/>
      <c r="F1680" s="1478"/>
      <c r="G1680" s="1478"/>
      <c r="H1680" s="1474"/>
      <c r="I1680" s="1478"/>
      <c r="J1680" s="1478"/>
      <c r="K1680" s="1475"/>
      <c r="L1680" s="1474"/>
      <c r="M1680" s="1476"/>
      <c r="N1680" s="1477"/>
      <c r="O1680" s="1479"/>
      <c r="P1680" s="1479"/>
      <c r="Q1680" s="1142">
        <f t="shared" si="469"/>
        <v>0</v>
      </c>
      <c r="R1680" s="1143">
        <f>IFERROR(VLOOKUP(CONCATENATE($E1680,$G1680),'LAC 103'!$A$12:$O$95,11,FALSE),0)</f>
        <v>0</v>
      </c>
      <c r="S1680" s="1144">
        <f>IFERROR(VLOOKUP(CONCATENATE($E1680,$G1680),'LAC 103'!$A$12:$O$95,12,FALSE),0)</f>
        <v>0</v>
      </c>
      <c r="T1680" s="1144">
        <f>IFERROR(VLOOKUP(CONCATENATE($E1680,$G1680),'LAC 103'!$A$12:$O$95,13,FALSE),0)</f>
        <v>0</v>
      </c>
      <c r="U1680" s="1144">
        <f>IFERROR(VLOOKUP(CONCATENATE($E1680,$G1680),'LAC 103'!$A$12:$O$95,14,FALSE),0)</f>
        <v>0</v>
      </c>
      <c r="V1680" s="1144">
        <f>IFERROR(VLOOKUP(CONCATENATE($E1680,$G1680),'LAC 103'!$A$12:$O$95,15,FALSE),0)</f>
        <v>0</v>
      </c>
      <c r="W1680" s="1145" t="str">
        <f>IFERROR(VLOOKUP(CONCATENATE($B1680,$N1680),'LAC 103'!$AI:$AQ,9,FALSE),"")</f>
        <v/>
      </c>
      <c r="X1680" s="1146">
        <f t="shared" si="474"/>
        <v>0</v>
      </c>
      <c r="Y1680" s="1143">
        <f t="shared" si="484"/>
        <v>0</v>
      </c>
      <c r="Z1680" s="1147">
        <f t="shared" si="475"/>
        <v>0</v>
      </c>
      <c r="AA1680" s="1144">
        <f t="shared" si="476"/>
        <v>0</v>
      </c>
      <c r="AB1680" s="1144">
        <f t="shared" si="477"/>
        <v>0</v>
      </c>
      <c r="AC1680" s="1144">
        <f t="shared" si="478"/>
        <v>0</v>
      </c>
      <c r="AD1680" s="1148">
        <f t="shared" si="470"/>
        <v>0</v>
      </c>
      <c r="AE1680" s="1487">
        <v>0</v>
      </c>
      <c r="AF1680" s="1145">
        <f t="shared" si="479"/>
        <v>0</v>
      </c>
      <c r="AG1680" s="1149">
        <f>IFERROR(VLOOKUP(CONCATENATE($L1680,$N1680),'Drop List'!$G$23:$K$87,2,FALSE),0)</f>
        <v>0</v>
      </c>
      <c r="AH1680" s="1150">
        <f>IFERROR(VLOOKUP(CONCATENATE($L1680,$N1680),'Drop List'!$G$23:$K$87,3,FALSE),0)</f>
        <v>0</v>
      </c>
      <c r="AI1680" s="1150">
        <f>IFERROR(VLOOKUP(CONCATENATE($L1680,$N1680),'Drop List'!$G$23:$K$87,4,FALSE),0)</f>
        <v>0</v>
      </c>
      <c r="AJ1680" s="1151">
        <f>IFERROR(VLOOKUP(CONCATENATE($L1680,$N1680),'Drop List'!$G$23:$K$87,5,FALSE),0)</f>
        <v>0</v>
      </c>
      <c r="AK1680" s="1152">
        <f t="shared" si="480"/>
        <v>0</v>
      </c>
      <c r="AL1680" s="1153">
        <f t="shared" si="481"/>
        <v>0</v>
      </c>
      <c r="AM1680" s="1153">
        <f t="shared" si="482"/>
        <v>0</v>
      </c>
      <c r="AN1680" s="1145">
        <f t="shared" si="483"/>
        <v>0</v>
      </c>
      <c r="AO1680" s="1154">
        <f t="shared" si="468"/>
        <v>0</v>
      </c>
      <c r="AP1680" s="1147">
        <f t="shared" si="471"/>
        <v>0</v>
      </c>
      <c r="AQ1680" s="1144">
        <f t="shared" si="472"/>
        <v>0</v>
      </c>
      <c r="AR1680" s="1146">
        <f t="shared" si="473"/>
        <v>0</v>
      </c>
    </row>
    <row r="1681" spans="1:44" x14ac:dyDescent="0.2">
      <c r="A1681" s="1141" t="str">
        <f t="shared" si="467"/>
        <v/>
      </c>
      <c r="B1681" s="1141" t="str">
        <f>IFERROR(VLOOKUP(A1681,'LAC 103'!A:C,3,FALSE),"")</f>
        <v/>
      </c>
      <c r="C1681" s="1478" t="str">
        <f>Info!$B$8</f>
        <v>00100</v>
      </c>
      <c r="D1681" s="1474"/>
      <c r="E1681" s="1474"/>
      <c r="F1681" s="1478"/>
      <c r="G1681" s="1478"/>
      <c r="H1681" s="1474"/>
      <c r="I1681" s="1478"/>
      <c r="J1681" s="1478"/>
      <c r="K1681" s="1475"/>
      <c r="L1681" s="1474"/>
      <c r="M1681" s="1476"/>
      <c r="N1681" s="1477"/>
      <c r="O1681" s="1479"/>
      <c r="P1681" s="1479"/>
      <c r="Q1681" s="1142">
        <f t="shared" si="469"/>
        <v>0</v>
      </c>
      <c r="R1681" s="1143">
        <f>IFERROR(VLOOKUP(CONCATENATE($E1681,$G1681),'LAC 103'!$A$12:$O$95,11,FALSE),0)</f>
        <v>0</v>
      </c>
      <c r="S1681" s="1144">
        <f>IFERROR(VLOOKUP(CONCATENATE($E1681,$G1681),'LAC 103'!$A$12:$O$95,12,FALSE),0)</f>
        <v>0</v>
      </c>
      <c r="T1681" s="1144">
        <f>IFERROR(VLOOKUP(CONCATENATE($E1681,$G1681),'LAC 103'!$A$12:$O$95,13,FALSE),0)</f>
        <v>0</v>
      </c>
      <c r="U1681" s="1144">
        <f>IFERROR(VLOOKUP(CONCATENATE($E1681,$G1681),'LAC 103'!$A$12:$O$95,14,FALSE),0)</f>
        <v>0</v>
      </c>
      <c r="V1681" s="1144">
        <f>IFERROR(VLOOKUP(CONCATENATE($E1681,$G1681),'LAC 103'!$A$12:$O$95,15,FALSE),0)</f>
        <v>0</v>
      </c>
      <c r="W1681" s="1145" t="str">
        <f>IFERROR(VLOOKUP(CONCATENATE($B1681,$N1681),'LAC 103'!$AI:$AQ,9,FALSE),"")</f>
        <v/>
      </c>
      <c r="X1681" s="1146">
        <f t="shared" si="474"/>
        <v>0</v>
      </c>
      <c r="Y1681" s="1143">
        <f t="shared" si="484"/>
        <v>0</v>
      </c>
      <c r="Z1681" s="1147">
        <f t="shared" si="475"/>
        <v>0</v>
      </c>
      <c r="AA1681" s="1144">
        <f t="shared" si="476"/>
        <v>0</v>
      </c>
      <c r="AB1681" s="1144">
        <f t="shared" si="477"/>
        <v>0</v>
      </c>
      <c r="AC1681" s="1144">
        <f t="shared" si="478"/>
        <v>0</v>
      </c>
      <c r="AD1681" s="1148">
        <f t="shared" si="470"/>
        <v>0</v>
      </c>
      <c r="AE1681" s="1487">
        <v>0</v>
      </c>
      <c r="AF1681" s="1145">
        <f t="shared" si="479"/>
        <v>0</v>
      </c>
      <c r="AG1681" s="1149">
        <f>IFERROR(VLOOKUP(CONCATENATE($L1681,$N1681),'Drop List'!$G$23:$K$87,2,FALSE),0)</f>
        <v>0</v>
      </c>
      <c r="AH1681" s="1150">
        <f>IFERROR(VLOOKUP(CONCATENATE($L1681,$N1681),'Drop List'!$G$23:$K$87,3,FALSE),0)</f>
        <v>0</v>
      </c>
      <c r="AI1681" s="1150">
        <f>IFERROR(VLOOKUP(CONCATENATE($L1681,$N1681),'Drop List'!$G$23:$K$87,4,FALSE),0)</f>
        <v>0</v>
      </c>
      <c r="AJ1681" s="1151">
        <f>IFERROR(VLOOKUP(CONCATENATE($L1681,$N1681),'Drop List'!$G$23:$K$87,5,FALSE),0)</f>
        <v>0</v>
      </c>
      <c r="AK1681" s="1152">
        <f t="shared" si="480"/>
        <v>0</v>
      </c>
      <c r="AL1681" s="1153">
        <f t="shared" si="481"/>
        <v>0</v>
      </c>
      <c r="AM1681" s="1153">
        <f t="shared" si="482"/>
        <v>0</v>
      </c>
      <c r="AN1681" s="1145">
        <f t="shared" si="483"/>
        <v>0</v>
      </c>
      <c r="AO1681" s="1154">
        <f t="shared" si="468"/>
        <v>0</v>
      </c>
      <c r="AP1681" s="1147">
        <f t="shared" si="471"/>
        <v>0</v>
      </c>
      <c r="AQ1681" s="1144">
        <f t="shared" si="472"/>
        <v>0</v>
      </c>
      <c r="AR1681" s="1146">
        <f t="shared" si="473"/>
        <v>0</v>
      </c>
    </row>
    <row r="1682" spans="1:44" x14ac:dyDescent="0.2">
      <c r="A1682" s="1141" t="str">
        <f t="shared" si="467"/>
        <v/>
      </c>
      <c r="B1682" s="1141" t="str">
        <f>IFERROR(VLOOKUP(A1682,'LAC 103'!A:C,3,FALSE),"")</f>
        <v/>
      </c>
      <c r="C1682" s="1478" t="str">
        <f>Info!$B$8</f>
        <v>00100</v>
      </c>
      <c r="D1682" s="1474"/>
      <c r="E1682" s="1474"/>
      <c r="F1682" s="1478"/>
      <c r="G1682" s="1478"/>
      <c r="H1682" s="1474"/>
      <c r="I1682" s="1478"/>
      <c r="J1682" s="1478"/>
      <c r="K1682" s="1475"/>
      <c r="L1682" s="1474"/>
      <c r="M1682" s="1476"/>
      <c r="N1682" s="1477"/>
      <c r="O1682" s="1479"/>
      <c r="P1682" s="1479"/>
      <c r="Q1682" s="1142">
        <f t="shared" si="469"/>
        <v>0</v>
      </c>
      <c r="R1682" s="1143">
        <f>IFERROR(VLOOKUP(CONCATENATE($E1682,$G1682),'LAC 103'!$A$12:$O$95,11,FALSE),0)</f>
        <v>0</v>
      </c>
      <c r="S1682" s="1144">
        <f>IFERROR(VLOOKUP(CONCATENATE($E1682,$G1682),'LAC 103'!$A$12:$O$95,12,FALSE),0)</f>
        <v>0</v>
      </c>
      <c r="T1682" s="1144">
        <f>IFERROR(VLOOKUP(CONCATENATE($E1682,$G1682),'LAC 103'!$A$12:$O$95,13,FALSE),0)</f>
        <v>0</v>
      </c>
      <c r="U1682" s="1144">
        <f>IFERROR(VLOOKUP(CONCATENATE($E1682,$G1682),'LAC 103'!$A$12:$O$95,14,FALSE),0)</f>
        <v>0</v>
      </c>
      <c r="V1682" s="1144">
        <f>IFERROR(VLOOKUP(CONCATENATE($E1682,$G1682),'LAC 103'!$A$12:$O$95,15,FALSE),0)</f>
        <v>0</v>
      </c>
      <c r="W1682" s="1145" t="str">
        <f>IFERROR(VLOOKUP(CONCATENATE($B1682,$N1682),'LAC 103'!$AI:$AQ,9,FALSE),"")</f>
        <v/>
      </c>
      <c r="X1682" s="1146">
        <f t="shared" si="474"/>
        <v>0</v>
      </c>
      <c r="Y1682" s="1143">
        <f t="shared" si="484"/>
        <v>0</v>
      </c>
      <c r="Z1682" s="1147">
        <f t="shared" si="475"/>
        <v>0</v>
      </c>
      <c r="AA1682" s="1144">
        <f t="shared" si="476"/>
        <v>0</v>
      </c>
      <c r="AB1682" s="1144">
        <f t="shared" si="477"/>
        <v>0</v>
      </c>
      <c r="AC1682" s="1144">
        <f t="shared" si="478"/>
        <v>0</v>
      </c>
      <c r="AD1682" s="1148">
        <f t="shared" si="470"/>
        <v>0</v>
      </c>
      <c r="AE1682" s="1487">
        <v>0</v>
      </c>
      <c r="AF1682" s="1145">
        <f t="shared" si="479"/>
        <v>0</v>
      </c>
      <c r="AG1682" s="1149">
        <f>IFERROR(VLOOKUP(CONCATENATE($L1682,$N1682),'Drop List'!$G$23:$K$87,2,FALSE),0)</f>
        <v>0</v>
      </c>
      <c r="AH1682" s="1150">
        <f>IFERROR(VLOOKUP(CONCATENATE($L1682,$N1682),'Drop List'!$G$23:$K$87,3,FALSE),0)</f>
        <v>0</v>
      </c>
      <c r="AI1682" s="1150">
        <f>IFERROR(VLOOKUP(CONCATENATE($L1682,$N1682),'Drop List'!$G$23:$K$87,4,FALSE),0)</f>
        <v>0</v>
      </c>
      <c r="AJ1682" s="1151">
        <f>IFERROR(VLOOKUP(CONCATENATE($L1682,$N1682),'Drop List'!$G$23:$K$87,5,FALSE),0)</f>
        <v>0</v>
      </c>
      <c r="AK1682" s="1152">
        <f t="shared" si="480"/>
        <v>0</v>
      </c>
      <c r="AL1682" s="1153">
        <f t="shared" si="481"/>
        <v>0</v>
      </c>
      <c r="AM1682" s="1153">
        <f t="shared" si="482"/>
        <v>0</v>
      </c>
      <c r="AN1682" s="1145">
        <f t="shared" si="483"/>
        <v>0</v>
      </c>
      <c r="AO1682" s="1154">
        <f t="shared" si="468"/>
        <v>0</v>
      </c>
      <c r="AP1682" s="1147">
        <f t="shared" si="471"/>
        <v>0</v>
      </c>
      <c r="AQ1682" s="1144">
        <f t="shared" si="472"/>
        <v>0</v>
      </c>
      <c r="AR1682" s="1146">
        <f t="shared" si="473"/>
        <v>0</v>
      </c>
    </row>
    <row r="1683" spans="1:44" x14ac:dyDescent="0.2">
      <c r="A1683" s="1141" t="str">
        <f t="shared" si="467"/>
        <v/>
      </c>
      <c r="B1683" s="1141" t="str">
        <f>IFERROR(VLOOKUP(A1683,'LAC 103'!A:C,3,FALSE),"")</f>
        <v/>
      </c>
      <c r="C1683" s="1478" t="str">
        <f>Info!$B$8</f>
        <v>00100</v>
      </c>
      <c r="D1683" s="1474"/>
      <c r="E1683" s="1474"/>
      <c r="F1683" s="1478"/>
      <c r="G1683" s="1478"/>
      <c r="H1683" s="1474"/>
      <c r="I1683" s="1478"/>
      <c r="J1683" s="1478"/>
      <c r="K1683" s="1475"/>
      <c r="L1683" s="1474"/>
      <c r="M1683" s="1476"/>
      <c r="N1683" s="1477"/>
      <c r="O1683" s="1479"/>
      <c r="P1683" s="1479"/>
      <c r="Q1683" s="1142">
        <f t="shared" si="469"/>
        <v>0</v>
      </c>
      <c r="R1683" s="1143">
        <f>IFERROR(VLOOKUP(CONCATENATE($E1683,$G1683),'LAC 103'!$A$12:$O$95,11,FALSE),0)</f>
        <v>0</v>
      </c>
      <c r="S1683" s="1144">
        <f>IFERROR(VLOOKUP(CONCATENATE($E1683,$G1683),'LAC 103'!$A$12:$O$95,12,FALSE),0)</f>
        <v>0</v>
      </c>
      <c r="T1683" s="1144">
        <f>IFERROR(VLOOKUP(CONCATENATE($E1683,$G1683),'LAC 103'!$A$12:$O$95,13,FALSE),0)</f>
        <v>0</v>
      </c>
      <c r="U1683" s="1144">
        <f>IFERROR(VLOOKUP(CONCATENATE($E1683,$G1683),'LAC 103'!$A$12:$O$95,14,FALSE),0)</f>
        <v>0</v>
      </c>
      <c r="V1683" s="1144">
        <f>IFERROR(VLOOKUP(CONCATENATE($E1683,$G1683),'LAC 103'!$A$12:$O$95,15,FALSE),0)</f>
        <v>0</v>
      </c>
      <c r="W1683" s="1145" t="str">
        <f>IFERROR(VLOOKUP(CONCATENATE($B1683,$N1683),'LAC 103'!$AI:$AQ,9,FALSE),"")</f>
        <v/>
      </c>
      <c r="X1683" s="1146">
        <f t="shared" si="474"/>
        <v>0</v>
      </c>
      <c r="Y1683" s="1143">
        <f t="shared" si="484"/>
        <v>0</v>
      </c>
      <c r="Z1683" s="1147">
        <f t="shared" si="475"/>
        <v>0</v>
      </c>
      <c r="AA1683" s="1144">
        <f t="shared" si="476"/>
        <v>0</v>
      </c>
      <c r="AB1683" s="1144">
        <f t="shared" si="477"/>
        <v>0</v>
      </c>
      <c r="AC1683" s="1144">
        <f t="shared" si="478"/>
        <v>0</v>
      </c>
      <c r="AD1683" s="1148">
        <f t="shared" si="470"/>
        <v>0</v>
      </c>
      <c r="AE1683" s="1487">
        <v>0</v>
      </c>
      <c r="AF1683" s="1145">
        <f t="shared" si="479"/>
        <v>0</v>
      </c>
      <c r="AG1683" s="1149">
        <f>IFERROR(VLOOKUP(CONCATENATE($L1683,$N1683),'Drop List'!$G$23:$K$87,2,FALSE),0)</f>
        <v>0</v>
      </c>
      <c r="AH1683" s="1150">
        <f>IFERROR(VLOOKUP(CONCATENATE($L1683,$N1683),'Drop List'!$G$23:$K$87,3,FALSE),0)</f>
        <v>0</v>
      </c>
      <c r="AI1683" s="1150">
        <f>IFERROR(VLOOKUP(CONCATENATE($L1683,$N1683),'Drop List'!$G$23:$K$87,4,FALSE),0)</f>
        <v>0</v>
      </c>
      <c r="AJ1683" s="1151">
        <f>IFERROR(VLOOKUP(CONCATENATE($L1683,$N1683),'Drop List'!$G$23:$K$87,5,FALSE),0)</f>
        <v>0</v>
      </c>
      <c r="AK1683" s="1152">
        <f t="shared" si="480"/>
        <v>0</v>
      </c>
      <c r="AL1683" s="1153">
        <f t="shared" si="481"/>
        <v>0</v>
      </c>
      <c r="AM1683" s="1153">
        <f t="shared" si="482"/>
        <v>0</v>
      </c>
      <c r="AN1683" s="1145">
        <f t="shared" si="483"/>
        <v>0</v>
      </c>
      <c r="AO1683" s="1154">
        <f t="shared" si="468"/>
        <v>0</v>
      </c>
      <c r="AP1683" s="1147">
        <f t="shared" si="471"/>
        <v>0</v>
      </c>
      <c r="AQ1683" s="1144">
        <f t="shared" si="472"/>
        <v>0</v>
      </c>
      <c r="AR1683" s="1146">
        <f t="shared" si="473"/>
        <v>0</v>
      </c>
    </row>
    <row r="1684" spans="1:44" x14ac:dyDescent="0.2">
      <c r="A1684" s="1141" t="str">
        <f t="shared" si="467"/>
        <v/>
      </c>
      <c r="B1684" s="1141" t="str">
        <f>IFERROR(VLOOKUP(A1684,'LAC 103'!A:C,3,FALSE),"")</f>
        <v/>
      </c>
      <c r="C1684" s="1478" t="str">
        <f>Info!$B$8</f>
        <v>00100</v>
      </c>
      <c r="D1684" s="1474"/>
      <c r="E1684" s="1474"/>
      <c r="F1684" s="1478"/>
      <c r="G1684" s="1478"/>
      <c r="H1684" s="1474"/>
      <c r="I1684" s="1478"/>
      <c r="J1684" s="1478"/>
      <c r="K1684" s="1475"/>
      <c r="L1684" s="1474"/>
      <c r="M1684" s="1476"/>
      <c r="N1684" s="1477"/>
      <c r="O1684" s="1479"/>
      <c r="P1684" s="1479"/>
      <c r="Q1684" s="1142">
        <f t="shared" si="469"/>
        <v>0</v>
      </c>
      <c r="R1684" s="1143">
        <f>IFERROR(VLOOKUP(CONCATENATE($E1684,$G1684),'LAC 103'!$A$12:$O$95,11,FALSE),0)</f>
        <v>0</v>
      </c>
      <c r="S1684" s="1144">
        <f>IFERROR(VLOOKUP(CONCATENATE($E1684,$G1684),'LAC 103'!$A$12:$O$95,12,FALSE),0)</f>
        <v>0</v>
      </c>
      <c r="T1684" s="1144">
        <f>IFERROR(VLOOKUP(CONCATENATE($E1684,$G1684),'LAC 103'!$A$12:$O$95,13,FALSE),0)</f>
        <v>0</v>
      </c>
      <c r="U1684" s="1144">
        <f>IFERROR(VLOOKUP(CONCATENATE($E1684,$G1684),'LAC 103'!$A$12:$O$95,14,FALSE),0)</f>
        <v>0</v>
      </c>
      <c r="V1684" s="1144">
        <f>IFERROR(VLOOKUP(CONCATENATE($E1684,$G1684),'LAC 103'!$A$12:$O$95,15,FALSE),0)</f>
        <v>0</v>
      </c>
      <c r="W1684" s="1145" t="str">
        <f>IFERROR(VLOOKUP(CONCATENATE($B1684,$N1684),'LAC 103'!$AI:$AQ,9,FALSE),"")</f>
        <v/>
      </c>
      <c r="X1684" s="1146">
        <f t="shared" si="474"/>
        <v>0</v>
      </c>
      <c r="Y1684" s="1143">
        <f t="shared" si="484"/>
        <v>0</v>
      </c>
      <c r="Z1684" s="1147">
        <f t="shared" si="475"/>
        <v>0</v>
      </c>
      <c r="AA1684" s="1144">
        <f t="shared" si="476"/>
        <v>0</v>
      </c>
      <c r="AB1684" s="1144">
        <f t="shared" si="477"/>
        <v>0</v>
      </c>
      <c r="AC1684" s="1144">
        <f t="shared" si="478"/>
        <v>0</v>
      </c>
      <c r="AD1684" s="1148">
        <f t="shared" si="470"/>
        <v>0</v>
      </c>
      <c r="AE1684" s="1487">
        <v>0</v>
      </c>
      <c r="AF1684" s="1145">
        <f t="shared" si="479"/>
        <v>0</v>
      </c>
      <c r="AG1684" s="1149">
        <f>IFERROR(VLOOKUP(CONCATENATE($L1684,$N1684),'Drop List'!$G$23:$K$87,2,FALSE),0)</f>
        <v>0</v>
      </c>
      <c r="AH1684" s="1150">
        <f>IFERROR(VLOOKUP(CONCATENATE($L1684,$N1684),'Drop List'!$G$23:$K$87,3,FALSE),0)</f>
        <v>0</v>
      </c>
      <c r="AI1684" s="1150">
        <f>IFERROR(VLOOKUP(CONCATENATE($L1684,$N1684),'Drop List'!$G$23:$K$87,4,FALSE),0)</f>
        <v>0</v>
      </c>
      <c r="AJ1684" s="1151">
        <f>IFERROR(VLOOKUP(CONCATENATE($L1684,$N1684),'Drop List'!$G$23:$K$87,5,FALSE),0)</f>
        <v>0</v>
      </c>
      <c r="AK1684" s="1152">
        <f t="shared" si="480"/>
        <v>0</v>
      </c>
      <c r="AL1684" s="1153">
        <f t="shared" si="481"/>
        <v>0</v>
      </c>
      <c r="AM1684" s="1153">
        <f t="shared" si="482"/>
        <v>0</v>
      </c>
      <c r="AN1684" s="1145">
        <f t="shared" si="483"/>
        <v>0</v>
      </c>
      <c r="AO1684" s="1154">
        <f t="shared" si="468"/>
        <v>0</v>
      </c>
      <c r="AP1684" s="1147">
        <f t="shared" si="471"/>
        <v>0</v>
      </c>
      <c r="AQ1684" s="1144">
        <f t="shared" si="472"/>
        <v>0</v>
      </c>
      <c r="AR1684" s="1146">
        <f t="shared" si="473"/>
        <v>0</v>
      </c>
    </row>
    <row r="1685" spans="1:44" x14ac:dyDescent="0.2">
      <c r="A1685" s="1141" t="str">
        <f t="shared" si="467"/>
        <v/>
      </c>
      <c r="B1685" s="1141" t="str">
        <f>IFERROR(VLOOKUP(A1685,'LAC 103'!A:C,3,FALSE),"")</f>
        <v/>
      </c>
      <c r="C1685" s="1478" t="str">
        <f>Info!$B$8</f>
        <v>00100</v>
      </c>
      <c r="D1685" s="1474"/>
      <c r="E1685" s="1474"/>
      <c r="F1685" s="1478"/>
      <c r="G1685" s="1478"/>
      <c r="H1685" s="1474"/>
      <c r="I1685" s="1478"/>
      <c r="J1685" s="1478"/>
      <c r="K1685" s="1475"/>
      <c r="L1685" s="1474"/>
      <c r="M1685" s="1476"/>
      <c r="N1685" s="1477"/>
      <c r="O1685" s="1479"/>
      <c r="P1685" s="1479"/>
      <c r="Q1685" s="1142">
        <f t="shared" si="469"/>
        <v>0</v>
      </c>
      <c r="R1685" s="1143">
        <f>IFERROR(VLOOKUP(CONCATENATE($E1685,$G1685),'LAC 103'!$A$12:$O$95,11,FALSE),0)</f>
        <v>0</v>
      </c>
      <c r="S1685" s="1144">
        <f>IFERROR(VLOOKUP(CONCATENATE($E1685,$G1685),'LAC 103'!$A$12:$O$95,12,FALSE),0)</f>
        <v>0</v>
      </c>
      <c r="T1685" s="1144">
        <f>IFERROR(VLOOKUP(CONCATENATE($E1685,$G1685),'LAC 103'!$A$12:$O$95,13,FALSE),0)</f>
        <v>0</v>
      </c>
      <c r="U1685" s="1144">
        <f>IFERROR(VLOOKUP(CONCATENATE($E1685,$G1685),'LAC 103'!$A$12:$O$95,14,FALSE),0)</f>
        <v>0</v>
      </c>
      <c r="V1685" s="1144">
        <f>IFERROR(VLOOKUP(CONCATENATE($E1685,$G1685),'LAC 103'!$A$12:$O$95,15,FALSE),0)</f>
        <v>0</v>
      </c>
      <c r="W1685" s="1145" t="str">
        <f>IFERROR(VLOOKUP(CONCATENATE($B1685,$N1685),'LAC 103'!$AI:$AQ,9,FALSE),"")</f>
        <v/>
      </c>
      <c r="X1685" s="1146">
        <f t="shared" si="474"/>
        <v>0</v>
      </c>
      <c r="Y1685" s="1143">
        <f t="shared" si="484"/>
        <v>0</v>
      </c>
      <c r="Z1685" s="1147">
        <f t="shared" si="475"/>
        <v>0</v>
      </c>
      <c r="AA1685" s="1144">
        <f t="shared" si="476"/>
        <v>0</v>
      </c>
      <c r="AB1685" s="1144">
        <f t="shared" si="477"/>
        <v>0</v>
      </c>
      <c r="AC1685" s="1144">
        <f t="shared" si="478"/>
        <v>0</v>
      </c>
      <c r="AD1685" s="1148">
        <f t="shared" si="470"/>
        <v>0</v>
      </c>
      <c r="AE1685" s="1487">
        <v>0</v>
      </c>
      <c r="AF1685" s="1145">
        <f t="shared" si="479"/>
        <v>0</v>
      </c>
      <c r="AG1685" s="1149">
        <f>IFERROR(VLOOKUP(CONCATENATE($L1685,$N1685),'Drop List'!$G$23:$K$87,2,FALSE),0)</f>
        <v>0</v>
      </c>
      <c r="AH1685" s="1150">
        <f>IFERROR(VLOOKUP(CONCATENATE($L1685,$N1685),'Drop List'!$G$23:$K$87,3,FALSE),0)</f>
        <v>0</v>
      </c>
      <c r="AI1685" s="1150">
        <f>IFERROR(VLOOKUP(CONCATENATE($L1685,$N1685),'Drop List'!$G$23:$K$87,4,FALSE),0)</f>
        <v>0</v>
      </c>
      <c r="AJ1685" s="1151">
        <f>IFERROR(VLOOKUP(CONCATENATE($L1685,$N1685),'Drop List'!$G$23:$K$87,5,FALSE),0)</f>
        <v>0</v>
      </c>
      <c r="AK1685" s="1152">
        <f t="shared" si="480"/>
        <v>0</v>
      </c>
      <c r="AL1685" s="1153">
        <f t="shared" si="481"/>
        <v>0</v>
      </c>
      <c r="AM1685" s="1153">
        <f t="shared" si="482"/>
        <v>0</v>
      </c>
      <c r="AN1685" s="1145">
        <f t="shared" si="483"/>
        <v>0</v>
      </c>
      <c r="AO1685" s="1154">
        <f t="shared" si="468"/>
        <v>0</v>
      </c>
      <c r="AP1685" s="1147">
        <f t="shared" si="471"/>
        <v>0</v>
      </c>
      <c r="AQ1685" s="1144">
        <f t="shared" si="472"/>
        <v>0</v>
      </c>
      <c r="AR1685" s="1146">
        <f t="shared" si="473"/>
        <v>0</v>
      </c>
    </row>
    <row r="1686" spans="1:44" x14ac:dyDescent="0.2">
      <c r="A1686" s="1141" t="str">
        <f t="shared" ref="A1686:A1749" si="485">IF(CONCATENATE(E1686,G1686)="","",CONCATENATE(E1686,G1686))</f>
        <v/>
      </c>
      <c r="B1686" s="1141" t="str">
        <f>IFERROR(VLOOKUP(A1686,'LAC 103'!A:C,3,FALSE),"")</f>
        <v/>
      </c>
      <c r="C1686" s="1478" t="str">
        <f>Info!$B$8</f>
        <v>00100</v>
      </c>
      <c r="D1686" s="1474"/>
      <c r="E1686" s="1474"/>
      <c r="F1686" s="1478"/>
      <c r="G1686" s="1478"/>
      <c r="H1686" s="1474"/>
      <c r="I1686" s="1478"/>
      <c r="J1686" s="1478"/>
      <c r="K1686" s="1475"/>
      <c r="L1686" s="1474"/>
      <c r="M1686" s="1476"/>
      <c r="N1686" s="1477"/>
      <c r="O1686" s="1479"/>
      <c r="P1686" s="1479"/>
      <c r="Q1686" s="1142">
        <f t="shared" si="469"/>
        <v>0</v>
      </c>
      <c r="R1686" s="1143">
        <f>IFERROR(VLOOKUP(CONCATENATE($E1686,$G1686),'LAC 103'!$A$12:$O$95,11,FALSE),0)</f>
        <v>0</v>
      </c>
      <c r="S1686" s="1144">
        <f>IFERROR(VLOOKUP(CONCATENATE($E1686,$G1686),'LAC 103'!$A$12:$O$95,12,FALSE),0)</f>
        <v>0</v>
      </c>
      <c r="T1686" s="1144">
        <f>IFERROR(VLOOKUP(CONCATENATE($E1686,$G1686),'LAC 103'!$A$12:$O$95,13,FALSE),0)</f>
        <v>0</v>
      </c>
      <c r="U1686" s="1144">
        <f>IFERROR(VLOOKUP(CONCATENATE($E1686,$G1686),'LAC 103'!$A$12:$O$95,14,FALSE),0)</f>
        <v>0</v>
      </c>
      <c r="V1686" s="1144">
        <f>IFERROR(VLOOKUP(CONCATENATE($E1686,$G1686),'LAC 103'!$A$12:$O$95,15,FALSE),0)</f>
        <v>0</v>
      </c>
      <c r="W1686" s="1145" t="str">
        <f>IFERROR(VLOOKUP(CONCATENATE($B1686,$N1686),'LAC 103'!$AI:$AQ,9,FALSE),"")</f>
        <v/>
      </c>
      <c r="X1686" s="1146">
        <f t="shared" si="474"/>
        <v>0</v>
      </c>
      <c r="Y1686" s="1143">
        <f t="shared" si="484"/>
        <v>0</v>
      </c>
      <c r="Z1686" s="1147">
        <f t="shared" si="475"/>
        <v>0</v>
      </c>
      <c r="AA1686" s="1144">
        <f t="shared" si="476"/>
        <v>0</v>
      </c>
      <c r="AB1686" s="1144">
        <f t="shared" si="477"/>
        <v>0</v>
      </c>
      <c r="AC1686" s="1144">
        <f t="shared" si="478"/>
        <v>0</v>
      </c>
      <c r="AD1686" s="1148">
        <f t="shared" si="470"/>
        <v>0</v>
      </c>
      <c r="AE1686" s="1487">
        <v>0</v>
      </c>
      <c r="AF1686" s="1145">
        <f t="shared" si="479"/>
        <v>0</v>
      </c>
      <c r="AG1686" s="1149">
        <f>IFERROR(VLOOKUP(CONCATENATE($L1686,$N1686),'Drop List'!$G$23:$K$87,2,FALSE),0)</f>
        <v>0</v>
      </c>
      <c r="AH1686" s="1150">
        <f>IFERROR(VLOOKUP(CONCATENATE($L1686,$N1686),'Drop List'!$G$23:$K$87,3,FALSE),0)</f>
        <v>0</v>
      </c>
      <c r="AI1686" s="1150">
        <f>IFERROR(VLOOKUP(CONCATENATE($L1686,$N1686),'Drop List'!$G$23:$K$87,4,FALSE),0)</f>
        <v>0</v>
      </c>
      <c r="AJ1686" s="1151">
        <f>IFERROR(VLOOKUP(CONCATENATE($L1686,$N1686),'Drop List'!$G$23:$K$87,5,FALSE),0)</f>
        <v>0</v>
      </c>
      <c r="AK1686" s="1152">
        <f t="shared" si="480"/>
        <v>0</v>
      </c>
      <c r="AL1686" s="1153">
        <f t="shared" si="481"/>
        <v>0</v>
      </c>
      <c r="AM1686" s="1153">
        <f t="shared" si="482"/>
        <v>0</v>
      </c>
      <c r="AN1686" s="1145">
        <f t="shared" si="483"/>
        <v>0</v>
      </c>
      <c r="AO1686" s="1154">
        <f t="shared" si="468"/>
        <v>0</v>
      </c>
      <c r="AP1686" s="1147">
        <f t="shared" si="471"/>
        <v>0</v>
      </c>
      <c r="AQ1686" s="1144">
        <f t="shared" si="472"/>
        <v>0</v>
      </c>
      <c r="AR1686" s="1146">
        <f t="shared" si="473"/>
        <v>0</v>
      </c>
    </row>
    <row r="1687" spans="1:44" x14ac:dyDescent="0.2">
      <c r="A1687" s="1141" t="str">
        <f t="shared" si="485"/>
        <v/>
      </c>
      <c r="B1687" s="1141" t="str">
        <f>IFERROR(VLOOKUP(A1687,'LAC 103'!A:C,3,FALSE),"")</f>
        <v/>
      </c>
      <c r="C1687" s="1478" t="str">
        <f>Info!$B$8</f>
        <v>00100</v>
      </c>
      <c r="D1687" s="1474"/>
      <c r="E1687" s="1474"/>
      <c r="F1687" s="1478"/>
      <c r="G1687" s="1478"/>
      <c r="H1687" s="1474"/>
      <c r="I1687" s="1478"/>
      <c r="J1687" s="1478"/>
      <c r="K1687" s="1475"/>
      <c r="L1687" s="1474"/>
      <c r="M1687" s="1476"/>
      <c r="N1687" s="1477"/>
      <c r="O1687" s="1479"/>
      <c r="P1687" s="1479"/>
      <c r="Q1687" s="1142">
        <f t="shared" si="469"/>
        <v>0</v>
      </c>
      <c r="R1687" s="1143">
        <f>IFERROR(VLOOKUP(CONCATENATE($E1687,$G1687),'LAC 103'!$A$12:$O$95,11,FALSE),0)</f>
        <v>0</v>
      </c>
      <c r="S1687" s="1144">
        <f>IFERROR(VLOOKUP(CONCATENATE($E1687,$G1687),'LAC 103'!$A$12:$O$95,12,FALSE),0)</f>
        <v>0</v>
      </c>
      <c r="T1687" s="1144">
        <f>IFERROR(VLOOKUP(CONCATENATE($E1687,$G1687),'LAC 103'!$A$12:$O$95,13,FALSE),0)</f>
        <v>0</v>
      </c>
      <c r="U1687" s="1144">
        <f>IFERROR(VLOOKUP(CONCATENATE($E1687,$G1687),'LAC 103'!$A$12:$O$95,14,FALSE),0)</f>
        <v>0</v>
      </c>
      <c r="V1687" s="1144">
        <f>IFERROR(VLOOKUP(CONCATENATE($E1687,$G1687),'LAC 103'!$A$12:$O$95,15,FALSE),0)</f>
        <v>0</v>
      </c>
      <c r="W1687" s="1145" t="str">
        <f>IFERROR(VLOOKUP(CONCATENATE($B1687,$N1687),'LAC 103'!$AI:$AQ,9,FALSE),"")</f>
        <v/>
      </c>
      <c r="X1687" s="1146">
        <f t="shared" si="474"/>
        <v>0</v>
      </c>
      <c r="Y1687" s="1143">
        <f t="shared" si="484"/>
        <v>0</v>
      </c>
      <c r="Z1687" s="1147">
        <f t="shared" si="475"/>
        <v>0</v>
      </c>
      <c r="AA1687" s="1144">
        <f t="shared" si="476"/>
        <v>0</v>
      </c>
      <c r="AB1687" s="1144">
        <f t="shared" si="477"/>
        <v>0</v>
      </c>
      <c r="AC1687" s="1144">
        <f t="shared" si="478"/>
        <v>0</v>
      </c>
      <c r="AD1687" s="1148">
        <f t="shared" si="470"/>
        <v>0</v>
      </c>
      <c r="AE1687" s="1487">
        <v>0</v>
      </c>
      <c r="AF1687" s="1145">
        <f t="shared" si="479"/>
        <v>0</v>
      </c>
      <c r="AG1687" s="1149">
        <f>IFERROR(VLOOKUP(CONCATENATE($L1687,$N1687),'Drop List'!$G$23:$K$87,2,FALSE),0)</f>
        <v>0</v>
      </c>
      <c r="AH1687" s="1150">
        <f>IFERROR(VLOOKUP(CONCATENATE($L1687,$N1687),'Drop List'!$G$23:$K$87,3,FALSE),0)</f>
        <v>0</v>
      </c>
      <c r="AI1687" s="1150">
        <f>IFERROR(VLOOKUP(CONCATENATE($L1687,$N1687),'Drop List'!$G$23:$K$87,4,FALSE),0)</f>
        <v>0</v>
      </c>
      <c r="AJ1687" s="1151">
        <f>IFERROR(VLOOKUP(CONCATENATE($L1687,$N1687),'Drop List'!$G$23:$K$87,5,FALSE),0)</f>
        <v>0</v>
      </c>
      <c r="AK1687" s="1152">
        <f t="shared" si="480"/>
        <v>0</v>
      </c>
      <c r="AL1687" s="1153">
        <f t="shared" si="481"/>
        <v>0</v>
      </c>
      <c r="AM1687" s="1153">
        <f t="shared" si="482"/>
        <v>0</v>
      </c>
      <c r="AN1687" s="1145">
        <f t="shared" si="483"/>
        <v>0</v>
      </c>
      <c r="AO1687" s="1154">
        <f t="shared" si="468"/>
        <v>0</v>
      </c>
      <c r="AP1687" s="1147">
        <f t="shared" si="471"/>
        <v>0</v>
      </c>
      <c r="AQ1687" s="1144">
        <f t="shared" si="472"/>
        <v>0</v>
      </c>
      <c r="AR1687" s="1146">
        <f t="shared" si="473"/>
        <v>0</v>
      </c>
    </row>
    <row r="1688" spans="1:44" x14ac:dyDescent="0.2">
      <c r="A1688" s="1141" t="str">
        <f t="shared" si="485"/>
        <v/>
      </c>
      <c r="B1688" s="1141" t="str">
        <f>IFERROR(VLOOKUP(A1688,'LAC 103'!A:C,3,FALSE),"")</f>
        <v/>
      </c>
      <c r="C1688" s="1478" t="str">
        <f>Info!$B$8</f>
        <v>00100</v>
      </c>
      <c r="D1688" s="1474"/>
      <c r="E1688" s="1474"/>
      <c r="F1688" s="1478"/>
      <c r="G1688" s="1478"/>
      <c r="H1688" s="1474"/>
      <c r="I1688" s="1478"/>
      <c r="J1688" s="1478"/>
      <c r="K1688" s="1475"/>
      <c r="L1688" s="1474"/>
      <c r="M1688" s="1476"/>
      <c r="N1688" s="1477"/>
      <c r="O1688" s="1479"/>
      <c r="P1688" s="1479"/>
      <c r="Q1688" s="1142">
        <f t="shared" si="469"/>
        <v>0</v>
      </c>
      <c r="R1688" s="1143">
        <f>IFERROR(VLOOKUP(CONCATENATE($E1688,$G1688),'LAC 103'!$A$12:$O$95,11,FALSE),0)</f>
        <v>0</v>
      </c>
      <c r="S1688" s="1144">
        <f>IFERROR(VLOOKUP(CONCATENATE($E1688,$G1688),'LAC 103'!$A$12:$O$95,12,FALSE),0)</f>
        <v>0</v>
      </c>
      <c r="T1688" s="1144">
        <f>IFERROR(VLOOKUP(CONCATENATE($E1688,$G1688),'LAC 103'!$A$12:$O$95,13,FALSE),0)</f>
        <v>0</v>
      </c>
      <c r="U1688" s="1144">
        <f>IFERROR(VLOOKUP(CONCATENATE($E1688,$G1688),'LAC 103'!$A$12:$O$95,14,FALSE),0)</f>
        <v>0</v>
      </c>
      <c r="V1688" s="1144">
        <f>IFERROR(VLOOKUP(CONCATENATE($E1688,$G1688),'LAC 103'!$A$12:$O$95,15,FALSE),0)</f>
        <v>0</v>
      </c>
      <c r="W1688" s="1145" t="str">
        <f>IFERROR(VLOOKUP(CONCATENATE($B1688,$N1688),'LAC 103'!$AI:$AQ,9,FALSE),"")</f>
        <v/>
      </c>
      <c r="X1688" s="1146">
        <f t="shared" si="474"/>
        <v>0</v>
      </c>
      <c r="Y1688" s="1143">
        <f t="shared" si="484"/>
        <v>0</v>
      </c>
      <c r="Z1688" s="1147">
        <f t="shared" si="475"/>
        <v>0</v>
      </c>
      <c r="AA1688" s="1144">
        <f t="shared" si="476"/>
        <v>0</v>
      </c>
      <c r="AB1688" s="1144">
        <f t="shared" si="477"/>
        <v>0</v>
      </c>
      <c r="AC1688" s="1144">
        <f t="shared" si="478"/>
        <v>0</v>
      </c>
      <c r="AD1688" s="1148">
        <f t="shared" si="470"/>
        <v>0</v>
      </c>
      <c r="AE1688" s="1487">
        <v>0</v>
      </c>
      <c r="AF1688" s="1145">
        <f t="shared" si="479"/>
        <v>0</v>
      </c>
      <c r="AG1688" s="1149">
        <f>IFERROR(VLOOKUP(CONCATENATE($L1688,$N1688),'Drop List'!$G$23:$K$87,2,FALSE),0)</f>
        <v>0</v>
      </c>
      <c r="AH1688" s="1150">
        <f>IFERROR(VLOOKUP(CONCATENATE($L1688,$N1688),'Drop List'!$G$23:$K$87,3,FALSE),0)</f>
        <v>0</v>
      </c>
      <c r="AI1688" s="1150">
        <f>IFERROR(VLOOKUP(CONCATENATE($L1688,$N1688),'Drop List'!$G$23:$K$87,4,FALSE),0)</f>
        <v>0</v>
      </c>
      <c r="AJ1688" s="1151">
        <f>IFERROR(VLOOKUP(CONCATENATE($L1688,$N1688),'Drop List'!$G$23:$K$87,5,FALSE),0)</f>
        <v>0</v>
      </c>
      <c r="AK1688" s="1152">
        <f t="shared" si="480"/>
        <v>0</v>
      </c>
      <c r="AL1688" s="1153">
        <f t="shared" si="481"/>
        <v>0</v>
      </c>
      <c r="AM1688" s="1153">
        <f t="shared" si="482"/>
        <v>0</v>
      </c>
      <c r="AN1688" s="1145">
        <f t="shared" si="483"/>
        <v>0</v>
      </c>
      <c r="AO1688" s="1154">
        <f t="shared" si="468"/>
        <v>0</v>
      </c>
      <c r="AP1688" s="1147">
        <f t="shared" si="471"/>
        <v>0</v>
      </c>
      <c r="AQ1688" s="1144">
        <f t="shared" si="472"/>
        <v>0</v>
      </c>
      <c r="AR1688" s="1146">
        <f t="shared" si="473"/>
        <v>0</v>
      </c>
    </row>
    <row r="1689" spans="1:44" x14ac:dyDescent="0.2">
      <c r="A1689" s="1141" t="str">
        <f t="shared" si="485"/>
        <v/>
      </c>
      <c r="B1689" s="1141" t="str">
        <f>IFERROR(VLOOKUP(A1689,'LAC 103'!A:C,3,FALSE),"")</f>
        <v/>
      </c>
      <c r="C1689" s="1478" t="str">
        <f>Info!$B$8</f>
        <v>00100</v>
      </c>
      <c r="D1689" s="1474"/>
      <c r="E1689" s="1474"/>
      <c r="F1689" s="1478"/>
      <c r="G1689" s="1478"/>
      <c r="H1689" s="1474"/>
      <c r="I1689" s="1478"/>
      <c r="J1689" s="1478"/>
      <c r="K1689" s="1475"/>
      <c r="L1689" s="1474"/>
      <c r="M1689" s="1476"/>
      <c r="N1689" s="1477"/>
      <c r="O1689" s="1479"/>
      <c r="P1689" s="1479"/>
      <c r="Q1689" s="1142">
        <f t="shared" si="469"/>
        <v>0</v>
      </c>
      <c r="R1689" s="1143">
        <f>IFERROR(VLOOKUP(CONCATENATE($E1689,$G1689),'LAC 103'!$A$12:$O$95,11,FALSE),0)</f>
        <v>0</v>
      </c>
      <c r="S1689" s="1144">
        <f>IFERROR(VLOOKUP(CONCATENATE($E1689,$G1689),'LAC 103'!$A$12:$O$95,12,FALSE),0)</f>
        <v>0</v>
      </c>
      <c r="T1689" s="1144">
        <f>IFERROR(VLOOKUP(CONCATENATE($E1689,$G1689),'LAC 103'!$A$12:$O$95,13,FALSE),0)</f>
        <v>0</v>
      </c>
      <c r="U1689" s="1144">
        <f>IFERROR(VLOOKUP(CONCATENATE($E1689,$G1689),'LAC 103'!$A$12:$O$95,14,FALSE),0)</f>
        <v>0</v>
      </c>
      <c r="V1689" s="1144">
        <f>IFERROR(VLOOKUP(CONCATENATE($E1689,$G1689),'LAC 103'!$A$12:$O$95,15,FALSE),0)</f>
        <v>0</v>
      </c>
      <c r="W1689" s="1145" t="str">
        <f>IFERROR(VLOOKUP(CONCATENATE($B1689,$N1689),'LAC 103'!$AI:$AQ,9,FALSE),"")</f>
        <v/>
      </c>
      <c r="X1689" s="1146">
        <f t="shared" si="474"/>
        <v>0</v>
      </c>
      <c r="Y1689" s="1143">
        <f t="shared" si="484"/>
        <v>0</v>
      </c>
      <c r="Z1689" s="1147">
        <f t="shared" si="475"/>
        <v>0</v>
      </c>
      <c r="AA1689" s="1144">
        <f t="shared" si="476"/>
        <v>0</v>
      </c>
      <c r="AB1689" s="1144">
        <f t="shared" si="477"/>
        <v>0</v>
      </c>
      <c r="AC1689" s="1144">
        <f t="shared" si="478"/>
        <v>0</v>
      </c>
      <c r="AD1689" s="1148">
        <f t="shared" si="470"/>
        <v>0</v>
      </c>
      <c r="AE1689" s="1487">
        <v>0</v>
      </c>
      <c r="AF1689" s="1145">
        <f t="shared" si="479"/>
        <v>0</v>
      </c>
      <c r="AG1689" s="1149">
        <f>IFERROR(VLOOKUP(CONCATENATE($L1689,$N1689),'Drop List'!$G$23:$K$87,2,FALSE),0)</f>
        <v>0</v>
      </c>
      <c r="AH1689" s="1150">
        <f>IFERROR(VLOOKUP(CONCATENATE($L1689,$N1689),'Drop List'!$G$23:$K$87,3,FALSE),0)</f>
        <v>0</v>
      </c>
      <c r="AI1689" s="1150">
        <f>IFERROR(VLOOKUP(CONCATENATE($L1689,$N1689),'Drop List'!$G$23:$K$87,4,FALSE),0)</f>
        <v>0</v>
      </c>
      <c r="AJ1689" s="1151">
        <f>IFERROR(VLOOKUP(CONCATENATE($L1689,$N1689),'Drop List'!$G$23:$K$87,5,FALSE),0)</f>
        <v>0</v>
      </c>
      <c r="AK1689" s="1152">
        <f t="shared" si="480"/>
        <v>0</v>
      </c>
      <c r="AL1689" s="1153">
        <f t="shared" si="481"/>
        <v>0</v>
      </c>
      <c r="AM1689" s="1153">
        <f t="shared" si="482"/>
        <v>0</v>
      </c>
      <c r="AN1689" s="1145">
        <f t="shared" si="483"/>
        <v>0</v>
      </c>
      <c r="AO1689" s="1154">
        <f t="shared" si="468"/>
        <v>0</v>
      </c>
      <c r="AP1689" s="1147">
        <f t="shared" si="471"/>
        <v>0</v>
      </c>
      <c r="AQ1689" s="1144">
        <f t="shared" si="472"/>
        <v>0</v>
      </c>
      <c r="AR1689" s="1146">
        <f t="shared" si="473"/>
        <v>0</v>
      </c>
    </row>
    <row r="1690" spans="1:44" x14ac:dyDescent="0.2">
      <c r="A1690" s="1141" t="str">
        <f t="shared" si="485"/>
        <v/>
      </c>
      <c r="B1690" s="1141" t="str">
        <f>IFERROR(VLOOKUP(A1690,'LAC 103'!A:C,3,FALSE),"")</f>
        <v/>
      </c>
      <c r="C1690" s="1478" t="str">
        <f>Info!$B$8</f>
        <v>00100</v>
      </c>
      <c r="D1690" s="1474"/>
      <c r="E1690" s="1474"/>
      <c r="F1690" s="1478"/>
      <c r="G1690" s="1478"/>
      <c r="H1690" s="1474"/>
      <c r="I1690" s="1478"/>
      <c r="J1690" s="1478"/>
      <c r="K1690" s="1475"/>
      <c r="L1690" s="1474"/>
      <c r="M1690" s="1476"/>
      <c r="N1690" s="1477"/>
      <c r="O1690" s="1479"/>
      <c r="P1690" s="1479"/>
      <c r="Q1690" s="1142">
        <f t="shared" si="469"/>
        <v>0</v>
      </c>
      <c r="R1690" s="1143">
        <f>IFERROR(VLOOKUP(CONCATENATE($E1690,$G1690),'LAC 103'!$A$12:$O$95,11,FALSE),0)</f>
        <v>0</v>
      </c>
      <c r="S1690" s="1144">
        <f>IFERROR(VLOOKUP(CONCATENATE($E1690,$G1690),'LAC 103'!$A$12:$O$95,12,FALSE),0)</f>
        <v>0</v>
      </c>
      <c r="T1690" s="1144">
        <f>IFERROR(VLOOKUP(CONCATENATE($E1690,$G1690),'LAC 103'!$A$12:$O$95,13,FALSE),0)</f>
        <v>0</v>
      </c>
      <c r="U1690" s="1144">
        <f>IFERROR(VLOOKUP(CONCATENATE($E1690,$G1690),'LAC 103'!$A$12:$O$95,14,FALSE),0)</f>
        <v>0</v>
      </c>
      <c r="V1690" s="1144">
        <f>IFERROR(VLOOKUP(CONCATENATE($E1690,$G1690),'LAC 103'!$A$12:$O$95,15,FALSE),0)</f>
        <v>0</v>
      </c>
      <c r="W1690" s="1145" t="str">
        <f>IFERROR(VLOOKUP(CONCATENATE($B1690,$N1690),'LAC 103'!$AI:$AQ,9,FALSE),"")</f>
        <v/>
      </c>
      <c r="X1690" s="1146">
        <f t="shared" si="474"/>
        <v>0</v>
      </c>
      <c r="Y1690" s="1143">
        <f t="shared" si="484"/>
        <v>0</v>
      </c>
      <c r="Z1690" s="1147">
        <f t="shared" si="475"/>
        <v>0</v>
      </c>
      <c r="AA1690" s="1144">
        <f t="shared" si="476"/>
        <v>0</v>
      </c>
      <c r="AB1690" s="1144">
        <f t="shared" si="477"/>
        <v>0</v>
      </c>
      <c r="AC1690" s="1144">
        <f t="shared" si="478"/>
        <v>0</v>
      </c>
      <c r="AD1690" s="1148">
        <f t="shared" si="470"/>
        <v>0</v>
      </c>
      <c r="AE1690" s="1487">
        <v>0</v>
      </c>
      <c r="AF1690" s="1145">
        <f t="shared" si="479"/>
        <v>0</v>
      </c>
      <c r="AG1690" s="1149">
        <f>IFERROR(VLOOKUP(CONCATENATE($L1690,$N1690),'Drop List'!$G$23:$K$87,2,FALSE),0)</f>
        <v>0</v>
      </c>
      <c r="AH1690" s="1150">
        <f>IFERROR(VLOOKUP(CONCATENATE($L1690,$N1690),'Drop List'!$G$23:$K$87,3,FALSE),0)</f>
        <v>0</v>
      </c>
      <c r="AI1690" s="1150">
        <f>IFERROR(VLOOKUP(CONCATENATE($L1690,$N1690),'Drop List'!$G$23:$K$87,4,FALSE),0)</f>
        <v>0</v>
      </c>
      <c r="AJ1690" s="1151">
        <f>IFERROR(VLOOKUP(CONCATENATE($L1690,$N1690),'Drop List'!$G$23:$K$87,5,FALSE),0)</f>
        <v>0</v>
      </c>
      <c r="AK1690" s="1152">
        <f t="shared" si="480"/>
        <v>0</v>
      </c>
      <c r="AL1690" s="1153">
        <f t="shared" si="481"/>
        <v>0</v>
      </c>
      <c r="AM1690" s="1153">
        <f t="shared" si="482"/>
        <v>0</v>
      </c>
      <c r="AN1690" s="1145">
        <f t="shared" si="483"/>
        <v>0</v>
      </c>
      <c r="AO1690" s="1154">
        <f t="shared" si="468"/>
        <v>0</v>
      </c>
      <c r="AP1690" s="1147">
        <f t="shared" si="471"/>
        <v>0</v>
      </c>
      <c r="AQ1690" s="1144">
        <f t="shared" si="472"/>
        <v>0</v>
      </c>
      <c r="AR1690" s="1146">
        <f t="shared" si="473"/>
        <v>0</v>
      </c>
    </row>
    <row r="1691" spans="1:44" x14ac:dyDescent="0.2">
      <c r="A1691" s="1141" t="str">
        <f t="shared" si="485"/>
        <v/>
      </c>
      <c r="B1691" s="1141" t="str">
        <f>IFERROR(VLOOKUP(A1691,'LAC 103'!A:C,3,FALSE),"")</f>
        <v/>
      </c>
      <c r="C1691" s="1478" t="str">
        <f>Info!$B$8</f>
        <v>00100</v>
      </c>
      <c r="D1691" s="1474"/>
      <c r="E1691" s="1474"/>
      <c r="F1691" s="1478"/>
      <c r="G1691" s="1478"/>
      <c r="H1691" s="1474"/>
      <c r="I1691" s="1478"/>
      <c r="J1691" s="1478"/>
      <c r="K1691" s="1475"/>
      <c r="L1691" s="1474"/>
      <c r="M1691" s="1476"/>
      <c r="N1691" s="1477"/>
      <c r="O1691" s="1479"/>
      <c r="P1691" s="1479"/>
      <c r="Q1691" s="1142">
        <f t="shared" si="469"/>
        <v>0</v>
      </c>
      <c r="R1691" s="1143">
        <f>IFERROR(VLOOKUP(CONCATENATE($E1691,$G1691),'LAC 103'!$A$12:$O$95,11,FALSE),0)</f>
        <v>0</v>
      </c>
      <c r="S1691" s="1144">
        <f>IFERROR(VLOOKUP(CONCATENATE($E1691,$G1691),'LAC 103'!$A$12:$O$95,12,FALSE),0)</f>
        <v>0</v>
      </c>
      <c r="T1691" s="1144">
        <f>IFERROR(VLOOKUP(CONCATENATE($E1691,$G1691),'LAC 103'!$A$12:$O$95,13,FALSE),0)</f>
        <v>0</v>
      </c>
      <c r="U1691" s="1144">
        <f>IFERROR(VLOOKUP(CONCATENATE($E1691,$G1691),'LAC 103'!$A$12:$O$95,14,FALSE),0)</f>
        <v>0</v>
      </c>
      <c r="V1691" s="1144">
        <f>IFERROR(VLOOKUP(CONCATENATE($E1691,$G1691),'LAC 103'!$A$12:$O$95,15,FALSE),0)</f>
        <v>0</v>
      </c>
      <c r="W1691" s="1145" t="str">
        <f>IFERROR(VLOOKUP(CONCATENATE($B1691,$N1691),'LAC 103'!$AI:$AQ,9,FALSE),"")</f>
        <v/>
      </c>
      <c r="X1691" s="1146">
        <f t="shared" si="474"/>
        <v>0</v>
      </c>
      <c r="Y1691" s="1143">
        <f t="shared" si="484"/>
        <v>0</v>
      </c>
      <c r="Z1691" s="1147">
        <f t="shared" si="475"/>
        <v>0</v>
      </c>
      <c r="AA1691" s="1144">
        <f t="shared" si="476"/>
        <v>0</v>
      </c>
      <c r="AB1691" s="1144">
        <f t="shared" si="477"/>
        <v>0</v>
      </c>
      <c r="AC1691" s="1144">
        <f t="shared" si="478"/>
        <v>0</v>
      </c>
      <c r="AD1691" s="1148">
        <f t="shared" si="470"/>
        <v>0</v>
      </c>
      <c r="AE1691" s="1487">
        <v>0</v>
      </c>
      <c r="AF1691" s="1145">
        <f t="shared" si="479"/>
        <v>0</v>
      </c>
      <c r="AG1691" s="1149">
        <f>IFERROR(VLOOKUP(CONCATENATE($L1691,$N1691),'Drop List'!$G$23:$K$87,2,FALSE),0)</f>
        <v>0</v>
      </c>
      <c r="AH1691" s="1150">
        <f>IFERROR(VLOOKUP(CONCATENATE($L1691,$N1691),'Drop List'!$G$23:$K$87,3,FALSE),0)</f>
        <v>0</v>
      </c>
      <c r="AI1691" s="1150">
        <f>IFERROR(VLOOKUP(CONCATENATE($L1691,$N1691),'Drop List'!$G$23:$K$87,4,FALSE),0)</f>
        <v>0</v>
      </c>
      <c r="AJ1691" s="1151">
        <f>IFERROR(VLOOKUP(CONCATENATE($L1691,$N1691),'Drop List'!$G$23:$K$87,5,FALSE),0)</f>
        <v>0</v>
      </c>
      <c r="AK1691" s="1152">
        <f t="shared" si="480"/>
        <v>0</v>
      </c>
      <c r="AL1691" s="1153">
        <f t="shared" si="481"/>
        <v>0</v>
      </c>
      <c r="AM1691" s="1153">
        <f t="shared" si="482"/>
        <v>0</v>
      </c>
      <c r="AN1691" s="1145">
        <f t="shared" si="483"/>
        <v>0</v>
      </c>
      <c r="AO1691" s="1154">
        <f t="shared" si="468"/>
        <v>0</v>
      </c>
      <c r="AP1691" s="1147">
        <f t="shared" si="471"/>
        <v>0</v>
      </c>
      <c r="AQ1691" s="1144">
        <f t="shared" si="472"/>
        <v>0</v>
      </c>
      <c r="AR1691" s="1146">
        <f t="shared" si="473"/>
        <v>0</v>
      </c>
    </row>
    <row r="1692" spans="1:44" x14ac:dyDescent="0.2">
      <c r="A1692" s="1141" t="str">
        <f t="shared" si="485"/>
        <v/>
      </c>
      <c r="B1692" s="1141" t="str">
        <f>IFERROR(VLOOKUP(A1692,'LAC 103'!A:C,3,FALSE),"")</f>
        <v/>
      </c>
      <c r="C1692" s="1478" t="str">
        <f>Info!$B$8</f>
        <v>00100</v>
      </c>
      <c r="D1692" s="1474"/>
      <c r="E1692" s="1474"/>
      <c r="F1692" s="1478"/>
      <c r="G1692" s="1478"/>
      <c r="H1692" s="1474"/>
      <c r="I1692" s="1478"/>
      <c r="J1692" s="1478"/>
      <c r="K1692" s="1475"/>
      <c r="L1692" s="1474"/>
      <c r="M1692" s="1476"/>
      <c r="N1692" s="1477"/>
      <c r="O1692" s="1479"/>
      <c r="P1692" s="1479"/>
      <c r="Q1692" s="1142">
        <f t="shared" si="469"/>
        <v>0</v>
      </c>
      <c r="R1692" s="1143">
        <f>IFERROR(VLOOKUP(CONCATENATE($E1692,$G1692),'LAC 103'!$A$12:$O$95,11,FALSE),0)</f>
        <v>0</v>
      </c>
      <c r="S1692" s="1144">
        <f>IFERROR(VLOOKUP(CONCATENATE($E1692,$G1692),'LAC 103'!$A$12:$O$95,12,FALSE),0)</f>
        <v>0</v>
      </c>
      <c r="T1692" s="1144">
        <f>IFERROR(VLOOKUP(CONCATENATE($E1692,$G1692),'LAC 103'!$A$12:$O$95,13,FALSE),0)</f>
        <v>0</v>
      </c>
      <c r="U1692" s="1144">
        <f>IFERROR(VLOOKUP(CONCATENATE($E1692,$G1692),'LAC 103'!$A$12:$O$95,14,FALSE),0)</f>
        <v>0</v>
      </c>
      <c r="V1692" s="1144">
        <f>IFERROR(VLOOKUP(CONCATENATE($E1692,$G1692),'LAC 103'!$A$12:$O$95,15,FALSE),0)</f>
        <v>0</v>
      </c>
      <c r="W1692" s="1145" t="str">
        <f>IFERROR(VLOOKUP(CONCATENATE($B1692,$N1692),'LAC 103'!$AI:$AQ,9,FALSE),"")</f>
        <v/>
      </c>
      <c r="X1692" s="1146">
        <f t="shared" si="474"/>
        <v>0</v>
      </c>
      <c r="Y1692" s="1143">
        <f t="shared" si="484"/>
        <v>0</v>
      </c>
      <c r="Z1692" s="1147">
        <f t="shared" si="475"/>
        <v>0</v>
      </c>
      <c r="AA1692" s="1144">
        <f t="shared" si="476"/>
        <v>0</v>
      </c>
      <c r="AB1692" s="1144">
        <f t="shared" si="477"/>
        <v>0</v>
      </c>
      <c r="AC1692" s="1144">
        <f t="shared" si="478"/>
        <v>0</v>
      </c>
      <c r="AD1692" s="1148">
        <f t="shared" si="470"/>
        <v>0</v>
      </c>
      <c r="AE1692" s="1487">
        <v>0</v>
      </c>
      <c r="AF1692" s="1145">
        <f t="shared" si="479"/>
        <v>0</v>
      </c>
      <c r="AG1692" s="1149">
        <f>IFERROR(VLOOKUP(CONCATENATE($L1692,$N1692),'Drop List'!$G$23:$K$87,2,FALSE),0)</f>
        <v>0</v>
      </c>
      <c r="AH1692" s="1150">
        <f>IFERROR(VLOOKUP(CONCATENATE($L1692,$N1692),'Drop List'!$G$23:$K$87,3,FALSE),0)</f>
        <v>0</v>
      </c>
      <c r="AI1692" s="1150">
        <f>IFERROR(VLOOKUP(CONCATENATE($L1692,$N1692),'Drop List'!$G$23:$K$87,4,FALSE),0)</f>
        <v>0</v>
      </c>
      <c r="AJ1692" s="1151">
        <f>IFERROR(VLOOKUP(CONCATENATE($L1692,$N1692),'Drop List'!$G$23:$K$87,5,FALSE),0)</f>
        <v>0</v>
      </c>
      <c r="AK1692" s="1152">
        <f t="shared" si="480"/>
        <v>0</v>
      </c>
      <c r="AL1692" s="1153">
        <f t="shared" si="481"/>
        <v>0</v>
      </c>
      <c r="AM1692" s="1153">
        <f t="shared" si="482"/>
        <v>0</v>
      </c>
      <c r="AN1692" s="1145">
        <f t="shared" si="483"/>
        <v>0</v>
      </c>
      <c r="AO1692" s="1154">
        <f t="shared" si="468"/>
        <v>0</v>
      </c>
      <c r="AP1692" s="1147">
        <f t="shared" si="471"/>
        <v>0</v>
      </c>
      <c r="AQ1692" s="1144">
        <f t="shared" si="472"/>
        <v>0</v>
      </c>
      <c r="AR1692" s="1146">
        <f t="shared" si="473"/>
        <v>0</v>
      </c>
    </row>
    <row r="1693" spans="1:44" x14ac:dyDescent="0.2">
      <c r="A1693" s="1141" t="str">
        <f t="shared" si="485"/>
        <v/>
      </c>
      <c r="B1693" s="1141" t="str">
        <f>IFERROR(VLOOKUP(A1693,'LAC 103'!A:C,3,FALSE),"")</f>
        <v/>
      </c>
      <c r="C1693" s="1478" t="str">
        <f>Info!$B$8</f>
        <v>00100</v>
      </c>
      <c r="D1693" s="1474"/>
      <c r="E1693" s="1474"/>
      <c r="F1693" s="1478"/>
      <c r="G1693" s="1478"/>
      <c r="H1693" s="1474"/>
      <c r="I1693" s="1478"/>
      <c r="J1693" s="1478"/>
      <c r="K1693" s="1475"/>
      <c r="L1693" s="1474"/>
      <c r="M1693" s="1476"/>
      <c r="N1693" s="1477"/>
      <c r="O1693" s="1479"/>
      <c r="P1693" s="1479"/>
      <c r="Q1693" s="1142">
        <f t="shared" si="469"/>
        <v>0</v>
      </c>
      <c r="R1693" s="1143">
        <f>IFERROR(VLOOKUP(CONCATENATE($E1693,$G1693),'LAC 103'!$A$12:$O$95,11,FALSE),0)</f>
        <v>0</v>
      </c>
      <c r="S1693" s="1144">
        <f>IFERROR(VLOOKUP(CONCATENATE($E1693,$G1693),'LAC 103'!$A$12:$O$95,12,FALSE),0)</f>
        <v>0</v>
      </c>
      <c r="T1693" s="1144">
        <f>IFERROR(VLOOKUP(CONCATENATE($E1693,$G1693),'LAC 103'!$A$12:$O$95,13,FALSE),0)</f>
        <v>0</v>
      </c>
      <c r="U1693" s="1144">
        <f>IFERROR(VLOOKUP(CONCATENATE($E1693,$G1693),'LAC 103'!$A$12:$O$95,14,FALSE),0)</f>
        <v>0</v>
      </c>
      <c r="V1693" s="1144">
        <f>IFERROR(VLOOKUP(CONCATENATE($E1693,$G1693),'LAC 103'!$A$12:$O$95,15,FALSE),0)</f>
        <v>0</v>
      </c>
      <c r="W1693" s="1145" t="str">
        <f>IFERROR(VLOOKUP(CONCATENATE($B1693,$N1693),'LAC 103'!$AI:$AQ,9,FALSE),"")</f>
        <v/>
      </c>
      <c r="X1693" s="1146">
        <f t="shared" si="474"/>
        <v>0</v>
      </c>
      <c r="Y1693" s="1143">
        <f t="shared" si="484"/>
        <v>0</v>
      </c>
      <c r="Z1693" s="1147">
        <f t="shared" si="475"/>
        <v>0</v>
      </c>
      <c r="AA1693" s="1144">
        <f t="shared" si="476"/>
        <v>0</v>
      </c>
      <c r="AB1693" s="1144">
        <f t="shared" si="477"/>
        <v>0</v>
      </c>
      <c r="AC1693" s="1144">
        <f t="shared" si="478"/>
        <v>0</v>
      </c>
      <c r="AD1693" s="1148">
        <f t="shared" si="470"/>
        <v>0</v>
      </c>
      <c r="AE1693" s="1487">
        <v>0</v>
      </c>
      <c r="AF1693" s="1145">
        <f t="shared" si="479"/>
        <v>0</v>
      </c>
      <c r="AG1693" s="1149">
        <f>IFERROR(VLOOKUP(CONCATENATE($L1693,$N1693),'Drop List'!$G$23:$K$87,2,FALSE),0)</f>
        <v>0</v>
      </c>
      <c r="AH1693" s="1150">
        <f>IFERROR(VLOOKUP(CONCATENATE($L1693,$N1693),'Drop List'!$G$23:$K$87,3,FALSE),0)</f>
        <v>0</v>
      </c>
      <c r="AI1693" s="1150">
        <f>IFERROR(VLOOKUP(CONCATENATE($L1693,$N1693),'Drop List'!$G$23:$K$87,4,FALSE),0)</f>
        <v>0</v>
      </c>
      <c r="AJ1693" s="1151">
        <f>IFERROR(VLOOKUP(CONCATENATE($L1693,$N1693),'Drop List'!$G$23:$K$87,5,FALSE),0)</f>
        <v>0</v>
      </c>
      <c r="AK1693" s="1152">
        <f t="shared" si="480"/>
        <v>0</v>
      </c>
      <c r="AL1693" s="1153">
        <f t="shared" si="481"/>
        <v>0</v>
      </c>
      <c r="AM1693" s="1153">
        <f t="shared" si="482"/>
        <v>0</v>
      </c>
      <c r="AN1693" s="1145">
        <f t="shared" si="483"/>
        <v>0</v>
      </c>
      <c r="AO1693" s="1154">
        <f t="shared" si="468"/>
        <v>0</v>
      </c>
      <c r="AP1693" s="1147">
        <f t="shared" si="471"/>
        <v>0</v>
      </c>
      <c r="AQ1693" s="1144">
        <f t="shared" si="472"/>
        <v>0</v>
      </c>
      <c r="AR1693" s="1146">
        <f t="shared" si="473"/>
        <v>0</v>
      </c>
    </row>
    <row r="1694" spans="1:44" x14ac:dyDescent="0.2">
      <c r="A1694" s="1141" t="str">
        <f t="shared" si="485"/>
        <v/>
      </c>
      <c r="B1694" s="1141" t="str">
        <f>IFERROR(VLOOKUP(A1694,'LAC 103'!A:C,3,FALSE),"")</f>
        <v/>
      </c>
      <c r="C1694" s="1478" t="str">
        <f>Info!$B$8</f>
        <v>00100</v>
      </c>
      <c r="D1694" s="1474"/>
      <c r="E1694" s="1474"/>
      <c r="F1694" s="1478"/>
      <c r="G1694" s="1478"/>
      <c r="H1694" s="1474"/>
      <c r="I1694" s="1478"/>
      <c r="J1694" s="1478"/>
      <c r="K1694" s="1475"/>
      <c r="L1694" s="1474"/>
      <c r="M1694" s="1476"/>
      <c r="N1694" s="1477"/>
      <c r="O1694" s="1479"/>
      <c r="P1694" s="1479"/>
      <c r="Q1694" s="1142">
        <f t="shared" si="469"/>
        <v>0</v>
      </c>
      <c r="R1694" s="1143">
        <f>IFERROR(VLOOKUP(CONCATENATE($E1694,$G1694),'LAC 103'!$A$12:$O$95,11,FALSE),0)</f>
        <v>0</v>
      </c>
      <c r="S1694" s="1144">
        <f>IFERROR(VLOOKUP(CONCATENATE($E1694,$G1694),'LAC 103'!$A$12:$O$95,12,FALSE),0)</f>
        <v>0</v>
      </c>
      <c r="T1694" s="1144">
        <f>IFERROR(VLOOKUP(CONCATENATE($E1694,$G1694),'LAC 103'!$A$12:$O$95,13,FALSE),0)</f>
        <v>0</v>
      </c>
      <c r="U1694" s="1144">
        <f>IFERROR(VLOOKUP(CONCATENATE($E1694,$G1694),'LAC 103'!$A$12:$O$95,14,FALSE),0)</f>
        <v>0</v>
      </c>
      <c r="V1694" s="1144">
        <f>IFERROR(VLOOKUP(CONCATENATE($E1694,$G1694),'LAC 103'!$A$12:$O$95,15,FALSE),0)</f>
        <v>0</v>
      </c>
      <c r="W1694" s="1145" t="str">
        <f>IFERROR(VLOOKUP(CONCATENATE($B1694,$N1694),'LAC 103'!$AI:$AQ,9,FALSE),"")</f>
        <v/>
      </c>
      <c r="X1694" s="1146">
        <f t="shared" si="474"/>
        <v>0</v>
      </c>
      <c r="Y1694" s="1143">
        <f t="shared" si="484"/>
        <v>0</v>
      </c>
      <c r="Z1694" s="1147">
        <f t="shared" si="475"/>
        <v>0</v>
      </c>
      <c r="AA1694" s="1144">
        <f t="shared" si="476"/>
        <v>0</v>
      </c>
      <c r="AB1694" s="1144">
        <f t="shared" si="477"/>
        <v>0</v>
      </c>
      <c r="AC1694" s="1144">
        <f t="shared" si="478"/>
        <v>0</v>
      </c>
      <c r="AD1694" s="1148">
        <f t="shared" si="470"/>
        <v>0</v>
      </c>
      <c r="AE1694" s="1487">
        <v>0</v>
      </c>
      <c r="AF1694" s="1145">
        <f t="shared" si="479"/>
        <v>0</v>
      </c>
      <c r="AG1694" s="1149">
        <f>IFERROR(VLOOKUP(CONCATENATE($L1694,$N1694),'Drop List'!$G$23:$K$87,2,FALSE),0)</f>
        <v>0</v>
      </c>
      <c r="AH1694" s="1150">
        <f>IFERROR(VLOOKUP(CONCATENATE($L1694,$N1694),'Drop List'!$G$23:$K$87,3,FALSE),0)</f>
        <v>0</v>
      </c>
      <c r="AI1694" s="1150">
        <f>IFERROR(VLOOKUP(CONCATENATE($L1694,$N1694),'Drop List'!$G$23:$K$87,4,FALSE),0)</f>
        <v>0</v>
      </c>
      <c r="AJ1694" s="1151">
        <f>IFERROR(VLOOKUP(CONCATENATE($L1694,$N1694),'Drop List'!$G$23:$K$87,5,FALSE),0)</f>
        <v>0</v>
      </c>
      <c r="AK1694" s="1152">
        <f t="shared" si="480"/>
        <v>0</v>
      </c>
      <c r="AL1694" s="1153">
        <f t="shared" si="481"/>
        <v>0</v>
      </c>
      <c r="AM1694" s="1153">
        <f t="shared" si="482"/>
        <v>0</v>
      </c>
      <c r="AN1694" s="1145">
        <f t="shared" si="483"/>
        <v>0</v>
      </c>
      <c r="AO1694" s="1154">
        <f t="shared" ref="AO1694:AO1757" si="486">SUM(AK1694:AN1694)</f>
        <v>0</v>
      </c>
      <c r="AP1694" s="1147">
        <f t="shared" si="471"/>
        <v>0</v>
      </c>
      <c r="AQ1694" s="1144">
        <f t="shared" si="472"/>
        <v>0</v>
      </c>
      <c r="AR1694" s="1146">
        <f t="shared" si="473"/>
        <v>0</v>
      </c>
    </row>
    <row r="1695" spans="1:44" x14ac:dyDescent="0.2">
      <c r="A1695" s="1141" t="str">
        <f t="shared" si="485"/>
        <v/>
      </c>
      <c r="B1695" s="1141" t="str">
        <f>IFERROR(VLOOKUP(A1695,'LAC 103'!A:C,3,FALSE),"")</f>
        <v/>
      </c>
      <c r="C1695" s="1478" t="str">
        <f>Info!$B$8</f>
        <v>00100</v>
      </c>
      <c r="D1695" s="1474"/>
      <c r="E1695" s="1474"/>
      <c r="F1695" s="1478"/>
      <c r="G1695" s="1478"/>
      <c r="H1695" s="1474"/>
      <c r="I1695" s="1478"/>
      <c r="J1695" s="1478"/>
      <c r="K1695" s="1475"/>
      <c r="L1695" s="1474"/>
      <c r="M1695" s="1476"/>
      <c r="N1695" s="1477"/>
      <c r="O1695" s="1479"/>
      <c r="P1695" s="1479"/>
      <c r="Q1695" s="1142">
        <f t="shared" si="469"/>
        <v>0</v>
      </c>
      <c r="R1695" s="1143">
        <f>IFERROR(VLOOKUP(CONCATENATE($E1695,$G1695),'LAC 103'!$A$12:$O$95,11,FALSE),0)</f>
        <v>0</v>
      </c>
      <c r="S1695" s="1144">
        <f>IFERROR(VLOOKUP(CONCATENATE($E1695,$G1695),'LAC 103'!$A$12:$O$95,12,FALSE),0)</f>
        <v>0</v>
      </c>
      <c r="T1695" s="1144">
        <f>IFERROR(VLOOKUP(CONCATENATE($E1695,$G1695),'LAC 103'!$A$12:$O$95,13,FALSE),0)</f>
        <v>0</v>
      </c>
      <c r="U1695" s="1144">
        <f>IFERROR(VLOOKUP(CONCATENATE($E1695,$G1695),'LAC 103'!$A$12:$O$95,14,FALSE),0)</f>
        <v>0</v>
      </c>
      <c r="V1695" s="1144">
        <f>IFERROR(VLOOKUP(CONCATENATE($E1695,$G1695),'LAC 103'!$A$12:$O$95,15,FALSE),0)</f>
        <v>0</v>
      </c>
      <c r="W1695" s="1145" t="str">
        <f>IFERROR(VLOOKUP(CONCATENATE($B1695,$N1695),'LAC 103'!$AI:$AQ,9,FALSE),"")</f>
        <v/>
      </c>
      <c r="X1695" s="1146">
        <f t="shared" si="474"/>
        <v>0</v>
      </c>
      <c r="Y1695" s="1143">
        <f t="shared" si="484"/>
        <v>0</v>
      </c>
      <c r="Z1695" s="1147">
        <f t="shared" si="475"/>
        <v>0</v>
      </c>
      <c r="AA1695" s="1144">
        <f t="shared" si="476"/>
        <v>0</v>
      </c>
      <c r="AB1695" s="1144">
        <f t="shared" si="477"/>
        <v>0</v>
      </c>
      <c r="AC1695" s="1144">
        <f t="shared" si="478"/>
        <v>0</v>
      </c>
      <c r="AD1695" s="1148">
        <f t="shared" si="470"/>
        <v>0</v>
      </c>
      <c r="AE1695" s="1487">
        <v>0</v>
      </c>
      <c r="AF1695" s="1145">
        <f t="shared" si="479"/>
        <v>0</v>
      </c>
      <c r="AG1695" s="1149">
        <f>IFERROR(VLOOKUP(CONCATENATE($L1695,$N1695),'Drop List'!$G$23:$K$87,2,FALSE),0)</f>
        <v>0</v>
      </c>
      <c r="AH1695" s="1150">
        <f>IFERROR(VLOOKUP(CONCATENATE($L1695,$N1695),'Drop List'!$G$23:$K$87,3,FALSE),0)</f>
        <v>0</v>
      </c>
      <c r="AI1695" s="1150">
        <f>IFERROR(VLOOKUP(CONCATENATE($L1695,$N1695),'Drop List'!$G$23:$K$87,4,FALSE),0)</f>
        <v>0</v>
      </c>
      <c r="AJ1695" s="1151">
        <f>IFERROR(VLOOKUP(CONCATENATE($L1695,$N1695),'Drop List'!$G$23:$K$87,5,FALSE),0)</f>
        <v>0</v>
      </c>
      <c r="AK1695" s="1152">
        <f t="shared" si="480"/>
        <v>0</v>
      </c>
      <c r="AL1695" s="1153">
        <f t="shared" si="481"/>
        <v>0</v>
      </c>
      <c r="AM1695" s="1153">
        <f t="shared" si="482"/>
        <v>0</v>
      </c>
      <c r="AN1695" s="1145">
        <f t="shared" si="483"/>
        <v>0</v>
      </c>
      <c r="AO1695" s="1154">
        <f t="shared" si="486"/>
        <v>0</v>
      </c>
      <c r="AP1695" s="1147">
        <f t="shared" si="471"/>
        <v>0</v>
      </c>
      <c r="AQ1695" s="1144">
        <f t="shared" si="472"/>
        <v>0</v>
      </c>
      <c r="AR1695" s="1146">
        <f t="shared" si="473"/>
        <v>0</v>
      </c>
    </row>
    <row r="1696" spans="1:44" x14ac:dyDescent="0.2">
      <c r="A1696" s="1141" t="str">
        <f t="shared" si="485"/>
        <v/>
      </c>
      <c r="B1696" s="1141" t="str">
        <f>IFERROR(VLOOKUP(A1696,'LAC 103'!A:C,3,FALSE),"")</f>
        <v/>
      </c>
      <c r="C1696" s="1478" t="str">
        <f>Info!$B$8</f>
        <v>00100</v>
      </c>
      <c r="D1696" s="1474"/>
      <c r="E1696" s="1474"/>
      <c r="F1696" s="1478"/>
      <c r="G1696" s="1478"/>
      <c r="H1696" s="1474"/>
      <c r="I1696" s="1478"/>
      <c r="J1696" s="1478"/>
      <c r="K1696" s="1475"/>
      <c r="L1696" s="1474"/>
      <c r="M1696" s="1476"/>
      <c r="N1696" s="1477"/>
      <c r="O1696" s="1479"/>
      <c r="P1696" s="1479"/>
      <c r="Q1696" s="1142">
        <f t="shared" si="469"/>
        <v>0</v>
      </c>
      <c r="R1696" s="1143">
        <f>IFERROR(VLOOKUP(CONCATENATE($E1696,$G1696),'LAC 103'!$A$12:$O$95,11,FALSE),0)</f>
        <v>0</v>
      </c>
      <c r="S1696" s="1144">
        <f>IFERROR(VLOOKUP(CONCATENATE($E1696,$G1696),'LAC 103'!$A$12:$O$95,12,FALSE),0)</f>
        <v>0</v>
      </c>
      <c r="T1696" s="1144">
        <f>IFERROR(VLOOKUP(CONCATENATE($E1696,$G1696),'LAC 103'!$A$12:$O$95,13,FALSE),0)</f>
        <v>0</v>
      </c>
      <c r="U1696" s="1144">
        <f>IFERROR(VLOOKUP(CONCATENATE($E1696,$G1696),'LAC 103'!$A$12:$O$95,14,FALSE),0)</f>
        <v>0</v>
      </c>
      <c r="V1696" s="1144">
        <f>IFERROR(VLOOKUP(CONCATENATE($E1696,$G1696),'LAC 103'!$A$12:$O$95,15,FALSE),0)</f>
        <v>0</v>
      </c>
      <c r="W1696" s="1145" t="str">
        <f>IFERROR(VLOOKUP(CONCATENATE($B1696,$N1696),'LAC 103'!$AI:$AQ,9,FALSE),"")</f>
        <v/>
      </c>
      <c r="X1696" s="1146">
        <f t="shared" si="474"/>
        <v>0</v>
      </c>
      <c r="Y1696" s="1143">
        <f t="shared" si="484"/>
        <v>0</v>
      </c>
      <c r="Z1696" s="1147">
        <f t="shared" si="475"/>
        <v>0</v>
      </c>
      <c r="AA1696" s="1144">
        <f t="shared" si="476"/>
        <v>0</v>
      </c>
      <c r="AB1696" s="1144">
        <f t="shared" si="477"/>
        <v>0</v>
      </c>
      <c r="AC1696" s="1144">
        <f t="shared" si="478"/>
        <v>0</v>
      </c>
      <c r="AD1696" s="1148">
        <f t="shared" si="470"/>
        <v>0</v>
      </c>
      <c r="AE1696" s="1487">
        <v>0</v>
      </c>
      <c r="AF1696" s="1145">
        <f t="shared" si="479"/>
        <v>0</v>
      </c>
      <c r="AG1696" s="1149">
        <f>IFERROR(VLOOKUP(CONCATENATE($L1696,$N1696),'Drop List'!$G$23:$K$87,2,FALSE),0)</f>
        <v>0</v>
      </c>
      <c r="AH1696" s="1150">
        <f>IFERROR(VLOOKUP(CONCATENATE($L1696,$N1696),'Drop List'!$G$23:$K$87,3,FALSE),0)</f>
        <v>0</v>
      </c>
      <c r="AI1696" s="1150">
        <f>IFERROR(VLOOKUP(CONCATENATE($L1696,$N1696),'Drop List'!$G$23:$K$87,4,FALSE),0)</f>
        <v>0</v>
      </c>
      <c r="AJ1696" s="1151">
        <f>IFERROR(VLOOKUP(CONCATENATE($L1696,$N1696),'Drop List'!$G$23:$K$87,5,FALSE),0)</f>
        <v>0</v>
      </c>
      <c r="AK1696" s="1152">
        <f t="shared" si="480"/>
        <v>0</v>
      </c>
      <c r="AL1696" s="1153">
        <f t="shared" si="481"/>
        <v>0</v>
      </c>
      <c r="AM1696" s="1153">
        <f t="shared" si="482"/>
        <v>0</v>
      </c>
      <c r="AN1696" s="1145">
        <f t="shared" si="483"/>
        <v>0</v>
      </c>
      <c r="AO1696" s="1154">
        <f t="shared" si="486"/>
        <v>0</v>
      </c>
      <c r="AP1696" s="1147">
        <f t="shared" si="471"/>
        <v>0</v>
      </c>
      <c r="AQ1696" s="1144">
        <f t="shared" si="472"/>
        <v>0</v>
      </c>
      <c r="AR1696" s="1146">
        <f t="shared" si="473"/>
        <v>0</v>
      </c>
    </row>
    <row r="1697" spans="1:44" x14ac:dyDescent="0.2">
      <c r="A1697" s="1141" t="str">
        <f t="shared" si="485"/>
        <v/>
      </c>
      <c r="B1697" s="1141" t="str">
        <f>IFERROR(VLOOKUP(A1697,'LAC 103'!A:C,3,FALSE),"")</f>
        <v/>
      </c>
      <c r="C1697" s="1478" t="str">
        <f>Info!$B$8</f>
        <v>00100</v>
      </c>
      <c r="D1697" s="1474"/>
      <c r="E1697" s="1474"/>
      <c r="F1697" s="1478"/>
      <c r="G1697" s="1478"/>
      <c r="H1697" s="1474"/>
      <c r="I1697" s="1478"/>
      <c r="J1697" s="1478"/>
      <c r="K1697" s="1475"/>
      <c r="L1697" s="1474"/>
      <c r="M1697" s="1476"/>
      <c r="N1697" s="1477"/>
      <c r="O1697" s="1479"/>
      <c r="P1697" s="1479"/>
      <c r="Q1697" s="1142">
        <f t="shared" si="469"/>
        <v>0</v>
      </c>
      <c r="R1697" s="1143">
        <f>IFERROR(VLOOKUP(CONCATENATE($E1697,$G1697),'LAC 103'!$A$12:$O$95,11,FALSE),0)</f>
        <v>0</v>
      </c>
      <c r="S1697" s="1144">
        <f>IFERROR(VLOOKUP(CONCATENATE($E1697,$G1697),'LAC 103'!$A$12:$O$95,12,FALSE),0)</f>
        <v>0</v>
      </c>
      <c r="T1697" s="1144">
        <f>IFERROR(VLOOKUP(CONCATENATE($E1697,$G1697),'LAC 103'!$A$12:$O$95,13,FALSE),0)</f>
        <v>0</v>
      </c>
      <c r="U1697" s="1144">
        <f>IFERROR(VLOOKUP(CONCATENATE($E1697,$G1697),'LAC 103'!$A$12:$O$95,14,FALSE),0)</f>
        <v>0</v>
      </c>
      <c r="V1697" s="1144">
        <f>IFERROR(VLOOKUP(CONCATENATE($E1697,$G1697),'LAC 103'!$A$12:$O$95,15,FALSE),0)</f>
        <v>0</v>
      </c>
      <c r="W1697" s="1145" t="str">
        <f>IFERROR(VLOOKUP(CONCATENATE($B1697,$N1697),'LAC 103'!$AI:$AQ,9,FALSE),"")</f>
        <v/>
      </c>
      <c r="X1697" s="1146">
        <f t="shared" si="474"/>
        <v>0</v>
      </c>
      <c r="Y1697" s="1143">
        <f t="shared" si="484"/>
        <v>0</v>
      </c>
      <c r="Z1697" s="1147">
        <f t="shared" si="475"/>
        <v>0</v>
      </c>
      <c r="AA1697" s="1144">
        <f t="shared" si="476"/>
        <v>0</v>
      </c>
      <c r="AB1697" s="1144">
        <f t="shared" si="477"/>
        <v>0</v>
      </c>
      <c r="AC1697" s="1144">
        <f t="shared" si="478"/>
        <v>0</v>
      </c>
      <c r="AD1697" s="1148">
        <f t="shared" si="470"/>
        <v>0</v>
      </c>
      <c r="AE1697" s="1487">
        <v>0</v>
      </c>
      <c r="AF1697" s="1145">
        <f t="shared" si="479"/>
        <v>0</v>
      </c>
      <c r="AG1697" s="1149">
        <f>IFERROR(VLOOKUP(CONCATENATE($L1697,$N1697),'Drop List'!$G$23:$K$87,2,FALSE),0)</f>
        <v>0</v>
      </c>
      <c r="AH1697" s="1150">
        <f>IFERROR(VLOOKUP(CONCATENATE($L1697,$N1697),'Drop List'!$G$23:$K$87,3,FALSE),0)</f>
        <v>0</v>
      </c>
      <c r="AI1697" s="1150">
        <f>IFERROR(VLOOKUP(CONCATENATE($L1697,$N1697),'Drop List'!$G$23:$K$87,4,FALSE),0)</f>
        <v>0</v>
      </c>
      <c r="AJ1697" s="1151">
        <f>IFERROR(VLOOKUP(CONCATENATE($L1697,$N1697),'Drop List'!$G$23:$K$87,5,FALSE),0)</f>
        <v>0</v>
      </c>
      <c r="AK1697" s="1152">
        <f t="shared" si="480"/>
        <v>0</v>
      </c>
      <c r="AL1697" s="1153">
        <f t="shared" si="481"/>
        <v>0</v>
      </c>
      <c r="AM1697" s="1153">
        <f t="shared" si="482"/>
        <v>0</v>
      </c>
      <c r="AN1697" s="1145">
        <f t="shared" si="483"/>
        <v>0</v>
      </c>
      <c r="AO1697" s="1154">
        <f t="shared" si="486"/>
        <v>0</v>
      </c>
      <c r="AP1697" s="1147">
        <f t="shared" si="471"/>
        <v>0</v>
      </c>
      <c r="AQ1697" s="1144">
        <f t="shared" si="472"/>
        <v>0</v>
      </c>
      <c r="AR1697" s="1146">
        <f t="shared" si="473"/>
        <v>0</v>
      </c>
    </row>
    <row r="1698" spans="1:44" x14ac:dyDescent="0.2">
      <c r="A1698" s="1141" t="str">
        <f t="shared" si="485"/>
        <v/>
      </c>
      <c r="B1698" s="1141" t="str">
        <f>IFERROR(VLOOKUP(A1698,'LAC 103'!A:C,3,FALSE),"")</f>
        <v/>
      </c>
      <c r="C1698" s="1478" t="str">
        <f>Info!$B$8</f>
        <v>00100</v>
      </c>
      <c r="D1698" s="1474"/>
      <c r="E1698" s="1474"/>
      <c r="F1698" s="1478"/>
      <c r="G1698" s="1478"/>
      <c r="H1698" s="1474"/>
      <c r="I1698" s="1478"/>
      <c r="J1698" s="1478"/>
      <c r="K1698" s="1475"/>
      <c r="L1698" s="1474"/>
      <c r="M1698" s="1476"/>
      <c r="N1698" s="1477"/>
      <c r="O1698" s="1479"/>
      <c r="P1698" s="1479"/>
      <c r="Q1698" s="1142">
        <f t="shared" si="469"/>
        <v>0</v>
      </c>
      <c r="R1698" s="1143">
        <f>IFERROR(VLOOKUP(CONCATENATE($E1698,$G1698),'LAC 103'!$A$12:$O$95,11,FALSE),0)</f>
        <v>0</v>
      </c>
      <c r="S1698" s="1144">
        <f>IFERROR(VLOOKUP(CONCATENATE($E1698,$G1698),'LAC 103'!$A$12:$O$95,12,FALSE),0)</f>
        <v>0</v>
      </c>
      <c r="T1698" s="1144">
        <f>IFERROR(VLOOKUP(CONCATENATE($E1698,$G1698),'LAC 103'!$A$12:$O$95,13,FALSE),0)</f>
        <v>0</v>
      </c>
      <c r="U1698" s="1144">
        <f>IFERROR(VLOOKUP(CONCATENATE($E1698,$G1698),'LAC 103'!$A$12:$O$95,14,FALSE),0)</f>
        <v>0</v>
      </c>
      <c r="V1698" s="1144">
        <f>IFERROR(VLOOKUP(CONCATENATE($E1698,$G1698),'LAC 103'!$A$12:$O$95,15,FALSE),0)</f>
        <v>0</v>
      </c>
      <c r="W1698" s="1145" t="str">
        <f>IFERROR(VLOOKUP(CONCATENATE($B1698,$N1698),'LAC 103'!$AI:$AQ,9,FALSE),"")</f>
        <v/>
      </c>
      <c r="X1698" s="1146">
        <f t="shared" si="474"/>
        <v>0</v>
      </c>
      <c r="Y1698" s="1143">
        <f t="shared" si="484"/>
        <v>0</v>
      </c>
      <c r="Z1698" s="1147">
        <f t="shared" si="475"/>
        <v>0</v>
      </c>
      <c r="AA1698" s="1144">
        <f t="shared" si="476"/>
        <v>0</v>
      </c>
      <c r="AB1698" s="1144">
        <f t="shared" si="477"/>
        <v>0</v>
      </c>
      <c r="AC1698" s="1144">
        <f t="shared" si="478"/>
        <v>0</v>
      </c>
      <c r="AD1698" s="1148">
        <f t="shared" si="470"/>
        <v>0</v>
      </c>
      <c r="AE1698" s="1487">
        <v>0</v>
      </c>
      <c r="AF1698" s="1145">
        <f t="shared" si="479"/>
        <v>0</v>
      </c>
      <c r="AG1698" s="1149">
        <f>IFERROR(VLOOKUP(CONCATENATE($L1698,$N1698),'Drop List'!$G$23:$K$87,2,FALSE),0)</f>
        <v>0</v>
      </c>
      <c r="AH1698" s="1150">
        <f>IFERROR(VLOOKUP(CONCATENATE($L1698,$N1698),'Drop List'!$G$23:$K$87,3,FALSE),0)</f>
        <v>0</v>
      </c>
      <c r="AI1698" s="1150">
        <f>IFERROR(VLOOKUP(CONCATENATE($L1698,$N1698),'Drop List'!$G$23:$K$87,4,FALSE),0)</f>
        <v>0</v>
      </c>
      <c r="AJ1698" s="1151">
        <f>IFERROR(VLOOKUP(CONCATENATE($L1698,$N1698),'Drop List'!$G$23:$K$87,5,FALSE),0)</f>
        <v>0</v>
      </c>
      <c r="AK1698" s="1152">
        <f t="shared" si="480"/>
        <v>0</v>
      </c>
      <c r="AL1698" s="1153">
        <f t="shared" si="481"/>
        <v>0</v>
      </c>
      <c r="AM1698" s="1153">
        <f t="shared" si="482"/>
        <v>0</v>
      </c>
      <c r="AN1698" s="1145">
        <f t="shared" si="483"/>
        <v>0</v>
      </c>
      <c r="AO1698" s="1154">
        <f t="shared" si="486"/>
        <v>0</v>
      </c>
      <c r="AP1698" s="1147">
        <f t="shared" si="471"/>
        <v>0</v>
      </c>
      <c r="AQ1698" s="1144">
        <f t="shared" si="472"/>
        <v>0</v>
      </c>
      <c r="AR1698" s="1146">
        <f t="shared" si="473"/>
        <v>0</v>
      </c>
    </row>
    <row r="1699" spans="1:44" x14ac:dyDescent="0.2">
      <c r="A1699" s="1141" t="str">
        <f t="shared" si="485"/>
        <v/>
      </c>
      <c r="B1699" s="1141" t="str">
        <f>IFERROR(VLOOKUP(A1699,'LAC 103'!A:C,3,FALSE),"")</f>
        <v/>
      </c>
      <c r="C1699" s="1478" t="str">
        <f>Info!$B$8</f>
        <v>00100</v>
      </c>
      <c r="D1699" s="1474"/>
      <c r="E1699" s="1474"/>
      <c r="F1699" s="1478"/>
      <c r="G1699" s="1478"/>
      <c r="H1699" s="1474"/>
      <c r="I1699" s="1478"/>
      <c r="J1699" s="1478"/>
      <c r="K1699" s="1475"/>
      <c r="L1699" s="1474"/>
      <c r="M1699" s="1476"/>
      <c r="N1699" s="1477"/>
      <c r="O1699" s="1479"/>
      <c r="P1699" s="1479"/>
      <c r="Q1699" s="1142">
        <f t="shared" si="469"/>
        <v>0</v>
      </c>
      <c r="R1699" s="1143">
        <f>IFERROR(VLOOKUP(CONCATENATE($E1699,$G1699),'LAC 103'!$A$12:$O$95,11,FALSE),0)</f>
        <v>0</v>
      </c>
      <c r="S1699" s="1144">
        <f>IFERROR(VLOOKUP(CONCATENATE($E1699,$G1699),'LAC 103'!$A$12:$O$95,12,FALSE),0)</f>
        <v>0</v>
      </c>
      <c r="T1699" s="1144">
        <f>IFERROR(VLOOKUP(CONCATENATE($E1699,$G1699),'LAC 103'!$A$12:$O$95,13,FALSE),0)</f>
        <v>0</v>
      </c>
      <c r="U1699" s="1144">
        <f>IFERROR(VLOOKUP(CONCATENATE($E1699,$G1699),'LAC 103'!$A$12:$O$95,14,FALSE),0)</f>
        <v>0</v>
      </c>
      <c r="V1699" s="1144">
        <f>IFERROR(VLOOKUP(CONCATENATE($E1699,$G1699),'LAC 103'!$A$12:$O$95,15,FALSE),0)</f>
        <v>0</v>
      </c>
      <c r="W1699" s="1145" t="str">
        <f>IFERROR(VLOOKUP(CONCATENATE($B1699,$N1699),'LAC 103'!$AI:$AQ,9,FALSE),"")</f>
        <v/>
      </c>
      <c r="X1699" s="1146">
        <f t="shared" si="474"/>
        <v>0</v>
      </c>
      <c r="Y1699" s="1143">
        <f t="shared" si="484"/>
        <v>0</v>
      </c>
      <c r="Z1699" s="1147">
        <f t="shared" si="475"/>
        <v>0</v>
      </c>
      <c r="AA1699" s="1144">
        <f t="shared" si="476"/>
        <v>0</v>
      </c>
      <c r="AB1699" s="1144">
        <f t="shared" si="477"/>
        <v>0</v>
      </c>
      <c r="AC1699" s="1144">
        <f t="shared" si="478"/>
        <v>0</v>
      </c>
      <c r="AD1699" s="1148">
        <f t="shared" si="470"/>
        <v>0</v>
      </c>
      <c r="AE1699" s="1487">
        <v>0</v>
      </c>
      <c r="AF1699" s="1145">
        <f t="shared" si="479"/>
        <v>0</v>
      </c>
      <c r="AG1699" s="1149">
        <f>IFERROR(VLOOKUP(CONCATENATE($L1699,$N1699),'Drop List'!$G$23:$K$87,2,FALSE),0)</f>
        <v>0</v>
      </c>
      <c r="AH1699" s="1150">
        <f>IFERROR(VLOOKUP(CONCATENATE($L1699,$N1699),'Drop List'!$G$23:$K$87,3,FALSE),0)</f>
        <v>0</v>
      </c>
      <c r="AI1699" s="1150">
        <f>IFERROR(VLOOKUP(CONCATENATE($L1699,$N1699),'Drop List'!$G$23:$K$87,4,FALSE),0)</f>
        <v>0</v>
      </c>
      <c r="AJ1699" s="1151">
        <f>IFERROR(VLOOKUP(CONCATENATE($L1699,$N1699),'Drop List'!$G$23:$K$87,5,FALSE),0)</f>
        <v>0</v>
      </c>
      <c r="AK1699" s="1152">
        <f t="shared" si="480"/>
        <v>0</v>
      </c>
      <c r="AL1699" s="1153">
        <f t="shared" si="481"/>
        <v>0</v>
      </c>
      <c r="AM1699" s="1153">
        <f t="shared" si="482"/>
        <v>0</v>
      </c>
      <c r="AN1699" s="1145">
        <f t="shared" si="483"/>
        <v>0</v>
      </c>
      <c r="AO1699" s="1154">
        <f t="shared" si="486"/>
        <v>0</v>
      </c>
      <c r="AP1699" s="1147">
        <f t="shared" si="471"/>
        <v>0</v>
      </c>
      <c r="AQ1699" s="1144">
        <f t="shared" si="472"/>
        <v>0</v>
      </c>
      <c r="AR1699" s="1146">
        <f t="shared" si="473"/>
        <v>0</v>
      </c>
    </row>
    <row r="1700" spans="1:44" x14ac:dyDescent="0.2">
      <c r="A1700" s="1141" t="str">
        <f t="shared" si="485"/>
        <v/>
      </c>
      <c r="B1700" s="1141" t="str">
        <f>IFERROR(VLOOKUP(A1700,'LAC 103'!A:C,3,FALSE),"")</f>
        <v/>
      </c>
      <c r="C1700" s="1478" t="str">
        <f>Info!$B$8</f>
        <v>00100</v>
      </c>
      <c r="D1700" s="1474"/>
      <c r="E1700" s="1474"/>
      <c r="F1700" s="1478"/>
      <c r="G1700" s="1478"/>
      <c r="H1700" s="1474"/>
      <c r="I1700" s="1478"/>
      <c r="J1700" s="1478"/>
      <c r="K1700" s="1475"/>
      <c r="L1700" s="1474"/>
      <c r="M1700" s="1476"/>
      <c r="N1700" s="1477"/>
      <c r="O1700" s="1479"/>
      <c r="P1700" s="1479"/>
      <c r="Q1700" s="1142">
        <f t="shared" si="469"/>
        <v>0</v>
      </c>
      <c r="R1700" s="1143">
        <f>IFERROR(VLOOKUP(CONCATENATE($E1700,$G1700),'LAC 103'!$A$12:$O$95,11,FALSE),0)</f>
        <v>0</v>
      </c>
      <c r="S1700" s="1144">
        <f>IFERROR(VLOOKUP(CONCATENATE($E1700,$G1700),'LAC 103'!$A$12:$O$95,12,FALSE),0)</f>
        <v>0</v>
      </c>
      <c r="T1700" s="1144">
        <f>IFERROR(VLOOKUP(CONCATENATE($E1700,$G1700),'LAC 103'!$A$12:$O$95,13,FALSE),0)</f>
        <v>0</v>
      </c>
      <c r="U1700" s="1144">
        <f>IFERROR(VLOOKUP(CONCATENATE($E1700,$G1700),'LAC 103'!$A$12:$O$95,14,FALSE),0)</f>
        <v>0</v>
      </c>
      <c r="V1700" s="1144">
        <f>IFERROR(VLOOKUP(CONCATENATE($E1700,$G1700),'LAC 103'!$A$12:$O$95,15,FALSE),0)</f>
        <v>0</v>
      </c>
      <c r="W1700" s="1145" t="str">
        <f>IFERROR(VLOOKUP(CONCATENATE($B1700,$N1700),'LAC 103'!$AI:$AQ,9,FALSE),"")</f>
        <v/>
      </c>
      <c r="X1700" s="1146">
        <f t="shared" si="474"/>
        <v>0</v>
      </c>
      <c r="Y1700" s="1143">
        <f t="shared" si="484"/>
        <v>0</v>
      </c>
      <c r="Z1700" s="1147">
        <f t="shared" si="475"/>
        <v>0</v>
      </c>
      <c r="AA1700" s="1144">
        <f t="shared" si="476"/>
        <v>0</v>
      </c>
      <c r="AB1700" s="1144">
        <f t="shared" si="477"/>
        <v>0</v>
      </c>
      <c r="AC1700" s="1144">
        <f t="shared" si="478"/>
        <v>0</v>
      </c>
      <c r="AD1700" s="1148">
        <f t="shared" si="470"/>
        <v>0</v>
      </c>
      <c r="AE1700" s="1487">
        <v>0</v>
      </c>
      <c r="AF1700" s="1145">
        <f t="shared" si="479"/>
        <v>0</v>
      </c>
      <c r="AG1700" s="1149">
        <f>IFERROR(VLOOKUP(CONCATENATE($L1700,$N1700),'Drop List'!$G$23:$K$87,2,FALSE),0)</f>
        <v>0</v>
      </c>
      <c r="AH1700" s="1150">
        <f>IFERROR(VLOOKUP(CONCATENATE($L1700,$N1700),'Drop List'!$G$23:$K$87,3,FALSE),0)</f>
        <v>0</v>
      </c>
      <c r="AI1700" s="1150">
        <f>IFERROR(VLOOKUP(CONCATENATE($L1700,$N1700),'Drop List'!$G$23:$K$87,4,FALSE),0)</f>
        <v>0</v>
      </c>
      <c r="AJ1700" s="1151">
        <f>IFERROR(VLOOKUP(CONCATENATE($L1700,$N1700),'Drop List'!$G$23:$K$87,5,FALSE),0)</f>
        <v>0</v>
      </c>
      <c r="AK1700" s="1152">
        <f t="shared" si="480"/>
        <v>0</v>
      </c>
      <c r="AL1700" s="1153">
        <f t="shared" si="481"/>
        <v>0</v>
      </c>
      <c r="AM1700" s="1153">
        <f t="shared" si="482"/>
        <v>0</v>
      </c>
      <c r="AN1700" s="1145">
        <f t="shared" si="483"/>
        <v>0</v>
      </c>
      <c r="AO1700" s="1154">
        <f t="shared" si="486"/>
        <v>0</v>
      </c>
      <c r="AP1700" s="1147">
        <f t="shared" si="471"/>
        <v>0</v>
      </c>
      <c r="AQ1700" s="1144">
        <f t="shared" si="472"/>
        <v>0</v>
      </c>
      <c r="AR1700" s="1146">
        <f t="shared" si="473"/>
        <v>0</v>
      </c>
    </row>
    <row r="1701" spans="1:44" x14ac:dyDescent="0.2">
      <c r="A1701" s="1141" t="str">
        <f t="shared" si="485"/>
        <v/>
      </c>
      <c r="B1701" s="1141" t="str">
        <f>IFERROR(VLOOKUP(A1701,'LAC 103'!A:C,3,FALSE),"")</f>
        <v/>
      </c>
      <c r="C1701" s="1478" t="str">
        <f>Info!$B$8</f>
        <v>00100</v>
      </c>
      <c r="D1701" s="1474"/>
      <c r="E1701" s="1474"/>
      <c r="F1701" s="1478"/>
      <c r="G1701" s="1478"/>
      <c r="H1701" s="1474"/>
      <c r="I1701" s="1478"/>
      <c r="J1701" s="1478"/>
      <c r="K1701" s="1475"/>
      <c r="L1701" s="1474"/>
      <c r="M1701" s="1476"/>
      <c r="N1701" s="1477"/>
      <c r="O1701" s="1479"/>
      <c r="P1701" s="1479"/>
      <c r="Q1701" s="1142">
        <f t="shared" si="469"/>
        <v>0</v>
      </c>
      <c r="R1701" s="1143">
        <f>IFERROR(VLOOKUP(CONCATENATE($E1701,$G1701),'LAC 103'!$A$12:$O$95,11,FALSE),0)</f>
        <v>0</v>
      </c>
      <c r="S1701" s="1144">
        <f>IFERROR(VLOOKUP(CONCATENATE($E1701,$G1701),'LAC 103'!$A$12:$O$95,12,FALSE),0)</f>
        <v>0</v>
      </c>
      <c r="T1701" s="1144">
        <f>IFERROR(VLOOKUP(CONCATENATE($E1701,$G1701),'LAC 103'!$A$12:$O$95,13,FALSE),0)</f>
        <v>0</v>
      </c>
      <c r="U1701" s="1144">
        <f>IFERROR(VLOOKUP(CONCATENATE($E1701,$G1701),'LAC 103'!$A$12:$O$95,14,FALSE),0)</f>
        <v>0</v>
      </c>
      <c r="V1701" s="1144">
        <f>IFERROR(VLOOKUP(CONCATENATE($E1701,$G1701),'LAC 103'!$A$12:$O$95,15,FALSE),0)</f>
        <v>0</v>
      </c>
      <c r="W1701" s="1145" t="str">
        <f>IFERROR(VLOOKUP(CONCATENATE($B1701,$N1701),'LAC 103'!$AI:$AQ,9,FALSE),"")</f>
        <v/>
      </c>
      <c r="X1701" s="1146">
        <f t="shared" si="474"/>
        <v>0</v>
      </c>
      <c r="Y1701" s="1143">
        <f t="shared" si="484"/>
        <v>0</v>
      </c>
      <c r="Z1701" s="1147">
        <f t="shared" si="475"/>
        <v>0</v>
      </c>
      <c r="AA1701" s="1144">
        <f t="shared" si="476"/>
        <v>0</v>
      </c>
      <c r="AB1701" s="1144">
        <f t="shared" si="477"/>
        <v>0</v>
      </c>
      <c r="AC1701" s="1144">
        <f t="shared" si="478"/>
        <v>0</v>
      </c>
      <c r="AD1701" s="1148">
        <f t="shared" si="470"/>
        <v>0</v>
      </c>
      <c r="AE1701" s="1487">
        <v>0</v>
      </c>
      <c r="AF1701" s="1145">
        <f t="shared" si="479"/>
        <v>0</v>
      </c>
      <c r="AG1701" s="1149">
        <f>IFERROR(VLOOKUP(CONCATENATE($L1701,$N1701),'Drop List'!$G$23:$K$87,2,FALSE),0)</f>
        <v>0</v>
      </c>
      <c r="AH1701" s="1150">
        <f>IFERROR(VLOOKUP(CONCATENATE($L1701,$N1701),'Drop List'!$G$23:$K$87,3,FALSE),0)</f>
        <v>0</v>
      </c>
      <c r="AI1701" s="1150">
        <f>IFERROR(VLOOKUP(CONCATENATE($L1701,$N1701),'Drop List'!$G$23:$K$87,4,FALSE),0)</f>
        <v>0</v>
      </c>
      <c r="AJ1701" s="1151">
        <f>IFERROR(VLOOKUP(CONCATENATE($L1701,$N1701),'Drop List'!$G$23:$K$87,5,FALSE),0)</f>
        <v>0</v>
      </c>
      <c r="AK1701" s="1152">
        <f t="shared" si="480"/>
        <v>0</v>
      </c>
      <c r="AL1701" s="1153">
        <f t="shared" si="481"/>
        <v>0</v>
      </c>
      <c r="AM1701" s="1153">
        <f t="shared" si="482"/>
        <v>0</v>
      </c>
      <c r="AN1701" s="1145">
        <f t="shared" si="483"/>
        <v>0</v>
      </c>
      <c r="AO1701" s="1154">
        <f t="shared" si="486"/>
        <v>0</v>
      </c>
      <c r="AP1701" s="1147">
        <f t="shared" si="471"/>
        <v>0</v>
      </c>
      <c r="AQ1701" s="1144">
        <f t="shared" si="472"/>
        <v>0</v>
      </c>
      <c r="AR1701" s="1146">
        <f t="shared" si="473"/>
        <v>0</v>
      </c>
    </row>
    <row r="1702" spans="1:44" x14ac:dyDescent="0.2">
      <c r="A1702" s="1141" t="str">
        <f t="shared" si="485"/>
        <v/>
      </c>
      <c r="B1702" s="1141" t="str">
        <f>IFERROR(VLOOKUP(A1702,'LAC 103'!A:C,3,FALSE),"")</f>
        <v/>
      </c>
      <c r="C1702" s="1478" t="str">
        <f>Info!$B$8</f>
        <v>00100</v>
      </c>
      <c r="D1702" s="1474"/>
      <c r="E1702" s="1474"/>
      <c r="F1702" s="1478"/>
      <c r="G1702" s="1478"/>
      <c r="H1702" s="1474"/>
      <c r="I1702" s="1478"/>
      <c r="J1702" s="1478"/>
      <c r="K1702" s="1475"/>
      <c r="L1702" s="1474"/>
      <c r="M1702" s="1476"/>
      <c r="N1702" s="1477"/>
      <c r="O1702" s="1479"/>
      <c r="P1702" s="1479"/>
      <c r="Q1702" s="1142">
        <f t="shared" si="469"/>
        <v>0</v>
      </c>
      <c r="R1702" s="1143">
        <f>IFERROR(VLOOKUP(CONCATENATE($E1702,$G1702),'LAC 103'!$A$12:$O$95,11,FALSE),0)</f>
        <v>0</v>
      </c>
      <c r="S1702" s="1144">
        <f>IFERROR(VLOOKUP(CONCATENATE($E1702,$G1702),'LAC 103'!$A$12:$O$95,12,FALSE),0)</f>
        <v>0</v>
      </c>
      <c r="T1702" s="1144">
        <f>IFERROR(VLOOKUP(CONCATENATE($E1702,$G1702),'LAC 103'!$A$12:$O$95,13,FALSE),0)</f>
        <v>0</v>
      </c>
      <c r="U1702" s="1144">
        <f>IFERROR(VLOOKUP(CONCATENATE($E1702,$G1702),'LAC 103'!$A$12:$O$95,14,FALSE),0)</f>
        <v>0</v>
      </c>
      <c r="V1702" s="1144">
        <f>IFERROR(VLOOKUP(CONCATENATE($E1702,$G1702),'LAC 103'!$A$12:$O$95,15,FALSE),0)</f>
        <v>0</v>
      </c>
      <c r="W1702" s="1145" t="str">
        <f>IFERROR(VLOOKUP(CONCATENATE($B1702,$N1702),'LAC 103'!$AI:$AQ,9,FALSE),"")</f>
        <v/>
      </c>
      <c r="X1702" s="1146">
        <f t="shared" si="474"/>
        <v>0</v>
      </c>
      <c r="Y1702" s="1143">
        <f t="shared" si="484"/>
        <v>0</v>
      </c>
      <c r="Z1702" s="1147">
        <f t="shared" si="475"/>
        <v>0</v>
      </c>
      <c r="AA1702" s="1144">
        <f t="shared" si="476"/>
        <v>0</v>
      </c>
      <c r="AB1702" s="1144">
        <f t="shared" si="477"/>
        <v>0</v>
      </c>
      <c r="AC1702" s="1144">
        <f t="shared" si="478"/>
        <v>0</v>
      </c>
      <c r="AD1702" s="1148">
        <f t="shared" si="470"/>
        <v>0</v>
      </c>
      <c r="AE1702" s="1487">
        <v>0</v>
      </c>
      <c r="AF1702" s="1145">
        <f t="shared" si="479"/>
        <v>0</v>
      </c>
      <c r="AG1702" s="1149">
        <f>IFERROR(VLOOKUP(CONCATENATE($L1702,$N1702),'Drop List'!$G$23:$K$87,2,FALSE),0)</f>
        <v>0</v>
      </c>
      <c r="AH1702" s="1150">
        <f>IFERROR(VLOOKUP(CONCATENATE($L1702,$N1702),'Drop List'!$G$23:$K$87,3,FALSE),0)</f>
        <v>0</v>
      </c>
      <c r="AI1702" s="1150">
        <f>IFERROR(VLOOKUP(CONCATENATE($L1702,$N1702),'Drop List'!$G$23:$K$87,4,FALSE),0)</f>
        <v>0</v>
      </c>
      <c r="AJ1702" s="1151">
        <f>IFERROR(VLOOKUP(CONCATENATE($L1702,$N1702),'Drop List'!$G$23:$K$87,5,FALSE),0)</f>
        <v>0</v>
      </c>
      <c r="AK1702" s="1152">
        <f t="shared" si="480"/>
        <v>0</v>
      </c>
      <c r="AL1702" s="1153">
        <f t="shared" si="481"/>
        <v>0</v>
      </c>
      <c r="AM1702" s="1153">
        <f t="shared" si="482"/>
        <v>0</v>
      </c>
      <c r="AN1702" s="1145">
        <f t="shared" si="483"/>
        <v>0</v>
      </c>
      <c r="AO1702" s="1154">
        <f t="shared" si="486"/>
        <v>0</v>
      </c>
      <c r="AP1702" s="1147">
        <f t="shared" si="471"/>
        <v>0</v>
      </c>
      <c r="AQ1702" s="1144">
        <f t="shared" si="472"/>
        <v>0</v>
      </c>
      <c r="AR1702" s="1146">
        <f t="shared" si="473"/>
        <v>0</v>
      </c>
    </row>
    <row r="1703" spans="1:44" x14ac:dyDescent="0.2">
      <c r="A1703" s="1141" t="str">
        <f t="shared" si="485"/>
        <v/>
      </c>
      <c r="B1703" s="1141" t="str">
        <f>IFERROR(VLOOKUP(A1703,'LAC 103'!A:C,3,FALSE),"")</f>
        <v/>
      </c>
      <c r="C1703" s="1478" t="str">
        <f>Info!$B$8</f>
        <v>00100</v>
      </c>
      <c r="D1703" s="1474"/>
      <c r="E1703" s="1474"/>
      <c r="F1703" s="1478"/>
      <c r="G1703" s="1478"/>
      <c r="H1703" s="1474"/>
      <c r="I1703" s="1478"/>
      <c r="J1703" s="1478"/>
      <c r="K1703" s="1475"/>
      <c r="L1703" s="1474"/>
      <c r="M1703" s="1476"/>
      <c r="N1703" s="1477"/>
      <c r="O1703" s="1479"/>
      <c r="P1703" s="1479"/>
      <c r="Q1703" s="1142">
        <f t="shared" si="469"/>
        <v>0</v>
      </c>
      <c r="R1703" s="1143">
        <f>IFERROR(VLOOKUP(CONCATENATE($E1703,$G1703),'LAC 103'!$A$12:$O$95,11,FALSE),0)</f>
        <v>0</v>
      </c>
      <c r="S1703" s="1144">
        <f>IFERROR(VLOOKUP(CONCATENATE($E1703,$G1703),'LAC 103'!$A$12:$O$95,12,FALSE),0)</f>
        <v>0</v>
      </c>
      <c r="T1703" s="1144">
        <f>IFERROR(VLOOKUP(CONCATENATE($E1703,$G1703),'LAC 103'!$A$12:$O$95,13,FALSE),0)</f>
        <v>0</v>
      </c>
      <c r="U1703" s="1144">
        <f>IFERROR(VLOOKUP(CONCATENATE($E1703,$G1703),'LAC 103'!$A$12:$O$95,14,FALSE),0)</f>
        <v>0</v>
      </c>
      <c r="V1703" s="1144">
        <f>IFERROR(VLOOKUP(CONCATENATE($E1703,$G1703),'LAC 103'!$A$12:$O$95,15,FALSE),0)</f>
        <v>0</v>
      </c>
      <c r="W1703" s="1145" t="str">
        <f>IFERROR(VLOOKUP(CONCATENATE($B1703,$N1703),'LAC 103'!$AI:$AQ,9,FALSE),"")</f>
        <v/>
      </c>
      <c r="X1703" s="1146">
        <f t="shared" si="474"/>
        <v>0</v>
      </c>
      <c r="Y1703" s="1143">
        <f t="shared" si="484"/>
        <v>0</v>
      </c>
      <c r="Z1703" s="1147">
        <f t="shared" si="475"/>
        <v>0</v>
      </c>
      <c r="AA1703" s="1144">
        <f t="shared" si="476"/>
        <v>0</v>
      </c>
      <c r="AB1703" s="1144">
        <f t="shared" si="477"/>
        <v>0</v>
      </c>
      <c r="AC1703" s="1144">
        <f t="shared" si="478"/>
        <v>0</v>
      </c>
      <c r="AD1703" s="1148">
        <f t="shared" si="470"/>
        <v>0</v>
      </c>
      <c r="AE1703" s="1487">
        <v>0</v>
      </c>
      <c r="AF1703" s="1145">
        <f t="shared" si="479"/>
        <v>0</v>
      </c>
      <c r="AG1703" s="1149">
        <f>IFERROR(VLOOKUP(CONCATENATE($L1703,$N1703),'Drop List'!$G$23:$K$87,2,FALSE),0)</f>
        <v>0</v>
      </c>
      <c r="AH1703" s="1150">
        <f>IFERROR(VLOOKUP(CONCATENATE($L1703,$N1703),'Drop List'!$G$23:$K$87,3,FALSE),0)</f>
        <v>0</v>
      </c>
      <c r="AI1703" s="1150">
        <f>IFERROR(VLOOKUP(CONCATENATE($L1703,$N1703),'Drop List'!$G$23:$K$87,4,FALSE),0)</f>
        <v>0</v>
      </c>
      <c r="AJ1703" s="1151">
        <f>IFERROR(VLOOKUP(CONCATENATE($L1703,$N1703),'Drop List'!$G$23:$K$87,5,FALSE),0)</f>
        <v>0</v>
      </c>
      <c r="AK1703" s="1152">
        <f t="shared" si="480"/>
        <v>0</v>
      </c>
      <c r="AL1703" s="1153">
        <f t="shared" si="481"/>
        <v>0</v>
      </c>
      <c r="AM1703" s="1153">
        <f t="shared" si="482"/>
        <v>0</v>
      </c>
      <c r="AN1703" s="1145">
        <f t="shared" si="483"/>
        <v>0</v>
      </c>
      <c r="AO1703" s="1154">
        <f t="shared" si="486"/>
        <v>0</v>
      </c>
      <c r="AP1703" s="1147">
        <f t="shared" si="471"/>
        <v>0</v>
      </c>
      <c r="AQ1703" s="1144">
        <f t="shared" si="472"/>
        <v>0</v>
      </c>
      <c r="AR1703" s="1146">
        <f t="shared" si="473"/>
        <v>0</v>
      </c>
    </row>
    <row r="1704" spans="1:44" x14ac:dyDescent="0.2">
      <c r="A1704" s="1141" t="str">
        <f t="shared" si="485"/>
        <v/>
      </c>
      <c r="B1704" s="1141" t="str">
        <f>IFERROR(VLOOKUP(A1704,'LAC 103'!A:C,3,FALSE),"")</f>
        <v/>
      </c>
      <c r="C1704" s="1478" t="str">
        <f>Info!$B$8</f>
        <v>00100</v>
      </c>
      <c r="D1704" s="1474"/>
      <c r="E1704" s="1474"/>
      <c r="F1704" s="1478"/>
      <c r="G1704" s="1478"/>
      <c r="H1704" s="1474"/>
      <c r="I1704" s="1478"/>
      <c r="J1704" s="1478"/>
      <c r="K1704" s="1475"/>
      <c r="L1704" s="1474"/>
      <c r="M1704" s="1476"/>
      <c r="N1704" s="1477"/>
      <c r="O1704" s="1479"/>
      <c r="P1704" s="1479"/>
      <c r="Q1704" s="1142">
        <f t="shared" si="469"/>
        <v>0</v>
      </c>
      <c r="R1704" s="1143">
        <f>IFERROR(VLOOKUP(CONCATENATE($E1704,$G1704),'LAC 103'!$A$12:$O$95,11,FALSE),0)</f>
        <v>0</v>
      </c>
      <c r="S1704" s="1144">
        <f>IFERROR(VLOOKUP(CONCATENATE($E1704,$G1704),'LAC 103'!$A$12:$O$95,12,FALSE),0)</f>
        <v>0</v>
      </c>
      <c r="T1704" s="1144">
        <f>IFERROR(VLOOKUP(CONCATENATE($E1704,$G1704),'LAC 103'!$A$12:$O$95,13,FALSE),0)</f>
        <v>0</v>
      </c>
      <c r="U1704" s="1144">
        <f>IFERROR(VLOOKUP(CONCATENATE($E1704,$G1704),'LAC 103'!$A$12:$O$95,14,FALSE),0)</f>
        <v>0</v>
      </c>
      <c r="V1704" s="1144">
        <f>IFERROR(VLOOKUP(CONCATENATE($E1704,$G1704),'LAC 103'!$A$12:$O$95,15,FALSE),0)</f>
        <v>0</v>
      </c>
      <c r="W1704" s="1145" t="str">
        <f>IFERROR(VLOOKUP(CONCATENATE($B1704,$N1704),'LAC 103'!$AI:$AQ,9,FALSE),"")</f>
        <v/>
      </c>
      <c r="X1704" s="1146">
        <f t="shared" si="474"/>
        <v>0</v>
      </c>
      <c r="Y1704" s="1143">
        <f t="shared" si="484"/>
        <v>0</v>
      </c>
      <c r="Z1704" s="1147">
        <f t="shared" si="475"/>
        <v>0</v>
      </c>
      <c r="AA1704" s="1144">
        <f t="shared" si="476"/>
        <v>0</v>
      </c>
      <c r="AB1704" s="1144">
        <f t="shared" si="477"/>
        <v>0</v>
      </c>
      <c r="AC1704" s="1144">
        <f t="shared" si="478"/>
        <v>0</v>
      </c>
      <c r="AD1704" s="1148">
        <f t="shared" si="470"/>
        <v>0</v>
      </c>
      <c r="AE1704" s="1487">
        <v>0</v>
      </c>
      <c r="AF1704" s="1145">
        <f t="shared" si="479"/>
        <v>0</v>
      </c>
      <c r="AG1704" s="1149">
        <f>IFERROR(VLOOKUP(CONCATENATE($L1704,$N1704),'Drop List'!$G$23:$K$87,2,FALSE),0)</f>
        <v>0</v>
      </c>
      <c r="AH1704" s="1150">
        <f>IFERROR(VLOOKUP(CONCATENATE($L1704,$N1704),'Drop List'!$G$23:$K$87,3,FALSE),0)</f>
        <v>0</v>
      </c>
      <c r="AI1704" s="1150">
        <f>IFERROR(VLOOKUP(CONCATENATE($L1704,$N1704),'Drop List'!$G$23:$K$87,4,FALSE),0)</f>
        <v>0</v>
      </c>
      <c r="AJ1704" s="1151">
        <f>IFERROR(VLOOKUP(CONCATENATE($L1704,$N1704),'Drop List'!$G$23:$K$87,5,FALSE),0)</f>
        <v>0</v>
      </c>
      <c r="AK1704" s="1152">
        <f t="shared" si="480"/>
        <v>0</v>
      </c>
      <c r="AL1704" s="1153">
        <f t="shared" si="481"/>
        <v>0</v>
      </c>
      <c r="AM1704" s="1153">
        <f t="shared" si="482"/>
        <v>0</v>
      </c>
      <c r="AN1704" s="1145">
        <f t="shared" si="483"/>
        <v>0</v>
      </c>
      <c r="AO1704" s="1154">
        <f t="shared" si="486"/>
        <v>0</v>
      </c>
      <c r="AP1704" s="1147">
        <f t="shared" si="471"/>
        <v>0</v>
      </c>
      <c r="AQ1704" s="1144">
        <f t="shared" si="472"/>
        <v>0</v>
      </c>
      <c r="AR1704" s="1146">
        <f t="shared" si="473"/>
        <v>0</v>
      </c>
    </row>
    <row r="1705" spans="1:44" x14ac:dyDescent="0.2">
      <c r="A1705" s="1141" t="str">
        <f t="shared" si="485"/>
        <v/>
      </c>
      <c r="B1705" s="1141" t="str">
        <f>IFERROR(VLOOKUP(A1705,'LAC 103'!A:C,3,FALSE),"")</f>
        <v/>
      </c>
      <c r="C1705" s="1478" t="str">
        <f>Info!$B$8</f>
        <v>00100</v>
      </c>
      <c r="D1705" s="1474"/>
      <c r="E1705" s="1474"/>
      <c r="F1705" s="1478"/>
      <c r="G1705" s="1478"/>
      <c r="H1705" s="1474"/>
      <c r="I1705" s="1478"/>
      <c r="J1705" s="1478"/>
      <c r="K1705" s="1475"/>
      <c r="L1705" s="1474"/>
      <c r="M1705" s="1476"/>
      <c r="N1705" s="1477"/>
      <c r="O1705" s="1479"/>
      <c r="P1705" s="1479"/>
      <c r="Q1705" s="1142">
        <f t="shared" si="469"/>
        <v>0</v>
      </c>
      <c r="R1705" s="1143">
        <f>IFERROR(VLOOKUP(CONCATENATE($E1705,$G1705),'LAC 103'!$A$12:$O$95,11,FALSE),0)</f>
        <v>0</v>
      </c>
      <c r="S1705" s="1144">
        <f>IFERROR(VLOOKUP(CONCATENATE($E1705,$G1705),'LAC 103'!$A$12:$O$95,12,FALSE),0)</f>
        <v>0</v>
      </c>
      <c r="T1705" s="1144">
        <f>IFERROR(VLOOKUP(CONCATENATE($E1705,$G1705),'LAC 103'!$A$12:$O$95,13,FALSE),0)</f>
        <v>0</v>
      </c>
      <c r="U1705" s="1144">
        <f>IFERROR(VLOOKUP(CONCATENATE($E1705,$G1705),'LAC 103'!$A$12:$O$95,14,FALSE),0)</f>
        <v>0</v>
      </c>
      <c r="V1705" s="1144">
        <f>IFERROR(VLOOKUP(CONCATENATE($E1705,$G1705),'LAC 103'!$A$12:$O$95,15,FALSE),0)</f>
        <v>0</v>
      </c>
      <c r="W1705" s="1145" t="str">
        <f>IFERROR(VLOOKUP(CONCATENATE($B1705,$N1705),'LAC 103'!$AI:$AQ,9,FALSE),"")</f>
        <v/>
      </c>
      <c r="X1705" s="1146">
        <f t="shared" si="474"/>
        <v>0</v>
      </c>
      <c r="Y1705" s="1143">
        <f t="shared" si="484"/>
        <v>0</v>
      </c>
      <c r="Z1705" s="1147">
        <f t="shared" si="475"/>
        <v>0</v>
      </c>
      <c r="AA1705" s="1144">
        <f t="shared" si="476"/>
        <v>0</v>
      </c>
      <c r="AB1705" s="1144">
        <f t="shared" si="477"/>
        <v>0</v>
      </c>
      <c r="AC1705" s="1144">
        <f t="shared" si="478"/>
        <v>0</v>
      </c>
      <c r="AD1705" s="1148">
        <f t="shared" si="470"/>
        <v>0</v>
      </c>
      <c r="AE1705" s="1487">
        <v>0</v>
      </c>
      <c r="AF1705" s="1145">
        <f t="shared" si="479"/>
        <v>0</v>
      </c>
      <c r="AG1705" s="1149">
        <f>IFERROR(VLOOKUP(CONCATENATE($L1705,$N1705),'Drop List'!$G$23:$K$87,2,FALSE),0)</f>
        <v>0</v>
      </c>
      <c r="AH1705" s="1150">
        <f>IFERROR(VLOOKUP(CONCATENATE($L1705,$N1705),'Drop List'!$G$23:$K$87,3,FALSE),0)</f>
        <v>0</v>
      </c>
      <c r="AI1705" s="1150">
        <f>IFERROR(VLOOKUP(CONCATENATE($L1705,$N1705),'Drop List'!$G$23:$K$87,4,FALSE),0)</f>
        <v>0</v>
      </c>
      <c r="AJ1705" s="1151">
        <f>IFERROR(VLOOKUP(CONCATENATE($L1705,$N1705),'Drop List'!$G$23:$K$87,5,FALSE),0)</f>
        <v>0</v>
      </c>
      <c r="AK1705" s="1152">
        <f t="shared" si="480"/>
        <v>0</v>
      </c>
      <c r="AL1705" s="1153">
        <f t="shared" si="481"/>
        <v>0</v>
      </c>
      <c r="AM1705" s="1153">
        <f t="shared" si="482"/>
        <v>0</v>
      </c>
      <c r="AN1705" s="1145">
        <f t="shared" si="483"/>
        <v>0</v>
      </c>
      <c r="AO1705" s="1154">
        <f t="shared" si="486"/>
        <v>0</v>
      </c>
      <c r="AP1705" s="1147">
        <f t="shared" si="471"/>
        <v>0</v>
      </c>
      <c r="AQ1705" s="1144">
        <f t="shared" si="472"/>
        <v>0</v>
      </c>
      <c r="AR1705" s="1146">
        <f t="shared" si="473"/>
        <v>0</v>
      </c>
    </row>
    <row r="1706" spans="1:44" x14ac:dyDescent="0.2">
      <c r="A1706" s="1141" t="str">
        <f t="shared" si="485"/>
        <v/>
      </c>
      <c r="B1706" s="1141" t="str">
        <f>IFERROR(VLOOKUP(A1706,'LAC 103'!A:C,3,FALSE),"")</f>
        <v/>
      </c>
      <c r="C1706" s="1478" t="str">
        <f>Info!$B$8</f>
        <v>00100</v>
      </c>
      <c r="D1706" s="1474"/>
      <c r="E1706" s="1474"/>
      <c r="F1706" s="1478"/>
      <c r="G1706" s="1478"/>
      <c r="H1706" s="1474"/>
      <c r="I1706" s="1478"/>
      <c r="J1706" s="1478"/>
      <c r="K1706" s="1475"/>
      <c r="L1706" s="1474"/>
      <c r="M1706" s="1476"/>
      <c r="N1706" s="1477"/>
      <c r="O1706" s="1479"/>
      <c r="P1706" s="1479"/>
      <c r="Q1706" s="1142">
        <f t="shared" si="469"/>
        <v>0</v>
      </c>
      <c r="R1706" s="1143">
        <f>IFERROR(VLOOKUP(CONCATENATE($E1706,$G1706),'LAC 103'!$A$12:$O$95,11,FALSE),0)</f>
        <v>0</v>
      </c>
      <c r="S1706" s="1144">
        <f>IFERROR(VLOOKUP(CONCATENATE($E1706,$G1706),'LAC 103'!$A$12:$O$95,12,FALSE),0)</f>
        <v>0</v>
      </c>
      <c r="T1706" s="1144">
        <f>IFERROR(VLOOKUP(CONCATENATE($E1706,$G1706),'LAC 103'!$A$12:$O$95,13,FALSE),0)</f>
        <v>0</v>
      </c>
      <c r="U1706" s="1144">
        <f>IFERROR(VLOOKUP(CONCATENATE($E1706,$G1706),'LAC 103'!$A$12:$O$95,14,FALSE),0)</f>
        <v>0</v>
      </c>
      <c r="V1706" s="1144">
        <f>IFERROR(VLOOKUP(CONCATENATE($E1706,$G1706),'LAC 103'!$A$12:$O$95,15,FALSE),0)</f>
        <v>0</v>
      </c>
      <c r="W1706" s="1145" t="str">
        <f>IFERROR(VLOOKUP(CONCATENATE($B1706,$N1706),'LAC 103'!$AI:$AQ,9,FALSE),"")</f>
        <v/>
      </c>
      <c r="X1706" s="1146">
        <f t="shared" si="474"/>
        <v>0</v>
      </c>
      <c r="Y1706" s="1143">
        <f t="shared" si="484"/>
        <v>0</v>
      </c>
      <c r="Z1706" s="1147">
        <f t="shared" si="475"/>
        <v>0</v>
      </c>
      <c r="AA1706" s="1144">
        <f t="shared" si="476"/>
        <v>0</v>
      </c>
      <c r="AB1706" s="1144">
        <f t="shared" si="477"/>
        <v>0</v>
      </c>
      <c r="AC1706" s="1144">
        <f t="shared" si="478"/>
        <v>0</v>
      </c>
      <c r="AD1706" s="1148">
        <f t="shared" si="470"/>
        <v>0</v>
      </c>
      <c r="AE1706" s="1487">
        <v>0</v>
      </c>
      <c r="AF1706" s="1145">
        <f t="shared" si="479"/>
        <v>0</v>
      </c>
      <c r="AG1706" s="1149">
        <f>IFERROR(VLOOKUP(CONCATENATE($L1706,$N1706),'Drop List'!$G$23:$K$87,2,FALSE),0)</f>
        <v>0</v>
      </c>
      <c r="AH1706" s="1150">
        <f>IFERROR(VLOOKUP(CONCATENATE($L1706,$N1706),'Drop List'!$G$23:$K$87,3,FALSE),0)</f>
        <v>0</v>
      </c>
      <c r="AI1706" s="1150">
        <f>IFERROR(VLOOKUP(CONCATENATE($L1706,$N1706),'Drop List'!$G$23:$K$87,4,FALSE),0)</f>
        <v>0</v>
      </c>
      <c r="AJ1706" s="1151">
        <f>IFERROR(VLOOKUP(CONCATENATE($L1706,$N1706),'Drop List'!$G$23:$K$87,5,FALSE),0)</f>
        <v>0</v>
      </c>
      <c r="AK1706" s="1152">
        <f t="shared" si="480"/>
        <v>0</v>
      </c>
      <c r="AL1706" s="1153">
        <f t="shared" si="481"/>
        <v>0</v>
      </c>
      <c r="AM1706" s="1153">
        <f t="shared" si="482"/>
        <v>0</v>
      </c>
      <c r="AN1706" s="1145">
        <f t="shared" si="483"/>
        <v>0</v>
      </c>
      <c r="AO1706" s="1154">
        <f t="shared" si="486"/>
        <v>0</v>
      </c>
      <c r="AP1706" s="1147">
        <f t="shared" si="471"/>
        <v>0</v>
      </c>
      <c r="AQ1706" s="1144">
        <f t="shared" si="472"/>
        <v>0</v>
      </c>
      <c r="AR1706" s="1146">
        <f t="shared" si="473"/>
        <v>0</v>
      </c>
    </row>
    <row r="1707" spans="1:44" x14ac:dyDescent="0.2">
      <c r="A1707" s="1141" t="str">
        <f t="shared" si="485"/>
        <v/>
      </c>
      <c r="B1707" s="1141" t="str">
        <f>IFERROR(VLOOKUP(A1707,'LAC 103'!A:C,3,FALSE),"")</f>
        <v/>
      </c>
      <c r="C1707" s="1478" t="str">
        <f>Info!$B$8</f>
        <v>00100</v>
      </c>
      <c r="D1707" s="1474"/>
      <c r="E1707" s="1474"/>
      <c r="F1707" s="1478"/>
      <c r="G1707" s="1478"/>
      <c r="H1707" s="1474"/>
      <c r="I1707" s="1478"/>
      <c r="J1707" s="1478"/>
      <c r="K1707" s="1475"/>
      <c r="L1707" s="1474"/>
      <c r="M1707" s="1476"/>
      <c r="N1707" s="1477"/>
      <c r="O1707" s="1479"/>
      <c r="P1707" s="1479"/>
      <c r="Q1707" s="1142">
        <f t="shared" si="469"/>
        <v>0</v>
      </c>
      <c r="R1707" s="1143">
        <f>IFERROR(VLOOKUP(CONCATENATE($E1707,$G1707),'LAC 103'!$A$12:$O$95,11,FALSE),0)</f>
        <v>0</v>
      </c>
      <c r="S1707" s="1144">
        <f>IFERROR(VLOOKUP(CONCATENATE($E1707,$G1707),'LAC 103'!$A$12:$O$95,12,FALSE),0)</f>
        <v>0</v>
      </c>
      <c r="T1707" s="1144">
        <f>IFERROR(VLOOKUP(CONCATENATE($E1707,$G1707),'LAC 103'!$A$12:$O$95,13,FALSE),0)</f>
        <v>0</v>
      </c>
      <c r="U1707" s="1144">
        <f>IFERROR(VLOOKUP(CONCATENATE($E1707,$G1707),'LAC 103'!$A$12:$O$95,14,FALSE),0)</f>
        <v>0</v>
      </c>
      <c r="V1707" s="1144">
        <f>IFERROR(VLOOKUP(CONCATENATE($E1707,$G1707),'LAC 103'!$A$12:$O$95,15,FALSE),0)</f>
        <v>0</v>
      </c>
      <c r="W1707" s="1145" t="str">
        <f>IFERROR(VLOOKUP(CONCATENATE($B1707,$N1707),'LAC 103'!$AI:$AQ,9,FALSE),"")</f>
        <v/>
      </c>
      <c r="X1707" s="1146">
        <f t="shared" si="474"/>
        <v>0</v>
      </c>
      <c r="Y1707" s="1143">
        <f t="shared" si="484"/>
        <v>0</v>
      </c>
      <c r="Z1707" s="1147">
        <f t="shared" si="475"/>
        <v>0</v>
      </c>
      <c r="AA1707" s="1144">
        <f t="shared" si="476"/>
        <v>0</v>
      </c>
      <c r="AB1707" s="1144">
        <f t="shared" si="477"/>
        <v>0</v>
      </c>
      <c r="AC1707" s="1144">
        <f t="shared" si="478"/>
        <v>0</v>
      </c>
      <c r="AD1707" s="1148">
        <f t="shared" si="470"/>
        <v>0</v>
      </c>
      <c r="AE1707" s="1487">
        <v>0</v>
      </c>
      <c r="AF1707" s="1145">
        <f t="shared" si="479"/>
        <v>0</v>
      </c>
      <c r="AG1707" s="1149">
        <f>IFERROR(VLOOKUP(CONCATENATE($L1707,$N1707),'Drop List'!$G$23:$K$87,2,FALSE),0)</f>
        <v>0</v>
      </c>
      <c r="AH1707" s="1150">
        <f>IFERROR(VLOOKUP(CONCATENATE($L1707,$N1707),'Drop List'!$G$23:$K$87,3,FALSE),0)</f>
        <v>0</v>
      </c>
      <c r="AI1707" s="1150">
        <f>IFERROR(VLOOKUP(CONCATENATE($L1707,$N1707),'Drop List'!$G$23:$K$87,4,FALSE),0)</f>
        <v>0</v>
      </c>
      <c r="AJ1707" s="1151">
        <f>IFERROR(VLOOKUP(CONCATENATE($L1707,$N1707),'Drop List'!$G$23:$K$87,5,FALSE),0)</f>
        <v>0</v>
      </c>
      <c r="AK1707" s="1152">
        <f t="shared" si="480"/>
        <v>0</v>
      </c>
      <c r="AL1707" s="1153">
        <f t="shared" si="481"/>
        <v>0</v>
      </c>
      <c r="AM1707" s="1153">
        <f t="shared" si="482"/>
        <v>0</v>
      </c>
      <c r="AN1707" s="1145">
        <f t="shared" si="483"/>
        <v>0</v>
      </c>
      <c r="AO1707" s="1154">
        <f t="shared" si="486"/>
        <v>0</v>
      </c>
      <c r="AP1707" s="1147">
        <f t="shared" si="471"/>
        <v>0</v>
      </c>
      <c r="AQ1707" s="1144">
        <f t="shared" si="472"/>
        <v>0</v>
      </c>
      <c r="AR1707" s="1146">
        <f t="shared" si="473"/>
        <v>0</v>
      </c>
    </row>
    <row r="1708" spans="1:44" x14ac:dyDescent="0.2">
      <c r="A1708" s="1141" t="str">
        <f t="shared" si="485"/>
        <v/>
      </c>
      <c r="B1708" s="1141" t="str">
        <f>IFERROR(VLOOKUP(A1708,'LAC 103'!A:C,3,FALSE),"")</f>
        <v/>
      </c>
      <c r="C1708" s="1478" t="str">
        <f>Info!$B$8</f>
        <v>00100</v>
      </c>
      <c r="D1708" s="1474"/>
      <c r="E1708" s="1474"/>
      <c r="F1708" s="1478"/>
      <c r="G1708" s="1478"/>
      <c r="H1708" s="1474"/>
      <c r="I1708" s="1478"/>
      <c r="J1708" s="1478"/>
      <c r="K1708" s="1475"/>
      <c r="L1708" s="1474"/>
      <c r="M1708" s="1476"/>
      <c r="N1708" s="1477"/>
      <c r="O1708" s="1479"/>
      <c r="P1708" s="1479"/>
      <c r="Q1708" s="1142">
        <f t="shared" si="469"/>
        <v>0</v>
      </c>
      <c r="R1708" s="1143">
        <f>IFERROR(VLOOKUP(CONCATENATE($E1708,$G1708),'LAC 103'!$A$12:$O$95,11,FALSE),0)</f>
        <v>0</v>
      </c>
      <c r="S1708" s="1144">
        <f>IFERROR(VLOOKUP(CONCATENATE($E1708,$G1708),'LAC 103'!$A$12:$O$95,12,FALSE),0)</f>
        <v>0</v>
      </c>
      <c r="T1708" s="1144">
        <f>IFERROR(VLOOKUP(CONCATENATE($E1708,$G1708),'LAC 103'!$A$12:$O$95,13,FALSE),0)</f>
        <v>0</v>
      </c>
      <c r="U1708" s="1144">
        <f>IFERROR(VLOOKUP(CONCATENATE($E1708,$G1708),'LAC 103'!$A$12:$O$95,14,FALSE),0)</f>
        <v>0</v>
      </c>
      <c r="V1708" s="1144">
        <f>IFERROR(VLOOKUP(CONCATENATE($E1708,$G1708),'LAC 103'!$A$12:$O$95,15,FALSE),0)</f>
        <v>0</v>
      </c>
      <c r="W1708" s="1145" t="str">
        <f>IFERROR(VLOOKUP(CONCATENATE($B1708,$N1708),'LAC 103'!$AI:$AQ,9,FALSE),"")</f>
        <v/>
      </c>
      <c r="X1708" s="1146">
        <f t="shared" si="474"/>
        <v>0</v>
      </c>
      <c r="Y1708" s="1143">
        <f t="shared" si="484"/>
        <v>0</v>
      </c>
      <c r="Z1708" s="1147">
        <f t="shared" si="475"/>
        <v>0</v>
      </c>
      <c r="AA1708" s="1144">
        <f t="shared" si="476"/>
        <v>0</v>
      </c>
      <c r="AB1708" s="1144">
        <f t="shared" si="477"/>
        <v>0</v>
      </c>
      <c r="AC1708" s="1144">
        <f t="shared" si="478"/>
        <v>0</v>
      </c>
      <c r="AD1708" s="1148">
        <f t="shared" si="470"/>
        <v>0</v>
      </c>
      <c r="AE1708" s="1487">
        <v>0</v>
      </c>
      <c r="AF1708" s="1145">
        <f t="shared" si="479"/>
        <v>0</v>
      </c>
      <c r="AG1708" s="1149">
        <f>IFERROR(VLOOKUP(CONCATENATE($L1708,$N1708),'Drop List'!$G$23:$K$87,2,FALSE),0)</f>
        <v>0</v>
      </c>
      <c r="AH1708" s="1150">
        <f>IFERROR(VLOOKUP(CONCATENATE($L1708,$N1708),'Drop List'!$G$23:$K$87,3,FALSE),0)</f>
        <v>0</v>
      </c>
      <c r="AI1708" s="1150">
        <f>IFERROR(VLOOKUP(CONCATENATE($L1708,$N1708),'Drop List'!$G$23:$K$87,4,FALSE),0)</f>
        <v>0</v>
      </c>
      <c r="AJ1708" s="1151">
        <f>IFERROR(VLOOKUP(CONCATENATE($L1708,$N1708),'Drop List'!$G$23:$K$87,5,FALSE),0)</f>
        <v>0</v>
      </c>
      <c r="AK1708" s="1152">
        <f t="shared" si="480"/>
        <v>0</v>
      </c>
      <c r="AL1708" s="1153">
        <f t="shared" si="481"/>
        <v>0</v>
      </c>
      <c r="AM1708" s="1153">
        <f t="shared" si="482"/>
        <v>0</v>
      </c>
      <c r="AN1708" s="1145">
        <f t="shared" si="483"/>
        <v>0</v>
      </c>
      <c r="AO1708" s="1154">
        <f t="shared" si="486"/>
        <v>0</v>
      </c>
      <c r="AP1708" s="1147">
        <f t="shared" si="471"/>
        <v>0</v>
      </c>
      <c r="AQ1708" s="1144">
        <f t="shared" si="472"/>
        <v>0</v>
      </c>
      <c r="AR1708" s="1146">
        <f t="shared" si="473"/>
        <v>0</v>
      </c>
    </row>
    <row r="1709" spans="1:44" x14ac:dyDescent="0.2">
      <c r="A1709" s="1141" t="str">
        <f t="shared" si="485"/>
        <v/>
      </c>
      <c r="B1709" s="1141" t="str">
        <f>IFERROR(VLOOKUP(A1709,'LAC 103'!A:C,3,FALSE),"")</f>
        <v/>
      </c>
      <c r="C1709" s="1478" t="str">
        <f>Info!$B$8</f>
        <v>00100</v>
      </c>
      <c r="D1709" s="1474"/>
      <c r="E1709" s="1474"/>
      <c r="F1709" s="1478"/>
      <c r="G1709" s="1478"/>
      <c r="H1709" s="1474"/>
      <c r="I1709" s="1478"/>
      <c r="J1709" s="1478"/>
      <c r="K1709" s="1475"/>
      <c r="L1709" s="1474"/>
      <c r="M1709" s="1476"/>
      <c r="N1709" s="1477"/>
      <c r="O1709" s="1479"/>
      <c r="P1709" s="1479"/>
      <c r="Q1709" s="1142">
        <f t="shared" si="469"/>
        <v>0</v>
      </c>
      <c r="R1709" s="1143">
        <f>IFERROR(VLOOKUP(CONCATENATE($E1709,$G1709),'LAC 103'!$A$12:$O$95,11,FALSE),0)</f>
        <v>0</v>
      </c>
      <c r="S1709" s="1144">
        <f>IFERROR(VLOOKUP(CONCATENATE($E1709,$G1709),'LAC 103'!$A$12:$O$95,12,FALSE),0)</f>
        <v>0</v>
      </c>
      <c r="T1709" s="1144">
        <f>IFERROR(VLOOKUP(CONCATENATE($E1709,$G1709),'LAC 103'!$A$12:$O$95,13,FALSE),0)</f>
        <v>0</v>
      </c>
      <c r="U1709" s="1144">
        <f>IFERROR(VLOOKUP(CONCATENATE($E1709,$G1709),'LAC 103'!$A$12:$O$95,14,FALSE),0)</f>
        <v>0</v>
      </c>
      <c r="V1709" s="1144">
        <f>IFERROR(VLOOKUP(CONCATENATE($E1709,$G1709),'LAC 103'!$A$12:$O$95,15,FALSE),0)</f>
        <v>0</v>
      </c>
      <c r="W1709" s="1145" t="str">
        <f>IFERROR(VLOOKUP(CONCATENATE($B1709,$N1709),'LAC 103'!$AI:$AQ,9,FALSE),"")</f>
        <v/>
      </c>
      <c r="X1709" s="1146">
        <f t="shared" si="474"/>
        <v>0</v>
      </c>
      <c r="Y1709" s="1143">
        <f t="shared" si="484"/>
        <v>0</v>
      </c>
      <c r="Z1709" s="1147">
        <f t="shared" si="475"/>
        <v>0</v>
      </c>
      <c r="AA1709" s="1144">
        <f t="shared" si="476"/>
        <v>0</v>
      </c>
      <c r="AB1709" s="1144">
        <f t="shared" si="477"/>
        <v>0</v>
      </c>
      <c r="AC1709" s="1144">
        <f t="shared" si="478"/>
        <v>0</v>
      </c>
      <c r="AD1709" s="1148">
        <f t="shared" si="470"/>
        <v>0</v>
      </c>
      <c r="AE1709" s="1487">
        <v>0</v>
      </c>
      <c r="AF1709" s="1145">
        <f t="shared" si="479"/>
        <v>0</v>
      </c>
      <c r="AG1709" s="1149">
        <f>IFERROR(VLOOKUP(CONCATENATE($L1709,$N1709),'Drop List'!$G$23:$K$87,2,FALSE),0)</f>
        <v>0</v>
      </c>
      <c r="AH1709" s="1150">
        <f>IFERROR(VLOOKUP(CONCATENATE($L1709,$N1709),'Drop List'!$G$23:$K$87,3,FALSE),0)</f>
        <v>0</v>
      </c>
      <c r="AI1709" s="1150">
        <f>IFERROR(VLOOKUP(CONCATENATE($L1709,$N1709),'Drop List'!$G$23:$K$87,4,FALSE),0)</f>
        <v>0</v>
      </c>
      <c r="AJ1709" s="1151">
        <f>IFERROR(VLOOKUP(CONCATENATE($L1709,$N1709),'Drop List'!$G$23:$K$87,5,FALSE),0)</f>
        <v>0</v>
      </c>
      <c r="AK1709" s="1152">
        <f t="shared" si="480"/>
        <v>0</v>
      </c>
      <c r="AL1709" s="1153">
        <f t="shared" si="481"/>
        <v>0</v>
      </c>
      <c r="AM1709" s="1153">
        <f t="shared" si="482"/>
        <v>0</v>
      </c>
      <c r="AN1709" s="1145">
        <f t="shared" si="483"/>
        <v>0</v>
      </c>
      <c r="AO1709" s="1154">
        <f t="shared" si="486"/>
        <v>0</v>
      </c>
      <c r="AP1709" s="1147">
        <f t="shared" si="471"/>
        <v>0</v>
      </c>
      <c r="AQ1709" s="1144">
        <f t="shared" si="472"/>
        <v>0</v>
      </c>
      <c r="AR1709" s="1146">
        <f t="shared" si="473"/>
        <v>0</v>
      </c>
    </row>
    <row r="1710" spans="1:44" x14ac:dyDescent="0.2">
      <c r="A1710" s="1141" t="str">
        <f t="shared" si="485"/>
        <v/>
      </c>
      <c r="B1710" s="1141" t="str">
        <f>IFERROR(VLOOKUP(A1710,'LAC 103'!A:C,3,FALSE),"")</f>
        <v/>
      </c>
      <c r="C1710" s="1478" t="str">
        <f>Info!$B$8</f>
        <v>00100</v>
      </c>
      <c r="D1710" s="1474"/>
      <c r="E1710" s="1474"/>
      <c r="F1710" s="1478"/>
      <c r="G1710" s="1478"/>
      <c r="H1710" s="1474"/>
      <c r="I1710" s="1478"/>
      <c r="J1710" s="1478"/>
      <c r="K1710" s="1475"/>
      <c r="L1710" s="1474"/>
      <c r="M1710" s="1476"/>
      <c r="N1710" s="1477"/>
      <c r="O1710" s="1479"/>
      <c r="P1710" s="1479"/>
      <c r="Q1710" s="1142">
        <f t="shared" si="469"/>
        <v>0</v>
      </c>
      <c r="R1710" s="1143">
        <f>IFERROR(VLOOKUP(CONCATENATE($E1710,$G1710),'LAC 103'!$A$12:$O$95,11,FALSE),0)</f>
        <v>0</v>
      </c>
      <c r="S1710" s="1144">
        <f>IFERROR(VLOOKUP(CONCATENATE($E1710,$G1710),'LAC 103'!$A$12:$O$95,12,FALSE),0)</f>
        <v>0</v>
      </c>
      <c r="T1710" s="1144">
        <f>IFERROR(VLOOKUP(CONCATENATE($E1710,$G1710),'LAC 103'!$A$12:$O$95,13,FALSE),0)</f>
        <v>0</v>
      </c>
      <c r="U1710" s="1144">
        <f>IFERROR(VLOOKUP(CONCATENATE($E1710,$G1710),'LAC 103'!$A$12:$O$95,14,FALSE),0)</f>
        <v>0</v>
      </c>
      <c r="V1710" s="1144">
        <f>IFERROR(VLOOKUP(CONCATENATE($E1710,$G1710),'LAC 103'!$A$12:$O$95,15,FALSE),0)</f>
        <v>0</v>
      </c>
      <c r="W1710" s="1145" t="str">
        <f>IFERROR(VLOOKUP(CONCATENATE($B1710,$N1710),'LAC 103'!$AI:$AQ,9,FALSE),"")</f>
        <v/>
      </c>
      <c r="X1710" s="1146">
        <f t="shared" si="474"/>
        <v>0</v>
      </c>
      <c r="Y1710" s="1143">
        <f t="shared" si="484"/>
        <v>0</v>
      </c>
      <c r="Z1710" s="1147">
        <f t="shared" si="475"/>
        <v>0</v>
      </c>
      <c r="AA1710" s="1144">
        <f t="shared" si="476"/>
        <v>0</v>
      </c>
      <c r="AB1710" s="1144">
        <f t="shared" si="477"/>
        <v>0</v>
      </c>
      <c r="AC1710" s="1144">
        <f t="shared" si="478"/>
        <v>0</v>
      </c>
      <c r="AD1710" s="1148">
        <f t="shared" si="470"/>
        <v>0</v>
      </c>
      <c r="AE1710" s="1487">
        <v>0</v>
      </c>
      <c r="AF1710" s="1145">
        <f t="shared" si="479"/>
        <v>0</v>
      </c>
      <c r="AG1710" s="1149">
        <f>IFERROR(VLOOKUP(CONCATENATE($L1710,$N1710),'Drop List'!$G$23:$K$87,2,FALSE),0)</f>
        <v>0</v>
      </c>
      <c r="AH1710" s="1150">
        <f>IFERROR(VLOOKUP(CONCATENATE($L1710,$N1710),'Drop List'!$G$23:$K$87,3,FALSE),0)</f>
        <v>0</v>
      </c>
      <c r="AI1710" s="1150">
        <f>IFERROR(VLOOKUP(CONCATENATE($L1710,$N1710),'Drop List'!$G$23:$K$87,4,FALSE),0)</f>
        <v>0</v>
      </c>
      <c r="AJ1710" s="1151">
        <f>IFERROR(VLOOKUP(CONCATENATE($L1710,$N1710),'Drop List'!$G$23:$K$87,5,FALSE),0)</f>
        <v>0</v>
      </c>
      <c r="AK1710" s="1152">
        <f t="shared" si="480"/>
        <v>0</v>
      </c>
      <c r="AL1710" s="1153">
        <f t="shared" si="481"/>
        <v>0</v>
      </c>
      <c r="AM1710" s="1153">
        <f t="shared" si="482"/>
        <v>0</v>
      </c>
      <c r="AN1710" s="1145">
        <f t="shared" si="483"/>
        <v>0</v>
      </c>
      <c r="AO1710" s="1154">
        <f t="shared" si="486"/>
        <v>0</v>
      </c>
      <c r="AP1710" s="1147">
        <f t="shared" si="471"/>
        <v>0</v>
      </c>
      <c r="AQ1710" s="1144">
        <f t="shared" si="472"/>
        <v>0</v>
      </c>
      <c r="AR1710" s="1146">
        <f t="shared" si="473"/>
        <v>0</v>
      </c>
    </row>
    <row r="1711" spans="1:44" x14ac:dyDescent="0.2">
      <c r="A1711" s="1141" t="str">
        <f t="shared" si="485"/>
        <v/>
      </c>
      <c r="B1711" s="1141" t="str">
        <f>IFERROR(VLOOKUP(A1711,'LAC 103'!A:C,3,FALSE),"")</f>
        <v/>
      </c>
      <c r="C1711" s="1478" t="str">
        <f>Info!$B$8</f>
        <v>00100</v>
      </c>
      <c r="D1711" s="1474"/>
      <c r="E1711" s="1474"/>
      <c r="F1711" s="1478"/>
      <c r="G1711" s="1478"/>
      <c r="H1711" s="1474"/>
      <c r="I1711" s="1478"/>
      <c r="J1711" s="1478"/>
      <c r="K1711" s="1475"/>
      <c r="L1711" s="1474"/>
      <c r="M1711" s="1476"/>
      <c r="N1711" s="1477"/>
      <c r="O1711" s="1479"/>
      <c r="P1711" s="1479"/>
      <c r="Q1711" s="1142">
        <f t="shared" si="469"/>
        <v>0</v>
      </c>
      <c r="R1711" s="1143">
        <f>IFERROR(VLOOKUP(CONCATENATE($E1711,$G1711),'LAC 103'!$A$12:$O$95,11,FALSE),0)</f>
        <v>0</v>
      </c>
      <c r="S1711" s="1144">
        <f>IFERROR(VLOOKUP(CONCATENATE($E1711,$G1711),'LAC 103'!$A$12:$O$95,12,FALSE),0)</f>
        <v>0</v>
      </c>
      <c r="T1711" s="1144">
        <f>IFERROR(VLOOKUP(CONCATENATE($E1711,$G1711),'LAC 103'!$A$12:$O$95,13,FALSE),0)</f>
        <v>0</v>
      </c>
      <c r="U1711" s="1144">
        <f>IFERROR(VLOOKUP(CONCATENATE($E1711,$G1711),'LAC 103'!$A$12:$O$95,14,FALSE),0)</f>
        <v>0</v>
      </c>
      <c r="V1711" s="1144">
        <f>IFERROR(VLOOKUP(CONCATENATE($E1711,$G1711),'LAC 103'!$A$12:$O$95,15,FALSE),0)</f>
        <v>0</v>
      </c>
      <c r="W1711" s="1145" t="str">
        <f>IFERROR(VLOOKUP(CONCATENATE($B1711,$N1711),'LAC 103'!$AI:$AQ,9,FALSE),"")</f>
        <v/>
      </c>
      <c r="X1711" s="1146">
        <f t="shared" si="474"/>
        <v>0</v>
      </c>
      <c r="Y1711" s="1143">
        <f t="shared" si="484"/>
        <v>0</v>
      </c>
      <c r="Z1711" s="1147">
        <f t="shared" si="475"/>
        <v>0</v>
      </c>
      <c r="AA1711" s="1144">
        <f t="shared" si="476"/>
        <v>0</v>
      </c>
      <c r="AB1711" s="1144">
        <f t="shared" si="477"/>
        <v>0</v>
      </c>
      <c r="AC1711" s="1144">
        <f t="shared" si="478"/>
        <v>0</v>
      </c>
      <c r="AD1711" s="1148">
        <f t="shared" si="470"/>
        <v>0</v>
      </c>
      <c r="AE1711" s="1487">
        <v>0</v>
      </c>
      <c r="AF1711" s="1145">
        <f t="shared" si="479"/>
        <v>0</v>
      </c>
      <c r="AG1711" s="1149">
        <f>IFERROR(VLOOKUP(CONCATENATE($L1711,$N1711),'Drop List'!$G$23:$K$87,2,FALSE),0)</f>
        <v>0</v>
      </c>
      <c r="AH1711" s="1150">
        <f>IFERROR(VLOOKUP(CONCATENATE($L1711,$N1711),'Drop List'!$G$23:$K$87,3,FALSE),0)</f>
        <v>0</v>
      </c>
      <c r="AI1711" s="1150">
        <f>IFERROR(VLOOKUP(CONCATENATE($L1711,$N1711),'Drop List'!$G$23:$K$87,4,FALSE),0)</f>
        <v>0</v>
      </c>
      <c r="AJ1711" s="1151">
        <f>IFERROR(VLOOKUP(CONCATENATE($L1711,$N1711),'Drop List'!$G$23:$K$87,5,FALSE),0)</f>
        <v>0</v>
      </c>
      <c r="AK1711" s="1152">
        <f t="shared" si="480"/>
        <v>0</v>
      </c>
      <c r="AL1711" s="1153">
        <f t="shared" si="481"/>
        <v>0</v>
      </c>
      <c r="AM1711" s="1153">
        <f t="shared" si="482"/>
        <v>0</v>
      </c>
      <c r="AN1711" s="1145">
        <f t="shared" si="483"/>
        <v>0</v>
      </c>
      <c r="AO1711" s="1154">
        <f t="shared" si="486"/>
        <v>0</v>
      </c>
      <c r="AP1711" s="1147">
        <f t="shared" si="471"/>
        <v>0</v>
      </c>
      <c r="AQ1711" s="1144">
        <f t="shared" si="472"/>
        <v>0</v>
      </c>
      <c r="AR1711" s="1146">
        <f t="shared" si="473"/>
        <v>0</v>
      </c>
    </row>
    <row r="1712" spans="1:44" x14ac:dyDescent="0.2">
      <c r="A1712" s="1141" t="str">
        <f t="shared" si="485"/>
        <v/>
      </c>
      <c r="B1712" s="1141" t="str">
        <f>IFERROR(VLOOKUP(A1712,'LAC 103'!A:C,3,FALSE),"")</f>
        <v/>
      </c>
      <c r="C1712" s="1478" t="str">
        <f>Info!$B$8</f>
        <v>00100</v>
      </c>
      <c r="D1712" s="1474"/>
      <c r="E1712" s="1474"/>
      <c r="F1712" s="1478"/>
      <c r="G1712" s="1478"/>
      <c r="H1712" s="1474"/>
      <c r="I1712" s="1478"/>
      <c r="J1712" s="1478"/>
      <c r="K1712" s="1475"/>
      <c r="L1712" s="1474"/>
      <c r="M1712" s="1476"/>
      <c r="N1712" s="1477"/>
      <c r="O1712" s="1479"/>
      <c r="P1712" s="1479"/>
      <c r="Q1712" s="1142">
        <f t="shared" si="469"/>
        <v>0</v>
      </c>
      <c r="R1712" s="1143">
        <f>IFERROR(VLOOKUP(CONCATENATE($E1712,$G1712),'LAC 103'!$A$12:$O$95,11,FALSE),0)</f>
        <v>0</v>
      </c>
      <c r="S1712" s="1144">
        <f>IFERROR(VLOOKUP(CONCATENATE($E1712,$G1712),'LAC 103'!$A$12:$O$95,12,FALSE),0)</f>
        <v>0</v>
      </c>
      <c r="T1712" s="1144">
        <f>IFERROR(VLOOKUP(CONCATENATE($E1712,$G1712),'LAC 103'!$A$12:$O$95,13,FALSE),0)</f>
        <v>0</v>
      </c>
      <c r="U1712" s="1144">
        <f>IFERROR(VLOOKUP(CONCATENATE($E1712,$G1712),'LAC 103'!$A$12:$O$95,14,FALSE),0)</f>
        <v>0</v>
      </c>
      <c r="V1712" s="1144">
        <f>IFERROR(VLOOKUP(CONCATENATE($E1712,$G1712),'LAC 103'!$A$12:$O$95,15,FALSE),0)</f>
        <v>0</v>
      </c>
      <c r="W1712" s="1145" t="str">
        <f>IFERROR(VLOOKUP(CONCATENATE($B1712,$N1712),'LAC 103'!$AI:$AQ,9,FALSE),"")</f>
        <v/>
      </c>
      <c r="X1712" s="1146">
        <f t="shared" si="474"/>
        <v>0</v>
      </c>
      <c r="Y1712" s="1143">
        <f t="shared" si="484"/>
        <v>0</v>
      </c>
      <c r="Z1712" s="1147">
        <f t="shared" si="475"/>
        <v>0</v>
      </c>
      <c r="AA1712" s="1144">
        <f t="shared" si="476"/>
        <v>0</v>
      </c>
      <c r="AB1712" s="1144">
        <f t="shared" si="477"/>
        <v>0</v>
      </c>
      <c r="AC1712" s="1144">
        <f t="shared" si="478"/>
        <v>0</v>
      </c>
      <c r="AD1712" s="1148">
        <f t="shared" si="470"/>
        <v>0</v>
      </c>
      <c r="AE1712" s="1487">
        <v>0</v>
      </c>
      <c r="AF1712" s="1145">
        <f t="shared" si="479"/>
        <v>0</v>
      </c>
      <c r="AG1712" s="1149">
        <f>IFERROR(VLOOKUP(CONCATENATE($L1712,$N1712),'Drop List'!$G$23:$K$87,2,FALSE),0)</f>
        <v>0</v>
      </c>
      <c r="AH1712" s="1150">
        <f>IFERROR(VLOOKUP(CONCATENATE($L1712,$N1712),'Drop List'!$G$23:$K$87,3,FALSE),0)</f>
        <v>0</v>
      </c>
      <c r="AI1712" s="1150">
        <f>IFERROR(VLOOKUP(CONCATENATE($L1712,$N1712),'Drop List'!$G$23:$K$87,4,FALSE),0)</f>
        <v>0</v>
      </c>
      <c r="AJ1712" s="1151">
        <f>IFERROR(VLOOKUP(CONCATENATE($L1712,$N1712),'Drop List'!$G$23:$K$87,5,FALSE),0)</f>
        <v>0</v>
      </c>
      <c r="AK1712" s="1152">
        <f t="shared" si="480"/>
        <v>0</v>
      </c>
      <c r="AL1712" s="1153">
        <f t="shared" si="481"/>
        <v>0</v>
      </c>
      <c r="AM1712" s="1153">
        <f t="shared" si="482"/>
        <v>0</v>
      </c>
      <c r="AN1712" s="1145">
        <f t="shared" si="483"/>
        <v>0</v>
      </c>
      <c r="AO1712" s="1154">
        <f t="shared" si="486"/>
        <v>0</v>
      </c>
      <c r="AP1712" s="1147">
        <f t="shared" si="471"/>
        <v>0</v>
      </c>
      <c r="AQ1712" s="1144">
        <f t="shared" si="472"/>
        <v>0</v>
      </c>
      <c r="AR1712" s="1146">
        <f t="shared" si="473"/>
        <v>0</v>
      </c>
    </row>
    <row r="1713" spans="1:44" x14ac:dyDescent="0.2">
      <c r="A1713" s="1141" t="str">
        <f t="shared" si="485"/>
        <v/>
      </c>
      <c r="B1713" s="1141" t="str">
        <f>IFERROR(VLOOKUP(A1713,'LAC 103'!A:C,3,FALSE),"")</f>
        <v/>
      </c>
      <c r="C1713" s="1478" t="str">
        <f>Info!$B$8</f>
        <v>00100</v>
      </c>
      <c r="D1713" s="1474"/>
      <c r="E1713" s="1474"/>
      <c r="F1713" s="1478"/>
      <c r="G1713" s="1478"/>
      <c r="H1713" s="1474"/>
      <c r="I1713" s="1478"/>
      <c r="J1713" s="1478"/>
      <c r="K1713" s="1475"/>
      <c r="L1713" s="1474"/>
      <c r="M1713" s="1476"/>
      <c r="N1713" s="1477"/>
      <c r="O1713" s="1479"/>
      <c r="P1713" s="1479"/>
      <c r="Q1713" s="1142">
        <f t="shared" si="469"/>
        <v>0</v>
      </c>
      <c r="R1713" s="1143">
        <f>IFERROR(VLOOKUP(CONCATENATE($E1713,$G1713),'LAC 103'!$A$12:$O$95,11,FALSE),0)</f>
        <v>0</v>
      </c>
      <c r="S1713" s="1144">
        <f>IFERROR(VLOOKUP(CONCATENATE($E1713,$G1713),'LAC 103'!$A$12:$O$95,12,FALSE),0)</f>
        <v>0</v>
      </c>
      <c r="T1713" s="1144">
        <f>IFERROR(VLOOKUP(CONCATENATE($E1713,$G1713),'LAC 103'!$A$12:$O$95,13,FALSE),0)</f>
        <v>0</v>
      </c>
      <c r="U1713" s="1144">
        <f>IFERROR(VLOOKUP(CONCATENATE($E1713,$G1713),'LAC 103'!$A$12:$O$95,14,FALSE),0)</f>
        <v>0</v>
      </c>
      <c r="V1713" s="1144">
        <f>IFERROR(VLOOKUP(CONCATENATE($E1713,$G1713),'LAC 103'!$A$12:$O$95,15,FALSE),0)</f>
        <v>0</v>
      </c>
      <c r="W1713" s="1145" t="str">
        <f>IFERROR(VLOOKUP(CONCATENATE($B1713,$N1713),'LAC 103'!$AI:$AQ,9,FALSE),"")</f>
        <v/>
      </c>
      <c r="X1713" s="1146">
        <f t="shared" si="474"/>
        <v>0</v>
      </c>
      <c r="Y1713" s="1143">
        <f t="shared" si="484"/>
        <v>0</v>
      </c>
      <c r="Z1713" s="1147">
        <f t="shared" si="475"/>
        <v>0</v>
      </c>
      <c r="AA1713" s="1144">
        <f t="shared" si="476"/>
        <v>0</v>
      </c>
      <c r="AB1713" s="1144">
        <f t="shared" si="477"/>
        <v>0</v>
      </c>
      <c r="AC1713" s="1144">
        <f t="shared" si="478"/>
        <v>0</v>
      </c>
      <c r="AD1713" s="1148">
        <f t="shared" si="470"/>
        <v>0</v>
      </c>
      <c r="AE1713" s="1487">
        <v>0</v>
      </c>
      <c r="AF1713" s="1145">
        <f t="shared" si="479"/>
        <v>0</v>
      </c>
      <c r="AG1713" s="1149">
        <f>IFERROR(VLOOKUP(CONCATENATE($L1713,$N1713),'Drop List'!$G$23:$K$87,2,FALSE),0)</f>
        <v>0</v>
      </c>
      <c r="AH1713" s="1150">
        <f>IFERROR(VLOOKUP(CONCATENATE($L1713,$N1713),'Drop List'!$G$23:$K$87,3,FALSE),0)</f>
        <v>0</v>
      </c>
      <c r="AI1713" s="1150">
        <f>IFERROR(VLOOKUP(CONCATENATE($L1713,$N1713),'Drop List'!$G$23:$K$87,4,FALSE),0)</f>
        <v>0</v>
      </c>
      <c r="AJ1713" s="1151">
        <f>IFERROR(VLOOKUP(CONCATENATE($L1713,$N1713),'Drop List'!$G$23:$K$87,5,FALSE),0)</f>
        <v>0</v>
      </c>
      <c r="AK1713" s="1152">
        <f t="shared" si="480"/>
        <v>0</v>
      </c>
      <c r="AL1713" s="1153">
        <f t="shared" si="481"/>
        <v>0</v>
      </c>
      <c r="AM1713" s="1153">
        <f t="shared" si="482"/>
        <v>0</v>
      </c>
      <c r="AN1713" s="1145">
        <f t="shared" si="483"/>
        <v>0</v>
      </c>
      <c r="AO1713" s="1154">
        <f t="shared" si="486"/>
        <v>0</v>
      </c>
      <c r="AP1713" s="1147">
        <f t="shared" si="471"/>
        <v>0</v>
      </c>
      <c r="AQ1713" s="1144">
        <f t="shared" si="472"/>
        <v>0</v>
      </c>
      <c r="AR1713" s="1146">
        <f t="shared" si="473"/>
        <v>0</v>
      </c>
    </row>
    <row r="1714" spans="1:44" x14ac:dyDescent="0.2">
      <c r="A1714" s="1141" t="str">
        <f t="shared" si="485"/>
        <v/>
      </c>
      <c r="B1714" s="1141" t="str">
        <f>IFERROR(VLOOKUP(A1714,'LAC 103'!A:C,3,FALSE),"")</f>
        <v/>
      </c>
      <c r="C1714" s="1478" t="str">
        <f>Info!$B$8</f>
        <v>00100</v>
      </c>
      <c r="D1714" s="1474"/>
      <c r="E1714" s="1474"/>
      <c r="F1714" s="1478"/>
      <c r="G1714" s="1478"/>
      <c r="H1714" s="1474"/>
      <c r="I1714" s="1478"/>
      <c r="J1714" s="1478"/>
      <c r="K1714" s="1475"/>
      <c r="L1714" s="1474"/>
      <c r="M1714" s="1476"/>
      <c r="N1714" s="1477"/>
      <c r="O1714" s="1479"/>
      <c r="P1714" s="1479"/>
      <c r="Q1714" s="1142">
        <f t="shared" si="469"/>
        <v>0</v>
      </c>
      <c r="R1714" s="1143">
        <f>IFERROR(VLOOKUP(CONCATENATE($E1714,$G1714),'LAC 103'!$A$12:$O$95,11,FALSE),0)</f>
        <v>0</v>
      </c>
      <c r="S1714" s="1144">
        <f>IFERROR(VLOOKUP(CONCATENATE($E1714,$G1714),'LAC 103'!$A$12:$O$95,12,FALSE),0)</f>
        <v>0</v>
      </c>
      <c r="T1714" s="1144">
        <f>IFERROR(VLOOKUP(CONCATENATE($E1714,$G1714),'LAC 103'!$A$12:$O$95,13,FALSE),0)</f>
        <v>0</v>
      </c>
      <c r="U1714" s="1144">
        <f>IFERROR(VLOOKUP(CONCATENATE($E1714,$G1714),'LAC 103'!$A$12:$O$95,14,FALSE),0)</f>
        <v>0</v>
      </c>
      <c r="V1714" s="1144">
        <f>IFERROR(VLOOKUP(CONCATENATE($E1714,$G1714),'LAC 103'!$A$12:$O$95,15,FALSE),0)</f>
        <v>0</v>
      </c>
      <c r="W1714" s="1145" t="str">
        <f>IFERROR(VLOOKUP(CONCATENATE($B1714,$N1714),'LAC 103'!$AI:$AQ,9,FALSE),"")</f>
        <v/>
      </c>
      <c r="X1714" s="1146">
        <f t="shared" si="474"/>
        <v>0</v>
      </c>
      <c r="Y1714" s="1143">
        <f t="shared" si="484"/>
        <v>0</v>
      </c>
      <c r="Z1714" s="1147">
        <f t="shared" si="475"/>
        <v>0</v>
      </c>
      <c r="AA1714" s="1144">
        <f t="shared" si="476"/>
        <v>0</v>
      </c>
      <c r="AB1714" s="1144">
        <f t="shared" si="477"/>
        <v>0</v>
      </c>
      <c r="AC1714" s="1144">
        <f t="shared" si="478"/>
        <v>0</v>
      </c>
      <c r="AD1714" s="1148">
        <f t="shared" si="470"/>
        <v>0</v>
      </c>
      <c r="AE1714" s="1487">
        <v>0</v>
      </c>
      <c r="AF1714" s="1145">
        <f t="shared" si="479"/>
        <v>0</v>
      </c>
      <c r="AG1714" s="1149">
        <f>IFERROR(VLOOKUP(CONCATENATE($L1714,$N1714),'Drop List'!$G$23:$K$87,2,FALSE),0)</f>
        <v>0</v>
      </c>
      <c r="AH1714" s="1150">
        <f>IFERROR(VLOOKUP(CONCATENATE($L1714,$N1714),'Drop List'!$G$23:$K$87,3,FALSE),0)</f>
        <v>0</v>
      </c>
      <c r="AI1714" s="1150">
        <f>IFERROR(VLOOKUP(CONCATENATE($L1714,$N1714),'Drop List'!$G$23:$K$87,4,FALSE),0)</f>
        <v>0</v>
      </c>
      <c r="AJ1714" s="1151">
        <f>IFERROR(VLOOKUP(CONCATENATE($L1714,$N1714),'Drop List'!$G$23:$K$87,5,FALSE),0)</f>
        <v>0</v>
      </c>
      <c r="AK1714" s="1152">
        <f t="shared" si="480"/>
        <v>0</v>
      </c>
      <c r="AL1714" s="1153">
        <f t="shared" si="481"/>
        <v>0</v>
      </c>
      <c r="AM1714" s="1153">
        <f t="shared" si="482"/>
        <v>0</v>
      </c>
      <c r="AN1714" s="1145">
        <f t="shared" si="483"/>
        <v>0</v>
      </c>
      <c r="AO1714" s="1154">
        <f t="shared" si="486"/>
        <v>0</v>
      </c>
      <c r="AP1714" s="1147">
        <f t="shared" si="471"/>
        <v>0</v>
      </c>
      <c r="AQ1714" s="1144">
        <f t="shared" si="472"/>
        <v>0</v>
      </c>
      <c r="AR1714" s="1146">
        <f t="shared" si="473"/>
        <v>0</v>
      </c>
    </row>
    <row r="1715" spans="1:44" x14ac:dyDescent="0.2">
      <c r="A1715" s="1141" t="str">
        <f t="shared" si="485"/>
        <v/>
      </c>
      <c r="B1715" s="1141" t="str">
        <f>IFERROR(VLOOKUP(A1715,'LAC 103'!A:C,3,FALSE),"")</f>
        <v/>
      </c>
      <c r="C1715" s="1478" t="str">
        <f>Info!$B$8</f>
        <v>00100</v>
      </c>
      <c r="D1715" s="1474"/>
      <c r="E1715" s="1474"/>
      <c r="F1715" s="1478"/>
      <c r="G1715" s="1478"/>
      <c r="H1715" s="1474"/>
      <c r="I1715" s="1478"/>
      <c r="J1715" s="1478"/>
      <c r="K1715" s="1475"/>
      <c r="L1715" s="1474"/>
      <c r="M1715" s="1476"/>
      <c r="N1715" s="1477"/>
      <c r="O1715" s="1479"/>
      <c r="P1715" s="1479"/>
      <c r="Q1715" s="1142">
        <f t="shared" si="469"/>
        <v>0</v>
      </c>
      <c r="R1715" s="1143">
        <f>IFERROR(VLOOKUP(CONCATENATE($E1715,$G1715),'LAC 103'!$A$12:$O$95,11,FALSE),0)</f>
        <v>0</v>
      </c>
      <c r="S1715" s="1144">
        <f>IFERROR(VLOOKUP(CONCATENATE($E1715,$G1715),'LAC 103'!$A$12:$O$95,12,FALSE),0)</f>
        <v>0</v>
      </c>
      <c r="T1715" s="1144">
        <f>IFERROR(VLOOKUP(CONCATENATE($E1715,$G1715),'LAC 103'!$A$12:$O$95,13,FALSE),0)</f>
        <v>0</v>
      </c>
      <c r="U1715" s="1144">
        <f>IFERROR(VLOOKUP(CONCATENATE($E1715,$G1715),'LAC 103'!$A$12:$O$95,14,FALSE),0)</f>
        <v>0</v>
      </c>
      <c r="V1715" s="1144">
        <f>IFERROR(VLOOKUP(CONCATENATE($E1715,$G1715),'LAC 103'!$A$12:$O$95,15,FALSE),0)</f>
        <v>0</v>
      </c>
      <c r="W1715" s="1145" t="str">
        <f>IFERROR(VLOOKUP(CONCATENATE($B1715,$N1715),'LAC 103'!$AI:$AQ,9,FALSE),"")</f>
        <v/>
      </c>
      <c r="X1715" s="1146">
        <f t="shared" si="474"/>
        <v>0</v>
      </c>
      <c r="Y1715" s="1143">
        <f t="shared" si="484"/>
        <v>0</v>
      </c>
      <c r="Z1715" s="1147">
        <f t="shared" si="475"/>
        <v>0</v>
      </c>
      <c r="AA1715" s="1144">
        <f t="shared" si="476"/>
        <v>0</v>
      </c>
      <c r="AB1715" s="1144">
        <f t="shared" si="477"/>
        <v>0</v>
      </c>
      <c r="AC1715" s="1144">
        <f t="shared" si="478"/>
        <v>0</v>
      </c>
      <c r="AD1715" s="1148">
        <f t="shared" si="470"/>
        <v>0</v>
      </c>
      <c r="AE1715" s="1487">
        <v>0</v>
      </c>
      <c r="AF1715" s="1145">
        <f t="shared" si="479"/>
        <v>0</v>
      </c>
      <c r="AG1715" s="1149">
        <f>IFERROR(VLOOKUP(CONCATENATE($L1715,$N1715),'Drop List'!$G$23:$K$87,2,FALSE),0)</f>
        <v>0</v>
      </c>
      <c r="AH1715" s="1150">
        <f>IFERROR(VLOOKUP(CONCATENATE($L1715,$N1715),'Drop List'!$G$23:$K$87,3,FALSE),0)</f>
        <v>0</v>
      </c>
      <c r="AI1715" s="1150">
        <f>IFERROR(VLOOKUP(CONCATENATE($L1715,$N1715),'Drop List'!$G$23:$K$87,4,FALSE),0)</f>
        <v>0</v>
      </c>
      <c r="AJ1715" s="1151">
        <f>IFERROR(VLOOKUP(CONCATENATE($L1715,$N1715),'Drop List'!$G$23:$K$87,5,FALSE),0)</f>
        <v>0</v>
      </c>
      <c r="AK1715" s="1152">
        <f t="shared" si="480"/>
        <v>0</v>
      </c>
      <c r="AL1715" s="1153">
        <f t="shared" si="481"/>
        <v>0</v>
      </c>
      <c r="AM1715" s="1153">
        <f t="shared" si="482"/>
        <v>0</v>
      </c>
      <c r="AN1715" s="1145">
        <f t="shared" si="483"/>
        <v>0</v>
      </c>
      <c r="AO1715" s="1154">
        <f t="shared" si="486"/>
        <v>0</v>
      </c>
      <c r="AP1715" s="1147">
        <f t="shared" si="471"/>
        <v>0</v>
      </c>
      <c r="AQ1715" s="1144">
        <f t="shared" si="472"/>
        <v>0</v>
      </c>
      <c r="AR1715" s="1146">
        <f t="shared" si="473"/>
        <v>0</v>
      </c>
    </row>
    <row r="1716" spans="1:44" x14ac:dyDescent="0.2">
      <c r="A1716" s="1141" t="str">
        <f t="shared" si="485"/>
        <v/>
      </c>
      <c r="B1716" s="1141" t="str">
        <f>IFERROR(VLOOKUP(A1716,'LAC 103'!A:C,3,FALSE),"")</f>
        <v/>
      </c>
      <c r="C1716" s="1478" t="str">
        <f>Info!$B$8</f>
        <v>00100</v>
      </c>
      <c r="D1716" s="1474"/>
      <c r="E1716" s="1474"/>
      <c r="F1716" s="1478"/>
      <c r="G1716" s="1478"/>
      <c r="H1716" s="1474"/>
      <c r="I1716" s="1478"/>
      <c r="J1716" s="1478"/>
      <c r="K1716" s="1475"/>
      <c r="L1716" s="1474"/>
      <c r="M1716" s="1476"/>
      <c r="N1716" s="1477"/>
      <c r="O1716" s="1479"/>
      <c r="P1716" s="1479"/>
      <c r="Q1716" s="1142">
        <f t="shared" si="469"/>
        <v>0</v>
      </c>
      <c r="R1716" s="1143">
        <f>IFERROR(VLOOKUP(CONCATENATE($E1716,$G1716),'LAC 103'!$A$12:$O$95,11,FALSE),0)</f>
        <v>0</v>
      </c>
      <c r="S1716" s="1144">
        <f>IFERROR(VLOOKUP(CONCATENATE($E1716,$G1716),'LAC 103'!$A$12:$O$95,12,FALSE),0)</f>
        <v>0</v>
      </c>
      <c r="T1716" s="1144">
        <f>IFERROR(VLOOKUP(CONCATENATE($E1716,$G1716),'LAC 103'!$A$12:$O$95,13,FALSE),0)</f>
        <v>0</v>
      </c>
      <c r="U1716" s="1144">
        <f>IFERROR(VLOOKUP(CONCATENATE($E1716,$G1716),'LAC 103'!$A$12:$O$95,14,FALSE),0)</f>
        <v>0</v>
      </c>
      <c r="V1716" s="1144">
        <f>IFERROR(VLOOKUP(CONCATENATE($E1716,$G1716),'LAC 103'!$A$12:$O$95,15,FALSE),0)</f>
        <v>0</v>
      </c>
      <c r="W1716" s="1145" t="str">
        <f>IFERROR(VLOOKUP(CONCATENATE($B1716,$N1716),'LAC 103'!$AI:$AQ,9,FALSE),"")</f>
        <v/>
      </c>
      <c r="X1716" s="1146">
        <f t="shared" si="474"/>
        <v>0</v>
      </c>
      <c r="Y1716" s="1143">
        <f t="shared" si="484"/>
        <v>0</v>
      </c>
      <c r="Z1716" s="1147">
        <f t="shared" si="475"/>
        <v>0</v>
      </c>
      <c r="AA1716" s="1144">
        <f t="shared" si="476"/>
        <v>0</v>
      </c>
      <c r="AB1716" s="1144">
        <f t="shared" si="477"/>
        <v>0</v>
      </c>
      <c r="AC1716" s="1144">
        <f t="shared" si="478"/>
        <v>0</v>
      </c>
      <c r="AD1716" s="1148">
        <f t="shared" si="470"/>
        <v>0</v>
      </c>
      <c r="AE1716" s="1487">
        <v>0</v>
      </c>
      <c r="AF1716" s="1145">
        <f t="shared" si="479"/>
        <v>0</v>
      </c>
      <c r="AG1716" s="1149">
        <f>IFERROR(VLOOKUP(CONCATENATE($L1716,$N1716),'Drop List'!$G$23:$K$87,2,FALSE),0)</f>
        <v>0</v>
      </c>
      <c r="AH1716" s="1150">
        <f>IFERROR(VLOOKUP(CONCATENATE($L1716,$N1716),'Drop List'!$G$23:$K$87,3,FALSE),0)</f>
        <v>0</v>
      </c>
      <c r="AI1716" s="1150">
        <f>IFERROR(VLOOKUP(CONCATENATE($L1716,$N1716),'Drop List'!$G$23:$K$87,4,FALSE),0)</f>
        <v>0</v>
      </c>
      <c r="AJ1716" s="1151">
        <f>IFERROR(VLOOKUP(CONCATENATE($L1716,$N1716),'Drop List'!$G$23:$K$87,5,FALSE),0)</f>
        <v>0</v>
      </c>
      <c r="AK1716" s="1152">
        <f t="shared" si="480"/>
        <v>0</v>
      </c>
      <c r="AL1716" s="1153">
        <f t="shared" si="481"/>
        <v>0</v>
      </c>
      <c r="AM1716" s="1153">
        <f t="shared" si="482"/>
        <v>0</v>
      </c>
      <c r="AN1716" s="1145">
        <f t="shared" si="483"/>
        <v>0</v>
      </c>
      <c r="AO1716" s="1154">
        <f t="shared" si="486"/>
        <v>0</v>
      </c>
      <c r="AP1716" s="1147">
        <f t="shared" si="471"/>
        <v>0</v>
      </c>
      <c r="AQ1716" s="1144">
        <f t="shared" si="472"/>
        <v>0</v>
      </c>
      <c r="AR1716" s="1146">
        <f t="shared" si="473"/>
        <v>0</v>
      </c>
    </row>
    <row r="1717" spans="1:44" x14ac:dyDescent="0.2">
      <c r="A1717" s="1141" t="str">
        <f t="shared" si="485"/>
        <v/>
      </c>
      <c r="B1717" s="1141" t="str">
        <f>IFERROR(VLOOKUP(A1717,'LAC 103'!A:C,3,FALSE),"")</f>
        <v/>
      </c>
      <c r="C1717" s="1478" t="str">
        <f>Info!$B$8</f>
        <v>00100</v>
      </c>
      <c r="D1717" s="1474"/>
      <c r="E1717" s="1474"/>
      <c r="F1717" s="1478"/>
      <c r="G1717" s="1478"/>
      <c r="H1717" s="1474"/>
      <c r="I1717" s="1478"/>
      <c r="J1717" s="1478"/>
      <c r="K1717" s="1475"/>
      <c r="L1717" s="1474"/>
      <c r="M1717" s="1476"/>
      <c r="N1717" s="1477"/>
      <c r="O1717" s="1479"/>
      <c r="P1717" s="1479"/>
      <c r="Q1717" s="1142">
        <f t="shared" si="469"/>
        <v>0</v>
      </c>
      <c r="R1717" s="1143">
        <f>IFERROR(VLOOKUP(CONCATENATE($E1717,$G1717),'LAC 103'!$A$12:$O$95,11,FALSE),0)</f>
        <v>0</v>
      </c>
      <c r="S1717" s="1144">
        <f>IFERROR(VLOOKUP(CONCATENATE($E1717,$G1717),'LAC 103'!$A$12:$O$95,12,FALSE),0)</f>
        <v>0</v>
      </c>
      <c r="T1717" s="1144">
        <f>IFERROR(VLOOKUP(CONCATENATE($E1717,$G1717),'LAC 103'!$A$12:$O$95,13,FALSE),0)</f>
        <v>0</v>
      </c>
      <c r="U1717" s="1144">
        <f>IFERROR(VLOOKUP(CONCATENATE($E1717,$G1717),'LAC 103'!$A$12:$O$95,14,FALSE),0)</f>
        <v>0</v>
      </c>
      <c r="V1717" s="1144">
        <f>IFERROR(VLOOKUP(CONCATENATE($E1717,$G1717),'LAC 103'!$A$12:$O$95,15,FALSE),0)</f>
        <v>0</v>
      </c>
      <c r="W1717" s="1145" t="str">
        <f>IFERROR(VLOOKUP(CONCATENATE($B1717,$N1717),'LAC 103'!$AI:$AQ,9,FALSE),"")</f>
        <v/>
      </c>
      <c r="X1717" s="1146">
        <f t="shared" si="474"/>
        <v>0</v>
      </c>
      <c r="Y1717" s="1143">
        <f t="shared" si="484"/>
        <v>0</v>
      </c>
      <c r="Z1717" s="1147">
        <f t="shared" si="475"/>
        <v>0</v>
      </c>
      <c r="AA1717" s="1144">
        <f t="shared" si="476"/>
        <v>0</v>
      </c>
      <c r="AB1717" s="1144">
        <f t="shared" si="477"/>
        <v>0</v>
      </c>
      <c r="AC1717" s="1144">
        <f t="shared" si="478"/>
        <v>0</v>
      </c>
      <c r="AD1717" s="1148">
        <f t="shared" si="470"/>
        <v>0</v>
      </c>
      <c r="AE1717" s="1487">
        <v>0</v>
      </c>
      <c r="AF1717" s="1145">
        <f t="shared" si="479"/>
        <v>0</v>
      </c>
      <c r="AG1717" s="1149">
        <f>IFERROR(VLOOKUP(CONCATENATE($L1717,$N1717),'Drop List'!$G$23:$K$87,2,FALSE),0)</f>
        <v>0</v>
      </c>
      <c r="AH1717" s="1150">
        <f>IFERROR(VLOOKUP(CONCATENATE($L1717,$N1717),'Drop List'!$G$23:$K$87,3,FALSE),0)</f>
        <v>0</v>
      </c>
      <c r="AI1717" s="1150">
        <f>IFERROR(VLOOKUP(CONCATENATE($L1717,$N1717),'Drop List'!$G$23:$K$87,4,FALSE),0)</f>
        <v>0</v>
      </c>
      <c r="AJ1717" s="1151">
        <f>IFERROR(VLOOKUP(CONCATENATE($L1717,$N1717),'Drop List'!$G$23:$K$87,5,FALSE),0)</f>
        <v>0</v>
      </c>
      <c r="AK1717" s="1152">
        <f t="shared" si="480"/>
        <v>0</v>
      </c>
      <c r="AL1717" s="1153">
        <f t="shared" si="481"/>
        <v>0</v>
      </c>
      <c r="AM1717" s="1153">
        <f t="shared" si="482"/>
        <v>0</v>
      </c>
      <c r="AN1717" s="1145">
        <f t="shared" si="483"/>
        <v>0</v>
      </c>
      <c r="AO1717" s="1154">
        <f t="shared" si="486"/>
        <v>0</v>
      </c>
      <c r="AP1717" s="1147">
        <f t="shared" si="471"/>
        <v>0</v>
      </c>
      <c r="AQ1717" s="1144">
        <f t="shared" si="472"/>
        <v>0</v>
      </c>
      <c r="AR1717" s="1146">
        <f t="shared" si="473"/>
        <v>0</v>
      </c>
    </row>
    <row r="1718" spans="1:44" x14ac:dyDescent="0.2">
      <c r="A1718" s="1141" t="str">
        <f t="shared" si="485"/>
        <v/>
      </c>
      <c r="B1718" s="1141" t="str">
        <f>IFERROR(VLOOKUP(A1718,'LAC 103'!A:C,3,FALSE),"")</f>
        <v/>
      </c>
      <c r="C1718" s="1478" t="str">
        <f>Info!$B$8</f>
        <v>00100</v>
      </c>
      <c r="D1718" s="1474"/>
      <c r="E1718" s="1474"/>
      <c r="F1718" s="1478"/>
      <c r="G1718" s="1478"/>
      <c r="H1718" s="1474"/>
      <c r="I1718" s="1478"/>
      <c r="J1718" s="1478"/>
      <c r="K1718" s="1475"/>
      <c r="L1718" s="1474"/>
      <c r="M1718" s="1476"/>
      <c r="N1718" s="1477"/>
      <c r="O1718" s="1479"/>
      <c r="P1718" s="1479"/>
      <c r="Q1718" s="1142">
        <f t="shared" si="469"/>
        <v>0</v>
      </c>
      <c r="R1718" s="1143">
        <f>IFERROR(VLOOKUP(CONCATENATE($E1718,$G1718),'LAC 103'!$A$12:$O$95,11,FALSE),0)</f>
        <v>0</v>
      </c>
      <c r="S1718" s="1144">
        <f>IFERROR(VLOOKUP(CONCATENATE($E1718,$G1718),'LAC 103'!$A$12:$O$95,12,FALSE),0)</f>
        <v>0</v>
      </c>
      <c r="T1718" s="1144">
        <f>IFERROR(VLOOKUP(CONCATENATE($E1718,$G1718),'LAC 103'!$A$12:$O$95,13,FALSE),0)</f>
        <v>0</v>
      </c>
      <c r="U1718" s="1144">
        <f>IFERROR(VLOOKUP(CONCATENATE($E1718,$G1718),'LAC 103'!$A$12:$O$95,14,FALSE),0)</f>
        <v>0</v>
      </c>
      <c r="V1718" s="1144">
        <f>IFERROR(VLOOKUP(CONCATENATE($E1718,$G1718),'LAC 103'!$A$12:$O$95,15,FALSE),0)</f>
        <v>0</v>
      </c>
      <c r="W1718" s="1145" t="str">
        <f>IFERROR(VLOOKUP(CONCATENATE($B1718,$N1718),'LAC 103'!$AI:$AQ,9,FALSE),"")</f>
        <v/>
      </c>
      <c r="X1718" s="1146">
        <f t="shared" si="474"/>
        <v>0</v>
      </c>
      <c r="Y1718" s="1143">
        <f t="shared" si="484"/>
        <v>0</v>
      </c>
      <c r="Z1718" s="1147">
        <f t="shared" si="475"/>
        <v>0</v>
      </c>
      <c r="AA1718" s="1144">
        <f t="shared" si="476"/>
        <v>0</v>
      </c>
      <c r="AB1718" s="1144">
        <f t="shared" si="477"/>
        <v>0</v>
      </c>
      <c r="AC1718" s="1144">
        <f t="shared" si="478"/>
        <v>0</v>
      </c>
      <c r="AD1718" s="1148">
        <f t="shared" si="470"/>
        <v>0</v>
      </c>
      <c r="AE1718" s="1487">
        <v>0</v>
      </c>
      <c r="AF1718" s="1145">
        <f t="shared" si="479"/>
        <v>0</v>
      </c>
      <c r="AG1718" s="1149">
        <f>IFERROR(VLOOKUP(CONCATENATE($L1718,$N1718),'Drop List'!$G$23:$K$87,2,FALSE),0)</f>
        <v>0</v>
      </c>
      <c r="AH1718" s="1150">
        <f>IFERROR(VLOOKUP(CONCATENATE($L1718,$N1718),'Drop List'!$G$23:$K$87,3,FALSE),0)</f>
        <v>0</v>
      </c>
      <c r="AI1718" s="1150">
        <f>IFERROR(VLOOKUP(CONCATENATE($L1718,$N1718),'Drop List'!$G$23:$K$87,4,FALSE),0)</f>
        <v>0</v>
      </c>
      <c r="AJ1718" s="1151">
        <f>IFERROR(VLOOKUP(CONCATENATE($L1718,$N1718),'Drop List'!$G$23:$K$87,5,FALSE),0)</f>
        <v>0</v>
      </c>
      <c r="AK1718" s="1152">
        <f t="shared" si="480"/>
        <v>0</v>
      </c>
      <c r="AL1718" s="1153">
        <f t="shared" si="481"/>
        <v>0</v>
      </c>
      <c r="AM1718" s="1153">
        <f t="shared" si="482"/>
        <v>0</v>
      </c>
      <c r="AN1718" s="1145">
        <f t="shared" si="483"/>
        <v>0</v>
      </c>
      <c r="AO1718" s="1154">
        <f t="shared" si="486"/>
        <v>0</v>
      </c>
      <c r="AP1718" s="1147">
        <f t="shared" si="471"/>
        <v>0</v>
      </c>
      <c r="AQ1718" s="1144">
        <f t="shared" si="472"/>
        <v>0</v>
      </c>
      <c r="AR1718" s="1146">
        <f t="shared" si="473"/>
        <v>0</v>
      </c>
    </row>
    <row r="1719" spans="1:44" x14ac:dyDescent="0.2">
      <c r="A1719" s="1141" t="str">
        <f t="shared" si="485"/>
        <v/>
      </c>
      <c r="B1719" s="1141" t="str">
        <f>IFERROR(VLOOKUP(A1719,'LAC 103'!A:C,3,FALSE),"")</f>
        <v/>
      </c>
      <c r="C1719" s="1478" t="str">
        <f>Info!$B$8</f>
        <v>00100</v>
      </c>
      <c r="D1719" s="1474"/>
      <c r="E1719" s="1474"/>
      <c r="F1719" s="1478"/>
      <c r="G1719" s="1478"/>
      <c r="H1719" s="1474"/>
      <c r="I1719" s="1478"/>
      <c r="J1719" s="1478"/>
      <c r="K1719" s="1475"/>
      <c r="L1719" s="1474"/>
      <c r="M1719" s="1476"/>
      <c r="N1719" s="1477"/>
      <c r="O1719" s="1479"/>
      <c r="P1719" s="1479"/>
      <c r="Q1719" s="1142">
        <f t="shared" si="469"/>
        <v>0</v>
      </c>
      <c r="R1719" s="1143">
        <f>IFERROR(VLOOKUP(CONCATENATE($E1719,$G1719),'LAC 103'!$A$12:$O$95,11,FALSE),0)</f>
        <v>0</v>
      </c>
      <c r="S1719" s="1144">
        <f>IFERROR(VLOOKUP(CONCATENATE($E1719,$G1719),'LAC 103'!$A$12:$O$95,12,FALSE),0)</f>
        <v>0</v>
      </c>
      <c r="T1719" s="1144">
        <f>IFERROR(VLOOKUP(CONCATENATE($E1719,$G1719),'LAC 103'!$A$12:$O$95,13,FALSE),0)</f>
        <v>0</v>
      </c>
      <c r="U1719" s="1144">
        <f>IFERROR(VLOOKUP(CONCATENATE($E1719,$G1719),'LAC 103'!$A$12:$O$95,14,FALSE),0)</f>
        <v>0</v>
      </c>
      <c r="V1719" s="1144">
        <f>IFERROR(VLOOKUP(CONCATENATE($E1719,$G1719),'LAC 103'!$A$12:$O$95,15,FALSE),0)</f>
        <v>0</v>
      </c>
      <c r="W1719" s="1145" t="str">
        <f>IFERROR(VLOOKUP(CONCATENATE($B1719,$N1719),'LAC 103'!$AI:$AQ,9,FALSE),"")</f>
        <v/>
      </c>
      <c r="X1719" s="1146">
        <f t="shared" si="474"/>
        <v>0</v>
      </c>
      <c r="Y1719" s="1143">
        <f t="shared" si="484"/>
        <v>0</v>
      </c>
      <c r="Z1719" s="1147">
        <f t="shared" si="475"/>
        <v>0</v>
      </c>
      <c r="AA1719" s="1144">
        <f t="shared" si="476"/>
        <v>0</v>
      </c>
      <c r="AB1719" s="1144">
        <f t="shared" si="477"/>
        <v>0</v>
      </c>
      <c r="AC1719" s="1144">
        <f t="shared" si="478"/>
        <v>0</v>
      </c>
      <c r="AD1719" s="1148">
        <f t="shared" si="470"/>
        <v>0</v>
      </c>
      <c r="AE1719" s="1487">
        <v>0</v>
      </c>
      <c r="AF1719" s="1145">
        <f t="shared" si="479"/>
        <v>0</v>
      </c>
      <c r="AG1719" s="1149">
        <f>IFERROR(VLOOKUP(CONCATENATE($L1719,$N1719),'Drop List'!$G$23:$K$87,2,FALSE),0)</f>
        <v>0</v>
      </c>
      <c r="AH1719" s="1150">
        <f>IFERROR(VLOOKUP(CONCATENATE($L1719,$N1719),'Drop List'!$G$23:$K$87,3,FALSE),0)</f>
        <v>0</v>
      </c>
      <c r="AI1719" s="1150">
        <f>IFERROR(VLOOKUP(CONCATENATE($L1719,$N1719),'Drop List'!$G$23:$K$87,4,FALSE),0)</f>
        <v>0</v>
      </c>
      <c r="AJ1719" s="1151">
        <f>IFERROR(VLOOKUP(CONCATENATE($L1719,$N1719),'Drop List'!$G$23:$K$87,5,FALSE),0)</f>
        <v>0</v>
      </c>
      <c r="AK1719" s="1152">
        <f t="shared" si="480"/>
        <v>0</v>
      </c>
      <c r="AL1719" s="1153">
        <f t="shared" si="481"/>
        <v>0</v>
      </c>
      <c r="AM1719" s="1153">
        <f t="shared" si="482"/>
        <v>0</v>
      </c>
      <c r="AN1719" s="1145">
        <f t="shared" si="483"/>
        <v>0</v>
      </c>
      <c r="AO1719" s="1154">
        <f t="shared" si="486"/>
        <v>0</v>
      </c>
      <c r="AP1719" s="1147">
        <f t="shared" si="471"/>
        <v>0</v>
      </c>
      <c r="AQ1719" s="1144">
        <f t="shared" si="472"/>
        <v>0</v>
      </c>
      <c r="AR1719" s="1146">
        <f t="shared" si="473"/>
        <v>0</v>
      </c>
    </row>
    <row r="1720" spans="1:44" x14ac:dyDescent="0.2">
      <c r="A1720" s="1141" t="str">
        <f t="shared" si="485"/>
        <v/>
      </c>
      <c r="B1720" s="1141" t="str">
        <f>IFERROR(VLOOKUP(A1720,'LAC 103'!A:C,3,FALSE),"")</f>
        <v/>
      </c>
      <c r="C1720" s="1478" t="str">
        <f>Info!$B$8</f>
        <v>00100</v>
      </c>
      <c r="D1720" s="1474"/>
      <c r="E1720" s="1474"/>
      <c r="F1720" s="1478"/>
      <c r="G1720" s="1478"/>
      <c r="H1720" s="1474"/>
      <c r="I1720" s="1478"/>
      <c r="J1720" s="1478"/>
      <c r="K1720" s="1475"/>
      <c r="L1720" s="1474"/>
      <c r="M1720" s="1476"/>
      <c r="N1720" s="1477"/>
      <c r="O1720" s="1479"/>
      <c r="P1720" s="1479"/>
      <c r="Q1720" s="1142">
        <f t="shared" si="469"/>
        <v>0</v>
      </c>
      <c r="R1720" s="1143">
        <f>IFERROR(VLOOKUP(CONCATENATE($E1720,$G1720),'LAC 103'!$A$12:$O$95,11,FALSE),0)</f>
        <v>0</v>
      </c>
      <c r="S1720" s="1144">
        <f>IFERROR(VLOOKUP(CONCATENATE($E1720,$G1720),'LAC 103'!$A$12:$O$95,12,FALSE),0)</f>
        <v>0</v>
      </c>
      <c r="T1720" s="1144">
        <f>IFERROR(VLOOKUP(CONCATENATE($E1720,$G1720),'LAC 103'!$A$12:$O$95,13,FALSE),0)</f>
        <v>0</v>
      </c>
      <c r="U1720" s="1144">
        <f>IFERROR(VLOOKUP(CONCATENATE($E1720,$G1720),'LAC 103'!$A$12:$O$95,14,FALSE),0)</f>
        <v>0</v>
      </c>
      <c r="V1720" s="1144">
        <f>IFERROR(VLOOKUP(CONCATENATE($E1720,$G1720),'LAC 103'!$A$12:$O$95,15,FALSE),0)</f>
        <v>0</v>
      </c>
      <c r="W1720" s="1145" t="str">
        <f>IFERROR(VLOOKUP(CONCATENATE($B1720,$N1720),'LAC 103'!$AI:$AQ,9,FALSE),"")</f>
        <v/>
      </c>
      <c r="X1720" s="1146">
        <f t="shared" si="474"/>
        <v>0</v>
      </c>
      <c r="Y1720" s="1143">
        <f t="shared" si="484"/>
        <v>0</v>
      </c>
      <c r="Z1720" s="1147">
        <f t="shared" si="475"/>
        <v>0</v>
      </c>
      <c r="AA1720" s="1144">
        <f t="shared" si="476"/>
        <v>0</v>
      </c>
      <c r="AB1720" s="1144">
        <f t="shared" si="477"/>
        <v>0</v>
      </c>
      <c r="AC1720" s="1144">
        <f t="shared" si="478"/>
        <v>0</v>
      </c>
      <c r="AD1720" s="1148">
        <f t="shared" si="470"/>
        <v>0</v>
      </c>
      <c r="AE1720" s="1487">
        <v>0</v>
      </c>
      <c r="AF1720" s="1145">
        <f t="shared" si="479"/>
        <v>0</v>
      </c>
      <c r="AG1720" s="1149">
        <f>IFERROR(VLOOKUP(CONCATENATE($L1720,$N1720),'Drop List'!$G$23:$K$87,2,FALSE),0)</f>
        <v>0</v>
      </c>
      <c r="AH1720" s="1150">
        <f>IFERROR(VLOOKUP(CONCATENATE($L1720,$N1720),'Drop List'!$G$23:$K$87,3,FALSE),0)</f>
        <v>0</v>
      </c>
      <c r="AI1720" s="1150">
        <f>IFERROR(VLOOKUP(CONCATENATE($L1720,$N1720),'Drop List'!$G$23:$K$87,4,FALSE),0)</f>
        <v>0</v>
      </c>
      <c r="AJ1720" s="1151">
        <f>IFERROR(VLOOKUP(CONCATENATE($L1720,$N1720),'Drop List'!$G$23:$K$87,5,FALSE),0)</f>
        <v>0</v>
      </c>
      <c r="AK1720" s="1152">
        <f t="shared" si="480"/>
        <v>0</v>
      </c>
      <c r="AL1720" s="1153">
        <f t="shared" si="481"/>
        <v>0</v>
      </c>
      <c r="AM1720" s="1153">
        <f t="shared" si="482"/>
        <v>0</v>
      </c>
      <c r="AN1720" s="1145">
        <f t="shared" si="483"/>
        <v>0</v>
      </c>
      <c r="AO1720" s="1154">
        <f t="shared" si="486"/>
        <v>0</v>
      </c>
      <c r="AP1720" s="1147">
        <f t="shared" si="471"/>
        <v>0</v>
      </c>
      <c r="AQ1720" s="1144">
        <f t="shared" si="472"/>
        <v>0</v>
      </c>
      <c r="AR1720" s="1146">
        <f t="shared" si="473"/>
        <v>0</v>
      </c>
    </row>
    <row r="1721" spans="1:44" x14ac:dyDescent="0.2">
      <c r="A1721" s="1141" t="str">
        <f t="shared" si="485"/>
        <v/>
      </c>
      <c r="B1721" s="1141" t="str">
        <f>IFERROR(VLOOKUP(A1721,'LAC 103'!A:C,3,FALSE),"")</f>
        <v/>
      </c>
      <c r="C1721" s="1478" t="str">
        <f>Info!$B$8</f>
        <v>00100</v>
      </c>
      <c r="D1721" s="1474"/>
      <c r="E1721" s="1474"/>
      <c r="F1721" s="1478"/>
      <c r="G1721" s="1478"/>
      <c r="H1721" s="1474"/>
      <c r="I1721" s="1478"/>
      <c r="J1721" s="1478"/>
      <c r="K1721" s="1475"/>
      <c r="L1721" s="1474"/>
      <c r="M1721" s="1476"/>
      <c r="N1721" s="1477"/>
      <c r="O1721" s="1479"/>
      <c r="P1721" s="1479"/>
      <c r="Q1721" s="1142">
        <f t="shared" si="469"/>
        <v>0</v>
      </c>
      <c r="R1721" s="1143">
        <f>IFERROR(VLOOKUP(CONCATENATE($E1721,$G1721),'LAC 103'!$A$12:$O$95,11,FALSE),0)</f>
        <v>0</v>
      </c>
      <c r="S1721" s="1144">
        <f>IFERROR(VLOOKUP(CONCATENATE($E1721,$G1721),'LAC 103'!$A$12:$O$95,12,FALSE),0)</f>
        <v>0</v>
      </c>
      <c r="T1721" s="1144">
        <f>IFERROR(VLOOKUP(CONCATENATE($E1721,$G1721),'LAC 103'!$A$12:$O$95,13,FALSE),0)</f>
        <v>0</v>
      </c>
      <c r="U1721" s="1144">
        <f>IFERROR(VLOOKUP(CONCATENATE($E1721,$G1721),'LAC 103'!$A$12:$O$95,14,FALSE),0)</f>
        <v>0</v>
      </c>
      <c r="V1721" s="1144">
        <f>IFERROR(VLOOKUP(CONCATENATE($E1721,$G1721),'LAC 103'!$A$12:$O$95,15,FALSE),0)</f>
        <v>0</v>
      </c>
      <c r="W1721" s="1145" t="str">
        <f>IFERROR(VLOOKUP(CONCATENATE($B1721,$N1721),'LAC 103'!$AI:$AQ,9,FALSE),"")</f>
        <v/>
      </c>
      <c r="X1721" s="1146">
        <f t="shared" si="474"/>
        <v>0</v>
      </c>
      <c r="Y1721" s="1143">
        <f t="shared" si="484"/>
        <v>0</v>
      </c>
      <c r="Z1721" s="1147">
        <f t="shared" si="475"/>
        <v>0</v>
      </c>
      <c r="AA1721" s="1144">
        <f t="shared" si="476"/>
        <v>0</v>
      </c>
      <c r="AB1721" s="1144">
        <f t="shared" si="477"/>
        <v>0</v>
      </c>
      <c r="AC1721" s="1144">
        <f t="shared" si="478"/>
        <v>0</v>
      </c>
      <c r="AD1721" s="1148">
        <f t="shared" si="470"/>
        <v>0</v>
      </c>
      <c r="AE1721" s="1487">
        <v>0</v>
      </c>
      <c r="AF1721" s="1145">
        <f t="shared" si="479"/>
        <v>0</v>
      </c>
      <c r="AG1721" s="1149">
        <f>IFERROR(VLOOKUP(CONCATENATE($L1721,$N1721),'Drop List'!$G$23:$K$87,2,FALSE),0)</f>
        <v>0</v>
      </c>
      <c r="AH1721" s="1150">
        <f>IFERROR(VLOOKUP(CONCATENATE($L1721,$N1721),'Drop List'!$G$23:$K$87,3,FALSE),0)</f>
        <v>0</v>
      </c>
      <c r="AI1721" s="1150">
        <f>IFERROR(VLOOKUP(CONCATENATE($L1721,$N1721),'Drop List'!$G$23:$K$87,4,FALSE),0)</f>
        <v>0</v>
      </c>
      <c r="AJ1721" s="1151">
        <f>IFERROR(VLOOKUP(CONCATENATE($L1721,$N1721),'Drop List'!$G$23:$K$87,5,FALSE),0)</f>
        <v>0</v>
      </c>
      <c r="AK1721" s="1152">
        <f t="shared" si="480"/>
        <v>0</v>
      </c>
      <c r="AL1721" s="1153">
        <f t="shared" si="481"/>
        <v>0</v>
      </c>
      <c r="AM1721" s="1153">
        <f t="shared" si="482"/>
        <v>0</v>
      </c>
      <c r="AN1721" s="1145">
        <f t="shared" si="483"/>
        <v>0</v>
      </c>
      <c r="AO1721" s="1154">
        <f t="shared" si="486"/>
        <v>0</v>
      </c>
      <c r="AP1721" s="1147">
        <f t="shared" si="471"/>
        <v>0</v>
      </c>
      <c r="AQ1721" s="1144">
        <f t="shared" si="472"/>
        <v>0</v>
      </c>
      <c r="AR1721" s="1146">
        <f t="shared" si="473"/>
        <v>0</v>
      </c>
    </row>
    <row r="1722" spans="1:44" x14ac:dyDescent="0.2">
      <c r="A1722" s="1141" t="str">
        <f t="shared" si="485"/>
        <v/>
      </c>
      <c r="B1722" s="1141" t="str">
        <f>IFERROR(VLOOKUP(A1722,'LAC 103'!A:C,3,FALSE),"")</f>
        <v/>
      </c>
      <c r="C1722" s="1478" t="str">
        <f>Info!$B$8</f>
        <v>00100</v>
      </c>
      <c r="D1722" s="1474"/>
      <c r="E1722" s="1474"/>
      <c r="F1722" s="1478"/>
      <c r="G1722" s="1478"/>
      <c r="H1722" s="1474"/>
      <c r="I1722" s="1478"/>
      <c r="J1722" s="1478"/>
      <c r="K1722" s="1475"/>
      <c r="L1722" s="1474"/>
      <c r="M1722" s="1476"/>
      <c r="N1722" s="1477"/>
      <c r="O1722" s="1479"/>
      <c r="P1722" s="1479"/>
      <c r="Q1722" s="1142">
        <f t="shared" si="469"/>
        <v>0</v>
      </c>
      <c r="R1722" s="1143">
        <f>IFERROR(VLOOKUP(CONCATENATE($E1722,$G1722),'LAC 103'!$A$12:$O$95,11,FALSE),0)</f>
        <v>0</v>
      </c>
      <c r="S1722" s="1144">
        <f>IFERROR(VLOOKUP(CONCATENATE($E1722,$G1722),'LAC 103'!$A$12:$O$95,12,FALSE),0)</f>
        <v>0</v>
      </c>
      <c r="T1722" s="1144">
        <f>IFERROR(VLOOKUP(CONCATENATE($E1722,$G1722),'LAC 103'!$A$12:$O$95,13,FALSE),0)</f>
        <v>0</v>
      </c>
      <c r="U1722" s="1144">
        <f>IFERROR(VLOOKUP(CONCATENATE($E1722,$G1722),'LAC 103'!$A$12:$O$95,14,FALSE),0)</f>
        <v>0</v>
      </c>
      <c r="V1722" s="1144">
        <f>IFERROR(VLOOKUP(CONCATENATE($E1722,$G1722),'LAC 103'!$A$12:$O$95,15,FALSE),0)</f>
        <v>0</v>
      </c>
      <c r="W1722" s="1145" t="str">
        <f>IFERROR(VLOOKUP(CONCATENATE($B1722,$N1722),'LAC 103'!$AI:$AQ,9,FALSE),"")</f>
        <v/>
      </c>
      <c r="X1722" s="1146">
        <f t="shared" si="474"/>
        <v>0</v>
      </c>
      <c r="Y1722" s="1143">
        <f t="shared" si="484"/>
        <v>0</v>
      </c>
      <c r="Z1722" s="1147">
        <f t="shared" si="475"/>
        <v>0</v>
      </c>
      <c r="AA1722" s="1144">
        <f t="shared" si="476"/>
        <v>0</v>
      </c>
      <c r="AB1722" s="1144">
        <f t="shared" si="477"/>
        <v>0</v>
      </c>
      <c r="AC1722" s="1144">
        <f t="shared" si="478"/>
        <v>0</v>
      </c>
      <c r="AD1722" s="1148">
        <f t="shared" si="470"/>
        <v>0</v>
      </c>
      <c r="AE1722" s="1487">
        <v>0</v>
      </c>
      <c r="AF1722" s="1145">
        <f t="shared" si="479"/>
        <v>0</v>
      </c>
      <c r="AG1722" s="1149">
        <f>IFERROR(VLOOKUP(CONCATENATE($L1722,$N1722),'Drop List'!$G$23:$K$87,2,FALSE),0)</f>
        <v>0</v>
      </c>
      <c r="AH1722" s="1150">
        <f>IFERROR(VLOOKUP(CONCATENATE($L1722,$N1722),'Drop List'!$G$23:$K$87,3,FALSE),0)</f>
        <v>0</v>
      </c>
      <c r="AI1722" s="1150">
        <f>IFERROR(VLOOKUP(CONCATENATE($L1722,$N1722),'Drop List'!$G$23:$K$87,4,FALSE),0)</f>
        <v>0</v>
      </c>
      <c r="AJ1722" s="1151">
        <f>IFERROR(VLOOKUP(CONCATENATE($L1722,$N1722),'Drop List'!$G$23:$K$87,5,FALSE),0)</f>
        <v>0</v>
      </c>
      <c r="AK1722" s="1152">
        <f t="shared" si="480"/>
        <v>0</v>
      </c>
      <c r="AL1722" s="1153">
        <f t="shared" si="481"/>
        <v>0</v>
      </c>
      <c r="AM1722" s="1153">
        <f t="shared" si="482"/>
        <v>0</v>
      </c>
      <c r="AN1722" s="1145">
        <f t="shared" si="483"/>
        <v>0</v>
      </c>
      <c r="AO1722" s="1154">
        <f t="shared" si="486"/>
        <v>0</v>
      </c>
      <c r="AP1722" s="1147">
        <f t="shared" si="471"/>
        <v>0</v>
      </c>
      <c r="AQ1722" s="1144">
        <f t="shared" si="472"/>
        <v>0</v>
      </c>
      <c r="AR1722" s="1146">
        <f t="shared" si="473"/>
        <v>0</v>
      </c>
    </row>
    <row r="1723" spans="1:44" x14ac:dyDescent="0.2">
      <c r="A1723" s="1141" t="str">
        <f t="shared" si="485"/>
        <v/>
      </c>
      <c r="B1723" s="1141" t="str">
        <f>IFERROR(VLOOKUP(A1723,'LAC 103'!A:C,3,FALSE),"")</f>
        <v/>
      </c>
      <c r="C1723" s="1478" t="str">
        <f>Info!$B$8</f>
        <v>00100</v>
      </c>
      <c r="D1723" s="1474"/>
      <c r="E1723" s="1474"/>
      <c r="F1723" s="1478"/>
      <c r="G1723" s="1478"/>
      <c r="H1723" s="1474"/>
      <c r="I1723" s="1478"/>
      <c r="J1723" s="1478"/>
      <c r="K1723" s="1475"/>
      <c r="L1723" s="1474"/>
      <c r="M1723" s="1476"/>
      <c r="N1723" s="1477"/>
      <c r="O1723" s="1479"/>
      <c r="P1723" s="1479"/>
      <c r="Q1723" s="1142">
        <f t="shared" si="469"/>
        <v>0</v>
      </c>
      <c r="R1723" s="1143">
        <f>IFERROR(VLOOKUP(CONCATENATE($E1723,$G1723),'LAC 103'!$A$12:$O$95,11,FALSE),0)</f>
        <v>0</v>
      </c>
      <c r="S1723" s="1144">
        <f>IFERROR(VLOOKUP(CONCATENATE($E1723,$G1723),'LAC 103'!$A$12:$O$95,12,FALSE),0)</f>
        <v>0</v>
      </c>
      <c r="T1723" s="1144">
        <f>IFERROR(VLOOKUP(CONCATENATE($E1723,$G1723),'LAC 103'!$A$12:$O$95,13,FALSE),0)</f>
        <v>0</v>
      </c>
      <c r="U1723" s="1144">
        <f>IFERROR(VLOOKUP(CONCATENATE($E1723,$G1723),'LAC 103'!$A$12:$O$95,14,FALSE),0)</f>
        <v>0</v>
      </c>
      <c r="V1723" s="1144">
        <f>IFERROR(VLOOKUP(CONCATENATE($E1723,$G1723),'LAC 103'!$A$12:$O$95,15,FALSE),0)</f>
        <v>0</v>
      </c>
      <c r="W1723" s="1145" t="str">
        <f>IFERROR(VLOOKUP(CONCATENATE($B1723,$N1723),'LAC 103'!$AI:$AQ,9,FALSE),"")</f>
        <v/>
      </c>
      <c r="X1723" s="1146">
        <f t="shared" si="474"/>
        <v>0</v>
      </c>
      <c r="Y1723" s="1143">
        <f t="shared" si="484"/>
        <v>0</v>
      </c>
      <c r="Z1723" s="1147">
        <f t="shared" si="475"/>
        <v>0</v>
      </c>
      <c r="AA1723" s="1144">
        <f t="shared" si="476"/>
        <v>0</v>
      </c>
      <c r="AB1723" s="1144">
        <f t="shared" si="477"/>
        <v>0</v>
      </c>
      <c r="AC1723" s="1144">
        <f t="shared" si="478"/>
        <v>0</v>
      </c>
      <c r="AD1723" s="1148">
        <f t="shared" si="470"/>
        <v>0</v>
      </c>
      <c r="AE1723" s="1487">
        <v>0</v>
      </c>
      <c r="AF1723" s="1145">
        <f t="shared" si="479"/>
        <v>0</v>
      </c>
      <c r="AG1723" s="1149">
        <f>IFERROR(VLOOKUP(CONCATENATE($L1723,$N1723),'Drop List'!$G$23:$K$87,2,FALSE),0)</f>
        <v>0</v>
      </c>
      <c r="AH1723" s="1150">
        <f>IFERROR(VLOOKUP(CONCATENATE($L1723,$N1723),'Drop List'!$G$23:$K$87,3,FALSE),0)</f>
        <v>0</v>
      </c>
      <c r="AI1723" s="1150">
        <f>IFERROR(VLOOKUP(CONCATENATE($L1723,$N1723),'Drop List'!$G$23:$K$87,4,FALSE),0)</f>
        <v>0</v>
      </c>
      <c r="AJ1723" s="1151">
        <f>IFERROR(VLOOKUP(CONCATENATE($L1723,$N1723),'Drop List'!$G$23:$K$87,5,FALSE),0)</f>
        <v>0</v>
      </c>
      <c r="AK1723" s="1152">
        <f t="shared" si="480"/>
        <v>0</v>
      </c>
      <c r="AL1723" s="1153">
        <f t="shared" si="481"/>
        <v>0</v>
      </c>
      <c r="AM1723" s="1153">
        <f t="shared" si="482"/>
        <v>0</v>
      </c>
      <c r="AN1723" s="1145">
        <f t="shared" si="483"/>
        <v>0</v>
      </c>
      <c r="AO1723" s="1154">
        <f t="shared" si="486"/>
        <v>0</v>
      </c>
      <c r="AP1723" s="1147">
        <f t="shared" si="471"/>
        <v>0</v>
      </c>
      <c r="AQ1723" s="1144">
        <f t="shared" si="472"/>
        <v>0</v>
      </c>
      <c r="AR1723" s="1146">
        <f t="shared" si="473"/>
        <v>0</v>
      </c>
    </row>
    <row r="1724" spans="1:44" x14ac:dyDescent="0.2">
      <c r="A1724" s="1141" t="str">
        <f t="shared" si="485"/>
        <v/>
      </c>
      <c r="B1724" s="1141" t="str">
        <f>IFERROR(VLOOKUP(A1724,'LAC 103'!A:C,3,FALSE),"")</f>
        <v/>
      </c>
      <c r="C1724" s="1478" t="str">
        <f>Info!$B$8</f>
        <v>00100</v>
      </c>
      <c r="D1724" s="1474"/>
      <c r="E1724" s="1474"/>
      <c r="F1724" s="1478"/>
      <c r="G1724" s="1478"/>
      <c r="H1724" s="1474"/>
      <c r="I1724" s="1478"/>
      <c r="J1724" s="1478"/>
      <c r="K1724" s="1475"/>
      <c r="L1724" s="1474"/>
      <c r="M1724" s="1476"/>
      <c r="N1724" s="1477"/>
      <c r="O1724" s="1479"/>
      <c r="P1724" s="1479"/>
      <c r="Q1724" s="1142">
        <f t="shared" ref="Q1724:Q1787" si="487">O1724+P1724</f>
        <v>0</v>
      </c>
      <c r="R1724" s="1143">
        <f>IFERROR(VLOOKUP(CONCATENATE($E1724,$G1724),'LAC 103'!$A$12:$O$95,11,FALSE),0)</f>
        <v>0</v>
      </c>
      <c r="S1724" s="1144">
        <f>IFERROR(VLOOKUP(CONCATENATE($E1724,$G1724),'LAC 103'!$A$12:$O$95,12,FALSE),0)</f>
        <v>0</v>
      </c>
      <c r="T1724" s="1144">
        <f>IFERROR(VLOOKUP(CONCATENATE($E1724,$G1724),'LAC 103'!$A$12:$O$95,13,FALSE),0)</f>
        <v>0</v>
      </c>
      <c r="U1724" s="1144">
        <f>IFERROR(VLOOKUP(CONCATENATE($E1724,$G1724),'LAC 103'!$A$12:$O$95,14,FALSE),0)</f>
        <v>0</v>
      </c>
      <c r="V1724" s="1144">
        <f>IFERROR(VLOOKUP(CONCATENATE($E1724,$G1724),'LAC 103'!$A$12:$O$95,15,FALSE),0)</f>
        <v>0</v>
      </c>
      <c r="W1724" s="1145" t="str">
        <f>IFERROR(VLOOKUP(CONCATENATE($B1724,$N1724),'LAC 103'!$AI:$AQ,9,FALSE),"")</f>
        <v/>
      </c>
      <c r="X1724" s="1146">
        <f t="shared" si="474"/>
        <v>0</v>
      </c>
      <c r="Y1724" s="1143">
        <f t="shared" si="484"/>
        <v>0</v>
      </c>
      <c r="Z1724" s="1147">
        <f t="shared" si="475"/>
        <v>0</v>
      </c>
      <c r="AA1724" s="1144">
        <f t="shared" si="476"/>
        <v>0</v>
      </c>
      <c r="AB1724" s="1144">
        <f t="shared" si="477"/>
        <v>0</v>
      </c>
      <c r="AC1724" s="1144">
        <f t="shared" si="478"/>
        <v>0</v>
      </c>
      <c r="AD1724" s="1148">
        <f t="shared" si="470"/>
        <v>0</v>
      </c>
      <c r="AE1724" s="1487">
        <v>0</v>
      </c>
      <c r="AF1724" s="1145">
        <f t="shared" si="479"/>
        <v>0</v>
      </c>
      <c r="AG1724" s="1149">
        <f>IFERROR(VLOOKUP(CONCATENATE($L1724,$N1724),'Drop List'!$G$23:$K$87,2,FALSE),0)</f>
        <v>0</v>
      </c>
      <c r="AH1724" s="1150">
        <f>IFERROR(VLOOKUP(CONCATENATE($L1724,$N1724),'Drop List'!$G$23:$K$87,3,FALSE),0)</f>
        <v>0</v>
      </c>
      <c r="AI1724" s="1150">
        <f>IFERROR(VLOOKUP(CONCATENATE($L1724,$N1724),'Drop List'!$G$23:$K$87,4,FALSE),0)</f>
        <v>0</v>
      </c>
      <c r="AJ1724" s="1151">
        <f>IFERROR(VLOOKUP(CONCATENATE($L1724,$N1724),'Drop List'!$G$23:$K$87,5,FALSE),0)</f>
        <v>0</v>
      </c>
      <c r="AK1724" s="1152">
        <f t="shared" si="480"/>
        <v>0</v>
      </c>
      <c r="AL1724" s="1153">
        <f t="shared" si="481"/>
        <v>0</v>
      </c>
      <c r="AM1724" s="1153">
        <f t="shared" si="482"/>
        <v>0</v>
      </c>
      <c r="AN1724" s="1145">
        <f t="shared" si="483"/>
        <v>0</v>
      </c>
      <c r="AO1724" s="1154">
        <f t="shared" si="486"/>
        <v>0</v>
      </c>
      <c r="AP1724" s="1147">
        <f t="shared" si="471"/>
        <v>0</v>
      </c>
      <c r="AQ1724" s="1144">
        <f t="shared" si="472"/>
        <v>0</v>
      </c>
      <c r="AR1724" s="1146">
        <f t="shared" si="473"/>
        <v>0</v>
      </c>
    </row>
    <row r="1725" spans="1:44" x14ac:dyDescent="0.2">
      <c r="A1725" s="1141" t="str">
        <f t="shared" si="485"/>
        <v/>
      </c>
      <c r="B1725" s="1141" t="str">
        <f>IFERROR(VLOOKUP(A1725,'LAC 103'!A:C,3,FALSE),"")</f>
        <v/>
      </c>
      <c r="C1725" s="1478" t="str">
        <f>Info!$B$8</f>
        <v>00100</v>
      </c>
      <c r="D1725" s="1474"/>
      <c r="E1725" s="1474"/>
      <c r="F1725" s="1478"/>
      <c r="G1725" s="1478"/>
      <c r="H1725" s="1474"/>
      <c r="I1725" s="1478"/>
      <c r="J1725" s="1478"/>
      <c r="K1725" s="1475"/>
      <c r="L1725" s="1474"/>
      <c r="M1725" s="1476"/>
      <c r="N1725" s="1477"/>
      <c r="O1725" s="1479"/>
      <c r="P1725" s="1479"/>
      <c r="Q1725" s="1142">
        <f t="shared" si="487"/>
        <v>0</v>
      </c>
      <c r="R1725" s="1143">
        <f>IFERROR(VLOOKUP(CONCATENATE($E1725,$G1725),'LAC 103'!$A$12:$O$95,11,FALSE),0)</f>
        <v>0</v>
      </c>
      <c r="S1725" s="1144">
        <f>IFERROR(VLOOKUP(CONCATENATE($E1725,$G1725),'LAC 103'!$A$12:$O$95,12,FALSE),0)</f>
        <v>0</v>
      </c>
      <c r="T1725" s="1144">
        <f>IFERROR(VLOOKUP(CONCATENATE($E1725,$G1725),'LAC 103'!$A$12:$O$95,13,FALSE),0)</f>
        <v>0</v>
      </c>
      <c r="U1725" s="1144">
        <f>IFERROR(VLOOKUP(CONCATENATE($E1725,$G1725),'LAC 103'!$A$12:$O$95,14,FALSE),0)</f>
        <v>0</v>
      </c>
      <c r="V1725" s="1144">
        <f>IFERROR(VLOOKUP(CONCATENATE($E1725,$G1725),'LAC 103'!$A$12:$O$95,15,FALSE),0)</f>
        <v>0</v>
      </c>
      <c r="W1725" s="1145" t="str">
        <f>IFERROR(VLOOKUP(CONCATENATE($B1725,$N1725),'LAC 103'!$AI:$AQ,9,FALSE),"")</f>
        <v/>
      </c>
      <c r="X1725" s="1146">
        <f t="shared" si="474"/>
        <v>0</v>
      </c>
      <c r="Y1725" s="1143">
        <f t="shared" si="484"/>
        <v>0</v>
      </c>
      <c r="Z1725" s="1147">
        <f t="shared" si="475"/>
        <v>0</v>
      </c>
      <c r="AA1725" s="1144">
        <f t="shared" si="476"/>
        <v>0</v>
      </c>
      <c r="AB1725" s="1144">
        <f t="shared" si="477"/>
        <v>0</v>
      </c>
      <c r="AC1725" s="1144">
        <f t="shared" si="478"/>
        <v>0</v>
      </c>
      <c r="AD1725" s="1148">
        <f t="shared" si="470"/>
        <v>0</v>
      </c>
      <c r="AE1725" s="1487">
        <v>0</v>
      </c>
      <c r="AF1725" s="1145">
        <f t="shared" si="479"/>
        <v>0</v>
      </c>
      <c r="AG1725" s="1149">
        <f>IFERROR(VLOOKUP(CONCATENATE($L1725,$N1725),'Drop List'!$G$23:$K$87,2,FALSE),0)</f>
        <v>0</v>
      </c>
      <c r="AH1725" s="1150">
        <f>IFERROR(VLOOKUP(CONCATENATE($L1725,$N1725),'Drop List'!$G$23:$K$87,3,FALSE),0)</f>
        <v>0</v>
      </c>
      <c r="AI1725" s="1150">
        <f>IFERROR(VLOOKUP(CONCATENATE($L1725,$N1725),'Drop List'!$G$23:$K$87,4,FALSE),0)</f>
        <v>0</v>
      </c>
      <c r="AJ1725" s="1151">
        <f>IFERROR(VLOOKUP(CONCATENATE($L1725,$N1725),'Drop List'!$G$23:$K$87,5,FALSE),0)</f>
        <v>0</v>
      </c>
      <c r="AK1725" s="1152">
        <f t="shared" si="480"/>
        <v>0</v>
      </c>
      <c r="AL1725" s="1153">
        <f t="shared" si="481"/>
        <v>0</v>
      </c>
      <c r="AM1725" s="1153">
        <f t="shared" si="482"/>
        <v>0</v>
      </c>
      <c r="AN1725" s="1145">
        <f t="shared" si="483"/>
        <v>0</v>
      </c>
      <c r="AO1725" s="1154">
        <f t="shared" si="486"/>
        <v>0</v>
      </c>
      <c r="AP1725" s="1147">
        <f t="shared" si="471"/>
        <v>0</v>
      </c>
      <c r="AQ1725" s="1144">
        <f t="shared" si="472"/>
        <v>0</v>
      </c>
      <c r="AR1725" s="1146">
        <f t="shared" si="473"/>
        <v>0</v>
      </c>
    </row>
    <row r="1726" spans="1:44" x14ac:dyDescent="0.2">
      <c r="A1726" s="1141" t="str">
        <f t="shared" si="485"/>
        <v/>
      </c>
      <c r="B1726" s="1141" t="str">
        <f>IFERROR(VLOOKUP(A1726,'LAC 103'!A:C,3,FALSE),"")</f>
        <v/>
      </c>
      <c r="C1726" s="1478" t="str">
        <f>Info!$B$8</f>
        <v>00100</v>
      </c>
      <c r="D1726" s="1474"/>
      <c r="E1726" s="1474"/>
      <c r="F1726" s="1478"/>
      <c r="G1726" s="1478"/>
      <c r="H1726" s="1474"/>
      <c r="I1726" s="1478"/>
      <c r="J1726" s="1478"/>
      <c r="K1726" s="1475"/>
      <c r="L1726" s="1474"/>
      <c r="M1726" s="1476"/>
      <c r="N1726" s="1477"/>
      <c r="O1726" s="1479"/>
      <c r="P1726" s="1479"/>
      <c r="Q1726" s="1142">
        <f t="shared" si="487"/>
        <v>0</v>
      </c>
      <c r="R1726" s="1143">
        <f>IFERROR(VLOOKUP(CONCATENATE($E1726,$G1726),'LAC 103'!$A$12:$O$95,11,FALSE),0)</f>
        <v>0</v>
      </c>
      <c r="S1726" s="1144">
        <f>IFERROR(VLOOKUP(CONCATENATE($E1726,$G1726),'LAC 103'!$A$12:$O$95,12,FALSE),0)</f>
        <v>0</v>
      </c>
      <c r="T1726" s="1144">
        <f>IFERROR(VLOOKUP(CONCATENATE($E1726,$G1726),'LAC 103'!$A$12:$O$95,13,FALSE),0)</f>
        <v>0</v>
      </c>
      <c r="U1726" s="1144">
        <f>IFERROR(VLOOKUP(CONCATENATE($E1726,$G1726),'LAC 103'!$A$12:$O$95,14,FALSE),0)</f>
        <v>0</v>
      </c>
      <c r="V1726" s="1144">
        <f>IFERROR(VLOOKUP(CONCATENATE($E1726,$G1726),'LAC 103'!$A$12:$O$95,15,FALSE),0)</f>
        <v>0</v>
      </c>
      <c r="W1726" s="1145" t="str">
        <f>IFERROR(VLOOKUP(CONCATENATE($B1726,$N1726),'LAC 103'!$AI:$AQ,9,FALSE),"")</f>
        <v/>
      </c>
      <c r="X1726" s="1146">
        <f t="shared" si="474"/>
        <v>0</v>
      </c>
      <c r="Y1726" s="1143">
        <f t="shared" si="484"/>
        <v>0</v>
      </c>
      <c r="Z1726" s="1147">
        <f t="shared" si="475"/>
        <v>0</v>
      </c>
      <c r="AA1726" s="1144">
        <f t="shared" si="476"/>
        <v>0</v>
      </c>
      <c r="AB1726" s="1144">
        <f t="shared" si="477"/>
        <v>0</v>
      </c>
      <c r="AC1726" s="1144">
        <f t="shared" si="478"/>
        <v>0</v>
      </c>
      <c r="AD1726" s="1148">
        <f t="shared" si="470"/>
        <v>0</v>
      </c>
      <c r="AE1726" s="1487">
        <v>0</v>
      </c>
      <c r="AF1726" s="1145">
        <f t="shared" si="479"/>
        <v>0</v>
      </c>
      <c r="AG1726" s="1149">
        <f>IFERROR(VLOOKUP(CONCATENATE($L1726,$N1726),'Drop List'!$G$23:$K$87,2,FALSE),0)</f>
        <v>0</v>
      </c>
      <c r="AH1726" s="1150">
        <f>IFERROR(VLOOKUP(CONCATENATE($L1726,$N1726),'Drop List'!$G$23:$K$87,3,FALSE),0)</f>
        <v>0</v>
      </c>
      <c r="AI1726" s="1150">
        <f>IFERROR(VLOOKUP(CONCATENATE($L1726,$N1726),'Drop List'!$G$23:$K$87,4,FALSE),0)</f>
        <v>0</v>
      </c>
      <c r="AJ1726" s="1151">
        <f>IFERROR(VLOOKUP(CONCATENATE($L1726,$N1726),'Drop List'!$G$23:$K$87,5,FALSE),0)</f>
        <v>0</v>
      </c>
      <c r="AK1726" s="1152">
        <f t="shared" si="480"/>
        <v>0</v>
      </c>
      <c r="AL1726" s="1153">
        <f t="shared" si="481"/>
        <v>0</v>
      </c>
      <c r="AM1726" s="1153">
        <f t="shared" si="482"/>
        <v>0</v>
      </c>
      <c r="AN1726" s="1145">
        <f t="shared" si="483"/>
        <v>0</v>
      </c>
      <c r="AO1726" s="1154">
        <f t="shared" si="486"/>
        <v>0</v>
      </c>
      <c r="AP1726" s="1147">
        <f t="shared" si="471"/>
        <v>0</v>
      </c>
      <c r="AQ1726" s="1144">
        <f t="shared" si="472"/>
        <v>0</v>
      </c>
      <c r="AR1726" s="1146">
        <f t="shared" si="473"/>
        <v>0</v>
      </c>
    </row>
    <row r="1727" spans="1:44" x14ac:dyDescent="0.2">
      <c r="A1727" s="1141" t="str">
        <f t="shared" si="485"/>
        <v/>
      </c>
      <c r="B1727" s="1141" t="str">
        <f>IFERROR(VLOOKUP(A1727,'LAC 103'!A:C,3,FALSE),"")</f>
        <v/>
      </c>
      <c r="C1727" s="1478" t="str">
        <f>Info!$B$8</f>
        <v>00100</v>
      </c>
      <c r="D1727" s="1474"/>
      <c r="E1727" s="1474"/>
      <c r="F1727" s="1478"/>
      <c r="G1727" s="1478"/>
      <c r="H1727" s="1474"/>
      <c r="I1727" s="1478"/>
      <c r="J1727" s="1478"/>
      <c r="K1727" s="1475"/>
      <c r="L1727" s="1474"/>
      <c r="M1727" s="1476"/>
      <c r="N1727" s="1477"/>
      <c r="O1727" s="1479"/>
      <c r="P1727" s="1479"/>
      <c r="Q1727" s="1142">
        <f t="shared" si="487"/>
        <v>0</v>
      </c>
      <c r="R1727" s="1143">
        <f>IFERROR(VLOOKUP(CONCATENATE($E1727,$G1727),'LAC 103'!$A$12:$O$95,11,FALSE),0)</f>
        <v>0</v>
      </c>
      <c r="S1727" s="1144">
        <f>IFERROR(VLOOKUP(CONCATENATE($E1727,$G1727),'LAC 103'!$A$12:$O$95,12,FALSE),0)</f>
        <v>0</v>
      </c>
      <c r="T1727" s="1144">
        <f>IFERROR(VLOOKUP(CONCATENATE($E1727,$G1727),'LAC 103'!$A$12:$O$95,13,FALSE),0)</f>
        <v>0</v>
      </c>
      <c r="U1727" s="1144">
        <f>IFERROR(VLOOKUP(CONCATENATE($E1727,$G1727),'LAC 103'!$A$12:$O$95,14,FALSE),0)</f>
        <v>0</v>
      </c>
      <c r="V1727" s="1144">
        <f>IFERROR(VLOOKUP(CONCATENATE($E1727,$G1727),'LAC 103'!$A$12:$O$95,15,FALSE),0)</f>
        <v>0</v>
      </c>
      <c r="W1727" s="1145" t="str">
        <f>IFERROR(VLOOKUP(CONCATENATE($B1727,$N1727),'LAC 103'!$AI:$AQ,9,FALSE),"")</f>
        <v/>
      </c>
      <c r="X1727" s="1146">
        <f t="shared" si="474"/>
        <v>0</v>
      </c>
      <c r="Y1727" s="1143">
        <f t="shared" si="484"/>
        <v>0</v>
      </c>
      <c r="Z1727" s="1147">
        <f t="shared" si="475"/>
        <v>0</v>
      </c>
      <c r="AA1727" s="1144">
        <f t="shared" si="476"/>
        <v>0</v>
      </c>
      <c r="AB1727" s="1144">
        <f t="shared" si="477"/>
        <v>0</v>
      </c>
      <c r="AC1727" s="1144">
        <f t="shared" si="478"/>
        <v>0</v>
      </c>
      <c r="AD1727" s="1148">
        <f t="shared" si="470"/>
        <v>0</v>
      </c>
      <c r="AE1727" s="1487">
        <v>0</v>
      </c>
      <c r="AF1727" s="1145">
        <f t="shared" si="479"/>
        <v>0</v>
      </c>
      <c r="AG1727" s="1149">
        <f>IFERROR(VLOOKUP(CONCATENATE($L1727,$N1727),'Drop List'!$G$23:$K$87,2,FALSE),0)</f>
        <v>0</v>
      </c>
      <c r="AH1727" s="1150">
        <f>IFERROR(VLOOKUP(CONCATENATE($L1727,$N1727),'Drop List'!$G$23:$K$87,3,FALSE),0)</f>
        <v>0</v>
      </c>
      <c r="AI1727" s="1150">
        <f>IFERROR(VLOOKUP(CONCATENATE($L1727,$N1727),'Drop List'!$G$23:$K$87,4,FALSE),0)</f>
        <v>0</v>
      </c>
      <c r="AJ1727" s="1151">
        <f>IFERROR(VLOOKUP(CONCATENATE($L1727,$N1727),'Drop List'!$G$23:$K$87,5,FALSE),0)</f>
        <v>0</v>
      </c>
      <c r="AK1727" s="1152">
        <f t="shared" si="480"/>
        <v>0</v>
      </c>
      <c r="AL1727" s="1153">
        <f t="shared" si="481"/>
        <v>0</v>
      </c>
      <c r="AM1727" s="1153">
        <f t="shared" si="482"/>
        <v>0</v>
      </c>
      <c r="AN1727" s="1145">
        <f t="shared" si="483"/>
        <v>0</v>
      </c>
      <c r="AO1727" s="1154">
        <f t="shared" si="486"/>
        <v>0</v>
      </c>
      <c r="AP1727" s="1147">
        <f t="shared" si="471"/>
        <v>0</v>
      </c>
      <c r="AQ1727" s="1144">
        <f t="shared" si="472"/>
        <v>0</v>
      </c>
      <c r="AR1727" s="1146">
        <f t="shared" si="473"/>
        <v>0</v>
      </c>
    </row>
    <row r="1728" spans="1:44" x14ac:dyDescent="0.2">
      <c r="A1728" s="1141" t="str">
        <f t="shared" si="485"/>
        <v/>
      </c>
      <c r="B1728" s="1141" t="str">
        <f>IFERROR(VLOOKUP(A1728,'LAC 103'!A:C,3,FALSE),"")</f>
        <v/>
      </c>
      <c r="C1728" s="1478" t="str">
        <f>Info!$B$8</f>
        <v>00100</v>
      </c>
      <c r="D1728" s="1474"/>
      <c r="E1728" s="1474"/>
      <c r="F1728" s="1478"/>
      <c r="G1728" s="1478"/>
      <c r="H1728" s="1474"/>
      <c r="I1728" s="1478"/>
      <c r="J1728" s="1478"/>
      <c r="K1728" s="1475"/>
      <c r="L1728" s="1474"/>
      <c r="M1728" s="1476"/>
      <c r="N1728" s="1477"/>
      <c r="O1728" s="1479"/>
      <c r="P1728" s="1479"/>
      <c r="Q1728" s="1142">
        <f t="shared" si="487"/>
        <v>0</v>
      </c>
      <c r="R1728" s="1143">
        <f>IFERROR(VLOOKUP(CONCATENATE($E1728,$G1728),'LAC 103'!$A$12:$O$95,11,FALSE),0)</f>
        <v>0</v>
      </c>
      <c r="S1728" s="1144">
        <f>IFERROR(VLOOKUP(CONCATENATE($E1728,$G1728),'LAC 103'!$A$12:$O$95,12,FALSE),0)</f>
        <v>0</v>
      </c>
      <c r="T1728" s="1144">
        <f>IFERROR(VLOOKUP(CONCATENATE($E1728,$G1728),'LAC 103'!$A$12:$O$95,13,FALSE),0)</f>
        <v>0</v>
      </c>
      <c r="U1728" s="1144">
        <f>IFERROR(VLOOKUP(CONCATENATE($E1728,$G1728),'LAC 103'!$A$12:$O$95,14,FALSE),0)</f>
        <v>0</v>
      </c>
      <c r="V1728" s="1144">
        <f>IFERROR(VLOOKUP(CONCATENATE($E1728,$G1728),'LAC 103'!$A$12:$O$95,15,FALSE),0)</f>
        <v>0</v>
      </c>
      <c r="W1728" s="1145" t="str">
        <f>IFERROR(VLOOKUP(CONCATENATE($B1728,$N1728),'LAC 103'!$AI:$AQ,9,FALSE),"")</f>
        <v/>
      </c>
      <c r="X1728" s="1146">
        <f t="shared" si="474"/>
        <v>0</v>
      </c>
      <c r="Y1728" s="1143">
        <f t="shared" si="484"/>
        <v>0</v>
      </c>
      <c r="Z1728" s="1147">
        <f t="shared" si="475"/>
        <v>0</v>
      </c>
      <c r="AA1728" s="1144">
        <f t="shared" si="476"/>
        <v>0</v>
      </c>
      <c r="AB1728" s="1144">
        <f t="shared" si="477"/>
        <v>0</v>
      </c>
      <c r="AC1728" s="1144">
        <f t="shared" si="478"/>
        <v>0</v>
      </c>
      <c r="AD1728" s="1148">
        <f t="shared" si="470"/>
        <v>0</v>
      </c>
      <c r="AE1728" s="1487">
        <v>0</v>
      </c>
      <c r="AF1728" s="1145">
        <f t="shared" si="479"/>
        <v>0</v>
      </c>
      <c r="AG1728" s="1149">
        <f>IFERROR(VLOOKUP(CONCATENATE($L1728,$N1728),'Drop List'!$G$23:$K$87,2,FALSE),0)</f>
        <v>0</v>
      </c>
      <c r="AH1728" s="1150">
        <f>IFERROR(VLOOKUP(CONCATENATE($L1728,$N1728),'Drop List'!$G$23:$K$87,3,FALSE),0)</f>
        <v>0</v>
      </c>
      <c r="AI1728" s="1150">
        <f>IFERROR(VLOOKUP(CONCATENATE($L1728,$N1728),'Drop List'!$G$23:$K$87,4,FALSE),0)</f>
        <v>0</v>
      </c>
      <c r="AJ1728" s="1151">
        <f>IFERROR(VLOOKUP(CONCATENATE($L1728,$N1728),'Drop List'!$G$23:$K$87,5,FALSE),0)</f>
        <v>0</v>
      </c>
      <c r="AK1728" s="1152">
        <f t="shared" si="480"/>
        <v>0</v>
      </c>
      <c r="AL1728" s="1153">
        <f t="shared" si="481"/>
        <v>0</v>
      </c>
      <c r="AM1728" s="1153">
        <f t="shared" si="482"/>
        <v>0</v>
      </c>
      <c r="AN1728" s="1145">
        <f t="shared" si="483"/>
        <v>0</v>
      </c>
      <c r="AO1728" s="1154">
        <f t="shared" si="486"/>
        <v>0</v>
      </c>
      <c r="AP1728" s="1147">
        <f t="shared" si="471"/>
        <v>0</v>
      </c>
      <c r="AQ1728" s="1144">
        <f t="shared" si="472"/>
        <v>0</v>
      </c>
      <c r="AR1728" s="1146">
        <f t="shared" si="473"/>
        <v>0</v>
      </c>
    </row>
    <row r="1729" spans="1:44" x14ac:dyDescent="0.2">
      <c r="A1729" s="1141" t="str">
        <f t="shared" si="485"/>
        <v/>
      </c>
      <c r="B1729" s="1141" t="str">
        <f>IFERROR(VLOOKUP(A1729,'LAC 103'!A:C,3,FALSE),"")</f>
        <v/>
      </c>
      <c r="C1729" s="1478" t="str">
        <f>Info!$B$8</f>
        <v>00100</v>
      </c>
      <c r="D1729" s="1474"/>
      <c r="E1729" s="1474"/>
      <c r="F1729" s="1478"/>
      <c r="G1729" s="1478"/>
      <c r="H1729" s="1474"/>
      <c r="I1729" s="1478"/>
      <c r="J1729" s="1478"/>
      <c r="K1729" s="1475"/>
      <c r="L1729" s="1474"/>
      <c r="M1729" s="1476"/>
      <c r="N1729" s="1477"/>
      <c r="O1729" s="1479"/>
      <c r="P1729" s="1479"/>
      <c r="Q1729" s="1142">
        <f t="shared" si="487"/>
        <v>0</v>
      </c>
      <c r="R1729" s="1143">
        <f>IFERROR(VLOOKUP(CONCATENATE($E1729,$G1729),'LAC 103'!$A$12:$O$95,11,FALSE),0)</f>
        <v>0</v>
      </c>
      <c r="S1729" s="1144">
        <f>IFERROR(VLOOKUP(CONCATENATE($E1729,$G1729),'LAC 103'!$A$12:$O$95,12,FALSE),0)</f>
        <v>0</v>
      </c>
      <c r="T1729" s="1144">
        <f>IFERROR(VLOOKUP(CONCATENATE($E1729,$G1729),'LAC 103'!$A$12:$O$95,13,FALSE),0)</f>
        <v>0</v>
      </c>
      <c r="U1729" s="1144">
        <f>IFERROR(VLOOKUP(CONCATENATE($E1729,$G1729),'LAC 103'!$A$12:$O$95,14,FALSE),0)</f>
        <v>0</v>
      </c>
      <c r="V1729" s="1144">
        <f>IFERROR(VLOOKUP(CONCATENATE($E1729,$G1729),'LAC 103'!$A$12:$O$95,15,FALSE),0)</f>
        <v>0</v>
      </c>
      <c r="W1729" s="1145" t="str">
        <f>IFERROR(VLOOKUP(CONCATENATE($B1729,$N1729),'LAC 103'!$AI:$AQ,9,FALSE),"")</f>
        <v/>
      </c>
      <c r="X1729" s="1146">
        <f t="shared" si="474"/>
        <v>0</v>
      </c>
      <c r="Y1729" s="1143">
        <f t="shared" si="484"/>
        <v>0</v>
      </c>
      <c r="Z1729" s="1147">
        <f t="shared" si="475"/>
        <v>0</v>
      </c>
      <c r="AA1729" s="1144">
        <f t="shared" si="476"/>
        <v>0</v>
      </c>
      <c r="AB1729" s="1144">
        <f t="shared" si="477"/>
        <v>0</v>
      </c>
      <c r="AC1729" s="1144">
        <f t="shared" si="478"/>
        <v>0</v>
      </c>
      <c r="AD1729" s="1148">
        <f t="shared" si="470"/>
        <v>0</v>
      </c>
      <c r="AE1729" s="1487">
        <v>0</v>
      </c>
      <c r="AF1729" s="1145">
        <f t="shared" si="479"/>
        <v>0</v>
      </c>
      <c r="AG1729" s="1149">
        <f>IFERROR(VLOOKUP(CONCATENATE($L1729,$N1729),'Drop List'!$G$23:$K$87,2,FALSE),0)</f>
        <v>0</v>
      </c>
      <c r="AH1729" s="1150">
        <f>IFERROR(VLOOKUP(CONCATENATE($L1729,$N1729),'Drop List'!$G$23:$K$87,3,FALSE),0)</f>
        <v>0</v>
      </c>
      <c r="AI1729" s="1150">
        <f>IFERROR(VLOOKUP(CONCATENATE($L1729,$N1729),'Drop List'!$G$23:$K$87,4,FALSE),0)</f>
        <v>0</v>
      </c>
      <c r="AJ1729" s="1151">
        <f>IFERROR(VLOOKUP(CONCATENATE($L1729,$N1729),'Drop List'!$G$23:$K$87,5,FALSE),0)</f>
        <v>0</v>
      </c>
      <c r="AK1729" s="1152">
        <f t="shared" si="480"/>
        <v>0</v>
      </c>
      <c r="AL1729" s="1153">
        <f t="shared" si="481"/>
        <v>0</v>
      </c>
      <c r="AM1729" s="1153">
        <f t="shared" si="482"/>
        <v>0</v>
      </c>
      <c r="AN1729" s="1145">
        <f t="shared" si="483"/>
        <v>0</v>
      </c>
      <c r="AO1729" s="1154">
        <f t="shared" si="486"/>
        <v>0</v>
      </c>
      <c r="AP1729" s="1147">
        <f t="shared" si="471"/>
        <v>0</v>
      </c>
      <c r="AQ1729" s="1144">
        <f t="shared" si="472"/>
        <v>0</v>
      </c>
      <c r="AR1729" s="1146">
        <f t="shared" si="473"/>
        <v>0</v>
      </c>
    </row>
    <row r="1730" spans="1:44" x14ac:dyDescent="0.2">
      <c r="A1730" s="1141" t="str">
        <f t="shared" si="485"/>
        <v/>
      </c>
      <c r="B1730" s="1141" t="str">
        <f>IFERROR(VLOOKUP(A1730,'LAC 103'!A:C,3,FALSE),"")</f>
        <v/>
      </c>
      <c r="C1730" s="1478" t="str">
        <f>Info!$B$8</f>
        <v>00100</v>
      </c>
      <c r="D1730" s="1474"/>
      <c r="E1730" s="1474"/>
      <c r="F1730" s="1478"/>
      <c r="G1730" s="1478"/>
      <c r="H1730" s="1474"/>
      <c r="I1730" s="1478"/>
      <c r="J1730" s="1478"/>
      <c r="K1730" s="1475"/>
      <c r="L1730" s="1474"/>
      <c r="M1730" s="1476"/>
      <c r="N1730" s="1477"/>
      <c r="O1730" s="1479"/>
      <c r="P1730" s="1479"/>
      <c r="Q1730" s="1142">
        <f t="shared" si="487"/>
        <v>0</v>
      </c>
      <c r="R1730" s="1143">
        <f>IFERROR(VLOOKUP(CONCATENATE($E1730,$G1730),'LAC 103'!$A$12:$O$95,11,FALSE),0)</f>
        <v>0</v>
      </c>
      <c r="S1730" s="1144">
        <f>IFERROR(VLOOKUP(CONCATENATE($E1730,$G1730),'LAC 103'!$A$12:$O$95,12,FALSE),0)</f>
        <v>0</v>
      </c>
      <c r="T1730" s="1144">
        <f>IFERROR(VLOOKUP(CONCATENATE($E1730,$G1730),'LAC 103'!$A$12:$O$95,13,FALSE),0)</f>
        <v>0</v>
      </c>
      <c r="U1730" s="1144">
        <f>IFERROR(VLOOKUP(CONCATENATE($E1730,$G1730),'LAC 103'!$A$12:$O$95,14,FALSE),0)</f>
        <v>0</v>
      </c>
      <c r="V1730" s="1144">
        <f>IFERROR(VLOOKUP(CONCATENATE($E1730,$G1730),'LAC 103'!$A$12:$O$95,15,FALSE),0)</f>
        <v>0</v>
      </c>
      <c r="W1730" s="1145" t="str">
        <f>IFERROR(VLOOKUP(CONCATENATE($B1730,$N1730),'LAC 103'!$AI:$AQ,9,FALSE),"")</f>
        <v/>
      </c>
      <c r="X1730" s="1146">
        <f t="shared" si="474"/>
        <v>0</v>
      </c>
      <c r="Y1730" s="1143">
        <f t="shared" si="484"/>
        <v>0</v>
      </c>
      <c r="Z1730" s="1147">
        <f t="shared" si="475"/>
        <v>0</v>
      </c>
      <c r="AA1730" s="1144">
        <f t="shared" si="476"/>
        <v>0</v>
      </c>
      <c r="AB1730" s="1144">
        <f t="shared" si="477"/>
        <v>0</v>
      </c>
      <c r="AC1730" s="1144">
        <f t="shared" si="478"/>
        <v>0</v>
      </c>
      <c r="AD1730" s="1148">
        <f t="shared" si="470"/>
        <v>0</v>
      </c>
      <c r="AE1730" s="1487">
        <v>0</v>
      </c>
      <c r="AF1730" s="1145">
        <f t="shared" si="479"/>
        <v>0</v>
      </c>
      <c r="AG1730" s="1149">
        <f>IFERROR(VLOOKUP(CONCATENATE($L1730,$N1730),'Drop List'!$G$23:$K$87,2,FALSE),0)</f>
        <v>0</v>
      </c>
      <c r="AH1730" s="1150">
        <f>IFERROR(VLOOKUP(CONCATENATE($L1730,$N1730),'Drop List'!$G$23:$K$87,3,FALSE),0)</f>
        <v>0</v>
      </c>
      <c r="AI1730" s="1150">
        <f>IFERROR(VLOOKUP(CONCATENATE($L1730,$N1730),'Drop List'!$G$23:$K$87,4,FALSE),0)</f>
        <v>0</v>
      </c>
      <c r="AJ1730" s="1151">
        <f>IFERROR(VLOOKUP(CONCATENATE($L1730,$N1730),'Drop List'!$G$23:$K$87,5,FALSE),0)</f>
        <v>0</v>
      </c>
      <c r="AK1730" s="1152">
        <f t="shared" si="480"/>
        <v>0</v>
      </c>
      <c r="AL1730" s="1153">
        <f t="shared" si="481"/>
        <v>0</v>
      </c>
      <c r="AM1730" s="1153">
        <f t="shared" si="482"/>
        <v>0</v>
      </c>
      <c r="AN1730" s="1145">
        <f t="shared" si="483"/>
        <v>0</v>
      </c>
      <c r="AO1730" s="1154">
        <f t="shared" si="486"/>
        <v>0</v>
      </c>
      <c r="AP1730" s="1147">
        <f t="shared" si="471"/>
        <v>0</v>
      </c>
      <c r="AQ1730" s="1144">
        <f t="shared" si="472"/>
        <v>0</v>
      </c>
      <c r="AR1730" s="1146">
        <f t="shared" si="473"/>
        <v>0</v>
      </c>
    </row>
    <row r="1731" spans="1:44" x14ac:dyDescent="0.2">
      <c r="A1731" s="1141" t="str">
        <f t="shared" si="485"/>
        <v/>
      </c>
      <c r="B1731" s="1141" t="str">
        <f>IFERROR(VLOOKUP(A1731,'LAC 103'!A:C,3,FALSE),"")</f>
        <v/>
      </c>
      <c r="C1731" s="1478" t="str">
        <f>Info!$B$8</f>
        <v>00100</v>
      </c>
      <c r="D1731" s="1474"/>
      <c r="E1731" s="1474"/>
      <c r="F1731" s="1478"/>
      <c r="G1731" s="1478"/>
      <c r="H1731" s="1474"/>
      <c r="I1731" s="1478"/>
      <c r="J1731" s="1478"/>
      <c r="K1731" s="1475"/>
      <c r="L1731" s="1474"/>
      <c r="M1731" s="1476"/>
      <c r="N1731" s="1477"/>
      <c r="O1731" s="1479"/>
      <c r="P1731" s="1479"/>
      <c r="Q1731" s="1142">
        <f t="shared" si="487"/>
        <v>0</v>
      </c>
      <c r="R1731" s="1143">
        <f>IFERROR(VLOOKUP(CONCATENATE($E1731,$G1731),'LAC 103'!$A$12:$O$95,11,FALSE),0)</f>
        <v>0</v>
      </c>
      <c r="S1731" s="1144">
        <f>IFERROR(VLOOKUP(CONCATENATE($E1731,$G1731),'LAC 103'!$A$12:$O$95,12,FALSE),0)</f>
        <v>0</v>
      </c>
      <c r="T1731" s="1144">
        <f>IFERROR(VLOOKUP(CONCATENATE($E1731,$G1731),'LAC 103'!$A$12:$O$95,13,FALSE),0)</f>
        <v>0</v>
      </c>
      <c r="U1731" s="1144">
        <f>IFERROR(VLOOKUP(CONCATENATE($E1731,$G1731),'LAC 103'!$A$12:$O$95,14,FALSE),0)</f>
        <v>0</v>
      </c>
      <c r="V1731" s="1144">
        <f>IFERROR(VLOOKUP(CONCATENATE($E1731,$G1731),'LAC 103'!$A$12:$O$95,15,FALSE),0)</f>
        <v>0</v>
      </c>
      <c r="W1731" s="1145" t="str">
        <f>IFERROR(VLOOKUP(CONCATENATE($B1731,$N1731),'LAC 103'!$AI:$AQ,9,FALSE),"")</f>
        <v/>
      </c>
      <c r="X1731" s="1146">
        <f t="shared" si="474"/>
        <v>0</v>
      </c>
      <c r="Y1731" s="1143">
        <f t="shared" si="484"/>
        <v>0</v>
      </c>
      <c r="Z1731" s="1147">
        <f t="shared" si="475"/>
        <v>0</v>
      </c>
      <c r="AA1731" s="1144">
        <f t="shared" si="476"/>
        <v>0</v>
      </c>
      <c r="AB1731" s="1144">
        <f t="shared" si="477"/>
        <v>0</v>
      </c>
      <c r="AC1731" s="1144">
        <f t="shared" si="478"/>
        <v>0</v>
      </c>
      <c r="AD1731" s="1148">
        <f t="shared" si="470"/>
        <v>0</v>
      </c>
      <c r="AE1731" s="1487">
        <v>0</v>
      </c>
      <c r="AF1731" s="1145">
        <f t="shared" si="479"/>
        <v>0</v>
      </c>
      <c r="AG1731" s="1149">
        <f>IFERROR(VLOOKUP(CONCATENATE($L1731,$N1731),'Drop List'!$G$23:$K$87,2,FALSE),0)</f>
        <v>0</v>
      </c>
      <c r="AH1731" s="1150">
        <f>IFERROR(VLOOKUP(CONCATENATE($L1731,$N1731),'Drop List'!$G$23:$K$87,3,FALSE),0)</f>
        <v>0</v>
      </c>
      <c r="AI1731" s="1150">
        <f>IFERROR(VLOOKUP(CONCATENATE($L1731,$N1731),'Drop List'!$G$23:$K$87,4,FALSE),0)</f>
        <v>0</v>
      </c>
      <c r="AJ1731" s="1151">
        <f>IFERROR(VLOOKUP(CONCATENATE($L1731,$N1731),'Drop List'!$G$23:$K$87,5,FALSE),0)</f>
        <v>0</v>
      </c>
      <c r="AK1731" s="1152">
        <f t="shared" si="480"/>
        <v>0</v>
      </c>
      <c r="AL1731" s="1153">
        <f t="shared" si="481"/>
        <v>0</v>
      </c>
      <c r="AM1731" s="1153">
        <f t="shared" si="482"/>
        <v>0</v>
      </c>
      <c r="AN1731" s="1145">
        <f t="shared" si="483"/>
        <v>0</v>
      </c>
      <c r="AO1731" s="1154">
        <f t="shared" si="486"/>
        <v>0</v>
      </c>
      <c r="AP1731" s="1147">
        <f t="shared" si="471"/>
        <v>0</v>
      </c>
      <c r="AQ1731" s="1144">
        <f t="shared" si="472"/>
        <v>0</v>
      </c>
      <c r="AR1731" s="1146">
        <f t="shared" si="473"/>
        <v>0</v>
      </c>
    </row>
    <row r="1732" spans="1:44" x14ac:dyDescent="0.2">
      <c r="A1732" s="1141" t="str">
        <f t="shared" si="485"/>
        <v/>
      </c>
      <c r="B1732" s="1141" t="str">
        <f>IFERROR(VLOOKUP(A1732,'LAC 103'!A:C,3,FALSE),"")</f>
        <v/>
      </c>
      <c r="C1732" s="1478" t="str">
        <f>Info!$B$8</f>
        <v>00100</v>
      </c>
      <c r="D1732" s="1474"/>
      <c r="E1732" s="1474"/>
      <c r="F1732" s="1478"/>
      <c r="G1732" s="1478"/>
      <c r="H1732" s="1474"/>
      <c r="I1732" s="1478"/>
      <c r="J1732" s="1478"/>
      <c r="K1732" s="1475"/>
      <c r="L1732" s="1474"/>
      <c r="M1732" s="1476"/>
      <c r="N1732" s="1477"/>
      <c r="O1732" s="1479"/>
      <c r="P1732" s="1479"/>
      <c r="Q1732" s="1142">
        <f t="shared" si="487"/>
        <v>0</v>
      </c>
      <c r="R1732" s="1143">
        <f>IFERROR(VLOOKUP(CONCATENATE($E1732,$G1732),'LAC 103'!$A$12:$O$95,11,FALSE),0)</f>
        <v>0</v>
      </c>
      <c r="S1732" s="1144">
        <f>IFERROR(VLOOKUP(CONCATENATE($E1732,$G1732),'LAC 103'!$A$12:$O$95,12,FALSE),0)</f>
        <v>0</v>
      </c>
      <c r="T1732" s="1144">
        <f>IFERROR(VLOOKUP(CONCATENATE($E1732,$G1732),'LAC 103'!$A$12:$O$95,13,FALSE),0)</f>
        <v>0</v>
      </c>
      <c r="U1732" s="1144">
        <f>IFERROR(VLOOKUP(CONCATENATE($E1732,$G1732),'LAC 103'!$A$12:$O$95,14,FALSE),0)</f>
        <v>0</v>
      </c>
      <c r="V1732" s="1144">
        <f>IFERROR(VLOOKUP(CONCATENATE($E1732,$G1732),'LAC 103'!$A$12:$O$95,15,FALSE),0)</f>
        <v>0</v>
      </c>
      <c r="W1732" s="1145" t="str">
        <f>IFERROR(VLOOKUP(CONCATENATE($B1732,$N1732),'LAC 103'!$AI:$AQ,9,FALSE),"")</f>
        <v/>
      </c>
      <c r="X1732" s="1146">
        <f t="shared" si="474"/>
        <v>0</v>
      </c>
      <c r="Y1732" s="1143">
        <f t="shared" si="484"/>
        <v>0</v>
      </c>
      <c r="Z1732" s="1147">
        <f t="shared" si="475"/>
        <v>0</v>
      </c>
      <c r="AA1732" s="1144">
        <f t="shared" si="476"/>
        <v>0</v>
      </c>
      <c r="AB1732" s="1144">
        <f t="shared" si="477"/>
        <v>0</v>
      </c>
      <c r="AC1732" s="1144">
        <f t="shared" si="478"/>
        <v>0</v>
      </c>
      <c r="AD1732" s="1148">
        <f t="shared" si="470"/>
        <v>0</v>
      </c>
      <c r="AE1732" s="1487">
        <v>0</v>
      </c>
      <c r="AF1732" s="1145">
        <f t="shared" si="479"/>
        <v>0</v>
      </c>
      <c r="AG1732" s="1149">
        <f>IFERROR(VLOOKUP(CONCATENATE($L1732,$N1732),'Drop List'!$G$23:$K$87,2,FALSE),0)</f>
        <v>0</v>
      </c>
      <c r="AH1732" s="1150">
        <f>IFERROR(VLOOKUP(CONCATENATE($L1732,$N1732),'Drop List'!$G$23:$K$87,3,FALSE),0)</f>
        <v>0</v>
      </c>
      <c r="AI1732" s="1150">
        <f>IFERROR(VLOOKUP(CONCATENATE($L1732,$N1732),'Drop List'!$G$23:$K$87,4,FALSE),0)</f>
        <v>0</v>
      </c>
      <c r="AJ1732" s="1151">
        <f>IFERROR(VLOOKUP(CONCATENATE($L1732,$N1732),'Drop List'!$G$23:$K$87,5,FALSE),0)</f>
        <v>0</v>
      </c>
      <c r="AK1732" s="1152">
        <f t="shared" si="480"/>
        <v>0</v>
      </c>
      <c r="AL1732" s="1153">
        <f t="shared" si="481"/>
        <v>0</v>
      </c>
      <c r="AM1732" s="1153">
        <f t="shared" si="482"/>
        <v>0</v>
      </c>
      <c r="AN1732" s="1145">
        <f t="shared" si="483"/>
        <v>0</v>
      </c>
      <c r="AO1732" s="1154">
        <f t="shared" si="486"/>
        <v>0</v>
      </c>
      <c r="AP1732" s="1147">
        <f t="shared" si="471"/>
        <v>0</v>
      </c>
      <c r="AQ1732" s="1144">
        <f t="shared" si="472"/>
        <v>0</v>
      </c>
      <c r="AR1732" s="1146">
        <f t="shared" si="473"/>
        <v>0</v>
      </c>
    </row>
    <row r="1733" spans="1:44" x14ac:dyDescent="0.2">
      <c r="A1733" s="1141" t="str">
        <f t="shared" si="485"/>
        <v/>
      </c>
      <c r="B1733" s="1141" t="str">
        <f>IFERROR(VLOOKUP(A1733,'LAC 103'!A:C,3,FALSE),"")</f>
        <v/>
      </c>
      <c r="C1733" s="1478" t="str">
        <f>Info!$B$8</f>
        <v>00100</v>
      </c>
      <c r="D1733" s="1474"/>
      <c r="E1733" s="1474"/>
      <c r="F1733" s="1478"/>
      <c r="G1733" s="1478"/>
      <c r="H1733" s="1474"/>
      <c r="I1733" s="1478"/>
      <c r="J1733" s="1478"/>
      <c r="K1733" s="1475"/>
      <c r="L1733" s="1474"/>
      <c r="M1733" s="1476"/>
      <c r="N1733" s="1477"/>
      <c r="O1733" s="1479"/>
      <c r="P1733" s="1479"/>
      <c r="Q1733" s="1142">
        <f t="shared" si="487"/>
        <v>0</v>
      </c>
      <c r="R1733" s="1143">
        <f>IFERROR(VLOOKUP(CONCATENATE($E1733,$G1733),'LAC 103'!$A$12:$O$95,11,FALSE),0)</f>
        <v>0</v>
      </c>
      <c r="S1733" s="1144">
        <f>IFERROR(VLOOKUP(CONCATENATE($E1733,$G1733),'LAC 103'!$A$12:$O$95,12,FALSE),0)</f>
        <v>0</v>
      </c>
      <c r="T1733" s="1144">
        <f>IFERROR(VLOOKUP(CONCATENATE($E1733,$G1733),'LAC 103'!$A$12:$O$95,13,FALSE),0)</f>
        <v>0</v>
      </c>
      <c r="U1733" s="1144">
        <f>IFERROR(VLOOKUP(CONCATENATE($E1733,$G1733),'LAC 103'!$A$12:$O$95,14,FALSE),0)</f>
        <v>0</v>
      </c>
      <c r="V1733" s="1144">
        <f>IFERROR(VLOOKUP(CONCATENATE($E1733,$G1733),'LAC 103'!$A$12:$O$95,15,FALSE),0)</f>
        <v>0</v>
      </c>
      <c r="W1733" s="1145" t="str">
        <f>IFERROR(VLOOKUP(CONCATENATE($B1733,$N1733),'LAC 103'!$AI:$AQ,9,FALSE),"")</f>
        <v/>
      </c>
      <c r="X1733" s="1146">
        <f t="shared" si="474"/>
        <v>0</v>
      </c>
      <c r="Y1733" s="1143">
        <f t="shared" si="484"/>
        <v>0</v>
      </c>
      <c r="Z1733" s="1147">
        <f t="shared" si="475"/>
        <v>0</v>
      </c>
      <c r="AA1733" s="1144">
        <f t="shared" si="476"/>
        <v>0</v>
      </c>
      <c r="AB1733" s="1144">
        <f t="shared" si="477"/>
        <v>0</v>
      </c>
      <c r="AC1733" s="1144">
        <f t="shared" si="478"/>
        <v>0</v>
      </c>
      <c r="AD1733" s="1148">
        <f t="shared" si="470"/>
        <v>0</v>
      </c>
      <c r="AE1733" s="1487">
        <v>0</v>
      </c>
      <c r="AF1733" s="1145">
        <f t="shared" si="479"/>
        <v>0</v>
      </c>
      <c r="AG1733" s="1149">
        <f>IFERROR(VLOOKUP(CONCATENATE($L1733,$N1733),'Drop List'!$G$23:$K$87,2,FALSE),0)</f>
        <v>0</v>
      </c>
      <c r="AH1733" s="1150">
        <f>IFERROR(VLOOKUP(CONCATENATE($L1733,$N1733),'Drop List'!$G$23:$K$87,3,FALSE),0)</f>
        <v>0</v>
      </c>
      <c r="AI1733" s="1150">
        <f>IFERROR(VLOOKUP(CONCATENATE($L1733,$N1733),'Drop List'!$G$23:$K$87,4,FALSE),0)</f>
        <v>0</v>
      </c>
      <c r="AJ1733" s="1151">
        <f>IFERROR(VLOOKUP(CONCATENATE($L1733,$N1733),'Drop List'!$G$23:$K$87,5,FALSE),0)</f>
        <v>0</v>
      </c>
      <c r="AK1733" s="1152">
        <f t="shared" si="480"/>
        <v>0</v>
      </c>
      <c r="AL1733" s="1153">
        <f t="shared" si="481"/>
        <v>0</v>
      </c>
      <c r="AM1733" s="1153">
        <f t="shared" si="482"/>
        <v>0</v>
      </c>
      <c r="AN1733" s="1145">
        <f t="shared" si="483"/>
        <v>0</v>
      </c>
      <c r="AO1733" s="1154">
        <f t="shared" si="486"/>
        <v>0</v>
      </c>
      <c r="AP1733" s="1147">
        <f t="shared" si="471"/>
        <v>0</v>
      </c>
      <c r="AQ1733" s="1144">
        <f t="shared" si="472"/>
        <v>0</v>
      </c>
      <c r="AR1733" s="1146">
        <f t="shared" si="473"/>
        <v>0</v>
      </c>
    </row>
    <row r="1734" spans="1:44" x14ac:dyDescent="0.2">
      <c r="A1734" s="1141" t="str">
        <f t="shared" si="485"/>
        <v/>
      </c>
      <c r="B1734" s="1141" t="str">
        <f>IFERROR(VLOOKUP(A1734,'LAC 103'!A:C,3,FALSE),"")</f>
        <v/>
      </c>
      <c r="C1734" s="1478" t="str">
        <f>Info!$B$8</f>
        <v>00100</v>
      </c>
      <c r="D1734" s="1474"/>
      <c r="E1734" s="1474"/>
      <c r="F1734" s="1478"/>
      <c r="G1734" s="1478"/>
      <c r="H1734" s="1474"/>
      <c r="I1734" s="1478"/>
      <c r="J1734" s="1478"/>
      <c r="K1734" s="1475"/>
      <c r="L1734" s="1474"/>
      <c r="M1734" s="1476"/>
      <c r="N1734" s="1477"/>
      <c r="O1734" s="1479"/>
      <c r="P1734" s="1479"/>
      <c r="Q1734" s="1142">
        <f t="shared" si="487"/>
        <v>0</v>
      </c>
      <c r="R1734" s="1143">
        <f>IFERROR(VLOOKUP(CONCATENATE($E1734,$G1734),'LAC 103'!$A$12:$O$95,11,FALSE),0)</f>
        <v>0</v>
      </c>
      <c r="S1734" s="1144">
        <f>IFERROR(VLOOKUP(CONCATENATE($E1734,$G1734),'LAC 103'!$A$12:$O$95,12,FALSE),0)</f>
        <v>0</v>
      </c>
      <c r="T1734" s="1144">
        <f>IFERROR(VLOOKUP(CONCATENATE($E1734,$G1734),'LAC 103'!$A$12:$O$95,13,FALSE),0)</f>
        <v>0</v>
      </c>
      <c r="U1734" s="1144">
        <f>IFERROR(VLOOKUP(CONCATENATE($E1734,$G1734),'LAC 103'!$A$12:$O$95,14,FALSE),0)</f>
        <v>0</v>
      </c>
      <c r="V1734" s="1144">
        <f>IFERROR(VLOOKUP(CONCATENATE($E1734,$G1734),'LAC 103'!$A$12:$O$95,15,FALSE),0)</f>
        <v>0</v>
      </c>
      <c r="W1734" s="1145" t="str">
        <f>IFERROR(VLOOKUP(CONCATENATE($B1734,$N1734),'LAC 103'!$AI:$AQ,9,FALSE),"")</f>
        <v/>
      </c>
      <c r="X1734" s="1146">
        <f t="shared" si="474"/>
        <v>0</v>
      </c>
      <c r="Y1734" s="1143">
        <f t="shared" si="484"/>
        <v>0</v>
      </c>
      <c r="Z1734" s="1147">
        <f t="shared" si="475"/>
        <v>0</v>
      </c>
      <c r="AA1734" s="1144">
        <f t="shared" si="476"/>
        <v>0</v>
      </c>
      <c r="AB1734" s="1144">
        <f t="shared" si="477"/>
        <v>0</v>
      </c>
      <c r="AC1734" s="1144">
        <f t="shared" si="478"/>
        <v>0</v>
      </c>
      <c r="AD1734" s="1148">
        <f t="shared" si="470"/>
        <v>0</v>
      </c>
      <c r="AE1734" s="1487">
        <v>0</v>
      </c>
      <c r="AF1734" s="1145">
        <f t="shared" si="479"/>
        <v>0</v>
      </c>
      <c r="AG1734" s="1149">
        <f>IFERROR(VLOOKUP(CONCATENATE($L1734,$N1734),'Drop List'!$G$23:$K$87,2,FALSE),0)</f>
        <v>0</v>
      </c>
      <c r="AH1734" s="1150">
        <f>IFERROR(VLOOKUP(CONCATENATE($L1734,$N1734),'Drop List'!$G$23:$K$87,3,FALSE),0)</f>
        <v>0</v>
      </c>
      <c r="AI1734" s="1150">
        <f>IFERROR(VLOOKUP(CONCATENATE($L1734,$N1734),'Drop List'!$G$23:$K$87,4,FALSE),0)</f>
        <v>0</v>
      </c>
      <c r="AJ1734" s="1151">
        <f>IFERROR(VLOOKUP(CONCATENATE($L1734,$N1734),'Drop List'!$G$23:$K$87,5,FALSE),0)</f>
        <v>0</v>
      </c>
      <c r="AK1734" s="1152">
        <f t="shared" si="480"/>
        <v>0</v>
      </c>
      <c r="AL1734" s="1153">
        <f t="shared" si="481"/>
        <v>0</v>
      </c>
      <c r="AM1734" s="1153">
        <f t="shared" si="482"/>
        <v>0</v>
      </c>
      <c r="AN1734" s="1145">
        <f t="shared" si="483"/>
        <v>0</v>
      </c>
      <c r="AO1734" s="1154">
        <f t="shared" si="486"/>
        <v>0</v>
      </c>
      <c r="AP1734" s="1147">
        <f t="shared" si="471"/>
        <v>0</v>
      </c>
      <c r="AQ1734" s="1144">
        <f t="shared" si="472"/>
        <v>0</v>
      </c>
      <c r="AR1734" s="1146">
        <f t="shared" si="473"/>
        <v>0</v>
      </c>
    </row>
    <row r="1735" spans="1:44" x14ac:dyDescent="0.2">
      <c r="A1735" s="1141" t="str">
        <f t="shared" si="485"/>
        <v/>
      </c>
      <c r="B1735" s="1141" t="str">
        <f>IFERROR(VLOOKUP(A1735,'LAC 103'!A:C,3,FALSE),"")</f>
        <v/>
      </c>
      <c r="C1735" s="1478" t="str">
        <f>Info!$B$8</f>
        <v>00100</v>
      </c>
      <c r="D1735" s="1474"/>
      <c r="E1735" s="1474"/>
      <c r="F1735" s="1478"/>
      <c r="G1735" s="1478"/>
      <c r="H1735" s="1474"/>
      <c r="I1735" s="1478"/>
      <c r="J1735" s="1478"/>
      <c r="K1735" s="1475"/>
      <c r="L1735" s="1474"/>
      <c r="M1735" s="1476"/>
      <c r="N1735" s="1477"/>
      <c r="O1735" s="1479"/>
      <c r="P1735" s="1479"/>
      <c r="Q1735" s="1142">
        <f t="shared" si="487"/>
        <v>0</v>
      </c>
      <c r="R1735" s="1143">
        <f>IFERROR(VLOOKUP(CONCATENATE($E1735,$G1735),'LAC 103'!$A$12:$O$95,11,FALSE),0)</f>
        <v>0</v>
      </c>
      <c r="S1735" s="1144">
        <f>IFERROR(VLOOKUP(CONCATENATE($E1735,$G1735),'LAC 103'!$A$12:$O$95,12,FALSE),0)</f>
        <v>0</v>
      </c>
      <c r="T1735" s="1144">
        <f>IFERROR(VLOOKUP(CONCATENATE($E1735,$G1735),'LAC 103'!$A$12:$O$95,13,FALSE),0)</f>
        <v>0</v>
      </c>
      <c r="U1735" s="1144">
        <f>IFERROR(VLOOKUP(CONCATENATE($E1735,$G1735),'LAC 103'!$A$12:$O$95,14,FALSE),0)</f>
        <v>0</v>
      </c>
      <c r="V1735" s="1144">
        <f>IFERROR(VLOOKUP(CONCATENATE($E1735,$G1735),'LAC 103'!$A$12:$O$95,15,FALSE),0)</f>
        <v>0</v>
      </c>
      <c r="W1735" s="1145" t="str">
        <f>IFERROR(VLOOKUP(CONCATENATE($B1735,$N1735),'LAC 103'!$AI:$AQ,9,FALSE),"")</f>
        <v/>
      </c>
      <c r="X1735" s="1146">
        <f t="shared" si="474"/>
        <v>0</v>
      </c>
      <c r="Y1735" s="1143">
        <f t="shared" si="484"/>
        <v>0</v>
      </c>
      <c r="Z1735" s="1147">
        <f t="shared" si="475"/>
        <v>0</v>
      </c>
      <c r="AA1735" s="1144">
        <f t="shared" si="476"/>
        <v>0</v>
      </c>
      <c r="AB1735" s="1144">
        <f t="shared" si="477"/>
        <v>0</v>
      </c>
      <c r="AC1735" s="1144">
        <f t="shared" si="478"/>
        <v>0</v>
      </c>
      <c r="AD1735" s="1148">
        <f t="shared" ref="AD1735:AD1798" si="488">Q1735*X1735</f>
        <v>0</v>
      </c>
      <c r="AE1735" s="1487">
        <v>0</v>
      </c>
      <c r="AF1735" s="1145">
        <f t="shared" si="479"/>
        <v>0</v>
      </c>
      <c r="AG1735" s="1149">
        <f>IFERROR(VLOOKUP(CONCATENATE($L1735,$N1735),'Drop List'!$G$23:$K$87,2,FALSE),0)</f>
        <v>0</v>
      </c>
      <c r="AH1735" s="1150">
        <f>IFERROR(VLOOKUP(CONCATENATE($L1735,$N1735),'Drop List'!$G$23:$K$87,3,FALSE),0)</f>
        <v>0</v>
      </c>
      <c r="AI1735" s="1150">
        <f>IFERROR(VLOOKUP(CONCATENATE($L1735,$N1735),'Drop List'!$G$23:$K$87,4,FALSE),0)</f>
        <v>0</v>
      </c>
      <c r="AJ1735" s="1151">
        <f>IFERROR(VLOOKUP(CONCATENATE($L1735,$N1735),'Drop List'!$G$23:$K$87,5,FALSE),0)</f>
        <v>0</v>
      </c>
      <c r="AK1735" s="1152">
        <f t="shared" si="480"/>
        <v>0</v>
      </c>
      <c r="AL1735" s="1153">
        <f t="shared" si="481"/>
        <v>0</v>
      </c>
      <c r="AM1735" s="1153">
        <f t="shared" si="482"/>
        <v>0</v>
      </c>
      <c r="AN1735" s="1145">
        <f t="shared" si="483"/>
        <v>0</v>
      </c>
      <c r="AO1735" s="1154">
        <f t="shared" si="486"/>
        <v>0</v>
      </c>
      <c r="AP1735" s="1147">
        <f t="shared" ref="AP1735:AP1798" si="489">IF($L1735="14",$AF1735,0)</f>
        <v>0</v>
      </c>
      <c r="AQ1735" s="1144">
        <f t="shared" ref="AQ1735:AQ1798" si="490">IF($L1735="15",$AF1735,0)</f>
        <v>0</v>
      </c>
      <c r="AR1735" s="1146">
        <f t="shared" ref="AR1735:AR1798" si="491">AO1735+AP1735+AQ1735</f>
        <v>0</v>
      </c>
    </row>
    <row r="1736" spans="1:44" x14ac:dyDescent="0.2">
      <c r="A1736" s="1141" t="str">
        <f t="shared" si="485"/>
        <v/>
      </c>
      <c r="B1736" s="1141" t="str">
        <f>IFERROR(VLOOKUP(A1736,'LAC 103'!A:C,3,FALSE),"")</f>
        <v/>
      </c>
      <c r="C1736" s="1478" t="str">
        <f>Info!$B$8</f>
        <v>00100</v>
      </c>
      <c r="D1736" s="1474"/>
      <c r="E1736" s="1474"/>
      <c r="F1736" s="1478"/>
      <c r="G1736" s="1478"/>
      <c r="H1736" s="1474"/>
      <c r="I1736" s="1478"/>
      <c r="J1736" s="1478"/>
      <c r="K1736" s="1475"/>
      <c r="L1736" s="1474"/>
      <c r="M1736" s="1476"/>
      <c r="N1736" s="1477"/>
      <c r="O1736" s="1479"/>
      <c r="P1736" s="1479"/>
      <c r="Q1736" s="1142">
        <f t="shared" si="487"/>
        <v>0</v>
      </c>
      <c r="R1736" s="1143">
        <f>IFERROR(VLOOKUP(CONCATENATE($E1736,$G1736),'LAC 103'!$A$12:$O$95,11,FALSE),0)</f>
        <v>0</v>
      </c>
      <c r="S1736" s="1144">
        <f>IFERROR(VLOOKUP(CONCATENATE($E1736,$G1736),'LAC 103'!$A$12:$O$95,12,FALSE),0)</f>
        <v>0</v>
      </c>
      <c r="T1736" s="1144">
        <f>IFERROR(VLOOKUP(CONCATENATE($E1736,$G1736),'LAC 103'!$A$12:$O$95,13,FALSE),0)</f>
        <v>0</v>
      </c>
      <c r="U1736" s="1144">
        <f>IFERROR(VLOOKUP(CONCATENATE($E1736,$G1736),'LAC 103'!$A$12:$O$95,14,FALSE),0)</f>
        <v>0</v>
      </c>
      <c r="V1736" s="1144">
        <f>IFERROR(VLOOKUP(CONCATENATE($E1736,$G1736),'LAC 103'!$A$12:$O$95,15,FALSE),0)</f>
        <v>0</v>
      </c>
      <c r="W1736" s="1145" t="str">
        <f>IFERROR(VLOOKUP(CONCATENATE($B1736,$N1736),'LAC 103'!$AI:$AQ,9,FALSE),"")</f>
        <v/>
      </c>
      <c r="X1736" s="1146">
        <f t="shared" ref="X1736:X1799" si="492">IF($W1736="Costs",$R1736,IF($W1736="CMA",$S1736,IF($W1736="P.C.",$T1736,IF($W1736="SMA",$U1736,$V1736))))</f>
        <v>0</v>
      </c>
      <c r="Y1736" s="1143">
        <f t="shared" si="484"/>
        <v>0</v>
      </c>
      <c r="Z1736" s="1147">
        <f t="shared" ref="Z1736:Z1799" si="493">IF(S1736=0,Y1736,$Q1736*S1736)</f>
        <v>0</v>
      </c>
      <c r="AA1736" s="1144">
        <f t="shared" ref="AA1736:AA1799" si="494">IF(T1736=0,Y1736,$Q1736*T1736)</f>
        <v>0</v>
      </c>
      <c r="AB1736" s="1144">
        <f t="shared" ref="AB1736:AB1799" si="495">$Q1736*U1736</f>
        <v>0</v>
      </c>
      <c r="AC1736" s="1144">
        <f t="shared" ref="AC1736:AC1799" si="496">$Q1736*V1736</f>
        <v>0</v>
      </c>
      <c r="AD1736" s="1148">
        <f t="shared" si="488"/>
        <v>0</v>
      </c>
      <c r="AE1736" s="1487">
        <v>0</v>
      </c>
      <c r="AF1736" s="1145">
        <f t="shared" ref="AF1736:AF1799" si="497">AD1736-AE1736</f>
        <v>0</v>
      </c>
      <c r="AG1736" s="1149">
        <f>IFERROR(VLOOKUP(CONCATENATE($L1736,$N1736),'Drop List'!$G$23:$K$87,2,FALSE),0)</f>
        <v>0</v>
      </c>
      <c r="AH1736" s="1150">
        <f>IFERROR(VLOOKUP(CONCATENATE($L1736,$N1736),'Drop List'!$G$23:$K$87,3,FALSE),0)</f>
        <v>0</v>
      </c>
      <c r="AI1736" s="1150">
        <f>IFERROR(VLOOKUP(CONCATENATE($L1736,$N1736),'Drop List'!$G$23:$K$87,4,FALSE),0)</f>
        <v>0</v>
      </c>
      <c r="AJ1736" s="1151">
        <f>IFERROR(VLOOKUP(CONCATENATE($L1736,$N1736),'Drop List'!$G$23:$K$87,5,FALSE),0)</f>
        <v>0</v>
      </c>
      <c r="AK1736" s="1152">
        <f t="shared" ref="AK1736:AK1799" si="498">IFERROR($AF1736*AG1736,0)</f>
        <v>0</v>
      </c>
      <c r="AL1736" s="1153">
        <f t="shared" ref="AL1736:AL1799" si="499">IFERROR($AF1736*AH1736,0)</f>
        <v>0</v>
      </c>
      <c r="AM1736" s="1153">
        <f t="shared" ref="AM1736:AM1799" si="500">IFERROR($AF1736*AI1736,0)</f>
        <v>0</v>
      </c>
      <c r="AN1736" s="1145">
        <f t="shared" ref="AN1736:AN1799" si="501">IFERROR($AF1736*AJ1736,0)</f>
        <v>0</v>
      </c>
      <c r="AO1736" s="1154">
        <f t="shared" si="486"/>
        <v>0</v>
      </c>
      <c r="AP1736" s="1147">
        <f t="shared" si="489"/>
        <v>0</v>
      </c>
      <c r="AQ1736" s="1144">
        <f t="shared" si="490"/>
        <v>0</v>
      </c>
      <c r="AR1736" s="1146">
        <f t="shared" si="491"/>
        <v>0</v>
      </c>
    </row>
    <row r="1737" spans="1:44" x14ac:dyDescent="0.2">
      <c r="A1737" s="1141" t="str">
        <f t="shared" si="485"/>
        <v/>
      </c>
      <c r="B1737" s="1141" t="str">
        <f>IFERROR(VLOOKUP(A1737,'LAC 103'!A:C,3,FALSE),"")</f>
        <v/>
      </c>
      <c r="C1737" s="1478" t="str">
        <f>Info!$B$8</f>
        <v>00100</v>
      </c>
      <c r="D1737" s="1474"/>
      <c r="E1737" s="1474"/>
      <c r="F1737" s="1478"/>
      <c r="G1737" s="1478"/>
      <c r="H1737" s="1474"/>
      <c r="I1737" s="1478"/>
      <c r="J1737" s="1478"/>
      <c r="K1737" s="1475"/>
      <c r="L1737" s="1474"/>
      <c r="M1737" s="1476"/>
      <c r="N1737" s="1477"/>
      <c r="O1737" s="1479"/>
      <c r="P1737" s="1479"/>
      <c r="Q1737" s="1142">
        <f t="shared" si="487"/>
        <v>0</v>
      </c>
      <c r="R1737" s="1143">
        <f>IFERROR(VLOOKUP(CONCATENATE($E1737,$G1737),'LAC 103'!$A$12:$O$95,11,FALSE),0)</f>
        <v>0</v>
      </c>
      <c r="S1737" s="1144">
        <f>IFERROR(VLOOKUP(CONCATENATE($E1737,$G1737),'LAC 103'!$A$12:$O$95,12,FALSE),0)</f>
        <v>0</v>
      </c>
      <c r="T1737" s="1144">
        <f>IFERROR(VLOOKUP(CONCATENATE($E1737,$G1737),'LAC 103'!$A$12:$O$95,13,FALSE),0)</f>
        <v>0</v>
      </c>
      <c r="U1737" s="1144">
        <f>IFERROR(VLOOKUP(CONCATENATE($E1737,$G1737),'LAC 103'!$A$12:$O$95,14,FALSE),0)</f>
        <v>0</v>
      </c>
      <c r="V1737" s="1144">
        <f>IFERROR(VLOOKUP(CONCATENATE($E1737,$G1737),'LAC 103'!$A$12:$O$95,15,FALSE),0)</f>
        <v>0</v>
      </c>
      <c r="W1737" s="1145" t="str">
        <f>IFERROR(VLOOKUP(CONCATENATE($B1737,$N1737),'LAC 103'!$AI:$AQ,9,FALSE),"")</f>
        <v/>
      </c>
      <c r="X1737" s="1146">
        <f t="shared" si="492"/>
        <v>0</v>
      </c>
      <c r="Y1737" s="1143">
        <f t="shared" si="484"/>
        <v>0</v>
      </c>
      <c r="Z1737" s="1147">
        <f t="shared" si="493"/>
        <v>0</v>
      </c>
      <c r="AA1737" s="1144">
        <f t="shared" si="494"/>
        <v>0</v>
      </c>
      <c r="AB1737" s="1144">
        <f t="shared" si="495"/>
        <v>0</v>
      </c>
      <c r="AC1737" s="1144">
        <f t="shared" si="496"/>
        <v>0</v>
      </c>
      <c r="AD1737" s="1148">
        <f t="shared" si="488"/>
        <v>0</v>
      </c>
      <c r="AE1737" s="1487">
        <v>0</v>
      </c>
      <c r="AF1737" s="1145">
        <f t="shared" si="497"/>
        <v>0</v>
      </c>
      <c r="AG1737" s="1149">
        <f>IFERROR(VLOOKUP(CONCATENATE($L1737,$N1737),'Drop List'!$G$23:$K$87,2,FALSE),0)</f>
        <v>0</v>
      </c>
      <c r="AH1737" s="1150">
        <f>IFERROR(VLOOKUP(CONCATENATE($L1737,$N1737),'Drop List'!$G$23:$K$87,3,FALSE),0)</f>
        <v>0</v>
      </c>
      <c r="AI1737" s="1150">
        <f>IFERROR(VLOOKUP(CONCATENATE($L1737,$N1737),'Drop List'!$G$23:$K$87,4,FALSE),0)</f>
        <v>0</v>
      </c>
      <c r="AJ1737" s="1151">
        <f>IFERROR(VLOOKUP(CONCATENATE($L1737,$N1737),'Drop List'!$G$23:$K$87,5,FALSE),0)</f>
        <v>0</v>
      </c>
      <c r="AK1737" s="1152">
        <f t="shared" si="498"/>
        <v>0</v>
      </c>
      <c r="AL1737" s="1153">
        <f t="shared" si="499"/>
        <v>0</v>
      </c>
      <c r="AM1737" s="1153">
        <f t="shared" si="500"/>
        <v>0</v>
      </c>
      <c r="AN1737" s="1145">
        <f t="shared" si="501"/>
        <v>0</v>
      </c>
      <c r="AO1737" s="1154">
        <f t="shared" si="486"/>
        <v>0</v>
      </c>
      <c r="AP1737" s="1147">
        <f t="shared" si="489"/>
        <v>0</v>
      </c>
      <c r="AQ1737" s="1144">
        <f t="shared" si="490"/>
        <v>0</v>
      </c>
      <c r="AR1737" s="1146">
        <f t="shared" si="491"/>
        <v>0</v>
      </c>
    </row>
    <row r="1738" spans="1:44" x14ac:dyDescent="0.2">
      <c r="A1738" s="1141" t="str">
        <f t="shared" si="485"/>
        <v/>
      </c>
      <c r="B1738" s="1141" t="str">
        <f>IFERROR(VLOOKUP(A1738,'LAC 103'!A:C,3,FALSE),"")</f>
        <v/>
      </c>
      <c r="C1738" s="1478" t="str">
        <f>Info!$B$8</f>
        <v>00100</v>
      </c>
      <c r="D1738" s="1474"/>
      <c r="E1738" s="1474"/>
      <c r="F1738" s="1478"/>
      <c r="G1738" s="1478"/>
      <c r="H1738" s="1474"/>
      <c r="I1738" s="1478"/>
      <c r="J1738" s="1478"/>
      <c r="K1738" s="1475"/>
      <c r="L1738" s="1474"/>
      <c r="M1738" s="1476"/>
      <c r="N1738" s="1477"/>
      <c r="O1738" s="1479"/>
      <c r="P1738" s="1479"/>
      <c r="Q1738" s="1142">
        <f t="shared" si="487"/>
        <v>0</v>
      </c>
      <c r="R1738" s="1143">
        <f>IFERROR(VLOOKUP(CONCATENATE($E1738,$G1738),'LAC 103'!$A$12:$O$95,11,FALSE),0)</f>
        <v>0</v>
      </c>
      <c r="S1738" s="1144">
        <f>IFERROR(VLOOKUP(CONCATENATE($E1738,$G1738),'LAC 103'!$A$12:$O$95,12,FALSE),0)</f>
        <v>0</v>
      </c>
      <c r="T1738" s="1144">
        <f>IFERROR(VLOOKUP(CONCATENATE($E1738,$G1738),'LAC 103'!$A$12:$O$95,13,FALSE),0)</f>
        <v>0</v>
      </c>
      <c r="U1738" s="1144">
        <f>IFERROR(VLOOKUP(CONCATENATE($E1738,$G1738),'LAC 103'!$A$12:$O$95,14,FALSE),0)</f>
        <v>0</v>
      </c>
      <c r="V1738" s="1144">
        <f>IFERROR(VLOOKUP(CONCATENATE($E1738,$G1738),'LAC 103'!$A$12:$O$95,15,FALSE),0)</f>
        <v>0</v>
      </c>
      <c r="W1738" s="1145" t="str">
        <f>IFERROR(VLOOKUP(CONCATENATE($B1738,$N1738),'LAC 103'!$AI:$AQ,9,FALSE),"")</f>
        <v/>
      </c>
      <c r="X1738" s="1146">
        <f t="shared" si="492"/>
        <v>0</v>
      </c>
      <c r="Y1738" s="1143">
        <f t="shared" ref="Y1738:Y1801" si="502">$Q1738*R1738</f>
        <v>0</v>
      </c>
      <c r="Z1738" s="1147">
        <f t="shared" si="493"/>
        <v>0</v>
      </c>
      <c r="AA1738" s="1144">
        <f t="shared" si="494"/>
        <v>0</v>
      </c>
      <c r="AB1738" s="1144">
        <f t="shared" si="495"/>
        <v>0</v>
      </c>
      <c r="AC1738" s="1144">
        <f t="shared" si="496"/>
        <v>0</v>
      </c>
      <c r="AD1738" s="1148">
        <f t="shared" si="488"/>
        <v>0</v>
      </c>
      <c r="AE1738" s="1487">
        <v>0</v>
      </c>
      <c r="AF1738" s="1145">
        <f t="shared" si="497"/>
        <v>0</v>
      </c>
      <c r="AG1738" s="1149">
        <f>IFERROR(VLOOKUP(CONCATENATE($L1738,$N1738),'Drop List'!$G$23:$K$87,2,FALSE),0)</f>
        <v>0</v>
      </c>
      <c r="AH1738" s="1150">
        <f>IFERROR(VLOOKUP(CONCATENATE($L1738,$N1738),'Drop List'!$G$23:$K$87,3,FALSE),0)</f>
        <v>0</v>
      </c>
      <c r="AI1738" s="1150">
        <f>IFERROR(VLOOKUP(CONCATENATE($L1738,$N1738),'Drop List'!$G$23:$K$87,4,FALSE),0)</f>
        <v>0</v>
      </c>
      <c r="AJ1738" s="1151">
        <f>IFERROR(VLOOKUP(CONCATENATE($L1738,$N1738),'Drop List'!$G$23:$K$87,5,FALSE),0)</f>
        <v>0</v>
      </c>
      <c r="AK1738" s="1152">
        <f t="shared" si="498"/>
        <v>0</v>
      </c>
      <c r="AL1738" s="1153">
        <f t="shared" si="499"/>
        <v>0</v>
      </c>
      <c r="AM1738" s="1153">
        <f t="shared" si="500"/>
        <v>0</v>
      </c>
      <c r="AN1738" s="1145">
        <f t="shared" si="501"/>
        <v>0</v>
      </c>
      <c r="AO1738" s="1154">
        <f t="shared" si="486"/>
        <v>0</v>
      </c>
      <c r="AP1738" s="1147">
        <f t="shared" si="489"/>
        <v>0</v>
      </c>
      <c r="AQ1738" s="1144">
        <f t="shared" si="490"/>
        <v>0</v>
      </c>
      <c r="AR1738" s="1146">
        <f t="shared" si="491"/>
        <v>0</v>
      </c>
    </row>
    <row r="1739" spans="1:44" x14ac:dyDescent="0.2">
      <c r="A1739" s="1141" t="str">
        <f t="shared" si="485"/>
        <v/>
      </c>
      <c r="B1739" s="1141" t="str">
        <f>IFERROR(VLOOKUP(A1739,'LAC 103'!A:C,3,FALSE),"")</f>
        <v/>
      </c>
      <c r="C1739" s="1478" t="str">
        <f>Info!$B$8</f>
        <v>00100</v>
      </c>
      <c r="D1739" s="1474"/>
      <c r="E1739" s="1474"/>
      <c r="F1739" s="1478"/>
      <c r="G1739" s="1478"/>
      <c r="H1739" s="1474"/>
      <c r="I1739" s="1478"/>
      <c r="J1739" s="1478"/>
      <c r="K1739" s="1475"/>
      <c r="L1739" s="1474"/>
      <c r="M1739" s="1476"/>
      <c r="N1739" s="1477"/>
      <c r="O1739" s="1479"/>
      <c r="P1739" s="1479"/>
      <c r="Q1739" s="1142">
        <f t="shared" si="487"/>
        <v>0</v>
      </c>
      <c r="R1739" s="1143">
        <f>IFERROR(VLOOKUP(CONCATENATE($E1739,$G1739),'LAC 103'!$A$12:$O$95,11,FALSE),0)</f>
        <v>0</v>
      </c>
      <c r="S1739" s="1144">
        <f>IFERROR(VLOOKUP(CONCATENATE($E1739,$G1739),'LAC 103'!$A$12:$O$95,12,FALSE),0)</f>
        <v>0</v>
      </c>
      <c r="T1739" s="1144">
        <f>IFERROR(VLOOKUP(CONCATENATE($E1739,$G1739),'LAC 103'!$A$12:$O$95,13,FALSE),0)</f>
        <v>0</v>
      </c>
      <c r="U1739" s="1144">
        <f>IFERROR(VLOOKUP(CONCATENATE($E1739,$G1739),'LAC 103'!$A$12:$O$95,14,FALSE),0)</f>
        <v>0</v>
      </c>
      <c r="V1739" s="1144">
        <f>IFERROR(VLOOKUP(CONCATENATE($E1739,$G1739),'LAC 103'!$A$12:$O$95,15,FALSE),0)</f>
        <v>0</v>
      </c>
      <c r="W1739" s="1145" t="str">
        <f>IFERROR(VLOOKUP(CONCATENATE($B1739,$N1739),'LAC 103'!$AI:$AQ,9,FALSE),"")</f>
        <v/>
      </c>
      <c r="X1739" s="1146">
        <f t="shared" si="492"/>
        <v>0</v>
      </c>
      <c r="Y1739" s="1143">
        <f t="shared" si="502"/>
        <v>0</v>
      </c>
      <c r="Z1739" s="1147">
        <f t="shared" si="493"/>
        <v>0</v>
      </c>
      <c r="AA1739" s="1144">
        <f t="shared" si="494"/>
        <v>0</v>
      </c>
      <c r="AB1739" s="1144">
        <f t="shared" si="495"/>
        <v>0</v>
      </c>
      <c r="AC1739" s="1144">
        <f t="shared" si="496"/>
        <v>0</v>
      </c>
      <c r="AD1739" s="1148">
        <f t="shared" si="488"/>
        <v>0</v>
      </c>
      <c r="AE1739" s="1487">
        <v>0</v>
      </c>
      <c r="AF1739" s="1145">
        <f t="shared" si="497"/>
        <v>0</v>
      </c>
      <c r="AG1739" s="1149">
        <f>IFERROR(VLOOKUP(CONCATENATE($L1739,$N1739),'Drop List'!$G$23:$K$87,2,FALSE),0)</f>
        <v>0</v>
      </c>
      <c r="AH1739" s="1150">
        <f>IFERROR(VLOOKUP(CONCATENATE($L1739,$N1739),'Drop List'!$G$23:$K$87,3,FALSE),0)</f>
        <v>0</v>
      </c>
      <c r="AI1739" s="1150">
        <f>IFERROR(VLOOKUP(CONCATENATE($L1739,$N1739),'Drop List'!$G$23:$K$87,4,FALSE),0)</f>
        <v>0</v>
      </c>
      <c r="AJ1739" s="1151">
        <f>IFERROR(VLOOKUP(CONCATENATE($L1739,$N1739),'Drop List'!$G$23:$K$87,5,FALSE),0)</f>
        <v>0</v>
      </c>
      <c r="AK1739" s="1152">
        <f t="shared" si="498"/>
        <v>0</v>
      </c>
      <c r="AL1739" s="1153">
        <f t="shared" si="499"/>
        <v>0</v>
      </c>
      <c r="AM1739" s="1153">
        <f t="shared" si="500"/>
        <v>0</v>
      </c>
      <c r="AN1739" s="1145">
        <f t="shared" si="501"/>
        <v>0</v>
      </c>
      <c r="AO1739" s="1154">
        <f t="shared" si="486"/>
        <v>0</v>
      </c>
      <c r="AP1739" s="1147">
        <f t="shared" si="489"/>
        <v>0</v>
      </c>
      <c r="AQ1739" s="1144">
        <f t="shared" si="490"/>
        <v>0</v>
      </c>
      <c r="AR1739" s="1146">
        <f t="shared" si="491"/>
        <v>0</v>
      </c>
    </row>
    <row r="1740" spans="1:44" x14ac:dyDescent="0.2">
      <c r="A1740" s="1141" t="str">
        <f t="shared" si="485"/>
        <v/>
      </c>
      <c r="B1740" s="1141" t="str">
        <f>IFERROR(VLOOKUP(A1740,'LAC 103'!A:C,3,FALSE),"")</f>
        <v/>
      </c>
      <c r="C1740" s="1478" t="str">
        <f>Info!$B$8</f>
        <v>00100</v>
      </c>
      <c r="D1740" s="1474"/>
      <c r="E1740" s="1474"/>
      <c r="F1740" s="1478"/>
      <c r="G1740" s="1478"/>
      <c r="H1740" s="1474"/>
      <c r="I1740" s="1478"/>
      <c r="J1740" s="1478"/>
      <c r="K1740" s="1475"/>
      <c r="L1740" s="1474"/>
      <c r="M1740" s="1476"/>
      <c r="N1740" s="1477"/>
      <c r="O1740" s="1479"/>
      <c r="P1740" s="1479"/>
      <c r="Q1740" s="1142">
        <f t="shared" si="487"/>
        <v>0</v>
      </c>
      <c r="R1740" s="1143">
        <f>IFERROR(VLOOKUP(CONCATENATE($E1740,$G1740),'LAC 103'!$A$12:$O$95,11,FALSE),0)</f>
        <v>0</v>
      </c>
      <c r="S1740" s="1144">
        <f>IFERROR(VLOOKUP(CONCATENATE($E1740,$G1740),'LAC 103'!$A$12:$O$95,12,FALSE),0)</f>
        <v>0</v>
      </c>
      <c r="T1740" s="1144">
        <f>IFERROR(VLOOKUP(CONCATENATE($E1740,$G1740),'LAC 103'!$A$12:$O$95,13,FALSE),0)</f>
        <v>0</v>
      </c>
      <c r="U1740" s="1144">
        <f>IFERROR(VLOOKUP(CONCATENATE($E1740,$G1740),'LAC 103'!$A$12:$O$95,14,FALSE),0)</f>
        <v>0</v>
      </c>
      <c r="V1740" s="1144">
        <f>IFERROR(VLOOKUP(CONCATENATE($E1740,$G1740),'LAC 103'!$A$12:$O$95,15,FALSE),0)</f>
        <v>0</v>
      </c>
      <c r="W1740" s="1145" t="str">
        <f>IFERROR(VLOOKUP(CONCATENATE($B1740,$N1740),'LAC 103'!$AI:$AQ,9,FALSE),"")</f>
        <v/>
      </c>
      <c r="X1740" s="1146">
        <f t="shared" si="492"/>
        <v>0</v>
      </c>
      <c r="Y1740" s="1143">
        <f t="shared" si="502"/>
        <v>0</v>
      </c>
      <c r="Z1740" s="1147">
        <f t="shared" si="493"/>
        <v>0</v>
      </c>
      <c r="AA1740" s="1144">
        <f t="shared" si="494"/>
        <v>0</v>
      </c>
      <c r="AB1740" s="1144">
        <f t="shared" si="495"/>
        <v>0</v>
      </c>
      <c r="AC1740" s="1144">
        <f t="shared" si="496"/>
        <v>0</v>
      </c>
      <c r="AD1740" s="1148">
        <f t="shared" si="488"/>
        <v>0</v>
      </c>
      <c r="AE1740" s="1487">
        <v>0</v>
      </c>
      <c r="AF1740" s="1145">
        <f t="shared" si="497"/>
        <v>0</v>
      </c>
      <c r="AG1740" s="1149">
        <f>IFERROR(VLOOKUP(CONCATENATE($L1740,$N1740),'Drop List'!$G$23:$K$87,2,FALSE),0)</f>
        <v>0</v>
      </c>
      <c r="AH1740" s="1150">
        <f>IFERROR(VLOOKUP(CONCATENATE($L1740,$N1740),'Drop List'!$G$23:$K$87,3,FALSE),0)</f>
        <v>0</v>
      </c>
      <c r="AI1740" s="1150">
        <f>IFERROR(VLOOKUP(CONCATENATE($L1740,$N1740),'Drop List'!$G$23:$K$87,4,FALSE),0)</f>
        <v>0</v>
      </c>
      <c r="AJ1740" s="1151">
        <f>IFERROR(VLOOKUP(CONCATENATE($L1740,$N1740),'Drop List'!$G$23:$K$87,5,FALSE),0)</f>
        <v>0</v>
      </c>
      <c r="AK1740" s="1152">
        <f t="shared" si="498"/>
        <v>0</v>
      </c>
      <c r="AL1740" s="1153">
        <f t="shared" si="499"/>
        <v>0</v>
      </c>
      <c r="AM1740" s="1153">
        <f t="shared" si="500"/>
        <v>0</v>
      </c>
      <c r="AN1740" s="1145">
        <f t="shared" si="501"/>
        <v>0</v>
      </c>
      <c r="AO1740" s="1154">
        <f t="shared" si="486"/>
        <v>0</v>
      </c>
      <c r="AP1740" s="1147">
        <f t="shared" si="489"/>
        <v>0</v>
      </c>
      <c r="AQ1740" s="1144">
        <f t="shared" si="490"/>
        <v>0</v>
      </c>
      <c r="AR1740" s="1146">
        <f t="shared" si="491"/>
        <v>0</v>
      </c>
    </row>
    <row r="1741" spans="1:44" x14ac:dyDescent="0.2">
      <c r="A1741" s="1141" t="str">
        <f t="shared" si="485"/>
        <v/>
      </c>
      <c r="B1741" s="1141" t="str">
        <f>IFERROR(VLOOKUP(A1741,'LAC 103'!A:C,3,FALSE),"")</f>
        <v/>
      </c>
      <c r="C1741" s="1478" t="str">
        <f>Info!$B$8</f>
        <v>00100</v>
      </c>
      <c r="D1741" s="1474"/>
      <c r="E1741" s="1474"/>
      <c r="F1741" s="1478"/>
      <c r="G1741" s="1478"/>
      <c r="H1741" s="1474"/>
      <c r="I1741" s="1478"/>
      <c r="J1741" s="1478"/>
      <c r="K1741" s="1475"/>
      <c r="L1741" s="1474"/>
      <c r="M1741" s="1476"/>
      <c r="N1741" s="1477"/>
      <c r="O1741" s="1479"/>
      <c r="P1741" s="1479"/>
      <c r="Q1741" s="1142">
        <f t="shared" si="487"/>
        <v>0</v>
      </c>
      <c r="R1741" s="1143">
        <f>IFERROR(VLOOKUP(CONCATENATE($E1741,$G1741),'LAC 103'!$A$12:$O$95,11,FALSE),0)</f>
        <v>0</v>
      </c>
      <c r="S1741" s="1144">
        <f>IFERROR(VLOOKUP(CONCATENATE($E1741,$G1741),'LAC 103'!$A$12:$O$95,12,FALSE),0)</f>
        <v>0</v>
      </c>
      <c r="T1741" s="1144">
        <f>IFERROR(VLOOKUP(CONCATENATE($E1741,$G1741),'LAC 103'!$A$12:$O$95,13,FALSE),0)</f>
        <v>0</v>
      </c>
      <c r="U1741" s="1144">
        <f>IFERROR(VLOOKUP(CONCATENATE($E1741,$G1741),'LAC 103'!$A$12:$O$95,14,FALSE),0)</f>
        <v>0</v>
      </c>
      <c r="V1741" s="1144">
        <f>IFERROR(VLOOKUP(CONCATENATE($E1741,$G1741),'LAC 103'!$A$12:$O$95,15,FALSE),0)</f>
        <v>0</v>
      </c>
      <c r="W1741" s="1145" t="str">
        <f>IFERROR(VLOOKUP(CONCATENATE($B1741,$N1741),'LAC 103'!$AI:$AQ,9,FALSE),"")</f>
        <v/>
      </c>
      <c r="X1741" s="1146">
        <f t="shared" si="492"/>
        <v>0</v>
      </c>
      <c r="Y1741" s="1143">
        <f t="shared" si="502"/>
        <v>0</v>
      </c>
      <c r="Z1741" s="1147">
        <f t="shared" si="493"/>
        <v>0</v>
      </c>
      <c r="AA1741" s="1144">
        <f t="shared" si="494"/>
        <v>0</v>
      </c>
      <c r="AB1741" s="1144">
        <f t="shared" si="495"/>
        <v>0</v>
      </c>
      <c r="AC1741" s="1144">
        <f t="shared" si="496"/>
        <v>0</v>
      </c>
      <c r="AD1741" s="1148">
        <f t="shared" si="488"/>
        <v>0</v>
      </c>
      <c r="AE1741" s="1487">
        <v>0</v>
      </c>
      <c r="AF1741" s="1145">
        <f t="shared" si="497"/>
        <v>0</v>
      </c>
      <c r="AG1741" s="1149">
        <f>IFERROR(VLOOKUP(CONCATENATE($L1741,$N1741),'Drop List'!$G$23:$K$87,2,FALSE),0)</f>
        <v>0</v>
      </c>
      <c r="AH1741" s="1150">
        <f>IFERROR(VLOOKUP(CONCATENATE($L1741,$N1741),'Drop List'!$G$23:$K$87,3,FALSE),0)</f>
        <v>0</v>
      </c>
      <c r="AI1741" s="1150">
        <f>IFERROR(VLOOKUP(CONCATENATE($L1741,$N1741),'Drop List'!$G$23:$K$87,4,FALSE),0)</f>
        <v>0</v>
      </c>
      <c r="AJ1741" s="1151">
        <f>IFERROR(VLOOKUP(CONCATENATE($L1741,$N1741),'Drop List'!$G$23:$K$87,5,FALSE),0)</f>
        <v>0</v>
      </c>
      <c r="AK1741" s="1152">
        <f t="shared" si="498"/>
        <v>0</v>
      </c>
      <c r="AL1741" s="1153">
        <f t="shared" si="499"/>
        <v>0</v>
      </c>
      <c r="AM1741" s="1153">
        <f t="shared" si="500"/>
        <v>0</v>
      </c>
      <c r="AN1741" s="1145">
        <f t="shared" si="501"/>
        <v>0</v>
      </c>
      <c r="AO1741" s="1154">
        <f t="shared" si="486"/>
        <v>0</v>
      </c>
      <c r="AP1741" s="1147">
        <f t="shared" si="489"/>
        <v>0</v>
      </c>
      <c r="AQ1741" s="1144">
        <f t="shared" si="490"/>
        <v>0</v>
      </c>
      <c r="AR1741" s="1146">
        <f t="shared" si="491"/>
        <v>0</v>
      </c>
    </row>
    <row r="1742" spans="1:44" x14ac:dyDescent="0.2">
      <c r="A1742" s="1141" t="str">
        <f t="shared" si="485"/>
        <v/>
      </c>
      <c r="B1742" s="1141" t="str">
        <f>IFERROR(VLOOKUP(A1742,'LAC 103'!A:C,3,FALSE),"")</f>
        <v/>
      </c>
      <c r="C1742" s="1478" t="str">
        <f>Info!$B$8</f>
        <v>00100</v>
      </c>
      <c r="D1742" s="1474"/>
      <c r="E1742" s="1474"/>
      <c r="F1742" s="1478"/>
      <c r="G1742" s="1478"/>
      <c r="H1742" s="1474"/>
      <c r="I1742" s="1478"/>
      <c r="J1742" s="1478"/>
      <c r="K1742" s="1475"/>
      <c r="L1742" s="1474"/>
      <c r="M1742" s="1476"/>
      <c r="N1742" s="1477"/>
      <c r="O1742" s="1479"/>
      <c r="P1742" s="1479"/>
      <c r="Q1742" s="1142">
        <f t="shared" si="487"/>
        <v>0</v>
      </c>
      <c r="R1742" s="1143">
        <f>IFERROR(VLOOKUP(CONCATENATE($E1742,$G1742),'LAC 103'!$A$12:$O$95,11,FALSE),0)</f>
        <v>0</v>
      </c>
      <c r="S1742" s="1144">
        <f>IFERROR(VLOOKUP(CONCATENATE($E1742,$G1742),'LAC 103'!$A$12:$O$95,12,FALSE),0)</f>
        <v>0</v>
      </c>
      <c r="T1742" s="1144">
        <f>IFERROR(VLOOKUP(CONCATENATE($E1742,$G1742),'LAC 103'!$A$12:$O$95,13,FALSE),0)</f>
        <v>0</v>
      </c>
      <c r="U1742" s="1144">
        <f>IFERROR(VLOOKUP(CONCATENATE($E1742,$G1742),'LAC 103'!$A$12:$O$95,14,FALSE),0)</f>
        <v>0</v>
      </c>
      <c r="V1742" s="1144">
        <f>IFERROR(VLOOKUP(CONCATENATE($E1742,$G1742),'LAC 103'!$A$12:$O$95,15,FALSE),0)</f>
        <v>0</v>
      </c>
      <c r="W1742" s="1145" t="str">
        <f>IFERROR(VLOOKUP(CONCATENATE($B1742,$N1742),'LAC 103'!$AI:$AQ,9,FALSE),"")</f>
        <v/>
      </c>
      <c r="X1742" s="1146">
        <f t="shared" si="492"/>
        <v>0</v>
      </c>
      <c r="Y1742" s="1143">
        <f t="shared" si="502"/>
        <v>0</v>
      </c>
      <c r="Z1742" s="1147">
        <f t="shared" si="493"/>
        <v>0</v>
      </c>
      <c r="AA1742" s="1144">
        <f t="shared" si="494"/>
        <v>0</v>
      </c>
      <c r="AB1742" s="1144">
        <f t="shared" si="495"/>
        <v>0</v>
      </c>
      <c r="AC1742" s="1144">
        <f t="shared" si="496"/>
        <v>0</v>
      </c>
      <c r="AD1742" s="1148">
        <f t="shared" si="488"/>
        <v>0</v>
      </c>
      <c r="AE1742" s="1487">
        <v>0</v>
      </c>
      <c r="AF1742" s="1145">
        <f t="shared" si="497"/>
        <v>0</v>
      </c>
      <c r="AG1742" s="1149">
        <f>IFERROR(VLOOKUP(CONCATENATE($L1742,$N1742),'Drop List'!$G$23:$K$87,2,FALSE),0)</f>
        <v>0</v>
      </c>
      <c r="AH1742" s="1150">
        <f>IFERROR(VLOOKUP(CONCATENATE($L1742,$N1742),'Drop List'!$G$23:$K$87,3,FALSE),0)</f>
        <v>0</v>
      </c>
      <c r="AI1742" s="1150">
        <f>IFERROR(VLOOKUP(CONCATENATE($L1742,$N1742),'Drop List'!$G$23:$K$87,4,FALSE),0)</f>
        <v>0</v>
      </c>
      <c r="AJ1742" s="1151">
        <f>IFERROR(VLOOKUP(CONCATENATE($L1742,$N1742),'Drop List'!$G$23:$K$87,5,FALSE),0)</f>
        <v>0</v>
      </c>
      <c r="AK1742" s="1152">
        <f t="shared" si="498"/>
        <v>0</v>
      </c>
      <c r="AL1742" s="1153">
        <f t="shared" si="499"/>
        <v>0</v>
      </c>
      <c r="AM1742" s="1153">
        <f t="shared" si="500"/>
        <v>0</v>
      </c>
      <c r="AN1742" s="1145">
        <f t="shared" si="501"/>
        <v>0</v>
      </c>
      <c r="AO1742" s="1154">
        <f t="shared" si="486"/>
        <v>0</v>
      </c>
      <c r="AP1742" s="1147">
        <f t="shared" si="489"/>
        <v>0</v>
      </c>
      <c r="AQ1742" s="1144">
        <f t="shared" si="490"/>
        <v>0</v>
      </c>
      <c r="AR1742" s="1146">
        <f t="shared" si="491"/>
        <v>0</v>
      </c>
    </row>
    <row r="1743" spans="1:44" x14ac:dyDescent="0.2">
      <c r="A1743" s="1141" t="str">
        <f t="shared" si="485"/>
        <v/>
      </c>
      <c r="B1743" s="1141" t="str">
        <f>IFERROR(VLOOKUP(A1743,'LAC 103'!A:C,3,FALSE),"")</f>
        <v/>
      </c>
      <c r="C1743" s="1478" t="str">
        <f>Info!$B$8</f>
        <v>00100</v>
      </c>
      <c r="D1743" s="1474"/>
      <c r="E1743" s="1474"/>
      <c r="F1743" s="1478"/>
      <c r="G1743" s="1478"/>
      <c r="H1743" s="1474"/>
      <c r="I1743" s="1478"/>
      <c r="J1743" s="1478"/>
      <c r="K1743" s="1475"/>
      <c r="L1743" s="1474"/>
      <c r="M1743" s="1476"/>
      <c r="N1743" s="1477"/>
      <c r="O1743" s="1479"/>
      <c r="P1743" s="1479"/>
      <c r="Q1743" s="1142">
        <f t="shared" si="487"/>
        <v>0</v>
      </c>
      <c r="R1743" s="1143">
        <f>IFERROR(VLOOKUP(CONCATENATE($E1743,$G1743),'LAC 103'!$A$12:$O$95,11,FALSE),0)</f>
        <v>0</v>
      </c>
      <c r="S1743" s="1144">
        <f>IFERROR(VLOOKUP(CONCATENATE($E1743,$G1743),'LAC 103'!$A$12:$O$95,12,FALSE),0)</f>
        <v>0</v>
      </c>
      <c r="T1743" s="1144">
        <f>IFERROR(VLOOKUP(CONCATENATE($E1743,$G1743),'LAC 103'!$A$12:$O$95,13,FALSE),0)</f>
        <v>0</v>
      </c>
      <c r="U1743" s="1144">
        <f>IFERROR(VLOOKUP(CONCATENATE($E1743,$G1743),'LAC 103'!$A$12:$O$95,14,FALSE),0)</f>
        <v>0</v>
      </c>
      <c r="V1743" s="1144">
        <f>IFERROR(VLOOKUP(CONCATENATE($E1743,$G1743),'LAC 103'!$A$12:$O$95,15,FALSE),0)</f>
        <v>0</v>
      </c>
      <c r="W1743" s="1145" t="str">
        <f>IFERROR(VLOOKUP(CONCATENATE($B1743,$N1743),'LAC 103'!$AI:$AQ,9,FALSE),"")</f>
        <v/>
      </c>
      <c r="X1743" s="1146">
        <f t="shared" si="492"/>
        <v>0</v>
      </c>
      <c r="Y1743" s="1143">
        <f t="shared" si="502"/>
        <v>0</v>
      </c>
      <c r="Z1743" s="1147">
        <f t="shared" si="493"/>
        <v>0</v>
      </c>
      <c r="AA1743" s="1144">
        <f t="shared" si="494"/>
        <v>0</v>
      </c>
      <c r="AB1743" s="1144">
        <f t="shared" si="495"/>
        <v>0</v>
      </c>
      <c r="AC1743" s="1144">
        <f t="shared" si="496"/>
        <v>0</v>
      </c>
      <c r="AD1743" s="1148">
        <f t="shared" si="488"/>
        <v>0</v>
      </c>
      <c r="AE1743" s="1487">
        <v>0</v>
      </c>
      <c r="AF1743" s="1145">
        <f t="shared" si="497"/>
        <v>0</v>
      </c>
      <c r="AG1743" s="1149">
        <f>IFERROR(VLOOKUP(CONCATENATE($L1743,$N1743),'Drop List'!$G$23:$K$87,2,FALSE),0)</f>
        <v>0</v>
      </c>
      <c r="AH1743" s="1150">
        <f>IFERROR(VLOOKUP(CONCATENATE($L1743,$N1743),'Drop List'!$G$23:$K$87,3,FALSE),0)</f>
        <v>0</v>
      </c>
      <c r="AI1743" s="1150">
        <f>IFERROR(VLOOKUP(CONCATENATE($L1743,$N1743),'Drop List'!$G$23:$K$87,4,FALSE),0)</f>
        <v>0</v>
      </c>
      <c r="AJ1743" s="1151">
        <f>IFERROR(VLOOKUP(CONCATENATE($L1743,$N1743),'Drop List'!$G$23:$K$87,5,FALSE),0)</f>
        <v>0</v>
      </c>
      <c r="AK1743" s="1152">
        <f t="shared" si="498"/>
        <v>0</v>
      </c>
      <c r="AL1743" s="1153">
        <f t="shared" si="499"/>
        <v>0</v>
      </c>
      <c r="AM1743" s="1153">
        <f t="shared" si="500"/>
        <v>0</v>
      </c>
      <c r="AN1743" s="1145">
        <f t="shared" si="501"/>
        <v>0</v>
      </c>
      <c r="AO1743" s="1154">
        <f t="shared" si="486"/>
        <v>0</v>
      </c>
      <c r="AP1743" s="1147">
        <f t="shared" si="489"/>
        <v>0</v>
      </c>
      <c r="AQ1743" s="1144">
        <f t="shared" si="490"/>
        <v>0</v>
      </c>
      <c r="AR1743" s="1146">
        <f t="shared" si="491"/>
        <v>0</v>
      </c>
    </row>
    <row r="1744" spans="1:44" x14ac:dyDescent="0.2">
      <c r="A1744" s="1141" t="str">
        <f t="shared" si="485"/>
        <v/>
      </c>
      <c r="B1744" s="1141" t="str">
        <f>IFERROR(VLOOKUP(A1744,'LAC 103'!A:C,3,FALSE),"")</f>
        <v/>
      </c>
      <c r="C1744" s="1478" t="str">
        <f>Info!$B$8</f>
        <v>00100</v>
      </c>
      <c r="D1744" s="1474"/>
      <c r="E1744" s="1474"/>
      <c r="F1744" s="1478"/>
      <c r="G1744" s="1478"/>
      <c r="H1744" s="1474"/>
      <c r="I1744" s="1478"/>
      <c r="J1744" s="1478"/>
      <c r="K1744" s="1475"/>
      <c r="L1744" s="1474"/>
      <c r="M1744" s="1476"/>
      <c r="N1744" s="1477"/>
      <c r="O1744" s="1479"/>
      <c r="P1744" s="1479"/>
      <c r="Q1744" s="1142">
        <f t="shared" si="487"/>
        <v>0</v>
      </c>
      <c r="R1744" s="1143">
        <f>IFERROR(VLOOKUP(CONCATENATE($E1744,$G1744),'LAC 103'!$A$12:$O$95,11,FALSE),0)</f>
        <v>0</v>
      </c>
      <c r="S1744" s="1144">
        <f>IFERROR(VLOOKUP(CONCATENATE($E1744,$G1744),'LAC 103'!$A$12:$O$95,12,FALSE),0)</f>
        <v>0</v>
      </c>
      <c r="T1744" s="1144">
        <f>IFERROR(VLOOKUP(CONCATENATE($E1744,$G1744),'LAC 103'!$A$12:$O$95,13,FALSE),0)</f>
        <v>0</v>
      </c>
      <c r="U1744" s="1144">
        <f>IFERROR(VLOOKUP(CONCATENATE($E1744,$G1744),'LAC 103'!$A$12:$O$95,14,FALSE),0)</f>
        <v>0</v>
      </c>
      <c r="V1744" s="1144">
        <f>IFERROR(VLOOKUP(CONCATENATE($E1744,$G1744),'LAC 103'!$A$12:$O$95,15,FALSE),0)</f>
        <v>0</v>
      </c>
      <c r="W1744" s="1145" t="str">
        <f>IFERROR(VLOOKUP(CONCATENATE($B1744,$N1744),'LAC 103'!$AI:$AQ,9,FALSE),"")</f>
        <v/>
      </c>
      <c r="X1744" s="1146">
        <f t="shared" si="492"/>
        <v>0</v>
      </c>
      <c r="Y1744" s="1143">
        <f t="shared" si="502"/>
        <v>0</v>
      </c>
      <c r="Z1744" s="1147">
        <f t="shared" si="493"/>
        <v>0</v>
      </c>
      <c r="AA1744" s="1144">
        <f t="shared" si="494"/>
        <v>0</v>
      </c>
      <c r="AB1744" s="1144">
        <f t="shared" si="495"/>
        <v>0</v>
      </c>
      <c r="AC1744" s="1144">
        <f t="shared" si="496"/>
        <v>0</v>
      </c>
      <c r="AD1744" s="1148">
        <f t="shared" si="488"/>
        <v>0</v>
      </c>
      <c r="AE1744" s="1487">
        <v>0</v>
      </c>
      <c r="AF1744" s="1145">
        <f t="shared" si="497"/>
        <v>0</v>
      </c>
      <c r="AG1744" s="1149">
        <f>IFERROR(VLOOKUP(CONCATENATE($L1744,$N1744),'Drop List'!$G$23:$K$87,2,FALSE),0)</f>
        <v>0</v>
      </c>
      <c r="AH1744" s="1150">
        <f>IFERROR(VLOOKUP(CONCATENATE($L1744,$N1744),'Drop List'!$G$23:$K$87,3,FALSE),0)</f>
        <v>0</v>
      </c>
      <c r="AI1744" s="1150">
        <f>IFERROR(VLOOKUP(CONCATENATE($L1744,$N1744),'Drop List'!$G$23:$K$87,4,FALSE),0)</f>
        <v>0</v>
      </c>
      <c r="AJ1744" s="1151">
        <f>IFERROR(VLOOKUP(CONCATENATE($L1744,$N1744),'Drop List'!$G$23:$K$87,5,FALSE),0)</f>
        <v>0</v>
      </c>
      <c r="AK1744" s="1152">
        <f t="shared" si="498"/>
        <v>0</v>
      </c>
      <c r="AL1744" s="1153">
        <f t="shared" si="499"/>
        <v>0</v>
      </c>
      <c r="AM1744" s="1153">
        <f t="shared" si="500"/>
        <v>0</v>
      </c>
      <c r="AN1744" s="1145">
        <f t="shared" si="501"/>
        <v>0</v>
      </c>
      <c r="AO1744" s="1154">
        <f t="shared" si="486"/>
        <v>0</v>
      </c>
      <c r="AP1744" s="1147">
        <f t="shared" si="489"/>
        <v>0</v>
      </c>
      <c r="AQ1744" s="1144">
        <f t="shared" si="490"/>
        <v>0</v>
      </c>
      <c r="AR1744" s="1146">
        <f t="shared" si="491"/>
        <v>0</v>
      </c>
    </row>
    <row r="1745" spans="1:44" x14ac:dyDescent="0.2">
      <c r="A1745" s="1141" t="str">
        <f t="shared" si="485"/>
        <v/>
      </c>
      <c r="B1745" s="1141" t="str">
        <f>IFERROR(VLOOKUP(A1745,'LAC 103'!A:C,3,FALSE),"")</f>
        <v/>
      </c>
      <c r="C1745" s="1478" t="str">
        <f>Info!$B$8</f>
        <v>00100</v>
      </c>
      <c r="D1745" s="1474"/>
      <c r="E1745" s="1474"/>
      <c r="F1745" s="1478"/>
      <c r="G1745" s="1478"/>
      <c r="H1745" s="1474"/>
      <c r="I1745" s="1478"/>
      <c r="J1745" s="1478"/>
      <c r="K1745" s="1475"/>
      <c r="L1745" s="1474"/>
      <c r="M1745" s="1476"/>
      <c r="N1745" s="1477"/>
      <c r="O1745" s="1479"/>
      <c r="P1745" s="1479"/>
      <c r="Q1745" s="1142">
        <f t="shared" si="487"/>
        <v>0</v>
      </c>
      <c r="R1745" s="1143">
        <f>IFERROR(VLOOKUP(CONCATENATE($E1745,$G1745),'LAC 103'!$A$12:$O$95,11,FALSE),0)</f>
        <v>0</v>
      </c>
      <c r="S1745" s="1144">
        <f>IFERROR(VLOOKUP(CONCATENATE($E1745,$G1745),'LAC 103'!$A$12:$O$95,12,FALSE),0)</f>
        <v>0</v>
      </c>
      <c r="T1745" s="1144">
        <f>IFERROR(VLOOKUP(CONCATENATE($E1745,$G1745),'LAC 103'!$A$12:$O$95,13,FALSE),0)</f>
        <v>0</v>
      </c>
      <c r="U1745" s="1144">
        <f>IFERROR(VLOOKUP(CONCATENATE($E1745,$G1745),'LAC 103'!$A$12:$O$95,14,FALSE),0)</f>
        <v>0</v>
      </c>
      <c r="V1745" s="1144">
        <f>IFERROR(VLOOKUP(CONCATENATE($E1745,$G1745),'LAC 103'!$A$12:$O$95,15,FALSE),0)</f>
        <v>0</v>
      </c>
      <c r="W1745" s="1145" t="str">
        <f>IFERROR(VLOOKUP(CONCATENATE($B1745,$N1745),'LAC 103'!$AI:$AQ,9,FALSE),"")</f>
        <v/>
      </c>
      <c r="X1745" s="1146">
        <f t="shared" si="492"/>
        <v>0</v>
      </c>
      <c r="Y1745" s="1143">
        <f t="shared" si="502"/>
        <v>0</v>
      </c>
      <c r="Z1745" s="1147">
        <f t="shared" si="493"/>
        <v>0</v>
      </c>
      <c r="AA1745" s="1144">
        <f t="shared" si="494"/>
        <v>0</v>
      </c>
      <c r="AB1745" s="1144">
        <f t="shared" si="495"/>
        <v>0</v>
      </c>
      <c r="AC1745" s="1144">
        <f t="shared" si="496"/>
        <v>0</v>
      </c>
      <c r="AD1745" s="1148">
        <f t="shared" si="488"/>
        <v>0</v>
      </c>
      <c r="AE1745" s="1487">
        <v>0</v>
      </c>
      <c r="AF1745" s="1145">
        <f t="shared" si="497"/>
        <v>0</v>
      </c>
      <c r="AG1745" s="1149">
        <f>IFERROR(VLOOKUP(CONCATENATE($L1745,$N1745),'Drop List'!$G$23:$K$87,2,FALSE),0)</f>
        <v>0</v>
      </c>
      <c r="AH1745" s="1150">
        <f>IFERROR(VLOOKUP(CONCATENATE($L1745,$N1745),'Drop List'!$G$23:$K$87,3,FALSE),0)</f>
        <v>0</v>
      </c>
      <c r="AI1745" s="1150">
        <f>IFERROR(VLOOKUP(CONCATENATE($L1745,$N1745),'Drop List'!$G$23:$K$87,4,FALSE),0)</f>
        <v>0</v>
      </c>
      <c r="AJ1745" s="1151">
        <f>IFERROR(VLOOKUP(CONCATENATE($L1745,$N1745),'Drop List'!$G$23:$K$87,5,FALSE),0)</f>
        <v>0</v>
      </c>
      <c r="AK1745" s="1152">
        <f t="shared" si="498"/>
        <v>0</v>
      </c>
      <c r="AL1745" s="1153">
        <f t="shared" si="499"/>
        <v>0</v>
      </c>
      <c r="AM1745" s="1153">
        <f t="shared" si="500"/>
        <v>0</v>
      </c>
      <c r="AN1745" s="1145">
        <f t="shared" si="501"/>
        <v>0</v>
      </c>
      <c r="AO1745" s="1154">
        <f t="shared" si="486"/>
        <v>0</v>
      </c>
      <c r="AP1745" s="1147">
        <f t="shared" si="489"/>
        <v>0</v>
      </c>
      <c r="AQ1745" s="1144">
        <f t="shared" si="490"/>
        <v>0</v>
      </c>
      <c r="AR1745" s="1146">
        <f t="shared" si="491"/>
        <v>0</v>
      </c>
    </row>
    <row r="1746" spans="1:44" x14ac:dyDescent="0.2">
      <c r="A1746" s="1141" t="str">
        <f t="shared" si="485"/>
        <v/>
      </c>
      <c r="B1746" s="1141" t="str">
        <f>IFERROR(VLOOKUP(A1746,'LAC 103'!A:C,3,FALSE),"")</f>
        <v/>
      </c>
      <c r="C1746" s="1478" t="str">
        <f>Info!$B$8</f>
        <v>00100</v>
      </c>
      <c r="D1746" s="1474"/>
      <c r="E1746" s="1474"/>
      <c r="F1746" s="1478"/>
      <c r="G1746" s="1478"/>
      <c r="H1746" s="1474"/>
      <c r="I1746" s="1478"/>
      <c r="J1746" s="1478"/>
      <c r="K1746" s="1475"/>
      <c r="L1746" s="1474"/>
      <c r="M1746" s="1476"/>
      <c r="N1746" s="1477"/>
      <c r="O1746" s="1479"/>
      <c r="P1746" s="1479"/>
      <c r="Q1746" s="1142">
        <f t="shared" si="487"/>
        <v>0</v>
      </c>
      <c r="R1746" s="1143">
        <f>IFERROR(VLOOKUP(CONCATENATE($E1746,$G1746),'LAC 103'!$A$12:$O$95,11,FALSE),0)</f>
        <v>0</v>
      </c>
      <c r="S1746" s="1144">
        <f>IFERROR(VLOOKUP(CONCATENATE($E1746,$G1746),'LAC 103'!$A$12:$O$95,12,FALSE),0)</f>
        <v>0</v>
      </c>
      <c r="T1746" s="1144">
        <f>IFERROR(VLOOKUP(CONCATENATE($E1746,$G1746),'LAC 103'!$A$12:$O$95,13,FALSE),0)</f>
        <v>0</v>
      </c>
      <c r="U1746" s="1144">
        <f>IFERROR(VLOOKUP(CONCATENATE($E1746,$G1746),'LAC 103'!$A$12:$O$95,14,FALSE),0)</f>
        <v>0</v>
      </c>
      <c r="V1746" s="1144">
        <f>IFERROR(VLOOKUP(CONCATENATE($E1746,$G1746),'LAC 103'!$A$12:$O$95,15,FALSE),0)</f>
        <v>0</v>
      </c>
      <c r="W1746" s="1145" t="str">
        <f>IFERROR(VLOOKUP(CONCATENATE($B1746,$N1746),'LAC 103'!$AI:$AQ,9,FALSE),"")</f>
        <v/>
      </c>
      <c r="X1746" s="1146">
        <f t="shared" si="492"/>
        <v>0</v>
      </c>
      <c r="Y1746" s="1143">
        <f t="shared" si="502"/>
        <v>0</v>
      </c>
      <c r="Z1746" s="1147">
        <f t="shared" si="493"/>
        <v>0</v>
      </c>
      <c r="AA1746" s="1144">
        <f t="shared" si="494"/>
        <v>0</v>
      </c>
      <c r="AB1746" s="1144">
        <f t="shared" si="495"/>
        <v>0</v>
      </c>
      <c r="AC1746" s="1144">
        <f t="shared" si="496"/>
        <v>0</v>
      </c>
      <c r="AD1746" s="1148">
        <f t="shared" si="488"/>
        <v>0</v>
      </c>
      <c r="AE1746" s="1487">
        <v>0</v>
      </c>
      <c r="AF1746" s="1145">
        <f t="shared" si="497"/>
        <v>0</v>
      </c>
      <c r="AG1746" s="1149">
        <f>IFERROR(VLOOKUP(CONCATENATE($L1746,$N1746),'Drop List'!$G$23:$K$87,2,FALSE),0)</f>
        <v>0</v>
      </c>
      <c r="AH1746" s="1150">
        <f>IFERROR(VLOOKUP(CONCATENATE($L1746,$N1746),'Drop List'!$G$23:$K$87,3,FALSE),0)</f>
        <v>0</v>
      </c>
      <c r="AI1746" s="1150">
        <f>IFERROR(VLOOKUP(CONCATENATE($L1746,$N1746),'Drop List'!$G$23:$K$87,4,FALSE),0)</f>
        <v>0</v>
      </c>
      <c r="AJ1746" s="1151">
        <f>IFERROR(VLOOKUP(CONCATENATE($L1746,$N1746),'Drop List'!$G$23:$K$87,5,FALSE),0)</f>
        <v>0</v>
      </c>
      <c r="AK1746" s="1152">
        <f t="shared" si="498"/>
        <v>0</v>
      </c>
      <c r="AL1746" s="1153">
        <f t="shared" si="499"/>
        <v>0</v>
      </c>
      <c r="AM1746" s="1153">
        <f t="shared" si="500"/>
        <v>0</v>
      </c>
      <c r="AN1746" s="1145">
        <f t="shared" si="501"/>
        <v>0</v>
      </c>
      <c r="AO1746" s="1154">
        <f t="shared" si="486"/>
        <v>0</v>
      </c>
      <c r="AP1746" s="1147">
        <f t="shared" si="489"/>
        <v>0</v>
      </c>
      <c r="AQ1746" s="1144">
        <f t="shared" si="490"/>
        <v>0</v>
      </c>
      <c r="AR1746" s="1146">
        <f t="shared" si="491"/>
        <v>0</v>
      </c>
    </row>
    <row r="1747" spans="1:44" x14ac:dyDescent="0.2">
      <c r="A1747" s="1141" t="str">
        <f t="shared" si="485"/>
        <v/>
      </c>
      <c r="B1747" s="1141" t="str">
        <f>IFERROR(VLOOKUP(A1747,'LAC 103'!A:C,3,FALSE),"")</f>
        <v/>
      </c>
      <c r="C1747" s="1478" t="str">
        <f>Info!$B$8</f>
        <v>00100</v>
      </c>
      <c r="D1747" s="1474"/>
      <c r="E1747" s="1474"/>
      <c r="F1747" s="1478"/>
      <c r="G1747" s="1478"/>
      <c r="H1747" s="1474"/>
      <c r="I1747" s="1478"/>
      <c r="J1747" s="1478"/>
      <c r="K1747" s="1475"/>
      <c r="L1747" s="1474"/>
      <c r="M1747" s="1476"/>
      <c r="N1747" s="1477"/>
      <c r="O1747" s="1479"/>
      <c r="P1747" s="1479"/>
      <c r="Q1747" s="1142">
        <f t="shared" si="487"/>
        <v>0</v>
      </c>
      <c r="R1747" s="1143">
        <f>IFERROR(VLOOKUP(CONCATENATE($E1747,$G1747),'LAC 103'!$A$12:$O$95,11,FALSE),0)</f>
        <v>0</v>
      </c>
      <c r="S1747" s="1144">
        <f>IFERROR(VLOOKUP(CONCATENATE($E1747,$G1747),'LAC 103'!$A$12:$O$95,12,FALSE),0)</f>
        <v>0</v>
      </c>
      <c r="T1747" s="1144">
        <f>IFERROR(VLOOKUP(CONCATENATE($E1747,$G1747),'LAC 103'!$A$12:$O$95,13,FALSE),0)</f>
        <v>0</v>
      </c>
      <c r="U1747" s="1144">
        <f>IFERROR(VLOOKUP(CONCATENATE($E1747,$G1747),'LAC 103'!$A$12:$O$95,14,FALSE),0)</f>
        <v>0</v>
      </c>
      <c r="V1747" s="1144">
        <f>IFERROR(VLOOKUP(CONCATENATE($E1747,$G1747),'LAC 103'!$A$12:$O$95,15,FALSE),0)</f>
        <v>0</v>
      </c>
      <c r="W1747" s="1145" t="str">
        <f>IFERROR(VLOOKUP(CONCATENATE($B1747,$N1747),'LAC 103'!$AI:$AQ,9,FALSE),"")</f>
        <v/>
      </c>
      <c r="X1747" s="1146">
        <f t="shared" si="492"/>
        <v>0</v>
      </c>
      <c r="Y1747" s="1143">
        <f t="shared" si="502"/>
        <v>0</v>
      </c>
      <c r="Z1747" s="1147">
        <f t="shared" si="493"/>
        <v>0</v>
      </c>
      <c r="AA1747" s="1144">
        <f t="shared" si="494"/>
        <v>0</v>
      </c>
      <c r="AB1747" s="1144">
        <f t="shared" si="495"/>
        <v>0</v>
      </c>
      <c r="AC1747" s="1144">
        <f t="shared" si="496"/>
        <v>0</v>
      </c>
      <c r="AD1747" s="1148">
        <f t="shared" si="488"/>
        <v>0</v>
      </c>
      <c r="AE1747" s="1487">
        <v>0</v>
      </c>
      <c r="AF1747" s="1145">
        <f t="shared" si="497"/>
        <v>0</v>
      </c>
      <c r="AG1747" s="1149">
        <f>IFERROR(VLOOKUP(CONCATENATE($L1747,$N1747),'Drop List'!$G$23:$K$87,2,FALSE),0)</f>
        <v>0</v>
      </c>
      <c r="AH1747" s="1150">
        <f>IFERROR(VLOOKUP(CONCATENATE($L1747,$N1747),'Drop List'!$G$23:$K$87,3,FALSE),0)</f>
        <v>0</v>
      </c>
      <c r="AI1747" s="1150">
        <f>IFERROR(VLOOKUP(CONCATENATE($L1747,$N1747),'Drop List'!$G$23:$K$87,4,FALSE),0)</f>
        <v>0</v>
      </c>
      <c r="AJ1747" s="1151">
        <f>IFERROR(VLOOKUP(CONCATENATE($L1747,$N1747),'Drop List'!$G$23:$K$87,5,FALSE),0)</f>
        <v>0</v>
      </c>
      <c r="AK1747" s="1152">
        <f t="shared" si="498"/>
        <v>0</v>
      </c>
      <c r="AL1747" s="1153">
        <f t="shared" si="499"/>
        <v>0</v>
      </c>
      <c r="AM1747" s="1153">
        <f t="shared" si="500"/>
        <v>0</v>
      </c>
      <c r="AN1747" s="1145">
        <f t="shared" si="501"/>
        <v>0</v>
      </c>
      <c r="AO1747" s="1154">
        <f t="shared" si="486"/>
        <v>0</v>
      </c>
      <c r="AP1747" s="1147">
        <f t="shared" si="489"/>
        <v>0</v>
      </c>
      <c r="AQ1747" s="1144">
        <f t="shared" si="490"/>
        <v>0</v>
      </c>
      <c r="AR1747" s="1146">
        <f t="shared" si="491"/>
        <v>0</v>
      </c>
    </row>
    <row r="1748" spans="1:44" x14ac:dyDescent="0.2">
      <c r="A1748" s="1141" t="str">
        <f t="shared" si="485"/>
        <v/>
      </c>
      <c r="B1748" s="1141" t="str">
        <f>IFERROR(VLOOKUP(A1748,'LAC 103'!A:C,3,FALSE),"")</f>
        <v/>
      </c>
      <c r="C1748" s="1478" t="str">
        <f>Info!$B$8</f>
        <v>00100</v>
      </c>
      <c r="D1748" s="1474"/>
      <c r="E1748" s="1474"/>
      <c r="F1748" s="1478"/>
      <c r="G1748" s="1478"/>
      <c r="H1748" s="1474"/>
      <c r="I1748" s="1478"/>
      <c r="J1748" s="1478"/>
      <c r="K1748" s="1475"/>
      <c r="L1748" s="1474"/>
      <c r="M1748" s="1476"/>
      <c r="N1748" s="1477"/>
      <c r="O1748" s="1479"/>
      <c r="P1748" s="1479"/>
      <c r="Q1748" s="1142">
        <f t="shared" si="487"/>
        <v>0</v>
      </c>
      <c r="R1748" s="1143">
        <f>IFERROR(VLOOKUP(CONCATENATE($E1748,$G1748),'LAC 103'!$A$12:$O$95,11,FALSE),0)</f>
        <v>0</v>
      </c>
      <c r="S1748" s="1144">
        <f>IFERROR(VLOOKUP(CONCATENATE($E1748,$G1748),'LAC 103'!$A$12:$O$95,12,FALSE),0)</f>
        <v>0</v>
      </c>
      <c r="T1748" s="1144">
        <f>IFERROR(VLOOKUP(CONCATENATE($E1748,$G1748),'LAC 103'!$A$12:$O$95,13,FALSE),0)</f>
        <v>0</v>
      </c>
      <c r="U1748" s="1144">
        <f>IFERROR(VLOOKUP(CONCATENATE($E1748,$G1748),'LAC 103'!$A$12:$O$95,14,FALSE),0)</f>
        <v>0</v>
      </c>
      <c r="V1748" s="1144">
        <f>IFERROR(VLOOKUP(CONCATENATE($E1748,$G1748),'LAC 103'!$A$12:$O$95,15,FALSE),0)</f>
        <v>0</v>
      </c>
      <c r="W1748" s="1145" t="str">
        <f>IFERROR(VLOOKUP(CONCATENATE($B1748,$N1748),'LAC 103'!$AI:$AQ,9,FALSE),"")</f>
        <v/>
      </c>
      <c r="X1748" s="1146">
        <f t="shared" si="492"/>
        <v>0</v>
      </c>
      <c r="Y1748" s="1143">
        <f t="shared" si="502"/>
        <v>0</v>
      </c>
      <c r="Z1748" s="1147">
        <f t="shared" si="493"/>
        <v>0</v>
      </c>
      <c r="AA1748" s="1144">
        <f t="shared" si="494"/>
        <v>0</v>
      </c>
      <c r="AB1748" s="1144">
        <f t="shared" si="495"/>
        <v>0</v>
      </c>
      <c r="AC1748" s="1144">
        <f t="shared" si="496"/>
        <v>0</v>
      </c>
      <c r="AD1748" s="1148">
        <f t="shared" si="488"/>
        <v>0</v>
      </c>
      <c r="AE1748" s="1487">
        <v>0</v>
      </c>
      <c r="AF1748" s="1145">
        <f t="shared" si="497"/>
        <v>0</v>
      </c>
      <c r="AG1748" s="1149">
        <f>IFERROR(VLOOKUP(CONCATENATE($L1748,$N1748),'Drop List'!$G$23:$K$87,2,FALSE),0)</f>
        <v>0</v>
      </c>
      <c r="AH1748" s="1150">
        <f>IFERROR(VLOOKUP(CONCATENATE($L1748,$N1748),'Drop List'!$G$23:$K$87,3,FALSE),0)</f>
        <v>0</v>
      </c>
      <c r="AI1748" s="1150">
        <f>IFERROR(VLOOKUP(CONCATENATE($L1748,$N1748),'Drop List'!$G$23:$K$87,4,FALSE),0)</f>
        <v>0</v>
      </c>
      <c r="AJ1748" s="1151">
        <f>IFERROR(VLOOKUP(CONCATENATE($L1748,$N1748),'Drop List'!$G$23:$K$87,5,FALSE),0)</f>
        <v>0</v>
      </c>
      <c r="AK1748" s="1152">
        <f t="shared" si="498"/>
        <v>0</v>
      </c>
      <c r="AL1748" s="1153">
        <f t="shared" si="499"/>
        <v>0</v>
      </c>
      <c r="AM1748" s="1153">
        <f t="shared" si="500"/>
        <v>0</v>
      </c>
      <c r="AN1748" s="1145">
        <f t="shared" si="501"/>
        <v>0</v>
      </c>
      <c r="AO1748" s="1154">
        <f t="shared" si="486"/>
        <v>0</v>
      </c>
      <c r="AP1748" s="1147">
        <f t="shared" si="489"/>
        <v>0</v>
      </c>
      <c r="AQ1748" s="1144">
        <f t="shared" si="490"/>
        <v>0</v>
      </c>
      <c r="AR1748" s="1146">
        <f t="shared" si="491"/>
        <v>0</v>
      </c>
    </row>
    <row r="1749" spans="1:44" x14ac:dyDescent="0.2">
      <c r="A1749" s="1141" t="str">
        <f t="shared" si="485"/>
        <v/>
      </c>
      <c r="B1749" s="1141" t="str">
        <f>IFERROR(VLOOKUP(A1749,'LAC 103'!A:C,3,FALSE),"")</f>
        <v/>
      </c>
      <c r="C1749" s="1478" t="str">
        <f>Info!$B$8</f>
        <v>00100</v>
      </c>
      <c r="D1749" s="1474"/>
      <c r="E1749" s="1474"/>
      <c r="F1749" s="1478"/>
      <c r="G1749" s="1478"/>
      <c r="H1749" s="1474"/>
      <c r="I1749" s="1478"/>
      <c r="J1749" s="1478"/>
      <c r="K1749" s="1475"/>
      <c r="L1749" s="1474"/>
      <c r="M1749" s="1476"/>
      <c r="N1749" s="1477"/>
      <c r="O1749" s="1479"/>
      <c r="P1749" s="1479"/>
      <c r="Q1749" s="1142">
        <f t="shared" si="487"/>
        <v>0</v>
      </c>
      <c r="R1749" s="1143">
        <f>IFERROR(VLOOKUP(CONCATENATE($E1749,$G1749),'LAC 103'!$A$12:$O$95,11,FALSE),0)</f>
        <v>0</v>
      </c>
      <c r="S1749" s="1144">
        <f>IFERROR(VLOOKUP(CONCATENATE($E1749,$G1749),'LAC 103'!$A$12:$O$95,12,FALSE),0)</f>
        <v>0</v>
      </c>
      <c r="T1749" s="1144">
        <f>IFERROR(VLOOKUP(CONCATENATE($E1749,$G1749),'LAC 103'!$A$12:$O$95,13,FALSE),0)</f>
        <v>0</v>
      </c>
      <c r="U1749" s="1144">
        <f>IFERROR(VLOOKUP(CONCATENATE($E1749,$G1749),'LAC 103'!$A$12:$O$95,14,FALSE),0)</f>
        <v>0</v>
      </c>
      <c r="V1749" s="1144">
        <f>IFERROR(VLOOKUP(CONCATENATE($E1749,$G1749),'LAC 103'!$A$12:$O$95,15,FALSE),0)</f>
        <v>0</v>
      </c>
      <c r="W1749" s="1145" t="str">
        <f>IFERROR(VLOOKUP(CONCATENATE($B1749,$N1749),'LAC 103'!$AI:$AQ,9,FALSE),"")</f>
        <v/>
      </c>
      <c r="X1749" s="1146">
        <f t="shared" si="492"/>
        <v>0</v>
      </c>
      <c r="Y1749" s="1143">
        <f t="shared" si="502"/>
        <v>0</v>
      </c>
      <c r="Z1749" s="1147">
        <f t="shared" si="493"/>
        <v>0</v>
      </c>
      <c r="AA1749" s="1144">
        <f t="shared" si="494"/>
        <v>0</v>
      </c>
      <c r="AB1749" s="1144">
        <f t="shared" si="495"/>
        <v>0</v>
      </c>
      <c r="AC1749" s="1144">
        <f t="shared" si="496"/>
        <v>0</v>
      </c>
      <c r="AD1749" s="1148">
        <f t="shared" si="488"/>
        <v>0</v>
      </c>
      <c r="AE1749" s="1487">
        <v>0</v>
      </c>
      <c r="AF1749" s="1145">
        <f t="shared" si="497"/>
        <v>0</v>
      </c>
      <c r="AG1749" s="1149">
        <f>IFERROR(VLOOKUP(CONCATENATE($L1749,$N1749),'Drop List'!$G$23:$K$87,2,FALSE),0)</f>
        <v>0</v>
      </c>
      <c r="AH1749" s="1150">
        <f>IFERROR(VLOOKUP(CONCATENATE($L1749,$N1749),'Drop List'!$G$23:$K$87,3,FALSE),0)</f>
        <v>0</v>
      </c>
      <c r="AI1749" s="1150">
        <f>IFERROR(VLOOKUP(CONCATENATE($L1749,$N1749),'Drop List'!$G$23:$K$87,4,FALSE),0)</f>
        <v>0</v>
      </c>
      <c r="AJ1749" s="1151">
        <f>IFERROR(VLOOKUP(CONCATENATE($L1749,$N1749),'Drop List'!$G$23:$K$87,5,FALSE),0)</f>
        <v>0</v>
      </c>
      <c r="AK1749" s="1152">
        <f t="shared" si="498"/>
        <v>0</v>
      </c>
      <c r="AL1749" s="1153">
        <f t="shared" si="499"/>
        <v>0</v>
      </c>
      <c r="AM1749" s="1153">
        <f t="shared" si="500"/>
        <v>0</v>
      </c>
      <c r="AN1749" s="1145">
        <f t="shared" si="501"/>
        <v>0</v>
      </c>
      <c r="AO1749" s="1154">
        <f t="shared" si="486"/>
        <v>0</v>
      </c>
      <c r="AP1749" s="1147">
        <f t="shared" si="489"/>
        <v>0</v>
      </c>
      <c r="AQ1749" s="1144">
        <f t="shared" si="490"/>
        <v>0</v>
      </c>
      <c r="AR1749" s="1146">
        <f t="shared" si="491"/>
        <v>0</v>
      </c>
    </row>
    <row r="1750" spans="1:44" x14ac:dyDescent="0.2">
      <c r="A1750" s="1141" t="str">
        <f t="shared" ref="A1750:A1813" si="503">IF(CONCATENATE(E1750,G1750)="","",CONCATENATE(E1750,G1750))</f>
        <v/>
      </c>
      <c r="B1750" s="1141" t="str">
        <f>IFERROR(VLOOKUP(A1750,'LAC 103'!A:C,3,FALSE),"")</f>
        <v/>
      </c>
      <c r="C1750" s="1478" t="str">
        <f>Info!$B$8</f>
        <v>00100</v>
      </c>
      <c r="D1750" s="1474"/>
      <c r="E1750" s="1474"/>
      <c r="F1750" s="1478"/>
      <c r="G1750" s="1478"/>
      <c r="H1750" s="1474"/>
      <c r="I1750" s="1478"/>
      <c r="J1750" s="1478"/>
      <c r="K1750" s="1475"/>
      <c r="L1750" s="1474"/>
      <c r="M1750" s="1476"/>
      <c r="N1750" s="1477"/>
      <c r="O1750" s="1479"/>
      <c r="P1750" s="1479"/>
      <c r="Q1750" s="1142">
        <f t="shared" si="487"/>
        <v>0</v>
      </c>
      <c r="R1750" s="1143">
        <f>IFERROR(VLOOKUP(CONCATENATE($E1750,$G1750),'LAC 103'!$A$12:$O$95,11,FALSE),0)</f>
        <v>0</v>
      </c>
      <c r="S1750" s="1144">
        <f>IFERROR(VLOOKUP(CONCATENATE($E1750,$G1750),'LAC 103'!$A$12:$O$95,12,FALSE),0)</f>
        <v>0</v>
      </c>
      <c r="T1750" s="1144">
        <f>IFERROR(VLOOKUP(CONCATENATE($E1750,$G1750),'LAC 103'!$A$12:$O$95,13,FALSE),0)</f>
        <v>0</v>
      </c>
      <c r="U1750" s="1144">
        <f>IFERROR(VLOOKUP(CONCATENATE($E1750,$G1750),'LAC 103'!$A$12:$O$95,14,FALSE),0)</f>
        <v>0</v>
      </c>
      <c r="V1750" s="1144">
        <f>IFERROR(VLOOKUP(CONCATENATE($E1750,$G1750),'LAC 103'!$A$12:$O$95,15,FALSE),0)</f>
        <v>0</v>
      </c>
      <c r="W1750" s="1145" t="str">
        <f>IFERROR(VLOOKUP(CONCATENATE($B1750,$N1750),'LAC 103'!$AI:$AQ,9,FALSE),"")</f>
        <v/>
      </c>
      <c r="X1750" s="1146">
        <f t="shared" si="492"/>
        <v>0</v>
      </c>
      <c r="Y1750" s="1143">
        <f t="shared" si="502"/>
        <v>0</v>
      </c>
      <c r="Z1750" s="1147">
        <f t="shared" si="493"/>
        <v>0</v>
      </c>
      <c r="AA1750" s="1144">
        <f t="shared" si="494"/>
        <v>0</v>
      </c>
      <c r="AB1750" s="1144">
        <f t="shared" si="495"/>
        <v>0</v>
      </c>
      <c r="AC1750" s="1144">
        <f t="shared" si="496"/>
        <v>0</v>
      </c>
      <c r="AD1750" s="1148">
        <f t="shared" si="488"/>
        <v>0</v>
      </c>
      <c r="AE1750" s="1487">
        <v>0</v>
      </c>
      <c r="AF1750" s="1145">
        <f t="shared" si="497"/>
        <v>0</v>
      </c>
      <c r="AG1750" s="1149">
        <f>IFERROR(VLOOKUP(CONCATENATE($L1750,$N1750),'Drop List'!$G$23:$K$87,2,FALSE),0)</f>
        <v>0</v>
      </c>
      <c r="AH1750" s="1150">
        <f>IFERROR(VLOOKUP(CONCATENATE($L1750,$N1750),'Drop List'!$G$23:$K$87,3,FALSE),0)</f>
        <v>0</v>
      </c>
      <c r="AI1750" s="1150">
        <f>IFERROR(VLOOKUP(CONCATENATE($L1750,$N1750),'Drop List'!$G$23:$K$87,4,FALSE),0)</f>
        <v>0</v>
      </c>
      <c r="AJ1750" s="1151">
        <f>IFERROR(VLOOKUP(CONCATENATE($L1750,$N1750),'Drop List'!$G$23:$K$87,5,FALSE),0)</f>
        <v>0</v>
      </c>
      <c r="AK1750" s="1152">
        <f t="shared" si="498"/>
        <v>0</v>
      </c>
      <c r="AL1750" s="1153">
        <f t="shared" si="499"/>
        <v>0</v>
      </c>
      <c r="AM1750" s="1153">
        <f t="shared" si="500"/>
        <v>0</v>
      </c>
      <c r="AN1750" s="1145">
        <f t="shared" si="501"/>
        <v>0</v>
      </c>
      <c r="AO1750" s="1154">
        <f t="shared" si="486"/>
        <v>0</v>
      </c>
      <c r="AP1750" s="1147">
        <f t="shared" si="489"/>
        <v>0</v>
      </c>
      <c r="AQ1750" s="1144">
        <f t="shared" si="490"/>
        <v>0</v>
      </c>
      <c r="AR1750" s="1146">
        <f t="shared" si="491"/>
        <v>0</v>
      </c>
    </row>
    <row r="1751" spans="1:44" x14ac:dyDescent="0.2">
      <c r="A1751" s="1141" t="str">
        <f t="shared" si="503"/>
        <v/>
      </c>
      <c r="B1751" s="1141" t="str">
        <f>IFERROR(VLOOKUP(A1751,'LAC 103'!A:C,3,FALSE),"")</f>
        <v/>
      </c>
      <c r="C1751" s="1478" t="str">
        <f>Info!$B$8</f>
        <v>00100</v>
      </c>
      <c r="D1751" s="1474"/>
      <c r="E1751" s="1474"/>
      <c r="F1751" s="1478"/>
      <c r="G1751" s="1478"/>
      <c r="H1751" s="1474"/>
      <c r="I1751" s="1478"/>
      <c r="J1751" s="1478"/>
      <c r="K1751" s="1475"/>
      <c r="L1751" s="1474"/>
      <c r="M1751" s="1476"/>
      <c r="N1751" s="1477"/>
      <c r="O1751" s="1479"/>
      <c r="P1751" s="1479"/>
      <c r="Q1751" s="1142">
        <f t="shared" si="487"/>
        <v>0</v>
      </c>
      <c r="R1751" s="1143">
        <f>IFERROR(VLOOKUP(CONCATENATE($E1751,$G1751),'LAC 103'!$A$12:$O$95,11,FALSE),0)</f>
        <v>0</v>
      </c>
      <c r="S1751" s="1144">
        <f>IFERROR(VLOOKUP(CONCATENATE($E1751,$G1751),'LAC 103'!$A$12:$O$95,12,FALSE),0)</f>
        <v>0</v>
      </c>
      <c r="T1751" s="1144">
        <f>IFERROR(VLOOKUP(CONCATENATE($E1751,$G1751),'LAC 103'!$A$12:$O$95,13,FALSE),0)</f>
        <v>0</v>
      </c>
      <c r="U1751" s="1144">
        <f>IFERROR(VLOOKUP(CONCATENATE($E1751,$G1751),'LAC 103'!$A$12:$O$95,14,FALSE),0)</f>
        <v>0</v>
      </c>
      <c r="V1751" s="1144">
        <f>IFERROR(VLOOKUP(CONCATENATE($E1751,$G1751),'LAC 103'!$A$12:$O$95,15,FALSE),0)</f>
        <v>0</v>
      </c>
      <c r="W1751" s="1145" t="str">
        <f>IFERROR(VLOOKUP(CONCATENATE($B1751,$N1751),'LAC 103'!$AI:$AQ,9,FALSE),"")</f>
        <v/>
      </c>
      <c r="X1751" s="1146">
        <f t="shared" si="492"/>
        <v>0</v>
      </c>
      <c r="Y1751" s="1143">
        <f t="shared" si="502"/>
        <v>0</v>
      </c>
      <c r="Z1751" s="1147">
        <f t="shared" si="493"/>
        <v>0</v>
      </c>
      <c r="AA1751" s="1144">
        <f t="shared" si="494"/>
        <v>0</v>
      </c>
      <c r="AB1751" s="1144">
        <f t="shared" si="495"/>
        <v>0</v>
      </c>
      <c r="AC1751" s="1144">
        <f t="shared" si="496"/>
        <v>0</v>
      </c>
      <c r="AD1751" s="1148">
        <f t="shared" si="488"/>
        <v>0</v>
      </c>
      <c r="AE1751" s="1487">
        <v>0</v>
      </c>
      <c r="AF1751" s="1145">
        <f t="shared" si="497"/>
        <v>0</v>
      </c>
      <c r="AG1751" s="1149">
        <f>IFERROR(VLOOKUP(CONCATENATE($L1751,$N1751),'Drop List'!$G$23:$K$87,2,FALSE),0)</f>
        <v>0</v>
      </c>
      <c r="AH1751" s="1150">
        <f>IFERROR(VLOOKUP(CONCATENATE($L1751,$N1751),'Drop List'!$G$23:$K$87,3,FALSE),0)</f>
        <v>0</v>
      </c>
      <c r="AI1751" s="1150">
        <f>IFERROR(VLOOKUP(CONCATENATE($L1751,$N1751),'Drop List'!$G$23:$K$87,4,FALSE),0)</f>
        <v>0</v>
      </c>
      <c r="AJ1751" s="1151">
        <f>IFERROR(VLOOKUP(CONCATENATE($L1751,$N1751),'Drop List'!$G$23:$K$87,5,FALSE),0)</f>
        <v>0</v>
      </c>
      <c r="AK1751" s="1152">
        <f t="shared" si="498"/>
        <v>0</v>
      </c>
      <c r="AL1751" s="1153">
        <f t="shared" si="499"/>
        <v>0</v>
      </c>
      <c r="AM1751" s="1153">
        <f t="shared" si="500"/>
        <v>0</v>
      </c>
      <c r="AN1751" s="1145">
        <f t="shared" si="501"/>
        <v>0</v>
      </c>
      <c r="AO1751" s="1154">
        <f t="shared" si="486"/>
        <v>0</v>
      </c>
      <c r="AP1751" s="1147">
        <f t="shared" si="489"/>
        <v>0</v>
      </c>
      <c r="AQ1751" s="1144">
        <f t="shared" si="490"/>
        <v>0</v>
      </c>
      <c r="AR1751" s="1146">
        <f t="shared" si="491"/>
        <v>0</v>
      </c>
    </row>
    <row r="1752" spans="1:44" x14ac:dyDescent="0.2">
      <c r="A1752" s="1141" t="str">
        <f t="shared" si="503"/>
        <v/>
      </c>
      <c r="B1752" s="1141" t="str">
        <f>IFERROR(VLOOKUP(A1752,'LAC 103'!A:C,3,FALSE),"")</f>
        <v/>
      </c>
      <c r="C1752" s="1478" t="str">
        <f>Info!$B$8</f>
        <v>00100</v>
      </c>
      <c r="D1752" s="1474"/>
      <c r="E1752" s="1474"/>
      <c r="F1752" s="1478"/>
      <c r="G1752" s="1478"/>
      <c r="H1752" s="1474"/>
      <c r="I1752" s="1478"/>
      <c r="J1752" s="1478"/>
      <c r="K1752" s="1475"/>
      <c r="L1752" s="1474"/>
      <c r="M1752" s="1476"/>
      <c r="N1752" s="1477"/>
      <c r="O1752" s="1479"/>
      <c r="P1752" s="1479"/>
      <c r="Q1752" s="1142">
        <f t="shared" si="487"/>
        <v>0</v>
      </c>
      <c r="R1752" s="1143">
        <f>IFERROR(VLOOKUP(CONCATENATE($E1752,$G1752),'LAC 103'!$A$12:$O$95,11,FALSE),0)</f>
        <v>0</v>
      </c>
      <c r="S1752" s="1144">
        <f>IFERROR(VLOOKUP(CONCATENATE($E1752,$G1752),'LAC 103'!$A$12:$O$95,12,FALSE),0)</f>
        <v>0</v>
      </c>
      <c r="T1752" s="1144">
        <f>IFERROR(VLOOKUP(CONCATENATE($E1752,$G1752),'LAC 103'!$A$12:$O$95,13,FALSE),0)</f>
        <v>0</v>
      </c>
      <c r="U1752" s="1144">
        <f>IFERROR(VLOOKUP(CONCATENATE($E1752,$G1752),'LAC 103'!$A$12:$O$95,14,FALSE),0)</f>
        <v>0</v>
      </c>
      <c r="V1752" s="1144">
        <f>IFERROR(VLOOKUP(CONCATENATE($E1752,$G1752),'LAC 103'!$A$12:$O$95,15,FALSE),0)</f>
        <v>0</v>
      </c>
      <c r="W1752" s="1145" t="str">
        <f>IFERROR(VLOOKUP(CONCATENATE($B1752,$N1752),'LAC 103'!$AI:$AQ,9,FALSE),"")</f>
        <v/>
      </c>
      <c r="X1752" s="1146">
        <f t="shared" si="492"/>
        <v>0</v>
      </c>
      <c r="Y1752" s="1143">
        <f t="shared" si="502"/>
        <v>0</v>
      </c>
      <c r="Z1752" s="1147">
        <f t="shared" si="493"/>
        <v>0</v>
      </c>
      <c r="AA1752" s="1144">
        <f t="shared" si="494"/>
        <v>0</v>
      </c>
      <c r="AB1752" s="1144">
        <f t="shared" si="495"/>
        <v>0</v>
      </c>
      <c r="AC1752" s="1144">
        <f t="shared" si="496"/>
        <v>0</v>
      </c>
      <c r="AD1752" s="1148">
        <f t="shared" si="488"/>
        <v>0</v>
      </c>
      <c r="AE1752" s="1487">
        <v>0</v>
      </c>
      <c r="AF1752" s="1145">
        <f t="shared" si="497"/>
        <v>0</v>
      </c>
      <c r="AG1752" s="1149">
        <f>IFERROR(VLOOKUP(CONCATENATE($L1752,$N1752),'Drop List'!$G$23:$K$87,2,FALSE),0)</f>
        <v>0</v>
      </c>
      <c r="AH1752" s="1150">
        <f>IFERROR(VLOOKUP(CONCATENATE($L1752,$N1752),'Drop List'!$G$23:$K$87,3,FALSE),0)</f>
        <v>0</v>
      </c>
      <c r="AI1752" s="1150">
        <f>IFERROR(VLOOKUP(CONCATENATE($L1752,$N1752),'Drop List'!$G$23:$K$87,4,FALSE),0)</f>
        <v>0</v>
      </c>
      <c r="AJ1752" s="1151">
        <f>IFERROR(VLOOKUP(CONCATENATE($L1752,$N1752),'Drop List'!$G$23:$K$87,5,FALSE),0)</f>
        <v>0</v>
      </c>
      <c r="AK1752" s="1152">
        <f t="shared" si="498"/>
        <v>0</v>
      </c>
      <c r="AL1752" s="1153">
        <f t="shared" si="499"/>
        <v>0</v>
      </c>
      <c r="AM1752" s="1153">
        <f t="shared" si="500"/>
        <v>0</v>
      </c>
      <c r="AN1752" s="1145">
        <f t="shared" si="501"/>
        <v>0</v>
      </c>
      <c r="AO1752" s="1154">
        <f t="shared" si="486"/>
        <v>0</v>
      </c>
      <c r="AP1752" s="1147">
        <f t="shared" si="489"/>
        <v>0</v>
      </c>
      <c r="AQ1752" s="1144">
        <f t="shared" si="490"/>
        <v>0</v>
      </c>
      <c r="AR1752" s="1146">
        <f t="shared" si="491"/>
        <v>0</v>
      </c>
    </row>
    <row r="1753" spans="1:44" x14ac:dyDescent="0.2">
      <c r="A1753" s="1141" t="str">
        <f t="shared" si="503"/>
        <v/>
      </c>
      <c r="B1753" s="1141" t="str">
        <f>IFERROR(VLOOKUP(A1753,'LAC 103'!A:C,3,FALSE),"")</f>
        <v/>
      </c>
      <c r="C1753" s="1478" t="str">
        <f>Info!$B$8</f>
        <v>00100</v>
      </c>
      <c r="D1753" s="1474"/>
      <c r="E1753" s="1474"/>
      <c r="F1753" s="1478"/>
      <c r="G1753" s="1478"/>
      <c r="H1753" s="1474"/>
      <c r="I1753" s="1478"/>
      <c r="J1753" s="1478"/>
      <c r="K1753" s="1475"/>
      <c r="L1753" s="1474"/>
      <c r="M1753" s="1476"/>
      <c r="N1753" s="1477"/>
      <c r="O1753" s="1479"/>
      <c r="P1753" s="1479"/>
      <c r="Q1753" s="1142">
        <f t="shared" si="487"/>
        <v>0</v>
      </c>
      <c r="R1753" s="1143">
        <f>IFERROR(VLOOKUP(CONCATENATE($E1753,$G1753),'LAC 103'!$A$12:$O$95,11,FALSE),0)</f>
        <v>0</v>
      </c>
      <c r="S1753" s="1144">
        <f>IFERROR(VLOOKUP(CONCATENATE($E1753,$G1753),'LAC 103'!$A$12:$O$95,12,FALSE),0)</f>
        <v>0</v>
      </c>
      <c r="T1753" s="1144">
        <f>IFERROR(VLOOKUP(CONCATENATE($E1753,$G1753),'LAC 103'!$A$12:$O$95,13,FALSE),0)</f>
        <v>0</v>
      </c>
      <c r="U1753" s="1144">
        <f>IFERROR(VLOOKUP(CONCATENATE($E1753,$G1753),'LAC 103'!$A$12:$O$95,14,FALSE),0)</f>
        <v>0</v>
      </c>
      <c r="V1753" s="1144">
        <f>IFERROR(VLOOKUP(CONCATENATE($E1753,$G1753),'LAC 103'!$A$12:$O$95,15,FALSE),0)</f>
        <v>0</v>
      </c>
      <c r="W1753" s="1145" t="str">
        <f>IFERROR(VLOOKUP(CONCATENATE($B1753,$N1753),'LAC 103'!$AI:$AQ,9,FALSE),"")</f>
        <v/>
      </c>
      <c r="X1753" s="1146">
        <f t="shared" si="492"/>
        <v>0</v>
      </c>
      <c r="Y1753" s="1143">
        <f t="shared" si="502"/>
        <v>0</v>
      </c>
      <c r="Z1753" s="1147">
        <f t="shared" si="493"/>
        <v>0</v>
      </c>
      <c r="AA1753" s="1144">
        <f t="shared" si="494"/>
        <v>0</v>
      </c>
      <c r="AB1753" s="1144">
        <f t="shared" si="495"/>
        <v>0</v>
      </c>
      <c r="AC1753" s="1144">
        <f t="shared" si="496"/>
        <v>0</v>
      </c>
      <c r="AD1753" s="1148">
        <f t="shared" si="488"/>
        <v>0</v>
      </c>
      <c r="AE1753" s="1487">
        <v>0</v>
      </c>
      <c r="AF1753" s="1145">
        <f t="shared" si="497"/>
        <v>0</v>
      </c>
      <c r="AG1753" s="1149">
        <f>IFERROR(VLOOKUP(CONCATENATE($L1753,$N1753),'Drop List'!$G$23:$K$87,2,FALSE),0)</f>
        <v>0</v>
      </c>
      <c r="AH1753" s="1150">
        <f>IFERROR(VLOOKUP(CONCATENATE($L1753,$N1753),'Drop List'!$G$23:$K$87,3,FALSE),0)</f>
        <v>0</v>
      </c>
      <c r="AI1753" s="1150">
        <f>IFERROR(VLOOKUP(CONCATENATE($L1753,$N1753),'Drop List'!$G$23:$K$87,4,FALSE),0)</f>
        <v>0</v>
      </c>
      <c r="AJ1753" s="1151">
        <f>IFERROR(VLOOKUP(CONCATENATE($L1753,$N1753),'Drop List'!$G$23:$K$87,5,FALSE),0)</f>
        <v>0</v>
      </c>
      <c r="AK1753" s="1152">
        <f t="shared" si="498"/>
        <v>0</v>
      </c>
      <c r="AL1753" s="1153">
        <f t="shared" si="499"/>
        <v>0</v>
      </c>
      <c r="AM1753" s="1153">
        <f t="shared" si="500"/>
        <v>0</v>
      </c>
      <c r="AN1753" s="1145">
        <f t="shared" si="501"/>
        <v>0</v>
      </c>
      <c r="AO1753" s="1154">
        <f t="shared" si="486"/>
        <v>0</v>
      </c>
      <c r="AP1753" s="1147">
        <f t="shared" si="489"/>
        <v>0</v>
      </c>
      <c r="AQ1753" s="1144">
        <f t="shared" si="490"/>
        <v>0</v>
      </c>
      <c r="AR1753" s="1146">
        <f t="shared" si="491"/>
        <v>0</v>
      </c>
    </row>
    <row r="1754" spans="1:44" x14ac:dyDescent="0.2">
      <c r="A1754" s="1141" t="str">
        <f t="shared" si="503"/>
        <v/>
      </c>
      <c r="B1754" s="1141" t="str">
        <f>IFERROR(VLOOKUP(A1754,'LAC 103'!A:C,3,FALSE),"")</f>
        <v/>
      </c>
      <c r="C1754" s="1478" t="str">
        <f>Info!$B$8</f>
        <v>00100</v>
      </c>
      <c r="D1754" s="1474"/>
      <c r="E1754" s="1474"/>
      <c r="F1754" s="1478"/>
      <c r="G1754" s="1478"/>
      <c r="H1754" s="1474"/>
      <c r="I1754" s="1478"/>
      <c r="J1754" s="1478"/>
      <c r="K1754" s="1475"/>
      <c r="L1754" s="1474"/>
      <c r="M1754" s="1476"/>
      <c r="N1754" s="1477"/>
      <c r="O1754" s="1479"/>
      <c r="P1754" s="1479"/>
      <c r="Q1754" s="1142">
        <f t="shared" si="487"/>
        <v>0</v>
      </c>
      <c r="R1754" s="1143">
        <f>IFERROR(VLOOKUP(CONCATENATE($E1754,$G1754),'LAC 103'!$A$12:$O$95,11,FALSE),0)</f>
        <v>0</v>
      </c>
      <c r="S1754" s="1144">
        <f>IFERROR(VLOOKUP(CONCATENATE($E1754,$G1754),'LAC 103'!$A$12:$O$95,12,FALSE),0)</f>
        <v>0</v>
      </c>
      <c r="T1754" s="1144">
        <f>IFERROR(VLOOKUP(CONCATENATE($E1754,$G1754),'LAC 103'!$A$12:$O$95,13,FALSE),0)</f>
        <v>0</v>
      </c>
      <c r="U1754" s="1144">
        <f>IFERROR(VLOOKUP(CONCATENATE($E1754,$G1754),'LAC 103'!$A$12:$O$95,14,FALSE),0)</f>
        <v>0</v>
      </c>
      <c r="V1754" s="1144">
        <f>IFERROR(VLOOKUP(CONCATENATE($E1754,$G1754),'LAC 103'!$A$12:$O$95,15,FALSE),0)</f>
        <v>0</v>
      </c>
      <c r="W1754" s="1145" t="str">
        <f>IFERROR(VLOOKUP(CONCATENATE($B1754,$N1754),'LAC 103'!$AI:$AQ,9,FALSE),"")</f>
        <v/>
      </c>
      <c r="X1754" s="1146">
        <f t="shared" si="492"/>
        <v>0</v>
      </c>
      <c r="Y1754" s="1143">
        <f t="shared" si="502"/>
        <v>0</v>
      </c>
      <c r="Z1754" s="1147">
        <f t="shared" si="493"/>
        <v>0</v>
      </c>
      <c r="AA1754" s="1144">
        <f t="shared" si="494"/>
        <v>0</v>
      </c>
      <c r="AB1754" s="1144">
        <f t="shared" si="495"/>
        <v>0</v>
      </c>
      <c r="AC1754" s="1144">
        <f t="shared" si="496"/>
        <v>0</v>
      </c>
      <c r="AD1754" s="1148">
        <f t="shared" si="488"/>
        <v>0</v>
      </c>
      <c r="AE1754" s="1487">
        <v>0</v>
      </c>
      <c r="AF1754" s="1145">
        <f t="shared" si="497"/>
        <v>0</v>
      </c>
      <c r="AG1754" s="1149">
        <f>IFERROR(VLOOKUP(CONCATENATE($L1754,$N1754),'Drop List'!$G$23:$K$87,2,FALSE),0)</f>
        <v>0</v>
      </c>
      <c r="AH1754" s="1150">
        <f>IFERROR(VLOOKUP(CONCATENATE($L1754,$N1754),'Drop List'!$G$23:$K$87,3,FALSE),0)</f>
        <v>0</v>
      </c>
      <c r="AI1754" s="1150">
        <f>IFERROR(VLOOKUP(CONCATENATE($L1754,$N1754),'Drop List'!$G$23:$K$87,4,FALSE),0)</f>
        <v>0</v>
      </c>
      <c r="AJ1754" s="1151">
        <f>IFERROR(VLOOKUP(CONCATENATE($L1754,$N1754),'Drop List'!$G$23:$K$87,5,FALSE),0)</f>
        <v>0</v>
      </c>
      <c r="AK1754" s="1152">
        <f t="shared" si="498"/>
        <v>0</v>
      </c>
      <c r="AL1754" s="1153">
        <f t="shared" si="499"/>
        <v>0</v>
      </c>
      <c r="AM1754" s="1153">
        <f t="shared" si="500"/>
        <v>0</v>
      </c>
      <c r="AN1754" s="1145">
        <f t="shared" si="501"/>
        <v>0</v>
      </c>
      <c r="AO1754" s="1154">
        <f t="shared" si="486"/>
        <v>0</v>
      </c>
      <c r="AP1754" s="1147">
        <f t="shared" si="489"/>
        <v>0</v>
      </c>
      <c r="AQ1754" s="1144">
        <f t="shared" si="490"/>
        <v>0</v>
      </c>
      <c r="AR1754" s="1146">
        <f t="shared" si="491"/>
        <v>0</v>
      </c>
    </row>
    <row r="1755" spans="1:44" x14ac:dyDescent="0.2">
      <c r="A1755" s="1141" t="str">
        <f t="shared" si="503"/>
        <v/>
      </c>
      <c r="B1755" s="1141" t="str">
        <f>IFERROR(VLOOKUP(A1755,'LAC 103'!A:C,3,FALSE),"")</f>
        <v/>
      </c>
      <c r="C1755" s="1478" t="str">
        <f>Info!$B$8</f>
        <v>00100</v>
      </c>
      <c r="D1755" s="1474"/>
      <c r="E1755" s="1474"/>
      <c r="F1755" s="1478"/>
      <c r="G1755" s="1478"/>
      <c r="H1755" s="1474"/>
      <c r="I1755" s="1478"/>
      <c r="J1755" s="1478"/>
      <c r="K1755" s="1475"/>
      <c r="L1755" s="1474"/>
      <c r="M1755" s="1476"/>
      <c r="N1755" s="1477"/>
      <c r="O1755" s="1479"/>
      <c r="P1755" s="1479"/>
      <c r="Q1755" s="1142">
        <f t="shared" si="487"/>
        <v>0</v>
      </c>
      <c r="R1755" s="1143">
        <f>IFERROR(VLOOKUP(CONCATENATE($E1755,$G1755),'LAC 103'!$A$12:$O$95,11,FALSE),0)</f>
        <v>0</v>
      </c>
      <c r="S1755" s="1144">
        <f>IFERROR(VLOOKUP(CONCATENATE($E1755,$G1755),'LAC 103'!$A$12:$O$95,12,FALSE),0)</f>
        <v>0</v>
      </c>
      <c r="T1755" s="1144">
        <f>IFERROR(VLOOKUP(CONCATENATE($E1755,$G1755),'LAC 103'!$A$12:$O$95,13,FALSE),0)</f>
        <v>0</v>
      </c>
      <c r="U1755" s="1144">
        <f>IFERROR(VLOOKUP(CONCATENATE($E1755,$G1755),'LAC 103'!$A$12:$O$95,14,FALSE),0)</f>
        <v>0</v>
      </c>
      <c r="V1755" s="1144">
        <f>IFERROR(VLOOKUP(CONCATENATE($E1755,$G1755),'LAC 103'!$A$12:$O$95,15,FALSE),0)</f>
        <v>0</v>
      </c>
      <c r="W1755" s="1145" t="str">
        <f>IFERROR(VLOOKUP(CONCATENATE($B1755,$N1755),'LAC 103'!$AI:$AQ,9,FALSE),"")</f>
        <v/>
      </c>
      <c r="X1755" s="1146">
        <f t="shared" si="492"/>
        <v>0</v>
      </c>
      <c r="Y1755" s="1143">
        <f t="shared" si="502"/>
        <v>0</v>
      </c>
      <c r="Z1755" s="1147">
        <f t="shared" si="493"/>
        <v>0</v>
      </c>
      <c r="AA1755" s="1144">
        <f t="shared" si="494"/>
        <v>0</v>
      </c>
      <c r="AB1755" s="1144">
        <f t="shared" si="495"/>
        <v>0</v>
      </c>
      <c r="AC1755" s="1144">
        <f t="shared" si="496"/>
        <v>0</v>
      </c>
      <c r="AD1755" s="1148">
        <f t="shared" si="488"/>
        <v>0</v>
      </c>
      <c r="AE1755" s="1487">
        <v>0</v>
      </c>
      <c r="AF1755" s="1145">
        <f t="shared" si="497"/>
        <v>0</v>
      </c>
      <c r="AG1755" s="1149">
        <f>IFERROR(VLOOKUP(CONCATENATE($L1755,$N1755),'Drop List'!$G$23:$K$87,2,FALSE),0)</f>
        <v>0</v>
      </c>
      <c r="AH1755" s="1150">
        <f>IFERROR(VLOOKUP(CONCATENATE($L1755,$N1755),'Drop List'!$G$23:$K$87,3,FALSE),0)</f>
        <v>0</v>
      </c>
      <c r="AI1755" s="1150">
        <f>IFERROR(VLOOKUP(CONCATENATE($L1755,$N1755),'Drop List'!$G$23:$K$87,4,FALSE),0)</f>
        <v>0</v>
      </c>
      <c r="AJ1755" s="1151">
        <f>IFERROR(VLOOKUP(CONCATENATE($L1755,$N1755),'Drop List'!$G$23:$K$87,5,FALSE),0)</f>
        <v>0</v>
      </c>
      <c r="AK1755" s="1152">
        <f t="shared" si="498"/>
        <v>0</v>
      </c>
      <c r="AL1755" s="1153">
        <f t="shared" si="499"/>
        <v>0</v>
      </c>
      <c r="AM1755" s="1153">
        <f t="shared" si="500"/>
        <v>0</v>
      </c>
      <c r="AN1755" s="1145">
        <f t="shared" si="501"/>
        <v>0</v>
      </c>
      <c r="AO1755" s="1154">
        <f t="shared" si="486"/>
        <v>0</v>
      </c>
      <c r="AP1755" s="1147">
        <f t="shared" si="489"/>
        <v>0</v>
      </c>
      <c r="AQ1755" s="1144">
        <f t="shared" si="490"/>
        <v>0</v>
      </c>
      <c r="AR1755" s="1146">
        <f t="shared" si="491"/>
        <v>0</v>
      </c>
    </row>
    <row r="1756" spans="1:44" x14ac:dyDescent="0.2">
      <c r="A1756" s="1141" t="str">
        <f t="shared" si="503"/>
        <v/>
      </c>
      <c r="B1756" s="1141" t="str">
        <f>IFERROR(VLOOKUP(A1756,'LAC 103'!A:C,3,FALSE),"")</f>
        <v/>
      </c>
      <c r="C1756" s="1478" t="str">
        <f>Info!$B$8</f>
        <v>00100</v>
      </c>
      <c r="D1756" s="1474"/>
      <c r="E1756" s="1474"/>
      <c r="F1756" s="1478"/>
      <c r="G1756" s="1478"/>
      <c r="H1756" s="1474"/>
      <c r="I1756" s="1478"/>
      <c r="J1756" s="1478"/>
      <c r="K1756" s="1475"/>
      <c r="L1756" s="1474"/>
      <c r="M1756" s="1476"/>
      <c r="N1756" s="1477"/>
      <c r="O1756" s="1479"/>
      <c r="P1756" s="1479"/>
      <c r="Q1756" s="1142">
        <f t="shared" si="487"/>
        <v>0</v>
      </c>
      <c r="R1756" s="1143">
        <f>IFERROR(VLOOKUP(CONCATENATE($E1756,$G1756),'LAC 103'!$A$12:$O$95,11,FALSE),0)</f>
        <v>0</v>
      </c>
      <c r="S1756" s="1144">
        <f>IFERROR(VLOOKUP(CONCATENATE($E1756,$G1756),'LAC 103'!$A$12:$O$95,12,FALSE),0)</f>
        <v>0</v>
      </c>
      <c r="T1756" s="1144">
        <f>IFERROR(VLOOKUP(CONCATENATE($E1756,$G1756),'LAC 103'!$A$12:$O$95,13,FALSE),0)</f>
        <v>0</v>
      </c>
      <c r="U1756" s="1144">
        <f>IFERROR(VLOOKUP(CONCATENATE($E1756,$G1756),'LAC 103'!$A$12:$O$95,14,FALSE),0)</f>
        <v>0</v>
      </c>
      <c r="V1756" s="1144">
        <f>IFERROR(VLOOKUP(CONCATENATE($E1756,$G1756),'LAC 103'!$A$12:$O$95,15,FALSE),0)</f>
        <v>0</v>
      </c>
      <c r="W1756" s="1145" t="str">
        <f>IFERROR(VLOOKUP(CONCATENATE($B1756,$N1756),'LAC 103'!$AI:$AQ,9,FALSE),"")</f>
        <v/>
      </c>
      <c r="X1756" s="1146">
        <f t="shared" si="492"/>
        <v>0</v>
      </c>
      <c r="Y1756" s="1143">
        <f t="shared" si="502"/>
        <v>0</v>
      </c>
      <c r="Z1756" s="1147">
        <f t="shared" si="493"/>
        <v>0</v>
      </c>
      <c r="AA1756" s="1144">
        <f t="shared" si="494"/>
        <v>0</v>
      </c>
      <c r="AB1756" s="1144">
        <f t="shared" si="495"/>
        <v>0</v>
      </c>
      <c r="AC1756" s="1144">
        <f t="shared" si="496"/>
        <v>0</v>
      </c>
      <c r="AD1756" s="1148">
        <f t="shared" si="488"/>
        <v>0</v>
      </c>
      <c r="AE1756" s="1487">
        <v>0</v>
      </c>
      <c r="AF1756" s="1145">
        <f t="shared" si="497"/>
        <v>0</v>
      </c>
      <c r="AG1756" s="1149">
        <f>IFERROR(VLOOKUP(CONCATENATE($L1756,$N1756),'Drop List'!$G$23:$K$87,2,FALSE),0)</f>
        <v>0</v>
      </c>
      <c r="AH1756" s="1150">
        <f>IFERROR(VLOOKUP(CONCATENATE($L1756,$N1756),'Drop List'!$G$23:$K$87,3,FALSE),0)</f>
        <v>0</v>
      </c>
      <c r="AI1756" s="1150">
        <f>IFERROR(VLOOKUP(CONCATENATE($L1756,$N1756),'Drop List'!$G$23:$K$87,4,FALSE),0)</f>
        <v>0</v>
      </c>
      <c r="AJ1756" s="1151">
        <f>IFERROR(VLOOKUP(CONCATENATE($L1756,$N1756),'Drop List'!$G$23:$K$87,5,FALSE),0)</f>
        <v>0</v>
      </c>
      <c r="AK1756" s="1152">
        <f t="shared" si="498"/>
        <v>0</v>
      </c>
      <c r="AL1756" s="1153">
        <f t="shared" si="499"/>
        <v>0</v>
      </c>
      <c r="AM1756" s="1153">
        <f t="shared" si="500"/>
        <v>0</v>
      </c>
      <c r="AN1756" s="1145">
        <f t="shared" si="501"/>
        <v>0</v>
      </c>
      <c r="AO1756" s="1154">
        <f t="shared" si="486"/>
        <v>0</v>
      </c>
      <c r="AP1756" s="1147">
        <f t="shared" si="489"/>
        <v>0</v>
      </c>
      <c r="AQ1756" s="1144">
        <f t="shared" si="490"/>
        <v>0</v>
      </c>
      <c r="AR1756" s="1146">
        <f t="shared" si="491"/>
        <v>0</v>
      </c>
    </row>
    <row r="1757" spans="1:44" x14ac:dyDescent="0.2">
      <c r="A1757" s="1141" t="str">
        <f t="shared" si="503"/>
        <v/>
      </c>
      <c r="B1757" s="1141" t="str">
        <f>IFERROR(VLOOKUP(A1757,'LAC 103'!A:C,3,FALSE),"")</f>
        <v/>
      </c>
      <c r="C1757" s="1478" t="str">
        <f>Info!$B$8</f>
        <v>00100</v>
      </c>
      <c r="D1757" s="1474"/>
      <c r="E1757" s="1474"/>
      <c r="F1757" s="1478"/>
      <c r="G1757" s="1478"/>
      <c r="H1757" s="1474"/>
      <c r="I1757" s="1478"/>
      <c r="J1757" s="1478"/>
      <c r="K1757" s="1475"/>
      <c r="L1757" s="1474"/>
      <c r="M1757" s="1476"/>
      <c r="N1757" s="1477"/>
      <c r="O1757" s="1479"/>
      <c r="P1757" s="1479"/>
      <c r="Q1757" s="1142">
        <f t="shared" si="487"/>
        <v>0</v>
      </c>
      <c r="R1757" s="1143">
        <f>IFERROR(VLOOKUP(CONCATENATE($E1757,$G1757),'LAC 103'!$A$12:$O$95,11,FALSE),0)</f>
        <v>0</v>
      </c>
      <c r="S1757" s="1144">
        <f>IFERROR(VLOOKUP(CONCATENATE($E1757,$G1757),'LAC 103'!$A$12:$O$95,12,FALSE),0)</f>
        <v>0</v>
      </c>
      <c r="T1757" s="1144">
        <f>IFERROR(VLOOKUP(CONCATENATE($E1757,$G1757),'LAC 103'!$A$12:$O$95,13,FALSE),0)</f>
        <v>0</v>
      </c>
      <c r="U1757" s="1144">
        <f>IFERROR(VLOOKUP(CONCATENATE($E1757,$G1757),'LAC 103'!$A$12:$O$95,14,FALSE),0)</f>
        <v>0</v>
      </c>
      <c r="V1757" s="1144">
        <f>IFERROR(VLOOKUP(CONCATENATE($E1757,$G1757),'LAC 103'!$A$12:$O$95,15,FALSE),0)</f>
        <v>0</v>
      </c>
      <c r="W1757" s="1145" t="str">
        <f>IFERROR(VLOOKUP(CONCATENATE($B1757,$N1757),'LAC 103'!$AI:$AQ,9,FALSE),"")</f>
        <v/>
      </c>
      <c r="X1757" s="1146">
        <f t="shared" si="492"/>
        <v>0</v>
      </c>
      <c r="Y1757" s="1143">
        <f t="shared" si="502"/>
        <v>0</v>
      </c>
      <c r="Z1757" s="1147">
        <f t="shared" si="493"/>
        <v>0</v>
      </c>
      <c r="AA1757" s="1144">
        <f t="shared" si="494"/>
        <v>0</v>
      </c>
      <c r="AB1757" s="1144">
        <f t="shared" si="495"/>
        <v>0</v>
      </c>
      <c r="AC1757" s="1144">
        <f t="shared" si="496"/>
        <v>0</v>
      </c>
      <c r="AD1757" s="1148">
        <f t="shared" si="488"/>
        <v>0</v>
      </c>
      <c r="AE1757" s="1487">
        <v>0</v>
      </c>
      <c r="AF1757" s="1145">
        <f t="shared" si="497"/>
        <v>0</v>
      </c>
      <c r="AG1757" s="1149">
        <f>IFERROR(VLOOKUP(CONCATENATE($L1757,$N1757),'Drop List'!$G$23:$K$87,2,FALSE),0)</f>
        <v>0</v>
      </c>
      <c r="AH1757" s="1150">
        <f>IFERROR(VLOOKUP(CONCATENATE($L1757,$N1757),'Drop List'!$G$23:$K$87,3,FALSE),0)</f>
        <v>0</v>
      </c>
      <c r="AI1757" s="1150">
        <f>IFERROR(VLOOKUP(CONCATENATE($L1757,$N1757),'Drop List'!$G$23:$K$87,4,FALSE),0)</f>
        <v>0</v>
      </c>
      <c r="AJ1757" s="1151">
        <f>IFERROR(VLOOKUP(CONCATENATE($L1757,$N1757),'Drop List'!$G$23:$K$87,5,FALSE),0)</f>
        <v>0</v>
      </c>
      <c r="AK1757" s="1152">
        <f t="shared" si="498"/>
        <v>0</v>
      </c>
      <c r="AL1757" s="1153">
        <f t="shared" si="499"/>
        <v>0</v>
      </c>
      <c r="AM1757" s="1153">
        <f t="shared" si="500"/>
        <v>0</v>
      </c>
      <c r="AN1757" s="1145">
        <f t="shared" si="501"/>
        <v>0</v>
      </c>
      <c r="AO1757" s="1154">
        <f t="shared" si="486"/>
        <v>0</v>
      </c>
      <c r="AP1757" s="1147">
        <f t="shared" si="489"/>
        <v>0</v>
      </c>
      <c r="AQ1757" s="1144">
        <f t="shared" si="490"/>
        <v>0</v>
      </c>
      <c r="AR1757" s="1146">
        <f t="shared" si="491"/>
        <v>0</v>
      </c>
    </row>
    <row r="1758" spans="1:44" x14ac:dyDescent="0.2">
      <c r="A1758" s="1141" t="str">
        <f t="shared" si="503"/>
        <v/>
      </c>
      <c r="B1758" s="1141" t="str">
        <f>IFERROR(VLOOKUP(A1758,'LAC 103'!A:C,3,FALSE),"")</f>
        <v/>
      </c>
      <c r="C1758" s="1478" t="str">
        <f>Info!$B$8</f>
        <v>00100</v>
      </c>
      <c r="D1758" s="1474"/>
      <c r="E1758" s="1474"/>
      <c r="F1758" s="1478"/>
      <c r="G1758" s="1478"/>
      <c r="H1758" s="1474"/>
      <c r="I1758" s="1478"/>
      <c r="J1758" s="1478"/>
      <c r="K1758" s="1475"/>
      <c r="L1758" s="1474"/>
      <c r="M1758" s="1476"/>
      <c r="N1758" s="1477"/>
      <c r="O1758" s="1479"/>
      <c r="P1758" s="1479"/>
      <c r="Q1758" s="1142">
        <f t="shared" si="487"/>
        <v>0</v>
      </c>
      <c r="R1758" s="1143">
        <f>IFERROR(VLOOKUP(CONCATENATE($E1758,$G1758),'LAC 103'!$A$12:$O$95,11,FALSE),0)</f>
        <v>0</v>
      </c>
      <c r="S1758" s="1144">
        <f>IFERROR(VLOOKUP(CONCATENATE($E1758,$G1758),'LAC 103'!$A$12:$O$95,12,FALSE),0)</f>
        <v>0</v>
      </c>
      <c r="T1758" s="1144">
        <f>IFERROR(VLOOKUP(CONCATENATE($E1758,$G1758),'LAC 103'!$A$12:$O$95,13,FALSE),0)</f>
        <v>0</v>
      </c>
      <c r="U1758" s="1144">
        <f>IFERROR(VLOOKUP(CONCATENATE($E1758,$G1758),'LAC 103'!$A$12:$O$95,14,FALSE),0)</f>
        <v>0</v>
      </c>
      <c r="V1758" s="1144">
        <f>IFERROR(VLOOKUP(CONCATENATE($E1758,$G1758),'LAC 103'!$A$12:$O$95,15,FALSE),0)</f>
        <v>0</v>
      </c>
      <c r="W1758" s="1145" t="str">
        <f>IFERROR(VLOOKUP(CONCATENATE($B1758,$N1758),'LAC 103'!$AI:$AQ,9,FALSE),"")</f>
        <v/>
      </c>
      <c r="X1758" s="1146">
        <f t="shared" si="492"/>
        <v>0</v>
      </c>
      <c r="Y1758" s="1143">
        <f t="shared" si="502"/>
        <v>0</v>
      </c>
      <c r="Z1758" s="1147">
        <f t="shared" si="493"/>
        <v>0</v>
      </c>
      <c r="AA1758" s="1144">
        <f t="shared" si="494"/>
        <v>0</v>
      </c>
      <c r="AB1758" s="1144">
        <f t="shared" si="495"/>
        <v>0</v>
      </c>
      <c r="AC1758" s="1144">
        <f t="shared" si="496"/>
        <v>0</v>
      </c>
      <c r="AD1758" s="1148">
        <f t="shared" si="488"/>
        <v>0</v>
      </c>
      <c r="AE1758" s="1487">
        <v>0</v>
      </c>
      <c r="AF1758" s="1145">
        <f t="shared" si="497"/>
        <v>0</v>
      </c>
      <c r="AG1758" s="1149">
        <f>IFERROR(VLOOKUP(CONCATENATE($L1758,$N1758),'Drop List'!$G$23:$K$87,2,FALSE),0)</f>
        <v>0</v>
      </c>
      <c r="AH1758" s="1150">
        <f>IFERROR(VLOOKUP(CONCATENATE($L1758,$N1758),'Drop List'!$G$23:$K$87,3,FALSE),0)</f>
        <v>0</v>
      </c>
      <c r="AI1758" s="1150">
        <f>IFERROR(VLOOKUP(CONCATENATE($L1758,$N1758),'Drop List'!$G$23:$K$87,4,FALSE),0)</f>
        <v>0</v>
      </c>
      <c r="AJ1758" s="1151">
        <f>IFERROR(VLOOKUP(CONCATENATE($L1758,$N1758),'Drop List'!$G$23:$K$87,5,FALSE),0)</f>
        <v>0</v>
      </c>
      <c r="AK1758" s="1152">
        <f t="shared" si="498"/>
        <v>0</v>
      </c>
      <c r="AL1758" s="1153">
        <f t="shared" si="499"/>
        <v>0</v>
      </c>
      <c r="AM1758" s="1153">
        <f t="shared" si="500"/>
        <v>0</v>
      </c>
      <c r="AN1758" s="1145">
        <f t="shared" si="501"/>
        <v>0</v>
      </c>
      <c r="AO1758" s="1154">
        <f t="shared" ref="AO1758:AO1821" si="504">SUM(AK1758:AN1758)</f>
        <v>0</v>
      </c>
      <c r="AP1758" s="1147">
        <f t="shared" si="489"/>
        <v>0</v>
      </c>
      <c r="AQ1758" s="1144">
        <f t="shared" si="490"/>
        <v>0</v>
      </c>
      <c r="AR1758" s="1146">
        <f t="shared" si="491"/>
        <v>0</v>
      </c>
    </row>
    <row r="1759" spans="1:44" x14ac:dyDescent="0.2">
      <c r="A1759" s="1141" t="str">
        <f t="shared" si="503"/>
        <v/>
      </c>
      <c r="B1759" s="1141" t="str">
        <f>IFERROR(VLOOKUP(A1759,'LAC 103'!A:C,3,FALSE),"")</f>
        <v/>
      </c>
      <c r="C1759" s="1478" t="str">
        <f>Info!$B$8</f>
        <v>00100</v>
      </c>
      <c r="D1759" s="1474"/>
      <c r="E1759" s="1474"/>
      <c r="F1759" s="1478"/>
      <c r="G1759" s="1478"/>
      <c r="H1759" s="1474"/>
      <c r="I1759" s="1478"/>
      <c r="J1759" s="1478"/>
      <c r="K1759" s="1475"/>
      <c r="L1759" s="1474"/>
      <c r="M1759" s="1476"/>
      <c r="N1759" s="1477"/>
      <c r="O1759" s="1479"/>
      <c r="P1759" s="1479"/>
      <c r="Q1759" s="1142">
        <f t="shared" si="487"/>
        <v>0</v>
      </c>
      <c r="R1759" s="1143">
        <f>IFERROR(VLOOKUP(CONCATENATE($E1759,$G1759),'LAC 103'!$A$12:$O$95,11,FALSE),0)</f>
        <v>0</v>
      </c>
      <c r="S1759" s="1144">
        <f>IFERROR(VLOOKUP(CONCATENATE($E1759,$G1759),'LAC 103'!$A$12:$O$95,12,FALSE),0)</f>
        <v>0</v>
      </c>
      <c r="T1759" s="1144">
        <f>IFERROR(VLOOKUP(CONCATENATE($E1759,$G1759),'LAC 103'!$A$12:$O$95,13,FALSE),0)</f>
        <v>0</v>
      </c>
      <c r="U1759" s="1144">
        <f>IFERROR(VLOOKUP(CONCATENATE($E1759,$G1759),'LAC 103'!$A$12:$O$95,14,FALSE),0)</f>
        <v>0</v>
      </c>
      <c r="V1759" s="1144">
        <f>IFERROR(VLOOKUP(CONCATENATE($E1759,$G1759),'LAC 103'!$A$12:$O$95,15,FALSE),0)</f>
        <v>0</v>
      </c>
      <c r="W1759" s="1145" t="str">
        <f>IFERROR(VLOOKUP(CONCATENATE($B1759,$N1759),'LAC 103'!$AI:$AQ,9,FALSE),"")</f>
        <v/>
      </c>
      <c r="X1759" s="1146">
        <f t="shared" si="492"/>
        <v>0</v>
      </c>
      <c r="Y1759" s="1143">
        <f t="shared" si="502"/>
        <v>0</v>
      </c>
      <c r="Z1759" s="1147">
        <f t="shared" si="493"/>
        <v>0</v>
      </c>
      <c r="AA1759" s="1144">
        <f t="shared" si="494"/>
        <v>0</v>
      </c>
      <c r="AB1759" s="1144">
        <f t="shared" si="495"/>
        <v>0</v>
      </c>
      <c r="AC1759" s="1144">
        <f t="shared" si="496"/>
        <v>0</v>
      </c>
      <c r="AD1759" s="1148">
        <f t="shared" si="488"/>
        <v>0</v>
      </c>
      <c r="AE1759" s="1487">
        <v>0</v>
      </c>
      <c r="AF1759" s="1145">
        <f t="shared" si="497"/>
        <v>0</v>
      </c>
      <c r="AG1759" s="1149">
        <f>IFERROR(VLOOKUP(CONCATENATE($L1759,$N1759),'Drop List'!$G$23:$K$87,2,FALSE),0)</f>
        <v>0</v>
      </c>
      <c r="AH1759" s="1150">
        <f>IFERROR(VLOOKUP(CONCATENATE($L1759,$N1759),'Drop List'!$G$23:$K$87,3,FALSE),0)</f>
        <v>0</v>
      </c>
      <c r="AI1759" s="1150">
        <f>IFERROR(VLOOKUP(CONCATENATE($L1759,$N1759),'Drop List'!$G$23:$K$87,4,FALSE),0)</f>
        <v>0</v>
      </c>
      <c r="AJ1759" s="1151">
        <f>IFERROR(VLOOKUP(CONCATENATE($L1759,$N1759),'Drop List'!$G$23:$K$87,5,FALSE),0)</f>
        <v>0</v>
      </c>
      <c r="AK1759" s="1152">
        <f t="shared" si="498"/>
        <v>0</v>
      </c>
      <c r="AL1759" s="1153">
        <f t="shared" si="499"/>
        <v>0</v>
      </c>
      <c r="AM1759" s="1153">
        <f t="shared" si="500"/>
        <v>0</v>
      </c>
      <c r="AN1759" s="1145">
        <f t="shared" si="501"/>
        <v>0</v>
      </c>
      <c r="AO1759" s="1154">
        <f t="shared" si="504"/>
        <v>0</v>
      </c>
      <c r="AP1759" s="1147">
        <f t="shared" si="489"/>
        <v>0</v>
      </c>
      <c r="AQ1759" s="1144">
        <f t="shared" si="490"/>
        <v>0</v>
      </c>
      <c r="AR1759" s="1146">
        <f t="shared" si="491"/>
        <v>0</v>
      </c>
    </row>
    <row r="1760" spans="1:44" x14ac:dyDescent="0.2">
      <c r="A1760" s="1141" t="str">
        <f t="shared" si="503"/>
        <v/>
      </c>
      <c r="B1760" s="1141" t="str">
        <f>IFERROR(VLOOKUP(A1760,'LAC 103'!A:C,3,FALSE),"")</f>
        <v/>
      </c>
      <c r="C1760" s="1478" t="str">
        <f>Info!$B$8</f>
        <v>00100</v>
      </c>
      <c r="D1760" s="1474"/>
      <c r="E1760" s="1474"/>
      <c r="F1760" s="1478"/>
      <c r="G1760" s="1478"/>
      <c r="H1760" s="1474"/>
      <c r="I1760" s="1478"/>
      <c r="J1760" s="1478"/>
      <c r="K1760" s="1475"/>
      <c r="L1760" s="1474"/>
      <c r="M1760" s="1476"/>
      <c r="N1760" s="1477"/>
      <c r="O1760" s="1479"/>
      <c r="P1760" s="1479"/>
      <c r="Q1760" s="1142">
        <f t="shared" si="487"/>
        <v>0</v>
      </c>
      <c r="R1760" s="1143">
        <f>IFERROR(VLOOKUP(CONCATENATE($E1760,$G1760),'LAC 103'!$A$12:$O$95,11,FALSE),0)</f>
        <v>0</v>
      </c>
      <c r="S1760" s="1144">
        <f>IFERROR(VLOOKUP(CONCATENATE($E1760,$G1760),'LAC 103'!$A$12:$O$95,12,FALSE),0)</f>
        <v>0</v>
      </c>
      <c r="T1760" s="1144">
        <f>IFERROR(VLOOKUP(CONCATENATE($E1760,$G1760),'LAC 103'!$A$12:$O$95,13,FALSE),0)</f>
        <v>0</v>
      </c>
      <c r="U1760" s="1144">
        <f>IFERROR(VLOOKUP(CONCATENATE($E1760,$G1760),'LAC 103'!$A$12:$O$95,14,FALSE),0)</f>
        <v>0</v>
      </c>
      <c r="V1760" s="1144">
        <f>IFERROR(VLOOKUP(CONCATENATE($E1760,$G1760),'LAC 103'!$A$12:$O$95,15,FALSE),0)</f>
        <v>0</v>
      </c>
      <c r="W1760" s="1145" t="str">
        <f>IFERROR(VLOOKUP(CONCATENATE($B1760,$N1760),'LAC 103'!$AI:$AQ,9,FALSE),"")</f>
        <v/>
      </c>
      <c r="X1760" s="1146">
        <f t="shared" si="492"/>
        <v>0</v>
      </c>
      <c r="Y1760" s="1143">
        <f t="shared" si="502"/>
        <v>0</v>
      </c>
      <c r="Z1760" s="1147">
        <f t="shared" si="493"/>
        <v>0</v>
      </c>
      <c r="AA1760" s="1144">
        <f t="shared" si="494"/>
        <v>0</v>
      </c>
      <c r="AB1760" s="1144">
        <f t="shared" si="495"/>
        <v>0</v>
      </c>
      <c r="AC1760" s="1144">
        <f t="shared" si="496"/>
        <v>0</v>
      </c>
      <c r="AD1760" s="1148">
        <f t="shared" si="488"/>
        <v>0</v>
      </c>
      <c r="AE1760" s="1487">
        <v>0</v>
      </c>
      <c r="AF1760" s="1145">
        <f t="shared" si="497"/>
        <v>0</v>
      </c>
      <c r="AG1760" s="1149">
        <f>IFERROR(VLOOKUP(CONCATENATE($L1760,$N1760),'Drop List'!$G$23:$K$87,2,FALSE),0)</f>
        <v>0</v>
      </c>
      <c r="AH1760" s="1150">
        <f>IFERROR(VLOOKUP(CONCATENATE($L1760,$N1760),'Drop List'!$G$23:$K$87,3,FALSE),0)</f>
        <v>0</v>
      </c>
      <c r="AI1760" s="1150">
        <f>IFERROR(VLOOKUP(CONCATENATE($L1760,$N1760),'Drop List'!$G$23:$K$87,4,FALSE),0)</f>
        <v>0</v>
      </c>
      <c r="AJ1760" s="1151">
        <f>IFERROR(VLOOKUP(CONCATENATE($L1760,$N1760),'Drop List'!$G$23:$K$87,5,FALSE),0)</f>
        <v>0</v>
      </c>
      <c r="AK1760" s="1152">
        <f t="shared" si="498"/>
        <v>0</v>
      </c>
      <c r="AL1760" s="1153">
        <f t="shared" si="499"/>
        <v>0</v>
      </c>
      <c r="AM1760" s="1153">
        <f t="shared" si="500"/>
        <v>0</v>
      </c>
      <c r="AN1760" s="1145">
        <f t="shared" si="501"/>
        <v>0</v>
      </c>
      <c r="AO1760" s="1154">
        <f t="shared" si="504"/>
        <v>0</v>
      </c>
      <c r="AP1760" s="1147">
        <f t="shared" si="489"/>
        <v>0</v>
      </c>
      <c r="AQ1760" s="1144">
        <f t="shared" si="490"/>
        <v>0</v>
      </c>
      <c r="AR1760" s="1146">
        <f t="shared" si="491"/>
        <v>0</v>
      </c>
    </row>
    <row r="1761" spans="1:44" x14ac:dyDescent="0.2">
      <c r="A1761" s="1141" t="str">
        <f t="shared" si="503"/>
        <v/>
      </c>
      <c r="B1761" s="1141" t="str">
        <f>IFERROR(VLOOKUP(A1761,'LAC 103'!A:C,3,FALSE),"")</f>
        <v/>
      </c>
      <c r="C1761" s="1478" t="str">
        <f>Info!$B$8</f>
        <v>00100</v>
      </c>
      <c r="D1761" s="1474"/>
      <c r="E1761" s="1474"/>
      <c r="F1761" s="1478"/>
      <c r="G1761" s="1478"/>
      <c r="H1761" s="1474"/>
      <c r="I1761" s="1478"/>
      <c r="J1761" s="1478"/>
      <c r="K1761" s="1475"/>
      <c r="L1761" s="1474"/>
      <c r="M1761" s="1476"/>
      <c r="N1761" s="1477"/>
      <c r="O1761" s="1479"/>
      <c r="P1761" s="1479"/>
      <c r="Q1761" s="1142">
        <f t="shared" si="487"/>
        <v>0</v>
      </c>
      <c r="R1761" s="1143">
        <f>IFERROR(VLOOKUP(CONCATENATE($E1761,$G1761),'LAC 103'!$A$12:$O$95,11,FALSE),0)</f>
        <v>0</v>
      </c>
      <c r="S1761" s="1144">
        <f>IFERROR(VLOOKUP(CONCATENATE($E1761,$G1761),'LAC 103'!$A$12:$O$95,12,FALSE),0)</f>
        <v>0</v>
      </c>
      <c r="T1761" s="1144">
        <f>IFERROR(VLOOKUP(CONCATENATE($E1761,$G1761),'LAC 103'!$A$12:$O$95,13,FALSE),0)</f>
        <v>0</v>
      </c>
      <c r="U1761" s="1144">
        <f>IFERROR(VLOOKUP(CONCATENATE($E1761,$G1761),'LAC 103'!$A$12:$O$95,14,FALSE),0)</f>
        <v>0</v>
      </c>
      <c r="V1761" s="1144">
        <f>IFERROR(VLOOKUP(CONCATENATE($E1761,$G1761),'LAC 103'!$A$12:$O$95,15,FALSE),0)</f>
        <v>0</v>
      </c>
      <c r="W1761" s="1145" t="str">
        <f>IFERROR(VLOOKUP(CONCATENATE($B1761,$N1761),'LAC 103'!$AI:$AQ,9,FALSE),"")</f>
        <v/>
      </c>
      <c r="X1761" s="1146">
        <f t="shared" si="492"/>
        <v>0</v>
      </c>
      <c r="Y1761" s="1143">
        <f t="shared" si="502"/>
        <v>0</v>
      </c>
      <c r="Z1761" s="1147">
        <f t="shared" si="493"/>
        <v>0</v>
      </c>
      <c r="AA1761" s="1144">
        <f t="shared" si="494"/>
        <v>0</v>
      </c>
      <c r="AB1761" s="1144">
        <f t="shared" si="495"/>
        <v>0</v>
      </c>
      <c r="AC1761" s="1144">
        <f t="shared" si="496"/>
        <v>0</v>
      </c>
      <c r="AD1761" s="1148">
        <f t="shared" si="488"/>
        <v>0</v>
      </c>
      <c r="AE1761" s="1487">
        <v>0</v>
      </c>
      <c r="AF1761" s="1145">
        <f t="shared" si="497"/>
        <v>0</v>
      </c>
      <c r="AG1761" s="1149">
        <f>IFERROR(VLOOKUP(CONCATENATE($L1761,$N1761),'Drop List'!$G$23:$K$87,2,FALSE),0)</f>
        <v>0</v>
      </c>
      <c r="AH1761" s="1150">
        <f>IFERROR(VLOOKUP(CONCATENATE($L1761,$N1761),'Drop List'!$G$23:$K$87,3,FALSE),0)</f>
        <v>0</v>
      </c>
      <c r="AI1761" s="1150">
        <f>IFERROR(VLOOKUP(CONCATENATE($L1761,$N1761),'Drop List'!$G$23:$K$87,4,FALSE),0)</f>
        <v>0</v>
      </c>
      <c r="AJ1761" s="1151">
        <f>IFERROR(VLOOKUP(CONCATENATE($L1761,$N1761),'Drop List'!$G$23:$K$87,5,FALSE),0)</f>
        <v>0</v>
      </c>
      <c r="AK1761" s="1152">
        <f t="shared" si="498"/>
        <v>0</v>
      </c>
      <c r="AL1761" s="1153">
        <f t="shared" si="499"/>
        <v>0</v>
      </c>
      <c r="AM1761" s="1153">
        <f t="shared" si="500"/>
        <v>0</v>
      </c>
      <c r="AN1761" s="1145">
        <f t="shared" si="501"/>
        <v>0</v>
      </c>
      <c r="AO1761" s="1154">
        <f t="shared" si="504"/>
        <v>0</v>
      </c>
      <c r="AP1761" s="1147">
        <f t="shared" si="489"/>
        <v>0</v>
      </c>
      <c r="AQ1761" s="1144">
        <f t="shared" si="490"/>
        <v>0</v>
      </c>
      <c r="AR1761" s="1146">
        <f t="shared" si="491"/>
        <v>0</v>
      </c>
    </row>
    <row r="1762" spans="1:44" x14ac:dyDescent="0.2">
      <c r="A1762" s="1141" t="str">
        <f t="shared" si="503"/>
        <v/>
      </c>
      <c r="B1762" s="1141" t="str">
        <f>IFERROR(VLOOKUP(A1762,'LAC 103'!A:C,3,FALSE),"")</f>
        <v/>
      </c>
      <c r="C1762" s="1478" t="str">
        <f>Info!$B$8</f>
        <v>00100</v>
      </c>
      <c r="D1762" s="1474"/>
      <c r="E1762" s="1474"/>
      <c r="F1762" s="1478"/>
      <c r="G1762" s="1478"/>
      <c r="H1762" s="1474"/>
      <c r="I1762" s="1478"/>
      <c r="J1762" s="1478"/>
      <c r="K1762" s="1475"/>
      <c r="L1762" s="1474"/>
      <c r="M1762" s="1476"/>
      <c r="N1762" s="1477"/>
      <c r="O1762" s="1479"/>
      <c r="P1762" s="1479"/>
      <c r="Q1762" s="1142">
        <f t="shared" si="487"/>
        <v>0</v>
      </c>
      <c r="R1762" s="1143">
        <f>IFERROR(VLOOKUP(CONCATENATE($E1762,$G1762),'LAC 103'!$A$12:$O$95,11,FALSE),0)</f>
        <v>0</v>
      </c>
      <c r="S1762" s="1144">
        <f>IFERROR(VLOOKUP(CONCATENATE($E1762,$G1762),'LAC 103'!$A$12:$O$95,12,FALSE),0)</f>
        <v>0</v>
      </c>
      <c r="T1762" s="1144">
        <f>IFERROR(VLOOKUP(CONCATENATE($E1762,$G1762),'LAC 103'!$A$12:$O$95,13,FALSE),0)</f>
        <v>0</v>
      </c>
      <c r="U1762" s="1144">
        <f>IFERROR(VLOOKUP(CONCATENATE($E1762,$G1762),'LAC 103'!$A$12:$O$95,14,FALSE),0)</f>
        <v>0</v>
      </c>
      <c r="V1762" s="1144">
        <f>IFERROR(VLOOKUP(CONCATENATE($E1762,$G1762),'LAC 103'!$A$12:$O$95,15,FALSE),0)</f>
        <v>0</v>
      </c>
      <c r="W1762" s="1145" t="str">
        <f>IFERROR(VLOOKUP(CONCATENATE($B1762,$N1762),'LAC 103'!$AI:$AQ,9,FALSE),"")</f>
        <v/>
      </c>
      <c r="X1762" s="1146">
        <f t="shared" si="492"/>
        <v>0</v>
      </c>
      <c r="Y1762" s="1143">
        <f t="shared" si="502"/>
        <v>0</v>
      </c>
      <c r="Z1762" s="1147">
        <f t="shared" si="493"/>
        <v>0</v>
      </c>
      <c r="AA1762" s="1144">
        <f t="shared" si="494"/>
        <v>0</v>
      </c>
      <c r="AB1762" s="1144">
        <f t="shared" si="495"/>
        <v>0</v>
      </c>
      <c r="AC1762" s="1144">
        <f t="shared" si="496"/>
        <v>0</v>
      </c>
      <c r="AD1762" s="1148">
        <f t="shared" si="488"/>
        <v>0</v>
      </c>
      <c r="AE1762" s="1487">
        <v>0</v>
      </c>
      <c r="AF1762" s="1145">
        <f t="shared" si="497"/>
        <v>0</v>
      </c>
      <c r="AG1762" s="1149">
        <f>IFERROR(VLOOKUP(CONCATENATE($L1762,$N1762),'Drop List'!$G$23:$K$87,2,FALSE),0)</f>
        <v>0</v>
      </c>
      <c r="AH1762" s="1150">
        <f>IFERROR(VLOOKUP(CONCATENATE($L1762,$N1762),'Drop List'!$G$23:$K$87,3,FALSE),0)</f>
        <v>0</v>
      </c>
      <c r="AI1762" s="1150">
        <f>IFERROR(VLOOKUP(CONCATENATE($L1762,$N1762),'Drop List'!$G$23:$K$87,4,FALSE),0)</f>
        <v>0</v>
      </c>
      <c r="AJ1762" s="1151">
        <f>IFERROR(VLOOKUP(CONCATENATE($L1762,$N1762),'Drop List'!$G$23:$K$87,5,FALSE),0)</f>
        <v>0</v>
      </c>
      <c r="AK1762" s="1152">
        <f t="shared" si="498"/>
        <v>0</v>
      </c>
      <c r="AL1762" s="1153">
        <f t="shared" si="499"/>
        <v>0</v>
      </c>
      <c r="AM1762" s="1153">
        <f t="shared" si="500"/>
        <v>0</v>
      </c>
      <c r="AN1762" s="1145">
        <f t="shared" si="501"/>
        <v>0</v>
      </c>
      <c r="AO1762" s="1154">
        <f t="shared" si="504"/>
        <v>0</v>
      </c>
      <c r="AP1762" s="1147">
        <f t="shared" si="489"/>
        <v>0</v>
      </c>
      <c r="AQ1762" s="1144">
        <f t="shared" si="490"/>
        <v>0</v>
      </c>
      <c r="AR1762" s="1146">
        <f t="shared" si="491"/>
        <v>0</v>
      </c>
    </row>
    <row r="1763" spans="1:44" x14ac:dyDescent="0.2">
      <c r="A1763" s="1141" t="str">
        <f t="shared" si="503"/>
        <v/>
      </c>
      <c r="B1763" s="1141" t="str">
        <f>IFERROR(VLOOKUP(A1763,'LAC 103'!A:C,3,FALSE),"")</f>
        <v/>
      </c>
      <c r="C1763" s="1478" t="str">
        <f>Info!$B$8</f>
        <v>00100</v>
      </c>
      <c r="D1763" s="1474"/>
      <c r="E1763" s="1474"/>
      <c r="F1763" s="1478"/>
      <c r="G1763" s="1478"/>
      <c r="H1763" s="1474"/>
      <c r="I1763" s="1478"/>
      <c r="J1763" s="1478"/>
      <c r="K1763" s="1475"/>
      <c r="L1763" s="1474"/>
      <c r="M1763" s="1476"/>
      <c r="N1763" s="1477"/>
      <c r="O1763" s="1479"/>
      <c r="P1763" s="1479"/>
      <c r="Q1763" s="1142">
        <f t="shared" si="487"/>
        <v>0</v>
      </c>
      <c r="R1763" s="1143">
        <f>IFERROR(VLOOKUP(CONCATENATE($E1763,$G1763),'LAC 103'!$A$12:$O$95,11,FALSE),0)</f>
        <v>0</v>
      </c>
      <c r="S1763" s="1144">
        <f>IFERROR(VLOOKUP(CONCATENATE($E1763,$G1763),'LAC 103'!$A$12:$O$95,12,FALSE),0)</f>
        <v>0</v>
      </c>
      <c r="T1763" s="1144">
        <f>IFERROR(VLOOKUP(CONCATENATE($E1763,$G1763),'LAC 103'!$A$12:$O$95,13,FALSE),0)</f>
        <v>0</v>
      </c>
      <c r="U1763" s="1144">
        <f>IFERROR(VLOOKUP(CONCATENATE($E1763,$G1763),'LAC 103'!$A$12:$O$95,14,FALSE),0)</f>
        <v>0</v>
      </c>
      <c r="V1763" s="1144">
        <f>IFERROR(VLOOKUP(CONCATENATE($E1763,$G1763),'LAC 103'!$A$12:$O$95,15,FALSE),0)</f>
        <v>0</v>
      </c>
      <c r="W1763" s="1145" t="str">
        <f>IFERROR(VLOOKUP(CONCATENATE($B1763,$N1763),'LAC 103'!$AI:$AQ,9,FALSE),"")</f>
        <v/>
      </c>
      <c r="X1763" s="1146">
        <f t="shared" si="492"/>
        <v>0</v>
      </c>
      <c r="Y1763" s="1143">
        <f t="shared" si="502"/>
        <v>0</v>
      </c>
      <c r="Z1763" s="1147">
        <f t="shared" si="493"/>
        <v>0</v>
      </c>
      <c r="AA1763" s="1144">
        <f t="shared" si="494"/>
        <v>0</v>
      </c>
      <c r="AB1763" s="1144">
        <f t="shared" si="495"/>
        <v>0</v>
      </c>
      <c r="AC1763" s="1144">
        <f t="shared" si="496"/>
        <v>0</v>
      </c>
      <c r="AD1763" s="1148">
        <f t="shared" si="488"/>
        <v>0</v>
      </c>
      <c r="AE1763" s="1487">
        <v>0</v>
      </c>
      <c r="AF1763" s="1145">
        <f t="shared" si="497"/>
        <v>0</v>
      </c>
      <c r="AG1763" s="1149">
        <f>IFERROR(VLOOKUP(CONCATENATE($L1763,$N1763),'Drop List'!$G$23:$K$87,2,FALSE),0)</f>
        <v>0</v>
      </c>
      <c r="AH1763" s="1150">
        <f>IFERROR(VLOOKUP(CONCATENATE($L1763,$N1763),'Drop List'!$G$23:$K$87,3,FALSE),0)</f>
        <v>0</v>
      </c>
      <c r="AI1763" s="1150">
        <f>IFERROR(VLOOKUP(CONCATENATE($L1763,$N1763),'Drop List'!$G$23:$K$87,4,FALSE),0)</f>
        <v>0</v>
      </c>
      <c r="AJ1763" s="1151">
        <f>IFERROR(VLOOKUP(CONCATENATE($L1763,$N1763),'Drop List'!$G$23:$K$87,5,FALSE),0)</f>
        <v>0</v>
      </c>
      <c r="AK1763" s="1152">
        <f t="shared" si="498"/>
        <v>0</v>
      </c>
      <c r="AL1763" s="1153">
        <f t="shared" si="499"/>
        <v>0</v>
      </c>
      <c r="AM1763" s="1153">
        <f t="shared" si="500"/>
        <v>0</v>
      </c>
      <c r="AN1763" s="1145">
        <f t="shared" si="501"/>
        <v>0</v>
      </c>
      <c r="AO1763" s="1154">
        <f t="shared" si="504"/>
        <v>0</v>
      </c>
      <c r="AP1763" s="1147">
        <f t="shared" si="489"/>
        <v>0</v>
      </c>
      <c r="AQ1763" s="1144">
        <f t="shared" si="490"/>
        <v>0</v>
      </c>
      <c r="AR1763" s="1146">
        <f t="shared" si="491"/>
        <v>0</v>
      </c>
    </row>
    <row r="1764" spans="1:44" x14ac:dyDescent="0.2">
      <c r="A1764" s="1141" t="str">
        <f t="shared" si="503"/>
        <v/>
      </c>
      <c r="B1764" s="1141" t="str">
        <f>IFERROR(VLOOKUP(A1764,'LAC 103'!A:C,3,FALSE),"")</f>
        <v/>
      </c>
      <c r="C1764" s="1478" t="str">
        <f>Info!$B$8</f>
        <v>00100</v>
      </c>
      <c r="D1764" s="1474"/>
      <c r="E1764" s="1474"/>
      <c r="F1764" s="1478"/>
      <c r="G1764" s="1478"/>
      <c r="H1764" s="1474"/>
      <c r="I1764" s="1478"/>
      <c r="J1764" s="1478"/>
      <c r="K1764" s="1475"/>
      <c r="L1764" s="1474"/>
      <c r="M1764" s="1476"/>
      <c r="N1764" s="1477"/>
      <c r="O1764" s="1479"/>
      <c r="P1764" s="1479"/>
      <c r="Q1764" s="1142">
        <f t="shared" si="487"/>
        <v>0</v>
      </c>
      <c r="R1764" s="1143">
        <f>IFERROR(VLOOKUP(CONCATENATE($E1764,$G1764),'LAC 103'!$A$12:$O$95,11,FALSE),0)</f>
        <v>0</v>
      </c>
      <c r="S1764" s="1144">
        <f>IFERROR(VLOOKUP(CONCATENATE($E1764,$G1764),'LAC 103'!$A$12:$O$95,12,FALSE),0)</f>
        <v>0</v>
      </c>
      <c r="T1764" s="1144">
        <f>IFERROR(VLOOKUP(CONCATENATE($E1764,$G1764),'LAC 103'!$A$12:$O$95,13,FALSE),0)</f>
        <v>0</v>
      </c>
      <c r="U1764" s="1144">
        <f>IFERROR(VLOOKUP(CONCATENATE($E1764,$G1764),'LAC 103'!$A$12:$O$95,14,FALSE),0)</f>
        <v>0</v>
      </c>
      <c r="V1764" s="1144">
        <f>IFERROR(VLOOKUP(CONCATENATE($E1764,$G1764),'LAC 103'!$A$12:$O$95,15,FALSE),0)</f>
        <v>0</v>
      </c>
      <c r="W1764" s="1145" t="str">
        <f>IFERROR(VLOOKUP(CONCATENATE($B1764,$N1764),'LAC 103'!$AI:$AQ,9,FALSE),"")</f>
        <v/>
      </c>
      <c r="X1764" s="1146">
        <f t="shared" si="492"/>
        <v>0</v>
      </c>
      <c r="Y1764" s="1143">
        <f t="shared" si="502"/>
        <v>0</v>
      </c>
      <c r="Z1764" s="1147">
        <f t="shared" si="493"/>
        <v>0</v>
      </c>
      <c r="AA1764" s="1144">
        <f t="shared" si="494"/>
        <v>0</v>
      </c>
      <c r="AB1764" s="1144">
        <f t="shared" si="495"/>
        <v>0</v>
      </c>
      <c r="AC1764" s="1144">
        <f t="shared" si="496"/>
        <v>0</v>
      </c>
      <c r="AD1764" s="1148">
        <f t="shared" si="488"/>
        <v>0</v>
      </c>
      <c r="AE1764" s="1487">
        <v>0</v>
      </c>
      <c r="AF1764" s="1145">
        <f t="shared" si="497"/>
        <v>0</v>
      </c>
      <c r="AG1764" s="1149">
        <f>IFERROR(VLOOKUP(CONCATENATE($L1764,$N1764),'Drop List'!$G$23:$K$87,2,FALSE),0)</f>
        <v>0</v>
      </c>
      <c r="AH1764" s="1150">
        <f>IFERROR(VLOOKUP(CONCATENATE($L1764,$N1764),'Drop List'!$G$23:$K$87,3,FALSE),0)</f>
        <v>0</v>
      </c>
      <c r="AI1764" s="1150">
        <f>IFERROR(VLOOKUP(CONCATENATE($L1764,$N1764),'Drop List'!$G$23:$K$87,4,FALSE),0)</f>
        <v>0</v>
      </c>
      <c r="AJ1764" s="1151">
        <f>IFERROR(VLOOKUP(CONCATENATE($L1764,$N1764),'Drop List'!$G$23:$K$87,5,FALSE),0)</f>
        <v>0</v>
      </c>
      <c r="AK1764" s="1152">
        <f t="shared" si="498"/>
        <v>0</v>
      </c>
      <c r="AL1764" s="1153">
        <f t="shared" si="499"/>
        <v>0</v>
      </c>
      <c r="AM1764" s="1153">
        <f t="shared" si="500"/>
        <v>0</v>
      </c>
      <c r="AN1764" s="1145">
        <f t="shared" si="501"/>
        <v>0</v>
      </c>
      <c r="AO1764" s="1154">
        <f t="shared" si="504"/>
        <v>0</v>
      </c>
      <c r="AP1764" s="1147">
        <f t="shared" si="489"/>
        <v>0</v>
      </c>
      <c r="AQ1764" s="1144">
        <f t="shared" si="490"/>
        <v>0</v>
      </c>
      <c r="AR1764" s="1146">
        <f t="shared" si="491"/>
        <v>0</v>
      </c>
    </row>
    <row r="1765" spans="1:44" x14ac:dyDescent="0.2">
      <c r="A1765" s="1141" t="str">
        <f t="shared" si="503"/>
        <v/>
      </c>
      <c r="B1765" s="1141" t="str">
        <f>IFERROR(VLOOKUP(A1765,'LAC 103'!A:C,3,FALSE),"")</f>
        <v/>
      </c>
      <c r="C1765" s="1478" t="str">
        <f>Info!$B$8</f>
        <v>00100</v>
      </c>
      <c r="D1765" s="1474"/>
      <c r="E1765" s="1474"/>
      <c r="F1765" s="1478"/>
      <c r="G1765" s="1478"/>
      <c r="H1765" s="1474"/>
      <c r="I1765" s="1478"/>
      <c r="J1765" s="1478"/>
      <c r="K1765" s="1475"/>
      <c r="L1765" s="1474"/>
      <c r="M1765" s="1476"/>
      <c r="N1765" s="1477"/>
      <c r="O1765" s="1479"/>
      <c r="P1765" s="1479"/>
      <c r="Q1765" s="1142">
        <f t="shared" si="487"/>
        <v>0</v>
      </c>
      <c r="R1765" s="1143">
        <f>IFERROR(VLOOKUP(CONCATENATE($E1765,$G1765),'LAC 103'!$A$12:$O$95,11,FALSE),0)</f>
        <v>0</v>
      </c>
      <c r="S1765" s="1144">
        <f>IFERROR(VLOOKUP(CONCATENATE($E1765,$G1765),'LAC 103'!$A$12:$O$95,12,FALSE),0)</f>
        <v>0</v>
      </c>
      <c r="T1765" s="1144">
        <f>IFERROR(VLOOKUP(CONCATENATE($E1765,$G1765),'LAC 103'!$A$12:$O$95,13,FALSE),0)</f>
        <v>0</v>
      </c>
      <c r="U1765" s="1144">
        <f>IFERROR(VLOOKUP(CONCATENATE($E1765,$G1765),'LAC 103'!$A$12:$O$95,14,FALSE),0)</f>
        <v>0</v>
      </c>
      <c r="V1765" s="1144">
        <f>IFERROR(VLOOKUP(CONCATENATE($E1765,$G1765),'LAC 103'!$A$12:$O$95,15,FALSE),0)</f>
        <v>0</v>
      </c>
      <c r="W1765" s="1145" t="str">
        <f>IFERROR(VLOOKUP(CONCATENATE($B1765,$N1765),'LAC 103'!$AI:$AQ,9,FALSE),"")</f>
        <v/>
      </c>
      <c r="X1765" s="1146">
        <f t="shared" si="492"/>
        <v>0</v>
      </c>
      <c r="Y1765" s="1143">
        <f t="shared" si="502"/>
        <v>0</v>
      </c>
      <c r="Z1765" s="1147">
        <f t="shared" si="493"/>
        <v>0</v>
      </c>
      <c r="AA1765" s="1144">
        <f t="shared" si="494"/>
        <v>0</v>
      </c>
      <c r="AB1765" s="1144">
        <f t="shared" si="495"/>
        <v>0</v>
      </c>
      <c r="AC1765" s="1144">
        <f t="shared" si="496"/>
        <v>0</v>
      </c>
      <c r="AD1765" s="1148">
        <f t="shared" si="488"/>
        <v>0</v>
      </c>
      <c r="AE1765" s="1487">
        <v>0</v>
      </c>
      <c r="AF1765" s="1145">
        <f t="shared" si="497"/>
        <v>0</v>
      </c>
      <c r="AG1765" s="1149">
        <f>IFERROR(VLOOKUP(CONCATENATE($L1765,$N1765),'Drop List'!$G$23:$K$87,2,FALSE),0)</f>
        <v>0</v>
      </c>
      <c r="AH1765" s="1150">
        <f>IFERROR(VLOOKUP(CONCATENATE($L1765,$N1765),'Drop List'!$G$23:$K$87,3,FALSE),0)</f>
        <v>0</v>
      </c>
      <c r="AI1765" s="1150">
        <f>IFERROR(VLOOKUP(CONCATENATE($L1765,$N1765),'Drop List'!$G$23:$K$87,4,FALSE),0)</f>
        <v>0</v>
      </c>
      <c r="AJ1765" s="1151">
        <f>IFERROR(VLOOKUP(CONCATENATE($L1765,$N1765),'Drop List'!$G$23:$K$87,5,FALSE),0)</f>
        <v>0</v>
      </c>
      <c r="AK1765" s="1152">
        <f t="shared" si="498"/>
        <v>0</v>
      </c>
      <c r="AL1765" s="1153">
        <f t="shared" si="499"/>
        <v>0</v>
      </c>
      <c r="AM1765" s="1153">
        <f t="shared" si="500"/>
        <v>0</v>
      </c>
      <c r="AN1765" s="1145">
        <f t="shared" si="501"/>
        <v>0</v>
      </c>
      <c r="AO1765" s="1154">
        <f t="shared" si="504"/>
        <v>0</v>
      </c>
      <c r="AP1765" s="1147">
        <f t="shared" si="489"/>
        <v>0</v>
      </c>
      <c r="AQ1765" s="1144">
        <f t="shared" si="490"/>
        <v>0</v>
      </c>
      <c r="AR1765" s="1146">
        <f t="shared" si="491"/>
        <v>0</v>
      </c>
    </row>
    <row r="1766" spans="1:44" x14ac:dyDescent="0.2">
      <c r="A1766" s="1141" t="str">
        <f t="shared" si="503"/>
        <v/>
      </c>
      <c r="B1766" s="1141" t="str">
        <f>IFERROR(VLOOKUP(A1766,'LAC 103'!A:C,3,FALSE),"")</f>
        <v/>
      </c>
      <c r="C1766" s="1478" t="str">
        <f>Info!$B$8</f>
        <v>00100</v>
      </c>
      <c r="D1766" s="1474"/>
      <c r="E1766" s="1474"/>
      <c r="F1766" s="1478"/>
      <c r="G1766" s="1478"/>
      <c r="H1766" s="1474"/>
      <c r="I1766" s="1478"/>
      <c r="J1766" s="1478"/>
      <c r="K1766" s="1475"/>
      <c r="L1766" s="1474"/>
      <c r="M1766" s="1476"/>
      <c r="N1766" s="1477"/>
      <c r="O1766" s="1479"/>
      <c r="P1766" s="1479"/>
      <c r="Q1766" s="1142">
        <f t="shared" si="487"/>
        <v>0</v>
      </c>
      <c r="R1766" s="1143">
        <f>IFERROR(VLOOKUP(CONCATENATE($E1766,$G1766),'LAC 103'!$A$12:$O$95,11,FALSE),0)</f>
        <v>0</v>
      </c>
      <c r="S1766" s="1144">
        <f>IFERROR(VLOOKUP(CONCATENATE($E1766,$G1766),'LAC 103'!$A$12:$O$95,12,FALSE),0)</f>
        <v>0</v>
      </c>
      <c r="T1766" s="1144">
        <f>IFERROR(VLOOKUP(CONCATENATE($E1766,$G1766),'LAC 103'!$A$12:$O$95,13,FALSE),0)</f>
        <v>0</v>
      </c>
      <c r="U1766" s="1144">
        <f>IFERROR(VLOOKUP(CONCATENATE($E1766,$G1766),'LAC 103'!$A$12:$O$95,14,FALSE),0)</f>
        <v>0</v>
      </c>
      <c r="V1766" s="1144">
        <f>IFERROR(VLOOKUP(CONCATENATE($E1766,$G1766),'LAC 103'!$A$12:$O$95,15,FALSE),0)</f>
        <v>0</v>
      </c>
      <c r="W1766" s="1145" t="str">
        <f>IFERROR(VLOOKUP(CONCATENATE($B1766,$N1766),'LAC 103'!$AI:$AQ,9,FALSE),"")</f>
        <v/>
      </c>
      <c r="X1766" s="1146">
        <f t="shared" si="492"/>
        <v>0</v>
      </c>
      <c r="Y1766" s="1143">
        <f t="shared" si="502"/>
        <v>0</v>
      </c>
      <c r="Z1766" s="1147">
        <f t="shared" si="493"/>
        <v>0</v>
      </c>
      <c r="AA1766" s="1144">
        <f t="shared" si="494"/>
        <v>0</v>
      </c>
      <c r="AB1766" s="1144">
        <f t="shared" si="495"/>
        <v>0</v>
      </c>
      <c r="AC1766" s="1144">
        <f t="shared" si="496"/>
        <v>0</v>
      </c>
      <c r="AD1766" s="1148">
        <f t="shared" si="488"/>
        <v>0</v>
      </c>
      <c r="AE1766" s="1487">
        <v>0</v>
      </c>
      <c r="AF1766" s="1145">
        <f t="shared" si="497"/>
        <v>0</v>
      </c>
      <c r="AG1766" s="1149">
        <f>IFERROR(VLOOKUP(CONCATENATE($L1766,$N1766),'Drop List'!$G$23:$K$87,2,FALSE),0)</f>
        <v>0</v>
      </c>
      <c r="AH1766" s="1150">
        <f>IFERROR(VLOOKUP(CONCATENATE($L1766,$N1766),'Drop List'!$G$23:$K$87,3,FALSE),0)</f>
        <v>0</v>
      </c>
      <c r="AI1766" s="1150">
        <f>IFERROR(VLOOKUP(CONCATENATE($L1766,$N1766),'Drop List'!$G$23:$K$87,4,FALSE),0)</f>
        <v>0</v>
      </c>
      <c r="AJ1766" s="1151">
        <f>IFERROR(VLOOKUP(CONCATENATE($L1766,$N1766),'Drop List'!$G$23:$K$87,5,FALSE),0)</f>
        <v>0</v>
      </c>
      <c r="AK1766" s="1152">
        <f t="shared" si="498"/>
        <v>0</v>
      </c>
      <c r="AL1766" s="1153">
        <f t="shared" si="499"/>
        <v>0</v>
      </c>
      <c r="AM1766" s="1153">
        <f t="shared" si="500"/>
        <v>0</v>
      </c>
      <c r="AN1766" s="1145">
        <f t="shared" si="501"/>
        <v>0</v>
      </c>
      <c r="AO1766" s="1154">
        <f t="shared" si="504"/>
        <v>0</v>
      </c>
      <c r="AP1766" s="1147">
        <f t="shared" si="489"/>
        <v>0</v>
      </c>
      <c r="AQ1766" s="1144">
        <f t="shared" si="490"/>
        <v>0</v>
      </c>
      <c r="AR1766" s="1146">
        <f t="shared" si="491"/>
        <v>0</v>
      </c>
    </row>
    <row r="1767" spans="1:44" x14ac:dyDescent="0.2">
      <c r="A1767" s="1141" t="str">
        <f t="shared" si="503"/>
        <v/>
      </c>
      <c r="B1767" s="1141" t="str">
        <f>IFERROR(VLOOKUP(A1767,'LAC 103'!A:C,3,FALSE),"")</f>
        <v/>
      </c>
      <c r="C1767" s="1478" t="str">
        <f>Info!$B$8</f>
        <v>00100</v>
      </c>
      <c r="D1767" s="1474"/>
      <c r="E1767" s="1474"/>
      <c r="F1767" s="1478"/>
      <c r="G1767" s="1478"/>
      <c r="H1767" s="1474"/>
      <c r="I1767" s="1478"/>
      <c r="J1767" s="1478"/>
      <c r="K1767" s="1475"/>
      <c r="L1767" s="1474"/>
      <c r="M1767" s="1476"/>
      <c r="N1767" s="1477"/>
      <c r="O1767" s="1479"/>
      <c r="P1767" s="1479"/>
      <c r="Q1767" s="1142">
        <f t="shared" si="487"/>
        <v>0</v>
      </c>
      <c r="R1767" s="1143">
        <f>IFERROR(VLOOKUP(CONCATENATE($E1767,$G1767),'LAC 103'!$A$12:$O$95,11,FALSE),0)</f>
        <v>0</v>
      </c>
      <c r="S1767" s="1144">
        <f>IFERROR(VLOOKUP(CONCATENATE($E1767,$G1767),'LAC 103'!$A$12:$O$95,12,FALSE),0)</f>
        <v>0</v>
      </c>
      <c r="T1767" s="1144">
        <f>IFERROR(VLOOKUP(CONCATENATE($E1767,$G1767),'LAC 103'!$A$12:$O$95,13,FALSE),0)</f>
        <v>0</v>
      </c>
      <c r="U1767" s="1144">
        <f>IFERROR(VLOOKUP(CONCATENATE($E1767,$G1767),'LAC 103'!$A$12:$O$95,14,FALSE),0)</f>
        <v>0</v>
      </c>
      <c r="V1767" s="1144">
        <f>IFERROR(VLOOKUP(CONCATENATE($E1767,$G1767),'LAC 103'!$A$12:$O$95,15,FALSE),0)</f>
        <v>0</v>
      </c>
      <c r="W1767" s="1145" t="str">
        <f>IFERROR(VLOOKUP(CONCATENATE($B1767,$N1767),'LAC 103'!$AI:$AQ,9,FALSE),"")</f>
        <v/>
      </c>
      <c r="X1767" s="1146">
        <f t="shared" si="492"/>
        <v>0</v>
      </c>
      <c r="Y1767" s="1143">
        <f t="shared" si="502"/>
        <v>0</v>
      </c>
      <c r="Z1767" s="1147">
        <f t="shared" si="493"/>
        <v>0</v>
      </c>
      <c r="AA1767" s="1144">
        <f t="shared" si="494"/>
        <v>0</v>
      </c>
      <c r="AB1767" s="1144">
        <f t="shared" si="495"/>
        <v>0</v>
      </c>
      <c r="AC1767" s="1144">
        <f t="shared" si="496"/>
        <v>0</v>
      </c>
      <c r="AD1767" s="1148">
        <f t="shared" si="488"/>
        <v>0</v>
      </c>
      <c r="AE1767" s="1487">
        <v>0</v>
      </c>
      <c r="AF1767" s="1145">
        <f t="shared" si="497"/>
        <v>0</v>
      </c>
      <c r="AG1767" s="1149">
        <f>IFERROR(VLOOKUP(CONCATENATE($L1767,$N1767),'Drop List'!$G$23:$K$87,2,FALSE),0)</f>
        <v>0</v>
      </c>
      <c r="AH1767" s="1150">
        <f>IFERROR(VLOOKUP(CONCATENATE($L1767,$N1767),'Drop List'!$G$23:$K$87,3,FALSE),0)</f>
        <v>0</v>
      </c>
      <c r="AI1767" s="1150">
        <f>IFERROR(VLOOKUP(CONCATENATE($L1767,$N1767),'Drop List'!$G$23:$K$87,4,FALSE),0)</f>
        <v>0</v>
      </c>
      <c r="AJ1767" s="1151">
        <f>IFERROR(VLOOKUP(CONCATENATE($L1767,$N1767),'Drop List'!$G$23:$K$87,5,FALSE),0)</f>
        <v>0</v>
      </c>
      <c r="AK1767" s="1152">
        <f t="shared" si="498"/>
        <v>0</v>
      </c>
      <c r="AL1767" s="1153">
        <f t="shared" si="499"/>
        <v>0</v>
      </c>
      <c r="AM1767" s="1153">
        <f t="shared" si="500"/>
        <v>0</v>
      </c>
      <c r="AN1767" s="1145">
        <f t="shared" si="501"/>
        <v>0</v>
      </c>
      <c r="AO1767" s="1154">
        <f t="shared" si="504"/>
        <v>0</v>
      </c>
      <c r="AP1767" s="1147">
        <f t="shared" si="489"/>
        <v>0</v>
      </c>
      <c r="AQ1767" s="1144">
        <f t="shared" si="490"/>
        <v>0</v>
      </c>
      <c r="AR1767" s="1146">
        <f t="shared" si="491"/>
        <v>0</v>
      </c>
    </row>
    <row r="1768" spans="1:44" x14ac:dyDescent="0.2">
      <c r="A1768" s="1141" t="str">
        <f t="shared" si="503"/>
        <v/>
      </c>
      <c r="B1768" s="1141" t="str">
        <f>IFERROR(VLOOKUP(A1768,'LAC 103'!A:C,3,FALSE),"")</f>
        <v/>
      </c>
      <c r="C1768" s="1478" t="str">
        <f>Info!$B$8</f>
        <v>00100</v>
      </c>
      <c r="D1768" s="1474"/>
      <c r="E1768" s="1474"/>
      <c r="F1768" s="1478"/>
      <c r="G1768" s="1478"/>
      <c r="H1768" s="1474"/>
      <c r="I1768" s="1478"/>
      <c r="J1768" s="1478"/>
      <c r="K1768" s="1475"/>
      <c r="L1768" s="1474"/>
      <c r="M1768" s="1476"/>
      <c r="N1768" s="1477"/>
      <c r="O1768" s="1479"/>
      <c r="P1768" s="1479"/>
      <c r="Q1768" s="1142">
        <f t="shared" si="487"/>
        <v>0</v>
      </c>
      <c r="R1768" s="1143">
        <f>IFERROR(VLOOKUP(CONCATENATE($E1768,$G1768),'LAC 103'!$A$12:$O$95,11,FALSE),0)</f>
        <v>0</v>
      </c>
      <c r="S1768" s="1144">
        <f>IFERROR(VLOOKUP(CONCATENATE($E1768,$G1768),'LAC 103'!$A$12:$O$95,12,FALSE),0)</f>
        <v>0</v>
      </c>
      <c r="T1768" s="1144">
        <f>IFERROR(VLOOKUP(CONCATENATE($E1768,$G1768),'LAC 103'!$A$12:$O$95,13,FALSE),0)</f>
        <v>0</v>
      </c>
      <c r="U1768" s="1144">
        <f>IFERROR(VLOOKUP(CONCATENATE($E1768,$G1768),'LAC 103'!$A$12:$O$95,14,FALSE),0)</f>
        <v>0</v>
      </c>
      <c r="V1768" s="1144">
        <f>IFERROR(VLOOKUP(CONCATENATE($E1768,$G1768),'LAC 103'!$A$12:$O$95,15,FALSE),0)</f>
        <v>0</v>
      </c>
      <c r="W1768" s="1145" t="str">
        <f>IFERROR(VLOOKUP(CONCATENATE($B1768,$N1768),'LAC 103'!$AI:$AQ,9,FALSE),"")</f>
        <v/>
      </c>
      <c r="X1768" s="1146">
        <f t="shared" si="492"/>
        <v>0</v>
      </c>
      <c r="Y1768" s="1143">
        <f t="shared" si="502"/>
        <v>0</v>
      </c>
      <c r="Z1768" s="1147">
        <f t="shared" si="493"/>
        <v>0</v>
      </c>
      <c r="AA1768" s="1144">
        <f t="shared" si="494"/>
        <v>0</v>
      </c>
      <c r="AB1768" s="1144">
        <f t="shared" si="495"/>
        <v>0</v>
      </c>
      <c r="AC1768" s="1144">
        <f t="shared" si="496"/>
        <v>0</v>
      </c>
      <c r="AD1768" s="1148">
        <f t="shared" si="488"/>
        <v>0</v>
      </c>
      <c r="AE1768" s="1487">
        <v>0</v>
      </c>
      <c r="AF1768" s="1145">
        <f t="shared" si="497"/>
        <v>0</v>
      </c>
      <c r="AG1768" s="1149">
        <f>IFERROR(VLOOKUP(CONCATENATE($L1768,$N1768),'Drop List'!$G$23:$K$87,2,FALSE),0)</f>
        <v>0</v>
      </c>
      <c r="AH1768" s="1150">
        <f>IFERROR(VLOOKUP(CONCATENATE($L1768,$N1768),'Drop List'!$G$23:$K$87,3,FALSE),0)</f>
        <v>0</v>
      </c>
      <c r="AI1768" s="1150">
        <f>IFERROR(VLOOKUP(CONCATENATE($L1768,$N1768),'Drop List'!$G$23:$K$87,4,FALSE),0)</f>
        <v>0</v>
      </c>
      <c r="AJ1768" s="1151">
        <f>IFERROR(VLOOKUP(CONCATENATE($L1768,$N1768),'Drop List'!$G$23:$K$87,5,FALSE),0)</f>
        <v>0</v>
      </c>
      <c r="AK1768" s="1152">
        <f t="shared" si="498"/>
        <v>0</v>
      </c>
      <c r="AL1768" s="1153">
        <f t="shared" si="499"/>
        <v>0</v>
      </c>
      <c r="AM1768" s="1153">
        <f t="shared" si="500"/>
        <v>0</v>
      </c>
      <c r="AN1768" s="1145">
        <f t="shared" si="501"/>
        <v>0</v>
      </c>
      <c r="AO1768" s="1154">
        <f t="shared" si="504"/>
        <v>0</v>
      </c>
      <c r="AP1768" s="1147">
        <f t="shared" si="489"/>
        <v>0</v>
      </c>
      <c r="AQ1768" s="1144">
        <f t="shared" si="490"/>
        <v>0</v>
      </c>
      <c r="AR1768" s="1146">
        <f t="shared" si="491"/>
        <v>0</v>
      </c>
    </row>
    <row r="1769" spans="1:44" x14ac:dyDescent="0.2">
      <c r="A1769" s="1141" t="str">
        <f t="shared" si="503"/>
        <v/>
      </c>
      <c r="B1769" s="1141" t="str">
        <f>IFERROR(VLOOKUP(A1769,'LAC 103'!A:C,3,FALSE),"")</f>
        <v/>
      </c>
      <c r="C1769" s="1478" t="str">
        <f>Info!$B$8</f>
        <v>00100</v>
      </c>
      <c r="D1769" s="1474"/>
      <c r="E1769" s="1474"/>
      <c r="F1769" s="1478"/>
      <c r="G1769" s="1478"/>
      <c r="H1769" s="1474"/>
      <c r="I1769" s="1478"/>
      <c r="J1769" s="1478"/>
      <c r="K1769" s="1475"/>
      <c r="L1769" s="1474"/>
      <c r="M1769" s="1476"/>
      <c r="N1769" s="1477"/>
      <c r="O1769" s="1479"/>
      <c r="P1769" s="1479"/>
      <c r="Q1769" s="1142">
        <f t="shared" si="487"/>
        <v>0</v>
      </c>
      <c r="R1769" s="1143">
        <f>IFERROR(VLOOKUP(CONCATENATE($E1769,$G1769),'LAC 103'!$A$12:$O$95,11,FALSE),0)</f>
        <v>0</v>
      </c>
      <c r="S1769" s="1144">
        <f>IFERROR(VLOOKUP(CONCATENATE($E1769,$G1769),'LAC 103'!$A$12:$O$95,12,FALSE),0)</f>
        <v>0</v>
      </c>
      <c r="T1769" s="1144">
        <f>IFERROR(VLOOKUP(CONCATENATE($E1769,$G1769),'LAC 103'!$A$12:$O$95,13,FALSE),0)</f>
        <v>0</v>
      </c>
      <c r="U1769" s="1144">
        <f>IFERROR(VLOOKUP(CONCATENATE($E1769,$G1769),'LAC 103'!$A$12:$O$95,14,FALSE),0)</f>
        <v>0</v>
      </c>
      <c r="V1769" s="1144">
        <f>IFERROR(VLOOKUP(CONCATENATE($E1769,$G1769),'LAC 103'!$A$12:$O$95,15,FALSE),0)</f>
        <v>0</v>
      </c>
      <c r="W1769" s="1145" t="str">
        <f>IFERROR(VLOOKUP(CONCATENATE($B1769,$N1769),'LAC 103'!$AI:$AQ,9,FALSE),"")</f>
        <v/>
      </c>
      <c r="X1769" s="1146">
        <f t="shared" si="492"/>
        <v>0</v>
      </c>
      <c r="Y1769" s="1143">
        <f t="shared" si="502"/>
        <v>0</v>
      </c>
      <c r="Z1769" s="1147">
        <f t="shared" si="493"/>
        <v>0</v>
      </c>
      <c r="AA1769" s="1144">
        <f t="shared" si="494"/>
        <v>0</v>
      </c>
      <c r="AB1769" s="1144">
        <f t="shared" si="495"/>
        <v>0</v>
      </c>
      <c r="AC1769" s="1144">
        <f t="shared" si="496"/>
        <v>0</v>
      </c>
      <c r="AD1769" s="1148">
        <f t="shared" si="488"/>
        <v>0</v>
      </c>
      <c r="AE1769" s="1487">
        <v>0</v>
      </c>
      <c r="AF1769" s="1145">
        <f t="shared" si="497"/>
        <v>0</v>
      </c>
      <c r="AG1769" s="1149">
        <f>IFERROR(VLOOKUP(CONCATENATE($L1769,$N1769),'Drop List'!$G$23:$K$87,2,FALSE),0)</f>
        <v>0</v>
      </c>
      <c r="AH1769" s="1150">
        <f>IFERROR(VLOOKUP(CONCATENATE($L1769,$N1769),'Drop List'!$G$23:$K$87,3,FALSE),0)</f>
        <v>0</v>
      </c>
      <c r="AI1769" s="1150">
        <f>IFERROR(VLOOKUP(CONCATENATE($L1769,$N1769),'Drop List'!$G$23:$K$87,4,FALSE),0)</f>
        <v>0</v>
      </c>
      <c r="AJ1769" s="1151">
        <f>IFERROR(VLOOKUP(CONCATENATE($L1769,$N1769),'Drop List'!$G$23:$K$87,5,FALSE),0)</f>
        <v>0</v>
      </c>
      <c r="AK1769" s="1152">
        <f t="shared" si="498"/>
        <v>0</v>
      </c>
      <c r="AL1769" s="1153">
        <f t="shared" si="499"/>
        <v>0</v>
      </c>
      <c r="AM1769" s="1153">
        <f t="shared" si="500"/>
        <v>0</v>
      </c>
      <c r="AN1769" s="1145">
        <f t="shared" si="501"/>
        <v>0</v>
      </c>
      <c r="AO1769" s="1154">
        <f t="shared" si="504"/>
        <v>0</v>
      </c>
      <c r="AP1769" s="1147">
        <f t="shared" si="489"/>
        <v>0</v>
      </c>
      <c r="AQ1769" s="1144">
        <f t="shared" si="490"/>
        <v>0</v>
      </c>
      <c r="AR1769" s="1146">
        <f t="shared" si="491"/>
        <v>0</v>
      </c>
    </row>
    <row r="1770" spans="1:44" x14ac:dyDescent="0.2">
      <c r="A1770" s="1141" t="str">
        <f t="shared" si="503"/>
        <v/>
      </c>
      <c r="B1770" s="1141" t="str">
        <f>IFERROR(VLOOKUP(A1770,'LAC 103'!A:C,3,FALSE),"")</f>
        <v/>
      </c>
      <c r="C1770" s="1478" t="str">
        <f>Info!$B$8</f>
        <v>00100</v>
      </c>
      <c r="D1770" s="1474"/>
      <c r="E1770" s="1474"/>
      <c r="F1770" s="1478"/>
      <c r="G1770" s="1478"/>
      <c r="H1770" s="1474"/>
      <c r="I1770" s="1478"/>
      <c r="J1770" s="1478"/>
      <c r="K1770" s="1475"/>
      <c r="L1770" s="1474"/>
      <c r="M1770" s="1476"/>
      <c r="N1770" s="1477"/>
      <c r="O1770" s="1479"/>
      <c r="P1770" s="1479"/>
      <c r="Q1770" s="1142">
        <f t="shared" si="487"/>
        <v>0</v>
      </c>
      <c r="R1770" s="1143">
        <f>IFERROR(VLOOKUP(CONCATENATE($E1770,$G1770),'LAC 103'!$A$12:$O$95,11,FALSE),0)</f>
        <v>0</v>
      </c>
      <c r="S1770" s="1144">
        <f>IFERROR(VLOOKUP(CONCATENATE($E1770,$G1770),'LAC 103'!$A$12:$O$95,12,FALSE),0)</f>
        <v>0</v>
      </c>
      <c r="T1770" s="1144">
        <f>IFERROR(VLOOKUP(CONCATENATE($E1770,$G1770),'LAC 103'!$A$12:$O$95,13,FALSE),0)</f>
        <v>0</v>
      </c>
      <c r="U1770" s="1144">
        <f>IFERROR(VLOOKUP(CONCATENATE($E1770,$G1770),'LAC 103'!$A$12:$O$95,14,FALSE),0)</f>
        <v>0</v>
      </c>
      <c r="V1770" s="1144">
        <f>IFERROR(VLOOKUP(CONCATENATE($E1770,$G1770),'LAC 103'!$A$12:$O$95,15,FALSE),0)</f>
        <v>0</v>
      </c>
      <c r="W1770" s="1145" t="str">
        <f>IFERROR(VLOOKUP(CONCATENATE($B1770,$N1770),'LAC 103'!$AI:$AQ,9,FALSE),"")</f>
        <v/>
      </c>
      <c r="X1770" s="1146">
        <f t="shared" si="492"/>
        <v>0</v>
      </c>
      <c r="Y1770" s="1143">
        <f t="shared" si="502"/>
        <v>0</v>
      </c>
      <c r="Z1770" s="1147">
        <f t="shared" si="493"/>
        <v>0</v>
      </c>
      <c r="AA1770" s="1144">
        <f t="shared" si="494"/>
        <v>0</v>
      </c>
      <c r="AB1770" s="1144">
        <f t="shared" si="495"/>
        <v>0</v>
      </c>
      <c r="AC1770" s="1144">
        <f t="shared" si="496"/>
        <v>0</v>
      </c>
      <c r="AD1770" s="1148">
        <f t="shared" si="488"/>
        <v>0</v>
      </c>
      <c r="AE1770" s="1487">
        <v>0</v>
      </c>
      <c r="AF1770" s="1145">
        <f t="shared" si="497"/>
        <v>0</v>
      </c>
      <c r="AG1770" s="1149">
        <f>IFERROR(VLOOKUP(CONCATENATE($L1770,$N1770),'Drop List'!$G$23:$K$87,2,FALSE),0)</f>
        <v>0</v>
      </c>
      <c r="AH1770" s="1150">
        <f>IFERROR(VLOOKUP(CONCATENATE($L1770,$N1770),'Drop List'!$G$23:$K$87,3,FALSE),0)</f>
        <v>0</v>
      </c>
      <c r="AI1770" s="1150">
        <f>IFERROR(VLOOKUP(CONCATENATE($L1770,$N1770),'Drop List'!$G$23:$K$87,4,FALSE),0)</f>
        <v>0</v>
      </c>
      <c r="AJ1770" s="1151">
        <f>IFERROR(VLOOKUP(CONCATENATE($L1770,$N1770),'Drop List'!$G$23:$K$87,5,FALSE),0)</f>
        <v>0</v>
      </c>
      <c r="AK1770" s="1152">
        <f t="shared" si="498"/>
        <v>0</v>
      </c>
      <c r="AL1770" s="1153">
        <f t="shared" si="499"/>
        <v>0</v>
      </c>
      <c r="AM1770" s="1153">
        <f t="shared" si="500"/>
        <v>0</v>
      </c>
      <c r="AN1770" s="1145">
        <f t="shared" si="501"/>
        <v>0</v>
      </c>
      <c r="AO1770" s="1154">
        <f t="shared" si="504"/>
        <v>0</v>
      </c>
      <c r="AP1770" s="1147">
        <f t="shared" si="489"/>
        <v>0</v>
      </c>
      <c r="AQ1770" s="1144">
        <f t="shared" si="490"/>
        <v>0</v>
      </c>
      <c r="AR1770" s="1146">
        <f t="shared" si="491"/>
        <v>0</v>
      </c>
    </row>
    <row r="1771" spans="1:44" x14ac:dyDescent="0.2">
      <c r="A1771" s="1141" t="str">
        <f t="shared" si="503"/>
        <v/>
      </c>
      <c r="B1771" s="1141" t="str">
        <f>IFERROR(VLOOKUP(A1771,'LAC 103'!A:C,3,FALSE),"")</f>
        <v/>
      </c>
      <c r="C1771" s="1478" t="str">
        <f>Info!$B$8</f>
        <v>00100</v>
      </c>
      <c r="D1771" s="1474"/>
      <c r="E1771" s="1474"/>
      <c r="F1771" s="1478"/>
      <c r="G1771" s="1478"/>
      <c r="H1771" s="1474"/>
      <c r="I1771" s="1478"/>
      <c r="J1771" s="1478"/>
      <c r="K1771" s="1475"/>
      <c r="L1771" s="1474"/>
      <c r="M1771" s="1476"/>
      <c r="N1771" s="1477"/>
      <c r="O1771" s="1479"/>
      <c r="P1771" s="1479"/>
      <c r="Q1771" s="1142">
        <f t="shared" si="487"/>
        <v>0</v>
      </c>
      <c r="R1771" s="1143">
        <f>IFERROR(VLOOKUP(CONCATENATE($E1771,$G1771),'LAC 103'!$A$12:$O$95,11,FALSE),0)</f>
        <v>0</v>
      </c>
      <c r="S1771" s="1144">
        <f>IFERROR(VLOOKUP(CONCATENATE($E1771,$G1771),'LAC 103'!$A$12:$O$95,12,FALSE),0)</f>
        <v>0</v>
      </c>
      <c r="T1771" s="1144">
        <f>IFERROR(VLOOKUP(CONCATENATE($E1771,$G1771),'LAC 103'!$A$12:$O$95,13,FALSE),0)</f>
        <v>0</v>
      </c>
      <c r="U1771" s="1144">
        <f>IFERROR(VLOOKUP(CONCATENATE($E1771,$G1771),'LAC 103'!$A$12:$O$95,14,FALSE),0)</f>
        <v>0</v>
      </c>
      <c r="V1771" s="1144">
        <f>IFERROR(VLOOKUP(CONCATENATE($E1771,$G1771),'LAC 103'!$A$12:$O$95,15,FALSE),0)</f>
        <v>0</v>
      </c>
      <c r="W1771" s="1145" t="str">
        <f>IFERROR(VLOOKUP(CONCATENATE($B1771,$N1771),'LAC 103'!$AI:$AQ,9,FALSE),"")</f>
        <v/>
      </c>
      <c r="X1771" s="1146">
        <f t="shared" si="492"/>
        <v>0</v>
      </c>
      <c r="Y1771" s="1143">
        <f t="shared" si="502"/>
        <v>0</v>
      </c>
      <c r="Z1771" s="1147">
        <f t="shared" si="493"/>
        <v>0</v>
      </c>
      <c r="AA1771" s="1144">
        <f t="shared" si="494"/>
        <v>0</v>
      </c>
      <c r="AB1771" s="1144">
        <f t="shared" si="495"/>
        <v>0</v>
      </c>
      <c r="AC1771" s="1144">
        <f t="shared" si="496"/>
        <v>0</v>
      </c>
      <c r="AD1771" s="1148">
        <f t="shared" si="488"/>
        <v>0</v>
      </c>
      <c r="AE1771" s="1487">
        <v>0</v>
      </c>
      <c r="AF1771" s="1145">
        <f t="shared" si="497"/>
        <v>0</v>
      </c>
      <c r="AG1771" s="1149">
        <f>IFERROR(VLOOKUP(CONCATENATE($L1771,$N1771),'Drop List'!$G$23:$K$87,2,FALSE),0)</f>
        <v>0</v>
      </c>
      <c r="AH1771" s="1150">
        <f>IFERROR(VLOOKUP(CONCATENATE($L1771,$N1771),'Drop List'!$G$23:$K$87,3,FALSE),0)</f>
        <v>0</v>
      </c>
      <c r="AI1771" s="1150">
        <f>IFERROR(VLOOKUP(CONCATENATE($L1771,$N1771),'Drop List'!$G$23:$K$87,4,FALSE),0)</f>
        <v>0</v>
      </c>
      <c r="AJ1771" s="1151">
        <f>IFERROR(VLOOKUP(CONCATENATE($L1771,$N1771),'Drop List'!$G$23:$K$87,5,FALSE),0)</f>
        <v>0</v>
      </c>
      <c r="AK1771" s="1152">
        <f t="shared" si="498"/>
        <v>0</v>
      </c>
      <c r="AL1771" s="1153">
        <f t="shared" si="499"/>
        <v>0</v>
      </c>
      <c r="AM1771" s="1153">
        <f t="shared" si="500"/>
        <v>0</v>
      </c>
      <c r="AN1771" s="1145">
        <f t="shared" si="501"/>
        <v>0</v>
      </c>
      <c r="AO1771" s="1154">
        <f t="shared" si="504"/>
        <v>0</v>
      </c>
      <c r="AP1771" s="1147">
        <f t="shared" si="489"/>
        <v>0</v>
      </c>
      <c r="AQ1771" s="1144">
        <f t="shared" si="490"/>
        <v>0</v>
      </c>
      <c r="AR1771" s="1146">
        <f t="shared" si="491"/>
        <v>0</v>
      </c>
    </row>
    <row r="1772" spans="1:44" x14ac:dyDescent="0.2">
      <c r="A1772" s="1141" t="str">
        <f t="shared" si="503"/>
        <v/>
      </c>
      <c r="B1772" s="1141" t="str">
        <f>IFERROR(VLOOKUP(A1772,'LAC 103'!A:C,3,FALSE),"")</f>
        <v/>
      </c>
      <c r="C1772" s="1478" t="str">
        <f>Info!$B$8</f>
        <v>00100</v>
      </c>
      <c r="D1772" s="1474"/>
      <c r="E1772" s="1474"/>
      <c r="F1772" s="1478"/>
      <c r="G1772" s="1478"/>
      <c r="H1772" s="1474"/>
      <c r="I1772" s="1478"/>
      <c r="J1772" s="1478"/>
      <c r="K1772" s="1475"/>
      <c r="L1772" s="1474"/>
      <c r="M1772" s="1476"/>
      <c r="N1772" s="1477"/>
      <c r="O1772" s="1479"/>
      <c r="P1772" s="1479"/>
      <c r="Q1772" s="1142">
        <f t="shared" si="487"/>
        <v>0</v>
      </c>
      <c r="R1772" s="1143">
        <f>IFERROR(VLOOKUP(CONCATENATE($E1772,$G1772),'LAC 103'!$A$12:$O$95,11,FALSE),0)</f>
        <v>0</v>
      </c>
      <c r="S1772" s="1144">
        <f>IFERROR(VLOOKUP(CONCATENATE($E1772,$G1772),'LAC 103'!$A$12:$O$95,12,FALSE),0)</f>
        <v>0</v>
      </c>
      <c r="T1772" s="1144">
        <f>IFERROR(VLOOKUP(CONCATENATE($E1772,$G1772),'LAC 103'!$A$12:$O$95,13,FALSE),0)</f>
        <v>0</v>
      </c>
      <c r="U1772" s="1144">
        <f>IFERROR(VLOOKUP(CONCATENATE($E1772,$G1772),'LAC 103'!$A$12:$O$95,14,FALSE),0)</f>
        <v>0</v>
      </c>
      <c r="V1772" s="1144">
        <f>IFERROR(VLOOKUP(CONCATENATE($E1772,$G1772),'LAC 103'!$A$12:$O$95,15,FALSE),0)</f>
        <v>0</v>
      </c>
      <c r="W1772" s="1145" t="str">
        <f>IFERROR(VLOOKUP(CONCATENATE($B1772,$N1772),'LAC 103'!$AI:$AQ,9,FALSE),"")</f>
        <v/>
      </c>
      <c r="X1772" s="1146">
        <f t="shared" si="492"/>
        <v>0</v>
      </c>
      <c r="Y1772" s="1143">
        <f t="shared" si="502"/>
        <v>0</v>
      </c>
      <c r="Z1772" s="1147">
        <f t="shared" si="493"/>
        <v>0</v>
      </c>
      <c r="AA1772" s="1144">
        <f t="shared" si="494"/>
        <v>0</v>
      </c>
      <c r="AB1772" s="1144">
        <f t="shared" si="495"/>
        <v>0</v>
      </c>
      <c r="AC1772" s="1144">
        <f t="shared" si="496"/>
        <v>0</v>
      </c>
      <c r="AD1772" s="1148">
        <f t="shared" si="488"/>
        <v>0</v>
      </c>
      <c r="AE1772" s="1487">
        <v>0</v>
      </c>
      <c r="AF1772" s="1145">
        <f t="shared" si="497"/>
        <v>0</v>
      </c>
      <c r="AG1772" s="1149">
        <f>IFERROR(VLOOKUP(CONCATENATE($L1772,$N1772),'Drop List'!$G$23:$K$87,2,FALSE),0)</f>
        <v>0</v>
      </c>
      <c r="AH1772" s="1150">
        <f>IFERROR(VLOOKUP(CONCATENATE($L1772,$N1772),'Drop List'!$G$23:$K$87,3,FALSE),0)</f>
        <v>0</v>
      </c>
      <c r="AI1772" s="1150">
        <f>IFERROR(VLOOKUP(CONCATENATE($L1772,$N1772),'Drop List'!$G$23:$K$87,4,FALSE),0)</f>
        <v>0</v>
      </c>
      <c r="AJ1772" s="1151">
        <f>IFERROR(VLOOKUP(CONCATENATE($L1772,$N1772),'Drop List'!$G$23:$K$87,5,FALSE),0)</f>
        <v>0</v>
      </c>
      <c r="AK1772" s="1152">
        <f t="shared" si="498"/>
        <v>0</v>
      </c>
      <c r="AL1772" s="1153">
        <f t="shared" si="499"/>
        <v>0</v>
      </c>
      <c r="AM1772" s="1153">
        <f t="shared" si="500"/>
        <v>0</v>
      </c>
      <c r="AN1772" s="1145">
        <f t="shared" si="501"/>
        <v>0</v>
      </c>
      <c r="AO1772" s="1154">
        <f t="shared" si="504"/>
        <v>0</v>
      </c>
      <c r="AP1772" s="1147">
        <f t="shared" si="489"/>
        <v>0</v>
      </c>
      <c r="AQ1772" s="1144">
        <f t="shared" si="490"/>
        <v>0</v>
      </c>
      <c r="AR1772" s="1146">
        <f t="shared" si="491"/>
        <v>0</v>
      </c>
    </row>
    <row r="1773" spans="1:44" x14ac:dyDescent="0.2">
      <c r="A1773" s="1141" t="str">
        <f t="shared" si="503"/>
        <v/>
      </c>
      <c r="B1773" s="1141" t="str">
        <f>IFERROR(VLOOKUP(A1773,'LAC 103'!A:C,3,FALSE),"")</f>
        <v/>
      </c>
      <c r="C1773" s="1478" t="str">
        <f>Info!$B$8</f>
        <v>00100</v>
      </c>
      <c r="D1773" s="1474"/>
      <c r="E1773" s="1474"/>
      <c r="F1773" s="1478"/>
      <c r="G1773" s="1478"/>
      <c r="H1773" s="1474"/>
      <c r="I1773" s="1478"/>
      <c r="J1773" s="1478"/>
      <c r="K1773" s="1475"/>
      <c r="L1773" s="1474"/>
      <c r="M1773" s="1476"/>
      <c r="N1773" s="1477"/>
      <c r="O1773" s="1479"/>
      <c r="P1773" s="1479"/>
      <c r="Q1773" s="1142">
        <f t="shared" si="487"/>
        <v>0</v>
      </c>
      <c r="R1773" s="1143">
        <f>IFERROR(VLOOKUP(CONCATENATE($E1773,$G1773),'LAC 103'!$A$12:$O$95,11,FALSE),0)</f>
        <v>0</v>
      </c>
      <c r="S1773" s="1144">
        <f>IFERROR(VLOOKUP(CONCATENATE($E1773,$G1773),'LAC 103'!$A$12:$O$95,12,FALSE),0)</f>
        <v>0</v>
      </c>
      <c r="T1773" s="1144">
        <f>IFERROR(VLOOKUP(CONCATENATE($E1773,$G1773),'LAC 103'!$A$12:$O$95,13,FALSE),0)</f>
        <v>0</v>
      </c>
      <c r="U1773" s="1144">
        <f>IFERROR(VLOOKUP(CONCATENATE($E1773,$G1773),'LAC 103'!$A$12:$O$95,14,FALSE),0)</f>
        <v>0</v>
      </c>
      <c r="V1773" s="1144">
        <f>IFERROR(VLOOKUP(CONCATENATE($E1773,$G1773),'LAC 103'!$A$12:$O$95,15,FALSE),0)</f>
        <v>0</v>
      </c>
      <c r="W1773" s="1145" t="str">
        <f>IFERROR(VLOOKUP(CONCATENATE($B1773,$N1773),'LAC 103'!$AI:$AQ,9,FALSE),"")</f>
        <v/>
      </c>
      <c r="X1773" s="1146">
        <f t="shared" si="492"/>
        <v>0</v>
      </c>
      <c r="Y1773" s="1143">
        <f t="shared" si="502"/>
        <v>0</v>
      </c>
      <c r="Z1773" s="1147">
        <f t="shared" si="493"/>
        <v>0</v>
      </c>
      <c r="AA1773" s="1144">
        <f t="shared" si="494"/>
        <v>0</v>
      </c>
      <c r="AB1773" s="1144">
        <f t="shared" si="495"/>
        <v>0</v>
      </c>
      <c r="AC1773" s="1144">
        <f t="shared" si="496"/>
        <v>0</v>
      </c>
      <c r="AD1773" s="1148">
        <f t="shared" si="488"/>
        <v>0</v>
      </c>
      <c r="AE1773" s="1487">
        <v>0</v>
      </c>
      <c r="AF1773" s="1145">
        <f t="shared" si="497"/>
        <v>0</v>
      </c>
      <c r="AG1773" s="1149">
        <f>IFERROR(VLOOKUP(CONCATENATE($L1773,$N1773),'Drop List'!$G$23:$K$87,2,FALSE),0)</f>
        <v>0</v>
      </c>
      <c r="AH1773" s="1150">
        <f>IFERROR(VLOOKUP(CONCATENATE($L1773,$N1773),'Drop List'!$G$23:$K$87,3,FALSE),0)</f>
        <v>0</v>
      </c>
      <c r="AI1773" s="1150">
        <f>IFERROR(VLOOKUP(CONCATENATE($L1773,$N1773),'Drop List'!$G$23:$K$87,4,FALSE),0)</f>
        <v>0</v>
      </c>
      <c r="AJ1773" s="1151">
        <f>IFERROR(VLOOKUP(CONCATENATE($L1773,$N1773),'Drop List'!$G$23:$K$87,5,FALSE),0)</f>
        <v>0</v>
      </c>
      <c r="AK1773" s="1152">
        <f t="shared" si="498"/>
        <v>0</v>
      </c>
      <c r="AL1773" s="1153">
        <f t="shared" si="499"/>
        <v>0</v>
      </c>
      <c r="AM1773" s="1153">
        <f t="shared" si="500"/>
        <v>0</v>
      </c>
      <c r="AN1773" s="1145">
        <f t="shared" si="501"/>
        <v>0</v>
      </c>
      <c r="AO1773" s="1154">
        <f t="shared" si="504"/>
        <v>0</v>
      </c>
      <c r="AP1773" s="1147">
        <f t="shared" si="489"/>
        <v>0</v>
      </c>
      <c r="AQ1773" s="1144">
        <f t="shared" si="490"/>
        <v>0</v>
      </c>
      <c r="AR1773" s="1146">
        <f t="shared" si="491"/>
        <v>0</v>
      </c>
    </row>
    <row r="1774" spans="1:44" x14ac:dyDescent="0.2">
      <c r="A1774" s="1141" t="str">
        <f t="shared" si="503"/>
        <v/>
      </c>
      <c r="B1774" s="1141" t="str">
        <f>IFERROR(VLOOKUP(A1774,'LAC 103'!A:C,3,FALSE),"")</f>
        <v/>
      </c>
      <c r="C1774" s="1478" t="str">
        <f>Info!$B$8</f>
        <v>00100</v>
      </c>
      <c r="D1774" s="1474"/>
      <c r="E1774" s="1474"/>
      <c r="F1774" s="1478"/>
      <c r="G1774" s="1478"/>
      <c r="H1774" s="1474"/>
      <c r="I1774" s="1478"/>
      <c r="J1774" s="1478"/>
      <c r="K1774" s="1475"/>
      <c r="L1774" s="1474"/>
      <c r="M1774" s="1476"/>
      <c r="N1774" s="1477"/>
      <c r="O1774" s="1479"/>
      <c r="P1774" s="1479"/>
      <c r="Q1774" s="1142">
        <f t="shared" si="487"/>
        <v>0</v>
      </c>
      <c r="R1774" s="1143">
        <f>IFERROR(VLOOKUP(CONCATENATE($E1774,$G1774),'LAC 103'!$A$12:$O$95,11,FALSE),0)</f>
        <v>0</v>
      </c>
      <c r="S1774" s="1144">
        <f>IFERROR(VLOOKUP(CONCATENATE($E1774,$G1774),'LAC 103'!$A$12:$O$95,12,FALSE),0)</f>
        <v>0</v>
      </c>
      <c r="T1774" s="1144">
        <f>IFERROR(VLOOKUP(CONCATENATE($E1774,$G1774),'LAC 103'!$A$12:$O$95,13,FALSE),0)</f>
        <v>0</v>
      </c>
      <c r="U1774" s="1144">
        <f>IFERROR(VLOOKUP(CONCATENATE($E1774,$G1774),'LAC 103'!$A$12:$O$95,14,FALSE),0)</f>
        <v>0</v>
      </c>
      <c r="V1774" s="1144">
        <f>IFERROR(VLOOKUP(CONCATENATE($E1774,$G1774),'LAC 103'!$A$12:$O$95,15,FALSE),0)</f>
        <v>0</v>
      </c>
      <c r="W1774" s="1145" t="str">
        <f>IFERROR(VLOOKUP(CONCATENATE($B1774,$N1774),'LAC 103'!$AI:$AQ,9,FALSE),"")</f>
        <v/>
      </c>
      <c r="X1774" s="1146">
        <f t="shared" si="492"/>
        <v>0</v>
      </c>
      <c r="Y1774" s="1143">
        <f t="shared" si="502"/>
        <v>0</v>
      </c>
      <c r="Z1774" s="1147">
        <f t="shared" si="493"/>
        <v>0</v>
      </c>
      <c r="AA1774" s="1144">
        <f t="shared" si="494"/>
        <v>0</v>
      </c>
      <c r="AB1774" s="1144">
        <f t="shared" si="495"/>
        <v>0</v>
      </c>
      <c r="AC1774" s="1144">
        <f t="shared" si="496"/>
        <v>0</v>
      </c>
      <c r="AD1774" s="1148">
        <f t="shared" si="488"/>
        <v>0</v>
      </c>
      <c r="AE1774" s="1487">
        <v>0</v>
      </c>
      <c r="AF1774" s="1145">
        <f t="shared" si="497"/>
        <v>0</v>
      </c>
      <c r="AG1774" s="1149">
        <f>IFERROR(VLOOKUP(CONCATENATE($L1774,$N1774),'Drop List'!$G$23:$K$87,2,FALSE),0)</f>
        <v>0</v>
      </c>
      <c r="AH1774" s="1150">
        <f>IFERROR(VLOOKUP(CONCATENATE($L1774,$N1774),'Drop List'!$G$23:$K$87,3,FALSE),0)</f>
        <v>0</v>
      </c>
      <c r="AI1774" s="1150">
        <f>IFERROR(VLOOKUP(CONCATENATE($L1774,$N1774),'Drop List'!$G$23:$K$87,4,FALSE),0)</f>
        <v>0</v>
      </c>
      <c r="AJ1774" s="1151">
        <f>IFERROR(VLOOKUP(CONCATENATE($L1774,$N1774),'Drop List'!$G$23:$K$87,5,FALSE),0)</f>
        <v>0</v>
      </c>
      <c r="AK1774" s="1152">
        <f t="shared" si="498"/>
        <v>0</v>
      </c>
      <c r="AL1774" s="1153">
        <f t="shared" si="499"/>
        <v>0</v>
      </c>
      <c r="AM1774" s="1153">
        <f t="shared" si="500"/>
        <v>0</v>
      </c>
      <c r="AN1774" s="1145">
        <f t="shared" si="501"/>
        <v>0</v>
      </c>
      <c r="AO1774" s="1154">
        <f t="shared" si="504"/>
        <v>0</v>
      </c>
      <c r="AP1774" s="1147">
        <f t="shared" si="489"/>
        <v>0</v>
      </c>
      <c r="AQ1774" s="1144">
        <f t="shared" si="490"/>
        <v>0</v>
      </c>
      <c r="AR1774" s="1146">
        <f t="shared" si="491"/>
        <v>0</v>
      </c>
    </row>
    <row r="1775" spans="1:44" x14ac:dyDescent="0.2">
      <c r="A1775" s="1141" t="str">
        <f t="shared" si="503"/>
        <v/>
      </c>
      <c r="B1775" s="1141" t="str">
        <f>IFERROR(VLOOKUP(A1775,'LAC 103'!A:C,3,FALSE),"")</f>
        <v/>
      </c>
      <c r="C1775" s="1478" t="str">
        <f>Info!$B$8</f>
        <v>00100</v>
      </c>
      <c r="D1775" s="1474"/>
      <c r="E1775" s="1474"/>
      <c r="F1775" s="1478"/>
      <c r="G1775" s="1478"/>
      <c r="H1775" s="1474"/>
      <c r="I1775" s="1478"/>
      <c r="J1775" s="1478"/>
      <c r="K1775" s="1475"/>
      <c r="L1775" s="1474"/>
      <c r="M1775" s="1476"/>
      <c r="N1775" s="1477"/>
      <c r="O1775" s="1479"/>
      <c r="P1775" s="1479"/>
      <c r="Q1775" s="1142">
        <f t="shared" si="487"/>
        <v>0</v>
      </c>
      <c r="R1775" s="1143">
        <f>IFERROR(VLOOKUP(CONCATENATE($E1775,$G1775),'LAC 103'!$A$12:$O$95,11,FALSE),0)</f>
        <v>0</v>
      </c>
      <c r="S1775" s="1144">
        <f>IFERROR(VLOOKUP(CONCATENATE($E1775,$G1775),'LAC 103'!$A$12:$O$95,12,FALSE),0)</f>
        <v>0</v>
      </c>
      <c r="T1775" s="1144">
        <f>IFERROR(VLOOKUP(CONCATENATE($E1775,$G1775),'LAC 103'!$A$12:$O$95,13,FALSE),0)</f>
        <v>0</v>
      </c>
      <c r="U1775" s="1144">
        <f>IFERROR(VLOOKUP(CONCATENATE($E1775,$G1775),'LAC 103'!$A$12:$O$95,14,FALSE),0)</f>
        <v>0</v>
      </c>
      <c r="V1775" s="1144">
        <f>IFERROR(VLOOKUP(CONCATENATE($E1775,$G1775),'LAC 103'!$A$12:$O$95,15,FALSE),0)</f>
        <v>0</v>
      </c>
      <c r="W1775" s="1145" t="str">
        <f>IFERROR(VLOOKUP(CONCATENATE($B1775,$N1775),'LAC 103'!$AI:$AQ,9,FALSE),"")</f>
        <v/>
      </c>
      <c r="X1775" s="1146">
        <f t="shared" si="492"/>
        <v>0</v>
      </c>
      <c r="Y1775" s="1143">
        <f t="shared" si="502"/>
        <v>0</v>
      </c>
      <c r="Z1775" s="1147">
        <f t="shared" si="493"/>
        <v>0</v>
      </c>
      <c r="AA1775" s="1144">
        <f t="shared" si="494"/>
        <v>0</v>
      </c>
      <c r="AB1775" s="1144">
        <f t="shared" si="495"/>
        <v>0</v>
      </c>
      <c r="AC1775" s="1144">
        <f t="shared" si="496"/>
        <v>0</v>
      </c>
      <c r="AD1775" s="1148">
        <f t="shared" si="488"/>
        <v>0</v>
      </c>
      <c r="AE1775" s="1487">
        <v>0</v>
      </c>
      <c r="AF1775" s="1145">
        <f t="shared" si="497"/>
        <v>0</v>
      </c>
      <c r="AG1775" s="1149">
        <f>IFERROR(VLOOKUP(CONCATENATE($L1775,$N1775),'Drop List'!$G$23:$K$87,2,FALSE),0)</f>
        <v>0</v>
      </c>
      <c r="AH1775" s="1150">
        <f>IFERROR(VLOOKUP(CONCATENATE($L1775,$N1775),'Drop List'!$G$23:$K$87,3,FALSE),0)</f>
        <v>0</v>
      </c>
      <c r="AI1775" s="1150">
        <f>IFERROR(VLOOKUP(CONCATENATE($L1775,$N1775),'Drop List'!$G$23:$K$87,4,FALSE),0)</f>
        <v>0</v>
      </c>
      <c r="AJ1775" s="1151">
        <f>IFERROR(VLOOKUP(CONCATENATE($L1775,$N1775),'Drop List'!$G$23:$K$87,5,FALSE),0)</f>
        <v>0</v>
      </c>
      <c r="AK1775" s="1152">
        <f t="shared" si="498"/>
        <v>0</v>
      </c>
      <c r="AL1775" s="1153">
        <f t="shared" si="499"/>
        <v>0</v>
      </c>
      <c r="AM1775" s="1153">
        <f t="shared" si="500"/>
        <v>0</v>
      </c>
      <c r="AN1775" s="1145">
        <f t="shared" si="501"/>
        <v>0</v>
      </c>
      <c r="AO1775" s="1154">
        <f t="shared" si="504"/>
        <v>0</v>
      </c>
      <c r="AP1775" s="1147">
        <f t="shared" si="489"/>
        <v>0</v>
      </c>
      <c r="AQ1775" s="1144">
        <f t="shared" si="490"/>
        <v>0</v>
      </c>
      <c r="AR1775" s="1146">
        <f t="shared" si="491"/>
        <v>0</v>
      </c>
    </row>
    <row r="1776" spans="1:44" x14ac:dyDescent="0.2">
      <c r="A1776" s="1141" t="str">
        <f t="shared" si="503"/>
        <v/>
      </c>
      <c r="B1776" s="1141" t="str">
        <f>IFERROR(VLOOKUP(A1776,'LAC 103'!A:C,3,FALSE),"")</f>
        <v/>
      </c>
      <c r="C1776" s="1478" t="str">
        <f>Info!$B$8</f>
        <v>00100</v>
      </c>
      <c r="D1776" s="1474"/>
      <c r="E1776" s="1474"/>
      <c r="F1776" s="1478"/>
      <c r="G1776" s="1478"/>
      <c r="H1776" s="1474"/>
      <c r="I1776" s="1478"/>
      <c r="J1776" s="1478"/>
      <c r="K1776" s="1475"/>
      <c r="L1776" s="1474"/>
      <c r="M1776" s="1476"/>
      <c r="N1776" s="1477"/>
      <c r="O1776" s="1479"/>
      <c r="P1776" s="1479"/>
      <c r="Q1776" s="1142">
        <f t="shared" si="487"/>
        <v>0</v>
      </c>
      <c r="R1776" s="1143">
        <f>IFERROR(VLOOKUP(CONCATENATE($E1776,$G1776),'LAC 103'!$A$12:$O$95,11,FALSE),0)</f>
        <v>0</v>
      </c>
      <c r="S1776" s="1144">
        <f>IFERROR(VLOOKUP(CONCATENATE($E1776,$G1776),'LAC 103'!$A$12:$O$95,12,FALSE),0)</f>
        <v>0</v>
      </c>
      <c r="T1776" s="1144">
        <f>IFERROR(VLOOKUP(CONCATENATE($E1776,$G1776),'LAC 103'!$A$12:$O$95,13,FALSE),0)</f>
        <v>0</v>
      </c>
      <c r="U1776" s="1144">
        <f>IFERROR(VLOOKUP(CONCATENATE($E1776,$G1776),'LAC 103'!$A$12:$O$95,14,FALSE),0)</f>
        <v>0</v>
      </c>
      <c r="V1776" s="1144">
        <f>IFERROR(VLOOKUP(CONCATENATE($E1776,$G1776),'LAC 103'!$A$12:$O$95,15,FALSE),0)</f>
        <v>0</v>
      </c>
      <c r="W1776" s="1145" t="str">
        <f>IFERROR(VLOOKUP(CONCATENATE($B1776,$N1776),'LAC 103'!$AI:$AQ,9,FALSE),"")</f>
        <v/>
      </c>
      <c r="X1776" s="1146">
        <f t="shared" si="492"/>
        <v>0</v>
      </c>
      <c r="Y1776" s="1143">
        <f t="shared" si="502"/>
        <v>0</v>
      </c>
      <c r="Z1776" s="1147">
        <f t="shared" si="493"/>
        <v>0</v>
      </c>
      <c r="AA1776" s="1144">
        <f t="shared" si="494"/>
        <v>0</v>
      </c>
      <c r="AB1776" s="1144">
        <f t="shared" si="495"/>
        <v>0</v>
      </c>
      <c r="AC1776" s="1144">
        <f t="shared" si="496"/>
        <v>0</v>
      </c>
      <c r="AD1776" s="1148">
        <f t="shared" si="488"/>
        <v>0</v>
      </c>
      <c r="AE1776" s="1487">
        <v>0</v>
      </c>
      <c r="AF1776" s="1145">
        <f t="shared" si="497"/>
        <v>0</v>
      </c>
      <c r="AG1776" s="1149">
        <f>IFERROR(VLOOKUP(CONCATENATE($L1776,$N1776),'Drop List'!$G$23:$K$87,2,FALSE),0)</f>
        <v>0</v>
      </c>
      <c r="AH1776" s="1150">
        <f>IFERROR(VLOOKUP(CONCATENATE($L1776,$N1776),'Drop List'!$G$23:$K$87,3,FALSE),0)</f>
        <v>0</v>
      </c>
      <c r="AI1776" s="1150">
        <f>IFERROR(VLOOKUP(CONCATENATE($L1776,$N1776),'Drop List'!$G$23:$K$87,4,FALSE),0)</f>
        <v>0</v>
      </c>
      <c r="AJ1776" s="1151">
        <f>IFERROR(VLOOKUP(CONCATENATE($L1776,$N1776),'Drop List'!$G$23:$K$87,5,FALSE),0)</f>
        <v>0</v>
      </c>
      <c r="AK1776" s="1152">
        <f t="shared" si="498"/>
        <v>0</v>
      </c>
      <c r="AL1776" s="1153">
        <f t="shared" si="499"/>
        <v>0</v>
      </c>
      <c r="AM1776" s="1153">
        <f t="shared" si="500"/>
        <v>0</v>
      </c>
      <c r="AN1776" s="1145">
        <f t="shared" si="501"/>
        <v>0</v>
      </c>
      <c r="AO1776" s="1154">
        <f t="shared" si="504"/>
        <v>0</v>
      </c>
      <c r="AP1776" s="1147">
        <f t="shared" si="489"/>
        <v>0</v>
      </c>
      <c r="AQ1776" s="1144">
        <f t="shared" si="490"/>
        <v>0</v>
      </c>
      <c r="AR1776" s="1146">
        <f t="shared" si="491"/>
        <v>0</v>
      </c>
    </row>
    <row r="1777" spans="1:44" x14ac:dyDescent="0.2">
      <c r="A1777" s="1141" t="str">
        <f t="shared" si="503"/>
        <v/>
      </c>
      <c r="B1777" s="1141" t="str">
        <f>IFERROR(VLOOKUP(A1777,'LAC 103'!A:C,3,FALSE),"")</f>
        <v/>
      </c>
      <c r="C1777" s="1478" t="str">
        <f>Info!$B$8</f>
        <v>00100</v>
      </c>
      <c r="D1777" s="1474"/>
      <c r="E1777" s="1474"/>
      <c r="F1777" s="1478"/>
      <c r="G1777" s="1478"/>
      <c r="H1777" s="1474"/>
      <c r="I1777" s="1478"/>
      <c r="J1777" s="1478"/>
      <c r="K1777" s="1475"/>
      <c r="L1777" s="1474"/>
      <c r="M1777" s="1476"/>
      <c r="N1777" s="1477"/>
      <c r="O1777" s="1479"/>
      <c r="P1777" s="1479"/>
      <c r="Q1777" s="1142">
        <f t="shared" si="487"/>
        <v>0</v>
      </c>
      <c r="R1777" s="1143">
        <f>IFERROR(VLOOKUP(CONCATENATE($E1777,$G1777),'LAC 103'!$A$12:$O$95,11,FALSE),0)</f>
        <v>0</v>
      </c>
      <c r="S1777" s="1144">
        <f>IFERROR(VLOOKUP(CONCATENATE($E1777,$G1777),'LAC 103'!$A$12:$O$95,12,FALSE),0)</f>
        <v>0</v>
      </c>
      <c r="T1777" s="1144">
        <f>IFERROR(VLOOKUP(CONCATENATE($E1777,$G1777),'LAC 103'!$A$12:$O$95,13,FALSE),0)</f>
        <v>0</v>
      </c>
      <c r="U1777" s="1144">
        <f>IFERROR(VLOOKUP(CONCATENATE($E1777,$G1777),'LAC 103'!$A$12:$O$95,14,FALSE),0)</f>
        <v>0</v>
      </c>
      <c r="V1777" s="1144">
        <f>IFERROR(VLOOKUP(CONCATENATE($E1777,$G1777),'LAC 103'!$A$12:$O$95,15,FALSE),0)</f>
        <v>0</v>
      </c>
      <c r="W1777" s="1145" t="str">
        <f>IFERROR(VLOOKUP(CONCATENATE($B1777,$N1777),'LAC 103'!$AI:$AQ,9,FALSE),"")</f>
        <v/>
      </c>
      <c r="X1777" s="1146">
        <f t="shared" si="492"/>
        <v>0</v>
      </c>
      <c r="Y1777" s="1143">
        <f t="shared" si="502"/>
        <v>0</v>
      </c>
      <c r="Z1777" s="1147">
        <f t="shared" si="493"/>
        <v>0</v>
      </c>
      <c r="AA1777" s="1144">
        <f t="shared" si="494"/>
        <v>0</v>
      </c>
      <c r="AB1777" s="1144">
        <f t="shared" si="495"/>
        <v>0</v>
      </c>
      <c r="AC1777" s="1144">
        <f t="shared" si="496"/>
        <v>0</v>
      </c>
      <c r="AD1777" s="1148">
        <f t="shared" si="488"/>
        <v>0</v>
      </c>
      <c r="AE1777" s="1487">
        <v>0</v>
      </c>
      <c r="AF1777" s="1145">
        <f t="shared" si="497"/>
        <v>0</v>
      </c>
      <c r="AG1777" s="1149">
        <f>IFERROR(VLOOKUP(CONCATENATE($L1777,$N1777),'Drop List'!$G$23:$K$87,2,FALSE),0)</f>
        <v>0</v>
      </c>
      <c r="AH1777" s="1150">
        <f>IFERROR(VLOOKUP(CONCATENATE($L1777,$N1777),'Drop List'!$G$23:$K$87,3,FALSE),0)</f>
        <v>0</v>
      </c>
      <c r="AI1777" s="1150">
        <f>IFERROR(VLOOKUP(CONCATENATE($L1777,$N1777),'Drop List'!$G$23:$K$87,4,FALSE),0)</f>
        <v>0</v>
      </c>
      <c r="AJ1777" s="1151">
        <f>IFERROR(VLOOKUP(CONCATENATE($L1777,$N1777),'Drop List'!$G$23:$K$87,5,FALSE),0)</f>
        <v>0</v>
      </c>
      <c r="AK1777" s="1152">
        <f t="shared" si="498"/>
        <v>0</v>
      </c>
      <c r="AL1777" s="1153">
        <f t="shared" si="499"/>
        <v>0</v>
      </c>
      <c r="AM1777" s="1153">
        <f t="shared" si="500"/>
        <v>0</v>
      </c>
      <c r="AN1777" s="1145">
        <f t="shared" si="501"/>
        <v>0</v>
      </c>
      <c r="AO1777" s="1154">
        <f t="shared" si="504"/>
        <v>0</v>
      </c>
      <c r="AP1777" s="1147">
        <f t="shared" si="489"/>
        <v>0</v>
      </c>
      <c r="AQ1777" s="1144">
        <f t="shared" si="490"/>
        <v>0</v>
      </c>
      <c r="AR1777" s="1146">
        <f t="shared" si="491"/>
        <v>0</v>
      </c>
    </row>
    <row r="1778" spans="1:44" x14ac:dyDescent="0.2">
      <c r="A1778" s="1141" t="str">
        <f t="shared" si="503"/>
        <v/>
      </c>
      <c r="B1778" s="1141" t="str">
        <f>IFERROR(VLOOKUP(A1778,'LAC 103'!A:C,3,FALSE),"")</f>
        <v/>
      </c>
      <c r="C1778" s="1478" t="str">
        <f>Info!$B$8</f>
        <v>00100</v>
      </c>
      <c r="D1778" s="1474"/>
      <c r="E1778" s="1474"/>
      <c r="F1778" s="1478"/>
      <c r="G1778" s="1478"/>
      <c r="H1778" s="1474"/>
      <c r="I1778" s="1478"/>
      <c r="J1778" s="1478"/>
      <c r="K1778" s="1475"/>
      <c r="L1778" s="1474"/>
      <c r="M1778" s="1476"/>
      <c r="N1778" s="1477"/>
      <c r="O1778" s="1479"/>
      <c r="P1778" s="1479"/>
      <c r="Q1778" s="1142">
        <f t="shared" si="487"/>
        <v>0</v>
      </c>
      <c r="R1778" s="1143">
        <f>IFERROR(VLOOKUP(CONCATENATE($E1778,$G1778),'LAC 103'!$A$12:$O$95,11,FALSE),0)</f>
        <v>0</v>
      </c>
      <c r="S1778" s="1144">
        <f>IFERROR(VLOOKUP(CONCATENATE($E1778,$G1778),'LAC 103'!$A$12:$O$95,12,FALSE),0)</f>
        <v>0</v>
      </c>
      <c r="T1778" s="1144">
        <f>IFERROR(VLOOKUP(CONCATENATE($E1778,$G1778),'LAC 103'!$A$12:$O$95,13,FALSE),0)</f>
        <v>0</v>
      </c>
      <c r="U1778" s="1144">
        <f>IFERROR(VLOOKUP(CONCATENATE($E1778,$G1778),'LAC 103'!$A$12:$O$95,14,FALSE),0)</f>
        <v>0</v>
      </c>
      <c r="V1778" s="1144">
        <f>IFERROR(VLOOKUP(CONCATENATE($E1778,$G1778),'LAC 103'!$A$12:$O$95,15,FALSE),0)</f>
        <v>0</v>
      </c>
      <c r="W1778" s="1145" t="str">
        <f>IFERROR(VLOOKUP(CONCATENATE($B1778,$N1778),'LAC 103'!$AI:$AQ,9,FALSE),"")</f>
        <v/>
      </c>
      <c r="X1778" s="1146">
        <f t="shared" si="492"/>
        <v>0</v>
      </c>
      <c r="Y1778" s="1143">
        <f t="shared" si="502"/>
        <v>0</v>
      </c>
      <c r="Z1778" s="1147">
        <f t="shared" si="493"/>
        <v>0</v>
      </c>
      <c r="AA1778" s="1144">
        <f t="shared" si="494"/>
        <v>0</v>
      </c>
      <c r="AB1778" s="1144">
        <f t="shared" si="495"/>
        <v>0</v>
      </c>
      <c r="AC1778" s="1144">
        <f t="shared" si="496"/>
        <v>0</v>
      </c>
      <c r="AD1778" s="1148">
        <f t="shared" si="488"/>
        <v>0</v>
      </c>
      <c r="AE1778" s="1487">
        <v>0</v>
      </c>
      <c r="AF1778" s="1145">
        <f t="shared" si="497"/>
        <v>0</v>
      </c>
      <c r="AG1778" s="1149">
        <f>IFERROR(VLOOKUP(CONCATENATE($L1778,$N1778),'Drop List'!$G$23:$K$87,2,FALSE),0)</f>
        <v>0</v>
      </c>
      <c r="AH1778" s="1150">
        <f>IFERROR(VLOOKUP(CONCATENATE($L1778,$N1778),'Drop List'!$G$23:$K$87,3,FALSE),0)</f>
        <v>0</v>
      </c>
      <c r="AI1778" s="1150">
        <f>IFERROR(VLOOKUP(CONCATENATE($L1778,$N1778),'Drop List'!$G$23:$K$87,4,FALSE),0)</f>
        <v>0</v>
      </c>
      <c r="AJ1778" s="1151">
        <f>IFERROR(VLOOKUP(CONCATENATE($L1778,$N1778),'Drop List'!$G$23:$K$87,5,FALSE),0)</f>
        <v>0</v>
      </c>
      <c r="AK1778" s="1152">
        <f t="shared" si="498"/>
        <v>0</v>
      </c>
      <c r="AL1778" s="1153">
        <f t="shared" si="499"/>
        <v>0</v>
      </c>
      <c r="AM1778" s="1153">
        <f t="shared" si="500"/>
        <v>0</v>
      </c>
      <c r="AN1778" s="1145">
        <f t="shared" si="501"/>
        <v>0</v>
      </c>
      <c r="AO1778" s="1154">
        <f t="shared" si="504"/>
        <v>0</v>
      </c>
      <c r="AP1778" s="1147">
        <f t="shared" si="489"/>
        <v>0</v>
      </c>
      <c r="AQ1778" s="1144">
        <f t="shared" si="490"/>
        <v>0</v>
      </c>
      <c r="AR1778" s="1146">
        <f t="shared" si="491"/>
        <v>0</v>
      </c>
    </row>
    <row r="1779" spans="1:44" x14ac:dyDescent="0.2">
      <c r="A1779" s="1141" t="str">
        <f t="shared" si="503"/>
        <v/>
      </c>
      <c r="B1779" s="1141" t="str">
        <f>IFERROR(VLOOKUP(A1779,'LAC 103'!A:C,3,FALSE),"")</f>
        <v/>
      </c>
      <c r="C1779" s="1478" t="str">
        <f>Info!$B$8</f>
        <v>00100</v>
      </c>
      <c r="D1779" s="1474"/>
      <c r="E1779" s="1474"/>
      <c r="F1779" s="1478"/>
      <c r="G1779" s="1478"/>
      <c r="H1779" s="1474"/>
      <c r="I1779" s="1478"/>
      <c r="J1779" s="1478"/>
      <c r="K1779" s="1475"/>
      <c r="L1779" s="1474"/>
      <c r="M1779" s="1476"/>
      <c r="N1779" s="1477"/>
      <c r="O1779" s="1479"/>
      <c r="P1779" s="1479"/>
      <c r="Q1779" s="1142">
        <f t="shared" si="487"/>
        <v>0</v>
      </c>
      <c r="R1779" s="1143">
        <f>IFERROR(VLOOKUP(CONCATENATE($E1779,$G1779),'LAC 103'!$A$12:$O$95,11,FALSE),0)</f>
        <v>0</v>
      </c>
      <c r="S1779" s="1144">
        <f>IFERROR(VLOOKUP(CONCATENATE($E1779,$G1779),'LAC 103'!$A$12:$O$95,12,FALSE),0)</f>
        <v>0</v>
      </c>
      <c r="T1779" s="1144">
        <f>IFERROR(VLOOKUP(CONCATENATE($E1779,$G1779),'LAC 103'!$A$12:$O$95,13,FALSE),0)</f>
        <v>0</v>
      </c>
      <c r="U1779" s="1144">
        <f>IFERROR(VLOOKUP(CONCATENATE($E1779,$G1779),'LAC 103'!$A$12:$O$95,14,FALSE),0)</f>
        <v>0</v>
      </c>
      <c r="V1779" s="1144">
        <f>IFERROR(VLOOKUP(CONCATENATE($E1779,$G1779),'LAC 103'!$A$12:$O$95,15,FALSE),0)</f>
        <v>0</v>
      </c>
      <c r="W1779" s="1145" t="str">
        <f>IFERROR(VLOOKUP(CONCATENATE($B1779,$N1779),'LAC 103'!$AI:$AQ,9,FALSE),"")</f>
        <v/>
      </c>
      <c r="X1779" s="1146">
        <f t="shared" si="492"/>
        <v>0</v>
      </c>
      <c r="Y1779" s="1143">
        <f t="shared" si="502"/>
        <v>0</v>
      </c>
      <c r="Z1779" s="1147">
        <f t="shared" si="493"/>
        <v>0</v>
      </c>
      <c r="AA1779" s="1144">
        <f t="shared" si="494"/>
        <v>0</v>
      </c>
      <c r="AB1779" s="1144">
        <f t="shared" si="495"/>
        <v>0</v>
      </c>
      <c r="AC1779" s="1144">
        <f t="shared" si="496"/>
        <v>0</v>
      </c>
      <c r="AD1779" s="1148">
        <f t="shared" si="488"/>
        <v>0</v>
      </c>
      <c r="AE1779" s="1487">
        <v>0</v>
      </c>
      <c r="AF1779" s="1145">
        <f t="shared" si="497"/>
        <v>0</v>
      </c>
      <c r="AG1779" s="1149">
        <f>IFERROR(VLOOKUP(CONCATENATE($L1779,$N1779),'Drop List'!$G$23:$K$87,2,FALSE),0)</f>
        <v>0</v>
      </c>
      <c r="AH1779" s="1150">
        <f>IFERROR(VLOOKUP(CONCATENATE($L1779,$N1779),'Drop List'!$G$23:$K$87,3,FALSE),0)</f>
        <v>0</v>
      </c>
      <c r="AI1779" s="1150">
        <f>IFERROR(VLOOKUP(CONCATENATE($L1779,$N1779),'Drop List'!$G$23:$K$87,4,FALSE),0)</f>
        <v>0</v>
      </c>
      <c r="AJ1779" s="1151">
        <f>IFERROR(VLOOKUP(CONCATENATE($L1779,$N1779),'Drop List'!$G$23:$K$87,5,FALSE),0)</f>
        <v>0</v>
      </c>
      <c r="AK1779" s="1152">
        <f t="shared" si="498"/>
        <v>0</v>
      </c>
      <c r="AL1779" s="1153">
        <f t="shared" si="499"/>
        <v>0</v>
      </c>
      <c r="AM1779" s="1153">
        <f t="shared" si="500"/>
        <v>0</v>
      </c>
      <c r="AN1779" s="1145">
        <f t="shared" si="501"/>
        <v>0</v>
      </c>
      <c r="AO1779" s="1154">
        <f t="shared" si="504"/>
        <v>0</v>
      </c>
      <c r="AP1779" s="1147">
        <f t="shared" si="489"/>
        <v>0</v>
      </c>
      <c r="AQ1779" s="1144">
        <f t="shared" si="490"/>
        <v>0</v>
      </c>
      <c r="AR1779" s="1146">
        <f t="shared" si="491"/>
        <v>0</v>
      </c>
    </row>
    <row r="1780" spans="1:44" x14ac:dyDescent="0.2">
      <c r="A1780" s="1141" t="str">
        <f t="shared" si="503"/>
        <v/>
      </c>
      <c r="B1780" s="1141" t="str">
        <f>IFERROR(VLOOKUP(A1780,'LAC 103'!A:C,3,FALSE),"")</f>
        <v/>
      </c>
      <c r="C1780" s="1478" t="str">
        <f>Info!$B$8</f>
        <v>00100</v>
      </c>
      <c r="D1780" s="1474"/>
      <c r="E1780" s="1474"/>
      <c r="F1780" s="1478"/>
      <c r="G1780" s="1478"/>
      <c r="H1780" s="1474"/>
      <c r="I1780" s="1478"/>
      <c r="J1780" s="1478"/>
      <c r="K1780" s="1475"/>
      <c r="L1780" s="1474"/>
      <c r="M1780" s="1476"/>
      <c r="N1780" s="1477"/>
      <c r="O1780" s="1479"/>
      <c r="P1780" s="1479"/>
      <c r="Q1780" s="1142">
        <f t="shared" si="487"/>
        <v>0</v>
      </c>
      <c r="R1780" s="1143">
        <f>IFERROR(VLOOKUP(CONCATENATE($E1780,$G1780),'LAC 103'!$A$12:$O$95,11,FALSE),0)</f>
        <v>0</v>
      </c>
      <c r="S1780" s="1144">
        <f>IFERROR(VLOOKUP(CONCATENATE($E1780,$G1780),'LAC 103'!$A$12:$O$95,12,FALSE),0)</f>
        <v>0</v>
      </c>
      <c r="T1780" s="1144">
        <f>IFERROR(VLOOKUP(CONCATENATE($E1780,$G1780),'LAC 103'!$A$12:$O$95,13,FALSE),0)</f>
        <v>0</v>
      </c>
      <c r="U1780" s="1144">
        <f>IFERROR(VLOOKUP(CONCATENATE($E1780,$G1780),'LAC 103'!$A$12:$O$95,14,FALSE),0)</f>
        <v>0</v>
      </c>
      <c r="V1780" s="1144">
        <f>IFERROR(VLOOKUP(CONCATENATE($E1780,$G1780),'LAC 103'!$A$12:$O$95,15,FALSE),0)</f>
        <v>0</v>
      </c>
      <c r="W1780" s="1145" t="str">
        <f>IFERROR(VLOOKUP(CONCATENATE($B1780,$N1780),'LAC 103'!$AI:$AQ,9,FALSE),"")</f>
        <v/>
      </c>
      <c r="X1780" s="1146">
        <f t="shared" si="492"/>
        <v>0</v>
      </c>
      <c r="Y1780" s="1143">
        <f t="shared" si="502"/>
        <v>0</v>
      </c>
      <c r="Z1780" s="1147">
        <f t="shared" si="493"/>
        <v>0</v>
      </c>
      <c r="AA1780" s="1144">
        <f t="shared" si="494"/>
        <v>0</v>
      </c>
      <c r="AB1780" s="1144">
        <f t="shared" si="495"/>
        <v>0</v>
      </c>
      <c r="AC1780" s="1144">
        <f t="shared" si="496"/>
        <v>0</v>
      </c>
      <c r="AD1780" s="1148">
        <f t="shared" si="488"/>
        <v>0</v>
      </c>
      <c r="AE1780" s="1487">
        <v>0</v>
      </c>
      <c r="AF1780" s="1145">
        <f t="shared" si="497"/>
        <v>0</v>
      </c>
      <c r="AG1780" s="1149">
        <f>IFERROR(VLOOKUP(CONCATENATE($L1780,$N1780),'Drop List'!$G$23:$K$87,2,FALSE),0)</f>
        <v>0</v>
      </c>
      <c r="AH1780" s="1150">
        <f>IFERROR(VLOOKUP(CONCATENATE($L1780,$N1780),'Drop List'!$G$23:$K$87,3,FALSE),0)</f>
        <v>0</v>
      </c>
      <c r="AI1780" s="1150">
        <f>IFERROR(VLOOKUP(CONCATENATE($L1780,$N1780),'Drop List'!$G$23:$K$87,4,FALSE),0)</f>
        <v>0</v>
      </c>
      <c r="AJ1780" s="1151">
        <f>IFERROR(VLOOKUP(CONCATENATE($L1780,$N1780),'Drop List'!$G$23:$K$87,5,FALSE),0)</f>
        <v>0</v>
      </c>
      <c r="AK1780" s="1152">
        <f t="shared" si="498"/>
        <v>0</v>
      </c>
      <c r="AL1780" s="1153">
        <f t="shared" si="499"/>
        <v>0</v>
      </c>
      <c r="AM1780" s="1153">
        <f t="shared" si="500"/>
        <v>0</v>
      </c>
      <c r="AN1780" s="1145">
        <f t="shared" si="501"/>
        <v>0</v>
      </c>
      <c r="AO1780" s="1154">
        <f t="shared" si="504"/>
        <v>0</v>
      </c>
      <c r="AP1780" s="1147">
        <f t="shared" si="489"/>
        <v>0</v>
      </c>
      <c r="AQ1780" s="1144">
        <f t="shared" si="490"/>
        <v>0</v>
      </c>
      <c r="AR1780" s="1146">
        <f t="shared" si="491"/>
        <v>0</v>
      </c>
    </row>
    <row r="1781" spans="1:44" x14ac:dyDescent="0.2">
      <c r="A1781" s="1141" t="str">
        <f t="shared" si="503"/>
        <v/>
      </c>
      <c r="B1781" s="1141" t="str">
        <f>IFERROR(VLOOKUP(A1781,'LAC 103'!A:C,3,FALSE),"")</f>
        <v/>
      </c>
      <c r="C1781" s="1478" t="str">
        <f>Info!$B$8</f>
        <v>00100</v>
      </c>
      <c r="D1781" s="1474"/>
      <c r="E1781" s="1474"/>
      <c r="F1781" s="1478"/>
      <c r="G1781" s="1478"/>
      <c r="H1781" s="1474"/>
      <c r="I1781" s="1478"/>
      <c r="J1781" s="1478"/>
      <c r="K1781" s="1475"/>
      <c r="L1781" s="1474"/>
      <c r="M1781" s="1476"/>
      <c r="N1781" s="1477"/>
      <c r="O1781" s="1479"/>
      <c r="P1781" s="1479"/>
      <c r="Q1781" s="1142">
        <f t="shared" si="487"/>
        <v>0</v>
      </c>
      <c r="R1781" s="1143">
        <f>IFERROR(VLOOKUP(CONCATENATE($E1781,$G1781),'LAC 103'!$A$12:$O$95,11,FALSE),0)</f>
        <v>0</v>
      </c>
      <c r="S1781" s="1144">
        <f>IFERROR(VLOOKUP(CONCATENATE($E1781,$G1781),'LAC 103'!$A$12:$O$95,12,FALSE),0)</f>
        <v>0</v>
      </c>
      <c r="T1781" s="1144">
        <f>IFERROR(VLOOKUP(CONCATENATE($E1781,$G1781),'LAC 103'!$A$12:$O$95,13,FALSE),0)</f>
        <v>0</v>
      </c>
      <c r="U1781" s="1144">
        <f>IFERROR(VLOOKUP(CONCATENATE($E1781,$G1781),'LAC 103'!$A$12:$O$95,14,FALSE),0)</f>
        <v>0</v>
      </c>
      <c r="V1781" s="1144">
        <f>IFERROR(VLOOKUP(CONCATENATE($E1781,$G1781),'LAC 103'!$A$12:$O$95,15,FALSE),0)</f>
        <v>0</v>
      </c>
      <c r="W1781" s="1145" t="str">
        <f>IFERROR(VLOOKUP(CONCATENATE($B1781,$N1781),'LAC 103'!$AI:$AQ,9,FALSE),"")</f>
        <v/>
      </c>
      <c r="X1781" s="1146">
        <f t="shared" si="492"/>
        <v>0</v>
      </c>
      <c r="Y1781" s="1143">
        <f t="shared" si="502"/>
        <v>0</v>
      </c>
      <c r="Z1781" s="1147">
        <f t="shared" si="493"/>
        <v>0</v>
      </c>
      <c r="AA1781" s="1144">
        <f t="shared" si="494"/>
        <v>0</v>
      </c>
      <c r="AB1781" s="1144">
        <f t="shared" si="495"/>
        <v>0</v>
      </c>
      <c r="AC1781" s="1144">
        <f t="shared" si="496"/>
        <v>0</v>
      </c>
      <c r="AD1781" s="1148">
        <f t="shared" si="488"/>
        <v>0</v>
      </c>
      <c r="AE1781" s="1487">
        <v>0</v>
      </c>
      <c r="AF1781" s="1145">
        <f t="shared" si="497"/>
        <v>0</v>
      </c>
      <c r="AG1781" s="1149">
        <f>IFERROR(VLOOKUP(CONCATENATE($L1781,$N1781),'Drop List'!$G$23:$K$87,2,FALSE),0)</f>
        <v>0</v>
      </c>
      <c r="AH1781" s="1150">
        <f>IFERROR(VLOOKUP(CONCATENATE($L1781,$N1781),'Drop List'!$G$23:$K$87,3,FALSE),0)</f>
        <v>0</v>
      </c>
      <c r="AI1781" s="1150">
        <f>IFERROR(VLOOKUP(CONCATENATE($L1781,$N1781),'Drop List'!$G$23:$K$87,4,FALSE),0)</f>
        <v>0</v>
      </c>
      <c r="AJ1781" s="1151">
        <f>IFERROR(VLOOKUP(CONCATENATE($L1781,$N1781),'Drop List'!$G$23:$K$87,5,FALSE),0)</f>
        <v>0</v>
      </c>
      <c r="AK1781" s="1152">
        <f t="shared" si="498"/>
        <v>0</v>
      </c>
      <c r="AL1781" s="1153">
        <f t="shared" si="499"/>
        <v>0</v>
      </c>
      <c r="AM1781" s="1153">
        <f t="shared" si="500"/>
        <v>0</v>
      </c>
      <c r="AN1781" s="1145">
        <f t="shared" si="501"/>
        <v>0</v>
      </c>
      <c r="AO1781" s="1154">
        <f t="shared" si="504"/>
        <v>0</v>
      </c>
      <c r="AP1781" s="1147">
        <f t="shared" si="489"/>
        <v>0</v>
      </c>
      <c r="AQ1781" s="1144">
        <f t="shared" si="490"/>
        <v>0</v>
      </c>
      <c r="AR1781" s="1146">
        <f t="shared" si="491"/>
        <v>0</v>
      </c>
    </row>
    <row r="1782" spans="1:44" x14ac:dyDescent="0.2">
      <c r="A1782" s="1141" t="str">
        <f t="shared" si="503"/>
        <v/>
      </c>
      <c r="B1782" s="1141" t="str">
        <f>IFERROR(VLOOKUP(A1782,'LAC 103'!A:C,3,FALSE),"")</f>
        <v/>
      </c>
      <c r="C1782" s="1478" t="str">
        <f>Info!$B$8</f>
        <v>00100</v>
      </c>
      <c r="D1782" s="1474"/>
      <c r="E1782" s="1474"/>
      <c r="F1782" s="1478"/>
      <c r="G1782" s="1478"/>
      <c r="H1782" s="1474"/>
      <c r="I1782" s="1478"/>
      <c r="J1782" s="1478"/>
      <c r="K1782" s="1475"/>
      <c r="L1782" s="1474"/>
      <c r="M1782" s="1476"/>
      <c r="N1782" s="1477"/>
      <c r="O1782" s="1479"/>
      <c r="P1782" s="1479"/>
      <c r="Q1782" s="1142">
        <f t="shared" si="487"/>
        <v>0</v>
      </c>
      <c r="R1782" s="1143">
        <f>IFERROR(VLOOKUP(CONCATENATE($E1782,$G1782),'LAC 103'!$A$12:$O$95,11,FALSE),0)</f>
        <v>0</v>
      </c>
      <c r="S1782" s="1144">
        <f>IFERROR(VLOOKUP(CONCATENATE($E1782,$G1782),'LAC 103'!$A$12:$O$95,12,FALSE),0)</f>
        <v>0</v>
      </c>
      <c r="T1782" s="1144">
        <f>IFERROR(VLOOKUP(CONCATENATE($E1782,$G1782),'LAC 103'!$A$12:$O$95,13,FALSE),0)</f>
        <v>0</v>
      </c>
      <c r="U1782" s="1144">
        <f>IFERROR(VLOOKUP(CONCATENATE($E1782,$G1782),'LAC 103'!$A$12:$O$95,14,FALSE),0)</f>
        <v>0</v>
      </c>
      <c r="V1782" s="1144">
        <f>IFERROR(VLOOKUP(CONCATENATE($E1782,$G1782),'LAC 103'!$A$12:$O$95,15,FALSE),0)</f>
        <v>0</v>
      </c>
      <c r="W1782" s="1145" t="str">
        <f>IFERROR(VLOOKUP(CONCATENATE($B1782,$N1782),'LAC 103'!$AI:$AQ,9,FALSE),"")</f>
        <v/>
      </c>
      <c r="X1782" s="1146">
        <f t="shared" si="492"/>
        <v>0</v>
      </c>
      <c r="Y1782" s="1143">
        <f t="shared" si="502"/>
        <v>0</v>
      </c>
      <c r="Z1782" s="1147">
        <f t="shared" si="493"/>
        <v>0</v>
      </c>
      <c r="AA1782" s="1144">
        <f t="shared" si="494"/>
        <v>0</v>
      </c>
      <c r="AB1782" s="1144">
        <f t="shared" si="495"/>
        <v>0</v>
      </c>
      <c r="AC1782" s="1144">
        <f t="shared" si="496"/>
        <v>0</v>
      </c>
      <c r="AD1782" s="1148">
        <f t="shared" si="488"/>
        <v>0</v>
      </c>
      <c r="AE1782" s="1487">
        <v>0</v>
      </c>
      <c r="AF1782" s="1145">
        <f t="shared" si="497"/>
        <v>0</v>
      </c>
      <c r="AG1782" s="1149">
        <f>IFERROR(VLOOKUP(CONCATENATE($L1782,$N1782),'Drop List'!$G$23:$K$87,2,FALSE),0)</f>
        <v>0</v>
      </c>
      <c r="AH1782" s="1150">
        <f>IFERROR(VLOOKUP(CONCATENATE($L1782,$N1782),'Drop List'!$G$23:$K$87,3,FALSE),0)</f>
        <v>0</v>
      </c>
      <c r="AI1782" s="1150">
        <f>IFERROR(VLOOKUP(CONCATENATE($L1782,$N1782),'Drop List'!$G$23:$K$87,4,FALSE),0)</f>
        <v>0</v>
      </c>
      <c r="AJ1782" s="1151">
        <f>IFERROR(VLOOKUP(CONCATENATE($L1782,$N1782),'Drop List'!$G$23:$K$87,5,FALSE),0)</f>
        <v>0</v>
      </c>
      <c r="AK1782" s="1152">
        <f t="shared" si="498"/>
        <v>0</v>
      </c>
      <c r="AL1782" s="1153">
        <f t="shared" si="499"/>
        <v>0</v>
      </c>
      <c r="AM1782" s="1153">
        <f t="shared" si="500"/>
        <v>0</v>
      </c>
      <c r="AN1782" s="1145">
        <f t="shared" si="501"/>
        <v>0</v>
      </c>
      <c r="AO1782" s="1154">
        <f t="shared" si="504"/>
        <v>0</v>
      </c>
      <c r="AP1782" s="1147">
        <f t="shared" si="489"/>
        <v>0</v>
      </c>
      <c r="AQ1782" s="1144">
        <f t="shared" si="490"/>
        <v>0</v>
      </c>
      <c r="AR1782" s="1146">
        <f t="shared" si="491"/>
        <v>0</v>
      </c>
    </row>
    <row r="1783" spans="1:44" x14ac:dyDescent="0.2">
      <c r="A1783" s="1141" t="str">
        <f t="shared" si="503"/>
        <v/>
      </c>
      <c r="B1783" s="1141" t="str">
        <f>IFERROR(VLOOKUP(A1783,'LAC 103'!A:C,3,FALSE),"")</f>
        <v/>
      </c>
      <c r="C1783" s="1478" t="str">
        <f>Info!$B$8</f>
        <v>00100</v>
      </c>
      <c r="D1783" s="1474"/>
      <c r="E1783" s="1474"/>
      <c r="F1783" s="1478"/>
      <c r="G1783" s="1478"/>
      <c r="H1783" s="1474"/>
      <c r="I1783" s="1478"/>
      <c r="J1783" s="1478"/>
      <c r="K1783" s="1475"/>
      <c r="L1783" s="1474"/>
      <c r="M1783" s="1476"/>
      <c r="N1783" s="1477"/>
      <c r="O1783" s="1479"/>
      <c r="P1783" s="1479"/>
      <c r="Q1783" s="1142">
        <f t="shared" si="487"/>
        <v>0</v>
      </c>
      <c r="R1783" s="1143">
        <f>IFERROR(VLOOKUP(CONCATENATE($E1783,$G1783),'LAC 103'!$A$12:$O$95,11,FALSE),0)</f>
        <v>0</v>
      </c>
      <c r="S1783" s="1144">
        <f>IFERROR(VLOOKUP(CONCATENATE($E1783,$G1783),'LAC 103'!$A$12:$O$95,12,FALSE),0)</f>
        <v>0</v>
      </c>
      <c r="T1783" s="1144">
        <f>IFERROR(VLOOKUP(CONCATENATE($E1783,$G1783),'LAC 103'!$A$12:$O$95,13,FALSE),0)</f>
        <v>0</v>
      </c>
      <c r="U1783" s="1144">
        <f>IFERROR(VLOOKUP(CONCATENATE($E1783,$G1783),'LAC 103'!$A$12:$O$95,14,FALSE),0)</f>
        <v>0</v>
      </c>
      <c r="V1783" s="1144">
        <f>IFERROR(VLOOKUP(CONCATENATE($E1783,$G1783),'LAC 103'!$A$12:$O$95,15,FALSE),0)</f>
        <v>0</v>
      </c>
      <c r="W1783" s="1145" t="str">
        <f>IFERROR(VLOOKUP(CONCATENATE($B1783,$N1783),'LAC 103'!$AI:$AQ,9,FALSE),"")</f>
        <v/>
      </c>
      <c r="X1783" s="1146">
        <f t="shared" si="492"/>
        <v>0</v>
      </c>
      <c r="Y1783" s="1143">
        <f t="shared" si="502"/>
        <v>0</v>
      </c>
      <c r="Z1783" s="1147">
        <f t="shared" si="493"/>
        <v>0</v>
      </c>
      <c r="AA1783" s="1144">
        <f t="shared" si="494"/>
        <v>0</v>
      </c>
      <c r="AB1783" s="1144">
        <f t="shared" si="495"/>
        <v>0</v>
      </c>
      <c r="AC1783" s="1144">
        <f t="shared" si="496"/>
        <v>0</v>
      </c>
      <c r="AD1783" s="1148">
        <f t="shared" si="488"/>
        <v>0</v>
      </c>
      <c r="AE1783" s="1487">
        <v>0</v>
      </c>
      <c r="AF1783" s="1145">
        <f t="shared" si="497"/>
        <v>0</v>
      </c>
      <c r="AG1783" s="1149">
        <f>IFERROR(VLOOKUP(CONCATENATE($L1783,$N1783),'Drop List'!$G$23:$K$87,2,FALSE),0)</f>
        <v>0</v>
      </c>
      <c r="AH1783" s="1150">
        <f>IFERROR(VLOOKUP(CONCATENATE($L1783,$N1783),'Drop List'!$G$23:$K$87,3,FALSE),0)</f>
        <v>0</v>
      </c>
      <c r="AI1783" s="1150">
        <f>IFERROR(VLOOKUP(CONCATENATE($L1783,$N1783),'Drop List'!$G$23:$K$87,4,FALSE),0)</f>
        <v>0</v>
      </c>
      <c r="AJ1783" s="1151">
        <f>IFERROR(VLOOKUP(CONCATENATE($L1783,$N1783),'Drop List'!$G$23:$K$87,5,FALSE),0)</f>
        <v>0</v>
      </c>
      <c r="AK1783" s="1152">
        <f t="shared" si="498"/>
        <v>0</v>
      </c>
      <c r="AL1783" s="1153">
        <f t="shared" si="499"/>
        <v>0</v>
      </c>
      <c r="AM1783" s="1153">
        <f t="shared" si="500"/>
        <v>0</v>
      </c>
      <c r="AN1783" s="1145">
        <f t="shared" si="501"/>
        <v>0</v>
      </c>
      <c r="AO1783" s="1154">
        <f t="shared" si="504"/>
        <v>0</v>
      </c>
      <c r="AP1783" s="1147">
        <f t="shared" si="489"/>
        <v>0</v>
      </c>
      <c r="AQ1783" s="1144">
        <f t="shared" si="490"/>
        <v>0</v>
      </c>
      <c r="AR1783" s="1146">
        <f t="shared" si="491"/>
        <v>0</v>
      </c>
    </row>
    <row r="1784" spans="1:44" x14ac:dyDescent="0.2">
      <c r="A1784" s="1141" t="str">
        <f t="shared" si="503"/>
        <v/>
      </c>
      <c r="B1784" s="1141" t="str">
        <f>IFERROR(VLOOKUP(A1784,'LAC 103'!A:C,3,FALSE),"")</f>
        <v/>
      </c>
      <c r="C1784" s="1478" t="str">
        <f>Info!$B$8</f>
        <v>00100</v>
      </c>
      <c r="D1784" s="1474"/>
      <c r="E1784" s="1474"/>
      <c r="F1784" s="1478"/>
      <c r="G1784" s="1478"/>
      <c r="H1784" s="1474"/>
      <c r="I1784" s="1478"/>
      <c r="J1784" s="1478"/>
      <c r="K1784" s="1475"/>
      <c r="L1784" s="1474"/>
      <c r="M1784" s="1476"/>
      <c r="N1784" s="1477"/>
      <c r="O1784" s="1479"/>
      <c r="P1784" s="1479"/>
      <c r="Q1784" s="1142">
        <f t="shared" si="487"/>
        <v>0</v>
      </c>
      <c r="R1784" s="1143">
        <f>IFERROR(VLOOKUP(CONCATENATE($E1784,$G1784),'LAC 103'!$A$12:$O$95,11,FALSE),0)</f>
        <v>0</v>
      </c>
      <c r="S1784" s="1144">
        <f>IFERROR(VLOOKUP(CONCATENATE($E1784,$G1784),'LAC 103'!$A$12:$O$95,12,FALSE),0)</f>
        <v>0</v>
      </c>
      <c r="T1784" s="1144">
        <f>IFERROR(VLOOKUP(CONCATENATE($E1784,$G1784),'LAC 103'!$A$12:$O$95,13,FALSE),0)</f>
        <v>0</v>
      </c>
      <c r="U1784" s="1144">
        <f>IFERROR(VLOOKUP(CONCATENATE($E1784,$G1784),'LAC 103'!$A$12:$O$95,14,FALSE),0)</f>
        <v>0</v>
      </c>
      <c r="V1784" s="1144">
        <f>IFERROR(VLOOKUP(CONCATENATE($E1784,$G1784),'LAC 103'!$A$12:$O$95,15,FALSE),0)</f>
        <v>0</v>
      </c>
      <c r="W1784" s="1145" t="str">
        <f>IFERROR(VLOOKUP(CONCATENATE($B1784,$N1784),'LAC 103'!$AI:$AQ,9,FALSE),"")</f>
        <v/>
      </c>
      <c r="X1784" s="1146">
        <f t="shared" si="492"/>
        <v>0</v>
      </c>
      <c r="Y1784" s="1143">
        <f t="shared" si="502"/>
        <v>0</v>
      </c>
      <c r="Z1784" s="1147">
        <f t="shared" si="493"/>
        <v>0</v>
      </c>
      <c r="AA1784" s="1144">
        <f t="shared" si="494"/>
        <v>0</v>
      </c>
      <c r="AB1784" s="1144">
        <f t="shared" si="495"/>
        <v>0</v>
      </c>
      <c r="AC1784" s="1144">
        <f t="shared" si="496"/>
        <v>0</v>
      </c>
      <c r="AD1784" s="1148">
        <f t="shared" si="488"/>
        <v>0</v>
      </c>
      <c r="AE1784" s="1487">
        <v>0</v>
      </c>
      <c r="AF1784" s="1145">
        <f t="shared" si="497"/>
        <v>0</v>
      </c>
      <c r="AG1784" s="1149">
        <f>IFERROR(VLOOKUP(CONCATENATE($L1784,$N1784),'Drop List'!$G$23:$K$87,2,FALSE),0)</f>
        <v>0</v>
      </c>
      <c r="AH1784" s="1150">
        <f>IFERROR(VLOOKUP(CONCATENATE($L1784,$N1784),'Drop List'!$G$23:$K$87,3,FALSE),0)</f>
        <v>0</v>
      </c>
      <c r="AI1784" s="1150">
        <f>IFERROR(VLOOKUP(CONCATENATE($L1784,$N1784),'Drop List'!$G$23:$K$87,4,FALSE),0)</f>
        <v>0</v>
      </c>
      <c r="AJ1784" s="1151">
        <f>IFERROR(VLOOKUP(CONCATENATE($L1784,$N1784),'Drop List'!$G$23:$K$87,5,FALSE),0)</f>
        <v>0</v>
      </c>
      <c r="AK1784" s="1152">
        <f t="shared" si="498"/>
        <v>0</v>
      </c>
      <c r="AL1784" s="1153">
        <f t="shared" si="499"/>
        <v>0</v>
      </c>
      <c r="AM1784" s="1153">
        <f t="shared" si="500"/>
        <v>0</v>
      </c>
      <c r="AN1784" s="1145">
        <f t="shared" si="501"/>
        <v>0</v>
      </c>
      <c r="AO1784" s="1154">
        <f t="shared" si="504"/>
        <v>0</v>
      </c>
      <c r="AP1784" s="1147">
        <f t="shared" si="489"/>
        <v>0</v>
      </c>
      <c r="AQ1784" s="1144">
        <f t="shared" si="490"/>
        <v>0</v>
      </c>
      <c r="AR1784" s="1146">
        <f t="shared" si="491"/>
        <v>0</v>
      </c>
    </row>
    <row r="1785" spans="1:44" x14ac:dyDescent="0.2">
      <c r="A1785" s="1141" t="str">
        <f t="shared" si="503"/>
        <v/>
      </c>
      <c r="B1785" s="1141" t="str">
        <f>IFERROR(VLOOKUP(A1785,'LAC 103'!A:C,3,FALSE),"")</f>
        <v/>
      </c>
      <c r="C1785" s="1478" t="str">
        <f>Info!$B$8</f>
        <v>00100</v>
      </c>
      <c r="D1785" s="1474"/>
      <c r="E1785" s="1474"/>
      <c r="F1785" s="1478"/>
      <c r="G1785" s="1478"/>
      <c r="H1785" s="1474"/>
      <c r="I1785" s="1478"/>
      <c r="J1785" s="1478"/>
      <c r="K1785" s="1475"/>
      <c r="L1785" s="1474"/>
      <c r="M1785" s="1476"/>
      <c r="N1785" s="1477"/>
      <c r="O1785" s="1479"/>
      <c r="P1785" s="1479"/>
      <c r="Q1785" s="1142">
        <f t="shared" si="487"/>
        <v>0</v>
      </c>
      <c r="R1785" s="1143">
        <f>IFERROR(VLOOKUP(CONCATENATE($E1785,$G1785),'LAC 103'!$A$12:$O$95,11,FALSE),0)</f>
        <v>0</v>
      </c>
      <c r="S1785" s="1144">
        <f>IFERROR(VLOOKUP(CONCATENATE($E1785,$G1785),'LAC 103'!$A$12:$O$95,12,FALSE),0)</f>
        <v>0</v>
      </c>
      <c r="T1785" s="1144">
        <f>IFERROR(VLOOKUP(CONCATENATE($E1785,$G1785),'LAC 103'!$A$12:$O$95,13,FALSE),0)</f>
        <v>0</v>
      </c>
      <c r="U1785" s="1144">
        <f>IFERROR(VLOOKUP(CONCATENATE($E1785,$G1785),'LAC 103'!$A$12:$O$95,14,FALSE),0)</f>
        <v>0</v>
      </c>
      <c r="V1785" s="1144">
        <f>IFERROR(VLOOKUP(CONCATENATE($E1785,$G1785),'LAC 103'!$A$12:$O$95,15,FALSE),0)</f>
        <v>0</v>
      </c>
      <c r="W1785" s="1145" t="str">
        <f>IFERROR(VLOOKUP(CONCATENATE($B1785,$N1785),'LAC 103'!$AI:$AQ,9,FALSE),"")</f>
        <v/>
      </c>
      <c r="X1785" s="1146">
        <f t="shared" si="492"/>
        <v>0</v>
      </c>
      <c r="Y1785" s="1143">
        <f t="shared" si="502"/>
        <v>0</v>
      </c>
      <c r="Z1785" s="1147">
        <f t="shared" si="493"/>
        <v>0</v>
      </c>
      <c r="AA1785" s="1144">
        <f t="shared" si="494"/>
        <v>0</v>
      </c>
      <c r="AB1785" s="1144">
        <f t="shared" si="495"/>
        <v>0</v>
      </c>
      <c r="AC1785" s="1144">
        <f t="shared" si="496"/>
        <v>0</v>
      </c>
      <c r="AD1785" s="1148">
        <f t="shared" si="488"/>
        <v>0</v>
      </c>
      <c r="AE1785" s="1487">
        <v>0</v>
      </c>
      <c r="AF1785" s="1145">
        <f t="shared" si="497"/>
        <v>0</v>
      </c>
      <c r="AG1785" s="1149">
        <f>IFERROR(VLOOKUP(CONCATENATE($L1785,$N1785),'Drop List'!$G$23:$K$87,2,FALSE),0)</f>
        <v>0</v>
      </c>
      <c r="AH1785" s="1150">
        <f>IFERROR(VLOOKUP(CONCATENATE($L1785,$N1785),'Drop List'!$G$23:$K$87,3,FALSE),0)</f>
        <v>0</v>
      </c>
      <c r="AI1785" s="1150">
        <f>IFERROR(VLOOKUP(CONCATENATE($L1785,$N1785),'Drop List'!$G$23:$K$87,4,FALSE),0)</f>
        <v>0</v>
      </c>
      <c r="AJ1785" s="1151">
        <f>IFERROR(VLOOKUP(CONCATENATE($L1785,$N1785),'Drop List'!$G$23:$K$87,5,FALSE),0)</f>
        <v>0</v>
      </c>
      <c r="AK1785" s="1152">
        <f t="shared" si="498"/>
        <v>0</v>
      </c>
      <c r="AL1785" s="1153">
        <f t="shared" si="499"/>
        <v>0</v>
      </c>
      <c r="AM1785" s="1153">
        <f t="shared" si="500"/>
        <v>0</v>
      </c>
      <c r="AN1785" s="1145">
        <f t="shared" si="501"/>
        <v>0</v>
      </c>
      <c r="AO1785" s="1154">
        <f t="shared" si="504"/>
        <v>0</v>
      </c>
      <c r="AP1785" s="1147">
        <f t="shared" si="489"/>
        <v>0</v>
      </c>
      <c r="AQ1785" s="1144">
        <f t="shared" si="490"/>
        <v>0</v>
      </c>
      <c r="AR1785" s="1146">
        <f t="shared" si="491"/>
        <v>0</v>
      </c>
    </row>
    <row r="1786" spans="1:44" x14ac:dyDescent="0.2">
      <c r="A1786" s="1141" t="str">
        <f t="shared" si="503"/>
        <v/>
      </c>
      <c r="B1786" s="1141" t="str">
        <f>IFERROR(VLOOKUP(A1786,'LAC 103'!A:C,3,FALSE),"")</f>
        <v/>
      </c>
      <c r="C1786" s="1478" t="str">
        <f>Info!$B$8</f>
        <v>00100</v>
      </c>
      <c r="D1786" s="1474"/>
      <c r="E1786" s="1474"/>
      <c r="F1786" s="1478"/>
      <c r="G1786" s="1478"/>
      <c r="H1786" s="1474"/>
      <c r="I1786" s="1478"/>
      <c r="J1786" s="1478"/>
      <c r="K1786" s="1475"/>
      <c r="L1786" s="1474"/>
      <c r="M1786" s="1476"/>
      <c r="N1786" s="1477"/>
      <c r="O1786" s="1479"/>
      <c r="P1786" s="1479"/>
      <c r="Q1786" s="1142">
        <f t="shared" si="487"/>
        <v>0</v>
      </c>
      <c r="R1786" s="1143">
        <f>IFERROR(VLOOKUP(CONCATENATE($E1786,$G1786),'LAC 103'!$A$12:$O$95,11,FALSE),0)</f>
        <v>0</v>
      </c>
      <c r="S1786" s="1144">
        <f>IFERROR(VLOOKUP(CONCATENATE($E1786,$G1786),'LAC 103'!$A$12:$O$95,12,FALSE),0)</f>
        <v>0</v>
      </c>
      <c r="T1786" s="1144">
        <f>IFERROR(VLOOKUP(CONCATENATE($E1786,$G1786),'LAC 103'!$A$12:$O$95,13,FALSE),0)</f>
        <v>0</v>
      </c>
      <c r="U1786" s="1144">
        <f>IFERROR(VLOOKUP(CONCATENATE($E1786,$G1786),'LAC 103'!$A$12:$O$95,14,FALSE),0)</f>
        <v>0</v>
      </c>
      <c r="V1786" s="1144">
        <f>IFERROR(VLOOKUP(CONCATENATE($E1786,$G1786),'LAC 103'!$A$12:$O$95,15,FALSE),0)</f>
        <v>0</v>
      </c>
      <c r="W1786" s="1145" t="str">
        <f>IFERROR(VLOOKUP(CONCATENATE($B1786,$N1786),'LAC 103'!$AI:$AQ,9,FALSE),"")</f>
        <v/>
      </c>
      <c r="X1786" s="1146">
        <f t="shared" si="492"/>
        <v>0</v>
      </c>
      <c r="Y1786" s="1143">
        <f t="shared" si="502"/>
        <v>0</v>
      </c>
      <c r="Z1786" s="1147">
        <f t="shared" si="493"/>
        <v>0</v>
      </c>
      <c r="AA1786" s="1144">
        <f t="shared" si="494"/>
        <v>0</v>
      </c>
      <c r="AB1786" s="1144">
        <f t="shared" si="495"/>
        <v>0</v>
      </c>
      <c r="AC1786" s="1144">
        <f t="shared" si="496"/>
        <v>0</v>
      </c>
      <c r="AD1786" s="1148">
        <f t="shared" si="488"/>
        <v>0</v>
      </c>
      <c r="AE1786" s="1487">
        <v>0</v>
      </c>
      <c r="AF1786" s="1145">
        <f t="shared" si="497"/>
        <v>0</v>
      </c>
      <c r="AG1786" s="1149">
        <f>IFERROR(VLOOKUP(CONCATENATE($L1786,$N1786),'Drop List'!$G$23:$K$87,2,FALSE),0)</f>
        <v>0</v>
      </c>
      <c r="AH1786" s="1150">
        <f>IFERROR(VLOOKUP(CONCATENATE($L1786,$N1786),'Drop List'!$G$23:$K$87,3,FALSE),0)</f>
        <v>0</v>
      </c>
      <c r="AI1786" s="1150">
        <f>IFERROR(VLOOKUP(CONCATENATE($L1786,$N1786),'Drop List'!$G$23:$K$87,4,FALSE),0)</f>
        <v>0</v>
      </c>
      <c r="AJ1786" s="1151">
        <f>IFERROR(VLOOKUP(CONCATENATE($L1786,$N1786),'Drop List'!$G$23:$K$87,5,FALSE),0)</f>
        <v>0</v>
      </c>
      <c r="AK1786" s="1152">
        <f t="shared" si="498"/>
        <v>0</v>
      </c>
      <c r="AL1786" s="1153">
        <f t="shared" si="499"/>
        <v>0</v>
      </c>
      <c r="AM1786" s="1153">
        <f t="shared" si="500"/>
        <v>0</v>
      </c>
      <c r="AN1786" s="1145">
        <f t="shared" si="501"/>
        <v>0</v>
      </c>
      <c r="AO1786" s="1154">
        <f t="shared" si="504"/>
        <v>0</v>
      </c>
      <c r="AP1786" s="1147">
        <f t="shared" si="489"/>
        <v>0</v>
      </c>
      <c r="AQ1786" s="1144">
        <f t="shared" si="490"/>
        <v>0</v>
      </c>
      <c r="AR1786" s="1146">
        <f t="shared" si="491"/>
        <v>0</v>
      </c>
    </row>
    <row r="1787" spans="1:44" x14ac:dyDescent="0.2">
      <c r="A1787" s="1141" t="str">
        <f t="shared" si="503"/>
        <v/>
      </c>
      <c r="B1787" s="1141" t="str">
        <f>IFERROR(VLOOKUP(A1787,'LAC 103'!A:C,3,FALSE),"")</f>
        <v/>
      </c>
      <c r="C1787" s="1478" t="str">
        <f>Info!$B$8</f>
        <v>00100</v>
      </c>
      <c r="D1787" s="1474"/>
      <c r="E1787" s="1474"/>
      <c r="F1787" s="1478"/>
      <c r="G1787" s="1478"/>
      <c r="H1787" s="1474"/>
      <c r="I1787" s="1478"/>
      <c r="J1787" s="1478"/>
      <c r="K1787" s="1475"/>
      <c r="L1787" s="1474"/>
      <c r="M1787" s="1476"/>
      <c r="N1787" s="1477"/>
      <c r="O1787" s="1479"/>
      <c r="P1787" s="1479"/>
      <c r="Q1787" s="1142">
        <f t="shared" si="487"/>
        <v>0</v>
      </c>
      <c r="R1787" s="1143">
        <f>IFERROR(VLOOKUP(CONCATENATE($E1787,$G1787),'LAC 103'!$A$12:$O$95,11,FALSE),0)</f>
        <v>0</v>
      </c>
      <c r="S1787" s="1144">
        <f>IFERROR(VLOOKUP(CONCATENATE($E1787,$G1787),'LAC 103'!$A$12:$O$95,12,FALSE),0)</f>
        <v>0</v>
      </c>
      <c r="T1787" s="1144">
        <f>IFERROR(VLOOKUP(CONCATENATE($E1787,$G1787),'LAC 103'!$A$12:$O$95,13,FALSE),0)</f>
        <v>0</v>
      </c>
      <c r="U1787" s="1144">
        <f>IFERROR(VLOOKUP(CONCATENATE($E1787,$G1787),'LAC 103'!$A$12:$O$95,14,FALSE),0)</f>
        <v>0</v>
      </c>
      <c r="V1787" s="1144">
        <f>IFERROR(VLOOKUP(CONCATENATE($E1787,$G1787),'LAC 103'!$A$12:$O$95,15,FALSE),0)</f>
        <v>0</v>
      </c>
      <c r="W1787" s="1145" t="str">
        <f>IFERROR(VLOOKUP(CONCATENATE($B1787,$N1787),'LAC 103'!$AI:$AQ,9,FALSE),"")</f>
        <v/>
      </c>
      <c r="X1787" s="1146">
        <f t="shared" si="492"/>
        <v>0</v>
      </c>
      <c r="Y1787" s="1143">
        <f t="shared" si="502"/>
        <v>0</v>
      </c>
      <c r="Z1787" s="1147">
        <f t="shared" si="493"/>
        <v>0</v>
      </c>
      <c r="AA1787" s="1144">
        <f t="shared" si="494"/>
        <v>0</v>
      </c>
      <c r="AB1787" s="1144">
        <f t="shared" si="495"/>
        <v>0</v>
      </c>
      <c r="AC1787" s="1144">
        <f t="shared" si="496"/>
        <v>0</v>
      </c>
      <c r="AD1787" s="1148">
        <f t="shared" si="488"/>
        <v>0</v>
      </c>
      <c r="AE1787" s="1487">
        <v>0</v>
      </c>
      <c r="AF1787" s="1145">
        <f t="shared" si="497"/>
        <v>0</v>
      </c>
      <c r="AG1787" s="1149">
        <f>IFERROR(VLOOKUP(CONCATENATE($L1787,$N1787),'Drop List'!$G$23:$K$87,2,FALSE),0)</f>
        <v>0</v>
      </c>
      <c r="AH1787" s="1150">
        <f>IFERROR(VLOOKUP(CONCATENATE($L1787,$N1787),'Drop List'!$G$23:$K$87,3,FALSE),0)</f>
        <v>0</v>
      </c>
      <c r="AI1787" s="1150">
        <f>IFERROR(VLOOKUP(CONCATENATE($L1787,$N1787),'Drop List'!$G$23:$K$87,4,FALSE),0)</f>
        <v>0</v>
      </c>
      <c r="AJ1787" s="1151">
        <f>IFERROR(VLOOKUP(CONCATENATE($L1787,$N1787),'Drop List'!$G$23:$K$87,5,FALSE),0)</f>
        <v>0</v>
      </c>
      <c r="AK1787" s="1152">
        <f t="shared" si="498"/>
        <v>0</v>
      </c>
      <c r="AL1787" s="1153">
        <f t="shared" si="499"/>
        <v>0</v>
      </c>
      <c r="AM1787" s="1153">
        <f t="shared" si="500"/>
        <v>0</v>
      </c>
      <c r="AN1787" s="1145">
        <f t="shared" si="501"/>
        <v>0</v>
      </c>
      <c r="AO1787" s="1154">
        <f t="shared" si="504"/>
        <v>0</v>
      </c>
      <c r="AP1787" s="1147">
        <f t="shared" si="489"/>
        <v>0</v>
      </c>
      <c r="AQ1787" s="1144">
        <f t="shared" si="490"/>
        <v>0</v>
      </c>
      <c r="AR1787" s="1146">
        <f t="shared" si="491"/>
        <v>0</v>
      </c>
    </row>
    <row r="1788" spans="1:44" x14ac:dyDescent="0.2">
      <c r="A1788" s="1141" t="str">
        <f t="shared" si="503"/>
        <v/>
      </c>
      <c r="B1788" s="1141" t="str">
        <f>IFERROR(VLOOKUP(A1788,'LAC 103'!A:C,3,FALSE),"")</f>
        <v/>
      </c>
      <c r="C1788" s="1478" t="str">
        <f>Info!$B$8</f>
        <v>00100</v>
      </c>
      <c r="D1788" s="1474"/>
      <c r="E1788" s="1474"/>
      <c r="F1788" s="1478"/>
      <c r="G1788" s="1478"/>
      <c r="H1788" s="1474"/>
      <c r="I1788" s="1478"/>
      <c r="J1788" s="1478"/>
      <c r="K1788" s="1475"/>
      <c r="L1788" s="1474"/>
      <c r="M1788" s="1476"/>
      <c r="N1788" s="1477"/>
      <c r="O1788" s="1479"/>
      <c r="P1788" s="1479"/>
      <c r="Q1788" s="1142">
        <f t="shared" ref="Q1788:Q1851" si="505">O1788+P1788</f>
        <v>0</v>
      </c>
      <c r="R1788" s="1143">
        <f>IFERROR(VLOOKUP(CONCATENATE($E1788,$G1788),'LAC 103'!$A$12:$O$95,11,FALSE),0)</f>
        <v>0</v>
      </c>
      <c r="S1788" s="1144">
        <f>IFERROR(VLOOKUP(CONCATENATE($E1788,$G1788),'LAC 103'!$A$12:$O$95,12,FALSE),0)</f>
        <v>0</v>
      </c>
      <c r="T1788" s="1144">
        <f>IFERROR(VLOOKUP(CONCATENATE($E1788,$G1788),'LAC 103'!$A$12:$O$95,13,FALSE),0)</f>
        <v>0</v>
      </c>
      <c r="U1788" s="1144">
        <f>IFERROR(VLOOKUP(CONCATENATE($E1788,$G1788),'LAC 103'!$A$12:$O$95,14,FALSE),0)</f>
        <v>0</v>
      </c>
      <c r="V1788" s="1144">
        <f>IFERROR(VLOOKUP(CONCATENATE($E1788,$G1788),'LAC 103'!$A$12:$O$95,15,FALSE),0)</f>
        <v>0</v>
      </c>
      <c r="W1788" s="1145" t="str">
        <f>IFERROR(VLOOKUP(CONCATENATE($B1788,$N1788),'LAC 103'!$AI:$AQ,9,FALSE),"")</f>
        <v/>
      </c>
      <c r="X1788" s="1146">
        <f t="shared" si="492"/>
        <v>0</v>
      </c>
      <c r="Y1788" s="1143">
        <f t="shared" si="502"/>
        <v>0</v>
      </c>
      <c r="Z1788" s="1147">
        <f t="shared" si="493"/>
        <v>0</v>
      </c>
      <c r="AA1788" s="1144">
        <f t="shared" si="494"/>
        <v>0</v>
      </c>
      <c r="AB1788" s="1144">
        <f t="shared" si="495"/>
        <v>0</v>
      </c>
      <c r="AC1788" s="1144">
        <f t="shared" si="496"/>
        <v>0</v>
      </c>
      <c r="AD1788" s="1148">
        <f t="shared" si="488"/>
        <v>0</v>
      </c>
      <c r="AE1788" s="1487">
        <v>0</v>
      </c>
      <c r="AF1788" s="1145">
        <f t="shared" si="497"/>
        <v>0</v>
      </c>
      <c r="AG1788" s="1149">
        <f>IFERROR(VLOOKUP(CONCATENATE($L1788,$N1788),'Drop List'!$G$23:$K$87,2,FALSE),0)</f>
        <v>0</v>
      </c>
      <c r="AH1788" s="1150">
        <f>IFERROR(VLOOKUP(CONCATENATE($L1788,$N1788),'Drop List'!$G$23:$K$87,3,FALSE),0)</f>
        <v>0</v>
      </c>
      <c r="AI1788" s="1150">
        <f>IFERROR(VLOOKUP(CONCATENATE($L1788,$N1788),'Drop List'!$G$23:$K$87,4,FALSE),0)</f>
        <v>0</v>
      </c>
      <c r="AJ1788" s="1151">
        <f>IFERROR(VLOOKUP(CONCATENATE($L1788,$N1788),'Drop List'!$G$23:$K$87,5,FALSE),0)</f>
        <v>0</v>
      </c>
      <c r="AK1788" s="1152">
        <f t="shared" si="498"/>
        <v>0</v>
      </c>
      <c r="AL1788" s="1153">
        <f t="shared" si="499"/>
        <v>0</v>
      </c>
      <c r="AM1788" s="1153">
        <f t="shared" si="500"/>
        <v>0</v>
      </c>
      <c r="AN1788" s="1145">
        <f t="shared" si="501"/>
        <v>0</v>
      </c>
      <c r="AO1788" s="1154">
        <f t="shared" si="504"/>
        <v>0</v>
      </c>
      <c r="AP1788" s="1147">
        <f t="shared" si="489"/>
        <v>0</v>
      </c>
      <c r="AQ1788" s="1144">
        <f t="shared" si="490"/>
        <v>0</v>
      </c>
      <c r="AR1788" s="1146">
        <f t="shared" si="491"/>
        <v>0</v>
      </c>
    </row>
    <row r="1789" spans="1:44" x14ac:dyDescent="0.2">
      <c r="A1789" s="1141" t="str">
        <f t="shared" si="503"/>
        <v/>
      </c>
      <c r="B1789" s="1141" t="str">
        <f>IFERROR(VLOOKUP(A1789,'LAC 103'!A:C,3,FALSE),"")</f>
        <v/>
      </c>
      <c r="C1789" s="1478" t="str">
        <f>Info!$B$8</f>
        <v>00100</v>
      </c>
      <c r="D1789" s="1474"/>
      <c r="E1789" s="1474"/>
      <c r="F1789" s="1478"/>
      <c r="G1789" s="1478"/>
      <c r="H1789" s="1474"/>
      <c r="I1789" s="1478"/>
      <c r="J1789" s="1478"/>
      <c r="K1789" s="1475"/>
      <c r="L1789" s="1474"/>
      <c r="M1789" s="1476"/>
      <c r="N1789" s="1477"/>
      <c r="O1789" s="1479"/>
      <c r="P1789" s="1479"/>
      <c r="Q1789" s="1142">
        <f t="shared" si="505"/>
        <v>0</v>
      </c>
      <c r="R1789" s="1143">
        <f>IFERROR(VLOOKUP(CONCATENATE($E1789,$G1789),'LAC 103'!$A$12:$O$95,11,FALSE),0)</f>
        <v>0</v>
      </c>
      <c r="S1789" s="1144">
        <f>IFERROR(VLOOKUP(CONCATENATE($E1789,$G1789),'LAC 103'!$A$12:$O$95,12,FALSE),0)</f>
        <v>0</v>
      </c>
      <c r="T1789" s="1144">
        <f>IFERROR(VLOOKUP(CONCATENATE($E1789,$G1789),'LAC 103'!$A$12:$O$95,13,FALSE),0)</f>
        <v>0</v>
      </c>
      <c r="U1789" s="1144">
        <f>IFERROR(VLOOKUP(CONCATENATE($E1789,$G1789),'LAC 103'!$A$12:$O$95,14,FALSE),0)</f>
        <v>0</v>
      </c>
      <c r="V1789" s="1144">
        <f>IFERROR(VLOOKUP(CONCATENATE($E1789,$G1789),'LAC 103'!$A$12:$O$95,15,FALSE),0)</f>
        <v>0</v>
      </c>
      <c r="W1789" s="1145" t="str">
        <f>IFERROR(VLOOKUP(CONCATENATE($B1789,$N1789),'LAC 103'!$AI:$AQ,9,FALSE),"")</f>
        <v/>
      </c>
      <c r="X1789" s="1146">
        <f t="shared" si="492"/>
        <v>0</v>
      </c>
      <c r="Y1789" s="1143">
        <f t="shared" si="502"/>
        <v>0</v>
      </c>
      <c r="Z1789" s="1147">
        <f t="shared" si="493"/>
        <v>0</v>
      </c>
      <c r="AA1789" s="1144">
        <f t="shared" si="494"/>
        <v>0</v>
      </c>
      <c r="AB1789" s="1144">
        <f t="shared" si="495"/>
        <v>0</v>
      </c>
      <c r="AC1789" s="1144">
        <f t="shared" si="496"/>
        <v>0</v>
      </c>
      <c r="AD1789" s="1148">
        <f t="shared" si="488"/>
        <v>0</v>
      </c>
      <c r="AE1789" s="1487">
        <v>0</v>
      </c>
      <c r="AF1789" s="1145">
        <f t="shared" si="497"/>
        <v>0</v>
      </c>
      <c r="AG1789" s="1149">
        <f>IFERROR(VLOOKUP(CONCATENATE($L1789,$N1789),'Drop List'!$G$23:$K$87,2,FALSE),0)</f>
        <v>0</v>
      </c>
      <c r="AH1789" s="1150">
        <f>IFERROR(VLOOKUP(CONCATENATE($L1789,$N1789),'Drop List'!$G$23:$K$87,3,FALSE),0)</f>
        <v>0</v>
      </c>
      <c r="AI1789" s="1150">
        <f>IFERROR(VLOOKUP(CONCATENATE($L1789,$N1789),'Drop List'!$G$23:$K$87,4,FALSE),0)</f>
        <v>0</v>
      </c>
      <c r="AJ1789" s="1151">
        <f>IFERROR(VLOOKUP(CONCATENATE($L1789,$N1789),'Drop List'!$G$23:$K$87,5,FALSE),0)</f>
        <v>0</v>
      </c>
      <c r="AK1789" s="1152">
        <f t="shared" si="498"/>
        <v>0</v>
      </c>
      <c r="AL1789" s="1153">
        <f t="shared" si="499"/>
        <v>0</v>
      </c>
      <c r="AM1789" s="1153">
        <f t="shared" si="500"/>
        <v>0</v>
      </c>
      <c r="AN1789" s="1145">
        <f t="shared" si="501"/>
        <v>0</v>
      </c>
      <c r="AO1789" s="1154">
        <f t="shared" si="504"/>
        <v>0</v>
      </c>
      <c r="AP1789" s="1147">
        <f t="shared" si="489"/>
        <v>0</v>
      </c>
      <c r="AQ1789" s="1144">
        <f t="shared" si="490"/>
        <v>0</v>
      </c>
      <c r="AR1789" s="1146">
        <f t="shared" si="491"/>
        <v>0</v>
      </c>
    </row>
    <row r="1790" spans="1:44" x14ac:dyDescent="0.2">
      <c r="A1790" s="1141" t="str">
        <f t="shared" si="503"/>
        <v/>
      </c>
      <c r="B1790" s="1141" t="str">
        <f>IFERROR(VLOOKUP(A1790,'LAC 103'!A:C,3,FALSE),"")</f>
        <v/>
      </c>
      <c r="C1790" s="1478" t="str">
        <f>Info!$B$8</f>
        <v>00100</v>
      </c>
      <c r="D1790" s="1474"/>
      <c r="E1790" s="1474"/>
      <c r="F1790" s="1478"/>
      <c r="G1790" s="1478"/>
      <c r="H1790" s="1474"/>
      <c r="I1790" s="1478"/>
      <c r="J1790" s="1478"/>
      <c r="K1790" s="1475"/>
      <c r="L1790" s="1474"/>
      <c r="M1790" s="1476"/>
      <c r="N1790" s="1477"/>
      <c r="O1790" s="1479"/>
      <c r="P1790" s="1479"/>
      <c r="Q1790" s="1142">
        <f t="shared" si="505"/>
        <v>0</v>
      </c>
      <c r="R1790" s="1143">
        <f>IFERROR(VLOOKUP(CONCATENATE($E1790,$G1790),'LAC 103'!$A$12:$O$95,11,FALSE),0)</f>
        <v>0</v>
      </c>
      <c r="S1790" s="1144">
        <f>IFERROR(VLOOKUP(CONCATENATE($E1790,$G1790),'LAC 103'!$A$12:$O$95,12,FALSE),0)</f>
        <v>0</v>
      </c>
      <c r="T1790" s="1144">
        <f>IFERROR(VLOOKUP(CONCATENATE($E1790,$G1790),'LAC 103'!$A$12:$O$95,13,FALSE),0)</f>
        <v>0</v>
      </c>
      <c r="U1790" s="1144">
        <f>IFERROR(VLOOKUP(CONCATENATE($E1790,$G1790),'LAC 103'!$A$12:$O$95,14,FALSE),0)</f>
        <v>0</v>
      </c>
      <c r="V1790" s="1144">
        <f>IFERROR(VLOOKUP(CONCATENATE($E1790,$G1790),'LAC 103'!$A$12:$O$95,15,FALSE),0)</f>
        <v>0</v>
      </c>
      <c r="W1790" s="1145" t="str">
        <f>IFERROR(VLOOKUP(CONCATENATE($B1790,$N1790),'LAC 103'!$AI:$AQ,9,FALSE),"")</f>
        <v/>
      </c>
      <c r="X1790" s="1146">
        <f t="shared" si="492"/>
        <v>0</v>
      </c>
      <c r="Y1790" s="1143">
        <f t="shared" si="502"/>
        <v>0</v>
      </c>
      <c r="Z1790" s="1147">
        <f t="shared" si="493"/>
        <v>0</v>
      </c>
      <c r="AA1790" s="1144">
        <f t="shared" si="494"/>
        <v>0</v>
      </c>
      <c r="AB1790" s="1144">
        <f t="shared" si="495"/>
        <v>0</v>
      </c>
      <c r="AC1790" s="1144">
        <f t="shared" si="496"/>
        <v>0</v>
      </c>
      <c r="AD1790" s="1148">
        <f t="shared" si="488"/>
        <v>0</v>
      </c>
      <c r="AE1790" s="1487">
        <v>0</v>
      </c>
      <c r="AF1790" s="1145">
        <f t="shared" si="497"/>
        <v>0</v>
      </c>
      <c r="AG1790" s="1149">
        <f>IFERROR(VLOOKUP(CONCATENATE($L1790,$N1790),'Drop List'!$G$23:$K$87,2,FALSE),0)</f>
        <v>0</v>
      </c>
      <c r="AH1790" s="1150">
        <f>IFERROR(VLOOKUP(CONCATENATE($L1790,$N1790),'Drop List'!$G$23:$K$87,3,FALSE),0)</f>
        <v>0</v>
      </c>
      <c r="AI1790" s="1150">
        <f>IFERROR(VLOOKUP(CONCATENATE($L1790,$N1790),'Drop List'!$G$23:$K$87,4,FALSE),0)</f>
        <v>0</v>
      </c>
      <c r="AJ1790" s="1151">
        <f>IFERROR(VLOOKUP(CONCATENATE($L1790,$N1790),'Drop List'!$G$23:$K$87,5,FALSE),0)</f>
        <v>0</v>
      </c>
      <c r="AK1790" s="1152">
        <f t="shared" si="498"/>
        <v>0</v>
      </c>
      <c r="AL1790" s="1153">
        <f t="shared" si="499"/>
        <v>0</v>
      </c>
      <c r="AM1790" s="1153">
        <f t="shared" si="500"/>
        <v>0</v>
      </c>
      <c r="AN1790" s="1145">
        <f t="shared" si="501"/>
        <v>0</v>
      </c>
      <c r="AO1790" s="1154">
        <f t="shared" si="504"/>
        <v>0</v>
      </c>
      <c r="AP1790" s="1147">
        <f t="shared" si="489"/>
        <v>0</v>
      </c>
      <c r="AQ1790" s="1144">
        <f t="shared" si="490"/>
        <v>0</v>
      </c>
      <c r="AR1790" s="1146">
        <f t="shared" si="491"/>
        <v>0</v>
      </c>
    </row>
    <row r="1791" spans="1:44" x14ac:dyDescent="0.2">
      <c r="A1791" s="1141" t="str">
        <f t="shared" si="503"/>
        <v/>
      </c>
      <c r="B1791" s="1141" t="str">
        <f>IFERROR(VLOOKUP(A1791,'LAC 103'!A:C,3,FALSE),"")</f>
        <v/>
      </c>
      <c r="C1791" s="1478" t="str">
        <f>Info!$B$8</f>
        <v>00100</v>
      </c>
      <c r="D1791" s="1474"/>
      <c r="E1791" s="1474"/>
      <c r="F1791" s="1478"/>
      <c r="G1791" s="1478"/>
      <c r="H1791" s="1474"/>
      <c r="I1791" s="1478"/>
      <c r="J1791" s="1478"/>
      <c r="K1791" s="1475"/>
      <c r="L1791" s="1474"/>
      <c r="M1791" s="1476"/>
      <c r="N1791" s="1477"/>
      <c r="O1791" s="1479"/>
      <c r="P1791" s="1479"/>
      <c r="Q1791" s="1142">
        <f t="shared" si="505"/>
        <v>0</v>
      </c>
      <c r="R1791" s="1143">
        <f>IFERROR(VLOOKUP(CONCATENATE($E1791,$G1791),'LAC 103'!$A$12:$O$95,11,FALSE),0)</f>
        <v>0</v>
      </c>
      <c r="S1791" s="1144">
        <f>IFERROR(VLOOKUP(CONCATENATE($E1791,$G1791),'LAC 103'!$A$12:$O$95,12,FALSE),0)</f>
        <v>0</v>
      </c>
      <c r="T1791" s="1144">
        <f>IFERROR(VLOOKUP(CONCATENATE($E1791,$G1791),'LAC 103'!$A$12:$O$95,13,FALSE),0)</f>
        <v>0</v>
      </c>
      <c r="U1791" s="1144">
        <f>IFERROR(VLOOKUP(CONCATENATE($E1791,$G1791),'LAC 103'!$A$12:$O$95,14,FALSE),0)</f>
        <v>0</v>
      </c>
      <c r="V1791" s="1144">
        <f>IFERROR(VLOOKUP(CONCATENATE($E1791,$G1791),'LAC 103'!$A$12:$O$95,15,FALSE),0)</f>
        <v>0</v>
      </c>
      <c r="W1791" s="1145" t="str">
        <f>IFERROR(VLOOKUP(CONCATENATE($B1791,$N1791),'LAC 103'!$AI:$AQ,9,FALSE),"")</f>
        <v/>
      </c>
      <c r="X1791" s="1146">
        <f t="shared" si="492"/>
        <v>0</v>
      </c>
      <c r="Y1791" s="1143">
        <f t="shared" si="502"/>
        <v>0</v>
      </c>
      <c r="Z1791" s="1147">
        <f t="shared" si="493"/>
        <v>0</v>
      </c>
      <c r="AA1791" s="1144">
        <f t="shared" si="494"/>
        <v>0</v>
      </c>
      <c r="AB1791" s="1144">
        <f t="shared" si="495"/>
        <v>0</v>
      </c>
      <c r="AC1791" s="1144">
        <f t="shared" si="496"/>
        <v>0</v>
      </c>
      <c r="AD1791" s="1148">
        <f t="shared" si="488"/>
        <v>0</v>
      </c>
      <c r="AE1791" s="1487">
        <v>0</v>
      </c>
      <c r="AF1791" s="1145">
        <f t="shared" si="497"/>
        <v>0</v>
      </c>
      <c r="AG1791" s="1149">
        <f>IFERROR(VLOOKUP(CONCATENATE($L1791,$N1791),'Drop List'!$G$23:$K$87,2,FALSE),0)</f>
        <v>0</v>
      </c>
      <c r="AH1791" s="1150">
        <f>IFERROR(VLOOKUP(CONCATENATE($L1791,$N1791),'Drop List'!$G$23:$K$87,3,FALSE),0)</f>
        <v>0</v>
      </c>
      <c r="AI1791" s="1150">
        <f>IFERROR(VLOOKUP(CONCATENATE($L1791,$N1791),'Drop List'!$G$23:$K$87,4,FALSE),0)</f>
        <v>0</v>
      </c>
      <c r="AJ1791" s="1151">
        <f>IFERROR(VLOOKUP(CONCATENATE($L1791,$N1791),'Drop List'!$G$23:$K$87,5,FALSE),0)</f>
        <v>0</v>
      </c>
      <c r="AK1791" s="1152">
        <f t="shared" si="498"/>
        <v>0</v>
      </c>
      <c r="AL1791" s="1153">
        <f t="shared" si="499"/>
        <v>0</v>
      </c>
      <c r="AM1791" s="1153">
        <f t="shared" si="500"/>
        <v>0</v>
      </c>
      <c r="AN1791" s="1145">
        <f t="shared" si="501"/>
        <v>0</v>
      </c>
      <c r="AO1791" s="1154">
        <f t="shared" si="504"/>
        <v>0</v>
      </c>
      <c r="AP1791" s="1147">
        <f t="shared" si="489"/>
        <v>0</v>
      </c>
      <c r="AQ1791" s="1144">
        <f t="shared" si="490"/>
        <v>0</v>
      </c>
      <c r="AR1791" s="1146">
        <f t="shared" si="491"/>
        <v>0</v>
      </c>
    </row>
    <row r="1792" spans="1:44" x14ac:dyDescent="0.2">
      <c r="A1792" s="1141" t="str">
        <f t="shared" si="503"/>
        <v/>
      </c>
      <c r="B1792" s="1141" t="str">
        <f>IFERROR(VLOOKUP(A1792,'LAC 103'!A:C,3,FALSE),"")</f>
        <v/>
      </c>
      <c r="C1792" s="1478" t="str">
        <f>Info!$B$8</f>
        <v>00100</v>
      </c>
      <c r="D1792" s="1474"/>
      <c r="E1792" s="1474"/>
      <c r="F1792" s="1478"/>
      <c r="G1792" s="1478"/>
      <c r="H1792" s="1474"/>
      <c r="I1792" s="1478"/>
      <c r="J1792" s="1478"/>
      <c r="K1792" s="1475"/>
      <c r="L1792" s="1474"/>
      <c r="M1792" s="1476"/>
      <c r="N1792" s="1477"/>
      <c r="O1792" s="1479"/>
      <c r="P1792" s="1479"/>
      <c r="Q1792" s="1142">
        <f t="shared" si="505"/>
        <v>0</v>
      </c>
      <c r="R1792" s="1143">
        <f>IFERROR(VLOOKUP(CONCATENATE($E1792,$G1792),'LAC 103'!$A$12:$O$95,11,FALSE),0)</f>
        <v>0</v>
      </c>
      <c r="S1792" s="1144">
        <f>IFERROR(VLOOKUP(CONCATENATE($E1792,$G1792),'LAC 103'!$A$12:$O$95,12,FALSE),0)</f>
        <v>0</v>
      </c>
      <c r="T1792" s="1144">
        <f>IFERROR(VLOOKUP(CONCATENATE($E1792,$G1792),'LAC 103'!$A$12:$O$95,13,FALSE),0)</f>
        <v>0</v>
      </c>
      <c r="U1792" s="1144">
        <f>IFERROR(VLOOKUP(CONCATENATE($E1792,$G1792),'LAC 103'!$A$12:$O$95,14,FALSE),0)</f>
        <v>0</v>
      </c>
      <c r="V1792" s="1144">
        <f>IFERROR(VLOOKUP(CONCATENATE($E1792,$G1792),'LAC 103'!$A$12:$O$95,15,FALSE),0)</f>
        <v>0</v>
      </c>
      <c r="W1792" s="1145" t="str">
        <f>IFERROR(VLOOKUP(CONCATENATE($B1792,$N1792),'LAC 103'!$AI:$AQ,9,FALSE),"")</f>
        <v/>
      </c>
      <c r="X1792" s="1146">
        <f t="shared" si="492"/>
        <v>0</v>
      </c>
      <c r="Y1792" s="1143">
        <f t="shared" si="502"/>
        <v>0</v>
      </c>
      <c r="Z1792" s="1147">
        <f t="shared" si="493"/>
        <v>0</v>
      </c>
      <c r="AA1792" s="1144">
        <f t="shared" si="494"/>
        <v>0</v>
      </c>
      <c r="AB1792" s="1144">
        <f t="shared" si="495"/>
        <v>0</v>
      </c>
      <c r="AC1792" s="1144">
        <f t="shared" si="496"/>
        <v>0</v>
      </c>
      <c r="AD1792" s="1148">
        <f t="shared" si="488"/>
        <v>0</v>
      </c>
      <c r="AE1792" s="1487">
        <v>0</v>
      </c>
      <c r="AF1792" s="1145">
        <f t="shared" si="497"/>
        <v>0</v>
      </c>
      <c r="AG1792" s="1149">
        <f>IFERROR(VLOOKUP(CONCATENATE($L1792,$N1792),'Drop List'!$G$23:$K$87,2,FALSE),0)</f>
        <v>0</v>
      </c>
      <c r="AH1792" s="1150">
        <f>IFERROR(VLOOKUP(CONCATENATE($L1792,$N1792),'Drop List'!$G$23:$K$87,3,FALSE),0)</f>
        <v>0</v>
      </c>
      <c r="AI1792" s="1150">
        <f>IFERROR(VLOOKUP(CONCATENATE($L1792,$N1792),'Drop List'!$G$23:$K$87,4,FALSE),0)</f>
        <v>0</v>
      </c>
      <c r="AJ1792" s="1151">
        <f>IFERROR(VLOOKUP(CONCATENATE($L1792,$N1792),'Drop List'!$G$23:$K$87,5,FALSE),0)</f>
        <v>0</v>
      </c>
      <c r="AK1792" s="1152">
        <f t="shared" si="498"/>
        <v>0</v>
      </c>
      <c r="AL1792" s="1153">
        <f t="shared" si="499"/>
        <v>0</v>
      </c>
      <c r="AM1792" s="1153">
        <f t="shared" si="500"/>
        <v>0</v>
      </c>
      <c r="AN1792" s="1145">
        <f t="shared" si="501"/>
        <v>0</v>
      </c>
      <c r="AO1792" s="1154">
        <f t="shared" si="504"/>
        <v>0</v>
      </c>
      <c r="AP1792" s="1147">
        <f t="shared" si="489"/>
        <v>0</v>
      </c>
      <c r="AQ1792" s="1144">
        <f t="shared" si="490"/>
        <v>0</v>
      </c>
      <c r="AR1792" s="1146">
        <f t="shared" si="491"/>
        <v>0</v>
      </c>
    </row>
    <row r="1793" spans="1:44" x14ac:dyDescent="0.2">
      <c r="A1793" s="1141" t="str">
        <f t="shared" si="503"/>
        <v/>
      </c>
      <c r="B1793" s="1141" t="str">
        <f>IFERROR(VLOOKUP(A1793,'LAC 103'!A:C,3,FALSE),"")</f>
        <v/>
      </c>
      <c r="C1793" s="1478" t="str">
        <f>Info!$B$8</f>
        <v>00100</v>
      </c>
      <c r="D1793" s="1474"/>
      <c r="E1793" s="1474"/>
      <c r="F1793" s="1478"/>
      <c r="G1793" s="1478"/>
      <c r="H1793" s="1474"/>
      <c r="I1793" s="1478"/>
      <c r="J1793" s="1478"/>
      <c r="K1793" s="1475"/>
      <c r="L1793" s="1474"/>
      <c r="M1793" s="1476"/>
      <c r="N1793" s="1477"/>
      <c r="O1793" s="1479"/>
      <c r="P1793" s="1479"/>
      <c r="Q1793" s="1142">
        <f t="shared" si="505"/>
        <v>0</v>
      </c>
      <c r="R1793" s="1143">
        <f>IFERROR(VLOOKUP(CONCATENATE($E1793,$G1793),'LAC 103'!$A$12:$O$95,11,FALSE),0)</f>
        <v>0</v>
      </c>
      <c r="S1793" s="1144">
        <f>IFERROR(VLOOKUP(CONCATENATE($E1793,$G1793),'LAC 103'!$A$12:$O$95,12,FALSE),0)</f>
        <v>0</v>
      </c>
      <c r="T1793" s="1144">
        <f>IFERROR(VLOOKUP(CONCATENATE($E1793,$G1793),'LAC 103'!$A$12:$O$95,13,FALSE),0)</f>
        <v>0</v>
      </c>
      <c r="U1793" s="1144">
        <f>IFERROR(VLOOKUP(CONCATENATE($E1793,$G1793),'LAC 103'!$A$12:$O$95,14,FALSE),0)</f>
        <v>0</v>
      </c>
      <c r="V1793" s="1144">
        <f>IFERROR(VLOOKUP(CONCATENATE($E1793,$G1793),'LAC 103'!$A$12:$O$95,15,FALSE),0)</f>
        <v>0</v>
      </c>
      <c r="W1793" s="1145" t="str">
        <f>IFERROR(VLOOKUP(CONCATENATE($B1793,$N1793),'LAC 103'!$AI:$AQ,9,FALSE),"")</f>
        <v/>
      </c>
      <c r="X1793" s="1146">
        <f t="shared" si="492"/>
        <v>0</v>
      </c>
      <c r="Y1793" s="1143">
        <f t="shared" si="502"/>
        <v>0</v>
      </c>
      <c r="Z1793" s="1147">
        <f t="shared" si="493"/>
        <v>0</v>
      </c>
      <c r="AA1793" s="1144">
        <f t="shared" si="494"/>
        <v>0</v>
      </c>
      <c r="AB1793" s="1144">
        <f t="shared" si="495"/>
        <v>0</v>
      </c>
      <c r="AC1793" s="1144">
        <f t="shared" si="496"/>
        <v>0</v>
      </c>
      <c r="AD1793" s="1148">
        <f t="shared" si="488"/>
        <v>0</v>
      </c>
      <c r="AE1793" s="1487">
        <v>0</v>
      </c>
      <c r="AF1793" s="1145">
        <f t="shared" si="497"/>
        <v>0</v>
      </c>
      <c r="AG1793" s="1149">
        <f>IFERROR(VLOOKUP(CONCATENATE($L1793,$N1793),'Drop List'!$G$23:$K$87,2,FALSE),0)</f>
        <v>0</v>
      </c>
      <c r="AH1793" s="1150">
        <f>IFERROR(VLOOKUP(CONCATENATE($L1793,$N1793),'Drop List'!$G$23:$K$87,3,FALSE),0)</f>
        <v>0</v>
      </c>
      <c r="AI1793" s="1150">
        <f>IFERROR(VLOOKUP(CONCATENATE($L1793,$N1793),'Drop List'!$G$23:$K$87,4,FALSE),0)</f>
        <v>0</v>
      </c>
      <c r="AJ1793" s="1151">
        <f>IFERROR(VLOOKUP(CONCATENATE($L1793,$N1793),'Drop List'!$G$23:$K$87,5,FALSE),0)</f>
        <v>0</v>
      </c>
      <c r="AK1793" s="1152">
        <f t="shared" si="498"/>
        <v>0</v>
      </c>
      <c r="AL1793" s="1153">
        <f t="shared" si="499"/>
        <v>0</v>
      </c>
      <c r="AM1793" s="1153">
        <f t="shared" si="500"/>
        <v>0</v>
      </c>
      <c r="AN1793" s="1145">
        <f t="shared" si="501"/>
        <v>0</v>
      </c>
      <c r="AO1793" s="1154">
        <f t="shared" si="504"/>
        <v>0</v>
      </c>
      <c r="AP1793" s="1147">
        <f t="shared" si="489"/>
        <v>0</v>
      </c>
      <c r="AQ1793" s="1144">
        <f t="shared" si="490"/>
        <v>0</v>
      </c>
      <c r="AR1793" s="1146">
        <f t="shared" si="491"/>
        <v>0</v>
      </c>
    </row>
    <row r="1794" spans="1:44" x14ac:dyDescent="0.2">
      <c r="A1794" s="1141" t="str">
        <f t="shared" si="503"/>
        <v/>
      </c>
      <c r="B1794" s="1141" t="str">
        <f>IFERROR(VLOOKUP(A1794,'LAC 103'!A:C,3,FALSE),"")</f>
        <v/>
      </c>
      <c r="C1794" s="1478" t="str">
        <f>Info!$B$8</f>
        <v>00100</v>
      </c>
      <c r="D1794" s="1474"/>
      <c r="E1794" s="1474"/>
      <c r="F1794" s="1478"/>
      <c r="G1794" s="1478"/>
      <c r="H1794" s="1474"/>
      <c r="I1794" s="1478"/>
      <c r="J1794" s="1478"/>
      <c r="K1794" s="1475"/>
      <c r="L1794" s="1474"/>
      <c r="M1794" s="1476"/>
      <c r="N1794" s="1477"/>
      <c r="O1794" s="1479"/>
      <c r="P1794" s="1479"/>
      <c r="Q1794" s="1142">
        <f t="shared" si="505"/>
        <v>0</v>
      </c>
      <c r="R1794" s="1143">
        <f>IFERROR(VLOOKUP(CONCATENATE($E1794,$G1794),'LAC 103'!$A$12:$O$95,11,FALSE),0)</f>
        <v>0</v>
      </c>
      <c r="S1794" s="1144">
        <f>IFERROR(VLOOKUP(CONCATENATE($E1794,$G1794),'LAC 103'!$A$12:$O$95,12,FALSE),0)</f>
        <v>0</v>
      </c>
      <c r="T1794" s="1144">
        <f>IFERROR(VLOOKUP(CONCATENATE($E1794,$G1794),'LAC 103'!$A$12:$O$95,13,FALSE),0)</f>
        <v>0</v>
      </c>
      <c r="U1794" s="1144">
        <f>IFERROR(VLOOKUP(CONCATENATE($E1794,$G1794),'LAC 103'!$A$12:$O$95,14,FALSE),0)</f>
        <v>0</v>
      </c>
      <c r="V1794" s="1144">
        <f>IFERROR(VLOOKUP(CONCATENATE($E1794,$G1794),'LAC 103'!$A$12:$O$95,15,FALSE),0)</f>
        <v>0</v>
      </c>
      <c r="W1794" s="1145" t="str">
        <f>IFERROR(VLOOKUP(CONCATENATE($B1794,$N1794),'LAC 103'!$AI:$AQ,9,FALSE),"")</f>
        <v/>
      </c>
      <c r="X1794" s="1146">
        <f t="shared" si="492"/>
        <v>0</v>
      </c>
      <c r="Y1794" s="1143">
        <f t="shared" si="502"/>
        <v>0</v>
      </c>
      <c r="Z1794" s="1147">
        <f t="shared" si="493"/>
        <v>0</v>
      </c>
      <c r="AA1794" s="1144">
        <f t="shared" si="494"/>
        <v>0</v>
      </c>
      <c r="AB1794" s="1144">
        <f t="shared" si="495"/>
        <v>0</v>
      </c>
      <c r="AC1794" s="1144">
        <f t="shared" si="496"/>
        <v>0</v>
      </c>
      <c r="AD1794" s="1148">
        <f t="shared" si="488"/>
        <v>0</v>
      </c>
      <c r="AE1794" s="1487">
        <v>0</v>
      </c>
      <c r="AF1794" s="1145">
        <f t="shared" si="497"/>
        <v>0</v>
      </c>
      <c r="AG1794" s="1149">
        <f>IFERROR(VLOOKUP(CONCATENATE($L1794,$N1794),'Drop List'!$G$23:$K$87,2,FALSE),0)</f>
        <v>0</v>
      </c>
      <c r="AH1794" s="1150">
        <f>IFERROR(VLOOKUP(CONCATENATE($L1794,$N1794),'Drop List'!$G$23:$K$87,3,FALSE),0)</f>
        <v>0</v>
      </c>
      <c r="AI1794" s="1150">
        <f>IFERROR(VLOOKUP(CONCATENATE($L1794,$N1794),'Drop List'!$G$23:$K$87,4,FALSE),0)</f>
        <v>0</v>
      </c>
      <c r="AJ1794" s="1151">
        <f>IFERROR(VLOOKUP(CONCATENATE($L1794,$N1794),'Drop List'!$G$23:$K$87,5,FALSE),0)</f>
        <v>0</v>
      </c>
      <c r="AK1794" s="1152">
        <f t="shared" si="498"/>
        <v>0</v>
      </c>
      <c r="AL1794" s="1153">
        <f t="shared" si="499"/>
        <v>0</v>
      </c>
      <c r="AM1794" s="1153">
        <f t="shared" si="500"/>
        <v>0</v>
      </c>
      <c r="AN1794" s="1145">
        <f t="shared" si="501"/>
        <v>0</v>
      </c>
      <c r="AO1794" s="1154">
        <f t="shared" si="504"/>
        <v>0</v>
      </c>
      <c r="AP1794" s="1147">
        <f t="shared" si="489"/>
        <v>0</v>
      </c>
      <c r="AQ1794" s="1144">
        <f t="shared" si="490"/>
        <v>0</v>
      </c>
      <c r="AR1794" s="1146">
        <f t="shared" si="491"/>
        <v>0</v>
      </c>
    </row>
    <row r="1795" spans="1:44" x14ac:dyDescent="0.2">
      <c r="A1795" s="1141" t="str">
        <f t="shared" si="503"/>
        <v/>
      </c>
      <c r="B1795" s="1141" t="str">
        <f>IFERROR(VLOOKUP(A1795,'LAC 103'!A:C,3,FALSE),"")</f>
        <v/>
      </c>
      <c r="C1795" s="1478" t="str">
        <f>Info!$B$8</f>
        <v>00100</v>
      </c>
      <c r="D1795" s="1474"/>
      <c r="E1795" s="1474"/>
      <c r="F1795" s="1478"/>
      <c r="G1795" s="1478"/>
      <c r="H1795" s="1474"/>
      <c r="I1795" s="1478"/>
      <c r="J1795" s="1478"/>
      <c r="K1795" s="1475"/>
      <c r="L1795" s="1474"/>
      <c r="M1795" s="1476"/>
      <c r="N1795" s="1477"/>
      <c r="O1795" s="1479"/>
      <c r="P1795" s="1479"/>
      <c r="Q1795" s="1142">
        <f t="shared" si="505"/>
        <v>0</v>
      </c>
      <c r="R1795" s="1143">
        <f>IFERROR(VLOOKUP(CONCATENATE($E1795,$G1795),'LAC 103'!$A$12:$O$95,11,FALSE),0)</f>
        <v>0</v>
      </c>
      <c r="S1795" s="1144">
        <f>IFERROR(VLOOKUP(CONCATENATE($E1795,$G1795),'LAC 103'!$A$12:$O$95,12,FALSE),0)</f>
        <v>0</v>
      </c>
      <c r="T1795" s="1144">
        <f>IFERROR(VLOOKUP(CONCATENATE($E1795,$G1795),'LAC 103'!$A$12:$O$95,13,FALSE),0)</f>
        <v>0</v>
      </c>
      <c r="U1795" s="1144">
        <f>IFERROR(VLOOKUP(CONCATENATE($E1795,$G1795),'LAC 103'!$A$12:$O$95,14,FALSE),0)</f>
        <v>0</v>
      </c>
      <c r="V1795" s="1144">
        <f>IFERROR(VLOOKUP(CONCATENATE($E1795,$G1795),'LAC 103'!$A$12:$O$95,15,FALSE),0)</f>
        <v>0</v>
      </c>
      <c r="W1795" s="1145" t="str">
        <f>IFERROR(VLOOKUP(CONCATENATE($B1795,$N1795),'LAC 103'!$AI:$AQ,9,FALSE),"")</f>
        <v/>
      </c>
      <c r="X1795" s="1146">
        <f t="shared" si="492"/>
        <v>0</v>
      </c>
      <c r="Y1795" s="1143">
        <f t="shared" si="502"/>
        <v>0</v>
      </c>
      <c r="Z1795" s="1147">
        <f t="shared" si="493"/>
        <v>0</v>
      </c>
      <c r="AA1795" s="1144">
        <f t="shared" si="494"/>
        <v>0</v>
      </c>
      <c r="AB1795" s="1144">
        <f t="shared" si="495"/>
        <v>0</v>
      </c>
      <c r="AC1795" s="1144">
        <f t="shared" si="496"/>
        <v>0</v>
      </c>
      <c r="AD1795" s="1148">
        <f t="shared" si="488"/>
        <v>0</v>
      </c>
      <c r="AE1795" s="1487">
        <v>0</v>
      </c>
      <c r="AF1795" s="1145">
        <f t="shared" si="497"/>
        <v>0</v>
      </c>
      <c r="AG1795" s="1149">
        <f>IFERROR(VLOOKUP(CONCATENATE($L1795,$N1795),'Drop List'!$G$23:$K$87,2,FALSE),0)</f>
        <v>0</v>
      </c>
      <c r="AH1795" s="1150">
        <f>IFERROR(VLOOKUP(CONCATENATE($L1795,$N1795),'Drop List'!$G$23:$K$87,3,FALSE),0)</f>
        <v>0</v>
      </c>
      <c r="AI1795" s="1150">
        <f>IFERROR(VLOOKUP(CONCATENATE($L1795,$N1795),'Drop List'!$G$23:$K$87,4,FALSE),0)</f>
        <v>0</v>
      </c>
      <c r="AJ1795" s="1151">
        <f>IFERROR(VLOOKUP(CONCATENATE($L1795,$N1795),'Drop List'!$G$23:$K$87,5,FALSE),0)</f>
        <v>0</v>
      </c>
      <c r="AK1795" s="1152">
        <f t="shared" si="498"/>
        <v>0</v>
      </c>
      <c r="AL1795" s="1153">
        <f t="shared" si="499"/>
        <v>0</v>
      </c>
      <c r="AM1795" s="1153">
        <f t="shared" si="500"/>
        <v>0</v>
      </c>
      <c r="AN1795" s="1145">
        <f t="shared" si="501"/>
        <v>0</v>
      </c>
      <c r="AO1795" s="1154">
        <f t="shared" si="504"/>
        <v>0</v>
      </c>
      <c r="AP1795" s="1147">
        <f t="shared" si="489"/>
        <v>0</v>
      </c>
      <c r="AQ1795" s="1144">
        <f t="shared" si="490"/>
        <v>0</v>
      </c>
      <c r="AR1795" s="1146">
        <f t="shared" si="491"/>
        <v>0</v>
      </c>
    </row>
    <row r="1796" spans="1:44" x14ac:dyDescent="0.2">
      <c r="A1796" s="1141" t="str">
        <f t="shared" si="503"/>
        <v/>
      </c>
      <c r="B1796" s="1141" t="str">
        <f>IFERROR(VLOOKUP(A1796,'LAC 103'!A:C,3,FALSE),"")</f>
        <v/>
      </c>
      <c r="C1796" s="1478" t="str">
        <f>Info!$B$8</f>
        <v>00100</v>
      </c>
      <c r="D1796" s="1474"/>
      <c r="E1796" s="1474"/>
      <c r="F1796" s="1478"/>
      <c r="G1796" s="1478"/>
      <c r="H1796" s="1474"/>
      <c r="I1796" s="1478"/>
      <c r="J1796" s="1478"/>
      <c r="K1796" s="1475"/>
      <c r="L1796" s="1474"/>
      <c r="M1796" s="1476"/>
      <c r="N1796" s="1477"/>
      <c r="O1796" s="1479"/>
      <c r="P1796" s="1479"/>
      <c r="Q1796" s="1142">
        <f t="shared" si="505"/>
        <v>0</v>
      </c>
      <c r="R1796" s="1143">
        <f>IFERROR(VLOOKUP(CONCATENATE($E1796,$G1796),'LAC 103'!$A$12:$O$95,11,FALSE),0)</f>
        <v>0</v>
      </c>
      <c r="S1796" s="1144">
        <f>IFERROR(VLOOKUP(CONCATENATE($E1796,$G1796),'LAC 103'!$A$12:$O$95,12,FALSE),0)</f>
        <v>0</v>
      </c>
      <c r="T1796" s="1144">
        <f>IFERROR(VLOOKUP(CONCATENATE($E1796,$G1796),'LAC 103'!$A$12:$O$95,13,FALSE),0)</f>
        <v>0</v>
      </c>
      <c r="U1796" s="1144">
        <f>IFERROR(VLOOKUP(CONCATENATE($E1796,$G1796),'LAC 103'!$A$12:$O$95,14,FALSE),0)</f>
        <v>0</v>
      </c>
      <c r="V1796" s="1144">
        <f>IFERROR(VLOOKUP(CONCATENATE($E1796,$G1796),'LAC 103'!$A$12:$O$95,15,FALSE),0)</f>
        <v>0</v>
      </c>
      <c r="W1796" s="1145" t="str">
        <f>IFERROR(VLOOKUP(CONCATENATE($B1796,$N1796),'LAC 103'!$AI:$AQ,9,FALSE),"")</f>
        <v/>
      </c>
      <c r="X1796" s="1146">
        <f t="shared" si="492"/>
        <v>0</v>
      </c>
      <c r="Y1796" s="1143">
        <f t="shared" si="502"/>
        <v>0</v>
      </c>
      <c r="Z1796" s="1147">
        <f t="shared" si="493"/>
        <v>0</v>
      </c>
      <c r="AA1796" s="1144">
        <f t="shared" si="494"/>
        <v>0</v>
      </c>
      <c r="AB1796" s="1144">
        <f t="shared" si="495"/>
        <v>0</v>
      </c>
      <c r="AC1796" s="1144">
        <f t="shared" si="496"/>
        <v>0</v>
      </c>
      <c r="AD1796" s="1148">
        <f t="shared" si="488"/>
        <v>0</v>
      </c>
      <c r="AE1796" s="1487">
        <v>0</v>
      </c>
      <c r="AF1796" s="1145">
        <f t="shared" si="497"/>
        <v>0</v>
      </c>
      <c r="AG1796" s="1149">
        <f>IFERROR(VLOOKUP(CONCATENATE($L1796,$N1796),'Drop List'!$G$23:$K$87,2,FALSE),0)</f>
        <v>0</v>
      </c>
      <c r="AH1796" s="1150">
        <f>IFERROR(VLOOKUP(CONCATENATE($L1796,$N1796),'Drop List'!$G$23:$K$87,3,FALSE),0)</f>
        <v>0</v>
      </c>
      <c r="AI1796" s="1150">
        <f>IFERROR(VLOOKUP(CONCATENATE($L1796,$N1796),'Drop List'!$G$23:$K$87,4,FALSE),0)</f>
        <v>0</v>
      </c>
      <c r="AJ1796" s="1151">
        <f>IFERROR(VLOOKUP(CONCATENATE($L1796,$N1796),'Drop List'!$G$23:$K$87,5,FALSE),0)</f>
        <v>0</v>
      </c>
      <c r="AK1796" s="1152">
        <f t="shared" si="498"/>
        <v>0</v>
      </c>
      <c r="AL1796" s="1153">
        <f t="shared" si="499"/>
        <v>0</v>
      </c>
      <c r="AM1796" s="1153">
        <f t="shared" si="500"/>
        <v>0</v>
      </c>
      <c r="AN1796" s="1145">
        <f t="shared" si="501"/>
        <v>0</v>
      </c>
      <c r="AO1796" s="1154">
        <f t="shared" si="504"/>
        <v>0</v>
      </c>
      <c r="AP1796" s="1147">
        <f t="shared" si="489"/>
        <v>0</v>
      </c>
      <c r="AQ1796" s="1144">
        <f t="shared" si="490"/>
        <v>0</v>
      </c>
      <c r="AR1796" s="1146">
        <f t="shared" si="491"/>
        <v>0</v>
      </c>
    </row>
    <row r="1797" spans="1:44" x14ac:dyDescent="0.2">
      <c r="A1797" s="1141" t="str">
        <f t="shared" si="503"/>
        <v/>
      </c>
      <c r="B1797" s="1141" t="str">
        <f>IFERROR(VLOOKUP(A1797,'LAC 103'!A:C,3,FALSE),"")</f>
        <v/>
      </c>
      <c r="C1797" s="1478" t="str">
        <f>Info!$B$8</f>
        <v>00100</v>
      </c>
      <c r="D1797" s="1474"/>
      <c r="E1797" s="1474"/>
      <c r="F1797" s="1478"/>
      <c r="G1797" s="1478"/>
      <c r="H1797" s="1474"/>
      <c r="I1797" s="1478"/>
      <c r="J1797" s="1478"/>
      <c r="K1797" s="1475"/>
      <c r="L1797" s="1474"/>
      <c r="M1797" s="1476"/>
      <c r="N1797" s="1477"/>
      <c r="O1797" s="1479"/>
      <c r="P1797" s="1479"/>
      <c r="Q1797" s="1142">
        <f t="shared" si="505"/>
        <v>0</v>
      </c>
      <c r="R1797" s="1143">
        <f>IFERROR(VLOOKUP(CONCATENATE($E1797,$G1797),'LAC 103'!$A$12:$O$95,11,FALSE),0)</f>
        <v>0</v>
      </c>
      <c r="S1797" s="1144">
        <f>IFERROR(VLOOKUP(CONCATENATE($E1797,$G1797),'LAC 103'!$A$12:$O$95,12,FALSE),0)</f>
        <v>0</v>
      </c>
      <c r="T1797" s="1144">
        <f>IFERROR(VLOOKUP(CONCATENATE($E1797,$G1797),'LAC 103'!$A$12:$O$95,13,FALSE),0)</f>
        <v>0</v>
      </c>
      <c r="U1797" s="1144">
        <f>IFERROR(VLOOKUP(CONCATENATE($E1797,$G1797),'LAC 103'!$A$12:$O$95,14,FALSE),0)</f>
        <v>0</v>
      </c>
      <c r="V1797" s="1144">
        <f>IFERROR(VLOOKUP(CONCATENATE($E1797,$G1797),'LAC 103'!$A$12:$O$95,15,FALSE),0)</f>
        <v>0</v>
      </c>
      <c r="W1797" s="1145" t="str">
        <f>IFERROR(VLOOKUP(CONCATENATE($B1797,$N1797),'LAC 103'!$AI:$AQ,9,FALSE),"")</f>
        <v/>
      </c>
      <c r="X1797" s="1146">
        <f t="shared" si="492"/>
        <v>0</v>
      </c>
      <c r="Y1797" s="1143">
        <f t="shared" si="502"/>
        <v>0</v>
      </c>
      <c r="Z1797" s="1147">
        <f t="shared" si="493"/>
        <v>0</v>
      </c>
      <c r="AA1797" s="1144">
        <f t="shared" si="494"/>
        <v>0</v>
      </c>
      <c r="AB1797" s="1144">
        <f t="shared" si="495"/>
        <v>0</v>
      </c>
      <c r="AC1797" s="1144">
        <f t="shared" si="496"/>
        <v>0</v>
      </c>
      <c r="AD1797" s="1148">
        <f t="shared" si="488"/>
        <v>0</v>
      </c>
      <c r="AE1797" s="1487">
        <v>0</v>
      </c>
      <c r="AF1797" s="1145">
        <f t="shared" si="497"/>
        <v>0</v>
      </c>
      <c r="AG1797" s="1149">
        <f>IFERROR(VLOOKUP(CONCATENATE($L1797,$N1797),'Drop List'!$G$23:$K$87,2,FALSE),0)</f>
        <v>0</v>
      </c>
      <c r="AH1797" s="1150">
        <f>IFERROR(VLOOKUP(CONCATENATE($L1797,$N1797),'Drop List'!$G$23:$K$87,3,FALSE),0)</f>
        <v>0</v>
      </c>
      <c r="AI1797" s="1150">
        <f>IFERROR(VLOOKUP(CONCATENATE($L1797,$N1797),'Drop List'!$G$23:$K$87,4,FALSE),0)</f>
        <v>0</v>
      </c>
      <c r="AJ1797" s="1151">
        <f>IFERROR(VLOOKUP(CONCATENATE($L1797,$N1797),'Drop List'!$G$23:$K$87,5,FALSE),0)</f>
        <v>0</v>
      </c>
      <c r="AK1797" s="1152">
        <f t="shared" si="498"/>
        <v>0</v>
      </c>
      <c r="AL1797" s="1153">
        <f t="shared" si="499"/>
        <v>0</v>
      </c>
      <c r="AM1797" s="1153">
        <f t="shared" si="500"/>
        <v>0</v>
      </c>
      <c r="AN1797" s="1145">
        <f t="shared" si="501"/>
        <v>0</v>
      </c>
      <c r="AO1797" s="1154">
        <f t="shared" si="504"/>
        <v>0</v>
      </c>
      <c r="AP1797" s="1147">
        <f t="shared" si="489"/>
        <v>0</v>
      </c>
      <c r="AQ1797" s="1144">
        <f t="shared" si="490"/>
        <v>0</v>
      </c>
      <c r="AR1797" s="1146">
        <f t="shared" si="491"/>
        <v>0</v>
      </c>
    </row>
    <row r="1798" spans="1:44" x14ac:dyDescent="0.2">
      <c r="A1798" s="1141" t="str">
        <f t="shared" si="503"/>
        <v/>
      </c>
      <c r="B1798" s="1141" t="str">
        <f>IFERROR(VLOOKUP(A1798,'LAC 103'!A:C,3,FALSE),"")</f>
        <v/>
      </c>
      <c r="C1798" s="1478" t="str">
        <f>Info!$B$8</f>
        <v>00100</v>
      </c>
      <c r="D1798" s="1474"/>
      <c r="E1798" s="1474"/>
      <c r="F1798" s="1478"/>
      <c r="G1798" s="1478"/>
      <c r="H1798" s="1474"/>
      <c r="I1798" s="1478"/>
      <c r="J1798" s="1478"/>
      <c r="K1798" s="1475"/>
      <c r="L1798" s="1474"/>
      <c r="M1798" s="1476"/>
      <c r="N1798" s="1477"/>
      <c r="O1798" s="1479"/>
      <c r="P1798" s="1479"/>
      <c r="Q1798" s="1142">
        <f t="shared" si="505"/>
        <v>0</v>
      </c>
      <c r="R1798" s="1143">
        <f>IFERROR(VLOOKUP(CONCATENATE($E1798,$G1798),'LAC 103'!$A$12:$O$95,11,FALSE),0)</f>
        <v>0</v>
      </c>
      <c r="S1798" s="1144">
        <f>IFERROR(VLOOKUP(CONCATENATE($E1798,$G1798),'LAC 103'!$A$12:$O$95,12,FALSE),0)</f>
        <v>0</v>
      </c>
      <c r="T1798" s="1144">
        <f>IFERROR(VLOOKUP(CONCATENATE($E1798,$G1798),'LAC 103'!$A$12:$O$95,13,FALSE),0)</f>
        <v>0</v>
      </c>
      <c r="U1798" s="1144">
        <f>IFERROR(VLOOKUP(CONCATENATE($E1798,$G1798),'LAC 103'!$A$12:$O$95,14,FALSE),0)</f>
        <v>0</v>
      </c>
      <c r="V1798" s="1144">
        <f>IFERROR(VLOOKUP(CONCATENATE($E1798,$G1798),'LAC 103'!$A$12:$O$95,15,FALSE),0)</f>
        <v>0</v>
      </c>
      <c r="W1798" s="1145" t="str">
        <f>IFERROR(VLOOKUP(CONCATENATE($B1798,$N1798),'LAC 103'!$AI:$AQ,9,FALSE),"")</f>
        <v/>
      </c>
      <c r="X1798" s="1146">
        <f t="shared" si="492"/>
        <v>0</v>
      </c>
      <c r="Y1798" s="1143">
        <f t="shared" si="502"/>
        <v>0</v>
      </c>
      <c r="Z1798" s="1147">
        <f t="shared" si="493"/>
        <v>0</v>
      </c>
      <c r="AA1798" s="1144">
        <f t="shared" si="494"/>
        <v>0</v>
      </c>
      <c r="AB1798" s="1144">
        <f t="shared" si="495"/>
        <v>0</v>
      </c>
      <c r="AC1798" s="1144">
        <f t="shared" si="496"/>
        <v>0</v>
      </c>
      <c r="AD1798" s="1148">
        <f t="shared" si="488"/>
        <v>0</v>
      </c>
      <c r="AE1798" s="1487">
        <v>0</v>
      </c>
      <c r="AF1798" s="1145">
        <f t="shared" si="497"/>
        <v>0</v>
      </c>
      <c r="AG1798" s="1149">
        <f>IFERROR(VLOOKUP(CONCATENATE($L1798,$N1798),'Drop List'!$G$23:$K$87,2,FALSE),0)</f>
        <v>0</v>
      </c>
      <c r="AH1798" s="1150">
        <f>IFERROR(VLOOKUP(CONCATENATE($L1798,$N1798),'Drop List'!$G$23:$K$87,3,FALSE),0)</f>
        <v>0</v>
      </c>
      <c r="AI1798" s="1150">
        <f>IFERROR(VLOOKUP(CONCATENATE($L1798,$N1798),'Drop List'!$G$23:$K$87,4,FALSE),0)</f>
        <v>0</v>
      </c>
      <c r="AJ1798" s="1151">
        <f>IFERROR(VLOOKUP(CONCATENATE($L1798,$N1798),'Drop List'!$G$23:$K$87,5,FALSE),0)</f>
        <v>0</v>
      </c>
      <c r="AK1798" s="1152">
        <f t="shared" si="498"/>
        <v>0</v>
      </c>
      <c r="AL1798" s="1153">
        <f t="shared" si="499"/>
        <v>0</v>
      </c>
      <c r="AM1798" s="1153">
        <f t="shared" si="500"/>
        <v>0</v>
      </c>
      <c r="AN1798" s="1145">
        <f t="shared" si="501"/>
        <v>0</v>
      </c>
      <c r="AO1798" s="1154">
        <f t="shared" si="504"/>
        <v>0</v>
      </c>
      <c r="AP1798" s="1147">
        <f t="shared" si="489"/>
        <v>0</v>
      </c>
      <c r="AQ1798" s="1144">
        <f t="shared" si="490"/>
        <v>0</v>
      </c>
      <c r="AR1798" s="1146">
        <f t="shared" si="491"/>
        <v>0</v>
      </c>
    </row>
    <row r="1799" spans="1:44" x14ac:dyDescent="0.2">
      <c r="A1799" s="1141" t="str">
        <f t="shared" si="503"/>
        <v/>
      </c>
      <c r="B1799" s="1141" t="str">
        <f>IFERROR(VLOOKUP(A1799,'LAC 103'!A:C,3,FALSE),"")</f>
        <v/>
      </c>
      <c r="C1799" s="1478" t="str">
        <f>Info!$B$8</f>
        <v>00100</v>
      </c>
      <c r="D1799" s="1474"/>
      <c r="E1799" s="1474"/>
      <c r="F1799" s="1478"/>
      <c r="G1799" s="1478"/>
      <c r="H1799" s="1474"/>
      <c r="I1799" s="1478"/>
      <c r="J1799" s="1478"/>
      <c r="K1799" s="1475"/>
      <c r="L1799" s="1474"/>
      <c r="M1799" s="1476"/>
      <c r="N1799" s="1477"/>
      <c r="O1799" s="1479"/>
      <c r="P1799" s="1479"/>
      <c r="Q1799" s="1142">
        <f t="shared" si="505"/>
        <v>0</v>
      </c>
      <c r="R1799" s="1143">
        <f>IFERROR(VLOOKUP(CONCATENATE($E1799,$G1799),'LAC 103'!$A$12:$O$95,11,FALSE),0)</f>
        <v>0</v>
      </c>
      <c r="S1799" s="1144">
        <f>IFERROR(VLOOKUP(CONCATENATE($E1799,$G1799),'LAC 103'!$A$12:$O$95,12,FALSE),0)</f>
        <v>0</v>
      </c>
      <c r="T1799" s="1144">
        <f>IFERROR(VLOOKUP(CONCATENATE($E1799,$G1799),'LAC 103'!$A$12:$O$95,13,FALSE),0)</f>
        <v>0</v>
      </c>
      <c r="U1799" s="1144">
        <f>IFERROR(VLOOKUP(CONCATENATE($E1799,$G1799),'LAC 103'!$A$12:$O$95,14,FALSE),0)</f>
        <v>0</v>
      </c>
      <c r="V1799" s="1144">
        <f>IFERROR(VLOOKUP(CONCATENATE($E1799,$G1799),'LAC 103'!$A$12:$O$95,15,FALSE),0)</f>
        <v>0</v>
      </c>
      <c r="W1799" s="1145" t="str">
        <f>IFERROR(VLOOKUP(CONCATENATE($B1799,$N1799),'LAC 103'!$AI:$AQ,9,FALSE),"")</f>
        <v/>
      </c>
      <c r="X1799" s="1146">
        <f t="shared" si="492"/>
        <v>0</v>
      </c>
      <c r="Y1799" s="1143">
        <f t="shared" si="502"/>
        <v>0</v>
      </c>
      <c r="Z1799" s="1147">
        <f t="shared" si="493"/>
        <v>0</v>
      </c>
      <c r="AA1799" s="1144">
        <f t="shared" si="494"/>
        <v>0</v>
      </c>
      <c r="AB1799" s="1144">
        <f t="shared" si="495"/>
        <v>0</v>
      </c>
      <c r="AC1799" s="1144">
        <f t="shared" si="496"/>
        <v>0</v>
      </c>
      <c r="AD1799" s="1148">
        <f t="shared" ref="AD1799:AD1862" si="506">Q1799*X1799</f>
        <v>0</v>
      </c>
      <c r="AE1799" s="1487">
        <v>0</v>
      </c>
      <c r="AF1799" s="1145">
        <f t="shared" si="497"/>
        <v>0</v>
      </c>
      <c r="AG1799" s="1149">
        <f>IFERROR(VLOOKUP(CONCATENATE($L1799,$N1799),'Drop List'!$G$23:$K$87,2,FALSE),0)</f>
        <v>0</v>
      </c>
      <c r="AH1799" s="1150">
        <f>IFERROR(VLOOKUP(CONCATENATE($L1799,$N1799),'Drop List'!$G$23:$K$87,3,FALSE),0)</f>
        <v>0</v>
      </c>
      <c r="AI1799" s="1150">
        <f>IFERROR(VLOOKUP(CONCATENATE($L1799,$N1799),'Drop List'!$G$23:$K$87,4,FALSE),0)</f>
        <v>0</v>
      </c>
      <c r="AJ1799" s="1151">
        <f>IFERROR(VLOOKUP(CONCATENATE($L1799,$N1799),'Drop List'!$G$23:$K$87,5,FALSE),0)</f>
        <v>0</v>
      </c>
      <c r="AK1799" s="1152">
        <f t="shared" si="498"/>
        <v>0</v>
      </c>
      <c r="AL1799" s="1153">
        <f t="shared" si="499"/>
        <v>0</v>
      </c>
      <c r="AM1799" s="1153">
        <f t="shared" si="500"/>
        <v>0</v>
      </c>
      <c r="AN1799" s="1145">
        <f t="shared" si="501"/>
        <v>0</v>
      </c>
      <c r="AO1799" s="1154">
        <f t="shared" si="504"/>
        <v>0</v>
      </c>
      <c r="AP1799" s="1147">
        <f t="shared" ref="AP1799:AP1862" si="507">IF($L1799="14",$AF1799,0)</f>
        <v>0</v>
      </c>
      <c r="AQ1799" s="1144">
        <f t="shared" ref="AQ1799:AQ1862" si="508">IF($L1799="15",$AF1799,0)</f>
        <v>0</v>
      </c>
      <c r="AR1799" s="1146">
        <f t="shared" ref="AR1799:AR1862" si="509">AO1799+AP1799+AQ1799</f>
        <v>0</v>
      </c>
    </row>
    <row r="1800" spans="1:44" x14ac:dyDescent="0.2">
      <c r="A1800" s="1141" t="str">
        <f t="shared" si="503"/>
        <v/>
      </c>
      <c r="B1800" s="1141" t="str">
        <f>IFERROR(VLOOKUP(A1800,'LAC 103'!A:C,3,FALSE),"")</f>
        <v/>
      </c>
      <c r="C1800" s="1478" t="str">
        <f>Info!$B$8</f>
        <v>00100</v>
      </c>
      <c r="D1800" s="1474"/>
      <c r="E1800" s="1474"/>
      <c r="F1800" s="1478"/>
      <c r="G1800" s="1478"/>
      <c r="H1800" s="1474"/>
      <c r="I1800" s="1478"/>
      <c r="J1800" s="1478"/>
      <c r="K1800" s="1475"/>
      <c r="L1800" s="1474"/>
      <c r="M1800" s="1476"/>
      <c r="N1800" s="1477"/>
      <c r="O1800" s="1479"/>
      <c r="P1800" s="1479"/>
      <c r="Q1800" s="1142">
        <f t="shared" si="505"/>
        <v>0</v>
      </c>
      <c r="R1800" s="1143">
        <f>IFERROR(VLOOKUP(CONCATENATE($E1800,$G1800),'LAC 103'!$A$12:$O$95,11,FALSE),0)</f>
        <v>0</v>
      </c>
      <c r="S1800" s="1144">
        <f>IFERROR(VLOOKUP(CONCATENATE($E1800,$G1800),'LAC 103'!$A$12:$O$95,12,FALSE),0)</f>
        <v>0</v>
      </c>
      <c r="T1800" s="1144">
        <f>IFERROR(VLOOKUP(CONCATENATE($E1800,$G1800),'LAC 103'!$A$12:$O$95,13,FALSE),0)</f>
        <v>0</v>
      </c>
      <c r="U1800" s="1144">
        <f>IFERROR(VLOOKUP(CONCATENATE($E1800,$G1800),'LAC 103'!$A$12:$O$95,14,FALSE),0)</f>
        <v>0</v>
      </c>
      <c r="V1800" s="1144">
        <f>IFERROR(VLOOKUP(CONCATENATE($E1800,$G1800),'LAC 103'!$A$12:$O$95,15,FALSE),0)</f>
        <v>0</v>
      </c>
      <c r="W1800" s="1145" t="str">
        <f>IFERROR(VLOOKUP(CONCATENATE($B1800,$N1800),'LAC 103'!$AI:$AQ,9,FALSE),"")</f>
        <v/>
      </c>
      <c r="X1800" s="1146">
        <f t="shared" ref="X1800:X1863" si="510">IF($W1800="Costs",$R1800,IF($W1800="CMA",$S1800,IF($W1800="P.C.",$T1800,IF($W1800="SMA",$U1800,$V1800))))</f>
        <v>0</v>
      </c>
      <c r="Y1800" s="1143">
        <f t="shared" si="502"/>
        <v>0</v>
      </c>
      <c r="Z1800" s="1147">
        <f t="shared" ref="Z1800:Z1863" si="511">IF(S1800=0,Y1800,$Q1800*S1800)</f>
        <v>0</v>
      </c>
      <c r="AA1800" s="1144">
        <f t="shared" ref="AA1800:AA1863" si="512">IF(T1800=0,Y1800,$Q1800*T1800)</f>
        <v>0</v>
      </c>
      <c r="AB1800" s="1144">
        <f t="shared" ref="AB1800:AB1863" si="513">$Q1800*U1800</f>
        <v>0</v>
      </c>
      <c r="AC1800" s="1144">
        <f t="shared" ref="AC1800:AC1863" si="514">$Q1800*V1800</f>
        <v>0</v>
      </c>
      <c r="AD1800" s="1148">
        <f t="shared" si="506"/>
        <v>0</v>
      </c>
      <c r="AE1800" s="1487">
        <v>0</v>
      </c>
      <c r="AF1800" s="1145">
        <f t="shared" ref="AF1800:AF1863" si="515">AD1800-AE1800</f>
        <v>0</v>
      </c>
      <c r="AG1800" s="1149">
        <f>IFERROR(VLOOKUP(CONCATENATE($L1800,$N1800),'Drop List'!$G$23:$K$87,2,FALSE),0)</f>
        <v>0</v>
      </c>
      <c r="AH1800" s="1150">
        <f>IFERROR(VLOOKUP(CONCATENATE($L1800,$N1800),'Drop List'!$G$23:$K$87,3,FALSE),0)</f>
        <v>0</v>
      </c>
      <c r="AI1800" s="1150">
        <f>IFERROR(VLOOKUP(CONCATENATE($L1800,$N1800),'Drop List'!$G$23:$K$87,4,FALSE),0)</f>
        <v>0</v>
      </c>
      <c r="AJ1800" s="1151">
        <f>IFERROR(VLOOKUP(CONCATENATE($L1800,$N1800),'Drop List'!$G$23:$K$87,5,FALSE),0)</f>
        <v>0</v>
      </c>
      <c r="AK1800" s="1152">
        <f t="shared" ref="AK1800:AK1863" si="516">IFERROR($AF1800*AG1800,0)</f>
        <v>0</v>
      </c>
      <c r="AL1800" s="1153">
        <f t="shared" ref="AL1800:AL1863" si="517">IFERROR($AF1800*AH1800,0)</f>
        <v>0</v>
      </c>
      <c r="AM1800" s="1153">
        <f t="shared" ref="AM1800:AM1863" si="518">IFERROR($AF1800*AI1800,0)</f>
        <v>0</v>
      </c>
      <c r="AN1800" s="1145">
        <f t="shared" ref="AN1800:AN1863" si="519">IFERROR($AF1800*AJ1800,0)</f>
        <v>0</v>
      </c>
      <c r="AO1800" s="1154">
        <f t="shared" si="504"/>
        <v>0</v>
      </c>
      <c r="AP1800" s="1147">
        <f t="shared" si="507"/>
        <v>0</v>
      </c>
      <c r="AQ1800" s="1144">
        <f t="shared" si="508"/>
        <v>0</v>
      </c>
      <c r="AR1800" s="1146">
        <f t="shared" si="509"/>
        <v>0</v>
      </c>
    </row>
    <row r="1801" spans="1:44" x14ac:dyDescent="0.2">
      <c r="A1801" s="1141" t="str">
        <f t="shared" si="503"/>
        <v/>
      </c>
      <c r="B1801" s="1141" t="str">
        <f>IFERROR(VLOOKUP(A1801,'LAC 103'!A:C,3,FALSE),"")</f>
        <v/>
      </c>
      <c r="C1801" s="1478" t="str">
        <f>Info!$B$8</f>
        <v>00100</v>
      </c>
      <c r="D1801" s="1474"/>
      <c r="E1801" s="1474"/>
      <c r="F1801" s="1478"/>
      <c r="G1801" s="1478"/>
      <c r="H1801" s="1474"/>
      <c r="I1801" s="1478"/>
      <c r="J1801" s="1478"/>
      <c r="K1801" s="1475"/>
      <c r="L1801" s="1474"/>
      <c r="M1801" s="1476"/>
      <c r="N1801" s="1477"/>
      <c r="O1801" s="1479"/>
      <c r="P1801" s="1479"/>
      <c r="Q1801" s="1142">
        <f t="shared" si="505"/>
        <v>0</v>
      </c>
      <c r="R1801" s="1143">
        <f>IFERROR(VLOOKUP(CONCATENATE($E1801,$G1801),'LAC 103'!$A$12:$O$95,11,FALSE),0)</f>
        <v>0</v>
      </c>
      <c r="S1801" s="1144">
        <f>IFERROR(VLOOKUP(CONCATENATE($E1801,$G1801),'LAC 103'!$A$12:$O$95,12,FALSE),0)</f>
        <v>0</v>
      </c>
      <c r="T1801" s="1144">
        <f>IFERROR(VLOOKUP(CONCATENATE($E1801,$G1801),'LAC 103'!$A$12:$O$95,13,FALSE),0)</f>
        <v>0</v>
      </c>
      <c r="U1801" s="1144">
        <f>IFERROR(VLOOKUP(CONCATENATE($E1801,$G1801),'LAC 103'!$A$12:$O$95,14,FALSE),0)</f>
        <v>0</v>
      </c>
      <c r="V1801" s="1144">
        <f>IFERROR(VLOOKUP(CONCATENATE($E1801,$G1801),'LAC 103'!$A$12:$O$95,15,FALSE),0)</f>
        <v>0</v>
      </c>
      <c r="W1801" s="1145" t="str">
        <f>IFERROR(VLOOKUP(CONCATENATE($B1801,$N1801),'LAC 103'!$AI:$AQ,9,FALSE),"")</f>
        <v/>
      </c>
      <c r="X1801" s="1146">
        <f t="shared" si="510"/>
        <v>0</v>
      </c>
      <c r="Y1801" s="1143">
        <f t="shared" si="502"/>
        <v>0</v>
      </c>
      <c r="Z1801" s="1147">
        <f t="shared" si="511"/>
        <v>0</v>
      </c>
      <c r="AA1801" s="1144">
        <f t="shared" si="512"/>
        <v>0</v>
      </c>
      <c r="AB1801" s="1144">
        <f t="shared" si="513"/>
        <v>0</v>
      </c>
      <c r="AC1801" s="1144">
        <f t="shared" si="514"/>
        <v>0</v>
      </c>
      <c r="AD1801" s="1148">
        <f t="shared" si="506"/>
        <v>0</v>
      </c>
      <c r="AE1801" s="1487">
        <v>0</v>
      </c>
      <c r="AF1801" s="1145">
        <f t="shared" si="515"/>
        <v>0</v>
      </c>
      <c r="AG1801" s="1149">
        <f>IFERROR(VLOOKUP(CONCATENATE($L1801,$N1801),'Drop List'!$G$23:$K$87,2,FALSE),0)</f>
        <v>0</v>
      </c>
      <c r="AH1801" s="1150">
        <f>IFERROR(VLOOKUP(CONCATENATE($L1801,$N1801),'Drop List'!$G$23:$K$87,3,FALSE),0)</f>
        <v>0</v>
      </c>
      <c r="AI1801" s="1150">
        <f>IFERROR(VLOOKUP(CONCATENATE($L1801,$N1801),'Drop List'!$G$23:$K$87,4,FALSE),0)</f>
        <v>0</v>
      </c>
      <c r="AJ1801" s="1151">
        <f>IFERROR(VLOOKUP(CONCATENATE($L1801,$N1801),'Drop List'!$G$23:$K$87,5,FALSE),0)</f>
        <v>0</v>
      </c>
      <c r="AK1801" s="1152">
        <f t="shared" si="516"/>
        <v>0</v>
      </c>
      <c r="AL1801" s="1153">
        <f t="shared" si="517"/>
        <v>0</v>
      </c>
      <c r="AM1801" s="1153">
        <f t="shared" si="518"/>
        <v>0</v>
      </c>
      <c r="AN1801" s="1145">
        <f t="shared" si="519"/>
        <v>0</v>
      </c>
      <c r="AO1801" s="1154">
        <f t="shared" si="504"/>
        <v>0</v>
      </c>
      <c r="AP1801" s="1147">
        <f t="shared" si="507"/>
        <v>0</v>
      </c>
      <c r="AQ1801" s="1144">
        <f t="shared" si="508"/>
        <v>0</v>
      </c>
      <c r="AR1801" s="1146">
        <f t="shared" si="509"/>
        <v>0</v>
      </c>
    </row>
    <row r="1802" spans="1:44" x14ac:dyDescent="0.2">
      <c r="A1802" s="1141" t="str">
        <f t="shared" si="503"/>
        <v/>
      </c>
      <c r="B1802" s="1141" t="str">
        <f>IFERROR(VLOOKUP(A1802,'LAC 103'!A:C,3,FALSE),"")</f>
        <v/>
      </c>
      <c r="C1802" s="1478" t="str">
        <f>Info!$B$8</f>
        <v>00100</v>
      </c>
      <c r="D1802" s="1474"/>
      <c r="E1802" s="1474"/>
      <c r="F1802" s="1478"/>
      <c r="G1802" s="1478"/>
      <c r="H1802" s="1474"/>
      <c r="I1802" s="1478"/>
      <c r="J1802" s="1478"/>
      <c r="K1802" s="1475"/>
      <c r="L1802" s="1474"/>
      <c r="M1802" s="1476"/>
      <c r="N1802" s="1477"/>
      <c r="O1802" s="1479"/>
      <c r="P1802" s="1479"/>
      <c r="Q1802" s="1142">
        <f t="shared" si="505"/>
        <v>0</v>
      </c>
      <c r="R1802" s="1143">
        <f>IFERROR(VLOOKUP(CONCATENATE($E1802,$G1802),'LAC 103'!$A$12:$O$95,11,FALSE),0)</f>
        <v>0</v>
      </c>
      <c r="S1802" s="1144">
        <f>IFERROR(VLOOKUP(CONCATENATE($E1802,$G1802),'LAC 103'!$A$12:$O$95,12,FALSE),0)</f>
        <v>0</v>
      </c>
      <c r="T1802" s="1144">
        <f>IFERROR(VLOOKUP(CONCATENATE($E1802,$G1802),'LAC 103'!$A$12:$O$95,13,FALSE),0)</f>
        <v>0</v>
      </c>
      <c r="U1802" s="1144">
        <f>IFERROR(VLOOKUP(CONCATENATE($E1802,$G1802),'LAC 103'!$A$12:$O$95,14,FALSE),0)</f>
        <v>0</v>
      </c>
      <c r="V1802" s="1144">
        <f>IFERROR(VLOOKUP(CONCATENATE($E1802,$G1802),'LAC 103'!$A$12:$O$95,15,FALSE),0)</f>
        <v>0</v>
      </c>
      <c r="W1802" s="1145" t="str">
        <f>IFERROR(VLOOKUP(CONCATENATE($B1802,$N1802),'LAC 103'!$AI:$AQ,9,FALSE),"")</f>
        <v/>
      </c>
      <c r="X1802" s="1146">
        <f t="shared" si="510"/>
        <v>0</v>
      </c>
      <c r="Y1802" s="1143">
        <f t="shared" ref="Y1802:Y1865" si="520">$Q1802*R1802</f>
        <v>0</v>
      </c>
      <c r="Z1802" s="1147">
        <f t="shared" si="511"/>
        <v>0</v>
      </c>
      <c r="AA1802" s="1144">
        <f t="shared" si="512"/>
        <v>0</v>
      </c>
      <c r="AB1802" s="1144">
        <f t="shared" si="513"/>
        <v>0</v>
      </c>
      <c r="AC1802" s="1144">
        <f t="shared" si="514"/>
        <v>0</v>
      </c>
      <c r="AD1802" s="1148">
        <f t="shared" si="506"/>
        <v>0</v>
      </c>
      <c r="AE1802" s="1487">
        <v>0</v>
      </c>
      <c r="AF1802" s="1145">
        <f t="shared" si="515"/>
        <v>0</v>
      </c>
      <c r="AG1802" s="1149">
        <f>IFERROR(VLOOKUP(CONCATENATE($L1802,$N1802),'Drop List'!$G$23:$K$87,2,FALSE),0)</f>
        <v>0</v>
      </c>
      <c r="AH1802" s="1150">
        <f>IFERROR(VLOOKUP(CONCATENATE($L1802,$N1802),'Drop List'!$G$23:$K$87,3,FALSE),0)</f>
        <v>0</v>
      </c>
      <c r="AI1802" s="1150">
        <f>IFERROR(VLOOKUP(CONCATENATE($L1802,$N1802),'Drop List'!$G$23:$K$87,4,FALSE),0)</f>
        <v>0</v>
      </c>
      <c r="AJ1802" s="1151">
        <f>IFERROR(VLOOKUP(CONCATENATE($L1802,$N1802),'Drop List'!$G$23:$K$87,5,FALSE),0)</f>
        <v>0</v>
      </c>
      <c r="AK1802" s="1152">
        <f t="shared" si="516"/>
        <v>0</v>
      </c>
      <c r="AL1802" s="1153">
        <f t="shared" si="517"/>
        <v>0</v>
      </c>
      <c r="AM1802" s="1153">
        <f t="shared" si="518"/>
        <v>0</v>
      </c>
      <c r="AN1802" s="1145">
        <f t="shared" si="519"/>
        <v>0</v>
      </c>
      <c r="AO1802" s="1154">
        <f t="shared" si="504"/>
        <v>0</v>
      </c>
      <c r="AP1802" s="1147">
        <f t="shared" si="507"/>
        <v>0</v>
      </c>
      <c r="AQ1802" s="1144">
        <f t="shared" si="508"/>
        <v>0</v>
      </c>
      <c r="AR1802" s="1146">
        <f t="shared" si="509"/>
        <v>0</v>
      </c>
    </row>
    <row r="1803" spans="1:44" x14ac:dyDescent="0.2">
      <c r="A1803" s="1141" t="str">
        <f t="shared" si="503"/>
        <v/>
      </c>
      <c r="B1803" s="1141" t="str">
        <f>IFERROR(VLOOKUP(A1803,'LAC 103'!A:C,3,FALSE),"")</f>
        <v/>
      </c>
      <c r="C1803" s="1478" t="str">
        <f>Info!$B$8</f>
        <v>00100</v>
      </c>
      <c r="D1803" s="1474"/>
      <c r="E1803" s="1474"/>
      <c r="F1803" s="1478"/>
      <c r="G1803" s="1478"/>
      <c r="H1803" s="1474"/>
      <c r="I1803" s="1478"/>
      <c r="J1803" s="1478"/>
      <c r="K1803" s="1475"/>
      <c r="L1803" s="1474"/>
      <c r="M1803" s="1476"/>
      <c r="N1803" s="1477"/>
      <c r="O1803" s="1479"/>
      <c r="P1803" s="1479"/>
      <c r="Q1803" s="1142">
        <f t="shared" si="505"/>
        <v>0</v>
      </c>
      <c r="R1803" s="1143">
        <f>IFERROR(VLOOKUP(CONCATENATE($E1803,$G1803),'LAC 103'!$A$12:$O$95,11,FALSE),0)</f>
        <v>0</v>
      </c>
      <c r="S1803" s="1144">
        <f>IFERROR(VLOOKUP(CONCATENATE($E1803,$G1803),'LAC 103'!$A$12:$O$95,12,FALSE),0)</f>
        <v>0</v>
      </c>
      <c r="T1803" s="1144">
        <f>IFERROR(VLOOKUP(CONCATENATE($E1803,$G1803),'LAC 103'!$A$12:$O$95,13,FALSE),0)</f>
        <v>0</v>
      </c>
      <c r="U1803" s="1144">
        <f>IFERROR(VLOOKUP(CONCATENATE($E1803,$G1803),'LAC 103'!$A$12:$O$95,14,FALSE),0)</f>
        <v>0</v>
      </c>
      <c r="V1803" s="1144">
        <f>IFERROR(VLOOKUP(CONCATENATE($E1803,$G1803),'LAC 103'!$A$12:$O$95,15,FALSE),0)</f>
        <v>0</v>
      </c>
      <c r="W1803" s="1145" t="str">
        <f>IFERROR(VLOOKUP(CONCATENATE($B1803,$N1803),'LAC 103'!$AI:$AQ,9,FALSE),"")</f>
        <v/>
      </c>
      <c r="X1803" s="1146">
        <f t="shared" si="510"/>
        <v>0</v>
      </c>
      <c r="Y1803" s="1143">
        <f t="shared" si="520"/>
        <v>0</v>
      </c>
      <c r="Z1803" s="1147">
        <f t="shared" si="511"/>
        <v>0</v>
      </c>
      <c r="AA1803" s="1144">
        <f t="shared" si="512"/>
        <v>0</v>
      </c>
      <c r="AB1803" s="1144">
        <f t="shared" si="513"/>
        <v>0</v>
      </c>
      <c r="AC1803" s="1144">
        <f t="shared" si="514"/>
        <v>0</v>
      </c>
      <c r="AD1803" s="1148">
        <f t="shared" si="506"/>
        <v>0</v>
      </c>
      <c r="AE1803" s="1487">
        <v>0</v>
      </c>
      <c r="AF1803" s="1145">
        <f t="shared" si="515"/>
        <v>0</v>
      </c>
      <c r="AG1803" s="1149">
        <f>IFERROR(VLOOKUP(CONCATENATE($L1803,$N1803),'Drop List'!$G$23:$K$87,2,FALSE),0)</f>
        <v>0</v>
      </c>
      <c r="AH1803" s="1150">
        <f>IFERROR(VLOOKUP(CONCATENATE($L1803,$N1803),'Drop List'!$G$23:$K$87,3,FALSE),0)</f>
        <v>0</v>
      </c>
      <c r="AI1803" s="1150">
        <f>IFERROR(VLOOKUP(CONCATENATE($L1803,$N1803),'Drop List'!$G$23:$K$87,4,FALSE),0)</f>
        <v>0</v>
      </c>
      <c r="AJ1803" s="1151">
        <f>IFERROR(VLOOKUP(CONCATENATE($L1803,$N1803),'Drop List'!$G$23:$K$87,5,FALSE),0)</f>
        <v>0</v>
      </c>
      <c r="AK1803" s="1152">
        <f t="shared" si="516"/>
        <v>0</v>
      </c>
      <c r="AL1803" s="1153">
        <f t="shared" si="517"/>
        <v>0</v>
      </c>
      <c r="AM1803" s="1153">
        <f t="shared" si="518"/>
        <v>0</v>
      </c>
      <c r="AN1803" s="1145">
        <f t="shared" si="519"/>
        <v>0</v>
      </c>
      <c r="AO1803" s="1154">
        <f t="shared" si="504"/>
        <v>0</v>
      </c>
      <c r="AP1803" s="1147">
        <f t="shared" si="507"/>
        <v>0</v>
      </c>
      <c r="AQ1803" s="1144">
        <f t="shared" si="508"/>
        <v>0</v>
      </c>
      <c r="AR1803" s="1146">
        <f t="shared" si="509"/>
        <v>0</v>
      </c>
    </row>
    <row r="1804" spans="1:44" x14ac:dyDescent="0.2">
      <c r="A1804" s="1141" t="str">
        <f t="shared" si="503"/>
        <v/>
      </c>
      <c r="B1804" s="1141" t="str">
        <f>IFERROR(VLOOKUP(A1804,'LAC 103'!A:C,3,FALSE),"")</f>
        <v/>
      </c>
      <c r="C1804" s="1478" t="str">
        <f>Info!$B$8</f>
        <v>00100</v>
      </c>
      <c r="D1804" s="1474"/>
      <c r="E1804" s="1474"/>
      <c r="F1804" s="1478"/>
      <c r="G1804" s="1478"/>
      <c r="H1804" s="1474"/>
      <c r="I1804" s="1478"/>
      <c r="J1804" s="1478"/>
      <c r="K1804" s="1475"/>
      <c r="L1804" s="1474"/>
      <c r="M1804" s="1476"/>
      <c r="N1804" s="1477"/>
      <c r="O1804" s="1479"/>
      <c r="P1804" s="1479"/>
      <c r="Q1804" s="1142">
        <f t="shared" si="505"/>
        <v>0</v>
      </c>
      <c r="R1804" s="1143">
        <f>IFERROR(VLOOKUP(CONCATENATE($E1804,$G1804),'LAC 103'!$A$12:$O$95,11,FALSE),0)</f>
        <v>0</v>
      </c>
      <c r="S1804" s="1144">
        <f>IFERROR(VLOOKUP(CONCATENATE($E1804,$G1804),'LAC 103'!$A$12:$O$95,12,FALSE),0)</f>
        <v>0</v>
      </c>
      <c r="T1804" s="1144">
        <f>IFERROR(VLOOKUP(CONCATENATE($E1804,$G1804),'LAC 103'!$A$12:$O$95,13,FALSE),0)</f>
        <v>0</v>
      </c>
      <c r="U1804" s="1144">
        <f>IFERROR(VLOOKUP(CONCATENATE($E1804,$G1804),'LAC 103'!$A$12:$O$95,14,FALSE),0)</f>
        <v>0</v>
      </c>
      <c r="V1804" s="1144">
        <f>IFERROR(VLOOKUP(CONCATENATE($E1804,$G1804),'LAC 103'!$A$12:$O$95,15,FALSE),0)</f>
        <v>0</v>
      </c>
      <c r="W1804" s="1145" t="str">
        <f>IFERROR(VLOOKUP(CONCATENATE($B1804,$N1804),'LAC 103'!$AI:$AQ,9,FALSE),"")</f>
        <v/>
      </c>
      <c r="X1804" s="1146">
        <f t="shared" si="510"/>
        <v>0</v>
      </c>
      <c r="Y1804" s="1143">
        <f t="shared" si="520"/>
        <v>0</v>
      </c>
      <c r="Z1804" s="1147">
        <f t="shared" si="511"/>
        <v>0</v>
      </c>
      <c r="AA1804" s="1144">
        <f t="shared" si="512"/>
        <v>0</v>
      </c>
      <c r="AB1804" s="1144">
        <f t="shared" si="513"/>
        <v>0</v>
      </c>
      <c r="AC1804" s="1144">
        <f t="shared" si="514"/>
        <v>0</v>
      </c>
      <c r="AD1804" s="1148">
        <f t="shared" si="506"/>
        <v>0</v>
      </c>
      <c r="AE1804" s="1487">
        <v>0</v>
      </c>
      <c r="AF1804" s="1145">
        <f t="shared" si="515"/>
        <v>0</v>
      </c>
      <c r="AG1804" s="1149">
        <f>IFERROR(VLOOKUP(CONCATENATE($L1804,$N1804),'Drop List'!$G$23:$K$87,2,FALSE),0)</f>
        <v>0</v>
      </c>
      <c r="AH1804" s="1150">
        <f>IFERROR(VLOOKUP(CONCATENATE($L1804,$N1804),'Drop List'!$G$23:$K$87,3,FALSE),0)</f>
        <v>0</v>
      </c>
      <c r="AI1804" s="1150">
        <f>IFERROR(VLOOKUP(CONCATENATE($L1804,$N1804),'Drop List'!$G$23:$K$87,4,FALSE),0)</f>
        <v>0</v>
      </c>
      <c r="AJ1804" s="1151">
        <f>IFERROR(VLOOKUP(CONCATENATE($L1804,$N1804),'Drop List'!$G$23:$K$87,5,FALSE),0)</f>
        <v>0</v>
      </c>
      <c r="AK1804" s="1152">
        <f t="shared" si="516"/>
        <v>0</v>
      </c>
      <c r="AL1804" s="1153">
        <f t="shared" si="517"/>
        <v>0</v>
      </c>
      <c r="AM1804" s="1153">
        <f t="shared" si="518"/>
        <v>0</v>
      </c>
      <c r="AN1804" s="1145">
        <f t="shared" si="519"/>
        <v>0</v>
      </c>
      <c r="AO1804" s="1154">
        <f t="shared" si="504"/>
        <v>0</v>
      </c>
      <c r="AP1804" s="1147">
        <f t="shared" si="507"/>
        <v>0</v>
      </c>
      <c r="AQ1804" s="1144">
        <f t="shared" si="508"/>
        <v>0</v>
      </c>
      <c r="AR1804" s="1146">
        <f t="shared" si="509"/>
        <v>0</v>
      </c>
    </row>
    <row r="1805" spans="1:44" x14ac:dyDescent="0.2">
      <c r="A1805" s="1141" t="str">
        <f t="shared" si="503"/>
        <v/>
      </c>
      <c r="B1805" s="1141" t="str">
        <f>IFERROR(VLOOKUP(A1805,'LAC 103'!A:C,3,FALSE),"")</f>
        <v/>
      </c>
      <c r="C1805" s="1478" t="str">
        <f>Info!$B$8</f>
        <v>00100</v>
      </c>
      <c r="D1805" s="1474"/>
      <c r="E1805" s="1474"/>
      <c r="F1805" s="1478"/>
      <c r="G1805" s="1478"/>
      <c r="H1805" s="1474"/>
      <c r="I1805" s="1478"/>
      <c r="J1805" s="1478"/>
      <c r="K1805" s="1475"/>
      <c r="L1805" s="1474"/>
      <c r="M1805" s="1476"/>
      <c r="N1805" s="1477"/>
      <c r="O1805" s="1479"/>
      <c r="P1805" s="1479"/>
      <c r="Q1805" s="1142">
        <f t="shared" si="505"/>
        <v>0</v>
      </c>
      <c r="R1805" s="1143">
        <f>IFERROR(VLOOKUP(CONCATENATE($E1805,$G1805),'LAC 103'!$A$12:$O$95,11,FALSE),0)</f>
        <v>0</v>
      </c>
      <c r="S1805" s="1144">
        <f>IFERROR(VLOOKUP(CONCATENATE($E1805,$G1805),'LAC 103'!$A$12:$O$95,12,FALSE),0)</f>
        <v>0</v>
      </c>
      <c r="T1805" s="1144">
        <f>IFERROR(VLOOKUP(CONCATENATE($E1805,$G1805),'LAC 103'!$A$12:$O$95,13,FALSE),0)</f>
        <v>0</v>
      </c>
      <c r="U1805" s="1144">
        <f>IFERROR(VLOOKUP(CONCATENATE($E1805,$G1805),'LAC 103'!$A$12:$O$95,14,FALSE),0)</f>
        <v>0</v>
      </c>
      <c r="V1805" s="1144">
        <f>IFERROR(VLOOKUP(CONCATENATE($E1805,$G1805),'LAC 103'!$A$12:$O$95,15,FALSE),0)</f>
        <v>0</v>
      </c>
      <c r="W1805" s="1145" t="str">
        <f>IFERROR(VLOOKUP(CONCATENATE($B1805,$N1805),'LAC 103'!$AI:$AQ,9,FALSE),"")</f>
        <v/>
      </c>
      <c r="X1805" s="1146">
        <f t="shared" si="510"/>
        <v>0</v>
      </c>
      <c r="Y1805" s="1143">
        <f t="shared" si="520"/>
        <v>0</v>
      </c>
      <c r="Z1805" s="1147">
        <f t="shared" si="511"/>
        <v>0</v>
      </c>
      <c r="AA1805" s="1144">
        <f t="shared" si="512"/>
        <v>0</v>
      </c>
      <c r="AB1805" s="1144">
        <f t="shared" si="513"/>
        <v>0</v>
      </c>
      <c r="AC1805" s="1144">
        <f t="shared" si="514"/>
        <v>0</v>
      </c>
      <c r="AD1805" s="1148">
        <f t="shared" si="506"/>
        <v>0</v>
      </c>
      <c r="AE1805" s="1487">
        <v>0</v>
      </c>
      <c r="AF1805" s="1145">
        <f t="shared" si="515"/>
        <v>0</v>
      </c>
      <c r="AG1805" s="1149">
        <f>IFERROR(VLOOKUP(CONCATENATE($L1805,$N1805),'Drop List'!$G$23:$K$87,2,FALSE),0)</f>
        <v>0</v>
      </c>
      <c r="AH1805" s="1150">
        <f>IFERROR(VLOOKUP(CONCATENATE($L1805,$N1805),'Drop List'!$G$23:$K$87,3,FALSE),0)</f>
        <v>0</v>
      </c>
      <c r="AI1805" s="1150">
        <f>IFERROR(VLOOKUP(CONCATENATE($L1805,$N1805),'Drop List'!$G$23:$K$87,4,FALSE),0)</f>
        <v>0</v>
      </c>
      <c r="AJ1805" s="1151">
        <f>IFERROR(VLOOKUP(CONCATENATE($L1805,$N1805),'Drop List'!$G$23:$K$87,5,FALSE),0)</f>
        <v>0</v>
      </c>
      <c r="AK1805" s="1152">
        <f t="shared" si="516"/>
        <v>0</v>
      </c>
      <c r="AL1805" s="1153">
        <f t="shared" si="517"/>
        <v>0</v>
      </c>
      <c r="AM1805" s="1153">
        <f t="shared" si="518"/>
        <v>0</v>
      </c>
      <c r="AN1805" s="1145">
        <f t="shared" si="519"/>
        <v>0</v>
      </c>
      <c r="AO1805" s="1154">
        <f t="shared" si="504"/>
        <v>0</v>
      </c>
      <c r="AP1805" s="1147">
        <f t="shared" si="507"/>
        <v>0</v>
      </c>
      <c r="AQ1805" s="1144">
        <f t="shared" si="508"/>
        <v>0</v>
      </c>
      <c r="AR1805" s="1146">
        <f t="shared" si="509"/>
        <v>0</v>
      </c>
    </row>
    <row r="1806" spans="1:44" x14ac:dyDescent="0.2">
      <c r="A1806" s="1141" t="str">
        <f t="shared" si="503"/>
        <v/>
      </c>
      <c r="B1806" s="1141" t="str">
        <f>IFERROR(VLOOKUP(A1806,'LAC 103'!A:C,3,FALSE),"")</f>
        <v/>
      </c>
      <c r="C1806" s="1478" t="str">
        <f>Info!$B$8</f>
        <v>00100</v>
      </c>
      <c r="D1806" s="1474"/>
      <c r="E1806" s="1474"/>
      <c r="F1806" s="1478"/>
      <c r="G1806" s="1478"/>
      <c r="H1806" s="1474"/>
      <c r="I1806" s="1478"/>
      <c r="J1806" s="1478"/>
      <c r="K1806" s="1475"/>
      <c r="L1806" s="1474"/>
      <c r="M1806" s="1476"/>
      <c r="N1806" s="1477"/>
      <c r="O1806" s="1479"/>
      <c r="P1806" s="1479"/>
      <c r="Q1806" s="1142">
        <f t="shared" si="505"/>
        <v>0</v>
      </c>
      <c r="R1806" s="1143">
        <f>IFERROR(VLOOKUP(CONCATENATE($E1806,$G1806),'LAC 103'!$A$12:$O$95,11,FALSE),0)</f>
        <v>0</v>
      </c>
      <c r="S1806" s="1144">
        <f>IFERROR(VLOOKUP(CONCATENATE($E1806,$G1806),'LAC 103'!$A$12:$O$95,12,FALSE),0)</f>
        <v>0</v>
      </c>
      <c r="T1806" s="1144">
        <f>IFERROR(VLOOKUP(CONCATENATE($E1806,$G1806),'LAC 103'!$A$12:$O$95,13,FALSE),0)</f>
        <v>0</v>
      </c>
      <c r="U1806" s="1144">
        <f>IFERROR(VLOOKUP(CONCATENATE($E1806,$G1806),'LAC 103'!$A$12:$O$95,14,FALSE),0)</f>
        <v>0</v>
      </c>
      <c r="V1806" s="1144">
        <f>IFERROR(VLOOKUP(CONCATENATE($E1806,$G1806),'LAC 103'!$A$12:$O$95,15,FALSE),0)</f>
        <v>0</v>
      </c>
      <c r="W1806" s="1145" t="str">
        <f>IFERROR(VLOOKUP(CONCATENATE($B1806,$N1806),'LAC 103'!$AI:$AQ,9,FALSE),"")</f>
        <v/>
      </c>
      <c r="X1806" s="1146">
        <f t="shared" si="510"/>
        <v>0</v>
      </c>
      <c r="Y1806" s="1143">
        <f t="shared" si="520"/>
        <v>0</v>
      </c>
      <c r="Z1806" s="1147">
        <f t="shared" si="511"/>
        <v>0</v>
      </c>
      <c r="AA1806" s="1144">
        <f t="shared" si="512"/>
        <v>0</v>
      </c>
      <c r="AB1806" s="1144">
        <f t="shared" si="513"/>
        <v>0</v>
      </c>
      <c r="AC1806" s="1144">
        <f t="shared" si="514"/>
        <v>0</v>
      </c>
      <c r="AD1806" s="1148">
        <f t="shared" si="506"/>
        <v>0</v>
      </c>
      <c r="AE1806" s="1487">
        <v>0</v>
      </c>
      <c r="AF1806" s="1145">
        <f t="shared" si="515"/>
        <v>0</v>
      </c>
      <c r="AG1806" s="1149">
        <f>IFERROR(VLOOKUP(CONCATENATE($L1806,$N1806),'Drop List'!$G$23:$K$87,2,FALSE),0)</f>
        <v>0</v>
      </c>
      <c r="AH1806" s="1150">
        <f>IFERROR(VLOOKUP(CONCATENATE($L1806,$N1806),'Drop List'!$G$23:$K$87,3,FALSE),0)</f>
        <v>0</v>
      </c>
      <c r="AI1806" s="1150">
        <f>IFERROR(VLOOKUP(CONCATENATE($L1806,$N1806),'Drop List'!$G$23:$K$87,4,FALSE),0)</f>
        <v>0</v>
      </c>
      <c r="AJ1806" s="1151">
        <f>IFERROR(VLOOKUP(CONCATENATE($L1806,$N1806),'Drop List'!$G$23:$K$87,5,FALSE),0)</f>
        <v>0</v>
      </c>
      <c r="AK1806" s="1152">
        <f t="shared" si="516"/>
        <v>0</v>
      </c>
      <c r="AL1806" s="1153">
        <f t="shared" si="517"/>
        <v>0</v>
      </c>
      <c r="AM1806" s="1153">
        <f t="shared" si="518"/>
        <v>0</v>
      </c>
      <c r="AN1806" s="1145">
        <f t="shared" si="519"/>
        <v>0</v>
      </c>
      <c r="AO1806" s="1154">
        <f t="shared" si="504"/>
        <v>0</v>
      </c>
      <c r="AP1806" s="1147">
        <f t="shared" si="507"/>
        <v>0</v>
      </c>
      <c r="AQ1806" s="1144">
        <f t="shared" si="508"/>
        <v>0</v>
      </c>
      <c r="AR1806" s="1146">
        <f t="shared" si="509"/>
        <v>0</v>
      </c>
    </row>
    <row r="1807" spans="1:44" x14ac:dyDescent="0.2">
      <c r="A1807" s="1141" t="str">
        <f t="shared" si="503"/>
        <v/>
      </c>
      <c r="B1807" s="1141" t="str">
        <f>IFERROR(VLOOKUP(A1807,'LAC 103'!A:C,3,FALSE),"")</f>
        <v/>
      </c>
      <c r="C1807" s="1478" t="str">
        <f>Info!$B$8</f>
        <v>00100</v>
      </c>
      <c r="D1807" s="1474"/>
      <c r="E1807" s="1474"/>
      <c r="F1807" s="1478"/>
      <c r="G1807" s="1478"/>
      <c r="H1807" s="1474"/>
      <c r="I1807" s="1478"/>
      <c r="J1807" s="1478"/>
      <c r="K1807" s="1475"/>
      <c r="L1807" s="1474"/>
      <c r="M1807" s="1476"/>
      <c r="N1807" s="1477"/>
      <c r="O1807" s="1479"/>
      <c r="P1807" s="1479"/>
      <c r="Q1807" s="1142">
        <f t="shared" si="505"/>
        <v>0</v>
      </c>
      <c r="R1807" s="1143">
        <f>IFERROR(VLOOKUP(CONCATENATE($E1807,$G1807),'LAC 103'!$A$12:$O$95,11,FALSE),0)</f>
        <v>0</v>
      </c>
      <c r="S1807" s="1144">
        <f>IFERROR(VLOOKUP(CONCATENATE($E1807,$G1807),'LAC 103'!$A$12:$O$95,12,FALSE),0)</f>
        <v>0</v>
      </c>
      <c r="T1807" s="1144">
        <f>IFERROR(VLOOKUP(CONCATENATE($E1807,$G1807),'LAC 103'!$A$12:$O$95,13,FALSE),0)</f>
        <v>0</v>
      </c>
      <c r="U1807" s="1144">
        <f>IFERROR(VLOOKUP(CONCATENATE($E1807,$G1807),'LAC 103'!$A$12:$O$95,14,FALSE),0)</f>
        <v>0</v>
      </c>
      <c r="V1807" s="1144">
        <f>IFERROR(VLOOKUP(CONCATENATE($E1807,$G1807),'LAC 103'!$A$12:$O$95,15,FALSE),0)</f>
        <v>0</v>
      </c>
      <c r="W1807" s="1145" t="str">
        <f>IFERROR(VLOOKUP(CONCATENATE($B1807,$N1807),'LAC 103'!$AI:$AQ,9,FALSE),"")</f>
        <v/>
      </c>
      <c r="X1807" s="1146">
        <f t="shared" si="510"/>
        <v>0</v>
      </c>
      <c r="Y1807" s="1143">
        <f t="shared" si="520"/>
        <v>0</v>
      </c>
      <c r="Z1807" s="1147">
        <f t="shared" si="511"/>
        <v>0</v>
      </c>
      <c r="AA1807" s="1144">
        <f t="shared" si="512"/>
        <v>0</v>
      </c>
      <c r="AB1807" s="1144">
        <f t="shared" si="513"/>
        <v>0</v>
      </c>
      <c r="AC1807" s="1144">
        <f t="shared" si="514"/>
        <v>0</v>
      </c>
      <c r="AD1807" s="1148">
        <f t="shared" si="506"/>
        <v>0</v>
      </c>
      <c r="AE1807" s="1487">
        <v>0</v>
      </c>
      <c r="AF1807" s="1145">
        <f t="shared" si="515"/>
        <v>0</v>
      </c>
      <c r="AG1807" s="1149">
        <f>IFERROR(VLOOKUP(CONCATENATE($L1807,$N1807),'Drop List'!$G$23:$K$87,2,FALSE),0)</f>
        <v>0</v>
      </c>
      <c r="AH1807" s="1150">
        <f>IFERROR(VLOOKUP(CONCATENATE($L1807,$N1807),'Drop List'!$G$23:$K$87,3,FALSE),0)</f>
        <v>0</v>
      </c>
      <c r="AI1807" s="1150">
        <f>IFERROR(VLOOKUP(CONCATENATE($L1807,$N1807),'Drop List'!$G$23:$K$87,4,FALSE),0)</f>
        <v>0</v>
      </c>
      <c r="AJ1807" s="1151">
        <f>IFERROR(VLOOKUP(CONCATENATE($L1807,$N1807),'Drop List'!$G$23:$K$87,5,FALSE),0)</f>
        <v>0</v>
      </c>
      <c r="AK1807" s="1152">
        <f t="shared" si="516"/>
        <v>0</v>
      </c>
      <c r="AL1807" s="1153">
        <f t="shared" si="517"/>
        <v>0</v>
      </c>
      <c r="AM1807" s="1153">
        <f t="shared" si="518"/>
        <v>0</v>
      </c>
      <c r="AN1807" s="1145">
        <f t="shared" si="519"/>
        <v>0</v>
      </c>
      <c r="AO1807" s="1154">
        <f t="shared" si="504"/>
        <v>0</v>
      </c>
      <c r="AP1807" s="1147">
        <f t="shared" si="507"/>
        <v>0</v>
      </c>
      <c r="AQ1807" s="1144">
        <f t="shared" si="508"/>
        <v>0</v>
      </c>
      <c r="AR1807" s="1146">
        <f t="shared" si="509"/>
        <v>0</v>
      </c>
    </row>
    <row r="1808" spans="1:44" x14ac:dyDescent="0.2">
      <c r="A1808" s="1141" t="str">
        <f t="shared" si="503"/>
        <v/>
      </c>
      <c r="B1808" s="1141" t="str">
        <f>IFERROR(VLOOKUP(A1808,'LAC 103'!A:C,3,FALSE),"")</f>
        <v/>
      </c>
      <c r="C1808" s="1478" t="str">
        <f>Info!$B$8</f>
        <v>00100</v>
      </c>
      <c r="D1808" s="1474"/>
      <c r="E1808" s="1474"/>
      <c r="F1808" s="1478"/>
      <c r="G1808" s="1478"/>
      <c r="H1808" s="1474"/>
      <c r="I1808" s="1478"/>
      <c r="J1808" s="1478"/>
      <c r="K1808" s="1475"/>
      <c r="L1808" s="1474"/>
      <c r="M1808" s="1476"/>
      <c r="N1808" s="1477"/>
      <c r="O1808" s="1479"/>
      <c r="P1808" s="1479"/>
      <c r="Q1808" s="1142">
        <f t="shared" si="505"/>
        <v>0</v>
      </c>
      <c r="R1808" s="1143">
        <f>IFERROR(VLOOKUP(CONCATENATE($E1808,$G1808),'LAC 103'!$A$12:$O$95,11,FALSE),0)</f>
        <v>0</v>
      </c>
      <c r="S1808" s="1144">
        <f>IFERROR(VLOOKUP(CONCATENATE($E1808,$G1808),'LAC 103'!$A$12:$O$95,12,FALSE),0)</f>
        <v>0</v>
      </c>
      <c r="T1808" s="1144">
        <f>IFERROR(VLOOKUP(CONCATENATE($E1808,$G1808),'LAC 103'!$A$12:$O$95,13,FALSE),0)</f>
        <v>0</v>
      </c>
      <c r="U1808" s="1144">
        <f>IFERROR(VLOOKUP(CONCATENATE($E1808,$G1808),'LAC 103'!$A$12:$O$95,14,FALSE),0)</f>
        <v>0</v>
      </c>
      <c r="V1808" s="1144">
        <f>IFERROR(VLOOKUP(CONCATENATE($E1808,$G1808),'LAC 103'!$A$12:$O$95,15,FALSE),0)</f>
        <v>0</v>
      </c>
      <c r="W1808" s="1145" t="str">
        <f>IFERROR(VLOOKUP(CONCATENATE($B1808,$N1808),'LAC 103'!$AI:$AQ,9,FALSE),"")</f>
        <v/>
      </c>
      <c r="X1808" s="1146">
        <f t="shared" si="510"/>
        <v>0</v>
      </c>
      <c r="Y1808" s="1143">
        <f t="shared" si="520"/>
        <v>0</v>
      </c>
      <c r="Z1808" s="1147">
        <f t="shared" si="511"/>
        <v>0</v>
      </c>
      <c r="AA1808" s="1144">
        <f t="shared" si="512"/>
        <v>0</v>
      </c>
      <c r="AB1808" s="1144">
        <f t="shared" si="513"/>
        <v>0</v>
      </c>
      <c r="AC1808" s="1144">
        <f t="shared" si="514"/>
        <v>0</v>
      </c>
      <c r="AD1808" s="1148">
        <f t="shared" si="506"/>
        <v>0</v>
      </c>
      <c r="AE1808" s="1487">
        <v>0</v>
      </c>
      <c r="AF1808" s="1145">
        <f t="shared" si="515"/>
        <v>0</v>
      </c>
      <c r="AG1808" s="1149">
        <f>IFERROR(VLOOKUP(CONCATENATE($L1808,$N1808),'Drop List'!$G$23:$K$87,2,FALSE),0)</f>
        <v>0</v>
      </c>
      <c r="AH1808" s="1150">
        <f>IFERROR(VLOOKUP(CONCATENATE($L1808,$N1808),'Drop List'!$G$23:$K$87,3,FALSE),0)</f>
        <v>0</v>
      </c>
      <c r="AI1808" s="1150">
        <f>IFERROR(VLOOKUP(CONCATENATE($L1808,$N1808),'Drop List'!$G$23:$K$87,4,FALSE),0)</f>
        <v>0</v>
      </c>
      <c r="AJ1808" s="1151">
        <f>IFERROR(VLOOKUP(CONCATENATE($L1808,$N1808),'Drop List'!$G$23:$K$87,5,FALSE),0)</f>
        <v>0</v>
      </c>
      <c r="AK1808" s="1152">
        <f t="shared" si="516"/>
        <v>0</v>
      </c>
      <c r="AL1808" s="1153">
        <f t="shared" si="517"/>
        <v>0</v>
      </c>
      <c r="AM1808" s="1153">
        <f t="shared" si="518"/>
        <v>0</v>
      </c>
      <c r="AN1808" s="1145">
        <f t="shared" si="519"/>
        <v>0</v>
      </c>
      <c r="AO1808" s="1154">
        <f t="shared" si="504"/>
        <v>0</v>
      </c>
      <c r="AP1808" s="1147">
        <f t="shared" si="507"/>
        <v>0</v>
      </c>
      <c r="AQ1808" s="1144">
        <f t="shared" si="508"/>
        <v>0</v>
      </c>
      <c r="AR1808" s="1146">
        <f t="shared" si="509"/>
        <v>0</v>
      </c>
    </row>
    <row r="1809" spans="1:44" x14ac:dyDescent="0.2">
      <c r="A1809" s="1141" t="str">
        <f t="shared" si="503"/>
        <v/>
      </c>
      <c r="B1809" s="1141" t="str">
        <f>IFERROR(VLOOKUP(A1809,'LAC 103'!A:C,3,FALSE),"")</f>
        <v/>
      </c>
      <c r="C1809" s="1478" t="str">
        <f>Info!$B$8</f>
        <v>00100</v>
      </c>
      <c r="D1809" s="1474"/>
      <c r="E1809" s="1474"/>
      <c r="F1809" s="1478"/>
      <c r="G1809" s="1478"/>
      <c r="H1809" s="1474"/>
      <c r="I1809" s="1478"/>
      <c r="J1809" s="1478"/>
      <c r="K1809" s="1475"/>
      <c r="L1809" s="1474"/>
      <c r="M1809" s="1476"/>
      <c r="N1809" s="1477"/>
      <c r="O1809" s="1479"/>
      <c r="P1809" s="1479"/>
      <c r="Q1809" s="1142">
        <f t="shared" si="505"/>
        <v>0</v>
      </c>
      <c r="R1809" s="1143">
        <f>IFERROR(VLOOKUP(CONCATENATE($E1809,$G1809),'LAC 103'!$A$12:$O$95,11,FALSE),0)</f>
        <v>0</v>
      </c>
      <c r="S1809" s="1144">
        <f>IFERROR(VLOOKUP(CONCATENATE($E1809,$G1809),'LAC 103'!$A$12:$O$95,12,FALSE),0)</f>
        <v>0</v>
      </c>
      <c r="T1809" s="1144">
        <f>IFERROR(VLOOKUP(CONCATENATE($E1809,$G1809),'LAC 103'!$A$12:$O$95,13,FALSE),0)</f>
        <v>0</v>
      </c>
      <c r="U1809" s="1144">
        <f>IFERROR(VLOOKUP(CONCATENATE($E1809,$G1809),'LAC 103'!$A$12:$O$95,14,FALSE),0)</f>
        <v>0</v>
      </c>
      <c r="V1809" s="1144">
        <f>IFERROR(VLOOKUP(CONCATENATE($E1809,$G1809),'LAC 103'!$A$12:$O$95,15,FALSE),0)</f>
        <v>0</v>
      </c>
      <c r="W1809" s="1145" t="str">
        <f>IFERROR(VLOOKUP(CONCATENATE($B1809,$N1809),'LAC 103'!$AI:$AQ,9,FALSE),"")</f>
        <v/>
      </c>
      <c r="X1809" s="1146">
        <f t="shared" si="510"/>
        <v>0</v>
      </c>
      <c r="Y1809" s="1143">
        <f t="shared" si="520"/>
        <v>0</v>
      </c>
      <c r="Z1809" s="1147">
        <f t="shared" si="511"/>
        <v>0</v>
      </c>
      <c r="AA1809" s="1144">
        <f t="shared" si="512"/>
        <v>0</v>
      </c>
      <c r="AB1809" s="1144">
        <f t="shared" si="513"/>
        <v>0</v>
      </c>
      <c r="AC1809" s="1144">
        <f t="shared" si="514"/>
        <v>0</v>
      </c>
      <c r="AD1809" s="1148">
        <f t="shared" si="506"/>
        <v>0</v>
      </c>
      <c r="AE1809" s="1487">
        <v>0</v>
      </c>
      <c r="AF1809" s="1145">
        <f t="shared" si="515"/>
        <v>0</v>
      </c>
      <c r="AG1809" s="1149">
        <f>IFERROR(VLOOKUP(CONCATENATE($L1809,$N1809),'Drop List'!$G$23:$K$87,2,FALSE),0)</f>
        <v>0</v>
      </c>
      <c r="AH1809" s="1150">
        <f>IFERROR(VLOOKUP(CONCATENATE($L1809,$N1809),'Drop List'!$G$23:$K$87,3,FALSE),0)</f>
        <v>0</v>
      </c>
      <c r="AI1809" s="1150">
        <f>IFERROR(VLOOKUP(CONCATENATE($L1809,$N1809),'Drop List'!$G$23:$K$87,4,FALSE),0)</f>
        <v>0</v>
      </c>
      <c r="AJ1809" s="1151">
        <f>IFERROR(VLOOKUP(CONCATENATE($L1809,$N1809),'Drop List'!$G$23:$K$87,5,FALSE),0)</f>
        <v>0</v>
      </c>
      <c r="AK1809" s="1152">
        <f t="shared" si="516"/>
        <v>0</v>
      </c>
      <c r="AL1809" s="1153">
        <f t="shared" si="517"/>
        <v>0</v>
      </c>
      <c r="AM1809" s="1153">
        <f t="shared" si="518"/>
        <v>0</v>
      </c>
      <c r="AN1809" s="1145">
        <f t="shared" si="519"/>
        <v>0</v>
      </c>
      <c r="AO1809" s="1154">
        <f t="shared" si="504"/>
        <v>0</v>
      </c>
      <c r="AP1809" s="1147">
        <f t="shared" si="507"/>
        <v>0</v>
      </c>
      <c r="AQ1809" s="1144">
        <f t="shared" si="508"/>
        <v>0</v>
      </c>
      <c r="AR1809" s="1146">
        <f t="shared" si="509"/>
        <v>0</v>
      </c>
    </row>
    <row r="1810" spans="1:44" x14ac:dyDescent="0.2">
      <c r="A1810" s="1141" t="str">
        <f t="shared" si="503"/>
        <v/>
      </c>
      <c r="B1810" s="1141" t="str">
        <f>IFERROR(VLOOKUP(A1810,'LAC 103'!A:C,3,FALSE),"")</f>
        <v/>
      </c>
      <c r="C1810" s="1478" t="str">
        <f>Info!$B$8</f>
        <v>00100</v>
      </c>
      <c r="D1810" s="1474"/>
      <c r="E1810" s="1474"/>
      <c r="F1810" s="1478"/>
      <c r="G1810" s="1478"/>
      <c r="H1810" s="1474"/>
      <c r="I1810" s="1478"/>
      <c r="J1810" s="1478"/>
      <c r="K1810" s="1475"/>
      <c r="L1810" s="1474"/>
      <c r="M1810" s="1476"/>
      <c r="N1810" s="1477"/>
      <c r="O1810" s="1479"/>
      <c r="P1810" s="1479"/>
      <c r="Q1810" s="1142">
        <f t="shared" si="505"/>
        <v>0</v>
      </c>
      <c r="R1810" s="1143">
        <f>IFERROR(VLOOKUP(CONCATENATE($E1810,$G1810),'LAC 103'!$A$12:$O$95,11,FALSE),0)</f>
        <v>0</v>
      </c>
      <c r="S1810" s="1144">
        <f>IFERROR(VLOOKUP(CONCATENATE($E1810,$G1810),'LAC 103'!$A$12:$O$95,12,FALSE),0)</f>
        <v>0</v>
      </c>
      <c r="T1810" s="1144">
        <f>IFERROR(VLOOKUP(CONCATENATE($E1810,$G1810),'LAC 103'!$A$12:$O$95,13,FALSE),0)</f>
        <v>0</v>
      </c>
      <c r="U1810" s="1144">
        <f>IFERROR(VLOOKUP(CONCATENATE($E1810,$G1810),'LAC 103'!$A$12:$O$95,14,FALSE),0)</f>
        <v>0</v>
      </c>
      <c r="V1810" s="1144">
        <f>IFERROR(VLOOKUP(CONCATENATE($E1810,$G1810),'LAC 103'!$A$12:$O$95,15,FALSE),0)</f>
        <v>0</v>
      </c>
      <c r="W1810" s="1145" t="str">
        <f>IFERROR(VLOOKUP(CONCATENATE($B1810,$N1810),'LAC 103'!$AI:$AQ,9,FALSE),"")</f>
        <v/>
      </c>
      <c r="X1810" s="1146">
        <f t="shared" si="510"/>
        <v>0</v>
      </c>
      <c r="Y1810" s="1143">
        <f t="shared" si="520"/>
        <v>0</v>
      </c>
      <c r="Z1810" s="1147">
        <f t="shared" si="511"/>
        <v>0</v>
      </c>
      <c r="AA1810" s="1144">
        <f t="shared" si="512"/>
        <v>0</v>
      </c>
      <c r="AB1810" s="1144">
        <f t="shared" si="513"/>
        <v>0</v>
      </c>
      <c r="AC1810" s="1144">
        <f t="shared" si="514"/>
        <v>0</v>
      </c>
      <c r="AD1810" s="1148">
        <f t="shared" si="506"/>
        <v>0</v>
      </c>
      <c r="AE1810" s="1487">
        <v>0</v>
      </c>
      <c r="AF1810" s="1145">
        <f t="shared" si="515"/>
        <v>0</v>
      </c>
      <c r="AG1810" s="1149">
        <f>IFERROR(VLOOKUP(CONCATENATE($L1810,$N1810),'Drop List'!$G$23:$K$87,2,FALSE),0)</f>
        <v>0</v>
      </c>
      <c r="AH1810" s="1150">
        <f>IFERROR(VLOOKUP(CONCATENATE($L1810,$N1810),'Drop List'!$G$23:$K$87,3,FALSE),0)</f>
        <v>0</v>
      </c>
      <c r="AI1810" s="1150">
        <f>IFERROR(VLOOKUP(CONCATENATE($L1810,$N1810),'Drop List'!$G$23:$K$87,4,FALSE),0)</f>
        <v>0</v>
      </c>
      <c r="AJ1810" s="1151">
        <f>IFERROR(VLOOKUP(CONCATENATE($L1810,$N1810),'Drop List'!$G$23:$K$87,5,FALSE),0)</f>
        <v>0</v>
      </c>
      <c r="AK1810" s="1152">
        <f t="shared" si="516"/>
        <v>0</v>
      </c>
      <c r="AL1810" s="1153">
        <f t="shared" si="517"/>
        <v>0</v>
      </c>
      <c r="AM1810" s="1153">
        <f t="shared" si="518"/>
        <v>0</v>
      </c>
      <c r="AN1810" s="1145">
        <f t="shared" si="519"/>
        <v>0</v>
      </c>
      <c r="AO1810" s="1154">
        <f t="shared" si="504"/>
        <v>0</v>
      </c>
      <c r="AP1810" s="1147">
        <f t="shared" si="507"/>
        <v>0</v>
      </c>
      <c r="AQ1810" s="1144">
        <f t="shared" si="508"/>
        <v>0</v>
      </c>
      <c r="AR1810" s="1146">
        <f t="shared" si="509"/>
        <v>0</v>
      </c>
    </row>
    <row r="1811" spans="1:44" x14ac:dyDescent="0.2">
      <c r="A1811" s="1141" t="str">
        <f t="shared" si="503"/>
        <v/>
      </c>
      <c r="B1811" s="1141" t="str">
        <f>IFERROR(VLOOKUP(A1811,'LAC 103'!A:C,3,FALSE),"")</f>
        <v/>
      </c>
      <c r="C1811" s="1478" t="str">
        <f>Info!$B$8</f>
        <v>00100</v>
      </c>
      <c r="D1811" s="1474"/>
      <c r="E1811" s="1474"/>
      <c r="F1811" s="1478"/>
      <c r="G1811" s="1478"/>
      <c r="H1811" s="1474"/>
      <c r="I1811" s="1478"/>
      <c r="J1811" s="1478"/>
      <c r="K1811" s="1475"/>
      <c r="L1811" s="1474"/>
      <c r="M1811" s="1476"/>
      <c r="N1811" s="1477"/>
      <c r="O1811" s="1479"/>
      <c r="P1811" s="1479"/>
      <c r="Q1811" s="1142">
        <f t="shared" si="505"/>
        <v>0</v>
      </c>
      <c r="R1811" s="1143">
        <f>IFERROR(VLOOKUP(CONCATENATE($E1811,$G1811),'LAC 103'!$A$12:$O$95,11,FALSE),0)</f>
        <v>0</v>
      </c>
      <c r="S1811" s="1144">
        <f>IFERROR(VLOOKUP(CONCATENATE($E1811,$G1811),'LAC 103'!$A$12:$O$95,12,FALSE),0)</f>
        <v>0</v>
      </c>
      <c r="T1811" s="1144">
        <f>IFERROR(VLOOKUP(CONCATENATE($E1811,$G1811),'LAC 103'!$A$12:$O$95,13,FALSE),0)</f>
        <v>0</v>
      </c>
      <c r="U1811" s="1144">
        <f>IFERROR(VLOOKUP(CONCATENATE($E1811,$G1811),'LAC 103'!$A$12:$O$95,14,FALSE),0)</f>
        <v>0</v>
      </c>
      <c r="V1811" s="1144">
        <f>IFERROR(VLOOKUP(CONCATENATE($E1811,$G1811),'LAC 103'!$A$12:$O$95,15,FALSE),0)</f>
        <v>0</v>
      </c>
      <c r="W1811" s="1145" t="str">
        <f>IFERROR(VLOOKUP(CONCATENATE($B1811,$N1811),'LAC 103'!$AI:$AQ,9,FALSE),"")</f>
        <v/>
      </c>
      <c r="X1811" s="1146">
        <f t="shared" si="510"/>
        <v>0</v>
      </c>
      <c r="Y1811" s="1143">
        <f t="shared" si="520"/>
        <v>0</v>
      </c>
      <c r="Z1811" s="1147">
        <f t="shared" si="511"/>
        <v>0</v>
      </c>
      <c r="AA1811" s="1144">
        <f t="shared" si="512"/>
        <v>0</v>
      </c>
      <c r="AB1811" s="1144">
        <f t="shared" si="513"/>
        <v>0</v>
      </c>
      <c r="AC1811" s="1144">
        <f t="shared" si="514"/>
        <v>0</v>
      </c>
      <c r="AD1811" s="1148">
        <f t="shared" si="506"/>
        <v>0</v>
      </c>
      <c r="AE1811" s="1487">
        <v>0</v>
      </c>
      <c r="AF1811" s="1145">
        <f t="shared" si="515"/>
        <v>0</v>
      </c>
      <c r="AG1811" s="1149">
        <f>IFERROR(VLOOKUP(CONCATENATE($L1811,$N1811),'Drop List'!$G$23:$K$87,2,FALSE),0)</f>
        <v>0</v>
      </c>
      <c r="AH1811" s="1150">
        <f>IFERROR(VLOOKUP(CONCATENATE($L1811,$N1811),'Drop List'!$G$23:$K$87,3,FALSE),0)</f>
        <v>0</v>
      </c>
      <c r="AI1811" s="1150">
        <f>IFERROR(VLOOKUP(CONCATENATE($L1811,$N1811),'Drop List'!$G$23:$K$87,4,FALSE),0)</f>
        <v>0</v>
      </c>
      <c r="AJ1811" s="1151">
        <f>IFERROR(VLOOKUP(CONCATENATE($L1811,$N1811),'Drop List'!$G$23:$K$87,5,FALSE),0)</f>
        <v>0</v>
      </c>
      <c r="AK1811" s="1152">
        <f t="shared" si="516"/>
        <v>0</v>
      </c>
      <c r="AL1811" s="1153">
        <f t="shared" si="517"/>
        <v>0</v>
      </c>
      <c r="AM1811" s="1153">
        <f t="shared" si="518"/>
        <v>0</v>
      </c>
      <c r="AN1811" s="1145">
        <f t="shared" si="519"/>
        <v>0</v>
      </c>
      <c r="AO1811" s="1154">
        <f t="shared" si="504"/>
        <v>0</v>
      </c>
      <c r="AP1811" s="1147">
        <f t="shared" si="507"/>
        <v>0</v>
      </c>
      <c r="AQ1811" s="1144">
        <f t="shared" si="508"/>
        <v>0</v>
      </c>
      <c r="AR1811" s="1146">
        <f t="shared" si="509"/>
        <v>0</v>
      </c>
    </row>
    <row r="1812" spans="1:44" x14ac:dyDescent="0.2">
      <c r="A1812" s="1141" t="str">
        <f t="shared" si="503"/>
        <v/>
      </c>
      <c r="B1812" s="1141" t="str">
        <f>IFERROR(VLOOKUP(A1812,'LAC 103'!A:C,3,FALSE),"")</f>
        <v/>
      </c>
      <c r="C1812" s="1478" t="str">
        <f>Info!$B$8</f>
        <v>00100</v>
      </c>
      <c r="D1812" s="1474"/>
      <c r="E1812" s="1474"/>
      <c r="F1812" s="1478"/>
      <c r="G1812" s="1478"/>
      <c r="H1812" s="1474"/>
      <c r="I1812" s="1478"/>
      <c r="J1812" s="1478"/>
      <c r="K1812" s="1475"/>
      <c r="L1812" s="1474"/>
      <c r="M1812" s="1476"/>
      <c r="N1812" s="1477"/>
      <c r="O1812" s="1479"/>
      <c r="P1812" s="1479"/>
      <c r="Q1812" s="1142">
        <f t="shared" si="505"/>
        <v>0</v>
      </c>
      <c r="R1812" s="1143">
        <f>IFERROR(VLOOKUP(CONCATENATE($E1812,$G1812),'LAC 103'!$A$12:$O$95,11,FALSE),0)</f>
        <v>0</v>
      </c>
      <c r="S1812" s="1144">
        <f>IFERROR(VLOOKUP(CONCATENATE($E1812,$G1812),'LAC 103'!$A$12:$O$95,12,FALSE),0)</f>
        <v>0</v>
      </c>
      <c r="T1812" s="1144">
        <f>IFERROR(VLOOKUP(CONCATENATE($E1812,$G1812),'LAC 103'!$A$12:$O$95,13,FALSE),0)</f>
        <v>0</v>
      </c>
      <c r="U1812" s="1144">
        <f>IFERROR(VLOOKUP(CONCATENATE($E1812,$G1812),'LAC 103'!$A$12:$O$95,14,FALSE),0)</f>
        <v>0</v>
      </c>
      <c r="V1812" s="1144">
        <f>IFERROR(VLOOKUP(CONCATENATE($E1812,$G1812),'LAC 103'!$A$12:$O$95,15,FALSE),0)</f>
        <v>0</v>
      </c>
      <c r="W1812" s="1145" t="str">
        <f>IFERROR(VLOOKUP(CONCATENATE($B1812,$N1812),'LAC 103'!$AI:$AQ,9,FALSE),"")</f>
        <v/>
      </c>
      <c r="X1812" s="1146">
        <f t="shared" si="510"/>
        <v>0</v>
      </c>
      <c r="Y1812" s="1143">
        <f t="shared" si="520"/>
        <v>0</v>
      </c>
      <c r="Z1812" s="1147">
        <f t="shared" si="511"/>
        <v>0</v>
      </c>
      <c r="AA1812" s="1144">
        <f t="shared" si="512"/>
        <v>0</v>
      </c>
      <c r="AB1812" s="1144">
        <f t="shared" si="513"/>
        <v>0</v>
      </c>
      <c r="AC1812" s="1144">
        <f t="shared" si="514"/>
        <v>0</v>
      </c>
      <c r="AD1812" s="1148">
        <f t="shared" si="506"/>
        <v>0</v>
      </c>
      <c r="AE1812" s="1487">
        <v>0</v>
      </c>
      <c r="AF1812" s="1145">
        <f t="shared" si="515"/>
        <v>0</v>
      </c>
      <c r="AG1812" s="1149">
        <f>IFERROR(VLOOKUP(CONCATENATE($L1812,$N1812),'Drop List'!$G$23:$K$87,2,FALSE),0)</f>
        <v>0</v>
      </c>
      <c r="AH1812" s="1150">
        <f>IFERROR(VLOOKUP(CONCATENATE($L1812,$N1812),'Drop List'!$G$23:$K$87,3,FALSE),0)</f>
        <v>0</v>
      </c>
      <c r="AI1812" s="1150">
        <f>IFERROR(VLOOKUP(CONCATENATE($L1812,$N1812),'Drop List'!$G$23:$K$87,4,FALSE),0)</f>
        <v>0</v>
      </c>
      <c r="AJ1812" s="1151">
        <f>IFERROR(VLOOKUP(CONCATENATE($L1812,$N1812),'Drop List'!$G$23:$K$87,5,FALSE),0)</f>
        <v>0</v>
      </c>
      <c r="AK1812" s="1152">
        <f t="shared" si="516"/>
        <v>0</v>
      </c>
      <c r="AL1812" s="1153">
        <f t="shared" si="517"/>
        <v>0</v>
      </c>
      <c r="AM1812" s="1153">
        <f t="shared" si="518"/>
        <v>0</v>
      </c>
      <c r="AN1812" s="1145">
        <f t="shared" si="519"/>
        <v>0</v>
      </c>
      <c r="AO1812" s="1154">
        <f t="shared" si="504"/>
        <v>0</v>
      </c>
      <c r="AP1812" s="1147">
        <f t="shared" si="507"/>
        <v>0</v>
      </c>
      <c r="AQ1812" s="1144">
        <f t="shared" si="508"/>
        <v>0</v>
      </c>
      <c r="AR1812" s="1146">
        <f t="shared" si="509"/>
        <v>0</v>
      </c>
    </row>
    <row r="1813" spans="1:44" x14ac:dyDescent="0.2">
      <c r="A1813" s="1141" t="str">
        <f t="shared" si="503"/>
        <v/>
      </c>
      <c r="B1813" s="1141" t="str">
        <f>IFERROR(VLOOKUP(A1813,'LAC 103'!A:C,3,FALSE),"")</f>
        <v/>
      </c>
      <c r="C1813" s="1478" t="str">
        <f>Info!$B$8</f>
        <v>00100</v>
      </c>
      <c r="D1813" s="1474"/>
      <c r="E1813" s="1474"/>
      <c r="F1813" s="1478"/>
      <c r="G1813" s="1478"/>
      <c r="H1813" s="1474"/>
      <c r="I1813" s="1478"/>
      <c r="J1813" s="1478"/>
      <c r="K1813" s="1475"/>
      <c r="L1813" s="1474"/>
      <c r="M1813" s="1476"/>
      <c r="N1813" s="1477"/>
      <c r="O1813" s="1479"/>
      <c r="P1813" s="1479"/>
      <c r="Q1813" s="1142">
        <f t="shared" si="505"/>
        <v>0</v>
      </c>
      <c r="R1813" s="1143">
        <f>IFERROR(VLOOKUP(CONCATENATE($E1813,$G1813),'LAC 103'!$A$12:$O$95,11,FALSE),0)</f>
        <v>0</v>
      </c>
      <c r="S1813" s="1144">
        <f>IFERROR(VLOOKUP(CONCATENATE($E1813,$G1813),'LAC 103'!$A$12:$O$95,12,FALSE),0)</f>
        <v>0</v>
      </c>
      <c r="T1813" s="1144">
        <f>IFERROR(VLOOKUP(CONCATENATE($E1813,$G1813),'LAC 103'!$A$12:$O$95,13,FALSE),0)</f>
        <v>0</v>
      </c>
      <c r="U1813" s="1144">
        <f>IFERROR(VLOOKUP(CONCATENATE($E1813,$G1813),'LAC 103'!$A$12:$O$95,14,FALSE),0)</f>
        <v>0</v>
      </c>
      <c r="V1813" s="1144">
        <f>IFERROR(VLOOKUP(CONCATENATE($E1813,$G1813),'LAC 103'!$A$12:$O$95,15,FALSE),0)</f>
        <v>0</v>
      </c>
      <c r="W1813" s="1145" t="str">
        <f>IFERROR(VLOOKUP(CONCATENATE($B1813,$N1813),'LAC 103'!$AI:$AQ,9,FALSE),"")</f>
        <v/>
      </c>
      <c r="X1813" s="1146">
        <f t="shared" si="510"/>
        <v>0</v>
      </c>
      <c r="Y1813" s="1143">
        <f t="shared" si="520"/>
        <v>0</v>
      </c>
      <c r="Z1813" s="1147">
        <f t="shared" si="511"/>
        <v>0</v>
      </c>
      <c r="AA1813" s="1144">
        <f t="shared" si="512"/>
        <v>0</v>
      </c>
      <c r="AB1813" s="1144">
        <f t="shared" si="513"/>
        <v>0</v>
      </c>
      <c r="AC1813" s="1144">
        <f t="shared" si="514"/>
        <v>0</v>
      </c>
      <c r="AD1813" s="1148">
        <f t="shared" si="506"/>
        <v>0</v>
      </c>
      <c r="AE1813" s="1487">
        <v>0</v>
      </c>
      <c r="AF1813" s="1145">
        <f t="shared" si="515"/>
        <v>0</v>
      </c>
      <c r="AG1813" s="1149">
        <f>IFERROR(VLOOKUP(CONCATENATE($L1813,$N1813),'Drop List'!$G$23:$K$87,2,FALSE),0)</f>
        <v>0</v>
      </c>
      <c r="AH1813" s="1150">
        <f>IFERROR(VLOOKUP(CONCATENATE($L1813,$N1813),'Drop List'!$G$23:$K$87,3,FALSE),0)</f>
        <v>0</v>
      </c>
      <c r="AI1813" s="1150">
        <f>IFERROR(VLOOKUP(CONCATENATE($L1813,$N1813),'Drop List'!$G$23:$K$87,4,FALSE),0)</f>
        <v>0</v>
      </c>
      <c r="AJ1813" s="1151">
        <f>IFERROR(VLOOKUP(CONCATENATE($L1813,$N1813),'Drop List'!$G$23:$K$87,5,FALSE),0)</f>
        <v>0</v>
      </c>
      <c r="AK1813" s="1152">
        <f t="shared" si="516"/>
        <v>0</v>
      </c>
      <c r="AL1813" s="1153">
        <f t="shared" si="517"/>
        <v>0</v>
      </c>
      <c r="AM1813" s="1153">
        <f t="shared" si="518"/>
        <v>0</v>
      </c>
      <c r="AN1813" s="1145">
        <f t="shared" si="519"/>
        <v>0</v>
      </c>
      <c r="AO1813" s="1154">
        <f t="shared" si="504"/>
        <v>0</v>
      </c>
      <c r="AP1813" s="1147">
        <f t="shared" si="507"/>
        <v>0</v>
      </c>
      <c r="AQ1813" s="1144">
        <f t="shared" si="508"/>
        <v>0</v>
      </c>
      <c r="AR1813" s="1146">
        <f t="shared" si="509"/>
        <v>0</v>
      </c>
    </row>
    <row r="1814" spans="1:44" x14ac:dyDescent="0.2">
      <c r="A1814" s="1141" t="str">
        <f t="shared" ref="A1814:A1877" si="521">IF(CONCATENATE(E1814,G1814)="","",CONCATENATE(E1814,G1814))</f>
        <v/>
      </c>
      <c r="B1814" s="1141" t="str">
        <f>IFERROR(VLOOKUP(A1814,'LAC 103'!A:C,3,FALSE),"")</f>
        <v/>
      </c>
      <c r="C1814" s="1478" t="str">
        <f>Info!$B$8</f>
        <v>00100</v>
      </c>
      <c r="D1814" s="1474"/>
      <c r="E1814" s="1474"/>
      <c r="F1814" s="1478"/>
      <c r="G1814" s="1478"/>
      <c r="H1814" s="1474"/>
      <c r="I1814" s="1478"/>
      <c r="J1814" s="1478"/>
      <c r="K1814" s="1475"/>
      <c r="L1814" s="1474"/>
      <c r="M1814" s="1476"/>
      <c r="N1814" s="1477"/>
      <c r="O1814" s="1479"/>
      <c r="P1814" s="1479"/>
      <c r="Q1814" s="1142">
        <f t="shared" si="505"/>
        <v>0</v>
      </c>
      <c r="R1814" s="1143">
        <f>IFERROR(VLOOKUP(CONCATENATE($E1814,$G1814),'LAC 103'!$A$12:$O$95,11,FALSE),0)</f>
        <v>0</v>
      </c>
      <c r="S1814" s="1144">
        <f>IFERROR(VLOOKUP(CONCATENATE($E1814,$G1814),'LAC 103'!$A$12:$O$95,12,FALSE),0)</f>
        <v>0</v>
      </c>
      <c r="T1814" s="1144">
        <f>IFERROR(VLOOKUP(CONCATENATE($E1814,$G1814),'LAC 103'!$A$12:$O$95,13,FALSE),0)</f>
        <v>0</v>
      </c>
      <c r="U1814" s="1144">
        <f>IFERROR(VLOOKUP(CONCATENATE($E1814,$G1814),'LAC 103'!$A$12:$O$95,14,FALSE),0)</f>
        <v>0</v>
      </c>
      <c r="V1814" s="1144">
        <f>IFERROR(VLOOKUP(CONCATENATE($E1814,$G1814),'LAC 103'!$A$12:$O$95,15,FALSE),0)</f>
        <v>0</v>
      </c>
      <c r="W1814" s="1145" t="str">
        <f>IFERROR(VLOOKUP(CONCATENATE($B1814,$N1814),'LAC 103'!$AI:$AQ,9,FALSE),"")</f>
        <v/>
      </c>
      <c r="X1814" s="1146">
        <f t="shared" si="510"/>
        <v>0</v>
      </c>
      <c r="Y1814" s="1143">
        <f t="shared" si="520"/>
        <v>0</v>
      </c>
      <c r="Z1814" s="1147">
        <f t="shared" si="511"/>
        <v>0</v>
      </c>
      <c r="AA1814" s="1144">
        <f t="shared" si="512"/>
        <v>0</v>
      </c>
      <c r="AB1814" s="1144">
        <f t="shared" si="513"/>
        <v>0</v>
      </c>
      <c r="AC1814" s="1144">
        <f t="shared" si="514"/>
        <v>0</v>
      </c>
      <c r="AD1814" s="1148">
        <f t="shared" si="506"/>
        <v>0</v>
      </c>
      <c r="AE1814" s="1487">
        <v>0</v>
      </c>
      <c r="AF1814" s="1145">
        <f t="shared" si="515"/>
        <v>0</v>
      </c>
      <c r="AG1814" s="1149">
        <f>IFERROR(VLOOKUP(CONCATENATE($L1814,$N1814),'Drop List'!$G$23:$K$87,2,FALSE),0)</f>
        <v>0</v>
      </c>
      <c r="AH1814" s="1150">
        <f>IFERROR(VLOOKUP(CONCATENATE($L1814,$N1814),'Drop List'!$G$23:$K$87,3,FALSE),0)</f>
        <v>0</v>
      </c>
      <c r="AI1814" s="1150">
        <f>IFERROR(VLOOKUP(CONCATENATE($L1814,$N1814),'Drop List'!$G$23:$K$87,4,FALSE),0)</f>
        <v>0</v>
      </c>
      <c r="AJ1814" s="1151">
        <f>IFERROR(VLOOKUP(CONCATENATE($L1814,$N1814),'Drop List'!$G$23:$K$87,5,FALSE),0)</f>
        <v>0</v>
      </c>
      <c r="AK1814" s="1152">
        <f t="shared" si="516"/>
        <v>0</v>
      </c>
      <c r="AL1814" s="1153">
        <f t="shared" si="517"/>
        <v>0</v>
      </c>
      <c r="AM1814" s="1153">
        <f t="shared" si="518"/>
        <v>0</v>
      </c>
      <c r="AN1814" s="1145">
        <f t="shared" si="519"/>
        <v>0</v>
      </c>
      <c r="AO1814" s="1154">
        <f t="shared" si="504"/>
        <v>0</v>
      </c>
      <c r="AP1814" s="1147">
        <f t="shared" si="507"/>
        <v>0</v>
      </c>
      <c r="AQ1814" s="1144">
        <f t="shared" si="508"/>
        <v>0</v>
      </c>
      <c r="AR1814" s="1146">
        <f t="shared" si="509"/>
        <v>0</v>
      </c>
    </row>
    <row r="1815" spans="1:44" x14ac:dyDescent="0.2">
      <c r="A1815" s="1141" t="str">
        <f t="shared" si="521"/>
        <v/>
      </c>
      <c r="B1815" s="1141" t="str">
        <f>IFERROR(VLOOKUP(A1815,'LAC 103'!A:C,3,FALSE),"")</f>
        <v/>
      </c>
      <c r="C1815" s="1478" t="str">
        <f>Info!$B$8</f>
        <v>00100</v>
      </c>
      <c r="D1815" s="1474"/>
      <c r="E1815" s="1474"/>
      <c r="F1815" s="1478"/>
      <c r="G1815" s="1478"/>
      <c r="H1815" s="1474"/>
      <c r="I1815" s="1478"/>
      <c r="J1815" s="1478"/>
      <c r="K1815" s="1475"/>
      <c r="L1815" s="1474"/>
      <c r="M1815" s="1476"/>
      <c r="N1815" s="1477"/>
      <c r="O1815" s="1479"/>
      <c r="P1815" s="1479"/>
      <c r="Q1815" s="1142">
        <f t="shared" si="505"/>
        <v>0</v>
      </c>
      <c r="R1815" s="1143">
        <f>IFERROR(VLOOKUP(CONCATENATE($E1815,$G1815),'LAC 103'!$A$12:$O$95,11,FALSE),0)</f>
        <v>0</v>
      </c>
      <c r="S1815" s="1144">
        <f>IFERROR(VLOOKUP(CONCATENATE($E1815,$G1815),'LAC 103'!$A$12:$O$95,12,FALSE),0)</f>
        <v>0</v>
      </c>
      <c r="T1815" s="1144">
        <f>IFERROR(VLOOKUP(CONCATENATE($E1815,$G1815),'LAC 103'!$A$12:$O$95,13,FALSE),0)</f>
        <v>0</v>
      </c>
      <c r="U1815" s="1144">
        <f>IFERROR(VLOOKUP(CONCATENATE($E1815,$G1815),'LAC 103'!$A$12:$O$95,14,FALSE),0)</f>
        <v>0</v>
      </c>
      <c r="V1815" s="1144">
        <f>IFERROR(VLOOKUP(CONCATENATE($E1815,$G1815),'LAC 103'!$A$12:$O$95,15,FALSE),0)</f>
        <v>0</v>
      </c>
      <c r="W1815" s="1145" t="str">
        <f>IFERROR(VLOOKUP(CONCATENATE($B1815,$N1815),'LAC 103'!$AI:$AQ,9,FALSE),"")</f>
        <v/>
      </c>
      <c r="X1815" s="1146">
        <f t="shared" si="510"/>
        <v>0</v>
      </c>
      <c r="Y1815" s="1143">
        <f t="shared" si="520"/>
        <v>0</v>
      </c>
      <c r="Z1815" s="1147">
        <f t="shared" si="511"/>
        <v>0</v>
      </c>
      <c r="AA1815" s="1144">
        <f t="shared" si="512"/>
        <v>0</v>
      </c>
      <c r="AB1815" s="1144">
        <f t="shared" si="513"/>
        <v>0</v>
      </c>
      <c r="AC1815" s="1144">
        <f t="shared" si="514"/>
        <v>0</v>
      </c>
      <c r="AD1815" s="1148">
        <f t="shared" si="506"/>
        <v>0</v>
      </c>
      <c r="AE1815" s="1487">
        <v>0</v>
      </c>
      <c r="AF1815" s="1145">
        <f t="shared" si="515"/>
        <v>0</v>
      </c>
      <c r="AG1815" s="1149">
        <f>IFERROR(VLOOKUP(CONCATENATE($L1815,$N1815),'Drop List'!$G$23:$K$87,2,FALSE),0)</f>
        <v>0</v>
      </c>
      <c r="AH1815" s="1150">
        <f>IFERROR(VLOOKUP(CONCATENATE($L1815,$N1815),'Drop List'!$G$23:$K$87,3,FALSE),0)</f>
        <v>0</v>
      </c>
      <c r="AI1815" s="1150">
        <f>IFERROR(VLOOKUP(CONCATENATE($L1815,$N1815),'Drop List'!$G$23:$K$87,4,FALSE),0)</f>
        <v>0</v>
      </c>
      <c r="AJ1815" s="1151">
        <f>IFERROR(VLOOKUP(CONCATENATE($L1815,$N1815),'Drop List'!$G$23:$K$87,5,FALSE),0)</f>
        <v>0</v>
      </c>
      <c r="AK1815" s="1152">
        <f t="shared" si="516"/>
        <v>0</v>
      </c>
      <c r="AL1815" s="1153">
        <f t="shared" si="517"/>
        <v>0</v>
      </c>
      <c r="AM1815" s="1153">
        <f t="shared" si="518"/>
        <v>0</v>
      </c>
      <c r="AN1815" s="1145">
        <f t="shared" si="519"/>
        <v>0</v>
      </c>
      <c r="AO1815" s="1154">
        <f t="shared" si="504"/>
        <v>0</v>
      </c>
      <c r="AP1815" s="1147">
        <f t="shared" si="507"/>
        <v>0</v>
      </c>
      <c r="AQ1815" s="1144">
        <f t="shared" si="508"/>
        <v>0</v>
      </c>
      <c r="AR1815" s="1146">
        <f t="shared" si="509"/>
        <v>0</v>
      </c>
    </row>
    <row r="1816" spans="1:44" x14ac:dyDescent="0.2">
      <c r="A1816" s="1141" t="str">
        <f t="shared" si="521"/>
        <v/>
      </c>
      <c r="B1816" s="1141" t="str">
        <f>IFERROR(VLOOKUP(A1816,'LAC 103'!A:C,3,FALSE),"")</f>
        <v/>
      </c>
      <c r="C1816" s="1478" t="str">
        <f>Info!$B$8</f>
        <v>00100</v>
      </c>
      <c r="D1816" s="1474"/>
      <c r="E1816" s="1474"/>
      <c r="F1816" s="1478"/>
      <c r="G1816" s="1478"/>
      <c r="H1816" s="1474"/>
      <c r="I1816" s="1478"/>
      <c r="J1816" s="1478"/>
      <c r="K1816" s="1475"/>
      <c r="L1816" s="1474"/>
      <c r="M1816" s="1476"/>
      <c r="N1816" s="1477"/>
      <c r="O1816" s="1479"/>
      <c r="P1816" s="1479"/>
      <c r="Q1816" s="1142">
        <f t="shared" si="505"/>
        <v>0</v>
      </c>
      <c r="R1816" s="1143">
        <f>IFERROR(VLOOKUP(CONCATENATE($E1816,$G1816),'LAC 103'!$A$12:$O$95,11,FALSE),0)</f>
        <v>0</v>
      </c>
      <c r="S1816" s="1144">
        <f>IFERROR(VLOOKUP(CONCATENATE($E1816,$G1816),'LAC 103'!$A$12:$O$95,12,FALSE),0)</f>
        <v>0</v>
      </c>
      <c r="T1816" s="1144">
        <f>IFERROR(VLOOKUP(CONCATENATE($E1816,$G1816),'LAC 103'!$A$12:$O$95,13,FALSE),0)</f>
        <v>0</v>
      </c>
      <c r="U1816" s="1144">
        <f>IFERROR(VLOOKUP(CONCATENATE($E1816,$G1816),'LAC 103'!$A$12:$O$95,14,FALSE),0)</f>
        <v>0</v>
      </c>
      <c r="V1816" s="1144">
        <f>IFERROR(VLOOKUP(CONCATENATE($E1816,$G1816),'LAC 103'!$A$12:$O$95,15,FALSE),0)</f>
        <v>0</v>
      </c>
      <c r="W1816" s="1145" t="str">
        <f>IFERROR(VLOOKUP(CONCATENATE($B1816,$N1816),'LAC 103'!$AI:$AQ,9,FALSE),"")</f>
        <v/>
      </c>
      <c r="X1816" s="1146">
        <f t="shared" si="510"/>
        <v>0</v>
      </c>
      <c r="Y1816" s="1143">
        <f t="shared" si="520"/>
        <v>0</v>
      </c>
      <c r="Z1816" s="1147">
        <f t="shared" si="511"/>
        <v>0</v>
      </c>
      <c r="AA1816" s="1144">
        <f t="shared" si="512"/>
        <v>0</v>
      </c>
      <c r="AB1816" s="1144">
        <f t="shared" si="513"/>
        <v>0</v>
      </c>
      <c r="AC1816" s="1144">
        <f t="shared" si="514"/>
        <v>0</v>
      </c>
      <c r="AD1816" s="1148">
        <f t="shared" si="506"/>
        <v>0</v>
      </c>
      <c r="AE1816" s="1487">
        <v>0</v>
      </c>
      <c r="AF1816" s="1145">
        <f t="shared" si="515"/>
        <v>0</v>
      </c>
      <c r="AG1816" s="1149">
        <f>IFERROR(VLOOKUP(CONCATENATE($L1816,$N1816),'Drop List'!$G$23:$K$87,2,FALSE),0)</f>
        <v>0</v>
      </c>
      <c r="AH1816" s="1150">
        <f>IFERROR(VLOOKUP(CONCATENATE($L1816,$N1816),'Drop List'!$G$23:$K$87,3,FALSE),0)</f>
        <v>0</v>
      </c>
      <c r="AI1816" s="1150">
        <f>IFERROR(VLOOKUP(CONCATENATE($L1816,$N1816),'Drop List'!$G$23:$K$87,4,FALSE),0)</f>
        <v>0</v>
      </c>
      <c r="AJ1816" s="1151">
        <f>IFERROR(VLOOKUP(CONCATENATE($L1816,$N1816),'Drop List'!$G$23:$K$87,5,FALSE),0)</f>
        <v>0</v>
      </c>
      <c r="AK1816" s="1152">
        <f t="shared" si="516"/>
        <v>0</v>
      </c>
      <c r="AL1816" s="1153">
        <f t="shared" si="517"/>
        <v>0</v>
      </c>
      <c r="AM1816" s="1153">
        <f t="shared" si="518"/>
        <v>0</v>
      </c>
      <c r="AN1816" s="1145">
        <f t="shared" si="519"/>
        <v>0</v>
      </c>
      <c r="AO1816" s="1154">
        <f t="shared" si="504"/>
        <v>0</v>
      </c>
      <c r="AP1816" s="1147">
        <f t="shared" si="507"/>
        <v>0</v>
      </c>
      <c r="AQ1816" s="1144">
        <f t="shared" si="508"/>
        <v>0</v>
      </c>
      <c r="AR1816" s="1146">
        <f t="shared" si="509"/>
        <v>0</v>
      </c>
    </row>
    <row r="1817" spans="1:44" x14ac:dyDescent="0.2">
      <c r="A1817" s="1141" t="str">
        <f t="shared" si="521"/>
        <v/>
      </c>
      <c r="B1817" s="1141" t="str">
        <f>IFERROR(VLOOKUP(A1817,'LAC 103'!A:C,3,FALSE),"")</f>
        <v/>
      </c>
      <c r="C1817" s="1478" t="str">
        <f>Info!$B$8</f>
        <v>00100</v>
      </c>
      <c r="D1817" s="1474"/>
      <c r="E1817" s="1474"/>
      <c r="F1817" s="1478"/>
      <c r="G1817" s="1478"/>
      <c r="H1817" s="1474"/>
      <c r="I1817" s="1478"/>
      <c r="J1817" s="1478"/>
      <c r="K1817" s="1475"/>
      <c r="L1817" s="1474"/>
      <c r="M1817" s="1476"/>
      <c r="N1817" s="1477"/>
      <c r="O1817" s="1479"/>
      <c r="P1817" s="1479"/>
      <c r="Q1817" s="1142">
        <f t="shared" si="505"/>
        <v>0</v>
      </c>
      <c r="R1817" s="1143">
        <f>IFERROR(VLOOKUP(CONCATENATE($E1817,$G1817),'LAC 103'!$A$12:$O$95,11,FALSE),0)</f>
        <v>0</v>
      </c>
      <c r="S1817" s="1144">
        <f>IFERROR(VLOOKUP(CONCATENATE($E1817,$G1817),'LAC 103'!$A$12:$O$95,12,FALSE),0)</f>
        <v>0</v>
      </c>
      <c r="T1817" s="1144">
        <f>IFERROR(VLOOKUP(CONCATENATE($E1817,$G1817),'LAC 103'!$A$12:$O$95,13,FALSE),0)</f>
        <v>0</v>
      </c>
      <c r="U1817" s="1144">
        <f>IFERROR(VLOOKUP(CONCATENATE($E1817,$G1817),'LAC 103'!$A$12:$O$95,14,FALSE),0)</f>
        <v>0</v>
      </c>
      <c r="V1817" s="1144">
        <f>IFERROR(VLOOKUP(CONCATENATE($E1817,$G1817),'LAC 103'!$A$12:$O$95,15,FALSE),0)</f>
        <v>0</v>
      </c>
      <c r="W1817" s="1145" t="str">
        <f>IFERROR(VLOOKUP(CONCATENATE($B1817,$N1817),'LAC 103'!$AI:$AQ,9,FALSE),"")</f>
        <v/>
      </c>
      <c r="X1817" s="1146">
        <f t="shared" si="510"/>
        <v>0</v>
      </c>
      <c r="Y1817" s="1143">
        <f t="shared" si="520"/>
        <v>0</v>
      </c>
      <c r="Z1817" s="1147">
        <f t="shared" si="511"/>
        <v>0</v>
      </c>
      <c r="AA1817" s="1144">
        <f t="shared" si="512"/>
        <v>0</v>
      </c>
      <c r="AB1817" s="1144">
        <f t="shared" si="513"/>
        <v>0</v>
      </c>
      <c r="AC1817" s="1144">
        <f t="shared" si="514"/>
        <v>0</v>
      </c>
      <c r="AD1817" s="1148">
        <f t="shared" si="506"/>
        <v>0</v>
      </c>
      <c r="AE1817" s="1487">
        <v>0</v>
      </c>
      <c r="AF1817" s="1145">
        <f t="shared" si="515"/>
        <v>0</v>
      </c>
      <c r="AG1817" s="1149">
        <f>IFERROR(VLOOKUP(CONCATENATE($L1817,$N1817),'Drop List'!$G$23:$K$87,2,FALSE),0)</f>
        <v>0</v>
      </c>
      <c r="AH1817" s="1150">
        <f>IFERROR(VLOOKUP(CONCATENATE($L1817,$N1817),'Drop List'!$G$23:$K$87,3,FALSE),0)</f>
        <v>0</v>
      </c>
      <c r="AI1817" s="1150">
        <f>IFERROR(VLOOKUP(CONCATENATE($L1817,$N1817),'Drop List'!$G$23:$K$87,4,FALSE),0)</f>
        <v>0</v>
      </c>
      <c r="AJ1817" s="1151">
        <f>IFERROR(VLOOKUP(CONCATENATE($L1817,$N1817),'Drop List'!$G$23:$K$87,5,FALSE),0)</f>
        <v>0</v>
      </c>
      <c r="AK1817" s="1152">
        <f t="shared" si="516"/>
        <v>0</v>
      </c>
      <c r="AL1817" s="1153">
        <f t="shared" si="517"/>
        <v>0</v>
      </c>
      <c r="AM1817" s="1153">
        <f t="shared" si="518"/>
        <v>0</v>
      </c>
      <c r="AN1817" s="1145">
        <f t="shared" si="519"/>
        <v>0</v>
      </c>
      <c r="AO1817" s="1154">
        <f t="shared" si="504"/>
        <v>0</v>
      </c>
      <c r="AP1817" s="1147">
        <f t="shared" si="507"/>
        <v>0</v>
      </c>
      <c r="AQ1817" s="1144">
        <f t="shared" si="508"/>
        <v>0</v>
      </c>
      <c r="AR1817" s="1146">
        <f t="shared" si="509"/>
        <v>0</v>
      </c>
    </row>
    <row r="1818" spans="1:44" x14ac:dyDescent="0.2">
      <c r="A1818" s="1141" t="str">
        <f t="shared" si="521"/>
        <v/>
      </c>
      <c r="B1818" s="1141" t="str">
        <f>IFERROR(VLOOKUP(A1818,'LAC 103'!A:C,3,FALSE),"")</f>
        <v/>
      </c>
      <c r="C1818" s="1478" t="str">
        <f>Info!$B$8</f>
        <v>00100</v>
      </c>
      <c r="D1818" s="1474"/>
      <c r="E1818" s="1474"/>
      <c r="F1818" s="1478"/>
      <c r="G1818" s="1478"/>
      <c r="H1818" s="1474"/>
      <c r="I1818" s="1478"/>
      <c r="J1818" s="1478"/>
      <c r="K1818" s="1475"/>
      <c r="L1818" s="1474"/>
      <c r="M1818" s="1476"/>
      <c r="N1818" s="1477"/>
      <c r="O1818" s="1479"/>
      <c r="P1818" s="1479"/>
      <c r="Q1818" s="1142">
        <f t="shared" si="505"/>
        <v>0</v>
      </c>
      <c r="R1818" s="1143">
        <f>IFERROR(VLOOKUP(CONCATENATE($E1818,$G1818),'LAC 103'!$A$12:$O$95,11,FALSE),0)</f>
        <v>0</v>
      </c>
      <c r="S1818" s="1144">
        <f>IFERROR(VLOOKUP(CONCATENATE($E1818,$G1818),'LAC 103'!$A$12:$O$95,12,FALSE),0)</f>
        <v>0</v>
      </c>
      <c r="T1818" s="1144">
        <f>IFERROR(VLOOKUP(CONCATENATE($E1818,$G1818),'LAC 103'!$A$12:$O$95,13,FALSE),0)</f>
        <v>0</v>
      </c>
      <c r="U1818" s="1144">
        <f>IFERROR(VLOOKUP(CONCATENATE($E1818,$G1818),'LAC 103'!$A$12:$O$95,14,FALSE),0)</f>
        <v>0</v>
      </c>
      <c r="V1818" s="1144">
        <f>IFERROR(VLOOKUP(CONCATENATE($E1818,$G1818),'LAC 103'!$A$12:$O$95,15,FALSE),0)</f>
        <v>0</v>
      </c>
      <c r="W1818" s="1145" t="str">
        <f>IFERROR(VLOOKUP(CONCATENATE($B1818,$N1818),'LAC 103'!$AI:$AQ,9,FALSE),"")</f>
        <v/>
      </c>
      <c r="X1818" s="1146">
        <f t="shared" si="510"/>
        <v>0</v>
      </c>
      <c r="Y1818" s="1143">
        <f t="shared" si="520"/>
        <v>0</v>
      </c>
      <c r="Z1818" s="1147">
        <f t="shared" si="511"/>
        <v>0</v>
      </c>
      <c r="AA1818" s="1144">
        <f t="shared" si="512"/>
        <v>0</v>
      </c>
      <c r="AB1818" s="1144">
        <f t="shared" si="513"/>
        <v>0</v>
      </c>
      <c r="AC1818" s="1144">
        <f t="shared" si="514"/>
        <v>0</v>
      </c>
      <c r="AD1818" s="1148">
        <f t="shared" si="506"/>
        <v>0</v>
      </c>
      <c r="AE1818" s="1487">
        <v>0</v>
      </c>
      <c r="AF1818" s="1145">
        <f t="shared" si="515"/>
        <v>0</v>
      </c>
      <c r="AG1818" s="1149">
        <f>IFERROR(VLOOKUP(CONCATENATE($L1818,$N1818),'Drop List'!$G$23:$K$87,2,FALSE),0)</f>
        <v>0</v>
      </c>
      <c r="AH1818" s="1150">
        <f>IFERROR(VLOOKUP(CONCATENATE($L1818,$N1818),'Drop List'!$G$23:$K$87,3,FALSE),0)</f>
        <v>0</v>
      </c>
      <c r="AI1818" s="1150">
        <f>IFERROR(VLOOKUP(CONCATENATE($L1818,$N1818),'Drop List'!$G$23:$K$87,4,FALSE),0)</f>
        <v>0</v>
      </c>
      <c r="AJ1818" s="1151">
        <f>IFERROR(VLOOKUP(CONCATENATE($L1818,$N1818),'Drop List'!$G$23:$K$87,5,FALSE),0)</f>
        <v>0</v>
      </c>
      <c r="AK1818" s="1152">
        <f t="shared" si="516"/>
        <v>0</v>
      </c>
      <c r="AL1818" s="1153">
        <f t="shared" si="517"/>
        <v>0</v>
      </c>
      <c r="AM1818" s="1153">
        <f t="shared" si="518"/>
        <v>0</v>
      </c>
      <c r="AN1818" s="1145">
        <f t="shared" si="519"/>
        <v>0</v>
      </c>
      <c r="AO1818" s="1154">
        <f t="shared" si="504"/>
        <v>0</v>
      </c>
      <c r="AP1818" s="1147">
        <f t="shared" si="507"/>
        <v>0</v>
      </c>
      <c r="AQ1818" s="1144">
        <f t="shared" si="508"/>
        <v>0</v>
      </c>
      <c r="AR1818" s="1146">
        <f t="shared" si="509"/>
        <v>0</v>
      </c>
    </row>
    <row r="1819" spans="1:44" x14ac:dyDescent="0.2">
      <c r="A1819" s="1141" t="str">
        <f t="shared" si="521"/>
        <v/>
      </c>
      <c r="B1819" s="1141" t="str">
        <f>IFERROR(VLOOKUP(A1819,'LAC 103'!A:C,3,FALSE),"")</f>
        <v/>
      </c>
      <c r="C1819" s="1478" t="str">
        <f>Info!$B$8</f>
        <v>00100</v>
      </c>
      <c r="D1819" s="1474"/>
      <c r="E1819" s="1474"/>
      <c r="F1819" s="1478"/>
      <c r="G1819" s="1478"/>
      <c r="H1819" s="1474"/>
      <c r="I1819" s="1478"/>
      <c r="J1819" s="1478"/>
      <c r="K1819" s="1475"/>
      <c r="L1819" s="1474"/>
      <c r="M1819" s="1476"/>
      <c r="N1819" s="1477"/>
      <c r="O1819" s="1479"/>
      <c r="P1819" s="1479"/>
      <c r="Q1819" s="1142">
        <f t="shared" si="505"/>
        <v>0</v>
      </c>
      <c r="R1819" s="1143">
        <f>IFERROR(VLOOKUP(CONCATENATE($E1819,$G1819),'LAC 103'!$A$12:$O$95,11,FALSE),0)</f>
        <v>0</v>
      </c>
      <c r="S1819" s="1144">
        <f>IFERROR(VLOOKUP(CONCATENATE($E1819,$G1819),'LAC 103'!$A$12:$O$95,12,FALSE),0)</f>
        <v>0</v>
      </c>
      <c r="T1819" s="1144">
        <f>IFERROR(VLOOKUP(CONCATENATE($E1819,$G1819),'LAC 103'!$A$12:$O$95,13,FALSE),0)</f>
        <v>0</v>
      </c>
      <c r="U1819" s="1144">
        <f>IFERROR(VLOOKUP(CONCATENATE($E1819,$G1819),'LAC 103'!$A$12:$O$95,14,FALSE),0)</f>
        <v>0</v>
      </c>
      <c r="V1819" s="1144">
        <f>IFERROR(VLOOKUP(CONCATENATE($E1819,$G1819),'LAC 103'!$A$12:$O$95,15,FALSE),0)</f>
        <v>0</v>
      </c>
      <c r="W1819" s="1145" t="str">
        <f>IFERROR(VLOOKUP(CONCATENATE($B1819,$N1819),'LAC 103'!$AI:$AQ,9,FALSE),"")</f>
        <v/>
      </c>
      <c r="X1819" s="1146">
        <f t="shared" si="510"/>
        <v>0</v>
      </c>
      <c r="Y1819" s="1143">
        <f t="shared" si="520"/>
        <v>0</v>
      </c>
      <c r="Z1819" s="1147">
        <f t="shared" si="511"/>
        <v>0</v>
      </c>
      <c r="AA1819" s="1144">
        <f t="shared" si="512"/>
        <v>0</v>
      </c>
      <c r="AB1819" s="1144">
        <f t="shared" si="513"/>
        <v>0</v>
      </c>
      <c r="AC1819" s="1144">
        <f t="shared" si="514"/>
        <v>0</v>
      </c>
      <c r="AD1819" s="1148">
        <f t="shared" si="506"/>
        <v>0</v>
      </c>
      <c r="AE1819" s="1487">
        <v>0</v>
      </c>
      <c r="AF1819" s="1145">
        <f t="shared" si="515"/>
        <v>0</v>
      </c>
      <c r="AG1819" s="1149">
        <f>IFERROR(VLOOKUP(CONCATENATE($L1819,$N1819),'Drop List'!$G$23:$K$87,2,FALSE),0)</f>
        <v>0</v>
      </c>
      <c r="AH1819" s="1150">
        <f>IFERROR(VLOOKUP(CONCATENATE($L1819,$N1819),'Drop List'!$G$23:$K$87,3,FALSE),0)</f>
        <v>0</v>
      </c>
      <c r="AI1819" s="1150">
        <f>IFERROR(VLOOKUP(CONCATENATE($L1819,$N1819),'Drop List'!$G$23:$K$87,4,FALSE),0)</f>
        <v>0</v>
      </c>
      <c r="AJ1819" s="1151">
        <f>IFERROR(VLOOKUP(CONCATENATE($L1819,$N1819),'Drop List'!$G$23:$K$87,5,FALSE),0)</f>
        <v>0</v>
      </c>
      <c r="AK1819" s="1152">
        <f t="shared" si="516"/>
        <v>0</v>
      </c>
      <c r="AL1819" s="1153">
        <f t="shared" si="517"/>
        <v>0</v>
      </c>
      <c r="AM1819" s="1153">
        <f t="shared" si="518"/>
        <v>0</v>
      </c>
      <c r="AN1819" s="1145">
        <f t="shared" si="519"/>
        <v>0</v>
      </c>
      <c r="AO1819" s="1154">
        <f t="shared" si="504"/>
        <v>0</v>
      </c>
      <c r="AP1819" s="1147">
        <f t="shared" si="507"/>
        <v>0</v>
      </c>
      <c r="AQ1819" s="1144">
        <f t="shared" si="508"/>
        <v>0</v>
      </c>
      <c r="AR1819" s="1146">
        <f t="shared" si="509"/>
        <v>0</v>
      </c>
    </row>
    <row r="1820" spans="1:44" x14ac:dyDescent="0.2">
      <c r="A1820" s="1141" t="str">
        <f t="shared" si="521"/>
        <v/>
      </c>
      <c r="B1820" s="1141" t="str">
        <f>IFERROR(VLOOKUP(A1820,'LAC 103'!A:C,3,FALSE),"")</f>
        <v/>
      </c>
      <c r="C1820" s="1478" t="str">
        <f>Info!$B$8</f>
        <v>00100</v>
      </c>
      <c r="D1820" s="1474"/>
      <c r="E1820" s="1474"/>
      <c r="F1820" s="1478"/>
      <c r="G1820" s="1478"/>
      <c r="H1820" s="1474"/>
      <c r="I1820" s="1478"/>
      <c r="J1820" s="1478"/>
      <c r="K1820" s="1475"/>
      <c r="L1820" s="1474"/>
      <c r="M1820" s="1476"/>
      <c r="N1820" s="1477"/>
      <c r="O1820" s="1479"/>
      <c r="P1820" s="1479"/>
      <c r="Q1820" s="1142">
        <f t="shared" si="505"/>
        <v>0</v>
      </c>
      <c r="R1820" s="1143">
        <f>IFERROR(VLOOKUP(CONCATENATE($E1820,$G1820),'LAC 103'!$A$12:$O$95,11,FALSE),0)</f>
        <v>0</v>
      </c>
      <c r="S1820" s="1144">
        <f>IFERROR(VLOOKUP(CONCATENATE($E1820,$G1820),'LAC 103'!$A$12:$O$95,12,FALSE),0)</f>
        <v>0</v>
      </c>
      <c r="T1820" s="1144">
        <f>IFERROR(VLOOKUP(CONCATENATE($E1820,$G1820),'LAC 103'!$A$12:$O$95,13,FALSE),0)</f>
        <v>0</v>
      </c>
      <c r="U1820" s="1144">
        <f>IFERROR(VLOOKUP(CONCATENATE($E1820,$G1820),'LAC 103'!$A$12:$O$95,14,FALSE),0)</f>
        <v>0</v>
      </c>
      <c r="V1820" s="1144">
        <f>IFERROR(VLOOKUP(CONCATENATE($E1820,$G1820),'LAC 103'!$A$12:$O$95,15,FALSE),0)</f>
        <v>0</v>
      </c>
      <c r="W1820" s="1145" t="str">
        <f>IFERROR(VLOOKUP(CONCATENATE($B1820,$N1820),'LAC 103'!$AI:$AQ,9,FALSE),"")</f>
        <v/>
      </c>
      <c r="X1820" s="1146">
        <f t="shared" si="510"/>
        <v>0</v>
      </c>
      <c r="Y1820" s="1143">
        <f t="shared" si="520"/>
        <v>0</v>
      </c>
      <c r="Z1820" s="1147">
        <f t="shared" si="511"/>
        <v>0</v>
      </c>
      <c r="AA1820" s="1144">
        <f t="shared" si="512"/>
        <v>0</v>
      </c>
      <c r="AB1820" s="1144">
        <f t="shared" si="513"/>
        <v>0</v>
      </c>
      <c r="AC1820" s="1144">
        <f t="shared" si="514"/>
        <v>0</v>
      </c>
      <c r="AD1820" s="1148">
        <f t="shared" si="506"/>
        <v>0</v>
      </c>
      <c r="AE1820" s="1487">
        <v>0</v>
      </c>
      <c r="AF1820" s="1145">
        <f t="shared" si="515"/>
        <v>0</v>
      </c>
      <c r="AG1820" s="1149">
        <f>IFERROR(VLOOKUP(CONCATENATE($L1820,$N1820),'Drop List'!$G$23:$K$87,2,FALSE),0)</f>
        <v>0</v>
      </c>
      <c r="AH1820" s="1150">
        <f>IFERROR(VLOOKUP(CONCATENATE($L1820,$N1820),'Drop List'!$G$23:$K$87,3,FALSE),0)</f>
        <v>0</v>
      </c>
      <c r="AI1820" s="1150">
        <f>IFERROR(VLOOKUP(CONCATENATE($L1820,$N1820),'Drop List'!$G$23:$K$87,4,FALSE),0)</f>
        <v>0</v>
      </c>
      <c r="AJ1820" s="1151">
        <f>IFERROR(VLOOKUP(CONCATENATE($L1820,$N1820),'Drop List'!$G$23:$K$87,5,FALSE),0)</f>
        <v>0</v>
      </c>
      <c r="AK1820" s="1152">
        <f t="shared" si="516"/>
        <v>0</v>
      </c>
      <c r="AL1820" s="1153">
        <f t="shared" si="517"/>
        <v>0</v>
      </c>
      <c r="AM1820" s="1153">
        <f t="shared" si="518"/>
        <v>0</v>
      </c>
      <c r="AN1820" s="1145">
        <f t="shared" si="519"/>
        <v>0</v>
      </c>
      <c r="AO1820" s="1154">
        <f t="shared" si="504"/>
        <v>0</v>
      </c>
      <c r="AP1820" s="1147">
        <f t="shared" si="507"/>
        <v>0</v>
      </c>
      <c r="AQ1820" s="1144">
        <f t="shared" si="508"/>
        <v>0</v>
      </c>
      <c r="AR1820" s="1146">
        <f t="shared" si="509"/>
        <v>0</v>
      </c>
    </row>
    <row r="1821" spans="1:44" x14ac:dyDescent="0.2">
      <c r="A1821" s="1141" t="str">
        <f t="shared" si="521"/>
        <v/>
      </c>
      <c r="B1821" s="1141" t="str">
        <f>IFERROR(VLOOKUP(A1821,'LAC 103'!A:C,3,FALSE),"")</f>
        <v/>
      </c>
      <c r="C1821" s="1478" t="str">
        <f>Info!$B$8</f>
        <v>00100</v>
      </c>
      <c r="D1821" s="1474"/>
      <c r="E1821" s="1474"/>
      <c r="F1821" s="1478"/>
      <c r="G1821" s="1478"/>
      <c r="H1821" s="1474"/>
      <c r="I1821" s="1478"/>
      <c r="J1821" s="1478"/>
      <c r="K1821" s="1475"/>
      <c r="L1821" s="1474"/>
      <c r="M1821" s="1476"/>
      <c r="N1821" s="1477"/>
      <c r="O1821" s="1479"/>
      <c r="P1821" s="1479"/>
      <c r="Q1821" s="1142">
        <f t="shared" si="505"/>
        <v>0</v>
      </c>
      <c r="R1821" s="1143">
        <f>IFERROR(VLOOKUP(CONCATENATE($E1821,$G1821),'LAC 103'!$A$12:$O$95,11,FALSE),0)</f>
        <v>0</v>
      </c>
      <c r="S1821" s="1144">
        <f>IFERROR(VLOOKUP(CONCATENATE($E1821,$G1821),'LAC 103'!$A$12:$O$95,12,FALSE),0)</f>
        <v>0</v>
      </c>
      <c r="T1821" s="1144">
        <f>IFERROR(VLOOKUP(CONCATENATE($E1821,$G1821),'LAC 103'!$A$12:$O$95,13,FALSE),0)</f>
        <v>0</v>
      </c>
      <c r="U1821" s="1144">
        <f>IFERROR(VLOOKUP(CONCATENATE($E1821,$G1821),'LAC 103'!$A$12:$O$95,14,FALSE),0)</f>
        <v>0</v>
      </c>
      <c r="V1821" s="1144">
        <f>IFERROR(VLOOKUP(CONCATENATE($E1821,$G1821),'LAC 103'!$A$12:$O$95,15,FALSE),0)</f>
        <v>0</v>
      </c>
      <c r="W1821" s="1145" t="str">
        <f>IFERROR(VLOOKUP(CONCATENATE($B1821,$N1821),'LAC 103'!$AI:$AQ,9,FALSE),"")</f>
        <v/>
      </c>
      <c r="X1821" s="1146">
        <f t="shared" si="510"/>
        <v>0</v>
      </c>
      <c r="Y1821" s="1143">
        <f t="shared" si="520"/>
        <v>0</v>
      </c>
      <c r="Z1821" s="1147">
        <f t="shared" si="511"/>
        <v>0</v>
      </c>
      <c r="AA1821" s="1144">
        <f t="shared" si="512"/>
        <v>0</v>
      </c>
      <c r="AB1821" s="1144">
        <f t="shared" si="513"/>
        <v>0</v>
      </c>
      <c r="AC1821" s="1144">
        <f t="shared" si="514"/>
        <v>0</v>
      </c>
      <c r="AD1821" s="1148">
        <f t="shared" si="506"/>
        <v>0</v>
      </c>
      <c r="AE1821" s="1487">
        <v>0</v>
      </c>
      <c r="AF1821" s="1145">
        <f t="shared" si="515"/>
        <v>0</v>
      </c>
      <c r="AG1821" s="1149">
        <f>IFERROR(VLOOKUP(CONCATENATE($L1821,$N1821),'Drop List'!$G$23:$K$87,2,FALSE),0)</f>
        <v>0</v>
      </c>
      <c r="AH1821" s="1150">
        <f>IFERROR(VLOOKUP(CONCATENATE($L1821,$N1821),'Drop List'!$G$23:$K$87,3,FALSE),0)</f>
        <v>0</v>
      </c>
      <c r="AI1821" s="1150">
        <f>IFERROR(VLOOKUP(CONCATENATE($L1821,$N1821),'Drop List'!$G$23:$K$87,4,FALSE),0)</f>
        <v>0</v>
      </c>
      <c r="AJ1821" s="1151">
        <f>IFERROR(VLOOKUP(CONCATENATE($L1821,$N1821),'Drop List'!$G$23:$K$87,5,FALSE),0)</f>
        <v>0</v>
      </c>
      <c r="AK1821" s="1152">
        <f t="shared" si="516"/>
        <v>0</v>
      </c>
      <c r="AL1821" s="1153">
        <f t="shared" si="517"/>
        <v>0</v>
      </c>
      <c r="AM1821" s="1153">
        <f t="shared" si="518"/>
        <v>0</v>
      </c>
      <c r="AN1821" s="1145">
        <f t="shared" si="519"/>
        <v>0</v>
      </c>
      <c r="AO1821" s="1154">
        <f t="shared" si="504"/>
        <v>0</v>
      </c>
      <c r="AP1821" s="1147">
        <f t="shared" si="507"/>
        <v>0</v>
      </c>
      <c r="AQ1821" s="1144">
        <f t="shared" si="508"/>
        <v>0</v>
      </c>
      <c r="AR1821" s="1146">
        <f t="shared" si="509"/>
        <v>0</v>
      </c>
    </row>
    <row r="1822" spans="1:44" x14ac:dyDescent="0.2">
      <c r="A1822" s="1141" t="str">
        <f t="shared" si="521"/>
        <v/>
      </c>
      <c r="B1822" s="1141" t="str">
        <f>IFERROR(VLOOKUP(A1822,'LAC 103'!A:C,3,FALSE),"")</f>
        <v/>
      </c>
      <c r="C1822" s="1478" t="str">
        <f>Info!$B$8</f>
        <v>00100</v>
      </c>
      <c r="D1822" s="1474"/>
      <c r="E1822" s="1474"/>
      <c r="F1822" s="1478"/>
      <c r="G1822" s="1478"/>
      <c r="H1822" s="1474"/>
      <c r="I1822" s="1478"/>
      <c r="J1822" s="1478"/>
      <c r="K1822" s="1475"/>
      <c r="L1822" s="1474"/>
      <c r="M1822" s="1476"/>
      <c r="N1822" s="1477"/>
      <c r="O1822" s="1479"/>
      <c r="P1822" s="1479"/>
      <c r="Q1822" s="1142">
        <f t="shared" si="505"/>
        <v>0</v>
      </c>
      <c r="R1822" s="1143">
        <f>IFERROR(VLOOKUP(CONCATENATE($E1822,$G1822),'LAC 103'!$A$12:$O$95,11,FALSE),0)</f>
        <v>0</v>
      </c>
      <c r="S1822" s="1144">
        <f>IFERROR(VLOOKUP(CONCATENATE($E1822,$G1822),'LAC 103'!$A$12:$O$95,12,FALSE),0)</f>
        <v>0</v>
      </c>
      <c r="T1822" s="1144">
        <f>IFERROR(VLOOKUP(CONCATENATE($E1822,$G1822),'LAC 103'!$A$12:$O$95,13,FALSE),0)</f>
        <v>0</v>
      </c>
      <c r="U1822" s="1144">
        <f>IFERROR(VLOOKUP(CONCATENATE($E1822,$G1822),'LAC 103'!$A$12:$O$95,14,FALSE),0)</f>
        <v>0</v>
      </c>
      <c r="V1822" s="1144">
        <f>IFERROR(VLOOKUP(CONCATENATE($E1822,$G1822),'LAC 103'!$A$12:$O$95,15,FALSE),0)</f>
        <v>0</v>
      </c>
      <c r="W1822" s="1145" t="str">
        <f>IFERROR(VLOOKUP(CONCATENATE($B1822,$N1822),'LAC 103'!$AI:$AQ,9,FALSE),"")</f>
        <v/>
      </c>
      <c r="X1822" s="1146">
        <f t="shared" si="510"/>
        <v>0</v>
      </c>
      <c r="Y1822" s="1143">
        <f t="shared" si="520"/>
        <v>0</v>
      </c>
      <c r="Z1822" s="1147">
        <f t="shared" si="511"/>
        <v>0</v>
      </c>
      <c r="AA1822" s="1144">
        <f t="shared" si="512"/>
        <v>0</v>
      </c>
      <c r="AB1822" s="1144">
        <f t="shared" si="513"/>
        <v>0</v>
      </c>
      <c r="AC1822" s="1144">
        <f t="shared" si="514"/>
        <v>0</v>
      </c>
      <c r="AD1822" s="1148">
        <f t="shared" si="506"/>
        <v>0</v>
      </c>
      <c r="AE1822" s="1487">
        <v>0</v>
      </c>
      <c r="AF1822" s="1145">
        <f t="shared" si="515"/>
        <v>0</v>
      </c>
      <c r="AG1822" s="1149">
        <f>IFERROR(VLOOKUP(CONCATENATE($L1822,$N1822),'Drop List'!$G$23:$K$87,2,FALSE),0)</f>
        <v>0</v>
      </c>
      <c r="AH1822" s="1150">
        <f>IFERROR(VLOOKUP(CONCATENATE($L1822,$N1822),'Drop List'!$G$23:$K$87,3,FALSE),0)</f>
        <v>0</v>
      </c>
      <c r="AI1822" s="1150">
        <f>IFERROR(VLOOKUP(CONCATENATE($L1822,$N1822),'Drop List'!$G$23:$K$87,4,FALSE),0)</f>
        <v>0</v>
      </c>
      <c r="AJ1822" s="1151">
        <f>IFERROR(VLOOKUP(CONCATENATE($L1822,$N1822),'Drop List'!$G$23:$K$87,5,FALSE),0)</f>
        <v>0</v>
      </c>
      <c r="AK1822" s="1152">
        <f t="shared" si="516"/>
        <v>0</v>
      </c>
      <c r="AL1822" s="1153">
        <f t="shared" si="517"/>
        <v>0</v>
      </c>
      <c r="AM1822" s="1153">
        <f t="shared" si="518"/>
        <v>0</v>
      </c>
      <c r="AN1822" s="1145">
        <f t="shared" si="519"/>
        <v>0</v>
      </c>
      <c r="AO1822" s="1154">
        <f t="shared" ref="AO1822:AO1885" si="522">SUM(AK1822:AN1822)</f>
        <v>0</v>
      </c>
      <c r="AP1822" s="1147">
        <f t="shared" si="507"/>
        <v>0</v>
      </c>
      <c r="AQ1822" s="1144">
        <f t="shared" si="508"/>
        <v>0</v>
      </c>
      <c r="AR1822" s="1146">
        <f t="shared" si="509"/>
        <v>0</v>
      </c>
    </row>
    <row r="1823" spans="1:44" x14ac:dyDescent="0.2">
      <c r="A1823" s="1141" t="str">
        <f t="shared" si="521"/>
        <v/>
      </c>
      <c r="B1823" s="1141" t="str">
        <f>IFERROR(VLOOKUP(A1823,'LAC 103'!A:C,3,FALSE),"")</f>
        <v/>
      </c>
      <c r="C1823" s="1478" t="str">
        <f>Info!$B$8</f>
        <v>00100</v>
      </c>
      <c r="D1823" s="1474"/>
      <c r="E1823" s="1474"/>
      <c r="F1823" s="1478"/>
      <c r="G1823" s="1478"/>
      <c r="H1823" s="1474"/>
      <c r="I1823" s="1478"/>
      <c r="J1823" s="1478"/>
      <c r="K1823" s="1475"/>
      <c r="L1823" s="1474"/>
      <c r="M1823" s="1476"/>
      <c r="N1823" s="1477"/>
      <c r="O1823" s="1479"/>
      <c r="P1823" s="1479"/>
      <c r="Q1823" s="1142">
        <f t="shared" si="505"/>
        <v>0</v>
      </c>
      <c r="R1823" s="1143">
        <f>IFERROR(VLOOKUP(CONCATENATE($E1823,$G1823),'LAC 103'!$A$12:$O$95,11,FALSE),0)</f>
        <v>0</v>
      </c>
      <c r="S1823" s="1144">
        <f>IFERROR(VLOOKUP(CONCATENATE($E1823,$G1823),'LAC 103'!$A$12:$O$95,12,FALSE),0)</f>
        <v>0</v>
      </c>
      <c r="T1823" s="1144">
        <f>IFERROR(VLOOKUP(CONCATENATE($E1823,$G1823),'LAC 103'!$A$12:$O$95,13,FALSE),0)</f>
        <v>0</v>
      </c>
      <c r="U1823" s="1144">
        <f>IFERROR(VLOOKUP(CONCATENATE($E1823,$G1823),'LAC 103'!$A$12:$O$95,14,FALSE),0)</f>
        <v>0</v>
      </c>
      <c r="V1823" s="1144">
        <f>IFERROR(VLOOKUP(CONCATENATE($E1823,$G1823),'LAC 103'!$A$12:$O$95,15,FALSE),0)</f>
        <v>0</v>
      </c>
      <c r="W1823" s="1145" t="str">
        <f>IFERROR(VLOOKUP(CONCATENATE($B1823,$N1823),'LAC 103'!$AI:$AQ,9,FALSE),"")</f>
        <v/>
      </c>
      <c r="X1823" s="1146">
        <f t="shared" si="510"/>
        <v>0</v>
      </c>
      <c r="Y1823" s="1143">
        <f t="shared" si="520"/>
        <v>0</v>
      </c>
      <c r="Z1823" s="1147">
        <f t="shared" si="511"/>
        <v>0</v>
      </c>
      <c r="AA1823" s="1144">
        <f t="shared" si="512"/>
        <v>0</v>
      </c>
      <c r="AB1823" s="1144">
        <f t="shared" si="513"/>
        <v>0</v>
      </c>
      <c r="AC1823" s="1144">
        <f t="shared" si="514"/>
        <v>0</v>
      </c>
      <c r="AD1823" s="1148">
        <f t="shared" si="506"/>
        <v>0</v>
      </c>
      <c r="AE1823" s="1487">
        <v>0</v>
      </c>
      <c r="AF1823" s="1145">
        <f t="shared" si="515"/>
        <v>0</v>
      </c>
      <c r="AG1823" s="1149">
        <f>IFERROR(VLOOKUP(CONCATENATE($L1823,$N1823),'Drop List'!$G$23:$K$87,2,FALSE),0)</f>
        <v>0</v>
      </c>
      <c r="AH1823" s="1150">
        <f>IFERROR(VLOOKUP(CONCATENATE($L1823,$N1823),'Drop List'!$G$23:$K$87,3,FALSE),0)</f>
        <v>0</v>
      </c>
      <c r="AI1823" s="1150">
        <f>IFERROR(VLOOKUP(CONCATENATE($L1823,$N1823),'Drop List'!$G$23:$K$87,4,FALSE),0)</f>
        <v>0</v>
      </c>
      <c r="AJ1823" s="1151">
        <f>IFERROR(VLOOKUP(CONCATENATE($L1823,$N1823),'Drop List'!$G$23:$K$87,5,FALSE),0)</f>
        <v>0</v>
      </c>
      <c r="AK1823" s="1152">
        <f t="shared" si="516"/>
        <v>0</v>
      </c>
      <c r="AL1823" s="1153">
        <f t="shared" si="517"/>
        <v>0</v>
      </c>
      <c r="AM1823" s="1153">
        <f t="shared" si="518"/>
        <v>0</v>
      </c>
      <c r="AN1823" s="1145">
        <f t="shared" si="519"/>
        <v>0</v>
      </c>
      <c r="AO1823" s="1154">
        <f t="shared" si="522"/>
        <v>0</v>
      </c>
      <c r="AP1823" s="1147">
        <f t="shared" si="507"/>
        <v>0</v>
      </c>
      <c r="AQ1823" s="1144">
        <f t="shared" si="508"/>
        <v>0</v>
      </c>
      <c r="AR1823" s="1146">
        <f t="shared" si="509"/>
        <v>0</v>
      </c>
    </row>
    <row r="1824" spans="1:44" x14ac:dyDescent="0.2">
      <c r="A1824" s="1141" t="str">
        <f t="shared" si="521"/>
        <v/>
      </c>
      <c r="B1824" s="1141" t="str">
        <f>IFERROR(VLOOKUP(A1824,'LAC 103'!A:C,3,FALSE),"")</f>
        <v/>
      </c>
      <c r="C1824" s="1478" t="str">
        <f>Info!$B$8</f>
        <v>00100</v>
      </c>
      <c r="D1824" s="1474"/>
      <c r="E1824" s="1474"/>
      <c r="F1824" s="1478"/>
      <c r="G1824" s="1478"/>
      <c r="H1824" s="1474"/>
      <c r="I1824" s="1478"/>
      <c r="J1824" s="1478"/>
      <c r="K1824" s="1475"/>
      <c r="L1824" s="1474"/>
      <c r="M1824" s="1476"/>
      <c r="N1824" s="1477"/>
      <c r="O1824" s="1479"/>
      <c r="P1824" s="1479"/>
      <c r="Q1824" s="1142">
        <f t="shared" si="505"/>
        <v>0</v>
      </c>
      <c r="R1824" s="1143">
        <f>IFERROR(VLOOKUP(CONCATENATE($E1824,$G1824),'LAC 103'!$A$12:$O$95,11,FALSE),0)</f>
        <v>0</v>
      </c>
      <c r="S1824" s="1144">
        <f>IFERROR(VLOOKUP(CONCATENATE($E1824,$G1824),'LAC 103'!$A$12:$O$95,12,FALSE),0)</f>
        <v>0</v>
      </c>
      <c r="T1824" s="1144">
        <f>IFERROR(VLOOKUP(CONCATENATE($E1824,$G1824),'LAC 103'!$A$12:$O$95,13,FALSE),0)</f>
        <v>0</v>
      </c>
      <c r="U1824" s="1144">
        <f>IFERROR(VLOOKUP(CONCATENATE($E1824,$G1824),'LAC 103'!$A$12:$O$95,14,FALSE),0)</f>
        <v>0</v>
      </c>
      <c r="V1824" s="1144">
        <f>IFERROR(VLOOKUP(CONCATENATE($E1824,$G1824),'LAC 103'!$A$12:$O$95,15,FALSE),0)</f>
        <v>0</v>
      </c>
      <c r="W1824" s="1145" t="str">
        <f>IFERROR(VLOOKUP(CONCATENATE($B1824,$N1824),'LAC 103'!$AI:$AQ,9,FALSE),"")</f>
        <v/>
      </c>
      <c r="X1824" s="1146">
        <f t="shared" si="510"/>
        <v>0</v>
      </c>
      <c r="Y1824" s="1143">
        <f t="shared" si="520"/>
        <v>0</v>
      </c>
      <c r="Z1824" s="1147">
        <f t="shared" si="511"/>
        <v>0</v>
      </c>
      <c r="AA1824" s="1144">
        <f t="shared" si="512"/>
        <v>0</v>
      </c>
      <c r="AB1824" s="1144">
        <f t="shared" si="513"/>
        <v>0</v>
      </c>
      <c r="AC1824" s="1144">
        <f t="shared" si="514"/>
        <v>0</v>
      </c>
      <c r="AD1824" s="1148">
        <f t="shared" si="506"/>
        <v>0</v>
      </c>
      <c r="AE1824" s="1487">
        <v>0</v>
      </c>
      <c r="AF1824" s="1145">
        <f t="shared" si="515"/>
        <v>0</v>
      </c>
      <c r="AG1824" s="1149">
        <f>IFERROR(VLOOKUP(CONCATENATE($L1824,$N1824),'Drop List'!$G$23:$K$87,2,FALSE),0)</f>
        <v>0</v>
      </c>
      <c r="AH1824" s="1150">
        <f>IFERROR(VLOOKUP(CONCATENATE($L1824,$N1824),'Drop List'!$G$23:$K$87,3,FALSE),0)</f>
        <v>0</v>
      </c>
      <c r="AI1824" s="1150">
        <f>IFERROR(VLOOKUP(CONCATENATE($L1824,$N1824),'Drop List'!$G$23:$K$87,4,FALSE),0)</f>
        <v>0</v>
      </c>
      <c r="AJ1824" s="1151">
        <f>IFERROR(VLOOKUP(CONCATENATE($L1824,$N1824),'Drop List'!$G$23:$K$87,5,FALSE),0)</f>
        <v>0</v>
      </c>
      <c r="AK1824" s="1152">
        <f t="shared" si="516"/>
        <v>0</v>
      </c>
      <c r="AL1824" s="1153">
        <f t="shared" si="517"/>
        <v>0</v>
      </c>
      <c r="AM1824" s="1153">
        <f t="shared" si="518"/>
        <v>0</v>
      </c>
      <c r="AN1824" s="1145">
        <f t="shared" si="519"/>
        <v>0</v>
      </c>
      <c r="AO1824" s="1154">
        <f t="shared" si="522"/>
        <v>0</v>
      </c>
      <c r="AP1824" s="1147">
        <f t="shared" si="507"/>
        <v>0</v>
      </c>
      <c r="AQ1824" s="1144">
        <f t="shared" si="508"/>
        <v>0</v>
      </c>
      <c r="AR1824" s="1146">
        <f t="shared" si="509"/>
        <v>0</v>
      </c>
    </row>
    <row r="1825" spans="1:44" x14ac:dyDescent="0.2">
      <c r="A1825" s="1141" t="str">
        <f t="shared" si="521"/>
        <v/>
      </c>
      <c r="B1825" s="1141" t="str">
        <f>IFERROR(VLOOKUP(A1825,'LAC 103'!A:C,3,FALSE),"")</f>
        <v/>
      </c>
      <c r="C1825" s="1478" t="str">
        <f>Info!$B$8</f>
        <v>00100</v>
      </c>
      <c r="D1825" s="1474"/>
      <c r="E1825" s="1474"/>
      <c r="F1825" s="1478"/>
      <c r="G1825" s="1478"/>
      <c r="H1825" s="1474"/>
      <c r="I1825" s="1478"/>
      <c r="J1825" s="1478"/>
      <c r="K1825" s="1475"/>
      <c r="L1825" s="1474"/>
      <c r="M1825" s="1476"/>
      <c r="N1825" s="1477"/>
      <c r="O1825" s="1479"/>
      <c r="P1825" s="1479"/>
      <c r="Q1825" s="1142">
        <f t="shared" si="505"/>
        <v>0</v>
      </c>
      <c r="R1825" s="1143">
        <f>IFERROR(VLOOKUP(CONCATENATE($E1825,$G1825),'LAC 103'!$A$12:$O$95,11,FALSE),0)</f>
        <v>0</v>
      </c>
      <c r="S1825" s="1144">
        <f>IFERROR(VLOOKUP(CONCATENATE($E1825,$G1825),'LAC 103'!$A$12:$O$95,12,FALSE),0)</f>
        <v>0</v>
      </c>
      <c r="T1825" s="1144">
        <f>IFERROR(VLOOKUP(CONCATENATE($E1825,$G1825),'LAC 103'!$A$12:$O$95,13,FALSE),0)</f>
        <v>0</v>
      </c>
      <c r="U1825" s="1144">
        <f>IFERROR(VLOOKUP(CONCATENATE($E1825,$G1825),'LAC 103'!$A$12:$O$95,14,FALSE),0)</f>
        <v>0</v>
      </c>
      <c r="V1825" s="1144">
        <f>IFERROR(VLOOKUP(CONCATENATE($E1825,$G1825),'LAC 103'!$A$12:$O$95,15,FALSE),0)</f>
        <v>0</v>
      </c>
      <c r="W1825" s="1145" t="str">
        <f>IFERROR(VLOOKUP(CONCATENATE($B1825,$N1825),'LAC 103'!$AI:$AQ,9,FALSE),"")</f>
        <v/>
      </c>
      <c r="X1825" s="1146">
        <f t="shared" si="510"/>
        <v>0</v>
      </c>
      <c r="Y1825" s="1143">
        <f t="shared" si="520"/>
        <v>0</v>
      </c>
      <c r="Z1825" s="1147">
        <f t="shared" si="511"/>
        <v>0</v>
      </c>
      <c r="AA1825" s="1144">
        <f t="shared" si="512"/>
        <v>0</v>
      </c>
      <c r="AB1825" s="1144">
        <f t="shared" si="513"/>
        <v>0</v>
      </c>
      <c r="AC1825" s="1144">
        <f t="shared" si="514"/>
        <v>0</v>
      </c>
      <c r="AD1825" s="1148">
        <f t="shared" si="506"/>
        <v>0</v>
      </c>
      <c r="AE1825" s="1487">
        <v>0</v>
      </c>
      <c r="AF1825" s="1145">
        <f t="shared" si="515"/>
        <v>0</v>
      </c>
      <c r="AG1825" s="1149">
        <f>IFERROR(VLOOKUP(CONCATENATE($L1825,$N1825),'Drop List'!$G$23:$K$87,2,FALSE),0)</f>
        <v>0</v>
      </c>
      <c r="AH1825" s="1150">
        <f>IFERROR(VLOOKUP(CONCATENATE($L1825,$N1825),'Drop List'!$G$23:$K$87,3,FALSE),0)</f>
        <v>0</v>
      </c>
      <c r="AI1825" s="1150">
        <f>IFERROR(VLOOKUP(CONCATENATE($L1825,$N1825),'Drop List'!$G$23:$K$87,4,FALSE),0)</f>
        <v>0</v>
      </c>
      <c r="AJ1825" s="1151">
        <f>IFERROR(VLOOKUP(CONCATENATE($L1825,$N1825),'Drop List'!$G$23:$K$87,5,FALSE),0)</f>
        <v>0</v>
      </c>
      <c r="AK1825" s="1152">
        <f t="shared" si="516"/>
        <v>0</v>
      </c>
      <c r="AL1825" s="1153">
        <f t="shared" si="517"/>
        <v>0</v>
      </c>
      <c r="AM1825" s="1153">
        <f t="shared" si="518"/>
        <v>0</v>
      </c>
      <c r="AN1825" s="1145">
        <f t="shared" si="519"/>
        <v>0</v>
      </c>
      <c r="AO1825" s="1154">
        <f t="shared" si="522"/>
        <v>0</v>
      </c>
      <c r="AP1825" s="1147">
        <f t="shared" si="507"/>
        <v>0</v>
      </c>
      <c r="AQ1825" s="1144">
        <f t="shared" si="508"/>
        <v>0</v>
      </c>
      <c r="AR1825" s="1146">
        <f t="shared" si="509"/>
        <v>0</v>
      </c>
    </row>
    <row r="1826" spans="1:44" x14ac:dyDescent="0.2">
      <c r="A1826" s="1141" t="str">
        <f t="shared" si="521"/>
        <v/>
      </c>
      <c r="B1826" s="1141" t="str">
        <f>IFERROR(VLOOKUP(A1826,'LAC 103'!A:C,3,FALSE),"")</f>
        <v/>
      </c>
      <c r="C1826" s="1478" t="str">
        <f>Info!$B$8</f>
        <v>00100</v>
      </c>
      <c r="D1826" s="1474"/>
      <c r="E1826" s="1474"/>
      <c r="F1826" s="1478"/>
      <c r="G1826" s="1478"/>
      <c r="H1826" s="1474"/>
      <c r="I1826" s="1478"/>
      <c r="J1826" s="1478"/>
      <c r="K1826" s="1475"/>
      <c r="L1826" s="1474"/>
      <c r="M1826" s="1476"/>
      <c r="N1826" s="1477"/>
      <c r="O1826" s="1479"/>
      <c r="P1826" s="1479"/>
      <c r="Q1826" s="1142">
        <f t="shared" si="505"/>
        <v>0</v>
      </c>
      <c r="R1826" s="1143">
        <f>IFERROR(VLOOKUP(CONCATENATE($E1826,$G1826),'LAC 103'!$A$12:$O$95,11,FALSE),0)</f>
        <v>0</v>
      </c>
      <c r="S1826" s="1144">
        <f>IFERROR(VLOOKUP(CONCATENATE($E1826,$G1826),'LAC 103'!$A$12:$O$95,12,FALSE),0)</f>
        <v>0</v>
      </c>
      <c r="T1826" s="1144">
        <f>IFERROR(VLOOKUP(CONCATENATE($E1826,$G1826),'LAC 103'!$A$12:$O$95,13,FALSE),0)</f>
        <v>0</v>
      </c>
      <c r="U1826" s="1144">
        <f>IFERROR(VLOOKUP(CONCATENATE($E1826,$G1826),'LAC 103'!$A$12:$O$95,14,FALSE),0)</f>
        <v>0</v>
      </c>
      <c r="V1826" s="1144">
        <f>IFERROR(VLOOKUP(CONCATENATE($E1826,$G1826),'LAC 103'!$A$12:$O$95,15,FALSE),0)</f>
        <v>0</v>
      </c>
      <c r="W1826" s="1145" t="str">
        <f>IFERROR(VLOOKUP(CONCATENATE($B1826,$N1826),'LAC 103'!$AI:$AQ,9,FALSE),"")</f>
        <v/>
      </c>
      <c r="X1826" s="1146">
        <f t="shared" si="510"/>
        <v>0</v>
      </c>
      <c r="Y1826" s="1143">
        <f t="shared" si="520"/>
        <v>0</v>
      </c>
      <c r="Z1826" s="1147">
        <f t="shared" si="511"/>
        <v>0</v>
      </c>
      <c r="AA1826" s="1144">
        <f t="shared" si="512"/>
        <v>0</v>
      </c>
      <c r="AB1826" s="1144">
        <f t="shared" si="513"/>
        <v>0</v>
      </c>
      <c r="AC1826" s="1144">
        <f t="shared" si="514"/>
        <v>0</v>
      </c>
      <c r="AD1826" s="1148">
        <f t="shared" si="506"/>
        <v>0</v>
      </c>
      <c r="AE1826" s="1487">
        <v>0</v>
      </c>
      <c r="AF1826" s="1145">
        <f t="shared" si="515"/>
        <v>0</v>
      </c>
      <c r="AG1826" s="1149">
        <f>IFERROR(VLOOKUP(CONCATENATE($L1826,$N1826),'Drop List'!$G$23:$K$87,2,FALSE),0)</f>
        <v>0</v>
      </c>
      <c r="AH1826" s="1150">
        <f>IFERROR(VLOOKUP(CONCATENATE($L1826,$N1826),'Drop List'!$G$23:$K$87,3,FALSE),0)</f>
        <v>0</v>
      </c>
      <c r="AI1826" s="1150">
        <f>IFERROR(VLOOKUP(CONCATENATE($L1826,$N1826),'Drop List'!$G$23:$K$87,4,FALSE),0)</f>
        <v>0</v>
      </c>
      <c r="AJ1826" s="1151">
        <f>IFERROR(VLOOKUP(CONCATENATE($L1826,$N1826),'Drop List'!$G$23:$K$87,5,FALSE),0)</f>
        <v>0</v>
      </c>
      <c r="AK1826" s="1152">
        <f t="shared" si="516"/>
        <v>0</v>
      </c>
      <c r="AL1826" s="1153">
        <f t="shared" si="517"/>
        <v>0</v>
      </c>
      <c r="AM1826" s="1153">
        <f t="shared" si="518"/>
        <v>0</v>
      </c>
      <c r="AN1826" s="1145">
        <f t="shared" si="519"/>
        <v>0</v>
      </c>
      <c r="AO1826" s="1154">
        <f t="shared" si="522"/>
        <v>0</v>
      </c>
      <c r="AP1826" s="1147">
        <f t="shared" si="507"/>
        <v>0</v>
      </c>
      <c r="AQ1826" s="1144">
        <f t="shared" si="508"/>
        <v>0</v>
      </c>
      <c r="AR1826" s="1146">
        <f t="shared" si="509"/>
        <v>0</v>
      </c>
    </row>
    <row r="1827" spans="1:44" x14ac:dyDescent="0.2">
      <c r="A1827" s="1141" t="str">
        <f t="shared" si="521"/>
        <v/>
      </c>
      <c r="B1827" s="1141" t="str">
        <f>IFERROR(VLOOKUP(A1827,'LAC 103'!A:C,3,FALSE),"")</f>
        <v/>
      </c>
      <c r="C1827" s="1478" t="str">
        <f>Info!$B$8</f>
        <v>00100</v>
      </c>
      <c r="D1827" s="1474"/>
      <c r="E1827" s="1474"/>
      <c r="F1827" s="1478"/>
      <c r="G1827" s="1478"/>
      <c r="H1827" s="1474"/>
      <c r="I1827" s="1478"/>
      <c r="J1827" s="1478"/>
      <c r="K1827" s="1475"/>
      <c r="L1827" s="1474"/>
      <c r="M1827" s="1476"/>
      <c r="N1827" s="1477"/>
      <c r="O1827" s="1479"/>
      <c r="P1827" s="1479"/>
      <c r="Q1827" s="1142">
        <f t="shared" si="505"/>
        <v>0</v>
      </c>
      <c r="R1827" s="1143">
        <f>IFERROR(VLOOKUP(CONCATENATE($E1827,$G1827),'LAC 103'!$A$12:$O$95,11,FALSE),0)</f>
        <v>0</v>
      </c>
      <c r="S1827" s="1144">
        <f>IFERROR(VLOOKUP(CONCATENATE($E1827,$G1827),'LAC 103'!$A$12:$O$95,12,FALSE),0)</f>
        <v>0</v>
      </c>
      <c r="T1827" s="1144">
        <f>IFERROR(VLOOKUP(CONCATENATE($E1827,$G1827),'LAC 103'!$A$12:$O$95,13,FALSE),0)</f>
        <v>0</v>
      </c>
      <c r="U1827" s="1144">
        <f>IFERROR(VLOOKUP(CONCATENATE($E1827,$G1827),'LAC 103'!$A$12:$O$95,14,FALSE),0)</f>
        <v>0</v>
      </c>
      <c r="V1827" s="1144">
        <f>IFERROR(VLOOKUP(CONCATENATE($E1827,$G1827),'LAC 103'!$A$12:$O$95,15,FALSE),0)</f>
        <v>0</v>
      </c>
      <c r="W1827" s="1145" t="str">
        <f>IFERROR(VLOOKUP(CONCATENATE($B1827,$N1827),'LAC 103'!$AI:$AQ,9,FALSE),"")</f>
        <v/>
      </c>
      <c r="X1827" s="1146">
        <f t="shared" si="510"/>
        <v>0</v>
      </c>
      <c r="Y1827" s="1143">
        <f t="shared" si="520"/>
        <v>0</v>
      </c>
      <c r="Z1827" s="1147">
        <f t="shared" si="511"/>
        <v>0</v>
      </c>
      <c r="AA1827" s="1144">
        <f t="shared" si="512"/>
        <v>0</v>
      </c>
      <c r="AB1827" s="1144">
        <f t="shared" si="513"/>
        <v>0</v>
      </c>
      <c r="AC1827" s="1144">
        <f t="shared" si="514"/>
        <v>0</v>
      </c>
      <c r="AD1827" s="1148">
        <f t="shared" si="506"/>
        <v>0</v>
      </c>
      <c r="AE1827" s="1487">
        <v>0</v>
      </c>
      <c r="AF1827" s="1145">
        <f t="shared" si="515"/>
        <v>0</v>
      </c>
      <c r="AG1827" s="1149">
        <f>IFERROR(VLOOKUP(CONCATENATE($L1827,$N1827),'Drop List'!$G$23:$K$87,2,FALSE),0)</f>
        <v>0</v>
      </c>
      <c r="AH1827" s="1150">
        <f>IFERROR(VLOOKUP(CONCATENATE($L1827,$N1827),'Drop List'!$G$23:$K$87,3,FALSE),0)</f>
        <v>0</v>
      </c>
      <c r="AI1827" s="1150">
        <f>IFERROR(VLOOKUP(CONCATENATE($L1827,$N1827),'Drop List'!$G$23:$K$87,4,FALSE),0)</f>
        <v>0</v>
      </c>
      <c r="AJ1827" s="1151">
        <f>IFERROR(VLOOKUP(CONCATENATE($L1827,$N1827),'Drop List'!$G$23:$K$87,5,FALSE),0)</f>
        <v>0</v>
      </c>
      <c r="AK1827" s="1152">
        <f t="shared" si="516"/>
        <v>0</v>
      </c>
      <c r="AL1827" s="1153">
        <f t="shared" si="517"/>
        <v>0</v>
      </c>
      <c r="AM1827" s="1153">
        <f t="shared" si="518"/>
        <v>0</v>
      </c>
      <c r="AN1827" s="1145">
        <f t="shared" si="519"/>
        <v>0</v>
      </c>
      <c r="AO1827" s="1154">
        <f t="shared" si="522"/>
        <v>0</v>
      </c>
      <c r="AP1827" s="1147">
        <f t="shared" si="507"/>
        <v>0</v>
      </c>
      <c r="AQ1827" s="1144">
        <f t="shared" si="508"/>
        <v>0</v>
      </c>
      <c r="AR1827" s="1146">
        <f t="shared" si="509"/>
        <v>0</v>
      </c>
    </row>
    <row r="1828" spans="1:44" x14ac:dyDescent="0.2">
      <c r="A1828" s="1141" t="str">
        <f t="shared" si="521"/>
        <v/>
      </c>
      <c r="B1828" s="1141" t="str">
        <f>IFERROR(VLOOKUP(A1828,'LAC 103'!A:C,3,FALSE),"")</f>
        <v/>
      </c>
      <c r="C1828" s="1478" t="str">
        <f>Info!$B$8</f>
        <v>00100</v>
      </c>
      <c r="D1828" s="1474"/>
      <c r="E1828" s="1474"/>
      <c r="F1828" s="1478"/>
      <c r="G1828" s="1478"/>
      <c r="H1828" s="1474"/>
      <c r="I1828" s="1478"/>
      <c r="J1828" s="1478"/>
      <c r="K1828" s="1475"/>
      <c r="L1828" s="1474"/>
      <c r="M1828" s="1476"/>
      <c r="N1828" s="1477"/>
      <c r="O1828" s="1479"/>
      <c r="P1828" s="1479"/>
      <c r="Q1828" s="1142">
        <f t="shared" si="505"/>
        <v>0</v>
      </c>
      <c r="R1828" s="1143">
        <f>IFERROR(VLOOKUP(CONCATENATE($E1828,$G1828),'LAC 103'!$A$12:$O$95,11,FALSE),0)</f>
        <v>0</v>
      </c>
      <c r="S1828" s="1144">
        <f>IFERROR(VLOOKUP(CONCATENATE($E1828,$G1828),'LAC 103'!$A$12:$O$95,12,FALSE),0)</f>
        <v>0</v>
      </c>
      <c r="T1828" s="1144">
        <f>IFERROR(VLOOKUP(CONCATENATE($E1828,$G1828),'LAC 103'!$A$12:$O$95,13,FALSE),0)</f>
        <v>0</v>
      </c>
      <c r="U1828" s="1144">
        <f>IFERROR(VLOOKUP(CONCATENATE($E1828,$G1828),'LAC 103'!$A$12:$O$95,14,FALSE),0)</f>
        <v>0</v>
      </c>
      <c r="V1828" s="1144">
        <f>IFERROR(VLOOKUP(CONCATENATE($E1828,$G1828),'LAC 103'!$A$12:$O$95,15,FALSE),0)</f>
        <v>0</v>
      </c>
      <c r="W1828" s="1145" t="str">
        <f>IFERROR(VLOOKUP(CONCATENATE($B1828,$N1828),'LAC 103'!$AI:$AQ,9,FALSE),"")</f>
        <v/>
      </c>
      <c r="X1828" s="1146">
        <f t="shared" si="510"/>
        <v>0</v>
      </c>
      <c r="Y1828" s="1143">
        <f t="shared" si="520"/>
        <v>0</v>
      </c>
      <c r="Z1828" s="1147">
        <f t="shared" si="511"/>
        <v>0</v>
      </c>
      <c r="AA1828" s="1144">
        <f t="shared" si="512"/>
        <v>0</v>
      </c>
      <c r="AB1828" s="1144">
        <f t="shared" si="513"/>
        <v>0</v>
      </c>
      <c r="AC1828" s="1144">
        <f t="shared" si="514"/>
        <v>0</v>
      </c>
      <c r="AD1828" s="1148">
        <f t="shared" si="506"/>
        <v>0</v>
      </c>
      <c r="AE1828" s="1487">
        <v>0</v>
      </c>
      <c r="AF1828" s="1145">
        <f t="shared" si="515"/>
        <v>0</v>
      </c>
      <c r="AG1828" s="1149">
        <f>IFERROR(VLOOKUP(CONCATENATE($L1828,$N1828),'Drop List'!$G$23:$K$87,2,FALSE),0)</f>
        <v>0</v>
      </c>
      <c r="AH1828" s="1150">
        <f>IFERROR(VLOOKUP(CONCATENATE($L1828,$N1828),'Drop List'!$G$23:$K$87,3,FALSE),0)</f>
        <v>0</v>
      </c>
      <c r="AI1828" s="1150">
        <f>IFERROR(VLOOKUP(CONCATENATE($L1828,$N1828),'Drop List'!$G$23:$K$87,4,FALSE),0)</f>
        <v>0</v>
      </c>
      <c r="AJ1828" s="1151">
        <f>IFERROR(VLOOKUP(CONCATENATE($L1828,$N1828),'Drop List'!$G$23:$K$87,5,FALSE),0)</f>
        <v>0</v>
      </c>
      <c r="AK1828" s="1152">
        <f t="shared" si="516"/>
        <v>0</v>
      </c>
      <c r="AL1828" s="1153">
        <f t="shared" si="517"/>
        <v>0</v>
      </c>
      <c r="AM1828" s="1153">
        <f t="shared" si="518"/>
        <v>0</v>
      </c>
      <c r="AN1828" s="1145">
        <f t="shared" si="519"/>
        <v>0</v>
      </c>
      <c r="AO1828" s="1154">
        <f t="shared" si="522"/>
        <v>0</v>
      </c>
      <c r="AP1828" s="1147">
        <f t="shared" si="507"/>
        <v>0</v>
      </c>
      <c r="AQ1828" s="1144">
        <f t="shared" si="508"/>
        <v>0</v>
      </c>
      <c r="AR1828" s="1146">
        <f t="shared" si="509"/>
        <v>0</v>
      </c>
    </row>
    <row r="1829" spans="1:44" x14ac:dyDescent="0.2">
      <c r="A1829" s="1141" t="str">
        <f t="shared" si="521"/>
        <v/>
      </c>
      <c r="B1829" s="1141" t="str">
        <f>IFERROR(VLOOKUP(A1829,'LAC 103'!A:C,3,FALSE),"")</f>
        <v/>
      </c>
      <c r="C1829" s="1478" t="str">
        <f>Info!$B$8</f>
        <v>00100</v>
      </c>
      <c r="D1829" s="1474"/>
      <c r="E1829" s="1474"/>
      <c r="F1829" s="1478"/>
      <c r="G1829" s="1478"/>
      <c r="H1829" s="1474"/>
      <c r="I1829" s="1478"/>
      <c r="J1829" s="1478"/>
      <c r="K1829" s="1475"/>
      <c r="L1829" s="1474"/>
      <c r="M1829" s="1476"/>
      <c r="N1829" s="1477"/>
      <c r="O1829" s="1479"/>
      <c r="P1829" s="1479"/>
      <c r="Q1829" s="1142">
        <f t="shared" si="505"/>
        <v>0</v>
      </c>
      <c r="R1829" s="1143">
        <f>IFERROR(VLOOKUP(CONCATENATE($E1829,$G1829),'LAC 103'!$A$12:$O$95,11,FALSE),0)</f>
        <v>0</v>
      </c>
      <c r="S1829" s="1144">
        <f>IFERROR(VLOOKUP(CONCATENATE($E1829,$G1829),'LAC 103'!$A$12:$O$95,12,FALSE),0)</f>
        <v>0</v>
      </c>
      <c r="T1829" s="1144">
        <f>IFERROR(VLOOKUP(CONCATENATE($E1829,$G1829),'LAC 103'!$A$12:$O$95,13,FALSE),0)</f>
        <v>0</v>
      </c>
      <c r="U1829" s="1144">
        <f>IFERROR(VLOOKUP(CONCATENATE($E1829,$G1829),'LAC 103'!$A$12:$O$95,14,FALSE),0)</f>
        <v>0</v>
      </c>
      <c r="V1829" s="1144">
        <f>IFERROR(VLOOKUP(CONCATENATE($E1829,$G1829),'LAC 103'!$A$12:$O$95,15,FALSE),0)</f>
        <v>0</v>
      </c>
      <c r="W1829" s="1145" t="str">
        <f>IFERROR(VLOOKUP(CONCATENATE($B1829,$N1829),'LAC 103'!$AI:$AQ,9,FALSE),"")</f>
        <v/>
      </c>
      <c r="X1829" s="1146">
        <f t="shared" si="510"/>
        <v>0</v>
      </c>
      <c r="Y1829" s="1143">
        <f t="shared" si="520"/>
        <v>0</v>
      </c>
      <c r="Z1829" s="1147">
        <f t="shared" si="511"/>
        <v>0</v>
      </c>
      <c r="AA1829" s="1144">
        <f t="shared" si="512"/>
        <v>0</v>
      </c>
      <c r="AB1829" s="1144">
        <f t="shared" si="513"/>
        <v>0</v>
      </c>
      <c r="AC1829" s="1144">
        <f t="shared" si="514"/>
        <v>0</v>
      </c>
      <c r="AD1829" s="1148">
        <f t="shared" si="506"/>
        <v>0</v>
      </c>
      <c r="AE1829" s="1487">
        <v>0</v>
      </c>
      <c r="AF1829" s="1145">
        <f t="shared" si="515"/>
        <v>0</v>
      </c>
      <c r="AG1829" s="1149">
        <f>IFERROR(VLOOKUP(CONCATENATE($L1829,$N1829),'Drop List'!$G$23:$K$87,2,FALSE),0)</f>
        <v>0</v>
      </c>
      <c r="AH1829" s="1150">
        <f>IFERROR(VLOOKUP(CONCATENATE($L1829,$N1829),'Drop List'!$G$23:$K$87,3,FALSE),0)</f>
        <v>0</v>
      </c>
      <c r="AI1829" s="1150">
        <f>IFERROR(VLOOKUP(CONCATENATE($L1829,$N1829),'Drop List'!$G$23:$K$87,4,FALSE),0)</f>
        <v>0</v>
      </c>
      <c r="AJ1829" s="1151">
        <f>IFERROR(VLOOKUP(CONCATENATE($L1829,$N1829),'Drop List'!$G$23:$K$87,5,FALSE),0)</f>
        <v>0</v>
      </c>
      <c r="AK1829" s="1152">
        <f t="shared" si="516"/>
        <v>0</v>
      </c>
      <c r="AL1829" s="1153">
        <f t="shared" si="517"/>
        <v>0</v>
      </c>
      <c r="AM1829" s="1153">
        <f t="shared" si="518"/>
        <v>0</v>
      </c>
      <c r="AN1829" s="1145">
        <f t="shared" si="519"/>
        <v>0</v>
      </c>
      <c r="AO1829" s="1154">
        <f t="shared" si="522"/>
        <v>0</v>
      </c>
      <c r="AP1829" s="1147">
        <f t="shared" si="507"/>
        <v>0</v>
      </c>
      <c r="AQ1829" s="1144">
        <f t="shared" si="508"/>
        <v>0</v>
      </c>
      <c r="AR1829" s="1146">
        <f t="shared" si="509"/>
        <v>0</v>
      </c>
    </row>
    <row r="1830" spans="1:44" x14ac:dyDescent="0.2">
      <c r="A1830" s="1141" t="str">
        <f t="shared" si="521"/>
        <v/>
      </c>
      <c r="B1830" s="1141" t="str">
        <f>IFERROR(VLOOKUP(A1830,'LAC 103'!A:C,3,FALSE),"")</f>
        <v/>
      </c>
      <c r="C1830" s="1478" t="str">
        <f>Info!$B$8</f>
        <v>00100</v>
      </c>
      <c r="D1830" s="1474"/>
      <c r="E1830" s="1474"/>
      <c r="F1830" s="1478"/>
      <c r="G1830" s="1478"/>
      <c r="H1830" s="1474"/>
      <c r="I1830" s="1478"/>
      <c r="J1830" s="1478"/>
      <c r="K1830" s="1475"/>
      <c r="L1830" s="1474"/>
      <c r="M1830" s="1476"/>
      <c r="N1830" s="1477"/>
      <c r="O1830" s="1479"/>
      <c r="P1830" s="1479"/>
      <c r="Q1830" s="1142">
        <f t="shared" si="505"/>
        <v>0</v>
      </c>
      <c r="R1830" s="1143">
        <f>IFERROR(VLOOKUP(CONCATENATE($E1830,$G1830),'LAC 103'!$A$12:$O$95,11,FALSE),0)</f>
        <v>0</v>
      </c>
      <c r="S1830" s="1144">
        <f>IFERROR(VLOOKUP(CONCATENATE($E1830,$G1830),'LAC 103'!$A$12:$O$95,12,FALSE),0)</f>
        <v>0</v>
      </c>
      <c r="T1830" s="1144">
        <f>IFERROR(VLOOKUP(CONCATENATE($E1830,$G1830),'LAC 103'!$A$12:$O$95,13,FALSE),0)</f>
        <v>0</v>
      </c>
      <c r="U1830" s="1144">
        <f>IFERROR(VLOOKUP(CONCATENATE($E1830,$G1830),'LAC 103'!$A$12:$O$95,14,FALSE),0)</f>
        <v>0</v>
      </c>
      <c r="V1830" s="1144">
        <f>IFERROR(VLOOKUP(CONCATENATE($E1830,$G1830),'LAC 103'!$A$12:$O$95,15,FALSE),0)</f>
        <v>0</v>
      </c>
      <c r="W1830" s="1145" t="str">
        <f>IFERROR(VLOOKUP(CONCATENATE($B1830,$N1830),'LAC 103'!$AI:$AQ,9,FALSE),"")</f>
        <v/>
      </c>
      <c r="X1830" s="1146">
        <f t="shared" si="510"/>
        <v>0</v>
      </c>
      <c r="Y1830" s="1143">
        <f t="shared" si="520"/>
        <v>0</v>
      </c>
      <c r="Z1830" s="1147">
        <f t="shared" si="511"/>
        <v>0</v>
      </c>
      <c r="AA1830" s="1144">
        <f t="shared" si="512"/>
        <v>0</v>
      </c>
      <c r="AB1830" s="1144">
        <f t="shared" si="513"/>
        <v>0</v>
      </c>
      <c r="AC1830" s="1144">
        <f t="shared" si="514"/>
        <v>0</v>
      </c>
      <c r="AD1830" s="1148">
        <f t="shared" si="506"/>
        <v>0</v>
      </c>
      <c r="AE1830" s="1487">
        <v>0</v>
      </c>
      <c r="AF1830" s="1145">
        <f t="shared" si="515"/>
        <v>0</v>
      </c>
      <c r="AG1830" s="1149">
        <f>IFERROR(VLOOKUP(CONCATENATE($L1830,$N1830),'Drop List'!$G$23:$K$87,2,FALSE),0)</f>
        <v>0</v>
      </c>
      <c r="AH1830" s="1150">
        <f>IFERROR(VLOOKUP(CONCATENATE($L1830,$N1830),'Drop List'!$G$23:$K$87,3,FALSE),0)</f>
        <v>0</v>
      </c>
      <c r="AI1830" s="1150">
        <f>IFERROR(VLOOKUP(CONCATENATE($L1830,$N1830),'Drop List'!$G$23:$K$87,4,FALSE),0)</f>
        <v>0</v>
      </c>
      <c r="AJ1830" s="1151">
        <f>IFERROR(VLOOKUP(CONCATENATE($L1830,$N1830),'Drop List'!$G$23:$K$87,5,FALSE),0)</f>
        <v>0</v>
      </c>
      <c r="AK1830" s="1152">
        <f t="shared" si="516"/>
        <v>0</v>
      </c>
      <c r="AL1830" s="1153">
        <f t="shared" si="517"/>
        <v>0</v>
      </c>
      <c r="AM1830" s="1153">
        <f t="shared" si="518"/>
        <v>0</v>
      </c>
      <c r="AN1830" s="1145">
        <f t="shared" si="519"/>
        <v>0</v>
      </c>
      <c r="AO1830" s="1154">
        <f t="shared" si="522"/>
        <v>0</v>
      </c>
      <c r="AP1830" s="1147">
        <f t="shared" si="507"/>
        <v>0</v>
      </c>
      <c r="AQ1830" s="1144">
        <f t="shared" si="508"/>
        <v>0</v>
      </c>
      <c r="AR1830" s="1146">
        <f t="shared" si="509"/>
        <v>0</v>
      </c>
    </row>
    <row r="1831" spans="1:44" x14ac:dyDescent="0.2">
      <c r="A1831" s="1141" t="str">
        <f t="shared" si="521"/>
        <v/>
      </c>
      <c r="B1831" s="1141" t="str">
        <f>IFERROR(VLOOKUP(A1831,'LAC 103'!A:C,3,FALSE),"")</f>
        <v/>
      </c>
      <c r="C1831" s="1478" t="str">
        <f>Info!$B$8</f>
        <v>00100</v>
      </c>
      <c r="D1831" s="1474"/>
      <c r="E1831" s="1474"/>
      <c r="F1831" s="1478"/>
      <c r="G1831" s="1478"/>
      <c r="H1831" s="1474"/>
      <c r="I1831" s="1478"/>
      <c r="J1831" s="1478"/>
      <c r="K1831" s="1475"/>
      <c r="L1831" s="1474"/>
      <c r="M1831" s="1476"/>
      <c r="N1831" s="1477"/>
      <c r="O1831" s="1479"/>
      <c r="P1831" s="1479"/>
      <c r="Q1831" s="1142">
        <f t="shared" si="505"/>
        <v>0</v>
      </c>
      <c r="R1831" s="1143">
        <f>IFERROR(VLOOKUP(CONCATENATE($E1831,$G1831),'LAC 103'!$A$12:$O$95,11,FALSE),0)</f>
        <v>0</v>
      </c>
      <c r="S1831" s="1144">
        <f>IFERROR(VLOOKUP(CONCATENATE($E1831,$G1831),'LAC 103'!$A$12:$O$95,12,FALSE),0)</f>
        <v>0</v>
      </c>
      <c r="T1831" s="1144">
        <f>IFERROR(VLOOKUP(CONCATENATE($E1831,$G1831),'LAC 103'!$A$12:$O$95,13,FALSE),0)</f>
        <v>0</v>
      </c>
      <c r="U1831" s="1144">
        <f>IFERROR(VLOOKUP(CONCATENATE($E1831,$G1831),'LAC 103'!$A$12:$O$95,14,FALSE),0)</f>
        <v>0</v>
      </c>
      <c r="V1831" s="1144">
        <f>IFERROR(VLOOKUP(CONCATENATE($E1831,$G1831),'LAC 103'!$A$12:$O$95,15,FALSE),0)</f>
        <v>0</v>
      </c>
      <c r="W1831" s="1145" t="str">
        <f>IFERROR(VLOOKUP(CONCATENATE($B1831,$N1831),'LAC 103'!$AI:$AQ,9,FALSE),"")</f>
        <v/>
      </c>
      <c r="X1831" s="1146">
        <f t="shared" si="510"/>
        <v>0</v>
      </c>
      <c r="Y1831" s="1143">
        <f t="shared" si="520"/>
        <v>0</v>
      </c>
      <c r="Z1831" s="1147">
        <f t="shared" si="511"/>
        <v>0</v>
      </c>
      <c r="AA1831" s="1144">
        <f t="shared" si="512"/>
        <v>0</v>
      </c>
      <c r="AB1831" s="1144">
        <f t="shared" si="513"/>
        <v>0</v>
      </c>
      <c r="AC1831" s="1144">
        <f t="shared" si="514"/>
        <v>0</v>
      </c>
      <c r="AD1831" s="1148">
        <f t="shared" si="506"/>
        <v>0</v>
      </c>
      <c r="AE1831" s="1487">
        <v>0</v>
      </c>
      <c r="AF1831" s="1145">
        <f t="shared" si="515"/>
        <v>0</v>
      </c>
      <c r="AG1831" s="1149">
        <f>IFERROR(VLOOKUP(CONCATENATE($L1831,$N1831),'Drop List'!$G$23:$K$87,2,FALSE),0)</f>
        <v>0</v>
      </c>
      <c r="AH1831" s="1150">
        <f>IFERROR(VLOOKUP(CONCATENATE($L1831,$N1831),'Drop List'!$G$23:$K$87,3,FALSE),0)</f>
        <v>0</v>
      </c>
      <c r="AI1831" s="1150">
        <f>IFERROR(VLOOKUP(CONCATENATE($L1831,$N1831),'Drop List'!$G$23:$K$87,4,FALSE),0)</f>
        <v>0</v>
      </c>
      <c r="AJ1831" s="1151">
        <f>IFERROR(VLOOKUP(CONCATENATE($L1831,$N1831),'Drop List'!$G$23:$K$87,5,FALSE),0)</f>
        <v>0</v>
      </c>
      <c r="AK1831" s="1152">
        <f t="shared" si="516"/>
        <v>0</v>
      </c>
      <c r="AL1831" s="1153">
        <f t="shared" si="517"/>
        <v>0</v>
      </c>
      <c r="AM1831" s="1153">
        <f t="shared" si="518"/>
        <v>0</v>
      </c>
      <c r="AN1831" s="1145">
        <f t="shared" si="519"/>
        <v>0</v>
      </c>
      <c r="AO1831" s="1154">
        <f t="shared" si="522"/>
        <v>0</v>
      </c>
      <c r="AP1831" s="1147">
        <f t="shared" si="507"/>
        <v>0</v>
      </c>
      <c r="AQ1831" s="1144">
        <f t="shared" si="508"/>
        <v>0</v>
      </c>
      <c r="AR1831" s="1146">
        <f t="shared" si="509"/>
        <v>0</v>
      </c>
    </row>
    <row r="1832" spans="1:44" x14ac:dyDescent="0.2">
      <c r="A1832" s="1141" t="str">
        <f t="shared" si="521"/>
        <v/>
      </c>
      <c r="B1832" s="1141" t="str">
        <f>IFERROR(VLOOKUP(A1832,'LAC 103'!A:C,3,FALSE),"")</f>
        <v/>
      </c>
      <c r="C1832" s="1478" t="str">
        <f>Info!$B$8</f>
        <v>00100</v>
      </c>
      <c r="D1832" s="1474"/>
      <c r="E1832" s="1474"/>
      <c r="F1832" s="1478"/>
      <c r="G1832" s="1478"/>
      <c r="H1832" s="1474"/>
      <c r="I1832" s="1478"/>
      <c r="J1832" s="1478"/>
      <c r="K1832" s="1475"/>
      <c r="L1832" s="1474"/>
      <c r="M1832" s="1476"/>
      <c r="N1832" s="1477"/>
      <c r="O1832" s="1479"/>
      <c r="P1832" s="1479"/>
      <c r="Q1832" s="1142">
        <f t="shared" si="505"/>
        <v>0</v>
      </c>
      <c r="R1832" s="1143">
        <f>IFERROR(VLOOKUP(CONCATENATE($E1832,$G1832),'LAC 103'!$A$12:$O$95,11,FALSE),0)</f>
        <v>0</v>
      </c>
      <c r="S1832" s="1144">
        <f>IFERROR(VLOOKUP(CONCATENATE($E1832,$G1832),'LAC 103'!$A$12:$O$95,12,FALSE),0)</f>
        <v>0</v>
      </c>
      <c r="T1832" s="1144">
        <f>IFERROR(VLOOKUP(CONCATENATE($E1832,$G1832),'LAC 103'!$A$12:$O$95,13,FALSE),0)</f>
        <v>0</v>
      </c>
      <c r="U1832" s="1144">
        <f>IFERROR(VLOOKUP(CONCATENATE($E1832,$G1832),'LAC 103'!$A$12:$O$95,14,FALSE),0)</f>
        <v>0</v>
      </c>
      <c r="V1832" s="1144">
        <f>IFERROR(VLOOKUP(CONCATENATE($E1832,$G1832),'LAC 103'!$A$12:$O$95,15,FALSE),0)</f>
        <v>0</v>
      </c>
      <c r="W1832" s="1145" t="str">
        <f>IFERROR(VLOOKUP(CONCATENATE($B1832,$N1832),'LAC 103'!$AI:$AQ,9,FALSE),"")</f>
        <v/>
      </c>
      <c r="X1832" s="1146">
        <f t="shared" si="510"/>
        <v>0</v>
      </c>
      <c r="Y1832" s="1143">
        <f t="shared" si="520"/>
        <v>0</v>
      </c>
      <c r="Z1832" s="1147">
        <f t="shared" si="511"/>
        <v>0</v>
      </c>
      <c r="AA1832" s="1144">
        <f t="shared" si="512"/>
        <v>0</v>
      </c>
      <c r="AB1832" s="1144">
        <f t="shared" si="513"/>
        <v>0</v>
      </c>
      <c r="AC1832" s="1144">
        <f t="shared" si="514"/>
        <v>0</v>
      </c>
      <c r="AD1832" s="1148">
        <f t="shared" si="506"/>
        <v>0</v>
      </c>
      <c r="AE1832" s="1487">
        <v>0</v>
      </c>
      <c r="AF1832" s="1145">
        <f t="shared" si="515"/>
        <v>0</v>
      </c>
      <c r="AG1832" s="1149">
        <f>IFERROR(VLOOKUP(CONCATENATE($L1832,$N1832),'Drop List'!$G$23:$K$87,2,FALSE),0)</f>
        <v>0</v>
      </c>
      <c r="AH1832" s="1150">
        <f>IFERROR(VLOOKUP(CONCATENATE($L1832,$N1832),'Drop List'!$G$23:$K$87,3,FALSE),0)</f>
        <v>0</v>
      </c>
      <c r="AI1832" s="1150">
        <f>IFERROR(VLOOKUP(CONCATENATE($L1832,$N1832),'Drop List'!$G$23:$K$87,4,FALSE),0)</f>
        <v>0</v>
      </c>
      <c r="AJ1832" s="1151">
        <f>IFERROR(VLOOKUP(CONCATENATE($L1832,$N1832),'Drop List'!$G$23:$K$87,5,FALSE),0)</f>
        <v>0</v>
      </c>
      <c r="AK1832" s="1152">
        <f t="shared" si="516"/>
        <v>0</v>
      </c>
      <c r="AL1832" s="1153">
        <f t="shared" si="517"/>
        <v>0</v>
      </c>
      <c r="AM1832" s="1153">
        <f t="shared" si="518"/>
        <v>0</v>
      </c>
      <c r="AN1832" s="1145">
        <f t="shared" si="519"/>
        <v>0</v>
      </c>
      <c r="AO1832" s="1154">
        <f t="shared" si="522"/>
        <v>0</v>
      </c>
      <c r="AP1832" s="1147">
        <f t="shared" si="507"/>
        <v>0</v>
      </c>
      <c r="AQ1832" s="1144">
        <f t="shared" si="508"/>
        <v>0</v>
      </c>
      <c r="AR1832" s="1146">
        <f t="shared" si="509"/>
        <v>0</v>
      </c>
    </row>
    <row r="1833" spans="1:44" x14ac:dyDescent="0.2">
      <c r="A1833" s="1141" t="str">
        <f t="shared" si="521"/>
        <v/>
      </c>
      <c r="B1833" s="1141" t="str">
        <f>IFERROR(VLOOKUP(A1833,'LAC 103'!A:C,3,FALSE),"")</f>
        <v/>
      </c>
      <c r="C1833" s="1478" t="str">
        <f>Info!$B$8</f>
        <v>00100</v>
      </c>
      <c r="D1833" s="1474"/>
      <c r="E1833" s="1474"/>
      <c r="F1833" s="1478"/>
      <c r="G1833" s="1478"/>
      <c r="H1833" s="1474"/>
      <c r="I1833" s="1478"/>
      <c r="J1833" s="1478"/>
      <c r="K1833" s="1475"/>
      <c r="L1833" s="1474"/>
      <c r="M1833" s="1476"/>
      <c r="N1833" s="1477"/>
      <c r="O1833" s="1479"/>
      <c r="P1833" s="1479"/>
      <c r="Q1833" s="1142">
        <f t="shared" si="505"/>
        <v>0</v>
      </c>
      <c r="R1833" s="1143">
        <f>IFERROR(VLOOKUP(CONCATENATE($E1833,$G1833),'LAC 103'!$A$12:$O$95,11,FALSE),0)</f>
        <v>0</v>
      </c>
      <c r="S1833" s="1144">
        <f>IFERROR(VLOOKUP(CONCATENATE($E1833,$G1833),'LAC 103'!$A$12:$O$95,12,FALSE),0)</f>
        <v>0</v>
      </c>
      <c r="T1833" s="1144">
        <f>IFERROR(VLOOKUP(CONCATENATE($E1833,$G1833),'LAC 103'!$A$12:$O$95,13,FALSE),0)</f>
        <v>0</v>
      </c>
      <c r="U1833" s="1144">
        <f>IFERROR(VLOOKUP(CONCATENATE($E1833,$G1833),'LAC 103'!$A$12:$O$95,14,FALSE),0)</f>
        <v>0</v>
      </c>
      <c r="V1833" s="1144">
        <f>IFERROR(VLOOKUP(CONCATENATE($E1833,$G1833),'LAC 103'!$A$12:$O$95,15,FALSE),0)</f>
        <v>0</v>
      </c>
      <c r="W1833" s="1145" t="str">
        <f>IFERROR(VLOOKUP(CONCATENATE($B1833,$N1833),'LAC 103'!$AI:$AQ,9,FALSE),"")</f>
        <v/>
      </c>
      <c r="X1833" s="1146">
        <f t="shared" si="510"/>
        <v>0</v>
      </c>
      <c r="Y1833" s="1143">
        <f t="shared" si="520"/>
        <v>0</v>
      </c>
      <c r="Z1833" s="1147">
        <f t="shared" si="511"/>
        <v>0</v>
      </c>
      <c r="AA1833" s="1144">
        <f t="shared" si="512"/>
        <v>0</v>
      </c>
      <c r="AB1833" s="1144">
        <f t="shared" si="513"/>
        <v>0</v>
      </c>
      <c r="AC1833" s="1144">
        <f t="shared" si="514"/>
        <v>0</v>
      </c>
      <c r="AD1833" s="1148">
        <f t="shared" si="506"/>
        <v>0</v>
      </c>
      <c r="AE1833" s="1487">
        <v>0</v>
      </c>
      <c r="AF1833" s="1145">
        <f t="shared" si="515"/>
        <v>0</v>
      </c>
      <c r="AG1833" s="1149">
        <f>IFERROR(VLOOKUP(CONCATENATE($L1833,$N1833),'Drop List'!$G$23:$K$87,2,FALSE),0)</f>
        <v>0</v>
      </c>
      <c r="AH1833" s="1150">
        <f>IFERROR(VLOOKUP(CONCATENATE($L1833,$N1833),'Drop List'!$G$23:$K$87,3,FALSE),0)</f>
        <v>0</v>
      </c>
      <c r="AI1833" s="1150">
        <f>IFERROR(VLOOKUP(CONCATENATE($L1833,$N1833),'Drop List'!$G$23:$K$87,4,FALSE),0)</f>
        <v>0</v>
      </c>
      <c r="AJ1833" s="1151">
        <f>IFERROR(VLOOKUP(CONCATENATE($L1833,$N1833),'Drop List'!$G$23:$K$87,5,FALSE),0)</f>
        <v>0</v>
      </c>
      <c r="AK1833" s="1152">
        <f t="shared" si="516"/>
        <v>0</v>
      </c>
      <c r="AL1833" s="1153">
        <f t="shared" si="517"/>
        <v>0</v>
      </c>
      <c r="AM1833" s="1153">
        <f t="shared" si="518"/>
        <v>0</v>
      </c>
      <c r="AN1833" s="1145">
        <f t="shared" si="519"/>
        <v>0</v>
      </c>
      <c r="AO1833" s="1154">
        <f t="shared" si="522"/>
        <v>0</v>
      </c>
      <c r="AP1833" s="1147">
        <f t="shared" si="507"/>
        <v>0</v>
      </c>
      <c r="AQ1833" s="1144">
        <f t="shared" si="508"/>
        <v>0</v>
      </c>
      <c r="AR1833" s="1146">
        <f t="shared" si="509"/>
        <v>0</v>
      </c>
    </row>
    <row r="1834" spans="1:44" x14ac:dyDescent="0.2">
      <c r="A1834" s="1141" t="str">
        <f t="shared" si="521"/>
        <v/>
      </c>
      <c r="B1834" s="1141" t="str">
        <f>IFERROR(VLOOKUP(A1834,'LAC 103'!A:C,3,FALSE),"")</f>
        <v/>
      </c>
      <c r="C1834" s="1478" t="str">
        <f>Info!$B$8</f>
        <v>00100</v>
      </c>
      <c r="D1834" s="1474"/>
      <c r="E1834" s="1474"/>
      <c r="F1834" s="1478"/>
      <c r="G1834" s="1478"/>
      <c r="H1834" s="1474"/>
      <c r="I1834" s="1478"/>
      <c r="J1834" s="1478"/>
      <c r="K1834" s="1475"/>
      <c r="L1834" s="1474"/>
      <c r="M1834" s="1476"/>
      <c r="N1834" s="1477"/>
      <c r="O1834" s="1479"/>
      <c r="P1834" s="1479"/>
      <c r="Q1834" s="1142">
        <f t="shared" si="505"/>
        <v>0</v>
      </c>
      <c r="R1834" s="1143">
        <f>IFERROR(VLOOKUP(CONCATENATE($E1834,$G1834),'LAC 103'!$A$12:$O$95,11,FALSE),0)</f>
        <v>0</v>
      </c>
      <c r="S1834" s="1144">
        <f>IFERROR(VLOOKUP(CONCATENATE($E1834,$G1834),'LAC 103'!$A$12:$O$95,12,FALSE),0)</f>
        <v>0</v>
      </c>
      <c r="T1834" s="1144">
        <f>IFERROR(VLOOKUP(CONCATENATE($E1834,$G1834),'LAC 103'!$A$12:$O$95,13,FALSE),0)</f>
        <v>0</v>
      </c>
      <c r="U1834" s="1144">
        <f>IFERROR(VLOOKUP(CONCATENATE($E1834,$G1834),'LAC 103'!$A$12:$O$95,14,FALSE),0)</f>
        <v>0</v>
      </c>
      <c r="V1834" s="1144">
        <f>IFERROR(VLOOKUP(CONCATENATE($E1834,$G1834),'LAC 103'!$A$12:$O$95,15,FALSE),0)</f>
        <v>0</v>
      </c>
      <c r="W1834" s="1145" t="str">
        <f>IFERROR(VLOOKUP(CONCATENATE($B1834,$N1834),'LAC 103'!$AI:$AQ,9,FALSE),"")</f>
        <v/>
      </c>
      <c r="X1834" s="1146">
        <f t="shared" si="510"/>
        <v>0</v>
      </c>
      <c r="Y1834" s="1143">
        <f t="shared" si="520"/>
        <v>0</v>
      </c>
      <c r="Z1834" s="1147">
        <f t="shared" si="511"/>
        <v>0</v>
      </c>
      <c r="AA1834" s="1144">
        <f t="shared" si="512"/>
        <v>0</v>
      </c>
      <c r="AB1834" s="1144">
        <f t="shared" si="513"/>
        <v>0</v>
      </c>
      <c r="AC1834" s="1144">
        <f t="shared" si="514"/>
        <v>0</v>
      </c>
      <c r="AD1834" s="1148">
        <f t="shared" si="506"/>
        <v>0</v>
      </c>
      <c r="AE1834" s="1487">
        <v>0</v>
      </c>
      <c r="AF1834" s="1145">
        <f t="shared" si="515"/>
        <v>0</v>
      </c>
      <c r="AG1834" s="1149">
        <f>IFERROR(VLOOKUP(CONCATENATE($L1834,$N1834),'Drop List'!$G$23:$K$87,2,FALSE),0)</f>
        <v>0</v>
      </c>
      <c r="AH1834" s="1150">
        <f>IFERROR(VLOOKUP(CONCATENATE($L1834,$N1834),'Drop List'!$G$23:$K$87,3,FALSE),0)</f>
        <v>0</v>
      </c>
      <c r="AI1834" s="1150">
        <f>IFERROR(VLOOKUP(CONCATENATE($L1834,$N1834),'Drop List'!$G$23:$K$87,4,FALSE),0)</f>
        <v>0</v>
      </c>
      <c r="AJ1834" s="1151">
        <f>IFERROR(VLOOKUP(CONCATENATE($L1834,$N1834),'Drop List'!$G$23:$K$87,5,FALSE),0)</f>
        <v>0</v>
      </c>
      <c r="AK1834" s="1152">
        <f t="shared" si="516"/>
        <v>0</v>
      </c>
      <c r="AL1834" s="1153">
        <f t="shared" si="517"/>
        <v>0</v>
      </c>
      <c r="AM1834" s="1153">
        <f t="shared" si="518"/>
        <v>0</v>
      </c>
      <c r="AN1834" s="1145">
        <f t="shared" si="519"/>
        <v>0</v>
      </c>
      <c r="AO1834" s="1154">
        <f t="shared" si="522"/>
        <v>0</v>
      </c>
      <c r="AP1834" s="1147">
        <f t="shared" si="507"/>
        <v>0</v>
      </c>
      <c r="AQ1834" s="1144">
        <f t="shared" si="508"/>
        <v>0</v>
      </c>
      <c r="AR1834" s="1146">
        <f t="shared" si="509"/>
        <v>0</v>
      </c>
    </row>
    <row r="1835" spans="1:44" x14ac:dyDescent="0.2">
      <c r="A1835" s="1141" t="str">
        <f t="shared" si="521"/>
        <v/>
      </c>
      <c r="B1835" s="1141" t="str">
        <f>IFERROR(VLOOKUP(A1835,'LAC 103'!A:C,3,FALSE),"")</f>
        <v/>
      </c>
      <c r="C1835" s="1478" t="str">
        <f>Info!$B$8</f>
        <v>00100</v>
      </c>
      <c r="D1835" s="1474"/>
      <c r="E1835" s="1474"/>
      <c r="F1835" s="1478"/>
      <c r="G1835" s="1478"/>
      <c r="H1835" s="1474"/>
      <c r="I1835" s="1478"/>
      <c r="J1835" s="1478"/>
      <c r="K1835" s="1475"/>
      <c r="L1835" s="1474"/>
      <c r="M1835" s="1476"/>
      <c r="N1835" s="1477"/>
      <c r="O1835" s="1479"/>
      <c r="P1835" s="1479"/>
      <c r="Q1835" s="1142">
        <f t="shared" si="505"/>
        <v>0</v>
      </c>
      <c r="R1835" s="1143">
        <f>IFERROR(VLOOKUP(CONCATENATE($E1835,$G1835),'LAC 103'!$A$12:$O$95,11,FALSE),0)</f>
        <v>0</v>
      </c>
      <c r="S1835" s="1144">
        <f>IFERROR(VLOOKUP(CONCATENATE($E1835,$G1835),'LAC 103'!$A$12:$O$95,12,FALSE),0)</f>
        <v>0</v>
      </c>
      <c r="T1835" s="1144">
        <f>IFERROR(VLOOKUP(CONCATENATE($E1835,$G1835),'LAC 103'!$A$12:$O$95,13,FALSE),0)</f>
        <v>0</v>
      </c>
      <c r="U1835" s="1144">
        <f>IFERROR(VLOOKUP(CONCATENATE($E1835,$G1835),'LAC 103'!$A$12:$O$95,14,FALSE),0)</f>
        <v>0</v>
      </c>
      <c r="V1835" s="1144">
        <f>IFERROR(VLOOKUP(CONCATENATE($E1835,$G1835),'LAC 103'!$A$12:$O$95,15,FALSE),0)</f>
        <v>0</v>
      </c>
      <c r="W1835" s="1145" t="str">
        <f>IFERROR(VLOOKUP(CONCATENATE($B1835,$N1835),'LAC 103'!$AI:$AQ,9,FALSE),"")</f>
        <v/>
      </c>
      <c r="X1835" s="1146">
        <f t="shared" si="510"/>
        <v>0</v>
      </c>
      <c r="Y1835" s="1143">
        <f t="shared" si="520"/>
        <v>0</v>
      </c>
      <c r="Z1835" s="1147">
        <f t="shared" si="511"/>
        <v>0</v>
      </c>
      <c r="AA1835" s="1144">
        <f t="shared" si="512"/>
        <v>0</v>
      </c>
      <c r="AB1835" s="1144">
        <f t="shared" si="513"/>
        <v>0</v>
      </c>
      <c r="AC1835" s="1144">
        <f t="shared" si="514"/>
        <v>0</v>
      </c>
      <c r="AD1835" s="1148">
        <f t="shared" si="506"/>
        <v>0</v>
      </c>
      <c r="AE1835" s="1487">
        <v>0</v>
      </c>
      <c r="AF1835" s="1145">
        <f t="shared" si="515"/>
        <v>0</v>
      </c>
      <c r="AG1835" s="1149">
        <f>IFERROR(VLOOKUP(CONCATENATE($L1835,$N1835),'Drop List'!$G$23:$K$87,2,FALSE),0)</f>
        <v>0</v>
      </c>
      <c r="AH1835" s="1150">
        <f>IFERROR(VLOOKUP(CONCATENATE($L1835,$N1835),'Drop List'!$G$23:$K$87,3,FALSE),0)</f>
        <v>0</v>
      </c>
      <c r="AI1835" s="1150">
        <f>IFERROR(VLOOKUP(CONCATENATE($L1835,$N1835),'Drop List'!$G$23:$K$87,4,FALSE),0)</f>
        <v>0</v>
      </c>
      <c r="AJ1835" s="1151">
        <f>IFERROR(VLOOKUP(CONCATENATE($L1835,$N1835),'Drop List'!$G$23:$K$87,5,FALSE),0)</f>
        <v>0</v>
      </c>
      <c r="AK1835" s="1152">
        <f t="shared" si="516"/>
        <v>0</v>
      </c>
      <c r="AL1835" s="1153">
        <f t="shared" si="517"/>
        <v>0</v>
      </c>
      <c r="AM1835" s="1153">
        <f t="shared" si="518"/>
        <v>0</v>
      </c>
      <c r="AN1835" s="1145">
        <f t="shared" si="519"/>
        <v>0</v>
      </c>
      <c r="AO1835" s="1154">
        <f t="shared" si="522"/>
        <v>0</v>
      </c>
      <c r="AP1835" s="1147">
        <f t="shared" si="507"/>
        <v>0</v>
      </c>
      <c r="AQ1835" s="1144">
        <f t="shared" si="508"/>
        <v>0</v>
      </c>
      <c r="AR1835" s="1146">
        <f t="shared" si="509"/>
        <v>0</v>
      </c>
    </row>
    <row r="1836" spans="1:44" x14ac:dyDescent="0.2">
      <c r="A1836" s="1141" t="str">
        <f t="shared" si="521"/>
        <v/>
      </c>
      <c r="B1836" s="1141" t="str">
        <f>IFERROR(VLOOKUP(A1836,'LAC 103'!A:C,3,FALSE),"")</f>
        <v/>
      </c>
      <c r="C1836" s="1478" t="str">
        <f>Info!$B$8</f>
        <v>00100</v>
      </c>
      <c r="D1836" s="1474"/>
      <c r="E1836" s="1474"/>
      <c r="F1836" s="1478"/>
      <c r="G1836" s="1478"/>
      <c r="H1836" s="1474"/>
      <c r="I1836" s="1478"/>
      <c r="J1836" s="1478"/>
      <c r="K1836" s="1475"/>
      <c r="L1836" s="1474"/>
      <c r="M1836" s="1476"/>
      <c r="N1836" s="1477"/>
      <c r="O1836" s="1479"/>
      <c r="P1836" s="1479"/>
      <c r="Q1836" s="1142">
        <f t="shared" si="505"/>
        <v>0</v>
      </c>
      <c r="R1836" s="1143">
        <f>IFERROR(VLOOKUP(CONCATENATE($E1836,$G1836),'LAC 103'!$A$12:$O$95,11,FALSE),0)</f>
        <v>0</v>
      </c>
      <c r="S1836" s="1144">
        <f>IFERROR(VLOOKUP(CONCATENATE($E1836,$G1836),'LAC 103'!$A$12:$O$95,12,FALSE),0)</f>
        <v>0</v>
      </c>
      <c r="T1836" s="1144">
        <f>IFERROR(VLOOKUP(CONCATENATE($E1836,$G1836),'LAC 103'!$A$12:$O$95,13,FALSE),0)</f>
        <v>0</v>
      </c>
      <c r="U1836" s="1144">
        <f>IFERROR(VLOOKUP(CONCATENATE($E1836,$G1836),'LAC 103'!$A$12:$O$95,14,FALSE),0)</f>
        <v>0</v>
      </c>
      <c r="V1836" s="1144">
        <f>IFERROR(VLOOKUP(CONCATENATE($E1836,$G1836),'LAC 103'!$A$12:$O$95,15,FALSE),0)</f>
        <v>0</v>
      </c>
      <c r="W1836" s="1145" t="str">
        <f>IFERROR(VLOOKUP(CONCATENATE($B1836,$N1836),'LAC 103'!$AI:$AQ,9,FALSE),"")</f>
        <v/>
      </c>
      <c r="X1836" s="1146">
        <f t="shared" si="510"/>
        <v>0</v>
      </c>
      <c r="Y1836" s="1143">
        <f t="shared" si="520"/>
        <v>0</v>
      </c>
      <c r="Z1836" s="1147">
        <f t="shared" si="511"/>
        <v>0</v>
      </c>
      <c r="AA1836" s="1144">
        <f t="shared" si="512"/>
        <v>0</v>
      </c>
      <c r="AB1836" s="1144">
        <f t="shared" si="513"/>
        <v>0</v>
      </c>
      <c r="AC1836" s="1144">
        <f t="shared" si="514"/>
        <v>0</v>
      </c>
      <c r="AD1836" s="1148">
        <f t="shared" si="506"/>
        <v>0</v>
      </c>
      <c r="AE1836" s="1487">
        <v>0</v>
      </c>
      <c r="AF1836" s="1145">
        <f t="shared" si="515"/>
        <v>0</v>
      </c>
      <c r="AG1836" s="1149">
        <f>IFERROR(VLOOKUP(CONCATENATE($L1836,$N1836),'Drop List'!$G$23:$K$87,2,FALSE),0)</f>
        <v>0</v>
      </c>
      <c r="AH1836" s="1150">
        <f>IFERROR(VLOOKUP(CONCATENATE($L1836,$N1836),'Drop List'!$G$23:$K$87,3,FALSE),0)</f>
        <v>0</v>
      </c>
      <c r="AI1836" s="1150">
        <f>IFERROR(VLOOKUP(CONCATENATE($L1836,$N1836),'Drop List'!$G$23:$K$87,4,FALSE),0)</f>
        <v>0</v>
      </c>
      <c r="AJ1836" s="1151">
        <f>IFERROR(VLOOKUP(CONCATENATE($L1836,$N1836),'Drop List'!$G$23:$K$87,5,FALSE),0)</f>
        <v>0</v>
      </c>
      <c r="AK1836" s="1152">
        <f t="shared" si="516"/>
        <v>0</v>
      </c>
      <c r="AL1836" s="1153">
        <f t="shared" si="517"/>
        <v>0</v>
      </c>
      <c r="AM1836" s="1153">
        <f t="shared" si="518"/>
        <v>0</v>
      </c>
      <c r="AN1836" s="1145">
        <f t="shared" si="519"/>
        <v>0</v>
      </c>
      <c r="AO1836" s="1154">
        <f t="shared" si="522"/>
        <v>0</v>
      </c>
      <c r="AP1836" s="1147">
        <f t="shared" si="507"/>
        <v>0</v>
      </c>
      <c r="AQ1836" s="1144">
        <f t="shared" si="508"/>
        <v>0</v>
      </c>
      <c r="AR1836" s="1146">
        <f t="shared" si="509"/>
        <v>0</v>
      </c>
    </row>
    <row r="1837" spans="1:44" x14ac:dyDescent="0.2">
      <c r="A1837" s="1141" t="str">
        <f t="shared" si="521"/>
        <v/>
      </c>
      <c r="B1837" s="1141" t="str">
        <f>IFERROR(VLOOKUP(A1837,'LAC 103'!A:C,3,FALSE),"")</f>
        <v/>
      </c>
      <c r="C1837" s="1478" t="str">
        <f>Info!$B$8</f>
        <v>00100</v>
      </c>
      <c r="D1837" s="1474"/>
      <c r="E1837" s="1474"/>
      <c r="F1837" s="1478"/>
      <c r="G1837" s="1478"/>
      <c r="H1837" s="1474"/>
      <c r="I1837" s="1478"/>
      <c r="J1837" s="1478"/>
      <c r="K1837" s="1475"/>
      <c r="L1837" s="1474"/>
      <c r="M1837" s="1476"/>
      <c r="N1837" s="1477"/>
      <c r="O1837" s="1479"/>
      <c r="P1837" s="1479"/>
      <c r="Q1837" s="1142">
        <f t="shared" si="505"/>
        <v>0</v>
      </c>
      <c r="R1837" s="1143">
        <f>IFERROR(VLOOKUP(CONCATENATE($E1837,$G1837),'LAC 103'!$A$12:$O$95,11,FALSE),0)</f>
        <v>0</v>
      </c>
      <c r="S1837" s="1144">
        <f>IFERROR(VLOOKUP(CONCATENATE($E1837,$G1837),'LAC 103'!$A$12:$O$95,12,FALSE),0)</f>
        <v>0</v>
      </c>
      <c r="T1837" s="1144">
        <f>IFERROR(VLOOKUP(CONCATENATE($E1837,$G1837),'LAC 103'!$A$12:$O$95,13,FALSE),0)</f>
        <v>0</v>
      </c>
      <c r="U1837" s="1144">
        <f>IFERROR(VLOOKUP(CONCATENATE($E1837,$G1837),'LAC 103'!$A$12:$O$95,14,FALSE),0)</f>
        <v>0</v>
      </c>
      <c r="V1837" s="1144">
        <f>IFERROR(VLOOKUP(CONCATENATE($E1837,$G1837),'LAC 103'!$A$12:$O$95,15,FALSE),0)</f>
        <v>0</v>
      </c>
      <c r="W1837" s="1145" t="str">
        <f>IFERROR(VLOOKUP(CONCATENATE($B1837,$N1837),'LAC 103'!$AI:$AQ,9,FALSE),"")</f>
        <v/>
      </c>
      <c r="X1837" s="1146">
        <f t="shared" si="510"/>
        <v>0</v>
      </c>
      <c r="Y1837" s="1143">
        <f t="shared" si="520"/>
        <v>0</v>
      </c>
      <c r="Z1837" s="1147">
        <f t="shared" si="511"/>
        <v>0</v>
      </c>
      <c r="AA1837" s="1144">
        <f t="shared" si="512"/>
        <v>0</v>
      </c>
      <c r="AB1837" s="1144">
        <f t="shared" si="513"/>
        <v>0</v>
      </c>
      <c r="AC1837" s="1144">
        <f t="shared" si="514"/>
        <v>0</v>
      </c>
      <c r="AD1837" s="1148">
        <f t="shared" si="506"/>
        <v>0</v>
      </c>
      <c r="AE1837" s="1487">
        <v>0</v>
      </c>
      <c r="AF1837" s="1145">
        <f t="shared" si="515"/>
        <v>0</v>
      </c>
      <c r="AG1837" s="1149">
        <f>IFERROR(VLOOKUP(CONCATENATE($L1837,$N1837),'Drop List'!$G$23:$K$87,2,FALSE),0)</f>
        <v>0</v>
      </c>
      <c r="AH1837" s="1150">
        <f>IFERROR(VLOOKUP(CONCATENATE($L1837,$N1837),'Drop List'!$G$23:$K$87,3,FALSE),0)</f>
        <v>0</v>
      </c>
      <c r="AI1837" s="1150">
        <f>IFERROR(VLOOKUP(CONCATENATE($L1837,$N1837),'Drop List'!$G$23:$K$87,4,FALSE),0)</f>
        <v>0</v>
      </c>
      <c r="AJ1837" s="1151">
        <f>IFERROR(VLOOKUP(CONCATENATE($L1837,$N1837),'Drop List'!$G$23:$K$87,5,FALSE),0)</f>
        <v>0</v>
      </c>
      <c r="AK1837" s="1152">
        <f t="shared" si="516"/>
        <v>0</v>
      </c>
      <c r="AL1837" s="1153">
        <f t="shared" si="517"/>
        <v>0</v>
      </c>
      <c r="AM1837" s="1153">
        <f t="shared" si="518"/>
        <v>0</v>
      </c>
      <c r="AN1837" s="1145">
        <f t="shared" si="519"/>
        <v>0</v>
      </c>
      <c r="AO1837" s="1154">
        <f t="shared" si="522"/>
        <v>0</v>
      </c>
      <c r="AP1837" s="1147">
        <f t="shared" si="507"/>
        <v>0</v>
      </c>
      <c r="AQ1837" s="1144">
        <f t="shared" si="508"/>
        <v>0</v>
      </c>
      <c r="AR1837" s="1146">
        <f t="shared" si="509"/>
        <v>0</v>
      </c>
    </row>
    <row r="1838" spans="1:44" x14ac:dyDescent="0.2">
      <c r="A1838" s="1141" t="str">
        <f t="shared" si="521"/>
        <v/>
      </c>
      <c r="B1838" s="1141" t="str">
        <f>IFERROR(VLOOKUP(A1838,'LAC 103'!A:C,3,FALSE),"")</f>
        <v/>
      </c>
      <c r="C1838" s="1478" t="str">
        <f>Info!$B$8</f>
        <v>00100</v>
      </c>
      <c r="D1838" s="1474"/>
      <c r="E1838" s="1474"/>
      <c r="F1838" s="1478"/>
      <c r="G1838" s="1478"/>
      <c r="H1838" s="1474"/>
      <c r="I1838" s="1478"/>
      <c r="J1838" s="1478"/>
      <c r="K1838" s="1475"/>
      <c r="L1838" s="1474"/>
      <c r="M1838" s="1476"/>
      <c r="N1838" s="1477"/>
      <c r="O1838" s="1479"/>
      <c r="P1838" s="1479"/>
      <c r="Q1838" s="1142">
        <f t="shared" si="505"/>
        <v>0</v>
      </c>
      <c r="R1838" s="1143">
        <f>IFERROR(VLOOKUP(CONCATENATE($E1838,$G1838),'LAC 103'!$A$12:$O$95,11,FALSE),0)</f>
        <v>0</v>
      </c>
      <c r="S1838" s="1144">
        <f>IFERROR(VLOOKUP(CONCATENATE($E1838,$G1838),'LAC 103'!$A$12:$O$95,12,FALSE),0)</f>
        <v>0</v>
      </c>
      <c r="T1838" s="1144">
        <f>IFERROR(VLOOKUP(CONCATENATE($E1838,$G1838),'LAC 103'!$A$12:$O$95,13,FALSE),0)</f>
        <v>0</v>
      </c>
      <c r="U1838" s="1144">
        <f>IFERROR(VLOOKUP(CONCATENATE($E1838,$G1838),'LAC 103'!$A$12:$O$95,14,FALSE),0)</f>
        <v>0</v>
      </c>
      <c r="V1838" s="1144">
        <f>IFERROR(VLOOKUP(CONCATENATE($E1838,$G1838),'LAC 103'!$A$12:$O$95,15,FALSE),0)</f>
        <v>0</v>
      </c>
      <c r="W1838" s="1145" t="str">
        <f>IFERROR(VLOOKUP(CONCATENATE($B1838,$N1838),'LAC 103'!$AI:$AQ,9,FALSE),"")</f>
        <v/>
      </c>
      <c r="X1838" s="1146">
        <f t="shared" si="510"/>
        <v>0</v>
      </c>
      <c r="Y1838" s="1143">
        <f t="shared" si="520"/>
        <v>0</v>
      </c>
      <c r="Z1838" s="1147">
        <f t="shared" si="511"/>
        <v>0</v>
      </c>
      <c r="AA1838" s="1144">
        <f t="shared" si="512"/>
        <v>0</v>
      </c>
      <c r="AB1838" s="1144">
        <f t="shared" si="513"/>
        <v>0</v>
      </c>
      <c r="AC1838" s="1144">
        <f t="shared" si="514"/>
        <v>0</v>
      </c>
      <c r="AD1838" s="1148">
        <f t="shared" si="506"/>
        <v>0</v>
      </c>
      <c r="AE1838" s="1487">
        <v>0</v>
      </c>
      <c r="AF1838" s="1145">
        <f t="shared" si="515"/>
        <v>0</v>
      </c>
      <c r="AG1838" s="1149">
        <f>IFERROR(VLOOKUP(CONCATENATE($L1838,$N1838),'Drop List'!$G$23:$K$87,2,FALSE),0)</f>
        <v>0</v>
      </c>
      <c r="AH1838" s="1150">
        <f>IFERROR(VLOOKUP(CONCATENATE($L1838,$N1838),'Drop List'!$G$23:$K$87,3,FALSE),0)</f>
        <v>0</v>
      </c>
      <c r="AI1838" s="1150">
        <f>IFERROR(VLOOKUP(CONCATENATE($L1838,$N1838),'Drop List'!$G$23:$K$87,4,FALSE),0)</f>
        <v>0</v>
      </c>
      <c r="AJ1838" s="1151">
        <f>IFERROR(VLOOKUP(CONCATENATE($L1838,$N1838),'Drop List'!$G$23:$K$87,5,FALSE),0)</f>
        <v>0</v>
      </c>
      <c r="AK1838" s="1152">
        <f t="shared" si="516"/>
        <v>0</v>
      </c>
      <c r="AL1838" s="1153">
        <f t="shared" si="517"/>
        <v>0</v>
      </c>
      <c r="AM1838" s="1153">
        <f t="shared" si="518"/>
        <v>0</v>
      </c>
      <c r="AN1838" s="1145">
        <f t="shared" si="519"/>
        <v>0</v>
      </c>
      <c r="AO1838" s="1154">
        <f t="shared" si="522"/>
        <v>0</v>
      </c>
      <c r="AP1838" s="1147">
        <f t="shared" si="507"/>
        <v>0</v>
      </c>
      <c r="AQ1838" s="1144">
        <f t="shared" si="508"/>
        <v>0</v>
      </c>
      <c r="AR1838" s="1146">
        <f t="shared" si="509"/>
        <v>0</v>
      </c>
    </row>
    <row r="1839" spans="1:44" x14ac:dyDescent="0.2">
      <c r="A1839" s="1141" t="str">
        <f t="shared" si="521"/>
        <v/>
      </c>
      <c r="B1839" s="1141" t="str">
        <f>IFERROR(VLOOKUP(A1839,'LAC 103'!A:C,3,FALSE),"")</f>
        <v/>
      </c>
      <c r="C1839" s="1478" t="str">
        <f>Info!$B$8</f>
        <v>00100</v>
      </c>
      <c r="D1839" s="1474"/>
      <c r="E1839" s="1474"/>
      <c r="F1839" s="1478"/>
      <c r="G1839" s="1478"/>
      <c r="H1839" s="1474"/>
      <c r="I1839" s="1478"/>
      <c r="J1839" s="1478"/>
      <c r="K1839" s="1475"/>
      <c r="L1839" s="1474"/>
      <c r="M1839" s="1476"/>
      <c r="N1839" s="1477"/>
      <c r="O1839" s="1479"/>
      <c r="P1839" s="1479"/>
      <c r="Q1839" s="1142">
        <f t="shared" si="505"/>
        <v>0</v>
      </c>
      <c r="R1839" s="1143">
        <f>IFERROR(VLOOKUP(CONCATENATE($E1839,$G1839),'LAC 103'!$A$12:$O$95,11,FALSE),0)</f>
        <v>0</v>
      </c>
      <c r="S1839" s="1144">
        <f>IFERROR(VLOOKUP(CONCATENATE($E1839,$G1839),'LAC 103'!$A$12:$O$95,12,FALSE),0)</f>
        <v>0</v>
      </c>
      <c r="T1839" s="1144">
        <f>IFERROR(VLOOKUP(CONCATENATE($E1839,$G1839),'LAC 103'!$A$12:$O$95,13,FALSE),0)</f>
        <v>0</v>
      </c>
      <c r="U1839" s="1144">
        <f>IFERROR(VLOOKUP(CONCATENATE($E1839,$G1839),'LAC 103'!$A$12:$O$95,14,FALSE),0)</f>
        <v>0</v>
      </c>
      <c r="V1839" s="1144">
        <f>IFERROR(VLOOKUP(CONCATENATE($E1839,$G1839),'LAC 103'!$A$12:$O$95,15,FALSE),0)</f>
        <v>0</v>
      </c>
      <c r="W1839" s="1145" t="str">
        <f>IFERROR(VLOOKUP(CONCATENATE($B1839,$N1839),'LAC 103'!$AI:$AQ,9,FALSE),"")</f>
        <v/>
      </c>
      <c r="X1839" s="1146">
        <f t="shared" si="510"/>
        <v>0</v>
      </c>
      <c r="Y1839" s="1143">
        <f t="shared" si="520"/>
        <v>0</v>
      </c>
      <c r="Z1839" s="1147">
        <f t="shared" si="511"/>
        <v>0</v>
      </c>
      <c r="AA1839" s="1144">
        <f t="shared" si="512"/>
        <v>0</v>
      </c>
      <c r="AB1839" s="1144">
        <f t="shared" si="513"/>
        <v>0</v>
      </c>
      <c r="AC1839" s="1144">
        <f t="shared" si="514"/>
        <v>0</v>
      </c>
      <c r="AD1839" s="1148">
        <f t="shared" si="506"/>
        <v>0</v>
      </c>
      <c r="AE1839" s="1487">
        <v>0</v>
      </c>
      <c r="AF1839" s="1145">
        <f t="shared" si="515"/>
        <v>0</v>
      </c>
      <c r="AG1839" s="1149">
        <f>IFERROR(VLOOKUP(CONCATENATE($L1839,$N1839),'Drop List'!$G$23:$K$87,2,FALSE),0)</f>
        <v>0</v>
      </c>
      <c r="AH1839" s="1150">
        <f>IFERROR(VLOOKUP(CONCATENATE($L1839,$N1839),'Drop List'!$G$23:$K$87,3,FALSE),0)</f>
        <v>0</v>
      </c>
      <c r="AI1839" s="1150">
        <f>IFERROR(VLOOKUP(CONCATENATE($L1839,$N1839),'Drop List'!$G$23:$K$87,4,FALSE),0)</f>
        <v>0</v>
      </c>
      <c r="AJ1839" s="1151">
        <f>IFERROR(VLOOKUP(CONCATENATE($L1839,$N1839),'Drop List'!$G$23:$K$87,5,FALSE),0)</f>
        <v>0</v>
      </c>
      <c r="AK1839" s="1152">
        <f t="shared" si="516"/>
        <v>0</v>
      </c>
      <c r="AL1839" s="1153">
        <f t="shared" si="517"/>
        <v>0</v>
      </c>
      <c r="AM1839" s="1153">
        <f t="shared" si="518"/>
        <v>0</v>
      </c>
      <c r="AN1839" s="1145">
        <f t="shared" si="519"/>
        <v>0</v>
      </c>
      <c r="AO1839" s="1154">
        <f t="shared" si="522"/>
        <v>0</v>
      </c>
      <c r="AP1839" s="1147">
        <f t="shared" si="507"/>
        <v>0</v>
      </c>
      <c r="AQ1839" s="1144">
        <f t="shared" si="508"/>
        <v>0</v>
      </c>
      <c r="AR1839" s="1146">
        <f t="shared" si="509"/>
        <v>0</v>
      </c>
    </row>
    <row r="1840" spans="1:44" x14ac:dyDescent="0.2">
      <c r="A1840" s="1141" t="str">
        <f t="shared" si="521"/>
        <v/>
      </c>
      <c r="B1840" s="1141" t="str">
        <f>IFERROR(VLOOKUP(A1840,'LAC 103'!A:C,3,FALSE),"")</f>
        <v/>
      </c>
      <c r="C1840" s="1478" t="str">
        <f>Info!$B$8</f>
        <v>00100</v>
      </c>
      <c r="D1840" s="1474"/>
      <c r="E1840" s="1474"/>
      <c r="F1840" s="1478"/>
      <c r="G1840" s="1478"/>
      <c r="H1840" s="1474"/>
      <c r="I1840" s="1478"/>
      <c r="J1840" s="1478"/>
      <c r="K1840" s="1475"/>
      <c r="L1840" s="1474"/>
      <c r="M1840" s="1476"/>
      <c r="N1840" s="1477"/>
      <c r="O1840" s="1479"/>
      <c r="P1840" s="1479"/>
      <c r="Q1840" s="1142">
        <f t="shared" si="505"/>
        <v>0</v>
      </c>
      <c r="R1840" s="1143">
        <f>IFERROR(VLOOKUP(CONCATENATE($E1840,$G1840),'LAC 103'!$A$12:$O$95,11,FALSE),0)</f>
        <v>0</v>
      </c>
      <c r="S1840" s="1144">
        <f>IFERROR(VLOOKUP(CONCATENATE($E1840,$G1840),'LAC 103'!$A$12:$O$95,12,FALSE),0)</f>
        <v>0</v>
      </c>
      <c r="T1840" s="1144">
        <f>IFERROR(VLOOKUP(CONCATENATE($E1840,$G1840),'LAC 103'!$A$12:$O$95,13,FALSE),0)</f>
        <v>0</v>
      </c>
      <c r="U1840" s="1144">
        <f>IFERROR(VLOOKUP(CONCATENATE($E1840,$G1840),'LAC 103'!$A$12:$O$95,14,FALSE),0)</f>
        <v>0</v>
      </c>
      <c r="V1840" s="1144">
        <f>IFERROR(VLOOKUP(CONCATENATE($E1840,$G1840),'LAC 103'!$A$12:$O$95,15,FALSE),0)</f>
        <v>0</v>
      </c>
      <c r="W1840" s="1145" t="str">
        <f>IFERROR(VLOOKUP(CONCATENATE($B1840,$N1840),'LAC 103'!$AI:$AQ,9,FALSE),"")</f>
        <v/>
      </c>
      <c r="X1840" s="1146">
        <f t="shared" si="510"/>
        <v>0</v>
      </c>
      <c r="Y1840" s="1143">
        <f t="shared" si="520"/>
        <v>0</v>
      </c>
      <c r="Z1840" s="1147">
        <f t="shared" si="511"/>
        <v>0</v>
      </c>
      <c r="AA1840" s="1144">
        <f t="shared" si="512"/>
        <v>0</v>
      </c>
      <c r="AB1840" s="1144">
        <f t="shared" si="513"/>
        <v>0</v>
      </c>
      <c r="AC1840" s="1144">
        <f t="shared" si="514"/>
        <v>0</v>
      </c>
      <c r="AD1840" s="1148">
        <f t="shared" si="506"/>
        <v>0</v>
      </c>
      <c r="AE1840" s="1487">
        <v>0</v>
      </c>
      <c r="AF1840" s="1145">
        <f t="shared" si="515"/>
        <v>0</v>
      </c>
      <c r="AG1840" s="1149">
        <f>IFERROR(VLOOKUP(CONCATENATE($L1840,$N1840),'Drop List'!$G$23:$K$87,2,FALSE),0)</f>
        <v>0</v>
      </c>
      <c r="AH1840" s="1150">
        <f>IFERROR(VLOOKUP(CONCATENATE($L1840,$N1840),'Drop List'!$G$23:$K$87,3,FALSE),0)</f>
        <v>0</v>
      </c>
      <c r="AI1840" s="1150">
        <f>IFERROR(VLOOKUP(CONCATENATE($L1840,$N1840),'Drop List'!$G$23:$K$87,4,FALSE),0)</f>
        <v>0</v>
      </c>
      <c r="AJ1840" s="1151">
        <f>IFERROR(VLOOKUP(CONCATENATE($L1840,$N1840),'Drop List'!$G$23:$K$87,5,FALSE),0)</f>
        <v>0</v>
      </c>
      <c r="AK1840" s="1152">
        <f t="shared" si="516"/>
        <v>0</v>
      </c>
      <c r="AL1840" s="1153">
        <f t="shared" si="517"/>
        <v>0</v>
      </c>
      <c r="AM1840" s="1153">
        <f t="shared" si="518"/>
        <v>0</v>
      </c>
      <c r="AN1840" s="1145">
        <f t="shared" si="519"/>
        <v>0</v>
      </c>
      <c r="AO1840" s="1154">
        <f t="shared" si="522"/>
        <v>0</v>
      </c>
      <c r="AP1840" s="1147">
        <f t="shared" si="507"/>
        <v>0</v>
      </c>
      <c r="AQ1840" s="1144">
        <f t="shared" si="508"/>
        <v>0</v>
      </c>
      <c r="AR1840" s="1146">
        <f t="shared" si="509"/>
        <v>0</v>
      </c>
    </row>
    <row r="1841" spans="1:44" x14ac:dyDescent="0.2">
      <c r="A1841" s="1141" t="str">
        <f t="shared" si="521"/>
        <v/>
      </c>
      <c r="B1841" s="1141" t="str">
        <f>IFERROR(VLOOKUP(A1841,'LAC 103'!A:C,3,FALSE),"")</f>
        <v/>
      </c>
      <c r="C1841" s="1478" t="str">
        <f>Info!$B$8</f>
        <v>00100</v>
      </c>
      <c r="D1841" s="1474"/>
      <c r="E1841" s="1474"/>
      <c r="F1841" s="1478"/>
      <c r="G1841" s="1478"/>
      <c r="H1841" s="1474"/>
      <c r="I1841" s="1478"/>
      <c r="J1841" s="1478"/>
      <c r="K1841" s="1475"/>
      <c r="L1841" s="1474"/>
      <c r="M1841" s="1476"/>
      <c r="N1841" s="1477"/>
      <c r="O1841" s="1479"/>
      <c r="P1841" s="1479"/>
      <c r="Q1841" s="1142">
        <f t="shared" si="505"/>
        <v>0</v>
      </c>
      <c r="R1841" s="1143">
        <f>IFERROR(VLOOKUP(CONCATENATE($E1841,$G1841),'LAC 103'!$A$12:$O$95,11,FALSE),0)</f>
        <v>0</v>
      </c>
      <c r="S1841" s="1144">
        <f>IFERROR(VLOOKUP(CONCATENATE($E1841,$G1841),'LAC 103'!$A$12:$O$95,12,FALSE),0)</f>
        <v>0</v>
      </c>
      <c r="T1841" s="1144">
        <f>IFERROR(VLOOKUP(CONCATENATE($E1841,$G1841),'LAC 103'!$A$12:$O$95,13,FALSE),0)</f>
        <v>0</v>
      </c>
      <c r="U1841" s="1144">
        <f>IFERROR(VLOOKUP(CONCATENATE($E1841,$G1841),'LAC 103'!$A$12:$O$95,14,FALSE),0)</f>
        <v>0</v>
      </c>
      <c r="V1841" s="1144">
        <f>IFERROR(VLOOKUP(CONCATENATE($E1841,$G1841),'LAC 103'!$A$12:$O$95,15,FALSE),0)</f>
        <v>0</v>
      </c>
      <c r="W1841" s="1145" t="str">
        <f>IFERROR(VLOOKUP(CONCATENATE($B1841,$N1841),'LAC 103'!$AI:$AQ,9,FALSE),"")</f>
        <v/>
      </c>
      <c r="X1841" s="1146">
        <f t="shared" si="510"/>
        <v>0</v>
      </c>
      <c r="Y1841" s="1143">
        <f t="shared" si="520"/>
        <v>0</v>
      </c>
      <c r="Z1841" s="1147">
        <f t="shared" si="511"/>
        <v>0</v>
      </c>
      <c r="AA1841" s="1144">
        <f t="shared" si="512"/>
        <v>0</v>
      </c>
      <c r="AB1841" s="1144">
        <f t="shared" si="513"/>
        <v>0</v>
      </c>
      <c r="AC1841" s="1144">
        <f t="shared" si="514"/>
        <v>0</v>
      </c>
      <c r="AD1841" s="1148">
        <f t="shared" si="506"/>
        <v>0</v>
      </c>
      <c r="AE1841" s="1487">
        <v>0</v>
      </c>
      <c r="AF1841" s="1145">
        <f t="shared" si="515"/>
        <v>0</v>
      </c>
      <c r="AG1841" s="1149">
        <f>IFERROR(VLOOKUP(CONCATENATE($L1841,$N1841),'Drop List'!$G$23:$K$87,2,FALSE),0)</f>
        <v>0</v>
      </c>
      <c r="AH1841" s="1150">
        <f>IFERROR(VLOOKUP(CONCATENATE($L1841,$N1841),'Drop List'!$G$23:$K$87,3,FALSE),0)</f>
        <v>0</v>
      </c>
      <c r="AI1841" s="1150">
        <f>IFERROR(VLOOKUP(CONCATENATE($L1841,$N1841),'Drop List'!$G$23:$K$87,4,FALSE),0)</f>
        <v>0</v>
      </c>
      <c r="AJ1841" s="1151">
        <f>IFERROR(VLOOKUP(CONCATENATE($L1841,$N1841),'Drop List'!$G$23:$K$87,5,FALSE),0)</f>
        <v>0</v>
      </c>
      <c r="AK1841" s="1152">
        <f t="shared" si="516"/>
        <v>0</v>
      </c>
      <c r="AL1841" s="1153">
        <f t="shared" si="517"/>
        <v>0</v>
      </c>
      <c r="AM1841" s="1153">
        <f t="shared" si="518"/>
        <v>0</v>
      </c>
      <c r="AN1841" s="1145">
        <f t="shared" si="519"/>
        <v>0</v>
      </c>
      <c r="AO1841" s="1154">
        <f t="shared" si="522"/>
        <v>0</v>
      </c>
      <c r="AP1841" s="1147">
        <f t="shared" si="507"/>
        <v>0</v>
      </c>
      <c r="AQ1841" s="1144">
        <f t="shared" si="508"/>
        <v>0</v>
      </c>
      <c r="AR1841" s="1146">
        <f t="shared" si="509"/>
        <v>0</v>
      </c>
    </row>
    <row r="1842" spans="1:44" x14ac:dyDescent="0.2">
      <c r="A1842" s="1141" t="str">
        <f t="shared" si="521"/>
        <v/>
      </c>
      <c r="B1842" s="1141" t="str">
        <f>IFERROR(VLOOKUP(A1842,'LAC 103'!A:C,3,FALSE),"")</f>
        <v/>
      </c>
      <c r="C1842" s="1478" t="str">
        <f>Info!$B$8</f>
        <v>00100</v>
      </c>
      <c r="D1842" s="1474"/>
      <c r="E1842" s="1474"/>
      <c r="F1842" s="1478"/>
      <c r="G1842" s="1478"/>
      <c r="H1842" s="1474"/>
      <c r="I1842" s="1478"/>
      <c r="J1842" s="1478"/>
      <c r="K1842" s="1475"/>
      <c r="L1842" s="1474"/>
      <c r="M1842" s="1476"/>
      <c r="N1842" s="1477"/>
      <c r="O1842" s="1479"/>
      <c r="P1842" s="1479"/>
      <c r="Q1842" s="1142">
        <f t="shared" si="505"/>
        <v>0</v>
      </c>
      <c r="R1842" s="1143">
        <f>IFERROR(VLOOKUP(CONCATENATE($E1842,$G1842),'LAC 103'!$A$12:$O$95,11,FALSE),0)</f>
        <v>0</v>
      </c>
      <c r="S1842" s="1144">
        <f>IFERROR(VLOOKUP(CONCATENATE($E1842,$G1842),'LAC 103'!$A$12:$O$95,12,FALSE),0)</f>
        <v>0</v>
      </c>
      <c r="T1842" s="1144">
        <f>IFERROR(VLOOKUP(CONCATENATE($E1842,$G1842),'LAC 103'!$A$12:$O$95,13,FALSE),0)</f>
        <v>0</v>
      </c>
      <c r="U1842" s="1144">
        <f>IFERROR(VLOOKUP(CONCATENATE($E1842,$G1842),'LAC 103'!$A$12:$O$95,14,FALSE),0)</f>
        <v>0</v>
      </c>
      <c r="V1842" s="1144">
        <f>IFERROR(VLOOKUP(CONCATENATE($E1842,$G1842),'LAC 103'!$A$12:$O$95,15,FALSE),0)</f>
        <v>0</v>
      </c>
      <c r="W1842" s="1145" t="str">
        <f>IFERROR(VLOOKUP(CONCATENATE($B1842,$N1842),'LAC 103'!$AI:$AQ,9,FALSE),"")</f>
        <v/>
      </c>
      <c r="X1842" s="1146">
        <f t="shared" si="510"/>
        <v>0</v>
      </c>
      <c r="Y1842" s="1143">
        <f t="shared" si="520"/>
        <v>0</v>
      </c>
      <c r="Z1842" s="1147">
        <f t="shared" si="511"/>
        <v>0</v>
      </c>
      <c r="AA1842" s="1144">
        <f t="shared" si="512"/>
        <v>0</v>
      </c>
      <c r="AB1842" s="1144">
        <f t="shared" si="513"/>
        <v>0</v>
      </c>
      <c r="AC1842" s="1144">
        <f t="shared" si="514"/>
        <v>0</v>
      </c>
      <c r="AD1842" s="1148">
        <f t="shared" si="506"/>
        <v>0</v>
      </c>
      <c r="AE1842" s="1487">
        <v>0</v>
      </c>
      <c r="AF1842" s="1145">
        <f t="shared" si="515"/>
        <v>0</v>
      </c>
      <c r="AG1842" s="1149">
        <f>IFERROR(VLOOKUP(CONCATENATE($L1842,$N1842),'Drop List'!$G$23:$K$87,2,FALSE),0)</f>
        <v>0</v>
      </c>
      <c r="AH1842" s="1150">
        <f>IFERROR(VLOOKUP(CONCATENATE($L1842,$N1842),'Drop List'!$G$23:$K$87,3,FALSE),0)</f>
        <v>0</v>
      </c>
      <c r="AI1842" s="1150">
        <f>IFERROR(VLOOKUP(CONCATENATE($L1842,$N1842),'Drop List'!$G$23:$K$87,4,FALSE),0)</f>
        <v>0</v>
      </c>
      <c r="AJ1842" s="1151">
        <f>IFERROR(VLOOKUP(CONCATENATE($L1842,$N1842),'Drop List'!$G$23:$K$87,5,FALSE),0)</f>
        <v>0</v>
      </c>
      <c r="AK1842" s="1152">
        <f t="shared" si="516"/>
        <v>0</v>
      </c>
      <c r="AL1842" s="1153">
        <f t="shared" si="517"/>
        <v>0</v>
      </c>
      <c r="AM1842" s="1153">
        <f t="shared" si="518"/>
        <v>0</v>
      </c>
      <c r="AN1842" s="1145">
        <f t="shared" si="519"/>
        <v>0</v>
      </c>
      <c r="AO1842" s="1154">
        <f t="shared" si="522"/>
        <v>0</v>
      </c>
      <c r="AP1842" s="1147">
        <f t="shared" si="507"/>
        <v>0</v>
      </c>
      <c r="AQ1842" s="1144">
        <f t="shared" si="508"/>
        <v>0</v>
      </c>
      <c r="AR1842" s="1146">
        <f t="shared" si="509"/>
        <v>0</v>
      </c>
    </row>
    <row r="1843" spans="1:44" x14ac:dyDescent="0.2">
      <c r="A1843" s="1141" t="str">
        <f t="shared" si="521"/>
        <v/>
      </c>
      <c r="B1843" s="1141" t="str">
        <f>IFERROR(VLOOKUP(A1843,'LAC 103'!A:C,3,FALSE),"")</f>
        <v/>
      </c>
      <c r="C1843" s="1478" t="str">
        <f>Info!$B$8</f>
        <v>00100</v>
      </c>
      <c r="D1843" s="1474"/>
      <c r="E1843" s="1474"/>
      <c r="F1843" s="1478"/>
      <c r="G1843" s="1478"/>
      <c r="H1843" s="1474"/>
      <c r="I1843" s="1478"/>
      <c r="J1843" s="1478"/>
      <c r="K1843" s="1475"/>
      <c r="L1843" s="1474"/>
      <c r="M1843" s="1476"/>
      <c r="N1843" s="1477"/>
      <c r="O1843" s="1479"/>
      <c r="P1843" s="1479"/>
      <c r="Q1843" s="1142">
        <f t="shared" si="505"/>
        <v>0</v>
      </c>
      <c r="R1843" s="1143">
        <f>IFERROR(VLOOKUP(CONCATENATE($E1843,$G1843),'LAC 103'!$A$12:$O$95,11,FALSE),0)</f>
        <v>0</v>
      </c>
      <c r="S1843" s="1144">
        <f>IFERROR(VLOOKUP(CONCATENATE($E1843,$G1843),'LAC 103'!$A$12:$O$95,12,FALSE),0)</f>
        <v>0</v>
      </c>
      <c r="T1843" s="1144">
        <f>IFERROR(VLOOKUP(CONCATENATE($E1843,$G1843),'LAC 103'!$A$12:$O$95,13,FALSE),0)</f>
        <v>0</v>
      </c>
      <c r="U1843" s="1144">
        <f>IFERROR(VLOOKUP(CONCATENATE($E1843,$G1843),'LAC 103'!$A$12:$O$95,14,FALSE),0)</f>
        <v>0</v>
      </c>
      <c r="V1843" s="1144">
        <f>IFERROR(VLOOKUP(CONCATENATE($E1843,$G1843),'LAC 103'!$A$12:$O$95,15,FALSE),0)</f>
        <v>0</v>
      </c>
      <c r="W1843" s="1145" t="str">
        <f>IFERROR(VLOOKUP(CONCATENATE($B1843,$N1843),'LAC 103'!$AI:$AQ,9,FALSE),"")</f>
        <v/>
      </c>
      <c r="X1843" s="1146">
        <f t="shared" si="510"/>
        <v>0</v>
      </c>
      <c r="Y1843" s="1143">
        <f t="shared" si="520"/>
        <v>0</v>
      </c>
      <c r="Z1843" s="1147">
        <f t="shared" si="511"/>
        <v>0</v>
      </c>
      <c r="AA1843" s="1144">
        <f t="shared" si="512"/>
        <v>0</v>
      </c>
      <c r="AB1843" s="1144">
        <f t="shared" si="513"/>
        <v>0</v>
      </c>
      <c r="AC1843" s="1144">
        <f t="shared" si="514"/>
        <v>0</v>
      </c>
      <c r="AD1843" s="1148">
        <f t="shared" si="506"/>
        <v>0</v>
      </c>
      <c r="AE1843" s="1487">
        <v>0</v>
      </c>
      <c r="AF1843" s="1145">
        <f t="shared" si="515"/>
        <v>0</v>
      </c>
      <c r="AG1843" s="1149">
        <f>IFERROR(VLOOKUP(CONCATENATE($L1843,$N1843),'Drop List'!$G$23:$K$87,2,FALSE),0)</f>
        <v>0</v>
      </c>
      <c r="AH1843" s="1150">
        <f>IFERROR(VLOOKUP(CONCATENATE($L1843,$N1843),'Drop List'!$G$23:$K$87,3,FALSE),0)</f>
        <v>0</v>
      </c>
      <c r="AI1843" s="1150">
        <f>IFERROR(VLOOKUP(CONCATENATE($L1843,$N1843),'Drop List'!$G$23:$K$87,4,FALSE),0)</f>
        <v>0</v>
      </c>
      <c r="AJ1843" s="1151">
        <f>IFERROR(VLOOKUP(CONCATENATE($L1843,$N1843),'Drop List'!$G$23:$K$87,5,FALSE),0)</f>
        <v>0</v>
      </c>
      <c r="AK1843" s="1152">
        <f t="shared" si="516"/>
        <v>0</v>
      </c>
      <c r="AL1843" s="1153">
        <f t="shared" si="517"/>
        <v>0</v>
      </c>
      <c r="AM1843" s="1153">
        <f t="shared" si="518"/>
        <v>0</v>
      </c>
      <c r="AN1843" s="1145">
        <f t="shared" si="519"/>
        <v>0</v>
      </c>
      <c r="AO1843" s="1154">
        <f t="shared" si="522"/>
        <v>0</v>
      </c>
      <c r="AP1843" s="1147">
        <f t="shared" si="507"/>
        <v>0</v>
      </c>
      <c r="AQ1843" s="1144">
        <f t="shared" si="508"/>
        <v>0</v>
      </c>
      <c r="AR1843" s="1146">
        <f t="shared" si="509"/>
        <v>0</v>
      </c>
    </row>
    <row r="1844" spans="1:44" x14ac:dyDescent="0.2">
      <c r="A1844" s="1141" t="str">
        <f t="shared" si="521"/>
        <v/>
      </c>
      <c r="B1844" s="1141" t="str">
        <f>IFERROR(VLOOKUP(A1844,'LAC 103'!A:C,3,FALSE),"")</f>
        <v/>
      </c>
      <c r="C1844" s="1478" t="str">
        <f>Info!$B$8</f>
        <v>00100</v>
      </c>
      <c r="D1844" s="1474"/>
      <c r="E1844" s="1474"/>
      <c r="F1844" s="1478"/>
      <c r="G1844" s="1478"/>
      <c r="H1844" s="1474"/>
      <c r="I1844" s="1478"/>
      <c r="J1844" s="1478"/>
      <c r="K1844" s="1475"/>
      <c r="L1844" s="1474"/>
      <c r="M1844" s="1476"/>
      <c r="N1844" s="1477"/>
      <c r="O1844" s="1479"/>
      <c r="P1844" s="1479"/>
      <c r="Q1844" s="1142">
        <f t="shared" si="505"/>
        <v>0</v>
      </c>
      <c r="R1844" s="1143">
        <f>IFERROR(VLOOKUP(CONCATENATE($E1844,$G1844),'LAC 103'!$A$12:$O$95,11,FALSE),0)</f>
        <v>0</v>
      </c>
      <c r="S1844" s="1144">
        <f>IFERROR(VLOOKUP(CONCATENATE($E1844,$G1844),'LAC 103'!$A$12:$O$95,12,FALSE),0)</f>
        <v>0</v>
      </c>
      <c r="T1844" s="1144">
        <f>IFERROR(VLOOKUP(CONCATENATE($E1844,$G1844),'LAC 103'!$A$12:$O$95,13,FALSE),0)</f>
        <v>0</v>
      </c>
      <c r="U1844" s="1144">
        <f>IFERROR(VLOOKUP(CONCATENATE($E1844,$G1844),'LAC 103'!$A$12:$O$95,14,FALSE),0)</f>
        <v>0</v>
      </c>
      <c r="V1844" s="1144">
        <f>IFERROR(VLOOKUP(CONCATENATE($E1844,$G1844),'LAC 103'!$A$12:$O$95,15,FALSE),0)</f>
        <v>0</v>
      </c>
      <c r="W1844" s="1145" t="str">
        <f>IFERROR(VLOOKUP(CONCATENATE($B1844,$N1844),'LAC 103'!$AI:$AQ,9,FALSE),"")</f>
        <v/>
      </c>
      <c r="X1844" s="1146">
        <f t="shared" si="510"/>
        <v>0</v>
      </c>
      <c r="Y1844" s="1143">
        <f t="shared" si="520"/>
        <v>0</v>
      </c>
      <c r="Z1844" s="1147">
        <f t="shared" si="511"/>
        <v>0</v>
      </c>
      <c r="AA1844" s="1144">
        <f t="shared" si="512"/>
        <v>0</v>
      </c>
      <c r="AB1844" s="1144">
        <f t="shared" si="513"/>
        <v>0</v>
      </c>
      <c r="AC1844" s="1144">
        <f t="shared" si="514"/>
        <v>0</v>
      </c>
      <c r="AD1844" s="1148">
        <f t="shared" si="506"/>
        <v>0</v>
      </c>
      <c r="AE1844" s="1487">
        <v>0</v>
      </c>
      <c r="AF1844" s="1145">
        <f t="shared" si="515"/>
        <v>0</v>
      </c>
      <c r="AG1844" s="1149">
        <f>IFERROR(VLOOKUP(CONCATENATE($L1844,$N1844),'Drop List'!$G$23:$K$87,2,FALSE),0)</f>
        <v>0</v>
      </c>
      <c r="AH1844" s="1150">
        <f>IFERROR(VLOOKUP(CONCATENATE($L1844,$N1844),'Drop List'!$G$23:$K$87,3,FALSE),0)</f>
        <v>0</v>
      </c>
      <c r="AI1844" s="1150">
        <f>IFERROR(VLOOKUP(CONCATENATE($L1844,$N1844),'Drop List'!$G$23:$K$87,4,FALSE),0)</f>
        <v>0</v>
      </c>
      <c r="AJ1844" s="1151">
        <f>IFERROR(VLOOKUP(CONCATENATE($L1844,$N1844),'Drop List'!$G$23:$K$87,5,FALSE),0)</f>
        <v>0</v>
      </c>
      <c r="AK1844" s="1152">
        <f t="shared" si="516"/>
        <v>0</v>
      </c>
      <c r="AL1844" s="1153">
        <f t="shared" si="517"/>
        <v>0</v>
      </c>
      <c r="AM1844" s="1153">
        <f t="shared" si="518"/>
        <v>0</v>
      </c>
      <c r="AN1844" s="1145">
        <f t="shared" si="519"/>
        <v>0</v>
      </c>
      <c r="AO1844" s="1154">
        <f t="shared" si="522"/>
        <v>0</v>
      </c>
      <c r="AP1844" s="1147">
        <f t="shared" si="507"/>
        <v>0</v>
      </c>
      <c r="AQ1844" s="1144">
        <f t="shared" si="508"/>
        <v>0</v>
      </c>
      <c r="AR1844" s="1146">
        <f t="shared" si="509"/>
        <v>0</v>
      </c>
    </row>
    <row r="1845" spans="1:44" x14ac:dyDescent="0.2">
      <c r="A1845" s="1141" t="str">
        <f t="shared" si="521"/>
        <v/>
      </c>
      <c r="B1845" s="1141" t="str">
        <f>IFERROR(VLOOKUP(A1845,'LAC 103'!A:C,3,FALSE),"")</f>
        <v/>
      </c>
      <c r="C1845" s="1478" t="str">
        <f>Info!$B$8</f>
        <v>00100</v>
      </c>
      <c r="D1845" s="1474"/>
      <c r="E1845" s="1474"/>
      <c r="F1845" s="1478"/>
      <c r="G1845" s="1478"/>
      <c r="H1845" s="1474"/>
      <c r="I1845" s="1478"/>
      <c r="J1845" s="1478"/>
      <c r="K1845" s="1475"/>
      <c r="L1845" s="1474"/>
      <c r="M1845" s="1476"/>
      <c r="N1845" s="1477"/>
      <c r="O1845" s="1479"/>
      <c r="P1845" s="1479"/>
      <c r="Q1845" s="1142">
        <f t="shared" si="505"/>
        <v>0</v>
      </c>
      <c r="R1845" s="1143">
        <f>IFERROR(VLOOKUP(CONCATENATE($E1845,$G1845),'LAC 103'!$A$12:$O$95,11,FALSE),0)</f>
        <v>0</v>
      </c>
      <c r="S1845" s="1144">
        <f>IFERROR(VLOOKUP(CONCATENATE($E1845,$G1845),'LAC 103'!$A$12:$O$95,12,FALSE),0)</f>
        <v>0</v>
      </c>
      <c r="T1845" s="1144">
        <f>IFERROR(VLOOKUP(CONCATENATE($E1845,$G1845),'LAC 103'!$A$12:$O$95,13,FALSE),0)</f>
        <v>0</v>
      </c>
      <c r="U1845" s="1144">
        <f>IFERROR(VLOOKUP(CONCATENATE($E1845,$G1845),'LAC 103'!$A$12:$O$95,14,FALSE),0)</f>
        <v>0</v>
      </c>
      <c r="V1845" s="1144">
        <f>IFERROR(VLOOKUP(CONCATENATE($E1845,$G1845),'LAC 103'!$A$12:$O$95,15,FALSE),0)</f>
        <v>0</v>
      </c>
      <c r="W1845" s="1145" t="str">
        <f>IFERROR(VLOOKUP(CONCATENATE($B1845,$N1845),'LAC 103'!$AI:$AQ,9,FALSE),"")</f>
        <v/>
      </c>
      <c r="X1845" s="1146">
        <f t="shared" si="510"/>
        <v>0</v>
      </c>
      <c r="Y1845" s="1143">
        <f t="shared" si="520"/>
        <v>0</v>
      </c>
      <c r="Z1845" s="1147">
        <f t="shared" si="511"/>
        <v>0</v>
      </c>
      <c r="AA1845" s="1144">
        <f t="shared" si="512"/>
        <v>0</v>
      </c>
      <c r="AB1845" s="1144">
        <f t="shared" si="513"/>
        <v>0</v>
      </c>
      <c r="AC1845" s="1144">
        <f t="shared" si="514"/>
        <v>0</v>
      </c>
      <c r="AD1845" s="1148">
        <f t="shared" si="506"/>
        <v>0</v>
      </c>
      <c r="AE1845" s="1487">
        <v>0</v>
      </c>
      <c r="AF1845" s="1145">
        <f t="shared" si="515"/>
        <v>0</v>
      </c>
      <c r="AG1845" s="1149">
        <f>IFERROR(VLOOKUP(CONCATENATE($L1845,$N1845),'Drop List'!$G$23:$K$87,2,FALSE),0)</f>
        <v>0</v>
      </c>
      <c r="AH1845" s="1150">
        <f>IFERROR(VLOOKUP(CONCATENATE($L1845,$N1845),'Drop List'!$G$23:$K$87,3,FALSE),0)</f>
        <v>0</v>
      </c>
      <c r="AI1845" s="1150">
        <f>IFERROR(VLOOKUP(CONCATENATE($L1845,$N1845),'Drop List'!$G$23:$K$87,4,FALSE),0)</f>
        <v>0</v>
      </c>
      <c r="AJ1845" s="1151">
        <f>IFERROR(VLOOKUP(CONCATENATE($L1845,$N1845),'Drop List'!$G$23:$K$87,5,FALSE),0)</f>
        <v>0</v>
      </c>
      <c r="AK1845" s="1152">
        <f t="shared" si="516"/>
        <v>0</v>
      </c>
      <c r="AL1845" s="1153">
        <f t="shared" si="517"/>
        <v>0</v>
      </c>
      <c r="AM1845" s="1153">
        <f t="shared" si="518"/>
        <v>0</v>
      </c>
      <c r="AN1845" s="1145">
        <f t="shared" si="519"/>
        <v>0</v>
      </c>
      <c r="AO1845" s="1154">
        <f t="shared" si="522"/>
        <v>0</v>
      </c>
      <c r="AP1845" s="1147">
        <f t="shared" si="507"/>
        <v>0</v>
      </c>
      <c r="AQ1845" s="1144">
        <f t="shared" si="508"/>
        <v>0</v>
      </c>
      <c r="AR1845" s="1146">
        <f t="shared" si="509"/>
        <v>0</v>
      </c>
    </row>
    <row r="1846" spans="1:44" x14ac:dyDescent="0.2">
      <c r="A1846" s="1141" t="str">
        <f t="shared" si="521"/>
        <v/>
      </c>
      <c r="B1846" s="1141" t="str">
        <f>IFERROR(VLOOKUP(A1846,'LAC 103'!A:C,3,FALSE),"")</f>
        <v/>
      </c>
      <c r="C1846" s="1478" t="str">
        <f>Info!$B$8</f>
        <v>00100</v>
      </c>
      <c r="D1846" s="1474"/>
      <c r="E1846" s="1474"/>
      <c r="F1846" s="1478"/>
      <c r="G1846" s="1478"/>
      <c r="H1846" s="1474"/>
      <c r="I1846" s="1478"/>
      <c r="J1846" s="1478"/>
      <c r="K1846" s="1475"/>
      <c r="L1846" s="1474"/>
      <c r="M1846" s="1476"/>
      <c r="N1846" s="1477"/>
      <c r="O1846" s="1479"/>
      <c r="P1846" s="1479"/>
      <c r="Q1846" s="1142">
        <f t="shared" si="505"/>
        <v>0</v>
      </c>
      <c r="R1846" s="1143">
        <f>IFERROR(VLOOKUP(CONCATENATE($E1846,$G1846),'LAC 103'!$A$12:$O$95,11,FALSE),0)</f>
        <v>0</v>
      </c>
      <c r="S1846" s="1144">
        <f>IFERROR(VLOOKUP(CONCATENATE($E1846,$G1846),'LAC 103'!$A$12:$O$95,12,FALSE),0)</f>
        <v>0</v>
      </c>
      <c r="T1846" s="1144">
        <f>IFERROR(VLOOKUP(CONCATENATE($E1846,$G1846),'LAC 103'!$A$12:$O$95,13,FALSE),0)</f>
        <v>0</v>
      </c>
      <c r="U1846" s="1144">
        <f>IFERROR(VLOOKUP(CONCATENATE($E1846,$G1846),'LAC 103'!$A$12:$O$95,14,FALSE),0)</f>
        <v>0</v>
      </c>
      <c r="V1846" s="1144">
        <f>IFERROR(VLOOKUP(CONCATENATE($E1846,$G1846),'LAC 103'!$A$12:$O$95,15,FALSE),0)</f>
        <v>0</v>
      </c>
      <c r="W1846" s="1145" t="str">
        <f>IFERROR(VLOOKUP(CONCATENATE($B1846,$N1846),'LAC 103'!$AI:$AQ,9,FALSE),"")</f>
        <v/>
      </c>
      <c r="X1846" s="1146">
        <f t="shared" si="510"/>
        <v>0</v>
      </c>
      <c r="Y1846" s="1143">
        <f t="shared" si="520"/>
        <v>0</v>
      </c>
      <c r="Z1846" s="1147">
        <f t="shared" si="511"/>
        <v>0</v>
      </c>
      <c r="AA1846" s="1144">
        <f t="shared" si="512"/>
        <v>0</v>
      </c>
      <c r="AB1846" s="1144">
        <f t="shared" si="513"/>
        <v>0</v>
      </c>
      <c r="AC1846" s="1144">
        <f t="shared" si="514"/>
        <v>0</v>
      </c>
      <c r="AD1846" s="1148">
        <f t="shared" si="506"/>
        <v>0</v>
      </c>
      <c r="AE1846" s="1487">
        <v>0</v>
      </c>
      <c r="AF1846" s="1145">
        <f t="shared" si="515"/>
        <v>0</v>
      </c>
      <c r="AG1846" s="1149">
        <f>IFERROR(VLOOKUP(CONCATENATE($L1846,$N1846),'Drop List'!$G$23:$K$87,2,FALSE),0)</f>
        <v>0</v>
      </c>
      <c r="AH1846" s="1150">
        <f>IFERROR(VLOOKUP(CONCATENATE($L1846,$N1846),'Drop List'!$G$23:$K$87,3,FALSE),0)</f>
        <v>0</v>
      </c>
      <c r="AI1846" s="1150">
        <f>IFERROR(VLOOKUP(CONCATENATE($L1846,$N1846),'Drop List'!$G$23:$K$87,4,FALSE),0)</f>
        <v>0</v>
      </c>
      <c r="AJ1846" s="1151">
        <f>IFERROR(VLOOKUP(CONCATENATE($L1846,$N1846),'Drop List'!$G$23:$K$87,5,FALSE),0)</f>
        <v>0</v>
      </c>
      <c r="AK1846" s="1152">
        <f t="shared" si="516"/>
        <v>0</v>
      </c>
      <c r="AL1846" s="1153">
        <f t="shared" si="517"/>
        <v>0</v>
      </c>
      <c r="AM1846" s="1153">
        <f t="shared" si="518"/>
        <v>0</v>
      </c>
      <c r="AN1846" s="1145">
        <f t="shared" si="519"/>
        <v>0</v>
      </c>
      <c r="AO1846" s="1154">
        <f t="shared" si="522"/>
        <v>0</v>
      </c>
      <c r="AP1846" s="1147">
        <f t="shared" si="507"/>
        <v>0</v>
      </c>
      <c r="AQ1846" s="1144">
        <f t="shared" si="508"/>
        <v>0</v>
      </c>
      <c r="AR1846" s="1146">
        <f t="shared" si="509"/>
        <v>0</v>
      </c>
    </row>
    <row r="1847" spans="1:44" x14ac:dyDescent="0.2">
      <c r="A1847" s="1141" t="str">
        <f t="shared" si="521"/>
        <v/>
      </c>
      <c r="B1847" s="1141" t="str">
        <f>IFERROR(VLOOKUP(A1847,'LAC 103'!A:C,3,FALSE),"")</f>
        <v/>
      </c>
      <c r="C1847" s="1478" t="str">
        <f>Info!$B$8</f>
        <v>00100</v>
      </c>
      <c r="D1847" s="1474"/>
      <c r="E1847" s="1474"/>
      <c r="F1847" s="1478"/>
      <c r="G1847" s="1478"/>
      <c r="H1847" s="1474"/>
      <c r="I1847" s="1478"/>
      <c r="J1847" s="1478"/>
      <c r="K1847" s="1475"/>
      <c r="L1847" s="1474"/>
      <c r="M1847" s="1476"/>
      <c r="N1847" s="1477"/>
      <c r="O1847" s="1479"/>
      <c r="P1847" s="1479"/>
      <c r="Q1847" s="1142">
        <f t="shared" si="505"/>
        <v>0</v>
      </c>
      <c r="R1847" s="1143">
        <f>IFERROR(VLOOKUP(CONCATENATE($E1847,$G1847),'LAC 103'!$A$12:$O$95,11,FALSE),0)</f>
        <v>0</v>
      </c>
      <c r="S1847" s="1144">
        <f>IFERROR(VLOOKUP(CONCATENATE($E1847,$G1847),'LAC 103'!$A$12:$O$95,12,FALSE),0)</f>
        <v>0</v>
      </c>
      <c r="T1847" s="1144">
        <f>IFERROR(VLOOKUP(CONCATENATE($E1847,$G1847),'LAC 103'!$A$12:$O$95,13,FALSE),0)</f>
        <v>0</v>
      </c>
      <c r="U1847" s="1144">
        <f>IFERROR(VLOOKUP(CONCATENATE($E1847,$G1847),'LAC 103'!$A$12:$O$95,14,FALSE),0)</f>
        <v>0</v>
      </c>
      <c r="V1847" s="1144">
        <f>IFERROR(VLOOKUP(CONCATENATE($E1847,$G1847),'LAC 103'!$A$12:$O$95,15,FALSE),0)</f>
        <v>0</v>
      </c>
      <c r="W1847" s="1145" t="str">
        <f>IFERROR(VLOOKUP(CONCATENATE($B1847,$N1847),'LAC 103'!$AI:$AQ,9,FALSE),"")</f>
        <v/>
      </c>
      <c r="X1847" s="1146">
        <f t="shared" si="510"/>
        <v>0</v>
      </c>
      <c r="Y1847" s="1143">
        <f t="shared" si="520"/>
        <v>0</v>
      </c>
      <c r="Z1847" s="1147">
        <f t="shared" si="511"/>
        <v>0</v>
      </c>
      <c r="AA1847" s="1144">
        <f t="shared" si="512"/>
        <v>0</v>
      </c>
      <c r="AB1847" s="1144">
        <f t="shared" si="513"/>
        <v>0</v>
      </c>
      <c r="AC1847" s="1144">
        <f t="shared" si="514"/>
        <v>0</v>
      </c>
      <c r="AD1847" s="1148">
        <f t="shared" si="506"/>
        <v>0</v>
      </c>
      <c r="AE1847" s="1487">
        <v>0</v>
      </c>
      <c r="AF1847" s="1145">
        <f t="shared" si="515"/>
        <v>0</v>
      </c>
      <c r="AG1847" s="1149">
        <f>IFERROR(VLOOKUP(CONCATENATE($L1847,$N1847),'Drop List'!$G$23:$K$87,2,FALSE),0)</f>
        <v>0</v>
      </c>
      <c r="AH1847" s="1150">
        <f>IFERROR(VLOOKUP(CONCATENATE($L1847,$N1847),'Drop List'!$G$23:$K$87,3,FALSE),0)</f>
        <v>0</v>
      </c>
      <c r="AI1847" s="1150">
        <f>IFERROR(VLOOKUP(CONCATENATE($L1847,$N1847),'Drop List'!$G$23:$K$87,4,FALSE),0)</f>
        <v>0</v>
      </c>
      <c r="AJ1847" s="1151">
        <f>IFERROR(VLOOKUP(CONCATENATE($L1847,$N1847),'Drop List'!$G$23:$K$87,5,FALSE),0)</f>
        <v>0</v>
      </c>
      <c r="AK1847" s="1152">
        <f t="shared" si="516"/>
        <v>0</v>
      </c>
      <c r="AL1847" s="1153">
        <f t="shared" si="517"/>
        <v>0</v>
      </c>
      <c r="AM1847" s="1153">
        <f t="shared" si="518"/>
        <v>0</v>
      </c>
      <c r="AN1847" s="1145">
        <f t="shared" si="519"/>
        <v>0</v>
      </c>
      <c r="AO1847" s="1154">
        <f t="shared" si="522"/>
        <v>0</v>
      </c>
      <c r="AP1847" s="1147">
        <f t="shared" si="507"/>
        <v>0</v>
      </c>
      <c r="AQ1847" s="1144">
        <f t="shared" si="508"/>
        <v>0</v>
      </c>
      <c r="AR1847" s="1146">
        <f t="shared" si="509"/>
        <v>0</v>
      </c>
    </row>
    <row r="1848" spans="1:44" x14ac:dyDescent="0.2">
      <c r="A1848" s="1141" t="str">
        <f t="shared" si="521"/>
        <v/>
      </c>
      <c r="B1848" s="1141" t="str">
        <f>IFERROR(VLOOKUP(A1848,'LAC 103'!A:C,3,FALSE),"")</f>
        <v/>
      </c>
      <c r="C1848" s="1478" t="str">
        <f>Info!$B$8</f>
        <v>00100</v>
      </c>
      <c r="D1848" s="1474"/>
      <c r="E1848" s="1474"/>
      <c r="F1848" s="1478"/>
      <c r="G1848" s="1478"/>
      <c r="H1848" s="1474"/>
      <c r="I1848" s="1478"/>
      <c r="J1848" s="1478"/>
      <c r="K1848" s="1475"/>
      <c r="L1848" s="1474"/>
      <c r="M1848" s="1476"/>
      <c r="N1848" s="1477"/>
      <c r="O1848" s="1479"/>
      <c r="P1848" s="1479"/>
      <c r="Q1848" s="1142">
        <f t="shared" si="505"/>
        <v>0</v>
      </c>
      <c r="R1848" s="1143">
        <f>IFERROR(VLOOKUP(CONCATENATE($E1848,$G1848),'LAC 103'!$A$12:$O$95,11,FALSE),0)</f>
        <v>0</v>
      </c>
      <c r="S1848" s="1144">
        <f>IFERROR(VLOOKUP(CONCATENATE($E1848,$G1848),'LAC 103'!$A$12:$O$95,12,FALSE),0)</f>
        <v>0</v>
      </c>
      <c r="T1848" s="1144">
        <f>IFERROR(VLOOKUP(CONCATENATE($E1848,$G1848),'LAC 103'!$A$12:$O$95,13,FALSE),0)</f>
        <v>0</v>
      </c>
      <c r="U1848" s="1144">
        <f>IFERROR(VLOOKUP(CONCATENATE($E1848,$G1848),'LAC 103'!$A$12:$O$95,14,FALSE),0)</f>
        <v>0</v>
      </c>
      <c r="V1848" s="1144">
        <f>IFERROR(VLOOKUP(CONCATENATE($E1848,$G1848),'LAC 103'!$A$12:$O$95,15,FALSE),0)</f>
        <v>0</v>
      </c>
      <c r="W1848" s="1145" t="str">
        <f>IFERROR(VLOOKUP(CONCATENATE($B1848,$N1848),'LAC 103'!$AI:$AQ,9,FALSE),"")</f>
        <v/>
      </c>
      <c r="X1848" s="1146">
        <f t="shared" si="510"/>
        <v>0</v>
      </c>
      <c r="Y1848" s="1143">
        <f t="shared" si="520"/>
        <v>0</v>
      </c>
      <c r="Z1848" s="1147">
        <f t="shared" si="511"/>
        <v>0</v>
      </c>
      <c r="AA1848" s="1144">
        <f t="shared" si="512"/>
        <v>0</v>
      </c>
      <c r="AB1848" s="1144">
        <f t="shared" si="513"/>
        <v>0</v>
      </c>
      <c r="AC1848" s="1144">
        <f t="shared" si="514"/>
        <v>0</v>
      </c>
      <c r="AD1848" s="1148">
        <f t="shared" si="506"/>
        <v>0</v>
      </c>
      <c r="AE1848" s="1487">
        <v>0</v>
      </c>
      <c r="AF1848" s="1145">
        <f t="shared" si="515"/>
        <v>0</v>
      </c>
      <c r="AG1848" s="1149">
        <f>IFERROR(VLOOKUP(CONCATENATE($L1848,$N1848),'Drop List'!$G$23:$K$87,2,FALSE),0)</f>
        <v>0</v>
      </c>
      <c r="AH1848" s="1150">
        <f>IFERROR(VLOOKUP(CONCATENATE($L1848,$N1848),'Drop List'!$G$23:$K$87,3,FALSE),0)</f>
        <v>0</v>
      </c>
      <c r="AI1848" s="1150">
        <f>IFERROR(VLOOKUP(CONCATENATE($L1848,$N1848),'Drop List'!$G$23:$K$87,4,FALSE),0)</f>
        <v>0</v>
      </c>
      <c r="AJ1848" s="1151">
        <f>IFERROR(VLOOKUP(CONCATENATE($L1848,$N1848),'Drop List'!$G$23:$K$87,5,FALSE),0)</f>
        <v>0</v>
      </c>
      <c r="AK1848" s="1152">
        <f t="shared" si="516"/>
        <v>0</v>
      </c>
      <c r="AL1848" s="1153">
        <f t="shared" si="517"/>
        <v>0</v>
      </c>
      <c r="AM1848" s="1153">
        <f t="shared" si="518"/>
        <v>0</v>
      </c>
      <c r="AN1848" s="1145">
        <f t="shared" si="519"/>
        <v>0</v>
      </c>
      <c r="AO1848" s="1154">
        <f t="shared" si="522"/>
        <v>0</v>
      </c>
      <c r="AP1848" s="1147">
        <f t="shared" si="507"/>
        <v>0</v>
      </c>
      <c r="AQ1848" s="1144">
        <f t="shared" si="508"/>
        <v>0</v>
      </c>
      <c r="AR1848" s="1146">
        <f t="shared" si="509"/>
        <v>0</v>
      </c>
    </row>
    <row r="1849" spans="1:44" x14ac:dyDescent="0.2">
      <c r="A1849" s="1141" t="str">
        <f t="shared" si="521"/>
        <v/>
      </c>
      <c r="B1849" s="1141" t="str">
        <f>IFERROR(VLOOKUP(A1849,'LAC 103'!A:C,3,FALSE),"")</f>
        <v/>
      </c>
      <c r="C1849" s="1478" t="str">
        <f>Info!$B$8</f>
        <v>00100</v>
      </c>
      <c r="D1849" s="1474"/>
      <c r="E1849" s="1474"/>
      <c r="F1849" s="1478"/>
      <c r="G1849" s="1478"/>
      <c r="H1849" s="1474"/>
      <c r="I1849" s="1478"/>
      <c r="J1849" s="1478"/>
      <c r="K1849" s="1475"/>
      <c r="L1849" s="1474"/>
      <c r="M1849" s="1476"/>
      <c r="N1849" s="1477"/>
      <c r="O1849" s="1479"/>
      <c r="P1849" s="1479"/>
      <c r="Q1849" s="1142">
        <f t="shared" si="505"/>
        <v>0</v>
      </c>
      <c r="R1849" s="1143">
        <f>IFERROR(VLOOKUP(CONCATENATE($E1849,$G1849),'LAC 103'!$A$12:$O$95,11,FALSE),0)</f>
        <v>0</v>
      </c>
      <c r="S1849" s="1144">
        <f>IFERROR(VLOOKUP(CONCATENATE($E1849,$G1849),'LAC 103'!$A$12:$O$95,12,FALSE),0)</f>
        <v>0</v>
      </c>
      <c r="T1849" s="1144">
        <f>IFERROR(VLOOKUP(CONCATENATE($E1849,$G1849),'LAC 103'!$A$12:$O$95,13,FALSE),0)</f>
        <v>0</v>
      </c>
      <c r="U1849" s="1144">
        <f>IFERROR(VLOOKUP(CONCATENATE($E1849,$G1849),'LAC 103'!$A$12:$O$95,14,FALSE),0)</f>
        <v>0</v>
      </c>
      <c r="V1849" s="1144">
        <f>IFERROR(VLOOKUP(CONCATENATE($E1849,$G1849),'LAC 103'!$A$12:$O$95,15,FALSE),0)</f>
        <v>0</v>
      </c>
      <c r="W1849" s="1145" t="str">
        <f>IFERROR(VLOOKUP(CONCATENATE($B1849,$N1849),'LAC 103'!$AI:$AQ,9,FALSE),"")</f>
        <v/>
      </c>
      <c r="X1849" s="1146">
        <f t="shared" si="510"/>
        <v>0</v>
      </c>
      <c r="Y1849" s="1143">
        <f t="shared" si="520"/>
        <v>0</v>
      </c>
      <c r="Z1849" s="1147">
        <f t="shared" si="511"/>
        <v>0</v>
      </c>
      <c r="AA1849" s="1144">
        <f t="shared" si="512"/>
        <v>0</v>
      </c>
      <c r="AB1849" s="1144">
        <f t="shared" si="513"/>
        <v>0</v>
      </c>
      <c r="AC1849" s="1144">
        <f t="shared" si="514"/>
        <v>0</v>
      </c>
      <c r="AD1849" s="1148">
        <f t="shared" si="506"/>
        <v>0</v>
      </c>
      <c r="AE1849" s="1487">
        <v>0</v>
      </c>
      <c r="AF1849" s="1145">
        <f t="shared" si="515"/>
        <v>0</v>
      </c>
      <c r="AG1849" s="1149">
        <f>IFERROR(VLOOKUP(CONCATENATE($L1849,$N1849),'Drop List'!$G$23:$K$87,2,FALSE),0)</f>
        <v>0</v>
      </c>
      <c r="AH1849" s="1150">
        <f>IFERROR(VLOOKUP(CONCATENATE($L1849,$N1849),'Drop List'!$G$23:$K$87,3,FALSE),0)</f>
        <v>0</v>
      </c>
      <c r="AI1849" s="1150">
        <f>IFERROR(VLOOKUP(CONCATENATE($L1849,$N1849),'Drop List'!$G$23:$K$87,4,FALSE),0)</f>
        <v>0</v>
      </c>
      <c r="AJ1849" s="1151">
        <f>IFERROR(VLOOKUP(CONCATENATE($L1849,$N1849),'Drop List'!$G$23:$K$87,5,FALSE),0)</f>
        <v>0</v>
      </c>
      <c r="AK1849" s="1152">
        <f t="shared" si="516"/>
        <v>0</v>
      </c>
      <c r="AL1849" s="1153">
        <f t="shared" si="517"/>
        <v>0</v>
      </c>
      <c r="AM1849" s="1153">
        <f t="shared" si="518"/>
        <v>0</v>
      </c>
      <c r="AN1849" s="1145">
        <f t="shared" si="519"/>
        <v>0</v>
      </c>
      <c r="AO1849" s="1154">
        <f t="shared" si="522"/>
        <v>0</v>
      </c>
      <c r="AP1849" s="1147">
        <f t="shared" si="507"/>
        <v>0</v>
      </c>
      <c r="AQ1849" s="1144">
        <f t="shared" si="508"/>
        <v>0</v>
      </c>
      <c r="AR1849" s="1146">
        <f t="shared" si="509"/>
        <v>0</v>
      </c>
    </row>
    <row r="1850" spans="1:44" x14ac:dyDescent="0.2">
      <c r="A1850" s="1141" t="str">
        <f t="shared" si="521"/>
        <v/>
      </c>
      <c r="B1850" s="1141" t="str">
        <f>IFERROR(VLOOKUP(A1850,'LAC 103'!A:C,3,FALSE),"")</f>
        <v/>
      </c>
      <c r="C1850" s="1478" t="str">
        <f>Info!$B$8</f>
        <v>00100</v>
      </c>
      <c r="D1850" s="1474"/>
      <c r="E1850" s="1474"/>
      <c r="F1850" s="1478"/>
      <c r="G1850" s="1478"/>
      <c r="H1850" s="1474"/>
      <c r="I1850" s="1478"/>
      <c r="J1850" s="1478"/>
      <c r="K1850" s="1475"/>
      <c r="L1850" s="1474"/>
      <c r="M1850" s="1476"/>
      <c r="N1850" s="1477"/>
      <c r="O1850" s="1479"/>
      <c r="P1850" s="1479"/>
      <c r="Q1850" s="1142">
        <f t="shared" si="505"/>
        <v>0</v>
      </c>
      <c r="R1850" s="1143">
        <f>IFERROR(VLOOKUP(CONCATENATE($E1850,$G1850),'LAC 103'!$A$12:$O$95,11,FALSE),0)</f>
        <v>0</v>
      </c>
      <c r="S1850" s="1144">
        <f>IFERROR(VLOOKUP(CONCATENATE($E1850,$G1850),'LAC 103'!$A$12:$O$95,12,FALSE),0)</f>
        <v>0</v>
      </c>
      <c r="T1850" s="1144">
        <f>IFERROR(VLOOKUP(CONCATENATE($E1850,$G1850),'LAC 103'!$A$12:$O$95,13,FALSE),0)</f>
        <v>0</v>
      </c>
      <c r="U1850" s="1144">
        <f>IFERROR(VLOOKUP(CONCATENATE($E1850,$G1850),'LAC 103'!$A$12:$O$95,14,FALSE),0)</f>
        <v>0</v>
      </c>
      <c r="V1850" s="1144">
        <f>IFERROR(VLOOKUP(CONCATENATE($E1850,$G1850),'LAC 103'!$A$12:$O$95,15,FALSE),0)</f>
        <v>0</v>
      </c>
      <c r="W1850" s="1145" t="str">
        <f>IFERROR(VLOOKUP(CONCATENATE($B1850,$N1850),'LAC 103'!$AI:$AQ,9,FALSE),"")</f>
        <v/>
      </c>
      <c r="X1850" s="1146">
        <f t="shared" si="510"/>
        <v>0</v>
      </c>
      <c r="Y1850" s="1143">
        <f t="shared" si="520"/>
        <v>0</v>
      </c>
      <c r="Z1850" s="1147">
        <f t="shared" si="511"/>
        <v>0</v>
      </c>
      <c r="AA1850" s="1144">
        <f t="shared" si="512"/>
        <v>0</v>
      </c>
      <c r="AB1850" s="1144">
        <f t="shared" si="513"/>
        <v>0</v>
      </c>
      <c r="AC1850" s="1144">
        <f t="shared" si="514"/>
        <v>0</v>
      </c>
      <c r="AD1850" s="1148">
        <f t="shared" si="506"/>
        <v>0</v>
      </c>
      <c r="AE1850" s="1487">
        <v>0</v>
      </c>
      <c r="AF1850" s="1145">
        <f t="shared" si="515"/>
        <v>0</v>
      </c>
      <c r="AG1850" s="1149">
        <f>IFERROR(VLOOKUP(CONCATENATE($L1850,$N1850),'Drop List'!$G$23:$K$87,2,FALSE),0)</f>
        <v>0</v>
      </c>
      <c r="AH1850" s="1150">
        <f>IFERROR(VLOOKUP(CONCATENATE($L1850,$N1850),'Drop List'!$G$23:$K$87,3,FALSE),0)</f>
        <v>0</v>
      </c>
      <c r="AI1850" s="1150">
        <f>IFERROR(VLOOKUP(CONCATENATE($L1850,$N1850),'Drop List'!$G$23:$K$87,4,FALSE),0)</f>
        <v>0</v>
      </c>
      <c r="AJ1850" s="1151">
        <f>IFERROR(VLOOKUP(CONCATENATE($L1850,$N1850),'Drop List'!$G$23:$K$87,5,FALSE),0)</f>
        <v>0</v>
      </c>
      <c r="AK1850" s="1152">
        <f t="shared" si="516"/>
        <v>0</v>
      </c>
      <c r="AL1850" s="1153">
        <f t="shared" si="517"/>
        <v>0</v>
      </c>
      <c r="AM1850" s="1153">
        <f t="shared" si="518"/>
        <v>0</v>
      </c>
      <c r="AN1850" s="1145">
        <f t="shared" si="519"/>
        <v>0</v>
      </c>
      <c r="AO1850" s="1154">
        <f t="shared" si="522"/>
        <v>0</v>
      </c>
      <c r="AP1850" s="1147">
        <f t="shared" si="507"/>
        <v>0</v>
      </c>
      <c r="AQ1850" s="1144">
        <f t="shared" si="508"/>
        <v>0</v>
      </c>
      <c r="AR1850" s="1146">
        <f t="shared" si="509"/>
        <v>0</v>
      </c>
    </row>
    <row r="1851" spans="1:44" x14ac:dyDescent="0.2">
      <c r="A1851" s="1141" t="str">
        <f t="shared" si="521"/>
        <v/>
      </c>
      <c r="B1851" s="1141" t="str">
        <f>IFERROR(VLOOKUP(A1851,'LAC 103'!A:C,3,FALSE),"")</f>
        <v/>
      </c>
      <c r="C1851" s="1478" t="str">
        <f>Info!$B$8</f>
        <v>00100</v>
      </c>
      <c r="D1851" s="1474"/>
      <c r="E1851" s="1474"/>
      <c r="F1851" s="1478"/>
      <c r="G1851" s="1478"/>
      <c r="H1851" s="1474"/>
      <c r="I1851" s="1478"/>
      <c r="J1851" s="1478"/>
      <c r="K1851" s="1475"/>
      <c r="L1851" s="1474"/>
      <c r="M1851" s="1476"/>
      <c r="N1851" s="1477"/>
      <c r="O1851" s="1479"/>
      <c r="P1851" s="1479"/>
      <c r="Q1851" s="1142">
        <f t="shared" si="505"/>
        <v>0</v>
      </c>
      <c r="R1851" s="1143">
        <f>IFERROR(VLOOKUP(CONCATENATE($E1851,$G1851),'LAC 103'!$A$12:$O$95,11,FALSE),0)</f>
        <v>0</v>
      </c>
      <c r="S1851" s="1144">
        <f>IFERROR(VLOOKUP(CONCATENATE($E1851,$G1851),'LAC 103'!$A$12:$O$95,12,FALSE),0)</f>
        <v>0</v>
      </c>
      <c r="T1851" s="1144">
        <f>IFERROR(VLOOKUP(CONCATENATE($E1851,$G1851),'LAC 103'!$A$12:$O$95,13,FALSE),0)</f>
        <v>0</v>
      </c>
      <c r="U1851" s="1144">
        <f>IFERROR(VLOOKUP(CONCATENATE($E1851,$G1851),'LAC 103'!$A$12:$O$95,14,FALSE),0)</f>
        <v>0</v>
      </c>
      <c r="V1851" s="1144">
        <f>IFERROR(VLOOKUP(CONCATENATE($E1851,$G1851),'LAC 103'!$A$12:$O$95,15,FALSE),0)</f>
        <v>0</v>
      </c>
      <c r="W1851" s="1145" t="str">
        <f>IFERROR(VLOOKUP(CONCATENATE($B1851,$N1851),'LAC 103'!$AI:$AQ,9,FALSE),"")</f>
        <v/>
      </c>
      <c r="X1851" s="1146">
        <f t="shared" si="510"/>
        <v>0</v>
      </c>
      <c r="Y1851" s="1143">
        <f t="shared" si="520"/>
        <v>0</v>
      </c>
      <c r="Z1851" s="1147">
        <f t="shared" si="511"/>
        <v>0</v>
      </c>
      <c r="AA1851" s="1144">
        <f t="shared" si="512"/>
        <v>0</v>
      </c>
      <c r="AB1851" s="1144">
        <f t="shared" si="513"/>
        <v>0</v>
      </c>
      <c r="AC1851" s="1144">
        <f t="shared" si="514"/>
        <v>0</v>
      </c>
      <c r="AD1851" s="1148">
        <f t="shared" si="506"/>
        <v>0</v>
      </c>
      <c r="AE1851" s="1487">
        <v>0</v>
      </c>
      <c r="AF1851" s="1145">
        <f t="shared" si="515"/>
        <v>0</v>
      </c>
      <c r="AG1851" s="1149">
        <f>IFERROR(VLOOKUP(CONCATENATE($L1851,$N1851),'Drop List'!$G$23:$K$87,2,FALSE),0)</f>
        <v>0</v>
      </c>
      <c r="AH1851" s="1150">
        <f>IFERROR(VLOOKUP(CONCATENATE($L1851,$N1851),'Drop List'!$G$23:$K$87,3,FALSE),0)</f>
        <v>0</v>
      </c>
      <c r="AI1851" s="1150">
        <f>IFERROR(VLOOKUP(CONCATENATE($L1851,$N1851),'Drop List'!$G$23:$K$87,4,FALSE),0)</f>
        <v>0</v>
      </c>
      <c r="AJ1851" s="1151">
        <f>IFERROR(VLOOKUP(CONCATENATE($L1851,$N1851),'Drop List'!$G$23:$K$87,5,FALSE),0)</f>
        <v>0</v>
      </c>
      <c r="AK1851" s="1152">
        <f t="shared" si="516"/>
        <v>0</v>
      </c>
      <c r="AL1851" s="1153">
        <f t="shared" si="517"/>
        <v>0</v>
      </c>
      <c r="AM1851" s="1153">
        <f t="shared" si="518"/>
        <v>0</v>
      </c>
      <c r="AN1851" s="1145">
        <f t="shared" si="519"/>
        <v>0</v>
      </c>
      <c r="AO1851" s="1154">
        <f t="shared" si="522"/>
        <v>0</v>
      </c>
      <c r="AP1851" s="1147">
        <f t="shared" si="507"/>
        <v>0</v>
      </c>
      <c r="AQ1851" s="1144">
        <f t="shared" si="508"/>
        <v>0</v>
      </c>
      <c r="AR1851" s="1146">
        <f t="shared" si="509"/>
        <v>0</v>
      </c>
    </row>
    <row r="1852" spans="1:44" x14ac:dyDescent="0.2">
      <c r="A1852" s="1141" t="str">
        <f t="shared" si="521"/>
        <v/>
      </c>
      <c r="B1852" s="1141" t="str">
        <f>IFERROR(VLOOKUP(A1852,'LAC 103'!A:C,3,FALSE),"")</f>
        <v/>
      </c>
      <c r="C1852" s="1478" t="str">
        <f>Info!$B$8</f>
        <v>00100</v>
      </c>
      <c r="D1852" s="1474"/>
      <c r="E1852" s="1474"/>
      <c r="F1852" s="1478"/>
      <c r="G1852" s="1478"/>
      <c r="H1852" s="1474"/>
      <c r="I1852" s="1478"/>
      <c r="J1852" s="1478"/>
      <c r="K1852" s="1475"/>
      <c r="L1852" s="1474"/>
      <c r="M1852" s="1476"/>
      <c r="N1852" s="1477"/>
      <c r="O1852" s="1479"/>
      <c r="P1852" s="1479"/>
      <c r="Q1852" s="1142">
        <f t="shared" ref="Q1852:Q1915" si="523">O1852+P1852</f>
        <v>0</v>
      </c>
      <c r="R1852" s="1143">
        <f>IFERROR(VLOOKUP(CONCATENATE($E1852,$G1852),'LAC 103'!$A$12:$O$95,11,FALSE),0)</f>
        <v>0</v>
      </c>
      <c r="S1852" s="1144">
        <f>IFERROR(VLOOKUP(CONCATENATE($E1852,$G1852),'LAC 103'!$A$12:$O$95,12,FALSE),0)</f>
        <v>0</v>
      </c>
      <c r="T1852" s="1144">
        <f>IFERROR(VLOOKUP(CONCATENATE($E1852,$G1852),'LAC 103'!$A$12:$O$95,13,FALSE),0)</f>
        <v>0</v>
      </c>
      <c r="U1852" s="1144">
        <f>IFERROR(VLOOKUP(CONCATENATE($E1852,$G1852),'LAC 103'!$A$12:$O$95,14,FALSE),0)</f>
        <v>0</v>
      </c>
      <c r="V1852" s="1144">
        <f>IFERROR(VLOOKUP(CONCATENATE($E1852,$G1852),'LAC 103'!$A$12:$O$95,15,FALSE),0)</f>
        <v>0</v>
      </c>
      <c r="W1852" s="1145" t="str">
        <f>IFERROR(VLOOKUP(CONCATENATE($B1852,$N1852),'LAC 103'!$AI:$AQ,9,FALSE),"")</f>
        <v/>
      </c>
      <c r="X1852" s="1146">
        <f t="shared" si="510"/>
        <v>0</v>
      </c>
      <c r="Y1852" s="1143">
        <f t="shared" si="520"/>
        <v>0</v>
      </c>
      <c r="Z1852" s="1147">
        <f t="shared" si="511"/>
        <v>0</v>
      </c>
      <c r="AA1852" s="1144">
        <f t="shared" si="512"/>
        <v>0</v>
      </c>
      <c r="AB1852" s="1144">
        <f t="shared" si="513"/>
        <v>0</v>
      </c>
      <c r="AC1852" s="1144">
        <f t="shared" si="514"/>
        <v>0</v>
      </c>
      <c r="AD1852" s="1148">
        <f t="shared" si="506"/>
        <v>0</v>
      </c>
      <c r="AE1852" s="1487">
        <v>0</v>
      </c>
      <c r="AF1852" s="1145">
        <f t="shared" si="515"/>
        <v>0</v>
      </c>
      <c r="AG1852" s="1149">
        <f>IFERROR(VLOOKUP(CONCATENATE($L1852,$N1852),'Drop List'!$G$23:$K$87,2,FALSE),0)</f>
        <v>0</v>
      </c>
      <c r="AH1852" s="1150">
        <f>IFERROR(VLOOKUP(CONCATENATE($L1852,$N1852),'Drop List'!$G$23:$K$87,3,FALSE),0)</f>
        <v>0</v>
      </c>
      <c r="AI1852" s="1150">
        <f>IFERROR(VLOOKUP(CONCATENATE($L1852,$N1852),'Drop List'!$G$23:$K$87,4,FALSE),0)</f>
        <v>0</v>
      </c>
      <c r="AJ1852" s="1151">
        <f>IFERROR(VLOOKUP(CONCATENATE($L1852,$N1852),'Drop List'!$G$23:$K$87,5,FALSE),0)</f>
        <v>0</v>
      </c>
      <c r="AK1852" s="1152">
        <f t="shared" si="516"/>
        <v>0</v>
      </c>
      <c r="AL1852" s="1153">
        <f t="shared" si="517"/>
        <v>0</v>
      </c>
      <c r="AM1852" s="1153">
        <f t="shared" si="518"/>
        <v>0</v>
      </c>
      <c r="AN1852" s="1145">
        <f t="shared" si="519"/>
        <v>0</v>
      </c>
      <c r="AO1852" s="1154">
        <f t="shared" si="522"/>
        <v>0</v>
      </c>
      <c r="AP1852" s="1147">
        <f t="shared" si="507"/>
        <v>0</v>
      </c>
      <c r="AQ1852" s="1144">
        <f t="shared" si="508"/>
        <v>0</v>
      </c>
      <c r="AR1852" s="1146">
        <f t="shared" si="509"/>
        <v>0</v>
      </c>
    </row>
    <row r="1853" spans="1:44" x14ac:dyDescent="0.2">
      <c r="A1853" s="1141" t="str">
        <f t="shared" si="521"/>
        <v/>
      </c>
      <c r="B1853" s="1141" t="str">
        <f>IFERROR(VLOOKUP(A1853,'LAC 103'!A:C,3,FALSE),"")</f>
        <v/>
      </c>
      <c r="C1853" s="1478" t="str">
        <f>Info!$B$8</f>
        <v>00100</v>
      </c>
      <c r="D1853" s="1474"/>
      <c r="E1853" s="1474"/>
      <c r="F1853" s="1478"/>
      <c r="G1853" s="1478"/>
      <c r="H1853" s="1474"/>
      <c r="I1853" s="1478"/>
      <c r="J1853" s="1478"/>
      <c r="K1853" s="1475"/>
      <c r="L1853" s="1474"/>
      <c r="M1853" s="1476"/>
      <c r="N1853" s="1477"/>
      <c r="O1853" s="1479"/>
      <c r="P1853" s="1479"/>
      <c r="Q1853" s="1142">
        <f t="shared" si="523"/>
        <v>0</v>
      </c>
      <c r="R1853" s="1143">
        <f>IFERROR(VLOOKUP(CONCATENATE($E1853,$G1853),'LAC 103'!$A$12:$O$95,11,FALSE),0)</f>
        <v>0</v>
      </c>
      <c r="S1853" s="1144">
        <f>IFERROR(VLOOKUP(CONCATENATE($E1853,$G1853),'LAC 103'!$A$12:$O$95,12,FALSE),0)</f>
        <v>0</v>
      </c>
      <c r="T1853" s="1144">
        <f>IFERROR(VLOOKUP(CONCATENATE($E1853,$G1853),'LAC 103'!$A$12:$O$95,13,FALSE),0)</f>
        <v>0</v>
      </c>
      <c r="U1853" s="1144">
        <f>IFERROR(VLOOKUP(CONCATENATE($E1853,$G1853),'LAC 103'!$A$12:$O$95,14,FALSE),0)</f>
        <v>0</v>
      </c>
      <c r="V1853" s="1144">
        <f>IFERROR(VLOOKUP(CONCATENATE($E1853,$G1853),'LAC 103'!$A$12:$O$95,15,FALSE),0)</f>
        <v>0</v>
      </c>
      <c r="W1853" s="1145" t="str">
        <f>IFERROR(VLOOKUP(CONCATENATE($B1853,$N1853),'LAC 103'!$AI:$AQ,9,FALSE),"")</f>
        <v/>
      </c>
      <c r="X1853" s="1146">
        <f t="shared" si="510"/>
        <v>0</v>
      </c>
      <c r="Y1853" s="1143">
        <f t="shared" si="520"/>
        <v>0</v>
      </c>
      <c r="Z1853" s="1147">
        <f t="shared" si="511"/>
        <v>0</v>
      </c>
      <c r="AA1853" s="1144">
        <f t="shared" si="512"/>
        <v>0</v>
      </c>
      <c r="AB1853" s="1144">
        <f t="shared" si="513"/>
        <v>0</v>
      </c>
      <c r="AC1853" s="1144">
        <f t="shared" si="514"/>
        <v>0</v>
      </c>
      <c r="AD1853" s="1148">
        <f t="shared" si="506"/>
        <v>0</v>
      </c>
      <c r="AE1853" s="1487">
        <v>0</v>
      </c>
      <c r="AF1853" s="1145">
        <f t="shared" si="515"/>
        <v>0</v>
      </c>
      <c r="AG1853" s="1149">
        <f>IFERROR(VLOOKUP(CONCATENATE($L1853,$N1853),'Drop List'!$G$23:$K$87,2,FALSE),0)</f>
        <v>0</v>
      </c>
      <c r="AH1853" s="1150">
        <f>IFERROR(VLOOKUP(CONCATENATE($L1853,$N1853),'Drop List'!$G$23:$K$87,3,FALSE),0)</f>
        <v>0</v>
      </c>
      <c r="AI1853" s="1150">
        <f>IFERROR(VLOOKUP(CONCATENATE($L1853,$N1853),'Drop List'!$G$23:$K$87,4,FALSE),0)</f>
        <v>0</v>
      </c>
      <c r="AJ1853" s="1151">
        <f>IFERROR(VLOOKUP(CONCATENATE($L1853,$N1853),'Drop List'!$G$23:$K$87,5,FALSE),0)</f>
        <v>0</v>
      </c>
      <c r="AK1853" s="1152">
        <f t="shared" si="516"/>
        <v>0</v>
      </c>
      <c r="AL1853" s="1153">
        <f t="shared" si="517"/>
        <v>0</v>
      </c>
      <c r="AM1853" s="1153">
        <f t="shared" si="518"/>
        <v>0</v>
      </c>
      <c r="AN1853" s="1145">
        <f t="shared" si="519"/>
        <v>0</v>
      </c>
      <c r="AO1853" s="1154">
        <f t="shared" si="522"/>
        <v>0</v>
      </c>
      <c r="AP1853" s="1147">
        <f t="shared" si="507"/>
        <v>0</v>
      </c>
      <c r="AQ1853" s="1144">
        <f t="shared" si="508"/>
        <v>0</v>
      </c>
      <c r="AR1853" s="1146">
        <f t="shared" si="509"/>
        <v>0</v>
      </c>
    </row>
    <row r="1854" spans="1:44" x14ac:dyDescent="0.2">
      <c r="A1854" s="1141" t="str">
        <f t="shared" si="521"/>
        <v/>
      </c>
      <c r="B1854" s="1141" t="str">
        <f>IFERROR(VLOOKUP(A1854,'LAC 103'!A:C,3,FALSE),"")</f>
        <v/>
      </c>
      <c r="C1854" s="1478" t="str">
        <f>Info!$B$8</f>
        <v>00100</v>
      </c>
      <c r="D1854" s="1474"/>
      <c r="E1854" s="1474"/>
      <c r="F1854" s="1478"/>
      <c r="G1854" s="1478"/>
      <c r="H1854" s="1474"/>
      <c r="I1854" s="1478"/>
      <c r="J1854" s="1478"/>
      <c r="K1854" s="1475"/>
      <c r="L1854" s="1474"/>
      <c r="M1854" s="1476"/>
      <c r="N1854" s="1477"/>
      <c r="O1854" s="1479"/>
      <c r="P1854" s="1479"/>
      <c r="Q1854" s="1142">
        <f t="shared" si="523"/>
        <v>0</v>
      </c>
      <c r="R1854" s="1143">
        <f>IFERROR(VLOOKUP(CONCATENATE($E1854,$G1854),'LAC 103'!$A$12:$O$95,11,FALSE),0)</f>
        <v>0</v>
      </c>
      <c r="S1854" s="1144">
        <f>IFERROR(VLOOKUP(CONCATENATE($E1854,$G1854),'LAC 103'!$A$12:$O$95,12,FALSE),0)</f>
        <v>0</v>
      </c>
      <c r="T1854" s="1144">
        <f>IFERROR(VLOOKUP(CONCATENATE($E1854,$G1854),'LAC 103'!$A$12:$O$95,13,FALSE),0)</f>
        <v>0</v>
      </c>
      <c r="U1854" s="1144">
        <f>IFERROR(VLOOKUP(CONCATENATE($E1854,$G1854),'LAC 103'!$A$12:$O$95,14,FALSE),0)</f>
        <v>0</v>
      </c>
      <c r="V1854" s="1144">
        <f>IFERROR(VLOOKUP(CONCATENATE($E1854,$G1854),'LAC 103'!$A$12:$O$95,15,FALSE),0)</f>
        <v>0</v>
      </c>
      <c r="W1854" s="1145" t="str">
        <f>IFERROR(VLOOKUP(CONCATENATE($B1854,$N1854),'LAC 103'!$AI:$AQ,9,FALSE),"")</f>
        <v/>
      </c>
      <c r="X1854" s="1146">
        <f t="shared" si="510"/>
        <v>0</v>
      </c>
      <c r="Y1854" s="1143">
        <f t="shared" si="520"/>
        <v>0</v>
      </c>
      <c r="Z1854" s="1147">
        <f t="shared" si="511"/>
        <v>0</v>
      </c>
      <c r="AA1854" s="1144">
        <f t="shared" si="512"/>
        <v>0</v>
      </c>
      <c r="AB1854" s="1144">
        <f t="shared" si="513"/>
        <v>0</v>
      </c>
      <c r="AC1854" s="1144">
        <f t="shared" si="514"/>
        <v>0</v>
      </c>
      <c r="AD1854" s="1148">
        <f t="shared" si="506"/>
        <v>0</v>
      </c>
      <c r="AE1854" s="1487">
        <v>0</v>
      </c>
      <c r="AF1854" s="1145">
        <f t="shared" si="515"/>
        <v>0</v>
      </c>
      <c r="AG1854" s="1149">
        <f>IFERROR(VLOOKUP(CONCATENATE($L1854,$N1854),'Drop List'!$G$23:$K$87,2,FALSE),0)</f>
        <v>0</v>
      </c>
      <c r="AH1854" s="1150">
        <f>IFERROR(VLOOKUP(CONCATENATE($L1854,$N1854),'Drop List'!$G$23:$K$87,3,FALSE),0)</f>
        <v>0</v>
      </c>
      <c r="AI1854" s="1150">
        <f>IFERROR(VLOOKUP(CONCATENATE($L1854,$N1854),'Drop List'!$G$23:$K$87,4,FALSE),0)</f>
        <v>0</v>
      </c>
      <c r="AJ1854" s="1151">
        <f>IFERROR(VLOOKUP(CONCATENATE($L1854,$N1854),'Drop List'!$G$23:$K$87,5,FALSE),0)</f>
        <v>0</v>
      </c>
      <c r="AK1854" s="1152">
        <f t="shared" si="516"/>
        <v>0</v>
      </c>
      <c r="AL1854" s="1153">
        <f t="shared" si="517"/>
        <v>0</v>
      </c>
      <c r="AM1854" s="1153">
        <f t="shared" si="518"/>
        <v>0</v>
      </c>
      <c r="AN1854" s="1145">
        <f t="shared" si="519"/>
        <v>0</v>
      </c>
      <c r="AO1854" s="1154">
        <f t="shared" si="522"/>
        <v>0</v>
      </c>
      <c r="AP1854" s="1147">
        <f t="shared" si="507"/>
        <v>0</v>
      </c>
      <c r="AQ1854" s="1144">
        <f t="shared" si="508"/>
        <v>0</v>
      </c>
      <c r="AR1854" s="1146">
        <f t="shared" si="509"/>
        <v>0</v>
      </c>
    </row>
    <row r="1855" spans="1:44" x14ac:dyDescent="0.2">
      <c r="A1855" s="1141" t="str">
        <f t="shared" si="521"/>
        <v/>
      </c>
      <c r="B1855" s="1141" t="str">
        <f>IFERROR(VLOOKUP(A1855,'LAC 103'!A:C,3,FALSE),"")</f>
        <v/>
      </c>
      <c r="C1855" s="1478" t="str">
        <f>Info!$B$8</f>
        <v>00100</v>
      </c>
      <c r="D1855" s="1474"/>
      <c r="E1855" s="1474"/>
      <c r="F1855" s="1478"/>
      <c r="G1855" s="1478"/>
      <c r="H1855" s="1474"/>
      <c r="I1855" s="1478"/>
      <c r="J1855" s="1478"/>
      <c r="K1855" s="1475"/>
      <c r="L1855" s="1474"/>
      <c r="M1855" s="1476"/>
      <c r="N1855" s="1477"/>
      <c r="O1855" s="1479"/>
      <c r="P1855" s="1479"/>
      <c r="Q1855" s="1142">
        <f t="shared" si="523"/>
        <v>0</v>
      </c>
      <c r="R1855" s="1143">
        <f>IFERROR(VLOOKUP(CONCATENATE($E1855,$G1855),'LAC 103'!$A$12:$O$95,11,FALSE),0)</f>
        <v>0</v>
      </c>
      <c r="S1855" s="1144">
        <f>IFERROR(VLOOKUP(CONCATENATE($E1855,$G1855),'LAC 103'!$A$12:$O$95,12,FALSE),0)</f>
        <v>0</v>
      </c>
      <c r="T1855" s="1144">
        <f>IFERROR(VLOOKUP(CONCATENATE($E1855,$G1855),'LAC 103'!$A$12:$O$95,13,FALSE),0)</f>
        <v>0</v>
      </c>
      <c r="U1855" s="1144">
        <f>IFERROR(VLOOKUP(CONCATENATE($E1855,$G1855),'LAC 103'!$A$12:$O$95,14,FALSE),0)</f>
        <v>0</v>
      </c>
      <c r="V1855" s="1144">
        <f>IFERROR(VLOOKUP(CONCATENATE($E1855,$G1855),'LAC 103'!$A$12:$O$95,15,FALSE),0)</f>
        <v>0</v>
      </c>
      <c r="W1855" s="1145" t="str">
        <f>IFERROR(VLOOKUP(CONCATENATE($B1855,$N1855),'LAC 103'!$AI:$AQ,9,FALSE),"")</f>
        <v/>
      </c>
      <c r="X1855" s="1146">
        <f t="shared" si="510"/>
        <v>0</v>
      </c>
      <c r="Y1855" s="1143">
        <f t="shared" si="520"/>
        <v>0</v>
      </c>
      <c r="Z1855" s="1147">
        <f t="shared" si="511"/>
        <v>0</v>
      </c>
      <c r="AA1855" s="1144">
        <f t="shared" si="512"/>
        <v>0</v>
      </c>
      <c r="AB1855" s="1144">
        <f t="shared" si="513"/>
        <v>0</v>
      </c>
      <c r="AC1855" s="1144">
        <f t="shared" si="514"/>
        <v>0</v>
      </c>
      <c r="AD1855" s="1148">
        <f t="shared" si="506"/>
        <v>0</v>
      </c>
      <c r="AE1855" s="1487">
        <v>0</v>
      </c>
      <c r="AF1855" s="1145">
        <f t="shared" si="515"/>
        <v>0</v>
      </c>
      <c r="AG1855" s="1149">
        <f>IFERROR(VLOOKUP(CONCATENATE($L1855,$N1855),'Drop List'!$G$23:$K$87,2,FALSE),0)</f>
        <v>0</v>
      </c>
      <c r="AH1855" s="1150">
        <f>IFERROR(VLOOKUP(CONCATENATE($L1855,$N1855),'Drop List'!$G$23:$K$87,3,FALSE),0)</f>
        <v>0</v>
      </c>
      <c r="AI1855" s="1150">
        <f>IFERROR(VLOOKUP(CONCATENATE($L1855,$N1855),'Drop List'!$G$23:$K$87,4,FALSE),0)</f>
        <v>0</v>
      </c>
      <c r="AJ1855" s="1151">
        <f>IFERROR(VLOOKUP(CONCATENATE($L1855,$N1855),'Drop List'!$G$23:$K$87,5,FALSE),0)</f>
        <v>0</v>
      </c>
      <c r="AK1855" s="1152">
        <f t="shared" si="516"/>
        <v>0</v>
      </c>
      <c r="AL1855" s="1153">
        <f t="shared" si="517"/>
        <v>0</v>
      </c>
      <c r="AM1855" s="1153">
        <f t="shared" si="518"/>
        <v>0</v>
      </c>
      <c r="AN1855" s="1145">
        <f t="shared" si="519"/>
        <v>0</v>
      </c>
      <c r="AO1855" s="1154">
        <f t="shared" si="522"/>
        <v>0</v>
      </c>
      <c r="AP1855" s="1147">
        <f t="shared" si="507"/>
        <v>0</v>
      </c>
      <c r="AQ1855" s="1144">
        <f t="shared" si="508"/>
        <v>0</v>
      </c>
      <c r="AR1855" s="1146">
        <f t="shared" si="509"/>
        <v>0</v>
      </c>
    </row>
    <row r="1856" spans="1:44" x14ac:dyDescent="0.2">
      <c r="A1856" s="1141" t="str">
        <f t="shared" si="521"/>
        <v/>
      </c>
      <c r="B1856" s="1141" t="str">
        <f>IFERROR(VLOOKUP(A1856,'LAC 103'!A:C,3,FALSE),"")</f>
        <v/>
      </c>
      <c r="C1856" s="1478" t="str">
        <f>Info!$B$8</f>
        <v>00100</v>
      </c>
      <c r="D1856" s="1474"/>
      <c r="E1856" s="1474"/>
      <c r="F1856" s="1478"/>
      <c r="G1856" s="1478"/>
      <c r="H1856" s="1474"/>
      <c r="I1856" s="1478"/>
      <c r="J1856" s="1478"/>
      <c r="K1856" s="1475"/>
      <c r="L1856" s="1474"/>
      <c r="M1856" s="1476"/>
      <c r="N1856" s="1477"/>
      <c r="O1856" s="1479"/>
      <c r="P1856" s="1479"/>
      <c r="Q1856" s="1142">
        <f t="shared" si="523"/>
        <v>0</v>
      </c>
      <c r="R1856" s="1143">
        <f>IFERROR(VLOOKUP(CONCATENATE($E1856,$G1856),'LAC 103'!$A$12:$O$95,11,FALSE),0)</f>
        <v>0</v>
      </c>
      <c r="S1856" s="1144">
        <f>IFERROR(VLOOKUP(CONCATENATE($E1856,$G1856),'LAC 103'!$A$12:$O$95,12,FALSE),0)</f>
        <v>0</v>
      </c>
      <c r="T1856" s="1144">
        <f>IFERROR(VLOOKUP(CONCATENATE($E1856,$G1856),'LAC 103'!$A$12:$O$95,13,FALSE),0)</f>
        <v>0</v>
      </c>
      <c r="U1856" s="1144">
        <f>IFERROR(VLOOKUP(CONCATENATE($E1856,$G1856),'LAC 103'!$A$12:$O$95,14,FALSE),0)</f>
        <v>0</v>
      </c>
      <c r="V1856" s="1144">
        <f>IFERROR(VLOOKUP(CONCATENATE($E1856,$G1856),'LAC 103'!$A$12:$O$95,15,FALSE),0)</f>
        <v>0</v>
      </c>
      <c r="W1856" s="1145" t="str">
        <f>IFERROR(VLOOKUP(CONCATENATE($B1856,$N1856),'LAC 103'!$AI:$AQ,9,FALSE),"")</f>
        <v/>
      </c>
      <c r="X1856" s="1146">
        <f t="shared" si="510"/>
        <v>0</v>
      </c>
      <c r="Y1856" s="1143">
        <f t="shared" si="520"/>
        <v>0</v>
      </c>
      <c r="Z1856" s="1147">
        <f t="shared" si="511"/>
        <v>0</v>
      </c>
      <c r="AA1856" s="1144">
        <f t="shared" si="512"/>
        <v>0</v>
      </c>
      <c r="AB1856" s="1144">
        <f t="shared" si="513"/>
        <v>0</v>
      </c>
      <c r="AC1856" s="1144">
        <f t="shared" si="514"/>
        <v>0</v>
      </c>
      <c r="AD1856" s="1148">
        <f t="shared" si="506"/>
        <v>0</v>
      </c>
      <c r="AE1856" s="1487">
        <v>0</v>
      </c>
      <c r="AF1856" s="1145">
        <f t="shared" si="515"/>
        <v>0</v>
      </c>
      <c r="AG1856" s="1149">
        <f>IFERROR(VLOOKUP(CONCATENATE($L1856,$N1856),'Drop List'!$G$23:$K$87,2,FALSE),0)</f>
        <v>0</v>
      </c>
      <c r="AH1856" s="1150">
        <f>IFERROR(VLOOKUP(CONCATENATE($L1856,$N1856),'Drop List'!$G$23:$K$87,3,FALSE),0)</f>
        <v>0</v>
      </c>
      <c r="AI1856" s="1150">
        <f>IFERROR(VLOOKUP(CONCATENATE($L1856,$N1856),'Drop List'!$G$23:$K$87,4,FALSE),0)</f>
        <v>0</v>
      </c>
      <c r="AJ1856" s="1151">
        <f>IFERROR(VLOOKUP(CONCATENATE($L1856,$N1856),'Drop List'!$G$23:$K$87,5,FALSE),0)</f>
        <v>0</v>
      </c>
      <c r="AK1856" s="1152">
        <f t="shared" si="516"/>
        <v>0</v>
      </c>
      <c r="AL1856" s="1153">
        <f t="shared" si="517"/>
        <v>0</v>
      </c>
      <c r="AM1856" s="1153">
        <f t="shared" si="518"/>
        <v>0</v>
      </c>
      <c r="AN1856" s="1145">
        <f t="shared" si="519"/>
        <v>0</v>
      </c>
      <c r="AO1856" s="1154">
        <f t="shared" si="522"/>
        <v>0</v>
      </c>
      <c r="AP1856" s="1147">
        <f t="shared" si="507"/>
        <v>0</v>
      </c>
      <c r="AQ1856" s="1144">
        <f t="shared" si="508"/>
        <v>0</v>
      </c>
      <c r="AR1856" s="1146">
        <f t="shared" si="509"/>
        <v>0</v>
      </c>
    </row>
    <row r="1857" spans="1:44" x14ac:dyDescent="0.2">
      <c r="A1857" s="1141" t="str">
        <f t="shared" si="521"/>
        <v/>
      </c>
      <c r="B1857" s="1141" t="str">
        <f>IFERROR(VLOOKUP(A1857,'LAC 103'!A:C,3,FALSE),"")</f>
        <v/>
      </c>
      <c r="C1857" s="1478" t="str">
        <f>Info!$B$8</f>
        <v>00100</v>
      </c>
      <c r="D1857" s="1474"/>
      <c r="E1857" s="1474"/>
      <c r="F1857" s="1478"/>
      <c r="G1857" s="1478"/>
      <c r="H1857" s="1474"/>
      <c r="I1857" s="1478"/>
      <c r="J1857" s="1478"/>
      <c r="K1857" s="1475"/>
      <c r="L1857" s="1474"/>
      <c r="M1857" s="1476"/>
      <c r="N1857" s="1477"/>
      <c r="O1857" s="1479"/>
      <c r="P1857" s="1479"/>
      <c r="Q1857" s="1142">
        <f t="shared" si="523"/>
        <v>0</v>
      </c>
      <c r="R1857" s="1143">
        <f>IFERROR(VLOOKUP(CONCATENATE($E1857,$G1857),'LAC 103'!$A$12:$O$95,11,FALSE),0)</f>
        <v>0</v>
      </c>
      <c r="S1857" s="1144">
        <f>IFERROR(VLOOKUP(CONCATENATE($E1857,$G1857),'LAC 103'!$A$12:$O$95,12,FALSE),0)</f>
        <v>0</v>
      </c>
      <c r="T1857" s="1144">
        <f>IFERROR(VLOOKUP(CONCATENATE($E1857,$G1857),'LAC 103'!$A$12:$O$95,13,FALSE),0)</f>
        <v>0</v>
      </c>
      <c r="U1857" s="1144">
        <f>IFERROR(VLOOKUP(CONCATENATE($E1857,$G1857),'LAC 103'!$A$12:$O$95,14,FALSE),0)</f>
        <v>0</v>
      </c>
      <c r="V1857" s="1144">
        <f>IFERROR(VLOOKUP(CONCATENATE($E1857,$G1857),'LAC 103'!$A$12:$O$95,15,FALSE),0)</f>
        <v>0</v>
      </c>
      <c r="W1857" s="1145" t="str">
        <f>IFERROR(VLOOKUP(CONCATENATE($B1857,$N1857),'LAC 103'!$AI:$AQ,9,FALSE),"")</f>
        <v/>
      </c>
      <c r="X1857" s="1146">
        <f t="shared" si="510"/>
        <v>0</v>
      </c>
      <c r="Y1857" s="1143">
        <f t="shared" si="520"/>
        <v>0</v>
      </c>
      <c r="Z1857" s="1147">
        <f t="shared" si="511"/>
        <v>0</v>
      </c>
      <c r="AA1857" s="1144">
        <f t="shared" si="512"/>
        <v>0</v>
      </c>
      <c r="AB1857" s="1144">
        <f t="shared" si="513"/>
        <v>0</v>
      </c>
      <c r="AC1857" s="1144">
        <f t="shared" si="514"/>
        <v>0</v>
      </c>
      <c r="AD1857" s="1148">
        <f t="shared" si="506"/>
        <v>0</v>
      </c>
      <c r="AE1857" s="1487">
        <v>0</v>
      </c>
      <c r="AF1857" s="1145">
        <f t="shared" si="515"/>
        <v>0</v>
      </c>
      <c r="AG1857" s="1149">
        <f>IFERROR(VLOOKUP(CONCATENATE($L1857,$N1857),'Drop List'!$G$23:$K$87,2,FALSE),0)</f>
        <v>0</v>
      </c>
      <c r="AH1857" s="1150">
        <f>IFERROR(VLOOKUP(CONCATENATE($L1857,$N1857),'Drop List'!$G$23:$K$87,3,FALSE),0)</f>
        <v>0</v>
      </c>
      <c r="AI1857" s="1150">
        <f>IFERROR(VLOOKUP(CONCATENATE($L1857,$N1857),'Drop List'!$G$23:$K$87,4,FALSE),0)</f>
        <v>0</v>
      </c>
      <c r="AJ1857" s="1151">
        <f>IFERROR(VLOOKUP(CONCATENATE($L1857,$N1857),'Drop List'!$G$23:$K$87,5,FALSE),0)</f>
        <v>0</v>
      </c>
      <c r="AK1857" s="1152">
        <f t="shared" si="516"/>
        <v>0</v>
      </c>
      <c r="AL1857" s="1153">
        <f t="shared" si="517"/>
        <v>0</v>
      </c>
      <c r="AM1857" s="1153">
        <f t="shared" si="518"/>
        <v>0</v>
      </c>
      <c r="AN1857" s="1145">
        <f t="shared" si="519"/>
        <v>0</v>
      </c>
      <c r="AO1857" s="1154">
        <f t="shared" si="522"/>
        <v>0</v>
      </c>
      <c r="AP1857" s="1147">
        <f t="shared" si="507"/>
        <v>0</v>
      </c>
      <c r="AQ1857" s="1144">
        <f t="shared" si="508"/>
        <v>0</v>
      </c>
      <c r="AR1857" s="1146">
        <f t="shared" si="509"/>
        <v>0</v>
      </c>
    </row>
    <row r="1858" spans="1:44" x14ac:dyDescent="0.2">
      <c r="A1858" s="1141" t="str">
        <f t="shared" si="521"/>
        <v/>
      </c>
      <c r="B1858" s="1141" t="str">
        <f>IFERROR(VLOOKUP(A1858,'LAC 103'!A:C,3,FALSE),"")</f>
        <v/>
      </c>
      <c r="C1858" s="1478" t="str">
        <f>Info!$B$8</f>
        <v>00100</v>
      </c>
      <c r="D1858" s="1474"/>
      <c r="E1858" s="1474"/>
      <c r="F1858" s="1478"/>
      <c r="G1858" s="1478"/>
      <c r="H1858" s="1474"/>
      <c r="I1858" s="1478"/>
      <c r="J1858" s="1478"/>
      <c r="K1858" s="1475"/>
      <c r="L1858" s="1474"/>
      <c r="M1858" s="1476"/>
      <c r="N1858" s="1477"/>
      <c r="O1858" s="1479"/>
      <c r="P1858" s="1479"/>
      <c r="Q1858" s="1142">
        <f t="shared" si="523"/>
        <v>0</v>
      </c>
      <c r="R1858" s="1143">
        <f>IFERROR(VLOOKUP(CONCATENATE($E1858,$G1858),'LAC 103'!$A$12:$O$95,11,FALSE),0)</f>
        <v>0</v>
      </c>
      <c r="S1858" s="1144">
        <f>IFERROR(VLOOKUP(CONCATENATE($E1858,$G1858),'LAC 103'!$A$12:$O$95,12,FALSE),0)</f>
        <v>0</v>
      </c>
      <c r="T1858" s="1144">
        <f>IFERROR(VLOOKUP(CONCATENATE($E1858,$G1858),'LAC 103'!$A$12:$O$95,13,FALSE),0)</f>
        <v>0</v>
      </c>
      <c r="U1858" s="1144">
        <f>IFERROR(VLOOKUP(CONCATENATE($E1858,$G1858),'LAC 103'!$A$12:$O$95,14,FALSE),0)</f>
        <v>0</v>
      </c>
      <c r="V1858" s="1144">
        <f>IFERROR(VLOOKUP(CONCATENATE($E1858,$G1858),'LAC 103'!$A$12:$O$95,15,FALSE),0)</f>
        <v>0</v>
      </c>
      <c r="W1858" s="1145" t="str">
        <f>IFERROR(VLOOKUP(CONCATENATE($B1858,$N1858),'LAC 103'!$AI:$AQ,9,FALSE),"")</f>
        <v/>
      </c>
      <c r="X1858" s="1146">
        <f t="shared" si="510"/>
        <v>0</v>
      </c>
      <c r="Y1858" s="1143">
        <f t="shared" si="520"/>
        <v>0</v>
      </c>
      <c r="Z1858" s="1147">
        <f t="shared" si="511"/>
        <v>0</v>
      </c>
      <c r="AA1858" s="1144">
        <f t="shared" si="512"/>
        <v>0</v>
      </c>
      <c r="AB1858" s="1144">
        <f t="shared" si="513"/>
        <v>0</v>
      </c>
      <c r="AC1858" s="1144">
        <f t="shared" si="514"/>
        <v>0</v>
      </c>
      <c r="AD1858" s="1148">
        <f t="shared" si="506"/>
        <v>0</v>
      </c>
      <c r="AE1858" s="1487">
        <v>0</v>
      </c>
      <c r="AF1858" s="1145">
        <f t="shared" si="515"/>
        <v>0</v>
      </c>
      <c r="AG1858" s="1149">
        <f>IFERROR(VLOOKUP(CONCATENATE($L1858,$N1858),'Drop List'!$G$23:$K$87,2,FALSE),0)</f>
        <v>0</v>
      </c>
      <c r="AH1858" s="1150">
        <f>IFERROR(VLOOKUP(CONCATENATE($L1858,$N1858),'Drop List'!$G$23:$K$87,3,FALSE),0)</f>
        <v>0</v>
      </c>
      <c r="AI1858" s="1150">
        <f>IFERROR(VLOOKUP(CONCATENATE($L1858,$N1858),'Drop List'!$G$23:$K$87,4,FALSE),0)</f>
        <v>0</v>
      </c>
      <c r="AJ1858" s="1151">
        <f>IFERROR(VLOOKUP(CONCATENATE($L1858,$N1858),'Drop List'!$G$23:$K$87,5,FALSE),0)</f>
        <v>0</v>
      </c>
      <c r="AK1858" s="1152">
        <f t="shared" si="516"/>
        <v>0</v>
      </c>
      <c r="AL1858" s="1153">
        <f t="shared" si="517"/>
        <v>0</v>
      </c>
      <c r="AM1858" s="1153">
        <f t="shared" si="518"/>
        <v>0</v>
      </c>
      <c r="AN1858" s="1145">
        <f t="shared" si="519"/>
        <v>0</v>
      </c>
      <c r="AO1858" s="1154">
        <f t="shared" si="522"/>
        <v>0</v>
      </c>
      <c r="AP1858" s="1147">
        <f t="shared" si="507"/>
        <v>0</v>
      </c>
      <c r="AQ1858" s="1144">
        <f t="shared" si="508"/>
        <v>0</v>
      </c>
      <c r="AR1858" s="1146">
        <f t="shared" si="509"/>
        <v>0</v>
      </c>
    </row>
    <row r="1859" spans="1:44" x14ac:dyDescent="0.2">
      <c r="A1859" s="1141" t="str">
        <f t="shared" si="521"/>
        <v/>
      </c>
      <c r="B1859" s="1141" t="str">
        <f>IFERROR(VLOOKUP(A1859,'LAC 103'!A:C,3,FALSE),"")</f>
        <v/>
      </c>
      <c r="C1859" s="1478" t="str">
        <f>Info!$B$8</f>
        <v>00100</v>
      </c>
      <c r="D1859" s="1474"/>
      <c r="E1859" s="1474"/>
      <c r="F1859" s="1478"/>
      <c r="G1859" s="1478"/>
      <c r="H1859" s="1474"/>
      <c r="I1859" s="1478"/>
      <c r="J1859" s="1478"/>
      <c r="K1859" s="1475"/>
      <c r="L1859" s="1474"/>
      <c r="M1859" s="1476"/>
      <c r="N1859" s="1477"/>
      <c r="O1859" s="1479"/>
      <c r="P1859" s="1479"/>
      <c r="Q1859" s="1142">
        <f t="shared" si="523"/>
        <v>0</v>
      </c>
      <c r="R1859" s="1143">
        <f>IFERROR(VLOOKUP(CONCATENATE($E1859,$G1859),'LAC 103'!$A$12:$O$95,11,FALSE),0)</f>
        <v>0</v>
      </c>
      <c r="S1859" s="1144">
        <f>IFERROR(VLOOKUP(CONCATENATE($E1859,$G1859),'LAC 103'!$A$12:$O$95,12,FALSE),0)</f>
        <v>0</v>
      </c>
      <c r="T1859" s="1144">
        <f>IFERROR(VLOOKUP(CONCATENATE($E1859,$G1859),'LAC 103'!$A$12:$O$95,13,FALSE),0)</f>
        <v>0</v>
      </c>
      <c r="U1859" s="1144">
        <f>IFERROR(VLOOKUP(CONCATENATE($E1859,$G1859),'LAC 103'!$A$12:$O$95,14,FALSE),0)</f>
        <v>0</v>
      </c>
      <c r="V1859" s="1144">
        <f>IFERROR(VLOOKUP(CONCATENATE($E1859,$G1859),'LAC 103'!$A$12:$O$95,15,FALSE),0)</f>
        <v>0</v>
      </c>
      <c r="W1859" s="1145" t="str">
        <f>IFERROR(VLOOKUP(CONCATENATE($B1859,$N1859),'LAC 103'!$AI:$AQ,9,FALSE),"")</f>
        <v/>
      </c>
      <c r="X1859" s="1146">
        <f t="shared" si="510"/>
        <v>0</v>
      </c>
      <c r="Y1859" s="1143">
        <f t="shared" si="520"/>
        <v>0</v>
      </c>
      <c r="Z1859" s="1147">
        <f t="shared" si="511"/>
        <v>0</v>
      </c>
      <c r="AA1859" s="1144">
        <f t="shared" si="512"/>
        <v>0</v>
      </c>
      <c r="AB1859" s="1144">
        <f t="shared" si="513"/>
        <v>0</v>
      </c>
      <c r="AC1859" s="1144">
        <f t="shared" si="514"/>
        <v>0</v>
      </c>
      <c r="AD1859" s="1148">
        <f t="shared" si="506"/>
        <v>0</v>
      </c>
      <c r="AE1859" s="1487">
        <v>0</v>
      </c>
      <c r="AF1859" s="1145">
        <f t="shared" si="515"/>
        <v>0</v>
      </c>
      <c r="AG1859" s="1149">
        <f>IFERROR(VLOOKUP(CONCATENATE($L1859,$N1859),'Drop List'!$G$23:$K$87,2,FALSE),0)</f>
        <v>0</v>
      </c>
      <c r="AH1859" s="1150">
        <f>IFERROR(VLOOKUP(CONCATENATE($L1859,$N1859),'Drop List'!$G$23:$K$87,3,FALSE),0)</f>
        <v>0</v>
      </c>
      <c r="AI1859" s="1150">
        <f>IFERROR(VLOOKUP(CONCATENATE($L1859,$N1859),'Drop List'!$G$23:$K$87,4,FALSE),0)</f>
        <v>0</v>
      </c>
      <c r="AJ1859" s="1151">
        <f>IFERROR(VLOOKUP(CONCATENATE($L1859,$N1859),'Drop List'!$G$23:$K$87,5,FALSE),0)</f>
        <v>0</v>
      </c>
      <c r="AK1859" s="1152">
        <f t="shared" si="516"/>
        <v>0</v>
      </c>
      <c r="AL1859" s="1153">
        <f t="shared" si="517"/>
        <v>0</v>
      </c>
      <c r="AM1859" s="1153">
        <f t="shared" si="518"/>
        <v>0</v>
      </c>
      <c r="AN1859" s="1145">
        <f t="shared" si="519"/>
        <v>0</v>
      </c>
      <c r="AO1859" s="1154">
        <f t="shared" si="522"/>
        <v>0</v>
      </c>
      <c r="AP1859" s="1147">
        <f t="shared" si="507"/>
        <v>0</v>
      </c>
      <c r="AQ1859" s="1144">
        <f t="shared" si="508"/>
        <v>0</v>
      </c>
      <c r="AR1859" s="1146">
        <f t="shared" si="509"/>
        <v>0</v>
      </c>
    </row>
    <row r="1860" spans="1:44" x14ac:dyDescent="0.2">
      <c r="A1860" s="1141" t="str">
        <f t="shared" si="521"/>
        <v/>
      </c>
      <c r="B1860" s="1141" t="str">
        <f>IFERROR(VLOOKUP(A1860,'LAC 103'!A:C,3,FALSE),"")</f>
        <v/>
      </c>
      <c r="C1860" s="1478" t="str">
        <f>Info!$B$8</f>
        <v>00100</v>
      </c>
      <c r="D1860" s="1474"/>
      <c r="E1860" s="1474"/>
      <c r="F1860" s="1478"/>
      <c r="G1860" s="1478"/>
      <c r="H1860" s="1474"/>
      <c r="I1860" s="1478"/>
      <c r="J1860" s="1478"/>
      <c r="K1860" s="1475"/>
      <c r="L1860" s="1474"/>
      <c r="M1860" s="1476"/>
      <c r="N1860" s="1477"/>
      <c r="O1860" s="1479"/>
      <c r="P1860" s="1479"/>
      <c r="Q1860" s="1142">
        <f t="shared" si="523"/>
        <v>0</v>
      </c>
      <c r="R1860" s="1143">
        <f>IFERROR(VLOOKUP(CONCATENATE($E1860,$G1860),'LAC 103'!$A$12:$O$95,11,FALSE),0)</f>
        <v>0</v>
      </c>
      <c r="S1860" s="1144">
        <f>IFERROR(VLOOKUP(CONCATENATE($E1860,$G1860),'LAC 103'!$A$12:$O$95,12,FALSE),0)</f>
        <v>0</v>
      </c>
      <c r="T1860" s="1144">
        <f>IFERROR(VLOOKUP(CONCATENATE($E1860,$G1860),'LAC 103'!$A$12:$O$95,13,FALSE),0)</f>
        <v>0</v>
      </c>
      <c r="U1860" s="1144">
        <f>IFERROR(VLOOKUP(CONCATENATE($E1860,$G1860),'LAC 103'!$A$12:$O$95,14,FALSE),0)</f>
        <v>0</v>
      </c>
      <c r="V1860" s="1144">
        <f>IFERROR(VLOOKUP(CONCATENATE($E1860,$G1860),'LAC 103'!$A$12:$O$95,15,FALSE),0)</f>
        <v>0</v>
      </c>
      <c r="W1860" s="1145" t="str">
        <f>IFERROR(VLOOKUP(CONCATENATE($B1860,$N1860),'LAC 103'!$AI:$AQ,9,FALSE),"")</f>
        <v/>
      </c>
      <c r="X1860" s="1146">
        <f t="shared" si="510"/>
        <v>0</v>
      </c>
      <c r="Y1860" s="1143">
        <f t="shared" si="520"/>
        <v>0</v>
      </c>
      <c r="Z1860" s="1147">
        <f t="shared" si="511"/>
        <v>0</v>
      </c>
      <c r="AA1860" s="1144">
        <f t="shared" si="512"/>
        <v>0</v>
      </c>
      <c r="AB1860" s="1144">
        <f t="shared" si="513"/>
        <v>0</v>
      </c>
      <c r="AC1860" s="1144">
        <f t="shared" si="514"/>
        <v>0</v>
      </c>
      <c r="AD1860" s="1148">
        <f t="shared" si="506"/>
        <v>0</v>
      </c>
      <c r="AE1860" s="1487">
        <v>0</v>
      </c>
      <c r="AF1860" s="1145">
        <f t="shared" si="515"/>
        <v>0</v>
      </c>
      <c r="AG1860" s="1149">
        <f>IFERROR(VLOOKUP(CONCATENATE($L1860,$N1860),'Drop List'!$G$23:$K$87,2,FALSE),0)</f>
        <v>0</v>
      </c>
      <c r="AH1860" s="1150">
        <f>IFERROR(VLOOKUP(CONCATENATE($L1860,$N1860),'Drop List'!$G$23:$K$87,3,FALSE),0)</f>
        <v>0</v>
      </c>
      <c r="AI1860" s="1150">
        <f>IFERROR(VLOOKUP(CONCATENATE($L1860,$N1860),'Drop List'!$G$23:$K$87,4,FALSE),0)</f>
        <v>0</v>
      </c>
      <c r="AJ1860" s="1151">
        <f>IFERROR(VLOOKUP(CONCATENATE($L1860,$N1860),'Drop List'!$G$23:$K$87,5,FALSE),0)</f>
        <v>0</v>
      </c>
      <c r="AK1860" s="1152">
        <f t="shared" si="516"/>
        <v>0</v>
      </c>
      <c r="AL1860" s="1153">
        <f t="shared" si="517"/>
        <v>0</v>
      </c>
      <c r="AM1860" s="1153">
        <f t="shared" si="518"/>
        <v>0</v>
      </c>
      <c r="AN1860" s="1145">
        <f t="shared" si="519"/>
        <v>0</v>
      </c>
      <c r="AO1860" s="1154">
        <f t="shared" si="522"/>
        <v>0</v>
      </c>
      <c r="AP1860" s="1147">
        <f t="shared" si="507"/>
        <v>0</v>
      </c>
      <c r="AQ1860" s="1144">
        <f t="shared" si="508"/>
        <v>0</v>
      </c>
      <c r="AR1860" s="1146">
        <f t="shared" si="509"/>
        <v>0</v>
      </c>
    </row>
    <row r="1861" spans="1:44" x14ac:dyDescent="0.2">
      <c r="A1861" s="1141" t="str">
        <f t="shared" si="521"/>
        <v/>
      </c>
      <c r="B1861" s="1141" t="str">
        <f>IFERROR(VLOOKUP(A1861,'LAC 103'!A:C,3,FALSE),"")</f>
        <v/>
      </c>
      <c r="C1861" s="1478" t="str">
        <f>Info!$B$8</f>
        <v>00100</v>
      </c>
      <c r="D1861" s="1474"/>
      <c r="E1861" s="1474"/>
      <c r="F1861" s="1478"/>
      <c r="G1861" s="1478"/>
      <c r="H1861" s="1474"/>
      <c r="I1861" s="1478"/>
      <c r="J1861" s="1478"/>
      <c r="K1861" s="1475"/>
      <c r="L1861" s="1474"/>
      <c r="M1861" s="1476"/>
      <c r="N1861" s="1477"/>
      <c r="O1861" s="1479"/>
      <c r="P1861" s="1479"/>
      <c r="Q1861" s="1142">
        <f t="shared" si="523"/>
        <v>0</v>
      </c>
      <c r="R1861" s="1143">
        <f>IFERROR(VLOOKUP(CONCATENATE($E1861,$G1861),'LAC 103'!$A$12:$O$95,11,FALSE),0)</f>
        <v>0</v>
      </c>
      <c r="S1861" s="1144">
        <f>IFERROR(VLOOKUP(CONCATENATE($E1861,$G1861),'LAC 103'!$A$12:$O$95,12,FALSE),0)</f>
        <v>0</v>
      </c>
      <c r="T1861" s="1144">
        <f>IFERROR(VLOOKUP(CONCATENATE($E1861,$G1861),'LAC 103'!$A$12:$O$95,13,FALSE),0)</f>
        <v>0</v>
      </c>
      <c r="U1861" s="1144">
        <f>IFERROR(VLOOKUP(CONCATENATE($E1861,$G1861),'LAC 103'!$A$12:$O$95,14,FALSE),0)</f>
        <v>0</v>
      </c>
      <c r="V1861" s="1144">
        <f>IFERROR(VLOOKUP(CONCATENATE($E1861,$G1861),'LAC 103'!$A$12:$O$95,15,FALSE),0)</f>
        <v>0</v>
      </c>
      <c r="W1861" s="1145" t="str">
        <f>IFERROR(VLOOKUP(CONCATENATE($B1861,$N1861),'LAC 103'!$AI:$AQ,9,FALSE),"")</f>
        <v/>
      </c>
      <c r="X1861" s="1146">
        <f t="shared" si="510"/>
        <v>0</v>
      </c>
      <c r="Y1861" s="1143">
        <f t="shared" si="520"/>
        <v>0</v>
      </c>
      <c r="Z1861" s="1147">
        <f t="shared" si="511"/>
        <v>0</v>
      </c>
      <c r="AA1861" s="1144">
        <f t="shared" si="512"/>
        <v>0</v>
      </c>
      <c r="AB1861" s="1144">
        <f t="shared" si="513"/>
        <v>0</v>
      </c>
      <c r="AC1861" s="1144">
        <f t="shared" si="514"/>
        <v>0</v>
      </c>
      <c r="AD1861" s="1148">
        <f t="shared" si="506"/>
        <v>0</v>
      </c>
      <c r="AE1861" s="1487">
        <v>0</v>
      </c>
      <c r="AF1861" s="1145">
        <f t="shared" si="515"/>
        <v>0</v>
      </c>
      <c r="AG1861" s="1149">
        <f>IFERROR(VLOOKUP(CONCATENATE($L1861,$N1861),'Drop List'!$G$23:$K$87,2,FALSE),0)</f>
        <v>0</v>
      </c>
      <c r="AH1861" s="1150">
        <f>IFERROR(VLOOKUP(CONCATENATE($L1861,$N1861),'Drop List'!$G$23:$K$87,3,FALSE),0)</f>
        <v>0</v>
      </c>
      <c r="AI1861" s="1150">
        <f>IFERROR(VLOOKUP(CONCATENATE($L1861,$N1861),'Drop List'!$G$23:$K$87,4,FALSE),0)</f>
        <v>0</v>
      </c>
      <c r="AJ1861" s="1151">
        <f>IFERROR(VLOOKUP(CONCATENATE($L1861,$N1861),'Drop List'!$G$23:$K$87,5,FALSE),0)</f>
        <v>0</v>
      </c>
      <c r="AK1861" s="1152">
        <f t="shared" si="516"/>
        <v>0</v>
      </c>
      <c r="AL1861" s="1153">
        <f t="shared" si="517"/>
        <v>0</v>
      </c>
      <c r="AM1861" s="1153">
        <f t="shared" si="518"/>
        <v>0</v>
      </c>
      <c r="AN1861" s="1145">
        <f t="shared" si="519"/>
        <v>0</v>
      </c>
      <c r="AO1861" s="1154">
        <f t="shared" si="522"/>
        <v>0</v>
      </c>
      <c r="AP1861" s="1147">
        <f t="shared" si="507"/>
        <v>0</v>
      </c>
      <c r="AQ1861" s="1144">
        <f t="shared" si="508"/>
        <v>0</v>
      </c>
      <c r="AR1861" s="1146">
        <f t="shared" si="509"/>
        <v>0</v>
      </c>
    </row>
    <row r="1862" spans="1:44" x14ac:dyDescent="0.2">
      <c r="A1862" s="1141" t="str">
        <f t="shared" si="521"/>
        <v/>
      </c>
      <c r="B1862" s="1141" t="str">
        <f>IFERROR(VLOOKUP(A1862,'LAC 103'!A:C,3,FALSE),"")</f>
        <v/>
      </c>
      <c r="C1862" s="1478" t="str">
        <f>Info!$B$8</f>
        <v>00100</v>
      </c>
      <c r="D1862" s="1474"/>
      <c r="E1862" s="1474"/>
      <c r="F1862" s="1478"/>
      <c r="G1862" s="1478"/>
      <c r="H1862" s="1474"/>
      <c r="I1862" s="1478"/>
      <c r="J1862" s="1478"/>
      <c r="K1862" s="1475"/>
      <c r="L1862" s="1474"/>
      <c r="M1862" s="1476"/>
      <c r="N1862" s="1477"/>
      <c r="O1862" s="1479"/>
      <c r="P1862" s="1479"/>
      <c r="Q1862" s="1142">
        <f t="shared" si="523"/>
        <v>0</v>
      </c>
      <c r="R1862" s="1143">
        <f>IFERROR(VLOOKUP(CONCATENATE($E1862,$G1862),'LAC 103'!$A$12:$O$95,11,FALSE),0)</f>
        <v>0</v>
      </c>
      <c r="S1862" s="1144">
        <f>IFERROR(VLOOKUP(CONCATENATE($E1862,$G1862),'LAC 103'!$A$12:$O$95,12,FALSE),0)</f>
        <v>0</v>
      </c>
      <c r="T1862" s="1144">
        <f>IFERROR(VLOOKUP(CONCATENATE($E1862,$G1862),'LAC 103'!$A$12:$O$95,13,FALSE),0)</f>
        <v>0</v>
      </c>
      <c r="U1862" s="1144">
        <f>IFERROR(VLOOKUP(CONCATENATE($E1862,$G1862),'LAC 103'!$A$12:$O$95,14,FALSE),0)</f>
        <v>0</v>
      </c>
      <c r="V1862" s="1144">
        <f>IFERROR(VLOOKUP(CONCATENATE($E1862,$G1862),'LAC 103'!$A$12:$O$95,15,FALSE),0)</f>
        <v>0</v>
      </c>
      <c r="W1862" s="1145" t="str">
        <f>IFERROR(VLOOKUP(CONCATENATE($B1862,$N1862),'LAC 103'!$AI:$AQ,9,FALSE),"")</f>
        <v/>
      </c>
      <c r="X1862" s="1146">
        <f t="shared" si="510"/>
        <v>0</v>
      </c>
      <c r="Y1862" s="1143">
        <f t="shared" si="520"/>
        <v>0</v>
      </c>
      <c r="Z1862" s="1147">
        <f t="shared" si="511"/>
        <v>0</v>
      </c>
      <c r="AA1862" s="1144">
        <f t="shared" si="512"/>
        <v>0</v>
      </c>
      <c r="AB1862" s="1144">
        <f t="shared" si="513"/>
        <v>0</v>
      </c>
      <c r="AC1862" s="1144">
        <f t="shared" si="514"/>
        <v>0</v>
      </c>
      <c r="AD1862" s="1148">
        <f t="shared" si="506"/>
        <v>0</v>
      </c>
      <c r="AE1862" s="1487">
        <v>0</v>
      </c>
      <c r="AF1862" s="1145">
        <f t="shared" si="515"/>
        <v>0</v>
      </c>
      <c r="AG1862" s="1149">
        <f>IFERROR(VLOOKUP(CONCATENATE($L1862,$N1862),'Drop List'!$G$23:$K$87,2,FALSE),0)</f>
        <v>0</v>
      </c>
      <c r="AH1862" s="1150">
        <f>IFERROR(VLOOKUP(CONCATENATE($L1862,$N1862),'Drop List'!$G$23:$K$87,3,FALSE),0)</f>
        <v>0</v>
      </c>
      <c r="AI1862" s="1150">
        <f>IFERROR(VLOOKUP(CONCATENATE($L1862,$N1862),'Drop List'!$G$23:$K$87,4,FALSE),0)</f>
        <v>0</v>
      </c>
      <c r="AJ1862" s="1151">
        <f>IFERROR(VLOOKUP(CONCATENATE($L1862,$N1862),'Drop List'!$G$23:$K$87,5,FALSE),0)</f>
        <v>0</v>
      </c>
      <c r="AK1862" s="1152">
        <f t="shared" si="516"/>
        <v>0</v>
      </c>
      <c r="AL1862" s="1153">
        <f t="shared" si="517"/>
        <v>0</v>
      </c>
      <c r="AM1862" s="1153">
        <f t="shared" si="518"/>
        <v>0</v>
      </c>
      <c r="AN1862" s="1145">
        <f t="shared" si="519"/>
        <v>0</v>
      </c>
      <c r="AO1862" s="1154">
        <f t="shared" si="522"/>
        <v>0</v>
      </c>
      <c r="AP1862" s="1147">
        <f t="shared" si="507"/>
        <v>0</v>
      </c>
      <c r="AQ1862" s="1144">
        <f t="shared" si="508"/>
        <v>0</v>
      </c>
      <c r="AR1862" s="1146">
        <f t="shared" si="509"/>
        <v>0</v>
      </c>
    </row>
    <row r="1863" spans="1:44" x14ac:dyDescent="0.2">
      <c r="A1863" s="1141" t="str">
        <f t="shared" si="521"/>
        <v/>
      </c>
      <c r="B1863" s="1141" t="str">
        <f>IFERROR(VLOOKUP(A1863,'LAC 103'!A:C,3,FALSE),"")</f>
        <v/>
      </c>
      <c r="C1863" s="1478" t="str">
        <f>Info!$B$8</f>
        <v>00100</v>
      </c>
      <c r="D1863" s="1474"/>
      <c r="E1863" s="1474"/>
      <c r="F1863" s="1478"/>
      <c r="G1863" s="1478"/>
      <c r="H1863" s="1474"/>
      <c r="I1863" s="1478"/>
      <c r="J1863" s="1478"/>
      <c r="K1863" s="1475"/>
      <c r="L1863" s="1474"/>
      <c r="M1863" s="1476"/>
      <c r="N1863" s="1477"/>
      <c r="O1863" s="1479"/>
      <c r="P1863" s="1479"/>
      <c r="Q1863" s="1142">
        <f t="shared" si="523"/>
        <v>0</v>
      </c>
      <c r="R1863" s="1143">
        <f>IFERROR(VLOOKUP(CONCATENATE($E1863,$G1863),'LAC 103'!$A$12:$O$95,11,FALSE),0)</f>
        <v>0</v>
      </c>
      <c r="S1863" s="1144">
        <f>IFERROR(VLOOKUP(CONCATENATE($E1863,$G1863),'LAC 103'!$A$12:$O$95,12,FALSE),0)</f>
        <v>0</v>
      </c>
      <c r="T1863" s="1144">
        <f>IFERROR(VLOOKUP(CONCATENATE($E1863,$G1863),'LAC 103'!$A$12:$O$95,13,FALSE),0)</f>
        <v>0</v>
      </c>
      <c r="U1863" s="1144">
        <f>IFERROR(VLOOKUP(CONCATENATE($E1863,$G1863),'LAC 103'!$A$12:$O$95,14,FALSE),0)</f>
        <v>0</v>
      </c>
      <c r="V1863" s="1144">
        <f>IFERROR(VLOOKUP(CONCATENATE($E1863,$G1863),'LAC 103'!$A$12:$O$95,15,FALSE),0)</f>
        <v>0</v>
      </c>
      <c r="W1863" s="1145" t="str">
        <f>IFERROR(VLOOKUP(CONCATENATE($B1863,$N1863),'LAC 103'!$AI:$AQ,9,FALSE),"")</f>
        <v/>
      </c>
      <c r="X1863" s="1146">
        <f t="shared" si="510"/>
        <v>0</v>
      </c>
      <c r="Y1863" s="1143">
        <f t="shared" si="520"/>
        <v>0</v>
      </c>
      <c r="Z1863" s="1147">
        <f t="shared" si="511"/>
        <v>0</v>
      </c>
      <c r="AA1863" s="1144">
        <f t="shared" si="512"/>
        <v>0</v>
      </c>
      <c r="AB1863" s="1144">
        <f t="shared" si="513"/>
        <v>0</v>
      </c>
      <c r="AC1863" s="1144">
        <f t="shared" si="514"/>
        <v>0</v>
      </c>
      <c r="AD1863" s="1148">
        <f t="shared" ref="AD1863:AD1926" si="524">Q1863*X1863</f>
        <v>0</v>
      </c>
      <c r="AE1863" s="1487">
        <v>0</v>
      </c>
      <c r="AF1863" s="1145">
        <f t="shared" si="515"/>
        <v>0</v>
      </c>
      <c r="AG1863" s="1149">
        <f>IFERROR(VLOOKUP(CONCATENATE($L1863,$N1863),'Drop List'!$G$23:$K$87,2,FALSE),0)</f>
        <v>0</v>
      </c>
      <c r="AH1863" s="1150">
        <f>IFERROR(VLOOKUP(CONCATENATE($L1863,$N1863),'Drop List'!$G$23:$K$87,3,FALSE),0)</f>
        <v>0</v>
      </c>
      <c r="AI1863" s="1150">
        <f>IFERROR(VLOOKUP(CONCATENATE($L1863,$N1863),'Drop List'!$G$23:$K$87,4,FALSE),0)</f>
        <v>0</v>
      </c>
      <c r="AJ1863" s="1151">
        <f>IFERROR(VLOOKUP(CONCATENATE($L1863,$N1863),'Drop List'!$G$23:$K$87,5,FALSE),0)</f>
        <v>0</v>
      </c>
      <c r="AK1863" s="1152">
        <f t="shared" si="516"/>
        <v>0</v>
      </c>
      <c r="AL1863" s="1153">
        <f t="shared" si="517"/>
        <v>0</v>
      </c>
      <c r="AM1863" s="1153">
        <f t="shared" si="518"/>
        <v>0</v>
      </c>
      <c r="AN1863" s="1145">
        <f t="shared" si="519"/>
        <v>0</v>
      </c>
      <c r="AO1863" s="1154">
        <f t="shared" si="522"/>
        <v>0</v>
      </c>
      <c r="AP1863" s="1147">
        <f t="shared" ref="AP1863:AP1926" si="525">IF($L1863="14",$AF1863,0)</f>
        <v>0</v>
      </c>
      <c r="AQ1863" s="1144">
        <f t="shared" ref="AQ1863:AQ1926" si="526">IF($L1863="15",$AF1863,0)</f>
        <v>0</v>
      </c>
      <c r="AR1863" s="1146">
        <f t="shared" ref="AR1863:AR1926" si="527">AO1863+AP1863+AQ1863</f>
        <v>0</v>
      </c>
    </row>
    <row r="1864" spans="1:44" x14ac:dyDescent="0.2">
      <c r="A1864" s="1141" t="str">
        <f t="shared" si="521"/>
        <v/>
      </c>
      <c r="B1864" s="1141" t="str">
        <f>IFERROR(VLOOKUP(A1864,'LAC 103'!A:C,3,FALSE),"")</f>
        <v/>
      </c>
      <c r="C1864" s="1478" t="str">
        <f>Info!$B$8</f>
        <v>00100</v>
      </c>
      <c r="D1864" s="1474"/>
      <c r="E1864" s="1474"/>
      <c r="F1864" s="1478"/>
      <c r="G1864" s="1478"/>
      <c r="H1864" s="1474"/>
      <c r="I1864" s="1478"/>
      <c r="J1864" s="1478"/>
      <c r="K1864" s="1475"/>
      <c r="L1864" s="1474"/>
      <c r="M1864" s="1476"/>
      <c r="N1864" s="1477"/>
      <c r="O1864" s="1479"/>
      <c r="P1864" s="1479"/>
      <c r="Q1864" s="1142">
        <f t="shared" si="523"/>
        <v>0</v>
      </c>
      <c r="R1864" s="1143">
        <f>IFERROR(VLOOKUP(CONCATENATE($E1864,$G1864),'LAC 103'!$A$12:$O$95,11,FALSE),0)</f>
        <v>0</v>
      </c>
      <c r="S1864" s="1144">
        <f>IFERROR(VLOOKUP(CONCATENATE($E1864,$G1864),'LAC 103'!$A$12:$O$95,12,FALSE),0)</f>
        <v>0</v>
      </c>
      <c r="T1864" s="1144">
        <f>IFERROR(VLOOKUP(CONCATENATE($E1864,$G1864),'LAC 103'!$A$12:$O$95,13,FALSE),0)</f>
        <v>0</v>
      </c>
      <c r="U1864" s="1144">
        <f>IFERROR(VLOOKUP(CONCATENATE($E1864,$G1864),'LAC 103'!$A$12:$O$95,14,FALSE),0)</f>
        <v>0</v>
      </c>
      <c r="V1864" s="1144">
        <f>IFERROR(VLOOKUP(CONCATENATE($E1864,$G1864),'LAC 103'!$A$12:$O$95,15,FALSE),0)</f>
        <v>0</v>
      </c>
      <c r="W1864" s="1145" t="str">
        <f>IFERROR(VLOOKUP(CONCATENATE($B1864,$N1864),'LAC 103'!$AI:$AQ,9,FALSE),"")</f>
        <v/>
      </c>
      <c r="X1864" s="1146">
        <f t="shared" ref="X1864:X1927" si="528">IF($W1864="Costs",$R1864,IF($W1864="CMA",$S1864,IF($W1864="P.C.",$T1864,IF($W1864="SMA",$U1864,$V1864))))</f>
        <v>0</v>
      </c>
      <c r="Y1864" s="1143">
        <f t="shared" si="520"/>
        <v>0</v>
      </c>
      <c r="Z1864" s="1147">
        <f t="shared" ref="Z1864:Z1927" si="529">IF(S1864=0,Y1864,$Q1864*S1864)</f>
        <v>0</v>
      </c>
      <c r="AA1864" s="1144">
        <f t="shared" ref="AA1864:AA1927" si="530">IF(T1864=0,Y1864,$Q1864*T1864)</f>
        <v>0</v>
      </c>
      <c r="AB1864" s="1144">
        <f t="shared" ref="AB1864:AB1927" si="531">$Q1864*U1864</f>
        <v>0</v>
      </c>
      <c r="AC1864" s="1144">
        <f t="shared" ref="AC1864:AC1927" si="532">$Q1864*V1864</f>
        <v>0</v>
      </c>
      <c r="AD1864" s="1148">
        <f t="shared" si="524"/>
        <v>0</v>
      </c>
      <c r="AE1864" s="1487">
        <v>0</v>
      </c>
      <c r="AF1864" s="1145">
        <f t="shared" ref="AF1864:AF1927" si="533">AD1864-AE1864</f>
        <v>0</v>
      </c>
      <c r="AG1864" s="1149">
        <f>IFERROR(VLOOKUP(CONCATENATE($L1864,$N1864),'Drop List'!$G$23:$K$87,2,FALSE),0)</f>
        <v>0</v>
      </c>
      <c r="AH1864" s="1150">
        <f>IFERROR(VLOOKUP(CONCATENATE($L1864,$N1864),'Drop List'!$G$23:$K$87,3,FALSE),0)</f>
        <v>0</v>
      </c>
      <c r="AI1864" s="1150">
        <f>IFERROR(VLOOKUP(CONCATENATE($L1864,$N1864),'Drop List'!$G$23:$K$87,4,FALSE),0)</f>
        <v>0</v>
      </c>
      <c r="AJ1864" s="1151">
        <f>IFERROR(VLOOKUP(CONCATENATE($L1864,$N1864),'Drop List'!$G$23:$K$87,5,FALSE),0)</f>
        <v>0</v>
      </c>
      <c r="AK1864" s="1152">
        <f t="shared" ref="AK1864:AK1927" si="534">IFERROR($AF1864*AG1864,0)</f>
        <v>0</v>
      </c>
      <c r="AL1864" s="1153">
        <f t="shared" ref="AL1864:AL1927" si="535">IFERROR($AF1864*AH1864,0)</f>
        <v>0</v>
      </c>
      <c r="AM1864" s="1153">
        <f t="shared" ref="AM1864:AM1927" si="536">IFERROR($AF1864*AI1864,0)</f>
        <v>0</v>
      </c>
      <c r="AN1864" s="1145">
        <f t="shared" ref="AN1864:AN1927" si="537">IFERROR($AF1864*AJ1864,0)</f>
        <v>0</v>
      </c>
      <c r="AO1864" s="1154">
        <f t="shared" si="522"/>
        <v>0</v>
      </c>
      <c r="AP1864" s="1147">
        <f t="shared" si="525"/>
        <v>0</v>
      </c>
      <c r="AQ1864" s="1144">
        <f t="shared" si="526"/>
        <v>0</v>
      </c>
      <c r="AR1864" s="1146">
        <f t="shared" si="527"/>
        <v>0</v>
      </c>
    </row>
    <row r="1865" spans="1:44" x14ac:dyDescent="0.2">
      <c r="A1865" s="1141" t="str">
        <f t="shared" si="521"/>
        <v/>
      </c>
      <c r="B1865" s="1141" t="str">
        <f>IFERROR(VLOOKUP(A1865,'LAC 103'!A:C,3,FALSE),"")</f>
        <v/>
      </c>
      <c r="C1865" s="1478" t="str">
        <f>Info!$B$8</f>
        <v>00100</v>
      </c>
      <c r="D1865" s="1474"/>
      <c r="E1865" s="1474"/>
      <c r="F1865" s="1478"/>
      <c r="G1865" s="1478"/>
      <c r="H1865" s="1474"/>
      <c r="I1865" s="1478"/>
      <c r="J1865" s="1478"/>
      <c r="K1865" s="1475"/>
      <c r="L1865" s="1474"/>
      <c r="M1865" s="1476"/>
      <c r="N1865" s="1477"/>
      <c r="O1865" s="1479"/>
      <c r="P1865" s="1479"/>
      <c r="Q1865" s="1142">
        <f t="shared" si="523"/>
        <v>0</v>
      </c>
      <c r="R1865" s="1143">
        <f>IFERROR(VLOOKUP(CONCATENATE($E1865,$G1865),'LAC 103'!$A$12:$O$95,11,FALSE),0)</f>
        <v>0</v>
      </c>
      <c r="S1865" s="1144">
        <f>IFERROR(VLOOKUP(CONCATENATE($E1865,$G1865),'LAC 103'!$A$12:$O$95,12,FALSE),0)</f>
        <v>0</v>
      </c>
      <c r="T1865" s="1144">
        <f>IFERROR(VLOOKUP(CONCATENATE($E1865,$G1865),'LAC 103'!$A$12:$O$95,13,FALSE),0)</f>
        <v>0</v>
      </c>
      <c r="U1865" s="1144">
        <f>IFERROR(VLOOKUP(CONCATENATE($E1865,$G1865),'LAC 103'!$A$12:$O$95,14,FALSE),0)</f>
        <v>0</v>
      </c>
      <c r="V1865" s="1144">
        <f>IFERROR(VLOOKUP(CONCATENATE($E1865,$G1865),'LAC 103'!$A$12:$O$95,15,FALSE),0)</f>
        <v>0</v>
      </c>
      <c r="W1865" s="1145" t="str">
        <f>IFERROR(VLOOKUP(CONCATENATE($B1865,$N1865),'LAC 103'!$AI:$AQ,9,FALSE),"")</f>
        <v/>
      </c>
      <c r="X1865" s="1146">
        <f t="shared" si="528"/>
        <v>0</v>
      </c>
      <c r="Y1865" s="1143">
        <f t="shared" si="520"/>
        <v>0</v>
      </c>
      <c r="Z1865" s="1147">
        <f t="shared" si="529"/>
        <v>0</v>
      </c>
      <c r="AA1865" s="1144">
        <f t="shared" si="530"/>
        <v>0</v>
      </c>
      <c r="AB1865" s="1144">
        <f t="shared" si="531"/>
        <v>0</v>
      </c>
      <c r="AC1865" s="1144">
        <f t="shared" si="532"/>
        <v>0</v>
      </c>
      <c r="AD1865" s="1148">
        <f t="shared" si="524"/>
        <v>0</v>
      </c>
      <c r="AE1865" s="1487">
        <v>0</v>
      </c>
      <c r="AF1865" s="1145">
        <f t="shared" si="533"/>
        <v>0</v>
      </c>
      <c r="AG1865" s="1149">
        <f>IFERROR(VLOOKUP(CONCATENATE($L1865,$N1865),'Drop List'!$G$23:$K$87,2,FALSE),0)</f>
        <v>0</v>
      </c>
      <c r="AH1865" s="1150">
        <f>IFERROR(VLOOKUP(CONCATENATE($L1865,$N1865),'Drop List'!$G$23:$K$87,3,FALSE),0)</f>
        <v>0</v>
      </c>
      <c r="AI1865" s="1150">
        <f>IFERROR(VLOOKUP(CONCATENATE($L1865,$N1865),'Drop List'!$G$23:$K$87,4,FALSE),0)</f>
        <v>0</v>
      </c>
      <c r="AJ1865" s="1151">
        <f>IFERROR(VLOOKUP(CONCATENATE($L1865,$N1865),'Drop List'!$G$23:$K$87,5,FALSE),0)</f>
        <v>0</v>
      </c>
      <c r="AK1865" s="1152">
        <f t="shared" si="534"/>
        <v>0</v>
      </c>
      <c r="AL1865" s="1153">
        <f t="shared" si="535"/>
        <v>0</v>
      </c>
      <c r="AM1865" s="1153">
        <f t="shared" si="536"/>
        <v>0</v>
      </c>
      <c r="AN1865" s="1145">
        <f t="shared" si="537"/>
        <v>0</v>
      </c>
      <c r="AO1865" s="1154">
        <f t="shared" si="522"/>
        <v>0</v>
      </c>
      <c r="AP1865" s="1147">
        <f t="shared" si="525"/>
        <v>0</v>
      </c>
      <c r="AQ1865" s="1144">
        <f t="shared" si="526"/>
        <v>0</v>
      </c>
      <c r="AR1865" s="1146">
        <f t="shared" si="527"/>
        <v>0</v>
      </c>
    </row>
    <row r="1866" spans="1:44" x14ac:dyDescent="0.2">
      <c r="A1866" s="1141" t="str">
        <f t="shared" si="521"/>
        <v/>
      </c>
      <c r="B1866" s="1141" t="str">
        <f>IFERROR(VLOOKUP(A1866,'LAC 103'!A:C,3,FALSE),"")</f>
        <v/>
      </c>
      <c r="C1866" s="1478" t="str">
        <f>Info!$B$8</f>
        <v>00100</v>
      </c>
      <c r="D1866" s="1474"/>
      <c r="E1866" s="1474"/>
      <c r="F1866" s="1478"/>
      <c r="G1866" s="1478"/>
      <c r="H1866" s="1474"/>
      <c r="I1866" s="1478"/>
      <c r="J1866" s="1478"/>
      <c r="K1866" s="1475"/>
      <c r="L1866" s="1474"/>
      <c r="M1866" s="1476"/>
      <c r="N1866" s="1477"/>
      <c r="O1866" s="1479"/>
      <c r="P1866" s="1479"/>
      <c r="Q1866" s="1142">
        <f t="shared" si="523"/>
        <v>0</v>
      </c>
      <c r="R1866" s="1143">
        <f>IFERROR(VLOOKUP(CONCATENATE($E1866,$G1866),'LAC 103'!$A$12:$O$95,11,FALSE),0)</f>
        <v>0</v>
      </c>
      <c r="S1866" s="1144">
        <f>IFERROR(VLOOKUP(CONCATENATE($E1866,$G1866),'LAC 103'!$A$12:$O$95,12,FALSE),0)</f>
        <v>0</v>
      </c>
      <c r="T1866" s="1144">
        <f>IFERROR(VLOOKUP(CONCATENATE($E1866,$G1866),'LAC 103'!$A$12:$O$95,13,FALSE),0)</f>
        <v>0</v>
      </c>
      <c r="U1866" s="1144">
        <f>IFERROR(VLOOKUP(CONCATENATE($E1866,$G1866),'LAC 103'!$A$12:$O$95,14,FALSE),0)</f>
        <v>0</v>
      </c>
      <c r="V1866" s="1144">
        <f>IFERROR(VLOOKUP(CONCATENATE($E1866,$G1866),'LAC 103'!$A$12:$O$95,15,FALSE),0)</f>
        <v>0</v>
      </c>
      <c r="W1866" s="1145" t="str">
        <f>IFERROR(VLOOKUP(CONCATENATE($B1866,$N1866),'LAC 103'!$AI:$AQ,9,FALSE),"")</f>
        <v/>
      </c>
      <c r="X1866" s="1146">
        <f t="shared" si="528"/>
        <v>0</v>
      </c>
      <c r="Y1866" s="1143">
        <f t="shared" ref="Y1866:Y1929" si="538">$Q1866*R1866</f>
        <v>0</v>
      </c>
      <c r="Z1866" s="1147">
        <f t="shared" si="529"/>
        <v>0</v>
      </c>
      <c r="AA1866" s="1144">
        <f t="shared" si="530"/>
        <v>0</v>
      </c>
      <c r="AB1866" s="1144">
        <f t="shared" si="531"/>
        <v>0</v>
      </c>
      <c r="AC1866" s="1144">
        <f t="shared" si="532"/>
        <v>0</v>
      </c>
      <c r="AD1866" s="1148">
        <f t="shared" si="524"/>
        <v>0</v>
      </c>
      <c r="AE1866" s="1487">
        <v>0</v>
      </c>
      <c r="AF1866" s="1145">
        <f t="shared" si="533"/>
        <v>0</v>
      </c>
      <c r="AG1866" s="1149">
        <f>IFERROR(VLOOKUP(CONCATENATE($L1866,$N1866),'Drop List'!$G$23:$K$87,2,FALSE),0)</f>
        <v>0</v>
      </c>
      <c r="AH1866" s="1150">
        <f>IFERROR(VLOOKUP(CONCATENATE($L1866,$N1866),'Drop List'!$G$23:$K$87,3,FALSE),0)</f>
        <v>0</v>
      </c>
      <c r="AI1866" s="1150">
        <f>IFERROR(VLOOKUP(CONCATENATE($L1866,$N1866),'Drop List'!$G$23:$K$87,4,FALSE),0)</f>
        <v>0</v>
      </c>
      <c r="AJ1866" s="1151">
        <f>IFERROR(VLOOKUP(CONCATENATE($L1866,$N1866),'Drop List'!$G$23:$K$87,5,FALSE),0)</f>
        <v>0</v>
      </c>
      <c r="AK1866" s="1152">
        <f t="shared" si="534"/>
        <v>0</v>
      </c>
      <c r="AL1866" s="1153">
        <f t="shared" si="535"/>
        <v>0</v>
      </c>
      <c r="AM1866" s="1153">
        <f t="shared" si="536"/>
        <v>0</v>
      </c>
      <c r="AN1866" s="1145">
        <f t="shared" si="537"/>
        <v>0</v>
      </c>
      <c r="AO1866" s="1154">
        <f t="shared" si="522"/>
        <v>0</v>
      </c>
      <c r="AP1866" s="1147">
        <f t="shared" si="525"/>
        <v>0</v>
      </c>
      <c r="AQ1866" s="1144">
        <f t="shared" si="526"/>
        <v>0</v>
      </c>
      <c r="AR1866" s="1146">
        <f t="shared" si="527"/>
        <v>0</v>
      </c>
    </row>
    <row r="1867" spans="1:44" x14ac:dyDescent="0.2">
      <c r="A1867" s="1141" t="str">
        <f t="shared" si="521"/>
        <v/>
      </c>
      <c r="B1867" s="1141" t="str">
        <f>IFERROR(VLOOKUP(A1867,'LAC 103'!A:C,3,FALSE),"")</f>
        <v/>
      </c>
      <c r="C1867" s="1478" t="str">
        <f>Info!$B$8</f>
        <v>00100</v>
      </c>
      <c r="D1867" s="1474"/>
      <c r="E1867" s="1474"/>
      <c r="F1867" s="1478"/>
      <c r="G1867" s="1478"/>
      <c r="H1867" s="1474"/>
      <c r="I1867" s="1478"/>
      <c r="J1867" s="1478"/>
      <c r="K1867" s="1475"/>
      <c r="L1867" s="1474"/>
      <c r="M1867" s="1476"/>
      <c r="N1867" s="1477"/>
      <c r="O1867" s="1479"/>
      <c r="P1867" s="1479"/>
      <c r="Q1867" s="1142">
        <f t="shared" si="523"/>
        <v>0</v>
      </c>
      <c r="R1867" s="1143">
        <f>IFERROR(VLOOKUP(CONCATENATE($E1867,$G1867),'LAC 103'!$A$12:$O$95,11,FALSE),0)</f>
        <v>0</v>
      </c>
      <c r="S1867" s="1144">
        <f>IFERROR(VLOOKUP(CONCATENATE($E1867,$G1867),'LAC 103'!$A$12:$O$95,12,FALSE),0)</f>
        <v>0</v>
      </c>
      <c r="T1867" s="1144">
        <f>IFERROR(VLOOKUP(CONCATENATE($E1867,$G1867),'LAC 103'!$A$12:$O$95,13,FALSE),0)</f>
        <v>0</v>
      </c>
      <c r="U1867" s="1144">
        <f>IFERROR(VLOOKUP(CONCATENATE($E1867,$G1867),'LAC 103'!$A$12:$O$95,14,FALSE),0)</f>
        <v>0</v>
      </c>
      <c r="V1867" s="1144">
        <f>IFERROR(VLOOKUP(CONCATENATE($E1867,$G1867),'LAC 103'!$A$12:$O$95,15,FALSE),0)</f>
        <v>0</v>
      </c>
      <c r="W1867" s="1145" t="str">
        <f>IFERROR(VLOOKUP(CONCATENATE($B1867,$N1867),'LAC 103'!$AI:$AQ,9,FALSE),"")</f>
        <v/>
      </c>
      <c r="X1867" s="1146">
        <f t="shared" si="528"/>
        <v>0</v>
      </c>
      <c r="Y1867" s="1143">
        <f t="shared" si="538"/>
        <v>0</v>
      </c>
      <c r="Z1867" s="1147">
        <f t="shared" si="529"/>
        <v>0</v>
      </c>
      <c r="AA1867" s="1144">
        <f t="shared" si="530"/>
        <v>0</v>
      </c>
      <c r="AB1867" s="1144">
        <f t="shared" si="531"/>
        <v>0</v>
      </c>
      <c r="AC1867" s="1144">
        <f t="shared" si="532"/>
        <v>0</v>
      </c>
      <c r="AD1867" s="1148">
        <f t="shared" si="524"/>
        <v>0</v>
      </c>
      <c r="AE1867" s="1487">
        <v>0</v>
      </c>
      <c r="AF1867" s="1145">
        <f t="shared" si="533"/>
        <v>0</v>
      </c>
      <c r="AG1867" s="1149">
        <f>IFERROR(VLOOKUP(CONCATENATE($L1867,$N1867),'Drop List'!$G$23:$K$87,2,FALSE),0)</f>
        <v>0</v>
      </c>
      <c r="AH1867" s="1150">
        <f>IFERROR(VLOOKUP(CONCATENATE($L1867,$N1867),'Drop List'!$G$23:$K$87,3,FALSE),0)</f>
        <v>0</v>
      </c>
      <c r="AI1867" s="1150">
        <f>IFERROR(VLOOKUP(CONCATENATE($L1867,$N1867),'Drop List'!$G$23:$K$87,4,FALSE),0)</f>
        <v>0</v>
      </c>
      <c r="AJ1867" s="1151">
        <f>IFERROR(VLOOKUP(CONCATENATE($L1867,$N1867),'Drop List'!$G$23:$K$87,5,FALSE),0)</f>
        <v>0</v>
      </c>
      <c r="AK1867" s="1152">
        <f t="shared" si="534"/>
        <v>0</v>
      </c>
      <c r="AL1867" s="1153">
        <f t="shared" si="535"/>
        <v>0</v>
      </c>
      <c r="AM1867" s="1153">
        <f t="shared" si="536"/>
        <v>0</v>
      </c>
      <c r="AN1867" s="1145">
        <f t="shared" si="537"/>
        <v>0</v>
      </c>
      <c r="AO1867" s="1154">
        <f t="shared" si="522"/>
        <v>0</v>
      </c>
      <c r="AP1867" s="1147">
        <f t="shared" si="525"/>
        <v>0</v>
      </c>
      <c r="AQ1867" s="1144">
        <f t="shared" si="526"/>
        <v>0</v>
      </c>
      <c r="AR1867" s="1146">
        <f t="shared" si="527"/>
        <v>0</v>
      </c>
    </row>
    <row r="1868" spans="1:44" x14ac:dyDescent="0.2">
      <c r="A1868" s="1141" t="str">
        <f t="shared" si="521"/>
        <v/>
      </c>
      <c r="B1868" s="1141" t="str">
        <f>IFERROR(VLOOKUP(A1868,'LAC 103'!A:C,3,FALSE),"")</f>
        <v/>
      </c>
      <c r="C1868" s="1478" t="str">
        <f>Info!$B$8</f>
        <v>00100</v>
      </c>
      <c r="D1868" s="1474"/>
      <c r="E1868" s="1474"/>
      <c r="F1868" s="1478"/>
      <c r="G1868" s="1478"/>
      <c r="H1868" s="1474"/>
      <c r="I1868" s="1478"/>
      <c r="J1868" s="1478"/>
      <c r="K1868" s="1475"/>
      <c r="L1868" s="1474"/>
      <c r="M1868" s="1476"/>
      <c r="N1868" s="1477"/>
      <c r="O1868" s="1479"/>
      <c r="P1868" s="1479"/>
      <c r="Q1868" s="1142">
        <f t="shared" si="523"/>
        <v>0</v>
      </c>
      <c r="R1868" s="1143">
        <f>IFERROR(VLOOKUP(CONCATENATE($E1868,$G1868),'LAC 103'!$A$12:$O$95,11,FALSE),0)</f>
        <v>0</v>
      </c>
      <c r="S1868" s="1144">
        <f>IFERROR(VLOOKUP(CONCATENATE($E1868,$G1868),'LAC 103'!$A$12:$O$95,12,FALSE),0)</f>
        <v>0</v>
      </c>
      <c r="T1868" s="1144">
        <f>IFERROR(VLOOKUP(CONCATENATE($E1868,$G1868),'LAC 103'!$A$12:$O$95,13,FALSE),0)</f>
        <v>0</v>
      </c>
      <c r="U1868" s="1144">
        <f>IFERROR(VLOOKUP(CONCATENATE($E1868,$G1868),'LAC 103'!$A$12:$O$95,14,FALSE),0)</f>
        <v>0</v>
      </c>
      <c r="V1868" s="1144">
        <f>IFERROR(VLOOKUP(CONCATENATE($E1868,$G1868),'LAC 103'!$A$12:$O$95,15,FALSE),0)</f>
        <v>0</v>
      </c>
      <c r="W1868" s="1145" t="str">
        <f>IFERROR(VLOOKUP(CONCATENATE($B1868,$N1868),'LAC 103'!$AI:$AQ,9,FALSE),"")</f>
        <v/>
      </c>
      <c r="X1868" s="1146">
        <f t="shared" si="528"/>
        <v>0</v>
      </c>
      <c r="Y1868" s="1143">
        <f t="shared" si="538"/>
        <v>0</v>
      </c>
      <c r="Z1868" s="1147">
        <f t="shared" si="529"/>
        <v>0</v>
      </c>
      <c r="AA1868" s="1144">
        <f t="shared" si="530"/>
        <v>0</v>
      </c>
      <c r="AB1868" s="1144">
        <f t="shared" si="531"/>
        <v>0</v>
      </c>
      <c r="AC1868" s="1144">
        <f t="shared" si="532"/>
        <v>0</v>
      </c>
      <c r="AD1868" s="1148">
        <f t="shared" si="524"/>
        <v>0</v>
      </c>
      <c r="AE1868" s="1487">
        <v>0</v>
      </c>
      <c r="AF1868" s="1145">
        <f t="shared" si="533"/>
        <v>0</v>
      </c>
      <c r="AG1868" s="1149">
        <f>IFERROR(VLOOKUP(CONCATENATE($L1868,$N1868),'Drop List'!$G$23:$K$87,2,FALSE),0)</f>
        <v>0</v>
      </c>
      <c r="AH1868" s="1150">
        <f>IFERROR(VLOOKUP(CONCATENATE($L1868,$N1868),'Drop List'!$G$23:$K$87,3,FALSE),0)</f>
        <v>0</v>
      </c>
      <c r="AI1868" s="1150">
        <f>IFERROR(VLOOKUP(CONCATENATE($L1868,$N1868),'Drop List'!$G$23:$K$87,4,FALSE),0)</f>
        <v>0</v>
      </c>
      <c r="AJ1868" s="1151">
        <f>IFERROR(VLOOKUP(CONCATENATE($L1868,$N1868),'Drop List'!$G$23:$K$87,5,FALSE),0)</f>
        <v>0</v>
      </c>
      <c r="AK1868" s="1152">
        <f t="shared" si="534"/>
        <v>0</v>
      </c>
      <c r="AL1868" s="1153">
        <f t="shared" si="535"/>
        <v>0</v>
      </c>
      <c r="AM1868" s="1153">
        <f t="shared" si="536"/>
        <v>0</v>
      </c>
      <c r="AN1868" s="1145">
        <f t="shared" si="537"/>
        <v>0</v>
      </c>
      <c r="AO1868" s="1154">
        <f t="shared" si="522"/>
        <v>0</v>
      </c>
      <c r="AP1868" s="1147">
        <f t="shared" si="525"/>
        <v>0</v>
      </c>
      <c r="AQ1868" s="1144">
        <f t="shared" si="526"/>
        <v>0</v>
      </c>
      <c r="AR1868" s="1146">
        <f t="shared" si="527"/>
        <v>0</v>
      </c>
    </row>
    <row r="1869" spans="1:44" x14ac:dyDescent="0.2">
      <c r="A1869" s="1141" t="str">
        <f t="shared" si="521"/>
        <v/>
      </c>
      <c r="B1869" s="1141" t="str">
        <f>IFERROR(VLOOKUP(A1869,'LAC 103'!A:C,3,FALSE),"")</f>
        <v/>
      </c>
      <c r="C1869" s="1478" t="str">
        <f>Info!$B$8</f>
        <v>00100</v>
      </c>
      <c r="D1869" s="1474"/>
      <c r="E1869" s="1474"/>
      <c r="F1869" s="1478"/>
      <c r="G1869" s="1478"/>
      <c r="H1869" s="1474"/>
      <c r="I1869" s="1478"/>
      <c r="J1869" s="1478"/>
      <c r="K1869" s="1475"/>
      <c r="L1869" s="1474"/>
      <c r="M1869" s="1476"/>
      <c r="N1869" s="1477"/>
      <c r="O1869" s="1479"/>
      <c r="P1869" s="1479"/>
      <c r="Q1869" s="1142">
        <f t="shared" si="523"/>
        <v>0</v>
      </c>
      <c r="R1869" s="1143">
        <f>IFERROR(VLOOKUP(CONCATENATE($E1869,$G1869),'LAC 103'!$A$12:$O$95,11,FALSE),0)</f>
        <v>0</v>
      </c>
      <c r="S1869" s="1144">
        <f>IFERROR(VLOOKUP(CONCATENATE($E1869,$G1869),'LAC 103'!$A$12:$O$95,12,FALSE),0)</f>
        <v>0</v>
      </c>
      <c r="T1869" s="1144">
        <f>IFERROR(VLOOKUP(CONCATENATE($E1869,$G1869),'LAC 103'!$A$12:$O$95,13,FALSE),0)</f>
        <v>0</v>
      </c>
      <c r="U1869" s="1144">
        <f>IFERROR(VLOOKUP(CONCATENATE($E1869,$G1869),'LAC 103'!$A$12:$O$95,14,FALSE),0)</f>
        <v>0</v>
      </c>
      <c r="V1869" s="1144">
        <f>IFERROR(VLOOKUP(CONCATENATE($E1869,$G1869),'LAC 103'!$A$12:$O$95,15,FALSE),0)</f>
        <v>0</v>
      </c>
      <c r="W1869" s="1145" t="str">
        <f>IFERROR(VLOOKUP(CONCATENATE($B1869,$N1869),'LAC 103'!$AI:$AQ,9,FALSE),"")</f>
        <v/>
      </c>
      <c r="X1869" s="1146">
        <f t="shared" si="528"/>
        <v>0</v>
      </c>
      <c r="Y1869" s="1143">
        <f t="shared" si="538"/>
        <v>0</v>
      </c>
      <c r="Z1869" s="1147">
        <f t="shared" si="529"/>
        <v>0</v>
      </c>
      <c r="AA1869" s="1144">
        <f t="shared" si="530"/>
        <v>0</v>
      </c>
      <c r="AB1869" s="1144">
        <f t="shared" si="531"/>
        <v>0</v>
      </c>
      <c r="AC1869" s="1144">
        <f t="shared" si="532"/>
        <v>0</v>
      </c>
      <c r="AD1869" s="1148">
        <f t="shared" si="524"/>
        <v>0</v>
      </c>
      <c r="AE1869" s="1487">
        <v>0</v>
      </c>
      <c r="AF1869" s="1145">
        <f t="shared" si="533"/>
        <v>0</v>
      </c>
      <c r="AG1869" s="1149">
        <f>IFERROR(VLOOKUP(CONCATENATE($L1869,$N1869),'Drop List'!$G$23:$K$87,2,FALSE),0)</f>
        <v>0</v>
      </c>
      <c r="AH1869" s="1150">
        <f>IFERROR(VLOOKUP(CONCATENATE($L1869,$N1869),'Drop List'!$G$23:$K$87,3,FALSE),0)</f>
        <v>0</v>
      </c>
      <c r="AI1869" s="1150">
        <f>IFERROR(VLOOKUP(CONCATENATE($L1869,$N1869),'Drop List'!$G$23:$K$87,4,FALSE),0)</f>
        <v>0</v>
      </c>
      <c r="AJ1869" s="1151">
        <f>IFERROR(VLOOKUP(CONCATENATE($L1869,$N1869),'Drop List'!$G$23:$K$87,5,FALSE),0)</f>
        <v>0</v>
      </c>
      <c r="AK1869" s="1152">
        <f t="shared" si="534"/>
        <v>0</v>
      </c>
      <c r="AL1869" s="1153">
        <f t="shared" si="535"/>
        <v>0</v>
      </c>
      <c r="AM1869" s="1153">
        <f t="shared" si="536"/>
        <v>0</v>
      </c>
      <c r="AN1869" s="1145">
        <f t="shared" si="537"/>
        <v>0</v>
      </c>
      <c r="AO1869" s="1154">
        <f t="shared" si="522"/>
        <v>0</v>
      </c>
      <c r="AP1869" s="1147">
        <f t="shared" si="525"/>
        <v>0</v>
      </c>
      <c r="AQ1869" s="1144">
        <f t="shared" si="526"/>
        <v>0</v>
      </c>
      <c r="AR1869" s="1146">
        <f t="shared" si="527"/>
        <v>0</v>
      </c>
    </row>
    <row r="1870" spans="1:44" x14ac:dyDescent="0.2">
      <c r="A1870" s="1141" t="str">
        <f t="shared" si="521"/>
        <v/>
      </c>
      <c r="B1870" s="1141" t="str">
        <f>IFERROR(VLOOKUP(A1870,'LAC 103'!A:C,3,FALSE),"")</f>
        <v/>
      </c>
      <c r="C1870" s="1478" t="str">
        <f>Info!$B$8</f>
        <v>00100</v>
      </c>
      <c r="D1870" s="1474"/>
      <c r="E1870" s="1474"/>
      <c r="F1870" s="1478"/>
      <c r="G1870" s="1478"/>
      <c r="H1870" s="1474"/>
      <c r="I1870" s="1478"/>
      <c r="J1870" s="1478"/>
      <c r="K1870" s="1475"/>
      <c r="L1870" s="1474"/>
      <c r="M1870" s="1476"/>
      <c r="N1870" s="1477"/>
      <c r="O1870" s="1479"/>
      <c r="P1870" s="1479"/>
      <c r="Q1870" s="1142">
        <f t="shared" si="523"/>
        <v>0</v>
      </c>
      <c r="R1870" s="1143">
        <f>IFERROR(VLOOKUP(CONCATENATE($E1870,$G1870),'LAC 103'!$A$12:$O$95,11,FALSE),0)</f>
        <v>0</v>
      </c>
      <c r="S1870" s="1144">
        <f>IFERROR(VLOOKUP(CONCATENATE($E1870,$G1870),'LAC 103'!$A$12:$O$95,12,FALSE),0)</f>
        <v>0</v>
      </c>
      <c r="T1870" s="1144">
        <f>IFERROR(VLOOKUP(CONCATENATE($E1870,$G1870),'LAC 103'!$A$12:$O$95,13,FALSE),0)</f>
        <v>0</v>
      </c>
      <c r="U1870" s="1144">
        <f>IFERROR(VLOOKUP(CONCATENATE($E1870,$G1870),'LAC 103'!$A$12:$O$95,14,FALSE),0)</f>
        <v>0</v>
      </c>
      <c r="V1870" s="1144">
        <f>IFERROR(VLOOKUP(CONCATENATE($E1870,$G1870),'LAC 103'!$A$12:$O$95,15,FALSE),0)</f>
        <v>0</v>
      </c>
      <c r="W1870" s="1145" t="str">
        <f>IFERROR(VLOOKUP(CONCATENATE($B1870,$N1870),'LAC 103'!$AI:$AQ,9,FALSE),"")</f>
        <v/>
      </c>
      <c r="X1870" s="1146">
        <f t="shared" si="528"/>
        <v>0</v>
      </c>
      <c r="Y1870" s="1143">
        <f t="shared" si="538"/>
        <v>0</v>
      </c>
      <c r="Z1870" s="1147">
        <f t="shared" si="529"/>
        <v>0</v>
      </c>
      <c r="AA1870" s="1144">
        <f t="shared" si="530"/>
        <v>0</v>
      </c>
      <c r="AB1870" s="1144">
        <f t="shared" si="531"/>
        <v>0</v>
      </c>
      <c r="AC1870" s="1144">
        <f t="shared" si="532"/>
        <v>0</v>
      </c>
      <c r="AD1870" s="1148">
        <f t="shared" si="524"/>
        <v>0</v>
      </c>
      <c r="AE1870" s="1487">
        <v>0</v>
      </c>
      <c r="AF1870" s="1145">
        <f t="shared" si="533"/>
        <v>0</v>
      </c>
      <c r="AG1870" s="1149">
        <f>IFERROR(VLOOKUP(CONCATENATE($L1870,$N1870),'Drop List'!$G$23:$K$87,2,FALSE),0)</f>
        <v>0</v>
      </c>
      <c r="AH1870" s="1150">
        <f>IFERROR(VLOOKUP(CONCATENATE($L1870,$N1870),'Drop List'!$G$23:$K$87,3,FALSE),0)</f>
        <v>0</v>
      </c>
      <c r="AI1870" s="1150">
        <f>IFERROR(VLOOKUP(CONCATENATE($L1870,$N1870),'Drop List'!$G$23:$K$87,4,FALSE),0)</f>
        <v>0</v>
      </c>
      <c r="AJ1870" s="1151">
        <f>IFERROR(VLOOKUP(CONCATENATE($L1870,$N1870),'Drop List'!$G$23:$K$87,5,FALSE),0)</f>
        <v>0</v>
      </c>
      <c r="AK1870" s="1152">
        <f t="shared" si="534"/>
        <v>0</v>
      </c>
      <c r="AL1870" s="1153">
        <f t="shared" si="535"/>
        <v>0</v>
      </c>
      <c r="AM1870" s="1153">
        <f t="shared" si="536"/>
        <v>0</v>
      </c>
      <c r="AN1870" s="1145">
        <f t="shared" si="537"/>
        <v>0</v>
      </c>
      <c r="AO1870" s="1154">
        <f t="shared" si="522"/>
        <v>0</v>
      </c>
      <c r="AP1870" s="1147">
        <f t="shared" si="525"/>
        <v>0</v>
      </c>
      <c r="AQ1870" s="1144">
        <f t="shared" si="526"/>
        <v>0</v>
      </c>
      <c r="AR1870" s="1146">
        <f t="shared" si="527"/>
        <v>0</v>
      </c>
    </row>
    <row r="1871" spans="1:44" x14ac:dyDescent="0.2">
      <c r="A1871" s="1141" t="str">
        <f t="shared" si="521"/>
        <v/>
      </c>
      <c r="B1871" s="1141" t="str">
        <f>IFERROR(VLOOKUP(A1871,'LAC 103'!A:C,3,FALSE),"")</f>
        <v/>
      </c>
      <c r="C1871" s="1478" t="str">
        <f>Info!$B$8</f>
        <v>00100</v>
      </c>
      <c r="D1871" s="1474"/>
      <c r="E1871" s="1474"/>
      <c r="F1871" s="1478"/>
      <c r="G1871" s="1478"/>
      <c r="H1871" s="1474"/>
      <c r="I1871" s="1478"/>
      <c r="J1871" s="1478"/>
      <c r="K1871" s="1475"/>
      <c r="L1871" s="1474"/>
      <c r="M1871" s="1476"/>
      <c r="N1871" s="1477"/>
      <c r="O1871" s="1479"/>
      <c r="P1871" s="1479"/>
      <c r="Q1871" s="1142">
        <f t="shared" si="523"/>
        <v>0</v>
      </c>
      <c r="R1871" s="1143">
        <f>IFERROR(VLOOKUP(CONCATENATE($E1871,$G1871),'LAC 103'!$A$12:$O$95,11,FALSE),0)</f>
        <v>0</v>
      </c>
      <c r="S1871" s="1144">
        <f>IFERROR(VLOOKUP(CONCATENATE($E1871,$G1871),'LAC 103'!$A$12:$O$95,12,FALSE),0)</f>
        <v>0</v>
      </c>
      <c r="T1871" s="1144">
        <f>IFERROR(VLOOKUP(CONCATENATE($E1871,$G1871),'LAC 103'!$A$12:$O$95,13,FALSE),0)</f>
        <v>0</v>
      </c>
      <c r="U1871" s="1144">
        <f>IFERROR(VLOOKUP(CONCATENATE($E1871,$G1871),'LAC 103'!$A$12:$O$95,14,FALSE),0)</f>
        <v>0</v>
      </c>
      <c r="V1871" s="1144">
        <f>IFERROR(VLOOKUP(CONCATENATE($E1871,$G1871),'LAC 103'!$A$12:$O$95,15,FALSE),0)</f>
        <v>0</v>
      </c>
      <c r="W1871" s="1145" t="str">
        <f>IFERROR(VLOOKUP(CONCATENATE($B1871,$N1871),'LAC 103'!$AI:$AQ,9,FALSE),"")</f>
        <v/>
      </c>
      <c r="X1871" s="1146">
        <f t="shared" si="528"/>
        <v>0</v>
      </c>
      <c r="Y1871" s="1143">
        <f t="shared" si="538"/>
        <v>0</v>
      </c>
      <c r="Z1871" s="1147">
        <f t="shared" si="529"/>
        <v>0</v>
      </c>
      <c r="AA1871" s="1144">
        <f t="shared" si="530"/>
        <v>0</v>
      </c>
      <c r="AB1871" s="1144">
        <f t="shared" si="531"/>
        <v>0</v>
      </c>
      <c r="AC1871" s="1144">
        <f t="shared" si="532"/>
        <v>0</v>
      </c>
      <c r="AD1871" s="1148">
        <f t="shared" si="524"/>
        <v>0</v>
      </c>
      <c r="AE1871" s="1487">
        <v>0</v>
      </c>
      <c r="AF1871" s="1145">
        <f t="shared" si="533"/>
        <v>0</v>
      </c>
      <c r="AG1871" s="1149">
        <f>IFERROR(VLOOKUP(CONCATENATE($L1871,$N1871),'Drop List'!$G$23:$K$87,2,FALSE),0)</f>
        <v>0</v>
      </c>
      <c r="AH1871" s="1150">
        <f>IFERROR(VLOOKUP(CONCATENATE($L1871,$N1871),'Drop List'!$G$23:$K$87,3,FALSE),0)</f>
        <v>0</v>
      </c>
      <c r="AI1871" s="1150">
        <f>IFERROR(VLOOKUP(CONCATENATE($L1871,$N1871),'Drop List'!$G$23:$K$87,4,FALSE),0)</f>
        <v>0</v>
      </c>
      <c r="AJ1871" s="1151">
        <f>IFERROR(VLOOKUP(CONCATENATE($L1871,$N1871),'Drop List'!$G$23:$K$87,5,FALSE),0)</f>
        <v>0</v>
      </c>
      <c r="AK1871" s="1152">
        <f t="shared" si="534"/>
        <v>0</v>
      </c>
      <c r="AL1871" s="1153">
        <f t="shared" si="535"/>
        <v>0</v>
      </c>
      <c r="AM1871" s="1153">
        <f t="shared" si="536"/>
        <v>0</v>
      </c>
      <c r="AN1871" s="1145">
        <f t="shared" si="537"/>
        <v>0</v>
      </c>
      <c r="AO1871" s="1154">
        <f t="shared" si="522"/>
        <v>0</v>
      </c>
      <c r="AP1871" s="1147">
        <f t="shared" si="525"/>
        <v>0</v>
      </c>
      <c r="AQ1871" s="1144">
        <f t="shared" si="526"/>
        <v>0</v>
      </c>
      <c r="AR1871" s="1146">
        <f t="shared" si="527"/>
        <v>0</v>
      </c>
    </row>
    <row r="1872" spans="1:44" x14ac:dyDescent="0.2">
      <c r="A1872" s="1141" t="str">
        <f t="shared" si="521"/>
        <v/>
      </c>
      <c r="B1872" s="1141" t="str">
        <f>IFERROR(VLOOKUP(A1872,'LAC 103'!A:C,3,FALSE),"")</f>
        <v/>
      </c>
      <c r="C1872" s="1478" t="str">
        <f>Info!$B$8</f>
        <v>00100</v>
      </c>
      <c r="D1872" s="1474"/>
      <c r="E1872" s="1474"/>
      <c r="F1872" s="1478"/>
      <c r="G1872" s="1478"/>
      <c r="H1872" s="1474"/>
      <c r="I1872" s="1478"/>
      <c r="J1872" s="1478"/>
      <c r="K1872" s="1475"/>
      <c r="L1872" s="1474"/>
      <c r="M1872" s="1476"/>
      <c r="N1872" s="1477"/>
      <c r="O1872" s="1479"/>
      <c r="P1872" s="1479"/>
      <c r="Q1872" s="1142">
        <f t="shared" si="523"/>
        <v>0</v>
      </c>
      <c r="R1872" s="1143">
        <f>IFERROR(VLOOKUP(CONCATENATE($E1872,$G1872),'LAC 103'!$A$12:$O$95,11,FALSE),0)</f>
        <v>0</v>
      </c>
      <c r="S1872" s="1144">
        <f>IFERROR(VLOOKUP(CONCATENATE($E1872,$G1872),'LAC 103'!$A$12:$O$95,12,FALSE),0)</f>
        <v>0</v>
      </c>
      <c r="T1872" s="1144">
        <f>IFERROR(VLOOKUP(CONCATENATE($E1872,$G1872),'LAC 103'!$A$12:$O$95,13,FALSE),0)</f>
        <v>0</v>
      </c>
      <c r="U1872" s="1144">
        <f>IFERROR(VLOOKUP(CONCATENATE($E1872,$G1872),'LAC 103'!$A$12:$O$95,14,FALSE),0)</f>
        <v>0</v>
      </c>
      <c r="V1872" s="1144">
        <f>IFERROR(VLOOKUP(CONCATENATE($E1872,$G1872),'LAC 103'!$A$12:$O$95,15,FALSE),0)</f>
        <v>0</v>
      </c>
      <c r="W1872" s="1145" t="str">
        <f>IFERROR(VLOOKUP(CONCATENATE($B1872,$N1872),'LAC 103'!$AI:$AQ,9,FALSE),"")</f>
        <v/>
      </c>
      <c r="X1872" s="1146">
        <f t="shared" si="528"/>
        <v>0</v>
      </c>
      <c r="Y1872" s="1143">
        <f t="shared" si="538"/>
        <v>0</v>
      </c>
      <c r="Z1872" s="1147">
        <f t="shared" si="529"/>
        <v>0</v>
      </c>
      <c r="AA1872" s="1144">
        <f t="shared" si="530"/>
        <v>0</v>
      </c>
      <c r="AB1872" s="1144">
        <f t="shared" si="531"/>
        <v>0</v>
      </c>
      <c r="AC1872" s="1144">
        <f t="shared" si="532"/>
        <v>0</v>
      </c>
      <c r="AD1872" s="1148">
        <f t="shared" si="524"/>
        <v>0</v>
      </c>
      <c r="AE1872" s="1487">
        <v>0</v>
      </c>
      <c r="AF1872" s="1145">
        <f t="shared" si="533"/>
        <v>0</v>
      </c>
      <c r="AG1872" s="1149">
        <f>IFERROR(VLOOKUP(CONCATENATE($L1872,$N1872),'Drop List'!$G$23:$K$87,2,FALSE),0)</f>
        <v>0</v>
      </c>
      <c r="AH1872" s="1150">
        <f>IFERROR(VLOOKUP(CONCATENATE($L1872,$N1872),'Drop List'!$G$23:$K$87,3,FALSE),0)</f>
        <v>0</v>
      </c>
      <c r="AI1872" s="1150">
        <f>IFERROR(VLOOKUP(CONCATENATE($L1872,$N1872),'Drop List'!$G$23:$K$87,4,FALSE),0)</f>
        <v>0</v>
      </c>
      <c r="AJ1872" s="1151">
        <f>IFERROR(VLOOKUP(CONCATENATE($L1872,$N1872),'Drop List'!$G$23:$K$87,5,FALSE),0)</f>
        <v>0</v>
      </c>
      <c r="AK1872" s="1152">
        <f t="shared" si="534"/>
        <v>0</v>
      </c>
      <c r="AL1872" s="1153">
        <f t="shared" si="535"/>
        <v>0</v>
      </c>
      <c r="AM1872" s="1153">
        <f t="shared" si="536"/>
        <v>0</v>
      </c>
      <c r="AN1872" s="1145">
        <f t="shared" si="537"/>
        <v>0</v>
      </c>
      <c r="AO1872" s="1154">
        <f t="shared" si="522"/>
        <v>0</v>
      </c>
      <c r="AP1872" s="1147">
        <f t="shared" si="525"/>
        <v>0</v>
      </c>
      <c r="AQ1872" s="1144">
        <f t="shared" si="526"/>
        <v>0</v>
      </c>
      <c r="AR1872" s="1146">
        <f t="shared" si="527"/>
        <v>0</v>
      </c>
    </row>
    <row r="1873" spans="1:44" x14ac:dyDescent="0.2">
      <c r="A1873" s="1141" t="str">
        <f t="shared" si="521"/>
        <v/>
      </c>
      <c r="B1873" s="1141" t="str">
        <f>IFERROR(VLOOKUP(A1873,'LAC 103'!A:C,3,FALSE),"")</f>
        <v/>
      </c>
      <c r="C1873" s="1478" t="str">
        <f>Info!$B$8</f>
        <v>00100</v>
      </c>
      <c r="D1873" s="1474"/>
      <c r="E1873" s="1474"/>
      <c r="F1873" s="1478"/>
      <c r="G1873" s="1478"/>
      <c r="H1873" s="1474"/>
      <c r="I1873" s="1478"/>
      <c r="J1873" s="1478"/>
      <c r="K1873" s="1475"/>
      <c r="L1873" s="1474"/>
      <c r="M1873" s="1476"/>
      <c r="N1873" s="1477"/>
      <c r="O1873" s="1479"/>
      <c r="P1873" s="1479"/>
      <c r="Q1873" s="1142">
        <f t="shared" si="523"/>
        <v>0</v>
      </c>
      <c r="R1873" s="1143">
        <f>IFERROR(VLOOKUP(CONCATENATE($E1873,$G1873),'LAC 103'!$A$12:$O$95,11,FALSE),0)</f>
        <v>0</v>
      </c>
      <c r="S1873" s="1144">
        <f>IFERROR(VLOOKUP(CONCATENATE($E1873,$G1873),'LAC 103'!$A$12:$O$95,12,FALSE),0)</f>
        <v>0</v>
      </c>
      <c r="T1873" s="1144">
        <f>IFERROR(VLOOKUP(CONCATENATE($E1873,$G1873),'LAC 103'!$A$12:$O$95,13,FALSE),0)</f>
        <v>0</v>
      </c>
      <c r="U1873" s="1144">
        <f>IFERROR(VLOOKUP(CONCATENATE($E1873,$G1873),'LAC 103'!$A$12:$O$95,14,FALSE),0)</f>
        <v>0</v>
      </c>
      <c r="V1873" s="1144">
        <f>IFERROR(VLOOKUP(CONCATENATE($E1873,$G1873),'LAC 103'!$A$12:$O$95,15,FALSE),0)</f>
        <v>0</v>
      </c>
      <c r="W1873" s="1145" t="str">
        <f>IFERROR(VLOOKUP(CONCATENATE($B1873,$N1873),'LAC 103'!$AI:$AQ,9,FALSE),"")</f>
        <v/>
      </c>
      <c r="X1873" s="1146">
        <f t="shared" si="528"/>
        <v>0</v>
      </c>
      <c r="Y1873" s="1143">
        <f t="shared" si="538"/>
        <v>0</v>
      </c>
      <c r="Z1873" s="1147">
        <f t="shared" si="529"/>
        <v>0</v>
      </c>
      <c r="AA1873" s="1144">
        <f t="shared" si="530"/>
        <v>0</v>
      </c>
      <c r="AB1873" s="1144">
        <f t="shared" si="531"/>
        <v>0</v>
      </c>
      <c r="AC1873" s="1144">
        <f t="shared" si="532"/>
        <v>0</v>
      </c>
      <c r="AD1873" s="1148">
        <f t="shared" si="524"/>
        <v>0</v>
      </c>
      <c r="AE1873" s="1487">
        <v>0</v>
      </c>
      <c r="AF1873" s="1145">
        <f t="shared" si="533"/>
        <v>0</v>
      </c>
      <c r="AG1873" s="1149">
        <f>IFERROR(VLOOKUP(CONCATENATE($L1873,$N1873),'Drop List'!$G$23:$K$87,2,FALSE),0)</f>
        <v>0</v>
      </c>
      <c r="AH1873" s="1150">
        <f>IFERROR(VLOOKUP(CONCATENATE($L1873,$N1873),'Drop List'!$G$23:$K$87,3,FALSE),0)</f>
        <v>0</v>
      </c>
      <c r="AI1873" s="1150">
        <f>IFERROR(VLOOKUP(CONCATENATE($L1873,$N1873),'Drop List'!$G$23:$K$87,4,FALSE),0)</f>
        <v>0</v>
      </c>
      <c r="AJ1873" s="1151">
        <f>IFERROR(VLOOKUP(CONCATENATE($L1873,$N1873),'Drop List'!$G$23:$K$87,5,FALSE),0)</f>
        <v>0</v>
      </c>
      <c r="AK1873" s="1152">
        <f t="shared" si="534"/>
        <v>0</v>
      </c>
      <c r="AL1873" s="1153">
        <f t="shared" si="535"/>
        <v>0</v>
      </c>
      <c r="AM1873" s="1153">
        <f t="shared" si="536"/>
        <v>0</v>
      </c>
      <c r="AN1873" s="1145">
        <f t="shared" si="537"/>
        <v>0</v>
      </c>
      <c r="AO1873" s="1154">
        <f t="shared" si="522"/>
        <v>0</v>
      </c>
      <c r="AP1873" s="1147">
        <f t="shared" si="525"/>
        <v>0</v>
      </c>
      <c r="AQ1873" s="1144">
        <f t="shared" si="526"/>
        <v>0</v>
      </c>
      <c r="AR1873" s="1146">
        <f t="shared" si="527"/>
        <v>0</v>
      </c>
    </row>
    <row r="1874" spans="1:44" x14ac:dyDescent="0.2">
      <c r="A1874" s="1141" t="str">
        <f t="shared" si="521"/>
        <v/>
      </c>
      <c r="B1874" s="1141" t="str">
        <f>IFERROR(VLOOKUP(A1874,'LAC 103'!A:C,3,FALSE),"")</f>
        <v/>
      </c>
      <c r="C1874" s="1478" t="str">
        <f>Info!$B$8</f>
        <v>00100</v>
      </c>
      <c r="D1874" s="1474"/>
      <c r="E1874" s="1474"/>
      <c r="F1874" s="1478"/>
      <c r="G1874" s="1478"/>
      <c r="H1874" s="1474"/>
      <c r="I1874" s="1478"/>
      <c r="J1874" s="1478"/>
      <c r="K1874" s="1475"/>
      <c r="L1874" s="1474"/>
      <c r="M1874" s="1476"/>
      <c r="N1874" s="1477"/>
      <c r="O1874" s="1479"/>
      <c r="P1874" s="1479"/>
      <c r="Q1874" s="1142">
        <f t="shared" si="523"/>
        <v>0</v>
      </c>
      <c r="R1874" s="1143">
        <f>IFERROR(VLOOKUP(CONCATENATE($E1874,$G1874),'LAC 103'!$A$12:$O$95,11,FALSE),0)</f>
        <v>0</v>
      </c>
      <c r="S1874" s="1144">
        <f>IFERROR(VLOOKUP(CONCATENATE($E1874,$G1874),'LAC 103'!$A$12:$O$95,12,FALSE),0)</f>
        <v>0</v>
      </c>
      <c r="T1874" s="1144">
        <f>IFERROR(VLOOKUP(CONCATENATE($E1874,$G1874),'LAC 103'!$A$12:$O$95,13,FALSE),0)</f>
        <v>0</v>
      </c>
      <c r="U1874" s="1144">
        <f>IFERROR(VLOOKUP(CONCATENATE($E1874,$G1874),'LAC 103'!$A$12:$O$95,14,FALSE),0)</f>
        <v>0</v>
      </c>
      <c r="V1874" s="1144">
        <f>IFERROR(VLOOKUP(CONCATENATE($E1874,$G1874),'LAC 103'!$A$12:$O$95,15,FALSE),0)</f>
        <v>0</v>
      </c>
      <c r="W1874" s="1145" t="str">
        <f>IFERROR(VLOOKUP(CONCATENATE($B1874,$N1874),'LAC 103'!$AI:$AQ,9,FALSE),"")</f>
        <v/>
      </c>
      <c r="X1874" s="1146">
        <f t="shared" si="528"/>
        <v>0</v>
      </c>
      <c r="Y1874" s="1143">
        <f t="shared" si="538"/>
        <v>0</v>
      </c>
      <c r="Z1874" s="1147">
        <f t="shared" si="529"/>
        <v>0</v>
      </c>
      <c r="AA1874" s="1144">
        <f t="shared" si="530"/>
        <v>0</v>
      </c>
      <c r="AB1874" s="1144">
        <f t="shared" si="531"/>
        <v>0</v>
      </c>
      <c r="AC1874" s="1144">
        <f t="shared" si="532"/>
        <v>0</v>
      </c>
      <c r="AD1874" s="1148">
        <f t="shared" si="524"/>
        <v>0</v>
      </c>
      <c r="AE1874" s="1487">
        <v>0</v>
      </c>
      <c r="AF1874" s="1145">
        <f t="shared" si="533"/>
        <v>0</v>
      </c>
      <c r="AG1874" s="1149">
        <f>IFERROR(VLOOKUP(CONCATENATE($L1874,$N1874),'Drop List'!$G$23:$K$87,2,FALSE),0)</f>
        <v>0</v>
      </c>
      <c r="AH1874" s="1150">
        <f>IFERROR(VLOOKUP(CONCATENATE($L1874,$N1874),'Drop List'!$G$23:$K$87,3,FALSE),0)</f>
        <v>0</v>
      </c>
      <c r="AI1874" s="1150">
        <f>IFERROR(VLOOKUP(CONCATENATE($L1874,$N1874),'Drop List'!$G$23:$K$87,4,FALSE),0)</f>
        <v>0</v>
      </c>
      <c r="AJ1874" s="1151">
        <f>IFERROR(VLOOKUP(CONCATENATE($L1874,$N1874),'Drop List'!$G$23:$K$87,5,FALSE),0)</f>
        <v>0</v>
      </c>
      <c r="AK1874" s="1152">
        <f t="shared" si="534"/>
        <v>0</v>
      </c>
      <c r="AL1874" s="1153">
        <f t="shared" si="535"/>
        <v>0</v>
      </c>
      <c r="AM1874" s="1153">
        <f t="shared" si="536"/>
        <v>0</v>
      </c>
      <c r="AN1874" s="1145">
        <f t="shared" si="537"/>
        <v>0</v>
      </c>
      <c r="AO1874" s="1154">
        <f t="shared" si="522"/>
        <v>0</v>
      </c>
      <c r="AP1874" s="1147">
        <f t="shared" si="525"/>
        <v>0</v>
      </c>
      <c r="AQ1874" s="1144">
        <f t="shared" si="526"/>
        <v>0</v>
      </c>
      <c r="AR1874" s="1146">
        <f t="shared" si="527"/>
        <v>0</v>
      </c>
    </row>
    <row r="1875" spans="1:44" x14ac:dyDescent="0.2">
      <c r="A1875" s="1141" t="str">
        <f t="shared" si="521"/>
        <v/>
      </c>
      <c r="B1875" s="1141" t="str">
        <f>IFERROR(VLOOKUP(A1875,'LAC 103'!A:C,3,FALSE),"")</f>
        <v/>
      </c>
      <c r="C1875" s="1478" t="str">
        <f>Info!$B$8</f>
        <v>00100</v>
      </c>
      <c r="D1875" s="1474"/>
      <c r="E1875" s="1474"/>
      <c r="F1875" s="1478"/>
      <c r="G1875" s="1478"/>
      <c r="H1875" s="1474"/>
      <c r="I1875" s="1478"/>
      <c r="J1875" s="1478"/>
      <c r="K1875" s="1475"/>
      <c r="L1875" s="1474"/>
      <c r="M1875" s="1476"/>
      <c r="N1875" s="1477"/>
      <c r="O1875" s="1479"/>
      <c r="P1875" s="1479"/>
      <c r="Q1875" s="1142">
        <f t="shared" si="523"/>
        <v>0</v>
      </c>
      <c r="R1875" s="1143">
        <f>IFERROR(VLOOKUP(CONCATENATE($E1875,$G1875),'LAC 103'!$A$12:$O$95,11,FALSE),0)</f>
        <v>0</v>
      </c>
      <c r="S1875" s="1144">
        <f>IFERROR(VLOOKUP(CONCATENATE($E1875,$G1875),'LAC 103'!$A$12:$O$95,12,FALSE),0)</f>
        <v>0</v>
      </c>
      <c r="T1875" s="1144">
        <f>IFERROR(VLOOKUP(CONCATENATE($E1875,$G1875),'LAC 103'!$A$12:$O$95,13,FALSE),0)</f>
        <v>0</v>
      </c>
      <c r="U1875" s="1144">
        <f>IFERROR(VLOOKUP(CONCATENATE($E1875,$G1875),'LAC 103'!$A$12:$O$95,14,FALSE),0)</f>
        <v>0</v>
      </c>
      <c r="V1875" s="1144">
        <f>IFERROR(VLOOKUP(CONCATENATE($E1875,$G1875),'LAC 103'!$A$12:$O$95,15,FALSE),0)</f>
        <v>0</v>
      </c>
      <c r="W1875" s="1145" t="str">
        <f>IFERROR(VLOOKUP(CONCATENATE($B1875,$N1875),'LAC 103'!$AI:$AQ,9,FALSE),"")</f>
        <v/>
      </c>
      <c r="X1875" s="1146">
        <f t="shared" si="528"/>
        <v>0</v>
      </c>
      <c r="Y1875" s="1143">
        <f t="shared" si="538"/>
        <v>0</v>
      </c>
      <c r="Z1875" s="1147">
        <f t="shared" si="529"/>
        <v>0</v>
      </c>
      <c r="AA1875" s="1144">
        <f t="shared" si="530"/>
        <v>0</v>
      </c>
      <c r="AB1875" s="1144">
        <f t="shared" si="531"/>
        <v>0</v>
      </c>
      <c r="AC1875" s="1144">
        <f t="shared" si="532"/>
        <v>0</v>
      </c>
      <c r="AD1875" s="1148">
        <f t="shared" si="524"/>
        <v>0</v>
      </c>
      <c r="AE1875" s="1487">
        <v>0</v>
      </c>
      <c r="AF1875" s="1145">
        <f t="shared" si="533"/>
        <v>0</v>
      </c>
      <c r="AG1875" s="1149">
        <f>IFERROR(VLOOKUP(CONCATENATE($L1875,$N1875),'Drop List'!$G$23:$K$87,2,FALSE),0)</f>
        <v>0</v>
      </c>
      <c r="AH1875" s="1150">
        <f>IFERROR(VLOOKUP(CONCATENATE($L1875,$N1875),'Drop List'!$G$23:$K$87,3,FALSE),0)</f>
        <v>0</v>
      </c>
      <c r="AI1875" s="1150">
        <f>IFERROR(VLOOKUP(CONCATENATE($L1875,$N1875),'Drop List'!$G$23:$K$87,4,FALSE),0)</f>
        <v>0</v>
      </c>
      <c r="AJ1875" s="1151">
        <f>IFERROR(VLOOKUP(CONCATENATE($L1875,$N1875),'Drop List'!$G$23:$K$87,5,FALSE),0)</f>
        <v>0</v>
      </c>
      <c r="AK1875" s="1152">
        <f t="shared" si="534"/>
        <v>0</v>
      </c>
      <c r="AL1875" s="1153">
        <f t="shared" si="535"/>
        <v>0</v>
      </c>
      <c r="AM1875" s="1153">
        <f t="shared" si="536"/>
        <v>0</v>
      </c>
      <c r="AN1875" s="1145">
        <f t="shared" si="537"/>
        <v>0</v>
      </c>
      <c r="AO1875" s="1154">
        <f t="shared" si="522"/>
        <v>0</v>
      </c>
      <c r="AP1875" s="1147">
        <f t="shared" si="525"/>
        <v>0</v>
      </c>
      <c r="AQ1875" s="1144">
        <f t="shared" si="526"/>
        <v>0</v>
      </c>
      <c r="AR1875" s="1146">
        <f t="shared" si="527"/>
        <v>0</v>
      </c>
    </row>
    <row r="1876" spans="1:44" x14ac:dyDescent="0.2">
      <c r="A1876" s="1141" t="str">
        <f t="shared" si="521"/>
        <v/>
      </c>
      <c r="B1876" s="1141" t="str">
        <f>IFERROR(VLOOKUP(A1876,'LAC 103'!A:C,3,FALSE),"")</f>
        <v/>
      </c>
      <c r="C1876" s="1478" t="str">
        <f>Info!$B$8</f>
        <v>00100</v>
      </c>
      <c r="D1876" s="1474"/>
      <c r="E1876" s="1474"/>
      <c r="F1876" s="1478"/>
      <c r="G1876" s="1478"/>
      <c r="H1876" s="1474"/>
      <c r="I1876" s="1478"/>
      <c r="J1876" s="1478"/>
      <c r="K1876" s="1475"/>
      <c r="L1876" s="1474"/>
      <c r="M1876" s="1476"/>
      <c r="N1876" s="1477"/>
      <c r="O1876" s="1479"/>
      <c r="P1876" s="1479"/>
      <c r="Q1876" s="1142">
        <f t="shared" si="523"/>
        <v>0</v>
      </c>
      <c r="R1876" s="1143">
        <f>IFERROR(VLOOKUP(CONCATENATE($E1876,$G1876),'LAC 103'!$A$12:$O$95,11,FALSE),0)</f>
        <v>0</v>
      </c>
      <c r="S1876" s="1144">
        <f>IFERROR(VLOOKUP(CONCATENATE($E1876,$G1876),'LAC 103'!$A$12:$O$95,12,FALSE),0)</f>
        <v>0</v>
      </c>
      <c r="T1876" s="1144">
        <f>IFERROR(VLOOKUP(CONCATENATE($E1876,$G1876),'LAC 103'!$A$12:$O$95,13,FALSE),0)</f>
        <v>0</v>
      </c>
      <c r="U1876" s="1144">
        <f>IFERROR(VLOOKUP(CONCATENATE($E1876,$G1876),'LAC 103'!$A$12:$O$95,14,FALSE),0)</f>
        <v>0</v>
      </c>
      <c r="V1876" s="1144">
        <f>IFERROR(VLOOKUP(CONCATENATE($E1876,$G1876),'LAC 103'!$A$12:$O$95,15,FALSE),0)</f>
        <v>0</v>
      </c>
      <c r="W1876" s="1145" t="str">
        <f>IFERROR(VLOOKUP(CONCATENATE($B1876,$N1876),'LAC 103'!$AI:$AQ,9,FALSE),"")</f>
        <v/>
      </c>
      <c r="X1876" s="1146">
        <f t="shared" si="528"/>
        <v>0</v>
      </c>
      <c r="Y1876" s="1143">
        <f t="shared" si="538"/>
        <v>0</v>
      </c>
      <c r="Z1876" s="1147">
        <f t="shared" si="529"/>
        <v>0</v>
      </c>
      <c r="AA1876" s="1144">
        <f t="shared" si="530"/>
        <v>0</v>
      </c>
      <c r="AB1876" s="1144">
        <f t="shared" si="531"/>
        <v>0</v>
      </c>
      <c r="AC1876" s="1144">
        <f t="shared" si="532"/>
        <v>0</v>
      </c>
      <c r="AD1876" s="1148">
        <f t="shared" si="524"/>
        <v>0</v>
      </c>
      <c r="AE1876" s="1487">
        <v>0</v>
      </c>
      <c r="AF1876" s="1145">
        <f t="shared" si="533"/>
        <v>0</v>
      </c>
      <c r="AG1876" s="1149">
        <f>IFERROR(VLOOKUP(CONCATENATE($L1876,$N1876),'Drop List'!$G$23:$K$87,2,FALSE),0)</f>
        <v>0</v>
      </c>
      <c r="AH1876" s="1150">
        <f>IFERROR(VLOOKUP(CONCATENATE($L1876,$N1876),'Drop List'!$G$23:$K$87,3,FALSE),0)</f>
        <v>0</v>
      </c>
      <c r="AI1876" s="1150">
        <f>IFERROR(VLOOKUP(CONCATENATE($L1876,$N1876),'Drop List'!$G$23:$K$87,4,FALSE),0)</f>
        <v>0</v>
      </c>
      <c r="AJ1876" s="1151">
        <f>IFERROR(VLOOKUP(CONCATENATE($L1876,$N1876),'Drop List'!$G$23:$K$87,5,FALSE),0)</f>
        <v>0</v>
      </c>
      <c r="AK1876" s="1152">
        <f t="shared" si="534"/>
        <v>0</v>
      </c>
      <c r="AL1876" s="1153">
        <f t="shared" si="535"/>
        <v>0</v>
      </c>
      <c r="AM1876" s="1153">
        <f t="shared" si="536"/>
        <v>0</v>
      </c>
      <c r="AN1876" s="1145">
        <f t="shared" si="537"/>
        <v>0</v>
      </c>
      <c r="AO1876" s="1154">
        <f t="shared" si="522"/>
        <v>0</v>
      </c>
      <c r="AP1876" s="1147">
        <f t="shared" si="525"/>
        <v>0</v>
      </c>
      <c r="AQ1876" s="1144">
        <f t="shared" si="526"/>
        <v>0</v>
      </c>
      <c r="AR1876" s="1146">
        <f t="shared" si="527"/>
        <v>0</v>
      </c>
    </row>
    <row r="1877" spans="1:44" x14ac:dyDescent="0.2">
      <c r="A1877" s="1141" t="str">
        <f t="shared" si="521"/>
        <v/>
      </c>
      <c r="B1877" s="1141" t="str">
        <f>IFERROR(VLOOKUP(A1877,'LAC 103'!A:C,3,FALSE),"")</f>
        <v/>
      </c>
      <c r="C1877" s="1478" t="str">
        <f>Info!$B$8</f>
        <v>00100</v>
      </c>
      <c r="D1877" s="1474"/>
      <c r="E1877" s="1474"/>
      <c r="F1877" s="1478"/>
      <c r="G1877" s="1478"/>
      <c r="H1877" s="1474"/>
      <c r="I1877" s="1478"/>
      <c r="J1877" s="1478"/>
      <c r="K1877" s="1475"/>
      <c r="L1877" s="1474"/>
      <c r="M1877" s="1476"/>
      <c r="N1877" s="1477"/>
      <c r="O1877" s="1479"/>
      <c r="P1877" s="1479"/>
      <c r="Q1877" s="1142">
        <f t="shared" si="523"/>
        <v>0</v>
      </c>
      <c r="R1877" s="1143">
        <f>IFERROR(VLOOKUP(CONCATENATE($E1877,$G1877),'LAC 103'!$A$12:$O$95,11,FALSE),0)</f>
        <v>0</v>
      </c>
      <c r="S1877" s="1144">
        <f>IFERROR(VLOOKUP(CONCATENATE($E1877,$G1877),'LAC 103'!$A$12:$O$95,12,FALSE),0)</f>
        <v>0</v>
      </c>
      <c r="T1877" s="1144">
        <f>IFERROR(VLOOKUP(CONCATENATE($E1877,$G1877),'LAC 103'!$A$12:$O$95,13,FALSE),0)</f>
        <v>0</v>
      </c>
      <c r="U1877" s="1144">
        <f>IFERROR(VLOOKUP(CONCATENATE($E1877,$G1877),'LAC 103'!$A$12:$O$95,14,FALSE),0)</f>
        <v>0</v>
      </c>
      <c r="V1877" s="1144">
        <f>IFERROR(VLOOKUP(CONCATENATE($E1877,$G1877),'LAC 103'!$A$12:$O$95,15,FALSE),0)</f>
        <v>0</v>
      </c>
      <c r="W1877" s="1145" t="str">
        <f>IFERROR(VLOOKUP(CONCATENATE($B1877,$N1877),'LAC 103'!$AI:$AQ,9,FALSE),"")</f>
        <v/>
      </c>
      <c r="X1877" s="1146">
        <f t="shared" si="528"/>
        <v>0</v>
      </c>
      <c r="Y1877" s="1143">
        <f t="shared" si="538"/>
        <v>0</v>
      </c>
      <c r="Z1877" s="1147">
        <f t="shared" si="529"/>
        <v>0</v>
      </c>
      <c r="AA1877" s="1144">
        <f t="shared" si="530"/>
        <v>0</v>
      </c>
      <c r="AB1877" s="1144">
        <f t="shared" si="531"/>
        <v>0</v>
      </c>
      <c r="AC1877" s="1144">
        <f t="shared" si="532"/>
        <v>0</v>
      </c>
      <c r="AD1877" s="1148">
        <f t="shared" si="524"/>
        <v>0</v>
      </c>
      <c r="AE1877" s="1487">
        <v>0</v>
      </c>
      <c r="AF1877" s="1145">
        <f t="shared" si="533"/>
        <v>0</v>
      </c>
      <c r="AG1877" s="1149">
        <f>IFERROR(VLOOKUP(CONCATENATE($L1877,$N1877),'Drop List'!$G$23:$K$87,2,FALSE),0)</f>
        <v>0</v>
      </c>
      <c r="AH1877" s="1150">
        <f>IFERROR(VLOOKUP(CONCATENATE($L1877,$N1877),'Drop List'!$G$23:$K$87,3,FALSE),0)</f>
        <v>0</v>
      </c>
      <c r="AI1877" s="1150">
        <f>IFERROR(VLOOKUP(CONCATENATE($L1877,$N1877),'Drop List'!$G$23:$K$87,4,FALSE),0)</f>
        <v>0</v>
      </c>
      <c r="AJ1877" s="1151">
        <f>IFERROR(VLOOKUP(CONCATENATE($L1877,$N1877),'Drop List'!$G$23:$K$87,5,FALSE),0)</f>
        <v>0</v>
      </c>
      <c r="AK1877" s="1152">
        <f t="shared" si="534"/>
        <v>0</v>
      </c>
      <c r="AL1877" s="1153">
        <f t="shared" si="535"/>
        <v>0</v>
      </c>
      <c r="AM1877" s="1153">
        <f t="shared" si="536"/>
        <v>0</v>
      </c>
      <c r="AN1877" s="1145">
        <f t="shared" si="537"/>
        <v>0</v>
      </c>
      <c r="AO1877" s="1154">
        <f t="shared" si="522"/>
        <v>0</v>
      </c>
      <c r="AP1877" s="1147">
        <f t="shared" si="525"/>
        <v>0</v>
      </c>
      <c r="AQ1877" s="1144">
        <f t="shared" si="526"/>
        <v>0</v>
      </c>
      <c r="AR1877" s="1146">
        <f t="shared" si="527"/>
        <v>0</v>
      </c>
    </row>
    <row r="1878" spans="1:44" x14ac:dyDescent="0.2">
      <c r="A1878" s="1141" t="str">
        <f t="shared" ref="A1878:A1941" si="539">IF(CONCATENATE(E1878,G1878)="","",CONCATENATE(E1878,G1878))</f>
        <v/>
      </c>
      <c r="B1878" s="1141" t="str">
        <f>IFERROR(VLOOKUP(A1878,'LAC 103'!A:C,3,FALSE),"")</f>
        <v/>
      </c>
      <c r="C1878" s="1478" t="str">
        <f>Info!$B$8</f>
        <v>00100</v>
      </c>
      <c r="D1878" s="1474"/>
      <c r="E1878" s="1474"/>
      <c r="F1878" s="1478"/>
      <c r="G1878" s="1478"/>
      <c r="H1878" s="1474"/>
      <c r="I1878" s="1478"/>
      <c r="J1878" s="1478"/>
      <c r="K1878" s="1475"/>
      <c r="L1878" s="1474"/>
      <c r="M1878" s="1476"/>
      <c r="N1878" s="1477"/>
      <c r="O1878" s="1479"/>
      <c r="P1878" s="1479"/>
      <c r="Q1878" s="1142">
        <f t="shared" si="523"/>
        <v>0</v>
      </c>
      <c r="R1878" s="1143">
        <f>IFERROR(VLOOKUP(CONCATENATE($E1878,$G1878),'LAC 103'!$A$12:$O$95,11,FALSE),0)</f>
        <v>0</v>
      </c>
      <c r="S1878" s="1144">
        <f>IFERROR(VLOOKUP(CONCATENATE($E1878,$G1878),'LAC 103'!$A$12:$O$95,12,FALSE),0)</f>
        <v>0</v>
      </c>
      <c r="T1878" s="1144">
        <f>IFERROR(VLOOKUP(CONCATENATE($E1878,$G1878),'LAC 103'!$A$12:$O$95,13,FALSE),0)</f>
        <v>0</v>
      </c>
      <c r="U1878" s="1144">
        <f>IFERROR(VLOOKUP(CONCATENATE($E1878,$G1878),'LAC 103'!$A$12:$O$95,14,FALSE),0)</f>
        <v>0</v>
      </c>
      <c r="V1878" s="1144">
        <f>IFERROR(VLOOKUP(CONCATENATE($E1878,$G1878),'LAC 103'!$A$12:$O$95,15,FALSE),0)</f>
        <v>0</v>
      </c>
      <c r="W1878" s="1145" t="str">
        <f>IFERROR(VLOOKUP(CONCATENATE($B1878,$N1878),'LAC 103'!$AI:$AQ,9,FALSE),"")</f>
        <v/>
      </c>
      <c r="X1878" s="1146">
        <f t="shared" si="528"/>
        <v>0</v>
      </c>
      <c r="Y1878" s="1143">
        <f t="shared" si="538"/>
        <v>0</v>
      </c>
      <c r="Z1878" s="1147">
        <f t="shared" si="529"/>
        <v>0</v>
      </c>
      <c r="AA1878" s="1144">
        <f t="shared" si="530"/>
        <v>0</v>
      </c>
      <c r="AB1878" s="1144">
        <f t="shared" si="531"/>
        <v>0</v>
      </c>
      <c r="AC1878" s="1144">
        <f t="shared" si="532"/>
        <v>0</v>
      </c>
      <c r="AD1878" s="1148">
        <f t="shared" si="524"/>
        <v>0</v>
      </c>
      <c r="AE1878" s="1487">
        <v>0</v>
      </c>
      <c r="AF1878" s="1145">
        <f t="shared" si="533"/>
        <v>0</v>
      </c>
      <c r="AG1878" s="1149">
        <f>IFERROR(VLOOKUP(CONCATENATE($L1878,$N1878),'Drop List'!$G$23:$K$87,2,FALSE),0)</f>
        <v>0</v>
      </c>
      <c r="AH1878" s="1150">
        <f>IFERROR(VLOOKUP(CONCATENATE($L1878,$N1878),'Drop List'!$G$23:$K$87,3,FALSE),0)</f>
        <v>0</v>
      </c>
      <c r="AI1878" s="1150">
        <f>IFERROR(VLOOKUP(CONCATENATE($L1878,$N1878),'Drop List'!$G$23:$K$87,4,FALSE),0)</f>
        <v>0</v>
      </c>
      <c r="AJ1878" s="1151">
        <f>IFERROR(VLOOKUP(CONCATENATE($L1878,$N1878),'Drop List'!$G$23:$K$87,5,FALSE),0)</f>
        <v>0</v>
      </c>
      <c r="AK1878" s="1152">
        <f t="shared" si="534"/>
        <v>0</v>
      </c>
      <c r="AL1878" s="1153">
        <f t="shared" si="535"/>
        <v>0</v>
      </c>
      <c r="AM1878" s="1153">
        <f t="shared" si="536"/>
        <v>0</v>
      </c>
      <c r="AN1878" s="1145">
        <f t="shared" si="537"/>
        <v>0</v>
      </c>
      <c r="AO1878" s="1154">
        <f t="shared" si="522"/>
        <v>0</v>
      </c>
      <c r="AP1878" s="1147">
        <f t="shared" si="525"/>
        <v>0</v>
      </c>
      <c r="AQ1878" s="1144">
        <f t="shared" si="526"/>
        <v>0</v>
      </c>
      <c r="AR1878" s="1146">
        <f t="shared" si="527"/>
        <v>0</v>
      </c>
    </row>
    <row r="1879" spans="1:44" x14ac:dyDescent="0.2">
      <c r="A1879" s="1141" t="str">
        <f t="shared" si="539"/>
        <v/>
      </c>
      <c r="B1879" s="1141" t="str">
        <f>IFERROR(VLOOKUP(A1879,'LAC 103'!A:C,3,FALSE),"")</f>
        <v/>
      </c>
      <c r="C1879" s="1478" t="str">
        <f>Info!$B$8</f>
        <v>00100</v>
      </c>
      <c r="D1879" s="1474"/>
      <c r="E1879" s="1474"/>
      <c r="F1879" s="1478"/>
      <c r="G1879" s="1478"/>
      <c r="H1879" s="1474"/>
      <c r="I1879" s="1478"/>
      <c r="J1879" s="1478"/>
      <c r="K1879" s="1475"/>
      <c r="L1879" s="1474"/>
      <c r="M1879" s="1476"/>
      <c r="N1879" s="1477"/>
      <c r="O1879" s="1479"/>
      <c r="P1879" s="1479"/>
      <c r="Q1879" s="1142">
        <f t="shared" si="523"/>
        <v>0</v>
      </c>
      <c r="R1879" s="1143">
        <f>IFERROR(VLOOKUP(CONCATENATE($E1879,$G1879),'LAC 103'!$A$12:$O$95,11,FALSE),0)</f>
        <v>0</v>
      </c>
      <c r="S1879" s="1144">
        <f>IFERROR(VLOOKUP(CONCATENATE($E1879,$G1879),'LAC 103'!$A$12:$O$95,12,FALSE),0)</f>
        <v>0</v>
      </c>
      <c r="T1879" s="1144">
        <f>IFERROR(VLOOKUP(CONCATENATE($E1879,$G1879),'LAC 103'!$A$12:$O$95,13,FALSE),0)</f>
        <v>0</v>
      </c>
      <c r="U1879" s="1144">
        <f>IFERROR(VLOOKUP(CONCATENATE($E1879,$G1879),'LAC 103'!$A$12:$O$95,14,FALSE),0)</f>
        <v>0</v>
      </c>
      <c r="V1879" s="1144">
        <f>IFERROR(VLOOKUP(CONCATENATE($E1879,$G1879),'LAC 103'!$A$12:$O$95,15,FALSE),0)</f>
        <v>0</v>
      </c>
      <c r="W1879" s="1145" t="str">
        <f>IFERROR(VLOOKUP(CONCATENATE($B1879,$N1879),'LAC 103'!$AI:$AQ,9,FALSE),"")</f>
        <v/>
      </c>
      <c r="X1879" s="1146">
        <f t="shared" si="528"/>
        <v>0</v>
      </c>
      <c r="Y1879" s="1143">
        <f t="shared" si="538"/>
        <v>0</v>
      </c>
      <c r="Z1879" s="1147">
        <f t="shared" si="529"/>
        <v>0</v>
      </c>
      <c r="AA1879" s="1144">
        <f t="shared" si="530"/>
        <v>0</v>
      </c>
      <c r="AB1879" s="1144">
        <f t="shared" si="531"/>
        <v>0</v>
      </c>
      <c r="AC1879" s="1144">
        <f t="shared" si="532"/>
        <v>0</v>
      </c>
      <c r="AD1879" s="1148">
        <f t="shared" si="524"/>
        <v>0</v>
      </c>
      <c r="AE1879" s="1487">
        <v>0</v>
      </c>
      <c r="AF1879" s="1145">
        <f t="shared" si="533"/>
        <v>0</v>
      </c>
      <c r="AG1879" s="1149">
        <f>IFERROR(VLOOKUP(CONCATENATE($L1879,$N1879),'Drop List'!$G$23:$K$87,2,FALSE),0)</f>
        <v>0</v>
      </c>
      <c r="AH1879" s="1150">
        <f>IFERROR(VLOOKUP(CONCATENATE($L1879,$N1879),'Drop List'!$G$23:$K$87,3,FALSE),0)</f>
        <v>0</v>
      </c>
      <c r="AI1879" s="1150">
        <f>IFERROR(VLOOKUP(CONCATENATE($L1879,$N1879),'Drop List'!$G$23:$K$87,4,FALSE),0)</f>
        <v>0</v>
      </c>
      <c r="AJ1879" s="1151">
        <f>IFERROR(VLOOKUP(CONCATENATE($L1879,$N1879),'Drop List'!$G$23:$K$87,5,FALSE),0)</f>
        <v>0</v>
      </c>
      <c r="AK1879" s="1152">
        <f t="shared" si="534"/>
        <v>0</v>
      </c>
      <c r="AL1879" s="1153">
        <f t="shared" si="535"/>
        <v>0</v>
      </c>
      <c r="AM1879" s="1153">
        <f t="shared" si="536"/>
        <v>0</v>
      </c>
      <c r="AN1879" s="1145">
        <f t="shared" si="537"/>
        <v>0</v>
      </c>
      <c r="AO1879" s="1154">
        <f t="shared" si="522"/>
        <v>0</v>
      </c>
      <c r="AP1879" s="1147">
        <f t="shared" si="525"/>
        <v>0</v>
      </c>
      <c r="AQ1879" s="1144">
        <f t="shared" si="526"/>
        <v>0</v>
      </c>
      <c r="AR1879" s="1146">
        <f t="shared" si="527"/>
        <v>0</v>
      </c>
    </row>
    <row r="1880" spans="1:44" x14ac:dyDescent="0.2">
      <c r="A1880" s="1141" t="str">
        <f t="shared" si="539"/>
        <v/>
      </c>
      <c r="B1880" s="1141" t="str">
        <f>IFERROR(VLOOKUP(A1880,'LAC 103'!A:C,3,FALSE),"")</f>
        <v/>
      </c>
      <c r="C1880" s="1478" t="str">
        <f>Info!$B$8</f>
        <v>00100</v>
      </c>
      <c r="D1880" s="1474"/>
      <c r="E1880" s="1474"/>
      <c r="F1880" s="1478"/>
      <c r="G1880" s="1478"/>
      <c r="H1880" s="1474"/>
      <c r="I1880" s="1478"/>
      <c r="J1880" s="1478"/>
      <c r="K1880" s="1475"/>
      <c r="L1880" s="1474"/>
      <c r="M1880" s="1476"/>
      <c r="N1880" s="1477"/>
      <c r="O1880" s="1479"/>
      <c r="P1880" s="1479"/>
      <c r="Q1880" s="1142">
        <f t="shared" si="523"/>
        <v>0</v>
      </c>
      <c r="R1880" s="1143">
        <f>IFERROR(VLOOKUP(CONCATENATE($E1880,$G1880),'LAC 103'!$A$12:$O$95,11,FALSE),0)</f>
        <v>0</v>
      </c>
      <c r="S1880" s="1144">
        <f>IFERROR(VLOOKUP(CONCATENATE($E1880,$G1880),'LAC 103'!$A$12:$O$95,12,FALSE),0)</f>
        <v>0</v>
      </c>
      <c r="T1880" s="1144">
        <f>IFERROR(VLOOKUP(CONCATENATE($E1880,$G1880),'LAC 103'!$A$12:$O$95,13,FALSE),0)</f>
        <v>0</v>
      </c>
      <c r="U1880" s="1144">
        <f>IFERROR(VLOOKUP(CONCATENATE($E1880,$G1880),'LAC 103'!$A$12:$O$95,14,FALSE),0)</f>
        <v>0</v>
      </c>
      <c r="V1880" s="1144">
        <f>IFERROR(VLOOKUP(CONCATENATE($E1880,$G1880),'LAC 103'!$A$12:$O$95,15,FALSE),0)</f>
        <v>0</v>
      </c>
      <c r="W1880" s="1145" t="str">
        <f>IFERROR(VLOOKUP(CONCATENATE($B1880,$N1880),'LAC 103'!$AI:$AQ,9,FALSE),"")</f>
        <v/>
      </c>
      <c r="X1880" s="1146">
        <f t="shared" si="528"/>
        <v>0</v>
      </c>
      <c r="Y1880" s="1143">
        <f t="shared" si="538"/>
        <v>0</v>
      </c>
      <c r="Z1880" s="1147">
        <f t="shared" si="529"/>
        <v>0</v>
      </c>
      <c r="AA1880" s="1144">
        <f t="shared" si="530"/>
        <v>0</v>
      </c>
      <c r="AB1880" s="1144">
        <f t="shared" si="531"/>
        <v>0</v>
      </c>
      <c r="AC1880" s="1144">
        <f t="shared" si="532"/>
        <v>0</v>
      </c>
      <c r="AD1880" s="1148">
        <f t="shared" si="524"/>
        <v>0</v>
      </c>
      <c r="AE1880" s="1487">
        <v>0</v>
      </c>
      <c r="AF1880" s="1145">
        <f t="shared" si="533"/>
        <v>0</v>
      </c>
      <c r="AG1880" s="1149">
        <f>IFERROR(VLOOKUP(CONCATENATE($L1880,$N1880),'Drop List'!$G$23:$K$87,2,FALSE),0)</f>
        <v>0</v>
      </c>
      <c r="AH1880" s="1150">
        <f>IFERROR(VLOOKUP(CONCATENATE($L1880,$N1880),'Drop List'!$G$23:$K$87,3,FALSE),0)</f>
        <v>0</v>
      </c>
      <c r="AI1880" s="1150">
        <f>IFERROR(VLOOKUP(CONCATENATE($L1880,$N1880),'Drop List'!$G$23:$K$87,4,FALSE),0)</f>
        <v>0</v>
      </c>
      <c r="AJ1880" s="1151">
        <f>IFERROR(VLOOKUP(CONCATENATE($L1880,$N1880),'Drop List'!$G$23:$K$87,5,FALSE),0)</f>
        <v>0</v>
      </c>
      <c r="AK1880" s="1152">
        <f t="shared" si="534"/>
        <v>0</v>
      </c>
      <c r="AL1880" s="1153">
        <f t="shared" si="535"/>
        <v>0</v>
      </c>
      <c r="AM1880" s="1153">
        <f t="shared" si="536"/>
        <v>0</v>
      </c>
      <c r="AN1880" s="1145">
        <f t="shared" si="537"/>
        <v>0</v>
      </c>
      <c r="AO1880" s="1154">
        <f t="shared" si="522"/>
        <v>0</v>
      </c>
      <c r="AP1880" s="1147">
        <f t="shared" si="525"/>
        <v>0</v>
      </c>
      <c r="AQ1880" s="1144">
        <f t="shared" si="526"/>
        <v>0</v>
      </c>
      <c r="AR1880" s="1146">
        <f t="shared" si="527"/>
        <v>0</v>
      </c>
    </row>
    <row r="1881" spans="1:44" x14ac:dyDescent="0.2">
      <c r="A1881" s="1141" t="str">
        <f t="shared" si="539"/>
        <v/>
      </c>
      <c r="B1881" s="1141" t="str">
        <f>IFERROR(VLOOKUP(A1881,'LAC 103'!A:C,3,FALSE),"")</f>
        <v/>
      </c>
      <c r="C1881" s="1478" t="str">
        <f>Info!$B$8</f>
        <v>00100</v>
      </c>
      <c r="D1881" s="1474"/>
      <c r="E1881" s="1474"/>
      <c r="F1881" s="1478"/>
      <c r="G1881" s="1478"/>
      <c r="H1881" s="1474"/>
      <c r="I1881" s="1478"/>
      <c r="J1881" s="1478"/>
      <c r="K1881" s="1475"/>
      <c r="L1881" s="1474"/>
      <c r="M1881" s="1476"/>
      <c r="N1881" s="1477"/>
      <c r="O1881" s="1479"/>
      <c r="P1881" s="1479"/>
      <c r="Q1881" s="1142">
        <f t="shared" si="523"/>
        <v>0</v>
      </c>
      <c r="R1881" s="1143">
        <f>IFERROR(VLOOKUP(CONCATENATE($E1881,$G1881),'LAC 103'!$A$12:$O$95,11,FALSE),0)</f>
        <v>0</v>
      </c>
      <c r="S1881" s="1144">
        <f>IFERROR(VLOOKUP(CONCATENATE($E1881,$G1881),'LAC 103'!$A$12:$O$95,12,FALSE),0)</f>
        <v>0</v>
      </c>
      <c r="T1881" s="1144">
        <f>IFERROR(VLOOKUP(CONCATENATE($E1881,$G1881),'LAC 103'!$A$12:$O$95,13,FALSE),0)</f>
        <v>0</v>
      </c>
      <c r="U1881" s="1144">
        <f>IFERROR(VLOOKUP(CONCATENATE($E1881,$G1881),'LAC 103'!$A$12:$O$95,14,FALSE),0)</f>
        <v>0</v>
      </c>
      <c r="V1881" s="1144">
        <f>IFERROR(VLOOKUP(CONCATENATE($E1881,$G1881),'LAC 103'!$A$12:$O$95,15,FALSE),0)</f>
        <v>0</v>
      </c>
      <c r="W1881" s="1145" t="str">
        <f>IFERROR(VLOOKUP(CONCATENATE($B1881,$N1881),'LAC 103'!$AI:$AQ,9,FALSE),"")</f>
        <v/>
      </c>
      <c r="X1881" s="1146">
        <f t="shared" si="528"/>
        <v>0</v>
      </c>
      <c r="Y1881" s="1143">
        <f t="shared" si="538"/>
        <v>0</v>
      </c>
      <c r="Z1881" s="1147">
        <f t="shared" si="529"/>
        <v>0</v>
      </c>
      <c r="AA1881" s="1144">
        <f t="shared" si="530"/>
        <v>0</v>
      </c>
      <c r="AB1881" s="1144">
        <f t="shared" si="531"/>
        <v>0</v>
      </c>
      <c r="AC1881" s="1144">
        <f t="shared" si="532"/>
        <v>0</v>
      </c>
      <c r="AD1881" s="1148">
        <f t="shared" si="524"/>
        <v>0</v>
      </c>
      <c r="AE1881" s="1487">
        <v>0</v>
      </c>
      <c r="AF1881" s="1145">
        <f t="shared" si="533"/>
        <v>0</v>
      </c>
      <c r="AG1881" s="1149">
        <f>IFERROR(VLOOKUP(CONCATENATE($L1881,$N1881),'Drop List'!$G$23:$K$87,2,FALSE),0)</f>
        <v>0</v>
      </c>
      <c r="AH1881" s="1150">
        <f>IFERROR(VLOOKUP(CONCATENATE($L1881,$N1881),'Drop List'!$G$23:$K$87,3,FALSE),0)</f>
        <v>0</v>
      </c>
      <c r="AI1881" s="1150">
        <f>IFERROR(VLOOKUP(CONCATENATE($L1881,$N1881),'Drop List'!$G$23:$K$87,4,FALSE),0)</f>
        <v>0</v>
      </c>
      <c r="AJ1881" s="1151">
        <f>IFERROR(VLOOKUP(CONCATENATE($L1881,$N1881),'Drop List'!$G$23:$K$87,5,FALSE),0)</f>
        <v>0</v>
      </c>
      <c r="AK1881" s="1152">
        <f t="shared" si="534"/>
        <v>0</v>
      </c>
      <c r="AL1881" s="1153">
        <f t="shared" si="535"/>
        <v>0</v>
      </c>
      <c r="AM1881" s="1153">
        <f t="shared" si="536"/>
        <v>0</v>
      </c>
      <c r="AN1881" s="1145">
        <f t="shared" si="537"/>
        <v>0</v>
      </c>
      <c r="AO1881" s="1154">
        <f t="shared" si="522"/>
        <v>0</v>
      </c>
      <c r="AP1881" s="1147">
        <f t="shared" si="525"/>
        <v>0</v>
      </c>
      <c r="AQ1881" s="1144">
        <f t="shared" si="526"/>
        <v>0</v>
      </c>
      <c r="AR1881" s="1146">
        <f t="shared" si="527"/>
        <v>0</v>
      </c>
    </row>
    <row r="1882" spans="1:44" x14ac:dyDescent="0.2">
      <c r="A1882" s="1141" t="str">
        <f t="shared" si="539"/>
        <v/>
      </c>
      <c r="B1882" s="1141" t="str">
        <f>IFERROR(VLOOKUP(A1882,'LAC 103'!A:C,3,FALSE),"")</f>
        <v/>
      </c>
      <c r="C1882" s="1478" t="str">
        <f>Info!$B$8</f>
        <v>00100</v>
      </c>
      <c r="D1882" s="1474"/>
      <c r="E1882" s="1474"/>
      <c r="F1882" s="1478"/>
      <c r="G1882" s="1478"/>
      <c r="H1882" s="1474"/>
      <c r="I1882" s="1478"/>
      <c r="J1882" s="1478"/>
      <c r="K1882" s="1475"/>
      <c r="L1882" s="1474"/>
      <c r="M1882" s="1476"/>
      <c r="N1882" s="1477"/>
      <c r="O1882" s="1479"/>
      <c r="P1882" s="1479"/>
      <c r="Q1882" s="1142">
        <f t="shared" si="523"/>
        <v>0</v>
      </c>
      <c r="R1882" s="1143">
        <f>IFERROR(VLOOKUP(CONCATENATE($E1882,$G1882),'LAC 103'!$A$12:$O$95,11,FALSE),0)</f>
        <v>0</v>
      </c>
      <c r="S1882" s="1144">
        <f>IFERROR(VLOOKUP(CONCATENATE($E1882,$G1882),'LAC 103'!$A$12:$O$95,12,FALSE),0)</f>
        <v>0</v>
      </c>
      <c r="T1882" s="1144">
        <f>IFERROR(VLOOKUP(CONCATENATE($E1882,$G1882),'LAC 103'!$A$12:$O$95,13,FALSE),0)</f>
        <v>0</v>
      </c>
      <c r="U1882" s="1144">
        <f>IFERROR(VLOOKUP(CONCATENATE($E1882,$G1882),'LAC 103'!$A$12:$O$95,14,FALSE),0)</f>
        <v>0</v>
      </c>
      <c r="V1882" s="1144">
        <f>IFERROR(VLOOKUP(CONCATENATE($E1882,$G1882),'LAC 103'!$A$12:$O$95,15,FALSE),0)</f>
        <v>0</v>
      </c>
      <c r="W1882" s="1145" t="str">
        <f>IFERROR(VLOOKUP(CONCATENATE($B1882,$N1882),'LAC 103'!$AI:$AQ,9,FALSE),"")</f>
        <v/>
      </c>
      <c r="X1882" s="1146">
        <f t="shared" si="528"/>
        <v>0</v>
      </c>
      <c r="Y1882" s="1143">
        <f t="shared" si="538"/>
        <v>0</v>
      </c>
      <c r="Z1882" s="1147">
        <f t="shared" si="529"/>
        <v>0</v>
      </c>
      <c r="AA1882" s="1144">
        <f t="shared" si="530"/>
        <v>0</v>
      </c>
      <c r="AB1882" s="1144">
        <f t="shared" si="531"/>
        <v>0</v>
      </c>
      <c r="AC1882" s="1144">
        <f t="shared" si="532"/>
        <v>0</v>
      </c>
      <c r="AD1882" s="1148">
        <f t="shared" si="524"/>
        <v>0</v>
      </c>
      <c r="AE1882" s="1487">
        <v>0</v>
      </c>
      <c r="AF1882" s="1145">
        <f t="shared" si="533"/>
        <v>0</v>
      </c>
      <c r="AG1882" s="1149">
        <f>IFERROR(VLOOKUP(CONCATENATE($L1882,$N1882),'Drop List'!$G$23:$K$87,2,FALSE),0)</f>
        <v>0</v>
      </c>
      <c r="AH1882" s="1150">
        <f>IFERROR(VLOOKUP(CONCATENATE($L1882,$N1882),'Drop List'!$G$23:$K$87,3,FALSE),0)</f>
        <v>0</v>
      </c>
      <c r="AI1882" s="1150">
        <f>IFERROR(VLOOKUP(CONCATENATE($L1882,$N1882),'Drop List'!$G$23:$K$87,4,FALSE),0)</f>
        <v>0</v>
      </c>
      <c r="AJ1882" s="1151">
        <f>IFERROR(VLOOKUP(CONCATENATE($L1882,$N1882),'Drop List'!$G$23:$K$87,5,FALSE),0)</f>
        <v>0</v>
      </c>
      <c r="AK1882" s="1152">
        <f t="shared" si="534"/>
        <v>0</v>
      </c>
      <c r="AL1882" s="1153">
        <f t="shared" si="535"/>
        <v>0</v>
      </c>
      <c r="AM1882" s="1153">
        <f t="shared" si="536"/>
        <v>0</v>
      </c>
      <c r="AN1882" s="1145">
        <f t="shared" si="537"/>
        <v>0</v>
      </c>
      <c r="AO1882" s="1154">
        <f t="shared" si="522"/>
        <v>0</v>
      </c>
      <c r="AP1882" s="1147">
        <f t="shared" si="525"/>
        <v>0</v>
      </c>
      <c r="AQ1882" s="1144">
        <f t="shared" si="526"/>
        <v>0</v>
      </c>
      <c r="AR1882" s="1146">
        <f t="shared" si="527"/>
        <v>0</v>
      </c>
    </row>
    <row r="1883" spans="1:44" x14ac:dyDescent="0.2">
      <c r="A1883" s="1141" t="str">
        <f t="shared" si="539"/>
        <v/>
      </c>
      <c r="B1883" s="1141" t="str">
        <f>IFERROR(VLOOKUP(A1883,'LAC 103'!A:C,3,FALSE),"")</f>
        <v/>
      </c>
      <c r="C1883" s="1478" t="str">
        <f>Info!$B$8</f>
        <v>00100</v>
      </c>
      <c r="D1883" s="1474"/>
      <c r="E1883" s="1474"/>
      <c r="F1883" s="1478"/>
      <c r="G1883" s="1478"/>
      <c r="H1883" s="1474"/>
      <c r="I1883" s="1478"/>
      <c r="J1883" s="1478"/>
      <c r="K1883" s="1475"/>
      <c r="L1883" s="1474"/>
      <c r="M1883" s="1476"/>
      <c r="N1883" s="1477"/>
      <c r="O1883" s="1479"/>
      <c r="P1883" s="1479"/>
      <c r="Q1883" s="1142">
        <f t="shared" si="523"/>
        <v>0</v>
      </c>
      <c r="R1883" s="1143">
        <f>IFERROR(VLOOKUP(CONCATENATE($E1883,$G1883),'LAC 103'!$A$12:$O$95,11,FALSE),0)</f>
        <v>0</v>
      </c>
      <c r="S1883" s="1144">
        <f>IFERROR(VLOOKUP(CONCATENATE($E1883,$G1883),'LAC 103'!$A$12:$O$95,12,FALSE),0)</f>
        <v>0</v>
      </c>
      <c r="T1883" s="1144">
        <f>IFERROR(VLOOKUP(CONCATENATE($E1883,$G1883),'LAC 103'!$A$12:$O$95,13,FALSE),0)</f>
        <v>0</v>
      </c>
      <c r="U1883" s="1144">
        <f>IFERROR(VLOOKUP(CONCATENATE($E1883,$G1883),'LAC 103'!$A$12:$O$95,14,FALSE),0)</f>
        <v>0</v>
      </c>
      <c r="V1883" s="1144">
        <f>IFERROR(VLOOKUP(CONCATENATE($E1883,$G1883),'LAC 103'!$A$12:$O$95,15,FALSE),0)</f>
        <v>0</v>
      </c>
      <c r="W1883" s="1145" t="str">
        <f>IFERROR(VLOOKUP(CONCATENATE($B1883,$N1883),'LAC 103'!$AI:$AQ,9,FALSE),"")</f>
        <v/>
      </c>
      <c r="X1883" s="1146">
        <f t="shared" si="528"/>
        <v>0</v>
      </c>
      <c r="Y1883" s="1143">
        <f t="shared" si="538"/>
        <v>0</v>
      </c>
      <c r="Z1883" s="1147">
        <f t="shared" si="529"/>
        <v>0</v>
      </c>
      <c r="AA1883" s="1144">
        <f t="shared" si="530"/>
        <v>0</v>
      </c>
      <c r="AB1883" s="1144">
        <f t="shared" si="531"/>
        <v>0</v>
      </c>
      <c r="AC1883" s="1144">
        <f t="shared" si="532"/>
        <v>0</v>
      </c>
      <c r="AD1883" s="1148">
        <f t="shared" si="524"/>
        <v>0</v>
      </c>
      <c r="AE1883" s="1487">
        <v>0</v>
      </c>
      <c r="AF1883" s="1145">
        <f t="shared" si="533"/>
        <v>0</v>
      </c>
      <c r="AG1883" s="1149">
        <f>IFERROR(VLOOKUP(CONCATENATE($L1883,$N1883),'Drop List'!$G$23:$K$87,2,FALSE),0)</f>
        <v>0</v>
      </c>
      <c r="AH1883" s="1150">
        <f>IFERROR(VLOOKUP(CONCATENATE($L1883,$N1883),'Drop List'!$G$23:$K$87,3,FALSE),0)</f>
        <v>0</v>
      </c>
      <c r="AI1883" s="1150">
        <f>IFERROR(VLOOKUP(CONCATENATE($L1883,$N1883),'Drop List'!$G$23:$K$87,4,FALSE),0)</f>
        <v>0</v>
      </c>
      <c r="AJ1883" s="1151">
        <f>IFERROR(VLOOKUP(CONCATENATE($L1883,$N1883),'Drop List'!$G$23:$K$87,5,FALSE),0)</f>
        <v>0</v>
      </c>
      <c r="AK1883" s="1152">
        <f t="shared" si="534"/>
        <v>0</v>
      </c>
      <c r="AL1883" s="1153">
        <f t="shared" si="535"/>
        <v>0</v>
      </c>
      <c r="AM1883" s="1153">
        <f t="shared" si="536"/>
        <v>0</v>
      </c>
      <c r="AN1883" s="1145">
        <f t="shared" si="537"/>
        <v>0</v>
      </c>
      <c r="AO1883" s="1154">
        <f t="shared" si="522"/>
        <v>0</v>
      </c>
      <c r="AP1883" s="1147">
        <f t="shared" si="525"/>
        <v>0</v>
      </c>
      <c r="AQ1883" s="1144">
        <f t="shared" si="526"/>
        <v>0</v>
      </c>
      <c r="AR1883" s="1146">
        <f t="shared" si="527"/>
        <v>0</v>
      </c>
    </row>
    <row r="1884" spans="1:44" x14ac:dyDescent="0.2">
      <c r="A1884" s="1141" t="str">
        <f t="shared" si="539"/>
        <v/>
      </c>
      <c r="B1884" s="1141" t="str">
        <f>IFERROR(VLOOKUP(A1884,'LAC 103'!A:C,3,FALSE),"")</f>
        <v/>
      </c>
      <c r="C1884" s="1478" t="str">
        <f>Info!$B$8</f>
        <v>00100</v>
      </c>
      <c r="D1884" s="1474"/>
      <c r="E1884" s="1474"/>
      <c r="F1884" s="1478"/>
      <c r="G1884" s="1478"/>
      <c r="H1884" s="1474"/>
      <c r="I1884" s="1478"/>
      <c r="J1884" s="1478"/>
      <c r="K1884" s="1475"/>
      <c r="L1884" s="1474"/>
      <c r="M1884" s="1476"/>
      <c r="N1884" s="1477"/>
      <c r="O1884" s="1479"/>
      <c r="P1884" s="1479"/>
      <c r="Q1884" s="1142">
        <f t="shared" si="523"/>
        <v>0</v>
      </c>
      <c r="R1884" s="1143">
        <f>IFERROR(VLOOKUP(CONCATENATE($E1884,$G1884),'LAC 103'!$A$12:$O$95,11,FALSE),0)</f>
        <v>0</v>
      </c>
      <c r="S1884" s="1144">
        <f>IFERROR(VLOOKUP(CONCATENATE($E1884,$G1884),'LAC 103'!$A$12:$O$95,12,FALSE),0)</f>
        <v>0</v>
      </c>
      <c r="T1884" s="1144">
        <f>IFERROR(VLOOKUP(CONCATENATE($E1884,$G1884),'LAC 103'!$A$12:$O$95,13,FALSE),0)</f>
        <v>0</v>
      </c>
      <c r="U1884" s="1144">
        <f>IFERROR(VLOOKUP(CONCATENATE($E1884,$G1884),'LAC 103'!$A$12:$O$95,14,FALSE),0)</f>
        <v>0</v>
      </c>
      <c r="V1884" s="1144">
        <f>IFERROR(VLOOKUP(CONCATENATE($E1884,$G1884),'LAC 103'!$A$12:$O$95,15,FALSE),0)</f>
        <v>0</v>
      </c>
      <c r="W1884" s="1145" t="str">
        <f>IFERROR(VLOOKUP(CONCATENATE($B1884,$N1884),'LAC 103'!$AI:$AQ,9,FALSE),"")</f>
        <v/>
      </c>
      <c r="X1884" s="1146">
        <f t="shared" si="528"/>
        <v>0</v>
      </c>
      <c r="Y1884" s="1143">
        <f t="shared" si="538"/>
        <v>0</v>
      </c>
      <c r="Z1884" s="1147">
        <f t="shared" si="529"/>
        <v>0</v>
      </c>
      <c r="AA1884" s="1144">
        <f t="shared" si="530"/>
        <v>0</v>
      </c>
      <c r="AB1884" s="1144">
        <f t="shared" si="531"/>
        <v>0</v>
      </c>
      <c r="AC1884" s="1144">
        <f t="shared" si="532"/>
        <v>0</v>
      </c>
      <c r="AD1884" s="1148">
        <f t="shared" si="524"/>
        <v>0</v>
      </c>
      <c r="AE1884" s="1487">
        <v>0</v>
      </c>
      <c r="AF1884" s="1145">
        <f t="shared" si="533"/>
        <v>0</v>
      </c>
      <c r="AG1884" s="1149">
        <f>IFERROR(VLOOKUP(CONCATENATE($L1884,$N1884),'Drop List'!$G$23:$K$87,2,FALSE),0)</f>
        <v>0</v>
      </c>
      <c r="AH1884" s="1150">
        <f>IFERROR(VLOOKUP(CONCATENATE($L1884,$N1884),'Drop List'!$G$23:$K$87,3,FALSE),0)</f>
        <v>0</v>
      </c>
      <c r="AI1884" s="1150">
        <f>IFERROR(VLOOKUP(CONCATENATE($L1884,$N1884),'Drop List'!$G$23:$K$87,4,FALSE),0)</f>
        <v>0</v>
      </c>
      <c r="AJ1884" s="1151">
        <f>IFERROR(VLOOKUP(CONCATENATE($L1884,$N1884),'Drop List'!$G$23:$K$87,5,FALSE),0)</f>
        <v>0</v>
      </c>
      <c r="AK1884" s="1152">
        <f t="shared" si="534"/>
        <v>0</v>
      </c>
      <c r="AL1884" s="1153">
        <f t="shared" si="535"/>
        <v>0</v>
      </c>
      <c r="AM1884" s="1153">
        <f t="shared" si="536"/>
        <v>0</v>
      </c>
      <c r="AN1884" s="1145">
        <f t="shared" si="537"/>
        <v>0</v>
      </c>
      <c r="AO1884" s="1154">
        <f t="shared" si="522"/>
        <v>0</v>
      </c>
      <c r="AP1884" s="1147">
        <f t="shared" si="525"/>
        <v>0</v>
      </c>
      <c r="AQ1884" s="1144">
        <f t="shared" si="526"/>
        <v>0</v>
      </c>
      <c r="AR1884" s="1146">
        <f t="shared" si="527"/>
        <v>0</v>
      </c>
    </row>
    <row r="1885" spans="1:44" x14ac:dyDescent="0.2">
      <c r="A1885" s="1141" t="str">
        <f t="shared" si="539"/>
        <v/>
      </c>
      <c r="B1885" s="1141" t="str">
        <f>IFERROR(VLOOKUP(A1885,'LAC 103'!A:C,3,FALSE),"")</f>
        <v/>
      </c>
      <c r="C1885" s="1478" t="str">
        <f>Info!$B$8</f>
        <v>00100</v>
      </c>
      <c r="D1885" s="1474"/>
      <c r="E1885" s="1474"/>
      <c r="F1885" s="1478"/>
      <c r="G1885" s="1478"/>
      <c r="H1885" s="1474"/>
      <c r="I1885" s="1478"/>
      <c r="J1885" s="1478"/>
      <c r="K1885" s="1475"/>
      <c r="L1885" s="1474"/>
      <c r="M1885" s="1476"/>
      <c r="N1885" s="1477"/>
      <c r="O1885" s="1479"/>
      <c r="P1885" s="1479"/>
      <c r="Q1885" s="1142">
        <f t="shared" si="523"/>
        <v>0</v>
      </c>
      <c r="R1885" s="1143">
        <f>IFERROR(VLOOKUP(CONCATENATE($E1885,$G1885),'LAC 103'!$A$12:$O$95,11,FALSE),0)</f>
        <v>0</v>
      </c>
      <c r="S1885" s="1144">
        <f>IFERROR(VLOOKUP(CONCATENATE($E1885,$G1885),'LAC 103'!$A$12:$O$95,12,FALSE),0)</f>
        <v>0</v>
      </c>
      <c r="T1885" s="1144">
        <f>IFERROR(VLOOKUP(CONCATENATE($E1885,$G1885),'LAC 103'!$A$12:$O$95,13,FALSE),0)</f>
        <v>0</v>
      </c>
      <c r="U1885" s="1144">
        <f>IFERROR(VLOOKUP(CONCATENATE($E1885,$G1885),'LAC 103'!$A$12:$O$95,14,FALSE),0)</f>
        <v>0</v>
      </c>
      <c r="V1885" s="1144">
        <f>IFERROR(VLOOKUP(CONCATENATE($E1885,$G1885),'LAC 103'!$A$12:$O$95,15,FALSE),0)</f>
        <v>0</v>
      </c>
      <c r="W1885" s="1145" t="str">
        <f>IFERROR(VLOOKUP(CONCATENATE($B1885,$N1885),'LAC 103'!$AI:$AQ,9,FALSE),"")</f>
        <v/>
      </c>
      <c r="X1885" s="1146">
        <f t="shared" si="528"/>
        <v>0</v>
      </c>
      <c r="Y1885" s="1143">
        <f t="shared" si="538"/>
        <v>0</v>
      </c>
      <c r="Z1885" s="1147">
        <f t="shared" si="529"/>
        <v>0</v>
      </c>
      <c r="AA1885" s="1144">
        <f t="shared" si="530"/>
        <v>0</v>
      </c>
      <c r="AB1885" s="1144">
        <f t="shared" si="531"/>
        <v>0</v>
      </c>
      <c r="AC1885" s="1144">
        <f t="shared" si="532"/>
        <v>0</v>
      </c>
      <c r="AD1885" s="1148">
        <f t="shared" si="524"/>
        <v>0</v>
      </c>
      <c r="AE1885" s="1487">
        <v>0</v>
      </c>
      <c r="AF1885" s="1145">
        <f t="shared" si="533"/>
        <v>0</v>
      </c>
      <c r="AG1885" s="1149">
        <f>IFERROR(VLOOKUP(CONCATENATE($L1885,$N1885),'Drop List'!$G$23:$K$87,2,FALSE),0)</f>
        <v>0</v>
      </c>
      <c r="AH1885" s="1150">
        <f>IFERROR(VLOOKUP(CONCATENATE($L1885,$N1885),'Drop List'!$G$23:$K$87,3,FALSE),0)</f>
        <v>0</v>
      </c>
      <c r="AI1885" s="1150">
        <f>IFERROR(VLOOKUP(CONCATENATE($L1885,$N1885),'Drop List'!$G$23:$K$87,4,FALSE),0)</f>
        <v>0</v>
      </c>
      <c r="AJ1885" s="1151">
        <f>IFERROR(VLOOKUP(CONCATENATE($L1885,$N1885),'Drop List'!$G$23:$K$87,5,FALSE),0)</f>
        <v>0</v>
      </c>
      <c r="AK1885" s="1152">
        <f t="shared" si="534"/>
        <v>0</v>
      </c>
      <c r="AL1885" s="1153">
        <f t="shared" si="535"/>
        <v>0</v>
      </c>
      <c r="AM1885" s="1153">
        <f t="shared" si="536"/>
        <v>0</v>
      </c>
      <c r="AN1885" s="1145">
        <f t="shared" si="537"/>
        <v>0</v>
      </c>
      <c r="AO1885" s="1154">
        <f t="shared" si="522"/>
        <v>0</v>
      </c>
      <c r="AP1885" s="1147">
        <f t="shared" si="525"/>
        <v>0</v>
      </c>
      <c r="AQ1885" s="1144">
        <f t="shared" si="526"/>
        <v>0</v>
      </c>
      <c r="AR1885" s="1146">
        <f t="shared" si="527"/>
        <v>0</v>
      </c>
    </row>
    <row r="1886" spans="1:44" x14ac:dyDescent="0.2">
      <c r="A1886" s="1141" t="str">
        <f t="shared" si="539"/>
        <v/>
      </c>
      <c r="B1886" s="1141" t="str">
        <f>IFERROR(VLOOKUP(A1886,'LAC 103'!A:C,3,FALSE),"")</f>
        <v/>
      </c>
      <c r="C1886" s="1478" t="str">
        <f>Info!$B$8</f>
        <v>00100</v>
      </c>
      <c r="D1886" s="1474"/>
      <c r="E1886" s="1474"/>
      <c r="F1886" s="1478"/>
      <c r="G1886" s="1478"/>
      <c r="H1886" s="1474"/>
      <c r="I1886" s="1478"/>
      <c r="J1886" s="1478"/>
      <c r="K1886" s="1475"/>
      <c r="L1886" s="1474"/>
      <c r="M1886" s="1476"/>
      <c r="N1886" s="1477"/>
      <c r="O1886" s="1479"/>
      <c r="P1886" s="1479"/>
      <c r="Q1886" s="1142">
        <f t="shared" si="523"/>
        <v>0</v>
      </c>
      <c r="R1886" s="1143">
        <f>IFERROR(VLOOKUP(CONCATENATE($E1886,$G1886),'LAC 103'!$A$12:$O$95,11,FALSE),0)</f>
        <v>0</v>
      </c>
      <c r="S1886" s="1144">
        <f>IFERROR(VLOOKUP(CONCATENATE($E1886,$G1886),'LAC 103'!$A$12:$O$95,12,FALSE),0)</f>
        <v>0</v>
      </c>
      <c r="T1886" s="1144">
        <f>IFERROR(VLOOKUP(CONCATENATE($E1886,$G1886),'LAC 103'!$A$12:$O$95,13,FALSE),0)</f>
        <v>0</v>
      </c>
      <c r="U1886" s="1144">
        <f>IFERROR(VLOOKUP(CONCATENATE($E1886,$G1886),'LAC 103'!$A$12:$O$95,14,FALSE),0)</f>
        <v>0</v>
      </c>
      <c r="V1886" s="1144">
        <f>IFERROR(VLOOKUP(CONCATENATE($E1886,$G1886),'LAC 103'!$A$12:$O$95,15,FALSE),0)</f>
        <v>0</v>
      </c>
      <c r="W1886" s="1145" t="str">
        <f>IFERROR(VLOOKUP(CONCATENATE($B1886,$N1886),'LAC 103'!$AI:$AQ,9,FALSE),"")</f>
        <v/>
      </c>
      <c r="X1886" s="1146">
        <f t="shared" si="528"/>
        <v>0</v>
      </c>
      <c r="Y1886" s="1143">
        <f t="shared" si="538"/>
        <v>0</v>
      </c>
      <c r="Z1886" s="1147">
        <f t="shared" si="529"/>
        <v>0</v>
      </c>
      <c r="AA1886" s="1144">
        <f t="shared" si="530"/>
        <v>0</v>
      </c>
      <c r="AB1886" s="1144">
        <f t="shared" si="531"/>
        <v>0</v>
      </c>
      <c r="AC1886" s="1144">
        <f t="shared" si="532"/>
        <v>0</v>
      </c>
      <c r="AD1886" s="1148">
        <f t="shared" si="524"/>
        <v>0</v>
      </c>
      <c r="AE1886" s="1487">
        <v>0</v>
      </c>
      <c r="AF1886" s="1145">
        <f t="shared" si="533"/>
        <v>0</v>
      </c>
      <c r="AG1886" s="1149">
        <f>IFERROR(VLOOKUP(CONCATENATE($L1886,$N1886),'Drop List'!$G$23:$K$87,2,FALSE),0)</f>
        <v>0</v>
      </c>
      <c r="AH1886" s="1150">
        <f>IFERROR(VLOOKUP(CONCATENATE($L1886,$N1886),'Drop List'!$G$23:$K$87,3,FALSE),0)</f>
        <v>0</v>
      </c>
      <c r="AI1886" s="1150">
        <f>IFERROR(VLOOKUP(CONCATENATE($L1886,$N1886),'Drop List'!$G$23:$K$87,4,FALSE),0)</f>
        <v>0</v>
      </c>
      <c r="AJ1886" s="1151">
        <f>IFERROR(VLOOKUP(CONCATENATE($L1886,$N1886),'Drop List'!$G$23:$K$87,5,FALSE),0)</f>
        <v>0</v>
      </c>
      <c r="AK1886" s="1152">
        <f t="shared" si="534"/>
        <v>0</v>
      </c>
      <c r="AL1886" s="1153">
        <f t="shared" si="535"/>
        <v>0</v>
      </c>
      <c r="AM1886" s="1153">
        <f t="shared" si="536"/>
        <v>0</v>
      </c>
      <c r="AN1886" s="1145">
        <f t="shared" si="537"/>
        <v>0</v>
      </c>
      <c r="AO1886" s="1154">
        <f t="shared" ref="AO1886:AO1949" si="540">SUM(AK1886:AN1886)</f>
        <v>0</v>
      </c>
      <c r="AP1886" s="1147">
        <f t="shared" si="525"/>
        <v>0</v>
      </c>
      <c r="AQ1886" s="1144">
        <f t="shared" si="526"/>
        <v>0</v>
      </c>
      <c r="AR1886" s="1146">
        <f t="shared" si="527"/>
        <v>0</v>
      </c>
    </row>
    <row r="1887" spans="1:44" x14ac:dyDescent="0.2">
      <c r="A1887" s="1141" t="str">
        <f t="shared" si="539"/>
        <v/>
      </c>
      <c r="B1887" s="1141" t="str">
        <f>IFERROR(VLOOKUP(A1887,'LAC 103'!A:C,3,FALSE),"")</f>
        <v/>
      </c>
      <c r="C1887" s="1478" t="str">
        <f>Info!$B$8</f>
        <v>00100</v>
      </c>
      <c r="D1887" s="1474"/>
      <c r="E1887" s="1474"/>
      <c r="F1887" s="1478"/>
      <c r="G1887" s="1478"/>
      <c r="H1887" s="1474"/>
      <c r="I1887" s="1478"/>
      <c r="J1887" s="1478"/>
      <c r="K1887" s="1475"/>
      <c r="L1887" s="1474"/>
      <c r="M1887" s="1476"/>
      <c r="N1887" s="1477"/>
      <c r="O1887" s="1479"/>
      <c r="P1887" s="1479"/>
      <c r="Q1887" s="1142">
        <f t="shared" si="523"/>
        <v>0</v>
      </c>
      <c r="R1887" s="1143">
        <f>IFERROR(VLOOKUP(CONCATENATE($E1887,$G1887),'LAC 103'!$A$12:$O$95,11,FALSE),0)</f>
        <v>0</v>
      </c>
      <c r="S1887" s="1144">
        <f>IFERROR(VLOOKUP(CONCATENATE($E1887,$G1887),'LAC 103'!$A$12:$O$95,12,FALSE),0)</f>
        <v>0</v>
      </c>
      <c r="T1887" s="1144">
        <f>IFERROR(VLOOKUP(CONCATENATE($E1887,$G1887),'LAC 103'!$A$12:$O$95,13,FALSE),0)</f>
        <v>0</v>
      </c>
      <c r="U1887" s="1144">
        <f>IFERROR(VLOOKUP(CONCATENATE($E1887,$G1887),'LAC 103'!$A$12:$O$95,14,FALSE),0)</f>
        <v>0</v>
      </c>
      <c r="V1887" s="1144">
        <f>IFERROR(VLOOKUP(CONCATENATE($E1887,$G1887),'LAC 103'!$A$12:$O$95,15,FALSE),0)</f>
        <v>0</v>
      </c>
      <c r="W1887" s="1145" t="str">
        <f>IFERROR(VLOOKUP(CONCATENATE($B1887,$N1887),'LAC 103'!$AI:$AQ,9,FALSE),"")</f>
        <v/>
      </c>
      <c r="X1887" s="1146">
        <f t="shared" si="528"/>
        <v>0</v>
      </c>
      <c r="Y1887" s="1143">
        <f t="shared" si="538"/>
        <v>0</v>
      </c>
      <c r="Z1887" s="1147">
        <f t="shared" si="529"/>
        <v>0</v>
      </c>
      <c r="AA1887" s="1144">
        <f t="shared" si="530"/>
        <v>0</v>
      </c>
      <c r="AB1887" s="1144">
        <f t="shared" si="531"/>
        <v>0</v>
      </c>
      <c r="AC1887" s="1144">
        <f t="shared" si="532"/>
        <v>0</v>
      </c>
      <c r="AD1887" s="1148">
        <f t="shared" si="524"/>
        <v>0</v>
      </c>
      <c r="AE1887" s="1487">
        <v>0</v>
      </c>
      <c r="AF1887" s="1145">
        <f t="shared" si="533"/>
        <v>0</v>
      </c>
      <c r="AG1887" s="1149">
        <f>IFERROR(VLOOKUP(CONCATENATE($L1887,$N1887),'Drop List'!$G$23:$K$87,2,FALSE),0)</f>
        <v>0</v>
      </c>
      <c r="AH1887" s="1150">
        <f>IFERROR(VLOOKUP(CONCATENATE($L1887,$N1887),'Drop List'!$G$23:$K$87,3,FALSE),0)</f>
        <v>0</v>
      </c>
      <c r="AI1887" s="1150">
        <f>IFERROR(VLOOKUP(CONCATENATE($L1887,$N1887),'Drop List'!$G$23:$K$87,4,FALSE),0)</f>
        <v>0</v>
      </c>
      <c r="AJ1887" s="1151">
        <f>IFERROR(VLOOKUP(CONCATENATE($L1887,$N1887),'Drop List'!$G$23:$K$87,5,FALSE),0)</f>
        <v>0</v>
      </c>
      <c r="AK1887" s="1152">
        <f t="shared" si="534"/>
        <v>0</v>
      </c>
      <c r="AL1887" s="1153">
        <f t="shared" si="535"/>
        <v>0</v>
      </c>
      <c r="AM1887" s="1153">
        <f t="shared" si="536"/>
        <v>0</v>
      </c>
      <c r="AN1887" s="1145">
        <f t="shared" si="537"/>
        <v>0</v>
      </c>
      <c r="AO1887" s="1154">
        <f t="shared" si="540"/>
        <v>0</v>
      </c>
      <c r="AP1887" s="1147">
        <f t="shared" si="525"/>
        <v>0</v>
      </c>
      <c r="AQ1887" s="1144">
        <f t="shared" si="526"/>
        <v>0</v>
      </c>
      <c r="AR1887" s="1146">
        <f t="shared" si="527"/>
        <v>0</v>
      </c>
    </row>
    <row r="1888" spans="1:44" x14ac:dyDescent="0.2">
      <c r="A1888" s="1141" t="str">
        <f t="shared" si="539"/>
        <v/>
      </c>
      <c r="B1888" s="1141" t="str">
        <f>IFERROR(VLOOKUP(A1888,'LAC 103'!A:C,3,FALSE),"")</f>
        <v/>
      </c>
      <c r="C1888" s="1478" t="str">
        <f>Info!$B$8</f>
        <v>00100</v>
      </c>
      <c r="D1888" s="1474"/>
      <c r="E1888" s="1474"/>
      <c r="F1888" s="1478"/>
      <c r="G1888" s="1478"/>
      <c r="H1888" s="1474"/>
      <c r="I1888" s="1478"/>
      <c r="J1888" s="1478"/>
      <c r="K1888" s="1475"/>
      <c r="L1888" s="1474"/>
      <c r="M1888" s="1476"/>
      <c r="N1888" s="1477"/>
      <c r="O1888" s="1479"/>
      <c r="P1888" s="1479"/>
      <c r="Q1888" s="1142">
        <f t="shared" si="523"/>
        <v>0</v>
      </c>
      <c r="R1888" s="1143">
        <f>IFERROR(VLOOKUP(CONCATENATE($E1888,$G1888),'LAC 103'!$A$12:$O$95,11,FALSE),0)</f>
        <v>0</v>
      </c>
      <c r="S1888" s="1144">
        <f>IFERROR(VLOOKUP(CONCATENATE($E1888,$G1888),'LAC 103'!$A$12:$O$95,12,FALSE),0)</f>
        <v>0</v>
      </c>
      <c r="T1888" s="1144">
        <f>IFERROR(VLOOKUP(CONCATENATE($E1888,$G1888),'LAC 103'!$A$12:$O$95,13,FALSE),0)</f>
        <v>0</v>
      </c>
      <c r="U1888" s="1144">
        <f>IFERROR(VLOOKUP(CONCATENATE($E1888,$G1888),'LAC 103'!$A$12:$O$95,14,FALSE),0)</f>
        <v>0</v>
      </c>
      <c r="V1888" s="1144">
        <f>IFERROR(VLOOKUP(CONCATENATE($E1888,$G1888),'LAC 103'!$A$12:$O$95,15,FALSE),0)</f>
        <v>0</v>
      </c>
      <c r="W1888" s="1145" t="str">
        <f>IFERROR(VLOOKUP(CONCATENATE($B1888,$N1888),'LAC 103'!$AI:$AQ,9,FALSE),"")</f>
        <v/>
      </c>
      <c r="X1888" s="1146">
        <f t="shared" si="528"/>
        <v>0</v>
      </c>
      <c r="Y1888" s="1143">
        <f t="shared" si="538"/>
        <v>0</v>
      </c>
      <c r="Z1888" s="1147">
        <f t="shared" si="529"/>
        <v>0</v>
      </c>
      <c r="AA1888" s="1144">
        <f t="shared" si="530"/>
        <v>0</v>
      </c>
      <c r="AB1888" s="1144">
        <f t="shared" si="531"/>
        <v>0</v>
      </c>
      <c r="AC1888" s="1144">
        <f t="shared" si="532"/>
        <v>0</v>
      </c>
      <c r="AD1888" s="1148">
        <f t="shared" si="524"/>
        <v>0</v>
      </c>
      <c r="AE1888" s="1487">
        <v>0</v>
      </c>
      <c r="AF1888" s="1145">
        <f t="shared" si="533"/>
        <v>0</v>
      </c>
      <c r="AG1888" s="1149">
        <f>IFERROR(VLOOKUP(CONCATENATE($L1888,$N1888),'Drop List'!$G$23:$K$87,2,FALSE),0)</f>
        <v>0</v>
      </c>
      <c r="AH1888" s="1150">
        <f>IFERROR(VLOOKUP(CONCATENATE($L1888,$N1888),'Drop List'!$G$23:$K$87,3,FALSE),0)</f>
        <v>0</v>
      </c>
      <c r="AI1888" s="1150">
        <f>IFERROR(VLOOKUP(CONCATENATE($L1888,$N1888),'Drop List'!$G$23:$K$87,4,FALSE),0)</f>
        <v>0</v>
      </c>
      <c r="AJ1888" s="1151">
        <f>IFERROR(VLOOKUP(CONCATENATE($L1888,$N1888),'Drop List'!$G$23:$K$87,5,FALSE),0)</f>
        <v>0</v>
      </c>
      <c r="AK1888" s="1152">
        <f t="shared" si="534"/>
        <v>0</v>
      </c>
      <c r="AL1888" s="1153">
        <f t="shared" si="535"/>
        <v>0</v>
      </c>
      <c r="AM1888" s="1153">
        <f t="shared" si="536"/>
        <v>0</v>
      </c>
      <c r="AN1888" s="1145">
        <f t="shared" si="537"/>
        <v>0</v>
      </c>
      <c r="AO1888" s="1154">
        <f t="shared" si="540"/>
        <v>0</v>
      </c>
      <c r="AP1888" s="1147">
        <f t="shared" si="525"/>
        <v>0</v>
      </c>
      <c r="AQ1888" s="1144">
        <f t="shared" si="526"/>
        <v>0</v>
      </c>
      <c r="AR1888" s="1146">
        <f t="shared" si="527"/>
        <v>0</v>
      </c>
    </row>
    <row r="1889" spans="1:44" x14ac:dyDescent="0.2">
      <c r="A1889" s="1141" t="str">
        <f t="shared" si="539"/>
        <v/>
      </c>
      <c r="B1889" s="1141" t="str">
        <f>IFERROR(VLOOKUP(A1889,'LAC 103'!A:C,3,FALSE),"")</f>
        <v/>
      </c>
      <c r="C1889" s="1478" t="str">
        <f>Info!$B$8</f>
        <v>00100</v>
      </c>
      <c r="D1889" s="1474"/>
      <c r="E1889" s="1474"/>
      <c r="F1889" s="1478"/>
      <c r="G1889" s="1478"/>
      <c r="H1889" s="1474"/>
      <c r="I1889" s="1478"/>
      <c r="J1889" s="1478"/>
      <c r="K1889" s="1475"/>
      <c r="L1889" s="1474"/>
      <c r="M1889" s="1476"/>
      <c r="N1889" s="1477"/>
      <c r="O1889" s="1479"/>
      <c r="P1889" s="1479"/>
      <c r="Q1889" s="1142">
        <f t="shared" si="523"/>
        <v>0</v>
      </c>
      <c r="R1889" s="1143">
        <f>IFERROR(VLOOKUP(CONCATENATE($E1889,$G1889),'LAC 103'!$A$12:$O$95,11,FALSE),0)</f>
        <v>0</v>
      </c>
      <c r="S1889" s="1144">
        <f>IFERROR(VLOOKUP(CONCATENATE($E1889,$G1889),'LAC 103'!$A$12:$O$95,12,FALSE),0)</f>
        <v>0</v>
      </c>
      <c r="T1889" s="1144">
        <f>IFERROR(VLOOKUP(CONCATENATE($E1889,$G1889),'LAC 103'!$A$12:$O$95,13,FALSE),0)</f>
        <v>0</v>
      </c>
      <c r="U1889" s="1144">
        <f>IFERROR(VLOOKUP(CONCATENATE($E1889,$G1889),'LAC 103'!$A$12:$O$95,14,FALSE),0)</f>
        <v>0</v>
      </c>
      <c r="V1889" s="1144">
        <f>IFERROR(VLOOKUP(CONCATENATE($E1889,$G1889),'LAC 103'!$A$12:$O$95,15,FALSE),0)</f>
        <v>0</v>
      </c>
      <c r="W1889" s="1145" t="str">
        <f>IFERROR(VLOOKUP(CONCATENATE($B1889,$N1889),'LAC 103'!$AI:$AQ,9,FALSE),"")</f>
        <v/>
      </c>
      <c r="X1889" s="1146">
        <f t="shared" si="528"/>
        <v>0</v>
      </c>
      <c r="Y1889" s="1143">
        <f t="shared" si="538"/>
        <v>0</v>
      </c>
      <c r="Z1889" s="1147">
        <f t="shared" si="529"/>
        <v>0</v>
      </c>
      <c r="AA1889" s="1144">
        <f t="shared" si="530"/>
        <v>0</v>
      </c>
      <c r="AB1889" s="1144">
        <f t="shared" si="531"/>
        <v>0</v>
      </c>
      <c r="AC1889" s="1144">
        <f t="shared" si="532"/>
        <v>0</v>
      </c>
      <c r="AD1889" s="1148">
        <f t="shared" si="524"/>
        <v>0</v>
      </c>
      <c r="AE1889" s="1487">
        <v>0</v>
      </c>
      <c r="AF1889" s="1145">
        <f t="shared" si="533"/>
        <v>0</v>
      </c>
      <c r="AG1889" s="1149">
        <f>IFERROR(VLOOKUP(CONCATENATE($L1889,$N1889),'Drop List'!$G$23:$K$87,2,FALSE),0)</f>
        <v>0</v>
      </c>
      <c r="AH1889" s="1150">
        <f>IFERROR(VLOOKUP(CONCATENATE($L1889,$N1889),'Drop List'!$G$23:$K$87,3,FALSE),0)</f>
        <v>0</v>
      </c>
      <c r="AI1889" s="1150">
        <f>IFERROR(VLOOKUP(CONCATENATE($L1889,$N1889),'Drop List'!$G$23:$K$87,4,FALSE),0)</f>
        <v>0</v>
      </c>
      <c r="AJ1889" s="1151">
        <f>IFERROR(VLOOKUP(CONCATENATE($L1889,$N1889),'Drop List'!$G$23:$K$87,5,FALSE),0)</f>
        <v>0</v>
      </c>
      <c r="AK1889" s="1152">
        <f t="shared" si="534"/>
        <v>0</v>
      </c>
      <c r="AL1889" s="1153">
        <f t="shared" si="535"/>
        <v>0</v>
      </c>
      <c r="AM1889" s="1153">
        <f t="shared" si="536"/>
        <v>0</v>
      </c>
      <c r="AN1889" s="1145">
        <f t="shared" si="537"/>
        <v>0</v>
      </c>
      <c r="AO1889" s="1154">
        <f t="shared" si="540"/>
        <v>0</v>
      </c>
      <c r="AP1889" s="1147">
        <f t="shared" si="525"/>
        <v>0</v>
      </c>
      <c r="AQ1889" s="1144">
        <f t="shared" si="526"/>
        <v>0</v>
      </c>
      <c r="AR1889" s="1146">
        <f t="shared" si="527"/>
        <v>0</v>
      </c>
    </row>
    <row r="1890" spans="1:44" x14ac:dyDescent="0.2">
      <c r="A1890" s="1141" t="str">
        <f t="shared" si="539"/>
        <v/>
      </c>
      <c r="B1890" s="1141" t="str">
        <f>IFERROR(VLOOKUP(A1890,'LAC 103'!A:C,3,FALSE),"")</f>
        <v/>
      </c>
      <c r="C1890" s="1478" t="str">
        <f>Info!$B$8</f>
        <v>00100</v>
      </c>
      <c r="D1890" s="1474"/>
      <c r="E1890" s="1474"/>
      <c r="F1890" s="1478"/>
      <c r="G1890" s="1478"/>
      <c r="H1890" s="1474"/>
      <c r="I1890" s="1478"/>
      <c r="J1890" s="1478"/>
      <c r="K1890" s="1475"/>
      <c r="L1890" s="1474"/>
      <c r="M1890" s="1476"/>
      <c r="N1890" s="1477"/>
      <c r="O1890" s="1479"/>
      <c r="P1890" s="1479"/>
      <c r="Q1890" s="1142">
        <f t="shared" si="523"/>
        <v>0</v>
      </c>
      <c r="R1890" s="1143">
        <f>IFERROR(VLOOKUP(CONCATENATE($E1890,$G1890),'LAC 103'!$A$12:$O$95,11,FALSE),0)</f>
        <v>0</v>
      </c>
      <c r="S1890" s="1144">
        <f>IFERROR(VLOOKUP(CONCATENATE($E1890,$G1890),'LAC 103'!$A$12:$O$95,12,FALSE),0)</f>
        <v>0</v>
      </c>
      <c r="T1890" s="1144">
        <f>IFERROR(VLOOKUP(CONCATENATE($E1890,$G1890),'LAC 103'!$A$12:$O$95,13,FALSE),0)</f>
        <v>0</v>
      </c>
      <c r="U1890" s="1144">
        <f>IFERROR(VLOOKUP(CONCATENATE($E1890,$G1890),'LAC 103'!$A$12:$O$95,14,FALSE),0)</f>
        <v>0</v>
      </c>
      <c r="V1890" s="1144">
        <f>IFERROR(VLOOKUP(CONCATENATE($E1890,$G1890),'LAC 103'!$A$12:$O$95,15,FALSE),0)</f>
        <v>0</v>
      </c>
      <c r="W1890" s="1145" t="str">
        <f>IFERROR(VLOOKUP(CONCATENATE($B1890,$N1890),'LAC 103'!$AI:$AQ,9,FALSE),"")</f>
        <v/>
      </c>
      <c r="X1890" s="1146">
        <f t="shared" si="528"/>
        <v>0</v>
      </c>
      <c r="Y1890" s="1143">
        <f t="shared" si="538"/>
        <v>0</v>
      </c>
      <c r="Z1890" s="1147">
        <f t="shared" si="529"/>
        <v>0</v>
      </c>
      <c r="AA1890" s="1144">
        <f t="shared" si="530"/>
        <v>0</v>
      </c>
      <c r="AB1890" s="1144">
        <f t="shared" si="531"/>
        <v>0</v>
      </c>
      <c r="AC1890" s="1144">
        <f t="shared" si="532"/>
        <v>0</v>
      </c>
      <c r="AD1890" s="1148">
        <f t="shared" si="524"/>
        <v>0</v>
      </c>
      <c r="AE1890" s="1487">
        <v>0</v>
      </c>
      <c r="AF1890" s="1145">
        <f t="shared" si="533"/>
        <v>0</v>
      </c>
      <c r="AG1890" s="1149">
        <f>IFERROR(VLOOKUP(CONCATENATE($L1890,$N1890),'Drop List'!$G$23:$K$87,2,FALSE),0)</f>
        <v>0</v>
      </c>
      <c r="AH1890" s="1150">
        <f>IFERROR(VLOOKUP(CONCATENATE($L1890,$N1890),'Drop List'!$G$23:$K$87,3,FALSE),0)</f>
        <v>0</v>
      </c>
      <c r="AI1890" s="1150">
        <f>IFERROR(VLOOKUP(CONCATENATE($L1890,$N1890),'Drop List'!$G$23:$K$87,4,FALSE),0)</f>
        <v>0</v>
      </c>
      <c r="AJ1890" s="1151">
        <f>IFERROR(VLOOKUP(CONCATENATE($L1890,$N1890),'Drop List'!$G$23:$K$87,5,FALSE),0)</f>
        <v>0</v>
      </c>
      <c r="AK1890" s="1152">
        <f t="shared" si="534"/>
        <v>0</v>
      </c>
      <c r="AL1890" s="1153">
        <f t="shared" si="535"/>
        <v>0</v>
      </c>
      <c r="AM1890" s="1153">
        <f t="shared" si="536"/>
        <v>0</v>
      </c>
      <c r="AN1890" s="1145">
        <f t="shared" si="537"/>
        <v>0</v>
      </c>
      <c r="AO1890" s="1154">
        <f t="shared" si="540"/>
        <v>0</v>
      </c>
      <c r="AP1890" s="1147">
        <f t="shared" si="525"/>
        <v>0</v>
      </c>
      <c r="AQ1890" s="1144">
        <f t="shared" si="526"/>
        <v>0</v>
      </c>
      <c r="AR1890" s="1146">
        <f t="shared" si="527"/>
        <v>0</v>
      </c>
    </row>
    <row r="1891" spans="1:44" x14ac:dyDescent="0.2">
      <c r="A1891" s="1141" t="str">
        <f t="shared" si="539"/>
        <v/>
      </c>
      <c r="B1891" s="1141" t="str">
        <f>IFERROR(VLOOKUP(A1891,'LAC 103'!A:C,3,FALSE),"")</f>
        <v/>
      </c>
      <c r="C1891" s="1478" t="str">
        <f>Info!$B$8</f>
        <v>00100</v>
      </c>
      <c r="D1891" s="1474"/>
      <c r="E1891" s="1474"/>
      <c r="F1891" s="1478"/>
      <c r="G1891" s="1478"/>
      <c r="H1891" s="1474"/>
      <c r="I1891" s="1478"/>
      <c r="J1891" s="1478"/>
      <c r="K1891" s="1475"/>
      <c r="L1891" s="1474"/>
      <c r="M1891" s="1476"/>
      <c r="N1891" s="1477"/>
      <c r="O1891" s="1479"/>
      <c r="P1891" s="1479"/>
      <c r="Q1891" s="1142">
        <f t="shared" si="523"/>
        <v>0</v>
      </c>
      <c r="R1891" s="1143">
        <f>IFERROR(VLOOKUP(CONCATENATE($E1891,$G1891),'LAC 103'!$A$12:$O$95,11,FALSE),0)</f>
        <v>0</v>
      </c>
      <c r="S1891" s="1144">
        <f>IFERROR(VLOOKUP(CONCATENATE($E1891,$G1891),'LAC 103'!$A$12:$O$95,12,FALSE),0)</f>
        <v>0</v>
      </c>
      <c r="T1891" s="1144">
        <f>IFERROR(VLOOKUP(CONCATENATE($E1891,$G1891),'LAC 103'!$A$12:$O$95,13,FALSE),0)</f>
        <v>0</v>
      </c>
      <c r="U1891" s="1144">
        <f>IFERROR(VLOOKUP(CONCATENATE($E1891,$G1891),'LAC 103'!$A$12:$O$95,14,FALSE),0)</f>
        <v>0</v>
      </c>
      <c r="V1891" s="1144">
        <f>IFERROR(VLOOKUP(CONCATENATE($E1891,$G1891),'LAC 103'!$A$12:$O$95,15,FALSE),0)</f>
        <v>0</v>
      </c>
      <c r="W1891" s="1145" t="str">
        <f>IFERROR(VLOOKUP(CONCATENATE($B1891,$N1891),'LAC 103'!$AI:$AQ,9,FALSE),"")</f>
        <v/>
      </c>
      <c r="X1891" s="1146">
        <f t="shared" si="528"/>
        <v>0</v>
      </c>
      <c r="Y1891" s="1143">
        <f t="shared" si="538"/>
        <v>0</v>
      </c>
      <c r="Z1891" s="1147">
        <f t="shared" si="529"/>
        <v>0</v>
      </c>
      <c r="AA1891" s="1144">
        <f t="shared" si="530"/>
        <v>0</v>
      </c>
      <c r="AB1891" s="1144">
        <f t="shared" si="531"/>
        <v>0</v>
      </c>
      <c r="AC1891" s="1144">
        <f t="shared" si="532"/>
        <v>0</v>
      </c>
      <c r="AD1891" s="1148">
        <f t="shared" si="524"/>
        <v>0</v>
      </c>
      <c r="AE1891" s="1487">
        <v>0</v>
      </c>
      <c r="AF1891" s="1145">
        <f t="shared" si="533"/>
        <v>0</v>
      </c>
      <c r="AG1891" s="1149">
        <f>IFERROR(VLOOKUP(CONCATENATE($L1891,$N1891),'Drop List'!$G$23:$K$87,2,FALSE),0)</f>
        <v>0</v>
      </c>
      <c r="AH1891" s="1150">
        <f>IFERROR(VLOOKUP(CONCATENATE($L1891,$N1891),'Drop List'!$G$23:$K$87,3,FALSE),0)</f>
        <v>0</v>
      </c>
      <c r="AI1891" s="1150">
        <f>IFERROR(VLOOKUP(CONCATENATE($L1891,$N1891),'Drop List'!$G$23:$K$87,4,FALSE),0)</f>
        <v>0</v>
      </c>
      <c r="AJ1891" s="1151">
        <f>IFERROR(VLOOKUP(CONCATENATE($L1891,$N1891),'Drop List'!$G$23:$K$87,5,FALSE),0)</f>
        <v>0</v>
      </c>
      <c r="AK1891" s="1152">
        <f t="shared" si="534"/>
        <v>0</v>
      </c>
      <c r="AL1891" s="1153">
        <f t="shared" si="535"/>
        <v>0</v>
      </c>
      <c r="AM1891" s="1153">
        <f t="shared" si="536"/>
        <v>0</v>
      </c>
      <c r="AN1891" s="1145">
        <f t="shared" si="537"/>
        <v>0</v>
      </c>
      <c r="AO1891" s="1154">
        <f t="shared" si="540"/>
        <v>0</v>
      </c>
      <c r="AP1891" s="1147">
        <f t="shared" si="525"/>
        <v>0</v>
      </c>
      <c r="AQ1891" s="1144">
        <f t="shared" si="526"/>
        <v>0</v>
      </c>
      <c r="AR1891" s="1146">
        <f t="shared" si="527"/>
        <v>0</v>
      </c>
    </row>
    <row r="1892" spans="1:44" x14ac:dyDescent="0.2">
      <c r="A1892" s="1141" t="str">
        <f t="shared" si="539"/>
        <v/>
      </c>
      <c r="B1892" s="1141" t="str">
        <f>IFERROR(VLOOKUP(A1892,'LAC 103'!A:C,3,FALSE),"")</f>
        <v/>
      </c>
      <c r="C1892" s="1478" t="str">
        <f>Info!$B$8</f>
        <v>00100</v>
      </c>
      <c r="D1892" s="1474"/>
      <c r="E1892" s="1474"/>
      <c r="F1892" s="1478"/>
      <c r="G1892" s="1478"/>
      <c r="H1892" s="1474"/>
      <c r="I1892" s="1478"/>
      <c r="J1892" s="1478"/>
      <c r="K1892" s="1475"/>
      <c r="L1892" s="1474"/>
      <c r="M1892" s="1476"/>
      <c r="N1892" s="1477"/>
      <c r="O1892" s="1479"/>
      <c r="P1892" s="1479"/>
      <c r="Q1892" s="1142">
        <f t="shared" si="523"/>
        <v>0</v>
      </c>
      <c r="R1892" s="1143">
        <f>IFERROR(VLOOKUP(CONCATENATE($E1892,$G1892),'LAC 103'!$A$12:$O$95,11,FALSE),0)</f>
        <v>0</v>
      </c>
      <c r="S1892" s="1144">
        <f>IFERROR(VLOOKUP(CONCATENATE($E1892,$G1892),'LAC 103'!$A$12:$O$95,12,FALSE),0)</f>
        <v>0</v>
      </c>
      <c r="T1892" s="1144">
        <f>IFERROR(VLOOKUP(CONCATENATE($E1892,$G1892),'LAC 103'!$A$12:$O$95,13,FALSE),0)</f>
        <v>0</v>
      </c>
      <c r="U1892" s="1144">
        <f>IFERROR(VLOOKUP(CONCATENATE($E1892,$G1892),'LAC 103'!$A$12:$O$95,14,FALSE),0)</f>
        <v>0</v>
      </c>
      <c r="V1892" s="1144">
        <f>IFERROR(VLOOKUP(CONCATENATE($E1892,$G1892),'LAC 103'!$A$12:$O$95,15,FALSE),0)</f>
        <v>0</v>
      </c>
      <c r="W1892" s="1145" t="str">
        <f>IFERROR(VLOOKUP(CONCATENATE($B1892,$N1892),'LAC 103'!$AI:$AQ,9,FALSE),"")</f>
        <v/>
      </c>
      <c r="X1892" s="1146">
        <f t="shared" si="528"/>
        <v>0</v>
      </c>
      <c r="Y1892" s="1143">
        <f t="shared" si="538"/>
        <v>0</v>
      </c>
      <c r="Z1892" s="1147">
        <f t="shared" si="529"/>
        <v>0</v>
      </c>
      <c r="AA1892" s="1144">
        <f t="shared" si="530"/>
        <v>0</v>
      </c>
      <c r="AB1892" s="1144">
        <f t="shared" si="531"/>
        <v>0</v>
      </c>
      <c r="AC1892" s="1144">
        <f t="shared" si="532"/>
        <v>0</v>
      </c>
      <c r="AD1892" s="1148">
        <f t="shared" si="524"/>
        <v>0</v>
      </c>
      <c r="AE1892" s="1487">
        <v>0</v>
      </c>
      <c r="AF1892" s="1145">
        <f t="shared" si="533"/>
        <v>0</v>
      </c>
      <c r="AG1892" s="1149">
        <f>IFERROR(VLOOKUP(CONCATENATE($L1892,$N1892),'Drop List'!$G$23:$K$87,2,FALSE),0)</f>
        <v>0</v>
      </c>
      <c r="AH1892" s="1150">
        <f>IFERROR(VLOOKUP(CONCATENATE($L1892,$N1892),'Drop List'!$G$23:$K$87,3,FALSE),0)</f>
        <v>0</v>
      </c>
      <c r="AI1892" s="1150">
        <f>IFERROR(VLOOKUP(CONCATENATE($L1892,$N1892),'Drop List'!$G$23:$K$87,4,FALSE),0)</f>
        <v>0</v>
      </c>
      <c r="AJ1892" s="1151">
        <f>IFERROR(VLOOKUP(CONCATENATE($L1892,$N1892),'Drop List'!$G$23:$K$87,5,FALSE),0)</f>
        <v>0</v>
      </c>
      <c r="AK1892" s="1152">
        <f t="shared" si="534"/>
        <v>0</v>
      </c>
      <c r="AL1892" s="1153">
        <f t="shared" si="535"/>
        <v>0</v>
      </c>
      <c r="AM1892" s="1153">
        <f t="shared" si="536"/>
        <v>0</v>
      </c>
      <c r="AN1892" s="1145">
        <f t="shared" si="537"/>
        <v>0</v>
      </c>
      <c r="AO1892" s="1154">
        <f t="shared" si="540"/>
        <v>0</v>
      </c>
      <c r="AP1892" s="1147">
        <f t="shared" si="525"/>
        <v>0</v>
      </c>
      <c r="AQ1892" s="1144">
        <f t="shared" si="526"/>
        <v>0</v>
      </c>
      <c r="AR1892" s="1146">
        <f t="shared" si="527"/>
        <v>0</v>
      </c>
    </row>
    <row r="1893" spans="1:44" x14ac:dyDescent="0.2">
      <c r="A1893" s="1141" t="str">
        <f t="shared" si="539"/>
        <v/>
      </c>
      <c r="B1893" s="1141" t="str">
        <f>IFERROR(VLOOKUP(A1893,'LAC 103'!A:C,3,FALSE),"")</f>
        <v/>
      </c>
      <c r="C1893" s="1478" t="str">
        <f>Info!$B$8</f>
        <v>00100</v>
      </c>
      <c r="D1893" s="1474"/>
      <c r="E1893" s="1474"/>
      <c r="F1893" s="1478"/>
      <c r="G1893" s="1478"/>
      <c r="H1893" s="1474"/>
      <c r="I1893" s="1478"/>
      <c r="J1893" s="1478"/>
      <c r="K1893" s="1475"/>
      <c r="L1893" s="1474"/>
      <c r="M1893" s="1476"/>
      <c r="N1893" s="1477"/>
      <c r="O1893" s="1479"/>
      <c r="P1893" s="1479"/>
      <c r="Q1893" s="1142">
        <f t="shared" si="523"/>
        <v>0</v>
      </c>
      <c r="R1893" s="1143">
        <f>IFERROR(VLOOKUP(CONCATENATE($E1893,$G1893),'LAC 103'!$A$12:$O$95,11,FALSE),0)</f>
        <v>0</v>
      </c>
      <c r="S1893" s="1144">
        <f>IFERROR(VLOOKUP(CONCATENATE($E1893,$G1893),'LAC 103'!$A$12:$O$95,12,FALSE),0)</f>
        <v>0</v>
      </c>
      <c r="T1893" s="1144">
        <f>IFERROR(VLOOKUP(CONCATENATE($E1893,$G1893),'LAC 103'!$A$12:$O$95,13,FALSE),0)</f>
        <v>0</v>
      </c>
      <c r="U1893" s="1144">
        <f>IFERROR(VLOOKUP(CONCATENATE($E1893,$G1893),'LAC 103'!$A$12:$O$95,14,FALSE),0)</f>
        <v>0</v>
      </c>
      <c r="V1893" s="1144">
        <f>IFERROR(VLOOKUP(CONCATENATE($E1893,$G1893),'LAC 103'!$A$12:$O$95,15,FALSE),0)</f>
        <v>0</v>
      </c>
      <c r="W1893" s="1145" t="str">
        <f>IFERROR(VLOOKUP(CONCATENATE($B1893,$N1893),'LAC 103'!$AI:$AQ,9,FALSE),"")</f>
        <v/>
      </c>
      <c r="X1893" s="1146">
        <f t="shared" si="528"/>
        <v>0</v>
      </c>
      <c r="Y1893" s="1143">
        <f t="shared" si="538"/>
        <v>0</v>
      </c>
      <c r="Z1893" s="1147">
        <f t="shared" si="529"/>
        <v>0</v>
      </c>
      <c r="AA1893" s="1144">
        <f t="shared" si="530"/>
        <v>0</v>
      </c>
      <c r="AB1893" s="1144">
        <f t="shared" si="531"/>
        <v>0</v>
      </c>
      <c r="AC1893" s="1144">
        <f t="shared" si="532"/>
        <v>0</v>
      </c>
      <c r="AD1893" s="1148">
        <f t="shared" si="524"/>
        <v>0</v>
      </c>
      <c r="AE1893" s="1487">
        <v>0</v>
      </c>
      <c r="AF1893" s="1145">
        <f t="shared" si="533"/>
        <v>0</v>
      </c>
      <c r="AG1893" s="1149">
        <f>IFERROR(VLOOKUP(CONCATENATE($L1893,$N1893),'Drop List'!$G$23:$K$87,2,FALSE),0)</f>
        <v>0</v>
      </c>
      <c r="AH1893" s="1150">
        <f>IFERROR(VLOOKUP(CONCATENATE($L1893,$N1893),'Drop List'!$G$23:$K$87,3,FALSE),0)</f>
        <v>0</v>
      </c>
      <c r="AI1893" s="1150">
        <f>IFERROR(VLOOKUP(CONCATENATE($L1893,$N1893),'Drop List'!$G$23:$K$87,4,FALSE),0)</f>
        <v>0</v>
      </c>
      <c r="AJ1893" s="1151">
        <f>IFERROR(VLOOKUP(CONCATENATE($L1893,$N1893),'Drop List'!$G$23:$K$87,5,FALSE),0)</f>
        <v>0</v>
      </c>
      <c r="AK1893" s="1152">
        <f t="shared" si="534"/>
        <v>0</v>
      </c>
      <c r="AL1893" s="1153">
        <f t="shared" si="535"/>
        <v>0</v>
      </c>
      <c r="AM1893" s="1153">
        <f t="shared" si="536"/>
        <v>0</v>
      </c>
      <c r="AN1893" s="1145">
        <f t="shared" si="537"/>
        <v>0</v>
      </c>
      <c r="AO1893" s="1154">
        <f t="shared" si="540"/>
        <v>0</v>
      </c>
      <c r="AP1893" s="1147">
        <f t="shared" si="525"/>
        <v>0</v>
      </c>
      <c r="AQ1893" s="1144">
        <f t="shared" si="526"/>
        <v>0</v>
      </c>
      <c r="AR1893" s="1146">
        <f t="shared" si="527"/>
        <v>0</v>
      </c>
    </row>
    <row r="1894" spans="1:44" x14ac:dyDescent="0.2">
      <c r="A1894" s="1141" t="str">
        <f t="shared" si="539"/>
        <v/>
      </c>
      <c r="B1894" s="1141" t="str">
        <f>IFERROR(VLOOKUP(A1894,'LAC 103'!A:C,3,FALSE),"")</f>
        <v/>
      </c>
      <c r="C1894" s="1478" t="str">
        <f>Info!$B$8</f>
        <v>00100</v>
      </c>
      <c r="D1894" s="1474"/>
      <c r="E1894" s="1474"/>
      <c r="F1894" s="1478"/>
      <c r="G1894" s="1478"/>
      <c r="H1894" s="1474"/>
      <c r="I1894" s="1478"/>
      <c r="J1894" s="1478"/>
      <c r="K1894" s="1475"/>
      <c r="L1894" s="1474"/>
      <c r="M1894" s="1476"/>
      <c r="N1894" s="1477"/>
      <c r="O1894" s="1479"/>
      <c r="P1894" s="1479"/>
      <c r="Q1894" s="1142">
        <f t="shared" si="523"/>
        <v>0</v>
      </c>
      <c r="R1894" s="1143">
        <f>IFERROR(VLOOKUP(CONCATENATE($E1894,$G1894),'LAC 103'!$A$12:$O$95,11,FALSE),0)</f>
        <v>0</v>
      </c>
      <c r="S1894" s="1144">
        <f>IFERROR(VLOOKUP(CONCATENATE($E1894,$G1894),'LAC 103'!$A$12:$O$95,12,FALSE),0)</f>
        <v>0</v>
      </c>
      <c r="T1894" s="1144">
        <f>IFERROR(VLOOKUP(CONCATENATE($E1894,$G1894),'LAC 103'!$A$12:$O$95,13,FALSE),0)</f>
        <v>0</v>
      </c>
      <c r="U1894" s="1144">
        <f>IFERROR(VLOOKUP(CONCATENATE($E1894,$G1894),'LAC 103'!$A$12:$O$95,14,FALSE),0)</f>
        <v>0</v>
      </c>
      <c r="V1894" s="1144">
        <f>IFERROR(VLOOKUP(CONCATENATE($E1894,$G1894),'LAC 103'!$A$12:$O$95,15,FALSE),0)</f>
        <v>0</v>
      </c>
      <c r="W1894" s="1145" t="str">
        <f>IFERROR(VLOOKUP(CONCATENATE($B1894,$N1894),'LAC 103'!$AI:$AQ,9,FALSE),"")</f>
        <v/>
      </c>
      <c r="X1894" s="1146">
        <f t="shared" si="528"/>
        <v>0</v>
      </c>
      <c r="Y1894" s="1143">
        <f t="shared" si="538"/>
        <v>0</v>
      </c>
      <c r="Z1894" s="1147">
        <f t="shared" si="529"/>
        <v>0</v>
      </c>
      <c r="AA1894" s="1144">
        <f t="shared" si="530"/>
        <v>0</v>
      </c>
      <c r="AB1894" s="1144">
        <f t="shared" si="531"/>
        <v>0</v>
      </c>
      <c r="AC1894" s="1144">
        <f t="shared" si="532"/>
        <v>0</v>
      </c>
      <c r="AD1894" s="1148">
        <f t="shared" si="524"/>
        <v>0</v>
      </c>
      <c r="AE1894" s="1487">
        <v>0</v>
      </c>
      <c r="AF1894" s="1145">
        <f t="shared" si="533"/>
        <v>0</v>
      </c>
      <c r="AG1894" s="1149">
        <f>IFERROR(VLOOKUP(CONCATENATE($L1894,$N1894),'Drop List'!$G$23:$K$87,2,FALSE),0)</f>
        <v>0</v>
      </c>
      <c r="AH1894" s="1150">
        <f>IFERROR(VLOOKUP(CONCATENATE($L1894,$N1894),'Drop List'!$G$23:$K$87,3,FALSE),0)</f>
        <v>0</v>
      </c>
      <c r="AI1894" s="1150">
        <f>IFERROR(VLOOKUP(CONCATENATE($L1894,$N1894),'Drop List'!$G$23:$K$87,4,FALSE),0)</f>
        <v>0</v>
      </c>
      <c r="AJ1894" s="1151">
        <f>IFERROR(VLOOKUP(CONCATENATE($L1894,$N1894),'Drop List'!$G$23:$K$87,5,FALSE),0)</f>
        <v>0</v>
      </c>
      <c r="AK1894" s="1152">
        <f t="shared" si="534"/>
        <v>0</v>
      </c>
      <c r="AL1894" s="1153">
        <f t="shared" si="535"/>
        <v>0</v>
      </c>
      <c r="AM1894" s="1153">
        <f t="shared" si="536"/>
        <v>0</v>
      </c>
      <c r="AN1894" s="1145">
        <f t="shared" si="537"/>
        <v>0</v>
      </c>
      <c r="AO1894" s="1154">
        <f t="shared" si="540"/>
        <v>0</v>
      </c>
      <c r="AP1894" s="1147">
        <f t="shared" si="525"/>
        <v>0</v>
      </c>
      <c r="AQ1894" s="1144">
        <f t="shared" si="526"/>
        <v>0</v>
      </c>
      <c r="AR1894" s="1146">
        <f t="shared" si="527"/>
        <v>0</v>
      </c>
    </row>
    <row r="1895" spans="1:44" x14ac:dyDescent="0.2">
      <c r="A1895" s="1141" t="str">
        <f t="shared" si="539"/>
        <v/>
      </c>
      <c r="B1895" s="1141" t="str">
        <f>IFERROR(VLOOKUP(A1895,'LAC 103'!A:C,3,FALSE),"")</f>
        <v/>
      </c>
      <c r="C1895" s="1478" t="str">
        <f>Info!$B$8</f>
        <v>00100</v>
      </c>
      <c r="D1895" s="1474"/>
      <c r="E1895" s="1474"/>
      <c r="F1895" s="1478"/>
      <c r="G1895" s="1478"/>
      <c r="H1895" s="1474"/>
      <c r="I1895" s="1478"/>
      <c r="J1895" s="1478"/>
      <c r="K1895" s="1475"/>
      <c r="L1895" s="1474"/>
      <c r="M1895" s="1476"/>
      <c r="N1895" s="1477"/>
      <c r="O1895" s="1479"/>
      <c r="P1895" s="1479"/>
      <c r="Q1895" s="1142">
        <f t="shared" si="523"/>
        <v>0</v>
      </c>
      <c r="R1895" s="1143">
        <f>IFERROR(VLOOKUP(CONCATENATE($E1895,$G1895),'LAC 103'!$A$12:$O$95,11,FALSE),0)</f>
        <v>0</v>
      </c>
      <c r="S1895" s="1144">
        <f>IFERROR(VLOOKUP(CONCATENATE($E1895,$G1895),'LAC 103'!$A$12:$O$95,12,FALSE),0)</f>
        <v>0</v>
      </c>
      <c r="T1895" s="1144">
        <f>IFERROR(VLOOKUP(CONCATENATE($E1895,$G1895),'LAC 103'!$A$12:$O$95,13,FALSE),0)</f>
        <v>0</v>
      </c>
      <c r="U1895" s="1144">
        <f>IFERROR(VLOOKUP(CONCATENATE($E1895,$G1895),'LAC 103'!$A$12:$O$95,14,FALSE),0)</f>
        <v>0</v>
      </c>
      <c r="V1895" s="1144">
        <f>IFERROR(VLOOKUP(CONCATENATE($E1895,$G1895),'LAC 103'!$A$12:$O$95,15,FALSE),0)</f>
        <v>0</v>
      </c>
      <c r="W1895" s="1145" t="str">
        <f>IFERROR(VLOOKUP(CONCATENATE($B1895,$N1895),'LAC 103'!$AI:$AQ,9,FALSE),"")</f>
        <v/>
      </c>
      <c r="X1895" s="1146">
        <f t="shared" si="528"/>
        <v>0</v>
      </c>
      <c r="Y1895" s="1143">
        <f t="shared" si="538"/>
        <v>0</v>
      </c>
      <c r="Z1895" s="1147">
        <f t="shared" si="529"/>
        <v>0</v>
      </c>
      <c r="AA1895" s="1144">
        <f t="shared" si="530"/>
        <v>0</v>
      </c>
      <c r="AB1895" s="1144">
        <f t="shared" si="531"/>
        <v>0</v>
      </c>
      <c r="AC1895" s="1144">
        <f t="shared" si="532"/>
        <v>0</v>
      </c>
      <c r="AD1895" s="1148">
        <f t="shared" si="524"/>
        <v>0</v>
      </c>
      <c r="AE1895" s="1487">
        <v>0</v>
      </c>
      <c r="AF1895" s="1145">
        <f t="shared" si="533"/>
        <v>0</v>
      </c>
      <c r="AG1895" s="1149">
        <f>IFERROR(VLOOKUP(CONCATENATE($L1895,$N1895),'Drop List'!$G$23:$K$87,2,FALSE),0)</f>
        <v>0</v>
      </c>
      <c r="AH1895" s="1150">
        <f>IFERROR(VLOOKUP(CONCATENATE($L1895,$N1895),'Drop List'!$G$23:$K$87,3,FALSE),0)</f>
        <v>0</v>
      </c>
      <c r="AI1895" s="1150">
        <f>IFERROR(VLOOKUP(CONCATENATE($L1895,$N1895),'Drop List'!$G$23:$K$87,4,FALSE),0)</f>
        <v>0</v>
      </c>
      <c r="AJ1895" s="1151">
        <f>IFERROR(VLOOKUP(CONCATENATE($L1895,$N1895),'Drop List'!$G$23:$K$87,5,FALSE),0)</f>
        <v>0</v>
      </c>
      <c r="AK1895" s="1152">
        <f t="shared" si="534"/>
        <v>0</v>
      </c>
      <c r="AL1895" s="1153">
        <f t="shared" si="535"/>
        <v>0</v>
      </c>
      <c r="AM1895" s="1153">
        <f t="shared" si="536"/>
        <v>0</v>
      </c>
      <c r="AN1895" s="1145">
        <f t="shared" si="537"/>
        <v>0</v>
      </c>
      <c r="AO1895" s="1154">
        <f t="shared" si="540"/>
        <v>0</v>
      </c>
      <c r="AP1895" s="1147">
        <f t="shared" si="525"/>
        <v>0</v>
      </c>
      <c r="AQ1895" s="1144">
        <f t="shared" si="526"/>
        <v>0</v>
      </c>
      <c r="AR1895" s="1146">
        <f t="shared" si="527"/>
        <v>0</v>
      </c>
    </row>
    <row r="1896" spans="1:44" x14ac:dyDescent="0.2">
      <c r="A1896" s="1141" t="str">
        <f t="shared" si="539"/>
        <v/>
      </c>
      <c r="B1896" s="1141" t="str">
        <f>IFERROR(VLOOKUP(A1896,'LAC 103'!A:C,3,FALSE),"")</f>
        <v/>
      </c>
      <c r="C1896" s="1478" t="str">
        <f>Info!$B$8</f>
        <v>00100</v>
      </c>
      <c r="D1896" s="1474"/>
      <c r="E1896" s="1474"/>
      <c r="F1896" s="1478"/>
      <c r="G1896" s="1478"/>
      <c r="H1896" s="1474"/>
      <c r="I1896" s="1478"/>
      <c r="J1896" s="1478"/>
      <c r="K1896" s="1475"/>
      <c r="L1896" s="1474"/>
      <c r="M1896" s="1476"/>
      <c r="N1896" s="1477"/>
      <c r="O1896" s="1479"/>
      <c r="P1896" s="1479"/>
      <c r="Q1896" s="1142">
        <f t="shared" si="523"/>
        <v>0</v>
      </c>
      <c r="R1896" s="1143">
        <f>IFERROR(VLOOKUP(CONCATENATE($E1896,$G1896),'LAC 103'!$A$12:$O$95,11,FALSE),0)</f>
        <v>0</v>
      </c>
      <c r="S1896" s="1144">
        <f>IFERROR(VLOOKUP(CONCATENATE($E1896,$G1896),'LAC 103'!$A$12:$O$95,12,FALSE),0)</f>
        <v>0</v>
      </c>
      <c r="T1896" s="1144">
        <f>IFERROR(VLOOKUP(CONCATENATE($E1896,$G1896),'LAC 103'!$A$12:$O$95,13,FALSE),0)</f>
        <v>0</v>
      </c>
      <c r="U1896" s="1144">
        <f>IFERROR(VLOOKUP(CONCATENATE($E1896,$G1896),'LAC 103'!$A$12:$O$95,14,FALSE),0)</f>
        <v>0</v>
      </c>
      <c r="V1896" s="1144">
        <f>IFERROR(VLOOKUP(CONCATENATE($E1896,$G1896),'LAC 103'!$A$12:$O$95,15,FALSE),0)</f>
        <v>0</v>
      </c>
      <c r="W1896" s="1145" t="str">
        <f>IFERROR(VLOOKUP(CONCATENATE($B1896,$N1896),'LAC 103'!$AI:$AQ,9,FALSE),"")</f>
        <v/>
      </c>
      <c r="X1896" s="1146">
        <f t="shared" si="528"/>
        <v>0</v>
      </c>
      <c r="Y1896" s="1143">
        <f t="shared" si="538"/>
        <v>0</v>
      </c>
      <c r="Z1896" s="1147">
        <f t="shared" si="529"/>
        <v>0</v>
      </c>
      <c r="AA1896" s="1144">
        <f t="shared" si="530"/>
        <v>0</v>
      </c>
      <c r="AB1896" s="1144">
        <f t="shared" si="531"/>
        <v>0</v>
      </c>
      <c r="AC1896" s="1144">
        <f t="shared" si="532"/>
        <v>0</v>
      </c>
      <c r="AD1896" s="1148">
        <f t="shared" si="524"/>
        <v>0</v>
      </c>
      <c r="AE1896" s="1487">
        <v>0</v>
      </c>
      <c r="AF1896" s="1145">
        <f t="shared" si="533"/>
        <v>0</v>
      </c>
      <c r="AG1896" s="1149">
        <f>IFERROR(VLOOKUP(CONCATENATE($L1896,$N1896),'Drop List'!$G$23:$K$87,2,FALSE),0)</f>
        <v>0</v>
      </c>
      <c r="AH1896" s="1150">
        <f>IFERROR(VLOOKUP(CONCATENATE($L1896,$N1896),'Drop List'!$G$23:$K$87,3,FALSE),0)</f>
        <v>0</v>
      </c>
      <c r="AI1896" s="1150">
        <f>IFERROR(VLOOKUP(CONCATENATE($L1896,$N1896),'Drop List'!$G$23:$K$87,4,FALSE),0)</f>
        <v>0</v>
      </c>
      <c r="AJ1896" s="1151">
        <f>IFERROR(VLOOKUP(CONCATENATE($L1896,$N1896),'Drop List'!$G$23:$K$87,5,FALSE),0)</f>
        <v>0</v>
      </c>
      <c r="AK1896" s="1152">
        <f t="shared" si="534"/>
        <v>0</v>
      </c>
      <c r="AL1896" s="1153">
        <f t="shared" si="535"/>
        <v>0</v>
      </c>
      <c r="AM1896" s="1153">
        <f t="shared" si="536"/>
        <v>0</v>
      </c>
      <c r="AN1896" s="1145">
        <f t="shared" si="537"/>
        <v>0</v>
      </c>
      <c r="AO1896" s="1154">
        <f t="shared" si="540"/>
        <v>0</v>
      </c>
      <c r="AP1896" s="1147">
        <f t="shared" si="525"/>
        <v>0</v>
      </c>
      <c r="AQ1896" s="1144">
        <f t="shared" si="526"/>
        <v>0</v>
      </c>
      <c r="AR1896" s="1146">
        <f t="shared" si="527"/>
        <v>0</v>
      </c>
    </row>
    <row r="1897" spans="1:44" x14ac:dyDescent="0.2">
      <c r="A1897" s="1141" t="str">
        <f t="shared" si="539"/>
        <v/>
      </c>
      <c r="B1897" s="1141" t="str">
        <f>IFERROR(VLOOKUP(A1897,'LAC 103'!A:C,3,FALSE),"")</f>
        <v/>
      </c>
      <c r="C1897" s="1478" t="str">
        <f>Info!$B$8</f>
        <v>00100</v>
      </c>
      <c r="D1897" s="1474"/>
      <c r="E1897" s="1474"/>
      <c r="F1897" s="1478"/>
      <c r="G1897" s="1478"/>
      <c r="H1897" s="1474"/>
      <c r="I1897" s="1478"/>
      <c r="J1897" s="1478"/>
      <c r="K1897" s="1475"/>
      <c r="L1897" s="1474"/>
      <c r="M1897" s="1476"/>
      <c r="N1897" s="1477"/>
      <c r="O1897" s="1479"/>
      <c r="P1897" s="1479"/>
      <c r="Q1897" s="1142">
        <f t="shared" si="523"/>
        <v>0</v>
      </c>
      <c r="R1897" s="1143">
        <f>IFERROR(VLOOKUP(CONCATENATE($E1897,$G1897),'LAC 103'!$A$12:$O$95,11,FALSE),0)</f>
        <v>0</v>
      </c>
      <c r="S1897" s="1144">
        <f>IFERROR(VLOOKUP(CONCATENATE($E1897,$G1897),'LAC 103'!$A$12:$O$95,12,FALSE),0)</f>
        <v>0</v>
      </c>
      <c r="T1897" s="1144">
        <f>IFERROR(VLOOKUP(CONCATENATE($E1897,$G1897),'LAC 103'!$A$12:$O$95,13,FALSE),0)</f>
        <v>0</v>
      </c>
      <c r="U1897" s="1144">
        <f>IFERROR(VLOOKUP(CONCATENATE($E1897,$G1897),'LAC 103'!$A$12:$O$95,14,FALSE),0)</f>
        <v>0</v>
      </c>
      <c r="V1897" s="1144">
        <f>IFERROR(VLOOKUP(CONCATENATE($E1897,$G1897),'LAC 103'!$A$12:$O$95,15,FALSE),0)</f>
        <v>0</v>
      </c>
      <c r="W1897" s="1145" t="str">
        <f>IFERROR(VLOOKUP(CONCATENATE($B1897,$N1897),'LAC 103'!$AI:$AQ,9,FALSE),"")</f>
        <v/>
      </c>
      <c r="X1897" s="1146">
        <f t="shared" si="528"/>
        <v>0</v>
      </c>
      <c r="Y1897" s="1143">
        <f t="shared" si="538"/>
        <v>0</v>
      </c>
      <c r="Z1897" s="1147">
        <f t="shared" si="529"/>
        <v>0</v>
      </c>
      <c r="AA1897" s="1144">
        <f t="shared" si="530"/>
        <v>0</v>
      </c>
      <c r="AB1897" s="1144">
        <f t="shared" si="531"/>
        <v>0</v>
      </c>
      <c r="AC1897" s="1144">
        <f t="shared" si="532"/>
        <v>0</v>
      </c>
      <c r="AD1897" s="1148">
        <f t="shared" si="524"/>
        <v>0</v>
      </c>
      <c r="AE1897" s="1487">
        <v>0</v>
      </c>
      <c r="AF1897" s="1145">
        <f t="shared" si="533"/>
        <v>0</v>
      </c>
      <c r="AG1897" s="1149">
        <f>IFERROR(VLOOKUP(CONCATENATE($L1897,$N1897),'Drop List'!$G$23:$K$87,2,FALSE),0)</f>
        <v>0</v>
      </c>
      <c r="AH1897" s="1150">
        <f>IFERROR(VLOOKUP(CONCATENATE($L1897,$N1897),'Drop List'!$G$23:$K$87,3,FALSE),0)</f>
        <v>0</v>
      </c>
      <c r="AI1897" s="1150">
        <f>IFERROR(VLOOKUP(CONCATENATE($L1897,$N1897),'Drop List'!$G$23:$K$87,4,FALSE),0)</f>
        <v>0</v>
      </c>
      <c r="AJ1897" s="1151">
        <f>IFERROR(VLOOKUP(CONCATENATE($L1897,$N1897),'Drop List'!$G$23:$K$87,5,FALSE),0)</f>
        <v>0</v>
      </c>
      <c r="AK1897" s="1152">
        <f t="shared" si="534"/>
        <v>0</v>
      </c>
      <c r="AL1897" s="1153">
        <f t="shared" si="535"/>
        <v>0</v>
      </c>
      <c r="AM1897" s="1153">
        <f t="shared" si="536"/>
        <v>0</v>
      </c>
      <c r="AN1897" s="1145">
        <f t="shared" si="537"/>
        <v>0</v>
      </c>
      <c r="AO1897" s="1154">
        <f t="shared" si="540"/>
        <v>0</v>
      </c>
      <c r="AP1897" s="1147">
        <f t="shared" si="525"/>
        <v>0</v>
      </c>
      <c r="AQ1897" s="1144">
        <f t="shared" si="526"/>
        <v>0</v>
      </c>
      <c r="AR1897" s="1146">
        <f t="shared" si="527"/>
        <v>0</v>
      </c>
    </row>
    <row r="1898" spans="1:44" x14ac:dyDescent="0.2">
      <c r="A1898" s="1141" t="str">
        <f t="shared" si="539"/>
        <v/>
      </c>
      <c r="B1898" s="1141" t="str">
        <f>IFERROR(VLOOKUP(A1898,'LAC 103'!A:C,3,FALSE),"")</f>
        <v/>
      </c>
      <c r="C1898" s="1478" t="str">
        <f>Info!$B$8</f>
        <v>00100</v>
      </c>
      <c r="D1898" s="1474"/>
      <c r="E1898" s="1474"/>
      <c r="F1898" s="1478"/>
      <c r="G1898" s="1478"/>
      <c r="H1898" s="1474"/>
      <c r="I1898" s="1478"/>
      <c r="J1898" s="1478"/>
      <c r="K1898" s="1475"/>
      <c r="L1898" s="1474"/>
      <c r="M1898" s="1476"/>
      <c r="N1898" s="1477"/>
      <c r="O1898" s="1479"/>
      <c r="P1898" s="1479"/>
      <c r="Q1898" s="1142">
        <f t="shared" si="523"/>
        <v>0</v>
      </c>
      <c r="R1898" s="1143">
        <f>IFERROR(VLOOKUP(CONCATENATE($E1898,$G1898),'LAC 103'!$A$12:$O$95,11,FALSE),0)</f>
        <v>0</v>
      </c>
      <c r="S1898" s="1144">
        <f>IFERROR(VLOOKUP(CONCATENATE($E1898,$G1898),'LAC 103'!$A$12:$O$95,12,FALSE),0)</f>
        <v>0</v>
      </c>
      <c r="T1898" s="1144">
        <f>IFERROR(VLOOKUP(CONCATENATE($E1898,$G1898),'LAC 103'!$A$12:$O$95,13,FALSE),0)</f>
        <v>0</v>
      </c>
      <c r="U1898" s="1144">
        <f>IFERROR(VLOOKUP(CONCATENATE($E1898,$G1898),'LAC 103'!$A$12:$O$95,14,FALSE),0)</f>
        <v>0</v>
      </c>
      <c r="V1898" s="1144">
        <f>IFERROR(VLOOKUP(CONCATENATE($E1898,$G1898),'LAC 103'!$A$12:$O$95,15,FALSE),0)</f>
        <v>0</v>
      </c>
      <c r="W1898" s="1145" t="str">
        <f>IFERROR(VLOOKUP(CONCATENATE($B1898,$N1898),'LAC 103'!$AI:$AQ,9,FALSE),"")</f>
        <v/>
      </c>
      <c r="X1898" s="1146">
        <f t="shared" si="528"/>
        <v>0</v>
      </c>
      <c r="Y1898" s="1143">
        <f t="shared" si="538"/>
        <v>0</v>
      </c>
      <c r="Z1898" s="1147">
        <f t="shared" si="529"/>
        <v>0</v>
      </c>
      <c r="AA1898" s="1144">
        <f t="shared" si="530"/>
        <v>0</v>
      </c>
      <c r="AB1898" s="1144">
        <f t="shared" si="531"/>
        <v>0</v>
      </c>
      <c r="AC1898" s="1144">
        <f t="shared" si="532"/>
        <v>0</v>
      </c>
      <c r="AD1898" s="1148">
        <f t="shared" si="524"/>
        <v>0</v>
      </c>
      <c r="AE1898" s="1487">
        <v>0</v>
      </c>
      <c r="AF1898" s="1145">
        <f t="shared" si="533"/>
        <v>0</v>
      </c>
      <c r="AG1898" s="1149">
        <f>IFERROR(VLOOKUP(CONCATENATE($L1898,$N1898),'Drop List'!$G$23:$K$87,2,FALSE),0)</f>
        <v>0</v>
      </c>
      <c r="AH1898" s="1150">
        <f>IFERROR(VLOOKUP(CONCATENATE($L1898,$N1898),'Drop List'!$G$23:$K$87,3,FALSE),0)</f>
        <v>0</v>
      </c>
      <c r="AI1898" s="1150">
        <f>IFERROR(VLOOKUP(CONCATENATE($L1898,$N1898),'Drop List'!$G$23:$K$87,4,FALSE),0)</f>
        <v>0</v>
      </c>
      <c r="AJ1898" s="1151">
        <f>IFERROR(VLOOKUP(CONCATENATE($L1898,$N1898),'Drop List'!$G$23:$K$87,5,FALSE),0)</f>
        <v>0</v>
      </c>
      <c r="AK1898" s="1152">
        <f t="shared" si="534"/>
        <v>0</v>
      </c>
      <c r="AL1898" s="1153">
        <f t="shared" si="535"/>
        <v>0</v>
      </c>
      <c r="AM1898" s="1153">
        <f t="shared" si="536"/>
        <v>0</v>
      </c>
      <c r="AN1898" s="1145">
        <f t="shared" si="537"/>
        <v>0</v>
      </c>
      <c r="AO1898" s="1154">
        <f t="shared" si="540"/>
        <v>0</v>
      </c>
      <c r="AP1898" s="1147">
        <f t="shared" si="525"/>
        <v>0</v>
      </c>
      <c r="AQ1898" s="1144">
        <f t="shared" si="526"/>
        <v>0</v>
      </c>
      <c r="AR1898" s="1146">
        <f t="shared" si="527"/>
        <v>0</v>
      </c>
    </row>
    <row r="1899" spans="1:44" x14ac:dyDescent="0.2">
      <c r="A1899" s="1141" t="str">
        <f t="shared" si="539"/>
        <v/>
      </c>
      <c r="B1899" s="1141" t="str">
        <f>IFERROR(VLOOKUP(A1899,'LAC 103'!A:C,3,FALSE),"")</f>
        <v/>
      </c>
      <c r="C1899" s="1478" t="str">
        <f>Info!$B$8</f>
        <v>00100</v>
      </c>
      <c r="D1899" s="1474"/>
      <c r="E1899" s="1474"/>
      <c r="F1899" s="1478"/>
      <c r="G1899" s="1478"/>
      <c r="H1899" s="1474"/>
      <c r="I1899" s="1478"/>
      <c r="J1899" s="1478"/>
      <c r="K1899" s="1475"/>
      <c r="L1899" s="1474"/>
      <c r="M1899" s="1476"/>
      <c r="N1899" s="1477"/>
      <c r="O1899" s="1479"/>
      <c r="P1899" s="1479"/>
      <c r="Q1899" s="1142">
        <f t="shared" si="523"/>
        <v>0</v>
      </c>
      <c r="R1899" s="1143">
        <f>IFERROR(VLOOKUP(CONCATENATE($E1899,$G1899),'LAC 103'!$A$12:$O$95,11,FALSE),0)</f>
        <v>0</v>
      </c>
      <c r="S1899" s="1144">
        <f>IFERROR(VLOOKUP(CONCATENATE($E1899,$G1899),'LAC 103'!$A$12:$O$95,12,FALSE),0)</f>
        <v>0</v>
      </c>
      <c r="T1899" s="1144">
        <f>IFERROR(VLOOKUP(CONCATENATE($E1899,$G1899),'LAC 103'!$A$12:$O$95,13,FALSE),0)</f>
        <v>0</v>
      </c>
      <c r="U1899" s="1144">
        <f>IFERROR(VLOOKUP(CONCATENATE($E1899,$G1899),'LAC 103'!$A$12:$O$95,14,FALSE),0)</f>
        <v>0</v>
      </c>
      <c r="V1899" s="1144">
        <f>IFERROR(VLOOKUP(CONCATENATE($E1899,$G1899),'LAC 103'!$A$12:$O$95,15,FALSE),0)</f>
        <v>0</v>
      </c>
      <c r="W1899" s="1145" t="str">
        <f>IFERROR(VLOOKUP(CONCATENATE($B1899,$N1899),'LAC 103'!$AI:$AQ,9,FALSE),"")</f>
        <v/>
      </c>
      <c r="X1899" s="1146">
        <f t="shared" si="528"/>
        <v>0</v>
      </c>
      <c r="Y1899" s="1143">
        <f t="shared" si="538"/>
        <v>0</v>
      </c>
      <c r="Z1899" s="1147">
        <f t="shared" si="529"/>
        <v>0</v>
      </c>
      <c r="AA1899" s="1144">
        <f t="shared" si="530"/>
        <v>0</v>
      </c>
      <c r="AB1899" s="1144">
        <f t="shared" si="531"/>
        <v>0</v>
      </c>
      <c r="AC1899" s="1144">
        <f t="shared" si="532"/>
        <v>0</v>
      </c>
      <c r="AD1899" s="1148">
        <f t="shared" si="524"/>
        <v>0</v>
      </c>
      <c r="AE1899" s="1487">
        <v>0</v>
      </c>
      <c r="AF1899" s="1145">
        <f t="shared" si="533"/>
        <v>0</v>
      </c>
      <c r="AG1899" s="1149">
        <f>IFERROR(VLOOKUP(CONCATENATE($L1899,$N1899),'Drop List'!$G$23:$K$87,2,FALSE),0)</f>
        <v>0</v>
      </c>
      <c r="AH1899" s="1150">
        <f>IFERROR(VLOOKUP(CONCATENATE($L1899,$N1899),'Drop List'!$G$23:$K$87,3,FALSE),0)</f>
        <v>0</v>
      </c>
      <c r="AI1899" s="1150">
        <f>IFERROR(VLOOKUP(CONCATENATE($L1899,$N1899),'Drop List'!$G$23:$K$87,4,FALSE),0)</f>
        <v>0</v>
      </c>
      <c r="AJ1899" s="1151">
        <f>IFERROR(VLOOKUP(CONCATENATE($L1899,$N1899),'Drop List'!$G$23:$K$87,5,FALSE),0)</f>
        <v>0</v>
      </c>
      <c r="AK1899" s="1152">
        <f t="shared" si="534"/>
        <v>0</v>
      </c>
      <c r="AL1899" s="1153">
        <f t="shared" si="535"/>
        <v>0</v>
      </c>
      <c r="AM1899" s="1153">
        <f t="shared" si="536"/>
        <v>0</v>
      </c>
      <c r="AN1899" s="1145">
        <f t="shared" si="537"/>
        <v>0</v>
      </c>
      <c r="AO1899" s="1154">
        <f t="shared" si="540"/>
        <v>0</v>
      </c>
      <c r="AP1899" s="1147">
        <f t="shared" si="525"/>
        <v>0</v>
      </c>
      <c r="AQ1899" s="1144">
        <f t="shared" si="526"/>
        <v>0</v>
      </c>
      <c r="AR1899" s="1146">
        <f t="shared" si="527"/>
        <v>0</v>
      </c>
    </row>
    <row r="1900" spans="1:44" x14ac:dyDescent="0.2">
      <c r="A1900" s="1141" t="str">
        <f t="shared" si="539"/>
        <v/>
      </c>
      <c r="B1900" s="1141" t="str">
        <f>IFERROR(VLOOKUP(A1900,'LAC 103'!A:C,3,FALSE),"")</f>
        <v/>
      </c>
      <c r="C1900" s="1478" t="str">
        <f>Info!$B$8</f>
        <v>00100</v>
      </c>
      <c r="D1900" s="1474"/>
      <c r="E1900" s="1474"/>
      <c r="F1900" s="1478"/>
      <c r="G1900" s="1478"/>
      <c r="H1900" s="1474"/>
      <c r="I1900" s="1478"/>
      <c r="J1900" s="1478"/>
      <c r="K1900" s="1475"/>
      <c r="L1900" s="1474"/>
      <c r="M1900" s="1476"/>
      <c r="N1900" s="1477"/>
      <c r="O1900" s="1479"/>
      <c r="P1900" s="1479"/>
      <c r="Q1900" s="1142">
        <f t="shared" si="523"/>
        <v>0</v>
      </c>
      <c r="R1900" s="1143">
        <f>IFERROR(VLOOKUP(CONCATENATE($E1900,$G1900),'LAC 103'!$A$12:$O$95,11,FALSE),0)</f>
        <v>0</v>
      </c>
      <c r="S1900" s="1144">
        <f>IFERROR(VLOOKUP(CONCATENATE($E1900,$G1900),'LAC 103'!$A$12:$O$95,12,FALSE),0)</f>
        <v>0</v>
      </c>
      <c r="T1900" s="1144">
        <f>IFERROR(VLOOKUP(CONCATENATE($E1900,$G1900),'LAC 103'!$A$12:$O$95,13,FALSE),0)</f>
        <v>0</v>
      </c>
      <c r="U1900" s="1144">
        <f>IFERROR(VLOOKUP(CONCATENATE($E1900,$G1900),'LAC 103'!$A$12:$O$95,14,FALSE),0)</f>
        <v>0</v>
      </c>
      <c r="V1900" s="1144">
        <f>IFERROR(VLOOKUP(CONCATENATE($E1900,$G1900),'LAC 103'!$A$12:$O$95,15,FALSE),0)</f>
        <v>0</v>
      </c>
      <c r="W1900" s="1145" t="str">
        <f>IFERROR(VLOOKUP(CONCATENATE($B1900,$N1900),'LAC 103'!$AI:$AQ,9,FALSE),"")</f>
        <v/>
      </c>
      <c r="X1900" s="1146">
        <f t="shared" si="528"/>
        <v>0</v>
      </c>
      <c r="Y1900" s="1143">
        <f t="shared" si="538"/>
        <v>0</v>
      </c>
      <c r="Z1900" s="1147">
        <f t="shared" si="529"/>
        <v>0</v>
      </c>
      <c r="AA1900" s="1144">
        <f t="shared" si="530"/>
        <v>0</v>
      </c>
      <c r="AB1900" s="1144">
        <f t="shared" si="531"/>
        <v>0</v>
      </c>
      <c r="AC1900" s="1144">
        <f t="shared" si="532"/>
        <v>0</v>
      </c>
      <c r="AD1900" s="1148">
        <f t="shared" si="524"/>
        <v>0</v>
      </c>
      <c r="AE1900" s="1487">
        <v>0</v>
      </c>
      <c r="AF1900" s="1145">
        <f t="shared" si="533"/>
        <v>0</v>
      </c>
      <c r="AG1900" s="1149">
        <f>IFERROR(VLOOKUP(CONCATENATE($L1900,$N1900),'Drop List'!$G$23:$K$87,2,FALSE),0)</f>
        <v>0</v>
      </c>
      <c r="AH1900" s="1150">
        <f>IFERROR(VLOOKUP(CONCATENATE($L1900,$N1900),'Drop List'!$G$23:$K$87,3,FALSE),0)</f>
        <v>0</v>
      </c>
      <c r="AI1900" s="1150">
        <f>IFERROR(VLOOKUP(CONCATENATE($L1900,$N1900),'Drop List'!$G$23:$K$87,4,FALSE),0)</f>
        <v>0</v>
      </c>
      <c r="AJ1900" s="1151">
        <f>IFERROR(VLOOKUP(CONCATENATE($L1900,$N1900),'Drop List'!$G$23:$K$87,5,FALSE),0)</f>
        <v>0</v>
      </c>
      <c r="AK1900" s="1152">
        <f t="shared" si="534"/>
        <v>0</v>
      </c>
      <c r="AL1900" s="1153">
        <f t="shared" si="535"/>
        <v>0</v>
      </c>
      <c r="AM1900" s="1153">
        <f t="shared" si="536"/>
        <v>0</v>
      </c>
      <c r="AN1900" s="1145">
        <f t="shared" si="537"/>
        <v>0</v>
      </c>
      <c r="AO1900" s="1154">
        <f t="shared" si="540"/>
        <v>0</v>
      </c>
      <c r="AP1900" s="1147">
        <f t="shared" si="525"/>
        <v>0</v>
      </c>
      <c r="AQ1900" s="1144">
        <f t="shared" si="526"/>
        <v>0</v>
      </c>
      <c r="AR1900" s="1146">
        <f t="shared" si="527"/>
        <v>0</v>
      </c>
    </row>
    <row r="1901" spans="1:44" x14ac:dyDescent="0.2">
      <c r="A1901" s="1141" t="str">
        <f t="shared" si="539"/>
        <v/>
      </c>
      <c r="B1901" s="1141" t="str">
        <f>IFERROR(VLOOKUP(A1901,'LAC 103'!A:C,3,FALSE),"")</f>
        <v/>
      </c>
      <c r="C1901" s="1478" t="str">
        <f>Info!$B$8</f>
        <v>00100</v>
      </c>
      <c r="D1901" s="1474"/>
      <c r="E1901" s="1474"/>
      <c r="F1901" s="1478"/>
      <c r="G1901" s="1478"/>
      <c r="H1901" s="1474"/>
      <c r="I1901" s="1478"/>
      <c r="J1901" s="1478"/>
      <c r="K1901" s="1475"/>
      <c r="L1901" s="1474"/>
      <c r="M1901" s="1476"/>
      <c r="N1901" s="1477"/>
      <c r="O1901" s="1479"/>
      <c r="P1901" s="1479"/>
      <c r="Q1901" s="1142">
        <f t="shared" si="523"/>
        <v>0</v>
      </c>
      <c r="R1901" s="1143">
        <f>IFERROR(VLOOKUP(CONCATENATE($E1901,$G1901),'LAC 103'!$A$12:$O$95,11,FALSE),0)</f>
        <v>0</v>
      </c>
      <c r="S1901" s="1144">
        <f>IFERROR(VLOOKUP(CONCATENATE($E1901,$G1901),'LAC 103'!$A$12:$O$95,12,FALSE),0)</f>
        <v>0</v>
      </c>
      <c r="T1901" s="1144">
        <f>IFERROR(VLOOKUP(CONCATENATE($E1901,$G1901),'LAC 103'!$A$12:$O$95,13,FALSE),0)</f>
        <v>0</v>
      </c>
      <c r="U1901" s="1144">
        <f>IFERROR(VLOOKUP(CONCATENATE($E1901,$G1901),'LAC 103'!$A$12:$O$95,14,FALSE),0)</f>
        <v>0</v>
      </c>
      <c r="V1901" s="1144">
        <f>IFERROR(VLOOKUP(CONCATENATE($E1901,$G1901),'LAC 103'!$A$12:$O$95,15,FALSE),0)</f>
        <v>0</v>
      </c>
      <c r="W1901" s="1145" t="str">
        <f>IFERROR(VLOOKUP(CONCATENATE($B1901,$N1901),'LAC 103'!$AI:$AQ,9,FALSE),"")</f>
        <v/>
      </c>
      <c r="X1901" s="1146">
        <f t="shared" si="528"/>
        <v>0</v>
      </c>
      <c r="Y1901" s="1143">
        <f t="shared" si="538"/>
        <v>0</v>
      </c>
      <c r="Z1901" s="1147">
        <f t="shared" si="529"/>
        <v>0</v>
      </c>
      <c r="AA1901" s="1144">
        <f t="shared" si="530"/>
        <v>0</v>
      </c>
      <c r="AB1901" s="1144">
        <f t="shared" si="531"/>
        <v>0</v>
      </c>
      <c r="AC1901" s="1144">
        <f t="shared" si="532"/>
        <v>0</v>
      </c>
      <c r="AD1901" s="1148">
        <f t="shared" si="524"/>
        <v>0</v>
      </c>
      <c r="AE1901" s="1487">
        <v>0</v>
      </c>
      <c r="AF1901" s="1145">
        <f t="shared" si="533"/>
        <v>0</v>
      </c>
      <c r="AG1901" s="1149">
        <f>IFERROR(VLOOKUP(CONCATENATE($L1901,$N1901),'Drop List'!$G$23:$K$87,2,FALSE),0)</f>
        <v>0</v>
      </c>
      <c r="AH1901" s="1150">
        <f>IFERROR(VLOOKUP(CONCATENATE($L1901,$N1901),'Drop List'!$G$23:$K$87,3,FALSE),0)</f>
        <v>0</v>
      </c>
      <c r="AI1901" s="1150">
        <f>IFERROR(VLOOKUP(CONCATENATE($L1901,$N1901),'Drop List'!$G$23:$K$87,4,FALSE),0)</f>
        <v>0</v>
      </c>
      <c r="AJ1901" s="1151">
        <f>IFERROR(VLOOKUP(CONCATENATE($L1901,$N1901),'Drop List'!$G$23:$K$87,5,FALSE),0)</f>
        <v>0</v>
      </c>
      <c r="AK1901" s="1152">
        <f t="shared" si="534"/>
        <v>0</v>
      </c>
      <c r="AL1901" s="1153">
        <f t="shared" si="535"/>
        <v>0</v>
      </c>
      <c r="AM1901" s="1153">
        <f t="shared" si="536"/>
        <v>0</v>
      </c>
      <c r="AN1901" s="1145">
        <f t="shared" si="537"/>
        <v>0</v>
      </c>
      <c r="AO1901" s="1154">
        <f t="shared" si="540"/>
        <v>0</v>
      </c>
      <c r="AP1901" s="1147">
        <f t="shared" si="525"/>
        <v>0</v>
      </c>
      <c r="AQ1901" s="1144">
        <f t="shared" si="526"/>
        <v>0</v>
      </c>
      <c r="AR1901" s="1146">
        <f t="shared" si="527"/>
        <v>0</v>
      </c>
    </row>
    <row r="1902" spans="1:44" x14ac:dyDescent="0.2">
      <c r="A1902" s="1141" t="str">
        <f t="shared" si="539"/>
        <v/>
      </c>
      <c r="B1902" s="1141" t="str">
        <f>IFERROR(VLOOKUP(A1902,'LAC 103'!A:C,3,FALSE),"")</f>
        <v/>
      </c>
      <c r="C1902" s="1478" t="str">
        <f>Info!$B$8</f>
        <v>00100</v>
      </c>
      <c r="D1902" s="1474"/>
      <c r="E1902" s="1474"/>
      <c r="F1902" s="1478"/>
      <c r="G1902" s="1478"/>
      <c r="H1902" s="1474"/>
      <c r="I1902" s="1478"/>
      <c r="J1902" s="1478"/>
      <c r="K1902" s="1475"/>
      <c r="L1902" s="1474"/>
      <c r="M1902" s="1476"/>
      <c r="N1902" s="1477"/>
      <c r="O1902" s="1479"/>
      <c r="P1902" s="1479"/>
      <c r="Q1902" s="1142">
        <f t="shared" si="523"/>
        <v>0</v>
      </c>
      <c r="R1902" s="1143">
        <f>IFERROR(VLOOKUP(CONCATENATE($E1902,$G1902),'LAC 103'!$A$12:$O$95,11,FALSE),0)</f>
        <v>0</v>
      </c>
      <c r="S1902" s="1144">
        <f>IFERROR(VLOOKUP(CONCATENATE($E1902,$G1902),'LAC 103'!$A$12:$O$95,12,FALSE),0)</f>
        <v>0</v>
      </c>
      <c r="T1902" s="1144">
        <f>IFERROR(VLOOKUP(CONCATENATE($E1902,$G1902),'LAC 103'!$A$12:$O$95,13,FALSE),0)</f>
        <v>0</v>
      </c>
      <c r="U1902" s="1144">
        <f>IFERROR(VLOOKUP(CONCATENATE($E1902,$G1902),'LAC 103'!$A$12:$O$95,14,FALSE),0)</f>
        <v>0</v>
      </c>
      <c r="V1902" s="1144">
        <f>IFERROR(VLOOKUP(CONCATENATE($E1902,$G1902),'LAC 103'!$A$12:$O$95,15,FALSE),0)</f>
        <v>0</v>
      </c>
      <c r="W1902" s="1145" t="str">
        <f>IFERROR(VLOOKUP(CONCATENATE($B1902,$N1902),'LAC 103'!$AI:$AQ,9,FALSE),"")</f>
        <v/>
      </c>
      <c r="X1902" s="1146">
        <f t="shared" si="528"/>
        <v>0</v>
      </c>
      <c r="Y1902" s="1143">
        <f t="shared" si="538"/>
        <v>0</v>
      </c>
      <c r="Z1902" s="1147">
        <f t="shared" si="529"/>
        <v>0</v>
      </c>
      <c r="AA1902" s="1144">
        <f t="shared" si="530"/>
        <v>0</v>
      </c>
      <c r="AB1902" s="1144">
        <f t="shared" si="531"/>
        <v>0</v>
      </c>
      <c r="AC1902" s="1144">
        <f t="shared" si="532"/>
        <v>0</v>
      </c>
      <c r="AD1902" s="1148">
        <f t="shared" si="524"/>
        <v>0</v>
      </c>
      <c r="AE1902" s="1487">
        <v>0</v>
      </c>
      <c r="AF1902" s="1145">
        <f t="shared" si="533"/>
        <v>0</v>
      </c>
      <c r="AG1902" s="1149">
        <f>IFERROR(VLOOKUP(CONCATENATE($L1902,$N1902),'Drop List'!$G$23:$K$87,2,FALSE),0)</f>
        <v>0</v>
      </c>
      <c r="AH1902" s="1150">
        <f>IFERROR(VLOOKUP(CONCATENATE($L1902,$N1902),'Drop List'!$G$23:$K$87,3,FALSE),0)</f>
        <v>0</v>
      </c>
      <c r="AI1902" s="1150">
        <f>IFERROR(VLOOKUP(CONCATENATE($L1902,$N1902),'Drop List'!$G$23:$K$87,4,FALSE),0)</f>
        <v>0</v>
      </c>
      <c r="AJ1902" s="1151">
        <f>IFERROR(VLOOKUP(CONCATENATE($L1902,$N1902),'Drop List'!$G$23:$K$87,5,FALSE),0)</f>
        <v>0</v>
      </c>
      <c r="AK1902" s="1152">
        <f t="shared" si="534"/>
        <v>0</v>
      </c>
      <c r="AL1902" s="1153">
        <f t="shared" si="535"/>
        <v>0</v>
      </c>
      <c r="AM1902" s="1153">
        <f t="shared" si="536"/>
        <v>0</v>
      </c>
      <c r="AN1902" s="1145">
        <f t="shared" si="537"/>
        <v>0</v>
      </c>
      <c r="AO1902" s="1154">
        <f t="shared" si="540"/>
        <v>0</v>
      </c>
      <c r="AP1902" s="1147">
        <f t="shared" si="525"/>
        <v>0</v>
      </c>
      <c r="AQ1902" s="1144">
        <f t="shared" si="526"/>
        <v>0</v>
      </c>
      <c r="AR1902" s="1146">
        <f t="shared" si="527"/>
        <v>0</v>
      </c>
    </row>
    <row r="1903" spans="1:44" x14ac:dyDescent="0.2">
      <c r="A1903" s="1141" t="str">
        <f t="shared" si="539"/>
        <v/>
      </c>
      <c r="B1903" s="1141" t="str">
        <f>IFERROR(VLOOKUP(A1903,'LAC 103'!A:C,3,FALSE),"")</f>
        <v/>
      </c>
      <c r="C1903" s="1478" t="str">
        <f>Info!$B$8</f>
        <v>00100</v>
      </c>
      <c r="D1903" s="1474"/>
      <c r="E1903" s="1474"/>
      <c r="F1903" s="1478"/>
      <c r="G1903" s="1478"/>
      <c r="H1903" s="1474"/>
      <c r="I1903" s="1478"/>
      <c r="J1903" s="1478"/>
      <c r="K1903" s="1475"/>
      <c r="L1903" s="1474"/>
      <c r="M1903" s="1476"/>
      <c r="N1903" s="1477"/>
      <c r="O1903" s="1479"/>
      <c r="P1903" s="1479"/>
      <c r="Q1903" s="1142">
        <f t="shared" si="523"/>
        <v>0</v>
      </c>
      <c r="R1903" s="1143">
        <f>IFERROR(VLOOKUP(CONCATENATE($E1903,$G1903),'LAC 103'!$A$12:$O$95,11,FALSE),0)</f>
        <v>0</v>
      </c>
      <c r="S1903" s="1144">
        <f>IFERROR(VLOOKUP(CONCATENATE($E1903,$G1903),'LAC 103'!$A$12:$O$95,12,FALSE),0)</f>
        <v>0</v>
      </c>
      <c r="T1903" s="1144">
        <f>IFERROR(VLOOKUP(CONCATENATE($E1903,$G1903),'LAC 103'!$A$12:$O$95,13,FALSE),0)</f>
        <v>0</v>
      </c>
      <c r="U1903" s="1144">
        <f>IFERROR(VLOOKUP(CONCATENATE($E1903,$G1903),'LAC 103'!$A$12:$O$95,14,FALSE),0)</f>
        <v>0</v>
      </c>
      <c r="V1903" s="1144">
        <f>IFERROR(VLOOKUP(CONCATENATE($E1903,$G1903),'LAC 103'!$A$12:$O$95,15,FALSE),0)</f>
        <v>0</v>
      </c>
      <c r="W1903" s="1145" t="str">
        <f>IFERROR(VLOOKUP(CONCATENATE($B1903,$N1903),'LAC 103'!$AI:$AQ,9,FALSE),"")</f>
        <v/>
      </c>
      <c r="X1903" s="1146">
        <f t="shared" si="528"/>
        <v>0</v>
      </c>
      <c r="Y1903" s="1143">
        <f t="shared" si="538"/>
        <v>0</v>
      </c>
      <c r="Z1903" s="1147">
        <f t="shared" si="529"/>
        <v>0</v>
      </c>
      <c r="AA1903" s="1144">
        <f t="shared" si="530"/>
        <v>0</v>
      </c>
      <c r="AB1903" s="1144">
        <f t="shared" si="531"/>
        <v>0</v>
      </c>
      <c r="AC1903" s="1144">
        <f t="shared" si="532"/>
        <v>0</v>
      </c>
      <c r="AD1903" s="1148">
        <f t="shared" si="524"/>
        <v>0</v>
      </c>
      <c r="AE1903" s="1487">
        <v>0</v>
      </c>
      <c r="AF1903" s="1145">
        <f t="shared" si="533"/>
        <v>0</v>
      </c>
      <c r="AG1903" s="1149">
        <f>IFERROR(VLOOKUP(CONCATENATE($L1903,$N1903),'Drop List'!$G$23:$K$87,2,FALSE),0)</f>
        <v>0</v>
      </c>
      <c r="AH1903" s="1150">
        <f>IFERROR(VLOOKUP(CONCATENATE($L1903,$N1903),'Drop List'!$G$23:$K$87,3,FALSE),0)</f>
        <v>0</v>
      </c>
      <c r="AI1903" s="1150">
        <f>IFERROR(VLOOKUP(CONCATENATE($L1903,$N1903),'Drop List'!$G$23:$K$87,4,FALSE),0)</f>
        <v>0</v>
      </c>
      <c r="AJ1903" s="1151">
        <f>IFERROR(VLOOKUP(CONCATENATE($L1903,$N1903),'Drop List'!$G$23:$K$87,5,FALSE),0)</f>
        <v>0</v>
      </c>
      <c r="AK1903" s="1152">
        <f t="shared" si="534"/>
        <v>0</v>
      </c>
      <c r="AL1903" s="1153">
        <f t="shared" si="535"/>
        <v>0</v>
      </c>
      <c r="AM1903" s="1153">
        <f t="shared" si="536"/>
        <v>0</v>
      </c>
      <c r="AN1903" s="1145">
        <f t="shared" si="537"/>
        <v>0</v>
      </c>
      <c r="AO1903" s="1154">
        <f t="shared" si="540"/>
        <v>0</v>
      </c>
      <c r="AP1903" s="1147">
        <f t="shared" si="525"/>
        <v>0</v>
      </c>
      <c r="AQ1903" s="1144">
        <f t="shared" si="526"/>
        <v>0</v>
      </c>
      <c r="AR1903" s="1146">
        <f t="shared" si="527"/>
        <v>0</v>
      </c>
    </row>
    <row r="1904" spans="1:44" x14ac:dyDescent="0.2">
      <c r="A1904" s="1141" t="str">
        <f t="shared" si="539"/>
        <v/>
      </c>
      <c r="B1904" s="1141" t="str">
        <f>IFERROR(VLOOKUP(A1904,'LAC 103'!A:C,3,FALSE),"")</f>
        <v/>
      </c>
      <c r="C1904" s="1478" t="str">
        <f>Info!$B$8</f>
        <v>00100</v>
      </c>
      <c r="D1904" s="1474"/>
      <c r="E1904" s="1474"/>
      <c r="F1904" s="1478"/>
      <c r="G1904" s="1478"/>
      <c r="H1904" s="1474"/>
      <c r="I1904" s="1478"/>
      <c r="J1904" s="1478"/>
      <c r="K1904" s="1475"/>
      <c r="L1904" s="1474"/>
      <c r="M1904" s="1476"/>
      <c r="N1904" s="1477"/>
      <c r="O1904" s="1479"/>
      <c r="P1904" s="1479"/>
      <c r="Q1904" s="1142">
        <f t="shared" si="523"/>
        <v>0</v>
      </c>
      <c r="R1904" s="1143">
        <f>IFERROR(VLOOKUP(CONCATENATE($E1904,$G1904),'LAC 103'!$A$12:$O$95,11,FALSE),0)</f>
        <v>0</v>
      </c>
      <c r="S1904" s="1144">
        <f>IFERROR(VLOOKUP(CONCATENATE($E1904,$G1904),'LAC 103'!$A$12:$O$95,12,FALSE),0)</f>
        <v>0</v>
      </c>
      <c r="T1904" s="1144">
        <f>IFERROR(VLOOKUP(CONCATENATE($E1904,$G1904),'LAC 103'!$A$12:$O$95,13,FALSE),0)</f>
        <v>0</v>
      </c>
      <c r="U1904" s="1144">
        <f>IFERROR(VLOOKUP(CONCATENATE($E1904,$G1904),'LAC 103'!$A$12:$O$95,14,FALSE),0)</f>
        <v>0</v>
      </c>
      <c r="V1904" s="1144">
        <f>IFERROR(VLOOKUP(CONCATENATE($E1904,$G1904),'LAC 103'!$A$12:$O$95,15,FALSE),0)</f>
        <v>0</v>
      </c>
      <c r="W1904" s="1145" t="str">
        <f>IFERROR(VLOOKUP(CONCATENATE($B1904,$N1904),'LAC 103'!$AI:$AQ,9,FALSE),"")</f>
        <v/>
      </c>
      <c r="X1904" s="1146">
        <f t="shared" si="528"/>
        <v>0</v>
      </c>
      <c r="Y1904" s="1143">
        <f t="shared" si="538"/>
        <v>0</v>
      </c>
      <c r="Z1904" s="1147">
        <f t="shared" si="529"/>
        <v>0</v>
      </c>
      <c r="AA1904" s="1144">
        <f t="shared" si="530"/>
        <v>0</v>
      </c>
      <c r="AB1904" s="1144">
        <f t="shared" si="531"/>
        <v>0</v>
      </c>
      <c r="AC1904" s="1144">
        <f t="shared" si="532"/>
        <v>0</v>
      </c>
      <c r="AD1904" s="1148">
        <f t="shared" si="524"/>
        <v>0</v>
      </c>
      <c r="AE1904" s="1487">
        <v>0</v>
      </c>
      <c r="AF1904" s="1145">
        <f t="shared" si="533"/>
        <v>0</v>
      </c>
      <c r="AG1904" s="1149">
        <f>IFERROR(VLOOKUP(CONCATENATE($L1904,$N1904),'Drop List'!$G$23:$K$87,2,FALSE),0)</f>
        <v>0</v>
      </c>
      <c r="AH1904" s="1150">
        <f>IFERROR(VLOOKUP(CONCATENATE($L1904,$N1904),'Drop List'!$G$23:$K$87,3,FALSE),0)</f>
        <v>0</v>
      </c>
      <c r="AI1904" s="1150">
        <f>IFERROR(VLOOKUP(CONCATENATE($L1904,$N1904),'Drop List'!$G$23:$K$87,4,FALSE),0)</f>
        <v>0</v>
      </c>
      <c r="AJ1904" s="1151">
        <f>IFERROR(VLOOKUP(CONCATENATE($L1904,$N1904),'Drop List'!$G$23:$K$87,5,FALSE),0)</f>
        <v>0</v>
      </c>
      <c r="AK1904" s="1152">
        <f t="shared" si="534"/>
        <v>0</v>
      </c>
      <c r="AL1904" s="1153">
        <f t="shared" si="535"/>
        <v>0</v>
      </c>
      <c r="AM1904" s="1153">
        <f t="shared" si="536"/>
        <v>0</v>
      </c>
      <c r="AN1904" s="1145">
        <f t="shared" si="537"/>
        <v>0</v>
      </c>
      <c r="AO1904" s="1154">
        <f t="shared" si="540"/>
        <v>0</v>
      </c>
      <c r="AP1904" s="1147">
        <f t="shared" si="525"/>
        <v>0</v>
      </c>
      <c r="AQ1904" s="1144">
        <f t="shared" si="526"/>
        <v>0</v>
      </c>
      <c r="AR1904" s="1146">
        <f t="shared" si="527"/>
        <v>0</v>
      </c>
    </row>
    <row r="1905" spans="1:44" x14ac:dyDescent="0.2">
      <c r="A1905" s="1141" t="str">
        <f t="shared" si="539"/>
        <v/>
      </c>
      <c r="B1905" s="1141" t="str">
        <f>IFERROR(VLOOKUP(A1905,'LAC 103'!A:C,3,FALSE),"")</f>
        <v/>
      </c>
      <c r="C1905" s="1478" t="str">
        <f>Info!$B$8</f>
        <v>00100</v>
      </c>
      <c r="D1905" s="1474"/>
      <c r="E1905" s="1474"/>
      <c r="F1905" s="1478"/>
      <c r="G1905" s="1478"/>
      <c r="H1905" s="1474"/>
      <c r="I1905" s="1478"/>
      <c r="J1905" s="1478"/>
      <c r="K1905" s="1475"/>
      <c r="L1905" s="1474"/>
      <c r="M1905" s="1476"/>
      <c r="N1905" s="1477"/>
      <c r="O1905" s="1479"/>
      <c r="P1905" s="1479"/>
      <c r="Q1905" s="1142">
        <f t="shared" si="523"/>
        <v>0</v>
      </c>
      <c r="R1905" s="1143">
        <f>IFERROR(VLOOKUP(CONCATENATE($E1905,$G1905),'LAC 103'!$A$12:$O$95,11,FALSE),0)</f>
        <v>0</v>
      </c>
      <c r="S1905" s="1144">
        <f>IFERROR(VLOOKUP(CONCATENATE($E1905,$G1905),'LAC 103'!$A$12:$O$95,12,FALSE),0)</f>
        <v>0</v>
      </c>
      <c r="T1905" s="1144">
        <f>IFERROR(VLOOKUP(CONCATENATE($E1905,$G1905),'LAC 103'!$A$12:$O$95,13,FALSE),0)</f>
        <v>0</v>
      </c>
      <c r="U1905" s="1144">
        <f>IFERROR(VLOOKUP(CONCATENATE($E1905,$G1905),'LAC 103'!$A$12:$O$95,14,FALSE),0)</f>
        <v>0</v>
      </c>
      <c r="V1905" s="1144">
        <f>IFERROR(VLOOKUP(CONCATENATE($E1905,$G1905),'LAC 103'!$A$12:$O$95,15,FALSE),0)</f>
        <v>0</v>
      </c>
      <c r="W1905" s="1145" t="str">
        <f>IFERROR(VLOOKUP(CONCATENATE($B1905,$N1905),'LAC 103'!$AI:$AQ,9,FALSE),"")</f>
        <v/>
      </c>
      <c r="X1905" s="1146">
        <f t="shared" si="528"/>
        <v>0</v>
      </c>
      <c r="Y1905" s="1143">
        <f t="shared" si="538"/>
        <v>0</v>
      </c>
      <c r="Z1905" s="1147">
        <f t="shared" si="529"/>
        <v>0</v>
      </c>
      <c r="AA1905" s="1144">
        <f t="shared" si="530"/>
        <v>0</v>
      </c>
      <c r="AB1905" s="1144">
        <f t="shared" si="531"/>
        <v>0</v>
      </c>
      <c r="AC1905" s="1144">
        <f t="shared" si="532"/>
        <v>0</v>
      </c>
      <c r="AD1905" s="1148">
        <f t="shared" si="524"/>
        <v>0</v>
      </c>
      <c r="AE1905" s="1487">
        <v>0</v>
      </c>
      <c r="AF1905" s="1145">
        <f t="shared" si="533"/>
        <v>0</v>
      </c>
      <c r="AG1905" s="1149">
        <f>IFERROR(VLOOKUP(CONCATENATE($L1905,$N1905),'Drop List'!$G$23:$K$87,2,FALSE),0)</f>
        <v>0</v>
      </c>
      <c r="AH1905" s="1150">
        <f>IFERROR(VLOOKUP(CONCATENATE($L1905,$N1905),'Drop List'!$G$23:$K$87,3,FALSE),0)</f>
        <v>0</v>
      </c>
      <c r="AI1905" s="1150">
        <f>IFERROR(VLOOKUP(CONCATENATE($L1905,$N1905),'Drop List'!$G$23:$K$87,4,FALSE),0)</f>
        <v>0</v>
      </c>
      <c r="AJ1905" s="1151">
        <f>IFERROR(VLOOKUP(CONCATENATE($L1905,$N1905),'Drop List'!$G$23:$K$87,5,FALSE),0)</f>
        <v>0</v>
      </c>
      <c r="AK1905" s="1152">
        <f t="shared" si="534"/>
        <v>0</v>
      </c>
      <c r="AL1905" s="1153">
        <f t="shared" si="535"/>
        <v>0</v>
      </c>
      <c r="AM1905" s="1153">
        <f t="shared" si="536"/>
        <v>0</v>
      </c>
      <c r="AN1905" s="1145">
        <f t="shared" si="537"/>
        <v>0</v>
      </c>
      <c r="AO1905" s="1154">
        <f t="shared" si="540"/>
        <v>0</v>
      </c>
      <c r="AP1905" s="1147">
        <f t="shared" si="525"/>
        <v>0</v>
      </c>
      <c r="AQ1905" s="1144">
        <f t="shared" si="526"/>
        <v>0</v>
      </c>
      <c r="AR1905" s="1146">
        <f t="shared" si="527"/>
        <v>0</v>
      </c>
    </row>
    <row r="1906" spans="1:44" x14ac:dyDescent="0.2">
      <c r="A1906" s="1141" t="str">
        <f t="shared" si="539"/>
        <v/>
      </c>
      <c r="B1906" s="1141" t="str">
        <f>IFERROR(VLOOKUP(A1906,'LAC 103'!A:C,3,FALSE),"")</f>
        <v/>
      </c>
      <c r="C1906" s="1478" t="str">
        <f>Info!$B$8</f>
        <v>00100</v>
      </c>
      <c r="D1906" s="1474"/>
      <c r="E1906" s="1474"/>
      <c r="F1906" s="1478"/>
      <c r="G1906" s="1478"/>
      <c r="H1906" s="1474"/>
      <c r="I1906" s="1478"/>
      <c r="J1906" s="1478"/>
      <c r="K1906" s="1475"/>
      <c r="L1906" s="1474"/>
      <c r="M1906" s="1476"/>
      <c r="N1906" s="1477"/>
      <c r="O1906" s="1479"/>
      <c r="P1906" s="1479"/>
      <c r="Q1906" s="1142">
        <f t="shared" si="523"/>
        <v>0</v>
      </c>
      <c r="R1906" s="1143">
        <f>IFERROR(VLOOKUP(CONCATENATE($E1906,$G1906),'LAC 103'!$A$12:$O$95,11,FALSE),0)</f>
        <v>0</v>
      </c>
      <c r="S1906" s="1144">
        <f>IFERROR(VLOOKUP(CONCATENATE($E1906,$G1906),'LAC 103'!$A$12:$O$95,12,FALSE),0)</f>
        <v>0</v>
      </c>
      <c r="T1906" s="1144">
        <f>IFERROR(VLOOKUP(CONCATENATE($E1906,$G1906),'LAC 103'!$A$12:$O$95,13,FALSE),0)</f>
        <v>0</v>
      </c>
      <c r="U1906" s="1144">
        <f>IFERROR(VLOOKUP(CONCATENATE($E1906,$G1906),'LAC 103'!$A$12:$O$95,14,FALSE),0)</f>
        <v>0</v>
      </c>
      <c r="V1906" s="1144">
        <f>IFERROR(VLOOKUP(CONCATENATE($E1906,$G1906),'LAC 103'!$A$12:$O$95,15,FALSE),0)</f>
        <v>0</v>
      </c>
      <c r="W1906" s="1145" t="str">
        <f>IFERROR(VLOOKUP(CONCATENATE($B1906,$N1906),'LAC 103'!$AI:$AQ,9,FALSE),"")</f>
        <v/>
      </c>
      <c r="X1906" s="1146">
        <f t="shared" si="528"/>
        <v>0</v>
      </c>
      <c r="Y1906" s="1143">
        <f t="shared" si="538"/>
        <v>0</v>
      </c>
      <c r="Z1906" s="1147">
        <f t="shared" si="529"/>
        <v>0</v>
      </c>
      <c r="AA1906" s="1144">
        <f t="shared" si="530"/>
        <v>0</v>
      </c>
      <c r="AB1906" s="1144">
        <f t="shared" si="531"/>
        <v>0</v>
      </c>
      <c r="AC1906" s="1144">
        <f t="shared" si="532"/>
        <v>0</v>
      </c>
      <c r="AD1906" s="1148">
        <f t="shared" si="524"/>
        <v>0</v>
      </c>
      <c r="AE1906" s="1487">
        <v>0</v>
      </c>
      <c r="AF1906" s="1145">
        <f t="shared" si="533"/>
        <v>0</v>
      </c>
      <c r="AG1906" s="1149">
        <f>IFERROR(VLOOKUP(CONCATENATE($L1906,$N1906),'Drop List'!$G$23:$K$87,2,FALSE),0)</f>
        <v>0</v>
      </c>
      <c r="AH1906" s="1150">
        <f>IFERROR(VLOOKUP(CONCATENATE($L1906,$N1906),'Drop List'!$G$23:$K$87,3,FALSE),0)</f>
        <v>0</v>
      </c>
      <c r="AI1906" s="1150">
        <f>IFERROR(VLOOKUP(CONCATENATE($L1906,$N1906),'Drop List'!$G$23:$K$87,4,FALSE),0)</f>
        <v>0</v>
      </c>
      <c r="AJ1906" s="1151">
        <f>IFERROR(VLOOKUP(CONCATENATE($L1906,$N1906),'Drop List'!$G$23:$K$87,5,FALSE),0)</f>
        <v>0</v>
      </c>
      <c r="AK1906" s="1152">
        <f t="shared" si="534"/>
        <v>0</v>
      </c>
      <c r="AL1906" s="1153">
        <f t="shared" si="535"/>
        <v>0</v>
      </c>
      <c r="AM1906" s="1153">
        <f t="shared" si="536"/>
        <v>0</v>
      </c>
      <c r="AN1906" s="1145">
        <f t="shared" si="537"/>
        <v>0</v>
      </c>
      <c r="AO1906" s="1154">
        <f t="shared" si="540"/>
        <v>0</v>
      </c>
      <c r="AP1906" s="1147">
        <f t="shared" si="525"/>
        <v>0</v>
      </c>
      <c r="AQ1906" s="1144">
        <f t="shared" si="526"/>
        <v>0</v>
      </c>
      <c r="AR1906" s="1146">
        <f t="shared" si="527"/>
        <v>0</v>
      </c>
    </row>
    <row r="1907" spans="1:44" x14ac:dyDescent="0.2">
      <c r="A1907" s="1141" t="str">
        <f t="shared" si="539"/>
        <v/>
      </c>
      <c r="B1907" s="1141" t="str">
        <f>IFERROR(VLOOKUP(A1907,'LAC 103'!A:C,3,FALSE),"")</f>
        <v/>
      </c>
      <c r="C1907" s="1478" t="str">
        <f>Info!$B$8</f>
        <v>00100</v>
      </c>
      <c r="D1907" s="1474"/>
      <c r="E1907" s="1474"/>
      <c r="F1907" s="1478"/>
      <c r="G1907" s="1478"/>
      <c r="H1907" s="1474"/>
      <c r="I1907" s="1478"/>
      <c r="J1907" s="1478"/>
      <c r="K1907" s="1475"/>
      <c r="L1907" s="1474"/>
      <c r="M1907" s="1476"/>
      <c r="N1907" s="1477"/>
      <c r="O1907" s="1479"/>
      <c r="P1907" s="1479"/>
      <c r="Q1907" s="1142">
        <f t="shared" si="523"/>
        <v>0</v>
      </c>
      <c r="R1907" s="1143">
        <f>IFERROR(VLOOKUP(CONCATENATE($E1907,$G1907),'LAC 103'!$A$12:$O$95,11,FALSE),0)</f>
        <v>0</v>
      </c>
      <c r="S1907" s="1144">
        <f>IFERROR(VLOOKUP(CONCATENATE($E1907,$G1907),'LAC 103'!$A$12:$O$95,12,FALSE),0)</f>
        <v>0</v>
      </c>
      <c r="T1907" s="1144">
        <f>IFERROR(VLOOKUP(CONCATENATE($E1907,$G1907),'LAC 103'!$A$12:$O$95,13,FALSE),0)</f>
        <v>0</v>
      </c>
      <c r="U1907" s="1144">
        <f>IFERROR(VLOOKUP(CONCATENATE($E1907,$G1907),'LAC 103'!$A$12:$O$95,14,FALSE),0)</f>
        <v>0</v>
      </c>
      <c r="V1907" s="1144">
        <f>IFERROR(VLOOKUP(CONCATENATE($E1907,$G1907),'LAC 103'!$A$12:$O$95,15,FALSE),0)</f>
        <v>0</v>
      </c>
      <c r="W1907" s="1145" t="str">
        <f>IFERROR(VLOOKUP(CONCATENATE($B1907,$N1907),'LAC 103'!$AI:$AQ,9,FALSE),"")</f>
        <v/>
      </c>
      <c r="X1907" s="1146">
        <f t="shared" si="528"/>
        <v>0</v>
      </c>
      <c r="Y1907" s="1143">
        <f t="shared" si="538"/>
        <v>0</v>
      </c>
      <c r="Z1907" s="1147">
        <f t="shared" si="529"/>
        <v>0</v>
      </c>
      <c r="AA1907" s="1144">
        <f t="shared" si="530"/>
        <v>0</v>
      </c>
      <c r="AB1907" s="1144">
        <f t="shared" si="531"/>
        <v>0</v>
      </c>
      <c r="AC1907" s="1144">
        <f t="shared" si="532"/>
        <v>0</v>
      </c>
      <c r="AD1907" s="1148">
        <f t="shared" si="524"/>
        <v>0</v>
      </c>
      <c r="AE1907" s="1487">
        <v>0</v>
      </c>
      <c r="AF1907" s="1145">
        <f t="shared" si="533"/>
        <v>0</v>
      </c>
      <c r="AG1907" s="1149">
        <f>IFERROR(VLOOKUP(CONCATENATE($L1907,$N1907),'Drop List'!$G$23:$K$87,2,FALSE),0)</f>
        <v>0</v>
      </c>
      <c r="AH1907" s="1150">
        <f>IFERROR(VLOOKUP(CONCATENATE($L1907,$N1907),'Drop List'!$G$23:$K$87,3,FALSE),0)</f>
        <v>0</v>
      </c>
      <c r="AI1907" s="1150">
        <f>IFERROR(VLOOKUP(CONCATENATE($L1907,$N1907),'Drop List'!$G$23:$K$87,4,FALSE),0)</f>
        <v>0</v>
      </c>
      <c r="AJ1907" s="1151">
        <f>IFERROR(VLOOKUP(CONCATENATE($L1907,$N1907),'Drop List'!$G$23:$K$87,5,FALSE),0)</f>
        <v>0</v>
      </c>
      <c r="AK1907" s="1152">
        <f t="shared" si="534"/>
        <v>0</v>
      </c>
      <c r="AL1907" s="1153">
        <f t="shared" si="535"/>
        <v>0</v>
      </c>
      <c r="AM1907" s="1153">
        <f t="shared" si="536"/>
        <v>0</v>
      </c>
      <c r="AN1907" s="1145">
        <f t="shared" si="537"/>
        <v>0</v>
      </c>
      <c r="AO1907" s="1154">
        <f t="shared" si="540"/>
        <v>0</v>
      </c>
      <c r="AP1907" s="1147">
        <f t="shared" si="525"/>
        <v>0</v>
      </c>
      <c r="AQ1907" s="1144">
        <f t="shared" si="526"/>
        <v>0</v>
      </c>
      <c r="AR1907" s="1146">
        <f t="shared" si="527"/>
        <v>0</v>
      </c>
    </row>
    <row r="1908" spans="1:44" x14ac:dyDescent="0.2">
      <c r="A1908" s="1141" t="str">
        <f t="shared" si="539"/>
        <v/>
      </c>
      <c r="B1908" s="1141" t="str">
        <f>IFERROR(VLOOKUP(A1908,'LAC 103'!A:C,3,FALSE),"")</f>
        <v/>
      </c>
      <c r="C1908" s="1478" t="str">
        <f>Info!$B$8</f>
        <v>00100</v>
      </c>
      <c r="D1908" s="1474"/>
      <c r="E1908" s="1474"/>
      <c r="F1908" s="1478"/>
      <c r="G1908" s="1478"/>
      <c r="H1908" s="1474"/>
      <c r="I1908" s="1478"/>
      <c r="J1908" s="1478"/>
      <c r="K1908" s="1475"/>
      <c r="L1908" s="1474"/>
      <c r="M1908" s="1476"/>
      <c r="N1908" s="1477"/>
      <c r="O1908" s="1479"/>
      <c r="P1908" s="1479"/>
      <c r="Q1908" s="1142">
        <f t="shared" si="523"/>
        <v>0</v>
      </c>
      <c r="R1908" s="1143">
        <f>IFERROR(VLOOKUP(CONCATENATE($E1908,$G1908),'LAC 103'!$A$12:$O$95,11,FALSE),0)</f>
        <v>0</v>
      </c>
      <c r="S1908" s="1144">
        <f>IFERROR(VLOOKUP(CONCATENATE($E1908,$G1908),'LAC 103'!$A$12:$O$95,12,FALSE),0)</f>
        <v>0</v>
      </c>
      <c r="T1908" s="1144">
        <f>IFERROR(VLOOKUP(CONCATENATE($E1908,$G1908),'LAC 103'!$A$12:$O$95,13,FALSE),0)</f>
        <v>0</v>
      </c>
      <c r="U1908" s="1144">
        <f>IFERROR(VLOOKUP(CONCATENATE($E1908,$G1908),'LAC 103'!$A$12:$O$95,14,FALSE),0)</f>
        <v>0</v>
      </c>
      <c r="V1908" s="1144">
        <f>IFERROR(VLOOKUP(CONCATENATE($E1908,$G1908),'LAC 103'!$A$12:$O$95,15,FALSE),0)</f>
        <v>0</v>
      </c>
      <c r="W1908" s="1145" t="str">
        <f>IFERROR(VLOOKUP(CONCATENATE($B1908,$N1908),'LAC 103'!$AI:$AQ,9,FALSE),"")</f>
        <v/>
      </c>
      <c r="X1908" s="1146">
        <f t="shared" si="528"/>
        <v>0</v>
      </c>
      <c r="Y1908" s="1143">
        <f t="shared" si="538"/>
        <v>0</v>
      </c>
      <c r="Z1908" s="1147">
        <f t="shared" si="529"/>
        <v>0</v>
      </c>
      <c r="AA1908" s="1144">
        <f t="shared" si="530"/>
        <v>0</v>
      </c>
      <c r="AB1908" s="1144">
        <f t="shared" si="531"/>
        <v>0</v>
      </c>
      <c r="AC1908" s="1144">
        <f t="shared" si="532"/>
        <v>0</v>
      </c>
      <c r="AD1908" s="1148">
        <f t="shared" si="524"/>
        <v>0</v>
      </c>
      <c r="AE1908" s="1487">
        <v>0</v>
      </c>
      <c r="AF1908" s="1145">
        <f t="shared" si="533"/>
        <v>0</v>
      </c>
      <c r="AG1908" s="1149">
        <f>IFERROR(VLOOKUP(CONCATENATE($L1908,$N1908),'Drop List'!$G$23:$K$87,2,FALSE),0)</f>
        <v>0</v>
      </c>
      <c r="AH1908" s="1150">
        <f>IFERROR(VLOOKUP(CONCATENATE($L1908,$N1908),'Drop List'!$G$23:$K$87,3,FALSE),0)</f>
        <v>0</v>
      </c>
      <c r="AI1908" s="1150">
        <f>IFERROR(VLOOKUP(CONCATENATE($L1908,$N1908),'Drop List'!$G$23:$K$87,4,FALSE),0)</f>
        <v>0</v>
      </c>
      <c r="AJ1908" s="1151">
        <f>IFERROR(VLOOKUP(CONCATENATE($L1908,$N1908),'Drop List'!$G$23:$K$87,5,FALSE),0)</f>
        <v>0</v>
      </c>
      <c r="AK1908" s="1152">
        <f t="shared" si="534"/>
        <v>0</v>
      </c>
      <c r="AL1908" s="1153">
        <f t="shared" si="535"/>
        <v>0</v>
      </c>
      <c r="AM1908" s="1153">
        <f t="shared" si="536"/>
        <v>0</v>
      </c>
      <c r="AN1908" s="1145">
        <f t="shared" si="537"/>
        <v>0</v>
      </c>
      <c r="AO1908" s="1154">
        <f t="shared" si="540"/>
        <v>0</v>
      </c>
      <c r="AP1908" s="1147">
        <f t="shared" si="525"/>
        <v>0</v>
      </c>
      <c r="AQ1908" s="1144">
        <f t="shared" si="526"/>
        <v>0</v>
      </c>
      <c r="AR1908" s="1146">
        <f t="shared" si="527"/>
        <v>0</v>
      </c>
    </row>
    <row r="1909" spans="1:44" x14ac:dyDescent="0.2">
      <c r="A1909" s="1141" t="str">
        <f t="shared" si="539"/>
        <v/>
      </c>
      <c r="B1909" s="1141" t="str">
        <f>IFERROR(VLOOKUP(A1909,'LAC 103'!A:C,3,FALSE),"")</f>
        <v/>
      </c>
      <c r="C1909" s="1478" t="str">
        <f>Info!$B$8</f>
        <v>00100</v>
      </c>
      <c r="D1909" s="1474"/>
      <c r="E1909" s="1474"/>
      <c r="F1909" s="1478"/>
      <c r="G1909" s="1478"/>
      <c r="H1909" s="1474"/>
      <c r="I1909" s="1478"/>
      <c r="J1909" s="1478"/>
      <c r="K1909" s="1475"/>
      <c r="L1909" s="1474"/>
      <c r="M1909" s="1476"/>
      <c r="N1909" s="1477"/>
      <c r="O1909" s="1479"/>
      <c r="P1909" s="1479"/>
      <c r="Q1909" s="1142">
        <f t="shared" si="523"/>
        <v>0</v>
      </c>
      <c r="R1909" s="1143">
        <f>IFERROR(VLOOKUP(CONCATENATE($E1909,$G1909),'LAC 103'!$A$12:$O$95,11,FALSE),0)</f>
        <v>0</v>
      </c>
      <c r="S1909" s="1144">
        <f>IFERROR(VLOOKUP(CONCATENATE($E1909,$G1909),'LAC 103'!$A$12:$O$95,12,FALSE),0)</f>
        <v>0</v>
      </c>
      <c r="T1909" s="1144">
        <f>IFERROR(VLOOKUP(CONCATENATE($E1909,$G1909),'LAC 103'!$A$12:$O$95,13,FALSE),0)</f>
        <v>0</v>
      </c>
      <c r="U1909" s="1144">
        <f>IFERROR(VLOOKUP(CONCATENATE($E1909,$G1909),'LAC 103'!$A$12:$O$95,14,FALSE),0)</f>
        <v>0</v>
      </c>
      <c r="V1909" s="1144">
        <f>IFERROR(VLOOKUP(CONCATENATE($E1909,$G1909),'LAC 103'!$A$12:$O$95,15,FALSE),0)</f>
        <v>0</v>
      </c>
      <c r="W1909" s="1145" t="str">
        <f>IFERROR(VLOOKUP(CONCATENATE($B1909,$N1909),'LAC 103'!$AI:$AQ,9,FALSE),"")</f>
        <v/>
      </c>
      <c r="X1909" s="1146">
        <f t="shared" si="528"/>
        <v>0</v>
      </c>
      <c r="Y1909" s="1143">
        <f t="shared" si="538"/>
        <v>0</v>
      </c>
      <c r="Z1909" s="1147">
        <f t="shared" si="529"/>
        <v>0</v>
      </c>
      <c r="AA1909" s="1144">
        <f t="shared" si="530"/>
        <v>0</v>
      </c>
      <c r="AB1909" s="1144">
        <f t="shared" si="531"/>
        <v>0</v>
      </c>
      <c r="AC1909" s="1144">
        <f t="shared" si="532"/>
        <v>0</v>
      </c>
      <c r="AD1909" s="1148">
        <f t="shared" si="524"/>
        <v>0</v>
      </c>
      <c r="AE1909" s="1487">
        <v>0</v>
      </c>
      <c r="AF1909" s="1145">
        <f t="shared" si="533"/>
        <v>0</v>
      </c>
      <c r="AG1909" s="1149">
        <f>IFERROR(VLOOKUP(CONCATENATE($L1909,$N1909),'Drop List'!$G$23:$K$87,2,FALSE),0)</f>
        <v>0</v>
      </c>
      <c r="AH1909" s="1150">
        <f>IFERROR(VLOOKUP(CONCATENATE($L1909,$N1909),'Drop List'!$G$23:$K$87,3,FALSE),0)</f>
        <v>0</v>
      </c>
      <c r="AI1909" s="1150">
        <f>IFERROR(VLOOKUP(CONCATENATE($L1909,$N1909),'Drop List'!$G$23:$K$87,4,FALSE),0)</f>
        <v>0</v>
      </c>
      <c r="AJ1909" s="1151">
        <f>IFERROR(VLOOKUP(CONCATENATE($L1909,$N1909),'Drop List'!$G$23:$K$87,5,FALSE),0)</f>
        <v>0</v>
      </c>
      <c r="AK1909" s="1152">
        <f t="shared" si="534"/>
        <v>0</v>
      </c>
      <c r="AL1909" s="1153">
        <f t="shared" si="535"/>
        <v>0</v>
      </c>
      <c r="AM1909" s="1153">
        <f t="shared" si="536"/>
        <v>0</v>
      </c>
      <c r="AN1909" s="1145">
        <f t="shared" si="537"/>
        <v>0</v>
      </c>
      <c r="AO1909" s="1154">
        <f t="shared" si="540"/>
        <v>0</v>
      </c>
      <c r="AP1909" s="1147">
        <f t="shared" si="525"/>
        <v>0</v>
      </c>
      <c r="AQ1909" s="1144">
        <f t="shared" si="526"/>
        <v>0</v>
      </c>
      <c r="AR1909" s="1146">
        <f t="shared" si="527"/>
        <v>0</v>
      </c>
    </row>
    <row r="1910" spans="1:44" x14ac:dyDescent="0.2">
      <c r="A1910" s="1141" t="str">
        <f t="shared" si="539"/>
        <v/>
      </c>
      <c r="B1910" s="1141" t="str">
        <f>IFERROR(VLOOKUP(A1910,'LAC 103'!A:C,3,FALSE),"")</f>
        <v/>
      </c>
      <c r="C1910" s="1478" t="str">
        <f>Info!$B$8</f>
        <v>00100</v>
      </c>
      <c r="D1910" s="1474"/>
      <c r="E1910" s="1474"/>
      <c r="F1910" s="1478"/>
      <c r="G1910" s="1478"/>
      <c r="H1910" s="1474"/>
      <c r="I1910" s="1478"/>
      <c r="J1910" s="1478"/>
      <c r="K1910" s="1475"/>
      <c r="L1910" s="1474"/>
      <c r="M1910" s="1476"/>
      <c r="N1910" s="1477"/>
      <c r="O1910" s="1479"/>
      <c r="P1910" s="1479"/>
      <c r="Q1910" s="1142">
        <f t="shared" si="523"/>
        <v>0</v>
      </c>
      <c r="R1910" s="1143">
        <f>IFERROR(VLOOKUP(CONCATENATE($E1910,$G1910),'LAC 103'!$A$12:$O$95,11,FALSE),0)</f>
        <v>0</v>
      </c>
      <c r="S1910" s="1144">
        <f>IFERROR(VLOOKUP(CONCATENATE($E1910,$G1910),'LAC 103'!$A$12:$O$95,12,FALSE),0)</f>
        <v>0</v>
      </c>
      <c r="T1910" s="1144">
        <f>IFERROR(VLOOKUP(CONCATENATE($E1910,$G1910),'LAC 103'!$A$12:$O$95,13,FALSE),0)</f>
        <v>0</v>
      </c>
      <c r="U1910" s="1144">
        <f>IFERROR(VLOOKUP(CONCATENATE($E1910,$G1910),'LAC 103'!$A$12:$O$95,14,FALSE),0)</f>
        <v>0</v>
      </c>
      <c r="V1910" s="1144">
        <f>IFERROR(VLOOKUP(CONCATENATE($E1910,$G1910),'LAC 103'!$A$12:$O$95,15,FALSE),0)</f>
        <v>0</v>
      </c>
      <c r="W1910" s="1145" t="str">
        <f>IFERROR(VLOOKUP(CONCATENATE($B1910,$N1910),'LAC 103'!$AI:$AQ,9,FALSE),"")</f>
        <v/>
      </c>
      <c r="X1910" s="1146">
        <f t="shared" si="528"/>
        <v>0</v>
      </c>
      <c r="Y1910" s="1143">
        <f t="shared" si="538"/>
        <v>0</v>
      </c>
      <c r="Z1910" s="1147">
        <f t="shared" si="529"/>
        <v>0</v>
      </c>
      <c r="AA1910" s="1144">
        <f t="shared" si="530"/>
        <v>0</v>
      </c>
      <c r="AB1910" s="1144">
        <f t="shared" si="531"/>
        <v>0</v>
      </c>
      <c r="AC1910" s="1144">
        <f t="shared" si="532"/>
        <v>0</v>
      </c>
      <c r="AD1910" s="1148">
        <f t="shared" si="524"/>
        <v>0</v>
      </c>
      <c r="AE1910" s="1487">
        <v>0</v>
      </c>
      <c r="AF1910" s="1145">
        <f t="shared" si="533"/>
        <v>0</v>
      </c>
      <c r="AG1910" s="1149">
        <f>IFERROR(VLOOKUP(CONCATENATE($L1910,$N1910),'Drop List'!$G$23:$K$87,2,FALSE),0)</f>
        <v>0</v>
      </c>
      <c r="AH1910" s="1150">
        <f>IFERROR(VLOOKUP(CONCATENATE($L1910,$N1910),'Drop List'!$G$23:$K$87,3,FALSE),0)</f>
        <v>0</v>
      </c>
      <c r="AI1910" s="1150">
        <f>IFERROR(VLOOKUP(CONCATENATE($L1910,$N1910),'Drop List'!$G$23:$K$87,4,FALSE),0)</f>
        <v>0</v>
      </c>
      <c r="AJ1910" s="1151">
        <f>IFERROR(VLOOKUP(CONCATENATE($L1910,$N1910),'Drop List'!$G$23:$K$87,5,FALSE),0)</f>
        <v>0</v>
      </c>
      <c r="AK1910" s="1152">
        <f t="shared" si="534"/>
        <v>0</v>
      </c>
      <c r="AL1910" s="1153">
        <f t="shared" si="535"/>
        <v>0</v>
      </c>
      <c r="AM1910" s="1153">
        <f t="shared" si="536"/>
        <v>0</v>
      </c>
      <c r="AN1910" s="1145">
        <f t="shared" si="537"/>
        <v>0</v>
      </c>
      <c r="AO1910" s="1154">
        <f t="shared" si="540"/>
        <v>0</v>
      </c>
      <c r="AP1910" s="1147">
        <f t="shared" si="525"/>
        <v>0</v>
      </c>
      <c r="AQ1910" s="1144">
        <f t="shared" si="526"/>
        <v>0</v>
      </c>
      <c r="AR1910" s="1146">
        <f t="shared" si="527"/>
        <v>0</v>
      </c>
    </row>
    <row r="1911" spans="1:44" x14ac:dyDescent="0.2">
      <c r="A1911" s="1141" t="str">
        <f t="shared" si="539"/>
        <v/>
      </c>
      <c r="B1911" s="1141" t="str">
        <f>IFERROR(VLOOKUP(A1911,'LAC 103'!A:C,3,FALSE),"")</f>
        <v/>
      </c>
      <c r="C1911" s="1478" t="str">
        <f>Info!$B$8</f>
        <v>00100</v>
      </c>
      <c r="D1911" s="1474"/>
      <c r="E1911" s="1474"/>
      <c r="F1911" s="1478"/>
      <c r="G1911" s="1478"/>
      <c r="H1911" s="1474"/>
      <c r="I1911" s="1478"/>
      <c r="J1911" s="1478"/>
      <c r="K1911" s="1475"/>
      <c r="L1911" s="1474"/>
      <c r="M1911" s="1476"/>
      <c r="N1911" s="1477"/>
      <c r="O1911" s="1479"/>
      <c r="P1911" s="1479"/>
      <c r="Q1911" s="1142">
        <f t="shared" si="523"/>
        <v>0</v>
      </c>
      <c r="R1911" s="1143">
        <f>IFERROR(VLOOKUP(CONCATENATE($E1911,$G1911),'LAC 103'!$A$12:$O$95,11,FALSE),0)</f>
        <v>0</v>
      </c>
      <c r="S1911" s="1144">
        <f>IFERROR(VLOOKUP(CONCATENATE($E1911,$G1911),'LAC 103'!$A$12:$O$95,12,FALSE),0)</f>
        <v>0</v>
      </c>
      <c r="T1911" s="1144">
        <f>IFERROR(VLOOKUP(CONCATENATE($E1911,$G1911),'LAC 103'!$A$12:$O$95,13,FALSE),0)</f>
        <v>0</v>
      </c>
      <c r="U1911" s="1144">
        <f>IFERROR(VLOOKUP(CONCATENATE($E1911,$G1911),'LAC 103'!$A$12:$O$95,14,FALSE),0)</f>
        <v>0</v>
      </c>
      <c r="V1911" s="1144">
        <f>IFERROR(VLOOKUP(CONCATENATE($E1911,$G1911),'LAC 103'!$A$12:$O$95,15,FALSE),0)</f>
        <v>0</v>
      </c>
      <c r="W1911" s="1145" t="str">
        <f>IFERROR(VLOOKUP(CONCATENATE($B1911,$N1911),'LAC 103'!$AI:$AQ,9,FALSE),"")</f>
        <v/>
      </c>
      <c r="X1911" s="1146">
        <f t="shared" si="528"/>
        <v>0</v>
      </c>
      <c r="Y1911" s="1143">
        <f t="shared" si="538"/>
        <v>0</v>
      </c>
      <c r="Z1911" s="1147">
        <f t="shared" si="529"/>
        <v>0</v>
      </c>
      <c r="AA1911" s="1144">
        <f t="shared" si="530"/>
        <v>0</v>
      </c>
      <c r="AB1911" s="1144">
        <f t="shared" si="531"/>
        <v>0</v>
      </c>
      <c r="AC1911" s="1144">
        <f t="shared" si="532"/>
        <v>0</v>
      </c>
      <c r="AD1911" s="1148">
        <f t="shared" si="524"/>
        <v>0</v>
      </c>
      <c r="AE1911" s="1487">
        <v>0</v>
      </c>
      <c r="AF1911" s="1145">
        <f t="shared" si="533"/>
        <v>0</v>
      </c>
      <c r="AG1911" s="1149">
        <f>IFERROR(VLOOKUP(CONCATENATE($L1911,$N1911),'Drop List'!$G$23:$K$87,2,FALSE),0)</f>
        <v>0</v>
      </c>
      <c r="AH1911" s="1150">
        <f>IFERROR(VLOOKUP(CONCATENATE($L1911,$N1911),'Drop List'!$G$23:$K$87,3,FALSE),0)</f>
        <v>0</v>
      </c>
      <c r="AI1911" s="1150">
        <f>IFERROR(VLOOKUP(CONCATENATE($L1911,$N1911),'Drop List'!$G$23:$K$87,4,FALSE),0)</f>
        <v>0</v>
      </c>
      <c r="AJ1911" s="1151">
        <f>IFERROR(VLOOKUP(CONCATENATE($L1911,$N1911),'Drop List'!$G$23:$K$87,5,FALSE),0)</f>
        <v>0</v>
      </c>
      <c r="AK1911" s="1152">
        <f t="shared" si="534"/>
        <v>0</v>
      </c>
      <c r="AL1911" s="1153">
        <f t="shared" si="535"/>
        <v>0</v>
      </c>
      <c r="AM1911" s="1153">
        <f t="shared" si="536"/>
        <v>0</v>
      </c>
      <c r="AN1911" s="1145">
        <f t="shared" si="537"/>
        <v>0</v>
      </c>
      <c r="AO1911" s="1154">
        <f t="shared" si="540"/>
        <v>0</v>
      </c>
      <c r="AP1911" s="1147">
        <f t="shared" si="525"/>
        <v>0</v>
      </c>
      <c r="AQ1911" s="1144">
        <f t="shared" si="526"/>
        <v>0</v>
      </c>
      <c r="AR1911" s="1146">
        <f t="shared" si="527"/>
        <v>0</v>
      </c>
    </row>
    <row r="1912" spans="1:44" x14ac:dyDescent="0.2">
      <c r="A1912" s="1141" t="str">
        <f t="shared" si="539"/>
        <v/>
      </c>
      <c r="B1912" s="1141" t="str">
        <f>IFERROR(VLOOKUP(A1912,'LAC 103'!A:C,3,FALSE),"")</f>
        <v/>
      </c>
      <c r="C1912" s="1478" t="str">
        <f>Info!$B$8</f>
        <v>00100</v>
      </c>
      <c r="D1912" s="1474"/>
      <c r="E1912" s="1474"/>
      <c r="F1912" s="1478"/>
      <c r="G1912" s="1478"/>
      <c r="H1912" s="1474"/>
      <c r="I1912" s="1478"/>
      <c r="J1912" s="1478"/>
      <c r="K1912" s="1475"/>
      <c r="L1912" s="1474"/>
      <c r="M1912" s="1476"/>
      <c r="N1912" s="1477"/>
      <c r="O1912" s="1479"/>
      <c r="P1912" s="1479"/>
      <c r="Q1912" s="1142">
        <f t="shared" si="523"/>
        <v>0</v>
      </c>
      <c r="R1912" s="1143">
        <f>IFERROR(VLOOKUP(CONCATENATE($E1912,$G1912),'LAC 103'!$A$12:$O$95,11,FALSE),0)</f>
        <v>0</v>
      </c>
      <c r="S1912" s="1144">
        <f>IFERROR(VLOOKUP(CONCATENATE($E1912,$G1912),'LAC 103'!$A$12:$O$95,12,FALSE),0)</f>
        <v>0</v>
      </c>
      <c r="T1912" s="1144">
        <f>IFERROR(VLOOKUP(CONCATENATE($E1912,$G1912),'LAC 103'!$A$12:$O$95,13,FALSE),0)</f>
        <v>0</v>
      </c>
      <c r="U1912" s="1144">
        <f>IFERROR(VLOOKUP(CONCATENATE($E1912,$G1912),'LAC 103'!$A$12:$O$95,14,FALSE),0)</f>
        <v>0</v>
      </c>
      <c r="V1912" s="1144">
        <f>IFERROR(VLOOKUP(CONCATENATE($E1912,$G1912),'LAC 103'!$A$12:$O$95,15,FALSE),0)</f>
        <v>0</v>
      </c>
      <c r="W1912" s="1145" t="str">
        <f>IFERROR(VLOOKUP(CONCATENATE($B1912,$N1912),'LAC 103'!$AI:$AQ,9,FALSE),"")</f>
        <v/>
      </c>
      <c r="X1912" s="1146">
        <f t="shared" si="528"/>
        <v>0</v>
      </c>
      <c r="Y1912" s="1143">
        <f t="shared" si="538"/>
        <v>0</v>
      </c>
      <c r="Z1912" s="1147">
        <f t="shared" si="529"/>
        <v>0</v>
      </c>
      <c r="AA1912" s="1144">
        <f t="shared" si="530"/>
        <v>0</v>
      </c>
      <c r="AB1912" s="1144">
        <f t="shared" si="531"/>
        <v>0</v>
      </c>
      <c r="AC1912" s="1144">
        <f t="shared" si="532"/>
        <v>0</v>
      </c>
      <c r="AD1912" s="1148">
        <f t="shared" si="524"/>
        <v>0</v>
      </c>
      <c r="AE1912" s="1487">
        <v>0</v>
      </c>
      <c r="AF1912" s="1145">
        <f t="shared" si="533"/>
        <v>0</v>
      </c>
      <c r="AG1912" s="1149">
        <f>IFERROR(VLOOKUP(CONCATENATE($L1912,$N1912),'Drop List'!$G$23:$K$87,2,FALSE),0)</f>
        <v>0</v>
      </c>
      <c r="AH1912" s="1150">
        <f>IFERROR(VLOOKUP(CONCATENATE($L1912,$N1912),'Drop List'!$G$23:$K$87,3,FALSE),0)</f>
        <v>0</v>
      </c>
      <c r="AI1912" s="1150">
        <f>IFERROR(VLOOKUP(CONCATENATE($L1912,$N1912),'Drop List'!$G$23:$K$87,4,FALSE),0)</f>
        <v>0</v>
      </c>
      <c r="AJ1912" s="1151">
        <f>IFERROR(VLOOKUP(CONCATENATE($L1912,$N1912),'Drop List'!$G$23:$K$87,5,FALSE),0)</f>
        <v>0</v>
      </c>
      <c r="AK1912" s="1152">
        <f t="shared" si="534"/>
        <v>0</v>
      </c>
      <c r="AL1912" s="1153">
        <f t="shared" si="535"/>
        <v>0</v>
      </c>
      <c r="AM1912" s="1153">
        <f t="shared" si="536"/>
        <v>0</v>
      </c>
      <c r="AN1912" s="1145">
        <f t="shared" si="537"/>
        <v>0</v>
      </c>
      <c r="AO1912" s="1154">
        <f t="shared" si="540"/>
        <v>0</v>
      </c>
      <c r="AP1912" s="1147">
        <f t="shared" si="525"/>
        <v>0</v>
      </c>
      <c r="AQ1912" s="1144">
        <f t="shared" si="526"/>
        <v>0</v>
      </c>
      <c r="AR1912" s="1146">
        <f t="shared" si="527"/>
        <v>0</v>
      </c>
    </row>
    <row r="1913" spans="1:44" x14ac:dyDescent="0.2">
      <c r="A1913" s="1141" t="str">
        <f t="shared" si="539"/>
        <v/>
      </c>
      <c r="B1913" s="1141" t="str">
        <f>IFERROR(VLOOKUP(A1913,'LAC 103'!A:C,3,FALSE),"")</f>
        <v/>
      </c>
      <c r="C1913" s="1478" t="str">
        <f>Info!$B$8</f>
        <v>00100</v>
      </c>
      <c r="D1913" s="1474"/>
      <c r="E1913" s="1474"/>
      <c r="F1913" s="1478"/>
      <c r="G1913" s="1478"/>
      <c r="H1913" s="1474"/>
      <c r="I1913" s="1478"/>
      <c r="J1913" s="1478"/>
      <c r="K1913" s="1475"/>
      <c r="L1913" s="1474"/>
      <c r="M1913" s="1476"/>
      <c r="N1913" s="1477"/>
      <c r="O1913" s="1479"/>
      <c r="P1913" s="1479"/>
      <c r="Q1913" s="1142">
        <f t="shared" si="523"/>
        <v>0</v>
      </c>
      <c r="R1913" s="1143">
        <f>IFERROR(VLOOKUP(CONCATENATE($E1913,$G1913),'LAC 103'!$A$12:$O$95,11,FALSE),0)</f>
        <v>0</v>
      </c>
      <c r="S1913" s="1144">
        <f>IFERROR(VLOOKUP(CONCATENATE($E1913,$G1913),'LAC 103'!$A$12:$O$95,12,FALSE),0)</f>
        <v>0</v>
      </c>
      <c r="T1913" s="1144">
        <f>IFERROR(VLOOKUP(CONCATENATE($E1913,$G1913),'LAC 103'!$A$12:$O$95,13,FALSE),0)</f>
        <v>0</v>
      </c>
      <c r="U1913" s="1144">
        <f>IFERROR(VLOOKUP(CONCATENATE($E1913,$G1913),'LAC 103'!$A$12:$O$95,14,FALSE),0)</f>
        <v>0</v>
      </c>
      <c r="V1913" s="1144">
        <f>IFERROR(VLOOKUP(CONCATENATE($E1913,$G1913),'LAC 103'!$A$12:$O$95,15,FALSE),0)</f>
        <v>0</v>
      </c>
      <c r="W1913" s="1145" t="str">
        <f>IFERROR(VLOOKUP(CONCATENATE($B1913,$N1913),'LAC 103'!$AI:$AQ,9,FALSE),"")</f>
        <v/>
      </c>
      <c r="X1913" s="1146">
        <f t="shared" si="528"/>
        <v>0</v>
      </c>
      <c r="Y1913" s="1143">
        <f t="shared" si="538"/>
        <v>0</v>
      </c>
      <c r="Z1913" s="1147">
        <f t="shared" si="529"/>
        <v>0</v>
      </c>
      <c r="AA1913" s="1144">
        <f t="shared" si="530"/>
        <v>0</v>
      </c>
      <c r="AB1913" s="1144">
        <f t="shared" si="531"/>
        <v>0</v>
      </c>
      <c r="AC1913" s="1144">
        <f t="shared" si="532"/>
        <v>0</v>
      </c>
      <c r="AD1913" s="1148">
        <f t="shared" si="524"/>
        <v>0</v>
      </c>
      <c r="AE1913" s="1487">
        <v>0</v>
      </c>
      <c r="AF1913" s="1145">
        <f t="shared" si="533"/>
        <v>0</v>
      </c>
      <c r="AG1913" s="1149">
        <f>IFERROR(VLOOKUP(CONCATENATE($L1913,$N1913),'Drop List'!$G$23:$K$87,2,FALSE),0)</f>
        <v>0</v>
      </c>
      <c r="AH1913" s="1150">
        <f>IFERROR(VLOOKUP(CONCATENATE($L1913,$N1913),'Drop List'!$G$23:$K$87,3,FALSE),0)</f>
        <v>0</v>
      </c>
      <c r="AI1913" s="1150">
        <f>IFERROR(VLOOKUP(CONCATENATE($L1913,$N1913),'Drop List'!$G$23:$K$87,4,FALSE),0)</f>
        <v>0</v>
      </c>
      <c r="AJ1913" s="1151">
        <f>IFERROR(VLOOKUP(CONCATENATE($L1913,$N1913),'Drop List'!$G$23:$K$87,5,FALSE),0)</f>
        <v>0</v>
      </c>
      <c r="AK1913" s="1152">
        <f t="shared" si="534"/>
        <v>0</v>
      </c>
      <c r="AL1913" s="1153">
        <f t="shared" si="535"/>
        <v>0</v>
      </c>
      <c r="AM1913" s="1153">
        <f t="shared" si="536"/>
        <v>0</v>
      </c>
      <c r="AN1913" s="1145">
        <f t="shared" si="537"/>
        <v>0</v>
      </c>
      <c r="AO1913" s="1154">
        <f t="shared" si="540"/>
        <v>0</v>
      </c>
      <c r="AP1913" s="1147">
        <f t="shared" si="525"/>
        <v>0</v>
      </c>
      <c r="AQ1913" s="1144">
        <f t="shared" si="526"/>
        <v>0</v>
      </c>
      <c r="AR1913" s="1146">
        <f t="shared" si="527"/>
        <v>0</v>
      </c>
    </row>
    <row r="1914" spans="1:44" x14ac:dyDescent="0.2">
      <c r="A1914" s="1141" t="str">
        <f t="shared" si="539"/>
        <v/>
      </c>
      <c r="B1914" s="1141" t="str">
        <f>IFERROR(VLOOKUP(A1914,'LAC 103'!A:C,3,FALSE),"")</f>
        <v/>
      </c>
      <c r="C1914" s="1478" t="str">
        <f>Info!$B$8</f>
        <v>00100</v>
      </c>
      <c r="D1914" s="1474"/>
      <c r="E1914" s="1474"/>
      <c r="F1914" s="1478"/>
      <c r="G1914" s="1478"/>
      <c r="H1914" s="1474"/>
      <c r="I1914" s="1478"/>
      <c r="J1914" s="1478"/>
      <c r="K1914" s="1475"/>
      <c r="L1914" s="1474"/>
      <c r="M1914" s="1476"/>
      <c r="N1914" s="1477"/>
      <c r="O1914" s="1479"/>
      <c r="P1914" s="1479"/>
      <c r="Q1914" s="1142">
        <f t="shared" si="523"/>
        <v>0</v>
      </c>
      <c r="R1914" s="1143">
        <f>IFERROR(VLOOKUP(CONCATENATE($E1914,$G1914),'LAC 103'!$A$12:$O$95,11,FALSE),0)</f>
        <v>0</v>
      </c>
      <c r="S1914" s="1144">
        <f>IFERROR(VLOOKUP(CONCATENATE($E1914,$G1914),'LAC 103'!$A$12:$O$95,12,FALSE),0)</f>
        <v>0</v>
      </c>
      <c r="T1914" s="1144">
        <f>IFERROR(VLOOKUP(CONCATENATE($E1914,$G1914),'LAC 103'!$A$12:$O$95,13,FALSE),0)</f>
        <v>0</v>
      </c>
      <c r="U1914" s="1144">
        <f>IFERROR(VLOOKUP(CONCATENATE($E1914,$G1914),'LAC 103'!$A$12:$O$95,14,FALSE),0)</f>
        <v>0</v>
      </c>
      <c r="V1914" s="1144">
        <f>IFERROR(VLOOKUP(CONCATENATE($E1914,$G1914),'LAC 103'!$A$12:$O$95,15,FALSE),0)</f>
        <v>0</v>
      </c>
      <c r="W1914" s="1145" t="str">
        <f>IFERROR(VLOOKUP(CONCATENATE($B1914,$N1914),'LAC 103'!$AI:$AQ,9,FALSE),"")</f>
        <v/>
      </c>
      <c r="X1914" s="1146">
        <f t="shared" si="528"/>
        <v>0</v>
      </c>
      <c r="Y1914" s="1143">
        <f t="shared" si="538"/>
        <v>0</v>
      </c>
      <c r="Z1914" s="1147">
        <f t="shared" si="529"/>
        <v>0</v>
      </c>
      <c r="AA1914" s="1144">
        <f t="shared" si="530"/>
        <v>0</v>
      </c>
      <c r="AB1914" s="1144">
        <f t="shared" si="531"/>
        <v>0</v>
      </c>
      <c r="AC1914" s="1144">
        <f t="shared" si="532"/>
        <v>0</v>
      </c>
      <c r="AD1914" s="1148">
        <f t="shared" si="524"/>
        <v>0</v>
      </c>
      <c r="AE1914" s="1487">
        <v>0</v>
      </c>
      <c r="AF1914" s="1145">
        <f t="shared" si="533"/>
        <v>0</v>
      </c>
      <c r="AG1914" s="1149">
        <f>IFERROR(VLOOKUP(CONCATENATE($L1914,$N1914),'Drop List'!$G$23:$K$87,2,FALSE),0)</f>
        <v>0</v>
      </c>
      <c r="AH1914" s="1150">
        <f>IFERROR(VLOOKUP(CONCATENATE($L1914,$N1914),'Drop List'!$G$23:$K$87,3,FALSE),0)</f>
        <v>0</v>
      </c>
      <c r="AI1914" s="1150">
        <f>IFERROR(VLOOKUP(CONCATENATE($L1914,$N1914),'Drop List'!$G$23:$K$87,4,FALSE),0)</f>
        <v>0</v>
      </c>
      <c r="AJ1914" s="1151">
        <f>IFERROR(VLOOKUP(CONCATENATE($L1914,$N1914),'Drop List'!$G$23:$K$87,5,FALSE),0)</f>
        <v>0</v>
      </c>
      <c r="AK1914" s="1152">
        <f t="shared" si="534"/>
        <v>0</v>
      </c>
      <c r="AL1914" s="1153">
        <f t="shared" si="535"/>
        <v>0</v>
      </c>
      <c r="AM1914" s="1153">
        <f t="shared" si="536"/>
        <v>0</v>
      </c>
      <c r="AN1914" s="1145">
        <f t="shared" si="537"/>
        <v>0</v>
      </c>
      <c r="AO1914" s="1154">
        <f t="shared" si="540"/>
        <v>0</v>
      </c>
      <c r="AP1914" s="1147">
        <f t="shared" si="525"/>
        <v>0</v>
      </c>
      <c r="AQ1914" s="1144">
        <f t="shared" si="526"/>
        <v>0</v>
      </c>
      <c r="AR1914" s="1146">
        <f t="shared" si="527"/>
        <v>0</v>
      </c>
    </row>
    <row r="1915" spans="1:44" x14ac:dyDescent="0.2">
      <c r="A1915" s="1141" t="str">
        <f t="shared" si="539"/>
        <v/>
      </c>
      <c r="B1915" s="1141" t="str">
        <f>IFERROR(VLOOKUP(A1915,'LAC 103'!A:C,3,FALSE),"")</f>
        <v/>
      </c>
      <c r="C1915" s="1478" t="str">
        <f>Info!$B$8</f>
        <v>00100</v>
      </c>
      <c r="D1915" s="1474"/>
      <c r="E1915" s="1474"/>
      <c r="F1915" s="1478"/>
      <c r="G1915" s="1478"/>
      <c r="H1915" s="1474"/>
      <c r="I1915" s="1478"/>
      <c r="J1915" s="1478"/>
      <c r="K1915" s="1475"/>
      <c r="L1915" s="1474"/>
      <c r="M1915" s="1476"/>
      <c r="N1915" s="1477"/>
      <c r="O1915" s="1479"/>
      <c r="P1915" s="1479"/>
      <c r="Q1915" s="1142">
        <f t="shared" si="523"/>
        <v>0</v>
      </c>
      <c r="R1915" s="1143">
        <f>IFERROR(VLOOKUP(CONCATENATE($E1915,$G1915),'LAC 103'!$A$12:$O$95,11,FALSE),0)</f>
        <v>0</v>
      </c>
      <c r="S1915" s="1144">
        <f>IFERROR(VLOOKUP(CONCATENATE($E1915,$G1915),'LAC 103'!$A$12:$O$95,12,FALSE),0)</f>
        <v>0</v>
      </c>
      <c r="T1915" s="1144">
        <f>IFERROR(VLOOKUP(CONCATENATE($E1915,$G1915),'LAC 103'!$A$12:$O$95,13,FALSE),0)</f>
        <v>0</v>
      </c>
      <c r="U1915" s="1144">
        <f>IFERROR(VLOOKUP(CONCATENATE($E1915,$G1915),'LAC 103'!$A$12:$O$95,14,FALSE),0)</f>
        <v>0</v>
      </c>
      <c r="V1915" s="1144">
        <f>IFERROR(VLOOKUP(CONCATENATE($E1915,$G1915),'LAC 103'!$A$12:$O$95,15,FALSE),0)</f>
        <v>0</v>
      </c>
      <c r="W1915" s="1145" t="str">
        <f>IFERROR(VLOOKUP(CONCATENATE($B1915,$N1915),'LAC 103'!$AI:$AQ,9,FALSE),"")</f>
        <v/>
      </c>
      <c r="X1915" s="1146">
        <f t="shared" si="528"/>
        <v>0</v>
      </c>
      <c r="Y1915" s="1143">
        <f t="shared" si="538"/>
        <v>0</v>
      </c>
      <c r="Z1915" s="1147">
        <f t="shared" si="529"/>
        <v>0</v>
      </c>
      <c r="AA1915" s="1144">
        <f t="shared" si="530"/>
        <v>0</v>
      </c>
      <c r="AB1915" s="1144">
        <f t="shared" si="531"/>
        <v>0</v>
      </c>
      <c r="AC1915" s="1144">
        <f t="shared" si="532"/>
        <v>0</v>
      </c>
      <c r="AD1915" s="1148">
        <f t="shared" si="524"/>
        <v>0</v>
      </c>
      <c r="AE1915" s="1487">
        <v>0</v>
      </c>
      <c r="AF1915" s="1145">
        <f t="shared" si="533"/>
        <v>0</v>
      </c>
      <c r="AG1915" s="1149">
        <f>IFERROR(VLOOKUP(CONCATENATE($L1915,$N1915),'Drop List'!$G$23:$K$87,2,FALSE),0)</f>
        <v>0</v>
      </c>
      <c r="AH1915" s="1150">
        <f>IFERROR(VLOOKUP(CONCATENATE($L1915,$N1915),'Drop List'!$G$23:$K$87,3,FALSE),0)</f>
        <v>0</v>
      </c>
      <c r="AI1915" s="1150">
        <f>IFERROR(VLOOKUP(CONCATENATE($L1915,$N1915),'Drop List'!$G$23:$K$87,4,FALSE),0)</f>
        <v>0</v>
      </c>
      <c r="AJ1915" s="1151">
        <f>IFERROR(VLOOKUP(CONCATENATE($L1915,$N1915),'Drop List'!$G$23:$K$87,5,FALSE),0)</f>
        <v>0</v>
      </c>
      <c r="AK1915" s="1152">
        <f t="shared" si="534"/>
        <v>0</v>
      </c>
      <c r="AL1915" s="1153">
        <f t="shared" si="535"/>
        <v>0</v>
      </c>
      <c r="AM1915" s="1153">
        <f t="shared" si="536"/>
        <v>0</v>
      </c>
      <c r="AN1915" s="1145">
        <f t="shared" si="537"/>
        <v>0</v>
      </c>
      <c r="AO1915" s="1154">
        <f t="shared" si="540"/>
        <v>0</v>
      </c>
      <c r="AP1915" s="1147">
        <f t="shared" si="525"/>
        <v>0</v>
      </c>
      <c r="AQ1915" s="1144">
        <f t="shared" si="526"/>
        <v>0</v>
      </c>
      <c r="AR1915" s="1146">
        <f t="shared" si="527"/>
        <v>0</v>
      </c>
    </row>
    <row r="1916" spans="1:44" x14ac:dyDescent="0.2">
      <c r="A1916" s="1141" t="str">
        <f t="shared" si="539"/>
        <v/>
      </c>
      <c r="B1916" s="1141" t="str">
        <f>IFERROR(VLOOKUP(A1916,'LAC 103'!A:C,3,FALSE),"")</f>
        <v/>
      </c>
      <c r="C1916" s="1478" t="str">
        <f>Info!$B$8</f>
        <v>00100</v>
      </c>
      <c r="D1916" s="1474"/>
      <c r="E1916" s="1474"/>
      <c r="F1916" s="1478"/>
      <c r="G1916" s="1478"/>
      <c r="H1916" s="1474"/>
      <c r="I1916" s="1478"/>
      <c r="J1916" s="1478"/>
      <c r="K1916" s="1475"/>
      <c r="L1916" s="1474"/>
      <c r="M1916" s="1476"/>
      <c r="N1916" s="1477"/>
      <c r="O1916" s="1479"/>
      <c r="P1916" s="1479"/>
      <c r="Q1916" s="1142">
        <f t="shared" ref="Q1916:Q1979" si="541">O1916+P1916</f>
        <v>0</v>
      </c>
      <c r="R1916" s="1143">
        <f>IFERROR(VLOOKUP(CONCATENATE($E1916,$G1916),'LAC 103'!$A$12:$O$95,11,FALSE),0)</f>
        <v>0</v>
      </c>
      <c r="S1916" s="1144">
        <f>IFERROR(VLOOKUP(CONCATENATE($E1916,$G1916),'LAC 103'!$A$12:$O$95,12,FALSE),0)</f>
        <v>0</v>
      </c>
      <c r="T1916" s="1144">
        <f>IFERROR(VLOOKUP(CONCATENATE($E1916,$G1916),'LAC 103'!$A$12:$O$95,13,FALSE),0)</f>
        <v>0</v>
      </c>
      <c r="U1916" s="1144">
        <f>IFERROR(VLOOKUP(CONCATENATE($E1916,$G1916),'LAC 103'!$A$12:$O$95,14,FALSE),0)</f>
        <v>0</v>
      </c>
      <c r="V1916" s="1144">
        <f>IFERROR(VLOOKUP(CONCATENATE($E1916,$G1916),'LAC 103'!$A$12:$O$95,15,FALSE),0)</f>
        <v>0</v>
      </c>
      <c r="W1916" s="1145" t="str">
        <f>IFERROR(VLOOKUP(CONCATENATE($B1916,$N1916),'LAC 103'!$AI:$AQ,9,FALSE),"")</f>
        <v/>
      </c>
      <c r="X1916" s="1146">
        <f t="shared" si="528"/>
        <v>0</v>
      </c>
      <c r="Y1916" s="1143">
        <f t="shared" si="538"/>
        <v>0</v>
      </c>
      <c r="Z1916" s="1147">
        <f t="shared" si="529"/>
        <v>0</v>
      </c>
      <c r="AA1916" s="1144">
        <f t="shared" si="530"/>
        <v>0</v>
      </c>
      <c r="AB1916" s="1144">
        <f t="shared" si="531"/>
        <v>0</v>
      </c>
      <c r="AC1916" s="1144">
        <f t="shared" si="532"/>
        <v>0</v>
      </c>
      <c r="AD1916" s="1148">
        <f t="shared" si="524"/>
        <v>0</v>
      </c>
      <c r="AE1916" s="1487">
        <v>0</v>
      </c>
      <c r="AF1916" s="1145">
        <f t="shared" si="533"/>
        <v>0</v>
      </c>
      <c r="AG1916" s="1149">
        <f>IFERROR(VLOOKUP(CONCATENATE($L1916,$N1916),'Drop List'!$G$23:$K$87,2,FALSE),0)</f>
        <v>0</v>
      </c>
      <c r="AH1916" s="1150">
        <f>IFERROR(VLOOKUP(CONCATENATE($L1916,$N1916),'Drop List'!$G$23:$K$87,3,FALSE),0)</f>
        <v>0</v>
      </c>
      <c r="AI1916" s="1150">
        <f>IFERROR(VLOOKUP(CONCATENATE($L1916,$N1916),'Drop List'!$G$23:$K$87,4,FALSE),0)</f>
        <v>0</v>
      </c>
      <c r="AJ1916" s="1151">
        <f>IFERROR(VLOOKUP(CONCATENATE($L1916,$N1916),'Drop List'!$G$23:$K$87,5,FALSE),0)</f>
        <v>0</v>
      </c>
      <c r="AK1916" s="1152">
        <f t="shared" si="534"/>
        <v>0</v>
      </c>
      <c r="AL1916" s="1153">
        <f t="shared" si="535"/>
        <v>0</v>
      </c>
      <c r="AM1916" s="1153">
        <f t="shared" si="536"/>
        <v>0</v>
      </c>
      <c r="AN1916" s="1145">
        <f t="shared" si="537"/>
        <v>0</v>
      </c>
      <c r="AO1916" s="1154">
        <f t="shared" si="540"/>
        <v>0</v>
      </c>
      <c r="AP1916" s="1147">
        <f t="shared" si="525"/>
        <v>0</v>
      </c>
      <c r="AQ1916" s="1144">
        <f t="shared" si="526"/>
        <v>0</v>
      </c>
      <c r="AR1916" s="1146">
        <f t="shared" si="527"/>
        <v>0</v>
      </c>
    </row>
    <row r="1917" spans="1:44" x14ac:dyDescent="0.2">
      <c r="A1917" s="1141" t="str">
        <f t="shared" si="539"/>
        <v/>
      </c>
      <c r="B1917" s="1141" t="str">
        <f>IFERROR(VLOOKUP(A1917,'LAC 103'!A:C,3,FALSE),"")</f>
        <v/>
      </c>
      <c r="C1917" s="1478" t="str">
        <f>Info!$B$8</f>
        <v>00100</v>
      </c>
      <c r="D1917" s="1474"/>
      <c r="E1917" s="1474"/>
      <c r="F1917" s="1478"/>
      <c r="G1917" s="1478"/>
      <c r="H1917" s="1474"/>
      <c r="I1917" s="1478"/>
      <c r="J1917" s="1478"/>
      <c r="K1917" s="1475"/>
      <c r="L1917" s="1474"/>
      <c r="M1917" s="1476"/>
      <c r="N1917" s="1477"/>
      <c r="O1917" s="1479"/>
      <c r="P1917" s="1479"/>
      <c r="Q1917" s="1142">
        <f t="shared" si="541"/>
        <v>0</v>
      </c>
      <c r="R1917" s="1143">
        <f>IFERROR(VLOOKUP(CONCATENATE($E1917,$G1917),'LAC 103'!$A$12:$O$95,11,FALSE),0)</f>
        <v>0</v>
      </c>
      <c r="S1917" s="1144">
        <f>IFERROR(VLOOKUP(CONCATENATE($E1917,$G1917),'LAC 103'!$A$12:$O$95,12,FALSE),0)</f>
        <v>0</v>
      </c>
      <c r="T1917" s="1144">
        <f>IFERROR(VLOOKUP(CONCATENATE($E1917,$G1917),'LAC 103'!$A$12:$O$95,13,FALSE),0)</f>
        <v>0</v>
      </c>
      <c r="U1917" s="1144">
        <f>IFERROR(VLOOKUP(CONCATENATE($E1917,$G1917),'LAC 103'!$A$12:$O$95,14,FALSE),0)</f>
        <v>0</v>
      </c>
      <c r="V1917" s="1144">
        <f>IFERROR(VLOOKUP(CONCATENATE($E1917,$G1917),'LAC 103'!$A$12:$O$95,15,FALSE),0)</f>
        <v>0</v>
      </c>
      <c r="W1917" s="1145" t="str">
        <f>IFERROR(VLOOKUP(CONCATENATE($B1917,$N1917),'LAC 103'!$AI:$AQ,9,FALSE),"")</f>
        <v/>
      </c>
      <c r="X1917" s="1146">
        <f t="shared" si="528"/>
        <v>0</v>
      </c>
      <c r="Y1917" s="1143">
        <f t="shared" si="538"/>
        <v>0</v>
      </c>
      <c r="Z1917" s="1147">
        <f t="shared" si="529"/>
        <v>0</v>
      </c>
      <c r="AA1917" s="1144">
        <f t="shared" si="530"/>
        <v>0</v>
      </c>
      <c r="AB1917" s="1144">
        <f t="shared" si="531"/>
        <v>0</v>
      </c>
      <c r="AC1917" s="1144">
        <f t="shared" si="532"/>
        <v>0</v>
      </c>
      <c r="AD1917" s="1148">
        <f t="shared" si="524"/>
        <v>0</v>
      </c>
      <c r="AE1917" s="1487">
        <v>0</v>
      </c>
      <c r="AF1917" s="1145">
        <f t="shared" si="533"/>
        <v>0</v>
      </c>
      <c r="AG1917" s="1149">
        <f>IFERROR(VLOOKUP(CONCATENATE($L1917,$N1917),'Drop List'!$G$23:$K$87,2,FALSE),0)</f>
        <v>0</v>
      </c>
      <c r="AH1917" s="1150">
        <f>IFERROR(VLOOKUP(CONCATENATE($L1917,$N1917),'Drop List'!$G$23:$K$87,3,FALSE),0)</f>
        <v>0</v>
      </c>
      <c r="AI1917" s="1150">
        <f>IFERROR(VLOOKUP(CONCATENATE($L1917,$N1917),'Drop List'!$G$23:$K$87,4,FALSE),0)</f>
        <v>0</v>
      </c>
      <c r="AJ1917" s="1151">
        <f>IFERROR(VLOOKUP(CONCATENATE($L1917,$N1917),'Drop List'!$G$23:$K$87,5,FALSE),0)</f>
        <v>0</v>
      </c>
      <c r="AK1917" s="1152">
        <f t="shared" si="534"/>
        <v>0</v>
      </c>
      <c r="AL1917" s="1153">
        <f t="shared" si="535"/>
        <v>0</v>
      </c>
      <c r="AM1917" s="1153">
        <f t="shared" si="536"/>
        <v>0</v>
      </c>
      <c r="AN1917" s="1145">
        <f t="shared" si="537"/>
        <v>0</v>
      </c>
      <c r="AO1917" s="1154">
        <f t="shared" si="540"/>
        <v>0</v>
      </c>
      <c r="AP1917" s="1147">
        <f t="shared" si="525"/>
        <v>0</v>
      </c>
      <c r="AQ1917" s="1144">
        <f t="shared" si="526"/>
        <v>0</v>
      </c>
      <c r="AR1917" s="1146">
        <f t="shared" si="527"/>
        <v>0</v>
      </c>
    </row>
    <row r="1918" spans="1:44" x14ac:dyDescent="0.2">
      <c r="A1918" s="1141" t="str">
        <f t="shared" si="539"/>
        <v/>
      </c>
      <c r="B1918" s="1141" t="str">
        <f>IFERROR(VLOOKUP(A1918,'LAC 103'!A:C,3,FALSE),"")</f>
        <v/>
      </c>
      <c r="C1918" s="1478" t="str">
        <f>Info!$B$8</f>
        <v>00100</v>
      </c>
      <c r="D1918" s="1474"/>
      <c r="E1918" s="1474"/>
      <c r="F1918" s="1478"/>
      <c r="G1918" s="1478"/>
      <c r="H1918" s="1474"/>
      <c r="I1918" s="1478"/>
      <c r="J1918" s="1478"/>
      <c r="K1918" s="1475"/>
      <c r="L1918" s="1474"/>
      <c r="M1918" s="1476"/>
      <c r="N1918" s="1477"/>
      <c r="O1918" s="1479"/>
      <c r="P1918" s="1479"/>
      <c r="Q1918" s="1142">
        <f t="shared" si="541"/>
        <v>0</v>
      </c>
      <c r="R1918" s="1143">
        <f>IFERROR(VLOOKUP(CONCATENATE($E1918,$G1918),'LAC 103'!$A$12:$O$95,11,FALSE),0)</f>
        <v>0</v>
      </c>
      <c r="S1918" s="1144">
        <f>IFERROR(VLOOKUP(CONCATENATE($E1918,$G1918),'LAC 103'!$A$12:$O$95,12,FALSE),0)</f>
        <v>0</v>
      </c>
      <c r="T1918" s="1144">
        <f>IFERROR(VLOOKUP(CONCATENATE($E1918,$G1918),'LAC 103'!$A$12:$O$95,13,FALSE),0)</f>
        <v>0</v>
      </c>
      <c r="U1918" s="1144">
        <f>IFERROR(VLOOKUP(CONCATENATE($E1918,$G1918),'LAC 103'!$A$12:$O$95,14,FALSE),0)</f>
        <v>0</v>
      </c>
      <c r="V1918" s="1144">
        <f>IFERROR(VLOOKUP(CONCATENATE($E1918,$G1918),'LAC 103'!$A$12:$O$95,15,FALSE),0)</f>
        <v>0</v>
      </c>
      <c r="W1918" s="1145" t="str">
        <f>IFERROR(VLOOKUP(CONCATENATE($B1918,$N1918),'LAC 103'!$AI:$AQ,9,FALSE),"")</f>
        <v/>
      </c>
      <c r="X1918" s="1146">
        <f t="shared" si="528"/>
        <v>0</v>
      </c>
      <c r="Y1918" s="1143">
        <f t="shared" si="538"/>
        <v>0</v>
      </c>
      <c r="Z1918" s="1147">
        <f t="shared" si="529"/>
        <v>0</v>
      </c>
      <c r="AA1918" s="1144">
        <f t="shared" si="530"/>
        <v>0</v>
      </c>
      <c r="AB1918" s="1144">
        <f t="shared" si="531"/>
        <v>0</v>
      </c>
      <c r="AC1918" s="1144">
        <f t="shared" si="532"/>
        <v>0</v>
      </c>
      <c r="AD1918" s="1148">
        <f t="shared" si="524"/>
        <v>0</v>
      </c>
      <c r="AE1918" s="1487">
        <v>0</v>
      </c>
      <c r="AF1918" s="1145">
        <f t="shared" si="533"/>
        <v>0</v>
      </c>
      <c r="AG1918" s="1149">
        <f>IFERROR(VLOOKUP(CONCATENATE($L1918,$N1918),'Drop List'!$G$23:$K$87,2,FALSE),0)</f>
        <v>0</v>
      </c>
      <c r="AH1918" s="1150">
        <f>IFERROR(VLOOKUP(CONCATENATE($L1918,$N1918),'Drop List'!$G$23:$K$87,3,FALSE),0)</f>
        <v>0</v>
      </c>
      <c r="AI1918" s="1150">
        <f>IFERROR(VLOOKUP(CONCATENATE($L1918,$N1918),'Drop List'!$G$23:$K$87,4,FALSE),0)</f>
        <v>0</v>
      </c>
      <c r="AJ1918" s="1151">
        <f>IFERROR(VLOOKUP(CONCATENATE($L1918,$N1918),'Drop List'!$G$23:$K$87,5,FALSE),0)</f>
        <v>0</v>
      </c>
      <c r="AK1918" s="1152">
        <f t="shared" si="534"/>
        <v>0</v>
      </c>
      <c r="AL1918" s="1153">
        <f t="shared" si="535"/>
        <v>0</v>
      </c>
      <c r="AM1918" s="1153">
        <f t="shared" si="536"/>
        <v>0</v>
      </c>
      <c r="AN1918" s="1145">
        <f t="shared" si="537"/>
        <v>0</v>
      </c>
      <c r="AO1918" s="1154">
        <f t="shared" si="540"/>
        <v>0</v>
      </c>
      <c r="AP1918" s="1147">
        <f t="shared" si="525"/>
        <v>0</v>
      </c>
      <c r="AQ1918" s="1144">
        <f t="shared" si="526"/>
        <v>0</v>
      </c>
      <c r="AR1918" s="1146">
        <f t="shared" si="527"/>
        <v>0</v>
      </c>
    </row>
    <row r="1919" spans="1:44" x14ac:dyDescent="0.2">
      <c r="A1919" s="1141" t="str">
        <f t="shared" si="539"/>
        <v/>
      </c>
      <c r="B1919" s="1141" t="str">
        <f>IFERROR(VLOOKUP(A1919,'LAC 103'!A:C,3,FALSE),"")</f>
        <v/>
      </c>
      <c r="C1919" s="1478" t="str">
        <f>Info!$B$8</f>
        <v>00100</v>
      </c>
      <c r="D1919" s="1474"/>
      <c r="E1919" s="1474"/>
      <c r="F1919" s="1478"/>
      <c r="G1919" s="1478"/>
      <c r="H1919" s="1474"/>
      <c r="I1919" s="1478"/>
      <c r="J1919" s="1478"/>
      <c r="K1919" s="1475"/>
      <c r="L1919" s="1474"/>
      <c r="M1919" s="1476"/>
      <c r="N1919" s="1477"/>
      <c r="O1919" s="1479"/>
      <c r="P1919" s="1479"/>
      <c r="Q1919" s="1142">
        <f t="shared" si="541"/>
        <v>0</v>
      </c>
      <c r="R1919" s="1143">
        <f>IFERROR(VLOOKUP(CONCATENATE($E1919,$G1919),'LAC 103'!$A$12:$O$95,11,FALSE),0)</f>
        <v>0</v>
      </c>
      <c r="S1919" s="1144">
        <f>IFERROR(VLOOKUP(CONCATENATE($E1919,$G1919),'LAC 103'!$A$12:$O$95,12,FALSE),0)</f>
        <v>0</v>
      </c>
      <c r="T1919" s="1144">
        <f>IFERROR(VLOOKUP(CONCATENATE($E1919,$G1919),'LAC 103'!$A$12:$O$95,13,FALSE),0)</f>
        <v>0</v>
      </c>
      <c r="U1919" s="1144">
        <f>IFERROR(VLOOKUP(CONCATENATE($E1919,$G1919),'LAC 103'!$A$12:$O$95,14,FALSE),0)</f>
        <v>0</v>
      </c>
      <c r="V1919" s="1144">
        <f>IFERROR(VLOOKUP(CONCATENATE($E1919,$G1919),'LAC 103'!$A$12:$O$95,15,FALSE),0)</f>
        <v>0</v>
      </c>
      <c r="W1919" s="1145" t="str">
        <f>IFERROR(VLOOKUP(CONCATENATE($B1919,$N1919),'LAC 103'!$AI:$AQ,9,FALSE),"")</f>
        <v/>
      </c>
      <c r="X1919" s="1146">
        <f t="shared" si="528"/>
        <v>0</v>
      </c>
      <c r="Y1919" s="1143">
        <f t="shared" si="538"/>
        <v>0</v>
      </c>
      <c r="Z1919" s="1147">
        <f t="shared" si="529"/>
        <v>0</v>
      </c>
      <c r="AA1919" s="1144">
        <f t="shared" si="530"/>
        <v>0</v>
      </c>
      <c r="AB1919" s="1144">
        <f t="shared" si="531"/>
        <v>0</v>
      </c>
      <c r="AC1919" s="1144">
        <f t="shared" si="532"/>
        <v>0</v>
      </c>
      <c r="AD1919" s="1148">
        <f t="shared" si="524"/>
        <v>0</v>
      </c>
      <c r="AE1919" s="1487">
        <v>0</v>
      </c>
      <c r="AF1919" s="1145">
        <f t="shared" si="533"/>
        <v>0</v>
      </c>
      <c r="AG1919" s="1149">
        <f>IFERROR(VLOOKUP(CONCATENATE($L1919,$N1919),'Drop List'!$G$23:$K$87,2,FALSE),0)</f>
        <v>0</v>
      </c>
      <c r="AH1919" s="1150">
        <f>IFERROR(VLOOKUP(CONCATENATE($L1919,$N1919),'Drop List'!$G$23:$K$87,3,FALSE),0)</f>
        <v>0</v>
      </c>
      <c r="AI1919" s="1150">
        <f>IFERROR(VLOOKUP(CONCATENATE($L1919,$N1919),'Drop List'!$G$23:$K$87,4,FALSE),0)</f>
        <v>0</v>
      </c>
      <c r="AJ1919" s="1151">
        <f>IFERROR(VLOOKUP(CONCATENATE($L1919,$N1919),'Drop List'!$G$23:$K$87,5,FALSE),0)</f>
        <v>0</v>
      </c>
      <c r="AK1919" s="1152">
        <f t="shared" si="534"/>
        <v>0</v>
      </c>
      <c r="AL1919" s="1153">
        <f t="shared" si="535"/>
        <v>0</v>
      </c>
      <c r="AM1919" s="1153">
        <f t="shared" si="536"/>
        <v>0</v>
      </c>
      <c r="AN1919" s="1145">
        <f t="shared" si="537"/>
        <v>0</v>
      </c>
      <c r="AO1919" s="1154">
        <f t="shared" si="540"/>
        <v>0</v>
      </c>
      <c r="AP1919" s="1147">
        <f t="shared" si="525"/>
        <v>0</v>
      </c>
      <c r="AQ1919" s="1144">
        <f t="shared" si="526"/>
        <v>0</v>
      </c>
      <c r="AR1919" s="1146">
        <f t="shared" si="527"/>
        <v>0</v>
      </c>
    </row>
    <row r="1920" spans="1:44" x14ac:dyDescent="0.2">
      <c r="A1920" s="1141" t="str">
        <f t="shared" si="539"/>
        <v/>
      </c>
      <c r="B1920" s="1141" t="str">
        <f>IFERROR(VLOOKUP(A1920,'LAC 103'!A:C,3,FALSE),"")</f>
        <v/>
      </c>
      <c r="C1920" s="1478" t="str">
        <f>Info!$B$8</f>
        <v>00100</v>
      </c>
      <c r="D1920" s="1474"/>
      <c r="E1920" s="1474"/>
      <c r="F1920" s="1478"/>
      <c r="G1920" s="1478"/>
      <c r="H1920" s="1474"/>
      <c r="I1920" s="1478"/>
      <c r="J1920" s="1478"/>
      <c r="K1920" s="1475"/>
      <c r="L1920" s="1474"/>
      <c r="M1920" s="1476"/>
      <c r="N1920" s="1477"/>
      <c r="O1920" s="1479"/>
      <c r="P1920" s="1479"/>
      <c r="Q1920" s="1142">
        <f t="shared" si="541"/>
        <v>0</v>
      </c>
      <c r="R1920" s="1143">
        <f>IFERROR(VLOOKUP(CONCATENATE($E1920,$G1920),'LAC 103'!$A$12:$O$95,11,FALSE),0)</f>
        <v>0</v>
      </c>
      <c r="S1920" s="1144">
        <f>IFERROR(VLOOKUP(CONCATENATE($E1920,$G1920),'LAC 103'!$A$12:$O$95,12,FALSE),0)</f>
        <v>0</v>
      </c>
      <c r="T1920" s="1144">
        <f>IFERROR(VLOOKUP(CONCATENATE($E1920,$G1920),'LAC 103'!$A$12:$O$95,13,FALSE),0)</f>
        <v>0</v>
      </c>
      <c r="U1920" s="1144">
        <f>IFERROR(VLOOKUP(CONCATENATE($E1920,$G1920),'LAC 103'!$A$12:$O$95,14,FALSE),0)</f>
        <v>0</v>
      </c>
      <c r="V1920" s="1144">
        <f>IFERROR(VLOOKUP(CONCATENATE($E1920,$G1920),'LAC 103'!$A$12:$O$95,15,FALSE),0)</f>
        <v>0</v>
      </c>
      <c r="W1920" s="1145" t="str">
        <f>IFERROR(VLOOKUP(CONCATENATE($B1920,$N1920),'LAC 103'!$AI:$AQ,9,FALSE),"")</f>
        <v/>
      </c>
      <c r="X1920" s="1146">
        <f t="shared" si="528"/>
        <v>0</v>
      </c>
      <c r="Y1920" s="1143">
        <f t="shared" si="538"/>
        <v>0</v>
      </c>
      <c r="Z1920" s="1147">
        <f t="shared" si="529"/>
        <v>0</v>
      </c>
      <c r="AA1920" s="1144">
        <f t="shared" si="530"/>
        <v>0</v>
      </c>
      <c r="AB1920" s="1144">
        <f t="shared" si="531"/>
        <v>0</v>
      </c>
      <c r="AC1920" s="1144">
        <f t="shared" si="532"/>
        <v>0</v>
      </c>
      <c r="AD1920" s="1148">
        <f t="shared" si="524"/>
        <v>0</v>
      </c>
      <c r="AE1920" s="1487">
        <v>0</v>
      </c>
      <c r="AF1920" s="1145">
        <f t="shared" si="533"/>
        <v>0</v>
      </c>
      <c r="AG1920" s="1149">
        <f>IFERROR(VLOOKUP(CONCATENATE($L1920,$N1920),'Drop List'!$G$23:$K$87,2,FALSE),0)</f>
        <v>0</v>
      </c>
      <c r="AH1920" s="1150">
        <f>IFERROR(VLOOKUP(CONCATENATE($L1920,$N1920),'Drop List'!$G$23:$K$87,3,FALSE),0)</f>
        <v>0</v>
      </c>
      <c r="AI1920" s="1150">
        <f>IFERROR(VLOOKUP(CONCATENATE($L1920,$N1920),'Drop List'!$G$23:$K$87,4,FALSE),0)</f>
        <v>0</v>
      </c>
      <c r="AJ1920" s="1151">
        <f>IFERROR(VLOOKUP(CONCATENATE($L1920,$N1920),'Drop List'!$G$23:$K$87,5,FALSE),0)</f>
        <v>0</v>
      </c>
      <c r="AK1920" s="1152">
        <f t="shared" si="534"/>
        <v>0</v>
      </c>
      <c r="AL1920" s="1153">
        <f t="shared" si="535"/>
        <v>0</v>
      </c>
      <c r="AM1920" s="1153">
        <f t="shared" si="536"/>
        <v>0</v>
      </c>
      <c r="AN1920" s="1145">
        <f t="shared" si="537"/>
        <v>0</v>
      </c>
      <c r="AO1920" s="1154">
        <f t="shared" si="540"/>
        <v>0</v>
      </c>
      <c r="AP1920" s="1147">
        <f t="shared" si="525"/>
        <v>0</v>
      </c>
      <c r="AQ1920" s="1144">
        <f t="shared" si="526"/>
        <v>0</v>
      </c>
      <c r="AR1920" s="1146">
        <f t="shared" si="527"/>
        <v>0</v>
      </c>
    </row>
    <row r="1921" spans="1:44" x14ac:dyDescent="0.2">
      <c r="A1921" s="1141" t="str">
        <f t="shared" si="539"/>
        <v/>
      </c>
      <c r="B1921" s="1141" t="str">
        <f>IFERROR(VLOOKUP(A1921,'LAC 103'!A:C,3,FALSE),"")</f>
        <v/>
      </c>
      <c r="C1921" s="1478" t="str">
        <f>Info!$B$8</f>
        <v>00100</v>
      </c>
      <c r="D1921" s="1474"/>
      <c r="E1921" s="1474"/>
      <c r="F1921" s="1478"/>
      <c r="G1921" s="1478"/>
      <c r="H1921" s="1474"/>
      <c r="I1921" s="1478"/>
      <c r="J1921" s="1478"/>
      <c r="K1921" s="1475"/>
      <c r="L1921" s="1474"/>
      <c r="M1921" s="1476"/>
      <c r="N1921" s="1477"/>
      <c r="O1921" s="1479"/>
      <c r="P1921" s="1479"/>
      <c r="Q1921" s="1142">
        <f t="shared" si="541"/>
        <v>0</v>
      </c>
      <c r="R1921" s="1143">
        <f>IFERROR(VLOOKUP(CONCATENATE($E1921,$G1921),'LAC 103'!$A$12:$O$95,11,FALSE),0)</f>
        <v>0</v>
      </c>
      <c r="S1921" s="1144">
        <f>IFERROR(VLOOKUP(CONCATENATE($E1921,$G1921),'LAC 103'!$A$12:$O$95,12,FALSE),0)</f>
        <v>0</v>
      </c>
      <c r="T1921" s="1144">
        <f>IFERROR(VLOOKUP(CONCATENATE($E1921,$G1921),'LAC 103'!$A$12:$O$95,13,FALSE),0)</f>
        <v>0</v>
      </c>
      <c r="U1921" s="1144">
        <f>IFERROR(VLOOKUP(CONCATENATE($E1921,$G1921),'LAC 103'!$A$12:$O$95,14,FALSE),0)</f>
        <v>0</v>
      </c>
      <c r="V1921" s="1144">
        <f>IFERROR(VLOOKUP(CONCATENATE($E1921,$G1921),'LAC 103'!$A$12:$O$95,15,FALSE),0)</f>
        <v>0</v>
      </c>
      <c r="W1921" s="1145" t="str">
        <f>IFERROR(VLOOKUP(CONCATENATE($B1921,$N1921),'LAC 103'!$AI:$AQ,9,FALSE),"")</f>
        <v/>
      </c>
      <c r="X1921" s="1146">
        <f t="shared" si="528"/>
        <v>0</v>
      </c>
      <c r="Y1921" s="1143">
        <f t="shared" si="538"/>
        <v>0</v>
      </c>
      <c r="Z1921" s="1147">
        <f t="shared" si="529"/>
        <v>0</v>
      </c>
      <c r="AA1921" s="1144">
        <f t="shared" si="530"/>
        <v>0</v>
      </c>
      <c r="AB1921" s="1144">
        <f t="shared" si="531"/>
        <v>0</v>
      </c>
      <c r="AC1921" s="1144">
        <f t="shared" si="532"/>
        <v>0</v>
      </c>
      <c r="AD1921" s="1148">
        <f t="shared" si="524"/>
        <v>0</v>
      </c>
      <c r="AE1921" s="1487">
        <v>0</v>
      </c>
      <c r="AF1921" s="1145">
        <f t="shared" si="533"/>
        <v>0</v>
      </c>
      <c r="AG1921" s="1149">
        <f>IFERROR(VLOOKUP(CONCATENATE($L1921,$N1921),'Drop List'!$G$23:$K$87,2,FALSE),0)</f>
        <v>0</v>
      </c>
      <c r="AH1921" s="1150">
        <f>IFERROR(VLOOKUP(CONCATENATE($L1921,$N1921),'Drop List'!$G$23:$K$87,3,FALSE),0)</f>
        <v>0</v>
      </c>
      <c r="AI1921" s="1150">
        <f>IFERROR(VLOOKUP(CONCATENATE($L1921,$N1921),'Drop List'!$G$23:$K$87,4,FALSE),0)</f>
        <v>0</v>
      </c>
      <c r="AJ1921" s="1151">
        <f>IFERROR(VLOOKUP(CONCATENATE($L1921,$N1921),'Drop List'!$G$23:$K$87,5,FALSE),0)</f>
        <v>0</v>
      </c>
      <c r="AK1921" s="1152">
        <f t="shared" si="534"/>
        <v>0</v>
      </c>
      <c r="AL1921" s="1153">
        <f t="shared" si="535"/>
        <v>0</v>
      </c>
      <c r="AM1921" s="1153">
        <f t="shared" si="536"/>
        <v>0</v>
      </c>
      <c r="AN1921" s="1145">
        <f t="shared" si="537"/>
        <v>0</v>
      </c>
      <c r="AO1921" s="1154">
        <f t="shared" si="540"/>
        <v>0</v>
      </c>
      <c r="AP1921" s="1147">
        <f t="shared" si="525"/>
        <v>0</v>
      </c>
      <c r="AQ1921" s="1144">
        <f t="shared" si="526"/>
        <v>0</v>
      </c>
      <c r="AR1921" s="1146">
        <f t="shared" si="527"/>
        <v>0</v>
      </c>
    </row>
    <row r="1922" spans="1:44" x14ac:dyDescent="0.2">
      <c r="A1922" s="1141" t="str">
        <f t="shared" si="539"/>
        <v/>
      </c>
      <c r="B1922" s="1141" t="str">
        <f>IFERROR(VLOOKUP(A1922,'LAC 103'!A:C,3,FALSE),"")</f>
        <v/>
      </c>
      <c r="C1922" s="1478" t="str">
        <f>Info!$B$8</f>
        <v>00100</v>
      </c>
      <c r="D1922" s="1474"/>
      <c r="E1922" s="1474"/>
      <c r="F1922" s="1478"/>
      <c r="G1922" s="1478"/>
      <c r="H1922" s="1474"/>
      <c r="I1922" s="1478"/>
      <c r="J1922" s="1478"/>
      <c r="K1922" s="1475"/>
      <c r="L1922" s="1474"/>
      <c r="M1922" s="1476"/>
      <c r="N1922" s="1477"/>
      <c r="O1922" s="1479"/>
      <c r="P1922" s="1479"/>
      <c r="Q1922" s="1142">
        <f t="shared" si="541"/>
        <v>0</v>
      </c>
      <c r="R1922" s="1143">
        <f>IFERROR(VLOOKUP(CONCATENATE($E1922,$G1922),'LAC 103'!$A$12:$O$95,11,FALSE),0)</f>
        <v>0</v>
      </c>
      <c r="S1922" s="1144">
        <f>IFERROR(VLOOKUP(CONCATENATE($E1922,$G1922),'LAC 103'!$A$12:$O$95,12,FALSE),0)</f>
        <v>0</v>
      </c>
      <c r="T1922" s="1144">
        <f>IFERROR(VLOOKUP(CONCATENATE($E1922,$G1922),'LAC 103'!$A$12:$O$95,13,FALSE),0)</f>
        <v>0</v>
      </c>
      <c r="U1922" s="1144">
        <f>IFERROR(VLOOKUP(CONCATENATE($E1922,$G1922),'LAC 103'!$A$12:$O$95,14,FALSE),0)</f>
        <v>0</v>
      </c>
      <c r="V1922" s="1144">
        <f>IFERROR(VLOOKUP(CONCATENATE($E1922,$G1922),'LAC 103'!$A$12:$O$95,15,FALSE),0)</f>
        <v>0</v>
      </c>
      <c r="W1922" s="1145" t="str">
        <f>IFERROR(VLOOKUP(CONCATENATE($B1922,$N1922),'LAC 103'!$AI:$AQ,9,FALSE),"")</f>
        <v/>
      </c>
      <c r="X1922" s="1146">
        <f t="shared" si="528"/>
        <v>0</v>
      </c>
      <c r="Y1922" s="1143">
        <f t="shared" si="538"/>
        <v>0</v>
      </c>
      <c r="Z1922" s="1147">
        <f t="shared" si="529"/>
        <v>0</v>
      </c>
      <c r="AA1922" s="1144">
        <f t="shared" si="530"/>
        <v>0</v>
      </c>
      <c r="AB1922" s="1144">
        <f t="shared" si="531"/>
        <v>0</v>
      </c>
      <c r="AC1922" s="1144">
        <f t="shared" si="532"/>
        <v>0</v>
      </c>
      <c r="AD1922" s="1148">
        <f t="shared" si="524"/>
        <v>0</v>
      </c>
      <c r="AE1922" s="1487">
        <v>0</v>
      </c>
      <c r="AF1922" s="1145">
        <f t="shared" si="533"/>
        <v>0</v>
      </c>
      <c r="AG1922" s="1149">
        <f>IFERROR(VLOOKUP(CONCATENATE($L1922,$N1922),'Drop List'!$G$23:$K$87,2,FALSE),0)</f>
        <v>0</v>
      </c>
      <c r="AH1922" s="1150">
        <f>IFERROR(VLOOKUP(CONCATENATE($L1922,$N1922),'Drop List'!$G$23:$K$87,3,FALSE),0)</f>
        <v>0</v>
      </c>
      <c r="AI1922" s="1150">
        <f>IFERROR(VLOOKUP(CONCATENATE($L1922,$N1922),'Drop List'!$G$23:$K$87,4,FALSE),0)</f>
        <v>0</v>
      </c>
      <c r="AJ1922" s="1151">
        <f>IFERROR(VLOOKUP(CONCATENATE($L1922,$N1922),'Drop List'!$G$23:$K$87,5,FALSE),0)</f>
        <v>0</v>
      </c>
      <c r="AK1922" s="1152">
        <f t="shared" si="534"/>
        <v>0</v>
      </c>
      <c r="AL1922" s="1153">
        <f t="shared" si="535"/>
        <v>0</v>
      </c>
      <c r="AM1922" s="1153">
        <f t="shared" si="536"/>
        <v>0</v>
      </c>
      <c r="AN1922" s="1145">
        <f t="shared" si="537"/>
        <v>0</v>
      </c>
      <c r="AO1922" s="1154">
        <f t="shared" si="540"/>
        <v>0</v>
      </c>
      <c r="AP1922" s="1147">
        <f t="shared" si="525"/>
        <v>0</v>
      </c>
      <c r="AQ1922" s="1144">
        <f t="shared" si="526"/>
        <v>0</v>
      </c>
      <c r="AR1922" s="1146">
        <f t="shared" si="527"/>
        <v>0</v>
      </c>
    </row>
    <row r="1923" spans="1:44" x14ac:dyDescent="0.2">
      <c r="A1923" s="1141" t="str">
        <f t="shared" si="539"/>
        <v/>
      </c>
      <c r="B1923" s="1141" t="str">
        <f>IFERROR(VLOOKUP(A1923,'LAC 103'!A:C,3,FALSE),"")</f>
        <v/>
      </c>
      <c r="C1923" s="1478" t="str">
        <f>Info!$B$8</f>
        <v>00100</v>
      </c>
      <c r="D1923" s="1474"/>
      <c r="E1923" s="1474"/>
      <c r="F1923" s="1478"/>
      <c r="G1923" s="1478"/>
      <c r="H1923" s="1474"/>
      <c r="I1923" s="1478"/>
      <c r="J1923" s="1478"/>
      <c r="K1923" s="1475"/>
      <c r="L1923" s="1474"/>
      <c r="M1923" s="1476"/>
      <c r="N1923" s="1477"/>
      <c r="O1923" s="1479"/>
      <c r="P1923" s="1479"/>
      <c r="Q1923" s="1142">
        <f t="shared" si="541"/>
        <v>0</v>
      </c>
      <c r="R1923" s="1143">
        <f>IFERROR(VLOOKUP(CONCATENATE($E1923,$G1923),'LAC 103'!$A$12:$O$95,11,FALSE),0)</f>
        <v>0</v>
      </c>
      <c r="S1923" s="1144">
        <f>IFERROR(VLOOKUP(CONCATENATE($E1923,$G1923),'LAC 103'!$A$12:$O$95,12,FALSE),0)</f>
        <v>0</v>
      </c>
      <c r="T1923" s="1144">
        <f>IFERROR(VLOOKUP(CONCATENATE($E1923,$G1923),'LAC 103'!$A$12:$O$95,13,FALSE),0)</f>
        <v>0</v>
      </c>
      <c r="U1923" s="1144">
        <f>IFERROR(VLOOKUP(CONCATENATE($E1923,$G1923),'LAC 103'!$A$12:$O$95,14,FALSE),0)</f>
        <v>0</v>
      </c>
      <c r="V1923" s="1144">
        <f>IFERROR(VLOOKUP(CONCATENATE($E1923,$G1923),'LAC 103'!$A$12:$O$95,15,FALSE),0)</f>
        <v>0</v>
      </c>
      <c r="W1923" s="1145" t="str">
        <f>IFERROR(VLOOKUP(CONCATENATE($B1923,$N1923),'LAC 103'!$AI:$AQ,9,FALSE),"")</f>
        <v/>
      </c>
      <c r="X1923" s="1146">
        <f t="shared" si="528"/>
        <v>0</v>
      </c>
      <c r="Y1923" s="1143">
        <f t="shared" si="538"/>
        <v>0</v>
      </c>
      <c r="Z1923" s="1147">
        <f t="shared" si="529"/>
        <v>0</v>
      </c>
      <c r="AA1923" s="1144">
        <f t="shared" si="530"/>
        <v>0</v>
      </c>
      <c r="AB1923" s="1144">
        <f t="shared" si="531"/>
        <v>0</v>
      </c>
      <c r="AC1923" s="1144">
        <f t="shared" si="532"/>
        <v>0</v>
      </c>
      <c r="AD1923" s="1148">
        <f t="shared" si="524"/>
        <v>0</v>
      </c>
      <c r="AE1923" s="1487">
        <v>0</v>
      </c>
      <c r="AF1923" s="1145">
        <f t="shared" si="533"/>
        <v>0</v>
      </c>
      <c r="AG1923" s="1149">
        <f>IFERROR(VLOOKUP(CONCATENATE($L1923,$N1923),'Drop List'!$G$23:$K$87,2,FALSE),0)</f>
        <v>0</v>
      </c>
      <c r="AH1923" s="1150">
        <f>IFERROR(VLOOKUP(CONCATENATE($L1923,$N1923),'Drop List'!$G$23:$K$87,3,FALSE),0)</f>
        <v>0</v>
      </c>
      <c r="AI1923" s="1150">
        <f>IFERROR(VLOOKUP(CONCATENATE($L1923,$N1923),'Drop List'!$G$23:$K$87,4,FALSE),0)</f>
        <v>0</v>
      </c>
      <c r="AJ1923" s="1151">
        <f>IFERROR(VLOOKUP(CONCATENATE($L1923,$N1923),'Drop List'!$G$23:$K$87,5,FALSE),0)</f>
        <v>0</v>
      </c>
      <c r="AK1923" s="1152">
        <f t="shared" si="534"/>
        <v>0</v>
      </c>
      <c r="AL1923" s="1153">
        <f t="shared" si="535"/>
        <v>0</v>
      </c>
      <c r="AM1923" s="1153">
        <f t="shared" si="536"/>
        <v>0</v>
      </c>
      <c r="AN1923" s="1145">
        <f t="shared" si="537"/>
        <v>0</v>
      </c>
      <c r="AO1923" s="1154">
        <f t="shared" si="540"/>
        <v>0</v>
      </c>
      <c r="AP1923" s="1147">
        <f t="shared" si="525"/>
        <v>0</v>
      </c>
      <c r="AQ1923" s="1144">
        <f t="shared" si="526"/>
        <v>0</v>
      </c>
      <c r="AR1923" s="1146">
        <f t="shared" si="527"/>
        <v>0</v>
      </c>
    </row>
    <row r="1924" spans="1:44" x14ac:dyDescent="0.2">
      <c r="A1924" s="1141" t="str">
        <f t="shared" si="539"/>
        <v/>
      </c>
      <c r="B1924" s="1141" t="str">
        <f>IFERROR(VLOOKUP(A1924,'LAC 103'!A:C,3,FALSE),"")</f>
        <v/>
      </c>
      <c r="C1924" s="1478" t="str">
        <f>Info!$B$8</f>
        <v>00100</v>
      </c>
      <c r="D1924" s="1474"/>
      <c r="E1924" s="1474"/>
      <c r="F1924" s="1478"/>
      <c r="G1924" s="1478"/>
      <c r="H1924" s="1474"/>
      <c r="I1924" s="1478"/>
      <c r="J1924" s="1478"/>
      <c r="K1924" s="1475"/>
      <c r="L1924" s="1474"/>
      <c r="M1924" s="1476"/>
      <c r="N1924" s="1477"/>
      <c r="O1924" s="1479"/>
      <c r="P1924" s="1479"/>
      <c r="Q1924" s="1142">
        <f t="shared" si="541"/>
        <v>0</v>
      </c>
      <c r="R1924" s="1143">
        <f>IFERROR(VLOOKUP(CONCATENATE($E1924,$G1924),'LAC 103'!$A$12:$O$95,11,FALSE),0)</f>
        <v>0</v>
      </c>
      <c r="S1924" s="1144">
        <f>IFERROR(VLOOKUP(CONCATENATE($E1924,$G1924),'LAC 103'!$A$12:$O$95,12,FALSE),0)</f>
        <v>0</v>
      </c>
      <c r="T1924" s="1144">
        <f>IFERROR(VLOOKUP(CONCATENATE($E1924,$G1924),'LAC 103'!$A$12:$O$95,13,FALSE),0)</f>
        <v>0</v>
      </c>
      <c r="U1924" s="1144">
        <f>IFERROR(VLOOKUP(CONCATENATE($E1924,$G1924),'LAC 103'!$A$12:$O$95,14,FALSE),0)</f>
        <v>0</v>
      </c>
      <c r="V1924" s="1144">
        <f>IFERROR(VLOOKUP(CONCATENATE($E1924,$G1924),'LAC 103'!$A$12:$O$95,15,FALSE),0)</f>
        <v>0</v>
      </c>
      <c r="W1924" s="1145" t="str">
        <f>IFERROR(VLOOKUP(CONCATENATE($B1924,$N1924),'LAC 103'!$AI:$AQ,9,FALSE),"")</f>
        <v/>
      </c>
      <c r="X1924" s="1146">
        <f t="shared" si="528"/>
        <v>0</v>
      </c>
      <c r="Y1924" s="1143">
        <f t="shared" si="538"/>
        <v>0</v>
      </c>
      <c r="Z1924" s="1147">
        <f t="shared" si="529"/>
        <v>0</v>
      </c>
      <c r="AA1924" s="1144">
        <f t="shared" si="530"/>
        <v>0</v>
      </c>
      <c r="AB1924" s="1144">
        <f t="shared" si="531"/>
        <v>0</v>
      </c>
      <c r="AC1924" s="1144">
        <f t="shared" si="532"/>
        <v>0</v>
      </c>
      <c r="AD1924" s="1148">
        <f t="shared" si="524"/>
        <v>0</v>
      </c>
      <c r="AE1924" s="1487">
        <v>0</v>
      </c>
      <c r="AF1924" s="1145">
        <f t="shared" si="533"/>
        <v>0</v>
      </c>
      <c r="AG1924" s="1149">
        <f>IFERROR(VLOOKUP(CONCATENATE($L1924,$N1924),'Drop List'!$G$23:$K$87,2,FALSE),0)</f>
        <v>0</v>
      </c>
      <c r="AH1924" s="1150">
        <f>IFERROR(VLOOKUP(CONCATENATE($L1924,$N1924),'Drop List'!$G$23:$K$87,3,FALSE),0)</f>
        <v>0</v>
      </c>
      <c r="AI1924" s="1150">
        <f>IFERROR(VLOOKUP(CONCATENATE($L1924,$N1924),'Drop List'!$G$23:$K$87,4,FALSE),0)</f>
        <v>0</v>
      </c>
      <c r="AJ1924" s="1151">
        <f>IFERROR(VLOOKUP(CONCATENATE($L1924,$N1924),'Drop List'!$G$23:$K$87,5,FALSE),0)</f>
        <v>0</v>
      </c>
      <c r="AK1924" s="1152">
        <f t="shared" si="534"/>
        <v>0</v>
      </c>
      <c r="AL1924" s="1153">
        <f t="shared" si="535"/>
        <v>0</v>
      </c>
      <c r="AM1924" s="1153">
        <f t="shared" si="536"/>
        <v>0</v>
      </c>
      <c r="AN1924" s="1145">
        <f t="shared" si="537"/>
        <v>0</v>
      </c>
      <c r="AO1924" s="1154">
        <f t="shared" si="540"/>
        <v>0</v>
      </c>
      <c r="AP1924" s="1147">
        <f t="shared" si="525"/>
        <v>0</v>
      </c>
      <c r="AQ1924" s="1144">
        <f t="shared" si="526"/>
        <v>0</v>
      </c>
      <c r="AR1924" s="1146">
        <f t="shared" si="527"/>
        <v>0</v>
      </c>
    </row>
    <row r="1925" spans="1:44" x14ac:dyDescent="0.2">
      <c r="A1925" s="1141" t="str">
        <f t="shared" si="539"/>
        <v/>
      </c>
      <c r="B1925" s="1141" t="str">
        <f>IFERROR(VLOOKUP(A1925,'LAC 103'!A:C,3,FALSE),"")</f>
        <v/>
      </c>
      <c r="C1925" s="1478" t="str">
        <f>Info!$B$8</f>
        <v>00100</v>
      </c>
      <c r="D1925" s="1474"/>
      <c r="E1925" s="1474"/>
      <c r="F1925" s="1478"/>
      <c r="G1925" s="1478"/>
      <c r="H1925" s="1474"/>
      <c r="I1925" s="1478"/>
      <c r="J1925" s="1478"/>
      <c r="K1925" s="1475"/>
      <c r="L1925" s="1474"/>
      <c r="M1925" s="1476"/>
      <c r="N1925" s="1477"/>
      <c r="O1925" s="1479"/>
      <c r="P1925" s="1479"/>
      <c r="Q1925" s="1142">
        <f t="shared" si="541"/>
        <v>0</v>
      </c>
      <c r="R1925" s="1143">
        <f>IFERROR(VLOOKUP(CONCATENATE($E1925,$G1925),'LAC 103'!$A$12:$O$95,11,FALSE),0)</f>
        <v>0</v>
      </c>
      <c r="S1925" s="1144">
        <f>IFERROR(VLOOKUP(CONCATENATE($E1925,$G1925),'LAC 103'!$A$12:$O$95,12,FALSE),0)</f>
        <v>0</v>
      </c>
      <c r="T1925" s="1144">
        <f>IFERROR(VLOOKUP(CONCATENATE($E1925,$G1925),'LAC 103'!$A$12:$O$95,13,FALSE),0)</f>
        <v>0</v>
      </c>
      <c r="U1925" s="1144">
        <f>IFERROR(VLOOKUP(CONCATENATE($E1925,$G1925),'LAC 103'!$A$12:$O$95,14,FALSE),0)</f>
        <v>0</v>
      </c>
      <c r="V1925" s="1144">
        <f>IFERROR(VLOOKUP(CONCATENATE($E1925,$G1925),'LAC 103'!$A$12:$O$95,15,FALSE),0)</f>
        <v>0</v>
      </c>
      <c r="W1925" s="1145" t="str">
        <f>IFERROR(VLOOKUP(CONCATENATE($B1925,$N1925),'LAC 103'!$AI:$AQ,9,FALSE),"")</f>
        <v/>
      </c>
      <c r="X1925" s="1146">
        <f t="shared" si="528"/>
        <v>0</v>
      </c>
      <c r="Y1925" s="1143">
        <f t="shared" si="538"/>
        <v>0</v>
      </c>
      <c r="Z1925" s="1147">
        <f t="shared" si="529"/>
        <v>0</v>
      </c>
      <c r="AA1925" s="1144">
        <f t="shared" si="530"/>
        <v>0</v>
      </c>
      <c r="AB1925" s="1144">
        <f t="shared" si="531"/>
        <v>0</v>
      </c>
      <c r="AC1925" s="1144">
        <f t="shared" si="532"/>
        <v>0</v>
      </c>
      <c r="AD1925" s="1148">
        <f t="shared" si="524"/>
        <v>0</v>
      </c>
      <c r="AE1925" s="1487">
        <v>0</v>
      </c>
      <c r="AF1925" s="1145">
        <f t="shared" si="533"/>
        <v>0</v>
      </c>
      <c r="AG1925" s="1149">
        <f>IFERROR(VLOOKUP(CONCATENATE($L1925,$N1925),'Drop List'!$G$23:$K$87,2,FALSE),0)</f>
        <v>0</v>
      </c>
      <c r="AH1925" s="1150">
        <f>IFERROR(VLOOKUP(CONCATENATE($L1925,$N1925),'Drop List'!$G$23:$K$87,3,FALSE),0)</f>
        <v>0</v>
      </c>
      <c r="AI1925" s="1150">
        <f>IFERROR(VLOOKUP(CONCATENATE($L1925,$N1925),'Drop List'!$G$23:$K$87,4,FALSE),0)</f>
        <v>0</v>
      </c>
      <c r="AJ1925" s="1151">
        <f>IFERROR(VLOOKUP(CONCATENATE($L1925,$N1925),'Drop List'!$G$23:$K$87,5,FALSE),0)</f>
        <v>0</v>
      </c>
      <c r="AK1925" s="1152">
        <f t="shared" si="534"/>
        <v>0</v>
      </c>
      <c r="AL1925" s="1153">
        <f t="shared" si="535"/>
        <v>0</v>
      </c>
      <c r="AM1925" s="1153">
        <f t="shared" si="536"/>
        <v>0</v>
      </c>
      <c r="AN1925" s="1145">
        <f t="shared" si="537"/>
        <v>0</v>
      </c>
      <c r="AO1925" s="1154">
        <f t="shared" si="540"/>
        <v>0</v>
      </c>
      <c r="AP1925" s="1147">
        <f t="shared" si="525"/>
        <v>0</v>
      </c>
      <c r="AQ1925" s="1144">
        <f t="shared" si="526"/>
        <v>0</v>
      </c>
      <c r="AR1925" s="1146">
        <f t="shared" si="527"/>
        <v>0</v>
      </c>
    </row>
    <row r="1926" spans="1:44" x14ac:dyDescent="0.2">
      <c r="A1926" s="1141" t="str">
        <f t="shared" si="539"/>
        <v/>
      </c>
      <c r="B1926" s="1141" t="str">
        <f>IFERROR(VLOOKUP(A1926,'LAC 103'!A:C,3,FALSE),"")</f>
        <v/>
      </c>
      <c r="C1926" s="1478" t="str">
        <f>Info!$B$8</f>
        <v>00100</v>
      </c>
      <c r="D1926" s="1474"/>
      <c r="E1926" s="1474"/>
      <c r="F1926" s="1478"/>
      <c r="G1926" s="1478"/>
      <c r="H1926" s="1474"/>
      <c r="I1926" s="1478"/>
      <c r="J1926" s="1478"/>
      <c r="K1926" s="1475"/>
      <c r="L1926" s="1474"/>
      <c r="M1926" s="1476"/>
      <c r="N1926" s="1477"/>
      <c r="O1926" s="1479"/>
      <c r="P1926" s="1479"/>
      <c r="Q1926" s="1142">
        <f t="shared" si="541"/>
        <v>0</v>
      </c>
      <c r="R1926" s="1143">
        <f>IFERROR(VLOOKUP(CONCATENATE($E1926,$G1926),'LAC 103'!$A$12:$O$95,11,FALSE),0)</f>
        <v>0</v>
      </c>
      <c r="S1926" s="1144">
        <f>IFERROR(VLOOKUP(CONCATENATE($E1926,$G1926),'LAC 103'!$A$12:$O$95,12,FALSE),0)</f>
        <v>0</v>
      </c>
      <c r="T1926" s="1144">
        <f>IFERROR(VLOOKUP(CONCATENATE($E1926,$G1926),'LAC 103'!$A$12:$O$95,13,FALSE),0)</f>
        <v>0</v>
      </c>
      <c r="U1926" s="1144">
        <f>IFERROR(VLOOKUP(CONCATENATE($E1926,$G1926),'LAC 103'!$A$12:$O$95,14,FALSE),0)</f>
        <v>0</v>
      </c>
      <c r="V1926" s="1144">
        <f>IFERROR(VLOOKUP(CONCATENATE($E1926,$G1926),'LAC 103'!$A$12:$O$95,15,FALSE),0)</f>
        <v>0</v>
      </c>
      <c r="W1926" s="1145" t="str">
        <f>IFERROR(VLOOKUP(CONCATENATE($B1926,$N1926),'LAC 103'!$AI:$AQ,9,FALSE),"")</f>
        <v/>
      </c>
      <c r="X1926" s="1146">
        <f t="shared" si="528"/>
        <v>0</v>
      </c>
      <c r="Y1926" s="1143">
        <f t="shared" si="538"/>
        <v>0</v>
      </c>
      <c r="Z1926" s="1147">
        <f t="shared" si="529"/>
        <v>0</v>
      </c>
      <c r="AA1926" s="1144">
        <f t="shared" si="530"/>
        <v>0</v>
      </c>
      <c r="AB1926" s="1144">
        <f t="shared" si="531"/>
        <v>0</v>
      </c>
      <c r="AC1926" s="1144">
        <f t="shared" si="532"/>
        <v>0</v>
      </c>
      <c r="AD1926" s="1148">
        <f t="shared" si="524"/>
        <v>0</v>
      </c>
      <c r="AE1926" s="1487">
        <v>0</v>
      </c>
      <c r="AF1926" s="1145">
        <f t="shared" si="533"/>
        <v>0</v>
      </c>
      <c r="AG1926" s="1149">
        <f>IFERROR(VLOOKUP(CONCATENATE($L1926,$N1926),'Drop List'!$G$23:$K$87,2,FALSE),0)</f>
        <v>0</v>
      </c>
      <c r="AH1926" s="1150">
        <f>IFERROR(VLOOKUP(CONCATENATE($L1926,$N1926),'Drop List'!$G$23:$K$87,3,FALSE),0)</f>
        <v>0</v>
      </c>
      <c r="AI1926" s="1150">
        <f>IFERROR(VLOOKUP(CONCATENATE($L1926,$N1926),'Drop List'!$G$23:$K$87,4,FALSE),0)</f>
        <v>0</v>
      </c>
      <c r="AJ1926" s="1151">
        <f>IFERROR(VLOOKUP(CONCATENATE($L1926,$N1926),'Drop List'!$G$23:$K$87,5,FALSE),0)</f>
        <v>0</v>
      </c>
      <c r="AK1926" s="1152">
        <f t="shared" si="534"/>
        <v>0</v>
      </c>
      <c r="AL1926" s="1153">
        <f t="shared" si="535"/>
        <v>0</v>
      </c>
      <c r="AM1926" s="1153">
        <f t="shared" si="536"/>
        <v>0</v>
      </c>
      <c r="AN1926" s="1145">
        <f t="shared" si="537"/>
        <v>0</v>
      </c>
      <c r="AO1926" s="1154">
        <f t="shared" si="540"/>
        <v>0</v>
      </c>
      <c r="AP1926" s="1147">
        <f t="shared" si="525"/>
        <v>0</v>
      </c>
      <c r="AQ1926" s="1144">
        <f t="shared" si="526"/>
        <v>0</v>
      </c>
      <c r="AR1926" s="1146">
        <f t="shared" si="527"/>
        <v>0</v>
      </c>
    </row>
    <row r="1927" spans="1:44" x14ac:dyDescent="0.2">
      <c r="A1927" s="1141" t="str">
        <f t="shared" si="539"/>
        <v/>
      </c>
      <c r="B1927" s="1141" t="str">
        <f>IFERROR(VLOOKUP(A1927,'LAC 103'!A:C,3,FALSE),"")</f>
        <v/>
      </c>
      <c r="C1927" s="1478" t="str">
        <f>Info!$B$8</f>
        <v>00100</v>
      </c>
      <c r="D1927" s="1474"/>
      <c r="E1927" s="1474"/>
      <c r="F1927" s="1478"/>
      <c r="G1927" s="1478"/>
      <c r="H1927" s="1474"/>
      <c r="I1927" s="1478"/>
      <c r="J1927" s="1478"/>
      <c r="K1927" s="1475"/>
      <c r="L1927" s="1474"/>
      <c r="M1927" s="1476"/>
      <c r="N1927" s="1477"/>
      <c r="O1927" s="1479"/>
      <c r="P1927" s="1479"/>
      <c r="Q1927" s="1142">
        <f t="shared" si="541"/>
        <v>0</v>
      </c>
      <c r="R1927" s="1143">
        <f>IFERROR(VLOOKUP(CONCATENATE($E1927,$G1927),'LAC 103'!$A$12:$O$95,11,FALSE),0)</f>
        <v>0</v>
      </c>
      <c r="S1927" s="1144">
        <f>IFERROR(VLOOKUP(CONCATENATE($E1927,$G1927),'LAC 103'!$A$12:$O$95,12,FALSE),0)</f>
        <v>0</v>
      </c>
      <c r="T1927" s="1144">
        <f>IFERROR(VLOOKUP(CONCATENATE($E1927,$G1927),'LAC 103'!$A$12:$O$95,13,FALSE),0)</f>
        <v>0</v>
      </c>
      <c r="U1927" s="1144">
        <f>IFERROR(VLOOKUP(CONCATENATE($E1927,$G1927),'LAC 103'!$A$12:$O$95,14,FALSE),0)</f>
        <v>0</v>
      </c>
      <c r="V1927" s="1144">
        <f>IFERROR(VLOOKUP(CONCATENATE($E1927,$G1927),'LAC 103'!$A$12:$O$95,15,FALSE),0)</f>
        <v>0</v>
      </c>
      <c r="W1927" s="1145" t="str">
        <f>IFERROR(VLOOKUP(CONCATENATE($B1927,$N1927),'LAC 103'!$AI:$AQ,9,FALSE),"")</f>
        <v/>
      </c>
      <c r="X1927" s="1146">
        <f t="shared" si="528"/>
        <v>0</v>
      </c>
      <c r="Y1927" s="1143">
        <f t="shared" si="538"/>
        <v>0</v>
      </c>
      <c r="Z1927" s="1147">
        <f t="shared" si="529"/>
        <v>0</v>
      </c>
      <c r="AA1927" s="1144">
        <f t="shared" si="530"/>
        <v>0</v>
      </c>
      <c r="AB1927" s="1144">
        <f t="shared" si="531"/>
        <v>0</v>
      </c>
      <c r="AC1927" s="1144">
        <f t="shared" si="532"/>
        <v>0</v>
      </c>
      <c r="AD1927" s="1148">
        <f t="shared" ref="AD1927:AD1990" si="542">Q1927*X1927</f>
        <v>0</v>
      </c>
      <c r="AE1927" s="1487">
        <v>0</v>
      </c>
      <c r="AF1927" s="1145">
        <f t="shared" si="533"/>
        <v>0</v>
      </c>
      <c r="AG1927" s="1149">
        <f>IFERROR(VLOOKUP(CONCATENATE($L1927,$N1927),'Drop List'!$G$23:$K$87,2,FALSE),0)</f>
        <v>0</v>
      </c>
      <c r="AH1927" s="1150">
        <f>IFERROR(VLOOKUP(CONCATENATE($L1927,$N1927),'Drop List'!$G$23:$K$87,3,FALSE),0)</f>
        <v>0</v>
      </c>
      <c r="AI1927" s="1150">
        <f>IFERROR(VLOOKUP(CONCATENATE($L1927,$N1927),'Drop List'!$G$23:$K$87,4,FALSE),0)</f>
        <v>0</v>
      </c>
      <c r="AJ1927" s="1151">
        <f>IFERROR(VLOOKUP(CONCATENATE($L1927,$N1927),'Drop List'!$G$23:$K$87,5,FALSE),0)</f>
        <v>0</v>
      </c>
      <c r="AK1927" s="1152">
        <f t="shared" si="534"/>
        <v>0</v>
      </c>
      <c r="AL1927" s="1153">
        <f t="shared" si="535"/>
        <v>0</v>
      </c>
      <c r="AM1927" s="1153">
        <f t="shared" si="536"/>
        <v>0</v>
      </c>
      <c r="AN1927" s="1145">
        <f t="shared" si="537"/>
        <v>0</v>
      </c>
      <c r="AO1927" s="1154">
        <f t="shared" si="540"/>
        <v>0</v>
      </c>
      <c r="AP1927" s="1147">
        <f t="shared" ref="AP1927:AP1990" si="543">IF($L1927="14",$AF1927,0)</f>
        <v>0</v>
      </c>
      <c r="AQ1927" s="1144">
        <f t="shared" ref="AQ1927:AQ1990" si="544">IF($L1927="15",$AF1927,0)</f>
        <v>0</v>
      </c>
      <c r="AR1927" s="1146">
        <f t="shared" ref="AR1927:AR1990" si="545">AO1927+AP1927+AQ1927</f>
        <v>0</v>
      </c>
    </row>
    <row r="1928" spans="1:44" x14ac:dyDescent="0.2">
      <c r="A1928" s="1141" t="str">
        <f t="shared" si="539"/>
        <v/>
      </c>
      <c r="B1928" s="1141" t="str">
        <f>IFERROR(VLOOKUP(A1928,'LAC 103'!A:C,3,FALSE),"")</f>
        <v/>
      </c>
      <c r="C1928" s="1478" t="str">
        <f>Info!$B$8</f>
        <v>00100</v>
      </c>
      <c r="D1928" s="1474"/>
      <c r="E1928" s="1474"/>
      <c r="F1928" s="1478"/>
      <c r="G1928" s="1478"/>
      <c r="H1928" s="1474"/>
      <c r="I1928" s="1478"/>
      <c r="J1928" s="1478"/>
      <c r="K1928" s="1475"/>
      <c r="L1928" s="1474"/>
      <c r="M1928" s="1476"/>
      <c r="N1928" s="1477"/>
      <c r="O1928" s="1479"/>
      <c r="P1928" s="1479"/>
      <c r="Q1928" s="1142">
        <f t="shared" si="541"/>
        <v>0</v>
      </c>
      <c r="R1928" s="1143">
        <f>IFERROR(VLOOKUP(CONCATENATE($E1928,$G1928),'LAC 103'!$A$12:$O$95,11,FALSE),0)</f>
        <v>0</v>
      </c>
      <c r="S1928" s="1144">
        <f>IFERROR(VLOOKUP(CONCATENATE($E1928,$G1928),'LAC 103'!$A$12:$O$95,12,FALSE),0)</f>
        <v>0</v>
      </c>
      <c r="T1928" s="1144">
        <f>IFERROR(VLOOKUP(CONCATENATE($E1928,$G1928),'LAC 103'!$A$12:$O$95,13,FALSE),0)</f>
        <v>0</v>
      </c>
      <c r="U1928" s="1144">
        <f>IFERROR(VLOOKUP(CONCATENATE($E1928,$G1928),'LAC 103'!$A$12:$O$95,14,FALSE),0)</f>
        <v>0</v>
      </c>
      <c r="V1928" s="1144">
        <f>IFERROR(VLOOKUP(CONCATENATE($E1928,$G1928),'LAC 103'!$A$12:$O$95,15,FALSE),0)</f>
        <v>0</v>
      </c>
      <c r="W1928" s="1145" t="str">
        <f>IFERROR(VLOOKUP(CONCATENATE($B1928,$N1928),'LAC 103'!$AI:$AQ,9,FALSE),"")</f>
        <v/>
      </c>
      <c r="X1928" s="1146">
        <f t="shared" ref="X1928:X1991" si="546">IF($W1928="Costs",$R1928,IF($W1928="CMA",$S1928,IF($W1928="P.C.",$T1928,IF($W1928="SMA",$U1928,$V1928))))</f>
        <v>0</v>
      </c>
      <c r="Y1928" s="1143">
        <f t="shared" si="538"/>
        <v>0</v>
      </c>
      <c r="Z1928" s="1147">
        <f t="shared" ref="Z1928:Z1991" si="547">IF(S1928=0,Y1928,$Q1928*S1928)</f>
        <v>0</v>
      </c>
      <c r="AA1928" s="1144">
        <f t="shared" ref="AA1928:AA1991" si="548">IF(T1928=0,Y1928,$Q1928*T1928)</f>
        <v>0</v>
      </c>
      <c r="AB1928" s="1144">
        <f t="shared" ref="AB1928:AB1991" si="549">$Q1928*U1928</f>
        <v>0</v>
      </c>
      <c r="AC1928" s="1144">
        <f t="shared" ref="AC1928:AC1991" si="550">$Q1928*V1928</f>
        <v>0</v>
      </c>
      <c r="AD1928" s="1148">
        <f t="shared" si="542"/>
        <v>0</v>
      </c>
      <c r="AE1928" s="1487">
        <v>0</v>
      </c>
      <c r="AF1928" s="1145">
        <f t="shared" ref="AF1928:AF1991" si="551">AD1928-AE1928</f>
        <v>0</v>
      </c>
      <c r="AG1928" s="1149">
        <f>IFERROR(VLOOKUP(CONCATENATE($L1928,$N1928),'Drop List'!$G$23:$K$87,2,FALSE),0)</f>
        <v>0</v>
      </c>
      <c r="AH1928" s="1150">
        <f>IFERROR(VLOOKUP(CONCATENATE($L1928,$N1928),'Drop List'!$G$23:$K$87,3,FALSE),0)</f>
        <v>0</v>
      </c>
      <c r="AI1928" s="1150">
        <f>IFERROR(VLOOKUP(CONCATENATE($L1928,$N1928),'Drop List'!$G$23:$K$87,4,FALSE),0)</f>
        <v>0</v>
      </c>
      <c r="AJ1928" s="1151">
        <f>IFERROR(VLOOKUP(CONCATENATE($L1928,$N1928),'Drop List'!$G$23:$K$87,5,FALSE),0)</f>
        <v>0</v>
      </c>
      <c r="AK1928" s="1152">
        <f t="shared" ref="AK1928:AK1991" si="552">IFERROR($AF1928*AG1928,0)</f>
        <v>0</v>
      </c>
      <c r="AL1928" s="1153">
        <f t="shared" ref="AL1928:AL1991" si="553">IFERROR($AF1928*AH1928,0)</f>
        <v>0</v>
      </c>
      <c r="AM1928" s="1153">
        <f t="shared" ref="AM1928:AM1991" si="554">IFERROR($AF1928*AI1928,0)</f>
        <v>0</v>
      </c>
      <c r="AN1928" s="1145">
        <f t="shared" ref="AN1928:AN1991" si="555">IFERROR($AF1928*AJ1928,0)</f>
        <v>0</v>
      </c>
      <c r="AO1928" s="1154">
        <f t="shared" si="540"/>
        <v>0</v>
      </c>
      <c r="AP1928" s="1147">
        <f t="shared" si="543"/>
        <v>0</v>
      </c>
      <c r="AQ1928" s="1144">
        <f t="shared" si="544"/>
        <v>0</v>
      </c>
      <c r="AR1928" s="1146">
        <f t="shared" si="545"/>
        <v>0</v>
      </c>
    </row>
    <row r="1929" spans="1:44" x14ac:dyDescent="0.2">
      <c r="A1929" s="1141" t="str">
        <f t="shared" si="539"/>
        <v/>
      </c>
      <c r="B1929" s="1141" t="str">
        <f>IFERROR(VLOOKUP(A1929,'LAC 103'!A:C,3,FALSE),"")</f>
        <v/>
      </c>
      <c r="C1929" s="1478" t="str">
        <f>Info!$B$8</f>
        <v>00100</v>
      </c>
      <c r="D1929" s="1474"/>
      <c r="E1929" s="1474"/>
      <c r="F1929" s="1478"/>
      <c r="G1929" s="1478"/>
      <c r="H1929" s="1474"/>
      <c r="I1929" s="1478"/>
      <c r="J1929" s="1478"/>
      <c r="K1929" s="1475"/>
      <c r="L1929" s="1474"/>
      <c r="M1929" s="1476"/>
      <c r="N1929" s="1477"/>
      <c r="O1929" s="1479"/>
      <c r="P1929" s="1479"/>
      <c r="Q1929" s="1142">
        <f t="shared" si="541"/>
        <v>0</v>
      </c>
      <c r="R1929" s="1143">
        <f>IFERROR(VLOOKUP(CONCATENATE($E1929,$G1929),'LAC 103'!$A$12:$O$95,11,FALSE),0)</f>
        <v>0</v>
      </c>
      <c r="S1929" s="1144">
        <f>IFERROR(VLOOKUP(CONCATENATE($E1929,$G1929),'LAC 103'!$A$12:$O$95,12,FALSE),0)</f>
        <v>0</v>
      </c>
      <c r="T1929" s="1144">
        <f>IFERROR(VLOOKUP(CONCATENATE($E1929,$G1929),'LAC 103'!$A$12:$O$95,13,FALSE),0)</f>
        <v>0</v>
      </c>
      <c r="U1929" s="1144">
        <f>IFERROR(VLOOKUP(CONCATENATE($E1929,$G1929),'LAC 103'!$A$12:$O$95,14,FALSE),0)</f>
        <v>0</v>
      </c>
      <c r="V1929" s="1144">
        <f>IFERROR(VLOOKUP(CONCATENATE($E1929,$G1929),'LAC 103'!$A$12:$O$95,15,FALSE),0)</f>
        <v>0</v>
      </c>
      <c r="W1929" s="1145" t="str">
        <f>IFERROR(VLOOKUP(CONCATENATE($B1929,$N1929),'LAC 103'!$AI:$AQ,9,FALSE),"")</f>
        <v/>
      </c>
      <c r="X1929" s="1146">
        <f t="shared" si="546"/>
        <v>0</v>
      </c>
      <c r="Y1929" s="1143">
        <f t="shared" si="538"/>
        <v>0</v>
      </c>
      <c r="Z1929" s="1147">
        <f t="shared" si="547"/>
        <v>0</v>
      </c>
      <c r="AA1929" s="1144">
        <f t="shared" si="548"/>
        <v>0</v>
      </c>
      <c r="AB1929" s="1144">
        <f t="shared" si="549"/>
        <v>0</v>
      </c>
      <c r="AC1929" s="1144">
        <f t="shared" si="550"/>
        <v>0</v>
      </c>
      <c r="AD1929" s="1148">
        <f t="shared" si="542"/>
        <v>0</v>
      </c>
      <c r="AE1929" s="1487">
        <v>0</v>
      </c>
      <c r="AF1929" s="1145">
        <f t="shared" si="551"/>
        <v>0</v>
      </c>
      <c r="AG1929" s="1149">
        <f>IFERROR(VLOOKUP(CONCATENATE($L1929,$N1929),'Drop List'!$G$23:$K$87,2,FALSE),0)</f>
        <v>0</v>
      </c>
      <c r="AH1929" s="1150">
        <f>IFERROR(VLOOKUP(CONCATENATE($L1929,$N1929),'Drop List'!$G$23:$K$87,3,FALSE),0)</f>
        <v>0</v>
      </c>
      <c r="AI1929" s="1150">
        <f>IFERROR(VLOOKUP(CONCATENATE($L1929,$N1929),'Drop List'!$G$23:$K$87,4,FALSE),0)</f>
        <v>0</v>
      </c>
      <c r="AJ1929" s="1151">
        <f>IFERROR(VLOOKUP(CONCATENATE($L1929,$N1929),'Drop List'!$G$23:$K$87,5,FALSE),0)</f>
        <v>0</v>
      </c>
      <c r="AK1929" s="1152">
        <f t="shared" si="552"/>
        <v>0</v>
      </c>
      <c r="AL1929" s="1153">
        <f t="shared" si="553"/>
        <v>0</v>
      </c>
      <c r="AM1929" s="1153">
        <f t="shared" si="554"/>
        <v>0</v>
      </c>
      <c r="AN1929" s="1145">
        <f t="shared" si="555"/>
        <v>0</v>
      </c>
      <c r="AO1929" s="1154">
        <f t="shared" si="540"/>
        <v>0</v>
      </c>
      <c r="AP1929" s="1147">
        <f t="shared" si="543"/>
        <v>0</v>
      </c>
      <c r="AQ1929" s="1144">
        <f t="shared" si="544"/>
        <v>0</v>
      </c>
      <c r="AR1929" s="1146">
        <f t="shared" si="545"/>
        <v>0</v>
      </c>
    </row>
    <row r="1930" spans="1:44" x14ac:dyDescent="0.2">
      <c r="A1930" s="1141" t="str">
        <f t="shared" si="539"/>
        <v/>
      </c>
      <c r="B1930" s="1141" t="str">
        <f>IFERROR(VLOOKUP(A1930,'LAC 103'!A:C,3,FALSE),"")</f>
        <v/>
      </c>
      <c r="C1930" s="1478" t="str">
        <f>Info!$B$8</f>
        <v>00100</v>
      </c>
      <c r="D1930" s="1474"/>
      <c r="E1930" s="1474"/>
      <c r="F1930" s="1478"/>
      <c r="G1930" s="1478"/>
      <c r="H1930" s="1474"/>
      <c r="I1930" s="1478"/>
      <c r="J1930" s="1478"/>
      <c r="K1930" s="1475"/>
      <c r="L1930" s="1474"/>
      <c r="M1930" s="1476"/>
      <c r="N1930" s="1477"/>
      <c r="O1930" s="1479"/>
      <c r="P1930" s="1479"/>
      <c r="Q1930" s="1142">
        <f t="shared" si="541"/>
        <v>0</v>
      </c>
      <c r="R1930" s="1143">
        <f>IFERROR(VLOOKUP(CONCATENATE($E1930,$G1930),'LAC 103'!$A$12:$O$95,11,FALSE),0)</f>
        <v>0</v>
      </c>
      <c r="S1930" s="1144">
        <f>IFERROR(VLOOKUP(CONCATENATE($E1930,$G1930),'LAC 103'!$A$12:$O$95,12,FALSE),0)</f>
        <v>0</v>
      </c>
      <c r="T1930" s="1144">
        <f>IFERROR(VLOOKUP(CONCATENATE($E1930,$G1930),'LAC 103'!$A$12:$O$95,13,FALSE),0)</f>
        <v>0</v>
      </c>
      <c r="U1930" s="1144">
        <f>IFERROR(VLOOKUP(CONCATENATE($E1930,$G1930),'LAC 103'!$A$12:$O$95,14,FALSE),0)</f>
        <v>0</v>
      </c>
      <c r="V1930" s="1144">
        <f>IFERROR(VLOOKUP(CONCATENATE($E1930,$G1930),'LAC 103'!$A$12:$O$95,15,FALSE),0)</f>
        <v>0</v>
      </c>
      <c r="W1930" s="1145" t="str">
        <f>IFERROR(VLOOKUP(CONCATENATE($B1930,$N1930),'LAC 103'!$AI:$AQ,9,FALSE),"")</f>
        <v/>
      </c>
      <c r="X1930" s="1146">
        <f t="shared" si="546"/>
        <v>0</v>
      </c>
      <c r="Y1930" s="1143">
        <f t="shared" ref="Y1930:Y1993" si="556">$Q1930*R1930</f>
        <v>0</v>
      </c>
      <c r="Z1930" s="1147">
        <f t="shared" si="547"/>
        <v>0</v>
      </c>
      <c r="AA1930" s="1144">
        <f t="shared" si="548"/>
        <v>0</v>
      </c>
      <c r="AB1930" s="1144">
        <f t="shared" si="549"/>
        <v>0</v>
      </c>
      <c r="AC1930" s="1144">
        <f t="shared" si="550"/>
        <v>0</v>
      </c>
      <c r="AD1930" s="1148">
        <f t="shared" si="542"/>
        <v>0</v>
      </c>
      <c r="AE1930" s="1487">
        <v>0</v>
      </c>
      <c r="AF1930" s="1145">
        <f t="shared" si="551"/>
        <v>0</v>
      </c>
      <c r="AG1930" s="1149">
        <f>IFERROR(VLOOKUP(CONCATENATE($L1930,$N1930),'Drop List'!$G$23:$K$87,2,FALSE),0)</f>
        <v>0</v>
      </c>
      <c r="AH1930" s="1150">
        <f>IFERROR(VLOOKUP(CONCATENATE($L1930,$N1930),'Drop List'!$G$23:$K$87,3,FALSE),0)</f>
        <v>0</v>
      </c>
      <c r="AI1930" s="1150">
        <f>IFERROR(VLOOKUP(CONCATENATE($L1930,$N1930),'Drop List'!$G$23:$K$87,4,FALSE),0)</f>
        <v>0</v>
      </c>
      <c r="AJ1930" s="1151">
        <f>IFERROR(VLOOKUP(CONCATENATE($L1930,$N1930),'Drop List'!$G$23:$K$87,5,FALSE),0)</f>
        <v>0</v>
      </c>
      <c r="AK1930" s="1152">
        <f t="shared" si="552"/>
        <v>0</v>
      </c>
      <c r="AL1930" s="1153">
        <f t="shared" si="553"/>
        <v>0</v>
      </c>
      <c r="AM1930" s="1153">
        <f t="shared" si="554"/>
        <v>0</v>
      </c>
      <c r="AN1930" s="1145">
        <f t="shared" si="555"/>
        <v>0</v>
      </c>
      <c r="AO1930" s="1154">
        <f t="shared" si="540"/>
        <v>0</v>
      </c>
      <c r="AP1930" s="1147">
        <f t="shared" si="543"/>
        <v>0</v>
      </c>
      <c r="AQ1930" s="1144">
        <f t="shared" si="544"/>
        <v>0</v>
      </c>
      <c r="AR1930" s="1146">
        <f t="shared" si="545"/>
        <v>0</v>
      </c>
    </row>
    <row r="1931" spans="1:44" x14ac:dyDescent="0.2">
      <c r="A1931" s="1141" t="str">
        <f t="shared" si="539"/>
        <v/>
      </c>
      <c r="B1931" s="1141" t="str">
        <f>IFERROR(VLOOKUP(A1931,'LAC 103'!A:C,3,FALSE),"")</f>
        <v/>
      </c>
      <c r="C1931" s="1478" t="str">
        <f>Info!$B$8</f>
        <v>00100</v>
      </c>
      <c r="D1931" s="1474"/>
      <c r="E1931" s="1474"/>
      <c r="F1931" s="1478"/>
      <c r="G1931" s="1478"/>
      <c r="H1931" s="1474"/>
      <c r="I1931" s="1478"/>
      <c r="J1931" s="1478"/>
      <c r="K1931" s="1475"/>
      <c r="L1931" s="1474"/>
      <c r="M1931" s="1476"/>
      <c r="N1931" s="1477"/>
      <c r="O1931" s="1479"/>
      <c r="P1931" s="1479"/>
      <c r="Q1931" s="1142">
        <f t="shared" si="541"/>
        <v>0</v>
      </c>
      <c r="R1931" s="1143">
        <f>IFERROR(VLOOKUP(CONCATENATE($E1931,$G1931),'LAC 103'!$A$12:$O$95,11,FALSE),0)</f>
        <v>0</v>
      </c>
      <c r="S1931" s="1144">
        <f>IFERROR(VLOOKUP(CONCATENATE($E1931,$G1931),'LAC 103'!$A$12:$O$95,12,FALSE),0)</f>
        <v>0</v>
      </c>
      <c r="T1931" s="1144">
        <f>IFERROR(VLOOKUP(CONCATENATE($E1931,$G1931),'LAC 103'!$A$12:$O$95,13,FALSE),0)</f>
        <v>0</v>
      </c>
      <c r="U1931" s="1144">
        <f>IFERROR(VLOOKUP(CONCATENATE($E1931,$G1931),'LAC 103'!$A$12:$O$95,14,FALSE),0)</f>
        <v>0</v>
      </c>
      <c r="V1931" s="1144">
        <f>IFERROR(VLOOKUP(CONCATENATE($E1931,$G1931),'LAC 103'!$A$12:$O$95,15,FALSE),0)</f>
        <v>0</v>
      </c>
      <c r="W1931" s="1145" t="str">
        <f>IFERROR(VLOOKUP(CONCATENATE($B1931,$N1931),'LAC 103'!$AI:$AQ,9,FALSE),"")</f>
        <v/>
      </c>
      <c r="X1931" s="1146">
        <f t="shared" si="546"/>
        <v>0</v>
      </c>
      <c r="Y1931" s="1143">
        <f t="shared" si="556"/>
        <v>0</v>
      </c>
      <c r="Z1931" s="1147">
        <f t="shared" si="547"/>
        <v>0</v>
      </c>
      <c r="AA1931" s="1144">
        <f t="shared" si="548"/>
        <v>0</v>
      </c>
      <c r="AB1931" s="1144">
        <f t="shared" si="549"/>
        <v>0</v>
      </c>
      <c r="AC1931" s="1144">
        <f t="shared" si="550"/>
        <v>0</v>
      </c>
      <c r="AD1931" s="1148">
        <f t="shared" si="542"/>
        <v>0</v>
      </c>
      <c r="AE1931" s="1487">
        <v>0</v>
      </c>
      <c r="AF1931" s="1145">
        <f t="shared" si="551"/>
        <v>0</v>
      </c>
      <c r="AG1931" s="1149">
        <f>IFERROR(VLOOKUP(CONCATENATE($L1931,$N1931),'Drop List'!$G$23:$K$87,2,FALSE),0)</f>
        <v>0</v>
      </c>
      <c r="AH1931" s="1150">
        <f>IFERROR(VLOOKUP(CONCATENATE($L1931,$N1931),'Drop List'!$G$23:$K$87,3,FALSE),0)</f>
        <v>0</v>
      </c>
      <c r="AI1931" s="1150">
        <f>IFERROR(VLOOKUP(CONCATENATE($L1931,$N1931),'Drop List'!$G$23:$K$87,4,FALSE),0)</f>
        <v>0</v>
      </c>
      <c r="AJ1931" s="1151">
        <f>IFERROR(VLOOKUP(CONCATENATE($L1931,$N1931),'Drop List'!$G$23:$K$87,5,FALSE),0)</f>
        <v>0</v>
      </c>
      <c r="AK1931" s="1152">
        <f t="shared" si="552"/>
        <v>0</v>
      </c>
      <c r="AL1931" s="1153">
        <f t="shared" si="553"/>
        <v>0</v>
      </c>
      <c r="AM1931" s="1153">
        <f t="shared" si="554"/>
        <v>0</v>
      </c>
      <c r="AN1931" s="1145">
        <f t="shared" si="555"/>
        <v>0</v>
      </c>
      <c r="AO1931" s="1154">
        <f t="shared" si="540"/>
        <v>0</v>
      </c>
      <c r="AP1931" s="1147">
        <f t="shared" si="543"/>
        <v>0</v>
      </c>
      <c r="AQ1931" s="1144">
        <f t="shared" si="544"/>
        <v>0</v>
      </c>
      <c r="AR1931" s="1146">
        <f t="shared" si="545"/>
        <v>0</v>
      </c>
    </row>
    <row r="1932" spans="1:44" x14ac:dyDescent="0.2">
      <c r="A1932" s="1141" t="str">
        <f t="shared" si="539"/>
        <v/>
      </c>
      <c r="B1932" s="1141" t="str">
        <f>IFERROR(VLOOKUP(A1932,'LAC 103'!A:C,3,FALSE),"")</f>
        <v/>
      </c>
      <c r="C1932" s="1478" t="str">
        <f>Info!$B$8</f>
        <v>00100</v>
      </c>
      <c r="D1932" s="1474"/>
      <c r="E1932" s="1474"/>
      <c r="F1932" s="1478"/>
      <c r="G1932" s="1478"/>
      <c r="H1932" s="1474"/>
      <c r="I1932" s="1478"/>
      <c r="J1932" s="1478"/>
      <c r="K1932" s="1475"/>
      <c r="L1932" s="1474"/>
      <c r="M1932" s="1476"/>
      <c r="N1932" s="1477"/>
      <c r="O1932" s="1479"/>
      <c r="P1932" s="1479"/>
      <c r="Q1932" s="1142">
        <f t="shared" si="541"/>
        <v>0</v>
      </c>
      <c r="R1932" s="1143">
        <f>IFERROR(VLOOKUP(CONCATENATE($E1932,$G1932),'LAC 103'!$A$12:$O$95,11,FALSE),0)</f>
        <v>0</v>
      </c>
      <c r="S1932" s="1144">
        <f>IFERROR(VLOOKUP(CONCATENATE($E1932,$G1932),'LAC 103'!$A$12:$O$95,12,FALSE),0)</f>
        <v>0</v>
      </c>
      <c r="T1932" s="1144">
        <f>IFERROR(VLOOKUP(CONCATENATE($E1932,$G1932),'LAC 103'!$A$12:$O$95,13,FALSE),0)</f>
        <v>0</v>
      </c>
      <c r="U1932" s="1144">
        <f>IFERROR(VLOOKUP(CONCATENATE($E1932,$G1932),'LAC 103'!$A$12:$O$95,14,FALSE),0)</f>
        <v>0</v>
      </c>
      <c r="V1932" s="1144">
        <f>IFERROR(VLOOKUP(CONCATENATE($E1932,$G1932),'LAC 103'!$A$12:$O$95,15,FALSE),0)</f>
        <v>0</v>
      </c>
      <c r="W1932" s="1145" t="str">
        <f>IFERROR(VLOOKUP(CONCATENATE($B1932,$N1932),'LAC 103'!$AI:$AQ,9,FALSE),"")</f>
        <v/>
      </c>
      <c r="X1932" s="1146">
        <f t="shared" si="546"/>
        <v>0</v>
      </c>
      <c r="Y1932" s="1143">
        <f t="shared" si="556"/>
        <v>0</v>
      </c>
      <c r="Z1932" s="1147">
        <f t="shared" si="547"/>
        <v>0</v>
      </c>
      <c r="AA1932" s="1144">
        <f t="shared" si="548"/>
        <v>0</v>
      </c>
      <c r="AB1932" s="1144">
        <f t="shared" si="549"/>
        <v>0</v>
      </c>
      <c r="AC1932" s="1144">
        <f t="shared" si="550"/>
        <v>0</v>
      </c>
      <c r="AD1932" s="1148">
        <f t="shared" si="542"/>
        <v>0</v>
      </c>
      <c r="AE1932" s="1487">
        <v>0</v>
      </c>
      <c r="AF1932" s="1145">
        <f t="shared" si="551"/>
        <v>0</v>
      </c>
      <c r="AG1932" s="1149">
        <f>IFERROR(VLOOKUP(CONCATENATE($L1932,$N1932),'Drop List'!$G$23:$K$87,2,FALSE),0)</f>
        <v>0</v>
      </c>
      <c r="AH1932" s="1150">
        <f>IFERROR(VLOOKUP(CONCATENATE($L1932,$N1932),'Drop List'!$G$23:$K$87,3,FALSE),0)</f>
        <v>0</v>
      </c>
      <c r="AI1932" s="1150">
        <f>IFERROR(VLOOKUP(CONCATENATE($L1932,$N1932),'Drop List'!$G$23:$K$87,4,FALSE),0)</f>
        <v>0</v>
      </c>
      <c r="AJ1932" s="1151">
        <f>IFERROR(VLOOKUP(CONCATENATE($L1932,$N1932),'Drop List'!$G$23:$K$87,5,FALSE),0)</f>
        <v>0</v>
      </c>
      <c r="AK1932" s="1152">
        <f t="shared" si="552"/>
        <v>0</v>
      </c>
      <c r="AL1932" s="1153">
        <f t="shared" si="553"/>
        <v>0</v>
      </c>
      <c r="AM1932" s="1153">
        <f t="shared" si="554"/>
        <v>0</v>
      </c>
      <c r="AN1932" s="1145">
        <f t="shared" si="555"/>
        <v>0</v>
      </c>
      <c r="AO1932" s="1154">
        <f t="shared" si="540"/>
        <v>0</v>
      </c>
      <c r="AP1932" s="1147">
        <f t="shared" si="543"/>
        <v>0</v>
      </c>
      <c r="AQ1932" s="1144">
        <f t="shared" si="544"/>
        <v>0</v>
      </c>
      <c r="AR1932" s="1146">
        <f t="shared" si="545"/>
        <v>0</v>
      </c>
    </row>
    <row r="1933" spans="1:44" x14ac:dyDescent="0.2">
      <c r="A1933" s="1141" t="str">
        <f t="shared" si="539"/>
        <v/>
      </c>
      <c r="B1933" s="1141" t="str">
        <f>IFERROR(VLOOKUP(A1933,'LAC 103'!A:C,3,FALSE),"")</f>
        <v/>
      </c>
      <c r="C1933" s="1478" t="str">
        <f>Info!$B$8</f>
        <v>00100</v>
      </c>
      <c r="D1933" s="1474"/>
      <c r="E1933" s="1474"/>
      <c r="F1933" s="1478"/>
      <c r="G1933" s="1478"/>
      <c r="H1933" s="1474"/>
      <c r="I1933" s="1478"/>
      <c r="J1933" s="1478"/>
      <c r="K1933" s="1475"/>
      <c r="L1933" s="1474"/>
      <c r="M1933" s="1476"/>
      <c r="N1933" s="1477"/>
      <c r="O1933" s="1479"/>
      <c r="P1933" s="1479"/>
      <c r="Q1933" s="1142">
        <f t="shared" si="541"/>
        <v>0</v>
      </c>
      <c r="R1933" s="1143">
        <f>IFERROR(VLOOKUP(CONCATENATE($E1933,$G1933),'LAC 103'!$A$12:$O$95,11,FALSE),0)</f>
        <v>0</v>
      </c>
      <c r="S1933" s="1144">
        <f>IFERROR(VLOOKUP(CONCATENATE($E1933,$G1933),'LAC 103'!$A$12:$O$95,12,FALSE),0)</f>
        <v>0</v>
      </c>
      <c r="T1933" s="1144">
        <f>IFERROR(VLOOKUP(CONCATENATE($E1933,$G1933),'LAC 103'!$A$12:$O$95,13,FALSE),0)</f>
        <v>0</v>
      </c>
      <c r="U1933" s="1144">
        <f>IFERROR(VLOOKUP(CONCATENATE($E1933,$G1933),'LAC 103'!$A$12:$O$95,14,FALSE),0)</f>
        <v>0</v>
      </c>
      <c r="V1933" s="1144">
        <f>IFERROR(VLOOKUP(CONCATENATE($E1933,$G1933),'LAC 103'!$A$12:$O$95,15,FALSE),0)</f>
        <v>0</v>
      </c>
      <c r="W1933" s="1145" t="str">
        <f>IFERROR(VLOOKUP(CONCATENATE($B1933,$N1933),'LAC 103'!$AI:$AQ,9,FALSE),"")</f>
        <v/>
      </c>
      <c r="X1933" s="1146">
        <f t="shared" si="546"/>
        <v>0</v>
      </c>
      <c r="Y1933" s="1143">
        <f t="shared" si="556"/>
        <v>0</v>
      </c>
      <c r="Z1933" s="1147">
        <f t="shared" si="547"/>
        <v>0</v>
      </c>
      <c r="AA1933" s="1144">
        <f t="shared" si="548"/>
        <v>0</v>
      </c>
      <c r="AB1933" s="1144">
        <f t="shared" si="549"/>
        <v>0</v>
      </c>
      <c r="AC1933" s="1144">
        <f t="shared" si="550"/>
        <v>0</v>
      </c>
      <c r="AD1933" s="1148">
        <f t="shared" si="542"/>
        <v>0</v>
      </c>
      <c r="AE1933" s="1487">
        <v>0</v>
      </c>
      <c r="AF1933" s="1145">
        <f t="shared" si="551"/>
        <v>0</v>
      </c>
      <c r="AG1933" s="1149">
        <f>IFERROR(VLOOKUP(CONCATENATE($L1933,$N1933),'Drop List'!$G$23:$K$87,2,FALSE),0)</f>
        <v>0</v>
      </c>
      <c r="AH1933" s="1150">
        <f>IFERROR(VLOOKUP(CONCATENATE($L1933,$N1933),'Drop List'!$G$23:$K$87,3,FALSE),0)</f>
        <v>0</v>
      </c>
      <c r="AI1933" s="1150">
        <f>IFERROR(VLOOKUP(CONCATENATE($L1933,$N1933),'Drop List'!$G$23:$K$87,4,FALSE),0)</f>
        <v>0</v>
      </c>
      <c r="AJ1933" s="1151">
        <f>IFERROR(VLOOKUP(CONCATENATE($L1933,$N1933),'Drop List'!$G$23:$K$87,5,FALSE),0)</f>
        <v>0</v>
      </c>
      <c r="AK1933" s="1152">
        <f t="shared" si="552"/>
        <v>0</v>
      </c>
      <c r="AL1933" s="1153">
        <f t="shared" si="553"/>
        <v>0</v>
      </c>
      <c r="AM1933" s="1153">
        <f t="shared" si="554"/>
        <v>0</v>
      </c>
      <c r="AN1933" s="1145">
        <f t="shared" si="555"/>
        <v>0</v>
      </c>
      <c r="AO1933" s="1154">
        <f t="shared" si="540"/>
        <v>0</v>
      </c>
      <c r="AP1933" s="1147">
        <f t="shared" si="543"/>
        <v>0</v>
      </c>
      <c r="AQ1933" s="1144">
        <f t="shared" si="544"/>
        <v>0</v>
      </c>
      <c r="AR1933" s="1146">
        <f t="shared" si="545"/>
        <v>0</v>
      </c>
    </row>
    <row r="1934" spans="1:44" x14ac:dyDescent="0.2">
      <c r="A1934" s="1141" t="str">
        <f t="shared" si="539"/>
        <v/>
      </c>
      <c r="B1934" s="1141" t="str">
        <f>IFERROR(VLOOKUP(A1934,'LAC 103'!A:C,3,FALSE),"")</f>
        <v/>
      </c>
      <c r="C1934" s="1478" t="str">
        <f>Info!$B$8</f>
        <v>00100</v>
      </c>
      <c r="D1934" s="1474"/>
      <c r="E1934" s="1474"/>
      <c r="F1934" s="1478"/>
      <c r="G1934" s="1478"/>
      <c r="H1934" s="1474"/>
      <c r="I1934" s="1478"/>
      <c r="J1934" s="1478"/>
      <c r="K1934" s="1475"/>
      <c r="L1934" s="1474"/>
      <c r="M1934" s="1476"/>
      <c r="N1934" s="1477"/>
      <c r="O1934" s="1479"/>
      <c r="P1934" s="1479"/>
      <c r="Q1934" s="1142">
        <f t="shared" si="541"/>
        <v>0</v>
      </c>
      <c r="R1934" s="1143">
        <f>IFERROR(VLOOKUP(CONCATENATE($E1934,$G1934),'LAC 103'!$A$12:$O$95,11,FALSE),0)</f>
        <v>0</v>
      </c>
      <c r="S1934" s="1144">
        <f>IFERROR(VLOOKUP(CONCATENATE($E1934,$G1934),'LAC 103'!$A$12:$O$95,12,FALSE),0)</f>
        <v>0</v>
      </c>
      <c r="T1934" s="1144">
        <f>IFERROR(VLOOKUP(CONCATENATE($E1934,$G1934),'LAC 103'!$A$12:$O$95,13,FALSE),0)</f>
        <v>0</v>
      </c>
      <c r="U1934" s="1144">
        <f>IFERROR(VLOOKUP(CONCATENATE($E1934,$G1934),'LAC 103'!$A$12:$O$95,14,FALSE),0)</f>
        <v>0</v>
      </c>
      <c r="V1934" s="1144">
        <f>IFERROR(VLOOKUP(CONCATENATE($E1934,$G1934),'LAC 103'!$A$12:$O$95,15,FALSE),0)</f>
        <v>0</v>
      </c>
      <c r="W1934" s="1145" t="str">
        <f>IFERROR(VLOOKUP(CONCATENATE($B1934,$N1934),'LAC 103'!$AI:$AQ,9,FALSE),"")</f>
        <v/>
      </c>
      <c r="X1934" s="1146">
        <f t="shared" si="546"/>
        <v>0</v>
      </c>
      <c r="Y1934" s="1143">
        <f t="shared" si="556"/>
        <v>0</v>
      </c>
      <c r="Z1934" s="1147">
        <f t="shared" si="547"/>
        <v>0</v>
      </c>
      <c r="AA1934" s="1144">
        <f t="shared" si="548"/>
        <v>0</v>
      </c>
      <c r="AB1934" s="1144">
        <f t="shared" si="549"/>
        <v>0</v>
      </c>
      <c r="AC1934" s="1144">
        <f t="shared" si="550"/>
        <v>0</v>
      </c>
      <c r="AD1934" s="1148">
        <f t="shared" si="542"/>
        <v>0</v>
      </c>
      <c r="AE1934" s="1487">
        <v>0</v>
      </c>
      <c r="AF1934" s="1145">
        <f t="shared" si="551"/>
        <v>0</v>
      </c>
      <c r="AG1934" s="1149">
        <f>IFERROR(VLOOKUP(CONCATENATE($L1934,$N1934),'Drop List'!$G$23:$K$87,2,FALSE),0)</f>
        <v>0</v>
      </c>
      <c r="AH1934" s="1150">
        <f>IFERROR(VLOOKUP(CONCATENATE($L1934,$N1934),'Drop List'!$G$23:$K$87,3,FALSE),0)</f>
        <v>0</v>
      </c>
      <c r="AI1934" s="1150">
        <f>IFERROR(VLOOKUP(CONCATENATE($L1934,$N1934),'Drop List'!$G$23:$K$87,4,FALSE),0)</f>
        <v>0</v>
      </c>
      <c r="AJ1934" s="1151">
        <f>IFERROR(VLOOKUP(CONCATENATE($L1934,$N1934),'Drop List'!$G$23:$K$87,5,FALSE),0)</f>
        <v>0</v>
      </c>
      <c r="AK1934" s="1152">
        <f t="shared" si="552"/>
        <v>0</v>
      </c>
      <c r="AL1934" s="1153">
        <f t="shared" si="553"/>
        <v>0</v>
      </c>
      <c r="AM1934" s="1153">
        <f t="shared" si="554"/>
        <v>0</v>
      </c>
      <c r="AN1934" s="1145">
        <f t="shared" si="555"/>
        <v>0</v>
      </c>
      <c r="AO1934" s="1154">
        <f t="shared" si="540"/>
        <v>0</v>
      </c>
      <c r="AP1934" s="1147">
        <f t="shared" si="543"/>
        <v>0</v>
      </c>
      <c r="AQ1934" s="1144">
        <f t="shared" si="544"/>
        <v>0</v>
      </c>
      <c r="AR1934" s="1146">
        <f t="shared" si="545"/>
        <v>0</v>
      </c>
    </row>
    <row r="1935" spans="1:44" x14ac:dyDescent="0.2">
      <c r="A1935" s="1141" t="str">
        <f t="shared" si="539"/>
        <v/>
      </c>
      <c r="B1935" s="1141" t="str">
        <f>IFERROR(VLOOKUP(A1935,'LAC 103'!A:C,3,FALSE),"")</f>
        <v/>
      </c>
      <c r="C1935" s="1478" t="str">
        <f>Info!$B$8</f>
        <v>00100</v>
      </c>
      <c r="D1935" s="1474"/>
      <c r="E1935" s="1474"/>
      <c r="F1935" s="1478"/>
      <c r="G1935" s="1478"/>
      <c r="H1935" s="1474"/>
      <c r="I1935" s="1478"/>
      <c r="J1935" s="1478"/>
      <c r="K1935" s="1475"/>
      <c r="L1935" s="1474"/>
      <c r="M1935" s="1476"/>
      <c r="N1935" s="1477"/>
      <c r="O1935" s="1479"/>
      <c r="P1935" s="1479"/>
      <c r="Q1935" s="1142">
        <f t="shared" si="541"/>
        <v>0</v>
      </c>
      <c r="R1935" s="1143">
        <f>IFERROR(VLOOKUP(CONCATENATE($E1935,$G1935),'LAC 103'!$A$12:$O$95,11,FALSE),0)</f>
        <v>0</v>
      </c>
      <c r="S1935" s="1144">
        <f>IFERROR(VLOOKUP(CONCATENATE($E1935,$G1935),'LAC 103'!$A$12:$O$95,12,FALSE),0)</f>
        <v>0</v>
      </c>
      <c r="T1935" s="1144">
        <f>IFERROR(VLOOKUP(CONCATENATE($E1935,$G1935),'LAC 103'!$A$12:$O$95,13,FALSE),0)</f>
        <v>0</v>
      </c>
      <c r="U1935" s="1144">
        <f>IFERROR(VLOOKUP(CONCATENATE($E1935,$G1935),'LAC 103'!$A$12:$O$95,14,FALSE),0)</f>
        <v>0</v>
      </c>
      <c r="V1935" s="1144">
        <f>IFERROR(VLOOKUP(CONCATENATE($E1935,$G1935),'LAC 103'!$A$12:$O$95,15,FALSE),0)</f>
        <v>0</v>
      </c>
      <c r="W1935" s="1145" t="str">
        <f>IFERROR(VLOOKUP(CONCATENATE($B1935,$N1935),'LAC 103'!$AI:$AQ,9,FALSE),"")</f>
        <v/>
      </c>
      <c r="X1935" s="1146">
        <f t="shared" si="546"/>
        <v>0</v>
      </c>
      <c r="Y1935" s="1143">
        <f t="shared" si="556"/>
        <v>0</v>
      </c>
      <c r="Z1935" s="1147">
        <f t="shared" si="547"/>
        <v>0</v>
      </c>
      <c r="AA1935" s="1144">
        <f t="shared" si="548"/>
        <v>0</v>
      </c>
      <c r="AB1935" s="1144">
        <f t="shared" si="549"/>
        <v>0</v>
      </c>
      <c r="AC1935" s="1144">
        <f t="shared" si="550"/>
        <v>0</v>
      </c>
      <c r="AD1935" s="1148">
        <f t="shared" si="542"/>
        <v>0</v>
      </c>
      <c r="AE1935" s="1487">
        <v>0</v>
      </c>
      <c r="AF1935" s="1145">
        <f t="shared" si="551"/>
        <v>0</v>
      </c>
      <c r="AG1935" s="1149">
        <f>IFERROR(VLOOKUP(CONCATENATE($L1935,$N1935),'Drop List'!$G$23:$K$87,2,FALSE),0)</f>
        <v>0</v>
      </c>
      <c r="AH1935" s="1150">
        <f>IFERROR(VLOOKUP(CONCATENATE($L1935,$N1935),'Drop List'!$G$23:$K$87,3,FALSE),0)</f>
        <v>0</v>
      </c>
      <c r="AI1935" s="1150">
        <f>IFERROR(VLOOKUP(CONCATENATE($L1935,$N1935),'Drop List'!$G$23:$K$87,4,FALSE),0)</f>
        <v>0</v>
      </c>
      <c r="AJ1935" s="1151">
        <f>IFERROR(VLOOKUP(CONCATENATE($L1935,$N1935),'Drop List'!$G$23:$K$87,5,FALSE),0)</f>
        <v>0</v>
      </c>
      <c r="AK1935" s="1152">
        <f t="shared" si="552"/>
        <v>0</v>
      </c>
      <c r="AL1935" s="1153">
        <f t="shared" si="553"/>
        <v>0</v>
      </c>
      <c r="AM1935" s="1153">
        <f t="shared" si="554"/>
        <v>0</v>
      </c>
      <c r="AN1935" s="1145">
        <f t="shared" si="555"/>
        <v>0</v>
      </c>
      <c r="AO1935" s="1154">
        <f t="shared" si="540"/>
        <v>0</v>
      </c>
      <c r="AP1935" s="1147">
        <f t="shared" si="543"/>
        <v>0</v>
      </c>
      <c r="AQ1935" s="1144">
        <f t="shared" si="544"/>
        <v>0</v>
      </c>
      <c r="AR1935" s="1146">
        <f t="shared" si="545"/>
        <v>0</v>
      </c>
    </row>
    <row r="1936" spans="1:44" x14ac:dyDescent="0.2">
      <c r="A1936" s="1141" t="str">
        <f t="shared" si="539"/>
        <v/>
      </c>
      <c r="B1936" s="1141" t="str">
        <f>IFERROR(VLOOKUP(A1936,'LAC 103'!A:C,3,FALSE),"")</f>
        <v/>
      </c>
      <c r="C1936" s="1478" t="str">
        <f>Info!$B$8</f>
        <v>00100</v>
      </c>
      <c r="D1936" s="1474"/>
      <c r="E1936" s="1474"/>
      <c r="F1936" s="1478"/>
      <c r="G1936" s="1478"/>
      <c r="H1936" s="1474"/>
      <c r="I1936" s="1478"/>
      <c r="J1936" s="1478"/>
      <c r="K1936" s="1475"/>
      <c r="L1936" s="1474"/>
      <c r="M1936" s="1476"/>
      <c r="N1936" s="1477"/>
      <c r="O1936" s="1479"/>
      <c r="P1936" s="1479"/>
      <c r="Q1936" s="1142">
        <f t="shared" si="541"/>
        <v>0</v>
      </c>
      <c r="R1936" s="1143">
        <f>IFERROR(VLOOKUP(CONCATENATE($E1936,$G1936),'LAC 103'!$A$12:$O$95,11,FALSE),0)</f>
        <v>0</v>
      </c>
      <c r="S1936" s="1144">
        <f>IFERROR(VLOOKUP(CONCATENATE($E1936,$G1936),'LAC 103'!$A$12:$O$95,12,FALSE),0)</f>
        <v>0</v>
      </c>
      <c r="T1936" s="1144">
        <f>IFERROR(VLOOKUP(CONCATENATE($E1936,$G1936),'LAC 103'!$A$12:$O$95,13,FALSE),0)</f>
        <v>0</v>
      </c>
      <c r="U1936" s="1144">
        <f>IFERROR(VLOOKUP(CONCATENATE($E1936,$G1936),'LAC 103'!$A$12:$O$95,14,FALSE),0)</f>
        <v>0</v>
      </c>
      <c r="V1936" s="1144">
        <f>IFERROR(VLOOKUP(CONCATENATE($E1936,$G1936),'LAC 103'!$A$12:$O$95,15,FALSE),0)</f>
        <v>0</v>
      </c>
      <c r="W1936" s="1145" t="str">
        <f>IFERROR(VLOOKUP(CONCATENATE($B1936,$N1936),'LAC 103'!$AI:$AQ,9,FALSE),"")</f>
        <v/>
      </c>
      <c r="X1936" s="1146">
        <f t="shared" si="546"/>
        <v>0</v>
      </c>
      <c r="Y1936" s="1143">
        <f t="shared" si="556"/>
        <v>0</v>
      </c>
      <c r="Z1936" s="1147">
        <f t="shared" si="547"/>
        <v>0</v>
      </c>
      <c r="AA1936" s="1144">
        <f t="shared" si="548"/>
        <v>0</v>
      </c>
      <c r="AB1936" s="1144">
        <f t="shared" si="549"/>
        <v>0</v>
      </c>
      <c r="AC1936" s="1144">
        <f t="shared" si="550"/>
        <v>0</v>
      </c>
      <c r="AD1936" s="1148">
        <f t="shared" si="542"/>
        <v>0</v>
      </c>
      <c r="AE1936" s="1487">
        <v>0</v>
      </c>
      <c r="AF1936" s="1145">
        <f t="shared" si="551"/>
        <v>0</v>
      </c>
      <c r="AG1936" s="1149">
        <f>IFERROR(VLOOKUP(CONCATENATE($L1936,$N1936),'Drop List'!$G$23:$K$87,2,FALSE),0)</f>
        <v>0</v>
      </c>
      <c r="AH1936" s="1150">
        <f>IFERROR(VLOOKUP(CONCATENATE($L1936,$N1936),'Drop List'!$G$23:$K$87,3,FALSE),0)</f>
        <v>0</v>
      </c>
      <c r="AI1936" s="1150">
        <f>IFERROR(VLOOKUP(CONCATENATE($L1936,$N1936),'Drop List'!$G$23:$K$87,4,FALSE),0)</f>
        <v>0</v>
      </c>
      <c r="AJ1936" s="1151">
        <f>IFERROR(VLOOKUP(CONCATENATE($L1936,$N1936),'Drop List'!$G$23:$K$87,5,FALSE),0)</f>
        <v>0</v>
      </c>
      <c r="AK1936" s="1152">
        <f t="shared" si="552"/>
        <v>0</v>
      </c>
      <c r="AL1936" s="1153">
        <f t="shared" si="553"/>
        <v>0</v>
      </c>
      <c r="AM1936" s="1153">
        <f t="shared" si="554"/>
        <v>0</v>
      </c>
      <c r="AN1936" s="1145">
        <f t="shared" si="555"/>
        <v>0</v>
      </c>
      <c r="AO1936" s="1154">
        <f t="shared" si="540"/>
        <v>0</v>
      </c>
      <c r="AP1936" s="1147">
        <f t="shared" si="543"/>
        <v>0</v>
      </c>
      <c r="AQ1936" s="1144">
        <f t="shared" si="544"/>
        <v>0</v>
      </c>
      <c r="AR1936" s="1146">
        <f t="shared" si="545"/>
        <v>0</v>
      </c>
    </row>
    <row r="1937" spans="1:44" x14ac:dyDescent="0.2">
      <c r="A1937" s="1141" t="str">
        <f t="shared" si="539"/>
        <v/>
      </c>
      <c r="B1937" s="1141" t="str">
        <f>IFERROR(VLOOKUP(A1937,'LAC 103'!A:C,3,FALSE),"")</f>
        <v/>
      </c>
      <c r="C1937" s="1478" t="str">
        <f>Info!$B$8</f>
        <v>00100</v>
      </c>
      <c r="D1937" s="1474"/>
      <c r="E1937" s="1474"/>
      <c r="F1937" s="1478"/>
      <c r="G1937" s="1478"/>
      <c r="H1937" s="1474"/>
      <c r="I1937" s="1478"/>
      <c r="J1937" s="1478"/>
      <c r="K1937" s="1475"/>
      <c r="L1937" s="1474"/>
      <c r="M1937" s="1476"/>
      <c r="N1937" s="1477"/>
      <c r="O1937" s="1479"/>
      <c r="P1937" s="1479"/>
      <c r="Q1937" s="1142">
        <f t="shared" si="541"/>
        <v>0</v>
      </c>
      <c r="R1937" s="1143">
        <f>IFERROR(VLOOKUP(CONCATENATE($E1937,$G1937),'LAC 103'!$A$12:$O$95,11,FALSE),0)</f>
        <v>0</v>
      </c>
      <c r="S1937" s="1144">
        <f>IFERROR(VLOOKUP(CONCATENATE($E1937,$G1937),'LAC 103'!$A$12:$O$95,12,FALSE),0)</f>
        <v>0</v>
      </c>
      <c r="T1937" s="1144">
        <f>IFERROR(VLOOKUP(CONCATENATE($E1937,$G1937),'LAC 103'!$A$12:$O$95,13,FALSE),0)</f>
        <v>0</v>
      </c>
      <c r="U1937" s="1144">
        <f>IFERROR(VLOOKUP(CONCATENATE($E1937,$G1937),'LAC 103'!$A$12:$O$95,14,FALSE),0)</f>
        <v>0</v>
      </c>
      <c r="V1937" s="1144">
        <f>IFERROR(VLOOKUP(CONCATENATE($E1937,$G1937),'LAC 103'!$A$12:$O$95,15,FALSE),0)</f>
        <v>0</v>
      </c>
      <c r="W1937" s="1145" t="str">
        <f>IFERROR(VLOOKUP(CONCATENATE($B1937,$N1937),'LAC 103'!$AI:$AQ,9,FALSE),"")</f>
        <v/>
      </c>
      <c r="X1937" s="1146">
        <f t="shared" si="546"/>
        <v>0</v>
      </c>
      <c r="Y1937" s="1143">
        <f t="shared" si="556"/>
        <v>0</v>
      </c>
      <c r="Z1937" s="1147">
        <f t="shared" si="547"/>
        <v>0</v>
      </c>
      <c r="AA1937" s="1144">
        <f t="shared" si="548"/>
        <v>0</v>
      </c>
      <c r="AB1937" s="1144">
        <f t="shared" si="549"/>
        <v>0</v>
      </c>
      <c r="AC1937" s="1144">
        <f t="shared" si="550"/>
        <v>0</v>
      </c>
      <c r="AD1937" s="1148">
        <f t="shared" si="542"/>
        <v>0</v>
      </c>
      <c r="AE1937" s="1487">
        <v>0</v>
      </c>
      <c r="AF1937" s="1145">
        <f t="shared" si="551"/>
        <v>0</v>
      </c>
      <c r="AG1937" s="1149">
        <f>IFERROR(VLOOKUP(CONCATENATE($L1937,$N1937),'Drop List'!$G$23:$K$87,2,FALSE),0)</f>
        <v>0</v>
      </c>
      <c r="AH1937" s="1150">
        <f>IFERROR(VLOOKUP(CONCATENATE($L1937,$N1937),'Drop List'!$G$23:$K$87,3,FALSE),0)</f>
        <v>0</v>
      </c>
      <c r="AI1937" s="1150">
        <f>IFERROR(VLOOKUP(CONCATENATE($L1937,$N1937),'Drop List'!$G$23:$K$87,4,FALSE),0)</f>
        <v>0</v>
      </c>
      <c r="AJ1937" s="1151">
        <f>IFERROR(VLOOKUP(CONCATENATE($L1937,$N1937),'Drop List'!$G$23:$K$87,5,FALSE),0)</f>
        <v>0</v>
      </c>
      <c r="AK1937" s="1152">
        <f t="shared" si="552"/>
        <v>0</v>
      </c>
      <c r="AL1937" s="1153">
        <f t="shared" si="553"/>
        <v>0</v>
      </c>
      <c r="AM1937" s="1153">
        <f t="shared" si="554"/>
        <v>0</v>
      </c>
      <c r="AN1937" s="1145">
        <f t="shared" si="555"/>
        <v>0</v>
      </c>
      <c r="AO1937" s="1154">
        <f t="shared" si="540"/>
        <v>0</v>
      </c>
      <c r="AP1937" s="1147">
        <f t="shared" si="543"/>
        <v>0</v>
      </c>
      <c r="AQ1937" s="1144">
        <f t="shared" si="544"/>
        <v>0</v>
      </c>
      <c r="AR1937" s="1146">
        <f t="shared" si="545"/>
        <v>0</v>
      </c>
    </row>
    <row r="1938" spans="1:44" x14ac:dyDescent="0.2">
      <c r="A1938" s="1141" t="str">
        <f t="shared" si="539"/>
        <v/>
      </c>
      <c r="B1938" s="1141" t="str">
        <f>IFERROR(VLOOKUP(A1938,'LAC 103'!A:C,3,FALSE),"")</f>
        <v/>
      </c>
      <c r="C1938" s="1478" t="str">
        <f>Info!$B$8</f>
        <v>00100</v>
      </c>
      <c r="D1938" s="1474"/>
      <c r="E1938" s="1474"/>
      <c r="F1938" s="1478"/>
      <c r="G1938" s="1478"/>
      <c r="H1938" s="1474"/>
      <c r="I1938" s="1478"/>
      <c r="J1938" s="1478"/>
      <c r="K1938" s="1475"/>
      <c r="L1938" s="1474"/>
      <c r="M1938" s="1476"/>
      <c r="N1938" s="1477"/>
      <c r="O1938" s="1479"/>
      <c r="P1938" s="1479"/>
      <c r="Q1938" s="1142">
        <f t="shared" si="541"/>
        <v>0</v>
      </c>
      <c r="R1938" s="1143">
        <f>IFERROR(VLOOKUP(CONCATENATE($E1938,$G1938),'LAC 103'!$A$12:$O$95,11,FALSE),0)</f>
        <v>0</v>
      </c>
      <c r="S1938" s="1144">
        <f>IFERROR(VLOOKUP(CONCATENATE($E1938,$G1938),'LAC 103'!$A$12:$O$95,12,FALSE),0)</f>
        <v>0</v>
      </c>
      <c r="T1938" s="1144">
        <f>IFERROR(VLOOKUP(CONCATENATE($E1938,$G1938),'LAC 103'!$A$12:$O$95,13,FALSE),0)</f>
        <v>0</v>
      </c>
      <c r="U1938" s="1144">
        <f>IFERROR(VLOOKUP(CONCATENATE($E1938,$G1938),'LAC 103'!$A$12:$O$95,14,FALSE),0)</f>
        <v>0</v>
      </c>
      <c r="V1938" s="1144">
        <f>IFERROR(VLOOKUP(CONCATENATE($E1938,$G1938),'LAC 103'!$A$12:$O$95,15,FALSE),0)</f>
        <v>0</v>
      </c>
      <c r="W1938" s="1145" t="str">
        <f>IFERROR(VLOOKUP(CONCATENATE($B1938,$N1938),'LAC 103'!$AI:$AQ,9,FALSE),"")</f>
        <v/>
      </c>
      <c r="X1938" s="1146">
        <f t="shared" si="546"/>
        <v>0</v>
      </c>
      <c r="Y1938" s="1143">
        <f t="shared" si="556"/>
        <v>0</v>
      </c>
      <c r="Z1938" s="1147">
        <f t="shared" si="547"/>
        <v>0</v>
      </c>
      <c r="AA1938" s="1144">
        <f t="shared" si="548"/>
        <v>0</v>
      </c>
      <c r="AB1938" s="1144">
        <f t="shared" si="549"/>
        <v>0</v>
      </c>
      <c r="AC1938" s="1144">
        <f t="shared" si="550"/>
        <v>0</v>
      </c>
      <c r="AD1938" s="1148">
        <f t="shared" si="542"/>
        <v>0</v>
      </c>
      <c r="AE1938" s="1487">
        <v>0</v>
      </c>
      <c r="AF1938" s="1145">
        <f t="shared" si="551"/>
        <v>0</v>
      </c>
      <c r="AG1938" s="1149">
        <f>IFERROR(VLOOKUP(CONCATENATE($L1938,$N1938),'Drop List'!$G$23:$K$87,2,FALSE),0)</f>
        <v>0</v>
      </c>
      <c r="AH1938" s="1150">
        <f>IFERROR(VLOOKUP(CONCATENATE($L1938,$N1938),'Drop List'!$G$23:$K$87,3,FALSE),0)</f>
        <v>0</v>
      </c>
      <c r="AI1938" s="1150">
        <f>IFERROR(VLOOKUP(CONCATENATE($L1938,$N1938),'Drop List'!$G$23:$K$87,4,FALSE),0)</f>
        <v>0</v>
      </c>
      <c r="AJ1938" s="1151">
        <f>IFERROR(VLOOKUP(CONCATENATE($L1938,$N1938),'Drop List'!$G$23:$K$87,5,FALSE),0)</f>
        <v>0</v>
      </c>
      <c r="AK1938" s="1152">
        <f t="shared" si="552"/>
        <v>0</v>
      </c>
      <c r="AL1938" s="1153">
        <f t="shared" si="553"/>
        <v>0</v>
      </c>
      <c r="AM1938" s="1153">
        <f t="shared" si="554"/>
        <v>0</v>
      </c>
      <c r="AN1938" s="1145">
        <f t="shared" si="555"/>
        <v>0</v>
      </c>
      <c r="AO1938" s="1154">
        <f t="shared" si="540"/>
        <v>0</v>
      </c>
      <c r="AP1938" s="1147">
        <f t="shared" si="543"/>
        <v>0</v>
      </c>
      <c r="AQ1938" s="1144">
        <f t="shared" si="544"/>
        <v>0</v>
      </c>
      <c r="AR1938" s="1146">
        <f t="shared" si="545"/>
        <v>0</v>
      </c>
    </row>
    <row r="1939" spans="1:44" x14ac:dyDescent="0.2">
      <c r="A1939" s="1141" t="str">
        <f t="shared" si="539"/>
        <v/>
      </c>
      <c r="B1939" s="1141" t="str">
        <f>IFERROR(VLOOKUP(A1939,'LAC 103'!A:C,3,FALSE),"")</f>
        <v/>
      </c>
      <c r="C1939" s="1478" t="str">
        <f>Info!$B$8</f>
        <v>00100</v>
      </c>
      <c r="D1939" s="1474"/>
      <c r="E1939" s="1474"/>
      <c r="F1939" s="1478"/>
      <c r="G1939" s="1478"/>
      <c r="H1939" s="1474"/>
      <c r="I1939" s="1478"/>
      <c r="J1939" s="1478"/>
      <c r="K1939" s="1475"/>
      <c r="L1939" s="1474"/>
      <c r="M1939" s="1476"/>
      <c r="N1939" s="1477"/>
      <c r="O1939" s="1479"/>
      <c r="P1939" s="1479"/>
      <c r="Q1939" s="1142">
        <f t="shared" si="541"/>
        <v>0</v>
      </c>
      <c r="R1939" s="1143">
        <f>IFERROR(VLOOKUP(CONCATENATE($E1939,$G1939),'LAC 103'!$A$12:$O$95,11,FALSE),0)</f>
        <v>0</v>
      </c>
      <c r="S1939" s="1144">
        <f>IFERROR(VLOOKUP(CONCATENATE($E1939,$G1939),'LAC 103'!$A$12:$O$95,12,FALSE),0)</f>
        <v>0</v>
      </c>
      <c r="T1939" s="1144">
        <f>IFERROR(VLOOKUP(CONCATENATE($E1939,$G1939),'LAC 103'!$A$12:$O$95,13,FALSE),0)</f>
        <v>0</v>
      </c>
      <c r="U1939" s="1144">
        <f>IFERROR(VLOOKUP(CONCATENATE($E1939,$G1939),'LAC 103'!$A$12:$O$95,14,FALSE),0)</f>
        <v>0</v>
      </c>
      <c r="V1939" s="1144">
        <f>IFERROR(VLOOKUP(CONCATENATE($E1939,$G1939),'LAC 103'!$A$12:$O$95,15,FALSE),0)</f>
        <v>0</v>
      </c>
      <c r="W1939" s="1145" t="str">
        <f>IFERROR(VLOOKUP(CONCATENATE($B1939,$N1939),'LAC 103'!$AI:$AQ,9,FALSE),"")</f>
        <v/>
      </c>
      <c r="X1939" s="1146">
        <f t="shared" si="546"/>
        <v>0</v>
      </c>
      <c r="Y1939" s="1143">
        <f t="shared" si="556"/>
        <v>0</v>
      </c>
      <c r="Z1939" s="1147">
        <f t="shared" si="547"/>
        <v>0</v>
      </c>
      <c r="AA1939" s="1144">
        <f t="shared" si="548"/>
        <v>0</v>
      </c>
      <c r="AB1939" s="1144">
        <f t="shared" si="549"/>
        <v>0</v>
      </c>
      <c r="AC1939" s="1144">
        <f t="shared" si="550"/>
        <v>0</v>
      </c>
      <c r="AD1939" s="1148">
        <f t="shared" si="542"/>
        <v>0</v>
      </c>
      <c r="AE1939" s="1487">
        <v>0</v>
      </c>
      <c r="AF1939" s="1145">
        <f t="shared" si="551"/>
        <v>0</v>
      </c>
      <c r="AG1939" s="1149">
        <f>IFERROR(VLOOKUP(CONCATENATE($L1939,$N1939),'Drop List'!$G$23:$K$87,2,FALSE),0)</f>
        <v>0</v>
      </c>
      <c r="AH1939" s="1150">
        <f>IFERROR(VLOOKUP(CONCATENATE($L1939,$N1939),'Drop List'!$G$23:$K$87,3,FALSE),0)</f>
        <v>0</v>
      </c>
      <c r="AI1939" s="1150">
        <f>IFERROR(VLOOKUP(CONCATENATE($L1939,$N1939),'Drop List'!$G$23:$K$87,4,FALSE),0)</f>
        <v>0</v>
      </c>
      <c r="AJ1939" s="1151">
        <f>IFERROR(VLOOKUP(CONCATENATE($L1939,$N1939),'Drop List'!$G$23:$K$87,5,FALSE),0)</f>
        <v>0</v>
      </c>
      <c r="AK1939" s="1152">
        <f t="shared" si="552"/>
        <v>0</v>
      </c>
      <c r="AL1939" s="1153">
        <f t="shared" si="553"/>
        <v>0</v>
      </c>
      <c r="AM1939" s="1153">
        <f t="shared" si="554"/>
        <v>0</v>
      </c>
      <c r="AN1939" s="1145">
        <f t="shared" si="555"/>
        <v>0</v>
      </c>
      <c r="AO1939" s="1154">
        <f t="shared" si="540"/>
        <v>0</v>
      </c>
      <c r="AP1939" s="1147">
        <f t="shared" si="543"/>
        <v>0</v>
      </c>
      <c r="AQ1939" s="1144">
        <f t="shared" si="544"/>
        <v>0</v>
      </c>
      <c r="AR1939" s="1146">
        <f t="shared" si="545"/>
        <v>0</v>
      </c>
    </row>
    <row r="1940" spans="1:44" x14ac:dyDescent="0.2">
      <c r="A1940" s="1141" t="str">
        <f t="shared" si="539"/>
        <v/>
      </c>
      <c r="B1940" s="1141" t="str">
        <f>IFERROR(VLOOKUP(A1940,'LAC 103'!A:C,3,FALSE),"")</f>
        <v/>
      </c>
      <c r="C1940" s="1478" t="str">
        <f>Info!$B$8</f>
        <v>00100</v>
      </c>
      <c r="D1940" s="1474"/>
      <c r="E1940" s="1474"/>
      <c r="F1940" s="1478"/>
      <c r="G1940" s="1478"/>
      <c r="H1940" s="1474"/>
      <c r="I1940" s="1478"/>
      <c r="J1940" s="1478"/>
      <c r="K1940" s="1475"/>
      <c r="L1940" s="1474"/>
      <c r="M1940" s="1476"/>
      <c r="N1940" s="1477"/>
      <c r="O1940" s="1479"/>
      <c r="P1940" s="1479"/>
      <c r="Q1940" s="1142">
        <f t="shared" si="541"/>
        <v>0</v>
      </c>
      <c r="R1940" s="1143">
        <f>IFERROR(VLOOKUP(CONCATENATE($E1940,$G1940),'LAC 103'!$A$12:$O$95,11,FALSE),0)</f>
        <v>0</v>
      </c>
      <c r="S1940" s="1144">
        <f>IFERROR(VLOOKUP(CONCATENATE($E1940,$G1940),'LAC 103'!$A$12:$O$95,12,FALSE),0)</f>
        <v>0</v>
      </c>
      <c r="T1940" s="1144">
        <f>IFERROR(VLOOKUP(CONCATENATE($E1940,$G1940),'LAC 103'!$A$12:$O$95,13,FALSE),0)</f>
        <v>0</v>
      </c>
      <c r="U1940" s="1144">
        <f>IFERROR(VLOOKUP(CONCATENATE($E1940,$G1940),'LAC 103'!$A$12:$O$95,14,FALSE),0)</f>
        <v>0</v>
      </c>
      <c r="V1940" s="1144">
        <f>IFERROR(VLOOKUP(CONCATENATE($E1940,$G1940),'LAC 103'!$A$12:$O$95,15,FALSE),0)</f>
        <v>0</v>
      </c>
      <c r="W1940" s="1145" t="str">
        <f>IFERROR(VLOOKUP(CONCATENATE($B1940,$N1940),'LAC 103'!$AI:$AQ,9,FALSE),"")</f>
        <v/>
      </c>
      <c r="X1940" s="1146">
        <f t="shared" si="546"/>
        <v>0</v>
      </c>
      <c r="Y1940" s="1143">
        <f t="shared" si="556"/>
        <v>0</v>
      </c>
      <c r="Z1940" s="1147">
        <f t="shared" si="547"/>
        <v>0</v>
      </c>
      <c r="AA1940" s="1144">
        <f t="shared" si="548"/>
        <v>0</v>
      </c>
      <c r="AB1940" s="1144">
        <f t="shared" si="549"/>
        <v>0</v>
      </c>
      <c r="AC1940" s="1144">
        <f t="shared" si="550"/>
        <v>0</v>
      </c>
      <c r="AD1940" s="1148">
        <f t="shared" si="542"/>
        <v>0</v>
      </c>
      <c r="AE1940" s="1487">
        <v>0</v>
      </c>
      <c r="AF1940" s="1145">
        <f t="shared" si="551"/>
        <v>0</v>
      </c>
      <c r="AG1940" s="1149">
        <f>IFERROR(VLOOKUP(CONCATENATE($L1940,$N1940),'Drop List'!$G$23:$K$87,2,FALSE),0)</f>
        <v>0</v>
      </c>
      <c r="AH1940" s="1150">
        <f>IFERROR(VLOOKUP(CONCATENATE($L1940,$N1940),'Drop List'!$G$23:$K$87,3,FALSE),0)</f>
        <v>0</v>
      </c>
      <c r="AI1940" s="1150">
        <f>IFERROR(VLOOKUP(CONCATENATE($L1940,$N1940),'Drop List'!$G$23:$K$87,4,FALSE),0)</f>
        <v>0</v>
      </c>
      <c r="AJ1940" s="1151">
        <f>IFERROR(VLOOKUP(CONCATENATE($L1940,$N1940),'Drop List'!$G$23:$K$87,5,FALSE),0)</f>
        <v>0</v>
      </c>
      <c r="AK1940" s="1152">
        <f t="shared" si="552"/>
        <v>0</v>
      </c>
      <c r="AL1940" s="1153">
        <f t="shared" si="553"/>
        <v>0</v>
      </c>
      <c r="AM1940" s="1153">
        <f t="shared" si="554"/>
        <v>0</v>
      </c>
      <c r="AN1940" s="1145">
        <f t="shared" si="555"/>
        <v>0</v>
      </c>
      <c r="AO1940" s="1154">
        <f t="shared" si="540"/>
        <v>0</v>
      </c>
      <c r="AP1940" s="1147">
        <f t="shared" si="543"/>
        <v>0</v>
      </c>
      <c r="AQ1940" s="1144">
        <f t="shared" si="544"/>
        <v>0</v>
      </c>
      <c r="AR1940" s="1146">
        <f t="shared" si="545"/>
        <v>0</v>
      </c>
    </row>
    <row r="1941" spans="1:44" x14ac:dyDescent="0.2">
      <c r="A1941" s="1141" t="str">
        <f t="shared" si="539"/>
        <v/>
      </c>
      <c r="B1941" s="1141" t="str">
        <f>IFERROR(VLOOKUP(A1941,'LAC 103'!A:C,3,FALSE),"")</f>
        <v/>
      </c>
      <c r="C1941" s="1478" t="str">
        <f>Info!$B$8</f>
        <v>00100</v>
      </c>
      <c r="D1941" s="1474"/>
      <c r="E1941" s="1474"/>
      <c r="F1941" s="1478"/>
      <c r="G1941" s="1478"/>
      <c r="H1941" s="1474"/>
      <c r="I1941" s="1478"/>
      <c r="J1941" s="1478"/>
      <c r="K1941" s="1475"/>
      <c r="L1941" s="1474"/>
      <c r="M1941" s="1476"/>
      <c r="N1941" s="1477"/>
      <c r="O1941" s="1479"/>
      <c r="P1941" s="1479"/>
      <c r="Q1941" s="1142">
        <f t="shared" si="541"/>
        <v>0</v>
      </c>
      <c r="R1941" s="1143">
        <f>IFERROR(VLOOKUP(CONCATENATE($E1941,$G1941),'LAC 103'!$A$12:$O$95,11,FALSE),0)</f>
        <v>0</v>
      </c>
      <c r="S1941" s="1144">
        <f>IFERROR(VLOOKUP(CONCATENATE($E1941,$G1941),'LAC 103'!$A$12:$O$95,12,FALSE),0)</f>
        <v>0</v>
      </c>
      <c r="T1941" s="1144">
        <f>IFERROR(VLOOKUP(CONCATENATE($E1941,$G1941),'LAC 103'!$A$12:$O$95,13,FALSE),0)</f>
        <v>0</v>
      </c>
      <c r="U1941" s="1144">
        <f>IFERROR(VLOOKUP(CONCATENATE($E1941,$G1941),'LAC 103'!$A$12:$O$95,14,FALSE),0)</f>
        <v>0</v>
      </c>
      <c r="V1941" s="1144">
        <f>IFERROR(VLOOKUP(CONCATENATE($E1941,$G1941),'LAC 103'!$A$12:$O$95,15,FALSE),0)</f>
        <v>0</v>
      </c>
      <c r="W1941" s="1145" t="str">
        <f>IFERROR(VLOOKUP(CONCATENATE($B1941,$N1941),'LAC 103'!$AI:$AQ,9,FALSE),"")</f>
        <v/>
      </c>
      <c r="X1941" s="1146">
        <f t="shared" si="546"/>
        <v>0</v>
      </c>
      <c r="Y1941" s="1143">
        <f t="shared" si="556"/>
        <v>0</v>
      </c>
      <c r="Z1941" s="1147">
        <f t="shared" si="547"/>
        <v>0</v>
      </c>
      <c r="AA1941" s="1144">
        <f t="shared" si="548"/>
        <v>0</v>
      </c>
      <c r="AB1941" s="1144">
        <f t="shared" si="549"/>
        <v>0</v>
      </c>
      <c r="AC1941" s="1144">
        <f t="shared" si="550"/>
        <v>0</v>
      </c>
      <c r="AD1941" s="1148">
        <f t="shared" si="542"/>
        <v>0</v>
      </c>
      <c r="AE1941" s="1487">
        <v>0</v>
      </c>
      <c r="AF1941" s="1145">
        <f t="shared" si="551"/>
        <v>0</v>
      </c>
      <c r="AG1941" s="1149">
        <f>IFERROR(VLOOKUP(CONCATENATE($L1941,$N1941),'Drop List'!$G$23:$K$87,2,FALSE),0)</f>
        <v>0</v>
      </c>
      <c r="AH1941" s="1150">
        <f>IFERROR(VLOOKUP(CONCATENATE($L1941,$N1941),'Drop List'!$G$23:$K$87,3,FALSE),0)</f>
        <v>0</v>
      </c>
      <c r="AI1941" s="1150">
        <f>IFERROR(VLOOKUP(CONCATENATE($L1941,$N1941),'Drop List'!$G$23:$K$87,4,FALSE),0)</f>
        <v>0</v>
      </c>
      <c r="AJ1941" s="1151">
        <f>IFERROR(VLOOKUP(CONCATENATE($L1941,$N1941),'Drop List'!$G$23:$K$87,5,FALSE),0)</f>
        <v>0</v>
      </c>
      <c r="AK1941" s="1152">
        <f t="shared" si="552"/>
        <v>0</v>
      </c>
      <c r="AL1941" s="1153">
        <f t="shared" si="553"/>
        <v>0</v>
      </c>
      <c r="AM1941" s="1153">
        <f t="shared" si="554"/>
        <v>0</v>
      </c>
      <c r="AN1941" s="1145">
        <f t="shared" si="555"/>
        <v>0</v>
      </c>
      <c r="AO1941" s="1154">
        <f t="shared" si="540"/>
        <v>0</v>
      </c>
      <c r="AP1941" s="1147">
        <f t="shared" si="543"/>
        <v>0</v>
      </c>
      <c r="AQ1941" s="1144">
        <f t="shared" si="544"/>
        <v>0</v>
      </c>
      <c r="AR1941" s="1146">
        <f t="shared" si="545"/>
        <v>0</v>
      </c>
    </row>
    <row r="1942" spans="1:44" x14ac:dyDescent="0.2">
      <c r="A1942" s="1141" t="str">
        <f t="shared" ref="A1942:A2005" si="557">IF(CONCATENATE(E1942,G1942)="","",CONCATENATE(E1942,G1942))</f>
        <v/>
      </c>
      <c r="B1942" s="1141" t="str">
        <f>IFERROR(VLOOKUP(A1942,'LAC 103'!A:C,3,FALSE),"")</f>
        <v/>
      </c>
      <c r="C1942" s="1478" t="str">
        <f>Info!$B$8</f>
        <v>00100</v>
      </c>
      <c r="D1942" s="1474"/>
      <c r="E1942" s="1474"/>
      <c r="F1942" s="1478"/>
      <c r="G1942" s="1478"/>
      <c r="H1942" s="1474"/>
      <c r="I1942" s="1478"/>
      <c r="J1942" s="1478"/>
      <c r="K1942" s="1475"/>
      <c r="L1942" s="1474"/>
      <c r="M1942" s="1476"/>
      <c r="N1942" s="1477"/>
      <c r="O1942" s="1479"/>
      <c r="P1942" s="1479"/>
      <c r="Q1942" s="1142">
        <f t="shared" si="541"/>
        <v>0</v>
      </c>
      <c r="R1942" s="1143">
        <f>IFERROR(VLOOKUP(CONCATENATE($E1942,$G1942),'LAC 103'!$A$12:$O$95,11,FALSE),0)</f>
        <v>0</v>
      </c>
      <c r="S1942" s="1144">
        <f>IFERROR(VLOOKUP(CONCATENATE($E1942,$G1942),'LAC 103'!$A$12:$O$95,12,FALSE),0)</f>
        <v>0</v>
      </c>
      <c r="T1942" s="1144">
        <f>IFERROR(VLOOKUP(CONCATENATE($E1942,$G1942),'LAC 103'!$A$12:$O$95,13,FALSE),0)</f>
        <v>0</v>
      </c>
      <c r="U1942" s="1144">
        <f>IFERROR(VLOOKUP(CONCATENATE($E1942,$G1942),'LAC 103'!$A$12:$O$95,14,FALSE),0)</f>
        <v>0</v>
      </c>
      <c r="V1942" s="1144">
        <f>IFERROR(VLOOKUP(CONCATENATE($E1942,$G1942),'LAC 103'!$A$12:$O$95,15,FALSE),0)</f>
        <v>0</v>
      </c>
      <c r="W1942" s="1145" t="str">
        <f>IFERROR(VLOOKUP(CONCATENATE($B1942,$N1942),'LAC 103'!$AI:$AQ,9,FALSE),"")</f>
        <v/>
      </c>
      <c r="X1942" s="1146">
        <f t="shared" si="546"/>
        <v>0</v>
      </c>
      <c r="Y1942" s="1143">
        <f t="shared" si="556"/>
        <v>0</v>
      </c>
      <c r="Z1942" s="1147">
        <f t="shared" si="547"/>
        <v>0</v>
      </c>
      <c r="AA1942" s="1144">
        <f t="shared" si="548"/>
        <v>0</v>
      </c>
      <c r="AB1942" s="1144">
        <f t="shared" si="549"/>
        <v>0</v>
      </c>
      <c r="AC1942" s="1144">
        <f t="shared" si="550"/>
        <v>0</v>
      </c>
      <c r="AD1942" s="1148">
        <f t="shared" si="542"/>
        <v>0</v>
      </c>
      <c r="AE1942" s="1487">
        <v>0</v>
      </c>
      <c r="AF1942" s="1145">
        <f t="shared" si="551"/>
        <v>0</v>
      </c>
      <c r="AG1942" s="1149">
        <f>IFERROR(VLOOKUP(CONCATENATE($L1942,$N1942),'Drop List'!$G$23:$K$87,2,FALSE),0)</f>
        <v>0</v>
      </c>
      <c r="AH1942" s="1150">
        <f>IFERROR(VLOOKUP(CONCATENATE($L1942,$N1942),'Drop List'!$G$23:$K$87,3,FALSE),0)</f>
        <v>0</v>
      </c>
      <c r="AI1942" s="1150">
        <f>IFERROR(VLOOKUP(CONCATENATE($L1942,$N1942),'Drop List'!$G$23:$K$87,4,FALSE),0)</f>
        <v>0</v>
      </c>
      <c r="AJ1942" s="1151">
        <f>IFERROR(VLOOKUP(CONCATENATE($L1942,$N1942),'Drop List'!$G$23:$K$87,5,FALSE),0)</f>
        <v>0</v>
      </c>
      <c r="AK1942" s="1152">
        <f t="shared" si="552"/>
        <v>0</v>
      </c>
      <c r="AL1942" s="1153">
        <f t="shared" si="553"/>
        <v>0</v>
      </c>
      <c r="AM1942" s="1153">
        <f t="shared" si="554"/>
        <v>0</v>
      </c>
      <c r="AN1942" s="1145">
        <f t="shared" si="555"/>
        <v>0</v>
      </c>
      <c r="AO1942" s="1154">
        <f t="shared" si="540"/>
        <v>0</v>
      </c>
      <c r="AP1942" s="1147">
        <f t="shared" si="543"/>
        <v>0</v>
      </c>
      <c r="AQ1942" s="1144">
        <f t="shared" si="544"/>
        <v>0</v>
      </c>
      <c r="AR1942" s="1146">
        <f t="shared" si="545"/>
        <v>0</v>
      </c>
    </row>
    <row r="1943" spans="1:44" x14ac:dyDescent="0.2">
      <c r="A1943" s="1141" t="str">
        <f t="shared" si="557"/>
        <v/>
      </c>
      <c r="B1943" s="1141" t="str">
        <f>IFERROR(VLOOKUP(A1943,'LAC 103'!A:C,3,FALSE),"")</f>
        <v/>
      </c>
      <c r="C1943" s="1478" t="str">
        <f>Info!$B$8</f>
        <v>00100</v>
      </c>
      <c r="D1943" s="1474"/>
      <c r="E1943" s="1474"/>
      <c r="F1943" s="1478"/>
      <c r="G1943" s="1478"/>
      <c r="H1943" s="1474"/>
      <c r="I1943" s="1478"/>
      <c r="J1943" s="1478"/>
      <c r="K1943" s="1475"/>
      <c r="L1943" s="1474"/>
      <c r="M1943" s="1476"/>
      <c r="N1943" s="1477"/>
      <c r="O1943" s="1479"/>
      <c r="P1943" s="1479"/>
      <c r="Q1943" s="1142">
        <f t="shared" si="541"/>
        <v>0</v>
      </c>
      <c r="R1943" s="1143">
        <f>IFERROR(VLOOKUP(CONCATENATE($E1943,$G1943),'LAC 103'!$A$12:$O$95,11,FALSE),0)</f>
        <v>0</v>
      </c>
      <c r="S1943" s="1144">
        <f>IFERROR(VLOOKUP(CONCATENATE($E1943,$G1943),'LAC 103'!$A$12:$O$95,12,FALSE),0)</f>
        <v>0</v>
      </c>
      <c r="T1943" s="1144">
        <f>IFERROR(VLOOKUP(CONCATENATE($E1943,$G1943),'LAC 103'!$A$12:$O$95,13,FALSE),0)</f>
        <v>0</v>
      </c>
      <c r="U1943" s="1144">
        <f>IFERROR(VLOOKUP(CONCATENATE($E1943,$G1943),'LAC 103'!$A$12:$O$95,14,FALSE),0)</f>
        <v>0</v>
      </c>
      <c r="V1943" s="1144">
        <f>IFERROR(VLOOKUP(CONCATENATE($E1943,$G1943),'LAC 103'!$A$12:$O$95,15,FALSE),0)</f>
        <v>0</v>
      </c>
      <c r="W1943" s="1145" t="str">
        <f>IFERROR(VLOOKUP(CONCATENATE($B1943,$N1943),'LAC 103'!$AI:$AQ,9,FALSE),"")</f>
        <v/>
      </c>
      <c r="X1943" s="1146">
        <f t="shared" si="546"/>
        <v>0</v>
      </c>
      <c r="Y1943" s="1143">
        <f t="shared" si="556"/>
        <v>0</v>
      </c>
      <c r="Z1943" s="1147">
        <f t="shared" si="547"/>
        <v>0</v>
      </c>
      <c r="AA1943" s="1144">
        <f t="shared" si="548"/>
        <v>0</v>
      </c>
      <c r="AB1943" s="1144">
        <f t="shared" si="549"/>
        <v>0</v>
      </c>
      <c r="AC1943" s="1144">
        <f t="shared" si="550"/>
        <v>0</v>
      </c>
      <c r="AD1943" s="1148">
        <f t="shared" si="542"/>
        <v>0</v>
      </c>
      <c r="AE1943" s="1487">
        <v>0</v>
      </c>
      <c r="AF1943" s="1145">
        <f t="shared" si="551"/>
        <v>0</v>
      </c>
      <c r="AG1943" s="1149">
        <f>IFERROR(VLOOKUP(CONCATENATE($L1943,$N1943),'Drop List'!$G$23:$K$87,2,FALSE),0)</f>
        <v>0</v>
      </c>
      <c r="AH1943" s="1150">
        <f>IFERROR(VLOOKUP(CONCATENATE($L1943,$N1943),'Drop List'!$G$23:$K$87,3,FALSE),0)</f>
        <v>0</v>
      </c>
      <c r="AI1943" s="1150">
        <f>IFERROR(VLOOKUP(CONCATENATE($L1943,$N1943),'Drop List'!$G$23:$K$87,4,FALSE),0)</f>
        <v>0</v>
      </c>
      <c r="AJ1943" s="1151">
        <f>IFERROR(VLOOKUP(CONCATENATE($L1943,$N1943),'Drop List'!$G$23:$K$87,5,FALSE),0)</f>
        <v>0</v>
      </c>
      <c r="AK1943" s="1152">
        <f t="shared" si="552"/>
        <v>0</v>
      </c>
      <c r="AL1943" s="1153">
        <f t="shared" si="553"/>
        <v>0</v>
      </c>
      <c r="AM1943" s="1153">
        <f t="shared" si="554"/>
        <v>0</v>
      </c>
      <c r="AN1943" s="1145">
        <f t="shared" si="555"/>
        <v>0</v>
      </c>
      <c r="AO1943" s="1154">
        <f t="shared" si="540"/>
        <v>0</v>
      </c>
      <c r="AP1943" s="1147">
        <f t="shared" si="543"/>
        <v>0</v>
      </c>
      <c r="AQ1943" s="1144">
        <f t="shared" si="544"/>
        <v>0</v>
      </c>
      <c r="AR1943" s="1146">
        <f t="shared" si="545"/>
        <v>0</v>
      </c>
    </row>
    <row r="1944" spans="1:44" x14ac:dyDescent="0.2">
      <c r="A1944" s="1141" t="str">
        <f t="shared" si="557"/>
        <v/>
      </c>
      <c r="B1944" s="1141" t="str">
        <f>IFERROR(VLOOKUP(A1944,'LAC 103'!A:C,3,FALSE),"")</f>
        <v/>
      </c>
      <c r="C1944" s="1478" t="str">
        <f>Info!$B$8</f>
        <v>00100</v>
      </c>
      <c r="D1944" s="1474"/>
      <c r="E1944" s="1474"/>
      <c r="F1944" s="1478"/>
      <c r="G1944" s="1478"/>
      <c r="H1944" s="1474"/>
      <c r="I1944" s="1478"/>
      <c r="J1944" s="1478"/>
      <c r="K1944" s="1475"/>
      <c r="L1944" s="1474"/>
      <c r="M1944" s="1476"/>
      <c r="N1944" s="1477"/>
      <c r="O1944" s="1479"/>
      <c r="P1944" s="1479"/>
      <c r="Q1944" s="1142">
        <f t="shared" si="541"/>
        <v>0</v>
      </c>
      <c r="R1944" s="1143">
        <f>IFERROR(VLOOKUP(CONCATENATE($E1944,$G1944),'LAC 103'!$A$12:$O$95,11,FALSE),0)</f>
        <v>0</v>
      </c>
      <c r="S1944" s="1144">
        <f>IFERROR(VLOOKUP(CONCATENATE($E1944,$G1944),'LAC 103'!$A$12:$O$95,12,FALSE),0)</f>
        <v>0</v>
      </c>
      <c r="T1944" s="1144">
        <f>IFERROR(VLOOKUP(CONCATENATE($E1944,$G1944),'LAC 103'!$A$12:$O$95,13,FALSE),0)</f>
        <v>0</v>
      </c>
      <c r="U1944" s="1144">
        <f>IFERROR(VLOOKUP(CONCATENATE($E1944,$G1944),'LAC 103'!$A$12:$O$95,14,FALSE),0)</f>
        <v>0</v>
      </c>
      <c r="V1944" s="1144">
        <f>IFERROR(VLOOKUP(CONCATENATE($E1944,$G1944),'LAC 103'!$A$12:$O$95,15,FALSE),0)</f>
        <v>0</v>
      </c>
      <c r="W1944" s="1145" t="str">
        <f>IFERROR(VLOOKUP(CONCATENATE($B1944,$N1944),'LAC 103'!$AI:$AQ,9,FALSE),"")</f>
        <v/>
      </c>
      <c r="X1944" s="1146">
        <f t="shared" si="546"/>
        <v>0</v>
      </c>
      <c r="Y1944" s="1143">
        <f t="shared" si="556"/>
        <v>0</v>
      </c>
      <c r="Z1944" s="1147">
        <f t="shared" si="547"/>
        <v>0</v>
      </c>
      <c r="AA1944" s="1144">
        <f t="shared" si="548"/>
        <v>0</v>
      </c>
      <c r="AB1944" s="1144">
        <f t="shared" si="549"/>
        <v>0</v>
      </c>
      <c r="AC1944" s="1144">
        <f t="shared" si="550"/>
        <v>0</v>
      </c>
      <c r="AD1944" s="1148">
        <f t="shared" si="542"/>
        <v>0</v>
      </c>
      <c r="AE1944" s="1487">
        <v>0</v>
      </c>
      <c r="AF1944" s="1145">
        <f t="shared" si="551"/>
        <v>0</v>
      </c>
      <c r="AG1944" s="1149">
        <f>IFERROR(VLOOKUP(CONCATENATE($L1944,$N1944),'Drop List'!$G$23:$K$87,2,FALSE),0)</f>
        <v>0</v>
      </c>
      <c r="AH1944" s="1150">
        <f>IFERROR(VLOOKUP(CONCATENATE($L1944,$N1944),'Drop List'!$G$23:$K$87,3,FALSE),0)</f>
        <v>0</v>
      </c>
      <c r="AI1944" s="1150">
        <f>IFERROR(VLOOKUP(CONCATENATE($L1944,$N1944),'Drop List'!$G$23:$K$87,4,FALSE),0)</f>
        <v>0</v>
      </c>
      <c r="AJ1944" s="1151">
        <f>IFERROR(VLOOKUP(CONCATENATE($L1944,$N1944),'Drop List'!$G$23:$K$87,5,FALSE),0)</f>
        <v>0</v>
      </c>
      <c r="AK1944" s="1152">
        <f t="shared" si="552"/>
        <v>0</v>
      </c>
      <c r="AL1944" s="1153">
        <f t="shared" si="553"/>
        <v>0</v>
      </c>
      <c r="AM1944" s="1153">
        <f t="shared" si="554"/>
        <v>0</v>
      </c>
      <c r="AN1944" s="1145">
        <f t="shared" si="555"/>
        <v>0</v>
      </c>
      <c r="AO1944" s="1154">
        <f t="shared" si="540"/>
        <v>0</v>
      </c>
      <c r="AP1944" s="1147">
        <f t="shared" si="543"/>
        <v>0</v>
      </c>
      <c r="AQ1944" s="1144">
        <f t="shared" si="544"/>
        <v>0</v>
      </c>
      <c r="AR1944" s="1146">
        <f t="shared" si="545"/>
        <v>0</v>
      </c>
    </row>
    <row r="1945" spans="1:44" x14ac:dyDescent="0.2">
      <c r="A1945" s="1141" t="str">
        <f t="shared" si="557"/>
        <v/>
      </c>
      <c r="B1945" s="1141" t="str">
        <f>IFERROR(VLOOKUP(A1945,'LAC 103'!A:C,3,FALSE),"")</f>
        <v/>
      </c>
      <c r="C1945" s="1478" t="str">
        <f>Info!$B$8</f>
        <v>00100</v>
      </c>
      <c r="D1945" s="1474"/>
      <c r="E1945" s="1474"/>
      <c r="F1945" s="1478"/>
      <c r="G1945" s="1478"/>
      <c r="H1945" s="1474"/>
      <c r="I1945" s="1478"/>
      <c r="J1945" s="1478"/>
      <c r="K1945" s="1475"/>
      <c r="L1945" s="1474"/>
      <c r="M1945" s="1476"/>
      <c r="N1945" s="1477"/>
      <c r="O1945" s="1479"/>
      <c r="P1945" s="1479"/>
      <c r="Q1945" s="1142">
        <f t="shared" si="541"/>
        <v>0</v>
      </c>
      <c r="R1945" s="1143">
        <f>IFERROR(VLOOKUP(CONCATENATE($E1945,$G1945),'LAC 103'!$A$12:$O$95,11,FALSE),0)</f>
        <v>0</v>
      </c>
      <c r="S1945" s="1144">
        <f>IFERROR(VLOOKUP(CONCATENATE($E1945,$G1945),'LAC 103'!$A$12:$O$95,12,FALSE),0)</f>
        <v>0</v>
      </c>
      <c r="T1945" s="1144">
        <f>IFERROR(VLOOKUP(CONCATENATE($E1945,$G1945),'LAC 103'!$A$12:$O$95,13,FALSE),0)</f>
        <v>0</v>
      </c>
      <c r="U1945" s="1144">
        <f>IFERROR(VLOOKUP(CONCATENATE($E1945,$G1945),'LAC 103'!$A$12:$O$95,14,FALSE),0)</f>
        <v>0</v>
      </c>
      <c r="V1945" s="1144">
        <f>IFERROR(VLOOKUP(CONCATENATE($E1945,$G1945),'LAC 103'!$A$12:$O$95,15,FALSE),0)</f>
        <v>0</v>
      </c>
      <c r="W1945" s="1145" t="str">
        <f>IFERROR(VLOOKUP(CONCATENATE($B1945,$N1945),'LAC 103'!$AI:$AQ,9,FALSE),"")</f>
        <v/>
      </c>
      <c r="X1945" s="1146">
        <f t="shared" si="546"/>
        <v>0</v>
      </c>
      <c r="Y1945" s="1143">
        <f t="shared" si="556"/>
        <v>0</v>
      </c>
      <c r="Z1945" s="1147">
        <f t="shared" si="547"/>
        <v>0</v>
      </c>
      <c r="AA1945" s="1144">
        <f t="shared" si="548"/>
        <v>0</v>
      </c>
      <c r="AB1945" s="1144">
        <f t="shared" si="549"/>
        <v>0</v>
      </c>
      <c r="AC1945" s="1144">
        <f t="shared" si="550"/>
        <v>0</v>
      </c>
      <c r="AD1945" s="1148">
        <f t="shared" si="542"/>
        <v>0</v>
      </c>
      <c r="AE1945" s="1487">
        <v>0</v>
      </c>
      <c r="AF1945" s="1145">
        <f t="shared" si="551"/>
        <v>0</v>
      </c>
      <c r="AG1945" s="1149">
        <f>IFERROR(VLOOKUP(CONCATENATE($L1945,$N1945),'Drop List'!$G$23:$K$87,2,FALSE),0)</f>
        <v>0</v>
      </c>
      <c r="AH1945" s="1150">
        <f>IFERROR(VLOOKUP(CONCATENATE($L1945,$N1945),'Drop List'!$G$23:$K$87,3,FALSE),0)</f>
        <v>0</v>
      </c>
      <c r="AI1945" s="1150">
        <f>IFERROR(VLOOKUP(CONCATENATE($L1945,$N1945),'Drop List'!$G$23:$K$87,4,FALSE),0)</f>
        <v>0</v>
      </c>
      <c r="AJ1945" s="1151">
        <f>IFERROR(VLOOKUP(CONCATENATE($L1945,$N1945),'Drop List'!$G$23:$K$87,5,FALSE),0)</f>
        <v>0</v>
      </c>
      <c r="AK1945" s="1152">
        <f t="shared" si="552"/>
        <v>0</v>
      </c>
      <c r="AL1945" s="1153">
        <f t="shared" si="553"/>
        <v>0</v>
      </c>
      <c r="AM1945" s="1153">
        <f t="shared" si="554"/>
        <v>0</v>
      </c>
      <c r="AN1945" s="1145">
        <f t="shared" si="555"/>
        <v>0</v>
      </c>
      <c r="AO1945" s="1154">
        <f t="shared" si="540"/>
        <v>0</v>
      </c>
      <c r="AP1945" s="1147">
        <f t="shared" si="543"/>
        <v>0</v>
      </c>
      <c r="AQ1945" s="1144">
        <f t="shared" si="544"/>
        <v>0</v>
      </c>
      <c r="AR1945" s="1146">
        <f t="shared" si="545"/>
        <v>0</v>
      </c>
    </row>
    <row r="1946" spans="1:44" x14ac:dyDescent="0.2">
      <c r="A1946" s="1141" t="str">
        <f t="shared" si="557"/>
        <v/>
      </c>
      <c r="B1946" s="1141" t="str">
        <f>IFERROR(VLOOKUP(A1946,'LAC 103'!A:C,3,FALSE),"")</f>
        <v/>
      </c>
      <c r="C1946" s="1478" t="str">
        <f>Info!$B$8</f>
        <v>00100</v>
      </c>
      <c r="D1946" s="1474"/>
      <c r="E1946" s="1474"/>
      <c r="F1946" s="1478"/>
      <c r="G1946" s="1478"/>
      <c r="H1946" s="1474"/>
      <c r="I1946" s="1478"/>
      <c r="J1946" s="1478"/>
      <c r="K1946" s="1475"/>
      <c r="L1946" s="1474"/>
      <c r="M1946" s="1476"/>
      <c r="N1946" s="1477"/>
      <c r="O1946" s="1479"/>
      <c r="P1946" s="1479"/>
      <c r="Q1946" s="1142">
        <f t="shared" si="541"/>
        <v>0</v>
      </c>
      <c r="R1946" s="1143">
        <f>IFERROR(VLOOKUP(CONCATENATE($E1946,$G1946),'LAC 103'!$A$12:$O$95,11,FALSE),0)</f>
        <v>0</v>
      </c>
      <c r="S1946" s="1144">
        <f>IFERROR(VLOOKUP(CONCATENATE($E1946,$G1946),'LAC 103'!$A$12:$O$95,12,FALSE),0)</f>
        <v>0</v>
      </c>
      <c r="T1946" s="1144">
        <f>IFERROR(VLOOKUP(CONCATENATE($E1946,$G1946),'LAC 103'!$A$12:$O$95,13,FALSE),0)</f>
        <v>0</v>
      </c>
      <c r="U1946" s="1144">
        <f>IFERROR(VLOOKUP(CONCATENATE($E1946,$G1946),'LAC 103'!$A$12:$O$95,14,FALSE),0)</f>
        <v>0</v>
      </c>
      <c r="V1946" s="1144">
        <f>IFERROR(VLOOKUP(CONCATENATE($E1946,$G1946),'LAC 103'!$A$12:$O$95,15,FALSE),0)</f>
        <v>0</v>
      </c>
      <c r="W1946" s="1145" t="str">
        <f>IFERROR(VLOOKUP(CONCATENATE($B1946,$N1946),'LAC 103'!$AI:$AQ,9,FALSE),"")</f>
        <v/>
      </c>
      <c r="X1946" s="1146">
        <f t="shared" si="546"/>
        <v>0</v>
      </c>
      <c r="Y1946" s="1143">
        <f t="shared" si="556"/>
        <v>0</v>
      </c>
      <c r="Z1946" s="1147">
        <f t="shared" si="547"/>
        <v>0</v>
      </c>
      <c r="AA1946" s="1144">
        <f t="shared" si="548"/>
        <v>0</v>
      </c>
      <c r="AB1946" s="1144">
        <f t="shared" si="549"/>
        <v>0</v>
      </c>
      <c r="AC1946" s="1144">
        <f t="shared" si="550"/>
        <v>0</v>
      </c>
      <c r="AD1946" s="1148">
        <f t="shared" si="542"/>
        <v>0</v>
      </c>
      <c r="AE1946" s="1487">
        <v>0</v>
      </c>
      <c r="AF1946" s="1145">
        <f t="shared" si="551"/>
        <v>0</v>
      </c>
      <c r="AG1946" s="1149">
        <f>IFERROR(VLOOKUP(CONCATENATE($L1946,$N1946),'Drop List'!$G$23:$K$87,2,FALSE),0)</f>
        <v>0</v>
      </c>
      <c r="AH1946" s="1150">
        <f>IFERROR(VLOOKUP(CONCATENATE($L1946,$N1946),'Drop List'!$G$23:$K$87,3,FALSE),0)</f>
        <v>0</v>
      </c>
      <c r="AI1946" s="1150">
        <f>IFERROR(VLOOKUP(CONCATENATE($L1946,$N1946),'Drop List'!$G$23:$K$87,4,FALSE),0)</f>
        <v>0</v>
      </c>
      <c r="AJ1946" s="1151">
        <f>IFERROR(VLOOKUP(CONCATENATE($L1946,$N1946),'Drop List'!$G$23:$K$87,5,FALSE),0)</f>
        <v>0</v>
      </c>
      <c r="AK1946" s="1152">
        <f t="shared" si="552"/>
        <v>0</v>
      </c>
      <c r="AL1946" s="1153">
        <f t="shared" si="553"/>
        <v>0</v>
      </c>
      <c r="AM1946" s="1153">
        <f t="shared" si="554"/>
        <v>0</v>
      </c>
      <c r="AN1946" s="1145">
        <f t="shared" si="555"/>
        <v>0</v>
      </c>
      <c r="AO1946" s="1154">
        <f t="shared" si="540"/>
        <v>0</v>
      </c>
      <c r="AP1946" s="1147">
        <f t="shared" si="543"/>
        <v>0</v>
      </c>
      <c r="AQ1946" s="1144">
        <f t="shared" si="544"/>
        <v>0</v>
      </c>
      <c r="AR1946" s="1146">
        <f t="shared" si="545"/>
        <v>0</v>
      </c>
    </row>
    <row r="1947" spans="1:44" x14ac:dyDescent="0.2">
      <c r="A1947" s="1141" t="str">
        <f t="shared" si="557"/>
        <v/>
      </c>
      <c r="B1947" s="1141" t="str">
        <f>IFERROR(VLOOKUP(A1947,'LAC 103'!A:C,3,FALSE),"")</f>
        <v/>
      </c>
      <c r="C1947" s="1478" t="str">
        <f>Info!$B$8</f>
        <v>00100</v>
      </c>
      <c r="D1947" s="1474"/>
      <c r="E1947" s="1474"/>
      <c r="F1947" s="1478"/>
      <c r="G1947" s="1478"/>
      <c r="H1947" s="1474"/>
      <c r="I1947" s="1478"/>
      <c r="J1947" s="1478"/>
      <c r="K1947" s="1475"/>
      <c r="L1947" s="1474"/>
      <c r="M1947" s="1476"/>
      <c r="N1947" s="1477"/>
      <c r="O1947" s="1479"/>
      <c r="P1947" s="1479"/>
      <c r="Q1947" s="1142">
        <f t="shared" si="541"/>
        <v>0</v>
      </c>
      <c r="R1947" s="1143">
        <f>IFERROR(VLOOKUP(CONCATENATE($E1947,$G1947),'LAC 103'!$A$12:$O$95,11,FALSE),0)</f>
        <v>0</v>
      </c>
      <c r="S1947" s="1144">
        <f>IFERROR(VLOOKUP(CONCATENATE($E1947,$G1947),'LAC 103'!$A$12:$O$95,12,FALSE),0)</f>
        <v>0</v>
      </c>
      <c r="T1947" s="1144">
        <f>IFERROR(VLOOKUP(CONCATENATE($E1947,$G1947),'LAC 103'!$A$12:$O$95,13,FALSE),0)</f>
        <v>0</v>
      </c>
      <c r="U1947" s="1144">
        <f>IFERROR(VLOOKUP(CONCATENATE($E1947,$G1947),'LAC 103'!$A$12:$O$95,14,FALSE),0)</f>
        <v>0</v>
      </c>
      <c r="V1947" s="1144">
        <f>IFERROR(VLOOKUP(CONCATENATE($E1947,$G1947),'LAC 103'!$A$12:$O$95,15,FALSE),0)</f>
        <v>0</v>
      </c>
      <c r="W1947" s="1145" t="str">
        <f>IFERROR(VLOOKUP(CONCATENATE($B1947,$N1947),'LAC 103'!$AI:$AQ,9,FALSE),"")</f>
        <v/>
      </c>
      <c r="X1947" s="1146">
        <f t="shared" si="546"/>
        <v>0</v>
      </c>
      <c r="Y1947" s="1143">
        <f t="shared" si="556"/>
        <v>0</v>
      </c>
      <c r="Z1947" s="1147">
        <f t="shared" si="547"/>
        <v>0</v>
      </c>
      <c r="AA1947" s="1144">
        <f t="shared" si="548"/>
        <v>0</v>
      </c>
      <c r="AB1947" s="1144">
        <f t="shared" si="549"/>
        <v>0</v>
      </c>
      <c r="AC1947" s="1144">
        <f t="shared" si="550"/>
        <v>0</v>
      </c>
      <c r="AD1947" s="1148">
        <f t="shared" si="542"/>
        <v>0</v>
      </c>
      <c r="AE1947" s="1487">
        <v>0</v>
      </c>
      <c r="AF1947" s="1145">
        <f t="shared" si="551"/>
        <v>0</v>
      </c>
      <c r="AG1947" s="1149">
        <f>IFERROR(VLOOKUP(CONCATENATE($L1947,$N1947),'Drop List'!$G$23:$K$87,2,FALSE),0)</f>
        <v>0</v>
      </c>
      <c r="AH1947" s="1150">
        <f>IFERROR(VLOOKUP(CONCATENATE($L1947,$N1947),'Drop List'!$G$23:$K$87,3,FALSE),0)</f>
        <v>0</v>
      </c>
      <c r="AI1947" s="1150">
        <f>IFERROR(VLOOKUP(CONCATENATE($L1947,$N1947),'Drop List'!$G$23:$K$87,4,FALSE),0)</f>
        <v>0</v>
      </c>
      <c r="AJ1947" s="1151">
        <f>IFERROR(VLOOKUP(CONCATENATE($L1947,$N1947),'Drop List'!$G$23:$K$87,5,FALSE),0)</f>
        <v>0</v>
      </c>
      <c r="AK1947" s="1152">
        <f t="shared" si="552"/>
        <v>0</v>
      </c>
      <c r="AL1947" s="1153">
        <f t="shared" si="553"/>
        <v>0</v>
      </c>
      <c r="AM1947" s="1153">
        <f t="shared" si="554"/>
        <v>0</v>
      </c>
      <c r="AN1947" s="1145">
        <f t="shared" si="555"/>
        <v>0</v>
      </c>
      <c r="AO1947" s="1154">
        <f t="shared" si="540"/>
        <v>0</v>
      </c>
      <c r="AP1947" s="1147">
        <f t="shared" si="543"/>
        <v>0</v>
      </c>
      <c r="AQ1947" s="1144">
        <f t="shared" si="544"/>
        <v>0</v>
      </c>
      <c r="AR1947" s="1146">
        <f t="shared" si="545"/>
        <v>0</v>
      </c>
    </row>
    <row r="1948" spans="1:44" x14ac:dyDescent="0.2">
      <c r="A1948" s="1141" t="str">
        <f t="shared" si="557"/>
        <v/>
      </c>
      <c r="B1948" s="1141" t="str">
        <f>IFERROR(VLOOKUP(A1948,'LAC 103'!A:C,3,FALSE),"")</f>
        <v/>
      </c>
      <c r="C1948" s="1478" t="str">
        <f>Info!$B$8</f>
        <v>00100</v>
      </c>
      <c r="D1948" s="1474"/>
      <c r="E1948" s="1474"/>
      <c r="F1948" s="1478"/>
      <c r="G1948" s="1478"/>
      <c r="H1948" s="1474"/>
      <c r="I1948" s="1478"/>
      <c r="J1948" s="1478"/>
      <c r="K1948" s="1475"/>
      <c r="L1948" s="1474"/>
      <c r="M1948" s="1476"/>
      <c r="N1948" s="1477"/>
      <c r="O1948" s="1479"/>
      <c r="P1948" s="1479"/>
      <c r="Q1948" s="1142">
        <f t="shared" si="541"/>
        <v>0</v>
      </c>
      <c r="R1948" s="1143">
        <f>IFERROR(VLOOKUP(CONCATENATE($E1948,$G1948),'LAC 103'!$A$12:$O$95,11,FALSE),0)</f>
        <v>0</v>
      </c>
      <c r="S1948" s="1144">
        <f>IFERROR(VLOOKUP(CONCATENATE($E1948,$G1948),'LAC 103'!$A$12:$O$95,12,FALSE),0)</f>
        <v>0</v>
      </c>
      <c r="T1948" s="1144">
        <f>IFERROR(VLOOKUP(CONCATENATE($E1948,$G1948),'LAC 103'!$A$12:$O$95,13,FALSE),0)</f>
        <v>0</v>
      </c>
      <c r="U1948" s="1144">
        <f>IFERROR(VLOOKUP(CONCATENATE($E1948,$G1948),'LAC 103'!$A$12:$O$95,14,FALSE),0)</f>
        <v>0</v>
      </c>
      <c r="V1948" s="1144">
        <f>IFERROR(VLOOKUP(CONCATENATE($E1948,$G1948),'LAC 103'!$A$12:$O$95,15,FALSE),0)</f>
        <v>0</v>
      </c>
      <c r="W1948" s="1145" t="str">
        <f>IFERROR(VLOOKUP(CONCATENATE($B1948,$N1948),'LAC 103'!$AI:$AQ,9,FALSE),"")</f>
        <v/>
      </c>
      <c r="X1948" s="1146">
        <f t="shared" si="546"/>
        <v>0</v>
      </c>
      <c r="Y1948" s="1143">
        <f t="shared" si="556"/>
        <v>0</v>
      </c>
      <c r="Z1948" s="1147">
        <f t="shared" si="547"/>
        <v>0</v>
      </c>
      <c r="AA1948" s="1144">
        <f t="shared" si="548"/>
        <v>0</v>
      </c>
      <c r="AB1948" s="1144">
        <f t="shared" si="549"/>
        <v>0</v>
      </c>
      <c r="AC1948" s="1144">
        <f t="shared" si="550"/>
        <v>0</v>
      </c>
      <c r="AD1948" s="1148">
        <f t="shared" si="542"/>
        <v>0</v>
      </c>
      <c r="AE1948" s="1487">
        <v>0</v>
      </c>
      <c r="AF1948" s="1145">
        <f t="shared" si="551"/>
        <v>0</v>
      </c>
      <c r="AG1948" s="1149">
        <f>IFERROR(VLOOKUP(CONCATENATE($L1948,$N1948),'Drop List'!$G$23:$K$87,2,FALSE),0)</f>
        <v>0</v>
      </c>
      <c r="AH1948" s="1150">
        <f>IFERROR(VLOOKUP(CONCATENATE($L1948,$N1948),'Drop List'!$G$23:$K$87,3,FALSE),0)</f>
        <v>0</v>
      </c>
      <c r="AI1948" s="1150">
        <f>IFERROR(VLOOKUP(CONCATENATE($L1948,$N1948),'Drop List'!$G$23:$K$87,4,FALSE),0)</f>
        <v>0</v>
      </c>
      <c r="AJ1948" s="1151">
        <f>IFERROR(VLOOKUP(CONCATENATE($L1948,$N1948),'Drop List'!$G$23:$K$87,5,FALSE),0)</f>
        <v>0</v>
      </c>
      <c r="AK1948" s="1152">
        <f t="shared" si="552"/>
        <v>0</v>
      </c>
      <c r="AL1948" s="1153">
        <f t="shared" si="553"/>
        <v>0</v>
      </c>
      <c r="AM1948" s="1153">
        <f t="shared" si="554"/>
        <v>0</v>
      </c>
      <c r="AN1948" s="1145">
        <f t="shared" si="555"/>
        <v>0</v>
      </c>
      <c r="AO1948" s="1154">
        <f t="shared" si="540"/>
        <v>0</v>
      </c>
      <c r="AP1948" s="1147">
        <f t="shared" si="543"/>
        <v>0</v>
      </c>
      <c r="AQ1948" s="1144">
        <f t="shared" si="544"/>
        <v>0</v>
      </c>
      <c r="AR1948" s="1146">
        <f t="shared" si="545"/>
        <v>0</v>
      </c>
    </row>
    <row r="1949" spans="1:44" x14ac:dyDescent="0.2">
      <c r="A1949" s="1141" t="str">
        <f t="shared" si="557"/>
        <v/>
      </c>
      <c r="B1949" s="1141" t="str">
        <f>IFERROR(VLOOKUP(A1949,'LAC 103'!A:C,3,FALSE),"")</f>
        <v/>
      </c>
      <c r="C1949" s="1478" t="str">
        <f>Info!$B$8</f>
        <v>00100</v>
      </c>
      <c r="D1949" s="1474"/>
      <c r="E1949" s="1474"/>
      <c r="F1949" s="1478"/>
      <c r="G1949" s="1478"/>
      <c r="H1949" s="1474"/>
      <c r="I1949" s="1478"/>
      <c r="J1949" s="1478"/>
      <c r="K1949" s="1475"/>
      <c r="L1949" s="1474"/>
      <c r="M1949" s="1476"/>
      <c r="N1949" s="1477"/>
      <c r="O1949" s="1479"/>
      <c r="P1949" s="1479"/>
      <c r="Q1949" s="1142">
        <f t="shared" si="541"/>
        <v>0</v>
      </c>
      <c r="R1949" s="1143">
        <f>IFERROR(VLOOKUP(CONCATENATE($E1949,$G1949),'LAC 103'!$A$12:$O$95,11,FALSE),0)</f>
        <v>0</v>
      </c>
      <c r="S1949" s="1144">
        <f>IFERROR(VLOOKUP(CONCATENATE($E1949,$G1949),'LAC 103'!$A$12:$O$95,12,FALSE),0)</f>
        <v>0</v>
      </c>
      <c r="T1949" s="1144">
        <f>IFERROR(VLOOKUP(CONCATENATE($E1949,$G1949),'LAC 103'!$A$12:$O$95,13,FALSE),0)</f>
        <v>0</v>
      </c>
      <c r="U1949" s="1144">
        <f>IFERROR(VLOOKUP(CONCATENATE($E1949,$G1949),'LAC 103'!$A$12:$O$95,14,FALSE),0)</f>
        <v>0</v>
      </c>
      <c r="V1949" s="1144">
        <f>IFERROR(VLOOKUP(CONCATENATE($E1949,$G1949),'LAC 103'!$A$12:$O$95,15,FALSE),0)</f>
        <v>0</v>
      </c>
      <c r="W1949" s="1145" t="str">
        <f>IFERROR(VLOOKUP(CONCATENATE($B1949,$N1949),'LAC 103'!$AI:$AQ,9,FALSE),"")</f>
        <v/>
      </c>
      <c r="X1949" s="1146">
        <f t="shared" si="546"/>
        <v>0</v>
      </c>
      <c r="Y1949" s="1143">
        <f t="shared" si="556"/>
        <v>0</v>
      </c>
      <c r="Z1949" s="1147">
        <f t="shared" si="547"/>
        <v>0</v>
      </c>
      <c r="AA1949" s="1144">
        <f t="shared" si="548"/>
        <v>0</v>
      </c>
      <c r="AB1949" s="1144">
        <f t="shared" si="549"/>
        <v>0</v>
      </c>
      <c r="AC1949" s="1144">
        <f t="shared" si="550"/>
        <v>0</v>
      </c>
      <c r="AD1949" s="1148">
        <f t="shared" si="542"/>
        <v>0</v>
      </c>
      <c r="AE1949" s="1487">
        <v>0</v>
      </c>
      <c r="AF1949" s="1145">
        <f t="shared" si="551"/>
        <v>0</v>
      </c>
      <c r="AG1949" s="1149">
        <f>IFERROR(VLOOKUP(CONCATENATE($L1949,$N1949),'Drop List'!$G$23:$K$87,2,FALSE),0)</f>
        <v>0</v>
      </c>
      <c r="AH1949" s="1150">
        <f>IFERROR(VLOOKUP(CONCATENATE($L1949,$N1949),'Drop List'!$G$23:$K$87,3,FALSE),0)</f>
        <v>0</v>
      </c>
      <c r="AI1949" s="1150">
        <f>IFERROR(VLOOKUP(CONCATENATE($L1949,$N1949),'Drop List'!$G$23:$K$87,4,FALSE),0)</f>
        <v>0</v>
      </c>
      <c r="AJ1949" s="1151">
        <f>IFERROR(VLOOKUP(CONCATENATE($L1949,$N1949),'Drop List'!$G$23:$K$87,5,FALSE),0)</f>
        <v>0</v>
      </c>
      <c r="AK1949" s="1152">
        <f t="shared" si="552"/>
        <v>0</v>
      </c>
      <c r="AL1949" s="1153">
        <f t="shared" si="553"/>
        <v>0</v>
      </c>
      <c r="AM1949" s="1153">
        <f t="shared" si="554"/>
        <v>0</v>
      </c>
      <c r="AN1949" s="1145">
        <f t="shared" si="555"/>
        <v>0</v>
      </c>
      <c r="AO1949" s="1154">
        <f t="shared" si="540"/>
        <v>0</v>
      </c>
      <c r="AP1949" s="1147">
        <f t="shared" si="543"/>
        <v>0</v>
      </c>
      <c r="AQ1949" s="1144">
        <f t="shared" si="544"/>
        <v>0</v>
      </c>
      <c r="AR1949" s="1146">
        <f t="shared" si="545"/>
        <v>0</v>
      </c>
    </row>
    <row r="1950" spans="1:44" x14ac:dyDescent="0.2">
      <c r="A1950" s="1141" t="str">
        <f t="shared" si="557"/>
        <v/>
      </c>
      <c r="B1950" s="1141" t="str">
        <f>IFERROR(VLOOKUP(A1950,'LAC 103'!A:C,3,FALSE),"")</f>
        <v/>
      </c>
      <c r="C1950" s="1478" t="str">
        <f>Info!$B$8</f>
        <v>00100</v>
      </c>
      <c r="D1950" s="1474"/>
      <c r="E1950" s="1474"/>
      <c r="F1950" s="1478"/>
      <c r="G1950" s="1478"/>
      <c r="H1950" s="1474"/>
      <c r="I1950" s="1478"/>
      <c r="J1950" s="1478"/>
      <c r="K1950" s="1475"/>
      <c r="L1950" s="1474"/>
      <c r="M1950" s="1476"/>
      <c r="N1950" s="1477"/>
      <c r="O1950" s="1479"/>
      <c r="P1950" s="1479"/>
      <c r="Q1950" s="1142">
        <f t="shared" si="541"/>
        <v>0</v>
      </c>
      <c r="R1950" s="1143">
        <f>IFERROR(VLOOKUP(CONCATENATE($E1950,$G1950),'LAC 103'!$A$12:$O$95,11,FALSE),0)</f>
        <v>0</v>
      </c>
      <c r="S1950" s="1144">
        <f>IFERROR(VLOOKUP(CONCATENATE($E1950,$G1950),'LAC 103'!$A$12:$O$95,12,FALSE),0)</f>
        <v>0</v>
      </c>
      <c r="T1950" s="1144">
        <f>IFERROR(VLOOKUP(CONCATENATE($E1950,$G1950),'LAC 103'!$A$12:$O$95,13,FALSE),0)</f>
        <v>0</v>
      </c>
      <c r="U1950" s="1144">
        <f>IFERROR(VLOOKUP(CONCATENATE($E1950,$G1950),'LAC 103'!$A$12:$O$95,14,FALSE),0)</f>
        <v>0</v>
      </c>
      <c r="V1950" s="1144">
        <f>IFERROR(VLOOKUP(CONCATENATE($E1950,$G1950),'LAC 103'!$A$12:$O$95,15,FALSE),0)</f>
        <v>0</v>
      </c>
      <c r="W1950" s="1145" t="str">
        <f>IFERROR(VLOOKUP(CONCATENATE($B1950,$N1950),'LAC 103'!$AI:$AQ,9,FALSE),"")</f>
        <v/>
      </c>
      <c r="X1950" s="1146">
        <f t="shared" si="546"/>
        <v>0</v>
      </c>
      <c r="Y1950" s="1143">
        <f t="shared" si="556"/>
        <v>0</v>
      </c>
      <c r="Z1950" s="1147">
        <f t="shared" si="547"/>
        <v>0</v>
      </c>
      <c r="AA1950" s="1144">
        <f t="shared" si="548"/>
        <v>0</v>
      </c>
      <c r="AB1950" s="1144">
        <f t="shared" si="549"/>
        <v>0</v>
      </c>
      <c r="AC1950" s="1144">
        <f t="shared" si="550"/>
        <v>0</v>
      </c>
      <c r="AD1950" s="1148">
        <f t="shared" si="542"/>
        <v>0</v>
      </c>
      <c r="AE1950" s="1487">
        <v>0</v>
      </c>
      <c r="AF1950" s="1145">
        <f t="shared" si="551"/>
        <v>0</v>
      </c>
      <c r="AG1950" s="1149">
        <f>IFERROR(VLOOKUP(CONCATENATE($L1950,$N1950),'Drop List'!$G$23:$K$87,2,FALSE),0)</f>
        <v>0</v>
      </c>
      <c r="AH1950" s="1150">
        <f>IFERROR(VLOOKUP(CONCATENATE($L1950,$N1950),'Drop List'!$G$23:$K$87,3,FALSE),0)</f>
        <v>0</v>
      </c>
      <c r="AI1950" s="1150">
        <f>IFERROR(VLOOKUP(CONCATENATE($L1950,$N1950),'Drop List'!$G$23:$K$87,4,FALSE),0)</f>
        <v>0</v>
      </c>
      <c r="AJ1950" s="1151">
        <f>IFERROR(VLOOKUP(CONCATENATE($L1950,$N1950),'Drop List'!$G$23:$K$87,5,FALSE),0)</f>
        <v>0</v>
      </c>
      <c r="AK1950" s="1152">
        <f t="shared" si="552"/>
        <v>0</v>
      </c>
      <c r="AL1950" s="1153">
        <f t="shared" si="553"/>
        <v>0</v>
      </c>
      <c r="AM1950" s="1153">
        <f t="shared" si="554"/>
        <v>0</v>
      </c>
      <c r="AN1950" s="1145">
        <f t="shared" si="555"/>
        <v>0</v>
      </c>
      <c r="AO1950" s="1154">
        <f t="shared" ref="AO1950:AO2010" si="558">SUM(AK1950:AN1950)</f>
        <v>0</v>
      </c>
      <c r="AP1950" s="1147">
        <f t="shared" si="543"/>
        <v>0</v>
      </c>
      <c r="AQ1950" s="1144">
        <f t="shared" si="544"/>
        <v>0</v>
      </c>
      <c r="AR1950" s="1146">
        <f t="shared" si="545"/>
        <v>0</v>
      </c>
    </row>
    <row r="1951" spans="1:44" x14ac:dyDescent="0.2">
      <c r="A1951" s="1141" t="str">
        <f t="shared" si="557"/>
        <v/>
      </c>
      <c r="B1951" s="1141" t="str">
        <f>IFERROR(VLOOKUP(A1951,'LAC 103'!A:C,3,FALSE),"")</f>
        <v/>
      </c>
      <c r="C1951" s="1478" t="str">
        <f>Info!$B$8</f>
        <v>00100</v>
      </c>
      <c r="D1951" s="1474"/>
      <c r="E1951" s="1474"/>
      <c r="F1951" s="1478"/>
      <c r="G1951" s="1478"/>
      <c r="H1951" s="1474"/>
      <c r="I1951" s="1478"/>
      <c r="J1951" s="1478"/>
      <c r="K1951" s="1475"/>
      <c r="L1951" s="1474"/>
      <c r="M1951" s="1476"/>
      <c r="N1951" s="1477"/>
      <c r="O1951" s="1479"/>
      <c r="P1951" s="1479"/>
      <c r="Q1951" s="1142">
        <f t="shared" si="541"/>
        <v>0</v>
      </c>
      <c r="R1951" s="1143">
        <f>IFERROR(VLOOKUP(CONCATENATE($E1951,$G1951),'LAC 103'!$A$12:$O$95,11,FALSE),0)</f>
        <v>0</v>
      </c>
      <c r="S1951" s="1144">
        <f>IFERROR(VLOOKUP(CONCATENATE($E1951,$G1951),'LAC 103'!$A$12:$O$95,12,FALSE),0)</f>
        <v>0</v>
      </c>
      <c r="T1951" s="1144">
        <f>IFERROR(VLOOKUP(CONCATENATE($E1951,$G1951),'LAC 103'!$A$12:$O$95,13,FALSE),0)</f>
        <v>0</v>
      </c>
      <c r="U1951" s="1144">
        <f>IFERROR(VLOOKUP(CONCATENATE($E1951,$G1951),'LAC 103'!$A$12:$O$95,14,FALSE),0)</f>
        <v>0</v>
      </c>
      <c r="V1951" s="1144">
        <f>IFERROR(VLOOKUP(CONCATENATE($E1951,$G1951),'LAC 103'!$A$12:$O$95,15,FALSE),0)</f>
        <v>0</v>
      </c>
      <c r="W1951" s="1145" t="str">
        <f>IFERROR(VLOOKUP(CONCATENATE($B1951,$N1951),'LAC 103'!$AI:$AQ,9,FALSE),"")</f>
        <v/>
      </c>
      <c r="X1951" s="1146">
        <f t="shared" si="546"/>
        <v>0</v>
      </c>
      <c r="Y1951" s="1143">
        <f t="shared" si="556"/>
        <v>0</v>
      </c>
      <c r="Z1951" s="1147">
        <f t="shared" si="547"/>
        <v>0</v>
      </c>
      <c r="AA1951" s="1144">
        <f t="shared" si="548"/>
        <v>0</v>
      </c>
      <c r="AB1951" s="1144">
        <f t="shared" si="549"/>
        <v>0</v>
      </c>
      <c r="AC1951" s="1144">
        <f t="shared" si="550"/>
        <v>0</v>
      </c>
      <c r="AD1951" s="1148">
        <f t="shared" si="542"/>
        <v>0</v>
      </c>
      <c r="AE1951" s="1487">
        <v>0</v>
      </c>
      <c r="AF1951" s="1145">
        <f t="shared" si="551"/>
        <v>0</v>
      </c>
      <c r="AG1951" s="1149">
        <f>IFERROR(VLOOKUP(CONCATENATE($L1951,$N1951),'Drop List'!$G$23:$K$87,2,FALSE),0)</f>
        <v>0</v>
      </c>
      <c r="AH1951" s="1150">
        <f>IFERROR(VLOOKUP(CONCATENATE($L1951,$N1951),'Drop List'!$G$23:$K$87,3,FALSE),0)</f>
        <v>0</v>
      </c>
      <c r="AI1951" s="1150">
        <f>IFERROR(VLOOKUP(CONCATENATE($L1951,$N1951),'Drop List'!$G$23:$K$87,4,FALSE),0)</f>
        <v>0</v>
      </c>
      <c r="AJ1951" s="1151">
        <f>IFERROR(VLOOKUP(CONCATENATE($L1951,$N1951),'Drop List'!$G$23:$K$87,5,FALSE),0)</f>
        <v>0</v>
      </c>
      <c r="AK1951" s="1152">
        <f t="shared" si="552"/>
        <v>0</v>
      </c>
      <c r="AL1951" s="1153">
        <f t="shared" si="553"/>
        <v>0</v>
      </c>
      <c r="AM1951" s="1153">
        <f t="shared" si="554"/>
        <v>0</v>
      </c>
      <c r="AN1951" s="1145">
        <f t="shared" si="555"/>
        <v>0</v>
      </c>
      <c r="AO1951" s="1154">
        <f t="shared" si="558"/>
        <v>0</v>
      </c>
      <c r="AP1951" s="1147">
        <f t="shared" si="543"/>
        <v>0</v>
      </c>
      <c r="AQ1951" s="1144">
        <f t="shared" si="544"/>
        <v>0</v>
      </c>
      <c r="AR1951" s="1146">
        <f t="shared" si="545"/>
        <v>0</v>
      </c>
    </row>
    <row r="1952" spans="1:44" x14ac:dyDescent="0.2">
      <c r="A1952" s="1141" t="str">
        <f t="shared" si="557"/>
        <v/>
      </c>
      <c r="B1952" s="1141" t="str">
        <f>IFERROR(VLOOKUP(A1952,'LAC 103'!A:C,3,FALSE),"")</f>
        <v/>
      </c>
      <c r="C1952" s="1478" t="str">
        <f>Info!$B$8</f>
        <v>00100</v>
      </c>
      <c r="D1952" s="1474"/>
      <c r="E1952" s="1474"/>
      <c r="F1952" s="1478"/>
      <c r="G1952" s="1478"/>
      <c r="H1952" s="1474"/>
      <c r="I1952" s="1478"/>
      <c r="J1952" s="1478"/>
      <c r="K1952" s="1475"/>
      <c r="L1952" s="1474"/>
      <c r="M1952" s="1476"/>
      <c r="N1952" s="1477"/>
      <c r="O1952" s="1479"/>
      <c r="P1952" s="1479"/>
      <c r="Q1952" s="1142">
        <f t="shared" si="541"/>
        <v>0</v>
      </c>
      <c r="R1952" s="1143">
        <f>IFERROR(VLOOKUP(CONCATENATE($E1952,$G1952),'LAC 103'!$A$12:$O$95,11,FALSE),0)</f>
        <v>0</v>
      </c>
      <c r="S1952" s="1144">
        <f>IFERROR(VLOOKUP(CONCATENATE($E1952,$G1952),'LAC 103'!$A$12:$O$95,12,FALSE),0)</f>
        <v>0</v>
      </c>
      <c r="T1952" s="1144">
        <f>IFERROR(VLOOKUP(CONCATENATE($E1952,$G1952),'LAC 103'!$A$12:$O$95,13,FALSE),0)</f>
        <v>0</v>
      </c>
      <c r="U1952" s="1144">
        <f>IFERROR(VLOOKUP(CONCATENATE($E1952,$G1952),'LAC 103'!$A$12:$O$95,14,FALSE),0)</f>
        <v>0</v>
      </c>
      <c r="V1952" s="1144">
        <f>IFERROR(VLOOKUP(CONCATENATE($E1952,$G1952),'LAC 103'!$A$12:$O$95,15,FALSE),0)</f>
        <v>0</v>
      </c>
      <c r="W1952" s="1145" t="str">
        <f>IFERROR(VLOOKUP(CONCATENATE($B1952,$N1952),'LAC 103'!$AI:$AQ,9,FALSE),"")</f>
        <v/>
      </c>
      <c r="X1952" s="1146">
        <f t="shared" si="546"/>
        <v>0</v>
      </c>
      <c r="Y1952" s="1143">
        <f t="shared" si="556"/>
        <v>0</v>
      </c>
      <c r="Z1952" s="1147">
        <f t="shared" si="547"/>
        <v>0</v>
      </c>
      <c r="AA1952" s="1144">
        <f t="shared" si="548"/>
        <v>0</v>
      </c>
      <c r="AB1952" s="1144">
        <f t="shared" si="549"/>
        <v>0</v>
      </c>
      <c r="AC1952" s="1144">
        <f t="shared" si="550"/>
        <v>0</v>
      </c>
      <c r="AD1952" s="1148">
        <f t="shared" si="542"/>
        <v>0</v>
      </c>
      <c r="AE1952" s="1487">
        <v>0</v>
      </c>
      <c r="AF1952" s="1145">
        <f t="shared" si="551"/>
        <v>0</v>
      </c>
      <c r="AG1952" s="1149">
        <f>IFERROR(VLOOKUP(CONCATENATE($L1952,$N1952),'Drop List'!$G$23:$K$87,2,FALSE),0)</f>
        <v>0</v>
      </c>
      <c r="AH1952" s="1150">
        <f>IFERROR(VLOOKUP(CONCATENATE($L1952,$N1952),'Drop List'!$G$23:$K$87,3,FALSE),0)</f>
        <v>0</v>
      </c>
      <c r="AI1952" s="1150">
        <f>IFERROR(VLOOKUP(CONCATENATE($L1952,$N1952),'Drop List'!$G$23:$K$87,4,FALSE),0)</f>
        <v>0</v>
      </c>
      <c r="AJ1952" s="1151">
        <f>IFERROR(VLOOKUP(CONCATENATE($L1952,$N1952),'Drop List'!$G$23:$K$87,5,FALSE),0)</f>
        <v>0</v>
      </c>
      <c r="AK1952" s="1152">
        <f t="shared" si="552"/>
        <v>0</v>
      </c>
      <c r="AL1952" s="1153">
        <f t="shared" si="553"/>
        <v>0</v>
      </c>
      <c r="AM1952" s="1153">
        <f t="shared" si="554"/>
        <v>0</v>
      </c>
      <c r="AN1952" s="1145">
        <f t="shared" si="555"/>
        <v>0</v>
      </c>
      <c r="AO1952" s="1154">
        <f t="shared" si="558"/>
        <v>0</v>
      </c>
      <c r="AP1952" s="1147">
        <f t="shared" si="543"/>
        <v>0</v>
      </c>
      <c r="AQ1952" s="1144">
        <f t="shared" si="544"/>
        <v>0</v>
      </c>
      <c r="AR1952" s="1146">
        <f t="shared" si="545"/>
        <v>0</v>
      </c>
    </row>
    <row r="1953" spans="1:44" x14ac:dyDescent="0.2">
      <c r="A1953" s="1141" t="str">
        <f t="shared" si="557"/>
        <v/>
      </c>
      <c r="B1953" s="1141" t="str">
        <f>IFERROR(VLOOKUP(A1953,'LAC 103'!A:C,3,FALSE),"")</f>
        <v/>
      </c>
      <c r="C1953" s="1478" t="str">
        <f>Info!$B$8</f>
        <v>00100</v>
      </c>
      <c r="D1953" s="1474"/>
      <c r="E1953" s="1474"/>
      <c r="F1953" s="1478"/>
      <c r="G1953" s="1478"/>
      <c r="H1953" s="1474"/>
      <c r="I1953" s="1478"/>
      <c r="J1953" s="1478"/>
      <c r="K1953" s="1475"/>
      <c r="L1953" s="1474"/>
      <c r="M1953" s="1476"/>
      <c r="N1953" s="1477"/>
      <c r="O1953" s="1479"/>
      <c r="P1953" s="1479"/>
      <c r="Q1953" s="1142">
        <f t="shared" si="541"/>
        <v>0</v>
      </c>
      <c r="R1953" s="1143">
        <f>IFERROR(VLOOKUP(CONCATENATE($E1953,$G1953),'LAC 103'!$A$12:$O$95,11,FALSE),0)</f>
        <v>0</v>
      </c>
      <c r="S1953" s="1144">
        <f>IFERROR(VLOOKUP(CONCATENATE($E1953,$G1953),'LAC 103'!$A$12:$O$95,12,FALSE),0)</f>
        <v>0</v>
      </c>
      <c r="T1953" s="1144">
        <f>IFERROR(VLOOKUP(CONCATENATE($E1953,$G1953),'LAC 103'!$A$12:$O$95,13,FALSE),0)</f>
        <v>0</v>
      </c>
      <c r="U1953" s="1144">
        <f>IFERROR(VLOOKUP(CONCATENATE($E1953,$G1953),'LAC 103'!$A$12:$O$95,14,FALSE),0)</f>
        <v>0</v>
      </c>
      <c r="V1953" s="1144">
        <f>IFERROR(VLOOKUP(CONCATENATE($E1953,$G1953),'LAC 103'!$A$12:$O$95,15,FALSE),0)</f>
        <v>0</v>
      </c>
      <c r="W1953" s="1145" t="str">
        <f>IFERROR(VLOOKUP(CONCATENATE($B1953,$N1953),'LAC 103'!$AI:$AQ,9,FALSE),"")</f>
        <v/>
      </c>
      <c r="X1953" s="1146">
        <f t="shared" si="546"/>
        <v>0</v>
      </c>
      <c r="Y1953" s="1143">
        <f t="shared" si="556"/>
        <v>0</v>
      </c>
      <c r="Z1953" s="1147">
        <f t="shared" si="547"/>
        <v>0</v>
      </c>
      <c r="AA1953" s="1144">
        <f t="shared" si="548"/>
        <v>0</v>
      </c>
      <c r="AB1953" s="1144">
        <f t="shared" si="549"/>
        <v>0</v>
      </c>
      <c r="AC1953" s="1144">
        <f t="shared" si="550"/>
        <v>0</v>
      </c>
      <c r="AD1953" s="1148">
        <f t="shared" si="542"/>
        <v>0</v>
      </c>
      <c r="AE1953" s="1487">
        <v>0</v>
      </c>
      <c r="AF1953" s="1145">
        <f t="shared" si="551"/>
        <v>0</v>
      </c>
      <c r="AG1953" s="1149">
        <f>IFERROR(VLOOKUP(CONCATENATE($L1953,$N1953),'Drop List'!$G$23:$K$87,2,FALSE),0)</f>
        <v>0</v>
      </c>
      <c r="AH1953" s="1150">
        <f>IFERROR(VLOOKUP(CONCATENATE($L1953,$N1953),'Drop List'!$G$23:$K$87,3,FALSE),0)</f>
        <v>0</v>
      </c>
      <c r="AI1953" s="1150">
        <f>IFERROR(VLOOKUP(CONCATENATE($L1953,$N1953),'Drop List'!$G$23:$K$87,4,FALSE),0)</f>
        <v>0</v>
      </c>
      <c r="AJ1953" s="1151">
        <f>IFERROR(VLOOKUP(CONCATENATE($L1953,$N1953),'Drop List'!$G$23:$K$87,5,FALSE),0)</f>
        <v>0</v>
      </c>
      <c r="AK1953" s="1152">
        <f t="shared" si="552"/>
        <v>0</v>
      </c>
      <c r="AL1953" s="1153">
        <f t="shared" si="553"/>
        <v>0</v>
      </c>
      <c r="AM1953" s="1153">
        <f t="shared" si="554"/>
        <v>0</v>
      </c>
      <c r="AN1953" s="1145">
        <f t="shared" si="555"/>
        <v>0</v>
      </c>
      <c r="AO1953" s="1154">
        <f t="shared" si="558"/>
        <v>0</v>
      </c>
      <c r="AP1953" s="1147">
        <f t="shared" si="543"/>
        <v>0</v>
      </c>
      <c r="AQ1953" s="1144">
        <f t="shared" si="544"/>
        <v>0</v>
      </c>
      <c r="AR1953" s="1146">
        <f t="shared" si="545"/>
        <v>0</v>
      </c>
    </row>
    <row r="1954" spans="1:44" x14ac:dyDescent="0.2">
      <c r="A1954" s="1141" t="str">
        <f t="shared" si="557"/>
        <v/>
      </c>
      <c r="B1954" s="1141" t="str">
        <f>IFERROR(VLOOKUP(A1954,'LAC 103'!A:C,3,FALSE),"")</f>
        <v/>
      </c>
      <c r="C1954" s="1478" t="str">
        <f>Info!$B$8</f>
        <v>00100</v>
      </c>
      <c r="D1954" s="1474"/>
      <c r="E1954" s="1474"/>
      <c r="F1954" s="1478"/>
      <c r="G1954" s="1478"/>
      <c r="H1954" s="1474"/>
      <c r="I1954" s="1478"/>
      <c r="J1954" s="1478"/>
      <c r="K1954" s="1475"/>
      <c r="L1954" s="1474"/>
      <c r="M1954" s="1476"/>
      <c r="N1954" s="1477"/>
      <c r="O1954" s="1479"/>
      <c r="P1954" s="1479"/>
      <c r="Q1954" s="1142">
        <f t="shared" si="541"/>
        <v>0</v>
      </c>
      <c r="R1954" s="1143">
        <f>IFERROR(VLOOKUP(CONCATENATE($E1954,$G1954),'LAC 103'!$A$12:$O$95,11,FALSE),0)</f>
        <v>0</v>
      </c>
      <c r="S1954" s="1144">
        <f>IFERROR(VLOOKUP(CONCATENATE($E1954,$G1954),'LAC 103'!$A$12:$O$95,12,FALSE),0)</f>
        <v>0</v>
      </c>
      <c r="T1954" s="1144">
        <f>IFERROR(VLOOKUP(CONCATENATE($E1954,$G1954),'LAC 103'!$A$12:$O$95,13,FALSE),0)</f>
        <v>0</v>
      </c>
      <c r="U1954" s="1144">
        <f>IFERROR(VLOOKUP(CONCATENATE($E1954,$G1954),'LAC 103'!$A$12:$O$95,14,FALSE),0)</f>
        <v>0</v>
      </c>
      <c r="V1954" s="1144">
        <f>IFERROR(VLOOKUP(CONCATENATE($E1954,$G1954),'LAC 103'!$A$12:$O$95,15,FALSE),0)</f>
        <v>0</v>
      </c>
      <c r="W1954" s="1145" t="str">
        <f>IFERROR(VLOOKUP(CONCATENATE($B1954,$N1954),'LAC 103'!$AI:$AQ,9,FALSE),"")</f>
        <v/>
      </c>
      <c r="X1954" s="1146">
        <f t="shared" si="546"/>
        <v>0</v>
      </c>
      <c r="Y1954" s="1143">
        <f t="shared" si="556"/>
        <v>0</v>
      </c>
      <c r="Z1954" s="1147">
        <f t="shared" si="547"/>
        <v>0</v>
      </c>
      <c r="AA1954" s="1144">
        <f t="shared" si="548"/>
        <v>0</v>
      </c>
      <c r="AB1954" s="1144">
        <f t="shared" si="549"/>
        <v>0</v>
      </c>
      <c r="AC1954" s="1144">
        <f t="shared" si="550"/>
        <v>0</v>
      </c>
      <c r="AD1954" s="1148">
        <f t="shared" si="542"/>
        <v>0</v>
      </c>
      <c r="AE1954" s="1487">
        <v>0</v>
      </c>
      <c r="AF1954" s="1145">
        <f t="shared" si="551"/>
        <v>0</v>
      </c>
      <c r="AG1954" s="1149">
        <f>IFERROR(VLOOKUP(CONCATENATE($L1954,$N1954),'Drop List'!$G$23:$K$87,2,FALSE),0)</f>
        <v>0</v>
      </c>
      <c r="AH1954" s="1150">
        <f>IFERROR(VLOOKUP(CONCATENATE($L1954,$N1954),'Drop List'!$G$23:$K$87,3,FALSE),0)</f>
        <v>0</v>
      </c>
      <c r="AI1954" s="1150">
        <f>IFERROR(VLOOKUP(CONCATENATE($L1954,$N1954),'Drop List'!$G$23:$K$87,4,FALSE),0)</f>
        <v>0</v>
      </c>
      <c r="AJ1954" s="1151">
        <f>IFERROR(VLOOKUP(CONCATENATE($L1954,$N1954),'Drop List'!$G$23:$K$87,5,FALSE),0)</f>
        <v>0</v>
      </c>
      <c r="AK1954" s="1152">
        <f t="shared" si="552"/>
        <v>0</v>
      </c>
      <c r="AL1954" s="1153">
        <f t="shared" si="553"/>
        <v>0</v>
      </c>
      <c r="AM1954" s="1153">
        <f t="shared" si="554"/>
        <v>0</v>
      </c>
      <c r="AN1954" s="1145">
        <f t="shared" si="555"/>
        <v>0</v>
      </c>
      <c r="AO1954" s="1154">
        <f t="shared" si="558"/>
        <v>0</v>
      </c>
      <c r="AP1954" s="1147">
        <f t="shared" si="543"/>
        <v>0</v>
      </c>
      <c r="AQ1954" s="1144">
        <f t="shared" si="544"/>
        <v>0</v>
      </c>
      <c r="AR1954" s="1146">
        <f t="shared" si="545"/>
        <v>0</v>
      </c>
    </row>
    <row r="1955" spans="1:44" x14ac:dyDescent="0.2">
      <c r="A1955" s="1141" t="str">
        <f t="shared" si="557"/>
        <v/>
      </c>
      <c r="B1955" s="1141" t="str">
        <f>IFERROR(VLOOKUP(A1955,'LAC 103'!A:C,3,FALSE),"")</f>
        <v/>
      </c>
      <c r="C1955" s="1478" t="str">
        <f>Info!$B$8</f>
        <v>00100</v>
      </c>
      <c r="D1955" s="1474"/>
      <c r="E1955" s="1474"/>
      <c r="F1955" s="1478"/>
      <c r="G1955" s="1478"/>
      <c r="H1955" s="1474"/>
      <c r="I1955" s="1478"/>
      <c r="J1955" s="1478"/>
      <c r="K1955" s="1475"/>
      <c r="L1955" s="1474"/>
      <c r="M1955" s="1476"/>
      <c r="N1955" s="1477"/>
      <c r="O1955" s="1479"/>
      <c r="P1955" s="1479"/>
      <c r="Q1955" s="1142">
        <f t="shared" si="541"/>
        <v>0</v>
      </c>
      <c r="R1955" s="1143">
        <f>IFERROR(VLOOKUP(CONCATENATE($E1955,$G1955),'LAC 103'!$A$12:$O$95,11,FALSE),0)</f>
        <v>0</v>
      </c>
      <c r="S1955" s="1144">
        <f>IFERROR(VLOOKUP(CONCATENATE($E1955,$G1955),'LAC 103'!$A$12:$O$95,12,FALSE),0)</f>
        <v>0</v>
      </c>
      <c r="T1955" s="1144">
        <f>IFERROR(VLOOKUP(CONCATENATE($E1955,$G1955),'LAC 103'!$A$12:$O$95,13,FALSE),0)</f>
        <v>0</v>
      </c>
      <c r="U1955" s="1144">
        <f>IFERROR(VLOOKUP(CONCATENATE($E1955,$G1955),'LAC 103'!$A$12:$O$95,14,FALSE),0)</f>
        <v>0</v>
      </c>
      <c r="V1955" s="1144">
        <f>IFERROR(VLOOKUP(CONCATENATE($E1955,$G1955),'LAC 103'!$A$12:$O$95,15,FALSE),0)</f>
        <v>0</v>
      </c>
      <c r="W1955" s="1145" t="str">
        <f>IFERROR(VLOOKUP(CONCATENATE($B1955,$N1955),'LAC 103'!$AI:$AQ,9,FALSE),"")</f>
        <v/>
      </c>
      <c r="X1955" s="1146">
        <f t="shared" si="546"/>
        <v>0</v>
      </c>
      <c r="Y1955" s="1143">
        <f t="shared" si="556"/>
        <v>0</v>
      </c>
      <c r="Z1955" s="1147">
        <f t="shared" si="547"/>
        <v>0</v>
      </c>
      <c r="AA1955" s="1144">
        <f t="shared" si="548"/>
        <v>0</v>
      </c>
      <c r="AB1955" s="1144">
        <f t="shared" si="549"/>
        <v>0</v>
      </c>
      <c r="AC1955" s="1144">
        <f t="shared" si="550"/>
        <v>0</v>
      </c>
      <c r="AD1955" s="1148">
        <f t="shared" si="542"/>
        <v>0</v>
      </c>
      <c r="AE1955" s="1487">
        <v>0</v>
      </c>
      <c r="AF1955" s="1145">
        <f t="shared" si="551"/>
        <v>0</v>
      </c>
      <c r="AG1955" s="1149">
        <f>IFERROR(VLOOKUP(CONCATENATE($L1955,$N1955),'Drop List'!$G$23:$K$87,2,FALSE),0)</f>
        <v>0</v>
      </c>
      <c r="AH1955" s="1150">
        <f>IFERROR(VLOOKUP(CONCATENATE($L1955,$N1955),'Drop List'!$G$23:$K$87,3,FALSE),0)</f>
        <v>0</v>
      </c>
      <c r="AI1955" s="1150">
        <f>IFERROR(VLOOKUP(CONCATENATE($L1955,$N1955),'Drop List'!$G$23:$K$87,4,FALSE),0)</f>
        <v>0</v>
      </c>
      <c r="AJ1955" s="1151">
        <f>IFERROR(VLOOKUP(CONCATENATE($L1955,$N1955),'Drop List'!$G$23:$K$87,5,FALSE),0)</f>
        <v>0</v>
      </c>
      <c r="AK1955" s="1152">
        <f t="shared" si="552"/>
        <v>0</v>
      </c>
      <c r="AL1955" s="1153">
        <f t="shared" si="553"/>
        <v>0</v>
      </c>
      <c r="AM1955" s="1153">
        <f t="shared" si="554"/>
        <v>0</v>
      </c>
      <c r="AN1955" s="1145">
        <f t="shared" si="555"/>
        <v>0</v>
      </c>
      <c r="AO1955" s="1154">
        <f t="shared" si="558"/>
        <v>0</v>
      </c>
      <c r="AP1955" s="1147">
        <f t="shared" si="543"/>
        <v>0</v>
      </c>
      <c r="AQ1955" s="1144">
        <f t="shared" si="544"/>
        <v>0</v>
      </c>
      <c r="AR1955" s="1146">
        <f t="shared" si="545"/>
        <v>0</v>
      </c>
    </row>
    <row r="1956" spans="1:44" x14ac:dyDescent="0.2">
      <c r="A1956" s="1141" t="str">
        <f t="shared" si="557"/>
        <v/>
      </c>
      <c r="B1956" s="1141" t="str">
        <f>IFERROR(VLOOKUP(A1956,'LAC 103'!A:C,3,FALSE),"")</f>
        <v/>
      </c>
      <c r="C1956" s="1478" t="str">
        <f>Info!$B$8</f>
        <v>00100</v>
      </c>
      <c r="D1956" s="1474"/>
      <c r="E1956" s="1474"/>
      <c r="F1956" s="1478"/>
      <c r="G1956" s="1478"/>
      <c r="H1956" s="1474"/>
      <c r="I1956" s="1478"/>
      <c r="J1956" s="1478"/>
      <c r="K1956" s="1475"/>
      <c r="L1956" s="1474"/>
      <c r="M1956" s="1476"/>
      <c r="N1956" s="1477"/>
      <c r="O1956" s="1479"/>
      <c r="P1956" s="1479"/>
      <c r="Q1956" s="1142">
        <f t="shared" si="541"/>
        <v>0</v>
      </c>
      <c r="R1956" s="1143">
        <f>IFERROR(VLOOKUP(CONCATENATE($E1956,$G1956),'LAC 103'!$A$12:$O$95,11,FALSE),0)</f>
        <v>0</v>
      </c>
      <c r="S1956" s="1144">
        <f>IFERROR(VLOOKUP(CONCATENATE($E1956,$G1956),'LAC 103'!$A$12:$O$95,12,FALSE),0)</f>
        <v>0</v>
      </c>
      <c r="T1956" s="1144">
        <f>IFERROR(VLOOKUP(CONCATENATE($E1956,$G1956),'LAC 103'!$A$12:$O$95,13,FALSE),0)</f>
        <v>0</v>
      </c>
      <c r="U1956" s="1144">
        <f>IFERROR(VLOOKUP(CONCATENATE($E1956,$G1956),'LAC 103'!$A$12:$O$95,14,FALSE),0)</f>
        <v>0</v>
      </c>
      <c r="V1956" s="1144">
        <f>IFERROR(VLOOKUP(CONCATENATE($E1956,$G1956),'LAC 103'!$A$12:$O$95,15,FALSE),0)</f>
        <v>0</v>
      </c>
      <c r="W1956" s="1145" t="str">
        <f>IFERROR(VLOOKUP(CONCATENATE($B1956,$N1956),'LAC 103'!$AI:$AQ,9,FALSE),"")</f>
        <v/>
      </c>
      <c r="X1956" s="1146">
        <f t="shared" si="546"/>
        <v>0</v>
      </c>
      <c r="Y1956" s="1143">
        <f t="shared" si="556"/>
        <v>0</v>
      </c>
      <c r="Z1956" s="1147">
        <f t="shared" si="547"/>
        <v>0</v>
      </c>
      <c r="AA1956" s="1144">
        <f t="shared" si="548"/>
        <v>0</v>
      </c>
      <c r="AB1956" s="1144">
        <f t="shared" si="549"/>
        <v>0</v>
      </c>
      <c r="AC1956" s="1144">
        <f t="shared" si="550"/>
        <v>0</v>
      </c>
      <c r="AD1956" s="1148">
        <f t="shared" si="542"/>
        <v>0</v>
      </c>
      <c r="AE1956" s="1487">
        <v>0</v>
      </c>
      <c r="AF1956" s="1145">
        <f t="shared" si="551"/>
        <v>0</v>
      </c>
      <c r="AG1956" s="1149">
        <f>IFERROR(VLOOKUP(CONCATENATE($L1956,$N1956),'Drop List'!$G$23:$K$87,2,FALSE),0)</f>
        <v>0</v>
      </c>
      <c r="AH1956" s="1150">
        <f>IFERROR(VLOOKUP(CONCATENATE($L1956,$N1956),'Drop List'!$G$23:$K$87,3,FALSE),0)</f>
        <v>0</v>
      </c>
      <c r="AI1956" s="1150">
        <f>IFERROR(VLOOKUP(CONCATENATE($L1956,$N1956),'Drop List'!$G$23:$K$87,4,FALSE),0)</f>
        <v>0</v>
      </c>
      <c r="AJ1956" s="1151">
        <f>IFERROR(VLOOKUP(CONCATENATE($L1956,$N1956),'Drop List'!$G$23:$K$87,5,FALSE),0)</f>
        <v>0</v>
      </c>
      <c r="AK1956" s="1152">
        <f t="shared" si="552"/>
        <v>0</v>
      </c>
      <c r="AL1956" s="1153">
        <f t="shared" si="553"/>
        <v>0</v>
      </c>
      <c r="AM1956" s="1153">
        <f t="shared" si="554"/>
        <v>0</v>
      </c>
      <c r="AN1956" s="1145">
        <f t="shared" si="555"/>
        <v>0</v>
      </c>
      <c r="AO1956" s="1154">
        <f t="shared" si="558"/>
        <v>0</v>
      </c>
      <c r="AP1956" s="1147">
        <f t="shared" si="543"/>
        <v>0</v>
      </c>
      <c r="AQ1956" s="1144">
        <f t="shared" si="544"/>
        <v>0</v>
      </c>
      <c r="AR1956" s="1146">
        <f t="shared" si="545"/>
        <v>0</v>
      </c>
    </row>
    <row r="1957" spans="1:44" x14ac:dyDescent="0.2">
      <c r="A1957" s="1141" t="str">
        <f t="shared" si="557"/>
        <v/>
      </c>
      <c r="B1957" s="1141" t="str">
        <f>IFERROR(VLOOKUP(A1957,'LAC 103'!A:C,3,FALSE),"")</f>
        <v/>
      </c>
      <c r="C1957" s="1478" t="str">
        <f>Info!$B$8</f>
        <v>00100</v>
      </c>
      <c r="D1957" s="1474"/>
      <c r="E1957" s="1474"/>
      <c r="F1957" s="1478"/>
      <c r="G1957" s="1478"/>
      <c r="H1957" s="1474"/>
      <c r="I1957" s="1478"/>
      <c r="J1957" s="1478"/>
      <c r="K1957" s="1475"/>
      <c r="L1957" s="1474"/>
      <c r="M1957" s="1476"/>
      <c r="N1957" s="1477"/>
      <c r="O1957" s="1479"/>
      <c r="P1957" s="1479"/>
      <c r="Q1957" s="1142">
        <f t="shared" si="541"/>
        <v>0</v>
      </c>
      <c r="R1957" s="1143">
        <f>IFERROR(VLOOKUP(CONCATENATE($E1957,$G1957),'LAC 103'!$A$12:$O$95,11,FALSE),0)</f>
        <v>0</v>
      </c>
      <c r="S1957" s="1144">
        <f>IFERROR(VLOOKUP(CONCATENATE($E1957,$G1957),'LAC 103'!$A$12:$O$95,12,FALSE),0)</f>
        <v>0</v>
      </c>
      <c r="T1957" s="1144">
        <f>IFERROR(VLOOKUP(CONCATENATE($E1957,$G1957),'LAC 103'!$A$12:$O$95,13,FALSE),0)</f>
        <v>0</v>
      </c>
      <c r="U1957" s="1144">
        <f>IFERROR(VLOOKUP(CONCATENATE($E1957,$G1957),'LAC 103'!$A$12:$O$95,14,FALSE),0)</f>
        <v>0</v>
      </c>
      <c r="V1957" s="1144">
        <f>IFERROR(VLOOKUP(CONCATENATE($E1957,$G1957),'LAC 103'!$A$12:$O$95,15,FALSE),0)</f>
        <v>0</v>
      </c>
      <c r="W1957" s="1145" t="str">
        <f>IFERROR(VLOOKUP(CONCATENATE($B1957,$N1957),'LAC 103'!$AI:$AQ,9,FALSE),"")</f>
        <v/>
      </c>
      <c r="X1957" s="1146">
        <f t="shared" si="546"/>
        <v>0</v>
      </c>
      <c r="Y1957" s="1143">
        <f t="shared" si="556"/>
        <v>0</v>
      </c>
      <c r="Z1957" s="1147">
        <f t="shared" si="547"/>
        <v>0</v>
      </c>
      <c r="AA1957" s="1144">
        <f t="shared" si="548"/>
        <v>0</v>
      </c>
      <c r="AB1957" s="1144">
        <f t="shared" si="549"/>
        <v>0</v>
      </c>
      <c r="AC1957" s="1144">
        <f t="shared" si="550"/>
        <v>0</v>
      </c>
      <c r="AD1957" s="1148">
        <f t="shared" si="542"/>
        <v>0</v>
      </c>
      <c r="AE1957" s="1487">
        <v>0</v>
      </c>
      <c r="AF1957" s="1145">
        <f t="shared" si="551"/>
        <v>0</v>
      </c>
      <c r="AG1957" s="1149">
        <f>IFERROR(VLOOKUP(CONCATENATE($L1957,$N1957),'Drop List'!$G$23:$K$87,2,FALSE),0)</f>
        <v>0</v>
      </c>
      <c r="AH1957" s="1150">
        <f>IFERROR(VLOOKUP(CONCATENATE($L1957,$N1957),'Drop List'!$G$23:$K$87,3,FALSE),0)</f>
        <v>0</v>
      </c>
      <c r="AI1957" s="1150">
        <f>IFERROR(VLOOKUP(CONCATENATE($L1957,$N1957),'Drop List'!$G$23:$K$87,4,FALSE),0)</f>
        <v>0</v>
      </c>
      <c r="AJ1957" s="1151">
        <f>IFERROR(VLOOKUP(CONCATENATE($L1957,$N1957),'Drop List'!$G$23:$K$87,5,FALSE),0)</f>
        <v>0</v>
      </c>
      <c r="AK1957" s="1152">
        <f t="shared" si="552"/>
        <v>0</v>
      </c>
      <c r="AL1957" s="1153">
        <f t="shared" si="553"/>
        <v>0</v>
      </c>
      <c r="AM1957" s="1153">
        <f t="shared" si="554"/>
        <v>0</v>
      </c>
      <c r="AN1957" s="1145">
        <f t="shared" si="555"/>
        <v>0</v>
      </c>
      <c r="AO1957" s="1154">
        <f t="shared" si="558"/>
        <v>0</v>
      </c>
      <c r="AP1957" s="1147">
        <f t="shared" si="543"/>
        <v>0</v>
      </c>
      <c r="AQ1957" s="1144">
        <f t="shared" si="544"/>
        <v>0</v>
      </c>
      <c r="AR1957" s="1146">
        <f t="shared" si="545"/>
        <v>0</v>
      </c>
    </row>
    <row r="1958" spans="1:44" x14ac:dyDescent="0.2">
      <c r="A1958" s="1141" t="str">
        <f t="shared" si="557"/>
        <v/>
      </c>
      <c r="B1958" s="1141" t="str">
        <f>IFERROR(VLOOKUP(A1958,'LAC 103'!A:C,3,FALSE),"")</f>
        <v/>
      </c>
      <c r="C1958" s="1478" t="str">
        <f>Info!$B$8</f>
        <v>00100</v>
      </c>
      <c r="D1958" s="1474"/>
      <c r="E1958" s="1474"/>
      <c r="F1958" s="1478"/>
      <c r="G1958" s="1478"/>
      <c r="H1958" s="1474"/>
      <c r="I1958" s="1478"/>
      <c r="J1958" s="1478"/>
      <c r="K1958" s="1475"/>
      <c r="L1958" s="1474"/>
      <c r="M1958" s="1476"/>
      <c r="N1958" s="1477"/>
      <c r="O1958" s="1479"/>
      <c r="P1958" s="1479"/>
      <c r="Q1958" s="1142">
        <f t="shared" si="541"/>
        <v>0</v>
      </c>
      <c r="R1958" s="1143">
        <f>IFERROR(VLOOKUP(CONCATENATE($E1958,$G1958),'LAC 103'!$A$12:$O$95,11,FALSE),0)</f>
        <v>0</v>
      </c>
      <c r="S1958" s="1144">
        <f>IFERROR(VLOOKUP(CONCATENATE($E1958,$G1958),'LAC 103'!$A$12:$O$95,12,FALSE),0)</f>
        <v>0</v>
      </c>
      <c r="T1958" s="1144">
        <f>IFERROR(VLOOKUP(CONCATENATE($E1958,$G1958),'LAC 103'!$A$12:$O$95,13,FALSE),0)</f>
        <v>0</v>
      </c>
      <c r="U1958" s="1144">
        <f>IFERROR(VLOOKUP(CONCATENATE($E1958,$G1958),'LAC 103'!$A$12:$O$95,14,FALSE),0)</f>
        <v>0</v>
      </c>
      <c r="V1958" s="1144">
        <f>IFERROR(VLOOKUP(CONCATENATE($E1958,$G1958),'LAC 103'!$A$12:$O$95,15,FALSE),0)</f>
        <v>0</v>
      </c>
      <c r="W1958" s="1145" t="str">
        <f>IFERROR(VLOOKUP(CONCATENATE($B1958,$N1958),'LAC 103'!$AI:$AQ,9,FALSE),"")</f>
        <v/>
      </c>
      <c r="X1958" s="1146">
        <f t="shared" si="546"/>
        <v>0</v>
      </c>
      <c r="Y1958" s="1143">
        <f t="shared" si="556"/>
        <v>0</v>
      </c>
      <c r="Z1958" s="1147">
        <f t="shared" si="547"/>
        <v>0</v>
      </c>
      <c r="AA1958" s="1144">
        <f t="shared" si="548"/>
        <v>0</v>
      </c>
      <c r="AB1958" s="1144">
        <f t="shared" si="549"/>
        <v>0</v>
      </c>
      <c r="AC1958" s="1144">
        <f t="shared" si="550"/>
        <v>0</v>
      </c>
      <c r="AD1958" s="1148">
        <f t="shared" si="542"/>
        <v>0</v>
      </c>
      <c r="AE1958" s="1487">
        <v>0</v>
      </c>
      <c r="AF1958" s="1145">
        <f t="shared" si="551"/>
        <v>0</v>
      </c>
      <c r="AG1958" s="1149">
        <f>IFERROR(VLOOKUP(CONCATENATE($L1958,$N1958),'Drop List'!$G$23:$K$87,2,FALSE),0)</f>
        <v>0</v>
      </c>
      <c r="AH1958" s="1150">
        <f>IFERROR(VLOOKUP(CONCATENATE($L1958,$N1958),'Drop List'!$G$23:$K$87,3,FALSE),0)</f>
        <v>0</v>
      </c>
      <c r="AI1958" s="1150">
        <f>IFERROR(VLOOKUP(CONCATENATE($L1958,$N1958),'Drop List'!$G$23:$K$87,4,FALSE),0)</f>
        <v>0</v>
      </c>
      <c r="AJ1958" s="1151">
        <f>IFERROR(VLOOKUP(CONCATENATE($L1958,$N1958),'Drop List'!$G$23:$K$87,5,FALSE),0)</f>
        <v>0</v>
      </c>
      <c r="AK1958" s="1152">
        <f t="shared" si="552"/>
        <v>0</v>
      </c>
      <c r="AL1958" s="1153">
        <f t="shared" si="553"/>
        <v>0</v>
      </c>
      <c r="AM1958" s="1153">
        <f t="shared" si="554"/>
        <v>0</v>
      </c>
      <c r="AN1958" s="1145">
        <f t="shared" si="555"/>
        <v>0</v>
      </c>
      <c r="AO1958" s="1154">
        <f t="shared" si="558"/>
        <v>0</v>
      </c>
      <c r="AP1958" s="1147">
        <f t="shared" si="543"/>
        <v>0</v>
      </c>
      <c r="AQ1958" s="1144">
        <f t="shared" si="544"/>
        <v>0</v>
      </c>
      <c r="AR1958" s="1146">
        <f t="shared" si="545"/>
        <v>0</v>
      </c>
    </row>
    <row r="1959" spans="1:44" x14ac:dyDescent="0.2">
      <c r="A1959" s="1141" t="str">
        <f t="shared" si="557"/>
        <v/>
      </c>
      <c r="B1959" s="1141" t="str">
        <f>IFERROR(VLOOKUP(A1959,'LAC 103'!A:C,3,FALSE),"")</f>
        <v/>
      </c>
      <c r="C1959" s="1478" t="str">
        <f>Info!$B$8</f>
        <v>00100</v>
      </c>
      <c r="D1959" s="1474"/>
      <c r="E1959" s="1474"/>
      <c r="F1959" s="1478"/>
      <c r="G1959" s="1478"/>
      <c r="H1959" s="1474"/>
      <c r="I1959" s="1478"/>
      <c r="J1959" s="1478"/>
      <c r="K1959" s="1475"/>
      <c r="L1959" s="1474"/>
      <c r="M1959" s="1476"/>
      <c r="N1959" s="1477"/>
      <c r="O1959" s="1479"/>
      <c r="P1959" s="1479"/>
      <c r="Q1959" s="1142">
        <f t="shared" si="541"/>
        <v>0</v>
      </c>
      <c r="R1959" s="1143">
        <f>IFERROR(VLOOKUP(CONCATENATE($E1959,$G1959),'LAC 103'!$A$12:$O$95,11,FALSE),0)</f>
        <v>0</v>
      </c>
      <c r="S1959" s="1144">
        <f>IFERROR(VLOOKUP(CONCATENATE($E1959,$G1959),'LAC 103'!$A$12:$O$95,12,FALSE),0)</f>
        <v>0</v>
      </c>
      <c r="T1959" s="1144">
        <f>IFERROR(VLOOKUP(CONCATENATE($E1959,$G1959),'LAC 103'!$A$12:$O$95,13,FALSE),0)</f>
        <v>0</v>
      </c>
      <c r="U1959" s="1144">
        <f>IFERROR(VLOOKUP(CONCATENATE($E1959,$G1959),'LAC 103'!$A$12:$O$95,14,FALSE),0)</f>
        <v>0</v>
      </c>
      <c r="V1959" s="1144">
        <f>IFERROR(VLOOKUP(CONCATENATE($E1959,$G1959),'LAC 103'!$A$12:$O$95,15,FALSE),0)</f>
        <v>0</v>
      </c>
      <c r="W1959" s="1145" t="str">
        <f>IFERROR(VLOOKUP(CONCATENATE($B1959,$N1959),'LAC 103'!$AI:$AQ,9,FALSE),"")</f>
        <v/>
      </c>
      <c r="X1959" s="1146">
        <f t="shared" si="546"/>
        <v>0</v>
      </c>
      <c r="Y1959" s="1143">
        <f t="shared" si="556"/>
        <v>0</v>
      </c>
      <c r="Z1959" s="1147">
        <f t="shared" si="547"/>
        <v>0</v>
      </c>
      <c r="AA1959" s="1144">
        <f t="shared" si="548"/>
        <v>0</v>
      </c>
      <c r="AB1959" s="1144">
        <f t="shared" si="549"/>
        <v>0</v>
      </c>
      <c r="AC1959" s="1144">
        <f t="shared" si="550"/>
        <v>0</v>
      </c>
      <c r="AD1959" s="1148">
        <f t="shared" si="542"/>
        <v>0</v>
      </c>
      <c r="AE1959" s="1487">
        <v>0</v>
      </c>
      <c r="AF1959" s="1145">
        <f t="shared" si="551"/>
        <v>0</v>
      </c>
      <c r="AG1959" s="1149">
        <f>IFERROR(VLOOKUP(CONCATENATE($L1959,$N1959),'Drop List'!$G$23:$K$87,2,FALSE),0)</f>
        <v>0</v>
      </c>
      <c r="AH1959" s="1150">
        <f>IFERROR(VLOOKUP(CONCATENATE($L1959,$N1959),'Drop List'!$G$23:$K$87,3,FALSE),0)</f>
        <v>0</v>
      </c>
      <c r="AI1959" s="1150">
        <f>IFERROR(VLOOKUP(CONCATENATE($L1959,$N1959),'Drop List'!$G$23:$K$87,4,FALSE),0)</f>
        <v>0</v>
      </c>
      <c r="AJ1959" s="1151">
        <f>IFERROR(VLOOKUP(CONCATENATE($L1959,$N1959),'Drop List'!$G$23:$K$87,5,FALSE),0)</f>
        <v>0</v>
      </c>
      <c r="AK1959" s="1152">
        <f t="shared" si="552"/>
        <v>0</v>
      </c>
      <c r="AL1959" s="1153">
        <f t="shared" si="553"/>
        <v>0</v>
      </c>
      <c r="AM1959" s="1153">
        <f t="shared" si="554"/>
        <v>0</v>
      </c>
      <c r="AN1959" s="1145">
        <f t="shared" si="555"/>
        <v>0</v>
      </c>
      <c r="AO1959" s="1154">
        <f t="shared" si="558"/>
        <v>0</v>
      </c>
      <c r="AP1959" s="1147">
        <f t="shared" si="543"/>
        <v>0</v>
      </c>
      <c r="AQ1959" s="1144">
        <f t="shared" si="544"/>
        <v>0</v>
      </c>
      <c r="AR1959" s="1146">
        <f t="shared" si="545"/>
        <v>0</v>
      </c>
    </row>
    <row r="1960" spans="1:44" x14ac:dyDescent="0.2">
      <c r="A1960" s="1141" t="str">
        <f t="shared" si="557"/>
        <v/>
      </c>
      <c r="B1960" s="1141" t="str">
        <f>IFERROR(VLOOKUP(A1960,'LAC 103'!A:C,3,FALSE),"")</f>
        <v/>
      </c>
      <c r="C1960" s="1478" t="str">
        <f>Info!$B$8</f>
        <v>00100</v>
      </c>
      <c r="D1960" s="1474"/>
      <c r="E1960" s="1474"/>
      <c r="F1960" s="1478"/>
      <c r="G1960" s="1478"/>
      <c r="H1960" s="1474"/>
      <c r="I1960" s="1478"/>
      <c r="J1960" s="1478"/>
      <c r="K1960" s="1475"/>
      <c r="L1960" s="1474"/>
      <c r="M1960" s="1476"/>
      <c r="N1960" s="1477"/>
      <c r="O1960" s="1479"/>
      <c r="P1960" s="1479"/>
      <c r="Q1960" s="1142">
        <f t="shared" si="541"/>
        <v>0</v>
      </c>
      <c r="R1960" s="1143">
        <f>IFERROR(VLOOKUP(CONCATENATE($E1960,$G1960),'LAC 103'!$A$12:$O$95,11,FALSE),0)</f>
        <v>0</v>
      </c>
      <c r="S1960" s="1144">
        <f>IFERROR(VLOOKUP(CONCATENATE($E1960,$G1960),'LAC 103'!$A$12:$O$95,12,FALSE),0)</f>
        <v>0</v>
      </c>
      <c r="T1960" s="1144">
        <f>IFERROR(VLOOKUP(CONCATENATE($E1960,$G1960),'LAC 103'!$A$12:$O$95,13,FALSE),0)</f>
        <v>0</v>
      </c>
      <c r="U1960" s="1144">
        <f>IFERROR(VLOOKUP(CONCATENATE($E1960,$G1960),'LAC 103'!$A$12:$O$95,14,FALSE),0)</f>
        <v>0</v>
      </c>
      <c r="V1960" s="1144">
        <f>IFERROR(VLOOKUP(CONCATENATE($E1960,$G1960),'LAC 103'!$A$12:$O$95,15,FALSE),0)</f>
        <v>0</v>
      </c>
      <c r="W1960" s="1145" t="str">
        <f>IFERROR(VLOOKUP(CONCATENATE($B1960,$N1960),'LAC 103'!$AI:$AQ,9,FALSE),"")</f>
        <v/>
      </c>
      <c r="X1960" s="1146">
        <f t="shared" si="546"/>
        <v>0</v>
      </c>
      <c r="Y1960" s="1143">
        <f t="shared" si="556"/>
        <v>0</v>
      </c>
      <c r="Z1960" s="1147">
        <f t="shared" si="547"/>
        <v>0</v>
      </c>
      <c r="AA1960" s="1144">
        <f t="shared" si="548"/>
        <v>0</v>
      </c>
      <c r="AB1960" s="1144">
        <f t="shared" si="549"/>
        <v>0</v>
      </c>
      <c r="AC1960" s="1144">
        <f t="shared" si="550"/>
        <v>0</v>
      </c>
      <c r="AD1960" s="1148">
        <f t="shared" si="542"/>
        <v>0</v>
      </c>
      <c r="AE1960" s="1487">
        <v>0</v>
      </c>
      <c r="AF1960" s="1145">
        <f t="shared" si="551"/>
        <v>0</v>
      </c>
      <c r="AG1960" s="1149">
        <f>IFERROR(VLOOKUP(CONCATENATE($L1960,$N1960),'Drop List'!$G$23:$K$87,2,FALSE),0)</f>
        <v>0</v>
      </c>
      <c r="AH1960" s="1150">
        <f>IFERROR(VLOOKUP(CONCATENATE($L1960,$N1960),'Drop List'!$G$23:$K$87,3,FALSE),0)</f>
        <v>0</v>
      </c>
      <c r="AI1960" s="1150">
        <f>IFERROR(VLOOKUP(CONCATENATE($L1960,$N1960),'Drop List'!$G$23:$K$87,4,FALSE),0)</f>
        <v>0</v>
      </c>
      <c r="AJ1960" s="1151">
        <f>IFERROR(VLOOKUP(CONCATENATE($L1960,$N1960),'Drop List'!$G$23:$K$87,5,FALSE),0)</f>
        <v>0</v>
      </c>
      <c r="AK1960" s="1152">
        <f t="shared" si="552"/>
        <v>0</v>
      </c>
      <c r="AL1960" s="1153">
        <f t="shared" si="553"/>
        <v>0</v>
      </c>
      <c r="AM1960" s="1153">
        <f t="shared" si="554"/>
        <v>0</v>
      </c>
      <c r="AN1960" s="1145">
        <f t="shared" si="555"/>
        <v>0</v>
      </c>
      <c r="AO1960" s="1154">
        <f t="shared" si="558"/>
        <v>0</v>
      </c>
      <c r="AP1960" s="1147">
        <f t="shared" si="543"/>
        <v>0</v>
      </c>
      <c r="AQ1960" s="1144">
        <f t="shared" si="544"/>
        <v>0</v>
      </c>
      <c r="AR1960" s="1146">
        <f t="shared" si="545"/>
        <v>0</v>
      </c>
    </row>
    <row r="1961" spans="1:44" x14ac:dyDescent="0.2">
      <c r="A1961" s="1141" t="str">
        <f t="shared" si="557"/>
        <v/>
      </c>
      <c r="B1961" s="1141" t="str">
        <f>IFERROR(VLOOKUP(A1961,'LAC 103'!A:C,3,FALSE),"")</f>
        <v/>
      </c>
      <c r="C1961" s="1478" t="str">
        <f>Info!$B$8</f>
        <v>00100</v>
      </c>
      <c r="D1961" s="1474"/>
      <c r="E1961" s="1474"/>
      <c r="F1961" s="1478"/>
      <c r="G1961" s="1478"/>
      <c r="H1961" s="1474"/>
      <c r="I1961" s="1478"/>
      <c r="J1961" s="1478"/>
      <c r="K1961" s="1475"/>
      <c r="L1961" s="1474"/>
      <c r="M1961" s="1476"/>
      <c r="N1961" s="1477"/>
      <c r="O1961" s="1479"/>
      <c r="P1961" s="1479"/>
      <c r="Q1961" s="1142">
        <f t="shared" si="541"/>
        <v>0</v>
      </c>
      <c r="R1961" s="1143">
        <f>IFERROR(VLOOKUP(CONCATENATE($E1961,$G1961),'LAC 103'!$A$12:$O$95,11,FALSE),0)</f>
        <v>0</v>
      </c>
      <c r="S1961" s="1144">
        <f>IFERROR(VLOOKUP(CONCATENATE($E1961,$G1961),'LAC 103'!$A$12:$O$95,12,FALSE),0)</f>
        <v>0</v>
      </c>
      <c r="T1961" s="1144">
        <f>IFERROR(VLOOKUP(CONCATENATE($E1961,$G1961),'LAC 103'!$A$12:$O$95,13,FALSE),0)</f>
        <v>0</v>
      </c>
      <c r="U1961" s="1144">
        <f>IFERROR(VLOOKUP(CONCATENATE($E1961,$G1961),'LAC 103'!$A$12:$O$95,14,FALSE),0)</f>
        <v>0</v>
      </c>
      <c r="V1961" s="1144">
        <f>IFERROR(VLOOKUP(CONCATENATE($E1961,$G1961),'LAC 103'!$A$12:$O$95,15,FALSE),0)</f>
        <v>0</v>
      </c>
      <c r="W1961" s="1145" t="str">
        <f>IFERROR(VLOOKUP(CONCATENATE($B1961,$N1961),'LAC 103'!$AI:$AQ,9,FALSE),"")</f>
        <v/>
      </c>
      <c r="X1961" s="1146">
        <f t="shared" si="546"/>
        <v>0</v>
      </c>
      <c r="Y1961" s="1143">
        <f t="shared" si="556"/>
        <v>0</v>
      </c>
      <c r="Z1961" s="1147">
        <f t="shared" si="547"/>
        <v>0</v>
      </c>
      <c r="AA1961" s="1144">
        <f t="shared" si="548"/>
        <v>0</v>
      </c>
      <c r="AB1961" s="1144">
        <f t="shared" si="549"/>
        <v>0</v>
      </c>
      <c r="AC1961" s="1144">
        <f t="shared" si="550"/>
        <v>0</v>
      </c>
      <c r="AD1961" s="1148">
        <f t="shared" si="542"/>
        <v>0</v>
      </c>
      <c r="AE1961" s="1487">
        <v>0</v>
      </c>
      <c r="AF1961" s="1145">
        <f t="shared" si="551"/>
        <v>0</v>
      </c>
      <c r="AG1961" s="1149">
        <f>IFERROR(VLOOKUP(CONCATENATE($L1961,$N1961),'Drop List'!$G$23:$K$87,2,FALSE),0)</f>
        <v>0</v>
      </c>
      <c r="AH1961" s="1150">
        <f>IFERROR(VLOOKUP(CONCATENATE($L1961,$N1961),'Drop List'!$G$23:$K$87,3,FALSE),0)</f>
        <v>0</v>
      </c>
      <c r="AI1961" s="1150">
        <f>IFERROR(VLOOKUP(CONCATENATE($L1961,$N1961),'Drop List'!$G$23:$K$87,4,FALSE),0)</f>
        <v>0</v>
      </c>
      <c r="AJ1961" s="1151">
        <f>IFERROR(VLOOKUP(CONCATENATE($L1961,$N1961),'Drop List'!$G$23:$K$87,5,FALSE),0)</f>
        <v>0</v>
      </c>
      <c r="AK1961" s="1152">
        <f t="shared" si="552"/>
        <v>0</v>
      </c>
      <c r="AL1961" s="1153">
        <f t="shared" si="553"/>
        <v>0</v>
      </c>
      <c r="AM1961" s="1153">
        <f t="shared" si="554"/>
        <v>0</v>
      </c>
      <c r="AN1961" s="1145">
        <f t="shared" si="555"/>
        <v>0</v>
      </c>
      <c r="AO1961" s="1154">
        <f t="shared" si="558"/>
        <v>0</v>
      </c>
      <c r="AP1961" s="1147">
        <f t="shared" si="543"/>
        <v>0</v>
      </c>
      <c r="AQ1961" s="1144">
        <f t="shared" si="544"/>
        <v>0</v>
      </c>
      <c r="AR1961" s="1146">
        <f t="shared" si="545"/>
        <v>0</v>
      </c>
    </row>
    <row r="1962" spans="1:44" x14ac:dyDescent="0.2">
      <c r="A1962" s="1141" t="str">
        <f t="shared" si="557"/>
        <v/>
      </c>
      <c r="B1962" s="1141" t="str">
        <f>IFERROR(VLOOKUP(A1962,'LAC 103'!A:C,3,FALSE),"")</f>
        <v/>
      </c>
      <c r="C1962" s="1478" t="str">
        <f>Info!$B$8</f>
        <v>00100</v>
      </c>
      <c r="D1962" s="1474"/>
      <c r="E1962" s="1474"/>
      <c r="F1962" s="1478"/>
      <c r="G1962" s="1478"/>
      <c r="H1962" s="1474"/>
      <c r="I1962" s="1478"/>
      <c r="J1962" s="1478"/>
      <c r="K1962" s="1475"/>
      <c r="L1962" s="1474"/>
      <c r="M1962" s="1476"/>
      <c r="N1962" s="1477"/>
      <c r="O1962" s="1479"/>
      <c r="P1962" s="1479"/>
      <c r="Q1962" s="1142">
        <f t="shared" si="541"/>
        <v>0</v>
      </c>
      <c r="R1962" s="1143">
        <f>IFERROR(VLOOKUP(CONCATENATE($E1962,$G1962),'LAC 103'!$A$12:$O$95,11,FALSE),0)</f>
        <v>0</v>
      </c>
      <c r="S1962" s="1144">
        <f>IFERROR(VLOOKUP(CONCATENATE($E1962,$G1962),'LAC 103'!$A$12:$O$95,12,FALSE),0)</f>
        <v>0</v>
      </c>
      <c r="T1962" s="1144">
        <f>IFERROR(VLOOKUP(CONCATENATE($E1962,$G1962),'LAC 103'!$A$12:$O$95,13,FALSE),0)</f>
        <v>0</v>
      </c>
      <c r="U1962" s="1144">
        <f>IFERROR(VLOOKUP(CONCATENATE($E1962,$G1962),'LAC 103'!$A$12:$O$95,14,FALSE),0)</f>
        <v>0</v>
      </c>
      <c r="V1962" s="1144">
        <f>IFERROR(VLOOKUP(CONCATENATE($E1962,$G1962),'LAC 103'!$A$12:$O$95,15,FALSE),0)</f>
        <v>0</v>
      </c>
      <c r="W1962" s="1145" t="str">
        <f>IFERROR(VLOOKUP(CONCATENATE($B1962,$N1962),'LAC 103'!$AI:$AQ,9,FALSE),"")</f>
        <v/>
      </c>
      <c r="X1962" s="1146">
        <f t="shared" si="546"/>
        <v>0</v>
      </c>
      <c r="Y1962" s="1143">
        <f t="shared" si="556"/>
        <v>0</v>
      </c>
      <c r="Z1962" s="1147">
        <f t="shared" si="547"/>
        <v>0</v>
      </c>
      <c r="AA1962" s="1144">
        <f t="shared" si="548"/>
        <v>0</v>
      </c>
      <c r="AB1962" s="1144">
        <f t="shared" si="549"/>
        <v>0</v>
      </c>
      <c r="AC1962" s="1144">
        <f t="shared" si="550"/>
        <v>0</v>
      </c>
      <c r="AD1962" s="1148">
        <f t="shared" si="542"/>
        <v>0</v>
      </c>
      <c r="AE1962" s="1487">
        <v>0</v>
      </c>
      <c r="AF1962" s="1145">
        <f t="shared" si="551"/>
        <v>0</v>
      </c>
      <c r="AG1962" s="1149">
        <f>IFERROR(VLOOKUP(CONCATENATE($L1962,$N1962),'Drop List'!$G$23:$K$87,2,FALSE),0)</f>
        <v>0</v>
      </c>
      <c r="AH1962" s="1150">
        <f>IFERROR(VLOOKUP(CONCATENATE($L1962,$N1962),'Drop List'!$G$23:$K$87,3,FALSE),0)</f>
        <v>0</v>
      </c>
      <c r="AI1962" s="1150">
        <f>IFERROR(VLOOKUP(CONCATENATE($L1962,$N1962),'Drop List'!$G$23:$K$87,4,FALSE),0)</f>
        <v>0</v>
      </c>
      <c r="AJ1962" s="1151">
        <f>IFERROR(VLOOKUP(CONCATENATE($L1962,$N1962),'Drop List'!$G$23:$K$87,5,FALSE),0)</f>
        <v>0</v>
      </c>
      <c r="AK1962" s="1152">
        <f t="shared" si="552"/>
        <v>0</v>
      </c>
      <c r="AL1962" s="1153">
        <f t="shared" si="553"/>
        <v>0</v>
      </c>
      <c r="AM1962" s="1153">
        <f t="shared" si="554"/>
        <v>0</v>
      </c>
      <c r="AN1962" s="1145">
        <f t="shared" si="555"/>
        <v>0</v>
      </c>
      <c r="AO1962" s="1154">
        <f t="shared" si="558"/>
        <v>0</v>
      </c>
      <c r="AP1962" s="1147">
        <f t="shared" si="543"/>
        <v>0</v>
      </c>
      <c r="AQ1962" s="1144">
        <f t="shared" si="544"/>
        <v>0</v>
      </c>
      <c r="AR1962" s="1146">
        <f t="shared" si="545"/>
        <v>0</v>
      </c>
    </row>
    <row r="1963" spans="1:44" x14ac:dyDescent="0.2">
      <c r="A1963" s="1141" t="str">
        <f t="shared" si="557"/>
        <v/>
      </c>
      <c r="B1963" s="1141" t="str">
        <f>IFERROR(VLOOKUP(A1963,'LAC 103'!A:C,3,FALSE),"")</f>
        <v/>
      </c>
      <c r="C1963" s="1478" t="str">
        <f>Info!$B$8</f>
        <v>00100</v>
      </c>
      <c r="D1963" s="1474"/>
      <c r="E1963" s="1474"/>
      <c r="F1963" s="1478"/>
      <c r="G1963" s="1478"/>
      <c r="H1963" s="1474"/>
      <c r="I1963" s="1478"/>
      <c r="J1963" s="1478"/>
      <c r="K1963" s="1475"/>
      <c r="L1963" s="1474"/>
      <c r="M1963" s="1476"/>
      <c r="N1963" s="1477"/>
      <c r="O1963" s="1479"/>
      <c r="P1963" s="1479"/>
      <c r="Q1963" s="1142">
        <f t="shared" si="541"/>
        <v>0</v>
      </c>
      <c r="R1963" s="1143">
        <f>IFERROR(VLOOKUP(CONCATENATE($E1963,$G1963),'LAC 103'!$A$12:$O$95,11,FALSE),0)</f>
        <v>0</v>
      </c>
      <c r="S1963" s="1144">
        <f>IFERROR(VLOOKUP(CONCATENATE($E1963,$G1963),'LAC 103'!$A$12:$O$95,12,FALSE),0)</f>
        <v>0</v>
      </c>
      <c r="T1963" s="1144">
        <f>IFERROR(VLOOKUP(CONCATENATE($E1963,$G1963),'LAC 103'!$A$12:$O$95,13,FALSE),0)</f>
        <v>0</v>
      </c>
      <c r="U1963" s="1144">
        <f>IFERROR(VLOOKUP(CONCATENATE($E1963,$G1963),'LAC 103'!$A$12:$O$95,14,FALSE),0)</f>
        <v>0</v>
      </c>
      <c r="V1963" s="1144">
        <f>IFERROR(VLOOKUP(CONCATENATE($E1963,$G1963),'LAC 103'!$A$12:$O$95,15,FALSE),0)</f>
        <v>0</v>
      </c>
      <c r="W1963" s="1145" t="str">
        <f>IFERROR(VLOOKUP(CONCATENATE($B1963,$N1963),'LAC 103'!$AI:$AQ,9,FALSE),"")</f>
        <v/>
      </c>
      <c r="X1963" s="1146">
        <f t="shared" si="546"/>
        <v>0</v>
      </c>
      <c r="Y1963" s="1143">
        <f t="shared" si="556"/>
        <v>0</v>
      </c>
      <c r="Z1963" s="1147">
        <f t="shared" si="547"/>
        <v>0</v>
      </c>
      <c r="AA1963" s="1144">
        <f t="shared" si="548"/>
        <v>0</v>
      </c>
      <c r="AB1963" s="1144">
        <f t="shared" si="549"/>
        <v>0</v>
      </c>
      <c r="AC1963" s="1144">
        <f t="shared" si="550"/>
        <v>0</v>
      </c>
      <c r="AD1963" s="1148">
        <f t="shared" si="542"/>
        <v>0</v>
      </c>
      <c r="AE1963" s="1487">
        <v>0</v>
      </c>
      <c r="AF1963" s="1145">
        <f t="shared" si="551"/>
        <v>0</v>
      </c>
      <c r="AG1963" s="1149">
        <f>IFERROR(VLOOKUP(CONCATENATE($L1963,$N1963),'Drop List'!$G$23:$K$87,2,FALSE),0)</f>
        <v>0</v>
      </c>
      <c r="AH1963" s="1150">
        <f>IFERROR(VLOOKUP(CONCATENATE($L1963,$N1963),'Drop List'!$G$23:$K$87,3,FALSE),0)</f>
        <v>0</v>
      </c>
      <c r="AI1963" s="1150">
        <f>IFERROR(VLOOKUP(CONCATENATE($L1963,$N1963),'Drop List'!$G$23:$K$87,4,FALSE),0)</f>
        <v>0</v>
      </c>
      <c r="AJ1963" s="1151">
        <f>IFERROR(VLOOKUP(CONCATENATE($L1963,$N1963),'Drop List'!$G$23:$K$87,5,FALSE),0)</f>
        <v>0</v>
      </c>
      <c r="AK1963" s="1152">
        <f t="shared" si="552"/>
        <v>0</v>
      </c>
      <c r="AL1963" s="1153">
        <f t="shared" si="553"/>
        <v>0</v>
      </c>
      <c r="AM1963" s="1153">
        <f t="shared" si="554"/>
        <v>0</v>
      </c>
      <c r="AN1963" s="1145">
        <f t="shared" si="555"/>
        <v>0</v>
      </c>
      <c r="AO1963" s="1154">
        <f t="shared" si="558"/>
        <v>0</v>
      </c>
      <c r="AP1963" s="1147">
        <f t="shared" si="543"/>
        <v>0</v>
      </c>
      <c r="AQ1963" s="1144">
        <f t="shared" si="544"/>
        <v>0</v>
      </c>
      <c r="AR1963" s="1146">
        <f t="shared" si="545"/>
        <v>0</v>
      </c>
    </row>
    <row r="1964" spans="1:44" x14ac:dyDescent="0.2">
      <c r="A1964" s="1141" t="str">
        <f t="shared" si="557"/>
        <v/>
      </c>
      <c r="B1964" s="1141" t="str">
        <f>IFERROR(VLOOKUP(A1964,'LAC 103'!A:C,3,FALSE),"")</f>
        <v/>
      </c>
      <c r="C1964" s="1478" t="str">
        <f>Info!$B$8</f>
        <v>00100</v>
      </c>
      <c r="D1964" s="1474"/>
      <c r="E1964" s="1474"/>
      <c r="F1964" s="1478"/>
      <c r="G1964" s="1478"/>
      <c r="H1964" s="1474"/>
      <c r="I1964" s="1478"/>
      <c r="J1964" s="1478"/>
      <c r="K1964" s="1475"/>
      <c r="L1964" s="1474"/>
      <c r="M1964" s="1476"/>
      <c r="N1964" s="1477"/>
      <c r="O1964" s="1479"/>
      <c r="P1964" s="1479"/>
      <c r="Q1964" s="1142">
        <f t="shared" si="541"/>
        <v>0</v>
      </c>
      <c r="R1964" s="1143">
        <f>IFERROR(VLOOKUP(CONCATENATE($E1964,$G1964),'LAC 103'!$A$12:$O$95,11,FALSE),0)</f>
        <v>0</v>
      </c>
      <c r="S1964" s="1144">
        <f>IFERROR(VLOOKUP(CONCATENATE($E1964,$G1964),'LAC 103'!$A$12:$O$95,12,FALSE),0)</f>
        <v>0</v>
      </c>
      <c r="T1964" s="1144">
        <f>IFERROR(VLOOKUP(CONCATENATE($E1964,$G1964),'LAC 103'!$A$12:$O$95,13,FALSE),0)</f>
        <v>0</v>
      </c>
      <c r="U1964" s="1144">
        <f>IFERROR(VLOOKUP(CONCATENATE($E1964,$G1964),'LAC 103'!$A$12:$O$95,14,FALSE),0)</f>
        <v>0</v>
      </c>
      <c r="V1964" s="1144">
        <f>IFERROR(VLOOKUP(CONCATENATE($E1964,$G1964),'LAC 103'!$A$12:$O$95,15,FALSE),0)</f>
        <v>0</v>
      </c>
      <c r="W1964" s="1145" t="str">
        <f>IFERROR(VLOOKUP(CONCATENATE($B1964,$N1964),'LAC 103'!$AI:$AQ,9,FALSE),"")</f>
        <v/>
      </c>
      <c r="X1964" s="1146">
        <f t="shared" si="546"/>
        <v>0</v>
      </c>
      <c r="Y1964" s="1143">
        <f t="shared" si="556"/>
        <v>0</v>
      </c>
      <c r="Z1964" s="1147">
        <f t="shared" si="547"/>
        <v>0</v>
      </c>
      <c r="AA1964" s="1144">
        <f t="shared" si="548"/>
        <v>0</v>
      </c>
      <c r="AB1964" s="1144">
        <f t="shared" si="549"/>
        <v>0</v>
      </c>
      <c r="AC1964" s="1144">
        <f t="shared" si="550"/>
        <v>0</v>
      </c>
      <c r="AD1964" s="1148">
        <f t="shared" si="542"/>
        <v>0</v>
      </c>
      <c r="AE1964" s="1487">
        <v>0</v>
      </c>
      <c r="AF1964" s="1145">
        <f t="shared" si="551"/>
        <v>0</v>
      </c>
      <c r="AG1964" s="1149">
        <f>IFERROR(VLOOKUP(CONCATENATE($L1964,$N1964),'Drop List'!$G$23:$K$87,2,FALSE),0)</f>
        <v>0</v>
      </c>
      <c r="AH1964" s="1150">
        <f>IFERROR(VLOOKUP(CONCATENATE($L1964,$N1964),'Drop List'!$G$23:$K$87,3,FALSE),0)</f>
        <v>0</v>
      </c>
      <c r="AI1964" s="1150">
        <f>IFERROR(VLOOKUP(CONCATENATE($L1964,$N1964),'Drop List'!$G$23:$K$87,4,FALSE),0)</f>
        <v>0</v>
      </c>
      <c r="AJ1964" s="1151">
        <f>IFERROR(VLOOKUP(CONCATENATE($L1964,$N1964),'Drop List'!$G$23:$K$87,5,FALSE),0)</f>
        <v>0</v>
      </c>
      <c r="AK1964" s="1152">
        <f t="shared" si="552"/>
        <v>0</v>
      </c>
      <c r="AL1964" s="1153">
        <f t="shared" si="553"/>
        <v>0</v>
      </c>
      <c r="AM1964" s="1153">
        <f t="shared" si="554"/>
        <v>0</v>
      </c>
      <c r="AN1964" s="1145">
        <f t="shared" si="555"/>
        <v>0</v>
      </c>
      <c r="AO1964" s="1154">
        <f t="shared" si="558"/>
        <v>0</v>
      </c>
      <c r="AP1964" s="1147">
        <f t="shared" si="543"/>
        <v>0</v>
      </c>
      <c r="AQ1964" s="1144">
        <f t="shared" si="544"/>
        <v>0</v>
      </c>
      <c r="AR1964" s="1146">
        <f t="shared" si="545"/>
        <v>0</v>
      </c>
    </row>
    <row r="1965" spans="1:44" x14ac:dyDescent="0.2">
      <c r="A1965" s="1141" t="str">
        <f t="shared" si="557"/>
        <v/>
      </c>
      <c r="B1965" s="1141" t="str">
        <f>IFERROR(VLOOKUP(A1965,'LAC 103'!A:C,3,FALSE),"")</f>
        <v/>
      </c>
      <c r="C1965" s="1478" t="str">
        <f>Info!$B$8</f>
        <v>00100</v>
      </c>
      <c r="D1965" s="1474"/>
      <c r="E1965" s="1474"/>
      <c r="F1965" s="1478"/>
      <c r="G1965" s="1478"/>
      <c r="H1965" s="1474"/>
      <c r="I1965" s="1478"/>
      <c r="J1965" s="1478"/>
      <c r="K1965" s="1475"/>
      <c r="L1965" s="1474"/>
      <c r="M1965" s="1476"/>
      <c r="N1965" s="1477"/>
      <c r="O1965" s="1479"/>
      <c r="P1965" s="1479"/>
      <c r="Q1965" s="1142">
        <f t="shared" si="541"/>
        <v>0</v>
      </c>
      <c r="R1965" s="1143">
        <f>IFERROR(VLOOKUP(CONCATENATE($E1965,$G1965),'LAC 103'!$A$12:$O$95,11,FALSE),0)</f>
        <v>0</v>
      </c>
      <c r="S1965" s="1144">
        <f>IFERROR(VLOOKUP(CONCATENATE($E1965,$G1965),'LAC 103'!$A$12:$O$95,12,FALSE),0)</f>
        <v>0</v>
      </c>
      <c r="T1965" s="1144">
        <f>IFERROR(VLOOKUP(CONCATENATE($E1965,$G1965),'LAC 103'!$A$12:$O$95,13,FALSE),0)</f>
        <v>0</v>
      </c>
      <c r="U1965" s="1144">
        <f>IFERROR(VLOOKUP(CONCATENATE($E1965,$G1965),'LAC 103'!$A$12:$O$95,14,FALSE),0)</f>
        <v>0</v>
      </c>
      <c r="V1965" s="1144">
        <f>IFERROR(VLOOKUP(CONCATENATE($E1965,$G1965),'LAC 103'!$A$12:$O$95,15,FALSE),0)</f>
        <v>0</v>
      </c>
      <c r="W1965" s="1145" t="str">
        <f>IFERROR(VLOOKUP(CONCATENATE($B1965,$N1965),'LAC 103'!$AI:$AQ,9,FALSE),"")</f>
        <v/>
      </c>
      <c r="X1965" s="1146">
        <f t="shared" si="546"/>
        <v>0</v>
      </c>
      <c r="Y1965" s="1143">
        <f t="shared" si="556"/>
        <v>0</v>
      </c>
      <c r="Z1965" s="1147">
        <f t="shared" si="547"/>
        <v>0</v>
      </c>
      <c r="AA1965" s="1144">
        <f t="shared" si="548"/>
        <v>0</v>
      </c>
      <c r="AB1965" s="1144">
        <f t="shared" si="549"/>
        <v>0</v>
      </c>
      <c r="AC1965" s="1144">
        <f t="shared" si="550"/>
        <v>0</v>
      </c>
      <c r="AD1965" s="1148">
        <f t="shared" si="542"/>
        <v>0</v>
      </c>
      <c r="AE1965" s="1487">
        <v>0</v>
      </c>
      <c r="AF1965" s="1145">
        <f t="shared" si="551"/>
        <v>0</v>
      </c>
      <c r="AG1965" s="1149">
        <f>IFERROR(VLOOKUP(CONCATENATE($L1965,$N1965),'Drop List'!$G$23:$K$87,2,FALSE),0)</f>
        <v>0</v>
      </c>
      <c r="AH1965" s="1150">
        <f>IFERROR(VLOOKUP(CONCATENATE($L1965,$N1965),'Drop List'!$G$23:$K$87,3,FALSE),0)</f>
        <v>0</v>
      </c>
      <c r="AI1965" s="1150">
        <f>IFERROR(VLOOKUP(CONCATENATE($L1965,$N1965),'Drop List'!$G$23:$K$87,4,FALSE),0)</f>
        <v>0</v>
      </c>
      <c r="AJ1965" s="1151">
        <f>IFERROR(VLOOKUP(CONCATENATE($L1965,$N1965),'Drop List'!$G$23:$K$87,5,FALSE),0)</f>
        <v>0</v>
      </c>
      <c r="AK1965" s="1152">
        <f t="shared" si="552"/>
        <v>0</v>
      </c>
      <c r="AL1965" s="1153">
        <f t="shared" si="553"/>
        <v>0</v>
      </c>
      <c r="AM1965" s="1153">
        <f t="shared" si="554"/>
        <v>0</v>
      </c>
      <c r="AN1965" s="1145">
        <f t="shared" si="555"/>
        <v>0</v>
      </c>
      <c r="AO1965" s="1154">
        <f t="shared" si="558"/>
        <v>0</v>
      </c>
      <c r="AP1965" s="1147">
        <f t="shared" si="543"/>
        <v>0</v>
      </c>
      <c r="AQ1965" s="1144">
        <f t="shared" si="544"/>
        <v>0</v>
      </c>
      <c r="AR1965" s="1146">
        <f t="shared" si="545"/>
        <v>0</v>
      </c>
    </row>
    <row r="1966" spans="1:44" x14ac:dyDescent="0.2">
      <c r="A1966" s="1141" t="str">
        <f t="shared" si="557"/>
        <v/>
      </c>
      <c r="B1966" s="1141" t="str">
        <f>IFERROR(VLOOKUP(A1966,'LAC 103'!A:C,3,FALSE),"")</f>
        <v/>
      </c>
      <c r="C1966" s="1478" t="str">
        <f>Info!$B$8</f>
        <v>00100</v>
      </c>
      <c r="D1966" s="1474"/>
      <c r="E1966" s="1474"/>
      <c r="F1966" s="1478"/>
      <c r="G1966" s="1478"/>
      <c r="H1966" s="1474"/>
      <c r="I1966" s="1478"/>
      <c r="J1966" s="1478"/>
      <c r="K1966" s="1475"/>
      <c r="L1966" s="1474"/>
      <c r="M1966" s="1476"/>
      <c r="N1966" s="1477"/>
      <c r="O1966" s="1479"/>
      <c r="P1966" s="1479"/>
      <c r="Q1966" s="1142">
        <f t="shared" si="541"/>
        <v>0</v>
      </c>
      <c r="R1966" s="1143">
        <f>IFERROR(VLOOKUP(CONCATENATE($E1966,$G1966),'LAC 103'!$A$12:$O$95,11,FALSE),0)</f>
        <v>0</v>
      </c>
      <c r="S1966" s="1144">
        <f>IFERROR(VLOOKUP(CONCATENATE($E1966,$G1966),'LAC 103'!$A$12:$O$95,12,FALSE),0)</f>
        <v>0</v>
      </c>
      <c r="T1966" s="1144">
        <f>IFERROR(VLOOKUP(CONCATENATE($E1966,$G1966),'LAC 103'!$A$12:$O$95,13,FALSE),0)</f>
        <v>0</v>
      </c>
      <c r="U1966" s="1144">
        <f>IFERROR(VLOOKUP(CONCATENATE($E1966,$G1966),'LAC 103'!$A$12:$O$95,14,FALSE),0)</f>
        <v>0</v>
      </c>
      <c r="V1966" s="1144">
        <f>IFERROR(VLOOKUP(CONCATENATE($E1966,$G1966),'LAC 103'!$A$12:$O$95,15,FALSE),0)</f>
        <v>0</v>
      </c>
      <c r="W1966" s="1145" t="str">
        <f>IFERROR(VLOOKUP(CONCATENATE($B1966,$N1966),'LAC 103'!$AI:$AQ,9,FALSE),"")</f>
        <v/>
      </c>
      <c r="X1966" s="1146">
        <f t="shared" si="546"/>
        <v>0</v>
      </c>
      <c r="Y1966" s="1143">
        <f t="shared" si="556"/>
        <v>0</v>
      </c>
      <c r="Z1966" s="1147">
        <f t="shared" si="547"/>
        <v>0</v>
      </c>
      <c r="AA1966" s="1144">
        <f t="shared" si="548"/>
        <v>0</v>
      </c>
      <c r="AB1966" s="1144">
        <f t="shared" si="549"/>
        <v>0</v>
      </c>
      <c r="AC1966" s="1144">
        <f t="shared" si="550"/>
        <v>0</v>
      </c>
      <c r="AD1966" s="1148">
        <f t="shared" si="542"/>
        <v>0</v>
      </c>
      <c r="AE1966" s="1487">
        <v>0</v>
      </c>
      <c r="AF1966" s="1145">
        <f t="shared" si="551"/>
        <v>0</v>
      </c>
      <c r="AG1966" s="1149">
        <f>IFERROR(VLOOKUP(CONCATENATE($L1966,$N1966),'Drop List'!$G$23:$K$87,2,FALSE),0)</f>
        <v>0</v>
      </c>
      <c r="AH1966" s="1150">
        <f>IFERROR(VLOOKUP(CONCATENATE($L1966,$N1966),'Drop List'!$G$23:$K$87,3,FALSE),0)</f>
        <v>0</v>
      </c>
      <c r="AI1966" s="1150">
        <f>IFERROR(VLOOKUP(CONCATENATE($L1966,$N1966),'Drop List'!$G$23:$K$87,4,FALSE),0)</f>
        <v>0</v>
      </c>
      <c r="AJ1966" s="1151">
        <f>IFERROR(VLOOKUP(CONCATENATE($L1966,$N1966),'Drop List'!$G$23:$K$87,5,FALSE),0)</f>
        <v>0</v>
      </c>
      <c r="AK1966" s="1152">
        <f t="shared" si="552"/>
        <v>0</v>
      </c>
      <c r="AL1966" s="1153">
        <f t="shared" si="553"/>
        <v>0</v>
      </c>
      <c r="AM1966" s="1153">
        <f t="shared" si="554"/>
        <v>0</v>
      </c>
      <c r="AN1966" s="1145">
        <f t="shared" si="555"/>
        <v>0</v>
      </c>
      <c r="AO1966" s="1154">
        <f t="shared" si="558"/>
        <v>0</v>
      </c>
      <c r="AP1966" s="1147">
        <f t="shared" si="543"/>
        <v>0</v>
      </c>
      <c r="AQ1966" s="1144">
        <f t="shared" si="544"/>
        <v>0</v>
      </c>
      <c r="AR1966" s="1146">
        <f t="shared" si="545"/>
        <v>0</v>
      </c>
    </row>
    <row r="1967" spans="1:44" x14ac:dyDescent="0.2">
      <c r="A1967" s="1141" t="str">
        <f t="shared" si="557"/>
        <v/>
      </c>
      <c r="B1967" s="1141" t="str">
        <f>IFERROR(VLOOKUP(A1967,'LAC 103'!A:C,3,FALSE),"")</f>
        <v/>
      </c>
      <c r="C1967" s="1478" t="str">
        <f>Info!$B$8</f>
        <v>00100</v>
      </c>
      <c r="D1967" s="1474"/>
      <c r="E1967" s="1474"/>
      <c r="F1967" s="1478"/>
      <c r="G1967" s="1478"/>
      <c r="H1967" s="1474"/>
      <c r="I1967" s="1478"/>
      <c r="J1967" s="1478"/>
      <c r="K1967" s="1475"/>
      <c r="L1967" s="1474"/>
      <c r="M1967" s="1476"/>
      <c r="N1967" s="1477"/>
      <c r="O1967" s="1479"/>
      <c r="P1967" s="1479"/>
      <c r="Q1967" s="1142">
        <f t="shared" si="541"/>
        <v>0</v>
      </c>
      <c r="R1967" s="1143">
        <f>IFERROR(VLOOKUP(CONCATENATE($E1967,$G1967),'LAC 103'!$A$12:$O$95,11,FALSE),0)</f>
        <v>0</v>
      </c>
      <c r="S1967" s="1144">
        <f>IFERROR(VLOOKUP(CONCATENATE($E1967,$G1967),'LAC 103'!$A$12:$O$95,12,FALSE),0)</f>
        <v>0</v>
      </c>
      <c r="T1967" s="1144">
        <f>IFERROR(VLOOKUP(CONCATENATE($E1967,$G1967),'LAC 103'!$A$12:$O$95,13,FALSE),0)</f>
        <v>0</v>
      </c>
      <c r="U1967" s="1144">
        <f>IFERROR(VLOOKUP(CONCATENATE($E1967,$G1967),'LAC 103'!$A$12:$O$95,14,FALSE),0)</f>
        <v>0</v>
      </c>
      <c r="V1967" s="1144">
        <f>IFERROR(VLOOKUP(CONCATENATE($E1967,$G1967),'LAC 103'!$A$12:$O$95,15,FALSE),0)</f>
        <v>0</v>
      </c>
      <c r="W1967" s="1145" t="str">
        <f>IFERROR(VLOOKUP(CONCATENATE($B1967,$N1967),'LAC 103'!$AI:$AQ,9,FALSE),"")</f>
        <v/>
      </c>
      <c r="X1967" s="1146">
        <f t="shared" si="546"/>
        <v>0</v>
      </c>
      <c r="Y1967" s="1143">
        <f t="shared" si="556"/>
        <v>0</v>
      </c>
      <c r="Z1967" s="1147">
        <f t="shared" si="547"/>
        <v>0</v>
      </c>
      <c r="AA1967" s="1144">
        <f t="shared" si="548"/>
        <v>0</v>
      </c>
      <c r="AB1967" s="1144">
        <f t="shared" si="549"/>
        <v>0</v>
      </c>
      <c r="AC1967" s="1144">
        <f t="shared" si="550"/>
        <v>0</v>
      </c>
      <c r="AD1967" s="1148">
        <f t="shared" si="542"/>
        <v>0</v>
      </c>
      <c r="AE1967" s="1487">
        <v>0</v>
      </c>
      <c r="AF1967" s="1145">
        <f t="shared" si="551"/>
        <v>0</v>
      </c>
      <c r="AG1967" s="1149">
        <f>IFERROR(VLOOKUP(CONCATENATE($L1967,$N1967),'Drop List'!$G$23:$K$87,2,FALSE),0)</f>
        <v>0</v>
      </c>
      <c r="AH1967" s="1150">
        <f>IFERROR(VLOOKUP(CONCATENATE($L1967,$N1967),'Drop List'!$G$23:$K$87,3,FALSE),0)</f>
        <v>0</v>
      </c>
      <c r="AI1967" s="1150">
        <f>IFERROR(VLOOKUP(CONCATENATE($L1967,$N1967),'Drop List'!$G$23:$K$87,4,FALSE),0)</f>
        <v>0</v>
      </c>
      <c r="AJ1967" s="1151">
        <f>IFERROR(VLOOKUP(CONCATENATE($L1967,$N1967),'Drop List'!$G$23:$K$87,5,FALSE),0)</f>
        <v>0</v>
      </c>
      <c r="AK1967" s="1152">
        <f t="shared" si="552"/>
        <v>0</v>
      </c>
      <c r="AL1967" s="1153">
        <f t="shared" si="553"/>
        <v>0</v>
      </c>
      <c r="AM1967" s="1153">
        <f t="shared" si="554"/>
        <v>0</v>
      </c>
      <c r="AN1967" s="1145">
        <f t="shared" si="555"/>
        <v>0</v>
      </c>
      <c r="AO1967" s="1154">
        <f t="shared" si="558"/>
        <v>0</v>
      </c>
      <c r="AP1967" s="1147">
        <f t="shared" si="543"/>
        <v>0</v>
      </c>
      <c r="AQ1967" s="1144">
        <f t="shared" si="544"/>
        <v>0</v>
      </c>
      <c r="AR1967" s="1146">
        <f t="shared" si="545"/>
        <v>0</v>
      </c>
    </row>
    <row r="1968" spans="1:44" x14ac:dyDescent="0.2">
      <c r="A1968" s="1141" t="str">
        <f t="shared" si="557"/>
        <v/>
      </c>
      <c r="B1968" s="1141" t="str">
        <f>IFERROR(VLOOKUP(A1968,'LAC 103'!A:C,3,FALSE),"")</f>
        <v/>
      </c>
      <c r="C1968" s="1478" t="str">
        <f>Info!$B$8</f>
        <v>00100</v>
      </c>
      <c r="D1968" s="1474"/>
      <c r="E1968" s="1474"/>
      <c r="F1968" s="1478"/>
      <c r="G1968" s="1478"/>
      <c r="H1968" s="1474"/>
      <c r="I1968" s="1478"/>
      <c r="J1968" s="1478"/>
      <c r="K1968" s="1475"/>
      <c r="L1968" s="1474"/>
      <c r="M1968" s="1476"/>
      <c r="N1968" s="1477"/>
      <c r="O1968" s="1479"/>
      <c r="P1968" s="1479"/>
      <c r="Q1968" s="1142">
        <f t="shared" si="541"/>
        <v>0</v>
      </c>
      <c r="R1968" s="1143">
        <f>IFERROR(VLOOKUP(CONCATENATE($E1968,$G1968),'LAC 103'!$A$12:$O$95,11,FALSE),0)</f>
        <v>0</v>
      </c>
      <c r="S1968" s="1144">
        <f>IFERROR(VLOOKUP(CONCATENATE($E1968,$G1968),'LAC 103'!$A$12:$O$95,12,FALSE),0)</f>
        <v>0</v>
      </c>
      <c r="T1968" s="1144">
        <f>IFERROR(VLOOKUP(CONCATENATE($E1968,$G1968),'LAC 103'!$A$12:$O$95,13,FALSE),0)</f>
        <v>0</v>
      </c>
      <c r="U1968" s="1144">
        <f>IFERROR(VLOOKUP(CONCATENATE($E1968,$G1968),'LAC 103'!$A$12:$O$95,14,FALSE),0)</f>
        <v>0</v>
      </c>
      <c r="V1968" s="1144">
        <f>IFERROR(VLOOKUP(CONCATENATE($E1968,$G1968),'LAC 103'!$A$12:$O$95,15,FALSE),0)</f>
        <v>0</v>
      </c>
      <c r="W1968" s="1145" t="str">
        <f>IFERROR(VLOOKUP(CONCATENATE($B1968,$N1968),'LAC 103'!$AI:$AQ,9,FALSE),"")</f>
        <v/>
      </c>
      <c r="X1968" s="1146">
        <f t="shared" si="546"/>
        <v>0</v>
      </c>
      <c r="Y1968" s="1143">
        <f t="shared" si="556"/>
        <v>0</v>
      </c>
      <c r="Z1968" s="1147">
        <f t="shared" si="547"/>
        <v>0</v>
      </c>
      <c r="AA1968" s="1144">
        <f t="shared" si="548"/>
        <v>0</v>
      </c>
      <c r="AB1968" s="1144">
        <f t="shared" si="549"/>
        <v>0</v>
      </c>
      <c r="AC1968" s="1144">
        <f t="shared" si="550"/>
        <v>0</v>
      </c>
      <c r="AD1968" s="1148">
        <f t="shared" si="542"/>
        <v>0</v>
      </c>
      <c r="AE1968" s="1487">
        <v>0</v>
      </c>
      <c r="AF1968" s="1145">
        <f t="shared" si="551"/>
        <v>0</v>
      </c>
      <c r="AG1968" s="1149">
        <f>IFERROR(VLOOKUP(CONCATENATE($L1968,$N1968),'Drop List'!$G$23:$K$87,2,FALSE),0)</f>
        <v>0</v>
      </c>
      <c r="AH1968" s="1150">
        <f>IFERROR(VLOOKUP(CONCATENATE($L1968,$N1968),'Drop List'!$G$23:$K$87,3,FALSE),0)</f>
        <v>0</v>
      </c>
      <c r="AI1968" s="1150">
        <f>IFERROR(VLOOKUP(CONCATENATE($L1968,$N1968),'Drop List'!$G$23:$K$87,4,FALSE),0)</f>
        <v>0</v>
      </c>
      <c r="AJ1968" s="1151">
        <f>IFERROR(VLOOKUP(CONCATENATE($L1968,$N1968),'Drop List'!$G$23:$K$87,5,FALSE),0)</f>
        <v>0</v>
      </c>
      <c r="AK1968" s="1152">
        <f t="shared" si="552"/>
        <v>0</v>
      </c>
      <c r="AL1968" s="1153">
        <f t="shared" si="553"/>
        <v>0</v>
      </c>
      <c r="AM1968" s="1153">
        <f t="shared" si="554"/>
        <v>0</v>
      </c>
      <c r="AN1968" s="1145">
        <f t="shared" si="555"/>
        <v>0</v>
      </c>
      <c r="AO1968" s="1154">
        <f t="shared" si="558"/>
        <v>0</v>
      </c>
      <c r="AP1968" s="1147">
        <f t="shared" si="543"/>
        <v>0</v>
      </c>
      <c r="AQ1968" s="1144">
        <f t="shared" si="544"/>
        <v>0</v>
      </c>
      <c r="AR1968" s="1146">
        <f t="shared" si="545"/>
        <v>0</v>
      </c>
    </row>
    <row r="1969" spans="1:44" x14ac:dyDescent="0.2">
      <c r="A1969" s="1141" t="str">
        <f t="shared" si="557"/>
        <v/>
      </c>
      <c r="B1969" s="1141" t="str">
        <f>IFERROR(VLOOKUP(A1969,'LAC 103'!A:C,3,FALSE),"")</f>
        <v/>
      </c>
      <c r="C1969" s="1478" t="str">
        <f>Info!$B$8</f>
        <v>00100</v>
      </c>
      <c r="D1969" s="1474"/>
      <c r="E1969" s="1474"/>
      <c r="F1969" s="1478"/>
      <c r="G1969" s="1478"/>
      <c r="H1969" s="1474"/>
      <c r="I1969" s="1478"/>
      <c r="J1969" s="1478"/>
      <c r="K1969" s="1475"/>
      <c r="L1969" s="1474"/>
      <c r="M1969" s="1476"/>
      <c r="N1969" s="1477"/>
      <c r="O1969" s="1479"/>
      <c r="P1969" s="1479"/>
      <c r="Q1969" s="1142">
        <f t="shared" si="541"/>
        <v>0</v>
      </c>
      <c r="R1969" s="1143">
        <f>IFERROR(VLOOKUP(CONCATENATE($E1969,$G1969),'LAC 103'!$A$12:$O$95,11,FALSE),0)</f>
        <v>0</v>
      </c>
      <c r="S1969" s="1144">
        <f>IFERROR(VLOOKUP(CONCATENATE($E1969,$G1969),'LAC 103'!$A$12:$O$95,12,FALSE),0)</f>
        <v>0</v>
      </c>
      <c r="T1969" s="1144">
        <f>IFERROR(VLOOKUP(CONCATENATE($E1969,$G1969),'LAC 103'!$A$12:$O$95,13,FALSE),0)</f>
        <v>0</v>
      </c>
      <c r="U1969" s="1144">
        <f>IFERROR(VLOOKUP(CONCATENATE($E1969,$G1969),'LAC 103'!$A$12:$O$95,14,FALSE),0)</f>
        <v>0</v>
      </c>
      <c r="V1969" s="1144">
        <f>IFERROR(VLOOKUP(CONCATENATE($E1969,$G1969),'LAC 103'!$A$12:$O$95,15,FALSE),0)</f>
        <v>0</v>
      </c>
      <c r="W1969" s="1145" t="str">
        <f>IFERROR(VLOOKUP(CONCATENATE($B1969,$N1969),'LAC 103'!$AI:$AQ,9,FALSE),"")</f>
        <v/>
      </c>
      <c r="X1969" s="1146">
        <f t="shared" si="546"/>
        <v>0</v>
      </c>
      <c r="Y1969" s="1143">
        <f t="shared" si="556"/>
        <v>0</v>
      </c>
      <c r="Z1969" s="1147">
        <f t="shared" si="547"/>
        <v>0</v>
      </c>
      <c r="AA1969" s="1144">
        <f t="shared" si="548"/>
        <v>0</v>
      </c>
      <c r="AB1969" s="1144">
        <f t="shared" si="549"/>
        <v>0</v>
      </c>
      <c r="AC1969" s="1144">
        <f t="shared" si="550"/>
        <v>0</v>
      </c>
      <c r="AD1969" s="1148">
        <f t="shared" si="542"/>
        <v>0</v>
      </c>
      <c r="AE1969" s="1487">
        <v>0</v>
      </c>
      <c r="AF1969" s="1145">
        <f t="shared" si="551"/>
        <v>0</v>
      </c>
      <c r="AG1969" s="1149">
        <f>IFERROR(VLOOKUP(CONCATENATE($L1969,$N1969),'Drop List'!$G$23:$K$87,2,FALSE),0)</f>
        <v>0</v>
      </c>
      <c r="AH1969" s="1150">
        <f>IFERROR(VLOOKUP(CONCATENATE($L1969,$N1969),'Drop List'!$G$23:$K$87,3,FALSE),0)</f>
        <v>0</v>
      </c>
      <c r="AI1969" s="1150">
        <f>IFERROR(VLOOKUP(CONCATENATE($L1969,$N1969),'Drop List'!$G$23:$K$87,4,FALSE),0)</f>
        <v>0</v>
      </c>
      <c r="AJ1969" s="1151">
        <f>IFERROR(VLOOKUP(CONCATENATE($L1969,$N1969),'Drop List'!$G$23:$K$87,5,FALSE),0)</f>
        <v>0</v>
      </c>
      <c r="AK1969" s="1152">
        <f t="shared" si="552"/>
        <v>0</v>
      </c>
      <c r="AL1969" s="1153">
        <f t="shared" si="553"/>
        <v>0</v>
      </c>
      <c r="AM1969" s="1153">
        <f t="shared" si="554"/>
        <v>0</v>
      </c>
      <c r="AN1969" s="1145">
        <f t="shared" si="555"/>
        <v>0</v>
      </c>
      <c r="AO1969" s="1154">
        <f t="shared" si="558"/>
        <v>0</v>
      </c>
      <c r="AP1969" s="1147">
        <f t="shared" si="543"/>
        <v>0</v>
      </c>
      <c r="AQ1969" s="1144">
        <f t="shared" si="544"/>
        <v>0</v>
      </c>
      <c r="AR1969" s="1146">
        <f t="shared" si="545"/>
        <v>0</v>
      </c>
    </row>
    <row r="1970" spans="1:44" x14ac:dyDescent="0.2">
      <c r="A1970" s="1141" t="str">
        <f t="shared" si="557"/>
        <v/>
      </c>
      <c r="B1970" s="1141" t="str">
        <f>IFERROR(VLOOKUP(A1970,'LAC 103'!A:C,3,FALSE),"")</f>
        <v/>
      </c>
      <c r="C1970" s="1478" t="str">
        <f>Info!$B$8</f>
        <v>00100</v>
      </c>
      <c r="D1970" s="1474"/>
      <c r="E1970" s="1474"/>
      <c r="F1970" s="1478"/>
      <c r="G1970" s="1478"/>
      <c r="H1970" s="1474"/>
      <c r="I1970" s="1478"/>
      <c r="J1970" s="1478"/>
      <c r="K1970" s="1475"/>
      <c r="L1970" s="1474"/>
      <c r="M1970" s="1476"/>
      <c r="N1970" s="1477"/>
      <c r="O1970" s="1479"/>
      <c r="P1970" s="1479"/>
      <c r="Q1970" s="1142">
        <f t="shared" si="541"/>
        <v>0</v>
      </c>
      <c r="R1970" s="1143">
        <f>IFERROR(VLOOKUP(CONCATENATE($E1970,$G1970),'LAC 103'!$A$12:$O$95,11,FALSE),0)</f>
        <v>0</v>
      </c>
      <c r="S1970" s="1144">
        <f>IFERROR(VLOOKUP(CONCATENATE($E1970,$G1970),'LAC 103'!$A$12:$O$95,12,FALSE),0)</f>
        <v>0</v>
      </c>
      <c r="T1970" s="1144">
        <f>IFERROR(VLOOKUP(CONCATENATE($E1970,$G1970),'LAC 103'!$A$12:$O$95,13,FALSE),0)</f>
        <v>0</v>
      </c>
      <c r="U1970" s="1144">
        <f>IFERROR(VLOOKUP(CONCATENATE($E1970,$G1970),'LAC 103'!$A$12:$O$95,14,FALSE),0)</f>
        <v>0</v>
      </c>
      <c r="V1970" s="1144">
        <f>IFERROR(VLOOKUP(CONCATENATE($E1970,$G1970),'LAC 103'!$A$12:$O$95,15,FALSE),0)</f>
        <v>0</v>
      </c>
      <c r="W1970" s="1145" t="str">
        <f>IFERROR(VLOOKUP(CONCATENATE($B1970,$N1970),'LAC 103'!$AI:$AQ,9,FALSE),"")</f>
        <v/>
      </c>
      <c r="X1970" s="1146">
        <f t="shared" si="546"/>
        <v>0</v>
      </c>
      <c r="Y1970" s="1143">
        <f t="shared" si="556"/>
        <v>0</v>
      </c>
      <c r="Z1970" s="1147">
        <f t="shared" si="547"/>
        <v>0</v>
      </c>
      <c r="AA1970" s="1144">
        <f t="shared" si="548"/>
        <v>0</v>
      </c>
      <c r="AB1970" s="1144">
        <f t="shared" si="549"/>
        <v>0</v>
      </c>
      <c r="AC1970" s="1144">
        <f t="shared" si="550"/>
        <v>0</v>
      </c>
      <c r="AD1970" s="1148">
        <f t="shared" si="542"/>
        <v>0</v>
      </c>
      <c r="AE1970" s="1487">
        <v>0</v>
      </c>
      <c r="AF1970" s="1145">
        <f t="shared" si="551"/>
        <v>0</v>
      </c>
      <c r="AG1970" s="1149">
        <f>IFERROR(VLOOKUP(CONCATENATE($L1970,$N1970),'Drop List'!$G$23:$K$87,2,FALSE),0)</f>
        <v>0</v>
      </c>
      <c r="AH1970" s="1150">
        <f>IFERROR(VLOOKUP(CONCATENATE($L1970,$N1970),'Drop List'!$G$23:$K$87,3,FALSE),0)</f>
        <v>0</v>
      </c>
      <c r="AI1970" s="1150">
        <f>IFERROR(VLOOKUP(CONCATENATE($L1970,$N1970),'Drop List'!$G$23:$K$87,4,FALSE),0)</f>
        <v>0</v>
      </c>
      <c r="AJ1970" s="1151">
        <f>IFERROR(VLOOKUP(CONCATENATE($L1970,$N1970),'Drop List'!$G$23:$K$87,5,FALSE),0)</f>
        <v>0</v>
      </c>
      <c r="AK1970" s="1152">
        <f t="shared" si="552"/>
        <v>0</v>
      </c>
      <c r="AL1970" s="1153">
        <f t="shared" si="553"/>
        <v>0</v>
      </c>
      <c r="AM1970" s="1153">
        <f t="shared" si="554"/>
        <v>0</v>
      </c>
      <c r="AN1970" s="1145">
        <f t="shared" si="555"/>
        <v>0</v>
      </c>
      <c r="AO1970" s="1154">
        <f t="shared" si="558"/>
        <v>0</v>
      </c>
      <c r="AP1970" s="1147">
        <f t="shared" si="543"/>
        <v>0</v>
      </c>
      <c r="AQ1970" s="1144">
        <f t="shared" si="544"/>
        <v>0</v>
      </c>
      <c r="AR1970" s="1146">
        <f t="shared" si="545"/>
        <v>0</v>
      </c>
    </row>
    <row r="1971" spans="1:44" x14ac:dyDescent="0.2">
      <c r="A1971" s="1141" t="str">
        <f t="shared" si="557"/>
        <v/>
      </c>
      <c r="B1971" s="1141" t="str">
        <f>IFERROR(VLOOKUP(A1971,'LAC 103'!A:C,3,FALSE),"")</f>
        <v/>
      </c>
      <c r="C1971" s="1478" t="str">
        <f>Info!$B$8</f>
        <v>00100</v>
      </c>
      <c r="D1971" s="1474"/>
      <c r="E1971" s="1474"/>
      <c r="F1971" s="1478"/>
      <c r="G1971" s="1478"/>
      <c r="H1971" s="1474"/>
      <c r="I1971" s="1478"/>
      <c r="J1971" s="1478"/>
      <c r="K1971" s="1475"/>
      <c r="L1971" s="1474"/>
      <c r="M1971" s="1476"/>
      <c r="N1971" s="1477"/>
      <c r="O1971" s="1479"/>
      <c r="P1971" s="1479"/>
      <c r="Q1971" s="1142">
        <f t="shared" si="541"/>
        <v>0</v>
      </c>
      <c r="R1971" s="1143">
        <f>IFERROR(VLOOKUP(CONCATENATE($E1971,$G1971),'LAC 103'!$A$12:$O$95,11,FALSE),0)</f>
        <v>0</v>
      </c>
      <c r="S1971" s="1144">
        <f>IFERROR(VLOOKUP(CONCATENATE($E1971,$G1971),'LAC 103'!$A$12:$O$95,12,FALSE),0)</f>
        <v>0</v>
      </c>
      <c r="T1971" s="1144">
        <f>IFERROR(VLOOKUP(CONCATENATE($E1971,$G1971),'LAC 103'!$A$12:$O$95,13,FALSE),0)</f>
        <v>0</v>
      </c>
      <c r="U1971" s="1144">
        <f>IFERROR(VLOOKUP(CONCATENATE($E1971,$G1971),'LAC 103'!$A$12:$O$95,14,FALSE),0)</f>
        <v>0</v>
      </c>
      <c r="V1971" s="1144">
        <f>IFERROR(VLOOKUP(CONCATENATE($E1971,$G1971),'LAC 103'!$A$12:$O$95,15,FALSE),0)</f>
        <v>0</v>
      </c>
      <c r="W1971" s="1145" t="str">
        <f>IFERROR(VLOOKUP(CONCATENATE($B1971,$N1971),'LAC 103'!$AI:$AQ,9,FALSE),"")</f>
        <v/>
      </c>
      <c r="X1971" s="1146">
        <f t="shared" si="546"/>
        <v>0</v>
      </c>
      <c r="Y1971" s="1143">
        <f t="shared" si="556"/>
        <v>0</v>
      </c>
      <c r="Z1971" s="1147">
        <f t="shared" si="547"/>
        <v>0</v>
      </c>
      <c r="AA1971" s="1144">
        <f t="shared" si="548"/>
        <v>0</v>
      </c>
      <c r="AB1971" s="1144">
        <f t="shared" si="549"/>
        <v>0</v>
      </c>
      <c r="AC1971" s="1144">
        <f t="shared" si="550"/>
        <v>0</v>
      </c>
      <c r="AD1971" s="1148">
        <f t="shared" si="542"/>
        <v>0</v>
      </c>
      <c r="AE1971" s="1487">
        <v>0</v>
      </c>
      <c r="AF1971" s="1145">
        <f t="shared" si="551"/>
        <v>0</v>
      </c>
      <c r="AG1971" s="1149">
        <f>IFERROR(VLOOKUP(CONCATENATE($L1971,$N1971),'Drop List'!$G$23:$K$87,2,FALSE),0)</f>
        <v>0</v>
      </c>
      <c r="AH1971" s="1150">
        <f>IFERROR(VLOOKUP(CONCATENATE($L1971,$N1971),'Drop List'!$G$23:$K$87,3,FALSE),0)</f>
        <v>0</v>
      </c>
      <c r="AI1971" s="1150">
        <f>IFERROR(VLOOKUP(CONCATENATE($L1971,$N1971),'Drop List'!$G$23:$K$87,4,FALSE),0)</f>
        <v>0</v>
      </c>
      <c r="AJ1971" s="1151">
        <f>IFERROR(VLOOKUP(CONCATENATE($L1971,$N1971),'Drop List'!$G$23:$K$87,5,FALSE),0)</f>
        <v>0</v>
      </c>
      <c r="AK1971" s="1152">
        <f t="shared" si="552"/>
        <v>0</v>
      </c>
      <c r="AL1971" s="1153">
        <f t="shared" si="553"/>
        <v>0</v>
      </c>
      <c r="AM1971" s="1153">
        <f t="shared" si="554"/>
        <v>0</v>
      </c>
      <c r="AN1971" s="1145">
        <f t="shared" si="555"/>
        <v>0</v>
      </c>
      <c r="AO1971" s="1154">
        <f t="shared" si="558"/>
        <v>0</v>
      </c>
      <c r="AP1971" s="1147">
        <f t="shared" si="543"/>
        <v>0</v>
      </c>
      <c r="AQ1971" s="1144">
        <f t="shared" si="544"/>
        <v>0</v>
      </c>
      <c r="AR1971" s="1146">
        <f t="shared" si="545"/>
        <v>0</v>
      </c>
    </row>
    <row r="1972" spans="1:44" x14ac:dyDescent="0.2">
      <c r="A1972" s="1141" t="str">
        <f t="shared" si="557"/>
        <v/>
      </c>
      <c r="B1972" s="1141" t="str">
        <f>IFERROR(VLOOKUP(A1972,'LAC 103'!A:C,3,FALSE),"")</f>
        <v/>
      </c>
      <c r="C1972" s="1478" t="str">
        <f>Info!$B$8</f>
        <v>00100</v>
      </c>
      <c r="D1972" s="1474"/>
      <c r="E1972" s="1474"/>
      <c r="F1972" s="1478"/>
      <c r="G1972" s="1478"/>
      <c r="H1972" s="1474"/>
      <c r="I1972" s="1478"/>
      <c r="J1972" s="1478"/>
      <c r="K1972" s="1475"/>
      <c r="L1972" s="1474"/>
      <c r="M1972" s="1476"/>
      <c r="N1972" s="1477"/>
      <c r="O1972" s="1479"/>
      <c r="P1972" s="1479"/>
      <c r="Q1972" s="1142">
        <f t="shared" si="541"/>
        <v>0</v>
      </c>
      <c r="R1972" s="1143">
        <f>IFERROR(VLOOKUP(CONCATENATE($E1972,$G1972),'LAC 103'!$A$12:$O$95,11,FALSE),0)</f>
        <v>0</v>
      </c>
      <c r="S1972" s="1144">
        <f>IFERROR(VLOOKUP(CONCATENATE($E1972,$G1972),'LAC 103'!$A$12:$O$95,12,FALSE),0)</f>
        <v>0</v>
      </c>
      <c r="T1972" s="1144">
        <f>IFERROR(VLOOKUP(CONCATENATE($E1972,$G1972),'LAC 103'!$A$12:$O$95,13,FALSE),0)</f>
        <v>0</v>
      </c>
      <c r="U1972" s="1144">
        <f>IFERROR(VLOOKUP(CONCATENATE($E1972,$G1972),'LAC 103'!$A$12:$O$95,14,FALSE),0)</f>
        <v>0</v>
      </c>
      <c r="V1972" s="1144">
        <f>IFERROR(VLOOKUP(CONCATENATE($E1972,$G1972),'LAC 103'!$A$12:$O$95,15,FALSE),0)</f>
        <v>0</v>
      </c>
      <c r="W1972" s="1145" t="str">
        <f>IFERROR(VLOOKUP(CONCATENATE($B1972,$N1972),'LAC 103'!$AI:$AQ,9,FALSE),"")</f>
        <v/>
      </c>
      <c r="X1972" s="1146">
        <f t="shared" si="546"/>
        <v>0</v>
      </c>
      <c r="Y1972" s="1143">
        <f t="shared" si="556"/>
        <v>0</v>
      </c>
      <c r="Z1972" s="1147">
        <f t="shared" si="547"/>
        <v>0</v>
      </c>
      <c r="AA1972" s="1144">
        <f t="shared" si="548"/>
        <v>0</v>
      </c>
      <c r="AB1972" s="1144">
        <f t="shared" si="549"/>
        <v>0</v>
      </c>
      <c r="AC1972" s="1144">
        <f t="shared" si="550"/>
        <v>0</v>
      </c>
      <c r="AD1972" s="1148">
        <f t="shared" si="542"/>
        <v>0</v>
      </c>
      <c r="AE1972" s="1487">
        <v>0</v>
      </c>
      <c r="AF1972" s="1145">
        <f t="shared" si="551"/>
        <v>0</v>
      </c>
      <c r="AG1972" s="1149">
        <f>IFERROR(VLOOKUP(CONCATENATE($L1972,$N1972),'Drop List'!$G$23:$K$87,2,FALSE),0)</f>
        <v>0</v>
      </c>
      <c r="AH1972" s="1150">
        <f>IFERROR(VLOOKUP(CONCATENATE($L1972,$N1972),'Drop List'!$G$23:$K$87,3,FALSE),0)</f>
        <v>0</v>
      </c>
      <c r="AI1972" s="1150">
        <f>IFERROR(VLOOKUP(CONCATENATE($L1972,$N1972),'Drop List'!$G$23:$K$87,4,FALSE),0)</f>
        <v>0</v>
      </c>
      <c r="AJ1972" s="1151">
        <f>IFERROR(VLOOKUP(CONCATENATE($L1972,$N1972),'Drop List'!$G$23:$K$87,5,FALSE),0)</f>
        <v>0</v>
      </c>
      <c r="AK1972" s="1152">
        <f t="shared" si="552"/>
        <v>0</v>
      </c>
      <c r="AL1972" s="1153">
        <f t="shared" si="553"/>
        <v>0</v>
      </c>
      <c r="AM1972" s="1153">
        <f t="shared" si="554"/>
        <v>0</v>
      </c>
      <c r="AN1972" s="1145">
        <f t="shared" si="555"/>
        <v>0</v>
      </c>
      <c r="AO1972" s="1154">
        <f t="shared" si="558"/>
        <v>0</v>
      </c>
      <c r="AP1972" s="1147">
        <f t="shared" si="543"/>
        <v>0</v>
      </c>
      <c r="AQ1972" s="1144">
        <f t="shared" si="544"/>
        <v>0</v>
      </c>
      <c r="AR1972" s="1146">
        <f t="shared" si="545"/>
        <v>0</v>
      </c>
    </row>
    <row r="1973" spans="1:44" x14ac:dyDescent="0.2">
      <c r="A1973" s="1141" t="str">
        <f t="shared" si="557"/>
        <v/>
      </c>
      <c r="B1973" s="1141" t="str">
        <f>IFERROR(VLOOKUP(A1973,'LAC 103'!A:C,3,FALSE),"")</f>
        <v/>
      </c>
      <c r="C1973" s="1478" t="str">
        <f>Info!$B$8</f>
        <v>00100</v>
      </c>
      <c r="D1973" s="1474"/>
      <c r="E1973" s="1474"/>
      <c r="F1973" s="1478"/>
      <c r="G1973" s="1478"/>
      <c r="H1973" s="1474"/>
      <c r="I1973" s="1478"/>
      <c r="J1973" s="1478"/>
      <c r="K1973" s="1475"/>
      <c r="L1973" s="1474"/>
      <c r="M1973" s="1476"/>
      <c r="N1973" s="1477"/>
      <c r="O1973" s="1479"/>
      <c r="P1973" s="1479"/>
      <c r="Q1973" s="1142">
        <f t="shared" si="541"/>
        <v>0</v>
      </c>
      <c r="R1973" s="1143">
        <f>IFERROR(VLOOKUP(CONCATENATE($E1973,$G1973),'LAC 103'!$A$12:$O$95,11,FALSE),0)</f>
        <v>0</v>
      </c>
      <c r="S1973" s="1144">
        <f>IFERROR(VLOOKUP(CONCATENATE($E1973,$G1973),'LAC 103'!$A$12:$O$95,12,FALSE),0)</f>
        <v>0</v>
      </c>
      <c r="T1973" s="1144">
        <f>IFERROR(VLOOKUP(CONCATENATE($E1973,$G1973),'LAC 103'!$A$12:$O$95,13,FALSE),0)</f>
        <v>0</v>
      </c>
      <c r="U1973" s="1144">
        <f>IFERROR(VLOOKUP(CONCATENATE($E1973,$G1973),'LAC 103'!$A$12:$O$95,14,FALSE),0)</f>
        <v>0</v>
      </c>
      <c r="V1973" s="1144">
        <f>IFERROR(VLOOKUP(CONCATENATE($E1973,$G1973),'LAC 103'!$A$12:$O$95,15,FALSE),0)</f>
        <v>0</v>
      </c>
      <c r="W1973" s="1145" t="str">
        <f>IFERROR(VLOOKUP(CONCATENATE($B1973,$N1973),'LAC 103'!$AI:$AQ,9,FALSE),"")</f>
        <v/>
      </c>
      <c r="X1973" s="1146">
        <f t="shared" si="546"/>
        <v>0</v>
      </c>
      <c r="Y1973" s="1143">
        <f t="shared" si="556"/>
        <v>0</v>
      </c>
      <c r="Z1973" s="1147">
        <f t="shared" si="547"/>
        <v>0</v>
      </c>
      <c r="AA1973" s="1144">
        <f t="shared" si="548"/>
        <v>0</v>
      </c>
      <c r="AB1973" s="1144">
        <f t="shared" si="549"/>
        <v>0</v>
      </c>
      <c r="AC1973" s="1144">
        <f t="shared" si="550"/>
        <v>0</v>
      </c>
      <c r="AD1973" s="1148">
        <f t="shared" si="542"/>
        <v>0</v>
      </c>
      <c r="AE1973" s="1487">
        <v>0</v>
      </c>
      <c r="AF1973" s="1145">
        <f t="shared" si="551"/>
        <v>0</v>
      </c>
      <c r="AG1973" s="1149">
        <f>IFERROR(VLOOKUP(CONCATENATE($L1973,$N1973),'Drop List'!$G$23:$K$87,2,FALSE),0)</f>
        <v>0</v>
      </c>
      <c r="AH1973" s="1150">
        <f>IFERROR(VLOOKUP(CONCATENATE($L1973,$N1973),'Drop List'!$G$23:$K$87,3,FALSE),0)</f>
        <v>0</v>
      </c>
      <c r="AI1973" s="1150">
        <f>IFERROR(VLOOKUP(CONCATENATE($L1973,$N1973),'Drop List'!$G$23:$K$87,4,FALSE),0)</f>
        <v>0</v>
      </c>
      <c r="AJ1973" s="1151">
        <f>IFERROR(VLOOKUP(CONCATENATE($L1973,$N1973),'Drop List'!$G$23:$K$87,5,FALSE),0)</f>
        <v>0</v>
      </c>
      <c r="AK1973" s="1152">
        <f t="shared" si="552"/>
        <v>0</v>
      </c>
      <c r="AL1973" s="1153">
        <f t="shared" si="553"/>
        <v>0</v>
      </c>
      <c r="AM1973" s="1153">
        <f t="shared" si="554"/>
        <v>0</v>
      </c>
      <c r="AN1973" s="1145">
        <f t="shared" si="555"/>
        <v>0</v>
      </c>
      <c r="AO1973" s="1154">
        <f t="shared" si="558"/>
        <v>0</v>
      </c>
      <c r="AP1973" s="1147">
        <f t="shared" si="543"/>
        <v>0</v>
      </c>
      <c r="AQ1973" s="1144">
        <f t="shared" si="544"/>
        <v>0</v>
      </c>
      <c r="AR1973" s="1146">
        <f t="shared" si="545"/>
        <v>0</v>
      </c>
    </row>
    <row r="1974" spans="1:44" x14ac:dyDescent="0.2">
      <c r="A1974" s="1141" t="str">
        <f t="shared" si="557"/>
        <v/>
      </c>
      <c r="B1974" s="1141" t="str">
        <f>IFERROR(VLOOKUP(A1974,'LAC 103'!A:C,3,FALSE),"")</f>
        <v/>
      </c>
      <c r="C1974" s="1478" t="str">
        <f>Info!$B$8</f>
        <v>00100</v>
      </c>
      <c r="D1974" s="1474"/>
      <c r="E1974" s="1474"/>
      <c r="F1974" s="1478"/>
      <c r="G1974" s="1478"/>
      <c r="H1974" s="1474"/>
      <c r="I1974" s="1478"/>
      <c r="J1974" s="1478"/>
      <c r="K1974" s="1475"/>
      <c r="L1974" s="1474"/>
      <c r="M1974" s="1476"/>
      <c r="N1974" s="1477"/>
      <c r="O1974" s="1479"/>
      <c r="P1974" s="1479"/>
      <c r="Q1974" s="1142">
        <f t="shared" si="541"/>
        <v>0</v>
      </c>
      <c r="R1974" s="1143">
        <f>IFERROR(VLOOKUP(CONCATENATE($E1974,$G1974),'LAC 103'!$A$12:$O$95,11,FALSE),0)</f>
        <v>0</v>
      </c>
      <c r="S1974" s="1144">
        <f>IFERROR(VLOOKUP(CONCATENATE($E1974,$G1974),'LAC 103'!$A$12:$O$95,12,FALSE),0)</f>
        <v>0</v>
      </c>
      <c r="T1974" s="1144">
        <f>IFERROR(VLOOKUP(CONCATENATE($E1974,$G1974),'LAC 103'!$A$12:$O$95,13,FALSE),0)</f>
        <v>0</v>
      </c>
      <c r="U1974" s="1144">
        <f>IFERROR(VLOOKUP(CONCATENATE($E1974,$G1974),'LAC 103'!$A$12:$O$95,14,FALSE),0)</f>
        <v>0</v>
      </c>
      <c r="V1974" s="1144">
        <f>IFERROR(VLOOKUP(CONCATENATE($E1974,$G1974),'LAC 103'!$A$12:$O$95,15,FALSE),0)</f>
        <v>0</v>
      </c>
      <c r="W1974" s="1145" t="str">
        <f>IFERROR(VLOOKUP(CONCATENATE($B1974,$N1974),'LAC 103'!$AI:$AQ,9,FALSE),"")</f>
        <v/>
      </c>
      <c r="X1974" s="1146">
        <f t="shared" si="546"/>
        <v>0</v>
      </c>
      <c r="Y1974" s="1143">
        <f t="shared" si="556"/>
        <v>0</v>
      </c>
      <c r="Z1974" s="1147">
        <f t="shared" si="547"/>
        <v>0</v>
      </c>
      <c r="AA1974" s="1144">
        <f t="shared" si="548"/>
        <v>0</v>
      </c>
      <c r="AB1974" s="1144">
        <f t="shared" si="549"/>
        <v>0</v>
      </c>
      <c r="AC1974" s="1144">
        <f t="shared" si="550"/>
        <v>0</v>
      </c>
      <c r="AD1974" s="1148">
        <f t="shared" si="542"/>
        <v>0</v>
      </c>
      <c r="AE1974" s="1487">
        <v>0</v>
      </c>
      <c r="AF1974" s="1145">
        <f t="shared" si="551"/>
        <v>0</v>
      </c>
      <c r="AG1974" s="1149">
        <f>IFERROR(VLOOKUP(CONCATENATE($L1974,$N1974),'Drop List'!$G$23:$K$87,2,FALSE),0)</f>
        <v>0</v>
      </c>
      <c r="AH1974" s="1150">
        <f>IFERROR(VLOOKUP(CONCATENATE($L1974,$N1974),'Drop List'!$G$23:$K$87,3,FALSE),0)</f>
        <v>0</v>
      </c>
      <c r="AI1974" s="1150">
        <f>IFERROR(VLOOKUP(CONCATENATE($L1974,$N1974),'Drop List'!$G$23:$K$87,4,FALSE),0)</f>
        <v>0</v>
      </c>
      <c r="AJ1974" s="1151">
        <f>IFERROR(VLOOKUP(CONCATENATE($L1974,$N1974),'Drop List'!$G$23:$K$87,5,FALSE),0)</f>
        <v>0</v>
      </c>
      <c r="AK1974" s="1152">
        <f t="shared" si="552"/>
        <v>0</v>
      </c>
      <c r="AL1974" s="1153">
        <f t="shared" si="553"/>
        <v>0</v>
      </c>
      <c r="AM1974" s="1153">
        <f t="shared" si="554"/>
        <v>0</v>
      </c>
      <c r="AN1974" s="1145">
        <f t="shared" si="555"/>
        <v>0</v>
      </c>
      <c r="AO1974" s="1154">
        <f t="shared" si="558"/>
        <v>0</v>
      </c>
      <c r="AP1974" s="1147">
        <f t="shared" si="543"/>
        <v>0</v>
      </c>
      <c r="AQ1974" s="1144">
        <f t="shared" si="544"/>
        <v>0</v>
      </c>
      <c r="AR1974" s="1146">
        <f t="shared" si="545"/>
        <v>0</v>
      </c>
    </row>
    <row r="1975" spans="1:44" x14ac:dyDescent="0.2">
      <c r="A1975" s="1141" t="str">
        <f t="shared" si="557"/>
        <v/>
      </c>
      <c r="B1975" s="1141" t="str">
        <f>IFERROR(VLOOKUP(A1975,'LAC 103'!A:C,3,FALSE),"")</f>
        <v/>
      </c>
      <c r="C1975" s="1478" t="str">
        <f>Info!$B$8</f>
        <v>00100</v>
      </c>
      <c r="D1975" s="1474"/>
      <c r="E1975" s="1474"/>
      <c r="F1975" s="1478"/>
      <c r="G1975" s="1478"/>
      <c r="H1975" s="1474"/>
      <c r="I1975" s="1478"/>
      <c r="J1975" s="1478"/>
      <c r="K1975" s="1475"/>
      <c r="L1975" s="1474"/>
      <c r="M1975" s="1476"/>
      <c r="N1975" s="1477"/>
      <c r="O1975" s="1479"/>
      <c r="P1975" s="1479"/>
      <c r="Q1975" s="1142">
        <f t="shared" si="541"/>
        <v>0</v>
      </c>
      <c r="R1975" s="1143">
        <f>IFERROR(VLOOKUP(CONCATENATE($E1975,$G1975),'LAC 103'!$A$12:$O$95,11,FALSE),0)</f>
        <v>0</v>
      </c>
      <c r="S1975" s="1144">
        <f>IFERROR(VLOOKUP(CONCATENATE($E1975,$G1975),'LAC 103'!$A$12:$O$95,12,FALSE),0)</f>
        <v>0</v>
      </c>
      <c r="T1975" s="1144">
        <f>IFERROR(VLOOKUP(CONCATENATE($E1975,$G1975),'LAC 103'!$A$12:$O$95,13,FALSE),0)</f>
        <v>0</v>
      </c>
      <c r="U1975" s="1144">
        <f>IFERROR(VLOOKUP(CONCATENATE($E1975,$G1975),'LAC 103'!$A$12:$O$95,14,FALSE),0)</f>
        <v>0</v>
      </c>
      <c r="V1975" s="1144">
        <f>IFERROR(VLOOKUP(CONCATENATE($E1975,$G1975),'LAC 103'!$A$12:$O$95,15,FALSE),0)</f>
        <v>0</v>
      </c>
      <c r="W1975" s="1145" t="str">
        <f>IFERROR(VLOOKUP(CONCATENATE($B1975,$N1975),'LAC 103'!$AI:$AQ,9,FALSE),"")</f>
        <v/>
      </c>
      <c r="X1975" s="1146">
        <f t="shared" si="546"/>
        <v>0</v>
      </c>
      <c r="Y1975" s="1143">
        <f t="shared" si="556"/>
        <v>0</v>
      </c>
      <c r="Z1975" s="1147">
        <f t="shared" si="547"/>
        <v>0</v>
      </c>
      <c r="AA1975" s="1144">
        <f t="shared" si="548"/>
        <v>0</v>
      </c>
      <c r="AB1975" s="1144">
        <f t="shared" si="549"/>
        <v>0</v>
      </c>
      <c r="AC1975" s="1144">
        <f t="shared" si="550"/>
        <v>0</v>
      </c>
      <c r="AD1975" s="1148">
        <f t="shared" si="542"/>
        <v>0</v>
      </c>
      <c r="AE1975" s="1487">
        <v>0</v>
      </c>
      <c r="AF1975" s="1145">
        <f t="shared" si="551"/>
        <v>0</v>
      </c>
      <c r="AG1975" s="1149">
        <f>IFERROR(VLOOKUP(CONCATENATE($L1975,$N1975),'Drop List'!$G$23:$K$87,2,FALSE),0)</f>
        <v>0</v>
      </c>
      <c r="AH1975" s="1150">
        <f>IFERROR(VLOOKUP(CONCATENATE($L1975,$N1975),'Drop List'!$G$23:$K$87,3,FALSE),0)</f>
        <v>0</v>
      </c>
      <c r="AI1975" s="1150">
        <f>IFERROR(VLOOKUP(CONCATENATE($L1975,$N1975),'Drop List'!$G$23:$K$87,4,FALSE),0)</f>
        <v>0</v>
      </c>
      <c r="AJ1975" s="1151">
        <f>IFERROR(VLOOKUP(CONCATENATE($L1975,$N1975),'Drop List'!$G$23:$K$87,5,FALSE),0)</f>
        <v>0</v>
      </c>
      <c r="AK1975" s="1152">
        <f t="shared" si="552"/>
        <v>0</v>
      </c>
      <c r="AL1975" s="1153">
        <f t="shared" si="553"/>
        <v>0</v>
      </c>
      <c r="AM1975" s="1153">
        <f t="shared" si="554"/>
        <v>0</v>
      </c>
      <c r="AN1975" s="1145">
        <f t="shared" si="555"/>
        <v>0</v>
      </c>
      <c r="AO1975" s="1154">
        <f t="shared" si="558"/>
        <v>0</v>
      </c>
      <c r="AP1975" s="1147">
        <f t="shared" si="543"/>
        <v>0</v>
      </c>
      <c r="AQ1975" s="1144">
        <f t="shared" si="544"/>
        <v>0</v>
      </c>
      <c r="AR1975" s="1146">
        <f t="shared" si="545"/>
        <v>0</v>
      </c>
    </row>
    <row r="1976" spans="1:44" x14ac:dyDescent="0.2">
      <c r="A1976" s="1141" t="str">
        <f t="shared" si="557"/>
        <v/>
      </c>
      <c r="B1976" s="1141" t="str">
        <f>IFERROR(VLOOKUP(A1976,'LAC 103'!A:C,3,FALSE),"")</f>
        <v/>
      </c>
      <c r="C1976" s="1478" t="str">
        <f>Info!$B$8</f>
        <v>00100</v>
      </c>
      <c r="D1976" s="1474"/>
      <c r="E1976" s="1474"/>
      <c r="F1976" s="1478"/>
      <c r="G1976" s="1478"/>
      <c r="H1976" s="1474"/>
      <c r="I1976" s="1478"/>
      <c r="J1976" s="1478"/>
      <c r="K1976" s="1475"/>
      <c r="L1976" s="1474"/>
      <c r="M1976" s="1476"/>
      <c r="N1976" s="1477"/>
      <c r="O1976" s="1479"/>
      <c r="P1976" s="1479"/>
      <c r="Q1976" s="1142">
        <f t="shared" si="541"/>
        <v>0</v>
      </c>
      <c r="R1976" s="1143">
        <f>IFERROR(VLOOKUP(CONCATENATE($E1976,$G1976),'LAC 103'!$A$12:$O$95,11,FALSE),0)</f>
        <v>0</v>
      </c>
      <c r="S1976" s="1144">
        <f>IFERROR(VLOOKUP(CONCATENATE($E1976,$G1976),'LAC 103'!$A$12:$O$95,12,FALSE),0)</f>
        <v>0</v>
      </c>
      <c r="T1976" s="1144">
        <f>IFERROR(VLOOKUP(CONCATENATE($E1976,$G1976),'LAC 103'!$A$12:$O$95,13,FALSE),0)</f>
        <v>0</v>
      </c>
      <c r="U1976" s="1144">
        <f>IFERROR(VLOOKUP(CONCATENATE($E1976,$G1976),'LAC 103'!$A$12:$O$95,14,FALSE),0)</f>
        <v>0</v>
      </c>
      <c r="V1976" s="1144">
        <f>IFERROR(VLOOKUP(CONCATENATE($E1976,$G1976),'LAC 103'!$A$12:$O$95,15,FALSE),0)</f>
        <v>0</v>
      </c>
      <c r="W1976" s="1145" t="str">
        <f>IFERROR(VLOOKUP(CONCATENATE($B1976,$N1976),'LAC 103'!$AI:$AQ,9,FALSE),"")</f>
        <v/>
      </c>
      <c r="X1976" s="1146">
        <f t="shared" si="546"/>
        <v>0</v>
      </c>
      <c r="Y1976" s="1143">
        <f t="shared" si="556"/>
        <v>0</v>
      </c>
      <c r="Z1976" s="1147">
        <f t="shared" si="547"/>
        <v>0</v>
      </c>
      <c r="AA1976" s="1144">
        <f t="shared" si="548"/>
        <v>0</v>
      </c>
      <c r="AB1976" s="1144">
        <f t="shared" si="549"/>
        <v>0</v>
      </c>
      <c r="AC1976" s="1144">
        <f t="shared" si="550"/>
        <v>0</v>
      </c>
      <c r="AD1976" s="1148">
        <f t="shared" si="542"/>
        <v>0</v>
      </c>
      <c r="AE1976" s="1487">
        <v>0</v>
      </c>
      <c r="AF1976" s="1145">
        <f t="shared" si="551"/>
        <v>0</v>
      </c>
      <c r="AG1976" s="1149">
        <f>IFERROR(VLOOKUP(CONCATENATE($L1976,$N1976),'Drop List'!$G$23:$K$87,2,FALSE),0)</f>
        <v>0</v>
      </c>
      <c r="AH1976" s="1150">
        <f>IFERROR(VLOOKUP(CONCATENATE($L1976,$N1976),'Drop List'!$G$23:$K$87,3,FALSE),0)</f>
        <v>0</v>
      </c>
      <c r="AI1976" s="1150">
        <f>IFERROR(VLOOKUP(CONCATENATE($L1976,$N1976),'Drop List'!$G$23:$K$87,4,FALSE),0)</f>
        <v>0</v>
      </c>
      <c r="AJ1976" s="1151">
        <f>IFERROR(VLOOKUP(CONCATENATE($L1976,$N1976),'Drop List'!$G$23:$K$87,5,FALSE),0)</f>
        <v>0</v>
      </c>
      <c r="AK1976" s="1152">
        <f t="shared" si="552"/>
        <v>0</v>
      </c>
      <c r="AL1976" s="1153">
        <f t="shared" si="553"/>
        <v>0</v>
      </c>
      <c r="AM1976" s="1153">
        <f t="shared" si="554"/>
        <v>0</v>
      </c>
      <c r="AN1976" s="1145">
        <f t="shared" si="555"/>
        <v>0</v>
      </c>
      <c r="AO1976" s="1154">
        <f t="shared" si="558"/>
        <v>0</v>
      </c>
      <c r="AP1976" s="1147">
        <f t="shared" si="543"/>
        <v>0</v>
      </c>
      <c r="AQ1976" s="1144">
        <f t="shared" si="544"/>
        <v>0</v>
      </c>
      <c r="AR1976" s="1146">
        <f t="shared" si="545"/>
        <v>0</v>
      </c>
    </row>
    <row r="1977" spans="1:44" x14ac:dyDescent="0.2">
      <c r="A1977" s="1141" t="str">
        <f t="shared" si="557"/>
        <v/>
      </c>
      <c r="B1977" s="1141" t="str">
        <f>IFERROR(VLOOKUP(A1977,'LAC 103'!A:C,3,FALSE),"")</f>
        <v/>
      </c>
      <c r="C1977" s="1478" t="str">
        <f>Info!$B$8</f>
        <v>00100</v>
      </c>
      <c r="D1977" s="1474"/>
      <c r="E1977" s="1474"/>
      <c r="F1977" s="1478"/>
      <c r="G1977" s="1478"/>
      <c r="H1977" s="1474"/>
      <c r="I1977" s="1478"/>
      <c r="J1977" s="1478"/>
      <c r="K1977" s="1475"/>
      <c r="L1977" s="1474"/>
      <c r="M1977" s="1476"/>
      <c r="N1977" s="1477"/>
      <c r="O1977" s="1479"/>
      <c r="P1977" s="1479"/>
      <c r="Q1977" s="1142">
        <f t="shared" si="541"/>
        <v>0</v>
      </c>
      <c r="R1977" s="1143">
        <f>IFERROR(VLOOKUP(CONCATENATE($E1977,$G1977),'LAC 103'!$A$12:$O$95,11,FALSE),0)</f>
        <v>0</v>
      </c>
      <c r="S1977" s="1144">
        <f>IFERROR(VLOOKUP(CONCATENATE($E1977,$G1977),'LAC 103'!$A$12:$O$95,12,FALSE),0)</f>
        <v>0</v>
      </c>
      <c r="T1977" s="1144">
        <f>IFERROR(VLOOKUP(CONCATENATE($E1977,$G1977),'LAC 103'!$A$12:$O$95,13,FALSE),0)</f>
        <v>0</v>
      </c>
      <c r="U1977" s="1144">
        <f>IFERROR(VLOOKUP(CONCATENATE($E1977,$G1977),'LAC 103'!$A$12:$O$95,14,FALSE),0)</f>
        <v>0</v>
      </c>
      <c r="V1977" s="1144">
        <f>IFERROR(VLOOKUP(CONCATENATE($E1977,$G1977),'LAC 103'!$A$12:$O$95,15,FALSE),0)</f>
        <v>0</v>
      </c>
      <c r="W1977" s="1145" t="str">
        <f>IFERROR(VLOOKUP(CONCATENATE($B1977,$N1977),'LAC 103'!$AI:$AQ,9,FALSE),"")</f>
        <v/>
      </c>
      <c r="X1977" s="1146">
        <f t="shared" si="546"/>
        <v>0</v>
      </c>
      <c r="Y1977" s="1143">
        <f t="shared" si="556"/>
        <v>0</v>
      </c>
      <c r="Z1977" s="1147">
        <f t="shared" si="547"/>
        <v>0</v>
      </c>
      <c r="AA1977" s="1144">
        <f t="shared" si="548"/>
        <v>0</v>
      </c>
      <c r="AB1977" s="1144">
        <f t="shared" si="549"/>
        <v>0</v>
      </c>
      <c r="AC1977" s="1144">
        <f t="shared" si="550"/>
        <v>0</v>
      </c>
      <c r="AD1977" s="1148">
        <f t="shared" si="542"/>
        <v>0</v>
      </c>
      <c r="AE1977" s="1487">
        <v>0</v>
      </c>
      <c r="AF1977" s="1145">
        <f t="shared" si="551"/>
        <v>0</v>
      </c>
      <c r="AG1977" s="1149">
        <f>IFERROR(VLOOKUP(CONCATENATE($L1977,$N1977),'Drop List'!$G$23:$K$87,2,FALSE),0)</f>
        <v>0</v>
      </c>
      <c r="AH1977" s="1150">
        <f>IFERROR(VLOOKUP(CONCATENATE($L1977,$N1977),'Drop List'!$G$23:$K$87,3,FALSE),0)</f>
        <v>0</v>
      </c>
      <c r="AI1977" s="1150">
        <f>IFERROR(VLOOKUP(CONCATENATE($L1977,$N1977),'Drop List'!$G$23:$K$87,4,FALSE),0)</f>
        <v>0</v>
      </c>
      <c r="AJ1977" s="1151">
        <f>IFERROR(VLOOKUP(CONCATENATE($L1977,$N1977),'Drop List'!$G$23:$K$87,5,FALSE),0)</f>
        <v>0</v>
      </c>
      <c r="AK1977" s="1152">
        <f t="shared" si="552"/>
        <v>0</v>
      </c>
      <c r="AL1977" s="1153">
        <f t="shared" si="553"/>
        <v>0</v>
      </c>
      <c r="AM1977" s="1153">
        <f t="shared" si="554"/>
        <v>0</v>
      </c>
      <c r="AN1977" s="1145">
        <f t="shared" si="555"/>
        <v>0</v>
      </c>
      <c r="AO1977" s="1154">
        <f t="shared" si="558"/>
        <v>0</v>
      </c>
      <c r="AP1977" s="1147">
        <f t="shared" si="543"/>
        <v>0</v>
      </c>
      <c r="AQ1977" s="1144">
        <f t="shared" si="544"/>
        <v>0</v>
      </c>
      <c r="AR1977" s="1146">
        <f t="shared" si="545"/>
        <v>0</v>
      </c>
    </row>
    <row r="1978" spans="1:44" x14ac:dyDescent="0.2">
      <c r="A1978" s="1141" t="str">
        <f t="shared" si="557"/>
        <v/>
      </c>
      <c r="B1978" s="1141" t="str">
        <f>IFERROR(VLOOKUP(A1978,'LAC 103'!A:C,3,FALSE),"")</f>
        <v/>
      </c>
      <c r="C1978" s="1478" t="str">
        <f>Info!$B$8</f>
        <v>00100</v>
      </c>
      <c r="D1978" s="1474"/>
      <c r="E1978" s="1474"/>
      <c r="F1978" s="1478"/>
      <c r="G1978" s="1478"/>
      <c r="H1978" s="1474"/>
      <c r="I1978" s="1478"/>
      <c r="J1978" s="1478"/>
      <c r="K1978" s="1475"/>
      <c r="L1978" s="1474"/>
      <c r="M1978" s="1476"/>
      <c r="N1978" s="1477"/>
      <c r="O1978" s="1479"/>
      <c r="P1978" s="1479"/>
      <c r="Q1978" s="1142">
        <f t="shared" si="541"/>
        <v>0</v>
      </c>
      <c r="R1978" s="1143">
        <f>IFERROR(VLOOKUP(CONCATENATE($E1978,$G1978),'LAC 103'!$A$12:$O$95,11,FALSE),0)</f>
        <v>0</v>
      </c>
      <c r="S1978" s="1144">
        <f>IFERROR(VLOOKUP(CONCATENATE($E1978,$G1978),'LAC 103'!$A$12:$O$95,12,FALSE),0)</f>
        <v>0</v>
      </c>
      <c r="T1978" s="1144">
        <f>IFERROR(VLOOKUP(CONCATENATE($E1978,$G1978),'LAC 103'!$A$12:$O$95,13,FALSE),0)</f>
        <v>0</v>
      </c>
      <c r="U1978" s="1144">
        <f>IFERROR(VLOOKUP(CONCATENATE($E1978,$G1978),'LAC 103'!$A$12:$O$95,14,FALSE),0)</f>
        <v>0</v>
      </c>
      <c r="V1978" s="1144">
        <f>IFERROR(VLOOKUP(CONCATENATE($E1978,$G1978),'LAC 103'!$A$12:$O$95,15,FALSE),0)</f>
        <v>0</v>
      </c>
      <c r="W1978" s="1145" t="str">
        <f>IFERROR(VLOOKUP(CONCATENATE($B1978,$N1978),'LAC 103'!$AI:$AQ,9,FALSE),"")</f>
        <v/>
      </c>
      <c r="X1978" s="1146">
        <f t="shared" si="546"/>
        <v>0</v>
      </c>
      <c r="Y1978" s="1143">
        <f t="shared" si="556"/>
        <v>0</v>
      </c>
      <c r="Z1978" s="1147">
        <f t="shared" si="547"/>
        <v>0</v>
      </c>
      <c r="AA1978" s="1144">
        <f t="shared" si="548"/>
        <v>0</v>
      </c>
      <c r="AB1978" s="1144">
        <f t="shared" si="549"/>
        <v>0</v>
      </c>
      <c r="AC1978" s="1144">
        <f t="shared" si="550"/>
        <v>0</v>
      </c>
      <c r="AD1978" s="1148">
        <f t="shared" si="542"/>
        <v>0</v>
      </c>
      <c r="AE1978" s="1487">
        <v>0</v>
      </c>
      <c r="AF1978" s="1145">
        <f t="shared" si="551"/>
        <v>0</v>
      </c>
      <c r="AG1978" s="1149">
        <f>IFERROR(VLOOKUP(CONCATENATE($L1978,$N1978),'Drop List'!$G$23:$K$87,2,FALSE),0)</f>
        <v>0</v>
      </c>
      <c r="AH1978" s="1150">
        <f>IFERROR(VLOOKUP(CONCATENATE($L1978,$N1978),'Drop List'!$G$23:$K$87,3,FALSE),0)</f>
        <v>0</v>
      </c>
      <c r="AI1978" s="1150">
        <f>IFERROR(VLOOKUP(CONCATENATE($L1978,$N1978),'Drop List'!$G$23:$K$87,4,FALSE),0)</f>
        <v>0</v>
      </c>
      <c r="AJ1978" s="1151">
        <f>IFERROR(VLOOKUP(CONCATENATE($L1978,$N1978),'Drop List'!$G$23:$K$87,5,FALSE),0)</f>
        <v>0</v>
      </c>
      <c r="AK1978" s="1152">
        <f t="shared" si="552"/>
        <v>0</v>
      </c>
      <c r="AL1978" s="1153">
        <f t="shared" si="553"/>
        <v>0</v>
      </c>
      <c r="AM1978" s="1153">
        <f t="shared" si="554"/>
        <v>0</v>
      </c>
      <c r="AN1978" s="1145">
        <f t="shared" si="555"/>
        <v>0</v>
      </c>
      <c r="AO1978" s="1154">
        <f t="shared" si="558"/>
        <v>0</v>
      </c>
      <c r="AP1978" s="1147">
        <f t="shared" si="543"/>
        <v>0</v>
      </c>
      <c r="AQ1978" s="1144">
        <f t="shared" si="544"/>
        <v>0</v>
      </c>
      <c r="AR1978" s="1146">
        <f t="shared" si="545"/>
        <v>0</v>
      </c>
    </row>
    <row r="1979" spans="1:44" x14ac:dyDescent="0.2">
      <c r="A1979" s="1141" t="str">
        <f t="shared" si="557"/>
        <v/>
      </c>
      <c r="B1979" s="1141" t="str">
        <f>IFERROR(VLOOKUP(A1979,'LAC 103'!A:C,3,FALSE),"")</f>
        <v/>
      </c>
      <c r="C1979" s="1478" t="str">
        <f>Info!$B$8</f>
        <v>00100</v>
      </c>
      <c r="D1979" s="1474"/>
      <c r="E1979" s="1474"/>
      <c r="F1979" s="1478"/>
      <c r="G1979" s="1478"/>
      <c r="H1979" s="1474"/>
      <c r="I1979" s="1478"/>
      <c r="J1979" s="1478"/>
      <c r="K1979" s="1475"/>
      <c r="L1979" s="1474"/>
      <c r="M1979" s="1476"/>
      <c r="N1979" s="1477"/>
      <c r="O1979" s="1479"/>
      <c r="P1979" s="1479"/>
      <c r="Q1979" s="1142">
        <f t="shared" si="541"/>
        <v>0</v>
      </c>
      <c r="R1979" s="1143">
        <f>IFERROR(VLOOKUP(CONCATENATE($E1979,$G1979),'LAC 103'!$A$12:$O$95,11,FALSE),0)</f>
        <v>0</v>
      </c>
      <c r="S1979" s="1144">
        <f>IFERROR(VLOOKUP(CONCATENATE($E1979,$G1979),'LAC 103'!$A$12:$O$95,12,FALSE),0)</f>
        <v>0</v>
      </c>
      <c r="T1979" s="1144">
        <f>IFERROR(VLOOKUP(CONCATENATE($E1979,$G1979),'LAC 103'!$A$12:$O$95,13,FALSE),0)</f>
        <v>0</v>
      </c>
      <c r="U1979" s="1144">
        <f>IFERROR(VLOOKUP(CONCATENATE($E1979,$G1979),'LAC 103'!$A$12:$O$95,14,FALSE),0)</f>
        <v>0</v>
      </c>
      <c r="V1979" s="1144">
        <f>IFERROR(VLOOKUP(CONCATENATE($E1979,$G1979),'LAC 103'!$A$12:$O$95,15,FALSE),0)</f>
        <v>0</v>
      </c>
      <c r="W1979" s="1145" t="str">
        <f>IFERROR(VLOOKUP(CONCATENATE($B1979,$N1979),'LAC 103'!$AI:$AQ,9,FALSE),"")</f>
        <v/>
      </c>
      <c r="X1979" s="1146">
        <f t="shared" si="546"/>
        <v>0</v>
      </c>
      <c r="Y1979" s="1143">
        <f t="shared" si="556"/>
        <v>0</v>
      </c>
      <c r="Z1979" s="1147">
        <f t="shared" si="547"/>
        <v>0</v>
      </c>
      <c r="AA1979" s="1144">
        <f t="shared" si="548"/>
        <v>0</v>
      </c>
      <c r="AB1979" s="1144">
        <f t="shared" si="549"/>
        <v>0</v>
      </c>
      <c r="AC1979" s="1144">
        <f t="shared" si="550"/>
        <v>0</v>
      </c>
      <c r="AD1979" s="1148">
        <f t="shared" si="542"/>
        <v>0</v>
      </c>
      <c r="AE1979" s="1487">
        <v>0</v>
      </c>
      <c r="AF1979" s="1145">
        <f t="shared" si="551"/>
        <v>0</v>
      </c>
      <c r="AG1979" s="1149">
        <f>IFERROR(VLOOKUP(CONCATENATE($L1979,$N1979),'Drop List'!$G$23:$K$87,2,FALSE),0)</f>
        <v>0</v>
      </c>
      <c r="AH1979" s="1150">
        <f>IFERROR(VLOOKUP(CONCATENATE($L1979,$N1979),'Drop List'!$G$23:$K$87,3,FALSE),0)</f>
        <v>0</v>
      </c>
      <c r="AI1979" s="1150">
        <f>IFERROR(VLOOKUP(CONCATENATE($L1979,$N1979),'Drop List'!$G$23:$K$87,4,FALSE),0)</f>
        <v>0</v>
      </c>
      <c r="AJ1979" s="1151">
        <f>IFERROR(VLOOKUP(CONCATENATE($L1979,$N1979),'Drop List'!$G$23:$K$87,5,FALSE),0)</f>
        <v>0</v>
      </c>
      <c r="AK1979" s="1152">
        <f t="shared" si="552"/>
        <v>0</v>
      </c>
      <c r="AL1979" s="1153">
        <f t="shared" si="553"/>
        <v>0</v>
      </c>
      <c r="AM1979" s="1153">
        <f t="shared" si="554"/>
        <v>0</v>
      </c>
      <c r="AN1979" s="1145">
        <f t="shared" si="555"/>
        <v>0</v>
      </c>
      <c r="AO1979" s="1154">
        <f t="shared" si="558"/>
        <v>0</v>
      </c>
      <c r="AP1979" s="1147">
        <f t="shared" si="543"/>
        <v>0</v>
      </c>
      <c r="AQ1979" s="1144">
        <f t="shared" si="544"/>
        <v>0</v>
      </c>
      <c r="AR1979" s="1146">
        <f t="shared" si="545"/>
        <v>0</v>
      </c>
    </row>
    <row r="1980" spans="1:44" x14ac:dyDescent="0.2">
      <c r="A1980" s="1141" t="str">
        <f t="shared" si="557"/>
        <v/>
      </c>
      <c r="B1980" s="1141" t="str">
        <f>IFERROR(VLOOKUP(A1980,'LAC 103'!A:C,3,FALSE),"")</f>
        <v/>
      </c>
      <c r="C1980" s="1478" t="str">
        <f>Info!$B$8</f>
        <v>00100</v>
      </c>
      <c r="D1980" s="1474"/>
      <c r="E1980" s="1474"/>
      <c r="F1980" s="1478"/>
      <c r="G1980" s="1478"/>
      <c r="H1980" s="1474"/>
      <c r="I1980" s="1478"/>
      <c r="J1980" s="1478"/>
      <c r="K1980" s="1475"/>
      <c r="L1980" s="1474"/>
      <c r="M1980" s="1476"/>
      <c r="N1980" s="1477"/>
      <c r="O1980" s="1479"/>
      <c r="P1980" s="1479"/>
      <c r="Q1980" s="1142">
        <f t="shared" ref="Q1980:Q2010" si="559">O1980+P1980</f>
        <v>0</v>
      </c>
      <c r="R1980" s="1143">
        <f>IFERROR(VLOOKUP(CONCATENATE($E1980,$G1980),'LAC 103'!$A$12:$O$95,11,FALSE),0)</f>
        <v>0</v>
      </c>
      <c r="S1980" s="1144">
        <f>IFERROR(VLOOKUP(CONCATENATE($E1980,$G1980),'LAC 103'!$A$12:$O$95,12,FALSE),0)</f>
        <v>0</v>
      </c>
      <c r="T1980" s="1144">
        <f>IFERROR(VLOOKUP(CONCATENATE($E1980,$G1980),'LAC 103'!$A$12:$O$95,13,FALSE),0)</f>
        <v>0</v>
      </c>
      <c r="U1980" s="1144">
        <f>IFERROR(VLOOKUP(CONCATENATE($E1980,$G1980),'LAC 103'!$A$12:$O$95,14,FALSE),0)</f>
        <v>0</v>
      </c>
      <c r="V1980" s="1144">
        <f>IFERROR(VLOOKUP(CONCATENATE($E1980,$G1980),'LAC 103'!$A$12:$O$95,15,FALSE),0)</f>
        <v>0</v>
      </c>
      <c r="W1980" s="1145" t="str">
        <f>IFERROR(VLOOKUP(CONCATENATE($B1980,$N1980),'LAC 103'!$AI:$AQ,9,FALSE),"")</f>
        <v/>
      </c>
      <c r="X1980" s="1146">
        <f t="shared" si="546"/>
        <v>0</v>
      </c>
      <c r="Y1980" s="1143">
        <f t="shared" si="556"/>
        <v>0</v>
      </c>
      <c r="Z1980" s="1147">
        <f t="shared" si="547"/>
        <v>0</v>
      </c>
      <c r="AA1980" s="1144">
        <f t="shared" si="548"/>
        <v>0</v>
      </c>
      <c r="AB1980" s="1144">
        <f t="shared" si="549"/>
        <v>0</v>
      </c>
      <c r="AC1980" s="1144">
        <f t="shared" si="550"/>
        <v>0</v>
      </c>
      <c r="AD1980" s="1148">
        <f t="shared" si="542"/>
        <v>0</v>
      </c>
      <c r="AE1980" s="1487">
        <v>0</v>
      </c>
      <c r="AF1980" s="1145">
        <f t="shared" si="551"/>
        <v>0</v>
      </c>
      <c r="AG1980" s="1149">
        <f>IFERROR(VLOOKUP(CONCATENATE($L1980,$N1980),'Drop List'!$G$23:$K$87,2,FALSE),0)</f>
        <v>0</v>
      </c>
      <c r="AH1980" s="1150">
        <f>IFERROR(VLOOKUP(CONCATENATE($L1980,$N1980),'Drop List'!$G$23:$K$87,3,FALSE),0)</f>
        <v>0</v>
      </c>
      <c r="AI1980" s="1150">
        <f>IFERROR(VLOOKUP(CONCATENATE($L1980,$N1980),'Drop List'!$G$23:$K$87,4,FALSE),0)</f>
        <v>0</v>
      </c>
      <c r="AJ1980" s="1151">
        <f>IFERROR(VLOOKUP(CONCATENATE($L1980,$N1980),'Drop List'!$G$23:$K$87,5,FALSE),0)</f>
        <v>0</v>
      </c>
      <c r="AK1980" s="1152">
        <f t="shared" si="552"/>
        <v>0</v>
      </c>
      <c r="AL1980" s="1153">
        <f t="shared" si="553"/>
        <v>0</v>
      </c>
      <c r="AM1980" s="1153">
        <f t="shared" si="554"/>
        <v>0</v>
      </c>
      <c r="AN1980" s="1145">
        <f t="shared" si="555"/>
        <v>0</v>
      </c>
      <c r="AO1980" s="1154">
        <f t="shared" si="558"/>
        <v>0</v>
      </c>
      <c r="AP1980" s="1147">
        <f t="shared" si="543"/>
        <v>0</v>
      </c>
      <c r="AQ1980" s="1144">
        <f t="shared" si="544"/>
        <v>0</v>
      </c>
      <c r="AR1980" s="1146">
        <f t="shared" si="545"/>
        <v>0</v>
      </c>
    </row>
    <row r="1981" spans="1:44" x14ac:dyDescent="0.2">
      <c r="A1981" s="1141" t="str">
        <f t="shared" si="557"/>
        <v/>
      </c>
      <c r="B1981" s="1141" t="str">
        <f>IFERROR(VLOOKUP(A1981,'LAC 103'!A:C,3,FALSE),"")</f>
        <v/>
      </c>
      <c r="C1981" s="1478" t="str">
        <f>Info!$B$8</f>
        <v>00100</v>
      </c>
      <c r="D1981" s="1474"/>
      <c r="E1981" s="1474"/>
      <c r="F1981" s="1478"/>
      <c r="G1981" s="1478"/>
      <c r="H1981" s="1474"/>
      <c r="I1981" s="1478"/>
      <c r="J1981" s="1478"/>
      <c r="K1981" s="1475"/>
      <c r="L1981" s="1474"/>
      <c r="M1981" s="1476"/>
      <c r="N1981" s="1477"/>
      <c r="O1981" s="1479"/>
      <c r="P1981" s="1479"/>
      <c r="Q1981" s="1142">
        <f t="shared" si="559"/>
        <v>0</v>
      </c>
      <c r="R1981" s="1143">
        <f>IFERROR(VLOOKUP(CONCATENATE($E1981,$G1981),'LAC 103'!$A$12:$O$95,11,FALSE),0)</f>
        <v>0</v>
      </c>
      <c r="S1981" s="1144">
        <f>IFERROR(VLOOKUP(CONCATENATE($E1981,$G1981),'LAC 103'!$A$12:$O$95,12,FALSE),0)</f>
        <v>0</v>
      </c>
      <c r="T1981" s="1144">
        <f>IFERROR(VLOOKUP(CONCATENATE($E1981,$G1981),'LAC 103'!$A$12:$O$95,13,FALSE),0)</f>
        <v>0</v>
      </c>
      <c r="U1981" s="1144">
        <f>IFERROR(VLOOKUP(CONCATENATE($E1981,$G1981),'LAC 103'!$A$12:$O$95,14,FALSE),0)</f>
        <v>0</v>
      </c>
      <c r="V1981" s="1144">
        <f>IFERROR(VLOOKUP(CONCATENATE($E1981,$G1981),'LAC 103'!$A$12:$O$95,15,FALSE),0)</f>
        <v>0</v>
      </c>
      <c r="W1981" s="1145" t="str">
        <f>IFERROR(VLOOKUP(CONCATENATE($B1981,$N1981),'LAC 103'!$AI:$AQ,9,FALSE),"")</f>
        <v/>
      </c>
      <c r="X1981" s="1146">
        <f t="shared" si="546"/>
        <v>0</v>
      </c>
      <c r="Y1981" s="1143">
        <f t="shared" si="556"/>
        <v>0</v>
      </c>
      <c r="Z1981" s="1147">
        <f t="shared" si="547"/>
        <v>0</v>
      </c>
      <c r="AA1981" s="1144">
        <f t="shared" si="548"/>
        <v>0</v>
      </c>
      <c r="AB1981" s="1144">
        <f t="shared" si="549"/>
        <v>0</v>
      </c>
      <c r="AC1981" s="1144">
        <f t="shared" si="550"/>
        <v>0</v>
      </c>
      <c r="AD1981" s="1148">
        <f t="shared" si="542"/>
        <v>0</v>
      </c>
      <c r="AE1981" s="1487">
        <v>0</v>
      </c>
      <c r="AF1981" s="1145">
        <f t="shared" si="551"/>
        <v>0</v>
      </c>
      <c r="AG1981" s="1149">
        <f>IFERROR(VLOOKUP(CONCATENATE($L1981,$N1981),'Drop List'!$G$23:$K$87,2,FALSE),0)</f>
        <v>0</v>
      </c>
      <c r="AH1981" s="1150">
        <f>IFERROR(VLOOKUP(CONCATENATE($L1981,$N1981),'Drop List'!$G$23:$K$87,3,FALSE),0)</f>
        <v>0</v>
      </c>
      <c r="AI1981" s="1150">
        <f>IFERROR(VLOOKUP(CONCATENATE($L1981,$N1981),'Drop List'!$G$23:$K$87,4,FALSE),0)</f>
        <v>0</v>
      </c>
      <c r="AJ1981" s="1151">
        <f>IFERROR(VLOOKUP(CONCATENATE($L1981,$N1981),'Drop List'!$G$23:$K$87,5,FALSE),0)</f>
        <v>0</v>
      </c>
      <c r="AK1981" s="1152">
        <f t="shared" si="552"/>
        <v>0</v>
      </c>
      <c r="AL1981" s="1153">
        <f t="shared" si="553"/>
        <v>0</v>
      </c>
      <c r="AM1981" s="1153">
        <f t="shared" si="554"/>
        <v>0</v>
      </c>
      <c r="AN1981" s="1145">
        <f t="shared" si="555"/>
        <v>0</v>
      </c>
      <c r="AO1981" s="1154">
        <f t="shared" si="558"/>
        <v>0</v>
      </c>
      <c r="AP1981" s="1147">
        <f t="shared" si="543"/>
        <v>0</v>
      </c>
      <c r="AQ1981" s="1144">
        <f t="shared" si="544"/>
        <v>0</v>
      </c>
      <c r="AR1981" s="1146">
        <f t="shared" si="545"/>
        <v>0</v>
      </c>
    </row>
    <row r="1982" spans="1:44" x14ac:dyDescent="0.2">
      <c r="A1982" s="1141" t="str">
        <f t="shared" si="557"/>
        <v/>
      </c>
      <c r="B1982" s="1141" t="str">
        <f>IFERROR(VLOOKUP(A1982,'LAC 103'!A:C,3,FALSE),"")</f>
        <v/>
      </c>
      <c r="C1982" s="1478" t="str">
        <f>Info!$B$8</f>
        <v>00100</v>
      </c>
      <c r="D1982" s="1474"/>
      <c r="E1982" s="1474"/>
      <c r="F1982" s="1478"/>
      <c r="G1982" s="1478"/>
      <c r="H1982" s="1474"/>
      <c r="I1982" s="1478"/>
      <c r="J1982" s="1478"/>
      <c r="K1982" s="1475"/>
      <c r="L1982" s="1474"/>
      <c r="M1982" s="1476"/>
      <c r="N1982" s="1477"/>
      <c r="O1982" s="1479"/>
      <c r="P1982" s="1479"/>
      <c r="Q1982" s="1142">
        <f t="shared" si="559"/>
        <v>0</v>
      </c>
      <c r="R1982" s="1143">
        <f>IFERROR(VLOOKUP(CONCATENATE($E1982,$G1982),'LAC 103'!$A$12:$O$95,11,FALSE),0)</f>
        <v>0</v>
      </c>
      <c r="S1982" s="1144">
        <f>IFERROR(VLOOKUP(CONCATENATE($E1982,$G1982),'LAC 103'!$A$12:$O$95,12,FALSE),0)</f>
        <v>0</v>
      </c>
      <c r="T1982" s="1144">
        <f>IFERROR(VLOOKUP(CONCATENATE($E1982,$G1982),'LAC 103'!$A$12:$O$95,13,FALSE),0)</f>
        <v>0</v>
      </c>
      <c r="U1982" s="1144">
        <f>IFERROR(VLOOKUP(CONCATENATE($E1982,$G1982),'LAC 103'!$A$12:$O$95,14,FALSE),0)</f>
        <v>0</v>
      </c>
      <c r="V1982" s="1144">
        <f>IFERROR(VLOOKUP(CONCATENATE($E1982,$G1982),'LAC 103'!$A$12:$O$95,15,FALSE),0)</f>
        <v>0</v>
      </c>
      <c r="W1982" s="1145" t="str">
        <f>IFERROR(VLOOKUP(CONCATENATE($B1982,$N1982),'LAC 103'!$AI:$AQ,9,FALSE),"")</f>
        <v/>
      </c>
      <c r="X1982" s="1146">
        <f t="shared" si="546"/>
        <v>0</v>
      </c>
      <c r="Y1982" s="1143">
        <f t="shared" si="556"/>
        <v>0</v>
      </c>
      <c r="Z1982" s="1147">
        <f t="shared" si="547"/>
        <v>0</v>
      </c>
      <c r="AA1982" s="1144">
        <f t="shared" si="548"/>
        <v>0</v>
      </c>
      <c r="AB1982" s="1144">
        <f t="shared" si="549"/>
        <v>0</v>
      </c>
      <c r="AC1982" s="1144">
        <f t="shared" si="550"/>
        <v>0</v>
      </c>
      <c r="AD1982" s="1148">
        <f t="shared" si="542"/>
        <v>0</v>
      </c>
      <c r="AE1982" s="1487">
        <v>0</v>
      </c>
      <c r="AF1982" s="1145">
        <f t="shared" si="551"/>
        <v>0</v>
      </c>
      <c r="AG1982" s="1149">
        <f>IFERROR(VLOOKUP(CONCATENATE($L1982,$N1982),'Drop List'!$G$23:$K$87,2,FALSE),0)</f>
        <v>0</v>
      </c>
      <c r="AH1982" s="1150">
        <f>IFERROR(VLOOKUP(CONCATENATE($L1982,$N1982),'Drop List'!$G$23:$K$87,3,FALSE),0)</f>
        <v>0</v>
      </c>
      <c r="AI1982" s="1150">
        <f>IFERROR(VLOOKUP(CONCATENATE($L1982,$N1982),'Drop List'!$G$23:$K$87,4,FALSE),0)</f>
        <v>0</v>
      </c>
      <c r="AJ1982" s="1151">
        <f>IFERROR(VLOOKUP(CONCATENATE($L1982,$N1982),'Drop List'!$G$23:$K$87,5,FALSE),0)</f>
        <v>0</v>
      </c>
      <c r="AK1982" s="1152">
        <f t="shared" si="552"/>
        <v>0</v>
      </c>
      <c r="AL1982" s="1153">
        <f t="shared" si="553"/>
        <v>0</v>
      </c>
      <c r="AM1982" s="1153">
        <f t="shared" si="554"/>
        <v>0</v>
      </c>
      <c r="AN1982" s="1145">
        <f t="shared" si="555"/>
        <v>0</v>
      </c>
      <c r="AO1982" s="1154">
        <f t="shared" si="558"/>
        <v>0</v>
      </c>
      <c r="AP1982" s="1147">
        <f t="shared" si="543"/>
        <v>0</v>
      </c>
      <c r="AQ1982" s="1144">
        <f t="shared" si="544"/>
        <v>0</v>
      </c>
      <c r="AR1982" s="1146">
        <f t="shared" si="545"/>
        <v>0</v>
      </c>
    </row>
    <row r="1983" spans="1:44" x14ac:dyDescent="0.2">
      <c r="A1983" s="1141" t="str">
        <f t="shared" si="557"/>
        <v/>
      </c>
      <c r="B1983" s="1141" t="str">
        <f>IFERROR(VLOOKUP(A1983,'LAC 103'!A:C,3,FALSE),"")</f>
        <v/>
      </c>
      <c r="C1983" s="1478" t="str">
        <f>Info!$B$8</f>
        <v>00100</v>
      </c>
      <c r="D1983" s="1474"/>
      <c r="E1983" s="1474"/>
      <c r="F1983" s="1478"/>
      <c r="G1983" s="1478"/>
      <c r="H1983" s="1474"/>
      <c r="I1983" s="1478"/>
      <c r="J1983" s="1478"/>
      <c r="K1983" s="1475"/>
      <c r="L1983" s="1474"/>
      <c r="M1983" s="1476"/>
      <c r="N1983" s="1477"/>
      <c r="O1983" s="1479"/>
      <c r="P1983" s="1479"/>
      <c r="Q1983" s="1142">
        <f t="shared" si="559"/>
        <v>0</v>
      </c>
      <c r="R1983" s="1143">
        <f>IFERROR(VLOOKUP(CONCATENATE($E1983,$G1983),'LAC 103'!$A$12:$O$95,11,FALSE),0)</f>
        <v>0</v>
      </c>
      <c r="S1983" s="1144">
        <f>IFERROR(VLOOKUP(CONCATENATE($E1983,$G1983),'LAC 103'!$A$12:$O$95,12,FALSE),0)</f>
        <v>0</v>
      </c>
      <c r="T1983" s="1144">
        <f>IFERROR(VLOOKUP(CONCATENATE($E1983,$G1983),'LAC 103'!$A$12:$O$95,13,FALSE),0)</f>
        <v>0</v>
      </c>
      <c r="U1983" s="1144">
        <f>IFERROR(VLOOKUP(CONCATENATE($E1983,$G1983),'LAC 103'!$A$12:$O$95,14,FALSE),0)</f>
        <v>0</v>
      </c>
      <c r="V1983" s="1144">
        <f>IFERROR(VLOOKUP(CONCATENATE($E1983,$G1983),'LAC 103'!$A$12:$O$95,15,FALSE),0)</f>
        <v>0</v>
      </c>
      <c r="W1983" s="1145" t="str">
        <f>IFERROR(VLOOKUP(CONCATENATE($B1983,$N1983),'LAC 103'!$AI:$AQ,9,FALSE),"")</f>
        <v/>
      </c>
      <c r="X1983" s="1146">
        <f t="shared" si="546"/>
        <v>0</v>
      </c>
      <c r="Y1983" s="1143">
        <f t="shared" si="556"/>
        <v>0</v>
      </c>
      <c r="Z1983" s="1147">
        <f t="shared" si="547"/>
        <v>0</v>
      </c>
      <c r="AA1983" s="1144">
        <f t="shared" si="548"/>
        <v>0</v>
      </c>
      <c r="AB1983" s="1144">
        <f t="shared" si="549"/>
        <v>0</v>
      </c>
      <c r="AC1983" s="1144">
        <f t="shared" si="550"/>
        <v>0</v>
      </c>
      <c r="AD1983" s="1148">
        <f t="shared" si="542"/>
        <v>0</v>
      </c>
      <c r="AE1983" s="1487">
        <v>0</v>
      </c>
      <c r="AF1983" s="1145">
        <f t="shared" si="551"/>
        <v>0</v>
      </c>
      <c r="AG1983" s="1149">
        <f>IFERROR(VLOOKUP(CONCATENATE($L1983,$N1983),'Drop List'!$G$23:$K$87,2,FALSE),0)</f>
        <v>0</v>
      </c>
      <c r="AH1983" s="1150">
        <f>IFERROR(VLOOKUP(CONCATENATE($L1983,$N1983),'Drop List'!$G$23:$K$87,3,FALSE),0)</f>
        <v>0</v>
      </c>
      <c r="AI1983" s="1150">
        <f>IFERROR(VLOOKUP(CONCATENATE($L1983,$N1983),'Drop List'!$G$23:$K$87,4,FALSE),0)</f>
        <v>0</v>
      </c>
      <c r="AJ1983" s="1151">
        <f>IFERROR(VLOOKUP(CONCATENATE($L1983,$N1983),'Drop List'!$G$23:$K$87,5,FALSE),0)</f>
        <v>0</v>
      </c>
      <c r="AK1983" s="1152">
        <f t="shared" si="552"/>
        <v>0</v>
      </c>
      <c r="AL1983" s="1153">
        <f t="shared" si="553"/>
        <v>0</v>
      </c>
      <c r="AM1983" s="1153">
        <f t="shared" si="554"/>
        <v>0</v>
      </c>
      <c r="AN1983" s="1145">
        <f t="shared" si="555"/>
        <v>0</v>
      </c>
      <c r="AO1983" s="1154">
        <f t="shared" si="558"/>
        <v>0</v>
      </c>
      <c r="AP1983" s="1147">
        <f t="shared" si="543"/>
        <v>0</v>
      </c>
      <c r="AQ1983" s="1144">
        <f t="shared" si="544"/>
        <v>0</v>
      </c>
      <c r="AR1983" s="1146">
        <f t="shared" si="545"/>
        <v>0</v>
      </c>
    </row>
    <row r="1984" spans="1:44" x14ac:dyDescent="0.2">
      <c r="A1984" s="1141" t="str">
        <f t="shared" si="557"/>
        <v/>
      </c>
      <c r="B1984" s="1141" t="str">
        <f>IFERROR(VLOOKUP(A1984,'LAC 103'!A:C,3,FALSE),"")</f>
        <v/>
      </c>
      <c r="C1984" s="1478" t="str">
        <f>Info!$B$8</f>
        <v>00100</v>
      </c>
      <c r="D1984" s="1474"/>
      <c r="E1984" s="1474"/>
      <c r="F1984" s="1478"/>
      <c r="G1984" s="1478"/>
      <c r="H1984" s="1474"/>
      <c r="I1984" s="1478"/>
      <c r="J1984" s="1478"/>
      <c r="K1984" s="1475"/>
      <c r="L1984" s="1474"/>
      <c r="M1984" s="1476"/>
      <c r="N1984" s="1477"/>
      <c r="O1984" s="1479"/>
      <c r="P1984" s="1479"/>
      <c r="Q1984" s="1142">
        <f t="shared" si="559"/>
        <v>0</v>
      </c>
      <c r="R1984" s="1143">
        <f>IFERROR(VLOOKUP(CONCATENATE($E1984,$G1984),'LAC 103'!$A$12:$O$95,11,FALSE),0)</f>
        <v>0</v>
      </c>
      <c r="S1984" s="1144">
        <f>IFERROR(VLOOKUP(CONCATENATE($E1984,$G1984),'LAC 103'!$A$12:$O$95,12,FALSE),0)</f>
        <v>0</v>
      </c>
      <c r="T1984" s="1144">
        <f>IFERROR(VLOOKUP(CONCATENATE($E1984,$G1984),'LAC 103'!$A$12:$O$95,13,FALSE),0)</f>
        <v>0</v>
      </c>
      <c r="U1984" s="1144">
        <f>IFERROR(VLOOKUP(CONCATENATE($E1984,$G1984),'LAC 103'!$A$12:$O$95,14,FALSE),0)</f>
        <v>0</v>
      </c>
      <c r="V1984" s="1144">
        <f>IFERROR(VLOOKUP(CONCATENATE($E1984,$G1984),'LAC 103'!$A$12:$O$95,15,FALSE),0)</f>
        <v>0</v>
      </c>
      <c r="W1984" s="1145" t="str">
        <f>IFERROR(VLOOKUP(CONCATENATE($B1984,$N1984),'LAC 103'!$AI:$AQ,9,FALSE),"")</f>
        <v/>
      </c>
      <c r="X1984" s="1146">
        <f t="shared" si="546"/>
        <v>0</v>
      </c>
      <c r="Y1984" s="1143">
        <f t="shared" si="556"/>
        <v>0</v>
      </c>
      <c r="Z1984" s="1147">
        <f t="shared" si="547"/>
        <v>0</v>
      </c>
      <c r="AA1984" s="1144">
        <f t="shared" si="548"/>
        <v>0</v>
      </c>
      <c r="AB1984" s="1144">
        <f t="shared" si="549"/>
        <v>0</v>
      </c>
      <c r="AC1984" s="1144">
        <f t="shared" si="550"/>
        <v>0</v>
      </c>
      <c r="AD1984" s="1148">
        <f t="shared" si="542"/>
        <v>0</v>
      </c>
      <c r="AE1984" s="1487">
        <v>0</v>
      </c>
      <c r="AF1984" s="1145">
        <f t="shared" si="551"/>
        <v>0</v>
      </c>
      <c r="AG1984" s="1149">
        <f>IFERROR(VLOOKUP(CONCATENATE($L1984,$N1984),'Drop List'!$G$23:$K$87,2,FALSE),0)</f>
        <v>0</v>
      </c>
      <c r="AH1984" s="1150">
        <f>IFERROR(VLOOKUP(CONCATENATE($L1984,$N1984),'Drop List'!$G$23:$K$87,3,FALSE),0)</f>
        <v>0</v>
      </c>
      <c r="AI1984" s="1150">
        <f>IFERROR(VLOOKUP(CONCATENATE($L1984,$N1984),'Drop List'!$G$23:$K$87,4,FALSE),0)</f>
        <v>0</v>
      </c>
      <c r="AJ1984" s="1151">
        <f>IFERROR(VLOOKUP(CONCATENATE($L1984,$N1984),'Drop List'!$G$23:$K$87,5,FALSE),0)</f>
        <v>0</v>
      </c>
      <c r="AK1984" s="1152">
        <f t="shared" si="552"/>
        <v>0</v>
      </c>
      <c r="AL1984" s="1153">
        <f t="shared" si="553"/>
        <v>0</v>
      </c>
      <c r="AM1984" s="1153">
        <f t="shared" si="554"/>
        <v>0</v>
      </c>
      <c r="AN1984" s="1145">
        <f t="shared" si="555"/>
        <v>0</v>
      </c>
      <c r="AO1984" s="1154">
        <f t="shared" si="558"/>
        <v>0</v>
      </c>
      <c r="AP1984" s="1147">
        <f t="shared" si="543"/>
        <v>0</v>
      </c>
      <c r="AQ1984" s="1144">
        <f t="shared" si="544"/>
        <v>0</v>
      </c>
      <c r="AR1984" s="1146">
        <f t="shared" si="545"/>
        <v>0</v>
      </c>
    </row>
    <row r="1985" spans="1:44" x14ac:dyDescent="0.2">
      <c r="A1985" s="1141" t="str">
        <f t="shared" si="557"/>
        <v/>
      </c>
      <c r="B1985" s="1141" t="str">
        <f>IFERROR(VLOOKUP(A1985,'LAC 103'!A:C,3,FALSE),"")</f>
        <v/>
      </c>
      <c r="C1985" s="1478" t="str">
        <f>Info!$B$8</f>
        <v>00100</v>
      </c>
      <c r="D1985" s="1474"/>
      <c r="E1985" s="1474"/>
      <c r="F1985" s="1478"/>
      <c r="G1985" s="1478"/>
      <c r="H1985" s="1474"/>
      <c r="I1985" s="1478"/>
      <c r="J1985" s="1478"/>
      <c r="K1985" s="1475"/>
      <c r="L1985" s="1474"/>
      <c r="M1985" s="1476"/>
      <c r="N1985" s="1477"/>
      <c r="O1985" s="1479"/>
      <c r="P1985" s="1479"/>
      <c r="Q1985" s="1142">
        <f t="shared" si="559"/>
        <v>0</v>
      </c>
      <c r="R1985" s="1143">
        <f>IFERROR(VLOOKUP(CONCATENATE($E1985,$G1985),'LAC 103'!$A$12:$O$95,11,FALSE),0)</f>
        <v>0</v>
      </c>
      <c r="S1985" s="1144">
        <f>IFERROR(VLOOKUP(CONCATENATE($E1985,$G1985),'LAC 103'!$A$12:$O$95,12,FALSE),0)</f>
        <v>0</v>
      </c>
      <c r="T1985" s="1144">
        <f>IFERROR(VLOOKUP(CONCATENATE($E1985,$G1985),'LAC 103'!$A$12:$O$95,13,FALSE),0)</f>
        <v>0</v>
      </c>
      <c r="U1985" s="1144">
        <f>IFERROR(VLOOKUP(CONCATENATE($E1985,$G1985),'LAC 103'!$A$12:$O$95,14,FALSE),0)</f>
        <v>0</v>
      </c>
      <c r="V1985" s="1144">
        <f>IFERROR(VLOOKUP(CONCATENATE($E1985,$G1985),'LAC 103'!$A$12:$O$95,15,FALSE),0)</f>
        <v>0</v>
      </c>
      <c r="W1985" s="1145" t="str">
        <f>IFERROR(VLOOKUP(CONCATENATE($B1985,$N1985),'LAC 103'!$AI:$AQ,9,FALSE),"")</f>
        <v/>
      </c>
      <c r="X1985" s="1146">
        <f t="shared" si="546"/>
        <v>0</v>
      </c>
      <c r="Y1985" s="1143">
        <f t="shared" si="556"/>
        <v>0</v>
      </c>
      <c r="Z1985" s="1147">
        <f t="shared" si="547"/>
        <v>0</v>
      </c>
      <c r="AA1985" s="1144">
        <f t="shared" si="548"/>
        <v>0</v>
      </c>
      <c r="AB1985" s="1144">
        <f t="shared" si="549"/>
        <v>0</v>
      </c>
      <c r="AC1985" s="1144">
        <f t="shared" si="550"/>
        <v>0</v>
      </c>
      <c r="AD1985" s="1148">
        <f t="shared" si="542"/>
        <v>0</v>
      </c>
      <c r="AE1985" s="1487">
        <v>0</v>
      </c>
      <c r="AF1985" s="1145">
        <f t="shared" si="551"/>
        <v>0</v>
      </c>
      <c r="AG1985" s="1149">
        <f>IFERROR(VLOOKUP(CONCATENATE($L1985,$N1985),'Drop List'!$G$23:$K$87,2,FALSE),0)</f>
        <v>0</v>
      </c>
      <c r="AH1985" s="1150">
        <f>IFERROR(VLOOKUP(CONCATENATE($L1985,$N1985),'Drop List'!$G$23:$K$87,3,FALSE),0)</f>
        <v>0</v>
      </c>
      <c r="AI1985" s="1150">
        <f>IFERROR(VLOOKUP(CONCATENATE($L1985,$N1985),'Drop List'!$G$23:$K$87,4,FALSE),0)</f>
        <v>0</v>
      </c>
      <c r="AJ1985" s="1151">
        <f>IFERROR(VLOOKUP(CONCATENATE($L1985,$N1985),'Drop List'!$G$23:$K$87,5,FALSE),0)</f>
        <v>0</v>
      </c>
      <c r="AK1985" s="1152">
        <f t="shared" si="552"/>
        <v>0</v>
      </c>
      <c r="AL1985" s="1153">
        <f t="shared" si="553"/>
        <v>0</v>
      </c>
      <c r="AM1985" s="1153">
        <f t="shared" si="554"/>
        <v>0</v>
      </c>
      <c r="AN1985" s="1145">
        <f t="shared" si="555"/>
        <v>0</v>
      </c>
      <c r="AO1985" s="1154">
        <f t="shared" si="558"/>
        <v>0</v>
      </c>
      <c r="AP1985" s="1147">
        <f t="shared" si="543"/>
        <v>0</v>
      </c>
      <c r="AQ1985" s="1144">
        <f t="shared" si="544"/>
        <v>0</v>
      </c>
      <c r="AR1985" s="1146">
        <f t="shared" si="545"/>
        <v>0</v>
      </c>
    </row>
    <row r="1986" spans="1:44" x14ac:dyDescent="0.2">
      <c r="A1986" s="1141" t="str">
        <f t="shared" si="557"/>
        <v/>
      </c>
      <c r="B1986" s="1141" t="str">
        <f>IFERROR(VLOOKUP(A1986,'LAC 103'!A:C,3,FALSE),"")</f>
        <v/>
      </c>
      <c r="C1986" s="1478" t="str">
        <f>Info!$B$8</f>
        <v>00100</v>
      </c>
      <c r="D1986" s="1474"/>
      <c r="E1986" s="1474"/>
      <c r="F1986" s="1478"/>
      <c r="G1986" s="1478"/>
      <c r="H1986" s="1474"/>
      <c r="I1986" s="1478"/>
      <c r="J1986" s="1478"/>
      <c r="K1986" s="1475"/>
      <c r="L1986" s="1474"/>
      <c r="M1986" s="1476"/>
      <c r="N1986" s="1477"/>
      <c r="O1986" s="1479"/>
      <c r="P1986" s="1479"/>
      <c r="Q1986" s="1142">
        <f t="shared" si="559"/>
        <v>0</v>
      </c>
      <c r="R1986" s="1143">
        <f>IFERROR(VLOOKUP(CONCATENATE($E1986,$G1986),'LAC 103'!$A$12:$O$95,11,FALSE),0)</f>
        <v>0</v>
      </c>
      <c r="S1986" s="1144">
        <f>IFERROR(VLOOKUP(CONCATENATE($E1986,$G1986),'LAC 103'!$A$12:$O$95,12,FALSE),0)</f>
        <v>0</v>
      </c>
      <c r="T1986" s="1144">
        <f>IFERROR(VLOOKUP(CONCATENATE($E1986,$G1986),'LAC 103'!$A$12:$O$95,13,FALSE),0)</f>
        <v>0</v>
      </c>
      <c r="U1986" s="1144">
        <f>IFERROR(VLOOKUP(CONCATENATE($E1986,$G1986),'LAC 103'!$A$12:$O$95,14,FALSE),0)</f>
        <v>0</v>
      </c>
      <c r="V1986" s="1144">
        <f>IFERROR(VLOOKUP(CONCATENATE($E1986,$G1986),'LAC 103'!$A$12:$O$95,15,FALSE),0)</f>
        <v>0</v>
      </c>
      <c r="W1986" s="1145" t="str">
        <f>IFERROR(VLOOKUP(CONCATENATE($B1986,$N1986),'LAC 103'!$AI:$AQ,9,FALSE),"")</f>
        <v/>
      </c>
      <c r="X1986" s="1146">
        <f t="shared" si="546"/>
        <v>0</v>
      </c>
      <c r="Y1986" s="1143">
        <f t="shared" si="556"/>
        <v>0</v>
      </c>
      <c r="Z1986" s="1147">
        <f t="shared" si="547"/>
        <v>0</v>
      </c>
      <c r="AA1986" s="1144">
        <f t="shared" si="548"/>
        <v>0</v>
      </c>
      <c r="AB1986" s="1144">
        <f t="shared" si="549"/>
        <v>0</v>
      </c>
      <c r="AC1986" s="1144">
        <f t="shared" si="550"/>
        <v>0</v>
      </c>
      <c r="AD1986" s="1148">
        <f t="shared" si="542"/>
        <v>0</v>
      </c>
      <c r="AE1986" s="1487">
        <v>0</v>
      </c>
      <c r="AF1986" s="1145">
        <f t="shared" si="551"/>
        <v>0</v>
      </c>
      <c r="AG1986" s="1149">
        <f>IFERROR(VLOOKUP(CONCATENATE($L1986,$N1986),'Drop List'!$G$23:$K$87,2,FALSE),0)</f>
        <v>0</v>
      </c>
      <c r="AH1986" s="1150">
        <f>IFERROR(VLOOKUP(CONCATENATE($L1986,$N1986),'Drop List'!$G$23:$K$87,3,FALSE),0)</f>
        <v>0</v>
      </c>
      <c r="AI1986" s="1150">
        <f>IFERROR(VLOOKUP(CONCATENATE($L1986,$N1986),'Drop List'!$G$23:$K$87,4,FALSE),0)</f>
        <v>0</v>
      </c>
      <c r="AJ1986" s="1151">
        <f>IFERROR(VLOOKUP(CONCATENATE($L1986,$N1986),'Drop List'!$G$23:$K$87,5,FALSE),0)</f>
        <v>0</v>
      </c>
      <c r="AK1986" s="1152">
        <f t="shared" si="552"/>
        <v>0</v>
      </c>
      <c r="AL1986" s="1153">
        <f t="shared" si="553"/>
        <v>0</v>
      </c>
      <c r="AM1986" s="1153">
        <f t="shared" si="554"/>
        <v>0</v>
      </c>
      <c r="AN1986" s="1145">
        <f t="shared" si="555"/>
        <v>0</v>
      </c>
      <c r="AO1986" s="1154">
        <f t="shared" si="558"/>
        <v>0</v>
      </c>
      <c r="AP1986" s="1147">
        <f t="shared" si="543"/>
        <v>0</v>
      </c>
      <c r="AQ1986" s="1144">
        <f t="shared" si="544"/>
        <v>0</v>
      </c>
      <c r="AR1986" s="1146">
        <f t="shared" si="545"/>
        <v>0</v>
      </c>
    </row>
    <row r="1987" spans="1:44" x14ac:dyDescent="0.2">
      <c r="A1987" s="1141" t="str">
        <f t="shared" si="557"/>
        <v/>
      </c>
      <c r="B1987" s="1141" t="str">
        <f>IFERROR(VLOOKUP(A1987,'LAC 103'!A:C,3,FALSE),"")</f>
        <v/>
      </c>
      <c r="C1987" s="1478" t="str">
        <f>Info!$B$8</f>
        <v>00100</v>
      </c>
      <c r="D1987" s="1474"/>
      <c r="E1987" s="1474"/>
      <c r="F1987" s="1478"/>
      <c r="G1987" s="1478"/>
      <c r="H1987" s="1474"/>
      <c r="I1987" s="1478"/>
      <c r="J1987" s="1478"/>
      <c r="K1987" s="1475"/>
      <c r="L1987" s="1474"/>
      <c r="M1987" s="1476"/>
      <c r="N1987" s="1477"/>
      <c r="O1987" s="1479"/>
      <c r="P1987" s="1479"/>
      <c r="Q1987" s="1142">
        <f t="shared" si="559"/>
        <v>0</v>
      </c>
      <c r="R1987" s="1143">
        <f>IFERROR(VLOOKUP(CONCATENATE($E1987,$G1987),'LAC 103'!$A$12:$O$95,11,FALSE),0)</f>
        <v>0</v>
      </c>
      <c r="S1987" s="1144">
        <f>IFERROR(VLOOKUP(CONCATENATE($E1987,$G1987),'LAC 103'!$A$12:$O$95,12,FALSE),0)</f>
        <v>0</v>
      </c>
      <c r="T1987" s="1144">
        <f>IFERROR(VLOOKUP(CONCATENATE($E1987,$G1987),'LAC 103'!$A$12:$O$95,13,FALSE),0)</f>
        <v>0</v>
      </c>
      <c r="U1987" s="1144">
        <f>IFERROR(VLOOKUP(CONCATENATE($E1987,$G1987),'LAC 103'!$A$12:$O$95,14,FALSE),0)</f>
        <v>0</v>
      </c>
      <c r="V1987" s="1144">
        <f>IFERROR(VLOOKUP(CONCATENATE($E1987,$G1987),'LAC 103'!$A$12:$O$95,15,FALSE),0)</f>
        <v>0</v>
      </c>
      <c r="W1987" s="1145" t="str">
        <f>IFERROR(VLOOKUP(CONCATENATE($B1987,$N1987),'LAC 103'!$AI:$AQ,9,FALSE),"")</f>
        <v/>
      </c>
      <c r="X1987" s="1146">
        <f t="shared" si="546"/>
        <v>0</v>
      </c>
      <c r="Y1987" s="1143">
        <f t="shared" si="556"/>
        <v>0</v>
      </c>
      <c r="Z1987" s="1147">
        <f t="shared" si="547"/>
        <v>0</v>
      </c>
      <c r="AA1987" s="1144">
        <f t="shared" si="548"/>
        <v>0</v>
      </c>
      <c r="AB1987" s="1144">
        <f t="shared" si="549"/>
        <v>0</v>
      </c>
      <c r="AC1987" s="1144">
        <f t="shared" si="550"/>
        <v>0</v>
      </c>
      <c r="AD1987" s="1148">
        <f t="shared" si="542"/>
        <v>0</v>
      </c>
      <c r="AE1987" s="1487">
        <v>0</v>
      </c>
      <c r="AF1987" s="1145">
        <f t="shared" si="551"/>
        <v>0</v>
      </c>
      <c r="AG1987" s="1149">
        <f>IFERROR(VLOOKUP(CONCATENATE($L1987,$N1987),'Drop List'!$G$23:$K$87,2,FALSE),0)</f>
        <v>0</v>
      </c>
      <c r="AH1987" s="1150">
        <f>IFERROR(VLOOKUP(CONCATENATE($L1987,$N1987),'Drop List'!$G$23:$K$87,3,FALSE),0)</f>
        <v>0</v>
      </c>
      <c r="AI1987" s="1150">
        <f>IFERROR(VLOOKUP(CONCATENATE($L1987,$N1987),'Drop List'!$G$23:$K$87,4,FALSE),0)</f>
        <v>0</v>
      </c>
      <c r="AJ1987" s="1151">
        <f>IFERROR(VLOOKUP(CONCATENATE($L1987,$N1987),'Drop List'!$G$23:$K$87,5,FALSE),0)</f>
        <v>0</v>
      </c>
      <c r="AK1987" s="1152">
        <f t="shared" si="552"/>
        <v>0</v>
      </c>
      <c r="AL1987" s="1153">
        <f t="shared" si="553"/>
        <v>0</v>
      </c>
      <c r="AM1987" s="1153">
        <f t="shared" si="554"/>
        <v>0</v>
      </c>
      <c r="AN1987" s="1145">
        <f t="shared" si="555"/>
        <v>0</v>
      </c>
      <c r="AO1987" s="1154">
        <f t="shared" si="558"/>
        <v>0</v>
      </c>
      <c r="AP1987" s="1147">
        <f t="shared" si="543"/>
        <v>0</v>
      </c>
      <c r="AQ1987" s="1144">
        <f t="shared" si="544"/>
        <v>0</v>
      </c>
      <c r="AR1987" s="1146">
        <f t="shared" si="545"/>
        <v>0</v>
      </c>
    </row>
    <row r="1988" spans="1:44" x14ac:dyDescent="0.2">
      <c r="A1988" s="1141" t="str">
        <f t="shared" si="557"/>
        <v/>
      </c>
      <c r="B1988" s="1141" t="str">
        <f>IFERROR(VLOOKUP(A1988,'LAC 103'!A:C,3,FALSE),"")</f>
        <v/>
      </c>
      <c r="C1988" s="1478" t="str">
        <f>Info!$B$8</f>
        <v>00100</v>
      </c>
      <c r="D1988" s="1474"/>
      <c r="E1988" s="1474"/>
      <c r="F1988" s="1478"/>
      <c r="G1988" s="1478"/>
      <c r="H1988" s="1474"/>
      <c r="I1988" s="1478"/>
      <c r="J1988" s="1478"/>
      <c r="K1988" s="1475"/>
      <c r="L1988" s="1474"/>
      <c r="M1988" s="1476"/>
      <c r="N1988" s="1477"/>
      <c r="O1988" s="1479"/>
      <c r="P1988" s="1479"/>
      <c r="Q1988" s="1142">
        <f t="shared" si="559"/>
        <v>0</v>
      </c>
      <c r="R1988" s="1143">
        <f>IFERROR(VLOOKUP(CONCATENATE($E1988,$G1988),'LAC 103'!$A$12:$O$95,11,FALSE),0)</f>
        <v>0</v>
      </c>
      <c r="S1988" s="1144">
        <f>IFERROR(VLOOKUP(CONCATENATE($E1988,$G1988),'LAC 103'!$A$12:$O$95,12,FALSE),0)</f>
        <v>0</v>
      </c>
      <c r="T1988" s="1144">
        <f>IFERROR(VLOOKUP(CONCATENATE($E1988,$G1988),'LAC 103'!$A$12:$O$95,13,FALSE),0)</f>
        <v>0</v>
      </c>
      <c r="U1988" s="1144">
        <f>IFERROR(VLOOKUP(CONCATENATE($E1988,$G1988),'LAC 103'!$A$12:$O$95,14,FALSE),0)</f>
        <v>0</v>
      </c>
      <c r="V1988" s="1144">
        <f>IFERROR(VLOOKUP(CONCATENATE($E1988,$G1988),'LAC 103'!$A$12:$O$95,15,FALSE),0)</f>
        <v>0</v>
      </c>
      <c r="W1988" s="1145" t="str">
        <f>IFERROR(VLOOKUP(CONCATENATE($B1988,$N1988),'LAC 103'!$AI:$AQ,9,FALSE),"")</f>
        <v/>
      </c>
      <c r="X1988" s="1146">
        <f t="shared" si="546"/>
        <v>0</v>
      </c>
      <c r="Y1988" s="1143">
        <f t="shared" si="556"/>
        <v>0</v>
      </c>
      <c r="Z1988" s="1147">
        <f t="shared" si="547"/>
        <v>0</v>
      </c>
      <c r="AA1988" s="1144">
        <f t="shared" si="548"/>
        <v>0</v>
      </c>
      <c r="AB1988" s="1144">
        <f t="shared" si="549"/>
        <v>0</v>
      </c>
      <c r="AC1988" s="1144">
        <f t="shared" si="550"/>
        <v>0</v>
      </c>
      <c r="AD1988" s="1148">
        <f t="shared" si="542"/>
        <v>0</v>
      </c>
      <c r="AE1988" s="1487">
        <v>0</v>
      </c>
      <c r="AF1988" s="1145">
        <f t="shared" si="551"/>
        <v>0</v>
      </c>
      <c r="AG1988" s="1149">
        <f>IFERROR(VLOOKUP(CONCATENATE($L1988,$N1988),'Drop List'!$G$23:$K$87,2,FALSE),0)</f>
        <v>0</v>
      </c>
      <c r="AH1988" s="1150">
        <f>IFERROR(VLOOKUP(CONCATENATE($L1988,$N1988),'Drop List'!$G$23:$K$87,3,FALSE),0)</f>
        <v>0</v>
      </c>
      <c r="AI1988" s="1150">
        <f>IFERROR(VLOOKUP(CONCATENATE($L1988,$N1988),'Drop List'!$G$23:$K$87,4,FALSE),0)</f>
        <v>0</v>
      </c>
      <c r="AJ1988" s="1151">
        <f>IFERROR(VLOOKUP(CONCATENATE($L1988,$N1988),'Drop List'!$G$23:$K$87,5,FALSE),0)</f>
        <v>0</v>
      </c>
      <c r="AK1988" s="1152">
        <f t="shared" si="552"/>
        <v>0</v>
      </c>
      <c r="AL1988" s="1153">
        <f t="shared" si="553"/>
        <v>0</v>
      </c>
      <c r="AM1988" s="1153">
        <f t="shared" si="554"/>
        <v>0</v>
      </c>
      <c r="AN1988" s="1145">
        <f t="shared" si="555"/>
        <v>0</v>
      </c>
      <c r="AO1988" s="1154">
        <f t="shared" si="558"/>
        <v>0</v>
      </c>
      <c r="AP1988" s="1147">
        <f t="shared" si="543"/>
        <v>0</v>
      </c>
      <c r="AQ1988" s="1144">
        <f t="shared" si="544"/>
        <v>0</v>
      </c>
      <c r="AR1988" s="1146">
        <f t="shared" si="545"/>
        <v>0</v>
      </c>
    </row>
    <row r="1989" spans="1:44" x14ac:dyDescent="0.2">
      <c r="A1989" s="1141" t="str">
        <f t="shared" si="557"/>
        <v/>
      </c>
      <c r="B1989" s="1141" t="str">
        <f>IFERROR(VLOOKUP(A1989,'LAC 103'!A:C,3,FALSE),"")</f>
        <v/>
      </c>
      <c r="C1989" s="1478" t="str">
        <f>Info!$B$8</f>
        <v>00100</v>
      </c>
      <c r="D1989" s="1474"/>
      <c r="E1989" s="1474"/>
      <c r="F1989" s="1478"/>
      <c r="G1989" s="1478"/>
      <c r="H1989" s="1474"/>
      <c r="I1989" s="1478"/>
      <c r="J1989" s="1478"/>
      <c r="K1989" s="1475"/>
      <c r="L1989" s="1474"/>
      <c r="M1989" s="1476"/>
      <c r="N1989" s="1477"/>
      <c r="O1989" s="1479"/>
      <c r="P1989" s="1479"/>
      <c r="Q1989" s="1142">
        <f t="shared" si="559"/>
        <v>0</v>
      </c>
      <c r="R1989" s="1143">
        <f>IFERROR(VLOOKUP(CONCATENATE($E1989,$G1989),'LAC 103'!$A$12:$O$95,11,FALSE),0)</f>
        <v>0</v>
      </c>
      <c r="S1989" s="1144">
        <f>IFERROR(VLOOKUP(CONCATENATE($E1989,$G1989),'LAC 103'!$A$12:$O$95,12,FALSE),0)</f>
        <v>0</v>
      </c>
      <c r="T1989" s="1144">
        <f>IFERROR(VLOOKUP(CONCATENATE($E1989,$G1989),'LAC 103'!$A$12:$O$95,13,FALSE),0)</f>
        <v>0</v>
      </c>
      <c r="U1989" s="1144">
        <f>IFERROR(VLOOKUP(CONCATENATE($E1989,$G1989),'LAC 103'!$A$12:$O$95,14,FALSE),0)</f>
        <v>0</v>
      </c>
      <c r="V1989" s="1144">
        <f>IFERROR(VLOOKUP(CONCATENATE($E1989,$G1989),'LAC 103'!$A$12:$O$95,15,FALSE),0)</f>
        <v>0</v>
      </c>
      <c r="W1989" s="1145" t="str">
        <f>IFERROR(VLOOKUP(CONCATENATE($B1989,$N1989),'LAC 103'!$AI:$AQ,9,FALSE),"")</f>
        <v/>
      </c>
      <c r="X1989" s="1146">
        <f t="shared" si="546"/>
        <v>0</v>
      </c>
      <c r="Y1989" s="1143">
        <f t="shared" si="556"/>
        <v>0</v>
      </c>
      <c r="Z1989" s="1147">
        <f t="shared" si="547"/>
        <v>0</v>
      </c>
      <c r="AA1989" s="1144">
        <f t="shared" si="548"/>
        <v>0</v>
      </c>
      <c r="AB1989" s="1144">
        <f t="shared" si="549"/>
        <v>0</v>
      </c>
      <c r="AC1989" s="1144">
        <f t="shared" si="550"/>
        <v>0</v>
      </c>
      <c r="AD1989" s="1148">
        <f t="shared" si="542"/>
        <v>0</v>
      </c>
      <c r="AE1989" s="1487">
        <v>0</v>
      </c>
      <c r="AF1989" s="1145">
        <f t="shared" si="551"/>
        <v>0</v>
      </c>
      <c r="AG1989" s="1149">
        <f>IFERROR(VLOOKUP(CONCATENATE($L1989,$N1989),'Drop List'!$G$23:$K$87,2,FALSE),0)</f>
        <v>0</v>
      </c>
      <c r="AH1989" s="1150">
        <f>IFERROR(VLOOKUP(CONCATENATE($L1989,$N1989),'Drop List'!$G$23:$K$87,3,FALSE),0)</f>
        <v>0</v>
      </c>
      <c r="AI1989" s="1150">
        <f>IFERROR(VLOOKUP(CONCATENATE($L1989,$N1989),'Drop List'!$G$23:$K$87,4,FALSE),0)</f>
        <v>0</v>
      </c>
      <c r="AJ1989" s="1151">
        <f>IFERROR(VLOOKUP(CONCATENATE($L1989,$N1989),'Drop List'!$G$23:$K$87,5,FALSE),0)</f>
        <v>0</v>
      </c>
      <c r="AK1989" s="1152">
        <f t="shared" si="552"/>
        <v>0</v>
      </c>
      <c r="AL1989" s="1153">
        <f t="shared" si="553"/>
        <v>0</v>
      </c>
      <c r="AM1989" s="1153">
        <f t="shared" si="554"/>
        <v>0</v>
      </c>
      <c r="AN1989" s="1145">
        <f t="shared" si="555"/>
        <v>0</v>
      </c>
      <c r="AO1989" s="1154">
        <f t="shared" si="558"/>
        <v>0</v>
      </c>
      <c r="AP1989" s="1147">
        <f t="shared" si="543"/>
        <v>0</v>
      </c>
      <c r="AQ1989" s="1144">
        <f t="shared" si="544"/>
        <v>0</v>
      </c>
      <c r="AR1989" s="1146">
        <f t="shared" si="545"/>
        <v>0</v>
      </c>
    </row>
    <row r="1990" spans="1:44" x14ac:dyDescent="0.2">
      <c r="A1990" s="1141" t="str">
        <f t="shared" si="557"/>
        <v/>
      </c>
      <c r="B1990" s="1141" t="str">
        <f>IFERROR(VLOOKUP(A1990,'LAC 103'!A:C,3,FALSE),"")</f>
        <v/>
      </c>
      <c r="C1990" s="1478" t="str">
        <f>Info!$B$8</f>
        <v>00100</v>
      </c>
      <c r="D1990" s="1474"/>
      <c r="E1990" s="1474"/>
      <c r="F1990" s="1478"/>
      <c r="G1990" s="1478"/>
      <c r="H1990" s="1474"/>
      <c r="I1990" s="1478"/>
      <c r="J1990" s="1478"/>
      <c r="K1990" s="1475"/>
      <c r="L1990" s="1474"/>
      <c r="M1990" s="1476"/>
      <c r="N1990" s="1477"/>
      <c r="O1990" s="1479"/>
      <c r="P1990" s="1479"/>
      <c r="Q1990" s="1142">
        <f t="shared" si="559"/>
        <v>0</v>
      </c>
      <c r="R1990" s="1143">
        <f>IFERROR(VLOOKUP(CONCATENATE($E1990,$G1990),'LAC 103'!$A$12:$O$95,11,FALSE),0)</f>
        <v>0</v>
      </c>
      <c r="S1990" s="1144">
        <f>IFERROR(VLOOKUP(CONCATENATE($E1990,$G1990),'LAC 103'!$A$12:$O$95,12,FALSE),0)</f>
        <v>0</v>
      </c>
      <c r="T1990" s="1144">
        <f>IFERROR(VLOOKUP(CONCATENATE($E1990,$G1990),'LAC 103'!$A$12:$O$95,13,FALSE),0)</f>
        <v>0</v>
      </c>
      <c r="U1990" s="1144">
        <f>IFERROR(VLOOKUP(CONCATENATE($E1990,$G1990),'LAC 103'!$A$12:$O$95,14,FALSE),0)</f>
        <v>0</v>
      </c>
      <c r="V1990" s="1144">
        <f>IFERROR(VLOOKUP(CONCATENATE($E1990,$G1990),'LAC 103'!$A$12:$O$95,15,FALSE),0)</f>
        <v>0</v>
      </c>
      <c r="W1990" s="1145" t="str">
        <f>IFERROR(VLOOKUP(CONCATENATE($B1990,$N1990),'LAC 103'!$AI:$AQ,9,FALSE),"")</f>
        <v/>
      </c>
      <c r="X1990" s="1146">
        <f t="shared" si="546"/>
        <v>0</v>
      </c>
      <c r="Y1990" s="1143">
        <f t="shared" si="556"/>
        <v>0</v>
      </c>
      <c r="Z1990" s="1147">
        <f t="shared" si="547"/>
        <v>0</v>
      </c>
      <c r="AA1990" s="1144">
        <f t="shared" si="548"/>
        <v>0</v>
      </c>
      <c r="AB1990" s="1144">
        <f t="shared" si="549"/>
        <v>0</v>
      </c>
      <c r="AC1990" s="1144">
        <f t="shared" si="550"/>
        <v>0</v>
      </c>
      <c r="AD1990" s="1148">
        <f t="shared" si="542"/>
        <v>0</v>
      </c>
      <c r="AE1990" s="1487">
        <v>0</v>
      </c>
      <c r="AF1990" s="1145">
        <f t="shared" si="551"/>
        <v>0</v>
      </c>
      <c r="AG1990" s="1149">
        <f>IFERROR(VLOOKUP(CONCATENATE($L1990,$N1990),'Drop List'!$G$23:$K$87,2,FALSE),0)</f>
        <v>0</v>
      </c>
      <c r="AH1990" s="1150">
        <f>IFERROR(VLOOKUP(CONCATENATE($L1990,$N1990),'Drop List'!$G$23:$K$87,3,FALSE),0)</f>
        <v>0</v>
      </c>
      <c r="AI1990" s="1150">
        <f>IFERROR(VLOOKUP(CONCATENATE($L1990,$N1990),'Drop List'!$G$23:$K$87,4,FALSE),0)</f>
        <v>0</v>
      </c>
      <c r="AJ1990" s="1151">
        <f>IFERROR(VLOOKUP(CONCATENATE($L1990,$N1990),'Drop List'!$G$23:$K$87,5,FALSE),0)</f>
        <v>0</v>
      </c>
      <c r="AK1990" s="1152">
        <f t="shared" si="552"/>
        <v>0</v>
      </c>
      <c r="AL1990" s="1153">
        <f t="shared" si="553"/>
        <v>0</v>
      </c>
      <c r="AM1990" s="1153">
        <f t="shared" si="554"/>
        <v>0</v>
      </c>
      <c r="AN1990" s="1145">
        <f t="shared" si="555"/>
        <v>0</v>
      </c>
      <c r="AO1990" s="1154">
        <f t="shared" si="558"/>
        <v>0</v>
      </c>
      <c r="AP1990" s="1147">
        <f t="shared" si="543"/>
        <v>0</v>
      </c>
      <c r="AQ1990" s="1144">
        <f t="shared" si="544"/>
        <v>0</v>
      </c>
      <c r="AR1990" s="1146">
        <f t="shared" si="545"/>
        <v>0</v>
      </c>
    </row>
    <row r="1991" spans="1:44" x14ac:dyDescent="0.2">
      <c r="A1991" s="1141" t="str">
        <f t="shared" si="557"/>
        <v/>
      </c>
      <c r="B1991" s="1141" t="str">
        <f>IFERROR(VLOOKUP(A1991,'LAC 103'!A:C,3,FALSE),"")</f>
        <v/>
      </c>
      <c r="C1991" s="1478" t="str">
        <f>Info!$B$8</f>
        <v>00100</v>
      </c>
      <c r="D1991" s="1474"/>
      <c r="E1991" s="1474"/>
      <c r="F1991" s="1478"/>
      <c r="G1991" s="1478"/>
      <c r="H1991" s="1474"/>
      <c r="I1991" s="1478"/>
      <c r="J1991" s="1478"/>
      <c r="K1991" s="1475"/>
      <c r="L1991" s="1474"/>
      <c r="M1991" s="1476"/>
      <c r="N1991" s="1477"/>
      <c r="O1991" s="1479"/>
      <c r="P1991" s="1479"/>
      <c r="Q1991" s="1142">
        <f t="shared" si="559"/>
        <v>0</v>
      </c>
      <c r="R1991" s="1143">
        <f>IFERROR(VLOOKUP(CONCATENATE($E1991,$G1991),'LAC 103'!$A$12:$O$95,11,FALSE),0)</f>
        <v>0</v>
      </c>
      <c r="S1991" s="1144">
        <f>IFERROR(VLOOKUP(CONCATENATE($E1991,$G1991),'LAC 103'!$A$12:$O$95,12,FALSE),0)</f>
        <v>0</v>
      </c>
      <c r="T1991" s="1144">
        <f>IFERROR(VLOOKUP(CONCATENATE($E1991,$G1991),'LAC 103'!$A$12:$O$95,13,FALSE),0)</f>
        <v>0</v>
      </c>
      <c r="U1991" s="1144">
        <f>IFERROR(VLOOKUP(CONCATENATE($E1991,$G1991),'LAC 103'!$A$12:$O$95,14,FALSE),0)</f>
        <v>0</v>
      </c>
      <c r="V1991" s="1144">
        <f>IFERROR(VLOOKUP(CONCATENATE($E1991,$G1991),'LAC 103'!$A$12:$O$95,15,FALSE),0)</f>
        <v>0</v>
      </c>
      <c r="W1991" s="1145" t="str">
        <f>IFERROR(VLOOKUP(CONCATENATE($B1991,$N1991),'LAC 103'!$AI:$AQ,9,FALSE),"")</f>
        <v/>
      </c>
      <c r="X1991" s="1146">
        <f t="shared" si="546"/>
        <v>0</v>
      </c>
      <c r="Y1991" s="1143">
        <f t="shared" si="556"/>
        <v>0</v>
      </c>
      <c r="Z1991" s="1147">
        <f t="shared" si="547"/>
        <v>0</v>
      </c>
      <c r="AA1991" s="1144">
        <f t="shared" si="548"/>
        <v>0</v>
      </c>
      <c r="AB1991" s="1144">
        <f t="shared" si="549"/>
        <v>0</v>
      </c>
      <c r="AC1991" s="1144">
        <f t="shared" si="550"/>
        <v>0</v>
      </c>
      <c r="AD1991" s="1148">
        <f t="shared" ref="AD1991:AD2010" si="560">Q1991*X1991</f>
        <v>0</v>
      </c>
      <c r="AE1991" s="1487">
        <v>0</v>
      </c>
      <c r="AF1991" s="1145">
        <f t="shared" si="551"/>
        <v>0</v>
      </c>
      <c r="AG1991" s="1149">
        <f>IFERROR(VLOOKUP(CONCATENATE($L1991,$N1991),'Drop List'!$G$23:$K$87,2,FALSE),0)</f>
        <v>0</v>
      </c>
      <c r="AH1991" s="1150">
        <f>IFERROR(VLOOKUP(CONCATENATE($L1991,$N1991),'Drop List'!$G$23:$K$87,3,FALSE),0)</f>
        <v>0</v>
      </c>
      <c r="AI1991" s="1150">
        <f>IFERROR(VLOOKUP(CONCATENATE($L1991,$N1991),'Drop List'!$G$23:$K$87,4,FALSE),0)</f>
        <v>0</v>
      </c>
      <c r="AJ1991" s="1151">
        <f>IFERROR(VLOOKUP(CONCATENATE($L1991,$N1991),'Drop List'!$G$23:$K$87,5,FALSE),0)</f>
        <v>0</v>
      </c>
      <c r="AK1991" s="1152">
        <f t="shared" si="552"/>
        <v>0</v>
      </c>
      <c r="AL1991" s="1153">
        <f t="shared" si="553"/>
        <v>0</v>
      </c>
      <c r="AM1991" s="1153">
        <f t="shared" si="554"/>
        <v>0</v>
      </c>
      <c r="AN1991" s="1145">
        <f t="shared" si="555"/>
        <v>0</v>
      </c>
      <c r="AO1991" s="1154">
        <f t="shared" si="558"/>
        <v>0</v>
      </c>
      <c r="AP1991" s="1147">
        <f t="shared" ref="AP1991:AP2010" si="561">IF($L1991="14",$AF1991,0)</f>
        <v>0</v>
      </c>
      <c r="AQ1991" s="1144">
        <f t="shared" ref="AQ1991:AQ2010" si="562">IF($L1991="15",$AF1991,0)</f>
        <v>0</v>
      </c>
      <c r="AR1991" s="1146">
        <f t="shared" ref="AR1991:AR2010" si="563">AO1991+AP1991+AQ1991</f>
        <v>0</v>
      </c>
    </row>
    <row r="1992" spans="1:44" x14ac:dyDescent="0.2">
      <c r="A1992" s="1141" t="str">
        <f t="shared" si="557"/>
        <v/>
      </c>
      <c r="B1992" s="1141" t="str">
        <f>IFERROR(VLOOKUP(A1992,'LAC 103'!A:C,3,FALSE),"")</f>
        <v/>
      </c>
      <c r="C1992" s="1478" t="str">
        <f>Info!$B$8</f>
        <v>00100</v>
      </c>
      <c r="D1992" s="1474"/>
      <c r="E1992" s="1474"/>
      <c r="F1992" s="1478"/>
      <c r="G1992" s="1478"/>
      <c r="H1992" s="1474"/>
      <c r="I1992" s="1478"/>
      <c r="J1992" s="1478"/>
      <c r="K1992" s="1475"/>
      <c r="L1992" s="1474"/>
      <c r="M1992" s="1476"/>
      <c r="N1992" s="1477"/>
      <c r="O1992" s="1479"/>
      <c r="P1992" s="1479"/>
      <c r="Q1992" s="1142">
        <f t="shared" si="559"/>
        <v>0</v>
      </c>
      <c r="R1992" s="1143">
        <f>IFERROR(VLOOKUP(CONCATENATE($E1992,$G1992),'LAC 103'!$A$12:$O$95,11,FALSE),0)</f>
        <v>0</v>
      </c>
      <c r="S1992" s="1144">
        <f>IFERROR(VLOOKUP(CONCATENATE($E1992,$G1992),'LAC 103'!$A$12:$O$95,12,FALSE),0)</f>
        <v>0</v>
      </c>
      <c r="T1992" s="1144">
        <f>IFERROR(VLOOKUP(CONCATENATE($E1992,$G1992),'LAC 103'!$A$12:$O$95,13,FALSE),0)</f>
        <v>0</v>
      </c>
      <c r="U1992" s="1144">
        <f>IFERROR(VLOOKUP(CONCATENATE($E1992,$G1992),'LAC 103'!$A$12:$O$95,14,FALSE),0)</f>
        <v>0</v>
      </c>
      <c r="V1992" s="1144">
        <f>IFERROR(VLOOKUP(CONCATENATE($E1992,$G1992),'LAC 103'!$A$12:$O$95,15,FALSE),0)</f>
        <v>0</v>
      </c>
      <c r="W1992" s="1145" t="str">
        <f>IFERROR(VLOOKUP(CONCATENATE($B1992,$N1992),'LAC 103'!$AI:$AQ,9,FALSE),"")</f>
        <v/>
      </c>
      <c r="X1992" s="1146">
        <f t="shared" ref="X1992:X2010" si="564">IF($W1992="Costs",$R1992,IF($W1992="CMA",$S1992,IF($W1992="P.C.",$T1992,IF($W1992="SMA",$U1992,$V1992))))</f>
        <v>0</v>
      </c>
      <c r="Y1992" s="1143">
        <f t="shared" si="556"/>
        <v>0</v>
      </c>
      <c r="Z1992" s="1147">
        <f t="shared" ref="Z1992:Z2010" si="565">IF(S1992=0,Y1992,$Q1992*S1992)</f>
        <v>0</v>
      </c>
      <c r="AA1992" s="1144">
        <f t="shared" ref="AA1992:AA2010" si="566">IF(T1992=0,Y1992,$Q1992*T1992)</f>
        <v>0</v>
      </c>
      <c r="AB1992" s="1144">
        <f t="shared" ref="AB1992:AB2010" si="567">$Q1992*U1992</f>
        <v>0</v>
      </c>
      <c r="AC1992" s="1144">
        <f t="shared" ref="AC1992:AC2010" si="568">$Q1992*V1992</f>
        <v>0</v>
      </c>
      <c r="AD1992" s="1148">
        <f t="shared" si="560"/>
        <v>0</v>
      </c>
      <c r="AE1992" s="1487">
        <v>0</v>
      </c>
      <c r="AF1992" s="1145">
        <f t="shared" ref="AF1992:AF2010" si="569">AD1992-AE1992</f>
        <v>0</v>
      </c>
      <c r="AG1992" s="1149">
        <f>IFERROR(VLOOKUP(CONCATENATE($L1992,$N1992),'Drop List'!$G$23:$K$87,2,FALSE),0)</f>
        <v>0</v>
      </c>
      <c r="AH1992" s="1150">
        <f>IFERROR(VLOOKUP(CONCATENATE($L1992,$N1992),'Drop List'!$G$23:$K$87,3,FALSE),0)</f>
        <v>0</v>
      </c>
      <c r="AI1992" s="1150">
        <f>IFERROR(VLOOKUP(CONCATENATE($L1992,$N1992),'Drop List'!$G$23:$K$87,4,FALSE),0)</f>
        <v>0</v>
      </c>
      <c r="AJ1992" s="1151">
        <f>IFERROR(VLOOKUP(CONCATENATE($L1992,$N1992),'Drop List'!$G$23:$K$87,5,FALSE),0)</f>
        <v>0</v>
      </c>
      <c r="AK1992" s="1152">
        <f t="shared" ref="AK1992:AK2010" si="570">IFERROR($AF1992*AG1992,0)</f>
        <v>0</v>
      </c>
      <c r="AL1992" s="1153">
        <f t="shared" ref="AL1992:AL2010" si="571">IFERROR($AF1992*AH1992,0)</f>
        <v>0</v>
      </c>
      <c r="AM1992" s="1153">
        <f t="shared" ref="AM1992:AM2010" si="572">IFERROR($AF1992*AI1992,0)</f>
        <v>0</v>
      </c>
      <c r="AN1992" s="1145">
        <f t="shared" ref="AN1992:AN2010" si="573">IFERROR($AF1992*AJ1992,0)</f>
        <v>0</v>
      </c>
      <c r="AO1992" s="1154">
        <f t="shared" si="558"/>
        <v>0</v>
      </c>
      <c r="AP1992" s="1147">
        <f t="shared" si="561"/>
        <v>0</v>
      </c>
      <c r="AQ1992" s="1144">
        <f t="shared" si="562"/>
        <v>0</v>
      </c>
      <c r="AR1992" s="1146">
        <f t="shared" si="563"/>
        <v>0</v>
      </c>
    </row>
    <row r="1993" spans="1:44" x14ac:dyDescent="0.2">
      <c r="A1993" s="1141" t="str">
        <f t="shared" si="557"/>
        <v/>
      </c>
      <c r="B1993" s="1141" t="str">
        <f>IFERROR(VLOOKUP(A1993,'LAC 103'!A:C,3,FALSE),"")</f>
        <v/>
      </c>
      <c r="C1993" s="1478" t="str">
        <f>Info!$B$8</f>
        <v>00100</v>
      </c>
      <c r="D1993" s="1474"/>
      <c r="E1993" s="1474"/>
      <c r="F1993" s="1478"/>
      <c r="G1993" s="1478"/>
      <c r="H1993" s="1474"/>
      <c r="I1993" s="1478"/>
      <c r="J1993" s="1478"/>
      <c r="K1993" s="1475"/>
      <c r="L1993" s="1474"/>
      <c r="M1993" s="1476"/>
      <c r="N1993" s="1477"/>
      <c r="O1993" s="1479"/>
      <c r="P1993" s="1479"/>
      <c r="Q1993" s="1142">
        <f t="shared" si="559"/>
        <v>0</v>
      </c>
      <c r="R1993" s="1143">
        <f>IFERROR(VLOOKUP(CONCATENATE($E1993,$G1993),'LAC 103'!$A$12:$O$95,11,FALSE),0)</f>
        <v>0</v>
      </c>
      <c r="S1993" s="1144">
        <f>IFERROR(VLOOKUP(CONCATENATE($E1993,$G1993),'LAC 103'!$A$12:$O$95,12,FALSE),0)</f>
        <v>0</v>
      </c>
      <c r="T1993" s="1144">
        <f>IFERROR(VLOOKUP(CONCATENATE($E1993,$G1993),'LAC 103'!$A$12:$O$95,13,FALSE),0)</f>
        <v>0</v>
      </c>
      <c r="U1993" s="1144">
        <f>IFERROR(VLOOKUP(CONCATENATE($E1993,$G1993),'LAC 103'!$A$12:$O$95,14,FALSE),0)</f>
        <v>0</v>
      </c>
      <c r="V1993" s="1144">
        <f>IFERROR(VLOOKUP(CONCATENATE($E1993,$G1993),'LAC 103'!$A$12:$O$95,15,FALSE),0)</f>
        <v>0</v>
      </c>
      <c r="W1993" s="1145" t="str">
        <f>IFERROR(VLOOKUP(CONCATENATE($B1993,$N1993),'LAC 103'!$AI:$AQ,9,FALSE),"")</f>
        <v/>
      </c>
      <c r="X1993" s="1146">
        <f t="shared" si="564"/>
        <v>0</v>
      </c>
      <c r="Y1993" s="1143">
        <f t="shared" si="556"/>
        <v>0</v>
      </c>
      <c r="Z1993" s="1147">
        <f t="shared" si="565"/>
        <v>0</v>
      </c>
      <c r="AA1993" s="1144">
        <f t="shared" si="566"/>
        <v>0</v>
      </c>
      <c r="AB1993" s="1144">
        <f t="shared" si="567"/>
        <v>0</v>
      </c>
      <c r="AC1993" s="1144">
        <f t="shared" si="568"/>
        <v>0</v>
      </c>
      <c r="AD1993" s="1148">
        <f t="shared" si="560"/>
        <v>0</v>
      </c>
      <c r="AE1993" s="1487">
        <v>0</v>
      </c>
      <c r="AF1993" s="1145">
        <f t="shared" si="569"/>
        <v>0</v>
      </c>
      <c r="AG1993" s="1149">
        <f>IFERROR(VLOOKUP(CONCATENATE($L1993,$N1993),'Drop List'!$G$23:$K$87,2,FALSE),0)</f>
        <v>0</v>
      </c>
      <c r="AH1993" s="1150">
        <f>IFERROR(VLOOKUP(CONCATENATE($L1993,$N1993),'Drop List'!$G$23:$K$87,3,FALSE),0)</f>
        <v>0</v>
      </c>
      <c r="AI1993" s="1150">
        <f>IFERROR(VLOOKUP(CONCATENATE($L1993,$N1993),'Drop List'!$G$23:$K$87,4,FALSE),0)</f>
        <v>0</v>
      </c>
      <c r="AJ1993" s="1151">
        <f>IFERROR(VLOOKUP(CONCATENATE($L1993,$N1993),'Drop List'!$G$23:$K$87,5,FALSE),0)</f>
        <v>0</v>
      </c>
      <c r="AK1993" s="1152">
        <f t="shared" si="570"/>
        <v>0</v>
      </c>
      <c r="AL1993" s="1153">
        <f t="shared" si="571"/>
        <v>0</v>
      </c>
      <c r="AM1993" s="1153">
        <f t="shared" si="572"/>
        <v>0</v>
      </c>
      <c r="AN1993" s="1145">
        <f t="shared" si="573"/>
        <v>0</v>
      </c>
      <c r="AO1993" s="1154">
        <f t="shared" si="558"/>
        <v>0</v>
      </c>
      <c r="AP1993" s="1147">
        <f t="shared" si="561"/>
        <v>0</v>
      </c>
      <c r="AQ1993" s="1144">
        <f t="shared" si="562"/>
        <v>0</v>
      </c>
      <c r="AR1993" s="1146">
        <f t="shared" si="563"/>
        <v>0</v>
      </c>
    </row>
    <row r="1994" spans="1:44" x14ac:dyDescent="0.2">
      <c r="A1994" s="1141" t="str">
        <f t="shared" si="557"/>
        <v/>
      </c>
      <c r="B1994" s="1141" t="str">
        <f>IFERROR(VLOOKUP(A1994,'LAC 103'!A:C,3,FALSE),"")</f>
        <v/>
      </c>
      <c r="C1994" s="1478" t="str">
        <f>Info!$B$8</f>
        <v>00100</v>
      </c>
      <c r="D1994" s="1474"/>
      <c r="E1994" s="1474"/>
      <c r="F1994" s="1478"/>
      <c r="G1994" s="1478"/>
      <c r="H1994" s="1474"/>
      <c r="I1994" s="1478"/>
      <c r="J1994" s="1478"/>
      <c r="K1994" s="1475"/>
      <c r="L1994" s="1474"/>
      <c r="M1994" s="1476"/>
      <c r="N1994" s="1477"/>
      <c r="O1994" s="1479"/>
      <c r="P1994" s="1479"/>
      <c r="Q1994" s="1142">
        <f t="shared" si="559"/>
        <v>0</v>
      </c>
      <c r="R1994" s="1143">
        <f>IFERROR(VLOOKUP(CONCATENATE($E1994,$G1994),'LAC 103'!$A$12:$O$95,11,FALSE),0)</f>
        <v>0</v>
      </c>
      <c r="S1994" s="1144">
        <f>IFERROR(VLOOKUP(CONCATENATE($E1994,$G1994),'LAC 103'!$A$12:$O$95,12,FALSE),0)</f>
        <v>0</v>
      </c>
      <c r="T1994" s="1144">
        <f>IFERROR(VLOOKUP(CONCATENATE($E1994,$G1994),'LAC 103'!$A$12:$O$95,13,FALSE),0)</f>
        <v>0</v>
      </c>
      <c r="U1994" s="1144">
        <f>IFERROR(VLOOKUP(CONCATENATE($E1994,$G1994),'LAC 103'!$A$12:$O$95,14,FALSE),0)</f>
        <v>0</v>
      </c>
      <c r="V1994" s="1144">
        <f>IFERROR(VLOOKUP(CONCATENATE($E1994,$G1994),'LAC 103'!$A$12:$O$95,15,FALSE),0)</f>
        <v>0</v>
      </c>
      <c r="W1994" s="1145" t="str">
        <f>IFERROR(VLOOKUP(CONCATENATE($B1994,$N1994),'LAC 103'!$AI:$AQ,9,FALSE),"")</f>
        <v/>
      </c>
      <c r="X1994" s="1146">
        <f t="shared" si="564"/>
        <v>0</v>
      </c>
      <c r="Y1994" s="1143">
        <f t="shared" ref="Y1994:Y2010" si="574">$Q1994*R1994</f>
        <v>0</v>
      </c>
      <c r="Z1994" s="1147">
        <f t="shared" si="565"/>
        <v>0</v>
      </c>
      <c r="AA1994" s="1144">
        <f t="shared" si="566"/>
        <v>0</v>
      </c>
      <c r="AB1994" s="1144">
        <f t="shared" si="567"/>
        <v>0</v>
      </c>
      <c r="AC1994" s="1144">
        <f t="shared" si="568"/>
        <v>0</v>
      </c>
      <c r="AD1994" s="1148">
        <f t="shared" si="560"/>
        <v>0</v>
      </c>
      <c r="AE1994" s="1487">
        <v>0</v>
      </c>
      <c r="AF1994" s="1145">
        <f t="shared" si="569"/>
        <v>0</v>
      </c>
      <c r="AG1994" s="1149">
        <f>IFERROR(VLOOKUP(CONCATENATE($L1994,$N1994),'Drop List'!$G$23:$K$87,2,FALSE),0)</f>
        <v>0</v>
      </c>
      <c r="AH1994" s="1150">
        <f>IFERROR(VLOOKUP(CONCATENATE($L1994,$N1994),'Drop List'!$G$23:$K$87,3,FALSE),0)</f>
        <v>0</v>
      </c>
      <c r="AI1994" s="1150">
        <f>IFERROR(VLOOKUP(CONCATENATE($L1994,$N1994),'Drop List'!$G$23:$K$87,4,FALSE),0)</f>
        <v>0</v>
      </c>
      <c r="AJ1994" s="1151">
        <f>IFERROR(VLOOKUP(CONCATENATE($L1994,$N1994),'Drop List'!$G$23:$K$87,5,FALSE),0)</f>
        <v>0</v>
      </c>
      <c r="AK1994" s="1152">
        <f t="shared" si="570"/>
        <v>0</v>
      </c>
      <c r="AL1994" s="1153">
        <f t="shared" si="571"/>
        <v>0</v>
      </c>
      <c r="AM1994" s="1153">
        <f t="shared" si="572"/>
        <v>0</v>
      </c>
      <c r="AN1994" s="1145">
        <f t="shared" si="573"/>
        <v>0</v>
      </c>
      <c r="AO1994" s="1154">
        <f t="shared" si="558"/>
        <v>0</v>
      </c>
      <c r="AP1994" s="1147">
        <f t="shared" si="561"/>
        <v>0</v>
      </c>
      <c r="AQ1994" s="1144">
        <f t="shared" si="562"/>
        <v>0</v>
      </c>
      <c r="AR1994" s="1146">
        <f t="shared" si="563"/>
        <v>0</v>
      </c>
    </row>
    <row r="1995" spans="1:44" x14ac:dyDescent="0.2">
      <c r="A1995" s="1141" t="str">
        <f t="shared" si="557"/>
        <v/>
      </c>
      <c r="B1995" s="1141" t="str">
        <f>IFERROR(VLOOKUP(A1995,'LAC 103'!A:C,3,FALSE),"")</f>
        <v/>
      </c>
      <c r="C1995" s="1478" t="str">
        <f>Info!$B$8</f>
        <v>00100</v>
      </c>
      <c r="D1995" s="1474"/>
      <c r="E1995" s="1474"/>
      <c r="F1995" s="1478"/>
      <c r="G1995" s="1478"/>
      <c r="H1995" s="1474"/>
      <c r="I1995" s="1478"/>
      <c r="J1995" s="1478"/>
      <c r="K1995" s="1475"/>
      <c r="L1995" s="1474"/>
      <c r="M1995" s="1476"/>
      <c r="N1995" s="1477"/>
      <c r="O1995" s="1479"/>
      <c r="P1995" s="1479"/>
      <c r="Q1995" s="1142">
        <f t="shared" si="559"/>
        <v>0</v>
      </c>
      <c r="R1995" s="1143">
        <f>IFERROR(VLOOKUP(CONCATENATE($E1995,$G1995),'LAC 103'!$A$12:$O$95,11,FALSE),0)</f>
        <v>0</v>
      </c>
      <c r="S1995" s="1144">
        <f>IFERROR(VLOOKUP(CONCATENATE($E1995,$G1995),'LAC 103'!$A$12:$O$95,12,FALSE),0)</f>
        <v>0</v>
      </c>
      <c r="T1995" s="1144">
        <f>IFERROR(VLOOKUP(CONCATENATE($E1995,$G1995),'LAC 103'!$A$12:$O$95,13,FALSE),0)</f>
        <v>0</v>
      </c>
      <c r="U1995" s="1144">
        <f>IFERROR(VLOOKUP(CONCATENATE($E1995,$G1995),'LAC 103'!$A$12:$O$95,14,FALSE),0)</f>
        <v>0</v>
      </c>
      <c r="V1995" s="1144">
        <f>IFERROR(VLOOKUP(CONCATENATE($E1995,$G1995),'LAC 103'!$A$12:$O$95,15,FALSE),0)</f>
        <v>0</v>
      </c>
      <c r="W1995" s="1145" t="str">
        <f>IFERROR(VLOOKUP(CONCATENATE($B1995,$N1995),'LAC 103'!$AI:$AQ,9,FALSE),"")</f>
        <v/>
      </c>
      <c r="X1995" s="1146">
        <f t="shared" si="564"/>
        <v>0</v>
      </c>
      <c r="Y1995" s="1143">
        <f t="shared" si="574"/>
        <v>0</v>
      </c>
      <c r="Z1995" s="1147">
        <f t="shared" si="565"/>
        <v>0</v>
      </c>
      <c r="AA1995" s="1144">
        <f t="shared" si="566"/>
        <v>0</v>
      </c>
      <c r="AB1995" s="1144">
        <f t="shared" si="567"/>
        <v>0</v>
      </c>
      <c r="AC1995" s="1144">
        <f t="shared" si="568"/>
        <v>0</v>
      </c>
      <c r="AD1995" s="1148">
        <f t="shared" si="560"/>
        <v>0</v>
      </c>
      <c r="AE1995" s="1487">
        <v>0</v>
      </c>
      <c r="AF1995" s="1145">
        <f t="shared" si="569"/>
        <v>0</v>
      </c>
      <c r="AG1995" s="1149">
        <f>IFERROR(VLOOKUP(CONCATENATE($L1995,$N1995),'Drop List'!$G$23:$K$87,2,FALSE),0)</f>
        <v>0</v>
      </c>
      <c r="AH1995" s="1150">
        <f>IFERROR(VLOOKUP(CONCATENATE($L1995,$N1995),'Drop List'!$G$23:$K$87,3,FALSE),0)</f>
        <v>0</v>
      </c>
      <c r="AI1995" s="1150">
        <f>IFERROR(VLOOKUP(CONCATENATE($L1995,$N1995),'Drop List'!$G$23:$K$87,4,FALSE),0)</f>
        <v>0</v>
      </c>
      <c r="AJ1995" s="1151">
        <f>IFERROR(VLOOKUP(CONCATENATE($L1995,$N1995),'Drop List'!$G$23:$K$87,5,FALSE),0)</f>
        <v>0</v>
      </c>
      <c r="AK1995" s="1152">
        <f t="shared" si="570"/>
        <v>0</v>
      </c>
      <c r="AL1995" s="1153">
        <f t="shared" si="571"/>
        <v>0</v>
      </c>
      <c r="AM1995" s="1153">
        <f t="shared" si="572"/>
        <v>0</v>
      </c>
      <c r="AN1995" s="1145">
        <f t="shared" si="573"/>
        <v>0</v>
      </c>
      <c r="AO1995" s="1154">
        <f t="shared" si="558"/>
        <v>0</v>
      </c>
      <c r="AP1995" s="1147">
        <f t="shared" si="561"/>
        <v>0</v>
      </c>
      <c r="AQ1995" s="1144">
        <f t="shared" si="562"/>
        <v>0</v>
      </c>
      <c r="AR1995" s="1146">
        <f t="shared" si="563"/>
        <v>0</v>
      </c>
    </row>
    <row r="1996" spans="1:44" x14ac:dyDescent="0.2">
      <c r="A1996" s="1141" t="str">
        <f t="shared" si="557"/>
        <v/>
      </c>
      <c r="B1996" s="1141" t="str">
        <f>IFERROR(VLOOKUP(A1996,'LAC 103'!A:C,3,FALSE),"")</f>
        <v/>
      </c>
      <c r="C1996" s="1478" t="str">
        <f>Info!$B$8</f>
        <v>00100</v>
      </c>
      <c r="D1996" s="1474"/>
      <c r="E1996" s="1474"/>
      <c r="F1996" s="1478"/>
      <c r="G1996" s="1478"/>
      <c r="H1996" s="1474"/>
      <c r="I1996" s="1478"/>
      <c r="J1996" s="1478"/>
      <c r="K1996" s="1475"/>
      <c r="L1996" s="1474"/>
      <c r="M1996" s="1476"/>
      <c r="N1996" s="1477"/>
      <c r="O1996" s="1479"/>
      <c r="P1996" s="1479"/>
      <c r="Q1996" s="1142">
        <f t="shared" si="559"/>
        <v>0</v>
      </c>
      <c r="R1996" s="1143">
        <f>IFERROR(VLOOKUP(CONCATENATE($E1996,$G1996),'LAC 103'!$A$12:$O$95,11,FALSE),0)</f>
        <v>0</v>
      </c>
      <c r="S1996" s="1144">
        <f>IFERROR(VLOOKUP(CONCATENATE($E1996,$G1996),'LAC 103'!$A$12:$O$95,12,FALSE),0)</f>
        <v>0</v>
      </c>
      <c r="T1996" s="1144">
        <f>IFERROR(VLOOKUP(CONCATENATE($E1996,$G1996),'LAC 103'!$A$12:$O$95,13,FALSE),0)</f>
        <v>0</v>
      </c>
      <c r="U1996" s="1144">
        <f>IFERROR(VLOOKUP(CONCATENATE($E1996,$G1996),'LAC 103'!$A$12:$O$95,14,FALSE),0)</f>
        <v>0</v>
      </c>
      <c r="V1996" s="1144">
        <f>IFERROR(VLOOKUP(CONCATENATE($E1996,$G1996),'LAC 103'!$A$12:$O$95,15,FALSE),0)</f>
        <v>0</v>
      </c>
      <c r="W1996" s="1145" t="str">
        <f>IFERROR(VLOOKUP(CONCATENATE($B1996,$N1996),'LAC 103'!$AI:$AQ,9,FALSE),"")</f>
        <v/>
      </c>
      <c r="X1996" s="1146">
        <f t="shared" si="564"/>
        <v>0</v>
      </c>
      <c r="Y1996" s="1143">
        <f t="shared" si="574"/>
        <v>0</v>
      </c>
      <c r="Z1996" s="1147">
        <f t="shared" si="565"/>
        <v>0</v>
      </c>
      <c r="AA1996" s="1144">
        <f t="shared" si="566"/>
        <v>0</v>
      </c>
      <c r="AB1996" s="1144">
        <f t="shared" si="567"/>
        <v>0</v>
      </c>
      <c r="AC1996" s="1144">
        <f t="shared" si="568"/>
        <v>0</v>
      </c>
      <c r="AD1996" s="1148">
        <f t="shared" si="560"/>
        <v>0</v>
      </c>
      <c r="AE1996" s="1487">
        <v>0</v>
      </c>
      <c r="AF1996" s="1145">
        <f t="shared" si="569"/>
        <v>0</v>
      </c>
      <c r="AG1996" s="1149">
        <f>IFERROR(VLOOKUP(CONCATENATE($L1996,$N1996),'Drop List'!$G$23:$K$87,2,FALSE),0)</f>
        <v>0</v>
      </c>
      <c r="AH1996" s="1150">
        <f>IFERROR(VLOOKUP(CONCATENATE($L1996,$N1996),'Drop List'!$G$23:$K$87,3,FALSE),0)</f>
        <v>0</v>
      </c>
      <c r="AI1996" s="1150">
        <f>IFERROR(VLOOKUP(CONCATENATE($L1996,$N1996),'Drop List'!$G$23:$K$87,4,FALSE),0)</f>
        <v>0</v>
      </c>
      <c r="AJ1996" s="1151">
        <f>IFERROR(VLOOKUP(CONCATENATE($L1996,$N1996),'Drop List'!$G$23:$K$87,5,FALSE),0)</f>
        <v>0</v>
      </c>
      <c r="AK1996" s="1152">
        <f t="shared" si="570"/>
        <v>0</v>
      </c>
      <c r="AL1996" s="1153">
        <f t="shared" si="571"/>
        <v>0</v>
      </c>
      <c r="AM1996" s="1153">
        <f t="shared" si="572"/>
        <v>0</v>
      </c>
      <c r="AN1996" s="1145">
        <f t="shared" si="573"/>
        <v>0</v>
      </c>
      <c r="AO1996" s="1154">
        <f t="shared" si="558"/>
        <v>0</v>
      </c>
      <c r="AP1996" s="1147">
        <f t="shared" si="561"/>
        <v>0</v>
      </c>
      <c r="AQ1996" s="1144">
        <f t="shared" si="562"/>
        <v>0</v>
      </c>
      <c r="AR1996" s="1146">
        <f t="shared" si="563"/>
        <v>0</v>
      </c>
    </row>
    <row r="1997" spans="1:44" x14ac:dyDescent="0.2">
      <c r="A1997" s="1141" t="str">
        <f t="shared" si="557"/>
        <v/>
      </c>
      <c r="B1997" s="1141" t="str">
        <f>IFERROR(VLOOKUP(A1997,'LAC 103'!A:C,3,FALSE),"")</f>
        <v/>
      </c>
      <c r="C1997" s="1478" t="str">
        <f>Info!$B$8</f>
        <v>00100</v>
      </c>
      <c r="D1997" s="1474"/>
      <c r="E1997" s="1474"/>
      <c r="F1997" s="1478"/>
      <c r="G1997" s="1478"/>
      <c r="H1997" s="1474"/>
      <c r="I1997" s="1478"/>
      <c r="J1997" s="1478"/>
      <c r="K1997" s="1475"/>
      <c r="L1997" s="1474"/>
      <c r="M1997" s="1476"/>
      <c r="N1997" s="1477"/>
      <c r="O1997" s="1479"/>
      <c r="P1997" s="1479"/>
      <c r="Q1997" s="1142">
        <f t="shared" si="559"/>
        <v>0</v>
      </c>
      <c r="R1997" s="1143">
        <f>IFERROR(VLOOKUP(CONCATENATE($E1997,$G1997),'LAC 103'!$A$12:$O$95,11,FALSE),0)</f>
        <v>0</v>
      </c>
      <c r="S1997" s="1144">
        <f>IFERROR(VLOOKUP(CONCATENATE($E1997,$G1997),'LAC 103'!$A$12:$O$95,12,FALSE),0)</f>
        <v>0</v>
      </c>
      <c r="T1997" s="1144">
        <f>IFERROR(VLOOKUP(CONCATENATE($E1997,$G1997),'LAC 103'!$A$12:$O$95,13,FALSE),0)</f>
        <v>0</v>
      </c>
      <c r="U1997" s="1144">
        <f>IFERROR(VLOOKUP(CONCATENATE($E1997,$G1997),'LAC 103'!$A$12:$O$95,14,FALSE),0)</f>
        <v>0</v>
      </c>
      <c r="V1997" s="1144">
        <f>IFERROR(VLOOKUP(CONCATENATE($E1997,$G1997),'LAC 103'!$A$12:$O$95,15,FALSE),0)</f>
        <v>0</v>
      </c>
      <c r="W1997" s="1145" t="str">
        <f>IFERROR(VLOOKUP(CONCATENATE($B1997,$N1997),'LAC 103'!$AI:$AQ,9,FALSE),"")</f>
        <v/>
      </c>
      <c r="X1997" s="1146">
        <f t="shared" si="564"/>
        <v>0</v>
      </c>
      <c r="Y1997" s="1143">
        <f t="shared" si="574"/>
        <v>0</v>
      </c>
      <c r="Z1997" s="1147">
        <f t="shared" si="565"/>
        <v>0</v>
      </c>
      <c r="AA1997" s="1144">
        <f t="shared" si="566"/>
        <v>0</v>
      </c>
      <c r="AB1997" s="1144">
        <f t="shared" si="567"/>
        <v>0</v>
      </c>
      <c r="AC1997" s="1144">
        <f t="shared" si="568"/>
        <v>0</v>
      </c>
      <c r="AD1997" s="1148">
        <f t="shared" si="560"/>
        <v>0</v>
      </c>
      <c r="AE1997" s="1487">
        <v>0</v>
      </c>
      <c r="AF1997" s="1145">
        <f t="shared" si="569"/>
        <v>0</v>
      </c>
      <c r="AG1997" s="1149">
        <f>IFERROR(VLOOKUP(CONCATENATE($L1997,$N1997),'Drop List'!$G$23:$K$87,2,FALSE),0)</f>
        <v>0</v>
      </c>
      <c r="AH1997" s="1150">
        <f>IFERROR(VLOOKUP(CONCATENATE($L1997,$N1997),'Drop List'!$G$23:$K$87,3,FALSE),0)</f>
        <v>0</v>
      </c>
      <c r="AI1997" s="1150">
        <f>IFERROR(VLOOKUP(CONCATENATE($L1997,$N1997),'Drop List'!$G$23:$K$87,4,FALSE),0)</f>
        <v>0</v>
      </c>
      <c r="AJ1997" s="1151">
        <f>IFERROR(VLOOKUP(CONCATENATE($L1997,$N1997),'Drop List'!$G$23:$K$87,5,FALSE),0)</f>
        <v>0</v>
      </c>
      <c r="AK1997" s="1152">
        <f t="shared" si="570"/>
        <v>0</v>
      </c>
      <c r="AL1997" s="1153">
        <f t="shared" si="571"/>
        <v>0</v>
      </c>
      <c r="AM1997" s="1153">
        <f t="shared" si="572"/>
        <v>0</v>
      </c>
      <c r="AN1997" s="1145">
        <f t="shared" si="573"/>
        <v>0</v>
      </c>
      <c r="AO1997" s="1154">
        <f t="shared" si="558"/>
        <v>0</v>
      </c>
      <c r="AP1997" s="1147">
        <f t="shared" si="561"/>
        <v>0</v>
      </c>
      <c r="AQ1997" s="1144">
        <f t="shared" si="562"/>
        <v>0</v>
      </c>
      <c r="AR1997" s="1146">
        <f t="shared" si="563"/>
        <v>0</v>
      </c>
    </row>
    <row r="1998" spans="1:44" x14ac:dyDescent="0.2">
      <c r="A1998" s="1141" t="str">
        <f t="shared" si="557"/>
        <v/>
      </c>
      <c r="B1998" s="1141" t="str">
        <f>IFERROR(VLOOKUP(A1998,'LAC 103'!A:C,3,FALSE),"")</f>
        <v/>
      </c>
      <c r="C1998" s="1478" t="str">
        <f>Info!$B$8</f>
        <v>00100</v>
      </c>
      <c r="D1998" s="1474"/>
      <c r="E1998" s="1474"/>
      <c r="F1998" s="1478"/>
      <c r="G1998" s="1478"/>
      <c r="H1998" s="1474"/>
      <c r="I1998" s="1478"/>
      <c r="J1998" s="1478"/>
      <c r="K1998" s="1475"/>
      <c r="L1998" s="1474"/>
      <c r="M1998" s="1476"/>
      <c r="N1998" s="1477"/>
      <c r="O1998" s="1479"/>
      <c r="P1998" s="1479"/>
      <c r="Q1998" s="1142">
        <f t="shared" si="559"/>
        <v>0</v>
      </c>
      <c r="R1998" s="1143">
        <f>IFERROR(VLOOKUP(CONCATENATE($E1998,$G1998),'LAC 103'!$A$12:$O$95,11,FALSE),0)</f>
        <v>0</v>
      </c>
      <c r="S1998" s="1144">
        <f>IFERROR(VLOOKUP(CONCATENATE($E1998,$G1998),'LAC 103'!$A$12:$O$95,12,FALSE),0)</f>
        <v>0</v>
      </c>
      <c r="T1998" s="1144">
        <f>IFERROR(VLOOKUP(CONCATENATE($E1998,$G1998),'LAC 103'!$A$12:$O$95,13,FALSE),0)</f>
        <v>0</v>
      </c>
      <c r="U1998" s="1144">
        <f>IFERROR(VLOOKUP(CONCATENATE($E1998,$G1998),'LAC 103'!$A$12:$O$95,14,FALSE),0)</f>
        <v>0</v>
      </c>
      <c r="V1998" s="1144">
        <f>IFERROR(VLOOKUP(CONCATENATE($E1998,$G1998),'LAC 103'!$A$12:$O$95,15,FALSE),0)</f>
        <v>0</v>
      </c>
      <c r="W1998" s="1145" t="str">
        <f>IFERROR(VLOOKUP(CONCATENATE($B1998,$N1998),'LAC 103'!$AI:$AQ,9,FALSE),"")</f>
        <v/>
      </c>
      <c r="X1998" s="1146">
        <f t="shared" si="564"/>
        <v>0</v>
      </c>
      <c r="Y1998" s="1143">
        <f t="shared" si="574"/>
        <v>0</v>
      </c>
      <c r="Z1998" s="1147">
        <f t="shared" si="565"/>
        <v>0</v>
      </c>
      <c r="AA1998" s="1144">
        <f t="shared" si="566"/>
        <v>0</v>
      </c>
      <c r="AB1998" s="1144">
        <f t="shared" si="567"/>
        <v>0</v>
      </c>
      <c r="AC1998" s="1144">
        <f t="shared" si="568"/>
        <v>0</v>
      </c>
      <c r="AD1998" s="1148">
        <f t="shared" si="560"/>
        <v>0</v>
      </c>
      <c r="AE1998" s="1487">
        <v>0</v>
      </c>
      <c r="AF1998" s="1145">
        <f t="shared" si="569"/>
        <v>0</v>
      </c>
      <c r="AG1998" s="1149">
        <f>IFERROR(VLOOKUP(CONCATENATE($L1998,$N1998),'Drop List'!$G$23:$K$87,2,FALSE),0)</f>
        <v>0</v>
      </c>
      <c r="AH1998" s="1150">
        <f>IFERROR(VLOOKUP(CONCATENATE($L1998,$N1998),'Drop List'!$G$23:$K$87,3,FALSE),0)</f>
        <v>0</v>
      </c>
      <c r="AI1998" s="1150">
        <f>IFERROR(VLOOKUP(CONCATENATE($L1998,$N1998),'Drop List'!$G$23:$K$87,4,FALSE),0)</f>
        <v>0</v>
      </c>
      <c r="AJ1998" s="1151">
        <f>IFERROR(VLOOKUP(CONCATENATE($L1998,$N1998),'Drop List'!$G$23:$K$87,5,FALSE),0)</f>
        <v>0</v>
      </c>
      <c r="AK1998" s="1152">
        <f t="shared" si="570"/>
        <v>0</v>
      </c>
      <c r="AL1998" s="1153">
        <f t="shared" si="571"/>
        <v>0</v>
      </c>
      <c r="AM1998" s="1153">
        <f t="shared" si="572"/>
        <v>0</v>
      </c>
      <c r="AN1998" s="1145">
        <f t="shared" si="573"/>
        <v>0</v>
      </c>
      <c r="AO1998" s="1154">
        <f t="shared" si="558"/>
        <v>0</v>
      </c>
      <c r="AP1998" s="1147">
        <f t="shared" si="561"/>
        <v>0</v>
      </c>
      <c r="AQ1998" s="1144">
        <f t="shared" si="562"/>
        <v>0</v>
      </c>
      <c r="AR1998" s="1146">
        <f t="shared" si="563"/>
        <v>0</v>
      </c>
    </row>
    <row r="1999" spans="1:44" x14ac:dyDescent="0.2">
      <c r="A1999" s="1141" t="str">
        <f t="shared" si="557"/>
        <v/>
      </c>
      <c r="B1999" s="1141" t="str">
        <f>IFERROR(VLOOKUP(A1999,'LAC 103'!A:C,3,FALSE),"")</f>
        <v/>
      </c>
      <c r="C1999" s="1478" t="str">
        <f>Info!$B$8</f>
        <v>00100</v>
      </c>
      <c r="D1999" s="1474"/>
      <c r="E1999" s="1474"/>
      <c r="F1999" s="1478"/>
      <c r="G1999" s="1478"/>
      <c r="H1999" s="1474"/>
      <c r="I1999" s="1478"/>
      <c r="J1999" s="1478"/>
      <c r="K1999" s="1475"/>
      <c r="L1999" s="1474"/>
      <c r="M1999" s="1476"/>
      <c r="N1999" s="1477"/>
      <c r="O1999" s="1479"/>
      <c r="P1999" s="1479"/>
      <c r="Q1999" s="1142">
        <f t="shared" si="559"/>
        <v>0</v>
      </c>
      <c r="R1999" s="1143">
        <f>IFERROR(VLOOKUP(CONCATENATE($E1999,$G1999),'LAC 103'!$A$12:$O$95,11,FALSE),0)</f>
        <v>0</v>
      </c>
      <c r="S1999" s="1144">
        <f>IFERROR(VLOOKUP(CONCATENATE($E1999,$G1999),'LAC 103'!$A$12:$O$95,12,FALSE),0)</f>
        <v>0</v>
      </c>
      <c r="T1999" s="1144">
        <f>IFERROR(VLOOKUP(CONCATENATE($E1999,$G1999),'LAC 103'!$A$12:$O$95,13,FALSE),0)</f>
        <v>0</v>
      </c>
      <c r="U1999" s="1144">
        <f>IFERROR(VLOOKUP(CONCATENATE($E1999,$G1999),'LAC 103'!$A$12:$O$95,14,FALSE),0)</f>
        <v>0</v>
      </c>
      <c r="V1999" s="1144">
        <f>IFERROR(VLOOKUP(CONCATENATE($E1999,$G1999),'LAC 103'!$A$12:$O$95,15,FALSE),0)</f>
        <v>0</v>
      </c>
      <c r="W1999" s="1145" t="str">
        <f>IFERROR(VLOOKUP(CONCATENATE($B1999,$N1999),'LAC 103'!$AI:$AQ,9,FALSE),"")</f>
        <v/>
      </c>
      <c r="X1999" s="1146">
        <f t="shared" si="564"/>
        <v>0</v>
      </c>
      <c r="Y1999" s="1143">
        <f t="shared" si="574"/>
        <v>0</v>
      </c>
      <c r="Z1999" s="1147">
        <f t="shared" si="565"/>
        <v>0</v>
      </c>
      <c r="AA1999" s="1144">
        <f t="shared" si="566"/>
        <v>0</v>
      </c>
      <c r="AB1999" s="1144">
        <f t="shared" si="567"/>
        <v>0</v>
      </c>
      <c r="AC1999" s="1144">
        <f t="shared" si="568"/>
        <v>0</v>
      </c>
      <c r="AD1999" s="1148">
        <f t="shared" si="560"/>
        <v>0</v>
      </c>
      <c r="AE1999" s="1487">
        <v>0</v>
      </c>
      <c r="AF1999" s="1145">
        <f t="shared" si="569"/>
        <v>0</v>
      </c>
      <c r="AG1999" s="1149">
        <f>IFERROR(VLOOKUP(CONCATENATE($L1999,$N1999),'Drop List'!$G$23:$K$87,2,FALSE),0)</f>
        <v>0</v>
      </c>
      <c r="AH1999" s="1150">
        <f>IFERROR(VLOOKUP(CONCATENATE($L1999,$N1999),'Drop List'!$G$23:$K$87,3,FALSE),0)</f>
        <v>0</v>
      </c>
      <c r="AI1999" s="1150">
        <f>IFERROR(VLOOKUP(CONCATENATE($L1999,$N1999),'Drop List'!$G$23:$K$87,4,FALSE),0)</f>
        <v>0</v>
      </c>
      <c r="AJ1999" s="1151">
        <f>IFERROR(VLOOKUP(CONCATENATE($L1999,$N1999),'Drop List'!$G$23:$K$87,5,FALSE),0)</f>
        <v>0</v>
      </c>
      <c r="AK1999" s="1152">
        <f t="shared" si="570"/>
        <v>0</v>
      </c>
      <c r="AL1999" s="1153">
        <f t="shared" si="571"/>
        <v>0</v>
      </c>
      <c r="AM1999" s="1153">
        <f t="shared" si="572"/>
        <v>0</v>
      </c>
      <c r="AN1999" s="1145">
        <f t="shared" si="573"/>
        <v>0</v>
      </c>
      <c r="AO1999" s="1154">
        <f t="shared" si="558"/>
        <v>0</v>
      </c>
      <c r="AP1999" s="1147">
        <f t="shared" si="561"/>
        <v>0</v>
      </c>
      <c r="AQ1999" s="1144">
        <f t="shared" si="562"/>
        <v>0</v>
      </c>
      <c r="AR1999" s="1146">
        <f t="shared" si="563"/>
        <v>0</v>
      </c>
    </row>
    <row r="2000" spans="1:44" x14ac:dyDescent="0.2">
      <c r="A2000" s="1141" t="str">
        <f t="shared" si="557"/>
        <v/>
      </c>
      <c r="B2000" s="1141" t="str">
        <f>IFERROR(VLOOKUP(A2000,'LAC 103'!A:C,3,FALSE),"")</f>
        <v/>
      </c>
      <c r="C2000" s="1478" t="str">
        <f>Info!$B$8</f>
        <v>00100</v>
      </c>
      <c r="D2000" s="1474"/>
      <c r="E2000" s="1474"/>
      <c r="F2000" s="1478"/>
      <c r="G2000" s="1478"/>
      <c r="H2000" s="1474"/>
      <c r="I2000" s="1478"/>
      <c r="J2000" s="1478"/>
      <c r="K2000" s="1475"/>
      <c r="L2000" s="1474"/>
      <c r="M2000" s="1476"/>
      <c r="N2000" s="1477"/>
      <c r="O2000" s="1479"/>
      <c r="P2000" s="1479"/>
      <c r="Q2000" s="1142">
        <f t="shared" si="559"/>
        <v>0</v>
      </c>
      <c r="R2000" s="1143">
        <f>IFERROR(VLOOKUP(CONCATENATE($E2000,$G2000),'LAC 103'!$A$12:$O$95,11,FALSE),0)</f>
        <v>0</v>
      </c>
      <c r="S2000" s="1144">
        <f>IFERROR(VLOOKUP(CONCATENATE($E2000,$G2000),'LAC 103'!$A$12:$O$95,12,FALSE),0)</f>
        <v>0</v>
      </c>
      <c r="T2000" s="1144">
        <f>IFERROR(VLOOKUP(CONCATENATE($E2000,$G2000),'LAC 103'!$A$12:$O$95,13,FALSE),0)</f>
        <v>0</v>
      </c>
      <c r="U2000" s="1144">
        <f>IFERROR(VLOOKUP(CONCATENATE($E2000,$G2000),'LAC 103'!$A$12:$O$95,14,FALSE),0)</f>
        <v>0</v>
      </c>
      <c r="V2000" s="1144">
        <f>IFERROR(VLOOKUP(CONCATENATE($E2000,$G2000),'LAC 103'!$A$12:$O$95,15,FALSE),0)</f>
        <v>0</v>
      </c>
      <c r="W2000" s="1145" t="str">
        <f>IFERROR(VLOOKUP(CONCATENATE($B2000,$N2000),'LAC 103'!$AI:$AQ,9,FALSE),"")</f>
        <v/>
      </c>
      <c r="X2000" s="1146">
        <f t="shared" si="564"/>
        <v>0</v>
      </c>
      <c r="Y2000" s="1143">
        <f t="shared" si="574"/>
        <v>0</v>
      </c>
      <c r="Z2000" s="1147">
        <f t="shared" si="565"/>
        <v>0</v>
      </c>
      <c r="AA2000" s="1144">
        <f t="shared" si="566"/>
        <v>0</v>
      </c>
      <c r="AB2000" s="1144">
        <f t="shared" si="567"/>
        <v>0</v>
      </c>
      <c r="AC2000" s="1144">
        <f t="shared" si="568"/>
        <v>0</v>
      </c>
      <c r="AD2000" s="1148">
        <f t="shared" si="560"/>
        <v>0</v>
      </c>
      <c r="AE2000" s="1487">
        <v>0</v>
      </c>
      <c r="AF2000" s="1145">
        <f t="shared" si="569"/>
        <v>0</v>
      </c>
      <c r="AG2000" s="1149">
        <f>IFERROR(VLOOKUP(CONCATENATE($L2000,$N2000),'Drop List'!$G$23:$K$87,2,FALSE),0)</f>
        <v>0</v>
      </c>
      <c r="AH2000" s="1150">
        <f>IFERROR(VLOOKUP(CONCATENATE($L2000,$N2000),'Drop List'!$G$23:$K$87,3,FALSE),0)</f>
        <v>0</v>
      </c>
      <c r="AI2000" s="1150">
        <f>IFERROR(VLOOKUP(CONCATENATE($L2000,$N2000),'Drop List'!$G$23:$K$87,4,FALSE),0)</f>
        <v>0</v>
      </c>
      <c r="AJ2000" s="1151">
        <f>IFERROR(VLOOKUP(CONCATENATE($L2000,$N2000),'Drop List'!$G$23:$K$87,5,FALSE),0)</f>
        <v>0</v>
      </c>
      <c r="AK2000" s="1152">
        <f t="shared" si="570"/>
        <v>0</v>
      </c>
      <c r="AL2000" s="1153">
        <f t="shared" si="571"/>
        <v>0</v>
      </c>
      <c r="AM2000" s="1153">
        <f t="shared" si="572"/>
        <v>0</v>
      </c>
      <c r="AN2000" s="1145">
        <f t="shared" si="573"/>
        <v>0</v>
      </c>
      <c r="AO2000" s="1154">
        <f t="shared" si="558"/>
        <v>0</v>
      </c>
      <c r="AP2000" s="1147">
        <f t="shared" si="561"/>
        <v>0</v>
      </c>
      <c r="AQ2000" s="1144">
        <f t="shared" si="562"/>
        <v>0</v>
      </c>
      <c r="AR2000" s="1146">
        <f t="shared" si="563"/>
        <v>0</v>
      </c>
    </row>
    <row r="2001" spans="1:44" x14ac:dyDescent="0.2">
      <c r="A2001" s="1141" t="str">
        <f t="shared" si="557"/>
        <v/>
      </c>
      <c r="B2001" s="1141" t="str">
        <f>IFERROR(VLOOKUP(A2001,'LAC 103'!A:C,3,FALSE),"")</f>
        <v/>
      </c>
      <c r="C2001" s="1478" t="str">
        <f>Info!$B$8</f>
        <v>00100</v>
      </c>
      <c r="D2001" s="1474"/>
      <c r="E2001" s="1474"/>
      <c r="F2001" s="1478"/>
      <c r="G2001" s="1478"/>
      <c r="H2001" s="1474"/>
      <c r="I2001" s="1478"/>
      <c r="J2001" s="1478"/>
      <c r="K2001" s="1475"/>
      <c r="L2001" s="1474"/>
      <c r="M2001" s="1476"/>
      <c r="N2001" s="1477"/>
      <c r="O2001" s="1479"/>
      <c r="P2001" s="1479"/>
      <c r="Q2001" s="1142">
        <f t="shared" si="559"/>
        <v>0</v>
      </c>
      <c r="R2001" s="1143">
        <f>IFERROR(VLOOKUP(CONCATENATE($E2001,$G2001),'LAC 103'!$A$12:$O$95,11,FALSE),0)</f>
        <v>0</v>
      </c>
      <c r="S2001" s="1144">
        <f>IFERROR(VLOOKUP(CONCATENATE($E2001,$G2001),'LAC 103'!$A$12:$O$95,12,FALSE),0)</f>
        <v>0</v>
      </c>
      <c r="T2001" s="1144">
        <f>IFERROR(VLOOKUP(CONCATENATE($E2001,$G2001),'LAC 103'!$A$12:$O$95,13,FALSE),0)</f>
        <v>0</v>
      </c>
      <c r="U2001" s="1144">
        <f>IFERROR(VLOOKUP(CONCATENATE($E2001,$G2001),'LAC 103'!$A$12:$O$95,14,FALSE),0)</f>
        <v>0</v>
      </c>
      <c r="V2001" s="1144">
        <f>IFERROR(VLOOKUP(CONCATENATE($E2001,$G2001),'LAC 103'!$A$12:$O$95,15,FALSE),0)</f>
        <v>0</v>
      </c>
      <c r="W2001" s="1145" t="str">
        <f>IFERROR(VLOOKUP(CONCATENATE($B2001,$N2001),'LAC 103'!$AI:$AQ,9,FALSE),"")</f>
        <v/>
      </c>
      <c r="X2001" s="1146">
        <f t="shared" si="564"/>
        <v>0</v>
      </c>
      <c r="Y2001" s="1143">
        <f t="shared" si="574"/>
        <v>0</v>
      </c>
      <c r="Z2001" s="1147">
        <f t="shared" si="565"/>
        <v>0</v>
      </c>
      <c r="AA2001" s="1144">
        <f t="shared" si="566"/>
        <v>0</v>
      </c>
      <c r="AB2001" s="1144">
        <f t="shared" si="567"/>
        <v>0</v>
      </c>
      <c r="AC2001" s="1144">
        <f t="shared" si="568"/>
        <v>0</v>
      </c>
      <c r="AD2001" s="1148">
        <f t="shared" si="560"/>
        <v>0</v>
      </c>
      <c r="AE2001" s="1487">
        <v>0</v>
      </c>
      <c r="AF2001" s="1145">
        <f t="shared" si="569"/>
        <v>0</v>
      </c>
      <c r="AG2001" s="1149">
        <f>IFERROR(VLOOKUP(CONCATENATE($L2001,$N2001),'Drop List'!$G$23:$K$87,2,FALSE),0)</f>
        <v>0</v>
      </c>
      <c r="AH2001" s="1150">
        <f>IFERROR(VLOOKUP(CONCATENATE($L2001,$N2001),'Drop List'!$G$23:$K$87,3,FALSE),0)</f>
        <v>0</v>
      </c>
      <c r="AI2001" s="1150">
        <f>IFERROR(VLOOKUP(CONCATENATE($L2001,$N2001),'Drop List'!$G$23:$K$87,4,FALSE),0)</f>
        <v>0</v>
      </c>
      <c r="AJ2001" s="1151">
        <f>IFERROR(VLOOKUP(CONCATENATE($L2001,$N2001),'Drop List'!$G$23:$K$87,5,FALSE),0)</f>
        <v>0</v>
      </c>
      <c r="AK2001" s="1152">
        <f t="shared" si="570"/>
        <v>0</v>
      </c>
      <c r="AL2001" s="1153">
        <f t="shared" si="571"/>
        <v>0</v>
      </c>
      <c r="AM2001" s="1153">
        <f t="shared" si="572"/>
        <v>0</v>
      </c>
      <c r="AN2001" s="1145">
        <f t="shared" si="573"/>
        <v>0</v>
      </c>
      <c r="AO2001" s="1154">
        <f t="shared" si="558"/>
        <v>0</v>
      </c>
      <c r="AP2001" s="1147">
        <f t="shared" si="561"/>
        <v>0</v>
      </c>
      <c r="AQ2001" s="1144">
        <f t="shared" si="562"/>
        <v>0</v>
      </c>
      <c r="AR2001" s="1146">
        <f t="shared" si="563"/>
        <v>0</v>
      </c>
    </row>
    <row r="2002" spans="1:44" x14ac:dyDescent="0.2">
      <c r="A2002" s="1141" t="str">
        <f t="shared" si="557"/>
        <v/>
      </c>
      <c r="B2002" s="1141" t="str">
        <f>IFERROR(VLOOKUP(A2002,'LAC 103'!A:C,3,FALSE),"")</f>
        <v/>
      </c>
      <c r="C2002" s="1478" t="str">
        <f>Info!$B$8</f>
        <v>00100</v>
      </c>
      <c r="D2002" s="1474"/>
      <c r="E2002" s="1474"/>
      <c r="F2002" s="1478"/>
      <c r="G2002" s="1478"/>
      <c r="H2002" s="1474"/>
      <c r="I2002" s="1478"/>
      <c r="J2002" s="1478"/>
      <c r="K2002" s="1475"/>
      <c r="L2002" s="1474"/>
      <c r="M2002" s="1476"/>
      <c r="N2002" s="1477"/>
      <c r="O2002" s="1479"/>
      <c r="P2002" s="1479"/>
      <c r="Q2002" s="1142">
        <f t="shared" si="559"/>
        <v>0</v>
      </c>
      <c r="R2002" s="1143">
        <f>IFERROR(VLOOKUP(CONCATENATE($E2002,$G2002),'LAC 103'!$A$12:$O$95,11,FALSE),0)</f>
        <v>0</v>
      </c>
      <c r="S2002" s="1144">
        <f>IFERROR(VLOOKUP(CONCATENATE($E2002,$G2002),'LAC 103'!$A$12:$O$95,12,FALSE),0)</f>
        <v>0</v>
      </c>
      <c r="T2002" s="1144">
        <f>IFERROR(VLOOKUP(CONCATENATE($E2002,$G2002),'LAC 103'!$A$12:$O$95,13,FALSE),0)</f>
        <v>0</v>
      </c>
      <c r="U2002" s="1144">
        <f>IFERROR(VLOOKUP(CONCATENATE($E2002,$G2002),'LAC 103'!$A$12:$O$95,14,FALSE),0)</f>
        <v>0</v>
      </c>
      <c r="V2002" s="1144">
        <f>IFERROR(VLOOKUP(CONCATENATE($E2002,$G2002),'LAC 103'!$A$12:$O$95,15,FALSE),0)</f>
        <v>0</v>
      </c>
      <c r="W2002" s="1145" t="str">
        <f>IFERROR(VLOOKUP(CONCATENATE($B2002,$N2002),'LAC 103'!$AI:$AQ,9,FALSE),"")</f>
        <v/>
      </c>
      <c r="X2002" s="1146">
        <f t="shared" si="564"/>
        <v>0</v>
      </c>
      <c r="Y2002" s="1143">
        <f t="shared" si="574"/>
        <v>0</v>
      </c>
      <c r="Z2002" s="1147">
        <f t="shared" si="565"/>
        <v>0</v>
      </c>
      <c r="AA2002" s="1144">
        <f t="shared" si="566"/>
        <v>0</v>
      </c>
      <c r="AB2002" s="1144">
        <f t="shared" si="567"/>
        <v>0</v>
      </c>
      <c r="AC2002" s="1144">
        <f t="shared" si="568"/>
        <v>0</v>
      </c>
      <c r="AD2002" s="1148">
        <f t="shared" si="560"/>
        <v>0</v>
      </c>
      <c r="AE2002" s="1487">
        <v>0</v>
      </c>
      <c r="AF2002" s="1145">
        <f t="shared" si="569"/>
        <v>0</v>
      </c>
      <c r="AG2002" s="1149">
        <f>IFERROR(VLOOKUP(CONCATENATE($L2002,$N2002),'Drop List'!$G$23:$K$87,2,FALSE),0)</f>
        <v>0</v>
      </c>
      <c r="AH2002" s="1150">
        <f>IFERROR(VLOOKUP(CONCATENATE($L2002,$N2002),'Drop List'!$G$23:$K$87,3,FALSE),0)</f>
        <v>0</v>
      </c>
      <c r="AI2002" s="1150">
        <f>IFERROR(VLOOKUP(CONCATENATE($L2002,$N2002),'Drop List'!$G$23:$K$87,4,FALSE),0)</f>
        <v>0</v>
      </c>
      <c r="AJ2002" s="1151">
        <f>IFERROR(VLOOKUP(CONCATENATE($L2002,$N2002),'Drop List'!$G$23:$K$87,5,FALSE),0)</f>
        <v>0</v>
      </c>
      <c r="AK2002" s="1152">
        <f t="shared" si="570"/>
        <v>0</v>
      </c>
      <c r="AL2002" s="1153">
        <f t="shared" si="571"/>
        <v>0</v>
      </c>
      <c r="AM2002" s="1153">
        <f t="shared" si="572"/>
        <v>0</v>
      </c>
      <c r="AN2002" s="1145">
        <f t="shared" si="573"/>
        <v>0</v>
      </c>
      <c r="AO2002" s="1154">
        <f t="shared" si="558"/>
        <v>0</v>
      </c>
      <c r="AP2002" s="1147">
        <f t="shared" si="561"/>
        <v>0</v>
      </c>
      <c r="AQ2002" s="1144">
        <f t="shared" si="562"/>
        <v>0</v>
      </c>
      <c r="AR2002" s="1146">
        <f t="shared" si="563"/>
        <v>0</v>
      </c>
    </row>
    <row r="2003" spans="1:44" x14ac:dyDescent="0.2">
      <c r="A2003" s="1141" t="str">
        <f t="shared" si="557"/>
        <v/>
      </c>
      <c r="B2003" s="1141" t="str">
        <f>IFERROR(VLOOKUP(A2003,'LAC 103'!A:C,3,FALSE),"")</f>
        <v/>
      </c>
      <c r="C2003" s="1478" t="str">
        <f>Info!$B$8</f>
        <v>00100</v>
      </c>
      <c r="D2003" s="1474"/>
      <c r="E2003" s="1474"/>
      <c r="F2003" s="1478"/>
      <c r="G2003" s="1478"/>
      <c r="H2003" s="1474"/>
      <c r="I2003" s="1478"/>
      <c r="J2003" s="1478"/>
      <c r="K2003" s="1475"/>
      <c r="L2003" s="1474"/>
      <c r="M2003" s="1476"/>
      <c r="N2003" s="1477"/>
      <c r="O2003" s="1479"/>
      <c r="P2003" s="1479"/>
      <c r="Q2003" s="1142">
        <f t="shared" si="559"/>
        <v>0</v>
      </c>
      <c r="R2003" s="1143">
        <f>IFERROR(VLOOKUP(CONCATENATE($E2003,$G2003),'LAC 103'!$A$12:$O$95,11,FALSE),0)</f>
        <v>0</v>
      </c>
      <c r="S2003" s="1144">
        <f>IFERROR(VLOOKUP(CONCATENATE($E2003,$G2003),'LAC 103'!$A$12:$O$95,12,FALSE),0)</f>
        <v>0</v>
      </c>
      <c r="T2003" s="1144">
        <f>IFERROR(VLOOKUP(CONCATENATE($E2003,$G2003),'LAC 103'!$A$12:$O$95,13,FALSE),0)</f>
        <v>0</v>
      </c>
      <c r="U2003" s="1144">
        <f>IFERROR(VLOOKUP(CONCATENATE($E2003,$G2003),'LAC 103'!$A$12:$O$95,14,FALSE),0)</f>
        <v>0</v>
      </c>
      <c r="V2003" s="1144">
        <f>IFERROR(VLOOKUP(CONCATENATE($E2003,$G2003),'LAC 103'!$A$12:$O$95,15,FALSE),0)</f>
        <v>0</v>
      </c>
      <c r="W2003" s="1145" t="str">
        <f>IFERROR(VLOOKUP(CONCATENATE($B2003,$N2003),'LAC 103'!$AI:$AQ,9,FALSE),"")</f>
        <v/>
      </c>
      <c r="X2003" s="1146">
        <f t="shared" si="564"/>
        <v>0</v>
      </c>
      <c r="Y2003" s="1143">
        <f t="shared" si="574"/>
        <v>0</v>
      </c>
      <c r="Z2003" s="1147">
        <f t="shared" si="565"/>
        <v>0</v>
      </c>
      <c r="AA2003" s="1144">
        <f t="shared" si="566"/>
        <v>0</v>
      </c>
      <c r="AB2003" s="1144">
        <f t="shared" si="567"/>
        <v>0</v>
      </c>
      <c r="AC2003" s="1144">
        <f t="shared" si="568"/>
        <v>0</v>
      </c>
      <c r="AD2003" s="1148">
        <f t="shared" si="560"/>
        <v>0</v>
      </c>
      <c r="AE2003" s="1487">
        <v>0</v>
      </c>
      <c r="AF2003" s="1145">
        <f t="shared" si="569"/>
        <v>0</v>
      </c>
      <c r="AG2003" s="1149">
        <f>IFERROR(VLOOKUP(CONCATENATE($L2003,$N2003),'Drop List'!$G$23:$K$87,2,FALSE),0)</f>
        <v>0</v>
      </c>
      <c r="AH2003" s="1150">
        <f>IFERROR(VLOOKUP(CONCATENATE($L2003,$N2003),'Drop List'!$G$23:$K$87,3,FALSE),0)</f>
        <v>0</v>
      </c>
      <c r="AI2003" s="1150">
        <f>IFERROR(VLOOKUP(CONCATENATE($L2003,$N2003),'Drop List'!$G$23:$K$87,4,FALSE),0)</f>
        <v>0</v>
      </c>
      <c r="AJ2003" s="1151">
        <f>IFERROR(VLOOKUP(CONCATENATE($L2003,$N2003),'Drop List'!$G$23:$K$87,5,FALSE),0)</f>
        <v>0</v>
      </c>
      <c r="AK2003" s="1152">
        <f t="shared" si="570"/>
        <v>0</v>
      </c>
      <c r="AL2003" s="1153">
        <f t="shared" si="571"/>
        <v>0</v>
      </c>
      <c r="AM2003" s="1153">
        <f t="shared" si="572"/>
        <v>0</v>
      </c>
      <c r="AN2003" s="1145">
        <f t="shared" si="573"/>
        <v>0</v>
      </c>
      <c r="AO2003" s="1154">
        <f t="shared" si="558"/>
        <v>0</v>
      </c>
      <c r="AP2003" s="1147">
        <f t="shared" si="561"/>
        <v>0</v>
      </c>
      <c r="AQ2003" s="1144">
        <f t="shared" si="562"/>
        <v>0</v>
      </c>
      <c r="AR2003" s="1146">
        <f t="shared" si="563"/>
        <v>0</v>
      </c>
    </row>
    <row r="2004" spans="1:44" x14ac:dyDescent="0.2">
      <c r="A2004" s="1141" t="str">
        <f t="shared" si="557"/>
        <v/>
      </c>
      <c r="B2004" s="1141" t="str">
        <f>IFERROR(VLOOKUP(A2004,'LAC 103'!A:C,3,FALSE),"")</f>
        <v/>
      </c>
      <c r="C2004" s="1478" t="str">
        <f>Info!$B$8</f>
        <v>00100</v>
      </c>
      <c r="D2004" s="1474"/>
      <c r="E2004" s="1474"/>
      <c r="F2004" s="1478"/>
      <c r="G2004" s="1478"/>
      <c r="H2004" s="1474"/>
      <c r="I2004" s="1478"/>
      <c r="J2004" s="1478"/>
      <c r="K2004" s="1475"/>
      <c r="L2004" s="1474"/>
      <c r="M2004" s="1476"/>
      <c r="N2004" s="1477"/>
      <c r="O2004" s="1479"/>
      <c r="P2004" s="1479"/>
      <c r="Q2004" s="1142">
        <f t="shared" si="559"/>
        <v>0</v>
      </c>
      <c r="R2004" s="1143">
        <f>IFERROR(VLOOKUP(CONCATENATE($E2004,$G2004),'LAC 103'!$A$12:$O$95,11,FALSE),0)</f>
        <v>0</v>
      </c>
      <c r="S2004" s="1144">
        <f>IFERROR(VLOOKUP(CONCATENATE($E2004,$G2004),'LAC 103'!$A$12:$O$95,12,FALSE),0)</f>
        <v>0</v>
      </c>
      <c r="T2004" s="1144">
        <f>IFERROR(VLOOKUP(CONCATENATE($E2004,$G2004),'LAC 103'!$A$12:$O$95,13,FALSE),0)</f>
        <v>0</v>
      </c>
      <c r="U2004" s="1144">
        <f>IFERROR(VLOOKUP(CONCATENATE($E2004,$G2004),'LAC 103'!$A$12:$O$95,14,FALSE),0)</f>
        <v>0</v>
      </c>
      <c r="V2004" s="1144">
        <f>IFERROR(VLOOKUP(CONCATENATE($E2004,$G2004),'LAC 103'!$A$12:$O$95,15,FALSE),0)</f>
        <v>0</v>
      </c>
      <c r="W2004" s="1145" t="str">
        <f>IFERROR(VLOOKUP(CONCATENATE($B2004,$N2004),'LAC 103'!$AI:$AQ,9,FALSE),"")</f>
        <v/>
      </c>
      <c r="X2004" s="1146">
        <f t="shared" si="564"/>
        <v>0</v>
      </c>
      <c r="Y2004" s="1143">
        <f t="shared" si="574"/>
        <v>0</v>
      </c>
      <c r="Z2004" s="1147">
        <f t="shared" si="565"/>
        <v>0</v>
      </c>
      <c r="AA2004" s="1144">
        <f t="shared" si="566"/>
        <v>0</v>
      </c>
      <c r="AB2004" s="1144">
        <f t="shared" si="567"/>
        <v>0</v>
      </c>
      <c r="AC2004" s="1144">
        <f t="shared" si="568"/>
        <v>0</v>
      </c>
      <c r="AD2004" s="1148">
        <f t="shared" si="560"/>
        <v>0</v>
      </c>
      <c r="AE2004" s="1487">
        <v>0</v>
      </c>
      <c r="AF2004" s="1145">
        <f t="shared" si="569"/>
        <v>0</v>
      </c>
      <c r="AG2004" s="1149">
        <f>IFERROR(VLOOKUP(CONCATENATE($L2004,$N2004),'Drop List'!$G$23:$K$87,2,FALSE),0)</f>
        <v>0</v>
      </c>
      <c r="AH2004" s="1150">
        <f>IFERROR(VLOOKUP(CONCATENATE($L2004,$N2004),'Drop List'!$G$23:$K$87,3,FALSE),0)</f>
        <v>0</v>
      </c>
      <c r="AI2004" s="1150">
        <f>IFERROR(VLOOKUP(CONCATENATE($L2004,$N2004),'Drop List'!$G$23:$K$87,4,FALSE),0)</f>
        <v>0</v>
      </c>
      <c r="AJ2004" s="1151">
        <f>IFERROR(VLOOKUP(CONCATENATE($L2004,$N2004),'Drop List'!$G$23:$K$87,5,FALSE),0)</f>
        <v>0</v>
      </c>
      <c r="AK2004" s="1152">
        <f t="shared" si="570"/>
        <v>0</v>
      </c>
      <c r="AL2004" s="1153">
        <f t="shared" si="571"/>
        <v>0</v>
      </c>
      <c r="AM2004" s="1153">
        <f t="shared" si="572"/>
        <v>0</v>
      </c>
      <c r="AN2004" s="1145">
        <f t="shared" si="573"/>
        <v>0</v>
      </c>
      <c r="AO2004" s="1154">
        <f t="shared" si="558"/>
        <v>0</v>
      </c>
      <c r="AP2004" s="1147">
        <f t="shared" si="561"/>
        <v>0</v>
      </c>
      <c r="AQ2004" s="1144">
        <f t="shared" si="562"/>
        <v>0</v>
      </c>
      <c r="AR2004" s="1146">
        <f t="shared" si="563"/>
        <v>0</v>
      </c>
    </row>
    <row r="2005" spans="1:44" x14ac:dyDescent="0.2">
      <c r="A2005" s="1141" t="str">
        <f t="shared" si="557"/>
        <v/>
      </c>
      <c r="B2005" s="1141" t="str">
        <f>IFERROR(VLOOKUP(A2005,'LAC 103'!A:C,3,FALSE),"")</f>
        <v/>
      </c>
      <c r="C2005" s="1478" t="str">
        <f>Info!$B$8</f>
        <v>00100</v>
      </c>
      <c r="D2005" s="1474"/>
      <c r="E2005" s="1474"/>
      <c r="F2005" s="1478"/>
      <c r="G2005" s="1478"/>
      <c r="H2005" s="1474"/>
      <c r="I2005" s="1478"/>
      <c r="J2005" s="1478"/>
      <c r="K2005" s="1475"/>
      <c r="L2005" s="1474"/>
      <c r="M2005" s="1476"/>
      <c r="N2005" s="1477"/>
      <c r="O2005" s="1479"/>
      <c r="P2005" s="1479"/>
      <c r="Q2005" s="1142">
        <f t="shared" si="559"/>
        <v>0</v>
      </c>
      <c r="R2005" s="1143">
        <f>IFERROR(VLOOKUP(CONCATENATE($E2005,$G2005),'LAC 103'!$A$12:$O$95,11,FALSE),0)</f>
        <v>0</v>
      </c>
      <c r="S2005" s="1144">
        <f>IFERROR(VLOOKUP(CONCATENATE($E2005,$G2005),'LAC 103'!$A$12:$O$95,12,FALSE),0)</f>
        <v>0</v>
      </c>
      <c r="T2005" s="1144">
        <f>IFERROR(VLOOKUP(CONCATENATE($E2005,$G2005),'LAC 103'!$A$12:$O$95,13,FALSE),0)</f>
        <v>0</v>
      </c>
      <c r="U2005" s="1144">
        <f>IFERROR(VLOOKUP(CONCATENATE($E2005,$G2005),'LAC 103'!$A$12:$O$95,14,FALSE),0)</f>
        <v>0</v>
      </c>
      <c r="V2005" s="1144">
        <f>IFERROR(VLOOKUP(CONCATENATE($E2005,$G2005),'LAC 103'!$A$12:$O$95,15,FALSE),0)</f>
        <v>0</v>
      </c>
      <c r="W2005" s="1145" t="str">
        <f>IFERROR(VLOOKUP(CONCATENATE($B2005,$N2005),'LAC 103'!$AI:$AQ,9,FALSE),"")</f>
        <v/>
      </c>
      <c r="X2005" s="1146">
        <f t="shared" si="564"/>
        <v>0</v>
      </c>
      <c r="Y2005" s="1143">
        <f t="shared" si="574"/>
        <v>0</v>
      </c>
      <c r="Z2005" s="1147">
        <f t="shared" si="565"/>
        <v>0</v>
      </c>
      <c r="AA2005" s="1144">
        <f t="shared" si="566"/>
        <v>0</v>
      </c>
      <c r="AB2005" s="1144">
        <f t="shared" si="567"/>
        <v>0</v>
      </c>
      <c r="AC2005" s="1144">
        <f t="shared" si="568"/>
        <v>0</v>
      </c>
      <c r="AD2005" s="1148">
        <f t="shared" si="560"/>
        <v>0</v>
      </c>
      <c r="AE2005" s="1487">
        <v>0</v>
      </c>
      <c r="AF2005" s="1145">
        <f t="shared" si="569"/>
        <v>0</v>
      </c>
      <c r="AG2005" s="1149">
        <f>IFERROR(VLOOKUP(CONCATENATE($L2005,$N2005),'Drop List'!$G$23:$K$87,2,FALSE),0)</f>
        <v>0</v>
      </c>
      <c r="AH2005" s="1150">
        <f>IFERROR(VLOOKUP(CONCATENATE($L2005,$N2005),'Drop List'!$G$23:$K$87,3,FALSE),0)</f>
        <v>0</v>
      </c>
      <c r="AI2005" s="1150">
        <f>IFERROR(VLOOKUP(CONCATENATE($L2005,$N2005),'Drop List'!$G$23:$K$87,4,FALSE),0)</f>
        <v>0</v>
      </c>
      <c r="AJ2005" s="1151">
        <f>IFERROR(VLOOKUP(CONCATENATE($L2005,$N2005),'Drop List'!$G$23:$K$87,5,FALSE),0)</f>
        <v>0</v>
      </c>
      <c r="AK2005" s="1152">
        <f t="shared" si="570"/>
        <v>0</v>
      </c>
      <c r="AL2005" s="1153">
        <f t="shared" si="571"/>
        <v>0</v>
      </c>
      <c r="AM2005" s="1153">
        <f t="shared" si="572"/>
        <v>0</v>
      </c>
      <c r="AN2005" s="1145">
        <f t="shared" si="573"/>
        <v>0</v>
      </c>
      <c r="AO2005" s="1154">
        <f t="shared" si="558"/>
        <v>0</v>
      </c>
      <c r="AP2005" s="1147">
        <f t="shared" si="561"/>
        <v>0</v>
      </c>
      <c r="AQ2005" s="1144">
        <f t="shared" si="562"/>
        <v>0</v>
      </c>
      <c r="AR2005" s="1146">
        <f t="shared" si="563"/>
        <v>0</v>
      </c>
    </row>
    <row r="2006" spans="1:44" x14ac:dyDescent="0.2">
      <c r="A2006" s="1141" t="str">
        <f t="shared" ref="A2006:A2010" si="575">IF(CONCATENATE(E2006,G2006)="","",CONCATENATE(E2006,G2006))</f>
        <v/>
      </c>
      <c r="B2006" s="1141" t="str">
        <f>IFERROR(VLOOKUP(A2006,'LAC 103'!A:C,3,FALSE),"")</f>
        <v/>
      </c>
      <c r="C2006" s="1478" t="str">
        <f>Info!$B$8</f>
        <v>00100</v>
      </c>
      <c r="D2006" s="1474"/>
      <c r="E2006" s="1474"/>
      <c r="F2006" s="1478"/>
      <c r="G2006" s="1478"/>
      <c r="H2006" s="1474"/>
      <c r="I2006" s="1478"/>
      <c r="J2006" s="1478"/>
      <c r="K2006" s="1475"/>
      <c r="L2006" s="1474"/>
      <c r="M2006" s="1476"/>
      <c r="N2006" s="1477"/>
      <c r="O2006" s="1479"/>
      <c r="P2006" s="1479"/>
      <c r="Q2006" s="1142">
        <f t="shared" si="559"/>
        <v>0</v>
      </c>
      <c r="R2006" s="1143">
        <f>IFERROR(VLOOKUP(CONCATENATE($E2006,$G2006),'LAC 103'!$A$12:$O$95,11,FALSE),0)</f>
        <v>0</v>
      </c>
      <c r="S2006" s="1144">
        <f>IFERROR(VLOOKUP(CONCATENATE($E2006,$G2006),'LAC 103'!$A$12:$O$95,12,FALSE),0)</f>
        <v>0</v>
      </c>
      <c r="T2006" s="1144">
        <f>IFERROR(VLOOKUP(CONCATENATE($E2006,$G2006),'LAC 103'!$A$12:$O$95,13,FALSE),0)</f>
        <v>0</v>
      </c>
      <c r="U2006" s="1144">
        <f>IFERROR(VLOOKUP(CONCATENATE($E2006,$G2006),'LAC 103'!$A$12:$O$95,14,FALSE),0)</f>
        <v>0</v>
      </c>
      <c r="V2006" s="1144">
        <f>IFERROR(VLOOKUP(CONCATENATE($E2006,$G2006),'LAC 103'!$A$12:$O$95,15,FALSE),0)</f>
        <v>0</v>
      </c>
      <c r="W2006" s="1145" t="str">
        <f>IFERROR(VLOOKUP(CONCATENATE($B2006,$N2006),'LAC 103'!$AI:$AQ,9,FALSE),"")</f>
        <v/>
      </c>
      <c r="X2006" s="1146">
        <f t="shared" si="564"/>
        <v>0</v>
      </c>
      <c r="Y2006" s="1143">
        <f t="shared" si="574"/>
        <v>0</v>
      </c>
      <c r="Z2006" s="1147">
        <f t="shared" si="565"/>
        <v>0</v>
      </c>
      <c r="AA2006" s="1144">
        <f t="shared" si="566"/>
        <v>0</v>
      </c>
      <c r="AB2006" s="1144">
        <f t="shared" si="567"/>
        <v>0</v>
      </c>
      <c r="AC2006" s="1144">
        <f t="shared" si="568"/>
        <v>0</v>
      </c>
      <c r="AD2006" s="1148">
        <f t="shared" si="560"/>
        <v>0</v>
      </c>
      <c r="AE2006" s="1487">
        <v>0</v>
      </c>
      <c r="AF2006" s="1145">
        <f t="shared" si="569"/>
        <v>0</v>
      </c>
      <c r="AG2006" s="1149">
        <f>IFERROR(VLOOKUP(CONCATENATE($L2006,$N2006),'Drop List'!$G$23:$K$87,2,FALSE),0)</f>
        <v>0</v>
      </c>
      <c r="AH2006" s="1150">
        <f>IFERROR(VLOOKUP(CONCATENATE($L2006,$N2006),'Drop List'!$G$23:$K$87,3,FALSE),0)</f>
        <v>0</v>
      </c>
      <c r="AI2006" s="1150">
        <f>IFERROR(VLOOKUP(CONCATENATE($L2006,$N2006),'Drop List'!$G$23:$K$87,4,FALSE),0)</f>
        <v>0</v>
      </c>
      <c r="AJ2006" s="1151">
        <f>IFERROR(VLOOKUP(CONCATENATE($L2006,$N2006),'Drop List'!$G$23:$K$87,5,FALSE),0)</f>
        <v>0</v>
      </c>
      <c r="AK2006" s="1152">
        <f t="shared" si="570"/>
        <v>0</v>
      </c>
      <c r="AL2006" s="1153">
        <f t="shared" si="571"/>
        <v>0</v>
      </c>
      <c r="AM2006" s="1153">
        <f t="shared" si="572"/>
        <v>0</v>
      </c>
      <c r="AN2006" s="1145">
        <f t="shared" si="573"/>
        <v>0</v>
      </c>
      <c r="AO2006" s="1154">
        <f t="shared" si="558"/>
        <v>0</v>
      </c>
      <c r="AP2006" s="1147">
        <f t="shared" si="561"/>
        <v>0</v>
      </c>
      <c r="AQ2006" s="1144">
        <f t="shared" si="562"/>
        <v>0</v>
      </c>
      <c r="AR2006" s="1146">
        <f t="shared" si="563"/>
        <v>0</v>
      </c>
    </row>
    <row r="2007" spans="1:44" x14ac:dyDescent="0.2">
      <c r="A2007" s="1141" t="str">
        <f t="shared" si="575"/>
        <v/>
      </c>
      <c r="B2007" s="1141" t="str">
        <f>IFERROR(VLOOKUP(A2007,'LAC 103'!A:C,3,FALSE),"")</f>
        <v/>
      </c>
      <c r="C2007" s="1478" t="str">
        <f>Info!$B$8</f>
        <v>00100</v>
      </c>
      <c r="D2007" s="1474"/>
      <c r="E2007" s="1474"/>
      <c r="F2007" s="1478"/>
      <c r="G2007" s="1478"/>
      <c r="H2007" s="1474"/>
      <c r="I2007" s="1478"/>
      <c r="J2007" s="1478"/>
      <c r="K2007" s="1475"/>
      <c r="L2007" s="1474"/>
      <c r="M2007" s="1476"/>
      <c r="N2007" s="1477"/>
      <c r="O2007" s="1479"/>
      <c r="P2007" s="1479"/>
      <c r="Q2007" s="1142">
        <f t="shared" si="559"/>
        <v>0</v>
      </c>
      <c r="R2007" s="1143">
        <f>IFERROR(VLOOKUP(CONCATENATE($E2007,$G2007),'LAC 103'!$A$12:$O$95,11,FALSE),0)</f>
        <v>0</v>
      </c>
      <c r="S2007" s="1144">
        <f>IFERROR(VLOOKUP(CONCATENATE($E2007,$G2007),'LAC 103'!$A$12:$O$95,12,FALSE),0)</f>
        <v>0</v>
      </c>
      <c r="T2007" s="1144">
        <f>IFERROR(VLOOKUP(CONCATENATE($E2007,$G2007),'LAC 103'!$A$12:$O$95,13,FALSE),0)</f>
        <v>0</v>
      </c>
      <c r="U2007" s="1144">
        <f>IFERROR(VLOOKUP(CONCATENATE($E2007,$G2007),'LAC 103'!$A$12:$O$95,14,FALSE),0)</f>
        <v>0</v>
      </c>
      <c r="V2007" s="1144">
        <f>IFERROR(VLOOKUP(CONCATENATE($E2007,$G2007),'LAC 103'!$A$12:$O$95,15,FALSE),0)</f>
        <v>0</v>
      </c>
      <c r="W2007" s="1145" t="str">
        <f>IFERROR(VLOOKUP(CONCATENATE($B2007,$N2007),'LAC 103'!$AI:$AQ,9,FALSE),"")</f>
        <v/>
      </c>
      <c r="X2007" s="1146">
        <f t="shared" si="564"/>
        <v>0</v>
      </c>
      <c r="Y2007" s="1143">
        <f t="shared" si="574"/>
        <v>0</v>
      </c>
      <c r="Z2007" s="1147">
        <f t="shared" si="565"/>
        <v>0</v>
      </c>
      <c r="AA2007" s="1144">
        <f t="shared" si="566"/>
        <v>0</v>
      </c>
      <c r="AB2007" s="1144">
        <f t="shared" si="567"/>
        <v>0</v>
      </c>
      <c r="AC2007" s="1144">
        <f t="shared" si="568"/>
        <v>0</v>
      </c>
      <c r="AD2007" s="1148">
        <f t="shared" si="560"/>
        <v>0</v>
      </c>
      <c r="AE2007" s="1487">
        <v>0</v>
      </c>
      <c r="AF2007" s="1145">
        <f t="shared" si="569"/>
        <v>0</v>
      </c>
      <c r="AG2007" s="1149">
        <f>IFERROR(VLOOKUP(CONCATENATE($L2007,$N2007),'Drop List'!$G$23:$K$87,2,FALSE),0)</f>
        <v>0</v>
      </c>
      <c r="AH2007" s="1150">
        <f>IFERROR(VLOOKUP(CONCATENATE($L2007,$N2007),'Drop List'!$G$23:$K$87,3,FALSE),0)</f>
        <v>0</v>
      </c>
      <c r="AI2007" s="1150">
        <f>IFERROR(VLOOKUP(CONCATENATE($L2007,$N2007),'Drop List'!$G$23:$K$87,4,FALSE),0)</f>
        <v>0</v>
      </c>
      <c r="AJ2007" s="1151">
        <f>IFERROR(VLOOKUP(CONCATENATE($L2007,$N2007),'Drop List'!$G$23:$K$87,5,FALSE),0)</f>
        <v>0</v>
      </c>
      <c r="AK2007" s="1152">
        <f t="shared" si="570"/>
        <v>0</v>
      </c>
      <c r="AL2007" s="1153">
        <f t="shared" si="571"/>
        <v>0</v>
      </c>
      <c r="AM2007" s="1153">
        <f t="shared" si="572"/>
        <v>0</v>
      </c>
      <c r="AN2007" s="1145">
        <f t="shared" si="573"/>
        <v>0</v>
      </c>
      <c r="AO2007" s="1154">
        <f t="shared" si="558"/>
        <v>0</v>
      </c>
      <c r="AP2007" s="1147">
        <f t="shared" si="561"/>
        <v>0</v>
      </c>
      <c r="AQ2007" s="1144">
        <f t="shared" si="562"/>
        <v>0</v>
      </c>
      <c r="AR2007" s="1146">
        <f t="shared" si="563"/>
        <v>0</v>
      </c>
    </row>
    <row r="2008" spans="1:44" x14ac:dyDescent="0.2">
      <c r="A2008" s="1141" t="str">
        <f t="shared" si="575"/>
        <v/>
      </c>
      <c r="B2008" s="1141" t="str">
        <f>IFERROR(VLOOKUP(A2008,'LAC 103'!A:C,3,FALSE),"")</f>
        <v/>
      </c>
      <c r="C2008" s="1478" t="str">
        <f>Info!$B$8</f>
        <v>00100</v>
      </c>
      <c r="D2008" s="1474"/>
      <c r="E2008" s="1474"/>
      <c r="F2008" s="1478"/>
      <c r="G2008" s="1478"/>
      <c r="H2008" s="1474"/>
      <c r="I2008" s="1478"/>
      <c r="J2008" s="1478"/>
      <c r="K2008" s="1475"/>
      <c r="L2008" s="1474"/>
      <c r="M2008" s="1476"/>
      <c r="N2008" s="1477"/>
      <c r="O2008" s="1479"/>
      <c r="P2008" s="1479"/>
      <c r="Q2008" s="1142">
        <f t="shared" si="559"/>
        <v>0</v>
      </c>
      <c r="R2008" s="1143">
        <f>IFERROR(VLOOKUP(CONCATENATE($E2008,$G2008),'LAC 103'!$A$12:$O$95,11,FALSE),0)</f>
        <v>0</v>
      </c>
      <c r="S2008" s="1144">
        <f>IFERROR(VLOOKUP(CONCATENATE($E2008,$G2008),'LAC 103'!$A$12:$O$95,12,FALSE),0)</f>
        <v>0</v>
      </c>
      <c r="T2008" s="1144">
        <f>IFERROR(VLOOKUP(CONCATENATE($E2008,$G2008),'LAC 103'!$A$12:$O$95,13,FALSE),0)</f>
        <v>0</v>
      </c>
      <c r="U2008" s="1144">
        <f>IFERROR(VLOOKUP(CONCATENATE($E2008,$G2008),'LAC 103'!$A$12:$O$95,14,FALSE),0)</f>
        <v>0</v>
      </c>
      <c r="V2008" s="1144">
        <f>IFERROR(VLOOKUP(CONCATENATE($E2008,$G2008),'LAC 103'!$A$12:$O$95,15,FALSE),0)</f>
        <v>0</v>
      </c>
      <c r="W2008" s="1145" t="str">
        <f>IFERROR(VLOOKUP(CONCATENATE($B2008,$N2008),'LAC 103'!$AI:$AQ,9,FALSE),"")</f>
        <v/>
      </c>
      <c r="X2008" s="1146">
        <f t="shared" si="564"/>
        <v>0</v>
      </c>
      <c r="Y2008" s="1143">
        <f t="shared" si="574"/>
        <v>0</v>
      </c>
      <c r="Z2008" s="1147">
        <f t="shared" si="565"/>
        <v>0</v>
      </c>
      <c r="AA2008" s="1144">
        <f t="shared" si="566"/>
        <v>0</v>
      </c>
      <c r="AB2008" s="1144">
        <f t="shared" si="567"/>
        <v>0</v>
      </c>
      <c r="AC2008" s="1144">
        <f t="shared" si="568"/>
        <v>0</v>
      </c>
      <c r="AD2008" s="1148">
        <f t="shared" si="560"/>
        <v>0</v>
      </c>
      <c r="AE2008" s="1487">
        <v>0</v>
      </c>
      <c r="AF2008" s="1145">
        <f t="shared" si="569"/>
        <v>0</v>
      </c>
      <c r="AG2008" s="1149">
        <f>IFERROR(VLOOKUP(CONCATENATE($L2008,$N2008),'Drop List'!$G$23:$K$87,2,FALSE),0)</f>
        <v>0</v>
      </c>
      <c r="AH2008" s="1150">
        <f>IFERROR(VLOOKUP(CONCATENATE($L2008,$N2008),'Drop List'!$G$23:$K$87,3,FALSE),0)</f>
        <v>0</v>
      </c>
      <c r="AI2008" s="1150">
        <f>IFERROR(VLOOKUP(CONCATENATE($L2008,$N2008),'Drop List'!$G$23:$K$87,4,FALSE),0)</f>
        <v>0</v>
      </c>
      <c r="AJ2008" s="1151">
        <f>IFERROR(VLOOKUP(CONCATENATE($L2008,$N2008),'Drop List'!$G$23:$K$87,5,FALSE),0)</f>
        <v>0</v>
      </c>
      <c r="AK2008" s="1152">
        <f t="shared" si="570"/>
        <v>0</v>
      </c>
      <c r="AL2008" s="1153">
        <f t="shared" si="571"/>
        <v>0</v>
      </c>
      <c r="AM2008" s="1153">
        <f t="shared" si="572"/>
        <v>0</v>
      </c>
      <c r="AN2008" s="1145">
        <f t="shared" si="573"/>
        <v>0</v>
      </c>
      <c r="AO2008" s="1154">
        <f t="shared" si="558"/>
        <v>0</v>
      </c>
      <c r="AP2008" s="1147">
        <f t="shared" si="561"/>
        <v>0</v>
      </c>
      <c r="AQ2008" s="1144">
        <f t="shared" si="562"/>
        <v>0</v>
      </c>
      <c r="AR2008" s="1146">
        <f t="shared" si="563"/>
        <v>0</v>
      </c>
    </row>
    <row r="2009" spans="1:44" x14ac:dyDescent="0.2">
      <c r="A2009" s="1141" t="str">
        <f t="shared" si="575"/>
        <v/>
      </c>
      <c r="B2009" s="1141" t="str">
        <f>IFERROR(VLOOKUP(A2009,'LAC 103'!A:C,3,FALSE),"")</f>
        <v/>
      </c>
      <c r="C2009" s="1478" t="str">
        <f>Info!$B$8</f>
        <v>00100</v>
      </c>
      <c r="D2009" s="1474"/>
      <c r="E2009" s="1474"/>
      <c r="F2009" s="1478"/>
      <c r="G2009" s="1478"/>
      <c r="H2009" s="1474"/>
      <c r="I2009" s="1478"/>
      <c r="J2009" s="1478"/>
      <c r="K2009" s="1475"/>
      <c r="L2009" s="1474"/>
      <c r="M2009" s="1476"/>
      <c r="N2009" s="1477"/>
      <c r="O2009" s="1479"/>
      <c r="P2009" s="1479"/>
      <c r="Q2009" s="1142">
        <f t="shared" si="559"/>
        <v>0</v>
      </c>
      <c r="R2009" s="1143">
        <f>IFERROR(VLOOKUP(CONCATENATE($E2009,$G2009),'LAC 103'!$A$12:$O$95,11,FALSE),0)</f>
        <v>0</v>
      </c>
      <c r="S2009" s="1144">
        <f>IFERROR(VLOOKUP(CONCATENATE($E2009,$G2009),'LAC 103'!$A$12:$O$95,12,FALSE),0)</f>
        <v>0</v>
      </c>
      <c r="T2009" s="1144">
        <f>IFERROR(VLOOKUP(CONCATENATE($E2009,$G2009),'LAC 103'!$A$12:$O$95,13,FALSE),0)</f>
        <v>0</v>
      </c>
      <c r="U2009" s="1144">
        <f>IFERROR(VLOOKUP(CONCATENATE($E2009,$G2009),'LAC 103'!$A$12:$O$95,14,FALSE),0)</f>
        <v>0</v>
      </c>
      <c r="V2009" s="1144">
        <f>IFERROR(VLOOKUP(CONCATENATE($E2009,$G2009),'LAC 103'!$A$12:$O$95,15,FALSE),0)</f>
        <v>0</v>
      </c>
      <c r="W2009" s="1145" t="str">
        <f>IFERROR(VLOOKUP(CONCATENATE($B2009,$N2009),'LAC 103'!$AI:$AQ,9,FALSE),"")</f>
        <v/>
      </c>
      <c r="X2009" s="1146">
        <f t="shared" si="564"/>
        <v>0</v>
      </c>
      <c r="Y2009" s="1143">
        <f t="shared" si="574"/>
        <v>0</v>
      </c>
      <c r="Z2009" s="1147">
        <f t="shared" si="565"/>
        <v>0</v>
      </c>
      <c r="AA2009" s="1144">
        <f t="shared" si="566"/>
        <v>0</v>
      </c>
      <c r="AB2009" s="1144">
        <f t="shared" si="567"/>
        <v>0</v>
      </c>
      <c r="AC2009" s="1144">
        <f t="shared" si="568"/>
        <v>0</v>
      </c>
      <c r="AD2009" s="1148">
        <f t="shared" si="560"/>
        <v>0</v>
      </c>
      <c r="AE2009" s="1487">
        <v>0</v>
      </c>
      <c r="AF2009" s="1145">
        <f t="shared" si="569"/>
        <v>0</v>
      </c>
      <c r="AG2009" s="1149">
        <f>IFERROR(VLOOKUP(CONCATENATE($L2009,$N2009),'Drop List'!$G$23:$K$87,2,FALSE),0)</f>
        <v>0</v>
      </c>
      <c r="AH2009" s="1150">
        <f>IFERROR(VLOOKUP(CONCATENATE($L2009,$N2009),'Drop List'!$G$23:$K$87,3,FALSE),0)</f>
        <v>0</v>
      </c>
      <c r="AI2009" s="1150">
        <f>IFERROR(VLOOKUP(CONCATENATE($L2009,$N2009),'Drop List'!$G$23:$K$87,4,FALSE),0)</f>
        <v>0</v>
      </c>
      <c r="AJ2009" s="1151">
        <f>IFERROR(VLOOKUP(CONCATENATE($L2009,$N2009),'Drop List'!$G$23:$K$87,5,FALSE),0)</f>
        <v>0</v>
      </c>
      <c r="AK2009" s="1152">
        <f t="shared" si="570"/>
        <v>0</v>
      </c>
      <c r="AL2009" s="1153">
        <f t="shared" si="571"/>
        <v>0</v>
      </c>
      <c r="AM2009" s="1153">
        <f t="shared" si="572"/>
        <v>0</v>
      </c>
      <c r="AN2009" s="1145">
        <f t="shared" si="573"/>
        <v>0</v>
      </c>
      <c r="AO2009" s="1154">
        <f t="shared" si="558"/>
        <v>0</v>
      </c>
      <c r="AP2009" s="1147">
        <f t="shared" si="561"/>
        <v>0</v>
      </c>
      <c r="AQ2009" s="1144">
        <f t="shared" si="562"/>
        <v>0</v>
      </c>
      <c r="AR2009" s="1146">
        <f t="shared" si="563"/>
        <v>0</v>
      </c>
    </row>
    <row r="2010" spans="1:44" ht="15" thickBot="1" x14ac:dyDescent="0.25">
      <c r="A2010" s="1155" t="str">
        <f t="shared" si="575"/>
        <v/>
      </c>
      <c r="B2010" s="1155" t="str">
        <f>IFERROR(VLOOKUP(A2010,'LAC 103'!A:C,3,FALSE),"")</f>
        <v/>
      </c>
      <c r="C2010" s="1480" t="str">
        <f>Info!$B$8</f>
        <v>00100</v>
      </c>
      <c r="D2010" s="1481"/>
      <c r="E2010" s="1481"/>
      <c r="F2010" s="1480"/>
      <c r="G2010" s="1480"/>
      <c r="H2010" s="1481"/>
      <c r="I2010" s="1480"/>
      <c r="J2010" s="1480"/>
      <c r="K2010" s="1482"/>
      <c r="L2010" s="1481"/>
      <c r="M2010" s="1483"/>
      <c r="N2010" s="1484"/>
      <c r="O2010" s="1485"/>
      <c r="P2010" s="1485"/>
      <c r="Q2010" s="1156">
        <f t="shared" si="559"/>
        <v>0</v>
      </c>
      <c r="R2010" s="1157">
        <f>IFERROR(VLOOKUP(CONCATENATE($E2010,$G2010),'LAC 103'!$A$12:$O$95,11,FALSE),0)</f>
        <v>0</v>
      </c>
      <c r="S2010" s="1158">
        <f>IFERROR(VLOOKUP(CONCATENATE($E2010,$G2010),'LAC 103'!$A$12:$O$95,12,FALSE),0)</f>
        <v>0</v>
      </c>
      <c r="T2010" s="1158">
        <f>IFERROR(VLOOKUP(CONCATENATE($E2010,$G2010),'LAC 103'!$A$12:$O$95,13,FALSE),0)</f>
        <v>0</v>
      </c>
      <c r="U2010" s="1158">
        <f>IFERROR(VLOOKUP(CONCATENATE($E2010,$G2010),'LAC 103'!$A$12:$O$95,14,FALSE),0)</f>
        <v>0</v>
      </c>
      <c r="V2010" s="1158">
        <f>IFERROR(VLOOKUP(CONCATENATE($E2010,$G2010),'LAC 103'!$A$12:$O$95,15,FALSE),0)</f>
        <v>0</v>
      </c>
      <c r="W2010" s="1159" t="str">
        <f>IFERROR(VLOOKUP(CONCATENATE($B2010,$N2010),'LAC 103'!$AI:$AQ,9,FALSE),"")</f>
        <v/>
      </c>
      <c r="X2010" s="1160">
        <f t="shared" si="564"/>
        <v>0</v>
      </c>
      <c r="Y2010" s="1157">
        <f t="shared" si="574"/>
        <v>0</v>
      </c>
      <c r="Z2010" s="1161">
        <f t="shared" si="565"/>
        <v>0</v>
      </c>
      <c r="AA2010" s="1158">
        <f t="shared" si="566"/>
        <v>0</v>
      </c>
      <c r="AB2010" s="1158">
        <f t="shared" si="567"/>
        <v>0</v>
      </c>
      <c r="AC2010" s="1158">
        <f t="shared" si="568"/>
        <v>0</v>
      </c>
      <c r="AD2010" s="1162">
        <f t="shared" si="560"/>
        <v>0</v>
      </c>
      <c r="AE2010" s="1488">
        <v>0</v>
      </c>
      <c r="AF2010" s="1159">
        <f t="shared" si="569"/>
        <v>0</v>
      </c>
      <c r="AG2010" s="1163">
        <f>IFERROR(VLOOKUP(CONCATENATE($L2010,$N2010),'Drop List'!$G$23:$K$87,2,FALSE),0)</f>
        <v>0</v>
      </c>
      <c r="AH2010" s="1164">
        <f>IFERROR(VLOOKUP(CONCATENATE($L2010,$N2010),'Drop List'!$G$23:$K$87,3,FALSE),0)</f>
        <v>0</v>
      </c>
      <c r="AI2010" s="1164">
        <f>IFERROR(VLOOKUP(CONCATENATE($L2010,$N2010),'Drop List'!$G$23:$K$87,4,FALSE),0)</f>
        <v>0</v>
      </c>
      <c r="AJ2010" s="1165">
        <f>IFERROR(VLOOKUP(CONCATENATE($L2010,$N2010),'Drop List'!$G$23:$K$87,5,FALSE),0)</f>
        <v>0</v>
      </c>
      <c r="AK2010" s="1166">
        <f t="shared" si="570"/>
        <v>0</v>
      </c>
      <c r="AL2010" s="1167">
        <f t="shared" si="571"/>
        <v>0</v>
      </c>
      <c r="AM2010" s="1167">
        <f t="shared" si="572"/>
        <v>0</v>
      </c>
      <c r="AN2010" s="1159">
        <f t="shared" si="573"/>
        <v>0</v>
      </c>
      <c r="AO2010" s="1168">
        <f t="shared" si="558"/>
        <v>0</v>
      </c>
      <c r="AP2010" s="1161">
        <f t="shared" si="561"/>
        <v>0</v>
      </c>
      <c r="AQ2010" s="1158">
        <f t="shared" si="562"/>
        <v>0</v>
      </c>
      <c r="AR2010" s="1160">
        <f t="shared" si="563"/>
        <v>0</v>
      </c>
    </row>
    <row r="2011" spans="1:44" ht="15" thickBot="1" x14ac:dyDescent="0.25">
      <c r="A2011" s="1449" t="s">
        <v>861</v>
      </c>
      <c r="B2011" s="1450" t="s">
        <v>861</v>
      </c>
      <c r="C2011" s="1450" t="s">
        <v>861</v>
      </c>
      <c r="D2011" s="1450" t="s">
        <v>861</v>
      </c>
      <c r="E2011" s="1450" t="s">
        <v>861</v>
      </c>
      <c r="F2011" s="1450" t="s">
        <v>861</v>
      </c>
      <c r="G2011" s="1450" t="s">
        <v>861</v>
      </c>
      <c r="H2011" s="1189" t="s">
        <v>258</v>
      </c>
      <c r="I2011" s="1189" t="s">
        <v>861</v>
      </c>
      <c r="J2011" s="1189" t="s">
        <v>861</v>
      </c>
      <c r="K2011" s="1451" t="s">
        <v>861</v>
      </c>
      <c r="L2011" s="1189" t="s">
        <v>861</v>
      </c>
      <c r="M2011" s="1452" t="s">
        <v>861</v>
      </c>
      <c r="N2011" s="1453" t="s">
        <v>861</v>
      </c>
      <c r="O2011" s="1452">
        <f t="shared" ref="O2011:P2011" si="576">SUM(O7:O2010)</f>
        <v>16230625.633333333</v>
      </c>
      <c r="P2011" s="1452">
        <f t="shared" si="576"/>
        <v>0</v>
      </c>
      <c r="Q2011" s="1190">
        <f>SUM(Q7:Q2010)</f>
        <v>16230625.633333333</v>
      </c>
      <c r="R2011" s="1191" t="s">
        <v>861</v>
      </c>
      <c r="S2011" s="1192" t="s">
        <v>861</v>
      </c>
      <c r="T2011" s="1192" t="s">
        <v>861</v>
      </c>
      <c r="U2011" s="1192" t="s">
        <v>861</v>
      </c>
      <c r="V2011" s="1192" t="s">
        <v>861</v>
      </c>
      <c r="W2011" s="1193" t="s">
        <v>861</v>
      </c>
      <c r="X2011" s="1194" t="s">
        <v>861</v>
      </c>
      <c r="Y2011" s="1191">
        <f t="shared" ref="Y2011:AF2011" si="577">SUM(Y7:Y2010)</f>
        <v>55279404.999999873</v>
      </c>
      <c r="Z2011" s="1195">
        <f t="shared" si="577"/>
        <v>67982550.860000059</v>
      </c>
      <c r="AA2011" s="1192">
        <f t="shared" si="577"/>
        <v>43080894.150000043</v>
      </c>
      <c r="AB2011" s="1192">
        <f t="shared" si="577"/>
        <v>0</v>
      </c>
      <c r="AC2011" s="1192">
        <f t="shared" si="577"/>
        <v>0</v>
      </c>
      <c r="AD2011" s="1196">
        <f t="shared" si="577"/>
        <v>53706083.941427812</v>
      </c>
      <c r="AE2011" s="1195">
        <f t="shared" si="577"/>
        <v>343433</v>
      </c>
      <c r="AF2011" s="1193">
        <f t="shared" si="577"/>
        <v>53362650.941427812</v>
      </c>
      <c r="AG2011" s="1197" t="s">
        <v>861</v>
      </c>
      <c r="AH2011" s="1198" t="s">
        <v>861</v>
      </c>
      <c r="AI2011" s="1198" t="s">
        <v>861</v>
      </c>
      <c r="AJ2011" s="1199" t="s">
        <v>861</v>
      </c>
      <c r="AK2011" s="1200">
        <f t="shared" ref="AK2011:AR2011" si="578">SUM(AK7:AK2010)</f>
        <v>30958200.892608684</v>
      </c>
      <c r="AL2011" s="1201">
        <f t="shared" si="578"/>
        <v>5532671.5304234438</v>
      </c>
      <c r="AM2011" s="1201">
        <f t="shared" si="578"/>
        <v>1913412.3620739339</v>
      </c>
      <c r="AN2011" s="1193">
        <f t="shared" si="578"/>
        <v>7794576.8556868853</v>
      </c>
      <c r="AO2011" s="1202">
        <f t="shared" si="578"/>
        <v>46198861.64079278</v>
      </c>
      <c r="AP2011" s="1195">
        <f t="shared" si="578"/>
        <v>7163789.3006350612</v>
      </c>
      <c r="AQ2011" s="1192">
        <f t="shared" si="578"/>
        <v>0</v>
      </c>
      <c r="AR2011" s="1194">
        <f t="shared" si="578"/>
        <v>53362650.941427812</v>
      </c>
    </row>
    <row r="2012" spans="1:44" ht="15" thickBot="1" x14ac:dyDescent="0.25">
      <c r="AE2012" s="1454" t="s">
        <v>2017</v>
      </c>
      <c r="AF2012" s="1277">
        <f>AR2012</f>
        <v>2766695</v>
      </c>
      <c r="AQ2012" s="1277" t="s">
        <v>1995</v>
      </c>
      <c r="AR2012" s="1277">
        <f>'9A'!L49</f>
        <v>2766695</v>
      </c>
    </row>
    <row r="2013" spans="1:44" ht="15" thickBot="1" x14ac:dyDescent="0.25">
      <c r="AE2013" s="644" t="s">
        <v>2018</v>
      </c>
      <c r="AF2013" s="1455">
        <f>AF2011+AF2012</f>
        <v>56129345.941427812</v>
      </c>
      <c r="AR2013" s="1455">
        <f>AR2011+AR2012</f>
        <v>56129345.941427812</v>
      </c>
    </row>
    <row r="2014" spans="1:44" x14ac:dyDescent="0.2">
      <c r="AO2014" s="1126">
        <f>SUBTOTAL(9,AO7:AO2013)</f>
        <v>92397723.281585559</v>
      </c>
      <c r="AP2014" s="1126">
        <f>SUBTOTAL(9,AP7:AP2013)</f>
        <v>14327578.601270122</v>
      </c>
    </row>
    <row r="2016" spans="1:44" x14ac:dyDescent="0.2">
      <c r="X2016" s="644"/>
      <c r="Y2016" s="1803" t="s">
        <v>1988</v>
      </c>
      <c r="Z2016" s="1803"/>
      <c r="AA2016" s="1803"/>
      <c r="AB2016" s="1804" t="s">
        <v>1989</v>
      </c>
      <c r="AC2016" s="1804"/>
      <c r="AD2016" s="1804"/>
      <c r="AE2016" s="1803" t="s">
        <v>1993</v>
      </c>
      <c r="AF2016" s="1803"/>
      <c r="AG2016" s="1803"/>
    </row>
    <row r="2017" spans="24:33" x14ac:dyDescent="0.2">
      <c r="X2017" s="644"/>
      <c r="Y2017" s="1456" t="s">
        <v>1981</v>
      </c>
      <c r="Z2017" s="1456" t="s">
        <v>1982</v>
      </c>
      <c r="AA2017" s="1456" t="s">
        <v>258</v>
      </c>
      <c r="AB2017" s="1456" t="s">
        <v>1981</v>
      </c>
      <c r="AC2017" s="653" t="s">
        <v>1982</v>
      </c>
      <c r="AD2017" s="653" t="s">
        <v>258</v>
      </c>
      <c r="AE2017" s="644"/>
      <c r="AF2017" s="644"/>
      <c r="AG2017" s="644"/>
    </row>
    <row r="2018" spans="24:33" x14ac:dyDescent="0.2">
      <c r="X2018" s="1454" t="s">
        <v>1977</v>
      </c>
      <c r="Y2018" s="1457">
        <f>SUMIFS($Y$7:$Y$2010,$E$7:$E$2010,"05",$B$7:$B$2010,"iP")+SUMIFS($Y$7:$Y$2010,$E$7:$E$2010,"05",$B$7:$B$2010,"iPadm")-Z2018</f>
        <v>0</v>
      </c>
      <c r="Z2018" s="1457">
        <f>SUMIFS($Y$7:$Y$2010,$L$7:$L$2010,"14",$E$7:$E$2010,"05",$B$7:$B$2010,"iP")+SUMIFS($Y$7:$Y$2010,$L$7:$L$2010,"14",$E$7:$E$2010,"05",$B$7:$B$2010,"iPadm")</f>
        <v>0</v>
      </c>
      <c r="AA2018" s="1458">
        <f>Y2018+Z2018</f>
        <v>0</v>
      </c>
      <c r="AB2018" s="1458">
        <f>SUMIFS($AA$7:$AA$2010,$L$7:$L$2010,"14",$E$7:$E$2010,"05",$B$7:$B$2010,"iP")+SUMIFS($AA$7:$AA$2010,$L$7:$L$2010,"14",$E$7:$E$2010,"05",$B$7:$B$2010,"iPadm",$K$7:$K$2010,"Non-MediCal")</f>
        <v>0</v>
      </c>
      <c r="AC2018" s="1459"/>
      <c r="AD2018" s="644"/>
      <c r="AE2018" s="644"/>
      <c r="AF2018" s="644"/>
      <c r="AG2018" s="644"/>
    </row>
    <row r="2019" spans="24:33" x14ac:dyDescent="0.2">
      <c r="X2019" s="644"/>
      <c r="Y2019" s="1457"/>
      <c r="Z2019" s="1457"/>
      <c r="AA2019" s="1459"/>
      <c r="AB2019" s="1458"/>
      <c r="AC2019" s="1459"/>
      <c r="AD2019" s="644"/>
      <c r="AE2019" s="644"/>
      <c r="AF2019" s="644"/>
      <c r="AG2019" s="644"/>
    </row>
    <row r="2020" spans="24:33" x14ac:dyDescent="0.2">
      <c r="X2020" s="1454" t="s">
        <v>2016</v>
      </c>
      <c r="Y2020" s="1460">
        <f>SUMIFS($Y$7:$Y$2010,$E$7:$E$2010,"05",$B$7:$B$2010,"OP")-Z2020</f>
        <v>847410.02283211215</v>
      </c>
      <c r="Z2020" s="1461">
        <f>SUMIFS($Y$7:$Y$2010,$L$7:$L$2010,"14",$E$7:$E$2010,"05",$B$7:$B$2010,"OP")</f>
        <v>189476.48441335675</v>
      </c>
      <c r="AA2020" s="1460">
        <f>Y2020+Z2020</f>
        <v>1036886.5072454689</v>
      </c>
      <c r="AB2020" s="1462">
        <f>SUMIFS($Z$7:$Z$2010,$E$7:$E$2010,"05",$B$7:$B$2010,"OP")-AC2020</f>
        <v>789408.20999999985</v>
      </c>
      <c r="AC2020" s="1463">
        <f>SUMIFS($Z$7:$Z$2010,$L$7:$L$2010,"14",$E$7:$E$2010,"05",$B$7:$B$2010,"OP")</f>
        <v>176507.58</v>
      </c>
      <c r="AD2020" s="1462">
        <f>AB2020+AC2020</f>
        <v>965915.7899999998</v>
      </c>
      <c r="AE2020" s="1460">
        <f>SUMIFS($AA$7:$AA$2010,$E$7:$E$2010,"05",$B$7:$B$2010,"OP")-AF2020</f>
        <v>655225.49</v>
      </c>
      <c r="AF2020" s="1460">
        <f>SUMIFS($AA$7:$AA$2010,$L$7:$L$2010,"14",$E$7:$E$2010,"05",$B$7:$B$2010,"OP")</f>
        <v>146505.01999999999</v>
      </c>
      <c r="AG2020" s="1460">
        <f>AE2020+AF2020</f>
        <v>801730.51</v>
      </c>
    </row>
    <row r="2021" spans="24:33" x14ac:dyDescent="0.2">
      <c r="X2021" s="1454" t="s">
        <v>1978</v>
      </c>
      <c r="Y2021" s="1460">
        <f>SUMIFS($Y$7:$Y$2010,$E$7:$E$2010,"10",$B$7:$B$2010,"OP")-Z2021</f>
        <v>0</v>
      </c>
      <c r="Z2021" s="1461">
        <f>SUMIFS($Y$7:$Y$2010,$L$7:$L$2010,"14",$E$7:$E$2010,"10",$B$7:$B$2010,"OP")</f>
        <v>0</v>
      </c>
      <c r="AA2021" s="1460">
        <f>Y2021+Z2021</f>
        <v>0</v>
      </c>
      <c r="AB2021" s="1462">
        <f>SUMIFS($Z$7:$Z$2010,$E$7:$E$2010,"10",$B$7:$B$2010,"OP")-AC2021</f>
        <v>0</v>
      </c>
      <c r="AC2021" s="1463">
        <f>SUMIFS($Z$7:$Z$2010,$L$7:$L$2010,"14",$E$7:$E$2010,"10",$B$7:$B$2010,"OP")</f>
        <v>0</v>
      </c>
      <c r="AD2021" s="1462">
        <f>AB2021+AC2021</f>
        <v>0</v>
      </c>
      <c r="AE2021" s="1460">
        <f>SUMIFS($AA$7:$AA$2010,$E$7:$E$2010,"10",$B$7:$B$2010,"OP")-AF2021</f>
        <v>0</v>
      </c>
      <c r="AF2021" s="1460">
        <f>SUMIFS($AA$7:$AA$2010,$L$7:$L$2010,"14",$E$7:$E$2010,"10",$B$7:$B$2010,"OP")</f>
        <v>0</v>
      </c>
      <c r="AG2021" s="1460">
        <f>AE2021+AF2021</f>
        <v>0</v>
      </c>
    </row>
    <row r="2022" spans="24:33" x14ac:dyDescent="0.2">
      <c r="X2022" s="1454" t="s">
        <v>1987</v>
      </c>
      <c r="Y2022" s="1460">
        <f>SUMIFS($Y$7:$Y$2010,$E$7:$E$2010,"10",$B$7:$B$2010,"UCC")-Z2022</f>
        <v>0</v>
      </c>
      <c r="Z2022" s="1461">
        <f>SUMIFS($Y$7:$Y$2010,$L$7:$L$2010,"14",$E$7:$E$2010,"10",$B$7:$B$2010,"UCC")</f>
        <v>0</v>
      </c>
      <c r="AA2022" s="1460">
        <f>Y2022+Z2022</f>
        <v>0</v>
      </c>
      <c r="AB2022" s="1462">
        <f>SUMIFS($Z$7:$Z$2010,$E$7:$E$2010,"10",$B$7:$B$2010,"UCC")-AC2022</f>
        <v>0</v>
      </c>
      <c r="AC2022" s="1463">
        <f>SUMIFS($Z$7:$Z$2010,$L$7:$L$2010,"14",$E$7:$E$2010,"10",$B$7:$B$2010,"UCC")</f>
        <v>0</v>
      </c>
      <c r="AD2022" s="1462">
        <f>AB2022+AC2022</f>
        <v>0</v>
      </c>
      <c r="AE2022" s="1460">
        <f>SUMIFS($AA$7:$AA$2010,$E$7:$E$2010,"10",$B$7:$B$2010,"UCC")-AF2022</f>
        <v>0</v>
      </c>
      <c r="AF2022" s="1460">
        <f>SUMIFS($AA$7:$AA$2010,$L$7:$L$2010,"14",$E$7:$E$2010,"10",$B$7:$B$2010,"UCC")</f>
        <v>0</v>
      </c>
      <c r="AG2022" s="1460">
        <f>AE2022+AF2022</f>
        <v>0</v>
      </c>
    </row>
    <row r="2023" spans="24:33" x14ac:dyDescent="0.2">
      <c r="X2023" s="1454" t="s">
        <v>1979</v>
      </c>
      <c r="Y2023" s="1460">
        <f>SUMIFS($Y$7:$Y$2010,$E$7:$E$2010,"15",$B$7:$B$2010,"OP")-Z2023</f>
        <v>47027581.551653072</v>
      </c>
      <c r="Z2023" s="1461">
        <f>SUMIFS($Y$7:$Y$2010,$L$7:$L$2010,"14",$E$7:$E$2010,"15",$B$7:$B$2010,"OP")</f>
        <v>5723108.9411013266</v>
      </c>
      <c r="AA2023" s="1460">
        <f>Y2023+Z2023</f>
        <v>52750690.4927544</v>
      </c>
      <c r="AB2023" s="1462">
        <f>SUMIFS($Z$7:$Z$2010,$E$7:$E$2010,"15",$B$7:$B$2010,"OP")-AC2023</f>
        <v>58415272.680000044</v>
      </c>
      <c r="AC2023" s="1463">
        <f>SUMIFS($Z$7:$Z$2010,$L$7:$L$2010,"14",$E$7:$E$2010,"15",$B$7:$B$2010,"OP")</f>
        <v>7109534.3900000025</v>
      </c>
      <c r="AD2023" s="1462">
        <f>AB2023+AC2023</f>
        <v>65524807.070000045</v>
      </c>
      <c r="AE2023" s="1460">
        <f>SUMIFS($AA$7:$AA$2010,$E$7:$E$2010,"15",$B$7:$B$2010,"OP")-AF2023</f>
        <v>36362173.370000042</v>
      </c>
      <c r="AF2023" s="1460">
        <f>SUMIFS($AA$7:$AA$2010,$L$7:$L$2010,"14",$E$7:$E$2010,"15",$B$7:$B$2010,"OP")</f>
        <v>4425162.2700000014</v>
      </c>
      <c r="AG2023" s="1460">
        <f>AE2023+AF2023</f>
        <v>40787335.640000045</v>
      </c>
    </row>
    <row r="2024" spans="24:33" ht="15" thickBot="1" x14ac:dyDescent="0.25">
      <c r="X2024" s="1454" t="s">
        <v>1980</v>
      </c>
      <c r="Y2024" s="1464">
        <f t="shared" ref="Y2024:AG2024" si="579">SUM(Y2020:Y2023)</f>
        <v>47874991.574485183</v>
      </c>
      <c r="Z2024" s="1464">
        <f t="shared" si="579"/>
        <v>5912585.4255146831</v>
      </c>
      <c r="AA2024" s="1464">
        <f t="shared" si="579"/>
        <v>53787576.999999866</v>
      </c>
      <c r="AB2024" s="1465">
        <f t="shared" si="579"/>
        <v>59204680.890000045</v>
      </c>
      <c r="AC2024" s="1465">
        <f t="shared" si="579"/>
        <v>7286041.9700000025</v>
      </c>
      <c r="AD2024" s="1465">
        <f t="shared" si="579"/>
        <v>66490722.860000044</v>
      </c>
      <c r="AE2024" s="1464">
        <f t="shared" si="579"/>
        <v>37017398.860000044</v>
      </c>
      <c r="AF2024" s="1464">
        <f t="shared" si="579"/>
        <v>4571667.290000001</v>
      </c>
      <c r="AG2024" s="1464">
        <f t="shared" si="579"/>
        <v>41589066.150000043</v>
      </c>
    </row>
    <row r="2025" spans="24:33" ht="15" thickTop="1" x14ac:dyDescent="0.2">
      <c r="X2025" s="1454"/>
      <c r="Y2025" s="1466"/>
      <c r="Z2025" s="1466"/>
      <c r="AA2025" s="1466"/>
      <c r="AB2025" s="1467"/>
      <c r="AC2025" s="1467"/>
      <c r="AD2025" s="1467"/>
      <c r="AE2025" s="1460"/>
      <c r="AF2025" s="1460"/>
      <c r="AG2025" s="1460"/>
    </row>
    <row r="2026" spans="24:33" x14ac:dyDescent="0.2">
      <c r="X2026" s="1454" t="s">
        <v>1983</v>
      </c>
      <c r="Y2026" s="1466"/>
      <c r="Z2026" s="1460">
        <f>SUMIFS($Y$7:$Y$2010,$L$7:$L$2010,"14",$E$7:$E$2010,"45")</f>
        <v>1363620.0965891497</v>
      </c>
      <c r="AA2026" s="1460">
        <f t="shared" ref="AA2026:AA2031" si="580">Y2026+Z2026</f>
        <v>1363620.0965891497</v>
      </c>
      <c r="AB2026" s="1467"/>
      <c r="AC2026" s="1462">
        <f>SUMIFS($Z$7:$Z$2010,$L$7:$L$2010,"14",$E$7:$E$2010,"45")</f>
        <v>1363620.0965891497</v>
      </c>
      <c r="AD2026" s="1462">
        <f t="shared" ref="AD2026:AD2031" si="581">AB2026+AC2026</f>
        <v>1363620.0965891497</v>
      </c>
      <c r="AE2026" s="1460"/>
      <c r="AF2026" s="1460">
        <f>SUMIFS($AA$7:$AA$2010,$L$7:$L$2010,"14",$E$7:$E$2010,"45")</f>
        <v>1363620.0965891497</v>
      </c>
      <c r="AG2026" s="1460">
        <f>AE2026+AF2026</f>
        <v>1363620.0965891497</v>
      </c>
    </row>
    <row r="2027" spans="24:33" x14ac:dyDescent="0.2">
      <c r="X2027" s="1454" t="s">
        <v>1984</v>
      </c>
      <c r="Y2027" s="1466"/>
      <c r="Z2027" s="1460">
        <f>SUMIFS($Y$7:$Y$2010,$L$7:$L$2010,"14",$E$7:$E$2010,"60")</f>
        <v>128207.9034108499</v>
      </c>
      <c r="AA2027" s="1460">
        <f t="shared" si="580"/>
        <v>128207.9034108499</v>
      </c>
      <c r="AB2027" s="1467"/>
      <c r="AC2027" s="1462">
        <f>SUMIFS($Z$7:$Z$2010,$L$7:$L$2010,"14",$E$7:$E$2010,"60")</f>
        <v>128207.9034108499</v>
      </c>
      <c r="AD2027" s="1462">
        <f t="shared" si="581"/>
        <v>128207.9034108499</v>
      </c>
      <c r="AE2027" s="1460"/>
      <c r="AF2027" s="1460">
        <f>SUMIFS($AA$7:$AA$2010,$L$7:$L$2010,"14",$E$7:$E$2010,"60")</f>
        <v>128207.9034108499</v>
      </c>
      <c r="AG2027" s="1460">
        <f>AE2027+AF2027</f>
        <v>128207.9034108499</v>
      </c>
    </row>
    <row r="2028" spans="24:33" ht="15" thickBot="1" x14ac:dyDescent="0.25">
      <c r="X2028" s="1454" t="s">
        <v>1990</v>
      </c>
      <c r="Y2028" s="1464">
        <f t="shared" ref="Y2028:AG2028" si="582">SUBTOTAL(9,Y2026:Y2027)</f>
        <v>0</v>
      </c>
      <c r="Z2028" s="1464">
        <f t="shared" si="582"/>
        <v>1491827.9999999995</v>
      </c>
      <c r="AA2028" s="1464">
        <f t="shared" si="582"/>
        <v>1491827.9999999995</v>
      </c>
      <c r="AB2028" s="1465">
        <f t="shared" si="582"/>
        <v>0</v>
      </c>
      <c r="AC2028" s="1465">
        <f t="shared" si="582"/>
        <v>1491827.9999999995</v>
      </c>
      <c r="AD2028" s="1465">
        <f t="shared" si="582"/>
        <v>1491827.9999999995</v>
      </c>
      <c r="AE2028" s="1464">
        <f t="shared" si="582"/>
        <v>0</v>
      </c>
      <c r="AF2028" s="1464">
        <f t="shared" si="582"/>
        <v>1491827.9999999995</v>
      </c>
      <c r="AG2028" s="1464">
        <f t="shared" si="582"/>
        <v>1491827.9999999995</v>
      </c>
    </row>
    <row r="2029" spans="24:33" ht="15.75" thickTop="1" thickBot="1" x14ac:dyDescent="0.25">
      <c r="X2029" s="1454" t="s">
        <v>1992</v>
      </c>
      <c r="Y2029" s="1468">
        <f t="shared" ref="Y2029:AG2029" si="583">Y2024+Y2028</f>
        <v>47874991.574485183</v>
      </c>
      <c r="Z2029" s="1468">
        <f t="shared" si="583"/>
        <v>7404413.4255146831</v>
      </c>
      <c r="AA2029" s="1468">
        <f t="shared" si="583"/>
        <v>55279404.999999866</v>
      </c>
      <c r="AB2029" s="1469">
        <f t="shared" si="583"/>
        <v>59204680.890000045</v>
      </c>
      <c r="AC2029" s="1469">
        <f t="shared" si="583"/>
        <v>8777869.9700000025</v>
      </c>
      <c r="AD2029" s="1469">
        <f t="shared" si="583"/>
        <v>67982550.860000044</v>
      </c>
      <c r="AE2029" s="1468">
        <f t="shared" si="583"/>
        <v>37017398.860000044</v>
      </c>
      <c r="AF2029" s="1468">
        <f t="shared" si="583"/>
        <v>6063495.290000001</v>
      </c>
      <c r="AG2029" s="1468">
        <f t="shared" si="583"/>
        <v>43080894.150000043</v>
      </c>
    </row>
    <row r="2030" spans="24:33" ht="15" thickTop="1" x14ac:dyDescent="0.2">
      <c r="X2030" s="1454"/>
      <c r="Y2030" s="1466"/>
      <c r="Z2030" s="1460"/>
      <c r="AA2030" s="1470" t="str">
        <f>IF(ABS(Y$2011-AA$2029)&lt;2,"OK","Error")</f>
        <v>OK</v>
      </c>
      <c r="AB2030" s="1467"/>
      <c r="AC2030" s="1462"/>
      <c r="AD2030" s="1471" t="str">
        <f>IF(ABS(Z$2011-AD$2029)&lt;2,"OK","Error")</f>
        <v>OK</v>
      </c>
      <c r="AE2030" s="1460"/>
      <c r="AF2030" s="1460"/>
      <c r="AG2030" s="1470" t="str">
        <f>IF(ABS(AA$2011-AG$2029)&lt;2,"OK","Error")</f>
        <v>OK</v>
      </c>
    </row>
    <row r="2031" spans="24:33" x14ac:dyDescent="0.2">
      <c r="X2031" s="1454" t="s">
        <v>1991</v>
      </c>
      <c r="Y2031" s="1466"/>
      <c r="Z2031" s="1460">
        <f>'9A'!$L$49</f>
        <v>2766695</v>
      </c>
      <c r="AA2031" s="1460">
        <f t="shared" si="580"/>
        <v>2766695</v>
      </c>
      <c r="AB2031" s="1467"/>
      <c r="AC2031" s="1462">
        <f>'9A'!$L$49</f>
        <v>2766695</v>
      </c>
      <c r="AD2031" s="1462">
        <f t="shared" si="581"/>
        <v>2766695</v>
      </c>
      <c r="AE2031" s="1460"/>
      <c r="AF2031" s="1460">
        <f>'9A'!$L$49</f>
        <v>2766695</v>
      </c>
      <c r="AG2031" s="1460">
        <f>AE2031+AF2031</f>
        <v>2766695</v>
      </c>
    </row>
    <row r="2032" spans="24:33" ht="15" thickBot="1" x14ac:dyDescent="0.25">
      <c r="X2032" s="1472" t="s">
        <v>1117</v>
      </c>
      <c r="Y2032" s="1464">
        <f t="shared" ref="Y2032:AG2032" si="584">Y2024+Y2028+Y2031</f>
        <v>47874991.574485183</v>
      </c>
      <c r="Z2032" s="1464">
        <f t="shared" si="584"/>
        <v>10171108.425514683</v>
      </c>
      <c r="AA2032" s="1464">
        <f t="shared" si="584"/>
        <v>58046099.999999866</v>
      </c>
      <c r="AB2032" s="1465">
        <f t="shared" si="584"/>
        <v>59204680.890000045</v>
      </c>
      <c r="AC2032" s="1465">
        <f t="shared" si="584"/>
        <v>11544564.970000003</v>
      </c>
      <c r="AD2032" s="1465">
        <f t="shared" si="584"/>
        <v>70749245.860000044</v>
      </c>
      <c r="AE2032" s="1464">
        <f t="shared" si="584"/>
        <v>37017398.860000044</v>
      </c>
      <c r="AF2032" s="1464">
        <f t="shared" si="584"/>
        <v>8830190.290000001</v>
      </c>
      <c r="AG2032" s="1464">
        <f t="shared" si="584"/>
        <v>45847589.150000043</v>
      </c>
    </row>
    <row r="2033" spans="24:33" ht="15" thickTop="1" x14ac:dyDescent="0.2">
      <c r="X2033" s="644"/>
      <c r="Y2033" s="644"/>
      <c r="Z2033" s="644"/>
      <c r="AA2033" s="1473" t="str">
        <f>IF(ABS(AA2032-Schedule_C!L11)&lt;2,"OK","Error")</f>
        <v>OK</v>
      </c>
      <c r="AB2033" s="1277"/>
      <c r="AC2033" s="644"/>
      <c r="AD2033" s="644"/>
      <c r="AE2033" s="644"/>
      <c r="AF2033" s="644"/>
      <c r="AG2033" s="644"/>
    </row>
  </sheetData>
  <sheetProtection autoFilter="0"/>
  <mergeCells count="6">
    <mergeCell ref="R5:X5"/>
    <mergeCell ref="AG5:AJ5"/>
    <mergeCell ref="Y5:AD5"/>
    <mergeCell ref="Y2016:AA2016"/>
    <mergeCell ref="AB2016:AD2016"/>
    <mergeCell ref="AE2016:AG2016"/>
  </mergeCells>
  <phoneticPr fontId="48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5CE208F-E24F-4935-8999-B489234F84E2}">
          <x14:formula1>
            <xm:f>'Drop List'!$E$2:$E$7</xm:f>
          </x14:formula1>
          <xm:sqref>D7:D1501</xm:sqref>
        </x14:dataValidation>
        <x14:dataValidation type="list" allowBlank="1" showInputMessage="1" showErrorMessage="1" xr:uid="{D717EE69-3238-4A6A-A092-BB69CA1C106B}">
          <x14:formula1>
            <xm:f>'Drop List'!$C$2:$C$8</xm:f>
          </x14:formula1>
          <xm:sqref>E7:E1501</xm:sqref>
        </x14:dataValidation>
        <x14:dataValidation type="list" allowBlank="1" showInputMessage="1" showErrorMessage="1" xr:uid="{3ACBCDB5-D0ED-4E18-8083-FA2DD4B0E710}">
          <x14:formula1>
            <xm:f>'Drop List'!$N$2:$N$53</xm:f>
          </x14:formula1>
          <xm:sqref>H7:H1501</xm:sqref>
        </x14:dataValidation>
        <x14:dataValidation type="list" allowBlank="1" showInputMessage="1" showErrorMessage="1" xr:uid="{D0417CB8-D10F-4879-8CB5-CD8358398CDC}">
          <x14:formula1>
            <xm:f>'Drop List'!$H$2:$H$20</xm:f>
          </x14:formula1>
          <xm:sqref>K7:K1501</xm:sqref>
        </x14:dataValidation>
        <x14:dataValidation type="list" allowBlank="1" showInputMessage="1" showErrorMessage="1" xr:uid="{BA31985A-BC6B-4802-9982-934A27F73759}">
          <x14:formula1>
            <xm:f>'Drop List'!$B$23:$B$28</xm:f>
          </x14:formula1>
          <xm:sqref>M7:M1501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F8306-7DE5-468A-A05E-5B65E087C839}">
  <dimension ref="A1:BG114"/>
  <sheetViews>
    <sheetView topLeftCell="K1" zoomScaleNormal="100" workbookViewId="0">
      <selection activeCell="Q6" sqref="Q6"/>
    </sheetView>
  </sheetViews>
  <sheetFormatPr defaultColWidth="9.88671875" defaultRowHeight="15" x14ac:dyDescent="0.2"/>
  <cols>
    <col min="1" max="1" width="8.77734375" style="374" customWidth="1"/>
    <col min="2" max="2" width="9.6640625" style="374" customWidth="1"/>
    <col min="3" max="3" width="7.5546875" style="374" customWidth="1"/>
    <col min="4" max="4" width="6.77734375" style="374" customWidth="1"/>
    <col min="5" max="5" width="13.6640625" style="374" customWidth="1"/>
    <col min="6" max="59" width="15.77734375" style="374" customWidth="1"/>
    <col min="60" max="16384" width="9.88671875" style="374"/>
  </cols>
  <sheetData>
    <row r="1" spans="1:59" s="584" customFormat="1" ht="22.5" thickBot="1" x14ac:dyDescent="0.35">
      <c r="A1" s="580" t="s">
        <v>13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1720"/>
      <c r="O1" s="581"/>
      <c r="P1" s="581"/>
      <c r="Q1" s="581">
        <f>IF(N2&gt;1000,ROUNDUP(MIN(ABS(O6),Q5),-3),ROUNDUP(MIN(ABS(O6),Q5),-2))</f>
        <v>0</v>
      </c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2"/>
      <c r="AN1" s="581"/>
      <c r="AO1" s="582"/>
      <c r="AP1" s="582"/>
      <c r="AQ1" s="582"/>
      <c r="AR1" s="582"/>
      <c r="AS1" s="582"/>
      <c r="AT1" s="582"/>
      <c r="AU1" s="582"/>
      <c r="AV1" s="582"/>
      <c r="AW1" s="582"/>
      <c r="AX1" s="582"/>
      <c r="AY1" s="582"/>
      <c r="AZ1" s="582"/>
      <c r="BA1" s="582"/>
      <c r="BB1" s="582"/>
      <c r="BC1" s="582"/>
      <c r="BD1" s="582"/>
      <c r="BE1" s="582"/>
      <c r="BF1" s="583" t="s">
        <v>12</v>
      </c>
      <c r="BG1" s="583"/>
    </row>
    <row r="2" spans="1:59" s="1639" customFormat="1" ht="17.100000000000001" customHeight="1" thickTop="1" x14ac:dyDescent="0.25">
      <c r="A2" s="247" t="s">
        <v>15</v>
      </c>
      <c r="B2" s="1638"/>
      <c r="C2" s="1638"/>
      <c r="D2" s="1638"/>
      <c r="E2" s="1638"/>
      <c r="F2" s="1638"/>
      <c r="G2" s="1638"/>
      <c r="H2" s="1638"/>
      <c r="I2" s="1638"/>
      <c r="J2" s="1638"/>
      <c r="K2" s="1638"/>
      <c r="L2" s="1716" t="s">
        <v>2129</v>
      </c>
      <c r="M2" s="1638"/>
      <c r="N2" s="781"/>
      <c r="O2" s="783">
        <f>IF((P5-P2-Q2)&lt;=0,0,MIN(G15,P5-P2-Q2))</f>
        <v>0</v>
      </c>
      <c r="P2" s="1710">
        <f>IF((P5-Q2)&lt;=0,0,MIN(I15,P5-Q2))</f>
        <v>0</v>
      </c>
      <c r="Q2" s="1711">
        <f>IF(P5=0,0,MIN(P5,K15))</f>
        <v>0</v>
      </c>
      <c r="R2" s="1638"/>
      <c r="S2" s="1638"/>
      <c r="T2" s="1638"/>
      <c r="U2" s="1638"/>
      <c r="V2" s="1638"/>
      <c r="W2" s="1638"/>
      <c r="X2" s="1638"/>
      <c r="Y2" s="1638"/>
      <c r="Z2" s="1638"/>
      <c r="AA2" s="1638"/>
      <c r="AB2" s="1638"/>
      <c r="AC2" s="1638"/>
      <c r="AD2" s="1638"/>
      <c r="AE2" s="1638"/>
      <c r="AF2" s="1638"/>
      <c r="AG2" s="1638"/>
      <c r="AH2" s="1638"/>
      <c r="AI2" s="1638"/>
      <c r="AJ2" s="1638"/>
      <c r="AK2" s="1638"/>
      <c r="AL2" s="1638"/>
      <c r="AM2" s="1638"/>
      <c r="AN2" s="1638"/>
      <c r="AO2" s="1638"/>
      <c r="AP2" s="1638"/>
      <c r="AQ2" s="1638"/>
      <c r="AR2" s="1638"/>
      <c r="AS2" s="1638"/>
      <c r="AT2" s="1638"/>
      <c r="AU2" s="1638"/>
      <c r="AV2" s="1638"/>
      <c r="AW2" s="1638"/>
      <c r="AX2" s="1638"/>
      <c r="AY2" s="1638"/>
      <c r="AZ2" s="1638"/>
      <c r="BA2" s="1638"/>
      <c r="BB2" s="1638"/>
      <c r="BC2" s="1638"/>
      <c r="BD2" s="1638"/>
      <c r="BE2" s="1638"/>
      <c r="BF2" s="1638"/>
      <c r="BG2" s="1638"/>
    </row>
    <row r="3" spans="1:59" s="1639" customFormat="1" ht="17.100000000000001" customHeight="1" x14ac:dyDescent="0.25">
      <c r="A3" s="1637" t="s">
        <v>2073</v>
      </c>
      <c r="B3" s="1638"/>
      <c r="C3" s="1638"/>
      <c r="D3" s="1638"/>
      <c r="E3" s="1638"/>
      <c r="F3" s="1638"/>
      <c r="G3" s="1638"/>
      <c r="H3" s="1638"/>
      <c r="I3" s="1638"/>
      <c r="J3" s="1638"/>
      <c r="K3" s="1638"/>
      <c r="L3" s="1703"/>
      <c r="M3" s="1703"/>
      <c r="N3" s="1703"/>
      <c r="O3" s="1704" t="s">
        <v>2122</v>
      </c>
      <c r="P3" s="1709" t="s">
        <v>2125</v>
      </c>
      <c r="Q3" s="1714"/>
      <c r="R3" s="1704" t="s">
        <v>2124</v>
      </c>
      <c r="S3" s="1638"/>
      <c r="T3" s="653"/>
      <c r="U3" s="653"/>
      <c r="V3" s="653"/>
      <c r="W3" s="653"/>
      <c r="X3" s="653"/>
      <c r="Y3" s="653"/>
      <c r="Z3" s="653"/>
      <c r="AA3" s="653"/>
      <c r="AB3" s="653"/>
      <c r="AC3" s="653"/>
      <c r="AD3" s="653"/>
      <c r="AE3" s="653"/>
      <c r="AF3" s="1638"/>
      <c r="AG3" s="1638"/>
      <c r="AH3" s="1638"/>
      <c r="AI3" s="1638"/>
      <c r="AJ3" s="1638"/>
      <c r="AK3" s="1638"/>
      <c r="AL3" s="1638"/>
      <c r="AM3" s="1638"/>
      <c r="AN3" s="1638"/>
      <c r="AO3" s="1638"/>
      <c r="AP3" s="1638"/>
      <c r="AQ3" s="1638"/>
      <c r="AR3" s="1638"/>
      <c r="AS3" s="1638"/>
      <c r="AT3" s="1638"/>
      <c r="AU3" s="1638"/>
      <c r="AV3" s="1638"/>
      <c r="AW3" s="1638"/>
      <c r="AX3" s="1638"/>
      <c r="AY3" s="1638"/>
      <c r="AZ3" s="1638"/>
      <c r="BA3" s="1638"/>
      <c r="BB3" s="1638"/>
      <c r="BC3" s="1638"/>
      <c r="BD3" s="1638"/>
      <c r="BE3" s="1638"/>
      <c r="BF3" s="1638"/>
      <c r="BG3" s="1638"/>
    </row>
    <row r="4" spans="1:59" s="1639" customFormat="1" ht="17.100000000000001" customHeight="1" x14ac:dyDescent="0.25">
      <c r="A4" s="1640" t="s">
        <v>2072</v>
      </c>
      <c r="B4" s="1638"/>
      <c r="C4" s="1638"/>
      <c r="D4" s="1638"/>
      <c r="E4" s="1638"/>
      <c r="F4" s="1638"/>
      <c r="G4" s="1638"/>
      <c r="H4" s="1638"/>
      <c r="I4" s="1638"/>
      <c r="J4" s="1638"/>
      <c r="K4" s="1638"/>
      <c r="L4" s="1705"/>
      <c r="M4" s="1706" t="s">
        <v>2119</v>
      </c>
      <c r="N4" s="1706" t="s">
        <v>2120</v>
      </c>
      <c r="O4" s="1706" t="s">
        <v>2121</v>
      </c>
      <c r="P4" s="1712" t="s">
        <v>2123</v>
      </c>
      <c r="Q4" s="1706" t="s">
        <v>2126</v>
      </c>
      <c r="R4" s="1706" t="s">
        <v>2116</v>
      </c>
      <c r="S4" s="1638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1638"/>
      <c r="AG4" s="1638"/>
      <c r="AH4" s="1638"/>
      <c r="AI4" s="1638"/>
      <c r="AJ4" s="1638"/>
      <c r="AK4" s="1638"/>
      <c r="AL4" s="1638"/>
      <c r="AM4" s="1638"/>
      <c r="AN4" s="1638"/>
      <c r="AO4" s="1638"/>
      <c r="AP4" s="1638"/>
      <c r="AQ4" s="1638"/>
      <c r="AR4" s="1638"/>
      <c r="AS4" s="1638"/>
      <c r="AT4" s="1638"/>
      <c r="AU4" s="1638"/>
      <c r="AV4" s="1638"/>
      <c r="AW4" s="1638"/>
      <c r="AX4" s="1638"/>
      <c r="AY4" s="1638"/>
      <c r="AZ4" s="1638"/>
      <c r="BA4" s="1638"/>
      <c r="BB4" s="1638"/>
      <c r="BC4" s="1638"/>
      <c r="BD4" s="1638"/>
      <c r="BE4" s="1638"/>
      <c r="BF4" s="786" t="s">
        <v>312</v>
      </c>
      <c r="BG4" s="786"/>
    </row>
    <row r="5" spans="1:59" ht="17.100000000000001" customHeight="1" x14ac:dyDescent="0.2">
      <c r="A5" s="378"/>
      <c r="B5" s="378"/>
      <c r="C5" s="378"/>
      <c r="D5" s="378"/>
      <c r="E5" s="378"/>
      <c r="F5" s="378"/>
      <c r="G5" s="378"/>
      <c r="H5" s="378"/>
      <c r="I5" s="378"/>
      <c r="J5" s="1689"/>
      <c r="K5" s="378"/>
      <c r="L5" s="1707" t="s">
        <v>2062</v>
      </c>
      <c r="M5" s="1708">
        <f>SUMIFS('Final Shift Worksheet'!$I$11:$I$120,'Final Shift Worksheet'!$A$11:$A$120,$C$7,'Final Shift Worksheet'!$D$11:$D$120,$C$9)</f>
        <v>611834</v>
      </c>
      <c r="N5" s="1708">
        <f>E15</f>
        <v>621630.7026702268</v>
      </c>
      <c r="O5" s="1708">
        <f>M5-N5</f>
        <v>-9796.7026702268049</v>
      </c>
      <c r="P5" s="1717"/>
      <c r="Q5" s="1718">
        <f>IF(P5&lt;=0,0,Q2/K10+P2/I10+O2/G10)</f>
        <v>0</v>
      </c>
      <c r="R5" s="1713">
        <f>M5+P5</f>
        <v>611834</v>
      </c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  <c r="BG5" s="378"/>
    </row>
    <row r="6" spans="1:59" ht="17.100000000000001" customHeight="1" x14ac:dyDescent="0.2">
      <c r="A6" s="378"/>
      <c r="B6" s="382" t="s">
        <v>311</v>
      </c>
      <c r="C6" s="378" t="str">
        <f>IF(Info!$B$7=""," ",Info!$B$7)</f>
        <v>ABC Mental Health Center</v>
      </c>
      <c r="D6" s="251"/>
      <c r="E6" s="251"/>
      <c r="F6" s="378"/>
      <c r="G6" s="378"/>
      <c r="H6" s="378"/>
      <c r="I6" s="378"/>
      <c r="J6" s="378"/>
      <c r="K6" s="378"/>
      <c r="L6" s="1707" t="s">
        <v>2117</v>
      </c>
      <c r="M6" s="1708">
        <f>SUMIFS('Final Shift Worksheet'!$J$11:$J$120,'Final Shift Worksheet'!$A$11:$A$120,$C$7,'Final Shift Worksheet'!$D$11:$D$120,$C$9,'Final Shift Worksheet'!$G$11:$G$120,"")</f>
        <v>1482444</v>
      </c>
      <c r="N6" s="1708">
        <f>E16</f>
        <v>1615539.7224542478</v>
      </c>
      <c r="O6" s="1708">
        <f t="shared" ref="O6:O8" si="0">M6-N6</f>
        <v>-133095.72245424776</v>
      </c>
      <c r="P6" s="1719"/>
      <c r="Q6" s="1718">
        <f>IF(P5&lt;=0,P5,IF(SUM(O5,P5)&gt;=0,ABS(O6),MIN(Q5,ABS(O6))))</f>
        <v>0</v>
      </c>
      <c r="R6" s="1713">
        <f>M6+Q6</f>
        <v>1482444</v>
      </c>
      <c r="S6" s="378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78"/>
      <c r="AH6" s="378"/>
      <c r="AI6" s="378"/>
      <c r="AJ6" s="378"/>
      <c r="AK6" s="378"/>
      <c r="AL6" s="378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378"/>
      <c r="BA6" s="378"/>
      <c r="BB6" s="378"/>
      <c r="BC6" s="378"/>
      <c r="BD6" s="378"/>
      <c r="BE6" s="378"/>
      <c r="BF6" s="378"/>
      <c r="BG6" s="378"/>
    </row>
    <row r="7" spans="1:59" ht="17.100000000000001" customHeight="1" x14ac:dyDescent="0.2">
      <c r="A7" s="378"/>
      <c r="B7" s="1690" t="s">
        <v>2013</v>
      </c>
      <c r="C7" s="1670" t="s">
        <v>1100</v>
      </c>
      <c r="D7" s="251"/>
      <c r="E7" s="251"/>
      <c r="F7" s="251"/>
      <c r="G7" s="251"/>
      <c r="H7" s="251"/>
      <c r="I7" s="251"/>
      <c r="J7" s="251"/>
      <c r="K7" s="251"/>
      <c r="L7" s="1707" t="s">
        <v>2118</v>
      </c>
      <c r="M7" s="1708">
        <f>SUMIFS('Final Shift Worksheet'!$J$11:$J$120,'Final Shift Worksheet'!$A$11:$A$120,$C$7,'Final Shift Worksheet'!$D$11:$D$120,$C$9,'Final Shift Worksheet'!$G$11:$G$120,"14")</f>
        <v>110135</v>
      </c>
      <c r="N7" s="1708">
        <f>E17</f>
        <v>123243.27178180673</v>
      </c>
      <c r="O7" s="1708">
        <f t="shared" si="0"/>
        <v>-13108.271781806732</v>
      </c>
      <c r="P7" s="1717"/>
      <c r="Q7" s="1718">
        <f>P7</f>
        <v>0</v>
      </c>
      <c r="R7" s="1713">
        <f>M7+Q7</f>
        <v>110135</v>
      </c>
      <c r="S7" s="378"/>
      <c r="T7" s="378"/>
      <c r="U7" s="378"/>
      <c r="V7" s="378"/>
      <c r="W7" s="378"/>
      <c r="X7" s="378"/>
      <c r="Y7" s="378"/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</row>
    <row r="8" spans="1:59" ht="17.100000000000001" customHeight="1" x14ac:dyDescent="0.25">
      <c r="A8" s="378"/>
      <c r="B8" s="1690" t="s">
        <v>2014</v>
      </c>
      <c r="C8" s="1806" t="s">
        <v>900</v>
      </c>
      <c r="D8" s="1807"/>
      <c r="E8" s="1807"/>
      <c r="F8" s="1807"/>
      <c r="G8" s="1807"/>
      <c r="H8" s="251"/>
      <c r="I8" s="251"/>
      <c r="J8" s="251"/>
      <c r="K8" s="251"/>
      <c r="L8" s="1707" t="s">
        <v>857</v>
      </c>
      <c r="M8" s="1708">
        <f>SUMIFS('Final Shift Worksheet'!$J$11:$J$120,'Final Shift Worksheet'!$A$11:$A$120,$C$7,'Final Shift Worksheet'!$D$11:$D$120,$C$9,'Final Shift Worksheet'!$G$11:$G$120,"15")</f>
        <v>256245</v>
      </c>
      <c r="N8" s="1708">
        <f>SUMIFS('Final Shift Worksheet'!$L$11:$L$120,'Final Shift Worksheet'!$A$11:$A$120,$C$7,'Final Shift Worksheet'!$D$11:$D$120,$C$9,'Final Shift Worksheet'!$G$11:$G$120,"15")</f>
        <v>215040</v>
      </c>
      <c r="O8" s="1708">
        <f t="shared" si="0"/>
        <v>41205</v>
      </c>
      <c r="P8" s="1717"/>
      <c r="Q8" s="1718">
        <f>P8</f>
        <v>0</v>
      </c>
      <c r="R8" s="1713">
        <f>M8+Q8</f>
        <v>256245</v>
      </c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  <c r="BG8" s="378"/>
    </row>
    <row r="9" spans="1:59" ht="17.100000000000001" customHeight="1" x14ac:dyDescent="0.25">
      <c r="A9" s="378"/>
      <c r="B9" s="1660" t="s">
        <v>2015</v>
      </c>
      <c r="C9" s="1207" t="str">
        <f>IFERROR(VLOOKUP(C8,'Drop List'!$O$56:$P$89,2,FALSE)," ")</f>
        <v>340</v>
      </c>
      <c r="D9" s="378"/>
      <c r="E9" s="378"/>
      <c r="F9" s="378"/>
      <c r="G9" s="1689" t="s">
        <v>2062</v>
      </c>
      <c r="H9" s="1689"/>
      <c r="I9" s="1689" t="s">
        <v>2062</v>
      </c>
      <c r="J9" s="1689"/>
      <c r="K9" s="1689" t="s">
        <v>2062</v>
      </c>
      <c r="L9" s="378"/>
      <c r="M9" s="378"/>
      <c r="N9" s="386"/>
      <c r="O9" s="386"/>
      <c r="P9" s="1808" t="s">
        <v>2130</v>
      </c>
      <c r="Q9" s="1808"/>
      <c r="R9" s="391"/>
      <c r="S9" s="386"/>
      <c r="T9" s="386"/>
      <c r="U9" s="386"/>
      <c r="V9" s="386"/>
      <c r="W9" s="3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386"/>
      <c r="AK9" s="386"/>
      <c r="AL9" s="386"/>
      <c r="AM9" s="386"/>
      <c r="AN9" s="386"/>
      <c r="AO9" s="386"/>
      <c r="AP9" s="386"/>
      <c r="AQ9" s="386"/>
      <c r="AR9" s="386"/>
      <c r="AS9" s="386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6"/>
      <c r="BE9" s="386"/>
      <c r="BF9" s="378"/>
      <c r="BG9" s="378"/>
    </row>
    <row r="10" spans="1:59" ht="17.100000000000001" customHeight="1" x14ac:dyDescent="0.25">
      <c r="A10" s="378"/>
      <c r="B10" s="1660"/>
      <c r="C10" s="1207"/>
      <c r="D10" s="378"/>
      <c r="E10" s="378"/>
      <c r="F10" s="378"/>
      <c r="G10" s="1691">
        <v>0.438</v>
      </c>
      <c r="H10" s="1691"/>
      <c r="I10" s="1691">
        <v>0.45</v>
      </c>
      <c r="J10" s="1692"/>
      <c r="K10" s="1692">
        <v>0.45</v>
      </c>
      <c r="L10" s="378"/>
      <c r="M10" s="378"/>
      <c r="N10" s="386"/>
      <c r="O10" s="386"/>
      <c r="P10" s="653"/>
      <c r="Q10" s="391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6"/>
      <c r="BE10" s="386"/>
      <c r="BF10" s="378"/>
      <c r="BG10" s="378"/>
    </row>
    <row r="11" spans="1:59" s="1659" customFormat="1" ht="17.100000000000001" customHeight="1" x14ac:dyDescent="0.2">
      <c r="A11" s="1275"/>
      <c r="B11" s="1661"/>
      <c r="C11" s="1641"/>
      <c r="D11" s="1665" t="s">
        <v>839</v>
      </c>
      <c r="E11" s="1665" t="s">
        <v>258</v>
      </c>
      <c r="F11" s="1664" t="s">
        <v>2085</v>
      </c>
      <c r="G11" s="1664"/>
      <c r="H11" s="1666" t="s">
        <v>2086</v>
      </c>
      <c r="I11" s="1666"/>
      <c r="J11" s="1667" t="s">
        <v>2087</v>
      </c>
      <c r="K11" s="1667"/>
      <c r="L11" s="1666" t="s">
        <v>2088</v>
      </c>
      <c r="M11" s="1667"/>
      <c r="N11" s="1666" t="s">
        <v>2089</v>
      </c>
      <c r="O11" s="1667"/>
      <c r="P11" s="1666" t="s">
        <v>2090</v>
      </c>
      <c r="Q11" s="1667"/>
      <c r="R11" s="1666" t="s">
        <v>2091</v>
      </c>
      <c r="S11" s="1668"/>
      <c r="T11" s="1666" t="s">
        <v>2092</v>
      </c>
      <c r="U11" s="1667"/>
      <c r="V11" s="1666" t="s">
        <v>2093</v>
      </c>
      <c r="W11" s="1667"/>
      <c r="X11" s="1666" t="s">
        <v>2094</v>
      </c>
      <c r="Y11" s="1667"/>
      <c r="Z11" s="1664" t="s">
        <v>2095</v>
      </c>
      <c r="AA11" s="1664"/>
      <c r="AB11" s="1666" t="s">
        <v>2096</v>
      </c>
      <c r="AC11" s="1666"/>
      <c r="AD11" s="1667" t="s">
        <v>2097</v>
      </c>
      <c r="AE11" s="1667"/>
      <c r="AF11" s="1664" t="s">
        <v>2098</v>
      </c>
      <c r="AG11" s="1664"/>
      <c r="AH11" s="1666" t="s">
        <v>2099</v>
      </c>
      <c r="AI11" s="1666"/>
      <c r="AJ11" s="1667" t="s">
        <v>2100</v>
      </c>
      <c r="AK11" s="1667"/>
      <c r="AL11" s="1664" t="s">
        <v>2101</v>
      </c>
      <c r="AM11" s="1664"/>
      <c r="AN11" s="1666" t="s">
        <v>2102</v>
      </c>
      <c r="AO11" s="1666"/>
      <c r="AP11" s="1664" t="s">
        <v>2103</v>
      </c>
      <c r="AQ11" s="1664"/>
      <c r="AR11" s="1666" t="s">
        <v>2104</v>
      </c>
      <c r="AS11" s="1666"/>
      <c r="AT11" s="1666" t="s">
        <v>2105</v>
      </c>
      <c r="AU11" s="1668"/>
      <c r="AV11" s="1666" t="s">
        <v>2106</v>
      </c>
      <c r="AW11" s="1667"/>
      <c r="AX11" s="1666" t="s">
        <v>2107</v>
      </c>
      <c r="AY11" s="1667"/>
      <c r="AZ11" s="1666" t="s">
        <v>2108</v>
      </c>
      <c r="BA11" s="1667"/>
      <c r="BB11" s="1664" t="s">
        <v>2109</v>
      </c>
      <c r="BC11" s="1664"/>
      <c r="BD11" s="1666" t="s">
        <v>2110</v>
      </c>
      <c r="BE11" s="1666"/>
      <c r="BF11" s="1666" t="s">
        <v>2111</v>
      </c>
      <c r="BG11" s="1666"/>
    </row>
    <row r="12" spans="1:59" s="1659" customFormat="1" ht="17.100000000000001" customHeight="1" x14ac:dyDescent="0.2">
      <c r="A12" s="1658"/>
      <c r="B12" s="1658"/>
      <c r="C12" s="1700"/>
      <c r="D12" s="1701" t="s">
        <v>1710</v>
      </c>
      <c r="E12" s="1697">
        <f>SUM(F12:BG12)</f>
        <v>922580.77283102262</v>
      </c>
      <c r="F12" s="1662"/>
      <c r="G12" s="1662">
        <f>SUMIFS('LAC 102_Wkst'!$AK$7:$AK$2010,'LAC 102_Wkst'!$D$7:$D$2010,$C$7,'LAC 102_Wkst'!$I$7:$I$2010,$C$9,'LAC 102_Wkst'!$L$7:$L$2010,"01",'LAC 102_Wkst'!$N$7:$N$2010,"P1")+SUMIFS('LAC 102_Wkst'!$AK$7:$AK$2010,'LAC 102_Wkst'!$D$7:$D$2010,$C$7,'LAC 102_Wkst'!$I$7:$I$2010,$C$9,'LAC 102_Wkst'!$L$7:$L$2010,"01",'LAC 102_Wkst'!$N$7:$N$2010,"P2")+SUMIFS('LAC 102_Wkst'!$AK$7:$AK$2010,'LAC 102_Wkst'!$D$7:$D$2010,$C$7,'LAC 102_Wkst'!$I$7:$I$2010,$C$9,'LAC 102_Wkst'!$L$7:$L$2010,"01",'LAC 102_Wkst'!$N$7:$N$2010,"P3")+SUMIFS('LAC 102_Wkst'!$AK$7:$AK$2010,'LAC 102_Wkst'!$D$7:$D$2010,$C$7,'LAC 102_Wkst'!$I$7:$I$2010,$C$9,'LAC 102_Wkst'!$L$7:$L$2010,"02",'LAC 102_Wkst'!$N$7:$N$2010,"P1")+SUMIFS('LAC 102_Wkst'!$AK$7:$AK$2010,'LAC 102_Wkst'!$D$7:$D$2010,$C$7,'LAC 102_Wkst'!$I$7:$I$2010,$C$9,'LAC 102_Wkst'!$L$7:$L$2010,"02",'LAC 102_Wkst'!$N$7:$N$2010,"P2")+SUMIFS('LAC 102_Wkst'!$AK$7:$AK$2010,'LAC 102_Wkst'!$D$7:$D$2010,$C$7,'LAC 102_Wkst'!$I$7:$I$2010,$C$9,'LAC 102_Wkst'!$L$7:$L$2010,"02",'LAC 102_Wkst'!$N$7:$N$2010,"P3")</f>
        <v>796965.12885753741</v>
      </c>
      <c r="H12" s="1662"/>
      <c r="I12" s="1662">
        <f>SUMIFS('LAC 102_Wkst'!$AK$7:$AK$2010,'LAC 102_Wkst'!$D$7:$D$2010,$C$7,'LAC 102_Wkst'!$I$7:$I$2010,$C$9,'LAC 102_Wkst'!$L$7:$L$2010,"01",'LAC 102_Wkst'!$N$7:$N$2010,"P4")+SUMIFS('LAC 102_Wkst'!$AK$7:$AK$2010,'LAC 102_Wkst'!$D$7:$D$2010,$C$7,'LAC 102_Wkst'!$I$7:$I$2010,$C$9,'LAC 102_Wkst'!$L$7:$L$2010,"02",'LAC 102_Wkst'!$N$7:$N$2010,"P4")</f>
        <v>0</v>
      </c>
      <c r="J12" s="1662"/>
      <c r="K12" s="1662">
        <f>SUMIFS('LAC 102_Wkst'!$AK$7:$AK$2010,'LAC 102_Wkst'!$D$7:$D$2010,$C$7,'LAC 102_Wkst'!$I$7:$I$2010,$C$9,'LAC 102_Wkst'!$L$7:$L$2010,"01",'LAC 102_Wkst'!$N$7:$N$2010,"P5")+SUMIFS('LAC 102_Wkst'!$AK$7:$AK$2010,'LAC 102_Wkst'!$D$7:$D$2010,$C$7,'LAC 102_Wkst'!$I$7:$I$2010,$C$9,'LAC 102_Wkst'!$L$7:$L$2010,"02",'LAC 102_Wkst'!$N$7:$N$2010,"P5")</f>
        <v>0</v>
      </c>
      <c r="L12" s="1662"/>
      <c r="M12" s="1662">
        <f>SUMIFS('LAC 102_Wkst'!$AK$7:$AK$2010,'LAC 102_Wkst'!$D$7:$D$2010,$C$7,'LAC 102_Wkst'!$I$7:$I$2010,$C$9,'LAC 102_Wkst'!$L$7:$L$2010,"03",'LAC 102_Wkst'!$N$7:$N$2010,"P1")+SUMIFS('LAC 102_Wkst'!$AK$7:$AK$2010,'LAC 102_Wkst'!$D$7:$D$2010,$C$7,'LAC 102_Wkst'!$I$7:$I$2010,$C$9,'LAC 102_Wkst'!$L$7:$L$2010,"03",'LAC 102_Wkst'!$N$7:$N$2010,"P2")+SUMIFS('LAC 102_Wkst'!$AK$7:$AK$2010,'LAC 102_Wkst'!$D$7:$D$2010,$C$7,'LAC 102_Wkst'!$I$7:$I$2010,$C$9,'LAC 102_Wkst'!$L$7:$L$2010,"03",'LAC 102_Wkst'!$N$7:$N$2010,"P3")+SUMIFS('LAC 102_Wkst'!$AK$7:$AK$2010,'LAC 102_Wkst'!$D$7:$D$2010,$C$7,'LAC 102_Wkst'!$I$7:$I$2010,$C$9,'LAC 102_Wkst'!$L$7:$L$2010,"04",'LAC 102_Wkst'!$N$7:$N$2010,"P1")+SUMIFS('LAC 102_Wkst'!$AK$7:$AK$2010,'LAC 102_Wkst'!$D$7:$D$2010,$C$7,'LAC 102_Wkst'!$I$7:$I$2010,$C$9,'LAC 102_Wkst'!$L$7:$L$2010,"04",'LAC 102_Wkst'!$N$7:$N$2010,"P2")+SUMIFS('LAC 102_Wkst'!$AK$7:$AK$2010,'LAC 102_Wkst'!$D$7:$D$2010,$C$7,'LAC 102_Wkst'!$I$7:$I$2010,$C$9,'LAC 102_Wkst'!$L$7:$L$2010,"04",'LAC 102_Wkst'!$N$7:$N$2010,"P3")</f>
        <v>0</v>
      </c>
      <c r="N12" s="1662"/>
      <c r="O12" s="1662">
        <f>SUMIFS('LAC 102_Wkst'!$AK$7:$AK$2010,'LAC 102_Wkst'!$D$7:$D$2010,$C$7,'LAC 102_Wkst'!$I$7:$I$2010,$C$9,'LAC 102_Wkst'!$L$7:$L$2010,"03",'LAC 102_Wkst'!$N$7:$N$2010,"P4")+SUMIFS('LAC 102_Wkst'!$AK$7:$AK$2010,'LAC 102_Wkst'!$D$7:$D$2010,$C$7,'LAC 102_Wkst'!$I$7:$I$2010,$C$9,'LAC 102_Wkst'!$L$7:$L$2010,"04",'LAC 102_Wkst'!$N$7:$N$2010,"P4")</f>
        <v>0</v>
      </c>
      <c r="P12" s="1402"/>
      <c r="Q12" s="1662">
        <f>SUMIFS('LAC 102_Wkst'!$AK$7:$AK$2010,'LAC 102_Wkst'!$D$7:$D$2010,$C$7,'LAC 102_Wkst'!$I$7:$I$2010,$C$9,'LAC 102_Wkst'!$L$7:$L$2010,"03",'LAC 102_Wkst'!$N$7:$N$2010,"P5")+SUMIFS('LAC 102_Wkst'!$AK$7:$AK$2010,'LAC 102_Wkst'!$D$7:$D$2010,$C$7,'LAC 102_Wkst'!$I$7:$I$2010,$C$9,'LAC 102_Wkst'!$L$7:$L$2010,"04",'LAC 102_Wkst'!$N$7:$N$2010,"P5")</f>
        <v>0</v>
      </c>
      <c r="R12" s="1663"/>
      <c r="S12" s="1663">
        <f>SUMIFS('LAC 102_Wkst'!$AK$7:$AK$2010,'LAC 102_Wkst'!$D$7:$D$2010,$C$7,'LAC 102_Wkst'!$I$7:$I$2010,$C$9,'LAC 102_Wkst'!$L$7:$L$2010,"05",'LAC 102_Wkst'!$N$7:$N$2010,"P1")+SUMIFS('LAC 102_Wkst'!$AK$7:$AK$2010,'LAC 102_Wkst'!$D$7:$D$2010,$C$7,'LAC 102_Wkst'!$I$7:$I$2010,$C$9,'LAC 102_Wkst'!$L$7:$L$2010,"06",'LAC 102_Wkst'!$N$7:$N$2010,"P1")</f>
        <v>1149.8173916614928</v>
      </c>
      <c r="T12" s="1663"/>
      <c r="U12" s="1663">
        <f>SUMIFS('LAC 102_Wkst'!$AK$7:$AK$2010,'LAC 102_Wkst'!$D$7:$D$2010,$C$7,'LAC 102_Wkst'!$I$7:$I$2010,$C$9,'LAC 102_Wkst'!$L$7:$L$2010,"05",'LAC 102_Wkst'!$N$7:$N$2010,"P2")+SUMIFS('LAC 102_Wkst'!$AK$7:$AK$2010,'LAC 102_Wkst'!$D$7:$D$2010,$C$7,'LAC 102_Wkst'!$I$7:$I$2010,$C$9,'LAC 102_Wkst'!$L$7:$L$2010,"06",'LAC 102_Wkst'!$N$7:$N$2010,"P2")+SUMIFS('LAC 102_Wkst'!$AK$7:$AK$2010,'LAC 102_Wkst'!$D$7:$D$2010,$C$7,'LAC 102_Wkst'!$I$7:$I$2010,$C$9,'LAC 102_Wkst'!$L$7:$L$2010,"05",'LAC 102_Wkst'!$N$7:$N$2010,"P3")+SUMIFS('LAC 102_Wkst'!$AK$7:$AK$2010,'LAC 102_Wkst'!$D$7:$D$2010,$C$7,'LAC 102_Wkst'!$I$7:$I$2010,$C$9,'LAC 102_Wkst'!$L$7:$L$2010,"06",'LAC 102_Wkst'!$N$7:$N$2010,"P3")</f>
        <v>0</v>
      </c>
      <c r="V12" s="1663"/>
      <c r="W12" s="1663">
        <f>SUMIFS('LAC 102_Wkst'!$AK$7:$AK$2010,'LAC 102_Wkst'!$D$7:$D$2010,$C$7,'LAC 102_Wkst'!$I$7:$I$2010,$C$9,'LAC 102_Wkst'!$L$7:$L$2010,"05",'LAC 102_Wkst'!$N$7:$N$2010,"P4")+SUMIFS('LAC 102_Wkst'!$AK$7:$AK$2010,'LAC 102_Wkst'!$D$7:$D$2010,$C$7,'LAC 102_Wkst'!$I$7:$I$2010,$C$9,'LAC 102_Wkst'!$L$7:$L$2010,"06",'LAC 102_Wkst'!$N$7:$N$2010,"P4")</f>
        <v>0</v>
      </c>
      <c r="X12" s="1663"/>
      <c r="Y12" s="1663">
        <f>SUMIFS('LAC 102_Wkst'!$AK$7:$AK$2010,'LAC 102_Wkst'!$D$7:$D$2010,$C$7,'LAC 102_Wkst'!$I$7:$I$2010,$C$9,'LAC 102_Wkst'!$L$7:$L$2010,"05",'LAC 102_Wkst'!$N$7:$N$2010,"P5")+SUMIFS('LAC 102_Wkst'!$AK$7:$AK$2010,'LAC 102_Wkst'!$D$7:$D$2010,$C$7,'LAC 102_Wkst'!$I$7:$I$2010,$C$9,'LAC 102_Wkst'!$L$7:$L$2010,"06",'LAC 102_Wkst'!$N$7:$N$2010,"P5")</f>
        <v>0</v>
      </c>
      <c r="Z12" s="1663"/>
      <c r="AA12" s="1663">
        <f>SUMIFS('LAC 102_Wkst'!$AK$7:$AK$2010,'LAC 102_Wkst'!$D$7:$D$2010,$C$7,'LAC 102_Wkst'!$I$7:$I$2010,$C$9,'LAC 102_Wkst'!$L$7:$L$2010,"07",'LAC 102_Wkst'!$N$7:$N$2010,"P1")+SUMIFS('LAC 102_Wkst'!$AK$7:$AK$2010,'LAC 102_Wkst'!$D$7:$D$2010,$C$7,'LAC 102_Wkst'!$I$7:$I$2010,$C$9,'LAC 102_Wkst'!$L$7:$L$2010,"07",'LAC 102_Wkst'!$N$7:$N$2010,"P2")+SUMIFS('LAC 102_Wkst'!$AK$7:$AK$2010,'LAC 102_Wkst'!$D$7:$D$2010,$C$7,'LAC 102_Wkst'!$I$7:$I$2010,$C$9,'LAC 102_Wkst'!$L$7:$L$2010,"07",'LAC 102_Wkst'!$N$7:$N$2010,"P3")</f>
        <v>0</v>
      </c>
      <c r="AB12" s="1663"/>
      <c r="AC12" s="1663">
        <f>SUMIFS('LAC 102_Wkst'!$AK$7:$AK$2010,'LAC 102_Wkst'!$D$7:$D$2010,$C$7,'LAC 102_Wkst'!$I$7:$I$2010,$C$9,'LAC 102_Wkst'!$L$7:$L$2010,"07",'LAC 102_Wkst'!$N$7:$N$2010,"P4")</f>
        <v>0</v>
      </c>
      <c r="AD12" s="1663"/>
      <c r="AE12" s="1663">
        <f>SUMIFS('LAC 102_Wkst'!$AK$7:$AK$2010,'LAC 102_Wkst'!$D$7:$D$2010,$C$7,'LAC 102_Wkst'!$I$7:$I$2010,$C$9,'LAC 102_Wkst'!$L$7:$L$2010,"07",'LAC 102_Wkst'!$N$7:$N$2010,"P5")</f>
        <v>0</v>
      </c>
      <c r="AF12" s="1663"/>
      <c r="AG12" s="1663">
        <f>SUMIFS('LAC 102_Wkst'!$AK$7:$AK$2010,'LAC 102_Wkst'!$D$7:$D$2010,$C$7,'LAC 102_Wkst'!$I$7:$I$2010,$C$9,'LAC 102_Wkst'!$L$7:$L$2010,"08",'LAC 102_Wkst'!$N$7:$N$2010,"P1")+SUMIFS('LAC 102_Wkst'!$AK$7:$AK$2010,'LAC 102_Wkst'!$D$7:$D$2010,$C$7,'LAC 102_Wkst'!$I$7:$I$2010,$C$9,'LAC 102_Wkst'!$L$7:$L$2010,"08",'LAC 102_Wkst'!$N$7:$N$2010,"P2")+SUMIFS('LAC 102_Wkst'!$AK$7:$AK$2010,'LAC 102_Wkst'!$D$7:$D$2010,$C$7,'LAC 102_Wkst'!$I$7:$I$2010,$C$9,'LAC 102_Wkst'!$L$7:$L$2010,"08",'LAC 102_Wkst'!$N$7:$N$2010,"P3")</f>
        <v>0</v>
      </c>
      <c r="AH12" s="1663"/>
      <c r="AI12" s="1663">
        <f>SUMIFS('LAC 102_Wkst'!$AK$7:$AK$2010,'LAC 102_Wkst'!$D$7:$D$2010,$C$7,'LAC 102_Wkst'!$I$7:$I$2010,$C$9,'LAC 102_Wkst'!$L$7:$L$2010,"08",'LAC 102_Wkst'!$N$7:$N$2010,"P4")</f>
        <v>0</v>
      </c>
      <c r="AJ12" s="1663"/>
      <c r="AK12" s="1663">
        <f>SUMIFS('LAC 102_Wkst'!$AK$7:$AK$2010,'LAC 102_Wkst'!$D$7:$D$2010,$C$7,'LAC 102_Wkst'!$I$7:$I$2010,$C$9,'LAC 102_Wkst'!$L$7:$L$2010,"08",'LAC 102_Wkst'!$N$7:$N$2010,"P5")</f>
        <v>0</v>
      </c>
      <c r="AL12" s="1663"/>
      <c r="AM12" s="1663">
        <f>SUMIFS('LAC 102_Wkst'!$AK$7:$AK$2010,'LAC 102_Wkst'!$D$7:$D$2010,$C$7,'LAC 102_Wkst'!$I$7:$I$2010,$C$9,'LAC 102_Wkst'!$L$7:$L$2010,"09",'LAC 102_Wkst'!$N$7:$N$2010,"P1")+SUMIFS('LAC 102_Wkst'!$AK$7:$AK$2010,'LAC 102_Wkst'!$D$7:$D$2010,$C$7,'LAC 102_Wkst'!$I$7:$I$2010,$C$9,'LAC 102_Wkst'!$L$7:$L$2010,"09",'LAC 102_Wkst'!$N$7:$N$2010,"P2")+SUMIFS('LAC 102_Wkst'!$AK$7:$AK$2010,'LAC 102_Wkst'!$D$7:$D$2010,$C$7,'LAC 102_Wkst'!$I$7:$I$2010,$C$9,'LAC 102_Wkst'!$L$7:$L$2010,"09",'LAC 102_Wkst'!$N$7:$N$2010,"P3")+SUMIFS('LAC 102_Wkst'!$AK$7:$AK$2010,'LAC 102_Wkst'!$D$7:$D$2010,$C$7,'LAC 102_Wkst'!$I$7:$I$2010,$C$9,'LAC 102_Wkst'!$L$7:$L$2010,"09",'LAC 102_Wkst'!$N$7:$N$2010,"P4")</f>
        <v>0</v>
      </c>
      <c r="AN12" s="1663"/>
      <c r="AO12" s="1663">
        <f>SUMIFS('LAC 102_Wkst'!$AK$7:$AK$2010,'LAC 102_Wkst'!$D$7:$D$2010,$C$7,'LAC 102_Wkst'!$I$7:$I$2010,$C$9,'LAC 102_Wkst'!$L$7:$L$2010,"09",'LAC 102_Wkst'!$N$7:$N$2010,"P5")</f>
        <v>0</v>
      </c>
      <c r="AP12" s="1663"/>
      <c r="AQ12" s="1663">
        <f>SUMIFS('LAC 102_Wkst'!$AK$7:$AK$2010,'LAC 102_Wkst'!$D$7:$D$2010,$C$7,'LAC 102_Wkst'!$I$7:$I$2010,$C$9,'LAC 102_Wkst'!$L$7:$L$2010,"10",'LAC 102_Wkst'!$N$7:$N$2010,"P1")+SUMIFS('LAC 102_Wkst'!$AK$7:$AK$2010,'LAC 102_Wkst'!$D$7:$D$2010,$C$7,'LAC 102_Wkst'!$I$7:$I$2010,$C$9,'LAC 102_Wkst'!$L$7:$L$2010,"10",'LAC 102_Wkst'!$N$7:$N$2010,"P2")+SUMIFS('LAC 102_Wkst'!$AK$7:$AK$2010,'LAC 102_Wkst'!$D$7:$D$2010,$C$7,'LAC 102_Wkst'!$I$7:$I$2010,$C$9,'LAC 102_Wkst'!$L$7:$L$2010,"10",'LAC 102_Wkst'!$N$7:$N$2010,"P3")+SUMIFS('LAC 102_Wkst'!$AK$7:$AK$2010,'LAC 102_Wkst'!$D$7:$D$2010,$C$7,'LAC 102_Wkst'!$I$7:$I$2010,$C$9,'LAC 102_Wkst'!$L$7:$L$2010,"10",'LAC 102_Wkst'!$N$7:$N$2010,"P4")</f>
        <v>124465.82658182376</v>
      </c>
      <c r="AR12" s="1663"/>
      <c r="AS12" s="1663">
        <f>SUMIFS('LAC 102_Wkst'!$AK$7:$AK$2010,'LAC 102_Wkst'!$D$7:$D$2010,$C$7,'LAC 102_Wkst'!$I$7:$I$2010,$C$9,'LAC 102_Wkst'!$L$7:$L$2010,"10",'LAC 102_Wkst'!$N$7:$N$2010,"P5")</f>
        <v>0</v>
      </c>
      <c r="AT12" s="1663"/>
      <c r="AU12" s="1663">
        <f>SUMIFS('LAC 102_Wkst'!$AK$7:$AK$2010,'LAC 102_Wkst'!$D$7:$D$2010,$C$7,'LAC 102_Wkst'!$I$7:$I$2010,$C$9,'LAC 102_Wkst'!$L$7:$L$2010,"13",'LAC 102_Wkst'!$N$7:$N$2010,"P5")</f>
        <v>0</v>
      </c>
      <c r="AV12" s="1663"/>
      <c r="AW12" s="1663">
        <f>SUMIFS('LAC 102_Wkst'!$AK$7:$AK$2010,'LAC 102_Wkst'!$D$7:$D$2010,$C$7,'LAC 102_Wkst'!$I$7:$I$2010,$C$9,'LAC 102_Wkst'!$L$7:$L$2010,"11",'LAC 102_Wkst'!$N$7:$N$2010,"P2")+SUMIFS('LAC 102_Wkst'!$AK$7:$AK$2010,'LAC 102_Wkst'!$D$7:$D$2010,$C$7,'LAC 102_Wkst'!$I$7:$I$2010,$C$9,'LAC 102_Wkst'!$L$7:$L$2010,"12",'LAC 102_Wkst'!$N$7:$N$2010,"P2")+SUMIFS('LAC 102_Wkst'!$AK$7:$AK$2010,'LAC 102_Wkst'!$D$7:$D$2010,$C$7,'LAC 102_Wkst'!$I$7:$I$2010,$C$9,'LAC 102_Wkst'!$L$7:$L$2010,"11",'LAC 102_Wkst'!$N$7:$N$2010,"P3")+SUMIFS('LAC 102_Wkst'!$AK$7:$AK$2010,'LAC 102_Wkst'!$D$7:$D$2010,$C$7,'LAC 102_Wkst'!$I$7:$I$2010,$C$9,'LAC 102_Wkst'!$L$7:$L$2010,"12",'LAC 102_Wkst'!$N$7:$N$2010,"P3")</f>
        <v>0</v>
      </c>
      <c r="AX12" s="1663"/>
      <c r="AY12" s="1663">
        <f>SUMIFS('LAC 102_Wkst'!$AK$7:$AK$2010,'LAC 102_Wkst'!$D$7:$D$2010,$C$7,'LAC 102_Wkst'!$I$7:$I$2010,$C$9,'LAC 102_Wkst'!$L$7:$L$2010,"11",'LAC 102_Wkst'!$N$7:$N$2010,"P4")+SUMIFS('LAC 102_Wkst'!$AK$7:$AK$2010,'LAC 102_Wkst'!$D$7:$D$2010,$C$7,'LAC 102_Wkst'!$I$7:$I$2010,$C$9,'LAC 102_Wkst'!$L$7:$L$2010,"12",'LAC 102_Wkst'!$N$7:$N$2010,"P4")</f>
        <v>0</v>
      </c>
      <c r="AZ12" s="1663"/>
      <c r="BA12" s="1663">
        <f>SUMIFS('LAC 102_Wkst'!$AK$7:$AK$2010,'LAC 102_Wkst'!$D$7:$D$2010,$C$7,'LAC 102_Wkst'!$I$7:$I$2010,$C$9,'LAC 102_Wkst'!$L$7:$L$2010,"11",'LAC 102_Wkst'!$N$7:$N$2010,"P5")+SUMIFS('LAC 102_Wkst'!$AK$7:$AK$2010,'LAC 102_Wkst'!$D$7:$D$2010,$C$7,'LAC 102_Wkst'!$I$7:$I$2010,$C$9,'LAC 102_Wkst'!$L$7:$L$2010,"12",'LAC 102_Wkst'!$N$7:$N$2010,"P5")</f>
        <v>0</v>
      </c>
      <c r="BB12" s="1663"/>
      <c r="BC12" s="1663">
        <f>SUMIFS('LAC 102_Wkst'!$AK$7:$AK$2010,'LAC 102_Wkst'!$D$7:$D$2010,$C$7,'LAC 102_Wkst'!$I$7:$I$2010,$C$9,'LAC 102_Wkst'!$L$7:$L$2010,"13",'LAC 102_Wkst'!$N$7:$N$2010,"P1")+SUMIFS('LAC 102_Wkst'!$AK$7:$AK$2010,'LAC 102_Wkst'!$D$7:$D$2010,$C$7,'LAC 102_Wkst'!$I$7:$I$2010,$C$9,'LAC 102_Wkst'!$L$7:$L$2010,"13",'LAC 102_Wkst'!$N$7:$N$2010,"P2")+SUMIFS('LAC 102_Wkst'!$AK$7:$AK$2010,'LAC 102_Wkst'!$D$7:$D$2010,$C$7,'LAC 102_Wkst'!$I$7:$I$2010,$C$9,'LAC 102_Wkst'!$L$7:$L$2010,"13",'LAC 102_Wkst'!$N$7:$N$2010,"P3")+SUMIFS('LAC 102_Wkst'!$AK$7:$AK$2010,'LAC 102_Wkst'!$D$7:$D$2010,$C$7,'LAC 102_Wkst'!$I$7:$I$2010,$C$9,'LAC 102_Wkst'!$L$7:$L$2010,"13",'LAC 102_Wkst'!$N$7:$N$2010,"P4")</f>
        <v>0</v>
      </c>
      <c r="BD12" s="1663"/>
      <c r="BE12" s="1663">
        <f>SUMIFS('LAC 102_Wkst'!$AK$7:$AK$2010,'LAC 102_Wkst'!$D$7:$D$2010,$C$7,'LAC 102_Wkst'!$I$7:$I$2010,$C$9,'LAC 102_Wkst'!$L$7:$L$2010,"13",'LAC 102_Wkst'!$N$7:$N$2010,"P5")</f>
        <v>0</v>
      </c>
      <c r="BF12" s="1663"/>
      <c r="BG12" s="1663">
        <f>SUMIFS('LAC 102_Wkst'!$AK$7:$AK$2010,'LAC 102_Wkst'!$D$7:$D$2010,$C$7,'LAC 102_Wkst'!$I$7:$I$2010,$C$9,'LAC 102_Wkst'!$L$7:$L$2010,"14")</f>
        <v>0</v>
      </c>
    </row>
    <row r="13" spans="1:59" s="1659" customFormat="1" ht="17.100000000000001" customHeight="1" x14ac:dyDescent="0.2">
      <c r="A13" s="1658"/>
      <c r="B13" s="1658"/>
      <c r="C13" s="1700"/>
      <c r="D13" s="1701" t="s">
        <v>1711</v>
      </c>
      <c r="E13" s="1697">
        <f t="shared" ref="E13:E17" si="1">SUM(F13:BG13)</f>
        <v>0</v>
      </c>
      <c r="F13" s="1662"/>
      <c r="G13" s="1662">
        <f>SUMIFS('LAC 102_Wkst'!$AL$7:$AL$2010,'LAC 102_Wkst'!$D$7:$D$2010,$C$7,'LAC 102_Wkst'!$I$7:$I$2010,$C$9,'LAC 102_Wkst'!$L$7:$L$2010,"01",'LAC 102_Wkst'!$N$7:$N$2010,"P1")+SUMIFS('LAC 102_Wkst'!$AL$7:$AL$2010,'LAC 102_Wkst'!$D$7:$D$2010,$C$7,'LAC 102_Wkst'!$I$7:$I$2010,$C$9,'LAC 102_Wkst'!$L$7:$L$2010,"01",'LAC 102_Wkst'!$N$7:$N$2010,"P2")+SUMIFS('LAC 102_Wkst'!$AL$7:$AL$2010,'LAC 102_Wkst'!$D$7:$D$2010,$C$7,'LAC 102_Wkst'!$I$7:$I$2010,$C$9,'LAC 102_Wkst'!$L$7:$L$2010,"01",'LAC 102_Wkst'!$N$7:$N$2010,"P3")+SUMIFS('LAC 102_Wkst'!$AL$7:$AL$2010,'LAC 102_Wkst'!$D$7:$D$2010,$C$7,'LAC 102_Wkst'!$I$7:$I$2010,$C$9,'LAC 102_Wkst'!$L$7:$L$2010,"02",'LAC 102_Wkst'!$N$7:$N$2010,"P1")+SUMIFS('LAC 102_Wkst'!$AL$7:$AL$2010,'LAC 102_Wkst'!$D$7:$D$2010,$C$7,'LAC 102_Wkst'!$I$7:$I$2010,$C$9,'LAC 102_Wkst'!$L$7:$L$2010,"02",'LAC 102_Wkst'!$N$7:$N$2010,"P2")+SUMIFS('LAC 102_Wkst'!$AL$7:$AL$2010,'LAC 102_Wkst'!$D$7:$D$2010,$C$7,'LAC 102_Wkst'!$I$7:$I$2010,$C$9,'LAC 102_Wkst'!$L$7:$L$2010,"02",'LAC 102_Wkst'!$N$7:$N$2010,"P3")</f>
        <v>0</v>
      </c>
      <c r="H13" s="1662"/>
      <c r="I13" s="1662">
        <f>SUMIFS('LAC 102_Wkst'!$AL$7:$AL$2010,'LAC 102_Wkst'!$D$7:$D$2010,$C$7,'LAC 102_Wkst'!$I$7:$I$2010,$C$9,'LAC 102_Wkst'!$L$7:$L$2010,"01",'LAC 102_Wkst'!$N$7:$N$2010,"P4")+SUMIFS('LAC 102_Wkst'!$AL$7:$AL$2010,'LAC 102_Wkst'!$D$7:$D$2010,$C$7,'LAC 102_Wkst'!$I$7:$I$2010,$C$9,'LAC 102_Wkst'!$L$7:$L$2010,"02",'LAC 102_Wkst'!$N$7:$N$2010,"P4")</f>
        <v>0</v>
      </c>
      <c r="J13" s="1662"/>
      <c r="K13" s="1662">
        <f>SUMIFS('LAC 102_Wkst'!$AL$7:$AL$2010,'LAC 102_Wkst'!$D$7:$D$2010,$C$7,'LAC 102_Wkst'!$I$7:$I$2010,$C$9,'LAC 102_Wkst'!$L$7:$L$2010,"01",'LAC 102_Wkst'!$N$7:$N$2010,"P5")+SUMIFS('LAC 102_Wkst'!$AL$7:$AL$2010,'LAC 102_Wkst'!$D$7:$D$2010,$C$7,'LAC 102_Wkst'!$I$7:$I$2010,$C$9,'LAC 102_Wkst'!$L$7:$L$2010,"02",'LAC 102_Wkst'!$N$7:$N$2010,"P5")</f>
        <v>0</v>
      </c>
      <c r="L13" s="1662"/>
      <c r="M13" s="1662">
        <f>SUMIFS('LAC 102_Wkst'!$AL$7:$AL$2010,'LAC 102_Wkst'!$D$7:$D$2010,$C$7,'LAC 102_Wkst'!$I$7:$I$2010,$C$9,'LAC 102_Wkst'!$L$7:$L$2010,"03",'LAC 102_Wkst'!$N$7:$N$2010,"P1")+SUMIFS('LAC 102_Wkst'!$AL$7:$AL$2010,'LAC 102_Wkst'!$D$7:$D$2010,$C$7,'LAC 102_Wkst'!$I$7:$I$2010,$C$9,'LAC 102_Wkst'!$L$7:$L$2010,"03",'LAC 102_Wkst'!$N$7:$N$2010,"P2")+SUMIFS('LAC 102_Wkst'!$AL$7:$AL$2010,'LAC 102_Wkst'!$D$7:$D$2010,$C$7,'LAC 102_Wkst'!$I$7:$I$2010,$C$9,'LAC 102_Wkst'!$L$7:$L$2010,"03",'LAC 102_Wkst'!$N$7:$N$2010,"P3")+SUMIFS('LAC 102_Wkst'!$AL$7:$AL$2010,'LAC 102_Wkst'!$D$7:$D$2010,$C$7,'LAC 102_Wkst'!$I$7:$I$2010,$C$9,'LAC 102_Wkst'!$L$7:$L$2010,"04",'LAC 102_Wkst'!$N$7:$N$2010,"P1")+SUMIFS('LAC 102_Wkst'!$AL$7:$AL$2010,'LAC 102_Wkst'!$D$7:$D$2010,$C$7,'LAC 102_Wkst'!$I$7:$I$2010,$C$9,'LAC 102_Wkst'!$L$7:$L$2010,"04",'LAC 102_Wkst'!$N$7:$N$2010,"P2")+SUMIFS('LAC 102_Wkst'!$AL$7:$AL$2010,'LAC 102_Wkst'!$D$7:$D$2010,$C$7,'LAC 102_Wkst'!$I$7:$I$2010,$C$9,'LAC 102_Wkst'!$L$7:$L$2010,"04",'LAC 102_Wkst'!$N$7:$N$2010,"P3")</f>
        <v>0</v>
      </c>
      <c r="N13" s="1662"/>
      <c r="O13" s="1662">
        <f>SUMIFS('LAC 102_Wkst'!$AL$7:$AL$2010,'LAC 102_Wkst'!$D$7:$D$2010,$C$7,'LAC 102_Wkst'!$I$7:$I$2010,$C$9,'LAC 102_Wkst'!$L$7:$L$2010,"03",'LAC 102_Wkst'!$N$7:$N$2010,"P4")+SUMIFS('LAC 102_Wkst'!$AL$7:$AL$2010,'LAC 102_Wkst'!$D$7:$D$2010,$C$7,'LAC 102_Wkst'!$I$7:$I$2010,$C$9,'LAC 102_Wkst'!$L$7:$L$2010,"04",'LAC 102_Wkst'!$N$7:$N$2010,"P4")</f>
        <v>0</v>
      </c>
      <c r="P13" s="1402"/>
      <c r="Q13" s="1662">
        <f>SUMIFS('LAC 102_Wkst'!$AL$7:$AL$2010,'LAC 102_Wkst'!$D$7:$D$2010,$C$7,'LAC 102_Wkst'!$I$7:$I$2010,$C$9,'LAC 102_Wkst'!$L$7:$L$2010,"03",'LAC 102_Wkst'!$N$7:$N$2010,"P5")+SUMIFS('LAC 102_Wkst'!$AL$7:$AL$2010,'LAC 102_Wkst'!$D$7:$D$2010,$C$7,'LAC 102_Wkst'!$I$7:$I$2010,$C$9,'LAC 102_Wkst'!$L$7:$L$2010,"04",'LAC 102_Wkst'!$N$7:$N$2010,"P5")</f>
        <v>0</v>
      </c>
      <c r="R13" s="1663"/>
      <c r="S13" s="1663">
        <f>SUMIFS('LAC 102_Wkst'!$AL$7:$AL$2010,'LAC 102_Wkst'!$D$7:$D$2010,$C$7,'LAC 102_Wkst'!$I$7:$I$2010,$C$9,'LAC 102_Wkst'!$L$7:$L$2010,"05",'LAC 102_Wkst'!$N$7:$N$2010,"P1")+SUMIFS('LAC 102_Wkst'!$AL$7:$AL$2010,'LAC 102_Wkst'!$D$7:$D$2010,$C$7,'LAC 102_Wkst'!$I$7:$I$2010,$C$9,'LAC 102_Wkst'!$L$7:$L$2010,"06",'LAC 102_Wkst'!$N$7:$N$2010,"P1")</f>
        <v>0</v>
      </c>
      <c r="T13" s="1663"/>
      <c r="U13" s="1663">
        <f>SUMIFS('LAC 102_Wkst'!$AL$7:$AL$2010,'LAC 102_Wkst'!$D$7:$D$2010,$C$7,'LAC 102_Wkst'!$I$7:$I$2010,$C$9,'LAC 102_Wkst'!$L$7:$L$2010,"05",'LAC 102_Wkst'!$N$7:$N$2010,"P2")+SUMIFS('LAC 102_Wkst'!$AL$7:$AL$2010,'LAC 102_Wkst'!$D$7:$D$2010,$C$7,'LAC 102_Wkst'!$I$7:$I$2010,$C$9,'LAC 102_Wkst'!$L$7:$L$2010,"06",'LAC 102_Wkst'!$N$7:$N$2010,"P2")+SUMIFS('LAC 102_Wkst'!$AL$7:$AL$2010,'LAC 102_Wkst'!$D$7:$D$2010,$C$7,'LAC 102_Wkst'!$I$7:$I$2010,$C$9,'LAC 102_Wkst'!$L$7:$L$2010,"05",'LAC 102_Wkst'!$N$7:$N$2010,"P3")+SUMIFS('LAC 102_Wkst'!$AL$7:$AL$2010,'LAC 102_Wkst'!$D$7:$D$2010,$C$7,'LAC 102_Wkst'!$I$7:$I$2010,$C$9,'LAC 102_Wkst'!$L$7:$L$2010,"06",'LAC 102_Wkst'!$N$7:$N$2010,"P3")</f>
        <v>0</v>
      </c>
      <c r="V13" s="1663"/>
      <c r="W13" s="1663">
        <f>SUMIFS('LAC 102_Wkst'!$AL$7:$AL$2010,'LAC 102_Wkst'!$D$7:$D$2010,$C$7,'LAC 102_Wkst'!$I$7:$I$2010,$C$9,'LAC 102_Wkst'!$L$7:$L$2010,"05",'LAC 102_Wkst'!$N$7:$N$2010,"P4")+SUMIFS('LAC 102_Wkst'!$AL$7:$AL$2010,'LAC 102_Wkst'!$D$7:$D$2010,$C$7,'LAC 102_Wkst'!$I$7:$I$2010,$C$9,'LAC 102_Wkst'!$L$7:$L$2010,"06",'LAC 102_Wkst'!$N$7:$N$2010,"P4")</f>
        <v>0</v>
      </c>
      <c r="X13" s="1663"/>
      <c r="Y13" s="1663">
        <f>SUMIFS('LAC 102_Wkst'!$AL$7:$AL$2010,'LAC 102_Wkst'!$D$7:$D$2010,$C$7,'LAC 102_Wkst'!$I$7:$I$2010,$C$9,'LAC 102_Wkst'!$L$7:$L$2010,"05",'LAC 102_Wkst'!$N$7:$N$2010,"P5")+SUMIFS('LAC 102_Wkst'!$AL$7:$AL$2010,'LAC 102_Wkst'!$D$7:$D$2010,$C$7,'LAC 102_Wkst'!$I$7:$I$2010,$C$9,'LAC 102_Wkst'!$L$7:$L$2010,"06",'LAC 102_Wkst'!$N$7:$N$2010,"P5")</f>
        <v>0</v>
      </c>
      <c r="Z13" s="1663"/>
      <c r="AA13" s="1663">
        <f>SUMIFS('LAC 102_Wkst'!$AL$7:$AL$2010,'LAC 102_Wkst'!$D$7:$D$2010,$C$7,'LAC 102_Wkst'!$I$7:$I$2010,$C$9,'LAC 102_Wkst'!$L$7:$L$2010,"07",'LAC 102_Wkst'!$N$7:$N$2010,"P1")+SUMIFS('LAC 102_Wkst'!$AL$7:$AL$2010,'LAC 102_Wkst'!$D$7:$D$2010,$C$7,'LAC 102_Wkst'!$I$7:$I$2010,$C$9,'LAC 102_Wkst'!$L$7:$L$2010,"07",'LAC 102_Wkst'!$N$7:$N$2010,"P2")+SUMIFS('LAC 102_Wkst'!$AL$7:$AL$2010,'LAC 102_Wkst'!$D$7:$D$2010,$C$7,'LAC 102_Wkst'!$I$7:$I$2010,$C$9,'LAC 102_Wkst'!$L$7:$L$2010,"07",'LAC 102_Wkst'!$N$7:$N$2010,"P3")</f>
        <v>0</v>
      </c>
      <c r="AB13" s="1663"/>
      <c r="AC13" s="1663">
        <f>SUMIFS('LAC 102_Wkst'!$AL$7:$AL$2010,'LAC 102_Wkst'!$D$7:$D$2010,$C$7,'LAC 102_Wkst'!$I$7:$I$2010,$C$9,'LAC 102_Wkst'!$L$7:$L$2010,"07",'LAC 102_Wkst'!$N$7:$N$2010,"P4")</f>
        <v>0</v>
      </c>
      <c r="AD13" s="1663"/>
      <c r="AE13" s="1663">
        <f>SUMIFS('LAC 102_Wkst'!$AL$7:$AL$2010,'LAC 102_Wkst'!$D$7:$D$2010,$C$7,'LAC 102_Wkst'!$I$7:$I$2010,$C$9,'LAC 102_Wkst'!$L$7:$L$2010,"07",'LAC 102_Wkst'!$N$7:$N$2010,"P5")</f>
        <v>0</v>
      </c>
      <c r="AF13" s="1663"/>
      <c r="AG13" s="1663">
        <f>SUMIFS('LAC 102_Wkst'!$AL$7:$AL$2010,'LAC 102_Wkst'!$D$7:$D$2010,$C$7,'LAC 102_Wkst'!$I$7:$I$2010,$C$9,'LAC 102_Wkst'!$L$7:$L$2010,"08",'LAC 102_Wkst'!$N$7:$N$2010,"P1")+SUMIFS('LAC 102_Wkst'!$AL$7:$AL$2010,'LAC 102_Wkst'!$D$7:$D$2010,$C$7,'LAC 102_Wkst'!$I$7:$I$2010,$C$9,'LAC 102_Wkst'!$L$7:$L$2010,"08",'LAC 102_Wkst'!$N$7:$N$2010,"P2")+SUMIFS('LAC 102_Wkst'!$AL$7:$AL$2010,'LAC 102_Wkst'!$D$7:$D$2010,$C$7,'LAC 102_Wkst'!$I$7:$I$2010,$C$9,'LAC 102_Wkst'!$L$7:$L$2010,"08",'LAC 102_Wkst'!$N$7:$N$2010,"P3")</f>
        <v>0</v>
      </c>
      <c r="AH13" s="1663"/>
      <c r="AI13" s="1663">
        <f>SUMIFS('LAC 102_Wkst'!$AL$7:$AL$2010,'LAC 102_Wkst'!$D$7:$D$2010,$C$7,'LAC 102_Wkst'!$I$7:$I$2010,$C$9,'LAC 102_Wkst'!$L$7:$L$2010,"08",'LAC 102_Wkst'!$N$7:$N$2010,"P4")</f>
        <v>0</v>
      </c>
      <c r="AJ13" s="1663"/>
      <c r="AK13" s="1663">
        <f>SUMIFS('LAC 102_Wkst'!$AL$7:$AL$2010,'LAC 102_Wkst'!$D$7:$D$2010,$C$7,'LAC 102_Wkst'!$I$7:$I$2010,$C$9,'LAC 102_Wkst'!$L$7:$L$2010,"08",'LAC 102_Wkst'!$N$7:$N$2010,"P5")</f>
        <v>0</v>
      </c>
      <c r="AL13" s="1663"/>
      <c r="AM13" s="1663">
        <f>SUMIFS('LAC 102_Wkst'!$AL$7:$AL$2010,'LAC 102_Wkst'!$D$7:$D$2010,$C$7,'LAC 102_Wkst'!$I$7:$I$2010,$C$9,'LAC 102_Wkst'!$L$7:$L$2010,"09",'LAC 102_Wkst'!$N$7:$N$2010,"P1")+SUMIFS('LAC 102_Wkst'!$AL$7:$AL$2010,'LAC 102_Wkst'!$D$7:$D$2010,$C$7,'LAC 102_Wkst'!$I$7:$I$2010,$C$9,'LAC 102_Wkst'!$L$7:$L$2010,"09",'LAC 102_Wkst'!$N$7:$N$2010,"P2")+SUMIFS('LAC 102_Wkst'!$AL$7:$AL$2010,'LAC 102_Wkst'!$D$7:$D$2010,$C$7,'LAC 102_Wkst'!$I$7:$I$2010,$C$9,'LAC 102_Wkst'!$L$7:$L$2010,"09",'LAC 102_Wkst'!$N$7:$N$2010,"P3")+SUMIFS('LAC 102_Wkst'!$AL$7:$AL$2010,'LAC 102_Wkst'!$D$7:$D$2010,$C$7,'LAC 102_Wkst'!$I$7:$I$2010,$C$9,'LAC 102_Wkst'!$L$7:$L$2010,"09",'LAC 102_Wkst'!$N$7:$N$2010,"P4")</f>
        <v>0</v>
      </c>
      <c r="AN13" s="1663"/>
      <c r="AO13" s="1663">
        <f>SUMIFS('LAC 102_Wkst'!$AL$7:$AL$2010,'LAC 102_Wkst'!$D$7:$D$2010,$C$7,'LAC 102_Wkst'!$I$7:$I$2010,$C$9,'LAC 102_Wkst'!$L$7:$L$2010,"09",'LAC 102_Wkst'!$N$7:$N$2010,"P5")</f>
        <v>0</v>
      </c>
      <c r="AP13" s="1663"/>
      <c r="AQ13" s="1663">
        <f>SUMIFS('LAC 102_Wkst'!$AL$7:$AL$2010,'LAC 102_Wkst'!$D$7:$D$2010,$C$7,'LAC 102_Wkst'!$I$7:$I$2010,$C$9,'LAC 102_Wkst'!$L$7:$L$2010,"10",'LAC 102_Wkst'!$N$7:$N$2010,"P1")+SUMIFS('LAC 102_Wkst'!$AL$7:$AL$2010,'LAC 102_Wkst'!$D$7:$D$2010,$C$7,'LAC 102_Wkst'!$I$7:$I$2010,$C$9,'LAC 102_Wkst'!$L$7:$L$2010,"10",'LAC 102_Wkst'!$N$7:$N$2010,"P2")+SUMIFS('LAC 102_Wkst'!$AL$7:$AL$2010,'LAC 102_Wkst'!$D$7:$D$2010,$C$7,'LAC 102_Wkst'!$I$7:$I$2010,$C$9,'LAC 102_Wkst'!$L$7:$L$2010,"10",'LAC 102_Wkst'!$N$7:$N$2010,"P3")+SUMIFS('LAC 102_Wkst'!$AL$7:$AL$2010,'LAC 102_Wkst'!$D$7:$D$2010,$C$7,'LAC 102_Wkst'!$I$7:$I$2010,$C$9,'LAC 102_Wkst'!$L$7:$L$2010,"10",'LAC 102_Wkst'!$N$7:$N$2010,"P4")</f>
        <v>0</v>
      </c>
      <c r="AR13" s="1663"/>
      <c r="AS13" s="1663">
        <f>SUMIFS('LAC 102_Wkst'!$AL$7:$AL$2010,'LAC 102_Wkst'!$D$7:$D$2010,$C$7,'LAC 102_Wkst'!$I$7:$I$2010,$C$9,'LAC 102_Wkst'!$L$7:$L$2010,"10",'LAC 102_Wkst'!$N$7:$N$2010,"P5")</f>
        <v>0</v>
      </c>
      <c r="AT13" s="1663"/>
      <c r="AU13" s="1663">
        <f>SUMIFS('LAC 102_Wkst'!$AL$7:$AL$2010,'LAC 102_Wkst'!$D$7:$D$2010,$C$7,'LAC 102_Wkst'!$I$7:$I$2010,$C$9,'LAC 102_Wkst'!$L$7:$L$2010,"13",'LAC 102_Wkst'!$N$7:$N$2010,"P5")</f>
        <v>0</v>
      </c>
      <c r="AV13" s="1663"/>
      <c r="AW13" s="1663">
        <f>SUMIFS('LAC 102_Wkst'!$AL$7:$AL$2010,'LAC 102_Wkst'!$D$7:$D$2010,$C$7,'LAC 102_Wkst'!$I$7:$I$2010,$C$9,'LAC 102_Wkst'!$L$7:$L$2010,"11",'LAC 102_Wkst'!$N$7:$N$2010,"P2")+SUMIFS('LAC 102_Wkst'!$AL$7:$AL$2010,'LAC 102_Wkst'!$D$7:$D$2010,$C$7,'LAC 102_Wkst'!$I$7:$I$2010,$C$9,'LAC 102_Wkst'!$L$7:$L$2010,"12",'LAC 102_Wkst'!$N$7:$N$2010,"P2")+SUMIFS('LAC 102_Wkst'!$AL$7:$AL$2010,'LAC 102_Wkst'!$D$7:$D$2010,$C$7,'LAC 102_Wkst'!$I$7:$I$2010,$C$9,'LAC 102_Wkst'!$L$7:$L$2010,"11",'LAC 102_Wkst'!$N$7:$N$2010,"P3")+SUMIFS('LAC 102_Wkst'!$AL$7:$AL$2010,'LAC 102_Wkst'!$D$7:$D$2010,$C$7,'LAC 102_Wkst'!$I$7:$I$2010,$C$9,'LAC 102_Wkst'!$L$7:$L$2010,"12",'LAC 102_Wkst'!$N$7:$N$2010,"P3")</f>
        <v>0</v>
      </c>
      <c r="AX13" s="1663"/>
      <c r="AY13" s="1663">
        <f>SUMIFS('LAC 102_Wkst'!$AL$7:$AL$2010,'LAC 102_Wkst'!$D$7:$D$2010,$C$7,'LAC 102_Wkst'!$I$7:$I$2010,$C$9,'LAC 102_Wkst'!$L$7:$L$2010,"11",'LAC 102_Wkst'!$N$7:$N$2010,"P4")+SUMIFS('LAC 102_Wkst'!$AL$7:$AL$2010,'LAC 102_Wkst'!$D$7:$D$2010,$C$7,'LAC 102_Wkst'!$I$7:$I$2010,$C$9,'LAC 102_Wkst'!$L$7:$L$2010,"12",'LAC 102_Wkst'!$N$7:$N$2010,"P4")</f>
        <v>0</v>
      </c>
      <c r="AZ13" s="1663"/>
      <c r="BA13" s="1663">
        <f>SUMIFS('LAC 102_Wkst'!$AL$7:$AL$2010,'LAC 102_Wkst'!$D$7:$D$2010,$C$7,'LAC 102_Wkst'!$I$7:$I$2010,$C$9,'LAC 102_Wkst'!$L$7:$L$2010,"11",'LAC 102_Wkst'!$N$7:$N$2010,"P5")+SUMIFS('LAC 102_Wkst'!$AL$7:$AL$2010,'LAC 102_Wkst'!$D$7:$D$2010,$C$7,'LAC 102_Wkst'!$I$7:$I$2010,$C$9,'LAC 102_Wkst'!$L$7:$L$2010,"12",'LAC 102_Wkst'!$N$7:$N$2010,"P5")</f>
        <v>0</v>
      </c>
      <c r="BB13" s="1663"/>
      <c r="BC13" s="1663">
        <f>SUMIFS('LAC 102_Wkst'!$AL$7:$AL$2010,'LAC 102_Wkst'!$D$7:$D$2010,$C$7,'LAC 102_Wkst'!$I$7:$I$2010,$C$9,'LAC 102_Wkst'!$L$7:$L$2010,"13",'LAC 102_Wkst'!$N$7:$N$2010,"P1")+SUMIFS('LAC 102_Wkst'!$AL$7:$AL$2010,'LAC 102_Wkst'!$D$7:$D$2010,$C$7,'LAC 102_Wkst'!$I$7:$I$2010,$C$9,'LAC 102_Wkst'!$L$7:$L$2010,"13",'LAC 102_Wkst'!$N$7:$N$2010,"P2")+SUMIFS('LAC 102_Wkst'!$AL$7:$AL$2010,'LAC 102_Wkst'!$D$7:$D$2010,$C$7,'LAC 102_Wkst'!$I$7:$I$2010,$C$9,'LAC 102_Wkst'!$L$7:$L$2010,"13",'LAC 102_Wkst'!$N$7:$N$2010,"P3")+SUMIFS('LAC 102_Wkst'!$AL$7:$AL$2010,'LAC 102_Wkst'!$D$7:$D$2010,$C$7,'LAC 102_Wkst'!$I$7:$I$2010,$C$9,'LAC 102_Wkst'!$L$7:$L$2010,"13",'LAC 102_Wkst'!$N$7:$N$2010,"P4")</f>
        <v>0</v>
      </c>
      <c r="BD13" s="1663"/>
      <c r="BE13" s="1663">
        <f>SUMIFS('LAC 102_Wkst'!$AL$7:$AL$2010,'LAC 102_Wkst'!$D$7:$D$2010,$C$7,'LAC 102_Wkst'!$I$7:$I$2010,$C$9,'LAC 102_Wkst'!$L$7:$L$2010,"13",'LAC 102_Wkst'!$N$7:$N$2010,"P5")</f>
        <v>0</v>
      </c>
      <c r="BF13" s="1663"/>
      <c r="BG13" s="1663">
        <f>SUMIFS('LAC 102_Wkst'!$AL$7:$AL$2010,'LAC 102_Wkst'!$D$7:$D$2010,$C$7,'LAC 102_Wkst'!$I$7:$I$2010,$C$9,'LAC 102_Wkst'!$L$7:$L$2010,"14")</f>
        <v>0</v>
      </c>
    </row>
    <row r="14" spans="1:59" s="1659" customFormat="1" ht="17.100000000000001" customHeight="1" x14ac:dyDescent="0.2">
      <c r="A14" s="1658"/>
      <c r="B14" s="1658"/>
      <c r="C14" s="1700"/>
      <c r="D14" s="1701" t="s">
        <v>1712</v>
      </c>
      <c r="E14" s="1697">
        <f t="shared" si="1"/>
        <v>71328.246952998321</v>
      </c>
      <c r="F14" s="1662"/>
      <c r="G14" s="1662">
        <f>SUMIFS('LAC 102_Wkst'!$AM$7:$AM$2010,'LAC 102_Wkst'!$D$7:$D$2010,$C$7,'LAC 102_Wkst'!$I$7:$I$2010,$C$9,'LAC 102_Wkst'!$L$7:$L$2010,"01",'LAC 102_Wkst'!$N$7:$N$2010,"P1")+SUMIFS('LAC 102_Wkst'!$AM$7:$AM$2010,'LAC 102_Wkst'!$D$7:$D$2010,$C$7,'LAC 102_Wkst'!$I$7:$I$2010,$C$9,'LAC 102_Wkst'!$L$7:$L$2010,"01",'LAC 102_Wkst'!$N$7:$N$2010,"P2")+SUMIFS('LAC 102_Wkst'!$AM$7:$AM$2010,'LAC 102_Wkst'!$D$7:$D$2010,$C$7,'LAC 102_Wkst'!$I$7:$I$2010,$C$9,'LAC 102_Wkst'!$L$7:$L$2010,"01",'LAC 102_Wkst'!$N$7:$N$2010,"P3")+SUMIFS('LAC 102_Wkst'!$AM$7:$AM$2010,'LAC 102_Wkst'!$D$7:$D$2010,$C$7,'LAC 102_Wkst'!$I$7:$I$2010,$C$9,'LAC 102_Wkst'!$L$7:$L$2010,"02",'LAC 102_Wkst'!$N$7:$N$2010,"P1")+SUMIFS('LAC 102_Wkst'!$AM$7:$AM$2010,'LAC 102_Wkst'!$D$7:$D$2010,$C$7,'LAC 102_Wkst'!$I$7:$I$2010,$C$9,'LAC 102_Wkst'!$L$7:$L$2010,"02",'LAC 102_Wkst'!$N$7:$N$2010,"P2")+SUMIFS('LAC 102_Wkst'!$AM$7:$AM$2010,'LAC 102_Wkst'!$D$7:$D$2010,$C$7,'LAC 102_Wkst'!$I$7:$I$2010,$C$9,'LAC 102_Wkst'!$L$7:$L$2010,"02",'LAC 102_Wkst'!$N$7:$N$2010,"P3")</f>
        <v>0</v>
      </c>
      <c r="H14" s="1662"/>
      <c r="I14" s="1662">
        <f>SUMIFS('LAC 102_Wkst'!$AM$7:$AM$2010,'LAC 102_Wkst'!$D$7:$D$2010,$C$7,'LAC 102_Wkst'!$I$7:$I$2010,$C$9,'LAC 102_Wkst'!$L$7:$L$2010,"01",'LAC 102_Wkst'!$N$7:$N$2010,"P4")+SUMIFS('LAC 102_Wkst'!$AM$7:$AM$2010,'LAC 102_Wkst'!$D$7:$D$2010,$C$7,'LAC 102_Wkst'!$I$7:$I$2010,$C$9,'LAC 102_Wkst'!$L$7:$L$2010,"02",'LAC 102_Wkst'!$N$7:$N$2010,"P4")</f>
        <v>0</v>
      </c>
      <c r="J14" s="1662"/>
      <c r="K14" s="1662">
        <f>SUMIFS('LAC 102_Wkst'!$AM$7:$AM$2010,'LAC 102_Wkst'!$D$7:$D$2010,$C$7,'LAC 102_Wkst'!$I$7:$I$2010,$C$9,'LAC 102_Wkst'!$L$7:$L$2010,"01",'LAC 102_Wkst'!$N$7:$N$2010,"P5")+SUMIFS('LAC 102_Wkst'!$AM$7:$AM$2010,'LAC 102_Wkst'!$D$7:$D$2010,$C$7,'LAC 102_Wkst'!$I$7:$I$2010,$C$9,'LAC 102_Wkst'!$L$7:$L$2010,"02",'LAC 102_Wkst'!$N$7:$N$2010,"P5")</f>
        <v>0</v>
      </c>
      <c r="L14" s="1662"/>
      <c r="M14" s="1662">
        <f>SUMIFS('LAC 102_Wkst'!$AM$7:$AM$2010,'LAC 102_Wkst'!$D$7:$D$2010,$C$7,'LAC 102_Wkst'!$I$7:$I$2010,$C$9,'LAC 102_Wkst'!$L$7:$L$2010,"03",'LAC 102_Wkst'!$N$7:$N$2010,"P1")+SUMIFS('LAC 102_Wkst'!$AM$7:$AM$2010,'LAC 102_Wkst'!$D$7:$D$2010,$C$7,'LAC 102_Wkst'!$I$7:$I$2010,$C$9,'LAC 102_Wkst'!$L$7:$L$2010,"03",'LAC 102_Wkst'!$N$7:$N$2010,"P2")+SUMIFS('LAC 102_Wkst'!$AM$7:$AM$2010,'LAC 102_Wkst'!$D$7:$D$2010,$C$7,'LAC 102_Wkst'!$I$7:$I$2010,$C$9,'LAC 102_Wkst'!$L$7:$L$2010,"03",'LAC 102_Wkst'!$N$7:$N$2010,"P3")+SUMIFS('LAC 102_Wkst'!$AM$7:$AM$2010,'LAC 102_Wkst'!$D$7:$D$2010,$C$7,'LAC 102_Wkst'!$I$7:$I$2010,$C$9,'LAC 102_Wkst'!$L$7:$L$2010,"04",'LAC 102_Wkst'!$N$7:$N$2010,"P1")+SUMIFS('LAC 102_Wkst'!$AM$7:$AM$2010,'LAC 102_Wkst'!$D$7:$D$2010,$C$7,'LAC 102_Wkst'!$I$7:$I$2010,$C$9,'LAC 102_Wkst'!$L$7:$L$2010,"04",'LAC 102_Wkst'!$N$7:$N$2010,"P2")+SUMIFS('LAC 102_Wkst'!$AM$7:$AM$2010,'LAC 102_Wkst'!$D$7:$D$2010,$C$7,'LAC 102_Wkst'!$I$7:$I$2010,$C$9,'LAC 102_Wkst'!$L$7:$L$2010,"04",'LAC 102_Wkst'!$N$7:$N$2010,"P3")</f>
        <v>0</v>
      </c>
      <c r="N14" s="1662"/>
      <c r="O14" s="1662">
        <f>SUMIFS('LAC 102_Wkst'!$AM$7:$AM$2010,'LAC 102_Wkst'!$D$7:$D$2010,$C$7,'LAC 102_Wkst'!$I$7:$I$2010,$C$9,'LAC 102_Wkst'!$L$7:$L$2010,"03",'LAC 102_Wkst'!$N$7:$N$2010,"P4")+SUMIFS('LAC 102_Wkst'!$AM$7:$AM$2010,'LAC 102_Wkst'!$D$7:$D$2010,$C$7,'LAC 102_Wkst'!$I$7:$I$2010,$C$9,'LAC 102_Wkst'!$L$7:$L$2010,"04",'LAC 102_Wkst'!$N$7:$N$2010,"P4")</f>
        <v>0</v>
      </c>
      <c r="P14" s="1402"/>
      <c r="Q14" s="1662">
        <f>SUMIFS('LAC 102_Wkst'!$AM$7:$AM$2010,'LAC 102_Wkst'!$D$7:$D$2010,$C$7,'LAC 102_Wkst'!$I$7:$I$2010,$C$9,'LAC 102_Wkst'!$L$7:$L$2010,"03",'LAC 102_Wkst'!$N$7:$N$2010,"P5")+SUMIFS('LAC 102_Wkst'!$AM$7:$AM$2010,'LAC 102_Wkst'!$D$7:$D$2010,$C$7,'LAC 102_Wkst'!$I$7:$I$2010,$C$9,'LAC 102_Wkst'!$L$7:$L$2010,"04",'LAC 102_Wkst'!$N$7:$N$2010,"P5")</f>
        <v>0</v>
      </c>
      <c r="R14" s="1663"/>
      <c r="S14" s="1663">
        <f>SUMIFS('LAC 102_Wkst'!$AM$7:$AM$2010,'LAC 102_Wkst'!$D$7:$D$2010,$C$7,'LAC 102_Wkst'!$I$7:$I$2010,$C$9,'LAC 102_Wkst'!$L$7:$L$2010,"05",'LAC 102_Wkst'!$N$7:$N$2010,"P1")+SUMIFS('LAC 102_Wkst'!$AM$7:$AM$2010,'LAC 102_Wkst'!$D$7:$D$2010,$C$7,'LAC 102_Wkst'!$I$7:$I$2010,$C$9,'LAC 102_Wkst'!$L$7:$L$2010,"06",'LAC 102_Wkst'!$N$7:$N$2010,"P1")</f>
        <v>0</v>
      </c>
      <c r="T14" s="1663"/>
      <c r="U14" s="1663">
        <f>SUMIFS('LAC 102_Wkst'!$AM$7:$AM$2010,'LAC 102_Wkst'!$D$7:$D$2010,$C$7,'LAC 102_Wkst'!$I$7:$I$2010,$C$9,'LAC 102_Wkst'!$L$7:$L$2010,"05",'LAC 102_Wkst'!$N$7:$N$2010,"P2")+SUMIFS('LAC 102_Wkst'!$AM$7:$AM$2010,'LAC 102_Wkst'!$D$7:$D$2010,$C$7,'LAC 102_Wkst'!$I$7:$I$2010,$C$9,'LAC 102_Wkst'!$L$7:$L$2010,"06",'LAC 102_Wkst'!$N$7:$N$2010,"P2")+SUMIFS('LAC 102_Wkst'!$AM$7:$AM$2010,'LAC 102_Wkst'!$D$7:$D$2010,$C$7,'LAC 102_Wkst'!$I$7:$I$2010,$C$9,'LAC 102_Wkst'!$L$7:$L$2010,"05",'LAC 102_Wkst'!$N$7:$N$2010,"P3")+SUMIFS('LAC 102_Wkst'!$AM$7:$AM$2010,'LAC 102_Wkst'!$D$7:$D$2010,$C$7,'LAC 102_Wkst'!$I$7:$I$2010,$C$9,'LAC 102_Wkst'!$L$7:$L$2010,"06",'LAC 102_Wkst'!$N$7:$N$2010,"P3")</f>
        <v>0</v>
      </c>
      <c r="V14" s="1663"/>
      <c r="W14" s="1663">
        <f>SUMIFS('LAC 102_Wkst'!$AM$7:$AM$2010,'LAC 102_Wkst'!$D$7:$D$2010,$C$7,'LAC 102_Wkst'!$I$7:$I$2010,$C$9,'LAC 102_Wkst'!$L$7:$L$2010,"05",'LAC 102_Wkst'!$N$7:$N$2010,"P4")+SUMIFS('LAC 102_Wkst'!$AM$7:$AM$2010,'LAC 102_Wkst'!$D$7:$D$2010,$C$7,'LAC 102_Wkst'!$I$7:$I$2010,$C$9,'LAC 102_Wkst'!$L$7:$L$2010,"06",'LAC 102_Wkst'!$N$7:$N$2010,"P4")</f>
        <v>0</v>
      </c>
      <c r="X14" s="1663"/>
      <c r="Y14" s="1663">
        <f>SUMIFS('LAC 102_Wkst'!$AM$7:$AM$2010,'LAC 102_Wkst'!$D$7:$D$2010,$C$7,'LAC 102_Wkst'!$I$7:$I$2010,$C$9,'LAC 102_Wkst'!$L$7:$L$2010,"05",'LAC 102_Wkst'!$N$7:$N$2010,"P5")+SUMIFS('LAC 102_Wkst'!$AM$7:$AM$2010,'LAC 102_Wkst'!$D$7:$D$2010,$C$7,'LAC 102_Wkst'!$I$7:$I$2010,$C$9,'LAC 102_Wkst'!$L$7:$L$2010,"06",'LAC 102_Wkst'!$N$7:$N$2010,"P5")</f>
        <v>0</v>
      </c>
      <c r="Z14" s="1663"/>
      <c r="AA14" s="1663">
        <f>SUMIFS('LAC 102_Wkst'!$AM$7:$AM$2010,'LAC 102_Wkst'!$D$7:$D$2010,$C$7,'LAC 102_Wkst'!$I$7:$I$2010,$C$9,'LAC 102_Wkst'!$L$7:$L$2010,"07",'LAC 102_Wkst'!$N$7:$N$2010,"P1")+SUMIFS('LAC 102_Wkst'!$AM$7:$AM$2010,'LAC 102_Wkst'!$D$7:$D$2010,$C$7,'LAC 102_Wkst'!$I$7:$I$2010,$C$9,'LAC 102_Wkst'!$L$7:$L$2010,"07",'LAC 102_Wkst'!$N$7:$N$2010,"P2")+SUMIFS('LAC 102_Wkst'!$AM$7:$AM$2010,'LAC 102_Wkst'!$D$7:$D$2010,$C$7,'LAC 102_Wkst'!$I$7:$I$2010,$C$9,'LAC 102_Wkst'!$L$7:$L$2010,"07",'LAC 102_Wkst'!$N$7:$N$2010,"P3")</f>
        <v>0</v>
      </c>
      <c r="AB14" s="1663"/>
      <c r="AC14" s="1663">
        <f>SUMIFS('LAC 102_Wkst'!$AM$7:$AM$2010,'LAC 102_Wkst'!$D$7:$D$2010,$C$7,'LAC 102_Wkst'!$I$7:$I$2010,$C$9,'LAC 102_Wkst'!$L$7:$L$2010,"07",'LAC 102_Wkst'!$N$7:$N$2010,"P4")</f>
        <v>0</v>
      </c>
      <c r="AD14" s="1663"/>
      <c r="AE14" s="1663">
        <f>SUMIFS('LAC 102_Wkst'!$AM$7:$AM$2010,'LAC 102_Wkst'!$D$7:$D$2010,$C$7,'LAC 102_Wkst'!$I$7:$I$2010,$C$9,'LAC 102_Wkst'!$L$7:$L$2010,"07",'LAC 102_Wkst'!$N$7:$N$2010,"P5")</f>
        <v>0</v>
      </c>
      <c r="AF14" s="1663"/>
      <c r="AG14" s="1663">
        <f>SUMIFS('LAC 102_Wkst'!$AM$7:$AM$2010,'LAC 102_Wkst'!$D$7:$D$2010,$C$7,'LAC 102_Wkst'!$I$7:$I$2010,$C$9,'LAC 102_Wkst'!$L$7:$L$2010,"08",'LAC 102_Wkst'!$N$7:$N$2010,"P1")+SUMIFS('LAC 102_Wkst'!$AM$7:$AM$2010,'LAC 102_Wkst'!$D$7:$D$2010,$C$7,'LAC 102_Wkst'!$I$7:$I$2010,$C$9,'LAC 102_Wkst'!$L$7:$L$2010,"08",'LAC 102_Wkst'!$N$7:$N$2010,"P2")+SUMIFS('LAC 102_Wkst'!$AM$7:$AM$2010,'LAC 102_Wkst'!$D$7:$D$2010,$C$7,'LAC 102_Wkst'!$I$7:$I$2010,$C$9,'LAC 102_Wkst'!$L$7:$L$2010,"08",'LAC 102_Wkst'!$N$7:$N$2010,"P3")</f>
        <v>0</v>
      </c>
      <c r="AH14" s="1663"/>
      <c r="AI14" s="1663">
        <f>SUMIFS('LAC 102_Wkst'!$AM$7:$AM$2010,'LAC 102_Wkst'!$D$7:$D$2010,$C$7,'LAC 102_Wkst'!$I$7:$I$2010,$C$9,'LAC 102_Wkst'!$L$7:$L$2010,"08",'LAC 102_Wkst'!$N$7:$N$2010,"P4")</f>
        <v>0</v>
      </c>
      <c r="AJ14" s="1663"/>
      <c r="AK14" s="1663">
        <f>SUMIFS('LAC 102_Wkst'!$AM$7:$AM$2010,'LAC 102_Wkst'!$D$7:$D$2010,$C$7,'LAC 102_Wkst'!$I$7:$I$2010,$C$9,'LAC 102_Wkst'!$L$7:$L$2010,"08",'LAC 102_Wkst'!$N$7:$N$2010,"P5")</f>
        <v>0</v>
      </c>
      <c r="AL14" s="1663"/>
      <c r="AM14" s="1663">
        <f>SUMIFS('LAC 102_Wkst'!$AM$7:$AM$2010,'LAC 102_Wkst'!$D$7:$D$2010,$C$7,'LAC 102_Wkst'!$I$7:$I$2010,$C$9,'LAC 102_Wkst'!$L$7:$L$2010,"09",'LAC 102_Wkst'!$N$7:$N$2010,"P1")+SUMIFS('LAC 102_Wkst'!$AM$7:$AM$2010,'LAC 102_Wkst'!$D$7:$D$2010,$C$7,'LAC 102_Wkst'!$I$7:$I$2010,$C$9,'LAC 102_Wkst'!$L$7:$L$2010,"09",'LAC 102_Wkst'!$N$7:$N$2010,"P2")+SUMIFS('LAC 102_Wkst'!$AM$7:$AM$2010,'LAC 102_Wkst'!$D$7:$D$2010,$C$7,'LAC 102_Wkst'!$I$7:$I$2010,$C$9,'LAC 102_Wkst'!$L$7:$L$2010,"09",'LAC 102_Wkst'!$N$7:$N$2010,"P3")+SUMIFS('LAC 102_Wkst'!$AM$7:$AM$2010,'LAC 102_Wkst'!$D$7:$D$2010,$C$7,'LAC 102_Wkst'!$I$7:$I$2010,$C$9,'LAC 102_Wkst'!$L$7:$L$2010,"09",'LAC 102_Wkst'!$N$7:$N$2010,"P4")</f>
        <v>0</v>
      </c>
      <c r="AN14" s="1663"/>
      <c r="AO14" s="1663">
        <f>SUMIFS('LAC 102_Wkst'!$AM$7:$AM$2010,'LAC 102_Wkst'!$D$7:$D$2010,$C$7,'LAC 102_Wkst'!$I$7:$I$2010,$C$9,'LAC 102_Wkst'!$L$7:$L$2010,"09",'LAC 102_Wkst'!$N$7:$N$2010,"P5")</f>
        <v>0</v>
      </c>
      <c r="AP14" s="1663"/>
      <c r="AQ14" s="1663">
        <f>SUMIFS('LAC 102_Wkst'!$AM$7:$AM$2010,'LAC 102_Wkst'!$D$7:$D$2010,$C$7,'LAC 102_Wkst'!$I$7:$I$2010,$C$9,'LAC 102_Wkst'!$L$7:$L$2010,"10",'LAC 102_Wkst'!$N$7:$N$2010,"P1")+SUMIFS('LAC 102_Wkst'!$AM$7:$AM$2010,'LAC 102_Wkst'!$D$7:$D$2010,$C$7,'LAC 102_Wkst'!$I$7:$I$2010,$C$9,'LAC 102_Wkst'!$L$7:$L$2010,"10",'LAC 102_Wkst'!$N$7:$N$2010,"P2")+SUMIFS('LAC 102_Wkst'!$AM$7:$AM$2010,'LAC 102_Wkst'!$D$7:$D$2010,$C$7,'LAC 102_Wkst'!$I$7:$I$2010,$C$9,'LAC 102_Wkst'!$L$7:$L$2010,"10",'LAC 102_Wkst'!$N$7:$N$2010,"P3")+SUMIFS('LAC 102_Wkst'!$AM$7:$AM$2010,'LAC 102_Wkst'!$D$7:$D$2010,$C$7,'LAC 102_Wkst'!$I$7:$I$2010,$C$9,'LAC 102_Wkst'!$L$7:$L$2010,"10",'LAC 102_Wkst'!$N$7:$N$2010,"P4")</f>
        <v>13829.536286869306</v>
      </c>
      <c r="AR14" s="1663"/>
      <c r="AS14" s="1663">
        <f>SUMIFS('LAC 102_Wkst'!$AM$7:$AM$2010,'LAC 102_Wkst'!$D$7:$D$2010,$C$7,'LAC 102_Wkst'!$I$7:$I$2010,$C$9,'LAC 102_Wkst'!$L$7:$L$2010,"10",'LAC 102_Wkst'!$N$7:$N$2010,"P5")</f>
        <v>0</v>
      </c>
      <c r="AT14" s="1663"/>
      <c r="AU14" s="1663">
        <f>SUMIFS('LAC 102_Wkst'!$AM$7:$AM$2010,'LAC 102_Wkst'!$D$7:$D$2010,$C$7,'LAC 102_Wkst'!$I$7:$I$2010,$C$9,'LAC 102_Wkst'!$L$7:$L$2010,"13",'LAC 102_Wkst'!$N$7:$N$2010,"P5")</f>
        <v>0</v>
      </c>
      <c r="AV14" s="1663"/>
      <c r="AW14" s="1663">
        <f>SUMIFS('LAC 102_Wkst'!$AM$7:$AM$2010,'LAC 102_Wkst'!$D$7:$D$2010,$C$7,'LAC 102_Wkst'!$I$7:$I$2010,$C$9,'LAC 102_Wkst'!$L$7:$L$2010,"11",'LAC 102_Wkst'!$N$7:$N$2010,"P2")+SUMIFS('LAC 102_Wkst'!$AM$7:$AM$2010,'LAC 102_Wkst'!$D$7:$D$2010,$C$7,'LAC 102_Wkst'!$I$7:$I$2010,$C$9,'LAC 102_Wkst'!$L$7:$L$2010,"12",'LAC 102_Wkst'!$N$7:$N$2010,"P2")+SUMIFS('LAC 102_Wkst'!$AM$7:$AM$2010,'LAC 102_Wkst'!$D$7:$D$2010,$C$7,'LAC 102_Wkst'!$I$7:$I$2010,$C$9,'LAC 102_Wkst'!$L$7:$L$2010,"11",'LAC 102_Wkst'!$N$7:$N$2010,"P3")+SUMIFS('LAC 102_Wkst'!$AM$7:$AM$2010,'LAC 102_Wkst'!$D$7:$D$2010,$C$7,'LAC 102_Wkst'!$I$7:$I$2010,$C$9,'LAC 102_Wkst'!$L$7:$L$2010,"12",'LAC 102_Wkst'!$N$7:$N$2010,"P3")</f>
        <v>0</v>
      </c>
      <c r="AX14" s="1663"/>
      <c r="AY14" s="1663">
        <f>SUMIFS('LAC 102_Wkst'!$AM$7:$AM$2010,'LAC 102_Wkst'!$D$7:$D$2010,$C$7,'LAC 102_Wkst'!$I$7:$I$2010,$C$9,'LAC 102_Wkst'!$L$7:$L$2010,"11",'LAC 102_Wkst'!$N$7:$N$2010,"P4")+SUMIFS('LAC 102_Wkst'!$AM$7:$AM$2010,'LAC 102_Wkst'!$D$7:$D$2010,$C$7,'LAC 102_Wkst'!$I$7:$I$2010,$C$9,'LAC 102_Wkst'!$L$7:$L$2010,"12",'LAC 102_Wkst'!$N$7:$N$2010,"P4")</f>
        <v>0</v>
      </c>
      <c r="AZ14" s="1663"/>
      <c r="BA14" s="1663">
        <f>SUMIFS('LAC 102_Wkst'!$AM$7:$AM$2010,'LAC 102_Wkst'!$D$7:$D$2010,$C$7,'LAC 102_Wkst'!$I$7:$I$2010,$C$9,'LAC 102_Wkst'!$L$7:$L$2010,"11",'LAC 102_Wkst'!$N$7:$N$2010,"P5")+SUMIFS('LAC 102_Wkst'!$AM$7:$AM$2010,'LAC 102_Wkst'!$D$7:$D$2010,$C$7,'LAC 102_Wkst'!$I$7:$I$2010,$C$9,'LAC 102_Wkst'!$L$7:$L$2010,"12",'LAC 102_Wkst'!$N$7:$N$2010,"P5")</f>
        <v>0</v>
      </c>
      <c r="BB14" s="1663"/>
      <c r="BC14" s="1663">
        <f>SUMIFS('LAC 102_Wkst'!$AM$7:$AM$2010,'LAC 102_Wkst'!$D$7:$D$2010,$C$7,'LAC 102_Wkst'!$I$7:$I$2010,$C$9,'LAC 102_Wkst'!$L$7:$L$2010,"13",'LAC 102_Wkst'!$N$7:$N$2010,"P1")+SUMIFS('LAC 102_Wkst'!$AM$7:$AM$2010,'LAC 102_Wkst'!$D$7:$D$2010,$C$7,'LAC 102_Wkst'!$I$7:$I$2010,$C$9,'LAC 102_Wkst'!$L$7:$L$2010,"13",'LAC 102_Wkst'!$N$7:$N$2010,"P2")+SUMIFS('LAC 102_Wkst'!$AM$7:$AM$2010,'LAC 102_Wkst'!$D$7:$D$2010,$C$7,'LAC 102_Wkst'!$I$7:$I$2010,$C$9,'LAC 102_Wkst'!$L$7:$L$2010,"13",'LAC 102_Wkst'!$N$7:$N$2010,"P3")+SUMIFS('LAC 102_Wkst'!$AM$7:$AM$2010,'LAC 102_Wkst'!$D$7:$D$2010,$C$7,'LAC 102_Wkst'!$I$7:$I$2010,$C$9,'LAC 102_Wkst'!$L$7:$L$2010,"13",'LAC 102_Wkst'!$N$7:$N$2010,"P4")</f>
        <v>57498.710666129009</v>
      </c>
      <c r="BD14" s="1663"/>
      <c r="BE14" s="1663">
        <f>SUMIFS('LAC 102_Wkst'!$AM$7:$AM$2010,'LAC 102_Wkst'!$D$7:$D$2010,$C$7,'LAC 102_Wkst'!$I$7:$I$2010,$C$9,'LAC 102_Wkst'!$L$7:$L$2010,"13",'LAC 102_Wkst'!$N$7:$N$2010,"P5")</f>
        <v>0</v>
      </c>
      <c r="BF14" s="1663"/>
      <c r="BG14" s="1663">
        <f>SUMIFS('LAC 102_Wkst'!$AM$7:$AM$2010,'LAC 102_Wkst'!$D$7:$D$2010,$C$7,'LAC 102_Wkst'!$I$7:$I$2010,$C$9,'LAC 102_Wkst'!$L$7:$L$2010,"14")</f>
        <v>0</v>
      </c>
    </row>
    <row r="15" spans="1:59" ht="17.100000000000001" customHeight="1" x14ac:dyDescent="0.2">
      <c r="A15" s="1699"/>
      <c r="B15" s="1715"/>
      <c r="C15" s="1700"/>
      <c r="D15" s="1701" t="s">
        <v>2062</v>
      </c>
      <c r="E15" s="1697">
        <f t="shared" si="1"/>
        <v>621630.7026702268</v>
      </c>
      <c r="F15" s="1662"/>
      <c r="G15" s="1662">
        <f>SUMIFS('LAC 102_Wkst'!$AN$7:$AN$2010,'LAC 102_Wkst'!$D$7:$D$2010,$C$7,'LAC 102_Wkst'!$I$7:$I$2010,$C$9,'LAC 102_Wkst'!$L$7:$L$2010,"01",'LAC 102_Wkst'!$N$7:$N$2010,"P1")+SUMIFS('LAC 102_Wkst'!$AN$7:$AN$2010,'LAC 102_Wkst'!$D$7:$D$2010,$C$7,'LAC 102_Wkst'!$I$7:$I$2010,$C$9,'LAC 102_Wkst'!$L$7:$L$2010,"01",'LAC 102_Wkst'!$N$7:$N$2010,"P2")+SUMIFS('LAC 102_Wkst'!$AN$7:$AN$2010,'LAC 102_Wkst'!$D$7:$D$2010,$C$7,'LAC 102_Wkst'!$I$7:$I$2010,$C$9,'LAC 102_Wkst'!$L$7:$L$2010,"01",'LAC 102_Wkst'!$N$7:$N$2010,"P3")+SUMIFS('LAC 102_Wkst'!$AN$7:$AN$2010,'LAC 102_Wkst'!$D$7:$D$2010,$C$7,'LAC 102_Wkst'!$I$7:$I$2010,$C$9,'LAC 102_Wkst'!$L$7:$L$2010,"02",'LAC 102_Wkst'!$N$7:$N$2010,"P1")+SUMIFS('LAC 102_Wkst'!$AN$7:$AN$2010,'LAC 102_Wkst'!$D$7:$D$2010,$C$7,'LAC 102_Wkst'!$I$7:$I$2010,$C$9,'LAC 102_Wkst'!$L$7:$L$2010,"02",'LAC 102_Wkst'!$N$7:$N$2010,"P2")+SUMIFS('LAC 102_Wkst'!$AN$7:$AN$2010,'LAC 102_Wkst'!$D$7:$D$2010,$C$7,'LAC 102_Wkst'!$I$7:$I$2010,$C$9,'LAC 102_Wkst'!$L$7:$L$2010,"02",'LAC 102_Wkst'!$N$7:$N$2010,"P3")</f>
        <v>621122.28903843649</v>
      </c>
      <c r="H15" s="1662"/>
      <c r="I15" s="1662">
        <f>SUMIFS('LAC 102_Wkst'!$AN$7:$AN$2010,'LAC 102_Wkst'!$D$7:$D$2010,$C$7,'LAC 102_Wkst'!$I$7:$I$2010,$C$9,'LAC 102_Wkst'!$L$7:$L$2010,"01",'LAC 102_Wkst'!$N$7:$N$2010,"P4")+SUMIFS('LAC 102_Wkst'!$AN$7:$AN$2010,'LAC 102_Wkst'!$D$7:$D$2010,$C$7,'LAC 102_Wkst'!$I$7:$I$2010,$C$9,'LAC 102_Wkst'!$L$7:$L$2010,"02",'LAC 102_Wkst'!$N$7:$N$2010,"P4")</f>
        <v>0</v>
      </c>
      <c r="J15" s="1662"/>
      <c r="K15" s="1662">
        <f>SUMIFS('LAC 102_Wkst'!$AN$7:$AN$2010,'LAC 102_Wkst'!$D$7:$D$2010,$C$7,'LAC 102_Wkst'!$I$7:$I$2010,$C$9,'LAC 102_Wkst'!$L$7:$L$2010,"01",'LAC 102_Wkst'!$N$7:$N$2010,"P5")+SUMIFS('LAC 102_Wkst'!$AN$7:$AN$2010,'LAC 102_Wkst'!$D$7:$D$2010,$C$7,'LAC 102_Wkst'!$I$7:$I$2010,$C$9,'LAC 102_Wkst'!$L$7:$L$2010,"02",'LAC 102_Wkst'!$N$7:$N$2010,"P5")</f>
        <v>0</v>
      </c>
      <c r="L15" s="1662"/>
      <c r="M15" s="1662">
        <f>SUMIFS('LAC 102_Wkst'!$AN$7:$AN$2010,'LAC 102_Wkst'!$D$7:$D$2010,$C$7,'LAC 102_Wkst'!$I$7:$I$2010,$C$9,'LAC 102_Wkst'!$L$7:$L$2010,"03",'LAC 102_Wkst'!$N$7:$N$2010,"P1")+SUMIFS('LAC 102_Wkst'!$AN$7:$AN$2010,'LAC 102_Wkst'!$D$7:$D$2010,$C$7,'LAC 102_Wkst'!$I$7:$I$2010,$C$9,'LAC 102_Wkst'!$L$7:$L$2010,"03",'LAC 102_Wkst'!$N$7:$N$2010,"P2")+SUMIFS('LAC 102_Wkst'!$AN$7:$AN$2010,'LAC 102_Wkst'!$D$7:$D$2010,$C$7,'LAC 102_Wkst'!$I$7:$I$2010,$C$9,'LAC 102_Wkst'!$L$7:$L$2010,"03",'LAC 102_Wkst'!$N$7:$N$2010,"P3")+SUMIFS('LAC 102_Wkst'!$AN$7:$AN$2010,'LAC 102_Wkst'!$D$7:$D$2010,$C$7,'LAC 102_Wkst'!$I$7:$I$2010,$C$9,'LAC 102_Wkst'!$L$7:$L$2010,"04",'LAC 102_Wkst'!$N$7:$N$2010,"P1")+SUMIFS('LAC 102_Wkst'!$AN$7:$AN$2010,'LAC 102_Wkst'!$D$7:$D$2010,$C$7,'LAC 102_Wkst'!$I$7:$I$2010,$C$9,'LAC 102_Wkst'!$L$7:$L$2010,"04",'LAC 102_Wkst'!$N$7:$N$2010,"P2")+SUMIFS('LAC 102_Wkst'!$AN$7:$AN$2010,'LAC 102_Wkst'!$D$7:$D$2010,$C$7,'LAC 102_Wkst'!$I$7:$I$2010,$C$9,'LAC 102_Wkst'!$L$7:$L$2010,"04",'LAC 102_Wkst'!$N$7:$N$2010,"P3")</f>
        <v>0</v>
      </c>
      <c r="N15" s="1662"/>
      <c r="O15" s="1662">
        <f>SUMIFS('LAC 102_Wkst'!$AN$7:$AN$2010,'LAC 102_Wkst'!$D$7:$D$2010,$C$7,'LAC 102_Wkst'!$I$7:$I$2010,$C$9,'LAC 102_Wkst'!$L$7:$L$2010,"03",'LAC 102_Wkst'!$N$7:$N$2010,"P4")+SUMIFS('LAC 102_Wkst'!$AN$7:$AN$2010,'LAC 102_Wkst'!$D$7:$D$2010,$C$7,'LAC 102_Wkst'!$I$7:$I$2010,$C$9,'LAC 102_Wkst'!$L$7:$L$2010,"04",'LAC 102_Wkst'!$N$7:$N$2010,"P4")</f>
        <v>0</v>
      </c>
      <c r="P15" s="1402"/>
      <c r="Q15" s="1662">
        <f>SUMIFS('LAC 102_Wkst'!$AN$7:$AN$2010,'LAC 102_Wkst'!$D$7:$D$2010,$C$7,'LAC 102_Wkst'!$I$7:$I$2010,$C$9,'LAC 102_Wkst'!$L$7:$L$2010,"03",'LAC 102_Wkst'!$N$7:$N$2010,"P5")+SUMIFS('LAC 102_Wkst'!$AN$7:$AN$2010,'LAC 102_Wkst'!$D$7:$D$2010,$C$7,'LAC 102_Wkst'!$I$7:$I$2010,$C$9,'LAC 102_Wkst'!$L$7:$L$2010,"04",'LAC 102_Wkst'!$N$7:$N$2010,"P5")</f>
        <v>0</v>
      </c>
      <c r="R15" s="1663"/>
      <c r="S15" s="1663">
        <f>SUMIFS('LAC 102_Wkst'!$AN$7:$AN$2010,'LAC 102_Wkst'!$D$7:$D$2010,$C$7,'LAC 102_Wkst'!$I$7:$I$2010,$C$9,'LAC 102_Wkst'!$L$7:$L$2010,"05",'LAC 102_Wkst'!$N$7:$N$2010,"P1")+SUMIFS('LAC 102_Wkst'!$AN$7:$AN$2010,'LAC 102_Wkst'!$D$7:$D$2010,$C$7,'LAC 102_Wkst'!$I$7:$I$2010,$C$9,'LAC 102_Wkst'!$L$7:$L$2010,"06",'LAC 102_Wkst'!$N$7:$N$2010,"P1")</f>
        <v>508.41363179032834</v>
      </c>
      <c r="T15" s="1663"/>
      <c r="U15" s="1663">
        <f>SUMIFS('LAC 102_Wkst'!$AN$7:$AN$2010,'LAC 102_Wkst'!$D$7:$D$2010,$C$7,'LAC 102_Wkst'!$I$7:$I$2010,$C$9,'LAC 102_Wkst'!$L$7:$L$2010,"05",'LAC 102_Wkst'!$N$7:$N$2010,"P2")+SUMIFS('LAC 102_Wkst'!$AN$7:$AN$2010,'LAC 102_Wkst'!$D$7:$D$2010,$C$7,'LAC 102_Wkst'!$I$7:$I$2010,$C$9,'LAC 102_Wkst'!$L$7:$L$2010,"06",'LAC 102_Wkst'!$N$7:$N$2010,"P2")+SUMIFS('LAC 102_Wkst'!$AN$7:$AN$2010,'LAC 102_Wkst'!$D$7:$D$2010,$C$7,'LAC 102_Wkst'!$I$7:$I$2010,$C$9,'LAC 102_Wkst'!$L$7:$L$2010,"05",'LAC 102_Wkst'!$N$7:$N$2010,"P3")+SUMIFS('LAC 102_Wkst'!$AN$7:$AN$2010,'LAC 102_Wkst'!$D$7:$D$2010,$C$7,'LAC 102_Wkst'!$I$7:$I$2010,$C$9,'LAC 102_Wkst'!$L$7:$L$2010,"06",'LAC 102_Wkst'!$N$7:$N$2010,"P3")</f>
        <v>0</v>
      </c>
      <c r="V15" s="1663"/>
      <c r="W15" s="1663">
        <f>SUMIFS('LAC 102_Wkst'!$AN$7:$AN$2010,'LAC 102_Wkst'!$D$7:$D$2010,$C$7,'LAC 102_Wkst'!$I$7:$I$2010,$C$9,'LAC 102_Wkst'!$L$7:$L$2010,"05",'LAC 102_Wkst'!$N$7:$N$2010,"P4")+SUMIFS('LAC 102_Wkst'!$AN$7:$AN$2010,'LAC 102_Wkst'!$D$7:$D$2010,$C$7,'LAC 102_Wkst'!$I$7:$I$2010,$C$9,'LAC 102_Wkst'!$L$7:$L$2010,"06",'LAC 102_Wkst'!$N$7:$N$2010,"P4")</f>
        <v>0</v>
      </c>
      <c r="X15" s="1663"/>
      <c r="Y15" s="1663">
        <f>SUMIFS('LAC 102_Wkst'!$AN$7:$AN$2010,'LAC 102_Wkst'!$D$7:$D$2010,$C$7,'LAC 102_Wkst'!$I$7:$I$2010,$C$9,'LAC 102_Wkst'!$L$7:$L$2010,"05",'LAC 102_Wkst'!$N$7:$N$2010,"P5")+SUMIFS('LAC 102_Wkst'!$AN$7:$AN$2010,'LAC 102_Wkst'!$D$7:$D$2010,$C$7,'LAC 102_Wkst'!$I$7:$I$2010,$C$9,'LAC 102_Wkst'!$L$7:$L$2010,"06",'LAC 102_Wkst'!$N$7:$N$2010,"P5")</f>
        <v>0</v>
      </c>
      <c r="Z15" s="1663"/>
      <c r="AA15" s="1663">
        <f>SUMIFS('LAC 102_Wkst'!$AN$7:$AN$2010,'LAC 102_Wkst'!$D$7:$D$2010,$C$7,'LAC 102_Wkst'!$I$7:$I$2010,$C$9,'LAC 102_Wkst'!$L$7:$L$2010,"07",'LAC 102_Wkst'!$N$7:$N$2010,"P1")+SUMIFS('LAC 102_Wkst'!$AN$7:$AN$2010,'LAC 102_Wkst'!$D$7:$D$2010,$C$7,'LAC 102_Wkst'!$I$7:$I$2010,$C$9,'LAC 102_Wkst'!$L$7:$L$2010,"07",'LAC 102_Wkst'!$N$7:$N$2010,"P2")+SUMIFS('LAC 102_Wkst'!$AN$7:$AN$2010,'LAC 102_Wkst'!$D$7:$D$2010,$C$7,'LAC 102_Wkst'!$I$7:$I$2010,$C$9,'LAC 102_Wkst'!$L$7:$L$2010,"07",'LAC 102_Wkst'!$N$7:$N$2010,"P3")</f>
        <v>0</v>
      </c>
      <c r="AB15" s="1663"/>
      <c r="AC15" s="1663">
        <f>SUMIFS('LAC 102_Wkst'!$AN$7:$AN$2010,'LAC 102_Wkst'!$D$7:$D$2010,$C$7,'LAC 102_Wkst'!$I$7:$I$2010,$C$9,'LAC 102_Wkst'!$L$7:$L$2010,"07",'LAC 102_Wkst'!$N$7:$N$2010,"P4")</f>
        <v>0</v>
      </c>
      <c r="AD15" s="1663"/>
      <c r="AE15" s="1663">
        <f>SUMIFS('LAC 102_Wkst'!$AN$7:$AN$2010,'LAC 102_Wkst'!$D$7:$D$2010,$C$7,'LAC 102_Wkst'!$I$7:$I$2010,$C$9,'LAC 102_Wkst'!$L$7:$L$2010,"07",'LAC 102_Wkst'!$N$7:$N$2010,"P5")</f>
        <v>0</v>
      </c>
      <c r="AF15" s="1663"/>
      <c r="AG15" s="1663">
        <f>SUMIFS('LAC 102_Wkst'!$AN$7:$AN$2010,'LAC 102_Wkst'!$D$7:$D$2010,$C$7,'LAC 102_Wkst'!$I$7:$I$2010,$C$9,'LAC 102_Wkst'!$L$7:$L$2010,"08",'LAC 102_Wkst'!$N$7:$N$2010,"P1")+SUMIFS('LAC 102_Wkst'!$AN$7:$AN$2010,'LAC 102_Wkst'!$D$7:$D$2010,$C$7,'LAC 102_Wkst'!$I$7:$I$2010,$C$9,'LAC 102_Wkst'!$L$7:$L$2010,"08",'LAC 102_Wkst'!$N$7:$N$2010,"P2")+SUMIFS('LAC 102_Wkst'!$AN$7:$AN$2010,'LAC 102_Wkst'!$D$7:$D$2010,$C$7,'LAC 102_Wkst'!$I$7:$I$2010,$C$9,'LAC 102_Wkst'!$L$7:$L$2010,"08",'LAC 102_Wkst'!$N$7:$N$2010,"P3")</f>
        <v>0</v>
      </c>
      <c r="AH15" s="1663"/>
      <c r="AI15" s="1663">
        <f>SUMIFS('LAC 102_Wkst'!$AN$7:$AN$2010,'LAC 102_Wkst'!$D$7:$D$2010,$C$7,'LAC 102_Wkst'!$I$7:$I$2010,$C$9,'LAC 102_Wkst'!$L$7:$L$2010,"08",'LAC 102_Wkst'!$N$7:$N$2010,"P4")</f>
        <v>0</v>
      </c>
      <c r="AJ15" s="1663"/>
      <c r="AK15" s="1663">
        <f>SUMIFS('LAC 102_Wkst'!$AN$7:$AN$2010,'LAC 102_Wkst'!$D$7:$D$2010,$C$7,'LAC 102_Wkst'!$I$7:$I$2010,$C$9,'LAC 102_Wkst'!$L$7:$L$2010,"08",'LAC 102_Wkst'!$N$7:$N$2010,"P5")</f>
        <v>0</v>
      </c>
      <c r="AL15" s="1663"/>
      <c r="AM15" s="1663">
        <f>SUMIFS('LAC 102_Wkst'!$AN$7:$AN$2010,'LAC 102_Wkst'!$D$7:$D$2010,$C$7,'LAC 102_Wkst'!$I$7:$I$2010,$C$9,'LAC 102_Wkst'!$L$7:$L$2010,"09",'LAC 102_Wkst'!$N$7:$N$2010,"P1")+SUMIFS('LAC 102_Wkst'!$AN$7:$AN$2010,'LAC 102_Wkst'!$D$7:$D$2010,$C$7,'LAC 102_Wkst'!$I$7:$I$2010,$C$9,'LAC 102_Wkst'!$L$7:$L$2010,"09",'LAC 102_Wkst'!$N$7:$N$2010,"P2")+SUMIFS('LAC 102_Wkst'!$AN$7:$AN$2010,'LAC 102_Wkst'!$D$7:$D$2010,$C$7,'LAC 102_Wkst'!$I$7:$I$2010,$C$9,'LAC 102_Wkst'!$L$7:$L$2010,"09",'LAC 102_Wkst'!$N$7:$N$2010,"P3")+SUMIFS('LAC 102_Wkst'!$AN$7:$AN$2010,'LAC 102_Wkst'!$D$7:$D$2010,$C$7,'LAC 102_Wkst'!$I$7:$I$2010,$C$9,'LAC 102_Wkst'!$L$7:$L$2010,"09",'LAC 102_Wkst'!$N$7:$N$2010,"P4")</f>
        <v>0</v>
      </c>
      <c r="AN15" s="1663"/>
      <c r="AO15" s="1663">
        <f>SUMIFS('LAC 102_Wkst'!$AN$7:$AN$2010,'LAC 102_Wkst'!$D$7:$D$2010,$C$7,'LAC 102_Wkst'!$I$7:$I$2010,$C$9,'LAC 102_Wkst'!$L$7:$L$2010,"09",'LAC 102_Wkst'!$N$7:$N$2010,"P5")</f>
        <v>0</v>
      </c>
      <c r="AP15" s="1663"/>
      <c r="AQ15" s="1663">
        <f>SUMIFS('LAC 102_Wkst'!$AN$7:$AN$2010,'LAC 102_Wkst'!$D$7:$D$2010,$C$7,'LAC 102_Wkst'!$I$7:$I$2010,$C$9,'LAC 102_Wkst'!$L$7:$L$2010,"10",'LAC 102_Wkst'!$N$7:$N$2010,"P1")+SUMIFS('LAC 102_Wkst'!$AN$7:$AN$2010,'LAC 102_Wkst'!$D$7:$D$2010,$C$7,'LAC 102_Wkst'!$I$7:$I$2010,$C$9,'LAC 102_Wkst'!$L$7:$L$2010,"10",'LAC 102_Wkst'!$N$7:$N$2010,"P2")+SUMIFS('LAC 102_Wkst'!$AN$7:$AN$2010,'LAC 102_Wkst'!$D$7:$D$2010,$C$7,'LAC 102_Wkst'!$I$7:$I$2010,$C$9,'LAC 102_Wkst'!$L$7:$L$2010,"10",'LAC 102_Wkst'!$N$7:$N$2010,"P3")+SUMIFS('LAC 102_Wkst'!$AN$7:$AN$2010,'LAC 102_Wkst'!$D$7:$D$2010,$C$7,'LAC 102_Wkst'!$I$7:$I$2010,$C$9,'LAC 102_Wkst'!$L$7:$L$2010,"10",'LAC 102_Wkst'!$N$7:$N$2010,"P4")</f>
        <v>0</v>
      </c>
      <c r="AR15" s="1663"/>
      <c r="AS15" s="1663">
        <f>SUMIFS('LAC 102_Wkst'!$AN$7:$AN$2010,'LAC 102_Wkst'!$D$7:$D$2010,$C$7,'LAC 102_Wkst'!$I$7:$I$2010,$C$9,'LAC 102_Wkst'!$L$7:$L$2010,"10",'LAC 102_Wkst'!$N$7:$N$2010,"P5")</f>
        <v>0</v>
      </c>
      <c r="AT15" s="1663"/>
      <c r="AU15" s="1663">
        <f>SUMIFS('LAC 102_Wkst'!$AN$7:$AN$2010,'LAC 102_Wkst'!$D$7:$D$2010,$C$7,'LAC 102_Wkst'!$I$7:$I$2010,$C$9,'LAC 102_Wkst'!$L$7:$L$2010,"13",'LAC 102_Wkst'!$N$7:$N$2010,"P5")</f>
        <v>0</v>
      </c>
      <c r="AV15" s="1663"/>
      <c r="AW15" s="1663">
        <f>SUMIFS('LAC 102_Wkst'!$AN$7:$AN$2010,'LAC 102_Wkst'!$D$7:$D$2010,$C$7,'LAC 102_Wkst'!$I$7:$I$2010,$C$9,'LAC 102_Wkst'!$L$7:$L$2010,"11",'LAC 102_Wkst'!$N$7:$N$2010,"P2")+SUMIFS('LAC 102_Wkst'!$AN$7:$AN$2010,'LAC 102_Wkst'!$D$7:$D$2010,$C$7,'LAC 102_Wkst'!$I$7:$I$2010,$C$9,'LAC 102_Wkst'!$L$7:$L$2010,"12",'LAC 102_Wkst'!$N$7:$N$2010,"P2")+SUMIFS('LAC 102_Wkst'!$AN$7:$AN$2010,'LAC 102_Wkst'!$D$7:$D$2010,$C$7,'LAC 102_Wkst'!$I$7:$I$2010,$C$9,'LAC 102_Wkst'!$L$7:$L$2010,"11",'LAC 102_Wkst'!$N$7:$N$2010,"P3")+SUMIFS('LAC 102_Wkst'!$AN$7:$AN$2010,'LAC 102_Wkst'!$D$7:$D$2010,$C$7,'LAC 102_Wkst'!$I$7:$I$2010,$C$9,'LAC 102_Wkst'!$L$7:$L$2010,"12",'LAC 102_Wkst'!$N$7:$N$2010,"P3")</f>
        <v>0</v>
      </c>
      <c r="AX15" s="1663"/>
      <c r="AY15" s="1663">
        <f>SUMIFS('LAC 102_Wkst'!$AN$7:$AN$2010,'LAC 102_Wkst'!$D$7:$D$2010,$C$7,'LAC 102_Wkst'!$I$7:$I$2010,$C$9,'LAC 102_Wkst'!$L$7:$L$2010,"11",'LAC 102_Wkst'!$N$7:$N$2010,"P4")+SUMIFS('LAC 102_Wkst'!$AN$7:$AN$2010,'LAC 102_Wkst'!$D$7:$D$2010,$C$7,'LAC 102_Wkst'!$I$7:$I$2010,$C$9,'LAC 102_Wkst'!$L$7:$L$2010,"12",'LAC 102_Wkst'!$N$7:$N$2010,"P4")</f>
        <v>0</v>
      </c>
      <c r="AZ15" s="1663"/>
      <c r="BA15" s="1663">
        <f>SUMIFS('LAC 102_Wkst'!$AN$7:$AN$2010,'LAC 102_Wkst'!$D$7:$D$2010,$C$7,'LAC 102_Wkst'!$I$7:$I$2010,$C$9,'LAC 102_Wkst'!$L$7:$L$2010,"11",'LAC 102_Wkst'!$N$7:$N$2010,"P5")+SUMIFS('LAC 102_Wkst'!$AN$7:$AN$2010,'LAC 102_Wkst'!$D$7:$D$2010,$C$7,'LAC 102_Wkst'!$I$7:$I$2010,$C$9,'LAC 102_Wkst'!$L$7:$L$2010,"12",'LAC 102_Wkst'!$N$7:$N$2010,"P5")</f>
        <v>0</v>
      </c>
      <c r="BB15" s="1663"/>
      <c r="BC15" s="1663">
        <f>SUMIFS('LAC 102_Wkst'!$AN$7:$AN$2010,'LAC 102_Wkst'!$D$7:$D$2010,$C$7,'LAC 102_Wkst'!$I$7:$I$2010,$C$9,'LAC 102_Wkst'!$L$7:$L$2010,"13",'LAC 102_Wkst'!$N$7:$N$2010,"P1")+SUMIFS('LAC 102_Wkst'!$AN$7:$AN$2010,'LAC 102_Wkst'!$D$7:$D$2010,$C$7,'LAC 102_Wkst'!$I$7:$I$2010,$C$9,'LAC 102_Wkst'!$L$7:$L$2010,"13",'LAC 102_Wkst'!$N$7:$N$2010,"P2")+SUMIFS('LAC 102_Wkst'!$AN$7:$AN$2010,'LAC 102_Wkst'!$D$7:$D$2010,$C$7,'LAC 102_Wkst'!$I$7:$I$2010,$C$9,'LAC 102_Wkst'!$L$7:$L$2010,"13",'LAC 102_Wkst'!$N$7:$N$2010,"P3")+SUMIFS('LAC 102_Wkst'!$AN$7:$AN$2010,'LAC 102_Wkst'!$D$7:$D$2010,$C$7,'LAC 102_Wkst'!$I$7:$I$2010,$C$9,'LAC 102_Wkst'!$L$7:$L$2010,"13",'LAC 102_Wkst'!$N$7:$N$2010,"P4")</f>
        <v>0</v>
      </c>
      <c r="BD15" s="1663"/>
      <c r="BE15" s="1663">
        <f>SUMIFS('LAC 102_Wkst'!$AN$7:$AN$2010,'LAC 102_Wkst'!$D$7:$D$2010,$C$7,'LAC 102_Wkst'!$I$7:$I$2010,$C$9,'LAC 102_Wkst'!$L$7:$L$2010,"13",'LAC 102_Wkst'!$N$7:$N$2010,"P5")</f>
        <v>0</v>
      </c>
      <c r="BF15" s="1663"/>
      <c r="BG15" s="1663">
        <f>SUMIFS('LAC 102_Wkst'!$AN$7:$AN$2010,'LAC 102_Wkst'!$D$7:$D$2010,$C$7,'LAC 102_Wkst'!$I$7:$I$2010,$C$9,'LAC 102_Wkst'!$L$7:$L$2010,"14")</f>
        <v>0</v>
      </c>
    </row>
    <row r="16" spans="1:59" ht="17.100000000000001" customHeight="1" x14ac:dyDescent="0.2">
      <c r="A16" s="1699"/>
      <c r="B16" s="1715"/>
      <c r="C16" s="1695"/>
      <c r="D16" s="1702" t="s">
        <v>2074</v>
      </c>
      <c r="E16" s="1698">
        <f>SUM(E12:E15)</f>
        <v>1615539.7224542478</v>
      </c>
      <c r="F16" s="1669"/>
      <c r="G16" s="1669">
        <f t="shared" ref="G16:BG16" si="2">SUM(G12:G15)</f>
        <v>1418087.4178959739</v>
      </c>
      <c r="H16" s="1669"/>
      <c r="I16" s="1669">
        <f t="shared" si="2"/>
        <v>0</v>
      </c>
      <c r="J16" s="1669"/>
      <c r="K16" s="1669">
        <f t="shared" si="2"/>
        <v>0</v>
      </c>
      <c r="L16" s="1669"/>
      <c r="M16" s="1669">
        <f t="shared" si="2"/>
        <v>0</v>
      </c>
      <c r="N16" s="1669"/>
      <c r="O16" s="1669">
        <f t="shared" si="2"/>
        <v>0</v>
      </c>
      <c r="P16" s="1669"/>
      <c r="Q16" s="1669">
        <f t="shared" si="2"/>
        <v>0</v>
      </c>
      <c r="R16" s="1669"/>
      <c r="S16" s="1669">
        <f t="shared" si="2"/>
        <v>1658.2310234518211</v>
      </c>
      <c r="T16" s="1669"/>
      <c r="U16" s="1669">
        <f t="shared" si="2"/>
        <v>0</v>
      </c>
      <c r="V16" s="1669"/>
      <c r="W16" s="1669">
        <f t="shared" si="2"/>
        <v>0</v>
      </c>
      <c r="X16" s="1669"/>
      <c r="Y16" s="1669">
        <f t="shared" si="2"/>
        <v>0</v>
      </c>
      <c r="Z16" s="1669"/>
      <c r="AA16" s="1669">
        <f t="shared" si="2"/>
        <v>0</v>
      </c>
      <c r="AB16" s="1669"/>
      <c r="AC16" s="1669">
        <f t="shared" si="2"/>
        <v>0</v>
      </c>
      <c r="AD16" s="1669"/>
      <c r="AE16" s="1669">
        <f t="shared" si="2"/>
        <v>0</v>
      </c>
      <c r="AF16" s="1669"/>
      <c r="AG16" s="1669">
        <f t="shared" si="2"/>
        <v>0</v>
      </c>
      <c r="AH16" s="1669"/>
      <c r="AI16" s="1669">
        <f t="shared" si="2"/>
        <v>0</v>
      </c>
      <c r="AJ16" s="1669"/>
      <c r="AK16" s="1669">
        <f t="shared" si="2"/>
        <v>0</v>
      </c>
      <c r="AL16" s="1669"/>
      <c r="AM16" s="1669">
        <f t="shared" si="2"/>
        <v>0</v>
      </c>
      <c r="AN16" s="1669"/>
      <c r="AO16" s="1669">
        <f t="shared" si="2"/>
        <v>0</v>
      </c>
      <c r="AP16" s="1669"/>
      <c r="AQ16" s="1669">
        <f t="shared" si="2"/>
        <v>138295.36286869308</v>
      </c>
      <c r="AR16" s="1669"/>
      <c r="AS16" s="1669">
        <f t="shared" si="2"/>
        <v>0</v>
      </c>
      <c r="AT16" s="1669"/>
      <c r="AU16" s="1669">
        <f t="shared" si="2"/>
        <v>0</v>
      </c>
      <c r="AV16" s="1669"/>
      <c r="AW16" s="1669">
        <f t="shared" si="2"/>
        <v>0</v>
      </c>
      <c r="AX16" s="1669"/>
      <c r="AY16" s="1669">
        <f t="shared" si="2"/>
        <v>0</v>
      </c>
      <c r="AZ16" s="1669"/>
      <c r="BA16" s="1669">
        <f t="shared" si="2"/>
        <v>0</v>
      </c>
      <c r="BB16" s="1669"/>
      <c r="BC16" s="1669">
        <f t="shared" si="2"/>
        <v>57498.710666129009</v>
      </c>
      <c r="BD16" s="1669"/>
      <c r="BE16" s="1669">
        <f t="shared" si="2"/>
        <v>0</v>
      </c>
      <c r="BF16" s="1669"/>
      <c r="BG16" s="1669">
        <f t="shared" si="2"/>
        <v>0</v>
      </c>
    </row>
    <row r="17" spans="1:59" ht="17.100000000000001" customHeight="1" x14ac:dyDescent="0.2">
      <c r="A17" s="1699"/>
      <c r="B17" s="1715"/>
      <c r="C17" s="1700"/>
      <c r="D17" s="1701" t="s">
        <v>2115</v>
      </c>
      <c r="E17" s="1697">
        <f t="shared" si="1"/>
        <v>123243.27178180673</v>
      </c>
      <c r="F17" s="1662"/>
      <c r="G17" s="1662">
        <f>SUMIFS('LAC 102_Wkst'!$AP$7:$AP$2010,'LAC 102_Wkst'!$D$7:$D$2010,$C$7,'LAC 102_Wkst'!$I$7:$I$2010,$C$9,'LAC 102_Wkst'!$L$7:$L$2010,"01",'LAC 102_Wkst'!$N$7:$N$2010,"P1")+SUMIFS('LAC 102_Wkst'!$AP$7:$AP$2010,'LAC 102_Wkst'!$D$7:$D$2010,$C$7,'LAC 102_Wkst'!$I$7:$I$2010,$C$9,'LAC 102_Wkst'!$L$7:$L$2010,"01",'LAC 102_Wkst'!$N$7:$N$2010,"P2")+SUMIFS('LAC 102_Wkst'!$AP$7:$AP$2010,'LAC 102_Wkst'!$D$7:$D$2010,$C$7,'LAC 102_Wkst'!$I$7:$I$2010,$C$9,'LAC 102_Wkst'!$L$7:$L$2010,"01",'LAC 102_Wkst'!$N$7:$N$2010,"P3")+SUMIFS('LAC 102_Wkst'!$AP$7:$AP$2010,'LAC 102_Wkst'!$D$7:$D$2010,$C$7,'LAC 102_Wkst'!$I$7:$I$2010,$C$9,'LAC 102_Wkst'!$L$7:$L$2010,"02",'LAC 102_Wkst'!$N$7:$N$2010,"P1")+SUMIFS('LAC 102_Wkst'!$AP$7:$AP$2010,'LAC 102_Wkst'!$D$7:$D$2010,$C$7,'LAC 102_Wkst'!$I$7:$I$2010,$C$9,'LAC 102_Wkst'!$L$7:$L$2010,"02",'LAC 102_Wkst'!$N$7:$N$2010,"P2")+SUMIFS('LAC 102_Wkst'!$AP$7:$AP$2010,'LAC 102_Wkst'!$D$7:$D$2010,$C$7,'LAC 102_Wkst'!$I$7:$I$2010,$C$9,'LAC 102_Wkst'!$L$7:$L$2010,"02",'LAC 102_Wkst'!$N$7:$N$2010,"P3")</f>
        <v>0</v>
      </c>
      <c r="H17" s="1662"/>
      <c r="I17" s="1662">
        <f>SUMIFS('LAC 102_Wkst'!$AP$7:$AP$2010,'LAC 102_Wkst'!$D$7:$D$2010,$C$7,'LAC 102_Wkst'!$I$7:$I$2010,$C$9,'LAC 102_Wkst'!$L$7:$L$2010,"01",'LAC 102_Wkst'!$N$7:$N$2010,"P4")+SUMIFS('LAC 102_Wkst'!$AP$7:$AP$2010,'LAC 102_Wkst'!$D$7:$D$2010,$C$7,'LAC 102_Wkst'!$I$7:$I$2010,$C$9,'LAC 102_Wkst'!$L$7:$L$2010,"02",'LAC 102_Wkst'!$N$7:$N$2010,"P4")</f>
        <v>0</v>
      </c>
      <c r="J17" s="1662"/>
      <c r="K17" s="1662">
        <f>SUMIFS('LAC 102_Wkst'!$AP$7:$AP$2010,'LAC 102_Wkst'!$D$7:$D$2010,$C$7,'LAC 102_Wkst'!$I$7:$I$2010,$C$9,'LAC 102_Wkst'!$L$7:$L$2010,"01",'LAC 102_Wkst'!$N$7:$N$2010,"P5")+SUMIFS('LAC 102_Wkst'!$AP$7:$AP$2010,'LAC 102_Wkst'!$D$7:$D$2010,$C$7,'LAC 102_Wkst'!$I$7:$I$2010,$C$9,'LAC 102_Wkst'!$L$7:$L$2010,"02",'LAC 102_Wkst'!$N$7:$N$2010,"P5")</f>
        <v>0</v>
      </c>
      <c r="L17" s="1662"/>
      <c r="M17" s="1662">
        <f>SUMIFS('LAC 102_Wkst'!$AP$7:$AP$2010,'LAC 102_Wkst'!$D$7:$D$2010,$C$7,'LAC 102_Wkst'!$I$7:$I$2010,$C$9,'LAC 102_Wkst'!$L$7:$L$2010,"03",'LAC 102_Wkst'!$N$7:$N$2010,"P1")+SUMIFS('LAC 102_Wkst'!$AP$7:$AP$2010,'LAC 102_Wkst'!$D$7:$D$2010,$C$7,'LAC 102_Wkst'!$I$7:$I$2010,$C$9,'LAC 102_Wkst'!$L$7:$L$2010,"03",'LAC 102_Wkst'!$N$7:$N$2010,"P2")+SUMIFS('LAC 102_Wkst'!$AP$7:$AP$2010,'LAC 102_Wkst'!$D$7:$D$2010,$C$7,'LAC 102_Wkst'!$I$7:$I$2010,$C$9,'LAC 102_Wkst'!$L$7:$L$2010,"03",'LAC 102_Wkst'!$N$7:$N$2010,"P3")+SUMIFS('LAC 102_Wkst'!$AP$7:$AP$2010,'LAC 102_Wkst'!$D$7:$D$2010,$C$7,'LAC 102_Wkst'!$I$7:$I$2010,$C$9,'LAC 102_Wkst'!$L$7:$L$2010,"04",'LAC 102_Wkst'!$N$7:$N$2010,"P1")+SUMIFS('LAC 102_Wkst'!$AP$7:$AP$2010,'LAC 102_Wkst'!$D$7:$D$2010,$C$7,'LAC 102_Wkst'!$I$7:$I$2010,$C$9,'LAC 102_Wkst'!$L$7:$L$2010,"04",'LAC 102_Wkst'!$N$7:$N$2010,"P2")+SUMIFS('LAC 102_Wkst'!$AP$7:$AP$2010,'LAC 102_Wkst'!$D$7:$D$2010,$C$7,'LAC 102_Wkst'!$I$7:$I$2010,$C$9,'LAC 102_Wkst'!$L$7:$L$2010,"04",'LAC 102_Wkst'!$N$7:$N$2010,"P3")</f>
        <v>0</v>
      </c>
      <c r="N17" s="1662"/>
      <c r="O17" s="1662">
        <f>SUMIFS('LAC 102_Wkst'!$AP$7:$AP$2010,'LAC 102_Wkst'!$D$7:$D$2010,$C$7,'LAC 102_Wkst'!$I$7:$I$2010,$C$9,'LAC 102_Wkst'!$L$7:$L$2010,"03",'LAC 102_Wkst'!$N$7:$N$2010,"P4")+SUMIFS('LAC 102_Wkst'!$AP$7:$AP$2010,'LAC 102_Wkst'!$D$7:$D$2010,$C$7,'LAC 102_Wkst'!$I$7:$I$2010,$C$9,'LAC 102_Wkst'!$L$7:$L$2010,"04",'LAC 102_Wkst'!$N$7:$N$2010,"P4")</f>
        <v>0</v>
      </c>
      <c r="P17" s="1402"/>
      <c r="Q17" s="1662">
        <f>SUMIFS('LAC 102_Wkst'!$AP$7:$AP$2010,'LAC 102_Wkst'!$D$7:$D$2010,$C$7,'LAC 102_Wkst'!$I$7:$I$2010,$C$9,'LAC 102_Wkst'!$L$7:$L$2010,"03",'LAC 102_Wkst'!$N$7:$N$2010,"P5")+SUMIFS('LAC 102_Wkst'!$AP$7:$AP$2010,'LAC 102_Wkst'!$D$7:$D$2010,$C$7,'LAC 102_Wkst'!$I$7:$I$2010,$C$9,'LAC 102_Wkst'!$L$7:$L$2010,"04",'LAC 102_Wkst'!$N$7:$N$2010,"P5")</f>
        <v>0</v>
      </c>
      <c r="R17" s="1663"/>
      <c r="S17" s="1663">
        <f>SUMIFS('LAC 102_Wkst'!$AP$7:$AP$2010,'LAC 102_Wkst'!$D$7:$D$2010,$C$7,'LAC 102_Wkst'!$I$7:$I$2010,$C$9,'LAC 102_Wkst'!$L$7:$L$2010,"05",'LAC 102_Wkst'!$N$7:$N$2010,"P1")+SUMIFS('LAC 102_Wkst'!$AP$7:$AP$2010,'LAC 102_Wkst'!$D$7:$D$2010,$C$7,'LAC 102_Wkst'!$I$7:$I$2010,$C$9,'LAC 102_Wkst'!$L$7:$L$2010,"06",'LAC 102_Wkst'!$N$7:$N$2010,"P1")</f>
        <v>0</v>
      </c>
      <c r="T17" s="1663"/>
      <c r="U17" s="1663">
        <f>SUMIFS('LAC 102_Wkst'!$AP$7:$AP$2010,'LAC 102_Wkst'!$D$7:$D$2010,$C$7,'LAC 102_Wkst'!$I$7:$I$2010,$C$9,'LAC 102_Wkst'!$L$7:$L$2010,"05",'LAC 102_Wkst'!$N$7:$N$2010,"P2")+SUMIFS('LAC 102_Wkst'!$AP$7:$AP$2010,'LAC 102_Wkst'!$D$7:$D$2010,$C$7,'LAC 102_Wkst'!$I$7:$I$2010,$C$9,'LAC 102_Wkst'!$L$7:$L$2010,"06",'LAC 102_Wkst'!$N$7:$N$2010,"P2")+SUMIFS('LAC 102_Wkst'!$AP$7:$AP$2010,'LAC 102_Wkst'!$D$7:$D$2010,$C$7,'LAC 102_Wkst'!$I$7:$I$2010,$C$9,'LAC 102_Wkst'!$L$7:$L$2010,"05",'LAC 102_Wkst'!$N$7:$N$2010,"P3")+SUMIFS('LAC 102_Wkst'!$AP$7:$AP$2010,'LAC 102_Wkst'!$D$7:$D$2010,$C$7,'LAC 102_Wkst'!$I$7:$I$2010,$C$9,'LAC 102_Wkst'!$L$7:$L$2010,"06",'LAC 102_Wkst'!$N$7:$N$2010,"P3")</f>
        <v>0</v>
      </c>
      <c r="V17" s="1663"/>
      <c r="W17" s="1663">
        <f>SUMIFS('LAC 102_Wkst'!$AP$7:$AP$2010,'LAC 102_Wkst'!$D$7:$D$2010,$C$7,'LAC 102_Wkst'!$I$7:$I$2010,$C$9,'LAC 102_Wkst'!$L$7:$L$2010,"05",'LAC 102_Wkst'!$N$7:$N$2010,"P4")+SUMIFS('LAC 102_Wkst'!$AP$7:$AP$2010,'LAC 102_Wkst'!$D$7:$D$2010,$C$7,'LAC 102_Wkst'!$I$7:$I$2010,$C$9,'LAC 102_Wkst'!$L$7:$L$2010,"06",'LAC 102_Wkst'!$N$7:$N$2010,"P4")</f>
        <v>0</v>
      </c>
      <c r="X17" s="1663"/>
      <c r="Y17" s="1663">
        <f>SUMIFS('LAC 102_Wkst'!$AP$7:$AP$2010,'LAC 102_Wkst'!$D$7:$D$2010,$C$7,'LAC 102_Wkst'!$I$7:$I$2010,$C$9,'LAC 102_Wkst'!$L$7:$L$2010,"05",'LAC 102_Wkst'!$N$7:$N$2010,"P5")+SUMIFS('LAC 102_Wkst'!$AP$7:$AP$2010,'LAC 102_Wkst'!$D$7:$D$2010,$C$7,'LAC 102_Wkst'!$I$7:$I$2010,$C$9,'LAC 102_Wkst'!$L$7:$L$2010,"06",'LAC 102_Wkst'!$N$7:$N$2010,"P5")</f>
        <v>0</v>
      </c>
      <c r="Z17" s="1663"/>
      <c r="AA17" s="1663">
        <f>SUMIFS('LAC 102_Wkst'!$AP$7:$AP$2010,'LAC 102_Wkst'!$D$7:$D$2010,$C$7,'LAC 102_Wkst'!$I$7:$I$2010,$C$9,'LAC 102_Wkst'!$L$7:$L$2010,"07",'LAC 102_Wkst'!$N$7:$N$2010,"P1")+SUMIFS('LAC 102_Wkst'!$AP$7:$AP$2010,'LAC 102_Wkst'!$D$7:$D$2010,$C$7,'LAC 102_Wkst'!$I$7:$I$2010,$C$9,'LAC 102_Wkst'!$L$7:$L$2010,"07",'LAC 102_Wkst'!$N$7:$N$2010,"P2")+SUMIFS('LAC 102_Wkst'!$AP$7:$AP$2010,'LAC 102_Wkst'!$D$7:$D$2010,$C$7,'LAC 102_Wkst'!$I$7:$I$2010,$C$9,'LAC 102_Wkst'!$L$7:$L$2010,"07",'LAC 102_Wkst'!$N$7:$N$2010,"P3")</f>
        <v>0</v>
      </c>
      <c r="AB17" s="1663"/>
      <c r="AC17" s="1663">
        <f>SUMIFS('LAC 102_Wkst'!$AP$7:$AP$2010,'LAC 102_Wkst'!$D$7:$D$2010,$C$7,'LAC 102_Wkst'!$I$7:$I$2010,$C$9,'LAC 102_Wkst'!$L$7:$L$2010,"07",'LAC 102_Wkst'!$N$7:$N$2010,"P4")</f>
        <v>0</v>
      </c>
      <c r="AD17" s="1663"/>
      <c r="AE17" s="1663">
        <f>SUMIFS('LAC 102_Wkst'!$AP$7:$AP$2010,'LAC 102_Wkst'!$D$7:$D$2010,$C$7,'LAC 102_Wkst'!$I$7:$I$2010,$C$9,'LAC 102_Wkst'!$L$7:$L$2010,"07",'LAC 102_Wkst'!$N$7:$N$2010,"P5")</f>
        <v>0</v>
      </c>
      <c r="AF17" s="1663"/>
      <c r="AG17" s="1663">
        <f>SUMIFS('LAC 102_Wkst'!$AP$7:$AP$2010,'LAC 102_Wkst'!$D$7:$D$2010,$C$7,'LAC 102_Wkst'!$I$7:$I$2010,$C$9,'LAC 102_Wkst'!$L$7:$L$2010,"08",'LAC 102_Wkst'!$N$7:$N$2010,"P1")+SUMIFS('LAC 102_Wkst'!$AP$7:$AP$2010,'LAC 102_Wkst'!$D$7:$D$2010,$C$7,'LAC 102_Wkst'!$I$7:$I$2010,$C$9,'LAC 102_Wkst'!$L$7:$L$2010,"08",'LAC 102_Wkst'!$N$7:$N$2010,"P2")+SUMIFS('LAC 102_Wkst'!$AP$7:$AP$2010,'LAC 102_Wkst'!$D$7:$D$2010,$C$7,'LAC 102_Wkst'!$I$7:$I$2010,$C$9,'LAC 102_Wkst'!$L$7:$L$2010,"08",'LAC 102_Wkst'!$N$7:$N$2010,"P3")</f>
        <v>0</v>
      </c>
      <c r="AH17" s="1663"/>
      <c r="AI17" s="1663">
        <f>SUMIFS('LAC 102_Wkst'!$AP$7:$AP$2010,'LAC 102_Wkst'!$D$7:$D$2010,$C$7,'LAC 102_Wkst'!$I$7:$I$2010,$C$9,'LAC 102_Wkst'!$L$7:$L$2010,"08",'LAC 102_Wkst'!$N$7:$N$2010,"P4")</f>
        <v>0</v>
      </c>
      <c r="AJ17" s="1663"/>
      <c r="AK17" s="1663">
        <f>SUMIFS('LAC 102_Wkst'!$AP$7:$AP$2010,'LAC 102_Wkst'!$D$7:$D$2010,$C$7,'LAC 102_Wkst'!$I$7:$I$2010,$C$9,'LAC 102_Wkst'!$L$7:$L$2010,"08",'LAC 102_Wkst'!$N$7:$N$2010,"P5")</f>
        <v>0</v>
      </c>
      <c r="AL17" s="1663"/>
      <c r="AM17" s="1663">
        <f>SUMIFS('LAC 102_Wkst'!$AP$7:$AP$2010,'LAC 102_Wkst'!$D$7:$D$2010,$C$7,'LAC 102_Wkst'!$I$7:$I$2010,$C$9,'LAC 102_Wkst'!$L$7:$L$2010,"09",'LAC 102_Wkst'!$N$7:$N$2010,"P1")+SUMIFS('LAC 102_Wkst'!$AP$7:$AP$2010,'LAC 102_Wkst'!$D$7:$D$2010,$C$7,'LAC 102_Wkst'!$I$7:$I$2010,$C$9,'LAC 102_Wkst'!$L$7:$L$2010,"09",'LAC 102_Wkst'!$N$7:$N$2010,"P2")+SUMIFS('LAC 102_Wkst'!$AP$7:$AP$2010,'LAC 102_Wkst'!$D$7:$D$2010,$C$7,'LAC 102_Wkst'!$I$7:$I$2010,$C$9,'LAC 102_Wkst'!$L$7:$L$2010,"09",'LAC 102_Wkst'!$N$7:$N$2010,"P3")+SUMIFS('LAC 102_Wkst'!$AP$7:$AP$2010,'LAC 102_Wkst'!$D$7:$D$2010,$C$7,'LAC 102_Wkst'!$I$7:$I$2010,$C$9,'LAC 102_Wkst'!$L$7:$L$2010,"09",'LAC 102_Wkst'!$N$7:$N$2010,"P4")</f>
        <v>0</v>
      </c>
      <c r="AN17" s="1663"/>
      <c r="AO17" s="1663">
        <f>SUMIFS('LAC 102_Wkst'!$AP$7:$AP$2010,'LAC 102_Wkst'!$D$7:$D$2010,$C$7,'LAC 102_Wkst'!$I$7:$I$2010,$C$9,'LAC 102_Wkst'!$L$7:$L$2010,"09",'LAC 102_Wkst'!$N$7:$N$2010,"P5")</f>
        <v>0</v>
      </c>
      <c r="AP17" s="1663"/>
      <c r="AQ17" s="1663">
        <f>SUMIFS('LAC 102_Wkst'!$AP$7:$AP$2010,'LAC 102_Wkst'!$D$7:$D$2010,$C$7,'LAC 102_Wkst'!$I$7:$I$2010,$C$9,'LAC 102_Wkst'!$L$7:$L$2010,"10",'LAC 102_Wkst'!$N$7:$N$2010,"P1")+SUMIFS('LAC 102_Wkst'!$AP$7:$AP$2010,'LAC 102_Wkst'!$D$7:$D$2010,$C$7,'LAC 102_Wkst'!$I$7:$I$2010,$C$9,'LAC 102_Wkst'!$L$7:$L$2010,"10",'LAC 102_Wkst'!$N$7:$N$2010,"P2")+SUMIFS('LAC 102_Wkst'!$AP$7:$AP$2010,'LAC 102_Wkst'!$D$7:$D$2010,$C$7,'LAC 102_Wkst'!$I$7:$I$2010,$C$9,'LAC 102_Wkst'!$L$7:$L$2010,"10",'LAC 102_Wkst'!$N$7:$N$2010,"P3")+SUMIFS('LAC 102_Wkst'!$AP$7:$AP$2010,'LAC 102_Wkst'!$D$7:$D$2010,$C$7,'LAC 102_Wkst'!$I$7:$I$2010,$C$9,'LAC 102_Wkst'!$L$7:$L$2010,"10",'LAC 102_Wkst'!$N$7:$N$2010,"P4")</f>
        <v>0</v>
      </c>
      <c r="AR17" s="1663"/>
      <c r="AS17" s="1663">
        <f>SUMIFS('LAC 102_Wkst'!$AP$7:$AP$2010,'LAC 102_Wkst'!$D$7:$D$2010,$C$7,'LAC 102_Wkst'!$I$7:$I$2010,$C$9,'LAC 102_Wkst'!$L$7:$L$2010,"10",'LAC 102_Wkst'!$N$7:$N$2010,"P5")</f>
        <v>0</v>
      </c>
      <c r="AT17" s="1663"/>
      <c r="AU17" s="1663">
        <f>SUMIFS('LAC 102_Wkst'!$AP$7:$AP$2010,'LAC 102_Wkst'!$D$7:$D$2010,$C$7,'LAC 102_Wkst'!$I$7:$I$2010,$C$9,'LAC 102_Wkst'!$L$7:$L$2010,"13",'LAC 102_Wkst'!$N$7:$N$2010,"P5")</f>
        <v>0</v>
      </c>
      <c r="AV17" s="1663"/>
      <c r="AW17" s="1663">
        <f>SUMIFS('LAC 102_Wkst'!$AP$7:$AP$2010,'LAC 102_Wkst'!$D$7:$D$2010,$C$7,'LAC 102_Wkst'!$I$7:$I$2010,$C$9,'LAC 102_Wkst'!$L$7:$L$2010,"11",'LAC 102_Wkst'!$N$7:$N$2010,"P2")+SUMIFS('LAC 102_Wkst'!$AP$7:$AP$2010,'LAC 102_Wkst'!$D$7:$D$2010,$C$7,'LAC 102_Wkst'!$I$7:$I$2010,$C$9,'LAC 102_Wkst'!$L$7:$L$2010,"12",'LAC 102_Wkst'!$N$7:$N$2010,"P2")+SUMIFS('LAC 102_Wkst'!$AP$7:$AP$2010,'LAC 102_Wkst'!$D$7:$D$2010,$C$7,'LAC 102_Wkst'!$I$7:$I$2010,$C$9,'LAC 102_Wkst'!$L$7:$L$2010,"11",'LAC 102_Wkst'!$N$7:$N$2010,"P3")+SUMIFS('LAC 102_Wkst'!$AP$7:$AP$2010,'LAC 102_Wkst'!$D$7:$D$2010,$C$7,'LAC 102_Wkst'!$I$7:$I$2010,$C$9,'LAC 102_Wkst'!$L$7:$L$2010,"12",'LAC 102_Wkst'!$N$7:$N$2010,"P3")</f>
        <v>0</v>
      </c>
      <c r="AX17" s="1663"/>
      <c r="AY17" s="1663">
        <f>SUMIFS('LAC 102_Wkst'!$AP$7:$AP$2010,'LAC 102_Wkst'!$D$7:$D$2010,$C$7,'LAC 102_Wkst'!$I$7:$I$2010,$C$9,'LAC 102_Wkst'!$L$7:$L$2010,"11",'LAC 102_Wkst'!$N$7:$N$2010,"P4")+SUMIFS('LAC 102_Wkst'!$AP$7:$AP$2010,'LAC 102_Wkst'!$D$7:$D$2010,$C$7,'LAC 102_Wkst'!$I$7:$I$2010,$C$9,'LAC 102_Wkst'!$L$7:$L$2010,"12",'LAC 102_Wkst'!$N$7:$N$2010,"P4")</f>
        <v>0</v>
      </c>
      <c r="AZ17" s="1663"/>
      <c r="BA17" s="1663">
        <f>SUMIFS('LAC 102_Wkst'!$AP$7:$AP$2010,'LAC 102_Wkst'!$D$7:$D$2010,$C$7,'LAC 102_Wkst'!$I$7:$I$2010,$C$9,'LAC 102_Wkst'!$L$7:$L$2010,"11",'LAC 102_Wkst'!$N$7:$N$2010,"P5")+SUMIFS('LAC 102_Wkst'!$AP$7:$AP$2010,'LAC 102_Wkst'!$D$7:$D$2010,$C$7,'LAC 102_Wkst'!$I$7:$I$2010,$C$9,'LAC 102_Wkst'!$L$7:$L$2010,"12",'LAC 102_Wkst'!$N$7:$N$2010,"P5")</f>
        <v>0</v>
      </c>
      <c r="BB17" s="1663"/>
      <c r="BC17" s="1663">
        <f>SUMIFS('LAC 102_Wkst'!$AP$7:$AP$2010,'LAC 102_Wkst'!$D$7:$D$2010,$C$7,'LAC 102_Wkst'!$I$7:$I$2010,$C$9,'LAC 102_Wkst'!$L$7:$L$2010,"13",'LAC 102_Wkst'!$N$7:$N$2010,"P1")+SUMIFS('LAC 102_Wkst'!$AP$7:$AP$2010,'LAC 102_Wkst'!$D$7:$D$2010,$C$7,'LAC 102_Wkst'!$I$7:$I$2010,$C$9,'LAC 102_Wkst'!$L$7:$L$2010,"13",'LAC 102_Wkst'!$N$7:$N$2010,"P2")+SUMIFS('LAC 102_Wkst'!$AP$7:$AP$2010,'LAC 102_Wkst'!$D$7:$D$2010,$C$7,'LAC 102_Wkst'!$I$7:$I$2010,$C$9,'LAC 102_Wkst'!$L$7:$L$2010,"13",'LAC 102_Wkst'!$N$7:$N$2010,"P3")+SUMIFS('LAC 102_Wkst'!$AP$7:$AP$2010,'LAC 102_Wkst'!$D$7:$D$2010,$C$7,'LAC 102_Wkst'!$I$7:$I$2010,$C$9,'LAC 102_Wkst'!$L$7:$L$2010,"13",'LAC 102_Wkst'!$N$7:$N$2010,"P4")</f>
        <v>0</v>
      </c>
      <c r="BD17" s="1663"/>
      <c r="BE17" s="1663">
        <f>SUMIFS('LAC 102_Wkst'!$AP$7:$AP$2010,'LAC 102_Wkst'!$D$7:$D$2010,$C$7,'LAC 102_Wkst'!$I$7:$I$2010,$C$9,'LAC 102_Wkst'!$L$7:$L$2010,"13",'LAC 102_Wkst'!$N$7:$N$2010,"P5")</f>
        <v>0</v>
      </c>
      <c r="BF17" s="1663"/>
      <c r="BG17" s="1663">
        <f>SUMIFS('LAC 102_Wkst'!$AP$7:$AP$2010,'LAC 102_Wkst'!$D$7:$D$2010,$C$7,'LAC 102_Wkst'!$I$7:$I$2010,$C$9,'LAC 102_Wkst'!$L$7:$L$2010,"14")</f>
        <v>123243.27178180673</v>
      </c>
    </row>
    <row r="18" spans="1:59" ht="17.100000000000001" customHeight="1" x14ac:dyDescent="0.2">
      <c r="A18" s="378"/>
      <c r="B18" s="378"/>
      <c r="C18" s="1695"/>
      <c r="D18" s="1696" t="s">
        <v>258</v>
      </c>
      <c r="E18" s="1698">
        <f>SUM(E16:E17)</f>
        <v>1738782.9942360546</v>
      </c>
      <c r="F18" s="1669"/>
      <c r="G18" s="1669">
        <f>SUM(G16:G17)</f>
        <v>1418087.4178959739</v>
      </c>
      <c r="H18" s="1669"/>
      <c r="I18" s="1669">
        <f t="shared" ref="I18:BG18" si="3">SUM(I16:I17)</f>
        <v>0</v>
      </c>
      <c r="J18" s="1669"/>
      <c r="K18" s="1669">
        <f t="shared" si="3"/>
        <v>0</v>
      </c>
      <c r="L18" s="1669"/>
      <c r="M18" s="1669">
        <f t="shared" si="3"/>
        <v>0</v>
      </c>
      <c r="N18" s="1669"/>
      <c r="O18" s="1669">
        <f t="shared" si="3"/>
        <v>0</v>
      </c>
      <c r="P18" s="1669"/>
      <c r="Q18" s="1669">
        <f t="shared" si="3"/>
        <v>0</v>
      </c>
      <c r="R18" s="1669"/>
      <c r="S18" s="1669">
        <f t="shared" si="3"/>
        <v>1658.2310234518211</v>
      </c>
      <c r="T18" s="1669"/>
      <c r="U18" s="1669">
        <f t="shared" si="3"/>
        <v>0</v>
      </c>
      <c r="V18" s="1669"/>
      <c r="W18" s="1669">
        <f t="shared" si="3"/>
        <v>0</v>
      </c>
      <c r="X18" s="1669"/>
      <c r="Y18" s="1669">
        <f t="shared" si="3"/>
        <v>0</v>
      </c>
      <c r="Z18" s="1669"/>
      <c r="AA18" s="1669">
        <f t="shared" si="3"/>
        <v>0</v>
      </c>
      <c r="AB18" s="1669"/>
      <c r="AC18" s="1669">
        <f t="shared" si="3"/>
        <v>0</v>
      </c>
      <c r="AD18" s="1669"/>
      <c r="AE18" s="1669">
        <f t="shared" si="3"/>
        <v>0</v>
      </c>
      <c r="AF18" s="1669"/>
      <c r="AG18" s="1669">
        <f t="shared" si="3"/>
        <v>0</v>
      </c>
      <c r="AH18" s="1669"/>
      <c r="AI18" s="1669">
        <f t="shared" si="3"/>
        <v>0</v>
      </c>
      <c r="AJ18" s="1669"/>
      <c r="AK18" s="1669">
        <f t="shared" si="3"/>
        <v>0</v>
      </c>
      <c r="AL18" s="1669"/>
      <c r="AM18" s="1669">
        <f t="shared" si="3"/>
        <v>0</v>
      </c>
      <c r="AN18" s="1669"/>
      <c r="AO18" s="1669">
        <f t="shared" si="3"/>
        <v>0</v>
      </c>
      <c r="AP18" s="1669"/>
      <c r="AQ18" s="1669">
        <f t="shared" si="3"/>
        <v>138295.36286869308</v>
      </c>
      <c r="AR18" s="1669"/>
      <c r="AS18" s="1669">
        <f t="shared" si="3"/>
        <v>0</v>
      </c>
      <c r="AT18" s="1669"/>
      <c r="AU18" s="1669">
        <f t="shared" si="3"/>
        <v>0</v>
      </c>
      <c r="AV18" s="1669"/>
      <c r="AW18" s="1669">
        <f t="shared" si="3"/>
        <v>0</v>
      </c>
      <c r="AX18" s="1669"/>
      <c r="AY18" s="1669">
        <f t="shared" si="3"/>
        <v>0</v>
      </c>
      <c r="AZ18" s="1669"/>
      <c r="BA18" s="1669">
        <f t="shared" si="3"/>
        <v>0</v>
      </c>
      <c r="BB18" s="1669"/>
      <c r="BC18" s="1669">
        <f t="shared" si="3"/>
        <v>57498.710666129009</v>
      </c>
      <c r="BD18" s="1669"/>
      <c r="BE18" s="1669">
        <f t="shared" si="3"/>
        <v>0</v>
      </c>
      <c r="BF18" s="1669"/>
      <c r="BG18" s="1669">
        <f t="shared" si="3"/>
        <v>123243.27178180673</v>
      </c>
    </row>
    <row r="19" spans="1:59" s="1672" customFormat="1" ht="17.100000000000001" customHeight="1" x14ac:dyDescent="0.25">
      <c r="A19" s="1265"/>
      <c r="B19" s="1265"/>
      <c r="C19" s="1265"/>
      <c r="D19" s="1693"/>
      <c r="E19" s="1265"/>
      <c r="F19" s="1265"/>
      <c r="G19" s="1694"/>
      <c r="H19" s="1265"/>
      <c r="I19" s="1265"/>
      <c r="J19" s="1671"/>
      <c r="K19" s="1671"/>
      <c r="L19" s="1265"/>
      <c r="M19" s="1265"/>
      <c r="N19" s="1265"/>
      <c r="O19" s="1265"/>
      <c r="P19" s="1265"/>
      <c r="Q19" s="1265"/>
      <c r="R19" s="1265"/>
      <c r="S19" s="1265"/>
      <c r="T19" s="1265"/>
      <c r="U19" s="1265"/>
      <c r="V19" s="1265"/>
      <c r="W19" s="1265"/>
      <c r="X19" s="1265"/>
      <c r="Y19" s="1265"/>
      <c r="Z19" s="1265"/>
      <c r="AA19" s="1265"/>
      <c r="AB19" s="1265"/>
      <c r="AC19" s="1265"/>
      <c r="AD19" s="1265"/>
      <c r="AE19" s="1265"/>
      <c r="AF19" s="1265"/>
      <c r="AG19" s="1265"/>
      <c r="AH19" s="1265"/>
      <c r="AI19" s="1265"/>
      <c r="AJ19" s="1265"/>
      <c r="AK19" s="1265"/>
      <c r="AL19" s="1265"/>
      <c r="AM19" s="1265"/>
      <c r="AN19" s="1265"/>
      <c r="AO19" s="1265"/>
      <c r="AP19" s="1265"/>
      <c r="AQ19" s="1265"/>
      <c r="AR19" s="1265"/>
      <c r="AS19" s="1265"/>
      <c r="AT19" s="1265"/>
      <c r="AU19" s="1265"/>
      <c r="AV19" s="1265"/>
      <c r="AW19" s="1265"/>
      <c r="AX19" s="1265"/>
      <c r="AY19" s="1265"/>
      <c r="AZ19" s="1265"/>
      <c r="BA19" s="1265"/>
      <c r="BB19" s="1265"/>
      <c r="BC19" s="1265"/>
      <c r="BD19" s="1265"/>
      <c r="BE19" s="1265"/>
      <c r="BF19" s="1265"/>
      <c r="BG19" s="1265"/>
    </row>
    <row r="20" spans="1:59" ht="16.5" thickBot="1" x14ac:dyDescent="0.3">
      <c r="A20" s="378"/>
      <c r="B20" s="396" t="s">
        <v>19</v>
      </c>
      <c r="C20" s="396" t="s">
        <v>20</v>
      </c>
      <c r="D20" s="396" t="s">
        <v>21</v>
      </c>
      <c r="E20" s="397" t="s">
        <v>22</v>
      </c>
      <c r="F20" s="396" t="s">
        <v>23</v>
      </c>
      <c r="G20" s="396" t="s">
        <v>24</v>
      </c>
      <c r="H20" s="396" t="s">
        <v>25</v>
      </c>
      <c r="I20" s="396" t="s">
        <v>160</v>
      </c>
      <c r="J20" s="396" t="s">
        <v>161</v>
      </c>
      <c r="K20" s="396" t="s">
        <v>162</v>
      </c>
      <c r="L20" s="396" t="s">
        <v>163</v>
      </c>
      <c r="M20" s="396" t="s">
        <v>164</v>
      </c>
      <c r="N20" s="396" t="s">
        <v>165</v>
      </c>
      <c r="O20" s="396" t="s">
        <v>166</v>
      </c>
      <c r="P20" s="396" t="s">
        <v>167</v>
      </c>
      <c r="Q20" s="396" t="s">
        <v>168</v>
      </c>
      <c r="R20" s="396" t="s">
        <v>169</v>
      </c>
      <c r="S20" s="396" t="s">
        <v>170</v>
      </c>
      <c r="T20" s="396" t="s">
        <v>171</v>
      </c>
      <c r="U20" s="396" t="s">
        <v>172</v>
      </c>
      <c r="V20" s="396" t="s">
        <v>173</v>
      </c>
      <c r="W20" s="396" t="s">
        <v>174</v>
      </c>
      <c r="X20" s="396" t="s">
        <v>175</v>
      </c>
      <c r="Y20" s="396" t="s">
        <v>176</v>
      </c>
      <c r="Z20" s="396" t="s">
        <v>177</v>
      </c>
      <c r="AA20" s="396" t="s">
        <v>178</v>
      </c>
      <c r="AB20" s="396" t="s">
        <v>179</v>
      </c>
      <c r="AC20" s="396" t="s">
        <v>180</v>
      </c>
      <c r="AD20" s="396" t="s">
        <v>181</v>
      </c>
      <c r="AE20" s="396" t="s">
        <v>182</v>
      </c>
      <c r="AF20" s="396" t="s">
        <v>183</v>
      </c>
      <c r="AG20" s="396" t="s">
        <v>184</v>
      </c>
      <c r="AH20" s="396" t="s">
        <v>185</v>
      </c>
      <c r="AI20" s="396" t="s">
        <v>186</v>
      </c>
      <c r="AJ20" s="396" t="s">
        <v>187</v>
      </c>
      <c r="AK20" s="396" t="s">
        <v>188</v>
      </c>
      <c r="AL20" s="396" t="s">
        <v>189</v>
      </c>
      <c r="AM20" s="396" t="s">
        <v>190</v>
      </c>
      <c r="AN20" s="396" t="s">
        <v>191</v>
      </c>
      <c r="AO20" s="396" t="s">
        <v>192</v>
      </c>
      <c r="AP20" s="396" t="s">
        <v>193</v>
      </c>
      <c r="AQ20" s="396" t="s">
        <v>194</v>
      </c>
      <c r="AR20" s="396" t="s">
        <v>195</v>
      </c>
      <c r="AS20" s="396" t="s">
        <v>196</v>
      </c>
      <c r="AT20" s="396" t="s">
        <v>197</v>
      </c>
      <c r="AU20" s="396" t="s">
        <v>198</v>
      </c>
      <c r="AV20" s="396" t="s">
        <v>199</v>
      </c>
      <c r="AW20" s="396" t="s">
        <v>200</v>
      </c>
      <c r="AX20" s="396" t="s">
        <v>201</v>
      </c>
      <c r="AY20" s="396" t="s">
        <v>202</v>
      </c>
      <c r="AZ20" s="396" t="s">
        <v>203</v>
      </c>
      <c r="BA20" s="396" t="s">
        <v>204</v>
      </c>
      <c r="BB20" s="396" t="s">
        <v>205</v>
      </c>
      <c r="BC20" s="396" t="s">
        <v>206</v>
      </c>
      <c r="BD20" s="396" t="s">
        <v>207</v>
      </c>
      <c r="BE20" s="396" t="s">
        <v>208</v>
      </c>
      <c r="BF20" s="396" t="s">
        <v>209</v>
      </c>
      <c r="BG20" s="396" t="s">
        <v>2070</v>
      </c>
    </row>
    <row r="21" spans="1:59" ht="60" customHeight="1" thickTop="1" x14ac:dyDescent="0.2">
      <c r="A21" s="378"/>
      <c r="B21" s="1756" t="s">
        <v>234</v>
      </c>
      <c r="C21" s="1757"/>
      <c r="D21" s="1757"/>
      <c r="E21" s="1758"/>
      <c r="F21" s="1759" t="s">
        <v>743</v>
      </c>
      <c r="G21" s="1760"/>
      <c r="H21" s="1759" t="s">
        <v>744</v>
      </c>
      <c r="I21" s="1760"/>
      <c r="J21" s="1759" t="s">
        <v>745</v>
      </c>
      <c r="K21" s="1760"/>
      <c r="L21" s="1761" t="s">
        <v>746</v>
      </c>
      <c r="M21" s="1762"/>
      <c r="N21" s="1761" t="s">
        <v>747</v>
      </c>
      <c r="O21" s="1762"/>
      <c r="P21" s="1761" t="s">
        <v>748</v>
      </c>
      <c r="Q21" s="1762"/>
      <c r="R21" s="1763" t="s">
        <v>749</v>
      </c>
      <c r="S21" s="1764"/>
      <c r="T21" s="1763" t="s">
        <v>750</v>
      </c>
      <c r="U21" s="1764"/>
      <c r="V21" s="1763" t="s">
        <v>751</v>
      </c>
      <c r="W21" s="1764"/>
      <c r="X21" s="1763" t="s">
        <v>752</v>
      </c>
      <c r="Y21" s="1764"/>
      <c r="Z21" s="1754" t="s">
        <v>753</v>
      </c>
      <c r="AA21" s="1755"/>
      <c r="AB21" s="1754" t="s">
        <v>754</v>
      </c>
      <c r="AC21" s="1755"/>
      <c r="AD21" s="1754" t="s">
        <v>755</v>
      </c>
      <c r="AE21" s="1755"/>
      <c r="AF21" s="1767" t="s">
        <v>756</v>
      </c>
      <c r="AG21" s="1768"/>
      <c r="AH21" s="1767" t="s">
        <v>757</v>
      </c>
      <c r="AI21" s="1768"/>
      <c r="AJ21" s="1767" t="s">
        <v>758</v>
      </c>
      <c r="AK21" s="1768"/>
      <c r="AL21" s="1765" t="s">
        <v>759</v>
      </c>
      <c r="AM21" s="1766"/>
      <c r="AN21" s="1765" t="s">
        <v>760</v>
      </c>
      <c r="AO21" s="1766"/>
      <c r="AP21" s="1756" t="s">
        <v>1905</v>
      </c>
      <c r="AQ21" s="1758"/>
      <c r="AR21" s="1756" t="s">
        <v>761</v>
      </c>
      <c r="AS21" s="1758"/>
      <c r="AT21" s="1763" t="s">
        <v>762</v>
      </c>
      <c r="AU21" s="1764"/>
      <c r="AV21" s="1763" t="s">
        <v>763</v>
      </c>
      <c r="AW21" s="1764"/>
      <c r="AX21" s="1763" t="s">
        <v>764</v>
      </c>
      <c r="AY21" s="1764"/>
      <c r="AZ21" s="1763" t="s">
        <v>765</v>
      </c>
      <c r="BA21" s="1764"/>
      <c r="BB21" s="1769" t="s">
        <v>766</v>
      </c>
      <c r="BC21" s="1770"/>
      <c r="BD21" s="1769" t="s">
        <v>767</v>
      </c>
      <c r="BE21" s="1770"/>
      <c r="BF21" s="1769" t="s">
        <v>2071</v>
      </c>
      <c r="BG21" s="1805"/>
    </row>
    <row r="22" spans="1:59" ht="45.75" thickBot="1" x14ac:dyDescent="0.25">
      <c r="A22" s="378"/>
      <c r="B22" s="398" t="s">
        <v>211</v>
      </c>
      <c r="C22" s="399" t="s">
        <v>212</v>
      </c>
      <c r="D22" s="399" t="s">
        <v>213</v>
      </c>
      <c r="E22" s="400" t="s">
        <v>214</v>
      </c>
      <c r="F22" s="398" t="s">
        <v>215</v>
      </c>
      <c r="G22" s="400" t="s">
        <v>2075</v>
      </c>
      <c r="H22" s="398" t="s">
        <v>215</v>
      </c>
      <c r="I22" s="400" t="s">
        <v>2075</v>
      </c>
      <c r="J22" s="398" t="s">
        <v>215</v>
      </c>
      <c r="K22" s="400" t="s">
        <v>2075</v>
      </c>
      <c r="L22" s="398" t="s">
        <v>217</v>
      </c>
      <c r="M22" s="400" t="s">
        <v>2076</v>
      </c>
      <c r="N22" s="398" t="s">
        <v>217</v>
      </c>
      <c r="O22" s="400" t="s">
        <v>2076</v>
      </c>
      <c r="P22" s="398" t="s">
        <v>217</v>
      </c>
      <c r="Q22" s="400" t="s">
        <v>2076</v>
      </c>
      <c r="R22" s="398" t="s">
        <v>219</v>
      </c>
      <c r="S22" s="400" t="s">
        <v>2077</v>
      </c>
      <c r="T22" s="398" t="s">
        <v>219</v>
      </c>
      <c r="U22" s="400" t="s">
        <v>2077</v>
      </c>
      <c r="V22" s="398" t="s">
        <v>219</v>
      </c>
      <c r="W22" s="400" t="s">
        <v>2077</v>
      </c>
      <c r="X22" s="398" t="s">
        <v>219</v>
      </c>
      <c r="Y22" s="400" t="s">
        <v>2077</v>
      </c>
      <c r="Z22" s="398" t="s">
        <v>221</v>
      </c>
      <c r="AA22" s="400" t="s">
        <v>2078</v>
      </c>
      <c r="AB22" s="398" t="s">
        <v>221</v>
      </c>
      <c r="AC22" s="400" t="s">
        <v>2078</v>
      </c>
      <c r="AD22" s="398" t="s">
        <v>221</v>
      </c>
      <c r="AE22" s="400" t="s">
        <v>2078</v>
      </c>
      <c r="AF22" s="398" t="s">
        <v>223</v>
      </c>
      <c r="AG22" s="400" t="s">
        <v>2079</v>
      </c>
      <c r="AH22" s="398" t="s">
        <v>223</v>
      </c>
      <c r="AI22" s="400" t="s">
        <v>2079</v>
      </c>
      <c r="AJ22" s="398" t="s">
        <v>223</v>
      </c>
      <c r="AK22" s="400" t="s">
        <v>2079</v>
      </c>
      <c r="AL22" s="398" t="s">
        <v>225</v>
      </c>
      <c r="AM22" s="400" t="s">
        <v>2080</v>
      </c>
      <c r="AN22" s="398" t="s">
        <v>225</v>
      </c>
      <c r="AO22" s="400" t="s">
        <v>2080</v>
      </c>
      <c r="AP22" s="398" t="s">
        <v>227</v>
      </c>
      <c r="AQ22" s="400" t="s">
        <v>2081</v>
      </c>
      <c r="AR22" s="398" t="s">
        <v>227</v>
      </c>
      <c r="AS22" s="400" t="s">
        <v>2081</v>
      </c>
      <c r="AT22" s="398" t="s">
        <v>229</v>
      </c>
      <c r="AU22" s="400" t="s">
        <v>2082</v>
      </c>
      <c r="AV22" s="398" t="s">
        <v>229</v>
      </c>
      <c r="AW22" s="400" t="s">
        <v>2082</v>
      </c>
      <c r="AX22" s="398" t="s">
        <v>229</v>
      </c>
      <c r="AY22" s="400" t="s">
        <v>2082</v>
      </c>
      <c r="AZ22" s="398" t="s">
        <v>229</v>
      </c>
      <c r="BA22" s="400" t="s">
        <v>2082</v>
      </c>
      <c r="BB22" s="398" t="s">
        <v>2069</v>
      </c>
      <c r="BC22" s="400" t="s">
        <v>2083</v>
      </c>
      <c r="BD22" s="398" t="s">
        <v>2069</v>
      </c>
      <c r="BE22" s="400" t="s">
        <v>2083</v>
      </c>
      <c r="BF22" s="1653" t="s">
        <v>210</v>
      </c>
      <c r="BG22" s="400" t="s">
        <v>2084</v>
      </c>
    </row>
    <row r="23" spans="1:59" ht="15.75" thickTop="1" x14ac:dyDescent="0.2">
      <c r="A23" s="401">
        <v>1</v>
      </c>
      <c r="B23" s="1673" t="str">
        <f>IF(Schedule_B!B$20="","",Schedule_B!B$20)</f>
        <v>CR</v>
      </c>
      <c r="C23" s="1674" t="str">
        <f>IF(Schedule_B!C$20=""," ",Schedule_B!C$20)</f>
        <v>05</v>
      </c>
      <c r="D23" s="1674" t="str">
        <f>IF(Schedule_B!D$20=""," ",Schedule_B!D$20)</f>
        <v>43</v>
      </c>
      <c r="E23" s="1220">
        <f>SUMIFS('LAC 102_Wkst'!$Q$7:$Q$2010,'LAC 102_Wkst'!$D$7:$D$2010,$C$7,'LAC 102_Wkst'!$I$7:$I$2010,$C$9,'LAC 102_Wkst'!$E$7:$E$2010,$C23,'LAC 102_Wkst'!$G$7:$G$2010,$D23)</f>
        <v>0</v>
      </c>
      <c r="F23" s="402">
        <f>SUMIFS('LAC 102_Wkst'!$Q$7:$Q$2010,'LAC 102_Wkst'!$D$7:$D$2010,$C$7,'LAC 102_Wkst'!$I$7:$I$2010,$C$9,'LAC 102_Wkst'!$E$7:$E$2010,$C23,'LAC 102_Wkst'!$G$7:$G$2010,$D23,'LAC 102_Wkst'!$L$7:$L$2010,"01",'LAC 102_Wkst'!$N$7:$N$2010,"P1")+SUMIFS('LAC 102_Wkst'!$Q$7:$Q$2010,'LAC 102_Wkst'!$D$7:$D$2010,$C$7,'LAC 102_Wkst'!$I$7:$I$2010,$C$9,'LAC 102_Wkst'!$E$7:$E$2010,$C23,'LAC 102_Wkst'!$G$7:$G$2010,$D23,'LAC 102_Wkst'!$L$7:$L$2010,"01",'LAC 102_Wkst'!$N$7:$N$2010,"P2")+SUMIFS('LAC 102_Wkst'!$Q$7:$Q$2010,'LAC 102_Wkst'!$D$7:$D$2010,$C$7,'LAC 102_Wkst'!$I$7:$I$2010,$C$9,'LAC 102_Wkst'!$E$7:$E$2010,$C23,'LAC 102_Wkst'!$G$7:$G$2010,$D23,'LAC 102_Wkst'!$L$7:$L$2010,"01",'LAC 102_Wkst'!$N$7:$N$2010,"P3")+SUMIFS('LAC 102_Wkst'!$Q$7:$Q$2010,'LAC 102_Wkst'!$D$7:$D$2010,$C$7,'LAC 102_Wkst'!$I$7:$I$2010,$C$9,'LAC 102_Wkst'!$E$7:$E$2010,$C23,'LAC 102_Wkst'!$G$7:$G$2010,$D23,'LAC 102_Wkst'!$L$7:$L$2010,"02",'LAC 102_Wkst'!$N$7:$N$2010,"P1")+SUMIFS('LAC 102_Wkst'!$Q$7:$Q$2010,'LAC 102_Wkst'!$D$7:$D$2010,$C$7,'LAC 102_Wkst'!$I$7:$I$2010,$C$9,'LAC 102_Wkst'!$E$7:$E$2010,$C23,'LAC 102_Wkst'!$G$7:$G$2010,$D23,'LAC 102_Wkst'!$L$7:$L$2010,"02",'LAC 102_Wkst'!$N$7:$N$2010,"P2")+SUMIFS('LAC 102_Wkst'!$Q$7:$Q$2010,'LAC 102_Wkst'!$D$7:$D$2010,$C$7,'LAC 102_Wkst'!$I$7:$I$2010,$C$9,'LAC 102_Wkst'!$E$7:$E$2010,$C23,'LAC 102_Wkst'!$G$7:$G$2010,$D23,'LAC 102_Wkst'!$L$7:$L$2010,"02",'LAC 102_Wkst'!$N$7:$N$2010,"P3")</f>
        <v>0</v>
      </c>
      <c r="G23" s="403">
        <f>SUMIFS('LAC 102_Wkst'!$AF$7:$AF$2010,'LAC 102_Wkst'!$D$7:$D$2010,$C$7,'LAC 102_Wkst'!$I$7:$I$2010,$C$9,'LAC 102_Wkst'!$E$7:$E$2010,$C23,'LAC 102_Wkst'!$G$7:$G$2010,$D23,'LAC 102_Wkst'!$L$7:$L$2010,"01",'LAC 102_Wkst'!$N$7:$N$2010,"P1")+SUMIFS('LAC 102_Wkst'!$AF$7:$AF$2010,'LAC 102_Wkst'!$D$7:$D$2010,$C$7,'LAC 102_Wkst'!$I$7:$I$2010,$C$9,'LAC 102_Wkst'!$E$7:$E$2010,$C23,'LAC 102_Wkst'!$G$7:$G$2010,$D23,'LAC 102_Wkst'!$L$7:$L$2010,"01",'LAC 102_Wkst'!$N$7:$N$2010,"P2")+SUMIFS('LAC 102_Wkst'!$AF$7:$AF$2010,'LAC 102_Wkst'!$D$7:$D$2010,$C$7,'LAC 102_Wkst'!$I$7:$I$2010,$C$9,'LAC 102_Wkst'!$E$7:$E$2010,$C23,'LAC 102_Wkst'!$G$7:$G$2010,$D23,'LAC 102_Wkst'!$L$7:$L$2010,"01",'LAC 102_Wkst'!$N$7:$N$2010,"P3")+SUMIFS('LAC 102_Wkst'!$AF$7:$AF$2010,'LAC 102_Wkst'!$D$7:$D$2010,$C$7,'LAC 102_Wkst'!$I$7:$I$2010,$C$9,'LAC 102_Wkst'!$E$7:$E$2010,$C23,'LAC 102_Wkst'!$G$7:$G$2010,$D23,'LAC 102_Wkst'!$L$7:$L$2010,"02",'LAC 102_Wkst'!$N$7:$N$2010,"P1")+SUMIFS('LAC 102_Wkst'!$AF$7:$AF$2010,'LAC 102_Wkst'!$D$7:$D$2010,$C$7,'LAC 102_Wkst'!$I$7:$I$2010,$C$9,'LAC 102_Wkst'!$E$7:$E$2010,$C23,'LAC 102_Wkst'!$G$7:$G$2010,$D23,'LAC 102_Wkst'!$L$7:$L$2010,"02",'LAC 102_Wkst'!$N$7:$N$2010,"P2")+SUMIFS('LAC 102_Wkst'!$AF$7:$AF$2010,'LAC 102_Wkst'!$D$7:$D$2010,$C$7,'LAC 102_Wkst'!$I$7:$I$2010,$C$9,'LAC 102_Wkst'!$E$7:$E$2010,$C23,'LAC 102_Wkst'!$G$7:$G$2010,$D23,'LAC 102_Wkst'!$L$7:$L$2010,"02",'LAC 102_Wkst'!$N$7:$N$2010,"P3")</f>
        <v>0</v>
      </c>
      <c r="H23" s="404">
        <f>SUMIFS('LAC 102_Wkst'!$Q$7:$Q$2010,'LAC 102_Wkst'!$D$7:$D$2010,$C$7,'LAC 102_Wkst'!$I$7:$I$2010,$C$9,'LAC 102_Wkst'!$E$7:$E$2010,$C23,'LAC 102_Wkst'!$G$7:$G$2010,$D23,'LAC 102_Wkst'!$L$7:$L$2010,"01",'LAC 102_Wkst'!$N$7:$N$2010,"P4")+SUMIFS('LAC 102_Wkst'!$Q$7:$Q$2010,'LAC 102_Wkst'!$D$7:$D$2010,$C$7,'LAC 102_Wkst'!$I$7:$I$2010,$C$9,'LAC 102_Wkst'!$E$7:$E$2010,$C23,'LAC 102_Wkst'!$G$7:$G$2010,$D23,'LAC 102_Wkst'!$L$7:$L$2010,"02",'LAC 102_Wkst'!$N$7:$N$2010,"P4")</f>
        <v>0</v>
      </c>
      <c r="I23" s="405">
        <f>SUMIFS('LAC 102_Wkst'!$AF$7:$AF$2010,'LAC 102_Wkst'!$D$7:$D$2010,$C$7,'LAC 102_Wkst'!$I$7:$I$2010,$C$9,'LAC 102_Wkst'!$E$7:$E$2010,$C23,'LAC 102_Wkst'!$G$7:$G$2010,$D23,'LAC 102_Wkst'!$L$7:$L$2010,"01",'LAC 102_Wkst'!$N$7:$N$2010,"P4")+SUMIFS('LAC 102_Wkst'!$AF$7:$AF$2010,'LAC 102_Wkst'!$D$7:$D$2010,$C$7,'LAC 102_Wkst'!$I$7:$I$2010,$C$9,'LAC 102_Wkst'!$E$7:$E$2010,$C23,'LAC 102_Wkst'!$G$7:$G$2010,$D23,'LAC 102_Wkst'!$L$7:$L$2010,"02",'LAC 102_Wkst'!$N$7:$N$2010,"P4")</f>
        <v>0</v>
      </c>
      <c r="J23" s="404">
        <f>SUMIFS('LAC 102_Wkst'!$Q$7:$Q$2010,'LAC 102_Wkst'!$D$7:$D$2010,$C$7,'LAC 102_Wkst'!$I$7:$I$2010,$C$9,'LAC 102_Wkst'!$E$7:$E$2010,$C23,'LAC 102_Wkst'!$G$7:$G$2010,$D23,'LAC 102_Wkst'!$L$7:$L$2010,"01",'LAC 102_Wkst'!$N$7:$N$2010,"P5")+SUMIFS('LAC 102_Wkst'!$Q$7:$Q$2010,'LAC 102_Wkst'!$D$7:$D$2010,$C$7,'LAC 102_Wkst'!$I$7:$I$2010,$C$9,'LAC 102_Wkst'!$E$7:$E$2010,$C23,'LAC 102_Wkst'!$G$7:$G$2010,$D23,'LAC 102_Wkst'!$L$7:$L$2010,"02",'LAC 102_Wkst'!$N$7:$N$2010,"P5")</f>
        <v>0</v>
      </c>
      <c r="K23" s="405">
        <f>SUMIFS('LAC 102_Wkst'!$AF$7:$AF$2010,'LAC 102_Wkst'!$D$7:$D$2010,$C$7,'LAC 102_Wkst'!$I$7:$I$2010,$C$9,'LAC 102_Wkst'!$E$7:$E$2010,$C23,'LAC 102_Wkst'!$G$7:$G$2010,$D23,'LAC 102_Wkst'!$L$7:$L$2010,"01",'LAC 102_Wkst'!$N$7:$N$2010,"P5")+SUMIFS('LAC 102_Wkst'!$AF$7:$AF$2010,'LAC 102_Wkst'!$D$7:$D$2010,$C$7,'LAC 102_Wkst'!$I$7:$I$2010,$C$9,'LAC 102_Wkst'!$E$7:$E$2010,$C23,'LAC 102_Wkst'!$G$7:$G$2010,$D23,'LAC 102_Wkst'!$L$7:$L$2010,"02",'LAC 102_Wkst'!$N$7:$N$2010,"P5")</f>
        <v>0</v>
      </c>
      <c r="L23" s="404">
        <f>SUMIFS('LAC 102_Wkst'!$Q$7:$Q$2010,'LAC 102_Wkst'!$D$7:$D$2010,$C$7,'LAC 102_Wkst'!$I$7:$I$2010,$C$9,'LAC 102_Wkst'!$E$7:$E$2010,$C23,'LAC 102_Wkst'!$G$7:$G$2010,$D23,'LAC 102_Wkst'!$L$7:$L$2010,"03",'LAC 102_Wkst'!$N$7:$N$2010,"P1")+SUMIFS('LAC 102_Wkst'!$Q$7:$Q$2010,'LAC 102_Wkst'!$D$7:$D$2010,$C$7,'LAC 102_Wkst'!$I$7:$I$2010,$C$9,'LAC 102_Wkst'!$E$7:$E$2010,$C23,'LAC 102_Wkst'!$G$7:$G$2010,$D23,'LAC 102_Wkst'!$L$7:$L$2010,"03",'LAC 102_Wkst'!$N$7:$N$2010,"P2")+SUMIFS('LAC 102_Wkst'!$Q$7:$Q$2010,'LAC 102_Wkst'!$D$7:$D$2010,$C$7,'LAC 102_Wkst'!$I$7:$I$2010,$C$9,'LAC 102_Wkst'!$E$7:$E$2010,$C23,'LAC 102_Wkst'!$G$7:$G$2010,$D23,'LAC 102_Wkst'!$L$7:$L$2010,"03",'LAC 102_Wkst'!$N$7:$N$2010,"P3")+SUMIFS('LAC 102_Wkst'!$Q$7:$Q$2010,'LAC 102_Wkst'!$D$7:$D$2010,$C$7,'LAC 102_Wkst'!$I$7:$I$2010,$C$9,'LAC 102_Wkst'!$E$7:$E$2010,$C23,'LAC 102_Wkst'!$G$7:$G$2010,$D23,'LAC 102_Wkst'!$L$7:$L$2010,"04",'LAC 102_Wkst'!$N$7:$N$2010,"P1")+SUMIFS('LAC 102_Wkst'!$Q$7:$Q$2010,'LAC 102_Wkst'!$D$7:$D$2010,$C$7,'LAC 102_Wkst'!$I$7:$I$2010,$C$9,'LAC 102_Wkst'!$E$7:$E$2010,$C23,'LAC 102_Wkst'!$G$7:$G$2010,$D23,'LAC 102_Wkst'!$L$7:$L$2010,"04",'LAC 102_Wkst'!$N$7:$N$2010,"P2")+SUMIFS('LAC 102_Wkst'!$Q$7:$Q$2010,'LAC 102_Wkst'!$D$7:$D$2010,$C$7,'LAC 102_Wkst'!$I$7:$I$2010,$C$9,'LAC 102_Wkst'!$E$7:$E$2010,$C23,'LAC 102_Wkst'!$G$7:$G$2010,$D23,'LAC 102_Wkst'!$L$7:$L$2010,"04",'LAC 102_Wkst'!$N$7:$N$2010,"P3")</f>
        <v>0</v>
      </c>
      <c r="M23" s="405">
        <f>SUMIFS('LAC 102_Wkst'!$AF$7:$AF$2010,'LAC 102_Wkst'!$D$7:$D$2010,$C$7,'LAC 102_Wkst'!$I$7:$I$2010,$C$9,'LAC 102_Wkst'!$E$7:$E$2010,$C23,'LAC 102_Wkst'!$G$7:$G$2010,$D23,'LAC 102_Wkst'!$L$7:$L$2010,"03",'LAC 102_Wkst'!$N$7:$N$2010,"P1")+SUMIFS('LAC 102_Wkst'!$AF$7:$AF$2010,'LAC 102_Wkst'!$D$7:$D$2010,$C$7,'LAC 102_Wkst'!$I$7:$I$2010,$C$9,'LAC 102_Wkst'!$E$7:$E$2010,$C23,'LAC 102_Wkst'!$G$7:$G$2010,$D23,'LAC 102_Wkst'!$L$7:$L$2010,"03",'LAC 102_Wkst'!$N$7:$N$2010,"P2")+SUMIFS('LAC 102_Wkst'!$AF$7:$AF$2010,'LAC 102_Wkst'!$D$7:$D$2010,$C$7,'LAC 102_Wkst'!$I$7:$I$2010,$C$9,'LAC 102_Wkst'!$E$7:$E$2010,$C23,'LAC 102_Wkst'!$G$7:$G$2010,$D23,'LAC 102_Wkst'!$L$7:$L$2010,"03",'LAC 102_Wkst'!$N$7:$N$2010,"P3")+SUMIFS('LAC 102_Wkst'!$AF$7:$AF$2010,'LAC 102_Wkst'!$D$7:$D$2010,$C$7,'LAC 102_Wkst'!$I$7:$I$2010,$C$9,'LAC 102_Wkst'!$E$7:$E$2010,$C23,'LAC 102_Wkst'!$G$7:$G$2010,$D23,'LAC 102_Wkst'!$L$7:$L$2010,"04",'LAC 102_Wkst'!$N$7:$N$2010,"P1")+SUMIFS('LAC 102_Wkst'!$AF$7:$AF$2010,'LAC 102_Wkst'!$D$7:$D$2010,$C$7,'LAC 102_Wkst'!$I$7:$I$2010,$C$9,'LAC 102_Wkst'!$E$7:$E$2010,$C23,'LAC 102_Wkst'!$G$7:$G$2010,$D23,'LAC 102_Wkst'!$L$7:$L$2010,"04",'LAC 102_Wkst'!$N$7:$N$2010,"P2")+SUMIFS('LAC 102_Wkst'!$AF$7:$AF$2010,'LAC 102_Wkst'!$D$7:$D$2010,$C$7,'LAC 102_Wkst'!$I$7:$I$2010,$C$9,'LAC 102_Wkst'!$E$7:$E$2010,$C23,'LAC 102_Wkst'!$G$7:$G$2010,$D23,'LAC 102_Wkst'!$L$7:$L$2010,"04",'LAC 102_Wkst'!$N$7:$N$2010,"P3")</f>
        <v>0</v>
      </c>
      <c r="N23" s="404">
        <f>SUMIFS('LAC 102_Wkst'!$Q$7:$Q$2010,'LAC 102_Wkst'!$D$7:$D$2010,$C$7,'LAC 102_Wkst'!$I$7:$I$2010,$C$9,'LAC 102_Wkst'!$E$7:$E$2010,$C23,'LAC 102_Wkst'!$G$7:$G$2010,$D23,'LAC 102_Wkst'!$L$7:$L$2010,"03",'LAC 102_Wkst'!$N$7:$N$2010,"P4")+SUMIFS('LAC 102_Wkst'!$Q$7:$Q$2010,'LAC 102_Wkst'!$D$7:$D$2010,$C$7,'LAC 102_Wkst'!$I$7:$I$2010,$C$9,'LAC 102_Wkst'!$E$7:$E$2010,$C23,'LAC 102_Wkst'!$G$7:$G$2010,$D23,'LAC 102_Wkst'!$L$7:$L$2010,"04",'LAC 102_Wkst'!$N$7:$N$2010,"P4")</f>
        <v>0</v>
      </c>
      <c r="O23" s="405">
        <f>SUMIFS('LAC 102_Wkst'!$AF$7:$AF$2010,'LAC 102_Wkst'!$D$7:$D$2010,$C$7,'LAC 102_Wkst'!$I$7:$I$2010,$C$9,'LAC 102_Wkst'!$E$7:$E$2010,$C23,'LAC 102_Wkst'!$G$7:$G$2010,$D23,'LAC 102_Wkst'!$L$7:$L$2010,"03",'LAC 102_Wkst'!$N$7:$N$2010,"P4")+SUMIFS('LAC 102_Wkst'!$AF$7:$AF$2010,'LAC 102_Wkst'!$D$7:$D$2010,$C$7,'LAC 102_Wkst'!$I$7:$I$2010,$C$9,'LAC 102_Wkst'!$E$7:$E$2010,$C23,'LAC 102_Wkst'!$G$7:$G$2010,$D23,'LAC 102_Wkst'!$L$7:$L$2010,"04",'LAC 102_Wkst'!$N$7:$N$2010,"P4")</f>
        <v>0</v>
      </c>
      <c r="P23" s="404">
        <f>SUMIFS('LAC 102_Wkst'!$Q$7:$Q$2010,'LAC 102_Wkst'!$D$7:$D$2010,$C$7,'LAC 102_Wkst'!$I$7:$I$2010,$C$9,'LAC 102_Wkst'!$E$7:$E$2010,$C23,'LAC 102_Wkst'!$G$7:$G$2010,$D23,'LAC 102_Wkst'!$L$7:$L$2010,"03",'LAC 102_Wkst'!$N$7:$N$2010,"P5")+SUMIFS('LAC 102_Wkst'!$Q$7:$Q$2010,'LAC 102_Wkst'!$D$7:$D$2010,$C$7,'LAC 102_Wkst'!$I$7:$I$2010,$C$9,'LAC 102_Wkst'!$E$7:$E$2010,$C23,'LAC 102_Wkst'!$G$7:$G$2010,$D23,'LAC 102_Wkst'!$L$7:$L$2010,"04",'LAC 102_Wkst'!$N$7:$N$2010,"P5")</f>
        <v>0</v>
      </c>
      <c r="Q23" s="405">
        <f>SUMIFS('LAC 102_Wkst'!$AF$7:$AF$2010,'LAC 102_Wkst'!$D$7:$D$2010,$C$7,'LAC 102_Wkst'!$I$7:$I$2010,$C$9,'LAC 102_Wkst'!$E$7:$E$2010,$C23,'LAC 102_Wkst'!$G$7:$G$2010,$D23,'LAC 102_Wkst'!$L$7:$L$2010,"03",'LAC 102_Wkst'!$N$7:$N$2010,"P5")+SUMIFS('LAC 102_Wkst'!$AF$7:$AF$2010,'LAC 102_Wkst'!$D$7:$D$2010,$C$7,'LAC 102_Wkst'!$I$7:$I$2010,$C$9,'LAC 102_Wkst'!$E$7:$E$2010,$C23,'LAC 102_Wkst'!$G$7:$G$2010,$D23,'LAC 102_Wkst'!$L$7:$L$2010,"04",'LAC 102_Wkst'!$N$7:$N$2010,"P5")</f>
        <v>0</v>
      </c>
      <c r="R23" s="406">
        <f>SUMIFS('LAC 102_Wkst'!$Q$7:$Q$2010,'LAC 102_Wkst'!$D$7:$D$2010,$C$7,'LAC 102_Wkst'!$I$7:$I$2010,$C$9,'LAC 102_Wkst'!$E$7:$E$2010,$C23,'LAC 102_Wkst'!$G$7:$G$2010,$D23,'LAC 102_Wkst'!$L$7:$L$2010,"05",'LAC 102_Wkst'!$N$7:$N$2010,"P1")+SUMIFS('LAC 102_Wkst'!$Q$7:$Q$2010,'LAC 102_Wkst'!$D$7:$D$2010,$C$7,'LAC 102_Wkst'!$I$7:$I$2010,$C$9,'LAC 102_Wkst'!$E$7:$E$2010,$C23,'LAC 102_Wkst'!$G$7:$G$2010,$D23,'LAC 102_Wkst'!$L$7:$L$2010,"06",'LAC 102_Wkst'!$N$7:$N$2010,"P1")</f>
        <v>0</v>
      </c>
      <c r="S23" s="405">
        <f>SUMIFS('LAC 102_Wkst'!$AF$7:$AF$2010,'LAC 102_Wkst'!$D$7:$D$2010,$C$7,'LAC 102_Wkst'!$I$7:$I$2010,$C$9,'LAC 102_Wkst'!$E$7:$E$2010,$C23,'LAC 102_Wkst'!$G$7:$G$2010,$D23,'LAC 102_Wkst'!$L$7:$L$2010,"05",'LAC 102_Wkst'!$N$7:$N$2010,"P1")+SUMIFS('LAC 102_Wkst'!$AF$7:$AF$2010,'LAC 102_Wkst'!$D$7:$D$2010,$C$7,'LAC 102_Wkst'!$I$7:$I$2010,$C$9,'LAC 102_Wkst'!$E$7:$E$2010,$C23,'LAC 102_Wkst'!$G$7:$G$2010,$D23,'LAC 102_Wkst'!$L$7:$L$2010,"06",'LAC 102_Wkst'!$N$7:$N$2010,"P1")</f>
        <v>0</v>
      </c>
      <c r="T23" s="404">
        <f>SUMIFS('LAC 102_Wkst'!$Q$7:$Q$2010,'LAC 102_Wkst'!$D$7:$D$2010,$C$7,'LAC 102_Wkst'!$I$7:$I$2010,$C$9,'LAC 102_Wkst'!$E$7:$E$2010,$C23,'LAC 102_Wkst'!$G$7:$G$2010,$D23,'LAC 102_Wkst'!$L$7:$L$2010,"05",'LAC 102_Wkst'!$N$7:$N$2010,"P2")+SUMIFS('LAC 102_Wkst'!$Q$7:$Q$2010,'LAC 102_Wkst'!$D$7:$D$2010,$C$7,'LAC 102_Wkst'!$I$7:$I$2010,$C$9,'LAC 102_Wkst'!$E$7:$E$2010,$C23,'LAC 102_Wkst'!$G$7:$G$2010,$D23,'LAC 102_Wkst'!$L$7:$L$2010,"06",'LAC 102_Wkst'!$N$7:$N$2010,"P2")+SUMIFS('LAC 102_Wkst'!$Q$7:$Q$2010,'LAC 102_Wkst'!$D$7:$D$2010,$C$7,'LAC 102_Wkst'!$I$7:$I$2010,$C$9,'LAC 102_Wkst'!$E$7:$E$2010,$C23,'LAC 102_Wkst'!$G$7:$G$2010,$D23,'LAC 102_Wkst'!$L$7:$L$2010,"05",'LAC 102_Wkst'!$N$7:$N$2010,"P3")+SUMIFS('LAC 102_Wkst'!$Q$7:$Q$2010,'LAC 102_Wkst'!$D$7:$D$2010,$C$7,'LAC 102_Wkst'!$I$7:$I$2010,$C$9,'LAC 102_Wkst'!$E$7:$E$2010,$C23,'LAC 102_Wkst'!$G$7:$G$2010,$D23,'LAC 102_Wkst'!$L$7:$L$2010,"06",'LAC 102_Wkst'!$N$7:$N$2010,"P3")</f>
        <v>0</v>
      </c>
      <c r="U23" s="405">
        <f>SUMIFS('LAC 102_Wkst'!$AF$7:$AF$2010,'LAC 102_Wkst'!$D$7:$D$2010,$C$7,'LAC 102_Wkst'!$I$7:$I$2010,$C$9,'LAC 102_Wkst'!$E$7:$E$2010,$C23,'LAC 102_Wkst'!$G$7:$G$2010,$D23,'LAC 102_Wkst'!$L$7:$L$2010,"05",'LAC 102_Wkst'!$N$7:$N$2010,"P2")+SUMIFS('LAC 102_Wkst'!$AF$7:$AF$2010,'LAC 102_Wkst'!$D$7:$D$2010,$C$7,'LAC 102_Wkst'!$I$7:$I$2010,$C$9,'LAC 102_Wkst'!$E$7:$E$2010,$C23,'LAC 102_Wkst'!$G$7:$G$2010,$D23,'LAC 102_Wkst'!$L$7:$L$2010,"06",'LAC 102_Wkst'!$N$7:$N$2010,"P2")+SUMIFS('LAC 102_Wkst'!$AF$7:$AF$2010,'LAC 102_Wkst'!$D$7:$D$2010,$C$7,'LAC 102_Wkst'!$I$7:$I$2010,$C$9,'LAC 102_Wkst'!$E$7:$E$2010,$C23,'LAC 102_Wkst'!$G$7:$G$2010,$D23,'LAC 102_Wkst'!$L$7:$L$2010,"05",'LAC 102_Wkst'!$N$7:$N$2010,"P3")+SUMIFS('LAC 102_Wkst'!$AF$7:$AF$2010,'LAC 102_Wkst'!$D$7:$D$2010,$C$7,'LAC 102_Wkst'!$I$7:$I$2010,$C$9,'LAC 102_Wkst'!$E$7:$E$2010,$C23,'LAC 102_Wkst'!$G$7:$G$2010,$D23,'LAC 102_Wkst'!$L$7:$L$2010,"06",'LAC 102_Wkst'!$N$7:$N$2010,"P3")</f>
        <v>0</v>
      </c>
      <c r="V23" s="404">
        <f>SUMIFS('LAC 102_Wkst'!$Q$7:$Q$2010,'LAC 102_Wkst'!$D$7:$D$2010,$C$7,'LAC 102_Wkst'!$I$7:$I$2010,$C$9,'LAC 102_Wkst'!$E$7:$E$2010,$C23,'LAC 102_Wkst'!$G$7:$G$2010,$D23,'LAC 102_Wkst'!$L$7:$L$2010,"05",'LAC 102_Wkst'!$N$7:$N$2010,"P4")+SUMIFS('LAC 102_Wkst'!$Q$7:$Q$2010,'LAC 102_Wkst'!$D$7:$D$2010,$C$7,'LAC 102_Wkst'!$I$7:$I$2010,$C$9,'LAC 102_Wkst'!$E$7:$E$2010,$C23,'LAC 102_Wkst'!$G$7:$G$2010,$D23,'LAC 102_Wkst'!$L$7:$L$2010,"06",'LAC 102_Wkst'!$N$7:$N$2010,"P4")</f>
        <v>0</v>
      </c>
      <c r="W23" s="405">
        <f>SUMIFS('LAC 102_Wkst'!$AF$7:$AF$2010,'LAC 102_Wkst'!$D$7:$D$2010,$C$7,'LAC 102_Wkst'!$I$7:$I$2010,$C$9,'LAC 102_Wkst'!$E$7:$E$2010,$C23,'LAC 102_Wkst'!$G$7:$G$2010,$D23,'LAC 102_Wkst'!$L$7:$L$2010,"05",'LAC 102_Wkst'!$N$7:$N$2010,"P4")+SUMIFS('LAC 102_Wkst'!$AF$7:$AF$2010,'LAC 102_Wkst'!$D$7:$D$2010,$C$7,'LAC 102_Wkst'!$I$7:$I$2010,$C$9,'LAC 102_Wkst'!$E$7:$E$2010,$C23,'LAC 102_Wkst'!$G$7:$G$2010,$D23,'LAC 102_Wkst'!$L$7:$L$2010,"06",'LAC 102_Wkst'!$N$7:$N$2010,"P4")</f>
        <v>0</v>
      </c>
      <c r="X23" s="404">
        <f>SUMIFS('LAC 102_Wkst'!$Q$7:$Q$2010,'LAC 102_Wkst'!$D$7:$D$2010,$C$7,'LAC 102_Wkst'!$I$7:$I$2010,$C$9,'LAC 102_Wkst'!$E$7:$E$2010,$C23,'LAC 102_Wkst'!$G$7:$G$2010,$D23,'LAC 102_Wkst'!$L$7:$L$2010,"05",'LAC 102_Wkst'!$N$7:$N$2010,"P5")+SUMIFS('LAC 102_Wkst'!$Q$7:$Q$2010,'LAC 102_Wkst'!$D$7:$D$2010,$C$7,'LAC 102_Wkst'!$I$7:$I$2010,$C$9,'LAC 102_Wkst'!$E$7:$E$2010,$C23,'LAC 102_Wkst'!$G$7:$G$2010,$D23,'LAC 102_Wkst'!$L$7:$L$2010,"06",'LAC 102_Wkst'!$N$7:$N$2010,"P5")</f>
        <v>0</v>
      </c>
      <c r="Y23" s="405">
        <f>SUMIFS('LAC 102_Wkst'!$AF$7:$AF$2010,'LAC 102_Wkst'!$D$7:$D$2010,$C$7,'LAC 102_Wkst'!$I$7:$I$2010,$C$9,'LAC 102_Wkst'!$E$7:$E$2010,$C23,'LAC 102_Wkst'!$G$7:$G$2010,$D23,'LAC 102_Wkst'!$L$7:$L$2010,"05",'LAC 102_Wkst'!$N$7:$N$2010,"P5")+SUMIFS('LAC 102_Wkst'!$AF$7:$AF$2010,'LAC 102_Wkst'!$D$7:$D$2010,$C$7,'LAC 102_Wkst'!$I$7:$I$2010,$C$9,'LAC 102_Wkst'!$E$7:$E$2010,$C23,'LAC 102_Wkst'!$G$7:$G$2010,$D23,'LAC 102_Wkst'!$L$7:$L$2010,"06",'LAC 102_Wkst'!$N$7:$N$2010,"P5")</f>
        <v>0</v>
      </c>
      <c r="Z23" s="404">
        <f>SUMIFS('LAC 102_Wkst'!$Q$7:$Q$2010,'LAC 102_Wkst'!$D$7:$D$2010,$C$7,'LAC 102_Wkst'!$I$7:$I$2010,$C$9,'LAC 102_Wkst'!$E$7:$E$2010,$C23,'LAC 102_Wkst'!$G$7:$G$2010,$D23,'LAC 102_Wkst'!$L$7:$L$2010,"07",'LAC 102_Wkst'!$N$7:$N$2010,"P1")+SUMIFS('LAC 102_Wkst'!$Q$7:$Q$2010,'LAC 102_Wkst'!$D$7:$D$2010,$C$7,'LAC 102_Wkst'!$I$7:$I$2010,$C$9,'LAC 102_Wkst'!$E$7:$E$2010,$C23,'LAC 102_Wkst'!$G$7:$G$2010,$D23,'LAC 102_Wkst'!$L$7:$L$2010,"07",'LAC 102_Wkst'!$N$7:$N$2010,"P2")+SUMIFS('LAC 102_Wkst'!$Q$7:$Q$2010,'LAC 102_Wkst'!$D$7:$D$2010,$C$7,'LAC 102_Wkst'!$I$7:$I$2010,$C$9,'LAC 102_Wkst'!$E$7:$E$2010,$C23,'LAC 102_Wkst'!$G$7:$G$2010,$D23,'LAC 102_Wkst'!$L$7:$L$2010,"07",'LAC 102_Wkst'!$N$7:$N$2010,"P3")</f>
        <v>0</v>
      </c>
      <c r="AA23" s="405">
        <f>SUMIFS('LAC 102_Wkst'!$AF$7:$AF$2010,'LAC 102_Wkst'!$D$7:$D$2010,$C$7,'LAC 102_Wkst'!$I$7:$I$2010,$C$9,'LAC 102_Wkst'!$E$7:$E$2010,$C23,'LAC 102_Wkst'!$G$7:$G$2010,$D23,'LAC 102_Wkst'!$L$7:$L$2010,"07",'LAC 102_Wkst'!$N$7:$N$2010,"P1")+SUMIFS('LAC 102_Wkst'!$AF$7:$AF$2010,'LAC 102_Wkst'!$D$7:$D$2010,$C$7,'LAC 102_Wkst'!$I$7:$I$2010,$C$9,'LAC 102_Wkst'!$E$7:$E$2010,$C23,'LAC 102_Wkst'!$G$7:$G$2010,$D23,'LAC 102_Wkst'!$L$7:$L$2010,"07",'LAC 102_Wkst'!$N$7:$N$2010,"P2")+SUMIFS('LAC 102_Wkst'!$AF$7:$AF$2010,'LAC 102_Wkst'!$D$7:$D$2010,$C$7,'LAC 102_Wkst'!$I$7:$I$2010,$C$9,'LAC 102_Wkst'!$E$7:$E$2010,$C23,'LAC 102_Wkst'!$G$7:$G$2010,$D23,'LAC 102_Wkst'!$L$7:$L$2010,"07",'LAC 102_Wkst'!$N$7:$N$2010,"P3")</f>
        <v>0</v>
      </c>
      <c r="AB23" s="404">
        <f>SUMIFS('LAC 102_Wkst'!$Q$7:$Q$2010,'LAC 102_Wkst'!$D$7:$D$2010,$C$7,'LAC 102_Wkst'!$I$7:$I$2010,$C$9,'LAC 102_Wkst'!$E$7:$E$2010,$C23,'LAC 102_Wkst'!$G$7:$G$2010,$D23,'LAC 102_Wkst'!$L$7:$L$2010,"07",'LAC 102_Wkst'!$N$7:$N$2010,"P4")</f>
        <v>0</v>
      </c>
      <c r="AC23" s="405">
        <f>SUMIFS('LAC 102_Wkst'!$AF$7:$AF$2010,'LAC 102_Wkst'!$D$7:$D$2010,$C$7,'LAC 102_Wkst'!$I$7:$I$2010,$C$9,'LAC 102_Wkst'!$E$7:$E$2010,$C23,'LAC 102_Wkst'!$G$7:$G$2010,$D23,'LAC 102_Wkst'!$L$7:$L$2010,"07",'LAC 102_Wkst'!$N$7:$N$2010,"P4")</f>
        <v>0</v>
      </c>
      <c r="AD23" s="404">
        <f>SUMIFS('LAC 102_Wkst'!$Q$7:$Q$2010,'LAC 102_Wkst'!$D$7:$D$2010,$C$7,'LAC 102_Wkst'!$I$7:$I$2010,$C$9,'LAC 102_Wkst'!$E$7:$E$2010,$C23,'LAC 102_Wkst'!$G$7:$G$2010,$D23,'LAC 102_Wkst'!$L$7:$L$2010,"07",'LAC 102_Wkst'!$N$7:$N$2010,"P5")</f>
        <v>0</v>
      </c>
      <c r="AE23" s="405">
        <f>SUMIFS('LAC 102_Wkst'!$AF$7:$AF$2010,'LAC 102_Wkst'!$D$7:$D$2010,$C$7,'LAC 102_Wkst'!$I$7:$I$2010,$C$9,'LAC 102_Wkst'!$E$7:$E$2010,$C23,'LAC 102_Wkst'!$G$7:$G$2010,$D23,'LAC 102_Wkst'!$L$7:$L$2010,"07",'LAC 102_Wkst'!$N$7:$N$2010,"P5")</f>
        <v>0</v>
      </c>
      <c r="AF23" s="404">
        <f>SUMIFS('LAC 102_Wkst'!$Q$7:$Q$2010,'LAC 102_Wkst'!$D$7:$D$2010,$C$7,'LAC 102_Wkst'!$I$7:$I$2010,$C$9,'LAC 102_Wkst'!$E$7:$E$2010,$C23,'LAC 102_Wkst'!$G$7:$G$2010,$D23,'LAC 102_Wkst'!$L$7:$L$2010,"08",'LAC 102_Wkst'!$N$7:$N$2010,"P1")+SUMIFS('LAC 102_Wkst'!$Q$7:$Q$2010,'LAC 102_Wkst'!$D$7:$D$2010,$C$7,'LAC 102_Wkst'!$I$7:$I$2010,$C$9,'LAC 102_Wkst'!$E$7:$E$2010,$C23,'LAC 102_Wkst'!$G$7:$G$2010,$D23,'LAC 102_Wkst'!$L$7:$L$2010,"08",'LAC 102_Wkst'!$N$7:$N$2010,"P2")+SUMIFS('LAC 102_Wkst'!$Q$7:$Q$2010,'LAC 102_Wkst'!$D$7:$D$2010,$C$7,'LAC 102_Wkst'!$I$7:$I$2010,$C$9,'LAC 102_Wkst'!$E$7:$E$2010,$C23,'LAC 102_Wkst'!$G$7:$G$2010,$D23,'LAC 102_Wkst'!$L$7:$L$2010,"08",'LAC 102_Wkst'!$N$7:$N$2010,"P3")</f>
        <v>0</v>
      </c>
      <c r="AG23" s="405">
        <f>SUMIFS('LAC 102_Wkst'!$AF$7:$AF$2010,'LAC 102_Wkst'!$D$7:$D$2010,$C$7,'LAC 102_Wkst'!$I$7:$I$2010,$C$9,'LAC 102_Wkst'!$E$7:$E$2010,$C23,'LAC 102_Wkst'!$G$7:$G$2010,$D23,'LAC 102_Wkst'!$L$7:$L$2010,"08",'LAC 102_Wkst'!$N$7:$N$2010,"P1")+SUMIFS('LAC 102_Wkst'!$AF$7:$AF$2010,'LAC 102_Wkst'!$D$7:$D$2010,$C$7,'LAC 102_Wkst'!$I$7:$I$2010,$C$9,'LAC 102_Wkst'!$E$7:$E$2010,$C23,'LAC 102_Wkst'!$G$7:$G$2010,$D23,'LAC 102_Wkst'!$L$7:$L$2010,"08",'LAC 102_Wkst'!$N$7:$N$2010,"P2")+SUMIFS('LAC 102_Wkst'!$AF$7:$AF$2010,'LAC 102_Wkst'!$D$7:$D$2010,$C$7,'LAC 102_Wkst'!$I$7:$I$2010,$C$9,'LAC 102_Wkst'!$E$7:$E$2010,$C23,'LAC 102_Wkst'!$G$7:$G$2010,$D23,'LAC 102_Wkst'!$L$7:$L$2010,"08",'LAC 102_Wkst'!$N$7:$N$2010,"P3")</f>
        <v>0</v>
      </c>
      <c r="AH23" s="404">
        <f>SUMIFS('LAC 102_Wkst'!$Q$7:$Q$2010,'LAC 102_Wkst'!$D$7:$D$2010,$C$7,'LAC 102_Wkst'!$I$7:$I$2010,$C$9,'LAC 102_Wkst'!$E$7:$E$2010,$C23,'LAC 102_Wkst'!$G$7:$G$2010,$D23,'LAC 102_Wkst'!$L$7:$L$2010,"08",'LAC 102_Wkst'!$N$7:$N$2010,"P4")</f>
        <v>0</v>
      </c>
      <c r="AI23" s="405">
        <f>SUMIFS('LAC 102_Wkst'!$AF$7:$AF$2010,'LAC 102_Wkst'!$D$7:$D$2010,$C$7,'LAC 102_Wkst'!$I$7:$I$2010,$C$9,'LAC 102_Wkst'!$E$7:$E$2010,$C23,'LAC 102_Wkst'!$G$7:$G$2010,$D23,'LAC 102_Wkst'!$L$7:$L$2010,"08",'LAC 102_Wkst'!$N$7:$N$2010,"P4")</f>
        <v>0</v>
      </c>
      <c r="AJ23" s="404">
        <f>SUMIFS('LAC 102_Wkst'!$Q$7:$Q$2010,'LAC 102_Wkst'!$D$7:$D$2010,$C$7,'LAC 102_Wkst'!$I$7:$I$2010,$C$9,'LAC 102_Wkst'!$E$7:$E$2010,$C23,'LAC 102_Wkst'!$G$7:$G$2010,$D23,'LAC 102_Wkst'!$L$7:$L$2010,"08",'LAC 102_Wkst'!$N$7:$N$2010,"P5")</f>
        <v>0</v>
      </c>
      <c r="AK23" s="405">
        <f>SUMIFS('LAC 102_Wkst'!$AF$7:$AF$2010,'LAC 102_Wkst'!$D$7:$D$2010,$C$7,'LAC 102_Wkst'!$I$7:$I$2010,$C$9,'LAC 102_Wkst'!$E$7:$E$2010,$C23,'LAC 102_Wkst'!$G$7:$G$2010,$D23,'LAC 102_Wkst'!$L$7:$L$2010,"08",'LAC 102_Wkst'!$N$7:$N$2010,"P5")</f>
        <v>0</v>
      </c>
      <c r="AL23" s="404">
        <f>SUMIFS('LAC 102_Wkst'!$Q$7:$Q$2010,'LAC 102_Wkst'!$D$7:$D$2010,$C$7,'LAC 102_Wkst'!$I$7:$I$2010,$C$9,'LAC 102_Wkst'!$E$7:$E$2010,$C23,'LAC 102_Wkst'!$G$7:$G$2010,$D23,'LAC 102_Wkst'!$L$7:$L$2010,"09",'LAC 102_Wkst'!$N$7:$N$2010,"P1")+SUMIFS('LAC 102_Wkst'!$Q$7:$Q$2010,'LAC 102_Wkst'!$D$7:$D$2010,$C$7,'LAC 102_Wkst'!$I$7:$I$2010,$C$9,'LAC 102_Wkst'!$E$7:$E$2010,$C23,'LAC 102_Wkst'!$G$7:$G$2010,$D23,'LAC 102_Wkst'!$L$7:$L$2010,"09",'LAC 102_Wkst'!$N$7:$N$2010,"P2")+SUMIFS('LAC 102_Wkst'!$Q$7:$Q$2010,'LAC 102_Wkst'!$D$7:$D$2010,$C$7,'LAC 102_Wkst'!$I$7:$I$2010,$C$9,'LAC 102_Wkst'!$E$7:$E$2010,$C23,'LAC 102_Wkst'!$G$7:$G$2010,$D23,'LAC 102_Wkst'!$L$7:$L$2010,"09",'LAC 102_Wkst'!$N$7:$N$2010,"P3")+SUMIFS('LAC 102_Wkst'!$Q$7:$Q$2010,'LAC 102_Wkst'!$D$7:$D$2010,$C$7,'LAC 102_Wkst'!$I$7:$I$2010,$C$9,'LAC 102_Wkst'!$E$7:$E$2010,$C23,'LAC 102_Wkst'!$G$7:$G$2010,$D23,'LAC 102_Wkst'!$L$7:$L$2010,"09",'LAC 102_Wkst'!$N$7:$N$2010,"P4")</f>
        <v>0</v>
      </c>
      <c r="AM23" s="405">
        <f>SUMIFS('LAC 102_Wkst'!$AF$7:$AF$2010,'LAC 102_Wkst'!$D$7:$D$2010,$C$7,'LAC 102_Wkst'!$I$7:$I$2010,$C$9,'LAC 102_Wkst'!$E$7:$E$2010,$C23,'LAC 102_Wkst'!$G$7:$G$2010,$D23,'LAC 102_Wkst'!$L$7:$L$2010,"09",'LAC 102_Wkst'!$N$7:$N$2010,"P1")+SUMIFS('LAC 102_Wkst'!$AF$7:$AF$2010,'LAC 102_Wkst'!$D$7:$D$2010,$C$7,'LAC 102_Wkst'!$I$7:$I$2010,$C$9,'LAC 102_Wkst'!$E$7:$E$2010,$C23,'LAC 102_Wkst'!$G$7:$G$2010,$D23,'LAC 102_Wkst'!$L$7:$L$2010,"09",'LAC 102_Wkst'!$N$7:$N$2010,"P2")+SUMIFS('LAC 102_Wkst'!$AF$7:$AF$2010,'LAC 102_Wkst'!$D$7:$D$2010,$C$7,'LAC 102_Wkst'!$I$7:$I$2010,$C$9,'LAC 102_Wkst'!$E$7:$E$2010,$C23,'LAC 102_Wkst'!$G$7:$G$2010,$D23,'LAC 102_Wkst'!$L$7:$L$2010,"09",'LAC 102_Wkst'!$N$7:$N$2010,"P3")+SUMIFS('LAC 102_Wkst'!$AF$7:$AF$2010,'LAC 102_Wkst'!$D$7:$D$2010,$C$7,'LAC 102_Wkst'!$I$7:$I$2010,$C$9,'LAC 102_Wkst'!$E$7:$E$2010,$C23,'LAC 102_Wkst'!$G$7:$G$2010,$D23,'LAC 102_Wkst'!$L$7:$L$2010,"09",'LAC 102_Wkst'!$N$7:$N$2010,"P4")</f>
        <v>0</v>
      </c>
      <c r="AN23" s="404">
        <f>SUMIFS('LAC 102_Wkst'!$Q$7:$Q$2010,'LAC 102_Wkst'!$D$7:$D$2010,$C$7,'LAC 102_Wkst'!$I$7:$I$2010,$C$9,'LAC 102_Wkst'!$E$7:$E$2010,$C23,'LAC 102_Wkst'!$G$7:$G$2010,$D23,'LAC 102_Wkst'!$L$7:$L$2010,"09",'LAC 102_Wkst'!$N$7:$N$2010,"P5")</f>
        <v>0</v>
      </c>
      <c r="AO23" s="405">
        <f>SUMIFS('LAC 102_Wkst'!$AF$7:$AF$2010,'LAC 102_Wkst'!$D$7:$D$2010,$C$7,'LAC 102_Wkst'!$I$7:$I$2010,$C$9,'LAC 102_Wkst'!$E$7:$E$2010,$C23,'LAC 102_Wkst'!$G$7:$G$2010,$D23,'LAC 102_Wkst'!$L$7:$L$2010,"09",'LAC 102_Wkst'!$N$7:$N$2010,"P5")</f>
        <v>0</v>
      </c>
      <c r="AP23" s="404">
        <f>SUMIFS('LAC 102_Wkst'!$Q$7:$Q$2010,'LAC 102_Wkst'!$D$7:$D$2010,$C$7,'LAC 102_Wkst'!$I$7:$I$2010,$C$9,'LAC 102_Wkst'!$E$7:$E$2010,$C23,'LAC 102_Wkst'!$G$7:$G$2010,$D23,'LAC 102_Wkst'!$L$7:$L$2010,"10",'LAC 102_Wkst'!$N$7:$N$2010,"P1")+SUMIFS('LAC 102_Wkst'!$Q$7:$Q$2010,'LAC 102_Wkst'!$D$7:$D$2010,$C$7,'LAC 102_Wkst'!$I$7:$I$2010,$C$9,'LAC 102_Wkst'!$E$7:$E$2010,$C23,'LAC 102_Wkst'!$G$7:$G$2010,$D23,'LAC 102_Wkst'!$L$7:$L$2010,"10",'LAC 102_Wkst'!$N$7:$N$2010,"P2")+SUMIFS('LAC 102_Wkst'!$Q$7:$Q$2010,'LAC 102_Wkst'!$D$7:$D$2010,$C$7,'LAC 102_Wkst'!$I$7:$I$2010,$C$9,'LAC 102_Wkst'!$E$7:$E$2010,$C23,'LAC 102_Wkst'!$G$7:$G$2010,$D23,'LAC 102_Wkst'!$L$7:$L$2010,"10",'LAC 102_Wkst'!$N$7:$N$2010,"P3")+SUMIFS('LAC 102_Wkst'!$Q$7:$Q$2010,'LAC 102_Wkst'!$D$7:$D$2010,$C$7,'LAC 102_Wkst'!$I$7:$I$2010,$C$9,'LAC 102_Wkst'!$E$7:$E$2010,$C23,'LAC 102_Wkst'!$G$7:$G$2010,$D23,'LAC 102_Wkst'!$L$7:$L$2010,"10",'LAC 102_Wkst'!$N$7:$N$2010,"P4")</f>
        <v>0</v>
      </c>
      <c r="AQ23" s="405">
        <f>SUMIFS('LAC 102_Wkst'!$AF$7:$AF$2010,'LAC 102_Wkst'!$D$7:$D$2010,$C$7,'LAC 102_Wkst'!$I$7:$I$2010,$C$9,'LAC 102_Wkst'!$E$7:$E$2010,$C23,'LAC 102_Wkst'!$G$7:$G$2010,$D23,'LAC 102_Wkst'!$L$7:$L$2010,"10",'LAC 102_Wkst'!$N$7:$N$2010,"P1")+SUMIFS('LAC 102_Wkst'!$AF$7:$AF$2010,'LAC 102_Wkst'!$D$7:$D$2010,$C$7,'LAC 102_Wkst'!$I$7:$I$2010,$C$9,'LAC 102_Wkst'!$E$7:$E$2010,$C23,'LAC 102_Wkst'!$G$7:$G$2010,$D23,'LAC 102_Wkst'!$L$7:$L$2010,"10",'LAC 102_Wkst'!$N$7:$N$2010,"P2")+SUMIFS('LAC 102_Wkst'!$AF$7:$AF$2010,'LAC 102_Wkst'!$D$7:$D$2010,$C$7,'LAC 102_Wkst'!$I$7:$I$2010,$C$9,'LAC 102_Wkst'!$E$7:$E$2010,$C23,'LAC 102_Wkst'!$G$7:$G$2010,$D23,'LAC 102_Wkst'!$L$7:$L$2010,"10",'LAC 102_Wkst'!$N$7:$N$2010,"P3")+SUMIFS('LAC 102_Wkst'!$AF$7:$AF$2010,'LAC 102_Wkst'!$D$7:$D$2010,$C$7,'LAC 102_Wkst'!$I$7:$I$2010,$C$9,'LAC 102_Wkst'!$E$7:$E$2010,$C23,'LAC 102_Wkst'!$G$7:$G$2010,$D23,'LAC 102_Wkst'!$L$7:$L$2010,"10",'LAC 102_Wkst'!$N$7:$N$2010,"P4")</f>
        <v>0</v>
      </c>
      <c r="AR23" s="404">
        <f>SUMIFS('LAC 102_Wkst'!$Q$7:$Q$2010,'LAC 102_Wkst'!$D$7:$D$2010,$C$7,'LAC 102_Wkst'!$I$7:$I$2010,$C$9,'LAC 102_Wkst'!$E$7:$E$2010,$C23,'LAC 102_Wkst'!$G$7:$G$2010,$D23,'LAC 102_Wkst'!$L$7:$L$2010,"10",'LAC 102_Wkst'!$N$7:$N$2010,"P5")</f>
        <v>0</v>
      </c>
      <c r="AS23" s="405">
        <f>SUMIFS('LAC 102_Wkst'!$AF$7:$AF$2010,'LAC 102_Wkst'!$D$7:$D$2010,$C$7,'LAC 102_Wkst'!$I$7:$I$2010,$C$9,'LAC 102_Wkst'!$E$7:$E$2010,$C23,'LAC 102_Wkst'!$G$7:$G$2010,$D23,'LAC 102_Wkst'!$L$7:$L$2010,"10",'LAC 102_Wkst'!$N$7:$N$2010,"P5")</f>
        <v>0</v>
      </c>
      <c r="AT23" s="404">
        <f>SUMIFS('LAC 102_Wkst'!$Q$7:$Q$2010,'LAC 102_Wkst'!$D$7:$D$2010,$C$7,'LAC 102_Wkst'!$I$7:$I$2010,$C$9,'LAC 102_Wkst'!$E$7:$E$2010,$C23,'LAC 102_Wkst'!$G$7:$G$2010,$D23,'LAC 102_Wkst'!$L$7:$L$2010,"11",'LAC 102_Wkst'!$N$7:$N$2010,"P1")+SUMIFS('LAC 102_Wkst'!$Q$7:$Q$2010,'LAC 102_Wkst'!$D$7:$D$2010,$C$7,'LAC 102_Wkst'!$I$7:$I$2010,$C$9,'LAC 102_Wkst'!$E$7:$E$2010,$C23,'LAC 102_Wkst'!$G$7:$G$2010,$D23,'LAC 102_Wkst'!$L$7:$L$2010,"12",'LAC 102_Wkst'!$N$7:$N$2010,"P1")</f>
        <v>0</v>
      </c>
      <c r="AU23" s="405">
        <f>SUMIFS('LAC 102_Wkst'!$Q$7:$Q$2010,'LAC 102_Wkst'!$D$7:$D$2010,$C$7,'LAC 102_Wkst'!$I$7:$I$2010,$C$9,'LAC 102_Wkst'!$E$7:$E$2010,$C23,'LAC 102_Wkst'!$G$7:$G$2010,$D23,'LAC 102_Wkst'!$L$7:$L$2010,"13",'LAC 102_Wkst'!$N$7:$N$2010,"P5")</f>
        <v>0</v>
      </c>
      <c r="AV23" s="404">
        <f>SUMIFS('LAC 102_Wkst'!$Q$7:$Q$2010,'LAC 102_Wkst'!$D$7:$D$2010,$C$7,'LAC 102_Wkst'!$I$7:$I$2010,$C$9,'LAC 102_Wkst'!$E$7:$E$2010,$C23,'LAC 102_Wkst'!$G$7:$G$2010,$D23,'LAC 102_Wkst'!$L$7:$L$2010,"11",'LAC 102_Wkst'!$N$7:$N$2010,"P2")+SUMIFS('LAC 102_Wkst'!$Q$7:$Q$2010,'LAC 102_Wkst'!$D$7:$D$2010,$C$7,'LAC 102_Wkst'!$I$7:$I$2010,$C$9,'LAC 102_Wkst'!$E$7:$E$2010,$C23,'LAC 102_Wkst'!$G$7:$G$2010,$D23,'LAC 102_Wkst'!$L$7:$L$2010,"12",'LAC 102_Wkst'!$N$7:$N$2010,"P2")+SUMIFS('LAC 102_Wkst'!$Q$7:$Q$2010,'LAC 102_Wkst'!$D$7:$D$2010,$C$7,'LAC 102_Wkst'!$I$7:$I$2010,$C$9,'LAC 102_Wkst'!$E$7:$E$2010,$C23,'LAC 102_Wkst'!$G$7:$G$2010,$D23,'LAC 102_Wkst'!$L$7:$L$2010,"11",'LAC 102_Wkst'!$N$7:$N$2010,"P3")+SUMIFS('LAC 102_Wkst'!$Q$7:$Q$2010,'LAC 102_Wkst'!$D$7:$D$2010,$C$7,'LAC 102_Wkst'!$I$7:$I$2010,$C$9,'LAC 102_Wkst'!$E$7:$E$2010,$C23,'LAC 102_Wkst'!$G$7:$G$2010,$D23,'LAC 102_Wkst'!$L$7:$L$2010,"12",'LAC 102_Wkst'!$N$7:$N$2010,"P3")</f>
        <v>0</v>
      </c>
      <c r="AW23" s="405">
        <f>SUMIFS('LAC 102_Wkst'!$AF$7:$AF$2010,'LAC 102_Wkst'!$D$7:$D$2010,$C$7,'LAC 102_Wkst'!$I$7:$I$2010,$C$9,'LAC 102_Wkst'!$E$7:$E$2010,$C23,'LAC 102_Wkst'!$G$7:$G$2010,$D23,'LAC 102_Wkst'!$L$7:$L$2010,"11",'LAC 102_Wkst'!$N$7:$N$2010,"P2")+SUMIFS('LAC 102_Wkst'!$AF$7:$AF$2010,'LAC 102_Wkst'!$D$7:$D$2010,$C$7,'LAC 102_Wkst'!$I$7:$I$2010,$C$9,'LAC 102_Wkst'!$E$7:$E$2010,$C23,'LAC 102_Wkst'!$G$7:$G$2010,$D23,'LAC 102_Wkst'!$L$7:$L$2010,"12",'LAC 102_Wkst'!$N$7:$N$2010,"P2")+SUMIFS('LAC 102_Wkst'!$AF$7:$AF$2010,'LAC 102_Wkst'!$D$7:$D$2010,$C$7,'LAC 102_Wkst'!$I$7:$I$2010,$C$9,'LAC 102_Wkst'!$E$7:$E$2010,$C23,'LAC 102_Wkst'!$G$7:$G$2010,$D23,'LAC 102_Wkst'!$L$7:$L$2010,"11",'LAC 102_Wkst'!$N$7:$N$2010,"P3")+SUMIFS('LAC 102_Wkst'!$AF$7:$AF$2010,'LAC 102_Wkst'!$D$7:$D$2010,$C$7,'LAC 102_Wkst'!$I$7:$I$2010,$C$9,'LAC 102_Wkst'!$E$7:$E$2010,$C23,'LAC 102_Wkst'!$G$7:$G$2010,$D23,'LAC 102_Wkst'!$L$7:$L$2010,"12",'LAC 102_Wkst'!$N$7:$N$2010,"P3")</f>
        <v>0</v>
      </c>
      <c r="AX23" s="404">
        <f>SUMIFS('LAC 102_Wkst'!$Q$7:$Q$2010,'LAC 102_Wkst'!$D$7:$D$2010,$C$7,'LAC 102_Wkst'!$I$7:$I$2010,$C$9,'LAC 102_Wkst'!$E$7:$E$2010,$C23,'LAC 102_Wkst'!$G$7:$G$2010,$D23,'LAC 102_Wkst'!$L$7:$L$2010,"11",'LAC 102_Wkst'!$N$7:$N$2010,"P4")+SUMIFS('LAC 102_Wkst'!$Q$7:$Q$2010,'LAC 102_Wkst'!$D$7:$D$2010,$C$7,'LAC 102_Wkst'!$I$7:$I$2010,$C$9,'LAC 102_Wkst'!$E$7:$E$2010,$C23,'LAC 102_Wkst'!$G$7:$G$2010,$D23,'LAC 102_Wkst'!$L$7:$L$2010,"12",'LAC 102_Wkst'!$N$7:$N$2010,"P4")</f>
        <v>0</v>
      </c>
      <c r="AY23" s="405">
        <f>SUMIFS('LAC 102_Wkst'!$AF$7:$AF$2010,'LAC 102_Wkst'!$D$7:$D$2010,$C$7,'LAC 102_Wkst'!$I$7:$I$2010,$C$9,'LAC 102_Wkst'!$E$7:$E$2010,$C23,'LAC 102_Wkst'!$G$7:$G$2010,$D23,'LAC 102_Wkst'!$L$7:$L$2010,"11",'LAC 102_Wkst'!$N$7:$N$2010,"P4")+SUMIFS('LAC 102_Wkst'!$AF$7:$AF$2010,'LAC 102_Wkst'!$D$7:$D$2010,$C$7,'LAC 102_Wkst'!$I$7:$I$2010,$C$9,'LAC 102_Wkst'!$E$7:$E$2010,$C23,'LAC 102_Wkst'!$G$7:$G$2010,$D23,'LAC 102_Wkst'!$L$7:$L$2010,"12",'LAC 102_Wkst'!$N$7:$N$2010,"P4")</f>
        <v>0</v>
      </c>
      <c r="AZ23" s="404">
        <f>SUMIFS('LAC 102_Wkst'!$Q$7:$Q$2010,'LAC 102_Wkst'!$D$7:$D$2010,$C$7,'LAC 102_Wkst'!$I$7:$I$2010,$C$9,'LAC 102_Wkst'!$E$7:$E$2010,$C23,'LAC 102_Wkst'!$G$7:$G$2010,$D23,'LAC 102_Wkst'!$L$7:$L$2010,"11",'LAC 102_Wkst'!$N$7:$N$2010,"P5")+SUMIFS('LAC 102_Wkst'!$Q$7:$Q$2010,'LAC 102_Wkst'!$D$7:$D$2010,$C$7,'LAC 102_Wkst'!$I$7:$I$2010,$C$9,'LAC 102_Wkst'!$E$7:$E$2010,$C23,'LAC 102_Wkst'!$G$7:$G$2010,$D23,'LAC 102_Wkst'!$L$7:$L$2010,"12",'LAC 102_Wkst'!$N$7:$N$2010,"P5")</f>
        <v>0</v>
      </c>
      <c r="BA23" s="405">
        <f>SUMIFS('LAC 102_Wkst'!$AF$7:$AF$2010,'LAC 102_Wkst'!$D$7:$D$2010,$C$7,'LAC 102_Wkst'!$I$7:$I$2010,$C$9,'LAC 102_Wkst'!$E$7:$E$2010,$C23,'LAC 102_Wkst'!$G$7:$G$2010,$D23,'LAC 102_Wkst'!$L$7:$L$2010,"11",'LAC 102_Wkst'!$N$7:$N$2010,"P5")+SUMIFS('LAC 102_Wkst'!$AF$7:$AF$2010,'LAC 102_Wkst'!$D$7:$D$2010,$C$7,'LAC 102_Wkst'!$I$7:$I$2010,$C$9,'LAC 102_Wkst'!$E$7:$E$2010,$C23,'LAC 102_Wkst'!$G$7:$G$2010,$D23,'LAC 102_Wkst'!$L$7:$L$2010,"12",'LAC 102_Wkst'!$N$7:$N$2010,"P5")</f>
        <v>0</v>
      </c>
      <c r="BB23" s="404">
        <f>SUMIFS('LAC 102_Wkst'!$Q$7:$Q$2010,'LAC 102_Wkst'!$D$7:$D$2010,$C$7,'LAC 102_Wkst'!$I$7:$I$2010,$C$9,'LAC 102_Wkst'!$E$7:$E$2010,$C23,'LAC 102_Wkst'!$G$7:$G$2010,$D23,'LAC 102_Wkst'!$L$7:$L$2010,"13",'LAC 102_Wkst'!$N$7:$N$2010,"P1")+SUMIFS('LAC 102_Wkst'!$Q$7:$Q$2010,'LAC 102_Wkst'!$D$7:$D$2010,$C$7,'LAC 102_Wkst'!$I$7:$I$2010,$C$9,'LAC 102_Wkst'!$E$7:$E$2010,$C23,'LAC 102_Wkst'!$G$7:$G$2010,$D23,'LAC 102_Wkst'!$L$7:$L$2010,"13",'LAC 102_Wkst'!$N$7:$N$2010,"P2")+SUMIFS('LAC 102_Wkst'!$Q$7:$Q$2010,'LAC 102_Wkst'!$D$7:$D$2010,$C$7,'LAC 102_Wkst'!$I$7:$I$2010,$C$9,'LAC 102_Wkst'!$E$7:$E$2010,$C23,'LAC 102_Wkst'!$G$7:$G$2010,$D23,'LAC 102_Wkst'!$L$7:$L$2010,"13",'LAC 102_Wkst'!$N$7:$N$2010,"P3")+SUMIFS('LAC 102_Wkst'!$Q$7:$Q$2010,'LAC 102_Wkst'!$D$7:$D$2010,$C$7,'LAC 102_Wkst'!$I$7:$I$2010,$C$9,'LAC 102_Wkst'!$E$7:$E$2010,$C23,'LAC 102_Wkst'!$G$7:$G$2010,$D23,'LAC 102_Wkst'!$L$7:$L$2010,"13",'LAC 102_Wkst'!$N$7:$N$2010,"P4")</f>
        <v>0</v>
      </c>
      <c r="BC23" s="405">
        <f>SUMIFS('LAC 102_Wkst'!$AF$7:$AF$2010,'LAC 102_Wkst'!$D$7:$D$2010,$C$7,'LAC 102_Wkst'!$I$7:$I$2010,$C$9,'LAC 102_Wkst'!$E$7:$E$2010,$C23,'LAC 102_Wkst'!$G$7:$G$2010,$D23,'LAC 102_Wkst'!$L$7:$L$2010,"13",'LAC 102_Wkst'!$N$7:$N$2010,"P1")+SUMIFS('LAC 102_Wkst'!$AF$7:$AF$2010,'LAC 102_Wkst'!$D$7:$D$2010,$C$7,'LAC 102_Wkst'!$I$7:$I$2010,$C$9,'LAC 102_Wkst'!$E$7:$E$2010,$C23,'LAC 102_Wkst'!$G$7:$G$2010,$D23,'LAC 102_Wkst'!$L$7:$L$2010,"13",'LAC 102_Wkst'!$N$7:$N$2010,"P2")+SUMIFS('LAC 102_Wkst'!$AF$7:$AF$2010,'LAC 102_Wkst'!$D$7:$D$2010,$C$7,'LAC 102_Wkst'!$I$7:$I$2010,$C$9,'LAC 102_Wkst'!$E$7:$E$2010,$C23,'LAC 102_Wkst'!$G$7:$G$2010,$D23,'LAC 102_Wkst'!$L$7:$L$2010,"13",'LAC 102_Wkst'!$N$7:$N$2010,"P3")+SUMIFS('LAC 102_Wkst'!$AF$7:$AF$2010,'LAC 102_Wkst'!$D$7:$D$2010,$C$7,'LAC 102_Wkst'!$I$7:$I$2010,$C$9,'LAC 102_Wkst'!$E$7:$E$2010,$C23,'LAC 102_Wkst'!$G$7:$G$2010,$D23,'LAC 102_Wkst'!$L$7:$L$2010,"13",'LAC 102_Wkst'!$N$7:$N$2010,"P4")</f>
        <v>0</v>
      </c>
      <c r="BD23" s="404">
        <f>SUMIFS('LAC 102_Wkst'!$Q$7:$Q$2010,'LAC 102_Wkst'!$D$7:$D$2010,$C$7,'LAC 102_Wkst'!$I$7:$I$2010,$C$9,'LAC 102_Wkst'!$E$7:$E$2010,$C23,'LAC 102_Wkst'!$G$7:$G$2010,$D23,'LAC 102_Wkst'!$L$7:$L$2010,"13",'LAC 102_Wkst'!$N$7:$N$2010,"P5")</f>
        <v>0</v>
      </c>
      <c r="BE23" s="405">
        <f>SUMIFS('LAC 102_Wkst'!$AF$7:$AF$2010,'LAC 102_Wkst'!$D$7:$D$2010,$C$7,'LAC 102_Wkst'!$I$7:$I$2010,$C$9,'LAC 102_Wkst'!$E$7:$E$2010,$C23,'LAC 102_Wkst'!$G$7:$G$2010,$D23,'LAC 102_Wkst'!$L$7:$L$2010,"13",'LAC 102_Wkst'!$N$7:$N$2010,"P5")</f>
        <v>0</v>
      </c>
      <c r="BF23" s="407">
        <f>E23-F23-H23-J23-L23-N23-P23-R23-T23-V23-X23-Z23-AB23-AD23-AF23-AH23-AJ23-AL23-AN23-AP23-AR23-AV23-AX23-AZ23-BB23-BD23</f>
        <v>0</v>
      </c>
      <c r="BG23" s="1654">
        <f>SUMIFS('LAC 102_Wkst'!$AF$7:$AF$2010,'LAC 102_Wkst'!$D$7:$D$2010,$C$7,'LAC 102_Wkst'!$I$7:$I$2010,$C$9,'LAC 102_Wkst'!$E$7:$E$2010,$C23,'LAC 102_Wkst'!$G$7:$G$2010,$D23,'LAC 102_Wkst'!$L$7:$L$2010,"14")</f>
        <v>0</v>
      </c>
    </row>
    <row r="24" spans="1:59" x14ac:dyDescent="0.2">
      <c r="A24" s="401">
        <v>2</v>
      </c>
      <c r="B24" s="1678" t="str">
        <f>IF(Schedule_B!B$21="","",Schedule_B!B$21)</f>
        <v>CR</v>
      </c>
      <c r="C24" s="1674" t="str">
        <f>IF(Schedule_B!C$21=""," ",Schedule_B!C$21)</f>
        <v>15</v>
      </c>
      <c r="D24" s="1675" t="str">
        <f>IF(Schedule_B!D$21=""," ",Schedule_B!D$21)</f>
        <v>04</v>
      </c>
      <c r="E24" s="1221">
        <f>SUMIFS('LAC 102_Wkst'!$Q$7:$Q$2010,'LAC 102_Wkst'!$D$7:$D$2010,$C$7,'LAC 102_Wkst'!$I$7:$I$2010,$C$9,'LAC 102_Wkst'!$E$7:$E$2010,$C24,'LAC 102_Wkst'!$G$7:$G$2010,$D24)</f>
        <v>141382</v>
      </c>
      <c r="F24" s="408">
        <f>SUMIFS('LAC 102_Wkst'!$Q$7:$Q$2010,'LAC 102_Wkst'!$D$7:$D$2010,$C$7,'LAC 102_Wkst'!$I$7:$I$2010,$C$9,'LAC 102_Wkst'!$E$7:$E$2010,$C24,'LAC 102_Wkst'!$G$7:$G$2010,$D24,'LAC 102_Wkst'!$L$7:$L$2010,"01",'LAC 102_Wkst'!$N$7:$N$2010,"P1")+SUMIFS('LAC 102_Wkst'!$Q$7:$Q$2010,'LAC 102_Wkst'!$D$7:$D$2010,$C$7,'LAC 102_Wkst'!$I$7:$I$2010,$C$9,'LAC 102_Wkst'!$E$7:$E$2010,$C24,'LAC 102_Wkst'!$G$7:$G$2010,$D24,'LAC 102_Wkst'!$L$7:$L$2010,"01",'LAC 102_Wkst'!$N$7:$N$2010,"P2")+SUMIFS('LAC 102_Wkst'!$Q$7:$Q$2010,'LAC 102_Wkst'!$D$7:$D$2010,$C$7,'LAC 102_Wkst'!$I$7:$I$2010,$C$9,'LAC 102_Wkst'!$E$7:$E$2010,$C24,'LAC 102_Wkst'!$G$7:$G$2010,$D24,'LAC 102_Wkst'!$L$7:$L$2010,"01",'LAC 102_Wkst'!$N$7:$N$2010,"P3")+SUMIFS('LAC 102_Wkst'!$Q$7:$Q$2010,'LAC 102_Wkst'!$D$7:$D$2010,$C$7,'LAC 102_Wkst'!$I$7:$I$2010,$C$9,'LAC 102_Wkst'!$E$7:$E$2010,$C24,'LAC 102_Wkst'!$G$7:$G$2010,$D24,'LAC 102_Wkst'!$L$7:$L$2010,"02",'LAC 102_Wkst'!$N$7:$N$2010,"P1")+SUMIFS('LAC 102_Wkst'!$Q$7:$Q$2010,'LAC 102_Wkst'!$D$7:$D$2010,$C$7,'LAC 102_Wkst'!$I$7:$I$2010,$C$9,'LAC 102_Wkst'!$E$7:$E$2010,$C24,'LAC 102_Wkst'!$G$7:$G$2010,$D24,'LAC 102_Wkst'!$L$7:$L$2010,"02",'LAC 102_Wkst'!$N$7:$N$2010,"P2")+SUMIFS('LAC 102_Wkst'!$Q$7:$Q$2010,'LAC 102_Wkst'!$D$7:$D$2010,$C$7,'LAC 102_Wkst'!$I$7:$I$2010,$C$9,'LAC 102_Wkst'!$E$7:$E$2010,$C24,'LAC 102_Wkst'!$G$7:$G$2010,$D24,'LAC 102_Wkst'!$L$7:$L$2010,"02",'LAC 102_Wkst'!$N$7:$N$2010,"P3")</f>
        <v>122414</v>
      </c>
      <c r="G24" s="409">
        <f>SUMIFS('LAC 102_Wkst'!$AF$7:$AF$2010,'LAC 102_Wkst'!$D$7:$D$2010,$C$7,'LAC 102_Wkst'!$I$7:$I$2010,$C$9,'LAC 102_Wkst'!$E$7:$E$2010,$C24,'LAC 102_Wkst'!$G$7:$G$2010,$D24,'LAC 102_Wkst'!$L$7:$L$2010,"01",'LAC 102_Wkst'!$N$7:$N$2010,"P1")+SUMIFS('LAC 102_Wkst'!$AF$7:$AF$2010,'LAC 102_Wkst'!$D$7:$D$2010,$C$7,'LAC 102_Wkst'!$I$7:$I$2010,$C$9,'LAC 102_Wkst'!$E$7:$E$2010,$C24,'LAC 102_Wkst'!$G$7:$G$2010,$D24,'LAC 102_Wkst'!$L$7:$L$2010,"01",'LAC 102_Wkst'!$N$7:$N$2010,"P2")+SUMIFS('LAC 102_Wkst'!$AF$7:$AF$2010,'LAC 102_Wkst'!$D$7:$D$2010,$C$7,'LAC 102_Wkst'!$I$7:$I$2010,$C$9,'LAC 102_Wkst'!$E$7:$E$2010,$C24,'LAC 102_Wkst'!$G$7:$G$2010,$D24,'LAC 102_Wkst'!$L$7:$L$2010,"01",'LAC 102_Wkst'!$N$7:$N$2010,"P3")+SUMIFS('LAC 102_Wkst'!$AF$7:$AF$2010,'LAC 102_Wkst'!$D$7:$D$2010,$C$7,'LAC 102_Wkst'!$I$7:$I$2010,$C$9,'LAC 102_Wkst'!$E$7:$E$2010,$C24,'LAC 102_Wkst'!$G$7:$G$2010,$D24,'LAC 102_Wkst'!$L$7:$L$2010,"02",'LAC 102_Wkst'!$N$7:$N$2010,"P1")+SUMIFS('LAC 102_Wkst'!$AF$7:$AF$2010,'LAC 102_Wkst'!$D$7:$D$2010,$C$7,'LAC 102_Wkst'!$I$7:$I$2010,$C$9,'LAC 102_Wkst'!$E$7:$E$2010,$C24,'LAC 102_Wkst'!$G$7:$G$2010,$D24,'LAC 102_Wkst'!$L$7:$L$2010,"02",'LAC 102_Wkst'!$N$7:$N$2010,"P2")+SUMIFS('LAC 102_Wkst'!$AF$7:$AF$2010,'LAC 102_Wkst'!$D$7:$D$2010,$C$7,'LAC 102_Wkst'!$I$7:$I$2010,$C$9,'LAC 102_Wkst'!$E$7:$E$2010,$C24,'LAC 102_Wkst'!$G$7:$G$2010,$D24,'LAC 102_Wkst'!$L$7:$L$2010,"02",'LAC 102_Wkst'!$N$7:$N$2010,"P3")</f>
        <v>303973.08417769702</v>
      </c>
      <c r="H24" s="410">
        <f>SUMIFS('LAC 102_Wkst'!$Q$7:$Q$2010,'LAC 102_Wkst'!$D$7:$D$2010,$C$7,'LAC 102_Wkst'!$I$7:$I$2010,$C$9,'LAC 102_Wkst'!$E$7:$E$2010,$C24,'LAC 102_Wkst'!$G$7:$G$2010,$D24,'LAC 102_Wkst'!$L$7:$L$2010,"01",'LAC 102_Wkst'!$N$7:$N$2010,"P4")+SUMIFS('LAC 102_Wkst'!$Q$7:$Q$2010,'LAC 102_Wkst'!$D$7:$D$2010,$C$7,'LAC 102_Wkst'!$I$7:$I$2010,$C$9,'LAC 102_Wkst'!$E$7:$E$2010,$C24,'LAC 102_Wkst'!$G$7:$G$2010,$D24,'LAC 102_Wkst'!$L$7:$L$2010,"02",'LAC 102_Wkst'!$N$7:$N$2010,"P4")</f>
        <v>0</v>
      </c>
      <c r="I24" s="411">
        <f>SUMIFS('LAC 102_Wkst'!$AF$7:$AF$2010,'LAC 102_Wkst'!$D$7:$D$2010,$C$7,'LAC 102_Wkst'!$I$7:$I$2010,$C$9,'LAC 102_Wkst'!$E$7:$E$2010,$C24,'LAC 102_Wkst'!$G$7:$G$2010,$D24,'LAC 102_Wkst'!$L$7:$L$2010,"01",'LAC 102_Wkst'!$N$7:$N$2010,"P4")+SUMIFS('LAC 102_Wkst'!$AF$7:$AF$2010,'LAC 102_Wkst'!$D$7:$D$2010,$C$7,'LAC 102_Wkst'!$I$7:$I$2010,$C$9,'LAC 102_Wkst'!$E$7:$E$2010,$C24,'LAC 102_Wkst'!$G$7:$G$2010,$D24,'LAC 102_Wkst'!$L$7:$L$2010,"02",'LAC 102_Wkst'!$N$7:$N$2010,"P4")</f>
        <v>0</v>
      </c>
      <c r="J24" s="410">
        <f>SUMIFS('LAC 102_Wkst'!$Q$7:$Q$2010,'LAC 102_Wkst'!$D$7:$D$2010,$C$7,'LAC 102_Wkst'!$I$7:$I$2010,$C$9,'LAC 102_Wkst'!$E$7:$E$2010,$C24,'LAC 102_Wkst'!$G$7:$G$2010,$D24,'LAC 102_Wkst'!$L$7:$L$2010,"01",'LAC 102_Wkst'!$N$7:$N$2010,"P5")+SUMIFS('LAC 102_Wkst'!$Q$7:$Q$2010,'LAC 102_Wkst'!$D$7:$D$2010,$C$7,'LAC 102_Wkst'!$I$7:$I$2010,$C$9,'LAC 102_Wkst'!$E$7:$E$2010,$C24,'LAC 102_Wkst'!$G$7:$G$2010,$D24,'LAC 102_Wkst'!$L$7:$L$2010,"02",'LAC 102_Wkst'!$N$7:$N$2010,"P5")</f>
        <v>0</v>
      </c>
      <c r="K24" s="411">
        <f>SUMIFS('LAC 102_Wkst'!$AF$7:$AF$2010,'LAC 102_Wkst'!$D$7:$D$2010,$C$7,'LAC 102_Wkst'!$I$7:$I$2010,$C$9,'LAC 102_Wkst'!$E$7:$E$2010,$C24,'LAC 102_Wkst'!$G$7:$G$2010,$D24,'LAC 102_Wkst'!$L$7:$L$2010,"01",'LAC 102_Wkst'!$N$7:$N$2010,"P5")+SUMIFS('LAC 102_Wkst'!$AF$7:$AF$2010,'LAC 102_Wkst'!$D$7:$D$2010,$C$7,'LAC 102_Wkst'!$I$7:$I$2010,$C$9,'LAC 102_Wkst'!$E$7:$E$2010,$C24,'LAC 102_Wkst'!$G$7:$G$2010,$D24,'LAC 102_Wkst'!$L$7:$L$2010,"02",'LAC 102_Wkst'!$N$7:$N$2010,"P5")</f>
        <v>0</v>
      </c>
      <c r="L24" s="410">
        <f>SUMIFS('LAC 102_Wkst'!$Q$7:$Q$2010,'LAC 102_Wkst'!$D$7:$D$2010,$C$7,'LAC 102_Wkst'!$I$7:$I$2010,$C$9,'LAC 102_Wkst'!$E$7:$E$2010,$C24,'LAC 102_Wkst'!$G$7:$G$2010,$D24,'LAC 102_Wkst'!$L$7:$L$2010,"03",'LAC 102_Wkst'!$N$7:$N$2010,"P1")+SUMIFS('LAC 102_Wkst'!$Q$7:$Q$2010,'LAC 102_Wkst'!$D$7:$D$2010,$C$7,'LAC 102_Wkst'!$I$7:$I$2010,$C$9,'LAC 102_Wkst'!$E$7:$E$2010,$C24,'LAC 102_Wkst'!$G$7:$G$2010,$D24,'LAC 102_Wkst'!$L$7:$L$2010,"03",'LAC 102_Wkst'!$N$7:$N$2010,"P2")+SUMIFS('LAC 102_Wkst'!$Q$7:$Q$2010,'LAC 102_Wkst'!$D$7:$D$2010,$C$7,'LAC 102_Wkst'!$I$7:$I$2010,$C$9,'LAC 102_Wkst'!$E$7:$E$2010,$C24,'LAC 102_Wkst'!$G$7:$G$2010,$D24,'LAC 102_Wkst'!$L$7:$L$2010,"03",'LAC 102_Wkst'!$N$7:$N$2010,"P3")+SUMIFS('LAC 102_Wkst'!$Q$7:$Q$2010,'LAC 102_Wkst'!$D$7:$D$2010,$C$7,'LAC 102_Wkst'!$I$7:$I$2010,$C$9,'LAC 102_Wkst'!$E$7:$E$2010,$C24,'LAC 102_Wkst'!$G$7:$G$2010,$D24,'LAC 102_Wkst'!$L$7:$L$2010,"04",'LAC 102_Wkst'!$N$7:$N$2010,"P1")+SUMIFS('LAC 102_Wkst'!$Q$7:$Q$2010,'LAC 102_Wkst'!$D$7:$D$2010,$C$7,'LAC 102_Wkst'!$I$7:$I$2010,$C$9,'LAC 102_Wkst'!$E$7:$E$2010,$C24,'LAC 102_Wkst'!$G$7:$G$2010,$D24,'LAC 102_Wkst'!$L$7:$L$2010,"04",'LAC 102_Wkst'!$N$7:$N$2010,"P2")+SUMIFS('LAC 102_Wkst'!$Q$7:$Q$2010,'LAC 102_Wkst'!$D$7:$D$2010,$C$7,'LAC 102_Wkst'!$I$7:$I$2010,$C$9,'LAC 102_Wkst'!$E$7:$E$2010,$C24,'LAC 102_Wkst'!$G$7:$G$2010,$D24,'LAC 102_Wkst'!$L$7:$L$2010,"04",'LAC 102_Wkst'!$N$7:$N$2010,"P3")</f>
        <v>0</v>
      </c>
      <c r="M24" s="411">
        <f>SUMIFS('LAC 102_Wkst'!$AF$7:$AF$2010,'LAC 102_Wkst'!$D$7:$D$2010,$C$7,'LAC 102_Wkst'!$I$7:$I$2010,$C$9,'LAC 102_Wkst'!$E$7:$E$2010,$C24,'LAC 102_Wkst'!$G$7:$G$2010,$D24,'LAC 102_Wkst'!$L$7:$L$2010,"03",'LAC 102_Wkst'!$N$7:$N$2010,"P1")+SUMIFS('LAC 102_Wkst'!$AF$7:$AF$2010,'LAC 102_Wkst'!$D$7:$D$2010,$C$7,'LAC 102_Wkst'!$I$7:$I$2010,$C$9,'LAC 102_Wkst'!$E$7:$E$2010,$C24,'LAC 102_Wkst'!$G$7:$G$2010,$D24,'LAC 102_Wkst'!$L$7:$L$2010,"03",'LAC 102_Wkst'!$N$7:$N$2010,"P2")+SUMIFS('LAC 102_Wkst'!$AF$7:$AF$2010,'LAC 102_Wkst'!$D$7:$D$2010,$C$7,'LAC 102_Wkst'!$I$7:$I$2010,$C$9,'LAC 102_Wkst'!$E$7:$E$2010,$C24,'LAC 102_Wkst'!$G$7:$G$2010,$D24,'LAC 102_Wkst'!$L$7:$L$2010,"03",'LAC 102_Wkst'!$N$7:$N$2010,"P3")+SUMIFS('LAC 102_Wkst'!$AF$7:$AF$2010,'LAC 102_Wkst'!$D$7:$D$2010,$C$7,'LAC 102_Wkst'!$I$7:$I$2010,$C$9,'LAC 102_Wkst'!$E$7:$E$2010,$C24,'LAC 102_Wkst'!$G$7:$G$2010,$D24,'LAC 102_Wkst'!$L$7:$L$2010,"04",'LAC 102_Wkst'!$N$7:$N$2010,"P1")+SUMIFS('LAC 102_Wkst'!$AF$7:$AF$2010,'LAC 102_Wkst'!$D$7:$D$2010,$C$7,'LAC 102_Wkst'!$I$7:$I$2010,$C$9,'LAC 102_Wkst'!$E$7:$E$2010,$C24,'LAC 102_Wkst'!$G$7:$G$2010,$D24,'LAC 102_Wkst'!$L$7:$L$2010,"04",'LAC 102_Wkst'!$N$7:$N$2010,"P2")+SUMIFS('LAC 102_Wkst'!$AF$7:$AF$2010,'LAC 102_Wkst'!$D$7:$D$2010,$C$7,'LAC 102_Wkst'!$I$7:$I$2010,$C$9,'LAC 102_Wkst'!$E$7:$E$2010,$C24,'LAC 102_Wkst'!$G$7:$G$2010,$D24,'LAC 102_Wkst'!$L$7:$L$2010,"04",'LAC 102_Wkst'!$N$7:$N$2010,"P3")</f>
        <v>0</v>
      </c>
      <c r="N24" s="410">
        <f>SUMIFS('LAC 102_Wkst'!$Q$7:$Q$2010,'LAC 102_Wkst'!$D$7:$D$2010,$C$7,'LAC 102_Wkst'!$I$7:$I$2010,$C$9,'LAC 102_Wkst'!$E$7:$E$2010,$C24,'LAC 102_Wkst'!$G$7:$G$2010,$D24,'LAC 102_Wkst'!$L$7:$L$2010,"03",'LAC 102_Wkst'!$N$7:$N$2010,"P4")+SUMIFS('LAC 102_Wkst'!$Q$7:$Q$2010,'LAC 102_Wkst'!$D$7:$D$2010,$C$7,'LAC 102_Wkst'!$I$7:$I$2010,$C$9,'LAC 102_Wkst'!$E$7:$E$2010,$C24,'LAC 102_Wkst'!$G$7:$G$2010,$D24,'LAC 102_Wkst'!$L$7:$L$2010,"04",'LAC 102_Wkst'!$N$7:$N$2010,"P4")</f>
        <v>0</v>
      </c>
      <c r="O24" s="411">
        <f>SUMIFS('LAC 102_Wkst'!$AF$7:$AF$2010,'LAC 102_Wkst'!$D$7:$D$2010,$C$7,'LAC 102_Wkst'!$I$7:$I$2010,$C$9,'LAC 102_Wkst'!$E$7:$E$2010,$C24,'LAC 102_Wkst'!$G$7:$G$2010,$D24,'LAC 102_Wkst'!$L$7:$L$2010,"03",'LAC 102_Wkst'!$N$7:$N$2010,"P4")+SUMIFS('LAC 102_Wkst'!$AF$7:$AF$2010,'LAC 102_Wkst'!$D$7:$D$2010,$C$7,'LAC 102_Wkst'!$I$7:$I$2010,$C$9,'LAC 102_Wkst'!$E$7:$E$2010,$C24,'LAC 102_Wkst'!$G$7:$G$2010,$D24,'LAC 102_Wkst'!$L$7:$L$2010,"04",'LAC 102_Wkst'!$N$7:$N$2010,"P4")</f>
        <v>0</v>
      </c>
      <c r="P24" s="404">
        <f>SUMIFS('LAC 102_Wkst'!$Q$7:$Q$2010,'LAC 102_Wkst'!$D$7:$D$2010,$C$7,'LAC 102_Wkst'!$I$7:$I$2010,$C$9,'LAC 102_Wkst'!$E$7:$E$2010,$C24,'LAC 102_Wkst'!$G$7:$G$2010,$D24,'LAC 102_Wkst'!$L$7:$L$2010,"03",'LAC 102_Wkst'!$N$7:$N$2010,"P5")+SUMIFS('LAC 102_Wkst'!$Q$7:$Q$2010,'LAC 102_Wkst'!$D$7:$D$2010,$C$7,'LAC 102_Wkst'!$I$7:$I$2010,$C$9,'LAC 102_Wkst'!$E$7:$E$2010,$C24,'LAC 102_Wkst'!$G$7:$G$2010,$D24,'LAC 102_Wkst'!$L$7:$L$2010,"04",'LAC 102_Wkst'!$N$7:$N$2010,"P5")</f>
        <v>0</v>
      </c>
      <c r="Q24" s="411">
        <f>SUMIFS('LAC 102_Wkst'!$AF$7:$AF$2010,'LAC 102_Wkst'!$D$7:$D$2010,$C$7,'LAC 102_Wkst'!$I$7:$I$2010,$C$9,'LAC 102_Wkst'!$E$7:$E$2010,$C24,'LAC 102_Wkst'!$G$7:$G$2010,$D24,'LAC 102_Wkst'!$L$7:$L$2010,"03",'LAC 102_Wkst'!$N$7:$N$2010,"P5")+SUMIFS('LAC 102_Wkst'!$AF$7:$AF$2010,'LAC 102_Wkst'!$D$7:$D$2010,$C$7,'LAC 102_Wkst'!$I$7:$I$2010,$C$9,'LAC 102_Wkst'!$E$7:$E$2010,$C24,'LAC 102_Wkst'!$G$7:$G$2010,$D24,'LAC 102_Wkst'!$L$7:$L$2010,"04",'LAC 102_Wkst'!$N$7:$N$2010,"P5")</f>
        <v>0</v>
      </c>
      <c r="R24" s="412">
        <f>SUMIFS('LAC 102_Wkst'!$Q$7:$Q$2010,'LAC 102_Wkst'!$D$7:$D$2010,$C$7,'LAC 102_Wkst'!$I$7:$I$2010,$C$9,'LAC 102_Wkst'!$E$7:$E$2010,$C24,'LAC 102_Wkst'!$G$7:$G$2010,$D24,'LAC 102_Wkst'!$L$7:$L$2010,"05",'LAC 102_Wkst'!$N$7:$N$2010,"P1")+SUMIFS('LAC 102_Wkst'!$Q$7:$Q$2010,'LAC 102_Wkst'!$D$7:$D$2010,$C$7,'LAC 102_Wkst'!$I$7:$I$2010,$C$9,'LAC 102_Wkst'!$E$7:$E$2010,$C24,'LAC 102_Wkst'!$G$7:$G$2010,$D24,'LAC 102_Wkst'!$L$7:$L$2010,"06",'LAC 102_Wkst'!$N$7:$N$2010,"P1")</f>
        <v>0</v>
      </c>
      <c r="S24" s="411">
        <f>SUMIFS('LAC 102_Wkst'!$AF$7:$AF$2010,'LAC 102_Wkst'!$D$7:$D$2010,$C$7,'LAC 102_Wkst'!$I$7:$I$2010,$C$9,'LAC 102_Wkst'!$E$7:$E$2010,$C24,'LAC 102_Wkst'!$G$7:$G$2010,$D24,'LAC 102_Wkst'!$L$7:$L$2010,"05",'LAC 102_Wkst'!$N$7:$N$2010,"P1")+SUMIFS('LAC 102_Wkst'!$AF$7:$AF$2010,'LAC 102_Wkst'!$D$7:$D$2010,$C$7,'LAC 102_Wkst'!$I$7:$I$2010,$C$9,'LAC 102_Wkst'!$E$7:$E$2010,$C24,'LAC 102_Wkst'!$G$7:$G$2010,$D24,'LAC 102_Wkst'!$L$7:$L$2010,"06",'LAC 102_Wkst'!$N$7:$N$2010,"P1")</f>
        <v>0</v>
      </c>
      <c r="T24" s="404">
        <f>SUMIFS('LAC 102_Wkst'!$Q$7:$Q$2010,'LAC 102_Wkst'!$D$7:$D$2010,$C$7,'LAC 102_Wkst'!$I$7:$I$2010,$C$9,'LAC 102_Wkst'!$E$7:$E$2010,$C24,'LAC 102_Wkst'!$G$7:$G$2010,$D24,'LAC 102_Wkst'!$L$7:$L$2010,"05",'LAC 102_Wkst'!$N$7:$N$2010,"P2")+SUMIFS('LAC 102_Wkst'!$Q$7:$Q$2010,'LAC 102_Wkst'!$D$7:$D$2010,$C$7,'LAC 102_Wkst'!$I$7:$I$2010,$C$9,'LAC 102_Wkst'!$E$7:$E$2010,$C24,'LAC 102_Wkst'!$G$7:$G$2010,$D24,'LAC 102_Wkst'!$L$7:$L$2010,"06",'LAC 102_Wkst'!$N$7:$N$2010,"P2")+SUMIFS('LAC 102_Wkst'!$Q$7:$Q$2010,'LAC 102_Wkst'!$D$7:$D$2010,$C$7,'LAC 102_Wkst'!$I$7:$I$2010,$C$9,'LAC 102_Wkst'!$E$7:$E$2010,$C24,'LAC 102_Wkst'!$G$7:$G$2010,$D24,'LAC 102_Wkst'!$L$7:$L$2010,"05",'LAC 102_Wkst'!$N$7:$N$2010,"P3")+SUMIFS('LAC 102_Wkst'!$Q$7:$Q$2010,'LAC 102_Wkst'!$D$7:$D$2010,$C$7,'LAC 102_Wkst'!$I$7:$I$2010,$C$9,'LAC 102_Wkst'!$E$7:$E$2010,$C24,'LAC 102_Wkst'!$G$7:$G$2010,$D24,'LAC 102_Wkst'!$L$7:$L$2010,"06",'LAC 102_Wkst'!$N$7:$N$2010,"P3")</f>
        <v>0</v>
      </c>
      <c r="U24" s="411">
        <f>SUMIFS('LAC 102_Wkst'!$AF$7:$AF$2010,'LAC 102_Wkst'!$D$7:$D$2010,$C$7,'LAC 102_Wkst'!$I$7:$I$2010,$C$9,'LAC 102_Wkst'!$E$7:$E$2010,$C24,'LAC 102_Wkst'!$G$7:$G$2010,$D24,'LAC 102_Wkst'!$L$7:$L$2010,"05",'LAC 102_Wkst'!$N$7:$N$2010,"P2")+SUMIFS('LAC 102_Wkst'!$AF$7:$AF$2010,'LAC 102_Wkst'!$D$7:$D$2010,$C$7,'LAC 102_Wkst'!$I$7:$I$2010,$C$9,'LAC 102_Wkst'!$E$7:$E$2010,$C24,'LAC 102_Wkst'!$G$7:$G$2010,$D24,'LAC 102_Wkst'!$L$7:$L$2010,"06",'LAC 102_Wkst'!$N$7:$N$2010,"P2")+SUMIFS('LAC 102_Wkst'!$AF$7:$AF$2010,'LAC 102_Wkst'!$D$7:$D$2010,$C$7,'LAC 102_Wkst'!$I$7:$I$2010,$C$9,'LAC 102_Wkst'!$E$7:$E$2010,$C24,'LAC 102_Wkst'!$G$7:$G$2010,$D24,'LAC 102_Wkst'!$L$7:$L$2010,"05",'LAC 102_Wkst'!$N$7:$N$2010,"P3")+SUMIFS('LAC 102_Wkst'!$AF$7:$AF$2010,'LAC 102_Wkst'!$D$7:$D$2010,$C$7,'LAC 102_Wkst'!$I$7:$I$2010,$C$9,'LAC 102_Wkst'!$E$7:$E$2010,$C24,'LAC 102_Wkst'!$G$7:$G$2010,$D24,'LAC 102_Wkst'!$L$7:$L$2010,"06",'LAC 102_Wkst'!$N$7:$N$2010,"P3")</f>
        <v>0</v>
      </c>
      <c r="V24" s="410">
        <f>SUMIFS('LAC 102_Wkst'!$Q$7:$Q$2010,'LAC 102_Wkst'!$D$7:$D$2010,$C$7,'LAC 102_Wkst'!$I$7:$I$2010,$C$9,'LAC 102_Wkst'!$E$7:$E$2010,$C24,'LAC 102_Wkst'!$G$7:$G$2010,$D24,'LAC 102_Wkst'!$L$7:$L$2010,"05",'LAC 102_Wkst'!$N$7:$N$2010,"P4")+SUMIFS('LAC 102_Wkst'!$Q$7:$Q$2010,'LAC 102_Wkst'!$D$7:$D$2010,$C$7,'LAC 102_Wkst'!$I$7:$I$2010,$C$9,'LAC 102_Wkst'!$E$7:$E$2010,$C24,'LAC 102_Wkst'!$G$7:$G$2010,$D24,'LAC 102_Wkst'!$L$7:$L$2010,"06",'LAC 102_Wkst'!$N$7:$N$2010,"P4")</f>
        <v>0</v>
      </c>
      <c r="W24" s="411">
        <f>SUMIFS('LAC 102_Wkst'!$AF$7:$AF$2010,'LAC 102_Wkst'!$D$7:$D$2010,$C$7,'LAC 102_Wkst'!$I$7:$I$2010,$C$9,'LAC 102_Wkst'!$E$7:$E$2010,$C24,'LAC 102_Wkst'!$G$7:$G$2010,$D24,'LAC 102_Wkst'!$L$7:$L$2010,"05",'LAC 102_Wkst'!$N$7:$N$2010,"P4")+SUMIFS('LAC 102_Wkst'!$AF$7:$AF$2010,'LAC 102_Wkst'!$D$7:$D$2010,$C$7,'LAC 102_Wkst'!$I$7:$I$2010,$C$9,'LAC 102_Wkst'!$E$7:$E$2010,$C24,'LAC 102_Wkst'!$G$7:$G$2010,$D24,'LAC 102_Wkst'!$L$7:$L$2010,"06",'LAC 102_Wkst'!$N$7:$N$2010,"P4")</f>
        <v>0</v>
      </c>
      <c r="X24" s="404">
        <f>SUMIFS('LAC 102_Wkst'!$Q$7:$Q$2010,'LAC 102_Wkst'!$D$7:$D$2010,$C$7,'LAC 102_Wkst'!$I$7:$I$2010,$C$9,'LAC 102_Wkst'!$E$7:$E$2010,$C24,'LAC 102_Wkst'!$G$7:$G$2010,$D24,'LAC 102_Wkst'!$L$7:$L$2010,"05",'LAC 102_Wkst'!$N$7:$N$2010,"P5")+SUMIFS('LAC 102_Wkst'!$Q$7:$Q$2010,'LAC 102_Wkst'!$D$7:$D$2010,$C$7,'LAC 102_Wkst'!$I$7:$I$2010,$C$9,'LAC 102_Wkst'!$E$7:$E$2010,$C24,'LAC 102_Wkst'!$G$7:$G$2010,$D24,'LAC 102_Wkst'!$L$7:$L$2010,"06",'LAC 102_Wkst'!$N$7:$N$2010,"P5")</f>
        <v>0</v>
      </c>
      <c r="Y24" s="411">
        <f>SUMIFS('LAC 102_Wkst'!$AF$7:$AF$2010,'LAC 102_Wkst'!$D$7:$D$2010,$C$7,'LAC 102_Wkst'!$I$7:$I$2010,$C$9,'LAC 102_Wkst'!$E$7:$E$2010,$C24,'LAC 102_Wkst'!$G$7:$G$2010,$D24,'LAC 102_Wkst'!$L$7:$L$2010,"05",'LAC 102_Wkst'!$N$7:$N$2010,"P5")+SUMIFS('LAC 102_Wkst'!$AF$7:$AF$2010,'LAC 102_Wkst'!$D$7:$D$2010,$C$7,'LAC 102_Wkst'!$I$7:$I$2010,$C$9,'LAC 102_Wkst'!$E$7:$E$2010,$C24,'LAC 102_Wkst'!$G$7:$G$2010,$D24,'LAC 102_Wkst'!$L$7:$L$2010,"06",'LAC 102_Wkst'!$N$7:$N$2010,"P5")</f>
        <v>0</v>
      </c>
      <c r="Z24" s="410">
        <f>SUMIFS('LAC 102_Wkst'!$Q$7:$Q$2010,'LAC 102_Wkst'!$D$7:$D$2010,$C$7,'LAC 102_Wkst'!$I$7:$I$2010,$C$9,'LAC 102_Wkst'!$E$7:$E$2010,$C24,'LAC 102_Wkst'!$G$7:$G$2010,$D24,'LAC 102_Wkst'!$L$7:$L$2010,"07",'LAC 102_Wkst'!$N$7:$N$2010,"P1")+SUMIFS('LAC 102_Wkst'!$Q$7:$Q$2010,'LAC 102_Wkst'!$D$7:$D$2010,$C$7,'LAC 102_Wkst'!$I$7:$I$2010,$C$9,'LAC 102_Wkst'!$E$7:$E$2010,$C24,'LAC 102_Wkst'!$G$7:$G$2010,$D24,'LAC 102_Wkst'!$L$7:$L$2010,"07",'LAC 102_Wkst'!$N$7:$N$2010,"P2")+SUMIFS('LAC 102_Wkst'!$Q$7:$Q$2010,'LAC 102_Wkst'!$D$7:$D$2010,$C$7,'LAC 102_Wkst'!$I$7:$I$2010,$C$9,'LAC 102_Wkst'!$E$7:$E$2010,$C24,'LAC 102_Wkst'!$G$7:$G$2010,$D24,'LAC 102_Wkst'!$L$7:$L$2010,"07",'LAC 102_Wkst'!$N$7:$N$2010,"P3")</f>
        <v>0</v>
      </c>
      <c r="AA24" s="411">
        <f>SUMIFS('LAC 102_Wkst'!$AF$7:$AF$2010,'LAC 102_Wkst'!$D$7:$D$2010,$C$7,'LAC 102_Wkst'!$I$7:$I$2010,$C$9,'LAC 102_Wkst'!$E$7:$E$2010,$C24,'LAC 102_Wkst'!$G$7:$G$2010,$D24,'LAC 102_Wkst'!$L$7:$L$2010,"07",'LAC 102_Wkst'!$N$7:$N$2010,"P1")+SUMIFS('LAC 102_Wkst'!$AF$7:$AF$2010,'LAC 102_Wkst'!$D$7:$D$2010,$C$7,'LAC 102_Wkst'!$I$7:$I$2010,$C$9,'LAC 102_Wkst'!$E$7:$E$2010,$C24,'LAC 102_Wkst'!$G$7:$G$2010,$D24,'LAC 102_Wkst'!$L$7:$L$2010,"07",'LAC 102_Wkst'!$N$7:$N$2010,"P2")+SUMIFS('LAC 102_Wkst'!$AF$7:$AF$2010,'LAC 102_Wkst'!$D$7:$D$2010,$C$7,'LAC 102_Wkst'!$I$7:$I$2010,$C$9,'LAC 102_Wkst'!$E$7:$E$2010,$C24,'LAC 102_Wkst'!$G$7:$G$2010,$D24,'LAC 102_Wkst'!$L$7:$L$2010,"07",'LAC 102_Wkst'!$N$7:$N$2010,"P3")</f>
        <v>0</v>
      </c>
      <c r="AB24" s="410">
        <f>SUMIFS('LAC 102_Wkst'!$Q$7:$Q$2010,'LAC 102_Wkst'!$D$7:$D$2010,$C$7,'LAC 102_Wkst'!$I$7:$I$2010,$C$9,'LAC 102_Wkst'!$E$7:$E$2010,$C24,'LAC 102_Wkst'!$G$7:$G$2010,$D24,'LAC 102_Wkst'!$L$7:$L$2010,"07",'LAC 102_Wkst'!$N$7:$N$2010,"P4")</f>
        <v>0</v>
      </c>
      <c r="AC24" s="411">
        <f>SUMIFS('LAC 102_Wkst'!$AF$7:$AF$2010,'LAC 102_Wkst'!$D$7:$D$2010,$C$7,'LAC 102_Wkst'!$I$7:$I$2010,$C$9,'LAC 102_Wkst'!$E$7:$E$2010,$C24,'LAC 102_Wkst'!$G$7:$G$2010,$D24,'LAC 102_Wkst'!$L$7:$L$2010,"07",'LAC 102_Wkst'!$N$7:$N$2010,"P4")</f>
        <v>0</v>
      </c>
      <c r="AD24" s="404">
        <f>SUMIFS('LAC 102_Wkst'!$Q$7:$Q$2010,'LAC 102_Wkst'!$D$7:$D$2010,$C$7,'LAC 102_Wkst'!$I$7:$I$2010,$C$9,'LAC 102_Wkst'!$E$7:$E$2010,$C24,'LAC 102_Wkst'!$G$7:$G$2010,$D24,'LAC 102_Wkst'!$L$7:$L$2010,"07",'LAC 102_Wkst'!$N$7:$N$2010,"P5")</f>
        <v>0</v>
      </c>
      <c r="AE24" s="411">
        <f>SUMIFS('LAC 102_Wkst'!$AF$7:$AF$2010,'LAC 102_Wkst'!$D$7:$D$2010,$C$7,'LAC 102_Wkst'!$I$7:$I$2010,$C$9,'LAC 102_Wkst'!$E$7:$E$2010,$C24,'LAC 102_Wkst'!$G$7:$G$2010,$D24,'LAC 102_Wkst'!$L$7:$L$2010,"07",'LAC 102_Wkst'!$N$7:$N$2010,"P5")</f>
        <v>0</v>
      </c>
      <c r="AF24" s="410">
        <f>SUMIFS('LAC 102_Wkst'!$Q$7:$Q$2010,'LAC 102_Wkst'!$D$7:$D$2010,$C$7,'LAC 102_Wkst'!$I$7:$I$2010,$C$9,'LAC 102_Wkst'!$E$7:$E$2010,$C24,'LAC 102_Wkst'!$G$7:$G$2010,$D24,'LAC 102_Wkst'!$L$7:$L$2010,"08",'LAC 102_Wkst'!$N$7:$N$2010,"P1")+SUMIFS('LAC 102_Wkst'!$Q$7:$Q$2010,'LAC 102_Wkst'!$D$7:$D$2010,$C$7,'LAC 102_Wkst'!$I$7:$I$2010,$C$9,'LAC 102_Wkst'!$E$7:$E$2010,$C24,'LAC 102_Wkst'!$G$7:$G$2010,$D24,'LAC 102_Wkst'!$L$7:$L$2010,"08",'LAC 102_Wkst'!$N$7:$N$2010,"P2")+SUMIFS('LAC 102_Wkst'!$Q$7:$Q$2010,'LAC 102_Wkst'!$D$7:$D$2010,$C$7,'LAC 102_Wkst'!$I$7:$I$2010,$C$9,'LAC 102_Wkst'!$E$7:$E$2010,$C24,'LAC 102_Wkst'!$G$7:$G$2010,$D24,'LAC 102_Wkst'!$L$7:$L$2010,"08",'LAC 102_Wkst'!$N$7:$N$2010,"P3")</f>
        <v>0</v>
      </c>
      <c r="AG24" s="411">
        <f>SUMIFS('LAC 102_Wkst'!$AF$7:$AF$2010,'LAC 102_Wkst'!$D$7:$D$2010,$C$7,'LAC 102_Wkst'!$I$7:$I$2010,$C$9,'LAC 102_Wkst'!$E$7:$E$2010,$C24,'LAC 102_Wkst'!$G$7:$G$2010,$D24,'LAC 102_Wkst'!$L$7:$L$2010,"08",'LAC 102_Wkst'!$N$7:$N$2010,"P1")+SUMIFS('LAC 102_Wkst'!$AF$7:$AF$2010,'LAC 102_Wkst'!$D$7:$D$2010,$C$7,'LAC 102_Wkst'!$I$7:$I$2010,$C$9,'LAC 102_Wkst'!$E$7:$E$2010,$C24,'LAC 102_Wkst'!$G$7:$G$2010,$D24,'LAC 102_Wkst'!$L$7:$L$2010,"08",'LAC 102_Wkst'!$N$7:$N$2010,"P2")+SUMIFS('LAC 102_Wkst'!$AF$7:$AF$2010,'LAC 102_Wkst'!$D$7:$D$2010,$C$7,'LAC 102_Wkst'!$I$7:$I$2010,$C$9,'LAC 102_Wkst'!$E$7:$E$2010,$C24,'LAC 102_Wkst'!$G$7:$G$2010,$D24,'LAC 102_Wkst'!$L$7:$L$2010,"08",'LAC 102_Wkst'!$N$7:$N$2010,"P3")</f>
        <v>0</v>
      </c>
      <c r="AH24" s="410">
        <f>SUMIFS('LAC 102_Wkst'!$Q$7:$Q$2010,'LAC 102_Wkst'!$D$7:$D$2010,$C$7,'LAC 102_Wkst'!$I$7:$I$2010,$C$9,'LAC 102_Wkst'!$E$7:$E$2010,$C24,'LAC 102_Wkst'!$G$7:$G$2010,$D24,'LAC 102_Wkst'!$L$7:$L$2010,"08",'LAC 102_Wkst'!$N$7:$N$2010,"P4")</f>
        <v>0</v>
      </c>
      <c r="AI24" s="411">
        <f>SUMIFS('LAC 102_Wkst'!$AF$7:$AF$2010,'LAC 102_Wkst'!$D$7:$D$2010,$C$7,'LAC 102_Wkst'!$I$7:$I$2010,$C$9,'LAC 102_Wkst'!$E$7:$E$2010,$C24,'LAC 102_Wkst'!$G$7:$G$2010,$D24,'LAC 102_Wkst'!$L$7:$L$2010,"08",'LAC 102_Wkst'!$N$7:$N$2010,"P4")</f>
        <v>0</v>
      </c>
      <c r="AJ24" s="404">
        <f>SUMIFS('LAC 102_Wkst'!$Q$7:$Q$2010,'LAC 102_Wkst'!$D$7:$D$2010,$C$7,'LAC 102_Wkst'!$I$7:$I$2010,$C$9,'LAC 102_Wkst'!$E$7:$E$2010,$C24,'LAC 102_Wkst'!$G$7:$G$2010,$D24,'LAC 102_Wkst'!$L$7:$L$2010,"08",'LAC 102_Wkst'!$N$7:$N$2010,"P5")</f>
        <v>0</v>
      </c>
      <c r="AK24" s="411">
        <f>SUMIFS('LAC 102_Wkst'!$AF$7:$AF$2010,'LAC 102_Wkst'!$D$7:$D$2010,$C$7,'LAC 102_Wkst'!$I$7:$I$2010,$C$9,'LAC 102_Wkst'!$E$7:$E$2010,$C24,'LAC 102_Wkst'!$G$7:$G$2010,$D24,'LAC 102_Wkst'!$L$7:$L$2010,"08",'LAC 102_Wkst'!$N$7:$N$2010,"P5")</f>
        <v>0</v>
      </c>
      <c r="AL24" s="410">
        <f>SUMIFS('LAC 102_Wkst'!$Q$7:$Q$2010,'LAC 102_Wkst'!$D$7:$D$2010,$C$7,'LAC 102_Wkst'!$I$7:$I$2010,$C$9,'LAC 102_Wkst'!$E$7:$E$2010,$C24,'LAC 102_Wkst'!$G$7:$G$2010,$D24,'LAC 102_Wkst'!$L$7:$L$2010,"09",'LAC 102_Wkst'!$N$7:$N$2010,"P1")+SUMIFS('LAC 102_Wkst'!$Q$7:$Q$2010,'LAC 102_Wkst'!$D$7:$D$2010,$C$7,'LAC 102_Wkst'!$I$7:$I$2010,$C$9,'LAC 102_Wkst'!$E$7:$E$2010,$C24,'LAC 102_Wkst'!$G$7:$G$2010,$D24,'LAC 102_Wkst'!$L$7:$L$2010,"09",'LAC 102_Wkst'!$N$7:$N$2010,"P2")+SUMIFS('LAC 102_Wkst'!$Q$7:$Q$2010,'LAC 102_Wkst'!$D$7:$D$2010,$C$7,'LAC 102_Wkst'!$I$7:$I$2010,$C$9,'LAC 102_Wkst'!$E$7:$E$2010,$C24,'LAC 102_Wkst'!$G$7:$G$2010,$D24,'LAC 102_Wkst'!$L$7:$L$2010,"09",'LAC 102_Wkst'!$N$7:$N$2010,"P3")+SUMIFS('LAC 102_Wkst'!$Q$7:$Q$2010,'LAC 102_Wkst'!$D$7:$D$2010,$C$7,'LAC 102_Wkst'!$I$7:$I$2010,$C$9,'LAC 102_Wkst'!$E$7:$E$2010,$C24,'LAC 102_Wkst'!$G$7:$G$2010,$D24,'LAC 102_Wkst'!$L$7:$L$2010,"09",'LAC 102_Wkst'!$N$7:$N$2010,"P4")</f>
        <v>0</v>
      </c>
      <c r="AM24" s="411">
        <f>SUMIFS('LAC 102_Wkst'!$AF$7:$AF$2010,'LAC 102_Wkst'!$D$7:$D$2010,$C$7,'LAC 102_Wkst'!$I$7:$I$2010,$C$9,'LAC 102_Wkst'!$E$7:$E$2010,$C24,'LAC 102_Wkst'!$G$7:$G$2010,$D24,'LAC 102_Wkst'!$L$7:$L$2010,"09",'LAC 102_Wkst'!$N$7:$N$2010,"P1")+SUMIFS('LAC 102_Wkst'!$AF$7:$AF$2010,'LAC 102_Wkst'!$D$7:$D$2010,$C$7,'LAC 102_Wkst'!$I$7:$I$2010,$C$9,'LAC 102_Wkst'!$E$7:$E$2010,$C24,'LAC 102_Wkst'!$G$7:$G$2010,$D24,'LAC 102_Wkst'!$L$7:$L$2010,"09",'LAC 102_Wkst'!$N$7:$N$2010,"P2")+SUMIFS('LAC 102_Wkst'!$AF$7:$AF$2010,'LAC 102_Wkst'!$D$7:$D$2010,$C$7,'LAC 102_Wkst'!$I$7:$I$2010,$C$9,'LAC 102_Wkst'!$E$7:$E$2010,$C24,'LAC 102_Wkst'!$G$7:$G$2010,$D24,'LAC 102_Wkst'!$L$7:$L$2010,"09",'LAC 102_Wkst'!$N$7:$N$2010,"P3")+SUMIFS('LAC 102_Wkst'!$AF$7:$AF$2010,'LAC 102_Wkst'!$D$7:$D$2010,$C$7,'LAC 102_Wkst'!$I$7:$I$2010,$C$9,'LAC 102_Wkst'!$E$7:$E$2010,$C24,'LAC 102_Wkst'!$G$7:$G$2010,$D24,'LAC 102_Wkst'!$L$7:$L$2010,"09",'LAC 102_Wkst'!$N$7:$N$2010,"P4")</f>
        <v>0</v>
      </c>
      <c r="AN24" s="410">
        <f>SUMIFS('LAC 102_Wkst'!$Q$7:$Q$2010,'LAC 102_Wkst'!$D$7:$D$2010,$C$7,'LAC 102_Wkst'!$I$7:$I$2010,$C$9,'LAC 102_Wkst'!$E$7:$E$2010,$C24,'LAC 102_Wkst'!$G$7:$G$2010,$D24,'LAC 102_Wkst'!$L$7:$L$2010,"09",'LAC 102_Wkst'!$N$7:$N$2010,"P5")</f>
        <v>0</v>
      </c>
      <c r="AO24" s="411">
        <f>SUMIFS('LAC 102_Wkst'!$AF$7:$AF$2010,'LAC 102_Wkst'!$D$7:$D$2010,$C$7,'LAC 102_Wkst'!$I$7:$I$2010,$C$9,'LAC 102_Wkst'!$E$7:$E$2010,$C24,'LAC 102_Wkst'!$G$7:$G$2010,$D24,'LAC 102_Wkst'!$L$7:$L$2010,"09",'LAC 102_Wkst'!$N$7:$N$2010,"P5")</f>
        <v>0</v>
      </c>
      <c r="AP24" s="404">
        <f>SUMIFS('LAC 102_Wkst'!$Q$7:$Q$2010,'LAC 102_Wkst'!$D$7:$D$2010,$C$7,'LAC 102_Wkst'!$I$7:$I$2010,$C$9,'LAC 102_Wkst'!$E$7:$E$2010,$C24,'LAC 102_Wkst'!$G$7:$G$2010,$D24,'LAC 102_Wkst'!$L$7:$L$2010,"10",'LAC 102_Wkst'!$N$7:$N$2010,"P1")+SUMIFS('LAC 102_Wkst'!$Q$7:$Q$2010,'LAC 102_Wkst'!$D$7:$D$2010,$C$7,'LAC 102_Wkst'!$I$7:$I$2010,$C$9,'LAC 102_Wkst'!$E$7:$E$2010,$C24,'LAC 102_Wkst'!$G$7:$G$2010,$D24,'LAC 102_Wkst'!$L$7:$L$2010,"10",'LAC 102_Wkst'!$N$7:$N$2010,"P2")+SUMIFS('LAC 102_Wkst'!$Q$7:$Q$2010,'LAC 102_Wkst'!$D$7:$D$2010,$C$7,'LAC 102_Wkst'!$I$7:$I$2010,$C$9,'LAC 102_Wkst'!$E$7:$E$2010,$C24,'LAC 102_Wkst'!$G$7:$G$2010,$D24,'LAC 102_Wkst'!$L$7:$L$2010,"10",'LAC 102_Wkst'!$N$7:$N$2010,"P3")+SUMIFS('LAC 102_Wkst'!$Q$7:$Q$2010,'LAC 102_Wkst'!$D$7:$D$2010,$C$7,'LAC 102_Wkst'!$I$7:$I$2010,$C$9,'LAC 102_Wkst'!$E$7:$E$2010,$C24,'LAC 102_Wkst'!$G$7:$G$2010,$D24,'LAC 102_Wkst'!$L$7:$L$2010,"10",'LAC 102_Wkst'!$N$7:$N$2010,"P4")</f>
        <v>13726</v>
      </c>
      <c r="AQ24" s="411">
        <f>SUMIFS('LAC 102_Wkst'!$AF$7:$AF$2010,'LAC 102_Wkst'!$D$7:$D$2010,$C$7,'LAC 102_Wkst'!$I$7:$I$2010,$C$9,'LAC 102_Wkst'!$E$7:$E$2010,$C24,'LAC 102_Wkst'!$G$7:$G$2010,$D24,'LAC 102_Wkst'!$L$7:$L$2010,"10",'LAC 102_Wkst'!$N$7:$N$2010,"P1")+SUMIFS('LAC 102_Wkst'!$AF$7:$AF$2010,'LAC 102_Wkst'!$D$7:$D$2010,$C$7,'LAC 102_Wkst'!$I$7:$I$2010,$C$9,'LAC 102_Wkst'!$E$7:$E$2010,$C24,'LAC 102_Wkst'!$G$7:$G$2010,$D24,'LAC 102_Wkst'!$L$7:$L$2010,"10",'LAC 102_Wkst'!$N$7:$N$2010,"P2")+SUMIFS('LAC 102_Wkst'!$AF$7:$AF$2010,'LAC 102_Wkst'!$D$7:$D$2010,$C$7,'LAC 102_Wkst'!$I$7:$I$2010,$C$9,'LAC 102_Wkst'!$E$7:$E$2010,$C24,'LAC 102_Wkst'!$G$7:$G$2010,$D24,'LAC 102_Wkst'!$L$7:$L$2010,"10",'LAC 102_Wkst'!$N$7:$N$2010,"P3")+SUMIFS('LAC 102_Wkst'!$AF$7:$AF$2010,'LAC 102_Wkst'!$D$7:$D$2010,$C$7,'LAC 102_Wkst'!$I$7:$I$2010,$C$9,'LAC 102_Wkst'!$E$7:$E$2010,$C24,'LAC 102_Wkst'!$G$7:$G$2010,$D24,'LAC 102_Wkst'!$L$7:$L$2010,"10",'LAC 102_Wkst'!$N$7:$N$2010,"P4")</f>
        <v>34083.802125762326</v>
      </c>
      <c r="AR24" s="410">
        <f>SUMIFS('LAC 102_Wkst'!$Q$7:$Q$2010,'LAC 102_Wkst'!$D$7:$D$2010,$C$7,'LAC 102_Wkst'!$I$7:$I$2010,$C$9,'LAC 102_Wkst'!$E$7:$E$2010,$C24,'LAC 102_Wkst'!$G$7:$G$2010,$D24,'LAC 102_Wkst'!$L$7:$L$2010,"10",'LAC 102_Wkst'!$N$7:$N$2010,"P5")</f>
        <v>0</v>
      </c>
      <c r="AS24" s="411">
        <f>SUMIFS('LAC 102_Wkst'!$AF$7:$AF$2010,'LAC 102_Wkst'!$D$7:$D$2010,$C$7,'LAC 102_Wkst'!$I$7:$I$2010,$C$9,'LAC 102_Wkst'!$E$7:$E$2010,$C24,'LAC 102_Wkst'!$G$7:$G$2010,$D24,'LAC 102_Wkst'!$L$7:$L$2010,"10",'LAC 102_Wkst'!$N$7:$N$2010,"P5")</f>
        <v>0</v>
      </c>
      <c r="AT24" s="410">
        <f>SUMIFS('LAC 102_Wkst'!$Q$7:$Q$2010,'LAC 102_Wkst'!$D$7:$D$2010,$C$7,'LAC 102_Wkst'!$I$7:$I$2010,$C$9,'LAC 102_Wkst'!$E$7:$E$2010,$C24,'LAC 102_Wkst'!$G$7:$G$2010,$D24,'LAC 102_Wkst'!$L$7:$L$2010,"11",'LAC 102_Wkst'!$N$7:$N$2010,"P1")+SUMIFS('LAC 102_Wkst'!$Q$7:$Q$2010,'LAC 102_Wkst'!$D$7:$D$2010,$C$7,'LAC 102_Wkst'!$I$7:$I$2010,$C$9,'LAC 102_Wkst'!$E$7:$E$2010,$C24,'LAC 102_Wkst'!$G$7:$G$2010,$D24,'LAC 102_Wkst'!$L$7:$L$2010,"12",'LAC 102_Wkst'!$N$7:$N$2010,"P1")</f>
        <v>0</v>
      </c>
      <c r="AU24" s="411">
        <f>SUMIFS('LAC 102_Wkst'!$Q$7:$Q$2010,'LAC 102_Wkst'!$D$7:$D$2010,$C$7,'LAC 102_Wkst'!$I$7:$I$2010,$C$9,'LAC 102_Wkst'!$E$7:$E$2010,$C24,'LAC 102_Wkst'!$G$7:$G$2010,$D24,'LAC 102_Wkst'!$L$7:$L$2010,"13",'LAC 102_Wkst'!$N$7:$N$2010,"P5")</f>
        <v>0</v>
      </c>
      <c r="AV24" s="404">
        <f>SUMIFS('LAC 102_Wkst'!$Q$7:$Q$2010,'LAC 102_Wkst'!$D$7:$D$2010,$C$7,'LAC 102_Wkst'!$I$7:$I$2010,$C$9,'LAC 102_Wkst'!$E$7:$E$2010,$C24,'LAC 102_Wkst'!$G$7:$G$2010,$D24,'LAC 102_Wkst'!$L$7:$L$2010,"11",'LAC 102_Wkst'!$N$7:$N$2010,"P2")+SUMIFS('LAC 102_Wkst'!$Q$7:$Q$2010,'LAC 102_Wkst'!$D$7:$D$2010,$C$7,'LAC 102_Wkst'!$I$7:$I$2010,$C$9,'LAC 102_Wkst'!$E$7:$E$2010,$C24,'LAC 102_Wkst'!$G$7:$G$2010,$D24,'LAC 102_Wkst'!$L$7:$L$2010,"12",'LAC 102_Wkst'!$N$7:$N$2010,"P2")+SUMIFS('LAC 102_Wkst'!$Q$7:$Q$2010,'LAC 102_Wkst'!$D$7:$D$2010,$C$7,'LAC 102_Wkst'!$I$7:$I$2010,$C$9,'LAC 102_Wkst'!$E$7:$E$2010,$C24,'LAC 102_Wkst'!$G$7:$G$2010,$D24,'LAC 102_Wkst'!$L$7:$L$2010,"11",'LAC 102_Wkst'!$N$7:$N$2010,"P3")+SUMIFS('LAC 102_Wkst'!$Q$7:$Q$2010,'LAC 102_Wkst'!$D$7:$D$2010,$C$7,'LAC 102_Wkst'!$I$7:$I$2010,$C$9,'LAC 102_Wkst'!$E$7:$E$2010,$C24,'LAC 102_Wkst'!$G$7:$G$2010,$D24,'LAC 102_Wkst'!$L$7:$L$2010,"12",'LAC 102_Wkst'!$N$7:$N$2010,"P3")</f>
        <v>0</v>
      </c>
      <c r="AW24" s="411">
        <f>SUMIFS('LAC 102_Wkst'!$AF$7:$AF$2010,'LAC 102_Wkst'!$D$7:$D$2010,$C$7,'LAC 102_Wkst'!$I$7:$I$2010,$C$9,'LAC 102_Wkst'!$E$7:$E$2010,$C24,'LAC 102_Wkst'!$G$7:$G$2010,$D24,'LAC 102_Wkst'!$L$7:$L$2010,"11",'LAC 102_Wkst'!$N$7:$N$2010,"P2")+SUMIFS('LAC 102_Wkst'!$AF$7:$AF$2010,'LAC 102_Wkst'!$D$7:$D$2010,$C$7,'LAC 102_Wkst'!$I$7:$I$2010,$C$9,'LAC 102_Wkst'!$E$7:$E$2010,$C24,'LAC 102_Wkst'!$G$7:$G$2010,$D24,'LAC 102_Wkst'!$L$7:$L$2010,"12",'LAC 102_Wkst'!$N$7:$N$2010,"P2")+SUMIFS('LAC 102_Wkst'!$AF$7:$AF$2010,'LAC 102_Wkst'!$D$7:$D$2010,$C$7,'LAC 102_Wkst'!$I$7:$I$2010,$C$9,'LAC 102_Wkst'!$E$7:$E$2010,$C24,'LAC 102_Wkst'!$G$7:$G$2010,$D24,'LAC 102_Wkst'!$L$7:$L$2010,"11",'LAC 102_Wkst'!$N$7:$N$2010,"P3")+SUMIFS('LAC 102_Wkst'!$AF$7:$AF$2010,'LAC 102_Wkst'!$D$7:$D$2010,$C$7,'LAC 102_Wkst'!$I$7:$I$2010,$C$9,'LAC 102_Wkst'!$E$7:$E$2010,$C24,'LAC 102_Wkst'!$G$7:$G$2010,$D24,'LAC 102_Wkst'!$L$7:$L$2010,"12",'LAC 102_Wkst'!$N$7:$N$2010,"P3")</f>
        <v>0</v>
      </c>
      <c r="AX24" s="410">
        <f>SUMIFS('LAC 102_Wkst'!$Q$7:$Q$2010,'LAC 102_Wkst'!$D$7:$D$2010,$C$7,'LAC 102_Wkst'!$I$7:$I$2010,$C$9,'LAC 102_Wkst'!$E$7:$E$2010,$C24,'LAC 102_Wkst'!$G$7:$G$2010,$D24,'LAC 102_Wkst'!$L$7:$L$2010,"11",'LAC 102_Wkst'!$N$7:$N$2010,"P4")+SUMIFS('LAC 102_Wkst'!$Q$7:$Q$2010,'LAC 102_Wkst'!$D$7:$D$2010,$C$7,'LAC 102_Wkst'!$I$7:$I$2010,$C$9,'LAC 102_Wkst'!$E$7:$E$2010,$C24,'LAC 102_Wkst'!$G$7:$G$2010,$D24,'LAC 102_Wkst'!$L$7:$L$2010,"12",'LAC 102_Wkst'!$N$7:$N$2010,"P4")</f>
        <v>0</v>
      </c>
      <c r="AY24" s="411">
        <f>SUMIFS('LAC 102_Wkst'!$AF$7:$AF$2010,'LAC 102_Wkst'!$D$7:$D$2010,$C$7,'LAC 102_Wkst'!$I$7:$I$2010,$C$9,'LAC 102_Wkst'!$E$7:$E$2010,$C24,'LAC 102_Wkst'!$G$7:$G$2010,$D24,'LAC 102_Wkst'!$L$7:$L$2010,"11",'LAC 102_Wkst'!$N$7:$N$2010,"P4")+SUMIFS('LAC 102_Wkst'!$AF$7:$AF$2010,'LAC 102_Wkst'!$D$7:$D$2010,$C$7,'LAC 102_Wkst'!$I$7:$I$2010,$C$9,'LAC 102_Wkst'!$E$7:$E$2010,$C24,'LAC 102_Wkst'!$G$7:$G$2010,$D24,'LAC 102_Wkst'!$L$7:$L$2010,"12",'LAC 102_Wkst'!$N$7:$N$2010,"P4")</f>
        <v>0</v>
      </c>
      <c r="AZ24" s="404">
        <f>SUMIFS('LAC 102_Wkst'!$Q$7:$Q$2010,'LAC 102_Wkst'!$D$7:$D$2010,$C$7,'LAC 102_Wkst'!$I$7:$I$2010,$C$9,'LAC 102_Wkst'!$E$7:$E$2010,$C24,'LAC 102_Wkst'!$G$7:$G$2010,$D24,'LAC 102_Wkst'!$L$7:$L$2010,"11",'LAC 102_Wkst'!$N$7:$N$2010,"P5")+SUMIFS('LAC 102_Wkst'!$Q$7:$Q$2010,'LAC 102_Wkst'!$D$7:$D$2010,$C$7,'LAC 102_Wkst'!$I$7:$I$2010,$C$9,'LAC 102_Wkst'!$E$7:$E$2010,$C24,'LAC 102_Wkst'!$G$7:$G$2010,$D24,'LAC 102_Wkst'!$L$7:$L$2010,"12",'LAC 102_Wkst'!$N$7:$N$2010,"P5")</f>
        <v>0</v>
      </c>
      <c r="BA24" s="411">
        <f>SUMIFS('LAC 102_Wkst'!$AF$7:$AF$2010,'LAC 102_Wkst'!$D$7:$D$2010,$C$7,'LAC 102_Wkst'!$I$7:$I$2010,$C$9,'LAC 102_Wkst'!$E$7:$E$2010,$C24,'LAC 102_Wkst'!$G$7:$G$2010,$D24,'LAC 102_Wkst'!$L$7:$L$2010,"11",'LAC 102_Wkst'!$N$7:$N$2010,"P5")+SUMIFS('LAC 102_Wkst'!$AF$7:$AF$2010,'LAC 102_Wkst'!$D$7:$D$2010,$C$7,'LAC 102_Wkst'!$I$7:$I$2010,$C$9,'LAC 102_Wkst'!$E$7:$E$2010,$C24,'LAC 102_Wkst'!$G$7:$G$2010,$D24,'LAC 102_Wkst'!$L$7:$L$2010,"12",'LAC 102_Wkst'!$N$7:$N$2010,"P5")</f>
        <v>0</v>
      </c>
      <c r="BB24" s="410">
        <f>SUMIFS('LAC 102_Wkst'!$Q$7:$Q$2010,'LAC 102_Wkst'!$D$7:$D$2010,$C$7,'LAC 102_Wkst'!$I$7:$I$2010,$C$9,'LAC 102_Wkst'!$E$7:$E$2010,$C24,'LAC 102_Wkst'!$G$7:$G$2010,$D24,'LAC 102_Wkst'!$L$7:$L$2010,"13",'LAC 102_Wkst'!$N$7:$N$2010,"P1")+SUMIFS('LAC 102_Wkst'!$Q$7:$Q$2010,'LAC 102_Wkst'!$D$7:$D$2010,$C$7,'LAC 102_Wkst'!$I$7:$I$2010,$C$9,'LAC 102_Wkst'!$E$7:$E$2010,$C24,'LAC 102_Wkst'!$G$7:$G$2010,$D24,'LAC 102_Wkst'!$L$7:$L$2010,"13",'LAC 102_Wkst'!$N$7:$N$2010,"P2")+SUMIFS('LAC 102_Wkst'!$Q$7:$Q$2010,'LAC 102_Wkst'!$D$7:$D$2010,$C$7,'LAC 102_Wkst'!$I$7:$I$2010,$C$9,'LAC 102_Wkst'!$E$7:$E$2010,$C24,'LAC 102_Wkst'!$G$7:$G$2010,$D24,'LAC 102_Wkst'!$L$7:$L$2010,"13",'LAC 102_Wkst'!$N$7:$N$2010,"P3")+SUMIFS('LAC 102_Wkst'!$Q$7:$Q$2010,'LAC 102_Wkst'!$D$7:$D$2010,$C$7,'LAC 102_Wkst'!$I$7:$I$2010,$C$9,'LAC 102_Wkst'!$E$7:$E$2010,$C24,'LAC 102_Wkst'!$G$7:$G$2010,$D24,'LAC 102_Wkst'!$L$7:$L$2010,"13",'LAC 102_Wkst'!$N$7:$N$2010,"P4")</f>
        <v>4797</v>
      </c>
      <c r="BC24" s="411">
        <f>SUMIFS('LAC 102_Wkst'!$AF$7:$AF$2010,'LAC 102_Wkst'!$D$7:$D$2010,$C$7,'LAC 102_Wkst'!$I$7:$I$2010,$C$9,'LAC 102_Wkst'!$E$7:$E$2010,$C24,'LAC 102_Wkst'!$G$7:$G$2010,$D24,'LAC 102_Wkst'!$L$7:$L$2010,"13",'LAC 102_Wkst'!$N$7:$N$2010,"P1")+SUMIFS('LAC 102_Wkst'!$AF$7:$AF$2010,'LAC 102_Wkst'!$D$7:$D$2010,$C$7,'LAC 102_Wkst'!$I$7:$I$2010,$C$9,'LAC 102_Wkst'!$E$7:$E$2010,$C24,'LAC 102_Wkst'!$G$7:$G$2010,$D24,'LAC 102_Wkst'!$L$7:$L$2010,"13",'LAC 102_Wkst'!$N$7:$N$2010,"P2")+SUMIFS('LAC 102_Wkst'!$AF$7:$AF$2010,'LAC 102_Wkst'!$D$7:$D$2010,$C$7,'LAC 102_Wkst'!$I$7:$I$2010,$C$9,'LAC 102_Wkst'!$E$7:$E$2010,$C24,'LAC 102_Wkst'!$G$7:$G$2010,$D24,'LAC 102_Wkst'!$L$7:$L$2010,"13",'LAC 102_Wkst'!$N$7:$N$2010,"P3")+SUMIFS('LAC 102_Wkst'!$AF$7:$AF$2010,'LAC 102_Wkst'!$D$7:$D$2010,$C$7,'LAC 102_Wkst'!$I$7:$I$2010,$C$9,'LAC 102_Wkst'!$E$7:$E$2010,$C24,'LAC 102_Wkst'!$G$7:$G$2010,$D24,'LAC 102_Wkst'!$L$7:$L$2010,"13",'LAC 102_Wkst'!$N$7:$N$2010,"P4")</f>
        <v>11911.70033493238</v>
      </c>
      <c r="BD24" s="404">
        <f>SUMIFS('LAC 102_Wkst'!$Q$7:$Q$2010,'LAC 102_Wkst'!$D$7:$D$2010,$C$7,'LAC 102_Wkst'!$I$7:$I$2010,$C$9,'LAC 102_Wkst'!$E$7:$E$2010,$C24,'LAC 102_Wkst'!$G$7:$G$2010,$D24,'LAC 102_Wkst'!$L$7:$L$2010,"13",'LAC 102_Wkst'!$N$7:$N$2010,"P5")</f>
        <v>0</v>
      </c>
      <c r="BE24" s="411">
        <f>SUMIFS('LAC 102_Wkst'!$AF$7:$AF$2010,'LAC 102_Wkst'!$D$7:$D$2010,$C$7,'LAC 102_Wkst'!$I$7:$I$2010,$C$9,'LAC 102_Wkst'!$E$7:$E$2010,$C24,'LAC 102_Wkst'!$G$7:$G$2010,$D24,'LAC 102_Wkst'!$L$7:$L$2010,"13",'LAC 102_Wkst'!$N$7:$N$2010,"P5")</f>
        <v>0</v>
      </c>
      <c r="BF24" s="407">
        <f t="shared" ref="BF24:BF87" si="4">E24-F24-H24-J24-L24-N24-P24-R24-T24-V24-X24-Z24-AB24-AD24-AF24-AH24-AJ24-AL24-AN24-AP24-AR24-AV24-AX24-AZ24-BB24-BD24</f>
        <v>445</v>
      </c>
      <c r="BG24" s="1654">
        <f>SUMIFS('LAC 102_Wkst'!$AF$7:$AF$2010,'LAC 102_Wkst'!$D$7:$D$2010,$C$7,'LAC 102_Wkst'!$I$7:$I$2010,$C$9,'LAC 102_Wkst'!$E$7:$E$2010,$C24,'LAC 102_Wkst'!$G$7:$G$2010,$D24,'LAC 102_Wkst'!$L$7:$L$2010,"14")</f>
        <v>1105.0045130383385</v>
      </c>
    </row>
    <row r="25" spans="1:59" x14ac:dyDescent="0.2">
      <c r="A25" s="401">
        <v>3</v>
      </c>
      <c r="B25" s="1678" t="str">
        <f>IF(Schedule_B!B$22="","",Schedule_B!B$22)</f>
        <v>CR</v>
      </c>
      <c r="C25" s="1674" t="str">
        <f>IF(Schedule_B!C$22=""," ",Schedule_B!C$22)</f>
        <v>15</v>
      </c>
      <c r="D25" s="1675" t="str">
        <f>IF(Schedule_B!D$22=""," ",Schedule_B!D$22)</f>
        <v>05</v>
      </c>
      <c r="E25" s="1221">
        <f>SUMIFS('LAC 102_Wkst'!$Q$7:$Q$2010,'LAC 102_Wkst'!$D$7:$D$2010,$C$7,'LAC 102_Wkst'!$I$7:$I$2010,$C$9,'LAC 102_Wkst'!$E$7:$E$2010,$C25,'LAC 102_Wkst'!$G$7:$G$2010,$D25)</f>
        <v>9901</v>
      </c>
      <c r="F25" s="408">
        <f>SUMIFS('LAC 102_Wkst'!$Q$7:$Q$2010,'LAC 102_Wkst'!$D$7:$D$2010,$C$7,'LAC 102_Wkst'!$I$7:$I$2010,$C$9,'LAC 102_Wkst'!$E$7:$E$2010,$C25,'LAC 102_Wkst'!$G$7:$G$2010,$D25,'LAC 102_Wkst'!$L$7:$L$2010,"01",'LAC 102_Wkst'!$N$7:$N$2010,"P1")+SUMIFS('LAC 102_Wkst'!$Q$7:$Q$2010,'LAC 102_Wkst'!$D$7:$D$2010,$C$7,'LAC 102_Wkst'!$I$7:$I$2010,$C$9,'LAC 102_Wkst'!$E$7:$E$2010,$C25,'LAC 102_Wkst'!$G$7:$G$2010,$D25,'LAC 102_Wkst'!$L$7:$L$2010,"01",'LAC 102_Wkst'!$N$7:$N$2010,"P2")+SUMIFS('LAC 102_Wkst'!$Q$7:$Q$2010,'LAC 102_Wkst'!$D$7:$D$2010,$C$7,'LAC 102_Wkst'!$I$7:$I$2010,$C$9,'LAC 102_Wkst'!$E$7:$E$2010,$C25,'LAC 102_Wkst'!$G$7:$G$2010,$D25,'LAC 102_Wkst'!$L$7:$L$2010,"01",'LAC 102_Wkst'!$N$7:$N$2010,"P3")+SUMIFS('LAC 102_Wkst'!$Q$7:$Q$2010,'LAC 102_Wkst'!$D$7:$D$2010,$C$7,'LAC 102_Wkst'!$I$7:$I$2010,$C$9,'LAC 102_Wkst'!$E$7:$E$2010,$C25,'LAC 102_Wkst'!$G$7:$G$2010,$D25,'LAC 102_Wkst'!$L$7:$L$2010,"02",'LAC 102_Wkst'!$N$7:$N$2010,"P1")+SUMIFS('LAC 102_Wkst'!$Q$7:$Q$2010,'LAC 102_Wkst'!$D$7:$D$2010,$C$7,'LAC 102_Wkst'!$I$7:$I$2010,$C$9,'LAC 102_Wkst'!$E$7:$E$2010,$C25,'LAC 102_Wkst'!$G$7:$G$2010,$D25,'LAC 102_Wkst'!$L$7:$L$2010,"02",'LAC 102_Wkst'!$N$7:$N$2010,"P2")+SUMIFS('LAC 102_Wkst'!$Q$7:$Q$2010,'LAC 102_Wkst'!$D$7:$D$2010,$C$7,'LAC 102_Wkst'!$I$7:$I$2010,$C$9,'LAC 102_Wkst'!$E$7:$E$2010,$C25,'LAC 102_Wkst'!$G$7:$G$2010,$D25,'LAC 102_Wkst'!$L$7:$L$2010,"02",'LAC 102_Wkst'!$N$7:$N$2010,"P3")</f>
        <v>0</v>
      </c>
      <c r="G25" s="409">
        <f>SUMIFS('LAC 102_Wkst'!$AF$7:$AF$2010,'LAC 102_Wkst'!$D$7:$D$2010,$C$7,'LAC 102_Wkst'!$I$7:$I$2010,$C$9,'LAC 102_Wkst'!$E$7:$E$2010,$C25,'LAC 102_Wkst'!$G$7:$G$2010,$D25,'LAC 102_Wkst'!$L$7:$L$2010,"01",'LAC 102_Wkst'!$N$7:$N$2010,"P1")+SUMIFS('LAC 102_Wkst'!$AF$7:$AF$2010,'LAC 102_Wkst'!$D$7:$D$2010,$C$7,'LAC 102_Wkst'!$I$7:$I$2010,$C$9,'LAC 102_Wkst'!$E$7:$E$2010,$C25,'LAC 102_Wkst'!$G$7:$G$2010,$D25,'LAC 102_Wkst'!$L$7:$L$2010,"01",'LAC 102_Wkst'!$N$7:$N$2010,"P2")+SUMIFS('LAC 102_Wkst'!$AF$7:$AF$2010,'LAC 102_Wkst'!$D$7:$D$2010,$C$7,'LAC 102_Wkst'!$I$7:$I$2010,$C$9,'LAC 102_Wkst'!$E$7:$E$2010,$C25,'LAC 102_Wkst'!$G$7:$G$2010,$D25,'LAC 102_Wkst'!$L$7:$L$2010,"01",'LAC 102_Wkst'!$N$7:$N$2010,"P3")+SUMIFS('LAC 102_Wkst'!$AF$7:$AF$2010,'LAC 102_Wkst'!$D$7:$D$2010,$C$7,'LAC 102_Wkst'!$I$7:$I$2010,$C$9,'LAC 102_Wkst'!$E$7:$E$2010,$C25,'LAC 102_Wkst'!$G$7:$G$2010,$D25,'LAC 102_Wkst'!$L$7:$L$2010,"02",'LAC 102_Wkst'!$N$7:$N$2010,"P1")+SUMIFS('LAC 102_Wkst'!$AF$7:$AF$2010,'LAC 102_Wkst'!$D$7:$D$2010,$C$7,'LAC 102_Wkst'!$I$7:$I$2010,$C$9,'LAC 102_Wkst'!$E$7:$E$2010,$C25,'LAC 102_Wkst'!$G$7:$G$2010,$D25,'LAC 102_Wkst'!$L$7:$L$2010,"02",'LAC 102_Wkst'!$N$7:$N$2010,"P2")+SUMIFS('LAC 102_Wkst'!$AF$7:$AF$2010,'LAC 102_Wkst'!$D$7:$D$2010,$C$7,'LAC 102_Wkst'!$I$7:$I$2010,$C$9,'LAC 102_Wkst'!$E$7:$E$2010,$C25,'LAC 102_Wkst'!$G$7:$G$2010,$D25,'LAC 102_Wkst'!$L$7:$L$2010,"02",'LAC 102_Wkst'!$N$7:$N$2010,"P3")</f>
        <v>0</v>
      </c>
      <c r="H25" s="410">
        <f>SUMIFS('LAC 102_Wkst'!$Q$7:$Q$2010,'LAC 102_Wkst'!$D$7:$D$2010,$C$7,'LAC 102_Wkst'!$I$7:$I$2010,$C$9,'LAC 102_Wkst'!$E$7:$E$2010,$C25,'LAC 102_Wkst'!$G$7:$G$2010,$D25,'LAC 102_Wkst'!$L$7:$L$2010,"01",'LAC 102_Wkst'!$N$7:$N$2010,"P4")+SUMIFS('LAC 102_Wkst'!$Q$7:$Q$2010,'LAC 102_Wkst'!$D$7:$D$2010,$C$7,'LAC 102_Wkst'!$I$7:$I$2010,$C$9,'LAC 102_Wkst'!$E$7:$E$2010,$C25,'LAC 102_Wkst'!$G$7:$G$2010,$D25,'LAC 102_Wkst'!$L$7:$L$2010,"02",'LAC 102_Wkst'!$N$7:$N$2010,"P4")</f>
        <v>0</v>
      </c>
      <c r="I25" s="411">
        <f>SUMIFS('LAC 102_Wkst'!$AF$7:$AF$2010,'LAC 102_Wkst'!$D$7:$D$2010,$C$7,'LAC 102_Wkst'!$I$7:$I$2010,$C$9,'LAC 102_Wkst'!$E$7:$E$2010,$C25,'LAC 102_Wkst'!$G$7:$G$2010,$D25,'LAC 102_Wkst'!$L$7:$L$2010,"01",'LAC 102_Wkst'!$N$7:$N$2010,"P4")+SUMIFS('LAC 102_Wkst'!$AF$7:$AF$2010,'LAC 102_Wkst'!$D$7:$D$2010,$C$7,'LAC 102_Wkst'!$I$7:$I$2010,$C$9,'LAC 102_Wkst'!$E$7:$E$2010,$C25,'LAC 102_Wkst'!$G$7:$G$2010,$D25,'LAC 102_Wkst'!$L$7:$L$2010,"02",'LAC 102_Wkst'!$N$7:$N$2010,"P4")</f>
        <v>0</v>
      </c>
      <c r="J25" s="410">
        <f>SUMIFS('LAC 102_Wkst'!$Q$7:$Q$2010,'LAC 102_Wkst'!$D$7:$D$2010,$C$7,'LAC 102_Wkst'!$I$7:$I$2010,$C$9,'LAC 102_Wkst'!$E$7:$E$2010,$C25,'LAC 102_Wkst'!$G$7:$G$2010,$D25,'LAC 102_Wkst'!$L$7:$L$2010,"01",'LAC 102_Wkst'!$N$7:$N$2010,"P5")+SUMIFS('LAC 102_Wkst'!$Q$7:$Q$2010,'LAC 102_Wkst'!$D$7:$D$2010,$C$7,'LAC 102_Wkst'!$I$7:$I$2010,$C$9,'LAC 102_Wkst'!$E$7:$E$2010,$C25,'LAC 102_Wkst'!$G$7:$G$2010,$D25,'LAC 102_Wkst'!$L$7:$L$2010,"02",'LAC 102_Wkst'!$N$7:$N$2010,"P5")</f>
        <v>0</v>
      </c>
      <c r="K25" s="411">
        <f>SUMIFS('LAC 102_Wkst'!$AF$7:$AF$2010,'LAC 102_Wkst'!$D$7:$D$2010,$C$7,'LAC 102_Wkst'!$I$7:$I$2010,$C$9,'LAC 102_Wkst'!$E$7:$E$2010,$C25,'LAC 102_Wkst'!$G$7:$G$2010,$D25,'LAC 102_Wkst'!$L$7:$L$2010,"01",'LAC 102_Wkst'!$N$7:$N$2010,"P5")+SUMIFS('LAC 102_Wkst'!$AF$7:$AF$2010,'LAC 102_Wkst'!$D$7:$D$2010,$C$7,'LAC 102_Wkst'!$I$7:$I$2010,$C$9,'LAC 102_Wkst'!$E$7:$E$2010,$C25,'LAC 102_Wkst'!$G$7:$G$2010,$D25,'LAC 102_Wkst'!$L$7:$L$2010,"02",'LAC 102_Wkst'!$N$7:$N$2010,"P5")</f>
        <v>0</v>
      </c>
      <c r="L25" s="410">
        <f>SUMIFS('LAC 102_Wkst'!$Q$7:$Q$2010,'LAC 102_Wkst'!$D$7:$D$2010,$C$7,'LAC 102_Wkst'!$I$7:$I$2010,$C$9,'LAC 102_Wkst'!$E$7:$E$2010,$C25,'LAC 102_Wkst'!$G$7:$G$2010,$D25,'LAC 102_Wkst'!$L$7:$L$2010,"03",'LAC 102_Wkst'!$N$7:$N$2010,"P1")+SUMIFS('LAC 102_Wkst'!$Q$7:$Q$2010,'LAC 102_Wkst'!$D$7:$D$2010,$C$7,'LAC 102_Wkst'!$I$7:$I$2010,$C$9,'LAC 102_Wkst'!$E$7:$E$2010,$C25,'LAC 102_Wkst'!$G$7:$G$2010,$D25,'LAC 102_Wkst'!$L$7:$L$2010,"03",'LAC 102_Wkst'!$N$7:$N$2010,"P2")+SUMIFS('LAC 102_Wkst'!$Q$7:$Q$2010,'LAC 102_Wkst'!$D$7:$D$2010,$C$7,'LAC 102_Wkst'!$I$7:$I$2010,$C$9,'LAC 102_Wkst'!$E$7:$E$2010,$C25,'LAC 102_Wkst'!$G$7:$G$2010,$D25,'LAC 102_Wkst'!$L$7:$L$2010,"03",'LAC 102_Wkst'!$N$7:$N$2010,"P3")+SUMIFS('LAC 102_Wkst'!$Q$7:$Q$2010,'LAC 102_Wkst'!$D$7:$D$2010,$C$7,'LAC 102_Wkst'!$I$7:$I$2010,$C$9,'LAC 102_Wkst'!$E$7:$E$2010,$C25,'LAC 102_Wkst'!$G$7:$G$2010,$D25,'LAC 102_Wkst'!$L$7:$L$2010,"04",'LAC 102_Wkst'!$N$7:$N$2010,"P1")+SUMIFS('LAC 102_Wkst'!$Q$7:$Q$2010,'LAC 102_Wkst'!$D$7:$D$2010,$C$7,'LAC 102_Wkst'!$I$7:$I$2010,$C$9,'LAC 102_Wkst'!$E$7:$E$2010,$C25,'LAC 102_Wkst'!$G$7:$G$2010,$D25,'LAC 102_Wkst'!$L$7:$L$2010,"04",'LAC 102_Wkst'!$N$7:$N$2010,"P2")+SUMIFS('LAC 102_Wkst'!$Q$7:$Q$2010,'LAC 102_Wkst'!$D$7:$D$2010,$C$7,'LAC 102_Wkst'!$I$7:$I$2010,$C$9,'LAC 102_Wkst'!$E$7:$E$2010,$C25,'LAC 102_Wkst'!$G$7:$G$2010,$D25,'LAC 102_Wkst'!$L$7:$L$2010,"04",'LAC 102_Wkst'!$N$7:$N$2010,"P3")</f>
        <v>0</v>
      </c>
      <c r="M25" s="411">
        <f>SUMIFS('LAC 102_Wkst'!$AF$7:$AF$2010,'LAC 102_Wkst'!$D$7:$D$2010,$C$7,'LAC 102_Wkst'!$I$7:$I$2010,$C$9,'LAC 102_Wkst'!$E$7:$E$2010,$C25,'LAC 102_Wkst'!$G$7:$G$2010,$D25,'LAC 102_Wkst'!$L$7:$L$2010,"03",'LAC 102_Wkst'!$N$7:$N$2010,"P1")+SUMIFS('LAC 102_Wkst'!$AF$7:$AF$2010,'LAC 102_Wkst'!$D$7:$D$2010,$C$7,'LAC 102_Wkst'!$I$7:$I$2010,$C$9,'LAC 102_Wkst'!$E$7:$E$2010,$C25,'LAC 102_Wkst'!$G$7:$G$2010,$D25,'LAC 102_Wkst'!$L$7:$L$2010,"03",'LAC 102_Wkst'!$N$7:$N$2010,"P2")+SUMIFS('LAC 102_Wkst'!$AF$7:$AF$2010,'LAC 102_Wkst'!$D$7:$D$2010,$C$7,'LAC 102_Wkst'!$I$7:$I$2010,$C$9,'LAC 102_Wkst'!$E$7:$E$2010,$C25,'LAC 102_Wkst'!$G$7:$G$2010,$D25,'LAC 102_Wkst'!$L$7:$L$2010,"03",'LAC 102_Wkst'!$N$7:$N$2010,"P3")+SUMIFS('LAC 102_Wkst'!$AF$7:$AF$2010,'LAC 102_Wkst'!$D$7:$D$2010,$C$7,'LAC 102_Wkst'!$I$7:$I$2010,$C$9,'LAC 102_Wkst'!$E$7:$E$2010,$C25,'LAC 102_Wkst'!$G$7:$G$2010,$D25,'LAC 102_Wkst'!$L$7:$L$2010,"04",'LAC 102_Wkst'!$N$7:$N$2010,"P1")+SUMIFS('LAC 102_Wkst'!$AF$7:$AF$2010,'LAC 102_Wkst'!$D$7:$D$2010,$C$7,'LAC 102_Wkst'!$I$7:$I$2010,$C$9,'LAC 102_Wkst'!$E$7:$E$2010,$C25,'LAC 102_Wkst'!$G$7:$G$2010,$D25,'LAC 102_Wkst'!$L$7:$L$2010,"04",'LAC 102_Wkst'!$N$7:$N$2010,"P2")+SUMIFS('LAC 102_Wkst'!$AF$7:$AF$2010,'LAC 102_Wkst'!$D$7:$D$2010,$C$7,'LAC 102_Wkst'!$I$7:$I$2010,$C$9,'LAC 102_Wkst'!$E$7:$E$2010,$C25,'LAC 102_Wkst'!$G$7:$G$2010,$D25,'LAC 102_Wkst'!$L$7:$L$2010,"04",'LAC 102_Wkst'!$N$7:$N$2010,"P3")</f>
        <v>0</v>
      </c>
      <c r="N25" s="410">
        <f>SUMIFS('LAC 102_Wkst'!$Q$7:$Q$2010,'LAC 102_Wkst'!$D$7:$D$2010,$C$7,'LAC 102_Wkst'!$I$7:$I$2010,$C$9,'LAC 102_Wkst'!$E$7:$E$2010,$C25,'LAC 102_Wkst'!$G$7:$G$2010,$D25,'LAC 102_Wkst'!$L$7:$L$2010,"03",'LAC 102_Wkst'!$N$7:$N$2010,"P4")+SUMIFS('LAC 102_Wkst'!$Q$7:$Q$2010,'LAC 102_Wkst'!$D$7:$D$2010,$C$7,'LAC 102_Wkst'!$I$7:$I$2010,$C$9,'LAC 102_Wkst'!$E$7:$E$2010,$C25,'LAC 102_Wkst'!$G$7:$G$2010,$D25,'LAC 102_Wkst'!$L$7:$L$2010,"04",'LAC 102_Wkst'!$N$7:$N$2010,"P4")</f>
        <v>0</v>
      </c>
      <c r="O25" s="411">
        <f>SUMIFS('LAC 102_Wkst'!$AF$7:$AF$2010,'LAC 102_Wkst'!$D$7:$D$2010,$C$7,'LAC 102_Wkst'!$I$7:$I$2010,$C$9,'LAC 102_Wkst'!$E$7:$E$2010,$C25,'LAC 102_Wkst'!$G$7:$G$2010,$D25,'LAC 102_Wkst'!$L$7:$L$2010,"03",'LAC 102_Wkst'!$N$7:$N$2010,"P4")+SUMIFS('LAC 102_Wkst'!$AF$7:$AF$2010,'LAC 102_Wkst'!$D$7:$D$2010,$C$7,'LAC 102_Wkst'!$I$7:$I$2010,$C$9,'LAC 102_Wkst'!$E$7:$E$2010,$C25,'LAC 102_Wkst'!$G$7:$G$2010,$D25,'LAC 102_Wkst'!$L$7:$L$2010,"04",'LAC 102_Wkst'!$N$7:$N$2010,"P4")</f>
        <v>0</v>
      </c>
      <c r="P25" s="404">
        <f>SUMIFS('LAC 102_Wkst'!$Q$7:$Q$2010,'LAC 102_Wkst'!$D$7:$D$2010,$C$7,'LAC 102_Wkst'!$I$7:$I$2010,$C$9,'LAC 102_Wkst'!$E$7:$E$2010,$C25,'LAC 102_Wkst'!$G$7:$G$2010,$D25,'LAC 102_Wkst'!$L$7:$L$2010,"03",'LAC 102_Wkst'!$N$7:$N$2010,"P5")+SUMIFS('LAC 102_Wkst'!$Q$7:$Q$2010,'LAC 102_Wkst'!$D$7:$D$2010,$C$7,'LAC 102_Wkst'!$I$7:$I$2010,$C$9,'LAC 102_Wkst'!$E$7:$E$2010,$C25,'LAC 102_Wkst'!$G$7:$G$2010,$D25,'LAC 102_Wkst'!$L$7:$L$2010,"04",'LAC 102_Wkst'!$N$7:$N$2010,"P5")</f>
        <v>0</v>
      </c>
      <c r="Q25" s="411">
        <f>SUMIFS('LAC 102_Wkst'!$AF$7:$AF$2010,'LAC 102_Wkst'!$D$7:$D$2010,$C$7,'LAC 102_Wkst'!$I$7:$I$2010,$C$9,'LAC 102_Wkst'!$E$7:$E$2010,$C25,'LAC 102_Wkst'!$G$7:$G$2010,$D25,'LAC 102_Wkst'!$L$7:$L$2010,"03",'LAC 102_Wkst'!$N$7:$N$2010,"P5")+SUMIFS('LAC 102_Wkst'!$AF$7:$AF$2010,'LAC 102_Wkst'!$D$7:$D$2010,$C$7,'LAC 102_Wkst'!$I$7:$I$2010,$C$9,'LAC 102_Wkst'!$E$7:$E$2010,$C25,'LAC 102_Wkst'!$G$7:$G$2010,$D25,'LAC 102_Wkst'!$L$7:$L$2010,"04",'LAC 102_Wkst'!$N$7:$N$2010,"P5")</f>
        <v>0</v>
      </c>
      <c r="R25" s="412">
        <f>SUMIFS('LAC 102_Wkst'!$Q$7:$Q$2010,'LAC 102_Wkst'!$D$7:$D$2010,$C$7,'LAC 102_Wkst'!$I$7:$I$2010,$C$9,'LAC 102_Wkst'!$E$7:$E$2010,$C25,'LAC 102_Wkst'!$G$7:$G$2010,$D25,'LAC 102_Wkst'!$L$7:$L$2010,"05",'LAC 102_Wkst'!$N$7:$N$2010,"P1")+SUMIFS('LAC 102_Wkst'!$Q$7:$Q$2010,'LAC 102_Wkst'!$D$7:$D$2010,$C$7,'LAC 102_Wkst'!$I$7:$I$2010,$C$9,'LAC 102_Wkst'!$E$7:$E$2010,$C25,'LAC 102_Wkst'!$G$7:$G$2010,$D25,'LAC 102_Wkst'!$L$7:$L$2010,"06",'LAC 102_Wkst'!$N$7:$N$2010,"P1")</f>
        <v>0</v>
      </c>
      <c r="S25" s="411">
        <f>SUMIFS('LAC 102_Wkst'!$AF$7:$AF$2010,'LAC 102_Wkst'!$D$7:$D$2010,$C$7,'LAC 102_Wkst'!$I$7:$I$2010,$C$9,'LAC 102_Wkst'!$E$7:$E$2010,$C25,'LAC 102_Wkst'!$G$7:$G$2010,$D25,'LAC 102_Wkst'!$L$7:$L$2010,"05",'LAC 102_Wkst'!$N$7:$N$2010,"P1")+SUMIFS('LAC 102_Wkst'!$AF$7:$AF$2010,'LAC 102_Wkst'!$D$7:$D$2010,$C$7,'LAC 102_Wkst'!$I$7:$I$2010,$C$9,'LAC 102_Wkst'!$E$7:$E$2010,$C25,'LAC 102_Wkst'!$G$7:$G$2010,$D25,'LAC 102_Wkst'!$L$7:$L$2010,"06",'LAC 102_Wkst'!$N$7:$N$2010,"P1")</f>
        <v>0</v>
      </c>
      <c r="T25" s="410">
        <f>SUMIFS('LAC 102_Wkst'!$Q$7:$Q$2010,'LAC 102_Wkst'!$D$7:$D$2010,$C$7,'LAC 102_Wkst'!$I$7:$I$2010,$C$9,'LAC 102_Wkst'!$E$7:$E$2010,$C25,'LAC 102_Wkst'!$G$7:$G$2010,$D25,'LAC 102_Wkst'!$L$7:$L$2010,"05",'LAC 102_Wkst'!$N$7:$N$2010,"P2")+SUMIFS('LAC 102_Wkst'!$Q$7:$Q$2010,'LAC 102_Wkst'!$D$7:$D$2010,$C$7,'LAC 102_Wkst'!$I$7:$I$2010,$C$9,'LAC 102_Wkst'!$E$7:$E$2010,$C25,'LAC 102_Wkst'!$G$7:$G$2010,$D25,'LAC 102_Wkst'!$L$7:$L$2010,"06",'LAC 102_Wkst'!$N$7:$N$2010,"P2")+SUMIFS('LAC 102_Wkst'!$Q$7:$Q$2010,'LAC 102_Wkst'!$D$7:$D$2010,$C$7,'LAC 102_Wkst'!$I$7:$I$2010,$C$9,'LAC 102_Wkst'!$E$7:$E$2010,$C25,'LAC 102_Wkst'!$G$7:$G$2010,$D25,'LAC 102_Wkst'!$L$7:$L$2010,"05",'LAC 102_Wkst'!$N$7:$N$2010,"P3")+SUMIFS('LAC 102_Wkst'!$Q$7:$Q$2010,'LAC 102_Wkst'!$D$7:$D$2010,$C$7,'LAC 102_Wkst'!$I$7:$I$2010,$C$9,'LAC 102_Wkst'!$E$7:$E$2010,$C25,'LAC 102_Wkst'!$G$7:$G$2010,$D25,'LAC 102_Wkst'!$L$7:$L$2010,"06",'LAC 102_Wkst'!$N$7:$N$2010,"P3")</f>
        <v>0</v>
      </c>
      <c r="U25" s="411">
        <f>SUMIFS('LAC 102_Wkst'!$AF$7:$AF$2010,'LAC 102_Wkst'!$D$7:$D$2010,$C$7,'LAC 102_Wkst'!$I$7:$I$2010,$C$9,'LAC 102_Wkst'!$E$7:$E$2010,$C25,'LAC 102_Wkst'!$G$7:$G$2010,$D25,'LAC 102_Wkst'!$L$7:$L$2010,"05",'LAC 102_Wkst'!$N$7:$N$2010,"P2")+SUMIFS('LAC 102_Wkst'!$AF$7:$AF$2010,'LAC 102_Wkst'!$D$7:$D$2010,$C$7,'LAC 102_Wkst'!$I$7:$I$2010,$C$9,'LAC 102_Wkst'!$E$7:$E$2010,$C25,'LAC 102_Wkst'!$G$7:$G$2010,$D25,'LAC 102_Wkst'!$L$7:$L$2010,"06",'LAC 102_Wkst'!$N$7:$N$2010,"P2")+SUMIFS('LAC 102_Wkst'!$AF$7:$AF$2010,'LAC 102_Wkst'!$D$7:$D$2010,$C$7,'LAC 102_Wkst'!$I$7:$I$2010,$C$9,'LAC 102_Wkst'!$E$7:$E$2010,$C25,'LAC 102_Wkst'!$G$7:$G$2010,$D25,'LAC 102_Wkst'!$L$7:$L$2010,"05",'LAC 102_Wkst'!$N$7:$N$2010,"P3")+SUMIFS('LAC 102_Wkst'!$AF$7:$AF$2010,'LAC 102_Wkst'!$D$7:$D$2010,$C$7,'LAC 102_Wkst'!$I$7:$I$2010,$C$9,'LAC 102_Wkst'!$E$7:$E$2010,$C25,'LAC 102_Wkst'!$G$7:$G$2010,$D25,'LAC 102_Wkst'!$L$7:$L$2010,"06",'LAC 102_Wkst'!$N$7:$N$2010,"P3")</f>
        <v>0</v>
      </c>
      <c r="V25" s="410">
        <f>SUMIFS('LAC 102_Wkst'!$Q$7:$Q$2010,'LAC 102_Wkst'!$D$7:$D$2010,$C$7,'LAC 102_Wkst'!$I$7:$I$2010,$C$9,'LAC 102_Wkst'!$E$7:$E$2010,$C25,'LAC 102_Wkst'!$G$7:$G$2010,$D25,'LAC 102_Wkst'!$L$7:$L$2010,"05",'LAC 102_Wkst'!$N$7:$N$2010,"P4")+SUMIFS('LAC 102_Wkst'!$Q$7:$Q$2010,'LAC 102_Wkst'!$D$7:$D$2010,$C$7,'LAC 102_Wkst'!$I$7:$I$2010,$C$9,'LAC 102_Wkst'!$E$7:$E$2010,$C25,'LAC 102_Wkst'!$G$7:$G$2010,$D25,'LAC 102_Wkst'!$L$7:$L$2010,"06",'LAC 102_Wkst'!$N$7:$N$2010,"P4")</f>
        <v>0</v>
      </c>
      <c r="W25" s="411">
        <f>SUMIFS('LAC 102_Wkst'!$AF$7:$AF$2010,'LAC 102_Wkst'!$D$7:$D$2010,$C$7,'LAC 102_Wkst'!$I$7:$I$2010,$C$9,'LAC 102_Wkst'!$E$7:$E$2010,$C25,'LAC 102_Wkst'!$G$7:$G$2010,$D25,'LAC 102_Wkst'!$L$7:$L$2010,"05",'LAC 102_Wkst'!$N$7:$N$2010,"P4")+SUMIFS('LAC 102_Wkst'!$AF$7:$AF$2010,'LAC 102_Wkst'!$D$7:$D$2010,$C$7,'LAC 102_Wkst'!$I$7:$I$2010,$C$9,'LAC 102_Wkst'!$E$7:$E$2010,$C25,'LAC 102_Wkst'!$G$7:$G$2010,$D25,'LAC 102_Wkst'!$L$7:$L$2010,"06",'LAC 102_Wkst'!$N$7:$N$2010,"P4")</f>
        <v>0</v>
      </c>
      <c r="X25" s="404">
        <f>SUMIFS('LAC 102_Wkst'!$Q$7:$Q$2010,'LAC 102_Wkst'!$D$7:$D$2010,$C$7,'LAC 102_Wkst'!$I$7:$I$2010,$C$9,'LAC 102_Wkst'!$E$7:$E$2010,$C25,'LAC 102_Wkst'!$G$7:$G$2010,$D25,'LAC 102_Wkst'!$L$7:$L$2010,"05",'LAC 102_Wkst'!$N$7:$N$2010,"P5")+SUMIFS('LAC 102_Wkst'!$Q$7:$Q$2010,'LAC 102_Wkst'!$D$7:$D$2010,$C$7,'LAC 102_Wkst'!$I$7:$I$2010,$C$9,'LAC 102_Wkst'!$E$7:$E$2010,$C25,'LAC 102_Wkst'!$G$7:$G$2010,$D25,'LAC 102_Wkst'!$L$7:$L$2010,"06",'LAC 102_Wkst'!$N$7:$N$2010,"P5")</f>
        <v>0</v>
      </c>
      <c r="Y25" s="411">
        <f>SUMIFS('LAC 102_Wkst'!$AF$7:$AF$2010,'LAC 102_Wkst'!$D$7:$D$2010,$C$7,'LAC 102_Wkst'!$I$7:$I$2010,$C$9,'LAC 102_Wkst'!$E$7:$E$2010,$C25,'LAC 102_Wkst'!$G$7:$G$2010,$D25,'LAC 102_Wkst'!$L$7:$L$2010,"05",'LAC 102_Wkst'!$N$7:$N$2010,"P5")+SUMIFS('LAC 102_Wkst'!$AF$7:$AF$2010,'LAC 102_Wkst'!$D$7:$D$2010,$C$7,'LAC 102_Wkst'!$I$7:$I$2010,$C$9,'LAC 102_Wkst'!$E$7:$E$2010,$C25,'LAC 102_Wkst'!$G$7:$G$2010,$D25,'LAC 102_Wkst'!$L$7:$L$2010,"06",'LAC 102_Wkst'!$N$7:$N$2010,"P5")</f>
        <v>0</v>
      </c>
      <c r="Z25" s="410">
        <f>SUMIFS('LAC 102_Wkst'!$Q$7:$Q$2010,'LAC 102_Wkst'!$D$7:$D$2010,$C$7,'LAC 102_Wkst'!$I$7:$I$2010,$C$9,'LAC 102_Wkst'!$E$7:$E$2010,$C25,'LAC 102_Wkst'!$G$7:$G$2010,$D25,'LAC 102_Wkst'!$L$7:$L$2010,"07",'LAC 102_Wkst'!$N$7:$N$2010,"P1")+SUMIFS('LAC 102_Wkst'!$Q$7:$Q$2010,'LAC 102_Wkst'!$D$7:$D$2010,$C$7,'LAC 102_Wkst'!$I$7:$I$2010,$C$9,'LAC 102_Wkst'!$E$7:$E$2010,$C25,'LAC 102_Wkst'!$G$7:$G$2010,$D25,'LAC 102_Wkst'!$L$7:$L$2010,"07",'LAC 102_Wkst'!$N$7:$N$2010,"P2")+SUMIFS('LAC 102_Wkst'!$Q$7:$Q$2010,'LAC 102_Wkst'!$D$7:$D$2010,$C$7,'LAC 102_Wkst'!$I$7:$I$2010,$C$9,'LAC 102_Wkst'!$E$7:$E$2010,$C25,'LAC 102_Wkst'!$G$7:$G$2010,$D25,'LAC 102_Wkst'!$L$7:$L$2010,"07",'LAC 102_Wkst'!$N$7:$N$2010,"P3")</f>
        <v>0</v>
      </c>
      <c r="AA25" s="411">
        <f>SUMIFS('LAC 102_Wkst'!$AF$7:$AF$2010,'LAC 102_Wkst'!$D$7:$D$2010,$C$7,'LAC 102_Wkst'!$I$7:$I$2010,$C$9,'LAC 102_Wkst'!$E$7:$E$2010,$C25,'LAC 102_Wkst'!$G$7:$G$2010,$D25,'LAC 102_Wkst'!$L$7:$L$2010,"07",'LAC 102_Wkst'!$N$7:$N$2010,"P1")+SUMIFS('LAC 102_Wkst'!$AF$7:$AF$2010,'LAC 102_Wkst'!$D$7:$D$2010,$C$7,'LAC 102_Wkst'!$I$7:$I$2010,$C$9,'LAC 102_Wkst'!$E$7:$E$2010,$C25,'LAC 102_Wkst'!$G$7:$G$2010,$D25,'LAC 102_Wkst'!$L$7:$L$2010,"07",'LAC 102_Wkst'!$N$7:$N$2010,"P2")+SUMIFS('LAC 102_Wkst'!$AF$7:$AF$2010,'LAC 102_Wkst'!$D$7:$D$2010,$C$7,'LAC 102_Wkst'!$I$7:$I$2010,$C$9,'LAC 102_Wkst'!$E$7:$E$2010,$C25,'LAC 102_Wkst'!$G$7:$G$2010,$D25,'LAC 102_Wkst'!$L$7:$L$2010,"07",'LAC 102_Wkst'!$N$7:$N$2010,"P3")</f>
        <v>0</v>
      </c>
      <c r="AB25" s="410">
        <f>SUMIFS('LAC 102_Wkst'!$Q$7:$Q$2010,'LAC 102_Wkst'!$D$7:$D$2010,$C$7,'LAC 102_Wkst'!$I$7:$I$2010,$C$9,'LAC 102_Wkst'!$E$7:$E$2010,$C25,'LAC 102_Wkst'!$G$7:$G$2010,$D25,'LAC 102_Wkst'!$L$7:$L$2010,"07",'LAC 102_Wkst'!$N$7:$N$2010,"P4")</f>
        <v>0</v>
      </c>
      <c r="AC25" s="411">
        <f>SUMIFS('LAC 102_Wkst'!$AF$7:$AF$2010,'LAC 102_Wkst'!$D$7:$D$2010,$C$7,'LAC 102_Wkst'!$I$7:$I$2010,$C$9,'LAC 102_Wkst'!$E$7:$E$2010,$C25,'LAC 102_Wkst'!$G$7:$G$2010,$D25,'LAC 102_Wkst'!$L$7:$L$2010,"07",'LAC 102_Wkst'!$N$7:$N$2010,"P4")</f>
        <v>0</v>
      </c>
      <c r="AD25" s="404">
        <f>SUMIFS('LAC 102_Wkst'!$Q$7:$Q$2010,'LAC 102_Wkst'!$D$7:$D$2010,$C$7,'LAC 102_Wkst'!$I$7:$I$2010,$C$9,'LAC 102_Wkst'!$E$7:$E$2010,$C25,'LAC 102_Wkst'!$G$7:$G$2010,$D25,'LAC 102_Wkst'!$L$7:$L$2010,"07",'LAC 102_Wkst'!$N$7:$N$2010,"P5")</f>
        <v>0</v>
      </c>
      <c r="AE25" s="411">
        <f>SUMIFS('LAC 102_Wkst'!$AF$7:$AF$2010,'LAC 102_Wkst'!$D$7:$D$2010,$C$7,'LAC 102_Wkst'!$I$7:$I$2010,$C$9,'LAC 102_Wkst'!$E$7:$E$2010,$C25,'LAC 102_Wkst'!$G$7:$G$2010,$D25,'LAC 102_Wkst'!$L$7:$L$2010,"07",'LAC 102_Wkst'!$N$7:$N$2010,"P5")</f>
        <v>0</v>
      </c>
      <c r="AF25" s="410">
        <f>SUMIFS('LAC 102_Wkst'!$Q$7:$Q$2010,'LAC 102_Wkst'!$D$7:$D$2010,$C$7,'LAC 102_Wkst'!$I$7:$I$2010,$C$9,'LAC 102_Wkst'!$E$7:$E$2010,$C25,'LAC 102_Wkst'!$G$7:$G$2010,$D25,'LAC 102_Wkst'!$L$7:$L$2010,"08",'LAC 102_Wkst'!$N$7:$N$2010,"P1")+SUMIFS('LAC 102_Wkst'!$Q$7:$Q$2010,'LAC 102_Wkst'!$D$7:$D$2010,$C$7,'LAC 102_Wkst'!$I$7:$I$2010,$C$9,'LAC 102_Wkst'!$E$7:$E$2010,$C25,'LAC 102_Wkst'!$G$7:$G$2010,$D25,'LAC 102_Wkst'!$L$7:$L$2010,"08",'LAC 102_Wkst'!$N$7:$N$2010,"P2")+SUMIFS('LAC 102_Wkst'!$Q$7:$Q$2010,'LAC 102_Wkst'!$D$7:$D$2010,$C$7,'LAC 102_Wkst'!$I$7:$I$2010,$C$9,'LAC 102_Wkst'!$E$7:$E$2010,$C25,'LAC 102_Wkst'!$G$7:$G$2010,$D25,'LAC 102_Wkst'!$L$7:$L$2010,"08",'LAC 102_Wkst'!$N$7:$N$2010,"P3")</f>
        <v>0</v>
      </c>
      <c r="AG25" s="411">
        <f>SUMIFS('LAC 102_Wkst'!$AF$7:$AF$2010,'LAC 102_Wkst'!$D$7:$D$2010,$C$7,'LAC 102_Wkst'!$I$7:$I$2010,$C$9,'LAC 102_Wkst'!$E$7:$E$2010,$C25,'LAC 102_Wkst'!$G$7:$G$2010,$D25,'LAC 102_Wkst'!$L$7:$L$2010,"08",'LAC 102_Wkst'!$N$7:$N$2010,"P1")+SUMIFS('LAC 102_Wkst'!$AF$7:$AF$2010,'LAC 102_Wkst'!$D$7:$D$2010,$C$7,'LAC 102_Wkst'!$I$7:$I$2010,$C$9,'LAC 102_Wkst'!$E$7:$E$2010,$C25,'LAC 102_Wkst'!$G$7:$G$2010,$D25,'LAC 102_Wkst'!$L$7:$L$2010,"08",'LAC 102_Wkst'!$N$7:$N$2010,"P2")+SUMIFS('LAC 102_Wkst'!$AF$7:$AF$2010,'LAC 102_Wkst'!$D$7:$D$2010,$C$7,'LAC 102_Wkst'!$I$7:$I$2010,$C$9,'LAC 102_Wkst'!$E$7:$E$2010,$C25,'LAC 102_Wkst'!$G$7:$G$2010,$D25,'LAC 102_Wkst'!$L$7:$L$2010,"08",'LAC 102_Wkst'!$N$7:$N$2010,"P3")</f>
        <v>0</v>
      </c>
      <c r="AH25" s="410">
        <f>SUMIFS('LAC 102_Wkst'!$Q$7:$Q$2010,'LAC 102_Wkst'!$D$7:$D$2010,$C$7,'LAC 102_Wkst'!$I$7:$I$2010,$C$9,'LAC 102_Wkst'!$E$7:$E$2010,$C25,'LAC 102_Wkst'!$G$7:$G$2010,$D25,'LAC 102_Wkst'!$L$7:$L$2010,"08",'LAC 102_Wkst'!$N$7:$N$2010,"P4")</f>
        <v>0</v>
      </c>
      <c r="AI25" s="411">
        <f>SUMIFS('LAC 102_Wkst'!$AF$7:$AF$2010,'LAC 102_Wkst'!$D$7:$D$2010,$C$7,'LAC 102_Wkst'!$I$7:$I$2010,$C$9,'LAC 102_Wkst'!$E$7:$E$2010,$C25,'LAC 102_Wkst'!$G$7:$G$2010,$D25,'LAC 102_Wkst'!$L$7:$L$2010,"08",'LAC 102_Wkst'!$N$7:$N$2010,"P4")</f>
        <v>0</v>
      </c>
      <c r="AJ25" s="404">
        <f>SUMIFS('LAC 102_Wkst'!$Q$7:$Q$2010,'LAC 102_Wkst'!$D$7:$D$2010,$C$7,'LAC 102_Wkst'!$I$7:$I$2010,$C$9,'LAC 102_Wkst'!$E$7:$E$2010,$C25,'LAC 102_Wkst'!$G$7:$G$2010,$D25,'LAC 102_Wkst'!$L$7:$L$2010,"08",'LAC 102_Wkst'!$N$7:$N$2010,"P5")</f>
        <v>0</v>
      </c>
      <c r="AK25" s="411">
        <f>SUMIFS('LAC 102_Wkst'!$AF$7:$AF$2010,'LAC 102_Wkst'!$D$7:$D$2010,$C$7,'LAC 102_Wkst'!$I$7:$I$2010,$C$9,'LAC 102_Wkst'!$E$7:$E$2010,$C25,'LAC 102_Wkst'!$G$7:$G$2010,$D25,'LAC 102_Wkst'!$L$7:$L$2010,"08",'LAC 102_Wkst'!$N$7:$N$2010,"P5")</f>
        <v>0</v>
      </c>
      <c r="AL25" s="410">
        <f>SUMIFS('LAC 102_Wkst'!$Q$7:$Q$2010,'LAC 102_Wkst'!$D$7:$D$2010,$C$7,'LAC 102_Wkst'!$I$7:$I$2010,$C$9,'LAC 102_Wkst'!$E$7:$E$2010,$C25,'LAC 102_Wkst'!$G$7:$G$2010,$D25,'LAC 102_Wkst'!$L$7:$L$2010,"09",'LAC 102_Wkst'!$N$7:$N$2010,"P1")+SUMIFS('LAC 102_Wkst'!$Q$7:$Q$2010,'LAC 102_Wkst'!$D$7:$D$2010,$C$7,'LAC 102_Wkst'!$I$7:$I$2010,$C$9,'LAC 102_Wkst'!$E$7:$E$2010,$C25,'LAC 102_Wkst'!$G$7:$G$2010,$D25,'LAC 102_Wkst'!$L$7:$L$2010,"09",'LAC 102_Wkst'!$N$7:$N$2010,"P2")+SUMIFS('LAC 102_Wkst'!$Q$7:$Q$2010,'LAC 102_Wkst'!$D$7:$D$2010,$C$7,'LAC 102_Wkst'!$I$7:$I$2010,$C$9,'LAC 102_Wkst'!$E$7:$E$2010,$C25,'LAC 102_Wkst'!$G$7:$G$2010,$D25,'LAC 102_Wkst'!$L$7:$L$2010,"09",'LAC 102_Wkst'!$N$7:$N$2010,"P3")+SUMIFS('LAC 102_Wkst'!$Q$7:$Q$2010,'LAC 102_Wkst'!$D$7:$D$2010,$C$7,'LAC 102_Wkst'!$I$7:$I$2010,$C$9,'LAC 102_Wkst'!$E$7:$E$2010,$C25,'LAC 102_Wkst'!$G$7:$G$2010,$D25,'LAC 102_Wkst'!$L$7:$L$2010,"09",'LAC 102_Wkst'!$N$7:$N$2010,"P4")</f>
        <v>0</v>
      </c>
      <c r="AM25" s="411">
        <f>SUMIFS('LAC 102_Wkst'!$AF$7:$AF$2010,'LAC 102_Wkst'!$D$7:$D$2010,$C$7,'LAC 102_Wkst'!$I$7:$I$2010,$C$9,'LAC 102_Wkst'!$E$7:$E$2010,$C25,'LAC 102_Wkst'!$G$7:$G$2010,$D25,'LAC 102_Wkst'!$L$7:$L$2010,"09",'LAC 102_Wkst'!$N$7:$N$2010,"P1")+SUMIFS('LAC 102_Wkst'!$AF$7:$AF$2010,'LAC 102_Wkst'!$D$7:$D$2010,$C$7,'LAC 102_Wkst'!$I$7:$I$2010,$C$9,'LAC 102_Wkst'!$E$7:$E$2010,$C25,'LAC 102_Wkst'!$G$7:$G$2010,$D25,'LAC 102_Wkst'!$L$7:$L$2010,"09",'LAC 102_Wkst'!$N$7:$N$2010,"P2")+SUMIFS('LAC 102_Wkst'!$AF$7:$AF$2010,'LAC 102_Wkst'!$D$7:$D$2010,$C$7,'LAC 102_Wkst'!$I$7:$I$2010,$C$9,'LAC 102_Wkst'!$E$7:$E$2010,$C25,'LAC 102_Wkst'!$G$7:$G$2010,$D25,'LAC 102_Wkst'!$L$7:$L$2010,"09",'LAC 102_Wkst'!$N$7:$N$2010,"P3")+SUMIFS('LAC 102_Wkst'!$AF$7:$AF$2010,'LAC 102_Wkst'!$D$7:$D$2010,$C$7,'LAC 102_Wkst'!$I$7:$I$2010,$C$9,'LAC 102_Wkst'!$E$7:$E$2010,$C25,'LAC 102_Wkst'!$G$7:$G$2010,$D25,'LAC 102_Wkst'!$L$7:$L$2010,"09",'LAC 102_Wkst'!$N$7:$N$2010,"P4")</f>
        <v>0</v>
      </c>
      <c r="AN25" s="410">
        <f>SUMIFS('LAC 102_Wkst'!$Q$7:$Q$2010,'LAC 102_Wkst'!$D$7:$D$2010,$C$7,'LAC 102_Wkst'!$I$7:$I$2010,$C$9,'LAC 102_Wkst'!$E$7:$E$2010,$C25,'LAC 102_Wkst'!$G$7:$G$2010,$D25,'LAC 102_Wkst'!$L$7:$L$2010,"09",'LAC 102_Wkst'!$N$7:$N$2010,"P5")</f>
        <v>0</v>
      </c>
      <c r="AO25" s="411">
        <f>SUMIFS('LAC 102_Wkst'!$AF$7:$AF$2010,'LAC 102_Wkst'!$D$7:$D$2010,$C$7,'LAC 102_Wkst'!$I$7:$I$2010,$C$9,'LAC 102_Wkst'!$E$7:$E$2010,$C25,'LAC 102_Wkst'!$G$7:$G$2010,$D25,'LAC 102_Wkst'!$L$7:$L$2010,"09",'LAC 102_Wkst'!$N$7:$N$2010,"P5")</f>
        <v>0</v>
      </c>
      <c r="AP25" s="404">
        <f>SUMIFS('LAC 102_Wkst'!$Q$7:$Q$2010,'LAC 102_Wkst'!$D$7:$D$2010,$C$7,'LAC 102_Wkst'!$I$7:$I$2010,$C$9,'LAC 102_Wkst'!$E$7:$E$2010,$C25,'LAC 102_Wkst'!$G$7:$G$2010,$D25,'LAC 102_Wkst'!$L$7:$L$2010,"10",'LAC 102_Wkst'!$N$7:$N$2010,"P1")+SUMIFS('LAC 102_Wkst'!$Q$7:$Q$2010,'LAC 102_Wkst'!$D$7:$D$2010,$C$7,'LAC 102_Wkst'!$I$7:$I$2010,$C$9,'LAC 102_Wkst'!$E$7:$E$2010,$C25,'LAC 102_Wkst'!$G$7:$G$2010,$D25,'LAC 102_Wkst'!$L$7:$L$2010,"10",'LAC 102_Wkst'!$N$7:$N$2010,"P2")+SUMIFS('LAC 102_Wkst'!$Q$7:$Q$2010,'LAC 102_Wkst'!$D$7:$D$2010,$C$7,'LAC 102_Wkst'!$I$7:$I$2010,$C$9,'LAC 102_Wkst'!$E$7:$E$2010,$C25,'LAC 102_Wkst'!$G$7:$G$2010,$D25,'LAC 102_Wkst'!$L$7:$L$2010,"10",'LAC 102_Wkst'!$N$7:$N$2010,"P3")+SUMIFS('LAC 102_Wkst'!$Q$7:$Q$2010,'LAC 102_Wkst'!$D$7:$D$2010,$C$7,'LAC 102_Wkst'!$I$7:$I$2010,$C$9,'LAC 102_Wkst'!$E$7:$E$2010,$C25,'LAC 102_Wkst'!$G$7:$G$2010,$D25,'LAC 102_Wkst'!$L$7:$L$2010,"10",'LAC 102_Wkst'!$N$7:$N$2010,"P4")</f>
        <v>0</v>
      </c>
      <c r="AQ25" s="411">
        <f>SUMIFS('LAC 102_Wkst'!$AF$7:$AF$2010,'LAC 102_Wkst'!$D$7:$D$2010,$C$7,'LAC 102_Wkst'!$I$7:$I$2010,$C$9,'LAC 102_Wkst'!$E$7:$E$2010,$C25,'LAC 102_Wkst'!$G$7:$G$2010,$D25,'LAC 102_Wkst'!$L$7:$L$2010,"10",'LAC 102_Wkst'!$N$7:$N$2010,"P1")+SUMIFS('LAC 102_Wkst'!$AF$7:$AF$2010,'LAC 102_Wkst'!$D$7:$D$2010,$C$7,'LAC 102_Wkst'!$I$7:$I$2010,$C$9,'LAC 102_Wkst'!$E$7:$E$2010,$C25,'LAC 102_Wkst'!$G$7:$G$2010,$D25,'LAC 102_Wkst'!$L$7:$L$2010,"10",'LAC 102_Wkst'!$N$7:$N$2010,"P2")+SUMIFS('LAC 102_Wkst'!$AF$7:$AF$2010,'LAC 102_Wkst'!$D$7:$D$2010,$C$7,'LAC 102_Wkst'!$I$7:$I$2010,$C$9,'LAC 102_Wkst'!$E$7:$E$2010,$C25,'LAC 102_Wkst'!$G$7:$G$2010,$D25,'LAC 102_Wkst'!$L$7:$L$2010,"10",'LAC 102_Wkst'!$N$7:$N$2010,"P3")+SUMIFS('LAC 102_Wkst'!$AF$7:$AF$2010,'LAC 102_Wkst'!$D$7:$D$2010,$C$7,'LAC 102_Wkst'!$I$7:$I$2010,$C$9,'LAC 102_Wkst'!$E$7:$E$2010,$C25,'LAC 102_Wkst'!$G$7:$G$2010,$D25,'LAC 102_Wkst'!$L$7:$L$2010,"10",'LAC 102_Wkst'!$N$7:$N$2010,"P4")</f>
        <v>0</v>
      </c>
      <c r="AR25" s="410">
        <f>SUMIFS('LAC 102_Wkst'!$Q$7:$Q$2010,'LAC 102_Wkst'!$D$7:$D$2010,$C$7,'LAC 102_Wkst'!$I$7:$I$2010,$C$9,'LAC 102_Wkst'!$E$7:$E$2010,$C25,'LAC 102_Wkst'!$G$7:$G$2010,$D25,'LAC 102_Wkst'!$L$7:$L$2010,"10",'LAC 102_Wkst'!$N$7:$N$2010,"P5")</f>
        <v>0</v>
      </c>
      <c r="AS25" s="411">
        <f>SUMIFS('LAC 102_Wkst'!$AF$7:$AF$2010,'LAC 102_Wkst'!$D$7:$D$2010,$C$7,'LAC 102_Wkst'!$I$7:$I$2010,$C$9,'LAC 102_Wkst'!$E$7:$E$2010,$C25,'LAC 102_Wkst'!$G$7:$G$2010,$D25,'LAC 102_Wkst'!$L$7:$L$2010,"10",'LAC 102_Wkst'!$N$7:$N$2010,"P5")</f>
        <v>0</v>
      </c>
      <c r="AT25" s="410">
        <f>SUMIFS('LAC 102_Wkst'!$Q$7:$Q$2010,'LAC 102_Wkst'!$D$7:$D$2010,$C$7,'LAC 102_Wkst'!$I$7:$I$2010,$C$9,'LAC 102_Wkst'!$E$7:$E$2010,$C25,'LAC 102_Wkst'!$G$7:$G$2010,$D25,'LAC 102_Wkst'!$L$7:$L$2010,"11",'LAC 102_Wkst'!$N$7:$N$2010,"P1")+SUMIFS('LAC 102_Wkst'!$Q$7:$Q$2010,'LAC 102_Wkst'!$D$7:$D$2010,$C$7,'LAC 102_Wkst'!$I$7:$I$2010,$C$9,'LAC 102_Wkst'!$E$7:$E$2010,$C25,'LAC 102_Wkst'!$G$7:$G$2010,$D25,'LAC 102_Wkst'!$L$7:$L$2010,"12",'LAC 102_Wkst'!$N$7:$N$2010,"P1")</f>
        <v>0</v>
      </c>
      <c r="AU25" s="411">
        <f>SUMIFS('LAC 102_Wkst'!$Q$7:$Q$2010,'LAC 102_Wkst'!$D$7:$D$2010,$C$7,'LAC 102_Wkst'!$I$7:$I$2010,$C$9,'LAC 102_Wkst'!$E$7:$E$2010,$C25,'LAC 102_Wkst'!$G$7:$G$2010,$D25,'LAC 102_Wkst'!$L$7:$L$2010,"13",'LAC 102_Wkst'!$N$7:$N$2010,"P5")</f>
        <v>0</v>
      </c>
      <c r="AV25" s="404">
        <f>SUMIFS('LAC 102_Wkst'!$Q$7:$Q$2010,'LAC 102_Wkst'!$D$7:$D$2010,$C$7,'LAC 102_Wkst'!$I$7:$I$2010,$C$9,'LAC 102_Wkst'!$E$7:$E$2010,$C25,'LAC 102_Wkst'!$G$7:$G$2010,$D25,'LAC 102_Wkst'!$L$7:$L$2010,"11",'LAC 102_Wkst'!$N$7:$N$2010,"P2")+SUMIFS('LAC 102_Wkst'!$Q$7:$Q$2010,'LAC 102_Wkst'!$D$7:$D$2010,$C$7,'LAC 102_Wkst'!$I$7:$I$2010,$C$9,'LAC 102_Wkst'!$E$7:$E$2010,$C25,'LAC 102_Wkst'!$G$7:$G$2010,$D25,'LAC 102_Wkst'!$L$7:$L$2010,"12",'LAC 102_Wkst'!$N$7:$N$2010,"P2")+SUMIFS('LAC 102_Wkst'!$Q$7:$Q$2010,'LAC 102_Wkst'!$D$7:$D$2010,$C$7,'LAC 102_Wkst'!$I$7:$I$2010,$C$9,'LAC 102_Wkst'!$E$7:$E$2010,$C25,'LAC 102_Wkst'!$G$7:$G$2010,$D25,'LAC 102_Wkst'!$L$7:$L$2010,"11",'LAC 102_Wkst'!$N$7:$N$2010,"P3")+SUMIFS('LAC 102_Wkst'!$Q$7:$Q$2010,'LAC 102_Wkst'!$D$7:$D$2010,$C$7,'LAC 102_Wkst'!$I$7:$I$2010,$C$9,'LAC 102_Wkst'!$E$7:$E$2010,$C25,'LAC 102_Wkst'!$G$7:$G$2010,$D25,'LAC 102_Wkst'!$L$7:$L$2010,"12",'LAC 102_Wkst'!$N$7:$N$2010,"P3")</f>
        <v>0</v>
      </c>
      <c r="AW25" s="411">
        <f>SUMIFS('LAC 102_Wkst'!$AF$7:$AF$2010,'LAC 102_Wkst'!$D$7:$D$2010,$C$7,'LAC 102_Wkst'!$I$7:$I$2010,$C$9,'LAC 102_Wkst'!$E$7:$E$2010,$C25,'LAC 102_Wkst'!$G$7:$G$2010,$D25,'LAC 102_Wkst'!$L$7:$L$2010,"11",'LAC 102_Wkst'!$N$7:$N$2010,"P2")+SUMIFS('LAC 102_Wkst'!$AF$7:$AF$2010,'LAC 102_Wkst'!$D$7:$D$2010,$C$7,'LAC 102_Wkst'!$I$7:$I$2010,$C$9,'LAC 102_Wkst'!$E$7:$E$2010,$C25,'LAC 102_Wkst'!$G$7:$G$2010,$D25,'LAC 102_Wkst'!$L$7:$L$2010,"12",'LAC 102_Wkst'!$N$7:$N$2010,"P2")+SUMIFS('LAC 102_Wkst'!$AF$7:$AF$2010,'LAC 102_Wkst'!$D$7:$D$2010,$C$7,'LAC 102_Wkst'!$I$7:$I$2010,$C$9,'LAC 102_Wkst'!$E$7:$E$2010,$C25,'LAC 102_Wkst'!$G$7:$G$2010,$D25,'LAC 102_Wkst'!$L$7:$L$2010,"11",'LAC 102_Wkst'!$N$7:$N$2010,"P3")+SUMIFS('LAC 102_Wkst'!$AF$7:$AF$2010,'LAC 102_Wkst'!$D$7:$D$2010,$C$7,'LAC 102_Wkst'!$I$7:$I$2010,$C$9,'LAC 102_Wkst'!$E$7:$E$2010,$C25,'LAC 102_Wkst'!$G$7:$G$2010,$D25,'LAC 102_Wkst'!$L$7:$L$2010,"12",'LAC 102_Wkst'!$N$7:$N$2010,"P3")</f>
        <v>0</v>
      </c>
      <c r="AX25" s="410">
        <f>SUMIFS('LAC 102_Wkst'!$Q$7:$Q$2010,'LAC 102_Wkst'!$D$7:$D$2010,$C$7,'LAC 102_Wkst'!$I$7:$I$2010,$C$9,'LAC 102_Wkst'!$E$7:$E$2010,$C25,'LAC 102_Wkst'!$G$7:$G$2010,$D25,'LAC 102_Wkst'!$L$7:$L$2010,"11",'LAC 102_Wkst'!$N$7:$N$2010,"P4")+SUMIFS('LAC 102_Wkst'!$Q$7:$Q$2010,'LAC 102_Wkst'!$D$7:$D$2010,$C$7,'LAC 102_Wkst'!$I$7:$I$2010,$C$9,'LAC 102_Wkst'!$E$7:$E$2010,$C25,'LAC 102_Wkst'!$G$7:$G$2010,$D25,'LAC 102_Wkst'!$L$7:$L$2010,"12",'LAC 102_Wkst'!$N$7:$N$2010,"P4")</f>
        <v>0</v>
      </c>
      <c r="AY25" s="411">
        <f>SUMIFS('LAC 102_Wkst'!$AF$7:$AF$2010,'LAC 102_Wkst'!$D$7:$D$2010,$C$7,'LAC 102_Wkst'!$I$7:$I$2010,$C$9,'LAC 102_Wkst'!$E$7:$E$2010,$C25,'LAC 102_Wkst'!$G$7:$G$2010,$D25,'LAC 102_Wkst'!$L$7:$L$2010,"11",'LAC 102_Wkst'!$N$7:$N$2010,"P4")+SUMIFS('LAC 102_Wkst'!$AF$7:$AF$2010,'LAC 102_Wkst'!$D$7:$D$2010,$C$7,'LAC 102_Wkst'!$I$7:$I$2010,$C$9,'LAC 102_Wkst'!$E$7:$E$2010,$C25,'LAC 102_Wkst'!$G$7:$G$2010,$D25,'LAC 102_Wkst'!$L$7:$L$2010,"12",'LAC 102_Wkst'!$N$7:$N$2010,"P4")</f>
        <v>0</v>
      </c>
      <c r="AZ25" s="404">
        <f>SUMIFS('LAC 102_Wkst'!$Q$7:$Q$2010,'LAC 102_Wkst'!$D$7:$D$2010,$C$7,'LAC 102_Wkst'!$I$7:$I$2010,$C$9,'LAC 102_Wkst'!$E$7:$E$2010,$C25,'LAC 102_Wkst'!$G$7:$G$2010,$D25,'LAC 102_Wkst'!$L$7:$L$2010,"11",'LAC 102_Wkst'!$N$7:$N$2010,"P5")+SUMIFS('LAC 102_Wkst'!$Q$7:$Q$2010,'LAC 102_Wkst'!$D$7:$D$2010,$C$7,'LAC 102_Wkst'!$I$7:$I$2010,$C$9,'LAC 102_Wkst'!$E$7:$E$2010,$C25,'LAC 102_Wkst'!$G$7:$G$2010,$D25,'LAC 102_Wkst'!$L$7:$L$2010,"12",'LAC 102_Wkst'!$N$7:$N$2010,"P5")</f>
        <v>0</v>
      </c>
      <c r="BA25" s="411">
        <f>SUMIFS('LAC 102_Wkst'!$AF$7:$AF$2010,'LAC 102_Wkst'!$D$7:$D$2010,$C$7,'LAC 102_Wkst'!$I$7:$I$2010,$C$9,'LAC 102_Wkst'!$E$7:$E$2010,$C25,'LAC 102_Wkst'!$G$7:$G$2010,$D25,'LAC 102_Wkst'!$L$7:$L$2010,"11",'LAC 102_Wkst'!$N$7:$N$2010,"P5")+SUMIFS('LAC 102_Wkst'!$AF$7:$AF$2010,'LAC 102_Wkst'!$D$7:$D$2010,$C$7,'LAC 102_Wkst'!$I$7:$I$2010,$C$9,'LAC 102_Wkst'!$E$7:$E$2010,$C25,'LAC 102_Wkst'!$G$7:$G$2010,$D25,'LAC 102_Wkst'!$L$7:$L$2010,"12",'LAC 102_Wkst'!$N$7:$N$2010,"P5")</f>
        <v>0</v>
      </c>
      <c r="BB25" s="410">
        <f>SUMIFS('LAC 102_Wkst'!$Q$7:$Q$2010,'LAC 102_Wkst'!$D$7:$D$2010,$C$7,'LAC 102_Wkst'!$I$7:$I$2010,$C$9,'LAC 102_Wkst'!$E$7:$E$2010,$C25,'LAC 102_Wkst'!$G$7:$G$2010,$D25,'LAC 102_Wkst'!$L$7:$L$2010,"13",'LAC 102_Wkst'!$N$7:$N$2010,"P1")+SUMIFS('LAC 102_Wkst'!$Q$7:$Q$2010,'LAC 102_Wkst'!$D$7:$D$2010,$C$7,'LAC 102_Wkst'!$I$7:$I$2010,$C$9,'LAC 102_Wkst'!$E$7:$E$2010,$C25,'LAC 102_Wkst'!$G$7:$G$2010,$D25,'LAC 102_Wkst'!$L$7:$L$2010,"13",'LAC 102_Wkst'!$N$7:$N$2010,"P2")+SUMIFS('LAC 102_Wkst'!$Q$7:$Q$2010,'LAC 102_Wkst'!$D$7:$D$2010,$C$7,'LAC 102_Wkst'!$I$7:$I$2010,$C$9,'LAC 102_Wkst'!$E$7:$E$2010,$C25,'LAC 102_Wkst'!$G$7:$G$2010,$D25,'LAC 102_Wkst'!$L$7:$L$2010,"13",'LAC 102_Wkst'!$N$7:$N$2010,"P3")+SUMIFS('LAC 102_Wkst'!$Q$7:$Q$2010,'LAC 102_Wkst'!$D$7:$D$2010,$C$7,'LAC 102_Wkst'!$I$7:$I$2010,$C$9,'LAC 102_Wkst'!$E$7:$E$2010,$C25,'LAC 102_Wkst'!$G$7:$G$2010,$D25,'LAC 102_Wkst'!$L$7:$L$2010,"13",'LAC 102_Wkst'!$N$7:$N$2010,"P4")</f>
        <v>0</v>
      </c>
      <c r="BC25" s="411">
        <f>SUMIFS('LAC 102_Wkst'!$AF$7:$AF$2010,'LAC 102_Wkst'!$D$7:$D$2010,$C$7,'LAC 102_Wkst'!$I$7:$I$2010,$C$9,'LAC 102_Wkst'!$E$7:$E$2010,$C25,'LAC 102_Wkst'!$G$7:$G$2010,$D25,'LAC 102_Wkst'!$L$7:$L$2010,"13",'LAC 102_Wkst'!$N$7:$N$2010,"P1")+SUMIFS('LAC 102_Wkst'!$AF$7:$AF$2010,'LAC 102_Wkst'!$D$7:$D$2010,$C$7,'LAC 102_Wkst'!$I$7:$I$2010,$C$9,'LAC 102_Wkst'!$E$7:$E$2010,$C25,'LAC 102_Wkst'!$G$7:$G$2010,$D25,'LAC 102_Wkst'!$L$7:$L$2010,"13",'LAC 102_Wkst'!$N$7:$N$2010,"P2")+SUMIFS('LAC 102_Wkst'!$AF$7:$AF$2010,'LAC 102_Wkst'!$D$7:$D$2010,$C$7,'LAC 102_Wkst'!$I$7:$I$2010,$C$9,'LAC 102_Wkst'!$E$7:$E$2010,$C25,'LAC 102_Wkst'!$G$7:$G$2010,$D25,'LAC 102_Wkst'!$L$7:$L$2010,"13",'LAC 102_Wkst'!$N$7:$N$2010,"P3")+SUMIFS('LAC 102_Wkst'!$AF$7:$AF$2010,'LAC 102_Wkst'!$D$7:$D$2010,$C$7,'LAC 102_Wkst'!$I$7:$I$2010,$C$9,'LAC 102_Wkst'!$E$7:$E$2010,$C25,'LAC 102_Wkst'!$G$7:$G$2010,$D25,'LAC 102_Wkst'!$L$7:$L$2010,"13",'LAC 102_Wkst'!$N$7:$N$2010,"P4")</f>
        <v>0</v>
      </c>
      <c r="BD25" s="404">
        <f>SUMIFS('LAC 102_Wkst'!$Q$7:$Q$2010,'LAC 102_Wkst'!$D$7:$D$2010,$C$7,'LAC 102_Wkst'!$I$7:$I$2010,$C$9,'LAC 102_Wkst'!$E$7:$E$2010,$C25,'LAC 102_Wkst'!$G$7:$G$2010,$D25,'LAC 102_Wkst'!$L$7:$L$2010,"13",'LAC 102_Wkst'!$N$7:$N$2010,"P5")</f>
        <v>0</v>
      </c>
      <c r="BE25" s="411">
        <f>SUMIFS('LAC 102_Wkst'!$AF$7:$AF$2010,'LAC 102_Wkst'!$D$7:$D$2010,$C$7,'LAC 102_Wkst'!$I$7:$I$2010,$C$9,'LAC 102_Wkst'!$E$7:$E$2010,$C25,'LAC 102_Wkst'!$G$7:$G$2010,$D25,'LAC 102_Wkst'!$L$7:$L$2010,"13",'LAC 102_Wkst'!$N$7:$N$2010,"P5")</f>
        <v>0</v>
      </c>
      <c r="BF25" s="407">
        <f t="shared" si="4"/>
        <v>9901</v>
      </c>
      <c r="BG25" s="1654">
        <f>SUMIFS('LAC 102_Wkst'!$AF$7:$AF$2010,'LAC 102_Wkst'!$D$7:$D$2010,$C$7,'LAC 102_Wkst'!$I$7:$I$2010,$C$9,'LAC 102_Wkst'!$E$7:$E$2010,$C25,'LAC 102_Wkst'!$G$7:$G$2010,$D25,'LAC 102_Wkst'!$L$7:$L$2010,"14")</f>
        <v>24585.729626050765</v>
      </c>
    </row>
    <row r="26" spans="1:59" x14ac:dyDescent="0.2">
      <c r="A26" s="401">
        <v>4</v>
      </c>
      <c r="B26" s="1678" t="str">
        <f>IF(Schedule_B!B$23="","",Schedule_B!B$23)</f>
        <v>CR</v>
      </c>
      <c r="C26" s="1674" t="str">
        <f>IF(Schedule_B!C$23=""," ",Schedule_B!C$23)</f>
        <v>15</v>
      </c>
      <c r="D26" s="1675" t="str">
        <f>IF(Schedule_B!D$23=""," ",Schedule_B!D$23)</f>
        <v>07</v>
      </c>
      <c r="E26" s="1221">
        <f>SUMIFS('LAC 102_Wkst'!$Q$7:$Q$2010,'LAC 102_Wkst'!$D$7:$D$2010,$C$7,'LAC 102_Wkst'!$I$7:$I$2010,$C$9,'LAC 102_Wkst'!$E$7:$E$2010,$C26,'LAC 102_Wkst'!$G$7:$G$2010,$D26)</f>
        <v>0</v>
      </c>
      <c r="F26" s="408">
        <f>SUMIFS('LAC 102_Wkst'!$Q$7:$Q$2010,'LAC 102_Wkst'!$D$7:$D$2010,$C$7,'LAC 102_Wkst'!$I$7:$I$2010,$C$9,'LAC 102_Wkst'!$E$7:$E$2010,$C26,'LAC 102_Wkst'!$G$7:$G$2010,$D26,'LAC 102_Wkst'!$L$7:$L$2010,"01",'LAC 102_Wkst'!$N$7:$N$2010,"P1")+SUMIFS('LAC 102_Wkst'!$Q$7:$Q$2010,'LAC 102_Wkst'!$D$7:$D$2010,$C$7,'LAC 102_Wkst'!$I$7:$I$2010,$C$9,'LAC 102_Wkst'!$E$7:$E$2010,$C26,'LAC 102_Wkst'!$G$7:$G$2010,$D26,'LAC 102_Wkst'!$L$7:$L$2010,"01",'LAC 102_Wkst'!$N$7:$N$2010,"P2")+SUMIFS('LAC 102_Wkst'!$Q$7:$Q$2010,'LAC 102_Wkst'!$D$7:$D$2010,$C$7,'LAC 102_Wkst'!$I$7:$I$2010,$C$9,'LAC 102_Wkst'!$E$7:$E$2010,$C26,'LAC 102_Wkst'!$G$7:$G$2010,$D26,'LAC 102_Wkst'!$L$7:$L$2010,"01",'LAC 102_Wkst'!$N$7:$N$2010,"P3")+SUMIFS('LAC 102_Wkst'!$Q$7:$Q$2010,'LAC 102_Wkst'!$D$7:$D$2010,$C$7,'LAC 102_Wkst'!$I$7:$I$2010,$C$9,'LAC 102_Wkst'!$E$7:$E$2010,$C26,'LAC 102_Wkst'!$G$7:$G$2010,$D26,'LAC 102_Wkst'!$L$7:$L$2010,"02",'LAC 102_Wkst'!$N$7:$N$2010,"P1")+SUMIFS('LAC 102_Wkst'!$Q$7:$Q$2010,'LAC 102_Wkst'!$D$7:$D$2010,$C$7,'LAC 102_Wkst'!$I$7:$I$2010,$C$9,'LAC 102_Wkst'!$E$7:$E$2010,$C26,'LAC 102_Wkst'!$G$7:$G$2010,$D26,'LAC 102_Wkst'!$L$7:$L$2010,"02",'LAC 102_Wkst'!$N$7:$N$2010,"P2")+SUMIFS('LAC 102_Wkst'!$Q$7:$Q$2010,'LAC 102_Wkst'!$D$7:$D$2010,$C$7,'LAC 102_Wkst'!$I$7:$I$2010,$C$9,'LAC 102_Wkst'!$E$7:$E$2010,$C26,'LAC 102_Wkst'!$G$7:$G$2010,$D26,'LAC 102_Wkst'!$L$7:$L$2010,"02",'LAC 102_Wkst'!$N$7:$N$2010,"P3")</f>
        <v>0</v>
      </c>
      <c r="G26" s="409">
        <f>SUMIFS('LAC 102_Wkst'!$AF$7:$AF$2010,'LAC 102_Wkst'!$D$7:$D$2010,$C$7,'LAC 102_Wkst'!$I$7:$I$2010,$C$9,'LAC 102_Wkst'!$E$7:$E$2010,$C26,'LAC 102_Wkst'!$G$7:$G$2010,$D26,'LAC 102_Wkst'!$L$7:$L$2010,"01",'LAC 102_Wkst'!$N$7:$N$2010,"P1")+SUMIFS('LAC 102_Wkst'!$AF$7:$AF$2010,'LAC 102_Wkst'!$D$7:$D$2010,$C$7,'LAC 102_Wkst'!$I$7:$I$2010,$C$9,'LAC 102_Wkst'!$E$7:$E$2010,$C26,'LAC 102_Wkst'!$G$7:$G$2010,$D26,'LAC 102_Wkst'!$L$7:$L$2010,"01",'LAC 102_Wkst'!$N$7:$N$2010,"P2")+SUMIFS('LAC 102_Wkst'!$AF$7:$AF$2010,'LAC 102_Wkst'!$D$7:$D$2010,$C$7,'LAC 102_Wkst'!$I$7:$I$2010,$C$9,'LAC 102_Wkst'!$E$7:$E$2010,$C26,'LAC 102_Wkst'!$G$7:$G$2010,$D26,'LAC 102_Wkst'!$L$7:$L$2010,"01",'LAC 102_Wkst'!$N$7:$N$2010,"P3")+SUMIFS('LAC 102_Wkst'!$AF$7:$AF$2010,'LAC 102_Wkst'!$D$7:$D$2010,$C$7,'LAC 102_Wkst'!$I$7:$I$2010,$C$9,'LAC 102_Wkst'!$E$7:$E$2010,$C26,'LAC 102_Wkst'!$G$7:$G$2010,$D26,'LAC 102_Wkst'!$L$7:$L$2010,"02",'LAC 102_Wkst'!$N$7:$N$2010,"P1")+SUMIFS('LAC 102_Wkst'!$AF$7:$AF$2010,'LAC 102_Wkst'!$D$7:$D$2010,$C$7,'LAC 102_Wkst'!$I$7:$I$2010,$C$9,'LAC 102_Wkst'!$E$7:$E$2010,$C26,'LAC 102_Wkst'!$G$7:$G$2010,$D26,'LAC 102_Wkst'!$L$7:$L$2010,"02",'LAC 102_Wkst'!$N$7:$N$2010,"P2")+SUMIFS('LAC 102_Wkst'!$AF$7:$AF$2010,'LAC 102_Wkst'!$D$7:$D$2010,$C$7,'LAC 102_Wkst'!$I$7:$I$2010,$C$9,'LAC 102_Wkst'!$E$7:$E$2010,$C26,'LAC 102_Wkst'!$G$7:$G$2010,$D26,'LAC 102_Wkst'!$L$7:$L$2010,"02",'LAC 102_Wkst'!$N$7:$N$2010,"P3")</f>
        <v>0</v>
      </c>
      <c r="H26" s="410">
        <f>SUMIFS('LAC 102_Wkst'!$Q$7:$Q$2010,'LAC 102_Wkst'!$D$7:$D$2010,$C$7,'LAC 102_Wkst'!$I$7:$I$2010,$C$9,'LAC 102_Wkst'!$E$7:$E$2010,$C26,'LAC 102_Wkst'!$G$7:$G$2010,$D26,'LAC 102_Wkst'!$L$7:$L$2010,"01",'LAC 102_Wkst'!$N$7:$N$2010,"P4")+SUMIFS('LAC 102_Wkst'!$Q$7:$Q$2010,'LAC 102_Wkst'!$D$7:$D$2010,$C$7,'LAC 102_Wkst'!$I$7:$I$2010,$C$9,'LAC 102_Wkst'!$E$7:$E$2010,$C26,'LAC 102_Wkst'!$G$7:$G$2010,$D26,'LAC 102_Wkst'!$L$7:$L$2010,"02",'LAC 102_Wkst'!$N$7:$N$2010,"P4")</f>
        <v>0</v>
      </c>
      <c r="I26" s="411">
        <f>SUMIFS('LAC 102_Wkst'!$AF$7:$AF$2010,'LAC 102_Wkst'!$D$7:$D$2010,$C$7,'LAC 102_Wkst'!$I$7:$I$2010,$C$9,'LAC 102_Wkst'!$E$7:$E$2010,$C26,'LAC 102_Wkst'!$G$7:$G$2010,$D26,'LAC 102_Wkst'!$L$7:$L$2010,"01",'LAC 102_Wkst'!$N$7:$N$2010,"P4")+SUMIFS('LAC 102_Wkst'!$AF$7:$AF$2010,'LAC 102_Wkst'!$D$7:$D$2010,$C$7,'LAC 102_Wkst'!$I$7:$I$2010,$C$9,'LAC 102_Wkst'!$E$7:$E$2010,$C26,'LAC 102_Wkst'!$G$7:$G$2010,$D26,'LAC 102_Wkst'!$L$7:$L$2010,"02",'LAC 102_Wkst'!$N$7:$N$2010,"P4")</f>
        <v>0</v>
      </c>
      <c r="J26" s="410">
        <f>SUMIFS('LAC 102_Wkst'!$Q$7:$Q$2010,'LAC 102_Wkst'!$D$7:$D$2010,$C$7,'LAC 102_Wkst'!$I$7:$I$2010,$C$9,'LAC 102_Wkst'!$E$7:$E$2010,$C26,'LAC 102_Wkst'!$G$7:$G$2010,$D26,'LAC 102_Wkst'!$L$7:$L$2010,"01",'LAC 102_Wkst'!$N$7:$N$2010,"P5")+SUMIFS('LAC 102_Wkst'!$Q$7:$Q$2010,'LAC 102_Wkst'!$D$7:$D$2010,$C$7,'LAC 102_Wkst'!$I$7:$I$2010,$C$9,'LAC 102_Wkst'!$E$7:$E$2010,$C26,'LAC 102_Wkst'!$G$7:$G$2010,$D26,'LAC 102_Wkst'!$L$7:$L$2010,"02",'LAC 102_Wkst'!$N$7:$N$2010,"P5")</f>
        <v>0</v>
      </c>
      <c r="K26" s="411">
        <f>SUMIFS('LAC 102_Wkst'!$AF$7:$AF$2010,'LAC 102_Wkst'!$D$7:$D$2010,$C$7,'LAC 102_Wkst'!$I$7:$I$2010,$C$9,'LAC 102_Wkst'!$E$7:$E$2010,$C26,'LAC 102_Wkst'!$G$7:$G$2010,$D26,'LAC 102_Wkst'!$L$7:$L$2010,"01",'LAC 102_Wkst'!$N$7:$N$2010,"P5")+SUMIFS('LAC 102_Wkst'!$AF$7:$AF$2010,'LAC 102_Wkst'!$D$7:$D$2010,$C$7,'LAC 102_Wkst'!$I$7:$I$2010,$C$9,'LAC 102_Wkst'!$E$7:$E$2010,$C26,'LAC 102_Wkst'!$G$7:$G$2010,$D26,'LAC 102_Wkst'!$L$7:$L$2010,"02",'LAC 102_Wkst'!$N$7:$N$2010,"P5")</f>
        <v>0</v>
      </c>
      <c r="L26" s="410">
        <f>SUMIFS('LAC 102_Wkst'!$Q$7:$Q$2010,'LAC 102_Wkst'!$D$7:$D$2010,$C$7,'LAC 102_Wkst'!$I$7:$I$2010,$C$9,'LAC 102_Wkst'!$E$7:$E$2010,$C26,'LAC 102_Wkst'!$G$7:$G$2010,$D26,'LAC 102_Wkst'!$L$7:$L$2010,"03",'LAC 102_Wkst'!$N$7:$N$2010,"P1")+SUMIFS('LAC 102_Wkst'!$Q$7:$Q$2010,'LAC 102_Wkst'!$D$7:$D$2010,$C$7,'LAC 102_Wkst'!$I$7:$I$2010,$C$9,'LAC 102_Wkst'!$E$7:$E$2010,$C26,'LAC 102_Wkst'!$G$7:$G$2010,$D26,'LAC 102_Wkst'!$L$7:$L$2010,"03",'LAC 102_Wkst'!$N$7:$N$2010,"P2")+SUMIFS('LAC 102_Wkst'!$Q$7:$Q$2010,'LAC 102_Wkst'!$D$7:$D$2010,$C$7,'LAC 102_Wkst'!$I$7:$I$2010,$C$9,'LAC 102_Wkst'!$E$7:$E$2010,$C26,'LAC 102_Wkst'!$G$7:$G$2010,$D26,'LAC 102_Wkst'!$L$7:$L$2010,"03",'LAC 102_Wkst'!$N$7:$N$2010,"P3")+SUMIFS('LAC 102_Wkst'!$Q$7:$Q$2010,'LAC 102_Wkst'!$D$7:$D$2010,$C$7,'LAC 102_Wkst'!$I$7:$I$2010,$C$9,'LAC 102_Wkst'!$E$7:$E$2010,$C26,'LAC 102_Wkst'!$G$7:$G$2010,$D26,'LAC 102_Wkst'!$L$7:$L$2010,"04",'LAC 102_Wkst'!$N$7:$N$2010,"P1")+SUMIFS('LAC 102_Wkst'!$Q$7:$Q$2010,'LAC 102_Wkst'!$D$7:$D$2010,$C$7,'LAC 102_Wkst'!$I$7:$I$2010,$C$9,'LAC 102_Wkst'!$E$7:$E$2010,$C26,'LAC 102_Wkst'!$G$7:$G$2010,$D26,'LAC 102_Wkst'!$L$7:$L$2010,"04",'LAC 102_Wkst'!$N$7:$N$2010,"P2")+SUMIFS('LAC 102_Wkst'!$Q$7:$Q$2010,'LAC 102_Wkst'!$D$7:$D$2010,$C$7,'LAC 102_Wkst'!$I$7:$I$2010,$C$9,'LAC 102_Wkst'!$E$7:$E$2010,$C26,'LAC 102_Wkst'!$G$7:$G$2010,$D26,'LAC 102_Wkst'!$L$7:$L$2010,"04",'LAC 102_Wkst'!$N$7:$N$2010,"P3")</f>
        <v>0</v>
      </c>
      <c r="M26" s="411">
        <f>SUMIFS('LAC 102_Wkst'!$AF$7:$AF$2010,'LAC 102_Wkst'!$D$7:$D$2010,$C$7,'LAC 102_Wkst'!$I$7:$I$2010,$C$9,'LAC 102_Wkst'!$E$7:$E$2010,$C26,'LAC 102_Wkst'!$G$7:$G$2010,$D26,'LAC 102_Wkst'!$L$7:$L$2010,"03",'LAC 102_Wkst'!$N$7:$N$2010,"P1")+SUMIFS('LAC 102_Wkst'!$AF$7:$AF$2010,'LAC 102_Wkst'!$D$7:$D$2010,$C$7,'LAC 102_Wkst'!$I$7:$I$2010,$C$9,'LAC 102_Wkst'!$E$7:$E$2010,$C26,'LAC 102_Wkst'!$G$7:$G$2010,$D26,'LAC 102_Wkst'!$L$7:$L$2010,"03",'LAC 102_Wkst'!$N$7:$N$2010,"P2")+SUMIFS('LAC 102_Wkst'!$AF$7:$AF$2010,'LAC 102_Wkst'!$D$7:$D$2010,$C$7,'LAC 102_Wkst'!$I$7:$I$2010,$C$9,'LAC 102_Wkst'!$E$7:$E$2010,$C26,'LAC 102_Wkst'!$G$7:$G$2010,$D26,'LAC 102_Wkst'!$L$7:$L$2010,"03",'LAC 102_Wkst'!$N$7:$N$2010,"P3")+SUMIFS('LAC 102_Wkst'!$AF$7:$AF$2010,'LAC 102_Wkst'!$D$7:$D$2010,$C$7,'LAC 102_Wkst'!$I$7:$I$2010,$C$9,'LAC 102_Wkst'!$E$7:$E$2010,$C26,'LAC 102_Wkst'!$G$7:$G$2010,$D26,'LAC 102_Wkst'!$L$7:$L$2010,"04",'LAC 102_Wkst'!$N$7:$N$2010,"P1")+SUMIFS('LAC 102_Wkst'!$AF$7:$AF$2010,'LAC 102_Wkst'!$D$7:$D$2010,$C$7,'LAC 102_Wkst'!$I$7:$I$2010,$C$9,'LAC 102_Wkst'!$E$7:$E$2010,$C26,'LAC 102_Wkst'!$G$7:$G$2010,$D26,'LAC 102_Wkst'!$L$7:$L$2010,"04",'LAC 102_Wkst'!$N$7:$N$2010,"P2")+SUMIFS('LAC 102_Wkst'!$AF$7:$AF$2010,'LAC 102_Wkst'!$D$7:$D$2010,$C$7,'LAC 102_Wkst'!$I$7:$I$2010,$C$9,'LAC 102_Wkst'!$E$7:$E$2010,$C26,'LAC 102_Wkst'!$G$7:$G$2010,$D26,'LAC 102_Wkst'!$L$7:$L$2010,"04",'LAC 102_Wkst'!$N$7:$N$2010,"P3")</f>
        <v>0</v>
      </c>
      <c r="N26" s="410">
        <f>SUMIFS('LAC 102_Wkst'!$Q$7:$Q$2010,'LAC 102_Wkst'!$D$7:$D$2010,$C$7,'LAC 102_Wkst'!$I$7:$I$2010,$C$9,'LAC 102_Wkst'!$E$7:$E$2010,$C26,'LAC 102_Wkst'!$G$7:$G$2010,$D26,'LAC 102_Wkst'!$L$7:$L$2010,"03",'LAC 102_Wkst'!$N$7:$N$2010,"P4")+SUMIFS('LAC 102_Wkst'!$Q$7:$Q$2010,'LAC 102_Wkst'!$D$7:$D$2010,$C$7,'LAC 102_Wkst'!$I$7:$I$2010,$C$9,'LAC 102_Wkst'!$E$7:$E$2010,$C26,'LAC 102_Wkst'!$G$7:$G$2010,$D26,'LAC 102_Wkst'!$L$7:$L$2010,"04",'LAC 102_Wkst'!$N$7:$N$2010,"P4")</f>
        <v>0</v>
      </c>
      <c r="O26" s="411">
        <f>SUMIFS('LAC 102_Wkst'!$AF$7:$AF$2010,'LAC 102_Wkst'!$D$7:$D$2010,$C$7,'LAC 102_Wkst'!$I$7:$I$2010,$C$9,'LAC 102_Wkst'!$E$7:$E$2010,$C26,'LAC 102_Wkst'!$G$7:$G$2010,$D26,'LAC 102_Wkst'!$L$7:$L$2010,"03",'LAC 102_Wkst'!$N$7:$N$2010,"P4")+SUMIFS('LAC 102_Wkst'!$AF$7:$AF$2010,'LAC 102_Wkst'!$D$7:$D$2010,$C$7,'LAC 102_Wkst'!$I$7:$I$2010,$C$9,'LAC 102_Wkst'!$E$7:$E$2010,$C26,'LAC 102_Wkst'!$G$7:$G$2010,$D26,'LAC 102_Wkst'!$L$7:$L$2010,"04",'LAC 102_Wkst'!$N$7:$N$2010,"P4")</f>
        <v>0</v>
      </c>
      <c r="P26" s="404">
        <f>SUMIFS('LAC 102_Wkst'!$Q$7:$Q$2010,'LAC 102_Wkst'!$D$7:$D$2010,$C$7,'LAC 102_Wkst'!$I$7:$I$2010,$C$9,'LAC 102_Wkst'!$E$7:$E$2010,$C26,'LAC 102_Wkst'!$G$7:$G$2010,$D26,'LAC 102_Wkst'!$L$7:$L$2010,"03",'LAC 102_Wkst'!$N$7:$N$2010,"P5")+SUMIFS('LAC 102_Wkst'!$Q$7:$Q$2010,'LAC 102_Wkst'!$D$7:$D$2010,$C$7,'LAC 102_Wkst'!$I$7:$I$2010,$C$9,'LAC 102_Wkst'!$E$7:$E$2010,$C26,'LAC 102_Wkst'!$G$7:$G$2010,$D26,'LAC 102_Wkst'!$L$7:$L$2010,"04",'LAC 102_Wkst'!$N$7:$N$2010,"P5")</f>
        <v>0</v>
      </c>
      <c r="Q26" s="411">
        <f>SUMIFS('LAC 102_Wkst'!$AF$7:$AF$2010,'LAC 102_Wkst'!$D$7:$D$2010,$C$7,'LAC 102_Wkst'!$I$7:$I$2010,$C$9,'LAC 102_Wkst'!$E$7:$E$2010,$C26,'LAC 102_Wkst'!$G$7:$G$2010,$D26,'LAC 102_Wkst'!$L$7:$L$2010,"03",'LAC 102_Wkst'!$N$7:$N$2010,"P5")+SUMIFS('LAC 102_Wkst'!$AF$7:$AF$2010,'LAC 102_Wkst'!$D$7:$D$2010,$C$7,'LAC 102_Wkst'!$I$7:$I$2010,$C$9,'LAC 102_Wkst'!$E$7:$E$2010,$C26,'LAC 102_Wkst'!$G$7:$G$2010,$D26,'LAC 102_Wkst'!$L$7:$L$2010,"04",'LAC 102_Wkst'!$N$7:$N$2010,"P5")</f>
        <v>0</v>
      </c>
      <c r="R26" s="412">
        <f>SUMIFS('LAC 102_Wkst'!$Q$7:$Q$2010,'LAC 102_Wkst'!$D$7:$D$2010,$C$7,'LAC 102_Wkst'!$I$7:$I$2010,$C$9,'LAC 102_Wkst'!$E$7:$E$2010,$C26,'LAC 102_Wkst'!$G$7:$G$2010,$D26,'LAC 102_Wkst'!$L$7:$L$2010,"05",'LAC 102_Wkst'!$N$7:$N$2010,"P1")+SUMIFS('LAC 102_Wkst'!$Q$7:$Q$2010,'LAC 102_Wkst'!$D$7:$D$2010,$C$7,'LAC 102_Wkst'!$I$7:$I$2010,$C$9,'LAC 102_Wkst'!$E$7:$E$2010,$C26,'LAC 102_Wkst'!$G$7:$G$2010,$D26,'LAC 102_Wkst'!$L$7:$L$2010,"06",'LAC 102_Wkst'!$N$7:$N$2010,"P1")</f>
        <v>0</v>
      </c>
      <c r="S26" s="411">
        <f>SUMIFS('LAC 102_Wkst'!$AF$7:$AF$2010,'LAC 102_Wkst'!$D$7:$D$2010,$C$7,'LAC 102_Wkst'!$I$7:$I$2010,$C$9,'LAC 102_Wkst'!$E$7:$E$2010,$C26,'LAC 102_Wkst'!$G$7:$G$2010,$D26,'LAC 102_Wkst'!$L$7:$L$2010,"05",'LAC 102_Wkst'!$N$7:$N$2010,"P1")+SUMIFS('LAC 102_Wkst'!$AF$7:$AF$2010,'LAC 102_Wkst'!$D$7:$D$2010,$C$7,'LAC 102_Wkst'!$I$7:$I$2010,$C$9,'LAC 102_Wkst'!$E$7:$E$2010,$C26,'LAC 102_Wkst'!$G$7:$G$2010,$D26,'LAC 102_Wkst'!$L$7:$L$2010,"06",'LAC 102_Wkst'!$N$7:$N$2010,"P1")</f>
        <v>0</v>
      </c>
      <c r="T26" s="410">
        <f>SUMIFS('LAC 102_Wkst'!$Q$7:$Q$2010,'LAC 102_Wkst'!$D$7:$D$2010,$C$7,'LAC 102_Wkst'!$I$7:$I$2010,$C$9,'LAC 102_Wkst'!$E$7:$E$2010,$C26,'LAC 102_Wkst'!$G$7:$G$2010,$D26,'LAC 102_Wkst'!$L$7:$L$2010,"05",'LAC 102_Wkst'!$N$7:$N$2010,"P2")+SUMIFS('LAC 102_Wkst'!$Q$7:$Q$2010,'LAC 102_Wkst'!$D$7:$D$2010,$C$7,'LAC 102_Wkst'!$I$7:$I$2010,$C$9,'LAC 102_Wkst'!$E$7:$E$2010,$C26,'LAC 102_Wkst'!$G$7:$G$2010,$D26,'LAC 102_Wkst'!$L$7:$L$2010,"06",'LAC 102_Wkst'!$N$7:$N$2010,"P2")+SUMIFS('LAC 102_Wkst'!$Q$7:$Q$2010,'LAC 102_Wkst'!$D$7:$D$2010,$C$7,'LAC 102_Wkst'!$I$7:$I$2010,$C$9,'LAC 102_Wkst'!$E$7:$E$2010,$C26,'LAC 102_Wkst'!$G$7:$G$2010,$D26,'LAC 102_Wkst'!$L$7:$L$2010,"05",'LAC 102_Wkst'!$N$7:$N$2010,"P3")+SUMIFS('LAC 102_Wkst'!$Q$7:$Q$2010,'LAC 102_Wkst'!$D$7:$D$2010,$C$7,'LAC 102_Wkst'!$I$7:$I$2010,$C$9,'LAC 102_Wkst'!$E$7:$E$2010,$C26,'LAC 102_Wkst'!$G$7:$G$2010,$D26,'LAC 102_Wkst'!$L$7:$L$2010,"06",'LAC 102_Wkst'!$N$7:$N$2010,"P3")</f>
        <v>0</v>
      </c>
      <c r="U26" s="411">
        <f>SUMIFS('LAC 102_Wkst'!$AF$7:$AF$2010,'LAC 102_Wkst'!$D$7:$D$2010,$C$7,'LAC 102_Wkst'!$I$7:$I$2010,$C$9,'LAC 102_Wkst'!$E$7:$E$2010,$C26,'LAC 102_Wkst'!$G$7:$G$2010,$D26,'LAC 102_Wkst'!$L$7:$L$2010,"05",'LAC 102_Wkst'!$N$7:$N$2010,"P2")+SUMIFS('LAC 102_Wkst'!$AF$7:$AF$2010,'LAC 102_Wkst'!$D$7:$D$2010,$C$7,'LAC 102_Wkst'!$I$7:$I$2010,$C$9,'LAC 102_Wkst'!$E$7:$E$2010,$C26,'LAC 102_Wkst'!$G$7:$G$2010,$D26,'LAC 102_Wkst'!$L$7:$L$2010,"06",'LAC 102_Wkst'!$N$7:$N$2010,"P2")+SUMIFS('LAC 102_Wkst'!$AF$7:$AF$2010,'LAC 102_Wkst'!$D$7:$D$2010,$C$7,'LAC 102_Wkst'!$I$7:$I$2010,$C$9,'LAC 102_Wkst'!$E$7:$E$2010,$C26,'LAC 102_Wkst'!$G$7:$G$2010,$D26,'LAC 102_Wkst'!$L$7:$L$2010,"05",'LAC 102_Wkst'!$N$7:$N$2010,"P3")+SUMIFS('LAC 102_Wkst'!$AF$7:$AF$2010,'LAC 102_Wkst'!$D$7:$D$2010,$C$7,'LAC 102_Wkst'!$I$7:$I$2010,$C$9,'LAC 102_Wkst'!$E$7:$E$2010,$C26,'LAC 102_Wkst'!$G$7:$G$2010,$D26,'LAC 102_Wkst'!$L$7:$L$2010,"06",'LAC 102_Wkst'!$N$7:$N$2010,"P3")</f>
        <v>0</v>
      </c>
      <c r="V26" s="410">
        <f>SUMIFS('LAC 102_Wkst'!$Q$7:$Q$2010,'LAC 102_Wkst'!$D$7:$D$2010,$C$7,'LAC 102_Wkst'!$I$7:$I$2010,$C$9,'LAC 102_Wkst'!$E$7:$E$2010,$C26,'LAC 102_Wkst'!$G$7:$G$2010,$D26,'LAC 102_Wkst'!$L$7:$L$2010,"05",'LAC 102_Wkst'!$N$7:$N$2010,"P4")+SUMIFS('LAC 102_Wkst'!$Q$7:$Q$2010,'LAC 102_Wkst'!$D$7:$D$2010,$C$7,'LAC 102_Wkst'!$I$7:$I$2010,$C$9,'LAC 102_Wkst'!$E$7:$E$2010,$C26,'LAC 102_Wkst'!$G$7:$G$2010,$D26,'LAC 102_Wkst'!$L$7:$L$2010,"06",'LAC 102_Wkst'!$N$7:$N$2010,"P4")</f>
        <v>0</v>
      </c>
      <c r="W26" s="411">
        <f>SUMIFS('LAC 102_Wkst'!$AF$7:$AF$2010,'LAC 102_Wkst'!$D$7:$D$2010,$C$7,'LAC 102_Wkst'!$I$7:$I$2010,$C$9,'LAC 102_Wkst'!$E$7:$E$2010,$C26,'LAC 102_Wkst'!$G$7:$G$2010,$D26,'LAC 102_Wkst'!$L$7:$L$2010,"05",'LAC 102_Wkst'!$N$7:$N$2010,"P4")+SUMIFS('LAC 102_Wkst'!$AF$7:$AF$2010,'LAC 102_Wkst'!$D$7:$D$2010,$C$7,'LAC 102_Wkst'!$I$7:$I$2010,$C$9,'LAC 102_Wkst'!$E$7:$E$2010,$C26,'LAC 102_Wkst'!$G$7:$G$2010,$D26,'LAC 102_Wkst'!$L$7:$L$2010,"06",'LAC 102_Wkst'!$N$7:$N$2010,"P4")</f>
        <v>0</v>
      </c>
      <c r="X26" s="404">
        <f>SUMIFS('LAC 102_Wkst'!$Q$7:$Q$2010,'LAC 102_Wkst'!$D$7:$D$2010,$C$7,'LAC 102_Wkst'!$I$7:$I$2010,$C$9,'LAC 102_Wkst'!$E$7:$E$2010,$C26,'LAC 102_Wkst'!$G$7:$G$2010,$D26,'LAC 102_Wkst'!$L$7:$L$2010,"05",'LAC 102_Wkst'!$N$7:$N$2010,"P5")+SUMIFS('LAC 102_Wkst'!$Q$7:$Q$2010,'LAC 102_Wkst'!$D$7:$D$2010,$C$7,'LAC 102_Wkst'!$I$7:$I$2010,$C$9,'LAC 102_Wkst'!$E$7:$E$2010,$C26,'LAC 102_Wkst'!$G$7:$G$2010,$D26,'LAC 102_Wkst'!$L$7:$L$2010,"06",'LAC 102_Wkst'!$N$7:$N$2010,"P5")</f>
        <v>0</v>
      </c>
      <c r="Y26" s="411">
        <f>SUMIFS('LAC 102_Wkst'!$AF$7:$AF$2010,'LAC 102_Wkst'!$D$7:$D$2010,$C$7,'LAC 102_Wkst'!$I$7:$I$2010,$C$9,'LAC 102_Wkst'!$E$7:$E$2010,$C26,'LAC 102_Wkst'!$G$7:$G$2010,$D26,'LAC 102_Wkst'!$L$7:$L$2010,"05",'LAC 102_Wkst'!$N$7:$N$2010,"P5")+SUMIFS('LAC 102_Wkst'!$AF$7:$AF$2010,'LAC 102_Wkst'!$D$7:$D$2010,$C$7,'LAC 102_Wkst'!$I$7:$I$2010,$C$9,'LAC 102_Wkst'!$E$7:$E$2010,$C26,'LAC 102_Wkst'!$G$7:$G$2010,$D26,'LAC 102_Wkst'!$L$7:$L$2010,"06",'LAC 102_Wkst'!$N$7:$N$2010,"P5")</f>
        <v>0</v>
      </c>
      <c r="Z26" s="410">
        <f>SUMIFS('LAC 102_Wkst'!$Q$7:$Q$2010,'LAC 102_Wkst'!$D$7:$D$2010,$C$7,'LAC 102_Wkst'!$I$7:$I$2010,$C$9,'LAC 102_Wkst'!$E$7:$E$2010,$C26,'LAC 102_Wkst'!$G$7:$G$2010,$D26,'LAC 102_Wkst'!$L$7:$L$2010,"07",'LAC 102_Wkst'!$N$7:$N$2010,"P1")+SUMIFS('LAC 102_Wkst'!$Q$7:$Q$2010,'LAC 102_Wkst'!$D$7:$D$2010,$C$7,'LAC 102_Wkst'!$I$7:$I$2010,$C$9,'LAC 102_Wkst'!$E$7:$E$2010,$C26,'LAC 102_Wkst'!$G$7:$G$2010,$D26,'LAC 102_Wkst'!$L$7:$L$2010,"07",'LAC 102_Wkst'!$N$7:$N$2010,"P2")+SUMIFS('LAC 102_Wkst'!$Q$7:$Q$2010,'LAC 102_Wkst'!$D$7:$D$2010,$C$7,'LAC 102_Wkst'!$I$7:$I$2010,$C$9,'LAC 102_Wkst'!$E$7:$E$2010,$C26,'LAC 102_Wkst'!$G$7:$G$2010,$D26,'LAC 102_Wkst'!$L$7:$L$2010,"07",'LAC 102_Wkst'!$N$7:$N$2010,"P3")</f>
        <v>0</v>
      </c>
      <c r="AA26" s="411">
        <f>SUMIFS('LAC 102_Wkst'!$AF$7:$AF$2010,'LAC 102_Wkst'!$D$7:$D$2010,$C$7,'LAC 102_Wkst'!$I$7:$I$2010,$C$9,'LAC 102_Wkst'!$E$7:$E$2010,$C26,'LAC 102_Wkst'!$G$7:$G$2010,$D26,'LAC 102_Wkst'!$L$7:$L$2010,"07",'LAC 102_Wkst'!$N$7:$N$2010,"P1")+SUMIFS('LAC 102_Wkst'!$AF$7:$AF$2010,'LAC 102_Wkst'!$D$7:$D$2010,$C$7,'LAC 102_Wkst'!$I$7:$I$2010,$C$9,'LAC 102_Wkst'!$E$7:$E$2010,$C26,'LAC 102_Wkst'!$G$7:$G$2010,$D26,'LAC 102_Wkst'!$L$7:$L$2010,"07",'LAC 102_Wkst'!$N$7:$N$2010,"P2")+SUMIFS('LAC 102_Wkst'!$AF$7:$AF$2010,'LAC 102_Wkst'!$D$7:$D$2010,$C$7,'LAC 102_Wkst'!$I$7:$I$2010,$C$9,'LAC 102_Wkst'!$E$7:$E$2010,$C26,'LAC 102_Wkst'!$G$7:$G$2010,$D26,'LAC 102_Wkst'!$L$7:$L$2010,"07",'LAC 102_Wkst'!$N$7:$N$2010,"P3")</f>
        <v>0</v>
      </c>
      <c r="AB26" s="410">
        <f>SUMIFS('LAC 102_Wkst'!$Q$7:$Q$2010,'LAC 102_Wkst'!$D$7:$D$2010,$C$7,'LAC 102_Wkst'!$I$7:$I$2010,$C$9,'LAC 102_Wkst'!$E$7:$E$2010,$C26,'LAC 102_Wkst'!$G$7:$G$2010,$D26,'LAC 102_Wkst'!$L$7:$L$2010,"07",'LAC 102_Wkst'!$N$7:$N$2010,"P4")</f>
        <v>0</v>
      </c>
      <c r="AC26" s="411">
        <f>SUMIFS('LAC 102_Wkst'!$AF$7:$AF$2010,'LAC 102_Wkst'!$D$7:$D$2010,$C$7,'LAC 102_Wkst'!$I$7:$I$2010,$C$9,'LAC 102_Wkst'!$E$7:$E$2010,$C26,'LAC 102_Wkst'!$G$7:$G$2010,$D26,'LAC 102_Wkst'!$L$7:$L$2010,"07",'LAC 102_Wkst'!$N$7:$N$2010,"P4")</f>
        <v>0</v>
      </c>
      <c r="AD26" s="404">
        <f>SUMIFS('LAC 102_Wkst'!$Q$7:$Q$2010,'LAC 102_Wkst'!$D$7:$D$2010,$C$7,'LAC 102_Wkst'!$I$7:$I$2010,$C$9,'LAC 102_Wkst'!$E$7:$E$2010,$C26,'LAC 102_Wkst'!$G$7:$G$2010,$D26,'LAC 102_Wkst'!$L$7:$L$2010,"07",'LAC 102_Wkst'!$N$7:$N$2010,"P5")</f>
        <v>0</v>
      </c>
      <c r="AE26" s="411">
        <f>SUMIFS('LAC 102_Wkst'!$AF$7:$AF$2010,'LAC 102_Wkst'!$D$7:$D$2010,$C$7,'LAC 102_Wkst'!$I$7:$I$2010,$C$9,'LAC 102_Wkst'!$E$7:$E$2010,$C26,'LAC 102_Wkst'!$G$7:$G$2010,$D26,'LAC 102_Wkst'!$L$7:$L$2010,"07",'LAC 102_Wkst'!$N$7:$N$2010,"P5")</f>
        <v>0</v>
      </c>
      <c r="AF26" s="410">
        <f>SUMIFS('LAC 102_Wkst'!$Q$7:$Q$2010,'LAC 102_Wkst'!$D$7:$D$2010,$C$7,'LAC 102_Wkst'!$I$7:$I$2010,$C$9,'LAC 102_Wkst'!$E$7:$E$2010,$C26,'LAC 102_Wkst'!$G$7:$G$2010,$D26,'LAC 102_Wkst'!$L$7:$L$2010,"08",'LAC 102_Wkst'!$N$7:$N$2010,"P1")+SUMIFS('LAC 102_Wkst'!$Q$7:$Q$2010,'LAC 102_Wkst'!$D$7:$D$2010,$C$7,'LAC 102_Wkst'!$I$7:$I$2010,$C$9,'LAC 102_Wkst'!$E$7:$E$2010,$C26,'LAC 102_Wkst'!$G$7:$G$2010,$D26,'LAC 102_Wkst'!$L$7:$L$2010,"08",'LAC 102_Wkst'!$N$7:$N$2010,"P2")+SUMIFS('LAC 102_Wkst'!$Q$7:$Q$2010,'LAC 102_Wkst'!$D$7:$D$2010,$C$7,'LAC 102_Wkst'!$I$7:$I$2010,$C$9,'LAC 102_Wkst'!$E$7:$E$2010,$C26,'LAC 102_Wkst'!$G$7:$G$2010,$D26,'LAC 102_Wkst'!$L$7:$L$2010,"08",'LAC 102_Wkst'!$N$7:$N$2010,"P3")</f>
        <v>0</v>
      </c>
      <c r="AG26" s="411">
        <f>SUMIFS('LAC 102_Wkst'!$AF$7:$AF$2010,'LAC 102_Wkst'!$D$7:$D$2010,$C$7,'LAC 102_Wkst'!$I$7:$I$2010,$C$9,'LAC 102_Wkst'!$E$7:$E$2010,$C26,'LAC 102_Wkst'!$G$7:$G$2010,$D26,'LAC 102_Wkst'!$L$7:$L$2010,"08",'LAC 102_Wkst'!$N$7:$N$2010,"P1")+SUMIFS('LAC 102_Wkst'!$AF$7:$AF$2010,'LAC 102_Wkst'!$D$7:$D$2010,$C$7,'LAC 102_Wkst'!$I$7:$I$2010,$C$9,'LAC 102_Wkst'!$E$7:$E$2010,$C26,'LAC 102_Wkst'!$G$7:$G$2010,$D26,'LAC 102_Wkst'!$L$7:$L$2010,"08",'LAC 102_Wkst'!$N$7:$N$2010,"P2")+SUMIFS('LAC 102_Wkst'!$AF$7:$AF$2010,'LAC 102_Wkst'!$D$7:$D$2010,$C$7,'LAC 102_Wkst'!$I$7:$I$2010,$C$9,'LAC 102_Wkst'!$E$7:$E$2010,$C26,'LAC 102_Wkst'!$G$7:$G$2010,$D26,'LAC 102_Wkst'!$L$7:$L$2010,"08",'LAC 102_Wkst'!$N$7:$N$2010,"P3")</f>
        <v>0</v>
      </c>
      <c r="AH26" s="410">
        <f>SUMIFS('LAC 102_Wkst'!$Q$7:$Q$2010,'LAC 102_Wkst'!$D$7:$D$2010,$C$7,'LAC 102_Wkst'!$I$7:$I$2010,$C$9,'LAC 102_Wkst'!$E$7:$E$2010,$C26,'LAC 102_Wkst'!$G$7:$G$2010,$D26,'LAC 102_Wkst'!$L$7:$L$2010,"08",'LAC 102_Wkst'!$N$7:$N$2010,"P4")</f>
        <v>0</v>
      </c>
      <c r="AI26" s="411">
        <f>SUMIFS('LAC 102_Wkst'!$AF$7:$AF$2010,'LAC 102_Wkst'!$D$7:$D$2010,$C$7,'LAC 102_Wkst'!$I$7:$I$2010,$C$9,'LAC 102_Wkst'!$E$7:$E$2010,$C26,'LAC 102_Wkst'!$G$7:$G$2010,$D26,'LAC 102_Wkst'!$L$7:$L$2010,"08",'LAC 102_Wkst'!$N$7:$N$2010,"P4")</f>
        <v>0</v>
      </c>
      <c r="AJ26" s="404">
        <f>SUMIFS('LAC 102_Wkst'!$Q$7:$Q$2010,'LAC 102_Wkst'!$D$7:$D$2010,$C$7,'LAC 102_Wkst'!$I$7:$I$2010,$C$9,'LAC 102_Wkst'!$E$7:$E$2010,$C26,'LAC 102_Wkst'!$G$7:$G$2010,$D26,'LAC 102_Wkst'!$L$7:$L$2010,"08",'LAC 102_Wkst'!$N$7:$N$2010,"P5")</f>
        <v>0</v>
      </c>
      <c r="AK26" s="411">
        <f>SUMIFS('LAC 102_Wkst'!$AF$7:$AF$2010,'LAC 102_Wkst'!$D$7:$D$2010,$C$7,'LAC 102_Wkst'!$I$7:$I$2010,$C$9,'LAC 102_Wkst'!$E$7:$E$2010,$C26,'LAC 102_Wkst'!$G$7:$G$2010,$D26,'LAC 102_Wkst'!$L$7:$L$2010,"08",'LAC 102_Wkst'!$N$7:$N$2010,"P5")</f>
        <v>0</v>
      </c>
      <c r="AL26" s="410">
        <f>SUMIFS('LAC 102_Wkst'!$Q$7:$Q$2010,'LAC 102_Wkst'!$D$7:$D$2010,$C$7,'LAC 102_Wkst'!$I$7:$I$2010,$C$9,'LAC 102_Wkst'!$E$7:$E$2010,$C26,'LAC 102_Wkst'!$G$7:$G$2010,$D26,'LAC 102_Wkst'!$L$7:$L$2010,"09",'LAC 102_Wkst'!$N$7:$N$2010,"P1")+SUMIFS('LAC 102_Wkst'!$Q$7:$Q$2010,'LAC 102_Wkst'!$D$7:$D$2010,$C$7,'LAC 102_Wkst'!$I$7:$I$2010,$C$9,'LAC 102_Wkst'!$E$7:$E$2010,$C26,'LAC 102_Wkst'!$G$7:$G$2010,$D26,'LAC 102_Wkst'!$L$7:$L$2010,"09",'LAC 102_Wkst'!$N$7:$N$2010,"P2")+SUMIFS('LAC 102_Wkst'!$Q$7:$Q$2010,'LAC 102_Wkst'!$D$7:$D$2010,$C$7,'LAC 102_Wkst'!$I$7:$I$2010,$C$9,'LAC 102_Wkst'!$E$7:$E$2010,$C26,'LAC 102_Wkst'!$G$7:$G$2010,$D26,'LAC 102_Wkst'!$L$7:$L$2010,"09",'LAC 102_Wkst'!$N$7:$N$2010,"P3")+SUMIFS('LAC 102_Wkst'!$Q$7:$Q$2010,'LAC 102_Wkst'!$D$7:$D$2010,$C$7,'LAC 102_Wkst'!$I$7:$I$2010,$C$9,'LAC 102_Wkst'!$E$7:$E$2010,$C26,'LAC 102_Wkst'!$G$7:$G$2010,$D26,'LAC 102_Wkst'!$L$7:$L$2010,"09",'LAC 102_Wkst'!$N$7:$N$2010,"P4")</f>
        <v>0</v>
      </c>
      <c r="AM26" s="411">
        <f>SUMIFS('LAC 102_Wkst'!$AF$7:$AF$2010,'LAC 102_Wkst'!$D$7:$D$2010,$C$7,'LAC 102_Wkst'!$I$7:$I$2010,$C$9,'LAC 102_Wkst'!$E$7:$E$2010,$C26,'LAC 102_Wkst'!$G$7:$G$2010,$D26,'LAC 102_Wkst'!$L$7:$L$2010,"09",'LAC 102_Wkst'!$N$7:$N$2010,"P1")+SUMIFS('LAC 102_Wkst'!$AF$7:$AF$2010,'LAC 102_Wkst'!$D$7:$D$2010,$C$7,'LAC 102_Wkst'!$I$7:$I$2010,$C$9,'LAC 102_Wkst'!$E$7:$E$2010,$C26,'LAC 102_Wkst'!$G$7:$G$2010,$D26,'LAC 102_Wkst'!$L$7:$L$2010,"09",'LAC 102_Wkst'!$N$7:$N$2010,"P2")+SUMIFS('LAC 102_Wkst'!$AF$7:$AF$2010,'LAC 102_Wkst'!$D$7:$D$2010,$C$7,'LAC 102_Wkst'!$I$7:$I$2010,$C$9,'LAC 102_Wkst'!$E$7:$E$2010,$C26,'LAC 102_Wkst'!$G$7:$G$2010,$D26,'LAC 102_Wkst'!$L$7:$L$2010,"09",'LAC 102_Wkst'!$N$7:$N$2010,"P3")+SUMIFS('LAC 102_Wkst'!$AF$7:$AF$2010,'LAC 102_Wkst'!$D$7:$D$2010,$C$7,'LAC 102_Wkst'!$I$7:$I$2010,$C$9,'LAC 102_Wkst'!$E$7:$E$2010,$C26,'LAC 102_Wkst'!$G$7:$G$2010,$D26,'LAC 102_Wkst'!$L$7:$L$2010,"09",'LAC 102_Wkst'!$N$7:$N$2010,"P4")</f>
        <v>0</v>
      </c>
      <c r="AN26" s="410">
        <f>SUMIFS('LAC 102_Wkst'!$Q$7:$Q$2010,'LAC 102_Wkst'!$D$7:$D$2010,$C$7,'LAC 102_Wkst'!$I$7:$I$2010,$C$9,'LAC 102_Wkst'!$E$7:$E$2010,$C26,'LAC 102_Wkst'!$G$7:$G$2010,$D26,'LAC 102_Wkst'!$L$7:$L$2010,"09",'LAC 102_Wkst'!$N$7:$N$2010,"P5")</f>
        <v>0</v>
      </c>
      <c r="AO26" s="411">
        <f>SUMIFS('LAC 102_Wkst'!$AF$7:$AF$2010,'LAC 102_Wkst'!$D$7:$D$2010,$C$7,'LAC 102_Wkst'!$I$7:$I$2010,$C$9,'LAC 102_Wkst'!$E$7:$E$2010,$C26,'LAC 102_Wkst'!$G$7:$G$2010,$D26,'LAC 102_Wkst'!$L$7:$L$2010,"09",'LAC 102_Wkst'!$N$7:$N$2010,"P5")</f>
        <v>0</v>
      </c>
      <c r="AP26" s="404">
        <f>SUMIFS('LAC 102_Wkst'!$Q$7:$Q$2010,'LAC 102_Wkst'!$D$7:$D$2010,$C$7,'LAC 102_Wkst'!$I$7:$I$2010,$C$9,'LAC 102_Wkst'!$E$7:$E$2010,$C26,'LAC 102_Wkst'!$G$7:$G$2010,$D26,'LAC 102_Wkst'!$L$7:$L$2010,"10",'LAC 102_Wkst'!$N$7:$N$2010,"P1")+SUMIFS('LAC 102_Wkst'!$Q$7:$Q$2010,'LAC 102_Wkst'!$D$7:$D$2010,$C$7,'LAC 102_Wkst'!$I$7:$I$2010,$C$9,'LAC 102_Wkst'!$E$7:$E$2010,$C26,'LAC 102_Wkst'!$G$7:$G$2010,$D26,'LAC 102_Wkst'!$L$7:$L$2010,"10",'LAC 102_Wkst'!$N$7:$N$2010,"P2")+SUMIFS('LAC 102_Wkst'!$Q$7:$Q$2010,'LAC 102_Wkst'!$D$7:$D$2010,$C$7,'LAC 102_Wkst'!$I$7:$I$2010,$C$9,'LAC 102_Wkst'!$E$7:$E$2010,$C26,'LAC 102_Wkst'!$G$7:$G$2010,$D26,'LAC 102_Wkst'!$L$7:$L$2010,"10",'LAC 102_Wkst'!$N$7:$N$2010,"P3")+SUMIFS('LAC 102_Wkst'!$Q$7:$Q$2010,'LAC 102_Wkst'!$D$7:$D$2010,$C$7,'LAC 102_Wkst'!$I$7:$I$2010,$C$9,'LAC 102_Wkst'!$E$7:$E$2010,$C26,'LAC 102_Wkst'!$G$7:$G$2010,$D26,'LAC 102_Wkst'!$L$7:$L$2010,"10",'LAC 102_Wkst'!$N$7:$N$2010,"P4")</f>
        <v>0</v>
      </c>
      <c r="AQ26" s="411">
        <f>SUMIFS('LAC 102_Wkst'!$AF$7:$AF$2010,'LAC 102_Wkst'!$D$7:$D$2010,$C$7,'LAC 102_Wkst'!$I$7:$I$2010,$C$9,'LAC 102_Wkst'!$E$7:$E$2010,$C26,'LAC 102_Wkst'!$G$7:$G$2010,$D26,'LAC 102_Wkst'!$L$7:$L$2010,"10",'LAC 102_Wkst'!$N$7:$N$2010,"P1")+SUMIFS('LAC 102_Wkst'!$AF$7:$AF$2010,'LAC 102_Wkst'!$D$7:$D$2010,$C$7,'LAC 102_Wkst'!$I$7:$I$2010,$C$9,'LAC 102_Wkst'!$E$7:$E$2010,$C26,'LAC 102_Wkst'!$G$7:$G$2010,$D26,'LAC 102_Wkst'!$L$7:$L$2010,"10",'LAC 102_Wkst'!$N$7:$N$2010,"P2")+SUMIFS('LAC 102_Wkst'!$AF$7:$AF$2010,'LAC 102_Wkst'!$D$7:$D$2010,$C$7,'LAC 102_Wkst'!$I$7:$I$2010,$C$9,'LAC 102_Wkst'!$E$7:$E$2010,$C26,'LAC 102_Wkst'!$G$7:$G$2010,$D26,'LAC 102_Wkst'!$L$7:$L$2010,"10",'LAC 102_Wkst'!$N$7:$N$2010,"P3")+SUMIFS('LAC 102_Wkst'!$AF$7:$AF$2010,'LAC 102_Wkst'!$D$7:$D$2010,$C$7,'LAC 102_Wkst'!$I$7:$I$2010,$C$9,'LAC 102_Wkst'!$E$7:$E$2010,$C26,'LAC 102_Wkst'!$G$7:$G$2010,$D26,'LAC 102_Wkst'!$L$7:$L$2010,"10",'LAC 102_Wkst'!$N$7:$N$2010,"P4")</f>
        <v>0</v>
      </c>
      <c r="AR26" s="410">
        <f>SUMIFS('LAC 102_Wkst'!$Q$7:$Q$2010,'LAC 102_Wkst'!$D$7:$D$2010,$C$7,'LAC 102_Wkst'!$I$7:$I$2010,$C$9,'LAC 102_Wkst'!$E$7:$E$2010,$C26,'LAC 102_Wkst'!$G$7:$G$2010,$D26,'LAC 102_Wkst'!$L$7:$L$2010,"10",'LAC 102_Wkst'!$N$7:$N$2010,"P5")</f>
        <v>0</v>
      </c>
      <c r="AS26" s="411">
        <f>SUMIFS('LAC 102_Wkst'!$AF$7:$AF$2010,'LAC 102_Wkst'!$D$7:$D$2010,$C$7,'LAC 102_Wkst'!$I$7:$I$2010,$C$9,'LAC 102_Wkst'!$E$7:$E$2010,$C26,'LAC 102_Wkst'!$G$7:$G$2010,$D26,'LAC 102_Wkst'!$L$7:$L$2010,"10",'LAC 102_Wkst'!$N$7:$N$2010,"P5")</f>
        <v>0</v>
      </c>
      <c r="AT26" s="410">
        <f>SUMIFS('LAC 102_Wkst'!$Q$7:$Q$2010,'LAC 102_Wkst'!$D$7:$D$2010,$C$7,'LAC 102_Wkst'!$I$7:$I$2010,$C$9,'LAC 102_Wkst'!$E$7:$E$2010,$C26,'LAC 102_Wkst'!$G$7:$G$2010,$D26,'LAC 102_Wkst'!$L$7:$L$2010,"11",'LAC 102_Wkst'!$N$7:$N$2010,"P1")+SUMIFS('LAC 102_Wkst'!$Q$7:$Q$2010,'LAC 102_Wkst'!$D$7:$D$2010,$C$7,'LAC 102_Wkst'!$I$7:$I$2010,$C$9,'LAC 102_Wkst'!$E$7:$E$2010,$C26,'LAC 102_Wkst'!$G$7:$G$2010,$D26,'LAC 102_Wkst'!$L$7:$L$2010,"12",'LAC 102_Wkst'!$N$7:$N$2010,"P1")</f>
        <v>0</v>
      </c>
      <c r="AU26" s="411">
        <f>SUMIFS('LAC 102_Wkst'!$Q$7:$Q$2010,'LAC 102_Wkst'!$D$7:$D$2010,$C$7,'LAC 102_Wkst'!$I$7:$I$2010,$C$9,'LAC 102_Wkst'!$E$7:$E$2010,$C26,'LAC 102_Wkst'!$G$7:$G$2010,$D26,'LAC 102_Wkst'!$L$7:$L$2010,"13",'LAC 102_Wkst'!$N$7:$N$2010,"P5")</f>
        <v>0</v>
      </c>
      <c r="AV26" s="404">
        <f>SUMIFS('LAC 102_Wkst'!$Q$7:$Q$2010,'LAC 102_Wkst'!$D$7:$D$2010,$C$7,'LAC 102_Wkst'!$I$7:$I$2010,$C$9,'LAC 102_Wkst'!$E$7:$E$2010,$C26,'LAC 102_Wkst'!$G$7:$G$2010,$D26,'LAC 102_Wkst'!$L$7:$L$2010,"11",'LAC 102_Wkst'!$N$7:$N$2010,"P2")+SUMIFS('LAC 102_Wkst'!$Q$7:$Q$2010,'LAC 102_Wkst'!$D$7:$D$2010,$C$7,'LAC 102_Wkst'!$I$7:$I$2010,$C$9,'LAC 102_Wkst'!$E$7:$E$2010,$C26,'LAC 102_Wkst'!$G$7:$G$2010,$D26,'LAC 102_Wkst'!$L$7:$L$2010,"12",'LAC 102_Wkst'!$N$7:$N$2010,"P2")+SUMIFS('LAC 102_Wkst'!$Q$7:$Q$2010,'LAC 102_Wkst'!$D$7:$D$2010,$C$7,'LAC 102_Wkst'!$I$7:$I$2010,$C$9,'LAC 102_Wkst'!$E$7:$E$2010,$C26,'LAC 102_Wkst'!$G$7:$G$2010,$D26,'LAC 102_Wkst'!$L$7:$L$2010,"11",'LAC 102_Wkst'!$N$7:$N$2010,"P3")+SUMIFS('LAC 102_Wkst'!$Q$7:$Q$2010,'LAC 102_Wkst'!$D$7:$D$2010,$C$7,'LAC 102_Wkst'!$I$7:$I$2010,$C$9,'LAC 102_Wkst'!$E$7:$E$2010,$C26,'LAC 102_Wkst'!$G$7:$G$2010,$D26,'LAC 102_Wkst'!$L$7:$L$2010,"12",'LAC 102_Wkst'!$N$7:$N$2010,"P3")</f>
        <v>0</v>
      </c>
      <c r="AW26" s="411">
        <f>SUMIFS('LAC 102_Wkst'!$AF$7:$AF$2010,'LAC 102_Wkst'!$D$7:$D$2010,$C$7,'LAC 102_Wkst'!$I$7:$I$2010,$C$9,'LAC 102_Wkst'!$E$7:$E$2010,$C26,'LAC 102_Wkst'!$G$7:$G$2010,$D26,'LAC 102_Wkst'!$L$7:$L$2010,"11",'LAC 102_Wkst'!$N$7:$N$2010,"P2")+SUMIFS('LAC 102_Wkst'!$AF$7:$AF$2010,'LAC 102_Wkst'!$D$7:$D$2010,$C$7,'LAC 102_Wkst'!$I$7:$I$2010,$C$9,'LAC 102_Wkst'!$E$7:$E$2010,$C26,'LAC 102_Wkst'!$G$7:$G$2010,$D26,'LAC 102_Wkst'!$L$7:$L$2010,"12",'LAC 102_Wkst'!$N$7:$N$2010,"P2")+SUMIFS('LAC 102_Wkst'!$AF$7:$AF$2010,'LAC 102_Wkst'!$D$7:$D$2010,$C$7,'LAC 102_Wkst'!$I$7:$I$2010,$C$9,'LAC 102_Wkst'!$E$7:$E$2010,$C26,'LAC 102_Wkst'!$G$7:$G$2010,$D26,'LAC 102_Wkst'!$L$7:$L$2010,"11",'LAC 102_Wkst'!$N$7:$N$2010,"P3")+SUMIFS('LAC 102_Wkst'!$AF$7:$AF$2010,'LAC 102_Wkst'!$D$7:$D$2010,$C$7,'LAC 102_Wkst'!$I$7:$I$2010,$C$9,'LAC 102_Wkst'!$E$7:$E$2010,$C26,'LAC 102_Wkst'!$G$7:$G$2010,$D26,'LAC 102_Wkst'!$L$7:$L$2010,"12",'LAC 102_Wkst'!$N$7:$N$2010,"P3")</f>
        <v>0</v>
      </c>
      <c r="AX26" s="410">
        <f>SUMIFS('LAC 102_Wkst'!$Q$7:$Q$2010,'LAC 102_Wkst'!$D$7:$D$2010,$C$7,'LAC 102_Wkst'!$I$7:$I$2010,$C$9,'LAC 102_Wkst'!$E$7:$E$2010,$C26,'LAC 102_Wkst'!$G$7:$G$2010,$D26,'LAC 102_Wkst'!$L$7:$L$2010,"11",'LAC 102_Wkst'!$N$7:$N$2010,"P4")+SUMIFS('LAC 102_Wkst'!$Q$7:$Q$2010,'LAC 102_Wkst'!$D$7:$D$2010,$C$7,'LAC 102_Wkst'!$I$7:$I$2010,$C$9,'LAC 102_Wkst'!$E$7:$E$2010,$C26,'LAC 102_Wkst'!$G$7:$G$2010,$D26,'LAC 102_Wkst'!$L$7:$L$2010,"12",'LAC 102_Wkst'!$N$7:$N$2010,"P4")</f>
        <v>0</v>
      </c>
      <c r="AY26" s="411">
        <f>SUMIFS('LAC 102_Wkst'!$AF$7:$AF$2010,'LAC 102_Wkst'!$D$7:$D$2010,$C$7,'LAC 102_Wkst'!$I$7:$I$2010,$C$9,'LAC 102_Wkst'!$E$7:$E$2010,$C26,'LAC 102_Wkst'!$G$7:$G$2010,$D26,'LAC 102_Wkst'!$L$7:$L$2010,"11",'LAC 102_Wkst'!$N$7:$N$2010,"P4")+SUMIFS('LAC 102_Wkst'!$AF$7:$AF$2010,'LAC 102_Wkst'!$D$7:$D$2010,$C$7,'LAC 102_Wkst'!$I$7:$I$2010,$C$9,'LAC 102_Wkst'!$E$7:$E$2010,$C26,'LAC 102_Wkst'!$G$7:$G$2010,$D26,'LAC 102_Wkst'!$L$7:$L$2010,"12",'LAC 102_Wkst'!$N$7:$N$2010,"P4")</f>
        <v>0</v>
      </c>
      <c r="AZ26" s="404">
        <f>SUMIFS('LAC 102_Wkst'!$Q$7:$Q$2010,'LAC 102_Wkst'!$D$7:$D$2010,$C$7,'LAC 102_Wkst'!$I$7:$I$2010,$C$9,'LAC 102_Wkst'!$E$7:$E$2010,$C26,'LAC 102_Wkst'!$G$7:$G$2010,$D26,'LAC 102_Wkst'!$L$7:$L$2010,"11",'LAC 102_Wkst'!$N$7:$N$2010,"P5")+SUMIFS('LAC 102_Wkst'!$Q$7:$Q$2010,'LAC 102_Wkst'!$D$7:$D$2010,$C$7,'LAC 102_Wkst'!$I$7:$I$2010,$C$9,'LAC 102_Wkst'!$E$7:$E$2010,$C26,'LAC 102_Wkst'!$G$7:$G$2010,$D26,'LAC 102_Wkst'!$L$7:$L$2010,"12",'LAC 102_Wkst'!$N$7:$N$2010,"P5")</f>
        <v>0</v>
      </c>
      <c r="BA26" s="411">
        <f>SUMIFS('LAC 102_Wkst'!$AF$7:$AF$2010,'LAC 102_Wkst'!$D$7:$D$2010,$C$7,'LAC 102_Wkst'!$I$7:$I$2010,$C$9,'LAC 102_Wkst'!$E$7:$E$2010,$C26,'LAC 102_Wkst'!$G$7:$G$2010,$D26,'LAC 102_Wkst'!$L$7:$L$2010,"11",'LAC 102_Wkst'!$N$7:$N$2010,"P5")+SUMIFS('LAC 102_Wkst'!$AF$7:$AF$2010,'LAC 102_Wkst'!$D$7:$D$2010,$C$7,'LAC 102_Wkst'!$I$7:$I$2010,$C$9,'LAC 102_Wkst'!$E$7:$E$2010,$C26,'LAC 102_Wkst'!$G$7:$G$2010,$D26,'LAC 102_Wkst'!$L$7:$L$2010,"12",'LAC 102_Wkst'!$N$7:$N$2010,"P5")</f>
        <v>0</v>
      </c>
      <c r="BB26" s="410">
        <f>SUMIFS('LAC 102_Wkst'!$Q$7:$Q$2010,'LAC 102_Wkst'!$D$7:$D$2010,$C$7,'LAC 102_Wkst'!$I$7:$I$2010,$C$9,'LAC 102_Wkst'!$E$7:$E$2010,$C26,'LAC 102_Wkst'!$G$7:$G$2010,$D26,'LAC 102_Wkst'!$L$7:$L$2010,"13",'LAC 102_Wkst'!$N$7:$N$2010,"P1")+SUMIFS('LAC 102_Wkst'!$Q$7:$Q$2010,'LAC 102_Wkst'!$D$7:$D$2010,$C$7,'LAC 102_Wkst'!$I$7:$I$2010,$C$9,'LAC 102_Wkst'!$E$7:$E$2010,$C26,'LAC 102_Wkst'!$G$7:$G$2010,$D26,'LAC 102_Wkst'!$L$7:$L$2010,"13",'LAC 102_Wkst'!$N$7:$N$2010,"P2")+SUMIFS('LAC 102_Wkst'!$Q$7:$Q$2010,'LAC 102_Wkst'!$D$7:$D$2010,$C$7,'LAC 102_Wkst'!$I$7:$I$2010,$C$9,'LAC 102_Wkst'!$E$7:$E$2010,$C26,'LAC 102_Wkst'!$G$7:$G$2010,$D26,'LAC 102_Wkst'!$L$7:$L$2010,"13",'LAC 102_Wkst'!$N$7:$N$2010,"P3")+SUMIFS('LAC 102_Wkst'!$Q$7:$Q$2010,'LAC 102_Wkst'!$D$7:$D$2010,$C$7,'LAC 102_Wkst'!$I$7:$I$2010,$C$9,'LAC 102_Wkst'!$E$7:$E$2010,$C26,'LAC 102_Wkst'!$G$7:$G$2010,$D26,'LAC 102_Wkst'!$L$7:$L$2010,"13",'LAC 102_Wkst'!$N$7:$N$2010,"P4")</f>
        <v>0</v>
      </c>
      <c r="BC26" s="411">
        <f>SUMIFS('LAC 102_Wkst'!$AF$7:$AF$2010,'LAC 102_Wkst'!$D$7:$D$2010,$C$7,'LAC 102_Wkst'!$I$7:$I$2010,$C$9,'LAC 102_Wkst'!$E$7:$E$2010,$C26,'LAC 102_Wkst'!$G$7:$G$2010,$D26,'LAC 102_Wkst'!$L$7:$L$2010,"13",'LAC 102_Wkst'!$N$7:$N$2010,"P1")+SUMIFS('LAC 102_Wkst'!$AF$7:$AF$2010,'LAC 102_Wkst'!$D$7:$D$2010,$C$7,'LAC 102_Wkst'!$I$7:$I$2010,$C$9,'LAC 102_Wkst'!$E$7:$E$2010,$C26,'LAC 102_Wkst'!$G$7:$G$2010,$D26,'LAC 102_Wkst'!$L$7:$L$2010,"13",'LAC 102_Wkst'!$N$7:$N$2010,"P2")+SUMIFS('LAC 102_Wkst'!$AF$7:$AF$2010,'LAC 102_Wkst'!$D$7:$D$2010,$C$7,'LAC 102_Wkst'!$I$7:$I$2010,$C$9,'LAC 102_Wkst'!$E$7:$E$2010,$C26,'LAC 102_Wkst'!$G$7:$G$2010,$D26,'LAC 102_Wkst'!$L$7:$L$2010,"13",'LAC 102_Wkst'!$N$7:$N$2010,"P3")+SUMIFS('LAC 102_Wkst'!$AF$7:$AF$2010,'LAC 102_Wkst'!$D$7:$D$2010,$C$7,'LAC 102_Wkst'!$I$7:$I$2010,$C$9,'LAC 102_Wkst'!$E$7:$E$2010,$C26,'LAC 102_Wkst'!$G$7:$G$2010,$D26,'LAC 102_Wkst'!$L$7:$L$2010,"13",'LAC 102_Wkst'!$N$7:$N$2010,"P4")</f>
        <v>0</v>
      </c>
      <c r="BD26" s="404">
        <f>SUMIFS('LAC 102_Wkst'!$Q$7:$Q$2010,'LAC 102_Wkst'!$D$7:$D$2010,$C$7,'LAC 102_Wkst'!$I$7:$I$2010,$C$9,'LAC 102_Wkst'!$E$7:$E$2010,$C26,'LAC 102_Wkst'!$G$7:$G$2010,$D26,'LAC 102_Wkst'!$L$7:$L$2010,"13",'LAC 102_Wkst'!$N$7:$N$2010,"P5")</f>
        <v>0</v>
      </c>
      <c r="BE26" s="411">
        <f>SUMIFS('LAC 102_Wkst'!$AF$7:$AF$2010,'LAC 102_Wkst'!$D$7:$D$2010,$C$7,'LAC 102_Wkst'!$I$7:$I$2010,$C$9,'LAC 102_Wkst'!$E$7:$E$2010,$C26,'LAC 102_Wkst'!$G$7:$G$2010,$D26,'LAC 102_Wkst'!$L$7:$L$2010,"13",'LAC 102_Wkst'!$N$7:$N$2010,"P5")</f>
        <v>0</v>
      </c>
      <c r="BF26" s="407">
        <f t="shared" si="4"/>
        <v>0</v>
      </c>
      <c r="BG26" s="1654">
        <f>SUMIFS('LAC 102_Wkst'!$AF$7:$AF$2010,'LAC 102_Wkst'!$D$7:$D$2010,$C$7,'LAC 102_Wkst'!$I$7:$I$2010,$C$9,'LAC 102_Wkst'!$E$7:$E$2010,$C26,'LAC 102_Wkst'!$G$7:$G$2010,$D26,'LAC 102_Wkst'!$L$7:$L$2010,"14")</f>
        <v>0</v>
      </c>
    </row>
    <row r="27" spans="1:59" x14ac:dyDescent="0.2">
      <c r="A27" s="401">
        <v>5</v>
      </c>
      <c r="B27" s="1678" t="str">
        <f>IF(Schedule_B!B$24="","",Schedule_B!B$24)</f>
        <v>CR</v>
      </c>
      <c r="C27" s="1674" t="str">
        <f>IF(Schedule_B!C$24=""," ",Schedule_B!C$24)</f>
        <v>15</v>
      </c>
      <c r="D27" s="1676" t="str">
        <f>IF(Schedule_B!D$24=""," ",Schedule_B!D$24)</f>
        <v>10</v>
      </c>
      <c r="E27" s="1222">
        <f>SUMIFS('LAC 102_Wkst'!$Q$7:$Q$2010,'LAC 102_Wkst'!$D$7:$D$2010,$C$7,'LAC 102_Wkst'!$I$7:$I$2010,$C$9,'LAC 102_Wkst'!$E$7:$E$2010,$C27,'LAC 102_Wkst'!$G$7:$G$2010,$D27)</f>
        <v>17831</v>
      </c>
      <c r="F27" s="413">
        <f>SUMIFS('LAC 102_Wkst'!$Q$7:$Q$2010,'LAC 102_Wkst'!$D$7:$D$2010,$C$7,'LAC 102_Wkst'!$I$7:$I$2010,$C$9,'LAC 102_Wkst'!$E$7:$E$2010,$C27,'LAC 102_Wkst'!$G$7:$G$2010,$D27,'LAC 102_Wkst'!$L$7:$L$2010,"01",'LAC 102_Wkst'!$N$7:$N$2010,"P1")+SUMIFS('LAC 102_Wkst'!$Q$7:$Q$2010,'LAC 102_Wkst'!$D$7:$D$2010,$C$7,'LAC 102_Wkst'!$I$7:$I$2010,$C$9,'LAC 102_Wkst'!$E$7:$E$2010,$C27,'LAC 102_Wkst'!$G$7:$G$2010,$D27,'LAC 102_Wkst'!$L$7:$L$2010,"01",'LAC 102_Wkst'!$N$7:$N$2010,"P2")+SUMIFS('LAC 102_Wkst'!$Q$7:$Q$2010,'LAC 102_Wkst'!$D$7:$D$2010,$C$7,'LAC 102_Wkst'!$I$7:$I$2010,$C$9,'LAC 102_Wkst'!$E$7:$E$2010,$C27,'LAC 102_Wkst'!$G$7:$G$2010,$D27,'LAC 102_Wkst'!$L$7:$L$2010,"01",'LAC 102_Wkst'!$N$7:$N$2010,"P3")+SUMIFS('LAC 102_Wkst'!$Q$7:$Q$2010,'LAC 102_Wkst'!$D$7:$D$2010,$C$7,'LAC 102_Wkst'!$I$7:$I$2010,$C$9,'LAC 102_Wkst'!$E$7:$E$2010,$C27,'LAC 102_Wkst'!$G$7:$G$2010,$D27,'LAC 102_Wkst'!$L$7:$L$2010,"02",'LAC 102_Wkst'!$N$7:$N$2010,"P1")+SUMIFS('LAC 102_Wkst'!$Q$7:$Q$2010,'LAC 102_Wkst'!$D$7:$D$2010,$C$7,'LAC 102_Wkst'!$I$7:$I$2010,$C$9,'LAC 102_Wkst'!$E$7:$E$2010,$C27,'LAC 102_Wkst'!$G$7:$G$2010,$D27,'LAC 102_Wkst'!$L$7:$L$2010,"02",'LAC 102_Wkst'!$N$7:$N$2010,"P2")+SUMIFS('LAC 102_Wkst'!$Q$7:$Q$2010,'LAC 102_Wkst'!$D$7:$D$2010,$C$7,'LAC 102_Wkst'!$I$7:$I$2010,$C$9,'LAC 102_Wkst'!$E$7:$E$2010,$C27,'LAC 102_Wkst'!$G$7:$G$2010,$D27,'LAC 102_Wkst'!$L$7:$L$2010,"02",'LAC 102_Wkst'!$N$7:$N$2010,"P3")</f>
        <v>16366</v>
      </c>
      <c r="G27" s="414">
        <f>SUMIFS('LAC 102_Wkst'!$AF$7:$AF$2010,'LAC 102_Wkst'!$D$7:$D$2010,$C$7,'LAC 102_Wkst'!$I$7:$I$2010,$C$9,'LAC 102_Wkst'!$E$7:$E$2010,$C27,'LAC 102_Wkst'!$G$7:$G$2010,$D27,'LAC 102_Wkst'!$L$7:$L$2010,"01",'LAC 102_Wkst'!$N$7:$N$2010,"P1")+SUMIFS('LAC 102_Wkst'!$AF$7:$AF$2010,'LAC 102_Wkst'!$D$7:$D$2010,$C$7,'LAC 102_Wkst'!$I$7:$I$2010,$C$9,'LAC 102_Wkst'!$E$7:$E$2010,$C27,'LAC 102_Wkst'!$G$7:$G$2010,$D27,'LAC 102_Wkst'!$L$7:$L$2010,"01",'LAC 102_Wkst'!$N$7:$N$2010,"P2")+SUMIFS('LAC 102_Wkst'!$AF$7:$AF$2010,'LAC 102_Wkst'!$D$7:$D$2010,$C$7,'LAC 102_Wkst'!$I$7:$I$2010,$C$9,'LAC 102_Wkst'!$E$7:$E$2010,$C27,'LAC 102_Wkst'!$G$7:$G$2010,$D27,'LAC 102_Wkst'!$L$7:$L$2010,"01",'LAC 102_Wkst'!$N$7:$N$2010,"P3")+SUMIFS('LAC 102_Wkst'!$AF$7:$AF$2010,'LAC 102_Wkst'!$D$7:$D$2010,$C$7,'LAC 102_Wkst'!$I$7:$I$2010,$C$9,'LAC 102_Wkst'!$E$7:$E$2010,$C27,'LAC 102_Wkst'!$G$7:$G$2010,$D27,'LAC 102_Wkst'!$L$7:$L$2010,"02",'LAC 102_Wkst'!$N$7:$N$2010,"P1")+SUMIFS('LAC 102_Wkst'!$AF$7:$AF$2010,'LAC 102_Wkst'!$D$7:$D$2010,$C$7,'LAC 102_Wkst'!$I$7:$I$2010,$C$9,'LAC 102_Wkst'!$E$7:$E$2010,$C27,'LAC 102_Wkst'!$G$7:$G$2010,$D27,'LAC 102_Wkst'!$L$7:$L$2010,"02",'LAC 102_Wkst'!$N$7:$N$2010,"P2")+SUMIFS('LAC 102_Wkst'!$AF$7:$AF$2010,'LAC 102_Wkst'!$D$7:$D$2010,$C$7,'LAC 102_Wkst'!$I$7:$I$2010,$C$9,'LAC 102_Wkst'!$E$7:$E$2010,$C27,'LAC 102_Wkst'!$G$7:$G$2010,$D27,'LAC 102_Wkst'!$L$7:$L$2010,"02",'LAC 102_Wkst'!$N$7:$N$2010,"P3")</f>
        <v>52492.473752055135</v>
      </c>
      <c r="H27" s="413">
        <f>SUMIFS('LAC 102_Wkst'!$Q$7:$Q$2010,'LAC 102_Wkst'!$D$7:$D$2010,$C$7,'LAC 102_Wkst'!$I$7:$I$2010,$C$9,'LAC 102_Wkst'!$E$7:$E$2010,$C27,'LAC 102_Wkst'!$G$7:$G$2010,$D27,'LAC 102_Wkst'!$L$7:$L$2010,"01",'LAC 102_Wkst'!$N$7:$N$2010,"P4")+SUMIFS('LAC 102_Wkst'!$Q$7:$Q$2010,'LAC 102_Wkst'!$D$7:$D$2010,$C$7,'LAC 102_Wkst'!$I$7:$I$2010,$C$9,'LAC 102_Wkst'!$E$7:$E$2010,$C27,'LAC 102_Wkst'!$G$7:$G$2010,$D27,'LAC 102_Wkst'!$L$7:$L$2010,"02",'LAC 102_Wkst'!$N$7:$N$2010,"P4")</f>
        <v>0</v>
      </c>
      <c r="I27" s="414">
        <f>SUMIFS('LAC 102_Wkst'!$AF$7:$AF$2010,'LAC 102_Wkst'!$D$7:$D$2010,$C$7,'LAC 102_Wkst'!$I$7:$I$2010,$C$9,'LAC 102_Wkst'!$E$7:$E$2010,$C27,'LAC 102_Wkst'!$G$7:$G$2010,$D27,'LAC 102_Wkst'!$L$7:$L$2010,"01",'LAC 102_Wkst'!$N$7:$N$2010,"P4")+SUMIFS('LAC 102_Wkst'!$AF$7:$AF$2010,'LAC 102_Wkst'!$D$7:$D$2010,$C$7,'LAC 102_Wkst'!$I$7:$I$2010,$C$9,'LAC 102_Wkst'!$E$7:$E$2010,$C27,'LAC 102_Wkst'!$G$7:$G$2010,$D27,'LAC 102_Wkst'!$L$7:$L$2010,"02",'LAC 102_Wkst'!$N$7:$N$2010,"P4")</f>
        <v>0</v>
      </c>
      <c r="J27" s="413">
        <f>SUMIFS('LAC 102_Wkst'!$Q$7:$Q$2010,'LAC 102_Wkst'!$D$7:$D$2010,$C$7,'LAC 102_Wkst'!$I$7:$I$2010,$C$9,'LAC 102_Wkst'!$E$7:$E$2010,$C27,'LAC 102_Wkst'!$G$7:$G$2010,$D27,'LAC 102_Wkst'!$L$7:$L$2010,"01",'LAC 102_Wkst'!$N$7:$N$2010,"P5")+SUMIFS('LAC 102_Wkst'!$Q$7:$Q$2010,'LAC 102_Wkst'!$D$7:$D$2010,$C$7,'LAC 102_Wkst'!$I$7:$I$2010,$C$9,'LAC 102_Wkst'!$E$7:$E$2010,$C27,'LAC 102_Wkst'!$G$7:$G$2010,$D27,'LAC 102_Wkst'!$L$7:$L$2010,"02",'LAC 102_Wkst'!$N$7:$N$2010,"P5")</f>
        <v>0</v>
      </c>
      <c r="K27" s="414">
        <f>SUMIFS('LAC 102_Wkst'!$AF$7:$AF$2010,'LAC 102_Wkst'!$D$7:$D$2010,$C$7,'LAC 102_Wkst'!$I$7:$I$2010,$C$9,'LAC 102_Wkst'!$E$7:$E$2010,$C27,'LAC 102_Wkst'!$G$7:$G$2010,$D27,'LAC 102_Wkst'!$L$7:$L$2010,"01",'LAC 102_Wkst'!$N$7:$N$2010,"P5")+SUMIFS('LAC 102_Wkst'!$AF$7:$AF$2010,'LAC 102_Wkst'!$D$7:$D$2010,$C$7,'LAC 102_Wkst'!$I$7:$I$2010,$C$9,'LAC 102_Wkst'!$E$7:$E$2010,$C27,'LAC 102_Wkst'!$G$7:$G$2010,$D27,'LAC 102_Wkst'!$L$7:$L$2010,"02",'LAC 102_Wkst'!$N$7:$N$2010,"P5")</f>
        <v>0</v>
      </c>
      <c r="L27" s="415">
        <f>SUMIFS('LAC 102_Wkst'!$Q$7:$Q$2010,'LAC 102_Wkst'!$D$7:$D$2010,$C$7,'LAC 102_Wkst'!$I$7:$I$2010,$C$9,'LAC 102_Wkst'!$E$7:$E$2010,$C27,'LAC 102_Wkst'!$G$7:$G$2010,$D27,'LAC 102_Wkst'!$L$7:$L$2010,"03",'LAC 102_Wkst'!$N$7:$N$2010,"P1")+SUMIFS('LAC 102_Wkst'!$Q$7:$Q$2010,'LAC 102_Wkst'!$D$7:$D$2010,$C$7,'LAC 102_Wkst'!$I$7:$I$2010,$C$9,'LAC 102_Wkst'!$E$7:$E$2010,$C27,'LAC 102_Wkst'!$G$7:$G$2010,$D27,'LAC 102_Wkst'!$L$7:$L$2010,"03",'LAC 102_Wkst'!$N$7:$N$2010,"P2")+SUMIFS('LAC 102_Wkst'!$Q$7:$Q$2010,'LAC 102_Wkst'!$D$7:$D$2010,$C$7,'LAC 102_Wkst'!$I$7:$I$2010,$C$9,'LAC 102_Wkst'!$E$7:$E$2010,$C27,'LAC 102_Wkst'!$G$7:$G$2010,$D27,'LAC 102_Wkst'!$L$7:$L$2010,"03",'LAC 102_Wkst'!$N$7:$N$2010,"P3")+SUMIFS('LAC 102_Wkst'!$Q$7:$Q$2010,'LAC 102_Wkst'!$D$7:$D$2010,$C$7,'LAC 102_Wkst'!$I$7:$I$2010,$C$9,'LAC 102_Wkst'!$E$7:$E$2010,$C27,'LAC 102_Wkst'!$G$7:$G$2010,$D27,'LAC 102_Wkst'!$L$7:$L$2010,"04",'LAC 102_Wkst'!$N$7:$N$2010,"P1")+SUMIFS('LAC 102_Wkst'!$Q$7:$Q$2010,'LAC 102_Wkst'!$D$7:$D$2010,$C$7,'LAC 102_Wkst'!$I$7:$I$2010,$C$9,'LAC 102_Wkst'!$E$7:$E$2010,$C27,'LAC 102_Wkst'!$G$7:$G$2010,$D27,'LAC 102_Wkst'!$L$7:$L$2010,"04",'LAC 102_Wkst'!$N$7:$N$2010,"P2")+SUMIFS('LAC 102_Wkst'!$Q$7:$Q$2010,'LAC 102_Wkst'!$D$7:$D$2010,$C$7,'LAC 102_Wkst'!$I$7:$I$2010,$C$9,'LAC 102_Wkst'!$E$7:$E$2010,$C27,'LAC 102_Wkst'!$G$7:$G$2010,$D27,'LAC 102_Wkst'!$L$7:$L$2010,"04",'LAC 102_Wkst'!$N$7:$N$2010,"P3")</f>
        <v>0</v>
      </c>
      <c r="M27" s="414">
        <f>SUMIFS('LAC 102_Wkst'!$AF$7:$AF$2010,'LAC 102_Wkst'!$D$7:$D$2010,$C$7,'LAC 102_Wkst'!$I$7:$I$2010,$C$9,'LAC 102_Wkst'!$E$7:$E$2010,$C27,'LAC 102_Wkst'!$G$7:$G$2010,$D27,'LAC 102_Wkst'!$L$7:$L$2010,"03",'LAC 102_Wkst'!$N$7:$N$2010,"P1")+SUMIFS('LAC 102_Wkst'!$AF$7:$AF$2010,'LAC 102_Wkst'!$D$7:$D$2010,$C$7,'LAC 102_Wkst'!$I$7:$I$2010,$C$9,'LAC 102_Wkst'!$E$7:$E$2010,$C27,'LAC 102_Wkst'!$G$7:$G$2010,$D27,'LAC 102_Wkst'!$L$7:$L$2010,"03",'LAC 102_Wkst'!$N$7:$N$2010,"P2")+SUMIFS('LAC 102_Wkst'!$AF$7:$AF$2010,'LAC 102_Wkst'!$D$7:$D$2010,$C$7,'LAC 102_Wkst'!$I$7:$I$2010,$C$9,'LAC 102_Wkst'!$E$7:$E$2010,$C27,'LAC 102_Wkst'!$G$7:$G$2010,$D27,'LAC 102_Wkst'!$L$7:$L$2010,"03",'LAC 102_Wkst'!$N$7:$N$2010,"P3")+SUMIFS('LAC 102_Wkst'!$AF$7:$AF$2010,'LAC 102_Wkst'!$D$7:$D$2010,$C$7,'LAC 102_Wkst'!$I$7:$I$2010,$C$9,'LAC 102_Wkst'!$E$7:$E$2010,$C27,'LAC 102_Wkst'!$G$7:$G$2010,$D27,'LAC 102_Wkst'!$L$7:$L$2010,"04",'LAC 102_Wkst'!$N$7:$N$2010,"P1")+SUMIFS('LAC 102_Wkst'!$AF$7:$AF$2010,'LAC 102_Wkst'!$D$7:$D$2010,$C$7,'LAC 102_Wkst'!$I$7:$I$2010,$C$9,'LAC 102_Wkst'!$E$7:$E$2010,$C27,'LAC 102_Wkst'!$G$7:$G$2010,$D27,'LAC 102_Wkst'!$L$7:$L$2010,"04",'LAC 102_Wkst'!$N$7:$N$2010,"P2")+SUMIFS('LAC 102_Wkst'!$AF$7:$AF$2010,'LAC 102_Wkst'!$D$7:$D$2010,$C$7,'LAC 102_Wkst'!$I$7:$I$2010,$C$9,'LAC 102_Wkst'!$E$7:$E$2010,$C27,'LAC 102_Wkst'!$G$7:$G$2010,$D27,'LAC 102_Wkst'!$L$7:$L$2010,"04",'LAC 102_Wkst'!$N$7:$N$2010,"P3")</f>
        <v>0</v>
      </c>
      <c r="N27" s="415">
        <f>SUMIFS('LAC 102_Wkst'!$Q$7:$Q$2010,'LAC 102_Wkst'!$D$7:$D$2010,$C$7,'LAC 102_Wkst'!$I$7:$I$2010,$C$9,'LAC 102_Wkst'!$E$7:$E$2010,$C27,'LAC 102_Wkst'!$G$7:$G$2010,$D27,'LAC 102_Wkst'!$L$7:$L$2010,"03",'LAC 102_Wkst'!$N$7:$N$2010,"P4")+SUMIFS('LAC 102_Wkst'!$Q$7:$Q$2010,'LAC 102_Wkst'!$D$7:$D$2010,$C$7,'LAC 102_Wkst'!$I$7:$I$2010,$C$9,'LAC 102_Wkst'!$E$7:$E$2010,$C27,'LAC 102_Wkst'!$G$7:$G$2010,$D27,'LAC 102_Wkst'!$L$7:$L$2010,"04",'LAC 102_Wkst'!$N$7:$N$2010,"P4")</f>
        <v>0</v>
      </c>
      <c r="O27" s="414">
        <f>SUMIFS('LAC 102_Wkst'!$AF$7:$AF$2010,'LAC 102_Wkst'!$D$7:$D$2010,$C$7,'LAC 102_Wkst'!$I$7:$I$2010,$C$9,'LAC 102_Wkst'!$E$7:$E$2010,$C27,'LAC 102_Wkst'!$G$7:$G$2010,$D27,'LAC 102_Wkst'!$L$7:$L$2010,"03",'LAC 102_Wkst'!$N$7:$N$2010,"P4")+SUMIFS('LAC 102_Wkst'!$AF$7:$AF$2010,'LAC 102_Wkst'!$D$7:$D$2010,$C$7,'LAC 102_Wkst'!$I$7:$I$2010,$C$9,'LAC 102_Wkst'!$E$7:$E$2010,$C27,'LAC 102_Wkst'!$G$7:$G$2010,$D27,'LAC 102_Wkst'!$L$7:$L$2010,"04",'LAC 102_Wkst'!$N$7:$N$2010,"P4")</f>
        <v>0</v>
      </c>
      <c r="P27" s="415">
        <f>SUMIFS('LAC 102_Wkst'!$Q$7:$Q$2010,'LAC 102_Wkst'!$D$7:$D$2010,$C$7,'LAC 102_Wkst'!$I$7:$I$2010,$C$9,'LAC 102_Wkst'!$E$7:$E$2010,$C27,'LAC 102_Wkst'!$G$7:$G$2010,$D27,'LAC 102_Wkst'!$L$7:$L$2010,"03",'LAC 102_Wkst'!$N$7:$N$2010,"P5")+SUMIFS('LAC 102_Wkst'!$Q$7:$Q$2010,'LAC 102_Wkst'!$D$7:$D$2010,$C$7,'LAC 102_Wkst'!$I$7:$I$2010,$C$9,'LAC 102_Wkst'!$E$7:$E$2010,$C27,'LAC 102_Wkst'!$G$7:$G$2010,$D27,'LAC 102_Wkst'!$L$7:$L$2010,"04",'LAC 102_Wkst'!$N$7:$N$2010,"P5")</f>
        <v>0</v>
      </c>
      <c r="Q27" s="414">
        <f>SUMIFS('LAC 102_Wkst'!$AF$7:$AF$2010,'LAC 102_Wkst'!$D$7:$D$2010,$C$7,'LAC 102_Wkst'!$I$7:$I$2010,$C$9,'LAC 102_Wkst'!$E$7:$E$2010,$C27,'LAC 102_Wkst'!$G$7:$G$2010,$D27,'LAC 102_Wkst'!$L$7:$L$2010,"03",'LAC 102_Wkst'!$N$7:$N$2010,"P5")+SUMIFS('LAC 102_Wkst'!$AF$7:$AF$2010,'LAC 102_Wkst'!$D$7:$D$2010,$C$7,'LAC 102_Wkst'!$I$7:$I$2010,$C$9,'LAC 102_Wkst'!$E$7:$E$2010,$C27,'LAC 102_Wkst'!$G$7:$G$2010,$D27,'LAC 102_Wkst'!$L$7:$L$2010,"04",'LAC 102_Wkst'!$N$7:$N$2010,"P5")</f>
        <v>0</v>
      </c>
      <c r="R27" s="415">
        <f>SUMIFS('LAC 102_Wkst'!$Q$7:$Q$2010,'LAC 102_Wkst'!$D$7:$D$2010,$C$7,'LAC 102_Wkst'!$I$7:$I$2010,$C$9,'LAC 102_Wkst'!$E$7:$E$2010,$C27,'LAC 102_Wkst'!$G$7:$G$2010,$D27,'LAC 102_Wkst'!$L$7:$L$2010,"05",'LAC 102_Wkst'!$N$7:$N$2010,"P1")+SUMIFS('LAC 102_Wkst'!$Q$7:$Q$2010,'LAC 102_Wkst'!$D$7:$D$2010,$C$7,'LAC 102_Wkst'!$I$7:$I$2010,$C$9,'LAC 102_Wkst'!$E$7:$E$2010,$C27,'LAC 102_Wkst'!$G$7:$G$2010,$D27,'LAC 102_Wkst'!$L$7:$L$2010,"06",'LAC 102_Wkst'!$N$7:$N$2010,"P1")</f>
        <v>0</v>
      </c>
      <c r="S27" s="414">
        <f>SUMIFS('LAC 102_Wkst'!$AF$7:$AF$2010,'LAC 102_Wkst'!$D$7:$D$2010,$C$7,'LAC 102_Wkst'!$I$7:$I$2010,$C$9,'LAC 102_Wkst'!$E$7:$E$2010,$C27,'LAC 102_Wkst'!$G$7:$G$2010,$D27,'LAC 102_Wkst'!$L$7:$L$2010,"05",'LAC 102_Wkst'!$N$7:$N$2010,"P1")+SUMIFS('LAC 102_Wkst'!$AF$7:$AF$2010,'LAC 102_Wkst'!$D$7:$D$2010,$C$7,'LAC 102_Wkst'!$I$7:$I$2010,$C$9,'LAC 102_Wkst'!$E$7:$E$2010,$C27,'LAC 102_Wkst'!$G$7:$G$2010,$D27,'LAC 102_Wkst'!$L$7:$L$2010,"06",'LAC 102_Wkst'!$N$7:$N$2010,"P1")</f>
        <v>0</v>
      </c>
      <c r="T27" s="415">
        <f>SUMIFS('LAC 102_Wkst'!$Q$7:$Q$2010,'LAC 102_Wkst'!$D$7:$D$2010,$C$7,'LAC 102_Wkst'!$I$7:$I$2010,$C$9,'LAC 102_Wkst'!$E$7:$E$2010,$C27,'LAC 102_Wkst'!$G$7:$G$2010,$D27,'LAC 102_Wkst'!$L$7:$L$2010,"05",'LAC 102_Wkst'!$N$7:$N$2010,"P2")+SUMIFS('LAC 102_Wkst'!$Q$7:$Q$2010,'LAC 102_Wkst'!$D$7:$D$2010,$C$7,'LAC 102_Wkst'!$I$7:$I$2010,$C$9,'LAC 102_Wkst'!$E$7:$E$2010,$C27,'LAC 102_Wkst'!$G$7:$G$2010,$D27,'LAC 102_Wkst'!$L$7:$L$2010,"06",'LAC 102_Wkst'!$N$7:$N$2010,"P2")+SUMIFS('LAC 102_Wkst'!$Q$7:$Q$2010,'LAC 102_Wkst'!$D$7:$D$2010,$C$7,'LAC 102_Wkst'!$I$7:$I$2010,$C$9,'LAC 102_Wkst'!$E$7:$E$2010,$C27,'LAC 102_Wkst'!$G$7:$G$2010,$D27,'LAC 102_Wkst'!$L$7:$L$2010,"05",'LAC 102_Wkst'!$N$7:$N$2010,"P3")+SUMIFS('LAC 102_Wkst'!$Q$7:$Q$2010,'LAC 102_Wkst'!$D$7:$D$2010,$C$7,'LAC 102_Wkst'!$I$7:$I$2010,$C$9,'LAC 102_Wkst'!$E$7:$E$2010,$C27,'LAC 102_Wkst'!$G$7:$G$2010,$D27,'LAC 102_Wkst'!$L$7:$L$2010,"06",'LAC 102_Wkst'!$N$7:$N$2010,"P3")</f>
        <v>0</v>
      </c>
      <c r="U27" s="414">
        <f>SUMIFS('LAC 102_Wkst'!$AF$7:$AF$2010,'LAC 102_Wkst'!$D$7:$D$2010,$C$7,'LAC 102_Wkst'!$I$7:$I$2010,$C$9,'LAC 102_Wkst'!$E$7:$E$2010,$C27,'LAC 102_Wkst'!$G$7:$G$2010,$D27,'LAC 102_Wkst'!$L$7:$L$2010,"05",'LAC 102_Wkst'!$N$7:$N$2010,"P2")+SUMIFS('LAC 102_Wkst'!$AF$7:$AF$2010,'LAC 102_Wkst'!$D$7:$D$2010,$C$7,'LAC 102_Wkst'!$I$7:$I$2010,$C$9,'LAC 102_Wkst'!$E$7:$E$2010,$C27,'LAC 102_Wkst'!$G$7:$G$2010,$D27,'LAC 102_Wkst'!$L$7:$L$2010,"06",'LAC 102_Wkst'!$N$7:$N$2010,"P2")+SUMIFS('LAC 102_Wkst'!$AF$7:$AF$2010,'LAC 102_Wkst'!$D$7:$D$2010,$C$7,'LAC 102_Wkst'!$I$7:$I$2010,$C$9,'LAC 102_Wkst'!$E$7:$E$2010,$C27,'LAC 102_Wkst'!$G$7:$G$2010,$D27,'LAC 102_Wkst'!$L$7:$L$2010,"05",'LAC 102_Wkst'!$N$7:$N$2010,"P3")+SUMIFS('LAC 102_Wkst'!$AF$7:$AF$2010,'LAC 102_Wkst'!$D$7:$D$2010,$C$7,'LAC 102_Wkst'!$I$7:$I$2010,$C$9,'LAC 102_Wkst'!$E$7:$E$2010,$C27,'LAC 102_Wkst'!$G$7:$G$2010,$D27,'LAC 102_Wkst'!$L$7:$L$2010,"06",'LAC 102_Wkst'!$N$7:$N$2010,"P3")</f>
        <v>0</v>
      </c>
      <c r="V27" s="415">
        <f>SUMIFS('LAC 102_Wkst'!$Q$7:$Q$2010,'LAC 102_Wkst'!$D$7:$D$2010,$C$7,'LAC 102_Wkst'!$I$7:$I$2010,$C$9,'LAC 102_Wkst'!$E$7:$E$2010,$C27,'LAC 102_Wkst'!$G$7:$G$2010,$D27,'LAC 102_Wkst'!$L$7:$L$2010,"05",'LAC 102_Wkst'!$N$7:$N$2010,"P4")+SUMIFS('LAC 102_Wkst'!$Q$7:$Q$2010,'LAC 102_Wkst'!$D$7:$D$2010,$C$7,'LAC 102_Wkst'!$I$7:$I$2010,$C$9,'LAC 102_Wkst'!$E$7:$E$2010,$C27,'LAC 102_Wkst'!$G$7:$G$2010,$D27,'LAC 102_Wkst'!$L$7:$L$2010,"06",'LAC 102_Wkst'!$N$7:$N$2010,"P4")</f>
        <v>0</v>
      </c>
      <c r="W27" s="414">
        <f>SUMIFS('LAC 102_Wkst'!$AF$7:$AF$2010,'LAC 102_Wkst'!$D$7:$D$2010,$C$7,'LAC 102_Wkst'!$I$7:$I$2010,$C$9,'LAC 102_Wkst'!$E$7:$E$2010,$C27,'LAC 102_Wkst'!$G$7:$G$2010,$D27,'LAC 102_Wkst'!$L$7:$L$2010,"05",'LAC 102_Wkst'!$N$7:$N$2010,"P4")+SUMIFS('LAC 102_Wkst'!$AF$7:$AF$2010,'LAC 102_Wkst'!$D$7:$D$2010,$C$7,'LAC 102_Wkst'!$I$7:$I$2010,$C$9,'LAC 102_Wkst'!$E$7:$E$2010,$C27,'LAC 102_Wkst'!$G$7:$G$2010,$D27,'LAC 102_Wkst'!$L$7:$L$2010,"06",'LAC 102_Wkst'!$N$7:$N$2010,"P4")</f>
        <v>0</v>
      </c>
      <c r="X27" s="415">
        <f>SUMIFS('LAC 102_Wkst'!$Q$7:$Q$2010,'LAC 102_Wkst'!$D$7:$D$2010,$C$7,'LAC 102_Wkst'!$I$7:$I$2010,$C$9,'LAC 102_Wkst'!$E$7:$E$2010,$C27,'LAC 102_Wkst'!$G$7:$G$2010,$D27,'LAC 102_Wkst'!$L$7:$L$2010,"05",'LAC 102_Wkst'!$N$7:$N$2010,"P5")+SUMIFS('LAC 102_Wkst'!$Q$7:$Q$2010,'LAC 102_Wkst'!$D$7:$D$2010,$C$7,'LAC 102_Wkst'!$I$7:$I$2010,$C$9,'LAC 102_Wkst'!$E$7:$E$2010,$C27,'LAC 102_Wkst'!$G$7:$G$2010,$D27,'LAC 102_Wkst'!$L$7:$L$2010,"06",'LAC 102_Wkst'!$N$7:$N$2010,"P5")</f>
        <v>0</v>
      </c>
      <c r="Y27" s="414">
        <f>SUMIFS('LAC 102_Wkst'!$AF$7:$AF$2010,'LAC 102_Wkst'!$D$7:$D$2010,$C$7,'LAC 102_Wkst'!$I$7:$I$2010,$C$9,'LAC 102_Wkst'!$E$7:$E$2010,$C27,'LAC 102_Wkst'!$G$7:$G$2010,$D27,'LAC 102_Wkst'!$L$7:$L$2010,"05",'LAC 102_Wkst'!$N$7:$N$2010,"P5")+SUMIFS('LAC 102_Wkst'!$AF$7:$AF$2010,'LAC 102_Wkst'!$D$7:$D$2010,$C$7,'LAC 102_Wkst'!$I$7:$I$2010,$C$9,'LAC 102_Wkst'!$E$7:$E$2010,$C27,'LAC 102_Wkst'!$G$7:$G$2010,$D27,'LAC 102_Wkst'!$L$7:$L$2010,"06",'LAC 102_Wkst'!$N$7:$N$2010,"P5")</f>
        <v>0</v>
      </c>
      <c r="Z27" s="415">
        <f>SUMIFS('LAC 102_Wkst'!$Q$7:$Q$2010,'LAC 102_Wkst'!$D$7:$D$2010,$C$7,'LAC 102_Wkst'!$I$7:$I$2010,$C$9,'LAC 102_Wkst'!$E$7:$E$2010,$C27,'LAC 102_Wkst'!$G$7:$G$2010,$D27,'LAC 102_Wkst'!$L$7:$L$2010,"07",'LAC 102_Wkst'!$N$7:$N$2010,"P1")+SUMIFS('LAC 102_Wkst'!$Q$7:$Q$2010,'LAC 102_Wkst'!$D$7:$D$2010,$C$7,'LAC 102_Wkst'!$I$7:$I$2010,$C$9,'LAC 102_Wkst'!$E$7:$E$2010,$C27,'LAC 102_Wkst'!$G$7:$G$2010,$D27,'LAC 102_Wkst'!$L$7:$L$2010,"07",'LAC 102_Wkst'!$N$7:$N$2010,"P2")+SUMIFS('LAC 102_Wkst'!$Q$7:$Q$2010,'LAC 102_Wkst'!$D$7:$D$2010,$C$7,'LAC 102_Wkst'!$I$7:$I$2010,$C$9,'LAC 102_Wkst'!$E$7:$E$2010,$C27,'LAC 102_Wkst'!$G$7:$G$2010,$D27,'LAC 102_Wkst'!$L$7:$L$2010,"07",'LAC 102_Wkst'!$N$7:$N$2010,"P3")</f>
        <v>0</v>
      </c>
      <c r="AA27" s="414">
        <f>SUMIFS('LAC 102_Wkst'!$AF$7:$AF$2010,'LAC 102_Wkst'!$D$7:$D$2010,$C$7,'LAC 102_Wkst'!$I$7:$I$2010,$C$9,'LAC 102_Wkst'!$E$7:$E$2010,$C27,'LAC 102_Wkst'!$G$7:$G$2010,$D27,'LAC 102_Wkst'!$L$7:$L$2010,"07",'LAC 102_Wkst'!$N$7:$N$2010,"P1")+SUMIFS('LAC 102_Wkst'!$AF$7:$AF$2010,'LAC 102_Wkst'!$D$7:$D$2010,$C$7,'LAC 102_Wkst'!$I$7:$I$2010,$C$9,'LAC 102_Wkst'!$E$7:$E$2010,$C27,'LAC 102_Wkst'!$G$7:$G$2010,$D27,'LAC 102_Wkst'!$L$7:$L$2010,"07",'LAC 102_Wkst'!$N$7:$N$2010,"P2")+SUMIFS('LAC 102_Wkst'!$AF$7:$AF$2010,'LAC 102_Wkst'!$D$7:$D$2010,$C$7,'LAC 102_Wkst'!$I$7:$I$2010,$C$9,'LAC 102_Wkst'!$E$7:$E$2010,$C27,'LAC 102_Wkst'!$G$7:$G$2010,$D27,'LAC 102_Wkst'!$L$7:$L$2010,"07",'LAC 102_Wkst'!$N$7:$N$2010,"P3")</f>
        <v>0</v>
      </c>
      <c r="AB27" s="415">
        <f>SUMIFS('LAC 102_Wkst'!$Q$7:$Q$2010,'LAC 102_Wkst'!$D$7:$D$2010,$C$7,'LAC 102_Wkst'!$I$7:$I$2010,$C$9,'LAC 102_Wkst'!$E$7:$E$2010,$C27,'LAC 102_Wkst'!$G$7:$G$2010,$D27,'LAC 102_Wkst'!$L$7:$L$2010,"07",'LAC 102_Wkst'!$N$7:$N$2010,"P4")</f>
        <v>0</v>
      </c>
      <c r="AC27" s="414">
        <f>SUMIFS('LAC 102_Wkst'!$AF$7:$AF$2010,'LAC 102_Wkst'!$D$7:$D$2010,$C$7,'LAC 102_Wkst'!$I$7:$I$2010,$C$9,'LAC 102_Wkst'!$E$7:$E$2010,$C27,'LAC 102_Wkst'!$G$7:$G$2010,$D27,'LAC 102_Wkst'!$L$7:$L$2010,"07",'LAC 102_Wkst'!$N$7:$N$2010,"P4")</f>
        <v>0</v>
      </c>
      <c r="AD27" s="415">
        <f>SUMIFS('LAC 102_Wkst'!$Q$7:$Q$2010,'LAC 102_Wkst'!$D$7:$D$2010,$C$7,'LAC 102_Wkst'!$I$7:$I$2010,$C$9,'LAC 102_Wkst'!$E$7:$E$2010,$C27,'LAC 102_Wkst'!$G$7:$G$2010,$D27,'LAC 102_Wkst'!$L$7:$L$2010,"07",'LAC 102_Wkst'!$N$7:$N$2010,"P5")</f>
        <v>0</v>
      </c>
      <c r="AE27" s="414">
        <f>SUMIFS('LAC 102_Wkst'!$AF$7:$AF$2010,'LAC 102_Wkst'!$D$7:$D$2010,$C$7,'LAC 102_Wkst'!$I$7:$I$2010,$C$9,'LAC 102_Wkst'!$E$7:$E$2010,$C27,'LAC 102_Wkst'!$G$7:$G$2010,$D27,'LAC 102_Wkst'!$L$7:$L$2010,"07",'LAC 102_Wkst'!$N$7:$N$2010,"P5")</f>
        <v>0</v>
      </c>
      <c r="AF27" s="415">
        <f>SUMIFS('LAC 102_Wkst'!$Q$7:$Q$2010,'LAC 102_Wkst'!$D$7:$D$2010,$C$7,'LAC 102_Wkst'!$I$7:$I$2010,$C$9,'LAC 102_Wkst'!$E$7:$E$2010,$C27,'LAC 102_Wkst'!$G$7:$G$2010,$D27,'LAC 102_Wkst'!$L$7:$L$2010,"08",'LAC 102_Wkst'!$N$7:$N$2010,"P1")+SUMIFS('LAC 102_Wkst'!$Q$7:$Q$2010,'LAC 102_Wkst'!$D$7:$D$2010,$C$7,'LAC 102_Wkst'!$I$7:$I$2010,$C$9,'LAC 102_Wkst'!$E$7:$E$2010,$C27,'LAC 102_Wkst'!$G$7:$G$2010,$D27,'LAC 102_Wkst'!$L$7:$L$2010,"08",'LAC 102_Wkst'!$N$7:$N$2010,"P2")+SUMIFS('LAC 102_Wkst'!$Q$7:$Q$2010,'LAC 102_Wkst'!$D$7:$D$2010,$C$7,'LAC 102_Wkst'!$I$7:$I$2010,$C$9,'LAC 102_Wkst'!$E$7:$E$2010,$C27,'LAC 102_Wkst'!$G$7:$G$2010,$D27,'LAC 102_Wkst'!$L$7:$L$2010,"08",'LAC 102_Wkst'!$N$7:$N$2010,"P3")</f>
        <v>0</v>
      </c>
      <c r="AG27" s="414">
        <f>SUMIFS('LAC 102_Wkst'!$AF$7:$AF$2010,'LAC 102_Wkst'!$D$7:$D$2010,$C$7,'LAC 102_Wkst'!$I$7:$I$2010,$C$9,'LAC 102_Wkst'!$E$7:$E$2010,$C27,'LAC 102_Wkst'!$G$7:$G$2010,$D27,'LAC 102_Wkst'!$L$7:$L$2010,"08",'LAC 102_Wkst'!$N$7:$N$2010,"P1")+SUMIFS('LAC 102_Wkst'!$AF$7:$AF$2010,'LAC 102_Wkst'!$D$7:$D$2010,$C$7,'LAC 102_Wkst'!$I$7:$I$2010,$C$9,'LAC 102_Wkst'!$E$7:$E$2010,$C27,'LAC 102_Wkst'!$G$7:$G$2010,$D27,'LAC 102_Wkst'!$L$7:$L$2010,"08",'LAC 102_Wkst'!$N$7:$N$2010,"P2")+SUMIFS('LAC 102_Wkst'!$AF$7:$AF$2010,'LAC 102_Wkst'!$D$7:$D$2010,$C$7,'LAC 102_Wkst'!$I$7:$I$2010,$C$9,'LAC 102_Wkst'!$E$7:$E$2010,$C27,'LAC 102_Wkst'!$G$7:$G$2010,$D27,'LAC 102_Wkst'!$L$7:$L$2010,"08",'LAC 102_Wkst'!$N$7:$N$2010,"P3")</f>
        <v>0</v>
      </c>
      <c r="AH27" s="415">
        <f>SUMIFS('LAC 102_Wkst'!$Q$7:$Q$2010,'LAC 102_Wkst'!$D$7:$D$2010,$C$7,'LAC 102_Wkst'!$I$7:$I$2010,$C$9,'LAC 102_Wkst'!$E$7:$E$2010,$C27,'LAC 102_Wkst'!$G$7:$G$2010,$D27,'LAC 102_Wkst'!$L$7:$L$2010,"08",'LAC 102_Wkst'!$N$7:$N$2010,"P4")</f>
        <v>0</v>
      </c>
      <c r="AI27" s="414">
        <f>SUMIFS('LAC 102_Wkst'!$AF$7:$AF$2010,'LAC 102_Wkst'!$D$7:$D$2010,$C$7,'LAC 102_Wkst'!$I$7:$I$2010,$C$9,'LAC 102_Wkst'!$E$7:$E$2010,$C27,'LAC 102_Wkst'!$G$7:$G$2010,$D27,'LAC 102_Wkst'!$L$7:$L$2010,"08",'LAC 102_Wkst'!$N$7:$N$2010,"P4")</f>
        <v>0</v>
      </c>
      <c r="AJ27" s="415">
        <f>SUMIFS('LAC 102_Wkst'!$Q$7:$Q$2010,'LAC 102_Wkst'!$D$7:$D$2010,$C$7,'LAC 102_Wkst'!$I$7:$I$2010,$C$9,'LAC 102_Wkst'!$E$7:$E$2010,$C27,'LAC 102_Wkst'!$G$7:$G$2010,$D27,'LAC 102_Wkst'!$L$7:$L$2010,"08",'LAC 102_Wkst'!$N$7:$N$2010,"P5")</f>
        <v>0</v>
      </c>
      <c r="AK27" s="414">
        <f>SUMIFS('LAC 102_Wkst'!$AF$7:$AF$2010,'LAC 102_Wkst'!$D$7:$D$2010,$C$7,'LAC 102_Wkst'!$I$7:$I$2010,$C$9,'LAC 102_Wkst'!$E$7:$E$2010,$C27,'LAC 102_Wkst'!$G$7:$G$2010,$D27,'LAC 102_Wkst'!$L$7:$L$2010,"08",'LAC 102_Wkst'!$N$7:$N$2010,"P5")</f>
        <v>0</v>
      </c>
      <c r="AL27" s="415">
        <f>SUMIFS('LAC 102_Wkst'!$Q$7:$Q$2010,'LAC 102_Wkst'!$D$7:$D$2010,$C$7,'LAC 102_Wkst'!$I$7:$I$2010,$C$9,'LAC 102_Wkst'!$E$7:$E$2010,$C27,'LAC 102_Wkst'!$G$7:$G$2010,$D27,'LAC 102_Wkst'!$L$7:$L$2010,"09",'LAC 102_Wkst'!$N$7:$N$2010,"P1")+SUMIFS('LAC 102_Wkst'!$Q$7:$Q$2010,'LAC 102_Wkst'!$D$7:$D$2010,$C$7,'LAC 102_Wkst'!$I$7:$I$2010,$C$9,'LAC 102_Wkst'!$E$7:$E$2010,$C27,'LAC 102_Wkst'!$G$7:$G$2010,$D27,'LAC 102_Wkst'!$L$7:$L$2010,"09",'LAC 102_Wkst'!$N$7:$N$2010,"P2")+SUMIFS('LAC 102_Wkst'!$Q$7:$Q$2010,'LAC 102_Wkst'!$D$7:$D$2010,$C$7,'LAC 102_Wkst'!$I$7:$I$2010,$C$9,'LAC 102_Wkst'!$E$7:$E$2010,$C27,'LAC 102_Wkst'!$G$7:$G$2010,$D27,'LAC 102_Wkst'!$L$7:$L$2010,"09",'LAC 102_Wkst'!$N$7:$N$2010,"P3")+SUMIFS('LAC 102_Wkst'!$Q$7:$Q$2010,'LAC 102_Wkst'!$D$7:$D$2010,$C$7,'LAC 102_Wkst'!$I$7:$I$2010,$C$9,'LAC 102_Wkst'!$E$7:$E$2010,$C27,'LAC 102_Wkst'!$G$7:$G$2010,$D27,'LAC 102_Wkst'!$L$7:$L$2010,"09",'LAC 102_Wkst'!$N$7:$N$2010,"P4")</f>
        <v>0</v>
      </c>
      <c r="AM27" s="414">
        <f>SUMIFS('LAC 102_Wkst'!$AF$7:$AF$2010,'LAC 102_Wkst'!$D$7:$D$2010,$C$7,'LAC 102_Wkst'!$I$7:$I$2010,$C$9,'LAC 102_Wkst'!$E$7:$E$2010,$C27,'LAC 102_Wkst'!$G$7:$G$2010,$D27,'LAC 102_Wkst'!$L$7:$L$2010,"09",'LAC 102_Wkst'!$N$7:$N$2010,"P1")+SUMIFS('LAC 102_Wkst'!$AF$7:$AF$2010,'LAC 102_Wkst'!$D$7:$D$2010,$C$7,'LAC 102_Wkst'!$I$7:$I$2010,$C$9,'LAC 102_Wkst'!$E$7:$E$2010,$C27,'LAC 102_Wkst'!$G$7:$G$2010,$D27,'LAC 102_Wkst'!$L$7:$L$2010,"09",'LAC 102_Wkst'!$N$7:$N$2010,"P2")+SUMIFS('LAC 102_Wkst'!$AF$7:$AF$2010,'LAC 102_Wkst'!$D$7:$D$2010,$C$7,'LAC 102_Wkst'!$I$7:$I$2010,$C$9,'LAC 102_Wkst'!$E$7:$E$2010,$C27,'LAC 102_Wkst'!$G$7:$G$2010,$D27,'LAC 102_Wkst'!$L$7:$L$2010,"09",'LAC 102_Wkst'!$N$7:$N$2010,"P3")+SUMIFS('LAC 102_Wkst'!$AF$7:$AF$2010,'LAC 102_Wkst'!$D$7:$D$2010,$C$7,'LAC 102_Wkst'!$I$7:$I$2010,$C$9,'LAC 102_Wkst'!$E$7:$E$2010,$C27,'LAC 102_Wkst'!$G$7:$G$2010,$D27,'LAC 102_Wkst'!$L$7:$L$2010,"09",'LAC 102_Wkst'!$N$7:$N$2010,"P4")</f>
        <v>0</v>
      </c>
      <c r="AN27" s="415">
        <f>SUMIFS('LAC 102_Wkst'!$Q$7:$Q$2010,'LAC 102_Wkst'!$D$7:$D$2010,$C$7,'LAC 102_Wkst'!$I$7:$I$2010,$C$9,'LAC 102_Wkst'!$E$7:$E$2010,$C27,'LAC 102_Wkst'!$G$7:$G$2010,$D27,'LAC 102_Wkst'!$L$7:$L$2010,"09",'LAC 102_Wkst'!$N$7:$N$2010,"P5")</f>
        <v>0</v>
      </c>
      <c r="AO27" s="414">
        <f>SUMIFS('LAC 102_Wkst'!$AF$7:$AF$2010,'LAC 102_Wkst'!$D$7:$D$2010,$C$7,'LAC 102_Wkst'!$I$7:$I$2010,$C$9,'LAC 102_Wkst'!$E$7:$E$2010,$C27,'LAC 102_Wkst'!$G$7:$G$2010,$D27,'LAC 102_Wkst'!$L$7:$L$2010,"09",'LAC 102_Wkst'!$N$7:$N$2010,"P5")</f>
        <v>0</v>
      </c>
      <c r="AP27" s="415">
        <f>SUMIFS('LAC 102_Wkst'!$Q$7:$Q$2010,'LAC 102_Wkst'!$D$7:$D$2010,$C$7,'LAC 102_Wkst'!$I$7:$I$2010,$C$9,'LAC 102_Wkst'!$E$7:$E$2010,$C27,'LAC 102_Wkst'!$G$7:$G$2010,$D27,'LAC 102_Wkst'!$L$7:$L$2010,"10",'LAC 102_Wkst'!$N$7:$N$2010,"P1")+SUMIFS('LAC 102_Wkst'!$Q$7:$Q$2010,'LAC 102_Wkst'!$D$7:$D$2010,$C$7,'LAC 102_Wkst'!$I$7:$I$2010,$C$9,'LAC 102_Wkst'!$E$7:$E$2010,$C27,'LAC 102_Wkst'!$G$7:$G$2010,$D27,'LAC 102_Wkst'!$L$7:$L$2010,"10",'LAC 102_Wkst'!$N$7:$N$2010,"P2")+SUMIFS('LAC 102_Wkst'!$Q$7:$Q$2010,'LAC 102_Wkst'!$D$7:$D$2010,$C$7,'LAC 102_Wkst'!$I$7:$I$2010,$C$9,'LAC 102_Wkst'!$E$7:$E$2010,$C27,'LAC 102_Wkst'!$G$7:$G$2010,$D27,'LAC 102_Wkst'!$L$7:$L$2010,"10",'LAC 102_Wkst'!$N$7:$N$2010,"P3")+SUMIFS('LAC 102_Wkst'!$Q$7:$Q$2010,'LAC 102_Wkst'!$D$7:$D$2010,$C$7,'LAC 102_Wkst'!$I$7:$I$2010,$C$9,'LAC 102_Wkst'!$E$7:$E$2010,$C27,'LAC 102_Wkst'!$G$7:$G$2010,$D27,'LAC 102_Wkst'!$L$7:$L$2010,"10",'LAC 102_Wkst'!$N$7:$N$2010,"P4")</f>
        <v>677</v>
      </c>
      <c r="AQ27" s="414">
        <f>SUMIFS('LAC 102_Wkst'!$AF$7:$AF$2010,'LAC 102_Wkst'!$D$7:$D$2010,$C$7,'LAC 102_Wkst'!$I$7:$I$2010,$C$9,'LAC 102_Wkst'!$E$7:$E$2010,$C27,'LAC 102_Wkst'!$G$7:$G$2010,$D27,'LAC 102_Wkst'!$L$7:$L$2010,"10",'LAC 102_Wkst'!$N$7:$N$2010,"P1")+SUMIFS('LAC 102_Wkst'!$AF$7:$AF$2010,'LAC 102_Wkst'!$D$7:$D$2010,$C$7,'LAC 102_Wkst'!$I$7:$I$2010,$C$9,'LAC 102_Wkst'!$E$7:$E$2010,$C27,'LAC 102_Wkst'!$G$7:$G$2010,$D27,'LAC 102_Wkst'!$L$7:$L$2010,"10",'LAC 102_Wkst'!$N$7:$N$2010,"P2")+SUMIFS('LAC 102_Wkst'!$AF$7:$AF$2010,'LAC 102_Wkst'!$D$7:$D$2010,$C$7,'LAC 102_Wkst'!$I$7:$I$2010,$C$9,'LAC 102_Wkst'!$E$7:$E$2010,$C27,'LAC 102_Wkst'!$G$7:$G$2010,$D27,'LAC 102_Wkst'!$L$7:$L$2010,"10",'LAC 102_Wkst'!$N$7:$N$2010,"P3")+SUMIFS('LAC 102_Wkst'!$AF$7:$AF$2010,'LAC 102_Wkst'!$D$7:$D$2010,$C$7,'LAC 102_Wkst'!$I$7:$I$2010,$C$9,'LAC 102_Wkst'!$E$7:$E$2010,$C27,'LAC 102_Wkst'!$G$7:$G$2010,$D27,'LAC 102_Wkst'!$L$7:$L$2010,"10",'LAC 102_Wkst'!$N$7:$N$2010,"P4")</f>
        <v>2171.4166399939704</v>
      </c>
      <c r="AR27" s="415">
        <f>SUMIFS('LAC 102_Wkst'!$Q$7:$Q$2010,'LAC 102_Wkst'!$D$7:$D$2010,$C$7,'LAC 102_Wkst'!$I$7:$I$2010,$C$9,'LAC 102_Wkst'!$E$7:$E$2010,$C27,'LAC 102_Wkst'!$G$7:$G$2010,$D27,'LAC 102_Wkst'!$L$7:$L$2010,"10",'LAC 102_Wkst'!$N$7:$N$2010,"P5")</f>
        <v>0</v>
      </c>
      <c r="AS27" s="414">
        <f>SUMIFS('LAC 102_Wkst'!$AF$7:$AF$2010,'LAC 102_Wkst'!$D$7:$D$2010,$C$7,'LAC 102_Wkst'!$I$7:$I$2010,$C$9,'LAC 102_Wkst'!$E$7:$E$2010,$C27,'LAC 102_Wkst'!$G$7:$G$2010,$D27,'LAC 102_Wkst'!$L$7:$L$2010,"10",'LAC 102_Wkst'!$N$7:$N$2010,"P5")</f>
        <v>0</v>
      </c>
      <c r="AT27" s="415">
        <f>SUMIFS('LAC 102_Wkst'!$Q$7:$Q$2010,'LAC 102_Wkst'!$D$7:$D$2010,$C$7,'LAC 102_Wkst'!$I$7:$I$2010,$C$9,'LAC 102_Wkst'!$E$7:$E$2010,$C27,'LAC 102_Wkst'!$G$7:$G$2010,$D27,'LAC 102_Wkst'!$L$7:$L$2010,"11",'LAC 102_Wkst'!$N$7:$N$2010,"P1")+SUMIFS('LAC 102_Wkst'!$Q$7:$Q$2010,'LAC 102_Wkst'!$D$7:$D$2010,$C$7,'LAC 102_Wkst'!$I$7:$I$2010,$C$9,'LAC 102_Wkst'!$E$7:$E$2010,$C27,'LAC 102_Wkst'!$G$7:$G$2010,$D27,'LAC 102_Wkst'!$L$7:$L$2010,"12",'LAC 102_Wkst'!$N$7:$N$2010,"P1")</f>
        <v>0</v>
      </c>
      <c r="AU27" s="414">
        <f>SUMIFS('LAC 102_Wkst'!$Q$7:$Q$2010,'LAC 102_Wkst'!$D$7:$D$2010,$C$7,'LAC 102_Wkst'!$I$7:$I$2010,$C$9,'LAC 102_Wkst'!$E$7:$E$2010,$C27,'LAC 102_Wkst'!$G$7:$G$2010,$D27,'LAC 102_Wkst'!$L$7:$L$2010,"13",'LAC 102_Wkst'!$N$7:$N$2010,"P5")</f>
        <v>0</v>
      </c>
      <c r="AV27" s="415">
        <f>SUMIFS('LAC 102_Wkst'!$Q$7:$Q$2010,'LAC 102_Wkst'!$D$7:$D$2010,$C$7,'LAC 102_Wkst'!$I$7:$I$2010,$C$9,'LAC 102_Wkst'!$E$7:$E$2010,$C27,'LAC 102_Wkst'!$G$7:$G$2010,$D27,'LAC 102_Wkst'!$L$7:$L$2010,"11",'LAC 102_Wkst'!$N$7:$N$2010,"P2")+SUMIFS('LAC 102_Wkst'!$Q$7:$Q$2010,'LAC 102_Wkst'!$D$7:$D$2010,$C$7,'LAC 102_Wkst'!$I$7:$I$2010,$C$9,'LAC 102_Wkst'!$E$7:$E$2010,$C27,'LAC 102_Wkst'!$G$7:$G$2010,$D27,'LAC 102_Wkst'!$L$7:$L$2010,"12",'LAC 102_Wkst'!$N$7:$N$2010,"P2")+SUMIFS('LAC 102_Wkst'!$Q$7:$Q$2010,'LAC 102_Wkst'!$D$7:$D$2010,$C$7,'LAC 102_Wkst'!$I$7:$I$2010,$C$9,'LAC 102_Wkst'!$E$7:$E$2010,$C27,'LAC 102_Wkst'!$G$7:$G$2010,$D27,'LAC 102_Wkst'!$L$7:$L$2010,"11",'LAC 102_Wkst'!$N$7:$N$2010,"P3")+SUMIFS('LAC 102_Wkst'!$Q$7:$Q$2010,'LAC 102_Wkst'!$D$7:$D$2010,$C$7,'LAC 102_Wkst'!$I$7:$I$2010,$C$9,'LAC 102_Wkst'!$E$7:$E$2010,$C27,'LAC 102_Wkst'!$G$7:$G$2010,$D27,'LAC 102_Wkst'!$L$7:$L$2010,"12",'LAC 102_Wkst'!$N$7:$N$2010,"P3")</f>
        <v>0</v>
      </c>
      <c r="AW27" s="414">
        <f>SUMIFS('LAC 102_Wkst'!$AF$7:$AF$2010,'LAC 102_Wkst'!$D$7:$D$2010,$C$7,'LAC 102_Wkst'!$I$7:$I$2010,$C$9,'LAC 102_Wkst'!$E$7:$E$2010,$C27,'LAC 102_Wkst'!$G$7:$G$2010,$D27,'LAC 102_Wkst'!$L$7:$L$2010,"11",'LAC 102_Wkst'!$N$7:$N$2010,"P2")+SUMIFS('LAC 102_Wkst'!$AF$7:$AF$2010,'LAC 102_Wkst'!$D$7:$D$2010,$C$7,'LAC 102_Wkst'!$I$7:$I$2010,$C$9,'LAC 102_Wkst'!$E$7:$E$2010,$C27,'LAC 102_Wkst'!$G$7:$G$2010,$D27,'LAC 102_Wkst'!$L$7:$L$2010,"12",'LAC 102_Wkst'!$N$7:$N$2010,"P2")+SUMIFS('LAC 102_Wkst'!$AF$7:$AF$2010,'LAC 102_Wkst'!$D$7:$D$2010,$C$7,'LAC 102_Wkst'!$I$7:$I$2010,$C$9,'LAC 102_Wkst'!$E$7:$E$2010,$C27,'LAC 102_Wkst'!$G$7:$G$2010,$D27,'LAC 102_Wkst'!$L$7:$L$2010,"11",'LAC 102_Wkst'!$N$7:$N$2010,"P3")+SUMIFS('LAC 102_Wkst'!$AF$7:$AF$2010,'LAC 102_Wkst'!$D$7:$D$2010,$C$7,'LAC 102_Wkst'!$I$7:$I$2010,$C$9,'LAC 102_Wkst'!$E$7:$E$2010,$C27,'LAC 102_Wkst'!$G$7:$G$2010,$D27,'LAC 102_Wkst'!$L$7:$L$2010,"12",'LAC 102_Wkst'!$N$7:$N$2010,"P3")</f>
        <v>0</v>
      </c>
      <c r="AX27" s="415">
        <f>SUMIFS('LAC 102_Wkst'!$Q$7:$Q$2010,'LAC 102_Wkst'!$D$7:$D$2010,$C$7,'LAC 102_Wkst'!$I$7:$I$2010,$C$9,'LAC 102_Wkst'!$E$7:$E$2010,$C27,'LAC 102_Wkst'!$G$7:$G$2010,$D27,'LAC 102_Wkst'!$L$7:$L$2010,"11",'LAC 102_Wkst'!$N$7:$N$2010,"P4")+SUMIFS('LAC 102_Wkst'!$Q$7:$Q$2010,'LAC 102_Wkst'!$D$7:$D$2010,$C$7,'LAC 102_Wkst'!$I$7:$I$2010,$C$9,'LAC 102_Wkst'!$E$7:$E$2010,$C27,'LAC 102_Wkst'!$G$7:$G$2010,$D27,'LAC 102_Wkst'!$L$7:$L$2010,"12",'LAC 102_Wkst'!$N$7:$N$2010,"P4")</f>
        <v>0</v>
      </c>
      <c r="AY27" s="414">
        <f>SUMIFS('LAC 102_Wkst'!$AF$7:$AF$2010,'LAC 102_Wkst'!$D$7:$D$2010,$C$7,'LAC 102_Wkst'!$I$7:$I$2010,$C$9,'LAC 102_Wkst'!$E$7:$E$2010,$C27,'LAC 102_Wkst'!$G$7:$G$2010,$D27,'LAC 102_Wkst'!$L$7:$L$2010,"11",'LAC 102_Wkst'!$N$7:$N$2010,"P4")+SUMIFS('LAC 102_Wkst'!$AF$7:$AF$2010,'LAC 102_Wkst'!$D$7:$D$2010,$C$7,'LAC 102_Wkst'!$I$7:$I$2010,$C$9,'LAC 102_Wkst'!$E$7:$E$2010,$C27,'LAC 102_Wkst'!$G$7:$G$2010,$D27,'LAC 102_Wkst'!$L$7:$L$2010,"12",'LAC 102_Wkst'!$N$7:$N$2010,"P4")</f>
        <v>0</v>
      </c>
      <c r="AZ27" s="415">
        <f>SUMIFS('LAC 102_Wkst'!$Q$7:$Q$2010,'LAC 102_Wkst'!$D$7:$D$2010,$C$7,'LAC 102_Wkst'!$I$7:$I$2010,$C$9,'LAC 102_Wkst'!$E$7:$E$2010,$C27,'LAC 102_Wkst'!$G$7:$G$2010,$D27,'LAC 102_Wkst'!$L$7:$L$2010,"11",'LAC 102_Wkst'!$N$7:$N$2010,"P5")+SUMIFS('LAC 102_Wkst'!$Q$7:$Q$2010,'LAC 102_Wkst'!$D$7:$D$2010,$C$7,'LAC 102_Wkst'!$I$7:$I$2010,$C$9,'LAC 102_Wkst'!$E$7:$E$2010,$C27,'LAC 102_Wkst'!$G$7:$G$2010,$D27,'LAC 102_Wkst'!$L$7:$L$2010,"12",'LAC 102_Wkst'!$N$7:$N$2010,"P5")</f>
        <v>0</v>
      </c>
      <c r="BA27" s="414">
        <f>SUMIFS('LAC 102_Wkst'!$AF$7:$AF$2010,'LAC 102_Wkst'!$D$7:$D$2010,$C$7,'LAC 102_Wkst'!$I$7:$I$2010,$C$9,'LAC 102_Wkst'!$E$7:$E$2010,$C27,'LAC 102_Wkst'!$G$7:$G$2010,$D27,'LAC 102_Wkst'!$L$7:$L$2010,"11",'LAC 102_Wkst'!$N$7:$N$2010,"P5")+SUMIFS('LAC 102_Wkst'!$AF$7:$AF$2010,'LAC 102_Wkst'!$D$7:$D$2010,$C$7,'LAC 102_Wkst'!$I$7:$I$2010,$C$9,'LAC 102_Wkst'!$E$7:$E$2010,$C27,'LAC 102_Wkst'!$G$7:$G$2010,$D27,'LAC 102_Wkst'!$L$7:$L$2010,"12",'LAC 102_Wkst'!$N$7:$N$2010,"P5")</f>
        <v>0</v>
      </c>
      <c r="BB27" s="415">
        <f>SUMIFS('LAC 102_Wkst'!$Q$7:$Q$2010,'LAC 102_Wkst'!$D$7:$D$2010,$C$7,'LAC 102_Wkst'!$I$7:$I$2010,$C$9,'LAC 102_Wkst'!$E$7:$E$2010,$C27,'LAC 102_Wkst'!$G$7:$G$2010,$D27,'LAC 102_Wkst'!$L$7:$L$2010,"13",'LAC 102_Wkst'!$N$7:$N$2010,"P1")+SUMIFS('LAC 102_Wkst'!$Q$7:$Q$2010,'LAC 102_Wkst'!$D$7:$D$2010,$C$7,'LAC 102_Wkst'!$I$7:$I$2010,$C$9,'LAC 102_Wkst'!$E$7:$E$2010,$C27,'LAC 102_Wkst'!$G$7:$G$2010,$D27,'LAC 102_Wkst'!$L$7:$L$2010,"13",'LAC 102_Wkst'!$N$7:$N$2010,"P2")+SUMIFS('LAC 102_Wkst'!$Q$7:$Q$2010,'LAC 102_Wkst'!$D$7:$D$2010,$C$7,'LAC 102_Wkst'!$I$7:$I$2010,$C$9,'LAC 102_Wkst'!$E$7:$E$2010,$C27,'LAC 102_Wkst'!$G$7:$G$2010,$D27,'LAC 102_Wkst'!$L$7:$L$2010,"13",'LAC 102_Wkst'!$N$7:$N$2010,"P3")+SUMIFS('LAC 102_Wkst'!$Q$7:$Q$2010,'LAC 102_Wkst'!$D$7:$D$2010,$C$7,'LAC 102_Wkst'!$I$7:$I$2010,$C$9,'LAC 102_Wkst'!$E$7:$E$2010,$C27,'LAC 102_Wkst'!$G$7:$G$2010,$D27,'LAC 102_Wkst'!$L$7:$L$2010,"13",'LAC 102_Wkst'!$N$7:$N$2010,"P4")</f>
        <v>730</v>
      </c>
      <c r="BC27" s="414">
        <f>SUMIFS('LAC 102_Wkst'!$AF$7:$AF$2010,'LAC 102_Wkst'!$D$7:$D$2010,$C$7,'LAC 102_Wkst'!$I$7:$I$2010,$C$9,'LAC 102_Wkst'!$E$7:$E$2010,$C27,'LAC 102_Wkst'!$G$7:$G$2010,$D27,'LAC 102_Wkst'!$L$7:$L$2010,"13",'LAC 102_Wkst'!$N$7:$N$2010,"P1")+SUMIFS('LAC 102_Wkst'!$AF$7:$AF$2010,'LAC 102_Wkst'!$D$7:$D$2010,$C$7,'LAC 102_Wkst'!$I$7:$I$2010,$C$9,'LAC 102_Wkst'!$E$7:$E$2010,$C27,'LAC 102_Wkst'!$G$7:$G$2010,$D27,'LAC 102_Wkst'!$L$7:$L$2010,"13",'LAC 102_Wkst'!$N$7:$N$2010,"P2")+SUMIFS('LAC 102_Wkst'!$AF$7:$AF$2010,'LAC 102_Wkst'!$D$7:$D$2010,$C$7,'LAC 102_Wkst'!$I$7:$I$2010,$C$9,'LAC 102_Wkst'!$E$7:$E$2010,$C27,'LAC 102_Wkst'!$G$7:$G$2010,$D27,'LAC 102_Wkst'!$L$7:$L$2010,"13",'LAC 102_Wkst'!$N$7:$N$2010,"P3")+SUMIFS('LAC 102_Wkst'!$AF$7:$AF$2010,'LAC 102_Wkst'!$D$7:$D$2010,$C$7,'LAC 102_Wkst'!$I$7:$I$2010,$C$9,'LAC 102_Wkst'!$E$7:$E$2010,$C27,'LAC 102_Wkst'!$G$7:$G$2010,$D27,'LAC 102_Wkst'!$L$7:$L$2010,"13",'LAC 102_Wkst'!$N$7:$N$2010,"P4")</f>
        <v>2341.4093754735577</v>
      </c>
      <c r="BD27" s="415">
        <f>SUMIFS('LAC 102_Wkst'!$Q$7:$Q$2010,'LAC 102_Wkst'!$D$7:$D$2010,$C$7,'LAC 102_Wkst'!$I$7:$I$2010,$C$9,'LAC 102_Wkst'!$E$7:$E$2010,$C27,'LAC 102_Wkst'!$G$7:$G$2010,$D27,'LAC 102_Wkst'!$L$7:$L$2010,"13",'LAC 102_Wkst'!$N$7:$N$2010,"P5")</f>
        <v>0</v>
      </c>
      <c r="BE27" s="416">
        <f>SUMIFS('LAC 102_Wkst'!$AF$7:$AF$2010,'LAC 102_Wkst'!$D$7:$D$2010,$C$7,'LAC 102_Wkst'!$I$7:$I$2010,$C$9,'LAC 102_Wkst'!$E$7:$E$2010,$C27,'LAC 102_Wkst'!$G$7:$G$2010,$D27,'LAC 102_Wkst'!$L$7:$L$2010,"13",'LAC 102_Wkst'!$N$7:$N$2010,"P5")</f>
        <v>0</v>
      </c>
      <c r="BF27" s="407">
        <f t="shared" si="4"/>
        <v>58</v>
      </c>
      <c r="BG27" s="1654">
        <f>SUMIFS('LAC 102_Wkst'!$AF$7:$AF$2010,'LAC 102_Wkst'!$D$7:$D$2010,$C$7,'LAC 102_Wkst'!$I$7:$I$2010,$C$9,'LAC 102_Wkst'!$E$7:$E$2010,$C27,'LAC 102_Wkst'!$G$7:$G$2010,$D27,'LAC 102_Wkst'!$L$7:$L$2010,"14")</f>
        <v>186.02978599652926</v>
      </c>
    </row>
    <row r="28" spans="1:59" x14ac:dyDescent="0.2">
      <c r="A28" s="401">
        <v>6</v>
      </c>
      <c r="B28" s="1678" t="str">
        <f>IF(Schedule_B!B$25="","",Schedule_B!B$25)</f>
        <v>CR</v>
      </c>
      <c r="C28" s="1674" t="str">
        <f>IF(Schedule_B!C$25=""," ",Schedule_B!C$25)</f>
        <v>15</v>
      </c>
      <c r="D28" s="1675" t="str">
        <f>IF(Schedule_B!D$25=""," ",Schedule_B!D$25)</f>
        <v>42</v>
      </c>
      <c r="E28" s="1221">
        <f>SUMIFS('LAC 102_Wkst'!$Q$7:$Q$2010,'LAC 102_Wkst'!$D$7:$D$2010,$C$7,'LAC 102_Wkst'!$I$7:$I$2010,$C$9,'LAC 102_Wkst'!$E$7:$E$2010,$C28,'LAC 102_Wkst'!$G$7:$G$2010,$D28)</f>
        <v>249163</v>
      </c>
      <c r="F28" s="408">
        <f>SUMIFS('LAC 102_Wkst'!$Q$7:$Q$2010,'LAC 102_Wkst'!$D$7:$D$2010,$C$7,'LAC 102_Wkst'!$I$7:$I$2010,$C$9,'LAC 102_Wkst'!$E$7:$E$2010,$C28,'LAC 102_Wkst'!$G$7:$G$2010,$D28,'LAC 102_Wkst'!$L$7:$L$2010,"01",'LAC 102_Wkst'!$N$7:$N$2010,"P1")+SUMIFS('LAC 102_Wkst'!$Q$7:$Q$2010,'LAC 102_Wkst'!$D$7:$D$2010,$C$7,'LAC 102_Wkst'!$I$7:$I$2010,$C$9,'LAC 102_Wkst'!$E$7:$E$2010,$C28,'LAC 102_Wkst'!$G$7:$G$2010,$D28,'LAC 102_Wkst'!$L$7:$L$2010,"01",'LAC 102_Wkst'!$N$7:$N$2010,"P2")+SUMIFS('LAC 102_Wkst'!$Q$7:$Q$2010,'LAC 102_Wkst'!$D$7:$D$2010,$C$7,'LAC 102_Wkst'!$I$7:$I$2010,$C$9,'LAC 102_Wkst'!$E$7:$E$2010,$C28,'LAC 102_Wkst'!$G$7:$G$2010,$D28,'LAC 102_Wkst'!$L$7:$L$2010,"01",'LAC 102_Wkst'!$N$7:$N$2010,"P3")+SUMIFS('LAC 102_Wkst'!$Q$7:$Q$2010,'LAC 102_Wkst'!$D$7:$D$2010,$C$7,'LAC 102_Wkst'!$I$7:$I$2010,$C$9,'LAC 102_Wkst'!$E$7:$E$2010,$C28,'LAC 102_Wkst'!$G$7:$G$2010,$D28,'LAC 102_Wkst'!$L$7:$L$2010,"02",'LAC 102_Wkst'!$N$7:$N$2010,"P1")+SUMIFS('LAC 102_Wkst'!$Q$7:$Q$2010,'LAC 102_Wkst'!$D$7:$D$2010,$C$7,'LAC 102_Wkst'!$I$7:$I$2010,$C$9,'LAC 102_Wkst'!$E$7:$E$2010,$C28,'LAC 102_Wkst'!$G$7:$G$2010,$D28,'LAC 102_Wkst'!$L$7:$L$2010,"02",'LAC 102_Wkst'!$N$7:$N$2010,"P2")+SUMIFS('LAC 102_Wkst'!$Q$7:$Q$2010,'LAC 102_Wkst'!$D$7:$D$2010,$C$7,'LAC 102_Wkst'!$I$7:$I$2010,$C$9,'LAC 102_Wkst'!$E$7:$E$2010,$C28,'LAC 102_Wkst'!$G$7:$G$2010,$D28,'LAC 102_Wkst'!$L$7:$L$2010,"02",'LAC 102_Wkst'!$N$7:$N$2010,"P3")</f>
        <v>219834</v>
      </c>
      <c r="G28" s="409">
        <f>SUMIFS('LAC 102_Wkst'!$AF$7:$AF$2010,'LAC 102_Wkst'!$D$7:$D$2010,$C$7,'LAC 102_Wkst'!$I$7:$I$2010,$C$9,'LAC 102_Wkst'!$E$7:$E$2010,$C28,'LAC 102_Wkst'!$G$7:$G$2010,$D28,'LAC 102_Wkst'!$L$7:$L$2010,"01",'LAC 102_Wkst'!$N$7:$N$2010,"P1")+SUMIFS('LAC 102_Wkst'!$AF$7:$AF$2010,'LAC 102_Wkst'!$D$7:$D$2010,$C$7,'LAC 102_Wkst'!$I$7:$I$2010,$C$9,'LAC 102_Wkst'!$E$7:$E$2010,$C28,'LAC 102_Wkst'!$G$7:$G$2010,$D28,'LAC 102_Wkst'!$L$7:$L$2010,"01",'LAC 102_Wkst'!$N$7:$N$2010,"P2")+SUMIFS('LAC 102_Wkst'!$AF$7:$AF$2010,'LAC 102_Wkst'!$D$7:$D$2010,$C$7,'LAC 102_Wkst'!$I$7:$I$2010,$C$9,'LAC 102_Wkst'!$E$7:$E$2010,$C28,'LAC 102_Wkst'!$G$7:$G$2010,$D28,'LAC 102_Wkst'!$L$7:$L$2010,"01",'LAC 102_Wkst'!$N$7:$N$2010,"P3")+SUMIFS('LAC 102_Wkst'!$AF$7:$AF$2010,'LAC 102_Wkst'!$D$7:$D$2010,$C$7,'LAC 102_Wkst'!$I$7:$I$2010,$C$9,'LAC 102_Wkst'!$E$7:$E$2010,$C28,'LAC 102_Wkst'!$G$7:$G$2010,$D28,'LAC 102_Wkst'!$L$7:$L$2010,"02",'LAC 102_Wkst'!$N$7:$N$2010,"P1")+SUMIFS('LAC 102_Wkst'!$AF$7:$AF$2010,'LAC 102_Wkst'!$D$7:$D$2010,$C$7,'LAC 102_Wkst'!$I$7:$I$2010,$C$9,'LAC 102_Wkst'!$E$7:$E$2010,$C28,'LAC 102_Wkst'!$G$7:$G$2010,$D28,'LAC 102_Wkst'!$L$7:$L$2010,"02",'LAC 102_Wkst'!$N$7:$N$2010,"P2")+SUMIFS('LAC 102_Wkst'!$AF$7:$AF$2010,'LAC 102_Wkst'!$D$7:$D$2010,$C$7,'LAC 102_Wkst'!$I$7:$I$2010,$C$9,'LAC 102_Wkst'!$E$7:$E$2010,$C28,'LAC 102_Wkst'!$G$7:$G$2010,$D28,'LAC 102_Wkst'!$L$7:$L$2010,"02",'LAC 102_Wkst'!$N$7:$N$2010,"P3")</f>
        <v>705097.79266829335</v>
      </c>
      <c r="H28" s="410">
        <f>SUMIFS('LAC 102_Wkst'!$Q$7:$Q$2010,'LAC 102_Wkst'!$D$7:$D$2010,$C$7,'LAC 102_Wkst'!$I$7:$I$2010,$C$9,'LAC 102_Wkst'!$E$7:$E$2010,$C28,'LAC 102_Wkst'!$G$7:$G$2010,$D28,'LAC 102_Wkst'!$L$7:$L$2010,"01",'LAC 102_Wkst'!$N$7:$N$2010,"P4")+SUMIFS('LAC 102_Wkst'!$Q$7:$Q$2010,'LAC 102_Wkst'!$D$7:$D$2010,$C$7,'LAC 102_Wkst'!$I$7:$I$2010,$C$9,'LAC 102_Wkst'!$E$7:$E$2010,$C28,'LAC 102_Wkst'!$G$7:$G$2010,$D28,'LAC 102_Wkst'!$L$7:$L$2010,"02",'LAC 102_Wkst'!$N$7:$N$2010,"P4")</f>
        <v>0</v>
      </c>
      <c r="I28" s="411">
        <f>SUMIFS('LAC 102_Wkst'!$AF$7:$AF$2010,'LAC 102_Wkst'!$D$7:$D$2010,$C$7,'LAC 102_Wkst'!$I$7:$I$2010,$C$9,'LAC 102_Wkst'!$E$7:$E$2010,$C28,'LAC 102_Wkst'!$G$7:$G$2010,$D28,'LAC 102_Wkst'!$L$7:$L$2010,"01",'LAC 102_Wkst'!$N$7:$N$2010,"P4")+SUMIFS('LAC 102_Wkst'!$AF$7:$AF$2010,'LAC 102_Wkst'!$D$7:$D$2010,$C$7,'LAC 102_Wkst'!$I$7:$I$2010,$C$9,'LAC 102_Wkst'!$E$7:$E$2010,$C28,'LAC 102_Wkst'!$G$7:$G$2010,$D28,'LAC 102_Wkst'!$L$7:$L$2010,"02",'LAC 102_Wkst'!$N$7:$N$2010,"P4")</f>
        <v>0</v>
      </c>
      <c r="J28" s="410">
        <f>SUMIFS('LAC 102_Wkst'!$Q$7:$Q$2010,'LAC 102_Wkst'!$D$7:$D$2010,$C$7,'LAC 102_Wkst'!$I$7:$I$2010,$C$9,'LAC 102_Wkst'!$E$7:$E$2010,$C28,'LAC 102_Wkst'!$G$7:$G$2010,$D28,'LAC 102_Wkst'!$L$7:$L$2010,"01",'LAC 102_Wkst'!$N$7:$N$2010,"P5")+SUMIFS('LAC 102_Wkst'!$Q$7:$Q$2010,'LAC 102_Wkst'!$D$7:$D$2010,$C$7,'LAC 102_Wkst'!$I$7:$I$2010,$C$9,'LAC 102_Wkst'!$E$7:$E$2010,$C28,'LAC 102_Wkst'!$G$7:$G$2010,$D28,'LAC 102_Wkst'!$L$7:$L$2010,"02",'LAC 102_Wkst'!$N$7:$N$2010,"P5")</f>
        <v>0</v>
      </c>
      <c r="K28" s="411">
        <f>SUMIFS('LAC 102_Wkst'!$AF$7:$AF$2010,'LAC 102_Wkst'!$D$7:$D$2010,$C$7,'LAC 102_Wkst'!$I$7:$I$2010,$C$9,'LAC 102_Wkst'!$E$7:$E$2010,$C28,'LAC 102_Wkst'!$G$7:$G$2010,$D28,'LAC 102_Wkst'!$L$7:$L$2010,"01",'LAC 102_Wkst'!$N$7:$N$2010,"P5")+SUMIFS('LAC 102_Wkst'!$AF$7:$AF$2010,'LAC 102_Wkst'!$D$7:$D$2010,$C$7,'LAC 102_Wkst'!$I$7:$I$2010,$C$9,'LAC 102_Wkst'!$E$7:$E$2010,$C28,'LAC 102_Wkst'!$G$7:$G$2010,$D28,'LAC 102_Wkst'!$L$7:$L$2010,"02",'LAC 102_Wkst'!$N$7:$N$2010,"P5")</f>
        <v>0</v>
      </c>
      <c r="L28" s="410">
        <f>SUMIFS('LAC 102_Wkst'!$Q$7:$Q$2010,'LAC 102_Wkst'!$D$7:$D$2010,$C$7,'LAC 102_Wkst'!$I$7:$I$2010,$C$9,'LAC 102_Wkst'!$E$7:$E$2010,$C28,'LAC 102_Wkst'!$G$7:$G$2010,$D28,'LAC 102_Wkst'!$L$7:$L$2010,"03",'LAC 102_Wkst'!$N$7:$N$2010,"P1")+SUMIFS('LAC 102_Wkst'!$Q$7:$Q$2010,'LAC 102_Wkst'!$D$7:$D$2010,$C$7,'LAC 102_Wkst'!$I$7:$I$2010,$C$9,'LAC 102_Wkst'!$E$7:$E$2010,$C28,'LAC 102_Wkst'!$G$7:$G$2010,$D28,'LAC 102_Wkst'!$L$7:$L$2010,"03",'LAC 102_Wkst'!$N$7:$N$2010,"P2")+SUMIFS('LAC 102_Wkst'!$Q$7:$Q$2010,'LAC 102_Wkst'!$D$7:$D$2010,$C$7,'LAC 102_Wkst'!$I$7:$I$2010,$C$9,'LAC 102_Wkst'!$E$7:$E$2010,$C28,'LAC 102_Wkst'!$G$7:$G$2010,$D28,'LAC 102_Wkst'!$L$7:$L$2010,"03",'LAC 102_Wkst'!$N$7:$N$2010,"P3")+SUMIFS('LAC 102_Wkst'!$Q$7:$Q$2010,'LAC 102_Wkst'!$D$7:$D$2010,$C$7,'LAC 102_Wkst'!$I$7:$I$2010,$C$9,'LAC 102_Wkst'!$E$7:$E$2010,$C28,'LAC 102_Wkst'!$G$7:$G$2010,$D28,'LAC 102_Wkst'!$L$7:$L$2010,"04",'LAC 102_Wkst'!$N$7:$N$2010,"P1")+SUMIFS('LAC 102_Wkst'!$Q$7:$Q$2010,'LAC 102_Wkst'!$D$7:$D$2010,$C$7,'LAC 102_Wkst'!$I$7:$I$2010,$C$9,'LAC 102_Wkst'!$E$7:$E$2010,$C28,'LAC 102_Wkst'!$G$7:$G$2010,$D28,'LAC 102_Wkst'!$L$7:$L$2010,"04",'LAC 102_Wkst'!$N$7:$N$2010,"P2")+SUMIFS('LAC 102_Wkst'!$Q$7:$Q$2010,'LAC 102_Wkst'!$D$7:$D$2010,$C$7,'LAC 102_Wkst'!$I$7:$I$2010,$C$9,'LAC 102_Wkst'!$E$7:$E$2010,$C28,'LAC 102_Wkst'!$G$7:$G$2010,$D28,'LAC 102_Wkst'!$L$7:$L$2010,"04",'LAC 102_Wkst'!$N$7:$N$2010,"P3")</f>
        <v>0</v>
      </c>
      <c r="M28" s="411">
        <f>SUMIFS('LAC 102_Wkst'!$AF$7:$AF$2010,'LAC 102_Wkst'!$D$7:$D$2010,$C$7,'LAC 102_Wkst'!$I$7:$I$2010,$C$9,'LAC 102_Wkst'!$E$7:$E$2010,$C28,'LAC 102_Wkst'!$G$7:$G$2010,$D28,'LAC 102_Wkst'!$L$7:$L$2010,"03",'LAC 102_Wkst'!$N$7:$N$2010,"P1")+SUMIFS('LAC 102_Wkst'!$AF$7:$AF$2010,'LAC 102_Wkst'!$D$7:$D$2010,$C$7,'LAC 102_Wkst'!$I$7:$I$2010,$C$9,'LAC 102_Wkst'!$E$7:$E$2010,$C28,'LAC 102_Wkst'!$G$7:$G$2010,$D28,'LAC 102_Wkst'!$L$7:$L$2010,"03",'LAC 102_Wkst'!$N$7:$N$2010,"P2")+SUMIFS('LAC 102_Wkst'!$AF$7:$AF$2010,'LAC 102_Wkst'!$D$7:$D$2010,$C$7,'LAC 102_Wkst'!$I$7:$I$2010,$C$9,'LAC 102_Wkst'!$E$7:$E$2010,$C28,'LAC 102_Wkst'!$G$7:$G$2010,$D28,'LAC 102_Wkst'!$L$7:$L$2010,"03",'LAC 102_Wkst'!$N$7:$N$2010,"P3")+SUMIFS('LAC 102_Wkst'!$AF$7:$AF$2010,'LAC 102_Wkst'!$D$7:$D$2010,$C$7,'LAC 102_Wkst'!$I$7:$I$2010,$C$9,'LAC 102_Wkst'!$E$7:$E$2010,$C28,'LAC 102_Wkst'!$G$7:$G$2010,$D28,'LAC 102_Wkst'!$L$7:$L$2010,"04",'LAC 102_Wkst'!$N$7:$N$2010,"P1")+SUMIFS('LAC 102_Wkst'!$AF$7:$AF$2010,'LAC 102_Wkst'!$D$7:$D$2010,$C$7,'LAC 102_Wkst'!$I$7:$I$2010,$C$9,'LAC 102_Wkst'!$E$7:$E$2010,$C28,'LAC 102_Wkst'!$G$7:$G$2010,$D28,'LAC 102_Wkst'!$L$7:$L$2010,"04",'LAC 102_Wkst'!$N$7:$N$2010,"P2")+SUMIFS('LAC 102_Wkst'!$AF$7:$AF$2010,'LAC 102_Wkst'!$D$7:$D$2010,$C$7,'LAC 102_Wkst'!$I$7:$I$2010,$C$9,'LAC 102_Wkst'!$E$7:$E$2010,$C28,'LAC 102_Wkst'!$G$7:$G$2010,$D28,'LAC 102_Wkst'!$L$7:$L$2010,"04",'LAC 102_Wkst'!$N$7:$N$2010,"P3")</f>
        <v>0</v>
      </c>
      <c r="N28" s="410">
        <f>SUMIFS('LAC 102_Wkst'!$Q$7:$Q$2010,'LAC 102_Wkst'!$D$7:$D$2010,$C$7,'LAC 102_Wkst'!$I$7:$I$2010,$C$9,'LAC 102_Wkst'!$E$7:$E$2010,$C28,'LAC 102_Wkst'!$G$7:$G$2010,$D28,'LAC 102_Wkst'!$L$7:$L$2010,"03",'LAC 102_Wkst'!$N$7:$N$2010,"P4")+SUMIFS('LAC 102_Wkst'!$Q$7:$Q$2010,'LAC 102_Wkst'!$D$7:$D$2010,$C$7,'LAC 102_Wkst'!$I$7:$I$2010,$C$9,'LAC 102_Wkst'!$E$7:$E$2010,$C28,'LAC 102_Wkst'!$G$7:$G$2010,$D28,'LAC 102_Wkst'!$L$7:$L$2010,"04",'LAC 102_Wkst'!$N$7:$N$2010,"P4")</f>
        <v>0</v>
      </c>
      <c r="O28" s="411">
        <f>SUMIFS('LAC 102_Wkst'!$AF$7:$AF$2010,'LAC 102_Wkst'!$D$7:$D$2010,$C$7,'LAC 102_Wkst'!$I$7:$I$2010,$C$9,'LAC 102_Wkst'!$E$7:$E$2010,$C28,'LAC 102_Wkst'!$G$7:$G$2010,$D28,'LAC 102_Wkst'!$L$7:$L$2010,"03",'LAC 102_Wkst'!$N$7:$N$2010,"P4")+SUMIFS('LAC 102_Wkst'!$AF$7:$AF$2010,'LAC 102_Wkst'!$D$7:$D$2010,$C$7,'LAC 102_Wkst'!$I$7:$I$2010,$C$9,'LAC 102_Wkst'!$E$7:$E$2010,$C28,'LAC 102_Wkst'!$G$7:$G$2010,$D28,'LAC 102_Wkst'!$L$7:$L$2010,"04",'LAC 102_Wkst'!$N$7:$N$2010,"P4")</f>
        <v>0</v>
      </c>
      <c r="P28" s="404">
        <f>SUMIFS('LAC 102_Wkst'!$Q$7:$Q$2010,'LAC 102_Wkst'!$D$7:$D$2010,$C$7,'LAC 102_Wkst'!$I$7:$I$2010,$C$9,'LAC 102_Wkst'!$E$7:$E$2010,$C28,'LAC 102_Wkst'!$G$7:$G$2010,$D28,'LAC 102_Wkst'!$L$7:$L$2010,"03",'LAC 102_Wkst'!$N$7:$N$2010,"P5")+SUMIFS('LAC 102_Wkst'!$Q$7:$Q$2010,'LAC 102_Wkst'!$D$7:$D$2010,$C$7,'LAC 102_Wkst'!$I$7:$I$2010,$C$9,'LAC 102_Wkst'!$E$7:$E$2010,$C28,'LAC 102_Wkst'!$G$7:$G$2010,$D28,'LAC 102_Wkst'!$L$7:$L$2010,"04",'LAC 102_Wkst'!$N$7:$N$2010,"P5")</f>
        <v>0</v>
      </c>
      <c r="Q28" s="411">
        <f>SUMIFS('LAC 102_Wkst'!$AF$7:$AF$2010,'LAC 102_Wkst'!$D$7:$D$2010,$C$7,'LAC 102_Wkst'!$I$7:$I$2010,$C$9,'LAC 102_Wkst'!$E$7:$E$2010,$C28,'LAC 102_Wkst'!$G$7:$G$2010,$D28,'LAC 102_Wkst'!$L$7:$L$2010,"03",'LAC 102_Wkst'!$N$7:$N$2010,"P5")+SUMIFS('LAC 102_Wkst'!$AF$7:$AF$2010,'LAC 102_Wkst'!$D$7:$D$2010,$C$7,'LAC 102_Wkst'!$I$7:$I$2010,$C$9,'LAC 102_Wkst'!$E$7:$E$2010,$C28,'LAC 102_Wkst'!$G$7:$G$2010,$D28,'LAC 102_Wkst'!$L$7:$L$2010,"04",'LAC 102_Wkst'!$N$7:$N$2010,"P5")</f>
        <v>0</v>
      </c>
      <c r="R28" s="410">
        <f>SUMIFS('LAC 102_Wkst'!$Q$7:$Q$2010,'LAC 102_Wkst'!$D$7:$D$2010,$C$7,'LAC 102_Wkst'!$I$7:$I$2010,$C$9,'LAC 102_Wkst'!$E$7:$E$2010,$C28,'LAC 102_Wkst'!$G$7:$G$2010,$D28,'LAC 102_Wkst'!$L$7:$L$2010,"05",'LAC 102_Wkst'!$N$7:$N$2010,"P1")+SUMIFS('LAC 102_Wkst'!$Q$7:$Q$2010,'LAC 102_Wkst'!$D$7:$D$2010,$C$7,'LAC 102_Wkst'!$I$7:$I$2010,$C$9,'LAC 102_Wkst'!$E$7:$E$2010,$C28,'LAC 102_Wkst'!$G$7:$G$2010,$D28,'LAC 102_Wkst'!$L$7:$L$2010,"06",'LAC 102_Wkst'!$N$7:$N$2010,"P1")</f>
        <v>517</v>
      </c>
      <c r="S28" s="411">
        <f>SUMIFS('LAC 102_Wkst'!$AF$7:$AF$2010,'LAC 102_Wkst'!$D$7:$D$2010,$C$7,'LAC 102_Wkst'!$I$7:$I$2010,$C$9,'LAC 102_Wkst'!$E$7:$E$2010,$C28,'LAC 102_Wkst'!$G$7:$G$2010,$D28,'LAC 102_Wkst'!$L$7:$L$2010,"05",'LAC 102_Wkst'!$N$7:$N$2010,"P1")+SUMIFS('LAC 102_Wkst'!$AF$7:$AF$2010,'LAC 102_Wkst'!$D$7:$D$2010,$C$7,'LAC 102_Wkst'!$I$7:$I$2010,$C$9,'LAC 102_Wkst'!$E$7:$E$2010,$C28,'LAC 102_Wkst'!$G$7:$G$2010,$D28,'LAC 102_Wkst'!$L$7:$L$2010,"06",'LAC 102_Wkst'!$N$7:$N$2010,"P1")</f>
        <v>1658.2310234518211</v>
      </c>
      <c r="T28" s="410">
        <f>SUMIFS('LAC 102_Wkst'!$Q$7:$Q$2010,'LAC 102_Wkst'!$D$7:$D$2010,$C$7,'LAC 102_Wkst'!$I$7:$I$2010,$C$9,'LAC 102_Wkst'!$E$7:$E$2010,$C28,'LAC 102_Wkst'!$G$7:$G$2010,$D28,'LAC 102_Wkst'!$L$7:$L$2010,"05",'LAC 102_Wkst'!$N$7:$N$2010,"P2")+SUMIFS('LAC 102_Wkst'!$Q$7:$Q$2010,'LAC 102_Wkst'!$D$7:$D$2010,$C$7,'LAC 102_Wkst'!$I$7:$I$2010,$C$9,'LAC 102_Wkst'!$E$7:$E$2010,$C28,'LAC 102_Wkst'!$G$7:$G$2010,$D28,'LAC 102_Wkst'!$L$7:$L$2010,"06",'LAC 102_Wkst'!$N$7:$N$2010,"P2")+SUMIFS('LAC 102_Wkst'!$Q$7:$Q$2010,'LAC 102_Wkst'!$D$7:$D$2010,$C$7,'LAC 102_Wkst'!$I$7:$I$2010,$C$9,'LAC 102_Wkst'!$E$7:$E$2010,$C28,'LAC 102_Wkst'!$G$7:$G$2010,$D28,'LAC 102_Wkst'!$L$7:$L$2010,"05",'LAC 102_Wkst'!$N$7:$N$2010,"P3")+SUMIFS('LAC 102_Wkst'!$Q$7:$Q$2010,'LAC 102_Wkst'!$D$7:$D$2010,$C$7,'LAC 102_Wkst'!$I$7:$I$2010,$C$9,'LAC 102_Wkst'!$E$7:$E$2010,$C28,'LAC 102_Wkst'!$G$7:$G$2010,$D28,'LAC 102_Wkst'!$L$7:$L$2010,"06",'LAC 102_Wkst'!$N$7:$N$2010,"P3")</f>
        <v>0</v>
      </c>
      <c r="U28" s="411">
        <f>SUMIFS('LAC 102_Wkst'!$AF$7:$AF$2010,'LAC 102_Wkst'!$D$7:$D$2010,$C$7,'LAC 102_Wkst'!$I$7:$I$2010,$C$9,'LAC 102_Wkst'!$E$7:$E$2010,$C28,'LAC 102_Wkst'!$G$7:$G$2010,$D28,'LAC 102_Wkst'!$L$7:$L$2010,"05",'LAC 102_Wkst'!$N$7:$N$2010,"P2")+SUMIFS('LAC 102_Wkst'!$AF$7:$AF$2010,'LAC 102_Wkst'!$D$7:$D$2010,$C$7,'LAC 102_Wkst'!$I$7:$I$2010,$C$9,'LAC 102_Wkst'!$E$7:$E$2010,$C28,'LAC 102_Wkst'!$G$7:$G$2010,$D28,'LAC 102_Wkst'!$L$7:$L$2010,"06",'LAC 102_Wkst'!$N$7:$N$2010,"P2")+SUMIFS('LAC 102_Wkst'!$AF$7:$AF$2010,'LAC 102_Wkst'!$D$7:$D$2010,$C$7,'LAC 102_Wkst'!$I$7:$I$2010,$C$9,'LAC 102_Wkst'!$E$7:$E$2010,$C28,'LAC 102_Wkst'!$G$7:$G$2010,$D28,'LAC 102_Wkst'!$L$7:$L$2010,"05",'LAC 102_Wkst'!$N$7:$N$2010,"P3")+SUMIFS('LAC 102_Wkst'!$AF$7:$AF$2010,'LAC 102_Wkst'!$D$7:$D$2010,$C$7,'LAC 102_Wkst'!$I$7:$I$2010,$C$9,'LAC 102_Wkst'!$E$7:$E$2010,$C28,'LAC 102_Wkst'!$G$7:$G$2010,$D28,'LAC 102_Wkst'!$L$7:$L$2010,"06",'LAC 102_Wkst'!$N$7:$N$2010,"P3")</f>
        <v>0</v>
      </c>
      <c r="V28" s="410">
        <f>SUMIFS('LAC 102_Wkst'!$Q$7:$Q$2010,'LAC 102_Wkst'!$D$7:$D$2010,$C$7,'LAC 102_Wkst'!$I$7:$I$2010,$C$9,'LAC 102_Wkst'!$E$7:$E$2010,$C28,'LAC 102_Wkst'!$G$7:$G$2010,$D28,'LAC 102_Wkst'!$L$7:$L$2010,"05",'LAC 102_Wkst'!$N$7:$N$2010,"P4")+SUMIFS('LAC 102_Wkst'!$Q$7:$Q$2010,'LAC 102_Wkst'!$D$7:$D$2010,$C$7,'LAC 102_Wkst'!$I$7:$I$2010,$C$9,'LAC 102_Wkst'!$E$7:$E$2010,$C28,'LAC 102_Wkst'!$G$7:$G$2010,$D28,'LAC 102_Wkst'!$L$7:$L$2010,"06",'LAC 102_Wkst'!$N$7:$N$2010,"P4")</f>
        <v>0</v>
      </c>
      <c r="W28" s="411">
        <f>SUMIFS('LAC 102_Wkst'!$AF$7:$AF$2010,'LAC 102_Wkst'!$D$7:$D$2010,$C$7,'LAC 102_Wkst'!$I$7:$I$2010,$C$9,'LAC 102_Wkst'!$E$7:$E$2010,$C28,'LAC 102_Wkst'!$G$7:$G$2010,$D28,'LAC 102_Wkst'!$L$7:$L$2010,"05",'LAC 102_Wkst'!$N$7:$N$2010,"P4")+SUMIFS('LAC 102_Wkst'!$AF$7:$AF$2010,'LAC 102_Wkst'!$D$7:$D$2010,$C$7,'LAC 102_Wkst'!$I$7:$I$2010,$C$9,'LAC 102_Wkst'!$E$7:$E$2010,$C28,'LAC 102_Wkst'!$G$7:$G$2010,$D28,'LAC 102_Wkst'!$L$7:$L$2010,"06",'LAC 102_Wkst'!$N$7:$N$2010,"P4")</f>
        <v>0</v>
      </c>
      <c r="X28" s="404">
        <f>SUMIFS('LAC 102_Wkst'!$Q$7:$Q$2010,'LAC 102_Wkst'!$D$7:$D$2010,$C$7,'LAC 102_Wkst'!$I$7:$I$2010,$C$9,'LAC 102_Wkst'!$E$7:$E$2010,$C28,'LAC 102_Wkst'!$G$7:$G$2010,$D28,'LAC 102_Wkst'!$L$7:$L$2010,"05",'LAC 102_Wkst'!$N$7:$N$2010,"P5")+SUMIFS('LAC 102_Wkst'!$Q$7:$Q$2010,'LAC 102_Wkst'!$D$7:$D$2010,$C$7,'LAC 102_Wkst'!$I$7:$I$2010,$C$9,'LAC 102_Wkst'!$E$7:$E$2010,$C28,'LAC 102_Wkst'!$G$7:$G$2010,$D28,'LAC 102_Wkst'!$L$7:$L$2010,"06",'LAC 102_Wkst'!$N$7:$N$2010,"P5")</f>
        <v>0</v>
      </c>
      <c r="Y28" s="411">
        <f>SUMIFS('LAC 102_Wkst'!$AF$7:$AF$2010,'LAC 102_Wkst'!$D$7:$D$2010,$C$7,'LAC 102_Wkst'!$I$7:$I$2010,$C$9,'LAC 102_Wkst'!$E$7:$E$2010,$C28,'LAC 102_Wkst'!$G$7:$G$2010,$D28,'LAC 102_Wkst'!$L$7:$L$2010,"05",'LAC 102_Wkst'!$N$7:$N$2010,"P5")+SUMIFS('LAC 102_Wkst'!$AF$7:$AF$2010,'LAC 102_Wkst'!$D$7:$D$2010,$C$7,'LAC 102_Wkst'!$I$7:$I$2010,$C$9,'LAC 102_Wkst'!$E$7:$E$2010,$C28,'LAC 102_Wkst'!$G$7:$G$2010,$D28,'LAC 102_Wkst'!$L$7:$L$2010,"06",'LAC 102_Wkst'!$N$7:$N$2010,"P5")</f>
        <v>0</v>
      </c>
      <c r="Z28" s="410">
        <f>SUMIFS('LAC 102_Wkst'!$Q$7:$Q$2010,'LAC 102_Wkst'!$D$7:$D$2010,$C$7,'LAC 102_Wkst'!$I$7:$I$2010,$C$9,'LAC 102_Wkst'!$E$7:$E$2010,$C28,'LAC 102_Wkst'!$G$7:$G$2010,$D28,'LAC 102_Wkst'!$L$7:$L$2010,"07",'LAC 102_Wkst'!$N$7:$N$2010,"P1")+SUMIFS('LAC 102_Wkst'!$Q$7:$Q$2010,'LAC 102_Wkst'!$D$7:$D$2010,$C$7,'LAC 102_Wkst'!$I$7:$I$2010,$C$9,'LAC 102_Wkst'!$E$7:$E$2010,$C28,'LAC 102_Wkst'!$G$7:$G$2010,$D28,'LAC 102_Wkst'!$L$7:$L$2010,"07",'LAC 102_Wkst'!$N$7:$N$2010,"P2")+SUMIFS('LAC 102_Wkst'!$Q$7:$Q$2010,'LAC 102_Wkst'!$D$7:$D$2010,$C$7,'LAC 102_Wkst'!$I$7:$I$2010,$C$9,'LAC 102_Wkst'!$E$7:$E$2010,$C28,'LAC 102_Wkst'!$G$7:$G$2010,$D28,'LAC 102_Wkst'!$L$7:$L$2010,"07",'LAC 102_Wkst'!$N$7:$N$2010,"P3")</f>
        <v>0</v>
      </c>
      <c r="AA28" s="411">
        <f>SUMIFS('LAC 102_Wkst'!$AF$7:$AF$2010,'LAC 102_Wkst'!$D$7:$D$2010,$C$7,'LAC 102_Wkst'!$I$7:$I$2010,$C$9,'LAC 102_Wkst'!$E$7:$E$2010,$C28,'LAC 102_Wkst'!$G$7:$G$2010,$D28,'LAC 102_Wkst'!$L$7:$L$2010,"07",'LAC 102_Wkst'!$N$7:$N$2010,"P1")+SUMIFS('LAC 102_Wkst'!$AF$7:$AF$2010,'LAC 102_Wkst'!$D$7:$D$2010,$C$7,'LAC 102_Wkst'!$I$7:$I$2010,$C$9,'LAC 102_Wkst'!$E$7:$E$2010,$C28,'LAC 102_Wkst'!$G$7:$G$2010,$D28,'LAC 102_Wkst'!$L$7:$L$2010,"07",'LAC 102_Wkst'!$N$7:$N$2010,"P2")+SUMIFS('LAC 102_Wkst'!$AF$7:$AF$2010,'LAC 102_Wkst'!$D$7:$D$2010,$C$7,'LAC 102_Wkst'!$I$7:$I$2010,$C$9,'LAC 102_Wkst'!$E$7:$E$2010,$C28,'LAC 102_Wkst'!$G$7:$G$2010,$D28,'LAC 102_Wkst'!$L$7:$L$2010,"07",'LAC 102_Wkst'!$N$7:$N$2010,"P3")</f>
        <v>0</v>
      </c>
      <c r="AB28" s="410">
        <f>SUMIFS('LAC 102_Wkst'!$Q$7:$Q$2010,'LAC 102_Wkst'!$D$7:$D$2010,$C$7,'LAC 102_Wkst'!$I$7:$I$2010,$C$9,'LAC 102_Wkst'!$E$7:$E$2010,$C28,'LAC 102_Wkst'!$G$7:$G$2010,$D28,'LAC 102_Wkst'!$L$7:$L$2010,"07",'LAC 102_Wkst'!$N$7:$N$2010,"P4")</f>
        <v>0</v>
      </c>
      <c r="AC28" s="411">
        <f>SUMIFS('LAC 102_Wkst'!$AF$7:$AF$2010,'LAC 102_Wkst'!$D$7:$D$2010,$C$7,'LAC 102_Wkst'!$I$7:$I$2010,$C$9,'LAC 102_Wkst'!$E$7:$E$2010,$C28,'LAC 102_Wkst'!$G$7:$G$2010,$D28,'LAC 102_Wkst'!$L$7:$L$2010,"07",'LAC 102_Wkst'!$N$7:$N$2010,"P4")</f>
        <v>0</v>
      </c>
      <c r="AD28" s="404">
        <f>SUMIFS('LAC 102_Wkst'!$Q$7:$Q$2010,'LAC 102_Wkst'!$D$7:$D$2010,$C$7,'LAC 102_Wkst'!$I$7:$I$2010,$C$9,'LAC 102_Wkst'!$E$7:$E$2010,$C28,'LAC 102_Wkst'!$G$7:$G$2010,$D28,'LAC 102_Wkst'!$L$7:$L$2010,"07",'LAC 102_Wkst'!$N$7:$N$2010,"P5")</f>
        <v>0</v>
      </c>
      <c r="AE28" s="411">
        <f>SUMIFS('LAC 102_Wkst'!$AF$7:$AF$2010,'LAC 102_Wkst'!$D$7:$D$2010,$C$7,'LAC 102_Wkst'!$I$7:$I$2010,$C$9,'LAC 102_Wkst'!$E$7:$E$2010,$C28,'LAC 102_Wkst'!$G$7:$G$2010,$D28,'LAC 102_Wkst'!$L$7:$L$2010,"07",'LAC 102_Wkst'!$N$7:$N$2010,"P5")</f>
        <v>0</v>
      </c>
      <c r="AF28" s="410">
        <f>SUMIFS('LAC 102_Wkst'!$Q$7:$Q$2010,'LAC 102_Wkst'!$D$7:$D$2010,$C$7,'LAC 102_Wkst'!$I$7:$I$2010,$C$9,'LAC 102_Wkst'!$E$7:$E$2010,$C28,'LAC 102_Wkst'!$G$7:$G$2010,$D28,'LAC 102_Wkst'!$L$7:$L$2010,"08",'LAC 102_Wkst'!$N$7:$N$2010,"P1")+SUMIFS('LAC 102_Wkst'!$Q$7:$Q$2010,'LAC 102_Wkst'!$D$7:$D$2010,$C$7,'LAC 102_Wkst'!$I$7:$I$2010,$C$9,'LAC 102_Wkst'!$E$7:$E$2010,$C28,'LAC 102_Wkst'!$G$7:$G$2010,$D28,'LAC 102_Wkst'!$L$7:$L$2010,"08",'LAC 102_Wkst'!$N$7:$N$2010,"P2")+SUMIFS('LAC 102_Wkst'!$Q$7:$Q$2010,'LAC 102_Wkst'!$D$7:$D$2010,$C$7,'LAC 102_Wkst'!$I$7:$I$2010,$C$9,'LAC 102_Wkst'!$E$7:$E$2010,$C28,'LAC 102_Wkst'!$G$7:$G$2010,$D28,'LAC 102_Wkst'!$L$7:$L$2010,"08",'LAC 102_Wkst'!$N$7:$N$2010,"P3")</f>
        <v>0</v>
      </c>
      <c r="AG28" s="411">
        <f>SUMIFS('LAC 102_Wkst'!$AF$7:$AF$2010,'LAC 102_Wkst'!$D$7:$D$2010,$C$7,'LAC 102_Wkst'!$I$7:$I$2010,$C$9,'LAC 102_Wkst'!$E$7:$E$2010,$C28,'LAC 102_Wkst'!$G$7:$G$2010,$D28,'LAC 102_Wkst'!$L$7:$L$2010,"08",'LAC 102_Wkst'!$N$7:$N$2010,"P1")+SUMIFS('LAC 102_Wkst'!$AF$7:$AF$2010,'LAC 102_Wkst'!$D$7:$D$2010,$C$7,'LAC 102_Wkst'!$I$7:$I$2010,$C$9,'LAC 102_Wkst'!$E$7:$E$2010,$C28,'LAC 102_Wkst'!$G$7:$G$2010,$D28,'LAC 102_Wkst'!$L$7:$L$2010,"08",'LAC 102_Wkst'!$N$7:$N$2010,"P2")+SUMIFS('LAC 102_Wkst'!$AF$7:$AF$2010,'LAC 102_Wkst'!$D$7:$D$2010,$C$7,'LAC 102_Wkst'!$I$7:$I$2010,$C$9,'LAC 102_Wkst'!$E$7:$E$2010,$C28,'LAC 102_Wkst'!$G$7:$G$2010,$D28,'LAC 102_Wkst'!$L$7:$L$2010,"08",'LAC 102_Wkst'!$N$7:$N$2010,"P3")</f>
        <v>0</v>
      </c>
      <c r="AH28" s="410">
        <f>SUMIFS('LAC 102_Wkst'!$Q$7:$Q$2010,'LAC 102_Wkst'!$D$7:$D$2010,$C$7,'LAC 102_Wkst'!$I$7:$I$2010,$C$9,'LAC 102_Wkst'!$E$7:$E$2010,$C28,'LAC 102_Wkst'!$G$7:$G$2010,$D28,'LAC 102_Wkst'!$L$7:$L$2010,"08",'LAC 102_Wkst'!$N$7:$N$2010,"P4")</f>
        <v>0</v>
      </c>
      <c r="AI28" s="411">
        <f>SUMIFS('LAC 102_Wkst'!$AF$7:$AF$2010,'LAC 102_Wkst'!$D$7:$D$2010,$C$7,'LAC 102_Wkst'!$I$7:$I$2010,$C$9,'LAC 102_Wkst'!$E$7:$E$2010,$C28,'LAC 102_Wkst'!$G$7:$G$2010,$D28,'LAC 102_Wkst'!$L$7:$L$2010,"08",'LAC 102_Wkst'!$N$7:$N$2010,"P4")</f>
        <v>0</v>
      </c>
      <c r="AJ28" s="404">
        <f>SUMIFS('LAC 102_Wkst'!$Q$7:$Q$2010,'LAC 102_Wkst'!$D$7:$D$2010,$C$7,'LAC 102_Wkst'!$I$7:$I$2010,$C$9,'LAC 102_Wkst'!$E$7:$E$2010,$C28,'LAC 102_Wkst'!$G$7:$G$2010,$D28,'LAC 102_Wkst'!$L$7:$L$2010,"08",'LAC 102_Wkst'!$N$7:$N$2010,"P5")</f>
        <v>0</v>
      </c>
      <c r="AK28" s="411">
        <f>SUMIFS('LAC 102_Wkst'!$AF$7:$AF$2010,'LAC 102_Wkst'!$D$7:$D$2010,$C$7,'LAC 102_Wkst'!$I$7:$I$2010,$C$9,'LAC 102_Wkst'!$E$7:$E$2010,$C28,'LAC 102_Wkst'!$G$7:$G$2010,$D28,'LAC 102_Wkst'!$L$7:$L$2010,"08",'LAC 102_Wkst'!$N$7:$N$2010,"P5")</f>
        <v>0</v>
      </c>
      <c r="AL28" s="410">
        <f>SUMIFS('LAC 102_Wkst'!$Q$7:$Q$2010,'LAC 102_Wkst'!$D$7:$D$2010,$C$7,'LAC 102_Wkst'!$I$7:$I$2010,$C$9,'LAC 102_Wkst'!$E$7:$E$2010,$C28,'LAC 102_Wkst'!$G$7:$G$2010,$D28,'LAC 102_Wkst'!$L$7:$L$2010,"09",'LAC 102_Wkst'!$N$7:$N$2010,"P1")+SUMIFS('LAC 102_Wkst'!$Q$7:$Q$2010,'LAC 102_Wkst'!$D$7:$D$2010,$C$7,'LAC 102_Wkst'!$I$7:$I$2010,$C$9,'LAC 102_Wkst'!$E$7:$E$2010,$C28,'LAC 102_Wkst'!$G$7:$G$2010,$D28,'LAC 102_Wkst'!$L$7:$L$2010,"09",'LAC 102_Wkst'!$N$7:$N$2010,"P2")+SUMIFS('LAC 102_Wkst'!$Q$7:$Q$2010,'LAC 102_Wkst'!$D$7:$D$2010,$C$7,'LAC 102_Wkst'!$I$7:$I$2010,$C$9,'LAC 102_Wkst'!$E$7:$E$2010,$C28,'LAC 102_Wkst'!$G$7:$G$2010,$D28,'LAC 102_Wkst'!$L$7:$L$2010,"09",'LAC 102_Wkst'!$N$7:$N$2010,"P3")+SUMIFS('LAC 102_Wkst'!$Q$7:$Q$2010,'LAC 102_Wkst'!$D$7:$D$2010,$C$7,'LAC 102_Wkst'!$I$7:$I$2010,$C$9,'LAC 102_Wkst'!$E$7:$E$2010,$C28,'LAC 102_Wkst'!$G$7:$G$2010,$D28,'LAC 102_Wkst'!$L$7:$L$2010,"09",'LAC 102_Wkst'!$N$7:$N$2010,"P4")</f>
        <v>0</v>
      </c>
      <c r="AM28" s="411">
        <f>SUMIFS('LAC 102_Wkst'!$AF$7:$AF$2010,'LAC 102_Wkst'!$D$7:$D$2010,$C$7,'LAC 102_Wkst'!$I$7:$I$2010,$C$9,'LAC 102_Wkst'!$E$7:$E$2010,$C28,'LAC 102_Wkst'!$G$7:$G$2010,$D28,'LAC 102_Wkst'!$L$7:$L$2010,"09",'LAC 102_Wkst'!$N$7:$N$2010,"P1")+SUMIFS('LAC 102_Wkst'!$AF$7:$AF$2010,'LAC 102_Wkst'!$D$7:$D$2010,$C$7,'LAC 102_Wkst'!$I$7:$I$2010,$C$9,'LAC 102_Wkst'!$E$7:$E$2010,$C28,'LAC 102_Wkst'!$G$7:$G$2010,$D28,'LAC 102_Wkst'!$L$7:$L$2010,"09",'LAC 102_Wkst'!$N$7:$N$2010,"P2")+SUMIFS('LAC 102_Wkst'!$AF$7:$AF$2010,'LAC 102_Wkst'!$D$7:$D$2010,$C$7,'LAC 102_Wkst'!$I$7:$I$2010,$C$9,'LAC 102_Wkst'!$E$7:$E$2010,$C28,'LAC 102_Wkst'!$G$7:$G$2010,$D28,'LAC 102_Wkst'!$L$7:$L$2010,"09",'LAC 102_Wkst'!$N$7:$N$2010,"P3")+SUMIFS('LAC 102_Wkst'!$AF$7:$AF$2010,'LAC 102_Wkst'!$D$7:$D$2010,$C$7,'LAC 102_Wkst'!$I$7:$I$2010,$C$9,'LAC 102_Wkst'!$E$7:$E$2010,$C28,'LAC 102_Wkst'!$G$7:$G$2010,$D28,'LAC 102_Wkst'!$L$7:$L$2010,"09",'LAC 102_Wkst'!$N$7:$N$2010,"P4")</f>
        <v>0</v>
      </c>
      <c r="AN28" s="410">
        <f>SUMIFS('LAC 102_Wkst'!$Q$7:$Q$2010,'LAC 102_Wkst'!$D$7:$D$2010,$C$7,'LAC 102_Wkst'!$I$7:$I$2010,$C$9,'LAC 102_Wkst'!$E$7:$E$2010,$C28,'LAC 102_Wkst'!$G$7:$G$2010,$D28,'LAC 102_Wkst'!$L$7:$L$2010,"09",'LAC 102_Wkst'!$N$7:$N$2010,"P5")</f>
        <v>0</v>
      </c>
      <c r="AO28" s="411">
        <f>SUMIFS('LAC 102_Wkst'!$AF$7:$AF$2010,'LAC 102_Wkst'!$D$7:$D$2010,$C$7,'LAC 102_Wkst'!$I$7:$I$2010,$C$9,'LAC 102_Wkst'!$E$7:$E$2010,$C28,'LAC 102_Wkst'!$G$7:$G$2010,$D28,'LAC 102_Wkst'!$L$7:$L$2010,"09",'LAC 102_Wkst'!$N$7:$N$2010,"P5")</f>
        <v>0</v>
      </c>
      <c r="AP28" s="410">
        <f>SUMIFS('LAC 102_Wkst'!$Q$7:$Q$2010,'LAC 102_Wkst'!$D$7:$D$2010,$C$7,'LAC 102_Wkst'!$I$7:$I$2010,$C$9,'LAC 102_Wkst'!$E$7:$E$2010,$C28,'LAC 102_Wkst'!$G$7:$G$2010,$D28,'LAC 102_Wkst'!$L$7:$L$2010,"10",'LAC 102_Wkst'!$N$7:$N$2010,"P1")+SUMIFS('LAC 102_Wkst'!$Q$7:$Q$2010,'LAC 102_Wkst'!$D$7:$D$2010,$C$7,'LAC 102_Wkst'!$I$7:$I$2010,$C$9,'LAC 102_Wkst'!$E$7:$E$2010,$C28,'LAC 102_Wkst'!$G$7:$G$2010,$D28,'LAC 102_Wkst'!$L$7:$L$2010,"10",'LAC 102_Wkst'!$N$7:$N$2010,"P2")+SUMIFS('LAC 102_Wkst'!$Q$7:$Q$2010,'LAC 102_Wkst'!$D$7:$D$2010,$C$7,'LAC 102_Wkst'!$I$7:$I$2010,$C$9,'LAC 102_Wkst'!$E$7:$E$2010,$C28,'LAC 102_Wkst'!$G$7:$G$2010,$D28,'LAC 102_Wkst'!$L$7:$L$2010,"10",'LAC 102_Wkst'!$N$7:$N$2010,"P3")+SUMIFS('LAC 102_Wkst'!$Q$7:$Q$2010,'LAC 102_Wkst'!$D$7:$D$2010,$C$7,'LAC 102_Wkst'!$I$7:$I$2010,$C$9,'LAC 102_Wkst'!$E$7:$E$2010,$C28,'LAC 102_Wkst'!$G$7:$G$2010,$D28,'LAC 102_Wkst'!$L$7:$L$2010,"10",'LAC 102_Wkst'!$N$7:$N$2010,"P4")</f>
        <v>19185</v>
      </c>
      <c r="AQ28" s="411">
        <f>SUMIFS('LAC 102_Wkst'!$AF$7:$AF$2010,'LAC 102_Wkst'!$D$7:$D$2010,$C$7,'LAC 102_Wkst'!$I$7:$I$2010,$C$9,'LAC 102_Wkst'!$E$7:$E$2010,$C28,'LAC 102_Wkst'!$G$7:$G$2010,$D28,'LAC 102_Wkst'!$L$7:$L$2010,"10",'LAC 102_Wkst'!$N$7:$N$2010,"P1")+SUMIFS('LAC 102_Wkst'!$AF$7:$AF$2010,'LAC 102_Wkst'!$D$7:$D$2010,$C$7,'LAC 102_Wkst'!$I$7:$I$2010,$C$9,'LAC 102_Wkst'!$E$7:$E$2010,$C28,'LAC 102_Wkst'!$G$7:$G$2010,$D28,'LAC 102_Wkst'!$L$7:$L$2010,"10",'LAC 102_Wkst'!$N$7:$N$2010,"P2")+SUMIFS('LAC 102_Wkst'!$AF$7:$AF$2010,'LAC 102_Wkst'!$D$7:$D$2010,$C$7,'LAC 102_Wkst'!$I$7:$I$2010,$C$9,'LAC 102_Wkst'!$E$7:$E$2010,$C28,'LAC 102_Wkst'!$G$7:$G$2010,$D28,'LAC 102_Wkst'!$L$7:$L$2010,"10",'LAC 102_Wkst'!$N$7:$N$2010,"P3")+SUMIFS('LAC 102_Wkst'!$AF$7:$AF$2010,'LAC 102_Wkst'!$D$7:$D$2010,$C$7,'LAC 102_Wkst'!$I$7:$I$2010,$C$9,'LAC 102_Wkst'!$E$7:$E$2010,$C28,'LAC 102_Wkst'!$G$7:$G$2010,$D28,'LAC 102_Wkst'!$L$7:$L$2010,"10",'LAC 102_Wkst'!$N$7:$N$2010,"P4")</f>
        <v>61534.162833507136</v>
      </c>
      <c r="AR28" s="410">
        <f>SUMIFS('LAC 102_Wkst'!$Q$7:$Q$2010,'LAC 102_Wkst'!$D$7:$D$2010,$C$7,'LAC 102_Wkst'!$I$7:$I$2010,$C$9,'LAC 102_Wkst'!$E$7:$E$2010,$C28,'LAC 102_Wkst'!$G$7:$G$2010,$D28,'LAC 102_Wkst'!$L$7:$L$2010,"10",'LAC 102_Wkst'!$N$7:$N$2010,"P5")</f>
        <v>0</v>
      </c>
      <c r="AS28" s="411">
        <f>SUMIFS('LAC 102_Wkst'!$AF$7:$AF$2010,'LAC 102_Wkst'!$D$7:$D$2010,$C$7,'LAC 102_Wkst'!$I$7:$I$2010,$C$9,'LAC 102_Wkst'!$E$7:$E$2010,$C28,'LAC 102_Wkst'!$G$7:$G$2010,$D28,'LAC 102_Wkst'!$L$7:$L$2010,"10",'LAC 102_Wkst'!$N$7:$N$2010,"P5")</f>
        <v>0</v>
      </c>
      <c r="AT28" s="410">
        <f>SUMIFS('LAC 102_Wkst'!$Q$7:$Q$2010,'LAC 102_Wkst'!$D$7:$D$2010,$C$7,'LAC 102_Wkst'!$I$7:$I$2010,$C$9,'LAC 102_Wkst'!$E$7:$E$2010,$C28,'LAC 102_Wkst'!$G$7:$G$2010,$D28,'LAC 102_Wkst'!$L$7:$L$2010,"11",'LAC 102_Wkst'!$N$7:$N$2010,"P1")+SUMIFS('LAC 102_Wkst'!$Q$7:$Q$2010,'LAC 102_Wkst'!$D$7:$D$2010,$C$7,'LAC 102_Wkst'!$I$7:$I$2010,$C$9,'LAC 102_Wkst'!$E$7:$E$2010,$C28,'LAC 102_Wkst'!$G$7:$G$2010,$D28,'LAC 102_Wkst'!$L$7:$L$2010,"12",'LAC 102_Wkst'!$N$7:$N$2010,"P1")</f>
        <v>0</v>
      </c>
      <c r="AU28" s="411">
        <f>SUMIFS('LAC 102_Wkst'!$Q$7:$Q$2010,'LAC 102_Wkst'!$D$7:$D$2010,$C$7,'LAC 102_Wkst'!$I$7:$I$2010,$C$9,'LAC 102_Wkst'!$E$7:$E$2010,$C28,'LAC 102_Wkst'!$G$7:$G$2010,$D28,'LAC 102_Wkst'!$L$7:$L$2010,"13",'LAC 102_Wkst'!$N$7:$N$2010,"P5")</f>
        <v>0</v>
      </c>
      <c r="AV28" s="410">
        <f>SUMIFS('LAC 102_Wkst'!$Q$7:$Q$2010,'LAC 102_Wkst'!$D$7:$D$2010,$C$7,'LAC 102_Wkst'!$I$7:$I$2010,$C$9,'LAC 102_Wkst'!$E$7:$E$2010,$C28,'LAC 102_Wkst'!$G$7:$G$2010,$D28,'LAC 102_Wkst'!$L$7:$L$2010,"11",'LAC 102_Wkst'!$N$7:$N$2010,"P2")+SUMIFS('LAC 102_Wkst'!$Q$7:$Q$2010,'LAC 102_Wkst'!$D$7:$D$2010,$C$7,'LAC 102_Wkst'!$I$7:$I$2010,$C$9,'LAC 102_Wkst'!$E$7:$E$2010,$C28,'LAC 102_Wkst'!$G$7:$G$2010,$D28,'LAC 102_Wkst'!$L$7:$L$2010,"12",'LAC 102_Wkst'!$N$7:$N$2010,"P2")+SUMIFS('LAC 102_Wkst'!$Q$7:$Q$2010,'LAC 102_Wkst'!$D$7:$D$2010,$C$7,'LAC 102_Wkst'!$I$7:$I$2010,$C$9,'LAC 102_Wkst'!$E$7:$E$2010,$C28,'LAC 102_Wkst'!$G$7:$G$2010,$D28,'LAC 102_Wkst'!$L$7:$L$2010,"11",'LAC 102_Wkst'!$N$7:$N$2010,"P3")+SUMIFS('LAC 102_Wkst'!$Q$7:$Q$2010,'LAC 102_Wkst'!$D$7:$D$2010,$C$7,'LAC 102_Wkst'!$I$7:$I$2010,$C$9,'LAC 102_Wkst'!$E$7:$E$2010,$C28,'LAC 102_Wkst'!$G$7:$G$2010,$D28,'LAC 102_Wkst'!$L$7:$L$2010,"12",'LAC 102_Wkst'!$N$7:$N$2010,"P3")</f>
        <v>0</v>
      </c>
      <c r="AW28" s="411">
        <f>SUMIFS('LAC 102_Wkst'!$AF$7:$AF$2010,'LAC 102_Wkst'!$D$7:$D$2010,$C$7,'LAC 102_Wkst'!$I$7:$I$2010,$C$9,'LAC 102_Wkst'!$E$7:$E$2010,$C28,'LAC 102_Wkst'!$G$7:$G$2010,$D28,'LAC 102_Wkst'!$L$7:$L$2010,"11",'LAC 102_Wkst'!$N$7:$N$2010,"P2")+SUMIFS('LAC 102_Wkst'!$AF$7:$AF$2010,'LAC 102_Wkst'!$D$7:$D$2010,$C$7,'LAC 102_Wkst'!$I$7:$I$2010,$C$9,'LAC 102_Wkst'!$E$7:$E$2010,$C28,'LAC 102_Wkst'!$G$7:$G$2010,$D28,'LAC 102_Wkst'!$L$7:$L$2010,"12",'LAC 102_Wkst'!$N$7:$N$2010,"P2")+SUMIFS('LAC 102_Wkst'!$AF$7:$AF$2010,'LAC 102_Wkst'!$D$7:$D$2010,$C$7,'LAC 102_Wkst'!$I$7:$I$2010,$C$9,'LAC 102_Wkst'!$E$7:$E$2010,$C28,'LAC 102_Wkst'!$G$7:$G$2010,$D28,'LAC 102_Wkst'!$L$7:$L$2010,"11",'LAC 102_Wkst'!$N$7:$N$2010,"P3")+SUMIFS('LAC 102_Wkst'!$AF$7:$AF$2010,'LAC 102_Wkst'!$D$7:$D$2010,$C$7,'LAC 102_Wkst'!$I$7:$I$2010,$C$9,'LAC 102_Wkst'!$E$7:$E$2010,$C28,'LAC 102_Wkst'!$G$7:$G$2010,$D28,'LAC 102_Wkst'!$L$7:$L$2010,"12",'LAC 102_Wkst'!$N$7:$N$2010,"P3")</f>
        <v>0</v>
      </c>
      <c r="AX28" s="410">
        <f>SUMIFS('LAC 102_Wkst'!$Q$7:$Q$2010,'LAC 102_Wkst'!$D$7:$D$2010,$C$7,'LAC 102_Wkst'!$I$7:$I$2010,$C$9,'LAC 102_Wkst'!$E$7:$E$2010,$C28,'LAC 102_Wkst'!$G$7:$G$2010,$D28,'LAC 102_Wkst'!$L$7:$L$2010,"11",'LAC 102_Wkst'!$N$7:$N$2010,"P4")+SUMIFS('LAC 102_Wkst'!$Q$7:$Q$2010,'LAC 102_Wkst'!$D$7:$D$2010,$C$7,'LAC 102_Wkst'!$I$7:$I$2010,$C$9,'LAC 102_Wkst'!$E$7:$E$2010,$C28,'LAC 102_Wkst'!$G$7:$G$2010,$D28,'LAC 102_Wkst'!$L$7:$L$2010,"12",'LAC 102_Wkst'!$N$7:$N$2010,"P4")</f>
        <v>0</v>
      </c>
      <c r="AY28" s="411">
        <f>SUMIFS('LAC 102_Wkst'!$AF$7:$AF$2010,'LAC 102_Wkst'!$D$7:$D$2010,$C$7,'LAC 102_Wkst'!$I$7:$I$2010,$C$9,'LAC 102_Wkst'!$E$7:$E$2010,$C28,'LAC 102_Wkst'!$G$7:$G$2010,$D28,'LAC 102_Wkst'!$L$7:$L$2010,"11",'LAC 102_Wkst'!$N$7:$N$2010,"P4")+SUMIFS('LAC 102_Wkst'!$AF$7:$AF$2010,'LAC 102_Wkst'!$D$7:$D$2010,$C$7,'LAC 102_Wkst'!$I$7:$I$2010,$C$9,'LAC 102_Wkst'!$E$7:$E$2010,$C28,'LAC 102_Wkst'!$G$7:$G$2010,$D28,'LAC 102_Wkst'!$L$7:$L$2010,"12",'LAC 102_Wkst'!$N$7:$N$2010,"P4")</f>
        <v>0</v>
      </c>
      <c r="AZ28" s="404">
        <f>SUMIFS('LAC 102_Wkst'!$Q$7:$Q$2010,'LAC 102_Wkst'!$D$7:$D$2010,$C$7,'LAC 102_Wkst'!$I$7:$I$2010,$C$9,'LAC 102_Wkst'!$E$7:$E$2010,$C28,'LAC 102_Wkst'!$G$7:$G$2010,$D28,'LAC 102_Wkst'!$L$7:$L$2010,"11",'LAC 102_Wkst'!$N$7:$N$2010,"P5")+SUMIFS('LAC 102_Wkst'!$Q$7:$Q$2010,'LAC 102_Wkst'!$D$7:$D$2010,$C$7,'LAC 102_Wkst'!$I$7:$I$2010,$C$9,'LAC 102_Wkst'!$E$7:$E$2010,$C28,'LAC 102_Wkst'!$G$7:$G$2010,$D28,'LAC 102_Wkst'!$L$7:$L$2010,"12",'LAC 102_Wkst'!$N$7:$N$2010,"P5")</f>
        <v>0</v>
      </c>
      <c r="BA28" s="411">
        <f>SUMIFS('LAC 102_Wkst'!$AF$7:$AF$2010,'LAC 102_Wkst'!$D$7:$D$2010,$C$7,'LAC 102_Wkst'!$I$7:$I$2010,$C$9,'LAC 102_Wkst'!$E$7:$E$2010,$C28,'LAC 102_Wkst'!$G$7:$G$2010,$D28,'LAC 102_Wkst'!$L$7:$L$2010,"11",'LAC 102_Wkst'!$N$7:$N$2010,"P5")+SUMIFS('LAC 102_Wkst'!$AF$7:$AF$2010,'LAC 102_Wkst'!$D$7:$D$2010,$C$7,'LAC 102_Wkst'!$I$7:$I$2010,$C$9,'LAC 102_Wkst'!$E$7:$E$2010,$C28,'LAC 102_Wkst'!$G$7:$G$2010,$D28,'LAC 102_Wkst'!$L$7:$L$2010,"12",'LAC 102_Wkst'!$N$7:$N$2010,"P5")</f>
        <v>0</v>
      </c>
      <c r="BB28" s="404">
        <f>SUMIFS('LAC 102_Wkst'!$Q$7:$Q$2010,'LAC 102_Wkst'!$D$7:$D$2010,$C$7,'LAC 102_Wkst'!$I$7:$I$2010,$C$9,'LAC 102_Wkst'!$E$7:$E$2010,$C28,'LAC 102_Wkst'!$G$7:$G$2010,$D28,'LAC 102_Wkst'!$L$7:$L$2010,"13",'LAC 102_Wkst'!$N$7:$N$2010,"P1")+SUMIFS('LAC 102_Wkst'!$Q$7:$Q$2010,'LAC 102_Wkst'!$D$7:$D$2010,$C$7,'LAC 102_Wkst'!$I$7:$I$2010,$C$9,'LAC 102_Wkst'!$E$7:$E$2010,$C28,'LAC 102_Wkst'!$G$7:$G$2010,$D28,'LAC 102_Wkst'!$L$7:$L$2010,"13",'LAC 102_Wkst'!$N$7:$N$2010,"P2")+SUMIFS('LAC 102_Wkst'!$Q$7:$Q$2010,'LAC 102_Wkst'!$D$7:$D$2010,$C$7,'LAC 102_Wkst'!$I$7:$I$2010,$C$9,'LAC 102_Wkst'!$E$7:$E$2010,$C28,'LAC 102_Wkst'!$G$7:$G$2010,$D28,'LAC 102_Wkst'!$L$7:$L$2010,"13",'LAC 102_Wkst'!$N$7:$N$2010,"P3")+SUMIFS('LAC 102_Wkst'!$Q$7:$Q$2010,'LAC 102_Wkst'!$D$7:$D$2010,$C$7,'LAC 102_Wkst'!$I$7:$I$2010,$C$9,'LAC 102_Wkst'!$E$7:$E$2010,$C28,'LAC 102_Wkst'!$G$7:$G$2010,$D28,'LAC 102_Wkst'!$L$7:$L$2010,"13",'LAC 102_Wkst'!$N$7:$N$2010,"P4")</f>
        <v>8724</v>
      </c>
      <c r="BC28" s="411">
        <f>SUMIFS('LAC 102_Wkst'!$AF$7:$AF$2010,'LAC 102_Wkst'!$D$7:$D$2010,$C$7,'LAC 102_Wkst'!$I$7:$I$2010,$C$9,'LAC 102_Wkst'!$E$7:$E$2010,$C28,'LAC 102_Wkst'!$G$7:$G$2010,$D28,'LAC 102_Wkst'!$L$7:$L$2010,"13",'LAC 102_Wkst'!$N$7:$N$2010,"P1")+SUMIFS('LAC 102_Wkst'!$AF$7:$AF$2010,'LAC 102_Wkst'!$D$7:$D$2010,$C$7,'LAC 102_Wkst'!$I$7:$I$2010,$C$9,'LAC 102_Wkst'!$E$7:$E$2010,$C28,'LAC 102_Wkst'!$G$7:$G$2010,$D28,'LAC 102_Wkst'!$L$7:$L$2010,"13",'LAC 102_Wkst'!$N$7:$N$2010,"P2")+SUMIFS('LAC 102_Wkst'!$AF$7:$AF$2010,'LAC 102_Wkst'!$D$7:$D$2010,$C$7,'LAC 102_Wkst'!$I$7:$I$2010,$C$9,'LAC 102_Wkst'!$E$7:$E$2010,$C28,'LAC 102_Wkst'!$G$7:$G$2010,$D28,'LAC 102_Wkst'!$L$7:$L$2010,"13",'LAC 102_Wkst'!$N$7:$N$2010,"P3")+SUMIFS('LAC 102_Wkst'!$AF$7:$AF$2010,'LAC 102_Wkst'!$D$7:$D$2010,$C$7,'LAC 102_Wkst'!$I$7:$I$2010,$C$9,'LAC 102_Wkst'!$E$7:$E$2010,$C28,'LAC 102_Wkst'!$G$7:$G$2010,$D28,'LAC 102_Wkst'!$L$7:$L$2010,"13",'LAC 102_Wkst'!$N$7:$N$2010,"P4")</f>
        <v>27981.44574196071</v>
      </c>
      <c r="BD28" s="404">
        <f>SUMIFS('LAC 102_Wkst'!$Q$7:$Q$2010,'LAC 102_Wkst'!$D$7:$D$2010,$C$7,'LAC 102_Wkst'!$I$7:$I$2010,$C$9,'LAC 102_Wkst'!$E$7:$E$2010,$C28,'LAC 102_Wkst'!$G$7:$G$2010,$D28,'LAC 102_Wkst'!$L$7:$L$2010,"13",'LAC 102_Wkst'!$N$7:$N$2010,"P5")</f>
        <v>0</v>
      </c>
      <c r="BE28" s="411">
        <f>SUMIFS('LAC 102_Wkst'!$AF$7:$AF$2010,'LAC 102_Wkst'!$D$7:$D$2010,$C$7,'LAC 102_Wkst'!$I$7:$I$2010,$C$9,'LAC 102_Wkst'!$E$7:$E$2010,$C28,'LAC 102_Wkst'!$G$7:$G$2010,$D28,'LAC 102_Wkst'!$L$7:$L$2010,"13",'LAC 102_Wkst'!$N$7:$N$2010,"P5")</f>
        <v>0</v>
      </c>
      <c r="BF28" s="407">
        <f t="shared" si="4"/>
        <v>903</v>
      </c>
      <c r="BG28" s="1654">
        <f>SUMIFS('LAC 102_Wkst'!$AF$7:$AF$2010,'LAC 102_Wkst'!$D$7:$D$2010,$C$7,'LAC 102_Wkst'!$I$7:$I$2010,$C$9,'LAC 102_Wkst'!$E$7:$E$2010,$C28,'LAC 102_Wkst'!$G$7:$G$2010,$D28,'LAC 102_Wkst'!$L$7:$L$2010,"14")</f>
        <v>2896.2913233597574</v>
      </c>
    </row>
    <row r="29" spans="1:59" x14ac:dyDescent="0.2">
      <c r="A29" s="401">
        <v>7</v>
      </c>
      <c r="B29" s="1678" t="str">
        <f>IF(Schedule_B!B$26="","",Schedule_B!B$26)</f>
        <v>CR</v>
      </c>
      <c r="C29" s="1674" t="str">
        <f>IF(Schedule_B!C$26=""," ",Schedule_B!C$26)</f>
        <v>15</v>
      </c>
      <c r="D29" s="1675" t="str">
        <f>IF(Schedule_B!D$26=""," ",Schedule_B!D$26)</f>
        <v>44</v>
      </c>
      <c r="E29" s="1221">
        <f>SUMIFS('LAC 102_Wkst'!$Q$7:$Q$2010,'LAC 102_Wkst'!$D$7:$D$2010,$C$7,'LAC 102_Wkst'!$I$7:$I$2010,$C$9,'LAC 102_Wkst'!$E$7:$E$2010,$C29,'LAC 102_Wkst'!$G$7:$G$2010,$D29)</f>
        <v>25545</v>
      </c>
      <c r="F29" s="408">
        <f>SUMIFS('LAC 102_Wkst'!$Q$7:$Q$2010,'LAC 102_Wkst'!$D$7:$D$2010,$C$7,'LAC 102_Wkst'!$I$7:$I$2010,$C$9,'LAC 102_Wkst'!$E$7:$E$2010,$C29,'LAC 102_Wkst'!$G$7:$G$2010,$D29,'LAC 102_Wkst'!$L$7:$L$2010,"01",'LAC 102_Wkst'!$N$7:$N$2010,"P1")+SUMIFS('LAC 102_Wkst'!$Q$7:$Q$2010,'LAC 102_Wkst'!$D$7:$D$2010,$C$7,'LAC 102_Wkst'!$I$7:$I$2010,$C$9,'LAC 102_Wkst'!$E$7:$E$2010,$C29,'LAC 102_Wkst'!$G$7:$G$2010,$D29,'LAC 102_Wkst'!$L$7:$L$2010,"01",'LAC 102_Wkst'!$N$7:$N$2010,"P2")+SUMIFS('LAC 102_Wkst'!$Q$7:$Q$2010,'LAC 102_Wkst'!$D$7:$D$2010,$C$7,'LAC 102_Wkst'!$I$7:$I$2010,$C$9,'LAC 102_Wkst'!$E$7:$E$2010,$C29,'LAC 102_Wkst'!$G$7:$G$2010,$D29,'LAC 102_Wkst'!$L$7:$L$2010,"01",'LAC 102_Wkst'!$N$7:$N$2010,"P3")+SUMIFS('LAC 102_Wkst'!$Q$7:$Q$2010,'LAC 102_Wkst'!$D$7:$D$2010,$C$7,'LAC 102_Wkst'!$I$7:$I$2010,$C$9,'LAC 102_Wkst'!$E$7:$E$2010,$C29,'LAC 102_Wkst'!$G$7:$G$2010,$D29,'LAC 102_Wkst'!$L$7:$L$2010,"02",'LAC 102_Wkst'!$N$7:$N$2010,"P1")+SUMIFS('LAC 102_Wkst'!$Q$7:$Q$2010,'LAC 102_Wkst'!$D$7:$D$2010,$C$7,'LAC 102_Wkst'!$I$7:$I$2010,$C$9,'LAC 102_Wkst'!$E$7:$E$2010,$C29,'LAC 102_Wkst'!$G$7:$G$2010,$D29,'LAC 102_Wkst'!$L$7:$L$2010,"02",'LAC 102_Wkst'!$N$7:$N$2010,"P2")+SUMIFS('LAC 102_Wkst'!$Q$7:$Q$2010,'LAC 102_Wkst'!$D$7:$D$2010,$C$7,'LAC 102_Wkst'!$I$7:$I$2010,$C$9,'LAC 102_Wkst'!$E$7:$E$2010,$C29,'LAC 102_Wkst'!$G$7:$G$2010,$D29,'LAC 102_Wkst'!$L$7:$L$2010,"02",'LAC 102_Wkst'!$N$7:$N$2010,"P3")</f>
        <v>0</v>
      </c>
      <c r="G29" s="409">
        <f>SUMIFS('LAC 102_Wkst'!$AF$7:$AF$2010,'LAC 102_Wkst'!$D$7:$D$2010,$C$7,'LAC 102_Wkst'!$I$7:$I$2010,$C$9,'LAC 102_Wkst'!$E$7:$E$2010,$C29,'LAC 102_Wkst'!$G$7:$G$2010,$D29,'LAC 102_Wkst'!$L$7:$L$2010,"01",'LAC 102_Wkst'!$N$7:$N$2010,"P1")+SUMIFS('LAC 102_Wkst'!$AF$7:$AF$2010,'LAC 102_Wkst'!$D$7:$D$2010,$C$7,'LAC 102_Wkst'!$I$7:$I$2010,$C$9,'LAC 102_Wkst'!$E$7:$E$2010,$C29,'LAC 102_Wkst'!$G$7:$G$2010,$D29,'LAC 102_Wkst'!$L$7:$L$2010,"01",'LAC 102_Wkst'!$N$7:$N$2010,"P2")+SUMIFS('LAC 102_Wkst'!$AF$7:$AF$2010,'LAC 102_Wkst'!$D$7:$D$2010,$C$7,'LAC 102_Wkst'!$I$7:$I$2010,$C$9,'LAC 102_Wkst'!$E$7:$E$2010,$C29,'LAC 102_Wkst'!$G$7:$G$2010,$D29,'LAC 102_Wkst'!$L$7:$L$2010,"01",'LAC 102_Wkst'!$N$7:$N$2010,"P3")+SUMIFS('LAC 102_Wkst'!$AF$7:$AF$2010,'LAC 102_Wkst'!$D$7:$D$2010,$C$7,'LAC 102_Wkst'!$I$7:$I$2010,$C$9,'LAC 102_Wkst'!$E$7:$E$2010,$C29,'LAC 102_Wkst'!$G$7:$G$2010,$D29,'LAC 102_Wkst'!$L$7:$L$2010,"02",'LAC 102_Wkst'!$N$7:$N$2010,"P1")+SUMIFS('LAC 102_Wkst'!$AF$7:$AF$2010,'LAC 102_Wkst'!$D$7:$D$2010,$C$7,'LAC 102_Wkst'!$I$7:$I$2010,$C$9,'LAC 102_Wkst'!$E$7:$E$2010,$C29,'LAC 102_Wkst'!$G$7:$G$2010,$D29,'LAC 102_Wkst'!$L$7:$L$2010,"02",'LAC 102_Wkst'!$N$7:$N$2010,"P2")+SUMIFS('LAC 102_Wkst'!$AF$7:$AF$2010,'LAC 102_Wkst'!$D$7:$D$2010,$C$7,'LAC 102_Wkst'!$I$7:$I$2010,$C$9,'LAC 102_Wkst'!$E$7:$E$2010,$C29,'LAC 102_Wkst'!$G$7:$G$2010,$D29,'LAC 102_Wkst'!$L$7:$L$2010,"02",'LAC 102_Wkst'!$N$7:$N$2010,"P3")</f>
        <v>0</v>
      </c>
      <c r="H29" s="410">
        <f>SUMIFS('LAC 102_Wkst'!$Q$7:$Q$2010,'LAC 102_Wkst'!$D$7:$D$2010,$C$7,'LAC 102_Wkst'!$I$7:$I$2010,$C$9,'LAC 102_Wkst'!$E$7:$E$2010,$C29,'LAC 102_Wkst'!$G$7:$G$2010,$D29,'LAC 102_Wkst'!$L$7:$L$2010,"01",'LAC 102_Wkst'!$N$7:$N$2010,"P4")+SUMIFS('LAC 102_Wkst'!$Q$7:$Q$2010,'LAC 102_Wkst'!$D$7:$D$2010,$C$7,'LAC 102_Wkst'!$I$7:$I$2010,$C$9,'LAC 102_Wkst'!$E$7:$E$2010,$C29,'LAC 102_Wkst'!$G$7:$G$2010,$D29,'LAC 102_Wkst'!$L$7:$L$2010,"02",'LAC 102_Wkst'!$N$7:$N$2010,"P4")</f>
        <v>0</v>
      </c>
      <c r="I29" s="411">
        <f>SUMIFS('LAC 102_Wkst'!$AF$7:$AF$2010,'LAC 102_Wkst'!$D$7:$D$2010,$C$7,'LAC 102_Wkst'!$I$7:$I$2010,$C$9,'LAC 102_Wkst'!$E$7:$E$2010,$C29,'LAC 102_Wkst'!$G$7:$G$2010,$D29,'LAC 102_Wkst'!$L$7:$L$2010,"01",'LAC 102_Wkst'!$N$7:$N$2010,"P4")+SUMIFS('LAC 102_Wkst'!$AF$7:$AF$2010,'LAC 102_Wkst'!$D$7:$D$2010,$C$7,'LAC 102_Wkst'!$I$7:$I$2010,$C$9,'LAC 102_Wkst'!$E$7:$E$2010,$C29,'LAC 102_Wkst'!$G$7:$G$2010,$D29,'LAC 102_Wkst'!$L$7:$L$2010,"02",'LAC 102_Wkst'!$N$7:$N$2010,"P4")</f>
        <v>0</v>
      </c>
      <c r="J29" s="410">
        <f>SUMIFS('LAC 102_Wkst'!$Q$7:$Q$2010,'LAC 102_Wkst'!$D$7:$D$2010,$C$7,'LAC 102_Wkst'!$I$7:$I$2010,$C$9,'LAC 102_Wkst'!$E$7:$E$2010,$C29,'LAC 102_Wkst'!$G$7:$G$2010,$D29,'LAC 102_Wkst'!$L$7:$L$2010,"01",'LAC 102_Wkst'!$N$7:$N$2010,"P5")+SUMIFS('LAC 102_Wkst'!$Q$7:$Q$2010,'LAC 102_Wkst'!$D$7:$D$2010,$C$7,'LAC 102_Wkst'!$I$7:$I$2010,$C$9,'LAC 102_Wkst'!$E$7:$E$2010,$C29,'LAC 102_Wkst'!$G$7:$G$2010,$D29,'LAC 102_Wkst'!$L$7:$L$2010,"02",'LAC 102_Wkst'!$N$7:$N$2010,"P5")</f>
        <v>0</v>
      </c>
      <c r="K29" s="411">
        <f>SUMIFS('LAC 102_Wkst'!$AF$7:$AF$2010,'LAC 102_Wkst'!$D$7:$D$2010,$C$7,'LAC 102_Wkst'!$I$7:$I$2010,$C$9,'LAC 102_Wkst'!$E$7:$E$2010,$C29,'LAC 102_Wkst'!$G$7:$G$2010,$D29,'LAC 102_Wkst'!$L$7:$L$2010,"01",'LAC 102_Wkst'!$N$7:$N$2010,"P5")+SUMIFS('LAC 102_Wkst'!$AF$7:$AF$2010,'LAC 102_Wkst'!$D$7:$D$2010,$C$7,'LAC 102_Wkst'!$I$7:$I$2010,$C$9,'LAC 102_Wkst'!$E$7:$E$2010,$C29,'LAC 102_Wkst'!$G$7:$G$2010,$D29,'LAC 102_Wkst'!$L$7:$L$2010,"02",'LAC 102_Wkst'!$N$7:$N$2010,"P5")</f>
        <v>0</v>
      </c>
      <c r="L29" s="410">
        <f>SUMIFS('LAC 102_Wkst'!$Q$7:$Q$2010,'LAC 102_Wkst'!$D$7:$D$2010,$C$7,'LAC 102_Wkst'!$I$7:$I$2010,$C$9,'LAC 102_Wkst'!$E$7:$E$2010,$C29,'LAC 102_Wkst'!$G$7:$G$2010,$D29,'LAC 102_Wkst'!$L$7:$L$2010,"03",'LAC 102_Wkst'!$N$7:$N$2010,"P1")+SUMIFS('LAC 102_Wkst'!$Q$7:$Q$2010,'LAC 102_Wkst'!$D$7:$D$2010,$C$7,'LAC 102_Wkst'!$I$7:$I$2010,$C$9,'LAC 102_Wkst'!$E$7:$E$2010,$C29,'LAC 102_Wkst'!$G$7:$G$2010,$D29,'LAC 102_Wkst'!$L$7:$L$2010,"03",'LAC 102_Wkst'!$N$7:$N$2010,"P2")+SUMIFS('LAC 102_Wkst'!$Q$7:$Q$2010,'LAC 102_Wkst'!$D$7:$D$2010,$C$7,'LAC 102_Wkst'!$I$7:$I$2010,$C$9,'LAC 102_Wkst'!$E$7:$E$2010,$C29,'LAC 102_Wkst'!$G$7:$G$2010,$D29,'LAC 102_Wkst'!$L$7:$L$2010,"03",'LAC 102_Wkst'!$N$7:$N$2010,"P3")+SUMIFS('LAC 102_Wkst'!$Q$7:$Q$2010,'LAC 102_Wkst'!$D$7:$D$2010,$C$7,'LAC 102_Wkst'!$I$7:$I$2010,$C$9,'LAC 102_Wkst'!$E$7:$E$2010,$C29,'LAC 102_Wkst'!$G$7:$G$2010,$D29,'LAC 102_Wkst'!$L$7:$L$2010,"04",'LAC 102_Wkst'!$N$7:$N$2010,"P1")+SUMIFS('LAC 102_Wkst'!$Q$7:$Q$2010,'LAC 102_Wkst'!$D$7:$D$2010,$C$7,'LAC 102_Wkst'!$I$7:$I$2010,$C$9,'LAC 102_Wkst'!$E$7:$E$2010,$C29,'LAC 102_Wkst'!$G$7:$G$2010,$D29,'LAC 102_Wkst'!$L$7:$L$2010,"04",'LAC 102_Wkst'!$N$7:$N$2010,"P2")+SUMIFS('LAC 102_Wkst'!$Q$7:$Q$2010,'LAC 102_Wkst'!$D$7:$D$2010,$C$7,'LAC 102_Wkst'!$I$7:$I$2010,$C$9,'LAC 102_Wkst'!$E$7:$E$2010,$C29,'LAC 102_Wkst'!$G$7:$G$2010,$D29,'LAC 102_Wkst'!$L$7:$L$2010,"04",'LAC 102_Wkst'!$N$7:$N$2010,"P3")</f>
        <v>0</v>
      </c>
      <c r="M29" s="411">
        <f>SUMIFS('LAC 102_Wkst'!$AF$7:$AF$2010,'LAC 102_Wkst'!$D$7:$D$2010,$C$7,'LAC 102_Wkst'!$I$7:$I$2010,$C$9,'LAC 102_Wkst'!$E$7:$E$2010,$C29,'LAC 102_Wkst'!$G$7:$G$2010,$D29,'LAC 102_Wkst'!$L$7:$L$2010,"03",'LAC 102_Wkst'!$N$7:$N$2010,"P1")+SUMIFS('LAC 102_Wkst'!$AF$7:$AF$2010,'LAC 102_Wkst'!$D$7:$D$2010,$C$7,'LAC 102_Wkst'!$I$7:$I$2010,$C$9,'LAC 102_Wkst'!$E$7:$E$2010,$C29,'LAC 102_Wkst'!$G$7:$G$2010,$D29,'LAC 102_Wkst'!$L$7:$L$2010,"03",'LAC 102_Wkst'!$N$7:$N$2010,"P2")+SUMIFS('LAC 102_Wkst'!$AF$7:$AF$2010,'LAC 102_Wkst'!$D$7:$D$2010,$C$7,'LAC 102_Wkst'!$I$7:$I$2010,$C$9,'LAC 102_Wkst'!$E$7:$E$2010,$C29,'LAC 102_Wkst'!$G$7:$G$2010,$D29,'LAC 102_Wkst'!$L$7:$L$2010,"03",'LAC 102_Wkst'!$N$7:$N$2010,"P3")+SUMIFS('LAC 102_Wkst'!$AF$7:$AF$2010,'LAC 102_Wkst'!$D$7:$D$2010,$C$7,'LAC 102_Wkst'!$I$7:$I$2010,$C$9,'LAC 102_Wkst'!$E$7:$E$2010,$C29,'LAC 102_Wkst'!$G$7:$G$2010,$D29,'LAC 102_Wkst'!$L$7:$L$2010,"04",'LAC 102_Wkst'!$N$7:$N$2010,"P1")+SUMIFS('LAC 102_Wkst'!$AF$7:$AF$2010,'LAC 102_Wkst'!$D$7:$D$2010,$C$7,'LAC 102_Wkst'!$I$7:$I$2010,$C$9,'LAC 102_Wkst'!$E$7:$E$2010,$C29,'LAC 102_Wkst'!$G$7:$G$2010,$D29,'LAC 102_Wkst'!$L$7:$L$2010,"04",'LAC 102_Wkst'!$N$7:$N$2010,"P2")+SUMIFS('LAC 102_Wkst'!$AF$7:$AF$2010,'LAC 102_Wkst'!$D$7:$D$2010,$C$7,'LAC 102_Wkst'!$I$7:$I$2010,$C$9,'LAC 102_Wkst'!$E$7:$E$2010,$C29,'LAC 102_Wkst'!$G$7:$G$2010,$D29,'LAC 102_Wkst'!$L$7:$L$2010,"04",'LAC 102_Wkst'!$N$7:$N$2010,"P3")</f>
        <v>0</v>
      </c>
      <c r="N29" s="410">
        <f>SUMIFS('LAC 102_Wkst'!$Q$7:$Q$2010,'LAC 102_Wkst'!$D$7:$D$2010,$C$7,'LAC 102_Wkst'!$I$7:$I$2010,$C$9,'LAC 102_Wkst'!$E$7:$E$2010,$C29,'LAC 102_Wkst'!$G$7:$G$2010,$D29,'LAC 102_Wkst'!$L$7:$L$2010,"03",'LAC 102_Wkst'!$N$7:$N$2010,"P4")+SUMIFS('LAC 102_Wkst'!$Q$7:$Q$2010,'LAC 102_Wkst'!$D$7:$D$2010,$C$7,'LAC 102_Wkst'!$I$7:$I$2010,$C$9,'LAC 102_Wkst'!$E$7:$E$2010,$C29,'LAC 102_Wkst'!$G$7:$G$2010,$D29,'LAC 102_Wkst'!$L$7:$L$2010,"04",'LAC 102_Wkst'!$N$7:$N$2010,"P4")</f>
        <v>0</v>
      </c>
      <c r="O29" s="411">
        <f>SUMIFS('LAC 102_Wkst'!$AF$7:$AF$2010,'LAC 102_Wkst'!$D$7:$D$2010,$C$7,'LAC 102_Wkst'!$I$7:$I$2010,$C$9,'LAC 102_Wkst'!$E$7:$E$2010,$C29,'LAC 102_Wkst'!$G$7:$G$2010,$D29,'LAC 102_Wkst'!$L$7:$L$2010,"03",'LAC 102_Wkst'!$N$7:$N$2010,"P4")+SUMIFS('LAC 102_Wkst'!$AF$7:$AF$2010,'LAC 102_Wkst'!$D$7:$D$2010,$C$7,'LAC 102_Wkst'!$I$7:$I$2010,$C$9,'LAC 102_Wkst'!$E$7:$E$2010,$C29,'LAC 102_Wkst'!$G$7:$G$2010,$D29,'LAC 102_Wkst'!$L$7:$L$2010,"04",'LAC 102_Wkst'!$N$7:$N$2010,"P4")</f>
        <v>0</v>
      </c>
      <c r="P29" s="410">
        <f>SUMIFS('LAC 102_Wkst'!$Q$7:$Q$2010,'LAC 102_Wkst'!$D$7:$D$2010,$C$7,'LAC 102_Wkst'!$I$7:$I$2010,$C$9,'LAC 102_Wkst'!$E$7:$E$2010,$C29,'LAC 102_Wkst'!$G$7:$G$2010,$D29,'LAC 102_Wkst'!$L$7:$L$2010,"03",'LAC 102_Wkst'!$N$7:$N$2010,"P5")+SUMIFS('LAC 102_Wkst'!$Q$7:$Q$2010,'LAC 102_Wkst'!$D$7:$D$2010,$C$7,'LAC 102_Wkst'!$I$7:$I$2010,$C$9,'LAC 102_Wkst'!$E$7:$E$2010,$C29,'LAC 102_Wkst'!$G$7:$G$2010,$D29,'LAC 102_Wkst'!$L$7:$L$2010,"04",'LAC 102_Wkst'!$N$7:$N$2010,"P5")</f>
        <v>0</v>
      </c>
      <c r="Q29" s="411">
        <f>SUMIFS('LAC 102_Wkst'!$AF$7:$AF$2010,'LAC 102_Wkst'!$D$7:$D$2010,$C$7,'LAC 102_Wkst'!$I$7:$I$2010,$C$9,'LAC 102_Wkst'!$E$7:$E$2010,$C29,'LAC 102_Wkst'!$G$7:$G$2010,$D29,'LAC 102_Wkst'!$L$7:$L$2010,"03",'LAC 102_Wkst'!$N$7:$N$2010,"P5")+SUMIFS('LAC 102_Wkst'!$AF$7:$AF$2010,'LAC 102_Wkst'!$D$7:$D$2010,$C$7,'LAC 102_Wkst'!$I$7:$I$2010,$C$9,'LAC 102_Wkst'!$E$7:$E$2010,$C29,'LAC 102_Wkst'!$G$7:$G$2010,$D29,'LAC 102_Wkst'!$L$7:$L$2010,"04",'LAC 102_Wkst'!$N$7:$N$2010,"P5")</f>
        <v>0</v>
      </c>
      <c r="R29" s="410">
        <f>SUMIFS('LAC 102_Wkst'!$Q$7:$Q$2010,'LAC 102_Wkst'!$D$7:$D$2010,$C$7,'LAC 102_Wkst'!$I$7:$I$2010,$C$9,'LAC 102_Wkst'!$E$7:$E$2010,$C29,'LAC 102_Wkst'!$G$7:$G$2010,$D29,'LAC 102_Wkst'!$L$7:$L$2010,"05",'LAC 102_Wkst'!$N$7:$N$2010,"P1")+SUMIFS('LAC 102_Wkst'!$Q$7:$Q$2010,'LAC 102_Wkst'!$D$7:$D$2010,$C$7,'LAC 102_Wkst'!$I$7:$I$2010,$C$9,'LAC 102_Wkst'!$E$7:$E$2010,$C29,'LAC 102_Wkst'!$G$7:$G$2010,$D29,'LAC 102_Wkst'!$L$7:$L$2010,"06",'LAC 102_Wkst'!$N$7:$N$2010,"P1")</f>
        <v>0</v>
      </c>
      <c r="S29" s="411">
        <f>SUMIFS('LAC 102_Wkst'!$AF$7:$AF$2010,'LAC 102_Wkst'!$D$7:$D$2010,$C$7,'LAC 102_Wkst'!$I$7:$I$2010,$C$9,'LAC 102_Wkst'!$E$7:$E$2010,$C29,'LAC 102_Wkst'!$G$7:$G$2010,$D29,'LAC 102_Wkst'!$L$7:$L$2010,"05",'LAC 102_Wkst'!$N$7:$N$2010,"P1")+SUMIFS('LAC 102_Wkst'!$AF$7:$AF$2010,'LAC 102_Wkst'!$D$7:$D$2010,$C$7,'LAC 102_Wkst'!$I$7:$I$2010,$C$9,'LAC 102_Wkst'!$E$7:$E$2010,$C29,'LAC 102_Wkst'!$G$7:$G$2010,$D29,'LAC 102_Wkst'!$L$7:$L$2010,"06",'LAC 102_Wkst'!$N$7:$N$2010,"P1")</f>
        <v>0</v>
      </c>
      <c r="T29" s="410">
        <f>SUMIFS('LAC 102_Wkst'!$Q$7:$Q$2010,'LAC 102_Wkst'!$D$7:$D$2010,$C$7,'LAC 102_Wkst'!$I$7:$I$2010,$C$9,'LAC 102_Wkst'!$E$7:$E$2010,$C29,'LAC 102_Wkst'!$G$7:$G$2010,$D29,'LAC 102_Wkst'!$L$7:$L$2010,"05",'LAC 102_Wkst'!$N$7:$N$2010,"P2")+SUMIFS('LAC 102_Wkst'!$Q$7:$Q$2010,'LAC 102_Wkst'!$D$7:$D$2010,$C$7,'LAC 102_Wkst'!$I$7:$I$2010,$C$9,'LAC 102_Wkst'!$E$7:$E$2010,$C29,'LAC 102_Wkst'!$G$7:$G$2010,$D29,'LAC 102_Wkst'!$L$7:$L$2010,"06",'LAC 102_Wkst'!$N$7:$N$2010,"P2")+SUMIFS('LAC 102_Wkst'!$Q$7:$Q$2010,'LAC 102_Wkst'!$D$7:$D$2010,$C$7,'LAC 102_Wkst'!$I$7:$I$2010,$C$9,'LAC 102_Wkst'!$E$7:$E$2010,$C29,'LAC 102_Wkst'!$G$7:$G$2010,$D29,'LAC 102_Wkst'!$L$7:$L$2010,"05",'LAC 102_Wkst'!$N$7:$N$2010,"P3")+SUMIFS('LAC 102_Wkst'!$Q$7:$Q$2010,'LAC 102_Wkst'!$D$7:$D$2010,$C$7,'LAC 102_Wkst'!$I$7:$I$2010,$C$9,'LAC 102_Wkst'!$E$7:$E$2010,$C29,'LAC 102_Wkst'!$G$7:$G$2010,$D29,'LAC 102_Wkst'!$L$7:$L$2010,"06",'LAC 102_Wkst'!$N$7:$N$2010,"P3")</f>
        <v>0</v>
      </c>
      <c r="U29" s="411">
        <f>SUMIFS('LAC 102_Wkst'!$AF$7:$AF$2010,'LAC 102_Wkst'!$D$7:$D$2010,$C$7,'LAC 102_Wkst'!$I$7:$I$2010,$C$9,'LAC 102_Wkst'!$E$7:$E$2010,$C29,'LAC 102_Wkst'!$G$7:$G$2010,$D29,'LAC 102_Wkst'!$L$7:$L$2010,"05",'LAC 102_Wkst'!$N$7:$N$2010,"P2")+SUMIFS('LAC 102_Wkst'!$AF$7:$AF$2010,'LAC 102_Wkst'!$D$7:$D$2010,$C$7,'LAC 102_Wkst'!$I$7:$I$2010,$C$9,'LAC 102_Wkst'!$E$7:$E$2010,$C29,'LAC 102_Wkst'!$G$7:$G$2010,$D29,'LAC 102_Wkst'!$L$7:$L$2010,"06",'LAC 102_Wkst'!$N$7:$N$2010,"P2")+SUMIFS('LAC 102_Wkst'!$AF$7:$AF$2010,'LAC 102_Wkst'!$D$7:$D$2010,$C$7,'LAC 102_Wkst'!$I$7:$I$2010,$C$9,'LAC 102_Wkst'!$E$7:$E$2010,$C29,'LAC 102_Wkst'!$G$7:$G$2010,$D29,'LAC 102_Wkst'!$L$7:$L$2010,"05",'LAC 102_Wkst'!$N$7:$N$2010,"P3")+SUMIFS('LAC 102_Wkst'!$AF$7:$AF$2010,'LAC 102_Wkst'!$D$7:$D$2010,$C$7,'LAC 102_Wkst'!$I$7:$I$2010,$C$9,'LAC 102_Wkst'!$E$7:$E$2010,$C29,'LAC 102_Wkst'!$G$7:$G$2010,$D29,'LAC 102_Wkst'!$L$7:$L$2010,"06",'LAC 102_Wkst'!$N$7:$N$2010,"P3")</f>
        <v>0</v>
      </c>
      <c r="V29" s="410">
        <f>SUMIFS('LAC 102_Wkst'!$Q$7:$Q$2010,'LAC 102_Wkst'!$D$7:$D$2010,$C$7,'LAC 102_Wkst'!$I$7:$I$2010,$C$9,'LAC 102_Wkst'!$E$7:$E$2010,$C29,'LAC 102_Wkst'!$G$7:$G$2010,$D29,'LAC 102_Wkst'!$L$7:$L$2010,"05",'LAC 102_Wkst'!$N$7:$N$2010,"P4")+SUMIFS('LAC 102_Wkst'!$Q$7:$Q$2010,'LAC 102_Wkst'!$D$7:$D$2010,$C$7,'LAC 102_Wkst'!$I$7:$I$2010,$C$9,'LAC 102_Wkst'!$E$7:$E$2010,$C29,'LAC 102_Wkst'!$G$7:$G$2010,$D29,'LAC 102_Wkst'!$L$7:$L$2010,"06",'LAC 102_Wkst'!$N$7:$N$2010,"P4")</f>
        <v>0</v>
      </c>
      <c r="W29" s="411">
        <f>SUMIFS('LAC 102_Wkst'!$AF$7:$AF$2010,'LAC 102_Wkst'!$D$7:$D$2010,$C$7,'LAC 102_Wkst'!$I$7:$I$2010,$C$9,'LAC 102_Wkst'!$E$7:$E$2010,$C29,'LAC 102_Wkst'!$G$7:$G$2010,$D29,'LAC 102_Wkst'!$L$7:$L$2010,"05",'LAC 102_Wkst'!$N$7:$N$2010,"P4")+SUMIFS('LAC 102_Wkst'!$AF$7:$AF$2010,'LAC 102_Wkst'!$D$7:$D$2010,$C$7,'LAC 102_Wkst'!$I$7:$I$2010,$C$9,'LAC 102_Wkst'!$E$7:$E$2010,$C29,'LAC 102_Wkst'!$G$7:$G$2010,$D29,'LAC 102_Wkst'!$L$7:$L$2010,"06",'LAC 102_Wkst'!$N$7:$N$2010,"P4")</f>
        <v>0</v>
      </c>
      <c r="X29" s="410">
        <f>SUMIFS('LAC 102_Wkst'!$Q$7:$Q$2010,'LAC 102_Wkst'!$D$7:$D$2010,$C$7,'LAC 102_Wkst'!$I$7:$I$2010,$C$9,'LAC 102_Wkst'!$E$7:$E$2010,$C29,'LAC 102_Wkst'!$G$7:$G$2010,$D29,'LAC 102_Wkst'!$L$7:$L$2010,"05",'LAC 102_Wkst'!$N$7:$N$2010,"P5")+SUMIFS('LAC 102_Wkst'!$Q$7:$Q$2010,'LAC 102_Wkst'!$D$7:$D$2010,$C$7,'LAC 102_Wkst'!$I$7:$I$2010,$C$9,'LAC 102_Wkst'!$E$7:$E$2010,$C29,'LAC 102_Wkst'!$G$7:$G$2010,$D29,'LAC 102_Wkst'!$L$7:$L$2010,"06",'LAC 102_Wkst'!$N$7:$N$2010,"P5")</f>
        <v>0</v>
      </c>
      <c r="Y29" s="411">
        <f>SUMIFS('LAC 102_Wkst'!$AF$7:$AF$2010,'LAC 102_Wkst'!$D$7:$D$2010,$C$7,'LAC 102_Wkst'!$I$7:$I$2010,$C$9,'LAC 102_Wkst'!$E$7:$E$2010,$C29,'LAC 102_Wkst'!$G$7:$G$2010,$D29,'LAC 102_Wkst'!$L$7:$L$2010,"05",'LAC 102_Wkst'!$N$7:$N$2010,"P5")+SUMIFS('LAC 102_Wkst'!$AF$7:$AF$2010,'LAC 102_Wkst'!$D$7:$D$2010,$C$7,'LAC 102_Wkst'!$I$7:$I$2010,$C$9,'LAC 102_Wkst'!$E$7:$E$2010,$C29,'LAC 102_Wkst'!$G$7:$G$2010,$D29,'LAC 102_Wkst'!$L$7:$L$2010,"06",'LAC 102_Wkst'!$N$7:$N$2010,"P5")</f>
        <v>0</v>
      </c>
      <c r="Z29" s="410">
        <f>SUMIFS('LAC 102_Wkst'!$Q$7:$Q$2010,'LAC 102_Wkst'!$D$7:$D$2010,$C$7,'LAC 102_Wkst'!$I$7:$I$2010,$C$9,'LAC 102_Wkst'!$E$7:$E$2010,$C29,'LAC 102_Wkst'!$G$7:$G$2010,$D29,'LAC 102_Wkst'!$L$7:$L$2010,"07",'LAC 102_Wkst'!$N$7:$N$2010,"P1")+SUMIFS('LAC 102_Wkst'!$Q$7:$Q$2010,'LAC 102_Wkst'!$D$7:$D$2010,$C$7,'LAC 102_Wkst'!$I$7:$I$2010,$C$9,'LAC 102_Wkst'!$E$7:$E$2010,$C29,'LAC 102_Wkst'!$G$7:$G$2010,$D29,'LAC 102_Wkst'!$L$7:$L$2010,"07",'LAC 102_Wkst'!$N$7:$N$2010,"P2")+SUMIFS('LAC 102_Wkst'!$Q$7:$Q$2010,'LAC 102_Wkst'!$D$7:$D$2010,$C$7,'LAC 102_Wkst'!$I$7:$I$2010,$C$9,'LAC 102_Wkst'!$E$7:$E$2010,$C29,'LAC 102_Wkst'!$G$7:$G$2010,$D29,'LAC 102_Wkst'!$L$7:$L$2010,"07",'LAC 102_Wkst'!$N$7:$N$2010,"P3")</f>
        <v>0</v>
      </c>
      <c r="AA29" s="411">
        <f>SUMIFS('LAC 102_Wkst'!$AF$7:$AF$2010,'LAC 102_Wkst'!$D$7:$D$2010,$C$7,'LAC 102_Wkst'!$I$7:$I$2010,$C$9,'LAC 102_Wkst'!$E$7:$E$2010,$C29,'LAC 102_Wkst'!$G$7:$G$2010,$D29,'LAC 102_Wkst'!$L$7:$L$2010,"07",'LAC 102_Wkst'!$N$7:$N$2010,"P1")+SUMIFS('LAC 102_Wkst'!$AF$7:$AF$2010,'LAC 102_Wkst'!$D$7:$D$2010,$C$7,'LAC 102_Wkst'!$I$7:$I$2010,$C$9,'LAC 102_Wkst'!$E$7:$E$2010,$C29,'LAC 102_Wkst'!$G$7:$G$2010,$D29,'LAC 102_Wkst'!$L$7:$L$2010,"07",'LAC 102_Wkst'!$N$7:$N$2010,"P2")+SUMIFS('LAC 102_Wkst'!$AF$7:$AF$2010,'LAC 102_Wkst'!$D$7:$D$2010,$C$7,'LAC 102_Wkst'!$I$7:$I$2010,$C$9,'LAC 102_Wkst'!$E$7:$E$2010,$C29,'LAC 102_Wkst'!$G$7:$G$2010,$D29,'LAC 102_Wkst'!$L$7:$L$2010,"07",'LAC 102_Wkst'!$N$7:$N$2010,"P3")</f>
        <v>0</v>
      </c>
      <c r="AB29" s="410">
        <f>SUMIFS('LAC 102_Wkst'!$Q$7:$Q$2010,'LAC 102_Wkst'!$D$7:$D$2010,$C$7,'LAC 102_Wkst'!$I$7:$I$2010,$C$9,'LAC 102_Wkst'!$E$7:$E$2010,$C29,'LAC 102_Wkst'!$G$7:$G$2010,$D29,'LAC 102_Wkst'!$L$7:$L$2010,"07",'LAC 102_Wkst'!$N$7:$N$2010,"P4")</f>
        <v>0</v>
      </c>
      <c r="AC29" s="411">
        <f>SUMIFS('LAC 102_Wkst'!$AF$7:$AF$2010,'LAC 102_Wkst'!$D$7:$D$2010,$C$7,'LAC 102_Wkst'!$I$7:$I$2010,$C$9,'LAC 102_Wkst'!$E$7:$E$2010,$C29,'LAC 102_Wkst'!$G$7:$G$2010,$D29,'LAC 102_Wkst'!$L$7:$L$2010,"07",'LAC 102_Wkst'!$N$7:$N$2010,"P4")</f>
        <v>0</v>
      </c>
      <c r="AD29" s="410">
        <f>SUMIFS('LAC 102_Wkst'!$Q$7:$Q$2010,'LAC 102_Wkst'!$D$7:$D$2010,$C$7,'LAC 102_Wkst'!$I$7:$I$2010,$C$9,'LAC 102_Wkst'!$E$7:$E$2010,$C29,'LAC 102_Wkst'!$G$7:$G$2010,$D29,'LAC 102_Wkst'!$L$7:$L$2010,"07",'LAC 102_Wkst'!$N$7:$N$2010,"P5")</f>
        <v>0</v>
      </c>
      <c r="AE29" s="411">
        <f>SUMIFS('LAC 102_Wkst'!$AF$7:$AF$2010,'LAC 102_Wkst'!$D$7:$D$2010,$C$7,'LAC 102_Wkst'!$I$7:$I$2010,$C$9,'LAC 102_Wkst'!$E$7:$E$2010,$C29,'LAC 102_Wkst'!$G$7:$G$2010,$D29,'LAC 102_Wkst'!$L$7:$L$2010,"07",'LAC 102_Wkst'!$N$7:$N$2010,"P5")</f>
        <v>0</v>
      </c>
      <c r="AF29" s="410">
        <f>SUMIFS('LAC 102_Wkst'!$Q$7:$Q$2010,'LAC 102_Wkst'!$D$7:$D$2010,$C$7,'LAC 102_Wkst'!$I$7:$I$2010,$C$9,'LAC 102_Wkst'!$E$7:$E$2010,$C29,'LAC 102_Wkst'!$G$7:$G$2010,$D29,'LAC 102_Wkst'!$L$7:$L$2010,"08",'LAC 102_Wkst'!$N$7:$N$2010,"P1")+SUMIFS('LAC 102_Wkst'!$Q$7:$Q$2010,'LAC 102_Wkst'!$D$7:$D$2010,$C$7,'LAC 102_Wkst'!$I$7:$I$2010,$C$9,'LAC 102_Wkst'!$E$7:$E$2010,$C29,'LAC 102_Wkst'!$G$7:$G$2010,$D29,'LAC 102_Wkst'!$L$7:$L$2010,"08",'LAC 102_Wkst'!$N$7:$N$2010,"P2")+SUMIFS('LAC 102_Wkst'!$Q$7:$Q$2010,'LAC 102_Wkst'!$D$7:$D$2010,$C$7,'LAC 102_Wkst'!$I$7:$I$2010,$C$9,'LAC 102_Wkst'!$E$7:$E$2010,$C29,'LAC 102_Wkst'!$G$7:$G$2010,$D29,'LAC 102_Wkst'!$L$7:$L$2010,"08",'LAC 102_Wkst'!$N$7:$N$2010,"P3")</f>
        <v>0</v>
      </c>
      <c r="AG29" s="411">
        <f>SUMIFS('LAC 102_Wkst'!$AF$7:$AF$2010,'LAC 102_Wkst'!$D$7:$D$2010,$C$7,'LAC 102_Wkst'!$I$7:$I$2010,$C$9,'LAC 102_Wkst'!$E$7:$E$2010,$C29,'LAC 102_Wkst'!$G$7:$G$2010,$D29,'LAC 102_Wkst'!$L$7:$L$2010,"08",'LAC 102_Wkst'!$N$7:$N$2010,"P1")+SUMIFS('LAC 102_Wkst'!$AF$7:$AF$2010,'LAC 102_Wkst'!$D$7:$D$2010,$C$7,'LAC 102_Wkst'!$I$7:$I$2010,$C$9,'LAC 102_Wkst'!$E$7:$E$2010,$C29,'LAC 102_Wkst'!$G$7:$G$2010,$D29,'LAC 102_Wkst'!$L$7:$L$2010,"08",'LAC 102_Wkst'!$N$7:$N$2010,"P2")+SUMIFS('LAC 102_Wkst'!$AF$7:$AF$2010,'LAC 102_Wkst'!$D$7:$D$2010,$C$7,'LAC 102_Wkst'!$I$7:$I$2010,$C$9,'LAC 102_Wkst'!$E$7:$E$2010,$C29,'LAC 102_Wkst'!$G$7:$G$2010,$D29,'LAC 102_Wkst'!$L$7:$L$2010,"08",'LAC 102_Wkst'!$N$7:$N$2010,"P3")</f>
        <v>0</v>
      </c>
      <c r="AH29" s="410">
        <f>SUMIFS('LAC 102_Wkst'!$Q$7:$Q$2010,'LAC 102_Wkst'!$D$7:$D$2010,$C$7,'LAC 102_Wkst'!$I$7:$I$2010,$C$9,'LAC 102_Wkst'!$E$7:$E$2010,$C29,'LAC 102_Wkst'!$G$7:$G$2010,$D29,'LAC 102_Wkst'!$L$7:$L$2010,"08",'LAC 102_Wkst'!$N$7:$N$2010,"P4")</f>
        <v>0</v>
      </c>
      <c r="AI29" s="411">
        <f>SUMIFS('LAC 102_Wkst'!$AF$7:$AF$2010,'LAC 102_Wkst'!$D$7:$D$2010,$C$7,'LAC 102_Wkst'!$I$7:$I$2010,$C$9,'LAC 102_Wkst'!$E$7:$E$2010,$C29,'LAC 102_Wkst'!$G$7:$G$2010,$D29,'LAC 102_Wkst'!$L$7:$L$2010,"08",'LAC 102_Wkst'!$N$7:$N$2010,"P4")</f>
        <v>0</v>
      </c>
      <c r="AJ29" s="410">
        <f>SUMIFS('LAC 102_Wkst'!$Q$7:$Q$2010,'LAC 102_Wkst'!$D$7:$D$2010,$C$7,'LAC 102_Wkst'!$I$7:$I$2010,$C$9,'LAC 102_Wkst'!$E$7:$E$2010,$C29,'LAC 102_Wkst'!$G$7:$G$2010,$D29,'LAC 102_Wkst'!$L$7:$L$2010,"08",'LAC 102_Wkst'!$N$7:$N$2010,"P5")</f>
        <v>0</v>
      </c>
      <c r="AK29" s="411">
        <f>SUMIFS('LAC 102_Wkst'!$AF$7:$AF$2010,'LAC 102_Wkst'!$D$7:$D$2010,$C$7,'LAC 102_Wkst'!$I$7:$I$2010,$C$9,'LAC 102_Wkst'!$E$7:$E$2010,$C29,'LAC 102_Wkst'!$G$7:$G$2010,$D29,'LAC 102_Wkst'!$L$7:$L$2010,"08",'LAC 102_Wkst'!$N$7:$N$2010,"P5")</f>
        <v>0</v>
      </c>
      <c r="AL29" s="410">
        <f>SUMIFS('LAC 102_Wkst'!$Q$7:$Q$2010,'LAC 102_Wkst'!$D$7:$D$2010,$C$7,'LAC 102_Wkst'!$I$7:$I$2010,$C$9,'LAC 102_Wkst'!$E$7:$E$2010,$C29,'LAC 102_Wkst'!$G$7:$G$2010,$D29,'LAC 102_Wkst'!$L$7:$L$2010,"09",'LAC 102_Wkst'!$N$7:$N$2010,"P1")+SUMIFS('LAC 102_Wkst'!$Q$7:$Q$2010,'LAC 102_Wkst'!$D$7:$D$2010,$C$7,'LAC 102_Wkst'!$I$7:$I$2010,$C$9,'LAC 102_Wkst'!$E$7:$E$2010,$C29,'LAC 102_Wkst'!$G$7:$G$2010,$D29,'LAC 102_Wkst'!$L$7:$L$2010,"09",'LAC 102_Wkst'!$N$7:$N$2010,"P2")+SUMIFS('LAC 102_Wkst'!$Q$7:$Q$2010,'LAC 102_Wkst'!$D$7:$D$2010,$C$7,'LAC 102_Wkst'!$I$7:$I$2010,$C$9,'LAC 102_Wkst'!$E$7:$E$2010,$C29,'LAC 102_Wkst'!$G$7:$G$2010,$D29,'LAC 102_Wkst'!$L$7:$L$2010,"09",'LAC 102_Wkst'!$N$7:$N$2010,"P3")+SUMIFS('LAC 102_Wkst'!$Q$7:$Q$2010,'LAC 102_Wkst'!$D$7:$D$2010,$C$7,'LAC 102_Wkst'!$I$7:$I$2010,$C$9,'LAC 102_Wkst'!$E$7:$E$2010,$C29,'LAC 102_Wkst'!$G$7:$G$2010,$D29,'LAC 102_Wkst'!$L$7:$L$2010,"09",'LAC 102_Wkst'!$N$7:$N$2010,"P4")</f>
        <v>0</v>
      </c>
      <c r="AM29" s="411">
        <f>SUMIFS('LAC 102_Wkst'!$AF$7:$AF$2010,'LAC 102_Wkst'!$D$7:$D$2010,$C$7,'LAC 102_Wkst'!$I$7:$I$2010,$C$9,'LAC 102_Wkst'!$E$7:$E$2010,$C29,'LAC 102_Wkst'!$G$7:$G$2010,$D29,'LAC 102_Wkst'!$L$7:$L$2010,"09",'LAC 102_Wkst'!$N$7:$N$2010,"P1")+SUMIFS('LAC 102_Wkst'!$AF$7:$AF$2010,'LAC 102_Wkst'!$D$7:$D$2010,$C$7,'LAC 102_Wkst'!$I$7:$I$2010,$C$9,'LAC 102_Wkst'!$E$7:$E$2010,$C29,'LAC 102_Wkst'!$G$7:$G$2010,$D29,'LAC 102_Wkst'!$L$7:$L$2010,"09",'LAC 102_Wkst'!$N$7:$N$2010,"P2")+SUMIFS('LAC 102_Wkst'!$AF$7:$AF$2010,'LAC 102_Wkst'!$D$7:$D$2010,$C$7,'LAC 102_Wkst'!$I$7:$I$2010,$C$9,'LAC 102_Wkst'!$E$7:$E$2010,$C29,'LAC 102_Wkst'!$G$7:$G$2010,$D29,'LAC 102_Wkst'!$L$7:$L$2010,"09",'LAC 102_Wkst'!$N$7:$N$2010,"P3")+SUMIFS('LAC 102_Wkst'!$AF$7:$AF$2010,'LAC 102_Wkst'!$D$7:$D$2010,$C$7,'LAC 102_Wkst'!$I$7:$I$2010,$C$9,'LAC 102_Wkst'!$E$7:$E$2010,$C29,'LAC 102_Wkst'!$G$7:$G$2010,$D29,'LAC 102_Wkst'!$L$7:$L$2010,"09",'LAC 102_Wkst'!$N$7:$N$2010,"P4")</f>
        <v>0</v>
      </c>
      <c r="AN29" s="410">
        <f>SUMIFS('LAC 102_Wkst'!$Q$7:$Q$2010,'LAC 102_Wkst'!$D$7:$D$2010,$C$7,'LAC 102_Wkst'!$I$7:$I$2010,$C$9,'LAC 102_Wkst'!$E$7:$E$2010,$C29,'LAC 102_Wkst'!$G$7:$G$2010,$D29,'LAC 102_Wkst'!$L$7:$L$2010,"09",'LAC 102_Wkst'!$N$7:$N$2010,"P5")</f>
        <v>0</v>
      </c>
      <c r="AO29" s="411">
        <f>SUMIFS('LAC 102_Wkst'!$AF$7:$AF$2010,'LAC 102_Wkst'!$D$7:$D$2010,$C$7,'LAC 102_Wkst'!$I$7:$I$2010,$C$9,'LAC 102_Wkst'!$E$7:$E$2010,$C29,'LAC 102_Wkst'!$G$7:$G$2010,$D29,'LAC 102_Wkst'!$L$7:$L$2010,"09",'LAC 102_Wkst'!$N$7:$N$2010,"P5")</f>
        <v>0</v>
      </c>
      <c r="AP29" s="410">
        <f>SUMIFS('LAC 102_Wkst'!$Q$7:$Q$2010,'LAC 102_Wkst'!$D$7:$D$2010,$C$7,'LAC 102_Wkst'!$I$7:$I$2010,$C$9,'LAC 102_Wkst'!$E$7:$E$2010,$C29,'LAC 102_Wkst'!$G$7:$G$2010,$D29,'LAC 102_Wkst'!$L$7:$L$2010,"10",'LAC 102_Wkst'!$N$7:$N$2010,"P1")+SUMIFS('LAC 102_Wkst'!$Q$7:$Q$2010,'LAC 102_Wkst'!$D$7:$D$2010,$C$7,'LAC 102_Wkst'!$I$7:$I$2010,$C$9,'LAC 102_Wkst'!$E$7:$E$2010,$C29,'LAC 102_Wkst'!$G$7:$G$2010,$D29,'LAC 102_Wkst'!$L$7:$L$2010,"10",'LAC 102_Wkst'!$N$7:$N$2010,"P2")+SUMIFS('LAC 102_Wkst'!$Q$7:$Q$2010,'LAC 102_Wkst'!$D$7:$D$2010,$C$7,'LAC 102_Wkst'!$I$7:$I$2010,$C$9,'LAC 102_Wkst'!$E$7:$E$2010,$C29,'LAC 102_Wkst'!$G$7:$G$2010,$D29,'LAC 102_Wkst'!$L$7:$L$2010,"10",'LAC 102_Wkst'!$N$7:$N$2010,"P3")+SUMIFS('LAC 102_Wkst'!$Q$7:$Q$2010,'LAC 102_Wkst'!$D$7:$D$2010,$C$7,'LAC 102_Wkst'!$I$7:$I$2010,$C$9,'LAC 102_Wkst'!$E$7:$E$2010,$C29,'LAC 102_Wkst'!$G$7:$G$2010,$D29,'LAC 102_Wkst'!$L$7:$L$2010,"10",'LAC 102_Wkst'!$N$7:$N$2010,"P4")</f>
        <v>0</v>
      </c>
      <c r="AQ29" s="411">
        <f>SUMIFS('LAC 102_Wkst'!$AF$7:$AF$2010,'LAC 102_Wkst'!$D$7:$D$2010,$C$7,'LAC 102_Wkst'!$I$7:$I$2010,$C$9,'LAC 102_Wkst'!$E$7:$E$2010,$C29,'LAC 102_Wkst'!$G$7:$G$2010,$D29,'LAC 102_Wkst'!$L$7:$L$2010,"10",'LAC 102_Wkst'!$N$7:$N$2010,"P1")+SUMIFS('LAC 102_Wkst'!$AF$7:$AF$2010,'LAC 102_Wkst'!$D$7:$D$2010,$C$7,'LAC 102_Wkst'!$I$7:$I$2010,$C$9,'LAC 102_Wkst'!$E$7:$E$2010,$C29,'LAC 102_Wkst'!$G$7:$G$2010,$D29,'LAC 102_Wkst'!$L$7:$L$2010,"10",'LAC 102_Wkst'!$N$7:$N$2010,"P2")+SUMIFS('LAC 102_Wkst'!$AF$7:$AF$2010,'LAC 102_Wkst'!$D$7:$D$2010,$C$7,'LAC 102_Wkst'!$I$7:$I$2010,$C$9,'LAC 102_Wkst'!$E$7:$E$2010,$C29,'LAC 102_Wkst'!$G$7:$G$2010,$D29,'LAC 102_Wkst'!$L$7:$L$2010,"10",'LAC 102_Wkst'!$N$7:$N$2010,"P3")+SUMIFS('LAC 102_Wkst'!$AF$7:$AF$2010,'LAC 102_Wkst'!$D$7:$D$2010,$C$7,'LAC 102_Wkst'!$I$7:$I$2010,$C$9,'LAC 102_Wkst'!$E$7:$E$2010,$C29,'LAC 102_Wkst'!$G$7:$G$2010,$D29,'LAC 102_Wkst'!$L$7:$L$2010,"10",'LAC 102_Wkst'!$N$7:$N$2010,"P4")</f>
        <v>0</v>
      </c>
      <c r="AR29" s="410">
        <f>SUMIFS('LAC 102_Wkst'!$Q$7:$Q$2010,'LAC 102_Wkst'!$D$7:$D$2010,$C$7,'LAC 102_Wkst'!$I$7:$I$2010,$C$9,'LAC 102_Wkst'!$E$7:$E$2010,$C29,'LAC 102_Wkst'!$G$7:$G$2010,$D29,'LAC 102_Wkst'!$L$7:$L$2010,"10",'LAC 102_Wkst'!$N$7:$N$2010,"P5")</f>
        <v>0</v>
      </c>
      <c r="AS29" s="411">
        <f>SUMIFS('LAC 102_Wkst'!$AF$7:$AF$2010,'LAC 102_Wkst'!$D$7:$D$2010,$C$7,'LAC 102_Wkst'!$I$7:$I$2010,$C$9,'LAC 102_Wkst'!$E$7:$E$2010,$C29,'LAC 102_Wkst'!$G$7:$G$2010,$D29,'LAC 102_Wkst'!$L$7:$L$2010,"10",'LAC 102_Wkst'!$N$7:$N$2010,"P5")</f>
        <v>0</v>
      </c>
      <c r="AT29" s="410">
        <f>SUMIFS('LAC 102_Wkst'!$Q$7:$Q$2010,'LAC 102_Wkst'!$D$7:$D$2010,$C$7,'LAC 102_Wkst'!$I$7:$I$2010,$C$9,'LAC 102_Wkst'!$E$7:$E$2010,$C29,'LAC 102_Wkst'!$G$7:$G$2010,$D29,'LAC 102_Wkst'!$L$7:$L$2010,"11",'LAC 102_Wkst'!$N$7:$N$2010,"P1")+SUMIFS('LAC 102_Wkst'!$Q$7:$Q$2010,'LAC 102_Wkst'!$D$7:$D$2010,$C$7,'LAC 102_Wkst'!$I$7:$I$2010,$C$9,'LAC 102_Wkst'!$E$7:$E$2010,$C29,'LAC 102_Wkst'!$G$7:$G$2010,$D29,'LAC 102_Wkst'!$L$7:$L$2010,"12",'LAC 102_Wkst'!$N$7:$N$2010,"P1")</f>
        <v>0</v>
      </c>
      <c r="AU29" s="411">
        <f>SUMIFS('LAC 102_Wkst'!$Q$7:$Q$2010,'LAC 102_Wkst'!$D$7:$D$2010,$C$7,'LAC 102_Wkst'!$I$7:$I$2010,$C$9,'LAC 102_Wkst'!$E$7:$E$2010,$C29,'LAC 102_Wkst'!$G$7:$G$2010,$D29,'LAC 102_Wkst'!$L$7:$L$2010,"13",'LAC 102_Wkst'!$N$7:$N$2010,"P5")</f>
        <v>0</v>
      </c>
      <c r="AV29" s="410">
        <f>SUMIFS('LAC 102_Wkst'!$Q$7:$Q$2010,'LAC 102_Wkst'!$D$7:$D$2010,$C$7,'LAC 102_Wkst'!$I$7:$I$2010,$C$9,'LAC 102_Wkst'!$E$7:$E$2010,$C29,'LAC 102_Wkst'!$G$7:$G$2010,$D29,'LAC 102_Wkst'!$L$7:$L$2010,"11",'LAC 102_Wkst'!$N$7:$N$2010,"P2")+SUMIFS('LAC 102_Wkst'!$Q$7:$Q$2010,'LAC 102_Wkst'!$D$7:$D$2010,$C$7,'LAC 102_Wkst'!$I$7:$I$2010,$C$9,'LAC 102_Wkst'!$E$7:$E$2010,$C29,'LAC 102_Wkst'!$G$7:$G$2010,$D29,'LAC 102_Wkst'!$L$7:$L$2010,"12",'LAC 102_Wkst'!$N$7:$N$2010,"P2")+SUMIFS('LAC 102_Wkst'!$Q$7:$Q$2010,'LAC 102_Wkst'!$D$7:$D$2010,$C$7,'LAC 102_Wkst'!$I$7:$I$2010,$C$9,'LAC 102_Wkst'!$E$7:$E$2010,$C29,'LAC 102_Wkst'!$G$7:$G$2010,$D29,'LAC 102_Wkst'!$L$7:$L$2010,"11",'LAC 102_Wkst'!$N$7:$N$2010,"P3")+SUMIFS('LAC 102_Wkst'!$Q$7:$Q$2010,'LAC 102_Wkst'!$D$7:$D$2010,$C$7,'LAC 102_Wkst'!$I$7:$I$2010,$C$9,'LAC 102_Wkst'!$E$7:$E$2010,$C29,'LAC 102_Wkst'!$G$7:$G$2010,$D29,'LAC 102_Wkst'!$L$7:$L$2010,"12",'LAC 102_Wkst'!$N$7:$N$2010,"P3")</f>
        <v>0</v>
      </c>
      <c r="AW29" s="411">
        <f>SUMIFS('LAC 102_Wkst'!$AF$7:$AF$2010,'LAC 102_Wkst'!$D$7:$D$2010,$C$7,'LAC 102_Wkst'!$I$7:$I$2010,$C$9,'LAC 102_Wkst'!$E$7:$E$2010,$C29,'LAC 102_Wkst'!$G$7:$G$2010,$D29,'LAC 102_Wkst'!$L$7:$L$2010,"11",'LAC 102_Wkst'!$N$7:$N$2010,"P2")+SUMIFS('LAC 102_Wkst'!$AF$7:$AF$2010,'LAC 102_Wkst'!$D$7:$D$2010,$C$7,'LAC 102_Wkst'!$I$7:$I$2010,$C$9,'LAC 102_Wkst'!$E$7:$E$2010,$C29,'LAC 102_Wkst'!$G$7:$G$2010,$D29,'LAC 102_Wkst'!$L$7:$L$2010,"12",'LAC 102_Wkst'!$N$7:$N$2010,"P2")+SUMIFS('LAC 102_Wkst'!$AF$7:$AF$2010,'LAC 102_Wkst'!$D$7:$D$2010,$C$7,'LAC 102_Wkst'!$I$7:$I$2010,$C$9,'LAC 102_Wkst'!$E$7:$E$2010,$C29,'LAC 102_Wkst'!$G$7:$G$2010,$D29,'LAC 102_Wkst'!$L$7:$L$2010,"11",'LAC 102_Wkst'!$N$7:$N$2010,"P3")+SUMIFS('LAC 102_Wkst'!$AF$7:$AF$2010,'LAC 102_Wkst'!$D$7:$D$2010,$C$7,'LAC 102_Wkst'!$I$7:$I$2010,$C$9,'LAC 102_Wkst'!$E$7:$E$2010,$C29,'LAC 102_Wkst'!$G$7:$G$2010,$D29,'LAC 102_Wkst'!$L$7:$L$2010,"12",'LAC 102_Wkst'!$N$7:$N$2010,"P3")</f>
        <v>0</v>
      </c>
      <c r="AX29" s="410">
        <f>SUMIFS('LAC 102_Wkst'!$Q$7:$Q$2010,'LAC 102_Wkst'!$D$7:$D$2010,$C$7,'LAC 102_Wkst'!$I$7:$I$2010,$C$9,'LAC 102_Wkst'!$E$7:$E$2010,$C29,'LAC 102_Wkst'!$G$7:$G$2010,$D29,'LAC 102_Wkst'!$L$7:$L$2010,"11",'LAC 102_Wkst'!$N$7:$N$2010,"P4")+SUMIFS('LAC 102_Wkst'!$Q$7:$Q$2010,'LAC 102_Wkst'!$D$7:$D$2010,$C$7,'LAC 102_Wkst'!$I$7:$I$2010,$C$9,'LAC 102_Wkst'!$E$7:$E$2010,$C29,'LAC 102_Wkst'!$G$7:$G$2010,$D29,'LAC 102_Wkst'!$L$7:$L$2010,"12",'LAC 102_Wkst'!$N$7:$N$2010,"P4")</f>
        <v>0</v>
      </c>
      <c r="AY29" s="411">
        <f>SUMIFS('LAC 102_Wkst'!$AF$7:$AF$2010,'LAC 102_Wkst'!$D$7:$D$2010,$C$7,'LAC 102_Wkst'!$I$7:$I$2010,$C$9,'LAC 102_Wkst'!$E$7:$E$2010,$C29,'LAC 102_Wkst'!$G$7:$G$2010,$D29,'LAC 102_Wkst'!$L$7:$L$2010,"11",'LAC 102_Wkst'!$N$7:$N$2010,"P4")+SUMIFS('LAC 102_Wkst'!$AF$7:$AF$2010,'LAC 102_Wkst'!$D$7:$D$2010,$C$7,'LAC 102_Wkst'!$I$7:$I$2010,$C$9,'LAC 102_Wkst'!$E$7:$E$2010,$C29,'LAC 102_Wkst'!$G$7:$G$2010,$D29,'LAC 102_Wkst'!$L$7:$L$2010,"12",'LAC 102_Wkst'!$N$7:$N$2010,"P4")</f>
        <v>0</v>
      </c>
      <c r="AZ29" s="410">
        <f>SUMIFS('LAC 102_Wkst'!$Q$7:$Q$2010,'LAC 102_Wkst'!$D$7:$D$2010,$C$7,'LAC 102_Wkst'!$I$7:$I$2010,$C$9,'LAC 102_Wkst'!$E$7:$E$2010,$C29,'LAC 102_Wkst'!$G$7:$G$2010,$D29,'LAC 102_Wkst'!$L$7:$L$2010,"11",'LAC 102_Wkst'!$N$7:$N$2010,"P5")+SUMIFS('LAC 102_Wkst'!$Q$7:$Q$2010,'LAC 102_Wkst'!$D$7:$D$2010,$C$7,'LAC 102_Wkst'!$I$7:$I$2010,$C$9,'LAC 102_Wkst'!$E$7:$E$2010,$C29,'LAC 102_Wkst'!$G$7:$G$2010,$D29,'LAC 102_Wkst'!$L$7:$L$2010,"12",'LAC 102_Wkst'!$N$7:$N$2010,"P5")</f>
        <v>0</v>
      </c>
      <c r="BA29" s="411">
        <f>SUMIFS('LAC 102_Wkst'!$AF$7:$AF$2010,'LAC 102_Wkst'!$D$7:$D$2010,$C$7,'LAC 102_Wkst'!$I$7:$I$2010,$C$9,'LAC 102_Wkst'!$E$7:$E$2010,$C29,'LAC 102_Wkst'!$G$7:$G$2010,$D29,'LAC 102_Wkst'!$L$7:$L$2010,"11",'LAC 102_Wkst'!$N$7:$N$2010,"P5")+SUMIFS('LAC 102_Wkst'!$AF$7:$AF$2010,'LAC 102_Wkst'!$D$7:$D$2010,$C$7,'LAC 102_Wkst'!$I$7:$I$2010,$C$9,'LAC 102_Wkst'!$E$7:$E$2010,$C29,'LAC 102_Wkst'!$G$7:$G$2010,$D29,'LAC 102_Wkst'!$L$7:$L$2010,"12",'LAC 102_Wkst'!$N$7:$N$2010,"P5")</f>
        <v>0</v>
      </c>
      <c r="BB29" s="410">
        <f>SUMIFS('LAC 102_Wkst'!$Q$7:$Q$2010,'LAC 102_Wkst'!$D$7:$D$2010,$C$7,'LAC 102_Wkst'!$I$7:$I$2010,$C$9,'LAC 102_Wkst'!$E$7:$E$2010,$C29,'LAC 102_Wkst'!$G$7:$G$2010,$D29,'LAC 102_Wkst'!$L$7:$L$2010,"13",'LAC 102_Wkst'!$N$7:$N$2010,"P1")+SUMIFS('LAC 102_Wkst'!$Q$7:$Q$2010,'LAC 102_Wkst'!$D$7:$D$2010,$C$7,'LAC 102_Wkst'!$I$7:$I$2010,$C$9,'LAC 102_Wkst'!$E$7:$E$2010,$C29,'LAC 102_Wkst'!$G$7:$G$2010,$D29,'LAC 102_Wkst'!$L$7:$L$2010,"13",'LAC 102_Wkst'!$N$7:$N$2010,"P2")+SUMIFS('LAC 102_Wkst'!$Q$7:$Q$2010,'LAC 102_Wkst'!$D$7:$D$2010,$C$7,'LAC 102_Wkst'!$I$7:$I$2010,$C$9,'LAC 102_Wkst'!$E$7:$E$2010,$C29,'LAC 102_Wkst'!$G$7:$G$2010,$D29,'LAC 102_Wkst'!$L$7:$L$2010,"13",'LAC 102_Wkst'!$N$7:$N$2010,"P3")+SUMIFS('LAC 102_Wkst'!$Q$7:$Q$2010,'LAC 102_Wkst'!$D$7:$D$2010,$C$7,'LAC 102_Wkst'!$I$7:$I$2010,$C$9,'LAC 102_Wkst'!$E$7:$E$2010,$C29,'LAC 102_Wkst'!$G$7:$G$2010,$D29,'LAC 102_Wkst'!$L$7:$L$2010,"13",'LAC 102_Wkst'!$N$7:$N$2010,"P4")</f>
        <v>0</v>
      </c>
      <c r="BC29" s="411">
        <f>SUMIFS('LAC 102_Wkst'!$AF$7:$AF$2010,'LAC 102_Wkst'!$D$7:$D$2010,$C$7,'LAC 102_Wkst'!$I$7:$I$2010,$C$9,'LAC 102_Wkst'!$E$7:$E$2010,$C29,'LAC 102_Wkst'!$G$7:$G$2010,$D29,'LAC 102_Wkst'!$L$7:$L$2010,"13",'LAC 102_Wkst'!$N$7:$N$2010,"P1")+SUMIFS('LAC 102_Wkst'!$AF$7:$AF$2010,'LAC 102_Wkst'!$D$7:$D$2010,$C$7,'LAC 102_Wkst'!$I$7:$I$2010,$C$9,'LAC 102_Wkst'!$E$7:$E$2010,$C29,'LAC 102_Wkst'!$G$7:$G$2010,$D29,'LAC 102_Wkst'!$L$7:$L$2010,"13",'LAC 102_Wkst'!$N$7:$N$2010,"P2")+SUMIFS('LAC 102_Wkst'!$AF$7:$AF$2010,'LAC 102_Wkst'!$D$7:$D$2010,$C$7,'LAC 102_Wkst'!$I$7:$I$2010,$C$9,'LAC 102_Wkst'!$E$7:$E$2010,$C29,'LAC 102_Wkst'!$G$7:$G$2010,$D29,'LAC 102_Wkst'!$L$7:$L$2010,"13",'LAC 102_Wkst'!$N$7:$N$2010,"P3")+SUMIFS('LAC 102_Wkst'!$AF$7:$AF$2010,'LAC 102_Wkst'!$D$7:$D$2010,$C$7,'LAC 102_Wkst'!$I$7:$I$2010,$C$9,'LAC 102_Wkst'!$E$7:$E$2010,$C29,'LAC 102_Wkst'!$G$7:$G$2010,$D29,'LAC 102_Wkst'!$L$7:$L$2010,"13",'LAC 102_Wkst'!$N$7:$N$2010,"P4")</f>
        <v>0</v>
      </c>
      <c r="BD29" s="410">
        <f>SUMIFS('LAC 102_Wkst'!$Q$7:$Q$2010,'LAC 102_Wkst'!$D$7:$D$2010,$C$7,'LAC 102_Wkst'!$I$7:$I$2010,$C$9,'LAC 102_Wkst'!$E$7:$E$2010,$C29,'LAC 102_Wkst'!$G$7:$G$2010,$D29,'LAC 102_Wkst'!$L$7:$L$2010,"13",'LAC 102_Wkst'!$N$7:$N$2010,"P5")</f>
        <v>0</v>
      </c>
      <c r="BE29" s="411">
        <f>SUMIFS('LAC 102_Wkst'!$AF$7:$AF$2010,'LAC 102_Wkst'!$D$7:$D$2010,$C$7,'LAC 102_Wkst'!$I$7:$I$2010,$C$9,'LAC 102_Wkst'!$E$7:$E$2010,$C29,'LAC 102_Wkst'!$G$7:$G$2010,$D29,'LAC 102_Wkst'!$L$7:$L$2010,"13",'LAC 102_Wkst'!$N$7:$N$2010,"P5")</f>
        <v>0</v>
      </c>
      <c r="BF29" s="407">
        <f t="shared" si="4"/>
        <v>25545</v>
      </c>
      <c r="BG29" s="1654">
        <f>SUMIFS('LAC 102_Wkst'!$AF$7:$AF$2010,'LAC 102_Wkst'!$D$7:$D$2010,$C$7,'LAC 102_Wkst'!$I$7:$I$2010,$C$9,'LAC 102_Wkst'!$E$7:$E$2010,$C29,'LAC 102_Wkst'!$G$7:$G$2010,$D29,'LAC 102_Wkst'!$L$7:$L$2010,"14")</f>
        <v>81933.291091057588</v>
      </c>
    </row>
    <row r="30" spans="1:59" x14ac:dyDescent="0.2">
      <c r="A30" s="401">
        <v>8</v>
      </c>
      <c r="B30" s="1678" t="str">
        <f>IF(Schedule_B!B$27="","",Schedule_B!B$27)</f>
        <v>CR</v>
      </c>
      <c r="C30" s="1674" t="str">
        <f>IF(Schedule_B!C$27=""," ",Schedule_B!C$27)</f>
        <v>15</v>
      </c>
      <c r="D30" s="1675" t="str">
        <f>IF(Schedule_B!D$27=""," ",Schedule_B!D$27)</f>
        <v>52</v>
      </c>
      <c r="E30" s="1221">
        <f>SUMIFS('LAC 102_Wkst'!$Q$7:$Q$2010,'LAC 102_Wkst'!$D$7:$D$2010,$C$7,'LAC 102_Wkst'!$I$7:$I$2010,$C$9,'LAC 102_Wkst'!$E$7:$E$2010,$C30,'LAC 102_Wkst'!$G$7:$G$2010,$D30)</f>
        <v>97755</v>
      </c>
      <c r="F30" s="408">
        <f>SUMIFS('LAC 102_Wkst'!$Q$7:$Q$2010,'LAC 102_Wkst'!$D$7:$D$2010,$C$7,'LAC 102_Wkst'!$I$7:$I$2010,$C$9,'LAC 102_Wkst'!$E$7:$E$2010,$C30,'LAC 102_Wkst'!$G$7:$G$2010,$D30,'LAC 102_Wkst'!$L$7:$L$2010,"01",'LAC 102_Wkst'!$N$7:$N$2010,"P1")+SUMIFS('LAC 102_Wkst'!$Q$7:$Q$2010,'LAC 102_Wkst'!$D$7:$D$2010,$C$7,'LAC 102_Wkst'!$I$7:$I$2010,$C$9,'LAC 102_Wkst'!$E$7:$E$2010,$C30,'LAC 102_Wkst'!$G$7:$G$2010,$D30,'LAC 102_Wkst'!$L$7:$L$2010,"01",'LAC 102_Wkst'!$N$7:$N$2010,"P2")+SUMIFS('LAC 102_Wkst'!$Q$7:$Q$2010,'LAC 102_Wkst'!$D$7:$D$2010,$C$7,'LAC 102_Wkst'!$I$7:$I$2010,$C$9,'LAC 102_Wkst'!$E$7:$E$2010,$C30,'LAC 102_Wkst'!$G$7:$G$2010,$D30,'LAC 102_Wkst'!$L$7:$L$2010,"01",'LAC 102_Wkst'!$N$7:$N$2010,"P3")+SUMIFS('LAC 102_Wkst'!$Q$7:$Q$2010,'LAC 102_Wkst'!$D$7:$D$2010,$C$7,'LAC 102_Wkst'!$I$7:$I$2010,$C$9,'LAC 102_Wkst'!$E$7:$E$2010,$C30,'LAC 102_Wkst'!$G$7:$G$2010,$D30,'LAC 102_Wkst'!$L$7:$L$2010,"02",'LAC 102_Wkst'!$N$7:$N$2010,"P1")+SUMIFS('LAC 102_Wkst'!$Q$7:$Q$2010,'LAC 102_Wkst'!$D$7:$D$2010,$C$7,'LAC 102_Wkst'!$I$7:$I$2010,$C$9,'LAC 102_Wkst'!$E$7:$E$2010,$C30,'LAC 102_Wkst'!$G$7:$G$2010,$D30,'LAC 102_Wkst'!$L$7:$L$2010,"02",'LAC 102_Wkst'!$N$7:$N$2010,"P2")+SUMIFS('LAC 102_Wkst'!$Q$7:$Q$2010,'LAC 102_Wkst'!$D$7:$D$2010,$C$7,'LAC 102_Wkst'!$I$7:$I$2010,$C$9,'LAC 102_Wkst'!$E$7:$E$2010,$C30,'LAC 102_Wkst'!$G$7:$G$2010,$D30,'LAC 102_Wkst'!$L$7:$L$2010,"02",'LAC 102_Wkst'!$N$7:$N$2010,"P3")</f>
        <v>83323</v>
      </c>
      <c r="G30" s="409">
        <f>SUMIFS('LAC 102_Wkst'!$AF$7:$AF$2010,'LAC 102_Wkst'!$D$7:$D$2010,$C$7,'LAC 102_Wkst'!$I$7:$I$2010,$C$9,'LAC 102_Wkst'!$E$7:$E$2010,$C30,'LAC 102_Wkst'!$G$7:$G$2010,$D30,'LAC 102_Wkst'!$L$7:$L$2010,"01",'LAC 102_Wkst'!$N$7:$N$2010,"P1")+SUMIFS('LAC 102_Wkst'!$AF$7:$AF$2010,'LAC 102_Wkst'!$D$7:$D$2010,$C$7,'LAC 102_Wkst'!$I$7:$I$2010,$C$9,'LAC 102_Wkst'!$E$7:$E$2010,$C30,'LAC 102_Wkst'!$G$7:$G$2010,$D30,'LAC 102_Wkst'!$L$7:$L$2010,"01",'LAC 102_Wkst'!$N$7:$N$2010,"P2")+SUMIFS('LAC 102_Wkst'!$AF$7:$AF$2010,'LAC 102_Wkst'!$D$7:$D$2010,$C$7,'LAC 102_Wkst'!$I$7:$I$2010,$C$9,'LAC 102_Wkst'!$E$7:$E$2010,$C30,'LAC 102_Wkst'!$G$7:$G$2010,$D30,'LAC 102_Wkst'!$L$7:$L$2010,"01",'LAC 102_Wkst'!$N$7:$N$2010,"P3")+SUMIFS('LAC 102_Wkst'!$AF$7:$AF$2010,'LAC 102_Wkst'!$D$7:$D$2010,$C$7,'LAC 102_Wkst'!$I$7:$I$2010,$C$9,'LAC 102_Wkst'!$E$7:$E$2010,$C30,'LAC 102_Wkst'!$G$7:$G$2010,$D30,'LAC 102_Wkst'!$L$7:$L$2010,"02",'LAC 102_Wkst'!$N$7:$N$2010,"P1")+SUMIFS('LAC 102_Wkst'!$AF$7:$AF$2010,'LAC 102_Wkst'!$D$7:$D$2010,$C$7,'LAC 102_Wkst'!$I$7:$I$2010,$C$9,'LAC 102_Wkst'!$E$7:$E$2010,$C30,'LAC 102_Wkst'!$G$7:$G$2010,$D30,'LAC 102_Wkst'!$L$7:$L$2010,"02",'LAC 102_Wkst'!$N$7:$N$2010,"P2")+SUMIFS('LAC 102_Wkst'!$AF$7:$AF$2010,'LAC 102_Wkst'!$D$7:$D$2010,$C$7,'LAC 102_Wkst'!$I$7:$I$2010,$C$9,'LAC 102_Wkst'!$E$7:$E$2010,$C30,'LAC 102_Wkst'!$G$7:$G$2010,$D30,'LAC 102_Wkst'!$L$7:$L$2010,"02",'LAC 102_Wkst'!$N$7:$N$2010,"P3")</f>
        <v>267251.03204463457</v>
      </c>
      <c r="H30" s="410">
        <f>SUMIFS('LAC 102_Wkst'!$Q$7:$Q$2010,'LAC 102_Wkst'!$D$7:$D$2010,$C$7,'LAC 102_Wkst'!$I$7:$I$2010,$C$9,'LAC 102_Wkst'!$E$7:$E$2010,$C30,'LAC 102_Wkst'!$G$7:$G$2010,$D30,'LAC 102_Wkst'!$L$7:$L$2010,"01",'LAC 102_Wkst'!$N$7:$N$2010,"P4")+SUMIFS('LAC 102_Wkst'!$Q$7:$Q$2010,'LAC 102_Wkst'!$D$7:$D$2010,$C$7,'LAC 102_Wkst'!$I$7:$I$2010,$C$9,'LAC 102_Wkst'!$E$7:$E$2010,$C30,'LAC 102_Wkst'!$G$7:$G$2010,$D30,'LAC 102_Wkst'!$L$7:$L$2010,"02",'LAC 102_Wkst'!$N$7:$N$2010,"P4")</f>
        <v>0</v>
      </c>
      <c r="I30" s="411">
        <f>SUMIFS('LAC 102_Wkst'!$AF$7:$AF$2010,'LAC 102_Wkst'!$D$7:$D$2010,$C$7,'LAC 102_Wkst'!$I$7:$I$2010,$C$9,'LAC 102_Wkst'!$E$7:$E$2010,$C30,'LAC 102_Wkst'!$G$7:$G$2010,$D30,'LAC 102_Wkst'!$L$7:$L$2010,"01",'LAC 102_Wkst'!$N$7:$N$2010,"P4")+SUMIFS('LAC 102_Wkst'!$AF$7:$AF$2010,'LAC 102_Wkst'!$D$7:$D$2010,$C$7,'LAC 102_Wkst'!$I$7:$I$2010,$C$9,'LAC 102_Wkst'!$E$7:$E$2010,$C30,'LAC 102_Wkst'!$G$7:$G$2010,$D30,'LAC 102_Wkst'!$L$7:$L$2010,"02",'LAC 102_Wkst'!$N$7:$N$2010,"P4")</f>
        <v>0</v>
      </c>
      <c r="J30" s="410">
        <f>SUMIFS('LAC 102_Wkst'!$Q$7:$Q$2010,'LAC 102_Wkst'!$D$7:$D$2010,$C$7,'LAC 102_Wkst'!$I$7:$I$2010,$C$9,'LAC 102_Wkst'!$E$7:$E$2010,$C30,'LAC 102_Wkst'!$G$7:$G$2010,$D30,'LAC 102_Wkst'!$L$7:$L$2010,"01",'LAC 102_Wkst'!$N$7:$N$2010,"P5")+SUMIFS('LAC 102_Wkst'!$Q$7:$Q$2010,'LAC 102_Wkst'!$D$7:$D$2010,$C$7,'LAC 102_Wkst'!$I$7:$I$2010,$C$9,'LAC 102_Wkst'!$E$7:$E$2010,$C30,'LAC 102_Wkst'!$G$7:$G$2010,$D30,'LAC 102_Wkst'!$L$7:$L$2010,"02",'LAC 102_Wkst'!$N$7:$N$2010,"P5")</f>
        <v>0</v>
      </c>
      <c r="K30" s="411">
        <f>SUMIFS('LAC 102_Wkst'!$AF$7:$AF$2010,'LAC 102_Wkst'!$D$7:$D$2010,$C$7,'LAC 102_Wkst'!$I$7:$I$2010,$C$9,'LAC 102_Wkst'!$E$7:$E$2010,$C30,'LAC 102_Wkst'!$G$7:$G$2010,$D30,'LAC 102_Wkst'!$L$7:$L$2010,"01",'LAC 102_Wkst'!$N$7:$N$2010,"P5")+SUMIFS('LAC 102_Wkst'!$AF$7:$AF$2010,'LAC 102_Wkst'!$D$7:$D$2010,$C$7,'LAC 102_Wkst'!$I$7:$I$2010,$C$9,'LAC 102_Wkst'!$E$7:$E$2010,$C30,'LAC 102_Wkst'!$G$7:$G$2010,$D30,'LAC 102_Wkst'!$L$7:$L$2010,"02",'LAC 102_Wkst'!$N$7:$N$2010,"P5")</f>
        <v>0</v>
      </c>
      <c r="L30" s="410">
        <f>SUMIFS('LAC 102_Wkst'!$Q$7:$Q$2010,'LAC 102_Wkst'!$D$7:$D$2010,$C$7,'LAC 102_Wkst'!$I$7:$I$2010,$C$9,'LAC 102_Wkst'!$E$7:$E$2010,$C30,'LAC 102_Wkst'!$G$7:$G$2010,$D30,'LAC 102_Wkst'!$L$7:$L$2010,"03",'LAC 102_Wkst'!$N$7:$N$2010,"P1")+SUMIFS('LAC 102_Wkst'!$Q$7:$Q$2010,'LAC 102_Wkst'!$D$7:$D$2010,$C$7,'LAC 102_Wkst'!$I$7:$I$2010,$C$9,'LAC 102_Wkst'!$E$7:$E$2010,$C30,'LAC 102_Wkst'!$G$7:$G$2010,$D30,'LAC 102_Wkst'!$L$7:$L$2010,"03",'LAC 102_Wkst'!$N$7:$N$2010,"P2")+SUMIFS('LAC 102_Wkst'!$Q$7:$Q$2010,'LAC 102_Wkst'!$D$7:$D$2010,$C$7,'LAC 102_Wkst'!$I$7:$I$2010,$C$9,'LAC 102_Wkst'!$E$7:$E$2010,$C30,'LAC 102_Wkst'!$G$7:$G$2010,$D30,'LAC 102_Wkst'!$L$7:$L$2010,"03",'LAC 102_Wkst'!$N$7:$N$2010,"P3")+SUMIFS('LAC 102_Wkst'!$Q$7:$Q$2010,'LAC 102_Wkst'!$D$7:$D$2010,$C$7,'LAC 102_Wkst'!$I$7:$I$2010,$C$9,'LAC 102_Wkst'!$E$7:$E$2010,$C30,'LAC 102_Wkst'!$G$7:$G$2010,$D30,'LAC 102_Wkst'!$L$7:$L$2010,"04",'LAC 102_Wkst'!$N$7:$N$2010,"P1")+SUMIFS('LAC 102_Wkst'!$Q$7:$Q$2010,'LAC 102_Wkst'!$D$7:$D$2010,$C$7,'LAC 102_Wkst'!$I$7:$I$2010,$C$9,'LAC 102_Wkst'!$E$7:$E$2010,$C30,'LAC 102_Wkst'!$G$7:$G$2010,$D30,'LAC 102_Wkst'!$L$7:$L$2010,"04",'LAC 102_Wkst'!$N$7:$N$2010,"P2")+SUMIFS('LAC 102_Wkst'!$Q$7:$Q$2010,'LAC 102_Wkst'!$D$7:$D$2010,$C$7,'LAC 102_Wkst'!$I$7:$I$2010,$C$9,'LAC 102_Wkst'!$E$7:$E$2010,$C30,'LAC 102_Wkst'!$G$7:$G$2010,$D30,'LAC 102_Wkst'!$L$7:$L$2010,"04",'LAC 102_Wkst'!$N$7:$N$2010,"P3")</f>
        <v>0</v>
      </c>
      <c r="M30" s="411">
        <f>SUMIFS('LAC 102_Wkst'!$AF$7:$AF$2010,'LAC 102_Wkst'!$D$7:$D$2010,$C$7,'LAC 102_Wkst'!$I$7:$I$2010,$C$9,'LAC 102_Wkst'!$E$7:$E$2010,$C30,'LAC 102_Wkst'!$G$7:$G$2010,$D30,'LAC 102_Wkst'!$L$7:$L$2010,"03",'LAC 102_Wkst'!$N$7:$N$2010,"P1")+SUMIFS('LAC 102_Wkst'!$AF$7:$AF$2010,'LAC 102_Wkst'!$D$7:$D$2010,$C$7,'LAC 102_Wkst'!$I$7:$I$2010,$C$9,'LAC 102_Wkst'!$E$7:$E$2010,$C30,'LAC 102_Wkst'!$G$7:$G$2010,$D30,'LAC 102_Wkst'!$L$7:$L$2010,"03",'LAC 102_Wkst'!$N$7:$N$2010,"P2")+SUMIFS('LAC 102_Wkst'!$AF$7:$AF$2010,'LAC 102_Wkst'!$D$7:$D$2010,$C$7,'LAC 102_Wkst'!$I$7:$I$2010,$C$9,'LAC 102_Wkst'!$E$7:$E$2010,$C30,'LAC 102_Wkst'!$G$7:$G$2010,$D30,'LAC 102_Wkst'!$L$7:$L$2010,"03",'LAC 102_Wkst'!$N$7:$N$2010,"P3")+SUMIFS('LAC 102_Wkst'!$AF$7:$AF$2010,'LAC 102_Wkst'!$D$7:$D$2010,$C$7,'LAC 102_Wkst'!$I$7:$I$2010,$C$9,'LAC 102_Wkst'!$E$7:$E$2010,$C30,'LAC 102_Wkst'!$G$7:$G$2010,$D30,'LAC 102_Wkst'!$L$7:$L$2010,"04",'LAC 102_Wkst'!$N$7:$N$2010,"P1")+SUMIFS('LAC 102_Wkst'!$AF$7:$AF$2010,'LAC 102_Wkst'!$D$7:$D$2010,$C$7,'LAC 102_Wkst'!$I$7:$I$2010,$C$9,'LAC 102_Wkst'!$E$7:$E$2010,$C30,'LAC 102_Wkst'!$G$7:$G$2010,$D30,'LAC 102_Wkst'!$L$7:$L$2010,"04",'LAC 102_Wkst'!$N$7:$N$2010,"P2")+SUMIFS('LAC 102_Wkst'!$AF$7:$AF$2010,'LAC 102_Wkst'!$D$7:$D$2010,$C$7,'LAC 102_Wkst'!$I$7:$I$2010,$C$9,'LAC 102_Wkst'!$E$7:$E$2010,$C30,'LAC 102_Wkst'!$G$7:$G$2010,$D30,'LAC 102_Wkst'!$L$7:$L$2010,"04",'LAC 102_Wkst'!$N$7:$N$2010,"P3")</f>
        <v>0</v>
      </c>
      <c r="N30" s="410">
        <f>SUMIFS('LAC 102_Wkst'!$Q$7:$Q$2010,'LAC 102_Wkst'!$D$7:$D$2010,$C$7,'LAC 102_Wkst'!$I$7:$I$2010,$C$9,'LAC 102_Wkst'!$E$7:$E$2010,$C30,'LAC 102_Wkst'!$G$7:$G$2010,$D30,'LAC 102_Wkst'!$L$7:$L$2010,"03",'LAC 102_Wkst'!$N$7:$N$2010,"P4")+SUMIFS('LAC 102_Wkst'!$Q$7:$Q$2010,'LAC 102_Wkst'!$D$7:$D$2010,$C$7,'LAC 102_Wkst'!$I$7:$I$2010,$C$9,'LAC 102_Wkst'!$E$7:$E$2010,$C30,'LAC 102_Wkst'!$G$7:$G$2010,$D30,'LAC 102_Wkst'!$L$7:$L$2010,"04",'LAC 102_Wkst'!$N$7:$N$2010,"P4")</f>
        <v>0</v>
      </c>
      <c r="O30" s="411">
        <f>SUMIFS('LAC 102_Wkst'!$AF$7:$AF$2010,'LAC 102_Wkst'!$D$7:$D$2010,$C$7,'LAC 102_Wkst'!$I$7:$I$2010,$C$9,'LAC 102_Wkst'!$E$7:$E$2010,$C30,'LAC 102_Wkst'!$G$7:$G$2010,$D30,'LAC 102_Wkst'!$L$7:$L$2010,"03",'LAC 102_Wkst'!$N$7:$N$2010,"P4")+SUMIFS('LAC 102_Wkst'!$AF$7:$AF$2010,'LAC 102_Wkst'!$D$7:$D$2010,$C$7,'LAC 102_Wkst'!$I$7:$I$2010,$C$9,'LAC 102_Wkst'!$E$7:$E$2010,$C30,'LAC 102_Wkst'!$G$7:$G$2010,$D30,'LAC 102_Wkst'!$L$7:$L$2010,"04",'LAC 102_Wkst'!$N$7:$N$2010,"P4")</f>
        <v>0</v>
      </c>
      <c r="P30" s="404">
        <f>SUMIFS('LAC 102_Wkst'!$Q$7:$Q$2010,'LAC 102_Wkst'!$D$7:$D$2010,$C$7,'LAC 102_Wkst'!$I$7:$I$2010,$C$9,'LAC 102_Wkst'!$E$7:$E$2010,$C30,'LAC 102_Wkst'!$G$7:$G$2010,$D30,'LAC 102_Wkst'!$L$7:$L$2010,"03",'LAC 102_Wkst'!$N$7:$N$2010,"P5")+SUMIFS('LAC 102_Wkst'!$Q$7:$Q$2010,'LAC 102_Wkst'!$D$7:$D$2010,$C$7,'LAC 102_Wkst'!$I$7:$I$2010,$C$9,'LAC 102_Wkst'!$E$7:$E$2010,$C30,'LAC 102_Wkst'!$G$7:$G$2010,$D30,'LAC 102_Wkst'!$L$7:$L$2010,"04",'LAC 102_Wkst'!$N$7:$N$2010,"P5")</f>
        <v>0</v>
      </c>
      <c r="Q30" s="411">
        <f>SUMIFS('LAC 102_Wkst'!$AF$7:$AF$2010,'LAC 102_Wkst'!$D$7:$D$2010,$C$7,'LAC 102_Wkst'!$I$7:$I$2010,$C$9,'LAC 102_Wkst'!$E$7:$E$2010,$C30,'LAC 102_Wkst'!$G$7:$G$2010,$D30,'LAC 102_Wkst'!$L$7:$L$2010,"03",'LAC 102_Wkst'!$N$7:$N$2010,"P5")+SUMIFS('LAC 102_Wkst'!$AF$7:$AF$2010,'LAC 102_Wkst'!$D$7:$D$2010,$C$7,'LAC 102_Wkst'!$I$7:$I$2010,$C$9,'LAC 102_Wkst'!$E$7:$E$2010,$C30,'LAC 102_Wkst'!$G$7:$G$2010,$D30,'LAC 102_Wkst'!$L$7:$L$2010,"04",'LAC 102_Wkst'!$N$7:$N$2010,"P5")</f>
        <v>0</v>
      </c>
      <c r="R30" s="412">
        <f>SUMIFS('LAC 102_Wkst'!$Q$7:$Q$2010,'LAC 102_Wkst'!$D$7:$D$2010,$C$7,'LAC 102_Wkst'!$I$7:$I$2010,$C$9,'LAC 102_Wkst'!$E$7:$E$2010,$C30,'LAC 102_Wkst'!$G$7:$G$2010,$D30,'LAC 102_Wkst'!$L$7:$L$2010,"05",'LAC 102_Wkst'!$N$7:$N$2010,"P1")+SUMIFS('LAC 102_Wkst'!$Q$7:$Q$2010,'LAC 102_Wkst'!$D$7:$D$2010,$C$7,'LAC 102_Wkst'!$I$7:$I$2010,$C$9,'LAC 102_Wkst'!$E$7:$E$2010,$C30,'LAC 102_Wkst'!$G$7:$G$2010,$D30,'LAC 102_Wkst'!$L$7:$L$2010,"06",'LAC 102_Wkst'!$N$7:$N$2010,"P1")</f>
        <v>0</v>
      </c>
      <c r="S30" s="411">
        <f>SUMIFS('LAC 102_Wkst'!$AF$7:$AF$2010,'LAC 102_Wkst'!$D$7:$D$2010,$C$7,'LAC 102_Wkst'!$I$7:$I$2010,$C$9,'LAC 102_Wkst'!$E$7:$E$2010,$C30,'LAC 102_Wkst'!$G$7:$G$2010,$D30,'LAC 102_Wkst'!$L$7:$L$2010,"05",'LAC 102_Wkst'!$N$7:$N$2010,"P1")+SUMIFS('LAC 102_Wkst'!$AF$7:$AF$2010,'LAC 102_Wkst'!$D$7:$D$2010,$C$7,'LAC 102_Wkst'!$I$7:$I$2010,$C$9,'LAC 102_Wkst'!$E$7:$E$2010,$C30,'LAC 102_Wkst'!$G$7:$G$2010,$D30,'LAC 102_Wkst'!$L$7:$L$2010,"06",'LAC 102_Wkst'!$N$7:$N$2010,"P1")</f>
        <v>0</v>
      </c>
      <c r="T30" s="410">
        <f>SUMIFS('LAC 102_Wkst'!$Q$7:$Q$2010,'LAC 102_Wkst'!$D$7:$D$2010,$C$7,'LAC 102_Wkst'!$I$7:$I$2010,$C$9,'LAC 102_Wkst'!$E$7:$E$2010,$C30,'LAC 102_Wkst'!$G$7:$G$2010,$D30,'LAC 102_Wkst'!$L$7:$L$2010,"05",'LAC 102_Wkst'!$N$7:$N$2010,"P2")+SUMIFS('LAC 102_Wkst'!$Q$7:$Q$2010,'LAC 102_Wkst'!$D$7:$D$2010,$C$7,'LAC 102_Wkst'!$I$7:$I$2010,$C$9,'LAC 102_Wkst'!$E$7:$E$2010,$C30,'LAC 102_Wkst'!$G$7:$G$2010,$D30,'LAC 102_Wkst'!$L$7:$L$2010,"06",'LAC 102_Wkst'!$N$7:$N$2010,"P2")+SUMIFS('LAC 102_Wkst'!$Q$7:$Q$2010,'LAC 102_Wkst'!$D$7:$D$2010,$C$7,'LAC 102_Wkst'!$I$7:$I$2010,$C$9,'LAC 102_Wkst'!$E$7:$E$2010,$C30,'LAC 102_Wkst'!$G$7:$G$2010,$D30,'LAC 102_Wkst'!$L$7:$L$2010,"05",'LAC 102_Wkst'!$N$7:$N$2010,"P3")+SUMIFS('LAC 102_Wkst'!$Q$7:$Q$2010,'LAC 102_Wkst'!$D$7:$D$2010,$C$7,'LAC 102_Wkst'!$I$7:$I$2010,$C$9,'LAC 102_Wkst'!$E$7:$E$2010,$C30,'LAC 102_Wkst'!$G$7:$G$2010,$D30,'LAC 102_Wkst'!$L$7:$L$2010,"06",'LAC 102_Wkst'!$N$7:$N$2010,"P3")</f>
        <v>0</v>
      </c>
      <c r="U30" s="411">
        <f>SUMIFS('LAC 102_Wkst'!$AF$7:$AF$2010,'LAC 102_Wkst'!$D$7:$D$2010,$C$7,'LAC 102_Wkst'!$I$7:$I$2010,$C$9,'LAC 102_Wkst'!$E$7:$E$2010,$C30,'LAC 102_Wkst'!$G$7:$G$2010,$D30,'LAC 102_Wkst'!$L$7:$L$2010,"05",'LAC 102_Wkst'!$N$7:$N$2010,"P2")+SUMIFS('LAC 102_Wkst'!$AF$7:$AF$2010,'LAC 102_Wkst'!$D$7:$D$2010,$C$7,'LAC 102_Wkst'!$I$7:$I$2010,$C$9,'LAC 102_Wkst'!$E$7:$E$2010,$C30,'LAC 102_Wkst'!$G$7:$G$2010,$D30,'LAC 102_Wkst'!$L$7:$L$2010,"06",'LAC 102_Wkst'!$N$7:$N$2010,"P2")+SUMIFS('LAC 102_Wkst'!$AF$7:$AF$2010,'LAC 102_Wkst'!$D$7:$D$2010,$C$7,'LAC 102_Wkst'!$I$7:$I$2010,$C$9,'LAC 102_Wkst'!$E$7:$E$2010,$C30,'LAC 102_Wkst'!$G$7:$G$2010,$D30,'LAC 102_Wkst'!$L$7:$L$2010,"05",'LAC 102_Wkst'!$N$7:$N$2010,"P3")+SUMIFS('LAC 102_Wkst'!$AF$7:$AF$2010,'LAC 102_Wkst'!$D$7:$D$2010,$C$7,'LAC 102_Wkst'!$I$7:$I$2010,$C$9,'LAC 102_Wkst'!$E$7:$E$2010,$C30,'LAC 102_Wkst'!$G$7:$G$2010,$D30,'LAC 102_Wkst'!$L$7:$L$2010,"06",'LAC 102_Wkst'!$N$7:$N$2010,"P3")</f>
        <v>0</v>
      </c>
      <c r="V30" s="410">
        <f>SUMIFS('LAC 102_Wkst'!$Q$7:$Q$2010,'LAC 102_Wkst'!$D$7:$D$2010,$C$7,'LAC 102_Wkst'!$I$7:$I$2010,$C$9,'LAC 102_Wkst'!$E$7:$E$2010,$C30,'LAC 102_Wkst'!$G$7:$G$2010,$D30,'LAC 102_Wkst'!$L$7:$L$2010,"05",'LAC 102_Wkst'!$N$7:$N$2010,"P4")+SUMIFS('LAC 102_Wkst'!$Q$7:$Q$2010,'LAC 102_Wkst'!$D$7:$D$2010,$C$7,'LAC 102_Wkst'!$I$7:$I$2010,$C$9,'LAC 102_Wkst'!$E$7:$E$2010,$C30,'LAC 102_Wkst'!$G$7:$G$2010,$D30,'LAC 102_Wkst'!$L$7:$L$2010,"06",'LAC 102_Wkst'!$N$7:$N$2010,"P4")</f>
        <v>0</v>
      </c>
      <c r="W30" s="411">
        <f>SUMIFS('LAC 102_Wkst'!$AF$7:$AF$2010,'LAC 102_Wkst'!$D$7:$D$2010,$C$7,'LAC 102_Wkst'!$I$7:$I$2010,$C$9,'LAC 102_Wkst'!$E$7:$E$2010,$C30,'LAC 102_Wkst'!$G$7:$G$2010,$D30,'LAC 102_Wkst'!$L$7:$L$2010,"05",'LAC 102_Wkst'!$N$7:$N$2010,"P4")+SUMIFS('LAC 102_Wkst'!$AF$7:$AF$2010,'LAC 102_Wkst'!$D$7:$D$2010,$C$7,'LAC 102_Wkst'!$I$7:$I$2010,$C$9,'LAC 102_Wkst'!$E$7:$E$2010,$C30,'LAC 102_Wkst'!$G$7:$G$2010,$D30,'LAC 102_Wkst'!$L$7:$L$2010,"06",'LAC 102_Wkst'!$N$7:$N$2010,"P4")</f>
        <v>0</v>
      </c>
      <c r="X30" s="404">
        <f>SUMIFS('LAC 102_Wkst'!$Q$7:$Q$2010,'LAC 102_Wkst'!$D$7:$D$2010,$C$7,'LAC 102_Wkst'!$I$7:$I$2010,$C$9,'LAC 102_Wkst'!$E$7:$E$2010,$C30,'LAC 102_Wkst'!$G$7:$G$2010,$D30,'LAC 102_Wkst'!$L$7:$L$2010,"05",'LAC 102_Wkst'!$N$7:$N$2010,"P5")+SUMIFS('LAC 102_Wkst'!$Q$7:$Q$2010,'LAC 102_Wkst'!$D$7:$D$2010,$C$7,'LAC 102_Wkst'!$I$7:$I$2010,$C$9,'LAC 102_Wkst'!$E$7:$E$2010,$C30,'LAC 102_Wkst'!$G$7:$G$2010,$D30,'LAC 102_Wkst'!$L$7:$L$2010,"06",'LAC 102_Wkst'!$N$7:$N$2010,"P5")</f>
        <v>0</v>
      </c>
      <c r="Y30" s="411">
        <f>SUMIFS('LAC 102_Wkst'!$AF$7:$AF$2010,'LAC 102_Wkst'!$D$7:$D$2010,$C$7,'LAC 102_Wkst'!$I$7:$I$2010,$C$9,'LAC 102_Wkst'!$E$7:$E$2010,$C30,'LAC 102_Wkst'!$G$7:$G$2010,$D30,'LAC 102_Wkst'!$L$7:$L$2010,"05",'LAC 102_Wkst'!$N$7:$N$2010,"P5")+SUMIFS('LAC 102_Wkst'!$AF$7:$AF$2010,'LAC 102_Wkst'!$D$7:$D$2010,$C$7,'LAC 102_Wkst'!$I$7:$I$2010,$C$9,'LAC 102_Wkst'!$E$7:$E$2010,$C30,'LAC 102_Wkst'!$G$7:$G$2010,$D30,'LAC 102_Wkst'!$L$7:$L$2010,"06",'LAC 102_Wkst'!$N$7:$N$2010,"P5")</f>
        <v>0</v>
      </c>
      <c r="Z30" s="410">
        <f>SUMIFS('LAC 102_Wkst'!$Q$7:$Q$2010,'LAC 102_Wkst'!$D$7:$D$2010,$C$7,'LAC 102_Wkst'!$I$7:$I$2010,$C$9,'LAC 102_Wkst'!$E$7:$E$2010,$C30,'LAC 102_Wkst'!$G$7:$G$2010,$D30,'LAC 102_Wkst'!$L$7:$L$2010,"07",'LAC 102_Wkst'!$N$7:$N$2010,"P1")+SUMIFS('LAC 102_Wkst'!$Q$7:$Q$2010,'LAC 102_Wkst'!$D$7:$D$2010,$C$7,'LAC 102_Wkst'!$I$7:$I$2010,$C$9,'LAC 102_Wkst'!$E$7:$E$2010,$C30,'LAC 102_Wkst'!$G$7:$G$2010,$D30,'LAC 102_Wkst'!$L$7:$L$2010,"07",'LAC 102_Wkst'!$N$7:$N$2010,"P2")+SUMIFS('LAC 102_Wkst'!$Q$7:$Q$2010,'LAC 102_Wkst'!$D$7:$D$2010,$C$7,'LAC 102_Wkst'!$I$7:$I$2010,$C$9,'LAC 102_Wkst'!$E$7:$E$2010,$C30,'LAC 102_Wkst'!$G$7:$G$2010,$D30,'LAC 102_Wkst'!$L$7:$L$2010,"07",'LAC 102_Wkst'!$N$7:$N$2010,"P3")</f>
        <v>0</v>
      </c>
      <c r="AA30" s="411">
        <f>SUMIFS('LAC 102_Wkst'!$AF$7:$AF$2010,'LAC 102_Wkst'!$D$7:$D$2010,$C$7,'LAC 102_Wkst'!$I$7:$I$2010,$C$9,'LAC 102_Wkst'!$E$7:$E$2010,$C30,'LAC 102_Wkst'!$G$7:$G$2010,$D30,'LAC 102_Wkst'!$L$7:$L$2010,"07",'LAC 102_Wkst'!$N$7:$N$2010,"P1")+SUMIFS('LAC 102_Wkst'!$AF$7:$AF$2010,'LAC 102_Wkst'!$D$7:$D$2010,$C$7,'LAC 102_Wkst'!$I$7:$I$2010,$C$9,'LAC 102_Wkst'!$E$7:$E$2010,$C30,'LAC 102_Wkst'!$G$7:$G$2010,$D30,'LAC 102_Wkst'!$L$7:$L$2010,"07",'LAC 102_Wkst'!$N$7:$N$2010,"P2")+SUMIFS('LAC 102_Wkst'!$AF$7:$AF$2010,'LAC 102_Wkst'!$D$7:$D$2010,$C$7,'LAC 102_Wkst'!$I$7:$I$2010,$C$9,'LAC 102_Wkst'!$E$7:$E$2010,$C30,'LAC 102_Wkst'!$G$7:$G$2010,$D30,'LAC 102_Wkst'!$L$7:$L$2010,"07",'LAC 102_Wkst'!$N$7:$N$2010,"P3")</f>
        <v>0</v>
      </c>
      <c r="AB30" s="410">
        <f>SUMIFS('LAC 102_Wkst'!$Q$7:$Q$2010,'LAC 102_Wkst'!$D$7:$D$2010,$C$7,'LAC 102_Wkst'!$I$7:$I$2010,$C$9,'LAC 102_Wkst'!$E$7:$E$2010,$C30,'LAC 102_Wkst'!$G$7:$G$2010,$D30,'LAC 102_Wkst'!$L$7:$L$2010,"07",'LAC 102_Wkst'!$N$7:$N$2010,"P4")</f>
        <v>0</v>
      </c>
      <c r="AC30" s="411">
        <f>SUMIFS('LAC 102_Wkst'!$AF$7:$AF$2010,'LAC 102_Wkst'!$D$7:$D$2010,$C$7,'LAC 102_Wkst'!$I$7:$I$2010,$C$9,'LAC 102_Wkst'!$E$7:$E$2010,$C30,'LAC 102_Wkst'!$G$7:$G$2010,$D30,'LAC 102_Wkst'!$L$7:$L$2010,"07",'LAC 102_Wkst'!$N$7:$N$2010,"P4")</f>
        <v>0</v>
      </c>
      <c r="AD30" s="404">
        <f>SUMIFS('LAC 102_Wkst'!$Q$7:$Q$2010,'LAC 102_Wkst'!$D$7:$D$2010,$C$7,'LAC 102_Wkst'!$I$7:$I$2010,$C$9,'LAC 102_Wkst'!$E$7:$E$2010,$C30,'LAC 102_Wkst'!$G$7:$G$2010,$D30,'LAC 102_Wkst'!$L$7:$L$2010,"07",'LAC 102_Wkst'!$N$7:$N$2010,"P5")</f>
        <v>0</v>
      </c>
      <c r="AE30" s="411">
        <f>SUMIFS('LAC 102_Wkst'!$AF$7:$AF$2010,'LAC 102_Wkst'!$D$7:$D$2010,$C$7,'LAC 102_Wkst'!$I$7:$I$2010,$C$9,'LAC 102_Wkst'!$E$7:$E$2010,$C30,'LAC 102_Wkst'!$G$7:$G$2010,$D30,'LAC 102_Wkst'!$L$7:$L$2010,"07",'LAC 102_Wkst'!$N$7:$N$2010,"P5")</f>
        <v>0</v>
      </c>
      <c r="AF30" s="410">
        <f>SUMIFS('LAC 102_Wkst'!$Q$7:$Q$2010,'LAC 102_Wkst'!$D$7:$D$2010,$C$7,'LAC 102_Wkst'!$I$7:$I$2010,$C$9,'LAC 102_Wkst'!$E$7:$E$2010,$C30,'LAC 102_Wkst'!$G$7:$G$2010,$D30,'LAC 102_Wkst'!$L$7:$L$2010,"08",'LAC 102_Wkst'!$N$7:$N$2010,"P1")+SUMIFS('LAC 102_Wkst'!$Q$7:$Q$2010,'LAC 102_Wkst'!$D$7:$D$2010,$C$7,'LAC 102_Wkst'!$I$7:$I$2010,$C$9,'LAC 102_Wkst'!$E$7:$E$2010,$C30,'LAC 102_Wkst'!$G$7:$G$2010,$D30,'LAC 102_Wkst'!$L$7:$L$2010,"08",'LAC 102_Wkst'!$N$7:$N$2010,"P2")+SUMIFS('LAC 102_Wkst'!$Q$7:$Q$2010,'LAC 102_Wkst'!$D$7:$D$2010,$C$7,'LAC 102_Wkst'!$I$7:$I$2010,$C$9,'LAC 102_Wkst'!$E$7:$E$2010,$C30,'LAC 102_Wkst'!$G$7:$G$2010,$D30,'LAC 102_Wkst'!$L$7:$L$2010,"08",'LAC 102_Wkst'!$N$7:$N$2010,"P3")</f>
        <v>0</v>
      </c>
      <c r="AG30" s="411">
        <f>SUMIFS('LAC 102_Wkst'!$AF$7:$AF$2010,'LAC 102_Wkst'!$D$7:$D$2010,$C$7,'LAC 102_Wkst'!$I$7:$I$2010,$C$9,'LAC 102_Wkst'!$E$7:$E$2010,$C30,'LAC 102_Wkst'!$G$7:$G$2010,$D30,'LAC 102_Wkst'!$L$7:$L$2010,"08",'LAC 102_Wkst'!$N$7:$N$2010,"P1")+SUMIFS('LAC 102_Wkst'!$AF$7:$AF$2010,'LAC 102_Wkst'!$D$7:$D$2010,$C$7,'LAC 102_Wkst'!$I$7:$I$2010,$C$9,'LAC 102_Wkst'!$E$7:$E$2010,$C30,'LAC 102_Wkst'!$G$7:$G$2010,$D30,'LAC 102_Wkst'!$L$7:$L$2010,"08",'LAC 102_Wkst'!$N$7:$N$2010,"P2")+SUMIFS('LAC 102_Wkst'!$AF$7:$AF$2010,'LAC 102_Wkst'!$D$7:$D$2010,$C$7,'LAC 102_Wkst'!$I$7:$I$2010,$C$9,'LAC 102_Wkst'!$E$7:$E$2010,$C30,'LAC 102_Wkst'!$G$7:$G$2010,$D30,'LAC 102_Wkst'!$L$7:$L$2010,"08",'LAC 102_Wkst'!$N$7:$N$2010,"P3")</f>
        <v>0</v>
      </c>
      <c r="AH30" s="410">
        <f>SUMIFS('LAC 102_Wkst'!$Q$7:$Q$2010,'LAC 102_Wkst'!$D$7:$D$2010,$C$7,'LAC 102_Wkst'!$I$7:$I$2010,$C$9,'LAC 102_Wkst'!$E$7:$E$2010,$C30,'LAC 102_Wkst'!$G$7:$G$2010,$D30,'LAC 102_Wkst'!$L$7:$L$2010,"08",'LAC 102_Wkst'!$N$7:$N$2010,"P4")</f>
        <v>0</v>
      </c>
      <c r="AI30" s="411">
        <f>SUMIFS('LAC 102_Wkst'!$AF$7:$AF$2010,'LAC 102_Wkst'!$D$7:$D$2010,$C$7,'LAC 102_Wkst'!$I$7:$I$2010,$C$9,'LAC 102_Wkst'!$E$7:$E$2010,$C30,'LAC 102_Wkst'!$G$7:$G$2010,$D30,'LAC 102_Wkst'!$L$7:$L$2010,"08",'LAC 102_Wkst'!$N$7:$N$2010,"P4")</f>
        <v>0</v>
      </c>
      <c r="AJ30" s="404">
        <f>SUMIFS('LAC 102_Wkst'!$Q$7:$Q$2010,'LAC 102_Wkst'!$D$7:$D$2010,$C$7,'LAC 102_Wkst'!$I$7:$I$2010,$C$9,'LAC 102_Wkst'!$E$7:$E$2010,$C30,'LAC 102_Wkst'!$G$7:$G$2010,$D30,'LAC 102_Wkst'!$L$7:$L$2010,"08",'LAC 102_Wkst'!$N$7:$N$2010,"P5")</f>
        <v>0</v>
      </c>
      <c r="AK30" s="411">
        <f>SUMIFS('LAC 102_Wkst'!$AF$7:$AF$2010,'LAC 102_Wkst'!$D$7:$D$2010,$C$7,'LAC 102_Wkst'!$I$7:$I$2010,$C$9,'LAC 102_Wkst'!$E$7:$E$2010,$C30,'LAC 102_Wkst'!$G$7:$G$2010,$D30,'LAC 102_Wkst'!$L$7:$L$2010,"08",'LAC 102_Wkst'!$N$7:$N$2010,"P5")</f>
        <v>0</v>
      </c>
      <c r="AL30" s="410">
        <f>SUMIFS('LAC 102_Wkst'!$Q$7:$Q$2010,'LAC 102_Wkst'!$D$7:$D$2010,$C$7,'LAC 102_Wkst'!$I$7:$I$2010,$C$9,'LAC 102_Wkst'!$E$7:$E$2010,$C30,'LAC 102_Wkst'!$G$7:$G$2010,$D30,'LAC 102_Wkst'!$L$7:$L$2010,"09",'LAC 102_Wkst'!$N$7:$N$2010,"P1")+SUMIFS('LAC 102_Wkst'!$Q$7:$Q$2010,'LAC 102_Wkst'!$D$7:$D$2010,$C$7,'LAC 102_Wkst'!$I$7:$I$2010,$C$9,'LAC 102_Wkst'!$E$7:$E$2010,$C30,'LAC 102_Wkst'!$G$7:$G$2010,$D30,'LAC 102_Wkst'!$L$7:$L$2010,"09",'LAC 102_Wkst'!$N$7:$N$2010,"P2")+SUMIFS('LAC 102_Wkst'!$Q$7:$Q$2010,'LAC 102_Wkst'!$D$7:$D$2010,$C$7,'LAC 102_Wkst'!$I$7:$I$2010,$C$9,'LAC 102_Wkst'!$E$7:$E$2010,$C30,'LAC 102_Wkst'!$G$7:$G$2010,$D30,'LAC 102_Wkst'!$L$7:$L$2010,"09",'LAC 102_Wkst'!$N$7:$N$2010,"P3")+SUMIFS('LAC 102_Wkst'!$Q$7:$Q$2010,'LAC 102_Wkst'!$D$7:$D$2010,$C$7,'LAC 102_Wkst'!$I$7:$I$2010,$C$9,'LAC 102_Wkst'!$E$7:$E$2010,$C30,'LAC 102_Wkst'!$G$7:$G$2010,$D30,'LAC 102_Wkst'!$L$7:$L$2010,"09",'LAC 102_Wkst'!$N$7:$N$2010,"P4")</f>
        <v>0</v>
      </c>
      <c r="AM30" s="411">
        <f>SUMIFS('LAC 102_Wkst'!$AF$7:$AF$2010,'LAC 102_Wkst'!$D$7:$D$2010,$C$7,'LAC 102_Wkst'!$I$7:$I$2010,$C$9,'LAC 102_Wkst'!$E$7:$E$2010,$C30,'LAC 102_Wkst'!$G$7:$G$2010,$D30,'LAC 102_Wkst'!$L$7:$L$2010,"09",'LAC 102_Wkst'!$N$7:$N$2010,"P1")+SUMIFS('LAC 102_Wkst'!$AF$7:$AF$2010,'LAC 102_Wkst'!$D$7:$D$2010,$C$7,'LAC 102_Wkst'!$I$7:$I$2010,$C$9,'LAC 102_Wkst'!$E$7:$E$2010,$C30,'LAC 102_Wkst'!$G$7:$G$2010,$D30,'LAC 102_Wkst'!$L$7:$L$2010,"09",'LAC 102_Wkst'!$N$7:$N$2010,"P2")+SUMIFS('LAC 102_Wkst'!$AF$7:$AF$2010,'LAC 102_Wkst'!$D$7:$D$2010,$C$7,'LAC 102_Wkst'!$I$7:$I$2010,$C$9,'LAC 102_Wkst'!$E$7:$E$2010,$C30,'LAC 102_Wkst'!$G$7:$G$2010,$D30,'LAC 102_Wkst'!$L$7:$L$2010,"09",'LAC 102_Wkst'!$N$7:$N$2010,"P3")+SUMIFS('LAC 102_Wkst'!$AF$7:$AF$2010,'LAC 102_Wkst'!$D$7:$D$2010,$C$7,'LAC 102_Wkst'!$I$7:$I$2010,$C$9,'LAC 102_Wkst'!$E$7:$E$2010,$C30,'LAC 102_Wkst'!$G$7:$G$2010,$D30,'LAC 102_Wkst'!$L$7:$L$2010,"09",'LAC 102_Wkst'!$N$7:$N$2010,"P4")</f>
        <v>0</v>
      </c>
      <c r="AN30" s="410">
        <f>SUMIFS('LAC 102_Wkst'!$Q$7:$Q$2010,'LAC 102_Wkst'!$D$7:$D$2010,$C$7,'LAC 102_Wkst'!$I$7:$I$2010,$C$9,'LAC 102_Wkst'!$E$7:$E$2010,$C30,'LAC 102_Wkst'!$G$7:$G$2010,$D30,'LAC 102_Wkst'!$L$7:$L$2010,"09",'LAC 102_Wkst'!$N$7:$N$2010,"P5")</f>
        <v>0</v>
      </c>
      <c r="AO30" s="411">
        <f>SUMIFS('LAC 102_Wkst'!$AF$7:$AF$2010,'LAC 102_Wkst'!$D$7:$D$2010,$C$7,'LAC 102_Wkst'!$I$7:$I$2010,$C$9,'LAC 102_Wkst'!$E$7:$E$2010,$C30,'LAC 102_Wkst'!$G$7:$G$2010,$D30,'LAC 102_Wkst'!$L$7:$L$2010,"09",'LAC 102_Wkst'!$N$7:$N$2010,"P5")</f>
        <v>0</v>
      </c>
      <c r="AP30" s="404">
        <f>SUMIFS('LAC 102_Wkst'!$Q$7:$Q$2010,'LAC 102_Wkst'!$D$7:$D$2010,$C$7,'LAC 102_Wkst'!$I$7:$I$2010,$C$9,'LAC 102_Wkst'!$E$7:$E$2010,$C30,'LAC 102_Wkst'!$G$7:$G$2010,$D30,'LAC 102_Wkst'!$L$7:$L$2010,"10",'LAC 102_Wkst'!$N$7:$N$2010,"P1")+SUMIFS('LAC 102_Wkst'!$Q$7:$Q$2010,'LAC 102_Wkst'!$D$7:$D$2010,$C$7,'LAC 102_Wkst'!$I$7:$I$2010,$C$9,'LAC 102_Wkst'!$E$7:$E$2010,$C30,'LAC 102_Wkst'!$G$7:$G$2010,$D30,'LAC 102_Wkst'!$L$7:$L$2010,"10",'LAC 102_Wkst'!$N$7:$N$2010,"P2")+SUMIFS('LAC 102_Wkst'!$Q$7:$Q$2010,'LAC 102_Wkst'!$D$7:$D$2010,$C$7,'LAC 102_Wkst'!$I$7:$I$2010,$C$9,'LAC 102_Wkst'!$E$7:$E$2010,$C30,'LAC 102_Wkst'!$G$7:$G$2010,$D30,'LAC 102_Wkst'!$L$7:$L$2010,"10",'LAC 102_Wkst'!$N$7:$N$2010,"P3")+SUMIFS('LAC 102_Wkst'!$Q$7:$Q$2010,'LAC 102_Wkst'!$D$7:$D$2010,$C$7,'LAC 102_Wkst'!$I$7:$I$2010,$C$9,'LAC 102_Wkst'!$E$7:$E$2010,$C30,'LAC 102_Wkst'!$G$7:$G$2010,$D30,'LAC 102_Wkst'!$L$7:$L$2010,"10",'LAC 102_Wkst'!$N$7:$N$2010,"P4")</f>
        <v>10506</v>
      </c>
      <c r="AQ30" s="411">
        <f>SUMIFS('LAC 102_Wkst'!$AF$7:$AF$2010,'LAC 102_Wkst'!$D$7:$D$2010,$C$7,'LAC 102_Wkst'!$I$7:$I$2010,$C$9,'LAC 102_Wkst'!$E$7:$E$2010,$C30,'LAC 102_Wkst'!$G$7:$G$2010,$D30,'LAC 102_Wkst'!$L$7:$L$2010,"10",'LAC 102_Wkst'!$N$7:$N$2010,"P1")+SUMIFS('LAC 102_Wkst'!$AF$7:$AF$2010,'LAC 102_Wkst'!$D$7:$D$2010,$C$7,'LAC 102_Wkst'!$I$7:$I$2010,$C$9,'LAC 102_Wkst'!$E$7:$E$2010,$C30,'LAC 102_Wkst'!$G$7:$G$2010,$D30,'LAC 102_Wkst'!$L$7:$L$2010,"10",'LAC 102_Wkst'!$N$7:$N$2010,"P2")+SUMIFS('LAC 102_Wkst'!$AF$7:$AF$2010,'LAC 102_Wkst'!$D$7:$D$2010,$C$7,'LAC 102_Wkst'!$I$7:$I$2010,$C$9,'LAC 102_Wkst'!$E$7:$E$2010,$C30,'LAC 102_Wkst'!$G$7:$G$2010,$D30,'LAC 102_Wkst'!$L$7:$L$2010,"10",'LAC 102_Wkst'!$N$7:$N$2010,"P3")+SUMIFS('LAC 102_Wkst'!$AF$7:$AF$2010,'LAC 102_Wkst'!$D$7:$D$2010,$C$7,'LAC 102_Wkst'!$I$7:$I$2010,$C$9,'LAC 102_Wkst'!$E$7:$E$2010,$C30,'LAC 102_Wkst'!$G$7:$G$2010,$D30,'LAC 102_Wkst'!$L$7:$L$2010,"10",'LAC 102_Wkst'!$N$7:$N$2010,"P4")</f>
        <v>33697.050546198901</v>
      </c>
      <c r="AR30" s="410">
        <f>SUMIFS('LAC 102_Wkst'!$Q$7:$Q$2010,'LAC 102_Wkst'!$D$7:$D$2010,$C$7,'LAC 102_Wkst'!$I$7:$I$2010,$C$9,'LAC 102_Wkst'!$E$7:$E$2010,$C30,'LAC 102_Wkst'!$G$7:$G$2010,$D30,'LAC 102_Wkst'!$L$7:$L$2010,"10",'LAC 102_Wkst'!$N$7:$N$2010,"P5")</f>
        <v>0</v>
      </c>
      <c r="AS30" s="411">
        <f>SUMIFS('LAC 102_Wkst'!$AF$7:$AF$2010,'LAC 102_Wkst'!$D$7:$D$2010,$C$7,'LAC 102_Wkst'!$I$7:$I$2010,$C$9,'LAC 102_Wkst'!$E$7:$E$2010,$C30,'LAC 102_Wkst'!$G$7:$G$2010,$D30,'LAC 102_Wkst'!$L$7:$L$2010,"10",'LAC 102_Wkst'!$N$7:$N$2010,"P5")</f>
        <v>0</v>
      </c>
      <c r="AT30" s="410">
        <f>SUMIFS('LAC 102_Wkst'!$Q$7:$Q$2010,'LAC 102_Wkst'!$D$7:$D$2010,$C$7,'LAC 102_Wkst'!$I$7:$I$2010,$C$9,'LAC 102_Wkst'!$E$7:$E$2010,$C30,'LAC 102_Wkst'!$G$7:$G$2010,$D30,'LAC 102_Wkst'!$L$7:$L$2010,"11",'LAC 102_Wkst'!$N$7:$N$2010,"P1")+SUMIFS('LAC 102_Wkst'!$Q$7:$Q$2010,'LAC 102_Wkst'!$D$7:$D$2010,$C$7,'LAC 102_Wkst'!$I$7:$I$2010,$C$9,'LAC 102_Wkst'!$E$7:$E$2010,$C30,'LAC 102_Wkst'!$G$7:$G$2010,$D30,'LAC 102_Wkst'!$L$7:$L$2010,"12",'LAC 102_Wkst'!$N$7:$N$2010,"P1")</f>
        <v>0</v>
      </c>
      <c r="AU30" s="411">
        <f>SUMIFS('LAC 102_Wkst'!$Q$7:$Q$2010,'LAC 102_Wkst'!$D$7:$D$2010,$C$7,'LAC 102_Wkst'!$I$7:$I$2010,$C$9,'LAC 102_Wkst'!$E$7:$E$2010,$C30,'LAC 102_Wkst'!$G$7:$G$2010,$D30,'LAC 102_Wkst'!$L$7:$L$2010,"13",'LAC 102_Wkst'!$N$7:$N$2010,"P5")</f>
        <v>0</v>
      </c>
      <c r="AV30" s="404">
        <f>SUMIFS('LAC 102_Wkst'!$Q$7:$Q$2010,'LAC 102_Wkst'!$D$7:$D$2010,$C$7,'LAC 102_Wkst'!$I$7:$I$2010,$C$9,'LAC 102_Wkst'!$E$7:$E$2010,$C30,'LAC 102_Wkst'!$G$7:$G$2010,$D30,'LAC 102_Wkst'!$L$7:$L$2010,"11",'LAC 102_Wkst'!$N$7:$N$2010,"P2")+SUMIFS('LAC 102_Wkst'!$Q$7:$Q$2010,'LAC 102_Wkst'!$D$7:$D$2010,$C$7,'LAC 102_Wkst'!$I$7:$I$2010,$C$9,'LAC 102_Wkst'!$E$7:$E$2010,$C30,'LAC 102_Wkst'!$G$7:$G$2010,$D30,'LAC 102_Wkst'!$L$7:$L$2010,"12",'LAC 102_Wkst'!$N$7:$N$2010,"P2")+SUMIFS('LAC 102_Wkst'!$Q$7:$Q$2010,'LAC 102_Wkst'!$D$7:$D$2010,$C$7,'LAC 102_Wkst'!$I$7:$I$2010,$C$9,'LAC 102_Wkst'!$E$7:$E$2010,$C30,'LAC 102_Wkst'!$G$7:$G$2010,$D30,'LAC 102_Wkst'!$L$7:$L$2010,"11",'LAC 102_Wkst'!$N$7:$N$2010,"P3")+SUMIFS('LAC 102_Wkst'!$Q$7:$Q$2010,'LAC 102_Wkst'!$D$7:$D$2010,$C$7,'LAC 102_Wkst'!$I$7:$I$2010,$C$9,'LAC 102_Wkst'!$E$7:$E$2010,$C30,'LAC 102_Wkst'!$G$7:$G$2010,$D30,'LAC 102_Wkst'!$L$7:$L$2010,"12",'LAC 102_Wkst'!$N$7:$N$2010,"P3")</f>
        <v>0</v>
      </c>
      <c r="AW30" s="411">
        <f>SUMIFS('LAC 102_Wkst'!$AF$7:$AF$2010,'LAC 102_Wkst'!$D$7:$D$2010,$C$7,'LAC 102_Wkst'!$I$7:$I$2010,$C$9,'LAC 102_Wkst'!$E$7:$E$2010,$C30,'LAC 102_Wkst'!$G$7:$G$2010,$D30,'LAC 102_Wkst'!$L$7:$L$2010,"11",'LAC 102_Wkst'!$N$7:$N$2010,"P2")+SUMIFS('LAC 102_Wkst'!$AF$7:$AF$2010,'LAC 102_Wkst'!$D$7:$D$2010,$C$7,'LAC 102_Wkst'!$I$7:$I$2010,$C$9,'LAC 102_Wkst'!$E$7:$E$2010,$C30,'LAC 102_Wkst'!$G$7:$G$2010,$D30,'LAC 102_Wkst'!$L$7:$L$2010,"12",'LAC 102_Wkst'!$N$7:$N$2010,"P2")+SUMIFS('LAC 102_Wkst'!$AF$7:$AF$2010,'LAC 102_Wkst'!$D$7:$D$2010,$C$7,'LAC 102_Wkst'!$I$7:$I$2010,$C$9,'LAC 102_Wkst'!$E$7:$E$2010,$C30,'LAC 102_Wkst'!$G$7:$G$2010,$D30,'LAC 102_Wkst'!$L$7:$L$2010,"11",'LAC 102_Wkst'!$N$7:$N$2010,"P3")+SUMIFS('LAC 102_Wkst'!$AF$7:$AF$2010,'LAC 102_Wkst'!$D$7:$D$2010,$C$7,'LAC 102_Wkst'!$I$7:$I$2010,$C$9,'LAC 102_Wkst'!$E$7:$E$2010,$C30,'LAC 102_Wkst'!$G$7:$G$2010,$D30,'LAC 102_Wkst'!$L$7:$L$2010,"12",'LAC 102_Wkst'!$N$7:$N$2010,"P3")</f>
        <v>0</v>
      </c>
      <c r="AX30" s="404">
        <f>SUMIFS('LAC 102_Wkst'!$Q$7:$Q$2010,'LAC 102_Wkst'!$D$7:$D$2010,$C$7,'LAC 102_Wkst'!$I$7:$I$2010,$C$9,'LAC 102_Wkst'!$E$7:$E$2010,$C30,'LAC 102_Wkst'!$G$7:$G$2010,$D30,'LAC 102_Wkst'!$L$7:$L$2010,"11",'LAC 102_Wkst'!$N$7:$N$2010,"P4")+SUMIFS('LAC 102_Wkst'!$Q$7:$Q$2010,'LAC 102_Wkst'!$D$7:$D$2010,$C$7,'LAC 102_Wkst'!$I$7:$I$2010,$C$9,'LAC 102_Wkst'!$E$7:$E$2010,$C30,'LAC 102_Wkst'!$G$7:$G$2010,$D30,'LAC 102_Wkst'!$L$7:$L$2010,"12",'LAC 102_Wkst'!$N$7:$N$2010,"P4")</f>
        <v>0</v>
      </c>
      <c r="AY30" s="411">
        <f>SUMIFS('LAC 102_Wkst'!$AF$7:$AF$2010,'LAC 102_Wkst'!$D$7:$D$2010,$C$7,'LAC 102_Wkst'!$I$7:$I$2010,$C$9,'LAC 102_Wkst'!$E$7:$E$2010,$C30,'LAC 102_Wkst'!$G$7:$G$2010,$D30,'LAC 102_Wkst'!$L$7:$L$2010,"11",'LAC 102_Wkst'!$N$7:$N$2010,"P4")+SUMIFS('LAC 102_Wkst'!$AF$7:$AF$2010,'LAC 102_Wkst'!$D$7:$D$2010,$C$7,'LAC 102_Wkst'!$I$7:$I$2010,$C$9,'LAC 102_Wkst'!$E$7:$E$2010,$C30,'LAC 102_Wkst'!$G$7:$G$2010,$D30,'LAC 102_Wkst'!$L$7:$L$2010,"12",'LAC 102_Wkst'!$N$7:$N$2010,"P4")</f>
        <v>0</v>
      </c>
      <c r="AZ30" s="404">
        <f>SUMIFS('LAC 102_Wkst'!$Q$7:$Q$2010,'LAC 102_Wkst'!$D$7:$D$2010,$C$7,'LAC 102_Wkst'!$I$7:$I$2010,$C$9,'LAC 102_Wkst'!$E$7:$E$2010,$C30,'LAC 102_Wkst'!$G$7:$G$2010,$D30,'LAC 102_Wkst'!$L$7:$L$2010,"11",'LAC 102_Wkst'!$N$7:$N$2010,"P5")+SUMIFS('LAC 102_Wkst'!$Q$7:$Q$2010,'LAC 102_Wkst'!$D$7:$D$2010,$C$7,'LAC 102_Wkst'!$I$7:$I$2010,$C$9,'LAC 102_Wkst'!$E$7:$E$2010,$C30,'LAC 102_Wkst'!$G$7:$G$2010,$D30,'LAC 102_Wkst'!$L$7:$L$2010,"12",'LAC 102_Wkst'!$N$7:$N$2010,"P5")</f>
        <v>0</v>
      </c>
      <c r="BA30" s="411">
        <f>SUMIFS('LAC 102_Wkst'!$AF$7:$AF$2010,'LAC 102_Wkst'!$D$7:$D$2010,$C$7,'LAC 102_Wkst'!$I$7:$I$2010,$C$9,'LAC 102_Wkst'!$E$7:$E$2010,$C30,'LAC 102_Wkst'!$G$7:$G$2010,$D30,'LAC 102_Wkst'!$L$7:$L$2010,"11",'LAC 102_Wkst'!$N$7:$N$2010,"P5")+SUMIFS('LAC 102_Wkst'!$AF$7:$AF$2010,'LAC 102_Wkst'!$D$7:$D$2010,$C$7,'LAC 102_Wkst'!$I$7:$I$2010,$C$9,'LAC 102_Wkst'!$E$7:$E$2010,$C30,'LAC 102_Wkst'!$G$7:$G$2010,$D30,'LAC 102_Wkst'!$L$7:$L$2010,"12",'LAC 102_Wkst'!$N$7:$N$2010,"P5")</f>
        <v>0</v>
      </c>
      <c r="BB30" s="404">
        <f>SUMIFS('LAC 102_Wkst'!$Q$7:$Q$2010,'LAC 102_Wkst'!$D$7:$D$2010,$C$7,'LAC 102_Wkst'!$I$7:$I$2010,$C$9,'LAC 102_Wkst'!$E$7:$E$2010,$C30,'LAC 102_Wkst'!$G$7:$G$2010,$D30,'LAC 102_Wkst'!$L$7:$L$2010,"13",'LAC 102_Wkst'!$N$7:$N$2010,"P1")+SUMIFS('LAC 102_Wkst'!$Q$7:$Q$2010,'LAC 102_Wkst'!$D$7:$D$2010,$C$7,'LAC 102_Wkst'!$I$7:$I$2010,$C$9,'LAC 102_Wkst'!$E$7:$E$2010,$C30,'LAC 102_Wkst'!$G$7:$G$2010,$D30,'LAC 102_Wkst'!$L$7:$L$2010,"13",'LAC 102_Wkst'!$N$7:$N$2010,"P2")+SUMIFS('LAC 102_Wkst'!$Q$7:$Q$2010,'LAC 102_Wkst'!$D$7:$D$2010,$C$7,'LAC 102_Wkst'!$I$7:$I$2010,$C$9,'LAC 102_Wkst'!$E$7:$E$2010,$C30,'LAC 102_Wkst'!$G$7:$G$2010,$D30,'LAC 102_Wkst'!$L$7:$L$2010,"13",'LAC 102_Wkst'!$N$7:$N$2010,"P3")+SUMIFS('LAC 102_Wkst'!$Q$7:$Q$2010,'LAC 102_Wkst'!$D$7:$D$2010,$C$7,'LAC 102_Wkst'!$I$7:$I$2010,$C$9,'LAC 102_Wkst'!$E$7:$E$2010,$C30,'LAC 102_Wkst'!$G$7:$G$2010,$D30,'LAC 102_Wkst'!$L$7:$L$2010,"13",'LAC 102_Wkst'!$N$7:$N$2010,"P4")</f>
        <v>3891</v>
      </c>
      <c r="BC30" s="411">
        <f>SUMIFS('LAC 102_Wkst'!$AF$7:$AF$2010,'LAC 102_Wkst'!$D$7:$D$2010,$C$7,'LAC 102_Wkst'!$I$7:$I$2010,$C$9,'LAC 102_Wkst'!$E$7:$E$2010,$C30,'LAC 102_Wkst'!$G$7:$G$2010,$D30,'LAC 102_Wkst'!$L$7:$L$2010,"13",'LAC 102_Wkst'!$N$7:$N$2010,"P1")+SUMIFS('LAC 102_Wkst'!$AF$7:$AF$2010,'LAC 102_Wkst'!$D$7:$D$2010,$C$7,'LAC 102_Wkst'!$I$7:$I$2010,$C$9,'LAC 102_Wkst'!$E$7:$E$2010,$C30,'LAC 102_Wkst'!$G$7:$G$2010,$D30,'LAC 102_Wkst'!$L$7:$L$2010,"13",'LAC 102_Wkst'!$N$7:$N$2010,"P2")+SUMIFS('LAC 102_Wkst'!$AF$7:$AF$2010,'LAC 102_Wkst'!$D$7:$D$2010,$C$7,'LAC 102_Wkst'!$I$7:$I$2010,$C$9,'LAC 102_Wkst'!$E$7:$E$2010,$C30,'LAC 102_Wkst'!$G$7:$G$2010,$D30,'LAC 102_Wkst'!$L$7:$L$2010,"13",'LAC 102_Wkst'!$N$7:$N$2010,"P3")+SUMIFS('LAC 102_Wkst'!$AF$7:$AF$2010,'LAC 102_Wkst'!$D$7:$D$2010,$C$7,'LAC 102_Wkst'!$I$7:$I$2010,$C$9,'LAC 102_Wkst'!$E$7:$E$2010,$C30,'LAC 102_Wkst'!$G$7:$G$2010,$D30,'LAC 102_Wkst'!$L$7:$L$2010,"13",'LAC 102_Wkst'!$N$7:$N$2010,"P4")</f>
        <v>12480.032712284401</v>
      </c>
      <c r="BD30" s="404">
        <f>SUMIFS('LAC 102_Wkst'!$Q$7:$Q$2010,'LAC 102_Wkst'!$D$7:$D$2010,$C$7,'LAC 102_Wkst'!$I$7:$I$2010,$C$9,'LAC 102_Wkst'!$E$7:$E$2010,$C30,'LAC 102_Wkst'!$G$7:$G$2010,$D30,'LAC 102_Wkst'!$L$7:$L$2010,"13",'LAC 102_Wkst'!$N$7:$N$2010,"P5")</f>
        <v>0</v>
      </c>
      <c r="BE30" s="411">
        <f>SUMIFS('LAC 102_Wkst'!$AF$7:$AF$2010,'LAC 102_Wkst'!$D$7:$D$2010,$C$7,'LAC 102_Wkst'!$I$7:$I$2010,$C$9,'LAC 102_Wkst'!$E$7:$E$2010,$C30,'LAC 102_Wkst'!$G$7:$G$2010,$D30,'LAC 102_Wkst'!$L$7:$L$2010,"13",'LAC 102_Wkst'!$N$7:$N$2010,"P5")</f>
        <v>0</v>
      </c>
      <c r="BF30" s="407">
        <f t="shared" si="4"/>
        <v>35</v>
      </c>
      <c r="BG30" s="1654">
        <f>SUMIFS('LAC 102_Wkst'!$AF$7:$AF$2010,'LAC 102_Wkst'!$D$7:$D$2010,$C$7,'LAC 102_Wkst'!$I$7:$I$2010,$C$9,'LAC 102_Wkst'!$E$7:$E$2010,$C30,'LAC 102_Wkst'!$G$7:$G$2010,$D30,'LAC 102_Wkst'!$L$7:$L$2010,"14")</f>
        <v>112.25935361859523</v>
      </c>
    </row>
    <row r="31" spans="1:59" x14ac:dyDescent="0.2">
      <c r="A31" s="401">
        <v>9</v>
      </c>
      <c r="B31" s="1678" t="str">
        <f>IF(Schedule_B!B$28="","",Schedule_B!B$28)</f>
        <v>CR</v>
      </c>
      <c r="C31" s="1674" t="str">
        <f>IF(Schedule_B!C$28=""," ",Schedule_B!C$28)</f>
        <v>15</v>
      </c>
      <c r="D31" s="1675" t="str">
        <f>IF(Schedule_B!D$28=""," ",Schedule_B!D$28)</f>
        <v>57</v>
      </c>
      <c r="E31" s="1221">
        <f>SUMIFS('LAC 102_Wkst'!$Q$7:$Q$2010,'LAC 102_Wkst'!$D$7:$D$2010,$C$7,'LAC 102_Wkst'!$I$7:$I$2010,$C$9,'LAC 102_Wkst'!$E$7:$E$2010,$C31,'LAC 102_Wkst'!$G$7:$G$2010,$D31)</f>
        <v>0</v>
      </c>
      <c r="F31" s="408">
        <f>SUMIFS('LAC 102_Wkst'!$Q$7:$Q$2010,'LAC 102_Wkst'!$D$7:$D$2010,$C$7,'LAC 102_Wkst'!$I$7:$I$2010,$C$9,'LAC 102_Wkst'!$E$7:$E$2010,$C31,'LAC 102_Wkst'!$G$7:$G$2010,$D31,'LAC 102_Wkst'!$L$7:$L$2010,"01",'LAC 102_Wkst'!$N$7:$N$2010,"P1")+SUMIFS('LAC 102_Wkst'!$Q$7:$Q$2010,'LAC 102_Wkst'!$D$7:$D$2010,$C$7,'LAC 102_Wkst'!$I$7:$I$2010,$C$9,'LAC 102_Wkst'!$E$7:$E$2010,$C31,'LAC 102_Wkst'!$G$7:$G$2010,$D31,'LAC 102_Wkst'!$L$7:$L$2010,"01",'LAC 102_Wkst'!$N$7:$N$2010,"P2")+SUMIFS('LAC 102_Wkst'!$Q$7:$Q$2010,'LAC 102_Wkst'!$D$7:$D$2010,$C$7,'LAC 102_Wkst'!$I$7:$I$2010,$C$9,'LAC 102_Wkst'!$E$7:$E$2010,$C31,'LAC 102_Wkst'!$G$7:$G$2010,$D31,'LAC 102_Wkst'!$L$7:$L$2010,"01",'LAC 102_Wkst'!$N$7:$N$2010,"P3")+SUMIFS('LAC 102_Wkst'!$Q$7:$Q$2010,'LAC 102_Wkst'!$D$7:$D$2010,$C$7,'LAC 102_Wkst'!$I$7:$I$2010,$C$9,'LAC 102_Wkst'!$E$7:$E$2010,$C31,'LAC 102_Wkst'!$G$7:$G$2010,$D31,'LAC 102_Wkst'!$L$7:$L$2010,"02",'LAC 102_Wkst'!$N$7:$N$2010,"P1")+SUMIFS('LAC 102_Wkst'!$Q$7:$Q$2010,'LAC 102_Wkst'!$D$7:$D$2010,$C$7,'LAC 102_Wkst'!$I$7:$I$2010,$C$9,'LAC 102_Wkst'!$E$7:$E$2010,$C31,'LAC 102_Wkst'!$G$7:$G$2010,$D31,'LAC 102_Wkst'!$L$7:$L$2010,"02",'LAC 102_Wkst'!$N$7:$N$2010,"P2")+SUMIFS('LAC 102_Wkst'!$Q$7:$Q$2010,'LAC 102_Wkst'!$D$7:$D$2010,$C$7,'LAC 102_Wkst'!$I$7:$I$2010,$C$9,'LAC 102_Wkst'!$E$7:$E$2010,$C31,'LAC 102_Wkst'!$G$7:$G$2010,$D31,'LAC 102_Wkst'!$L$7:$L$2010,"02",'LAC 102_Wkst'!$N$7:$N$2010,"P3")</f>
        <v>0</v>
      </c>
      <c r="G31" s="409">
        <f>SUMIFS('LAC 102_Wkst'!$AF$7:$AF$2010,'LAC 102_Wkst'!$D$7:$D$2010,$C$7,'LAC 102_Wkst'!$I$7:$I$2010,$C$9,'LAC 102_Wkst'!$E$7:$E$2010,$C31,'LAC 102_Wkst'!$G$7:$G$2010,$D31,'LAC 102_Wkst'!$L$7:$L$2010,"01",'LAC 102_Wkst'!$N$7:$N$2010,"P1")+SUMIFS('LAC 102_Wkst'!$AF$7:$AF$2010,'LAC 102_Wkst'!$D$7:$D$2010,$C$7,'LAC 102_Wkst'!$I$7:$I$2010,$C$9,'LAC 102_Wkst'!$E$7:$E$2010,$C31,'LAC 102_Wkst'!$G$7:$G$2010,$D31,'LAC 102_Wkst'!$L$7:$L$2010,"01",'LAC 102_Wkst'!$N$7:$N$2010,"P2")+SUMIFS('LAC 102_Wkst'!$AF$7:$AF$2010,'LAC 102_Wkst'!$D$7:$D$2010,$C$7,'LAC 102_Wkst'!$I$7:$I$2010,$C$9,'LAC 102_Wkst'!$E$7:$E$2010,$C31,'LAC 102_Wkst'!$G$7:$G$2010,$D31,'LAC 102_Wkst'!$L$7:$L$2010,"01",'LAC 102_Wkst'!$N$7:$N$2010,"P3")+SUMIFS('LAC 102_Wkst'!$AF$7:$AF$2010,'LAC 102_Wkst'!$D$7:$D$2010,$C$7,'LAC 102_Wkst'!$I$7:$I$2010,$C$9,'LAC 102_Wkst'!$E$7:$E$2010,$C31,'LAC 102_Wkst'!$G$7:$G$2010,$D31,'LAC 102_Wkst'!$L$7:$L$2010,"02",'LAC 102_Wkst'!$N$7:$N$2010,"P1")+SUMIFS('LAC 102_Wkst'!$AF$7:$AF$2010,'LAC 102_Wkst'!$D$7:$D$2010,$C$7,'LAC 102_Wkst'!$I$7:$I$2010,$C$9,'LAC 102_Wkst'!$E$7:$E$2010,$C31,'LAC 102_Wkst'!$G$7:$G$2010,$D31,'LAC 102_Wkst'!$L$7:$L$2010,"02",'LAC 102_Wkst'!$N$7:$N$2010,"P2")+SUMIFS('LAC 102_Wkst'!$AF$7:$AF$2010,'LAC 102_Wkst'!$D$7:$D$2010,$C$7,'LAC 102_Wkst'!$I$7:$I$2010,$C$9,'LAC 102_Wkst'!$E$7:$E$2010,$C31,'LAC 102_Wkst'!$G$7:$G$2010,$D31,'LAC 102_Wkst'!$L$7:$L$2010,"02",'LAC 102_Wkst'!$N$7:$N$2010,"P3")</f>
        <v>0</v>
      </c>
      <c r="H31" s="410">
        <f>SUMIFS('LAC 102_Wkst'!$Q$7:$Q$2010,'LAC 102_Wkst'!$D$7:$D$2010,$C$7,'LAC 102_Wkst'!$I$7:$I$2010,$C$9,'LAC 102_Wkst'!$E$7:$E$2010,$C31,'LAC 102_Wkst'!$G$7:$G$2010,$D31,'LAC 102_Wkst'!$L$7:$L$2010,"01",'LAC 102_Wkst'!$N$7:$N$2010,"P4")+SUMIFS('LAC 102_Wkst'!$Q$7:$Q$2010,'LAC 102_Wkst'!$D$7:$D$2010,$C$7,'LAC 102_Wkst'!$I$7:$I$2010,$C$9,'LAC 102_Wkst'!$E$7:$E$2010,$C31,'LAC 102_Wkst'!$G$7:$G$2010,$D31,'LAC 102_Wkst'!$L$7:$L$2010,"02",'LAC 102_Wkst'!$N$7:$N$2010,"P4")</f>
        <v>0</v>
      </c>
      <c r="I31" s="411">
        <f>SUMIFS('LAC 102_Wkst'!$AF$7:$AF$2010,'LAC 102_Wkst'!$D$7:$D$2010,$C$7,'LAC 102_Wkst'!$I$7:$I$2010,$C$9,'LAC 102_Wkst'!$E$7:$E$2010,$C31,'LAC 102_Wkst'!$G$7:$G$2010,$D31,'LAC 102_Wkst'!$L$7:$L$2010,"01",'LAC 102_Wkst'!$N$7:$N$2010,"P4")+SUMIFS('LAC 102_Wkst'!$AF$7:$AF$2010,'LAC 102_Wkst'!$D$7:$D$2010,$C$7,'LAC 102_Wkst'!$I$7:$I$2010,$C$9,'LAC 102_Wkst'!$E$7:$E$2010,$C31,'LAC 102_Wkst'!$G$7:$G$2010,$D31,'LAC 102_Wkst'!$L$7:$L$2010,"02",'LAC 102_Wkst'!$N$7:$N$2010,"P4")</f>
        <v>0</v>
      </c>
      <c r="J31" s="410">
        <f>SUMIFS('LAC 102_Wkst'!$Q$7:$Q$2010,'LAC 102_Wkst'!$D$7:$D$2010,$C$7,'LAC 102_Wkst'!$I$7:$I$2010,$C$9,'LAC 102_Wkst'!$E$7:$E$2010,$C31,'LAC 102_Wkst'!$G$7:$G$2010,$D31,'LAC 102_Wkst'!$L$7:$L$2010,"01",'LAC 102_Wkst'!$N$7:$N$2010,"P5")+SUMIFS('LAC 102_Wkst'!$Q$7:$Q$2010,'LAC 102_Wkst'!$D$7:$D$2010,$C$7,'LAC 102_Wkst'!$I$7:$I$2010,$C$9,'LAC 102_Wkst'!$E$7:$E$2010,$C31,'LAC 102_Wkst'!$G$7:$G$2010,$D31,'LAC 102_Wkst'!$L$7:$L$2010,"02",'LAC 102_Wkst'!$N$7:$N$2010,"P5")</f>
        <v>0</v>
      </c>
      <c r="K31" s="411">
        <f>SUMIFS('LAC 102_Wkst'!$AF$7:$AF$2010,'LAC 102_Wkst'!$D$7:$D$2010,$C$7,'LAC 102_Wkst'!$I$7:$I$2010,$C$9,'LAC 102_Wkst'!$E$7:$E$2010,$C31,'LAC 102_Wkst'!$G$7:$G$2010,$D31,'LAC 102_Wkst'!$L$7:$L$2010,"01",'LAC 102_Wkst'!$N$7:$N$2010,"P5")+SUMIFS('LAC 102_Wkst'!$AF$7:$AF$2010,'LAC 102_Wkst'!$D$7:$D$2010,$C$7,'LAC 102_Wkst'!$I$7:$I$2010,$C$9,'LAC 102_Wkst'!$E$7:$E$2010,$C31,'LAC 102_Wkst'!$G$7:$G$2010,$D31,'LAC 102_Wkst'!$L$7:$L$2010,"02",'LAC 102_Wkst'!$N$7:$N$2010,"P5")</f>
        <v>0</v>
      </c>
      <c r="L31" s="410">
        <f>SUMIFS('LAC 102_Wkst'!$Q$7:$Q$2010,'LAC 102_Wkst'!$D$7:$D$2010,$C$7,'LAC 102_Wkst'!$I$7:$I$2010,$C$9,'LAC 102_Wkst'!$E$7:$E$2010,$C31,'LAC 102_Wkst'!$G$7:$G$2010,$D31,'LAC 102_Wkst'!$L$7:$L$2010,"03",'LAC 102_Wkst'!$N$7:$N$2010,"P1")+SUMIFS('LAC 102_Wkst'!$Q$7:$Q$2010,'LAC 102_Wkst'!$D$7:$D$2010,$C$7,'LAC 102_Wkst'!$I$7:$I$2010,$C$9,'LAC 102_Wkst'!$E$7:$E$2010,$C31,'LAC 102_Wkst'!$G$7:$G$2010,$D31,'LAC 102_Wkst'!$L$7:$L$2010,"03",'LAC 102_Wkst'!$N$7:$N$2010,"P2")+SUMIFS('LAC 102_Wkst'!$Q$7:$Q$2010,'LAC 102_Wkst'!$D$7:$D$2010,$C$7,'LAC 102_Wkst'!$I$7:$I$2010,$C$9,'LAC 102_Wkst'!$E$7:$E$2010,$C31,'LAC 102_Wkst'!$G$7:$G$2010,$D31,'LAC 102_Wkst'!$L$7:$L$2010,"03",'LAC 102_Wkst'!$N$7:$N$2010,"P3")+SUMIFS('LAC 102_Wkst'!$Q$7:$Q$2010,'LAC 102_Wkst'!$D$7:$D$2010,$C$7,'LAC 102_Wkst'!$I$7:$I$2010,$C$9,'LAC 102_Wkst'!$E$7:$E$2010,$C31,'LAC 102_Wkst'!$G$7:$G$2010,$D31,'LAC 102_Wkst'!$L$7:$L$2010,"04",'LAC 102_Wkst'!$N$7:$N$2010,"P1")+SUMIFS('LAC 102_Wkst'!$Q$7:$Q$2010,'LAC 102_Wkst'!$D$7:$D$2010,$C$7,'LAC 102_Wkst'!$I$7:$I$2010,$C$9,'LAC 102_Wkst'!$E$7:$E$2010,$C31,'LAC 102_Wkst'!$G$7:$G$2010,$D31,'LAC 102_Wkst'!$L$7:$L$2010,"04",'LAC 102_Wkst'!$N$7:$N$2010,"P2")+SUMIFS('LAC 102_Wkst'!$Q$7:$Q$2010,'LAC 102_Wkst'!$D$7:$D$2010,$C$7,'LAC 102_Wkst'!$I$7:$I$2010,$C$9,'LAC 102_Wkst'!$E$7:$E$2010,$C31,'LAC 102_Wkst'!$G$7:$G$2010,$D31,'LAC 102_Wkst'!$L$7:$L$2010,"04",'LAC 102_Wkst'!$N$7:$N$2010,"P3")</f>
        <v>0</v>
      </c>
      <c r="M31" s="411">
        <f>SUMIFS('LAC 102_Wkst'!$AF$7:$AF$2010,'LAC 102_Wkst'!$D$7:$D$2010,$C$7,'LAC 102_Wkst'!$I$7:$I$2010,$C$9,'LAC 102_Wkst'!$E$7:$E$2010,$C31,'LAC 102_Wkst'!$G$7:$G$2010,$D31,'LAC 102_Wkst'!$L$7:$L$2010,"03",'LAC 102_Wkst'!$N$7:$N$2010,"P1")+SUMIFS('LAC 102_Wkst'!$AF$7:$AF$2010,'LAC 102_Wkst'!$D$7:$D$2010,$C$7,'LAC 102_Wkst'!$I$7:$I$2010,$C$9,'LAC 102_Wkst'!$E$7:$E$2010,$C31,'LAC 102_Wkst'!$G$7:$G$2010,$D31,'LAC 102_Wkst'!$L$7:$L$2010,"03",'LAC 102_Wkst'!$N$7:$N$2010,"P2")+SUMIFS('LAC 102_Wkst'!$AF$7:$AF$2010,'LAC 102_Wkst'!$D$7:$D$2010,$C$7,'LAC 102_Wkst'!$I$7:$I$2010,$C$9,'LAC 102_Wkst'!$E$7:$E$2010,$C31,'LAC 102_Wkst'!$G$7:$G$2010,$D31,'LAC 102_Wkst'!$L$7:$L$2010,"03",'LAC 102_Wkst'!$N$7:$N$2010,"P3")+SUMIFS('LAC 102_Wkst'!$AF$7:$AF$2010,'LAC 102_Wkst'!$D$7:$D$2010,$C$7,'LAC 102_Wkst'!$I$7:$I$2010,$C$9,'LAC 102_Wkst'!$E$7:$E$2010,$C31,'LAC 102_Wkst'!$G$7:$G$2010,$D31,'LAC 102_Wkst'!$L$7:$L$2010,"04",'LAC 102_Wkst'!$N$7:$N$2010,"P1")+SUMIFS('LAC 102_Wkst'!$AF$7:$AF$2010,'LAC 102_Wkst'!$D$7:$D$2010,$C$7,'LAC 102_Wkst'!$I$7:$I$2010,$C$9,'LAC 102_Wkst'!$E$7:$E$2010,$C31,'LAC 102_Wkst'!$G$7:$G$2010,$D31,'LAC 102_Wkst'!$L$7:$L$2010,"04",'LAC 102_Wkst'!$N$7:$N$2010,"P2")+SUMIFS('LAC 102_Wkst'!$AF$7:$AF$2010,'LAC 102_Wkst'!$D$7:$D$2010,$C$7,'LAC 102_Wkst'!$I$7:$I$2010,$C$9,'LAC 102_Wkst'!$E$7:$E$2010,$C31,'LAC 102_Wkst'!$G$7:$G$2010,$D31,'LAC 102_Wkst'!$L$7:$L$2010,"04",'LAC 102_Wkst'!$N$7:$N$2010,"P3")</f>
        <v>0</v>
      </c>
      <c r="N31" s="410">
        <f>SUMIFS('LAC 102_Wkst'!$Q$7:$Q$2010,'LAC 102_Wkst'!$D$7:$D$2010,$C$7,'LAC 102_Wkst'!$I$7:$I$2010,$C$9,'LAC 102_Wkst'!$E$7:$E$2010,$C31,'LAC 102_Wkst'!$G$7:$G$2010,$D31,'LAC 102_Wkst'!$L$7:$L$2010,"03",'LAC 102_Wkst'!$N$7:$N$2010,"P4")+SUMIFS('LAC 102_Wkst'!$Q$7:$Q$2010,'LAC 102_Wkst'!$D$7:$D$2010,$C$7,'LAC 102_Wkst'!$I$7:$I$2010,$C$9,'LAC 102_Wkst'!$E$7:$E$2010,$C31,'LAC 102_Wkst'!$G$7:$G$2010,$D31,'LAC 102_Wkst'!$L$7:$L$2010,"04",'LAC 102_Wkst'!$N$7:$N$2010,"P4")</f>
        <v>0</v>
      </c>
      <c r="O31" s="411">
        <f>SUMIFS('LAC 102_Wkst'!$AF$7:$AF$2010,'LAC 102_Wkst'!$D$7:$D$2010,$C$7,'LAC 102_Wkst'!$I$7:$I$2010,$C$9,'LAC 102_Wkst'!$E$7:$E$2010,$C31,'LAC 102_Wkst'!$G$7:$G$2010,$D31,'LAC 102_Wkst'!$L$7:$L$2010,"03",'LAC 102_Wkst'!$N$7:$N$2010,"P4")+SUMIFS('LAC 102_Wkst'!$AF$7:$AF$2010,'LAC 102_Wkst'!$D$7:$D$2010,$C$7,'LAC 102_Wkst'!$I$7:$I$2010,$C$9,'LAC 102_Wkst'!$E$7:$E$2010,$C31,'LAC 102_Wkst'!$G$7:$G$2010,$D31,'LAC 102_Wkst'!$L$7:$L$2010,"04",'LAC 102_Wkst'!$N$7:$N$2010,"P4")</f>
        <v>0</v>
      </c>
      <c r="P31" s="404">
        <f>SUMIFS('LAC 102_Wkst'!$Q$7:$Q$2010,'LAC 102_Wkst'!$D$7:$D$2010,$C$7,'LAC 102_Wkst'!$I$7:$I$2010,$C$9,'LAC 102_Wkst'!$E$7:$E$2010,$C31,'LAC 102_Wkst'!$G$7:$G$2010,$D31,'LAC 102_Wkst'!$L$7:$L$2010,"03",'LAC 102_Wkst'!$N$7:$N$2010,"P5")+SUMIFS('LAC 102_Wkst'!$Q$7:$Q$2010,'LAC 102_Wkst'!$D$7:$D$2010,$C$7,'LAC 102_Wkst'!$I$7:$I$2010,$C$9,'LAC 102_Wkst'!$E$7:$E$2010,$C31,'LAC 102_Wkst'!$G$7:$G$2010,$D31,'LAC 102_Wkst'!$L$7:$L$2010,"04",'LAC 102_Wkst'!$N$7:$N$2010,"P5")</f>
        <v>0</v>
      </c>
      <c r="Q31" s="411">
        <f>SUMIFS('LAC 102_Wkst'!$AF$7:$AF$2010,'LAC 102_Wkst'!$D$7:$D$2010,$C$7,'LAC 102_Wkst'!$I$7:$I$2010,$C$9,'LAC 102_Wkst'!$E$7:$E$2010,$C31,'LAC 102_Wkst'!$G$7:$G$2010,$D31,'LAC 102_Wkst'!$L$7:$L$2010,"03",'LAC 102_Wkst'!$N$7:$N$2010,"P5")+SUMIFS('LAC 102_Wkst'!$AF$7:$AF$2010,'LAC 102_Wkst'!$D$7:$D$2010,$C$7,'LAC 102_Wkst'!$I$7:$I$2010,$C$9,'LAC 102_Wkst'!$E$7:$E$2010,$C31,'LAC 102_Wkst'!$G$7:$G$2010,$D31,'LAC 102_Wkst'!$L$7:$L$2010,"04",'LAC 102_Wkst'!$N$7:$N$2010,"P5")</f>
        <v>0</v>
      </c>
      <c r="R31" s="412">
        <f>SUMIFS('LAC 102_Wkst'!$Q$7:$Q$2010,'LAC 102_Wkst'!$D$7:$D$2010,$C$7,'LAC 102_Wkst'!$I$7:$I$2010,$C$9,'LAC 102_Wkst'!$E$7:$E$2010,$C31,'LAC 102_Wkst'!$G$7:$G$2010,$D31,'LAC 102_Wkst'!$L$7:$L$2010,"05",'LAC 102_Wkst'!$N$7:$N$2010,"P1")+SUMIFS('LAC 102_Wkst'!$Q$7:$Q$2010,'LAC 102_Wkst'!$D$7:$D$2010,$C$7,'LAC 102_Wkst'!$I$7:$I$2010,$C$9,'LAC 102_Wkst'!$E$7:$E$2010,$C31,'LAC 102_Wkst'!$G$7:$G$2010,$D31,'LAC 102_Wkst'!$L$7:$L$2010,"06",'LAC 102_Wkst'!$N$7:$N$2010,"P1")</f>
        <v>0</v>
      </c>
      <c r="S31" s="411">
        <f>SUMIFS('LAC 102_Wkst'!$AF$7:$AF$2010,'LAC 102_Wkst'!$D$7:$D$2010,$C$7,'LAC 102_Wkst'!$I$7:$I$2010,$C$9,'LAC 102_Wkst'!$E$7:$E$2010,$C31,'LAC 102_Wkst'!$G$7:$G$2010,$D31,'LAC 102_Wkst'!$L$7:$L$2010,"05",'LAC 102_Wkst'!$N$7:$N$2010,"P1")+SUMIFS('LAC 102_Wkst'!$AF$7:$AF$2010,'LAC 102_Wkst'!$D$7:$D$2010,$C$7,'LAC 102_Wkst'!$I$7:$I$2010,$C$9,'LAC 102_Wkst'!$E$7:$E$2010,$C31,'LAC 102_Wkst'!$G$7:$G$2010,$D31,'LAC 102_Wkst'!$L$7:$L$2010,"06",'LAC 102_Wkst'!$N$7:$N$2010,"P1")</f>
        <v>0</v>
      </c>
      <c r="T31" s="410">
        <f>SUMIFS('LAC 102_Wkst'!$Q$7:$Q$2010,'LAC 102_Wkst'!$D$7:$D$2010,$C$7,'LAC 102_Wkst'!$I$7:$I$2010,$C$9,'LAC 102_Wkst'!$E$7:$E$2010,$C31,'LAC 102_Wkst'!$G$7:$G$2010,$D31,'LAC 102_Wkst'!$L$7:$L$2010,"05",'LAC 102_Wkst'!$N$7:$N$2010,"P2")+SUMIFS('LAC 102_Wkst'!$Q$7:$Q$2010,'LAC 102_Wkst'!$D$7:$D$2010,$C$7,'LAC 102_Wkst'!$I$7:$I$2010,$C$9,'LAC 102_Wkst'!$E$7:$E$2010,$C31,'LAC 102_Wkst'!$G$7:$G$2010,$D31,'LAC 102_Wkst'!$L$7:$L$2010,"06",'LAC 102_Wkst'!$N$7:$N$2010,"P2")+SUMIFS('LAC 102_Wkst'!$Q$7:$Q$2010,'LAC 102_Wkst'!$D$7:$D$2010,$C$7,'LAC 102_Wkst'!$I$7:$I$2010,$C$9,'LAC 102_Wkst'!$E$7:$E$2010,$C31,'LAC 102_Wkst'!$G$7:$G$2010,$D31,'LAC 102_Wkst'!$L$7:$L$2010,"05",'LAC 102_Wkst'!$N$7:$N$2010,"P3")+SUMIFS('LAC 102_Wkst'!$Q$7:$Q$2010,'LAC 102_Wkst'!$D$7:$D$2010,$C$7,'LAC 102_Wkst'!$I$7:$I$2010,$C$9,'LAC 102_Wkst'!$E$7:$E$2010,$C31,'LAC 102_Wkst'!$G$7:$G$2010,$D31,'LAC 102_Wkst'!$L$7:$L$2010,"06",'LAC 102_Wkst'!$N$7:$N$2010,"P3")</f>
        <v>0</v>
      </c>
      <c r="U31" s="411">
        <f>SUMIFS('LAC 102_Wkst'!$AF$7:$AF$2010,'LAC 102_Wkst'!$D$7:$D$2010,$C$7,'LAC 102_Wkst'!$I$7:$I$2010,$C$9,'LAC 102_Wkst'!$E$7:$E$2010,$C31,'LAC 102_Wkst'!$G$7:$G$2010,$D31,'LAC 102_Wkst'!$L$7:$L$2010,"05",'LAC 102_Wkst'!$N$7:$N$2010,"P2")+SUMIFS('LAC 102_Wkst'!$AF$7:$AF$2010,'LAC 102_Wkst'!$D$7:$D$2010,$C$7,'LAC 102_Wkst'!$I$7:$I$2010,$C$9,'LAC 102_Wkst'!$E$7:$E$2010,$C31,'LAC 102_Wkst'!$G$7:$G$2010,$D31,'LAC 102_Wkst'!$L$7:$L$2010,"06",'LAC 102_Wkst'!$N$7:$N$2010,"P2")+SUMIFS('LAC 102_Wkst'!$AF$7:$AF$2010,'LAC 102_Wkst'!$D$7:$D$2010,$C$7,'LAC 102_Wkst'!$I$7:$I$2010,$C$9,'LAC 102_Wkst'!$E$7:$E$2010,$C31,'LAC 102_Wkst'!$G$7:$G$2010,$D31,'LAC 102_Wkst'!$L$7:$L$2010,"05",'LAC 102_Wkst'!$N$7:$N$2010,"P3")+SUMIFS('LAC 102_Wkst'!$AF$7:$AF$2010,'LAC 102_Wkst'!$D$7:$D$2010,$C$7,'LAC 102_Wkst'!$I$7:$I$2010,$C$9,'LAC 102_Wkst'!$E$7:$E$2010,$C31,'LAC 102_Wkst'!$G$7:$G$2010,$D31,'LAC 102_Wkst'!$L$7:$L$2010,"06",'LAC 102_Wkst'!$N$7:$N$2010,"P3")</f>
        <v>0</v>
      </c>
      <c r="V31" s="410">
        <f>SUMIFS('LAC 102_Wkst'!$Q$7:$Q$2010,'LAC 102_Wkst'!$D$7:$D$2010,$C$7,'LAC 102_Wkst'!$I$7:$I$2010,$C$9,'LAC 102_Wkst'!$E$7:$E$2010,$C31,'LAC 102_Wkst'!$G$7:$G$2010,$D31,'LAC 102_Wkst'!$L$7:$L$2010,"05",'LAC 102_Wkst'!$N$7:$N$2010,"P4")+SUMIFS('LAC 102_Wkst'!$Q$7:$Q$2010,'LAC 102_Wkst'!$D$7:$D$2010,$C$7,'LAC 102_Wkst'!$I$7:$I$2010,$C$9,'LAC 102_Wkst'!$E$7:$E$2010,$C31,'LAC 102_Wkst'!$G$7:$G$2010,$D31,'LAC 102_Wkst'!$L$7:$L$2010,"06",'LAC 102_Wkst'!$N$7:$N$2010,"P4")</f>
        <v>0</v>
      </c>
      <c r="W31" s="411">
        <f>SUMIFS('LAC 102_Wkst'!$AF$7:$AF$2010,'LAC 102_Wkst'!$D$7:$D$2010,$C$7,'LAC 102_Wkst'!$I$7:$I$2010,$C$9,'LAC 102_Wkst'!$E$7:$E$2010,$C31,'LAC 102_Wkst'!$G$7:$G$2010,$D31,'LAC 102_Wkst'!$L$7:$L$2010,"05",'LAC 102_Wkst'!$N$7:$N$2010,"P4")+SUMIFS('LAC 102_Wkst'!$AF$7:$AF$2010,'LAC 102_Wkst'!$D$7:$D$2010,$C$7,'LAC 102_Wkst'!$I$7:$I$2010,$C$9,'LAC 102_Wkst'!$E$7:$E$2010,$C31,'LAC 102_Wkst'!$G$7:$G$2010,$D31,'LAC 102_Wkst'!$L$7:$L$2010,"06",'LAC 102_Wkst'!$N$7:$N$2010,"P4")</f>
        <v>0</v>
      </c>
      <c r="X31" s="404">
        <f>SUMIFS('LAC 102_Wkst'!$Q$7:$Q$2010,'LAC 102_Wkst'!$D$7:$D$2010,$C$7,'LAC 102_Wkst'!$I$7:$I$2010,$C$9,'LAC 102_Wkst'!$E$7:$E$2010,$C31,'LAC 102_Wkst'!$G$7:$G$2010,$D31,'LAC 102_Wkst'!$L$7:$L$2010,"05",'LAC 102_Wkst'!$N$7:$N$2010,"P5")+SUMIFS('LAC 102_Wkst'!$Q$7:$Q$2010,'LAC 102_Wkst'!$D$7:$D$2010,$C$7,'LAC 102_Wkst'!$I$7:$I$2010,$C$9,'LAC 102_Wkst'!$E$7:$E$2010,$C31,'LAC 102_Wkst'!$G$7:$G$2010,$D31,'LAC 102_Wkst'!$L$7:$L$2010,"06",'LAC 102_Wkst'!$N$7:$N$2010,"P5")</f>
        <v>0</v>
      </c>
      <c r="Y31" s="411">
        <f>SUMIFS('LAC 102_Wkst'!$AF$7:$AF$2010,'LAC 102_Wkst'!$D$7:$D$2010,$C$7,'LAC 102_Wkst'!$I$7:$I$2010,$C$9,'LAC 102_Wkst'!$E$7:$E$2010,$C31,'LAC 102_Wkst'!$G$7:$G$2010,$D31,'LAC 102_Wkst'!$L$7:$L$2010,"05",'LAC 102_Wkst'!$N$7:$N$2010,"P5")+SUMIFS('LAC 102_Wkst'!$AF$7:$AF$2010,'LAC 102_Wkst'!$D$7:$D$2010,$C$7,'LAC 102_Wkst'!$I$7:$I$2010,$C$9,'LAC 102_Wkst'!$E$7:$E$2010,$C31,'LAC 102_Wkst'!$G$7:$G$2010,$D31,'LAC 102_Wkst'!$L$7:$L$2010,"06",'LAC 102_Wkst'!$N$7:$N$2010,"P5")</f>
        <v>0</v>
      </c>
      <c r="Z31" s="410">
        <f>SUMIFS('LAC 102_Wkst'!$Q$7:$Q$2010,'LAC 102_Wkst'!$D$7:$D$2010,$C$7,'LAC 102_Wkst'!$I$7:$I$2010,$C$9,'LAC 102_Wkst'!$E$7:$E$2010,$C31,'LAC 102_Wkst'!$G$7:$G$2010,$D31,'LAC 102_Wkst'!$L$7:$L$2010,"07",'LAC 102_Wkst'!$N$7:$N$2010,"P1")+SUMIFS('LAC 102_Wkst'!$Q$7:$Q$2010,'LAC 102_Wkst'!$D$7:$D$2010,$C$7,'LAC 102_Wkst'!$I$7:$I$2010,$C$9,'LAC 102_Wkst'!$E$7:$E$2010,$C31,'LAC 102_Wkst'!$G$7:$G$2010,$D31,'LAC 102_Wkst'!$L$7:$L$2010,"07",'LAC 102_Wkst'!$N$7:$N$2010,"P2")+SUMIFS('LAC 102_Wkst'!$Q$7:$Q$2010,'LAC 102_Wkst'!$D$7:$D$2010,$C$7,'LAC 102_Wkst'!$I$7:$I$2010,$C$9,'LAC 102_Wkst'!$E$7:$E$2010,$C31,'LAC 102_Wkst'!$G$7:$G$2010,$D31,'LAC 102_Wkst'!$L$7:$L$2010,"07",'LAC 102_Wkst'!$N$7:$N$2010,"P3")</f>
        <v>0</v>
      </c>
      <c r="AA31" s="411">
        <f>SUMIFS('LAC 102_Wkst'!$AF$7:$AF$2010,'LAC 102_Wkst'!$D$7:$D$2010,$C$7,'LAC 102_Wkst'!$I$7:$I$2010,$C$9,'LAC 102_Wkst'!$E$7:$E$2010,$C31,'LAC 102_Wkst'!$G$7:$G$2010,$D31,'LAC 102_Wkst'!$L$7:$L$2010,"07",'LAC 102_Wkst'!$N$7:$N$2010,"P1")+SUMIFS('LAC 102_Wkst'!$AF$7:$AF$2010,'LAC 102_Wkst'!$D$7:$D$2010,$C$7,'LAC 102_Wkst'!$I$7:$I$2010,$C$9,'LAC 102_Wkst'!$E$7:$E$2010,$C31,'LAC 102_Wkst'!$G$7:$G$2010,$D31,'LAC 102_Wkst'!$L$7:$L$2010,"07",'LAC 102_Wkst'!$N$7:$N$2010,"P2")+SUMIFS('LAC 102_Wkst'!$AF$7:$AF$2010,'LAC 102_Wkst'!$D$7:$D$2010,$C$7,'LAC 102_Wkst'!$I$7:$I$2010,$C$9,'LAC 102_Wkst'!$E$7:$E$2010,$C31,'LAC 102_Wkst'!$G$7:$G$2010,$D31,'LAC 102_Wkst'!$L$7:$L$2010,"07",'LAC 102_Wkst'!$N$7:$N$2010,"P3")</f>
        <v>0</v>
      </c>
      <c r="AB31" s="410">
        <f>SUMIFS('LAC 102_Wkst'!$Q$7:$Q$2010,'LAC 102_Wkst'!$D$7:$D$2010,$C$7,'LAC 102_Wkst'!$I$7:$I$2010,$C$9,'LAC 102_Wkst'!$E$7:$E$2010,$C31,'LAC 102_Wkst'!$G$7:$G$2010,$D31,'LAC 102_Wkst'!$L$7:$L$2010,"07",'LAC 102_Wkst'!$N$7:$N$2010,"P4")</f>
        <v>0</v>
      </c>
      <c r="AC31" s="411">
        <f>SUMIFS('LAC 102_Wkst'!$AF$7:$AF$2010,'LAC 102_Wkst'!$D$7:$D$2010,$C$7,'LAC 102_Wkst'!$I$7:$I$2010,$C$9,'LAC 102_Wkst'!$E$7:$E$2010,$C31,'LAC 102_Wkst'!$G$7:$G$2010,$D31,'LAC 102_Wkst'!$L$7:$L$2010,"07",'LAC 102_Wkst'!$N$7:$N$2010,"P4")</f>
        <v>0</v>
      </c>
      <c r="AD31" s="404">
        <f>SUMIFS('LAC 102_Wkst'!$Q$7:$Q$2010,'LAC 102_Wkst'!$D$7:$D$2010,$C$7,'LAC 102_Wkst'!$I$7:$I$2010,$C$9,'LAC 102_Wkst'!$E$7:$E$2010,$C31,'LAC 102_Wkst'!$G$7:$G$2010,$D31,'LAC 102_Wkst'!$L$7:$L$2010,"07",'LAC 102_Wkst'!$N$7:$N$2010,"P5")</f>
        <v>0</v>
      </c>
      <c r="AE31" s="411">
        <f>SUMIFS('LAC 102_Wkst'!$AF$7:$AF$2010,'LAC 102_Wkst'!$D$7:$D$2010,$C$7,'LAC 102_Wkst'!$I$7:$I$2010,$C$9,'LAC 102_Wkst'!$E$7:$E$2010,$C31,'LAC 102_Wkst'!$G$7:$G$2010,$D31,'LAC 102_Wkst'!$L$7:$L$2010,"07",'LAC 102_Wkst'!$N$7:$N$2010,"P5")</f>
        <v>0</v>
      </c>
      <c r="AF31" s="410">
        <f>SUMIFS('LAC 102_Wkst'!$Q$7:$Q$2010,'LAC 102_Wkst'!$D$7:$D$2010,$C$7,'LAC 102_Wkst'!$I$7:$I$2010,$C$9,'LAC 102_Wkst'!$E$7:$E$2010,$C31,'LAC 102_Wkst'!$G$7:$G$2010,$D31,'LAC 102_Wkst'!$L$7:$L$2010,"08",'LAC 102_Wkst'!$N$7:$N$2010,"P1")+SUMIFS('LAC 102_Wkst'!$Q$7:$Q$2010,'LAC 102_Wkst'!$D$7:$D$2010,$C$7,'LAC 102_Wkst'!$I$7:$I$2010,$C$9,'LAC 102_Wkst'!$E$7:$E$2010,$C31,'LAC 102_Wkst'!$G$7:$G$2010,$D31,'LAC 102_Wkst'!$L$7:$L$2010,"08",'LAC 102_Wkst'!$N$7:$N$2010,"P2")+SUMIFS('LAC 102_Wkst'!$Q$7:$Q$2010,'LAC 102_Wkst'!$D$7:$D$2010,$C$7,'LAC 102_Wkst'!$I$7:$I$2010,$C$9,'LAC 102_Wkst'!$E$7:$E$2010,$C31,'LAC 102_Wkst'!$G$7:$G$2010,$D31,'LAC 102_Wkst'!$L$7:$L$2010,"08",'LAC 102_Wkst'!$N$7:$N$2010,"P3")</f>
        <v>0</v>
      </c>
      <c r="AG31" s="411">
        <f>SUMIFS('LAC 102_Wkst'!$AF$7:$AF$2010,'LAC 102_Wkst'!$D$7:$D$2010,$C$7,'LAC 102_Wkst'!$I$7:$I$2010,$C$9,'LAC 102_Wkst'!$E$7:$E$2010,$C31,'LAC 102_Wkst'!$G$7:$G$2010,$D31,'LAC 102_Wkst'!$L$7:$L$2010,"08",'LAC 102_Wkst'!$N$7:$N$2010,"P1")+SUMIFS('LAC 102_Wkst'!$AF$7:$AF$2010,'LAC 102_Wkst'!$D$7:$D$2010,$C$7,'LAC 102_Wkst'!$I$7:$I$2010,$C$9,'LAC 102_Wkst'!$E$7:$E$2010,$C31,'LAC 102_Wkst'!$G$7:$G$2010,$D31,'LAC 102_Wkst'!$L$7:$L$2010,"08",'LAC 102_Wkst'!$N$7:$N$2010,"P2")+SUMIFS('LAC 102_Wkst'!$AF$7:$AF$2010,'LAC 102_Wkst'!$D$7:$D$2010,$C$7,'LAC 102_Wkst'!$I$7:$I$2010,$C$9,'LAC 102_Wkst'!$E$7:$E$2010,$C31,'LAC 102_Wkst'!$G$7:$G$2010,$D31,'LAC 102_Wkst'!$L$7:$L$2010,"08",'LAC 102_Wkst'!$N$7:$N$2010,"P3")</f>
        <v>0</v>
      </c>
      <c r="AH31" s="410">
        <f>SUMIFS('LAC 102_Wkst'!$Q$7:$Q$2010,'LAC 102_Wkst'!$D$7:$D$2010,$C$7,'LAC 102_Wkst'!$I$7:$I$2010,$C$9,'LAC 102_Wkst'!$E$7:$E$2010,$C31,'LAC 102_Wkst'!$G$7:$G$2010,$D31,'LAC 102_Wkst'!$L$7:$L$2010,"08",'LAC 102_Wkst'!$N$7:$N$2010,"P4")</f>
        <v>0</v>
      </c>
      <c r="AI31" s="411">
        <f>SUMIFS('LAC 102_Wkst'!$AF$7:$AF$2010,'LAC 102_Wkst'!$D$7:$D$2010,$C$7,'LAC 102_Wkst'!$I$7:$I$2010,$C$9,'LAC 102_Wkst'!$E$7:$E$2010,$C31,'LAC 102_Wkst'!$G$7:$G$2010,$D31,'LAC 102_Wkst'!$L$7:$L$2010,"08",'LAC 102_Wkst'!$N$7:$N$2010,"P4")</f>
        <v>0</v>
      </c>
      <c r="AJ31" s="404">
        <f>SUMIFS('LAC 102_Wkst'!$Q$7:$Q$2010,'LAC 102_Wkst'!$D$7:$D$2010,$C$7,'LAC 102_Wkst'!$I$7:$I$2010,$C$9,'LAC 102_Wkst'!$E$7:$E$2010,$C31,'LAC 102_Wkst'!$G$7:$G$2010,$D31,'LAC 102_Wkst'!$L$7:$L$2010,"08",'LAC 102_Wkst'!$N$7:$N$2010,"P5")</f>
        <v>0</v>
      </c>
      <c r="AK31" s="411">
        <f>SUMIFS('LAC 102_Wkst'!$AF$7:$AF$2010,'LAC 102_Wkst'!$D$7:$D$2010,$C$7,'LAC 102_Wkst'!$I$7:$I$2010,$C$9,'LAC 102_Wkst'!$E$7:$E$2010,$C31,'LAC 102_Wkst'!$G$7:$G$2010,$D31,'LAC 102_Wkst'!$L$7:$L$2010,"08",'LAC 102_Wkst'!$N$7:$N$2010,"P5")</f>
        <v>0</v>
      </c>
      <c r="AL31" s="410">
        <f>SUMIFS('LAC 102_Wkst'!$Q$7:$Q$2010,'LAC 102_Wkst'!$D$7:$D$2010,$C$7,'LAC 102_Wkst'!$I$7:$I$2010,$C$9,'LAC 102_Wkst'!$E$7:$E$2010,$C31,'LAC 102_Wkst'!$G$7:$G$2010,$D31,'LAC 102_Wkst'!$L$7:$L$2010,"09",'LAC 102_Wkst'!$N$7:$N$2010,"P1")+SUMIFS('LAC 102_Wkst'!$Q$7:$Q$2010,'LAC 102_Wkst'!$D$7:$D$2010,$C$7,'LAC 102_Wkst'!$I$7:$I$2010,$C$9,'LAC 102_Wkst'!$E$7:$E$2010,$C31,'LAC 102_Wkst'!$G$7:$G$2010,$D31,'LAC 102_Wkst'!$L$7:$L$2010,"09",'LAC 102_Wkst'!$N$7:$N$2010,"P2")+SUMIFS('LAC 102_Wkst'!$Q$7:$Q$2010,'LAC 102_Wkst'!$D$7:$D$2010,$C$7,'LAC 102_Wkst'!$I$7:$I$2010,$C$9,'LAC 102_Wkst'!$E$7:$E$2010,$C31,'LAC 102_Wkst'!$G$7:$G$2010,$D31,'LAC 102_Wkst'!$L$7:$L$2010,"09",'LAC 102_Wkst'!$N$7:$N$2010,"P3")+SUMIFS('LAC 102_Wkst'!$Q$7:$Q$2010,'LAC 102_Wkst'!$D$7:$D$2010,$C$7,'LAC 102_Wkst'!$I$7:$I$2010,$C$9,'LAC 102_Wkst'!$E$7:$E$2010,$C31,'LAC 102_Wkst'!$G$7:$G$2010,$D31,'LAC 102_Wkst'!$L$7:$L$2010,"09",'LAC 102_Wkst'!$N$7:$N$2010,"P4")</f>
        <v>0</v>
      </c>
      <c r="AM31" s="411">
        <f>SUMIFS('LAC 102_Wkst'!$AF$7:$AF$2010,'LAC 102_Wkst'!$D$7:$D$2010,$C$7,'LAC 102_Wkst'!$I$7:$I$2010,$C$9,'LAC 102_Wkst'!$E$7:$E$2010,$C31,'LAC 102_Wkst'!$G$7:$G$2010,$D31,'LAC 102_Wkst'!$L$7:$L$2010,"09",'LAC 102_Wkst'!$N$7:$N$2010,"P1")+SUMIFS('LAC 102_Wkst'!$AF$7:$AF$2010,'LAC 102_Wkst'!$D$7:$D$2010,$C$7,'LAC 102_Wkst'!$I$7:$I$2010,$C$9,'LAC 102_Wkst'!$E$7:$E$2010,$C31,'LAC 102_Wkst'!$G$7:$G$2010,$D31,'LAC 102_Wkst'!$L$7:$L$2010,"09",'LAC 102_Wkst'!$N$7:$N$2010,"P2")+SUMIFS('LAC 102_Wkst'!$AF$7:$AF$2010,'LAC 102_Wkst'!$D$7:$D$2010,$C$7,'LAC 102_Wkst'!$I$7:$I$2010,$C$9,'LAC 102_Wkst'!$E$7:$E$2010,$C31,'LAC 102_Wkst'!$G$7:$G$2010,$D31,'LAC 102_Wkst'!$L$7:$L$2010,"09",'LAC 102_Wkst'!$N$7:$N$2010,"P3")+SUMIFS('LAC 102_Wkst'!$AF$7:$AF$2010,'LAC 102_Wkst'!$D$7:$D$2010,$C$7,'LAC 102_Wkst'!$I$7:$I$2010,$C$9,'LAC 102_Wkst'!$E$7:$E$2010,$C31,'LAC 102_Wkst'!$G$7:$G$2010,$D31,'LAC 102_Wkst'!$L$7:$L$2010,"09",'LAC 102_Wkst'!$N$7:$N$2010,"P4")</f>
        <v>0</v>
      </c>
      <c r="AN31" s="410">
        <f>SUMIFS('LAC 102_Wkst'!$Q$7:$Q$2010,'LAC 102_Wkst'!$D$7:$D$2010,$C$7,'LAC 102_Wkst'!$I$7:$I$2010,$C$9,'LAC 102_Wkst'!$E$7:$E$2010,$C31,'LAC 102_Wkst'!$G$7:$G$2010,$D31,'LAC 102_Wkst'!$L$7:$L$2010,"09",'LAC 102_Wkst'!$N$7:$N$2010,"P5")</f>
        <v>0</v>
      </c>
      <c r="AO31" s="411">
        <f>SUMIFS('LAC 102_Wkst'!$AF$7:$AF$2010,'LAC 102_Wkst'!$D$7:$D$2010,$C$7,'LAC 102_Wkst'!$I$7:$I$2010,$C$9,'LAC 102_Wkst'!$E$7:$E$2010,$C31,'LAC 102_Wkst'!$G$7:$G$2010,$D31,'LAC 102_Wkst'!$L$7:$L$2010,"09",'LAC 102_Wkst'!$N$7:$N$2010,"P5")</f>
        <v>0</v>
      </c>
      <c r="AP31" s="404">
        <f>SUMIFS('LAC 102_Wkst'!$Q$7:$Q$2010,'LAC 102_Wkst'!$D$7:$D$2010,$C$7,'LAC 102_Wkst'!$I$7:$I$2010,$C$9,'LAC 102_Wkst'!$E$7:$E$2010,$C31,'LAC 102_Wkst'!$G$7:$G$2010,$D31,'LAC 102_Wkst'!$L$7:$L$2010,"10",'LAC 102_Wkst'!$N$7:$N$2010,"P1")+SUMIFS('LAC 102_Wkst'!$Q$7:$Q$2010,'LAC 102_Wkst'!$D$7:$D$2010,$C$7,'LAC 102_Wkst'!$I$7:$I$2010,$C$9,'LAC 102_Wkst'!$E$7:$E$2010,$C31,'LAC 102_Wkst'!$G$7:$G$2010,$D31,'LAC 102_Wkst'!$L$7:$L$2010,"10",'LAC 102_Wkst'!$N$7:$N$2010,"P2")+SUMIFS('LAC 102_Wkst'!$Q$7:$Q$2010,'LAC 102_Wkst'!$D$7:$D$2010,$C$7,'LAC 102_Wkst'!$I$7:$I$2010,$C$9,'LAC 102_Wkst'!$E$7:$E$2010,$C31,'LAC 102_Wkst'!$G$7:$G$2010,$D31,'LAC 102_Wkst'!$L$7:$L$2010,"10",'LAC 102_Wkst'!$N$7:$N$2010,"P3")+SUMIFS('LAC 102_Wkst'!$Q$7:$Q$2010,'LAC 102_Wkst'!$D$7:$D$2010,$C$7,'LAC 102_Wkst'!$I$7:$I$2010,$C$9,'LAC 102_Wkst'!$E$7:$E$2010,$C31,'LAC 102_Wkst'!$G$7:$G$2010,$D31,'LAC 102_Wkst'!$L$7:$L$2010,"10",'LAC 102_Wkst'!$N$7:$N$2010,"P4")</f>
        <v>0</v>
      </c>
      <c r="AQ31" s="411">
        <f>SUMIFS('LAC 102_Wkst'!$AF$7:$AF$2010,'LAC 102_Wkst'!$D$7:$D$2010,$C$7,'LAC 102_Wkst'!$I$7:$I$2010,$C$9,'LAC 102_Wkst'!$E$7:$E$2010,$C31,'LAC 102_Wkst'!$G$7:$G$2010,$D31,'LAC 102_Wkst'!$L$7:$L$2010,"10",'LAC 102_Wkst'!$N$7:$N$2010,"P1")+SUMIFS('LAC 102_Wkst'!$AF$7:$AF$2010,'LAC 102_Wkst'!$D$7:$D$2010,$C$7,'LAC 102_Wkst'!$I$7:$I$2010,$C$9,'LAC 102_Wkst'!$E$7:$E$2010,$C31,'LAC 102_Wkst'!$G$7:$G$2010,$D31,'LAC 102_Wkst'!$L$7:$L$2010,"10",'LAC 102_Wkst'!$N$7:$N$2010,"P2")+SUMIFS('LAC 102_Wkst'!$AF$7:$AF$2010,'LAC 102_Wkst'!$D$7:$D$2010,$C$7,'LAC 102_Wkst'!$I$7:$I$2010,$C$9,'LAC 102_Wkst'!$E$7:$E$2010,$C31,'LAC 102_Wkst'!$G$7:$G$2010,$D31,'LAC 102_Wkst'!$L$7:$L$2010,"10",'LAC 102_Wkst'!$N$7:$N$2010,"P3")+SUMIFS('LAC 102_Wkst'!$AF$7:$AF$2010,'LAC 102_Wkst'!$D$7:$D$2010,$C$7,'LAC 102_Wkst'!$I$7:$I$2010,$C$9,'LAC 102_Wkst'!$E$7:$E$2010,$C31,'LAC 102_Wkst'!$G$7:$G$2010,$D31,'LAC 102_Wkst'!$L$7:$L$2010,"10",'LAC 102_Wkst'!$N$7:$N$2010,"P4")</f>
        <v>0</v>
      </c>
      <c r="AR31" s="410">
        <f>SUMIFS('LAC 102_Wkst'!$Q$7:$Q$2010,'LAC 102_Wkst'!$D$7:$D$2010,$C$7,'LAC 102_Wkst'!$I$7:$I$2010,$C$9,'LAC 102_Wkst'!$E$7:$E$2010,$C31,'LAC 102_Wkst'!$G$7:$G$2010,$D31,'LAC 102_Wkst'!$L$7:$L$2010,"10",'LAC 102_Wkst'!$N$7:$N$2010,"P5")</f>
        <v>0</v>
      </c>
      <c r="AS31" s="411">
        <f>SUMIFS('LAC 102_Wkst'!$AF$7:$AF$2010,'LAC 102_Wkst'!$D$7:$D$2010,$C$7,'LAC 102_Wkst'!$I$7:$I$2010,$C$9,'LAC 102_Wkst'!$E$7:$E$2010,$C31,'LAC 102_Wkst'!$G$7:$G$2010,$D31,'LAC 102_Wkst'!$L$7:$L$2010,"10",'LAC 102_Wkst'!$N$7:$N$2010,"P5")</f>
        <v>0</v>
      </c>
      <c r="AT31" s="410">
        <f>SUMIFS('LAC 102_Wkst'!$Q$7:$Q$2010,'LAC 102_Wkst'!$D$7:$D$2010,$C$7,'LAC 102_Wkst'!$I$7:$I$2010,$C$9,'LAC 102_Wkst'!$E$7:$E$2010,$C31,'LAC 102_Wkst'!$G$7:$G$2010,$D31,'LAC 102_Wkst'!$L$7:$L$2010,"11",'LAC 102_Wkst'!$N$7:$N$2010,"P1")+SUMIFS('LAC 102_Wkst'!$Q$7:$Q$2010,'LAC 102_Wkst'!$D$7:$D$2010,$C$7,'LAC 102_Wkst'!$I$7:$I$2010,$C$9,'LAC 102_Wkst'!$E$7:$E$2010,$C31,'LAC 102_Wkst'!$G$7:$G$2010,$D31,'LAC 102_Wkst'!$L$7:$L$2010,"12",'LAC 102_Wkst'!$N$7:$N$2010,"P1")</f>
        <v>0</v>
      </c>
      <c r="AU31" s="411">
        <f>SUMIFS('LAC 102_Wkst'!$Q$7:$Q$2010,'LAC 102_Wkst'!$D$7:$D$2010,$C$7,'LAC 102_Wkst'!$I$7:$I$2010,$C$9,'LAC 102_Wkst'!$E$7:$E$2010,$C31,'LAC 102_Wkst'!$G$7:$G$2010,$D31,'LAC 102_Wkst'!$L$7:$L$2010,"13",'LAC 102_Wkst'!$N$7:$N$2010,"P5")</f>
        <v>0</v>
      </c>
      <c r="AV31" s="404">
        <f>SUMIFS('LAC 102_Wkst'!$Q$7:$Q$2010,'LAC 102_Wkst'!$D$7:$D$2010,$C$7,'LAC 102_Wkst'!$I$7:$I$2010,$C$9,'LAC 102_Wkst'!$E$7:$E$2010,$C31,'LAC 102_Wkst'!$G$7:$G$2010,$D31,'LAC 102_Wkst'!$L$7:$L$2010,"11",'LAC 102_Wkst'!$N$7:$N$2010,"P2")+SUMIFS('LAC 102_Wkst'!$Q$7:$Q$2010,'LAC 102_Wkst'!$D$7:$D$2010,$C$7,'LAC 102_Wkst'!$I$7:$I$2010,$C$9,'LAC 102_Wkst'!$E$7:$E$2010,$C31,'LAC 102_Wkst'!$G$7:$G$2010,$D31,'LAC 102_Wkst'!$L$7:$L$2010,"12",'LAC 102_Wkst'!$N$7:$N$2010,"P2")+SUMIFS('LAC 102_Wkst'!$Q$7:$Q$2010,'LAC 102_Wkst'!$D$7:$D$2010,$C$7,'LAC 102_Wkst'!$I$7:$I$2010,$C$9,'LAC 102_Wkst'!$E$7:$E$2010,$C31,'LAC 102_Wkst'!$G$7:$G$2010,$D31,'LAC 102_Wkst'!$L$7:$L$2010,"11",'LAC 102_Wkst'!$N$7:$N$2010,"P3")+SUMIFS('LAC 102_Wkst'!$Q$7:$Q$2010,'LAC 102_Wkst'!$D$7:$D$2010,$C$7,'LAC 102_Wkst'!$I$7:$I$2010,$C$9,'LAC 102_Wkst'!$E$7:$E$2010,$C31,'LAC 102_Wkst'!$G$7:$G$2010,$D31,'LAC 102_Wkst'!$L$7:$L$2010,"12",'LAC 102_Wkst'!$N$7:$N$2010,"P3")</f>
        <v>0</v>
      </c>
      <c r="AW31" s="411">
        <f>SUMIFS('LAC 102_Wkst'!$AF$7:$AF$2010,'LAC 102_Wkst'!$D$7:$D$2010,$C$7,'LAC 102_Wkst'!$I$7:$I$2010,$C$9,'LAC 102_Wkst'!$E$7:$E$2010,$C31,'LAC 102_Wkst'!$G$7:$G$2010,$D31,'LAC 102_Wkst'!$L$7:$L$2010,"11",'LAC 102_Wkst'!$N$7:$N$2010,"P2")+SUMIFS('LAC 102_Wkst'!$AF$7:$AF$2010,'LAC 102_Wkst'!$D$7:$D$2010,$C$7,'LAC 102_Wkst'!$I$7:$I$2010,$C$9,'LAC 102_Wkst'!$E$7:$E$2010,$C31,'LAC 102_Wkst'!$G$7:$G$2010,$D31,'LAC 102_Wkst'!$L$7:$L$2010,"12",'LAC 102_Wkst'!$N$7:$N$2010,"P2")+SUMIFS('LAC 102_Wkst'!$AF$7:$AF$2010,'LAC 102_Wkst'!$D$7:$D$2010,$C$7,'LAC 102_Wkst'!$I$7:$I$2010,$C$9,'LAC 102_Wkst'!$E$7:$E$2010,$C31,'LAC 102_Wkst'!$G$7:$G$2010,$D31,'LAC 102_Wkst'!$L$7:$L$2010,"11",'LAC 102_Wkst'!$N$7:$N$2010,"P3")+SUMIFS('LAC 102_Wkst'!$AF$7:$AF$2010,'LAC 102_Wkst'!$D$7:$D$2010,$C$7,'LAC 102_Wkst'!$I$7:$I$2010,$C$9,'LAC 102_Wkst'!$E$7:$E$2010,$C31,'LAC 102_Wkst'!$G$7:$G$2010,$D31,'LAC 102_Wkst'!$L$7:$L$2010,"12",'LAC 102_Wkst'!$N$7:$N$2010,"P3")</f>
        <v>0</v>
      </c>
      <c r="AX31" s="404">
        <f>SUMIFS('LAC 102_Wkst'!$Q$7:$Q$2010,'LAC 102_Wkst'!$D$7:$D$2010,$C$7,'LAC 102_Wkst'!$I$7:$I$2010,$C$9,'LAC 102_Wkst'!$E$7:$E$2010,$C31,'LAC 102_Wkst'!$G$7:$G$2010,$D31,'LAC 102_Wkst'!$L$7:$L$2010,"11",'LAC 102_Wkst'!$N$7:$N$2010,"P4")+SUMIFS('LAC 102_Wkst'!$Q$7:$Q$2010,'LAC 102_Wkst'!$D$7:$D$2010,$C$7,'LAC 102_Wkst'!$I$7:$I$2010,$C$9,'LAC 102_Wkst'!$E$7:$E$2010,$C31,'LAC 102_Wkst'!$G$7:$G$2010,$D31,'LAC 102_Wkst'!$L$7:$L$2010,"12",'LAC 102_Wkst'!$N$7:$N$2010,"P4")</f>
        <v>0</v>
      </c>
      <c r="AY31" s="411">
        <f>SUMIFS('LAC 102_Wkst'!$AF$7:$AF$2010,'LAC 102_Wkst'!$D$7:$D$2010,$C$7,'LAC 102_Wkst'!$I$7:$I$2010,$C$9,'LAC 102_Wkst'!$E$7:$E$2010,$C31,'LAC 102_Wkst'!$G$7:$G$2010,$D31,'LAC 102_Wkst'!$L$7:$L$2010,"11",'LAC 102_Wkst'!$N$7:$N$2010,"P4")+SUMIFS('LAC 102_Wkst'!$AF$7:$AF$2010,'LAC 102_Wkst'!$D$7:$D$2010,$C$7,'LAC 102_Wkst'!$I$7:$I$2010,$C$9,'LAC 102_Wkst'!$E$7:$E$2010,$C31,'LAC 102_Wkst'!$G$7:$G$2010,$D31,'LAC 102_Wkst'!$L$7:$L$2010,"12",'LAC 102_Wkst'!$N$7:$N$2010,"P4")</f>
        <v>0</v>
      </c>
      <c r="AZ31" s="404">
        <f>SUMIFS('LAC 102_Wkst'!$Q$7:$Q$2010,'LAC 102_Wkst'!$D$7:$D$2010,$C$7,'LAC 102_Wkst'!$I$7:$I$2010,$C$9,'LAC 102_Wkst'!$E$7:$E$2010,$C31,'LAC 102_Wkst'!$G$7:$G$2010,$D31,'LAC 102_Wkst'!$L$7:$L$2010,"11",'LAC 102_Wkst'!$N$7:$N$2010,"P5")+SUMIFS('LAC 102_Wkst'!$Q$7:$Q$2010,'LAC 102_Wkst'!$D$7:$D$2010,$C$7,'LAC 102_Wkst'!$I$7:$I$2010,$C$9,'LAC 102_Wkst'!$E$7:$E$2010,$C31,'LAC 102_Wkst'!$G$7:$G$2010,$D31,'LAC 102_Wkst'!$L$7:$L$2010,"12",'LAC 102_Wkst'!$N$7:$N$2010,"P5")</f>
        <v>0</v>
      </c>
      <c r="BA31" s="411">
        <f>SUMIFS('LAC 102_Wkst'!$AF$7:$AF$2010,'LAC 102_Wkst'!$D$7:$D$2010,$C$7,'LAC 102_Wkst'!$I$7:$I$2010,$C$9,'LAC 102_Wkst'!$E$7:$E$2010,$C31,'LAC 102_Wkst'!$G$7:$G$2010,$D31,'LAC 102_Wkst'!$L$7:$L$2010,"11",'LAC 102_Wkst'!$N$7:$N$2010,"P5")+SUMIFS('LAC 102_Wkst'!$AF$7:$AF$2010,'LAC 102_Wkst'!$D$7:$D$2010,$C$7,'LAC 102_Wkst'!$I$7:$I$2010,$C$9,'LAC 102_Wkst'!$E$7:$E$2010,$C31,'LAC 102_Wkst'!$G$7:$G$2010,$D31,'LAC 102_Wkst'!$L$7:$L$2010,"12",'LAC 102_Wkst'!$N$7:$N$2010,"P5")</f>
        <v>0</v>
      </c>
      <c r="BB31" s="404">
        <f>SUMIFS('LAC 102_Wkst'!$Q$7:$Q$2010,'LAC 102_Wkst'!$D$7:$D$2010,$C$7,'LAC 102_Wkst'!$I$7:$I$2010,$C$9,'LAC 102_Wkst'!$E$7:$E$2010,$C31,'LAC 102_Wkst'!$G$7:$G$2010,$D31,'LAC 102_Wkst'!$L$7:$L$2010,"13",'LAC 102_Wkst'!$N$7:$N$2010,"P1")+SUMIFS('LAC 102_Wkst'!$Q$7:$Q$2010,'LAC 102_Wkst'!$D$7:$D$2010,$C$7,'LAC 102_Wkst'!$I$7:$I$2010,$C$9,'LAC 102_Wkst'!$E$7:$E$2010,$C31,'LAC 102_Wkst'!$G$7:$G$2010,$D31,'LAC 102_Wkst'!$L$7:$L$2010,"13",'LAC 102_Wkst'!$N$7:$N$2010,"P2")+SUMIFS('LAC 102_Wkst'!$Q$7:$Q$2010,'LAC 102_Wkst'!$D$7:$D$2010,$C$7,'LAC 102_Wkst'!$I$7:$I$2010,$C$9,'LAC 102_Wkst'!$E$7:$E$2010,$C31,'LAC 102_Wkst'!$G$7:$G$2010,$D31,'LAC 102_Wkst'!$L$7:$L$2010,"13",'LAC 102_Wkst'!$N$7:$N$2010,"P3")+SUMIFS('LAC 102_Wkst'!$Q$7:$Q$2010,'LAC 102_Wkst'!$D$7:$D$2010,$C$7,'LAC 102_Wkst'!$I$7:$I$2010,$C$9,'LAC 102_Wkst'!$E$7:$E$2010,$C31,'LAC 102_Wkst'!$G$7:$G$2010,$D31,'LAC 102_Wkst'!$L$7:$L$2010,"13",'LAC 102_Wkst'!$N$7:$N$2010,"P4")</f>
        <v>0</v>
      </c>
      <c r="BC31" s="411">
        <f>SUMIFS('LAC 102_Wkst'!$AF$7:$AF$2010,'LAC 102_Wkst'!$D$7:$D$2010,$C$7,'LAC 102_Wkst'!$I$7:$I$2010,$C$9,'LAC 102_Wkst'!$E$7:$E$2010,$C31,'LAC 102_Wkst'!$G$7:$G$2010,$D31,'LAC 102_Wkst'!$L$7:$L$2010,"13",'LAC 102_Wkst'!$N$7:$N$2010,"P1")+SUMIFS('LAC 102_Wkst'!$AF$7:$AF$2010,'LAC 102_Wkst'!$D$7:$D$2010,$C$7,'LAC 102_Wkst'!$I$7:$I$2010,$C$9,'LAC 102_Wkst'!$E$7:$E$2010,$C31,'LAC 102_Wkst'!$G$7:$G$2010,$D31,'LAC 102_Wkst'!$L$7:$L$2010,"13",'LAC 102_Wkst'!$N$7:$N$2010,"P2")+SUMIFS('LAC 102_Wkst'!$AF$7:$AF$2010,'LAC 102_Wkst'!$D$7:$D$2010,$C$7,'LAC 102_Wkst'!$I$7:$I$2010,$C$9,'LAC 102_Wkst'!$E$7:$E$2010,$C31,'LAC 102_Wkst'!$G$7:$G$2010,$D31,'LAC 102_Wkst'!$L$7:$L$2010,"13",'LAC 102_Wkst'!$N$7:$N$2010,"P3")+SUMIFS('LAC 102_Wkst'!$AF$7:$AF$2010,'LAC 102_Wkst'!$D$7:$D$2010,$C$7,'LAC 102_Wkst'!$I$7:$I$2010,$C$9,'LAC 102_Wkst'!$E$7:$E$2010,$C31,'LAC 102_Wkst'!$G$7:$G$2010,$D31,'LAC 102_Wkst'!$L$7:$L$2010,"13",'LAC 102_Wkst'!$N$7:$N$2010,"P4")</f>
        <v>0</v>
      </c>
      <c r="BD31" s="404">
        <f>SUMIFS('LAC 102_Wkst'!$Q$7:$Q$2010,'LAC 102_Wkst'!$D$7:$D$2010,$C$7,'LAC 102_Wkst'!$I$7:$I$2010,$C$9,'LAC 102_Wkst'!$E$7:$E$2010,$C31,'LAC 102_Wkst'!$G$7:$G$2010,$D31,'LAC 102_Wkst'!$L$7:$L$2010,"13",'LAC 102_Wkst'!$N$7:$N$2010,"P5")</f>
        <v>0</v>
      </c>
      <c r="BE31" s="411">
        <f>SUMIFS('LAC 102_Wkst'!$AF$7:$AF$2010,'LAC 102_Wkst'!$D$7:$D$2010,$C$7,'LAC 102_Wkst'!$I$7:$I$2010,$C$9,'LAC 102_Wkst'!$E$7:$E$2010,$C31,'LAC 102_Wkst'!$G$7:$G$2010,$D31,'LAC 102_Wkst'!$L$7:$L$2010,"13",'LAC 102_Wkst'!$N$7:$N$2010,"P5")</f>
        <v>0</v>
      </c>
      <c r="BF31" s="407">
        <f t="shared" si="4"/>
        <v>0</v>
      </c>
      <c r="BG31" s="1654">
        <f>SUMIFS('LAC 102_Wkst'!$AF$7:$AF$2010,'LAC 102_Wkst'!$D$7:$D$2010,$C$7,'LAC 102_Wkst'!$I$7:$I$2010,$C$9,'LAC 102_Wkst'!$E$7:$E$2010,$C31,'LAC 102_Wkst'!$G$7:$G$2010,$D31,'LAC 102_Wkst'!$L$7:$L$2010,"14")</f>
        <v>0</v>
      </c>
    </row>
    <row r="32" spans="1:59" x14ac:dyDescent="0.2">
      <c r="A32" s="401">
        <v>10</v>
      </c>
      <c r="B32" s="1678" t="str">
        <f>IF(Schedule_B!B$29="","",Schedule_B!B$29)</f>
        <v>CR</v>
      </c>
      <c r="C32" s="1674" t="str">
        <f>IF(Schedule_B!C$29=""," ",Schedule_B!C$29)</f>
        <v>15</v>
      </c>
      <c r="D32" s="1675" t="str">
        <f>IF(Schedule_B!D$29=""," ",Schedule_B!D$29)</f>
        <v>62</v>
      </c>
      <c r="E32" s="1221">
        <f>SUMIFS('LAC 102_Wkst'!$Q$7:$Q$2010,'LAC 102_Wkst'!$D$7:$D$2010,$C$7,'LAC 102_Wkst'!$I$7:$I$2010,$C$9,'LAC 102_Wkst'!$E$7:$E$2010,$C32,'LAC 102_Wkst'!$G$7:$G$2010,$D32)</f>
        <v>16504</v>
      </c>
      <c r="F32" s="408">
        <f>SUMIFS('LAC 102_Wkst'!$Q$7:$Q$2010,'LAC 102_Wkst'!$D$7:$D$2010,$C$7,'LAC 102_Wkst'!$I$7:$I$2010,$C$9,'LAC 102_Wkst'!$E$7:$E$2010,$C32,'LAC 102_Wkst'!$G$7:$G$2010,$D32,'LAC 102_Wkst'!$L$7:$L$2010,"01",'LAC 102_Wkst'!$N$7:$N$2010,"P1")+SUMIFS('LAC 102_Wkst'!$Q$7:$Q$2010,'LAC 102_Wkst'!$D$7:$D$2010,$C$7,'LAC 102_Wkst'!$I$7:$I$2010,$C$9,'LAC 102_Wkst'!$E$7:$E$2010,$C32,'LAC 102_Wkst'!$G$7:$G$2010,$D32,'LAC 102_Wkst'!$L$7:$L$2010,"01",'LAC 102_Wkst'!$N$7:$N$2010,"P2")+SUMIFS('LAC 102_Wkst'!$Q$7:$Q$2010,'LAC 102_Wkst'!$D$7:$D$2010,$C$7,'LAC 102_Wkst'!$I$7:$I$2010,$C$9,'LAC 102_Wkst'!$E$7:$E$2010,$C32,'LAC 102_Wkst'!$G$7:$G$2010,$D32,'LAC 102_Wkst'!$L$7:$L$2010,"01",'LAC 102_Wkst'!$N$7:$N$2010,"P3")+SUMIFS('LAC 102_Wkst'!$Q$7:$Q$2010,'LAC 102_Wkst'!$D$7:$D$2010,$C$7,'LAC 102_Wkst'!$I$7:$I$2010,$C$9,'LAC 102_Wkst'!$E$7:$E$2010,$C32,'LAC 102_Wkst'!$G$7:$G$2010,$D32,'LAC 102_Wkst'!$L$7:$L$2010,"02",'LAC 102_Wkst'!$N$7:$N$2010,"P1")+SUMIFS('LAC 102_Wkst'!$Q$7:$Q$2010,'LAC 102_Wkst'!$D$7:$D$2010,$C$7,'LAC 102_Wkst'!$I$7:$I$2010,$C$9,'LAC 102_Wkst'!$E$7:$E$2010,$C32,'LAC 102_Wkst'!$G$7:$G$2010,$D32,'LAC 102_Wkst'!$L$7:$L$2010,"02",'LAC 102_Wkst'!$N$7:$N$2010,"P2")+SUMIFS('LAC 102_Wkst'!$Q$7:$Q$2010,'LAC 102_Wkst'!$D$7:$D$2010,$C$7,'LAC 102_Wkst'!$I$7:$I$2010,$C$9,'LAC 102_Wkst'!$E$7:$E$2010,$C32,'LAC 102_Wkst'!$G$7:$G$2010,$D32,'LAC 102_Wkst'!$L$7:$L$2010,"02",'LAC 102_Wkst'!$N$7:$N$2010,"P3")</f>
        <v>14688</v>
      </c>
      <c r="G32" s="409">
        <f>SUMIFS('LAC 102_Wkst'!$AF$7:$AF$2010,'LAC 102_Wkst'!$D$7:$D$2010,$C$7,'LAC 102_Wkst'!$I$7:$I$2010,$C$9,'LAC 102_Wkst'!$E$7:$E$2010,$C32,'LAC 102_Wkst'!$G$7:$G$2010,$D32,'LAC 102_Wkst'!$L$7:$L$2010,"01",'LAC 102_Wkst'!$N$7:$N$2010,"P1")+SUMIFS('LAC 102_Wkst'!$AF$7:$AF$2010,'LAC 102_Wkst'!$D$7:$D$2010,$C$7,'LAC 102_Wkst'!$I$7:$I$2010,$C$9,'LAC 102_Wkst'!$E$7:$E$2010,$C32,'LAC 102_Wkst'!$G$7:$G$2010,$D32,'LAC 102_Wkst'!$L$7:$L$2010,"01",'LAC 102_Wkst'!$N$7:$N$2010,"P2")+SUMIFS('LAC 102_Wkst'!$AF$7:$AF$2010,'LAC 102_Wkst'!$D$7:$D$2010,$C$7,'LAC 102_Wkst'!$I$7:$I$2010,$C$9,'LAC 102_Wkst'!$E$7:$E$2010,$C32,'LAC 102_Wkst'!$G$7:$G$2010,$D32,'LAC 102_Wkst'!$L$7:$L$2010,"01",'LAC 102_Wkst'!$N$7:$N$2010,"P3")+SUMIFS('LAC 102_Wkst'!$AF$7:$AF$2010,'LAC 102_Wkst'!$D$7:$D$2010,$C$7,'LAC 102_Wkst'!$I$7:$I$2010,$C$9,'LAC 102_Wkst'!$E$7:$E$2010,$C32,'LAC 102_Wkst'!$G$7:$G$2010,$D32,'LAC 102_Wkst'!$L$7:$L$2010,"02",'LAC 102_Wkst'!$N$7:$N$2010,"P1")+SUMIFS('LAC 102_Wkst'!$AF$7:$AF$2010,'LAC 102_Wkst'!$D$7:$D$2010,$C$7,'LAC 102_Wkst'!$I$7:$I$2010,$C$9,'LAC 102_Wkst'!$E$7:$E$2010,$C32,'LAC 102_Wkst'!$G$7:$G$2010,$D32,'LAC 102_Wkst'!$L$7:$L$2010,"02",'LAC 102_Wkst'!$N$7:$N$2010,"P2")+SUMIFS('LAC 102_Wkst'!$AF$7:$AF$2010,'LAC 102_Wkst'!$D$7:$D$2010,$C$7,'LAC 102_Wkst'!$I$7:$I$2010,$C$9,'LAC 102_Wkst'!$E$7:$E$2010,$C32,'LAC 102_Wkst'!$G$7:$G$2010,$D32,'LAC 102_Wkst'!$L$7:$L$2010,"02",'LAC 102_Wkst'!$N$7:$N$2010,"P3")</f>
        <v>87192.305547352138</v>
      </c>
      <c r="H32" s="410">
        <f>SUMIFS('LAC 102_Wkst'!$Q$7:$Q$2010,'LAC 102_Wkst'!$D$7:$D$2010,$C$7,'LAC 102_Wkst'!$I$7:$I$2010,$C$9,'LAC 102_Wkst'!$E$7:$E$2010,$C32,'LAC 102_Wkst'!$G$7:$G$2010,$D32,'LAC 102_Wkst'!$L$7:$L$2010,"01",'LAC 102_Wkst'!$N$7:$N$2010,"P4")+SUMIFS('LAC 102_Wkst'!$Q$7:$Q$2010,'LAC 102_Wkst'!$D$7:$D$2010,$C$7,'LAC 102_Wkst'!$I$7:$I$2010,$C$9,'LAC 102_Wkst'!$E$7:$E$2010,$C32,'LAC 102_Wkst'!$G$7:$G$2010,$D32,'LAC 102_Wkst'!$L$7:$L$2010,"02",'LAC 102_Wkst'!$N$7:$N$2010,"P4")</f>
        <v>0</v>
      </c>
      <c r="I32" s="411">
        <f>SUMIFS('LAC 102_Wkst'!$AF$7:$AF$2010,'LAC 102_Wkst'!$D$7:$D$2010,$C$7,'LAC 102_Wkst'!$I$7:$I$2010,$C$9,'LAC 102_Wkst'!$E$7:$E$2010,$C32,'LAC 102_Wkst'!$G$7:$G$2010,$D32,'LAC 102_Wkst'!$L$7:$L$2010,"01",'LAC 102_Wkst'!$N$7:$N$2010,"P4")+SUMIFS('LAC 102_Wkst'!$AF$7:$AF$2010,'LAC 102_Wkst'!$D$7:$D$2010,$C$7,'LAC 102_Wkst'!$I$7:$I$2010,$C$9,'LAC 102_Wkst'!$E$7:$E$2010,$C32,'LAC 102_Wkst'!$G$7:$G$2010,$D32,'LAC 102_Wkst'!$L$7:$L$2010,"02",'LAC 102_Wkst'!$N$7:$N$2010,"P4")</f>
        <v>0</v>
      </c>
      <c r="J32" s="410">
        <f>SUMIFS('LAC 102_Wkst'!$Q$7:$Q$2010,'LAC 102_Wkst'!$D$7:$D$2010,$C$7,'LAC 102_Wkst'!$I$7:$I$2010,$C$9,'LAC 102_Wkst'!$E$7:$E$2010,$C32,'LAC 102_Wkst'!$G$7:$G$2010,$D32,'LAC 102_Wkst'!$L$7:$L$2010,"01",'LAC 102_Wkst'!$N$7:$N$2010,"P5")+SUMIFS('LAC 102_Wkst'!$Q$7:$Q$2010,'LAC 102_Wkst'!$D$7:$D$2010,$C$7,'LAC 102_Wkst'!$I$7:$I$2010,$C$9,'LAC 102_Wkst'!$E$7:$E$2010,$C32,'LAC 102_Wkst'!$G$7:$G$2010,$D32,'LAC 102_Wkst'!$L$7:$L$2010,"02",'LAC 102_Wkst'!$N$7:$N$2010,"P5")</f>
        <v>0</v>
      </c>
      <c r="K32" s="411">
        <f>SUMIFS('LAC 102_Wkst'!$AF$7:$AF$2010,'LAC 102_Wkst'!$D$7:$D$2010,$C$7,'LAC 102_Wkst'!$I$7:$I$2010,$C$9,'LAC 102_Wkst'!$E$7:$E$2010,$C32,'LAC 102_Wkst'!$G$7:$G$2010,$D32,'LAC 102_Wkst'!$L$7:$L$2010,"01",'LAC 102_Wkst'!$N$7:$N$2010,"P5")+SUMIFS('LAC 102_Wkst'!$AF$7:$AF$2010,'LAC 102_Wkst'!$D$7:$D$2010,$C$7,'LAC 102_Wkst'!$I$7:$I$2010,$C$9,'LAC 102_Wkst'!$E$7:$E$2010,$C32,'LAC 102_Wkst'!$G$7:$G$2010,$D32,'LAC 102_Wkst'!$L$7:$L$2010,"02",'LAC 102_Wkst'!$N$7:$N$2010,"P5")</f>
        <v>0</v>
      </c>
      <c r="L32" s="410">
        <f>SUMIFS('LAC 102_Wkst'!$Q$7:$Q$2010,'LAC 102_Wkst'!$D$7:$D$2010,$C$7,'LAC 102_Wkst'!$I$7:$I$2010,$C$9,'LAC 102_Wkst'!$E$7:$E$2010,$C32,'LAC 102_Wkst'!$G$7:$G$2010,$D32,'LAC 102_Wkst'!$L$7:$L$2010,"03",'LAC 102_Wkst'!$N$7:$N$2010,"P1")+SUMIFS('LAC 102_Wkst'!$Q$7:$Q$2010,'LAC 102_Wkst'!$D$7:$D$2010,$C$7,'LAC 102_Wkst'!$I$7:$I$2010,$C$9,'LAC 102_Wkst'!$E$7:$E$2010,$C32,'LAC 102_Wkst'!$G$7:$G$2010,$D32,'LAC 102_Wkst'!$L$7:$L$2010,"03",'LAC 102_Wkst'!$N$7:$N$2010,"P2")+SUMIFS('LAC 102_Wkst'!$Q$7:$Q$2010,'LAC 102_Wkst'!$D$7:$D$2010,$C$7,'LAC 102_Wkst'!$I$7:$I$2010,$C$9,'LAC 102_Wkst'!$E$7:$E$2010,$C32,'LAC 102_Wkst'!$G$7:$G$2010,$D32,'LAC 102_Wkst'!$L$7:$L$2010,"03",'LAC 102_Wkst'!$N$7:$N$2010,"P3")+SUMIFS('LAC 102_Wkst'!$Q$7:$Q$2010,'LAC 102_Wkst'!$D$7:$D$2010,$C$7,'LAC 102_Wkst'!$I$7:$I$2010,$C$9,'LAC 102_Wkst'!$E$7:$E$2010,$C32,'LAC 102_Wkst'!$G$7:$G$2010,$D32,'LAC 102_Wkst'!$L$7:$L$2010,"04",'LAC 102_Wkst'!$N$7:$N$2010,"P1")+SUMIFS('LAC 102_Wkst'!$Q$7:$Q$2010,'LAC 102_Wkst'!$D$7:$D$2010,$C$7,'LAC 102_Wkst'!$I$7:$I$2010,$C$9,'LAC 102_Wkst'!$E$7:$E$2010,$C32,'LAC 102_Wkst'!$G$7:$G$2010,$D32,'LAC 102_Wkst'!$L$7:$L$2010,"04",'LAC 102_Wkst'!$N$7:$N$2010,"P2")+SUMIFS('LAC 102_Wkst'!$Q$7:$Q$2010,'LAC 102_Wkst'!$D$7:$D$2010,$C$7,'LAC 102_Wkst'!$I$7:$I$2010,$C$9,'LAC 102_Wkst'!$E$7:$E$2010,$C32,'LAC 102_Wkst'!$G$7:$G$2010,$D32,'LAC 102_Wkst'!$L$7:$L$2010,"04",'LAC 102_Wkst'!$N$7:$N$2010,"P3")</f>
        <v>0</v>
      </c>
      <c r="M32" s="411">
        <f>SUMIFS('LAC 102_Wkst'!$AF$7:$AF$2010,'LAC 102_Wkst'!$D$7:$D$2010,$C$7,'LAC 102_Wkst'!$I$7:$I$2010,$C$9,'LAC 102_Wkst'!$E$7:$E$2010,$C32,'LAC 102_Wkst'!$G$7:$G$2010,$D32,'LAC 102_Wkst'!$L$7:$L$2010,"03",'LAC 102_Wkst'!$N$7:$N$2010,"P1")+SUMIFS('LAC 102_Wkst'!$AF$7:$AF$2010,'LAC 102_Wkst'!$D$7:$D$2010,$C$7,'LAC 102_Wkst'!$I$7:$I$2010,$C$9,'LAC 102_Wkst'!$E$7:$E$2010,$C32,'LAC 102_Wkst'!$G$7:$G$2010,$D32,'LAC 102_Wkst'!$L$7:$L$2010,"03",'LAC 102_Wkst'!$N$7:$N$2010,"P2")+SUMIFS('LAC 102_Wkst'!$AF$7:$AF$2010,'LAC 102_Wkst'!$D$7:$D$2010,$C$7,'LAC 102_Wkst'!$I$7:$I$2010,$C$9,'LAC 102_Wkst'!$E$7:$E$2010,$C32,'LAC 102_Wkst'!$G$7:$G$2010,$D32,'LAC 102_Wkst'!$L$7:$L$2010,"03",'LAC 102_Wkst'!$N$7:$N$2010,"P3")+SUMIFS('LAC 102_Wkst'!$AF$7:$AF$2010,'LAC 102_Wkst'!$D$7:$D$2010,$C$7,'LAC 102_Wkst'!$I$7:$I$2010,$C$9,'LAC 102_Wkst'!$E$7:$E$2010,$C32,'LAC 102_Wkst'!$G$7:$G$2010,$D32,'LAC 102_Wkst'!$L$7:$L$2010,"04",'LAC 102_Wkst'!$N$7:$N$2010,"P1")+SUMIFS('LAC 102_Wkst'!$AF$7:$AF$2010,'LAC 102_Wkst'!$D$7:$D$2010,$C$7,'LAC 102_Wkst'!$I$7:$I$2010,$C$9,'LAC 102_Wkst'!$E$7:$E$2010,$C32,'LAC 102_Wkst'!$G$7:$G$2010,$D32,'LAC 102_Wkst'!$L$7:$L$2010,"04",'LAC 102_Wkst'!$N$7:$N$2010,"P2")+SUMIFS('LAC 102_Wkst'!$AF$7:$AF$2010,'LAC 102_Wkst'!$D$7:$D$2010,$C$7,'LAC 102_Wkst'!$I$7:$I$2010,$C$9,'LAC 102_Wkst'!$E$7:$E$2010,$C32,'LAC 102_Wkst'!$G$7:$G$2010,$D32,'LAC 102_Wkst'!$L$7:$L$2010,"04",'LAC 102_Wkst'!$N$7:$N$2010,"P3")</f>
        <v>0</v>
      </c>
      <c r="N32" s="410">
        <f>SUMIFS('LAC 102_Wkst'!$Q$7:$Q$2010,'LAC 102_Wkst'!$D$7:$D$2010,$C$7,'LAC 102_Wkst'!$I$7:$I$2010,$C$9,'LAC 102_Wkst'!$E$7:$E$2010,$C32,'LAC 102_Wkst'!$G$7:$G$2010,$D32,'LAC 102_Wkst'!$L$7:$L$2010,"03",'LAC 102_Wkst'!$N$7:$N$2010,"P4")+SUMIFS('LAC 102_Wkst'!$Q$7:$Q$2010,'LAC 102_Wkst'!$D$7:$D$2010,$C$7,'LAC 102_Wkst'!$I$7:$I$2010,$C$9,'LAC 102_Wkst'!$E$7:$E$2010,$C32,'LAC 102_Wkst'!$G$7:$G$2010,$D32,'LAC 102_Wkst'!$L$7:$L$2010,"04",'LAC 102_Wkst'!$N$7:$N$2010,"P4")</f>
        <v>0</v>
      </c>
      <c r="O32" s="411">
        <f>SUMIFS('LAC 102_Wkst'!$AF$7:$AF$2010,'LAC 102_Wkst'!$D$7:$D$2010,$C$7,'LAC 102_Wkst'!$I$7:$I$2010,$C$9,'LAC 102_Wkst'!$E$7:$E$2010,$C32,'LAC 102_Wkst'!$G$7:$G$2010,$D32,'LAC 102_Wkst'!$L$7:$L$2010,"03",'LAC 102_Wkst'!$N$7:$N$2010,"P4")+SUMIFS('LAC 102_Wkst'!$AF$7:$AF$2010,'LAC 102_Wkst'!$D$7:$D$2010,$C$7,'LAC 102_Wkst'!$I$7:$I$2010,$C$9,'LAC 102_Wkst'!$E$7:$E$2010,$C32,'LAC 102_Wkst'!$G$7:$G$2010,$D32,'LAC 102_Wkst'!$L$7:$L$2010,"04",'LAC 102_Wkst'!$N$7:$N$2010,"P4")</f>
        <v>0</v>
      </c>
      <c r="P32" s="404">
        <f>SUMIFS('LAC 102_Wkst'!$Q$7:$Q$2010,'LAC 102_Wkst'!$D$7:$D$2010,$C$7,'LAC 102_Wkst'!$I$7:$I$2010,$C$9,'LAC 102_Wkst'!$E$7:$E$2010,$C32,'LAC 102_Wkst'!$G$7:$G$2010,$D32,'LAC 102_Wkst'!$L$7:$L$2010,"03",'LAC 102_Wkst'!$N$7:$N$2010,"P5")+SUMIFS('LAC 102_Wkst'!$Q$7:$Q$2010,'LAC 102_Wkst'!$D$7:$D$2010,$C$7,'LAC 102_Wkst'!$I$7:$I$2010,$C$9,'LAC 102_Wkst'!$E$7:$E$2010,$C32,'LAC 102_Wkst'!$G$7:$G$2010,$D32,'LAC 102_Wkst'!$L$7:$L$2010,"04",'LAC 102_Wkst'!$N$7:$N$2010,"P5")</f>
        <v>0</v>
      </c>
      <c r="Q32" s="411">
        <f>SUMIFS('LAC 102_Wkst'!$AF$7:$AF$2010,'LAC 102_Wkst'!$D$7:$D$2010,$C$7,'LAC 102_Wkst'!$I$7:$I$2010,$C$9,'LAC 102_Wkst'!$E$7:$E$2010,$C32,'LAC 102_Wkst'!$G$7:$G$2010,$D32,'LAC 102_Wkst'!$L$7:$L$2010,"03",'LAC 102_Wkst'!$N$7:$N$2010,"P5")+SUMIFS('LAC 102_Wkst'!$AF$7:$AF$2010,'LAC 102_Wkst'!$D$7:$D$2010,$C$7,'LAC 102_Wkst'!$I$7:$I$2010,$C$9,'LAC 102_Wkst'!$E$7:$E$2010,$C32,'LAC 102_Wkst'!$G$7:$G$2010,$D32,'LAC 102_Wkst'!$L$7:$L$2010,"04",'LAC 102_Wkst'!$N$7:$N$2010,"P5")</f>
        <v>0</v>
      </c>
      <c r="R32" s="412">
        <f>SUMIFS('LAC 102_Wkst'!$Q$7:$Q$2010,'LAC 102_Wkst'!$D$7:$D$2010,$C$7,'LAC 102_Wkst'!$I$7:$I$2010,$C$9,'LAC 102_Wkst'!$E$7:$E$2010,$C32,'LAC 102_Wkst'!$G$7:$G$2010,$D32,'LAC 102_Wkst'!$L$7:$L$2010,"05",'LAC 102_Wkst'!$N$7:$N$2010,"P1")+SUMIFS('LAC 102_Wkst'!$Q$7:$Q$2010,'LAC 102_Wkst'!$D$7:$D$2010,$C$7,'LAC 102_Wkst'!$I$7:$I$2010,$C$9,'LAC 102_Wkst'!$E$7:$E$2010,$C32,'LAC 102_Wkst'!$G$7:$G$2010,$D32,'LAC 102_Wkst'!$L$7:$L$2010,"06",'LAC 102_Wkst'!$N$7:$N$2010,"P1")</f>
        <v>0</v>
      </c>
      <c r="S32" s="411">
        <f>SUMIFS('LAC 102_Wkst'!$AF$7:$AF$2010,'LAC 102_Wkst'!$D$7:$D$2010,$C$7,'LAC 102_Wkst'!$I$7:$I$2010,$C$9,'LAC 102_Wkst'!$E$7:$E$2010,$C32,'LAC 102_Wkst'!$G$7:$G$2010,$D32,'LAC 102_Wkst'!$L$7:$L$2010,"05",'LAC 102_Wkst'!$N$7:$N$2010,"P1")+SUMIFS('LAC 102_Wkst'!$AF$7:$AF$2010,'LAC 102_Wkst'!$D$7:$D$2010,$C$7,'LAC 102_Wkst'!$I$7:$I$2010,$C$9,'LAC 102_Wkst'!$E$7:$E$2010,$C32,'LAC 102_Wkst'!$G$7:$G$2010,$D32,'LAC 102_Wkst'!$L$7:$L$2010,"06",'LAC 102_Wkst'!$N$7:$N$2010,"P1")</f>
        <v>0</v>
      </c>
      <c r="T32" s="410">
        <f>SUMIFS('LAC 102_Wkst'!$Q$7:$Q$2010,'LAC 102_Wkst'!$D$7:$D$2010,$C$7,'LAC 102_Wkst'!$I$7:$I$2010,$C$9,'LAC 102_Wkst'!$E$7:$E$2010,$C32,'LAC 102_Wkst'!$G$7:$G$2010,$D32,'LAC 102_Wkst'!$L$7:$L$2010,"05",'LAC 102_Wkst'!$N$7:$N$2010,"P2")+SUMIFS('LAC 102_Wkst'!$Q$7:$Q$2010,'LAC 102_Wkst'!$D$7:$D$2010,$C$7,'LAC 102_Wkst'!$I$7:$I$2010,$C$9,'LAC 102_Wkst'!$E$7:$E$2010,$C32,'LAC 102_Wkst'!$G$7:$G$2010,$D32,'LAC 102_Wkst'!$L$7:$L$2010,"06",'LAC 102_Wkst'!$N$7:$N$2010,"P2")+SUMIFS('LAC 102_Wkst'!$Q$7:$Q$2010,'LAC 102_Wkst'!$D$7:$D$2010,$C$7,'LAC 102_Wkst'!$I$7:$I$2010,$C$9,'LAC 102_Wkst'!$E$7:$E$2010,$C32,'LAC 102_Wkst'!$G$7:$G$2010,$D32,'LAC 102_Wkst'!$L$7:$L$2010,"05",'LAC 102_Wkst'!$N$7:$N$2010,"P3")+SUMIFS('LAC 102_Wkst'!$Q$7:$Q$2010,'LAC 102_Wkst'!$D$7:$D$2010,$C$7,'LAC 102_Wkst'!$I$7:$I$2010,$C$9,'LAC 102_Wkst'!$E$7:$E$2010,$C32,'LAC 102_Wkst'!$G$7:$G$2010,$D32,'LAC 102_Wkst'!$L$7:$L$2010,"06",'LAC 102_Wkst'!$N$7:$N$2010,"P3")</f>
        <v>0</v>
      </c>
      <c r="U32" s="411">
        <f>SUMIFS('LAC 102_Wkst'!$AF$7:$AF$2010,'LAC 102_Wkst'!$D$7:$D$2010,$C$7,'LAC 102_Wkst'!$I$7:$I$2010,$C$9,'LAC 102_Wkst'!$E$7:$E$2010,$C32,'LAC 102_Wkst'!$G$7:$G$2010,$D32,'LAC 102_Wkst'!$L$7:$L$2010,"05",'LAC 102_Wkst'!$N$7:$N$2010,"P2")+SUMIFS('LAC 102_Wkst'!$AF$7:$AF$2010,'LAC 102_Wkst'!$D$7:$D$2010,$C$7,'LAC 102_Wkst'!$I$7:$I$2010,$C$9,'LAC 102_Wkst'!$E$7:$E$2010,$C32,'LAC 102_Wkst'!$G$7:$G$2010,$D32,'LAC 102_Wkst'!$L$7:$L$2010,"06",'LAC 102_Wkst'!$N$7:$N$2010,"P2")+SUMIFS('LAC 102_Wkst'!$AF$7:$AF$2010,'LAC 102_Wkst'!$D$7:$D$2010,$C$7,'LAC 102_Wkst'!$I$7:$I$2010,$C$9,'LAC 102_Wkst'!$E$7:$E$2010,$C32,'LAC 102_Wkst'!$G$7:$G$2010,$D32,'LAC 102_Wkst'!$L$7:$L$2010,"05",'LAC 102_Wkst'!$N$7:$N$2010,"P3")+SUMIFS('LAC 102_Wkst'!$AF$7:$AF$2010,'LAC 102_Wkst'!$D$7:$D$2010,$C$7,'LAC 102_Wkst'!$I$7:$I$2010,$C$9,'LAC 102_Wkst'!$E$7:$E$2010,$C32,'LAC 102_Wkst'!$G$7:$G$2010,$D32,'LAC 102_Wkst'!$L$7:$L$2010,"06",'LAC 102_Wkst'!$N$7:$N$2010,"P3")</f>
        <v>0</v>
      </c>
      <c r="V32" s="410">
        <f>SUMIFS('LAC 102_Wkst'!$Q$7:$Q$2010,'LAC 102_Wkst'!$D$7:$D$2010,$C$7,'LAC 102_Wkst'!$I$7:$I$2010,$C$9,'LAC 102_Wkst'!$E$7:$E$2010,$C32,'LAC 102_Wkst'!$G$7:$G$2010,$D32,'LAC 102_Wkst'!$L$7:$L$2010,"05",'LAC 102_Wkst'!$N$7:$N$2010,"P4")+SUMIFS('LAC 102_Wkst'!$Q$7:$Q$2010,'LAC 102_Wkst'!$D$7:$D$2010,$C$7,'LAC 102_Wkst'!$I$7:$I$2010,$C$9,'LAC 102_Wkst'!$E$7:$E$2010,$C32,'LAC 102_Wkst'!$G$7:$G$2010,$D32,'LAC 102_Wkst'!$L$7:$L$2010,"06",'LAC 102_Wkst'!$N$7:$N$2010,"P4")</f>
        <v>0</v>
      </c>
      <c r="W32" s="411">
        <f>SUMIFS('LAC 102_Wkst'!$AF$7:$AF$2010,'LAC 102_Wkst'!$D$7:$D$2010,$C$7,'LAC 102_Wkst'!$I$7:$I$2010,$C$9,'LAC 102_Wkst'!$E$7:$E$2010,$C32,'LAC 102_Wkst'!$G$7:$G$2010,$D32,'LAC 102_Wkst'!$L$7:$L$2010,"05",'LAC 102_Wkst'!$N$7:$N$2010,"P4")+SUMIFS('LAC 102_Wkst'!$AF$7:$AF$2010,'LAC 102_Wkst'!$D$7:$D$2010,$C$7,'LAC 102_Wkst'!$I$7:$I$2010,$C$9,'LAC 102_Wkst'!$E$7:$E$2010,$C32,'LAC 102_Wkst'!$G$7:$G$2010,$D32,'LAC 102_Wkst'!$L$7:$L$2010,"06",'LAC 102_Wkst'!$N$7:$N$2010,"P4")</f>
        <v>0</v>
      </c>
      <c r="X32" s="404">
        <f>SUMIFS('LAC 102_Wkst'!$Q$7:$Q$2010,'LAC 102_Wkst'!$D$7:$D$2010,$C$7,'LAC 102_Wkst'!$I$7:$I$2010,$C$9,'LAC 102_Wkst'!$E$7:$E$2010,$C32,'LAC 102_Wkst'!$G$7:$G$2010,$D32,'LAC 102_Wkst'!$L$7:$L$2010,"05",'LAC 102_Wkst'!$N$7:$N$2010,"P5")+SUMIFS('LAC 102_Wkst'!$Q$7:$Q$2010,'LAC 102_Wkst'!$D$7:$D$2010,$C$7,'LAC 102_Wkst'!$I$7:$I$2010,$C$9,'LAC 102_Wkst'!$E$7:$E$2010,$C32,'LAC 102_Wkst'!$G$7:$G$2010,$D32,'LAC 102_Wkst'!$L$7:$L$2010,"06",'LAC 102_Wkst'!$N$7:$N$2010,"P5")</f>
        <v>0</v>
      </c>
      <c r="Y32" s="411">
        <f>SUMIFS('LAC 102_Wkst'!$AF$7:$AF$2010,'LAC 102_Wkst'!$D$7:$D$2010,$C$7,'LAC 102_Wkst'!$I$7:$I$2010,$C$9,'LAC 102_Wkst'!$E$7:$E$2010,$C32,'LAC 102_Wkst'!$G$7:$G$2010,$D32,'LAC 102_Wkst'!$L$7:$L$2010,"05",'LAC 102_Wkst'!$N$7:$N$2010,"P5")+SUMIFS('LAC 102_Wkst'!$AF$7:$AF$2010,'LAC 102_Wkst'!$D$7:$D$2010,$C$7,'LAC 102_Wkst'!$I$7:$I$2010,$C$9,'LAC 102_Wkst'!$E$7:$E$2010,$C32,'LAC 102_Wkst'!$G$7:$G$2010,$D32,'LAC 102_Wkst'!$L$7:$L$2010,"06",'LAC 102_Wkst'!$N$7:$N$2010,"P5")</f>
        <v>0</v>
      </c>
      <c r="Z32" s="410">
        <f>SUMIFS('LAC 102_Wkst'!$Q$7:$Q$2010,'LAC 102_Wkst'!$D$7:$D$2010,$C$7,'LAC 102_Wkst'!$I$7:$I$2010,$C$9,'LAC 102_Wkst'!$E$7:$E$2010,$C32,'LAC 102_Wkst'!$G$7:$G$2010,$D32,'LAC 102_Wkst'!$L$7:$L$2010,"07",'LAC 102_Wkst'!$N$7:$N$2010,"P1")+SUMIFS('LAC 102_Wkst'!$Q$7:$Q$2010,'LAC 102_Wkst'!$D$7:$D$2010,$C$7,'LAC 102_Wkst'!$I$7:$I$2010,$C$9,'LAC 102_Wkst'!$E$7:$E$2010,$C32,'LAC 102_Wkst'!$G$7:$G$2010,$D32,'LAC 102_Wkst'!$L$7:$L$2010,"07",'LAC 102_Wkst'!$N$7:$N$2010,"P2")+SUMIFS('LAC 102_Wkst'!$Q$7:$Q$2010,'LAC 102_Wkst'!$D$7:$D$2010,$C$7,'LAC 102_Wkst'!$I$7:$I$2010,$C$9,'LAC 102_Wkst'!$E$7:$E$2010,$C32,'LAC 102_Wkst'!$G$7:$G$2010,$D32,'LAC 102_Wkst'!$L$7:$L$2010,"07",'LAC 102_Wkst'!$N$7:$N$2010,"P3")</f>
        <v>0</v>
      </c>
      <c r="AA32" s="411">
        <f>SUMIFS('LAC 102_Wkst'!$AF$7:$AF$2010,'LAC 102_Wkst'!$D$7:$D$2010,$C$7,'LAC 102_Wkst'!$I$7:$I$2010,$C$9,'LAC 102_Wkst'!$E$7:$E$2010,$C32,'LAC 102_Wkst'!$G$7:$G$2010,$D32,'LAC 102_Wkst'!$L$7:$L$2010,"07",'LAC 102_Wkst'!$N$7:$N$2010,"P1")+SUMIFS('LAC 102_Wkst'!$AF$7:$AF$2010,'LAC 102_Wkst'!$D$7:$D$2010,$C$7,'LAC 102_Wkst'!$I$7:$I$2010,$C$9,'LAC 102_Wkst'!$E$7:$E$2010,$C32,'LAC 102_Wkst'!$G$7:$G$2010,$D32,'LAC 102_Wkst'!$L$7:$L$2010,"07",'LAC 102_Wkst'!$N$7:$N$2010,"P2")+SUMIFS('LAC 102_Wkst'!$AF$7:$AF$2010,'LAC 102_Wkst'!$D$7:$D$2010,$C$7,'LAC 102_Wkst'!$I$7:$I$2010,$C$9,'LAC 102_Wkst'!$E$7:$E$2010,$C32,'LAC 102_Wkst'!$G$7:$G$2010,$D32,'LAC 102_Wkst'!$L$7:$L$2010,"07",'LAC 102_Wkst'!$N$7:$N$2010,"P3")</f>
        <v>0</v>
      </c>
      <c r="AB32" s="410">
        <f>SUMIFS('LAC 102_Wkst'!$Q$7:$Q$2010,'LAC 102_Wkst'!$D$7:$D$2010,$C$7,'LAC 102_Wkst'!$I$7:$I$2010,$C$9,'LAC 102_Wkst'!$E$7:$E$2010,$C32,'LAC 102_Wkst'!$G$7:$G$2010,$D32,'LAC 102_Wkst'!$L$7:$L$2010,"07",'LAC 102_Wkst'!$N$7:$N$2010,"P4")</f>
        <v>0</v>
      </c>
      <c r="AC32" s="411">
        <f>SUMIFS('LAC 102_Wkst'!$AF$7:$AF$2010,'LAC 102_Wkst'!$D$7:$D$2010,$C$7,'LAC 102_Wkst'!$I$7:$I$2010,$C$9,'LAC 102_Wkst'!$E$7:$E$2010,$C32,'LAC 102_Wkst'!$G$7:$G$2010,$D32,'LAC 102_Wkst'!$L$7:$L$2010,"07",'LAC 102_Wkst'!$N$7:$N$2010,"P4")</f>
        <v>0</v>
      </c>
      <c r="AD32" s="404">
        <f>SUMIFS('LAC 102_Wkst'!$Q$7:$Q$2010,'LAC 102_Wkst'!$D$7:$D$2010,$C$7,'LAC 102_Wkst'!$I$7:$I$2010,$C$9,'LAC 102_Wkst'!$E$7:$E$2010,$C32,'LAC 102_Wkst'!$G$7:$G$2010,$D32,'LAC 102_Wkst'!$L$7:$L$2010,"07",'LAC 102_Wkst'!$N$7:$N$2010,"P5")</f>
        <v>0</v>
      </c>
      <c r="AE32" s="411">
        <f>SUMIFS('LAC 102_Wkst'!$AF$7:$AF$2010,'LAC 102_Wkst'!$D$7:$D$2010,$C$7,'LAC 102_Wkst'!$I$7:$I$2010,$C$9,'LAC 102_Wkst'!$E$7:$E$2010,$C32,'LAC 102_Wkst'!$G$7:$G$2010,$D32,'LAC 102_Wkst'!$L$7:$L$2010,"07",'LAC 102_Wkst'!$N$7:$N$2010,"P5")</f>
        <v>0</v>
      </c>
      <c r="AF32" s="410">
        <f>SUMIFS('LAC 102_Wkst'!$Q$7:$Q$2010,'LAC 102_Wkst'!$D$7:$D$2010,$C$7,'LAC 102_Wkst'!$I$7:$I$2010,$C$9,'LAC 102_Wkst'!$E$7:$E$2010,$C32,'LAC 102_Wkst'!$G$7:$G$2010,$D32,'LAC 102_Wkst'!$L$7:$L$2010,"08",'LAC 102_Wkst'!$N$7:$N$2010,"P1")+SUMIFS('LAC 102_Wkst'!$Q$7:$Q$2010,'LAC 102_Wkst'!$D$7:$D$2010,$C$7,'LAC 102_Wkst'!$I$7:$I$2010,$C$9,'LAC 102_Wkst'!$E$7:$E$2010,$C32,'LAC 102_Wkst'!$G$7:$G$2010,$D32,'LAC 102_Wkst'!$L$7:$L$2010,"08",'LAC 102_Wkst'!$N$7:$N$2010,"P2")+SUMIFS('LAC 102_Wkst'!$Q$7:$Q$2010,'LAC 102_Wkst'!$D$7:$D$2010,$C$7,'LAC 102_Wkst'!$I$7:$I$2010,$C$9,'LAC 102_Wkst'!$E$7:$E$2010,$C32,'LAC 102_Wkst'!$G$7:$G$2010,$D32,'LAC 102_Wkst'!$L$7:$L$2010,"08",'LAC 102_Wkst'!$N$7:$N$2010,"P3")</f>
        <v>0</v>
      </c>
      <c r="AG32" s="411">
        <f>SUMIFS('LAC 102_Wkst'!$AF$7:$AF$2010,'LAC 102_Wkst'!$D$7:$D$2010,$C$7,'LAC 102_Wkst'!$I$7:$I$2010,$C$9,'LAC 102_Wkst'!$E$7:$E$2010,$C32,'LAC 102_Wkst'!$G$7:$G$2010,$D32,'LAC 102_Wkst'!$L$7:$L$2010,"08",'LAC 102_Wkst'!$N$7:$N$2010,"P1")+SUMIFS('LAC 102_Wkst'!$AF$7:$AF$2010,'LAC 102_Wkst'!$D$7:$D$2010,$C$7,'LAC 102_Wkst'!$I$7:$I$2010,$C$9,'LAC 102_Wkst'!$E$7:$E$2010,$C32,'LAC 102_Wkst'!$G$7:$G$2010,$D32,'LAC 102_Wkst'!$L$7:$L$2010,"08",'LAC 102_Wkst'!$N$7:$N$2010,"P2")+SUMIFS('LAC 102_Wkst'!$AF$7:$AF$2010,'LAC 102_Wkst'!$D$7:$D$2010,$C$7,'LAC 102_Wkst'!$I$7:$I$2010,$C$9,'LAC 102_Wkst'!$E$7:$E$2010,$C32,'LAC 102_Wkst'!$G$7:$G$2010,$D32,'LAC 102_Wkst'!$L$7:$L$2010,"08",'LAC 102_Wkst'!$N$7:$N$2010,"P3")</f>
        <v>0</v>
      </c>
      <c r="AH32" s="410">
        <f>SUMIFS('LAC 102_Wkst'!$Q$7:$Q$2010,'LAC 102_Wkst'!$D$7:$D$2010,$C$7,'LAC 102_Wkst'!$I$7:$I$2010,$C$9,'LAC 102_Wkst'!$E$7:$E$2010,$C32,'LAC 102_Wkst'!$G$7:$G$2010,$D32,'LAC 102_Wkst'!$L$7:$L$2010,"08",'LAC 102_Wkst'!$N$7:$N$2010,"P4")</f>
        <v>0</v>
      </c>
      <c r="AI32" s="411">
        <f>SUMIFS('LAC 102_Wkst'!$AF$7:$AF$2010,'LAC 102_Wkst'!$D$7:$D$2010,$C$7,'LAC 102_Wkst'!$I$7:$I$2010,$C$9,'LAC 102_Wkst'!$E$7:$E$2010,$C32,'LAC 102_Wkst'!$G$7:$G$2010,$D32,'LAC 102_Wkst'!$L$7:$L$2010,"08",'LAC 102_Wkst'!$N$7:$N$2010,"P4")</f>
        <v>0</v>
      </c>
      <c r="AJ32" s="404">
        <f>SUMIFS('LAC 102_Wkst'!$Q$7:$Q$2010,'LAC 102_Wkst'!$D$7:$D$2010,$C$7,'LAC 102_Wkst'!$I$7:$I$2010,$C$9,'LAC 102_Wkst'!$E$7:$E$2010,$C32,'LAC 102_Wkst'!$G$7:$G$2010,$D32,'LAC 102_Wkst'!$L$7:$L$2010,"08",'LAC 102_Wkst'!$N$7:$N$2010,"P5")</f>
        <v>0</v>
      </c>
      <c r="AK32" s="411">
        <f>SUMIFS('LAC 102_Wkst'!$AF$7:$AF$2010,'LAC 102_Wkst'!$D$7:$D$2010,$C$7,'LAC 102_Wkst'!$I$7:$I$2010,$C$9,'LAC 102_Wkst'!$E$7:$E$2010,$C32,'LAC 102_Wkst'!$G$7:$G$2010,$D32,'LAC 102_Wkst'!$L$7:$L$2010,"08",'LAC 102_Wkst'!$N$7:$N$2010,"P5")</f>
        <v>0</v>
      </c>
      <c r="AL32" s="410">
        <f>SUMIFS('LAC 102_Wkst'!$Q$7:$Q$2010,'LAC 102_Wkst'!$D$7:$D$2010,$C$7,'LAC 102_Wkst'!$I$7:$I$2010,$C$9,'LAC 102_Wkst'!$E$7:$E$2010,$C32,'LAC 102_Wkst'!$G$7:$G$2010,$D32,'LAC 102_Wkst'!$L$7:$L$2010,"09",'LAC 102_Wkst'!$N$7:$N$2010,"P1")+SUMIFS('LAC 102_Wkst'!$Q$7:$Q$2010,'LAC 102_Wkst'!$D$7:$D$2010,$C$7,'LAC 102_Wkst'!$I$7:$I$2010,$C$9,'LAC 102_Wkst'!$E$7:$E$2010,$C32,'LAC 102_Wkst'!$G$7:$G$2010,$D32,'LAC 102_Wkst'!$L$7:$L$2010,"09",'LAC 102_Wkst'!$N$7:$N$2010,"P2")+SUMIFS('LAC 102_Wkst'!$Q$7:$Q$2010,'LAC 102_Wkst'!$D$7:$D$2010,$C$7,'LAC 102_Wkst'!$I$7:$I$2010,$C$9,'LAC 102_Wkst'!$E$7:$E$2010,$C32,'LAC 102_Wkst'!$G$7:$G$2010,$D32,'LAC 102_Wkst'!$L$7:$L$2010,"09",'LAC 102_Wkst'!$N$7:$N$2010,"P3")+SUMIFS('LAC 102_Wkst'!$Q$7:$Q$2010,'LAC 102_Wkst'!$D$7:$D$2010,$C$7,'LAC 102_Wkst'!$I$7:$I$2010,$C$9,'LAC 102_Wkst'!$E$7:$E$2010,$C32,'LAC 102_Wkst'!$G$7:$G$2010,$D32,'LAC 102_Wkst'!$L$7:$L$2010,"09",'LAC 102_Wkst'!$N$7:$N$2010,"P4")</f>
        <v>0</v>
      </c>
      <c r="AM32" s="411">
        <f>SUMIFS('LAC 102_Wkst'!$AF$7:$AF$2010,'LAC 102_Wkst'!$D$7:$D$2010,$C$7,'LAC 102_Wkst'!$I$7:$I$2010,$C$9,'LAC 102_Wkst'!$E$7:$E$2010,$C32,'LAC 102_Wkst'!$G$7:$G$2010,$D32,'LAC 102_Wkst'!$L$7:$L$2010,"09",'LAC 102_Wkst'!$N$7:$N$2010,"P1")+SUMIFS('LAC 102_Wkst'!$AF$7:$AF$2010,'LAC 102_Wkst'!$D$7:$D$2010,$C$7,'LAC 102_Wkst'!$I$7:$I$2010,$C$9,'LAC 102_Wkst'!$E$7:$E$2010,$C32,'LAC 102_Wkst'!$G$7:$G$2010,$D32,'LAC 102_Wkst'!$L$7:$L$2010,"09",'LAC 102_Wkst'!$N$7:$N$2010,"P2")+SUMIFS('LAC 102_Wkst'!$AF$7:$AF$2010,'LAC 102_Wkst'!$D$7:$D$2010,$C$7,'LAC 102_Wkst'!$I$7:$I$2010,$C$9,'LAC 102_Wkst'!$E$7:$E$2010,$C32,'LAC 102_Wkst'!$G$7:$G$2010,$D32,'LAC 102_Wkst'!$L$7:$L$2010,"09",'LAC 102_Wkst'!$N$7:$N$2010,"P3")+SUMIFS('LAC 102_Wkst'!$AF$7:$AF$2010,'LAC 102_Wkst'!$D$7:$D$2010,$C$7,'LAC 102_Wkst'!$I$7:$I$2010,$C$9,'LAC 102_Wkst'!$E$7:$E$2010,$C32,'LAC 102_Wkst'!$G$7:$G$2010,$D32,'LAC 102_Wkst'!$L$7:$L$2010,"09",'LAC 102_Wkst'!$N$7:$N$2010,"P4")</f>
        <v>0</v>
      </c>
      <c r="AN32" s="410">
        <f>SUMIFS('LAC 102_Wkst'!$Q$7:$Q$2010,'LAC 102_Wkst'!$D$7:$D$2010,$C$7,'LAC 102_Wkst'!$I$7:$I$2010,$C$9,'LAC 102_Wkst'!$E$7:$E$2010,$C32,'LAC 102_Wkst'!$G$7:$G$2010,$D32,'LAC 102_Wkst'!$L$7:$L$2010,"09",'LAC 102_Wkst'!$N$7:$N$2010,"P5")</f>
        <v>0</v>
      </c>
      <c r="AO32" s="411">
        <f>SUMIFS('LAC 102_Wkst'!$AF$7:$AF$2010,'LAC 102_Wkst'!$D$7:$D$2010,$C$7,'LAC 102_Wkst'!$I$7:$I$2010,$C$9,'LAC 102_Wkst'!$E$7:$E$2010,$C32,'LAC 102_Wkst'!$G$7:$G$2010,$D32,'LAC 102_Wkst'!$L$7:$L$2010,"09",'LAC 102_Wkst'!$N$7:$N$2010,"P5")</f>
        <v>0</v>
      </c>
      <c r="AP32" s="404">
        <f>SUMIFS('LAC 102_Wkst'!$Q$7:$Q$2010,'LAC 102_Wkst'!$D$7:$D$2010,$C$7,'LAC 102_Wkst'!$I$7:$I$2010,$C$9,'LAC 102_Wkst'!$E$7:$E$2010,$C32,'LAC 102_Wkst'!$G$7:$G$2010,$D32,'LAC 102_Wkst'!$L$7:$L$2010,"10",'LAC 102_Wkst'!$N$7:$N$2010,"P1")+SUMIFS('LAC 102_Wkst'!$Q$7:$Q$2010,'LAC 102_Wkst'!$D$7:$D$2010,$C$7,'LAC 102_Wkst'!$I$7:$I$2010,$C$9,'LAC 102_Wkst'!$E$7:$E$2010,$C32,'LAC 102_Wkst'!$G$7:$G$2010,$D32,'LAC 102_Wkst'!$L$7:$L$2010,"10",'LAC 102_Wkst'!$N$7:$N$2010,"P2")+SUMIFS('LAC 102_Wkst'!$Q$7:$Q$2010,'LAC 102_Wkst'!$D$7:$D$2010,$C$7,'LAC 102_Wkst'!$I$7:$I$2010,$C$9,'LAC 102_Wkst'!$E$7:$E$2010,$C32,'LAC 102_Wkst'!$G$7:$G$2010,$D32,'LAC 102_Wkst'!$L$7:$L$2010,"10",'LAC 102_Wkst'!$N$7:$N$2010,"P3")+SUMIFS('LAC 102_Wkst'!$Q$7:$Q$2010,'LAC 102_Wkst'!$D$7:$D$2010,$C$7,'LAC 102_Wkst'!$I$7:$I$2010,$C$9,'LAC 102_Wkst'!$E$7:$E$2010,$C32,'LAC 102_Wkst'!$G$7:$G$2010,$D32,'LAC 102_Wkst'!$L$7:$L$2010,"10",'LAC 102_Wkst'!$N$7:$N$2010,"P4")</f>
        <v>1147</v>
      </c>
      <c r="AQ32" s="411">
        <f>SUMIFS('LAC 102_Wkst'!$AF$7:$AF$2010,'LAC 102_Wkst'!$D$7:$D$2010,$C$7,'LAC 102_Wkst'!$I$7:$I$2010,$C$9,'LAC 102_Wkst'!$E$7:$E$2010,$C32,'LAC 102_Wkst'!$G$7:$G$2010,$D32,'LAC 102_Wkst'!$L$7:$L$2010,"10",'LAC 102_Wkst'!$N$7:$N$2010,"P1")+SUMIFS('LAC 102_Wkst'!$AF$7:$AF$2010,'LAC 102_Wkst'!$D$7:$D$2010,$C$7,'LAC 102_Wkst'!$I$7:$I$2010,$C$9,'LAC 102_Wkst'!$E$7:$E$2010,$C32,'LAC 102_Wkst'!$G$7:$G$2010,$D32,'LAC 102_Wkst'!$L$7:$L$2010,"10",'LAC 102_Wkst'!$N$7:$N$2010,"P2")+SUMIFS('LAC 102_Wkst'!$AF$7:$AF$2010,'LAC 102_Wkst'!$D$7:$D$2010,$C$7,'LAC 102_Wkst'!$I$7:$I$2010,$C$9,'LAC 102_Wkst'!$E$7:$E$2010,$C32,'LAC 102_Wkst'!$G$7:$G$2010,$D32,'LAC 102_Wkst'!$L$7:$L$2010,"10",'LAC 102_Wkst'!$N$7:$N$2010,"P3")+SUMIFS('LAC 102_Wkst'!$AF$7:$AF$2010,'LAC 102_Wkst'!$D$7:$D$2010,$C$7,'LAC 102_Wkst'!$I$7:$I$2010,$C$9,'LAC 102_Wkst'!$E$7:$E$2010,$C32,'LAC 102_Wkst'!$G$7:$G$2010,$D32,'LAC 102_Wkst'!$L$7:$L$2010,"10",'LAC 102_Wkst'!$N$7:$N$2010,"P4")</f>
        <v>6808.9307232307256</v>
      </c>
      <c r="AR32" s="410">
        <f>SUMIFS('LAC 102_Wkst'!$Q$7:$Q$2010,'LAC 102_Wkst'!$D$7:$D$2010,$C$7,'LAC 102_Wkst'!$I$7:$I$2010,$C$9,'LAC 102_Wkst'!$E$7:$E$2010,$C32,'LAC 102_Wkst'!$G$7:$G$2010,$D32,'LAC 102_Wkst'!$L$7:$L$2010,"10",'LAC 102_Wkst'!$N$7:$N$2010,"P5")</f>
        <v>0</v>
      </c>
      <c r="AS32" s="411">
        <f>SUMIFS('LAC 102_Wkst'!$AF$7:$AF$2010,'LAC 102_Wkst'!$D$7:$D$2010,$C$7,'LAC 102_Wkst'!$I$7:$I$2010,$C$9,'LAC 102_Wkst'!$E$7:$E$2010,$C32,'LAC 102_Wkst'!$G$7:$G$2010,$D32,'LAC 102_Wkst'!$L$7:$L$2010,"10",'LAC 102_Wkst'!$N$7:$N$2010,"P5")</f>
        <v>0</v>
      </c>
      <c r="AT32" s="410">
        <f>SUMIFS('LAC 102_Wkst'!$Q$7:$Q$2010,'LAC 102_Wkst'!$D$7:$D$2010,$C$7,'LAC 102_Wkst'!$I$7:$I$2010,$C$9,'LAC 102_Wkst'!$E$7:$E$2010,$C32,'LAC 102_Wkst'!$G$7:$G$2010,$D32,'LAC 102_Wkst'!$L$7:$L$2010,"11",'LAC 102_Wkst'!$N$7:$N$2010,"P1")+SUMIFS('LAC 102_Wkst'!$Q$7:$Q$2010,'LAC 102_Wkst'!$D$7:$D$2010,$C$7,'LAC 102_Wkst'!$I$7:$I$2010,$C$9,'LAC 102_Wkst'!$E$7:$E$2010,$C32,'LAC 102_Wkst'!$G$7:$G$2010,$D32,'LAC 102_Wkst'!$L$7:$L$2010,"12",'LAC 102_Wkst'!$N$7:$N$2010,"P1")</f>
        <v>0</v>
      </c>
      <c r="AU32" s="411">
        <f>SUMIFS('LAC 102_Wkst'!$Q$7:$Q$2010,'LAC 102_Wkst'!$D$7:$D$2010,$C$7,'LAC 102_Wkst'!$I$7:$I$2010,$C$9,'LAC 102_Wkst'!$E$7:$E$2010,$C32,'LAC 102_Wkst'!$G$7:$G$2010,$D32,'LAC 102_Wkst'!$L$7:$L$2010,"13",'LAC 102_Wkst'!$N$7:$N$2010,"P5")</f>
        <v>0</v>
      </c>
      <c r="AV32" s="404">
        <f>SUMIFS('LAC 102_Wkst'!$Q$7:$Q$2010,'LAC 102_Wkst'!$D$7:$D$2010,$C$7,'LAC 102_Wkst'!$I$7:$I$2010,$C$9,'LAC 102_Wkst'!$E$7:$E$2010,$C32,'LAC 102_Wkst'!$G$7:$G$2010,$D32,'LAC 102_Wkst'!$L$7:$L$2010,"11",'LAC 102_Wkst'!$N$7:$N$2010,"P2")+SUMIFS('LAC 102_Wkst'!$Q$7:$Q$2010,'LAC 102_Wkst'!$D$7:$D$2010,$C$7,'LAC 102_Wkst'!$I$7:$I$2010,$C$9,'LAC 102_Wkst'!$E$7:$E$2010,$C32,'LAC 102_Wkst'!$G$7:$G$2010,$D32,'LAC 102_Wkst'!$L$7:$L$2010,"12",'LAC 102_Wkst'!$N$7:$N$2010,"P2")+SUMIFS('LAC 102_Wkst'!$Q$7:$Q$2010,'LAC 102_Wkst'!$D$7:$D$2010,$C$7,'LAC 102_Wkst'!$I$7:$I$2010,$C$9,'LAC 102_Wkst'!$E$7:$E$2010,$C32,'LAC 102_Wkst'!$G$7:$G$2010,$D32,'LAC 102_Wkst'!$L$7:$L$2010,"11",'LAC 102_Wkst'!$N$7:$N$2010,"P3")+SUMIFS('LAC 102_Wkst'!$Q$7:$Q$2010,'LAC 102_Wkst'!$D$7:$D$2010,$C$7,'LAC 102_Wkst'!$I$7:$I$2010,$C$9,'LAC 102_Wkst'!$E$7:$E$2010,$C32,'LAC 102_Wkst'!$G$7:$G$2010,$D32,'LAC 102_Wkst'!$L$7:$L$2010,"12",'LAC 102_Wkst'!$N$7:$N$2010,"P3")</f>
        <v>0</v>
      </c>
      <c r="AW32" s="411">
        <f>SUMIFS('LAC 102_Wkst'!$AF$7:$AF$2010,'LAC 102_Wkst'!$D$7:$D$2010,$C$7,'LAC 102_Wkst'!$I$7:$I$2010,$C$9,'LAC 102_Wkst'!$E$7:$E$2010,$C32,'LAC 102_Wkst'!$G$7:$G$2010,$D32,'LAC 102_Wkst'!$L$7:$L$2010,"11",'LAC 102_Wkst'!$N$7:$N$2010,"P2")+SUMIFS('LAC 102_Wkst'!$AF$7:$AF$2010,'LAC 102_Wkst'!$D$7:$D$2010,$C$7,'LAC 102_Wkst'!$I$7:$I$2010,$C$9,'LAC 102_Wkst'!$E$7:$E$2010,$C32,'LAC 102_Wkst'!$G$7:$G$2010,$D32,'LAC 102_Wkst'!$L$7:$L$2010,"12",'LAC 102_Wkst'!$N$7:$N$2010,"P2")+SUMIFS('LAC 102_Wkst'!$AF$7:$AF$2010,'LAC 102_Wkst'!$D$7:$D$2010,$C$7,'LAC 102_Wkst'!$I$7:$I$2010,$C$9,'LAC 102_Wkst'!$E$7:$E$2010,$C32,'LAC 102_Wkst'!$G$7:$G$2010,$D32,'LAC 102_Wkst'!$L$7:$L$2010,"11",'LAC 102_Wkst'!$N$7:$N$2010,"P3")+SUMIFS('LAC 102_Wkst'!$AF$7:$AF$2010,'LAC 102_Wkst'!$D$7:$D$2010,$C$7,'LAC 102_Wkst'!$I$7:$I$2010,$C$9,'LAC 102_Wkst'!$E$7:$E$2010,$C32,'LAC 102_Wkst'!$G$7:$G$2010,$D32,'LAC 102_Wkst'!$L$7:$L$2010,"12",'LAC 102_Wkst'!$N$7:$N$2010,"P3")</f>
        <v>0</v>
      </c>
      <c r="AX32" s="404">
        <f>SUMIFS('LAC 102_Wkst'!$Q$7:$Q$2010,'LAC 102_Wkst'!$D$7:$D$2010,$C$7,'LAC 102_Wkst'!$I$7:$I$2010,$C$9,'LAC 102_Wkst'!$E$7:$E$2010,$C32,'LAC 102_Wkst'!$G$7:$G$2010,$D32,'LAC 102_Wkst'!$L$7:$L$2010,"11",'LAC 102_Wkst'!$N$7:$N$2010,"P4")+SUMIFS('LAC 102_Wkst'!$Q$7:$Q$2010,'LAC 102_Wkst'!$D$7:$D$2010,$C$7,'LAC 102_Wkst'!$I$7:$I$2010,$C$9,'LAC 102_Wkst'!$E$7:$E$2010,$C32,'LAC 102_Wkst'!$G$7:$G$2010,$D32,'LAC 102_Wkst'!$L$7:$L$2010,"12",'LAC 102_Wkst'!$N$7:$N$2010,"P4")</f>
        <v>0</v>
      </c>
      <c r="AY32" s="411">
        <f>SUMIFS('LAC 102_Wkst'!$AF$7:$AF$2010,'LAC 102_Wkst'!$D$7:$D$2010,$C$7,'LAC 102_Wkst'!$I$7:$I$2010,$C$9,'LAC 102_Wkst'!$E$7:$E$2010,$C32,'LAC 102_Wkst'!$G$7:$G$2010,$D32,'LAC 102_Wkst'!$L$7:$L$2010,"11",'LAC 102_Wkst'!$N$7:$N$2010,"P4")+SUMIFS('LAC 102_Wkst'!$AF$7:$AF$2010,'LAC 102_Wkst'!$D$7:$D$2010,$C$7,'LAC 102_Wkst'!$I$7:$I$2010,$C$9,'LAC 102_Wkst'!$E$7:$E$2010,$C32,'LAC 102_Wkst'!$G$7:$G$2010,$D32,'LAC 102_Wkst'!$L$7:$L$2010,"12",'LAC 102_Wkst'!$N$7:$N$2010,"P4")</f>
        <v>0</v>
      </c>
      <c r="AZ32" s="404">
        <f>SUMIFS('LAC 102_Wkst'!$Q$7:$Q$2010,'LAC 102_Wkst'!$D$7:$D$2010,$C$7,'LAC 102_Wkst'!$I$7:$I$2010,$C$9,'LAC 102_Wkst'!$E$7:$E$2010,$C32,'LAC 102_Wkst'!$G$7:$G$2010,$D32,'LAC 102_Wkst'!$L$7:$L$2010,"11",'LAC 102_Wkst'!$N$7:$N$2010,"P5")+SUMIFS('LAC 102_Wkst'!$Q$7:$Q$2010,'LAC 102_Wkst'!$D$7:$D$2010,$C$7,'LAC 102_Wkst'!$I$7:$I$2010,$C$9,'LAC 102_Wkst'!$E$7:$E$2010,$C32,'LAC 102_Wkst'!$G$7:$G$2010,$D32,'LAC 102_Wkst'!$L$7:$L$2010,"12",'LAC 102_Wkst'!$N$7:$N$2010,"P5")</f>
        <v>0</v>
      </c>
      <c r="BA32" s="411">
        <f>SUMIFS('LAC 102_Wkst'!$AF$7:$AF$2010,'LAC 102_Wkst'!$D$7:$D$2010,$C$7,'LAC 102_Wkst'!$I$7:$I$2010,$C$9,'LAC 102_Wkst'!$E$7:$E$2010,$C32,'LAC 102_Wkst'!$G$7:$G$2010,$D32,'LAC 102_Wkst'!$L$7:$L$2010,"11",'LAC 102_Wkst'!$N$7:$N$2010,"P5")+SUMIFS('LAC 102_Wkst'!$AF$7:$AF$2010,'LAC 102_Wkst'!$D$7:$D$2010,$C$7,'LAC 102_Wkst'!$I$7:$I$2010,$C$9,'LAC 102_Wkst'!$E$7:$E$2010,$C32,'LAC 102_Wkst'!$G$7:$G$2010,$D32,'LAC 102_Wkst'!$L$7:$L$2010,"12",'LAC 102_Wkst'!$N$7:$N$2010,"P5")</f>
        <v>0</v>
      </c>
      <c r="BB32" s="404">
        <f>SUMIFS('LAC 102_Wkst'!$Q$7:$Q$2010,'LAC 102_Wkst'!$D$7:$D$2010,$C$7,'LAC 102_Wkst'!$I$7:$I$2010,$C$9,'LAC 102_Wkst'!$E$7:$E$2010,$C32,'LAC 102_Wkst'!$G$7:$G$2010,$D32,'LAC 102_Wkst'!$L$7:$L$2010,"13",'LAC 102_Wkst'!$N$7:$N$2010,"P1")+SUMIFS('LAC 102_Wkst'!$Q$7:$Q$2010,'LAC 102_Wkst'!$D$7:$D$2010,$C$7,'LAC 102_Wkst'!$I$7:$I$2010,$C$9,'LAC 102_Wkst'!$E$7:$E$2010,$C32,'LAC 102_Wkst'!$G$7:$G$2010,$D32,'LAC 102_Wkst'!$L$7:$L$2010,"13",'LAC 102_Wkst'!$N$7:$N$2010,"P2")+SUMIFS('LAC 102_Wkst'!$Q$7:$Q$2010,'LAC 102_Wkst'!$D$7:$D$2010,$C$7,'LAC 102_Wkst'!$I$7:$I$2010,$C$9,'LAC 102_Wkst'!$E$7:$E$2010,$C32,'LAC 102_Wkst'!$G$7:$G$2010,$D32,'LAC 102_Wkst'!$L$7:$L$2010,"13",'LAC 102_Wkst'!$N$7:$N$2010,"P3")+SUMIFS('LAC 102_Wkst'!$Q$7:$Q$2010,'LAC 102_Wkst'!$D$7:$D$2010,$C$7,'LAC 102_Wkst'!$I$7:$I$2010,$C$9,'LAC 102_Wkst'!$E$7:$E$2010,$C32,'LAC 102_Wkst'!$G$7:$G$2010,$D32,'LAC 102_Wkst'!$L$7:$L$2010,"13",'LAC 102_Wkst'!$N$7:$N$2010,"P4")</f>
        <v>469</v>
      </c>
      <c r="BC32" s="411">
        <f>SUMIFS('LAC 102_Wkst'!$AF$7:$AF$2010,'LAC 102_Wkst'!$D$7:$D$2010,$C$7,'LAC 102_Wkst'!$I$7:$I$2010,$C$9,'LAC 102_Wkst'!$E$7:$E$2010,$C32,'LAC 102_Wkst'!$G$7:$G$2010,$D32,'LAC 102_Wkst'!$L$7:$L$2010,"13",'LAC 102_Wkst'!$N$7:$N$2010,"P1")+SUMIFS('LAC 102_Wkst'!$AF$7:$AF$2010,'LAC 102_Wkst'!$D$7:$D$2010,$C$7,'LAC 102_Wkst'!$I$7:$I$2010,$C$9,'LAC 102_Wkst'!$E$7:$E$2010,$C32,'LAC 102_Wkst'!$G$7:$G$2010,$D32,'LAC 102_Wkst'!$L$7:$L$2010,"13",'LAC 102_Wkst'!$N$7:$N$2010,"P2")+SUMIFS('LAC 102_Wkst'!$AF$7:$AF$2010,'LAC 102_Wkst'!$D$7:$D$2010,$C$7,'LAC 102_Wkst'!$I$7:$I$2010,$C$9,'LAC 102_Wkst'!$E$7:$E$2010,$C32,'LAC 102_Wkst'!$G$7:$G$2010,$D32,'LAC 102_Wkst'!$L$7:$L$2010,"13",'LAC 102_Wkst'!$N$7:$N$2010,"P3")+SUMIFS('LAC 102_Wkst'!$AF$7:$AF$2010,'LAC 102_Wkst'!$D$7:$D$2010,$C$7,'LAC 102_Wkst'!$I$7:$I$2010,$C$9,'LAC 102_Wkst'!$E$7:$E$2010,$C32,'LAC 102_Wkst'!$G$7:$G$2010,$D32,'LAC 102_Wkst'!$L$7:$L$2010,"13",'LAC 102_Wkst'!$N$7:$N$2010,"P4")</f>
        <v>2784.1225014779516</v>
      </c>
      <c r="BD32" s="404">
        <f>SUMIFS('LAC 102_Wkst'!$Q$7:$Q$2010,'LAC 102_Wkst'!$D$7:$D$2010,$C$7,'LAC 102_Wkst'!$I$7:$I$2010,$C$9,'LAC 102_Wkst'!$E$7:$E$2010,$C32,'LAC 102_Wkst'!$G$7:$G$2010,$D32,'LAC 102_Wkst'!$L$7:$L$2010,"13",'LAC 102_Wkst'!$N$7:$N$2010,"P5")</f>
        <v>0</v>
      </c>
      <c r="BE32" s="411">
        <f>SUMIFS('LAC 102_Wkst'!$AF$7:$AF$2010,'LAC 102_Wkst'!$D$7:$D$2010,$C$7,'LAC 102_Wkst'!$I$7:$I$2010,$C$9,'LAC 102_Wkst'!$E$7:$E$2010,$C32,'LAC 102_Wkst'!$G$7:$G$2010,$D32,'LAC 102_Wkst'!$L$7:$L$2010,"13",'LAC 102_Wkst'!$N$7:$N$2010,"P5")</f>
        <v>0</v>
      </c>
      <c r="BF32" s="407">
        <f t="shared" si="4"/>
        <v>200</v>
      </c>
      <c r="BG32" s="1654">
        <f>SUMIFS('LAC 102_Wkst'!$AF$7:$AF$2010,'LAC 102_Wkst'!$D$7:$D$2010,$C$7,'LAC 102_Wkst'!$I$7:$I$2010,$C$9,'LAC 102_Wkst'!$E$7:$E$2010,$C32,'LAC 102_Wkst'!$G$7:$G$2010,$D32,'LAC 102_Wkst'!$L$7:$L$2010,"14")</f>
        <v>1187.2590624639452</v>
      </c>
    </row>
    <row r="33" spans="1:59" x14ac:dyDescent="0.2">
      <c r="A33" s="401">
        <v>11</v>
      </c>
      <c r="B33" s="1678" t="str">
        <f>IF(Schedule_B!B$30="","",Schedule_B!B$30)</f>
        <v>CR</v>
      </c>
      <c r="C33" s="1674" t="str">
        <f>IF(Schedule_B!C$30=""," ",Schedule_B!C$30)</f>
        <v>15</v>
      </c>
      <c r="D33" s="1675" t="str">
        <f>IF(Schedule_B!D$30=""," ",Schedule_B!D$30)</f>
        <v>63</v>
      </c>
      <c r="E33" s="1221">
        <f>SUMIFS('LAC 102_Wkst'!$Q$7:$Q$2010,'LAC 102_Wkst'!$D$7:$D$2010,$C$7,'LAC 102_Wkst'!$I$7:$I$2010,$C$9,'LAC 102_Wkst'!$E$7:$E$2010,$C33,'LAC 102_Wkst'!$G$7:$G$2010,$D33)</f>
        <v>1893</v>
      </c>
      <c r="F33" s="408">
        <f>SUMIFS('LAC 102_Wkst'!$Q$7:$Q$2010,'LAC 102_Wkst'!$D$7:$D$2010,$C$7,'LAC 102_Wkst'!$I$7:$I$2010,$C$9,'LAC 102_Wkst'!$E$7:$E$2010,$C33,'LAC 102_Wkst'!$G$7:$G$2010,$D33,'LAC 102_Wkst'!$L$7:$L$2010,"01",'LAC 102_Wkst'!$N$7:$N$2010,"P1")+SUMIFS('LAC 102_Wkst'!$Q$7:$Q$2010,'LAC 102_Wkst'!$D$7:$D$2010,$C$7,'LAC 102_Wkst'!$I$7:$I$2010,$C$9,'LAC 102_Wkst'!$E$7:$E$2010,$C33,'LAC 102_Wkst'!$G$7:$G$2010,$D33,'LAC 102_Wkst'!$L$7:$L$2010,"01",'LAC 102_Wkst'!$N$7:$N$2010,"P2")+SUMIFS('LAC 102_Wkst'!$Q$7:$Q$2010,'LAC 102_Wkst'!$D$7:$D$2010,$C$7,'LAC 102_Wkst'!$I$7:$I$2010,$C$9,'LAC 102_Wkst'!$E$7:$E$2010,$C33,'LAC 102_Wkst'!$G$7:$G$2010,$D33,'LAC 102_Wkst'!$L$7:$L$2010,"01",'LAC 102_Wkst'!$N$7:$N$2010,"P3")+SUMIFS('LAC 102_Wkst'!$Q$7:$Q$2010,'LAC 102_Wkst'!$D$7:$D$2010,$C$7,'LAC 102_Wkst'!$I$7:$I$2010,$C$9,'LAC 102_Wkst'!$E$7:$E$2010,$C33,'LAC 102_Wkst'!$G$7:$G$2010,$D33,'LAC 102_Wkst'!$L$7:$L$2010,"02",'LAC 102_Wkst'!$N$7:$N$2010,"P1")+SUMIFS('LAC 102_Wkst'!$Q$7:$Q$2010,'LAC 102_Wkst'!$D$7:$D$2010,$C$7,'LAC 102_Wkst'!$I$7:$I$2010,$C$9,'LAC 102_Wkst'!$E$7:$E$2010,$C33,'LAC 102_Wkst'!$G$7:$G$2010,$D33,'LAC 102_Wkst'!$L$7:$L$2010,"02",'LAC 102_Wkst'!$N$7:$N$2010,"P2")+SUMIFS('LAC 102_Wkst'!$Q$7:$Q$2010,'LAC 102_Wkst'!$D$7:$D$2010,$C$7,'LAC 102_Wkst'!$I$7:$I$2010,$C$9,'LAC 102_Wkst'!$E$7:$E$2010,$C33,'LAC 102_Wkst'!$G$7:$G$2010,$D33,'LAC 102_Wkst'!$L$7:$L$2010,"02",'LAC 102_Wkst'!$N$7:$N$2010,"P3")</f>
        <v>0</v>
      </c>
      <c r="G33" s="409">
        <f>SUMIFS('LAC 102_Wkst'!$AF$7:$AF$2010,'LAC 102_Wkst'!$D$7:$D$2010,$C$7,'LAC 102_Wkst'!$I$7:$I$2010,$C$9,'LAC 102_Wkst'!$E$7:$E$2010,$C33,'LAC 102_Wkst'!$G$7:$G$2010,$D33,'LAC 102_Wkst'!$L$7:$L$2010,"01",'LAC 102_Wkst'!$N$7:$N$2010,"P1")+SUMIFS('LAC 102_Wkst'!$AF$7:$AF$2010,'LAC 102_Wkst'!$D$7:$D$2010,$C$7,'LAC 102_Wkst'!$I$7:$I$2010,$C$9,'LAC 102_Wkst'!$E$7:$E$2010,$C33,'LAC 102_Wkst'!$G$7:$G$2010,$D33,'LAC 102_Wkst'!$L$7:$L$2010,"01",'LAC 102_Wkst'!$N$7:$N$2010,"P2")+SUMIFS('LAC 102_Wkst'!$AF$7:$AF$2010,'LAC 102_Wkst'!$D$7:$D$2010,$C$7,'LAC 102_Wkst'!$I$7:$I$2010,$C$9,'LAC 102_Wkst'!$E$7:$E$2010,$C33,'LAC 102_Wkst'!$G$7:$G$2010,$D33,'LAC 102_Wkst'!$L$7:$L$2010,"01",'LAC 102_Wkst'!$N$7:$N$2010,"P3")+SUMIFS('LAC 102_Wkst'!$AF$7:$AF$2010,'LAC 102_Wkst'!$D$7:$D$2010,$C$7,'LAC 102_Wkst'!$I$7:$I$2010,$C$9,'LAC 102_Wkst'!$E$7:$E$2010,$C33,'LAC 102_Wkst'!$G$7:$G$2010,$D33,'LAC 102_Wkst'!$L$7:$L$2010,"02",'LAC 102_Wkst'!$N$7:$N$2010,"P1")+SUMIFS('LAC 102_Wkst'!$AF$7:$AF$2010,'LAC 102_Wkst'!$D$7:$D$2010,$C$7,'LAC 102_Wkst'!$I$7:$I$2010,$C$9,'LAC 102_Wkst'!$E$7:$E$2010,$C33,'LAC 102_Wkst'!$G$7:$G$2010,$D33,'LAC 102_Wkst'!$L$7:$L$2010,"02",'LAC 102_Wkst'!$N$7:$N$2010,"P2")+SUMIFS('LAC 102_Wkst'!$AF$7:$AF$2010,'LAC 102_Wkst'!$D$7:$D$2010,$C$7,'LAC 102_Wkst'!$I$7:$I$2010,$C$9,'LAC 102_Wkst'!$E$7:$E$2010,$C33,'LAC 102_Wkst'!$G$7:$G$2010,$D33,'LAC 102_Wkst'!$L$7:$L$2010,"02",'LAC 102_Wkst'!$N$7:$N$2010,"P3")</f>
        <v>0</v>
      </c>
      <c r="H33" s="410">
        <f>SUMIFS('LAC 102_Wkst'!$Q$7:$Q$2010,'LAC 102_Wkst'!$D$7:$D$2010,$C$7,'LAC 102_Wkst'!$I$7:$I$2010,$C$9,'LAC 102_Wkst'!$E$7:$E$2010,$C33,'LAC 102_Wkst'!$G$7:$G$2010,$D33,'LAC 102_Wkst'!$L$7:$L$2010,"01",'LAC 102_Wkst'!$N$7:$N$2010,"P4")+SUMIFS('LAC 102_Wkst'!$Q$7:$Q$2010,'LAC 102_Wkst'!$D$7:$D$2010,$C$7,'LAC 102_Wkst'!$I$7:$I$2010,$C$9,'LAC 102_Wkst'!$E$7:$E$2010,$C33,'LAC 102_Wkst'!$G$7:$G$2010,$D33,'LAC 102_Wkst'!$L$7:$L$2010,"02",'LAC 102_Wkst'!$N$7:$N$2010,"P4")</f>
        <v>0</v>
      </c>
      <c r="I33" s="411">
        <f>SUMIFS('LAC 102_Wkst'!$AF$7:$AF$2010,'LAC 102_Wkst'!$D$7:$D$2010,$C$7,'LAC 102_Wkst'!$I$7:$I$2010,$C$9,'LAC 102_Wkst'!$E$7:$E$2010,$C33,'LAC 102_Wkst'!$G$7:$G$2010,$D33,'LAC 102_Wkst'!$L$7:$L$2010,"01",'LAC 102_Wkst'!$N$7:$N$2010,"P4")+SUMIFS('LAC 102_Wkst'!$AF$7:$AF$2010,'LAC 102_Wkst'!$D$7:$D$2010,$C$7,'LAC 102_Wkst'!$I$7:$I$2010,$C$9,'LAC 102_Wkst'!$E$7:$E$2010,$C33,'LAC 102_Wkst'!$G$7:$G$2010,$D33,'LAC 102_Wkst'!$L$7:$L$2010,"02",'LAC 102_Wkst'!$N$7:$N$2010,"P4")</f>
        <v>0</v>
      </c>
      <c r="J33" s="410">
        <f>SUMIFS('LAC 102_Wkst'!$Q$7:$Q$2010,'LAC 102_Wkst'!$D$7:$D$2010,$C$7,'LAC 102_Wkst'!$I$7:$I$2010,$C$9,'LAC 102_Wkst'!$E$7:$E$2010,$C33,'LAC 102_Wkst'!$G$7:$G$2010,$D33,'LAC 102_Wkst'!$L$7:$L$2010,"01",'LAC 102_Wkst'!$N$7:$N$2010,"P5")+SUMIFS('LAC 102_Wkst'!$Q$7:$Q$2010,'LAC 102_Wkst'!$D$7:$D$2010,$C$7,'LAC 102_Wkst'!$I$7:$I$2010,$C$9,'LAC 102_Wkst'!$E$7:$E$2010,$C33,'LAC 102_Wkst'!$G$7:$G$2010,$D33,'LAC 102_Wkst'!$L$7:$L$2010,"02",'LAC 102_Wkst'!$N$7:$N$2010,"P5")</f>
        <v>0</v>
      </c>
      <c r="K33" s="411">
        <f>SUMIFS('LAC 102_Wkst'!$AF$7:$AF$2010,'LAC 102_Wkst'!$D$7:$D$2010,$C$7,'LAC 102_Wkst'!$I$7:$I$2010,$C$9,'LAC 102_Wkst'!$E$7:$E$2010,$C33,'LAC 102_Wkst'!$G$7:$G$2010,$D33,'LAC 102_Wkst'!$L$7:$L$2010,"01",'LAC 102_Wkst'!$N$7:$N$2010,"P5")+SUMIFS('LAC 102_Wkst'!$AF$7:$AF$2010,'LAC 102_Wkst'!$D$7:$D$2010,$C$7,'LAC 102_Wkst'!$I$7:$I$2010,$C$9,'LAC 102_Wkst'!$E$7:$E$2010,$C33,'LAC 102_Wkst'!$G$7:$G$2010,$D33,'LAC 102_Wkst'!$L$7:$L$2010,"02",'LAC 102_Wkst'!$N$7:$N$2010,"P5")</f>
        <v>0</v>
      </c>
      <c r="L33" s="410">
        <f>SUMIFS('LAC 102_Wkst'!$Q$7:$Q$2010,'LAC 102_Wkst'!$D$7:$D$2010,$C$7,'LAC 102_Wkst'!$I$7:$I$2010,$C$9,'LAC 102_Wkst'!$E$7:$E$2010,$C33,'LAC 102_Wkst'!$G$7:$G$2010,$D33,'LAC 102_Wkst'!$L$7:$L$2010,"03",'LAC 102_Wkst'!$N$7:$N$2010,"P1")+SUMIFS('LAC 102_Wkst'!$Q$7:$Q$2010,'LAC 102_Wkst'!$D$7:$D$2010,$C$7,'LAC 102_Wkst'!$I$7:$I$2010,$C$9,'LAC 102_Wkst'!$E$7:$E$2010,$C33,'LAC 102_Wkst'!$G$7:$G$2010,$D33,'LAC 102_Wkst'!$L$7:$L$2010,"03",'LAC 102_Wkst'!$N$7:$N$2010,"P2")+SUMIFS('LAC 102_Wkst'!$Q$7:$Q$2010,'LAC 102_Wkst'!$D$7:$D$2010,$C$7,'LAC 102_Wkst'!$I$7:$I$2010,$C$9,'LAC 102_Wkst'!$E$7:$E$2010,$C33,'LAC 102_Wkst'!$G$7:$G$2010,$D33,'LAC 102_Wkst'!$L$7:$L$2010,"03",'LAC 102_Wkst'!$N$7:$N$2010,"P3")+SUMIFS('LAC 102_Wkst'!$Q$7:$Q$2010,'LAC 102_Wkst'!$D$7:$D$2010,$C$7,'LAC 102_Wkst'!$I$7:$I$2010,$C$9,'LAC 102_Wkst'!$E$7:$E$2010,$C33,'LAC 102_Wkst'!$G$7:$G$2010,$D33,'LAC 102_Wkst'!$L$7:$L$2010,"04",'LAC 102_Wkst'!$N$7:$N$2010,"P1")+SUMIFS('LAC 102_Wkst'!$Q$7:$Q$2010,'LAC 102_Wkst'!$D$7:$D$2010,$C$7,'LAC 102_Wkst'!$I$7:$I$2010,$C$9,'LAC 102_Wkst'!$E$7:$E$2010,$C33,'LAC 102_Wkst'!$G$7:$G$2010,$D33,'LAC 102_Wkst'!$L$7:$L$2010,"04",'LAC 102_Wkst'!$N$7:$N$2010,"P2")+SUMIFS('LAC 102_Wkst'!$Q$7:$Q$2010,'LAC 102_Wkst'!$D$7:$D$2010,$C$7,'LAC 102_Wkst'!$I$7:$I$2010,$C$9,'LAC 102_Wkst'!$E$7:$E$2010,$C33,'LAC 102_Wkst'!$G$7:$G$2010,$D33,'LAC 102_Wkst'!$L$7:$L$2010,"04",'LAC 102_Wkst'!$N$7:$N$2010,"P3")</f>
        <v>0</v>
      </c>
      <c r="M33" s="411">
        <f>SUMIFS('LAC 102_Wkst'!$AF$7:$AF$2010,'LAC 102_Wkst'!$D$7:$D$2010,$C$7,'LAC 102_Wkst'!$I$7:$I$2010,$C$9,'LAC 102_Wkst'!$E$7:$E$2010,$C33,'LAC 102_Wkst'!$G$7:$G$2010,$D33,'LAC 102_Wkst'!$L$7:$L$2010,"03",'LAC 102_Wkst'!$N$7:$N$2010,"P1")+SUMIFS('LAC 102_Wkst'!$AF$7:$AF$2010,'LAC 102_Wkst'!$D$7:$D$2010,$C$7,'LAC 102_Wkst'!$I$7:$I$2010,$C$9,'LAC 102_Wkst'!$E$7:$E$2010,$C33,'LAC 102_Wkst'!$G$7:$G$2010,$D33,'LAC 102_Wkst'!$L$7:$L$2010,"03",'LAC 102_Wkst'!$N$7:$N$2010,"P2")+SUMIFS('LAC 102_Wkst'!$AF$7:$AF$2010,'LAC 102_Wkst'!$D$7:$D$2010,$C$7,'LAC 102_Wkst'!$I$7:$I$2010,$C$9,'LAC 102_Wkst'!$E$7:$E$2010,$C33,'LAC 102_Wkst'!$G$7:$G$2010,$D33,'LAC 102_Wkst'!$L$7:$L$2010,"03",'LAC 102_Wkst'!$N$7:$N$2010,"P3")+SUMIFS('LAC 102_Wkst'!$AF$7:$AF$2010,'LAC 102_Wkst'!$D$7:$D$2010,$C$7,'LAC 102_Wkst'!$I$7:$I$2010,$C$9,'LAC 102_Wkst'!$E$7:$E$2010,$C33,'LAC 102_Wkst'!$G$7:$G$2010,$D33,'LAC 102_Wkst'!$L$7:$L$2010,"04",'LAC 102_Wkst'!$N$7:$N$2010,"P1")+SUMIFS('LAC 102_Wkst'!$AF$7:$AF$2010,'LAC 102_Wkst'!$D$7:$D$2010,$C$7,'LAC 102_Wkst'!$I$7:$I$2010,$C$9,'LAC 102_Wkst'!$E$7:$E$2010,$C33,'LAC 102_Wkst'!$G$7:$G$2010,$D33,'LAC 102_Wkst'!$L$7:$L$2010,"04",'LAC 102_Wkst'!$N$7:$N$2010,"P2")+SUMIFS('LAC 102_Wkst'!$AF$7:$AF$2010,'LAC 102_Wkst'!$D$7:$D$2010,$C$7,'LAC 102_Wkst'!$I$7:$I$2010,$C$9,'LAC 102_Wkst'!$E$7:$E$2010,$C33,'LAC 102_Wkst'!$G$7:$G$2010,$D33,'LAC 102_Wkst'!$L$7:$L$2010,"04",'LAC 102_Wkst'!$N$7:$N$2010,"P3")</f>
        <v>0</v>
      </c>
      <c r="N33" s="410">
        <f>SUMIFS('LAC 102_Wkst'!$Q$7:$Q$2010,'LAC 102_Wkst'!$D$7:$D$2010,$C$7,'LAC 102_Wkst'!$I$7:$I$2010,$C$9,'LAC 102_Wkst'!$E$7:$E$2010,$C33,'LAC 102_Wkst'!$G$7:$G$2010,$D33,'LAC 102_Wkst'!$L$7:$L$2010,"03",'LAC 102_Wkst'!$N$7:$N$2010,"P4")+SUMIFS('LAC 102_Wkst'!$Q$7:$Q$2010,'LAC 102_Wkst'!$D$7:$D$2010,$C$7,'LAC 102_Wkst'!$I$7:$I$2010,$C$9,'LAC 102_Wkst'!$E$7:$E$2010,$C33,'LAC 102_Wkst'!$G$7:$G$2010,$D33,'LAC 102_Wkst'!$L$7:$L$2010,"04",'LAC 102_Wkst'!$N$7:$N$2010,"P4")</f>
        <v>0</v>
      </c>
      <c r="O33" s="411">
        <f>SUMIFS('LAC 102_Wkst'!$AF$7:$AF$2010,'LAC 102_Wkst'!$D$7:$D$2010,$C$7,'LAC 102_Wkst'!$I$7:$I$2010,$C$9,'LAC 102_Wkst'!$E$7:$E$2010,$C33,'LAC 102_Wkst'!$G$7:$G$2010,$D33,'LAC 102_Wkst'!$L$7:$L$2010,"03",'LAC 102_Wkst'!$N$7:$N$2010,"P4")+SUMIFS('LAC 102_Wkst'!$AF$7:$AF$2010,'LAC 102_Wkst'!$D$7:$D$2010,$C$7,'LAC 102_Wkst'!$I$7:$I$2010,$C$9,'LAC 102_Wkst'!$E$7:$E$2010,$C33,'LAC 102_Wkst'!$G$7:$G$2010,$D33,'LAC 102_Wkst'!$L$7:$L$2010,"04",'LAC 102_Wkst'!$N$7:$N$2010,"P4")</f>
        <v>0</v>
      </c>
      <c r="P33" s="404">
        <f>SUMIFS('LAC 102_Wkst'!$Q$7:$Q$2010,'LAC 102_Wkst'!$D$7:$D$2010,$C$7,'LAC 102_Wkst'!$I$7:$I$2010,$C$9,'LAC 102_Wkst'!$E$7:$E$2010,$C33,'LAC 102_Wkst'!$G$7:$G$2010,$D33,'LAC 102_Wkst'!$L$7:$L$2010,"03",'LAC 102_Wkst'!$N$7:$N$2010,"P5")+SUMIFS('LAC 102_Wkst'!$Q$7:$Q$2010,'LAC 102_Wkst'!$D$7:$D$2010,$C$7,'LAC 102_Wkst'!$I$7:$I$2010,$C$9,'LAC 102_Wkst'!$E$7:$E$2010,$C33,'LAC 102_Wkst'!$G$7:$G$2010,$D33,'LAC 102_Wkst'!$L$7:$L$2010,"04",'LAC 102_Wkst'!$N$7:$N$2010,"P5")</f>
        <v>0</v>
      </c>
      <c r="Q33" s="411">
        <f>SUMIFS('LAC 102_Wkst'!$AF$7:$AF$2010,'LAC 102_Wkst'!$D$7:$D$2010,$C$7,'LAC 102_Wkst'!$I$7:$I$2010,$C$9,'LAC 102_Wkst'!$E$7:$E$2010,$C33,'LAC 102_Wkst'!$G$7:$G$2010,$D33,'LAC 102_Wkst'!$L$7:$L$2010,"03",'LAC 102_Wkst'!$N$7:$N$2010,"P5")+SUMIFS('LAC 102_Wkst'!$AF$7:$AF$2010,'LAC 102_Wkst'!$D$7:$D$2010,$C$7,'LAC 102_Wkst'!$I$7:$I$2010,$C$9,'LAC 102_Wkst'!$E$7:$E$2010,$C33,'LAC 102_Wkst'!$G$7:$G$2010,$D33,'LAC 102_Wkst'!$L$7:$L$2010,"04",'LAC 102_Wkst'!$N$7:$N$2010,"P5")</f>
        <v>0</v>
      </c>
      <c r="R33" s="412">
        <f>SUMIFS('LAC 102_Wkst'!$Q$7:$Q$2010,'LAC 102_Wkst'!$D$7:$D$2010,$C$7,'LAC 102_Wkst'!$I$7:$I$2010,$C$9,'LAC 102_Wkst'!$E$7:$E$2010,$C33,'LAC 102_Wkst'!$G$7:$G$2010,$D33,'LAC 102_Wkst'!$L$7:$L$2010,"05",'LAC 102_Wkst'!$N$7:$N$2010,"P1")+SUMIFS('LAC 102_Wkst'!$Q$7:$Q$2010,'LAC 102_Wkst'!$D$7:$D$2010,$C$7,'LAC 102_Wkst'!$I$7:$I$2010,$C$9,'LAC 102_Wkst'!$E$7:$E$2010,$C33,'LAC 102_Wkst'!$G$7:$G$2010,$D33,'LAC 102_Wkst'!$L$7:$L$2010,"06",'LAC 102_Wkst'!$N$7:$N$2010,"P1")</f>
        <v>0</v>
      </c>
      <c r="S33" s="411">
        <f>SUMIFS('LAC 102_Wkst'!$AF$7:$AF$2010,'LAC 102_Wkst'!$D$7:$D$2010,$C$7,'LAC 102_Wkst'!$I$7:$I$2010,$C$9,'LAC 102_Wkst'!$E$7:$E$2010,$C33,'LAC 102_Wkst'!$G$7:$G$2010,$D33,'LAC 102_Wkst'!$L$7:$L$2010,"05",'LAC 102_Wkst'!$N$7:$N$2010,"P1")+SUMIFS('LAC 102_Wkst'!$AF$7:$AF$2010,'LAC 102_Wkst'!$D$7:$D$2010,$C$7,'LAC 102_Wkst'!$I$7:$I$2010,$C$9,'LAC 102_Wkst'!$E$7:$E$2010,$C33,'LAC 102_Wkst'!$G$7:$G$2010,$D33,'LAC 102_Wkst'!$L$7:$L$2010,"06",'LAC 102_Wkst'!$N$7:$N$2010,"P1")</f>
        <v>0</v>
      </c>
      <c r="T33" s="410">
        <f>SUMIFS('LAC 102_Wkst'!$Q$7:$Q$2010,'LAC 102_Wkst'!$D$7:$D$2010,$C$7,'LAC 102_Wkst'!$I$7:$I$2010,$C$9,'LAC 102_Wkst'!$E$7:$E$2010,$C33,'LAC 102_Wkst'!$G$7:$G$2010,$D33,'LAC 102_Wkst'!$L$7:$L$2010,"05",'LAC 102_Wkst'!$N$7:$N$2010,"P2")+SUMIFS('LAC 102_Wkst'!$Q$7:$Q$2010,'LAC 102_Wkst'!$D$7:$D$2010,$C$7,'LAC 102_Wkst'!$I$7:$I$2010,$C$9,'LAC 102_Wkst'!$E$7:$E$2010,$C33,'LAC 102_Wkst'!$G$7:$G$2010,$D33,'LAC 102_Wkst'!$L$7:$L$2010,"06",'LAC 102_Wkst'!$N$7:$N$2010,"P2")+SUMIFS('LAC 102_Wkst'!$Q$7:$Q$2010,'LAC 102_Wkst'!$D$7:$D$2010,$C$7,'LAC 102_Wkst'!$I$7:$I$2010,$C$9,'LAC 102_Wkst'!$E$7:$E$2010,$C33,'LAC 102_Wkst'!$G$7:$G$2010,$D33,'LAC 102_Wkst'!$L$7:$L$2010,"05",'LAC 102_Wkst'!$N$7:$N$2010,"P3")+SUMIFS('LAC 102_Wkst'!$Q$7:$Q$2010,'LAC 102_Wkst'!$D$7:$D$2010,$C$7,'LAC 102_Wkst'!$I$7:$I$2010,$C$9,'LAC 102_Wkst'!$E$7:$E$2010,$C33,'LAC 102_Wkst'!$G$7:$G$2010,$D33,'LAC 102_Wkst'!$L$7:$L$2010,"06",'LAC 102_Wkst'!$N$7:$N$2010,"P3")</f>
        <v>0</v>
      </c>
      <c r="U33" s="411">
        <f>SUMIFS('LAC 102_Wkst'!$AF$7:$AF$2010,'LAC 102_Wkst'!$D$7:$D$2010,$C$7,'LAC 102_Wkst'!$I$7:$I$2010,$C$9,'LAC 102_Wkst'!$E$7:$E$2010,$C33,'LAC 102_Wkst'!$G$7:$G$2010,$D33,'LAC 102_Wkst'!$L$7:$L$2010,"05",'LAC 102_Wkst'!$N$7:$N$2010,"P2")+SUMIFS('LAC 102_Wkst'!$AF$7:$AF$2010,'LAC 102_Wkst'!$D$7:$D$2010,$C$7,'LAC 102_Wkst'!$I$7:$I$2010,$C$9,'LAC 102_Wkst'!$E$7:$E$2010,$C33,'LAC 102_Wkst'!$G$7:$G$2010,$D33,'LAC 102_Wkst'!$L$7:$L$2010,"06",'LAC 102_Wkst'!$N$7:$N$2010,"P2")+SUMIFS('LAC 102_Wkst'!$AF$7:$AF$2010,'LAC 102_Wkst'!$D$7:$D$2010,$C$7,'LAC 102_Wkst'!$I$7:$I$2010,$C$9,'LAC 102_Wkst'!$E$7:$E$2010,$C33,'LAC 102_Wkst'!$G$7:$G$2010,$D33,'LAC 102_Wkst'!$L$7:$L$2010,"05",'LAC 102_Wkst'!$N$7:$N$2010,"P3")+SUMIFS('LAC 102_Wkst'!$AF$7:$AF$2010,'LAC 102_Wkst'!$D$7:$D$2010,$C$7,'LAC 102_Wkst'!$I$7:$I$2010,$C$9,'LAC 102_Wkst'!$E$7:$E$2010,$C33,'LAC 102_Wkst'!$G$7:$G$2010,$D33,'LAC 102_Wkst'!$L$7:$L$2010,"06",'LAC 102_Wkst'!$N$7:$N$2010,"P3")</f>
        <v>0</v>
      </c>
      <c r="V33" s="410">
        <f>SUMIFS('LAC 102_Wkst'!$Q$7:$Q$2010,'LAC 102_Wkst'!$D$7:$D$2010,$C$7,'LAC 102_Wkst'!$I$7:$I$2010,$C$9,'LAC 102_Wkst'!$E$7:$E$2010,$C33,'LAC 102_Wkst'!$G$7:$G$2010,$D33,'LAC 102_Wkst'!$L$7:$L$2010,"05",'LAC 102_Wkst'!$N$7:$N$2010,"P4")+SUMIFS('LAC 102_Wkst'!$Q$7:$Q$2010,'LAC 102_Wkst'!$D$7:$D$2010,$C$7,'LAC 102_Wkst'!$I$7:$I$2010,$C$9,'LAC 102_Wkst'!$E$7:$E$2010,$C33,'LAC 102_Wkst'!$G$7:$G$2010,$D33,'LAC 102_Wkst'!$L$7:$L$2010,"06",'LAC 102_Wkst'!$N$7:$N$2010,"P4")</f>
        <v>0</v>
      </c>
      <c r="W33" s="411">
        <f>SUMIFS('LAC 102_Wkst'!$AF$7:$AF$2010,'LAC 102_Wkst'!$D$7:$D$2010,$C$7,'LAC 102_Wkst'!$I$7:$I$2010,$C$9,'LAC 102_Wkst'!$E$7:$E$2010,$C33,'LAC 102_Wkst'!$G$7:$G$2010,$D33,'LAC 102_Wkst'!$L$7:$L$2010,"05",'LAC 102_Wkst'!$N$7:$N$2010,"P4")+SUMIFS('LAC 102_Wkst'!$AF$7:$AF$2010,'LAC 102_Wkst'!$D$7:$D$2010,$C$7,'LAC 102_Wkst'!$I$7:$I$2010,$C$9,'LAC 102_Wkst'!$E$7:$E$2010,$C33,'LAC 102_Wkst'!$G$7:$G$2010,$D33,'LAC 102_Wkst'!$L$7:$L$2010,"06",'LAC 102_Wkst'!$N$7:$N$2010,"P4")</f>
        <v>0</v>
      </c>
      <c r="X33" s="404">
        <f>SUMIFS('LAC 102_Wkst'!$Q$7:$Q$2010,'LAC 102_Wkst'!$D$7:$D$2010,$C$7,'LAC 102_Wkst'!$I$7:$I$2010,$C$9,'LAC 102_Wkst'!$E$7:$E$2010,$C33,'LAC 102_Wkst'!$G$7:$G$2010,$D33,'LAC 102_Wkst'!$L$7:$L$2010,"05",'LAC 102_Wkst'!$N$7:$N$2010,"P5")+SUMIFS('LAC 102_Wkst'!$Q$7:$Q$2010,'LAC 102_Wkst'!$D$7:$D$2010,$C$7,'LAC 102_Wkst'!$I$7:$I$2010,$C$9,'LAC 102_Wkst'!$E$7:$E$2010,$C33,'LAC 102_Wkst'!$G$7:$G$2010,$D33,'LAC 102_Wkst'!$L$7:$L$2010,"06",'LAC 102_Wkst'!$N$7:$N$2010,"P5")</f>
        <v>0</v>
      </c>
      <c r="Y33" s="411">
        <f>SUMIFS('LAC 102_Wkst'!$AF$7:$AF$2010,'LAC 102_Wkst'!$D$7:$D$2010,$C$7,'LAC 102_Wkst'!$I$7:$I$2010,$C$9,'LAC 102_Wkst'!$E$7:$E$2010,$C33,'LAC 102_Wkst'!$G$7:$G$2010,$D33,'LAC 102_Wkst'!$L$7:$L$2010,"05",'LAC 102_Wkst'!$N$7:$N$2010,"P5")+SUMIFS('LAC 102_Wkst'!$AF$7:$AF$2010,'LAC 102_Wkst'!$D$7:$D$2010,$C$7,'LAC 102_Wkst'!$I$7:$I$2010,$C$9,'LAC 102_Wkst'!$E$7:$E$2010,$C33,'LAC 102_Wkst'!$G$7:$G$2010,$D33,'LAC 102_Wkst'!$L$7:$L$2010,"06",'LAC 102_Wkst'!$N$7:$N$2010,"P5")</f>
        <v>0</v>
      </c>
      <c r="Z33" s="410">
        <f>SUMIFS('LAC 102_Wkst'!$Q$7:$Q$2010,'LAC 102_Wkst'!$D$7:$D$2010,$C$7,'LAC 102_Wkst'!$I$7:$I$2010,$C$9,'LAC 102_Wkst'!$E$7:$E$2010,$C33,'LAC 102_Wkst'!$G$7:$G$2010,$D33,'LAC 102_Wkst'!$L$7:$L$2010,"07",'LAC 102_Wkst'!$N$7:$N$2010,"P1")+SUMIFS('LAC 102_Wkst'!$Q$7:$Q$2010,'LAC 102_Wkst'!$D$7:$D$2010,$C$7,'LAC 102_Wkst'!$I$7:$I$2010,$C$9,'LAC 102_Wkst'!$E$7:$E$2010,$C33,'LAC 102_Wkst'!$G$7:$G$2010,$D33,'LAC 102_Wkst'!$L$7:$L$2010,"07",'LAC 102_Wkst'!$N$7:$N$2010,"P2")+SUMIFS('LAC 102_Wkst'!$Q$7:$Q$2010,'LAC 102_Wkst'!$D$7:$D$2010,$C$7,'LAC 102_Wkst'!$I$7:$I$2010,$C$9,'LAC 102_Wkst'!$E$7:$E$2010,$C33,'LAC 102_Wkst'!$G$7:$G$2010,$D33,'LAC 102_Wkst'!$L$7:$L$2010,"07",'LAC 102_Wkst'!$N$7:$N$2010,"P3")</f>
        <v>0</v>
      </c>
      <c r="AA33" s="411">
        <f>SUMIFS('LAC 102_Wkst'!$AF$7:$AF$2010,'LAC 102_Wkst'!$D$7:$D$2010,$C$7,'LAC 102_Wkst'!$I$7:$I$2010,$C$9,'LAC 102_Wkst'!$E$7:$E$2010,$C33,'LAC 102_Wkst'!$G$7:$G$2010,$D33,'LAC 102_Wkst'!$L$7:$L$2010,"07",'LAC 102_Wkst'!$N$7:$N$2010,"P1")+SUMIFS('LAC 102_Wkst'!$AF$7:$AF$2010,'LAC 102_Wkst'!$D$7:$D$2010,$C$7,'LAC 102_Wkst'!$I$7:$I$2010,$C$9,'LAC 102_Wkst'!$E$7:$E$2010,$C33,'LAC 102_Wkst'!$G$7:$G$2010,$D33,'LAC 102_Wkst'!$L$7:$L$2010,"07",'LAC 102_Wkst'!$N$7:$N$2010,"P2")+SUMIFS('LAC 102_Wkst'!$AF$7:$AF$2010,'LAC 102_Wkst'!$D$7:$D$2010,$C$7,'LAC 102_Wkst'!$I$7:$I$2010,$C$9,'LAC 102_Wkst'!$E$7:$E$2010,$C33,'LAC 102_Wkst'!$G$7:$G$2010,$D33,'LAC 102_Wkst'!$L$7:$L$2010,"07",'LAC 102_Wkst'!$N$7:$N$2010,"P3")</f>
        <v>0</v>
      </c>
      <c r="AB33" s="410">
        <f>SUMIFS('LAC 102_Wkst'!$Q$7:$Q$2010,'LAC 102_Wkst'!$D$7:$D$2010,$C$7,'LAC 102_Wkst'!$I$7:$I$2010,$C$9,'LAC 102_Wkst'!$E$7:$E$2010,$C33,'LAC 102_Wkst'!$G$7:$G$2010,$D33,'LAC 102_Wkst'!$L$7:$L$2010,"07",'LAC 102_Wkst'!$N$7:$N$2010,"P4")</f>
        <v>0</v>
      </c>
      <c r="AC33" s="411">
        <f>SUMIFS('LAC 102_Wkst'!$AF$7:$AF$2010,'LAC 102_Wkst'!$D$7:$D$2010,$C$7,'LAC 102_Wkst'!$I$7:$I$2010,$C$9,'LAC 102_Wkst'!$E$7:$E$2010,$C33,'LAC 102_Wkst'!$G$7:$G$2010,$D33,'LAC 102_Wkst'!$L$7:$L$2010,"07",'LAC 102_Wkst'!$N$7:$N$2010,"P4")</f>
        <v>0</v>
      </c>
      <c r="AD33" s="404">
        <f>SUMIFS('LAC 102_Wkst'!$Q$7:$Q$2010,'LAC 102_Wkst'!$D$7:$D$2010,$C$7,'LAC 102_Wkst'!$I$7:$I$2010,$C$9,'LAC 102_Wkst'!$E$7:$E$2010,$C33,'LAC 102_Wkst'!$G$7:$G$2010,$D33,'LAC 102_Wkst'!$L$7:$L$2010,"07",'LAC 102_Wkst'!$N$7:$N$2010,"P5")</f>
        <v>0</v>
      </c>
      <c r="AE33" s="411">
        <f>SUMIFS('LAC 102_Wkst'!$AF$7:$AF$2010,'LAC 102_Wkst'!$D$7:$D$2010,$C$7,'LAC 102_Wkst'!$I$7:$I$2010,$C$9,'LAC 102_Wkst'!$E$7:$E$2010,$C33,'LAC 102_Wkst'!$G$7:$G$2010,$D33,'LAC 102_Wkst'!$L$7:$L$2010,"07",'LAC 102_Wkst'!$N$7:$N$2010,"P5")</f>
        <v>0</v>
      </c>
      <c r="AF33" s="410">
        <f>SUMIFS('LAC 102_Wkst'!$Q$7:$Q$2010,'LAC 102_Wkst'!$D$7:$D$2010,$C$7,'LAC 102_Wkst'!$I$7:$I$2010,$C$9,'LAC 102_Wkst'!$E$7:$E$2010,$C33,'LAC 102_Wkst'!$G$7:$G$2010,$D33,'LAC 102_Wkst'!$L$7:$L$2010,"08",'LAC 102_Wkst'!$N$7:$N$2010,"P1")+SUMIFS('LAC 102_Wkst'!$Q$7:$Q$2010,'LAC 102_Wkst'!$D$7:$D$2010,$C$7,'LAC 102_Wkst'!$I$7:$I$2010,$C$9,'LAC 102_Wkst'!$E$7:$E$2010,$C33,'LAC 102_Wkst'!$G$7:$G$2010,$D33,'LAC 102_Wkst'!$L$7:$L$2010,"08",'LAC 102_Wkst'!$N$7:$N$2010,"P2")+SUMIFS('LAC 102_Wkst'!$Q$7:$Q$2010,'LAC 102_Wkst'!$D$7:$D$2010,$C$7,'LAC 102_Wkst'!$I$7:$I$2010,$C$9,'LAC 102_Wkst'!$E$7:$E$2010,$C33,'LAC 102_Wkst'!$G$7:$G$2010,$D33,'LAC 102_Wkst'!$L$7:$L$2010,"08",'LAC 102_Wkst'!$N$7:$N$2010,"P3")</f>
        <v>0</v>
      </c>
      <c r="AG33" s="411">
        <f>SUMIFS('LAC 102_Wkst'!$AF$7:$AF$2010,'LAC 102_Wkst'!$D$7:$D$2010,$C$7,'LAC 102_Wkst'!$I$7:$I$2010,$C$9,'LAC 102_Wkst'!$E$7:$E$2010,$C33,'LAC 102_Wkst'!$G$7:$G$2010,$D33,'LAC 102_Wkst'!$L$7:$L$2010,"08",'LAC 102_Wkst'!$N$7:$N$2010,"P1")+SUMIFS('LAC 102_Wkst'!$AF$7:$AF$2010,'LAC 102_Wkst'!$D$7:$D$2010,$C$7,'LAC 102_Wkst'!$I$7:$I$2010,$C$9,'LAC 102_Wkst'!$E$7:$E$2010,$C33,'LAC 102_Wkst'!$G$7:$G$2010,$D33,'LAC 102_Wkst'!$L$7:$L$2010,"08",'LAC 102_Wkst'!$N$7:$N$2010,"P2")+SUMIFS('LAC 102_Wkst'!$AF$7:$AF$2010,'LAC 102_Wkst'!$D$7:$D$2010,$C$7,'LAC 102_Wkst'!$I$7:$I$2010,$C$9,'LAC 102_Wkst'!$E$7:$E$2010,$C33,'LAC 102_Wkst'!$G$7:$G$2010,$D33,'LAC 102_Wkst'!$L$7:$L$2010,"08",'LAC 102_Wkst'!$N$7:$N$2010,"P3")</f>
        <v>0</v>
      </c>
      <c r="AH33" s="410">
        <f>SUMIFS('LAC 102_Wkst'!$Q$7:$Q$2010,'LAC 102_Wkst'!$D$7:$D$2010,$C$7,'LAC 102_Wkst'!$I$7:$I$2010,$C$9,'LAC 102_Wkst'!$E$7:$E$2010,$C33,'LAC 102_Wkst'!$G$7:$G$2010,$D33,'LAC 102_Wkst'!$L$7:$L$2010,"08",'LAC 102_Wkst'!$N$7:$N$2010,"P4")</f>
        <v>0</v>
      </c>
      <c r="AI33" s="411">
        <f>SUMIFS('LAC 102_Wkst'!$AF$7:$AF$2010,'LAC 102_Wkst'!$D$7:$D$2010,$C$7,'LAC 102_Wkst'!$I$7:$I$2010,$C$9,'LAC 102_Wkst'!$E$7:$E$2010,$C33,'LAC 102_Wkst'!$G$7:$G$2010,$D33,'LAC 102_Wkst'!$L$7:$L$2010,"08",'LAC 102_Wkst'!$N$7:$N$2010,"P4")</f>
        <v>0</v>
      </c>
      <c r="AJ33" s="404">
        <f>SUMIFS('LAC 102_Wkst'!$Q$7:$Q$2010,'LAC 102_Wkst'!$D$7:$D$2010,$C$7,'LAC 102_Wkst'!$I$7:$I$2010,$C$9,'LAC 102_Wkst'!$E$7:$E$2010,$C33,'LAC 102_Wkst'!$G$7:$G$2010,$D33,'LAC 102_Wkst'!$L$7:$L$2010,"08",'LAC 102_Wkst'!$N$7:$N$2010,"P5")</f>
        <v>0</v>
      </c>
      <c r="AK33" s="411">
        <f>SUMIFS('LAC 102_Wkst'!$AF$7:$AF$2010,'LAC 102_Wkst'!$D$7:$D$2010,$C$7,'LAC 102_Wkst'!$I$7:$I$2010,$C$9,'LAC 102_Wkst'!$E$7:$E$2010,$C33,'LAC 102_Wkst'!$G$7:$G$2010,$D33,'LAC 102_Wkst'!$L$7:$L$2010,"08",'LAC 102_Wkst'!$N$7:$N$2010,"P5")</f>
        <v>0</v>
      </c>
      <c r="AL33" s="410">
        <f>SUMIFS('LAC 102_Wkst'!$Q$7:$Q$2010,'LAC 102_Wkst'!$D$7:$D$2010,$C$7,'LAC 102_Wkst'!$I$7:$I$2010,$C$9,'LAC 102_Wkst'!$E$7:$E$2010,$C33,'LAC 102_Wkst'!$G$7:$G$2010,$D33,'LAC 102_Wkst'!$L$7:$L$2010,"09",'LAC 102_Wkst'!$N$7:$N$2010,"P1")+SUMIFS('LAC 102_Wkst'!$Q$7:$Q$2010,'LAC 102_Wkst'!$D$7:$D$2010,$C$7,'LAC 102_Wkst'!$I$7:$I$2010,$C$9,'LAC 102_Wkst'!$E$7:$E$2010,$C33,'LAC 102_Wkst'!$G$7:$G$2010,$D33,'LAC 102_Wkst'!$L$7:$L$2010,"09",'LAC 102_Wkst'!$N$7:$N$2010,"P2")+SUMIFS('LAC 102_Wkst'!$Q$7:$Q$2010,'LAC 102_Wkst'!$D$7:$D$2010,$C$7,'LAC 102_Wkst'!$I$7:$I$2010,$C$9,'LAC 102_Wkst'!$E$7:$E$2010,$C33,'LAC 102_Wkst'!$G$7:$G$2010,$D33,'LAC 102_Wkst'!$L$7:$L$2010,"09",'LAC 102_Wkst'!$N$7:$N$2010,"P3")+SUMIFS('LAC 102_Wkst'!$Q$7:$Q$2010,'LAC 102_Wkst'!$D$7:$D$2010,$C$7,'LAC 102_Wkst'!$I$7:$I$2010,$C$9,'LAC 102_Wkst'!$E$7:$E$2010,$C33,'LAC 102_Wkst'!$G$7:$G$2010,$D33,'LAC 102_Wkst'!$L$7:$L$2010,"09",'LAC 102_Wkst'!$N$7:$N$2010,"P4")</f>
        <v>0</v>
      </c>
      <c r="AM33" s="411">
        <f>SUMIFS('LAC 102_Wkst'!$AF$7:$AF$2010,'LAC 102_Wkst'!$D$7:$D$2010,$C$7,'LAC 102_Wkst'!$I$7:$I$2010,$C$9,'LAC 102_Wkst'!$E$7:$E$2010,$C33,'LAC 102_Wkst'!$G$7:$G$2010,$D33,'LAC 102_Wkst'!$L$7:$L$2010,"09",'LAC 102_Wkst'!$N$7:$N$2010,"P1")+SUMIFS('LAC 102_Wkst'!$AF$7:$AF$2010,'LAC 102_Wkst'!$D$7:$D$2010,$C$7,'LAC 102_Wkst'!$I$7:$I$2010,$C$9,'LAC 102_Wkst'!$E$7:$E$2010,$C33,'LAC 102_Wkst'!$G$7:$G$2010,$D33,'LAC 102_Wkst'!$L$7:$L$2010,"09",'LAC 102_Wkst'!$N$7:$N$2010,"P2")+SUMIFS('LAC 102_Wkst'!$AF$7:$AF$2010,'LAC 102_Wkst'!$D$7:$D$2010,$C$7,'LAC 102_Wkst'!$I$7:$I$2010,$C$9,'LAC 102_Wkst'!$E$7:$E$2010,$C33,'LAC 102_Wkst'!$G$7:$G$2010,$D33,'LAC 102_Wkst'!$L$7:$L$2010,"09",'LAC 102_Wkst'!$N$7:$N$2010,"P3")+SUMIFS('LAC 102_Wkst'!$AF$7:$AF$2010,'LAC 102_Wkst'!$D$7:$D$2010,$C$7,'LAC 102_Wkst'!$I$7:$I$2010,$C$9,'LAC 102_Wkst'!$E$7:$E$2010,$C33,'LAC 102_Wkst'!$G$7:$G$2010,$D33,'LAC 102_Wkst'!$L$7:$L$2010,"09",'LAC 102_Wkst'!$N$7:$N$2010,"P4")</f>
        <v>0</v>
      </c>
      <c r="AN33" s="410">
        <f>SUMIFS('LAC 102_Wkst'!$Q$7:$Q$2010,'LAC 102_Wkst'!$D$7:$D$2010,$C$7,'LAC 102_Wkst'!$I$7:$I$2010,$C$9,'LAC 102_Wkst'!$E$7:$E$2010,$C33,'LAC 102_Wkst'!$G$7:$G$2010,$D33,'LAC 102_Wkst'!$L$7:$L$2010,"09",'LAC 102_Wkst'!$N$7:$N$2010,"P5")</f>
        <v>0</v>
      </c>
      <c r="AO33" s="411">
        <f>SUMIFS('LAC 102_Wkst'!$AF$7:$AF$2010,'LAC 102_Wkst'!$D$7:$D$2010,$C$7,'LAC 102_Wkst'!$I$7:$I$2010,$C$9,'LAC 102_Wkst'!$E$7:$E$2010,$C33,'LAC 102_Wkst'!$G$7:$G$2010,$D33,'LAC 102_Wkst'!$L$7:$L$2010,"09",'LAC 102_Wkst'!$N$7:$N$2010,"P5")</f>
        <v>0</v>
      </c>
      <c r="AP33" s="404">
        <f>SUMIFS('LAC 102_Wkst'!$Q$7:$Q$2010,'LAC 102_Wkst'!$D$7:$D$2010,$C$7,'LAC 102_Wkst'!$I$7:$I$2010,$C$9,'LAC 102_Wkst'!$E$7:$E$2010,$C33,'LAC 102_Wkst'!$G$7:$G$2010,$D33,'LAC 102_Wkst'!$L$7:$L$2010,"10",'LAC 102_Wkst'!$N$7:$N$2010,"P1")+SUMIFS('LAC 102_Wkst'!$Q$7:$Q$2010,'LAC 102_Wkst'!$D$7:$D$2010,$C$7,'LAC 102_Wkst'!$I$7:$I$2010,$C$9,'LAC 102_Wkst'!$E$7:$E$2010,$C33,'LAC 102_Wkst'!$G$7:$G$2010,$D33,'LAC 102_Wkst'!$L$7:$L$2010,"10",'LAC 102_Wkst'!$N$7:$N$2010,"P2")+SUMIFS('LAC 102_Wkst'!$Q$7:$Q$2010,'LAC 102_Wkst'!$D$7:$D$2010,$C$7,'LAC 102_Wkst'!$I$7:$I$2010,$C$9,'LAC 102_Wkst'!$E$7:$E$2010,$C33,'LAC 102_Wkst'!$G$7:$G$2010,$D33,'LAC 102_Wkst'!$L$7:$L$2010,"10",'LAC 102_Wkst'!$N$7:$N$2010,"P3")+SUMIFS('LAC 102_Wkst'!$Q$7:$Q$2010,'LAC 102_Wkst'!$D$7:$D$2010,$C$7,'LAC 102_Wkst'!$I$7:$I$2010,$C$9,'LAC 102_Wkst'!$E$7:$E$2010,$C33,'LAC 102_Wkst'!$G$7:$G$2010,$D33,'LAC 102_Wkst'!$L$7:$L$2010,"10",'LAC 102_Wkst'!$N$7:$N$2010,"P4")</f>
        <v>0</v>
      </c>
      <c r="AQ33" s="411">
        <f>SUMIFS('LAC 102_Wkst'!$AF$7:$AF$2010,'LAC 102_Wkst'!$D$7:$D$2010,$C$7,'LAC 102_Wkst'!$I$7:$I$2010,$C$9,'LAC 102_Wkst'!$E$7:$E$2010,$C33,'LAC 102_Wkst'!$G$7:$G$2010,$D33,'LAC 102_Wkst'!$L$7:$L$2010,"10",'LAC 102_Wkst'!$N$7:$N$2010,"P1")+SUMIFS('LAC 102_Wkst'!$AF$7:$AF$2010,'LAC 102_Wkst'!$D$7:$D$2010,$C$7,'LAC 102_Wkst'!$I$7:$I$2010,$C$9,'LAC 102_Wkst'!$E$7:$E$2010,$C33,'LAC 102_Wkst'!$G$7:$G$2010,$D33,'LAC 102_Wkst'!$L$7:$L$2010,"10",'LAC 102_Wkst'!$N$7:$N$2010,"P2")+SUMIFS('LAC 102_Wkst'!$AF$7:$AF$2010,'LAC 102_Wkst'!$D$7:$D$2010,$C$7,'LAC 102_Wkst'!$I$7:$I$2010,$C$9,'LAC 102_Wkst'!$E$7:$E$2010,$C33,'LAC 102_Wkst'!$G$7:$G$2010,$D33,'LAC 102_Wkst'!$L$7:$L$2010,"10",'LAC 102_Wkst'!$N$7:$N$2010,"P3")+SUMIFS('LAC 102_Wkst'!$AF$7:$AF$2010,'LAC 102_Wkst'!$D$7:$D$2010,$C$7,'LAC 102_Wkst'!$I$7:$I$2010,$C$9,'LAC 102_Wkst'!$E$7:$E$2010,$C33,'LAC 102_Wkst'!$G$7:$G$2010,$D33,'LAC 102_Wkst'!$L$7:$L$2010,"10",'LAC 102_Wkst'!$N$7:$N$2010,"P4")</f>
        <v>0</v>
      </c>
      <c r="AR33" s="410">
        <f>SUMIFS('LAC 102_Wkst'!$Q$7:$Q$2010,'LAC 102_Wkst'!$D$7:$D$2010,$C$7,'LAC 102_Wkst'!$I$7:$I$2010,$C$9,'LAC 102_Wkst'!$E$7:$E$2010,$C33,'LAC 102_Wkst'!$G$7:$G$2010,$D33,'LAC 102_Wkst'!$L$7:$L$2010,"10",'LAC 102_Wkst'!$N$7:$N$2010,"P5")</f>
        <v>0</v>
      </c>
      <c r="AS33" s="411">
        <f>SUMIFS('LAC 102_Wkst'!$AF$7:$AF$2010,'LAC 102_Wkst'!$D$7:$D$2010,$C$7,'LAC 102_Wkst'!$I$7:$I$2010,$C$9,'LAC 102_Wkst'!$E$7:$E$2010,$C33,'LAC 102_Wkst'!$G$7:$G$2010,$D33,'LAC 102_Wkst'!$L$7:$L$2010,"10",'LAC 102_Wkst'!$N$7:$N$2010,"P5")</f>
        <v>0</v>
      </c>
      <c r="AT33" s="410">
        <f>SUMIFS('LAC 102_Wkst'!$Q$7:$Q$2010,'LAC 102_Wkst'!$D$7:$D$2010,$C$7,'LAC 102_Wkst'!$I$7:$I$2010,$C$9,'LAC 102_Wkst'!$E$7:$E$2010,$C33,'LAC 102_Wkst'!$G$7:$G$2010,$D33,'LAC 102_Wkst'!$L$7:$L$2010,"11",'LAC 102_Wkst'!$N$7:$N$2010,"P1")+SUMIFS('LAC 102_Wkst'!$Q$7:$Q$2010,'LAC 102_Wkst'!$D$7:$D$2010,$C$7,'LAC 102_Wkst'!$I$7:$I$2010,$C$9,'LAC 102_Wkst'!$E$7:$E$2010,$C33,'LAC 102_Wkst'!$G$7:$G$2010,$D33,'LAC 102_Wkst'!$L$7:$L$2010,"12",'LAC 102_Wkst'!$N$7:$N$2010,"P1")</f>
        <v>0</v>
      </c>
      <c r="AU33" s="411">
        <f>SUMIFS('LAC 102_Wkst'!$Q$7:$Q$2010,'LAC 102_Wkst'!$D$7:$D$2010,$C$7,'LAC 102_Wkst'!$I$7:$I$2010,$C$9,'LAC 102_Wkst'!$E$7:$E$2010,$C33,'LAC 102_Wkst'!$G$7:$G$2010,$D33,'LAC 102_Wkst'!$L$7:$L$2010,"13",'LAC 102_Wkst'!$N$7:$N$2010,"P5")</f>
        <v>0</v>
      </c>
      <c r="AV33" s="404">
        <f>SUMIFS('LAC 102_Wkst'!$Q$7:$Q$2010,'LAC 102_Wkst'!$D$7:$D$2010,$C$7,'LAC 102_Wkst'!$I$7:$I$2010,$C$9,'LAC 102_Wkst'!$E$7:$E$2010,$C33,'LAC 102_Wkst'!$G$7:$G$2010,$D33,'LAC 102_Wkst'!$L$7:$L$2010,"11",'LAC 102_Wkst'!$N$7:$N$2010,"P2")+SUMIFS('LAC 102_Wkst'!$Q$7:$Q$2010,'LAC 102_Wkst'!$D$7:$D$2010,$C$7,'LAC 102_Wkst'!$I$7:$I$2010,$C$9,'LAC 102_Wkst'!$E$7:$E$2010,$C33,'LAC 102_Wkst'!$G$7:$G$2010,$D33,'LAC 102_Wkst'!$L$7:$L$2010,"12",'LAC 102_Wkst'!$N$7:$N$2010,"P2")+SUMIFS('LAC 102_Wkst'!$Q$7:$Q$2010,'LAC 102_Wkst'!$D$7:$D$2010,$C$7,'LAC 102_Wkst'!$I$7:$I$2010,$C$9,'LAC 102_Wkst'!$E$7:$E$2010,$C33,'LAC 102_Wkst'!$G$7:$G$2010,$D33,'LAC 102_Wkst'!$L$7:$L$2010,"11",'LAC 102_Wkst'!$N$7:$N$2010,"P3")+SUMIFS('LAC 102_Wkst'!$Q$7:$Q$2010,'LAC 102_Wkst'!$D$7:$D$2010,$C$7,'LAC 102_Wkst'!$I$7:$I$2010,$C$9,'LAC 102_Wkst'!$E$7:$E$2010,$C33,'LAC 102_Wkst'!$G$7:$G$2010,$D33,'LAC 102_Wkst'!$L$7:$L$2010,"12",'LAC 102_Wkst'!$N$7:$N$2010,"P3")</f>
        <v>0</v>
      </c>
      <c r="AW33" s="411">
        <f>SUMIFS('LAC 102_Wkst'!$AF$7:$AF$2010,'LAC 102_Wkst'!$D$7:$D$2010,$C$7,'LAC 102_Wkst'!$I$7:$I$2010,$C$9,'LAC 102_Wkst'!$E$7:$E$2010,$C33,'LAC 102_Wkst'!$G$7:$G$2010,$D33,'LAC 102_Wkst'!$L$7:$L$2010,"11",'LAC 102_Wkst'!$N$7:$N$2010,"P2")+SUMIFS('LAC 102_Wkst'!$AF$7:$AF$2010,'LAC 102_Wkst'!$D$7:$D$2010,$C$7,'LAC 102_Wkst'!$I$7:$I$2010,$C$9,'LAC 102_Wkst'!$E$7:$E$2010,$C33,'LAC 102_Wkst'!$G$7:$G$2010,$D33,'LAC 102_Wkst'!$L$7:$L$2010,"12",'LAC 102_Wkst'!$N$7:$N$2010,"P2")+SUMIFS('LAC 102_Wkst'!$AF$7:$AF$2010,'LAC 102_Wkst'!$D$7:$D$2010,$C$7,'LAC 102_Wkst'!$I$7:$I$2010,$C$9,'LAC 102_Wkst'!$E$7:$E$2010,$C33,'LAC 102_Wkst'!$G$7:$G$2010,$D33,'LAC 102_Wkst'!$L$7:$L$2010,"11",'LAC 102_Wkst'!$N$7:$N$2010,"P3")+SUMIFS('LAC 102_Wkst'!$AF$7:$AF$2010,'LAC 102_Wkst'!$D$7:$D$2010,$C$7,'LAC 102_Wkst'!$I$7:$I$2010,$C$9,'LAC 102_Wkst'!$E$7:$E$2010,$C33,'LAC 102_Wkst'!$G$7:$G$2010,$D33,'LAC 102_Wkst'!$L$7:$L$2010,"12",'LAC 102_Wkst'!$N$7:$N$2010,"P3")</f>
        <v>0</v>
      </c>
      <c r="AX33" s="404">
        <f>SUMIFS('LAC 102_Wkst'!$Q$7:$Q$2010,'LAC 102_Wkst'!$D$7:$D$2010,$C$7,'LAC 102_Wkst'!$I$7:$I$2010,$C$9,'LAC 102_Wkst'!$E$7:$E$2010,$C33,'LAC 102_Wkst'!$G$7:$G$2010,$D33,'LAC 102_Wkst'!$L$7:$L$2010,"11",'LAC 102_Wkst'!$N$7:$N$2010,"P4")+SUMIFS('LAC 102_Wkst'!$Q$7:$Q$2010,'LAC 102_Wkst'!$D$7:$D$2010,$C$7,'LAC 102_Wkst'!$I$7:$I$2010,$C$9,'LAC 102_Wkst'!$E$7:$E$2010,$C33,'LAC 102_Wkst'!$G$7:$G$2010,$D33,'LAC 102_Wkst'!$L$7:$L$2010,"12",'LAC 102_Wkst'!$N$7:$N$2010,"P4")</f>
        <v>0</v>
      </c>
      <c r="AY33" s="411">
        <f>SUMIFS('LAC 102_Wkst'!$AF$7:$AF$2010,'LAC 102_Wkst'!$D$7:$D$2010,$C$7,'LAC 102_Wkst'!$I$7:$I$2010,$C$9,'LAC 102_Wkst'!$E$7:$E$2010,$C33,'LAC 102_Wkst'!$G$7:$G$2010,$D33,'LAC 102_Wkst'!$L$7:$L$2010,"11",'LAC 102_Wkst'!$N$7:$N$2010,"P4")+SUMIFS('LAC 102_Wkst'!$AF$7:$AF$2010,'LAC 102_Wkst'!$D$7:$D$2010,$C$7,'LAC 102_Wkst'!$I$7:$I$2010,$C$9,'LAC 102_Wkst'!$E$7:$E$2010,$C33,'LAC 102_Wkst'!$G$7:$G$2010,$D33,'LAC 102_Wkst'!$L$7:$L$2010,"12",'LAC 102_Wkst'!$N$7:$N$2010,"P4")</f>
        <v>0</v>
      </c>
      <c r="AZ33" s="404">
        <f>SUMIFS('LAC 102_Wkst'!$Q$7:$Q$2010,'LAC 102_Wkst'!$D$7:$D$2010,$C$7,'LAC 102_Wkst'!$I$7:$I$2010,$C$9,'LAC 102_Wkst'!$E$7:$E$2010,$C33,'LAC 102_Wkst'!$G$7:$G$2010,$D33,'LAC 102_Wkst'!$L$7:$L$2010,"11",'LAC 102_Wkst'!$N$7:$N$2010,"P5")+SUMIFS('LAC 102_Wkst'!$Q$7:$Q$2010,'LAC 102_Wkst'!$D$7:$D$2010,$C$7,'LAC 102_Wkst'!$I$7:$I$2010,$C$9,'LAC 102_Wkst'!$E$7:$E$2010,$C33,'LAC 102_Wkst'!$G$7:$G$2010,$D33,'LAC 102_Wkst'!$L$7:$L$2010,"12",'LAC 102_Wkst'!$N$7:$N$2010,"P5")</f>
        <v>0</v>
      </c>
      <c r="BA33" s="411">
        <f>SUMIFS('LAC 102_Wkst'!$AF$7:$AF$2010,'LAC 102_Wkst'!$D$7:$D$2010,$C$7,'LAC 102_Wkst'!$I$7:$I$2010,$C$9,'LAC 102_Wkst'!$E$7:$E$2010,$C33,'LAC 102_Wkst'!$G$7:$G$2010,$D33,'LAC 102_Wkst'!$L$7:$L$2010,"11",'LAC 102_Wkst'!$N$7:$N$2010,"P5")+SUMIFS('LAC 102_Wkst'!$AF$7:$AF$2010,'LAC 102_Wkst'!$D$7:$D$2010,$C$7,'LAC 102_Wkst'!$I$7:$I$2010,$C$9,'LAC 102_Wkst'!$E$7:$E$2010,$C33,'LAC 102_Wkst'!$G$7:$G$2010,$D33,'LAC 102_Wkst'!$L$7:$L$2010,"12",'LAC 102_Wkst'!$N$7:$N$2010,"P5")</f>
        <v>0</v>
      </c>
      <c r="BB33" s="404">
        <f>SUMIFS('LAC 102_Wkst'!$Q$7:$Q$2010,'LAC 102_Wkst'!$D$7:$D$2010,$C$7,'LAC 102_Wkst'!$I$7:$I$2010,$C$9,'LAC 102_Wkst'!$E$7:$E$2010,$C33,'LAC 102_Wkst'!$G$7:$G$2010,$D33,'LAC 102_Wkst'!$L$7:$L$2010,"13",'LAC 102_Wkst'!$N$7:$N$2010,"P1")+SUMIFS('LAC 102_Wkst'!$Q$7:$Q$2010,'LAC 102_Wkst'!$D$7:$D$2010,$C$7,'LAC 102_Wkst'!$I$7:$I$2010,$C$9,'LAC 102_Wkst'!$E$7:$E$2010,$C33,'LAC 102_Wkst'!$G$7:$G$2010,$D33,'LAC 102_Wkst'!$L$7:$L$2010,"13",'LAC 102_Wkst'!$N$7:$N$2010,"P2")+SUMIFS('LAC 102_Wkst'!$Q$7:$Q$2010,'LAC 102_Wkst'!$D$7:$D$2010,$C$7,'LAC 102_Wkst'!$I$7:$I$2010,$C$9,'LAC 102_Wkst'!$E$7:$E$2010,$C33,'LAC 102_Wkst'!$G$7:$G$2010,$D33,'LAC 102_Wkst'!$L$7:$L$2010,"13",'LAC 102_Wkst'!$N$7:$N$2010,"P3")+SUMIFS('LAC 102_Wkst'!$Q$7:$Q$2010,'LAC 102_Wkst'!$D$7:$D$2010,$C$7,'LAC 102_Wkst'!$I$7:$I$2010,$C$9,'LAC 102_Wkst'!$E$7:$E$2010,$C33,'LAC 102_Wkst'!$G$7:$G$2010,$D33,'LAC 102_Wkst'!$L$7:$L$2010,"13",'LAC 102_Wkst'!$N$7:$N$2010,"P4")</f>
        <v>0</v>
      </c>
      <c r="BC33" s="411">
        <f>SUMIFS('LAC 102_Wkst'!$AF$7:$AF$2010,'LAC 102_Wkst'!$D$7:$D$2010,$C$7,'LAC 102_Wkst'!$I$7:$I$2010,$C$9,'LAC 102_Wkst'!$E$7:$E$2010,$C33,'LAC 102_Wkst'!$G$7:$G$2010,$D33,'LAC 102_Wkst'!$L$7:$L$2010,"13",'LAC 102_Wkst'!$N$7:$N$2010,"P1")+SUMIFS('LAC 102_Wkst'!$AF$7:$AF$2010,'LAC 102_Wkst'!$D$7:$D$2010,$C$7,'LAC 102_Wkst'!$I$7:$I$2010,$C$9,'LAC 102_Wkst'!$E$7:$E$2010,$C33,'LAC 102_Wkst'!$G$7:$G$2010,$D33,'LAC 102_Wkst'!$L$7:$L$2010,"13",'LAC 102_Wkst'!$N$7:$N$2010,"P2")+SUMIFS('LAC 102_Wkst'!$AF$7:$AF$2010,'LAC 102_Wkst'!$D$7:$D$2010,$C$7,'LAC 102_Wkst'!$I$7:$I$2010,$C$9,'LAC 102_Wkst'!$E$7:$E$2010,$C33,'LAC 102_Wkst'!$G$7:$G$2010,$D33,'LAC 102_Wkst'!$L$7:$L$2010,"13",'LAC 102_Wkst'!$N$7:$N$2010,"P3")+SUMIFS('LAC 102_Wkst'!$AF$7:$AF$2010,'LAC 102_Wkst'!$D$7:$D$2010,$C$7,'LAC 102_Wkst'!$I$7:$I$2010,$C$9,'LAC 102_Wkst'!$E$7:$E$2010,$C33,'LAC 102_Wkst'!$G$7:$G$2010,$D33,'LAC 102_Wkst'!$L$7:$L$2010,"13",'LAC 102_Wkst'!$N$7:$N$2010,"P4")</f>
        <v>0</v>
      </c>
      <c r="BD33" s="404">
        <f>SUMIFS('LAC 102_Wkst'!$Q$7:$Q$2010,'LAC 102_Wkst'!$D$7:$D$2010,$C$7,'LAC 102_Wkst'!$I$7:$I$2010,$C$9,'LAC 102_Wkst'!$E$7:$E$2010,$C33,'LAC 102_Wkst'!$G$7:$G$2010,$D33,'LAC 102_Wkst'!$L$7:$L$2010,"13",'LAC 102_Wkst'!$N$7:$N$2010,"P5")</f>
        <v>0</v>
      </c>
      <c r="BE33" s="411">
        <f>SUMIFS('LAC 102_Wkst'!$AF$7:$AF$2010,'LAC 102_Wkst'!$D$7:$D$2010,$C$7,'LAC 102_Wkst'!$I$7:$I$2010,$C$9,'LAC 102_Wkst'!$E$7:$E$2010,$C33,'LAC 102_Wkst'!$G$7:$G$2010,$D33,'LAC 102_Wkst'!$L$7:$L$2010,"13",'LAC 102_Wkst'!$N$7:$N$2010,"P5")</f>
        <v>0</v>
      </c>
      <c r="BF33" s="407">
        <f t="shared" si="4"/>
        <v>1893</v>
      </c>
      <c r="BG33" s="1654">
        <f>SUMIFS('LAC 102_Wkst'!$AF$7:$AF$2010,'LAC 102_Wkst'!$D$7:$D$2010,$C$7,'LAC 102_Wkst'!$I$7:$I$2010,$C$9,'LAC 102_Wkst'!$E$7:$E$2010,$C33,'LAC 102_Wkst'!$G$7:$G$2010,$D33,'LAC 102_Wkst'!$L$7:$L$2010,"14")</f>
        <v>11237.407026221241</v>
      </c>
    </row>
    <row r="34" spans="1:59" x14ac:dyDescent="0.2">
      <c r="A34" s="401">
        <v>12</v>
      </c>
      <c r="B34" s="1678" t="str">
        <f>IF(Schedule_B!B$31="","",Schedule_B!B$31)</f>
        <v>CR</v>
      </c>
      <c r="C34" s="1674" t="str">
        <f>IF(Schedule_B!C$31=""," ",Schedule_B!C$31)</f>
        <v>15</v>
      </c>
      <c r="D34" s="1675" t="str">
        <f>IF(Schedule_B!D$31=""," ",Schedule_B!D$31)</f>
        <v>77</v>
      </c>
      <c r="E34" s="1221">
        <f>SUMIFS('LAC 102_Wkst'!$Q$7:$Q$2010,'LAC 102_Wkst'!$D$7:$D$2010,$C$7,'LAC 102_Wkst'!$I$7:$I$2010,$C$9,'LAC 102_Wkst'!$E$7:$E$2010,$C34,'LAC 102_Wkst'!$G$7:$G$2010,$D34)</f>
        <v>436</v>
      </c>
      <c r="F34" s="408">
        <f>SUMIFS('LAC 102_Wkst'!$Q$7:$Q$2010,'LAC 102_Wkst'!$D$7:$D$2010,$C$7,'LAC 102_Wkst'!$I$7:$I$2010,$C$9,'LAC 102_Wkst'!$E$7:$E$2010,$C34,'LAC 102_Wkst'!$G$7:$G$2010,$D34,'LAC 102_Wkst'!$L$7:$L$2010,"01",'LAC 102_Wkst'!$N$7:$N$2010,"P1")+SUMIFS('LAC 102_Wkst'!$Q$7:$Q$2010,'LAC 102_Wkst'!$D$7:$D$2010,$C$7,'LAC 102_Wkst'!$I$7:$I$2010,$C$9,'LAC 102_Wkst'!$E$7:$E$2010,$C34,'LAC 102_Wkst'!$G$7:$G$2010,$D34,'LAC 102_Wkst'!$L$7:$L$2010,"01",'LAC 102_Wkst'!$N$7:$N$2010,"P2")+SUMIFS('LAC 102_Wkst'!$Q$7:$Q$2010,'LAC 102_Wkst'!$D$7:$D$2010,$C$7,'LAC 102_Wkst'!$I$7:$I$2010,$C$9,'LAC 102_Wkst'!$E$7:$E$2010,$C34,'LAC 102_Wkst'!$G$7:$G$2010,$D34,'LAC 102_Wkst'!$L$7:$L$2010,"01",'LAC 102_Wkst'!$N$7:$N$2010,"P3")+SUMIFS('LAC 102_Wkst'!$Q$7:$Q$2010,'LAC 102_Wkst'!$D$7:$D$2010,$C$7,'LAC 102_Wkst'!$I$7:$I$2010,$C$9,'LAC 102_Wkst'!$E$7:$E$2010,$C34,'LAC 102_Wkst'!$G$7:$G$2010,$D34,'LAC 102_Wkst'!$L$7:$L$2010,"02",'LAC 102_Wkst'!$N$7:$N$2010,"P1")+SUMIFS('LAC 102_Wkst'!$Q$7:$Q$2010,'LAC 102_Wkst'!$D$7:$D$2010,$C$7,'LAC 102_Wkst'!$I$7:$I$2010,$C$9,'LAC 102_Wkst'!$E$7:$E$2010,$C34,'LAC 102_Wkst'!$G$7:$G$2010,$D34,'LAC 102_Wkst'!$L$7:$L$2010,"02",'LAC 102_Wkst'!$N$7:$N$2010,"P2")+SUMIFS('LAC 102_Wkst'!$Q$7:$Q$2010,'LAC 102_Wkst'!$D$7:$D$2010,$C$7,'LAC 102_Wkst'!$I$7:$I$2010,$C$9,'LAC 102_Wkst'!$E$7:$E$2010,$C34,'LAC 102_Wkst'!$G$7:$G$2010,$D34,'LAC 102_Wkst'!$L$7:$L$2010,"02",'LAC 102_Wkst'!$N$7:$N$2010,"P3")</f>
        <v>436</v>
      </c>
      <c r="G34" s="409">
        <f>SUMIFS('LAC 102_Wkst'!$AF$7:$AF$2010,'LAC 102_Wkst'!$D$7:$D$2010,$C$7,'LAC 102_Wkst'!$I$7:$I$2010,$C$9,'LAC 102_Wkst'!$E$7:$E$2010,$C34,'LAC 102_Wkst'!$G$7:$G$2010,$D34,'LAC 102_Wkst'!$L$7:$L$2010,"01",'LAC 102_Wkst'!$N$7:$N$2010,"P1")+SUMIFS('LAC 102_Wkst'!$AF$7:$AF$2010,'LAC 102_Wkst'!$D$7:$D$2010,$C$7,'LAC 102_Wkst'!$I$7:$I$2010,$C$9,'LAC 102_Wkst'!$E$7:$E$2010,$C34,'LAC 102_Wkst'!$G$7:$G$2010,$D34,'LAC 102_Wkst'!$L$7:$L$2010,"01",'LAC 102_Wkst'!$N$7:$N$2010,"P2")+SUMIFS('LAC 102_Wkst'!$AF$7:$AF$2010,'LAC 102_Wkst'!$D$7:$D$2010,$C$7,'LAC 102_Wkst'!$I$7:$I$2010,$C$9,'LAC 102_Wkst'!$E$7:$E$2010,$C34,'LAC 102_Wkst'!$G$7:$G$2010,$D34,'LAC 102_Wkst'!$L$7:$L$2010,"01",'LAC 102_Wkst'!$N$7:$N$2010,"P3")+SUMIFS('LAC 102_Wkst'!$AF$7:$AF$2010,'LAC 102_Wkst'!$D$7:$D$2010,$C$7,'LAC 102_Wkst'!$I$7:$I$2010,$C$9,'LAC 102_Wkst'!$E$7:$E$2010,$C34,'LAC 102_Wkst'!$G$7:$G$2010,$D34,'LAC 102_Wkst'!$L$7:$L$2010,"02",'LAC 102_Wkst'!$N$7:$N$2010,"P1")+SUMIFS('LAC 102_Wkst'!$AF$7:$AF$2010,'LAC 102_Wkst'!$D$7:$D$2010,$C$7,'LAC 102_Wkst'!$I$7:$I$2010,$C$9,'LAC 102_Wkst'!$E$7:$E$2010,$C34,'LAC 102_Wkst'!$G$7:$G$2010,$D34,'LAC 102_Wkst'!$L$7:$L$2010,"02",'LAC 102_Wkst'!$N$7:$N$2010,"P2")+SUMIFS('LAC 102_Wkst'!$AF$7:$AF$2010,'LAC 102_Wkst'!$D$7:$D$2010,$C$7,'LAC 102_Wkst'!$I$7:$I$2010,$C$9,'LAC 102_Wkst'!$E$7:$E$2010,$C34,'LAC 102_Wkst'!$G$7:$G$2010,$D34,'LAC 102_Wkst'!$L$7:$L$2010,"02",'LAC 102_Wkst'!$N$7:$N$2010,"P3")</f>
        <v>2080.7297059417137</v>
      </c>
      <c r="H34" s="410">
        <f>SUMIFS('LAC 102_Wkst'!$Q$7:$Q$2010,'LAC 102_Wkst'!$D$7:$D$2010,$C$7,'LAC 102_Wkst'!$I$7:$I$2010,$C$9,'LAC 102_Wkst'!$E$7:$E$2010,$C34,'LAC 102_Wkst'!$G$7:$G$2010,$D34,'LAC 102_Wkst'!$L$7:$L$2010,"01",'LAC 102_Wkst'!$N$7:$N$2010,"P4")+SUMIFS('LAC 102_Wkst'!$Q$7:$Q$2010,'LAC 102_Wkst'!$D$7:$D$2010,$C$7,'LAC 102_Wkst'!$I$7:$I$2010,$C$9,'LAC 102_Wkst'!$E$7:$E$2010,$C34,'LAC 102_Wkst'!$G$7:$G$2010,$D34,'LAC 102_Wkst'!$L$7:$L$2010,"02",'LAC 102_Wkst'!$N$7:$N$2010,"P4")</f>
        <v>0</v>
      </c>
      <c r="I34" s="411">
        <f>SUMIFS('LAC 102_Wkst'!$AF$7:$AF$2010,'LAC 102_Wkst'!$D$7:$D$2010,$C$7,'LAC 102_Wkst'!$I$7:$I$2010,$C$9,'LAC 102_Wkst'!$E$7:$E$2010,$C34,'LAC 102_Wkst'!$G$7:$G$2010,$D34,'LAC 102_Wkst'!$L$7:$L$2010,"01",'LAC 102_Wkst'!$N$7:$N$2010,"P4")+SUMIFS('LAC 102_Wkst'!$AF$7:$AF$2010,'LAC 102_Wkst'!$D$7:$D$2010,$C$7,'LAC 102_Wkst'!$I$7:$I$2010,$C$9,'LAC 102_Wkst'!$E$7:$E$2010,$C34,'LAC 102_Wkst'!$G$7:$G$2010,$D34,'LAC 102_Wkst'!$L$7:$L$2010,"02",'LAC 102_Wkst'!$N$7:$N$2010,"P4")</f>
        <v>0</v>
      </c>
      <c r="J34" s="410">
        <f>SUMIFS('LAC 102_Wkst'!$Q$7:$Q$2010,'LAC 102_Wkst'!$D$7:$D$2010,$C$7,'LAC 102_Wkst'!$I$7:$I$2010,$C$9,'LAC 102_Wkst'!$E$7:$E$2010,$C34,'LAC 102_Wkst'!$G$7:$G$2010,$D34,'LAC 102_Wkst'!$L$7:$L$2010,"01",'LAC 102_Wkst'!$N$7:$N$2010,"P5")+SUMIFS('LAC 102_Wkst'!$Q$7:$Q$2010,'LAC 102_Wkst'!$D$7:$D$2010,$C$7,'LAC 102_Wkst'!$I$7:$I$2010,$C$9,'LAC 102_Wkst'!$E$7:$E$2010,$C34,'LAC 102_Wkst'!$G$7:$G$2010,$D34,'LAC 102_Wkst'!$L$7:$L$2010,"02",'LAC 102_Wkst'!$N$7:$N$2010,"P5")</f>
        <v>0</v>
      </c>
      <c r="K34" s="411">
        <f>SUMIFS('LAC 102_Wkst'!$AF$7:$AF$2010,'LAC 102_Wkst'!$D$7:$D$2010,$C$7,'LAC 102_Wkst'!$I$7:$I$2010,$C$9,'LAC 102_Wkst'!$E$7:$E$2010,$C34,'LAC 102_Wkst'!$G$7:$G$2010,$D34,'LAC 102_Wkst'!$L$7:$L$2010,"01",'LAC 102_Wkst'!$N$7:$N$2010,"P5")+SUMIFS('LAC 102_Wkst'!$AF$7:$AF$2010,'LAC 102_Wkst'!$D$7:$D$2010,$C$7,'LAC 102_Wkst'!$I$7:$I$2010,$C$9,'LAC 102_Wkst'!$E$7:$E$2010,$C34,'LAC 102_Wkst'!$G$7:$G$2010,$D34,'LAC 102_Wkst'!$L$7:$L$2010,"02",'LAC 102_Wkst'!$N$7:$N$2010,"P5")</f>
        <v>0</v>
      </c>
      <c r="L34" s="410">
        <f>SUMIFS('LAC 102_Wkst'!$Q$7:$Q$2010,'LAC 102_Wkst'!$D$7:$D$2010,$C$7,'LAC 102_Wkst'!$I$7:$I$2010,$C$9,'LAC 102_Wkst'!$E$7:$E$2010,$C34,'LAC 102_Wkst'!$G$7:$G$2010,$D34,'LAC 102_Wkst'!$L$7:$L$2010,"03",'LAC 102_Wkst'!$N$7:$N$2010,"P1")+SUMIFS('LAC 102_Wkst'!$Q$7:$Q$2010,'LAC 102_Wkst'!$D$7:$D$2010,$C$7,'LAC 102_Wkst'!$I$7:$I$2010,$C$9,'LAC 102_Wkst'!$E$7:$E$2010,$C34,'LAC 102_Wkst'!$G$7:$G$2010,$D34,'LAC 102_Wkst'!$L$7:$L$2010,"03",'LAC 102_Wkst'!$N$7:$N$2010,"P2")+SUMIFS('LAC 102_Wkst'!$Q$7:$Q$2010,'LAC 102_Wkst'!$D$7:$D$2010,$C$7,'LAC 102_Wkst'!$I$7:$I$2010,$C$9,'LAC 102_Wkst'!$E$7:$E$2010,$C34,'LAC 102_Wkst'!$G$7:$G$2010,$D34,'LAC 102_Wkst'!$L$7:$L$2010,"03",'LAC 102_Wkst'!$N$7:$N$2010,"P3")+SUMIFS('LAC 102_Wkst'!$Q$7:$Q$2010,'LAC 102_Wkst'!$D$7:$D$2010,$C$7,'LAC 102_Wkst'!$I$7:$I$2010,$C$9,'LAC 102_Wkst'!$E$7:$E$2010,$C34,'LAC 102_Wkst'!$G$7:$G$2010,$D34,'LAC 102_Wkst'!$L$7:$L$2010,"04",'LAC 102_Wkst'!$N$7:$N$2010,"P1")+SUMIFS('LAC 102_Wkst'!$Q$7:$Q$2010,'LAC 102_Wkst'!$D$7:$D$2010,$C$7,'LAC 102_Wkst'!$I$7:$I$2010,$C$9,'LAC 102_Wkst'!$E$7:$E$2010,$C34,'LAC 102_Wkst'!$G$7:$G$2010,$D34,'LAC 102_Wkst'!$L$7:$L$2010,"04",'LAC 102_Wkst'!$N$7:$N$2010,"P2")+SUMIFS('LAC 102_Wkst'!$Q$7:$Q$2010,'LAC 102_Wkst'!$D$7:$D$2010,$C$7,'LAC 102_Wkst'!$I$7:$I$2010,$C$9,'LAC 102_Wkst'!$E$7:$E$2010,$C34,'LAC 102_Wkst'!$G$7:$G$2010,$D34,'LAC 102_Wkst'!$L$7:$L$2010,"04",'LAC 102_Wkst'!$N$7:$N$2010,"P3")</f>
        <v>0</v>
      </c>
      <c r="M34" s="411">
        <f>SUMIFS('LAC 102_Wkst'!$AF$7:$AF$2010,'LAC 102_Wkst'!$D$7:$D$2010,$C$7,'LAC 102_Wkst'!$I$7:$I$2010,$C$9,'LAC 102_Wkst'!$E$7:$E$2010,$C34,'LAC 102_Wkst'!$G$7:$G$2010,$D34,'LAC 102_Wkst'!$L$7:$L$2010,"03",'LAC 102_Wkst'!$N$7:$N$2010,"P1")+SUMIFS('LAC 102_Wkst'!$AF$7:$AF$2010,'LAC 102_Wkst'!$D$7:$D$2010,$C$7,'LAC 102_Wkst'!$I$7:$I$2010,$C$9,'LAC 102_Wkst'!$E$7:$E$2010,$C34,'LAC 102_Wkst'!$G$7:$G$2010,$D34,'LAC 102_Wkst'!$L$7:$L$2010,"03",'LAC 102_Wkst'!$N$7:$N$2010,"P2")+SUMIFS('LAC 102_Wkst'!$AF$7:$AF$2010,'LAC 102_Wkst'!$D$7:$D$2010,$C$7,'LAC 102_Wkst'!$I$7:$I$2010,$C$9,'LAC 102_Wkst'!$E$7:$E$2010,$C34,'LAC 102_Wkst'!$G$7:$G$2010,$D34,'LAC 102_Wkst'!$L$7:$L$2010,"03",'LAC 102_Wkst'!$N$7:$N$2010,"P3")+SUMIFS('LAC 102_Wkst'!$AF$7:$AF$2010,'LAC 102_Wkst'!$D$7:$D$2010,$C$7,'LAC 102_Wkst'!$I$7:$I$2010,$C$9,'LAC 102_Wkst'!$E$7:$E$2010,$C34,'LAC 102_Wkst'!$G$7:$G$2010,$D34,'LAC 102_Wkst'!$L$7:$L$2010,"04",'LAC 102_Wkst'!$N$7:$N$2010,"P1")+SUMIFS('LAC 102_Wkst'!$AF$7:$AF$2010,'LAC 102_Wkst'!$D$7:$D$2010,$C$7,'LAC 102_Wkst'!$I$7:$I$2010,$C$9,'LAC 102_Wkst'!$E$7:$E$2010,$C34,'LAC 102_Wkst'!$G$7:$G$2010,$D34,'LAC 102_Wkst'!$L$7:$L$2010,"04",'LAC 102_Wkst'!$N$7:$N$2010,"P2")+SUMIFS('LAC 102_Wkst'!$AF$7:$AF$2010,'LAC 102_Wkst'!$D$7:$D$2010,$C$7,'LAC 102_Wkst'!$I$7:$I$2010,$C$9,'LAC 102_Wkst'!$E$7:$E$2010,$C34,'LAC 102_Wkst'!$G$7:$G$2010,$D34,'LAC 102_Wkst'!$L$7:$L$2010,"04",'LAC 102_Wkst'!$N$7:$N$2010,"P3")</f>
        <v>0</v>
      </c>
      <c r="N34" s="410">
        <f>SUMIFS('LAC 102_Wkst'!$Q$7:$Q$2010,'LAC 102_Wkst'!$D$7:$D$2010,$C$7,'LAC 102_Wkst'!$I$7:$I$2010,$C$9,'LAC 102_Wkst'!$E$7:$E$2010,$C34,'LAC 102_Wkst'!$G$7:$G$2010,$D34,'LAC 102_Wkst'!$L$7:$L$2010,"03",'LAC 102_Wkst'!$N$7:$N$2010,"P4")+SUMIFS('LAC 102_Wkst'!$Q$7:$Q$2010,'LAC 102_Wkst'!$D$7:$D$2010,$C$7,'LAC 102_Wkst'!$I$7:$I$2010,$C$9,'LAC 102_Wkst'!$E$7:$E$2010,$C34,'LAC 102_Wkst'!$G$7:$G$2010,$D34,'LAC 102_Wkst'!$L$7:$L$2010,"04",'LAC 102_Wkst'!$N$7:$N$2010,"P4")</f>
        <v>0</v>
      </c>
      <c r="O34" s="411">
        <f>SUMIFS('LAC 102_Wkst'!$AF$7:$AF$2010,'LAC 102_Wkst'!$D$7:$D$2010,$C$7,'LAC 102_Wkst'!$I$7:$I$2010,$C$9,'LAC 102_Wkst'!$E$7:$E$2010,$C34,'LAC 102_Wkst'!$G$7:$G$2010,$D34,'LAC 102_Wkst'!$L$7:$L$2010,"03",'LAC 102_Wkst'!$N$7:$N$2010,"P4")+SUMIFS('LAC 102_Wkst'!$AF$7:$AF$2010,'LAC 102_Wkst'!$D$7:$D$2010,$C$7,'LAC 102_Wkst'!$I$7:$I$2010,$C$9,'LAC 102_Wkst'!$E$7:$E$2010,$C34,'LAC 102_Wkst'!$G$7:$G$2010,$D34,'LAC 102_Wkst'!$L$7:$L$2010,"04",'LAC 102_Wkst'!$N$7:$N$2010,"P4")</f>
        <v>0</v>
      </c>
      <c r="P34" s="404">
        <f>SUMIFS('LAC 102_Wkst'!$Q$7:$Q$2010,'LAC 102_Wkst'!$D$7:$D$2010,$C$7,'LAC 102_Wkst'!$I$7:$I$2010,$C$9,'LAC 102_Wkst'!$E$7:$E$2010,$C34,'LAC 102_Wkst'!$G$7:$G$2010,$D34,'LAC 102_Wkst'!$L$7:$L$2010,"03",'LAC 102_Wkst'!$N$7:$N$2010,"P5")+SUMIFS('LAC 102_Wkst'!$Q$7:$Q$2010,'LAC 102_Wkst'!$D$7:$D$2010,$C$7,'LAC 102_Wkst'!$I$7:$I$2010,$C$9,'LAC 102_Wkst'!$E$7:$E$2010,$C34,'LAC 102_Wkst'!$G$7:$G$2010,$D34,'LAC 102_Wkst'!$L$7:$L$2010,"04",'LAC 102_Wkst'!$N$7:$N$2010,"P5")</f>
        <v>0</v>
      </c>
      <c r="Q34" s="411">
        <f>SUMIFS('LAC 102_Wkst'!$AF$7:$AF$2010,'LAC 102_Wkst'!$D$7:$D$2010,$C$7,'LAC 102_Wkst'!$I$7:$I$2010,$C$9,'LAC 102_Wkst'!$E$7:$E$2010,$C34,'LAC 102_Wkst'!$G$7:$G$2010,$D34,'LAC 102_Wkst'!$L$7:$L$2010,"03",'LAC 102_Wkst'!$N$7:$N$2010,"P5")+SUMIFS('LAC 102_Wkst'!$AF$7:$AF$2010,'LAC 102_Wkst'!$D$7:$D$2010,$C$7,'LAC 102_Wkst'!$I$7:$I$2010,$C$9,'LAC 102_Wkst'!$E$7:$E$2010,$C34,'LAC 102_Wkst'!$G$7:$G$2010,$D34,'LAC 102_Wkst'!$L$7:$L$2010,"04",'LAC 102_Wkst'!$N$7:$N$2010,"P5")</f>
        <v>0</v>
      </c>
      <c r="R34" s="412">
        <f>SUMIFS('LAC 102_Wkst'!$Q$7:$Q$2010,'LAC 102_Wkst'!$D$7:$D$2010,$C$7,'LAC 102_Wkst'!$I$7:$I$2010,$C$9,'LAC 102_Wkst'!$E$7:$E$2010,$C34,'LAC 102_Wkst'!$G$7:$G$2010,$D34,'LAC 102_Wkst'!$L$7:$L$2010,"05",'LAC 102_Wkst'!$N$7:$N$2010,"P1")+SUMIFS('LAC 102_Wkst'!$Q$7:$Q$2010,'LAC 102_Wkst'!$D$7:$D$2010,$C$7,'LAC 102_Wkst'!$I$7:$I$2010,$C$9,'LAC 102_Wkst'!$E$7:$E$2010,$C34,'LAC 102_Wkst'!$G$7:$G$2010,$D34,'LAC 102_Wkst'!$L$7:$L$2010,"06",'LAC 102_Wkst'!$N$7:$N$2010,"P1")</f>
        <v>0</v>
      </c>
      <c r="S34" s="411">
        <f>SUMIFS('LAC 102_Wkst'!$AF$7:$AF$2010,'LAC 102_Wkst'!$D$7:$D$2010,$C$7,'LAC 102_Wkst'!$I$7:$I$2010,$C$9,'LAC 102_Wkst'!$E$7:$E$2010,$C34,'LAC 102_Wkst'!$G$7:$G$2010,$D34,'LAC 102_Wkst'!$L$7:$L$2010,"05",'LAC 102_Wkst'!$N$7:$N$2010,"P1")+SUMIFS('LAC 102_Wkst'!$AF$7:$AF$2010,'LAC 102_Wkst'!$D$7:$D$2010,$C$7,'LAC 102_Wkst'!$I$7:$I$2010,$C$9,'LAC 102_Wkst'!$E$7:$E$2010,$C34,'LAC 102_Wkst'!$G$7:$G$2010,$D34,'LAC 102_Wkst'!$L$7:$L$2010,"06",'LAC 102_Wkst'!$N$7:$N$2010,"P1")</f>
        <v>0</v>
      </c>
      <c r="T34" s="410">
        <f>SUMIFS('LAC 102_Wkst'!$Q$7:$Q$2010,'LAC 102_Wkst'!$D$7:$D$2010,$C$7,'LAC 102_Wkst'!$I$7:$I$2010,$C$9,'LAC 102_Wkst'!$E$7:$E$2010,$C34,'LAC 102_Wkst'!$G$7:$G$2010,$D34,'LAC 102_Wkst'!$L$7:$L$2010,"05",'LAC 102_Wkst'!$N$7:$N$2010,"P2")+SUMIFS('LAC 102_Wkst'!$Q$7:$Q$2010,'LAC 102_Wkst'!$D$7:$D$2010,$C$7,'LAC 102_Wkst'!$I$7:$I$2010,$C$9,'LAC 102_Wkst'!$E$7:$E$2010,$C34,'LAC 102_Wkst'!$G$7:$G$2010,$D34,'LAC 102_Wkst'!$L$7:$L$2010,"06",'LAC 102_Wkst'!$N$7:$N$2010,"P2")+SUMIFS('LAC 102_Wkst'!$Q$7:$Q$2010,'LAC 102_Wkst'!$D$7:$D$2010,$C$7,'LAC 102_Wkst'!$I$7:$I$2010,$C$9,'LAC 102_Wkst'!$E$7:$E$2010,$C34,'LAC 102_Wkst'!$G$7:$G$2010,$D34,'LAC 102_Wkst'!$L$7:$L$2010,"05",'LAC 102_Wkst'!$N$7:$N$2010,"P3")+SUMIFS('LAC 102_Wkst'!$Q$7:$Q$2010,'LAC 102_Wkst'!$D$7:$D$2010,$C$7,'LAC 102_Wkst'!$I$7:$I$2010,$C$9,'LAC 102_Wkst'!$E$7:$E$2010,$C34,'LAC 102_Wkst'!$G$7:$G$2010,$D34,'LAC 102_Wkst'!$L$7:$L$2010,"06",'LAC 102_Wkst'!$N$7:$N$2010,"P3")</f>
        <v>0</v>
      </c>
      <c r="U34" s="411">
        <f>SUMIFS('LAC 102_Wkst'!$AF$7:$AF$2010,'LAC 102_Wkst'!$D$7:$D$2010,$C$7,'LAC 102_Wkst'!$I$7:$I$2010,$C$9,'LAC 102_Wkst'!$E$7:$E$2010,$C34,'LAC 102_Wkst'!$G$7:$G$2010,$D34,'LAC 102_Wkst'!$L$7:$L$2010,"05",'LAC 102_Wkst'!$N$7:$N$2010,"P2")+SUMIFS('LAC 102_Wkst'!$AF$7:$AF$2010,'LAC 102_Wkst'!$D$7:$D$2010,$C$7,'LAC 102_Wkst'!$I$7:$I$2010,$C$9,'LAC 102_Wkst'!$E$7:$E$2010,$C34,'LAC 102_Wkst'!$G$7:$G$2010,$D34,'LAC 102_Wkst'!$L$7:$L$2010,"06",'LAC 102_Wkst'!$N$7:$N$2010,"P2")+SUMIFS('LAC 102_Wkst'!$AF$7:$AF$2010,'LAC 102_Wkst'!$D$7:$D$2010,$C$7,'LAC 102_Wkst'!$I$7:$I$2010,$C$9,'LAC 102_Wkst'!$E$7:$E$2010,$C34,'LAC 102_Wkst'!$G$7:$G$2010,$D34,'LAC 102_Wkst'!$L$7:$L$2010,"05",'LAC 102_Wkst'!$N$7:$N$2010,"P3")+SUMIFS('LAC 102_Wkst'!$AF$7:$AF$2010,'LAC 102_Wkst'!$D$7:$D$2010,$C$7,'LAC 102_Wkst'!$I$7:$I$2010,$C$9,'LAC 102_Wkst'!$E$7:$E$2010,$C34,'LAC 102_Wkst'!$G$7:$G$2010,$D34,'LAC 102_Wkst'!$L$7:$L$2010,"06",'LAC 102_Wkst'!$N$7:$N$2010,"P3")</f>
        <v>0</v>
      </c>
      <c r="V34" s="410">
        <f>SUMIFS('LAC 102_Wkst'!$Q$7:$Q$2010,'LAC 102_Wkst'!$D$7:$D$2010,$C$7,'LAC 102_Wkst'!$I$7:$I$2010,$C$9,'LAC 102_Wkst'!$E$7:$E$2010,$C34,'LAC 102_Wkst'!$G$7:$G$2010,$D34,'LAC 102_Wkst'!$L$7:$L$2010,"05",'LAC 102_Wkst'!$N$7:$N$2010,"P4")+SUMIFS('LAC 102_Wkst'!$Q$7:$Q$2010,'LAC 102_Wkst'!$D$7:$D$2010,$C$7,'LAC 102_Wkst'!$I$7:$I$2010,$C$9,'LAC 102_Wkst'!$E$7:$E$2010,$C34,'LAC 102_Wkst'!$G$7:$G$2010,$D34,'LAC 102_Wkst'!$L$7:$L$2010,"06",'LAC 102_Wkst'!$N$7:$N$2010,"P4")</f>
        <v>0</v>
      </c>
      <c r="W34" s="411">
        <f>SUMIFS('LAC 102_Wkst'!$AF$7:$AF$2010,'LAC 102_Wkst'!$D$7:$D$2010,$C$7,'LAC 102_Wkst'!$I$7:$I$2010,$C$9,'LAC 102_Wkst'!$E$7:$E$2010,$C34,'LAC 102_Wkst'!$G$7:$G$2010,$D34,'LAC 102_Wkst'!$L$7:$L$2010,"05",'LAC 102_Wkst'!$N$7:$N$2010,"P4")+SUMIFS('LAC 102_Wkst'!$AF$7:$AF$2010,'LAC 102_Wkst'!$D$7:$D$2010,$C$7,'LAC 102_Wkst'!$I$7:$I$2010,$C$9,'LAC 102_Wkst'!$E$7:$E$2010,$C34,'LAC 102_Wkst'!$G$7:$G$2010,$D34,'LAC 102_Wkst'!$L$7:$L$2010,"06",'LAC 102_Wkst'!$N$7:$N$2010,"P4")</f>
        <v>0</v>
      </c>
      <c r="X34" s="404">
        <f>SUMIFS('LAC 102_Wkst'!$Q$7:$Q$2010,'LAC 102_Wkst'!$D$7:$D$2010,$C$7,'LAC 102_Wkst'!$I$7:$I$2010,$C$9,'LAC 102_Wkst'!$E$7:$E$2010,$C34,'LAC 102_Wkst'!$G$7:$G$2010,$D34,'LAC 102_Wkst'!$L$7:$L$2010,"05",'LAC 102_Wkst'!$N$7:$N$2010,"P5")+SUMIFS('LAC 102_Wkst'!$Q$7:$Q$2010,'LAC 102_Wkst'!$D$7:$D$2010,$C$7,'LAC 102_Wkst'!$I$7:$I$2010,$C$9,'LAC 102_Wkst'!$E$7:$E$2010,$C34,'LAC 102_Wkst'!$G$7:$G$2010,$D34,'LAC 102_Wkst'!$L$7:$L$2010,"06",'LAC 102_Wkst'!$N$7:$N$2010,"P5")</f>
        <v>0</v>
      </c>
      <c r="Y34" s="411">
        <f>SUMIFS('LAC 102_Wkst'!$AF$7:$AF$2010,'LAC 102_Wkst'!$D$7:$D$2010,$C$7,'LAC 102_Wkst'!$I$7:$I$2010,$C$9,'LAC 102_Wkst'!$E$7:$E$2010,$C34,'LAC 102_Wkst'!$G$7:$G$2010,$D34,'LAC 102_Wkst'!$L$7:$L$2010,"05",'LAC 102_Wkst'!$N$7:$N$2010,"P5")+SUMIFS('LAC 102_Wkst'!$AF$7:$AF$2010,'LAC 102_Wkst'!$D$7:$D$2010,$C$7,'LAC 102_Wkst'!$I$7:$I$2010,$C$9,'LAC 102_Wkst'!$E$7:$E$2010,$C34,'LAC 102_Wkst'!$G$7:$G$2010,$D34,'LAC 102_Wkst'!$L$7:$L$2010,"06",'LAC 102_Wkst'!$N$7:$N$2010,"P5")</f>
        <v>0</v>
      </c>
      <c r="Z34" s="410">
        <f>SUMIFS('LAC 102_Wkst'!$Q$7:$Q$2010,'LAC 102_Wkst'!$D$7:$D$2010,$C$7,'LAC 102_Wkst'!$I$7:$I$2010,$C$9,'LAC 102_Wkst'!$E$7:$E$2010,$C34,'LAC 102_Wkst'!$G$7:$G$2010,$D34,'LAC 102_Wkst'!$L$7:$L$2010,"07",'LAC 102_Wkst'!$N$7:$N$2010,"P1")+SUMIFS('LAC 102_Wkst'!$Q$7:$Q$2010,'LAC 102_Wkst'!$D$7:$D$2010,$C$7,'LAC 102_Wkst'!$I$7:$I$2010,$C$9,'LAC 102_Wkst'!$E$7:$E$2010,$C34,'LAC 102_Wkst'!$G$7:$G$2010,$D34,'LAC 102_Wkst'!$L$7:$L$2010,"07",'LAC 102_Wkst'!$N$7:$N$2010,"P2")+SUMIFS('LAC 102_Wkst'!$Q$7:$Q$2010,'LAC 102_Wkst'!$D$7:$D$2010,$C$7,'LAC 102_Wkst'!$I$7:$I$2010,$C$9,'LAC 102_Wkst'!$E$7:$E$2010,$C34,'LAC 102_Wkst'!$G$7:$G$2010,$D34,'LAC 102_Wkst'!$L$7:$L$2010,"07",'LAC 102_Wkst'!$N$7:$N$2010,"P3")</f>
        <v>0</v>
      </c>
      <c r="AA34" s="411">
        <f>SUMIFS('LAC 102_Wkst'!$AF$7:$AF$2010,'LAC 102_Wkst'!$D$7:$D$2010,$C$7,'LAC 102_Wkst'!$I$7:$I$2010,$C$9,'LAC 102_Wkst'!$E$7:$E$2010,$C34,'LAC 102_Wkst'!$G$7:$G$2010,$D34,'LAC 102_Wkst'!$L$7:$L$2010,"07",'LAC 102_Wkst'!$N$7:$N$2010,"P1")+SUMIFS('LAC 102_Wkst'!$AF$7:$AF$2010,'LAC 102_Wkst'!$D$7:$D$2010,$C$7,'LAC 102_Wkst'!$I$7:$I$2010,$C$9,'LAC 102_Wkst'!$E$7:$E$2010,$C34,'LAC 102_Wkst'!$G$7:$G$2010,$D34,'LAC 102_Wkst'!$L$7:$L$2010,"07",'LAC 102_Wkst'!$N$7:$N$2010,"P2")+SUMIFS('LAC 102_Wkst'!$AF$7:$AF$2010,'LAC 102_Wkst'!$D$7:$D$2010,$C$7,'LAC 102_Wkst'!$I$7:$I$2010,$C$9,'LAC 102_Wkst'!$E$7:$E$2010,$C34,'LAC 102_Wkst'!$G$7:$G$2010,$D34,'LAC 102_Wkst'!$L$7:$L$2010,"07",'LAC 102_Wkst'!$N$7:$N$2010,"P3")</f>
        <v>0</v>
      </c>
      <c r="AB34" s="410">
        <f>SUMIFS('LAC 102_Wkst'!$Q$7:$Q$2010,'LAC 102_Wkst'!$D$7:$D$2010,$C$7,'LAC 102_Wkst'!$I$7:$I$2010,$C$9,'LAC 102_Wkst'!$E$7:$E$2010,$C34,'LAC 102_Wkst'!$G$7:$G$2010,$D34,'LAC 102_Wkst'!$L$7:$L$2010,"07",'LAC 102_Wkst'!$N$7:$N$2010,"P4")</f>
        <v>0</v>
      </c>
      <c r="AC34" s="411">
        <f>SUMIFS('LAC 102_Wkst'!$AF$7:$AF$2010,'LAC 102_Wkst'!$D$7:$D$2010,$C$7,'LAC 102_Wkst'!$I$7:$I$2010,$C$9,'LAC 102_Wkst'!$E$7:$E$2010,$C34,'LAC 102_Wkst'!$G$7:$G$2010,$D34,'LAC 102_Wkst'!$L$7:$L$2010,"07",'LAC 102_Wkst'!$N$7:$N$2010,"P4")</f>
        <v>0</v>
      </c>
      <c r="AD34" s="404">
        <f>SUMIFS('LAC 102_Wkst'!$Q$7:$Q$2010,'LAC 102_Wkst'!$D$7:$D$2010,$C$7,'LAC 102_Wkst'!$I$7:$I$2010,$C$9,'LAC 102_Wkst'!$E$7:$E$2010,$C34,'LAC 102_Wkst'!$G$7:$G$2010,$D34,'LAC 102_Wkst'!$L$7:$L$2010,"07",'LAC 102_Wkst'!$N$7:$N$2010,"P5")</f>
        <v>0</v>
      </c>
      <c r="AE34" s="411">
        <f>SUMIFS('LAC 102_Wkst'!$AF$7:$AF$2010,'LAC 102_Wkst'!$D$7:$D$2010,$C$7,'LAC 102_Wkst'!$I$7:$I$2010,$C$9,'LAC 102_Wkst'!$E$7:$E$2010,$C34,'LAC 102_Wkst'!$G$7:$G$2010,$D34,'LAC 102_Wkst'!$L$7:$L$2010,"07",'LAC 102_Wkst'!$N$7:$N$2010,"P5")</f>
        <v>0</v>
      </c>
      <c r="AF34" s="410">
        <f>SUMIFS('LAC 102_Wkst'!$Q$7:$Q$2010,'LAC 102_Wkst'!$D$7:$D$2010,$C$7,'LAC 102_Wkst'!$I$7:$I$2010,$C$9,'LAC 102_Wkst'!$E$7:$E$2010,$C34,'LAC 102_Wkst'!$G$7:$G$2010,$D34,'LAC 102_Wkst'!$L$7:$L$2010,"08",'LAC 102_Wkst'!$N$7:$N$2010,"P1")+SUMIFS('LAC 102_Wkst'!$Q$7:$Q$2010,'LAC 102_Wkst'!$D$7:$D$2010,$C$7,'LAC 102_Wkst'!$I$7:$I$2010,$C$9,'LAC 102_Wkst'!$E$7:$E$2010,$C34,'LAC 102_Wkst'!$G$7:$G$2010,$D34,'LAC 102_Wkst'!$L$7:$L$2010,"08",'LAC 102_Wkst'!$N$7:$N$2010,"P2")+SUMIFS('LAC 102_Wkst'!$Q$7:$Q$2010,'LAC 102_Wkst'!$D$7:$D$2010,$C$7,'LAC 102_Wkst'!$I$7:$I$2010,$C$9,'LAC 102_Wkst'!$E$7:$E$2010,$C34,'LAC 102_Wkst'!$G$7:$G$2010,$D34,'LAC 102_Wkst'!$L$7:$L$2010,"08",'LAC 102_Wkst'!$N$7:$N$2010,"P3")</f>
        <v>0</v>
      </c>
      <c r="AG34" s="411">
        <f>SUMIFS('LAC 102_Wkst'!$AF$7:$AF$2010,'LAC 102_Wkst'!$D$7:$D$2010,$C$7,'LAC 102_Wkst'!$I$7:$I$2010,$C$9,'LAC 102_Wkst'!$E$7:$E$2010,$C34,'LAC 102_Wkst'!$G$7:$G$2010,$D34,'LAC 102_Wkst'!$L$7:$L$2010,"08",'LAC 102_Wkst'!$N$7:$N$2010,"P1")+SUMIFS('LAC 102_Wkst'!$AF$7:$AF$2010,'LAC 102_Wkst'!$D$7:$D$2010,$C$7,'LAC 102_Wkst'!$I$7:$I$2010,$C$9,'LAC 102_Wkst'!$E$7:$E$2010,$C34,'LAC 102_Wkst'!$G$7:$G$2010,$D34,'LAC 102_Wkst'!$L$7:$L$2010,"08",'LAC 102_Wkst'!$N$7:$N$2010,"P2")+SUMIFS('LAC 102_Wkst'!$AF$7:$AF$2010,'LAC 102_Wkst'!$D$7:$D$2010,$C$7,'LAC 102_Wkst'!$I$7:$I$2010,$C$9,'LAC 102_Wkst'!$E$7:$E$2010,$C34,'LAC 102_Wkst'!$G$7:$G$2010,$D34,'LAC 102_Wkst'!$L$7:$L$2010,"08",'LAC 102_Wkst'!$N$7:$N$2010,"P3")</f>
        <v>0</v>
      </c>
      <c r="AH34" s="410">
        <f>SUMIFS('LAC 102_Wkst'!$Q$7:$Q$2010,'LAC 102_Wkst'!$D$7:$D$2010,$C$7,'LAC 102_Wkst'!$I$7:$I$2010,$C$9,'LAC 102_Wkst'!$E$7:$E$2010,$C34,'LAC 102_Wkst'!$G$7:$G$2010,$D34,'LAC 102_Wkst'!$L$7:$L$2010,"08",'LAC 102_Wkst'!$N$7:$N$2010,"P4")</f>
        <v>0</v>
      </c>
      <c r="AI34" s="411">
        <f>SUMIFS('LAC 102_Wkst'!$AF$7:$AF$2010,'LAC 102_Wkst'!$D$7:$D$2010,$C$7,'LAC 102_Wkst'!$I$7:$I$2010,$C$9,'LAC 102_Wkst'!$E$7:$E$2010,$C34,'LAC 102_Wkst'!$G$7:$G$2010,$D34,'LAC 102_Wkst'!$L$7:$L$2010,"08",'LAC 102_Wkst'!$N$7:$N$2010,"P4")</f>
        <v>0</v>
      </c>
      <c r="AJ34" s="404">
        <f>SUMIFS('LAC 102_Wkst'!$Q$7:$Q$2010,'LAC 102_Wkst'!$D$7:$D$2010,$C$7,'LAC 102_Wkst'!$I$7:$I$2010,$C$9,'LAC 102_Wkst'!$E$7:$E$2010,$C34,'LAC 102_Wkst'!$G$7:$G$2010,$D34,'LAC 102_Wkst'!$L$7:$L$2010,"08",'LAC 102_Wkst'!$N$7:$N$2010,"P5")</f>
        <v>0</v>
      </c>
      <c r="AK34" s="411">
        <f>SUMIFS('LAC 102_Wkst'!$AF$7:$AF$2010,'LAC 102_Wkst'!$D$7:$D$2010,$C$7,'LAC 102_Wkst'!$I$7:$I$2010,$C$9,'LAC 102_Wkst'!$E$7:$E$2010,$C34,'LAC 102_Wkst'!$G$7:$G$2010,$D34,'LAC 102_Wkst'!$L$7:$L$2010,"08",'LAC 102_Wkst'!$N$7:$N$2010,"P5")</f>
        <v>0</v>
      </c>
      <c r="AL34" s="410">
        <f>SUMIFS('LAC 102_Wkst'!$Q$7:$Q$2010,'LAC 102_Wkst'!$D$7:$D$2010,$C$7,'LAC 102_Wkst'!$I$7:$I$2010,$C$9,'LAC 102_Wkst'!$E$7:$E$2010,$C34,'LAC 102_Wkst'!$G$7:$G$2010,$D34,'LAC 102_Wkst'!$L$7:$L$2010,"09",'LAC 102_Wkst'!$N$7:$N$2010,"P1")+SUMIFS('LAC 102_Wkst'!$Q$7:$Q$2010,'LAC 102_Wkst'!$D$7:$D$2010,$C$7,'LAC 102_Wkst'!$I$7:$I$2010,$C$9,'LAC 102_Wkst'!$E$7:$E$2010,$C34,'LAC 102_Wkst'!$G$7:$G$2010,$D34,'LAC 102_Wkst'!$L$7:$L$2010,"09",'LAC 102_Wkst'!$N$7:$N$2010,"P2")+SUMIFS('LAC 102_Wkst'!$Q$7:$Q$2010,'LAC 102_Wkst'!$D$7:$D$2010,$C$7,'LAC 102_Wkst'!$I$7:$I$2010,$C$9,'LAC 102_Wkst'!$E$7:$E$2010,$C34,'LAC 102_Wkst'!$G$7:$G$2010,$D34,'LAC 102_Wkst'!$L$7:$L$2010,"09",'LAC 102_Wkst'!$N$7:$N$2010,"P3")+SUMIFS('LAC 102_Wkst'!$Q$7:$Q$2010,'LAC 102_Wkst'!$D$7:$D$2010,$C$7,'LAC 102_Wkst'!$I$7:$I$2010,$C$9,'LAC 102_Wkst'!$E$7:$E$2010,$C34,'LAC 102_Wkst'!$G$7:$G$2010,$D34,'LAC 102_Wkst'!$L$7:$L$2010,"09",'LAC 102_Wkst'!$N$7:$N$2010,"P4")</f>
        <v>0</v>
      </c>
      <c r="AM34" s="411">
        <f>SUMIFS('LAC 102_Wkst'!$AF$7:$AF$2010,'LAC 102_Wkst'!$D$7:$D$2010,$C$7,'LAC 102_Wkst'!$I$7:$I$2010,$C$9,'LAC 102_Wkst'!$E$7:$E$2010,$C34,'LAC 102_Wkst'!$G$7:$G$2010,$D34,'LAC 102_Wkst'!$L$7:$L$2010,"09",'LAC 102_Wkst'!$N$7:$N$2010,"P1")+SUMIFS('LAC 102_Wkst'!$AF$7:$AF$2010,'LAC 102_Wkst'!$D$7:$D$2010,$C$7,'LAC 102_Wkst'!$I$7:$I$2010,$C$9,'LAC 102_Wkst'!$E$7:$E$2010,$C34,'LAC 102_Wkst'!$G$7:$G$2010,$D34,'LAC 102_Wkst'!$L$7:$L$2010,"09",'LAC 102_Wkst'!$N$7:$N$2010,"P2")+SUMIFS('LAC 102_Wkst'!$AF$7:$AF$2010,'LAC 102_Wkst'!$D$7:$D$2010,$C$7,'LAC 102_Wkst'!$I$7:$I$2010,$C$9,'LAC 102_Wkst'!$E$7:$E$2010,$C34,'LAC 102_Wkst'!$G$7:$G$2010,$D34,'LAC 102_Wkst'!$L$7:$L$2010,"09",'LAC 102_Wkst'!$N$7:$N$2010,"P3")+SUMIFS('LAC 102_Wkst'!$AF$7:$AF$2010,'LAC 102_Wkst'!$D$7:$D$2010,$C$7,'LAC 102_Wkst'!$I$7:$I$2010,$C$9,'LAC 102_Wkst'!$E$7:$E$2010,$C34,'LAC 102_Wkst'!$G$7:$G$2010,$D34,'LAC 102_Wkst'!$L$7:$L$2010,"09",'LAC 102_Wkst'!$N$7:$N$2010,"P4")</f>
        <v>0</v>
      </c>
      <c r="AN34" s="410">
        <f>SUMIFS('LAC 102_Wkst'!$Q$7:$Q$2010,'LAC 102_Wkst'!$D$7:$D$2010,$C$7,'LAC 102_Wkst'!$I$7:$I$2010,$C$9,'LAC 102_Wkst'!$E$7:$E$2010,$C34,'LAC 102_Wkst'!$G$7:$G$2010,$D34,'LAC 102_Wkst'!$L$7:$L$2010,"09",'LAC 102_Wkst'!$N$7:$N$2010,"P5")</f>
        <v>0</v>
      </c>
      <c r="AO34" s="411">
        <f>SUMIFS('LAC 102_Wkst'!$AF$7:$AF$2010,'LAC 102_Wkst'!$D$7:$D$2010,$C$7,'LAC 102_Wkst'!$I$7:$I$2010,$C$9,'LAC 102_Wkst'!$E$7:$E$2010,$C34,'LAC 102_Wkst'!$G$7:$G$2010,$D34,'LAC 102_Wkst'!$L$7:$L$2010,"09",'LAC 102_Wkst'!$N$7:$N$2010,"P5")</f>
        <v>0</v>
      </c>
      <c r="AP34" s="404">
        <f>SUMIFS('LAC 102_Wkst'!$Q$7:$Q$2010,'LAC 102_Wkst'!$D$7:$D$2010,$C$7,'LAC 102_Wkst'!$I$7:$I$2010,$C$9,'LAC 102_Wkst'!$E$7:$E$2010,$C34,'LAC 102_Wkst'!$G$7:$G$2010,$D34,'LAC 102_Wkst'!$L$7:$L$2010,"10",'LAC 102_Wkst'!$N$7:$N$2010,"P1")+SUMIFS('LAC 102_Wkst'!$Q$7:$Q$2010,'LAC 102_Wkst'!$D$7:$D$2010,$C$7,'LAC 102_Wkst'!$I$7:$I$2010,$C$9,'LAC 102_Wkst'!$E$7:$E$2010,$C34,'LAC 102_Wkst'!$G$7:$G$2010,$D34,'LAC 102_Wkst'!$L$7:$L$2010,"10",'LAC 102_Wkst'!$N$7:$N$2010,"P2")+SUMIFS('LAC 102_Wkst'!$Q$7:$Q$2010,'LAC 102_Wkst'!$D$7:$D$2010,$C$7,'LAC 102_Wkst'!$I$7:$I$2010,$C$9,'LAC 102_Wkst'!$E$7:$E$2010,$C34,'LAC 102_Wkst'!$G$7:$G$2010,$D34,'LAC 102_Wkst'!$L$7:$L$2010,"10",'LAC 102_Wkst'!$N$7:$N$2010,"P3")+SUMIFS('LAC 102_Wkst'!$Q$7:$Q$2010,'LAC 102_Wkst'!$D$7:$D$2010,$C$7,'LAC 102_Wkst'!$I$7:$I$2010,$C$9,'LAC 102_Wkst'!$E$7:$E$2010,$C34,'LAC 102_Wkst'!$G$7:$G$2010,$D34,'LAC 102_Wkst'!$L$7:$L$2010,"10",'LAC 102_Wkst'!$N$7:$N$2010,"P4")</f>
        <v>0</v>
      </c>
      <c r="AQ34" s="411">
        <f>SUMIFS('LAC 102_Wkst'!$AF$7:$AF$2010,'LAC 102_Wkst'!$D$7:$D$2010,$C$7,'LAC 102_Wkst'!$I$7:$I$2010,$C$9,'LAC 102_Wkst'!$E$7:$E$2010,$C34,'LAC 102_Wkst'!$G$7:$G$2010,$D34,'LAC 102_Wkst'!$L$7:$L$2010,"10",'LAC 102_Wkst'!$N$7:$N$2010,"P1")+SUMIFS('LAC 102_Wkst'!$AF$7:$AF$2010,'LAC 102_Wkst'!$D$7:$D$2010,$C$7,'LAC 102_Wkst'!$I$7:$I$2010,$C$9,'LAC 102_Wkst'!$E$7:$E$2010,$C34,'LAC 102_Wkst'!$G$7:$G$2010,$D34,'LAC 102_Wkst'!$L$7:$L$2010,"10",'LAC 102_Wkst'!$N$7:$N$2010,"P2")+SUMIFS('LAC 102_Wkst'!$AF$7:$AF$2010,'LAC 102_Wkst'!$D$7:$D$2010,$C$7,'LAC 102_Wkst'!$I$7:$I$2010,$C$9,'LAC 102_Wkst'!$E$7:$E$2010,$C34,'LAC 102_Wkst'!$G$7:$G$2010,$D34,'LAC 102_Wkst'!$L$7:$L$2010,"10",'LAC 102_Wkst'!$N$7:$N$2010,"P3")+SUMIFS('LAC 102_Wkst'!$AF$7:$AF$2010,'LAC 102_Wkst'!$D$7:$D$2010,$C$7,'LAC 102_Wkst'!$I$7:$I$2010,$C$9,'LAC 102_Wkst'!$E$7:$E$2010,$C34,'LAC 102_Wkst'!$G$7:$G$2010,$D34,'LAC 102_Wkst'!$L$7:$L$2010,"10",'LAC 102_Wkst'!$N$7:$N$2010,"P4")</f>
        <v>0</v>
      </c>
      <c r="AR34" s="410">
        <f>SUMIFS('LAC 102_Wkst'!$Q$7:$Q$2010,'LAC 102_Wkst'!$D$7:$D$2010,$C$7,'LAC 102_Wkst'!$I$7:$I$2010,$C$9,'LAC 102_Wkst'!$E$7:$E$2010,$C34,'LAC 102_Wkst'!$G$7:$G$2010,$D34,'LAC 102_Wkst'!$L$7:$L$2010,"10",'LAC 102_Wkst'!$N$7:$N$2010,"P5")</f>
        <v>0</v>
      </c>
      <c r="AS34" s="411">
        <f>SUMIFS('LAC 102_Wkst'!$AF$7:$AF$2010,'LAC 102_Wkst'!$D$7:$D$2010,$C$7,'LAC 102_Wkst'!$I$7:$I$2010,$C$9,'LAC 102_Wkst'!$E$7:$E$2010,$C34,'LAC 102_Wkst'!$G$7:$G$2010,$D34,'LAC 102_Wkst'!$L$7:$L$2010,"10",'LAC 102_Wkst'!$N$7:$N$2010,"P5")</f>
        <v>0</v>
      </c>
      <c r="AT34" s="410">
        <f>SUMIFS('LAC 102_Wkst'!$Q$7:$Q$2010,'LAC 102_Wkst'!$D$7:$D$2010,$C$7,'LAC 102_Wkst'!$I$7:$I$2010,$C$9,'LAC 102_Wkst'!$E$7:$E$2010,$C34,'LAC 102_Wkst'!$G$7:$G$2010,$D34,'LAC 102_Wkst'!$L$7:$L$2010,"11",'LAC 102_Wkst'!$N$7:$N$2010,"P1")+SUMIFS('LAC 102_Wkst'!$Q$7:$Q$2010,'LAC 102_Wkst'!$D$7:$D$2010,$C$7,'LAC 102_Wkst'!$I$7:$I$2010,$C$9,'LAC 102_Wkst'!$E$7:$E$2010,$C34,'LAC 102_Wkst'!$G$7:$G$2010,$D34,'LAC 102_Wkst'!$L$7:$L$2010,"12",'LAC 102_Wkst'!$N$7:$N$2010,"P1")</f>
        <v>0</v>
      </c>
      <c r="AU34" s="411">
        <f>SUMIFS('LAC 102_Wkst'!$Q$7:$Q$2010,'LAC 102_Wkst'!$D$7:$D$2010,$C$7,'LAC 102_Wkst'!$I$7:$I$2010,$C$9,'LAC 102_Wkst'!$E$7:$E$2010,$C34,'LAC 102_Wkst'!$G$7:$G$2010,$D34,'LAC 102_Wkst'!$L$7:$L$2010,"13",'LAC 102_Wkst'!$N$7:$N$2010,"P5")</f>
        <v>0</v>
      </c>
      <c r="AV34" s="404">
        <f>SUMIFS('LAC 102_Wkst'!$Q$7:$Q$2010,'LAC 102_Wkst'!$D$7:$D$2010,$C$7,'LAC 102_Wkst'!$I$7:$I$2010,$C$9,'LAC 102_Wkst'!$E$7:$E$2010,$C34,'LAC 102_Wkst'!$G$7:$G$2010,$D34,'LAC 102_Wkst'!$L$7:$L$2010,"11",'LAC 102_Wkst'!$N$7:$N$2010,"P2")+SUMIFS('LAC 102_Wkst'!$Q$7:$Q$2010,'LAC 102_Wkst'!$D$7:$D$2010,$C$7,'LAC 102_Wkst'!$I$7:$I$2010,$C$9,'LAC 102_Wkst'!$E$7:$E$2010,$C34,'LAC 102_Wkst'!$G$7:$G$2010,$D34,'LAC 102_Wkst'!$L$7:$L$2010,"12",'LAC 102_Wkst'!$N$7:$N$2010,"P2")+SUMIFS('LAC 102_Wkst'!$Q$7:$Q$2010,'LAC 102_Wkst'!$D$7:$D$2010,$C$7,'LAC 102_Wkst'!$I$7:$I$2010,$C$9,'LAC 102_Wkst'!$E$7:$E$2010,$C34,'LAC 102_Wkst'!$G$7:$G$2010,$D34,'LAC 102_Wkst'!$L$7:$L$2010,"11",'LAC 102_Wkst'!$N$7:$N$2010,"P3")+SUMIFS('LAC 102_Wkst'!$Q$7:$Q$2010,'LAC 102_Wkst'!$D$7:$D$2010,$C$7,'LAC 102_Wkst'!$I$7:$I$2010,$C$9,'LAC 102_Wkst'!$E$7:$E$2010,$C34,'LAC 102_Wkst'!$G$7:$G$2010,$D34,'LAC 102_Wkst'!$L$7:$L$2010,"12",'LAC 102_Wkst'!$N$7:$N$2010,"P3")</f>
        <v>0</v>
      </c>
      <c r="AW34" s="411">
        <f>SUMIFS('LAC 102_Wkst'!$AF$7:$AF$2010,'LAC 102_Wkst'!$D$7:$D$2010,$C$7,'LAC 102_Wkst'!$I$7:$I$2010,$C$9,'LAC 102_Wkst'!$E$7:$E$2010,$C34,'LAC 102_Wkst'!$G$7:$G$2010,$D34,'LAC 102_Wkst'!$L$7:$L$2010,"11",'LAC 102_Wkst'!$N$7:$N$2010,"P2")+SUMIFS('LAC 102_Wkst'!$AF$7:$AF$2010,'LAC 102_Wkst'!$D$7:$D$2010,$C$7,'LAC 102_Wkst'!$I$7:$I$2010,$C$9,'LAC 102_Wkst'!$E$7:$E$2010,$C34,'LAC 102_Wkst'!$G$7:$G$2010,$D34,'LAC 102_Wkst'!$L$7:$L$2010,"12",'LAC 102_Wkst'!$N$7:$N$2010,"P2")+SUMIFS('LAC 102_Wkst'!$AF$7:$AF$2010,'LAC 102_Wkst'!$D$7:$D$2010,$C$7,'LAC 102_Wkst'!$I$7:$I$2010,$C$9,'LAC 102_Wkst'!$E$7:$E$2010,$C34,'LAC 102_Wkst'!$G$7:$G$2010,$D34,'LAC 102_Wkst'!$L$7:$L$2010,"11",'LAC 102_Wkst'!$N$7:$N$2010,"P3")+SUMIFS('LAC 102_Wkst'!$AF$7:$AF$2010,'LAC 102_Wkst'!$D$7:$D$2010,$C$7,'LAC 102_Wkst'!$I$7:$I$2010,$C$9,'LAC 102_Wkst'!$E$7:$E$2010,$C34,'LAC 102_Wkst'!$G$7:$G$2010,$D34,'LAC 102_Wkst'!$L$7:$L$2010,"12",'LAC 102_Wkst'!$N$7:$N$2010,"P3")</f>
        <v>0</v>
      </c>
      <c r="AX34" s="404">
        <f>SUMIFS('LAC 102_Wkst'!$Q$7:$Q$2010,'LAC 102_Wkst'!$D$7:$D$2010,$C$7,'LAC 102_Wkst'!$I$7:$I$2010,$C$9,'LAC 102_Wkst'!$E$7:$E$2010,$C34,'LAC 102_Wkst'!$G$7:$G$2010,$D34,'LAC 102_Wkst'!$L$7:$L$2010,"11",'LAC 102_Wkst'!$N$7:$N$2010,"P4")+SUMIFS('LAC 102_Wkst'!$Q$7:$Q$2010,'LAC 102_Wkst'!$D$7:$D$2010,$C$7,'LAC 102_Wkst'!$I$7:$I$2010,$C$9,'LAC 102_Wkst'!$E$7:$E$2010,$C34,'LAC 102_Wkst'!$G$7:$G$2010,$D34,'LAC 102_Wkst'!$L$7:$L$2010,"12",'LAC 102_Wkst'!$N$7:$N$2010,"P4")</f>
        <v>0</v>
      </c>
      <c r="AY34" s="411">
        <f>SUMIFS('LAC 102_Wkst'!$AF$7:$AF$2010,'LAC 102_Wkst'!$D$7:$D$2010,$C$7,'LAC 102_Wkst'!$I$7:$I$2010,$C$9,'LAC 102_Wkst'!$E$7:$E$2010,$C34,'LAC 102_Wkst'!$G$7:$G$2010,$D34,'LAC 102_Wkst'!$L$7:$L$2010,"11",'LAC 102_Wkst'!$N$7:$N$2010,"P4")+SUMIFS('LAC 102_Wkst'!$AF$7:$AF$2010,'LAC 102_Wkst'!$D$7:$D$2010,$C$7,'LAC 102_Wkst'!$I$7:$I$2010,$C$9,'LAC 102_Wkst'!$E$7:$E$2010,$C34,'LAC 102_Wkst'!$G$7:$G$2010,$D34,'LAC 102_Wkst'!$L$7:$L$2010,"12",'LAC 102_Wkst'!$N$7:$N$2010,"P4")</f>
        <v>0</v>
      </c>
      <c r="AZ34" s="404">
        <f>SUMIFS('LAC 102_Wkst'!$Q$7:$Q$2010,'LAC 102_Wkst'!$D$7:$D$2010,$C$7,'LAC 102_Wkst'!$I$7:$I$2010,$C$9,'LAC 102_Wkst'!$E$7:$E$2010,$C34,'LAC 102_Wkst'!$G$7:$G$2010,$D34,'LAC 102_Wkst'!$L$7:$L$2010,"11",'LAC 102_Wkst'!$N$7:$N$2010,"P5")+SUMIFS('LAC 102_Wkst'!$Q$7:$Q$2010,'LAC 102_Wkst'!$D$7:$D$2010,$C$7,'LAC 102_Wkst'!$I$7:$I$2010,$C$9,'LAC 102_Wkst'!$E$7:$E$2010,$C34,'LAC 102_Wkst'!$G$7:$G$2010,$D34,'LAC 102_Wkst'!$L$7:$L$2010,"12",'LAC 102_Wkst'!$N$7:$N$2010,"P5")</f>
        <v>0</v>
      </c>
      <c r="BA34" s="411">
        <f>SUMIFS('LAC 102_Wkst'!$AF$7:$AF$2010,'LAC 102_Wkst'!$D$7:$D$2010,$C$7,'LAC 102_Wkst'!$I$7:$I$2010,$C$9,'LAC 102_Wkst'!$E$7:$E$2010,$C34,'LAC 102_Wkst'!$G$7:$G$2010,$D34,'LAC 102_Wkst'!$L$7:$L$2010,"11",'LAC 102_Wkst'!$N$7:$N$2010,"P5")+SUMIFS('LAC 102_Wkst'!$AF$7:$AF$2010,'LAC 102_Wkst'!$D$7:$D$2010,$C$7,'LAC 102_Wkst'!$I$7:$I$2010,$C$9,'LAC 102_Wkst'!$E$7:$E$2010,$C34,'LAC 102_Wkst'!$G$7:$G$2010,$D34,'LAC 102_Wkst'!$L$7:$L$2010,"12",'LAC 102_Wkst'!$N$7:$N$2010,"P5")</f>
        <v>0</v>
      </c>
      <c r="BB34" s="404">
        <f>SUMIFS('LAC 102_Wkst'!$Q$7:$Q$2010,'LAC 102_Wkst'!$D$7:$D$2010,$C$7,'LAC 102_Wkst'!$I$7:$I$2010,$C$9,'LAC 102_Wkst'!$E$7:$E$2010,$C34,'LAC 102_Wkst'!$G$7:$G$2010,$D34,'LAC 102_Wkst'!$L$7:$L$2010,"13",'LAC 102_Wkst'!$N$7:$N$2010,"P1")+SUMIFS('LAC 102_Wkst'!$Q$7:$Q$2010,'LAC 102_Wkst'!$D$7:$D$2010,$C$7,'LAC 102_Wkst'!$I$7:$I$2010,$C$9,'LAC 102_Wkst'!$E$7:$E$2010,$C34,'LAC 102_Wkst'!$G$7:$G$2010,$D34,'LAC 102_Wkst'!$L$7:$L$2010,"13",'LAC 102_Wkst'!$N$7:$N$2010,"P2")+SUMIFS('LAC 102_Wkst'!$Q$7:$Q$2010,'LAC 102_Wkst'!$D$7:$D$2010,$C$7,'LAC 102_Wkst'!$I$7:$I$2010,$C$9,'LAC 102_Wkst'!$E$7:$E$2010,$C34,'LAC 102_Wkst'!$G$7:$G$2010,$D34,'LAC 102_Wkst'!$L$7:$L$2010,"13",'LAC 102_Wkst'!$N$7:$N$2010,"P3")+SUMIFS('LAC 102_Wkst'!$Q$7:$Q$2010,'LAC 102_Wkst'!$D$7:$D$2010,$C$7,'LAC 102_Wkst'!$I$7:$I$2010,$C$9,'LAC 102_Wkst'!$E$7:$E$2010,$C34,'LAC 102_Wkst'!$G$7:$G$2010,$D34,'LAC 102_Wkst'!$L$7:$L$2010,"13",'LAC 102_Wkst'!$N$7:$N$2010,"P4")</f>
        <v>0</v>
      </c>
      <c r="BC34" s="411">
        <f>SUMIFS('LAC 102_Wkst'!$AF$7:$AF$2010,'LAC 102_Wkst'!$D$7:$D$2010,$C$7,'LAC 102_Wkst'!$I$7:$I$2010,$C$9,'LAC 102_Wkst'!$E$7:$E$2010,$C34,'LAC 102_Wkst'!$G$7:$G$2010,$D34,'LAC 102_Wkst'!$L$7:$L$2010,"13",'LAC 102_Wkst'!$N$7:$N$2010,"P1")+SUMIFS('LAC 102_Wkst'!$AF$7:$AF$2010,'LAC 102_Wkst'!$D$7:$D$2010,$C$7,'LAC 102_Wkst'!$I$7:$I$2010,$C$9,'LAC 102_Wkst'!$E$7:$E$2010,$C34,'LAC 102_Wkst'!$G$7:$G$2010,$D34,'LAC 102_Wkst'!$L$7:$L$2010,"13",'LAC 102_Wkst'!$N$7:$N$2010,"P2")+SUMIFS('LAC 102_Wkst'!$AF$7:$AF$2010,'LAC 102_Wkst'!$D$7:$D$2010,$C$7,'LAC 102_Wkst'!$I$7:$I$2010,$C$9,'LAC 102_Wkst'!$E$7:$E$2010,$C34,'LAC 102_Wkst'!$G$7:$G$2010,$D34,'LAC 102_Wkst'!$L$7:$L$2010,"13",'LAC 102_Wkst'!$N$7:$N$2010,"P3")+SUMIFS('LAC 102_Wkst'!$AF$7:$AF$2010,'LAC 102_Wkst'!$D$7:$D$2010,$C$7,'LAC 102_Wkst'!$I$7:$I$2010,$C$9,'LAC 102_Wkst'!$E$7:$E$2010,$C34,'LAC 102_Wkst'!$G$7:$G$2010,$D34,'LAC 102_Wkst'!$L$7:$L$2010,"13",'LAC 102_Wkst'!$N$7:$N$2010,"P4")</f>
        <v>0</v>
      </c>
      <c r="BD34" s="404">
        <f>SUMIFS('LAC 102_Wkst'!$Q$7:$Q$2010,'LAC 102_Wkst'!$D$7:$D$2010,$C$7,'LAC 102_Wkst'!$I$7:$I$2010,$C$9,'LAC 102_Wkst'!$E$7:$E$2010,$C34,'LAC 102_Wkst'!$G$7:$G$2010,$D34,'LAC 102_Wkst'!$L$7:$L$2010,"13",'LAC 102_Wkst'!$N$7:$N$2010,"P5")</f>
        <v>0</v>
      </c>
      <c r="BE34" s="411">
        <f>SUMIFS('LAC 102_Wkst'!$AF$7:$AF$2010,'LAC 102_Wkst'!$D$7:$D$2010,$C$7,'LAC 102_Wkst'!$I$7:$I$2010,$C$9,'LAC 102_Wkst'!$E$7:$E$2010,$C34,'LAC 102_Wkst'!$G$7:$G$2010,$D34,'LAC 102_Wkst'!$L$7:$L$2010,"13",'LAC 102_Wkst'!$N$7:$N$2010,"P5")</f>
        <v>0</v>
      </c>
      <c r="BF34" s="407">
        <f t="shared" si="4"/>
        <v>0</v>
      </c>
      <c r="BG34" s="1654">
        <f>SUMIFS('LAC 102_Wkst'!$AF$7:$AF$2010,'LAC 102_Wkst'!$D$7:$D$2010,$C$7,'LAC 102_Wkst'!$I$7:$I$2010,$C$9,'LAC 102_Wkst'!$E$7:$E$2010,$C34,'LAC 102_Wkst'!$G$7:$G$2010,$D34,'LAC 102_Wkst'!$L$7:$L$2010,"14")</f>
        <v>0</v>
      </c>
    </row>
    <row r="35" spans="1:59" x14ac:dyDescent="0.2">
      <c r="A35" s="401">
        <v>13</v>
      </c>
      <c r="B35" s="1678" t="str">
        <f>IF(Schedule_B!B$32="","",Schedule_B!B$32)</f>
        <v>CR</v>
      </c>
      <c r="C35" s="1674" t="str">
        <f>IF(Schedule_B!C$32=""," ",Schedule_B!C$32)</f>
        <v>15</v>
      </c>
      <c r="D35" s="1675" t="str">
        <f>IF(Schedule_B!D$32=""," ",Schedule_B!D$32)</f>
        <v>78</v>
      </c>
      <c r="E35" s="1221">
        <f>SUMIFS('LAC 102_Wkst'!$Q$7:$Q$2010,'LAC 102_Wkst'!$D$7:$D$2010,$C$7,'LAC 102_Wkst'!$I$7:$I$2010,$C$9,'LAC 102_Wkst'!$E$7:$E$2010,$C35,'LAC 102_Wkst'!$G$7:$G$2010,$D35)</f>
        <v>0</v>
      </c>
      <c r="F35" s="408">
        <f>SUMIFS('LAC 102_Wkst'!$Q$7:$Q$2010,'LAC 102_Wkst'!$D$7:$D$2010,$C$7,'LAC 102_Wkst'!$I$7:$I$2010,$C$9,'LAC 102_Wkst'!$E$7:$E$2010,$C35,'LAC 102_Wkst'!$G$7:$G$2010,$D35,'LAC 102_Wkst'!$L$7:$L$2010,"01",'LAC 102_Wkst'!$N$7:$N$2010,"P1")+SUMIFS('LAC 102_Wkst'!$Q$7:$Q$2010,'LAC 102_Wkst'!$D$7:$D$2010,$C$7,'LAC 102_Wkst'!$I$7:$I$2010,$C$9,'LAC 102_Wkst'!$E$7:$E$2010,$C35,'LAC 102_Wkst'!$G$7:$G$2010,$D35,'LAC 102_Wkst'!$L$7:$L$2010,"01",'LAC 102_Wkst'!$N$7:$N$2010,"P2")+SUMIFS('LAC 102_Wkst'!$Q$7:$Q$2010,'LAC 102_Wkst'!$D$7:$D$2010,$C$7,'LAC 102_Wkst'!$I$7:$I$2010,$C$9,'LAC 102_Wkst'!$E$7:$E$2010,$C35,'LAC 102_Wkst'!$G$7:$G$2010,$D35,'LAC 102_Wkst'!$L$7:$L$2010,"01",'LAC 102_Wkst'!$N$7:$N$2010,"P3")+SUMIFS('LAC 102_Wkst'!$Q$7:$Q$2010,'LAC 102_Wkst'!$D$7:$D$2010,$C$7,'LAC 102_Wkst'!$I$7:$I$2010,$C$9,'LAC 102_Wkst'!$E$7:$E$2010,$C35,'LAC 102_Wkst'!$G$7:$G$2010,$D35,'LAC 102_Wkst'!$L$7:$L$2010,"02",'LAC 102_Wkst'!$N$7:$N$2010,"P1")+SUMIFS('LAC 102_Wkst'!$Q$7:$Q$2010,'LAC 102_Wkst'!$D$7:$D$2010,$C$7,'LAC 102_Wkst'!$I$7:$I$2010,$C$9,'LAC 102_Wkst'!$E$7:$E$2010,$C35,'LAC 102_Wkst'!$G$7:$G$2010,$D35,'LAC 102_Wkst'!$L$7:$L$2010,"02",'LAC 102_Wkst'!$N$7:$N$2010,"P2")+SUMIFS('LAC 102_Wkst'!$Q$7:$Q$2010,'LAC 102_Wkst'!$D$7:$D$2010,$C$7,'LAC 102_Wkst'!$I$7:$I$2010,$C$9,'LAC 102_Wkst'!$E$7:$E$2010,$C35,'LAC 102_Wkst'!$G$7:$G$2010,$D35,'LAC 102_Wkst'!$L$7:$L$2010,"02",'LAC 102_Wkst'!$N$7:$N$2010,"P3")</f>
        <v>0</v>
      </c>
      <c r="G35" s="409">
        <f>SUMIFS('LAC 102_Wkst'!$AF$7:$AF$2010,'LAC 102_Wkst'!$D$7:$D$2010,$C$7,'LAC 102_Wkst'!$I$7:$I$2010,$C$9,'LAC 102_Wkst'!$E$7:$E$2010,$C35,'LAC 102_Wkst'!$G$7:$G$2010,$D35,'LAC 102_Wkst'!$L$7:$L$2010,"01",'LAC 102_Wkst'!$N$7:$N$2010,"P1")+SUMIFS('LAC 102_Wkst'!$AF$7:$AF$2010,'LAC 102_Wkst'!$D$7:$D$2010,$C$7,'LAC 102_Wkst'!$I$7:$I$2010,$C$9,'LAC 102_Wkst'!$E$7:$E$2010,$C35,'LAC 102_Wkst'!$G$7:$G$2010,$D35,'LAC 102_Wkst'!$L$7:$L$2010,"01",'LAC 102_Wkst'!$N$7:$N$2010,"P2")+SUMIFS('LAC 102_Wkst'!$AF$7:$AF$2010,'LAC 102_Wkst'!$D$7:$D$2010,$C$7,'LAC 102_Wkst'!$I$7:$I$2010,$C$9,'LAC 102_Wkst'!$E$7:$E$2010,$C35,'LAC 102_Wkst'!$G$7:$G$2010,$D35,'LAC 102_Wkst'!$L$7:$L$2010,"01",'LAC 102_Wkst'!$N$7:$N$2010,"P3")+SUMIFS('LAC 102_Wkst'!$AF$7:$AF$2010,'LAC 102_Wkst'!$D$7:$D$2010,$C$7,'LAC 102_Wkst'!$I$7:$I$2010,$C$9,'LAC 102_Wkst'!$E$7:$E$2010,$C35,'LAC 102_Wkst'!$G$7:$G$2010,$D35,'LAC 102_Wkst'!$L$7:$L$2010,"02",'LAC 102_Wkst'!$N$7:$N$2010,"P1")+SUMIFS('LAC 102_Wkst'!$AF$7:$AF$2010,'LAC 102_Wkst'!$D$7:$D$2010,$C$7,'LAC 102_Wkst'!$I$7:$I$2010,$C$9,'LAC 102_Wkst'!$E$7:$E$2010,$C35,'LAC 102_Wkst'!$G$7:$G$2010,$D35,'LAC 102_Wkst'!$L$7:$L$2010,"02",'LAC 102_Wkst'!$N$7:$N$2010,"P2")+SUMIFS('LAC 102_Wkst'!$AF$7:$AF$2010,'LAC 102_Wkst'!$D$7:$D$2010,$C$7,'LAC 102_Wkst'!$I$7:$I$2010,$C$9,'LAC 102_Wkst'!$E$7:$E$2010,$C35,'LAC 102_Wkst'!$G$7:$G$2010,$D35,'LAC 102_Wkst'!$L$7:$L$2010,"02",'LAC 102_Wkst'!$N$7:$N$2010,"P3")</f>
        <v>0</v>
      </c>
      <c r="H35" s="410">
        <f>SUMIFS('LAC 102_Wkst'!$Q$7:$Q$2010,'LAC 102_Wkst'!$D$7:$D$2010,$C$7,'LAC 102_Wkst'!$I$7:$I$2010,$C$9,'LAC 102_Wkst'!$E$7:$E$2010,$C35,'LAC 102_Wkst'!$G$7:$G$2010,$D35,'LAC 102_Wkst'!$L$7:$L$2010,"01",'LAC 102_Wkst'!$N$7:$N$2010,"P4")+SUMIFS('LAC 102_Wkst'!$Q$7:$Q$2010,'LAC 102_Wkst'!$D$7:$D$2010,$C$7,'LAC 102_Wkst'!$I$7:$I$2010,$C$9,'LAC 102_Wkst'!$E$7:$E$2010,$C35,'LAC 102_Wkst'!$G$7:$G$2010,$D35,'LAC 102_Wkst'!$L$7:$L$2010,"02",'LAC 102_Wkst'!$N$7:$N$2010,"P4")</f>
        <v>0</v>
      </c>
      <c r="I35" s="411">
        <f>SUMIFS('LAC 102_Wkst'!$AF$7:$AF$2010,'LAC 102_Wkst'!$D$7:$D$2010,$C$7,'LAC 102_Wkst'!$I$7:$I$2010,$C$9,'LAC 102_Wkst'!$E$7:$E$2010,$C35,'LAC 102_Wkst'!$G$7:$G$2010,$D35,'LAC 102_Wkst'!$L$7:$L$2010,"01",'LAC 102_Wkst'!$N$7:$N$2010,"P4")+SUMIFS('LAC 102_Wkst'!$AF$7:$AF$2010,'LAC 102_Wkst'!$D$7:$D$2010,$C$7,'LAC 102_Wkst'!$I$7:$I$2010,$C$9,'LAC 102_Wkst'!$E$7:$E$2010,$C35,'LAC 102_Wkst'!$G$7:$G$2010,$D35,'LAC 102_Wkst'!$L$7:$L$2010,"02",'LAC 102_Wkst'!$N$7:$N$2010,"P4")</f>
        <v>0</v>
      </c>
      <c r="J35" s="410">
        <f>SUMIFS('LAC 102_Wkst'!$Q$7:$Q$2010,'LAC 102_Wkst'!$D$7:$D$2010,$C$7,'LAC 102_Wkst'!$I$7:$I$2010,$C$9,'LAC 102_Wkst'!$E$7:$E$2010,$C35,'LAC 102_Wkst'!$G$7:$G$2010,$D35,'LAC 102_Wkst'!$L$7:$L$2010,"01",'LAC 102_Wkst'!$N$7:$N$2010,"P5")+SUMIFS('LAC 102_Wkst'!$Q$7:$Q$2010,'LAC 102_Wkst'!$D$7:$D$2010,$C$7,'LAC 102_Wkst'!$I$7:$I$2010,$C$9,'LAC 102_Wkst'!$E$7:$E$2010,$C35,'LAC 102_Wkst'!$G$7:$G$2010,$D35,'LAC 102_Wkst'!$L$7:$L$2010,"02",'LAC 102_Wkst'!$N$7:$N$2010,"P5")</f>
        <v>0</v>
      </c>
      <c r="K35" s="411">
        <f>SUMIFS('LAC 102_Wkst'!$AF$7:$AF$2010,'LAC 102_Wkst'!$D$7:$D$2010,$C$7,'LAC 102_Wkst'!$I$7:$I$2010,$C$9,'LAC 102_Wkst'!$E$7:$E$2010,$C35,'LAC 102_Wkst'!$G$7:$G$2010,$D35,'LAC 102_Wkst'!$L$7:$L$2010,"01",'LAC 102_Wkst'!$N$7:$N$2010,"P5")+SUMIFS('LAC 102_Wkst'!$AF$7:$AF$2010,'LAC 102_Wkst'!$D$7:$D$2010,$C$7,'LAC 102_Wkst'!$I$7:$I$2010,$C$9,'LAC 102_Wkst'!$E$7:$E$2010,$C35,'LAC 102_Wkst'!$G$7:$G$2010,$D35,'LAC 102_Wkst'!$L$7:$L$2010,"02",'LAC 102_Wkst'!$N$7:$N$2010,"P5")</f>
        <v>0</v>
      </c>
      <c r="L35" s="410">
        <f>SUMIFS('LAC 102_Wkst'!$Q$7:$Q$2010,'LAC 102_Wkst'!$D$7:$D$2010,$C$7,'LAC 102_Wkst'!$I$7:$I$2010,$C$9,'LAC 102_Wkst'!$E$7:$E$2010,$C35,'LAC 102_Wkst'!$G$7:$G$2010,$D35,'LAC 102_Wkst'!$L$7:$L$2010,"03",'LAC 102_Wkst'!$N$7:$N$2010,"P1")+SUMIFS('LAC 102_Wkst'!$Q$7:$Q$2010,'LAC 102_Wkst'!$D$7:$D$2010,$C$7,'LAC 102_Wkst'!$I$7:$I$2010,$C$9,'LAC 102_Wkst'!$E$7:$E$2010,$C35,'LAC 102_Wkst'!$G$7:$G$2010,$D35,'LAC 102_Wkst'!$L$7:$L$2010,"03",'LAC 102_Wkst'!$N$7:$N$2010,"P2")+SUMIFS('LAC 102_Wkst'!$Q$7:$Q$2010,'LAC 102_Wkst'!$D$7:$D$2010,$C$7,'LAC 102_Wkst'!$I$7:$I$2010,$C$9,'LAC 102_Wkst'!$E$7:$E$2010,$C35,'LAC 102_Wkst'!$G$7:$G$2010,$D35,'LAC 102_Wkst'!$L$7:$L$2010,"03",'LAC 102_Wkst'!$N$7:$N$2010,"P3")+SUMIFS('LAC 102_Wkst'!$Q$7:$Q$2010,'LAC 102_Wkst'!$D$7:$D$2010,$C$7,'LAC 102_Wkst'!$I$7:$I$2010,$C$9,'LAC 102_Wkst'!$E$7:$E$2010,$C35,'LAC 102_Wkst'!$G$7:$G$2010,$D35,'LAC 102_Wkst'!$L$7:$L$2010,"04",'LAC 102_Wkst'!$N$7:$N$2010,"P1")+SUMIFS('LAC 102_Wkst'!$Q$7:$Q$2010,'LAC 102_Wkst'!$D$7:$D$2010,$C$7,'LAC 102_Wkst'!$I$7:$I$2010,$C$9,'LAC 102_Wkst'!$E$7:$E$2010,$C35,'LAC 102_Wkst'!$G$7:$G$2010,$D35,'LAC 102_Wkst'!$L$7:$L$2010,"04",'LAC 102_Wkst'!$N$7:$N$2010,"P2")+SUMIFS('LAC 102_Wkst'!$Q$7:$Q$2010,'LAC 102_Wkst'!$D$7:$D$2010,$C$7,'LAC 102_Wkst'!$I$7:$I$2010,$C$9,'LAC 102_Wkst'!$E$7:$E$2010,$C35,'LAC 102_Wkst'!$G$7:$G$2010,$D35,'LAC 102_Wkst'!$L$7:$L$2010,"04",'LAC 102_Wkst'!$N$7:$N$2010,"P3")</f>
        <v>0</v>
      </c>
      <c r="M35" s="411">
        <f>SUMIFS('LAC 102_Wkst'!$AF$7:$AF$2010,'LAC 102_Wkst'!$D$7:$D$2010,$C$7,'LAC 102_Wkst'!$I$7:$I$2010,$C$9,'LAC 102_Wkst'!$E$7:$E$2010,$C35,'LAC 102_Wkst'!$G$7:$G$2010,$D35,'LAC 102_Wkst'!$L$7:$L$2010,"03",'LAC 102_Wkst'!$N$7:$N$2010,"P1")+SUMIFS('LAC 102_Wkst'!$AF$7:$AF$2010,'LAC 102_Wkst'!$D$7:$D$2010,$C$7,'LAC 102_Wkst'!$I$7:$I$2010,$C$9,'LAC 102_Wkst'!$E$7:$E$2010,$C35,'LAC 102_Wkst'!$G$7:$G$2010,$D35,'LAC 102_Wkst'!$L$7:$L$2010,"03",'LAC 102_Wkst'!$N$7:$N$2010,"P2")+SUMIFS('LAC 102_Wkst'!$AF$7:$AF$2010,'LAC 102_Wkst'!$D$7:$D$2010,$C$7,'LAC 102_Wkst'!$I$7:$I$2010,$C$9,'LAC 102_Wkst'!$E$7:$E$2010,$C35,'LAC 102_Wkst'!$G$7:$G$2010,$D35,'LAC 102_Wkst'!$L$7:$L$2010,"03",'LAC 102_Wkst'!$N$7:$N$2010,"P3")+SUMIFS('LAC 102_Wkst'!$AF$7:$AF$2010,'LAC 102_Wkst'!$D$7:$D$2010,$C$7,'LAC 102_Wkst'!$I$7:$I$2010,$C$9,'LAC 102_Wkst'!$E$7:$E$2010,$C35,'LAC 102_Wkst'!$G$7:$G$2010,$D35,'LAC 102_Wkst'!$L$7:$L$2010,"04",'LAC 102_Wkst'!$N$7:$N$2010,"P1")+SUMIFS('LAC 102_Wkst'!$AF$7:$AF$2010,'LAC 102_Wkst'!$D$7:$D$2010,$C$7,'LAC 102_Wkst'!$I$7:$I$2010,$C$9,'LAC 102_Wkst'!$E$7:$E$2010,$C35,'LAC 102_Wkst'!$G$7:$G$2010,$D35,'LAC 102_Wkst'!$L$7:$L$2010,"04",'LAC 102_Wkst'!$N$7:$N$2010,"P2")+SUMIFS('LAC 102_Wkst'!$AF$7:$AF$2010,'LAC 102_Wkst'!$D$7:$D$2010,$C$7,'LAC 102_Wkst'!$I$7:$I$2010,$C$9,'LAC 102_Wkst'!$E$7:$E$2010,$C35,'LAC 102_Wkst'!$G$7:$G$2010,$D35,'LAC 102_Wkst'!$L$7:$L$2010,"04",'LAC 102_Wkst'!$N$7:$N$2010,"P3")</f>
        <v>0</v>
      </c>
      <c r="N35" s="410">
        <f>SUMIFS('LAC 102_Wkst'!$Q$7:$Q$2010,'LAC 102_Wkst'!$D$7:$D$2010,$C$7,'LAC 102_Wkst'!$I$7:$I$2010,$C$9,'LAC 102_Wkst'!$E$7:$E$2010,$C35,'LAC 102_Wkst'!$G$7:$G$2010,$D35,'LAC 102_Wkst'!$L$7:$L$2010,"03",'LAC 102_Wkst'!$N$7:$N$2010,"P4")+SUMIFS('LAC 102_Wkst'!$Q$7:$Q$2010,'LAC 102_Wkst'!$D$7:$D$2010,$C$7,'LAC 102_Wkst'!$I$7:$I$2010,$C$9,'LAC 102_Wkst'!$E$7:$E$2010,$C35,'LAC 102_Wkst'!$G$7:$G$2010,$D35,'LAC 102_Wkst'!$L$7:$L$2010,"04",'LAC 102_Wkst'!$N$7:$N$2010,"P4")</f>
        <v>0</v>
      </c>
      <c r="O35" s="411">
        <f>SUMIFS('LAC 102_Wkst'!$AF$7:$AF$2010,'LAC 102_Wkst'!$D$7:$D$2010,$C$7,'LAC 102_Wkst'!$I$7:$I$2010,$C$9,'LAC 102_Wkst'!$E$7:$E$2010,$C35,'LAC 102_Wkst'!$G$7:$G$2010,$D35,'LAC 102_Wkst'!$L$7:$L$2010,"03",'LAC 102_Wkst'!$N$7:$N$2010,"P4")+SUMIFS('LAC 102_Wkst'!$AF$7:$AF$2010,'LAC 102_Wkst'!$D$7:$D$2010,$C$7,'LAC 102_Wkst'!$I$7:$I$2010,$C$9,'LAC 102_Wkst'!$E$7:$E$2010,$C35,'LAC 102_Wkst'!$G$7:$G$2010,$D35,'LAC 102_Wkst'!$L$7:$L$2010,"04",'LAC 102_Wkst'!$N$7:$N$2010,"P4")</f>
        <v>0</v>
      </c>
      <c r="P35" s="404">
        <f>SUMIFS('LAC 102_Wkst'!$Q$7:$Q$2010,'LAC 102_Wkst'!$D$7:$D$2010,$C$7,'LAC 102_Wkst'!$I$7:$I$2010,$C$9,'LAC 102_Wkst'!$E$7:$E$2010,$C35,'LAC 102_Wkst'!$G$7:$G$2010,$D35,'LAC 102_Wkst'!$L$7:$L$2010,"03",'LAC 102_Wkst'!$N$7:$N$2010,"P5")+SUMIFS('LAC 102_Wkst'!$Q$7:$Q$2010,'LAC 102_Wkst'!$D$7:$D$2010,$C$7,'LAC 102_Wkst'!$I$7:$I$2010,$C$9,'LAC 102_Wkst'!$E$7:$E$2010,$C35,'LAC 102_Wkst'!$G$7:$G$2010,$D35,'LAC 102_Wkst'!$L$7:$L$2010,"04",'LAC 102_Wkst'!$N$7:$N$2010,"P5")</f>
        <v>0</v>
      </c>
      <c r="Q35" s="411">
        <f>SUMIFS('LAC 102_Wkst'!$AF$7:$AF$2010,'LAC 102_Wkst'!$D$7:$D$2010,$C$7,'LAC 102_Wkst'!$I$7:$I$2010,$C$9,'LAC 102_Wkst'!$E$7:$E$2010,$C35,'LAC 102_Wkst'!$G$7:$G$2010,$D35,'LAC 102_Wkst'!$L$7:$L$2010,"03",'LAC 102_Wkst'!$N$7:$N$2010,"P5")+SUMIFS('LAC 102_Wkst'!$AF$7:$AF$2010,'LAC 102_Wkst'!$D$7:$D$2010,$C$7,'LAC 102_Wkst'!$I$7:$I$2010,$C$9,'LAC 102_Wkst'!$E$7:$E$2010,$C35,'LAC 102_Wkst'!$G$7:$G$2010,$D35,'LAC 102_Wkst'!$L$7:$L$2010,"04",'LAC 102_Wkst'!$N$7:$N$2010,"P5")</f>
        <v>0</v>
      </c>
      <c r="R35" s="412">
        <f>SUMIFS('LAC 102_Wkst'!$Q$7:$Q$2010,'LAC 102_Wkst'!$D$7:$D$2010,$C$7,'LAC 102_Wkst'!$I$7:$I$2010,$C$9,'LAC 102_Wkst'!$E$7:$E$2010,$C35,'LAC 102_Wkst'!$G$7:$G$2010,$D35,'LAC 102_Wkst'!$L$7:$L$2010,"05",'LAC 102_Wkst'!$N$7:$N$2010,"P1")+SUMIFS('LAC 102_Wkst'!$Q$7:$Q$2010,'LAC 102_Wkst'!$D$7:$D$2010,$C$7,'LAC 102_Wkst'!$I$7:$I$2010,$C$9,'LAC 102_Wkst'!$E$7:$E$2010,$C35,'LAC 102_Wkst'!$G$7:$G$2010,$D35,'LAC 102_Wkst'!$L$7:$L$2010,"06",'LAC 102_Wkst'!$N$7:$N$2010,"P1")</f>
        <v>0</v>
      </c>
      <c r="S35" s="411">
        <f>SUMIFS('LAC 102_Wkst'!$AF$7:$AF$2010,'LAC 102_Wkst'!$D$7:$D$2010,$C$7,'LAC 102_Wkst'!$I$7:$I$2010,$C$9,'LAC 102_Wkst'!$E$7:$E$2010,$C35,'LAC 102_Wkst'!$G$7:$G$2010,$D35,'LAC 102_Wkst'!$L$7:$L$2010,"05",'LAC 102_Wkst'!$N$7:$N$2010,"P1")+SUMIFS('LAC 102_Wkst'!$AF$7:$AF$2010,'LAC 102_Wkst'!$D$7:$D$2010,$C$7,'LAC 102_Wkst'!$I$7:$I$2010,$C$9,'LAC 102_Wkst'!$E$7:$E$2010,$C35,'LAC 102_Wkst'!$G$7:$G$2010,$D35,'LAC 102_Wkst'!$L$7:$L$2010,"06",'LAC 102_Wkst'!$N$7:$N$2010,"P1")</f>
        <v>0</v>
      </c>
      <c r="T35" s="410">
        <f>SUMIFS('LAC 102_Wkst'!$Q$7:$Q$2010,'LAC 102_Wkst'!$D$7:$D$2010,$C$7,'LAC 102_Wkst'!$I$7:$I$2010,$C$9,'LAC 102_Wkst'!$E$7:$E$2010,$C35,'LAC 102_Wkst'!$G$7:$G$2010,$D35,'LAC 102_Wkst'!$L$7:$L$2010,"05",'LAC 102_Wkst'!$N$7:$N$2010,"P2")+SUMIFS('LAC 102_Wkst'!$Q$7:$Q$2010,'LAC 102_Wkst'!$D$7:$D$2010,$C$7,'LAC 102_Wkst'!$I$7:$I$2010,$C$9,'LAC 102_Wkst'!$E$7:$E$2010,$C35,'LAC 102_Wkst'!$G$7:$G$2010,$D35,'LAC 102_Wkst'!$L$7:$L$2010,"06",'LAC 102_Wkst'!$N$7:$N$2010,"P2")+SUMIFS('LAC 102_Wkst'!$Q$7:$Q$2010,'LAC 102_Wkst'!$D$7:$D$2010,$C$7,'LAC 102_Wkst'!$I$7:$I$2010,$C$9,'LAC 102_Wkst'!$E$7:$E$2010,$C35,'LAC 102_Wkst'!$G$7:$G$2010,$D35,'LAC 102_Wkst'!$L$7:$L$2010,"05",'LAC 102_Wkst'!$N$7:$N$2010,"P3")+SUMIFS('LAC 102_Wkst'!$Q$7:$Q$2010,'LAC 102_Wkst'!$D$7:$D$2010,$C$7,'LAC 102_Wkst'!$I$7:$I$2010,$C$9,'LAC 102_Wkst'!$E$7:$E$2010,$C35,'LAC 102_Wkst'!$G$7:$G$2010,$D35,'LAC 102_Wkst'!$L$7:$L$2010,"06",'LAC 102_Wkst'!$N$7:$N$2010,"P3")</f>
        <v>0</v>
      </c>
      <c r="U35" s="411">
        <f>SUMIFS('LAC 102_Wkst'!$AF$7:$AF$2010,'LAC 102_Wkst'!$D$7:$D$2010,$C$7,'LAC 102_Wkst'!$I$7:$I$2010,$C$9,'LAC 102_Wkst'!$E$7:$E$2010,$C35,'LAC 102_Wkst'!$G$7:$G$2010,$D35,'LAC 102_Wkst'!$L$7:$L$2010,"05",'LAC 102_Wkst'!$N$7:$N$2010,"P2")+SUMIFS('LAC 102_Wkst'!$AF$7:$AF$2010,'LAC 102_Wkst'!$D$7:$D$2010,$C$7,'LAC 102_Wkst'!$I$7:$I$2010,$C$9,'LAC 102_Wkst'!$E$7:$E$2010,$C35,'LAC 102_Wkst'!$G$7:$G$2010,$D35,'LAC 102_Wkst'!$L$7:$L$2010,"06",'LAC 102_Wkst'!$N$7:$N$2010,"P2")+SUMIFS('LAC 102_Wkst'!$AF$7:$AF$2010,'LAC 102_Wkst'!$D$7:$D$2010,$C$7,'LAC 102_Wkst'!$I$7:$I$2010,$C$9,'LAC 102_Wkst'!$E$7:$E$2010,$C35,'LAC 102_Wkst'!$G$7:$G$2010,$D35,'LAC 102_Wkst'!$L$7:$L$2010,"05",'LAC 102_Wkst'!$N$7:$N$2010,"P3")+SUMIFS('LAC 102_Wkst'!$AF$7:$AF$2010,'LAC 102_Wkst'!$D$7:$D$2010,$C$7,'LAC 102_Wkst'!$I$7:$I$2010,$C$9,'LAC 102_Wkst'!$E$7:$E$2010,$C35,'LAC 102_Wkst'!$G$7:$G$2010,$D35,'LAC 102_Wkst'!$L$7:$L$2010,"06",'LAC 102_Wkst'!$N$7:$N$2010,"P3")</f>
        <v>0</v>
      </c>
      <c r="V35" s="410">
        <f>SUMIFS('LAC 102_Wkst'!$Q$7:$Q$2010,'LAC 102_Wkst'!$D$7:$D$2010,$C$7,'LAC 102_Wkst'!$I$7:$I$2010,$C$9,'LAC 102_Wkst'!$E$7:$E$2010,$C35,'LAC 102_Wkst'!$G$7:$G$2010,$D35,'LAC 102_Wkst'!$L$7:$L$2010,"05",'LAC 102_Wkst'!$N$7:$N$2010,"P4")+SUMIFS('LAC 102_Wkst'!$Q$7:$Q$2010,'LAC 102_Wkst'!$D$7:$D$2010,$C$7,'LAC 102_Wkst'!$I$7:$I$2010,$C$9,'LAC 102_Wkst'!$E$7:$E$2010,$C35,'LAC 102_Wkst'!$G$7:$G$2010,$D35,'LAC 102_Wkst'!$L$7:$L$2010,"06",'LAC 102_Wkst'!$N$7:$N$2010,"P4")</f>
        <v>0</v>
      </c>
      <c r="W35" s="411">
        <f>SUMIFS('LAC 102_Wkst'!$AF$7:$AF$2010,'LAC 102_Wkst'!$D$7:$D$2010,$C$7,'LAC 102_Wkst'!$I$7:$I$2010,$C$9,'LAC 102_Wkst'!$E$7:$E$2010,$C35,'LAC 102_Wkst'!$G$7:$G$2010,$D35,'LAC 102_Wkst'!$L$7:$L$2010,"05",'LAC 102_Wkst'!$N$7:$N$2010,"P4")+SUMIFS('LAC 102_Wkst'!$AF$7:$AF$2010,'LAC 102_Wkst'!$D$7:$D$2010,$C$7,'LAC 102_Wkst'!$I$7:$I$2010,$C$9,'LAC 102_Wkst'!$E$7:$E$2010,$C35,'LAC 102_Wkst'!$G$7:$G$2010,$D35,'LAC 102_Wkst'!$L$7:$L$2010,"06",'LAC 102_Wkst'!$N$7:$N$2010,"P4")</f>
        <v>0</v>
      </c>
      <c r="X35" s="404">
        <f>SUMIFS('LAC 102_Wkst'!$Q$7:$Q$2010,'LAC 102_Wkst'!$D$7:$D$2010,$C$7,'LAC 102_Wkst'!$I$7:$I$2010,$C$9,'LAC 102_Wkst'!$E$7:$E$2010,$C35,'LAC 102_Wkst'!$G$7:$G$2010,$D35,'LAC 102_Wkst'!$L$7:$L$2010,"05",'LAC 102_Wkst'!$N$7:$N$2010,"P5")+SUMIFS('LAC 102_Wkst'!$Q$7:$Q$2010,'LAC 102_Wkst'!$D$7:$D$2010,$C$7,'LAC 102_Wkst'!$I$7:$I$2010,$C$9,'LAC 102_Wkst'!$E$7:$E$2010,$C35,'LAC 102_Wkst'!$G$7:$G$2010,$D35,'LAC 102_Wkst'!$L$7:$L$2010,"06",'LAC 102_Wkst'!$N$7:$N$2010,"P5")</f>
        <v>0</v>
      </c>
      <c r="Y35" s="411">
        <f>SUMIFS('LAC 102_Wkst'!$AF$7:$AF$2010,'LAC 102_Wkst'!$D$7:$D$2010,$C$7,'LAC 102_Wkst'!$I$7:$I$2010,$C$9,'LAC 102_Wkst'!$E$7:$E$2010,$C35,'LAC 102_Wkst'!$G$7:$G$2010,$D35,'LAC 102_Wkst'!$L$7:$L$2010,"05",'LAC 102_Wkst'!$N$7:$N$2010,"P5")+SUMIFS('LAC 102_Wkst'!$AF$7:$AF$2010,'LAC 102_Wkst'!$D$7:$D$2010,$C$7,'LAC 102_Wkst'!$I$7:$I$2010,$C$9,'LAC 102_Wkst'!$E$7:$E$2010,$C35,'LAC 102_Wkst'!$G$7:$G$2010,$D35,'LAC 102_Wkst'!$L$7:$L$2010,"06",'LAC 102_Wkst'!$N$7:$N$2010,"P5")</f>
        <v>0</v>
      </c>
      <c r="Z35" s="410">
        <f>SUMIFS('LAC 102_Wkst'!$Q$7:$Q$2010,'LAC 102_Wkst'!$D$7:$D$2010,$C$7,'LAC 102_Wkst'!$I$7:$I$2010,$C$9,'LAC 102_Wkst'!$E$7:$E$2010,$C35,'LAC 102_Wkst'!$G$7:$G$2010,$D35,'LAC 102_Wkst'!$L$7:$L$2010,"07",'LAC 102_Wkst'!$N$7:$N$2010,"P1")+SUMIFS('LAC 102_Wkst'!$Q$7:$Q$2010,'LAC 102_Wkst'!$D$7:$D$2010,$C$7,'LAC 102_Wkst'!$I$7:$I$2010,$C$9,'LAC 102_Wkst'!$E$7:$E$2010,$C35,'LAC 102_Wkst'!$G$7:$G$2010,$D35,'LAC 102_Wkst'!$L$7:$L$2010,"07",'LAC 102_Wkst'!$N$7:$N$2010,"P2")+SUMIFS('LAC 102_Wkst'!$Q$7:$Q$2010,'LAC 102_Wkst'!$D$7:$D$2010,$C$7,'LAC 102_Wkst'!$I$7:$I$2010,$C$9,'LAC 102_Wkst'!$E$7:$E$2010,$C35,'LAC 102_Wkst'!$G$7:$G$2010,$D35,'LAC 102_Wkst'!$L$7:$L$2010,"07",'LAC 102_Wkst'!$N$7:$N$2010,"P3")</f>
        <v>0</v>
      </c>
      <c r="AA35" s="411">
        <f>SUMIFS('LAC 102_Wkst'!$AF$7:$AF$2010,'LAC 102_Wkst'!$D$7:$D$2010,$C$7,'LAC 102_Wkst'!$I$7:$I$2010,$C$9,'LAC 102_Wkst'!$E$7:$E$2010,$C35,'LAC 102_Wkst'!$G$7:$G$2010,$D35,'LAC 102_Wkst'!$L$7:$L$2010,"07",'LAC 102_Wkst'!$N$7:$N$2010,"P1")+SUMIFS('LAC 102_Wkst'!$AF$7:$AF$2010,'LAC 102_Wkst'!$D$7:$D$2010,$C$7,'LAC 102_Wkst'!$I$7:$I$2010,$C$9,'LAC 102_Wkst'!$E$7:$E$2010,$C35,'LAC 102_Wkst'!$G$7:$G$2010,$D35,'LAC 102_Wkst'!$L$7:$L$2010,"07",'LAC 102_Wkst'!$N$7:$N$2010,"P2")+SUMIFS('LAC 102_Wkst'!$AF$7:$AF$2010,'LAC 102_Wkst'!$D$7:$D$2010,$C$7,'LAC 102_Wkst'!$I$7:$I$2010,$C$9,'LAC 102_Wkst'!$E$7:$E$2010,$C35,'LAC 102_Wkst'!$G$7:$G$2010,$D35,'LAC 102_Wkst'!$L$7:$L$2010,"07",'LAC 102_Wkst'!$N$7:$N$2010,"P3")</f>
        <v>0</v>
      </c>
      <c r="AB35" s="410">
        <f>SUMIFS('LAC 102_Wkst'!$Q$7:$Q$2010,'LAC 102_Wkst'!$D$7:$D$2010,$C$7,'LAC 102_Wkst'!$I$7:$I$2010,$C$9,'LAC 102_Wkst'!$E$7:$E$2010,$C35,'LAC 102_Wkst'!$G$7:$G$2010,$D35,'LAC 102_Wkst'!$L$7:$L$2010,"07",'LAC 102_Wkst'!$N$7:$N$2010,"P4")</f>
        <v>0</v>
      </c>
      <c r="AC35" s="411">
        <f>SUMIFS('LAC 102_Wkst'!$AF$7:$AF$2010,'LAC 102_Wkst'!$D$7:$D$2010,$C$7,'LAC 102_Wkst'!$I$7:$I$2010,$C$9,'LAC 102_Wkst'!$E$7:$E$2010,$C35,'LAC 102_Wkst'!$G$7:$G$2010,$D35,'LAC 102_Wkst'!$L$7:$L$2010,"07",'LAC 102_Wkst'!$N$7:$N$2010,"P4")</f>
        <v>0</v>
      </c>
      <c r="AD35" s="404">
        <f>SUMIFS('LAC 102_Wkst'!$Q$7:$Q$2010,'LAC 102_Wkst'!$D$7:$D$2010,$C$7,'LAC 102_Wkst'!$I$7:$I$2010,$C$9,'LAC 102_Wkst'!$E$7:$E$2010,$C35,'LAC 102_Wkst'!$G$7:$G$2010,$D35,'LAC 102_Wkst'!$L$7:$L$2010,"07",'LAC 102_Wkst'!$N$7:$N$2010,"P5")</f>
        <v>0</v>
      </c>
      <c r="AE35" s="411">
        <f>SUMIFS('LAC 102_Wkst'!$AF$7:$AF$2010,'LAC 102_Wkst'!$D$7:$D$2010,$C$7,'LAC 102_Wkst'!$I$7:$I$2010,$C$9,'LAC 102_Wkst'!$E$7:$E$2010,$C35,'LAC 102_Wkst'!$G$7:$G$2010,$D35,'LAC 102_Wkst'!$L$7:$L$2010,"07",'LAC 102_Wkst'!$N$7:$N$2010,"P5")</f>
        <v>0</v>
      </c>
      <c r="AF35" s="410">
        <f>SUMIFS('LAC 102_Wkst'!$Q$7:$Q$2010,'LAC 102_Wkst'!$D$7:$D$2010,$C$7,'LAC 102_Wkst'!$I$7:$I$2010,$C$9,'LAC 102_Wkst'!$E$7:$E$2010,$C35,'LAC 102_Wkst'!$G$7:$G$2010,$D35,'LAC 102_Wkst'!$L$7:$L$2010,"08",'LAC 102_Wkst'!$N$7:$N$2010,"P1")+SUMIFS('LAC 102_Wkst'!$Q$7:$Q$2010,'LAC 102_Wkst'!$D$7:$D$2010,$C$7,'LAC 102_Wkst'!$I$7:$I$2010,$C$9,'LAC 102_Wkst'!$E$7:$E$2010,$C35,'LAC 102_Wkst'!$G$7:$G$2010,$D35,'LAC 102_Wkst'!$L$7:$L$2010,"08",'LAC 102_Wkst'!$N$7:$N$2010,"P2")+SUMIFS('LAC 102_Wkst'!$Q$7:$Q$2010,'LAC 102_Wkst'!$D$7:$D$2010,$C$7,'LAC 102_Wkst'!$I$7:$I$2010,$C$9,'LAC 102_Wkst'!$E$7:$E$2010,$C35,'LAC 102_Wkst'!$G$7:$G$2010,$D35,'LAC 102_Wkst'!$L$7:$L$2010,"08",'LAC 102_Wkst'!$N$7:$N$2010,"P3")</f>
        <v>0</v>
      </c>
      <c r="AG35" s="411">
        <f>SUMIFS('LAC 102_Wkst'!$AF$7:$AF$2010,'LAC 102_Wkst'!$D$7:$D$2010,$C$7,'LAC 102_Wkst'!$I$7:$I$2010,$C$9,'LAC 102_Wkst'!$E$7:$E$2010,$C35,'LAC 102_Wkst'!$G$7:$G$2010,$D35,'LAC 102_Wkst'!$L$7:$L$2010,"08",'LAC 102_Wkst'!$N$7:$N$2010,"P1")+SUMIFS('LAC 102_Wkst'!$AF$7:$AF$2010,'LAC 102_Wkst'!$D$7:$D$2010,$C$7,'LAC 102_Wkst'!$I$7:$I$2010,$C$9,'LAC 102_Wkst'!$E$7:$E$2010,$C35,'LAC 102_Wkst'!$G$7:$G$2010,$D35,'LAC 102_Wkst'!$L$7:$L$2010,"08",'LAC 102_Wkst'!$N$7:$N$2010,"P2")+SUMIFS('LAC 102_Wkst'!$AF$7:$AF$2010,'LAC 102_Wkst'!$D$7:$D$2010,$C$7,'LAC 102_Wkst'!$I$7:$I$2010,$C$9,'LAC 102_Wkst'!$E$7:$E$2010,$C35,'LAC 102_Wkst'!$G$7:$G$2010,$D35,'LAC 102_Wkst'!$L$7:$L$2010,"08",'LAC 102_Wkst'!$N$7:$N$2010,"P3")</f>
        <v>0</v>
      </c>
      <c r="AH35" s="410">
        <f>SUMIFS('LAC 102_Wkst'!$Q$7:$Q$2010,'LAC 102_Wkst'!$D$7:$D$2010,$C$7,'LAC 102_Wkst'!$I$7:$I$2010,$C$9,'LAC 102_Wkst'!$E$7:$E$2010,$C35,'LAC 102_Wkst'!$G$7:$G$2010,$D35,'LAC 102_Wkst'!$L$7:$L$2010,"08",'LAC 102_Wkst'!$N$7:$N$2010,"P4")</f>
        <v>0</v>
      </c>
      <c r="AI35" s="411">
        <f>SUMIFS('LAC 102_Wkst'!$AF$7:$AF$2010,'LAC 102_Wkst'!$D$7:$D$2010,$C$7,'LAC 102_Wkst'!$I$7:$I$2010,$C$9,'LAC 102_Wkst'!$E$7:$E$2010,$C35,'LAC 102_Wkst'!$G$7:$G$2010,$D35,'LAC 102_Wkst'!$L$7:$L$2010,"08",'LAC 102_Wkst'!$N$7:$N$2010,"P4")</f>
        <v>0</v>
      </c>
      <c r="AJ35" s="404">
        <f>SUMIFS('LAC 102_Wkst'!$Q$7:$Q$2010,'LAC 102_Wkst'!$D$7:$D$2010,$C$7,'LAC 102_Wkst'!$I$7:$I$2010,$C$9,'LAC 102_Wkst'!$E$7:$E$2010,$C35,'LAC 102_Wkst'!$G$7:$G$2010,$D35,'LAC 102_Wkst'!$L$7:$L$2010,"08",'LAC 102_Wkst'!$N$7:$N$2010,"P5")</f>
        <v>0</v>
      </c>
      <c r="AK35" s="411">
        <f>SUMIFS('LAC 102_Wkst'!$AF$7:$AF$2010,'LAC 102_Wkst'!$D$7:$D$2010,$C$7,'LAC 102_Wkst'!$I$7:$I$2010,$C$9,'LAC 102_Wkst'!$E$7:$E$2010,$C35,'LAC 102_Wkst'!$G$7:$G$2010,$D35,'LAC 102_Wkst'!$L$7:$L$2010,"08",'LAC 102_Wkst'!$N$7:$N$2010,"P5")</f>
        <v>0</v>
      </c>
      <c r="AL35" s="410">
        <f>SUMIFS('LAC 102_Wkst'!$Q$7:$Q$2010,'LAC 102_Wkst'!$D$7:$D$2010,$C$7,'LAC 102_Wkst'!$I$7:$I$2010,$C$9,'LAC 102_Wkst'!$E$7:$E$2010,$C35,'LAC 102_Wkst'!$G$7:$G$2010,$D35,'LAC 102_Wkst'!$L$7:$L$2010,"09",'LAC 102_Wkst'!$N$7:$N$2010,"P1")+SUMIFS('LAC 102_Wkst'!$Q$7:$Q$2010,'LAC 102_Wkst'!$D$7:$D$2010,$C$7,'LAC 102_Wkst'!$I$7:$I$2010,$C$9,'LAC 102_Wkst'!$E$7:$E$2010,$C35,'LAC 102_Wkst'!$G$7:$G$2010,$D35,'LAC 102_Wkst'!$L$7:$L$2010,"09",'LAC 102_Wkst'!$N$7:$N$2010,"P2")+SUMIFS('LAC 102_Wkst'!$Q$7:$Q$2010,'LAC 102_Wkst'!$D$7:$D$2010,$C$7,'LAC 102_Wkst'!$I$7:$I$2010,$C$9,'LAC 102_Wkst'!$E$7:$E$2010,$C35,'LAC 102_Wkst'!$G$7:$G$2010,$D35,'LAC 102_Wkst'!$L$7:$L$2010,"09",'LAC 102_Wkst'!$N$7:$N$2010,"P3")+SUMIFS('LAC 102_Wkst'!$Q$7:$Q$2010,'LAC 102_Wkst'!$D$7:$D$2010,$C$7,'LAC 102_Wkst'!$I$7:$I$2010,$C$9,'LAC 102_Wkst'!$E$7:$E$2010,$C35,'LAC 102_Wkst'!$G$7:$G$2010,$D35,'LAC 102_Wkst'!$L$7:$L$2010,"09",'LAC 102_Wkst'!$N$7:$N$2010,"P4")</f>
        <v>0</v>
      </c>
      <c r="AM35" s="411">
        <f>SUMIFS('LAC 102_Wkst'!$AF$7:$AF$2010,'LAC 102_Wkst'!$D$7:$D$2010,$C$7,'LAC 102_Wkst'!$I$7:$I$2010,$C$9,'LAC 102_Wkst'!$E$7:$E$2010,$C35,'LAC 102_Wkst'!$G$7:$G$2010,$D35,'LAC 102_Wkst'!$L$7:$L$2010,"09",'LAC 102_Wkst'!$N$7:$N$2010,"P1")+SUMIFS('LAC 102_Wkst'!$AF$7:$AF$2010,'LAC 102_Wkst'!$D$7:$D$2010,$C$7,'LAC 102_Wkst'!$I$7:$I$2010,$C$9,'LAC 102_Wkst'!$E$7:$E$2010,$C35,'LAC 102_Wkst'!$G$7:$G$2010,$D35,'LAC 102_Wkst'!$L$7:$L$2010,"09",'LAC 102_Wkst'!$N$7:$N$2010,"P2")+SUMIFS('LAC 102_Wkst'!$AF$7:$AF$2010,'LAC 102_Wkst'!$D$7:$D$2010,$C$7,'LAC 102_Wkst'!$I$7:$I$2010,$C$9,'LAC 102_Wkst'!$E$7:$E$2010,$C35,'LAC 102_Wkst'!$G$7:$G$2010,$D35,'LAC 102_Wkst'!$L$7:$L$2010,"09",'LAC 102_Wkst'!$N$7:$N$2010,"P3")+SUMIFS('LAC 102_Wkst'!$AF$7:$AF$2010,'LAC 102_Wkst'!$D$7:$D$2010,$C$7,'LAC 102_Wkst'!$I$7:$I$2010,$C$9,'LAC 102_Wkst'!$E$7:$E$2010,$C35,'LAC 102_Wkst'!$G$7:$G$2010,$D35,'LAC 102_Wkst'!$L$7:$L$2010,"09",'LAC 102_Wkst'!$N$7:$N$2010,"P4")</f>
        <v>0</v>
      </c>
      <c r="AN35" s="410">
        <f>SUMIFS('LAC 102_Wkst'!$Q$7:$Q$2010,'LAC 102_Wkst'!$D$7:$D$2010,$C$7,'LAC 102_Wkst'!$I$7:$I$2010,$C$9,'LAC 102_Wkst'!$E$7:$E$2010,$C35,'LAC 102_Wkst'!$G$7:$G$2010,$D35,'LAC 102_Wkst'!$L$7:$L$2010,"09",'LAC 102_Wkst'!$N$7:$N$2010,"P5")</f>
        <v>0</v>
      </c>
      <c r="AO35" s="411">
        <f>SUMIFS('LAC 102_Wkst'!$AF$7:$AF$2010,'LAC 102_Wkst'!$D$7:$D$2010,$C$7,'LAC 102_Wkst'!$I$7:$I$2010,$C$9,'LAC 102_Wkst'!$E$7:$E$2010,$C35,'LAC 102_Wkst'!$G$7:$G$2010,$D35,'LAC 102_Wkst'!$L$7:$L$2010,"09",'LAC 102_Wkst'!$N$7:$N$2010,"P5")</f>
        <v>0</v>
      </c>
      <c r="AP35" s="404">
        <f>SUMIFS('LAC 102_Wkst'!$Q$7:$Q$2010,'LAC 102_Wkst'!$D$7:$D$2010,$C$7,'LAC 102_Wkst'!$I$7:$I$2010,$C$9,'LAC 102_Wkst'!$E$7:$E$2010,$C35,'LAC 102_Wkst'!$G$7:$G$2010,$D35,'LAC 102_Wkst'!$L$7:$L$2010,"10",'LAC 102_Wkst'!$N$7:$N$2010,"P1")+SUMIFS('LAC 102_Wkst'!$Q$7:$Q$2010,'LAC 102_Wkst'!$D$7:$D$2010,$C$7,'LAC 102_Wkst'!$I$7:$I$2010,$C$9,'LAC 102_Wkst'!$E$7:$E$2010,$C35,'LAC 102_Wkst'!$G$7:$G$2010,$D35,'LAC 102_Wkst'!$L$7:$L$2010,"10",'LAC 102_Wkst'!$N$7:$N$2010,"P2")+SUMIFS('LAC 102_Wkst'!$Q$7:$Q$2010,'LAC 102_Wkst'!$D$7:$D$2010,$C$7,'LAC 102_Wkst'!$I$7:$I$2010,$C$9,'LAC 102_Wkst'!$E$7:$E$2010,$C35,'LAC 102_Wkst'!$G$7:$G$2010,$D35,'LAC 102_Wkst'!$L$7:$L$2010,"10",'LAC 102_Wkst'!$N$7:$N$2010,"P3")+SUMIFS('LAC 102_Wkst'!$Q$7:$Q$2010,'LAC 102_Wkst'!$D$7:$D$2010,$C$7,'LAC 102_Wkst'!$I$7:$I$2010,$C$9,'LAC 102_Wkst'!$E$7:$E$2010,$C35,'LAC 102_Wkst'!$G$7:$G$2010,$D35,'LAC 102_Wkst'!$L$7:$L$2010,"10",'LAC 102_Wkst'!$N$7:$N$2010,"P4")</f>
        <v>0</v>
      </c>
      <c r="AQ35" s="411">
        <f>SUMIFS('LAC 102_Wkst'!$AF$7:$AF$2010,'LAC 102_Wkst'!$D$7:$D$2010,$C$7,'LAC 102_Wkst'!$I$7:$I$2010,$C$9,'LAC 102_Wkst'!$E$7:$E$2010,$C35,'LAC 102_Wkst'!$G$7:$G$2010,$D35,'LAC 102_Wkst'!$L$7:$L$2010,"10",'LAC 102_Wkst'!$N$7:$N$2010,"P1")+SUMIFS('LAC 102_Wkst'!$AF$7:$AF$2010,'LAC 102_Wkst'!$D$7:$D$2010,$C$7,'LAC 102_Wkst'!$I$7:$I$2010,$C$9,'LAC 102_Wkst'!$E$7:$E$2010,$C35,'LAC 102_Wkst'!$G$7:$G$2010,$D35,'LAC 102_Wkst'!$L$7:$L$2010,"10",'LAC 102_Wkst'!$N$7:$N$2010,"P2")+SUMIFS('LAC 102_Wkst'!$AF$7:$AF$2010,'LAC 102_Wkst'!$D$7:$D$2010,$C$7,'LAC 102_Wkst'!$I$7:$I$2010,$C$9,'LAC 102_Wkst'!$E$7:$E$2010,$C35,'LAC 102_Wkst'!$G$7:$G$2010,$D35,'LAC 102_Wkst'!$L$7:$L$2010,"10",'LAC 102_Wkst'!$N$7:$N$2010,"P3")+SUMIFS('LAC 102_Wkst'!$AF$7:$AF$2010,'LAC 102_Wkst'!$D$7:$D$2010,$C$7,'LAC 102_Wkst'!$I$7:$I$2010,$C$9,'LAC 102_Wkst'!$E$7:$E$2010,$C35,'LAC 102_Wkst'!$G$7:$G$2010,$D35,'LAC 102_Wkst'!$L$7:$L$2010,"10",'LAC 102_Wkst'!$N$7:$N$2010,"P4")</f>
        <v>0</v>
      </c>
      <c r="AR35" s="410">
        <f>SUMIFS('LAC 102_Wkst'!$Q$7:$Q$2010,'LAC 102_Wkst'!$D$7:$D$2010,$C$7,'LAC 102_Wkst'!$I$7:$I$2010,$C$9,'LAC 102_Wkst'!$E$7:$E$2010,$C35,'LAC 102_Wkst'!$G$7:$G$2010,$D35,'LAC 102_Wkst'!$L$7:$L$2010,"10",'LAC 102_Wkst'!$N$7:$N$2010,"P5")</f>
        <v>0</v>
      </c>
      <c r="AS35" s="411">
        <f>SUMIFS('LAC 102_Wkst'!$AF$7:$AF$2010,'LAC 102_Wkst'!$D$7:$D$2010,$C$7,'LAC 102_Wkst'!$I$7:$I$2010,$C$9,'LAC 102_Wkst'!$E$7:$E$2010,$C35,'LAC 102_Wkst'!$G$7:$G$2010,$D35,'LAC 102_Wkst'!$L$7:$L$2010,"10",'LAC 102_Wkst'!$N$7:$N$2010,"P5")</f>
        <v>0</v>
      </c>
      <c r="AT35" s="410">
        <f>SUMIFS('LAC 102_Wkst'!$Q$7:$Q$2010,'LAC 102_Wkst'!$D$7:$D$2010,$C$7,'LAC 102_Wkst'!$I$7:$I$2010,$C$9,'LAC 102_Wkst'!$E$7:$E$2010,$C35,'LAC 102_Wkst'!$G$7:$G$2010,$D35,'LAC 102_Wkst'!$L$7:$L$2010,"11",'LAC 102_Wkst'!$N$7:$N$2010,"P1")+SUMIFS('LAC 102_Wkst'!$Q$7:$Q$2010,'LAC 102_Wkst'!$D$7:$D$2010,$C$7,'LAC 102_Wkst'!$I$7:$I$2010,$C$9,'LAC 102_Wkst'!$E$7:$E$2010,$C35,'LAC 102_Wkst'!$G$7:$G$2010,$D35,'LAC 102_Wkst'!$L$7:$L$2010,"12",'LAC 102_Wkst'!$N$7:$N$2010,"P1")</f>
        <v>0</v>
      </c>
      <c r="AU35" s="411">
        <f>SUMIFS('LAC 102_Wkst'!$Q$7:$Q$2010,'LAC 102_Wkst'!$D$7:$D$2010,$C$7,'LAC 102_Wkst'!$I$7:$I$2010,$C$9,'LAC 102_Wkst'!$E$7:$E$2010,$C35,'LAC 102_Wkst'!$G$7:$G$2010,$D35,'LAC 102_Wkst'!$L$7:$L$2010,"13",'LAC 102_Wkst'!$N$7:$N$2010,"P5")</f>
        <v>0</v>
      </c>
      <c r="AV35" s="404">
        <f>SUMIFS('LAC 102_Wkst'!$Q$7:$Q$2010,'LAC 102_Wkst'!$D$7:$D$2010,$C$7,'LAC 102_Wkst'!$I$7:$I$2010,$C$9,'LAC 102_Wkst'!$E$7:$E$2010,$C35,'LAC 102_Wkst'!$G$7:$G$2010,$D35,'LAC 102_Wkst'!$L$7:$L$2010,"11",'LAC 102_Wkst'!$N$7:$N$2010,"P2")+SUMIFS('LAC 102_Wkst'!$Q$7:$Q$2010,'LAC 102_Wkst'!$D$7:$D$2010,$C$7,'LAC 102_Wkst'!$I$7:$I$2010,$C$9,'LAC 102_Wkst'!$E$7:$E$2010,$C35,'LAC 102_Wkst'!$G$7:$G$2010,$D35,'LAC 102_Wkst'!$L$7:$L$2010,"12",'LAC 102_Wkst'!$N$7:$N$2010,"P2")+SUMIFS('LAC 102_Wkst'!$Q$7:$Q$2010,'LAC 102_Wkst'!$D$7:$D$2010,$C$7,'LAC 102_Wkst'!$I$7:$I$2010,$C$9,'LAC 102_Wkst'!$E$7:$E$2010,$C35,'LAC 102_Wkst'!$G$7:$G$2010,$D35,'LAC 102_Wkst'!$L$7:$L$2010,"11",'LAC 102_Wkst'!$N$7:$N$2010,"P3")+SUMIFS('LAC 102_Wkst'!$Q$7:$Q$2010,'LAC 102_Wkst'!$D$7:$D$2010,$C$7,'LAC 102_Wkst'!$I$7:$I$2010,$C$9,'LAC 102_Wkst'!$E$7:$E$2010,$C35,'LAC 102_Wkst'!$G$7:$G$2010,$D35,'LAC 102_Wkst'!$L$7:$L$2010,"12",'LAC 102_Wkst'!$N$7:$N$2010,"P3")</f>
        <v>0</v>
      </c>
      <c r="AW35" s="411">
        <f>SUMIFS('LAC 102_Wkst'!$AF$7:$AF$2010,'LAC 102_Wkst'!$D$7:$D$2010,$C$7,'LAC 102_Wkst'!$I$7:$I$2010,$C$9,'LAC 102_Wkst'!$E$7:$E$2010,$C35,'LAC 102_Wkst'!$G$7:$G$2010,$D35,'LAC 102_Wkst'!$L$7:$L$2010,"11",'LAC 102_Wkst'!$N$7:$N$2010,"P2")+SUMIFS('LAC 102_Wkst'!$AF$7:$AF$2010,'LAC 102_Wkst'!$D$7:$D$2010,$C$7,'LAC 102_Wkst'!$I$7:$I$2010,$C$9,'LAC 102_Wkst'!$E$7:$E$2010,$C35,'LAC 102_Wkst'!$G$7:$G$2010,$D35,'LAC 102_Wkst'!$L$7:$L$2010,"12",'LAC 102_Wkst'!$N$7:$N$2010,"P2")+SUMIFS('LAC 102_Wkst'!$AF$7:$AF$2010,'LAC 102_Wkst'!$D$7:$D$2010,$C$7,'LAC 102_Wkst'!$I$7:$I$2010,$C$9,'LAC 102_Wkst'!$E$7:$E$2010,$C35,'LAC 102_Wkst'!$G$7:$G$2010,$D35,'LAC 102_Wkst'!$L$7:$L$2010,"11",'LAC 102_Wkst'!$N$7:$N$2010,"P3")+SUMIFS('LAC 102_Wkst'!$AF$7:$AF$2010,'LAC 102_Wkst'!$D$7:$D$2010,$C$7,'LAC 102_Wkst'!$I$7:$I$2010,$C$9,'LAC 102_Wkst'!$E$7:$E$2010,$C35,'LAC 102_Wkst'!$G$7:$G$2010,$D35,'LAC 102_Wkst'!$L$7:$L$2010,"12",'LAC 102_Wkst'!$N$7:$N$2010,"P3")</f>
        <v>0</v>
      </c>
      <c r="AX35" s="404">
        <f>SUMIFS('LAC 102_Wkst'!$Q$7:$Q$2010,'LAC 102_Wkst'!$D$7:$D$2010,$C$7,'LAC 102_Wkst'!$I$7:$I$2010,$C$9,'LAC 102_Wkst'!$E$7:$E$2010,$C35,'LAC 102_Wkst'!$G$7:$G$2010,$D35,'LAC 102_Wkst'!$L$7:$L$2010,"11",'LAC 102_Wkst'!$N$7:$N$2010,"P4")+SUMIFS('LAC 102_Wkst'!$Q$7:$Q$2010,'LAC 102_Wkst'!$D$7:$D$2010,$C$7,'LAC 102_Wkst'!$I$7:$I$2010,$C$9,'LAC 102_Wkst'!$E$7:$E$2010,$C35,'LAC 102_Wkst'!$G$7:$G$2010,$D35,'LAC 102_Wkst'!$L$7:$L$2010,"12",'LAC 102_Wkst'!$N$7:$N$2010,"P4")</f>
        <v>0</v>
      </c>
      <c r="AY35" s="411">
        <f>SUMIFS('LAC 102_Wkst'!$AF$7:$AF$2010,'LAC 102_Wkst'!$D$7:$D$2010,$C$7,'LAC 102_Wkst'!$I$7:$I$2010,$C$9,'LAC 102_Wkst'!$E$7:$E$2010,$C35,'LAC 102_Wkst'!$G$7:$G$2010,$D35,'LAC 102_Wkst'!$L$7:$L$2010,"11",'LAC 102_Wkst'!$N$7:$N$2010,"P4")+SUMIFS('LAC 102_Wkst'!$AF$7:$AF$2010,'LAC 102_Wkst'!$D$7:$D$2010,$C$7,'LAC 102_Wkst'!$I$7:$I$2010,$C$9,'LAC 102_Wkst'!$E$7:$E$2010,$C35,'LAC 102_Wkst'!$G$7:$G$2010,$D35,'LAC 102_Wkst'!$L$7:$L$2010,"12",'LAC 102_Wkst'!$N$7:$N$2010,"P4")</f>
        <v>0</v>
      </c>
      <c r="AZ35" s="404">
        <f>SUMIFS('LAC 102_Wkst'!$Q$7:$Q$2010,'LAC 102_Wkst'!$D$7:$D$2010,$C$7,'LAC 102_Wkst'!$I$7:$I$2010,$C$9,'LAC 102_Wkst'!$E$7:$E$2010,$C35,'LAC 102_Wkst'!$G$7:$G$2010,$D35,'LAC 102_Wkst'!$L$7:$L$2010,"11",'LAC 102_Wkst'!$N$7:$N$2010,"P5")+SUMIFS('LAC 102_Wkst'!$Q$7:$Q$2010,'LAC 102_Wkst'!$D$7:$D$2010,$C$7,'LAC 102_Wkst'!$I$7:$I$2010,$C$9,'LAC 102_Wkst'!$E$7:$E$2010,$C35,'LAC 102_Wkst'!$G$7:$G$2010,$D35,'LAC 102_Wkst'!$L$7:$L$2010,"12",'LAC 102_Wkst'!$N$7:$N$2010,"P5")</f>
        <v>0</v>
      </c>
      <c r="BA35" s="411">
        <f>SUMIFS('LAC 102_Wkst'!$AF$7:$AF$2010,'LAC 102_Wkst'!$D$7:$D$2010,$C$7,'LAC 102_Wkst'!$I$7:$I$2010,$C$9,'LAC 102_Wkst'!$E$7:$E$2010,$C35,'LAC 102_Wkst'!$G$7:$G$2010,$D35,'LAC 102_Wkst'!$L$7:$L$2010,"11",'LAC 102_Wkst'!$N$7:$N$2010,"P5")+SUMIFS('LAC 102_Wkst'!$AF$7:$AF$2010,'LAC 102_Wkst'!$D$7:$D$2010,$C$7,'LAC 102_Wkst'!$I$7:$I$2010,$C$9,'LAC 102_Wkst'!$E$7:$E$2010,$C35,'LAC 102_Wkst'!$G$7:$G$2010,$D35,'LAC 102_Wkst'!$L$7:$L$2010,"12",'LAC 102_Wkst'!$N$7:$N$2010,"P5")</f>
        <v>0</v>
      </c>
      <c r="BB35" s="404">
        <f>SUMIFS('LAC 102_Wkst'!$Q$7:$Q$2010,'LAC 102_Wkst'!$D$7:$D$2010,$C$7,'LAC 102_Wkst'!$I$7:$I$2010,$C$9,'LAC 102_Wkst'!$E$7:$E$2010,$C35,'LAC 102_Wkst'!$G$7:$G$2010,$D35,'LAC 102_Wkst'!$L$7:$L$2010,"13",'LAC 102_Wkst'!$N$7:$N$2010,"P1")+SUMIFS('LAC 102_Wkst'!$Q$7:$Q$2010,'LAC 102_Wkst'!$D$7:$D$2010,$C$7,'LAC 102_Wkst'!$I$7:$I$2010,$C$9,'LAC 102_Wkst'!$E$7:$E$2010,$C35,'LAC 102_Wkst'!$G$7:$G$2010,$D35,'LAC 102_Wkst'!$L$7:$L$2010,"13",'LAC 102_Wkst'!$N$7:$N$2010,"P2")+SUMIFS('LAC 102_Wkst'!$Q$7:$Q$2010,'LAC 102_Wkst'!$D$7:$D$2010,$C$7,'LAC 102_Wkst'!$I$7:$I$2010,$C$9,'LAC 102_Wkst'!$E$7:$E$2010,$C35,'LAC 102_Wkst'!$G$7:$G$2010,$D35,'LAC 102_Wkst'!$L$7:$L$2010,"13",'LAC 102_Wkst'!$N$7:$N$2010,"P3")+SUMIFS('LAC 102_Wkst'!$Q$7:$Q$2010,'LAC 102_Wkst'!$D$7:$D$2010,$C$7,'LAC 102_Wkst'!$I$7:$I$2010,$C$9,'LAC 102_Wkst'!$E$7:$E$2010,$C35,'LAC 102_Wkst'!$G$7:$G$2010,$D35,'LAC 102_Wkst'!$L$7:$L$2010,"13",'LAC 102_Wkst'!$N$7:$N$2010,"P4")</f>
        <v>0</v>
      </c>
      <c r="BC35" s="411">
        <f>SUMIFS('LAC 102_Wkst'!$AF$7:$AF$2010,'LAC 102_Wkst'!$D$7:$D$2010,$C$7,'LAC 102_Wkst'!$I$7:$I$2010,$C$9,'LAC 102_Wkst'!$E$7:$E$2010,$C35,'LAC 102_Wkst'!$G$7:$G$2010,$D35,'LAC 102_Wkst'!$L$7:$L$2010,"13",'LAC 102_Wkst'!$N$7:$N$2010,"P1")+SUMIFS('LAC 102_Wkst'!$AF$7:$AF$2010,'LAC 102_Wkst'!$D$7:$D$2010,$C$7,'LAC 102_Wkst'!$I$7:$I$2010,$C$9,'LAC 102_Wkst'!$E$7:$E$2010,$C35,'LAC 102_Wkst'!$G$7:$G$2010,$D35,'LAC 102_Wkst'!$L$7:$L$2010,"13",'LAC 102_Wkst'!$N$7:$N$2010,"P2")+SUMIFS('LAC 102_Wkst'!$AF$7:$AF$2010,'LAC 102_Wkst'!$D$7:$D$2010,$C$7,'LAC 102_Wkst'!$I$7:$I$2010,$C$9,'LAC 102_Wkst'!$E$7:$E$2010,$C35,'LAC 102_Wkst'!$G$7:$G$2010,$D35,'LAC 102_Wkst'!$L$7:$L$2010,"13",'LAC 102_Wkst'!$N$7:$N$2010,"P3")+SUMIFS('LAC 102_Wkst'!$AF$7:$AF$2010,'LAC 102_Wkst'!$D$7:$D$2010,$C$7,'LAC 102_Wkst'!$I$7:$I$2010,$C$9,'LAC 102_Wkst'!$E$7:$E$2010,$C35,'LAC 102_Wkst'!$G$7:$G$2010,$D35,'LAC 102_Wkst'!$L$7:$L$2010,"13",'LAC 102_Wkst'!$N$7:$N$2010,"P4")</f>
        <v>0</v>
      </c>
      <c r="BD35" s="404">
        <f>SUMIFS('LAC 102_Wkst'!$Q$7:$Q$2010,'LAC 102_Wkst'!$D$7:$D$2010,$C$7,'LAC 102_Wkst'!$I$7:$I$2010,$C$9,'LAC 102_Wkst'!$E$7:$E$2010,$C35,'LAC 102_Wkst'!$G$7:$G$2010,$D35,'LAC 102_Wkst'!$L$7:$L$2010,"13",'LAC 102_Wkst'!$N$7:$N$2010,"P5")</f>
        <v>0</v>
      </c>
      <c r="BE35" s="411">
        <f>SUMIFS('LAC 102_Wkst'!$AF$7:$AF$2010,'LAC 102_Wkst'!$D$7:$D$2010,$C$7,'LAC 102_Wkst'!$I$7:$I$2010,$C$9,'LAC 102_Wkst'!$E$7:$E$2010,$C35,'LAC 102_Wkst'!$G$7:$G$2010,$D35,'LAC 102_Wkst'!$L$7:$L$2010,"13",'LAC 102_Wkst'!$N$7:$N$2010,"P5")</f>
        <v>0</v>
      </c>
      <c r="BF35" s="407">
        <f t="shared" si="4"/>
        <v>0</v>
      </c>
      <c r="BG35" s="1654">
        <f>SUMIFS('LAC 102_Wkst'!$AF$7:$AF$2010,'LAC 102_Wkst'!$D$7:$D$2010,$C$7,'LAC 102_Wkst'!$I$7:$I$2010,$C$9,'LAC 102_Wkst'!$E$7:$E$2010,$C35,'LAC 102_Wkst'!$G$7:$G$2010,$D35,'LAC 102_Wkst'!$L$7:$L$2010,"14")</f>
        <v>0</v>
      </c>
    </row>
    <row r="36" spans="1:59" x14ac:dyDescent="0.2">
      <c r="A36" s="401">
        <v>14</v>
      </c>
      <c r="B36" s="1678" t="str">
        <f>IF(Schedule_B!B$33="","",Schedule_B!B$33)</f>
        <v>CR</v>
      </c>
      <c r="C36" s="1674" t="str">
        <f>IF(Schedule_B!C$33=""," ",Schedule_B!C$33)</f>
        <v>45</v>
      </c>
      <c r="D36" s="1675" t="str">
        <f>IF(Schedule_B!D$33=""," ",Schedule_B!D$33)</f>
        <v>10</v>
      </c>
      <c r="E36" s="1221">
        <f>SUMIFS('LAC 102_Wkst'!$Q$7:$Q$2010,'LAC 102_Wkst'!$D$7:$D$2010,$C$7,'LAC 102_Wkst'!$I$7:$I$2010,$C$9,'LAC 102_Wkst'!$E$7:$E$2010,$C36,'LAC 102_Wkst'!$G$7:$G$2010,$D36)</f>
        <v>0</v>
      </c>
      <c r="F36" s="408">
        <f>SUMIFS('LAC 102_Wkst'!$Q$7:$Q$2010,'LAC 102_Wkst'!$D$7:$D$2010,$C$7,'LAC 102_Wkst'!$I$7:$I$2010,$C$9,'LAC 102_Wkst'!$E$7:$E$2010,$C36,'LAC 102_Wkst'!$G$7:$G$2010,$D36,'LAC 102_Wkst'!$L$7:$L$2010,"01",'LAC 102_Wkst'!$N$7:$N$2010,"P1")+SUMIFS('LAC 102_Wkst'!$Q$7:$Q$2010,'LAC 102_Wkst'!$D$7:$D$2010,$C$7,'LAC 102_Wkst'!$I$7:$I$2010,$C$9,'LAC 102_Wkst'!$E$7:$E$2010,$C36,'LAC 102_Wkst'!$G$7:$G$2010,$D36,'LAC 102_Wkst'!$L$7:$L$2010,"01",'LAC 102_Wkst'!$N$7:$N$2010,"P2")+SUMIFS('LAC 102_Wkst'!$Q$7:$Q$2010,'LAC 102_Wkst'!$D$7:$D$2010,$C$7,'LAC 102_Wkst'!$I$7:$I$2010,$C$9,'LAC 102_Wkst'!$E$7:$E$2010,$C36,'LAC 102_Wkst'!$G$7:$G$2010,$D36,'LAC 102_Wkst'!$L$7:$L$2010,"01",'LAC 102_Wkst'!$N$7:$N$2010,"P3")+SUMIFS('LAC 102_Wkst'!$Q$7:$Q$2010,'LAC 102_Wkst'!$D$7:$D$2010,$C$7,'LAC 102_Wkst'!$I$7:$I$2010,$C$9,'LAC 102_Wkst'!$E$7:$E$2010,$C36,'LAC 102_Wkst'!$G$7:$G$2010,$D36,'LAC 102_Wkst'!$L$7:$L$2010,"02",'LAC 102_Wkst'!$N$7:$N$2010,"P1")+SUMIFS('LAC 102_Wkst'!$Q$7:$Q$2010,'LAC 102_Wkst'!$D$7:$D$2010,$C$7,'LAC 102_Wkst'!$I$7:$I$2010,$C$9,'LAC 102_Wkst'!$E$7:$E$2010,$C36,'LAC 102_Wkst'!$G$7:$G$2010,$D36,'LAC 102_Wkst'!$L$7:$L$2010,"02",'LAC 102_Wkst'!$N$7:$N$2010,"P2")+SUMIFS('LAC 102_Wkst'!$Q$7:$Q$2010,'LAC 102_Wkst'!$D$7:$D$2010,$C$7,'LAC 102_Wkst'!$I$7:$I$2010,$C$9,'LAC 102_Wkst'!$E$7:$E$2010,$C36,'LAC 102_Wkst'!$G$7:$G$2010,$D36,'LAC 102_Wkst'!$L$7:$L$2010,"02",'LAC 102_Wkst'!$N$7:$N$2010,"P3")</f>
        <v>0</v>
      </c>
      <c r="G36" s="409">
        <f>SUMIFS('LAC 102_Wkst'!$AF$7:$AF$2010,'LAC 102_Wkst'!$D$7:$D$2010,$C$7,'LAC 102_Wkst'!$I$7:$I$2010,$C$9,'LAC 102_Wkst'!$E$7:$E$2010,$C36,'LAC 102_Wkst'!$G$7:$G$2010,$D36,'LAC 102_Wkst'!$L$7:$L$2010,"01",'LAC 102_Wkst'!$N$7:$N$2010,"P1")+SUMIFS('LAC 102_Wkst'!$AF$7:$AF$2010,'LAC 102_Wkst'!$D$7:$D$2010,$C$7,'LAC 102_Wkst'!$I$7:$I$2010,$C$9,'LAC 102_Wkst'!$E$7:$E$2010,$C36,'LAC 102_Wkst'!$G$7:$G$2010,$D36,'LAC 102_Wkst'!$L$7:$L$2010,"01",'LAC 102_Wkst'!$N$7:$N$2010,"P2")+SUMIFS('LAC 102_Wkst'!$AF$7:$AF$2010,'LAC 102_Wkst'!$D$7:$D$2010,$C$7,'LAC 102_Wkst'!$I$7:$I$2010,$C$9,'LAC 102_Wkst'!$E$7:$E$2010,$C36,'LAC 102_Wkst'!$G$7:$G$2010,$D36,'LAC 102_Wkst'!$L$7:$L$2010,"01",'LAC 102_Wkst'!$N$7:$N$2010,"P3")+SUMIFS('LAC 102_Wkst'!$AF$7:$AF$2010,'LAC 102_Wkst'!$D$7:$D$2010,$C$7,'LAC 102_Wkst'!$I$7:$I$2010,$C$9,'LAC 102_Wkst'!$E$7:$E$2010,$C36,'LAC 102_Wkst'!$G$7:$G$2010,$D36,'LAC 102_Wkst'!$L$7:$L$2010,"02",'LAC 102_Wkst'!$N$7:$N$2010,"P1")+SUMIFS('LAC 102_Wkst'!$AF$7:$AF$2010,'LAC 102_Wkst'!$D$7:$D$2010,$C$7,'LAC 102_Wkst'!$I$7:$I$2010,$C$9,'LAC 102_Wkst'!$E$7:$E$2010,$C36,'LAC 102_Wkst'!$G$7:$G$2010,$D36,'LAC 102_Wkst'!$L$7:$L$2010,"02",'LAC 102_Wkst'!$N$7:$N$2010,"P2")+SUMIFS('LAC 102_Wkst'!$AF$7:$AF$2010,'LAC 102_Wkst'!$D$7:$D$2010,$C$7,'LAC 102_Wkst'!$I$7:$I$2010,$C$9,'LAC 102_Wkst'!$E$7:$E$2010,$C36,'LAC 102_Wkst'!$G$7:$G$2010,$D36,'LAC 102_Wkst'!$L$7:$L$2010,"02",'LAC 102_Wkst'!$N$7:$N$2010,"P3")</f>
        <v>0</v>
      </c>
      <c r="H36" s="410">
        <f>SUMIFS('LAC 102_Wkst'!$Q$7:$Q$2010,'LAC 102_Wkst'!$D$7:$D$2010,$C$7,'LAC 102_Wkst'!$I$7:$I$2010,$C$9,'LAC 102_Wkst'!$E$7:$E$2010,$C36,'LAC 102_Wkst'!$G$7:$G$2010,$D36,'LAC 102_Wkst'!$L$7:$L$2010,"01",'LAC 102_Wkst'!$N$7:$N$2010,"P4")+SUMIFS('LAC 102_Wkst'!$Q$7:$Q$2010,'LAC 102_Wkst'!$D$7:$D$2010,$C$7,'LAC 102_Wkst'!$I$7:$I$2010,$C$9,'LAC 102_Wkst'!$E$7:$E$2010,$C36,'LAC 102_Wkst'!$G$7:$G$2010,$D36,'LAC 102_Wkst'!$L$7:$L$2010,"02",'LAC 102_Wkst'!$N$7:$N$2010,"P4")</f>
        <v>0</v>
      </c>
      <c r="I36" s="411">
        <f>SUMIFS('LAC 102_Wkst'!$AF$7:$AF$2010,'LAC 102_Wkst'!$D$7:$D$2010,$C$7,'LAC 102_Wkst'!$I$7:$I$2010,$C$9,'LAC 102_Wkst'!$E$7:$E$2010,$C36,'LAC 102_Wkst'!$G$7:$G$2010,$D36,'LAC 102_Wkst'!$L$7:$L$2010,"01",'LAC 102_Wkst'!$N$7:$N$2010,"P4")+SUMIFS('LAC 102_Wkst'!$AF$7:$AF$2010,'LAC 102_Wkst'!$D$7:$D$2010,$C$7,'LAC 102_Wkst'!$I$7:$I$2010,$C$9,'LAC 102_Wkst'!$E$7:$E$2010,$C36,'LAC 102_Wkst'!$G$7:$G$2010,$D36,'LAC 102_Wkst'!$L$7:$L$2010,"02",'LAC 102_Wkst'!$N$7:$N$2010,"P4")</f>
        <v>0</v>
      </c>
      <c r="J36" s="410">
        <f>SUMIFS('LAC 102_Wkst'!$Q$7:$Q$2010,'LAC 102_Wkst'!$D$7:$D$2010,$C$7,'LAC 102_Wkst'!$I$7:$I$2010,$C$9,'LAC 102_Wkst'!$E$7:$E$2010,$C36,'LAC 102_Wkst'!$G$7:$G$2010,$D36,'LAC 102_Wkst'!$L$7:$L$2010,"01",'LAC 102_Wkst'!$N$7:$N$2010,"P5")+SUMIFS('LAC 102_Wkst'!$Q$7:$Q$2010,'LAC 102_Wkst'!$D$7:$D$2010,$C$7,'LAC 102_Wkst'!$I$7:$I$2010,$C$9,'LAC 102_Wkst'!$E$7:$E$2010,$C36,'LAC 102_Wkst'!$G$7:$G$2010,$D36,'LAC 102_Wkst'!$L$7:$L$2010,"02",'LAC 102_Wkst'!$N$7:$N$2010,"P5")</f>
        <v>0</v>
      </c>
      <c r="K36" s="411">
        <f>SUMIFS('LAC 102_Wkst'!$AF$7:$AF$2010,'LAC 102_Wkst'!$D$7:$D$2010,$C$7,'LAC 102_Wkst'!$I$7:$I$2010,$C$9,'LAC 102_Wkst'!$E$7:$E$2010,$C36,'LAC 102_Wkst'!$G$7:$G$2010,$D36,'LAC 102_Wkst'!$L$7:$L$2010,"01",'LAC 102_Wkst'!$N$7:$N$2010,"P5")+SUMIFS('LAC 102_Wkst'!$AF$7:$AF$2010,'LAC 102_Wkst'!$D$7:$D$2010,$C$7,'LAC 102_Wkst'!$I$7:$I$2010,$C$9,'LAC 102_Wkst'!$E$7:$E$2010,$C36,'LAC 102_Wkst'!$G$7:$G$2010,$D36,'LAC 102_Wkst'!$L$7:$L$2010,"02",'LAC 102_Wkst'!$N$7:$N$2010,"P5")</f>
        <v>0</v>
      </c>
      <c r="L36" s="410">
        <f>SUMIFS('LAC 102_Wkst'!$Q$7:$Q$2010,'LAC 102_Wkst'!$D$7:$D$2010,$C$7,'LAC 102_Wkst'!$I$7:$I$2010,$C$9,'LAC 102_Wkst'!$E$7:$E$2010,$C36,'LAC 102_Wkst'!$G$7:$G$2010,$D36,'LAC 102_Wkst'!$L$7:$L$2010,"03",'LAC 102_Wkst'!$N$7:$N$2010,"P1")+SUMIFS('LAC 102_Wkst'!$Q$7:$Q$2010,'LAC 102_Wkst'!$D$7:$D$2010,$C$7,'LAC 102_Wkst'!$I$7:$I$2010,$C$9,'LAC 102_Wkst'!$E$7:$E$2010,$C36,'LAC 102_Wkst'!$G$7:$G$2010,$D36,'LAC 102_Wkst'!$L$7:$L$2010,"03",'LAC 102_Wkst'!$N$7:$N$2010,"P2")+SUMIFS('LAC 102_Wkst'!$Q$7:$Q$2010,'LAC 102_Wkst'!$D$7:$D$2010,$C$7,'LAC 102_Wkst'!$I$7:$I$2010,$C$9,'LAC 102_Wkst'!$E$7:$E$2010,$C36,'LAC 102_Wkst'!$G$7:$G$2010,$D36,'LAC 102_Wkst'!$L$7:$L$2010,"03",'LAC 102_Wkst'!$N$7:$N$2010,"P3")+SUMIFS('LAC 102_Wkst'!$Q$7:$Q$2010,'LAC 102_Wkst'!$D$7:$D$2010,$C$7,'LAC 102_Wkst'!$I$7:$I$2010,$C$9,'LAC 102_Wkst'!$E$7:$E$2010,$C36,'LAC 102_Wkst'!$G$7:$G$2010,$D36,'LAC 102_Wkst'!$L$7:$L$2010,"04",'LAC 102_Wkst'!$N$7:$N$2010,"P1")+SUMIFS('LAC 102_Wkst'!$Q$7:$Q$2010,'LAC 102_Wkst'!$D$7:$D$2010,$C$7,'LAC 102_Wkst'!$I$7:$I$2010,$C$9,'LAC 102_Wkst'!$E$7:$E$2010,$C36,'LAC 102_Wkst'!$G$7:$G$2010,$D36,'LAC 102_Wkst'!$L$7:$L$2010,"04",'LAC 102_Wkst'!$N$7:$N$2010,"P2")+SUMIFS('LAC 102_Wkst'!$Q$7:$Q$2010,'LAC 102_Wkst'!$D$7:$D$2010,$C$7,'LAC 102_Wkst'!$I$7:$I$2010,$C$9,'LAC 102_Wkst'!$E$7:$E$2010,$C36,'LAC 102_Wkst'!$G$7:$G$2010,$D36,'LAC 102_Wkst'!$L$7:$L$2010,"04",'LAC 102_Wkst'!$N$7:$N$2010,"P3")</f>
        <v>0</v>
      </c>
      <c r="M36" s="411">
        <f>SUMIFS('LAC 102_Wkst'!$AF$7:$AF$2010,'LAC 102_Wkst'!$D$7:$D$2010,$C$7,'LAC 102_Wkst'!$I$7:$I$2010,$C$9,'LAC 102_Wkst'!$E$7:$E$2010,$C36,'LAC 102_Wkst'!$G$7:$G$2010,$D36,'LAC 102_Wkst'!$L$7:$L$2010,"03",'LAC 102_Wkst'!$N$7:$N$2010,"P1")+SUMIFS('LAC 102_Wkst'!$AF$7:$AF$2010,'LAC 102_Wkst'!$D$7:$D$2010,$C$7,'LAC 102_Wkst'!$I$7:$I$2010,$C$9,'LAC 102_Wkst'!$E$7:$E$2010,$C36,'LAC 102_Wkst'!$G$7:$G$2010,$D36,'LAC 102_Wkst'!$L$7:$L$2010,"03",'LAC 102_Wkst'!$N$7:$N$2010,"P2")+SUMIFS('LAC 102_Wkst'!$AF$7:$AF$2010,'LAC 102_Wkst'!$D$7:$D$2010,$C$7,'LAC 102_Wkst'!$I$7:$I$2010,$C$9,'LAC 102_Wkst'!$E$7:$E$2010,$C36,'LAC 102_Wkst'!$G$7:$G$2010,$D36,'LAC 102_Wkst'!$L$7:$L$2010,"03",'LAC 102_Wkst'!$N$7:$N$2010,"P3")+SUMIFS('LAC 102_Wkst'!$AF$7:$AF$2010,'LAC 102_Wkst'!$D$7:$D$2010,$C$7,'LAC 102_Wkst'!$I$7:$I$2010,$C$9,'LAC 102_Wkst'!$E$7:$E$2010,$C36,'LAC 102_Wkst'!$G$7:$G$2010,$D36,'LAC 102_Wkst'!$L$7:$L$2010,"04",'LAC 102_Wkst'!$N$7:$N$2010,"P1")+SUMIFS('LAC 102_Wkst'!$AF$7:$AF$2010,'LAC 102_Wkst'!$D$7:$D$2010,$C$7,'LAC 102_Wkst'!$I$7:$I$2010,$C$9,'LAC 102_Wkst'!$E$7:$E$2010,$C36,'LAC 102_Wkst'!$G$7:$G$2010,$D36,'LAC 102_Wkst'!$L$7:$L$2010,"04",'LAC 102_Wkst'!$N$7:$N$2010,"P2")+SUMIFS('LAC 102_Wkst'!$AF$7:$AF$2010,'LAC 102_Wkst'!$D$7:$D$2010,$C$7,'LAC 102_Wkst'!$I$7:$I$2010,$C$9,'LAC 102_Wkst'!$E$7:$E$2010,$C36,'LAC 102_Wkst'!$G$7:$G$2010,$D36,'LAC 102_Wkst'!$L$7:$L$2010,"04",'LAC 102_Wkst'!$N$7:$N$2010,"P3")</f>
        <v>0</v>
      </c>
      <c r="N36" s="410">
        <f>SUMIFS('LAC 102_Wkst'!$Q$7:$Q$2010,'LAC 102_Wkst'!$D$7:$D$2010,$C$7,'LAC 102_Wkst'!$I$7:$I$2010,$C$9,'LAC 102_Wkst'!$E$7:$E$2010,$C36,'LAC 102_Wkst'!$G$7:$G$2010,$D36,'LAC 102_Wkst'!$L$7:$L$2010,"03",'LAC 102_Wkst'!$N$7:$N$2010,"P4")+SUMIFS('LAC 102_Wkst'!$Q$7:$Q$2010,'LAC 102_Wkst'!$D$7:$D$2010,$C$7,'LAC 102_Wkst'!$I$7:$I$2010,$C$9,'LAC 102_Wkst'!$E$7:$E$2010,$C36,'LAC 102_Wkst'!$G$7:$G$2010,$D36,'LAC 102_Wkst'!$L$7:$L$2010,"04",'LAC 102_Wkst'!$N$7:$N$2010,"P4")</f>
        <v>0</v>
      </c>
      <c r="O36" s="411">
        <f>SUMIFS('LAC 102_Wkst'!$AF$7:$AF$2010,'LAC 102_Wkst'!$D$7:$D$2010,$C$7,'LAC 102_Wkst'!$I$7:$I$2010,$C$9,'LAC 102_Wkst'!$E$7:$E$2010,$C36,'LAC 102_Wkst'!$G$7:$G$2010,$D36,'LAC 102_Wkst'!$L$7:$L$2010,"03",'LAC 102_Wkst'!$N$7:$N$2010,"P4")+SUMIFS('LAC 102_Wkst'!$AF$7:$AF$2010,'LAC 102_Wkst'!$D$7:$D$2010,$C$7,'LAC 102_Wkst'!$I$7:$I$2010,$C$9,'LAC 102_Wkst'!$E$7:$E$2010,$C36,'LAC 102_Wkst'!$G$7:$G$2010,$D36,'LAC 102_Wkst'!$L$7:$L$2010,"04",'LAC 102_Wkst'!$N$7:$N$2010,"P4")</f>
        <v>0</v>
      </c>
      <c r="P36" s="404">
        <f>SUMIFS('LAC 102_Wkst'!$Q$7:$Q$2010,'LAC 102_Wkst'!$D$7:$D$2010,$C$7,'LAC 102_Wkst'!$I$7:$I$2010,$C$9,'LAC 102_Wkst'!$E$7:$E$2010,$C36,'LAC 102_Wkst'!$G$7:$G$2010,$D36,'LAC 102_Wkst'!$L$7:$L$2010,"03",'LAC 102_Wkst'!$N$7:$N$2010,"P5")+SUMIFS('LAC 102_Wkst'!$Q$7:$Q$2010,'LAC 102_Wkst'!$D$7:$D$2010,$C$7,'LAC 102_Wkst'!$I$7:$I$2010,$C$9,'LAC 102_Wkst'!$E$7:$E$2010,$C36,'LAC 102_Wkst'!$G$7:$G$2010,$D36,'LAC 102_Wkst'!$L$7:$L$2010,"04",'LAC 102_Wkst'!$N$7:$N$2010,"P5")</f>
        <v>0</v>
      </c>
      <c r="Q36" s="411">
        <f>SUMIFS('LAC 102_Wkst'!$AF$7:$AF$2010,'LAC 102_Wkst'!$D$7:$D$2010,$C$7,'LAC 102_Wkst'!$I$7:$I$2010,$C$9,'LAC 102_Wkst'!$E$7:$E$2010,$C36,'LAC 102_Wkst'!$G$7:$G$2010,$D36,'LAC 102_Wkst'!$L$7:$L$2010,"03",'LAC 102_Wkst'!$N$7:$N$2010,"P5")+SUMIFS('LAC 102_Wkst'!$AF$7:$AF$2010,'LAC 102_Wkst'!$D$7:$D$2010,$C$7,'LAC 102_Wkst'!$I$7:$I$2010,$C$9,'LAC 102_Wkst'!$E$7:$E$2010,$C36,'LAC 102_Wkst'!$G$7:$G$2010,$D36,'LAC 102_Wkst'!$L$7:$L$2010,"04",'LAC 102_Wkst'!$N$7:$N$2010,"P5")</f>
        <v>0</v>
      </c>
      <c r="R36" s="412">
        <f>SUMIFS('LAC 102_Wkst'!$Q$7:$Q$2010,'LAC 102_Wkst'!$D$7:$D$2010,$C$7,'LAC 102_Wkst'!$I$7:$I$2010,$C$9,'LAC 102_Wkst'!$E$7:$E$2010,$C36,'LAC 102_Wkst'!$G$7:$G$2010,$D36,'LAC 102_Wkst'!$L$7:$L$2010,"05",'LAC 102_Wkst'!$N$7:$N$2010,"P1")+SUMIFS('LAC 102_Wkst'!$Q$7:$Q$2010,'LAC 102_Wkst'!$D$7:$D$2010,$C$7,'LAC 102_Wkst'!$I$7:$I$2010,$C$9,'LAC 102_Wkst'!$E$7:$E$2010,$C36,'LAC 102_Wkst'!$G$7:$G$2010,$D36,'LAC 102_Wkst'!$L$7:$L$2010,"06",'LAC 102_Wkst'!$N$7:$N$2010,"P1")</f>
        <v>0</v>
      </c>
      <c r="S36" s="411">
        <f>SUMIFS('LAC 102_Wkst'!$AF$7:$AF$2010,'LAC 102_Wkst'!$D$7:$D$2010,$C$7,'LAC 102_Wkst'!$I$7:$I$2010,$C$9,'LAC 102_Wkst'!$E$7:$E$2010,$C36,'LAC 102_Wkst'!$G$7:$G$2010,$D36,'LAC 102_Wkst'!$L$7:$L$2010,"05",'LAC 102_Wkst'!$N$7:$N$2010,"P1")+SUMIFS('LAC 102_Wkst'!$AF$7:$AF$2010,'LAC 102_Wkst'!$D$7:$D$2010,$C$7,'LAC 102_Wkst'!$I$7:$I$2010,$C$9,'LAC 102_Wkst'!$E$7:$E$2010,$C36,'LAC 102_Wkst'!$G$7:$G$2010,$D36,'LAC 102_Wkst'!$L$7:$L$2010,"06",'LAC 102_Wkst'!$N$7:$N$2010,"P1")</f>
        <v>0</v>
      </c>
      <c r="T36" s="410">
        <f>SUMIFS('LAC 102_Wkst'!$Q$7:$Q$2010,'LAC 102_Wkst'!$D$7:$D$2010,$C$7,'LAC 102_Wkst'!$I$7:$I$2010,$C$9,'LAC 102_Wkst'!$E$7:$E$2010,$C36,'LAC 102_Wkst'!$G$7:$G$2010,$D36,'LAC 102_Wkst'!$L$7:$L$2010,"05",'LAC 102_Wkst'!$N$7:$N$2010,"P2")+SUMIFS('LAC 102_Wkst'!$Q$7:$Q$2010,'LAC 102_Wkst'!$D$7:$D$2010,$C$7,'LAC 102_Wkst'!$I$7:$I$2010,$C$9,'LAC 102_Wkst'!$E$7:$E$2010,$C36,'LAC 102_Wkst'!$G$7:$G$2010,$D36,'LAC 102_Wkst'!$L$7:$L$2010,"06",'LAC 102_Wkst'!$N$7:$N$2010,"P2")+SUMIFS('LAC 102_Wkst'!$Q$7:$Q$2010,'LAC 102_Wkst'!$D$7:$D$2010,$C$7,'LAC 102_Wkst'!$I$7:$I$2010,$C$9,'LAC 102_Wkst'!$E$7:$E$2010,$C36,'LAC 102_Wkst'!$G$7:$G$2010,$D36,'LAC 102_Wkst'!$L$7:$L$2010,"05",'LAC 102_Wkst'!$N$7:$N$2010,"P3")+SUMIFS('LAC 102_Wkst'!$Q$7:$Q$2010,'LAC 102_Wkst'!$D$7:$D$2010,$C$7,'LAC 102_Wkst'!$I$7:$I$2010,$C$9,'LAC 102_Wkst'!$E$7:$E$2010,$C36,'LAC 102_Wkst'!$G$7:$G$2010,$D36,'LAC 102_Wkst'!$L$7:$L$2010,"06",'LAC 102_Wkst'!$N$7:$N$2010,"P3")</f>
        <v>0</v>
      </c>
      <c r="U36" s="411">
        <f>SUMIFS('LAC 102_Wkst'!$AF$7:$AF$2010,'LAC 102_Wkst'!$D$7:$D$2010,$C$7,'LAC 102_Wkst'!$I$7:$I$2010,$C$9,'LAC 102_Wkst'!$E$7:$E$2010,$C36,'LAC 102_Wkst'!$G$7:$G$2010,$D36,'LAC 102_Wkst'!$L$7:$L$2010,"05",'LAC 102_Wkst'!$N$7:$N$2010,"P2")+SUMIFS('LAC 102_Wkst'!$AF$7:$AF$2010,'LAC 102_Wkst'!$D$7:$D$2010,$C$7,'LAC 102_Wkst'!$I$7:$I$2010,$C$9,'LAC 102_Wkst'!$E$7:$E$2010,$C36,'LAC 102_Wkst'!$G$7:$G$2010,$D36,'LAC 102_Wkst'!$L$7:$L$2010,"06",'LAC 102_Wkst'!$N$7:$N$2010,"P2")+SUMIFS('LAC 102_Wkst'!$AF$7:$AF$2010,'LAC 102_Wkst'!$D$7:$D$2010,$C$7,'LAC 102_Wkst'!$I$7:$I$2010,$C$9,'LAC 102_Wkst'!$E$7:$E$2010,$C36,'LAC 102_Wkst'!$G$7:$G$2010,$D36,'LAC 102_Wkst'!$L$7:$L$2010,"05",'LAC 102_Wkst'!$N$7:$N$2010,"P3")+SUMIFS('LAC 102_Wkst'!$AF$7:$AF$2010,'LAC 102_Wkst'!$D$7:$D$2010,$C$7,'LAC 102_Wkst'!$I$7:$I$2010,$C$9,'LAC 102_Wkst'!$E$7:$E$2010,$C36,'LAC 102_Wkst'!$G$7:$G$2010,$D36,'LAC 102_Wkst'!$L$7:$L$2010,"06",'LAC 102_Wkst'!$N$7:$N$2010,"P3")</f>
        <v>0</v>
      </c>
      <c r="V36" s="410">
        <f>SUMIFS('LAC 102_Wkst'!$Q$7:$Q$2010,'LAC 102_Wkst'!$D$7:$D$2010,$C$7,'LAC 102_Wkst'!$I$7:$I$2010,$C$9,'LAC 102_Wkst'!$E$7:$E$2010,$C36,'LAC 102_Wkst'!$G$7:$G$2010,$D36,'LAC 102_Wkst'!$L$7:$L$2010,"05",'LAC 102_Wkst'!$N$7:$N$2010,"P4")+SUMIFS('LAC 102_Wkst'!$Q$7:$Q$2010,'LAC 102_Wkst'!$D$7:$D$2010,$C$7,'LAC 102_Wkst'!$I$7:$I$2010,$C$9,'LAC 102_Wkst'!$E$7:$E$2010,$C36,'LAC 102_Wkst'!$G$7:$G$2010,$D36,'LAC 102_Wkst'!$L$7:$L$2010,"06",'LAC 102_Wkst'!$N$7:$N$2010,"P4")</f>
        <v>0</v>
      </c>
      <c r="W36" s="411">
        <f>SUMIFS('LAC 102_Wkst'!$AF$7:$AF$2010,'LAC 102_Wkst'!$D$7:$D$2010,$C$7,'LAC 102_Wkst'!$I$7:$I$2010,$C$9,'LAC 102_Wkst'!$E$7:$E$2010,$C36,'LAC 102_Wkst'!$G$7:$G$2010,$D36,'LAC 102_Wkst'!$L$7:$L$2010,"05",'LAC 102_Wkst'!$N$7:$N$2010,"P4")+SUMIFS('LAC 102_Wkst'!$AF$7:$AF$2010,'LAC 102_Wkst'!$D$7:$D$2010,$C$7,'LAC 102_Wkst'!$I$7:$I$2010,$C$9,'LAC 102_Wkst'!$E$7:$E$2010,$C36,'LAC 102_Wkst'!$G$7:$G$2010,$D36,'LAC 102_Wkst'!$L$7:$L$2010,"06",'LAC 102_Wkst'!$N$7:$N$2010,"P4")</f>
        <v>0</v>
      </c>
      <c r="X36" s="404">
        <f>SUMIFS('LAC 102_Wkst'!$Q$7:$Q$2010,'LAC 102_Wkst'!$D$7:$D$2010,$C$7,'LAC 102_Wkst'!$I$7:$I$2010,$C$9,'LAC 102_Wkst'!$E$7:$E$2010,$C36,'LAC 102_Wkst'!$G$7:$G$2010,$D36,'LAC 102_Wkst'!$L$7:$L$2010,"05",'LAC 102_Wkst'!$N$7:$N$2010,"P5")+SUMIFS('LAC 102_Wkst'!$Q$7:$Q$2010,'LAC 102_Wkst'!$D$7:$D$2010,$C$7,'LAC 102_Wkst'!$I$7:$I$2010,$C$9,'LAC 102_Wkst'!$E$7:$E$2010,$C36,'LAC 102_Wkst'!$G$7:$G$2010,$D36,'LAC 102_Wkst'!$L$7:$L$2010,"06",'LAC 102_Wkst'!$N$7:$N$2010,"P5")</f>
        <v>0</v>
      </c>
      <c r="Y36" s="411">
        <f>SUMIFS('LAC 102_Wkst'!$AF$7:$AF$2010,'LAC 102_Wkst'!$D$7:$D$2010,$C$7,'LAC 102_Wkst'!$I$7:$I$2010,$C$9,'LAC 102_Wkst'!$E$7:$E$2010,$C36,'LAC 102_Wkst'!$G$7:$G$2010,$D36,'LAC 102_Wkst'!$L$7:$L$2010,"05",'LAC 102_Wkst'!$N$7:$N$2010,"P5")+SUMIFS('LAC 102_Wkst'!$AF$7:$AF$2010,'LAC 102_Wkst'!$D$7:$D$2010,$C$7,'LAC 102_Wkst'!$I$7:$I$2010,$C$9,'LAC 102_Wkst'!$E$7:$E$2010,$C36,'LAC 102_Wkst'!$G$7:$G$2010,$D36,'LAC 102_Wkst'!$L$7:$L$2010,"06",'LAC 102_Wkst'!$N$7:$N$2010,"P5")</f>
        <v>0</v>
      </c>
      <c r="Z36" s="410">
        <f>SUMIFS('LAC 102_Wkst'!$Q$7:$Q$2010,'LAC 102_Wkst'!$D$7:$D$2010,$C$7,'LAC 102_Wkst'!$I$7:$I$2010,$C$9,'LAC 102_Wkst'!$E$7:$E$2010,$C36,'LAC 102_Wkst'!$G$7:$G$2010,$D36,'LAC 102_Wkst'!$L$7:$L$2010,"07",'LAC 102_Wkst'!$N$7:$N$2010,"P1")+SUMIFS('LAC 102_Wkst'!$Q$7:$Q$2010,'LAC 102_Wkst'!$D$7:$D$2010,$C$7,'LAC 102_Wkst'!$I$7:$I$2010,$C$9,'LAC 102_Wkst'!$E$7:$E$2010,$C36,'LAC 102_Wkst'!$G$7:$G$2010,$D36,'LAC 102_Wkst'!$L$7:$L$2010,"07",'LAC 102_Wkst'!$N$7:$N$2010,"P2")+SUMIFS('LAC 102_Wkst'!$Q$7:$Q$2010,'LAC 102_Wkst'!$D$7:$D$2010,$C$7,'LAC 102_Wkst'!$I$7:$I$2010,$C$9,'LAC 102_Wkst'!$E$7:$E$2010,$C36,'LAC 102_Wkst'!$G$7:$G$2010,$D36,'LAC 102_Wkst'!$L$7:$L$2010,"07",'LAC 102_Wkst'!$N$7:$N$2010,"P3")</f>
        <v>0</v>
      </c>
      <c r="AA36" s="411">
        <f>SUMIFS('LAC 102_Wkst'!$AF$7:$AF$2010,'LAC 102_Wkst'!$D$7:$D$2010,$C$7,'LAC 102_Wkst'!$I$7:$I$2010,$C$9,'LAC 102_Wkst'!$E$7:$E$2010,$C36,'LAC 102_Wkst'!$G$7:$G$2010,$D36,'LAC 102_Wkst'!$L$7:$L$2010,"07",'LAC 102_Wkst'!$N$7:$N$2010,"P1")+SUMIFS('LAC 102_Wkst'!$AF$7:$AF$2010,'LAC 102_Wkst'!$D$7:$D$2010,$C$7,'LAC 102_Wkst'!$I$7:$I$2010,$C$9,'LAC 102_Wkst'!$E$7:$E$2010,$C36,'LAC 102_Wkst'!$G$7:$G$2010,$D36,'LAC 102_Wkst'!$L$7:$L$2010,"07",'LAC 102_Wkst'!$N$7:$N$2010,"P2")+SUMIFS('LAC 102_Wkst'!$AF$7:$AF$2010,'LAC 102_Wkst'!$D$7:$D$2010,$C$7,'LAC 102_Wkst'!$I$7:$I$2010,$C$9,'LAC 102_Wkst'!$E$7:$E$2010,$C36,'LAC 102_Wkst'!$G$7:$G$2010,$D36,'LAC 102_Wkst'!$L$7:$L$2010,"07",'LAC 102_Wkst'!$N$7:$N$2010,"P3")</f>
        <v>0</v>
      </c>
      <c r="AB36" s="410">
        <f>SUMIFS('LAC 102_Wkst'!$Q$7:$Q$2010,'LAC 102_Wkst'!$D$7:$D$2010,$C$7,'LAC 102_Wkst'!$I$7:$I$2010,$C$9,'LAC 102_Wkst'!$E$7:$E$2010,$C36,'LAC 102_Wkst'!$G$7:$G$2010,$D36,'LAC 102_Wkst'!$L$7:$L$2010,"07",'LAC 102_Wkst'!$N$7:$N$2010,"P4")</f>
        <v>0</v>
      </c>
      <c r="AC36" s="411">
        <f>SUMIFS('LAC 102_Wkst'!$AF$7:$AF$2010,'LAC 102_Wkst'!$D$7:$D$2010,$C$7,'LAC 102_Wkst'!$I$7:$I$2010,$C$9,'LAC 102_Wkst'!$E$7:$E$2010,$C36,'LAC 102_Wkst'!$G$7:$G$2010,$D36,'LAC 102_Wkst'!$L$7:$L$2010,"07",'LAC 102_Wkst'!$N$7:$N$2010,"P4")</f>
        <v>0</v>
      </c>
      <c r="AD36" s="404">
        <f>SUMIFS('LAC 102_Wkst'!$Q$7:$Q$2010,'LAC 102_Wkst'!$D$7:$D$2010,$C$7,'LAC 102_Wkst'!$I$7:$I$2010,$C$9,'LAC 102_Wkst'!$E$7:$E$2010,$C36,'LAC 102_Wkst'!$G$7:$G$2010,$D36,'LAC 102_Wkst'!$L$7:$L$2010,"07",'LAC 102_Wkst'!$N$7:$N$2010,"P5")</f>
        <v>0</v>
      </c>
      <c r="AE36" s="411">
        <f>SUMIFS('LAC 102_Wkst'!$AF$7:$AF$2010,'LAC 102_Wkst'!$D$7:$D$2010,$C$7,'LAC 102_Wkst'!$I$7:$I$2010,$C$9,'LAC 102_Wkst'!$E$7:$E$2010,$C36,'LAC 102_Wkst'!$G$7:$G$2010,$D36,'LAC 102_Wkst'!$L$7:$L$2010,"07",'LAC 102_Wkst'!$N$7:$N$2010,"P5")</f>
        <v>0</v>
      </c>
      <c r="AF36" s="410">
        <f>SUMIFS('LAC 102_Wkst'!$Q$7:$Q$2010,'LAC 102_Wkst'!$D$7:$D$2010,$C$7,'LAC 102_Wkst'!$I$7:$I$2010,$C$9,'LAC 102_Wkst'!$E$7:$E$2010,$C36,'LAC 102_Wkst'!$G$7:$G$2010,$D36,'LAC 102_Wkst'!$L$7:$L$2010,"08",'LAC 102_Wkst'!$N$7:$N$2010,"P1")+SUMIFS('LAC 102_Wkst'!$Q$7:$Q$2010,'LAC 102_Wkst'!$D$7:$D$2010,$C$7,'LAC 102_Wkst'!$I$7:$I$2010,$C$9,'LAC 102_Wkst'!$E$7:$E$2010,$C36,'LAC 102_Wkst'!$G$7:$G$2010,$D36,'LAC 102_Wkst'!$L$7:$L$2010,"08",'LAC 102_Wkst'!$N$7:$N$2010,"P2")+SUMIFS('LAC 102_Wkst'!$Q$7:$Q$2010,'LAC 102_Wkst'!$D$7:$D$2010,$C$7,'LAC 102_Wkst'!$I$7:$I$2010,$C$9,'LAC 102_Wkst'!$E$7:$E$2010,$C36,'LAC 102_Wkst'!$G$7:$G$2010,$D36,'LAC 102_Wkst'!$L$7:$L$2010,"08",'LAC 102_Wkst'!$N$7:$N$2010,"P3")</f>
        <v>0</v>
      </c>
      <c r="AG36" s="411">
        <f>SUMIFS('LAC 102_Wkst'!$AF$7:$AF$2010,'LAC 102_Wkst'!$D$7:$D$2010,$C$7,'LAC 102_Wkst'!$I$7:$I$2010,$C$9,'LAC 102_Wkst'!$E$7:$E$2010,$C36,'LAC 102_Wkst'!$G$7:$G$2010,$D36,'LAC 102_Wkst'!$L$7:$L$2010,"08",'LAC 102_Wkst'!$N$7:$N$2010,"P1")+SUMIFS('LAC 102_Wkst'!$AF$7:$AF$2010,'LAC 102_Wkst'!$D$7:$D$2010,$C$7,'LAC 102_Wkst'!$I$7:$I$2010,$C$9,'LAC 102_Wkst'!$E$7:$E$2010,$C36,'LAC 102_Wkst'!$G$7:$G$2010,$D36,'LAC 102_Wkst'!$L$7:$L$2010,"08",'LAC 102_Wkst'!$N$7:$N$2010,"P2")+SUMIFS('LAC 102_Wkst'!$AF$7:$AF$2010,'LAC 102_Wkst'!$D$7:$D$2010,$C$7,'LAC 102_Wkst'!$I$7:$I$2010,$C$9,'LAC 102_Wkst'!$E$7:$E$2010,$C36,'LAC 102_Wkst'!$G$7:$G$2010,$D36,'LAC 102_Wkst'!$L$7:$L$2010,"08",'LAC 102_Wkst'!$N$7:$N$2010,"P3")</f>
        <v>0</v>
      </c>
      <c r="AH36" s="410">
        <f>SUMIFS('LAC 102_Wkst'!$Q$7:$Q$2010,'LAC 102_Wkst'!$D$7:$D$2010,$C$7,'LAC 102_Wkst'!$I$7:$I$2010,$C$9,'LAC 102_Wkst'!$E$7:$E$2010,$C36,'LAC 102_Wkst'!$G$7:$G$2010,$D36,'LAC 102_Wkst'!$L$7:$L$2010,"08",'LAC 102_Wkst'!$N$7:$N$2010,"P4")</f>
        <v>0</v>
      </c>
      <c r="AI36" s="411">
        <f>SUMIFS('LAC 102_Wkst'!$AF$7:$AF$2010,'LAC 102_Wkst'!$D$7:$D$2010,$C$7,'LAC 102_Wkst'!$I$7:$I$2010,$C$9,'LAC 102_Wkst'!$E$7:$E$2010,$C36,'LAC 102_Wkst'!$G$7:$G$2010,$D36,'LAC 102_Wkst'!$L$7:$L$2010,"08",'LAC 102_Wkst'!$N$7:$N$2010,"P4")</f>
        <v>0</v>
      </c>
      <c r="AJ36" s="404">
        <f>SUMIFS('LAC 102_Wkst'!$Q$7:$Q$2010,'LAC 102_Wkst'!$D$7:$D$2010,$C$7,'LAC 102_Wkst'!$I$7:$I$2010,$C$9,'LAC 102_Wkst'!$E$7:$E$2010,$C36,'LAC 102_Wkst'!$G$7:$G$2010,$D36,'LAC 102_Wkst'!$L$7:$L$2010,"08",'LAC 102_Wkst'!$N$7:$N$2010,"P5")</f>
        <v>0</v>
      </c>
      <c r="AK36" s="411">
        <f>SUMIFS('LAC 102_Wkst'!$AF$7:$AF$2010,'LAC 102_Wkst'!$D$7:$D$2010,$C$7,'LAC 102_Wkst'!$I$7:$I$2010,$C$9,'LAC 102_Wkst'!$E$7:$E$2010,$C36,'LAC 102_Wkst'!$G$7:$G$2010,$D36,'LAC 102_Wkst'!$L$7:$L$2010,"08",'LAC 102_Wkst'!$N$7:$N$2010,"P5")</f>
        <v>0</v>
      </c>
      <c r="AL36" s="410">
        <f>SUMIFS('LAC 102_Wkst'!$Q$7:$Q$2010,'LAC 102_Wkst'!$D$7:$D$2010,$C$7,'LAC 102_Wkst'!$I$7:$I$2010,$C$9,'LAC 102_Wkst'!$E$7:$E$2010,$C36,'LAC 102_Wkst'!$G$7:$G$2010,$D36,'LAC 102_Wkst'!$L$7:$L$2010,"09",'LAC 102_Wkst'!$N$7:$N$2010,"P1")+SUMIFS('LAC 102_Wkst'!$Q$7:$Q$2010,'LAC 102_Wkst'!$D$7:$D$2010,$C$7,'LAC 102_Wkst'!$I$7:$I$2010,$C$9,'LAC 102_Wkst'!$E$7:$E$2010,$C36,'LAC 102_Wkst'!$G$7:$G$2010,$D36,'LAC 102_Wkst'!$L$7:$L$2010,"09",'LAC 102_Wkst'!$N$7:$N$2010,"P2")+SUMIFS('LAC 102_Wkst'!$Q$7:$Q$2010,'LAC 102_Wkst'!$D$7:$D$2010,$C$7,'LAC 102_Wkst'!$I$7:$I$2010,$C$9,'LAC 102_Wkst'!$E$7:$E$2010,$C36,'LAC 102_Wkst'!$G$7:$G$2010,$D36,'LAC 102_Wkst'!$L$7:$L$2010,"09",'LAC 102_Wkst'!$N$7:$N$2010,"P3")+SUMIFS('LAC 102_Wkst'!$Q$7:$Q$2010,'LAC 102_Wkst'!$D$7:$D$2010,$C$7,'LAC 102_Wkst'!$I$7:$I$2010,$C$9,'LAC 102_Wkst'!$E$7:$E$2010,$C36,'LAC 102_Wkst'!$G$7:$G$2010,$D36,'LAC 102_Wkst'!$L$7:$L$2010,"09",'LAC 102_Wkst'!$N$7:$N$2010,"P4")</f>
        <v>0</v>
      </c>
      <c r="AM36" s="411">
        <f>SUMIFS('LAC 102_Wkst'!$AF$7:$AF$2010,'LAC 102_Wkst'!$D$7:$D$2010,$C$7,'LAC 102_Wkst'!$I$7:$I$2010,$C$9,'LAC 102_Wkst'!$E$7:$E$2010,$C36,'LAC 102_Wkst'!$G$7:$G$2010,$D36,'LAC 102_Wkst'!$L$7:$L$2010,"09",'LAC 102_Wkst'!$N$7:$N$2010,"P1")+SUMIFS('LAC 102_Wkst'!$AF$7:$AF$2010,'LAC 102_Wkst'!$D$7:$D$2010,$C$7,'LAC 102_Wkst'!$I$7:$I$2010,$C$9,'LAC 102_Wkst'!$E$7:$E$2010,$C36,'LAC 102_Wkst'!$G$7:$G$2010,$D36,'LAC 102_Wkst'!$L$7:$L$2010,"09",'LAC 102_Wkst'!$N$7:$N$2010,"P2")+SUMIFS('LAC 102_Wkst'!$AF$7:$AF$2010,'LAC 102_Wkst'!$D$7:$D$2010,$C$7,'LAC 102_Wkst'!$I$7:$I$2010,$C$9,'LAC 102_Wkst'!$E$7:$E$2010,$C36,'LAC 102_Wkst'!$G$7:$G$2010,$D36,'LAC 102_Wkst'!$L$7:$L$2010,"09",'LAC 102_Wkst'!$N$7:$N$2010,"P3")+SUMIFS('LAC 102_Wkst'!$AF$7:$AF$2010,'LAC 102_Wkst'!$D$7:$D$2010,$C$7,'LAC 102_Wkst'!$I$7:$I$2010,$C$9,'LAC 102_Wkst'!$E$7:$E$2010,$C36,'LAC 102_Wkst'!$G$7:$G$2010,$D36,'LAC 102_Wkst'!$L$7:$L$2010,"09",'LAC 102_Wkst'!$N$7:$N$2010,"P4")</f>
        <v>0</v>
      </c>
      <c r="AN36" s="410">
        <f>SUMIFS('LAC 102_Wkst'!$Q$7:$Q$2010,'LAC 102_Wkst'!$D$7:$D$2010,$C$7,'LAC 102_Wkst'!$I$7:$I$2010,$C$9,'LAC 102_Wkst'!$E$7:$E$2010,$C36,'LAC 102_Wkst'!$G$7:$G$2010,$D36,'LAC 102_Wkst'!$L$7:$L$2010,"09",'LAC 102_Wkst'!$N$7:$N$2010,"P5")</f>
        <v>0</v>
      </c>
      <c r="AO36" s="411">
        <f>SUMIFS('LAC 102_Wkst'!$AF$7:$AF$2010,'LAC 102_Wkst'!$D$7:$D$2010,$C$7,'LAC 102_Wkst'!$I$7:$I$2010,$C$9,'LAC 102_Wkst'!$E$7:$E$2010,$C36,'LAC 102_Wkst'!$G$7:$G$2010,$D36,'LAC 102_Wkst'!$L$7:$L$2010,"09",'LAC 102_Wkst'!$N$7:$N$2010,"P5")</f>
        <v>0</v>
      </c>
      <c r="AP36" s="404">
        <f>SUMIFS('LAC 102_Wkst'!$Q$7:$Q$2010,'LAC 102_Wkst'!$D$7:$D$2010,$C$7,'LAC 102_Wkst'!$I$7:$I$2010,$C$9,'LAC 102_Wkst'!$E$7:$E$2010,$C36,'LAC 102_Wkst'!$G$7:$G$2010,$D36,'LAC 102_Wkst'!$L$7:$L$2010,"10",'LAC 102_Wkst'!$N$7:$N$2010,"P1")+SUMIFS('LAC 102_Wkst'!$Q$7:$Q$2010,'LAC 102_Wkst'!$D$7:$D$2010,$C$7,'LAC 102_Wkst'!$I$7:$I$2010,$C$9,'LAC 102_Wkst'!$E$7:$E$2010,$C36,'LAC 102_Wkst'!$G$7:$G$2010,$D36,'LAC 102_Wkst'!$L$7:$L$2010,"10",'LAC 102_Wkst'!$N$7:$N$2010,"P2")+SUMIFS('LAC 102_Wkst'!$Q$7:$Q$2010,'LAC 102_Wkst'!$D$7:$D$2010,$C$7,'LAC 102_Wkst'!$I$7:$I$2010,$C$9,'LAC 102_Wkst'!$E$7:$E$2010,$C36,'LAC 102_Wkst'!$G$7:$G$2010,$D36,'LAC 102_Wkst'!$L$7:$L$2010,"10",'LAC 102_Wkst'!$N$7:$N$2010,"P3")+SUMIFS('LAC 102_Wkst'!$Q$7:$Q$2010,'LAC 102_Wkst'!$D$7:$D$2010,$C$7,'LAC 102_Wkst'!$I$7:$I$2010,$C$9,'LAC 102_Wkst'!$E$7:$E$2010,$C36,'LAC 102_Wkst'!$G$7:$G$2010,$D36,'LAC 102_Wkst'!$L$7:$L$2010,"10",'LAC 102_Wkst'!$N$7:$N$2010,"P4")</f>
        <v>0</v>
      </c>
      <c r="AQ36" s="411">
        <f>SUMIFS('LAC 102_Wkst'!$AF$7:$AF$2010,'LAC 102_Wkst'!$D$7:$D$2010,$C$7,'LAC 102_Wkst'!$I$7:$I$2010,$C$9,'LAC 102_Wkst'!$E$7:$E$2010,$C36,'LAC 102_Wkst'!$G$7:$G$2010,$D36,'LAC 102_Wkst'!$L$7:$L$2010,"10",'LAC 102_Wkst'!$N$7:$N$2010,"P1")+SUMIFS('LAC 102_Wkst'!$AF$7:$AF$2010,'LAC 102_Wkst'!$D$7:$D$2010,$C$7,'LAC 102_Wkst'!$I$7:$I$2010,$C$9,'LAC 102_Wkst'!$E$7:$E$2010,$C36,'LAC 102_Wkst'!$G$7:$G$2010,$D36,'LAC 102_Wkst'!$L$7:$L$2010,"10",'LAC 102_Wkst'!$N$7:$N$2010,"P2")+SUMIFS('LAC 102_Wkst'!$AF$7:$AF$2010,'LAC 102_Wkst'!$D$7:$D$2010,$C$7,'LAC 102_Wkst'!$I$7:$I$2010,$C$9,'LAC 102_Wkst'!$E$7:$E$2010,$C36,'LAC 102_Wkst'!$G$7:$G$2010,$D36,'LAC 102_Wkst'!$L$7:$L$2010,"10",'LAC 102_Wkst'!$N$7:$N$2010,"P3")+SUMIFS('LAC 102_Wkst'!$AF$7:$AF$2010,'LAC 102_Wkst'!$D$7:$D$2010,$C$7,'LAC 102_Wkst'!$I$7:$I$2010,$C$9,'LAC 102_Wkst'!$E$7:$E$2010,$C36,'LAC 102_Wkst'!$G$7:$G$2010,$D36,'LAC 102_Wkst'!$L$7:$L$2010,"10",'LAC 102_Wkst'!$N$7:$N$2010,"P4")</f>
        <v>0</v>
      </c>
      <c r="AR36" s="410">
        <f>SUMIFS('LAC 102_Wkst'!$Q$7:$Q$2010,'LAC 102_Wkst'!$D$7:$D$2010,$C$7,'LAC 102_Wkst'!$I$7:$I$2010,$C$9,'LAC 102_Wkst'!$E$7:$E$2010,$C36,'LAC 102_Wkst'!$G$7:$G$2010,$D36,'LAC 102_Wkst'!$L$7:$L$2010,"10",'LAC 102_Wkst'!$N$7:$N$2010,"P5")</f>
        <v>0</v>
      </c>
      <c r="AS36" s="411">
        <f>SUMIFS('LAC 102_Wkst'!$AF$7:$AF$2010,'LAC 102_Wkst'!$D$7:$D$2010,$C$7,'LAC 102_Wkst'!$I$7:$I$2010,$C$9,'LAC 102_Wkst'!$E$7:$E$2010,$C36,'LAC 102_Wkst'!$G$7:$G$2010,$D36,'LAC 102_Wkst'!$L$7:$L$2010,"10",'LAC 102_Wkst'!$N$7:$N$2010,"P5")</f>
        <v>0</v>
      </c>
      <c r="AT36" s="410">
        <f>SUMIFS('LAC 102_Wkst'!$Q$7:$Q$2010,'LAC 102_Wkst'!$D$7:$D$2010,$C$7,'LAC 102_Wkst'!$I$7:$I$2010,$C$9,'LAC 102_Wkst'!$E$7:$E$2010,$C36,'LAC 102_Wkst'!$G$7:$G$2010,$D36,'LAC 102_Wkst'!$L$7:$L$2010,"11",'LAC 102_Wkst'!$N$7:$N$2010,"P1")+SUMIFS('LAC 102_Wkst'!$Q$7:$Q$2010,'LAC 102_Wkst'!$D$7:$D$2010,$C$7,'LAC 102_Wkst'!$I$7:$I$2010,$C$9,'LAC 102_Wkst'!$E$7:$E$2010,$C36,'LAC 102_Wkst'!$G$7:$G$2010,$D36,'LAC 102_Wkst'!$L$7:$L$2010,"12",'LAC 102_Wkst'!$N$7:$N$2010,"P1")</f>
        <v>0</v>
      </c>
      <c r="AU36" s="411">
        <f>SUMIFS('LAC 102_Wkst'!$Q$7:$Q$2010,'LAC 102_Wkst'!$D$7:$D$2010,$C$7,'LAC 102_Wkst'!$I$7:$I$2010,$C$9,'LAC 102_Wkst'!$E$7:$E$2010,$C36,'LAC 102_Wkst'!$G$7:$G$2010,$D36,'LAC 102_Wkst'!$L$7:$L$2010,"13",'LAC 102_Wkst'!$N$7:$N$2010,"P5")</f>
        <v>0</v>
      </c>
      <c r="AV36" s="404">
        <f>SUMIFS('LAC 102_Wkst'!$Q$7:$Q$2010,'LAC 102_Wkst'!$D$7:$D$2010,$C$7,'LAC 102_Wkst'!$I$7:$I$2010,$C$9,'LAC 102_Wkst'!$E$7:$E$2010,$C36,'LAC 102_Wkst'!$G$7:$G$2010,$D36,'LAC 102_Wkst'!$L$7:$L$2010,"11",'LAC 102_Wkst'!$N$7:$N$2010,"P2")+SUMIFS('LAC 102_Wkst'!$Q$7:$Q$2010,'LAC 102_Wkst'!$D$7:$D$2010,$C$7,'LAC 102_Wkst'!$I$7:$I$2010,$C$9,'LAC 102_Wkst'!$E$7:$E$2010,$C36,'LAC 102_Wkst'!$G$7:$G$2010,$D36,'LAC 102_Wkst'!$L$7:$L$2010,"12",'LAC 102_Wkst'!$N$7:$N$2010,"P2")+SUMIFS('LAC 102_Wkst'!$Q$7:$Q$2010,'LAC 102_Wkst'!$D$7:$D$2010,$C$7,'LAC 102_Wkst'!$I$7:$I$2010,$C$9,'LAC 102_Wkst'!$E$7:$E$2010,$C36,'LAC 102_Wkst'!$G$7:$G$2010,$D36,'LAC 102_Wkst'!$L$7:$L$2010,"11",'LAC 102_Wkst'!$N$7:$N$2010,"P3")+SUMIFS('LAC 102_Wkst'!$Q$7:$Q$2010,'LAC 102_Wkst'!$D$7:$D$2010,$C$7,'LAC 102_Wkst'!$I$7:$I$2010,$C$9,'LAC 102_Wkst'!$E$7:$E$2010,$C36,'LAC 102_Wkst'!$G$7:$G$2010,$D36,'LAC 102_Wkst'!$L$7:$L$2010,"12",'LAC 102_Wkst'!$N$7:$N$2010,"P3")</f>
        <v>0</v>
      </c>
      <c r="AW36" s="411">
        <f>SUMIFS('LAC 102_Wkst'!$AF$7:$AF$2010,'LAC 102_Wkst'!$D$7:$D$2010,$C$7,'LAC 102_Wkst'!$I$7:$I$2010,$C$9,'LAC 102_Wkst'!$E$7:$E$2010,$C36,'LAC 102_Wkst'!$G$7:$G$2010,$D36,'LAC 102_Wkst'!$L$7:$L$2010,"11",'LAC 102_Wkst'!$N$7:$N$2010,"P2")+SUMIFS('LAC 102_Wkst'!$AF$7:$AF$2010,'LAC 102_Wkst'!$D$7:$D$2010,$C$7,'LAC 102_Wkst'!$I$7:$I$2010,$C$9,'LAC 102_Wkst'!$E$7:$E$2010,$C36,'LAC 102_Wkst'!$G$7:$G$2010,$D36,'LAC 102_Wkst'!$L$7:$L$2010,"12",'LAC 102_Wkst'!$N$7:$N$2010,"P2")+SUMIFS('LAC 102_Wkst'!$AF$7:$AF$2010,'LAC 102_Wkst'!$D$7:$D$2010,$C$7,'LAC 102_Wkst'!$I$7:$I$2010,$C$9,'LAC 102_Wkst'!$E$7:$E$2010,$C36,'LAC 102_Wkst'!$G$7:$G$2010,$D36,'LAC 102_Wkst'!$L$7:$L$2010,"11",'LAC 102_Wkst'!$N$7:$N$2010,"P3")+SUMIFS('LAC 102_Wkst'!$AF$7:$AF$2010,'LAC 102_Wkst'!$D$7:$D$2010,$C$7,'LAC 102_Wkst'!$I$7:$I$2010,$C$9,'LAC 102_Wkst'!$E$7:$E$2010,$C36,'LAC 102_Wkst'!$G$7:$G$2010,$D36,'LAC 102_Wkst'!$L$7:$L$2010,"12",'LAC 102_Wkst'!$N$7:$N$2010,"P3")</f>
        <v>0</v>
      </c>
      <c r="AX36" s="404">
        <f>SUMIFS('LAC 102_Wkst'!$Q$7:$Q$2010,'LAC 102_Wkst'!$D$7:$D$2010,$C$7,'LAC 102_Wkst'!$I$7:$I$2010,$C$9,'LAC 102_Wkst'!$E$7:$E$2010,$C36,'LAC 102_Wkst'!$G$7:$G$2010,$D36,'LAC 102_Wkst'!$L$7:$L$2010,"11",'LAC 102_Wkst'!$N$7:$N$2010,"P4")+SUMIFS('LAC 102_Wkst'!$Q$7:$Q$2010,'LAC 102_Wkst'!$D$7:$D$2010,$C$7,'LAC 102_Wkst'!$I$7:$I$2010,$C$9,'LAC 102_Wkst'!$E$7:$E$2010,$C36,'LAC 102_Wkst'!$G$7:$G$2010,$D36,'LAC 102_Wkst'!$L$7:$L$2010,"12",'LAC 102_Wkst'!$N$7:$N$2010,"P4")</f>
        <v>0</v>
      </c>
      <c r="AY36" s="411">
        <f>SUMIFS('LAC 102_Wkst'!$AF$7:$AF$2010,'LAC 102_Wkst'!$D$7:$D$2010,$C$7,'LAC 102_Wkst'!$I$7:$I$2010,$C$9,'LAC 102_Wkst'!$E$7:$E$2010,$C36,'LAC 102_Wkst'!$G$7:$G$2010,$D36,'LAC 102_Wkst'!$L$7:$L$2010,"11",'LAC 102_Wkst'!$N$7:$N$2010,"P4")+SUMIFS('LAC 102_Wkst'!$AF$7:$AF$2010,'LAC 102_Wkst'!$D$7:$D$2010,$C$7,'LAC 102_Wkst'!$I$7:$I$2010,$C$9,'LAC 102_Wkst'!$E$7:$E$2010,$C36,'LAC 102_Wkst'!$G$7:$G$2010,$D36,'LAC 102_Wkst'!$L$7:$L$2010,"12",'LAC 102_Wkst'!$N$7:$N$2010,"P4")</f>
        <v>0</v>
      </c>
      <c r="AZ36" s="404">
        <f>SUMIFS('LAC 102_Wkst'!$Q$7:$Q$2010,'LAC 102_Wkst'!$D$7:$D$2010,$C$7,'LAC 102_Wkst'!$I$7:$I$2010,$C$9,'LAC 102_Wkst'!$E$7:$E$2010,$C36,'LAC 102_Wkst'!$G$7:$G$2010,$D36,'LAC 102_Wkst'!$L$7:$L$2010,"11",'LAC 102_Wkst'!$N$7:$N$2010,"P5")+SUMIFS('LAC 102_Wkst'!$Q$7:$Q$2010,'LAC 102_Wkst'!$D$7:$D$2010,$C$7,'LAC 102_Wkst'!$I$7:$I$2010,$C$9,'LAC 102_Wkst'!$E$7:$E$2010,$C36,'LAC 102_Wkst'!$G$7:$G$2010,$D36,'LAC 102_Wkst'!$L$7:$L$2010,"12",'LAC 102_Wkst'!$N$7:$N$2010,"P5")</f>
        <v>0</v>
      </c>
      <c r="BA36" s="411">
        <f>SUMIFS('LAC 102_Wkst'!$AF$7:$AF$2010,'LAC 102_Wkst'!$D$7:$D$2010,$C$7,'LAC 102_Wkst'!$I$7:$I$2010,$C$9,'LAC 102_Wkst'!$E$7:$E$2010,$C36,'LAC 102_Wkst'!$G$7:$G$2010,$D36,'LAC 102_Wkst'!$L$7:$L$2010,"11",'LAC 102_Wkst'!$N$7:$N$2010,"P5")+SUMIFS('LAC 102_Wkst'!$AF$7:$AF$2010,'LAC 102_Wkst'!$D$7:$D$2010,$C$7,'LAC 102_Wkst'!$I$7:$I$2010,$C$9,'LAC 102_Wkst'!$E$7:$E$2010,$C36,'LAC 102_Wkst'!$G$7:$G$2010,$D36,'LAC 102_Wkst'!$L$7:$L$2010,"12",'LAC 102_Wkst'!$N$7:$N$2010,"P5")</f>
        <v>0</v>
      </c>
      <c r="BB36" s="404">
        <f>SUMIFS('LAC 102_Wkst'!$Q$7:$Q$2010,'LAC 102_Wkst'!$D$7:$D$2010,$C$7,'LAC 102_Wkst'!$I$7:$I$2010,$C$9,'LAC 102_Wkst'!$E$7:$E$2010,$C36,'LAC 102_Wkst'!$G$7:$G$2010,$D36,'LAC 102_Wkst'!$L$7:$L$2010,"13",'LAC 102_Wkst'!$N$7:$N$2010,"P1")+SUMIFS('LAC 102_Wkst'!$Q$7:$Q$2010,'LAC 102_Wkst'!$D$7:$D$2010,$C$7,'LAC 102_Wkst'!$I$7:$I$2010,$C$9,'LAC 102_Wkst'!$E$7:$E$2010,$C36,'LAC 102_Wkst'!$G$7:$G$2010,$D36,'LAC 102_Wkst'!$L$7:$L$2010,"13",'LAC 102_Wkst'!$N$7:$N$2010,"P2")+SUMIFS('LAC 102_Wkst'!$Q$7:$Q$2010,'LAC 102_Wkst'!$D$7:$D$2010,$C$7,'LAC 102_Wkst'!$I$7:$I$2010,$C$9,'LAC 102_Wkst'!$E$7:$E$2010,$C36,'LAC 102_Wkst'!$G$7:$G$2010,$D36,'LAC 102_Wkst'!$L$7:$L$2010,"13",'LAC 102_Wkst'!$N$7:$N$2010,"P3")+SUMIFS('LAC 102_Wkst'!$Q$7:$Q$2010,'LAC 102_Wkst'!$D$7:$D$2010,$C$7,'LAC 102_Wkst'!$I$7:$I$2010,$C$9,'LAC 102_Wkst'!$E$7:$E$2010,$C36,'LAC 102_Wkst'!$G$7:$G$2010,$D36,'LAC 102_Wkst'!$L$7:$L$2010,"13",'LAC 102_Wkst'!$N$7:$N$2010,"P4")</f>
        <v>0</v>
      </c>
      <c r="BC36" s="411">
        <f>SUMIFS('LAC 102_Wkst'!$AF$7:$AF$2010,'LAC 102_Wkst'!$D$7:$D$2010,$C$7,'LAC 102_Wkst'!$I$7:$I$2010,$C$9,'LAC 102_Wkst'!$E$7:$E$2010,$C36,'LAC 102_Wkst'!$G$7:$G$2010,$D36,'LAC 102_Wkst'!$L$7:$L$2010,"13",'LAC 102_Wkst'!$N$7:$N$2010,"P1")+SUMIFS('LAC 102_Wkst'!$AF$7:$AF$2010,'LAC 102_Wkst'!$D$7:$D$2010,$C$7,'LAC 102_Wkst'!$I$7:$I$2010,$C$9,'LAC 102_Wkst'!$E$7:$E$2010,$C36,'LAC 102_Wkst'!$G$7:$G$2010,$D36,'LAC 102_Wkst'!$L$7:$L$2010,"13",'LAC 102_Wkst'!$N$7:$N$2010,"P2")+SUMIFS('LAC 102_Wkst'!$AF$7:$AF$2010,'LAC 102_Wkst'!$D$7:$D$2010,$C$7,'LAC 102_Wkst'!$I$7:$I$2010,$C$9,'LAC 102_Wkst'!$E$7:$E$2010,$C36,'LAC 102_Wkst'!$G$7:$G$2010,$D36,'LAC 102_Wkst'!$L$7:$L$2010,"13",'LAC 102_Wkst'!$N$7:$N$2010,"P3")+SUMIFS('LAC 102_Wkst'!$AF$7:$AF$2010,'LAC 102_Wkst'!$D$7:$D$2010,$C$7,'LAC 102_Wkst'!$I$7:$I$2010,$C$9,'LAC 102_Wkst'!$E$7:$E$2010,$C36,'LAC 102_Wkst'!$G$7:$G$2010,$D36,'LAC 102_Wkst'!$L$7:$L$2010,"13",'LAC 102_Wkst'!$N$7:$N$2010,"P4")</f>
        <v>0</v>
      </c>
      <c r="BD36" s="404">
        <f>SUMIFS('LAC 102_Wkst'!$Q$7:$Q$2010,'LAC 102_Wkst'!$D$7:$D$2010,$C$7,'LAC 102_Wkst'!$I$7:$I$2010,$C$9,'LAC 102_Wkst'!$E$7:$E$2010,$C36,'LAC 102_Wkst'!$G$7:$G$2010,$D36,'LAC 102_Wkst'!$L$7:$L$2010,"13",'LAC 102_Wkst'!$N$7:$N$2010,"P5")</f>
        <v>0</v>
      </c>
      <c r="BE36" s="411">
        <f>SUMIFS('LAC 102_Wkst'!$AF$7:$AF$2010,'LAC 102_Wkst'!$D$7:$D$2010,$C$7,'LAC 102_Wkst'!$I$7:$I$2010,$C$9,'LAC 102_Wkst'!$E$7:$E$2010,$C36,'LAC 102_Wkst'!$G$7:$G$2010,$D36,'LAC 102_Wkst'!$L$7:$L$2010,"13",'LAC 102_Wkst'!$N$7:$N$2010,"P5")</f>
        <v>0</v>
      </c>
      <c r="BF36" s="407">
        <f t="shared" si="4"/>
        <v>0</v>
      </c>
      <c r="BG36" s="1654">
        <f>SUMIFS('LAC 102_Wkst'!$AF$7:$AF$2010,'LAC 102_Wkst'!$D$7:$D$2010,$C$7,'LAC 102_Wkst'!$I$7:$I$2010,$C$9,'LAC 102_Wkst'!$E$7:$E$2010,$C36,'LAC 102_Wkst'!$G$7:$G$2010,$D36,'LAC 102_Wkst'!$L$7:$L$2010,"14")</f>
        <v>0</v>
      </c>
    </row>
    <row r="37" spans="1:59" x14ac:dyDescent="0.2">
      <c r="A37" s="401">
        <v>15</v>
      </c>
      <c r="B37" s="1678" t="str">
        <f>IF(Schedule_B!B$34="","",Schedule_B!B$34)</f>
        <v>CR</v>
      </c>
      <c r="C37" s="1674" t="str">
        <f>IF(Schedule_B!C$34=""," ",Schedule_B!C$34)</f>
        <v>45</v>
      </c>
      <c r="D37" s="1675" t="str">
        <f>IF(Schedule_B!D$34=""," ",Schedule_B!D$34)</f>
        <v>20</v>
      </c>
      <c r="E37" s="1221">
        <f>SUMIFS('LAC 102_Wkst'!$Q$7:$Q$2010,'LAC 102_Wkst'!$D$7:$D$2010,$C$7,'LAC 102_Wkst'!$I$7:$I$2010,$C$9,'LAC 102_Wkst'!$E$7:$E$2010,$C37,'LAC 102_Wkst'!$G$7:$G$2010,$D37)</f>
        <v>0</v>
      </c>
      <c r="F37" s="408">
        <f>SUMIFS('LAC 102_Wkst'!$Q$7:$Q$2010,'LAC 102_Wkst'!$D$7:$D$2010,$C$7,'LAC 102_Wkst'!$I$7:$I$2010,$C$9,'LAC 102_Wkst'!$E$7:$E$2010,$C37,'LAC 102_Wkst'!$G$7:$G$2010,$D37,'LAC 102_Wkst'!$L$7:$L$2010,"01",'LAC 102_Wkst'!$N$7:$N$2010,"P1")+SUMIFS('LAC 102_Wkst'!$Q$7:$Q$2010,'LAC 102_Wkst'!$D$7:$D$2010,$C$7,'LAC 102_Wkst'!$I$7:$I$2010,$C$9,'LAC 102_Wkst'!$E$7:$E$2010,$C37,'LAC 102_Wkst'!$G$7:$G$2010,$D37,'LAC 102_Wkst'!$L$7:$L$2010,"01",'LAC 102_Wkst'!$N$7:$N$2010,"P2")+SUMIFS('LAC 102_Wkst'!$Q$7:$Q$2010,'LAC 102_Wkst'!$D$7:$D$2010,$C$7,'LAC 102_Wkst'!$I$7:$I$2010,$C$9,'LAC 102_Wkst'!$E$7:$E$2010,$C37,'LAC 102_Wkst'!$G$7:$G$2010,$D37,'LAC 102_Wkst'!$L$7:$L$2010,"01",'LAC 102_Wkst'!$N$7:$N$2010,"P3")+SUMIFS('LAC 102_Wkst'!$Q$7:$Q$2010,'LAC 102_Wkst'!$D$7:$D$2010,$C$7,'LAC 102_Wkst'!$I$7:$I$2010,$C$9,'LAC 102_Wkst'!$E$7:$E$2010,$C37,'LAC 102_Wkst'!$G$7:$G$2010,$D37,'LAC 102_Wkst'!$L$7:$L$2010,"02",'LAC 102_Wkst'!$N$7:$N$2010,"P1")+SUMIFS('LAC 102_Wkst'!$Q$7:$Q$2010,'LAC 102_Wkst'!$D$7:$D$2010,$C$7,'LAC 102_Wkst'!$I$7:$I$2010,$C$9,'LAC 102_Wkst'!$E$7:$E$2010,$C37,'LAC 102_Wkst'!$G$7:$G$2010,$D37,'LAC 102_Wkst'!$L$7:$L$2010,"02",'LAC 102_Wkst'!$N$7:$N$2010,"P2")+SUMIFS('LAC 102_Wkst'!$Q$7:$Q$2010,'LAC 102_Wkst'!$D$7:$D$2010,$C$7,'LAC 102_Wkst'!$I$7:$I$2010,$C$9,'LAC 102_Wkst'!$E$7:$E$2010,$C37,'LAC 102_Wkst'!$G$7:$G$2010,$D37,'LAC 102_Wkst'!$L$7:$L$2010,"02",'LAC 102_Wkst'!$N$7:$N$2010,"P3")</f>
        <v>0</v>
      </c>
      <c r="G37" s="409">
        <f>SUMIFS('LAC 102_Wkst'!$AF$7:$AF$2010,'LAC 102_Wkst'!$D$7:$D$2010,$C$7,'LAC 102_Wkst'!$I$7:$I$2010,$C$9,'LAC 102_Wkst'!$E$7:$E$2010,$C37,'LAC 102_Wkst'!$G$7:$G$2010,$D37,'LAC 102_Wkst'!$L$7:$L$2010,"01",'LAC 102_Wkst'!$N$7:$N$2010,"P1")+SUMIFS('LAC 102_Wkst'!$AF$7:$AF$2010,'LAC 102_Wkst'!$D$7:$D$2010,$C$7,'LAC 102_Wkst'!$I$7:$I$2010,$C$9,'LAC 102_Wkst'!$E$7:$E$2010,$C37,'LAC 102_Wkst'!$G$7:$G$2010,$D37,'LAC 102_Wkst'!$L$7:$L$2010,"01",'LAC 102_Wkst'!$N$7:$N$2010,"P2")+SUMIFS('LAC 102_Wkst'!$AF$7:$AF$2010,'LAC 102_Wkst'!$D$7:$D$2010,$C$7,'LAC 102_Wkst'!$I$7:$I$2010,$C$9,'LAC 102_Wkst'!$E$7:$E$2010,$C37,'LAC 102_Wkst'!$G$7:$G$2010,$D37,'LAC 102_Wkst'!$L$7:$L$2010,"01",'LAC 102_Wkst'!$N$7:$N$2010,"P3")+SUMIFS('LAC 102_Wkst'!$AF$7:$AF$2010,'LAC 102_Wkst'!$D$7:$D$2010,$C$7,'LAC 102_Wkst'!$I$7:$I$2010,$C$9,'LAC 102_Wkst'!$E$7:$E$2010,$C37,'LAC 102_Wkst'!$G$7:$G$2010,$D37,'LAC 102_Wkst'!$L$7:$L$2010,"02",'LAC 102_Wkst'!$N$7:$N$2010,"P1")+SUMIFS('LAC 102_Wkst'!$AF$7:$AF$2010,'LAC 102_Wkst'!$D$7:$D$2010,$C$7,'LAC 102_Wkst'!$I$7:$I$2010,$C$9,'LAC 102_Wkst'!$E$7:$E$2010,$C37,'LAC 102_Wkst'!$G$7:$G$2010,$D37,'LAC 102_Wkst'!$L$7:$L$2010,"02",'LAC 102_Wkst'!$N$7:$N$2010,"P2")+SUMIFS('LAC 102_Wkst'!$AF$7:$AF$2010,'LAC 102_Wkst'!$D$7:$D$2010,$C$7,'LAC 102_Wkst'!$I$7:$I$2010,$C$9,'LAC 102_Wkst'!$E$7:$E$2010,$C37,'LAC 102_Wkst'!$G$7:$G$2010,$D37,'LAC 102_Wkst'!$L$7:$L$2010,"02",'LAC 102_Wkst'!$N$7:$N$2010,"P3")</f>
        <v>0</v>
      </c>
      <c r="H37" s="410">
        <f>SUMIFS('LAC 102_Wkst'!$Q$7:$Q$2010,'LAC 102_Wkst'!$D$7:$D$2010,$C$7,'LAC 102_Wkst'!$I$7:$I$2010,$C$9,'LAC 102_Wkst'!$E$7:$E$2010,$C37,'LAC 102_Wkst'!$G$7:$G$2010,$D37,'LAC 102_Wkst'!$L$7:$L$2010,"01",'LAC 102_Wkst'!$N$7:$N$2010,"P4")+SUMIFS('LAC 102_Wkst'!$Q$7:$Q$2010,'LAC 102_Wkst'!$D$7:$D$2010,$C$7,'LAC 102_Wkst'!$I$7:$I$2010,$C$9,'LAC 102_Wkst'!$E$7:$E$2010,$C37,'LAC 102_Wkst'!$G$7:$G$2010,$D37,'LAC 102_Wkst'!$L$7:$L$2010,"02",'LAC 102_Wkst'!$N$7:$N$2010,"P4")</f>
        <v>0</v>
      </c>
      <c r="I37" s="411">
        <f>SUMIFS('LAC 102_Wkst'!$AF$7:$AF$2010,'LAC 102_Wkst'!$D$7:$D$2010,$C$7,'LAC 102_Wkst'!$I$7:$I$2010,$C$9,'LAC 102_Wkst'!$E$7:$E$2010,$C37,'LAC 102_Wkst'!$G$7:$G$2010,$D37,'LAC 102_Wkst'!$L$7:$L$2010,"01",'LAC 102_Wkst'!$N$7:$N$2010,"P4")+SUMIFS('LAC 102_Wkst'!$AF$7:$AF$2010,'LAC 102_Wkst'!$D$7:$D$2010,$C$7,'LAC 102_Wkst'!$I$7:$I$2010,$C$9,'LAC 102_Wkst'!$E$7:$E$2010,$C37,'LAC 102_Wkst'!$G$7:$G$2010,$D37,'LAC 102_Wkst'!$L$7:$L$2010,"02",'LAC 102_Wkst'!$N$7:$N$2010,"P4")</f>
        <v>0</v>
      </c>
      <c r="J37" s="410">
        <f>SUMIFS('LAC 102_Wkst'!$Q$7:$Q$2010,'LAC 102_Wkst'!$D$7:$D$2010,$C$7,'LAC 102_Wkst'!$I$7:$I$2010,$C$9,'LAC 102_Wkst'!$E$7:$E$2010,$C37,'LAC 102_Wkst'!$G$7:$G$2010,$D37,'LAC 102_Wkst'!$L$7:$L$2010,"01",'LAC 102_Wkst'!$N$7:$N$2010,"P5")+SUMIFS('LAC 102_Wkst'!$Q$7:$Q$2010,'LAC 102_Wkst'!$D$7:$D$2010,$C$7,'LAC 102_Wkst'!$I$7:$I$2010,$C$9,'LAC 102_Wkst'!$E$7:$E$2010,$C37,'LAC 102_Wkst'!$G$7:$G$2010,$D37,'LAC 102_Wkst'!$L$7:$L$2010,"02",'LAC 102_Wkst'!$N$7:$N$2010,"P5")</f>
        <v>0</v>
      </c>
      <c r="K37" s="411">
        <f>SUMIFS('LAC 102_Wkst'!$AF$7:$AF$2010,'LAC 102_Wkst'!$D$7:$D$2010,$C$7,'LAC 102_Wkst'!$I$7:$I$2010,$C$9,'LAC 102_Wkst'!$E$7:$E$2010,$C37,'LAC 102_Wkst'!$G$7:$G$2010,$D37,'LAC 102_Wkst'!$L$7:$L$2010,"01",'LAC 102_Wkst'!$N$7:$N$2010,"P5")+SUMIFS('LAC 102_Wkst'!$AF$7:$AF$2010,'LAC 102_Wkst'!$D$7:$D$2010,$C$7,'LAC 102_Wkst'!$I$7:$I$2010,$C$9,'LAC 102_Wkst'!$E$7:$E$2010,$C37,'LAC 102_Wkst'!$G$7:$G$2010,$D37,'LAC 102_Wkst'!$L$7:$L$2010,"02",'LAC 102_Wkst'!$N$7:$N$2010,"P5")</f>
        <v>0</v>
      </c>
      <c r="L37" s="410">
        <f>SUMIFS('LAC 102_Wkst'!$Q$7:$Q$2010,'LAC 102_Wkst'!$D$7:$D$2010,$C$7,'LAC 102_Wkst'!$I$7:$I$2010,$C$9,'LAC 102_Wkst'!$E$7:$E$2010,$C37,'LAC 102_Wkst'!$G$7:$G$2010,$D37,'LAC 102_Wkst'!$L$7:$L$2010,"03",'LAC 102_Wkst'!$N$7:$N$2010,"P1")+SUMIFS('LAC 102_Wkst'!$Q$7:$Q$2010,'LAC 102_Wkst'!$D$7:$D$2010,$C$7,'LAC 102_Wkst'!$I$7:$I$2010,$C$9,'LAC 102_Wkst'!$E$7:$E$2010,$C37,'LAC 102_Wkst'!$G$7:$G$2010,$D37,'LAC 102_Wkst'!$L$7:$L$2010,"03",'LAC 102_Wkst'!$N$7:$N$2010,"P2")+SUMIFS('LAC 102_Wkst'!$Q$7:$Q$2010,'LAC 102_Wkst'!$D$7:$D$2010,$C$7,'LAC 102_Wkst'!$I$7:$I$2010,$C$9,'LAC 102_Wkst'!$E$7:$E$2010,$C37,'LAC 102_Wkst'!$G$7:$G$2010,$D37,'LAC 102_Wkst'!$L$7:$L$2010,"03",'LAC 102_Wkst'!$N$7:$N$2010,"P3")+SUMIFS('LAC 102_Wkst'!$Q$7:$Q$2010,'LAC 102_Wkst'!$D$7:$D$2010,$C$7,'LAC 102_Wkst'!$I$7:$I$2010,$C$9,'LAC 102_Wkst'!$E$7:$E$2010,$C37,'LAC 102_Wkst'!$G$7:$G$2010,$D37,'LAC 102_Wkst'!$L$7:$L$2010,"04",'LAC 102_Wkst'!$N$7:$N$2010,"P1")+SUMIFS('LAC 102_Wkst'!$Q$7:$Q$2010,'LAC 102_Wkst'!$D$7:$D$2010,$C$7,'LAC 102_Wkst'!$I$7:$I$2010,$C$9,'LAC 102_Wkst'!$E$7:$E$2010,$C37,'LAC 102_Wkst'!$G$7:$G$2010,$D37,'LAC 102_Wkst'!$L$7:$L$2010,"04",'LAC 102_Wkst'!$N$7:$N$2010,"P2")+SUMIFS('LAC 102_Wkst'!$Q$7:$Q$2010,'LAC 102_Wkst'!$D$7:$D$2010,$C$7,'LAC 102_Wkst'!$I$7:$I$2010,$C$9,'LAC 102_Wkst'!$E$7:$E$2010,$C37,'LAC 102_Wkst'!$G$7:$G$2010,$D37,'LAC 102_Wkst'!$L$7:$L$2010,"04",'LAC 102_Wkst'!$N$7:$N$2010,"P3")</f>
        <v>0</v>
      </c>
      <c r="M37" s="411">
        <f>SUMIFS('LAC 102_Wkst'!$AF$7:$AF$2010,'LAC 102_Wkst'!$D$7:$D$2010,$C$7,'LAC 102_Wkst'!$I$7:$I$2010,$C$9,'LAC 102_Wkst'!$E$7:$E$2010,$C37,'LAC 102_Wkst'!$G$7:$G$2010,$D37,'LAC 102_Wkst'!$L$7:$L$2010,"03",'LAC 102_Wkst'!$N$7:$N$2010,"P1")+SUMIFS('LAC 102_Wkst'!$AF$7:$AF$2010,'LAC 102_Wkst'!$D$7:$D$2010,$C$7,'LAC 102_Wkst'!$I$7:$I$2010,$C$9,'LAC 102_Wkst'!$E$7:$E$2010,$C37,'LAC 102_Wkst'!$G$7:$G$2010,$D37,'LAC 102_Wkst'!$L$7:$L$2010,"03",'LAC 102_Wkst'!$N$7:$N$2010,"P2")+SUMIFS('LAC 102_Wkst'!$AF$7:$AF$2010,'LAC 102_Wkst'!$D$7:$D$2010,$C$7,'LAC 102_Wkst'!$I$7:$I$2010,$C$9,'LAC 102_Wkst'!$E$7:$E$2010,$C37,'LAC 102_Wkst'!$G$7:$G$2010,$D37,'LAC 102_Wkst'!$L$7:$L$2010,"03",'LAC 102_Wkst'!$N$7:$N$2010,"P3")+SUMIFS('LAC 102_Wkst'!$AF$7:$AF$2010,'LAC 102_Wkst'!$D$7:$D$2010,$C$7,'LAC 102_Wkst'!$I$7:$I$2010,$C$9,'LAC 102_Wkst'!$E$7:$E$2010,$C37,'LAC 102_Wkst'!$G$7:$G$2010,$D37,'LAC 102_Wkst'!$L$7:$L$2010,"04",'LAC 102_Wkst'!$N$7:$N$2010,"P1")+SUMIFS('LAC 102_Wkst'!$AF$7:$AF$2010,'LAC 102_Wkst'!$D$7:$D$2010,$C$7,'LAC 102_Wkst'!$I$7:$I$2010,$C$9,'LAC 102_Wkst'!$E$7:$E$2010,$C37,'LAC 102_Wkst'!$G$7:$G$2010,$D37,'LAC 102_Wkst'!$L$7:$L$2010,"04",'LAC 102_Wkst'!$N$7:$N$2010,"P2")+SUMIFS('LAC 102_Wkst'!$AF$7:$AF$2010,'LAC 102_Wkst'!$D$7:$D$2010,$C$7,'LAC 102_Wkst'!$I$7:$I$2010,$C$9,'LAC 102_Wkst'!$E$7:$E$2010,$C37,'LAC 102_Wkst'!$G$7:$G$2010,$D37,'LAC 102_Wkst'!$L$7:$L$2010,"04",'LAC 102_Wkst'!$N$7:$N$2010,"P3")</f>
        <v>0</v>
      </c>
      <c r="N37" s="410">
        <f>SUMIFS('LAC 102_Wkst'!$Q$7:$Q$2010,'LAC 102_Wkst'!$D$7:$D$2010,$C$7,'LAC 102_Wkst'!$I$7:$I$2010,$C$9,'LAC 102_Wkst'!$E$7:$E$2010,$C37,'LAC 102_Wkst'!$G$7:$G$2010,$D37,'LAC 102_Wkst'!$L$7:$L$2010,"03",'LAC 102_Wkst'!$N$7:$N$2010,"P4")+SUMIFS('LAC 102_Wkst'!$Q$7:$Q$2010,'LAC 102_Wkst'!$D$7:$D$2010,$C$7,'LAC 102_Wkst'!$I$7:$I$2010,$C$9,'LAC 102_Wkst'!$E$7:$E$2010,$C37,'LAC 102_Wkst'!$G$7:$G$2010,$D37,'LAC 102_Wkst'!$L$7:$L$2010,"04",'LAC 102_Wkst'!$N$7:$N$2010,"P4")</f>
        <v>0</v>
      </c>
      <c r="O37" s="411">
        <f>SUMIFS('LAC 102_Wkst'!$AF$7:$AF$2010,'LAC 102_Wkst'!$D$7:$D$2010,$C$7,'LAC 102_Wkst'!$I$7:$I$2010,$C$9,'LAC 102_Wkst'!$E$7:$E$2010,$C37,'LAC 102_Wkst'!$G$7:$G$2010,$D37,'LAC 102_Wkst'!$L$7:$L$2010,"03",'LAC 102_Wkst'!$N$7:$N$2010,"P4")+SUMIFS('LAC 102_Wkst'!$AF$7:$AF$2010,'LAC 102_Wkst'!$D$7:$D$2010,$C$7,'LAC 102_Wkst'!$I$7:$I$2010,$C$9,'LAC 102_Wkst'!$E$7:$E$2010,$C37,'LAC 102_Wkst'!$G$7:$G$2010,$D37,'LAC 102_Wkst'!$L$7:$L$2010,"04",'LAC 102_Wkst'!$N$7:$N$2010,"P4")</f>
        <v>0</v>
      </c>
      <c r="P37" s="410">
        <f>SUMIFS('LAC 102_Wkst'!$Q$7:$Q$2010,'LAC 102_Wkst'!$D$7:$D$2010,$C$7,'LAC 102_Wkst'!$I$7:$I$2010,$C$9,'LAC 102_Wkst'!$E$7:$E$2010,$C37,'LAC 102_Wkst'!$G$7:$G$2010,$D37,'LAC 102_Wkst'!$L$7:$L$2010,"03",'LAC 102_Wkst'!$N$7:$N$2010,"P5")+SUMIFS('LAC 102_Wkst'!$Q$7:$Q$2010,'LAC 102_Wkst'!$D$7:$D$2010,$C$7,'LAC 102_Wkst'!$I$7:$I$2010,$C$9,'LAC 102_Wkst'!$E$7:$E$2010,$C37,'LAC 102_Wkst'!$G$7:$G$2010,$D37,'LAC 102_Wkst'!$L$7:$L$2010,"04",'LAC 102_Wkst'!$N$7:$N$2010,"P5")</f>
        <v>0</v>
      </c>
      <c r="Q37" s="411">
        <f>SUMIFS('LAC 102_Wkst'!$AF$7:$AF$2010,'LAC 102_Wkst'!$D$7:$D$2010,$C$7,'LAC 102_Wkst'!$I$7:$I$2010,$C$9,'LAC 102_Wkst'!$E$7:$E$2010,$C37,'LAC 102_Wkst'!$G$7:$G$2010,$D37,'LAC 102_Wkst'!$L$7:$L$2010,"03",'LAC 102_Wkst'!$N$7:$N$2010,"P5")+SUMIFS('LAC 102_Wkst'!$AF$7:$AF$2010,'LAC 102_Wkst'!$D$7:$D$2010,$C$7,'LAC 102_Wkst'!$I$7:$I$2010,$C$9,'LAC 102_Wkst'!$E$7:$E$2010,$C37,'LAC 102_Wkst'!$G$7:$G$2010,$D37,'LAC 102_Wkst'!$L$7:$L$2010,"04",'LAC 102_Wkst'!$N$7:$N$2010,"P5")</f>
        <v>0</v>
      </c>
      <c r="R37" s="412">
        <f>SUMIFS('LAC 102_Wkst'!$Q$7:$Q$2010,'LAC 102_Wkst'!$D$7:$D$2010,$C$7,'LAC 102_Wkst'!$I$7:$I$2010,$C$9,'LAC 102_Wkst'!$E$7:$E$2010,$C37,'LAC 102_Wkst'!$G$7:$G$2010,$D37,'LAC 102_Wkst'!$L$7:$L$2010,"05",'LAC 102_Wkst'!$N$7:$N$2010,"P1")+SUMIFS('LAC 102_Wkst'!$Q$7:$Q$2010,'LAC 102_Wkst'!$D$7:$D$2010,$C$7,'LAC 102_Wkst'!$I$7:$I$2010,$C$9,'LAC 102_Wkst'!$E$7:$E$2010,$C37,'LAC 102_Wkst'!$G$7:$G$2010,$D37,'LAC 102_Wkst'!$L$7:$L$2010,"06",'LAC 102_Wkst'!$N$7:$N$2010,"P1")</f>
        <v>0</v>
      </c>
      <c r="S37" s="411">
        <f>SUMIFS('LAC 102_Wkst'!$AF$7:$AF$2010,'LAC 102_Wkst'!$D$7:$D$2010,$C$7,'LAC 102_Wkst'!$I$7:$I$2010,$C$9,'LAC 102_Wkst'!$E$7:$E$2010,$C37,'LAC 102_Wkst'!$G$7:$G$2010,$D37,'LAC 102_Wkst'!$L$7:$L$2010,"05",'LAC 102_Wkst'!$N$7:$N$2010,"P1")+SUMIFS('LAC 102_Wkst'!$AF$7:$AF$2010,'LAC 102_Wkst'!$D$7:$D$2010,$C$7,'LAC 102_Wkst'!$I$7:$I$2010,$C$9,'LAC 102_Wkst'!$E$7:$E$2010,$C37,'LAC 102_Wkst'!$G$7:$G$2010,$D37,'LAC 102_Wkst'!$L$7:$L$2010,"06",'LAC 102_Wkst'!$N$7:$N$2010,"P1")</f>
        <v>0</v>
      </c>
      <c r="T37" s="410">
        <f>SUMIFS('LAC 102_Wkst'!$Q$7:$Q$2010,'LAC 102_Wkst'!$D$7:$D$2010,$C$7,'LAC 102_Wkst'!$I$7:$I$2010,$C$9,'LAC 102_Wkst'!$E$7:$E$2010,$C37,'LAC 102_Wkst'!$G$7:$G$2010,$D37,'LAC 102_Wkst'!$L$7:$L$2010,"05",'LAC 102_Wkst'!$N$7:$N$2010,"P2")+SUMIFS('LAC 102_Wkst'!$Q$7:$Q$2010,'LAC 102_Wkst'!$D$7:$D$2010,$C$7,'LAC 102_Wkst'!$I$7:$I$2010,$C$9,'LAC 102_Wkst'!$E$7:$E$2010,$C37,'LAC 102_Wkst'!$G$7:$G$2010,$D37,'LAC 102_Wkst'!$L$7:$L$2010,"06",'LAC 102_Wkst'!$N$7:$N$2010,"P2")+SUMIFS('LAC 102_Wkst'!$Q$7:$Q$2010,'LAC 102_Wkst'!$D$7:$D$2010,$C$7,'LAC 102_Wkst'!$I$7:$I$2010,$C$9,'LAC 102_Wkst'!$E$7:$E$2010,$C37,'LAC 102_Wkst'!$G$7:$G$2010,$D37,'LAC 102_Wkst'!$L$7:$L$2010,"05",'LAC 102_Wkst'!$N$7:$N$2010,"P3")+SUMIFS('LAC 102_Wkst'!$Q$7:$Q$2010,'LAC 102_Wkst'!$D$7:$D$2010,$C$7,'LAC 102_Wkst'!$I$7:$I$2010,$C$9,'LAC 102_Wkst'!$E$7:$E$2010,$C37,'LAC 102_Wkst'!$G$7:$G$2010,$D37,'LAC 102_Wkst'!$L$7:$L$2010,"06",'LAC 102_Wkst'!$N$7:$N$2010,"P3")</f>
        <v>0</v>
      </c>
      <c r="U37" s="411">
        <f>SUMIFS('LAC 102_Wkst'!$AF$7:$AF$2010,'LAC 102_Wkst'!$D$7:$D$2010,$C$7,'LAC 102_Wkst'!$I$7:$I$2010,$C$9,'LAC 102_Wkst'!$E$7:$E$2010,$C37,'LAC 102_Wkst'!$G$7:$G$2010,$D37,'LAC 102_Wkst'!$L$7:$L$2010,"05",'LAC 102_Wkst'!$N$7:$N$2010,"P2")+SUMIFS('LAC 102_Wkst'!$AF$7:$AF$2010,'LAC 102_Wkst'!$D$7:$D$2010,$C$7,'LAC 102_Wkst'!$I$7:$I$2010,$C$9,'LAC 102_Wkst'!$E$7:$E$2010,$C37,'LAC 102_Wkst'!$G$7:$G$2010,$D37,'LAC 102_Wkst'!$L$7:$L$2010,"06",'LAC 102_Wkst'!$N$7:$N$2010,"P2")+SUMIFS('LAC 102_Wkst'!$AF$7:$AF$2010,'LAC 102_Wkst'!$D$7:$D$2010,$C$7,'LAC 102_Wkst'!$I$7:$I$2010,$C$9,'LAC 102_Wkst'!$E$7:$E$2010,$C37,'LAC 102_Wkst'!$G$7:$G$2010,$D37,'LAC 102_Wkst'!$L$7:$L$2010,"05",'LAC 102_Wkst'!$N$7:$N$2010,"P3")+SUMIFS('LAC 102_Wkst'!$AF$7:$AF$2010,'LAC 102_Wkst'!$D$7:$D$2010,$C$7,'LAC 102_Wkst'!$I$7:$I$2010,$C$9,'LAC 102_Wkst'!$E$7:$E$2010,$C37,'LAC 102_Wkst'!$G$7:$G$2010,$D37,'LAC 102_Wkst'!$L$7:$L$2010,"06",'LAC 102_Wkst'!$N$7:$N$2010,"P3")</f>
        <v>0</v>
      </c>
      <c r="V37" s="410">
        <f>SUMIFS('LAC 102_Wkst'!$Q$7:$Q$2010,'LAC 102_Wkst'!$D$7:$D$2010,$C$7,'LAC 102_Wkst'!$I$7:$I$2010,$C$9,'LAC 102_Wkst'!$E$7:$E$2010,$C37,'LAC 102_Wkst'!$G$7:$G$2010,$D37,'LAC 102_Wkst'!$L$7:$L$2010,"05",'LAC 102_Wkst'!$N$7:$N$2010,"P4")+SUMIFS('LAC 102_Wkst'!$Q$7:$Q$2010,'LAC 102_Wkst'!$D$7:$D$2010,$C$7,'LAC 102_Wkst'!$I$7:$I$2010,$C$9,'LAC 102_Wkst'!$E$7:$E$2010,$C37,'LAC 102_Wkst'!$G$7:$G$2010,$D37,'LAC 102_Wkst'!$L$7:$L$2010,"06",'LAC 102_Wkst'!$N$7:$N$2010,"P4")</f>
        <v>0</v>
      </c>
      <c r="W37" s="411">
        <f>SUMIFS('LAC 102_Wkst'!$AF$7:$AF$2010,'LAC 102_Wkst'!$D$7:$D$2010,$C$7,'LAC 102_Wkst'!$I$7:$I$2010,$C$9,'LAC 102_Wkst'!$E$7:$E$2010,$C37,'LAC 102_Wkst'!$G$7:$G$2010,$D37,'LAC 102_Wkst'!$L$7:$L$2010,"05",'LAC 102_Wkst'!$N$7:$N$2010,"P4")+SUMIFS('LAC 102_Wkst'!$AF$7:$AF$2010,'LAC 102_Wkst'!$D$7:$D$2010,$C$7,'LAC 102_Wkst'!$I$7:$I$2010,$C$9,'LAC 102_Wkst'!$E$7:$E$2010,$C37,'LAC 102_Wkst'!$G$7:$G$2010,$D37,'LAC 102_Wkst'!$L$7:$L$2010,"06",'LAC 102_Wkst'!$N$7:$N$2010,"P4")</f>
        <v>0</v>
      </c>
      <c r="X37" s="410">
        <f>SUMIFS('LAC 102_Wkst'!$Q$7:$Q$2010,'LAC 102_Wkst'!$D$7:$D$2010,$C$7,'LAC 102_Wkst'!$I$7:$I$2010,$C$9,'LAC 102_Wkst'!$E$7:$E$2010,$C37,'LAC 102_Wkst'!$G$7:$G$2010,$D37,'LAC 102_Wkst'!$L$7:$L$2010,"05",'LAC 102_Wkst'!$N$7:$N$2010,"P5")+SUMIFS('LAC 102_Wkst'!$Q$7:$Q$2010,'LAC 102_Wkst'!$D$7:$D$2010,$C$7,'LAC 102_Wkst'!$I$7:$I$2010,$C$9,'LAC 102_Wkst'!$E$7:$E$2010,$C37,'LAC 102_Wkst'!$G$7:$G$2010,$D37,'LAC 102_Wkst'!$L$7:$L$2010,"06",'LAC 102_Wkst'!$N$7:$N$2010,"P5")</f>
        <v>0</v>
      </c>
      <c r="Y37" s="411">
        <f>SUMIFS('LAC 102_Wkst'!$AF$7:$AF$2010,'LAC 102_Wkst'!$D$7:$D$2010,$C$7,'LAC 102_Wkst'!$I$7:$I$2010,$C$9,'LAC 102_Wkst'!$E$7:$E$2010,$C37,'LAC 102_Wkst'!$G$7:$G$2010,$D37,'LAC 102_Wkst'!$L$7:$L$2010,"05",'LAC 102_Wkst'!$N$7:$N$2010,"P5")+SUMIFS('LAC 102_Wkst'!$AF$7:$AF$2010,'LAC 102_Wkst'!$D$7:$D$2010,$C$7,'LAC 102_Wkst'!$I$7:$I$2010,$C$9,'LAC 102_Wkst'!$E$7:$E$2010,$C37,'LAC 102_Wkst'!$G$7:$G$2010,$D37,'LAC 102_Wkst'!$L$7:$L$2010,"06",'LAC 102_Wkst'!$N$7:$N$2010,"P5")</f>
        <v>0</v>
      </c>
      <c r="Z37" s="410">
        <f>SUMIFS('LAC 102_Wkst'!$Q$7:$Q$2010,'LAC 102_Wkst'!$D$7:$D$2010,$C$7,'LAC 102_Wkst'!$I$7:$I$2010,$C$9,'LAC 102_Wkst'!$E$7:$E$2010,$C37,'LAC 102_Wkst'!$G$7:$G$2010,$D37,'LAC 102_Wkst'!$L$7:$L$2010,"07",'LAC 102_Wkst'!$N$7:$N$2010,"P1")+SUMIFS('LAC 102_Wkst'!$Q$7:$Q$2010,'LAC 102_Wkst'!$D$7:$D$2010,$C$7,'LAC 102_Wkst'!$I$7:$I$2010,$C$9,'LAC 102_Wkst'!$E$7:$E$2010,$C37,'LAC 102_Wkst'!$G$7:$G$2010,$D37,'LAC 102_Wkst'!$L$7:$L$2010,"07",'LAC 102_Wkst'!$N$7:$N$2010,"P2")+SUMIFS('LAC 102_Wkst'!$Q$7:$Q$2010,'LAC 102_Wkst'!$D$7:$D$2010,$C$7,'LAC 102_Wkst'!$I$7:$I$2010,$C$9,'LAC 102_Wkst'!$E$7:$E$2010,$C37,'LAC 102_Wkst'!$G$7:$G$2010,$D37,'LAC 102_Wkst'!$L$7:$L$2010,"07",'LAC 102_Wkst'!$N$7:$N$2010,"P3")</f>
        <v>0</v>
      </c>
      <c r="AA37" s="411">
        <f>SUMIFS('LAC 102_Wkst'!$AF$7:$AF$2010,'LAC 102_Wkst'!$D$7:$D$2010,$C$7,'LAC 102_Wkst'!$I$7:$I$2010,$C$9,'LAC 102_Wkst'!$E$7:$E$2010,$C37,'LAC 102_Wkst'!$G$7:$G$2010,$D37,'LAC 102_Wkst'!$L$7:$L$2010,"07",'LAC 102_Wkst'!$N$7:$N$2010,"P1")+SUMIFS('LAC 102_Wkst'!$AF$7:$AF$2010,'LAC 102_Wkst'!$D$7:$D$2010,$C$7,'LAC 102_Wkst'!$I$7:$I$2010,$C$9,'LAC 102_Wkst'!$E$7:$E$2010,$C37,'LAC 102_Wkst'!$G$7:$G$2010,$D37,'LAC 102_Wkst'!$L$7:$L$2010,"07",'LAC 102_Wkst'!$N$7:$N$2010,"P2")+SUMIFS('LAC 102_Wkst'!$AF$7:$AF$2010,'LAC 102_Wkst'!$D$7:$D$2010,$C$7,'LAC 102_Wkst'!$I$7:$I$2010,$C$9,'LAC 102_Wkst'!$E$7:$E$2010,$C37,'LAC 102_Wkst'!$G$7:$G$2010,$D37,'LAC 102_Wkst'!$L$7:$L$2010,"07",'LAC 102_Wkst'!$N$7:$N$2010,"P3")</f>
        <v>0</v>
      </c>
      <c r="AB37" s="410">
        <f>SUMIFS('LAC 102_Wkst'!$Q$7:$Q$2010,'LAC 102_Wkst'!$D$7:$D$2010,$C$7,'LAC 102_Wkst'!$I$7:$I$2010,$C$9,'LAC 102_Wkst'!$E$7:$E$2010,$C37,'LAC 102_Wkst'!$G$7:$G$2010,$D37,'LAC 102_Wkst'!$L$7:$L$2010,"07",'LAC 102_Wkst'!$N$7:$N$2010,"P4")</f>
        <v>0</v>
      </c>
      <c r="AC37" s="411">
        <f>SUMIFS('LAC 102_Wkst'!$AF$7:$AF$2010,'LAC 102_Wkst'!$D$7:$D$2010,$C$7,'LAC 102_Wkst'!$I$7:$I$2010,$C$9,'LAC 102_Wkst'!$E$7:$E$2010,$C37,'LAC 102_Wkst'!$G$7:$G$2010,$D37,'LAC 102_Wkst'!$L$7:$L$2010,"07",'LAC 102_Wkst'!$N$7:$N$2010,"P4")</f>
        <v>0</v>
      </c>
      <c r="AD37" s="410">
        <f>SUMIFS('LAC 102_Wkst'!$Q$7:$Q$2010,'LAC 102_Wkst'!$D$7:$D$2010,$C$7,'LAC 102_Wkst'!$I$7:$I$2010,$C$9,'LAC 102_Wkst'!$E$7:$E$2010,$C37,'LAC 102_Wkst'!$G$7:$G$2010,$D37,'LAC 102_Wkst'!$L$7:$L$2010,"07",'LAC 102_Wkst'!$N$7:$N$2010,"P5")</f>
        <v>0</v>
      </c>
      <c r="AE37" s="411">
        <f>SUMIFS('LAC 102_Wkst'!$AF$7:$AF$2010,'LAC 102_Wkst'!$D$7:$D$2010,$C$7,'LAC 102_Wkst'!$I$7:$I$2010,$C$9,'LAC 102_Wkst'!$E$7:$E$2010,$C37,'LAC 102_Wkst'!$G$7:$G$2010,$D37,'LAC 102_Wkst'!$L$7:$L$2010,"07",'LAC 102_Wkst'!$N$7:$N$2010,"P5")</f>
        <v>0</v>
      </c>
      <c r="AF37" s="410">
        <f>SUMIFS('LAC 102_Wkst'!$Q$7:$Q$2010,'LAC 102_Wkst'!$D$7:$D$2010,$C$7,'LAC 102_Wkst'!$I$7:$I$2010,$C$9,'LAC 102_Wkst'!$E$7:$E$2010,$C37,'LAC 102_Wkst'!$G$7:$G$2010,$D37,'LAC 102_Wkst'!$L$7:$L$2010,"08",'LAC 102_Wkst'!$N$7:$N$2010,"P1")+SUMIFS('LAC 102_Wkst'!$Q$7:$Q$2010,'LAC 102_Wkst'!$D$7:$D$2010,$C$7,'LAC 102_Wkst'!$I$7:$I$2010,$C$9,'LAC 102_Wkst'!$E$7:$E$2010,$C37,'LAC 102_Wkst'!$G$7:$G$2010,$D37,'LAC 102_Wkst'!$L$7:$L$2010,"08",'LAC 102_Wkst'!$N$7:$N$2010,"P2")+SUMIFS('LAC 102_Wkst'!$Q$7:$Q$2010,'LAC 102_Wkst'!$D$7:$D$2010,$C$7,'LAC 102_Wkst'!$I$7:$I$2010,$C$9,'LAC 102_Wkst'!$E$7:$E$2010,$C37,'LAC 102_Wkst'!$G$7:$G$2010,$D37,'LAC 102_Wkst'!$L$7:$L$2010,"08",'LAC 102_Wkst'!$N$7:$N$2010,"P3")</f>
        <v>0</v>
      </c>
      <c r="AG37" s="411">
        <f>SUMIFS('LAC 102_Wkst'!$AF$7:$AF$2010,'LAC 102_Wkst'!$D$7:$D$2010,$C$7,'LAC 102_Wkst'!$I$7:$I$2010,$C$9,'LAC 102_Wkst'!$E$7:$E$2010,$C37,'LAC 102_Wkst'!$G$7:$G$2010,$D37,'LAC 102_Wkst'!$L$7:$L$2010,"08",'LAC 102_Wkst'!$N$7:$N$2010,"P1")+SUMIFS('LAC 102_Wkst'!$AF$7:$AF$2010,'LAC 102_Wkst'!$D$7:$D$2010,$C$7,'LAC 102_Wkst'!$I$7:$I$2010,$C$9,'LAC 102_Wkst'!$E$7:$E$2010,$C37,'LAC 102_Wkst'!$G$7:$G$2010,$D37,'LAC 102_Wkst'!$L$7:$L$2010,"08",'LAC 102_Wkst'!$N$7:$N$2010,"P2")+SUMIFS('LAC 102_Wkst'!$AF$7:$AF$2010,'LAC 102_Wkst'!$D$7:$D$2010,$C$7,'LAC 102_Wkst'!$I$7:$I$2010,$C$9,'LAC 102_Wkst'!$E$7:$E$2010,$C37,'LAC 102_Wkst'!$G$7:$G$2010,$D37,'LAC 102_Wkst'!$L$7:$L$2010,"08",'LAC 102_Wkst'!$N$7:$N$2010,"P3")</f>
        <v>0</v>
      </c>
      <c r="AH37" s="410">
        <f>SUMIFS('LAC 102_Wkst'!$Q$7:$Q$2010,'LAC 102_Wkst'!$D$7:$D$2010,$C$7,'LAC 102_Wkst'!$I$7:$I$2010,$C$9,'LAC 102_Wkst'!$E$7:$E$2010,$C37,'LAC 102_Wkst'!$G$7:$G$2010,$D37,'LAC 102_Wkst'!$L$7:$L$2010,"08",'LAC 102_Wkst'!$N$7:$N$2010,"P4")</f>
        <v>0</v>
      </c>
      <c r="AI37" s="411">
        <f>SUMIFS('LAC 102_Wkst'!$AF$7:$AF$2010,'LAC 102_Wkst'!$D$7:$D$2010,$C$7,'LAC 102_Wkst'!$I$7:$I$2010,$C$9,'LAC 102_Wkst'!$E$7:$E$2010,$C37,'LAC 102_Wkst'!$G$7:$G$2010,$D37,'LAC 102_Wkst'!$L$7:$L$2010,"08",'LAC 102_Wkst'!$N$7:$N$2010,"P4")</f>
        <v>0</v>
      </c>
      <c r="AJ37" s="410">
        <f>SUMIFS('LAC 102_Wkst'!$Q$7:$Q$2010,'LAC 102_Wkst'!$D$7:$D$2010,$C$7,'LAC 102_Wkst'!$I$7:$I$2010,$C$9,'LAC 102_Wkst'!$E$7:$E$2010,$C37,'LAC 102_Wkst'!$G$7:$G$2010,$D37,'LAC 102_Wkst'!$L$7:$L$2010,"08",'LAC 102_Wkst'!$N$7:$N$2010,"P5")</f>
        <v>0</v>
      </c>
      <c r="AK37" s="411">
        <f>SUMIFS('LAC 102_Wkst'!$AF$7:$AF$2010,'LAC 102_Wkst'!$D$7:$D$2010,$C$7,'LAC 102_Wkst'!$I$7:$I$2010,$C$9,'LAC 102_Wkst'!$E$7:$E$2010,$C37,'LAC 102_Wkst'!$G$7:$G$2010,$D37,'LAC 102_Wkst'!$L$7:$L$2010,"08",'LAC 102_Wkst'!$N$7:$N$2010,"P5")</f>
        <v>0</v>
      </c>
      <c r="AL37" s="410">
        <f>SUMIFS('LAC 102_Wkst'!$Q$7:$Q$2010,'LAC 102_Wkst'!$D$7:$D$2010,$C$7,'LAC 102_Wkst'!$I$7:$I$2010,$C$9,'LAC 102_Wkst'!$E$7:$E$2010,$C37,'LAC 102_Wkst'!$G$7:$G$2010,$D37,'LAC 102_Wkst'!$L$7:$L$2010,"09",'LAC 102_Wkst'!$N$7:$N$2010,"P1")+SUMIFS('LAC 102_Wkst'!$Q$7:$Q$2010,'LAC 102_Wkst'!$D$7:$D$2010,$C$7,'LAC 102_Wkst'!$I$7:$I$2010,$C$9,'LAC 102_Wkst'!$E$7:$E$2010,$C37,'LAC 102_Wkst'!$G$7:$G$2010,$D37,'LAC 102_Wkst'!$L$7:$L$2010,"09",'LAC 102_Wkst'!$N$7:$N$2010,"P2")+SUMIFS('LAC 102_Wkst'!$Q$7:$Q$2010,'LAC 102_Wkst'!$D$7:$D$2010,$C$7,'LAC 102_Wkst'!$I$7:$I$2010,$C$9,'LAC 102_Wkst'!$E$7:$E$2010,$C37,'LAC 102_Wkst'!$G$7:$G$2010,$D37,'LAC 102_Wkst'!$L$7:$L$2010,"09",'LAC 102_Wkst'!$N$7:$N$2010,"P3")+SUMIFS('LAC 102_Wkst'!$Q$7:$Q$2010,'LAC 102_Wkst'!$D$7:$D$2010,$C$7,'LAC 102_Wkst'!$I$7:$I$2010,$C$9,'LAC 102_Wkst'!$E$7:$E$2010,$C37,'LAC 102_Wkst'!$G$7:$G$2010,$D37,'LAC 102_Wkst'!$L$7:$L$2010,"09",'LAC 102_Wkst'!$N$7:$N$2010,"P4")</f>
        <v>0</v>
      </c>
      <c r="AM37" s="411">
        <f>SUMIFS('LAC 102_Wkst'!$AF$7:$AF$2010,'LAC 102_Wkst'!$D$7:$D$2010,$C$7,'LAC 102_Wkst'!$I$7:$I$2010,$C$9,'LAC 102_Wkst'!$E$7:$E$2010,$C37,'LAC 102_Wkst'!$G$7:$G$2010,$D37,'LAC 102_Wkst'!$L$7:$L$2010,"09",'LAC 102_Wkst'!$N$7:$N$2010,"P1")+SUMIFS('LAC 102_Wkst'!$AF$7:$AF$2010,'LAC 102_Wkst'!$D$7:$D$2010,$C$7,'LAC 102_Wkst'!$I$7:$I$2010,$C$9,'LAC 102_Wkst'!$E$7:$E$2010,$C37,'LAC 102_Wkst'!$G$7:$G$2010,$D37,'LAC 102_Wkst'!$L$7:$L$2010,"09",'LAC 102_Wkst'!$N$7:$N$2010,"P2")+SUMIFS('LAC 102_Wkst'!$AF$7:$AF$2010,'LAC 102_Wkst'!$D$7:$D$2010,$C$7,'LAC 102_Wkst'!$I$7:$I$2010,$C$9,'LAC 102_Wkst'!$E$7:$E$2010,$C37,'LAC 102_Wkst'!$G$7:$G$2010,$D37,'LAC 102_Wkst'!$L$7:$L$2010,"09",'LAC 102_Wkst'!$N$7:$N$2010,"P3")+SUMIFS('LAC 102_Wkst'!$AF$7:$AF$2010,'LAC 102_Wkst'!$D$7:$D$2010,$C$7,'LAC 102_Wkst'!$I$7:$I$2010,$C$9,'LAC 102_Wkst'!$E$7:$E$2010,$C37,'LAC 102_Wkst'!$G$7:$G$2010,$D37,'LAC 102_Wkst'!$L$7:$L$2010,"09",'LAC 102_Wkst'!$N$7:$N$2010,"P4")</f>
        <v>0</v>
      </c>
      <c r="AN37" s="410">
        <f>SUMIFS('LAC 102_Wkst'!$Q$7:$Q$2010,'LAC 102_Wkst'!$D$7:$D$2010,$C$7,'LAC 102_Wkst'!$I$7:$I$2010,$C$9,'LAC 102_Wkst'!$E$7:$E$2010,$C37,'LAC 102_Wkst'!$G$7:$G$2010,$D37,'LAC 102_Wkst'!$L$7:$L$2010,"09",'LAC 102_Wkst'!$N$7:$N$2010,"P5")</f>
        <v>0</v>
      </c>
      <c r="AO37" s="411">
        <f>SUMIFS('LAC 102_Wkst'!$AF$7:$AF$2010,'LAC 102_Wkst'!$D$7:$D$2010,$C$7,'LAC 102_Wkst'!$I$7:$I$2010,$C$9,'LAC 102_Wkst'!$E$7:$E$2010,$C37,'LAC 102_Wkst'!$G$7:$G$2010,$D37,'LAC 102_Wkst'!$L$7:$L$2010,"09",'LAC 102_Wkst'!$N$7:$N$2010,"P5")</f>
        <v>0</v>
      </c>
      <c r="AP37" s="410">
        <f>SUMIFS('LAC 102_Wkst'!$Q$7:$Q$2010,'LAC 102_Wkst'!$D$7:$D$2010,$C$7,'LAC 102_Wkst'!$I$7:$I$2010,$C$9,'LAC 102_Wkst'!$E$7:$E$2010,$C37,'LAC 102_Wkst'!$G$7:$G$2010,$D37,'LAC 102_Wkst'!$L$7:$L$2010,"10",'LAC 102_Wkst'!$N$7:$N$2010,"P1")+SUMIFS('LAC 102_Wkst'!$Q$7:$Q$2010,'LAC 102_Wkst'!$D$7:$D$2010,$C$7,'LAC 102_Wkst'!$I$7:$I$2010,$C$9,'LAC 102_Wkst'!$E$7:$E$2010,$C37,'LAC 102_Wkst'!$G$7:$G$2010,$D37,'LAC 102_Wkst'!$L$7:$L$2010,"10",'LAC 102_Wkst'!$N$7:$N$2010,"P2")+SUMIFS('LAC 102_Wkst'!$Q$7:$Q$2010,'LAC 102_Wkst'!$D$7:$D$2010,$C$7,'LAC 102_Wkst'!$I$7:$I$2010,$C$9,'LAC 102_Wkst'!$E$7:$E$2010,$C37,'LAC 102_Wkst'!$G$7:$G$2010,$D37,'LAC 102_Wkst'!$L$7:$L$2010,"10",'LAC 102_Wkst'!$N$7:$N$2010,"P3")+SUMIFS('LAC 102_Wkst'!$Q$7:$Q$2010,'LAC 102_Wkst'!$D$7:$D$2010,$C$7,'LAC 102_Wkst'!$I$7:$I$2010,$C$9,'LAC 102_Wkst'!$E$7:$E$2010,$C37,'LAC 102_Wkst'!$G$7:$G$2010,$D37,'LAC 102_Wkst'!$L$7:$L$2010,"10",'LAC 102_Wkst'!$N$7:$N$2010,"P4")</f>
        <v>0</v>
      </c>
      <c r="AQ37" s="411">
        <f>SUMIFS('LAC 102_Wkst'!$AF$7:$AF$2010,'LAC 102_Wkst'!$D$7:$D$2010,$C$7,'LAC 102_Wkst'!$I$7:$I$2010,$C$9,'LAC 102_Wkst'!$E$7:$E$2010,$C37,'LAC 102_Wkst'!$G$7:$G$2010,$D37,'LAC 102_Wkst'!$L$7:$L$2010,"10",'LAC 102_Wkst'!$N$7:$N$2010,"P1")+SUMIFS('LAC 102_Wkst'!$AF$7:$AF$2010,'LAC 102_Wkst'!$D$7:$D$2010,$C$7,'LAC 102_Wkst'!$I$7:$I$2010,$C$9,'LAC 102_Wkst'!$E$7:$E$2010,$C37,'LAC 102_Wkst'!$G$7:$G$2010,$D37,'LAC 102_Wkst'!$L$7:$L$2010,"10",'LAC 102_Wkst'!$N$7:$N$2010,"P2")+SUMIFS('LAC 102_Wkst'!$AF$7:$AF$2010,'LAC 102_Wkst'!$D$7:$D$2010,$C$7,'LAC 102_Wkst'!$I$7:$I$2010,$C$9,'LAC 102_Wkst'!$E$7:$E$2010,$C37,'LAC 102_Wkst'!$G$7:$G$2010,$D37,'LAC 102_Wkst'!$L$7:$L$2010,"10",'LAC 102_Wkst'!$N$7:$N$2010,"P3")+SUMIFS('LAC 102_Wkst'!$AF$7:$AF$2010,'LAC 102_Wkst'!$D$7:$D$2010,$C$7,'LAC 102_Wkst'!$I$7:$I$2010,$C$9,'LAC 102_Wkst'!$E$7:$E$2010,$C37,'LAC 102_Wkst'!$G$7:$G$2010,$D37,'LAC 102_Wkst'!$L$7:$L$2010,"10",'LAC 102_Wkst'!$N$7:$N$2010,"P4")</f>
        <v>0</v>
      </c>
      <c r="AR37" s="410">
        <f>SUMIFS('LAC 102_Wkst'!$Q$7:$Q$2010,'LAC 102_Wkst'!$D$7:$D$2010,$C$7,'LAC 102_Wkst'!$I$7:$I$2010,$C$9,'LAC 102_Wkst'!$E$7:$E$2010,$C37,'LAC 102_Wkst'!$G$7:$G$2010,$D37,'LAC 102_Wkst'!$L$7:$L$2010,"10",'LAC 102_Wkst'!$N$7:$N$2010,"P5")</f>
        <v>0</v>
      </c>
      <c r="AS37" s="411">
        <f>SUMIFS('LAC 102_Wkst'!$AF$7:$AF$2010,'LAC 102_Wkst'!$D$7:$D$2010,$C$7,'LAC 102_Wkst'!$I$7:$I$2010,$C$9,'LAC 102_Wkst'!$E$7:$E$2010,$C37,'LAC 102_Wkst'!$G$7:$G$2010,$D37,'LAC 102_Wkst'!$L$7:$L$2010,"10",'LAC 102_Wkst'!$N$7:$N$2010,"P5")</f>
        <v>0</v>
      </c>
      <c r="AT37" s="410">
        <f>SUMIFS('LAC 102_Wkst'!$Q$7:$Q$2010,'LAC 102_Wkst'!$D$7:$D$2010,$C$7,'LAC 102_Wkst'!$I$7:$I$2010,$C$9,'LAC 102_Wkst'!$E$7:$E$2010,$C37,'LAC 102_Wkst'!$G$7:$G$2010,$D37,'LAC 102_Wkst'!$L$7:$L$2010,"11",'LAC 102_Wkst'!$N$7:$N$2010,"P1")+SUMIFS('LAC 102_Wkst'!$Q$7:$Q$2010,'LAC 102_Wkst'!$D$7:$D$2010,$C$7,'LAC 102_Wkst'!$I$7:$I$2010,$C$9,'LAC 102_Wkst'!$E$7:$E$2010,$C37,'LAC 102_Wkst'!$G$7:$G$2010,$D37,'LAC 102_Wkst'!$L$7:$L$2010,"12",'LAC 102_Wkst'!$N$7:$N$2010,"P1")</f>
        <v>0</v>
      </c>
      <c r="AU37" s="411">
        <f>SUMIFS('LAC 102_Wkst'!$Q$7:$Q$2010,'LAC 102_Wkst'!$D$7:$D$2010,$C$7,'LAC 102_Wkst'!$I$7:$I$2010,$C$9,'LAC 102_Wkst'!$E$7:$E$2010,$C37,'LAC 102_Wkst'!$G$7:$G$2010,$D37,'LAC 102_Wkst'!$L$7:$L$2010,"13",'LAC 102_Wkst'!$N$7:$N$2010,"P5")</f>
        <v>0</v>
      </c>
      <c r="AV37" s="410">
        <f>SUMIFS('LAC 102_Wkst'!$Q$7:$Q$2010,'LAC 102_Wkst'!$D$7:$D$2010,$C$7,'LAC 102_Wkst'!$I$7:$I$2010,$C$9,'LAC 102_Wkst'!$E$7:$E$2010,$C37,'LAC 102_Wkst'!$G$7:$G$2010,$D37,'LAC 102_Wkst'!$L$7:$L$2010,"11",'LAC 102_Wkst'!$N$7:$N$2010,"P2")+SUMIFS('LAC 102_Wkst'!$Q$7:$Q$2010,'LAC 102_Wkst'!$D$7:$D$2010,$C$7,'LAC 102_Wkst'!$I$7:$I$2010,$C$9,'LAC 102_Wkst'!$E$7:$E$2010,$C37,'LAC 102_Wkst'!$G$7:$G$2010,$D37,'LAC 102_Wkst'!$L$7:$L$2010,"12",'LAC 102_Wkst'!$N$7:$N$2010,"P2")+SUMIFS('LAC 102_Wkst'!$Q$7:$Q$2010,'LAC 102_Wkst'!$D$7:$D$2010,$C$7,'LAC 102_Wkst'!$I$7:$I$2010,$C$9,'LAC 102_Wkst'!$E$7:$E$2010,$C37,'LAC 102_Wkst'!$G$7:$G$2010,$D37,'LAC 102_Wkst'!$L$7:$L$2010,"11",'LAC 102_Wkst'!$N$7:$N$2010,"P3")+SUMIFS('LAC 102_Wkst'!$Q$7:$Q$2010,'LAC 102_Wkst'!$D$7:$D$2010,$C$7,'LAC 102_Wkst'!$I$7:$I$2010,$C$9,'LAC 102_Wkst'!$E$7:$E$2010,$C37,'LAC 102_Wkst'!$G$7:$G$2010,$D37,'LAC 102_Wkst'!$L$7:$L$2010,"12",'LAC 102_Wkst'!$N$7:$N$2010,"P3")</f>
        <v>0</v>
      </c>
      <c r="AW37" s="411">
        <f>SUMIFS('LAC 102_Wkst'!$AF$7:$AF$2010,'LAC 102_Wkst'!$D$7:$D$2010,$C$7,'LAC 102_Wkst'!$I$7:$I$2010,$C$9,'LAC 102_Wkst'!$E$7:$E$2010,$C37,'LAC 102_Wkst'!$G$7:$G$2010,$D37,'LAC 102_Wkst'!$L$7:$L$2010,"11",'LAC 102_Wkst'!$N$7:$N$2010,"P2")+SUMIFS('LAC 102_Wkst'!$AF$7:$AF$2010,'LAC 102_Wkst'!$D$7:$D$2010,$C$7,'LAC 102_Wkst'!$I$7:$I$2010,$C$9,'LAC 102_Wkst'!$E$7:$E$2010,$C37,'LAC 102_Wkst'!$G$7:$G$2010,$D37,'LAC 102_Wkst'!$L$7:$L$2010,"12",'LAC 102_Wkst'!$N$7:$N$2010,"P2")+SUMIFS('LAC 102_Wkst'!$AF$7:$AF$2010,'LAC 102_Wkst'!$D$7:$D$2010,$C$7,'LAC 102_Wkst'!$I$7:$I$2010,$C$9,'LAC 102_Wkst'!$E$7:$E$2010,$C37,'LAC 102_Wkst'!$G$7:$G$2010,$D37,'LAC 102_Wkst'!$L$7:$L$2010,"11",'LAC 102_Wkst'!$N$7:$N$2010,"P3")+SUMIFS('LAC 102_Wkst'!$AF$7:$AF$2010,'LAC 102_Wkst'!$D$7:$D$2010,$C$7,'LAC 102_Wkst'!$I$7:$I$2010,$C$9,'LAC 102_Wkst'!$E$7:$E$2010,$C37,'LAC 102_Wkst'!$G$7:$G$2010,$D37,'LAC 102_Wkst'!$L$7:$L$2010,"12",'LAC 102_Wkst'!$N$7:$N$2010,"P3")</f>
        <v>0</v>
      </c>
      <c r="AX37" s="410">
        <f>SUMIFS('LAC 102_Wkst'!$Q$7:$Q$2010,'LAC 102_Wkst'!$D$7:$D$2010,$C$7,'LAC 102_Wkst'!$I$7:$I$2010,$C$9,'LAC 102_Wkst'!$E$7:$E$2010,$C37,'LAC 102_Wkst'!$G$7:$G$2010,$D37,'LAC 102_Wkst'!$L$7:$L$2010,"11",'LAC 102_Wkst'!$N$7:$N$2010,"P4")+SUMIFS('LAC 102_Wkst'!$Q$7:$Q$2010,'LAC 102_Wkst'!$D$7:$D$2010,$C$7,'LAC 102_Wkst'!$I$7:$I$2010,$C$9,'LAC 102_Wkst'!$E$7:$E$2010,$C37,'LAC 102_Wkst'!$G$7:$G$2010,$D37,'LAC 102_Wkst'!$L$7:$L$2010,"12",'LAC 102_Wkst'!$N$7:$N$2010,"P4")</f>
        <v>0</v>
      </c>
      <c r="AY37" s="411">
        <f>SUMIFS('LAC 102_Wkst'!$AF$7:$AF$2010,'LAC 102_Wkst'!$D$7:$D$2010,$C$7,'LAC 102_Wkst'!$I$7:$I$2010,$C$9,'LAC 102_Wkst'!$E$7:$E$2010,$C37,'LAC 102_Wkst'!$G$7:$G$2010,$D37,'LAC 102_Wkst'!$L$7:$L$2010,"11",'LAC 102_Wkst'!$N$7:$N$2010,"P4")+SUMIFS('LAC 102_Wkst'!$AF$7:$AF$2010,'LAC 102_Wkst'!$D$7:$D$2010,$C$7,'LAC 102_Wkst'!$I$7:$I$2010,$C$9,'LAC 102_Wkst'!$E$7:$E$2010,$C37,'LAC 102_Wkst'!$G$7:$G$2010,$D37,'LAC 102_Wkst'!$L$7:$L$2010,"12",'LAC 102_Wkst'!$N$7:$N$2010,"P4")</f>
        <v>0</v>
      </c>
      <c r="AZ37" s="410">
        <f>SUMIFS('LAC 102_Wkst'!$Q$7:$Q$2010,'LAC 102_Wkst'!$D$7:$D$2010,$C$7,'LAC 102_Wkst'!$I$7:$I$2010,$C$9,'LAC 102_Wkst'!$E$7:$E$2010,$C37,'LAC 102_Wkst'!$G$7:$G$2010,$D37,'LAC 102_Wkst'!$L$7:$L$2010,"11",'LAC 102_Wkst'!$N$7:$N$2010,"P5")+SUMIFS('LAC 102_Wkst'!$Q$7:$Q$2010,'LAC 102_Wkst'!$D$7:$D$2010,$C$7,'LAC 102_Wkst'!$I$7:$I$2010,$C$9,'LAC 102_Wkst'!$E$7:$E$2010,$C37,'LAC 102_Wkst'!$G$7:$G$2010,$D37,'LAC 102_Wkst'!$L$7:$L$2010,"12",'LAC 102_Wkst'!$N$7:$N$2010,"P5")</f>
        <v>0</v>
      </c>
      <c r="BA37" s="411">
        <f>SUMIFS('LAC 102_Wkst'!$AF$7:$AF$2010,'LAC 102_Wkst'!$D$7:$D$2010,$C$7,'LAC 102_Wkst'!$I$7:$I$2010,$C$9,'LAC 102_Wkst'!$E$7:$E$2010,$C37,'LAC 102_Wkst'!$G$7:$G$2010,$D37,'LAC 102_Wkst'!$L$7:$L$2010,"11",'LAC 102_Wkst'!$N$7:$N$2010,"P5")+SUMIFS('LAC 102_Wkst'!$AF$7:$AF$2010,'LAC 102_Wkst'!$D$7:$D$2010,$C$7,'LAC 102_Wkst'!$I$7:$I$2010,$C$9,'LAC 102_Wkst'!$E$7:$E$2010,$C37,'LAC 102_Wkst'!$G$7:$G$2010,$D37,'LAC 102_Wkst'!$L$7:$L$2010,"12",'LAC 102_Wkst'!$N$7:$N$2010,"P5")</f>
        <v>0</v>
      </c>
      <c r="BB37" s="410">
        <f>SUMIFS('LAC 102_Wkst'!$Q$7:$Q$2010,'LAC 102_Wkst'!$D$7:$D$2010,$C$7,'LAC 102_Wkst'!$I$7:$I$2010,$C$9,'LAC 102_Wkst'!$E$7:$E$2010,$C37,'LAC 102_Wkst'!$G$7:$G$2010,$D37,'LAC 102_Wkst'!$L$7:$L$2010,"13",'LAC 102_Wkst'!$N$7:$N$2010,"P1")+SUMIFS('LAC 102_Wkst'!$Q$7:$Q$2010,'LAC 102_Wkst'!$D$7:$D$2010,$C$7,'LAC 102_Wkst'!$I$7:$I$2010,$C$9,'LAC 102_Wkst'!$E$7:$E$2010,$C37,'LAC 102_Wkst'!$G$7:$G$2010,$D37,'LAC 102_Wkst'!$L$7:$L$2010,"13",'LAC 102_Wkst'!$N$7:$N$2010,"P2")+SUMIFS('LAC 102_Wkst'!$Q$7:$Q$2010,'LAC 102_Wkst'!$D$7:$D$2010,$C$7,'LAC 102_Wkst'!$I$7:$I$2010,$C$9,'LAC 102_Wkst'!$E$7:$E$2010,$C37,'LAC 102_Wkst'!$G$7:$G$2010,$D37,'LAC 102_Wkst'!$L$7:$L$2010,"13",'LAC 102_Wkst'!$N$7:$N$2010,"P3")+SUMIFS('LAC 102_Wkst'!$Q$7:$Q$2010,'LAC 102_Wkst'!$D$7:$D$2010,$C$7,'LAC 102_Wkst'!$I$7:$I$2010,$C$9,'LAC 102_Wkst'!$E$7:$E$2010,$C37,'LAC 102_Wkst'!$G$7:$G$2010,$D37,'LAC 102_Wkst'!$L$7:$L$2010,"13",'LAC 102_Wkst'!$N$7:$N$2010,"P4")</f>
        <v>0</v>
      </c>
      <c r="BC37" s="411">
        <f>SUMIFS('LAC 102_Wkst'!$AF$7:$AF$2010,'LAC 102_Wkst'!$D$7:$D$2010,$C$7,'LAC 102_Wkst'!$I$7:$I$2010,$C$9,'LAC 102_Wkst'!$E$7:$E$2010,$C37,'LAC 102_Wkst'!$G$7:$G$2010,$D37,'LAC 102_Wkst'!$L$7:$L$2010,"13",'LAC 102_Wkst'!$N$7:$N$2010,"P1")+SUMIFS('LAC 102_Wkst'!$AF$7:$AF$2010,'LAC 102_Wkst'!$D$7:$D$2010,$C$7,'LAC 102_Wkst'!$I$7:$I$2010,$C$9,'LAC 102_Wkst'!$E$7:$E$2010,$C37,'LAC 102_Wkst'!$G$7:$G$2010,$D37,'LAC 102_Wkst'!$L$7:$L$2010,"13",'LAC 102_Wkst'!$N$7:$N$2010,"P2")+SUMIFS('LAC 102_Wkst'!$AF$7:$AF$2010,'LAC 102_Wkst'!$D$7:$D$2010,$C$7,'LAC 102_Wkst'!$I$7:$I$2010,$C$9,'LAC 102_Wkst'!$E$7:$E$2010,$C37,'LAC 102_Wkst'!$G$7:$G$2010,$D37,'LAC 102_Wkst'!$L$7:$L$2010,"13",'LAC 102_Wkst'!$N$7:$N$2010,"P3")+SUMIFS('LAC 102_Wkst'!$AF$7:$AF$2010,'LAC 102_Wkst'!$D$7:$D$2010,$C$7,'LAC 102_Wkst'!$I$7:$I$2010,$C$9,'LAC 102_Wkst'!$E$7:$E$2010,$C37,'LAC 102_Wkst'!$G$7:$G$2010,$D37,'LAC 102_Wkst'!$L$7:$L$2010,"13",'LAC 102_Wkst'!$N$7:$N$2010,"P4")</f>
        <v>0</v>
      </c>
      <c r="BD37" s="410">
        <f>SUMIFS('LAC 102_Wkst'!$Q$7:$Q$2010,'LAC 102_Wkst'!$D$7:$D$2010,$C$7,'LAC 102_Wkst'!$I$7:$I$2010,$C$9,'LAC 102_Wkst'!$E$7:$E$2010,$C37,'LAC 102_Wkst'!$G$7:$G$2010,$D37,'LAC 102_Wkst'!$L$7:$L$2010,"13",'LAC 102_Wkst'!$N$7:$N$2010,"P5")</f>
        <v>0</v>
      </c>
      <c r="BE37" s="411">
        <f>SUMIFS('LAC 102_Wkst'!$AF$7:$AF$2010,'LAC 102_Wkst'!$D$7:$D$2010,$C$7,'LAC 102_Wkst'!$I$7:$I$2010,$C$9,'LAC 102_Wkst'!$E$7:$E$2010,$C37,'LAC 102_Wkst'!$G$7:$G$2010,$D37,'LAC 102_Wkst'!$L$7:$L$2010,"13",'LAC 102_Wkst'!$N$7:$N$2010,"P5")</f>
        <v>0</v>
      </c>
      <c r="BF37" s="407">
        <f t="shared" si="4"/>
        <v>0</v>
      </c>
      <c r="BG37" s="1654">
        <f>SUMIFS('LAC 102_Wkst'!$AF$7:$AF$2010,'LAC 102_Wkst'!$D$7:$D$2010,$C$7,'LAC 102_Wkst'!$I$7:$I$2010,$C$9,'LAC 102_Wkst'!$E$7:$E$2010,$C37,'LAC 102_Wkst'!$G$7:$G$2010,$D37,'LAC 102_Wkst'!$L$7:$L$2010,"14")</f>
        <v>0</v>
      </c>
    </row>
    <row r="38" spans="1:59" x14ac:dyDescent="0.2">
      <c r="A38" s="401">
        <v>16</v>
      </c>
      <c r="B38" s="1678" t="str">
        <f>IF(Schedule_B!B$35="","",Schedule_B!B$35)</f>
        <v>CR</v>
      </c>
      <c r="C38" s="1674" t="str">
        <f>IF(Schedule_B!C$35=""," ",Schedule_B!C$35)</f>
        <v>60</v>
      </c>
      <c r="D38" s="1675" t="str">
        <f>IF(Schedule_B!D$35=""," ",Schedule_B!D$35)</f>
        <v>40</v>
      </c>
      <c r="E38" s="1221">
        <f>SUMIFS('LAC 102_Wkst'!$Q$7:$Q$2010,'LAC 102_Wkst'!$D$7:$D$2010,$C$7,'LAC 102_Wkst'!$I$7:$I$2010,$C$9,'LAC 102_Wkst'!$E$7:$E$2010,$C38,'LAC 102_Wkst'!$G$7:$G$2010,$D38)</f>
        <v>0</v>
      </c>
      <c r="F38" s="408">
        <f>SUMIFS('LAC 102_Wkst'!$Q$7:$Q$2010,'LAC 102_Wkst'!$D$7:$D$2010,$C$7,'LAC 102_Wkst'!$I$7:$I$2010,$C$9,'LAC 102_Wkst'!$E$7:$E$2010,$C38,'LAC 102_Wkst'!$G$7:$G$2010,$D38,'LAC 102_Wkst'!$L$7:$L$2010,"01",'LAC 102_Wkst'!$N$7:$N$2010,"P1")+SUMIFS('LAC 102_Wkst'!$Q$7:$Q$2010,'LAC 102_Wkst'!$D$7:$D$2010,$C$7,'LAC 102_Wkst'!$I$7:$I$2010,$C$9,'LAC 102_Wkst'!$E$7:$E$2010,$C38,'LAC 102_Wkst'!$G$7:$G$2010,$D38,'LAC 102_Wkst'!$L$7:$L$2010,"01",'LAC 102_Wkst'!$N$7:$N$2010,"P2")+SUMIFS('LAC 102_Wkst'!$Q$7:$Q$2010,'LAC 102_Wkst'!$D$7:$D$2010,$C$7,'LAC 102_Wkst'!$I$7:$I$2010,$C$9,'LAC 102_Wkst'!$E$7:$E$2010,$C38,'LAC 102_Wkst'!$G$7:$G$2010,$D38,'LAC 102_Wkst'!$L$7:$L$2010,"01",'LAC 102_Wkst'!$N$7:$N$2010,"P3")+SUMIFS('LAC 102_Wkst'!$Q$7:$Q$2010,'LAC 102_Wkst'!$D$7:$D$2010,$C$7,'LAC 102_Wkst'!$I$7:$I$2010,$C$9,'LAC 102_Wkst'!$E$7:$E$2010,$C38,'LAC 102_Wkst'!$G$7:$G$2010,$D38,'LAC 102_Wkst'!$L$7:$L$2010,"02",'LAC 102_Wkst'!$N$7:$N$2010,"P1")+SUMIFS('LAC 102_Wkst'!$Q$7:$Q$2010,'LAC 102_Wkst'!$D$7:$D$2010,$C$7,'LAC 102_Wkst'!$I$7:$I$2010,$C$9,'LAC 102_Wkst'!$E$7:$E$2010,$C38,'LAC 102_Wkst'!$G$7:$G$2010,$D38,'LAC 102_Wkst'!$L$7:$L$2010,"02",'LAC 102_Wkst'!$N$7:$N$2010,"P2")+SUMIFS('LAC 102_Wkst'!$Q$7:$Q$2010,'LAC 102_Wkst'!$D$7:$D$2010,$C$7,'LAC 102_Wkst'!$I$7:$I$2010,$C$9,'LAC 102_Wkst'!$E$7:$E$2010,$C38,'LAC 102_Wkst'!$G$7:$G$2010,$D38,'LAC 102_Wkst'!$L$7:$L$2010,"02",'LAC 102_Wkst'!$N$7:$N$2010,"P3")</f>
        <v>0</v>
      </c>
      <c r="G38" s="409">
        <f>SUMIFS('LAC 102_Wkst'!$AF$7:$AF$2010,'LAC 102_Wkst'!$D$7:$D$2010,$C$7,'LAC 102_Wkst'!$I$7:$I$2010,$C$9,'LAC 102_Wkst'!$E$7:$E$2010,$C38,'LAC 102_Wkst'!$G$7:$G$2010,$D38,'LAC 102_Wkst'!$L$7:$L$2010,"01",'LAC 102_Wkst'!$N$7:$N$2010,"P1")+SUMIFS('LAC 102_Wkst'!$AF$7:$AF$2010,'LAC 102_Wkst'!$D$7:$D$2010,$C$7,'LAC 102_Wkst'!$I$7:$I$2010,$C$9,'LAC 102_Wkst'!$E$7:$E$2010,$C38,'LAC 102_Wkst'!$G$7:$G$2010,$D38,'LAC 102_Wkst'!$L$7:$L$2010,"01",'LAC 102_Wkst'!$N$7:$N$2010,"P2")+SUMIFS('LAC 102_Wkst'!$AF$7:$AF$2010,'LAC 102_Wkst'!$D$7:$D$2010,$C$7,'LAC 102_Wkst'!$I$7:$I$2010,$C$9,'LAC 102_Wkst'!$E$7:$E$2010,$C38,'LAC 102_Wkst'!$G$7:$G$2010,$D38,'LAC 102_Wkst'!$L$7:$L$2010,"01",'LAC 102_Wkst'!$N$7:$N$2010,"P3")+SUMIFS('LAC 102_Wkst'!$AF$7:$AF$2010,'LAC 102_Wkst'!$D$7:$D$2010,$C$7,'LAC 102_Wkst'!$I$7:$I$2010,$C$9,'LAC 102_Wkst'!$E$7:$E$2010,$C38,'LAC 102_Wkst'!$G$7:$G$2010,$D38,'LAC 102_Wkst'!$L$7:$L$2010,"02",'LAC 102_Wkst'!$N$7:$N$2010,"P1")+SUMIFS('LAC 102_Wkst'!$AF$7:$AF$2010,'LAC 102_Wkst'!$D$7:$D$2010,$C$7,'LAC 102_Wkst'!$I$7:$I$2010,$C$9,'LAC 102_Wkst'!$E$7:$E$2010,$C38,'LAC 102_Wkst'!$G$7:$G$2010,$D38,'LAC 102_Wkst'!$L$7:$L$2010,"02",'LAC 102_Wkst'!$N$7:$N$2010,"P2")+SUMIFS('LAC 102_Wkst'!$AF$7:$AF$2010,'LAC 102_Wkst'!$D$7:$D$2010,$C$7,'LAC 102_Wkst'!$I$7:$I$2010,$C$9,'LAC 102_Wkst'!$E$7:$E$2010,$C38,'LAC 102_Wkst'!$G$7:$G$2010,$D38,'LAC 102_Wkst'!$L$7:$L$2010,"02",'LAC 102_Wkst'!$N$7:$N$2010,"P3")</f>
        <v>0</v>
      </c>
      <c r="H38" s="410">
        <f>SUMIFS('LAC 102_Wkst'!$Q$7:$Q$2010,'LAC 102_Wkst'!$D$7:$D$2010,$C$7,'LAC 102_Wkst'!$I$7:$I$2010,$C$9,'LAC 102_Wkst'!$E$7:$E$2010,$C38,'LAC 102_Wkst'!$G$7:$G$2010,$D38,'LAC 102_Wkst'!$L$7:$L$2010,"01",'LAC 102_Wkst'!$N$7:$N$2010,"P4")+SUMIFS('LAC 102_Wkst'!$Q$7:$Q$2010,'LAC 102_Wkst'!$D$7:$D$2010,$C$7,'LAC 102_Wkst'!$I$7:$I$2010,$C$9,'LAC 102_Wkst'!$E$7:$E$2010,$C38,'LAC 102_Wkst'!$G$7:$G$2010,$D38,'LAC 102_Wkst'!$L$7:$L$2010,"02",'LAC 102_Wkst'!$N$7:$N$2010,"P4")</f>
        <v>0</v>
      </c>
      <c r="I38" s="411">
        <f>SUMIFS('LAC 102_Wkst'!$AF$7:$AF$2010,'LAC 102_Wkst'!$D$7:$D$2010,$C$7,'LAC 102_Wkst'!$I$7:$I$2010,$C$9,'LAC 102_Wkst'!$E$7:$E$2010,$C38,'LAC 102_Wkst'!$G$7:$G$2010,$D38,'LAC 102_Wkst'!$L$7:$L$2010,"01",'LAC 102_Wkst'!$N$7:$N$2010,"P4")+SUMIFS('LAC 102_Wkst'!$AF$7:$AF$2010,'LAC 102_Wkst'!$D$7:$D$2010,$C$7,'LAC 102_Wkst'!$I$7:$I$2010,$C$9,'LAC 102_Wkst'!$E$7:$E$2010,$C38,'LAC 102_Wkst'!$G$7:$G$2010,$D38,'LAC 102_Wkst'!$L$7:$L$2010,"02",'LAC 102_Wkst'!$N$7:$N$2010,"P4")</f>
        <v>0</v>
      </c>
      <c r="J38" s="410">
        <f>SUMIFS('LAC 102_Wkst'!$Q$7:$Q$2010,'LAC 102_Wkst'!$D$7:$D$2010,$C$7,'LAC 102_Wkst'!$I$7:$I$2010,$C$9,'LAC 102_Wkst'!$E$7:$E$2010,$C38,'LAC 102_Wkst'!$G$7:$G$2010,$D38,'LAC 102_Wkst'!$L$7:$L$2010,"01",'LAC 102_Wkst'!$N$7:$N$2010,"P5")+SUMIFS('LAC 102_Wkst'!$Q$7:$Q$2010,'LAC 102_Wkst'!$D$7:$D$2010,$C$7,'LAC 102_Wkst'!$I$7:$I$2010,$C$9,'LAC 102_Wkst'!$E$7:$E$2010,$C38,'LAC 102_Wkst'!$G$7:$G$2010,$D38,'LAC 102_Wkst'!$L$7:$L$2010,"02",'LAC 102_Wkst'!$N$7:$N$2010,"P5")</f>
        <v>0</v>
      </c>
      <c r="K38" s="411">
        <f>SUMIFS('LAC 102_Wkst'!$AF$7:$AF$2010,'LAC 102_Wkst'!$D$7:$D$2010,$C$7,'LAC 102_Wkst'!$I$7:$I$2010,$C$9,'LAC 102_Wkst'!$E$7:$E$2010,$C38,'LAC 102_Wkst'!$G$7:$G$2010,$D38,'LAC 102_Wkst'!$L$7:$L$2010,"01",'LAC 102_Wkst'!$N$7:$N$2010,"P5")+SUMIFS('LAC 102_Wkst'!$AF$7:$AF$2010,'LAC 102_Wkst'!$D$7:$D$2010,$C$7,'LAC 102_Wkst'!$I$7:$I$2010,$C$9,'LAC 102_Wkst'!$E$7:$E$2010,$C38,'LAC 102_Wkst'!$G$7:$G$2010,$D38,'LAC 102_Wkst'!$L$7:$L$2010,"02",'LAC 102_Wkst'!$N$7:$N$2010,"P5")</f>
        <v>0</v>
      </c>
      <c r="L38" s="410">
        <f>SUMIFS('LAC 102_Wkst'!$Q$7:$Q$2010,'LAC 102_Wkst'!$D$7:$D$2010,$C$7,'LAC 102_Wkst'!$I$7:$I$2010,$C$9,'LAC 102_Wkst'!$E$7:$E$2010,$C38,'LAC 102_Wkst'!$G$7:$G$2010,$D38,'LAC 102_Wkst'!$L$7:$L$2010,"03",'LAC 102_Wkst'!$N$7:$N$2010,"P1")+SUMIFS('LAC 102_Wkst'!$Q$7:$Q$2010,'LAC 102_Wkst'!$D$7:$D$2010,$C$7,'LAC 102_Wkst'!$I$7:$I$2010,$C$9,'LAC 102_Wkst'!$E$7:$E$2010,$C38,'LAC 102_Wkst'!$G$7:$G$2010,$D38,'LAC 102_Wkst'!$L$7:$L$2010,"03",'LAC 102_Wkst'!$N$7:$N$2010,"P2")+SUMIFS('LAC 102_Wkst'!$Q$7:$Q$2010,'LAC 102_Wkst'!$D$7:$D$2010,$C$7,'LAC 102_Wkst'!$I$7:$I$2010,$C$9,'LAC 102_Wkst'!$E$7:$E$2010,$C38,'LAC 102_Wkst'!$G$7:$G$2010,$D38,'LAC 102_Wkst'!$L$7:$L$2010,"03",'LAC 102_Wkst'!$N$7:$N$2010,"P3")+SUMIFS('LAC 102_Wkst'!$Q$7:$Q$2010,'LAC 102_Wkst'!$D$7:$D$2010,$C$7,'LAC 102_Wkst'!$I$7:$I$2010,$C$9,'LAC 102_Wkst'!$E$7:$E$2010,$C38,'LAC 102_Wkst'!$G$7:$G$2010,$D38,'LAC 102_Wkst'!$L$7:$L$2010,"04",'LAC 102_Wkst'!$N$7:$N$2010,"P1")+SUMIFS('LAC 102_Wkst'!$Q$7:$Q$2010,'LAC 102_Wkst'!$D$7:$D$2010,$C$7,'LAC 102_Wkst'!$I$7:$I$2010,$C$9,'LAC 102_Wkst'!$E$7:$E$2010,$C38,'LAC 102_Wkst'!$G$7:$G$2010,$D38,'LAC 102_Wkst'!$L$7:$L$2010,"04",'LAC 102_Wkst'!$N$7:$N$2010,"P2")+SUMIFS('LAC 102_Wkst'!$Q$7:$Q$2010,'LAC 102_Wkst'!$D$7:$D$2010,$C$7,'LAC 102_Wkst'!$I$7:$I$2010,$C$9,'LAC 102_Wkst'!$E$7:$E$2010,$C38,'LAC 102_Wkst'!$G$7:$G$2010,$D38,'LAC 102_Wkst'!$L$7:$L$2010,"04",'LAC 102_Wkst'!$N$7:$N$2010,"P3")</f>
        <v>0</v>
      </c>
      <c r="M38" s="411">
        <f>SUMIFS('LAC 102_Wkst'!$AF$7:$AF$2010,'LAC 102_Wkst'!$D$7:$D$2010,$C$7,'LAC 102_Wkst'!$I$7:$I$2010,$C$9,'LAC 102_Wkst'!$E$7:$E$2010,$C38,'LAC 102_Wkst'!$G$7:$G$2010,$D38,'LAC 102_Wkst'!$L$7:$L$2010,"03",'LAC 102_Wkst'!$N$7:$N$2010,"P1")+SUMIFS('LAC 102_Wkst'!$AF$7:$AF$2010,'LAC 102_Wkst'!$D$7:$D$2010,$C$7,'LAC 102_Wkst'!$I$7:$I$2010,$C$9,'LAC 102_Wkst'!$E$7:$E$2010,$C38,'LAC 102_Wkst'!$G$7:$G$2010,$D38,'LAC 102_Wkst'!$L$7:$L$2010,"03",'LAC 102_Wkst'!$N$7:$N$2010,"P2")+SUMIFS('LAC 102_Wkst'!$AF$7:$AF$2010,'LAC 102_Wkst'!$D$7:$D$2010,$C$7,'LAC 102_Wkst'!$I$7:$I$2010,$C$9,'LAC 102_Wkst'!$E$7:$E$2010,$C38,'LAC 102_Wkst'!$G$7:$G$2010,$D38,'LAC 102_Wkst'!$L$7:$L$2010,"03",'LAC 102_Wkst'!$N$7:$N$2010,"P3")+SUMIFS('LAC 102_Wkst'!$AF$7:$AF$2010,'LAC 102_Wkst'!$D$7:$D$2010,$C$7,'LAC 102_Wkst'!$I$7:$I$2010,$C$9,'LAC 102_Wkst'!$E$7:$E$2010,$C38,'LAC 102_Wkst'!$G$7:$G$2010,$D38,'LAC 102_Wkst'!$L$7:$L$2010,"04",'LAC 102_Wkst'!$N$7:$N$2010,"P1")+SUMIFS('LAC 102_Wkst'!$AF$7:$AF$2010,'LAC 102_Wkst'!$D$7:$D$2010,$C$7,'LAC 102_Wkst'!$I$7:$I$2010,$C$9,'LAC 102_Wkst'!$E$7:$E$2010,$C38,'LAC 102_Wkst'!$G$7:$G$2010,$D38,'LAC 102_Wkst'!$L$7:$L$2010,"04",'LAC 102_Wkst'!$N$7:$N$2010,"P2")+SUMIFS('LAC 102_Wkst'!$AF$7:$AF$2010,'LAC 102_Wkst'!$D$7:$D$2010,$C$7,'LAC 102_Wkst'!$I$7:$I$2010,$C$9,'LAC 102_Wkst'!$E$7:$E$2010,$C38,'LAC 102_Wkst'!$G$7:$G$2010,$D38,'LAC 102_Wkst'!$L$7:$L$2010,"04",'LAC 102_Wkst'!$N$7:$N$2010,"P3")</f>
        <v>0</v>
      </c>
      <c r="N38" s="410">
        <f>SUMIFS('LAC 102_Wkst'!$Q$7:$Q$2010,'LAC 102_Wkst'!$D$7:$D$2010,$C$7,'LAC 102_Wkst'!$I$7:$I$2010,$C$9,'LAC 102_Wkst'!$E$7:$E$2010,$C38,'LAC 102_Wkst'!$G$7:$G$2010,$D38,'LAC 102_Wkst'!$L$7:$L$2010,"03",'LAC 102_Wkst'!$N$7:$N$2010,"P4")+SUMIFS('LAC 102_Wkst'!$Q$7:$Q$2010,'LAC 102_Wkst'!$D$7:$D$2010,$C$7,'LAC 102_Wkst'!$I$7:$I$2010,$C$9,'LAC 102_Wkst'!$E$7:$E$2010,$C38,'LAC 102_Wkst'!$G$7:$G$2010,$D38,'LAC 102_Wkst'!$L$7:$L$2010,"04",'LAC 102_Wkst'!$N$7:$N$2010,"P4")</f>
        <v>0</v>
      </c>
      <c r="O38" s="411">
        <f>SUMIFS('LAC 102_Wkst'!$AF$7:$AF$2010,'LAC 102_Wkst'!$D$7:$D$2010,$C$7,'LAC 102_Wkst'!$I$7:$I$2010,$C$9,'LAC 102_Wkst'!$E$7:$E$2010,$C38,'LAC 102_Wkst'!$G$7:$G$2010,$D38,'LAC 102_Wkst'!$L$7:$L$2010,"03",'LAC 102_Wkst'!$N$7:$N$2010,"P4")+SUMIFS('LAC 102_Wkst'!$AF$7:$AF$2010,'LAC 102_Wkst'!$D$7:$D$2010,$C$7,'LAC 102_Wkst'!$I$7:$I$2010,$C$9,'LAC 102_Wkst'!$E$7:$E$2010,$C38,'LAC 102_Wkst'!$G$7:$G$2010,$D38,'LAC 102_Wkst'!$L$7:$L$2010,"04",'LAC 102_Wkst'!$N$7:$N$2010,"P4")</f>
        <v>0</v>
      </c>
      <c r="P38" s="410">
        <f>SUMIFS('LAC 102_Wkst'!$Q$7:$Q$2010,'LAC 102_Wkst'!$D$7:$D$2010,$C$7,'LAC 102_Wkst'!$I$7:$I$2010,$C$9,'LAC 102_Wkst'!$E$7:$E$2010,$C38,'LAC 102_Wkst'!$G$7:$G$2010,$D38,'LAC 102_Wkst'!$L$7:$L$2010,"03",'LAC 102_Wkst'!$N$7:$N$2010,"P5")+SUMIFS('LAC 102_Wkst'!$Q$7:$Q$2010,'LAC 102_Wkst'!$D$7:$D$2010,$C$7,'LAC 102_Wkst'!$I$7:$I$2010,$C$9,'LAC 102_Wkst'!$E$7:$E$2010,$C38,'LAC 102_Wkst'!$G$7:$G$2010,$D38,'LAC 102_Wkst'!$L$7:$L$2010,"04",'LAC 102_Wkst'!$N$7:$N$2010,"P5")</f>
        <v>0</v>
      </c>
      <c r="Q38" s="411">
        <f>SUMIFS('LAC 102_Wkst'!$AF$7:$AF$2010,'LAC 102_Wkst'!$D$7:$D$2010,$C$7,'LAC 102_Wkst'!$I$7:$I$2010,$C$9,'LAC 102_Wkst'!$E$7:$E$2010,$C38,'LAC 102_Wkst'!$G$7:$G$2010,$D38,'LAC 102_Wkst'!$L$7:$L$2010,"03",'LAC 102_Wkst'!$N$7:$N$2010,"P5")+SUMIFS('LAC 102_Wkst'!$AF$7:$AF$2010,'LAC 102_Wkst'!$D$7:$D$2010,$C$7,'LAC 102_Wkst'!$I$7:$I$2010,$C$9,'LAC 102_Wkst'!$E$7:$E$2010,$C38,'LAC 102_Wkst'!$G$7:$G$2010,$D38,'LAC 102_Wkst'!$L$7:$L$2010,"04",'LAC 102_Wkst'!$N$7:$N$2010,"P5")</f>
        <v>0</v>
      </c>
      <c r="R38" s="412">
        <f>SUMIFS('LAC 102_Wkst'!$Q$7:$Q$2010,'LAC 102_Wkst'!$D$7:$D$2010,$C$7,'LAC 102_Wkst'!$I$7:$I$2010,$C$9,'LAC 102_Wkst'!$E$7:$E$2010,$C38,'LAC 102_Wkst'!$G$7:$G$2010,$D38,'LAC 102_Wkst'!$L$7:$L$2010,"05",'LAC 102_Wkst'!$N$7:$N$2010,"P1")+SUMIFS('LAC 102_Wkst'!$Q$7:$Q$2010,'LAC 102_Wkst'!$D$7:$D$2010,$C$7,'LAC 102_Wkst'!$I$7:$I$2010,$C$9,'LAC 102_Wkst'!$E$7:$E$2010,$C38,'LAC 102_Wkst'!$G$7:$G$2010,$D38,'LAC 102_Wkst'!$L$7:$L$2010,"06",'LAC 102_Wkst'!$N$7:$N$2010,"P1")</f>
        <v>0</v>
      </c>
      <c r="S38" s="411">
        <f>SUMIFS('LAC 102_Wkst'!$AF$7:$AF$2010,'LAC 102_Wkst'!$D$7:$D$2010,$C$7,'LAC 102_Wkst'!$I$7:$I$2010,$C$9,'LAC 102_Wkst'!$E$7:$E$2010,$C38,'LAC 102_Wkst'!$G$7:$G$2010,$D38,'LAC 102_Wkst'!$L$7:$L$2010,"05",'LAC 102_Wkst'!$N$7:$N$2010,"P1")+SUMIFS('LAC 102_Wkst'!$AF$7:$AF$2010,'LAC 102_Wkst'!$D$7:$D$2010,$C$7,'LAC 102_Wkst'!$I$7:$I$2010,$C$9,'LAC 102_Wkst'!$E$7:$E$2010,$C38,'LAC 102_Wkst'!$G$7:$G$2010,$D38,'LAC 102_Wkst'!$L$7:$L$2010,"06",'LAC 102_Wkst'!$N$7:$N$2010,"P1")</f>
        <v>0</v>
      </c>
      <c r="T38" s="410">
        <f>SUMIFS('LAC 102_Wkst'!$Q$7:$Q$2010,'LAC 102_Wkst'!$D$7:$D$2010,$C$7,'LAC 102_Wkst'!$I$7:$I$2010,$C$9,'LAC 102_Wkst'!$E$7:$E$2010,$C38,'LAC 102_Wkst'!$G$7:$G$2010,$D38,'LAC 102_Wkst'!$L$7:$L$2010,"05",'LAC 102_Wkst'!$N$7:$N$2010,"P2")+SUMIFS('LAC 102_Wkst'!$Q$7:$Q$2010,'LAC 102_Wkst'!$D$7:$D$2010,$C$7,'LAC 102_Wkst'!$I$7:$I$2010,$C$9,'LAC 102_Wkst'!$E$7:$E$2010,$C38,'LAC 102_Wkst'!$G$7:$G$2010,$D38,'LAC 102_Wkst'!$L$7:$L$2010,"06",'LAC 102_Wkst'!$N$7:$N$2010,"P2")+SUMIFS('LAC 102_Wkst'!$Q$7:$Q$2010,'LAC 102_Wkst'!$D$7:$D$2010,$C$7,'LAC 102_Wkst'!$I$7:$I$2010,$C$9,'LAC 102_Wkst'!$E$7:$E$2010,$C38,'LAC 102_Wkst'!$G$7:$G$2010,$D38,'LAC 102_Wkst'!$L$7:$L$2010,"05",'LAC 102_Wkst'!$N$7:$N$2010,"P3")+SUMIFS('LAC 102_Wkst'!$Q$7:$Q$2010,'LAC 102_Wkst'!$D$7:$D$2010,$C$7,'LAC 102_Wkst'!$I$7:$I$2010,$C$9,'LAC 102_Wkst'!$E$7:$E$2010,$C38,'LAC 102_Wkst'!$G$7:$G$2010,$D38,'LAC 102_Wkst'!$L$7:$L$2010,"06",'LAC 102_Wkst'!$N$7:$N$2010,"P3")</f>
        <v>0</v>
      </c>
      <c r="U38" s="411">
        <f>SUMIFS('LAC 102_Wkst'!$AF$7:$AF$2010,'LAC 102_Wkst'!$D$7:$D$2010,$C$7,'LAC 102_Wkst'!$I$7:$I$2010,$C$9,'LAC 102_Wkst'!$E$7:$E$2010,$C38,'LAC 102_Wkst'!$G$7:$G$2010,$D38,'LAC 102_Wkst'!$L$7:$L$2010,"05",'LAC 102_Wkst'!$N$7:$N$2010,"P2")+SUMIFS('LAC 102_Wkst'!$AF$7:$AF$2010,'LAC 102_Wkst'!$D$7:$D$2010,$C$7,'LAC 102_Wkst'!$I$7:$I$2010,$C$9,'LAC 102_Wkst'!$E$7:$E$2010,$C38,'LAC 102_Wkst'!$G$7:$G$2010,$D38,'LAC 102_Wkst'!$L$7:$L$2010,"06",'LAC 102_Wkst'!$N$7:$N$2010,"P2")+SUMIFS('LAC 102_Wkst'!$AF$7:$AF$2010,'LAC 102_Wkst'!$D$7:$D$2010,$C$7,'LAC 102_Wkst'!$I$7:$I$2010,$C$9,'LAC 102_Wkst'!$E$7:$E$2010,$C38,'LAC 102_Wkst'!$G$7:$G$2010,$D38,'LAC 102_Wkst'!$L$7:$L$2010,"05",'LAC 102_Wkst'!$N$7:$N$2010,"P3")+SUMIFS('LAC 102_Wkst'!$AF$7:$AF$2010,'LAC 102_Wkst'!$D$7:$D$2010,$C$7,'LAC 102_Wkst'!$I$7:$I$2010,$C$9,'LAC 102_Wkst'!$E$7:$E$2010,$C38,'LAC 102_Wkst'!$G$7:$G$2010,$D38,'LAC 102_Wkst'!$L$7:$L$2010,"06",'LAC 102_Wkst'!$N$7:$N$2010,"P3")</f>
        <v>0</v>
      </c>
      <c r="V38" s="410">
        <f>SUMIFS('LAC 102_Wkst'!$Q$7:$Q$2010,'LAC 102_Wkst'!$D$7:$D$2010,$C$7,'LAC 102_Wkst'!$I$7:$I$2010,$C$9,'LAC 102_Wkst'!$E$7:$E$2010,$C38,'LAC 102_Wkst'!$G$7:$G$2010,$D38,'LAC 102_Wkst'!$L$7:$L$2010,"05",'LAC 102_Wkst'!$N$7:$N$2010,"P4")+SUMIFS('LAC 102_Wkst'!$Q$7:$Q$2010,'LAC 102_Wkst'!$D$7:$D$2010,$C$7,'LAC 102_Wkst'!$I$7:$I$2010,$C$9,'LAC 102_Wkst'!$E$7:$E$2010,$C38,'LAC 102_Wkst'!$G$7:$G$2010,$D38,'LAC 102_Wkst'!$L$7:$L$2010,"06",'LAC 102_Wkst'!$N$7:$N$2010,"P4")</f>
        <v>0</v>
      </c>
      <c r="W38" s="411">
        <f>SUMIFS('LAC 102_Wkst'!$AF$7:$AF$2010,'LAC 102_Wkst'!$D$7:$D$2010,$C$7,'LAC 102_Wkst'!$I$7:$I$2010,$C$9,'LAC 102_Wkst'!$E$7:$E$2010,$C38,'LAC 102_Wkst'!$G$7:$G$2010,$D38,'LAC 102_Wkst'!$L$7:$L$2010,"05",'LAC 102_Wkst'!$N$7:$N$2010,"P4")+SUMIFS('LAC 102_Wkst'!$AF$7:$AF$2010,'LAC 102_Wkst'!$D$7:$D$2010,$C$7,'LAC 102_Wkst'!$I$7:$I$2010,$C$9,'LAC 102_Wkst'!$E$7:$E$2010,$C38,'LAC 102_Wkst'!$G$7:$G$2010,$D38,'LAC 102_Wkst'!$L$7:$L$2010,"06",'LAC 102_Wkst'!$N$7:$N$2010,"P4")</f>
        <v>0</v>
      </c>
      <c r="X38" s="410">
        <f>SUMIFS('LAC 102_Wkst'!$Q$7:$Q$2010,'LAC 102_Wkst'!$D$7:$D$2010,$C$7,'LAC 102_Wkst'!$I$7:$I$2010,$C$9,'LAC 102_Wkst'!$E$7:$E$2010,$C38,'LAC 102_Wkst'!$G$7:$G$2010,$D38,'LAC 102_Wkst'!$L$7:$L$2010,"05",'LAC 102_Wkst'!$N$7:$N$2010,"P5")+SUMIFS('LAC 102_Wkst'!$Q$7:$Q$2010,'LAC 102_Wkst'!$D$7:$D$2010,$C$7,'LAC 102_Wkst'!$I$7:$I$2010,$C$9,'LAC 102_Wkst'!$E$7:$E$2010,$C38,'LAC 102_Wkst'!$G$7:$G$2010,$D38,'LAC 102_Wkst'!$L$7:$L$2010,"06",'LAC 102_Wkst'!$N$7:$N$2010,"P5")</f>
        <v>0</v>
      </c>
      <c r="Y38" s="411">
        <f>SUMIFS('LAC 102_Wkst'!$AF$7:$AF$2010,'LAC 102_Wkst'!$D$7:$D$2010,$C$7,'LAC 102_Wkst'!$I$7:$I$2010,$C$9,'LAC 102_Wkst'!$E$7:$E$2010,$C38,'LAC 102_Wkst'!$G$7:$G$2010,$D38,'LAC 102_Wkst'!$L$7:$L$2010,"05",'LAC 102_Wkst'!$N$7:$N$2010,"P5")+SUMIFS('LAC 102_Wkst'!$AF$7:$AF$2010,'LAC 102_Wkst'!$D$7:$D$2010,$C$7,'LAC 102_Wkst'!$I$7:$I$2010,$C$9,'LAC 102_Wkst'!$E$7:$E$2010,$C38,'LAC 102_Wkst'!$G$7:$G$2010,$D38,'LAC 102_Wkst'!$L$7:$L$2010,"06",'LAC 102_Wkst'!$N$7:$N$2010,"P5")</f>
        <v>0</v>
      </c>
      <c r="Z38" s="410">
        <f>SUMIFS('LAC 102_Wkst'!$Q$7:$Q$2010,'LAC 102_Wkst'!$D$7:$D$2010,$C$7,'LAC 102_Wkst'!$I$7:$I$2010,$C$9,'LAC 102_Wkst'!$E$7:$E$2010,$C38,'LAC 102_Wkst'!$G$7:$G$2010,$D38,'LAC 102_Wkst'!$L$7:$L$2010,"07",'LAC 102_Wkst'!$N$7:$N$2010,"P1")+SUMIFS('LAC 102_Wkst'!$Q$7:$Q$2010,'LAC 102_Wkst'!$D$7:$D$2010,$C$7,'LAC 102_Wkst'!$I$7:$I$2010,$C$9,'LAC 102_Wkst'!$E$7:$E$2010,$C38,'LAC 102_Wkst'!$G$7:$G$2010,$D38,'LAC 102_Wkst'!$L$7:$L$2010,"07",'LAC 102_Wkst'!$N$7:$N$2010,"P2")+SUMIFS('LAC 102_Wkst'!$Q$7:$Q$2010,'LAC 102_Wkst'!$D$7:$D$2010,$C$7,'LAC 102_Wkst'!$I$7:$I$2010,$C$9,'LAC 102_Wkst'!$E$7:$E$2010,$C38,'LAC 102_Wkst'!$G$7:$G$2010,$D38,'LAC 102_Wkst'!$L$7:$L$2010,"07",'LAC 102_Wkst'!$N$7:$N$2010,"P3")</f>
        <v>0</v>
      </c>
      <c r="AA38" s="411">
        <f>SUMIFS('LAC 102_Wkst'!$AF$7:$AF$2010,'LAC 102_Wkst'!$D$7:$D$2010,$C$7,'LAC 102_Wkst'!$I$7:$I$2010,$C$9,'LAC 102_Wkst'!$E$7:$E$2010,$C38,'LAC 102_Wkst'!$G$7:$G$2010,$D38,'LAC 102_Wkst'!$L$7:$L$2010,"07",'LAC 102_Wkst'!$N$7:$N$2010,"P1")+SUMIFS('LAC 102_Wkst'!$AF$7:$AF$2010,'LAC 102_Wkst'!$D$7:$D$2010,$C$7,'LAC 102_Wkst'!$I$7:$I$2010,$C$9,'LAC 102_Wkst'!$E$7:$E$2010,$C38,'LAC 102_Wkst'!$G$7:$G$2010,$D38,'LAC 102_Wkst'!$L$7:$L$2010,"07",'LAC 102_Wkst'!$N$7:$N$2010,"P2")+SUMIFS('LAC 102_Wkst'!$AF$7:$AF$2010,'LAC 102_Wkst'!$D$7:$D$2010,$C$7,'LAC 102_Wkst'!$I$7:$I$2010,$C$9,'LAC 102_Wkst'!$E$7:$E$2010,$C38,'LAC 102_Wkst'!$G$7:$G$2010,$D38,'LAC 102_Wkst'!$L$7:$L$2010,"07",'LAC 102_Wkst'!$N$7:$N$2010,"P3")</f>
        <v>0</v>
      </c>
      <c r="AB38" s="410">
        <f>SUMIFS('LAC 102_Wkst'!$Q$7:$Q$2010,'LAC 102_Wkst'!$D$7:$D$2010,$C$7,'LAC 102_Wkst'!$I$7:$I$2010,$C$9,'LAC 102_Wkst'!$E$7:$E$2010,$C38,'LAC 102_Wkst'!$G$7:$G$2010,$D38,'LAC 102_Wkst'!$L$7:$L$2010,"07",'LAC 102_Wkst'!$N$7:$N$2010,"P4")</f>
        <v>0</v>
      </c>
      <c r="AC38" s="411">
        <f>SUMIFS('LAC 102_Wkst'!$AF$7:$AF$2010,'LAC 102_Wkst'!$D$7:$D$2010,$C$7,'LAC 102_Wkst'!$I$7:$I$2010,$C$9,'LAC 102_Wkst'!$E$7:$E$2010,$C38,'LAC 102_Wkst'!$G$7:$G$2010,$D38,'LAC 102_Wkst'!$L$7:$L$2010,"07",'LAC 102_Wkst'!$N$7:$N$2010,"P4")</f>
        <v>0</v>
      </c>
      <c r="AD38" s="410">
        <f>SUMIFS('LAC 102_Wkst'!$Q$7:$Q$2010,'LAC 102_Wkst'!$D$7:$D$2010,$C$7,'LAC 102_Wkst'!$I$7:$I$2010,$C$9,'LAC 102_Wkst'!$E$7:$E$2010,$C38,'LAC 102_Wkst'!$G$7:$G$2010,$D38,'LAC 102_Wkst'!$L$7:$L$2010,"07",'LAC 102_Wkst'!$N$7:$N$2010,"P5")</f>
        <v>0</v>
      </c>
      <c r="AE38" s="411">
        <f>SUMIFS('LAC 102_Wkst'!$AF$7:$AF$2010,'LAC 102_Wkst'!$D$7:$D$2010,$C$7,'LAC 102_Wkst'!$I$7:$I$2010,$C$9,'LAC 102_Wkst'!$E$7:$E$2010,$C38,'LAC 102_Wkst'!$G$7:$G$2010,$D38,'LAC 102_Wkst'!$L$7:$L$2010,"07",'LAC 102_Wkst'!$N$7:$N$2010,"P5")</f>
        <v>0</v>
      </c>
      <c r="AF38" s="410">
        <f>SUMIFS('LAC 102_Wkst'!$Q$7:$Q$2010,'LAC 102_Wkst'!$D$7:$D$2010,$C$7,'LAC 102_Wkst'!$I$7:$I$2010,$C$9,'LAC 102_Wkst'!$E$7:$E$2010,$C38,'LAC 102_Wkst'!$G$7:$G$2010,$D38,'LAC 102_Wkst'!$L$7:$L$2010,"08",'LAC 102_Wkst'!$N$7:$N$2010,"P1")+SUMIFS('LAC 102_Wkst'!$Q$7:$Q$2010,'LAC 102_Wkst'!$D$7:$D$2010,$C$7,'LAC 102_Wkst'!$I$7:$I$2010,$C$9,'LAC 102_Wkst'!$E$7:$E$2010,$C38,'LAC 102_Wkst'!$G$7:$G$2010,$D38,'LAC 102_Wkst'!$L$7:$L$2010,"08",'LAC 102_Wkst'!$N$7:$N$2010,"P2")+SUMIFS('LAC 102_Wkst'!$Q$7:$Q$2010,'LAC 102_Wkst'!$D$7:$D$2010,$C$7,'LAC 102_Wkst'!$I$7:$I$2010,$C$9,'LAC 102_Wkst'!$E$7:$E$2010,$C38,'LAC 102_Wkst'!$G$7:$G$2010,$D38,'LAC 102_Wkst'!$L$7:$L$2010,"08",'LAC 102_Wkst'!$N$7:$N$2010,"P3")</f>
        <v>0</v>
      </c>
      <c r="AG38" s="411">
        <f>SUMIFS('LAC 102_Wkst'!$AF$7:$AF$2010,'LAC 102_Wkst'!$D$7:$D$2010,$C$7,'LAC 102_Wkst'!$I$7:$I$2010,$C$9,'LAC 102_Wkst'!$E$7:$E$2010,$C38,'LAC 102_Wkst'!$G$7:$G$2010,$D38,'LAC 102_Wkst'!$L$7:$L$2010,"08",'LAC 102_Wkst'!$N$7:$N$2010,"P1")+SUMIFS('LAC 102_Wkst'!$AF$7:$AF$2010,'LAC 102_Wkst'!$D$7:$D$2010,$C$7,'LAC 102_Wkst'!$I$7:$I$2010,$C$9,'LAC 102_Wkst'!$E$7:$E$2010,$C38,'LAC 102_Wkst'!$G$7:$G$2010,$D38,'LAC 102_Wkst'!$L$7:$L$2010,"08",'LAC 102_Wkst'!$N$7:$N$2010,"P2")+SUMIFS('LAC 102_Wkst'!$AF$7:$AF$2010,'LAC 102_Wkst'!$D$7:$D$2010,$C$7,'LAC 102_Wkst'!$I$7:$I$2010,$C$9,'LAC 102_Wkst'!$E$7:$E$2010,$C38,'LAC 102_Wkst'!$G$7:$G$2010,$D38,'LAC 102_Wkst'!$L$7:$L$2010,"08",'LAC 102_Wkst'!$N$7:$N$2010,"P3")</f>
        <v>0</v>
      </c>
      <c r="AH38" s="410">
        <f>SUMIFS('LAC 102_Wkst'!$Q$7:$Q$2010,'LAC 102_Wkst'!$D$7:$D$2010,$C$7,'LAC 102_Wkst'!$I$7:$I$2010,$C$9,'LAC 102_Wkst'!$E$7:$E$2010,$C38,'LAC 102_Wkst'!$G$7:$G$2010,$D38,'LAC 102_Wkst'!$L$7:$L$2010,"08",'LAC 102_Wkst'!$N$7:$N$2010,"P4")</f>
        <v>0</v>
      </c>
      <c r="AI38" s="411">
        <f>SUMIFS('LAC 102_Wkst'!$AF$7:$AF$2010,'LAC 102_Wkst'!$D$7:$D$2010,$C$7,'LAC 102_Wkst'!$I$7:$I$2010,$C$9,'LAC 102_Wkst'!$E$7:$E$2010,$C38,'LAC 102_Wkst'!$G$7:$G$2010,$D38,'LAC 102_Wkst'!$L$7:$L$2010,"08",'LAC 102_Wkst'!$N$7:$N$2010,"P4")</f>
        <v>0</v>
      </c>
      <c r="AJ38" s="410">
        <f>SUMIFS('LAC 102_Wkst'!$Q$7:$Q$2010,'LAC 102_Wkst'!$D$7:$D$2010,$C$7,'LAC 102_Wkst'!$I$7:$I$2010,$C$9,'LAC 102_Wkst'!$E$7:$E$2010,$C38,'LAC 102_Wkst'!$G$7:$G$2010,$D38,'LAC 102_Wkst'!$L$7:$L$2010,"08",'LAC 102_Wkst'!$N$7:$N$2010,"P5")</f>
        <v>0</v>
      </c>
      <c r="AK38" s="411">
        <f>SUMIFS('LAC 102_Wkst'!$AF$7:$AF$2010,'LAC 102_Wkst'!$D$7:$D$2010,$C$7,'LAC 102_Wkst'!$I$7:$I$2010,$C$9,'LAC 102_Wkst'!$E$7:$E$2010,$C38,'LAC 102_Wkst'!$G$7:$G$2010,$D38,'LAC 102_Wkst'!$L$7:$L$2010,"08",'LAC 102_Wkst'!$N$7:$N$2010,"P5")</f>
        <v>0</v>
      </c>
      <c r="AL38" s="410">
        <f>SUMIFS('LAC 102_Wkst'!$Q$7:$Q$2010,'LAC 102_Wkst'!$D$7:$D$2010,$C$7,'LAC 102_Wkst'!$I$7:$I$2010,$C$9,'LAC 102_Wkst'!$E$7:$E$2010,$C38,'LAC 102_Wkst'!$G$7:$G$2010,$D38,'LAC 102_Wkst'!$L$7:$L$2010,"09",'LAC 102_Wkst'!$N$7:$N$2010,"P1")+SUMIFS('LAC 102_Wkst'!$Q$7:$Q$2010,'LAC 102_Wkst'!$D$7:$D$2010,$C$7,'LAC 102_Wkst'!$I$7:$I$2010,$C$9,'LAC 102_Wkst'!$E$7:$E$2010,$C38,'LAC 102_Wkst'!$G$7:$G$2010,$D38,'LAC 102_Wkst'!$L$7:$L$2010,"09",'LAC 102_Wkst'!$N$7:$N$2010,"P2")+SUMIFS('LAC 102_Wkst'!$Q$7:$Q$2010,'LAC 102_Wkst'!$D$7:$D$2010,$C$7,'LAC 102_Wkst'!$I$7:$I$2010,$C$9,'LAC 102_Wkst'!$E$7:$E$2010,$C38,'LAC 102_Wkst'!$G$7:$G$2010,$D38,'LAC 102_Wkst'!$L$7:$L$2010,"09",'LAC 102_Wkst'!$N$7:$N$2010,"P3")+SUMIFS('LAC 102_Wkst'!$Q$7:$Q$2010,'LAC 102_Wkst'!$D$7:$D$2010,$C$7,'LAC 102_Wkst'!$I$7:$I$2010,$C$9,'LAC 102_Wkst'!$E$7:$E$2010,$C38,'LAC 102_Wkst'!$G$7:$G$2010,$D38,'LAC 102_Wkst'!$L$7:$L$2010,"09",'LAC 102_Wkst'!$N$7:$N$2010,"P4")</f>
        <v>0</v>
      </c>
      <c r="AM38" s="411">
        <f>SUMIFS('LAC 102_Wkst'!$AF$7:$AF$2010,'LAC 102_Wkst'!$D$7:$D$2010,$C$7,'LAC 102_Wkst'!$I$7:$I$2010,$C$9,'LAC 102_Wkst'!$E$7:$E$2010,$C38,'LAC 102_Wkst'!$G$7:$G$2010,$D38,'LAC 102_Wkst'!$L$7:$L$2010,"09",'LAC 102_Wkst'!$N$7:$N$2010,"P1")+SUMIFS('LAC 102_Wkst'!$AF$7:$AF$2010,'LAC 102_Wkst'!$D$7:$D$2010,$C$7,'LAC 102_Wkst'!$I$7:$I$2010,$C$9,'LAC 102_Wkst'!$E$7:$E$2010,$C38,'LAC 102_Wkst'!$G$7:$G$2010,$D38,'LAC 102_Wkst'!$L$7:$L$2010,"09",'LAC 102_Wkst'!$N$7:$N$2010,"P2")+SUMIFS('LAC 102_Wkst'!$AF$7:$AF$2010,'LAC 102_Wkst'!$D$7:$D$2010,$C$7,'LAC 102_Wkst'!$I$7:$I$2010,$C$9,'LAC 102_Wkst'!$E$7:$E$2010,$C38,'LAC 102_Wkst'!$G$7:$G$2010,$D38,'LAC 102_Wkst'!$L$7:$L$2010,"09",'LAC 102_Wkst'!$N$7:$N$2010,"P3")+SUMIFS('LAC 102_Wkst'!$AF$7:$AF$2010,'LAC 102_Wkst'!$D$7:$D$2010,$C$7,'LAC 102_Wkst'!$I$7:$I$2010,$C$9,'LAC 102_Wkst'!$E$7:$E$2010,$C38,'LAC 102_Wkst'!$G$7:$G$2010,$D38,'LAC 102_Wkst'!$L$7:$L$2010,"09",'LAC 102_Wkst'!$N$7:$N$2010,"P4")</f>
        <v>0</v>
      </c>
      <c r="AN38" s="410">
        <f>SUMIFS('LAC 102_Wkst'!$Q$7:$Q$2010,'LAC 102_Wkst'!$D$7:$D$2010,$C$7,'LAC 102_Wkst'!$I$7:$I$2010,$C$9,'LAC 102_Wkst'!$E$7:$E$2010,$C38,'LAC 102_Wkst'!$G$7:$G$2010,$D38,'LAC 102_Wkst'!$L$7:$L$2010,"09",'LAC 102_Wkst'!$N$7:$N$2010,"P5")</f>
        <v>0</v>
      </c>
      <c r="AO38" s="411">
        <f>SUMIFS('LAC 102_Wkst'!$AF$7:$AF$2010,'LAC 102_Wkst'!$D$7:$D$2010,$C$7,'LAC 102_Wkst'!$I$7:$I$2010,$C$9,'LAC 102_Wkst'!$E$7:$E$2010,$C38,'LAC 102_Wkst'!$G$7:$G$2010,$D38,'LAC 102_Wkst'!$L$7:$L$2010,"09",'LAC 102_Wkst'!$N$7:$N$2010,"P5")</f>
        <v>0</v>
      </c>
      <c r="AP38" s="410">
        <f>SUMIFS('LAC 102_Wkst'!$Q$7:$Q$2010,'LAC 102_Wkst'!$D$7:$D$2010,$C$7,'LAC 102_Wkst'!$I$7:$I$2010,$C$9,'LAC 102_Wkst'!$E$7:$E$2010,$C38,'LAC 102_Wkst'!$G$7:$G$2010,$D38,'LAC 102_Wkst'!$L$7:$L$2010,"10",'LAC 102_Wkst'!$N$7:$N$2010,"P1")+SUMIFS('LAC 102_Wkst'!$Q$7:$Q$2010,'LAC 102_Wkst'!$D$7:$D$2010,$C$7,'LAC 102_Wkst'!$I$7:$I$2010,$C$9,'LAC 102_Wkst'!$E$7:$E$2010,$C38,'LAC 102_Wkst'!$G$7:$G$2010,$D38,'LAC 102_Wkst'!$L$7:$L$2010,"10",'LAC 102_Wkst'!$N$7:$N$2010,"P2")+SUMIFS('LAC 102_Wkst'!$Q$7:$Q$2010,'LAC 102_Wkst'!$D$7:$D$2010,$C$7,'LAC 102_Wkst'!$I$7:$I$2010,$C$9,'LAC 102_Wkst'!$E$7:$E$2010,$C38,'LAC 102_Wkst'!$G$7:$G$2010,$D38,'LAC 102_Wkst'!$L$7:$L$2010,"10",'LAC 102_Wkst'!$N$7:$N$2010,"P3")+SUMIFS('LAC 102_Wkst'!$Q$7:$Q$2010,'LAC 102_Wkst'!$D$7:$D$2010,$C$7,'LAC 102_Wkst'!$I$7:$I$2010,$C$9,'LAC 102_Wkst'!$E$7:$E$2010,$C38,'LAC 102_Wkst'!$G$7:$G$2010,$D38,'LAC 102_Wkst'!$L$7:$L$2010,"10",'LAC 102_Wkst'!$N$7:$N$2010,"P4")</f>
        <v>0</v>
      </c>
      <c r="AQ38" s="411">
        <f>SUMIFS('LAC 102_Wkst'!$AF$7:$AF$2010,'LAC 102_Wkst'!$D$7:$D$2010,$C$7,'LAC 102_Wkst'!$I$7:$I$2010,$C$9,'LAC 102_Wkst'!$E$7:$E$2010,$C38,'LAC 102_Wkst'!$G$7:$G$2010,$D38,'LAC 102_Wkst'!$L$7:$L$2010,"10",'LAC 102_Wkst'!$N$7:$N$2010,"P1")+SUMIFS('LAC 102_Wkst'!$AF$7:$AF$2010,'LAC 102_Wkst'!$D$7:$D$2010,$C$7,'LAC 102_Wkst'!$I$7:$I$2010,$C$9,'LAC 102_Wkst'!$E$7:$E$2010,$C38,'LAC 102_Wkst'!$G$7:$G$2010,$D38,'LAC 102_Wkst'!$L$7:$L$2010,"10",'LAC 102_Wkst'!$N$7:$N$2010,"P2")+SUMIFS('LAC 102_Wkst'!$AF$7:$AF$2010,'LAC 102_Wkst'!$D$7:$D$2010,$C$7,'LAC 102_Wkst'!$I$7:$I$2010,$C$9,'LAC 102_Wkst'!$E$7:$E$2010,$C38,'LAC 102_Wkst'!$G$7:$G$2010,$D38,'LAC 102_Wkst'!$L$7:$L$2010,"10",'LAC 102_Wkst'!$N$7:$N$2010,"P3")+SUMIFS('LAC 102_Wkst'!$AF$7:$AF$2010,'LAC 102_Wkst'!$D$7:$D$2010,$C$7,'LAC 102_Wkst'!$I$7:$I$2010,$C$9,'LAC 102_Wkst'!$E$7:$E$2010,$C38,'LAC 102_Wkst'!$G$7:$G$2010,$D38,'LAC 102_Wkst'!$L$7:$L$2010,"10",'LAC 102_Wkst'!$N$7:$N$2010,"P4")</f>
        <v>0</v>
      </c>
      <c r="AR38" s="410">
        <f>SUMIFS('LAC 102_Wkst'!$Q$7:$Q$2010,'LAC 102_Wkst'!$D$7:$D$2010,$C$7,'LAC 102_Wkst'!$I$7:$I$2010,$C$9,'LAC 102_Wkst'!$E$7:$E$2010,$C38,'LAC 102_Wkst'!$G$7:$G$2010,$D38,'LAC 102_Wkst'!$L$7:$L$2010,"10",'LAC 102_Wkst'!$N$7:$N$2010,"P5")</f>
        <v>0</v>
      </c>
      <c r="AS38" s="411">
        <f>SUMIFS('LAC 102_Wkst'!$AF$7:$AF$2010,'LAC 102_Wkst'!$D$7:$D$2010,$C$7,'LAC 102_Wkst'!$I$7:$I$2010,$C$9,'LAC 102_Wkst'!$E$7:$E$2010,$C38,'LAC 102_Wkst'!$G$7:$G$2010,$D38,'LAC 102_Wkst'!$L$7:$L$2010,"10",'LAC 102_Wkst'!$N$7:$N$2010,"P5")</f>
        <v>0</v>
      </c>
      <c r="AT38" s="410">
        <f>SUMIFS('LAC 102_Wkst'!$Q$7:$Q$2010,'LAC 102_Wkst'!$D$7:$D$2010,$C$7,'LAC 102_Wkst'!$I$7:$I$2010,$C$9,'LAC 102_Wkst'!$E$7:$E$2010,$C38,'LAC 102_Wkst'!$G$7:$G$2010,$D38,'LAC 102_Wkst'!$L$7:$L$2010,"11",'LAC 102_Wkst'!$N$7:$N$2010,"P1")+SUMIFS('LAC 102_Wkst'!$Q$7:$Q$2010,'LAC 102_Wkst'!$D$7:$D$2010,$C$7,'LAC 102_Wkst'!$I$7:$I$2010,$C$9,'LAC 102_Wkst'!$E$7:$E$2010,$C38,'LAC 102_Wkst'!$G$7:$G$2010,$D38,'LAC 102_Wkst'!$L$7:$L$2010,"12",'LAC 102_Wkst'!$N$7:$N$2010,"P1")</f>
        <v>0</v>
      </c>
      <c r="AU38" s="411">
        <f>SUMIFS('LAC 102_Wkst'!$Q$7:$Q$2010,'LAC 102_Wkst'!$D$7:$D$2010,$C$7,'LAC 102_Wkst'!$I$7:$I$2010,$C$9,'LAC 102_Wkst'!$E$7:$E$2010,$C38,'LAC 102_Wkst'!$G$7:$G$2010,$D38,'LAC 102_Wkst'!$L$7:$L$2010,"13",'LAC 102_Wkst'!$N$7:$N$2010,"P5")</f>
        <v>0</v>
      </c>
      <c r="AV38" s="410">
        <f>SUMIFS('LAC 102_Wkst'!$Q$7:$Q$2010,'LAC 102_Wkst'!$D$7:$D$2010,$C$7,'LAC 102_Wkst'!$I$7:$I$2010,$C$9,'LAC 102_Wkst'!$E$7:$E$2010,$C38,'LAC 102_Wkst'!$G$7:$G$2010,$D38,'LAC 102_Wkst'!$L$7:$L$2010,"11",'LAC 102_Wkst'!$N$7:$N$2010,"P2")+SUMIFS('LAC 102_Wkst'!$Q$7:$Q$2010,'LAC 102_Wkst'!$D$7:$D$2010,$C$7,'LAC 102_Wkst'!$I$7:$I$2010,$C$9,'LAC 102_Wkst'!$E$7:$E$2010,$C38,'LAC 102_Wkst'!$G$7:$G$2010,$D38,'LAC 102_Wkst'!$L$7:$L$2010,"12",'LAC 102_Wkst'!$N$7:$N$2010,"P2")+SUMIFS('LAC 102_Wkst'!$Q$7:$Q$2010,'LAC 102_Wkst'!$D$7:$D$2010,$C$7,'LAC 102_Wkst'!$I$7:$I$2010,$C$9,'LAC 102_Wkst'!$E$7:$E$2010,$C38,'LAC 102_Wkst'!$G$7:$G$2010,$D38,'LAC 102_Wkst'!$L$7:$L$2010,"11",'LAC 102_Wkst'!$N$7:$N$2010,"P3")+SUMIFS('LAC 102_Wkst'!$Q$7:$Q$2010,'LAC 102_Wkst'!$D$7:$D$2010,$C$7,'LAC 102_Wkst'!$I$7:$I$2010,$C$9,'LAC 102_Wkst'!$E$7:$E$2010,$C38,'LAC 102_Wkst'!$G$7:$G$2010,$D38,'LAC 102_Wkst'!$L$7:$L$2010,"12",'LAC 102_Wkst'!$N$7:$N$2010,"P3")</f>
        <v>0</v>
      </c>
      <c r="AW38" s="411">
        <f>SUMIFS('LAC 102_Wkst'!$AF$7:$AF$2010,'LAC 102_Wkst'!$D$7:$D$2010,$C$7,'LAC 102_Wkst'!$I$7:$I$2010,$C$9,'LAC 102_Wkst'!$E$7:$E$2010,$C38,'LAC 102_Wkst'!$G$7:$G$2010,$D38,'LAC 102_Wkst'!$L$7:$L$2010,"11",'LAC 102_Wkst'!$N$7:$N$2010,"P2")+SUMIFS('LAC 102_Wkst'!$AF$7:$AF$2010,'LAC 102_Wkst'!$D$7:$D$2010,$C$7,'LAC 102_Wkst'!$I$7:$I$2010,$C$9,'LAC 102_Wkst'!$E$7:$E$2010,$C38,'LAC 102_Wkst'!$G$7:$G$2010,$D38,'LAC 102_Wkst'!$L$7:$L$2010,"12",'LAC 102_Wkst'!$N$7:$N$2010,"P2")+SUMIFS('LAC 102_Wkst'!$AF$7:$AF$2010,'LAC 102_Wkst'!$D$7:$D$2010,$C$7,'LAC 102_Wkst'!$I$7:$I$2010,$C$9,'LAC 102_Wkst'!$E$7:$E$2010,$C38,'LAC 102_Wkst'!$G$7:$G$2010,$D38,'LAC 102_Wkst'!$L$7:$L$2010,"11",'LAC 102_Wkst'!$N$7:$N$2010,"P3")+SUMIFS('LAC 102_Wkst'!$AF$7:$AF$2010,'LAC 102_Wkst'!$D$7:$D$2010,$C$7,'LAC 102_Wkst'!$I$7:$I$2010,$C$9,'LAC 102_Wkst'!$E$7:$E$2010,$C38,'LAC 102_Wkst'!$G$7:$G$2010,$D38,'LAC 102_Wkst'!$L$7:$L$2010,"12",'LAC 102_Wkst'!$N$7:$N$2010,"P3")</f>
        <v>0</v>
      </c>
      <c r="AX38" s="410">
        <f>SUMIFS('LAC 102_Wkst'!$Q$7:$Q$2010,'LAC 102_Wkst'!$D$7:$D$2010,$C$7,'LAC 102_Wkst'!$I$7:$I$2010,$C$9,'LAC 102_Wkst'!$E$7:$E$2010,$C38,'LAC 102_Wkst'!$G$7:$G$2010,$D38,'LAC 102_Wkst'!$L$7:$L$2010,"11",'LAC 102_Wkst'!$N$7:$N$2010,"P4")+SUMIFS('LAC 102_Wkst'!$Q$7:$Q$2010,'LAC 102_Wkst'!$D$7:$D$2010,$C$7,'LAC 102_Wkst'!$I$7:$I$2010,$C$9,'LAC 102_Wkst'!$E$7:$E$2010,$C38,'LAC 102_Wkst'!$G$7:$G$2010,$D38,'LAC 102_Wkst'!$L$7:$L$2010,"12",'LAC 102_Wkst'!$N$7:$N$2010,"P4")</f>
        <v>0</v>
      </c>
      <c r="AY38" s="411">
        <f>SUMIFS('LAC 102_Wkst'!$AF$7:$AF$2010,'LAC 102_Wkst'!$D$7:$D$2010,$C$7,'LAC 102_Wkst'!$I$7:$I$2010,$C$9,'LAC 102_Wkst'!$E$7:$E$2010,$C38,'LAC 102_Wkst'!$G$7:$G$2010,$D38,'LAC 102_Wkst'!$L$7:$L$2010,"11",'LAC 102_Wkst'!$N$7:$N$2010,"P4")+SUMIFS('LAC 102_Wkst'!$AF$7:$AF$2010,'LAC 102_Wkst'!$D$7:$D$2010,$C$7,'LAC 102_Wkst'!$I$7:$I$2010,$C$9,'LAC 102_Wkst'!$E$7:$E$2010,$C38,'LAC 102_Wkst'!$G$7:$G$2010,$D38,'LAC 102_Wkst'!$L$7:$L$2010,"12",'LAC 102_Wkst'!$N$7:$N$2010,"P4")</f>
        <v>0</v>
      </c>
      <c r="AZ38" s="410">
        <f>SUMIFS('LAC 102_Wkst'!$Q$7:$Q$2010,'LAC 102_Wkst'!$D$7:$D$2010,$C$7,'LAC 102_Wkst'!$I$7:$I$2010,$C$9,'LAC 102_Wkst'!$E$7:$E$2010,$C38,'LAC 102_Wkst'!$G$7:$G$2010,$D38,'LAC 102_Wkst'!$L$7:$L$2010,"11",'LAC 102_Wkst'!$N$7:$N$2010,"P5")+SUMIFS('LAC 102_Wkst'!$Q$7:$Q$2010,'LAC 102_Wkst'!$D$7:$D$2010,$C$7,'LAC 102_Wkst'!$I$7:$I$2010,$C$9,'LAC 102_Wkst'!$E$7:$E$2010,$C38,'LAC 102_Wkst'!$G$7:$G$2010,$D38,'LAC 102_Wkst'!$L$7:$L$2010,"12",'LAC 102_Wkst'!$N$7:$N$2010,"P5")</f>
        <v>0</v>
      </c>
      <c r="BA38" s="411">
        <f>SUMIFS('LAC 102_Wkst'!$AF$7:$AF$2010,'LAC 102_Wkst'!$D$7:$D$2010,$C$7,'LAC 102_Wkst'!$I$7:$I$2010,$C$9,'LAC 102_Wkst'!$E$7:$E$2010,$C38,'LAC 102_Wkst'!$G$7:$G$2010,$D38,'LAC 102_Wkst'!$L$7:$L$2010,"11",'LAC 102_Wkst'!$N$7:$N$2010,"P5")+SUMIFS('LAC 102_Wkst'!$AF$7:$AF$2010,'LAC 102_Wkst'!$D$7:$D$2010,$C$7,'LAC 102_Wkst'!$I$7:$I$2010,$C$9,'LAC 102_Wkst'!$E$7:$E$2010,$C38,'LAC 102_Wkst'!$G$7:$G$2010,$D38,'LAC 102_Wkst'!$L$7:$L$2010,"12",'LAC 102_Wkst'!$N$7:$N$2010,"P5")</f>
        <v>0</v>
      </c>
      <c r="BB38" s="410">
        <f>SUMIFS('LAC 102_Wkst'!$Q$7:$Q$2010,'LAC 102_Wkst'!$D$7:$D$2010,$C$7,'LAC 102_Wkst'!$I$7:$I$2010,$C$9,'LAC 102_Wkst'!$E$7:$E$2010,$C38,'LAC 102_Wkst'!$G$7:$G$2010,$D38,'LAC 102_Wkst'!$L$7:$L$2010,"13",'LAC 102_Wkst'!$N$7:$N$2010,"P1")+SUMIFS('LAC 102_Wkst'!$Q$7:$Q$2010,'LAC 102_Wkst'!$D$7:$D$2010,$C$7,'LAC 102_Wkst'!$I$7:$I$2010,$C$9,'LAC 102_Wkst'!$E$7:$E$2010,$C38,'LAC 102_Wkst'!$G$7:$G$2010,$D38,'LAC 102_Wkst'!$L$7:$L$2010,"13",'LAC 102_Wkst'!$N$7:$N$2010,"P2")+SUMIFS('LAC 102_Wkst'!$Q$7:$Q$2010,'LAC 102_Wkst'!$D$7:$D$2010,$C$7,'LAC 102_Wkst'!$I$7:$I$2010,$C$9,'LAC 102_Wkst'!$E$7:$E$2010,$C38,'LAC 102_Wkst'!$G$7:$G$2010,$D38,'LAC 102_Wkst'!$L$7:$L$2010,"13",'LAC 102_Wkst'!$N$7:$N$2010,"P3")+SUMIFS('LAC 102_Wkst'!$Q$7:$Q$2010,'LAC 102_Wkst'!$D$7:$D$2010,$C$7,'LAC 102_Wkst'!$I$7:$I$2010,$C$9,'LAC 102_Wkst'!$E$7:$E$2010,$C38,'LAC 102_Wkst'!$G$7:$G$2010,$D38,'LAC 102_Wkst'!$L$7:$L$2010,"13",'LAC 102_Wkst'!$N$7:$N$2010,"P4")</f>
        <v>0</v>
      </c>
      <c r="BC38" s="411">
        <f>SUMIFS('LAC 102_Wkst'!$AF$7:$AF$2010,'LAC 102_Wkst'!$D$7:$D$2010,$C$7,'LAC 102_Wkst'!$I$7:$I$2010,$C$9,'LAC 102_Wkst'!$E$7:$E$2010,$C38,'LAC 102_Wkst'!$G$7:$G$2010,$D38,'LAC 102_Wkst'!$L$7:$L$2010,"13",'LAC 102_Wkst'!$N$7:$N$2010,"P1")+SUMIFS('LAC 102_Wkst'!$AF$7:$AF$2010,'LAC 102_Wkst'!$D$7:$D$2010,$C$7,'LAC 102_Wkst'!$I$7:$I$2010,$C$9,'LAC 102_Wkst'!$E$7:$E$2010,$C38,'LAC 102_Wkst'!$G$7:$G$2010,$D38,'LAC 102_Wkst'!$L$7:$L$2010,"13",'LAC 102_Wkst'!$N$7:$N$2010,"P2")+SUMIFS('LAC 102_Wkst'!$AF$7:$AF$2010,'LAC 102_Wkst'!$D$7:$D$2010,$C$7,'LAC 102_Wkst'!$I$7:$I$2010,$C$9,'LAC 102_Wkst'!$E$7:$E$2010,$C38,'LAC 102_Wkst'!$G$7:$G$2010,$D38,'LAC 102_Wkst'!$L$7:$L$2010,"13",'LAC 102_Wkst'!$N$7:$N$2010,"P3")+SUMIFS('LAC 102_Wkst'!$AF$7:$AF$2010,'LAC 102_Wkst'!$D$7:$D$2010,$C$7,'LAC 102_Wkst'!$I$7:$I$2010,$C$9,'LAC 102_Wkst'!$E$7:$E$2010,$C38,'LAC 102_Wkst'!$G$7:$G$2010,$D38,'LAC 102_Wkst'!$L$7:$L$2010,"13",'LAC 102_Wkst'!$N$7:$N$2010,"P4")</f>
        <v>0</v>
      </c>
      <c r="BD38" s="410">
        <f>SUMIFS('LAC 102_Wkst'!$Q$7:$Q$2010,'LAC 102_Wkst'!$D$7:$D$2010,$C$7,'LAC 102_Wkst'!$I$7:$I$2010,$C$9,'LAC 102_Wkst'!$E$7:$E$2010,$C38,'LAC 102_Wkst'!$G$7:$G$2010,$D38,'LAC 102_Wkst'!$L$7:$L$2010,"13",'LAC 102_Wkst'!$N$7:$N$2010,"P5")</f>
        <v>0</v>
      </c>
      <c r="BE38" s="411">
        <f>SUMIFS('LAC 102_Wkst'!$AF$7:$AF$2010,'LAC 102_Wkst'!$D$7:$D$2010,$C$7,'LAC 102_Wkst'!$I$7:$I$2010,$C$9,'LAC 102_Wkst'!$E$7:$E$2010,$C38,'LAC 102_Wkst'!$G$7:$G$2010,$D38,'LAC 102_Wkst'!$L$7:$L$2010,"13",'LAC 102_Wkst'!$N$7:$N$2010,"P5")</f>
        <v>0</v>
      </c>
      <c r="BF38" s="407">
        <f t="shared" si="4"/>
        <v>0</v>
      </c>
      <c r="BG38" s="1654">
        <f>SUMIFS('LAC 102_Wkst'!$AF$7:$AF$2010,'LAC 102_Wkst'!$D$7:$D$2010,$C$7,'LAC 102_Wkst'!$I$7:$I$2010,$C$9,'LAC 102_Wkst'!$E$7:$E$2010,$C38,'LAC 102_Wkst'!$G$7:$G$2010,$D38,'LAC 102_Wkst'!$L$7:$L$2010,"14")</f>
        <v>0</v>
      </c>
    </row>
    <row r="39" spans="1:59" x14ac:dyDescent="0.2">
      <c r="A39" s="401">
        <v>17</v>
      </c>
      <c r="B39" s="1678" t="str">
        <f>IF(Schedule_B!B$36="","",Schedule_B!B$36)</f>
        <v>CR</v>
      </c>
      <c r="C39" s="1674" t="str">
        <f>IF(Schedule_B!C$36=""," ",Schedule_B!C$36)</f>
        <v>60</v>
      </c>
      <c r="D39" s="1675" t="str">
        <f>IF(Schedule_B!D$36=""," ",Schedule_B!D$36)</f>
        <v>70</v>
      </c>
      <c r="E39" s="1221">
        <f>SUMIFS('LAC 102_Wkst'!$Q$7:$Q$2010,'LAC 102_Wkst'!$D$7:$D$2010,$C$7,'LAC 102_Wkst'!$I$7:$I$2010,$C$9,'LAC 102_Wkst'!$E$7:$E$2010,$C39,'LAC 102_Wkst'!$G$7:$G$2010,$D39)</f>
        <v>0</v>
      </c>
      <c r="F39" s="408">
        <f>SUMIFS('LAC 102_Wkst'!$Q$7:$Q$2010,'LAC 102_Wkst'!$D$7:$D$2010,$C$7,'LAC 102_Wkst'!$I$7:$I$2010,$C$9,'LAC 102_Wkst'!$E$7:$E$2010,$C39,'LAC 102_Wkst'!$G$7:$G$2010,$D39,'LAC 102_Wkst'!$L$7:$L$2010,"01",'LAC 102_Wkst'!$N$7:$N$2010,"P1")+SUMIFS('LAC 102_Wkst'!$Q$7:$Q$2010,'LAC 102_Wkst'!$D$7:$D$2010,$C$7,'LAC 102_Wkst'!$I$7:$I$2010,$C$9,'LAC 102_Wkst'!$E$7:$E$2010,$C39,'LAC 102_Wkst'!$G$7:$G$2010,$D39,'LAC 102_Wkst'!$L$7:$L$2010,"01",'LAC 102_Wkst'!$N$7:$N$2010,"P2")+SUMIFS('LAC 102_Wkst'!$Q$7:$Q$2010,'LAC 102_Wkst'!$D$7:$D$2010,$C$7,'LAC 102_Wkst'!$I$7:$I$2010,$C$9,'LAC 102_Wkst'!$E$7:$E$2010,$C39,'LAC 102_Wkst'!$G$7:$G$2010,$D39,'LAC 102_Wkst'!$L$7:$L$2010,"01",'LAC 102_Wkst'!$N$7:$N$2010,"P3")+SUMIFS('LAC 102_Wkst'!$Q$7:$Q$2010,'LAC 102_Wkst'!$D$7:$D$2010,$C$7,'LAC 102_Wkst'!$I$7:$I$2010,$C$9,'LAC 102_Wkst'!$E$7:$E$2010,$C39,'LAC 102_Wkst'!$G$7:$G$2010,$D39,'LAC 102_Wkst'!$L$7:$L$2010,"02",'LAC 102_Wkst'!$N$7:$N$2010,"P1")+SUMIFS('LAC 102_Wkst'!$Q$7:$Q$2010,'LAC 102_Wkst'!$D$7:$D$2010,$C$7,'LAC 102_Wkst'!$I$7:$I$2010,$C$9,'LAC 102_Wkst'!$E$7:$E$2010,$C39,'LAC 102_Wkst'!$G$7:$G$2010,$D39,'LAC 102_Wkst'!$L$7:$L$2010,"02",'LAC 102_Wkst'!$N$7:$N$2010,"P2")+SUMIFS('LAC 102_Wkst'!$Q$7:$Q$2010,'LAC 102_Wkst'!$D$7:$D$2010,$C$7,'LAC 102_Wkst'!$I$7:$I$2010,$C$9,'LAC 102_Wkst'!$E$7:$E$2010,$C39,'LAC 102_Wkst'!$G$7:$G$2010,$D39,'LAC 102_Wkst'!$L$7:$L$2010,"02",'LAC 102_Wkst'!$N$7:$N$2010,"P3")</f>
        <v>0</v>
      </c>
      <c r="G39" s="409">
        <f>SUMIFS('LAC 102_Wkst'!$AF$7:$AF$2010,'LAC 102_Wkst'!$D$7:$D$2010,$C$7,'LAC 102_Wkst'!$I$7:$I$2010,$C$9,'LAC 102_Wkst'!$E$7:$E$2010,$C39,'LAC 102_Wkst'!$G$7:$G$2010,$D39,'LAC 102_Wkst'!$L$7:$L$2010,"01",'LAC 102_Wkst'!$N$7:$N$2010,"P1")+SUMIFS('LAC 102_Wkst'!$AF$7:$AF$2010,'LAC 102_Wkst'!$D$7:$D$2010,$C$7,'LAC 102_Wkst'!$I$7:$I$2010,$C$9,'LAC 102_Wkst'!$E$7:$E$2010,$C39,'LAC 102_Wkst'!$G$7:$G$2010,$D39,'LAC 102_Wkst'!$L$7:$L$2010,"01",'LAC 102_Wkst'!$N$7:$N$2010,"P2")+SUMIFS('LAC 102_Wkst'!$AF$7:$AF$2010,'LAC 102_Wkst'!$D$7:$D$2010,$C$7,'LAC 102_Wkst'!$I$7:$I$2010,$C$9,'LAC 102_Wkst'!$E$7:$E$2010,$C39,'LAC 102_Wkst'!$G$7:$G$2010,$D39,'LAC 102_Wkst'!$L$7:$L$2010,"01",'LAC 102_Wkst'!$N$7:$N$2010,"P3")+SUMIFS('LAC 102_Wkst'!$AF$7:$AF$2010,'LAC 102_Wkst'!$D$7:$D$2010,$C$7,'LAC 102_Wkst'!$I$7:$I$2010,$C$9,'LAC 102_Wkst'!$E$7:$E$2010,$C39,'LAC 102_Wkst'!$G$7:$G$2010,$D39,'LAC 102_Wkst'!$L$7:$L$2010,"02",'LAC 102_Wkst'!$N$7:$N$2010,"P1")+SUMIFS('LAC 102_Wkst'!$AF$7:$AF$2010,'LAC 102_Wkst'!$D$7:$D$2010,$C$7,'LAC 102_Wkst'!$I$7:$I$2010,$C$9,'LAC 102_Wkst'!$E$7:$E$2010,$C39,'LAC 102_Wkst'!$G$7:$G$2010,$D39,'LAC 102_Wkst'!$L$7:$L$2010,"02",'LAC 102_Wkst'!$N$7:$N$2010,"P2")+SUMIFS('LAC 102_Wkst'!$AF$7:$AF$2010,'LAC 102_Wkst'!$D$7:$D$2010,$C$7,'LAC 102_Wkst'!$I$7:$I$2010,$C$9,'LAC 102_Wkst'!$E$7:$E$2010,$C39,'LAC 102_Wkst'!$G$7:$G$2010,$D39,'LAC 102_Wkst'!$L$7:$L$2010,"02",'LAC 102_Wkst'!$N$7:$N$2010,"P3")</f>
        <v>0</v>
      </c>
      <c r="H39" s="410">
        <f>SUMIFS('LAC 102_Wkst'!$Q$7:$Q$2010,'LAC 102_Wkst'!$D$7:$D$2010,$C$7,'LAC 102_Wkst'!$I$7:$I$2010,$C$9,'LAC 102_Wkst'!$E$7:$E$2010,$C39,'LAC 102_Wkst'!$G$7:$G$2010,$D39,'LAC 102_Wkst'!$L$7:$L$2010,"01",'LAC 102_Wkst'!$N$7:$N$2010,"P4")+SUMIFS('LAC 102_Wkst'!$Q$7:$Q$2010,'LAC 102_Wkst'!$D$7:$D$2010,$C$7,'LAC 102_Wkst'!$I$7:$I$2010,$C$9,'LAC 102_Wkst'!$E$7:$E$2010,$C39,'LAC 102_Wkst'!$G$7:$G$2010,$D39,'LAC 102_Wkst'!$L$7:$L$2010,"02",'LAC 102_Wkst'!$N$7:$N$2010,"P4")</f>
        <v>0</v>
      </c>
      <c r="I39" s="411">
        <f>SUMIFS('LAC 102_Wkst'!$AF$7:$AF$2010,'LAC 102_Wkst'!$D$7:$D$2010,$C$7,'LAC 102_Wkst'!$I$7:$I$2010,$C$9,'LAC 102_Wkst'!$E$7:$E$2010,$C39,'LAC 102_Wkst'!$G$7:$G$2010,$D39,'LAC 102_Wkst'!$L$7:$L$2010,"01",'LAC 102_Wkst'!$N$7:$N$2010,"P4")+SUMIFS('LAC 102_Wkst'!$AF$7:$AF$2010,'LAC 102_Wkst'!$D$7:$D$2010,$C$7,'LAC 102_Wkst'!$I$7:$I$2010,$C$9,'LAC 102_Wkst'!$E$7:$E$2010,$C39,'LAC 102_Wkst'!$G$7:$G$2010,$D39,'LAC 102_Wkst'!$L$7:$L$2010,"02",'LAC 102_Wkst'!$N$7:$N$2010,"P4")</f>
        <v>0</v>
      </c>
      <c r="J39" s="410">
        <f>SUMIFS('LAC 102_Wkst'!$Q$7:$Q$2010,'LAC 102_Wkst'!$D$7:$D$2010,$C$7,'LAC 102_Wkst'!$I$7:$I$2010,$C$9,'LAC 102_Wkst'!$E$7:$E$2010,$C39,'LAC 102_Wkst'!$G$7:$G$2010,$D39,'LAC 102_Wkst'!$L$7:$L$2010,"01",'LAC 102_Wkst'!$N$7:$N$2010,"P5")+SUMIFS('LAC 102_Wkst'!$Q$7:$Q$2010,'LAC 102_Wkst'!$D$7:$D$2010,$C$7,'LAC 102_Wkst'!$I$7:$I$2010,$C$9,'LAC 102_Wkst'!$E$7:$E$2010,$C39,'LAC 102_Wkst'!$G$7:$G$2010,$D39,'LAC 102_Wkst'!$L$7:$L$2010,"02",'LAC 102_Wkst'!$N$7:$N$2010,"P5")</f>
        <v>0</v>
      </c>
      <c r="K39" s="411">
        <f>SUMIFS('LAC 102_Wkst'!$AF$7:$AF$2010,'LAC 102_Wkst'!$D$7:$D$2010,$C$7,'LAC 102_Wkst'!$I$7:$I$2010,$C$9,'LAC 102_Wkst'!$E$7:$E$2010,$C39,'LAC 102_Wkst'!$G$7:$G$2010,$D39,'LAC 102_Wkst'!$L$7:$L$2010,"01",'LAC 102_Wkst'!$N$7:$N$2010,"P5")+SUMIFS('LAC 102_Wkst'!$AF$7:$AF$2010,'LAC 102_Wkst'!$D$7:$D$2010,$C$7,'LAC 102_Wkst'!$I$7:$I$2010,$C$9,'LAC 102_Wkst'!$E$7:$E$2010,$C39,'LAC 102_Wkst'!$G$7:$G$2010,$D39,'LAC 102_Wkst'!$L$7:$L$2010,"02",'LAC 102_Wkst'!$N$7:$N$2010,"P5")</f>
        <v>0</v>
      </c>
      <c r="L39" s="410">
        <f>SUMIFS('LAC 102_Wkst'!$Q$7:$Q$2010,'LAC 102_Wkst'!$D$7:$D$2010,$C$7,'LAC 102_Wkst'!$I$7:$I$2010,$C$9,'LAC 102_Wkst'!$E$7:$E$2010,$C39,'LAC 102_Wkst'!$G$7:$G$2010,$D39,'LAC 102_Wkst'!$L$7:$L$2010,"03",'LAC 102_Wkst'!$N$7:$N$2010,"P1")+SUMIFS('LAC 102_Wkst'!$Q$7:$Q$2010,'LAC 102_Wkst'!$D$7:$D$2010,$C$7,'LAC 102_Wkst'!$I$7:$I$2010,$C$9,'LAC 102_Wkst'!$E$7:$E$2010,$C39,'LAC 102_Wkst'!$G$7:$G$2010,$D39,'LAC 102_Wkst'!$L$7:$L$2010,"03",'LAC 102_Wkst'!$N$7:$N$2010,"P2")+SUMIFS('LAC 102_Wkst'!$Q$7:$Q$2010,'LAC 102_Wkst'!$D$7:$D$2010,$C$7,'LAC 102_Wkst'!$I$7:$I$2010,$C$9,'LAC 102_Wkst'!$E$7:$E$2010,$C39,'LAC 102_Wkst'!$G$7:$G$2010,$D39,'LAC 102_Wkst'!$L$7:$L$2010,"03",'LAC 102_Wkst'!$N$7:$N$2010,"P3")+SUMIFS('LAC 102_Wkst'!$Q$7:$Q$2010,'LAC 102_Wkst'!$D$7:$D$2010,$C$7,'LAC 102_Wkst'!$I$7:$I$2010,$C$9,'LAC 102_Wkst'!$E$7:$E$2010,$C39,'LAC 102_Wkst'!$G$7:$G$2010,$D39,'LAC 102_Wkst'!$L$7:$L$2010,"04",'LAC 102_Wkst'!$N$7:$N$2010,"P1")+SUMIFS('LAC 102_Wkst'!$Q$7:$Q$2010,'LAC 102_Wkst'!$D$7:$D$2010,$C$7,'LAC 102_Wkst'!$I$7:$I$2010,$C$9,'LAC 102_Wkst'!$E$7:$E$2010,$C39,'LAC 102_Wkst'!$G$7:$G$2010,$D39,'LAC 102_Wkst'!$L$7:$L$2010,"04",'LAC 102_Wkst'!$N$7:$N$2010,"P2")+SUMIFS('LAC 102_Wkst'!$Q$7:$Q$2010,'LAC 102_Wkst'!$D$7:$D$2010,$C$7,'LAC 102_Wkst'!$I$7:$I$2010,$C$9,'LAC 102_Wkst'!$E$7:$E$2010,$C39,'LAC 102_Wkst'!$G$7:$G$2010,$D39,'LAC 102_Wkst'!$L$7:$L$2010,"04",'LAC 102_Wkst'!$N$7:$N$2010,"P3")</f>
        <v>0</v>
      </c>
      <c r="M39" s="411">
        <f>SUMIFS('LAC 102_Wkst'!$AF$7:$AF$2010,'LAC 102_Wkst'!$D$7:$D$2010,$C$7,'LAC 102_Wkst'!$I$7:$I$2010,$C$9,'LAC 102_Wkst'!$E$7:$E$2010,$C39,'LAC 102_Wkst'!$G$7:$G$2010,$D39,'LAC 102_Wkst'!$L$7:$L$2010,"03",'LAC 102_Wkst'!$N$7:$N$2010,"P1")+SUMIFS('LAC 102_Wkst'!$AF$7:$AF$2010,'LAC 102_Wkst'!$D$7:$D$2010,$C$7,'LAC 102_Wkst'!$I$7:$I$2010,$C$9,'LAC 102_Wkst'!$E$7:$E$2010,$C39,'LAC 102_Wkst'!$G$7:$G$2010,$D39,'LAC 102_Wkst'!$L$7:$L$2010,"03",'LAC 102_Wkst'!$N$7:$N$2010,"P2")+SUMIFS('LAC 102_Wkst'!$AF$7:$AF$2010,'LAC 102_Wkst'!$D$7:$D$2010,$C$7,'LAC 102_Wkst'!$I$7:$I$2010,$C$9,'LAC 102_Wkst'!$E$7:$E$2010,$C39,'LAC 102_Wkst'!$G$7:$G$2010,$D39,'LAC 102_Wkst'!$L$7:$L$2010,"03",'LAC 102_Wkst'!$N$7:$N$2010,"P3")+SUMIFS('LAC 102_Wkst'!$AF$7:$AF$2010,'LAC 102_Wkst'!$D$7:$D$2010,$C$7,'LAC 102_Wkst'!$I$7:$I$2010,$C$9,'LAC 102_Wkst'!$E$7:$E$2010,$C39,'LAC 102_Wkst'!$G$7:$G$2010,$D39,'LAC 102_Wkst'!$L$7:$L$2010,"04",'LAC 102_Wkst'!$N$7:$N$2010,"P1")+SUMIFS('LAC 102_Wkst'!$AF$7:$AF$2010,'LAC 102_Wkst'!$D$7:$D$2010,$C$7,'LAC 102_Wkst'!$I$7:$I$2010,$C$9,'LAC 102_Wkst'!$E$7:$E$2010,$C39,'LAC 102_Wkst'!$G$7:$G$2010,$D39,'LAC 102_Wkst'!$L$7:$L$2010,"04",'LAC 102_Wkst'!$N$7:$N$2010,"P2")+SUMIFS('LAC 102_Wkst'!$AF$7:$AF$2010,'LAC 102_Wkst'!$D$7:$D$2010,$C$7,'LAC 102_Wkst'!$I$7:$I$2010,$C$9,'LAC 102_Wkst'!$E$7:$E$2010,$C39,'LAC 102_Wkst'!$G$7:$G$2010,$D39,'LAC 102_Wkst'!$L$7:$L$2010,"04",'LAC 102_Wkst'!$N$7:$N$2010,"P3")</f>
        <v>0</v>
      </c>
      <c r="N39" s="410">
        <f>SUMIFS('LAC 102_Wkst'!$Q$7:$Q$2010,'LAC 102_Wkst'!$D$7:$D$2010,$C$7,'LAC 102_Wkst'!$I$7:$I$2010,$C$9,'LAC 102_Wkst'!$E$7:$E$2010,$C39,'LAC 102_Wkst'!$G$7:$G$2010,$D39,'LAC 102_Wkst'!$L$7:$L$2010,"03",'LAC 102_Wkst'!$N$7:$N$2010,"P4")+SUMIFS('LAC 102_Wkst'!$Q$7:$Q$2010,'LAC 102_Wkst'!$D$7:$D$2010,$C$7,'LAC 102_Wkst'!$I$7:$I$2010,$C$9,'LAC 102_Wkst'!$E$7:$E$2010,$C39,'LAC 102_Wkst'!$G$7:$G$2010,$D39,'LAC 102_Wkst'!$L$7:$L$2010,"04",'LAC 102_Wkst'!$N$7:$N$2010,"P4")</f>
        <v>0</v>
      </c>
      <c r="O39" s="411">
        <f>SUMIFS('LAC 102_Wkst'!$AF$7:$AF$2010,'LAC 102_Wkst'!$D$7:$D$2010,$C$7,'LAC 102_Wkst'!$I$7:$I$2010,$C$9,'LAC 102_Wkst'!$E$7:$E$2010,$C39,'LAC 102_Wkst'!$G$7:$G$2010,$D39,'LAC 102_Wkst'!$L$7:$L$2010,"03",'LAC 102_Wkst'!$N$7:$N$2010,"P4")+SUMIFS('LAC 102_Wkst'!$AF$7:$AF$2010,'LAC 102_Wkst'!$D$7:$D$2010,$C$7,'LAC 102_Wkst'!$I$7:$I$2010,$C$9,'LAC 102_Wkst'!$E$7:$E$2010,$C39,'LAC 102_Wkst'!$G$7:$G$2010,$D39,'LAC 102_Wkst'!$L$7:$L$2010,"04",'LAC 102_Wkst'!$N$7:$N$2010,"P4")</f>
        <v>0</v>
      </c>
      <c r="P39" s="410">
        <f>SUMIFS('LAC 102_Wkst'!$Q$7:$Q$2010,'LAC 102_Wkst'!$D$7:$D$2010,$C$7,'LAC 102_Wkst'!$I$7:$I$2010,$C$9,'LAC 102_Wkst'!$E$7:$E$2010,$C39,'LAC 102_Wkst'!$G$7:$G$2010,$D39,'LAC 102_Wkst'!$L$7:$L$2010,"03",'LAC 102_Wkst'!$N$7:$N$2010,"P5")+SUMIFS('LAC 102_Wkst'!$Q$7:$Q$2010,'LAC 102_Wkst'!$D$7:$D$2010,$C$7,'LAC 102_Wkst'!$I$7:$I$2010,$C$9,'LAC 102_Wkst'!$E$7:$E$2010,$C39,'LAC 102_Wkst'!$G$7:$G$2010,$D39,'LAC 102_Wkst'!$L$7:$L$2010,"04",'LAC 102_Wkst'!$N$7:$N$2010,"P5")</f>
        <v>0</v>
      </c>
      <c r="Q39" s="411">
        <f>SUMIFS('LAC 102_Wkst'!$AF$7:$AF$2010,'LAC 102_Wkst'!$D$7:$D$2010,$C$7,'LAC 102_Wkst'!$I$7:$I$2010,$C$9,'LAC 102_Wkst'!$E$7:$E$2010,$C39,'LAC 102_Wkst'!$G$7:$G$2010,$D39,'LAC 102_Wkst'!$L$7:$L$2010,"03",'LAC 102_Wkst'!$N$7:$N$2010,"P5")+SUMIFS('LAC 102_Wkst'!$AF$7:$AF$2010,'LAC 102_Wkst'!$D$7:$D$2010,$C$7,'LAC 102_Wkst'!$I$7:$I$2010,$C$9,'LAC 102_Wkst'!$E$7:$E$2010,$C39,'LAC 102_Wkst'!$G$7:$G$2010,$D39,'LAC 102_Wkst'!$L$7:$L$2010,"04",'LAC 102_Wkst'!$N$7:$N$2010,"P5")</f>
        <v>0</v>
      </c>
      <c r="R39" s="412">
        <f>SUMIFS('LAC 102_Wkst'!$Q$7:$Q$2010,'LAC 102_Wkst'!$D$7:$D$2010,$C$7,'LAC 102_Wkst'!$I$7:$I$2010,$C$9,'LAC 102_Wkst'!$E$7:$E$2010,$C39,'LAC 102_Wkst'!$G$7:$G$2010,$D39,'LAC 102_Wkst'!$L$7:$L$2010,"05",'LAC 102_Wkst'!$N$7:$N$2010,"P1")+SUMIFS('LAC 102_Wkst'!$Q$7:$Q$2010,'LAC 102_Wkst'!$D$7:$D$2010,$C$7,'LAC 102_Wkst'!$I$7:$I$2010,$C$9,'LAC 102_Wkst'!$E$7:$E$2010,$C39,'LAC 102_Wkst'!$G$7:$G$2010,$D39,'LAC 102_Wkst'!$L$7:$L$2010,"06",'LAC 102_Wkst'!$N$7:$N$2010,"P1")</f>
        <v>0</v>
      </c>
      <c r="S39" s="411">
        <f>SUMIFS('LAC 102_Wkst'!$AF$7:$AF$2010,'LAC 102_Wkst'!$D$7:$D$2010,$C$7,'LAC 102_Wkst'!$I$7:$I$2010,$C$9,'LAC 102_Wkst'!$E$7:$E$2010,$C39,'LAC 102_Wkst'!$G$7:$G$2010,$D39,'LAC 102_Wkst'!$L$7:$L$2010,"05",'LAC 102_Wkst'!$N$7:$N$2010,"P1")+SUMIFS('LAC 102_Wkst'!$AF$7:$AF$2010,'LAC 102_Wkst'!$D$7:$D$2010,$C$7,'LAC 102_Wkst'!$I$7:$I$2010,$C$9,'LAC 102_Wkst'!$E$7:$E$2010,$C39,'LAC 102_Wkst'!$G$7:$G$2010,$D39,'LAC 102_Wkst'!$L$7:$L$2010,"06",'LAC 102_Wkst'!$N$7:$N$2010,"P1")</f>
        <v>0</v>
      </c>
      <c r="T39" s="410">
        <f>SUMIFS('LAC 102_Wkst'!$Q$7:$Q$2010,'LAC 102_Wkst'!$D$7:$D$2010,$C$7,'LAC 102_Wkst'!$I$7:$I$2010,$C$9,'LAC 102_Wkst'!$E$7:$E$2010,$C39,'LAC 102_Wkst'!$G$7:$G$2010,$D39,'LAC 102_Wkst'!$L$7:$L$2010,"05",'LAC 102_Wkst'!$N$7:$N$2010,"P2")+SUMIFS('LAC 102_Wkst'!$Q$7:$Q$2010,'LAC 102_Wkst'!$D$7:$D$2010,$C$7,'LAC 102_Wkst'!$I$7:$I$2010,$C$9,'LAC 102_Wkst'!$E$7:$E$2010,$C39,'LAC 102_Wkst'!$G$7:$G$2010,$D39,'LAC 102_Wkst'!$L$7:$L$2010,"06",'LAC 102_Wkst'!$N$7:$N$2010,"P2")+SUMIFS('LAC 102_Wkst'!$Q$7:$Q$2010,'LAC 102_Wkst'!$D$7:$D$2010,$C$7,'LAC 102_Wkst'!$I$7:$I$2010,$C$9,'LAC 102_Wkst'!$E$7:$E$2010,$C39,'LAC 102_Wkst'!$G$7:$G$2010,$D39,'LAC 102_Wkst'!$L$7:$L$2010,"05",'LAC 102_Wkst'!$N$7:$N$2010,"P3")+SUMIFS('LAC 102_Wkst'!$Q$7:$Q$2010,'LAC 102_Wkst'!$D$7:$D$2010,$C$7,'LAC 102_Wkst'!$I$7:$I$2010,$C$9,'LAC 102_Wkst'!$E$7:$E$2010,$C39,'LAC 102_Wkst'!$G$7:$G$2010,$D39,'LAC 102_Wkst'!$L$7:$L$2010,"06",'LAC 102_Wkst'!$N$7:$N$2010,"P3")</f>
        <v>0</v>
      </c>
      <c r="U39" s="411">
        <f>SUMIFS('LAC 102_Wkst'!$AF$7:$AF$2010,'LAC 102_Wkst'!$D$7:$D$2010,$C$7,'LAC 102_Wkst'!$I$7:$I$2010,$C$9,'LAC 102_Wkst'!$E$7:$E$2010,$C39,'LAC 102_Wkst'!$G$7:$G$2010,$D39,'LAC 102_Wkst'!$L$7:$L$2010,"05",'LAC 102_Wkst'!$N$7:$N$2010,"P2")+SUMIFS('LAC 102_Wkst'!$AF$7:$AF$2010,'LAC 102_Wkst'!$D$7:$D$2010,$C$7,'LAC 102_Wkst'!$I$7:$I$2010,$C$9,'LAC 102_Wkst'!$E$7:$E$2010,$C39,'LAC 102_Wkst'!$G$7:$G$2010,$D39,'LAC 102_Wkst'!$L$7:$L$2010,"06",'LAC 102_Wkst'!$N$7:$N$2010,"P2")+SUMIFS('LAC 102_Wkst'!$AF$7:$AF$2010,'LAC 102_Wkst'!$D$7:$D$2010,$C$7,'LAC 102_Wkst'!$I$7:$I$2010,$C$9,'LAC 102_Wkst'!$E$7:$E$2010,$C39,'LAC 102_Wkst'!$G$7:$G$2010,$D39,'LAC 102_Wkst'!$L$7:$L$2010,"05",'LAC 102_Wkst'!$N$7:$N$2010,"P3")+SUMIFS('LAC 102_Wkst'!$AF$7:$AF$2010,'LAC 102_Wkst'!$D$7:$D$2010,$C$7,'LAC 102_Wkst'!$I$7:$I$2010,$C$9,'LAC 102_Wkst'!$E$7:$E$2010,$C39,'LAC 102_Wkst'!$G$7:$G$2010,$D39,'LAC 102_Wkst'!$L$7:$L$2010,"06",'LAC 102_Wkst'!$N$7:$N$2010,"P3")</f>
        <v>0</v>
      </c>
      <c r="V39" s="410">
        <f>SUMIFS('LAC 102_Wkst'!$Q$7:$Q$2010,'LAC 102_Wkst'!$D$7:$D$2010,$C$7,'LAC 102_Wkst'!$I$7:$I$2010,$C$9,'LAC 102_Wkst'!$E$7:$E$2010,$C39,'LAC 102_Wkst'!$G$7:$G$2010,$D39,'LAC 102_Wkst'!$L$7:$L$2010,"05",'LAC 102_Wkst'!$N$7:$N$2010,"P4")+SUMIFS('LAC 102_Wkst'!$Q$7:$Q$2010,'LAC 102_Wkst'!$D$7:$D$2010,$C$7,'LAC 102_Wkst'!$I$7:$I$2010,$C$9,'LAC 102_Wkst'!$E$7:$E$2010,$C39,'LAC 102_Wkst'!$G$7:$G$2010,$D39,'LAC 102_Wkst'!$L$7:$L$2010,"06",'LAC 102_Wkst'!$N$7:$N$2010,"P4")</f>
        <v>0</v>
      </c>
      <c r="W39" s="411">
        <f>SUMIFS('LAC 102_Wkst'!$AF$7:$AF$2010,'LAC 102_Wkst'!$D$7:$D$2010,$C$7,'LAC 102_Wkst'!$I$7:$I$2010,$C$9,'LAC 102_Wkst'!$E$7:$E$2010,$C39,'LAC 102_Wkst'!$G$7:$G$2010,$D39,'LAC 102_Wkst'!$L$7:$L$2010,"05",'LAC 102_Wkst'!$N$7:$N$2010,"P4")+SUMIFS('LAC 102_Wkst'!$AF$7:$AF$2010,'LAC 102_Wkst'!$D$7:$D$2010,$C$7,'LAC 102_Wkst'!$I$7:$I$2010,$C$9,'LAC 102_Wkst'!$E$7:$E$2010,$C39,'LAC 102_Wkst'!$G$7:$G$2010,$D39,'LAC 102_Wkst'!$L$7:$L$2010,"06",'LAC 102_Wkst'!$N$7:$N$2010,"P4")</f>
        <v>0</v>
      </c>
      <c r="X39" s="410">
        <f>SUMIFS('LAC 102_Wkst'!$Q$7:$Q$2010,'LAC 102_Wkst'!$D$7:$D$2010,$C$7,'LAC 102_Wkst'!$I$7:$I$2010,$C$9,'LAC 102_Wkst'!$E$7:$E$2010,$C39,'LAC 102_Wkst'!$G$7:$G$2010,$D39,'LAC 102_Wkst'!$L$7:$L$2010,"05",'LAC 102_Wkst'!$N$7:$N$2010,"P5")+SUMIFS('LAC 102_Wkst'!$Q$7:$Q$2010,'LAC 102_Wkst'!$D$7:$D$2010,$C$7,'LAC 102_Wkst'!$I$7:$I$2010,$C$9,'LAC 102_Wkst'!$E$7:$E$2010,$C39,'LAC 102_Wkst'!$G$7:$G$2010,$D39,'LAC 102_Wkst'!$L$7:$L$2010,"06",'LAC 102_Wkst'!$N$7:$N$2010,"P5")</f>
        <v>0</v>
      </c>
      <c r="Y39" s="411">
        <f>SUMIFS('LAC 102_Wkst'!$AF$7:$AF$2010,'LAC 102_Wkst'!$D$7:$D$2010,$C$7,'LAC 102_Wkst'!$I$7:$I$2010,$C$9,'LAC 102_Wkst'!$E$7:$E$2010,$C39,'LAC 102_Wkst'!$G$7:$G$2010,$D39,'LAC 102_Wkst'!$L$7:$L$2010,"05",'LAC 102_Wkst'!$N$7:$N$2010,"P5")+SUMIFS('LAC 102_Wkst'!$AF$7:$AF$2010,'LAC 102_Wkst'!$D$7:$D$2010,$C$7,'LAC 102_Wkst'!$I$7:$I$2010,$C$9,'LAC 102_Wkst'!$E$7:$E$2010,$C39,'LAC 102_Wkst'!$G$7:$G$2010,$D39,'LAC 102_Wkst'!$L$7:$L$2010,"06",'LAC 102_Wkst'!$N$7:$N$2010,"P5")</f>
        <v>0</v>
      </c>
      <c r="Z39" s="410">
        <f>SUMIFS('LAC 102_Wkst'!$Q$7:$Q$2010,'LAC 102_Wkst'!$D$7:$D$2010,$C$7,'LAC 102_Wkst'!$I$7:$I$2010,$C$9,'LAC 102_Wkst'!$E$7:$E$2010,$C39,'LAC 102_Wkst'!$G$7:$G$2010,$D39,'LAC 102_Wkst'!$L$7:$L$2010,"07",'LAC 102_Wkst'!$N$7:$N$2010,"P1")+SUMIFS('LAC 102_Wkst'!$Q$7:$Q$2010,'LAC 102_Wkst'!$D$7:$D$2010,$C$7,'LAC 102_Wkst'!$I$7:$I$2010,$C$9,'LAC 102_Wkst'!$E$7:$E$2010,$C39,'LAC 102_Wkst'!$G$7:$G$2010,$D39,'LAC 102_Wkst'!$L$7:$L$2010,"07",'LAC 102_Wkst'!$N$7:$N$2010,"P2")+SUMIFS('LAC 102_Wkst'!$Q$7:$Q$2010,'LAC 102_Wkst'!$D$7:$D$2010,$C$7,'LAC 102_Wkst'!$I$7:$I$2010,$C$9,'LAC 102_Wkst'!$E$7:$E$2010,$C39,'LAC 102_Wkst'!$G$7:$G$2010,$D39,'LAC 102_Wkst'!$L$7:$L$2010,"07",'LAC 102_Wkst'!$N$7:$N$2010,"P3")</f>
        <v>0</v>
      </c>
      <c r="AA39" s="411">
        <f>SUMIFS('LAC 102_Wkst'!$AF$7:$AF$2010,'LAC 102_Wkst'!$D$7:$D$2010,$C$7,'LAC 102_Wkst'!$I$7:$I$2010,$C$9,'LAC 102_Wkst'!$E$7:$E$2010,$C39,'LAC 102_Wkst'!$G$7:$G$2010,$D39,'LAC 102_Wkst'!$L$7:$L$2010,"07",'LAC 102_Wkst'!$N$7:$N$2010,"P1")+SUMIFS('LAC 102_Wkst'!$AF$7:$AF$2010,'LAC 102_Wkst'!$D$7:$D$2010,$C$7,'LAC 102_Wkst'!$I$7:$I$2010,$C$9,'LAC 102_Wkst'!$E$7:$E$2010,$C39,'LAC 102_Wkst'!$G$7:$G$2010,$D39,'LAC 102_Wkst'!$L$7:$L$2010,"07",'LAC 102_Wkst'!$N$7:$N$2010,"P2")+SUMIFS('LAC 102_Wkst'!$AF$7:$AF$2010,'LAC 102_Wkst'!$D$7:$D$2010,$C$7,'LAC 102_Wkst'!$I$7:$I$2010,$C$9,'LAC 102_Wkst'!$E$7:$E$2010,$C39,'LAC 102_Wkst'!$G$7:$G$2010,$D39,'LAC 102_Wkst'!$L$7:$L$2010,"07",'LAC 102_Wkst'!$N$7:$N$2010,"P3")</f>
        <v>0</v>
      </c>
      <c r="AB39" s="410">
        <f>SUMIFS('LAC 102_Wkst'!$Q$7:$Q$2010,'LAC 102_Wkst'!$D$7:$D$2010,$C$7,'LAC 102_Wkst'!$I$7:$I$2010,$C$9,'LAC 102_Wkst'!$E$7:$E$2010,$C39,'LAC 102_Wkst'!$G$7:$G$2010,$D39,'LAC 102_Wkst'!$L$7:$L$2010,"07",'LAC 102_Wkst'!$N$7:$N$2010,"P4")</f>
        <v>0</v>
      </c>
      <c r="AC39" s="411">
        <f>SUMIFS('LAC 102_Wkst'!$AF$7:$AF$2010,'LAC 102_Wkst'!$D$7:$D$2010,$C$7,'LAC 102_Wkst'!$I$7:$I$2010,$C$9,'LAC 102_Wkst'!$E$7:$E$2010,$C39,'LAC 102_Wkst'!$G$7:$G$2010,$D39,'LAC 102_Wkst'!$L$7:$L$2010,"07",'LAC 102_Wkst'!$N$7:$N$2010,"P4")</f>
        <v>0</v>
      </c>
      <c r="AD39" s="410">
        <f>SUMIFS('LAC 102_Wkst'!$Q$7:$Q$2010,'LAC 102_Wkst'!$D$7:$D$2010,$C$7,'LAC 102_Wkst'!$I$7:$I$2010,$C$9,'LAC 102_Wkst'!$E$7:$E$2010,$C39,'LAC 102_Wkst'!$G$7:$G$2010,$D39,'LAC 102_Wkst'!$L$7:$L$2010,"07",'LAC 102_Wkst'!$N$7:$N$2010,"P5")</f>
        <v>0</v>
      </c>
      <c r="AE39" s="411">
        <f>SUMIFS('LAC 102_Wkst'!$AF$7:$AF$2010,'LAC 102_Wkst'!$D$7:$D$2010,$C$7,'LAC 102_Wkst'!$I$7:$I$2010,$C$9,'LAC 102_Wkst'!$E$7:$E$2010,$C39,'LAC 102_Wkst'!$G$7:$G$2010,$D39,'LAC 102_Wkst'!$L$7:$L$2010,"07",'LAC 102_Wkst'!$N$7:$N$2010,"P5")</f>
        <v>0</v>
      </c>
      <c r="AF39" s="410">
        <f>SUMIFS('LAC 102_Wkst'!$Q$7:$Q$2010,'LAC 102_Wkst'!$D$7:$D$2010,$C$7,'LAC 102_Wkst'!$I$7:$I$2010,$C$9,'LAC 102_Wkst'!$E$7:$E$2010,$C39,'LAC 102_Wkst'!$G$7:$G$2010,$D39,'LAC 102_Wkst'!$L$7:$L$2010,"08",'LAC 102_Wkst'!$N$7:$N$2010,"P1")+SUMIFS('LAC 102_Wkst'!$Q$7:$Q$2010,'LAC 102_Wkst'!$D$7:$D$2010,$C$7,'LAC 102_Wkst'!$I$7:$I$2010,$C$9,'LAC 102_Wkst'!$E$7:$E$2010,$C39,'LAC 102_Wkst'!$G$7:$G$2010,$D39,'LAC 102_Wkst'!$L$7:$L$2010,"08",'LAC 102_Wkst'!$N$7:$N$2010,"P2")+SUMIFS('LAC 102_Wkst'!$Q$7:$Q$2010,'LAC 102_Wkst'!$D$7:$D$2010,$C$7,'LAC 102_Wkst'!$I$7:$I$2010,$C$9,'LAC 102_Wkst'!$E$7:$E$2010,$C39,'LAC 102_Wkst'!$G$7:$G$2010,$D39,'LAC 102_Wkst'!$L$7:$L$2010,"08",'LAC 102_Wkst'!$N$7:$N$2010,"P3")</f>
        <v>0</v>
      </c>
      <c r="AG39" s="411">
        <f>SUMIFS('LAC 102_Wkst'!$AF$7:$AF$2010,'LAC 102_Wkst'!$D$7:$D$2010,$C$7,'LAC 102_Wkst'!$I$7:$I$2010,$C$9,'LAC 102_Wkst'!$E$7:$E$2010,$C39,'LAC 102_Wkst'!$G$7:$G$2010,$D39,'LAC 102_Wkst'!$L$7:$L$2010,"08",'LAC 102_Wkst'!$N$7:$N$2010,"P1")+SUMIFS('LAC 102_Wkst'!$AF$7:$AF$2010,'LAC 102_Wkst'!$D$7:$D$2010,$C$7,'LAC 102_Wkst'!$I$7:$I$2010,$C$9,'LAC 102_Wkst'!$E$7:$E$2010,$C39,'LAC 102_Wkst'!$G$7:$G$2010,$D39,'LAC 102_Wkst'!$L$7:$L$2010,"08",'LAC 102_Wkst'!$N$7:$N$2010,"P2")+SUMIFS('LAC 102_Wkst'!$AF$7:$AF$2010,'LAC 102_Wkst'!$D$7:$D$2010,$C$7,'LAC 102_Wkst'!$I$7:$I$2010,$C$9,'LAC 102_Wkst'!$E$7:$E$2010,$C39,'LAC 102_Wkst'!$G$7:$G$2010,$D39,'LAC 102_Wkst'!$L$7:$L$2010,"08",'LAC 102_Wkst'!$N$7:$N$2010,"P3")</f>
        <v>0</v>
      </c>
      <c r="AH39" s="410">
        <f>SUMIFS('LAC 102_Wkst'!$Q$7:$Q$2010,'LAC 102_Wkst'!$D$7:$D$2010,$C$7,'LAC 102_Wkst'!$I$7:$I$2010,$C$9,'LAC 102_Wkst'!$E$7:$E$2010,$C39,'LAC 102_Wkst'!$G$7:$G$2010,$D39,'LAC 102_Wkst'!$L$7:$L$2010,"08",'LAC 102_Wkst'!$N$7:$N$2010,"P4")</f>
        <v>0</v>
      </c>
      <c r="AI39" s="411">
        <f>SUMIFS('LAC 102_Wkst'!$AF$7:$AF$2010,'LAC 102_Wkst'!$D$7:$D$2010,$C$7,'LAC 102_Wkst'!$I$7:$I$2010,$C$9,'LAC 102_Wkst'!$E$7:$E$2010,$C39,'LAC 102_Wkst'!$G$7:$G$2010,$D39,'LAC 102_Wkst'!$L$7:$L$2010,"08",'LAC 102_Wkst'!$N$7:$N$2010,"P4")</f>
        <v>0</v>
      </c>
      <c r="AJ39" s="410">
        <f>SUMIFS('LAC 102_Wkst'!$Q$7:$Q$2010,'LAC 102_Wkst'!$D$7:$D$2010,$C$7,'LAC 102_Wkst'!$I$7:$I$2010,$C$9,'LAC 102_Wkst'!$E$7:$E$2010,$C39,'LAC 102_Wkst'!$G$7:$G$2010,$D39,'LAC 102_Wkst'!$L$7:$L$2010,"08",'LAC 102_Wkst'!$N$7:$N$2010,"P5")</f>
        <v>0</v>
      </c>
      <c r="AK39" s="411">
        <f>SUMIFS('LAC 102_Wkst'!$AF$7:$AF$2010,'LAC 102_Wkst'!$D$7:$D$2010,$C$7,'LAC 102_Wkst'!$I$7:$I$2010,$C$9,'LAC 102_Wkst'!$E$7:$E$2010,$C39,'LAC 102_Wkst'!$G$7:$G$2010,$D39,'LAC 102_Wkst'!$L$7:$L$2010,"08",'LAC 102_Wkst'!$N$7:$N$2010,"P5")</f>
        <v>0</v>
      </c>
      <c r="AL39" s="410">
        <f>SUMIFS('LAC 102_Wkst'!$Q$7:$Q$2010,'LAC 102_Wkst'!$D$7:$D$2010,$C$7,'LAC 102_Wkst'!$I$7:$I$2010,$C$9,'LAC 102_Wkst'!$E$7:$E$2010,$C39,'LAC 102_Wkst'!$G$7:$G$2010,$D39,'LAC 102_Wkst'!$L$7:$L$2010,"09",'LAC 102_Wkst'!$N$7:$N$2010,"P1")+SUMIFS('LAC 102_Wkst'!$Q$7:$Q$2010,'LAC 102_Wkst'!$D$7:$D$2010,$C$7,'LAC 102_Wkst'!$I$7:$I$2010,$C$9,'LAC 102_Wkst'!$E$7:$E$2010,$C39,'LAC 102_Wkst'!$G$7:$G$2010,$D39,'LAC 102_Wkst'!$L$7:$L$2010,"09",'LAC 102_Wkst'!$N$7:$N$2010,"P2")+SUMIFS('LAC 102_Wkst'!$Q$7:$Q$2010,'LAC 102_Wkst'!$D$7:$D$2010,$C$7,'LAC 102_Wkst'!$I$7:$I$2010,$C$9,'LAC 102_Wkst'!$E$7:$E$2010,$C39,'LAC 102_Wkst'!$G$7:$G$2010,$D39,'LAC 102_Wkst'!$L$7:$L$2010,"09",'LAC 102_Wkst'!$N$7:$N$2010,"P3")+SUMIFS('LAC 102_Wkst'!$Q$7:$Q$2010,'LAC 102_Wkst'!$D$7:$D$2010,$C$7,'LAC 102_Wkst'!$I$7:$I$2010,$C$9,'LAC 102_Wkst'!$E$7:$E$2010,$C39,'LAC 102_Wkst'!$G$7:$G$2010,$D39,'LAC 102_Wkst'!$L$7:$L$2010,"09",'LAC 102_Wkst'!$N$7:$N$2010,"P4")</f>
        <v>0</v>
      </c>
      <c r="AM39" s="411">
        <f>SUMIFS('LAC 102_Wkst'!$AF$7:$AF$2010,'LAC 102_Wkst'!$D$7:$D$2010,$C$7,'LAC 102_Wkst'!$I$7:$I$2010,$C$9,'LAC 102_Wkst'!$E$7:$E$2010,$C39,'LAC 102_Wkst'!$G$7:$G$2010,$D39,'LAC 102_Wkst'!$L$7:$L$2010,"09",'LAC 102_Wkst'!$N$7:$N$2010,"P1")+SUMIFS('LAC 102_Wkst'!$AF$7:$AF$2010,'LAC 102_Wkst'!$D$7:$D$2010,$C$7,'LAC 102_Wkst'!$I$7:$I$2010,$C$9,'LAC 102_Wkst'!$E$7:$E$2010,$C39,'LAC 102_Wkst'!$G$7:$G$2010,$D39,'LAC 102_Wkst'!$L$7:$L$2010,"09",'LAC 102_Wkst'!$N$7:$N$2010,"P2")+SUMIFS('LAC 102_Wkst'!$AF$7:$AF$2010,'LAC 102_Wkst'!$D$7:$D$2010,$C$7,'LAC 102_Wkst'!$I$7:$I$2010,$C$9,'LAC 102_Wkst'!$E$7:$E$2010,$C39,'LAC 102_Wkst'!$G$7:$G$2010,$D39,'LAC 102_Wkst'!$L$7:$L$2010,"09",'LAC 102_Wkst'!$N$7:$N$2010,"P3")+SUMIFS('LAC 102_Wkst'!$AF$7:$AF$2010,'LAC 102_Wkst'!$D$7:$D$2010,$C$7,'LAC 102_Wkst'!$I$7:$I$2010,$C$9,'LAC 102_Wkst'!$E$7:$E$2010,$C39,'LAC 102_Wkst'!$G$7:$G$2010,$D39,'LAC 102_Wkst'!$L$7:$L$2010,"09",'LAC 102_Wkst'!$N$7:$N$2010,"P4")</f>
        <v>0</v>
      </c>
      <c r="AN39" s="410">
        <f>SUMIFS('LAC 102_Wkst'!$Q$7:$Q$2010,'LAC 102_Wkst'!$D$7:$D$2010,$C$7,'LAC 102_Wkst'!$I$7:$I$2010,$C$9,'LAC 102_Wkst'!$E$7:$E$2010,$C39,'LAC 102_Wkst'!$G$7:$G$2010,$D39,'LAC 102_Wkst'!$L$7:$L$2010,"09",'LAC 102_Wkst'!$N$7:$N$2010,"P5")</f>
        <v>0</v>
      </c>
      <c r="AO39" s="411">
        <f>SUMIFS('LAC 102_Wkst'!$AF$7:$AF$2010,'LAC 102_Wkst'!$D$7:$D$2010,$C$7,'LAC 102_Wkst'!$I$7:$I$2010,$C$9,'LAC 102_Wkst'!$E$7:$E$2010,$C39,'LAC 102_Wkst'!$G$7:$G$2010,$D39,'LAC 102_Wkst'!$L$7:$L$2010,"09",'LAC 102_Wkst'!$N$7:$N$2010,"P5")</f>
        <v>0</v>
      </c>
      <c r="AP39" s="410">
        <f>SUMIFS('LAC 102_Wkst'!$Q$7:$Q$2010,'LAC 102_Wkst'!$D$7:$D$2010,$C$7,'LAC 102_Wkst'!$I$7:$I$2010,$C$9,'LAC 102_Wkst'!$E$7:$E$2010,$C39,'LAC 102_Wkst'!$G$7:$G$2010,$D39,'LAC 102_Wkst'!$L$7:$L$2010,"10",'LAC 102_Wkst'!$N$7:$N$2010,"P1")+SUMIFS('LAC 102_Wkst'!$Q$7:$Q$2010,'LAC 102_Wkst'!$D$7:$D$2010,$C$7,'LAC 102_Wkst'!$I$7:$I$2010,$C$9,'LAC 102_Wkst'!$E$7:$E$2010,$C39,'LAC 102_Wkst'!$G$7:$G$2010,$D39,'LAC 102_Wkst'!$L$7:$L$2010,"10",'LAC 102_Wkst'!$N$7:$N$2010,"P2")+SUMIFS('LAC 102_Wkst'!$Q$7:$Q$2010,'LAC 102_Wkst'!$D$7:$D$2010,$C$7,'LAC 102_Wkst'!$I$7:$I$2010,$C$9,'LAC 102_Wkst'!$E$7:$E$2010,$C39,'LAC 102_Wkst'!$G$7:$G$2010,$D39,'LAC 102_Wkst'!$L$7:$L$2010,"10",'LAC 102_Wkst'!$N$7:$N$2010,"P3")+SUMIFS('LAC 102_Wkst'!$Q$7:$Q$2010,'LAC 102_Wkst'!$D$7:$D$2010,$C$7,'LAC 102_Wkst'!$I$7:$I$2010,$C$9,'LAC 102_Wkst'!$E$7:$E$2010,$C39,'LAC 102_Wkst'!$G$7:$G$2010,$D39,'LAC 102_Wkst'!$L$7:$L$2010,"10",'LAC 102_Wkst'!$N$7:$N$2010,"P4")</f>
        <v>0</v>
      </c>
      <c r="AQ39" s="411">
        <f>SUMIFS('LAC 102_Wkst'!$AF$7:$AF$2010,'LAC 102_Wkst'!$D$7:$D$2010,$C$7,'LAC 102_Wkst'!$I$7:$I$2010,$C$9,'LAC 102_Wkst'!$E$7:$E$2010,$C39,'LAC 102_Wkst'!$G$7:$G$2010,$D39,'LAC 102_Wkst'!$L$7:$L$2010,"10",'LAC 102_Wkst'!$N$7:$N$2010,"P1")+SUMIFS('LAC 102_Wkst'!$AF$7:$AF$2010,'LAC 102_Wkst'!$D$7:$D$2010,$C$7,'LAC 102_Wkst'!$I$7:$I$2010,$C$9,'LAC 102_Wkst'!$E$7:$E$2010,$C39,'LAC 102_Wkst'!$G$7:$G$2010,$D39,'LAC 102_Wkst'!$L$7:$L$2010,"10",'LAC 102_Wkst'!$N$7:$N$2010,"P2")+SUMIFS('LAC 102_Wkst'!$AF$7:$AF$2010,'LAC 102_Wkst'!$D$7:$D$2010,$C$7,'LAC 102_Wkst'!$I$7:$I$2010,$C$9,'LAC 102_Wkst'!$E$7:$E$2010,$C39,'LAC 102_Wkst'!$G$7:$G$2010,$D39,'LAC 102_Wkst'!$L$7:$L$2010,"10",'LAC 102_Wkst'!$N$7:$N$2010,"P3")+SUMIFS('LAC 102_Wkst'!$AF$7:$AF$2010,'LAC 102_Wkst'!$D$7:$D$2010,$C$7,'LAC 102_Wkst'!$I$7:$I$2010,$C$9,'LAC 102_Wkst'!$E$7:$E$2010,$C39,'LAC 102_Wkst'!$G$7:$G$2010,$D39,'LAC 102_Wkst'!$L$7:$L$2010,"10",'LAC 102_Wkst'!$N$7:$N$2010,"P4")</f>
        <v>0</v>
      </c>
      <c r="AR39" s="410">
        <f>SUMIFS('LAC 102_Wkst'!$Q$7:$Q$2010,'LAC 102_Wkst'!$D$7:$D$2010,$C$7,'LAC 102_Wkst'!$I$7:$I$2010,$C$9,'LAC 102_Wkst'!$E$7:$E$2010,$C39,'LAC 102_Wkst'!$G$7:$G$2010,$D39,'LAC 102_Wkst'!$L$7:$L$2010,"10",'LAC 102_Wkst'!$N$7:$N$2010,"P5")</f>
        <v>0</v>
      </c>
      <c r="AS39" s="411">
        <f>SUMIFS('LAC 102_Wkst'!$AF$7:$AF$2010,'LAC 102_Wkst'!$D$7:$D$2010,$C$7,'LAC 102_Wkst'!$I$7:$I$2010,$C$9,'LAC 102_Wkst'!$E$7:$E$2010,$C39,'LAC 102_Wkst'!$G$7:$G$2010,$D39,'LAC 102_Wkst'!$L$7:$L$2010,"10",'LAC 102_Wkst'!$N$7:$N$2010,"P5")</f>
        <v>0</v>
      </c>
      <c r="AT39" s="410">
        <f>SUMIFS('LAC 102_Wkst'!$Q$7:$Q$2010,'LAC 102_Wkst'!$D$7:$D$2010,$C$7,'LAC 102_Wkst'!$I$7:$I$2010,$C$9,'LAC 102_Wkst'!$E$7:$E$2010,$C39,'LAC 102_Wkst'!$G$7:$G$2010,$D39,'LAC 102_Wkst'!$L$7:$L$2010,"11",'LAC 102_Wkst'!$N$7:$N$2010,"P1")+SUMIFS('LAC 102_Wkst'!$Q$7:$Q$2010,'LAC 102_Wkst'!$D$7:$D$2010,$C$7,'LAC 102_Wkst'!$I$7:$I$2010,$C$9,'LAC 102_Wkst'!$E$7:$E$2010,$C39,'LAC 102_Wkst'!$G$7:$G$2010,$D39,'LAC 102_Wkst'!$L$7:$L$2010,"12",'LAC 102_Wkst'!$N$7:$N$2010,"P1")</f>
        <v>0</v>
      </c>
      <c r="AU39" s="411">
        <f>SUMIFS('LAC 102_Wkst'!$Q$7:$Q$2010,'LAC 102_Wkst'!$D$7:$D$2010,$C$7,'LAC 102_Wkst'!$I$7:$I$2010,$C$9,'LAC 102_Wkst'!$E$7:$E$2010,$C39,'LAC 102_Wkst'!$G$7:$G$2010,$D39,'LAC 102_Wkst'!$L$7:$L$2010,"13",'LAC 102_Wkst'!$N$7:$N$2010,"P5")</f>
        <v>0</v>
      </c>
      <c r="AV39" s="410">
        <f>SUMIFS('LAC 102_Wkst'!$Q$7:$Q$2010,'LAC 102_Wkst'!$D$7:$D$2010,$C$7,'LAC 102_Wkst'!$I$7:$I$2010,$C$9,'LAC 102_Wkst'!$E$7:$E$2010,$C39,'LAC 102_Wkst'!$G$7:$G$2010,$D39,'LAC 102_Wkst'!$L$7:$L$2010,"11",'LAC 102_Wkst'!$N$7:$N$2010,"P2")+SUMIFS('LAC 102_Wkst'!$Q$7:$Q$2010,'LAC 102_Wkst'!$D$7:$D$2010,$C$7,'LAC 102_Wkst'!$I$7:$I$2010,$C$9,'LAC 102_Wkst'!$E$7:$E$2010,$C39,'LAC 102_Wkst'!$G$7:$G$2010,$D39,'LAC 102_Wkst'!$L$7:$L$2010,"12",'LAC 102_Wkst'!$N$7:$N$2010,"P2")+SUMIFS('LAC 102_Wkst'!$Q$7:$Q$2010,'LAC 102_Wkst'!$D$7:$D$2010,$C$7,'LAC 102_Wkst'!$I$7:$I$2010,$C$9,'LAC 102_Wkst'!$E$7:$E$2010,$C39,'LAC 102_Wkst'!$G$7:$G$2010,$D39,'LAC 102_Wkst'!$L$7:$L$2010,"11",'LAC 102_Wkst'!$N$7:$N$2010,"P3")+SUMIFS('LAC 102_Wkst'!$Q$7:$Q$2010,'LAC 102_Wkst'!$D$7:$D$2010,$C$7,'LAC 102_Wkst'!$I$7:$I$2010,$C$9,'LAC 102_Wkst'!$E$7:$E$2010,$C39,'LAC 102_Wkst'!$G$7:$G$2010,$D39,'LAC 102_Wkst'!$L$7:$L$2010,"12",'LAC 102_Wkst'!$N$7:$N$2010,"P3")</f>
        <v>0</v>
      </c>
      <c r="AW39" s="411">
        <f>SUMIFS('LAC 102_Wkst'!$AF$7:$AF$2010,'LAC 102_Wkst'!$D$7:$D$2010,$C$7,'LAC 102_Wkst'!$I$7:$I$2010,$C$9,'LAC 102_Wkst'!$E$7:$E$2010,$C39,'LAC 102_Wkst'!$G$7:$G$2010,$D39,'LAC 102_Wkst'!$L$7:$L$2010,"11",'LAC 102_Wkst'!$N$7:$N$2010,"P2")+SUMIFS('LAC 102_Wkst'!$AF$7:$AF$2010,'LAC 102_Wkst'!$D$7:$D$2010,$C$7,'LAC 102_Wkst'!$I$7:$I$2010,$C$9,'LAC 102_Wkst'!$E$7:$E$2010,$C39,'LAC 102_Wkst'!$G$7:$G$2010,$D39,'LAC 102_Wkst'!$L$7:$L$2010,"12",'LAC 102_Wkst'!$N$7:$N$2010,"P2")+SUMIFS('LAC 102_Wkst'!$AF$7:$AF$2010,'LAC 102_Wkst'!$D$7:$D$2010,$C$7,'LAC 102_Wkst'!$I$7:$I$2010,$C$9,'LAC 102_Wkst'!$E$7:$E$2010,$C39,'LAC 102_Wkst'!$G$7:$G$2010,$D39,'LAC 102_Wkst'!$L$7:$L$2010,"11",'LAC 102_Wkst'!$N$7:$N$2010,"P3")+SUMIFS('LAC 102_Wkst'!$AF$7:$AF$2010,'LAC 102_Wkst'!$D$7:$D$2010,$C$7,'LAC 102_Wkst'!$I$7:$I$2010,$C$9,'LAC 102_Wkst'!$E$7:$E$2010,$C39,'LAC 102_Wkst'!$G$7:$G$2010,$D39,'LAC 102_Wkst'!$L$7:$L$2010,"12",'LAC 102_Wkst'!$N$7:$N$2010,"P3")</f>
        <v>0</v>
      </c>
      <c r="AX39" s="410">
        <f>SUMIFS('LAC 102_Wkst'!$Q$7:$Q$2010,'LAC 102_Wkst'!$D$7:$D$2010,$C$7,'LAC 102_Wkst'!$I$7:$I$2010,$C$9,'LAC 102_Wkst'!$E$7:$E$2010,$C39,'LAC 102_Wkst'!$G$7:$G$2010,$D39,'LAC 102_Wkst'!$L$7:$L$2010,"11",'LAC 102_Wkst'!$N$7:$N$2010,"P4")+SUMIFS('LAC 102_Wkst'!$Q$7:$Q$2010,'LAC 102_Wkst'!$D$7:$D$2010,$C$7,'LAC 102_Wkst'!$I$7:$I$2010,$C$9,'LAC 102_Wkst'!$E$7:$E$2010,$C39,'LAC 102_Wkst'!$G$7:$G$2010,$D39,'LAC 102_Wkst'!$L$7:$L$2010,"12",'LAC 102_Wkst'!$N$7:$N$2010,"P4")</f>
        <v>0</v>
      </c>
      <c r="AY39" s="411">
        <f>SUMIFS('LAC 102_Wkst'!$AF$7:$AF$2010,'LAC 102_Wkst'!$D$7:$D$2010,$C$7,'LAC 102_Wkst'!$I$7:$I$2010,$C$9,'LAC 102_Wkst'!$E$7:$E$2010,$C39,'LAC 102_Wkst'!$G$7:$G$2010,$D39,'LAC 102_Wkst'!$L$7:$L$2010,"11",'LAC 102_Wkst'!$N$7:$N$2010,"P4")+SUMIFS('LAC 102_Wkst'!$AF$7:$AF$2010,'LAC 102_Wkst'!$D$7:$D$2010,$C$7,'LAC 102_Wkst'!$I$7:$I$2010,$C$9,'LAC 102_Wkst'!$E$7:$E$2010,$C39,'LAC 102_Wkst'!$G$7:$G$2010,$D39,'LAC 102_Wkst'!$L$7:$L$2010,"12",'LAC 102_Wkst'!$N$7:$N$2010,"P4")</f>
        <v>0</v>
      </c>
      <c r="AZ39" s="410">
        <f>SUMIFS('LAC 102_Wkst'!$Q$7:$Q$2010,'LAC 102_Wkst'!$D$7:$D$2010,$C$7,'LAC 102_Wkst'!$I$7:$I$2010,$C$9,'LAC 102_Wkst'!$E$7:$E$2010,$C39,'LAC 102_Wkst'!$G$7:$G$2010,$D39,'LAC 102_Wkst'!$L$7:$L$2010,"11",'LAC 102_Wkst'!$N$7:$N$2010,"P5")+SUMIFS('LAC 102_Wkst'!$Q$7:$Q$2010,'LAC 102_Wkst'!$D$7:$D$2010,$C$7,'LAC 102_Wkst'!$I$7:$I$2010,$C$9,'LAC 102_Wkst'!$E$7:$E$2010,$C39,'LAC 102_Wkst'!$G$7:$G$2010,$D39,'LAC 102_Wkst'!$L$7:$L$2010,"12",'LAC 102_Wkst'!$N$7:$N$2010,"P5")</f>
        <v>0</v>
      </c>
      <c r="BA39" s="411">
        <f>SUMIFS('LAC 102_Wkst'!$AF$7:$AF$2010,'LAC 102_Wkst'!$D$7:$D$2010,$C$7,'LAC 102_Wkst'!$I$7:$I$2010,$C$9,'LAC 102_Wkst'!$E$7:$E$2010,$C39,'LAC 102_Wkst'!$G$7:$G$2010,$D39,'LAC 102_Wkst'!$L$7:$L$2010,"11",'LAC 102_Wkst'!$N$7:$N$2010,"P5")+SUMIFS('LAC 102_Wkst'!$AF$7:$AF$2010,'LAC 102_Wkst'!$D$7:$D$2010,$C$7,'LAC 102_Wkst'!$I$7:$I$2010,$C$9,'LAC 102_Wkst'!$E$7:$E$2010,$C39,'LAC 102_Wkst'!$G$7:$G$2010,$D39,'LAC 102_Wkst'!$L$7:$L$2010,"12",'LAC 102_Wkst'!$N$7:$N$2010,"P5")</f>
        <v>0</v>
      </c>
      <c r="BB39" s="410">
        <f>SUMIFS('LAC 102_Wkst'!$Q$7:$Q$2010,'LAC 102_Wkst'!$D$7:$D$2010,$C$7,'LAC 102_Wkst'!$I$7:$I$2010,$C$9,'LAC 102_Wkst'!$E$7:$E$2010,$C39,'LAC 102_Wkst'!$G$7:$G$2010,$D39,'LAC 102_Wkst'!$L$7:$L$2010,"13",'LAC 102_Wkst'!$N$7:$N$2010,"P1")+SUMIFS('LAC 102_Wkst'!$Q$7:$Q$2010,'LAC 102_Wkst'!$D$7:$D$2010,$C$7,'LAC 102_Wkst'!$I$7:$I$2010,$C$9,'LAC 102_Wkst'!$E$7:$E$2010,$C39,'LAC 102_Wkst'!$G$7:$G$2010,$D39,'LAC 102_Wkst'!$L$7:$L$2010,"13",'LAC 102_Wkst'!$N$7:$N$2010,"P2")+SUMIFS('LAC 102_Wkst'!$Q$7:$Q$2010,'LAC 102_Wkst'!$D$7:$D$2010,$C$7,'LAC 102_Wkst'!$I$7:$I$2010,$C$9,'LAC 102_Wkst'!$E$7:$E$2010,$C39,'LAC 102_Wkst'!$G$7:$G$2010,$D39,'LAC 102_Wkst'!$L$7:$L$2010,"13",'LAC 102_Wkst'!$N$7:$N$2010,"P3")+SUMIFS('LAC 102_Wkst'!$Q$7:$Q$2010,'LAC 102_Wkst'!$D$7:$D$2010,$C$7,'LAC 102_Wkst'!$I$7:$I$2010,$C$9,'LAC 102_Wkst'!$E$7:$E$2010,$C39,'LAC 102_Wkst'!$G$7:$G$2010,$D39,'LAC 102_Wkst'!$L$7:$L$2010,"13",'LAC 102_Wkst'!$N$7:$N$2010,"P4")</f>
        <v>0</v>
      </c>
      <c r="BC39" s="411">
        <f>SUMIFS('LAC 102_Wkst'!$AF$7:$AF$2010,'LAC 102_Wkst'!$D$7:$D$2010,$C$7,'LAC 102_Wkst'!$I$7:$I$2010,$C$9,'LAC 102_Wkst'!$E$7:$E$2010,$C39,'LAC 102_Wkst'!$G$7:$G$2010,$D39,'LAC 102_Wkst'!$L$7:$L$2010,"13",'LAC 102_Wkst'!$N$7:$N$2010,"P1")+SUMIFS('LAC 102_Wkst'!$AF$7:$AF$2010,'LAC 102_Wkst'!$D$7:$D$2010,$C$7,'LAC 102_Wkst'!$I$7:$I$2010,$C$9,'LAC 102_Wkst'!$E$7:$E$2010,$C39,'LAC 102_Wkst'!$G$7:$G$2010,$D39,'LAC 102_Wkst'!$L$7:$L$2010,"13",'LAC 102_Wkst'!$N$7:$N$2010,"P2")+SUMIFS('LAC 102_Wkst'!$AF$7:$AF$2010,'LAC 102_Wkst'!$D$7:$D$2010,$C$7,'LAC 102_Wkst'!$I$7:$I$2010,$C$9,'LAC 102_Wkst'!$E$7:$E$2010,$C39,'LAC 102_Wkst'!$G$7:$G$2010,$D39,'LAC 102_Wkst'!$L$7:$L$2010,"13",'LAC 102_Wkst'!$N$7:$N$2010,"P3")+SUMIFS('LAC 102_Wkst'!$AF$7:$AF$2010,'LAC 102_Wkst'!$D$7:$D$2010,$C$7,'LAC 102_Wkst'!$I$7:$I$2010,$C$9,'LAC 102_Wkst'!$E$7:$E$2010,$C39,'LAC 102_Wkst'!$G$7:$G$2010,$D39,'LAC 102_Wkst'!$L$7:$L$2010,"13",'LAC 102_Wkst'!$N$7:$N$2010,"P4")</f>
        <v>0</v>
      </c>
      <c r="BD39" s="410">
        <f>SUMIFS('LAC 102_Wkst'!$Q$7:$Q$2010,'LAC 102_Wkst'!$D$7:$D$2010,$C$7,'LAC 102_Wkst'!$I$7:$I$2010,$C$9,'LAC 102_Wkst'!$E$7:$E$2010,$C39,'LAC 102_Wkst'!$G$7:$G$2010,$D39,'LAC 102_Wkst'!$L$7:$L$2010,"13",'LAC 102_Wkst'!$N$7:$N$2010,"P5")</f>
        <v>0</v>
      </c>
      <c r="BE39" s="411">
        <f>SUMIFS('LAC 102_Wkst'!$AF$7:$AF$2010,'LAC 102_Wkst'!$D$7:$D$2010,$C$7,'LAC 102_Wkst'!$I$7:$I$2010,$C$9,'LAC 102_Wkst'!$E$7:$E$2010,$C39,'LAC 102_Wkst'!$G$7:$G$2010,$D39,'LAC 102_Wkst'!$L$7:$L$2010,"13",'LAC 102_Wkst'!$N$7:$N$2010,"P5")</f>
        <v>0</v>
      </c>
      <c r="BF39" s="407">
        <f t="shared" si="4"/>
        <v>0</v>
      </c>
      <c r="BG39" s="1654">
        <f>SUMIFS('LAC 102_Wkst'!$AF$7:$AF$2010,'LAC 102_Wkst'!$D$7:$D$2010,$C$7,'LAC 102_Wkst'!$I$7:$I$2010,$C$9,'LAC 102_Wkst'!$E$7:$E$2010,$C39,'LAC 102_Wkst'!$G$7:$G$2010,$D39,'LAC 102_Wkst'!$L$7:$L$2010,"14")</f>
        <v>0</v>
      </c>
    </row>
    <row r="40" spans="1:59" x14ac:dyDescent="0.2">
      <c r="A40" s="401">
        <v>18</v>
      </c>
      <c r="B40" s="1678" t="str">
        <f>IF(Schedule_B!B$37="","",Schedule_B!B$37)</f>
        <v>CR</v>
      </c>
      <c r="C40" s="1674" t="str">
        <f>IF(Schedule_B!C$37=""," ",Schedule_B!C$37)</f>
        <v>60</v>
      </c>
      <c r="D40" s="1675" t="str">
        <f>IF(Schedule_B!D$37=""," ",Schedule_B!D$37)</f>
        <v>71</v>
      </c>
      <c r="E40" s="1221">
        <f>SUMIFS('LAC 102_Wkst'!$Q$7:$Q$2010,'LAC 102_Wkst'!$D$7:$D$2010,$C$7,'LAC 102_Wkst'!$I$7:$I$2010,$C$9,'LAC 102_Wkst'!$E$7:$E$2010,$C40,'LAC 102_Wkst'!$G$7:$G$2010,$D40)</f>
        <v>0</v>
      </c>
      <c r="F40" s="408">
        <f>SUMIFS('LAC 102_Wkst'!$Q$7:$Q$2010,'LAC 102_Wkst'!$D$7:$D$2010,$C$7,'LAC 102_Wkst'!$I$7:$I$2010,$C$9,'LAC 102_Wkst'!$E$7:$E$2010,$C40,'LAC 102_Wkst'!$G$7:$G$2010,$D40,'LAC 102_Wkst'!$L$7:$L$2010,"01",'LAC 102_Wkst'!$N$7:$N$2010,"P1")+SUMIFS('LAC 102_Wkst'!$Q$7:$Q$2010,'LAC 102_Wkst'!$D$7:$D$2010,$C$7,'LAC 102_Wkst'!$I$7:$I$2010,$C$9,'LAC 102_Wkst'!$E$7:$E$2010,$C40,'LAC 102_Wkst'!$G$7:$G$2010,$D40,'LAC 102_Wkst'!$L$7:$L$2010,"01",'LAC 102_Wkst'!$N$7:$N$2010,"P2")+SUMIFS('LAC 102_Wkst'!$Q$7:$Q$2010,'LAC 102_Wkst'!$D$7:$D$2010,$C$7,'LAC 102_Wkst'!$I$7:$I$2010,$C$9,'LAC 102_Wkst'!$E$7:$E$2010,$C40,'LAC 102_Wkst'!$G$7:$G$2010,$D40,'LAC 102_Wkst'!$L$7:$L$2010,"01",'LAC 102_Wkst'!$N$7:$N$2010,"P3")+SUMIFS('LAC 102_Wkst'!$Q$7:$Q$2010,'LAC 102_Wkst'!$D$7:$D$2010,$C$7,'LAC 102_Wkst'!$I$7:$I$2010,$C$9,'LAC 102_Wkst'!$E$7:$E$2010,$C40,'LAC 102_Wkst'!$G$7:$G$2010,$D40,'LAC 102_Wkst'!$L$7:$L$2010,"02",'LAC 102_Wkst'!$N$7:$N$2010,"P1")+SUMIFS('LAC 102_Wkst'!$Q$7:$Q$2010,'LAC 102_Wkst'!$D$7:$D$2010,$C$7,'LAC 102_Wkst'!$I$7:$I$2010,$C$9,'LAC 102_Wkst'!$E$7:$E$2010,$C40,'LAC 102_Wkst'!$G$7:$G$2010,$D40,'LAC 102_Wkst'!$L$7:$L$2010,"02",'LAC 102_Wkst'!$N$7:$N$2010,"P2")+SUMIFS('LAC 102_Wkst'!$Q$7:$Q$2010,'LAC 102_Wkst'!$D$7:$D$2010,$C$7,'LAC 102_Wkst'!$I$7:$I$2010,$C$9,'LAC 102_Wkst'!$E$7:$E$2010,$C40,'LAC 102_Wkst'!$G$7:$G$2010,$D40,'LAC 102_Wkst'!$L$7:$L$2010,"02",'LAC 102_Wkst'!$N$7:$N$2010,"P3")</f>
        <v>0</v>
      </c>
      <c r="G40" s="409">
        <f>SUMIFS('LAC 102_Wkst'!$AF$7:$AF$2010,'LAC 102_Wkst'!$D$7:$D$2010,$C$7,'LAC 102_Wkst'!$I$7:$I$2010,$C$9,'LAC 102_Wkst'!$E$7:$E$2010,$C40,'LAC 102_Wkst'!$G$7:$G$2010,$D40,'LAC 102_Wkst'!$L$7:$L$2010,"01",'LAC 102_Wkst'!$N$7:$N$2010,"P1")+SUMIFS('LAC 102_Wkst'!$AF$7:$AF$2010,'LAC 102_Wkst'!$D$7:$D$2010,$C$7,'LAC 102_Wkst'!$I$7:$I$2010,$C$9,'LAC 102_Wkst'!$E$7:$E$2010,$C40,'LAC 102_Wkst'!$G$7:$G$2010,$D40,'LAC 102_Wkst'!$L$7:$L$2010,"01",'LAC 102_Wkst'!$N$7:$N$2010,"P2")+SUMIFS('LAC 102_Wkst'!$AF$7:$AF$2010,'LAC 102_Wkst'!$D$7:$D$2010,$C$7,'LAC 102_Wkst'!$I$7:$I$2010,$C$9,'LAC 102_Wkst'!$E$7:$E$2010,$C40,'LAC 102_Wkst'!$G$7:$G$2010,$D40,'LAC 102_Wkst'!$L$7:$L$2010,"01",'LAC 102_Wkst'!$N$7:$N$2010,"P3")+SUMIFS('LAC 102_Wkst'!$AF$7:$AF$2010,'LAC 102_Wkst'!$D$7:$D$2010,$C$7,'LAC 102_Wkst'!$I$7:$I$2010,$C$9,'LAC 102_Wkst'!$E$7:$E$2010,$C40,'LAC 102_Wkst'!$G$7:$G$2010,$D40,'LAC 102_Wkst'!$L$7:$L$2010,"02",'LAC 102_Wkst'!$N$7:$N$2010,"P1")+SUMIFS('LAC 102_Wkst'!$AF$7:$AF$2010,'LAC 102_Wkst'!$D$7:$D$2010,$C$7,'LAC 102_Wkst'!$I$7:$I$2010,$C$9,'LAC 102_Wkst'!$E$7:$E$2010,$C40,'LAC 102_Wkst'!$G$7:$G$2010,$D40,'LAC 102_Wkst'!$L$7:$L$2010,"02",'LAC 102_Wkst'!$N$7:$N$2010,"P2")+SUMIFS('LAC 102_Wkst'!$AF$7:$AF$2010,'LAC 102_Wkst'!$D$7:$D$2010,$C$7,'LAC 102_Wkst'!$I$7:$I$2010,$C$9,'LAC 102_Wkst'!$E$7:$E$2010,$C40,'LAC 102_Wkst'!$G$7:$G$2010,$D40,'LAC 102_Wkst'!$L$7:$L$2010,"02",'LAC 102_Wkst'!$N$7:$N$2010,"P3")</f>
        <v>0</v>
      </c>
      <c r="H40" s="410">
        <f>SUMIFS('LAC 102_Wkst'!$Q$7:$Q$2010,'LAC 102_Wkst'!$D$7:$D$2010,$C$7,'LAC 102_Wkst'!$I$7:$I$2010,$C$9,'LAC 102_Wkst'!$E$7:$E$2010,$C40,'LAC 102_Wkst'!$G$7:$G$2010,$D40,'LAC 102_Wkst'!$L$7:$L$2010,"01",'LAC 102_Wkst'!$N$7:$N$2010,"P4")+SUMIFS('LAC 102_Wkst'!$Q$7:$Q$2010,'LAC 102_Wkst'!$D$7:$D$2010,$C$7,'LAC 102_Wkst'!$I$7:$I$2010,$C$9,'LAC 102_Wkst'!$E$7:$E$2010,$C40,'LAC 102_Wkst'!$G$7:$G$2010,$D40,'LAC 102_Wkst'!$L$7:$L$2010,"02",'LAC 102_Wkst'!$N$7:$N$2010,"P4")</f>
        <v>0</v>
      </c>
      <c r="I40" s="411">
        <f>SUMIFS('LAC 102_Wkst'!$AF$7:$AF$2010,'LAC 102_Wkst'!$D$7:$D$2010,$C$7,'LAC 102_Wkst'!$I$7:$I$2010,$C$9,'LAC 102_Wkst'!$E$7:$E$2010,$C40,'LAC 102_Wkst'!$G$7:$G$2010,$D40,'LAC 102_Wkst'!$L$7:$L$2010,"01",'LAC 102_Wkst'!$N$7:$N$2010,"P4")+SUMIFS('LAC 102_Wkst'!$AF$7:$AF$2010,'LAC 102_Wkst'!$D$7:$D$2010,$C$7,'LAC 102_Wkst'!$I$7:$I$2010,$C$9,'LAC 102_Wkst'!$E$7:$E$2010,$C40,'LAC 102_Wkst'!$G$7:$G$2010,$D40,'LAC 102_Wkst'!$L$7:$L$2010,"02",'LAC 102_Wkst'!$N$7:$N$2010,"P4")</f>
        <v>0</v>
      </c>
      <c r="J40" s="410">
        <f>SUMIFS('LAC 102_Wkst'!$Q$7:$Q$2010,'LAC 102_Wkst'!$D$7:$D$2010,$C$7,'LAC 102_Wkst'!$I$7:$I$2010,$C$9,'LAC 102_Wkst'!$E$7:$E$2010,$C40,'LAC 102_Wkst'!$G$7:$G$2010,$D40,'LAC 102_Wkst'!$L$7:$L$2010,"01",'LAC 102_Wkst'!$N$7:$N$2010,"P5")+SUMIFS('LAC 102_Wkst'!$Q$7:$Q$2010,'LAC 102_Wkst'!$D$7:$D$2010,$C$7,'LAC 102_Wkst'!$I$7:$I$2010,$C$9,'LAC 102_Wkst'!$E$7:$E$2010,$C40,'LAC 102_Wkst'!$G$7:$G$2010,$D40,'LAC 102_Wkst'!$L$7:$L$2010,"02",'LAC 102_Wkst'!$N$7:$N$2010,"P5")</f>
        <v>0</v>
      </c>
      <c r="K40" s="411">
        <f>SUMIFS('LAC 102_Wkst'!$AF$7:$AF$2010,'LAC 102_Wkst'!$D$7:$D$2010,$C$7,'LAC 102_Wkst'!$I$7:$I$2010,$C$9,'LAC 102_Wkst'!$E$7:$E$2010,$C40,'LAC 102_Wkst'!$G$7:$G$2010,$D40,'LAC 102_Wkst'!$L$7:$L$2010,"01",'LAC 102_Wkst'!$N$7:$N$2010,"P5")+SUMIFS('LAC 102_Wkst'!$AF$7:$AF$2010,'LAC 102_Wkst'!$D$7:$D$2010,$C$7,'LAC 102_Wkst'!$I$7:$I$2010,$C$9,'LAC 102_Wkst'!$E$7:$E$2010,$C40,'LAC 102_Wkst'!$G$7:$G$2010,$D40,'LAC 102_Wkst'!$L$7:$L$2010,"02",'LAC 102_Wkst'!$N$7:$N$2010,"P5")</f>
        <v>0</v>
      </c>
      <c r="L40" s="410">
        <f>SUMIFS('LAC 102_Wkst'!$Q$7:$Q$2010,'LAC 102_Wkst'!$D$7:$D$2010,$C$7,'LAC 102_Wkst'!$I$7:$I$2010,$C$9,'LAC 102_Wkst'!$E$7:$E$2010,$C40,'LAC 102_Wkst'!$G$7:$G$2010,$D40,'LAC 102_Wkst'!$L$7:$L$2010,"03",'LAC 102_Wkst'!$N$7:$N$2010,"P1")+SUMIFS('LAC 102_Wkst'!$Q$7:$Q$2010,'LAC 102_Wkst'!$D$7:$D$2010,$C$7,'LAC 102_Wkst'!$I$7:$I$2010,$C$9,'LAC 102_Wkst'!$E$7:$E$2010,$C40,'LAC 102_Wkst'!$G$7:$G$2010,$D40,'LAC 102_Wkst'!$L$7:$L$2010,"03",'LAC 102_Wkst'!$N$7:$N$2010,"P2")+SUMIFS('LAC 102_Wkst'!$Q$7:$Q$2010,'LAC 102_Wkst'!$D$7:$D$2010,$C$7,'LAC 102_Wkst'!$I$7:$I$2010,$C$9,'LAC 102_Wkst'!$E$7:$E$2010,$C40,'LAC 102_Wkst'!$G$7:$G$2010,$D40,'LAC 102_Wkst'!$L$7:$L$2010,"03",'LAC 102_Wkst'!$N$7:$N$2010,"P3")+SUMIFS('LAC 102_Wkst'!$Q$7:$Q$2010,'LAC 102_Wkst'!$D$7:$D$2010,$C$7,'LAC 102_Wkst'!$I$7:$I$2010,$C$9,'LAC 102_Wkst'!$E$7:$E$2010,$C40,'LAC 102_Wkst'!$G$7:$G$2010,$D40,'LAC 102_Wkst'!$L$7:$L$2010,"04",'LAC 102_Wkst'!$N$7:$N$2010,"P1")+SUMIFS('LAC 102_Wkst'!$Q$7:$Q$2010,'LAC 102_Wkst'!$D$7:$D$2010,$C$7,'LAC 102_Wkst'!$I$7:$I$2010,$C$9,'LAC 102_Wkst'!$E$7:$E$2010,$C40,'LAC 102_Wkst'!$G$7:$G$2010,$D40,'LAC 102_Wkst'!$L$7:$L$2010,"04",'LAC 102_Wkst'!$N$7:$N$2010,"P2")+SUMIFS('LAC 102_Wkst'!$Q$7:$Q$2010,'LAC 102_Wkst'!$D$7:$D$2010,$C$7,'LAC 102_Wkst'!$I$7:$I$2010,$C$9,'LAC 102_Wkst'!$E$7:$E$2010,$C40,'LAC 102_Wkst'!$G$7:$G$2010,$D40,'LAC 102_Wkst'!$L$7:$L$2010,"04",'LAC 102_Wkst'!$N$7:$N$2010,"P3")</f>
        <v>0</v>
      </c>
      <c r="M40" s="411">
        <f>SUMIFS('LAC 102_Wkst'!$AF$7:$AF$2010,'LAC 102_Wkst'!$D$7:$D$2010,$C$7,'LAC 102_Wkst'!$I$7:$I$2010,$C$9,'LAC 102_Wkst'!$E$7:$E$2010,$C40,'LAC 102_Wkst'!$G$7:$G$2010,$D40,'LAC 102_Wkst'!$L$7:$L$2010,"03",'LAC 102_Wkst'!$N$7:$N$2010,"P1")+SUMIFS('LAC 102_Wkst'!$AF$7:$AF$2010,'LAC 102_Wkst'!$D$7:$D$2010,$C$7,'LAC 102_Wkst'!$I$7:$I$2010,$C$9,'LAC 102_Wkst'!$E$7:$E$2010,$C40,'LAC 102_Wkst'!$G$7:$G$2010,$D40,'LAC 102_Wkst'!$L$7:$L$2010,"03",'LAC 102_Wkst'!$N$7:$N$2010,"P2")+SUMIFS('LAC 102_Wkst'!$AF$7:$AF$2010,'LAC 102_Wkst'!$D$7:$D$2010,$C$7,'LAC 102_Wkst'!$I$7:$I$2010,$C$9,'LAC 102_Wkst'!$E$7:$E$2010,$C40,'LAC 102_Wkst'!$G$7:$G$2010,$D40,'LAC 102_Wkst'!$L$7:$L$2010,"03",'LAC 102_Wkst'!$N$7:$N$2010,"P3")+SUMIFS('LAC 102_Wkst'!$AF$7:$AF$2010,'LAC 102_Wkst'!$D$7:$D$2010,$C$7,'LAC 102_Wkst'!$I$7:$I$2010,$C$9,'LAC 102_Wkst'!$E$7:$E$2010,$C40,'LAC 102_Wkst'!$G$7:$G$2010,$D40,'LAC 102_Wkst'!$L$7:$L$2010,"04",'LAC 102_Wkst'!$N$7:$N$2010,"P1")+SUMIFS('LAC 102_Wkst'!$AF$7:$AF$2010,'LAC 102_Wkst'!$D$7:$D$2010,$C$7,'LAC 102_Wkst'!$I$7:$I$2010,$C$9,'LAC 102_Wkst'!$E$7:$E$2010,$C40,'LAC 102_Wkst'!$G$7:$G$2010,$D40,'LAC 102_Wkst'!$L$7:$L$2010,"04",'LAC 102_Wkst'!$N$7:$N$2010,"P2")+SUMIFS('LAC 102_Wkst'!$AF$7:$AF$2010,'LAC 102_Wkst'!$D$7:$D$2010,$C$7,'LAC 102_Wkst'!$I$7:$I$2010,$C$9,'LAC 102_Wkst'!$E$7:$E$2010,$C40,'LAC 102_Wkst'!$G$7:$G$2010,$D40,'LAC 102_Wkst'!$L$7:$L$2010,"04",'LAC 102_Wkst'!$N$7:$N$2010,"P3")</f>
        <v>0</v>
      </c>
      <c r="N40" s="410">
        <f>SUMIFS('LAC 102_Wkst'!$Q$7:$Q$2010,'LAC 102_Wkst'!$D$7:$D$2010,$C$7,'LAC 102_Wkst'!$I$7:$I$2010,$C$9,'LAC 102_Wkst'!$E$7:$E$2010,$C40,'LAC 102_Wkst'!$G$7:$G$2010,$D40,'LAC 102_Wkst'!$L$7:$L$2010,"03",'LAC 102_Wkst'!$N$7:$N$2010,"P4")+SUMIFS('LAC 102_Wkst'!$Q$7:$Q$2010,'LAC 102_Wkst'!$D$7:$D$2010,$C$7,'LAC 102_Wkst'!$I$7:$I$2010,$C$9,'LAC 102_Wkst'!$E$7:$E$2010,$C40,'LAC 102_Wkst'!$G$7:$G$2010,$D40,'LAC 102_Wkst'!$L$7:$L$2010,"04",'LAC 102_Wkst'!$N$7:$N$2010,"P4")</f>
        <v>0</v>
      </c>
      <c r="O40" s="411">
        <f>SUMIFS('LAC 102_Wkst'!$AF$7:$AF$2010,'LAC 102_Wkst'!$D$7:$D$2010,$C$7,'LAC 102_Wkst'!$I$7:$I$2010,$C$9,'LAC 102_Wkst'!$E$7:$E$2010,$C40,'LAC 102_Wkst'!$G$7:$G$2010,$D40,'LAC 102_Wkst'!$L$7:$L$2010,"03",'LAC 102_Wkst'!$N$7:$N$2010,"P4")+SUMIFS('LAC 102_Wkst'!$AF$7:$AF$2010,'LAC 102_Wkst'!$D$7:$D$2010,$C$7,'LAC 102_Wkst'!$I$7:$I$2010,$C$9,'LAC 102_Wkst'!$E$7:$E$2010,$C40,'LAC 102_Wkst'!$G$7:$G$2010,$D40,'LAC 102_Wkst'!$L$7:$L$2010,"04",'LAC 102_Wkst'!$N$7:$N$2010,"P4")</f>
        <v>0</v>
      </c>
      <c r="P40" s="410">
        <f>SUMIFS('LAC 102_Wkst'!$Q$7:$Q$2010,'LAC 102_Wkst'!$D$7:$D$2010,$C$7,'LAC 102_Wkst'!$I$7:$I$2010,$C$9,'LAC 102_Wkst'!$E$7:$E$2010,$C40,'LAC 102_Wkst'!$G$7:$G$2010,$D40,'LAC 102_Wkst'!$L$7:$L$2010,"03",'LAC 102_Wkst'!$N$7:$N$2010,"P5")+SUMIFS('LAC 102_Wkst'!$Q$7:$Q$2010,'LAC 102_Wkst'!$D$7:$D$2010,$C$7,'LAC 102_Wkst'!$I$7:$I$2010,$C$9,'LAC 102_Wkst'!$E$7:$E$2010,$C40,'LAC 102_Wkst'!$G$7:$G$2010,$D40,'LAC 102_Wkst'!$L$7:$L$2010,"04",'LAC 102_Wkst'!$N$7:$N$2010,"P5")</f>
        <v>0</v>
      </c>
      <c r="Q40" s="411">
        <f>SUMIFS('LAC 102_Wkst'!$AF$7:$AF$2010,'LAC 102_Wkst'!$D$7:$D$2010,$C$7,'LAC 102_Wkst'!$I$7:$I$2010,$C$9,'LAC 102_Wkst'!$E$7:$E$2010,$C40,'LAC 102_Wkst'!$G$7:$G$2010,$D40,'LAC 102_Wkst'!$L$7:$L$2010,"03",'LAC 102_Wkst'!$N$7:$N$2010,"P5")+SUMIFS('LAC 102_Wkst'!$AF$7:$AF$2010,'LAC 102_Wkst'!$D$7:$D$2010,$C$7,'LAC 102_Wkst'!$I$7:$I$2010,$C$9,'LAC 102_Wkst'!$E$7:$E$2010,$C40,'LAC 102_Wkst'!$G$7:$G$2010,$D40,'LAC 102_Wkst'!$L$7:$L$2010,"04",'LAC 102_Wkst'!$N$7:$N$2010,"P5")</f>
        <v>0</v>
      </c>
      <c r="R40" s="412">
        <f>SUMIFS('LAC 102_Wkst'!$Q$7:$Q$2010,'LAC 102_Wkst'!$D$7:$D$2010,$C$7,'LAC 102_Wkst'!$I$7:$I$2010,$C$9,'LAC 102_Wkst'!$E$7:$E$2010,$C40,'LAC 102_Wkst'!$G$7:$G$2010,$D40,'LAC 102_Wkst'!$L$7:$L$2010,"05",'LAC 102_Wkst'!$N$7:$N$2010,"P1")+SUMIFS('LAC 102_Wkst'!$Q$7:$Q$2010,'LAC 102_Wkst'!$D$7:$D$2010,$C$7,'LAC 102_Wkst'!$I$7:$I$2010,$C$9,'LAC 102_Wkst'!$E$7:$E$2010,$C40,'LAC 102_Wkst'!$G$7:$G$2010,$D40,'LAC 102_Wkst'!$L$7:$L$2010,"06",'LAC 102_Wkst'!$N$7:$N$2010,"P1")</f>
        <v>0</v>
      </c>
      <c r="S40" s="411">
        <f>SUMIFS('LAC 102_Wkst'!$AF$7:$AF$2010,'LAC 102_Wkst'!$D$7:$D$2010,$C$7,'LAC 102_Wkst'!$I$7:$I$2010,$C$9,'LAC 102_Wkst'!$E$7:$E$2010,$C40,'LAC 102_Wkst'!$G$7:$G$2010,$D40,'LAC 102_Wkst'!$L$7:$L$2010,"05",'LAC 102_Wkst'!$N$7:$N$2010,"P1")+SUMIFS('LAC 102_Wkst'!$AF$7:$AF$2010,'LAC 102_Wkst'!$D$7:$D$2010,$C$7,'LAC 102_Wkst'!$I$7:$I$2010,$C$9,'LAC 102_Wkst'!$E$7:$E$2010,$C40,'LAC 102_Wkst'!$G$7:$G$2010,$D40,'LAC 102_Wkst'!$L$7:$L$2010,"06",'LAC 102_Wkst'!$N$7:$N$2010,"P1")</f>
        <v>0</v>
      </c>
      <c r="T40" s="410">
        <f>SUMIFS('LAC 102_Wkst'!$Q$7:$Q$2010,'LAC 102_Wkst'!$D$7:$D$2010,$C$7,'LAC 102_Wkst'!$I$7:$I$2010,$C$9,'LAC 102_Wkst'!$E$7:$E$2010,$C40,'LAC 102_Wkst'!$G$7:$G$2010,$D40,'LAC 102_Wkst'!$L$7:$L$2010,"05",'LAC 102_Wkst'!$N$7:$N$2010,"P2")+SUMIFS('LAC 102_Wkst'!$Q$7:$Q$2010,'LAC 102_Wkst'!$D$7:$D$2010,$C$7,'LAC 102_Wkst'!$I$7:$I$2010,$C$9,'LAC 102_Wkst'!$E$7:$E$2010,$C40,'LAC 102_Wkst'!$G$7:$G$2010,$D40,'LAC 102_Wkst'!$L$7:$L$2010,"06",'LAC 102_Wkst'!$N$7:$N$2010,"P2")+SUMIFS('LAC 102_Wkst'!$Q$7:$Q$2010,'LAC 102_Wkst'!$D$7:$D$2010,$C$7,'LAC 102_Wkst'!$I$7:$I$2010,$C$9,'LAC 102_Wkst'!$E$7:$E$2010,$C40,'LAC 102_Wkst'!$G$7:$G$2010,$D40,'LAC 102_Wkst'!$L$7:$L$2010,"05",'LAC 102_Wkst'!$N$7:$N$2010,"P3")+SUMIFS('LAC 102_Wkst'!$Q$7:$Q$2010,'LAC 102_Wkst'!$D$7:$D$2010,$C$7,'LAC 102_Wkst'!$I$7:$I$2010,$C$9,'LAC 102_Wkst'!$E$7:$E$2010,$C40,'LAC 102_Wkst'!$G$7:$G$2010,$D40,'LAC 102_Wkst'!$L$7:$L$2010,"06",'LAC 102_Wkst'!$N$7:$N$2010,"P3")</f>
        <v>0</v>
      </c>
      <c r="U40" s="411">
        <f>SUMIFS('LAC 102_Wkst'!$AF$7:$AF$2010,'LAC 102_Wkst'!$D$7:$D$2010,$C$7,'LAC 102_Wkst'!$I$7:$I$2010,$C$9,'LAC 102_Wkst'!$E$7:$E$2010,$C40,'LAC 102_Wkst'!$G$7:$G$2010,$D40,'LAC 102_Wkst'!$L$7:$L$2010,"05",'LAC 102_Wkst'!$N$7:$N$2010,"P2")+SUMIFS('LAC 102_Wkst'!$AF$7:$AF$2010,'LAC 102_Wkst'!$D$7:$D$2010,$C$7,'LAC 102_Wkst'!$I$7:$I$2010,$C$9,'LAC 102_Wkst'!$E$7:$E$2010,$C40,'LAC 102_Wkst'!$G$7:$G$2010,$D40,'LAC 102_Wkst'!$L$7:$L$2010,"06",'LAC 102_Wkst'!$N$7:$N$2010,"P2")+SUMIFS('LAC 102_Wkst'!$AF$7:$AF$2010,'LAC 102_Wkst'!$D$7:$D$2010,$C$7,'LAC 102_Wkst'!$I$7:$I$2010,$C$9,'LAC 102_Wkst'!$E$7:$E$2010,$C40,'LAC 102_Wkst'!$G$7:$G$2010,$D40,'LAC 102_Wkst'!$L$7:$L$2010,"05",'LAC 102_Wkst'!$N$7:$N$2010,"P3")+SUMIFS('LAC 102_Wkst'!$AF$7:$AF$2010,'LAC 102_Wkst'!$D$7:$D$2010,$C$7,'LAC 102_Wkst'!$I$7:$I$2010,$C$9,'LAC 102_Wkst'!$E$7:$E$2010,$C40,'LAC 102_Wkst'!$G$7:$G$2010,$D40,'LAC 102_Wkst'!$L$7:$L$2010,"06",'LAC 102_Wkst'!$N$7:$N$2010,"P3")</f>
        <v>0</v>
      </c>
      <c r="V40" s="410">
        <f>SUMIFS('LAC 102_Wkst'!$Q$7:$Q$2010,'LAC 102_Wkst'!$D$7:$D$2010,$C$7,'LAC 102_Wkst'!$I$7:$I$2010,$C$9,'LAC 102_Wkst'!$E$7:$E$2010,$C40,'LAC 102_Wkst'!$G$7:$G$2010,$D40,'LAC 102_Wkst'!$L$7:$L$2010,"05",'LAC 102_Wkst'!$N$7:$N$2010,"P4")+SUMIFS('LAC 102_Wkst'!$Q$7:$Q$2010,'LAC 102_Wkst'!$D$7:$D$2010,$C$7,'LAC 102_Wkst'!$I$7:$I$2010,$C$9,'LAC 102_Wkst'!$E$7:$E$2010,$C40,'LAC 102_Wkst'!$G$7:$G$2010,$D40,'LAC 102_Wkst'!$L$7:$L$2010,"06",'LAC 102_Wkst'!$N$7:$N$2010,"P4")</f>
        <v>0</v>
      </c>
      <c r="W40" s="411">
        <f>SUMIFS('LAC 102_Wkst'!$AF$7:$AF$2010,'LAC 102_Wkst'!$D$7:$D$2010,$C$7,'LAC 102_Wkst'!$I$7:$I$2010,$C$9,'LAC 102_Wkst'!$E$7:$E$2010,$C40,'LAC 102_Wkst'!$G$7:$G$2010,$D40,'LAC 102_Wkst'!$L$7:$L$2010,"05",'LAC 102_Wkst'!$N$7:$N$2010,"P4")+SUMIFS('LAC 102_Wkst'!$AF$7:$AF$2010,'LAC 102_Wkst'!$D$7:$D$2010,$C$7,'LAC 102_Wkst'!$I$7:$I$2010,$C$9,'LAC 102_Wkst'!$E$7:$E$2010,$C40,'LAC 102_Wkst'!$G$7:$G$2010,$D40,'LAC 102_Wkst'!$L$7:$L$2010,"06",'LAC 102_Wkst'!$N$7:$N$2010,"P4")</f>
        <v>0</v>
      </c>
      <c r="X40" s="410">
        <f>SUMIFS('LAC 102_Wkst'!$Q$7:$Q$2010,'LAC 102_Wkst'!$D$7:$D$2010,$C$7,'LAC 102_Wkst'!$I$7:$I$2010,$C$9,'LAC 102_Wkst'!$E$7:$E$2010,$C40,'LAC 102_Wkst'!$G$7:$G$2010,$D40,'LAC 102_Wkst'!$L$7:$L$2010,"05",'LAC 102_Wkst'!$N$7:$N$2010,"P5")+SUMIFS('LAC 102_Wkst'!$Q$7:$Q$2010,'LAC 102_Wkst'!$D$7:$D$2010,$C$7,'LAC 102_Wkst'!$I$7:$I$2010,$C$9,'LAC 102_Wkst'!$E$7:$E$2010,$C40,'LAC 102_Wkst'!$G$7:$G$2010,$D40,'LAC 102_Wkst'!$L$7:$L$2010,"06",'LAC 102_Wkst'!$N$7:$N$2010,"P5")</f>
        <v>0</v>
      </c>
      <c r="Y40" s="411">
        <f>SUMIFS('LAC 102_Wkst'!$AF$7:$AF$2010,'LAC 102_Wkst'!$D$7:$D$2010,$C$7,'LAC 102_Wkst'!$I$7:$I$2010,$C$9,'LAC 102_Wkst'!$E$7:$E$2010,$C40,'LAC 102_Wkst'!$G$7:$G$2010,$D40,'LAC 102_Wkst'!$L$7:$L$2010,"05",'LAC 102_Wkst'!$N$7:$N$2010,"P5")+SUMIFS('LAC 102_Wkst'!$AF$7:$AF$2010,'LAC 102_Wkst'!$D$7:$D$2010,$C$7,'LAC 102_Wkst'!$I$7:$I$2010,$C$9,'LAC 102_Wkst'!$E$7:$E$2010,$C40,'LAC 102_Wkst'!$G$7:$G$2010,$D40,'LAC 102_Wkst'!$L$7:$L$2010,"06",'LAC 102_Wkst'!$N$7:$N$2010,"P5")</f>
        <v>0</v>
      </c>
      <c r="Z40" s="410">
        <f>SUMIFS('LAC 102_Wkst'!$Q$7:$Q$2010,'LAC 102_Wkst'!$D$7:$D$2010,$C$7,'LAC 102_Wkst'!$I$7:$I$2010,$C$9,'LAC 102_Wkst'!$E$7:$E$2010,$C40,'LAC 102_Wkst'!$G$7:$G$2010,$D40,'LAC 102_Wkst'!$L$7:$L$2010,"07",'LAC 102_Wkst'!$N$7:$N$2010,"P1")+SUMIFS('LAC 102_Wkst'!$Q$7:$Q$2010,'LAC 102_Wkst'!$D$7:$D$2010,$C$7,'LAC 102_Wkst'!$I$7:$I$2010,$C$9,'LAC 102_Wkst'!$E$7:$E$2010,$C40,'LAC 102_Wkst'!$G$7:$G$2010,$D40,'LAC 102_Wkst'!$L$7:$L$2010,"07",'LAC 102_Wkst'!$N$7:$N$2010,"P2")+SUMIFS('LAC 102_Wkst'!$Q$7:$Q$2010,'LAC 102_Wkst'!$D$7:$D$2010,$C$7,'LAC 102_Wkst'!$I$7:$I$2010,$C$9,'LAC 102_Wkst'!$E$7:$E$2010,$C40,'LAC 102_Wkst'!$G$7:$G$2010,$D40,'LAC 102_Wkst'!$L$7:$L$2010,"07",'LAC 102_Wkst'!$N$7:$N$2010,"P3")</f>
        <v>0</v>
      </c>
      <c r="AA40" s="411">
        <f>SUMIFS('LAC 102_Wkst'!$AF$7:$AF$2010,'LAC 102_Wkst'!$D$7:$D$2010,$C$7,'LAC 102_Wkst'!$I$7:$I$2010,$C$9,'LAC 102_Wkst'!$E$7:$E$2010,$C40,'LAC 102_Wkst'!$G$7:$G$2010,$D40,'LAC 102_Wkst'!$L$7:$L$2010,"07",'LAC 102_Wkst'!$N$7:$N$2010,"P1")+SUMIFS('LAC 102_Wkst'!$AF$7:$AF$2010,'LAC 102_Wkst'!$D$7:$D$2010,$C$7,'LAC 102_Wkst'!$I$7:$I$2010,$C$9,'LAC 102_Wkst'!$E$7:$E$2010,$C40,'LAC 102_Wkst'!$G$7:$G$2010,$D40,'LAC 102_Wkst'!$L$7:$L$2010,"07",'LAC 102_Wkst'!$N$7:$N$2010,"P2")+SUMIFS('LAC 102_Wkst'!$AF$7:$AF$2010,'LAC 102_Wkst'!$D$7:$D$2010,$C$7,'LAC 102_Wkst'!$I$7:$I$2010,$C$9,'LAC 102_Wkst'!$E$7:$E$2010,$C40,'LAC 102_Wkst'!$G$7:$G$2010,$D40,'LAC 102_Wkst'!$L$7:$L$2010,"07",'LAC 102_Wkst'!$N$7:$N$2010,"P3")</f>
        <v>0</v>
      </c>
      <c r="AB40" s="410">
        <f>SUMIFS('LAC 102_Wkst'!$Q$7:$Q$2010,'LAC 102_Wkst'!$D$7:$D$2010,$C$7,'LAC 102_Wkst'!$I$7:$I$2010,$C$9,'LAC 102_Wkst'!$E$7:$E$2010,$C40,'LAC 102_Wkst'!$G$7:$G$2010,$D40,'LAC 102_Wkst'!$L$7:$L$2010,"07",'LAC 102_Wkst'!$N$7:$N$2010,"P4")</f>
        <v>0</v>
      </c>
      <c r="AC40" s="411">
        <f>SUMIFS('LAC 102_Wkst'!$AF$7:$AF$2010,'LAC 102_Wkst'!$D$7:$D$2010,$C$7,'LAC 102_Wkst'!$I$7:$I$2010,$C$9,'LAC 102_Wkst'!$E$7:$E$2010,$C40,'LAC 102_Wkst'!$G$7:$G$2010,$D40,'LAC 102_Wkst'!$L$7:$L$2010,"07",'LAC 102_Wkst'!$N$7:$N$2010,"P4")</f>
        <v>0</v>
      </c>
      <c r="AD40" s="410">
        <f>SUMIFS('LAC 102_Wkst'!$Q$7:$Q$2010,'LAC 102_Wkst'!$D$7:$D$2010,$C$7,'LAC 102_Wkst'!$I$7:$I$2010,$C$9,'LAC 102_Wkst'!$E$7:$E$2010,$C40,'LAC 102_Wkst'!$G$7:$G$2010,$D40,'LAC 102_Wkst'!$L$7:$L$2010,"07",'LAC 102_Wkst'!$N$7:$N$2010,"P5")</f>
        <v>0</v>
      </c>
      <c r="AE40" s="411">
        <f>SUMIFS('LAC 102_Wkst'!$AF$7:$AF$2010,'LAC 102_Wkst'!$D$7:$D$2010,$C$7,'LAC 102_Wkst'!$I$7:$I$2010,$C$9,'LAC 102_Wkst'!$E$7:$E$2010,$C40,'LAC 102_Wkst'!$G$7:$G$2010,$D40,'LAC 102_Wkst'!$L$7:$L$2010,"07",'LAC 102_Wkst'!$N$7:$N$2010,"P5")</f>
        <v>0</v>
      </c>
      <c r="AF40" s="410">
        <f>SUMIFS('LAC 102_Wkst'!$Q$7:$Q$2010,'LAC 102_Wkst'!$D$7:$D$2010,$C$7,'LAC 102_Wkst'!$I$7:$I$2010,$C$9,'LAC 102_Wkst'!$E$7:$E$2010,$C40,'LAC 102_Wkst'!$G$7:$G$2010,$D40,'LAC 102_Wkst'!$L$7:$L$2010,"08",'LAC 102_Wkst'!$N$7:$N$2010,"P1")+SUMIFS('LAC 102_Wkst'!$Q$7:$Q$2010,'LAC 102_Wkst'!$D$7:$D$2010,$C$7,'LAC 102_Wkst'!$I$7:$I$2010,$C$9,'LAC 102_Wkst'!$E$7:$E$2010,$C40,'LAC 102_Wkst'!$G$7:$G$2010,$D40,'LAC 102_Wkst'!$L$7:$L$2010,"08",'LAC 102_Wkst'!$N$7:$N$2010,"P2")+SUMIFS('LAC 102_Wkst'!$Q$7:$Q$2010,'LAC 102_Wkst'!$D$7:$D$2010,$C$7,'LAC 102_Wkst'!$I$7:$I$2010,$C$9,'LAC 102_Wkst'!$E$7:$E$2010,$C40,'LAC 102_Wkst'!$G$7:$G$2010,$D40,'LAC 102_Wkst'!$L$7:$L$2010,"08",'LAC 102_Wkst'!$N$7:$N$2010,"P3")</f>
        <v>0</v>
      </c>
      <c r="AG40" s="411">
        <f>SUMIFS('LAC 102_Wkst'!$AF$7:$AF$2010,'LAC 102_Wkst'!$D$7:$D$2010,$C$7,'LAC 102_Wkst'!$I$7:$I$2010,$C$9,'LAC 102_Wkst'!$E$7:$E$2010,$C40,'LAC 102_Wkst'!$G$7:$G$2010,$D40,'LAC 102_Wkst'!$L$7:$L$2010,"08",'LAC 102_Wkst'!$N$7:$N$2010,"P1")+SUMIFS('LAC 102_Wkst'!$AF$7:$AF$2010,'LAC 102_Wkst'!$D$7:$D$2010,$C$7,'LAC 102_Wkst'!$I$7:$I$2010,$C$9,'LAC 102_Wkst'!$E$7:$E$2010,$C40,'LAC 102_Wkst'!$G$7:$G$2010,$D40,'LAC 102_Wkst'!$L$7:$L$2010,"08",'LAC 102_Wkst'!$N$7:$N$2010,"P2")+SUMIFS('LAC 102_Wkst'!$AF$7:$AF$2010,'LAC 102_Wkst'!$D$7:$D$2010,$C$7,'LAC 102_Wkst'!$I$7:$I$2010,$C$9,'LAC 102_Wkst'!$E$7:$E$2010,$C40,'LAC 102_Wkst'!$G$7:$G$2010,$D40,'LAC 102_Wkst'!$L$7:$L$2010,"08",'LAC 102_Wkst'!$N$7:$N$2010,"P3")</f>
        <v>0</v>
      </c>
      <c r="AH40" s="410">
        <f>SUMIFS('LAC 102_Wkst'!$Q$7:$Q$2010,'LAC 102_Wkst'!$D$7:$D$2010,$C$7,'LAC 102_Wkst'!$I$7:$I$2010,$C$9,'LAC 102_Wkst'!$E$7:$E$2010,$C40,'LAC 102_Wkst'!$G$7:$G$2010,$D40,'LAC 102_Wkst'!$L$7:$L$2010,"08",'LAC 102_Wkst'!$N$7:$N$2010,"P4")</f>
        <v>0</v>
      </c>
      <c r="AI40" s="411">
        <f>SUMIFS('LAC 102_Wkst'!$AF$7:$AF$2010,'LAC 102_Wkst'!$D$7:$D$2010,$C$7,'LAC 102_Wkst'!$I$7:$I$2010,$C$9,'LAC 102_Wkst'!$E$7:$E$2010,$C40,'LAC 102_Wkst'!$G$7:$G$2010,$D40,'LAC 102_Wkst'!$L$7:$L$2010,"08",'LAC 102_Wkst'!$N$7:$N$2010,"P4")</f>
        <v>0</v>
      </c>
      <c r="AJ40" s="410">
        <f>SUMIFS('LAC 102_Wkst'!$Q$7:$Q$2010,'LAC 102_Wkst'!$D$7:$D$2010,$C$7,'LAC 102_Wkst'!$I$7:$I$2010,$C$9,'LAC 102_Wkst'!$E$7:$E$2010,$C40,'LAC 102_Wkst'!$G$7:$G$2010,$D40,'LAC 102_Wkst'!$L$7:$L$2010,"08",'LAC 102_Wkst'!$N$7:$N$2010,"P5")</f>
        <v>0</v>
      </c>
      <c r="AK40" s="411">
        <f>SUMIFS('LAC 102_Wkst'!$AF$7:$AF$2010,'LAC 102_Wkst'!$D$7:$D$2010,$C$7,'LAC 102_Wkst'!$I$7:$I$2010,$C$9,'LAC 102_Wkst'!$E$7:$E$2010,$C40,'LAC 102_Wkst'!$G$7:$G$2010,$D40,'LAC 102_Wkst'!$L$7:$L$2010,"08",'LAC 102_Wkst'!$N$7:$N$2010,"P5")</f>
        <v>0</v>
      </c>
      <c r="AL40" s="410">
        <f>SUMIFS('LAC 102_Wkst'!$Q$7:$Q$2010,'LAC 102_Wkst'!$D$7:$D$2010,$C$7,'LAC 102_Wkst'!$I$7:$I$2010,$C$9,'LAC 102_Wkst'!$E$7:$E$2010,$C40,'LAC 102_Wkst'!$G$7:$G$2010,$D40,'LAC 102_Wkst'!$L$7:$L$2010,"09",'LAC 102_Wkst'!$N$7:$N$2010,"P1")+SUMIFS('LAC 102_Wkst'!$Q$7:$Q$2010,'LAC 102_Wkst'!$D$7:$D$2010,$C$7,'LAC 102_Wkst'!$I$7:$I$2010,$C$9,'LAC 102_Wkst'!$E$7:$E$2010,$C40,'LAC 102_Wkst'!$G$7:$G$2010,$D40,'LAC 102_Wkst'!$L$7:$L$2010,"09",'LAC 102_Wkst'!$N$7:$N$2010,"P2")+SUMIFS('LAC 102_Wkst'!$Q$7:$Q$2010,'LAC 102_Wkst'!$D$7:$D$2010,$C$7,'LAC 102_Wkst'!$I$7:$I$2010,$C$9,'LAC 102_Wkst'!$E$7:$E$2010,$C40,'LAC 102_Wkst'!$G$7:$G$2010,$D40,'LAC 102_Wkst'!$L$7:$L$2010,"09",'LAC 102_Wkst'!$N$7:$N$2010,"P3")+SUMIFS('LAC 102_Wkst'!$Q$7:$Q$2010,'LAC 102_Wkst'!$D$7:$D$2010,$C$7,'LAC 102_Wkst'!$I$7:$I$2010,$C$9,'LAC 102_Wkst'!$E$7:$E$2010,$C40,'LAC 102_Wkst'!$G$7:$G$2010,$D40,'LAC 102_Wkst'!$L$7:$L$2010,"09",'LAC 102_Wkst'!$N$7:$N$2010,"P4")</f>
        <v>0</v>
      </c>
      <c r="AM40" s="411">
        <f>SUMIFS('LAC 102_Wkst'!$AF$7:$AF$2010,'LAC 102_Wkst'!$D$7:$D$2010,$C$7,'LAC 102_Wkst'!$I$7:$I$2010,$C$9,'LAC 102_Wkst'!$E$7:$E$2010,$C40,'LAC 102_Wkst'!$G$7:$G$2010,$D40,'LAC 102_Wkst'!$L$7:$L$2010,"09",'LAC 102_Wkst'!$N$7:$N$2010,"P1")+SUMIFS('LAC 102_Wkst'!$AF$7:$AF$2010,'LAC 102_Wkst'!$D$7:$D$2010,$C$7,'LAC 102_Wkst'!$I$7:$I$2010,$C$9,'LAC 102_Wkst'!$E$7:$E$2010,$C40,'LAC 102_Wkst'!$G$7:$G$2010,$D40,'LAC 102_Wkst'!$L$7:$L$2010,"09",'LAC 102_Wkst'!$N$7:$N$2010,"P2")+SUMIFS('LAC 102_Wkst'!$AF$7:$AF$2010,'LAC 102_Wkst'!$D$7:$D$2010,$C$7,'LAC 102_Wkst'!$I$7:$I$2010,$C$9,'LAC 102_Wkst'!$E$7:$E$2010,$C40,'LAC 102_Wkst'!$G$7:$G$2010,$D40,'LAC 102_Wkst'!$L$7:$L$2010,"09",'LAC 102_Wkst'!$N$7:$N$2010,"P3")+SUMIFS('LAC 102_Wkst'!$AF$7:$AF$2010,'LAC 102_Wkst'!$D$7:$D$2010,$C$7,'LAC 102_Wkst'!$I$7:$I$2010,$C$9,'LAC 102_Wkst'!$E$7:$E$2010,$C40,'LAC 102_Wkst'!$G$7:$G$2010,$D40,'LAC 102_Wkst'!$L$7:$L$2010,"09",'LAC 102_Wkst'!$N$7:$N$2010,"P4")</f>
        <v>0</v>
      </c>
      <c r="AN40" s="410">
        <f>SUMIFS('LAC 102_Wkst'!$Q$7:$Q$2010,'LAC 102_Wkst'!$D$7:$D$2010,$C$7,'LAC 102_Wkst'!$I$7:$I$2010,$C$9,'LAC 102_Wkst'!$E$7:$E$2010,$C40,'LAC 102_Wkst'!$G$7:$G$2010,$D40,'LAC 102_Wkst'!$L$7:$L$2010,"09",'LAC 102_Wkst'!$N$7:$N$2010,"P5")</f>
        <v>0</v>
      </c>
      <c r="AO40" s="411">
        <f>SUMIFS('LAC 102_Wkst'!$AF$7:$AF$2010,'LAC 102_Wkst'!$D$7:$D$2010,$C$7,'LAC 102_Wkst'!$I$7:$I$2010,$C$9,'LAC 102_Wkst'!$E$7:$E$2010,$C40,'LAC 102_Wkst'!$G$7:$G$2010,$D40,'LAC 102_Wkst'!$L$7:$L$2010,"09",'LAC 102_Wkst'!$N$7:$N$2010,"P5")</f>
        <v>0</v>
      </c>
      <c r="AP40" s="410">
        <f>SUMIFS('LAC 102_Wkst'!$Q$7:$Q$2010,'LAC 102_Wkst'!$D$7:$D$2010,$C$7,'LAC 102_Wkst'!$I$7:$I$2010,$C$9,'LAC 102_Wkst'!$E$7:$E$2010,$C40,'LAC 102_Wkst'!$G$7:$G$2010,$D40,'LAC 102_Wkst'!$L$7:$L$2010,"10",'LAC 102_Wkst'!$N$7:$N$2010,"P1")+SUMIFS('LAC 102_Wkst'!$Q$7:$Q$2010,'LAC 102_Wkst'!$D$7:$D$2010,$C$7,'LAC 102_Wkst'!$I$7:$I$2010,$C$9,'LAC 102_Wkst'!$E$7:$E$2010,$C40,'LAC 102_Wkst'!$G$7:$G$2010,$D40,'LAC 102_Wkst'!$L$7:$L$2010,"10",'LAC 102_Wkst'!$N$7:$N$2010,"P2")+SUMIFS('LAC 102_Wkst'!$Q$7:$Q$2010,'LAC 102_Wkst'!$D$7:$D$2010,$C$7,'LAC 102_Wkst'!$I$7:$I$2010,$C$9,'LAC 102_Wkst'!$E$7:$E$2010,$C40,'LAC 102_Wkst'!$G$7:$G$2010,$D40,'LAC 102_Wkst'!$L$7:$L$2010,"10",'LAC 102_Wkst'!$N$7:$N$2010,"P3")+SUMIFS('LAC 102_Wkst'!$Q$7:$Q$2010,'LAC 102_Wkst'!$D$7:$D$2010,$C$7,'LAC 102_Wkst'!$I$7:$I$2010,$C$9,'LAC 102_Wkst'!$E$7:$E$2010,$C40,'LAC 102_Wkst'!$G$7:$G$2010,$D40,'LAC 102_Wkst'!$L$7:$L$2010,"10",'LAC 102_Wkst'!$N$7:$N$2010,"P4")</f>
        <v>0</v>
      </c>
      <c r="AQ40" s="411">
        <f>SUMIFS('LAC 102_Wkst'!$AF$7:$AF$2010,'LAC 102_Wkst'!$D$7:$D$2010,$C$7,'LAC 102_Wkst'!$I$7:$I$2010,$C$9,'LAC 102_Wkst'!$E$7:$E$2010,$C40,'LAC 102_Wkst'!$G$7:$G$2010,$D40,'LAC 102_Wkst'!$L$7:$L$2010,"10",'LAC 102_Wkst'!$N$7:$N$2010,"P1")+SUMIFS('LAC 102_Wkst'!$AF$7:$AF$2010,'LAC 102_Wkst'!$D$7:$D$2010,$C$7,'LAC 102_Wkst'!$I$7:$I$2010,$C$9,'LAC 102_Wkst'!$E$7:$E$2010,$C40,'LAC 102_Wkst'!$G$7:$G$2010,$D40,'LAC 102_Wkst'!$L$7:$L$2010,"10",'LAC 102_Wkst'!$N$7:$N$2010,"P2")+SUMIFS('LAC 102_Wkst'!$AF$7:$AF$2010,'LAC 102_Wkst'!$D$7:$D$2010,$C$7,'LAC 102_Wkst'!$I$7:$I$2010,$C$9,'LAC 102_Wkst'!$E$7:$E$2010,$C40,'LAC 102_Wkst'!$G$7:$G$2010,$D40,'LAC 102_Wkst'!$L$7:$L$2010,"10",'LAC 102_Wkst'!$N$7:$N$2010,"P3")+SUMIFS('LAC 102_Wkst'!$AF$7:$AF$2010,'LAC 102_Wkst'!$D$7:$D$2010,$C$7,'LAC 102_Wkst'!$I$7:$I$2010,$C$9,'LAC 102_Wkst'!$E$7:$E$2010,$C40,'LAC 102_Wkst'!$G$7:$G$2010,$D40,'LAC 102_Wkst'!$L$7:$L$2010,"10",'LAC 102_Wkst'!$N$7:$N$2010,"P4")</f>
        <v>0</v>
      </c>
      <c r="AR40" s="410">
        <f>SUMIFS('LAC 102_Wkst'!$Q$7:$Q$2010,'LAC 102_Wkst'!$D$7:$D$2010,$C$7,'LAC 102_Wkst'!$I$7:$I$2010,$C$9,'LAC 102_Wkst'!$E$7:$E$2010,$C40,'LAC 102_Wkst'!$G$7:$G$2010,$D40,'LAC 102_Wkst'!$L$7:$L$2010,"10",'LAC 102_Wkst'!$N$7:$N$2010,"P5")</f>
        <v>0</v>
      </c>
      <c r="AS40" s="411">
        <f>SUMIFS('LAC 102_Wkst'!$AF$7:$AF$2010,'LAC 102_Wkst'!$D$7:$D$2010,$C$7,'LAC 102_Wkst'!$I$7:$I$2010,$C$9,'LAC 102_Wkst'!$E$7:$E$2010,$C40,'LAC 102_Wkst'!$G$7:$G$2010,$D40,'LAC 102_Wkst'!$L$7:$L$2010,"10",'LAC 102_Wkst'!$N$7:$N$2010,"P5")</f>
        <v>0</v>
      </c>
      <c r="AT40" s="410">
        <f>SUMIFS('LAC 102_Wkst'!$Q$7:$Q$2010,'LAC 102_Wkst'!$D$7:$D$2010,$C$7,'LAC 102_Wkst'!$I$7:$I$2010,$C$9,'LAC 102_Wkst'!$E$7:$E$2010,$C40,'LAC 102_Wkst'!$G$7:$G$2010,$D40,'LAC 102_Wkst'!$L$7:$L$2010,"11",'LAC 102_Wkst'!$N$7:$N$2010,"P1")+SUMIFS('LAC 102_Wkst'!$Q$7:$Q$2010,'LAC 102_Wkst'!$D$7:$D$2010,$C$7,'LAC 102_Wkst'!$I$7:$I$2010,$C$9,'LAC 102_Wkst'!$E$7:$E$2010,$C40,'LAC 102_Wkst'!$G$7:$G$2010,$D40,'LAC 102_Wkst'!$L$7:$L$2010,"12",'LAC 102_Wkst'!$N$7:$N$2010,"P1")</f>
        <v>0</v>
      </c>
      <c r="AU40" s="411">
        <f>SUMIFS('LAC 102_Wkst'!$Q$7:$Q$2010,'LAC 102_Wkst'!$D$7:$D$2010,$C$7,'LAC 102_Wkst'!$I$7:$I$2010,$C$9,'LAC 102_Wkst'!$E$7:$E$2010,$C40,'LAC 102_Wkst'!$G$7:$G$2010,$D40,'LAC 102_Wkst'!$L$7:$L$2010,"13",'LAC 102_Wkst'!$N$7:$N$2010,"P5")</f>
        <v>0</v>
      </c>
      <c r="AV40" s="410">
        <f>SUMIFS('LAC 102_Wkst'!$Q$7:$Q$2010,'LAC 102_Wkst'!$D$7:$D$2010,$C$7,'LAC 102_Wkst'!$I$7:$I$2010,$C$9,'LAC 102_Wkst'!$E$7:$E$2010,$C40,'LAC 102_Wkst'!$G$7:$G$2010,$D40,'LAC 102_Wkst'!$L$7:$L$2010,"11",'LAC 102_Wkst'!$N$7:$N$2010,"P2")+SUMIFS('LAC 102_Wkst'!$Q$7:$Q$2010,'LAC 102_Wkst'!$D$7:$D$2010,$C$7,'LAC 102_Wkst'!$I$7:$I$2010,$C$9,'LAC 102_Wkst'!$E$7:$E$2010,$C40,'LAC 102_Wkst'!$G$7:$G$2010,$D40,'LAC 102_Wkst'!$L$7:$L$2010,"12",'LAC 102_Wkst'!$N$7:$N$2010,"P2")+SUMIFS('LAC 102_Wkst'!$Q$7:$Q$2010,'LAC 102_Wkst'!$D$7:$D$2010,$C$7,'LAC 102_Wkst'!$I$7:$I$2010,$C$9,'LAC 102_Wkst'!$E$7:$E$2010,$C40,'LAC 102_Wkst'!$G$7:$G$2010,$D40,'LAC 102_Wkst'!$L$7:$L$2010,"11",'LAC 102_Wkst'!$N$7:$N$2010,"P3")+SUMIFS('LAC 102_Wkst'!$Q$7:$Q$2010,'LAC 102_Wkst'!$D$7:$D$2010,$C$7,'LAC 102_Wkst'!$I$7:$I$2010,$C$9,'LAC 102_Wkst'!$E$7:$E$2010,$C40,'LAC 102_Wkst'!$G$7:$G$2010,$D40,'LAC 102_Wkst'!$L$7:$L$2010,"12",'LAC 102_Wkst'!$N$7:$N$2010,"P3")</f>
        <v>0</v>
      </c>
      <c r="AW40" s="411">
        <f>SUMIFS('LAC 102_Wkst'!$AF$7:$AF$2010,'LAC 102_Wkst'!$D$7:$D$2010,$C$7,'LAC 102_Wkst'!$I$7:$I$2010,$C$9,'LAC 102_Wkst'!$E$7:$E$2010,$C40,'LAC 102_Wkst'!$G$7:$G$2010,$D40,'LAC 102_Wkst'!$L$7:$L$2010,"11",'LAC 102_Wkst'!$N$7:$N$2010,"P2")+SUMIFS('LAC 102_Wkst'!$AF$7:$AF$2010,'LAC 102_Wkst'!$D$7:$D$2010,$C$7,'LAC 102_Wkst'!$I$7:$I$2010,$C$9,'LAC 102_Wkst'!$E$7:$E$2010,$C40,'LAC 102_Wkst'!$G$7:$G$2010,$D40,'LAC 102_Wkst'!$L$7:$L$2010,"12",'LAC 102_Wkst'!$N$7:$N$2010,"P2")+SUMIFS('LAC 102_Wkst'!$AF$7:$AF$2010,'LAC 102_Wkst'!$D$7:$D$2010,$C$7,'LAC 102_Wkst'!$I$7:$I$2010,$C$9,'LAC 102_Wkst'!$E$7:$E$2010,$C40,'LAC 102_Wkst'!$G$7:$G$2010,$D40,'LAC 102_Wkst'!$L$7:$L$2010,"11",'LAC 102_Wkst'!$N$7:$N$2010,"P3")+SUMIFS('LAC 102_Wkst'!$AF$7:$AF$2010,'LAC 102_Wkst'!$D$7:$D$2010,$C$7,'LAC 102_Wkst'!$I$7:$I$2010,$C$9,'LAC 102_Wkst'!$E$7:$E$2010,$C40,'LAC 102_Wkst'!$G$7:$G$2010,$D40,'LAC 102_Wkst'!$L$7:$L$2010,"12",'LAC 102_Wkst'!$N$7:$N$2010,"P3")</f>
        <v>0</v>
      </c>
      <c r="AX40" s="410">
        <f>SUMIFS('LAC 102_Wkst'!$Q$7:$Q$2010,'LAC 102_Wkst'!$D$7:$D$2010,$C$7,'LAC 102_Wkst'!$I$7:$I$2010,$C$9,'LAC 102_Wkst'!$E$7:$E$2010,$C40,'LAC 102_Wkst'!$G$7:$G$2010,$D40,'LAC 102_Wkst'!$L$7:$L$2010,"11",'LAC 102_Wkst'!$N$7:$N$2010,"P4")+SUMIFS('LAC 102_Wkst'!$Q$7:$Q$2010,'LAC 102_Wkst'!$D$7:$D$2010,$C$7,'LAC 102_Wkst'!$I$7:$I$2010,$C$9,'LAC 102_Wkst'!$E$7:$E$2010,$C40,'LAC 102_Wkst'!$G$7:$G$2010,$D40,'LAC 102_Wkst'!$L$7:$L$2010,"12",'LAC 102_Wkst'!$N$7:$N$2010,"P4")</f>
        <v>0</v>
      </c>
      <c r="AY40" s="411">
        <f>SUMIFS('LAC 102_Wkst'!$AF$7:$AF$2010,'LAC 102_Wkst'!$D$7:$D$2010,$C$7,'LAC 102_Wkst'!$I$7:$I$2010,$C$9,'LAC 102_Wkst'!$E$7:$E$2010,$C40,'LAC 102_Wkst'!$G$7:$G$2010,$D40,'LAC 102_Wkst'!$L$7:$L$2010,"11",'LAC 102_Wkst'!$N$7:$N$2010,"P4")+SUMIFS('LAC 102_Wkst'!$AF$7:$AF$2010,'LAC 102_Wkst'!$D$7:$D$2010,$C$7,'LAC 102_Wkst'!$I$7:$I$2010,$C$9,'LAC 102_Wkst'!$E$7:$E$2010,$C40,'LAC 102_Wkst'!$G$7:$G$2010,$D40,'LAC 102_Wkst'!$L$7:$L$2010,"12",'LAC 102_Wkst'!$N$7:$N$2010,"P4")</f>
        <v>0</v>
      </c>
      <c r="AZ40" s="410">
        <f>SUMIFS('LAC 102_Wkst'!$Q$7:$Q$2010,'LAC 102_Wkst'!$D$7:$D$2010,$C$7,'LAC 102_Wkst'!$I$7:$I$2010,$C$9,'LAC 102_Wkst'!$E$7:$E$2010,$C40,'LAC 102_Wkst'!$G$7:$G$2010,$D40,'LAC 102_Wkst'!$L$7:$L$2010,"11",'LAC 102_Wkst'!$N$7:$N$2010,"P5")+SUMIFS('LAC 102_Wkst'!$Q$7:$Q$2010,'LAC 102_Wkst'!$D$7:$D$2010,$C$7,'LAC 102_Wkst'!$I$7:$I$2010,$C$9,'LAC 102_Wkst'!$E$7:$E$2010,$C40,'LAC 102_Wkst'!$G$7:$G$2010,$D40,'LAC 102_Wkst'!$L$7:$L$2010,"12",'LAC 102_Wkst'!$N$7:$N$2010,"P5")</f>
        <v>0</v>
      </c>
      <c r="BA40" s="411">
        <f>SUMIFS('LAC 102_Wkst'!$AF$7:$AF$2010,'LAC 102_Wkst'!$D$7:$D$2010,$C$7,'LAC 102_Wkst'!$I$7:$I$2010,$C$9,'LAC 102_Wkst'!$E$7:$E$2010,$C40,'LAC 102_Wkst'!$G$7:$G$2010,$D40,'LAC 102_Wkst'!$L$7:$L$2010,"11",'LAC 102_Wkst'!$N$7:$N$2010,"P5")+SUMIFS('LAC 102_Wkst'!$AF$7:$AF$2010,'LAC 102_Wkst'!$D$7:$D$2010,$C$7,'LAC 102_Wkst'!$I$7:$I$2010,$C$9,'LAC 102_Wkst'!$E$7:$E$2010,$C40,'LAC 102_Wkst'!$G$7:$G$2010,$D40,'LAC 102_Wkst'!$L$7:$L$2010,"12",'LAC 102_Wkst'!$N$7:$N$2010,"P5")</f>
        <v>0</v>
      </c>
      <c r="BB40" s="410">
        <f>SUMIFS('LAC 102_Wkst'!$Q$7:$Q$2010,'LAC 102_Wkst'!$D$7:$D$2010,$C$7,'LAC 102_Wkst'!$I$7:$I$2010,$C$9,'LAC 102_Wkst'!$E$7:$E$2010,$C40,'LAC 102_Wkst'!$G$7:$G$2010,$D40,'LAC 102_Wkst'!$L$7:$L$2010,"13",'LAC 102_Wkst'!$N$7:$N$2010,"P1")+SUMIFS('LAC 102_Wkst'!$Q$7:$Q$2010,'LAC 102_Wkst'!$D$7:$D$2010,$C$7,'LAC 102_Wkst'!$I$7:$I$2010,$C$9,'LAC 102_Wkst'!$E$7:$E$2010,$C40,'LAC 102_Wkst'!$G$7:$G$2010,$D40,'LAC 102_Wkst'!$L$7:$L$2010,"13",'LAC 102_Wkst'!$N$7:$N$2010,"P2")+SUMIFS('LAC 102_Wkst'!$Q$7:$Q$2010,'LAC 102_Wkst'!$D$7:$D$2010,$C$7,'LAC 102_Wkst'!$I$7:$I$2010,$C$9,'LAC 102_Wkst'!$E$7:$E$2010,$C40,'LAC 102_Wkst'!$G$7:$G$2010,$D40,'LAC 102_Wkst'!$L$7:$L$2010,"13",'LAC 102_Wkst'!$N$7:$N$2010,"P3")+SUMIFS('LAC 102_Wkst'!$Q$7:$Q$2010,'LAC 102_Wkst'!$D$7:$D$2010,$C$7,'LAC 102_Wkst'!$I$7:$I$2010,$C$9,'LAC 102_Wkst'!$E$7:$E$2010,$C40,'LAC 102_Wkst'!$G$7:$G$2010,$D40,'LAC 102_Wkst'!$L$7:$L$2010,"13",'LAC 102_Wkst'!$N$7:$N$2010,"P4")</f>
        <v>0</v>
      </c>
      <c r="BC40" s="411">
        <f>SUMIFS('LAC 102_Wkst'!$AF$7:$AF$2010,'LAC 102_Wkst'!$D$7:$D$2010,$C$7,'LAC 102_Wkst'!$I$7:$I$2010,$C$9,'LAC 102_Wkst'!$E$7:$E$2010,$C40,'LAC 102_Wkst'!$G$7:$G$2010,$D40,'LAC 102_Wkst'!$L$7:$L$2010,"13",'LAC 102_Wkst'!$N$7:$N$2010,"P1")+SUMIFS('LAC 102_Wkst'!$AF$7:$AF$2010,'LAC 102_Wkst'!$D$7:$D$2010,$C$7,'LAC 102_Wkst'!$I$7:$I$2010,$C$9,'LAC 102_Wkst'!$E$7:$E$2010,$C40,'LAC 102_Wkst'!$G$7:$G$2010,$D40,'LAC 102_Wkst'!$L$7:$L$2010,"13",'LAC 102_Wkst'!$N$7:$N$2010,"P2")+SUMIFS('LAC 102_Wkst'!$AF$7:$AF$2010,'LAC 102_Wkst'!$D$7:$D$2010,$C$7,'LAC 102_Wkst'!$I$7:$I$2010,$C$9,'LAC 102_Wkst'!$E$7:$E$2010,$C40,'LAC 102_Wkst'!$G$7:$G$2010,$D40,'LAC 102_Wkst'!$L$7:$L$2010,"13",'LAC 102_Wkst'!$N$7:$N$2010,"P3")+SUMIFS('LAC 102_Wkst'!$AF$7:$AF$2010,'LAC 102_Wkst'!$D$7:$D$2010,$C$7,'LAC 102_Wkst'!$I$7:$I$2010,$C$9,'LAC 102_Wkst'!$E$7:$E$2010,$C40,'LAC 102_Wkst'!$G$7:$G$2010,$D40,'LAC 102_Wkst'!$L$7:$L$2010,"13",'LAC 102_Wkst'!$N$7:$N$2010,"P4")</f>
        <v>0</v>
      </c>
      <c r="BD40" s="410">
        <f>SUMIFS('LAC 102_Wkst'!$Q$7:$Q$2010,'LAC 102_Wkst'!$D$7:$D$2010,$C$7,'LAC 102_Wkst'!$I$7:$I$2010,$C$9,'LAC 102_Wkst'!$E$7:$E$2010,$C40,'LAC 102_Wkst'!$G$7:$G$2010,$D40,'LAC 102_Wkst'!$L$7:$L$2010,"13",'LAC 102_Wkst'!$N$7:$N$2010,"P5")</f>
        <v>0</v>
      </c>
      <c r="BE40" s="411">
        <f>SUMIFS('LAC 102_Wkst'!$AF$7:$AF$2010,'LAC 102_Wkst'!$D$7:$D$2010,$C$7,'LAC 102_Wkst'!$I$7:$I$2010,$C$9,'LAC 102_Wkst'!$E$7:$E$2010,$C40,'LAC 102_Wkst'!$G$7:$G$2010,$D40,'LAC 102_Wkst'!$L$7:$L$2010,"13",'LAC 102_Wkst'!$N$7:$N$2010,"P5")</f>
        <v>0</v>
      </c>
      <c r="BF40" s="407">
        <f t="shared" si="4"/>
        <v>0</v>
      </c>
      <c r="BG40" s="1654">
        <f>SUMIFS('LAC 102_Wkst'!$AF$7:$AF$2010,'LAC 102_Wkst'!$D$7:$D$2010,$C$7,'LAC 102_Wkst'!$I$7:$I$2010,$C$9,'LAC 102_Wkst'!$E$7:$E$2010,$C40,'LAC 102_Wkst'!$G$7:$G$2010,$D40,'LAC 102_Wkst'!$L$7:$L$2010,"14")</f>
        <v>0</v>
      </c>
    </row>
    <row r="41" spans="1:59" x14ac:dyDescent="0.2">
      <c r="A41" s="401">
        <v>19</v>
      </c>
      <c r="B41" s="1678" t="str">
        <f>IF(Schedule_B!B$38="","",Schedule_B!B$38)</f>
        <v>CR</v>
      </c>
      <c r="C41" s="1674" t="str">
        <f>IF(Schedule_B!C$38=""," ",Schedule_B!C$38)</f>
        <v>60</v>
      </c>
      <c r="D41" s="1675" t="str">
        <f>IF(Schedule_B!D$38=""," ",Schedule_B!D$38)</f>
        <v>72</v>
      </c>
      <c r="E41" s="1221">
        <f>SUMIFS('LAC 102_Wkst'!$Q$7:$Q$2010,'LAC 102_Wkst'!$D$7:$D$2010,$C$7,'LAC 102_Wkst'!$I$7:$I$2010,$C$9,'LAC 102_Wkst'!$E$7:$E$2010,$C41,'LAC 102_Wkst'!$G$7:$G$2010,$D41)</f>
        <v>0</v>
      </c>
      <c r="F41" s="408">
        <f>SUMIFS('LAC 102_Wkst'!$Q$7:$Q$2010,'LAC 102_Wkst'!$D$7:$D$2010,$C$7,'LAC 102_Wkst'!$I$7:$I$2010,$C$9,'LAC 102_Wkst'!$E$7:$E$2010,$C41,'LAC 102_Wkst'!$G$7:$G$2010,$D41,'LAC 102_Wkst'!$L$7:$L$2010,"01",'LAC 102_Wkst'!$N$7:$N$2010,"P1")+SUMIFS('LAC 102_Wkst'!$Q$7:$Q$2010,'LAC 102_Wkst'!$D$7:$D$2010,$C$7,'LAC 102_Wkst'!$I$7:$I$2010,$C$9,'LAC 102_Wkst'!$E$7:$E$2010,$C41,'LAC 102_Wkst'!$G$7:$G$2010,$D41,'LAC 102_Wkst'!$L$7:$L$2010,"01",'LAC 102_Wkst'!$N$7:$N$2010,"P2")+SUMIFS('LAC 102_Wkst'!$Q$7:$Q$2010,'LAC 102_Wkst'!$D$7:$D$2010,$C$7,'LAC 102_Wkst'!$I$7:$I$2010,$C$9,'LAC 102_Wkst'!$E$7:$E$2010,$C41,'LAC 102_Wkst'!$G$7:$G$2010,$D41,'LAC 102_Wkst'!$L$7:$L$2010,"01",'LAC 102_Wkst'!$N$7:$N$2010,"P3")+SUMIFS('LAC 102_Wkst'!$Q$7:$Q$2010,'LAC 102_Wkst'!$D$7:$D$2010,$C$7,'LAC 102_Wkst'!$I$7:$I$2010,$C$9,'LAC 102_Wkst'!$E$7:$E$2010,$C41,'LAC 102_Wkst'!$G$7:$G$2010,$D41,'LAC 102_Wkst'!$L$7:$L$2010,"02",'LAC 102_Wkst'!$N$7:$N$2010,"P1")+SUMIFS('LAC 102_Wkst'!$Q$7:$Q$2010,'LAC 102_Wkst'!$D$7:$D$2010,$C$7,'LAC 102_Wkst'!$I$7:$I$2010,$C$9,'LAC 102_Wkst'!$E$7:$E$2010,$C41,'LAC 102_Wkst'!$G$7:$G$2010,$D41,'LAC 102_Wkst'!$L$7:$L$2010,"02",'LAC 102_Wkst'!$N$7:$N$2010,"P2")+SUMIFS('LAC 102_Wkst'!$Q$7:$Q$2010,'LAC 102_Wkst'!$D$7:$D$2010,$C$7,'LAC 102_Wkst'!$I$7:$I$2010,$C$9,'LAC 102_Wkst'!$E$7:$E$2010,$C41,'LAC 102_Wkst'!$G$7:$G$2010,$D41,'LAC 102_Wkst'!$L$7:$L$2010,"02",'LAC 102_Wkst'!$N$7:$N$2010,"P3")</f>
        <v>0</v>
      </c>
      <c r="G41" s="409">
        <f>SUMIFS('LAC 102_Wkst'!$AF$7:$AF$2010,'LAC 102_Wkst'!$D$7:$D$2010,$C$7,'LAC 102_Wkst'!$I$7:$I$2010,$C$9,'LAC 102_Wkst'!$E$7:$E$2010,$C41,'LAC 102_Wkst'!$G$7:$G$2010,$D41,'LAC 102_Wkst'!$L$7:$L$2010,"01",'LAC 102_Wkst'!$N$7:$N$2010,"P1")+SUMIFS('LAC 102_Wkst'!$AF$7:$AF$2010,'LAC 102_Wkst'!$D$7:$D$2010,$C$7,'LAC 102_Wkst'!$I$7:$I$2010,$C$9,'LAC 102_Wkst'!$E$7:$E$2010,$C41,'LAC 102_Wkst'!$G$7:$G$2010,$D41,'LAC 102_Wkst'!$L$7:$L$2010,"01",'LAC 102_Wkst'!$N$7:$N$2010,"P2")+SUMIFS('LAC 102_Wkst'!$AF$7:$AF$2010,'LAC 102_Wkst'!$D$7:$D$2010,$C$7,'LAC 102_Wkst'!$I$7:$I$2010,$C$9,'LAC 102_Wkst'!$E$7:$E$2010,$C41,'LAC 102_Wkst'!$G$7:$G$2010,$D41,'LAC 102_Wkst'!$L$7:$L$2010,"01",'LAC 102_Wkst'!$N$7:$N$2010,"P3")+SUMIFS('LAC 102_Wkst'!$AF$7:$AF$2010,'LAC 102_Wkst'!$D$7:$D$2010,$C$7,'LAC 102_Wkst'!$I$7:$I$2010,$C$9,'LAC 102_Wkst'!$E$7:$E$2010,$C41,'LAC 102_Wkst'!$G$7:$G$2010,$D41,'LAC 102_Wkst'!$L$7:$L$2010,"02",'LAC 102_Wkst'!$N$7:$N$2010,"P1")+SUMIFS('LAC 102_Wkst'!$AF$7:$AF$2010,'LAC 102_Wkst'!$D$7:$D$2010,$C$7,'LAC 102_Wkst'!$I$7:$I$2010,$C$9,'LAC 102_Wkst'!$E$7:$E$2010,$C41,'LAC 102_Wkst'!$G$7:$G$2010,$D41,'LAC 102_Wkst'!$L$7:$L$2010,"02",'LAC 102_Wkst'!$N$7:$N$2010,"P2")+SUMIFS('LAC 102_Wkst'!$AF$7:$AF$2010,'LAC 102_Wkst'!$D$7:$D$2010,$C$7,'LAC 102_Wkst'!$I$7:$I$2010,$C$9,'LAC 102_Wkst'!$E$7:$E$2010,$C41,'LAC 102_Wkst'!$G$7:$G$2010,$D41,'LAC 102_Wkst'!$L$7:$L$2010,"02",'LAC 102_Wkst'!$N$7:$N$2010,"P3")</f>
        <v>0</v>
      </c>
      <c r="H41" s="410">
        <f>SUMIFS('LAC 102_Wkst'!$Q$7:$Q$2010,'LAC 102_Wkst'!$D$7:$D$2010,$C$7,'LAC 102_Wkst'!$I$7:$I$2010,$C$9,'LAC 102_Wkst'!$E$7:$E$2010,$C41,'LAC 102_Wkst'!$G$7:$G$2010,$D41,'LAC 102_Wkst'!$L$7:$L$2010,"01",'LAC 102_Wkst'!$N$7:$N$2010,"P4")+SUMIFS('LAC 102_Wkst'!$Q$7:$Q$2010,'LAC 102_Wkst'!$D$7:$D$2010,$C$7,'LAC 102_Wkst'!$I$7:$I$2010,$C$9,'LAC 102_Wkst'!$E$7:$E$2010,$C41,'LAC 102_Wkst'!$G$7:$G$2010,$D41,'LAC 102_Wkst'!$L$7:$L$2010,"02",'LAC 102_Wkst'!$N$7:$N$2010,"P4")</f>
        <v>0</v>
      </c>
      <c r="I41" s="411">
        <f>SUMIFS('LAC 102_Wkst'!$AF$7:$AF$2010,'LAC 102_Wkst'!$D$7:$D$2010,$C$7,'LAC 102_Wkst'!$I$7:$I$2010,$C$9,'LAC 102_Wkst'!$E$7:$E$2010,$C41,'LAC 102_Wkst'!$G$7:$G$2010,$D41,'LAC 102_Wkst'!$L$7:$L$2010,"01",'LAC 102_Wkst'!$N$7:$N$2010,"P4")+SUMIFS('LAC 102_Wkst'!$AF$7:$AF$2010,'LAC 102_Wkst'!$D$7:$D$2010,$C$7,'LAC 102_Wkst'!$I$7:$I$2010,$C$9,'LAC 102_Wkst'!$E$7:$E$2010,$C41,'LAC 102_Wkst'!$G$7:$G$2010,$D41,'LAC 102_Wkst'!$L$7:$L$2010,"02",'LAC 102_Wkst'!$N$7:$N$2010,"P4")</f>
        <v>0</v>
      </c>
      <c r="J41" s="410">
        <f>SUMIFS('LAC 102_Wkst'!$Q$7:$Q$2010,'LAC 102_Wkst'!$D$7:$D$2010,$C$7,'LAC 102_Wkst'!$I$7:$I$2010,$C$9,'LAC 102_Wkst'!$E$7:$E$2010,$C41,'LAC 102_Wkst'!$G$7:$G$2010,$D41,'LAC 102_Wkst'!$L$7:$L$2010,"01",'LAC 102_Wkst'!$N$7:$N$2010,"P5")+SUMIFS('LAC 102_Wkst'!$Q$7:$Q$2010,'LAC 102_Wkst'!$D$7:$D$2010,$C$7,'LAC 102_Wkst'!$I$7:$I$2010,$C$9,'LAC 102_Wkst'!$E$7:$E$2010,$C41,'LAC 102_Wkst'!$G$7:$G$2010,$D41,'LAC 102_Wkst'!$L$7:$L$2010,"02",'LAC 102_Wkst'!$N$7:$N$2010,"P5")</f>
        <v>0</v>
      </c>
      <c r="K41" s="411">
        <f>SUMIFS('LAC 102_Wkst'!$AF$7:$AF$2010,'LAC 102_Wkst'!$D$7:$D$2010,$C$7,'LAC 102_Wkst'!$I$7:$I$2010,$C$9,'LAC 102_Wkst'!$E$7:$E$2010,$C41,'LAC 102_Wkst'!$G$7:$G$2010,$D41,'LAC 102_Wkst'!$L$7:$L$2010,"01",'LAC 102_Wkst'!$N$7:$N$2010,"P5")+SUMIFS('LAC 102_Wkst'!$AF$7:$AF$2010,'LAC 102_Wkst'!$D$7:$D$2010,$C$7,'LAC 102_Wkst'!$I$7:$I$2010,$C$9,'LAC 102_Wkst'!$E$7:$E$2010,$C41,'LAC 102_Wkst'!$G$7:$G$2010,$D41,'LAC 102_Wkst'!$L$7:$L$2010,"02",'LAC 102_Wkst'!$N$7:$N$2010,"P5")</f>
        <v>0</v>
      </c>
      <c r="L41" s="410">
        <f>SUMIFS('LAC 102_Wkst'!$Q$7:$Q$2010,'LAC 102_Wkst'!$D$7:$D$2010,$C$7,'LAC 102_Wkst'!$I$7:$I$2010,$C$9,'LAC 102_Wkst'!$E$7:$E$2010,$C41,'LAC 102_Wkst'!$G$7:$G$2010,$D41,'LAC 102_Wkst'!$L$7:$L$2010,"03",'LAC 102_Wkst'!$N$7:$N$2010,"P1")+SUMIFS('LAC 102_Wkst'!$Q$7:$Q$2010,'LAC 102_Wkst'!$D$7:$D$2010,$C$7,'LAC 102_Wkst'!$I$7:$I$2010,$C$9,'LAC 102_Wkst'!$E$7:$E$2010,$C41,'LAC 102_Wkst'!$G$7:$G$2010,$D41,'LAC 102_Wkst'!$L$7:$L$2010,"03",'LAC 102_Wkst'!$N$7:$N$2010,"P2")+SUMIFS('LAC 102_Wkst'!$Q$7:$Q$2010,'LAC 102_Wkst'!$D$7:$D$2010,$C$7,'LAC 102_Wkst'!$I$7:$I$2010,$C$9,'LAC 102_Wkst'!$E$7:$E$2010,$C41,'LAC 102_Wkst'!$G$7:$G$2010,$D41,'LAC 102_Wkst'!$L$7:$L$2010,"03",'LAC 102_Wkst'!$N$7:$N$2010,"P3")+SUMIFS('LAC 102_Wkst'!$Q$7:$Q$2010,'LAC 102_Wkst'!$D$7:$D$2010,$C$7,'LAC 102_Wkst'!$I$7:$I$2010,$C$9,'LAC 102_Wkst'!$E$7:$E$2010,$C41,'LAC 102_Wkst'!$G$7:$G$2010,$D41,'LAC 102_Wkst'!$L$7:$L$2010,"04",'LAC 102_Wkst'!$N$7:$N$2010,"P1")+SUMIFS('LAC 102_Wkst'!$Q$7:$Q$2010,'LAC 102_Wkst'!$D$7:$D$2010,$C$7,'LAC 102_Wkst'!$I$7:$I$2010,$C$9,'LAC 102_Wkst'!$E$7:$E$2010,$C41,'LAC 102_Wkst'!$G$7:$G$2010,$D41,'LAC 102_Wkst'!$L$7:$L$2010,"04",'LAC 102_Wkst'!$N$7:$N$2010,"P2")+SUMIFS('LAC 102_Wkst'!$Q$7:$Q$2010,'LAC 102_Wkst'!$D$7:$D$2010,$C$7,'LAC 102_Wkst'!$I$7:$I$2010,$C$9,'LAC 102_Wkst'!$E$7:$E$2010,$C41,'LAC 102_Wkst'!$G$7:$G$2010,$D41,'LAC 102_Wkst'!$L$7:$L$2010,"04",'LAC 102_Wkst'!$N$7:$N$2010,"P3")</f>
        <v>0</v>
      </c>
      <c r="M41" s="411">
        <f>SUMIFS('LAC 102_Wkst'!$AF$7:$AF$2010,'LAC 102_Wkst'!$D$7:$D$2010,$C$7,'LAC 102_Wkst'!$I$7:$I$2010,$C$9,'LAC 102_Wkst'!$E$7:$E$2010,$C41,'LAC 102_Wkst'!$G$7:$G$2010,$D41,'LAC 102_Wkst'!$L$7:$L$2010,"03",'LAC 102_Wkst'!$N$7:$N$2010,"P1")+SUMIFS('LAC 102_Wkst'!$AF$7:$AF$2010,'LAC 102_Wkst'!$D$7:$D$2010,$C$7,'LAC 102_Wkst'!$I$7:$I$2010,$C$9,'LAC 102_Wkst'!$E$7:$E$2010,$C41,'LAC 102_Wkst'!$G$7:$G$2010,$D41,'LAC 102_Wkst'!$L$7:$L$2010,"03",'LAC 102_Wkst'!$N$7:$N$2010,"P2")+SUMIFS('LAC 102_Wkst'!$AF$7:$AF$2010,'LAC 102_Wkst'!$D$7:$D$2010,$C$7,'LAC 102_Wkst'!$I$7:$I$2010,$C$9,'LAC 102_Wkst'!$E$7:$E$2010,$C41,'LAC 102_Wkst'!$G$7:$G$2010,$D41,'LAC 102_Wkst'!$L$7:$L$2010,"03",'LAC 102_Wkst'!$N$7:$N$2010,"P3")+SUMIFS('LAC 102_Wkst'!$AF$7:$AF$2010,'LAC 102_Wkst'!$D$7:$D$2010,$C$7,'LAC 102_Wkst'!$I$7:$I$2010,$C$9,'LAC 102_Wkst'!$E$7:$E$2010,$C41,'LAC 102_Wkst'!$G$7:$G$2010,$D41,'LAC 102_Wkst'!$L$7:$L$2010,"04",'LAC 102_Wkst'!$N$7:$N$2010,"P1")+SUMIFS('LAC 102_Wkst'!$AF$7:$AF$2010,'LAC 102_Wkst'!$D$7:$D$2010,$C$7,'LAC 102_Wkst'!$I$7:$I$2010,$C$9,'LAC 102_Wkst'!$E$7:$E$2010,$C41,'LAC 102_Wkst'!$G$7:$G$2010,$D41,'LAC 102_Wkst'!$L$7:$L$2010,"04",'LAC 102_Wkst'!$N$7:$N$2010,"P2")+SUMIFS('LAC 102_Wkst'!$AF$7:$AF$2010,'LAC 102_Wkst'!$D$7:$D$2010,$C$7,'LAC 102_Wkst'!$I$7:$I$2010,$C$9,'LAC 102_Wkst'!$E$7:$E$2010,$C41,'LAC 102_Wkst'!$G$7:$G$2010,$D41,'LAC 102_Wkst'!$L$7:$L$2010,"04",'LAC 102_Wkst'!$N$7:$N$2010,"P3")</f>
        <v>0</v>
      </c>
      <c r="N41" s="410">
        <f>SUMIFS('LAC 102_Wkst'!$Q$7:$Q$2010,'LAC 102_Wkst'!$D$7:$D$2010,$C$7,'LAC 102_Wkst'!$I$7:$I$2010,$C$9,'LAC 102_Wkst'!$E$7:$E$2010,$C41,'LAC 102_Wkst'!$G$7:$G$2010,$D41,'LAC 102_Wkst'!$L$7:$L$2010,"03",'LAC 102_Wkst'!$N$7:$N$2010,"P4")+SUMIFS('LAC 102_Wkst'!$Q$7:$Q$2010,'LAC 102_Wkst'!$D$7:$D$2010,$C$7,'LAC 102_Wkst'!$I$7:$I$2010,$C$9,'LAC 102_Wkst'!$E$7:$E$2010,$C41,'LAC 102_Wkst'!$G$7:$G$2010,$D41,'LAC 102_Wkst'!$L$7:$L$2010,"04",'LAC 102_Wkst'!$N$7:$N$2010,"P4")</f>
        <v>0</v>
      </c>
      <c r="O41" s="411">
        <f>SUMIFS('LAC 102_Wkst'!$AF$7:$AF$2010,'LAC 102_Wkst'!$D$7:$D$2010,$C$7,'LAC 102_Wkst'!$I$7:$I$2010,$C$9,'LAC 102_Wkst'!$E$7:$E$2010,$C41,'LAC 102_Wkst'!$G$7:$G$2010,$D41,'LAC 102_Wkst'!$L$7:$L$2010,"03",'LAC 102_Wkst'!$N$7:$N$2010,"P4")+SUMIFS('LAC 102_Wkst'!$AF$7:$AF$2010,'LAC 102_Wkst'!$D$7:$D$2010,$C$7,'LAC 102_Wkst'!$I$7:$I$2010,$C$9,'LAC 102_Wkst'!$E$7:$E$2010,$C41,'LAC 102_Wkst'!$G$7:$G$2010,$D41,'LAC 102_Wkst'!$L$7:$L$2010,"04",'LAC 102_Wkst'!$N$7:$N$2010,"P4")</f>
        <v>0</v>
      </c>
      <c r="P41" s="410">
        <f>SUMIFS('LAC 102_Wkst'!$Q$7:$Q$2010,'LAC 102_Wkst'!$D$7:$D$2010,$C$7,'LAC 102_Wkst'!$I$7:$I$2010,$C$9,'LAC 102_Wkst'!$E$7:$E$2010,$C41,'LAC 102_Wkst'!$G$7:$G$2010,$D41,'LAC 102_Wkst'!$L$7:$L$2010,"03",'LAC 102_Wkst'!$N$7:$N$2010,"P5")+SUMIFS('LAC 102_Wkst'!$Q$7:$Q$2010,'LAC 102_Wkst'!$D$7:$D$2010,$C$7,'LAC 102_Wkst'!$I$7:$I$2010,$C$9,'LAC 102_Wkst'!$E$7:$E$2010,$C41,'LAC 102_Wkst'!$G$7:$G$2010,$D41,'LAC 102_Wkst'!$L$7:$L$2010,"04",'LAC 102_Wkst'!$N$7:$N$2010,"P5")</f>
        <v>0</v>
      </c>
      <c r="Q41" s="411">
        <f>SUMIFS('LAC 102_Wkst'!$AF$7:$AF$2010,'LAC 102_Wkst'!$D$7:$D$2010,$C$7,'LAC 102_Wkst'!$I$7:$I$2010,$C$9,'LAC 102_Wkst'!$E$7:$E$2010,$C41,'LAC 102_Wkst'!$G$7:$G$2010,$D41,'LAC 102_Wkst'!$L$7:$L$2010,"03",'LAC 102_Wkst'!$N$7:$N$2010,"P5")+SUMIFS('LAC 102_Wkst'!$AF$7:$AF$2010,'LAC 102_Wkst'!$D$7:$D$2010,$C$7,'LAC 102_Wkst'!$I$7:$I$2010,$C$9,'LAC 102_Wkst'!$E$7:$E$2010,$C41,'LAC 102_Wkst'!$G$7:$G$2010,$D41,'LAC 102_Wkst'!$L$7:$L$2010,"04",'LAC 102_Wkst'!$N$7:$N$2010,"P5")</f>
        <v>0</v>
      </c>
      <c r="R41" s="412">
        <f>SUMIFS('LAC 102_Wkst'!$Q$7:$Q$2010,'LAC 102_Wkst'!$D$7:$D$2010,$C$7,'LAC 102_Wkst'!$I$7:$I$2010,$C$9,'LAC 102_Wkst'!$E$7:$E$2010,$C41,'LAC 102_Wkst'!$G$7:$G$2010,$D41,'LAC 102_Wkst'!$L$7:$L$2010,"05",'LAC 102_Wkst'!$N$7:$N$2010,"P1")+SUMIFS('LAC 102_Wkst'!$Q$7:$Q$2010,'LAC 102_Wkst'!$D$7:$D$2010,$C$7,'LAC 102_Wkst'!$I$7:$I$2010,$C$9,'LAC 102_Wkst'!$E$7:$E$2010,$C41,'LAC 102_Wkst'!$G$7:$G$2010,$D41,'LAC 102_Wkst'!$L$7:$L$2010,"06",'LAC 102_Wkst'!$N$7:$N$2010,"P1")</f>
        <v>0</v>
      </c>
      <c r="S41" s="411">
        <f>SUMIFS('LAC 102_Wkst'!$AF$7:$AF$2010,'LAC 102_Wkst'!$D$7:$D$2010,$C$7,'LAC 102_Wkst'!$I$7:$I$2010,$C$9,'LAC 102_Wkst'!$E$7:$E$2010,$C41,'LAC 102_Wkst'!$G$7:$G$2010,$D41,'LAC 102_Wkst'!$L$7:$L$2010,"05",'LAC 102_Wkst'!$N$7:$N$2010,"P1")+SUMIFS('LAC 102_Wkst'!$AF$7:$AF$2010,'LAC 102_Wkst'!$D$7:$D$2010,$C$7,'LAC 102_Wkst'!$I$7:$I$2010,$C$9,'LAC 102_Wkst'!$E$7:$E$2010,$C41,'LAC 102_Wkst'!$G$7:$G$2010,$D41,'LAC 102_Wkst'!$L$7:$L$2010,"06",'LAC 102_Wkst'!$N$7:$N$2010,"P1")</f>
        <v>0</v>
      </c>
      <c r="T41" s="410">
        <f>SUMIFS('LAC 102_Wkst'!$Q$7:$Q$2010,'LAC 102_Wkst'!$D$7:$D$2010,$C$7,'LAC 102_Wkst'!$I$7:$I$2010,$C$9,'LAC 102_Wkst'!$E$7:$E$2010,$C41,'LAC 102_Wkst'!$G$7:$G$2010,$D41,'LAC 102_Wkst'!$L$7:$L$2010,"05",'LAC 102_Wkst'!$N$7:$N$2010,"P2")+SUMIFS('LAC 102_Wkst'!$Q$7:$Q$2010,'LAC 102_Wkst'!$D$7:$D$2010,$C$7,'LAC 102_Wkst'!$I$7:$I$2010,$C$9,'LAC 102_Wkst'!$E$7:$E$2010,$C41,'LAC 102_Wkst'!$G$7:$G$2010,$D41,'LAC 102_Wkst'!$L$7:$L$2010,"06",'LAC 102_Wkst'!$N$7:$N$2010,"P2")+SUMIFS('LAC 102_Wkst'!$Q$7:$Q$2010,'LAC 102_Wkst'!$D$7:$D$2010,$C$7,'LAC 102_Wkst'!$I$7:$I$2010,$C$9,'LAC 102_Wkst'!$E$7:$E$2010,$C41,'LAC 102_Wkst'!$G$7:$G$2010,$D41,'LAC 102_Wkst'!$L$7:$L$2010,"05",'LAC 102_Wkst'!$N$7:$N$2010,"P3")+SUMIFS('LAC 102_Wkst'!$Q$7:$Q$2010,'LAC 102_Wkst'!$D$7:$D$2010,$C$7,'LAC 102_Wkst'!$I$7:$I$2010,$C$9,'LAC 102_Wkst'!$E$7:$E$2010,$C41,'LAC 102_Wkst'!$G$7:$G$2010,$D41,'LAC 102_Wkst'!$L$7:$L$2010,"06",'LAC 102_Wkst'!$N$7:$N$2010,"P3")</f>
        <v>0</v>
      </c>
      <c r="U41" s="411">
        <f>SUMIFS('LAC 102_Wkst'!$AF$7:$AF$2010,'LAC 102_Wkst'!$D$7:$D$2010,$C$7,'LAC 102_Wkst'!$I$7:$I$2010,$C$9,'LAC 102_Wkst'!$E$7:$E$2010,$C41,'LAC 102_Wkst'!$G$7:$G$2010,$D41,'LAC 102_Wkst'!$L$7:$L$2010,"05",'LAC 102_Wkst'!$N$7:$N$2010,"P2")+SUMIFS('LAC 102_Wkst'!$AF$7:$AF$2010,'LAC 102_Wkst'!$D$7:$D$2010,$C$7,'LAC 102_Wkst'!$I$7:$I$2010,$C$9,'LAC 102_Wkst'!$E$7:$E$2010,$C41,'LAC 102_Wkst'!$G$7:$G$2010,$D41,'LAC 102_Wkst'!$L$7:$L$2010,"06",'LAC 102_Wkst'!$N$7:$N$2010,"P2")+SUMIFS('LAC 102_Wkst'!$AF$7:$AF$2010,'LAC 102_Wkst'!$D$7:$D$2010,$C$7,'LAC 102_Wkst'!$I$7:$I$2010,$C$9,'LAC 102_Wkst'!$E$7:$E$2010,$C41,'LAC 102_Wkst'!$G$7:$G$2010,$D41,'LAC 102_Wkst'!$L$7:$L$2010,"05",'LAC 102_Wkst'!$N$7:$N$2010,"P3")+SUMIFS('LAC 102_Wkst'!$AF$7:$AF$2010,'LAC 102_Wkst'!$D$7:$D$2010,$C$7,'LAC 102_Wkst'!$I$7:$I$2010,$C$9,'LAC 102_Wkst'!$E$7:$E$2010,$C41,'LAC 102_Wkst'!$G$7:$G$2010,$D41,'LAC 102_Wkst'!$L$7:$L$2010,"06",'LAC 102_Wkst'!$N$7:$N$2010,"P3")</f>
        <v>0</v>
      </c>
      <c r="V41" s="410">
        <f>SUMIFS('LAC 102_Wkst'!$Q$7:$Q$2010,'LAC 102_Wkst'!$D$7:$D$2010,$C$7,'LAC 102_Wkst'!$I$7:$I$2010,$C$9,'LAC 102_Wkst'!$E$7:$E$2010,$C41,'LAC 102_Wkst'!$G$7:$G$2010,$D41,'LAC 102_Wkst'!$L$7:$L$2010,"05",'LAC 102_Wkst'!$N$7:$N$2010,"P4")+SUMIFS('LAC 102_Wkst'!$Q$7:$Q$2010,'LAC 102_Wkst'!$D$7:$D$2010,$C$7,'LAC 102_Wkst'!$I$7:$I$2010,$C$9,'LAC 102_Wkst'!$E$7:$E$2010,$C41,'LAC 102_Wkst'!$G$7:$G$2010,$D41,'LAC 102_Wkst'!$L$7:$L$2010,"06",'LAC 102_Wkst'!$N$7:$N$2010,"P4")</f>
        <v>0</v>
      </c>
      <c r="W41" s="411">
        <f>SUMIFS('LAC 102_Wkst'!$AF$7:$AF$2010,'LAC 102_Wkst'!$D$7:$D$2010,$C$7,'LAC 102_Wkst'!$I$7:$I$2010,$C$9,'LAC 102_Wkst'!$E$7:$E$2010,$C41,'LAC 102_Wkst'!$G$7:$G$2010,$D41,'LAC 102_Wkst'!$L$7:$L$2010,"05",'LAC 102_Wkst'!$N$7:$N$2010,"P4")+SUMIFS('LAC 102_Wkst'!$AF$7:$AF$2010,'LAC 102_Wkst'!$D$7:$D$2010,$C$7,'LAC 102_Wkst'!$I$7:$I$2010,$C$9,'LAC 102_Wkst'!$E$7:$E$2010,$C41,'LAC 102_Wkst'!$G$7:$G$2010,$D41,'LAC 102_Wkst'!$L$7:$L$2010,"06",'LAC 102_Wkst'!$N$7:$N$2010,"P4")</f>
        <v>0</v>
      </c>
      <c r="X41" s="410">
        <f>SUMIFS('LAC 102_Wkst'!$Q$7:$Q$2010,'LAC 102_Wkst'!$D$7:$D$2010,$C$7,'LAC 102_Wkst'!$I$7:$I$2010,$C$9,'LAC 102_Wkst'!$E$7:$E$2010,$C41,'LAC 102_Wkst'!$G$7:$G$2010,$D41,'LAC 102_Wkst'!$L$7:$L$2010,"05",'LAC 102_Wkst'!$N$7:$N$2010,"P5")+SUMIFS('LAC 102_Wkst'!$Q$7:$Q$2010,'LAC 102_Wkst'!$D$7:$D$2010,$C$7,'LAC 102_Wkst'!$I$7:$I$2010,$C$9,'LAC 102_Wkst'!$E$7:$E$2010,$C41,'LAC 102_Wkst'!$G$7:$G$2010,$D41,'LAC 102_Wkst'!$L$7:$L$2010,"06",'LAC 102_Wkst'!$N$7:$N$2010,"P5")</f>
        <v>0</v>
      </c>
      <c r="Y41" s="411">
        <f>SUMIFS('LAC 102_Wkst'!$AF$7:$AF$2010,'LAC 102_Wkst'!$D$7:$D$2010,$C$7,'LAC 102_Wkst'!$I$7:$I$2010,$C$9,'LAC 102_Wkst'!$E$7:$E$2010,$C41,'LAC 102_Wkst'!$G$7:$G$2010,$D41,'LAC 102_Wkst'!$L$7:$L$2010,"05",'LAC 102_Wkst'!$N$7:$N$2010,"P5")+SUMIFS('LAC 102_Wkst'!$AF$7:$AF$2010,'LAC 102_Wkst'!$D$7:$D$2010,$C$7,'LAC 102_Wkst'!$I$7:$I$2010,$C$9,'LAC 102_Wkst'!$E$7:$E$2010,$C41,'LAC 102_Wkst'!$G$7:$G$2010,$D41,'LAC 102_Wkst'!$L$7:$L$2010,"06",'LAC 102_Wkst'!$N$7:$N$2010,"P5")</f>
        <v>0</v>
      </c>
      <c r="Z41" s="410">
        <f>SUMIFS('LAC 102_Wkst'!$Q$7:$Q$2010,'LAC 102_Wkst'!$D$7:$D$2010,$C$7,'LAC 102_Wkst'!$I$7:$I$2010,$C$9,'LAC 102_Wkst'!$E$7:$E$2010,$C41,'LAC 102_Wkst'!$G$7:$G$2010,$D41,'LAC 102_Wkst'!$L$7:$L$2010,"07",'LAC 102_Wkst'!$N$7:$N$2010,"P1")+SUMIFS('LAC 102_Wkst'!$Q$7:$Q$2010,'LAC 102_Wkst'!$D$7:$D$2010,$C$7,'LAC 102_Wkst'!$I$7:$I$2010,$C$9,'LAC 102_Wkst'!$E$7:$E$2010,$C41,'LAC 102_Wkst'!$G$7:$G$2010,$D41,'LAC 102_Wkst'!$L$7:$L$2010,"07",'LAC 102_Wkst'!$N$7:$N$2010,"P2")+SUMIFS('LAC 102_Wkst'!$Q$7:$Q$2010,'LAC 102_Wkst'!$D$7:$D$2010,$C$7,'LAC 102_Wkst'!$I$7:$I$2010,$C$9,'LAC 102_Wkst'!$E$7:$E$2010,$C41,'LAC 102_Wkst'!$G$7:$G$2010,$D41,'LAC 102_Wkst'!$L$7:$L$2010,"07",'LAC 102_Wkst'!$N$7:$N$2010,"P3")</f>
        <v>0</v>
      </c>
      <c r="AA41" s="411">
        <f>SUMIFS('LAC 102_Wkst'!$AF$7:$AF$2010,'LAC 102_Wkst'!$D$7:$D$2010,$C$7,'LAC 102_Wkst'!$I$7:$I$2010,$C$9,'LAC 102_Wkst'!$E$7:$E$2010,$C41,'LAC 102_Wkst'!$G$7:$G$2010,$D41,'LAC 102_Wkst'!$L$7:$L$2010,"07",'LAC 102_Wkst'!$N$7:$N$2010,"P1")+SUMIFS('LAC 102_Wkst'!$AF$7:$AF$2010,'LAC 102_Wkst'!$D$7:$D$2010,$C$7,'LAC 102_Wkst'!$I$7:$I$2010,$C$9,'LAC 102_Wkst'!$E$7:$E$2010,$C41,'LAC 102_Wkst'!$G$7:$G$2010,$D41,'LAC 102_Wkst'!$L$7:$L$2010,"07",'LAC 102_Wkst'!$N$7:$N$2010,"P2")+SUMIFS('LAC 102_Wkst'!$AF$7:$AF$2010,'LAC 102_Wkst'!$D$7:$D$2010,$C$7,'LAC 102_Wkst'!$I$7:$I$2010,$C$9,'LAC 102_Wkst'!$E$7:$E$2010,$C41,'LAC 102_Wkst'!$G$7:$G$2010,$D41,'LAC 102_Wkst'!$L$7:$L$2010,"07",'LAC 102_Wkst'!$N$7:$N$2010,"P3")</f>
        <v>0</v>
      </c>
      <c r="AB41" s="410">
        <f>SUMIFS('LAC 102_Wkst'!$Q$7:$Q$2010,'LAC 102_Wkst'!$D$7:$D$2010,$C$7,'LAC 102_Wkst'!$I$7:$I$2010,$C$9,'LAC 102_Wkst'!$E$7:$E$2010,$C41,'LAC 102_Wkst'!$G$7:$G$2010,$D41,'LAC 102_Wkst'!$L$7:$L$2010,"07",'LAC 102_Wkst'!$N$7:$N$2010,"P4")</f>
        <v>0</v>
      </c>
      <c r="AC41" s="411">
        <f>SUMIFS('LAC 102_Wkst'!$AF$7:$AF$2010,'LAC 102_Wkst'!$D$7:$D$2010,$C$7,'LAC 102_Wkst'!$I$7:$I$2010,$C$9,'LAC 102_Wkst'!$E$7:$E$2010,$C41,'LAC 102_Wkst'!$G$7:$G$2010,$D41,'LAC 102_Wkst'!$L$7:$L$2010,"07",'LAC 102_Wkst'!$N$7:$N$2010,"P4")</f>
        <v>0</v>
      </c>
      <c r="AD41" s="410">
        <f>SUMIFS('LAC 102_Wkst'!$Q$7:$Q$2010,'LAC 102_Wkst'!$D$7:$D$2010,$C$7,'LAC 102_Wkst'!$I$7:$I$2010,$C$9,'LAC 102_Wkst'!$E$7:$E$2010,$C41,'LAC 102_Wkst'!$G$7:$G$2010,$D41,'LAC 102_Wkst'!$L$7:$L$2010,"07",'LAC 102_Wkst'!$N$7:$N$2010,"P5")</f>
        <v>0</v>
      </c>
      <c r="AE41" s="411">
        <f>SUMIFS('LAC 102_Wkst'!$AF$7:$AF$2010,'LAC 102_Wkst'!$D$7:$D$2010,$C$7,'LAC 102_Wkst'!$I$7:$I$2010,$C$9,'LAC 102_Wkst'!$E$7:$E$2010,$C41,'LAC 102_Wkst'!$G$7:$G$2010,$D41,'LAC 102_Wkst'!$L$7:$L$2010,"07",'LAC 102_Wkst'!$N$7:$N$2010,"P5")</f>
        <v>0</v>
      </c>
      <c r="AF41" s="410">
        <f>SUMIFS('LAC 102_Wkst'!$Q$7:$Q$2010,'LAC 102_Wkst'!$D$7:$D$2010,$C$7,'LAC 102_Wkst'!$I$7:$I$2010,$C$9,'LAC 102_Wkst'!$E$7:$E$2010,$C41,'LAC 102_Wkst'!$G$7:$G$2010,$D41,'LAC 102_Wkst'!$L$7:$L$2010,"08",'LAC 102_Wkst'!$N$7:$N$2010,"P1")+SUMIFS('LAC 102_Wkst'!$Q$7:$Q$2010,'LAC 102_Wkst'!$D$7:$D$2010,$C$7,'LAC 102_Wkst'!$I$7:$I$2010,$C$9,'LAC 102_Wkst'!$E$7:$E$2010,$C41,'LAC 102_Wkst'!$G$7:$G$2010,$D41,'LAC 102_Wkst'!$L$7:$L$2010,"08",'LAC 102_Wkst'!$N$7:$N$2010,"P2")+SUMIFS('LAC 102_Wkst'!$Q$7:$Q$2010,'LAC 102_Wkst'!$D$7:$D$2010,$C$7,'LAC 102_Wkst'!$I$7:$I$2010,$C$9,'LAC 102_Wkst'!$E$7:$E$2010,$C41,'LAC 102_Wkst'!$G$7:$G$2010,$D41,'LAC 102_Wkst'!$L$7:$L$2010,"08",'LAC 102_Wkst'!$N$7:$N$2010,"P3")</f>
        <v>0</v>
      </c>
      <c r="AG41" s="411">
        <f>SUMIFS('LAC 102_Wkst'!$AF$7:$AF$2010,'LAC 102_Wkst'!$D$7:$D$2010,$C$7,'LAC 102_Wkst'!$I$7:$I$2010,$C$9,'LAC 102_Wkst'!$E$7:$E$2010,$C41,'LAC 102_Wkst'!$G$7:$G$2010,$D41,'LAC 102_Wkst'!$L$7:$L$2010,"08",'LAC 102_Wkst'!$N$7:$N$2010,"P1")+SUMIFS('LAC 102_Wkst'!$AF$7:$AF$2010,'LAC 102_Wkst'!$D$7:$D$2010,$C$7,'LAC 102_Wkst'!$I$7:$I$2010,$C$9,'LAC 102_Wkst'!$E$7:$E$2010,$C41,'LAC 102_Wkst'!$G$7:$G$2010,$D41,'LAC 102_Wkst'!$L$7:$L$2010,"08",'LAC 102_Wkst'!$N$7:$N$2010,"P2")+SUMIFS('LAC 102_Wkst'!$AF$7:$AF$2010,'LAC 102_Wkst'!$D$7:$D$2010,$C$7,'LAC 102_Wkst'!$I$7:$I$2010,$C$9,'LAC 102_Wkst'!$E$7:$E$2010,$C41,'LAC 102_Wkst'!$G$7:$G$2010,$D41,'LAC 102_Wkst'!$L$7:$L$2010,"08",'LAC 102_Wkst'!$N$7:$N$2010,"P3")</f>
        <v>0</v>
      </c>
      <c r="AH41" s="410">
        <f>SUMIFS('LAC 102_Wkst'!$Q$7:$Q$2010,'LAC 102_Wkst'!$D$7:$D$2010,$C$7,'LAC 102_Wkst'!$I$7:$I$2010,$C$9,'LAC 102_Wkst'!$E$7:$E$2010,$C41,'LAC 102_Wkst'!$G$7:$G$2010,$D41,'LAC 102_Wkst'!$L$7:$L$2010,"08",'LAC 102_Wkst'!$N$7:$N$2010,"P4")</f>
        <v>0</v>
      </c>
      <c r="AI41" s="411">
        <f>SUMIFS('LAC 102_Wkst'!$AF$7:$AF$2010,'LAC 102_Wkst'!$D$7:$D$2010,$C$7,'LAC 102_Wkst'!$I$7:$I$2010,$C$9,'LAC 102_Wkst'!$E$7:$E$2010,$C41,'LAC 102_Wkst'!$G$7:$G$2010,$D41,'LAC 102_Wkst'!$L$7:$L$2010,"08",'LAC 102_Wkst'!$N$7:$N$2010,"P4")</f>
        <v>0</v>
      </c>
      <c r="AJ41" s="410">
        <f>SUMIFS('LAC 102_Wkst'!$Q$7:$Q$2010,'LAC 102_Wkst'!$D$7:$D$2010,$C$7,'LAC 102_Wkst'!$I$7:$I$2010,$C$9,'LAC 102_Wkst'!$E$7:$E$2010,$C41,'LAC 102_Wkst'!$G$7:$G$2010,$D41,'LAC 102_Wkst'!$L$7:$L$2010,"08",'LAC 102_Wkst'!$N$7:$N$2010,"P5")</f>
        <v>0</v>
      </c>
      <c r="AK41" s="411">
        <f>SUMIFS('LAC 102_Wkst'!$AF$7:$AF$2010,'LAC 102_Wkst'!$D$7:$D$2010,$C$7,'LAC 102_Wkst'!$I$7:$I$2010,$C$9,'LAC 102_Wkst'!$E$7:$E$2010,$C41,'LAC 102_Wkst'!$G$7:$G$2010,$D41,'LAC 102_Wkst'!$L$7:$L$2010,"08",'LAC 102_Wkst'!$N$7:$N$2010,"P5")</f>
        <v>0</v>
      </c>
      <c r="AL41" s="410">
        <f>SUMIFS('LAC 102_Wkst'!$Q$7:$Q$2010,'LAC 102_Wkst'!$D$7:$D$2010,$C$7,'LAC 102_Wkst'!$I$7:$I$2010,$C$9,'LAC 102_Wkst'!$E$7:$E$2010,$C41,'LAC 102_Wkst'!$G$7:$G$2010,$D41,'LAC 102_Wkst'!$L$7:$L$2010,"09",'LAC 102_Wkst'!$N$7:$N$2010,"P1")+SUMIFS('LAC 102_Wkst'!$Q$7:$Q$2010,'LAC 102_Wkst'!$D$7:$D$2010,$C$7,'LAC 102_Wkst'!$I$7:$I$2010,$C$9,'LAC 102_Wkst'!$E$7:$E$2010,$C41,'LAC 102_Wkst'!$G$7:$G$2010,$D41,'LAC 102_Wkst'!$L$7:$L$2010,"09",'LAC 102_Wkst'!$N$7:$N$2010,"P2")+SUMIFS('LAC 102_Wkst'!$Q$7:$Q$2010,'LAC 102_Wkst'!$D$7:$D$2010,$C$7,'LAC 102_Wkst'!$I$7:$I$2010,$C$9,'LAC 102_Wkst'!$E$7:$E$2010,$C41,'LAC 102_Wkst'!$G$7:$G$2010,$D41,'LAC 102_Wkst'!$L$7:$L$2010,"09",'LAC 102_Wkst'!$N$7:$N$2010,"P3")+SUMIFS('LAC 102_Wkst'!$Q$7:$Q$2010,'LAC 102_Wkst'!$D$7:$D$2010,$C$7,'LAC 102_Wkst'!$I$7:$I$2010,$C$9,'LAC 102_Wkst'!$E$7:$E$2010,$C41,'LAC 102_Wkst'!$G$7:$G$2010,$D41,'LAC 102_Wkst'!$L$7:$L$2010,"09",'LAC 102_Wkst'!$N$7:$N$2010,"P4")</f>
        <v>0</v>
      </c>
      <c r="AM41" s="411">
        <f>SUMIFS('LAC 102_Wkst'!$AF$7:$AF$2010,'LAC 102_Wkst'!$D$7:$D$2010,$C$7,'LAC 102_Wkst'!$I$7:$I$2010,$C$9,'LAC 102_Wkst'!$E$7:$E$2010,$C41,'LAC 102_Wkst'!$G$7:$G$2010,$D41,'LAC 102_Wkst'!$L$7:$L$2010,"09",'LAC 102_Wkst'!$N$7:$N$2010,"P1")+SUMIFS('LAC 102_Wkst'!$AF$7:$AF$2010,'LAC 102_Wkst'!$D$7:$D$2010,$C$7,'LAC 102_Wkst'!$I$7:$I$2010,$C$9,'LAC 102_Wkst'!$E$7:$E$2010,$C41,'LAC 102_Wkst'!$G$7:$G$2010,$D41,'LAC 102_Wkst'!$L$7:$L$2010,"09",'LAC 102_Wkst'!$N$7:$N$2010,"P2")+SUMIFS('LAC 102_Wkst'!$AF$7:$AF$2010,'LAC 102_Wkst'!$D$7:$D$2010,$C$7,'LAC 102_Wkst'!$I$7:$I$2010,$C$9,'LAC 102_Wkst'!$E$7:$E$2010,$C41,'LAC 102_Wkst'!$G$7:$G$2010,$D41,'LAC 102_Wkst'!$L$7:$L$2010,"09",'LAC 102_Wkst'!$N$7:$N$2010,"P3")+SUMIFS('LAC 102_Wkst'!$AF$7:$AF$2010,'LAC 102_Wkst'!$D$7:$D$2010,$C$7,'LAC 102_Wkst'!$I$7:$I$2010,$C$9,'LAC 102_Wkst'!$E$7:$E$2010,$C41,'LAC 102_Wkst'!$G$7:$G$2010,$D41,'LAC 102_Wkst'!$L$7:$L$2010,"09",'LAC 102_Wkst'!$N$7:$N$2010,"P4")</f>
        <v>0</v>
      </c>
      <c r="AN41" s="410">
        <f>SUMIFS('LAC 102_Wkst'!$Q$7:$Q$2010,'LAC 102_Wkst'!$D$7:$D$2010,$C$7,'LAC 102_Wkst'!$I$7:$I$2010,$C$9,'LAC 102_Wkst'!$E$7:$E$2010,$C41,'LAC 102_Wkst'!$G$7:$G$2010,$D41,'LAC 102_Wkst'!$L$7:$L$2010,"09",'LAC 102_Wkst'!$N$7:$N$2010,"P5")</f>
        <v>0</v>
      </c>
      <c r="AO41" s="411">
        <f>SUMIFS('LAC 102_Wkst'!$AF$7:$AF$2010,'LAC 102_Wkst'!$D$7:$D$2010,$C$7,'LAC 102_Wkst'!$I$7:$I$2010,$C$9,'LAC 102_Wkst'!$E$7:$E$2010,$C41,'LAC 102_Wkst'!$G$7:$G$2010,$D41,'LAC 102_Wkst'!$L$7:$L$2010,"09",'LAC 102_Wkst'!$N$7:$N$2010,"P5")</f>
        <v>0</v>
      </c>
      <c r="AP41" s="410">
        <f>SUMIFS('LAC 102_Wkst'!$Q$7:$Q$2010,'LAC 102_Wkst'!$D$7:$D$2010,$C$7,'LAC 102_Wkst'!$I$7:$I$2010,$C$9,'LAC 102_Wkst'!$E$7:$E$2010,$C41,'LAC 102_Wkst'!$G$7:$G$2010,$D41,'LAC 102_Wkst'!$L$7:$L$2010,"10",'LAC 102_Wkst'!$N$7:$N$2010,"P1")+SUMIFS('LAC 102_Wkst'!$Q$7:$Q$2010,'LAC 102_Wkst'!$D$7:$D$2010,$C$7,'LAC 102_Wkst'!$I$7:$I$2010,$C$9,'LAC 102_Wkst'!$E$7:$E$2010,$C41,'LAC 102_Wkst'!$G$7:$G$2010,$D41,'LAC 102_Wkst'!$L$7:$L$2010,"10",'LAC 102_Wkst'!$N$7:$N$2010,"P2")+SUMIFS('LAC 102_Wkst'!$Q$7:$Q$2010,'LAC 102_Wkst'!$D$7:$D$2010,$C$7,'LAC 102_Wkst'!$I$7:$I$2010,$C$9,'LAC 102_Wkst'!$E$7:$E$2010,$C41,'LAC 102_Wkst'!$G$7:$G$2010,$D41,'LAC 102_Wkst'!$L$7:$L$2010,"10",'LAC 102_Wkst'!$N$7:$N$2010,"P3")+SUMIFS('LAC 102_Wkst'!$Q$7:$Q$2010,'LAC 102_Wkst'!$D$7:$D$2010,$C$7,'LAC 102_Wkst'!$I$7:$I$2010,$C$9,'LAC 102_Wkst'!$E$7:$E$2010,$C41,'LAC 102_Wkst'!$G$7:$G$2010,$D41,'LAC 102_Wkst'!$L$7:$L$2010,"10",'LAC 102_Wkst'!$N$7:$N$2010,"P4")</f>
        <v>0</v>
      </c>
      <c r="AQ41" s="411">
        <f>SUMIFS('LAC 102_Wkst'!$AF$7:$AF$2010,'LAC 102_Wkst'!$D$7:$D$2010,$C$7,'LAC 102_Wkst'!$I$7:$I$2010,$C$9,'LAC 102_Wkst'!$E$7:$E$2010,$C41,'LAC 102_Wkst'!$G$7:$G$2010,$D41,'LAC 102_Wkst'!$L$7:$L$2010,"10",'LAC 102_Wkst'!$N$7:$N$2010,"P1")+SUMIFS('LAC 102_Wkst'!$AF$7:$AF$2010,'LAC 102_Wkst'!$D$7:$D$2010,$C$7,'LAC 102_Wkst'!$I$7:$I$2010,$C$9,'LAC 102_Wkst'!$E$7:$E$2010,$C41,'LAC 102_Wkst'!$G$7:$G$2010,$D41,'LAC 102_Wkst'!$L$7:$L$2010,"10",'LAC 102_Wkst'!$N$7:$N$2010,"P2")+SUMIFS('LAC 102_Wkst'!$AF$7:$AF$2010,'LAC 102_Wkst'!$D$7:$D$2010,$C$7,'LAC 102_Wkst'!$I$7:$I$2010,$C$9,'LAC 102_Wkst'!$E$7:$E$2010,$C41,'LAC 102_Wkst'!$G$7:$G$2010,$D41,'LAC 102_Wkst'!$L$7:$L$2010,"10",'LAC 102_Wkst'!$N$7:$N$2010,"P3")+SUMIFS('LAC 102_Wkst'!$AF$7:$AF$2010,'LAC 102_Wkst'!$D$7:$D$2010,$C$7,'LAC 102_Wkst'!$I$7:$I$2010,$C$9,'LAC 102_Wkst'!$E$7:$E$2010,$C41,'LAC 102_Wkst'!$G$7:$G$2010,$D41,'LAC 102_Wkst'!$L$7:$L$2010,"10",'LAC 102_Wkst'!$N$7:$N$2010,"P4")</f>
        <v>0</v>
      </c>
      <c r="AR41" s="410">
        <f>SUMIFS('LAC 102_Wkst'!$Q$7:$Q$2010,'LAC 102_Wkst'!$D$7:$D$2010,$C$7,'LAC 102_Wkst'!$I$7:$I$2010,$C$9,'LAC 102_Wkst'!$E$7:$E$2010,$C41,'LAC 102_Wkst'!$G$7:$G$2010,$D41,'LAC 102_Wkst'!$L$7:$L$2010,"10",'LAC 102_Wkst'!$N$7:$N$2010,"P5")</f>
        <v>0</v>
      </c>
      <c r="AS41" s="411">
        <f>SUMIFS('LAC 102_Wkst'!$AF$7:$AF$2010,'LAC 102_Wkst'!$D$7:$D$2010,$C$7,'LAC 102_Wkst'!$I$7:$I$2010,$C$9,'LAC 102_Wkst'!$E$7:$E$2010,$C41,'LAC 102_Wkst'!$G$7:$G$2010,$D41,'LAC 102_Wkst'!$L$7:$L$2010,"10",'LAC 102_Wkst'!$N$7:$N$2010,"P5")</f>
        <v>0</v>
      </c>
      <c r="AT41" s="410">
        <f>SUMIFS('LAC 102_Wkst'!$Q$7:$Q$2010,'LAC 102_Wkst'!$D$7:$D$2010,$C$7,'LAC 102_Wkst'!$I$7:$I$2010,$C$9,'LAC 102_Wkst'!$E$7:$E$2010,$C41,'LAC 102_Wkst'!$G$7:$G$2010,$D41,'LAC 102_Wkst'!$L$7:$L$2010,"11",'LAC 102_Wkst'!$N$7:$N$2010,"P1")+SUMIFS('LAC 102_Wkst'!$Q$7:$Q$2010,'LAC 102_Wkst'!$D$7:$D$2010,$C$7,'LAC 102_Wkst'!$I$7:$I$2010,$C$9,'LAC 102_Wkst'!$E$7:$E$2010,$C41,'LAC 102_Wkst'!$G$7:$G$2010,$D41,'LAC 102_Wkst'!$L$7:$L$2010,"12",'LAC 102_Wkst'!$N$7:$N$2010,"P1")</f>
        <v>0</v>
      </c>
      <c r="AU41" s="411">
        <f>SUMIFS('LAC 102_Wkst'!$Q$7:$Q$2010,'LAC 102_Wkst'!$D$7:$D$2010,$C$7,'LAC 102_Wkst'!$I$7:$I$2010,$C$9,'LAC 102_Wkst'!$E$7:$E$2010,$C41,'LAC 102_Wkst'!$G$7:$G$2010,$D41,'LAC 102_Wkst'!$L$7:$L$2010,"13",'LAC 102_Wkst'!$N$7:$N$2010,"P5")</f>
        <v>0</v>
      </c>
      <c r="AV41" s="410">
        <f>SUMIFS('LAC 102_Wkst'!$Q$7:$Q$2010,'LAC 102_Wkst'!$D$7:$D$2010,$C$7,'LAC 102_Wkst'!$I$7:$I$2010,$C$9,'LAC 102_Wkst'!$E$7:$E$2010,$C41,'LAC 102_Wkst'!$G$7:$G$2010,$D41,'LAC 102_Wkst'!$L$7:$L$2010,"11",'LAC 102_Wkst'!$N$7:$N$2010,"P2")+SUMIFS('LAC 102_Wkst'!$Q$7:$Q$2010,'LAC 102_Wkst'!$D$7:$D$2010,$C$7,'LAC 102_Wkst'!$I$7:$I$2010,$C$9,'LAC 102_Wkst'!$E$7:$E$2010,$C41,'LAC 102_Wkst'!$G$7:$G$2010,$D41,'LAC 102_Wkst'!$L$7:$L$2010,"12",'LAC 102_Wkst'!$N$7:$N$2010,"P2")+SUMIFS('LAC 102_Wkst'!$Q$7:$Q$2010,'LAC 102_Wkst'!$D$7:$D$2010,$C$7,'LAC 102_Wkst'!$I$7:$I$2010,$C$9,'LAC 102_Wkst'!$E$7:$E$2010,$C41,'LAC 102_Wkst'!$G$7:$G$2010,$D41,'LAC 102_Wkst'!$L$7:$L$2010,"11",'LAC 102_Wkst'!$N$7:$N$2010,"P3")+SUMIFS('LAC 102_Wkst'!$Q$7:$Q$2010,'LAC 102_Wkst'!$D$7:$D$2010,$C$7,'LAC 102_Wkst'!$I$7:$I$2010,$C$9,'LAC 102_Wkst'!$E$7:$E$2010,$C41,'LAC 102_Wkst'!$G$7:$G$2010,$D41,'LAC 102_Wkst'!$L$7:$L$2010,"12",'LAC 102_Wkst'!$N$7:$N$2010,"P3")</f>
        <v>0</v>
      </c>
      <c r="AW41" s="411">
        <f>SUMIFS('LAC 102_Wkst'!$AF$7:$AF$2010,'LAC 102_Wkst'!$D$7:$D$2010,$C$7,'LAC 102_Wkst'!$I$7:$I$2010,$C$9,'LAC 102_Wkst'!$E$7:$E$2010,$C41,'LAC 102_Wkst'!$G$7:$G$2010,$D41,'LAC 102_Wkst'!$L$7:$L$2010,"11",'LAC 102_Wkst'!$N$7:$N$2010,"P2")+SUMIFS('LAC 102_Wkst'!$AF$7:$AF$2010,'LAC 102_Wkst'!$D$7:$D$2010,$C$7,'LAC 102_Wkst'!$I$7:$I$2010,$C$9,'LAC 102_Wkst'!$E$7:$E$2010,$C41,'LAC 102_Wkst'!$G$7:$G$2010,$D41,'LAC 102_Wkst'!$L$7:$L$2010,"12",'LAC 102_Wkst'!$N$7:$N$2010,"P2")+SUMIFS('LAC 102_Wkst'!$AF$7:$AF$2010,'LAC 102_Wkst'!$D$7:$D$2010,$C$7,'LAC 102_Wkst'!$I$7:$I$2010,$C$9,'LAC 102_Wkst'!$E$7:$E$2010,$C41,'LAC 102_Wkst'!$G$7:$G$2010,$D41,'LAC 102_Wkst'!$L$7:$L$2010,"11",'LAC 102_Wkst'!$N$7:$N$2010,"P3")+SUMIFS('LAC 102_Wkst'!$AF$7:$AF$2010,'LAC 102_Wkst'!$D$7:$D$2010,$C$7,'LAC 102_Wkst'!$I$7:$I$2010,$C$9,'LAC 102_Wkst'!$E$7:$E$2010,$C41,'LAC 102_Wkst'!$G$7:$G$2010,$D41,'LAC 102_Wkst'!$L$7:$L$2010,"12",'LAC 102_Wkst'!$N$7:$N$2010,"P3")</f>
        <v>0</v>
      </c>
      <c r="AX41" s="410">
        <f>SUMIFS('LAC 102_Wkst'!$Q$7:$Q$2010,'LAC 102_Wkst'!$D$7:$D$2010,$C$7,'LAC 102_Wkst'!$I$7:$I$2010,$C$9,'LAC 102_Wkst'!$E$7:$E$2010,$C41,'LAC 102_Wkst'!$G$7:$G$2010,$D41,'LAC 102_Wkst'!$L$7:$L$2010,"11",'LAC 102_Wkst'!$N$7:$N$2010,"P4")+SUMIFS('LAC 102_Wkst'!$Q$7:$Q$2010,'LAC 102_Wkst'!$D$7:$D$2010,$C$7,'LAC 102_Wkst'!$I$7:$I$2010,$C$9,'LAC 102_Wkst'!$E$7:$E$2010,$C41,'LAC 102_Wkst'!$G$7:$G$2010,$D41,'LAC 102_Wkst'!$L$7:$L$2010,"12",'LAC 102_Wkst'!$N$7:$N$2010,"P4")</f>
        <v>0</v>
      </c>
      <c r="AY41" s="411">
        <f>SUMIFS('LAC 102_Wkst'!$AF$7:$AF$2010,'LAC 102_Wkst'!$D$7:$D$2010,$C$7,'LAC 102_Wkst'!$I$7:$I$2010,$C$9,'LAC 102_Wkst'!$E$7:$E$2010,$C41,'LAC 102_Wkst'!$G$7:$G$2010,$D41,'LAC 102_Wkst'!$L$7:$L$2010,"11",'LAC 102_Wkst'!$N$7:$N$2010,"P4")+SUMIFS('LAC 102_Wkst'!$AF$7:$AF$2010,'LAC 102_Wkst'!$D$7:$D$2010,$C$7,'LAC 102_Wkst'!$I$7:$I$2010,$C$9,'LAC 102_Wkst'!$E$7:$E$2010,$C41,'LAC 102_Wkst'!$G$7:$G$2010,$D41,'LAC 102_Wkst'!$L$7:$L$2010,"12",'LAC 102_Wkst'!$N$7:$N$2010,"P4")</f>
        <v>0</v>
      </c>
      <c r="AZ41" s="410">
        <f>SUMIFS('LAC 102_Wkst'!$Q$7:$Q$2010,'LAC 102_Wkst'!$D$7:$D$2010,$C$7,'LAC 102_Wkst'!$I$7:$I$2010,$C$9,'LAC 102_Wkst'!$E$7:$E$2010,$C41,'LAC 102_Wkst'!$G$7:$G$2010,$D41,'LAC 102_Wkst'!$L$7:$L$2010,"11",'LAC 102_Wkst'!$N$7:$N$2010,"P5")+SUMIFS('LAC 102_Wkst'!$Q$7:$Q$2010,'LAC 102_Wkst'!$D$7:$D$2010,$C$7,'LAC 102_Wkst'!$I$7:$I$2010,$C$9,'LAC 102_Wkst'!$E$7:$E$2010,$C41,'LAC 102_Wkst'!$G$7:$G$2010,$D41,'LAC 102_Wkst'!$L$7:$L$2010,"12",'LAC 102_Wkst'!$N$7:$N$2010,"P5")</f>
        <v>0</v>
      </c>
      <c r="BA41" s="411">
        <f>SUMIFS('LAC 102_Wkst'!$AF$7:$AF$2010,'LAC 102_Wkst'!$D$7:$D$2010,$C$7,'LAC 102_Wkst'!$I$7:$I$2010,$C$9,'LAC 102_Wkst'!$E$7:$E$2010,$C41,'LAC 102_Wkst'!$G$7:$G$2010,$D41,'LAC 102_Wkst'!$L$7:$L$2010,"11",'LAC 102_Wkst'!$N$7:$N$2010,"P5")+SUMIFS('LAC 102_Wkst'!$AF$7:$AF$2010,'LAC 102_Wkst'!$D$7:$D$2010,$C$7,'LAC 102_Wkst'!$I$7:$I$2010,$C$9,'LAC 102_Wkst'!$E$7:$E$2010,$C41,'LAC 102_Wkst'!$G$7:$G$2010,$D41,'LAC 102_Wkst'!$L$7:$L$2010,"12",'LAC 102_Wkst'!$N$7:$N$2010,"P5")</f>
        <v>0</v>
      </c>
      <c r="BB41" s="410">
        <f>SUMIFS('LAC 102_Wkst'!$Q$7:$Q$2010,'LAC 102_Wkst'!$D$7:$D$2010,$C$7,'LAC 102_Wkst'!$I$7:$I$2010,$C$9,'LAC 102_Wkst'!$E$7:$E$2010,$C41,'LAC 102_Wkst'!$G$7:$G$2010,$D41,'LAC 102_Wkst'!$L$7:$L$2010,"13",'LAC 102_Wkst'!$N$7:$N$2010,"P1")+SUMIFS('LAC 102_Wkst'!$Q$7:$Q$2010,'LAC 102_Wkst'!$D$7:$D$2010,$C$7,'LAC 102_Wkst'!$I$7:$I$2010,$C$9,'LAC 102_Wkst'!$E$7:$E$2010,$C41,'LAC 102_Wkst'!$G$7:$G$2010,$D41,'LAC 102_Wkst'!$L$7:$L$2010,"13",'LAC 102_Wkst'!$N$7:$N$2010,"P2")+SUMIFS('LAC 102_Wkst'!$Q$7:$Q$2010,'LAC 102_Wkst'!$D$7:$D$2010,$C$7,'LAC 102_Wkst'!$I$7:$I$2010,$C$9,'LAC 102_Wkst'!$E$7:$E$2010,$C41,'LAC 102_Wkst'!$G$7:$G$2010,$D41,'LAC 102_Wkst'!$L$7:$L$2010,"13",'LAC 102_Wkst'!$N$7:$N$2010,"P3")+SUMIFS('LAC 102_Wkst'!$Q$7:$Q$2010,'LAC 102_Wkst'!$D$7:$D$2010,$C$7,'LAC 102_Wkst'!$I$7:$I$2010,$C$9,'LAC 102_Wkst'!$E$7:$E$2010,$C41,'LAC 102_Wkst'!$G$7:$G$2010,$D41,'LAC 102_Wkst'!$L$7:$L$2010,"13",'LAC 102_Wkst'!$N$7:$N$2010,"P4")</f>
        <v>0</v>
      </c>
      <c r="BC41" s="411">
        <f>SUMIFS('LAC 102_Wkst'!$AF$7:$AF$2010,'LAC 102_Wkst'!$D$7:$D$2010,$C$7,'LAC 102_Wkst'!$I$7:$I$2010,$C$9,'LAC 102_Wkst'!$E$7:$E$2010,$C41,'LAC 102_Wkst'!$G$7:$G$2010,$D41,'LAC 102_Wkst'!$L$7:$L$2010,"13",'LAC 102_Wkst'!$N$7:$N$2010,"P1")+SUMIFS('LAC 102_Wkst'!$AF$7:$AF$2010,'LAC 102_Wkst'!$D$7:$D$2010,$C$7,'LAC 102_Wkst'!$I$7:$I$2010,$C$9,'LAC 102_Wkst'!$E$7:$E$2010,$C41,'LAC 102_Wkst'!$G$7:$G$2010,$D41,'LAC 102_Wkst'!$L$7:$L$2010,"13",'LAC 102_Wkst'!$N$7:$N$2010,"P2")+SUMIFS('LAC 102_Wkst'!$AF$7:$AF$2010,'LAC 102_Wkst'!$D$7:$D$2010,$C$7,'LAC 102_Wkst'!$I$7:$I$2010,$C$9,'LAC 102_Wkst'!$E$7:$E$2010,$C41,'LAC 102_Wkst'!$G$7:$G$2010,$D41,'LAC 102_Wkst'!$L$7:$L$2010,"13",'LAC 102_Wkst'!$N$7:$N$2010,"P3")+SUMIFS('LAC 102_Wkst'!$AF$7:$AF$2010,'LAC 102_Wkst'!$D$7:$D$2010,$C$7,'LAC 102_Wkst'!$I$7:$I$2010,$C$9,'LAC 102_Wkst'!$E$7:$E$2010,$C41,'LAC 102_Wkst'!$G$7:$G$2010,$D41,'LAC 102_Wkst'!$L$7:$L$2010,"13",'LAC 102_Wkst'!$N$7:$N$2010,"P4")</f>
        <v>0</v>
      </c>
      <c r="BD41" s="410">
        <f>SUMIFS('LAC 102_Wkst'!$Q$7:$Q$2010,'LAC 102_Wkst'!$D$7:$D$2010,$C$7,'LAC 102_Wkst'!$I$7:$I$2010,$C$9,'LAC 102_Wkst'!$E$7:$E$2010,$C41,'LAC 102_Wkst'!$G$7:$G$2010,$D41,'LAC 102_Wkst'!$L$7:$L$2010,"13",'LAC 102_Wkst'!$N$7:$N$2010,"P5")</f>
        <v>0</v>
      </c>
      <c r="BE41" s="411">
        <f>SUMIFS('LAC 102_Wkst'!$AF$7:$AF$2010,'LAC 102_Wkst'!$D$7:$D$2010,$C$7,'LAC 102_Wkst'!$I$7:$I$2010,$C$9,'LAC 102_Wkst'!$E$7:$E$2010,$C41,'LAC 102_Wkst'!$G$7:$G$2010,$D41,'LAC 102_Wkst'!$L$7:$L$2010,"13",'LAC 102_Wkst'!$N$7:$N$2010,"P5")</f>
        <v>0</v>
      </c>
      <c r="BF41" s="407">
        <f t="shared" si="4"/>
        <v>0</v>
      </c>
      <c r="BG41" s="1654">
        <f>SUMIFS('LAC 102_Wkst'!$AF$7:$AF$2010,'LAC 102_Wkst'!$D$7:$D$2010,$C$7,'LAC 102_Wkst'!$I$7:$I$2010,$C$9,'LAC 102_Wkst'!$E$7:$E$2010,$C41,'LAC 102_Wkst'!$G$7:$G$2010,$D41,'LAC 102_Wkst'!$L$7:$L$2010,"14")</f>
        <v>0</v>
      </c>
    </row>
    <row r="42" spans="1:59" x14ac:dyDescent="0.2">
      <c r="A42" s="401">
        <v>20</v>
      </c>
      <c r="B42" s="1678" t="str">
        <f>IF(Schedule_B!B$39="","",Schedule_B!B$39)</f>
        <v>CR</v>
      </c>
      <c r="C42" s="1674" t="str">
        <f>IF(Schedule_B!C$39=""," ",Schedule_B!C$39)</f>
        <v>60</v>
      </c>
      <c r="D42" s="1675" t="str">
        <f>IF(Schedule_B!D$39=""," ",Schedule_B!D$39)</f>
        <v>78</v>
      </c>
      <c r="E42" s="1221">
        <f>SUMIFS('LAC 102_Wkst'!$Q$7:$Q$2010,'LAC 102_Wkst'!$D$7:$D$2010,$C$7,'LAC 102_Wkst'!$I$7:$I$2010,$C$9,'LAC 102_Wkst'!$E$7:$E$2010,$C42,'LAC 102_Wkst'!$G$7:$G$2010,$D42)</f>
        <v>0</v>
      </c>
      <c r="F42" s="408">
        <f>SUMIFS('LAC 102_Wkst'!$Q$7:$Q$2010,'LAC 102_Wkst'!$D$7:$D$2010,$C$7,'LAC 102_Wkst'!$I$7:$I$2010,$C$9,'LAC 102_Wkst'!$E$7:$E$2010,$C42,'LAC 102_Wkst'!$G$7:$G$2010,$D42,'LAC 102_Wkst'!$L$7:$L$2010,"01",'LAC 102_Wkst'!$N$7:$N$2010,"P1")+SUMIFS('LAC 102_Wkst'!$Q$7:$Q$2010,'LAC 102_Wkst'!$D$7:$D$2010,$C$7,'LAC 102_Wkst'!$I$7:$I$2010,$C$9,'LAC 102_Wkst'!$E$7:$E$2010,$C42,'LAC 102_Wkst'!$G$7:$G$2010,$D42,'LAC 102_Wkst'!$L$7:$L$2010,"01",'LAC 102_Wkst'!$N$7:$N$2010,"P2")+SUMIFS('LAC 102_Wkst'!$Q$7:$Q$2010,'LAC 102_Wkst'!$D$7:$D$2010,$C$7,'LAC 102_Wkst'!$I$7:$I$2010,$C$9,'LAC 102_Wkst'!$E$7:$E$2010,$C42,'LAC 102_Wkst'!$G$7:$G$2010,$D42,'LAC 102_Wkst'!$L$7:$L$2010,"01",'LAC 102_Wkst'!$N$7:$N$2010,"P3")+SUMIFS('LAC 102_Wkst'!$Q$7:$Q$2010,'LAC 102_Wkst'!$D$7:$D$2010,$C$7,'LAC 102_Wkst'!$I$7:$I$2010,$C$9,'LAC 102_Wkst'!$E$7:$E$2010,$C42,'LAC 102_Wkst'!$G$7:$G$2010,$D42,'LAC 102_Wkst'!$L$7:$L$2010,"02",'LAC 102_Wkst'!$N$7:$N$2010,"P1")+SUMIFS('LAC 102_Wkst'!$Q$7:$Q$2010,'LAC 102_Wkst'!$D$7:$D$2010,$C$7,'LAC 102_Wkst'!$I$7:$I$2010,$C$9,'LAC 102_Wkst'!$E$7:$E$2010,$C42,'LAC 102_Wkst'!$G$7:$G$2010,$D42,'LAC 102_Wkst'!$L$7:$L$2010,"02",'LAC 102_Wkst'!$N$7:$N$2010,"P2")+SUMIFS('LAC 102_Wkst'!$Q$7:$Q$2010,'LAC 102_Wkst'!$D$7:$D$2010,$C$7,'LAC 102_Wkst'!$I$7:$I$2010,$C$9,'LAC 102_Wkst'!$E$7:$E$2010,$C42,'LAC 102_Wkst'!$G$7:$G$2010,$D42,'LAC 102_Wkst'!$L$7:$L$2010,"02",'LAC 102_Wkst'!$N$7:$N$2010,"P3")</f>
        <v>0</v>
      </c>
      <c r="G42" s="409">
        <f>SUMIFS('LAC 102_Wkst'!$AF$7:$AF$2010,'LAC 102_Wkst'!$D$7:$D$2010,$C$7,'LAC 102_Wkst'!$I$7:$I$2010,$C$9,'LAC 102_Wkst'!$E$7:$E$2010,$C42,'LAC 102_Wkst'!$G$7:$G$2010,$D42,'LAC 102_Wkst'!$L$7:$L$2010,"01",'LAC 102_Wkst'!$N$7:$N$2010,"P1")+SUMIFS('LAC 102_Wkst'!$AF$7:$AF$2010,'LAC 102_Wkst'!$D$7:$D$2010,$C$7,'LAC 102_Wkst'!$I$7:$I$2010,$C$9,'LAC 102_Wkst'!$E$7:$E$2010,$C42,'LAC 102_Wkst'!$G$7:$G$2010,$D42,'LAC 102_Wkst'!$L$7:$L$2010,"01",'LAC 102_Wkst'!$N$7:$N$2010,"P2")+SUMIFS('LAC 102_Wkst'!$AF$7:$AF$2010,'LAC 102_Wkst'!$D$7:$D$2010,$C$7,'LAC 102_Wkst'!$I$7:$I$2010,$C$9,'LAC 102_Wkst'!$E$7:$E$2010,$C42,'LAC 102_Wkst'!$G$7:$G$2010,$D42,'LAC 102_Wkst'!$L$7:$L$2010,"01",'LAC 102_Wkst'!$N$7:$N$2010,"P3")+SUMIFS('LAC 102_Wkst'!$AF$7:$AF$2010,'LAC 102_Wkst'!$D$7:$D$2010,$C$7,'LAC 102_Wkst'!$I$7:$I$2010,$C$9,'LAC 102_Wkst'!$E$7:$E$2010,$C42,'LAC 102_Wkst'!$G$7:$G$2010,$D42,'LAC 102_Wkst'!$L$7:$L$2010,"02",'LAC 102_Wkst'!$N$7:$N$2010,"P1")+SUMIFS('LAC 102_Wkst'!$AF$7:$AF$2010,'LAC 102_Wkst'!$D$7:$D$2010,$C$7,'LAC 102_Wkst'!$I$7:$I$2010,$C$9,'LAC 102_Wkst'!$E$7:$E$2010,$C42,'LAC 102_Wkst'!$G$7:$G$2010,$D42,'LAC 102_Wkst'!$L$7:$L$2010,"02",'LAC 102_Wkst'!$N$7:$N$2010,"P2")+SUMIFS('LAC 102_Wkst'!$AF$7:$AF$2010,'LAC 102_Wkst'!$D$7:$D$2010,$C$7,'LAC 102_Wkst'!$I$7:$I$2010,$C$9,'LAC 102_Wkst'!$E$7:$E$2010,$C42,'LAC 102_Wkst'!$G$7:$G$2010,$D42,'LAC 102_Wkst'!$L$7:$L$2010,"02",'LAC 102_Wkst'!$N$7:$N$2010,"P3")</f>
        <v>0</v>
      </c>
      <c r="H42" s="410">
        <f>SUMIFS('LAC 102_Wkst'!$Q$7:$Q$2010,'LAC 102_Wkst'!$D$7:$D$2010,$C$7,'LAC 102_Wkst'!$I$7:$I$2010,$C$9,'LAC 102_Wkst'!$E$7:$E$2010,$C42,'LAC 102_Wkst'!$G$7:$G$2010,$D42,'LAC 102_Wkst'!$L$7:$L$2010,"01",'LAC 102_Wkst'!$N$7:$N$2010,"P4")+SUMIFS('LAC 102_Wkst'!$Q$7:$Q$2010,'LAC 102_Wkst'!$D$7:$D$2010,$C$7,'LAC 102_Wkst'!$I$7:$I$2010,$C$9,'LAC 102_Wkst'!$E$7:$E$2010,$C42,'LAC 102_Wkst'!$G$7:$G$2010,$D42,'LAC 102_Wkst'!$L$7:$L$2010,"02",'LAC 102_Wkst'!$N$7:$N$2010,"P4")</f>
        <v>0</v>
      </c>
      <c r="I42" s="411">
        <f>SUMIFS('LAC 102_Wkst'!$AF$7:$AF$2010,'LAC 102_Wkst'!$D$7:$D$2010,$C$7,'LAC 102_Wkst'!$I$7:$I$2010,$C$9,'LAC 102_Wkst'!$E$7:$E$2010,$C42,'LAC 102_Wkst'!$G$7:$G$2010,$D42,'LAC 102_Wkst'!$L$7:$L$2010,"01",'LAC 102_Wkst'!$N$7:$N$2010,"P4")+SUMIFS('LAC 102_Wkst'!$AF$7:$AF$2010,'LAC 102_Wkst'!$D$7:$D$2010,$C$7,'LAC 102_Wkst'!$I$7:$I$2010,$C$9,'LAC 102_Wkst'!$E$7:$E$2010,$C42,'LAC 102_Wkst'!$G$7:$G$2010,$D42,'LAC 102_Wkst'!$L$7:$L$2010,"02",'LAC 102_Wkst'!$N$7:$N$2010,"P4")</f>
        <v>0</v>
      </c>
      <c r="J42" s="410">
        <f>SUMIFS('LAC 102_Wkst'!$Q$7:$Q$2010,'LAC 102_Wkst'!$D$7:$D$2010,$C$7,'LAC 102_Wkst'!$I$7:$I$2010,$C$9,'LAC 102_Wkst'!$E$7:$E$2010,$C42,'LAC 102_Wkst'!$G$7:$G$2010,$D42,'LAC 102_Wkst'!$L$7:$L$2010,"01",'LAC 102_Wkst'!$N$7:$N$2010,"P5")+SUMIFS('LAC 102_Wkst'!$Q$7:$Q$2010,'LAC 102_Wkst'!$D$7:$D$2010,$C$7,'LAC 102_Wkst'!$I$7:$I$2010,$C$9,'LAC 102_Wkst'!$E$7:$E$2010,$C42,'LAC 102_Wkst'!$G$7:$G$2010,$D42,'LAC 102_Wkst'!$L$7:$L$2010,"02",'LAC 102_Wkst'!$N$7:$N$2010,"P5")</f>
        <v>0</v>
      </c>
      <c r="K42" s="411">
        <f>SUMIFS('LAC 102_Wkst'!$AF$7:$AF$2010,'LAC 102_Wkst'!$D$7:$D$2010,$C$7,'LAC 102_Wkst'!$I$7:$I$2010,$C$9,'LAC 102_Wkst'!$E$7:$E$2010,$C42,'LAC 102_Wkst'!$G$7:$G$2010,$D42,'LAC 102_Wkst'!$L$7:$L$2010,"01",'LAC 102_Wkst'!$N$7:$N$2010,"P5")+SUMIFS('LAC 102_Wkst'!$AF$7:$AF$2010,'LAC 102_Wkst'!$D$7:$D$2010,$C$7,'LAC 102_Wkst'!$I$7:$I$2010,$C$9,'LAC 102_Wkst'!$E$7:$E$2010,$C42,'LAC 102_Wkst'!$G$7:$G$2010,$D42,'LAC 102_Wkst'!$L$7:$L$2010,"02",'LAC 102_Wkst'!$N$7:$N$2010,"P5")</f>
        <v>0</v>
      </c>
      <c r="L42" s="410">
        <f>SUMIFS('LAC 102_Wkst'!$Q$7:$Q$2010,'LAC 102_Wkst'!$D$7:$D$2010,$C$7,'LAC 102_Wkst'!$I$7:$I$2010,$C$9,'LAC 102_Wkst'!$E$7:$E$2010,$C42,'LAC 102_Wkst'!$G$7:$G$2010,$D42,'LAC 102_Wkst'!$L$7:$L$2010,"03",'LAC 102_Wkst'!$N$7:$N$2010,"P1")+SUMIFS('LAC 102_Wkst'!$Q$7:$Q$2010,'LAC 102_Wkst'!$D$7:$D$2010,$C$7,'LAC 102_Wkst'!$I$7:$I$2010,$C$9,'LAC 102_Wkst'!$E$7:$E$2010,$C42,'LAC 102_Wkst'!$G$7:$G$2010,$D42,'LAC 102_Wkst'!$L$7:$L$2010,"03",'LAC 102_Wkst'!$N$7:$N$2010,"P2")+SUMIFS('LAC 102_Wkst'!$Q$7:$Q$2010,'LAC 102_Wkst'!$D$7:$D$2010,$C$7,'LAC 102_Wkst'!$I$7:$I$2010,$C$9,'LAC 102_Wkst'!$E$7:$E$2010,$C42,'LAC 102_Wkst'!$G$7:$G$2010,$D42,'LAC 102_Wkst'!$L$7:$L$2010,"03",'LAC 102_Wkst'!$N$7:$N$2010,"P3")+SUMIFS('LAC 102_Wkst'!$Q$7:$Q$2010,'LAC 102_Wkst'!$D$7:$D$2010,$C$7,'LAC 102_Wkst'!$I$7:$I$2010,$C$9,'LAC 102_Wkst'!$E$7:$E$2010,$C42,'LAC 102_Wkst'!$G$7:$G$2010,$D42,'LAC 102_Wkst'!$L$7:$L$2010,"04",'LAC 102_Wkst'!$N$7:$N$2010,"P1")+SUMIFS('LAC 102_Wkst'!$Q$7:$Q$2010,'LAC 102_Wkst'!$D$7:$D$2010,$C$7,'LAC 102_Wkst'!$I$7:$I$2010,$C$9,'LAC 102_Wkst'!$E$7:$E$2010,$C42,'LAC 102_Wkst'!$G$7:$G$2010,$D42,'LAC 102_Wkst'!$L$7:$L$2010,"04",'LAC 102_Wkst'!$N$7:$N$2010,"P2")+SUMIFS('LAC 102_Wkst'!$Q$7:$Q$2010,'LAC 102_Wkst'!$D$7:$D$2010,$C$7,'LAC 102_Wkst'!$I$7:$I$2010,$C$9,'LAC 102_Wkst'!$E$7:$E$2010,$C42,'LAC 102_Wkst'!$G$7:$G$2010,$D42,'LAC 102_Wkst'!$L$7:$L$2010,"04",'LAC 102_Wkst'!$N$7:$N$2010,"P3")</f>
        <v>0</v>
      </c>
      <c r="M42" s="411">
        <f>SUMIFS('LAC 102_Wkst'!$AF$7:$AF$2010,'LAC 102_Wkst'!$D$7:$D$2010,$C$7,'LAC 102_Wkst'!$I$7:$I$2010,$C$9,'LAC 102_Wkst'!$E$7:$E$2010,$C42,'LAC 102_Wkst'!$G$7:$G$2010,$D42,'LAC 102_Wkst'!$L$7:$L$2010,"03",'LAC 102_Wkst'!$N$7:$N$2010,"P1")+SUMIFS('LAC 102_Wkst'!$AF$7:$AF$2010,'LAC 102_Wkst'!$D$7:$D$2010,$C$7,'LAC 102_Wkst'!$I$7:$I$2010,$C$9,'LAC 102_Wkst'!$E$7:$E$2010,$C42,'LAC 102_Wkst'!$G$7:$G$2010,$D42,'LAC 102_Wkst'!$L$7:$L$2010,"03",'LAC 102_Wkst'!$N$7:$N$2010,"P2")+SUMIFS('LAC 102_Wkst'!$AF$7:$AF$2010,'LAC 102_Wkst'!$D$7:$D$2010,$C$7,'LAC 102_Wkst'!$I$7:$I$2010,$C$9,'LAC 102_Wkst'!$E$7:$E$2010,$C42,'LAC 102_Wkst'!$G$7:$G$2010,$D42,'LAC 102_Wkst'!$L$7:$L$2010,"03",'LAC 102_Wkst'!$N$7:$N$2010,"P3")+SUMIFS('LAC 102_Wkst'!$AF$7:$AF$2010,'LAC 102_Wkst'!$D$7:$D$2010,$C$7,'LAC 102_Wkst'!$I$7:$I$2010,$C$9,'LAC 102_Wkst'!$E$7:$E$2010,$C42,'LAC 102_Wkst'!$G$7:$G$2010,$D42,'LAC 102_Wkst'!$L$7:$L$2010,"04",'LAC 102_Wkst'!$N$7:$N$2010,"P1")+SUMIFS('LAC 102_Wkst'!$AF$7:$AF$2010,'LAC 102_Wkst'!$D$7:$D$2010,$C$7,'LAC 102_Wkst'!$I$7:$I$2010,$C$9,'LAC 102_Wkst'!$E$7:$E$2010,$C42,'LAC 102_Wkst'!$G$7:$G$2010,$D42,'LAC 102_Wkst'!$L$7:$L$2010,"04",'LAC 102_Wkst'!$N$7:$N$2010,"P2")+SUMIFS('LAC 102_Wkst'!$AF$7:$AF$2010,'LAC 102_Wkst'!$D$7:$D$2010,$C$7,'LAC 102_Wkst'!$I$7:$I$2010,$C$9,'LAC 102_Wkst'!$E$7:$E$2010,$C42,'LAC 102_Wkst'!$G$7:$G$2010,$D42,'LAC 102_Wkst'!$L$7:$L$2010,"04",'LAC 102_Wkst'!$N$7:$N$2010,"P3")</f>
        <v>0</v>
      </c>
      <c r="N42" s="410">
        <f>SUMIFS('LAC 102_Wkst'!$Q$7:$Q$2010,'LAC 102_Wkst'!$D$7:$D$2010,$C$7,'LAC 102_Wkst'!$I$7:$I$2010,$C$9,'LAC 102_Wkst'!$E$7:$E$2010,$C42,'LAC 102_Wkst'!$G$7:$G$2010,$D42,'LAC 102_Wkst'!$L$7:$L$2010,"03",'LAC 102_Wkst'!$N$7:$N$2010,"P4")+SUMIFS('LAC 102_Wkst'!$Q$7:$Q$2010,'LAC 102_Wkst'!$D$7:$D$2010,$C$7,'LAC 102_Wkst'!$I$7:$I$2010,$C$9,'LAC 102_Wkst'!$E$7:$E$2010,$C42,'LAC 102_Wkst'!$G$7:$G$2010,$D42,'LAC 102_Wkst'!$L$7:$L$2010,"04",'LAC 102_Wkst'!$N$7:$N$2010,"P4")</f>
        <v>0</v>
      </c>
      <c r="O42" s="411">
        <f>SUMIFS('LAC 102_Wkst'!$AF$7:$AF$2010,'LAC 102_Wkst'!$D$7:$D$2010,$C$7,'LAC 102_Wkst'!$I$7:$I$2010,$C$9,'LAC 102_Wkst'!$E$7:$E$2010,$C42,'LAC 102_Wkst'!$G$7:$G$2010,$D42,'LAC 102_Wkst'!$L$7:$L$2010,"03",'LAC 102_Wkst'!$N$7:$N$2010,"P4")+SUMIFS('LAC 102_Wkst'!$AF$7:$AF$2010,'LAC 102_Wkst'!$D$7:$D$2010,$C$7,'LAC 102_Wkst'!$I$7:$I$2010,$C$9,'LAC 102_Wkst'!$E$7:$E$2010,$C42,'LAC 102_Wkst'!$G$7:$G$2010,$D42,'LAC 102_Wkst'!$L$7:$L$2010,"04",'LAC 102_Wkst'!$N$7:$N$2010,"P4")</f>
        <v>0</v>
      </c>
      <c r="P42" s="410">
        <f>SUMIFS('LAC 102_Wkst'!$Q$7:$Q$2010,'LAC 102_Wkst'!$D$7:$D$2010,$C$7,'LAC 102_Wkst'!$I$7:$I$2010,$C$9,'LAC 102_Wkst'!$E$7:$E$2010,$C42,'LAC 102_Wkst'!$G$7:$G$2010,$D42,'LAC 102_Wkst'!$L$7:$L$2010,"03",'LAC 102_Wkst'!$N$7:$N$2010,"P5")+SUMIFS('LAC 102_Wkst'!$Q$7:$Q$2010,'LAC 102_Wkst'!$D$7:$D$2010,$C$7,'LAC 102_Wkst'!$I$7:$I$2010,$C$9,'LAC 102_Wkst'!$E$7:$E$2010,$C42,'LAC 102_Wkst'!$G$7:$G$2010,$D42,'LAC 102_Wkst'!$L$7:$L$2010,"04",'LAC 102_Wkst'!$N$7:$N$2010,"P5")</f>
        <v>0</v>
      </c>
      <c r="Q42" s="411">
        <f>SUMIFS('LAC 102_Wkst'!$AF$7:$AF$2010,'LAC 102_Wkst'!$D$7:$D$2010,$C$7,'LAC 102_Wkst'!$I$7:$I$2010,$C$9,'LAC 102_Wkst'!$E$7:$E$2010,$C42,'LAC 102_Wkst'!$G$7:$G$2010,$D42,'LAC 102_Wkst'!$L$7:$L$2010,"03",'LAC 102_Wkst'!$N$7:$N$2010,"P5")+SUMIFS('LAC 102_Wkst'!$AF$7:$AF$2010,'LAC 102_Wkst'!$D$7:$D$2010,$C$7,'LAC 102_Wkst'!$I$7:$I$2010,$C$9,'LAC 102_Wkst'!$E$7:$E$2010,$C42,'LAC 102_Wkst'!$G$7:$G$2010,$D42,'LAC 102_Wkst'!$L$7:$L$2010,"04",'LAC 102_Wkst'!$N$7:$N$2010,"P5")</f>
        <v>0</v>
      </c>
      <c r="R42" s="412">
        <f>SUMIFS('LAC 102_Wkst'!$Q$7:$Q$2010,'LAC 102_Wkst'!$D$7:$D$2010,$C$7,'LAC 102_Wkst'!$I$7:$I$2010,$C$9,'LAC 102_Wkst'!$E$7:$E$2010,$C42,'LAC 102_Wkst'!$G$7:$G$2010,$D42,'LAC 102_Wkst'!$L$7:$L$2010,"05",'LAC 102_Wkst'!$N$7:$N$2010,"P1")+SUMIFS('LAC 102_Wkst'!$Q$7:$Q$2010,'LAC 102_Wkst'!$D$7:$D$2010,$C$7,'LAC 102_Wkst'!$I$7:$I$2010,$C$9,'LAC 102_Wkst'!$E$7:$E$2010,$C42,'LAC 102_Wkst'!$G$7:$G$2010,$D42,'LAC 102_Wkst'!$L$7:$L$2010,"06",'LAC 102_Wkst'!$N$7:$N$2010,"P1")</f>
        <v>0</v>
      </c>
      <c r="S42" s="411">
        <f>SUMIFS('LAC 102_Wkst'!$AF$7:$AF$2010,'LAC 102_Wkst'!$D$7:$D$2010,$C$7,'LAC 102_Wkst'!$I$7:$I$2010,$C$9,'LAC 102_Wkst'!$E$7:$E$2010,$C42,'LAC 102_Wkst'!$G$7:$G$2010,$D42,'LAC 102_Wkst'!$L$7:$L$2010,"05",'LAC 102_Wkst'!$N$7:$N$2010,"P1")+SUMIFS('LAC 102_Wkst'!$AF$7:$AF$2010,'LAC 102_Wkst'!$D$7:$D$2010,$C$7,'LAC 102_Wkst'!$I$7:$I$2010,$C$9,'LAC 102_Wkst'!$E$7:$E$2010,$C42,'LAC 102_Wkst'!$G$7:$G$2010,$D42,'LAC 102_Wkst'!$L$7:$L$2010,"06",'LAC 102_Wkst'!$N$7:$N$2010,"P1")</f>
        <v>0</v>
      </c>
      <c r="T42" s="410">
        <f>SUMIFS('LAC 102_Wkst'!$Q$7:$Q$2010,'LAC 102_Wkst'!$D$7:$D$2010,$C$7,'LAC 102_Wkst'!$I$7:$I$2010,$C$9,'LAC 102_Wkst'!$E$7:$E$2010,$C42,'LAC 102_Wkst'!$G$7:$G$2010,$D42,'LAC 102_Wkst'!$L$7:$L$2010,"05",'LAC 102_Wkst'!$N$7:$N$2010,"P2")+SUMIFS('LAC 102_Wkst'!$Q$7:$Q$2010,'LAC 102_Wkst'!$D$7:$D$2010,$C$7,'LAC 102_Wkst'!$I$7:$I$2010,$C$9,'LAC 102_Wkst'!$E$7:$E$2010,$C42,'LAC 102_Wkst'!$G$7:$G$2010,$D42,'LAC 102_Wkst'!$L$7:$L$2010,"06",'LAC 102_Wkst'!$N$7:$N$2010,"P2")+SUMIFS('LAC 102_Wkst'!$Q$7:$Q$2010,'LAC 102_Wkst'!$D$7:$D$2010,$C$7,'LAC 102_Wkst'!$I$7:$I$2010,$C$9,'LAC 102_Wkst'!$E$7:$E$2010,$C42,'LAC 102_Wkst'!$G$7:$G$2010,$D42,'LAC 102_Wkst'!$L$7:$L$2010,"05",'LAC 102_Wkst'!$N$7:$N$2010,"P3")+SUMIFS('LAC 102_Wkst'!$Q$7:$Q$2010,'LAC 102_Wkst'!$D$7:$D$2010,$C$7,'LAC 102_Wkst'!$I$7:$I$2010,$C$9,'LAC 102_Wkst'!$E$7:$E$2010,$C42,'LAC 102_Wkst'!$G$7:$G$2010,$D42,'LAC 102_Wkst'!$L$7:$L$2010,"06",'LAC 102_Wkst'!$N$7:$N$2010,"P3")</f>
        <v>0</v>
      </c>
      <c r="U42" s="411">
        <f>SUMIFS('LAC 102_Wkst'!$AF$7:$AF$2010,'LAC 102_Wkst'!$D$7:$D$2010,$C$7,'LAC 102_Wkst'!$I$7:$I$2010,$C$9,'LAC 102_Wkst'!$E$7:$E$2010,$C42,'LAC 102_Wkst'!$G$7:$G$2010,$D42,'LAC 102_Wkst'!$L$7:$L$2010,"05",'LAC 102_Wkst'!$N$7:$N$2010,"P2")+SUMIFS('LAC 102_Wkst'!$AF$7:$AF$2010,'LAC 102_Wkst'!$D$7:$D$2010,$C$7,'LAC 102_Wkst'!$I$7:$I$2010,$C$9,'LAC 102_Wkst'!$E$7:$E$2010,$C42,'LAC 102_Wkst'!$G$7:$G$2010,$D42,'LAC 102_Wkst'!$L$7:$L$2010,"06",'LAC 102_Wkst'!$N$7:$N$2010,"P2")+SUMIFS('LAC 102_Wkst'!$AF$7:$AF$2010,'LAC 102_Wkst'!$D$7:$D$2010,$C$7,'LAC 102_Wkst'!$I$7:$I$2010,$C$9,'LAC 102_Wkst'!$E$7:$E$2010,$C42,'LAC 102_Wkst'!$G$7:$G$2010,$D42,'LAC 102_Wkst'!$L$7:$L$2010,"05",'LAC 102_Wkst'!$N$7:$N$2010,"P3")+SUMIFS('LAC 102_Wkst'!$AF$7:$AF$2010,'LAC 102_Wkst'!$D$7:$D$2010,$C$7,'LAC 102_Wkst'!$I$7:$I$2010,$C$9,'LAC 102_Wkst'!$E$7:$E$2010,$C42,'LAC 102_Wkst'!$G$7:$G$2010,$D42,'LAC 102_Wkst'!$L$7:$L$2010,"06",'LAC 102_Wkst'!$N$7:$N$2010,"P3")</f>
        <v>0</v>
      </c>
      <c r="V42" s="410">
        <f>SUMIFS('LAC 102_Wkst'!$Q$7:$Q$2010,'LAC 102_Wkst'!$D$7:$D$2010,$C$7,'LAC 102_Wkst'!$I$7:$I$2010,$C$9,'LAC 102_Wkst'!$E$7:$E$2010,$C42,'LAC 102_Wkst'!$G$7:$G$2010,$D42,'LAC 102_Wkst'!$L$7:$L$2010,"05",'LAC 102_Wkst'!$N$7:$N$2010,"P4")+SUMIFS('LAC 102_Wkst'!$Q$7:$Q$2010,'LAC 102_Wkst'!$D$7:$D$2010,$C$7,'LAC 102_Wkst'!$I$7:$I$2010,$C$9,'LAC 102_Wkst'!$E$7:$E$2010,$C42,'LAC 102_Wkst'!$G$7:$G$2010,$D42,'LAC 102_Wkst'!$L$7:$L$2010,"06",'LAC 102_Wkst'!$N$7:$N$2010,"P4")</f>
        <v>0</v>
      </c>
      <c r="W42" s="411">
        <f>SUMIFS('LAC 102_Wkst'!$AF$7:$AF$2010,'LAC 102_Wkst'!$D$7:$D$2010,$C$7,'LAC 102_Wkst'!$I$7:$I$2010,$C$9,'LAC 102_Wkst'!$E$7:$E$2010,$C42,'LAC 102_Wkst'!$G$7:$G$2010,$D42,'LAC 102_Wkst'!$L$7:$L$2010,"05",'LAC 102_Wkst'!$N$7:$N$2010,"P4")+SUMIFS('LAC 102_Wkst'!$AF$7:$AF$2010,'LAC 102_Wkst'!$D$7:$D$2010,$C$7,'LAC 102_Wkst'!$I$7:$I$2010,$C$9,'LAC 102_Wkst'!$E$7:$E$2010,$C42,'LAC 102_Wkst'!$G$7:$G$2010,$D42,'LAC 102_Wkst'!$L$7:$L$2010,"06",'LAC 102_Wkst'!$N$7:$N$2010,"P4")</f>
        <v>0</v>
      </c>
      <c r="X42" s="410">
        <f>SUMIFS('LAC 102_Wkst'!$Q$7:$Q$2010,'LAC 102_Wkst'!$D$7:$D$2010,$C$7,'LAC 102_Wkst'!$I$7:$I$2010,$C$9,'LAC 102_Wkst'!$E$7:$E$2010,$C42,'LAC 102_Wkst'!$G$7:$G$2010,$D42,'LAC 102_Wkst'!$L$7:$L$2010,"05",'LAC 102_Wkst'!$N$7:$N$2010,"P5")+SUMIFS('LAC 102_Wkst'!$Q$7:$Q$2010,'LAC 102_Wkst'!$D$7:$D$2010,$C$7,'LAC 102_Wkst'!$I$7:$I$2010,$C$9,'LAC 102_Wkst'!$E$7:$E$2010,$C42,'LAC 102_Wkst'!$G$7:$G$2010,$D42,'LAC 102_Wkst'!$L$7:$L$2010,"06",'LAC 102_Wkst'!$N$7:$N$2010,"P5")</f>
        <v>0</v>
      </c>
      <c r="Y42" s="411">
        <f>SUMIFS('LAC 102_Wkst'!$AF$7:$AF$2010,'LAC 102_Wkst'!$D$7:$D$2010,$C$7,'LAC 102_Wkst'!$I$7:$I$2010,$C$9,'LAC 102_Wkst'!$E$7:$E$2010,$C42,'LAC 102_Wkst'!$G$7:$G$2010,$D42,'LAC 102_Wkst'!$L$7:$L$2010,"05",'LAC 102_Wkst'!$N$7:$N$2010,"P5")+SUMIFS('LAC 102_Wkst'!$AF$7:$AF$2010,'LAC 102_Wkst'!$D$7:$D$2010,$C$7,'LAC 102_Wkst'!$I$7:$I$2010,$C$9,'LAC 102_Wkst'!$E$7:$E$2010,$C42,'LAC 102_Wkst'!$G$7:$G$2010,$D42,'LAC 102_Wkst'!$L$7:$L$2010,"06",'LAC 102_Wkst'!$N$7:$N$2010,"P5")</f>
        <v>0</v>
      </c>
      <c r="Z42" s="410">
        <f>SUMIFS('LAC 102_Wkst'!$Q$7:$Q$2010,'LAC 102_Wkst'!$D$7:$D$2010,$C$7,'LAC 102_Wkst'!$I$7:$I$2010,$C$9,'LAC 102_Wkst'!$E$7:$E$2010,$C42,'LAC 102_Wkst'!$G$7:$G$2010,$D42,'LAC 102_Wkst'!$L$7:$L$2010,"07",'LAC 102_Wkst'!$N$7:$N$2010,"P1")+SUMIFS('LAC 102_Wkst'!$Q$7:$Q$2010,'LAC 102_Wkst'!$D$7:$D$2010,$C$7,'LAC 102_Wkst'!$I$7:$I$2010,$C$9,'LAC 102_Wkst'!$E$7:$E$2010,$C42,'LAC 102_Wkst'!$G$7:$G$2010,$D42,'LAC 102_Wkst'!$L$7:$L$2010,"07",'LAC 102_Wkst'!$N$7:$N$2010,"P2")+SUMIFS('LAC 102_Wkst'!$Q$7:$Q$2010,'LAC 102_Wkst'!$D$7:$D$2010,$C$7,'LAC 102_Wkst'!$I$7:$I$2010,$C$9,'LAC 102_Wkst'!$E$7:$E$2010,$C42,'LAC 102_Wkst'!$G$7:$G$2010,$D42,'LAC 102_Wkst'!$L$7:$L$2010,"07",'LAC 102_Wkst'!$N$7:$N$2010,"P3")</f>
        <v>0</v>
      </c>
      <c r="AA42" s="411">
        <f>SUMIFS('LAC 102_Wkst'!$AF$7:$AF$2010,'LAC 102_Wkst'!$D$7:$D$2010,$C$7,'LAC 102_Wkst'!$I$7:$I$2010,$C$9,'LAC 102_Wkst'!$E$7:$E$2010,$C42,'LAC 102_Wkst'!$G$7:$G$2010,$D42,'LAC 102_Wkst'!$L$7:$L$2010,"07",'LAC 102_Wkst'!$N$7:$N$2010,"P1")+SUMIFS('LAC 102_Wkst'!$AF$7:$AF$2010,'LAC 102_Wkst'!$D$7:$D$2010,$C$7,'LAC 102_Wkst'!$I$7:$I$2010,$C$9,'LAC 102_Wkst'!$E$7:$E$2010,$C42,'LAC 102_Wkst'!$G$7:$G$2010,$D42,'LAC 102_Wkst'!$L$7:$L$2010,"07",'LAC 102_Wkst'!$N$7:$N$2010,"P2")+SUMIFS('LAC 102_Wkst'!$AF$7:$AF$2010,'LAC 102_Wkst'!$D$7:$D$2010,$C$7,'LAC 102_Wkst'!$I$7:$I$2010,$C$9,'LAC 102_Wkst'!$E$7:$E$2010,$C42,'LAC 102_Wkst'!$G$7:$G$2010,$D42,'LAC 102_Wkst'!$L$7:$L$2010,"07",'LAC 102_Wkst'!$N$7:$N$2010,"P3")</f>
        <v>0</v>
      </c>
      <c r="AB42" s="410">
        <f>SUMIFS('LAC 102_Wkst'!$Q$7:$Q$2010,'LAC 102_Wkst'!$D$7:$D$2010,$C$7,'LAC 102_Wkst'!$I$7:$I$2010,$C$9,'LAC 102_Wkst'!$E$7:$E$2010,$C42,'LAC 102_Wkst'!$G$7:$G$2010,$D42,'LAC 102_Wkst'!$L$7:$L$2010,"07",'LAC 102_Wkst'!$N$7:$N$2010,"P4")</f>
        <v>0</v>
      </c>
      <c r="AC42" s="411">
        <f>SUMIFS('LAC 102_Wkst'!$AF$7:$AF$2010,'LAC 102_Wkst'!$D$7:$D$2010,$C$7,'LAC 102_Wkst'!$I$7:$I$2010,$C$9,'LAC 102_Wkst'!$E$7:$E$2010,$C42,'LAC 102_Wkst'!$G$7:$G$2010,$D42,'LAC 102_Wkst'!$L$7:$L$2010,"07",'LAC 102_Wkst'!$N$7:$N$2010,"P4")</f>
        <v>0</v>
      </c>
      <c r="AD42" s="410">
        <f>SUMIFS('LAC 102_Wkst'!$Q$7:$Q$2010,'LAC 102_Wkst'!$D$7:$D$2010,$C$7,'LAC 102_Wkst'!$I$7:$I$2010,$C$9,'LAC 102_Wkst'!$E$7:$E$2010,$C42,'LAC 102_Wkst'!$G$7:$G$2010,$D42,'LAC 102_Wkst'!$L$7:$L$2010,"07",'LAC 102_Wkst'!$N$7:$N$2010,"P5")</f>
        <v>0</v>
      </c>
      <c r="AE42" s="411">
        <f>SUMIFS('LAC 102_Wkst'!$AF$7:$AF$2010,'LAC 102_Wkst'!$D$7:$D$2010,$C$7,'LAC 102_Wkst'!$I$7:$I$2010,$C$9,'LAC 102_Wkst'!$E$7:$E$2010,$C42,'LAC 102_Wkst'!$G$7:$G$2010,$D42,'LAC 102_Wkst'!$L$7:$L$2010,"07",'LAC 102_Wkst'!$N$7:$N$2010,"P5")</f>
        <v>0</v>
      </c>
      <c r="AF42" s="410">
        <f>SUMIFS('LAC 102_Wkst'!$Q$7:$Q$2010,'LAC 102_Wkst'!$D$7:$D$2010,$C$7,'LAC 102_Wkst'!$I$7:$I$2010,$C$9,'LAC 102_Wkst'!$E$7:$E$2010,$C42,'LAC 102_Wkst'!$G$7:$G$2010,$D42,'LAC 102_Wkst'!$L$7:$L$2010,"08",'LAC 102_Wkst'!$N$7:$N$2010,"P1")+SUMIFS('LAC 102_Wkst'!$Q$7:$Q$2010,'LAC 102_Wkst'!$D$7:$D$2010,$C$7,'LAC 102_Wkst'!$I$7:$I$2010,$C$9,'LAC 102_Wkst'!$E$7:$E$2010,$C42,'LAC 102_Wkst'!$G$7:$G$2010,$D42,'LAC 102_Wkst'!$L$7:$L$2010,"08",'LAC 102_Wkst'!$N$7:$N$2010,"P2")+SUMIFS('LAC 102_Wkst'!$Q$7:$Q$2010,'LAC 102_Wkst'!$D$7:$D$2010,$C$7,'LAC 102_Wkst'!$I$7:$I$2010,$C$9,'LAC 102_Wkst'!$E$7:$E$2010,$C42,'LAC 102_Wkst'!$G$7:$G$2010,$D42,'LAC 102_Wkst'!$L$7:$L$2010,"08",'LAC 102_Wkst'!$N$7:$N$2010,"P3")</f>
        <v>0</v>
      </c>
      <c r="AG42" s="411">
        <f>SUMIFS('LAC 102_Wkst'!$AF$7:$AF$2010,'LAC 102_Wkst'!$D$7:$D$2010,$C$7,'LAC 102_Wkst'!$I$7:$I$2010,$C$9,'LAC 102_Wkst'!$E$7:$E$2010,$C42,'LAC 102_Wkst'!$G$7:$G$2010,$D42,'LAC 102_Wkst'!$L$7:$L$2010,"08",'LAC 102_Wkst'!$N$7:$N$2010,"P1")+SUMIFS('LAC 102_Wkst'!$AF$7:$AF$2010,'LAC 102_Wkst'!$D$7:$D$2010,$C$7,'LAC 102_Wkst'!$I$7:$I$2010,$C$9,'LAC 102_Wkst'!$E$7:$E$2010,$C42,'LAC 102_Wkst'!$G$7:$G$2010,$D42,'LAC 102_Wkst'!$L$7:$L$2010,"08",'LAC 102_Wkst'!$N$7:$N$2010,"P2")+SUMIFS('LAC 102_Wkst'!$AF$7:$AF$2010,'LAC 102_Wkst'!$D$7:$D$2010,$C$7,'LAC 102_Wkst'!$I$7:$I$2010,$C$9,'LAC 102_Wkst'!$E$7:$E$2010,$C42,'LAC 102_Wkst'!$G$7:$G$2010,$D42,'LAC 102_Wkst'!$L$7:$L$2010,"08",'LAC 102_Wkst'!$N$7:$N$2010,"P3")</f>
        <v>0</v>
      </c>
      <c r="AH42" s="410">
        <f>SUMIFS('LAC 102_Wkst'!$Q$7:$Q$2010,'LAC 102_Wkst'!$D$7:$D$2010,$C$7,'LAC 102_Wkst'!$I$7:$I$2010,$C$9,'LAC 102_Wkst'!$E$7:$E$2010,$C42,'LAC 102_Wkst'!$G$7:$G$2010,$D42,'LAC 102_Wkst'!$L$7:$L$2010,"08",'LAC 102_Wkst'!$N$7:$N$2010,"P4")</f>
        <v>0</v>
      </c>
      <c r="AI42" s="411">
        <f>SUMIFS('LAC 102_Wkst'!$AF$7:$AF$2010,'LAC 102_Wkst'!$D$7:$D$2010,$C$7,'LAC 102_Wkst'!$I$7:$I$2010,$C$9,'LAC 102_Wkst'!$E$7:$E$2010,$C42,'LAC 102_Wkst'!$G$7:$G$2010,$D42,'LAC 102_Wkst'!$L$7:$L$2010,"08",'LAC 102_Wkst'!$N$7:$N$2010,"P4")</f>
        <v>0</v>
      </c>
      <c r="AJ42" s="410">
        <f>SUMIFS('LAC 102_Wkst'!$Q$7:$Q$2010,'LAC 102_Wkst'!$D$7:$D$2010,$C$7,'LAC 102_Wkst'!$I$7:$I$2010,$C$9,'LAC 102_Wkst'!$E$7:$E$2010,$C42,'LAC 102_Wkst'!$G$7:$G$2010,$D42,'LAC 102_Wkst'!$L$7:$L$2010,"08",'LAC 102_Wkst'!$N$7:$N$2010,"P5")</f>
        <v>0</v>
      </c>
      <c r="AK42" s="411">
        <f>SUMIFS('LAC 102_Wkst'!$AF$7:$AF$2010,'LAC 102_Wkst'!$D$7:$D$2010,$C$7,'LAC 102_Wkst'!$I$7:$I$2010,$C$9,'LAC 102_Wkst'!$E$7:$E$2010,$C42,'LAC 102_Wkst'!$G$7:$G$2010,$D42,'LAC 102_Wkst'!$L$7:$L$2010,"08",'LAC 102_Wkst'!$N$7:$N$2010,"P5")</f>
        <v>0</v>
      </c>
      <c r="AL42" s="410">
        <f>SUMIFS('LAC 102_Wkst'!$Q$7:$Q$2010,'LAC 102_Wkst'!$D$7:$D$2010,$C$7,'LAC 102_Wkst'!$I$7:$I$2010,$C$9,'LAC 102_Wkst'!$E$7:$E$2010,$C42,'LAC 102_Wkst'!$G$7:$G$2010,$D42,'LAC 102_Wkst'!$L$7:$L$2010,"09",'LAC 102_Wkst'!$N$7:$N$2010,"P1")+SUMIFS('LAC 102_Wkst'!$Q$7:$Q$2010,'LAC 102_Wkst'!$D$7:$D$2010,$C$7,'LAC 102_Wkst'!$I$7:$I$2010,$C$9,'LAC 102_Wkst'!$E$7:$E$2010,$C42,'LAC 102_Wkst'!$G$7:$G$2010,$D42,'LAC 102_Wkst'!$L$7:$L$2010,"09",'LAC 102_Wkst'!$N$7:$N$2010,"P2")+SUMIFS('LAC 102_Wkst'!$Q$7:$Q$2010,'LAC 102_Wkst'!$D$7:$D$2010,$C$7,'LAC 102_Wkst'!$I$7:$I$2010,$C$9,'LAC 102_Wkst'!$E$7:$E$2010,$C42,'LAC 102_Wkst'!$G$7:$G$2010,$D42,'LAC 102_Wkst'!$L$7:$L$2010,"09",'LAC 102_Wkst'!$N$7:$N$2010,"P3")+SUMIFS('LAC 102_Wkst'!$Q$7:$Q$2010,'LAC 102_Wkst'!$D$7:$D$2010,$C$7,'LAC 102_Wkst'!$I$7:$I$2010,$C$9,'LAC 102_Wkst'!$E$7:$E$2010,$C42,'LAC 102_Wkst'!$G$7:$G$2010,$D42,'LAC 102_Wkst'!$L$7:$L$2010,"09",'LAC 102_Wkst'!$N$7:$N$2010,"P4")</f>
        <v>0</v>
      </c>
      <c r="AM42" s="411">
        <f>SUMIFS('LAC 102_Wkst'!$AF$7:$AF$2010,'LAC 102_Wkst'!$D$7:$D$2010,$C$7,'LAC 102_Wkst'!$I$7:$I$2010,$C$9,'LAC 102_Wkst'!$E$7:$E$2010,$C42,'LAC 102_Wkst'!$G$7:$G$2010,$D42,'LAC 102_Wkst'!$L$7:$L$2010,"09",'LAC 102_Wkst'!$N$7:$N$2010,"P1")+SUMIFS('LAC 102_Wkst'!$AF$7:$AF$2010,'LAC 102_Wkst'!$D$7:$D$2010,$C$7,'LAC 102_Wkst'!$I$7:$I$2010,$C$9,'LAC 102_Wkst'!$E$7:$E$2010,$C42,'LAC 102_Wkst'!$G$7:$G$2010,$D42,'LAC 102_Wkst'!$L$7:$L$2010,"09",'LAC 102_Wkst'!$N$7:$N$2010,"P2")+SUMIFS('LAC 102_Wkst'!$AF$7:$AF$2010,'LAC 102_Wkst'!$D$7:$D$2010,$C$7,'LAC 102_Wkst'!$I$7:$I$2010,$C$9,'LAC 102_Wkst'!$E$7:$E$2010,$C42,'LAC 102_Wkst'!$G$7:$G$2010,$D42,'LAC 102_Wkst'!$L$7:$L$2010,"09",'LAC 102_Wkst'!$N$7:$N$2010,"P3")+SUMIFS('LAC 102_Wkst'!$AF$7:$AF$2010,'LAC 102_Wkst'!$D$7:$D$2010,$C$7,'LAC 102_Wkst'!$I$7:$I$2010,$C$9,'LAC 102_Wkst'!$E$7:$E$2010,$C42,'LAC 102_Wkst'!$G$7:$G$2010,$D42,'LAC 102_Wkst'!$L$7:$L$2010,"09",'LAC 102_Wkst'!$N$7:$N$2010,"P4")</f>
        <v>0</v>
      </c>
      <c r="AN42" s="410">
        <f>SUMIFS('LAC 102_Wkst'!$Q$7:$Q$2010,'LAC 102_Wkst'!$D$7:$D$2010,$C$7,'LAC 102_Wkst'!$I$7:$I$2010,$C$9,'LAC 102_Wkst'!$E$7:$E$2010,$C42,'LAC 102_Wkst'!$G$7:$G$2010,$D42,'LAC 102_Wkst'!$L$7:$L$2010,"09",'LAC 102_Wkst'!$N$7:$N$2010,"P5")</f>
        <v>0</v>
      </c>
      <c r="AO42" s="411">
        <f>SUMIFS('LAC 102_Wkst'!$AF$7:$AF$2010,'LAC 102_Wkst'!$D$7:$D$2010,$C$7,'LAC 102_Wkst'!$I$7:$I$2010,$C$9,'LAC 102_Wkst'!$E$7:$E$2010,$C42,'LAC 102_Wkst'!$G$7:$G$2010,$D42,'LAC 102_Wkst'!$L$7:$L$2010,"09",'LAC 102_Wkst'!$N$7:$N$2010,"P5")</f>
        <v>0</v>
      </c>
      <c r="AP42" s="410">
        <f>SUMIFS('LAC 102_Wkst'!$Q$7:$Q$2010,'LAC 102_Wkst'!$D$7:$D$2010,$C$7,'LAC 102_Wkst'!$I$7:$I$2010,$C$9,'LAC 102_Wkst'!$E$7:$E$2010,$C42,'LAC 102_Wkst'!$G$7:$G$2010,$D42,'LAC 102_Wkst'!$L$7:$L$2010,"10",'LAC 102_Wkst'!$N$7:$N$2010,"P1")+SUMIFS('LAC 102_Wkst'!$Q$7:$Q$2010,'LAC 102_Wkst'!$D$7:$D$2010,$C$7,'LAC 102_Wkst'!$I$7:$I$2010,$C$9,'LAC 102_Wkst'!$E$7:$E$2010,$C42,'LAC 102_Wkst'!$G$7:$G$2010,$D42,'LAC 102_Wkst'!$L$7:$L$2010,"10",'LAC 102_Wkst'!$N$7:$N$2010,"P2")+SUMIFS('LAC 102_Wkst'!$Q$7:$Q$2010,'LAC 102_Wkst'!$D$7:$D$2010,$C$7,'LAC 102_Wkst'!$I$7:$I$2010,$C$9,'LAC 102_Wkst'!$E$7:$E$2010,$C42,'LAC 102_Wkst'!$G$7:$G$2010,$D42,'LAC 102_Wkst'!$L$7:$L$2010,"10",'LAC 102_Wkst'!$N$7:$N$2010,"P3")+SUMIFS('LAC 102_Wkst'!$Q$7:$Q$2010,'LAC 102_Wkst'!$D$7:$D$2010,$C$7,'LAC 102_Wkst'!$I$7:$I$2010,$C$9,'LAC 102_Wkst'!$E$7:$E$2010,$C42,'LAC 102_Wkst'!$G$7:$G$2010,$D42,'LAC 102_Wkst'!$L$7:$L$2010,"10",'LAC 102_Wkst'!$N$7:$N$2010,"P4")</f>
        <v>0</v>
      </c>
      <c r="AQ42" s="411">
        <f>SUMIFS('LAC 102_Wkst'!$AF$7:$AF$2010,'LAC 102_Wkst'!$D$7:$D$2010,$C$7,'LAC 102_Wkst'!$I$7:$I$2010,$C$9,'LAC 102_Wkst'!$E$7:$E$2010,$C42,'LAC 102_Wkst'!$G$7:$G$2010,$D42,'LAC 102_Wkst'!$L$7:$L$2010,"10",'LAC 102_Wkst'!$N$7:$N$2010,"P1")+SUMIFS('LAC 102_Wkst'!$AF$7:$AF$2010,'LAC 102_Wkst'!$D$7:$D$2010,$C$7,'LAC 102_Wkst'!$I$7:$I$2010,$C$9,'LAC 102_Wkst'!$E$7:$E$2010,$C42,'LAC 102_Wkst'!$G$7:$G$2010,$D42,'LAC 102_Wkst'!$L$7:$L$2010,"10",'LAC 102_Wkst'!$N$7:$N$2010,"P2")+SUMIFS('LAC 102_Wkst'!$AF$7:$AF$2010,'LAC 102_Wkst'!$D$7:$D$2010,$C$7,'LAC 102_Wkst'!$I$7:$I$2010,$C$9,'LAC 102_Wkst'!$E$7:$E$2010,$C42,'LAC 102_Wkst'!$G$7:$G$2010,$D42,'LAC 102_Wkst'!$L$7:$L$2010,"10",'LAC 102_Wkst'!$N$7:$N$2010,"P3")+SUMIFS('LAC 102_Wkst'!$AF$7:$AF$2010,'LAC 102_Wkst'!$D$7:$D$2010,$C$7,'LAC 102_Wkst'!$I$7:$I$2010,$C$9,'LAC 102_Wkst'!$E$7:$E$2010,$C42,'LAC 102_Wkst'!$G$7:$G$2010,$D42,'LAC 102_Wkst'!$L$7:$L$2010,"10",'LAC 102_Wkst'!$N$7:$N$2010,"P4")</f>
        <v>0</v>
      </c>
      <c r="AR42" s="410">
        <f>SUMIFS('LAC 102_Wkst'!$Q$7:$Q$2010,'LAC 102_Wkst'!$D$7:$D$2010,$C$7,'LAC 102_Wkst'!$I$7:$I$2010,$C$9,'LAC 102_Wkst'!$E$7:$E$2010,$C42,'LAC 102_Wkst'!$G$7:$G$2010,$D42,'LAC 102_Wkst'!$L$7:$L$2010,"10",'LAC 102_Wkst'!$N$7:$N$2010,"P5")</f>
        <v>0</v>
      </c>
      <c r="AS42" s="411">
        <f>SUMIFS('LAC 102_Wkst'!$AF$7:$AF$2010,'LAC 102_Wkst'!$D$7:$D$2010,$C$7,'LAC 102_Wkst'!$I$7:$I$2010,$C$9,'LAC 102_Wkst'!$E$7:$E$2010,$C42,'LAC 102_Wkst'!$G$7:$G$2010,$D42,'LAC 102_Wkst'!$L$7:$L$2010,"10",'LAC 102_Wkst'!$N$7:$N$2010,"P5")</f>
        <v>0</v>
      </c>
      <c r="AT42" s="410">
        <f>SUMIFS('LAC 102_Wkst'!$Q$7:$Q$2010,'LAC 102_Wkst'!$D$7:$D$2010,$C$7,'LAC 102_Wkst'!$I$7:$I$2010,$C$9,'LAC 102_Wkst'!$E$7:$E$2010,$C42,'LAC 102_Wkst'!$G$7:$G$2010,$D42,'LAC 102_Wkst'!$L$7:$L$2010,"11",'LAC 102_Wkst'!$N$7:$N$2010,"P1")+SUMIFS('LAC 102_Wkst'!$Q$7:$Q$2010,'LAC 102_Wkst'!$D$7:$D$2010,$C$7,'LAC 102_Wkst'!$I$7:$I$2010,$C$9,'LAC 102_Wkst'!$E$7:$E$2010,$C42,'LAC 102_Wkst'!$G$7:$G$2010,$D42,'LAC 102_Wkst'!$L$7:$L$2010,"12",'LAC 102_Wkst'!$N$7:$N$2010,"P1")</f>
        <v>0</v>
      </c>
      <c r="AU42" s="411">
        <f>SUMIFS('LAC 102_Wkst'!$Q$7:$Q$2010,'LAC 102_Wkst'!$D$7:$D$2010,$C$7,'LAC 102_Wkst'!$I$7:$I$2010,$C$9,'LAC 102_Wkst'!$E$7:$E$2010,$C42,'LAC 102_Wkst'!$G$7:$G$2010,$D42,'LAC 102_Wkst'!$L$7:$L$2010,"13",'LAC 102_Wkst'!$N$7:$N$2010,"P5")</f>
        <v>0</v>
      </c>
      <c r="AV42" s="410">
        <f>SUMIFS('LAC 102_Wkst'!$Q$7:$Q$2010,'LAC 102_Wkst'!$D$7:$D$2010,$C$7,'LAC 102_Wkst'!$I$7:$I$2010,$C$9,'LAC 102_Wkst'!$E$7:$E$2010,$C42,'LAC 102_Wkst'!$G$7:$G$2010,$D42,'LAC 102_Wkst'!$L$7:$L$2010,"11",'LAC 102_Wkst'!$N$7:$N$2010,"P2")+SUMIFS('LAC 102_Wkst'!$Q$7:$Q$2010,'LAC 102_Wkst'!$D$7:$D$2010,$C$7,'LAC 102_Wkst'!$I$7:$I$2010,$C$9,'LAC 102_Wkst'!$E$7:$E$2010,$C42,'LAC 102_Wkst'!$G$7:$G$2010,$D42,'LAC 102_Wkst'!$L$7:$L$2010,"12",'LAC 102_Wkst'!$N$7:$N$2010,"P2")+SUMIFS('LAC 102_Wkst'!$Q$7:$Q$2010,'LAC 102_Wkst'!$D$7:$D$2010,$C$7,'LAC 102_Wkst'!$I$7:$I$2010,$C$9,'LAC 102_Wkst'!$E$7:$E$2010,$C42,'LAC 102_Wkst'!$G$7:$G$2010,$D42,'LAC 102_Wkst'!$L$7:$L$2010,"11",'LAC 102_Wkst'!$N$7:$N$2010,"P3")+SUMIFS('LAC 102_Wkst'!$Q$7:$Q$2010,'LAC 102_Wkst'!$D$7:$D$2010,$C$7,'LAC 102_Wkst'!$I$7:$I$2010,$C$9,'LAC 102_Wkst'!$E$7:$E$2010,$C42,'LAC 102_Wkst'!$G$7:$G$2010,$D42,'LAC 102_Wkst'!$L$7:$L$2010,"12",'LAC 102_Wkst'!$N$7:$N$2010,"P3")</f>
        <v>0</v>
      </c>
      <c r="AW42" s="411">
        <f>SUMIFS('LAC 102_Wkst'!$AF$7:$AF$2010,'LAC 102_Wkst'!$D$7:$D$2010,$C$7,'LAC 102_Wkst'!$I$7:$I$2010,$C$9,'LAC 102_Wkst'!$E$7:$E$2010,$C42,'LAC 102_Wkst'!$G$7:$G$2010,$D42,'LAC 102_Wkst'!$L$7:$L$2010,"11",'LAC 102_Wkst'!$N$7:$N$2010,"P2")+SUMIFS('LAC 102_Wkst'!$AF$7:$AF$2010,'LAC 102_Wkst'!$D$7:$D$2010,$C$7,'LAC 102_Wkst'!$I$7:$I$2010,$C$9,'LAC 102_Wkst'!$E$7:$E$2010,$C42,'LAC 102_Wkst'!$G$7:$G$2010,$D42,'LAC 102_Wkst'!$L$7:$L$2010,"12",'LAC 102_Wkst'!$N$7:$N$2010,"P2")+SUMIFS('LAC 102_Wkst'!$AF$7:$AF$2010,'LAC 102_Wkst'!$D$7:$D$2010,$C$7,'LAC 102_Wkst'!$I$7:$I$2010,$C$9,'LAC 102_Wkst'!$E$7:$E$2010,$C42,'LAC 102_Wkst'!$G$7:$G$2010,$D42,'LAC 102_Wkst'!$L$7:$L$2010,"11",'LAC 102_Wkst'!$N$7:$N$2010,"P3")+SUMIFS('LAC 102_Wkst'!$AF$7:$AF$2010,'LAC 102_Wkst'!$D$7:$D$2010,$C$7,'LAC 102_Wkst'!$I$7:$I$2010,$C$9,'LAC 102_Wkst'!$E$7:$E$2010,$C42,'LAC 102_Wkst'!$G$7:$G$2010,$D42,'LAC 102_Wkst'!$L$7:$L$2010,"12",'LAC 102_Wkst'!$N$7:$N$2010,"P3")</f>
        <v>0</v>
      </c>
      <c r="AX42" s="410">
        <f>SUMIFS('LAC 102_Wkst'!$Q$7:$Q$2010,'LAC 102_Wkst'!$D$7:$D$2010,$C$7,'LAC 102_Wkst'!$I$7:$I$2010,$C$9,'LAC 102_Wkst'!$E$7:$E$2010,$C42,'LAC 102_Wkst'!$G$7:$G$2010,$D42,'LAC 102_Wkst'!$L$7:$L$2010,"11",'LAC 102_Wkst'!$N$7:$N$2010,"P4")+SUMIFS('LAC 102_Wkst'!$Q$7:$Q$2010,'LAC 102_Wkst'!$D$7:$D$2010,$C$7,'LAC 102_Wkst'!$I$7:$I$2010,$C$9,'LAC 102_Wkst'!$E$7:$E$2010,$C42,'LAC 102_Wkst'!$G$7:$G$2010,$D42,'LAC 102_Wkst'!$L$7:$L$2010,"12",'LAC 102_Wkst'!$N$7:$N$2010,"P4")</f>
        <v>0</v>
      </c>
      <c r="AY42" s="411">
        <f>SUMIFS('LAC 102_Wkst'!$AF$7:$AF$2010,'LAC 102_Wkst'!$D$7:$D$2010,$C$7,'LAC 102_Wkst'!$I$7:$I$2010,$C$9,'LAC 102_Wkst'!$E$7:$E$2010,$C42,'LAC 102_Wkst'!$G$7:$G$2010,$D42,'LAC 102_Wkst'!$L$7:$L$2010,"11",'LAC 102_Wkst'!$N$7:$N$2010,"P4")+SUMIFS('LAC 102_Wkst'!$AF$7:$AF$2010,'LAC 102_Wkst'!$D$7:$D$2010,$C$7,'LAC 102_Wkst'!$I$7:$I$2010,$C$9,'LAC 102_Wkst'!$E$7:$E$2010,$C42,'LAC 102_Wkst'!$G$7:$G$2010,$D42,'LAC 102_Wkst'!$L$7:$L$2010,"12",'LAC 102_Wkst'!$N$7:$N$2010,"P4")</f>
        <v>0</v>
      </c>
      <c r="AZ42" s="410">
        <f>SUMIFS('LAC 102_Wkst'!$Q$7:$Q$2010,'LAC 102_Wkst'!$D$7:$D$2010,$C$7,'LAC 102_Wkst'!$I$7:$I$2010,$C$9,'LAC 102_Wkst'!$E$7:$E$2010,$C42,'LAC 102_Wkst'!$G$7:$G$2010,$D42,'LAC 102_Wkst'!$L$7:$L$2010,"11",'LAC 102_Wkst'!$N$7:$N$2010,"P5")+SUMIFS('LAC 102_Wkst'!$Q$7:$Q$2010,'LAC 102_Wkst'!$D$7:$D$2010,$C$7,'LAC 102_Wkst'!$I$7:$I$2010,$C$9,'LAC 102_Wkst'!$E$7:$E$2010,$C42,'LAC 102_Wkst'!$G$7:$G$2010,$D42,'LAC 102_Wkst'!$L$7:$L$2010,"12",'LAC 102_Wkst'!$N$7:$N$2010,"P5")</f>
        <v>0</v>
      </c>
      <c r="BA42" s="411">
        <f>SUMIFS('LAC 102_Wkst'!$AF$7:$AF$2010,'LAC 102_Wkst'!$D$7:$D$2010,$C$7,'LAC 102_Wkst'!$I$7:$I$2010,$C$9,'LAC 102_Wkst'!$E$7:$E$2010,$C42,'LAC 102_Wkst'!$G$7:$G$2010,$D42,'LAC 102_Wkst'!$L$7:$L$2010,"11",'LAC 102_Wkst'!$N$7:$N$2010,"P5")+SUMIFS('LAC 102_Wkst'!$AF$7:$AF$2010,'LAC 102_Wkst'!$D$7:$D$2010,$C$7,'LAC 102_Wkst'!$I$7:$I$2010,$C$9,'LAC 102_Wkst'!$E$7:$E$2010,$C42,'LAC 102_Wkst'!$G$7:$G$2010,$D42,'LAC 102_Wkst'!$L$7:$L$2010,"12",'LAC 102_Wkst'!$N$7:$N$2010,"P5")</f>
        <v>0</v>
      </c>
      <c r="BB42" s="410">
        <f>SUMIFS('LAC 102_Wkst'!$Q$7:$Q$2010,'LAC 102_Wkst'!$D$7:$D$2010,$C$7,'LAC 102_Wkst'!$I$7:$I$2010,$C$9,'LAC 102_Wkst'!$E$7:$E$2010,$C42,'LAC 102_Wkst'!$G$7:$G$2010,$D42,'LAC 102_Wkst'!$L$7:$L$2010,"13",'LAC 102_Wkst'!$N$7:$N$2010,"P1")+SUMIFS('LAC 102_Wkst'!$Q$7:$Q$2010,'LAC 102_Wkst'!$D$7:$D$2010,$C$7,'LAC 102_Wkst'!$I$7:$I$2010,$C$9,'LAC 102_Wkst'!$E$7:$E$2010,$C42,'LAC 102_Wkst'!$G$7:$G$2010,$D42,'LAC 102_Wkst'!$L$7:$L$2010,"13",'LAC 102_Wkst'!$N$7:$N$2010,"P2")+SUMIFS('LAC 102_Wkst'!$Q$7:$Q$2010,'LAC 102_Wkst'!$D$7:$D$2010,$C$7,'LAC 102_Wkst'!$I$7:$I$2010,$C$9,'LAC 102_Wkst'!$E$7:$E$2010,$C42,'LAC 102_Wkst'!$G$7:$G$2010,$D42,'LAC 102_Wkst'!$L$7:$L$2010,"13",'LAC 102_Wkst'!$N$7:$N$2010,"P3")+SUMIFS('LAC 102_Wkst'!$Q$7:$Q$2010,'LAC 102_Wkst'!$D$7:$D$2010,$C$7,'LAC 102_Wkst'!$I$7:$I$2010,$C$9,'LAC 102_Wkst'!$E$7:$E$2010,$C42,'LAC 102_Wkst'!$G$7:$G$2010,$D42,'LAC 102_Wkst'!$L$7:$L$2010,"13",'LAC 102_Wkst'!$N$7:$N$2010,"P4")</f>
        <v>0</v>
      </c>
      <c r="BC42" s="411">
        <f>SUMIFS('LAC 102_Wkst'!$AF$7:$AF$2010,'LAC 102_Wkst'!$D$7:$D$2010,$C$7,'LAC 102_Wkst'!$I$7:$I$2010,$C$9,'LAC 102_Wkst'!$E$7:$E$2010,$C42,'LAC 102_Wkst'!$G$7:$G$2010,$D42,'LAC 102_Wkst'!$L$7:$L$2010,"13",'LAC 102_Wkst'!$N$7:$N$2010,"P1")+SUMIFS('LAC 102_Wkst'!$AF$7:$AF$2010,'LAC 102_Wkst'!$D$7:$D$2010,$C$7,'LAC 102_Wkst'!$I$7:$I$2010,$C$9,'LAC 102_Wkst'!$E$7:$E$2010,$C42,'LAC 102_Wkst'!$G$7:$G$2010,$D42,'LAC 102_Wkst'!$L$7:$L$2010,"13",'LAC 102_Wkst'!$N$7:$N$2010,"P2")+SUMIFS('LAC 102_Wkst'!$AF$7:$AF$2010,'LAC 102_Wkst'!$D$7:$D$2010,$C$7,'LAC 102_Wkst'!$I$7:$I$2010,$C$9,'LAC 102_Wkst'!$E$7:$E$2010,$C42,'LAC 102_Wkst'!$G$7:$G$2010,$D42,'LAC 102_Wkst'!$L$7:$L$2010,"13",'LAC 102_Wkst'!$N$7:$N$2010,"P3")+SUMIFS('LAC 102_Wkst'!$AF$7:$AF$2010,'LAC 102_Wkst'!$D$7:$D$2010,$C$7,'LAC 102_Wkst'!$I$7:$I$2010,$C$9,'LAC 102_Wkst'!$E$7:$E$2010,$C42,'LAC 102_Wkst'!$G$7:$G$2010,$D42,'LAC 102_Wkst'!$L$7:$L$2010,"13",'LAC 102_Wkst'!$N$7:$N$2010,"P4")</f>
        <v>0</v>
      </c>
      <c r="BD42" s="410">
        <f>SUMIFS('LAC 102_Wkst'!$Q$7:$Q$2010,'LAC 102_Wkst'!$D$7:$D$2010,$C$7,'LAC 102_Wkst'!$I$7:$I$2010,$C$9,'LAC 102_Wkst'!$E$7:$E$2010,$C42,'LAC 102_Wkst'!$G$7:$G$2010,$D42,'LAC 102_Wkst'!$L$7:$L$2010,"13",'LAC 102_Wkst'!$N$7:$N$2010,"P5")</f>
        <v>0</v>
      </c>
      <c r="BE42" s="411">
        <f>SUMIFS('LAC 102_Wkst'!$AF$7:$AF$2010,'LAC 102_Wkst'!$D$7:$D$2010,$C$7,'LAC 102_Wkst'!$I$7:$I$2010,$C$9,'LAC 102_Wkst'!$E$7:$E$2010,$C42,'LAC 102_Wkst'!$G$7:$G$2010,$D42,'LAC 102_Wkst'!$L$7:$L$2010,"13",'LAC 102_Wkst'!$N$7:$N$2010,"P5")</f>
        <v>0</v>
      </c>
      <c r="BF42" s="407">
        <f t="shared" si="4"/>
        <v>0</v>
      </c>
      <c r="BG42" s="1654">
        <f>SUMIFS('LAC 102_Wkst'!$AF$7:$AF$2010,'LAC 102_Wkst'!$D$7:$D$2010,$C$7,'LAC 102_Wkst'!$I$7:$I$2010,$C$9,'LAC 102_Wkst'!$E$7:$E$2010,$C42,'LAC 102_Wkst'!$G$7:$G$2010,$D42,'LAC 102_Wkst'!$L$7:$L$2010,"14")</f>
        <v>0</v>
      </c>
    </row>
    <row r="43" spans="1:59" x14ac:dyDescent="0.2">
      <c r="A43" s="401">
        <v>21</v>
      </c>
      <c r="B43" s="1678" t="str">
        <f>IF(Schedule_B!B$40="","",Schedule_B!B$40)</f>
        <v/>
      </c>
      <c r="C43" s="1674" t="str">
        <f>IF(Schedule_B!C$40=""," ",Schedule_B!C$40)</f>
        <v xml:space="preserve"> </v>
      </c>
      <c r="D43" s="1675" t="str">
        <f>IF(Schedule_B!D$40=""," ",Schedule_B!D$40)</f>
        <v xml:space="preserve"> </v>
      </c>
      <c r="E43" s="1221">
        <f>SUMIFS('LAC 102_Wkst'!$Q$7:$Q$2010,'LAC 102_Wkst'!$D$7:$D$2010,$C$7,'LAC 102_Wkst'!$I$7:$I$2010,$C$9,'LAC 102_Wkst'!$E$7:$E$2010,$C43,'LAC 102_Wkst'!$G$7:$G$2010,$D43)</f>
        <v>0</v>
      </c>
      <c r="F43" s="408">
        <f>SUMIFS('LAC 102_Wkst'!$Q$7:$Q$2010,'LAC 102_Wkst'!$D$7:$D$2010,$C$7,'LAC 102_Wkst'!$I$7:$I$2010,$C$9,'LAC 102_Wkst'!$E$7:$E$2010,$C43,'LAC 102_Wkst'!$G$7:$G$2010,$D43,'LAC 102_Wkst'!$L$7:$L$2010,"01",'LAC 102_Wkst'!$N$7:$N$2010,"P1")+SUMIFS('LAC 102_Wkst'!$Q$7:$Q$2010,'LAC 102_Wkst'!$D$7:$D$2010,$C$7,'LAC 102_Wkst'!$I$7:$I$2010,$C$9,'LAC 102_Wkst'!$E$7:$E$2010,$C43,'LAC 102_Wkst'!$G$7:$G$2010,$D43,'LAC 102_Wkst'!$L$7:$L$2010,"01",'LAC 102_Wkst'!$N$7:$N$2010,"P2")+SUMIFS('LAC 102_Wkst'!$Q$7:$Q$2010,'LAC 102_Wkst'!$D$7:$D$2010,$C$7,'LAC 102_Wkst'!$I$7:$I$2010,$C$9,'LAC 102_Wkst'!$E$7:$E$2010,$C43,'LAC 102_Wkst'!$G$7:$G$2010,$D43,'LAC 102_Wkst'!$L$7:$L$2010,"01",'LAC 102_Wkst'!$N$7:$N$2010,"P3")+SUMIFS('LAC 102_Wkst'!$Q$7:$Q$2010,'LAC 102_Wkst'!$D$7:$D$2010,$C$7,'LAC 102_Wkst'!$I$7:$I$2010,$C$9,'LAC 102_Wkst'!$E$7:$E$2010,$C43,'LAC 102_Wkst'!$G$7:$G$2010,$D43,'LAC 102_Wkst'!$L$7:$L$2010,"02",'LAC 102_Wkst'!$N$7:$N$2010,"P1")+SUMIFS('LAC 102_Wkst'!$Q$7:$Q$2010,'LAC 102_Wkst'!$D$7:$D$2010,$C$7,'LAC 102_Wkst'!$I$7:$I$2010,$C$9,'LAC 102_Wkst'!$E$7:$E$2010,$C43,'LAC 102_Wkst'!$G$7:$G$2010,$D43,'LAC 102_Wkst'!$L$7:$L$2010,"02",'LAC 102_Wkst'!$N$7:$N$2010,"P2")+SUMIFS('LAC 102_Wkst'!$Q$7:$Q$2010,'LAC 102_Wkst'!$D$7:$D$2010,$C$7,'LAC 102_Wkst'!$I$7:$I$2010,$C$9,'LAC 102_Wkst'!$E$7:$E$2010,$C43,'LAC 102_Wkst'!$G$7:$G$2010,$D43,'LAC 102_Wkst'!$L$7:$L$2010,"02",'LAC 102_Wkst'!$N$7:$N$2010,"P3")</f>
        <v>0</v>
      </c>
      <c r="G43" s="409">
        <f>SUMIFS('LAC 102_Wkst'!$AF$7:$AF$2010,'LAC 102_Wkst'!$D$7:$D$2010,$C$7,'LAC 102_Wkst'!$I$7:$I$2010,$C$9,'LAC 102_Wkst'!$E$7:$E$2010,$C43,'LAC 102_Wkst'!$G$7:$G$2010,$D43,'LAC 102_Wkst'!$L$7:$L$2010,"01",'LAC 102_Wkst'!$N$7:$N$2010,"P1")+SUMIFS('LAC 102_Wkst'!$AF$7:$AF$2010,'LAC 102_Wkst'!$D$7:$D$2010,$C$7,'LAC 102_Wkst'!$I$7:$I$2010,$C$9,'LAC 102_Wkst'!$E$7:$E$2010,$C43,'LAC 102_Wkst'!$G$7:$G$2010,$D43,'LAC 102_Wkst'!$L$7:$L$2010,"01",'LAC 102_Wkst'!$N$7:$N$2010,"P2")+SUMIFS('LAC 102_Wkst'!$AF$7:$AF$2010,'LAC 102_Wkst'!$D$7:$D$2010,$C$7,'LAC 102_Wkst'!$I$7:$I$2010,$C$9,'LAC 102_Wkst'!$E$7:$E$2010,$C43,'LAC 102_Wkst'!$G$7:$G$2010,$D43,'LAC 102_Wkst'!$L$7:$L$2010,"01",'LAC 102_Wkst'!$N$7:$N$2010,"P3")+SUMIFS('LAC 102_Wkst'!$AF$7:$AF$2010,'LAC 102_Wkst'!$D$7:$D$2010,$C$7,'LAC 102_Wkst'!$I$7:$I$2010,$C$9,'LAC 102_Wkst'!$E$7:$E$2010,$C43,'LAC 102_Wkst'!$G$7:$G$2010,$D43,'LAC 102_Wkst'!$L$7:$L$2010,"02",'LAC 102_Wkst'!$N$7:$N$2010,"P1")+SUMIFS('LAC 102_Wkst'!$AF$7:$AF$2010,'LAC 102_Wkst'!$D$7:$D$2010,$C$7,'LAC 102_Wkst'!$I$7:$I$2010,$C$9,'LAC 102_Wkst'!$E$7:$E$2010,$C43,'LAC 102_Wkst'!$G$7:$G$2010,$D43,'LAC 102_Wkst'!$L$7:$L$2010,"02",'LAC 102_Wkst'!$N$7:$N$2010,"P2")+SUMIFS('LAC 102_Wkst'!$AF$7:$AF$2010,'LAC 102_Wkst'!$D$7:$D$2010,$C$7,'LAC 102_Wkst'!$I$7:$I$2010,$C$9,'LAC 102_Wkst'!$E$7:$E$2010,$C43,'LAC 102_Wkst'!$G$7:$G$2010,$D43,'LAC 102_Wkst'!$L$7:$L$2010,"02",'LAC 102_Wkst'!$N$7:$N$2010,"P3")</f>
        <v>0</v>
      </c>
      <c r="H43" s="410">
        <f>SUMIFS('LAC 102_Wkst'!$Q$7:$Q$2010,'LAC 102_Wkst'!$D$7:$D$2010,$C$7,'LAC 102_Wkst'!$I$7:$I$2010,$C$9,'LAC 102_Wkst'!$E$7:$E$2010,$C43,'LAC 102_Wkst'!$G$7:$G$2010,$D43,'LAC 102_Wkst'!$L$7:$L$2010,"01",'LAC 102_Wkst'!$N$7:$N$2010,"P4")+SUMIFS('LAC 102_Wkst'!$Q$7:$Q$2010,'LAC 102_Wkst'!$D$7:$D$2010,$C$7,'LAC 102_Wkst'!$I$7:$I$2010,$C$9,'LAC 102_Wkst'!$E$7:$E$2010,$C43,'LAC 102_Wkst'!$G$7:$G$2010,$D43,'LAC 102_Wkst'!$L$7:$L$2010,"02",'LAC 102_Wkst'!$N$7:$N$2010,"P4")</f>
        <v>0</v>
      </c>
      <c r="I43" s="411">
        <f>SUMIFS('LAC 102_Wkst'!$AF$7:$AF$2010,'LAC 102_Wkst'!$D$7:$D$2010,$C$7,'LAC 102_Wkst'!$I$7:$I$2010,$C$9,'LAC 102_Wkst'!$E$7:$E$2010,$C43,'LAC 102_Wkst'!$G$7:$G$2010,$D43,'LAC 102_Wkst'!$L$7:$L$2010,"01",'LAC 102_Wkst'!$N$7:$N$2010,"P4")+SUMIFS('LAC 102_Wkst'!$AF$7:$AF$2010,'LAC 102_Wkst'!$D$7:$D$2010,$C$7,'LAC 102_Wkst'!$I$7:$I$2010,$C$9,'LAC 102_Wkst'!$E$7:$E$2010,$C43,'LAC 102_Wkst'!$G$7:$G$2010,$D43,'LAC 102_Wkst'!$L$7:$L$2010,"02",'LAC 102_Wkst'!$N$7:$N$2010,"P4")</f>
        <v>0</v>
      </c>
      <c r="J43" s="410">
        <f>SUMIFS('LAC 102_Wkst'!$Q$7:$Q$2010,'LAC 102_Wkst'!$D$7:$D$2010,$C$7,'LAC 102_Wkst'!$I$7:$I$2010,$C$9,'LAC 102_Wkst'!$E$7:$E$2010,$C43,'LAC 102_Wkst'!$G$7:$G$2010,$D43,'LAC 102_Wkst'!$L$7:$L$2010,"01",'LAC 102_Wkst'!$N$7:$N$2010,"P5")+SUMIFS('LAC 102_Wkst'!$Q$7:$Q$2010,'LAC 102_Wkst'!$D$7:$D$2010,$C$7,'LAC 102_Wkst'!$I$7:$I$2010,$C$9,'LAC 102_Wkst'!$E$7:$E$2010,$C43,'LAC 102_Wkst'!$G$7:$G$2010,$D43,'LAC 102_Wkst'!$L$7:$L$2010,"02",'LAC 102_Wkst'!$N$7:$N$2010,"P5")</f>
        <v>0</v>
      </c>
      <c r="K43" s="411">
        <f>SUMIFS('LAC 102_Wkst'!$AF$7:$AF$2010,'LAC 102_Wkst'!$D$7:$D$2010,$C$7,'LAC 102_Wkst'!$I$7:$I$2010,$C$9,'LAC 102_Wkst'!$E$7:$E$2010,$C43,'LAC 102_Wkst'!$G$7:$G$2010,$D43,'LAC 102_Wkst'!$L$7:$L$2010,"01",'LAC 102_Wkst'!$N$7:$N$2010,"P5")+SUMIFS('LAC 102_Wkst'!$AF$7:$AF$2010,'LAC 102_Wkst'!$D$7:$D$2010,$C$7,'LAC 102_Wkst'!$I$7:$I$2010,$C$9,'LAC 102_Wkst'!$E$7:$E$2010,$C43,'LAC 102_Wkst'!$G$7:$G$2010,$D43,'LAC 102_Wkst'!$L$7:$L$2010,"02",'LAC 102_Wkst'!$N$7:$N$2010,"P5")</f>
        <v>0</v>
      </c>
      <c r="L43" s="410">
        <f>SUMIFS('LAC 102_Wkst'!$Q$7:$Q$2010,'LAC 102_Wkst'!$D$7:$D$2010,$C$7,'LAC 102_Wkst'!$I$7:$I$2010,$C$9,'LAC 102_Wkst'!$E$7:$E$2010,$C43,'LAC 102_Wkst'!$G$7:$G$2010,$D43,'LAC 102_Wkst'!$L$7:$L$2010,"03",'LAC 102_Wkst'!$N$7:$N$2010,"P1")+SUMIFS('LAC 102_Wkst'!$Q$7:$Q$2010,'LAC 102_Wkst'!$D$7:$D$2010,$C$7,'LAC 102_Wkst'!$I$7:$I$2010,$C$9,'LAC 102_Wkst'!$E$7:$E$2010,$C43,'LAC 102_Wkst'!$G$7:$G$2010,$D43,'LAC 102_Wkst'!$L$7:$L$2010,"03",'LAC 102_Wkst'!$N$7:$N$2010,"P2")+SUMIFS('LAC 102_Wkst'!$Q$7:$Q$2010,'LAC 102_Wkst'!$D$7:$D$2010,$C$7,'LAC 102_Wkst'!$I$7:$I$2010,$C$9,'LAC 102_Wkst'!$E$7:$E$2010,$C43,'LAC 102_Wkst'!$G$7:$G$2010,$D43,'LAC 102_Wkst'!$L$7:$L$2010,"03",'LAC 102_Wkst'!$N$7:$N$2010,"P3")+SUMIFS('LAC 102_Wkst'!$Q$7:$Q$2010,'LAC 102_Wkst'!$D$7:$D$2010,$C$7,'LAC 102_Wkst'!$I$7:$I$2010,$C$9,'LAC 102_Wkst'!$E$7:$E$2010,$C43,'LAC 102_Wkst'!$G$7:$G$2010,$D43,'LAC 102_Wkst'!$L$7:$L$2010,"04",'LAC 102_Wkst'!$N$7:$N$2010,"P1")+SUMIFS('LAC 102_Wkst'!$Q$7:$Q$2010,'LAC 102_Wkst'!$D$7:$D$2010,$C$7,'LAC 102_Wkst'!$I$7:$I$2010,$C$9,'LAC 102_Wkst'!$E$7:$E$2010,$C43,'LAC 102_Wkst'!$G$7:$G$2010,$D43,'LAC 102_Wkst'!$L$7:$L$2010,"04",'LAC 102_Wkst'!$N$7:$N$2010,"P2")+SUMIFS('LAC 102_Wkst'!$Q$7:$Q$2010,'LAC 102_Wkst'!$D$7:$D$2010,$C$7,'LAC 102_Wkst'!$I$7:$I$2010,$C$9,'LAC 102_Wkst'!$E$7:$E$2010,$C43,'LAC 102_Wkst'!$G$7:$G$2010,$D43,'LAC 102_Wkst'!$L$7:$L$2010,"04",'LAC 102_Wkst'!$N$7:$N$2010,"P3")</f>
        <v>0</v>
      </c>
      <c r="M43" s="411">
        <f>SUMIFS('LAC 102_Wkst'!$AF$7:$AF$2010,'LAC 102_Wkst'!$D$7:$D$2010,$C$7,'LAC 102_Wkst'!$I$7:$I$2010,$C$9,'LAC 102_Wkst'!$E$7:$E$2010,$C43,'LAC 102_Wkst'!$G$7:$G$2010,$D43,'LAC 102_Wkst'!$L$7:$L$2010,"03",'LAC 102_Wkst'!$N$7:$N$2010,"P1")+SUMIFS('LAC 102_Wkst'!$AF$7:$AF$2010,'LAC 102_Wkst'!$D$7:$D$2010,$C$7,'LAC 102_Wkst'!$I$7:$I$2010,$C$9,'LAC 102_Wkst'!$E$7:$E$2010,$C43,'LAC 102_Wkst'!$G$7:$G$2010,$D43,'LAC 102_Wkst'!$L$7:$L$2010,"03",'LAC 102_Wkst'!$N$7:$N$2010,"P2")+SUMIFS('LAC 102_Wkst'!$AF$7:$AF$2010,'LAC 102_Wkst'!$D$7:$D$2010,$C$7,'LAC 102_Wkst'!$I$7:$I$2010,$C$9,'LAC 102_Wkst'!$E$7:$E$2010,$C43,'LAC 102_Wkst'!$G$7:$G$2010,$D43,'LAC 102_Wkst'!$L$7:$L$2010,"03",'LAC 102_Wkst'!$N$7:$N$2010,"P3")+SUMIFS('LAC 102_Wkst'!$AF$7:$AF$2010,'LAC 102_Wkst'!$D$7:$D$2010,$C$7,'LAC 102_Wkst'!$I$7:$I$2010,$C$9,'LAC 102_Wkst'!$E$7:$E$2010,$C43,'LAC 102_Wkst'!$G$7:$G$2010,$D43,'LAC 102_Wkst'!$L$7:$L$2010,"04",'LAC 102_Wkst'!$N$7:$N$2010,"P1")+SUMIFS('LAC 102_Wkst'!$AF$7:$AF$2010,'LAC 102_Wkst'!$D$7:$D$2010,$C$7,'LAC 102_Wkst'!$I$7:$I$2010,$C$9,'LAC 102_Wkst'!$E$7:$E$2010,$C43,'LAC 102_Wkst'!$G$7:$G$2010,$D43,'LAC 102_Wkst'!$L$7:$L$2010,"04",'LAC 102_Wkst'!$N$7:$N$2010,"P2")+SUMIFS('LAC 102_Wkst'!$AF$7:$AF$2010,'LAC 102_Wkst'!$D$7:$D$2010,$C$7,'LAC 102_Wkst'!$I$7:$I$2010,$C$9,'LAC 102_Wkst'!$E$7:$E$2010,$C43,'LAC 102_Wkst'!$G$7:$G$2010,$D43,'LAC 102_Wkst'!$L$7:$L$2010,"04",'LAC 102_Wkst'!$N$7:$N$2010,"P3")</f>
        <v>0</v>
      </c>
      <c r="N43" s="410">
        <f>SUMIFS('LAC 102_Wkst'!$Q$7:$Q$2010,'LAC 102_Wkst'!$D$7:$D$2010,$C$7,'LAC 102_Wkst'!$I$7:$I$2010,$C$9,'LAC 102_Wkst'!$E$7:$E$2010,$C43,'LAC 102_Wkst'!$G$7:$G$2010,$D43,'LAC 102_Wkst'!$L$7:$L$2010,"03",'LAC 102_Wkst'!$N$7:$N$2010,"P4")+SUMIFS('LAC 102_Wkst'!$Q$7:$Q$2010,'LAC 102_Wkst'!$D$7:$D$2010,$C$7,'LAC 102_Wkst'!$I$7:$I$2010,$C$9,'LAC 102_Wkst'!$E$7:$E$2010,$C43,'LAC 102_Wkst'!$G$7:$G$2010,$D43,'LAC 102_Wkst'!$L$7:$L$2010,"04",'LAC 102_Wkst'!$N$7:$N$2010,"P4")</f>
        <v>0</v>
      </c>
      <c r="O43" s="411">
        <f>SUMIFS('LAC 102_Wkst'!$AF$7:$AF$2010,'LAC 102_Wkst'!$D$7:$D$2010,$C$7,'LAC 102_Wkst'!$I$7:$I$2010,$C$9,'LAC 102_Wkst'!$E$7:$E$2010,$C43,'LAC 102_Wkst'!$G$7:$G$2010,$D43,'LAC 102_Wkst'!$L$7:$L$2010,"03",'LAC 102_Wkst'!$N$7:$N$2010,"P4")+SUMIFS('LAC 102_Wkst'!$AF$7:$AF$2010,'LAC 102_Wkst'!$D$7:$D$2010,$C$7,'LAC 102_Wkst'!$I$7:$I$2010,$C$9,'LAC 102_Wkst'!$E$7:$E$2010,$C43,'LAC 102_Wkst'!$G$7:$G$2010,$D43,'LAC 102_Wkst'!$L$7:$L$2010,"04",'LAC 102_Wkst'!$N$7:$N$2010,"P4")</f>
        <v>0</v>
      </c>
      <c r="P43" s="410">
        <f>SUMIFS('LAC 102_Wkst'!$Q$7:$Q$2010,'LAC 102_Wkst'!$D$7:$D$2010,$C$7,'LAC 102_Wkst'!$I$7:$I$2010,$C$9,'LAC 102_Wkst'!$E$7:$E$2010,$C43,'LAC 102_Wkst'!$G$7:$G$2010,$D43,'LAC 102_Wkst'!$L$7:$L$2010,"03",'LAC 102_Wkst'!$N$7:$N$2010,"P5")+SUMIFS('LAC 102_Wkst'!$Q$7:$Q$2010,'LAC 102_Wkst'!$D$7:$D$2010,$C$7,'LAC 102_Wkst'!$I$7:$I$2010,$C$9,'LAC 102_Wkst'!$E$7:$E$2010,$C43,'LAC 102_Wkst'!$G$7:$G$2010,$D43,'LAC 102_Wkst'!$L$7:$L$2010,"04",'LAC 102_Wkst'!$N$7:$N$2010,"P5")</f>
        <v>0</v>
      </c>
      <c r="Q43" s="411">
        <f>SUMIFS('LAC 102_Wkst'!$AF$7:$AF$2010,'LAC 102_Wkst'!$D$7:$D$2010,$C$7,'LAC 102_Wkst'!$I$7:$I$2010,$C$9,'LAC 102_Wkst'!$E$7:$E$2010,$C43,'LAC 102_Wkst'!$G$7:$G$2010,$D43,'LAC 102_Wkst'!$L$7:$L$2010,"03",'LAC 102_Wkst'!$N$7:$N$2010,"P5")+SUMIFS('LAC 102_Wkst'!$AF$7:$AF$2010,'LAC 102_Wkst'!$D$7:$D$2010,$C$7,'LAC 102_Wkst'!$I$7:$I$2010,$C$9,'LAC 102_Wkst'!$E$7:$E$2010,$C43,'LAC 102_Wkst'!$G$7:$G$2010,$D43,'LAC 102_Wkst'!$L$7:$L$2010,"04",'LAC 102_Wkst'!$N$7:$N$2010,"P5")</f>
        <v>0</v>
      </c>
      <c r="R43" s="412">
        <f>SUMIFS('LAC 102_Wkst'!$Q$7:$Q$2010,'LAC 102_Wkst'!$D$7:$D$2010,$C$7,'LAC 102_Wkst'!$I$7:$I$2010,$C$9,'LAC 102_Wkst'!$E$7:$E$2010,$C43,'LAC 102_Wkst'!$G$7:$G$2010,$D43,'LAC 102_Wkst'!$L$7:$L$2010,"05",'LAC 102_Wkst'!$N$7:$N$2010,"P1")+SUMIFS('LAC 102_Wkst'!$Q$7:$Q$2010,'LAC 102_Wkst'!$D$7:$D$2010,$C$7,'LAC 102_Wkst'!$I$7:$I$2010,$C$9,'LAC 102_Wkst'!$E$7:$E$2010,$C43,'LAC 102_Wkst'!$G$7:$G$2010,$D43,'LAC 102_Wkst'!$L$7:$L$2010,"06",'LAC 102_Wkst'!$N$7:$N$2010,"P1")</f>
        <v>0</v>
      </c>
      <c r="S43" s="411">
        <f>SUMIFS('LAC 102_Wkst'!$AF$7:$AF$2010,'LAC 102_Wkst'!$D$7:$D$2010,$C$7,'LAC 102_Wkst'!$I$7:$I$2010,$C$9,'LAC 102_Wkst'!$E$7:$E$2010,$C43,'LAC 102_Wkst'!$G$7:$G$2010,$D43,'LAC 102_Wkst'!$L$7:$L$2010,"05",'LAC 102_Wkst'!$N$7:$N$2010,"P1")+SUMIFS('LAC 102_Wkst'!$AF$7:$AF$2010,'LAC 102_Wkst'!$D$7:$D$2010,$C$7,'LAC 102_Wkst'!$I$7:$I$2010,$C$9,'LAC 102_Wkst'!$E$7:$E$2010,$C43,'LAC 102_Wkst'!$G$7:$G$2010,$D43,'LAC 102_Wkst'!$L$7:$L$2010,"06",'LAC 102_Wkst'!$N$7:$N$2010,"P1")</f>
        <v>0</v>
      </c>
      <c r="T43" s="410">
        <f>SUMIFS('LAC 102_Wkst'!$Q$7:$Q$2010,'LAC 102_Wkst'!$D$7:$D$2010,$C$7,'LAC 102_Wkst'!$I$7:$I$2010,$C$9,'LAC 102_Wkst'!$E$7:$E$2010,$C43,'LAC 102_Wkst'!$G$7:$G$2010,$D43,'LAC 102_Wkst'!$L$7:$L$2010,"05",'LAC 102_Wkst'!$N$7:$N$2010,"P2")+SUMIFS('LAC 102_Wkst'!$Q$7:$Q$2010,'LAC 102_Wkst'!$D$7:$D$2010,$C$7,'LAC 102_Wkst'!$I$7:$I$2010,$C$9,'LAC 102_Wkst'!$E$7:$E$2010,$C43,'LAC 102_Wkst'!$G$7:$G$2010,$D43,'LAC 102_Wkst'!$L$7:$L$2010,"06",'LAC 102_Wkst'!$N$7:$N$2010,"P2")+SUMIFS('LAC 102_Wkst'!$Q$7:$Q$2010,'LAC 102_Wkst'!$D$7:$D$2010,$C$7,'LAC 102_Wkst'!$I$7:$I$2010,$C$9,'LAC 102_Wkst'!$E$7:$E$2010,$C43,'LAC 102_Wkst'!$G$7:$G$2010,$D43,'LAC 102_Wkst'!$L$7:$L$2010,"05",'LAC 102_Wkst'!$N$7:$N$2010,"P3")+SUMIFS('LAC 102_Wkst'!$Q$7:$Q$2010,'LAC 102_Wkst'!$D$7:$D$2010,$C$7,'LAC 102_Wkst'!$I$7:$I$2010,$C$9,'LAC 102_Wkst'!$E$7:$E$2010,$C43,'LAC 102_Wkst'!$G$7:$G$2010,$D43,'LAC 102_Wkst'!$L$7:$L$2010,"06",'LAC 102_Wkst'!$N$7:$N$2010,"P3")</f>
        <v>0</v>
      </c>
      <c r="U43" s="411">
        <f>SUMIFS('LAC 102_Wkst'!$AF$7:$AF$2010,'LAC 102_Wkst'!$D$7:$D$2010,$C$7,'LAC 102_Wkst'!$I$7:$I$2010,$C$9,'LAC 102_Wkst'!$E$7:$E$2010,$C43,'LAC 102_Wkst'!$G$7:$G$2010,$D43,'LAC 102_Wkst'!$L$7:$L$2010,"05",'LAC 102_Wkst'!$N$7:$N$2010,"P2")+SUMIFS('LAC 102_Wkst'!$AF$7:$AF$2010,'LAC 102_Wkst'!$D$7:$D$2010,$C$7,'LAC 102_Wkst'!$I$7:$I$2010,$C$9,'LAC 102_Wkst'!$E$7:$E$2010,$C43,'LAC 102_Wkst'!$G$7:$G$2010,$D43,'LAC 102_Wkst'!$L$7:$L$2010,"06",'LAC 102_Wkst'!$N$7:$N$2010,"P2")+SUMIFS('LAC 102_Wkst'!$AF$7:$AF$2010,'LAC 102_Wkst'!$D$7:$D$2010,$C$7,'LAC 102_Wkst'!$I$7:$I$2010,$C$9,'LAC 102_Wkst'!$E$7:$E$2010,$C43,'LAC 102_Wkst'!$G$7:$G$2010,$D43,'LAC 102_Wkst'!$L$7:$L$2010,"05",'LAC 102_Wkst'!$N$7:$N$2010,"P3")+SUMIFS('LAC 102_Wkst'!$AF$7:$AF$2010,'LAC 102_Wkst'!$D$7:$D$2010,$C$7,'LAC 102_Wkst'!$I$7:$I$2010,$C$9,'LAC 102_Wkst'!$E$7:$E$2010,$C43,'LAC 102_Wkst'!$G$7:$G$2010,$D43,'LAC 102_Wkst'!$L$7:$L$2010,"06",'LAC 102_Wkst'!$N$7:$N$2010,"P3")</f>
        <v>0</v>
      </c>
      <c r="V43" s="410">
        <f>SUMIFS('LAC 102_Wkst'!$Q$7:$Q$2010,'LAC 102_Wkst'!$D$7:$D$2010,$C$7,'LAC 102_Wkst'!$I$7:$I$2010,$C$9,'LAC 102_Wkst'!$E$7:$E$2010,$C43,'LAC 102_Wkst'!$G$7:$G$2010,$D43,'LAC 102_Wkst'!$L$7:$L$2010,"05",'LAC 102_Wkst'!$N$7:$N$2010,"P4")+SUMIFS('LAC 102_Wkst'!$Q$7:$Q$2010,'LAC 102_Wkst'!$D$7:$D$2010,$C$7,'LAC 102_Wkst'!$I$7:$I$2010,$C$9,'LAC 102_Wkst'!$E$7:$E$2010,$C43,'LAC 102_Wkst'!$G$7:$G$2010,$D43,'LAC 102_Wkst'!$L$7:$L$2010,"06",'LAC 102_Wkst'!$N$7:$N$2010,"P4")</f>
        <v>0</v>
      </c>
      <c r="W43" s="411">
        <f>SUMIFS('LAC 102_Wkst'!$AF$7:$AF$2010,'LAC 102_Wkst'!$D$7:$D$2010,$C$7,'LAC 102_Wkst'!$I$7:$I$2010,$C$9,'LAC 102_Wkst'!$E$7:$E$2010,$C43,'LAC 102_Wkst'!$G$7:$G$2010,$D43,'LAC 102_Wkst'!$L$7:$L$2010,"05",'LAC 102_Wkst'!$N$7:$N$2010,"P4")+SUMIFS('LAC 102_Wkst'!$AF$7:$AF$2010,'LAC 102_Wkst'!$D$7:$D$2010,$C$7,'LAC 102_Wkst'!$I$7:$I$2010,$C$9,'LAC 102_Wkst'!$E$7:$E$2010,$C43,'LAC 102_Wkst'!$G$7:$G$2010,$D43,'LAC 102_Wkst'!$L$7:$L$2010,"06",'LAC 102_Wkst'!$N$7:$N$2010,"P4")</f>
        <v>0</v>
      </c>
      <c r="X43" s="410">
        <f>SUMIFS('LAC 102_Wkst'!$Q$7:$Q$2010,'LAC 102_Wkst'!$D$7:$D$2010,$C$7,'LAC 102_Wkst'!$I$7:$I$2010,$C$9,'LAC 102_Wkst'!$E$7:$E$2010,$C43,'LAC 102_Wkst'!$G$7:$G$2010,$D43,'LAC 102_Wkst'!$L$7:$L$2010,"05",'LAC 102_Wkst'!$N$7:$N$2010,"P5")+SUMIFS('LAC 102_Wkst'!$Q$7:$Q$2010,'LAC 102_Wkst'!$D$7:$D$2010,$C$7,'LAC 102_Wkst'!$I$7:$I$2010,$C$9,'LAC 102_Wkst'!$E$7:$E$2010,$C43,'LAC 102_Wkst'!$G$7:$G$2010,$D43,'LAC 102_Wkst'!$L$7:$L$2010,"06",'LAC 102_Wkst'!$N$7:$N$2010,"P5")</f>
        <v>0</v>
      </c>
      <c r="Y43" s="411">
        <f>SUMIFS('LAC 102_Wkst'!$AF$7:$AF$2010,'LAC 102_Wkst'!$D$7:$D$2010,$C$7,'LAC 102_Wkst'!$I$7:$I$2010,$C$9,'LAC 102_Wkst'!$E$7:$E$2010,$C43,'LAC 102_Wkst'!$G$7:$G$2010,$D43,'LAC 102_Wkst'!$L$7:$L$2010,"05",'LAC 102_Wkst'!$N$7:$N$2010,"P5")+SUMIFS('LAC 102_Wkst'!$AF$7:$AF$2010,'LAC 102_Wkst'!$D$7:$D$2010,$C$7,'LAC 102_Wkst'!$I$7:$I$2010,$C$9,'LAC 102_Wkst'!$E$7:$E$2010,$C43,'LAC 102_Wkst'!$G$7:$G$2010,$D43,'LAC 102_Wkst'!$L$7:$L$2010,"06",'LAC 102_Wkst'!$N$7:$N$2010,"P5")</f>
        <v>0</v>
      </c>
      <c r="Z43" s="410">
        <f>SUMIFS('LAC 102_Wkst'!$Q$7:$Q$2010,'LAC 102_Wkst'!$D$7:$D$2010,$C$7,'LAC 102_Wkst'!$I$7:$I$2010,$C$9,'LAC 102_Wkst'!$E$7:$E$2010,$C43,'LAC 102_Wkst'!$G$7:$G$2010,$D43,'LAC 102_Wkst'!$L$7:$L$2010,"07",'LAC 102_Wkst'!$N$7:$N$2010,"P1")+SUMIFS('LAC 102_Wkst'!$Q$7:$Q$2010,'LAC 102_Wkst'!$D$7:$D$2010,$C$7,'LAC 102_Wkst'!$I$7:$I$2010,$C$9,'LAC 102_Wkst'!$E$7:$E$2010,$C43,'LAC 102_Wkst'!$G$7:$G$2010,$D43,'LAC 102_Wkst'!$L$7:$L$2010,"07",'LAC 102_Wkst'!$N$7:$N$2010,"P2")+SUMIFS('LAC 102_Wkst'!$Q$7:$Q$2010,'LAC 102_Wkst'!$D$7:$D$2010,$C$7,'LAC 102_Wkst'!$I$7:$I$2010,$C$9,'LAC 102_Wkst'!$E$7:$E$2010,$C43,'LAC 102_Wkst'!$G$7:$G$2010,$D43,'LAC 102_Wkst'!$L$7:$L$2010,"07",'LAC 102_Wkst'!$N$7:$N$2010,"P3")</f>
        <v>0</v>
      </c>
      <c r="AA43" s="411">
        <f>SUMIFS('LAC 102_Wkst'!$AF$7:$AF$2010,'LAC 102_Wkst'!$D$7:$D$2010,$C$7,'LAC 102_Wkst'!$I$7:$I$2010,$C$9,'LAC 102_Wkst'!$E$7:$E$2010,$C43,'LAC 102_Wkst'!$G$7:$G$2010,$D43,'LAC 102_Wkst'!$L$7:$L$2010,"07",'LAC 102_Wkst'!$N$7:$N$2010,"P1")+SUMIFS('LAC 102_Wkst'!$AF$7:$AF$2010,'LAC 102_Wkst'!$D$7:$D$2010,$C$7,'LAC 102_Wkst'!$I$7:$I$2010,$C$9,'LAC 102_Wkst'!$E$7:$E$2010,$C43,'LAC 102_Wkst'!$G$7:$G$2010,$D43,'LAC 102_Wkst'!$L$7:$L$2010,"07",'LAC 102_Wkst'!$N$7:$N$2010,"P2")+SUMIFS('LAC 102_Wkst'!$AF$7:$AF$2010,'LAC 102_Wkst'!$D$7:$D$2010,$C$7,'LAC 102_Wkst'!$I$7:$I$2010,$C$9,'LAC 102_Wkst'!$E$7:$E$2010,$C43,'LAC 102_Wkst'!$G$7:$G$2010,$D43,'LAC 102_Wkst'!$L$7:$L$2010,"07",'LAC 102_Wkst'!$N$7:$N$2010,"P3")</f>
        <v>0</v>
      </c>
      <c r="AB43" s="410">
        <f>SUMIFS('LAC 102_Wkst'!$Q$7:$Q$2010,'LAC 102_Wkst'!$D$7:$D$2010,$C$7,'LAC 102_Wkst'!$I$7:$I$2010,$C$9,'LAC 102_Wkst'!$E$7:$E$2010,$C43,'LAC 102_Wkst'!$G$7:$G$2010,$D43,'LAC 102_Wkst'!$L$7:$L$2010,"07",'LAC 102_Wkst'!$N$7:$N$2010,"P4")</f>
        <v>0</v>
      </c>
      <c r="AC43" s="411">
        <f>SUMIFS('LAC 102_Wkst'!$AF$7:$AF$2010,'LAC 102_Wkst'!$D$7:$D$2010,$C$7,'LAC 102_Wkst'!$I$7:$I$2010,$C$9,'LAC 102_Wkst'!$E$7:$E$2010,$C43,'LAC 102_Wkst'!$G$7:$G$2010,$D43,'LAC 102_Wkst'!$L$7:$L$2010,"07",'LAC 102_Wkst'!$N$7:$N$2010,"P4")</f>
        <v>0</v>
      </c>
      <c r="AD43" s="410">
        <f>SUMIFS('LAC 102_Wkst'!$Q$7:$Q$2010,'LAC 102_Wkst'!$D$7:$D$2010,$C$7,'LAC 102_Wkst'!$I$7:$I$2010,$C$9,'LAC 102_Wkst'!$E$7:$E$2010,$C43,'LAC 102_Wkst'!$G$7:$G$2010,$D43,'LAC 102_Wkst'!$L$7:$L$2010,"07",'LAC 102_Wkst'!$N$7:$N$2010,"P5")</f>
        <v>0</v>
      </c>
      <c r="AE43" s="411">
        <f>SUMIFS('LAC 102_Wkst'!$AF$7:$AF$2010,'LAC 102_Wkst'!$D$7:$D$2010,$C$7,'LAC 102_Wkst'!$I$7:$I$2010,$C$9,'LAC 102_Wkst'!$E$7:$E$2010,$C43,'LAC 102_Wkst'!$G$7:$G$2010,$D43,'LAC 102_Wkst'!$L$7:$L$2010,"07",'LAC 102_Wkst'!$N$7:$N$2010,"P5")</f>
        <v>0</v>
      </c>
      <c r="AF43" s="410">
        <f>SUMIFS('LAC 102_Wkst'!$Q$7:$Q$2010,'LAC 102_Wkst'!$D$7:$D$2010,$C$7,'LAC 102_Wkst'!$I$7:$I$2010,$C$9,'LAC 102_Wkst'!$E$7:$E$2010,$C43,'LAC 102_Wkst'!$G$7:$G$2010,$D43,'LAC 102_Wkst'!$L$7:$L$2010,"08",'LAC 102_Wkst'!$N$7:$N$2010,"P1")+SUMIFS('LAC 102_Wkst'!$Q$7:$Q$2010,'LAC 102_Wkst'!$D$7:$D$2010,$C$7,'LAC 102_Wkst'!$I$7:$I$2010,$C$9,'LAC 102_Wkst'!$E$7:$E$2010,$C43,'LAC 102_Wkst'!$G$7:$G$2010,$D43,'LAC 102_Wkst'!$L$7:$L$2010,"08",'LAC 102_Wkst'!$N$7:$N$2010,"P2")+SUMIFS('LAC 102_Wkst'!$Q$7:$Q$2010,'LAC 102_Wkst'!$D$7:$D$2010,$C$7,'LAC 102_Wkst'!$I$7:$I$2010,$C$9,'LAC 102_Wkst'!$E$7:$E$2010,$C43,'LAC 102_Wkst'!$G$7:$G$2010,$D43,'LAC 102_Wkst'!$L$7:$L$2010,"08",'LAC 102_Wkst'!$N$7:$N$2010,"P3")</f>
        <v>0</v>
      </c>
      <c r="AG43" s="411">
        <f>SUMIFS('LAC 102_Wkst'!$AF$7:$AF$2010,'LAC 102_Wkst'!$D$7:$D$2010,$C$7,'LAC 102_Wkst'!$I$7:$I$2010,$C$9,'LAC 102_Wkst'!$E$7:$E$2010,$C43,'LAC 102_Wkst'!$G$7:$G$2010,$D43,'LAC 102_Wkst'!$L$7:$L$2010,"08",'LAC 102_Wkst'!$N$7:$N$2010,"P1")+SUMIFS('LAC 102_Wkst'!$AF$7:$AF$2010,'LAC 102_Wkst'!$D$7:$D$2010,$C$7,'LAC 102_Wkst'!$I$7:$I$2010,$C$9,'LAC 102_Wkst'!$E$7:$E$2010,$C43,'LAC 102_Wkst'!$G$7:$G$2010,$D43,'LAC 102_Wkst'!$L$7:$L$2010,"08",'LAC 102_Wkst'!$N$7:$N$2010,"P2")+SUMIFS('LAC 102_Wkst'!$AF$7:$AF$2010,'LAC 102_Wkst'!$D$7:$D$2010,$C$7,'LAC 102_Wkst'!$I$7:$I$2010,$C$9,'LAC 102_Wkst'!$E$7:$E$2010,$C43,'LAC 102_Wkst'!$G$7:$G$2010,$D43,'LAC 102_Wkst'!$L$7:$L$2010,"08",'LAC 102_Wkst'!$N$7:$N$2010,"P3")</f>
        <v>0</v>
      </c>
      <c r="AH43" s="410">
        <f>SUMIFS('LAC 102_Wkst'!$Q$7:$Q$2010,'LAC 102_Wkst'!$D$7:$D$2010,$C$7,'LAC 102_Wkst'!$I$7:$I$2010,$C$9,'LAC 102_Wkst'!$E$7:$E$2010,$C43,'LAC 102_Wkst'!$G$7:$G$2010,$D43,'LAC 102_Wkst'!$L$7:$L$2010,"08",'LAC 102_Wkst'!$N$7:$N$2010,"P4")</f>
        <v>0</v>
      </c>
      <c r="AI43" s="411">
        <f>SUMIFS('LAC 102_Wkst'!$AF$7:$AF$2010,'LAC 102_Wkst'!$D$7:$D$2010,$C$7,'LAC 102_Wkst'!$I$7:$I$2010,$C$9,'LAC 102_Wkst'!$E$7:$E$2010,$C43,'LAC 102_Wkst'!$G$7:$G$2010,$D43,'LAC 102_Wkst'!$L$7:$L$2010,"08",'LAC 102_Wkst'!$N$7:$N$2010,"P4")</f>
        <v>0</v>
      </c>
      <c r="AJ43" s="410">
        <f>SUMIFS('LAC 102_Wkst'!$Q$7:$Q$2010,'LAC 102_Wkst'!$D$7:$D$2010,$C$7,'LAC 102_Wkst'!$I$7:$I$2010,$C$9,'LAC 102_Wkst'!$E$7:$E$2010,$C43,'LAC 102_Wkst'!$G$7:$G$2010,$D43,'LAC 102_Wkst'!$L$7:$L$2010,"08",'LAC 102_Wkst'!$N$7:$N$2010,"P5")</f>
        <v>0</v>
      </c>
      <c r="AK43" s="411">
        <f>SUMIFS('LAC 102_Wkst'!$AF$7:$AF$2010,'LAC 102_Wkst'!$D$7:$D$2010,$C$7,'LAC 102_Wkst'!$I$7:$I$2010,$C$9,'LAC 102_Wkst'!$E$7:$E$2010,$C43,'LAC 102_Wkst'!$G$7:$G$2010,$D43,'LAC 102_Wkst'!$L$7:$L$2010,"08",'LAC 102_Wkst'!$N$7:$N$2010,"P5")</f>
        <v>0</v>
      </c>
      <c r="AL43" s="410">
        <f>SUMIFS('LAC 102_Wkst'!$Q$7:$Q$2010,'LAC 102_Wkst'!$D$7:$D$2010,$C$7,'LAC 102_Wkst'!$I$7:$I$2010,$C$9,'LAC 102_Wkst'!$E$7:$E$2010,$C43,'LAC 102_Wkst'!$G$7:$G$2010,$D43,'LAC 102_Wkst'!$L$7:$L$2010,"09",'LAC 102_Wkst'!$N$7:$N$2010,"P1")+SUMIFS('LAC 102_Wkst'!$Q$7:$Q$2010,'LAC 102_Wkst'!$D$7:$D$2010,$C$7,'LAC 102_Wkst'!$I$7:$I$2010,$C$9,'LAC 102_Wkst'!$E$7:$E$2010,$C43,'LAC 102_Wkst'!$G$7:$G$2010,$D43,'LAC 102_Wkst'!$L$7:$L$2010,"09",'LAC 102_Wkst'!$N$7:$N$2010,"P2")+SUMIFS('LAC 102_Wkst'!$Q$7:$Q$2010,'LAC 102_Wkst'!$D$7:$D$2010,$C$7,'LAC 102_Wkst'!$I$7:$I$2010,$C$9,'LAC 102_Wkst'!$E$7:$E$2010,$C43,'LAC 102_Wkst'!$G$7:$G$2010,$D43,'LAC 102_Wkst'!$L$7:$L$2010,"09",'LAC 102_Wkst'!$N$7:$N$2010,"P3")+SUMIFS('LAC 102_Wkst'!$Q$7:$Q$2010,'LAC 102_Wkst'!$D$7:$D$2010,$C$7,'LAC 102_Wkst'!$I$7:$I$2010,$C$9,'LAC 102_Wkst'!$E$7:$E$2010,$C43,'LAC 102_Wkst'!$G$7:$G$2010,$D43,'LAC 102_Wkst'!$L$7:$L$2010,"09",'LAC 102_Wkst'!$N$7:$N$2010,"P4")</f>
        <v>0</v>
      </c>
      <c r="AM43" s="411">
        <f>SUMIFS('LAC 102_Wkst'!$AF$7:$AF$2010,'LAC 102_Wkst'!$D$7:$D$2010,$C$7,'LAC 102_Wkst'!$I$7:$I$2010,$C$9,'LAC 102_Wkst'!$E$7:$E$2010,$C43,'LAC 102_Wkst'!$G$7:$G$2010,$D43,'LAC 102_Wkst'!$L$7:$L$2010,"09",'LAC 102_Wkst'!$N$7:$N$2010,"P1")+SUMIFS('LAC 102_Wkst'!$AF$7:$AF$2010,'LAC 102_Wkst'!$D$7:$D$2010,$C$7,'LAC 102_Wkst'!$I$7:$I$2010,$C$9,'LAC 102_Wkst'!$E$7:$E$2010,$C43,'LAC 102_Wkst'!$G$7:$G$2010,$D43,'LAC 102_Wkst'!$L$7:$L$2010,"09",'LAC 102_Wkst'!$N$7:$N$2010,"P2")+SUMIFS('LAC 102_Wkst'!$AF$7:$AF$2010,'LAC 102_Wkst'!$D$7:$D$2010,$C$7,'LAC 102_Wkst'!$I$7:$I$2010,$C$9,'LAC 102_Wkst'!$E$7:$E$2010,$C43,'LAC 102_Wkst'!$G$7:$G$2010,$D43,'LAC 102_Wkst'!$L$7:$L$2010,"09",'LAC 102_Wkst'!$N$7:$N$2010,"P3")+SUMIFS('LAC 102_Wkst'!$AF$7:$AF$2010,'LAC 102_Wkst'!$D$7:$D$2010,$C$7,'LAC 102_Wkst'!$I$7:$I$2010,$C$9,'LAC 102_Wkst'!$E$7:$E$2010,$C43,'LAC 102_Wkst'!$G$7:$G$2010,$D43,'LAC 102_Wkst'!$L$7:$L$2010,"09",'LAC 102_Wkst'!$N$7:$N$2010,"P4")</f>
        <v>0</v>
      </c>
      <c r="AN43" s="410">
        <f>SUMIFS('LAC 102_Wkst'!$Q$7:$Q$2010,'LAC 102_Wkst'!$D$7:$D$2010,$C$7,'LAC 102_Wkst'!$I$7:$I$2010,$C$9,'LAC 102_Wkst'!$E$7:$E$2010,$C43,'LAC 102_Wkst'!$G$7:$G$2010,$D43,'LAC 102_Wkst'!$L$7:$L$2010,"09",'LAC 102_Wkst'!$N$7:$N$2010,"P5")</f>
        <v>0</v>
      </c>
      <c r="AO43" s="411">
        <f>SUMIFS('LAC 102_Wkst'!$AF$7:$AF$2010,'LAC 102_Wkst'!$D$7:$D$2010,$C$7,'LAC 102_Wkst'!$I$7:$I$2010,$C$9,'LAC 102_Wkst'!$E$7:$E$2010,$C43,'LAC 102_Wkst'!$G$7:$G$2010,$D43,'LAC 102_Wkst'!$L$7:$L$2010,"09",'LAC 102_Wkst'!$N$7:$N$2010,"P5")</f>
        <v>0</v>
      </c>
      <c r="AP43" s="410">
        <f>SUMIFS('LAC 102_Wkst'!$Q$7:$Q$2010,'LAC 102_Wkst'!$D$7:$D$2010,$C$7,'LAC 102_Wkst'!$I$7:$I$2010,$C$9,'LAC 102_Wkst'!$E$7:$E$2010,$C43,'LAC 102_Wkst'!$G$7:$G$2010,$D43,'LAC 102_Wkst'!$L$7:$L$2010,"10",'LAC 102_Wkst'!$N$7:$N$2010,"P1")+SUMIFS('LAC 102_Wkst'!$Q$7:$Q$2010,'LAC 102_Wkst'!$D$7:$D$2010,$C$7,'LAC 102_Wkst'!$I$7:$I$2010,$C$9,'LAC 102_Wkst'!$E$7:$E$2010,$C43,'LAC 102_Wkst'!$G$7:$G$2010,$D43,'LAC 102_Wkst'!$L$7:$L$2010,"10",'LAC 102_Wkst'!$N$7:$N$2010,"P2")+SUMIFS('LAC 102_Wkst'!$Q$7:$Q$2010,'LAC 102_Wkst'!$D$7:$D$2010,$C$7,'LAC 102_Wkst'!$I$7:$I$2010,$C$9,'LAC 102_Wkst'!$E$7:$E$2010,$C43,'LAC 102_Wkst'!$G$7:$G$2010,$D43,'LAC 102_Wkst'!$L$7:$L$2010,"10",'LAC 102_Wkst'!$N$7:$N$2010,"P3")+SUMIFS('LAC 102_Wkst'!$Q$7:$Q$2010,'LAC 102_Wkst'!$D$7:$D$2010,$C$7,'LAC 102_Wkst'!$I$7:$I$2010,$C$9,'LAC 102_Wkst'!$E$7:$E$2010,$C43,'LAC 102_Wkst'!$G$7:$G$2010,$D43,'LAC 102_Wkst'!$L$7:$L$2010,"10",'LAC 102_Wkst'!$N$7:$N$2010,"P4")</f>
        <v>0</v>
      </c>
      <c r="AQ43" s="411">
        <f>SUMIFS('LAC 102_Wkst'!$AF$7:$AF$2010,'LAC 102_Wkst'!$D$7:$D$2010,$C$7,'LAC 102_Wkst'!$I$7:$I$2010,$C$9,'LAC 102_Wkst'!$E$7:$E$2010,$C43,'LAC 102_Wkst'!$G$7:$G$2010,$D43,'LAC 102_Wkst'!$L$7:$L$2010,"10",'LAC 102_Wkst'!$N$7:$N$2010,"P1")+SUMIFS('LAC 102_Wkst'!$AF$7:$AF$2010,'LAC 102_Wkst'!$D$7:$D$2010,$C$7,'LAC 102_Wkst'!$I$7:$I$2010,$C$9,'LAC 102_Wkst'!$E$7:$E$2010,$C43,'LAC 102_Wkst'!$G$7:$G$2010,$D43,'LAC 102_Wkst'!$L$7:$L$2010,"10",'LAC 102_Wkst'!$N$7:$N$2010,"P2")+SUMIFS('LAC 102_Wkst'!$AF$7:$AF$2010,'LAC 102_Wkst'!$D$7:$D$2010,$C$7,'LAC 102_Wkst'!$I$7:$I$2010,$C$9,'LAC 102_Wkst'!$E$7:$E$2010,$C43,'LAC 102_Wkst'!$G$7:$G$2010,$D43,'LAC 102_Wkst'!$L$7:$L$2010,"10",'LAC 102_Wkst'!$N$7:$N$2010,"P3")+SUMIFS('LAC 102_Wkst'!$AF$7:$AF$2010,'LAC 102_Wkst'!$D$7:$D$2010,$C$7,'LAC 102_Wkst'!$I$7:$I$2010,$C$9,'LAC 102_Wkst'!$E$7:$E$2010,$C43,'LAC 102_Wkst'!$G$7:$G$2010,$D43,'LAC 102_Wkst'!$L$7:$L$2010,"10",'LAC 102_Wkst'!$N$7:$N$2010,"P4")</f>
        <v>0</v>
      </c>
      <c r="AR43" s="410">
        <f>SUMIFS('LAC 102_Wkst'!$Q$7:$Q$2010,'LAC 102_Wkst'!$D$7:$D$2010,$C$7,'LAC 102_Wkst'!$I$7:$I$2010,$C$9,'LAC 102_Wkst'!$E$7:$E$2010,$C43,'LAC 102_Wkst'!$G$7:$G$2010,$D43,'LAC 102_Wkst'!$L$7:$L$2010,"10",'LAC 102_Wkst'!$N$7:$N$2010,"P5")</f>
        <v>0</v>
      </c>
      <c r="AS43" s="411">
        <f>SUMIFS('LAC 102_Wkst'!$AF$7:$AF$2010,'LAC 102_Wkst'!$D$7:$D$2010,$C$7,'LAC 102_Wkst'!$I$7:$I$2010,$C$9,'LAC 102_Wkst'!$E$7:$E$2010,$C43,'LAC 102_Wkst'!$G$7:$G$2010,$D43,'LAC 102_Wkst'!$L$7:$L$2010,"10",'LAC 102_Wkst'!$N$7:$N$2010,"P5")</f>
        <v>0</v>
      </c>
      <c r="AT43" s="410">
        <f>SUMIFS('LAC 102_Wkst'!$Q$7:$Q$2010,'LAC 102_Wkst'!$D$7:$D$2010,$C$7,'LAC 102_Wkst'!$I$7:$I$2010,$C$9,'LAC 102_Wkst'!$E$7:$E$2010,$C43,'LAC 102_Wkst'!$G$7:$G$2010,$D43,'LAC 102_Wkst'!$L$7:$L$2010,"11",'LAC 102_Wkst'!$N$7:$N$2010,"P1")+SUMIFS('LAC 102_Wkst'!$Q$7:$Q$2010,'LAC 102_Wkst'!$D$7:$D$2010,$C$7,'LAC 102_Wkst'!$I$7:$I$2010,$C$9,'LAC 102_Wkst'!$E$7:$E$2010,$C43,'LAC 102_Wkst'!$G$7:$G$2010,$D43,'LAC 102_Wkst'!$L$7:$L$2010,"12",'LAC 102_Wkst'!$N$7:$N$2010,"P1")</f>
        <v>0</v>
      </c>
      <c r="AU43" s="411">
        <f>SUMIFS('LAC 102_Wkst'!$Q$7:$Q$2010,'LAC 102_Wkst'!$D$7:$D$2010,$C$7,'LAC 102_Wkst'!$I$7:$I$2010,$C$9,'LAC 102_Wkst'!$E$7:$E$2010,$C43,'LAC 102_Wkst'!$G$7:$G$2010,$D43,'LAC 102_Wkst'!$L$7:$L$2010,"13",'LAC 102_Wkst'!$N$7:$N$2010,"P5")</f>
        <v>0</v>
      </c>
      <c r="AV43" s="410">
        <f>SUMIFS('LAC 102_Wkst'!$Q$7:$Q$2010,'LAC 102_Wkst'!$D$7:$D$2010,$C$7,'LAC 102_Wkst'!$I$7:$I$2010,$C$9,'LAC 102_Wkst'!$E$7:$E$2010,$C43,'LAC 102_Wkst'!$G$7:$G$2010,$D43,'LAC 102_Wkst'!$L$7:$L$2010,"11",'LAC 102_Wkst'!$N$7:$N$2010,"P2")+SUMIFS('LAC 102_Wkst'!$Q$7:$Q$2010,'LAC 102_Wkst'!$D$7:$D$2010,$C$7,'LAC 102_Wkst'!$I$7:$I$2010,$C$9,'LAC 102_Wkst'!$E$7:$E$2010,$C43,'LAC 102_Wkst'!$G$7:$G$2010,$D43,'LAC 102_Wkst'!$L$7:$L$2010,"12",'LAC 102_Wkst'!$N$7:$N$2010,"P2")+SUMIFS('LAC 102_Wkst'!$Q$7:$Q$2010,'LAC 102_Wkst'!$D$7:$D$2010,$C$7,'LAC 102_Wkst'!$I$7:$I$2010,$C$9,'LAC 102_Wkst'!$E$7:$E$2010,$C43,'LAC 102_Wkst'!$G$7:$G$2010,$D43,'LAC 102_Wkst'!$L$7:$L$2010,"11",'LAC 102_Wkst'!$N$7:$N$2010,"P3")+SUMIFS('LAC 102_Wkst'!$Q$7:$Q$2010,'LAC 102_Wkst'!$D$7:$D$2010,$C$7,'LAC 102_Wkst'!$I$7:$I$2010,$C$9,'LAC 102_Wkst'!$E$7:$E$2010,$C43,'LAC 102_Wkst'!$G$7:$G$2010,$D43,'LAC 102_Wkst'!$L$7:$L$2010,"12",'LAC 102_Wkst'!$N$7:$N$2010,"P3")</f>
        <v>0</v>
      </c>
      <c r="AW43" s="411">
        <f>SUMIFS('LAC 102_Wkst'!$AF$7:$AF$2010,'LAC 102_Wkst'!$D$7:$D$2010,$C$7,'LAC 102_Wkst'!$I$7:$I$2010,$C$9,'LAC 102_Wkst'!$E$7:$E$2010,$C43,'LAC 102_Wkst'!$G$7:$G$2010,$D43,'LAC 102_Wkst'!$L$7:$L$2010,"11",'LAC 102_Wkst'!$N$7:$N$2010,"P2")+SUMIFS('LAC 102_Wkst'!$AF$7:$AF$2010,'LAC 102_Wkst'!$D$7:$D$2010,$C$7,'LAC 102_Wkst'!$I$7:$I$2010,$C$9,'LAC 102_Wkst'!$E$7:$E$2010,$C43,'LAC 102_Wkst'!$G$7:$G$2010,$D43,'LAC 102_Wkst'!$L$7:$L$2010,"12",'LAC 102_Wkst'!$N$7:$N$2010,"P2")+SUMIFS('LAC 102_Wkst'!$AF$7:$AF$2010,'LAC 102_Wkst'!$D$7:$D$2010,$C$7,'LAC 102_Wkst'!$I$7:$I$2010,$C$9,'LAC 102_Wkst'!$E$7:$E$2010,$C43,'LAC 102_Wkst'!$G$7:$G$2010,$D43,'LAC 102_Wkst'!$L$7:$L$2010,"11",'LAC 102_Wkst'!$N$7:$N$2010,"P3")+SUMIFS('LAC 102_Wkst'!$AF$7:$AF$2010,'LAC 102_Wkst'!$D$7:$D$2010,$C$7,'LAC 102_Wkst'!$I$7:$I$2010,$C$9,'LAC 102_Wkst'!$E$7:$E$2010,$C43,'LAC 102_Wkst'!$G$7:$G$2010,$D43,'LAC 102_Wkst'!$L$7:$L$2010,"12",'LAC 102_Wkst'!$N$7:$N$2010,"P3")</f>
        <v>0</v>
      </c>
      <c r="AX43" s="410">
        <f>SUMIFS('LAC 102_Wkst'!$Q$7:$Q$2010,'LAC 102_Wkst'!$D$7:$D$2010,$C$7,'LAC 102_Wkst'!$I$7:$I$2010,$C$9,'LAC 102_Wkst'!$E$7:$E$2010,$C43,'LAC 102_Wkst'!$G$7:$G$2010,$D43,'LAC 102_Wkst'!$L$7:$L$2010,"11",'LAC 102_Wkst'!$N$7:$N$2010,"P4")+SUMIFS('LAC 102_Wkst'!$Q$7:$Q$2010,'LAC 102_Wkst'!$D$7:$D$2010,$C$7,'LAC 102_Wkst'!$I$7:$I$2010,$C$9,'LAC 102_Wkst'!$E$7:$E$2010,$C43,'LAC 102_Wkst'!$G$7:$G$2010,$D43,'LAC 102_Wkst'!$L$7:$L$2010,"12",'LAC 102_Wkst'!$N$7:$N$2010,"P4")</f>
        <v>0</v>
      </c>
      <c r="AY43" s="411">
        <f>SUMIFS('LAC 102_Wkst'!$AF$7:$AF$2010,'LAC 102_Wkst'!$D$7:$D$2010,$C$7,'LAC 102_Wkst'!$I$7:$I$2010,$C$9,'LAC 102_Wkst'!$E$7:$E$2010,$C43,'LAC 102_Wkst'!$G$7:$G$2010,$D43,'LAC 102_Wkst'!$L$7:$L$2010,"11",'LAC 102_Wkst'!$N$7:$N$2010,"P4")+SUMIFS('LAC 102_Wkst'!$AF$7:$AF$2010,'LAC 102_Wkst'!$D$7:$D$2010,$C$7,'LAC 102_Wkst'!$I$7:$I$2010,$C$9,'LAC 102_Wkst'!$E$7:$E$2010,$C43,'LAC 102_Wkst'!$G$7:$G$2010,$D43,'LAC 102_Wkst'!$L$7:$L$2010,"12",'LAC 102_Wkst'!$N$7:$N$2010,"P4")</f>
        <v>0</v>
      </c>
      <c r="AZ43" s="410">
        <f>SUMIFS('LAC 102_Wkst'!$Q$7:$Q$2010,'LAC 102_Wkst'!$D$7:$D$2010,$C$7,'LAC 102_Wkst'!$I$7:$I$2010,$C$9,'LAC 102_Wkst'!$E$7:$E$2010,$C43,'LAC 102_Wkst'!$G$7:$G$2010,$D43,'LAC 102_Wkst'!$L$7:$L$2010,"11",'LAC 102_Wkst'!$N$7:$N$2010,"P5")+SUMIFS('LAC 102_Wkst'!$Q$7:$Q$2010,'LAC 102_Wkst'!$D$7:$D$2010,$C$7,'LAC 102_Wkst'!$I$7:$I$2010,$C$9,'LAC 102_Wkst'!$E$7:$E$2010,$C43,'LAC 102_Wkst'!$G$7:$G$2010,$D43,'LAC 102_Wkst'!$L$7:$L$2010,"12",'LAC 102_Wkst'!$N$7:$N$2010,"P5")</f>
        <v>0</v>
      </c>
      <c r="BA43" s="411">
        <f>SUMIFS('LAC 102_Wkst'!$AF$7:$AF$2010,'LAC 102_Wkst'!$D$7:$D$2010,$C$7,'LAC 102_Wkst'!$I$7:$I$2010,$C$9,'LAC 102_Wkst'!$E$7:$E$2010,$C43,'LAC 102_Wkst'!$G$7:$G$2010,$D43,'LAC 102_Wkst'!$L$7:$L$2010,"11",'LAC 102_Wkst'!$N$7:$N$2010,"P5")+SUMIFS('LAC 102_Wkst'!$AF$7:$AF$2010,'LAC 102_Wkst'!$D$7:$D$2010,$C$7,'LAC 102_Wkst'!$I$7:$I$2010,$C$9,'LAC 102_Wkst'!$E$7:$E$2010,$C43,'LAC 102_Wkst'!$G$7:$G$2010,$D43,'LAC 102_Wkst'!$L$7:$L$2010,"12",'LAC 102_Wkst'!$N$7:$N$2010,"P5")</f>
        <v>0</v>
      </c>
      <c r="BB43" s="410">
        <f>SUMIFS('LAC 102_Wkst'!$Q$7:$Q$2010,'LAC 102_Wkst'!$D$7:$D$2010,$C$7,'LAC 102_Wkst'!$I$7:$I$2010,$C$9,'LAC 102_Wkst'!$E$7:$E$2010,$C43,'LAC 102_Wkst'!$G$7:$G$2010,$D43,'LAC 102_Wkst'!$L$7:$L$2010,"13",'LAC 102_Wkst'!$N$7:$N$2010,"P1")+SUMIFS('LAC 102_Wkst'!$Q$7:$Q$2010,'LAC 102_Wkst'!$D$7:$D$2010,$C$7,'LAC 102_Wkst'!$I$7:$I$2010,$C$9,'LAC 102_Wkst'!$E$7:$E$2010,$C43,'LAC 102_Wkst'!$G$7:$G$2010,$D43,'LAC 102_Wkst'!$L$7:$L$2010,"13",'LAC 102_Wkst'!$N$7:$N$2010,"P2")+SUMIFS('LAC 102_Wkst'!$Q$7:$Q$2010,'LAC 102_Wkst'!$D$7:$D$2010,$C$7,'LAC 102_Wkst'!$I$7:$I$2010,$C$9,'LAC 102_Wkst'!$E$7:$E$2010,$C43,'LAC 102_Wkst'!$G$7:$G$2010,$D43,'LAC 102_Wkst'!$L$7:$L$2010,"13",'LAC 102_Wkst'!$N$7:$N$2010,"P3")+SUMIFS('LAC 102_Wkst'!$Q$7:$Q$2010,'LAC 102_Wkst'!$D$7:$D$2010,$C$7,'LAC 102_Wkst'!$I$7:$I$2010,$C$9,'LAC 102_Wkst'!$E$7:$E$2010,$C43,'LAC 102_Wkst'!$G$7:$G$2010,$D43,'LAC 102_Wkst'!$L$7:$L$2010,"13",'LAC 102_Wkst'!$N$7:$N$2010,"P4")</f>
        <v>0</v>
      </c>
      <c r="BC43" s="411">
        <f>SUMIFS('LAC 102_Wkst'!$AF$7:$AF$2010,'LAC 102_Wkst'!$D$7:$D$2010,$C$7,'LAC 102_Wkst'!$I$7:$I$2010,$C$9,'LAC 102_Wkst'!$E$7:$E$2010,$C43,'LAC 102_Wkst'!$G$7:$G$2010,$D43,'LAC 102_Wkst'!$L$7:$L$2010,"13",'LAC 102_Wkst'!$N$7:$N$2010,"P1")+SUMIFS('LAC 102_Wkst'!$AF$7:$AF$2010,'LAC 102_Wkst'!$D$7:$D$2010,$C$7,'LAC 102_Wkst'!$I$7:$I$2010,$C$9,'LAC 102_Wkst'!$E$7:$E$2010,$C43,'LAC 102_Wkst'!$G$7:$G$2010,$D43,'LAC 102_Wkst'!$L$7:$L$2010,"13",'LAC 102_Wkst'!$N$7:$N$2010,"P2")+SUMIFS('LAC 102_Wkst'!$AF$7:$AF$2010,'LAC 102_Wkst'!$D$7:$D$2010,$C$7,'LAC 102_Wkst'!$I$7:$I$2010,$C$9,'LAC 102_Wkst'!$E$7:$E$2010,$C43,'LAC 102_Wkst'!$G$7:$G$2010,$D43,'LAC 102_Wkst'!$L$7:$L$2010,"13",'LAC 102_Wkst'!$N$7:$N$2010,"P3")+SUMIFS('LAC 102_Wkst'!$AF$7:$AF$2010,'LAC 102_Wkst'!$D$7:$D$2010,$C$7,'LAC 102_Wkst'!$I$7:$I$2010,$C$9,'LAC 102_Wkst'!$E$7:$E$2010,$C43,'LAC 102_Wkst'!$G$7:$G$2010,$D43,'LAC 102_Wkst'!$L$7:$L$2010,"13",'LAC 102_Wkst'!$N$7:$N$2010,"P4")</f>
        <v>0</v>
      </c>
      <c r="BD43" s="410">
        <f>SUMIFS('LAC 102_Wkst'!$Q$7:$Q$2010,'LAC 102_Wkst'!$D$7:$D$2010,$C$7,'LAC 102_Wkst'!$I$7:$I$2010,$C$9,'LAC 102_Wkst'!$E$7:$E$2010,$C43,'LAC 102_Wkst'!$G$7:$G$2010,$D43,'LAC 102_Wkst'!$L$7:$L$2010,"13",'LAC 102_Wkst'!$N$7:$N$2010,"P5")</f>
        <v>0</v>
      </c>
      <c r="BE43" s="411">
        <f>SUMIFS('LAC 102_Wkst'!$AF$7:$AF$2010,'LAC 102_Wkst'!$D$7:$D$2010,$C$7,'LAC 102_Wkst'!$I$7:$I$2010,$C$9,'LAC 102_Wkst'!$E$7:$E$2010,$C43,'LAC 102_Wkst'!$G$7:$G$2010,$D43,'LAC 102_Wkst'!$L$7:$L$2010,"13",'LAC 102_Wkst'!$N$7:$N$2010,"P5")</f>
        <v>0</v>
      </c>
      <c r="BF43" s="407">
        <f t="shared" si="4"/>
        <v>0</v>
      </c>
      <c r="BG43" s="1654">
        <f>SUMIFS('LAC 102_Wkst'!$AF$7:$AF$2010,'LAC 102_Wkst'!$D$7:$D$2010,$C$7,'LAC 102_Wkst'!$I$7:$I$2010,$C$9,'LAC 102_Wkst'!$E$7:$E$2010,$C43,'LAC 102_Wkst'!$G$7:$G$2010,$D43,'LAC 102_Wkst'!$L$7:$L$2010,"14")</f>
        <v>0</v>
      </c>
    </row>
    <row r="44" spans="1:59" x14ac:dyDescent="0.2">
      <c r="A44" s="401">
        <v>22</v>
      </c>
      <c r="B44" s="1678" t="str">
        <f>IF(Schedule_B!B$41="","",Schedule_B!B$41)</f>
        <v/>
      </c>
      <c r="C44" s="1674" t="str">
        <f>IF(Schedule_B!C$41=""," ",Schedule_B!C$41)</f>
        <v xml:space="preserve"> </v>
      </c>
      <c r="D44" s="1675" t="str">
        <f>IF(Schedule_B!D$41=""," ",Schedule_B!D$41)</f>
        <v xml:space="preserve"> </v>
      </c>
      <c r="E44" s="1221">
        <f>SUMIFS('LAC 102_Wkst'!$Q$7:$Q$2010,'LAC 102_Wkst'!$D$7:$D$2010,$C$7,'LAC 102_Wkst'!$I$7:$I$2010,$C$9,'LAC 102_Wkst'!$E$7:$E$2010,$C44,'LAC 102_Wkst'!$G$7:$G$2010,$D44)</f>
        <v>0</v>
      </c>
      <c r="F44" s="408">
        <f>SUMIFS('LAC 102_Wkst'!$Q$7:$Q$2010,'LAC 102_Wkst'!$D$7:$D$2010,$C$7,'LAC 102_Wkst'!$I$7:$I$2010,$C$9,'LAC 102_Wkst'!$E$7:$E$2010,$C44,'LAC 102_Wkst'!$G$7:$G$2010,$D44,'LAC 102_Wkst'!$L$7:$L$2010,"01",'LAC 102_Wkst'!$N$7:$N$2010,"P1")+SUMIFS('LAC 102_Wkst'!$Q$7:$Q$2010,'LAC 102_Wkst'!$D$7:$D$2010,$C$7,'LAC 102_Wkst'!$I$7:$I$2010,$C$9,'LAC 102_Wkst'!$E$7:$E$2010,$C44,'LAC 102_Wkst'!$G$7:$G$2010,$D44,'LAC 102_Wkst'!$L$7:$L$2010,"01",'LAC 102_Wkst'!$N$7:$N$2010,"P2")+SUMIFS('LAC 102_Wkst'!$Q$7:$Q$2010,'LAC 102_Wkst'!$D$7:$D$2010,$C$7,'LAC 102_Wkst'!$I$7:$I$2010,$C$9,'LAC 102_Wkst'!$E$7:$E$2010,$C44,'LAC 102_Wkst'!$G$7:$G$2010,$D44,'LAC 102_Wkst'!$L$7:$L$2010,"01",'LAC 102_Wkst'!$N$7:$N$2010,"P3")+SUMIFS('LAC 102_Wkst'!$Q$7:$Q$2010,'LAC 102_Wkst'!$D$7:$D$2010,$C$7,'LAC 102_Wkst'!$I$7:$I$2010,$C$9,'LAC 102_Wkst'!$E$7:$E$2010,$C44,'LAC 102_Wkst'!$G$7:$G$2010,$D44,'LAC 102_Wkst'!$L$7:$L$2010,"02",'LAC 102_Wkst'!$N$7:$N$2010,"P1")+SUMIFS('LAC 102_Wkst'!$Q$7:$Q$2010,'LAC 102_Wkst'!$D$7:$D$2010,$C$7,'LAC 102_Wkst'!$I$7:$I$2010,$C$9,'LAC 102_Wkst'!$E$7:$E$2010,$C44,'LAC 102_Wkst'!$G$7:$G$2010,$D44,'LAC 102_Wkst'!$L$7:$L$2010,"02",'LAC 102_Wkst'!$N$7:$N$2010,"P2")+SUMIFS('LAC 102_Wkst'!$Q$7:$Q$2010,'LAC 102_Wkst'!$D$7:$D$2010,$C$7,'LAC 102_Wkst'!$I$7:$I$2010,$C$9,'LAC 102_Wkst'!$E$7:$E$2010,$C44,'LAC 102_Wkst'!$G$7:$G$2010,$D44,'LAC 102_Wkst'!$L$7:$L$2010,"02",'LAC 102_Wkst'!$N$7:$N$2010,"P3")</f>
        <v>0</v>
      </c>
      <c r="G44" s="409">
        <f>SUMIFS('LAC 102_Wkst'!$AF$7:$AF$2010,'LAC 102_Wkst'!$D$7:$D$2010,$C$7,'LAC 102_Wkst'!$I$7:$I$2010,$C$9,'LAC 102_Wkst'!$E$7:$E$2010,$C44,'LAC 102_Wkst'!$G$7:$G$2010,$D44,'LAC 102_Wkst'!$L$7:$L$2010,"01",'LAC 102_Wkst'!$N$7:$N$2010,"P1")+SUMIFS('LAC 102_Wkst'!$AF$7:$AF$2010,'LAC 102_Wkst'!$D$7:$D$2010,$C$7,'LAC 102_Wkst'!$I$7:$I$2010,$C$9,'LAC 102_Wkst'!$E$7:$E$2010,$C44,'LAC 102_Wkst'!$G$7:$G$2010,$D44,'LAC 102_Wkst'!$L$7:$L$2010,"01",'LAC 102_Wkst'!$N$7:$N$2010,"P2")+SUMIFS('LAC 102_Wkst'!$AF$7:$AF$2010,'LAC 102_Wkst'!$D$7:$D$2010,$C$7,'LAC 102_Wkst'!$I$7:$I$2010,$C$9,'LAC 102_Wkst'!$E$7:$E$2010,$C44,'LAC 102_Wkst'!$G$7:$G$2010,$D44,'LAC 102_Wkst'!$L$7:$L$2010,"01",'LAC 102_Wkst'!$N$7:$N$2010,"P3")+SUMIFS('LAC 102_Wkst'!$AF$7:$AF$2010,'LAC 102_Wkst'!$D$7:$D$2010,$C$7,'LAC 102_Wkst'!$I$7:$I$2010,$C$9,'LAC 102_Wkst'!$E$7:$E$2010,$C44,'LAC 102_Wkst'!$G$7:$G$2010,$D44,'LAC 102_Wkst'!$L$7:$L$2010,"02",'LAC 102_Wkst'!$N$7:$N$2010,"P1")+SUMIFS('LAC 102_Wkst'!$AF$7:$AF$2010,'LAC 102_Wkst'!$D$7:$D$2010,$C$7,'LAC 102_Wkst'!$I$7:$I$2010,$C$9,'LAC 102_Wkst'!$E$7:$E$2010,$C44,'LAC 102_Wkst'!$G$7:$G$2010,$D44,'LAC 102_Wkst'!$L$7:$L$2010,"02",'LAC 102_Wkst'!$N$7:$N$2010,"P2")+SUMIFS('LAC 102_Wkst'!$AF$7:$AF$2010,'LAC 102_Wkst'!$D$7:$D$2010,$C$7,'LAC 102_Wkst'!$I$7:$I$2010,$C$9,'LAC 102_Wkst'!$E$7:$E$2010,$C44,'LAC 102_Wkst'!$G$7:$G$2010,$D44,'LAC 102_Wkst'!$L$7:$L$2010,"02",'LAC 102_Wkst'!$N$7:$N$2010,"P3")</f>
        <v>0</v>
      </c>
      <c r="H44" s="410">
        <f>SUMIFS('LAC 102_Wkst'!$Q$7:$Q$2010,'LAC 102_Wkst'!$D$7:$D$2010,$C$7,'LAC 102_Wkst'!$I$7:$I$2010,$C$9,'LAC 102_Wkst'!$E$7:$E$2010,$C44,'LAC 102_Wkst'!$G$7:$G$2010,$D44,'LAC 102_Wkst'!$L$7:$L$2010,"01",'LAC 102_Wkst'!$N$7:$N$2010,"P4")+SUMIFS('LAC 102_Wkst'!$Q$7:$Q$2010,'LAC 102_Wkst'!$D$7:$D$2010,$C$7,'LAC 102_Wkst'!$I$7:$I$2010,$C$9,'LAC 102_Wkst'!$E$7:$E$2010,$C44,'LAC 102_Wkst'!$G$7:$G$2010,$D44,'LAC 102_Wkst'!$L$7:$L$2010,"02",'LAC 102_Wkst'!$N$7:$N$2010,"P4")</f>
        <v>0</v>
      </c>
      <c r="I44" s="411">
        <f>SUMIFS('LAC 102_Wkst'!$AF$7:$AF$2010,'LAC 102_Wkst'!$D$7:$D$2010,$C$7,'LAC 102_Wkst'!$I$7:$I$2010,$C$9,'LAC 102_Wkst'!$E$7:$E$2010,$C44,'LAC 102_Wkst'!$G$7:$G$2010,$D44,'LAC 102_Wkst'!$L$7:$L$2010,"01",'LAC 102_Wkst'!$N$7:$N$2010,"P4")+SUMIFS('LAC 102_Wkst'!$AF$7:$AF$2010,'LAC 102_Wkst'!$D$7:$D$2010,$C$7,'LAC 102_Wkst'!$I$7:$I$2010,$C$9,'LAC 102_Wkst'!$E$7:$E$2010,$C44,'LAC 102_Wkst'!$G$7:$G$2010,$D44,'LAC 102_Wkst'!$L$7:$L$2010,"02",'LAC 102_Wkst'!$N$7:$N$2010,"P4")</f>
        <v>0</v>
      </c>
      <c r="J44" s="410">
        <f>SUMIFS('LAC 102_Wkst'!$Q$7:$Q$2010,'LAC 102_Wkst'!$D$7:$D$2010,$C$7,'LAC 102_Wkst'!$I$7:$I$2010,$C$9,'LAC 102_Wkst'!$E$7:$E$2010,$C44,'LAC 102_Wkst'!$G$7:$G$2010,$D44,'LAC 102_Wkst'!$L$7:$L$2010,"01",'LAC 102_Wkst'!$N$7:$N$2010,"P5")+SUMIFS('LAC 102_Wkst'!$Q$7:$Q$2010,'LAC 102_Wkst'!$D$7:$D$2010,$C$7,'LAC 102_Wkst'!$I$7:$I$2010,$C$9,'LAC 102_Wkst'!$E$7:$E$2010,$C44,'LAC 102_Wkst'!$G$7:$G$2010,$D44,'LAC 102_Wkst'!$L$7:$L$2010,"02",'LAC 102_Wkst'!$N$7:$N$2010,"P5")</f>
        <v>0</v>
      </c>
      <c r="K44" s="411">
        <f>SUMIFS('LAC 102_Wkst'!$AF$7:$AF$2010,'LAC 102_Wkst'!$D$7:$D$2010,$C$7,'LAC 102_Wkst'!$I$7:$I$2010,$C$9,'LAC 102_Wkst'!$E$7:$E$2010,$C44,'LAC 102_Wkst'!$G$7:$G$2010,$D44,'LAC 102_Wkst'!$L$7:$L$2010,"01",'LAC 102_Wkst'!$N$7:$N$2010,"P5")+SUMIFS('LAC 102_Wkst'!$AF$7:$AF$2010,'LAC 102_Wkst'!$D$7:$D$2010,$C$7,'LAC 102_Wkst'!$I$7:$I$2010,$C$9,'LAC 102_Wkst'!$E$7:$E$2010,$C44,'LAC 102_Wkst'!$G$7:$G$2010,$D44,'LAC 102_Wkst'!$L$7:$L$2010,"02",'LAC 102_Wkst'!$N$7:$N$2010,"P5")</f>
        <v>0</v>
      </c>
      <c r="L44" s="410">
        <f>SUMIFS('LAC 102_Wkst'!$Q$7:$Q$2010,'LAC 102_Wkst'!$D$7:$D$2010,$C$7,'LAC 102_Wkst'!$I$7:$I$2010,$C$9,'LAC 102_Wkst'!$E$7:$E$2010,$C44,'LAC 102_Wkst'!$G$7:$G$2010,$D44,'LAC 102_Wkst'!$L$7:$L$2010,"03",'LAC 102_Wkst'!$N$7:$N$2010,"P1")+SUMIFS('LAC 102_Wkst'!$Q$7:$Q$2010,'LAC 102_Wkst'!$D$7:$D$2010,$C$7,'LAC 102_Wkst'!$I$7:$I$2010,$C$9,'LAC 102_Wkst'!$E$7:$E$2010,$C44,'LAC 102_Wkst'!$G$7:$G$2010,$D44,'LAC 102_Wkst'!$L$7:$L$2010,"03",'LAC 102_Wkst'!$N$7:$N$2010,"P2")+SUMIFS('LAC 102_Wkst'!$Q$7:$Q$2010,'LAC 102_Wkst'!$D$7:$D$2010,$C$7,'LAC 102_Wkst'!$I$7:$I$2010,$C$9,'LAC 102_Wkst'!$E$7:$E$2010,$C44,'LAC 102_Wkst'!$G$7:$G$2010,$D44,'LAC 102_Wkst'!$L$7:$L$2010,"03",'LAC 102_Wkst'!$N$7:$N$2010,"P3")+SUMIFS('LAC 102_Wkst'!$Q$7:$Q$2010,'LAC 102_Wkst'!$D$7:$D$2010,$C$7,'LAC 102_Wkst'!$I$7:$I$2010,$C$9,'LAC 102_Wkst'!$E$7:$E$2010,$C44,'LAC 102_Wkst'!$G$7:$G$2010,$D44,'LAC 102_Wkst'!$L$7:$L$2010,"04",'LAC 102_Wkst'!$N$7:$N$2010,"P1")+SUMIFS('LAC 102_Wkst'!$Q$7:$Q$2010,'LAC 102_Wkst'!$D$7:$D$2010,$C$7,'LAC 102_Wkst'!$I$7:$I$2010,$C$9,'LAC 102_Wkst'!$E$7:$E$2010,$C44,'LAC 102_Wkst'!$G$7:$G$2010,$D44,'LAC 102_Wkst'!$L$7:$L$2010,"04",'LAC 102_Wkst'!$N$7:$N$2010,"P2")+SUMIFS('LAC 102_Wkst'!$Q$7:$Q$2010,'LAC 102_Wkst'!$D$7:$D$2010,$C$7,'LAC 102_Wkst'!$I$7:$I$2010,$C$9,'LAC 102_Wkst'!$E$7:$E$2010,$C44,'LAC 102_Wkst'!$G$7:$G$2010,$D44,'LAC 102_Wkst'!$L$7:$L$2010,"04",'LAC 102_Wkst'!$N$7:$N$2010,"P3")</f>
        <v>0</v>
      </c>
      <c r="M44" s="411">
        <f>SUMIFS('LAC 102_Wkst'!$AF$7:$AF$2010,'LAC 102_Wkst'!$D$7:$D$2010,$C$7,'LAC 102_Wkst'!$I$7:$I$2010,$C$9,'LAC 102_Wkst'!$E$7:$E$2010,$C44,'LAC 102_Wkst'!$G$7:$G$2010,$D44,'LAC 102_Wkst'!$L$7:$L$2010,"03",'LAC 102_Wkst'!$N$7:$N$2010,"P1")+SUMIFS('LAC 102_Wkst'!$AF$7:$AF$2010,'LAC 102_Wkst'!$D$7:$D$2010,$C$7,'LAC 102_Wkst'!$I$7:$I$2010,$C$9,'LAC 102_Wkst'!$E$7:$E$2010,$C44,'LAC 102_Wkst'!$G$7:$G$2010,$D44,'LAC 102_Wkst'!$L$7:$L$2010,"03",'LAC 102_Wkst'!$N$7:$N$2010,"P2")+SUMIFS('LAC 102_Wkst'!$AF$7:$AF$2010,'LAC 102_Wkst'!$D$7:$D$2010,$C$7,'LAC 102_Wkst'!$I$7:$I$2010,$C$9,'LAC 102_Wkst'!$E$7:$E$2010,$C44,'LAC 102_Wkst'!$G$7:$G$2010,$D44,'LAC 102_Wkst'!$L$7:$L$2010,"03",'LAC 102_Wkst'!$N$7:$N$2010,"P3")+SUMIFS('LAC 102_Wkst'!$AF$7:$AF$2010,'LAC 102_Wkst'!$D$7:$D$2010,$C$7,'LAC 102_Wkst'!$I$7:$I$2010,$C$9,'LAC 102_Wkst'!$E$7:$E$2010,$C44,'LAC 102_Wkst'!$G$7:$G$2010,$D44,'LAC 102_Wkst'!$L$7:$L$2010,"04",'LAC 102_Wkst'!$N$7:$N$2010,"P1")+SUMIFS('LAC 102_Wkst'!$AF$7:$AF$2010,'LAC 102_Wkst'!$D$7:$D$2010,$C$7,'LAC 102_Wkst'!$I$7:$I$2010,$C$9,'LAC 102_Wkst'!$E$7:$E$2010,$C44,'LAC 102_Wkst'!$G$7:$G$2010,$D44,'LAC 102_Wkst'!$L$7:$L$2010,"04",'LAC 102_Wkst'!$N$7:$N$2010,"P2")+SUMIFS('LAC 102_Wkst'!$AF$7:$AF$2010,'LAC 102_Wkst'!$D$7:$D$2010,$C$7,'LAC 102_Wkst'!$I$7:$I$2010,$C$9,'LAC 102_Wkst'!$E$7:$E$2010,$C44,'LAC 102_Wkst'!$G$7:$G$2010,$D44,'LAC 102_Wkst'!$L$7:$L$2010,"04",'LAC 102_Wkst'!$N$7:$N$2010,"P3")</f>
        <v>0</v>
      </c>
      <c r="N44" s="410">
        <f>SUMIFS('LAC 102_Wkst'!$Q$7:$Q$2010,'LAC 102_Wkst'!$D$7:$D$2010,$C$7,'LAC 102_Wkst'!$I$7:$I$2010,$C$9,'LAC 102_Wkst'!$E$7:$E$2010,$C44,'LAC 102_Wkst'!$G$7:$G$2010,$D44,'LAC 102_Wkst'!$L$7:$L$2010,"03",'LAC 102_Wkst'!$N$7:$N$2010,"P4")+SUMIFS('LAC 102_Wkst'!$Q$7:$Q$2010,'LAC 102_Wkst'!$D$7:$D$2010,$C$7,'LAC 102_Wkst'!$I$7:$I$2010,$C$9,'LAC 102_Wkst'!$E$7:$E$2010,$C44,'LAC 102_Wkst'!$G$7:$G$2010,$D44,'LAC 102_Wkst'!$L$7:$L$2010,"04",'LAC 102_Wkst'!$N$7:$N$2010,"P4")</f>
        <v>0</v>
      </c>
      <c r="O44" s="411">
        <f>SUMIFS('LAC 102_Wkst'!$AF$7:$AF$2010,'LAC 102_Wkst'!$D$7:$D$2010,$C$7,'LAC 102_Wkst'!$I$7:$I$2010,$C$9,'LAC 102_Wkst'!$E$7:$E$2010,$C44,'LAC 102_Wkst'!$G$7:$G$2010,$D44,'LAC 102_Wkst'!$L$7:$L$2010,"03",'LAC 102_Wkst'!$N$7:$N$2010,"P4")+SUMIFS('LAC 102_Wkst'!$AF$7:$AF$2010,'LAC 102_Wkst'!$D$7:$D$2010,$C$7,'LAC 102_Wkst'!$I$7:$I$2010,$C$9,'LAC 102_Wkst'!$E$7:$E$2010,$C44,'LAC 102_Wkst'!$G$7:$G$2010,$D44,'LAC 102_Wkst'!$L$7:$L$2010,"04",'LAC 102_Wkst'!$N$7:$N$2010,"P4")</f>
        <v>0</v>
      </c>
      <c r="P44" s="410">
        <f>SUMIFS('LAC 102_Wkst'!$Q$7:$Q$2010,'LAC 102_Wkst'!$D$7:$D$2010,$C$7,'LAC 102_Wkst'!$I$7:$I$2010,$C$9,'LAC 102_Wkst'!$E$7:$E$2010,$C44,'LAC 102_Wkst'!$G$7:$G$2010,$D44,'LAC 102_Wkst'!$L$7:$L$2010,"03",'LAC 102_Wkst'!$N$7:$N$2010,"P5")+SUMIFS('LAC 102_Wkst'!$Q$7:$Q$2010,'LAC 102_Wkst'!$D$7:$D$2010,$C$7,'LAC 102_Wkst'!$I$7:$I$2010,$C$9,'LAC 102_Wkst'!$E$7:$E$2010,$C44,'LAC 102_Wkst'!$G$7:$G$2010,$D44,'LAC 102_Wkst'!$L$7:$L$2010,"04",'LAC 102_Wkst'!$N$7:$N$2010,"P5")</f>
        <v>0</v>
      </c>
      <c r="Q44" s="411">
        <f>SUMIFS('LAC 102_Wkst'!$AF$7:$AF$2010,'LAC 102_Wkst'!$D$7:$D$2010,$C$7,'LAC 102_Wkst'!$I$7:$I$2010,$C$9,'LAC 102_Wkst'!$E$7:$E$2010,$C44,'LAC 102_Wkst'!$G$7:$G$2010,$D44,'LAC 102_Wkst'!$L$7:$L$2010,"03",'LAC 102_Wkst'!$N$7:$N$2010,"P5")+SUMIFS('LAC 102_Wkst'!$AF$7:$AF$2010,'LAC 102_Wkst'!$D$7:$D$2010,$C$7,'LAC 102_Wkst'!$I$7:$I$2010,$C$9,'LAC 102_Wkst'!$E$7:$E$2010,$C44,'LAC 102_Wkst'!$G$7:$G$2010,$D44,'LAC 102_Wkst'!$L$7:$L$2010,"04",'LAC 102_Wkst'!$N$7:$N$2010,"P5")</f>
        <v>0</v>
      </c>
      <c r="R44" s="412">
        <f>SUMIFS('LAC 102_Wkst'!$Q$7:$Q$2010,'LAC 102_Wkst'!$D$7:$D$2010,$C$7,'LAC 102_Wkst'!$I$7:$I$2010,$C$9,'LAC 102_Wkst'!$E$7:$E$2010,$C44,'LAC 102_Wkst'!$G$7:$G$2010,$D44,'LAC 102_Wkst'!$L$7:$L$2010,"05",'LAC 102_Wkst'!$N$7:$N$2010,"P1")+SUMIFS('LAC 102_Wkst'!$Q$7:$Q$2010,'LAC 102_Wkst'!$D$7:$D$2010,$C$7,'LAC 102_Wkst'!$I$7:$I$2010,$C$9,'LAC 102_Wkst'!$E$7:$E$2010,$C44,'LAC 102_Wkst'!$G$7:$G$2010,$D44,'LAC 102_Wkst'!$L$7:$L$2010,"06",'LAC 102_Wkst'!$N$7:$N$2010,"P1")</f>
        <v>0</v>
      </c>
      <c r="S44" s="411">
        <f>SUMIFS('LAC 102_Wkst'!$AF$7:$AF$2010,'LAC 102_Wkst'!$D$7:$D$2010,$C$7,'LAC 102_Wkst'!$I$7:$I$2010,$C$9,'LAC 102_Wkst'!$E$7:$E$2010,$C44,'LAC 102_Wkst'!$G$7:$G$2010,$D44,'LAC 102_Wkst'!$L$7:$L$2010,"05",'LAC 102_Wkst'!$N$7:$N$2010,"P1")+SUMIFS('LAC 102_Wkst'!$AF$7:$AF$2010,'LAC 102_Wkst'!$D$7:$D$2010,$C$7,'LAC 102_Wkst'!$I$7:$I$2010,$C$9,'LAC 102_Wkst'!$E$7:$E$2010,$C44,'LAC 102_Wkst'!$G$7:$G$2010,$D44,'LAC 102_Wkst'!$L$7:$L$2010,"06",'LAC 102_Wkst'!$N$7:$N$2010,"P1")</f>
        <v>0</v>
      </c>
      <c r="T44" s="410">
        <f>SUMIFS('LAC 102_Wkst'!$Q$7:$Q$2010,'LAC 102_Wkst'!$D$7:$D$2010,$C$7,'LAC 102_Wkst'!$I$7:$I$2010,$C$9,'LAC 102_Wkst'!$E$7:$E$2010,$C44,'LAC 102_Wkst'!$G$7:$G$2010,$D44,'LAC 102_Wkst'!$L$7:$L$2010,"05",'LAC 102_Wkst'!$N$7:$N$2010,"P2")+SUMIFS('LAC 102_Wkst'!$Q$7:$Q$2010,'LAC 102_Wkst'!$D$7:$D$2010,$C$7,'LAC 102_Wkst'!$I$7:$I$2010,$C$9,'LAC 102_Wkst'!$E$7:$E$2010,$C44,'LAC 102_Wkst'!$G$7:$G$2010,$D44,'LAC 102_Wkst'!$L$7:$L$2010,"06",'LAC 102_Wkst'!$N$7:$N$2010,"P2")+SUMIFS('LAC 102_Wkst'!$Q$7:$Q$2010,'LAC 102_Wkst'!$D$7:$D$2010,$C$7,'LAC 102_Wkst'!$I$7:$I$2010,$C$9,'LAC 102_Wkst'!$E$7:$E$2010,$C44,'LAC 102_Wkst'!$G$7:$G$2010,$D44,'LAC 102_Wkst'!$L$7:$L$2010,"05",'LAC 102_Wkst'!$N$7:$N$2010,"P3")+SUMIFS('LAC 102_Wkst'!$Q$7:$Q$2010,'LAC 102_Wkst'!$D$7:$D$2010,$C$7,'LAC 102_Wkst'!$I$7:$I$2010,$C$9,'LAC 102_Wkst'!$E$7:$E$2010,$C44,'LAC 102_Wkst'!$G$7:$G$2010,$D44,'LAC 102_Wkst'!$L$7:$L$2010,"06",'LAC 102_Wkst'!$N$7:$N$2010,"P3")</f>
        <v>0</v>
      </c>
      <c r="U44" s="411">
        <f>SUMIFS('LAC 102_Wkst'!$AF$7:$AF$2010,'LAC 102_Wkst'!$D$7:$D$2010,$C$7,'LAC 102_Wkst'!$I$7:$I$2010,$C$9,'LAC 102_Wkst'!$E$7:$E$2010,$C44,'LAC 102_Wkst'!$G$7:$G$2010,$D44,'LAC 102_Wkst'!$L$7:$L$2010,"05",'LAC 102_Wkst'!$N$7:$N$2010,"P2")+SUMIFS('LAC 102_Wkst'!$AF$7:$AF$2010,'LAC 102_Wkst'!$D$7:$D$2010,$C$7,'LAC 102_Wkst'!$I$7:$I$2010,$C$9,'LAC 102_Wkst'!$E$7:$E$2010,$C44,'LAC 102_Wkst'!$G$7:$G$2010,$D44,'LAC 102_Wkst'!$L$7:$L$2010,"06",'LAC 102_Wkst'!$N$7:$N$2010,"P2")+SUMIFS('LAC 102_Wkst'!$AF$7:$AF$2010,'LAC 102_Wkst'!$D$7:$D$2010,$C$7,'LAC 102_Wkst'!$I$7:$I$2010,$C$9,'LAC 102_Wkst'!$E$7:$E$2010,$C44,'LAC 102_Wkst'!$G$7:$G$2010,$D44,'LAC 102_Wkst'!$L$7:$L$2010,"05",'LAC 102_Wkst'!$N$7:$N$2010,"P3")+SUMIFS('LAC 102_Wkst'!$AF$7:$AF$2010,'LAC 102_Wkst'!$D$7:$D$2010,$C$7,'LAC 102_Wkst'!$I$7:$I$2010,$C$9,'LAC 102_Wkst'!$E$7:$E$2010,$C44,'LAC 102_Wkst'!$G$7:$G$2010,$D44,'LAC 102_Wkst'!$L$7:$L$2010,"06",'LAC 102_Wkst'!$N$7:$N$2010,"P3")</f>
        <v>0</v>
      </c>
      <c r="V44" s="410">
        <f>SUMIFS('LAC 102_Wkst'!$Q$7:$Q$2010,'LAC 102_Wkst'!$D$7:$D$2010,$C$7,'LAC 102_Wkst'!$I$7:$I$2010,$C$9,'LAC 102_Wkst'!$E$7:$E$2010,$C44,'LAC 102_Wkst'!$G$7:$G$2010,$D44,'LAC 102_Wkst'!$L$7:$L$2010,"05",'LAC 102_Wkst'!$N$7:$N$2010,"P4")+SUMIFS('LAC 102_Wkst'!$Q$7:$Q$2010,'LAC 102_Wkst'!$D$7:$D$2010,$C$7,'LAC 102_Wkst'!$I$7:$I$2010,$C$9,'LAC 102_Wkst'!$E$7:$E$2010,$C44,'LAC 102_Wkst'!$G$7:$G$2010,$D44,'LAC 102_Wkst'!$L$7:$L$2010,"06",'LAC 102_Wkst'!$N$7:$N$2010,"P4")</f>
        <v>0</v>
      </c>
      <c r="W44" s="411">
        <f>SUMIFS('LAC 102_Wkst'!$AF$7:$AF$2010,'LAC 102_Wkst'!$D$7:$D$2010,$C$7,'LAC 102_Wkst'!$I$7:$I$2010,$C$9,'LAC 102_Wkst'!$E$7:$E$2010,$C44,'LAC 102_Wkst'!$G$7:$G$2010,$D44,'LAC 102_Wkst'!$L$7:$L$2010,"05",'LAC 102_Wkst'!$N$7:$N$2010,"P4")+SUMIFS('LAC 102_Wkst'!$AF$7:$AF$2010,'LAC 102_Wkst'!$D$7:$D$2010,$C$7,'LAC 102_Wkst'!$I$7:$I$2010,$C$9,'LAC 102_Wkst'!$E$7:$E$2010,$C44,'LAC 102_Wkst'!$G$7:$G$2010,$D44,'LAC 102_Wkst'!$L$7:$L$2010,"06",'LAC 102_Wkst'!$N$7:$N$2010,"P4")</f>
        <v>0</v>
      </c>
      <c r="X44" s="410">
        <f>SUMIFS('LAC 102_Wkst'!$Q$7:$Q$2010,'LAC 102_Wkst'!$D$7:$D$2010,$C$7,'LAC 102_Wkst'!$I$7:$I$2010,$C$9,'LAC 102_Wkst'!$E$7:$E$2010,$C44,'LAC 102_Wkst'!$G$7:$G$2010,$D44,'LAC 102_Wkst'!$L$7:$L$2010,"05",'LAC 102_Wkst'!$N$7:$N$2010,"P5")+SUMIFS('LAC 102_Wkst'!$Q$7:$Q$2010,'LAC 102_Wkst'!$D$7:$D$2010,$C$7,'LAC 102_Wkst'!$I$7:$I$2010,$C$9,'LAC 102_Wkst'!$E$7:$E$2010,$C44,'LAC 102_Wkst'!$G$7:$G$2010,$D44,'LAC 102_Wkst'!$L$7:$L$2010,"06",'LAC 102_Wkst'!$N$7:$N$2010,"P5")</f>
        <v>0</v>
      </c>
      <c r="Y44" s="411">
        <f>SUMIFS('LAC 102_Wkst'!$AF$7:$AF$2010,'LAC 102_Wkst'!$D$7:$D$2010,$C$7,'LAC 102_Wkst'!$I$7:$I$2010,$C$9,'LAC 102_Wkst'!$E$7:$E$2010,$C44,'LAC 102_Wkst'!$G$7:$G$2010,$D44,'LAC 102_Wkst'!$L$7:$L$2010,"05",'LAC 102_Wkst'!$N$7:$N$2010,"P5")+SUMIFS('LAC 102_Wkst'!$AF$7:$AF$2010,'LAC 102_Wkst'!$D$7:$D$2010,$C$7,'LAC 102_Wkst'!$I$7:$I$2010,$C$9,'LAC 102_Wkst'!$E$7:$E$2010,$C44,'LAC 102_Wkst'!$G$7:$G$2010,$D44,'LAC 102_Wkst'!$L$7:$L$2010,"06",'LAC 102_Wkst'!$N$7:$N$2010,"P5")</f>
        <v>0</v>
      </c>
      <c r="Z44" s="410">
        <f>SUMIFS('LAC 102_Wkst'!$Q$7:$Q$2010,'LAC 102_Wkst'!$D$7:$D$2010,$C$7,'LAC 102_Wkst'!$I$7:$I$2010,$C$9,'LAC 102_Wkst'!$E$7:$E$2010,$C44,'LAC 102_Wkst'!$G$7:$G$2010,$D44,'LAC 102_Wkst'!$L$7:$L$2010,"07",'LAC 102_Wkst'!$N$7:$N$2010,"P1")+SUMIFS('LAC 102_Wkst'!$Q$7:$Q$2010,'LAC 102_Wkst'!$D$7:$D$2010,$C$7,'LAC 102_Wkst'!$I$7:$I$2010,$C$9,'LAC 102_Wkst'!$E$7:$E$2010,$C44,'LAC 102_Wkst'!$G$7:$G$2010,$D44,'LAC 102_Wkst'!$L$7:$L$2010,"07",'LAC 102_Wkst'!$N$7:$N$2010,"P2")+SUMIFS('LAC 102_Wkst'!$Q$7:$Q$2010,'LAC 102_Wkst'!$D$7:$D$2010,$C$7,'LAC 102_Wkst'!$I$7:$I$2010,$C$9,'LAC 102_Wkst'!$E$7:$E$2010,$C44,'LAC 102_Wkst'!$G$7:$G$2010,$D44,'LAC 102_Wkst'!$L$7:$L$2010,"07",'LAC 102_Wkst'!$N$7:$N$2010,"P3")</f>
        <v>0</v>
      </c>
      <c r="AA44" s="411">
        <f>SUMIFS('LAC 102_Wkst'!$AF$7:$AF$2010,'LAC 102_Wkst'!$D$7:$D$2010,$C$7,'LAC 102_Wkst'!$I$7:$I$2010,$C$9,'LAC 102_Wkst'!$E$7:$E$2010,$C44,'LAC 102_Wkst'!$G$7:$G$2010,$D44,'LAC 102_Wkst'!$L$7:$L$2010,"07",'LAC 102_Wkst'!$N$7:$N$2010,"P1")+SUMIFS('LAC 102_Wkst'!$AF$7:$AF$2010,'LAC 102_Wkst'!$D$7:$D$2010,$C$7,'LAC 102_Wkst'!$I$7:$I$2010,$C$9,'LAC 102_Wkst'!$E$7:$E$2010,$C44,'LAC 102_Wkst'!$G$7:$G$2010,$D44,'LAC 102_Wkst'!$L$7:$L$2010,"07",'LAC 102_Wkst'!$N$7:$N$2010,"P2")+SUMIFS('LAC 102_Wkst'!$AF$7:$AF$2010,'LAC 102_Wkst'!$D$7:$D$2010,$C$7,'LAC 102_Wkst'!$I$7:$I$2010,$C$9,'LAC 102_Wkst'!$E$7:$E$2010,$C44,'LAC 102_Wkst'!$G$7:$G$2010,$D44,'LAC 102_Wkst'!$L$7:$L$2010,"07",'LAC 102_Wkst'!$N$7:$N$2010,"P3")</f>
        <v>0</v>
      </c>
      <c r="AB44" s="410">
        <f>SUMIFS('LAC 102_Wkst'!$Q$7:$Q$2010,'LAC 102_Wkst'!$D$7:$D$2010,$C$7,'LAC 102_Wkst'!$I$7:$I$2010,$C$9,'LAC 102_Wkst'!$E$7:$E$2010,$C44,'LAC 102_Wkst'!$G$7:$G$2010,$D44,'LAC 102_Wkst'!$L$7:$L$2010,"07",'LAC 102_Wkst'!$N$7:$N$2010,"P4")</f>
        <v>0</v>
      </c>
      <c r="AC44" s="411">
        <f>SUMIFS('LAC 102_Wkst'!$AF$7:$AF$2010,'LAC 102_Wkst'!$D$7:$D$2010,$C$7,'LAC 102_Wkst'!$I$7:$I$2010,$C$9,'LAC 102_Wkst'!$E$7:$E$2010,$C44,'LAC 102_Wkst'!$G$7:$G$2010,$D44,'LAC 102_Wkst'!$L$7:$L$2010,"07",'LAC 102_Wkst'!$N$7:$N$2010,"P4")</f>
        <v>0</v>
      </c>
      <c r="AD44" s="410">
        <f>SUMIFS('LAC 102_Wkst'!$Q$7:$Q$2010,'LAC 102_Wkst'!$D$7:$D$2010,$C$7,'LAC 102_Wkst'!$I$7:$I$2010,$C$9,'LAC 102_Wkst'!$E$7:$E$2010,$C44,'LAC 102_Wkst'!$G$7:$G$2010,$D44,'LAC 102_Wkst'!$L$7:$L$2010,"07",'LAC 102_Wkst'!$N$7:$N$2010,"P5")</f>
        <v>0</v>
      </c>
      <c r="AE44" s="411">
        <f>SUMIFS('LAC 102_Wkst'!$AF$7:$AF$2010,'LAC 102_Wkst'!$D$7:$D$2010,$C$7,'LAC 102_Wkst'!$I$7:$I$2010,$C$9,'LAC 102_Wkst'!$E$7:$E$2010,$C44,'LAC 102_Wkst'!$G$7:$G$2010,$D44,'LAC 102_Wkst'!$L$7:$L$2010,"07",'LAC 102_Wkst'!$N$7:$N$2010,"P5")</f>
        <v>0</v>
      </c>
      <c r="AF44" s="410">
        <f>SUMIFS('LAC 102_Wkst'!$Q$7:$Q$2010,'LAC 102_Wkst'!$D$7:$D$2010,$C$7,'LAC 102_Wkst'!$I$7:$I$2010,$C$9,'LAC 102_Wkst'!$E$7:$E$2010,$C44,'LAC 102_Wkst'!$G$7:$G$2010,$D44,'LAC 102_Wkst'!$L$7:$L$2010,"08",'LAC 102_Wkst'!$N$7:$N$2010,"P1")+SUMIFS('LAC 102_Wkst'!$Q$7:$Q$2010,'LAC 102_Wkst'!$D$7:$D$2010,$C$7,'LAC 102_Wkst'!$I$7:$I$2010,$C$9,'LAC 102_Wkst'!$E$7:$E$2010,$C44,'LAC 102_Wkst'!$G$7:$G$2010,$D44,'LAC 102_Wkst'!$L$7:$L$2010,"08",'LAC 102_Wkst'!$N$7:$N$2010,"P2")+SUMIFS('LAC 102_Wkst'!$Q$7:$Q$2010,'LAC 102_Wkst'!$D$7:$D$2010,$C$7,'LAC 102_Wkst'!$I$7:$I$2010,$C$9,'LAC 102_Wkst'!$E$7:$E$2010,$C44,'LAC 102_Wkst'!$G$7:$G$2010,$D44,'LAC 102_Wkst'!$L$7:$L$2010,"08",'LAC 102_Wkst'!$N$7:$N$2010,"P3")</f>
        <v>0</v>
      </c>
      <c r="AG44" s="411">
        <f>SUMIFS('LAC 102_Wkst'!$AF$7:$AF$2010,'LAC 102_Wkst'!$D$7:$D$2010,$C$7,'LAC 102_Wkst'!$I$7:$I$2010,$C$9,'LAC 102_Wkst'!$E$7:$E$2010,$C44,'LAC 102_Wkst'!$G$7:$G$2010,$D44,'LAC 102_Wkst'!$L$7:$L$2010,"08",'LAC 102_Wkst'!$N$7:$N$2010,"P1")+SUMIFS('LAC 102_Wkst'!$AF$7:$AF$2010,'LAC 102_Wkst'!$D$7:$D$2010,$C$7,'LAC 102_Wkst'!$I$7:$I$2010,$C$9,'LAC 102_Wkst'!$E$7:$E$2010,$C44,'LAC 102_Wkst'!$G$7:$G$2010,$D44,'LAC 102_Wkst'!$L$7:$L$2010,"08",'LAC 102_Wkst'!$N$7:$N$2010,"P2")+SUMIFS('LAC 102_Wkst'!$AF$7:$AF$2010,'LAC 102_Wkst'!$D$7:$D$2010,$C$7,'LAC 102_Wkst'!$I$7:$I$2010,$C$9,'LAC 102_Wkst'!$E$7:$E$2010,$C44,'LAC 102_Wkst'!$G$7:$G$2010,$D44,'LAC 102_Wkst'!$L$7:$L$2010,"08",'LAC 102_Wkst'!$N$7:$N$2010,"P3")</f>
        <v>0</v>
      </c>
      <c r="AH44" s="410">
        <f>SUMIFS('LAC 102_Wkst'!$Q$7:$Q$2010,'LAC 102_Wkst'!$D$7:$D$2010,$C$7,'LAC 102_Wkst'!$I$7:$I$2010,$C$9,'LAC 102_Wkst'!$E$7:$E$2010,$C44,'LAC 102_Wkst'!$G$7:$G$2010,$D44,'LAC 102_Wkst'!$L$7:$L$2010,"08",'LAC 102_Wkst'!$N$7:$N$2010,"P4")</f>
        <v>0</v>
      </c>
      <c r="AI44" s="411">
        <f>SUMIFS('LAC 102_Wkst'!$AF$7:$AF$2010,'LAC 102_Wkst'!$D$7:$D$2010,$C$7,'LAC 102_Wkst'!$I$7:$I$2010,$C$9,'LAC 102_Wkst'!$E$7:$E$2010,$C44,'LAC 102_Wkst'!$G$7:$G$2010,$D44,'LAC 102_Wkst'!$L$7:$L$2010,"08",'LAC 102_Wkst'!$N$7:$N$2010,"P4")</f>
        <v>0</v>
      </c>
      <c r="AJ44" s="410">
        <f>SUMIFS('LAC 102_Wkst'!$Q$7:$Q$2010,'LAC 102_Wkst'!$D$7:$D$2010,$C$7,'LAC 102_Wkst'!$I$7:$I$2010,$C$9,'LAC 102_Wkst'!$E$7:$E$2010,$C44,'LAC 102_Wkst'!$G$7:$G$2010,$D44,'LAC 102_Wkst'!$L$7:$L$2010,"08",'LAC 102_Wkst'!$N$7:$N$2010,"P5")</f>
        <v>0</v>
      </c>
      <c r="AK44" s="411">
        <f>SUMIFS('LAC 102_Wkst'!$AF$7:$AF$2010,'LAC 102_Wkst'!$D$7:$D$2010,$C$7,'LAC 102_Wkst'!$I$7:$I$2010,$C$9,'LAC 102_Wkst'!$E$7:$E$2010,$C44,'LAC 102_Wkst'!$G$7:$G$2010,$D44,'LAC 102_Wkst'!$L$7:$L$2010,"08",'LAC 102_Wkst'!$N$7:$N$2010,"P5")</f>
        <v>0</v>
      </c>
      <c r="AL44" s="410">
        <f>SUMIFS('LAC 102_Wkst'!$Q$7:$Q$2010,'LAC 102_Wkst'!$D$7:$D$2010,$C$7,'LAC 102_Wkst'!$I$7:$I$2010,$C$9,'LAC 102_Wkst'!$E$7:$E$2010,$C44,'LAC 102_Wkst'!$G$7:$G$2010,$D44,'LAC 102_Wkst'!$L$7:$L$2010,"09",'LAC 102_Wkst'!$N$7:$N$2010,"P1")+SUMIFS('LAC 102_Wkst'!$Q$7:$Q$2010,'LAC 102_Wkst'!$D$7:$D$2010,$C$7,'LAC 102_Wkst'!$I$7:$I$2010,$C$9,'LAC 102_Wkst'!$E$7:$E$2010,$C44,'LAC 102_Wkst'!$G$7:$G$2010,$D44,'LAC 102_Wkst'!$L$7:$L$2010,"09",'LAC 102_Wkst'!$N$7:$N$2010,"P2")+SUMIFS('LAC 102_Wkst'!$Q$7:$Q$2010,'LAC 102_Wkst'!$D$7:$D$2010,$C$7,'LAC 102_Wkst'!$I$7:$I$2010,$C$9,'LAC 102_Wkst'!$E$7:$E$2010,$C44,'LAC 102_Wkst'!$G$7:$G$2010,$D44,'LAC 102_Wkst'!$L$7:$L$2010,"09",'LAC 102_Wkst'!$N$7:$N$2010,"P3")+SUMIFS('LAC 102_Wkst'!$Q$7:$Q$2010,'LAC 102_Wkst'!$D$7:$D$2010,$C$7,'LAC 102_Wkst'!$I$7:$I$2010,$C$9,'LAC 102_Wkst'!$E$7:$E$2010,$C44,'LAC 102_Wkst'!$G$7:$G$2010,$D44,'LAC 102_Wkst'!$L$7:$L$2010,"09",'LAC 102_Wkst'!$N$7:$N$2010,"P4")</f>
        <v>0</v>
      </c>
      <c r="AM44" s="411">
        <f>SUMIFS('LAC 102_Wkst'!$AF$7:$AF$2010,'LAC 102_Wkst'!$D$7:$D$2010,$C$7,'LAC 102_Wkst'!$I$7:$I$2010,$C$9,'LAC 102_Wkst'!$E$7:$E$2010,$C44,'LAC 102_Wkst'!$G$7:$G$2010,$D44,'LAC 102_Wkst'!$L$7:$L$2010,"09",'LAC 102_Wkst'!$N$7:$N$2010,"P1")+SUMIFS('LAC 102_Wkst'!$AF$7:$AF$2010,'LAC 102_Wkst'!$D$7:$D$2010,$C$7,'LAC 102_Wkst'!$I$7:$I$2010,$C$9,'LAC 102_Wkst'!$E$7:$E$2010,$C44,'LAC 102_Wkst'!$G$7:$G$2010,$D44,'LAC 102_Wkst'!$L$7:$L$2010,"09",'LAC 102_Wkst'!$N$7:$N$2010,"P2")+SUMIFS('LAC 102_Wkst'!$AF$7:$AF$2010,'LAC 102_Wkst'!$D$7:$D$2010,$C$7,'LAC 102_Wkst'!$I$7:$I$2010,$C$9,'LAC 102_Wkst'!$E$7:$E$2010,$C44,'LAC 102_Wkst'!$G$7:$G$2010,$D44,'LAC 102_Wkst'!$L$7:$L$2010,"09",'LAC 102_Wkst'!$N$7:$N$2010,"P3")+SUMIFS('LAC 102_Wkst'!$AF$7:$AF$2010,'LAC 102_Wkst'!$D$7:$D$2010,$C$7,'LAC 102_Wkst'!$I$7:$I$2010,$C$9,'LAC 102_Wkst'!$E$7:$E$2010,$C44,'LAC 102_Wkst'!$G$7:$G$2010,$D44,'LAC 102_Wkst'!$L$7:$L$2010,"09",'LAC 102_Wkst'!$N$7:$N$2010,"P4")</f>
        <v>0</v>
      </c>
      <c r="AN44" s="410">
        <f>SUMIFS('LAC 102_Wkst'!$Q$7:$Q$2010,'LAC 102_Wkst'!$D$7:$D$2010,$C$7,'LAC 102_Wkst'!$I$7:$I$2010,$C$9,'LAC 102_Wkst'!$E$7:$E$2010,$C44,'LAC 102_Wkst'!$G$7:$G$2010,$D44,'LAC 102_Wkst'!$L$7:$L$2010,"09",'LAC 102_Wkst'!$N$7:$N$2010,"P5")</f>
        <v>0</v>
      </c>
      <c r="AO44" s="411">
        <f>SUMIFS('LAC 102_Wkst'!$AF$7:$AF$2010,'LAC 102_Wkst'!$D$7:$D$2010,$C$7,'LAC 102_Wkst'!$I$7:$I$2010,$C$9,'LAC 102_Wkst'!$E$7:$E$2010,$C44,'LAC 102_Wkst'!$G$7:$G$2010,$D44,'LAC 102_Wkst'!$L$7:$L$2010,"09",'LAC 102_Wkst'!$N$7:$N$2010,"P5")</f>
        <v>0</v>
      </c>
      <c r="AP44" s="410">
        <f>SUMIFS('LAC 102_Wkst'!$Q$7:$Q$2010,'LAC 102_Wkst'!$D$7:$D$2010,$C$7,'LAC 102_Wkst'!$I$7:$I$2010,$C$9,'LAC 102_Wkst'!$E$7:$E$2010,$C44,'LAC 102_Wkst'!$G$7:$G$2010,$D44,'LAC 102_Wkst'!$L$7:$L$2010,"10",'LAC 102_Wkst'!$N$7:$N$2010,"P1")+SUMIFS('LAC 102_Wkst'!$Q$7:$Q$2010,'LAC 102_Wkst'!$D$7:$D$2010,$C$7,'LAC 102_Wkst'!$I$7:$I$2010,$C$9,'LAC 102_Wkst'!$E$7:$E$2010,$C44,'LAC 102_Wkst'!$G$7:$G$2010,$D44,'LAC 102_Wkst'!$L$7:$L$2010,"10",'LAC 102_Wkst'!$N$7:$N$2010,"P2")+SUMIFS('LAC 102_Wkst'!$Q$7:$Q$2010,'LAC 102_Wkst'!$D$7:$D$2010,$C$7,'LAC 102_Wkst'!$I$7:$I$2010,$C$9,'LAC 102_Wkst'!$E$7:$E$2010,$C44,'LAC 102_Wkst'!$G$7:$G$2010,$D44,'LAC 102_Wkst'!$L$7:$L$2010,"10",'LAC 102_Wkst'!$N$7:$N$2010,"P3")+SUMIFS('LAC 102_Wkst'!$Q$7:$Q$2010,'LAC 102_Wkst'!$D$7:$D$2010,$C$7,'LAC 102_Wkst'!$I$7:$I$2010,$C$9,'LAC 102_Wkst'!$E$7:$E$2010,$C44,'LAC 102_Wkst'!$G$7:$G$2010,$D44,'LAC 102_Wkst'!$L$7:$L$2010,"10",'LAC 102_Wkst'!$N$7:$N$2010,"P4")</f>
        <v>0</v>
      </c>
      <c r="AQ44" s="411">
        <f>SUMIFS('LAC 102_Wkst'!$AF$7:$AF$2010,'LAC 102_Wkst'!$D$7:$D$2010,$C$7,'LAC 102_Wkst'!$I$7:$I$2010,$C$9,'LAC 102_Wkst'!$E$7:$E$2010,$C44,'LAC 102_Wkst'!$G$7:$G$2010,$D44,'LAC 102_Wkst'!$L$7:$L$2010,"10",'LAC 102_Wkst'!$N$7:$N$2010,"P1")+SUMIFS('LAC 102_Wkst'!$AF$7:$AF$2010,'LAC 102_Wkst'!$D$7:$D$2010,$C$7,'LAC 102_Wkst'!$I$7:$I$2010,$C$9,'LAC 102_Wkst'!$E$7:$E$2010,$C44,'LAC 102_Wkst'!$G$7:$G$2010,$D44,'LAC 102_Wkst'!$L$7:$L$2010,"10",'LAC 102_Wkst'!$N$7:$N$2010,"P2")+SUMIFS('LAC 102_Wkst'!$AF$7:$AF$2010,'LAC 102_Wkst'!$D$7:$D$2010,$C$7,'LAC 102_Wkst'!$I$7:$I$2010,$C$9,'LAC 102_Wkst'!$E$7:$E$2010,$C44,'LAC 102_Wkst'!$G$7:$G$2010,$D44,'LAC 102_Wkst'!$L$7:$L$2010,"10",'LAC 102_Wkst'!$N$7:$N$2010,"P3")+SUMIFS('LAC 102_Wkst'!$AF$7:$AF$2010,'LAC 102_Wkst'!$D$7:$D$2010,$C$7,'LAC 102_Wkst'!$I$7:$I$2010,$C$9,'LAC 102_Wkst'!$E$7:$E$2010,$C44,'LAC 102_Wkst'!$G$7:$G$2010,$D44,'LAC 102_Wkst'!$L$7:$L$2010,"10",'LAC 102_Wkst'!$N$7:$N$2010,"P4")</f>
        <v>0</v>
      </c>
      <c r="AR44" s="410">
        <f>SUMIFS('LAC 102_Wkst'!$Q$7:$Q$2010,'LAC 102_Wkst'!$D$7:$D$2010,$C$7,'LAC 102_Wkst'!$I$7:$I$2010,$C$9,'LAC 102_Wkst'!$E$7:$E$2010,$C44,'LAC 102_Wkst'!$G$7:$G$2010,$D44,'LAC 102_Wkst'!$L$7:$L$2010,"10",'LAC 102_Wkst'!$N$7:$N$2010,"P5")</f>
        <v>0</v>
      </c>
      <c r="AS44" s="411">
        <f>SUMIFS('LAC 102_Wkst'!$AF$7:$AF$2010,'LAC 102_Wkst'!$D$7:$D$2010,$C$7,'LAC 102_Wkst'!$I$7:$I$2010,$C$9,'LAC 102_Wkst'!$E$7:$E$2010,$C44,'LAC 102_Wkst'!$G$7:$G$2010,$D44,'LAC 102_Wkst'!$L$7:$L$2010,"10",'LAC 102_Wkst'!$N$7:$N$2010,"P5")</f>
        <v>0</v>
      </c>
      <c r="AT44" s="410">
        <f>SUMIFS('LAC 102_Wkst'!$Q$7:$Q$2010,'LAC 102_Wkst'!$D$7:$D$2010,$C$7,'LAC 102_Wkst'!$I$7:$I$2010,$C$9,'LAC 102_Wkst'!$E$7:$E$2010,$C44,'LAC 102_Wkst'!$G$7:$G$2010,$D44,'LAC 102_Wkst'!$L$7:$L$2010,"11",'LAC 102_Wkst'!$N$7:$N$2010,"P1")+SUMIFS('LAC 102_Wkst'!$Q$7:$Q$2010,'LAC 102_Wkst'!$D$7:$D$2010,$C$7,'LAC 102_Wkst'!$I$7:$I$2010,$C$9,'LAC 102_Wkst'!$E$7:$E$2010,$C44,'LAC 102_Wkst'!$G$7:$G$2010,$D44,'LAC 102_Wkst'!$L$7:$L$2010,"12",'LAC 102_Wkst'!$N$7:$N$2010,"P1")</f>
        <v>0</v>
      </c>
      <c r="AU44" s="411">
        <f>SUMIFS('LAC 102_Wkst'!$Q$7:$Q$2010,'LAC 102_Wkst'!$D$7:$D$2010,$C$7,'LAC 102_Wkst'!$I$7:$I$2010,$C$9,'LAC 102_Wkst'!$E$7:$E$2010,$C44,'LAC 102_Wkst'!$G$7:$G$2010,$D44,'LAC 102_Wkst'!$L$7:$L$2010,"13",'LAC 102_Wkst'!$N$7:$N$2010,"P5")</f>
        <v>0</v>
      </c>
      <c r="AV44" s="410">
        <f>SUMIFS('LAC 102_Wkst'!$Q$7:$Q$2010,'LAC 102_Wkst'!$D$7:$D$2010,$C$7,'LAC 102_Wkst'!$I$7:$I$2010,$C$9,'LAC 102_Wkst'!$E$7:$E$2010,$C44,'LAC 102_Wkst'!$G$7:$G$2010,$D44,'LAC 102_Wkst'!$L$7:$L$2010,"11",'LAC 102_Wkst'!$N$7:$N$2010,"P2")+SUMIFS('LAC 102_Wkst'!$Q$7:$Q$2010,'LAC 102_Wkst'!$D$7:$D$2010,$C$7,'LAC 102_Wkst'!$I$7:$I$2010,$C$9,'LAC 102_Wkst'!$E$7:$E$2010,$C44,'LAC 102_Wkst'!$G$7:$G$2010,$D44,'LAC 102_Wkst'!$L$7:$L$2010,"12",'LAC 102_Wkst'!$N$7:$N$2010,"P2")+SUMIFS('LAC 102_Wkst'!$Q$7:$Q$2010,'LAC 102_Wkst'!$D$7:$D$2010,$C$7,'LAC 102_Wkst'!$I$7:$I$2010,$C$9,'LAC 102_Wkst'!$E$7:$E$2010,$C44,'LAC 102_Wkst'!$G$7:$G$2010,$D44,'LAC 102_Wkst'!$L$7:$L$2010,"11",'LAC 102_Wkst'!$N$7:$N$2010,"P3")+SUMIFS('LAC 102_Wkst'!$Q$7:$Q$2010,'LAC 102_Wkst'!$D$7:$D$2010,$C$7,'LAC 102_Wkst'!$I$7:$I$2010,$C$9,'LAC 102_Wkst'!$E$7:$E$2010,$C44,'LAC 102_Wkst'!$G$7:$G$2010,$D44,'LAC 102_Wkst'!$L$7:$L$2010,"12",'LAC 102_Wkst'!$N$7:$N$2010,"P3")</f>
        <v>0</v>
      </c>
      <c r="AW44" s="411">
        <f>SUMIFS('LAC 102_Wkst'!$AF$7:$AF$2010,'LAC 102_Wkst'!$D$7:$D$2010,$C$7,'LAC 102_Wkst'!$I$7:$I$2010,$C$9,'LAC 102_Wkst'!$E$7:$E$2010,$C44,'LAC 102_Wkst'!$G$7:$G$2010,$D44,'LAC 102_Wkst'!$L$7:$L$2010,"11",'LAC 102_Wkst'!$N$7:$N$2010,"P2")+SUMIFS('LAC 102_Wkst'!$AF$7:$AF$2010,'LAC 102_Wkst'!$D$7:$D$2010,$C$7,'LAC 102_Wkst'!$I$7:$I$2010,$C$9,'LAC 102_Wkst'!$E$7:$E$2010,$C44,'LAC 102_Wkst'!$G$7:$G$2010,$D44,'LAC 102_Wkst'!$L$7:$L$2010,"12",'LAC 102_Wkst'!$N$7:$N$2010,"P2")+SUMIFS('LAC 102_Wkst'!$AF$7:$AF$2010,'LAC 102_Wkst'!$D$7:$D$2010,$C$7,'LAC 102_Wkst'!$I$7:$I$2010,$C$9,'LAC 102_Wkst'!$E$7:$E$2010,$C44,'LAC 102_Wkst'!$G$7:$G$2010,$D44,'LAC 102_Wkst'!$L$7:$L$2010,"11",'LAC 102_Wkst'!$N$7:$N$2010,"P3")+SUMIFS('LAC 102_Wkst'!$AF$7:$AF$2010,'LAC 102_Wkst'!$D$7:$D$2010,$C$7,'LAC 102_Wkst'!$I$7:$I$2010,$C$9,'LAC 102_Wkst'!$E$7:$E$2010,$C44,'LAC 102_Wkst'!$G$7:$G$2010,$D44,'LAC 102_Wkst'!$L$7:$L$2010,"12",'LAC 102_Wkst'!$N$7:$N$2010,"P3")</f>
        <v>0</v>
      </c>
      <c r="AX44" s="410">
        <f>SUMIFS('LAC 102_Wkst'!$Q$7:$Q$2010,'LAC 102_Wkst'!$D$7:$D$2010,$C$7,'LAC 102_Wkst'!$I$7:$I$2010,$C$9,'LAC 102_Wkst'!$E$7:$E$2010,$C44,'LAC 102_Wkst'!$G$7:$G$2010,$D44,'LAC 102_Wkst'!$L$7:$L$2010,"11",'LAC 102_Wkst'!$N$7:$N$2010,"P4")+SUMIFS('LAC 102_Wkst'!$Q$7:$Q$2010,'LAC 102_Wkst'!$D$7:$D$2010,$C$7,'LAC 102_Wkst'!$I$7:$I$2010,$C$9,'LAC 102_Wkst'!$E$7:$E$2010,$C44,'LAC 102_Wkst'!$G$7:$G$2010,$D44,'LAC 102_Wkst'!$L$7:$L$2010,"12",'LAC 102_Wkst'!$N$7:$N$2010,"P4")</f>
        <v>0</v>
      </c>
      <c r="AY44" s="411">
        <f>SUMIFS('LAC 102_Wkst'!$AF$7:$AF$2010,'LAC 102_Wkst'!$D$7:$D$2010,$C$7,'LAC 102_Wkst'!$I$7:$I$2010,$C$9,'LAC 102_Wkst'!$E$7:$E$2010,$C44,'LAC 102_Wkst'!$G$7:$G$2010,$D44,'LAC 102_Wkst'!$L$7:$L$2010,"11",'LAC 102_Wkst'!$N$7:$N$2010,"P4")+SUMIFS('LAC 102_Wkst'!$AF$7:$AF$2010,'LAC 102_Wkst'!$D$7:$D$2010,$C$7,'LAC 102_Wkst'!$I$7:$I$2010,$C$9,'LAC 102_Wkst'!$E$7:$E$2010,$C44,'LAC 102_Wkst'!$G$7:$G$2010,$D44,'LAC 102_Wkst'!$L$7:$L$2010,"12",'LAC 102_Wkst'!$N$7:$N$2010,"P4")</f>
        <v>0</v>
      </c>
      <c r="AZ44" s="410">
        <f>SUMIFS('LAC 102_Wkst'!$Q$7:$Q$2010,'LAC 102_Wkst'!$D$7:$D$2010,$C$7,'LAC 102_Wkst'!$I$7:$I$2010,$C$9,'LAC 102_Wkst'!$E$7:$E$2010,$C44,'LAC 102_Wkst'!$G$7:$G$2010,$D44,'LAC 102_Wkst'!$L$7:$L$2010,"11",'LAC 102_Wkst'!$N$7:$N$2010,"P5")+SUMIFS('LAC 102_Wkst'!$Q$7:$Q$2010,'LAC 102_Wkst'!$D$7:$D$2010,$C$7,'LAC 102_Wkst'!$I$7:$I$2010,$C$9,'LAC 102_Wkst'!$E$7:$E$2010,$C44,'LAC 102_Wkst'!$G$7:$G$2010,$D44,'LAC 102_Wkst'!$L$7:$L$2010,"12",'LAC 102_Wkst'!$N$7:$N$2010,"P5")</f>
        <v>0</v>
      </c>
      <c r="BA44" s="411">
        <f>SUMIFS('LAC 102_Wkst'!$AF$7:$AF$2010,'LAC 102_Wkst'!$D$7:$D$2010,$C$7,'LAC 102_Wkst'!$I$7:$I$2010,$C$9,'LAC 102_Wkst'!$E$7:$E$2010,$C44,'LAC 102_Wkst'!$G$7:$G$2010,$D44,'LAC 102_Wkst'!$L$7:$L$2010,"11",'LAC 102_Wkst'!$N$7:$N$2010,"P5")+SUMIFS('LAC 102_Wkst'!$AF$7:$AF$2010,'LAC 102_Wkst'!$D$7:$D$2010,$C$7,'LAC 102_Wkst'!$I$7:$I$2010,$C$9,'LAC 102_Wkst'!$E$7:$E$2010,$C44,'LAC 102_Wkst'!$G$7:$G$2010,$D44,'LAC 102_Wkst'!$L$7:$L$2010,"12",'LAC 102_Wkst'!$N$7:$N$2010,"P5")</f>
        <v>0</v>
      </c>
      <c r="BB44" s="410">
        <f>SUMIFS('LAC 102_Wkst'!$Q$7:$Q$2010,'LAC 102_Wkst'!$D$7:$D$2010,$C$7,'LAC 102_Wkst'!$I$7:$I$2010,$C$9,'LAC 102_Wkst'!$E$7:$E$2010,$C44,'LAC 102_Wkst'!$G$7:$G$2010,$D44,'LAC 102_Wkst'!$L$7:$L$2010,"13",'LAC 102_Wkst'!$N$7:$N$2010,"P1")+SUMIFS('LAC 102_Wkst'!$Q$7:$Q$2010,'LAC 102_Wkst'!$D$7:$D$2010,$C$7,'LAC 102_Wkst'!$I$7:$I$2010,$C$9,'LAC 102_Wkst'!$E$7:$E$2010,$C44,'LAC 102_Wkst'!$G$7:$G$2010,$D44,'LAC 102_Wkst'!$L$7:$L$2010,"13",'LAC 102_Wkst'!$N$7:$N$2010,"P2")+SUMIFS('LAC 102_Wkst'!$Q$7:$Q$2010,'LAC 102_Wkst'!$D$7:$D$2010,$C$7,'LAC 102_Wkst'!$I$7:$I$2010,$C$9,'LAC 102_Wkst'!$E$7:$E$2010,$C44,'LAC 102_Wkst'!$G$7:$G$2010,$D44,'LAC 102_Wkst'!$L$7:$L$2010,"13",'LAC 102_Wkst'!$N$7:$N$2010,"P3")+SUMIFS('LAC 102_Wkst'!$Q$7:$Q$2010,'LAC 102_Wkst'!$D$7:$D$2010,$C$7,'LAC 102_Wkst'!$I$7:$I$2010,$C$9,'LAC 102_Wkst'!$E$7:$E$2010,$C44,'LAC 102_Wkst'!$G$7:$G$2010,$D44,'LAC 102_Wkst'!$L$7:$L$2010,"13",'LAC 102_Wkst'!$N$7:$N$2010,"P4")</f>
        <v>0</v>
      </c>
      <c r="BC44" s="411">
        <f>SUMIFS('LAC 102_Wkst'!$AF$7:$AF$2010,'LAC 102_Wkst'!$D$7:$D$2010,$C$7,'LAC 102_Wkst'!$I$7:$I$2010,$C$9,'LAC 102_Wkst'!$E$7:$E$2010,$C44,'LAC 102_Wkst'!$G$7:$G$2010,$D44,'LAC 102_Wkst'!$L$7:$L$2010,"13",'LAC 102_Wkst'!$N$7:$N$2010,"P1")+SUMIFS('LAC 102_Wkst'!$AF$7:$AF$2010,'LAC 102_Wkst'!$D$7:$D$2010,$C$7,'LAC 102_Wkst'!$I$7:$I$2010,$C$9,'LAC 102_Wkst'!$E$7:$E$2010,$C44,'LAC 102_Wkst'!$G$7:$G$2010,$D44,'LAC 102_Wkst'!$L$7:$L$2010,"13",'LAC 102_Wkst'!$N$7:$N$2010,"P2")+SUMIFS('LAC 102_Wkst'!$AF$7:$AF$2010,'LAC 102_Wkst'!$D$7:$D$2010,$C$7,'LAC 102_Wkst'!$I$7:$I$2010,$C$9,'LAC 102_Wkst'!$E$7:$E$2010,$C44,'LAC 102_Wkst'!$G$7:$G$2010,$D44,'LAC 102_Wkst'!$L$7:$L$2010,"13",'LAC 102_Wkst'!$N$7:$N$2010,"P3")+SUMIFS('LAC 102_Wkst'!$AF$7:$AF$2010,'LAC 102_Wkst'!$D$7:$D$2010,$C$7,'LAC 102_Wkst'!$I$7:$I$2010,$C$9,'LAC 102_Wkst'!$E$7:$E$2010,$C44,'LAC 102_Wkst'!$G$7:$G$2010,$D44,'LAC 102_Wkst'!$L$7:$L$2010,"13",'LAC 102_Wkst'!$N$7:$N$2010,"P4")</f>
        <v>0</v>
      </c>
      <c r="BD44" s="410">
        <f>SUMIFS('LAC 102_Wkst'!$Q$7:$Q$2010,'LAC 102_Wkst'!$D$7:$D$2010,$C$7,'LAC 102_Wkst'!$I$7:$I$2010,$C$9,'LAC 102_Wkst'!$E$7:$E$2010,$C44,'LAC 102_Wkst'!$G$7:$G$2010,$D44,'LAC 102_Wkst'!$L$7:$L$2010,"13",'LAC 102_Wkst'!$N$7:$N$2010,"P5")</f>
        <v>0</v>
      </c>
      <c r="BE44" s="411">
        <f>SUMIFS('LAC 102_Wkst'!$AF$7:$AF$2010,'LAC 102_Wkst'!$D$7:$D$2010,$C$7,'LAC 102_Wkst'!$I$7:$I$2010,$C$9,'LAC 102_Wkst'!$E$7:$E$2010,$C44,'LAC 102_Wkst'!$G$7:$G$2010,$D44,'LAC 102_Wkst'!$L$7:$L$2010,"13",'LAC 102_Wkst'!$N$7:$N$2010,"P5")</f>
        <v>0</v>
      </c>
      <c r="BF44" s="407">
        <f t="shared" si="4"/>
        <v>0</v>
      </c>
      <c r="BG44" s="1654">
        <f>SUMIFS('LAC 102_Wkst'!$AF$7:$AF$2010,'LAC 102_Wkst'!$D$7:$D$2010,$C$7,'LAC 102_Wkst'!$I$7:$I$2010,$C$9,'LAC 102_Wkst'!$E$7:$E$2010,$C44,'LAC 102_Wkst'!$G$7:$G$2010,$D44,'LAC 102_Wkst'!$L$7:$L$2010,"14")</f>
        <v>0</v>
      </c>
    </row>
    <row r="45" spans="1:59" x14ac:dyDescent="0.2">
      <c r="A45" s="401">
        <v>23</v>
      </c>
      <c r="B45" s="1678" t="str">
        <f>IF(Schedule_B!B$42="","",Schedule_B!B$42)</f>
        <v/>
      </c>
      <c r="C45" s="1674" t="str">
        <f>IF(Schedule_B!C$42=""," ",Schedule_B!C$42)</f>
        <v xml:space="preserve"> </v>
      </c>
      <c r="D45" s="1675" t="str">
        <f>IF(Schedule_B!D$42=""," ",Schedule_B!D$42)</f>
        <v xml:space="preserve"> </v>
      </c>
      <c r="E45" s="1221">
        <f>SUMIFS('LAC 102_Wkst'!$Q$7:$Q$2010,'LAC 102_Wkst'!$D$7:$D$2010,$C$7,'LAC 102_Wkst'!$I$7:$I$2010,$C$9,'LAC 102_Wkst'!$E$7:$E$2010,$C45,'LAC 102_Wkst'!$G$7:$G$2010,$D45)</f>
        <v>0</v>
      </c>
      <c r="F45" s="408">
        <f>SUMIFS('LAC 102_Wkst'!$Q$7:$Q$2010,'LAC 102_Wkst'!$D$7:$D$2010,$C$7,'LAC 102_Wkst'!$I$7:$I$2010,$C$9,'LAC 102_Wkst'!$E$7:$E$2010,$C45,'LAC 102_Wkst'!$G$7:$G$2010,$D45,'LAC 102_Wkst'!$L$7:$L$2010,"01",'LAC 102_Wkst'!$N$7:$N$2010,"P1")+SUMIFS('LAC 102_Wkst'!$Q$7:$Q$2010,'LAC 102_Wkst'!$D$7:$D$2010,$C$7,'LAC 102_Wkst'!$I$7:$I$2010,$C$9,'LAC 102_Wkst'!$E$7:$E$2010,$C45,'LAC 102_Wkst'!$G$7:$G$2010,$D45,'LAC 102_Wkst'!$L$7:$L$2010,"01",'LAC 102_Wkst'!$N$7:$N$2010,"P2")+SUMIFS('LAC 102_Wkst'!$Q$7:$Q$2010,'LAC 102_Wkst'!$D$7:$D$2010,$C$7,'LAC 102_Wkst'!$I$7:$I$2010,$C$9,'LAC 102_Wkst'!$E$7:$E$2010,$C45,'LAC 102_Wkst'!$G$7:$G$2010,$D45,'LAC 102_Wkst'!$L$7:$L$2010,"01",'LAC 102_Wkst'!$N$7:$N$2010,"P3")+SUMIFS('LAC 102_Wkst'!$Q$7:$Q$2010,'LAC 102_Wkst'!$D$7:$D$2010,$C$7,'LAC 102_Wkst'!$I$7:$I$2010,$C$9,'LAC 102_Wkst'!$E$7:$E$2010,$C45,'LAC 102_Wkst'!$G$7:$G$2010,$D45,'LAC 102_Wkst'!$L$7:$L$2010,"02",'LAC 102_Wkst'!$N$7:$N$2010,"P1")+SUMIFS('LAC 102_Wkst'!$Q$7:$Q$2010,'LAC 102_Wkst'!$D$7:$D$2010,$C$7,'LAC 102_Wkst'!$I$7:$I$2010,$C$9,'LAC 102_Wkst'!$E$7:$E$2010,$C45,'LAC 102_Wkst'!$G$7:$G$2010,$D45,'LAC 102_Wkst'!$L$7:$L$2010,"02",'LAC 102_Wkst'!$N$7:$N$2010,"P2")+SUMIFS('LAC 102_Wkst'!$Q$7:$Q$2010,'LAC 102_Wkst'!$D$7:$D$2010,$C$7,'LAC 102_Wkst'!$I$7:$I$2010,$C$9,'LAC 102_Wkst'!$E$7:$E$2010,$C45,'LAC 102_Wkst'!$G$7:$G$2010,$D45,'LAC 102_Wkst'!$L$7:$L$2010,"02",'LAC 102_Wkst'!$N$7:$N$2010,"P3")</f>
        <v>0</v>
      </c>
      <c r="G45" s="409">
        <f>SUMIFS('LAC 102_Wkst'!$AF$7:$AF$2010,'LAC 102_Wkst'!$D$7:$D$2010,$C$7,'LAC 102_Wkst'!$I$7:$I$2010,$C$9,'LAC 102_Wkst'!$E$7:$E$2010,$C45,'LAC 102_Wkst'!$G$7:$G$2010,$D45,'LAC 102_Wkst'!$L$7:$L$2010,"01",'LAC 102_Wkst'!$N$7:$N$2010,"P1")+SUMIFS('LAC 102_Wkst'!$AF$7:$AF$2010,'LAC 102_Wkst'!$D$7:$D$2010,$C$7,'LAC 102_Wkst'!$I$7:$I$2010,$C$9,'LAC 102_Wkst'!$E$7:$E$2010,$C45,'LAC 102_Wkst'!$G$7:$G$2010,$D45,'LAC 102_Wkst'!$L$7:$L$2010,"01",'LAC 102_Wkst'!$N$7:$N$2010,"P2")+SUMIFS('LAC 102_Wkst'!$AF$7:$AF$2010,'LAC 102_Wkst'!$D$7:$D$2010,$C$7,'LAC 102_Wkst'!$I$7:$I$2010,$C$9,'LAC 102_Wkst'!$E$7:$E$2010,$C45,'LAC 102_Wkst'!$G$7:$G$2010,$D45,'LAC 102_Wkst'!$L$7:$L$2010,"01",'LAC 102_Wkst'!$N$7:$N$2010,"P3")+SUMIFS('LAC 102_Wkst'!$AF$7:$AF$2010,'LAC 102_Wkst'!$D$7:$D$2010,$C$7,'LAC 102_Wkst'!$I$7:$I$2010,$C$9,'LAC 102_Wkst'!$E$7:$E$2010,$C45,'LAC 102_Wkst'!$G$7:$G$2010,$D45,'LAC 102_Wkst'!$L$7:$L$2010,"02",'LAC 102_Wkst'!$N$7:$N$2010,"P1")+SUMIFS('LAC 102_Wkst'!$AF$7:$AF$2010,'LAC 102_Wkst'!$D$7:$D$2010,$C$7,'LAC 102_Wkst'!$I$7:$I$2010,$C$9,'LAC 102_Wkst'!$E$7:$E$2010,$C45,'LAC 102_Wkst'!$G$7:$G$2010,$D45,'LAC 102_Wkst'!$L$7:$L$2010,"02",'LAC 102_Wkst'!$N$7:$N$2010,"P2")+SUMIFS('LAC 102_Wkst'!$AF$7:$AF$2010,'LAC 102_Wkst'!$D$7:$D$2010,$C$7,'LAC 102_Wkst'!$I$7:$I$2010,$C$9,'LAC 102_Wkst'!$E$7:$E$2010,$C45,'LAC 102_Wkst'!$G$7:$G$2010,$D45,'LAC 102_Wkst'!$L$7:$L$2010,"02",'LAC 102_Wkst'!$N$7:$N$2010,"P3")</f>
        <v>0</v>
      </c>
      <c r="H45" s="410">
        <f>SUMIFS('LAC 102_Wkst'!$Q$7:$Q$2010,'LAC 102_Wkst'!$D$7:$D$2010,$C$7,'LAC 102_Wkst'!$I$7:$I$2010,$C$9,'LAC 102_Wkst'!$E$7:$E$2010,$C45,'LAC 102_Wkst'!$G$7:$G$2010,$D45,'LAC 102_Wkst'!$L$7:$L$2010,"01",'LAC 102_Wkst'!$N$7:$N$2010,"P4")+SUMIFS('LAC 102_Wkst'!$Q$7:$Q$2010,'LAC 102_Wkst'!$D$7:$D$2010,$C$7,'LAC 102_Wkst'!$I$7:$I$2010,$C$9,'LAC 102_Wkst'!$E$7:$E$2010,$C45,'LAC 102_Wkst'!$G$7:$G$2010,$D45,'LAC 102_Wkst'!$L$7:$L$2010,"02",'LAC 102_Wkst'!$N$7:$N$2010,"P4")</f>
        <v>0</v>
      </c>
      <c r="I45" s="411">
        <f>SUMIFS('LAC 102_Wkst'!$AF$7:$AF$2010,'LAC 102_Wkst'!$D$7:$D$2010,$C$7,'LAC 102_Wkst'!$I$7:$I$2010,$C$9,'LAC 102_Wkst'!$E$7:$E$2010,$C45,'LAC 102_Wkst'!$G$7:$G$2010,$D45,'LAC 102_Wkst'!$L$7:$L$2010,"01",'LAC 102_Wkst'!$N$7:$N$2010,"P4")+SUMIFS('LAC 102_Wkst'!$AF$7:$AF$2010,'LAC 102_Wkst'!$D$7:$D$2010,$C$7,'LAC 102_Wkst'!$I$7:$I$2010,$C$9,'LAC 102_Wkst'!$E$7:$E$2010,$C45,'LAC 102_Wkst'!$G$7:$G$2010,$D45,'LAC 102_Wkst'!$L$7:$L$2010,"02",'LAC 102_Wkst'!$N$7:$N$2010,"P4")</f>
        <v>0</v>
      </c>
      <c r="J45" s="410">
        <f>SUMIFS('LAC 102_Wkst'!$Q$7:$Q$2010,'LAC 102_Wkst'!$D$7:$D$2010,$C$7,'LAC 102_Wkst'!$I$7:$I$2010,$C$9,'LAC 102_Wkst'!$E$7:$E$2010,$C45,'LAC 102_Wkst'!$G$7:$G$2010,$D45,'LAC 102_Wkst'!$L$7:$L$2010,"01",'LAC 102_Wkst'!$N$7:$N$2010,"P5")+SUMIFS('LAC 102_Wkst'!$Q$7:$Q$2010,'LAC 102_Wkst'!$D$7:$D$2010,$C$7,'LAC 102_Wkst'!$I$7:$I$2010,$C$9,'LAC 102_Wkst'!$E$7:$E$2010,$C45,'LAC 102_Wkst'!$G$7:$G$2010,$D45,'LAC 102_Wkst'!$L$7:$L$2010,"02",'LAC 102_Wkst'!$N$7:$N$2010,"P5")</f>
        <v>0</v>
      </c>
      <c r="K45" s="411">
        <f>SUMIFS('LAC 102_Wkst'!$AF$7:$AF$2010,'LAC 102_Wkst'!$D$7:$D$2010,$C$7,'LAC 102_Wkst'!$I$7:$I$2010,$C$9,'LAC 102_Wkst'!$E$7:$E$2010,$C45,'LAC 102_Wkst'!$G$7:$G$2010,$D45,'LAC 102_Wkst'!$L$7:$L$2010,"01",'LAC 102_Wkst'!$N$7:$N$2010,"P5")+SUMIFS('LAC 102_Wkst'!$AF$7:$AF$2010,'LAC 102_Wkst'!$D$7:$D$2010,$C$7,'LAC 102_Wkst'!$I$7:$I$2010,$C$9,'LAC 102_Wkst'!$E$7:$E$2010,$C45,'LAC 102_Wkst'!$G$7:$G$2010,$D45,'LAC 102_Wkst'!$L$7:$L$2010,"02",'LAC 102_Wkst'!$N$7:$N$2010,"P5")</f>
        <v>0</v>
      </c>
      <c r="L45" s="410">
        <f>SUMIFS('LAC 102_Wkst'!$Q$7:$Q$2010,'LAC 102_Wkst'!$D$7:$D$2010,$C$7,'LAC 102_Wkst'!$I$7:$I$2010,$C$9,'LAC 102_Wkst'!$E$7:$E$2010,$C45,'LAC 102_Wkst'!$G$7:$G$2010,$D45,'LAC 102_Wkst'!$L$7:$L$2010,"03",'LAC 102_Wkst'!$N$7:$N$2010,"P1")+SUMIFS('LAC 102_Wkst'!$Q$7:$Q$2010,'LAC 102_Wkst'!$D$7:$D$2010,$C$7,'LAC 102_Wkst'!$I$7:$I$2010,$C$9,'LAC 102_Wkst'!$E$7:$E$2010,$C45,'LAC 102_Wkst'!$G$7:$G$2010,$D45,'LAC 102_Wkst'!$L$7:$L$2010,"03",'LAC 102_Wkst'!$N$7:$N$2010,"P2")+SUMIFS('LAC 102_Wkst'!$Q$7:$Q$2010,'LAC 102_Wkst'!$D$7:$D$2010,$C$7,'LAC 102_Wkst'!$I$7:$I$2010,$C$9,'LAC 102_Wkst'!$E$7:$E$2010,$C45,'LAC 102_Wkst'!$G$7:$G$2010,$D45,'LAC 102_Wkst'!$L$7:$L$2010,"03",'LAC 102_Wkst'!$N$7:$N$2010,"P3")+SUMIFS('LAC 102_Wkst'!$Q$7:$Q$2010,'LAC 102_Wkst'!$D$7:$D$2010,$C$7,'LAC 102_Wkst'!$I$7:$I$2010,$C$9,'LAC 102_Wkst'!$E$7:$E$2010,$C45,'LAC 102_Wkst'!$G$7:$G$2010,$D45,'LAC 102_Wkst'!$L$7:$L$2010,"04",'LAC 102_Wkst'!$N$7:$N$2010,"P1")+SUMIFS('LAC 102_Wkst'!$Q$7:$Q$2010,'LAC 102_Wkst'!$D$7:$D$2010,$C$7,'LAC 102_Wkst'!$I$7:$I$2010,$C$9,'LAC 102_Wkst'!$E$7:$E$2010,$C45,'LAC 102_Wkst'!$G$7:$G$2010,$D45,'LAC 102_Wkst'!$L$7:$L$2010,"04",'LAC 102_Wkst'!$N$7:$N$2010,"P2")+SUMIFS('LAC 102_Wkst'!$Q$7:$Q$2010,'LAC 102_Wkst'!$D$7:$D$2010,$C$7,'LAC 102_Wkst'!$I$7:$I$2010,$C$9,'LAC 102_Wkst'!$E$7:$E$2010,$C45,'LAC 102_Wkst'!$G$7:$G$2010,$D45,'LAC 102_Wkst'!$L$7:$L$2010,"04",'LAC 102_Wkst'!$N$7:$N$2010,"P3")</f>
        <v>0</v>
      </c>
      <c r="M45" s="411">
        <f>SUMIFS('LAC 102_Wkst'!$AF$7:$AF$2010,'LAC 102_Wkst'!$D$7:$D$2010,$C$7,'LAC 102_Wkst'!$I$7:$I$2010,$C$9,'LAC 102_Wkst'!$E$7:$E$2010,$C45,'LAC 102_Wkst'!$G$7:$G$2010,$D45,'LAC 102_Wkst'!$L$7:$L$2010,"03",'LAC 102_Wkst'!$N$7:$N$2010,"P1")+SUMIFS('LAC 102_Wkst'!$AF$7:$AF$2010,'LAC 102_Wkst'!$D$7:$D$2010,$C$7,'LAC 102_Wkst'!$I$7:$I$2010,$C$9,'LAC 102_Wkst'!$E$7:$E$2010,$C45,'LAC 102_Wkst'!$G$7:$G$2010,$D45,'LAC 102_Wkst'!$L$7:$L$2010,"03",'LAC 102_Wkst'!$N$7:$N$2010,"P2")+SUMIFS('LAC 102_Wkst'!$AF$7:$AF$2010,'LAC 102_Wkst'!$D$7:$D$2010,$C$7,'LAC 102_Wkst'!$I$7:$I$2010,$C$9,'LAC 102_Wkst'!$E$7:$E$2010,$C45,'LAC 102_Wkst'!$G$7:$G$2010,$D45,'LAC 102_Wkst'!$L$7:$L$2010,"03",'LAC 102_Wkst'!$N$7:$N$2010,"P3")+SUMIFS('LAC 102_Wkst'!$AF$7:$AF$2010,'LAC 102_Wkst'!$D$7:$D$2010,$C$7,'LAC 102_Wkst'!$I$7:$I$2010,$C$9,'LAC 102_Wkst'!$E$7:$E$2010,$C45,'LAC 102_Wkst'!$G$7:$G$2010,$D45,'LAC 102_Wkst'!$L$7:$L$2010,"04",'LAC 102_Wkst'!$N$7:$N$2010,"P1")+SUMIFS('LAC 102_Wkst'!$AF$7:$AF$2010,'LAC 102_Wkst'!$D$7:$D$2010,$C$7,'LAC 102_Wkst'!$I$7:$I$2010,$C$9,'LAC 102_Wkst'!$E$7:$E$2010,$C45,'LAC 102_Wkst'!$G$7:$G$2010,$D45,'LAC 102_Wkst'!$L$7:$L$2010,"04",'LAC 102_Wkst'!$N$7:$N$2010,"P2")+SUMIFS('LAC 102_Wkst'!$AF$7:$AF$2010,'LAC 102_Wkst'!$D$7:$D$2010,$C$7,'LAC 102_Wkst'!$I$7:$I$2010,$C$9,'LAC 102_Wkst'!$E$7:$E$2010,$C45,'LAC 102_Wkst'!$G$7:$G$2010,$D45,'LAC 102_Wkst'!$L$7:$L$2010,"04",'LAC 102_Wkst'!$N$7:$N$2010,"P3")</f>
        <v>0</v>
      </c>
      <c r="N45" s="410">
        <f>SUMIFS('LAC 102_Wkst'!$Q$7:$Q$2010,'LAC 102_Wkst'!$D$7:$D$2010,$C$7,'LAC 102_Wkst'!$I$7:$I$2010,$C$9,'LAC 102_Wkst'!$E$7:$E$2010,$C45,'LAC 102_Wkst'!$G$7:$G$2010,$D45,'LAC 102_Wkst'!$L$7:$L$2010,"03",'LAC 102_Wkst'!$N$7:$N$2010,"P4")+SUMIFS('LAC 102_Wkst'!$Q$7:$Q$2010,'LAC 102_Wkst'!$D$7:$D$2010,$C$7,'LAC 102_Wkst'!$I$7:$I$2010,$C$9,'LAC 102_Wkst'!$E$7:$E$2010,$C45,'LAC 102_Wkst'!$G$7:$G$2010,$D45,'LAC 102_Wkst'!$L$7:$L$2010,"04",'LAC 102_Wkst'!$N$7:$N$2010,"P4")</f>
        <v>0</v>
      </c>
      <c r="O45" s="411">
        <f>SUMIFS('LAC 102_Wkst'!$AF$7:$AF$2010,'LAC 102_Wkst'!$D$7:$D$2010,$C$7,'LAC 102_Wkst'!$I$7:$I$2010,$C$9,'LAC 102_Wkst'!$E$7:$E$2010,$C45,'LAC 102_Wkst'!$G$7:$G$2010,$D45,'LAC 102_Wkst'!$L$7:$L$2010,"03",'LAC 102_Wkst'!$N$7:$N$2010,"P4")+SUMIFS('LAC 102_Wkst'!$AF$7:$AF$2010,'LAC 102_Wkst'!$D$7:$D$2010,$C$7,'LAC 102_Wkst'!$I$7:$I$2010,$C$9,'LAC 102_Wkst'!$E$7:$E$2010,$C45,'LAC 102_Wkst'!$G$7:$G$2010,$D45,'LAC 102_Wkst'!$L$7:$L$2010,"04",'LAC 102_Wkst'!$N$7:$N$2010,"P4")</f>
        <v>0</v>
      </c>
      <c r="P45" s="410">
        <f>SUMIFS('LAC 102_Wkst'!$Q$7:$Q$2010,'LAC 102_Wkst'!$D$7:$D$2010,$C$7,'LAC 102_Wkst'!$I$7:$I$2010,$C$9,'LAC 102_Wkst'!$E$7:$E$2010,$C45,'LAC 102_Wkst'!$G$7:$G$2010,$D45,'LAC 102_Wkst'!$L$7:$L$2010,"03",'LAC 102_Wkst'!$N$7:$N$2010,"P5")+SUMIFS('LAC 102_Wkst'!$Q$7:$Q$2010,'LAC 102_Wkst'!$D$7:$D$2010,$C$7,'LAC 102_Wkst'!$I$7:$I$2010,$C$9,'LAC 102_Wkst'!$E$7:$E$2010,$C45,'LAC 102_Wkst'!$G$7:$G$2010,$D45,'LAC 102_Wkst'!$L$7:$L$2010,"04",'LAC 102_Wkst'!$N$7:$N$2010,"P5")</f>
        <v>0</v>
      </c>
      <c r="Q45" s="411">
        <f>SUMIFS('LAC 102_Wkst'!$AF$7:$AF$2010,'LAC 102_Wkst'!$D$7:$D$2010,$C$7,'LAC 102_Wkst'!$I$7:$I$2010,$C$9,'LAC 102_Wkst'!$E$7:$E$2010,$C45,'LAC 102_Wkst'!$G$7:$G$2010,$D45,'LAC 102_Wkst'!$L$7:$L$2010,"03",'LAC 102_Wkst'!$N$7:$N$2010,"P5")+SUMIFS('LAC 102_Wkst'!$AF$7:$AF$2010,'LAC 102_Wkst'!$D$7:$D$2010,$C$7,'LAC 102_Wkst'!$I$7:$I$2010,$C$9,'LAC 102_Wkst'!$E$7:$E$2010,$C45,'LAC 102_Wkst'!$G$7:$G$2010,$D45,'LAC 102_Wkst'!$L$7:$L$2010,"04",'LAC 102_Wkst'!$N$7:$N$2010,"P5")</f>
        <v>0</v>
      </c>
      <c r="R45" s="412">
        <f>SUMIFS('LAC 102_Wkst'!$Q$7:$Q$2010,'LAC 102_Wkst'!$D$7:$D$2010,$C$7,'LAC 102_Wkst'!$I$7:$I$2010,$C$9,'LAC 102_Wkst'!$E$7:$E$2010,$C45,'LAC 102_Wkst'!$G$7:$G$2010,$D45,'LAC 102_Wkst'!$L$7:$L$2010,"05",'LAC 102_Wkst'!$N$7:$N$2010,"P1")+SUMIFS('LAC 102_Wkst'!$Q$7:$Q$2010,'LAC 102_Wkst'!$D$7:$D$2010,$C$7,'LAC 102_Wkst'!$I$7:$I$2010,$C$9,'LAC 102_Wkst'!$E$7:$E$2010,$C45,'LAC 102_Wkst'!$G$7:$G$2010,$D45,'LAC 102_Wkst'!$L$7:$L$2010,"06",'LAC 102_Wkst'!$N$7:$N$2010,"P1")</f>
        <v>0</v>
      </c>
      <c r="S45" s="411">
        <f>SUMIFS('LAC 102_Wkst'!$AF$7:$AF$2010,'LAC 102_Wkst'!$D$7:$D$2010,$C$7,'LAC 102_Wkst'!$I$7:$I$2010,$C$9,'LAC 102_Wkst'!$E$7:$E$2010,$C45,'LAC 102_Wkst'!$G$7:$G$2010,$D45,'LAC 102_Wkst'!$L$7:$L$2010,"05",'LAC 102_Wkst'!$N$7:$N$2010,"P1")+SUMIFS('LAC 102_Wkst'!$AF$7:$AF$2010,'LAC 102_Wkst'!$D$7:$D$2010,$C$7,'LAC 102_Wkst'!$I$7:$I$2010,$C$9,'LAC 102_Wkst'!$E$7:$E$2010,$C45,'LAC 102_Wkst'!$G$7:$G$2010,$D45,'LAC 102_Wkst'!$L$7:$L$2010,"06",'LAC 102_Wkst'!$N$7:$N$2010,"P1")</f>
        <v>0</v>
      </c>
      <c r="T45" s="410">
        <f>SUMIFS('LAC 102_Wkst'!$Q$7:$Q$2010,'LAC 102_Wkst'!$D$7:$D$2010,$C$7,'LAC 102_Wkst'!$I$7:$I$2010,$C$9,'LAC 102_Wkst'!$E$7:$E$2010,$C45,'LAC 102_Wkst'!$G$7:$G$2010,$D45,'LAC 102_Wkst'!$L$7:$L$2010,"05",'LAC 102_Wkst'!$N$7:$N$2010,"P2")+SUMIFS('LAC 102_Wkst'!$Q$7:$Q$2010,'LAC 102_Wkst'!$D$7:$D$2010,$C$7,'LAC 102_Wkst'!$I$7:$I$2010,$C$9,'LAC 102_Wkst'!$E$7:$E$2010,$C45,'LAC 102_Wkst'!$G$7:$G$2010,$D45,'LAC 102_Wkst'!$L$7:$L$2010,"06",'LAC 102_Wkst'!$N$7:$N$2010,"P2")+SUMIFS('LAC 102_Wkst'!$Q$7:$Q$2010,'LAC 102_Wkst'!$D$7:$D$2010,$C$7,'LAC 102_Wkst'!$I$7:$I$2010,$C$9,'LAC 102_Wkst'!$E$7:$E$2010,$C45,'LAC 102_Wkst'!$G$7:$G$2010,$D45,'LAC 102_Wkst'!$L$7:$L$2010,"05",'LAC 102_Wkst'!$N$7:$N$2010,"P3")+SUMIFS('LAC 102_Wkst'!$Q$7:$Q$2010,'LAC 102_Wkst'!$D$7:$D$2010,$C$7,'LAC 102_Wkst'!$I$7:$I$2010,$C$9,'LAC 102_Wkst'!$E$7:$E$2010,$C45,'LAC 102_Wkst'!$G$7:$G$2010,$D45,'LAC 102_Wkst'!$L$7:$L$2010,"06",'LAC 102_Wkst'!$N$7:$N$2010,"P3")</f>
        <v>0</v>
      </c>
      <c r="U45" s="411">
        <f>SUMIFS('LAC 102_Wkst'!$AF$7:$AF$2010,'LAC 102_Wkst'!$D$7:$D$2010,$C$7,'LAC 102_Wkst'!$I$7:$I$2010,$C$9,'LAC 102_Wkst'!$E$7:$E$2010,$C45,'LAC 102_Wkst'!$G$7:$G$2010,$D45,'LAC 102_Wkst'!$L$7:$L$2010,"05",'LAC 102_Wkst'!$N$7:$N$2010,"P2")+SUMIFS('LAC 102_Wkst'!$AF$7:$AF$2010,'LAC 102_Wkst'!$D$7:$D$2010,$C$7,'LAC 102_Wkst'!$I$7:$I$2010,$C$9,'LAC 102_Wkst'!$E$7:$E$2010,$C45,'LAC 102_Wkst'!$G$7:$G$2010,$D45,'LAC 102_Wkst'!$L$7:$L$2010,"06",'LAC 102_Wkst'!$N$7:$N$2010,"P2")+SUMIFS('LAC 102_Wkst'!$AF$7:$AF$2010,'LAC 102_Wkst'!$D$7:$D$2010,$C$7,'LAC 102_Wkst'!$I$7:$I$2010,$C$9,'LAC 102_Wkst'!$E$7:$E$2010,$C45,'LAC 102_Wkst'!$G$7:$G$2010,$D45,'LAC 102_Wkst'!$L$7:$L$2010,"05",'LAC 102_Wkst'!$N$7:$N$2010,"P3")+SUMIFS('LAC 102_Wkst'!$AF$7:$AF$2010,'LAC 102_Wkst'!$D$7:$D$2010,$C$7,'LAC 102_Wkst'!$I$7:$I$2010,$C$9,'LAC 102_Wkst'!$E$7:$E$2010,$C45,'LAC 102_Wkst'!$G$7:$G$2010,$D45,'LAC 102_Wkst'!$L$7:$L$2010,"06",'LAC 102_Wkst'!$N$7:$N$2010,"P3")</f>
        <v>0</v>
      </c>
      <c r="V45" s="410">
        <f>SUMIFS('LAC 102_Wkst'!$Q$7:$Q$2010,'LAC 102_Wkst'!$D$7:$D$2010,$C$7,'LAC 102_Wkst'!$I$7:$I$2010,$C$9,'LAC 102_Wkst'!$E$7:$E$2010,$C45,'LAC 102_Wkst'!$G$7:$G$2010,$D45,'LAC 102_Wkst'!$L$7:$L$2010,"05",'LAC 102_Wkst'!$N$7:$N$2010,"P4")+SUMIFS('LAC 102_Wkst'!$Q$7:$Q$2010,'LAC 102_Wkst'!$D$7:$D$2010,$C$7,'LAC 102_Wkst'!$I$7:$I$2010,$C$9,'LAC 102_Wkst'!$E$7:$E$2010,$C45,'LAC 102_Wkst'!$G$7:$G$2010,$D45,'LAC 102_Wkst'!$L$7:$L$2010,"06",'LAC 102_Wkst'!$N$7:$N$2010,"P4")</f>
        <v>0</v>
      </c>
      <c r="W45" s="411">
        <f>SUMIFS('LAC 102_Wkst'!$AF$7:$AF$2010,'LAC 102_Wkst'!$D$7:$D$2010,$C$7,'LAC 102_Wkst'!$I$7:$I$2010,$C$9,'LAC 102_Wkst'!$E$7:$E$2010,$C45,'LAC 102_Wkst'!$G$7:$G$2010,$D45,'LAC 102_Wkst'!$L$7:$L$2010,"05",'LAC 102_Wkst'!$N$7:$N$2010,"P4")+SUMIFS('LAC 102_Wkst'!$AF$7:$AF$2010,'LAC 102_Wkst'!$D$7:$D$2010,$C$7,'LAC 102_Wkst'!$I$7:$I$2010,$C$9,'LAC 102_Wkst'!$E$7:$E$2010,$C45,'LAC 102_Wkst'!$G$7:$G$2010,$D45,'LAC 102_Wkst'!$L$7:$L$2010,"06",'LAC 102_Wkst'!$N$7:$N$2010,"P4")</f>
        <v>0</v>
      </c>
      <c r="X45" s="410">
        <f>SUMIFS('LAC 102_Wkst'!$Q$7:$Q$2010,'LAC 102_Wkst'!$D$7:$D$2010,$C$7,'LAC 102_Wkst'!$I$7:$I$2010,$C$9,'LAC 102_Wkst'!$E$7:$E$2010,$C45,'LAC 102_Wkst'!$G$7:$G$2010,$D45,'LAC 102_Wkst'!$L$7:$L$2010,"05",'LAC 102_Wkst'!$N$7:$N$2010,"P5")+SUMIFS('LAC 102_Wkst'!$Q$7:$Q$2010,'LAC 102_Wkst'!$D$7:$D$2010,$C$7,'LAC 102_Wkst'!$I$7:$I$2010,$C$9,'LAC 102_Wkst'!$E$7:$E$2010,$C45,'LAC 102_Wkst'!$G$7:$G$2010,$D45,'LAC 102_Wkst'!$L$7:$L$2010,"06",'LAC 102_Wkst'!$N$7:$N$2010,"P5")</f>
        <v>0</v>
      </c>
      <c r="Y45" s="411">
        <f>SUMIFS('LAC 102_Wkst'!$AF$7:$AF$2010,'LAC 102_Wkst'!$D$7:$D$2010,$C$7,'LAC 102_Wkst'!$I$7:$I$2010,$C$9,'LAC 102_Wkst'!$E$7:$E$2010,$C45,'LAC 102_Wkst'!$G$7:$G$2010,$D45,'LAC 102_Wkst'!$L$7:$L$2010,"05",'LAC 102_Wkst'!$N$7:$N$2010,"P5")+SUMIFS('LAC 102_Wkst'!$AF$7:$AF$2010,'LAC 102_Wkst'!$D$7:$D$2010,$C$7,'LAC 102_Wkst'!$I$7:$I$2010,$C$9,'LAC 102_Wkst'!$E$7:$E$2010,$C45,'LAC 102_Wkst'!$G$7:$G$2010,$D45,'LAC 102_Wkst'!$L$7:$L$2010,"06",'LAC 102_Wkst'!$N$7:$N$2010,"P5")</f>
        <v>0</v>
      </c>
      <c r="Z45" s="410">
        <f>SUMIFS('LAC 102_Wkst'!$Q$7:$Q$2010,'LAC 102_Wkst'!$D$7:$D$2010,$C$7,'LAC 102_Wkst'!$I$7:$I$2010,$C$9,'LAC 102_Wkst'!$E$7:$E$2010,$C45,'LAC 102_Wkst'!$G$7:$G$2010,$D45,'LAC 102_Wkst'!$L$7:$L$2010,"07",'LAC 102_Wkst'!$N$7:$N$2010,"P1")+SUMIFS('LAC 102_Wkst'!$Q$7:$Q$2010,'LAC 102_Wkst'!$D$7:$D$2010,$C$7,'LAC 102_Wkst'!$I$7:$I$2010,$C$9,'LAC 102_Wkst'!$E$7:$E$2010,$C45,'LAC 102_Wkst'!$G$7:$G$2010,$D45,'LAC 102_Wkst'!$L$7:$L$2010,"07",'LAC 102_Wkst'!$N$7:$N$2010,"P2")+SUMIFS('LAC 102_Wkst'!$Q$7:$Q$2010,'LAC 102_Wkst'!$D$7:$D$2010,$C$7,'LAC 102_Wkst'!$I$7:$I$2010,$C$9,'LAC 102_Wkst'!$E$7:$E$2010,$C45,'LAC 102_Wkst'!$G$7:$G$2010,$D45,'LAC 102_Wkst'!$L$7:$L$2010,"07",'LAC 102_Wkst'!$N$7:$N$2010,"P3")</f>
        <v>0</v>
      </c>
      <c r="AA45" s="411">
        <f>SUMIFS('LAC 102_Wkst'!$AF$7:$AF$2010,'LAC 102_Wkst'!$D$7:$D$2010,$C$7,'LAC 102_Wkst'!$I$7:$I$2010,$C$9,'LAC 102_Wkst'!$E$7:$E$2010,$C45,'LAC 102_Wkst'!$G$7:$G$2010,$D45,'LAC 102_Wkst'!$L$7:$L$2010,"07",'LAC 102_Wkst'!$N$7:$N$2010,"P1")+SUMIFS('LAC 102_Wkst'!$AF$7:$AF$2010,'LAC 102_Wkst'!$D$7:$D$2010,$C$7,'LAC 102_Wkst'!$I$7:$I$2010,$C$9,'LAC 102_Wkst'!$E$7:$E$2010,$C45,'LAC 102_Wkst'!$G$7:$G$2010,$D45,'LAC 102_Wkst'!$L$7:$L$2010,"07",'LAC 102_Wkst'!$N$7:$N$2010,"P2")+SUMIFS('LAC 102_Wkst'!$AF$7:$AF$2010,'LAC 102_Wkst'!$D$7:$D$2010,$C$7,'LAC 102_Wkst'!$I$7:$I$2010,$C$9,'LAC 102_Wkst'!$E$7:$E$2010,$C45,'LAC 102_Wkst'!$G$7:$G$2010,$D45,'LAC 102_Wkst'!$L$7:$L$2010,"07",'LAC 102_Wkst'!$N$7:$N$2010,"P3")</f>
        <v>0</v>
      </c>
      <c r="AB45" s="410">
        <f>SUMIFS('LAC 102_Wkst'!$Q$7:$Q$2010,'LAC 102_Wkst'!$D$7:$D$2010,$C$7,'LAC 102_Wkst'!$I$7:$I$2010,$C$9,'LAC 102_Wkst'!$E$7:$E$2010,$C45,'LAC 102_Wkst'!$G$7:$G$2010,$D45,'LAC 102_Wkst'!$L$7:$L$2010,"07",'LAC 102_Wkst'!$N$7:$N$2010,"P4")</f>
        <v>0</v>
      </c>
      <c r="AC45" s="411">
        <f>SUMIFS('LAC 102_Wkst'!$AF$7:$AF$2010,'LAC 102_Wkst'!$D$7:$D$2010,$C$7,'LAC 102_Wkst'!$I$7:$I$2010,$C$9,'LAC 102_Wkst'!$E$7:$E$2010,$C45,'LAC 102_Wkst'!$G$7:$G$2010,$D45,'LAC 102_Wkst'!$L$7:$L$2010,"07",'LAC 102_Wkst'!$N$7:$N$2010,"P4")</f>
        <v>0</v>
      </c>
      <c r="AD45" s="410">
        <f>SUMIFS('LAC 102_Wkst'!$Q$7:$Q$2010,'LAC 102_Wkst'!$D$7:$D$2010,$C$7,'LAC 102_Wkst'!$I$7:$I$2010,$C$9,'LAC 102_Wkst'!$E$7:$E$2010,$C45,'LAC 102_Wkst'!$G$7:$G$2010,$D45,'LAC 102_Wkst'!$L$7:$L$2010,"07",'LAC 102_Wkst'!$N$7:$N$2010,"P5")</f>
        <v>0</v>
      </c>
      <c r="AE45" s="411">
        <f>SUMIFS('LAC 102_Wkst'!$AF$7:$AF$2010,'LAC 102_Wkst'!$D$7:$D$2010,$C$7,'LAC 102_Wkst'!$I$7:$I$2010,$C$9,'LAC 102_Wkst'!$E$7:$E$2010,$C45,'LAC 102_Wkst'!$G$7:$G$2010,$D45,'LAC 102_Wkst'!$L$7:$L$2010,"07",'LAC 102_Wkst'!$N$7:$N$2010,"P5")</f>
        <v>0</v>
      </c>
      <c r="AF45" s="410">
        <f>SUMIFS('LAC 102_Wkst'!$Q$7:$Q$2010,'LAC 102_Wkst'!$D$7:$D$2010,$C$7,'LAC 102_Wkst'!$I$7:$I$2010,$C$9,'LAC 102_Wkst'!$E$7:$E$2010,$C45,'LAC 102_Wkst'!$G$7:$G$2010,$D45,'LAC 102_Wkst'!$L$7:$L$2010,"08",'LAC 102_Wkst'!$N$7:$N$2010,"P1")+SUMIFS('LAC 102_Wkst'!$Q$7:$Q$2010,'LAC 102_Wkst'!$D$7:$D$2010,$C$7,'LAC 102_Wkst'!$I$7:$I$2010,$C$9,'LAC 102_Wkst'!$E$7:$E$2010,$C45,'LAC 102_Wkst'!$G$7:$G$2010,$D45,'LAC 102_Wkst'!$L$7:$L$2010,"08",'LAC 102_Wkst'!$N$7:$N$2010,"P2")+SUMIFS('LAC 102_Wkst'!$Q$7:$Q$2010,'LAC 102_Wkst'!$D$7:$D$2010,$C$7,'LAC 102_Wkst'!$I$7:$I$2010,$C$9,'LAC 102_Wkst'!$E$7:$E$2010,$C45,'LAC 102_Wkst'!$G$7:$G$2010,$D45,'LAC 102_Wkst'!$L$7:$L$2010,"08",'LAC 102_Wkst'!$N$7:$N$2010,"P3")</f>
        <v>0</v>
      </c>
      <c r="AG45" s="411">
        <f>SUMIFS('LAC 102_Wkst'!$AF$7:$AF$2010,'LAC 102_Wkst'!$D$7:$D$2010,$C$7,'LAC 102_Wkst'!$I$7:$I$2010,$C$9,'LAC 102_Wkst'!$E$7:$E$2010,$C45,'LAC 102_Wkst'!$G$7:$G$2010,$D45,'LAC 102_Wkst'!$L$7:$L$2010,"08",'LAC 102_Wkst'!$N$7:$N$2010,"P1")+SUMIFS('LAC 102_Wkst'!$AF$7:$AF$2010,'LAC 102_Wkst'!$D$7:$D$2010,$C$7,'LAC 102_Wkst'!$I$7:$I$2010,$C$9,'LAC 102_Wkst'!$E$7:$E$2010,$C45,'LAC 102_Wkst'!$G$7:$G$2010,$D45,'LAC 102_Wkst'!$L$7:$L$2010,"08",'LAC 102_Wkst'!$N$7:$N$2010,"P2")+SUMIFS('LAC 102_Wkst'!$AF$7:$AF$2010,'LAC 102_Wkst'!$D$7:$D$2010,$C$7,'LAC 102_Wkst'!$I$7:$I$2010,$C$9,'LAC 102_Wkst'!$E$7:$E$2010,$C45,'LAC 102_Wkst'!$G$7:$G$2010,$D45,'LAC 102_Wkst'!$L$7:$L$2010,"08",'LAC 102_Wkst'!$N$7:$N$2010,"P3")</f>
        <v>0</v>
      </c>
      <c r="AH45" s="410">
        <f>SUMIFS('LAC 102_Wkst'!$Q$7:$Q$2010,'LAC 102_Wkst'!$D$7:$D$2010,$C$7,'LAC 102_Wkst'!$I$7:$I$2010,$C$9,'LAC 102_Wkst'!$E$7:$E$2010,$C45,'LAC 102_Wkst'!$G$7:$G$2010,$D45,'LAC 102_Wkst'!$L$7:$L$2010,"08",'LAC 102_Wkst'!$N$7:$N$2010,"P4")</f>
        <v>0</v>
      </c>
      <c r="AI45" s="411">
        <f>SUMIFS('LAC 102_Wkst'!$AF$7:$AF$2010,'LAC 102_Wkst'!$D$7:$D$2010,$C$7,'LAC 102_Wkst'!$I$7:$I$2010,$C$9,'LAC 102_Wkst'!$E$7:$E$2010,$C45,'LAC 102_Wkst'!$G$7:$G$2010,$D45,'LAC 102_Wkst'!$L$7:$L$2010,"08",'LAC 102_Wkst'!$N$7:$N$2010,"P4")</f>
        <v>0</v>
      </c>
      <c r="AJ45" s="410">
        <f>SUMIFS('LAC 102_Wkst'!$Q$7:$Q$2010,'LAC 102_Wkst'!$D$7:$D$2010,$C$7,'LAC 102_Wkst'!$I$7:$I$2010,$C$9,'LAC 102_Wkst'!$E$7:$E$2010,$C45,'LAC 102_Wkst'!$G$7:$G$2010,$D45,'LAC 102_Wkst'!$L$7:$L$2010,"08",'LAC 102_Wkst'!$N$7:$N$2010,"P5")</f>
        <v>0</v>
      </c>
      <c r="AK45" s="411">
        <f>SUMIFS('LAC 102_Wkst'!$AF$7:$AF$2010,'LAC 102_Wkst'!$D$7:$D$2010,$C$7,'LAC 102_Wkst'!$I$7:$I$2010,$C$9,'LAC 102_Wkst'!$E$7:$E$2010,$C45,'LAC 102_Wkst'!$G$7:$G$2010,$D45,'LAC 102_Wkst'!$L$7:$L$2010,"08",'LAC 102_Wkst'!$N$7:$N$2010,"P5")</f>
        <v>0</v>
      </c>
      <c r="AL45" s="410">
        <f>SUMIFS('LAC 102_Wkst'!$Q$7:$Q$2010,'LAC 102_Wkst'!$D$7:$D$2010,$C$7,'LAC 102_Wkst'!$I$7:$I$2010,$C$9,'LAC 102_Wkst'!$E$7:$E$2010,$C45,'LAC 102_Wkst'!$G$7:$G$2010,$D45,'LAC 102_Wkst'!$L$7:$L$2010,"09",'LAC 102_Wkst'!$N$7:$N$2010,"P1")+SUMIFS('LAC 102_Wkst'!$Q$7:$Q$2010,'LAC 102_Wkst'!$D$7:$D$2010,$C$7,'LAC 102_Wkst'!$I$7:$I$2010,$C$9,'LAC 102_Wkst'!$E$7:$E$2010,$C45,'LAC 102_Wkst'!$G$7:$G$2010,$D45,'LAC 102_Wkst'!$L$7:$L$2010,"09",'LAC 102_Wkst'!$N$7:$N$2010,"P2")+SUMIFS('LAC 102_Wkst'!$Q$7:$Q$2010,'LAC 102_Wkst'!$D$7:$D$2010,$C$7,'LAC 102_Wkst'!$I$7:$I$2010,$C$9,'LAC 102_Wkst'!$E$7:$E$2010,$C45,'LAC 102_Wkst'!$G$7:$G$2010,$D45,'LAC 102_Wkst'!$L$7:$L$2010,"09",'LAC 102_Wkst'!$N$7:$N$2010,"P3")+SUMIFS('LAC 102_Wkst'!$Q$7:$Q$2010,'LAC 102_Wkst'!$D$7:$D$2010,$C$7,'LAC 102_Wkst'!$I$7:$I$2010,$C$9,'LAC 102_Wkst'!$E$7:$E$2010,$C45,'LAC 102_Wkst'!$G$7:$G$2010,$D45,'LAC 102_Wkst'!$L$7:$L$2010,"09",'LAC 102_Wkst'!$N$7:$N$2010,"P4")</f>
        <v>0</v>
      </c>
      <c r="AM45" s="411">
        <f>SUMIFS('LAC 102_Wkst'!$AF$7:$AF$2010,'LAC 102_Wkst'!$D$7:$D$2010,$C$7,'LAC 102_Wkst'!$I$7:$I$2010,$C$9,'LAC 102_Wkst'!$E$7:$E$2010,$C45,'LAC 102_Wkst'!$G$7:$G$2010,$D45,'LAC 102_Wkst'!$L$7:$L$2010,"09",'LAC 102_Wkst'!$N$7:$N$2010,"P1")+SUMIFS('LAC 102_Wkst'!$AF$7:$AF$2010,'LAC 102_Wkst'!$D$7:$D$2010,$C$7,'LAC 102_Wkst'!$I$7:$I$2010,$C$9,'LAC 102_Wkst'!$E$7:$E$2010,$C45,'LAC 102_Wkst'!$G$7:$G$2010,$D45,'LAC 102_Wkst'!$L$7:$L$2010,"09",'LAC 102_Wkst'!$N$7:$N$2010,"P2")+SUMIFS('LAC 102_Wkst'!$AF$7:$AF$2010,'LAC 102_Wkst'!$D$7:$D$2010,$C$7,'LAC 102_Wkst'!$I$7:$I$2010,$C$9,'LAC 102_Wkst'!$E$7:$E$2010,$C45,'LAC 102_Wkst'!$G$7:$G$2010,$D45,'LAC 102_Wkst'!$L$7:$L$2010,"09",'LAC 102_Wkst'!$N$7:$N$2010,"P3")+SUMIFS('LAC 102_Wkst'!$AF$7:$AF$2010,'LAC 102_Wkst'!$D$7:$D$2010,$C$7,'LAC 102_Wkst'!$I$7:$I$2010,$C$9,'LAC 102_Wkst'!$E$7:$E$2010,$C45,'LAC 102_Wkst'!$G$7:$G$2010,$D45,'LAC 102_Wkst'!$L$7:$L$2010,"09",'LAC 102_Wkst'!$N$7:$N$2010,"P4")</f>
        <v>0</v>
      </c>
      <c r="AN45" s="410">
        <f>SUMIFS('LAC 102_Wkst'!$Q$7:$Q$2010,'LAC 102_Wkst'!$D$7:$D$2010,$C$7,'LAC 102_Wkst'!$I$7:$I$2010,$C$9,'LAC 102_Wkst'!$E$7:$E$2010,$C45,'LAC 102_Wkst'!$G$7:$G$2010,$D45,'LAC 102_Wkst'!$L$7:$L$2010,"09",'LAC 102_Wkst'!$N$7:$N$2010,"P5")</f>
        <v>0</v>
      </c>
      <c r="AO45" s="411">
        <f>SUMIFS('LAC 102_Wkst'!$AF$7:$AF$2010,'LAC 102_Wkst'!$D$7:$D$2010,$C$7,'LAC 102_Wkst'!$I$7:$I$2010,$C$9,'LAC 102_Wkst'!$E$7:$E$2010,$C45,'LAC 102_Wkst'!$G$7:$G$2010,$D45,'LAC 102_Wkst'!$L$7:$L$2010,"09",'LAC 102_Wkst'!$N$7:$N$2010,"P5")</f>
        <v>0</v>
      </c>
      <c r="AP45" s="410">
        <f>SUMIFS('LAC 102_Wkst'!$Q$7:$Q$2010,'LAC 102_Wkst'!$D$7:$D$2010,$C$7,'LAC 102_Wkst'!$I$7:$I$2010,$C$9,'LAC 102_Wkst'!$E$7:$E$2010,$C45,'LAC 102_Wkst'!$G$7:$G$2010,$D45,'LAC 102_Wkst'!$L$7:$L$2010,"10",'LAC 102_Wkst'!$N$7:$N$2010,"P1")+SUMIFS('LAC 102_Wkst'!$Q$7:$Q$2010,'LAC 102_Wkst'!$D$7:$D$2010,$C$7,'LAC 102_Wkst'!$I$7:$I$2010,$C$9,'LAC 102_Wkst'!$E$7:$E$2010,$C45,'LAC 102_Wkst'!$G$7:$G$2010,$D45,'LAC 102_Wkst'!$L$7:$L$2010,"10",'LAC 102_Wkst'!$N$7:$N$2010,"P2")+SUMIFS('LAC 102_Wkst'!$Q$7:$Q$2010,'LAC 102_Wkst'!$D$7:$D$2010,$C$7,'LAC 102_Wkst'!$I$7:$I$2010,$C$9,'LAC 102_Wkst'!$E$7:$E$2010,$C45,'LAC 102_Wkst'!$G$7:$G$2010,$D45,'LAC 102_Wkst'!$L$7:$L$2010,"10",'LAC 102_Wkst'!$N$7:$N$2010,"P3")+SUMIFS('LAC 102_Wkst'!$Q$7:$Q$2010,'LAC 102_Wkst'!$D$7:$D$2010,$C$7,'LAC 102_Wkst'!$I$7:$I$2010,$C$9,'LAC 102_Wkst'!$E$7:$E$2010,$C45,'LAC 102_Wkst'!$G$7:$G$2010,$D45,'LAC 102_Wkst'!$L$7:$L$2010,"10",'LAC 102_Wkst'!$N$7:$N$2010,"P4")</f>
        <v>0</v>
      </c>
      <c r="AQ45" s="411">
        <f>SUMIFS('LAC 102_Wkst'!$AF$7:$AF$2010,'LAC 102_Wkst'!$D$7:$D$2010,$C$7,'LAC 102_Wkst'!$I$7:$I$2010,$C$9,'LAC 102_Wkst'!$E$7:$E$2010,$C45,'LAC 102_Wkst'!$G$7:$G$2010,$D45,'LAC 102_Wkst'!$L$7:$L$2010,"10",'LAC 102_Wkst'!$N$7:$N$2010,"P1")+SUMIFS('LAC 102_Wkst'!$AF$7:$AF$2010,'LAC 102_Wkst'!$D$7:$D$2010,$C$7,'LAC 102_Wkst'!$I$7:$I$2010,$C$9,'LAC 102_Wkst'!$E$7:$E$2010,$C45,'LAC 102_Wkst'!$G$7:$G$2010,$D45,'LAC 102_Wkst'!$L$7:$L$2010,"10",'LAC 102_Wkst'!$N$7:$N$2010,"P2")+SUMIFS('LAC 102_Wkst'!$AF$7:$AF$2010,'LAC 102_Wkst'!$D$7:$D$2010,$C$7,'LAC 102_Wkst'!$I$7:$I$2010,$C$9,'LAC 102_Wkst'!$E$7:$E$2010,$C45,'LAC 102_Wkst'!$G$7:$G$2010,$D45,'LAC 102_Wkst'!$L$7:$L$2010,"10",'LAC 102_Wkst'!$N$7:$N$2010,"P3")+SUMIFS('LAC 102_Wkst'!$AF$7:$AF$2010,'LAC 102_Wkst'!$D$7:$D$2010,$C$7,'LAC 102_Wkst'!$I$7:$I$2010,$C$9,'LAC 102_Wkst'!$E$7:$E$2010,$C45,'LAC 102_Wkst'!$G$7:$G$2010,$D45,'LAC 102_Wkst'!$L$7:$L$2010,"10",'LAC 102_Wkst'!$N$7:$N$2010,"P4")</f>
        <v>0</v>
      </c>
      <c r="AR45" s="410">
        <f>SUMIFS('LAC 102_Wkst'!$Q$7:$Q$2010,'LAC 102_Wkst'!$D$7:$D$2010,$C$7,'LAC 102_Wkst'!$I$7:$I$2010,$C$9,'LAC 102_Wkst'!$E$7:$E$2010,$C45,'LAC 102_Wkst'!$G$7:$G$2010,$D45,'LAC 102_Wkst'!$L$7:$L$2010,"10",'LAC 102_Wkst'!$N$7:$N$2010,"P5")</f>
        <v>0</v>
      </c>
      <c r="AS45" s="411">
        <f>SUMIFS('LAC 102_Wkst'!$AF$7:$AF$2010,'LAC 102_Wkst'!$D$7:$D$2010,$C$7,'LAC 102_Wkst'!$I$7:$I$2010,$C$9,'LAC 102_Wkst'!$E$7:$E$2010,$C45,'LAC 102_Wkst'!$G$7:$G$2010,$D45,'LAC 102_Wkst'!$L$7:$L$2010,"10",'LAC 102_Wkst'!$N$7:$N$2010,"P5")</f>
        <v>0</v>
      </c>
      <c r="AT45" s="410">
        <f>SUMIFS('LAC 102_Wkst'!$Q$7:$Q$2010,'LAC 102_Wkst'!$D$7:$D$2010,$C$7,'LAC 102_Wkst'!$I$7:$I$2010,$C$9,'LAC 102_Wkst'!$E$7:$E$2010,$C45,'LAC 102_Wkst'!$G$7:$G$2010,$D45,'LAC 102_Wkst'!$L$7:$L$2010,"11",'LAC 102_Wkst'!$N$7:$N$2010,"P1")+SUMIFS('LAC 102_Wkst'!$Q$7:$Q$2010,'LAC 102_Wkst'!$D$7:$D$2010,$C$7,'LAC 102_Wkst'!$I$7:$I$2010,$C$9,'LAC 102_Wkst'!$E$7:$E$2010,$C45,'LAC 102_Wkst'!$G$7:$G$2010,$D45,'LAC 102_Wkst'!$L$7:$L$2010,"12",'LAC 102_Wkst'!$N$7:$N$2010,"P1")</f>
        <v>0</v>
      </c>
      <c r="AU45" s="411">
        <f>SUMIFS('LAC 102_Wkst'!$Q$7:$Q$2010,'LAC 102_Wkst'!$D$7:$D$2010,$C$7,'LAC 102_Wkst'!$I$7:$I$2010,$C$9,'LAC 102_Wkst'!$E$7:$E$2010,$C45,'LAC 102_Wkst'!$G$7:$G$2010,$D45,'LAC 102_Wkst'!$L$7:$L$2010,"13",'LAC 102_Wkst'!$N$7:$N$2010,"P5")</f>
        <v>0</v>
      </c>
      <c r="AV45" s="410">
        <f>SUMIFS('LAC 102_Wkst'!$Q$7:$Q$2010,'LAC 102_Wkst'!$D$7:$D$2010,$C$7,'LAC 102_Wkst'!$I$7:$I$2010,$C$9,'LAC 102_Wkst'!$E$7:$E$2010,$C45,'LAC 102_Wkst'!$G$7:$G$2010,$D45,'LAC 102_Wkst'!$L$7:$L$2010,"11",'LAC 102_Wkst'!$N$7:$N$2010,"P2")+SUMIFS('LAC 102_Wkst'!$Q$7:$Q$2010,'LAC 102_Wkst'!$D$7:$D$2010,$C$7,'LAC 102_Wkst'!$I$7:$I$2010,$C$9,'LAC 102_Wkst'!$E$7:$E$2010,$C45,'LAC 102_Wkst'!$G$7:$G$2010,$D45,'LAC 102_Wkst'!$L$7:$L$2010,"12",'LAC 102_Wkst'!$N$7:$N$2010,"P2")+SUMIFS('LAC 102_Wkst'!$Q$7:$Q$2010,'LAC 102_Wkst'!$D$7:$D$2010,$C$7,'LAC 102_Wkst'!$I$7:$I$2010,$C$9,'LAC 102_Wkst'!$E$7:$E$2010,$C45,'LAC 102_Wkst'!$G$7:$G$2010,$D45,'LAC 102_Wkst'!$L$7:$L$2010,"11",'LAC 102_Wkst'!$N$7:$N$2010,"P3")+SUMIFS('LAC 102_Wkst'!$Q$7:$Q$2010,'LAC 102_Wkst'!$D$7:$D$2010,$C$7,'LAC 102_Wkst'!$I$7:$I$2010,$C$9,'LAC 102_Wkst'!$E$7:$E$2010,$C45,'LAC 102_Wkst'!$G$7:$G$2010,$D45,'LAC 102_Wkst'!$L$7:$L$2010,"12",'LAC 102_Wkst'!$N$7:$N$2010,"P3")</f>
        <v>0</v>
      </c>
      <c r="AW45" s="411">
        <f>SUMIFS('LAC 102_Wkst'!$AF$7:$AF$2010,'LAC 102_Wkst'!$D$7:$D$2010,$C$7,'LAC 102_Wkst'!$I$7:$I$2010,$C$9,'LAC 102_Wkst'!$E$7:$E$2010,$C45,'LAC 102_Wkst'!$G$7:$G$2010,$D45,'LAC 102_Wkst'!$L$7:$L$2010,"11",'LAC 102_Wkst'!$N$7:$N$2010,"P2")+SUMIFS('LAC 102_Wkst'!$AF$7:$AF$2010,'LAC 102_Wkst'!$D$7:$D$2010,$C$7,'LAC 102_Wkst'!$I$7:$I$2010,$C$9,'LAC 102_Wkst'!$E$7:$E$2010,$C45,'LAC 102_Wkst'!$G$7:$G$2010,$D45,'LAC 102_Wkst'!$L$7:$L$2010,"12",'LAC 102_Wkst'!$N$7:$N$2010,"P2")+SUMIFS('LAC 102_Wkst'!$AF$7:$AF$2010,'LAC 102_Wkst'!$D$7:$D$2010,$C$7,'LAC 102_Wkst'!$I$7:$I$2010,$C$9,'LAC 102_Wkst'!$E$7:$E$2010,$C45,'LAC 102_Wkst'!$G$7:$G$2010,$D45,'LAC 102_Wkst'!$L$7:$L$2010,"11",'LAC 102_Wkst'!$N$7:$N$2010,"P3")+SUMIFS('LAC 102_Wkst'!$AF$7:$AF$2010,'LAC 102_Wkst'!$D$7:$D$2010,$C$7,'LAC 102_Wkst'!$I$7:$I$2010,$C$9,'LAC 102_Wkst'!$E$7:$E$2010,$C45,'LAC 102_Wkst'!$G$7:$G$2010,$D45,'LAC 102_Wkst'!$L$7:$L$2010,"12",'LAC 102_Wkst'!$N$7:$N$2010,"P3")</f>
        <v>0</v>
      </c>
      <c r="AX45" s="410">
        <f>SUMIFS('LAC 102_Wkst'!$Q$7:$Q$2010,'LAC 102_Wkst'!$D$7:$D$2010,$C$7,'LAC 102_Wkst'!$I$7:$I$2010,$C$9,'LAC 102_Wkst'!$E$7:$E$2010,$C45,'LAC 102_Wkst'!$G$7:$G$2010,$D45,'LAC 102_Wkst'!$L$7:$L$2010,"11",'LAC 102_Wkst'!$N$7:$N$2010,"P4")+SUMIFS('LAC 102_Wkst'!$Q$7:$Q$2010,'LAC 102_Wkst'!$D$7:$D$2010,$C$7,'LAC 102_Wkst'!$I$7:$I$2010,$C$9,'LAC 102_Wkst'!$E$7:$E$2010,$C45,'LAC 102_Wkst'!$G$7:$G$2010,$D45,'LAC 102_Wkst'!$L$7:$L$2010,"12",'LAC 102_Wkst'!$N$7:$N$2010,"P4")</f>
        <v>0</v>
      </c>
      <c r="AY45" s="411">
        <f>SUMIFS('LAC 102_Wkst'!$AF$7:$AF$2010,'LAC 102_Wkst'!$D$7:$D$2010,$C$7,'LAC 102_Wkst'!$I$7:$I$2010,$C$9,'LAC 102_Wkst'!$E$7:$E$2010,$C45,'LAC 102_Wkst'!$G$7:$G$2010,$D45,'LAC 102_Wkst'!$L$7:$L$2010,"11",'LAC 102_Wkst'!$N$7:$N$2010,"P4")+SUMIFS('LAC 102_Wkst'!$AF$7:$AF$2010,'LAC 102_Wkst'!$D$7:$D$2010,$C$7,'LAC 102_Wkst'!$I$7:$I$2010,$C$9,'LAC 102_Wkst'!$E$7:$E$2010,$C45,'LAC 102_Wkst'!$G$7:$G$2010,$D45,'LAC 102_Wkst'!$L$7:$L$2010,"12",'LAC 102_Wkst'!$N$7:$N$2010,"P4")</f>
        <v>0</v>
      </c>
      <c r="AZ45" s="410">
        <f>SUMIFS('LAC 102_Wkst'!$Q$7:$Q$2010,'LAC 102_Wkst'!$D$7:$D$2010,$C$7,'LAC 102_Wkst'!$I$7:$I$2010,$C$9,'LAC 102_Wkst'!$E$7:$E$2010,$C45,'LAC 102_Wkst'!$G$7:$G$2010,$D45,'LAC 102_Wkst'!$L$7:$L$2010,"11",'LAC 102_Wkst'!$N$7:$N$2010,"P5")+SUMIFS('LAC 102_Wkst'!$Q$7:$Q$2010,'LAC 102_Wkst'!$D$7:$D$2010,$C$7,'LAC 102_Wkst'!$I$7:$I$2010,$C$9,'LAC 102_Wkst'!$E$7:$E$2010,$C45,'LAC 102_Wkst'!$G$7:$G$2010,$D45,'LAC 102_Wkst'!$L$7:$L$2010,"12",'LAC 102_Wkst'!$N$7:$N$2010,"P5")</f>
        <v>0</v>
      </c>
      <c r="BA45" s="411">
        <f>SUMIFS('LAC 102_Wkst'!$AF$7:$AF$2010,'LAC 102_Wkst'!$D$7:$D$2010,$C$7,'LAC 102_Wkst'!$I$7:$I$2010,$C$9,'LAC 102_Wkst'!$E$7:$E$2010,$C45,'LAC 102_Wkst'!$G$7:$G$2010,$D45,'LAC 102_Wkst'!$L$7:$L$2010,"11",'LAC 102_Wkst'!$N$7:$N$2010,"P5")+SUMIFS('LAC 102_Wkst'!$AF$7:$AF$2010,'LAC 102_Wkst'!$D$7:$D$2010,$C$7,'LAC 102_Wkst'!$I$7:$I$2010,$C$9,'LAC 102_Wkst'!$E$7:$E$2010,$C45,'LAC 102_Wkst'!$G$7:$G$2010,$D45,'LAC 102_Wkst'!$L$7:$L$2010,"12",'LAC 102_Wkst'!$N$7:$N$2010,"P5")</f>
        <v>0</v>
      </c>
      <c r="BB45" s="410">
        <f>SUMIFS('LAC 102_Wkst'!$Q$7:$Q$2010,'LAC 102_Wkst'!$D$7:$D$2010,$C$7,'LAC 102_Wkst'!$I$7:$I$2010,$C$9,'LAC 102_Wkst'!$E$7:$E$2010,$C45,'LAC 102_Wkst'!$G$7:$G$2010,$D45,'LAC 102_Wkst'!$L$7:$L$2010,"13",'LAC 102_Wkst'!$N$7:$N$2010,"P1")+SUMIFS('LAC 102_Wkst'!$Q$7:$Q$2010,'LAC 102_Wkst'!$D$7:$D$2010,$C$7,'LAC 102_Wkst'!$I$7:$I$2010,$C$9,'LAC 102_Wkst'!$E$7:$E$2010,$C45,'LAC 102_Wkst'!$G$7:$G$2010,$D45,'LAC 102_Wkst'!$L$7:$L$2010,"13",'LAC 102_Wkst'!$N$7:$N$2010,"P2")+SUMIFS('LAC 102_Wkst'!$Q$7:$Q$2010,'LAC 102_Wkst'!$D$7:$D$2010,$C$7,'LAC 102_Wkst'!$I$7:$I$2010,$C$9,'LAC 102_Wkst'!$E$7:$E$2010,$C45,'LAC 102_Wkst'!$G$7:$G$2010,$D45,'LAC 102_Wkst'!$L$7:$L$2010,"13",'LAC 102_Wkst'!$N$7:$N$2010,"P3")+SUMIFS('LAC 102_Wkst'!$Q$7:$Q$2010,'LAC 102_Wkst'!$D$7:$D$2010,$C$7,'LAC 102_Wkst'!$I$7:$I$2010,$C$9,'LAC 102_Wkst'!$E$7:$E$2010,$C45,'LAC 102_Wkst'!$G$7:$G$2010,$D45,'LAC 102_Wkst'!$L$7:$L$2010,"13",'LAC 102_Wkst'!$N$7:$N$2010,"P4")</f>
        <v>0</v>
      </c>
      <c r="BC45" s="411">
        <f>SUMIFS('LAC 102_Wkst'!$AF$7:$AF$2010,'LAC 102_Wkst'!$D$7:$D$2010,$C$7,'LAC 102_Wkst'!$I$7:$I$2010,$C$9,'LAC 102_Wkst'!$E$7:$E$2010,$C45,'LAC 102_Wkst'!$G$7:$G$2010,$D45,'LAC 102_Wkst'!$L$7:$L$2010,"13",'LAC 102_Wkst'!$N$7:$N$2010,"P1")+SUMIFS('LAC 102_Wkst'!$AF$7:$AF$2010,'LAC 102_Wkst'!$D$7:$D$2010,$C$7,'LAC 102_Wkst'!$I$7:$I$2010,$C$9,'LAC 102_Wkst'!$E$7:$E$2010,$C45,'LAC 102_Wkst'!$G$7:$G$2010,$D45,'LAC 102_Wkst'!$L$7:$L$2010,"13",'LAC 102_Wkst'!$N$7:$N$2010,"P2")+SUMIFS('LAC 102_Wkst'!$AF$7:$AF$2010,'LAC 102_Wkst'!$D$7:$D$2010,$C$7,'LAC 102_Wkst'!$I$7:$I$2010,$C$9,'LAC 102_Wkst'!$E$7:$E$2010,$C45,'LAC 102_Wkst'!$G$7:$G$2010,$D45,'LAC 102_Wkst'!$L$7:$L$2010,"13",'LAC 102_Wkst'!$N$7:$N$2010,"P3")+SUMIFS('LAC 102_Wkst'!$AF$7:$AF$2010,'LAC 102_Wkst'!$D$7:$D$2010,$C$7,'LAC 102_Wkst'!$I$7:$I$2010,$C$9,'LAC 102_Wkst'!$E$7:$E$2010,$C45,'LAC 102_Wkst'!$G$7:$G$2010,$D45,'LAC 102_Wkst'!$L$7:$L$2010,"13",'LAC 102_Wkst'!$N$7:$N$2010,"P4")</f>
        <v>0</v>
      </c>
      <c r="BD45" s="410">
        <f>SUMIFS('LAC 102_Wkst'!$Q$7:$Q$2010,'LAC 102_Wkst'!$D$7:$D$2010,$C$7,'LAC 102_Wkst'!$I$7:$I$2010,$C$9,'LAC 102_Wkst'!$E$7:$E$2010,$C45,'LAC 102_Wkst'!$G$7:$G$2010,$D45,'LAC 102_Wkst'!$L$7:$L$2010,"13",'LAC 102_Wkst'!$N$7:$N$2010,"P5")</f>
        <v>0</v>
      </c>
      <c r="BE45" s="411">
        <f>SUMIFS('LAC 102_Wkst'!$AF$7:$AF$2010,'LAC 102_Wkst'!$D$7:$D$2010,$C$7,'LAC 102_Wkst'!$I$7:$I$2010,$C$9,'LAC 102_Wkst'!$E$7:$E$2010,$C45,'LAC 102_Wkst'!$G$7:$G$2010,$D45,'LAC 102_Wkst'!$L$7:$L$2010,"13",'LAC 102_Wkst'!$N$7:$N$2010,"P5")</f>
        <v>0</v>
      </c>
      <c r="BF45" s="407">
        <f t="shared" si="4"/>
        <v>0</v>
      </c>
      <c r="BG45" s="1654">
        <f>SUMIFS('LAC 102_Wkst'!$AF$7:$AF$2010,'LAC 102_Wkst'!$D$7:$D$2010,$C$7,'LAC 102_Wkst'!$I$7:$I$2010,$C$9,'LAC 102_Wkst'!$E$7:$E$2010,$C45,'LAC 102_Wkst'!$G$7:$G$2010,$D45,'LAC 102_Wkst'!$L$7:$L$2010,"14")</f>
        <v>0</v>
      </c>
    </row>
    <row r="46" spans="1:59" x14ac:dyDescent="0.2">
      <c r="A46" s="401">
        <v>24</v>
      </c>
      <c r="B46" s="1678" t="str">
        <f>IF(Schedule_B!B$43="","",Schedule_B!B$43)</f>
        <v/>
      </c>
      <c r="C46" s="1674" t="str">
        <f>IF(Schedule_B!C$43=""," ",Schedule_B!C$43)</f>
        <v xml:space="preserve"> </v>
      </c>
      <c r="D46" s="1675" t="str">
        <f>IF(Schedule_B!D$43=""," ",Schedule_B!D$43)</f>
        <v xml:space="preserve"> </v>
      </c>
      <c r="E46" s="1221">
        <f>SUMIFS('LAC 102_Wkst'!$Q$7:$Q$2010,'LAC 102_Wkst'!$D$7:$D$2010,$C$7,'LAC 102_Wkst'!$I$7:$I$2010,$C$9,'LAC 102_Wkst'!$E$7:$E$2010,$C46,'LAC 102_Wkst'!$G$7:$G$2010,$D46)</f>
        <v>0</v>
      </c>
      <c r="F46" s="408">
        <f>SUMIFS('LAC 102_Wkst'!$Q$7:$Q$2010,'LAC 102_Wkst'!$D$7:$D$2010,$C$7,'LAC 102_Wkst'!$I$7:$I$2010,$C$9,'LAC 102_Wkst'!$E$7:$E$2010,$C46,'LAC 102_Wkst'!$G$7:$G$2010,$D46,'LAC 102_Wkst'!$L$7:$L$2010,"01",'LAC 102_Wkst'!$N$7:$N$2010,"P1")+SUMIFS('LAC 102_Wkst'!$Q$7:$Q$2010,'LAC 102_Wkst'!$D$7:$D$2010,$C$7,'LAC 102_Wkst'!$I$7:$I$2010,$C$9,'LAC 102_Wkst'!$E$7:$E$2010,$C46,'LAC 102_Wkst'!$G$7:$G$2010,$D46,'LAC 102_Wkst'!$L$7:$L$2010,"01",'LAC 102_Wkst'!$N$7:$N$2010,"P2")+SUMIFS('LAC 102_Wkst'!$Q$7:$Q$2010,'LAC 102_Wkst'!$D$7:$D$2010,$C$7,'LAC 102_Wkst'!$I$7:$I$2010,$C$9,'LAC 102_Wkst'!$E$7:$E$2010,$C46,'LAC 102_Wkst'!$G$7:$G$2010,$D46,'LAC 102_Wkst'!$L$7:$L$2010,"01",'LAC 102_Wkst'!$N$7:$N$2010,"P3")+SUMIFS('LAC 102_Wkst'!$Q$7:$Q$2010,'LAC 102_Wkst'!$D$7:$D$2010,$C$7,'LAC 102_Wkst'!$I$7:$I$2010,$C$9,'LAC 102_Wkst'!$E$7:$E$2010,$C46,'LAC 102_Wkst'!$G$7:$G$2010,$D46,'LAC 102_Wkst'!$L$7:$L$2010,"02",'LAC 102_Wkst'!$N$7:$N$2010,"P1")+SUMIFS('LAC 102_Wkst'!$Q$7:$Q$2010,'LAC 102_Wkst'!$D$7:$D$2010,$C$7,'LAC 102_Wkst'!$I$7:$I$2010,$C$9,'LAC 102_Wkst'!$E$7:$E$2010,$C46,'LAC 102_Wkst'!$G$7:$G$2010,$D46,'LAC 102_Wkst'!$L$7:$L$2010,"02",'LAC 102_Wkst'!$N$7:$N$2010,"P2")+SUMIFS('LAC 102_Wkst'!$Q$7:$Q$2010,'LAC 102_Wkst'!$D$7:$D$2010,$C$7,'LAC 102_Wkst'!$I$7:$I$2010,$C$9,'LAC 102_Wkst'!$E$7:$E$2010,$C46,'LAC 102_Wkst'!$G$7:$G$2010,$D46,'LAC 102_Wkst'!$L$7:$L$2010,"02",'LAC 102_Wkst'!$N$7:$N$2010,"P3")</f>
        <v>0</v>
      </c>
      <c r="G46" s="409">
        <f>SUMIFS('LAC 102_Wkst'!$AF$7:$AF$2010,'LAC 102_Wkst'!$D$7:$D$2010,$C$7,'LAC 102_Wkst'!$I$7:$I$2010,$C$9,'LAC 102_Wkst'!$E$7:$E$2010,$C46,'LAC 102_Wkst'!$G$7:$G$2010,$D46,'LAC 102_Wkst'!$L$7:$L$2010,"01",'LAC 102_Wkst'!$N$7:$N$2010,"P1")+SUMIFS('LAC 102_Wkst'!$AF$7:$AF$2010,'LAC 102_Wkst'!$D$7:$D$2010,$C$7,'LAC 102_Wkst'!$I$7:$I$2010,$C$9,'LAC 102_Wkst'!$E$7:$E$2010,$C46,'LAC 102_Wkst'!$G$7:$G$2010,$D46,'LAC 102_Wkst'!$L$7:$L$2010,"01",'LAC 102_Wkst'!$N$7:$N$2010,"P2")+SUMIFS('LAC 102_Wkst'!$AF$7:$AF$2010,'LAC 102_Wkst'!$D$7:$D$2010,$C$7,'LAC 102_Wkst'!$I$7:$I$2010,$C$9,'LAC 102_Wkst'!$E$7:$E$2010,$C46,'LAC 102_Wkst'!$G$7:$G$2010,$D46,'LAC 102_Wkst'!$L$7:$L$2010,"01",'LAC 102_Wkst'!$N$7:$N$2010,"P3")+SUMIFS('LAC 102_Wkst'!$AF$7:$AF$2010,'LAC 102_Wkst'!$D$7:$D$2010,$C$7,'LAC 102_Wkst'!$I$7:$I$2010,$C$9,'LAC 102_Wkst'!$E$7:$E$2010,$C46,'LAC 102_Wkst'!$G$7:$G$2010,$D46,'LAC 102_Wkst'!$L$7:$L$2010,"02",'LAC 102_Wkst'!$N$7:$N$2010,"P1")+SUMIFS('LAC 102_Wkst'!$AF$7:$AF$2010,'LAC 102_Wkst'!$D$7:$D$2010,$C$7,'LAC 102_Wkst'!$I$7:$I$2010,$C$9,'LAC 102_Wkst'!$E$7:$E$2010,$C46,'LAC 102_Wkst'!$G$7:$G$2010,$D46,'LAC 102_Wkst'!$L$7:$L$2010,"02",'LAC 102_Wkst'!$N$7:$N$2010,"P2")+SUMIFS('LAC 102_Wkst'!$AF$7:$AF$2010,'LAC 102_Wkst'!$D$7:$D$2010,$C$7,'LAC 102_Wkst'!$I$7:$I$2010,$C$9,'LAC 102_Wkst'!$E$7:$E$2010,$C46,'LAC 102_Wkst'!$G$7:$G$2010,$D46,'LAC 102_Wkst'!$L$7:$L$2010,"02",'LAC 102_Wkst'!$N$7:$N$2010,"P3")</f>
        <v>0</v>
      </c>
      <c r="H46" s="410">
        <f>SUMIFS('LAC 102_Wkst'!$Q$7:$Q$2010,'LAC 102_Wkst'!$D$7:$D$2010,$C$7,'LAC 102_Wkst'!$I$7:$I$2010,$C$9,'LAC 102_Wkst'!$E$7:$E$2010,$C46,'LAC 102_Wkst'!$G$7:$G$2010,$D46,'LAC 102_Wkst'!$L$7:$L$2010,"01",'LAC 102_Wkst'!$N$7:$N$2010,"P4")+SUMIFS('LAC 102_Wkst'!$Q$7:$Q$2010,'LAC 102_Wkst'!$D$7:$D$2010,$C$7,'LAC 102_Wkst'!$I$7:$I$2010,$C$9,'LAC 102_Wkst'!$E$7:$E$2010,$C46,'LAC 102_Wkst'!$G$7:$G$2010,$D46,'LAC 102_Wkst'!$L$7:$L$2010,"02",'LAC 102_Wkst'!$N$7:$N$2010,"P4")</f>
        <v>0</v>
      </c>
      <c r="I46" s="411">
        <f>SUMIFS('LAC 102_Wkst'!$AF$7:$AF$2010,'LAC 102_Wkst'!$D$7:$D$2010,$C$7,'LAC 102_Wkst'!$I$7:$I$2010,$C$9,'LAC 102_Wkst'!$E$7:$E$2010,$C46,'LAC 102_Wkst'!$G$7:$G$2010,$D46,'LAC 102_Wkst'!$L$7:$L$2010,"01",'LAC 102_Wkst'!$N$7:$N$2010,"P4")+SUMIFS('LAC 102_Wkst'!$AF$7:$AF$2010,'LAC 102_Wkst'!$D$7:$D$2010,$C$7,'LAC 102_Wkst'!$I$7:$I$2010,$C$9,'LAC 102_Wkst'!$E$7:$E$2010,$C46,'LAC 102_Wkst'!$G$7:$G$2010,$D46,'LAC 102_Wkst'!$L$7:$L$2010,"02",'LAC 102_Wkst'!$N$7:$N$2010,"P4")</f>
        <v>0</v>
      </c>
      <c r="J46" s="410">
        <f>SUMIFS('LAC 102_Wkst'!$Q$7:$Q$2010,'LAC 102_Wkst'!$D$7:$D$2010,$C$7,'LAC 102_Wkst'!$I$7:$I$2010,$C$9,'LAC 102_Wkst'!$E$7:$E$2010,$C46,'LAC 102_Wkst'!$G$7:$G$2010,$D46,'LAC 102_Wkst'!$L$7:$L$2010,"01",'LAC 102_Wkst'!$N$7:$N$2010,"P5")+SUMIFS('LAC 102_Wkst'!$Q$7:$Q$2010,'LAC 102_Wkst'!$D$7:$D$2010,$C$7,'LAC 102_Wkst'!$I$7:$I$2010,$C$9,'LAC 102_Wkst'!$E$7:$E$2010,$C46,'LAC 102_Wkst'!$G$7:$G$2010,$D46,'LAC 102_Wkst'!$L$7:$L$2010,"02",'LAC 102_Wkst'!$N$7:$N$2010,"P5")</f>
        <v>0</v>
      </c>
      <c r="K46" s="411">
        <f>SUMIFS('LAC 102_Wkst'!$AF$7:$AF$2010,'LAC 102_Wkst'!$D$7:$D$2010,$C$7,'LAC 102_Wkst'!$I$7:$I$2010,$C$9,'LAC 102_Wkst'!$E$7:$E$2010,$C46,'LAC 102_Wkst'!$G$7:$G$2010,$D46,'LAC 102_Wkst'!$L$7:$L$2010,"01",'LAC 102_Wkst'!$N$7:$N$2010,"P5")+SUMIFS('LAC 102_Wkst'!$AF$7:$AF$2010,'LAC 102_Wkst'!$D$7:$D$2010,$C$7,'LAC 102_Wkst'!$I$7:$I$2010,$C$9,'LAC 102_Wkst'!$E$7:$E$2010,$C46,'LAC 102_Wkst'!$G$7:$G$2010,$D46,'LAC 102_Wkst'!$L$7:$L$2010,"02",'LAC 102_Wkst'!$N$7:$N$2010,"P5")</f>
        <v>0</v>
      </c>
      <c r="L46" s="410">
        <f>SUMIFS('LAC 102_Wkst'!$Q$7:$Q$2010,'LAC 102_Wkst'!$D$7:$D$2010,$C$7,'LAC 102_Wkst'!$I$7:$I$2010,$C$9,'LAC 102_Wkst'!$E$7:$E$2010,$C46,'LAC 102_Wkst'!$G$7:$G$2010,$D46,'LAC 102_Wkst'!$L$7:$L$2010,"03",'LAC 102_Wkst'!$N$7:$N$2010,"P1")+SUMIFS('LAC 102_Wkst'!$Q$7:$Q$2010,'LAC 102_Wkst'!$D$7:$D$2010,$C$7,'LAC 102_Wkst'!$I$7:$I$2010,$C$9,'LAC 102_Wkst'!$E$7:$E$2010,$C46,'LAC 102_Wkst'!$G$7:$G$2010,$D46,'LAC 102_Wkst'!$L$7:$L$2010,"03",'LAC 102_Wkst'!$N$7:$N$2010,"P2")+SUMIFS('LAC 102_Wkst'!$Q$7:$Q$2010,'LAC 102_Wkst'!$D$7:$D$2010,$C$7,'LAC 102_Wkst'!$I$7:$I$2010,$C$9,'LAC 102_Wkst'!$E$7:$E$2010,$C46,'LAC 102_Wkst'!$G$7:$G$2010,$D46,'LAC 102_Wkst'!$L$7:$L$2010,"03",'LAC 102_Wkst'!$N$7:$N$2010,"P3")+SUMIFS('LAC 102_Wkst'!$Q$7:$Q$2010,'LAC 102_Wkst'!$D$7:$D$2010,$C$7,'LAC 102_Wkst'!$I$7:$I$2010,$C$9,'LAC 102_Wkst'!$E$7:$E$2010,$C46,'LAC 102_Wkst'!$G$7:$G$2010,$D46,'LAC 102_Wkst'!$L$7:$L$2010,"04",'LAC 102_Wkst'!$N$7:$N$2010,"P1")+SUMIFS('LAC 102_Wkst'!$Q$7:$Q$2010,'LAC 102_Wkst'!$D$7:$D$2010,$C$7,'LAC 102_Wkst'!$I$7:$I$2010,$C$9,'LAC 102_Wkst'!$E$7:$E$2010,$C46,'LAC 102_Wkst'!$G$7:$G$2010,$D46,'LAC 102_Wkst'!$L$7:$L$2010,"04",'LAC 102_Wkst'!$N$7:$N$2010,"P2")+SUMIFS('LAC 102_Wkst'!$Q$7:$Q$2010,'LAC 102_Wkst'!$D$7:$D$2010,$C$7,'LAC 102_Wkst'!$I$7:$I$2010,$C$9,'LAC 102_Wkst'!$E$7:$E$2010,$C46,'LAC 102_Wkst'!$G$7:$G$2010,$D46,'LAC 102_Wkst'!$L$7:$L$2010,"04",'LAC 102_Wkst'!$N$7:$N$2010,"P3")</f>
        <v>0</v>
      </c>
      <c r="M46" s="411">
        <f>SUMIFS('LAC 102_Wkst'!$AF$7:$AF$2010,'LAC 102_Wkst'!$D$7:$D$2010,$C$7,'LAC 102_Wkst'!$I$7:$I$2010,$C$9,'LAC 102_Wkst'!$E$7:$E$2010,$C46,'LAC 102_Wkst'!$G$7:$G$2010,$D46,'LAC 102_Wkst'!$L$7:$L$2010,"03",'LAC 102_Wkst'!$N$7:$N$2010,"P1")+SUMIFS('LAC 102_Wkst'!$AF$7:$AF$2010,'LAC 102_Wkst'!$D$7:$D$2010,$C$7,'LAC 102_Wkst'!$I$7:$I$2010,$C$9,'LAC 102_Wkst'!$E$7:$E$2010,$C46,'LAC 102_Wkst'!$G$7:$G$2010,$D46,'LAC 102_Wkst'!$L$7:$L$2010,"03",'LAC 102_Wkst'!$N$7:$N$2010,"P2")+SUMIFS('LAC 102_Wkst'!$AF$7:$AF$2010,'LAC 102_Wkst'!$D$7:$D$2010,$C$7,'LAC 102_Wkst'!$I$7:$I$2010,$C$9,'LAC 102_Wkst'!$E$7:$E$2010,$C46,'LAC 102_Wkst'!$G$7:$G$2010,$D46,'LAC 102_Wkst'!$L$7:$L$2010,"03",'LAC 102_Wkst'!$N$7:$N$2010,"P3")+SUMIFS('LAC 102_Wkst'!$AF$7:$AF$2010,'LAC 102_Wkst'!$D$7:$D$2010,$C$7,'LAC 102_Wkst'!$I$7:$I$2010,$C$9,'LAC 102_Wkst'!$E$7:$E$2010,$C46,'LAC 102_Wkst'!$G$7:$G$2010,$D46,'LAC 102_Wkst'!$L$7:$L$2010,"04",'LAC 102_Wkst'!$N$7:$N$2010,"P1")+SUMIFS('LAC 102_Wkst'!$AF$7:$AF$2010,'LAC 102_Wkst'!$D$7:$D$2010,$C$7,'LAC 102_Wkst'!$I$7:$I$2010,$C$9,'LAC 102_Wkst'!$E$7:$E$2010,$C46,'LAC 102_Wkst'!$G$7:$G$2010,$D46,'LAC 102_Wkst'!$L$7:$L$2010,"04",'LAC 102_Wkst'!$N$7:$N$2010,"P2")+SUMIFS('LAC 102_Wkst'!$AF$7:$AF$2010,'LAC 102_Wkst'!$D$7:$D$2010,$C$7,'LAC 102_Wkst'!$I$7:$I$2010,$C$9,'LAC 102_Wkst'!$E$7:$E$2010,$C46,'LAC 102_Wkst'!$G$7:$G$2010,$D46,'LAC 102_Wkst'!$L$7:$L$2010,"04",'LAC 102_Wkst'!$N$7:$N$2010,"P3")</f>
        <v>0</v>
      </c>
      <c r="N46" s="410">
        <f>SUMIFS('LAC 102_Wkst'!$Q$7:$Q$2010,'LAC 102_Wkst'!$D$7:$D$2010,$C$7,'LAC 102_Wkst'!$I$7:$I$2010,$C$9,'LAC 102_Wkst'!$E$7:$E$2010,$C46,'LAC 102_Wkst'!$G$7:$G$2010,$D46,'LAC 102_Wkst'!$L$7:$L$2010,"03",'LAC 102_Wkst'!$N$7:$N$2010,"P4")+SUMIFS('LAC 102_Wkst'!$Q$7:$Q$2010,'LAC 102_Wkst'!$D$7:$D$2010,$C$7,'LAC 102_Wkst'!$I$7:$I$2010,$C$9,'LAC 102_Wkst'!$E$7:$E$2010,$C46,'LAC 102_Wkst'!$G$7:$G$2010,$D46,'LAC 102_Wkst'!$L$7:$L$2010,"04",'LAC 102_Wkst'!$N$7:$N$2010,"P4")</f>
        <v>0</v>
      </c>
      <c r="O46" s="411">
        <f>SUMIFS('LAC 102_Wkst'!$AF$7:$AF$2010,'LAC 102_Wkst'!$D$7:$D$2010,$C$7,'LAC 102_Wkst'!$I$7:$I$2010,$C$9,'LAC 102_Wkst'!$E$7:$E$2010,$C46,'LAC 102_Wkst'!$G$7:$G$2010,$D46,'LAC 102_Wkst'!$L$7:$L$2010,"03",'LAC 102_Wkst'!$N$7:$N$2010,"P4")+SUMIFS('LAC 102_Wkst'!$AF$7:$AF$2010,'LAC 102_Wkst'!$D$7:$D$2010,$C$7,'LAC 102_Wkst'!$I$7:$I$2010,$C$9,'LAC 102_Wkst'!$E$7:$E$2010,$C46,'LAC 102_Wkst'!$G$7:$G$2010,$D46,'LAC 102_Wkst'!$L$7:$L$2010,"04",'LAC 102_Wkst'!$N$7:$N$2010,"P4")</f>
        <v>0</v>
      </c>
      <c r="P46" s="410">
        <f>SUMIFS('LAC 102_Wkst'!$Q$7:$Q$2010,'LAC 102_Wkst'!$D$7:$D$2010,$C$7,'LAC 102_Wkst'!$I$7:$I$2010,$C$9,'LAC 102_Wkst'!$E$7:$E$2010,$C46,'LAC 102_Wkst'!$G$7:$G$2010,$D46,'LAC 102_Wkst'!$L$7:$L$2010,"03",'LAC 102_Wkst'!$N$7:$N$2010,"P5")+SUMIFS('LAC 102_Wkst'!$Q$7:$Q$2010,'LAC 102_Wkst'!$D$7:$D$2010,$C$7,'LAC 102_Wkst'!$I$7:$I$2010,$C$9,'LAC 102_Wkst'!$E$7:$E$2010,$C46,'LAC 102_Wkst'!$G$7:$G$2010,$D46,'LAC 102_Wkst'!$L$7:$L$2010,"04",'LAC 102_Wkst'!$N$7:$N$2010,"P5")</f>
        <v>0</v>
      </c>
      <c r="Q46" s="411">
        <f>SUMIFS('LAC 102_Wkst'!$AF$7:$AF$2010,'LAC 102_Wkst'!$D$7:$D$2010,$C$7,'LAC 102_Wkst'!$I$7:$I$2010,$C$9,'LAC 102_Wkst'!$E$7:$E$2010,$C46,'LAC 102_Wkst'!$G$7:$G$2010,$D46,'LAC 102_Wkst'!$L$7:$L$2010,"03",'LAC 102_Wkst'!$N$7:$N$2010,"P5")+SUMIFS('LAC 102_Wkst'!$AF$7:$AF$2010,'LAC 102_Wkst'!$D$7:$D$2010,$C$7,'LAC 102_Wkst'!$I$7:$I$2010,$C$9,'LAC 102_Wkst'!$E$7:$E$2010,$C46,'LAC 102_Wkst'!$G$7:$G$2010,$D46,'LAC 102_Wkst'!$L$7:$L$2010,"04",'LAC 102_Wkst'!$N$7:$N$2010,"P5")</f>
        <v>0</v>
      </c>
      <c r="R46" s="412">
        <f>SUMIFS('LAC 102_Wkst'!$Q$7:$Q$2010,'LAC 102_Wkst'!$D$7:$D$2010,$C$7,'LAC 102_Wkst'!$I$7:$I$2010,$C$9,'LAC 102_Wkst'!$E$7:$E$2010,$C46,'LAC 102_Wkst'!$G$7:$G$2010,$D46,'LAC 102_Wkst'!$L$7:$L$2010,"05",'LAC 102_Wkst'!$N$7:$N$2010,"P1")+SUMIFS('LAC 102_Wkst'!$Q$7:$Q$2010,'LAC 102_Wkst'!$D$7:$D$2010,$C$7,'LAC 102_Wkst'!$I$7:$I$2010,$C$9,'LAC 102_Wkst'!$E$7:$E$2010,$C46,'LAC 102_Wkst'!$G$7:$G$2010,$D46,'LAC 102_Wkst'!$L$7:$L$2010,"06",'LAC 102_Wkst'!$N$7:$N$2010,"P1")</f>
        <v>0</v>
      </c>
      <c r="S46" s="411">
        <f>SUMIFS('LAC 102_Wkst'!$AF$7:$AF$2010,'LAC 102_Wkst'!$D$7:$D$2010,$C$7,'LAC 102_Wkst'!$I$7:$I$2010,$C$9,'LAC 102_Wkst'!$E$7:$E$2010,$C46,'LAC 102_Wkst'!$G$7:$G$2010,$D46,'LAC 102_Wkst'!$L$7:$L$2010,"05",'LAC 102_Wkst'!$N$7:$N$2010,"P1")+SUMIFS('LAC 102_Wkst'!$AF$7:$AF$2010,'LAC 102_Wkst'!$D$7:$D$2010,$C$7,'LAC 102_Wkst'!$I$7:$I$2010,$C$9,'LAC 102_Wkst'!$E$7:$E$2010,$C46,'LAC 102_Wkst'!$G$7:$G$2010,$D46,'LAC 102_Wkst'!$L$7:$L$2010,"06",'LAC 102_Wkst'!$N$7:$N$2010,"P1")</f>
        <v>0</v>
      </c>
      <c r="T46" s="410">
        <f>SUMIFS('LAC 102_Wkst'!$Q$7:$Q$2010,'LAC 102_Wkst'!$D$7:$D$2010,$C$7,'LAC 102_Wkst'!$I$7:$I$2010,$C$9,'LAC 102_Wkst'!$E$7:$E$2010,$C46,'LAC 102_Wkst'!$G$7:$G$2010,$D46,'LAC 102_Wkst'!$L$7:$L$2010,"05",'LAC 102_Wkst'!$N$7:$N$2010,"P2")+SUMIFS('LAC 102_Wkst'!$Q$7:$Q$2010,'LAC 102_Wkst'!$D$7:$D$2010,$C$7,'LAC 102_Wkst'!$I$7:$I$2010,$C$9,'LAC 102_Wkst'!$E$7:$E$2010,$C46,'LAC 102_Wkst'!$G$7:$G$2010,$D46,'LAC 102_Wkst'!$L$7:$L$2010,"06",'LAC 102_Wkst'!$N$7:$N$2010,"P2")+SUMIFS('LAC 102_Wkst'!$Q$7:$Q$2010,'LAC 102_Wkst'!$D$7:$D$2010,$C$7,'LAC 102_Wkst'!$I$7:$I$2010,$C$9,'LAC 102_Wkst'!$E$7:$E$2010,$C46,'LAC 102_Wkst'!$G$7:$G$2010,$D46,'LAC 102_Wkst'!$L$7:$L$2010,"05",'LAC 102_Wkst'!$N$7:$N$2010,"P3")+SUMIFS('LAC 102_Wkst'!$Q$7:$Q$2010,'LAC 102_Wkst'!$D$7:$D$2010,$C$7,'LAC 102_Wkst'!$I$7:$I$2010,$C$9,'LAC 102_Wkst'!$E$7:$E$2010,$C46,'LAC 102_Wkst'!$G$7:$G$2010,$D46,'LAC 102_Wkst'!$L$7:$L$2010,"06",'LAC 102_Wkst'!$N$7:$N$2010,"P3")</f>
        <v>0</v>
      </c>
      <c r="U46" s="411">
        <f>SUMIFS('LAC 102_Wkst'!$AF$7:$AF$2010,'LAC 102_Wkst'!$D$7:$D$2010,$C$7,'LAC 102_Wkst'!$I$7:$I$2010,$C$9,'LAC 102_Wkst'!$E$7:$E$2010,$C46,'LAC 102_Wkst'!$G$7:$G$2010,$D46,'LAC 102_Wkst'!$L$7:$L$2010,"05",'LAC 102_Wkst'!$N$7:$N$2010,"P2")+SUMIFS('LAC 102_Wkst'!$AF$7:$AF$2010,'LAC 102_Wkst'!$D$7:$D$2010,$C$7,'LAC 102_Wkst'!$I$7:$I$2010,$C$9,'LAC 102_Wkst'!$E$7:$E$2010,$C46,'LAC 102_Wkst'!$G$7:$G$2010,$D46,'LAC 102_Wkst'!$L$7:$L$2010,"06",'LAC 102_Wkst'!$N$7:$N$2010,"P2")+SUMIFS('LAC 102_Wkst'!$AF$7:$AF$2010,'LAC 102_Wkst'!$D$7:$D$2010,$C$7,'LAC 102_Wkst'!$I$7:$I$2010,$C$9,'LAC 102_Wkst'!$E$7:$E$2010,$C46,'LAC 102_Wkst'!$G$7:$G$2010,$D46,'LAC 102_Wkst'!$L$7:$L$2010,"05",'LAC 102_Wkst'!$N$7:$N$2010,"P3")+SUMIFS('LAC 102_Wkst'!$AF$7:$AF$2010,'LAC 102_Wkst'!$D$7:$D$2010,$C$7,'LAC 102_Wkst'!$I$7:$I$2010,$C$9,'LAC 102_Wkst'!$E$7:$E$2010,$C46,'LAC 102_Wkst'!$G$7:$G$2010,$D46,'LAC 102_Wkst'!$L$7:$L$2010,"06",'LAC 102_Wkst'!$N$7:$N$2010,"P3")</f>
        <v>0</v>
      </c>
      <c r="V46" s="410">
        <f>SUMIFS('LAC 102_Wkst'!$Q$7:$Q$2010,'LAC 102_Wkst'!$D$7:$D$2010,$C$7,'LAC 102_Wkst'!$I$7:$I$2010,$C$9,'LAC 102_Wkst'!$E$7:$E$2010,$C46,'LAC 102_Wkst'!$G$7:$G$2010,$D46,'LAC 102_Wkst'!$L$7:$L$2010,"05",'LAC 102_Wkst'!$N$7:$N$2010,"P4")+SUMIFS('LAC 102_Wkst'!$Q$7:$Q$2010,'LAC 102_Wkst'!$D$7:$D$2010,$C$7,'LAC 102_Wkst'!$I$7:$I$2010,$C$9,'LAC 102_Wkst'!$E$7:$E$2010,$C46,'LAC 102_Wkst'!$G$7:$G$2010,$D46,'LAC 102_Wkst'!$L$7:$L$2010,"06",'LAC 102_Wkst'!$N$7:$N$2010,"P4")</f>
        <v>0</v>
      </c>
      <c r="W46" s="411">
        <f>SUMIFS('LAC 102_Wkst'!$AF$7:$AF$2010,'LAC 102_Wkst'!$D$7:$D$2010,$C$7,'LAC 102_Wkst'!$I$7:$I$2010,$C$9,'LAC 102_Wkst'!$E$7:$E$2010,$C46,'LAC 102_Wkst'!$G$7:$G$2010,$D46,'LAC 102_Wkst'!$L$7:$L$2010,"05",'LAC 102_Wkst'!$N$7:$N$2010,"P4")+SUMIFS('LAC 102_Wkst'!$AF$7:$AF$2010,'LAC 102_Wkst'!$D$7:$D$2010,$C$7,'LAC 102_Wkst'!$I$7:$I$2010,$C$9,'LAC 102_Wkst'!$E$7:$E$2010,$C46,'LAC 102_Wkst'!$G$7:$G$2010,$D46,'LAC 102_Wkst'!$L$7:$L$2010,"06",'LAC 102_Wkst'!$N$7:$N$2010,"P4")</f>
        <v>0</v>
      </c>
      <c r="X46" s="410">
        <f>SUMIFS('LAC 102_Wkst'!$Q$7:$Q$2010,'LAC 102_Wkst'!$D$7:$D$2010,$C$7,'LAC 102_Wkst'!$I$7:$I$2010,$C$9,'LAC 102_Wkst'!$E$7:$E$2010,$C46,'LAC 102_Wkst'!$G$7:$G$2010,$D46,'LAC 102_Wkst'!$L$7:$L$2010,"05",'LAC 102_Wkst'!$N$7:$N$2010,"P5")+SUMIFS('LAC 102_Wkst'!$Q$7:$Q$2010,'LAC 102_Wkst'!$D$7:$D$2010,$C$7,'LAC 102_Wkst'!$I$7:$I$2010,$C$9,'LAC 102_Wkst'!$E$7:$E$2010,$C46,'LAC 102_Wkst'!$G$7:$G$2010,$D46,'LAC 102_Wkst'!$L$7:$L$2010,"06",'LAC 102_Wkst'!$N$7:$N$2010,"P5")</f>
        <v>0</v>
      </c>
      <c r="Y46" s="411">
        <f>SUMIFS('LAC 102_Wkst'!$AF$7:$AF$2010,'LAC 102_Wkst'!$D$7:$D$2010,$C$7,'LAC 102_Wkst'!$I$7:$I$2010,$C$9,'LAC 102_Wkst'!$E$7:$E$2010,$C46,'LAC 102_Wkst'!$G$7:$G$2010,$D46,'LAC 102_Wkst'!$L$7:$L$2010,"05",'LAC 102_Wkst'!$N$7:$N$2010,"P5")+SUMIFS('LAC 102_Wkst'!$AF$7:$AF$2010,'LAC 102_Wkst'!$D$7:$D$2010,$C$7,'LAC 102_Wkst'!$I$7:$I$2010,$C$9,'LAC 102_Wkst'!$E$7:$E$2010,$C46,'LAC 102_Wkst'!$G$7:$G$2010,$D46,'LAC 102_Wkst'!$L$7:$L$2010,"06",'LAC 102_Wkst'!$N$7:$N$2010,"P5")</f>
        <v>0</v>
      </c>
      <c r="Z46" s="410">
        <f>SUMIFS('LAC 102_Wkst'!$Q$7:$Q$2010,'LAC 102_Wkst'!$D$7:$D$2010,$C$7,'LAC 102_Wkst'!$I$7:$I$2010,$C$9,'LAC 102_Wkst'!$E$7:$E$2010,$C46,'LAC 102_Wkst'!$G$7:$G$2010,$D46,'LAC 102_Wkst'!$L$7:$L$2010,"07",'LAC 102_Wkst'!$N$7:$N$2010,"P1")+SUMIFS('LAC 102_Wkst'!$Q$7:$Q$2010,'LAC 102_Wkst'!$D$7:$D$2010,$C$7,'LAC 102_Wkst'!$I$7:$I$2010,$C$9,'LAC 102_Wkst'!$E$7:$E$2010,$C46,'LAC 102_Wkst'!$G$7:$G$2010,$D46,'LAC 102_Wkst'!$L$7:$L$2010,"07",'LAC 102_Wkst'!$N$7:$N$2010,"P2")+SUMIFS('LAC 102_Wkst'!$Q$7:$Q$2010,'LAC 102_Wkst'!$D$7:$D$2010,$C$7,'LAC 102_Wkst'!$I$7:$I$2010,$C$9,'LAC 102_Wkst'!$E$7:$E$2010,$C46,'LAC 102_Wkst'!$G$7:$G$2010,$D46,'LAC 102_Wkst'!$L$7:$L$2010,"07",'LAC 102_Wkst'!$N$7:$N$2010,"P3")</f>
        <v>0</v>
      </c>
      <c r="AA46" s="411">
        <f>SUMIFS('LAC 102_Wkst'!$AF$7:$AF$2010,'LAC 102_Wkst'!$D$7:$D$2010,$C$7,'LAC 102_Wkst'!$I$7:$I$2010,$C$9,'LAC 102_Wkst'!$E$7:$E$2010,$C46,'LAC 102_Wkst'!$G$7:$G$2010,$D46,'LAC 102_Wkst'!$L$7:$L$2010,"07",'LAC 102_Wkst'!$N$7:$N$2010,"P1")+SUMIFS('LAC 102_Wkst'!$AF$7:$AF$2010,'LAC 102_Wkst'!$D$7:$D$2010,$C$7,'LAC 102_Wkst'!$I$7:$I$2010,$C$9,'LAC 102_Wkst'!$E$7:$E$2010,$C46,'LAC 102_Wkst'!$G$7:$G$2010,$D46,'LAC 102_Wkst'!$L$7:$L$2010,"07",'LAC 102_Wkst'!$N$7:$N$2010,"P2")+SUMIFS('LAC 102_Wkst'!$AF$7:$AF$2010,'LAC 102_Wkst'!$D$7:$D$2010,$C$7,'LAC 102_Wkst'!$I$7:$I$2010,$C$9,'LAC 102_Wkst'!$E$7:$E$2010,$C46,'LAC 102_Wkst'!$G$7:$G$2010,$D46,'LAC 102_Wkst'!$L$7:$L$2010,"07",'LAC 102_Wkst'!$N$7:$N$2010,"P3")</f>
        <v>0</v>
      </c>
      <c r="AB46" s="410">
        <f>SUMIFS('LAC 102_Wkst'!$Q$7:$Q$2010,'LAC 102_Wkst'!$D$7:$D$2010,$C$7,'LAC 102_Wkst'!$I$7:$I$2010,$C$9,'LAC 102_Wkst'!$E$7:$E$2010,$C46,'LAC 102_Wkst'!$G$7:$G$2010,$D46,'LAC 102_Wkst'!$L$7:$L$2010,"07",'LAC 102_Wkst'!$N$7:$N$2010,"P4")</f>
        <v>0</v>
      </c>
      <c r="AC46" s="411">
        <f>SUMIFS('LAC 102_Wkst'!$AF$7:$AF$2010,'LAC 102_Wkst'!$D$7:$D$2010,$C$7,'LAC 102_Wkst'!$I$7:$I$2010,$C$9,'LAC 102_Wkst'!$E$7:$E$2010,$C46,'LAC 102_Wkst'!$G$7:$G$2010,$D46,'LAC 102_Wkst'!$L$7:$L$2010,"07",'LAC 102_Wkst'!$N$7:$N$2010,"P4")</f>
        <v>0</v>
      </c>
      <c r="AD46" s="410">
        <f>SUMIFS('LAC 102_Wkst'!$Q$7:$Q$2010,'LAC 102_Wkst'!$D$7:$D$2010,$C$7,'LAC 102_Wkst'!$I$7:$I$2010,$C$9,'LAC 102_Wkst'!$E$7:$E$2010,$C46,'LAC 102_Wkst'!$G$7:$G$2010,$D46,'LAC 102_Wkst'!$L$7:$L$2010,"07",'LAC 102_Wkst'!$N$7:$N$2010,"P5")</f>
        <v>0</v>
      </c>
      <c r="AE46" s="411">
        <f>SUMIFS('LAC 102_Wkst'!$AF$7:$AF$2010,'LAC 102_Wkst'!$D$7:$D$2010,$C$7,'LAC 102_Wkst'!$I$7:$I$2010,$C$9,'LAC 102_Wkst'!$E$7:$E$2010,$C46,'LAC 102_Wkst'!$G$7:$G$2010,$D46,'LAC 102_Wkst'!$L$7:$L$2010,"07",'LAC 102_Wkst'!$N$7:$N$2010,"P5")</f>
        <v>0</v>
      </c>
      <c r="AF46" s="410">
        <f>SUMIFS('LAC 102_Wkst'!$Q$7:$Q$2010,'LAC 102_Wkst'!$D$7:$D$2010,$C$7,'LAC 102_Wkst'!$I$7:$I$2010,$C$9,'LAC 102_Wkst'!$E$7:$E$2010,$C46,'LAC 102_Wkst'!$G$7:$G$2010,$D46,'LAC 102_Wkst'!$L$7:$L$2010,"08",'LAC 102_Wkst'!$N$7:$N$2010,"P1")+SUMIFS('LAC 102_Wkst'!$Q$7:$Q$2010,'LAC 102_Wkst'!$D$7:$D$2010,$C$7,'LAC 102_Wkst'!$I$7:$I$2010,$C$9,'LAC 102_Wkst'!$E$7:$E$2010,$C46,'LAC 102_Wkst'!$G$7:$G$2010,$D46,'LAC 102_Wkst'!$L$7:$L$2010,"08",'LAC 102_Wkst'!$N$7:$N$2010,"P2")+SUMIFS('LAC 102_Wkst'!$Q$7:$Q$2010,'LAC 102_Wkst'!$D$7:$D$2010,$C$7,'LAC 102_Wkst'!$I$7:$I$2010,$C$9,'LAC 102_Wkst'!$E$7:$E$2010,$C46,'LAC 102_Wkst'!$G$7:$G$2010,$D46,'LAC 102_Wkst'!$L$7:$L$2010,"08",'LAC 102_Wkst'!$N$7:$N$2010,"P3")</f>
        <v>0</v>
      </c>
      <c r="AG46" s="411">
        <f>SUMIFS('LAC 102_Wkst'!$AF$7:$AF$2010,'LAC 102_Wkst'!$D$7:$D$2010,$C$7,'LAC 102_Wkst'!$I$7:$I$2010,$C$9,'LAC 102_Wkst'!$E$7:$E$2010,$C46,'LAC 102_Wkst'!$G$7:$G$2010,$D46,'LAC 102_Wkst'!$L$7:$L$2010,"08",'LAC 102_Wkst'!$N$7:$N$2010,"P1")+SUMIFS('LAC 102_Wkst'!$AF$7:$AF$2010,'LAC 102_Wkst'!$D$7:$D$2010,$C$7,'LAC 102_Wkst'!$I$7:$I$2010,$C$9,'LAC 102_Wkst'!$E$7:$E$2010,$C46,'LAC 102_Wkst'!$G$7:$G$2010,$D46,'LAC 102_Wkst'!$L$7:$L$2010,"08",'LAC 102_Wkst'!$N$7:$N$2010,"P2")+SUMIFS('LAC 102_Wkst'!$AF$7:$AF$2010,'LAC 102_Wkst'!$D$7:$D$2010,$C$7,'LAC 102_Wkst'!$I$7:$I$2010,$C$9,'LAC 102_Wkst'!$E$7:$E$2010,$C46,'LAC 102_Wkst'!$G$7:$G$2010,$D46,'LAC 102_Wkst'!$L$7:$L$2010,"08",'LAC 102_Wkst'!$N$7:$N$2010,"P3")</f>
        <v>0</v>
      </c>
      <c r="AH46" s="410">
        <f>SUMIFS('LAC 102_Wkst'!$Q$7:$Q$2010,'LAC 102_Wkst'!$D$7:$D$2010,$C$7,'LAC 102_Wkst'!$I$7:$I$2010,$C$9,'LAC 102_Wkst'!$E$7:$E$2010,$C46,'LAC 102_Wkst'!$G$7:$G$2010,$D46,'LAC 102_Wkst'!$L$7:$L$2010,"08",'LAC 102_Wkst'!$N$7:$N$2010,"P4")</f>
        <v>0</v>
      </c>
      <c r="AI46" s="411">
        <f>SUMIFS('LAC 102_Wkst'!$AF$7:$AF$2010,'LAC 102_Wkst'!$D$7:$D$2010,$C$7,'LAC 102_Wkst'!$I$7:$I$2010,$C$9,'LAC 102_Wkst'!$E$7:$E$2010,$C46,'LAC 102_Wkst'!$G$7:$G$2010,$D46,'LAC 102_Wkst'!$L$7:$L$2010,"08",'LAC 102_Wkst'!$N$7:$N$2010,"P4")</f>
        <v>0</v>
      </c>
      <c r="AJ46" s="410">
        <f>SUMIFS('LAC 102_Wkst'!$Q$7:$Q$2010,'LAC 102_Wkst'!$D$7:$D$2010,$C$7,'LAC 102_Wkst'!$I$7:$I$2010,$C$9,'LAC 102_Wkst'!$E$7:$E$2010,$C46,'LAC 102_Wkst'!$G$7:$G$2010,$D46,'LAC 102_Wkst'!$L$7:$L$2010,"08",'LAC 102_Wkst'!$N$7:$N$2010,"P5")</f>
        <v>0</v>
      </c>
      <c r="AK46" s="411">
        <f>SUMIFS('LAC 102_Wkst'!$AF$7:$AF$2010,'LAC 102_Wkst'!$D$7:$D$2010,$C$7,'LAC 102_Wkst'!$I$7:$I$2010,$C$9,'LAC 102_Wkst'!$E$7:$E$2010,$C46,'LAC 102_Wkst'!$G$7:$G$2010,$D46,'LAC 102_Wkst'!$L$7:$L$2010,"08",'LAC 102_Wkst'!$N$7:$N$2010,"P5")</f>
        <v>0</v>
      </c>
      <c r="AL46" s="410">
        <f>SUMIFS('LAC 102_Wkst'!$Q$7:$Q$2010,'LAC 102_Wkst'!$D$7:$D$2010,$C$7,'LAC 102_Wkst'!$I$7:$I$2010,$C$9,'LAC 102_Wkst'!$E$7:$E$2010,$C46,'LAC 102_Wkst'!$G$7:$G$2010,$D46,'LAC 102_Wkst'!$L$7:$L$2010,"09",'LAC 102_Wkst'!$N$7:$N$2010,"P1")+SUMIFS('LAC 102_Wkst'!$Q$7:$Q$2010,'LAC 102_Wkst'!$D$7:$D$2010,$C$7,'LAC 102_Wkst'!$I$7:$I$2010,$C$9,'LAC 102_Wkst'!$E$7:$E$2010,$C46,'LAC 102_Wkst'!$G$7:$G$2010,$D46,'LAC 102_Wkst'!$L$7:$L$2010,"09",'LAC 102_Wkst'!$N$7:$N$2010,"P2")+SUMIFS('LAC 102_Wkst'!$Q$7:$Q$2010,'LAC 102_Wkst'!$D$7:$D$2010,$C$7,'LAC 102_Wkst'!$I$7:$I$2010,$C$9,'LAC 102_Wkst'!$E$7:$E$2010,$C46,'LAC 102_Wkst'!$G$7:$G$2010,$D46,'LAC 102_Wkst'!$L$7:$L$2010,"09",'LAC 102_Wkst'!$N$7:$N$2010,"P3")+SUMIFS('LAC 102_Wkst'!$Q$7:$Q$2010,'LAC 102_Wkst'!$D$7:$D$2010,$C$7,'LAC 102_Wkst'!$I$7:$I$2010,$C$9,'LAC 102_Wkst'!$E$7:$E$2010,$C46,'LAC 102_Wkst'!$G$7:$G$2010,$D46,'LAC 102_Wkst'!$L$7:$L$2010,"09",'LAC 102_Wkst'!$N$7:$N$2010,"P4")</f>
        <v>0</v>
      </c>
      <c r="AM46" s="411">
        <f>SUMIFS('LAC 102_Wkst'!$AF$7:$AF$2010,'LAC 102_Wkst'!$D$7:$D$2010,$C$7,'LAC 102_Wkst'!$I$7:$I$2010,$C$9,'LAC 102_Wkst'!$E$7:$E$2010,$C46,'LAC 102_Wkst'!$G$7:$G$2010,$D46,'LAC 102_Wkst'!$L$7:$L$2010,"09",'LAC 102_Wkst'!$N$7:$N$2010,"P1")+SUMIFS('LAC 102_Wkst'!$AF$7:$AF$2010,'LAC 102_Wkst'!$D$7:$D$2010,$C$7,'LAC 102_Wkst'!$I$7:$I$2010,$C$9,'LAC 102_Wkst'!$E$7:$E$2010,$C46,'LAC 102_Wkst'!$G$7:$G$2010,$D46,'LAC 102_Wkst'!$L$7:$L$2010,"09",'LAC 102_Wkst'!$N$7:$N$2010,"P2")+SUMIFS('LAC 102_Wkst'!$AF$7:$AF$2010,'LAC 102_Wkst'!$D$7:$D$2010,$C$7,'LAC 102_Wkst'!$I$7:$I$2010,$C$9,'LAC 102_Wkst'!$E$7:$E$2010,$C46,'LAC 102_Wkst'!$G$7:$G$2010,$D46,'LAC 102_Wkst'!$L$7:$L$2010,"09",'LAC 102_Wkst'!$N$7:$N$2010,"P3")+SUMIFS('LAC 102_Wkst'!$AF$7:$AF$2010,'LAC 102_Wkst'!$D$7:$D$2010,$C$7,'LAC 102_Wkst'!$I$7:$I$2010,$C$9,'LAC 102_Wkst'!$E$7:$E$2010,$C46,'LAC 102_Wkst'!$G$7:$G$2010,$D46,'LAC 102_Wkst'!$L$7:$L$2010,"09",'LAC 102_Wkst'!$N$7:$N$2010,"P4")</f>
        <v>0</v>
      </c>
      <c r="AN46" s="410">
        <f>SUMIFS('LAC 102_Wkst'!$Q$7:$Q$2010,'LAC 102_Wkst'!$D$7:$D$2010,$C$7,'LAC 102_Wkst'!$I$7:$I$2010,$C$9,'LAC 102_Wkst'!$E$7:$E$2010,$C46,'LAC 102_Wkst'!$G$7:$G$2010,$D46,'LAC 102_Wkst'!$L$7:$L$2010,"09",'LAC 102_Wkst'!$N$7:$N$2010,"P5")</f>
        <v>0</v>
      </c>
      <c r="AO46" s="411">
        <f>SUMIFS('LAC 102_Wkst'!$AF$7:$AF$2010,'LAC 102_Wkst'!$D$7:$D$2010,$C$7,'LAC 102_Wkst'!$I$7:$I$2010,$C$9,'LAC 102_Wkst'!$E$7:$E$2010,$C46,'LAC 102_Wkst'!$G$7:$G$2010,$D46,'LAC 102_Wkst'!$L$7:$L$2010,"09",'LAC 102_Wkst'!$N$7:$N$2010,"P5")</f>
        <v>0</v>
      </c>
      <c r="AP46" s="410">
        <f>SUMIFS('LAC 102_Wkst'!$Q$7:$Q$2010,'LAC 102_Wkst'!$D$7:$D$2010,$C$7,'LAC 102_Wkst'!$I$7:$I$2010,$C$9,'LAC 102_Wkst'!$E$7:$E$2010,$C46,'LAC 102_Wkst'!$G$7:$G$2010,$D46,'LAC 102_Wkst'!$L$7:$L$2010,"10",'LAC 102_Wkst'!$N$7:$N$2010,"P1")+SUMIFS('LAC 102_Wkst'!$Q$7:$Q$2010,'LAC 102_Wkst'!$D$7:$D$2010,$C$7,'LAC 102_Wkst'!$I$7:$I$2010,$C$9,'LAC 102_Wkst'!$E$7:$E$2010,$C46,'LAC 102_Wkst'!$G$7:$G$2010,$D46,'LAC 102_Wkst'!$L$7:$L$2010,"10",'LAC 102_Wkst'!$N$7:$N$2010,"P2")+SUMIFS('LAC 102_Wkst'!$Q$7:$Q$2010,'LAC 102_Wkst'!$D$7:$D$2010,$C$7,'LAC 102_Wkst'!$I$7:$I$2010,$C$9,'LAC 102_Wkst'!$E$7:$E$2010,$C46,'LAC 102_Wkst'!$G$7:$G$2010,$D46,'LAC 102_Wkst'!$L$7:$L$2010,"10",'LAC 102_Wkst'!$N$7:$N$2010,"P3")+SUMIFS('LAC 102_Wkst'!$Q$7:$Q$2010,'LAC 102_Wkst'!$D$7:$D$2010,$C$7,'LAC 102_Wkst'!$I$7:$I$2010,$C$9,'LAC 102_Wkst'!$E$7:$E$2010,$C46,'LAC 102_Wkst'!$G$7:$G$2010,$D46,'LAC 102_Wkst'!$L$7:$L$2010,"10",'LAC 102_Wkst'!$N$7:$N$2010,"P4")</f>
        <v>0</v>
      </c>
      <c r="AQ46" s="411">
        <f>SUMIFS('LAC 102_Wkst'!$AF$7:$AF$2010,'LAC 102_Wkst'!$D$7:$D$2010,$C$7,'LAC 102_Wkst'!$I$7:$I$2010,$C$9,'LAC 102_Wkst'!$E$7:$E$2010,$C46,'LAC 102_Wkst'!$G$7:$G$2010,$D46,'LAC 102_Wkst'!$L$7:$L$2010,"10",'LAC 102_Wkst'!$N$7:$N$2010,"P1")+SUMIFS('LAC 102_Wkst'!$AF$7:$AF$2010,'LAC 102_Wkst'!$D$7:$D$2010,$C$7,'LAC 102_Wkst'!$I$7:$I$2010,$C$9,'LAC 102_Wkst'!$E$7:$E$2010,$C46,'LAC 102_Wkst'!$G$7:$G$2010,$D46,'LAC 102_Wkst'!$L$7:$L$2010,"10",'LAC 102_Wkst'!$N$7:$N$2010,"P2")+SUMIFS('LAC 102_Wkst'!$AF$7:$AF$2010,'LAC 102_Wkst'!$D$7:$D$2010,$C$7,'LAC 102_Wkst'!$I$7:$I$2010,$C$9,'LAC 102_Wkst'!$E$7:$E$2010,$C46,'LAC 102_Wkst'!$G$7:$G$2010,$D46,'LAC 102_Wkst'!$L$7:$L$2010,"10",'LAC 102_Wkst'!$N$7:$N$2010,"P3")+SUMIFS('LAC 102_Wkst'!$AF$7:$AF$2010,'LAC 102_Wkst'!$D$7:$D$2010,$C$7,'LAC 102_Wkst'!$I$7:$I$2010,$C$9,'LAC 102_Wkst'!$E$7:$E$2010,$C46,'LAC 102_Wkst'!$G$7:$G$2010,$D46,'LAC 102_Wkst'!$L$7:$L$2010,"10",'LAC 102_Wkst'!$N$7:$N$2010,"P4")</f>
        <v>0</v>
      </c>
      <c r="AR46" s="410">
        <f>SUMIFS('LAC 102_Wkst'!$Q$7:$Q$2010,'LAC 102_Wkst'!$D$7:$D$2010,$C$7,'LAC 102_Wkst'!$I$7:$I$2010,$C$9,'LAC 102_Wkst'!$E$7:$E$2010,$C46,'LAC 102_Wkst'!$G$7:$G$2010,$D46,'LAC 102_Wkst'!$L$7:$L$2010,"10",'LAC 102_Wkst'!$N$7:$N$2010,"P5")</f>
        <v>0</v>
      </c>
      <c r="AS46" s="411">
        <f>SUMIFS('LAC 102_Wkst'!$AF$7:$AF$2010,'LAC 102_Wkst'!$D$7:$D$2010,$C$7,'LAC 102_Wkst'!$I$7:$I$2010,$C$9,'LAC 102_Wkst'!$E$7:$E$2010,$C46,'LAC 102_Wkst'!$G$7:$G$2010,$D46,'LAC 102_Wkst'!$L$7:$L$2010,"10",'LAC 102_Wkst'!$N$7:$N$2010,"P5")</f>
        <v>0</v>
      </c>
      <c r="AT46" s="410">
        <f>SUMIFS('LAC 102_Wkst'!$Q$7:$Q$2010,'LAC 102_Wkst'!$D$7:$D$2010,$C$7,'LAC 102_Wkst'!$I$7:$I$2010,$C$9,'LAC 102_Wkst'!$E$7:$E$2010,$C46,'LAC 102_Wkst'!$G$7:$G$2010,$D46,'LAC 102_Wkst'!$L$7:$L$2010,"11",'LAC 102_Wkst'!$N$7:$N$2010,"P1")+SUMIFS('LAC 102_Wkst'!$Q$7:$Q$2010,'LAC 102_Wkst'!$D$7:$D$2010,$C$7,'LAC 102_Wkst'!$I$7:$I$2010,$C$9,'LAC 102_Wkst'!$E$7:$E$2010,$C46,'LAC 102_Wkst'!$G$7:$G$2010,$D46,'LAC 102_Wkst'!$L$7:$L$2010,"12",'LAC 102_Wkst'!$N$7:$N$2010,"P1")</f>
        <v>0</v>
      </c>
      <c r="AU46" s="411">
        <f>SUMIFS('LAC 102_Wkst'!$Q$7:$Q$2010,'LAC 102_Wkst'!$D$7:$D$2010,$C$7,'LAC 102_Wkst'!$I$7:$I$2010,$C$9,'LAC 102_Wkst'!$E$7:$E$2010,$C46,'LAC 102_Wkst'!$G$7:$G$2010,$D46,'LAC 102_Wkst'!$L$7:$L$2010,"13",'LAC 102_Wkst'!$N$7:$N$2010,"P5")</f>
        <v>0</v>
      </c>
      <c r="AV46" s="410">
        <f>SUMIFS('LAC 102_Wkst'!$Q$7:$Q$2010,'LAC 102_Wkst'!$D$7:$D$2010,$C$7,'LAC 102_Wkst'!$I$7:$I$2010,$C$9,'LAC 102_Wkst'!$E$7:$E$2010,$C46,'LAC 102_Wkst'!$G$7:$G$2010,$D46,'LAC 102_Wkst'!$L$7:$L$2010,"11",'LAC 102_Wkst'!$N$7:$N$2010,"P2")+SUMIFS('LAC 102_Wkst'!$Q$7:$Q$2010,'LAC 102_Wkst'!$D$7:$D$2010,$C$7,'LAC 102_Wkst'!$I$7:$I$2010,$C$9,'LAC 102_Wkst'!$E$7:$E$2010,$C46,'LAC 102_Wkst'!$G$7:$G$2010,$D46,'LAC 102_Wkst'!$L$7:$L$2010,"12",'LAC 102_Wkst'!$N$7:$N$2010,"P2")+SUMIFS('LAC 102_Wkst'!$Q$7:$Q$2010,'LAC 102_Wkst'!$D$7:$D$2010,$C$7,'LAC 102_Wkst'!$I$7:$I$2010,$C$9,'LAC 102_Wkst'!$E$7:$E$2010,$C46,'LAC 102_Wkst'!$G$7:$G$2010,$D46,'LAC 102_Wkst'!$L$7:$L$2010,"11",'LAC 102_Wkst'!$N$7:$N$2010,"P3")+SUMIFS('LAC 102_Wkst'!$Q$7:$Q$2010,'LAC 102_Wkst'!$D$7:$D$2010,$C$7,'LAC 102_Wkst'!$I$7:$I$2010,$C$9,'LAC 102_Wkst'!$E$7:$E$2010,$C46,'LAC 102_Wkst'!$G$7:$G$2010,$D46,'LAC 102_Wkst'!$L$7:$L$2010,"12",'LAC 102_Wkst'!$N$7:$N$2010,"P3")</f>
        <v>0</v>
      </c>
      <c r="AW46" s="411">
        <f>SUMIFS('LAC 102_Wkst'!$AF$7:$AF$2010,'LAC 102_Wkst'!$D$7:$D$2010,$C$7,'LAC 102_Wkst'!$I$7:$I$2010,$C$9,'LAC 102_Wkst'!$E$7:$E$2010,$C46,'LAC 102_Wkst'!$G$7:$G$2010,$D46,'LAC 102_Wkst'!$L$7:$L$2010,"11",'LAC 102_Wkst'!$N$7:$N$2010,"P2")+SUMIFS('LAC 102_Wkst'!$AF$7:$AF$2010,'LAC 102_Wkst'!$D$7:$D$2010,$C$7,'LAC 102_Wkst'!$I$7:$I$2010,$C$9,'LAC 102_Wkst'!$E$7:$E$2010,$C46,'LAC 102_Wkst'!$G$7:$G$2010,$D46,'LAC 102_Wkst'!$L$7:$L$2010,"12",'LAC 102_Wkst'!$N$7:$N$2010,"P2")+SUMIFS('LAC 102_Wkst'!$AF$7:$AF$2010,'LAC 102_Wkst'!$D$7:$D$2010,$C$7,'LAC 102_Wkst'!$I$7:$I$2010,$C$9,'LAC 102_Wkst'!$E$7:$E$2010,$C46,'LAC 102_Wkst'!$G$7:$G$2010,$D46,'LAC 102_Wkst'!$L$7:$L$2010,"11",'LAC 102_Wkst'!$N$7:$N$2010,"P3")+SUMIFS('LAC 102_Wkst'!$AF$7:$AF$2010,'LAC 102_Wkst'!$D$7:$D$2010,$C$7,'LAC 102_Wkst'!$I$7:$I$2010,$C$9,'LAC 102_Wkst'!$E$7:$E$2010,$C46,'LAC 102_Wkst'!$G$7:$G$2010,$D46,'LAC 102_Wkst'!$L$7:$L$2010,"12",'LAC 102_Wkst'!$N$7:$N$2010,"P3")</f>
        <v>0</v>
      </c>
      <c r="AX46" s="410">
        <f>SUMIFS('LAC 102_Wkst'!$Q$7:$Q$2010,'LAC 102_Wkst'!$D$7:$D$2010,$C$7,'LAC 102_Wkst'!$I$7:$I$2010,$C$9,'LAC 102_Wkst'!$E$7:$E$2010,$C46,'LAC 102_Wkst'!$G$7:$G$2010,$D46,'LAC 102_Wkst'!$L$7:$L$2010,"11",'LAC 102_Wkst'!$N$7:$N$2010,"P4")+SUMIFS('LAC 102_Wkst'!$Q$7:$Q$2010,'LAC 102_Wkst'!$D$7:$D$2010,$C$7,'LAC 102_Wkst'!$I$7:$I$2010,$C$9,'LAC 102_Wkst'!$E$7:$E$2010,$C46,'LAC 102_Wkst'!$G$7:$G$2010,$D46,'LAC 102_Wkst'!$L$7:$L$2010,"12",'LAC 102_Wkst'!$N$7:$N$2010,"P4")</f>
        <v>0</v>
      </c>
      <c r="AY46" s="411">
        <f>SUMIFS('LAC 102_Wkst'!$AF$7:$AF$2010,'LAC 102_Wkst'!$D$7:$D$2010,$C$7,'LAC 102_Wkst'!$I$7:$I$2010,$C$9,'LAC 102_Wkst'!$E$7:$E$2010,$C46,'LAC 102_Wkst'!$G$7:$G$2010,$D46,'LAC 102_Wkst'!$L$7:$L$2010,"11",'LAC 102_Wkst'!$N$7:$N$2010,"P4")+SUMIFS('LAC 102_Wkst'!$AF$7:$AF$2010,'LAC 102_Wkst'!$D$7:$D$2010,$C$7,'LAC 102_Wkst'!$I$7:$I$2010,$C$9,'LAC 102_Wkst'!$E$7:$E$2010,$C46,'LAC 102_Wkst'!$G$7:$G$2010,$D46,'LAC 102_Wkst'!$L$7:$L$2010,"12",'LAC 102_Wkst'!$N$7:$N$2010,"P4")</f>
        <v>0</v>
      </c>
      <c r="AZ46" s="410">
        <f>SUMIFS('LAC 102_Wkst'!$Q$7:$Q$2010,'LAC 102_Wkst'!$D$7:$D$2010,$C$7,'LAC 102_Wkst'!$I$7:$I$2010,$C$9,'LAC 102_Wkst'!$E$7:$E$2010,$C46,'LAC 102_Wkst'!$G$7:$G$2010,$D46,'LAC 102_Wkst'!$L$7:$L$2010,"11",'LAC 102_Wkst'!$N$7:$N$2010,"P5")+SUMIFS('LAC 102_Wkst'!$Q$7:$Q$2010,'LAC 102_Wkst'!$D$7:$D$2010,$C$7,'LAC 102_Wkst'!$I$7:$I$2010,$C$9,'LAC 102_Wkst'!$E$7:$E$2010,$C46,'LAC 102_Wkst'!$G$7:$G$2010,$D46,'LAC 102_Wkst'!$L$7:$L$2010,"12",'LAC 102_Wkst'!$N$7:$N$2010,"P5")</f>
        <v>0</v>
      </c>
      <c r="BA46" s="411">
        <f>SUMIFS('LAC 102_Wkst'!$AF$7:$AF$2010,'LAC 102_Wkst'!$D$7:$D$2010,$C$7,'LAC 102_Wkst'!$I$7:$I$2010,$C$9,'LAC 102_Wkst'!$E$7:$E$2010,$C46,'LAC 102_Wkst'!$G$7:$G$2010,$D46,'LAC 102_Wkst'!$L$7:$L$2010,"11",'LAC 102_Wkst'!$N$7:$N$2010,"P5")+SUMIFS('LAC 102_Wkst'!$AF$7:$AF$2010,'LAC 102_Wkst'!$D$7:$D$2010,$C$7,'LAC 102_Wkst'!$I$7:$I$2010,$C$9,'LAC 102_Wkst'!$E$7:$E$2010,$C46,'LAC 102_Wkst'!$G$7:$G$2010,$D46,'LAC 102_Wkst'!$L$7:$L$2010,"12",'LAC 102_Wkst'!$N$7:$N$2010,"P5")</f>
        <v>0</v>
      </c>
      <c r="BB46" s="410">
        <f>SUMIFS('LAC 102_Wkst'!$Q$7:$Q$2010,'LAC 102_Wkst'!$D$7:$D$2010,$C$7,'LAC 102_Wkst'!$I$7:$I$2010,$C$9,'LAC 102_Wkst'!$E$7:$E$2010,$C46,'LAC 102_Wkst'!$G$7:$G$2010,$D46,'LAC 102_Wkst'!$L$7:$L$2010,"13",'LAC 102_Wkst'!$N$7:$N$2010,"P1")+SUMIFS('LAC 102_Wkst'!$Q$7:$Q$2010,'LAC 102_Wkst'!$D$7:$D$2010,$C$7,'LAC 102_Wkst'!$I$7:$I$2010,$C$9,'LAC 102_Wkst'!$E$7:$E$2010,$C46,'LAC 102_Wkst'!$G$7:$G$2010,$D46,'LAC 102_Wkst'!$L$7:$L$2010,"13",'LAC 102_Wkst'!$N$7:$N$2010,"P2")+SUMIFS('LAC 102_Wkst'!$Q$7:$Q$2010,'LAC 102_Wkst'!$D$7:$D$2010,$C$7,'LAC 102_Wkst'!$I$7:$I$2010,$C$9,'LAC 102_Wkst'!$E$7:$E$2010,$C46,'LAC 102_Wkst'!$G$7:$G$2010,$D46,'LAC 102_Wkst'!$L$7:$L$2010,"13",'LAC 102_Wkst'!$N$7:$N$2010,"P3")+SUMIFS('LAC 102_Wkst'!$Q$7:$Q$2010,'LAC 102_Wkst'!$D$7:$D$2010,$C$7,'LAC 102_Wkst'!$I$7:$I$2010,$C$9,'LAC 102_Wkst'!$E$7:$E$2010,$C46,'LAC 102_Wkst'!$G$7:$G$2010,$D46,'LAC 102_Wkst'!$L$7:$L$2010,"13",'LAC 102_Wkst'!$N$7:$N$2010,"P4")</f>
        <v>0</v>
      </c>
      <c r="BC46" s="411">
        <f>SUMIFS('LAC 102_Wkst'!$AF$7:$AF$2010,'LAC 102_Wkst'!$D$7:$D$2010,$C$7,'LAC 102_Wkst'!$I$7:$I$2010,$C$9,'LAC 102_Wkst'!$E$7:$E$2010,$C46,'LAC 102_Wkst'!$G$7:$G$2010,$D46,'LAC 102_Wkst'!$L$7:$L$2010,"13",'LAC 102_Wkst'!$N$7:$N$2010,"P1")+SUMIFS('LAC 102_Wkst'!$AF$7:$AF$2010,'LAC 102_Wkst'!$D$7:$D$2010,$C$7,'LAC 102_Wkst'!$I$7:$I$2010,$C$9,'LAC 102_Wkst'!$E$7:$E$2010,$C46,'LAC 102_Wkst'!$G$7:$G$2010,$D46,'LAC 102_Wkst'!$L$7:$L$2010,"13",'LAC 102_Wkst'!$N$7:$N$2010,"P2")+SUMIFS('LAC 102_Wkst'!$AF$7:$AF$2010,'LAC 102_Wkst'!$D$7:$D$2010,$C$7,'LAC 102_Wkst'!$I$7:$I$2010,$C$9,'LAC 102_Wkst'!$E$7:$E$2010,$C46,'LAC 102_Wkst'!$G$7:$G$2010,$D46,'LAC 102_Wkst'!$L$7:$L$2010,"13",'LAC 102_Wkst'!$N$7:$N$2010,"P3")+SUMIFS('LAC 102_Wkst'!$AF$7:$AF$2010,'LAC 102_Wkst'!$D$7:$D$2010,$C$7,'LAC 102_Wkst'!$I$7:$I$2010,$C$9,'LAC 102_Wkst'!$E$7:$E$2010,$C46,'LAC 102_Wkst'!$G$7:$G$2010,$D46,'LAC 102_Wkst'!$L$7:$L$2010,"13",'LAC 102_Wkst'!$N$7:$N$2010,"P4")</f>
        <v>0</v>
      </c>
      <c r="BD46" s="410">
        <f>SUMIFS('LAC 102_Wkst'!$Q$7:$Q$2010,'LAC 102_Wkst'!$D$7:$D$2010,$C$7,'LAC 102_Wkst'!$I$7:$I$2010,$C$9,'LAC 102_Wkst'!$E$7:$E$2010,$C46,'LAC 102_Wkst'!$G$7:$G$2010,$D46,'LAC 102_Wkst'!$L$7:$L$2010,"13",'LAC 102_Wkst'!$N$7:$N$2010,"P5")</f>
        <v>0</v>
      </c>
      <c r="BE46" s="411">
        <f>SUMIFS('LAC 102_Wkst'!$AF$7:$AF$2010,'LAC 102_Wkst'!$D$7:$D$2010,$C$7,'LAC 102_Wkst'!$I$7:$I$2010,$C$9,'LAC 102_Wkst'!$E$7:$E$2010,$C46,'LAC 102_Wkst'!$G$7:$G$2010,$D46,'LAC 102_Wkst'!$L$7:$L$2010,"13",'LAC 102_Wkst'!$N$7:$N$2010,"P5")</f>
        <v>0</v>
      </c>
      <c r="BF46" s="407">
        <f t="shared" si="4"/>
        <v>0</v>
      </c>
      <c r="BG46" s="1654">
        <f>SUMIFS('LAC 102_Wkst'!$AF$7:$AF$2010,'LAC 102_Wkst'!$D$7:$D$2010,$C$7,'LAC 102_Wkst'!$I$7:$I$2010,$C$9,'LAC 102_Wkst'!$E$7:$E$2010,$C46,'LAC 102_Wkst'!$G$7:$G$2010,$D46,'LAC 102_Wkst'!$L$7:$L$2010,"14")</f>
        <v>0</v>
      </c>
    </row>
    <row r="47" spans="1:59" x14ac:dyDescent="0.2">
      <c r="A47" s="401">
        <v>25</v>
      </c>
      <c r="B47" s="1678" t="str">
        <f>IF(Schedule_B!B$44="","",Schedule_B!B$44)</f>
        <v/>
      </c>
      <c r="C47" s="1674" t="str">
        <f>IF(Schedule_B!C$44=""," ",Schedule_B!C$44)</f>
        <v xml:space="preserve"> </v>
      </c>
      <c r="D47" s="1675" t="str">
        <f>IF(Schedule_B!D$44=""," ",Schedule_B!D$44)</f>
        <v xml:space="preserve"> </v>
      </c>
      <c r="E47" s="1221">
        <f>SUMIFS('LAC 102_Wkst'!$Q$7:$Q$2010,'LAC 102_Wkst'!$D$7:$D$2010,$C$7,'LAC 102_Wkst'!$I$7:$I$2010,$C$9,'LAC 102_Wkst'!$E$7:$E$2010,$C47,'LAC 102_Wkst'!$G$7:$G$2010,$D47)</f>
        <v>0</v>
      </c>
      <c r="F47" s="408">
        <f>SUMIFS('LAC 102_Wkst'!$Q$7:$Q$2010,'LAC 102_Wkst'!$D$7:$D$2010,$C$7,'LAC 102_Wkst'!$I$7:$I$2010,$C$9,'LAC 102_Wkst'!$E$7:$E$2010,$C47,'LAC 102_Wkst'!$G$7:$G$2010,$D47,'LAC 102_Wkst'!$L$7:$L$2010,"01",'LAC 102_Wkst'!$N$7:$N$2010,"P1")+SUMIFS('LAC 102_Wkst'!$Q$7:$Q$2010,'LAC 102_Wkst'!$D$7:$D$2010,$C$7,'LAC 102_Wkst'!$I$7:$I$2010,$C$9,'LAC 102_Wkst'!$E$7:$E$2010,$C47,'LAC 102_Wkst'!$G$7:$G$2010,$D47,'LAC 102_Wkst'!$L$7:$L$2010,"01",'LAC 102_Wkst'!$N$7:$N$2010,"P2")+SUMIFS('LAC 102_Wkst'!$Q$7:$Q$2010,'LAC 102_Wkst'!$D$7:$D$2010,$C$7,'LAC 102_Wkst'!$I$7:$I$2010,$C$9,'LAC 102_Wkst'!$E$7:$E$2010,$C47,'LAC 102_Wkst'!$G$7:$G$2010,$D47,'LAC 102_Wkst'!$L$7:$L$2010,"01",'LAC 102_Wkst'!$N$7:$N$2010,"P3")+SUMIFS('LAC 102_Wkst'!$Q$7:$Q$2010,'LAC 102_Wkst'!$D$7:$D$2010,$C$7,'LAC 102_Wkst'!$I$7:$I$2010,$C$9,'LAC 102_Wkst'!$E$7:$E$2010,$C47,'LAC 102_Wkst'!$G$7:$G$2010,$D47,'LAC 102_Wkst'!$L$7:$L$2010,"02",'LAC 102_Wkst'!$N$7:$N$2010,"P1")+SUMIFS('LAC 102_Wkst'!$Q$7:$Q$2010,'LAC 102_Wkst'!$D$7:$D$2010,$C$7,'LAC 102_Wkst'!$I$7:$I$2010,$C$9,'LAC 102_Wkst'!$E$7:$E$2010,$C47,'LAC 102_Wkst'!$G$7:$G$2010,$D47,'LAC 102_Wkst'!$L$7:$L$2010,"02",'LAC 102_Wkst'!$N$7:$N$2010,"P2")+SUMIFS('LAC 102_Wkst'!$Q$7:$Q$2010,'LAC 102_Wkst'!$D$7:$D$2010,$C$7,'LAC 102_Wkst'!$I$7:$I$2010,$C$9,'LAC 102_Wkst'!$E$7:$E$2010,$C47,'LAC 102_Wkst'!$G$7:$G$2010,$D47,'LAC 102_Wkst'!$L$7:$L$2010,"02",'LAC 102_Wkst'!$N$7:$N$2010,"P3")</f>
        <v>0</v>
      </c>
      <c r="G47" s="409">
        <f>SUMIFS('LAC 102_Wkst'!$AF$7:$AF$2010,'LAC 102_Wkst'!$D$7:$D$2010,$C$7,'LAC 102_Wkst'!$I$7:$I$2010,$C$9,'LAC 102_Wkst'!$E$7:$E$2010,$C47,'LAC 102_Wkst'!$G$7:$G$2010,$D47,'LAC 102_Wkst'!$L$7:$L$2010,"01",'LAC 102_Wkst'!$N$7:$N$2010,"P1")+SUMIFS('LAC 102_Wkst'!$AF$7:$AF$2010,'LAC 102_Wkst'!$D$7:$D$2010,$C$7,'LAC 102_Wkst'!$I$7:$I$2010,$C$9,'LAC 102_Wkst'!$E$7:$E$2010,$C47,'LAC 102_Wkst'!$G$7:$G$2010,$D47,'LAC 102_Wkst'!$L$7:$L$2010,"01",'LAC 102_Wkst'!$N$7:$N$2010,"P2")+SUMIFS('LAC 102_Wkst'!$AF$7:$AF$2010,'LAC 102_Wkst'!$D$7:$D$2010,$C$7,'LAC 102_Wkst'!$I$7:$I$2010,$C$9,'LAC 102_Wkst'!$E$7:$E$2010,$C47,'LAC 102_Wkst'!$G$7:$G$2010,$D47,'LAC 102_Wkst'!$L$7:$L$2010,"01",'LAC 102_Wkst'!$N$7:$N$2010,"P3")+SUMIFS('LAC 102_Wkst'!$AF$7:$AF$2010,'LAC 102_Wkst'!$D$7:$D$2010,$C$7,'LAC 102_Wkst'!$I$7:$I$2010,$C$9,'LAC 102_Wkst'!$E$7:$E$2010,$C47,'LAC 102_Wkst'!$G$7:$G$2010,$D47,'LAC 102_Wkst'!$L$7:$L$2010,"02",'LAC 102_Wkst'!$N$7:$N$2010,"P1")+SUMIFS('LAC 102_Wkst'!$AF$7:$AF$2010,'LAC 102_Wkst'!$D$7:$D$2010,$C$7,'LAC 102_Wkst'!$I$7:$I$2010,$C$9,'LAC 102_Wkst'!$E$7:$E$2010,$C47,'LAC 102_Wkst'!$G$7:$G$2010,$D47,'LAC 102_Wkst'!$L$7:$L$2010,"02",'LAC 102_Wkst'!$N$7:$N$2010,"P2")+SUMIFS('LAC 102_Wkst'!$AF$7:$AF$2010,'LAC 102_Wkst'!$D$7:$D$2010,$C$7,'LAC 102_Wkst'!$I$7:$I$2010,$C$9,'LAC 102_Wkst'!$E$7:$E$2010,$C47,'LAC 102_Wkst'!$G$7:$G$2010,$D47,'LAC 102_Wkst'!$L$7:$L$2010,"02",'LAC 102_Wkst'!$N$7:$N$2010,"P3")</f>
        <v>0</v>
      </c>
      <c r="H47" s="410">
        <f>SUMIFS('LAC 102_Wkst'!$Q$7:$Q$2010,'LAC 102_Wkst'!$D$7:$D$2010,$C$7,'LAC 102_Wkst'!$I$7:$I$2010,$C$9,'LAC 102_Wkst'!$E$7:$E$2010,$C47,'LAC 102_Wkst'!$G$7:$G$2010,$D47,'LAC 102_Wkst'!$L$7:$L$2010,"01",'LAC 102_Wkst'!$N$7:$N$2010,"P4")+SUMIFS('LAC 102_Wkst'!$Q$7:$Q$2010,'LAC 102_Wkst'!$D$7:$D$2010,$C$7,'LAC 102_Wkst'!$I$7:$I$2010,$C$9,'LAC 102_Wkst'!$E$7:$E$2010,$C47,'LAC 102_Wkst'!$G$7:$G$2010,$D47,'LAC 102_Wkst'!$L$7:$L$2010,"02",'LAC 102_Wkst'!$N$7:$N$2010,"P4")</f>
        <v>0</v>
      </c>
      <c r="I47" s="411">
        <f>SUMIFS('LAC 102_Wkst'!$AF$7:$AF$2010,'LAC 102_Wkst'!$D$7:$D$2010,$C$7,'LAC 102_Wkst'!$I$7:$I$2010,$C$9,'LAC 102_Wkst'!$E$7:$E$2010,$C47,'LAC 102_Wkst'!$G$7:$G$2010,$D47,'LAC 102_Wkst'!$L$7:$L$2010,"01",'LAC 102_Wkst'!$N$7:$N$2010,"P4")+SUMIFS('LAC 102_Wkst'!$AF$7:$AF$2010,'LAC 102_Wkst'!$D$7:$D$2010,$C$7,'LAC 102_Wkst'!$I$7:$I$2010,$C$9,'LAC 102_Wkst'!$E$7:$E$2010,$C47,'LAC 102_Wkst'!$G$7:$G$2010,$D47,'LAC 102_Wkst'!$L$7:$L$2010,"02",'LAC 102_Wkst'!$N$7:$N$2010,"P4")</f>
        <v>0</v>
      </c>
      <c r="J47" s="410">
        <f>SUMIFS('LAC 102_Wkst'!$Q$7:$Q$2010,'LAC 102_Wkst'!$D$7:$D$2010,$C$7,'LAC 102_Wkst'!$I$7:$I$2010,$C$9,'LAC 102_Wkst'!$E$7:$E$2010,$C47,'LAC 102_Wkst'!$G$7:$G$2010,$D47,'LAC 102_Wkst'!$L$7:$L$2010,"01",'LAC 102_Wkst'!$N$7:$N$2010,"P5")+SUMIFS('LAC 102_Wkst'!$Q$7:$Q$2010,'LAC 102_Wkst'!$D$7:$D$2010,$C$7,'LAC 102_Wkst'!$I$7:$I$2010,$C$9,'LAC 102_Wkst'!$E$7:$E$2010,$C47,'LAC 102_Wkst'!$G$7:$G$2010,$D47,'LAC 102_Wkst'!$L$7:$L$2010,"02",'LAC 102_Wkst'!$N$7:$N$2010,"P5")</f>
        <v>0</v>
      </c>
      <c r="K47" s="411">
        <f>SUMIFS('LAC 102_Wkst'!$AF$7:$AF$2010,'LAC 102_Wkst'!$D$7:$D$2010,$C$7,'LAC 102_Wkst'!$I$7:$I$2010,$C$9,'LAC 102_Wkst'!$E$7:$E$2010,$C47,'LAC 102_Wkst'!$G$7:$G$2010,$D47,'LAC 102_Wkst'!$L$7:$L$2010,"01",'LAC 102_Wkst'!$N$7:$N$2010,"P5")+SUMIFS('LAC 102_Wkst'!$AF$7:$AF$2010,'LAC 102_Wkst'!$D$7:$D$2010,$C$7,'LAC 102_Wkst'!$I$7:$I$2010,$C$9,'LAC 102_Wkst'!$E$7:$E$2010,$C47,'LAC 102_Wkst'!$G$7:$G$2010,$D47,'LAC 102_Wkst'!$L$7:$L$2010,"02",'LAC 102_Wkst'!$N$7:$N$2010,"P5")</f>
        <v>0</v>
      </c>
      <c r="L47" s="410">
        <f>SUMIFS('LAC 102_Wkst'!$Q$7:$Q$2010,'LAC 102_Wkst'!$D$7:$D$2010,$C$7,'LAC 102_Wkst'!$I$7:$I$2010,$C$9,'LAC 102_Wkst'!$E$7:$E$2010,$C47,'LAC 102_Wkst'!$G$7:$G$2010,$D47,'LAC 102_Wkst'!$L$7:$L$2010,"03",'LAC 102_Wkst'!$N$7:$N$2010,"P1")+SUMIFS('LAC 102_Wkst'!$Q$7:$Q$2010,'LAC 102_Wkst'!$D$7:$D$2010,$C$7,'LAC 102_Wkst'!$I$7:$I$2010,$C$9,'LAC 102_Wkst'!$E$7:$E$2010,$C47,'LAC 102_Wkst'!$G$7:$G$2010,$D47,'LAC 102_Wkst'!$L$7:$L$2010,"03",'LAC 102_Wkst'!$N$7:$N$2010,"P2")+SUMIFS('LAC 102_Wkst'!$Q$7:$Q$2010,'LAC 102_Wkst'!$D$7:$D$2010,$C$7,'LAC 102_Wkst'!$I$7:$I$2010,$C$9,'LAC 102_Wkst'!$E$7:$E$2010,$C47,'LAC 102_Wkst'!$G$7:$G$2010,$D47,'LAC 102_Wkst'!$L$7:$L$2010,"03",'LAC 102_Wkst'!$N$7:$N$2010,"P3")+SUMIFS('LAC 102_Wkst'!$Q$7:$Q$2010,'LAC 102_Wkst'!$D$7:$D$2010,$C$7,'LAC 102_Wkst'!$I$7:$I$2010,$C$9,'LAC 102_Wkst'!$E$7:$E$2010,$C47,'LAC 102_Wkst'!$G$7:$G$2010,$D47,'LAC 102_Wkst'!$L$7:$L$2010,"04",'LAC 102_Wkst'!$N$7:$N$2010,"P1")+SUMIFS('LAC 102_Wkst'!$Q$7:$Q$2010,'LAC 102_Wkst'!$D$7:$D$2010,$C$7,'LAC 102_Wkst'!$I$7:$I$2010,$C$9,'LAC 102_Wkst'!$E$7:$E$2010,$C47,'LAC 102_Wkst'!$G$7:$G$2010,$D47,'LAC 102_Wkst'!$L$7:$L$2010,"04",'LAC 102_Wkst'!$N$7:$N$2010,"P2")+SUMIFS('LAC 102_Wkst'!$Q$7:$Q$2010,'LAC 102_Wkst'!$D$7:$D$2010,$C$7,'LAC 102_Wkst'!$I$7:$I$2010,$C$9,'LAC 102_Wkst'!$E$7:$E$2010,$C47,'LAC 102_Wkst'!$G$7:$G$2010,$D47,'LAC 102_Wkst'!$L$7:$L$2010,"04",'LAC 102_Wkst'!$N$7:$N$2010,"P3")</f>
        <v>0</v>
      </c>
      <c r="M47" s="411">
        <f>SUMIFS('LAC 102_Wkst'!$AF$7:$AF$2010,'LAC 102_Wkst'!$D$7:$D$2010,$C$7,'LAC 102_Wkst'!$I$7:$I$2010,$C$9,'LAC 102_Wkst'!$E$7:$E$2010,$C47,'LAC 102_Wkst'!$G$7:$G$2010,$D47,'LAC 102_Wkst'!$L$7:$L$2010,"03",'LAC 102_Wkst'!$N$7:$N$2010,"P1")+SUMIFS('LAC 102_Wkst'!$AF$7:$AF$2010,'LAC 102_Wkst'!$D$7:$D$2010,$C$7,'LAC 102_Wkst'!$I$7:$I$2010,$C$9,'LAC 102_Wkst'!$E$7:$E$2010,$C47,'LAC 102_Wkst'!$G$7:$G$2010,$D47,'LAC 102_Wkst'!$L$7:$L$2010,"03",'LAC 102_Wkst'!$N$7:$N$2010,"P2")+SUMIFS('LAC 102_Wkst'!$AF$7:$AF$2010,'LAC 102_Wkst'!$D$7:$D$2010,$C$7,'LAC 102_Wkst'!$I$7:$I$2010,$C$9,'LAC 102_Wkst'!$E$7:$E$2010,$C47,'LAC 102_Wkst'!$G$7:$G$2010,$D47,'LAC 102_Wkst'!$L$7:$L$2010,"03",'LAC 102_Wkst'!$N$7:$N$2010,"P3")+SUMIFS('LAC 102_Wkst'!$AF$7:$AF$2010,'LAC 102_Wkst'!$D$7:$D$2010,$C$7,'LAC 102_Wkst'!$I$7:$I$2010,$C$9,'LAC 102_Wkst'!$E$7:$E$2010,$C47,'LAC 102_Wkst'!$G$7:$G$2010,$D47,'LAC 102_Wkst'!$L$7:$L$2010,"04",'LAC 102_Wkst'!$N$7:$N$2010,"P1")+SUMIFS('LAC 102_Wkst'!$AF$7:$AF$2010,'LAC 102_Wkst'!$D$7:$D$2010,$C$7,'LAC 102_Wkst'!$I$7:$I$2010,$C$9,'LAC 102_Wkst'!$E$7:$E$2010,$C47,'LAC 102_Wkst'!$G$7:$G$2010,$D47,'LAC 102_Wkst'!$L$7:$L$2010,"04",'LAC 102_Wkst'!$N$7:$N$2010,"P2")+SUMIFS('LAC 102_Wkst'!$AF$7:$AF$2010,'LAC 102_Wkst'!$D$7:$D$2010,$C$7,'LAC 102_Wkst'!$I$7:$I$2010,$C$9,'LAC 102_Wkst'!$E$7:$E$2010,$C47,'LAC 102_Wkst'!$G$7:$G$2010,$D47,'LAC 102_Wkst'!$L$7:$L$2010,"04",'LAC 102_Wkst'!$N$7:$N$2010,"P3")</f>
        <v>0</v>
      </c>
      <c r="N47" s="410">
        <f>SUMIFS('LAC 102_Wkst'!$Q$7:$Q$2010,'LAC 102_Wkst'!$D$7:$D$2010,$C$7,'LAC 102_Wkst'!$I$7:$I$2010,$C$9,'LAC 102_Wkst'!$E$7:$E$2010,$C47,'LAC 102_Wkst'!$G$7:$G$2010,$D47,'LAC 102_Wkst'!$L$7:$L$2010,"03",'LAC 102_Wkst'!$N$7:$N$2010,"P4")+SUMIFS('LAC 102_Wkst'!$Q$7:$Q$2010,'LAC 102_Wkst'!$D$7:$D$2010,$C$7,'LAC 102_Wkst'!$I$7:$I$2010,$C$9,'LAC 102_Wkst'!$E$7:$E$2010,$C47,'LAC 102_Wkst'!$G$7:$G$2010,$D47,'LAC 102_Wkst'!$L$7:$L$2010,"04",'LAC 102_Wkst'!$N$7:$N$2010,"P4")</f>
        <v>0</v>
      </c>
      <c r="O47" s="411">
        <f>SUMIFS('LAC 102_Wkst'!$AF$7:$AF$2010,'LAC 102_Wkst'!$D$7:$D$2010,$C$7,'LAC 102_Wkst'!$I$7:$I$2010,$C$9,'LAC 102_Wkst'!$E$7:$E$2010,$C47,'LAC 102_Wkst'!$G$7:$G$2010,$D47,'LAC 102_Wkst'!$L$7:$L$2010,"03",'LAC 102_Wkst'!$N$7:$N$2010,"P4")+SUMIFS('LAC 102_Wkst'!$AF$7:$AF$2010,'LAC 102_Wkst'!$D$7:$D$2010,$C$7,'LAC 102_Wkst'!$I$7:$I$2010,$C$9,'LAC 102_Wkst'!$E$7:$E$2010,$C47,'LAC 102_Wkst'!$G$7:$G$2010,$D47,'LAC 102_Wkst'!$L$7:$L$2010,"04",'LAC 102_Wkst'!$N$7:$N$2010,"P4")</f>
        <v>0</v>
      </c>
      <c r="P47" s="410">
        <f>SUMIFS('LAC 102_Wkst'!$Q$7:$Q$2010,'LAC 102_Wkst'!$D$7:$D$2010,$C$7,'LAC 102_Wkst'!$I$7:$I$2010,$C$9,'LAC 102_Wkst'!$E$7:$E$2010,$C47,'LAC 102_Wkst'!$G$7:$G$2010,$D47,'LAC 102_Wkst'!$L$7:$L$2010,"03",'LAC 102_Wkst'!$N$7:$N$2010,"P5")+SUMIFS('LAC 102_Wkst'!$Q$7:$Q$2010,'LAC 102_Wkst'!$D$7:$D$2010,$C$7,'LAC 102_Wkst'!$I$7:$I$2010,$C$9,'LAC 102_Wkst'!$E$7:$E$2010,$C47,'LAC 102_Wkst'!$G$7:$G$2010,$D47,'LAC 102_Wkst'!$L$7:$L$2010,"04",'LAC 102_Wkst'!$N$7:$N$2010,"P5")</f>
        <v>0</v>
      </c>
      <c r="Q47" s="411">
        <f>SUMIFS('LAC 102_Wkst'!$AF$7:$AF$2010,'LAC 102_Wkst'!$D$7:$D$2010,$C$7,'LAC 102_Wkst'!$I$7:$I$2010,$C$9,'LAC 102_Wkst'!$E$7:$E$2010,$C47,'LAC 102_Wkst'!$G$7:$G$2010,$D47,'LAC 102_Wkst'!$L$7:$L$2010,"03",'LAC 102_Wkst'!$N$7:$N$2010,"P5")+SUMIFS('LAC 102_Wkst'!$AF$7:$AF$2010,'LAC 102_Wkst'!$D$7:$D$2010,$C$7,'LAC 102_Wkst'!$I$7:$I$2010,$C$9,'LAC 102_Wkst'!$E$7:$E$2010,$C47,'LAC 102_Wkst'!$G$7:$G$2010,$D47,'LAC 102_Wkst'!$L$7:$L$2010,"04",'LAC 102_Wkst'!$N$7:$N$2010,"P5")</f>
        <v>0</v>
      </c>
      <c r="R47" s="412">
        <f>SUMIFS('LAC 102_Wkst'!$Q$7:$Q$2010,'LAC 102_Wkst'!$D$7:$D$2010,$C$7,'LAC 102_Wkst'!$I$7:$I$2010,$C$9,'LAC 102_Wkst'!$E$7:$E$2010,$C47,'LAC 102_Wkst'!$G$7:$G$2010,$D47,'LAC 102_Wkst'!$L$7:$L$2010,"05",'LAC 102_Wkst'!$N$7:$N$2010,"P1")+SUMIFS('LAC 102_Wkst'!$Q$7:$Q$2010,'LAC 102_Wkst'!$D$7:$D$2010,$C$7,'LAC 102_Wkst'!$I$7:$I$2010,$C$9,'LAC 102_Wkst'!$E$7:$E$2010,$C47,'LAC 102_Wkst'!$G$7:$G$2010,$D47,'LAC 102_Wkst'!$L$7:$L$2010,"06",'LAC 102_Wkst'!$N$7:$N$2010,"P1")</f>
        <v>0</v>
      </c>
      <c r="S47" s="411">
        <f>SUMIFS('LAC 102_Wkst'!$AF$7:$AF$2010,'LAC 102_Wkst'!$D$7:$D$2010,$C$7,'LAC 102_Wkst'!$I$7:$I$2010,$C$9,'LAC 102_Wkst'!$E$7:$E$2010,$C47,'LAC 102_Wkst'!$G$7:$G$2010,$D47,'LAC 102_Wkst'!$L$7:$L$2010,"05",'LAC 102_Wkst'!$N$7:$N$2010,"P1")+SUMIFS('LAC 102_Wkst'!$AF$7:$AF$2010,'LAC 102_Wkst'!$D$7:$D$2010,$C$7,'LAC 102_Wkst'!$I$7:$I$2010,$C$9,'LAC 102_Wkst'!$E$7:$E$2010,$C47,'LAC 102_Wkst'!$G$7:$G$2010,$D47,'LAC 102_Wkst'!$L$7:$L$2010,"06",'LAC 102_Wkst'!$N$7:$N$2010,"P1")</f>
        <v>0</v>
      </c>
      <c r="T47" s="410">
        <f>SUMIFS('LAC 102_Wkst'!$Q$7:$Q$2010,'LAC 102_Wkst'!$D$7:$D$2010,$C$7,'LAC 102_Wkst'!$I$7:$I$2010,$C$9,'LAC 102_Wkst'!$E$7:$E$2010,$C47,'LAC 102_Wkst'!$G$7:$G$2010,$D47,'LAC 102_Wkst'!$L$7:$L$2010,"05",'LAC 102_Wkst'!$N$7:$N$2010,"P2")+SUMIFS('LAC 102_Wkst'!$Q$7:$Q$2010,'LAC 102_Wkst'!$D$7:$D$2010,$C$7,'LAC 102_Wkst'!$I$7:$I$2010,$C$9,'LAC 102_Wkst'!$E$7:$E$2010,$C47,'LAC 102_Wkst'!$G$7:$G$2010,$D47,'LAC 102_Wkst'!$L$7:$L$2010,"06",'LAC 102_Wkst'!$N$7:$N$2010,"P2")+SUMIFS('LAC 102_Wkst'!$Q$7:$Q$2010,'LAC 102_Wkst'!$D$7:$D$2010,$C$7,'LAC 102_Wkst'!$I$7:$I$2010,$C$9,'LAC 102_Wkst'!$E$7:$E$2010,$C47,'LAC 102_Wkst'!$G$7:$G$2010,$D47,'LAC 102_Wkst'!$L$7:$L$2010,"05",'LAC 102_Wkst'!$N$7:$N$2010,"P3")+SUMIFS('LAC 102_Wkst'!$Q$7:$Q$2010,'LAC 102_Wkst'!$D$7:$D$2010,$C$7,'LAC 102_Wkst'!$I$7:$I$2010,$C$9,'LAC 102_Wkst'!$E$7:$E$2010,$C47,'LAC 102_Wkst'!$G$7:$G$2010,$D47,'LAC 102_Wkst'!$L$7:$L$2010,"06",'LAC 102_Wkst'!$N$7:$N$2010,"P3")</f>
        <v>0</v>
      </c>
      <c r="U47" s="411">
        <f>SUMIFS('LAC 102_Wkst'!$AF$7:$AF$2010,'LAC 102_Wkst'!$D$7:$D$2010,$C$7,'LAC 102_Wkst'!$I$7:$I$2010,$C$9,'LAC 102_Wkst'!$E$7:$E$2010,$C47,'LAC 102_Wkst'!$G$7:$G$2010,$D47,'LAC 102_Wkst'!$L$7:$L$2010,"05",'LAC 102_Wkst'!$N$7:$N$2010,"P2")+SUMIFS('LAC 102_Wkst'!$AF$7:$AF$2010,'LAC 102_Wkst'!$D$7:$D$2010,$C$7,'LAC 102_Wkst'!$I$7:$I$2010,$C$9,'LAC 102_Wkst'!$E$7:$E$2010,$C47,'LAC 102_Wkst'!$G$7:$G$2010,$D47,'LAC 102_Wkst'!$L$7:$L$2010,"06",'LAC 102_Wkst'!$N$7:$N$2010,"P2")+SUMIFS('LAC 102_Wkst'!$AF$7:$AF$2010,'LAC 102_Wkst'!$D$7:$D$2010,$C$7,'LAC 102_Wkst'!$I$7:$I$2010,$C$9,'LAC 102_Wkst'!$E$7:$E$2010,$C47,'LAC 102_Wkst'!$G$7:$G$2010,$D47,'LAC 102_Wkst'!$L$7:$L$2010,"05",'LAC 102_Wkst'!$N$7:$N$2010,"P3")+SUMIFS('LAC 102_Wkst'!$AF$7:$AF$2010,'LAC 102_Wkst'!$D$7:$D$2010,$C$7,'LAC 102_Wkst'!$I$7:$I$2010,$C$9,'LAC 102_Wkst'!$E$7:$E$2010,$C47,'LAC 102_Wkst'!$G$7:$G$2010,$D47,'LAC 102_Wkst'!$L$7:$L$2010,"06",'LAC 102_Wkst'!$N$7:$N$2010,"P3")</f>
        <v>0</v>
      </c>
      <c r="V47" s="410">
        <f>SUMIFS('LAC 102_Wkst'!$Q$7:$Q$2010,'LAC 102_Wkst'!$D$7:$D$2010,$C$7,'LAC 102_Wkst'!$I$7:$I$2010,$C$9,'LAC 102_Wkst'!$E$7:$E$2010,$C47,'LAC 102_Wkst'!$G$7:$G$2010,$D47,'LAC 102_Wkst'!$L$7:$L$2010,"05",'LAC 102_Wkst'!$N$7:$N$2010,"P4")+SUMIFS('LAC 102_Wkst'!$Q$7:$Q$2010,'LAC 102_Wkst'!$D$7:$D$2010,$C$7,'LAC 102_Wkst'!$I$7:$I$2010,$C$9,'LAC 102_Wkst'!$E$7:$E$2010,$C47,'LAC 102_Wkst'!$G$7:$G$2010,$D47,'LAC 102_Wkst'!$L$7:$L$2010,"06",'LAC 102_Wkst'!$N$7:$N$2010,"P4")</f>
        <v>0</v>
      </c>
      <c r="W47" s="411">
        <f>SUMIFS('LAC 102_Wkst'!$AF$7:$AF$2010,'LAC 102_Wkst'!$D$7:$D$2010,$C$7,'LAC 102_Wkst'!$I$7:$I$2010,$C$9,'LAC 102_Wkst'!$E$7:$E$2010,$C47,'LAC 102_Wkst'!$G$7:$G$2010,$D47,'LAC 102_Wkst'!$L$7:$L$2010,"05",'LAC 102_Wkst'!$N$7:$N$2010,"P4")+SUMIFS('LAC 102_Wkst'!$AF$7:$AF$2010,'LAC 102_Wkst'!$D$7:$D$2010,$C$7,'LAC 102_Wkst'!$I$7:$I$2010,$C$9,'LAC 102_Wkst'!$E$7:$E$2010,$C47,'LAC 102_Wkst'!$G$7:$G$2010,$D47,'LAC 102_Wkst'!$L$7:$L$2010,"06",'LAC 102_Wkst'!$N$7:$N$2010,"P4")</f>
        <v>0</v>
      </c>
      <c r="X47" s="410">
        <f>SUMIFS('LAC 102_Wkst'!$Q$7:$Q$2010,'LAC 102_Wkst'!$D$7:$D$2010,$C$7,'LAC 102_Wkst'!$I$7:$I$2010,$C$9,'LAC 102_Wkst'!$E$7:$E$2010,$C47,'LAC 102_Wkst'!$G$7:$G$2010,$D47,'LAC 102_Wkst'!$L$7:$L$2010,"05",'LAC 102_Wkst'!$N$7:$N$2010,"P5")+SUMIFS('LAC 102_Wkst'!$Q$7:$Q$2010,'LAC 102_Wkst'!$D$7:$D$2010,$C$7,'LAC 102_Wkst'!$I$7:$I$2010,$C$9,'LAC 102_Wkst'!$E$7:$E$2010,$C47,'LAC 102_Wkst'!$G$7:$G$2010,$D47,'LAC 102_Wkst'!$L$7:$L$2010,"06",'LAC 102_Wkst'!$N$7:$N$2010,"P5")</f>
        <v>0</v>
      </c>
      <c r="Y47" s="411">
        <f>SUMIFS('LAC 102_Wkst'!$AF$7:$AF$2010,'LAC 102_Wkst'!$D$7:$D$2010,$C$7,'LAC 102_Wkst'!$I$7:$I$2010,$C$9,'LAC 102_Wkst'!$E$7:$E$2010,$C47,'LAC 102_Wkst'!$G$7:$G$2010,$D47,'LAC 102_Wkst'!$L$7:$L$2010,"05",'LAC 102_Wkst'!$N$7:$N$2010,"P5")+SUMIFS('LAC 102_Wkst'!$AF$7:$AF$2010,'LAC 102_Wkst'!$D$7:$D$2010,$C$7,'LAC 102_Wkst'!$I$7:$I$2010,$C$9,'LAC 102_Wkst'!$E$7:$E$2010,$C47,'LAC 102_Wkst'!$G$7:$G$2010,$D47,'LAC 102_Wkst'!$L$7:$L$2010,"06",'LAC 102_Wkst'!$N$7:$N$2010,"P5")</f>
        <v>0</v>
      </c>
      <c r="Z47" s="410">
        <f>SUMIFS('LAC 102_Wkst'!$Q$7:$Q$2010,'LAC 102_Wkst'!$D$7:$D$2010,$C$7,'LAC 102_Wkst'!$I$7:$I$2010,$C$9,'LAC 102_Wkst'!$E$7:$E$2010,$C47,'LAC 102_Wkst'!$G$7:$G$2010,$D47,'LAC 102_Wkst'!$L$7:$L$2010,"07",'LAC 102_Wkst'!$N$7:$N$2010,"P1")+SUMIFS('LAC 102_Wkst'!$Q$7:$Q$2010,'LAC 102_Wkst'!$D$7:$D$2010,$C$7,'LAC 102_Wkst'!$I$7:$I$2010,$C$9,'LAC 102_Wkst'!$E$7:$E$2010,$C47,'LAC 102_Wkst'!$G$7:$G$2010,$D47,'LAC 102_Wkst'!$L$7:$L$2010,"07",'LAC 102_Wkst'!$N$7:$N$2010,"P2")+SUMIFS('LAC 102_Wkst'!$Q$7:$Q$2010,'LAC 102_Wkst'!$D$7:$D$2010,$C$7,'LAC 102_Wkst'!$I$7:$I$2010,$C$9,'LAC 102_Wkst'!$E$7:$E$2010,$C47,'LAC 102_Wkst'!$G$7:$G$2010,$D47,'LAC 102_Wkst'!$L$7:$L$2010,"07",'LAC 102_Wkst'!$N$7:$N$2010,"P3")</f>
        <v>0</v>
      </c>
      <c r="AA47" s="411">
        <f>SUMIFS('LAC 102_Wkst'!$AF$7:$AF$2010,'LAC 102_Wkst'!$D$7:$D$2010,$C$7,'LAC 102_Wkst'!$I$7:$I$2010,$C$9,'LAC 102_Wkst'!$E$7:$E$2010,$C47,'LAC 102_Wkst'!$G$7:$G$2010,$D47,'LAC 102_Wkst'!$L$7:$L$2010,"07",'LAC 102_Wkst'!$N$7:$N$2010,"P1")+SUMIFS('LAC 102_Wkst'!$AF$7:$AF$2010,'LAC 102_Wkst'!$D$7:$D$2010,$C$7,'LAC 102_Wkst'!$I$7:$I$2010,$C$9,'LAC 102_Wkst'!$E$7:$E$2010,$C47,'LAC 102_Wkst'!$G$7:$G$2010,$D47,'LAC 102_Wkst'!$L$7:$L$2010,"07",'LAC 102_Wkst'!$N$7:$N$2010,"P2")+SUMIFS('LAC 102_Wkst'!$AF$7:$AF$2010,'LAC 102_Wkst'!$D$7:$D$2010,$C$7,'LAC 102_Wkst'!$I$7:$I$2010,$C$9,'LAC 102_Wkst'!$E$7:$E$2010,$C47,'LAC 102_Wkst'!$G$7:$G$2010,$D47,'LAC 102_Wkst'!$L$7:$L$2010,"07",'LAC 102_Wkst'!$N$7:$N$2010,"P3")</f>
        <v>0</v>
      </c>
      <c r="AB47" s="410">
        <f>SUMIFS('LAC 102_Wkst'!$Q$7:$Q$2010,'LAC 102_Wkst'!$D$7:$D$2010,$C$7,'LAC 102_Wkst'!$I$7:$I$2010,$C$9,'LAC 102_Wkst'!$E$7:$E$2010,$C47,'LAC 102_Wkst'!$G$7:$G$2010,$D47,'LAC 102_Wkst'!$L$7:$L$2010,"07",'LAC 102_Wkst'!$N$7:$N$2010,"P4")</f>
        <v>0</v>
      </c>
      <c r="AC47" s="411">
        <f>SUMIFS('LAC 102_Wkst'!$AF$7:$AF$2010,'LAC 102_Wkst'!$D$7:$D$2010,$C$7,'LAC 102_Wkst'!$I$7:$I$2010,$C$9,'LAC 102_Wkst'!$E$7:$E$2010,$C47,'LAC 102_Wkst'!$G$7:$G$2010,$D47,'LAC 102_Wkst'!$L$7:$L$2010,"07",'LAC 102_Wkst'!$N$7:$N$2010,"P4")</f>
        <v>0</v>
      </c>
      <c r="AD47" s="410">
        <f>SUMIFS('LAC 102_Wkst'!$Q$7:$Q$2010,'LAC 102_Wkst'!$D$7:$D$2010,$C$7,'LAC 102_Wkst'!$I$7:$I$2010,$C$9,'LAC 102_Wkst'!$E$7:$E$2010,$C47,'LAC 102_Wkst'!$G$7:$G$2010,$D47,'LAC 102_Wkst'!$L$7:$L$2010,"07",'LAC 102_Wkst'!$N$7:$N$2010,"P5")</f>
        <v>0</v>
      </c>
      <c r="AE47" s="411">
        <f>SUMIFS('LAC 102_Wkst'!$AF$7:$AF$2010,'LAC 102_Wkst'!$D$7:$D$2010,$C$7,'LAC 102_Wkst'!$I$7:$I$2010,$C$9,'LAC 102_Wkst'!$E$7:$E$2010,$C47,'LAC 102_Wkst'!$G$7:$G$2010,$D47,'LAC 102_Wkst'!$L$7:$L$2010,"07",'LAC 102_Wkst'!$N$7:$N$2010,"P5")</f>
        <v>0</v>
      </c>
      <c r="AF47" s="410">
        <f>SUMIFS('LAC 102_Wkst'!$Q$7:$Q$2010,'LAC 102_Wkst'!$D$7:$D$2010,$C$7,'LAC 102_Wkst'!$I$7:$I$2010,$C$9,'LAC 102_Wkst'!$E$7:$E$2010,$C47,'LAC 102_Wkst'!$G$7:$G$2010,$D47,'LAC 102_Wkst'!$L$7:$L$2010,"08",'LAC 102_Wkst'!$N$7:$N$2010,"P1")+SUMIFS('LAC 102_Wkst'!$Q$7:$Q$2010,'LAC 102_Wkst'!$D$7:$D$2010,$C$7,'LAC 102_Wkst'!$I$7:$I$2010,$C$9,'LAC 102_Wkst'!$E$7:$E$2010,$C47,'LAC 102_Wkst'!$G$7:$G$2010,$D47,'LAC 102_Wkst'!$L$7:$L$2010,"08",'LAC 102_Wkst'!$N$7:$N$2010,"P2")+SUMIFS('LAC 102_Wkst'!$Q$7:$Q$2010,'LAC 102_Wkst'!$D$7:$D$2010,$C$7,'LAC 102_Wkst'!$I$7:$I$2010,$C$9,'LAC 102_Wkst'!$E$7:$E$2010,$C47,'LAC 102_Wkst'!$G$7:$G$2010,$D47,'LAC 102_Wkst'!$L$7:$L$2010,"08",'LAC 102_Wkst'!$N$7:$N$2010,"P3")</f>
        <v>0</v>
      </c>
      <c r="AG47" s="411">
        <f>SUMIFS('LAC 102_Wkst'!$AF$7:$AF$2010,'LAC 102_Wkst'!$D$7:$D$2010,$C$7,'LAC 102_Wkst'!$I$7:$I$2010,$C$9,'LAC 102_Wkst'!$E$7:$E$2010,$C47,'LAC 102_Wkst'!$G$7:$G$2010,$D47,'LAC 102_Wkst'!$L$7:$L$2010,"08",'LAC 102_Wkst'!$N$7:$N$2010,"P1")+SUMIFS('LAC 102_Wkst'!$AF$7:$AF$2010,'LAC 102_Wkst'!$D$7:$D$2010,$C$7,'LAC 102_Wkst'!$I$7:$I$2010,$C$9,'LAC 102_Wkst'!$E$7:$E$2010,$C47,'LAC 102_Wkst'!$G$7:$G$2010,$D47,'LAC 102_Wkst'!$L$7:$L$2010,"08",'LAC 102_Wkst'!$N$7:$N$2010,"P2")+SUMIFS('LAC 102_Wkst'!$AF$7:$AF$2010,'LAC 102_Wkst'!$D$7:$D$2010,$C$7,'LAC 102_Wkst'!$I$7:$I$2010,$C$9,'LAC 102_Wkst'!$E$7:$E$2010,$C47,'LAC 102_Wkst'!$G$7:$G$2010,$D47,'LAC 102_Wkst'!$L$7:$L$2010,"08",'LAC 102_Wkst'!$N$7:$N$2010,"P3")</f>
        <v>0</v>
      </c>
      <c r="AH47" s="410">
        <f>SUMIFS('LAC 102_Wkst'!$Q$7:$Q$2010,'LAC 102_Wkst'!$D$7:$D$2010,$C$7,'LAC 102_Wkst'!$I$7:$I$2010,$C$9,'LAC 102_Wkst'!$E$7:$E$2010,$C47,'LAC 102_Wkst'!$G$7:$G$2010,$D47,'LAC 102_Wkst'!$L$7:$L$2010,"08",'LAC 102_Wkst'!$N$7:$N$2010,"P4")</f>
        <v>0</v>
      </c>
      <c r="AI47" s="411">
        <f>SUMIFS('LAC 102_Wkst'!$AF$7:$AF$2010,'LAC 102_Wkst'!$D$7:$D$2010,$C$7,'LAC 102_Wkst'!$I$7:$I$2010,$C$9,'LAC 102_Wkst'!$E$7:$E$2010,$C47,'LAC 102_Wkst'!$G$7:$G$2010,$D47,'LAC 102_Wkst'!$L$7:$L$2010,"08",'LAC 102_Wkst'!$N$7:$N$2010,"P4")</f>
        <v>0</v>
      </c>
      <c r="AJ47" s="410">
        <f>SUMIFS('LAC 102_Wkst'!$Q$7:$Q$2010,'LAC 102_Wkst'!$D$7:$D$2010,$C$7,'LAC 102_Wkst'!$I$7:$I$2010,$C$9,'LAC 102_Wkst'!$E$7:$E$2010,$C47,'LAC 102_Wkst'!$G$7:$G$2010,$D47,'LAC 102_Wkst'!$L$7:$L$2010,"08",'LAC 102_Wkst'!$N$7:$N$2010,"P5")</f>
        <v>0</v>
      </c>
      <c r="AK47" s="411">
        <f>SUMIFS('LAC 102_Wkst'!$AF$7:$AF$2010,'LAC 102_Wkst'!$D$7:$D$2010,$C$7,'LAC 102_Wkst'!$I$7:$I$2010,$C$9,'LAC 102_Wkst'!$E$7:$E$2010,$C47,'LAC 102_Wkst'!$G$7:$G$2010,$D47,'LAC 102_Wkst'!$L$7:$L$2010,"08",'LAC 102_Wkst'!$N$7:$N$2010,"P5")</f>
        <v>0</v>
      </c>
      <c r="AL47" s="410">
        <f>SUMIFS('LAC 102_Wkst'!$Q$7:$Q$2010,'LAC 102_Wkst'!$D$7:$D$2010,$C$7,'LAC 102_Wkst'!$I$7:$I$2010,$C$9,'LAC 102_Wkst'!$E$7:$E$2010,$C47,'LAC 102_Wkst'!$G$7:$G$2010,$D47,'LAC 102_Wkst'!$L$7:$L$2010,"09",'LAC 102_Wkst'!$N$7:$N$2010,"P1")+SUMIFS('LAC 102_Wkst'!$Q$7:$Q$2010,'LAC 102_Wkst'!$D$7:$D$2010,$C$7,'LAC 102_Wkst'!$I$7:$I$2010,$C$9,'LAC 102_Wkst'!$E$7:$E$2010,$C47,'LAC 102_Wkst'!$G$7:$G$2010,$D47,'LAC 102_Wkst'!$L$7:$L$2010,"09",'LAC 102_Wkst'!$N$7:$N$2010,"P2")+SUMIFS('LAC 102_Wkst'!$Q$7:$Q$2010,'LAC 102_Wkst'!$D$7:$D$2010,$C$7,'LAC 102_Wkst'!$I$7:$I$2010,$C$9,'LAC 102_Wkst'!$E$7:$E$2010,$C47,'LAC 102_Wkst'!$G$7:$G$2010,$D47,'LAC 102_Wkst'!$L$7:$L$2010,"09",'LAC 102_Wkst'!$N$7:$N$2010,"P3")+SUMIFS('LAC 102_Wkst'!$Q$7:$Q$2010,'LAC 102_Wkst'!$D$7:$D$2010,$C$7,'LAC 102_Wkst'!$I$7:$I$2010,$C$9,'LAC 102_Wkst'!$E$7:$E$2010,$C47,'LAC 102_Wkst'!$G$7:$G$2010,$D47,'LAC 102_Wkst'!$L$7:$L$2010,"09",'LAC 102_Wkst'!$N$7:$N$2010,"P4")</f>
        <v>0</v>
      </c>
      <c r="AM47" s="411">
        <f>SUMIFS('LAC 102_Wkst'!$AF$7:$AF$2010,'LAC 102_Wkst'!$D$7:$D$2010,$C$7,'LAC 102_Wkst'!$I$7:$I$2010,$C$9,'LAC 102_Wkst'!$E$7:$E$2010,$C47,'LAC 102_Wkst'!$G$7:$G$2010,$D47,'LAC 102_Wkst'!$L$7:$L$2010,"09",'LAC 102_Wkst'!$N$7:$N$2010,"P1")+SUMIFS('LAC 102_Wkst'!$AF$7:$AF$2010,'LAC 102_Wkst'!$D$7:$D$2010,$C$7,'LAC 102_Wkst'!$I$7:$I$2010,$C$9,'LAC 102_Wkst'!$E$7:$E$2010,$C47,'LAC 102_Wkst'!$G$7:$G$2010,$D47,'LAC 102_Wkst'!$L$7:$L$2010,"09",'LAC 102_Wkst'!$N$7:$N$2010,"P2")+SUMIFS('LAC 102_Wkst'!$AF$7:$AF$2010,'LAC 102_Wkst'!$D$7:$D$2010,$C$7,'LAC 102_Wkst'!$I$7:$I$2010,$C$9,'LAC 102_Wkst'!$E$7:$E$2010,$C47,'LAC 102_Wkst'!$G$7:$G$2010,$D47,'LAC 102_Wkst'!$L$7:$L$2010,"09",'LAC 102_Wkst'!$N$7:$N$2010,"P3")+SUMIFS('LAC 102_Wkst'!$AF$7:$AF$2010,'LAC 102_Wkst'!$D$7:$D$2010,$C$7,'LAC 102_Wkst'!$I$7:$I$2010,$C$9,'LAC 102_Wkst'!$E$7:$E$2010,$C47,'LAC 102_Wkst'!$G$7:$G$2010,$D47,'LAC 102_Wkst'!$L$7:$L$2010,"09",'LAC 102_Wkst'!$N$7:$N$2010,"P4")</f>
        <v>0</v>
      </c>
      <c r="AN47" s="410">
        <f>SUMIFS('LAC 102_Wkst'!$Q$7:$Q$2010,'LAC 102_Wkst'!$D$7:$D$2010,$C$7,'LAC 102_Wkst'!$I$7:$I$2010,$C$9,'LAC 102_Wkst'!$E$7:$E$2010,$C47,'LAC 102_Wkst'!$G$7:$G$2010,$D47,'LAC 102_Wkst'!$L$7:$L$2010,"09",'LAC 102_Wkst'!$N$7:$N$2010,"P5")</f>
        <v>0</v>
      </c>
      <c r="AO47" s="411">
        <f>SUMIFS('LAC 102_Wkst'!$AF$7:$AF$2010,'LAC 102_Wkst'!$D$7:$D$2010,$C$7,'LAC 102_Wkst'!$I$7:$I$2010,$C$9,'LAC 102_Wkst'!$E$7:$E$2010,$C47,'LAC 102_Wkst'!$G$7:$G$2010,$D47,'LAC 102_Wkst'!$L$7:$L$2010,"09",'LAC 102_Wkst'!$N$7:$N$2010,"P5")</f>
        <v>0</v>
      </c>
      <c r="AP47" s="410">
        <f>SUMIFS('LAC 102_Wkst'!$Q$7:$Q$2010,'LAC 102_Wkst'!$D$7:$D$2010,$C$7,'LAC 102_Wkst'!$I$7:$I$2010,$C$9,'LAC 102_Wkst'!$E$7:$E$2010,$C47,'LAC 102_Wkst'!$G$7:$G$2010,$D47,'LAC 102_Wkst'!$L$7:$L$2010,"10",'LAC 102_Wkst'!$N$7:$N$2010,"P1")+SUMIFS('LAC 102_Wkst'!$Q$7:$Q$2010,'LAC 102_Wkst'!$D$7:$D$2010,$C$7,'LAC 102_Wkst'!$I$7:$I$2010,$C$9,'LAC 102_Wkst'!$E$7:$E$2010,$C47,'LAC 102_Wkst'!$G$7:$G$2010,$D47,'LAC 102_Wkst'!$L$7:$L$2010,"10",'LAC 102_Wkst'!$N$7:$N$2010,"P2")+SUMIFS('LAC 102_Wkst'!$Q$7:$Q$2010,'LAC 102_Wkst'!$D$7:$D$2010,$C$7,'LAC 102_Wkst'!$I$7:$I$2010,$C$9,'LAC 102_Wkst'!$E$7:$E$2010,$C47,'LAC 102_Wkst'!$G$7:$G$2010,$D47,'LAC 102_Wkst'!$L$7:$L$2010,"10",'LAC 102_Wkst'!$N$7:$N$2010,"P3")+SUMIFS('LAC 102_Wkst'!$Q$7:$Q$2010,'LAC 102_Wkst'!$D$7:$D$2010,$C$7,'LAC 102_Wkst'!$I$7:$I$2010,$C$9,'LAC 102_Wkst'!$E$7:$E$2010,$C47,'LAC 102_Wkst'!$G$7:$G$2010,$D47,'LAC 102_Wkst'!$L$7:$L$2010,"10",'LAC 102_Wkst'!$N$7:$N$2010,"P4")</f>
        <v>0</v>
      </c>
      <c r="AQ47" s="411">
        <f>SUMIFS('LAC 102_Wkst'!$AF$7:$AF$2010,'LAC 102_Wkst'!$D$7:$D$2010,$C$7,'LAC 102_Wkst'!$I$7:$I$2010,$C$9,'LAC 102_Wkst'!$E$7:$E$2010,$C47,'LAC 102_Wkst'!$G$7:$G$2010,$D47,'LAC 102_Wkst'!$L$7:$L$2010,"10",'LAC 102_Wkst'!$N$7:$N$2010,"P1")+SUMIFS('LAC 102_Wkst'!$AF$7:$AF$2010,'LAC 102_Wkst'!$D$7:$D$2010,$C$7,'LAC 102_Wkst'!$I$7:$I$2010,$C$9,'LAC 102_Wkst'!$E$7:$E$2010,$C47,'LAC 102_Wkst'!$G$7:$G$2010,$D47,'LAC 102_Wkst'!$L$7:$L$2010,"10",'LAC 102_Wkst'!$N$7:$N$2010,"P2")+SUMIFS('LAC 102_Wkst'!$AF$7:$AF$2010,'LAC 102_Wkst'!$D$7:$D$2010,$C$7,'LAC 102_Wkst'!$I$7:$I$2010,$C$9,'LAC 102_Wkst'!$E$7:$E$2010,$C47,'LAC 102_Wkst'!$G$7:$G$2010,$D47,'LAC 102_Wkst'!$L$7:$L$2010,"10",'LAC 102_Wkst'!$N$7:$N$2010,"P3")+SUMIFS('LAC 102_Wkst'!$AF$7:$AF$2010,'LAC 102_Wkst'!$D$7:$D$2010,$C$7,'LAC 102_Wkst'!$I$7:$I$2010,$C$9,'LAC 102_Wkst'!$E$7:$E$2010,$C47,'LAC 102_Wkst'!$G$7:$G$2010,$D47,'LAC 102_Wkst'!$L$7:$L$2010,"10",'LAC 102_Wkst'!$N$7:$N$2010,"P4")</f>
        <v>0</v>
      </c>
      <c r="AR47" s="410">
        <f>SUMIFS('LAC 102_Wkst'!$Q$7:$Q$2010,'LAC 102_Wkst'!$D$7:$D$2010,$C$7,'LAC 102_Wkst'!$I$7:$I$2010,$C$9,'LAC 102_Wkst'!$E$7:$E$2010,$C47,'LAC 102_Wkst'!$G$7:$G$2010,$D47,'LAC 102_Wkst'!$L$7:$L$2010,"10",'LAC 102_Wkst'!$N$7:$N$2010,"P5")</f>
        <v>0</v>
      </c>
      <c r="AS47" s="411">
        <f>SUMIFS('LAC 102_Wkst'!$AF$7:$AF$2010,'LAC 102_Wkst'!$D$7:$D$2010,$C$7,'LAC 102_Wkst'!$I$7:$I$2010,$C$9,'LAC 102_Wkst'!$E$7:$E$2010,$C47,'LAC 102_Wkst'!$G$7:$G$2010,$D47,'LAC 102_Wkst'!$L$7:$L$2010,"10",'LAC 102_Wkst'!$N$7:$N$2010,"P5")</f>
        <v>0</v>
      </c>
      <c r="AT47" s="410">
        <f>SUMIFS('LAC 102_Wkst'!$Q$7:$Q$2010,'LAC 102_Wkst'!$D$7:$D$2010,$C$7,'LAC 102_Wkst'!$I$7:$I$2010,$C$9,'LAC 102_Wkst'!$E$7:$E$2010,$C47,'LAC 102_Wkst'!$G$7:$G$2010,$D47,'LAC 102_Wkst'!$L$7:$L$2010,"11",'LAC 102_Wkst'!$N$7:$N$2010,"P1")+SUMIFS('LAC 102_Wkst'!$Q$7:$Q$2010,'LAC 102_Wkst'!$D$7:$D$2010,$C$7,'LAC 102_Wkst'!$I$7:$I$2010,$C$9,'LAC 102_Wkst'!$E$7:$E$2010,$C47,'LAC 102_Wkst'!$G$7:$G$2010,$D47,'LAC 102_Wkst'!$L$7:$L$2010,"12",'LAC 102_Wkst'!$N$7:$N$2010,"P1")</f>
        <v>0</v>
      </c>
      <c r="AU47" s="411">
        <f>SUMIFS('LAC 102_Wkst'!$Q$7:$Q$2010,'LAC 102_Wkst'!$D$7:$D$2010,$C$7,'LAC 102_Wkst'!$I$7:$I$2010,$C$9,'LAC 102_Wkst'!$E$7:$E$2010,$C47,'LAC 102_Wkst'!$G$7:$G$2010,$D47,'LAC 102_Wkst'!$L$7:$L$2010,"13",'LAC 102_Wkst'!$N$7:$N$2010,"P5")</f>
        <v>0</v>
      </c>
      <c r="AV47" s="410">
        <f>SUMIFS('LAC 102_Wkst'!$Q$7:$Q$2010,'LAC 102_Wkst'!$D$7:$D$2010,$C$7,'LAC 102_Wkst'!$I$7:$I$2010,$C$9,'LAC 102_Wkst'!$E$7:$E$2010,$C47,'LAC 102_Wkst'!$G$7:$G$2010,$D47,'LAC 102_Wkst'!$L$7:$L$2010,"11",'LAC 102_Wkst'!$N$7:$N$2010,"P2")+SUMIFS('LAC 102_Wkst'!$Q$7:$Q$2010,'LAC 102_Wkst'!$D$7:$D$2010,$C$7,'LAC 102_Wkst'!$I$7:$I$2010,$C$9,'LAC 102_Wkst'!$E$7:$E$2010,$C47,'LAC 102_Wkst'!$G$7:$G$2010,$D47,'LAC 102_Wkst'!$L$7:$L$2010,"12",'LAC 102_Wkst'!$N$7:$N$2010,"P2")+SUMIFS('LAC 102_Wkst'!$Q$7:$Q$2010,'LAC 102_Wkst'!$D$7:$D$2010,$C$7,'LAC 102_Wkst'!$I$7:$I$2010,$C$9,'LAC 102_Wkst'!$E$7:$E$2010,$C47,'LAC 102_Wkst'!$G$7:$G$2010,$D47,'LAC 102_Wkst'!$L$7:$L$2010,"11",'LAC 102_Wkst'!$N$7:$N$2010,"P3")+SUMIFS('LAC 102_Wkst'!$Q$7:$Q$2010,'LAC 102_Wkst'!$D$7:$D$2010,$C$7,'LAC 102_Wkst'!$I$7:$I$2010,$C$9,'LAC 102_Wkst'!$E$7:$E$2010,$C47,'LAC 102_Wkst'!$G$7:$G$2010,$D47,'LAC 102_Wkst'!$L$7:$L$2010,"12",'LAC 102_Wkst'!$N$7:$N$2010,"P3")</f>
        <v>0</v>
      </c>
      <c r="AW47" s="411">
        <f>SUMIFS('LAC 102_Wkst'!$AF$7:$AF$2010,'LAC 102_Wkst'!$D$7:$D$2010,$C$7,'LAC 102_Wkst'!$I$7:$I$2010,$C$9,'LAC 102_Wkst'!$E$7:$E$2010,$C47,'LAC 102_Wkst'!$G$7:$G$2010,$D47,'LAC 102_Wkst'!$L$7:$L$2010,"11",'LAC 102_Wkst'!$N$7:$N$2010,"P2")+SUMIFS('LAC 102_Wkst'!$AF$7:$AF$2010,'LAC 102_Wkst'!$D$7:$D$2010,$C$7,'LAC 102_Wkst'!$I$7:$I$2010,$C$9,'LAC 102_Wkst'!$E$7:$E$2010,$C47,'LAC 102_Wkst'!$G$7:$G$2010,$D47,'LAC 102_Wkst'!$L$7:$L$2010,"12",'LAC 102_Wkst'!$N$7:$N$2010,"P2")+SUMIFS('LAC 102_Wkst'!$AF$7:$AF$2010,'LAC 102_Wkst'!$D$7:$D$2010,$C$7,'LAC 102_Wkst'!$I$7:$I$2010,$C$9,'LAC 102_Wkst'!$E$7:$E$2010,$C47,'LAC 102_Wkst'!$G$7:$G$2010,$D47,'LAC 102_Wkst'!$L$7:$L$2010,"11",'LAC 102_Wkst'!$N$7:$N$2010,"P3")+SUMIFS('LAC 102_Wkst'!$AF$7:$AF$2010,'LAC 102_Wkst'!$D$7:$D$2010,$C$7,'LAC 102_Wkst'!$I$7:$I$2010,$C$9,'LAC 102_Wkst'!$E$7:$E$2010,$C47,'LAC 102_Wkst'!$G$7:$G$2010,$D47,'LAC 102_Wkst'!$L$7:$L$2010,"12",'LAC 102_Wkst'!$N$7:$N$2010,"P3")</f>
        <v>0</v>
      </c>
      <c r="AX47" s="410">
        <f>SUMIFS('LAC 102_Wkst'!$Q$7:$Q$2010,'LAC 102_Wkst'!$D$7:$D$2010,$C$7,'LAC 102_Wkst'!$I$7:$I$2010,$C$9,'LAC 102_Wkst'!$E$7:$E$2010,$C47,'LAC 102_Wkst'!$G$7:$G$2010,$D47,'LAC 102_Wkst'!$L$7:$L$2010,"11",'LAC 102_Wkst'!$N$7:$N$2010,"P4")+SUMIFS('LAC 102_Wkst'!$Q$7:$Q$2010,'LAC 102_Wkst'!$D$7:$D$2010,$C$7,'LAC 102_Wkst'!$I$7:$I$2010,$C$9,'LAC 102_Wkst'!$E$7:$E$2010,$C47,'LAC 102_Wkst'!$G$7:$G$2010,$D47,'LAC 102_Wkst'!$L$7:$L$2010,"12",'LAC 102_Wkst'!$N$7:$N$2010,"P4")</f>
        <v>0</v>
      </c>
      <c r="AY47" s="411">
        <f>SUMIFS('LAC 102_Wkst'!$AF$7:$AF$2010,'LAC 102_Wkst'!$D$7:$D$2010,$C$7,'LAC 102_Wkst'!$I$7:$I$2010,$C$9,'LAC 102_Wkst'!$E$7:$E$2010,$C47,'LAC 102_Wkst'!$G$7:$G$2010,$D47,'LAC 102_Wkst'!$L$7:$L$2010,"11",'LAC 102_Wkst'!$N$7:$N$2010,"P4")+SUMIFS('LAC 102_Wkst'!$AF$7:$AF$2010,'LAC 102_Wkst'!$D$7:$D$2010,$C$7,'LAC 102_Wkst'!$I$7:$I$2010,$C$9,'LAC 102_Wkst'!$E$7:$E$2010,$C47,'LAC 102_Wkst'!$G$7:$G$2010,$D47,'LAC 102_Wkst'!$L$7:$L$2010,"12",'LAC 102_Wkst'!$N$7:$N$2010,"P4")</f>
        <v>0</v>
      </c>
      <c r="AZ47" s="410">
        <f>SUMIFS('LAC 102_Wkst'!$Q$7:$Q$2010,'LAC 102_Wkst'!$D$7:$D$2010,$C$7,'LAC 102_Wkst'!$I$7:$I$2010,$C$9,'LAC 102_Wkst'!$E$7:$E$2010,$C47,'LAC 102_Wkst'!$G$7:$G$2010,$D47,'LAC 102_Wkst'!$L$7:$L$2010,"11",'LAC 102_Wkst'!$N$7:$N$2010,"P5")+SUMIFS('LAC 102_Wkst'!$Q$7:$Q$2010,'LAC 102_Wkst'!$D$7:$D$2010,$C$7,'LAC 102_Wkst'!$I$7:$I$2010,$C$9,'LAC 102_Wkst'!$E$7:$E$2010,$C47,'LAC 102_Wkst'!$G$7:$G$2010,$D47,'LAC 102_Wkst'!$L$7:$L$2010,"12",'LAC 102_Wkst'!$N$7:$N$2010,"P5")</f>
        <v>0</v>
      </c>
      <c r="BA47" s="411">
        <f>SUMIFS('LAC 102_Wkst'!$AF$7:$AF$2010,'LAC 102_Wkst'!$D$7:$D$2010,$C$7,'LAC 102_Wkst'!$I$7:$I$2010,$C$9,'LAC 102_Wkst'!$E$7:$E$2010,$C47,'LAC 102_Wkst'!$G$7:$G$2010,$D47,'LAC 102_Wkst'!$L$7:$L$2010,"11",'LAC 102_Wkst'!$N$7:$N$2010,"P5")+SUMIFS('LAC 102_Wkst'!$AF$7:$AF$2010,'LAC 102_Wkst'!$D$7:$D$2010,$C$7,'LAC 102_Wkst'!$I$7:$I$2010,$C$9,'LAC 102_Wkst'!$E$7:$E$2010,$C47,'LAC 102_Wkst'!$G$7:$G$2010,$D47,'LAC 102_Wkst'!$L$7:$L$2010,"12",'LAC 102_Wkst'!$N$7:$N$2010,"P5")</f>
        <v>0</v>
      </c>
      <c r="BB47" s="410">
        <f>SUMIFS('LAC 102_Wkst'!$Q$7:$Q$2010,'LAC 102_Wkst'!$D$7:$D$2010,$C$7,'LAC 102_Wkst'!$I$7:$I$2010,$C$9,'LAC 102_Wkst'!$E$7:$E$2010,$C47,'LAC 102_Wkst'!$G$7:$G$2010,$D47,'LAC 102_Wkst'!$L$7:$L$2010,"13",'LAC 102_Wkst'!$N$7:$N$2010,"P1")+SUMIFS('LAC 102_Wkst'!$Q$7:$Q$2010,'LAC 102_Wkst'!$D$7:$D$2010,$C$7,'LAC 102_Wkst'!$I$7:$I$2010,$C$9,'LAC 102_Wkst'!$E$7:$E$2010,$C47,'LAC 102_Wkst'!$G$7:$G$2010,$D47,'LAC 102_Wkst'!$L$7:$L$2010,"13",'LAC 102_Wkst'!$N$7:$N$2010,"P2")+SUMIFS('LAC 102_Wkst'!$Q$7:$Q$2010,'LAC 102_Wkst'!$D$7:$D$2010,$C$7,'LAC 102_Wkst'!$I$7:$I$2010,$C$9,'LAC 102_Wkst'!$E$7:$E$2010,$C47,'LAC 102_Wkst'!$G$7:$G$2010,$D47,'LAC 102_Wkst'!$L$7:$L$2010,"13",'LAC 102_Wkst'!$N$7:$N$2010,"P3")+SUMIFS('LAC 102_Wkst'!$Q$7:$Q$2010,'LAC 102_Wkst'!$D$7:$D$2010,$C$7,'LAC 102_Wkst'!$I$7:$I$2010,$C$9,'LAC 102_Wkst'!$E$7:$E$2010,$C47,'LAC 102_Wkst'!$G$7:$G$2010,$D47,'LAC 102_Wkst'!$L$7:$L$2010,"13",'LAC 102_Wkst'!$N$7:$N$2010,"P4")</f>
        <v>0</v>
      </c>
      <c r="BC47" s="411">
        <f>SUMIFS('LAC 102_Wkst'!$AF$7:$AF$2010,'LAC 102_Wkst'!$D$7:$D$2010,$C$7,'LAC 102_Wkst'!$I$7:$I$2010,$C$9,'LAC 102_Wkst'!$E$7:$E$2010,$C47,'LAC 102_Wkst'!$G$7:$G$2010,$D47,'LAC 102_Wkst'!$L$7:$L$2010,"13",'LAC 102_Wkst'!$N$7:$N$2010,"P1")+SUMIFS('LAC 102_Wkst'!$AF$7:$AF$2010,'LAC 102_Wkst'!$D$7:$D$2010,$C$7,'LAC 102_Wkst'!$I$7:$I$2010,$C$9,'LAC 102_Wkst'!$E$7:$E$2010,$C47,'LAC 102_Wkst'!$G$7:$G$2010,$D47,'LAC 102_Wkst'!$L$7:$L$2010,"13",'LAC 102_Wkst'!$N$7:$N$2010,"P2")+SUMIFS('LAC 102_Wkst'!$AF$7:$AF$2010,'LAC 102_Wkst'!$D$7:$D$2010,$C$7,'LAC 102_Wkst'!$I$7:$I$2010,$C$9,'LAC 102_Wkst'!$E$7:$E$2010,$C47,'LAC 102_Wkst'!$G$7:$G$2010,$D47,'LAC 102_Wkst'!$L$7:$L$2010,"13",'LAC 102_Wkst'!$N$7:$N$2010,"P3")+SUMIFS('LAC 102_Wkst'!$AF$7:$AF$2010,'LAC 102_Wkst'!$D$7:$D$2010,$C$7,'LAC 102_Wkst'!$I$7:$I$2010,$C$9,'LAC 102_Wkst'!$E$7:$E$2010,$C47,'LAC 102_Wkst'!$G$7:$G$2010,$D47,'LAC 102_Wkst'!$L$7:$L$2010,"13",'LAC 102_Wkst'!$N$7:$N$2010,"P4")</f>
        <v>0</v>
      </c>
      <c r="BD47" s="410">
        <f>SUMIFS('LAC 102_Wkst'!$Q$7:$Q$2010,'LAC 102_Wkst'!$D$7:$D$2010,$C$7,'LAC 102_Wkst'!$I$7:$I$2010,$C$9,'LAC 102_Wkst'!$E$7:$E$2010,$C47,'LAC 102_Wkst'!$G$7:$G$2010,$D47,'LAC 102_Wkst'!$L$7:$L$2010,"13",'LAC 102_Wkst'!$N$7:$N$2010,"P5")</f>
        <v>0</v>
      </c>
      <c r="BE47" s="411">
        <f>SUMIFS('LAC 102_Wkst'!$AF$7:$AF$2010,'LAC 102_Wkst'!$D$7:$D$2010,$C$7,'LAC 102_Wkst'!$I$7:$I$2010,$C$9,'LAC 102_Wkst'!$E$7:$E$2010,$C47,'LAC 102_Wkst'!$G$7:$G$2010,$D47,'LAC 102_Wkst'!$L$7:$L$2010,"13",'LAC 102_Wkst'!$N$7:$N$2010,"P5")</f>
        <v>0</v>
      </c>
      <c r="BF47" s="407">
        <f t="shared" si="4"/>
        <v>0</v>
      </c>
      <c r="BG47" s="1654">
        <f>SUMIFS('LAC 102_Wkst'!$AF$7:$AF$2010,'LAC 102_Wkst'!$D$7:$D$2010,$C$7,'LAC 102_Wkst'!$I$7:$I$2010,$C$9,'LAC 102_Wkst'!$E$7:$E$2010,$C47,'LAC 102_Wkst'!$G$7:$G$2010,$D47,'LAC 102_Wkst'!$L$7:$L$2010,"14")</f>
        <v>0</v>
      </c>
    </row>
    <row r="48" spans="1:59" x14ac:dyDescent="0.2">
      <c r="A48" s="401">
        <v>26</v>
      </c>
      <c r="B48" s="1678" t="str">
        <f>IF(Schedule_B!B$45="","",Schedule_B!B$45)</f>
        <v/>
      </c>
      <c r="C48" s="1674" t="str">
        <f>IF(Schedule_B!C$45=""," ",Schedule_B!C$45)</f>
        <v xml:space="preserve"> </v>
      </c>
      <c r="D48" s="1675" t="str">
        <f>IF(Schedule_B!D$45=""," ",Schedule_B!D$45)</f>
        <v xml:space="preserve"> </v>
      </c>
      <c r="E48" s="1221">
        <f>SUMIFS('LAC 102_Wkst'!$Q$7:$Q$2010,'LAC 102_Wkst'!$D$7:$D$2010,$C$7,'LAC 102_Wkst'!$I$7:$I$2010,$C$9,'LAC 102_Wkst'!$E$7:$E$2010,$C48,'LAC 102_Wkst'!$G$7:$G$2010,$D48)</f>
        <v>0</v>
      </c>
      <c r="F48" s="408">
        <f>SUMIFS('LAC 102_Wkst'!$Q$7:$Q$2010,'LAC 102_Wkst'!$D$7:$D$2010,$C$7,'LAC 102_Wkst'!$I$7:$I$2010,$C$9,'LAC 102_Wkst'!$E$7:$E$2010,$C48,'LAC 102_Wkst'!$G$7:$G$2010,$D48,'LAC 102_Wkst'!$L$7:$L$2010,"01",'LAC 102_Wkst'!$N$7:$N$2010,"P1")+SUMIFS('LAC 102_Wkst'!$Q$7:$Q$2010,'LAC 102_Wkst'!$D$7:$D$2010,$C$7,'LAC 102_Wkst'!$I$7:$I$2010,$C$9,'LAC 102_Wkst'!$E$7:$E$2010,$C48,'LAC 102_Wkst'!$G$7:$G$2010,$D48,'LAC 102_Wkst'!$L$7:$L$2010,"01",'LAC 102_Wkst'!$N$7:$N$2010,"P2")+SUMIFS('LAC 102_Wkst'!$Q$7:$Q$2010,'LAC 102_Wkst'!$D$7:$D$2010,$C$7,'LAC 102_Wkst'!$I$7:$I$2010,$C$9,'LAC 102_Wkst'!$E$7:$E$2010,$C48,'LAC 102_Wkst'!$G$7:$G$2010,$D48,'LAC 102_Wkst'!$L$7:$L$2010,"01",'LAC 102_Wkst'!$N$7:$N$2010,"P3")+SUMIFS('LAC 102_Wkst'!$Q$7:$Q$2010,'LAC 102_Wkst'!$D$7:$D$2010,$C$7,'LAC 102_Wkst'!$I$7:$I$2010,$C$9,'LAC 102_Wkst'!$E$7:$E$2010,$C48,'LAC 102_Wkst'!$G$7:$G$2010,$D48,'LAC 102_Wkst'!$L$7:$L$2010,"02",'LAC 102_Wkst'!$N$7:$N$2010,"P1")+SUMIFS('LAC 102_Wkst'!$Q$7:$Q$2010,'LAC 102_Wkst'!$D$7:$D$2010,$C$7,'LAC 102_Wkst'!$I$7:$I$2010,$C$9,'LAC 102_Wkst'!$E$7:$E$2010,$C48,'LAC 102_Wkst'!$G$7:$G$2010,$D48,'LAC 102_Wkst'!$L$7:$L$2010,"02",'LAC 102_Wkst'!$N$7:$N$2010,"P2")+SUMIFS('LAC 102_Wkst'!$Q$7:$Q$2010,'LAC 102_Wkst'!$D$7:$D$2010,$C$7,'LAC 102_Wkst'!$I$7:$I$2010,$C$9,'LAC 102_Wkst'!$E$7:$E$2010,$C48,'LAC 102_Wkst'!$G$7:$G$2010,$D48,'LAC 102_Wkst'!$L$7:$L$2010,"02",'LAC 102_Wkst'!$N$7:$N$2010,"P3")</f>
        <v>0</v>
      </c>
      <c r="G48" s="409">
        <f>SUMIFS('LAC 102_Wkst'!$AF$7:$AF$2010,'LAC 102_Wkst'!$D$7:$D$2010,$C$7,'LAC 102_Wkst'!$I$7:$I$2010,$C$9,'LAC 102_Wkst'!$E$7:$E$2010,$C48,'LAC 102_Wkst'!$G$7:$G$2010,$D48,'LAC 102_Wkst'!$L$7:$L$2010,"01",'LAC 102_Wkst'!$N$7:$N$2010,"P1")+SUMIFS('LAC 102_Wkst'!$AF$7:$AF$2010,'LAC 102_Wkst'!$D$7:$D$2010,$C$7,'LAC 102_Wkst'!$I$7:$I$2010,$C$9,'LAC 102_Wkst'!$E$7:$E$2010,$C48,'LAC 102_Wkst'!$G$7:$G$2010,$D48,'LAC 102_Wkst'!$L$7:$L$2010,"01",'LAC 102_Wkst'!$N$7:$N$2010,"P2")+SUMIFS('LAC 102_Wkst'!$AF$7:$AF$2010,'LAC 102_Wkst'!$D$7:$D$2010,$C$7,'LAC 102_Wkst'!$I$7:$I$2010,$C$9,'LAC 102_Wkst'!$E$7:$E$2010,$C48,'LAC 102_Wkst'!$G$7:$G$2010,$D48,'LAC 102_Wkst'!$L$7:$L$2010,"01",'LAC 102_Wkst'!$N$7:$N$2010,"P3")+SUMIFS('LAC 102_Wkst'!$AF$7:$AF$2010,'LAC 102_Wkst'!$D$7:$D$2010,$C$7,'LAC 102_Wkst'!$I$7:$I$2010,$C$9,'LAC 102_Wkst'!$E$7:$E$2010,$C48,'LAC 102_Wkst'!$G$7:$G$2010,$D48,'LAC 102_Wkst'!$L$7:$L$2010,"02",'LAC 102_Wkst'!$N$7:$N$2010,"P1")+SUMIFS('LAC 102_Wkst'!$AF$7:$AF$2010,'LAC 102_Wkst'!$D$7:$D$2010,$C$7,'LAC 102_Wkst'!$I$7:$I$2010,$C$9,'LAC 102_Wkst'!$E$7:$E$2010,$C48,'LAC 102_Wkst'!$G$7:$G$2010,$D48,'LAC 102_Wkst'!$L$7:$L$2010,"02",'LAC 102_Wkst'!$N$7:$N$2010,"P2")+SUMIFS('LAC 102_Wkst'!$AF$7:$AF$2010,'LAC 102_Wkst'!$D$7:$D$2010,$C$7,'LAC 102_Wkst'!$I$7:$I$2010,$C$9,'LAC 102_Wkst'!$E$7:$E$2010,$C48,'LAC 102_Wkst'!$G$7:$G$2010,$D48,'LAC 102_Wkst'!$L$7:$L$2010,"02",'LAC 102_Wkst'!$N$7:$N$2010,"P3")</f>
        <v>0</v>
      </c>
      <c r="H48" s="410">
        <f>SUMIFS('LAC 102_Wkst'!$Q$7:$Q$2010,'LAC 102_Wkst'!$D$7:$D$2010,$C$7,'LAC 102_Wkst'!$I$7:$I$2010,$C$9,'LAC 102_Wkst'!$E$7:$E$2010,$C48,'LAC 102_Wkst'!$G$7:$G$2010,$D48,'LAC 102_Wkst'!$L$7:$L$2010,"01",'LAC 102_Wkst'!$N$7:$N$2010,"P4")+SUMIFS('LAC 102_Wkst'!$Q$7:$Q$2010,'LAC 102_Wkst'!$D$7:$D$2010,$C$7,'LAC 102_Wkst'!$I$7:$I$2010,$C$9,'LAC 102_Wkst'!$E$7:$E$2010,$C48,'LAC 102_Wkst'!$G$7:$G$2010,$D48,'LAC 102_Wkst'!$L$7:$L$2010,"02",'LAC 102_Wkst'!$N$7:$N$2010,"P4")</f>
        <v>0</v>
      </c>
      <c r="I48" s="411">
        <f>SUMIFS('LAC 102_Wkst'!$AF$7:$AF$2010,'LAC 102_Wkst'!$D$7:$D$2010,$C$7,'LAC 102_Wkst'!$I$7:$I$2010,$C$9,'LAC 102_Wkst'!$E$7:$E$2010,$C48,'LAC 102_Wkst'!$G$7:$G$2010,$D48,'LAC 102_Wkst'!$L$7:$L$2010,"01",'LAC 102_Wkst'!$N$7:$N$2010,"P4")+SUMIFS('LAC 102_Wkst'!$AF$7:$AF$2010,'LAC 102_Wkst'!$D$7:$D$2010,$C$7,'LAC 102_Wkst'!$I$7:$I$2010,$C$9,'LAC 102_Wkst'!$E$7:$E$2010,$C48,'LAC 102_Wkst'!$G$7:$G$2010,$D48,'LAC 102_Wkst'!$L$7:$L$2010,"02",'LAC 102_Wkst'!$N$7:$N$2010,"P4")</f>
        <v>0</v>
      </c>
      <c r="J48" s="410">
        <f>SUMIFS('LAC 102_Wkst'!$Q$7:$Q$2010,'LAC 102_Wkst'!$D$7:$D$2010,$C$7,'LAC 102_Wkst'!$I$7:$I$2010,$C$9,'LAC 102_Wkst'!$E$7:$E$2010,$C48,'LAC 102_Wkst'!$G$7:$G$2010,$D48,'LAC 102_Wkst'!$L$7:$L$2010,"01",'LAC 102_Wkst'!$N$7:$N$2010,"P5")+SUMIFS('LAC 102_Wkst'!$Q$7:$Q$2010,'LAC 102_Wkst'!$D$7:$D$2010,$C$7,'LAC 102_Wkst'!$I$7:$I$2010,$C$9,'LAC 102_Wkst'!$E$7:$E$2010,$C48,'LAC 102_Wkst'!$G$7:$G$2010,$D48,'LAC 102_Wkst'!$L$7:$L$2010,"02",'LAC 102_Wkst'!$N$7:$N$2010,"P5")</f>
        <v>0</v>
      </c>
      <c r="K48" s="411">
        <f>SUMIFS('LAC 102_Wkst'!$AF$7:$AF$2010,'LAC 102_Wkst'!$D$7:$D$2010,$C$7,'LAC 102_Wkst'!$I$7:$I$2010,$C$9,'LAC 102_Wkst'!$E$7:$E$2010,$C48,'LAC 102_Wkst'!$G$7:$G$2010,$D48,'LAC 102_Wkst'!$L$7:$L$2010,"01",'LAC 102_Wkst'!$N$7:$N$2010,"P5")+SUMIFS('LAC 102_Wkst'!$AF$7:$AF$2010,'LAC 102_Wkst'!$D$7:$D$2010,$C$7,'LAC 102_Wkst'!$I$7:$I$2010,$C$9,'LAC 102_Wkst'!$E$7:$E$2010,$C48,'LAC 102_Wkst'!$G$7:$G$2010,$D48,'LAC 102_Wkst'!$L$7:$L$2010,"02",'LAC 102_Wkst'!$N$7:$N$2010,"P5")</f>
        <v>0</v>
      </c>
      <c r="L48" s="410">
        <f>SUMIFS('LAC 102_Wkst'!$Q$7:$Q$2010,'LAC 102_Wkst'!$D$7:$D$2010,$C$7,'LAC 102_Wkst'!$I$7:$I$2010,$C$9,'LAC 102_Wkst'!$E$7:$E$2010,$C48,'LAC 102_Wkst'!$G$7:$G$2010,$D48,'LAC 102_Wkst'!$L$7:$L$2010,"03",'LAC 102_Wkst'!$N$7:$N$2010,"P1")+SUMIFS('LAC 102_Wkst'!$Q$7:$Q$2010,'LAC 102_Wkst'!$D$7:$D$2010,$C$7,'LAC 102_Wkst'!$I$7:$I$2010,$C$9,'LAC 102_Wkst'!$E$7:$E$2010,$C48,'LAC 102_Wkst'!$G$7:$G$2010,$D48,'LAC 102_Wkst'!$L$7:$L$2010,"03",'LAC 102_Wkst'!$N$7:$N$2010,"P2")+SUMIFS('LAC 102_Wkst'!$Q$7:$Q$2010,'LAC 102_Wkst'!$D$7:$D$2010,$C$7,'LAC 102_Wkst'!$I$7:$I$2010,$C$9,'LAC 102_Wkst'!$E$7:$E$2010,$C48,'LAC 102_Wkst'!$G$7:$G$2010,$D48,'LAC 102_Wkst'!$L$7:$L$2010,"03",'LAC 102_Wkst'!$N$7:$N$2010,"P3")+SUMIFS('LAC 102_Wkst'!$Q$7:$Q$2010,'LAC 102_Wkst'!$D$7:$D$2010,$C$7,'LAC 102_Wkst'!$I$7:$I$2010,$C$9,'LAC 102_Wkst'!$E$7:$E$2010,$C48,'LAC 102_Wkst'!$G$7:$G$2010,$D48,'LAC 102_Wkst'!$L$7:$L$2010,"04",'LAC 102_Wkst'!$N$7:$N$2010,"P1")+SUMIFS('LAC 102_Wkst'!$Q$7:$Q$2010,'LAC 102_Wkst'!$D$7:$D$2010,$C$7,'LAC 102_Wkst'!$I$7:$I$2010,$C$9,'LAC 102_Wkst'!$E$7:$E$2010,$C48,'LAC 102_Wkst'!$G$7:$G$2010,$D48,'LAC 102_Wkst'!$L$7:$L$2010,"04",'LAC 102_Wkst'!$N$7:$N$2010,"P2")+SUMIFS('LAC 102_Wkst'!$Q$7:$Q$2010,'LAC 102_Wkst'!$D$7:$D$2010,$C$7,'LAC 102_Wkst'!$I$7:$I$2010,$C$9,'LAC 102_Wkst'!$E$7:$E$2010,$C48,'LAC 102_Wkst'!$G$7:$G$2010,$D48,'LAC 102_Wkst'!$L$7:$L$2010,"04",'LAC 102_Wkst'!$N$7:$N$2010,"P3")</f>
        <v>0</v>
      </c>
      <c r="M48" s="411">
        <f>SUMIFS('LAC 102_Wkst'!$AF$7:$AF$2010,'LAC 102_Wkst'!$D$7:$D$2010,$C$7,'LAC 102_Wkst'!$I$7:$I$2010,$C$9,'LAC 102_Wkst'!$E$7:$E$2010,$C48,'LAC 102_Wkst'!$G$7:$G$2010,$D48,'LAC 102_Wkst'!$L$7:$L$2010,"03",'LAC 102_Wkst'!$N$7:$N$2010,"P1")+SUMIFS('LAC 102_Wkst'!$AF$7:$AF$2010,'LAC 102_Wkst'!$D$7:$D$2010,$C$7,'LAC 102_Wkst'!$I$7:$I$2010,$C$9,'LAC 102_Wkst'!$E$7:$E$2010,$C48,'LAC 102_Wkst'!$G$7:$G$2010,$D48,'LAC 102_Wkst'!$L$7:$L$2010,"03",'LAC 102_Wkst'!$N$7:$N$2010,"P2")+SUMIFS('LAC 102_Wkst'!$AF$7:$AF$2010,'LAC 102_Wkst'!$D$7:$D$2010,$C$7,'LAC 102_Wkst'!$I$7:$I$2010,$C$9,'LAC 102_Wkst'!$E$7:$E$2010,$C48,'LAC 102_Wkst'!$G$7:$G$2010,$D48,'LAC 102_Wkst'!$L$7:$L$2010,"03",'LAC 102_Wkst'!$N$7:$N$2010,"P3")+SUMIFS('LAC 102_Wkst'!$AF$7:$AF$2010,'LAC 102_Wkst'!$D$7:$D$2010,$C$7,'LAC 102_Wkst'!$I$7:$I$2010,$C$9,'LAC 102_Wkst'!$E$7:$E$2010,$C48,'LAC 102_Wkst'!$G$7:$G$2010,$D48,'LAC 102_Wkst'!$L$7:$L$2010,"04",'LAC 102_Wkst'!$N$7:$N$2010,"P1")+SUMIFS('LAC 102_Wkst'!$AF$7:$AF$2010,'LAC 102_Wkst'!$D$7:$D$2010,$C$7,'LAC 102_Wkst'!$I$7:$I$2010,$C$9,'LAC 102_Wkst'!$E$7:$E$2010,$C48,'LAC 102_Wkst'!$G$7:$G$2010,$D48,'LAC 102_Wkst'!$L$7:$L$2010,"04",'LAC 102_Wkst'!$N$7:$N$2010,"P2")+SUMIFS('LAC 102_Wkst'!$AF$7:$AF$2010,'LAC 102_Wkst'!$D$7:$D$2010,$C$7,'LAC 102_Wkst'!$I$7:$I$2010,$C$9,'LAC 102_Wkst'!$E$7:$E$2010,$C48,'LAC 102_Wkst'!$G$7:$G$2010,$D48,'LAC 102_Wkst'!$L$7:$L$2010,"04",'LAC 102_Wkst'!$N$7:$N$2010,"P3")</f>
        <v>0</v>
      </c>
      <c r="N48" s="410">
        <f>SUMIFS('LAC 102_Wkst'!$Q$7:$Q$2010,'LAC 102_Wkst'!$D$7:$D$2010,$C$7,'LAC 102_Wkst'!$I$7:$I$2010,$C$9,'LAC 102_Wkst'!$E$7:$E$2010,$C48,'LAC 102_Wkst'!$G$7:$G$2010,$D48,'LAC 102_Wkst'!$L$7:$L$2010,"03",'LAC 102_Wkst'!$N$7:$N$2010,"P4")+SUMIFS('LAC 102_Wkst'!$Q$7:$Q$2010,'LAC 102_Wkst'!$D$7:$D$2010,$C$7,'LAC 102_Wkst'!$I$7:$I$2010,$C$9,'LAC 102_Wkst'!$E$7:$E$2010,$C48,'LAC 102_Wkst'!$G$7:$G$2010,$D48,'LAC 102_Wkst'!$L$7:$L$2010,"04",'LAC 102_Wkst'!$N$7:$N$2010,"P4")</f>
        <v>0</v>
      </c>
      <c r="O48" s="411">
        <f>SUMIFS('LAC 102_Wkst'!$AF$7:$AF$2010,'LAC 102_Wkst'!$D$7:$D$2010,$C$7,'LAC 102_Wkst'!$I$7:$I$2010,$C$9,'LAC 102_Wkst'!$E$7:$E$2010,$C48,'LAC 102_Wkst'!$G$7:$G$2010,$D48,'LAC 102_Wkst'!$L$7:$L$2010,"03",'LAC 102_Wkst'!$N$7:$N$2010,"P4")+SUMIFS('LAC 102_Wkst'!$AF$7:$AF$2010,'LAC 102_Wkst'!$D$7:$D$2010,$C$7,'LAC 102_Wkst'!$I$7:$I$2010,$C$9,'LAC 102_Wkst'!$E$7:$E$2010,$C48,'LAC 102_Wkst'!$G$7:$G$2010,$D48,'LAC 102_Wkst'!$L$7:$L$2010,"04",'LAC 102_Wkst'!$N$7:$N$2010,"P4")</f>
        <v>0</v>
      </c>
      <c r="P48" s="410">
        <f>SUMIFS('LAC 102_Wkst'!$Q$7:$Q$2010,'LAC 102_Wkst'!$D$7:$D$2010,$C$7,'LAC 102_Wkst'!$I$7:$I$2010,$C$9,'LAC 102_Wkst'!$E$7:$E$2010,$C48,'LAC 102_Wkst'!$G$7:$G$2010,$D48,'LAC 102_Wkst'!$L$7:$L$2010,"03",'LAC 102_Wkst'!$N$7:$N$2010,"P5")+SUMIFS('LAC 102_Wkst'!$Q$7:$Q$2010,'LAC 102_Wkst'!$D$7:$D$2010,$C$7,'LAC 102_Wkst'!$I$7:$I$2010,$C$9,'LAC 102_Wkst'!$E$7:$E$2010,$C48,'LAC 102_Wkst'!$G$7:$G$2010,$D48,'LAC 102_Wkst'!$L$7:$L$2010,"04",'LAC 102_Wkst'!$N$7:$N$2010,"P5")</f>
        <v>0</v>
      </c>
      <c r="Q48" s="411">
        <f>SUMIFS('LAC 102_Wkst'!$AF$7:$AF$2010,'LAC 102_Wkst'!$D$7:$D$2010,$C$7,'LAC 102_Wkst'!$I$7:$I$2010,$C$9,'LAC 102_Wkst'!$E$7:$E$2010,$C48,'LAC 102_Wkst'!$G$7:$G$2010,$D48,'LAC 102_Wkst'!$L$7:$L$2010,"03",'LAC 102_Wkst'!$N$7:$N$2010,"P5")+SUMIFS('LAC 102_Wkst'!$AF$7:$AF$2010,'LAC 102_Wkst'!$D$7:$D$2010,$C$7,'LAC 102_Wkst'!$I$7:$I$2010,$C$9,'LAC 102_Wkst'!$E$7:$E$2010,$C48,'LAC 102_Wkst'!$G$7:$G$2010,$D48,'LAC 102_Wkst'!$L$7:$L$2010,"04",'LAC 102_Wkst'!$N$7:$N$2010,"P5")</f>
        <v>0</v>
      </c>
      <c r="R48" s="412">
        <f>SUMIFS('LAC 102_Wkst'!$Q$7:$Q$2010,'LAC 102_Wkst'!$D$7:$D$2010,$C$7,'LAC 102_Wkst'!$I$7:$I$2010,$C$9,'LAC 102_Wkst'!$E$7:$E$2010,$C48,'LAC 102_Wkst'!$G$7:$G$2010,$D48,'LAC 102_Wkst'!$L$7:$L$2010,"05",'LAC 102_Wkst'!$N$7:$N$2010,"P1")+SUMIFS('LAC 102_Wkst'!$Q$7:$Q$2010,'LAC 102_Wkst'!$D$7:$D$2010,$C$7,'LAC 102_Wkst'!$I$7:$I$2010,$C$9,'LAC 102_Wkst'!$E$7:$E$2010,$C48,'LAC 102_Wkst'!$G$7:$G$2010,$D48,'LAC 102_Wkst'!$L$7:$L$2010,"06",'LAC 102_Wkst'!$N$7:$N$2010,"P1")</f>
        <v>0</v>
      </c>
      <c r="S48" s="411">
        <f>SUMIFS('LAC 102_Wkst'!$AF$7:$AF$2010,'LAC 102_Wkst'!$D$7:$D$2010,$C$7,'LAC 102_Wkst'!$I$7:$I$2010,$C$9,'LAC 102_Wkst'!$E$7:$E$2010,$C48,'LAC 102_Wkst'!$G$7:$G$2010,$D48,'LAC 102_Wkst'!$L$7:$L$2010,"05",'LAC 102_Wkst'!$N$7:$N$2010,"P1")+SUMIFS('LAC 102_Wkst'!$AF$7:$AF$2010,'LAC 102_Wkst'!$D$7:$D$2010,$C$7,'LAC 102_Wkst'!$I$7:$I$2010,$C$9,'LAC 102_Wkst'!$E$7:$E$2010,$C48,'LAC 102_Wkst'!$G$7:$G$2010,$D48,'LAC 102_Wkst'!$L$7:$L$2010,"06",'LAC 102_Wkst'!$N$7:$N$2010,"P1")</f>
        <v>0</v>
      </c>
      <c r="T48" s="410">
        <f>SUMIFS('LAC 102_Wkst'!$Q$7:$Q$2010,'LAC 102_Wkst'!$D$7:$D$2010,$C$7,'LAC 102_Wkst'!$I$7:$I$2010,$C$9,'LAC 102_Wkst'!$E$7:$E$2010,$C48,'LAC 102_Wkst'!$G$7:$G$2010,$D48,'LAC 102_Wkst'!$L$7:$L$2010,"05",'LAC 102_Wkst'!$N$7:$N$2010,"P2")+SUMIFS('LAC 102_Wkst'!$Q$7:$Q$2010,'LAC 102_Wkst'!$D$7:$D$2010,$C$7,'LAC 102_Wkst'!$I$7:$I$2010,$C$9,'LAC 102_Wkst'!$E$7:$E$2010,$C48,'LAC 102_Wkst'!$G$7:$G$2010,$D48,'LAC 102_Wkst'!$L$7:$L$2010,"06",'LAC 102_Wkst'!$N$7:$N$2010,"P2")+SUMIFS('LAC 102_Wkst'!$Q$7:$Q$2010,'LAC 102_Wkst'!$D$7:$D$2010,$C$7,'LAC 102_Wkst'!$I$7:$I$2010,$C$9,'LAC 102_Wkst'!$E$7:$E$2010,$C48,'LAC 102_Wkst'!$G$7:$G$2010,$D48,'LAC 102_Wkst'!$L$7:$L$2010,"05",'LAC 102_Wkst'!$N$7:$N$2010,"P3")+SUMIFS('LAC 102_Wkst'!$Q$7:$Q$2010,'LAC 102_Wkst'!$D$7:$D$2010,$C$7,'LAC 102_Wkst'!$I$7:$I$2010,$C$9,'LAC 102_Wkst'!$E$7:$E$2010,$C48,'LAC 102_Wkst'!$G$7:$G$2010,$D48,'LAC 102_Wkst'!$L$7:$L$2010,"06",'LAC 102_Wkst'!$N$7:$N$2010,"P3")</f>
        <v>0</v>
      </c>
      <c r="U48" s="411">
        <f>SUMIFS('LAC 102_Wkst'!$AF$7:$AF$2010,'LAC 102_Wkst'!$D$7:$D$2010,$C$7,'LAC 102_Wkst'!$I$7:$I$2010,$C$9,'LAC 102_Wkst'!$E$7:$E$2010,$C48,'LAC 102_Wkst'!$G$7:$G$2010,$D48,'LAC 102_Wkst'!$L$7:$L$2010,"05",'LAC 102_Wkst'!$N$7:$N$2010,"P2")+SUMIFS('LAC 102_Wkst'!$AF$7:$AF$2010,'LAC 102_Wkst'!$D$7:$D$2010,$C$7,'LAC 102_Wkst'!$I$7:$I$2010,$C$9,'LAC 102_Wkst'!$E$7:$E$2010,$C48,'LAC 102_Wkst'!$G$7:$G$2010,$D48,'LAC 102_Wkst'!$L$7:$L$2010,"06",'LAC 102_Wkst'!$N$7:$N$2010,"P2")+SUMIFS('LAC 102_Wkst'!$AF$7:$AF$2010,'LAC 102_Wkst'!$D$7:$D$2010,$C$7,'LAC 102_Wkst'!$I$7:$I$2010,$C$9,'LAC 102_Wkst'!$E$7:$E$2010,$C48,'LAC 102_Wkst'!$G$7:$G$2010,$D48,'LAC 102_Wkst'!$L$7:$L$2010,"05",'LAC 102_Wkst'!$N$7:$N$2010,"P3")+SUMIFS('LAC 102_Wkst'!$AF$7:$AF$2010,'LAC 102_Wkst'!$D$7:$D$2010,$C$7,'LAC 102_Wkst'!$I$7:$I$2010,$C$9,'LAC 102_Wkst'!$E$7:$E$2010,$C48,'LAC 102_Wkst'!$G$7:$G$2010,$D48,'LAC 102_Wkst'!$L$7:$L$2010,"06",'LAC 102_Wkst'!$N$7:$N$2010,"P3")</f>
        <v>0</v>
      </c>
      <c r="V48" s="410">
        <f>SUMIFS('LAC 102_Wkst'!$Q$7:$Q$2010,'LAC 102_Wkst'!$D$7:$D$2010,$C$7,'LAC 102_Wkst'!$I$7:$I$2010,$C$9,'LAC 102_Wkst'!$E$7:$E$2010,$C48,'LAC 102_Wkst'!$G$7:$G$2010,$D48,'LAC 102_Wkst'!$L$7:$L$2010,"05",'LAC 102_Wkst'!$N$7:$N$2010,"P4")+SUMIFS('LAC 102_Wkst'!$Q$7:$Q$2010,'LAC 102_Wkst'!$D$7:$D$2010,$C$7,'LAC 102_Wkst'!$I$7:$I$2010,$C$9,'LAC 102_Wkst'!$E$7:$E$2010,$C48,'LAC 102_Wkst'!$G$7:$G$2010,$D48,'LAC 102_Wkst'!$L$7:$L$2010,"06",'LAC 102_Wkst'!$N$7:$N$2010,"P4")</f>
        <v>0</v>
      </c>
      <c r="W48" s="411">
        <f>SUMIFS('LAC 102_Wkst'!$AF$7:$AF$2010,'LAC 102_Wkst'!$D$7:$D$2010,$C$7,'LAC 102_Wkst'!$I$7:$I$2010,$C$9,'LAC 102_Wkst'!$E$7:$E$2010,$C48,'LAC 102_Wkst'!$G$7:$G$2010,$D48,'LAC 102_Wkst'!$L$7:$L$2010,"05",'LAC 102_Wkst'!$N$7:$N$2010,"P4")+SUMIFS('LAC 102_Wkst'!$AF$7:$AF$2010,'LAC 102_Wkst'!$D$7:$D$2010,$C$7,'LAC 102_Wkst'!$I$7:$I$2010,$C$9,'LAC 102_Wkst'!$E$7:$E$2010,$C48,'LAC 102_Wkst'!$G$7:$G$2010,$D48,'LAC 102_Wkst'!$L$7:$L$2010,"06",'LAC 102_Wkst'!$N$7:$N$2010,"P4")</f>
        <v>0</v>
      </c>
      <c r="X48" s="410">
        <f>SUMIFS('LAC 102_Wkst'!$Q$7:$Q$2010,'LAC 102_Wkst'!$D$7:$D$2010,$C$7,'LAC 102_Wkst'!$I$7:$I$2010,$C$9,'LAC 102_Wkst'!$E$7:$E$2010,$C48,'LAC 102_Wkst'!$G$7:$G$2010,$D48,'LAC 102_Wkst'!$L$7:$L$2010,"05",'LAC 102_Wkst'!$N$7:$N$2010,"P5")+SUMIFS('LAC 102_Wkst'!$Q$7:$Q$2010,'LAC 102_Wkst'!$D$7:$D$2010,$C$7,'LAC 102_Wkst'!$I$7:$I$2010,$C$9,'LAC 102_Wkst'!$E$7:$E$2010,$C48,'LAC 102_Wkst'!$G$7:$G$2010,$D48,'LAC 102_Wkst'!$L$7:$L$2010,"06",'LAC 102_Wkst'!$N$7:$N$2010,"P5")</f>
        <v>0</v>
      </c>
      <c r="Y48" s="411">
        <f>SUMIFS('LAC 102_Wkst'!$AF$7:$AF$2010,'LAC 102_Wkst'!$D$7:$D$2010,$C$7,'LAC 102_Wkst'!$I$7:$I$2010,$C$9,'LAC 102_Wkst'!$E$7:$E$2010,$C48,'LAC 102_Wkst'!$G$7:$G$2010,$D48,'LAC 102_Wkst'!$L$7:$L$2010,"05",'LAC 102_Wkst'!$N$7:$N$2010,"P5")+SUMIFS('LAC 102_Wkst'!$AF$7:$AF$2010,'LAC 102_Wkst'!$D$7:$D$2010,$C$7,'LAC 102_Wkst'!$I$7:$I$2010,$C$9,'LAC 102_Wkst'!$E$7:$E$2010,$C48,'LAC 102_Wkst'!$G$7:$G$2010,$D48,'LAC 102_Wkst'!$L$7:$L$2010,"06",'LAC 102_Wkst'!$N$7:$N$2010,"P5")</f>
        <v>0</v>
      </c>
      <c r="Z48" s="410">
        <f>SUMIFS('LAC 102_Wkst'!$Q$7:$Q$2010,'LAC 102_Wkst'!$D$7:$D$2010,$C$7,'LAC 102_Wkst'!$I$7:$I$2010,$C$9,'LAC 102_Wkst'!$E$7:$E$2010,$C48,'LAC 102_Wkst'!$G$7:$G$2010,$D48,'LAC 102_Wkst'!$L$7:$L$2010,"07",'LAC 102_Wkst'!$N$7:$N$2010,"P1")+SUMIFS('LAC 102_Wkst'!$Q$7:$Q$2010,'LAC 102_Wkst'!$D$7:$D$2010,$C$7,'LAC 102_Wkst'!$I$7:$I$2010,$C$9,'LAC 102_Wkst'!$E$7:$E$2010,$C48,'LAC 102_Wkst'!$G$7:$G$2010,$D48,'LAC 102_Wkst'!$L$7:$L$2010,"07",'LAC 102_Wkst'!$N$7:$N$2010,"P2")+SUMIFS('LAC 102_Wkst'!$Q$7:$Q$2010,'LAC 102_Wkst'!$D$7:$D$2010,$C$7,'LAC 102_Wkst'!$I$7:$I$2010,$C$9,'LAC 102_Wkst'!$E$7:$E$2010,$C48,'LAC 102_Wkst'!$G$7:$G$2010,$D48,'LAC 102_Wkst'!$L$7:$L$2010,"07",'LAC 102_Wkst'!$N$7:$N$2010,"P3")</f>
        <v>0</v>
      </c>
      <c r="AA48" s="411">
        <f>SUMIFS('LAC 102_Wkst'!$AF$7:$AF$2010,'LAC 102_Wkst'!$D$7:$D$2010,$C$7,'LAC 102_Wkst'!$I$7:$I$2010,$C$9,'LAC 102_Wkst'!$E$7:$E$2010,$C48,'LAC 102_Wkst'!$G$7:$G$2010,$D48,'LAC 102_Wkst'!$L$7:$L$2010,"07",'LAC 102_Wkst'!$N$7:$N$2010,"P1")+SUMIFS('LAC 102_Wkst'!$AF$7:$AF$2010,'LAC 102_Wkst'!$D$7:$D$2010,$C$7,'LAC 102_Wkst'!$I$7:$I$2010,$C$9,'LAC 102_Wkst'!$E$7:$E$2010,$C48,'LAC 102_Wkst'!$G$7:$G$2010,$D48,'LAC 102_Wkst'!$L$7:$L$2010,"07",'LAC 102_Wkst'!$N$7:$N$2010,"P2")+SUMIFS('LAC 102_Wkst'!$AF$7:$AF$2010,'LAC 102_Wkst'!$D$7:$D$2010,$C$7,'LAC 102_Wkst'!$I$7:$I$2010,$C$9,'LAC 102_Wkst'!$E$7:$E$2010,$C48,'LAC 102_Wkst'!$G$7:$G$2010,$D48,'LAC 102_Wkst'!$L$7:$L$2010,"07",'LAC 102_Wkst'!$N$7:$N$2010,"P3")</f>
        <v>0</v>
      </c>
      <c r="AB48" s="410">
        <f>SUMIFS('LAC 102_Wkst'!$Q$7:$Q$2010,'LAC 102_Wkst'!$D$7:$D$2010,$C$7,'LAC 102_Wkst'!$I$7:$I$2010,$C$9,'LAC 102_Wkst'!$E$7:$E$2010,$C48,'LAC 102_Wkst'!$G$7:$G$2010,$D48,'LAC 102_Wkst'!$L$7:$L$2010,"07",'LAC 102_Wkst'!$N$7:$N$2010,"P4")</f>
        <v>0</v>
      </c>
      <c r="AC48" s="411">
        <f>SUMIFS('LAC 102_Wkst'!$AF$7:$AF$2010,'LAC 102_Wkst'!$D$7:$D$2010,$C$7,'LAC 102_Wkst'!$I$7:$I$2010,$C$9,'LAC 102_Wkst'!$E$7:$E$2010,$C48,'LAC 102_Wkst'!$G$7:$G$2010,$D48,'LAC 102_Wkst'!$L$7:$L$2010,"07",'LAC 102_Wkst'!$N$7:$N$2010,"P4")</f>
        <v>0</v>
      </c>
      <c r="AD48" s="410">
        <f>SUMIFS('LAC 102_Wkst'!$Q$7:$Q$2010,'LAC 102_Wkst'!$D$7:$D$2010,$C$7,'LAC 102_Wkst'!$I$7:$I$2010,$C$9,'LAC 102_Wkst'!$E$7:$E$2010,$C48,'LAC 102_Wkst'!$G$7:$G$2010,$D48,'LAC 102_Wkst'!$L$7:$L$2010,"07",'LAC 102_Wkst'!$N$7:$N$2010,"P5")</f>
        <v>0</v>
      </c>
      <c r="AE48" s="411">
        <f>SUMIFS('LAC 102_Wkst'!$AF$7:$AF$2010,'LAC 102_Wkst'!$D$7:$D$2010,$C$7,'LAC 102_Wkst'!$I$7:$I$2010,$C$9,'LAC 102_Wkst'!$E$7:$E$2010,$C48,'LAC 102_Wkst'!$G$7:$G$2010,$D48,'LAC 102_Wkst'!$L$7:$L$2010,"07",'LAC 102_Wkst'!$N$7:$N$2010,"P5")</f>
        <v>0</v>
      </c>
      <c r="AF48" s="410">
        <f>SUMIFS('LAC 102_Wkst'!$Q$7:$Q$2010,'LAC 102_Wkst'!$D$7:$D$2010,$C$7,'LAC 102_Wkst'!$I$7:$I$2010,$C$9,'LAC 102_Wkst'!$E$7:$E$2010,$C48,'LAC 102_Wkst'!$G$7:$G$2010,$D48,'LAC 102_Wkst'!$L$7:$L$2010,"08",'LAC 102_Wkst'!$N$7:$N$2010,"P1")+SUMIFS('LAC 102_Wkst'!$Q$7:$Q$2010,'LAC 102_Wkst'!$D$7:$D$2010,$C$7,'LAC 102_Wkst'!$I$7:$I$2010,$C$9,'LAC 102_Wkst'!$E$7:$E$2010,$C48,'LAC 102_Wkst'!$G$7:$G$2010,$D48,'LAC 102_Wkst'!$L$7:$L$2010,"08",'LAC 102_Wkst'!$N$7:$N$2010,"P2")+SUMIFS('LAC 102_Wkst'!$Q$7:$Q$2010,'LAC 102_Wkst'!$D$7:$D$2010,$C$7,'LAC 102_Wkst'!$I$7:$I$2010,$C$9,'LAC 102_Wkst'!$E$7:$E$2010,$C48,'LAC 102_Wkst'!$G$7:$G$2010,$D48,'LAC 102_Wkst'!$L$7:$L$2010,"08",'LAC 102_Wkst'!$N$7:$N$2010,"P3")</f>
        <v>0</v>
      </c>
      <c r="AG48" s="411">
        <f>SUMIFS('LAC 102_Wkst'!$AF$7:$AF$2010,'LAC 102_Wkst'!$D$7:$D$2010,$C$7,'LAC 102_Wkst'!$I$7:$I$2010,$C$9,'LAC 102_Wkst'!$E$7:$E$2010,$C48,'LAC 102_Wkst'!$G$7:$G$2010,$D48,'LAC 102_Wkst'!$L$7:$L$2010,"08",'LAC 102_Wkst'!$N$7:$N$2010,"P1")+SUMIFS('LAC 102_Wkst'!$AF$7:$AF$2010,'LAC 102_Wkst'!$D$7:$D$2010,$C$7,'LAC 102_Wkst'!$I$7:$I$2010,$C$9,'LAC 102_Wkst'!$E$7:$E$2010,$C48,'LAC 102_Wkst'!$G$7:$G$2010,$D48,'LAC 102_Wkst'!$L$7:$L$2010,"08",'LAC 102_Wkst'!$N$7:$N$2010,"P2")+SUMIFS('LAC 102_Wkst'!$AF$7:$AF$2010,'LAC 102_Wkst'!$D$7:$D$2010,$C$7,'LAC 102_Wkst'!$I$7:$I$2010,$C$9,'LAC 102_Wkst'!$E$7:$E$2010,$C48,'LAC 102_Wkst'!$G$7:$G$2010,$D48,'LAC 102_Wkst'!$L$7:$L$2010,"08",'LAC 102_Wkst'!$N$7:$N$2010,"P3")</f>
        <v>0</v>
      </c>
      <c r="AH48" s="410">
        <f>SUMIFS('LAC 102_Wkst'!$Q$7:$Q$2010,'LAC 102_Wkst'!$D$7:$D$2010,$C$7,'LAC 102_Wkst'!$I$7:$I$2010,$C$9,'LAC 102_Wkst'!$E$7:$E$2010,$C48,'LAC 102_Wkst'!$G$7:$G$2010,$D48,'LAC 102_Wkst'!$L$7:$L$2010,"08",'LAC 102_Wkst'!$N$7:$N$2010,"P4")</f>
        <v>0</v>
      </c>
      <c r="AI48" s="411">
        <f>SUMIFS('LAC 102_Wkst'!$AF$7:$AF$2010,'LAC 102_Wkst'!$D$7:$D$2010,$C$7,'LAC 102_Wkst'!$I$7:$I$2010,$C$9,'LAC 102_Wkst'!$E$7:$E$2010,$C48,'LAC 102_Wkst'!$G$7:$G$2010,$D48,'LAC 102_Wkst'!$L$7:$L$2010,"08",'LAC 102_Wkst'!$N$7:$N$2010,"P4")</f>
        <v>0</v>
      </c>
      <c r="AJ48" s="410">
        <f>SUMIFS('LAC 102_Wkst'!$Q$7:$Q$2010,'LAC 102_Wkst'!$D$7:$D$2010,$C$7,'LAC 102_Wkst'!$I$7:$I$2010,$C$9,'LAC 102_Wkst'!$E$7:$E$2010,$C48,'LAC 102_Wkst'!$G$7:$G$2010,$D48,'LAC 102_Wkst'!$L$7:$L$2010,"08",'LAC 102_Wkst'!$N$7:$N$2010,"P5")</f>
        <v>0</v>
      </c>
      <c r="AK48" s="411">
        <f>SUMIFS('LAC 102_Wkst'!$AF$7:$AF$2010,'LAC 102_Wkst'!$D$7:$D$2010,$C$7,'LAC 102_Wkst'!$I$7:$I$2010,$C$9,'LAC 102_Wkst'!$E$7:$E$2010,$C48,'LAC 102_Wkst'!$G$7:$G$2010,$D48,'LAC 102_Wkst'!$L$7:$L$2010,"08",'LAC 102_Wkst'!$N$7:$N$2010,"P5")</f>
        <v>0</v>
      </c>
      <c r="AL48" s="410">
        <f>SUMIFS('LAC 102_Wkst'!$Q$7:$Q$2010,'LAC 102_Wkst'!$D$7:$D$2010,$C$7,'LAC 102_Wkst'!$I$7:$I$2010,$C$9,'LAC 102_Wkst'!$E$7:$E$2010,$C48,'LAC 102_Wkst'!$G$7:$G$2010,$D48,'LAC 102_Wkst'!$L$7:$L$2010,"09",'LAC 102_Wkst'!$N$7:$N$2010,"P1")+SUMIFS('LAC 102_Wkst'!$Q$7:$Q$2010,'LAC 102_Wkst'!$D$7:$D$2010,$C$7,'LAC 102_Wkst'!$I$7:$I$2010,$C$9,'LAC 102_Wkst'!$E$7:$E$2010,$C48,'LAC 102_Wkst'!$G$7:$G$2010,$D48,'LAC 102_Wkst'!$L$7:$L$2010,"09",'LAC 102_Wkst'!$N$7:$N$2010,"P2")+SUMIFS('LAC 102_Wkst'!$Q$7:$Q$2010,'LAC 102_Wkst'!$D$7:$D$2010,$C$7,'LAC 102_Wkst'!$I$7:$I$2010,$C$9,'LAC 102_Wkst'!$E$7:$E$2010,$C48,'LAC 102_Wkst'!$G$7:$G$2010,$D48,'LAC 102_Wkst'!$L$7:$L$2010,"09",'LAC 102_Wkst'!$N$7:$N$2010,"P3")+SUMIFS('LAC 102_Wkst'!$Q$7:$Q$2010,'LAC 102_Wkst'!$D$7:$D$2010,$C$7,'LAC 102_Wkst'!$I$7:$I$2010,$C$9,'LAC 102_Wkst'!$E$7:$E$2010,$C48,'LAC 102_Wkst'!$G$7:$G$2010,$D48,'LAC 102_Wkst'!$L$7:$L$2010,"09",'LAC 102_Wkst'!$N$7:$N$2010,"P4")</f>
        <v>0</v>
      </c>
      <c r="AM48" s="411">
        <f>SUMIFS('LAC 102_Wkst'!$AF$7:$AF$2010,'LAC 102_Wkst'!$D$7:$D$2010,$C$7,'LAC 102_Wkst'!$I$7:$I$2010,$C$9,'LAC 102_Wkst'!$E$7:$E$2010,$C48,'LAC 102_Wkst'!$G$7:$G$2010,$D48,'LAC 102_Wkst'!$L$7:$L$2010,"09",'LAC 102_Wkst'!$N$7:$N$2010,"P1")+SUMIFS('LAC 102_Wkst'!$AF$7:$AF$2010,'LAC 102_Wkst'!$D$7:$D$2010,$C$7,'LAC 102_Wkst'!$I$7:$I$2010,$C$9,'LAC 102_Wkst'!$E$7:$E$2010,$C48,'LAC 102_Wkst'!$G$7:$G$2010,$D48,'LAC 102_Wkst'!$L$7:$L$2010,"09",'LAC 102_Wkst'!$N$7:$N$2010,"P2")+SUMIFS('LAC 102_Wkst'!$AF$7:$AF$2010,'LAC 102_Wkst'!$D$7:$D$2010,$C$7,'LAC 102_Wkst'!$I$7:$I$2010,$C$9,'LAC 102_Wkst'!$E$7:$E$2010,$C48,'LAC 102_Wkst'!$G$7:$G$2010,$D48,'LAC 102_Wkst'!$L$7:$L$2010,"09",'LAC 102_Wkst'!$N$7:$N$2010,"P3")+SUMIFS('LAC 102_Wkst'!$AF$7:$AF$2010,'LAC 102_Wkst'!$D$7:$D$2010,$C$7,'LAC 102_Wkst'!$I$7:$I$2010,$C$9,'LAC 102_Wkst'!$E$7:$E$2010,$C48,'LAC 102_Wkst'!$G$7:$G$2010,$D48,'LAC 102_Wkst'!$L$7:$L$2010,"09",'LAC 102_Wkst'!$N$7:$N$2010,"P4")</f>
        <v>0</v>
      </c>
      <c r="AN48" s="410">
        <f>SUMIFS('LAC 102_Wkst'!$Q$7:$Q$2010,'LAC 102_Wkst'!$D$7:$D$2010,$C$7,'LAC 102_Wkst'!$I$7:$I$2010,$C$9,'LAC 102_Wkst'!$E$7:$E$2010,$C48,'LAC 102_Wkst'!$G$7:$G$2010,$D48,'LAC 102_Wkst'!$L$7:$L$2010,"09",'LAC 102_Wkst'!$N$7:$N$2010,"P5")</f>
        <v>0</v>
      </c>
      <c r="AO48" s="411">
        <f>SUMIFS('LAC 102_Wkst'!$AF$7:$AF$2010,'LAC 102_Wkst'!$D$7:$D$2010,$C$7,'LAC 102_Wkst'!$I$7:$I$2010,$C$9,'LAC 102_Wkst'!$E$7:$E$2010,$C48,'LAC 102_Wkst'!$G$7:$G$2010,$D48,'LAC 102_Wkst'!$L$7:$L$2010,"09",'LAC 102_Wkst'!$N$7:$N$2010,"P5")</f>
        <v>0</v>
      </c>
      <c r="AP48" s="410">
        <f>SUMIFS('LAC 102_Wkst'!$Q$7:$Q$2010,'LAC 102_Wkst'!$D$7:$D$2010,$C$7,'LAC 102_Wkst'!$I$7:$I$2010,$C$9,'LAC 102_Wkst'!$E$7:$E$2010,$C48,'LAC 102_Wkst'!$G$7:$G$2010,$D48,'LAC 102_Wkst'!$L$7:$L$2010,"10",'LAC 102_Wkst'!$N$7:$N$2010,"P1")+SUMIFS('LAC 102_Wkst'!$Q$7:$Q$2010,'LAC 102_Wkst'!$D$7:$D$2010,$C$7,'LAC 102_Wkst'!$I$7:$I$2010,$C$9,'LAC 102_Wkst'!$E$7:$E$2010,$C48,'LAC 102_Wkst'!$G$7:$G$2010,$D48,'LAC 102_Wkst'!$L$7:$L$2010,"10",'LAC 102_Wkst'!$N$7:$N$2010,"P2")+SUMIFS('LAC 102_Wkst'!$Q$7:$Q$2010,'LAC 102_Wkst'!$D$7:$D$2010,$C$7,'LAC 102_Wkst'!$I$7:$I$2010,$C$9,'LAC 102_Wkst'!$E$7:$E$2010,$C48,'LAC 102_Wkst'!$G$7:$G$2010,$D48,'LAC 102_Wkst'!$L$7:$L$2010,"10",'LAC 102_Wkst'!$N$7:$N$2010,"P3")+SUMIFS('LAC 102_Wkst'!$Q$7:$Q$2010,'LAC 102_Wkst'!$D$7:$D$2010,$C$7,'LAC 102_Wkst'!$I$7:$I$2010,$C$9,'LAC 102_Wkst'!$E$7:$E$2010,$C48,'LAC 102_Wkst'!$G$7:$G$2010,$D48,'LAC 102_Wkst'!$L$7:$L$2010,"10",'LAC 102_Wkst'!$N$7:$N$2010,"P4")</f>
        <v>0</v>
      </c>
      <c r="AQ48" s="411">
        <f>SUMIFS('LAC 102_Wkst'!$AF$7:$AF$2010,'LAC 102_Wkst'!$D$7:$D$2010,$C$7,'LAC 102_Wkst'!$I$7:$I$2010,$C$9,'LAC 102_Wkst'!$E$7:$E$2010,$C48,'LAC 102_Wkst'!$G$7:$G$2010,$D48,'LAC 102_Wkst'!$L$7:$L$2010,"10",'LAC 102_Wkst'!$N$7:$N$2010,"P1")+SUMIFS('LAC 102_Wkst'!$AF$7:$AF$2010,'LAC 102_Wkst'!$D$7:$D$2010,$C$7,'LAC 102_Wkst'!$I$7:$I$2010,$C$9,'LAC 102_Wkst'!$E$7:$E$2010,$C48,'LAC 102_Wkst'!$G$7:$G$2010,$D48,'LAC 102_Wkst'!$L$7:$L$2010,"10",'LAC 102_Wkst'!$N$7:$N$2010,"P2")+SUMIFS('LAC 102_Wkst'!$AF$7:$AF$2010,'LAC 102_Wkst'!$D$7:$D$2010,$C$7,'LAC 102_Wkst'!$I$7:$I$2010,$C$9,'LAC 102_Wkst'!$E$7:$E$2010,$C48,'LAC 102_Wkst'!$G$7:$G$2010,$D48,'LAC 102_Wkst'!$L$7:$L$2010,"10",'LAC 102_Wkst'!$N$7:$N$2010,"P3")+SUMIFS('LAC 102_Wkst'!$AF$7:$AF$2010,'LAC 102_Wkst'!$D$7:$D$2010,$C$7,'LAC 102_Wkst'!$I$7:$I$2010,$C$9,'LAC 102_Wkst'!$E$7:$E$2010,$C48,'LAC 102_Wkst'!$G$7:$G$2010,$D48,'LAC 102_Wkst'!$L$7:$L$2010,"10",'LAC 102_Wkst'!$N$7:$N$2010,"P4")</f>
        <v>0</v>
      </c>
      <c r="AR48" s="410">
        <f>SUMIFS('LAC 102_Wkst'!$Q$7:$Q$2010,'LAC 102_Wkst'!$D$7:$D$2010,$C$7,'LAC 102_Wkst'!$I$7:$I$2010,$C$9,'LAC 102_Wkst'!$E$7:$E$2010,$C48,'LAC 102_Wkst'!$G$7:$G$2010,$D48,'LAC 102_Wkst'!$L$7:$L$2010,"10",'LAC 102_Wkst'!$N$7:$N$2010,"P5")</f>
        <v>0</v>
      </c>
      <c r="AS48" s="411">
        <f>SUMIFS('LAC 102_Wkst'!$AF$7:$AF$2010,'LAC 102_Wkst'!$D$7:$D$2010,$C$7,'LAC 102_Wkst'!$I$7:$I$2010,$C$9,'LAC 102_Wkst'!$E$7:$E$2010,$C48,'LAC 102_Wkst'!$G$7:$G$2010,$D48,'LAC 102_Wkst'!$L$7:$L$2010,"10",'LAC 102_Wkst'!$N$7:$N$2010,"P5")</f>
        <v>0</v>
      </c>
      <c r="AT48" s="410">
        <f>SUMIFS('LAC 102_Wkst'!$Q$7:$Q$2010,'LAC 102_Wkst'!$D$7:$D$2010,$C$7,'LAC 102_Wkst'!$I$7:$I$2010,$C$9,'LAC 102_Wkst'!$E$7:$E$2010,$C48,'LAC 102_Wkst'!$G$7:$G$2010,$D48,'LAC 102_Wkst'!$L$7:$L$2010,"11",'LAC 102_Wkst'!$N$7:$N$2010,"P1")+SUMIFS('LAC 102_Wkst'!$Q$7:$Q$2010,'LAC 102_Wkst'!$D$7:$D$2010,$C$7,'LAC 102_Wkst'!$I$7:$I$2010,$C$9,'LAC 102_Wkst'!$E$7:$E$2010,$C48,'LAC 102_Wkst'!$G$7:$G$2010,$D48,'LAC 102_Wkst'!$L$7:$L$2010,"12",'LAC 102_Wkst'!$N$7:$N$2010,"P1")</f>
        <v>0</v>
      </c>
      <c r="AU48" s="411">
        <f>SUMIFS('LAC 102_Wkst'!$Q$7:$Q$2010,'LAC 102_Wkst'!$D$7:$D$2010,$C$7,'LAC 102_Wkst'!$I$7:$I$2010,$C$9,'LAC 102_Wkst'!$E$7:$E$2010,$C48,'LAC 102_Wkst'!$G$7:$G$2010,$D48,'LAC 102_Wkst'!$L$7:$L$2010,"13",'LAC 102_Wkst'!$N$7:$N$2010,"P5")</f>
        <v>0</v>
      </c>
      <c r="AV48" s="410">
        <f>SUMIFS('LAC 102_Wkst'!$Q$7:$Q$2010,'LAC 102_Wkst'!$D$7:$D$2010,$C$7,'LAC 102_Wkst'!$I$7:$I$2010,$C$9,'LAC 102_Wkst'!$E$7:$E$2010,$C48,'LAC 102_Wkst'!$G$7:$G$2010,$D48,'LAC 102_Wkst'!$L$7:$L$2010,"11",'LAC 102_Wkst'!$N$7:$N$2010,"P2")+SUMIFS('LAC 102_Wkst'!$Q$7:$Q$2010,'LAC 102_Wkst'!$D$7:$D$2010,$C$7,'LAC 102_Wkst'!$I$7:$I$2010,$C$9,'LAC 102_Wkst'!$E$7:$E$2010,$C48,'LAC 102_Wkst'!$G$7:$G$2010,$D48,'LAC 102_Wkst'!$L$7:$L$2010,"12",'LAC 102_Wkst'!$N$7:$N$2010,"P2")+SUMIFS('LAC 102_Wkst'!$Q$7:$Q$2010,'LAC 102_Wkst'!$D$7:$D$2010,$C$7,'LAC 102_Wkst'!$I$7:$I$2010,$C$9,'LAC 102_Wkst'!$E$7:$E$2010,$C48,'LAC 102_Wkst'!$G$7:$G$2010,$D48,'LAC 102_Wkst'!$L$7:$L$2010,"11",'LAC 102_Wkst'!$N$7:$N$2010,"P3")+SUMIFS('LAC 102_Wkst'!$Q$7:$Q$2010,'LAC 102_Wkst'!$D$7:$D$2010,$C$7,'LAC 102_Wkst'!$I$7:$I$2010,$C$9,'LAC 102_Wkst'!$E$7:$E$2010,$C48,'LAC 102_Wkst'!$G$7:$G$2010,$D48,'LAC 102_Wkst'!$L$7:$L$2010,"12",'LAC 102_Wkst'!$N$7:$N$2010,"P3")</f>
        <v>0</v>
      </c>
      <c r="AW48" s="411">
        <f>SUMIFS('LAC 102_Wkst'!$AF$7:$AF$2010,'LAC 102_Wkst'!$D$7:$D$2010,$C$7,'LAC 102_Wkst'!$I$7:$I$2010,$C$9,'LAC 102_Wkst'!$E$7:$E$2010,$C48,'LAC 102_Wkst'!$G$7:$G$2010,$D48,'LAC 102_Wkst'!$L$7:$L$2010,"11",'LAC 102_Wkst'!$N$7:$N$2010,"P2")+SUMIFS('LAC 102_Wkst'!$AF$7:$AF$2010,'LAC 102_Wkst'!$D$7:$D$2010,$C$7,'LAC 102_Wkst'!$I$7:$I$2010,$C$9,'LAC 102_Wkst'!$E$7:$E$2010,$C48,'LAC 102_Wkst'!$G$7:$G$2010,$D48,'LAC 102_Wkst'!$L$7:$L$2010,"12",'LAC 102_Wkst'!$N$7:$N$2010,"P2")+SUMIFS('LAC 102_Wkst'!$AF$7:$AF$2010,'LAC 102_Wkst'!$D$7:$D$2010,$C$7,'LAC 102_Wkst'!$I$7:$I$2010,$C$9,'LAC 102_Wkst'!$E$7:$E$2010,$C48,'LAC 102_Wkst'!$G$7:$G$2010,$D48,'LAC 102_Wkst'!$L$7:$L$2010,"11",'LAC 102_Wkst'!$N$7:$N$2010,"P3")+SUMIFS('LAC 102_Wkst'!$AF$7:$AF$2010,'LAC 102_Wkst'!$D$7:$D$2010,$C$7,'LAC 102_Wkst'!$I$7:$I$2010,$C$9,'LAC 102_Wkst'!$E$7:$E$2010,$C48,'LAC 102_Wkst'!$G$7:$G$2010,$D48,'LAC 102_Wkst'!$L$7:$L$2010,"12",'LAC 102_Wkst'!$N$7:$N$2010,"P3")</f>
        <v>0</v>
      </c>
      <c r="AX48" s="410">
        <f>SUMIFS('LAC 102_Wkst'!$Q$7:$Q$2010,'LAC 102_Wkst'!$D$7:$D$2010,$C$7,'LAC 102_Wkst'!$I$7:$I$2010,$C$9,'LAC 102_Wkst'!$E$7:$E$2010,$C48,'LAC 102_Wkst'!$G$7:$G$2010,$D48,'LAC 102_Wkst'!$L$7:$L$2010,"11",'LAC 102_Wkst'!$N$7:$N$2010,"P4")+SUMIFS('LAC 102_Wkst'!$Q$7:$Q$2010,'LAC 102_Wkst'!$D$7:$D$2010,$C$7,'LAC 102_Wkst'!$I$7:$I$2010,$C$9,'LAC 102_Wkst'!$E$7:$E$2010,$C48,'LAC 102_Wkst'!$G$7:$G$2010,$D48,'LAC 102_Wkst'!$L$7:$L$2010,"12",'LAC 102_Wkst'!$N$7:$N$2010,"P4")</f>
        <v>0</v>
      </c>
      <c r="AY48" s="411">
        <f>SUMIFS('LAC 102_Wkst'!$AF$7:$AF$2010,'LAC 102_Wkst'!$D$7:$D$2010,$C$7,'LAC 102_Wkst'!$I$7:$I$2010,$C$9,'LAC 102_Wkst'!$E$7:$E$2010,$C48,'LAC 102_Wkst'!$G$7:$G$2010,$D48,'LAC 102_Wkst'!$L$7:$L$2010,"11",'LAC 102_Wkst'!$N$7:$N$2010,"P4")+SUMIFS('LAC 102_Wkst'!$AF$7:$AF$2010,'LAC 102_Wkst'!$D$7:$D$2010,$C$7,'LAC 102_Wkst'!$I$7:$I$2010,$C$9,'LAC 102_Wkst'!$E$7:$E$2010,$C48,'LAC 102_Wkst'!$G$7:$G$2010,$D48,'LAC 102_Wkst'!$L$7:$L$2010,"12",'LAC 102_Wkst'!$N$7:$N$2010,"P4")</f>
        <v>0</v>
      </c>
      <c r="AZ48" s="410">
        <f>SUMIFS('LAC 102_Wkst'!$Q$7:$Q$2010,'LAC 102_Wkst'!$D$7:$D$2010,$C$7,'LAC 102_Wkst'!$I$7:$I$2010,$C$9,'LAC 102_Wkst'!$E$7:$E$2010,$C48,'LAC 102_Wkst'!$G$7:$G$2010,$D48,'LAC 102_Wkst'!$L$7:$L$2010,"11",'LAC 102_Wkst'!$N$7:$N$2010,"P5")+SUMIFS('LAC 102_Wkst'!$Q$7:$Q$2010,'LAC 102_Wkst'!$D$7:$D$2010,$C$7,'LAC 102_Wkst'!$I$7:$I$2010,$C$9,'LAC 102_Wkst'!$E$7:$E$2010,$C48,'LAC 102_Wkst'!$G$7:$G$2010,$D48,'LAC 102_Wkst'!$L$7:$L$2010,"12",'LAC 102_Wkst'!$N$7:$N$2010,"P5")</f>
        <v>0</v>
      </c>
      <c r="BA48" s="411">
        <f>SUMIFS('LAC 102_Wkst'!$AF$7:$AF$2010,'LAC 102_Wkst'!$D$7:$D$2010,$C$7,'LAC 102_Wkst'!$I$7:$I$2010,$C$9,'LAC 102_Wkst'!$E$7:$E$2010,$C48,'LAC 102_Wkst'!$G$7:$G$2010,$D48,'LAC 102_Wkst'!$L$7:$L$2010,"11",'LAC 102_Wkst'!$N$7:$N$2010,"P5")+SUMIFS('LAC 102_Wkst'!$AF$7:$AF$2010,'LAC 102_Wkst'!$D$7:$D$2010,$C$7,'LAC 102_Wkst'!$I$7:$I$2010,$C$9,'LAC 102_Wkst'!$E$7:$E$2010,$C48,'LAC 102_Wkst'!$G$7:$G$2010,$D48,'LAC 102_Wkst'!$L$7:$L$2010,"12",'LAC 102_Wkst'!$N$7:$N$2010,"P5")</f>
        <v>0</v>
      </c>
      <c r="BB48" s="410">
        <f>SUMIFS('LAC 102_Wkst'!$Q$7:$Q$2010,'LAC 102_Wkst'!$D$7:$D$2010,$C$7,'LAC 102_Wkst'!$I$7:$I$2010,$C$9,'LAC 102_Wkst'!$E$7:$E$2010,$C48,'LAC 102_Wkst'!$G$7:$G$2010,$D48,'LAC 102_Wkst'!$L$7:$L$2010,"13",'LAC 102_Wkst'!$N$7:$N$2010,"P1")+SUMIFS('LAC 102_Wkst'!$Q$7:$Q$2010,'LAC 102_Wkst'!$D$7:$D$2010,$C$7,'LAC 102_Wkst'!$I$7:$I$2010,$C$9,'LAC 102_Wkst'!$E$7:$E$2010,$C48,'LAC 102_Wkst'!$G$7:$G$2010,$D48,'LAC 102_Wkst'!$L$7:$L$2010,"13",'LAC 102_Wkst'!$N$7:$N$2010,"P2")+SUMIFS('LAC 102_Wkst'!$Q$7:$Q$2010,'LAC 102_Wkst'!$D$7:$D$2010,$C$7,'LAC 102_Wkst'!$I$7:$I$2010,$C$9,'LAC 102_Wkst'!$E$7:$E$2010,$C48,'LAC 102_Wkst'!$G$7:$G$2010,$D48,'LAC 102_Wkst'!$L$7:$L$2010,"13",'LAC 102_Wkst'!$N$7:$N$2010,"P3")+SUMIFS('LAC 102_Wkst'!$Q$7:$Q$2010,'LAC 102_Wkst'!$D$7:$D$2010,$C$7,'LAC 102_Wkst'!$I$7:$I$2010,$C$9,'LAC 102_Wkst'!$E$7:$E$2010,$C48,'LAC 102_Wkst'!$G$7:$G$2010,$D48,'LAC 102_Wkst'!$L$7:$L$2010,"13",'LAC 102_Wkst'!$N$7:$N$2010,"P4")</f>
        <v>0</v>
      </c>
      <c r="BC48" s="411">
        <f>SUMIFS('LAC 102_Wkst'!$AF$7:$AF$2010,'LAC 102_Wkst'!$D$7:$D$2010,$C$7,'LAC 102_Wkst'!$I$7:$I$2010,$C$9,'LAC 102_Wkst'!$E$7:$E$2010,$C48,'LAC 102_Wkst'!$G$7:$G$2010,$D48,'LAC 102_Wkst'!$L$7:$L$2010,"13",'LAC 102_Wkst'!$N$7:$N$2010,"P1")+SUMIFS('LAC 102_Wkst'!$AF$7:$AF$2010,'LAC 102_Wkst'!$D$7:$D$2010,$C$7,'LAC 102_Wkst'!$I$7:$I$2010,$C$9,'LAC 102_Wkst'!$E$7:$E$2010,$C48,'LAC 102_Wkst'!$G$7:$G$2010,$D48,'LAC 102_Wkst'!$L$7:$L$2010,"13",'LAC 102_Wkst'!$N$7:$N$2010,"P2")+SUMIFS('LAC 102_Wkst'!$AF$7:$AF$2010,'LAC 102_Wkst'!$D$7:$D$2010,$C$7,'LAC 102_Wkst'!$I$7:$I$2010,$C$9,'LAC 102_Wkst'!$E$7:$E$2010,$C48,'LAC 102_Wkst'!$G$7:$G$2010,$D48,'LAC 102_Wkst'!$L$7:$L$2010,"13",'LAC 102_Wkst'!$N$7:$N$2010,"P3")+SUMIFS('LAC 102_Wkst'!$AF$7:$AF$2010,'LAC 102_Wkst'!$D$7:$D$2010,$C$7,'LAC 102_Wkst'!$I$7:$I$2010,$C$9,'LAC 102_Wkst'!$E$7:$E$2010,$C48,'LAC 102_Wkst'!$G$7:$G$2010,$D48,'LAC 102_Wkst'!$L$7:$L$2010,"13",'LAC 102_Wkst'!$N$7:$N$2010,"P4")</f>
        <v>0</v>
      </c>
      <c r="BD48" s="410">
        <f>SUMIFS('LAC 102_Wkst'!$Q$7:$Q$2010,'LAC 102_Wkst'!$D$7:$D$2010,$C$7,'LAC 102_Wkst'!$I$7:$I$2010,$C$9,'LAC 102_Wkst'!$E$7:$E$2010,$C48,'LAC 102_Wkst'!$G$7:$G$2010,$D48,'LAC 102_Wkst'!$L$7:$L$2010,"13",'LAC 102_Wkst'!$N$7:$N$2010,"P5")</f>
        <v>0</v>
      </c>
      <c r="BE48" s="411">
        <f>SUMIFS('LAC 102_Wkst'!$AF$7:$AF$2010,'LAC 102_Wkst'!$D$7:$D$2010,$C$7,'LAC 102_Wkst'!$I$7:$I$2010,$C$9,'LAC 102_Wkst'!$E$7:$E$2010,$C48,'LAC 102_Wkst'!$G$7:$G$2010,$D48,'LAC 102_Wkst'!$L$7:$L$2010,"13",'LAC 102_Wkst'!$N$7:$N$2010,"P5")</f>
        <v>0</v>
      </c>
      <c r="BF48" s="407">
        <f t="shared" si="4"/>
        <v>0</v>
      </c>
      <c r="BG48" s="1654">
        <f>SUMIFS('LAC 102_Wkst'!$AF$7:$AF$2010,'LAC 102_Wkst'!$D$7:$D$2010,$C$7,'LAC 102_Wkst'!$I$7:$I$2010,$C$9,'LAC 102_Wkst'!$E$7:$E$2010,$C48,'LAC 102_Wkst'!$G$7:$G$2010,$D48,'LAC 102_Wkst'!$L$7:$L$2010,"14")</f>
        <v>0</v>
      </c>
    </row>
    <row r="49" spans="1:59" x14ac:dyDescent="0.2">
      <c r="A49" s="401">
        <v>27</v>
      </c>
      <c r="B49" s="1678" t="str">
        <f>IF(Schedule_B!B$46="","",Schedule_B!B$46)</f>
        <v/>
      </c>
      <c r="C49" s="1674" t="str">
        <f>IF(Schedule_B!C$46=""," ",Schedule_B!C$46)</f>
        <v xml:space="preserve"> </v>
      </c>
      <c r="D49" s="1675" t="str">
        <f>IF(Schedule_B!D$46=""," ",Schedule_B!D$46)</f>
        <v xml:space="preserve"> </v>
      </c>
      <c r="E49" s="1221">
        <f>SUMIFS('LAC 102_Wkst'!$Q$7:$Q$2010,'LAC 102_Wkst'!$D$7:$D$2010,$C$7,'LAC 102_Wkst'!$I$7:$I$2010,$C$9,'LAC 102_Wkst'!$E$7:$E$2010,$C49,'LAC 102_Wkst'!$G$7:$G$2010,$D49)</f>
        <v>0</v>
      </c>
      <c r="F49" s="408">
        <f>SUMIFS('LAC 102_Wkst'!$Q$7:$Q$2010,'LAC 102_Wkst'!$D$7:$D$2010,$C$7,'LAC 102_Wkst'!$I$7:$I$2010,$C$9,'LAC 102_Wkst'!$E$7:$E$2010,$C49,'LAC 102_Wkst'!$G$7:$G$2010,$D49,'LAC 102_Wkst'!$L$7:$L$2010,"01",'LAC 102_Wkst'!$N$7:$N$2010,"P1")+SUMIFS('LAC 102_Wkst'!$Q$7:$Q$2010,'LAC 102_Wkst'!$D$7:$D$2010,$C$7,'LAC 102_Wkst'!$I$7:$I$2010,$C$9,'LAC 102_Wkst'!$E$7:$E$2010,$C49,'LAC 102_Wkst'!$G$7:$G$2010,$D49,'LAC 102_Wkst'!$L$7:$L$2010,"01",'LAC 102_Wkst'!$N$7:$N$2010,"P2")+SUMIFS('LAC 102_Wkst'!$Q$7:$Q$2010,'LAC 102_Wkst'!$D$7:$D$2010,$C$7,'LAC 102_Wkst'!$I$7:$I$2010,$C$9,'LAC 102_Wkst'!$E$7:$E$2010,$C49,'LAC 102_Wkst'!$G$7:$G$2010,$D49,'LAC 102_Wkst'!$L$7:$L$2010,"01",'LAC 102_Wkst'!$N$7:$N$2010,"P3")+SUMIFS('LAC 102_Wkst'!$Q$7:$Q$2010,'LAC 102_Wkst'!$D$7:$D$2010,$C$7,'LAC 102_Wkst'!$I$7:$I$2010,$C$9,'LAC 102_Wkst'!$E$7:$E$2010,$C49,'LAC 102_Wkst'!$G$7:$G$2010,$D49,'LAC 102_Wkst'!$L$7:$L$2010,"02",'LAC 102_Wkst'!$N$7:$N$2010,"P1")+SUMIFS('LAC 102_Wkst'!$Q$7:$Q$2010,'LAC 102_Wkst'!$D$7:$D$2010,$C$7,'LAC 102_Wkst'!$I$7:$I$2010,$C$9,'LAC 102_Wkst'!$E$7:$E$2010,$C49,'LAC 102_Wkst'!$G$7:$G$2010,$D49,'LAC 102_Wkst'!$L$7:$L$2010,"02",'LAC 102_Wkst'!$N$7:$N$2010,"P2")+SUMIFS('LAC 102_Wkst'!$Q$7:$Q$2010,'LAC 102_Wkst'!$D$7:$D$2010,$C$7,'LAC 102_Wkst'!$I$7:$I$2010,$C$9,'LAC 102_Wkst'!$E$7:$E$2010,$C49,'LAC 102_Wkst'!$G$7:$G$2010,$D49,'LAC 102_Wkst'!$L$7:$L$2010,"02",'LAC 102_Wkst'!$N$7:$N$2010,"P3")</f>
        <v>0</v>
      </c>
      <c r="G49" s="409">
        <f>SUMIFS('LAC 102_Wkst'!$AF$7:$AF$2010,'LAC 102_Wkst'!$D$7:$D$2010,$C$7,'LAC 102_Wkst'!$I$7:$I$2010,$C$9,'LAC 102_Wkst'!$E$7:$E$2010,$C49,'LAC 102_Wkst'!$G$7:$G$2010,$D49,'LAC 102_Wkst'!$L$7:$L$2010,"01",'LAC 102_Wkst'!$N$7:$N$2010,"P1")+SUMIFS('LAC 102_Wkst'!$AF$7:$AF$2010,'LAC 102_Wkst'!$D$7:$D$2010,$C$7,'LAC 102_Wkst'!$I$7:$I$2010,$C$9,'LAC 102_Wkst'!$E$7:$E$2010,$C49,'LAC 102_Wkst'!$G$7:$G$2010,$D49,'LAC 102_Wkst'!$L$7:$L$2010,"01",'LAC 102_Wkst'!$N$7:$N$2010,"P2")+SUMIFS('LAC 102_Wkst'!$AF$7:$AF$2010,'LAC 102_Wkst'!$D$7:$D$2010,$C$7,'LAC 102_Wkst'!$I$7:$I$2010,$C$9,'LAC 102_Wkst'!$E$7:$E$2010,$C49,'LAC 102_Wkst'!$G$7:$G$2010,$D49,'LAC 102_Wkst'!$L$7:$L$2010,"01",'LAC 102_Wkst'!$N$7:$N$2010,"P3")+SUMIFS('LAC 102_Wkst'!$AF$7:$AF$2010,'LAC 102_Wkst'!$D$7:$D$2010,$C$7,'LAC 102_Wkst'!$I$7:$I$2010,$C$9,'LAC 102_Wkst'!$E$7:$E$2010,$C49,'LAC 102_Wkst'!$G$7:$G$2010,$D49,'LAC 102_Wkst'!$L$7:$L$2010,"02",'LAC 102_Wkst'!$N$7:$N$2010,"P1")+SUMIFS('LAC 102_Wkst'!$AF$7:$AF$2010,'LAC 102_Wkst'!$D$7:$D$2010,$C$7,'LAC 102_Wkst'!$I$7:$I$2010,$C$9,'LAC 102_Wkst'!$E$7:$E$2010,$C49,'LAC 102_Wkst'!$G$7:$G$2010,$D49,'LAC 102_Wkst'!$L$7:$L$2010,"02",'LAC 102_Wkst'!$N$7:$N$2010,"P2")+SUMIFS('LAC 102_Wkst'!$AF$7:$AF$2010,'LAC 102_Wkst'!$D$7:$D$2010,$C$7,'LAC 102_Wkst'!$I$7:$I$2010,$C$9,'LAC 102_Wkst'!$E$7:$E$2010,$C49,'LAC 102_Wkst'!$G$7:$G$2010,$D49,'LAC 102_Wkst'!$L$7:$L$2010,"02",'LAC 102_Wkst'!$N$7:$N$2010,"P3")</f>
        <v>0</v>
      </c>
      <c r="H49" s="410">
        <f>SUMIFS('LAC 102_Wkst'!$Q$7:$Q$2010,'LAC 102_Wkst'!$D$7:$D$2010,$C$7,'LAC 102_Wkst'!$I$7:$I$2010,$C$9,'LAC 102_Wkst'!$E$7:$E$2010,$C49,'LAC 102_Wkst'!$G$7:$G$2010,$D49,'LAC 102_Wkst'!$L$7:$L$2010,"01",'LAC 102_Wkst'!$N$7:$N$2010,"P4")+SUMIFS('LAC 102_Wkst'!$Q$7:$Q$2010,'LAC 102_Wkst'!$D$7:$D$2010,$C$7,'LAC 102_Wkst'!$I$7:$I$2010,$C$9,'LAC 102_Wkst'!$E$7:$E$2010,$C49,'LAC 102_Wkst'!$G$7:$G$2010,$D49,'LAC 102_Wkst'!$L$7:$L$2010,"02",'LAC 102_Wkst'!$N$7:$N$2010,"P4")</f>
        <v>0</v>
      </c>
      <c r="I49" s="411">
        <f>SUMIFS('LAC 102_Wkst'!$AF$7:$AF$2010,'LAC 102_Wkst'!$D$7:$D$2010,$C$7,'LAC 102_Wkst'!$I$7:$I$2010,$C$9,'LAC 102_Wkst'!$E$7:$E$2010,$C49,'LAC 102_Wkst'!$G$7:$G$2010,$D49,'LAC 102_Wkst'!$L$7:$L$2010,"01",'LAC 102_Wkst'!$N$7:$N$2010,"P4")+SUMIFS('LAC 102_Wkst'!$AF$7:$AF$2010,'LAC 102_Wkst'!$D$7:$D$2010,$C$7,'LAC 102_Wkst'!$I$7:$I$2010,$C$9,'LAC 102_Wkst'!$E$7:$E$2010,$C49,'LAC 102_Wkst'!$G$7:$G$2010,$D49,'LAC 102_Wkst'!$L$7:$L$2010,"02",'LAC 102_Wkst'!$N$7:$N$2010,"P4")</f>
        <v>0</v>
      </c>
      <c r="J49" s="410">
        <f>SUMIFS('LAC 102_Wkst'!$Q$7:$Q$2010,'LAC 102_Wkst'!$D$7:$D$2010,$C$7,'LAC 102_Wkst'!$I$7:$I$2010,$C$9,'LAC 102_Wkst'!$E$7:$E$2010,$C49,'LAC 102_Wkst'!$G$7:$G$2010,$D49,'LAC 102_Wkst'!$L$7:$L$2010,"01",'LAC 102_Wkst'!$N$7:$N$2010,"P5")+SUMIFS('LAC 102_Wkst'!$Q$7:$Q$2010,'LAC 102_Wkst'!$D$7:$D$2010,$C$7,'LAC 102_Wkst'!$I$7:$I$2010,$C$9,'LAC 102_Wkst'!$E$7:$E$2010,$C49,'LAC 102_Wkst'!$G$7:$G$2010,$D49,'LAC 102_Wkst'!$L$7:$L$2010,"02",'LAC 102_Wkst'!$N$7:$N$2010,"P5")</f>
        <v>0</v>
      </c>
      <c r="K49" s="411">
        <f>SUMIFS('LAC 102_Wkst'!$AF$7:$AF$2010,'LAC 102_Wkst'!$D$7:$D$2010,$C$7,'LAC 102_Wkst'!$I$7:$I$2010,$C$9,'LAC 102_Wkst'!$E$7:$E$2010,$C49,'LAC 102_Wkst'!$G$7:$G$2010,$D49,'LAC 102_Wkst'!$L$7:$L$2010,"01",'LAC 102_Wkst'!$N$7:$N$2010,"P5")+SUMIFS('LAC 102_Wkst'!$AF$7:$AF$2010,'LAC 102_Wkst'!$D$7:$D$2010,$C$7,'LAC 102_Wkst'!$I$7:$I$2010,$C$9,'LAC 102_Wkst'!$E$7:$E$2010,$C49,'LAC 102_Wkst'!$G$7:$G$2010,$D49,'LAC 102_Wkst'!$L$7:$L$2010,"02",'LAC 102_Wkst'!$N$7:$N$2010,"P5")</f>
        <v>0</v>
      </c>
      <c r="L49" s="410">
        <f>SUMIFS('LAC 102_Wkst'!$Q$7:$Q$2010,'LAC 102_Wkst'!$D$7:$D$2010,$C$7,'LAC 102_Wkst'!$I$7:$I$2010,$C$9,'LAC 102_Wkst'!$E$7:$E$2010,$C49,'LAC 102_Wkst'!$G$7:$G$2010,$D49,'LAC 102_Wkst'!$L$7:$L$2010,"03",'LAC 102_Wkst'!$N$7:$N$2010,"P1")+SUMIFS('LAC 102_Wkst'!$Q$7:$Q$2010,'LAC 102_Wkst'!$D$7:$D$2010,$C$7,'LAC 102_Wkst'!$I$7:$I$2010,$C$9,'LAC 102_Wkst'!$E$7:$E$2010,$C49,'LAC 102_Wkst'!$G$7:$G$2010,$D49,'LAC 102_Wkst'!$L$7:$L$2010,"03",'LAC 102_Wkst'!$N$7:$N$2010,"P2")+SUMIFS('LAC 102_Wkst'!$Q$7:$Q$2010,'LAC 102_Wkst'!$D$7:$D$2010,$C$7,'LAC 102_Wkst'!$I$7:$I$2010,$C$9,'LAC 102_Wkst'!$E$7:$E$2010,$C49,'LAC 102_Wkst'!$G$7:$G$2010,$D49,'LAC 102_Wkst'!$L$7:$L$2010,"03",'LAC 102_Wkst'!$N$7:$N$2010,"P3")+SUMIFS('LAC 102_Wkst'!$Q$7:$Q$2010,'LAC 102_Wkst'!$D$7:$D$2010,$C$7,'LAC 102_Wkst'!$I$7:$I$2010,$C$9,'LAC 102_Wkst'!$E$7:$E$2010,$C49,'LAC 102_Wkst'!$G$7:$G$2010,$D49,'LAC 102_Wkst'!$L$7:$L$2010,"04",'LAC 102_Wkst'!$N$7:$N$2010,"P1")+SUMIFS('LAC 102_Wkst'!$Q$7:$Q$2010,'LAC 102_Wkst'!$D$7:$D$2010,$C$7,'LAC 102_Wkst'!$I$7:$I$2010,$C$9,'LAC 102_Wkst'!$E$7:$E$2010,$C49,'LAC 102_Wkst'!$G$7:$G$2010,$D49,'LAC 102_Wkst'!$L$7:$L$2010,"04",'LAC 102_Wkst'!$N$7:$N$2010,"P2")+SUMIFS('LAC 102_Wkst'!$Q$7:$Q$2010,'LAC 102_Wkst'!$D$7:$D$2010,$C$7,'LAC 102_Wkst'!$I$7:$I$2010,$C$9,'LAC 102_Wkst'!$E$7:$E$2010,$C49,'LAC 102_Wkst'!$G$7:$G$2010,$D49,'LAC 102_Wkst'!$L$7:$L$2010,"04",'LAC 102_Wkst'!$N$7:$N$2010,"P3")</f>
        <v>0</v>
      </c>
      <c r="M49" s="411">
        <f>SUMIFS('LAC 102_Wkst'!$AF$7:$AF$2010,'LAC 102_Wkst'!$D$7:$D$2010,$C$7,'LAC 102_Wkst'!$I$7:$I$2010,$C$9,'LAC 102_Wkst'!$E$7:$E$2010,$C49,'LAC 102_Wkst'!$G$7:$G$2010,$D49,'LAC 102_Wkst'!$L$7:$L$2010,"03",'LAC 102_Wkst'!$N$7:$N$2010,"P1")+SUMIFS('LAC 102_Wkst'!$AF$7:$AF$2010,'LAC 102_Wkst'!$D$7:$D$2010,$C$7,'LAC 102_Wkst'!$I$7:$I$2010,$C$9,'LAC 102_Wkst'!$E$7:$E$2010,$C49,'LAC 102_Wkst'!$G$7:$G$2010,$D49,'LAC 102_Wkst'!$L$7:$L$2010,"03",'LAC 102_Wkst'!$N$7:$N$2010,"P2")+SUMIFS('LAC 102_Wkst'!$AF$7:$AF$2010,'LAC 102_Wkst'!$D$7:$D$2010,$C$7,'LAC 102_Wkst'!$I$7:$I$2010,$C$9,'LAC 102_Wkst'!$E$7:$E$2010,$C49,'LAC 102_Wkst'!$G$7:$G$2010,$D49,'LAC 102_Wkst'!$L$7:$L$2010,"03",'LAC 102_Wkst'!$N$7:$N$2010,"P3")+SUMIFS('LAC 102_Wkst'!$AF$7:$AF$2010,'LAC 102_Wkst'!$D$7:$D$2010,$C$7,'LAC 102_Wkst'!$I$7:$I$2010,$C$9,'LAC 102_Wkst'!$E$7:$E$2010,$C49,'LAC 102_Wkst'!$G$7:$G$2010,$D49,'LAC 102_Wkst'!$L$7:$L$2010,"04",'LAC 102_Wkst'!$N$7:$N$2010,"P1")+SUMIFS('LAC 102_Wkst'!$AF$7:$AF$2010,'LAC 102_Wkst'!$D$7:$D$2010,$C$7,'LAC 102_Wkst'!$I$7:$I$2010,$C$9,'LAC 102_Wkst'!$E$7:$E$2010,$C49,'LAC 102_Wkst'!$G$7:$G$2010,$D49,'LAC 102_Wkst'!$L$7:$L$2010,"04",'LAC 102_Wkst'!$N$7:$N$2010,"P2")+SUMIFS('LAC 102_Wkst'!$AF$7:$AF$2010,'LAC 102_Wkst'!$D$7:$D$2010,$C$7,'LAC 102_Wkst'!$I$7:$I$2010,$C$9,'LAC 102_Wkst'!$E$7:$E$2010,$C49,'LAC 102_Wkst'!$G$7:$G$2010,$D49,'LAC 102_Wkst'!$L$7:$L$2010,"04",'LAC 102_Wkst'!$N$7:$N$2010,"P3")</f>
        <v>0</v>
      </c>
      <c r="N49" s="410">
        <f>SUMIFS('LAC 102_Wkst'!$Q$7:$Q$2010,'LAC 102_Wkst'!$D$7:$D$2010,$C$7,'LAC 102_Wkst'!$I$7:$I$2010,$C$9,'LAC 102_Wkst'!$E$7:$E$2010,$C49,'LAC 102_Wkst'!$G$7:$G$2010,$D49,'LAC 102_Wkst'!$L$7:$L$2010,"03",'LAC 102_Wkst'!$N$7:$N$2010,"P4")+SUMIFS('LAC 102_Wkst'!$Q$7:$Q$2010,'LAC 102_Wkst'!$D$7:$D$2010,$C$7,'LAC 102_Wkst'!$I$7:$I$2010,$C$9,'LAC 102_Wkst'!$E$7:$E$2010,$C49,'LAC 102_Wkst'!$G$7:$G$2010,$D49,'LAC 102_Wkst'!$L$7:$L$2010,"04",'LAC 102_Wkst'!$N$7:$N$2010,"P4")</f>
        <v>0</v>
      </c>
      <c r="O49" s="411">
        <f>SUMIFS('LAC 102_Wkst'!$AF$7:$AF$2010,'LAC 102_Wkst'!$D$7:$D$2010,$C$7,'LAC 102_Wkst'!$I$7:$I$2010,$C$9,'LAC 102_Wkst'!$E$7:$E$2010,$C49,'LAC 102_Wkst'!$G$7:$G$2010,$D49,'LAC 102_Wkst'!$L$7:$L$2010,"03",'LAC 102_Wkst'!$N$7:$N$2010,"P4")+SUMIFS('LAC 102_Wkst'!$AF$7:$AF$2010,'LAC 102_Wkst'!$D$7:$D$2010,$C$7,'LAC 102_Wkst'!$I$7:$I$2010,$C$9,'LAC 102_Wkst'!$E$7:$E$2010,$C49,'LAC 102_Wkst'!$G$7:$G$2010,$D49,'LAC 102_Wkst'!$L$7:$L$2010,"04",'LAC 102_Wkst'!$N$7:$N$2010,"P4")</f>
        <v>0</v>
      </c>
      <c r="P49" s="410">
        <f>SUMIFS('LAC 102_Wkst'!$Q$7:$Q$2010,'LAC 102_Wkst'!$D$7:$D$2010,$C$7,'LAC 102_Wkst'!$I$7:$I$2010,$C$9,'LAC 102_Wkst'!$E$7:$E$2010,$C49,'LAC 102_Wkst'!$G$7:$G$2010,$D49,'LAC 102_Wkst'!$L$7:$L$2010,"03",'LAC 102_Wkst'!$N$7:$N$2010,"P5")+SUMIFS('LAC 102_Wkst'!$Q$7:$Q$2010,'LAC 102_Wkst'!$D$7:$D$2010,$C$7,'LAC 102_Wkst'!$I$7:$I$2010,$C$9,'LAC 102_Wkst'!$E$7:$E$2010,$C49,'LAC 102_Wkst'!$G$7:$G$2010,$D49,'LAC 102_Wkst'!$L$7:$L$2010,"04",'LAC 102_Wkst'!$N$7:$N$2010,"P5")</f>
        <v>0</v>
      </c>
      <c r="Q49" s="411">
        <f>SUMIFS('LAC 102_Wkst'!$AF$7:$AF$2010,'LAC 102_Wkst'!$D$7:$D$2010,$C$7,'LAC 102_Wkst'!$I$7:$I$2010,$C$9,'LAC 102_Wkst'!$E$7:$E$2010,$C49,'LAC 102_Wkst'!$G$7:$G$2010,$D49,'LAC 102_Wkst'!$L$7:$L$2010,"03",'LAC 102_Wkst'!$N$7:$N$2010,"P5")+SUMIFS('LAC 102_Wkst'!$AF$7:$AF$2010,'LAC 102_Wkst'!$D$7:$D$2010,$C$7,'LAC 102_Wkst'!$I$7:$I$2010,$C$9,'LAC 102_Wkst'!$E$7:$E$2010,$C49,'LAC 102_Wkst'!$G$7:$G$2010,$D49,'LAC 102_Wkst'!$L$7:$L$2010,"04",'LAC 102_Wkst'!$N$7:$N$2010,"P5")</f>
        <v>0</v>
      </c>
      <c r="R49" s="412">
        <f>SUMIFS('LAC 102_Wkst'!$Q$7:$Q$2010,'LAC 102_Wkst'!$D$7:$D$2010,$C$7,'LAC 102_Wkst'!$I$7:$I$2010,$C$9,'LAC 102_Wkst'!$E$7:$E$2010,$C49,'LAC 102_Wkst'!$G$7:$G$2010,$D49,'LAC 102_Wkst'!$L$7:$L$2010,"05",'LAC 102_Wkst'!$N$7:$N$2010,"P1")+SUMIFS('LAC 102_Wkst'!$Q$7:$Q$2010,'LAC 102_Wkst'!$D$7:$D$2010,$C$7,'LAC 102_Wkst'!$I$7:$I$2010,$C$9,'LAC 102_Wkst'!$E$7:$E$2010,$C49,'LAC 102_Wkst'!$G$7:$G$2010,$D49,'LAC 102_Wkst'!$L$7:$L$2010,"06",'LAC 102_Wkst'!$N$7:$N$2010,"P1")</f>
        <v>0</v>
      </c>
      <c r="S49" s="411">
        <f>SUMIFS('LAC 102_Wkst'!$AF$7:$AF$2010,'LAC 102_Wkst'!$D$7:$D$2010,$C$7,'LAC 102_Wkst'!$I$7:$I$2010,$C$9,'LAC 102_Wkst'!$E$7:$E$2010,$C49,'LAC 102_Wkst'!$G$7:$G$2010,$D49,'LAC 102_Wkst'!$L$7:$L$2010,"05",'LAC 102_Wkst'!$N$7:$N$2010,"P1")+SUMIFS('LAC 102_Wkst'!$AF$7:$AF$2010,'LAC 102_Wkst'!$D$7:$D$2010,$C$7,'LAC 102_Wkst'!$I$7:$I$2010,$C$9,'LAC 102_Wkst'!$E$7:$E$2010,$C49,'LAC 102_Wkst'!$G$7:$G$2010,$D49,'LAC 102_Wkst'!$L$7:$L$2010,"06",'LAC 102_Wkst'!$N$7:$N$2010,"P1")</f>
        <v>0</v>
      </c>
      <c r="T49" s="410">
        <f>SUMIFS('LAC 102_Wkst'!$Q$7:$Q$2010,'LAC 102_Wkst'!$D$7:$D$2010,$C$7,'LAC 102_Wkst'!$I$7:$I$2010,$C$9,'LAC 102_Wkst'!$E$7:$E$2010,$C49,'LAC 102_Wkst'!$G$7:$G$2010,$D49,'LAC 102_Wkst'!$L$7:$L$2010,"05",'LAC 102_Wkst'!$N$7:$N$2010,"P2")+SUMIFS('LAC 102_Wkst'!$Q$7:$Q$2010,'LAC 102_Wkst'!$D$7:$D$2010,$C$7,'LAC 102_Wkst'!$I$7:$I$2010,$C$9,'LAC 102_Wkst'!$E$7:$E$2010,$C49,'LAC 102_Wkst'!$G$7:$G$2010,$D49,'LAC 102_Wkst'!$L$7:$L$2010,"06",'LAC 102_Wkst'!$N$7:$N$2010,"P2")+SUMIFS('LAC 102_Wkst'!$Q$7:$Q$2010,'LAC 102_Wkst'!$D$7:$D$2010,$C$7,'LAC 102_Wkst'!$I$7:$I$2010,$C$9,'LAC 102_Wkst'!$E$7:$E$2010,$C49,'LAC 102_Wkst'!$G$7:$G$2010,$D49,'LAC 102_Wkst'!$L$7:$L$2010,"05",'LAC 102_Wkst'!$N$7:$N$2010,"P3")+SUMIFS('LAC 102_Wkst'!$Q$7:$Q$2010,'LAC 102_Wkst'!$D$7:$D$2010,$C$7,'LAC 102_Wkst'!$I$7:$I$2010,$C$9,'LAC 102_Wkst'!$E$7:$E$2010,$C49,'LAC 102_Wkst'!$G$7:$G$2010,$D49,'LAC 102_Wkst'!$L$7:$L$2010,"06",'LAC 102_Wkst'!$N$7:$N$2010,"P3")</f>
        <v>0</v>
      </c>
      <c r="U49" s="411">
        <f>SUMIFS('LAC 102_Wkst'!$AF$7:$AF$2010,'LAC 102_Wkst'!$D$7:$D$2010,$C$7,'LAC 102_Wkst'!$I$7:$I$2010,$C$9,'LAC 102_Wkst'!$E$7:$E$2010,$C49,'LAC 102_Wkst'!$G$7:$G$2010,$D49,'LAC 102_Wkst'!$L$7:$L$2010,"05",'LAC 102_Wkst'!$N$7:$N$2010,"P2")+SUMIFS('LAC 102_Wkst'!$AF$7:$AF$2010,'LAC 102_Wkst'!$D$7:$D$2010,$C$7,'LAC 102_Wkst'!$I$7:$I$2010,$C$9,'LAC 102_Wkst'!$E$7:$E$2010,$C49,'LAC 102_Wkst'!$G$7:$G$2010,$D49,'LAC 102_Wkst'!$L$7:$L$2010,"06",'LAC 102_Wkst'!$N$7:$N$2010,"P2")+SUMIFS('LAC 102_Wkst'!$AF$7:$AF$2010,'LAC 102_Wkst'!$D$7:$D$2010,$C$7,'LAC 102_Wkst'!$I$7:$I$2010,$C$9,'LAC 102_Wkst'!$E$7:$E$2010,$C49,'LAC 102_Wkst'!$G$7:$G$2010,$D49,'LAC 102_Wkst'!$L$7:$L$2010,"05",'LAC 102_Wkst'!$N$7:$N$2010,"P3")+SUMIFS('LAC 102_Wkst'!$AF$7:$AF$2010,'LAC 102_Wkst'!$D$7:$D$2010,$C$7,'LAC 102_Wkst'!$I$7:$I$2010,$C$9,'LAC 102_Wkst'!$E$7:$E$2010,$C49,'LAC 102_Wkst'!$G$7:$G$2010,$D49,'LAC 102_Wkst'!$L$7:$L$2010,"06",'LAC 102_Wkst'!$N$7:$N$2010,"P3")</f>
        <v>0</v>
      </c>
      <c r="V49" s="410">
        <f>SUMIFS('LAC 102_Wkst'!$Q$7:$Q$2010,'LAC 102_Wkst'!$D$7:$D$2010,$C$7,'LAC 102_Wkst'!$I$7:$I$2010,$C$9,'LAC 102_Wkst'!$E$7:$E$2010,$C49,'LAC 102_Wkst'!$G$7:$G$2010,$D49,'LAC 102_Wkst'!$L$7:$L$2010,"05",'LAC 102_Wkst'!$N$7:$N$2010,"P4")+SUMIFS('LAC 102_Wkst'!$Q$7:$Q$2010,'LAC 102_Wkst'!$D$7:$D$2010,$C$7,'LAC 102_Wkst'!$I$7:$I$2010,$C$9,'LAC 102_Wkst'!$E$7:$E$2010,$C49,'LAC 102_Wkst'!$G$7:$G$2010,$D49,'LAC 102_Wkst'!$L$7:$L$2010,"06",'LAC 102_Wkst'!$N$7:$N$2010,"P4")</f>
        <v>0</v>
      </c>
      <c r="W49" s="411">
        <f>SUMIFS('LAC 102_Wkst'!$AF$7:$AF$2010,'LAC 102_Wkst'!$D$7:$D$2010,$C$7,'LAC 102_Wkst'!$I$7:$I$2010,$C$9,'LAC 102_Wkst'!$E$7:$E$2010,$C49,'LAC 102_Wkst'!$G$7:$G$2010,$D49,'LAC 102_Wkst'!$L$7:$L$2010,"05",'LAC 102_Wkst'!$N$7:$N$2010,"P4")+SUMIFS('LAC 102_Wkst'!$AF$7:$AF$2010,'LAC 102_Wkst'!$D$7:$D$2010,$C$7,'LAC 102_Wkst'!$I$7:$I$2010,$C$9,'LAC 102_Wkst'!$E$7:$E$2010,$C49,'LAC 102_Wkst'!$G$7:$G$2010,$D49,'LAC 102_Wkst'!$L$7:$L$2010,"06",'LAC 102_Wkst'!$N$7:$N$2010,"P4")</f>
        <v>0</v>
      </c>
      <c r="X49" s="410">
        <f>SUMIFS('LAC 102_Wkst'!$Q$7:$Q$2010,'LAC 102_Wkst'!$D$7:$D$2010,$C$7,'LAC 102_Wkst'!$I$7:$I$2010,$C$9,'LAC 102_Wkst'!$E$7:$E$2010,$C49,'LAC 102_Wkst'!$G$7:$G$2010,$D49,'LAC 102_Wkst'!$L$7:$L$2010,"05",'LAC 102_Wkst'!$N$7:$N$2010,"P5")+SUMIFS('LAC 102_Wkst'!$Q$7:$Q$2010,'LAC 102_Wkst'!$D$7:$D$2010,$C$7,'LAC 102_Wkst'!$I$7:$I$2010,$C$9,'LAC 102_Wkst'!$E$7:$E$2010,$C49,'LAC 102_Wkst'!$G$7:$G$2010,$D49,'LAC 102_Wkst'!$L$7:$L$2010,"06",'LAC 102_Wkst'!$N$7:$N$2010,"P5")</f>
        <v>0</v>
      </c>
      <c r="Y49" s="411">
        <f>SUMIFS('LAC 102_Wkst'!$AF$7:$AF$2010,'LAC 102_Wkst'!$D$7:$D$2010,$C$7,'LAC 102_Wkst'!$I$7:$I$2010,$C$9,'LAC 102_Wkst'!$E$7:$E$2010,$C49,'LAC 102_Wkst'!$G$7:$G$2010,$D49,'LAC 102_Wkst'!$L$7:$L$2010,"05",'LAC 102_Wkst'!$N$7:$N$2010,"P5")+SUMIFS('LAC 102_Wkst'!$AF$7:$AF$2010,'LAC 102_Wkst'!$D$7:$D$2010,$C$7,'LAC 102_Wkst'!$I$7:$I$2010,$C$9,'LAC 102_Wkst'!$E$7:$E$2010,$C49,'LAC 102_Wkst'!$G$7:$G$2010,$D49,'LAC 102_Wkst'!$L$7:$L$2010,"06",'LAC 102_Wkst'!$N$7:$N$2010,"P5")</f>
        <v>0</v>
      </c>
      <c r="Z49" s="410">
        <f>SUMIFS('LAC 102_Wkst'!$Q$7:$Q$2010,'LAC 102_Wkst'!$D$7:$D$2010,$C$7,'LAC 102_Wkst'!$I$7:$I$2010,$C$9,'LAC 102_Wkst'!$E$7:$E$2010,$C49,'LAC 102_Wkst'!$G$7:$G$2010,$D49,'LAC 102_Wkst'!$L$7:$L$2010,"07",'LAC 102_Wkst'!$N$7:$N$2010,"P1")+SUMIFS('LAC 102_Wkst'!$Q$7:$Q$2010,'LAC 102_Wkst'!$D$7:$D$2010,$C$7,'LAC 102_Wkst'!$I$7:$I$2010,$C$9,'LAC 102_Wkst'!$E$7:$E$2010,$C49,'LAC 102_Wkst'!$G$7:$G$2010,$D49,'LAC 102_Wkst'!$L$7:$L$2010,"07",'LAC 102_Wkst'!$N$7:$N$2010,"P2")+SUMIFS('LAC 102_Wkst'!$Q$7:$Q$2010,'LAC 102_Wkst'!$D$7:$D$2010,$C$7,'LAC 102_Wkst'!$I$7:$I$2010,$C$9,'LAC 102_Wkst'!$E$7:$E$2010,$C49,'LAC 102_Wkst'!$G$7:$G$2010,$D49,'LAC 102_Wkst'!$L$7:$L$2010,"07",'LAC 102_Wkst'!$N$7:$N$2010,"P3")</f>
        <v>0</v>
      </c>
      <c r="AA49" s="411">
        <f>SUMIFS('LAC 102_Wkst'!$AF$7:$AF$2010,'LAC 102_Wkst'!$D$7:$D$2010,$C$7,'LAC 102_Wkst'!$I$7:$I$2010,$C$9,'LAC 102_Wkst'!$E$7:$E$2010,$C49,'LAC 102_Wkst'!$G$7:$G$2010,$D49,'LAC 102_Wkst'!$L$7:$L$2010,"07",'LAC 102_Wkst'!$N$7:$N$2010,"P1")+SUMIFS('LAC 102_Wkst'!$AF$7:$AF$2010,'LAC 102_Wkst'!$D$7:$D$2010,$C$7,'LAC 102_Wkst'!$I$7:$I$2010,$C$9,'LAC 102_Wkst'!$E$7:$E$2010,$C49,'LAC 102_Wkst'!$G$7:$G$2010,$D49,'LAC 102_Wkst'!$L$7:$L$2010,"07",'LAC 102_Wkst'!$N$7:$N$2010,"P2")+SUMIFS('LAC 102_Wkst'!$AF$7:$AF$2010,'LAC 102_Wkst'!$D$7:$D$2010,$C$7,'LAC 102_Wkst'!$I$7:$I$2010,$C$9,'LAC 102_Wkst'!$E$7:$E$2010,$C49,'LAC 102_Wkst'!$G$7:$G$2010,$D49,'LAC 102_Wkst'!$L$7:$L$2010,"07",'LAC 102_Wkst'!$N$7:$N$2010,"P3")</f>
        <v>0</v>
      </c>
      <c r="AB49" s="410">
        <f>SUMIFS('LAC 102_Wkst'!$Q$7:$Q$2010,'LAC 102_Wkst'!$D$7:$D$2010,$C$7,'LAC 102_Wkst'!$I$7:$I$2010,$C$9,'LAC 102_Wkst'!$E$7:$E$2010,$C49,'LAC 102_Wkst'!$G$7:$G$2010,$D49,'LAC 102_Wkst'!$L$7:$L$2010,"07",'LAC 102_Wkst'!$N$7:$N$2010,"P4")</f>
        <v>0</v>
      </c>
      <c r="AC49" s="411">
        <f>SUMIFS('LAC 102_Wkst'!$AF$7:$AF$2010,'LAC 102_Wkst'!$D$7:$D$2010,$C$7,'LAC 102_Wkst'!$I$7:$I$2010,$C$9,'LAC 102_Wkst'!$E$7:$E$2010,$C49,'LAC 102_Wkst'!$G$7:$G$2010,$D49,'LAC 102_Wkst'!$L$7:$L$2010,"07",'LAC 102_Wkst'!$N$7:$N$2010,"P4")</f>
        <v>0</v>
      </c>
      <c r="AD49" s="410">
        <f>SUMIFS('LAC 102_Wkst'!$Q$7:$Q$2010,'LAC 102_Wkst'!$D$7:$D$2010,$C$7,'LAC 102_Wkst'!$I$7:$I$2010,$C$9,'LAC 102_Wkst'!$E$7:$E$2010,$C49,'LAC 102_Wkst'!$G$7:$G$2010,$D49,'LAC 102_Wkst'!$L$7:$L$2010,"07",'LAC 102_Wkst'!$N$7:$N$2010,"P5")</f>
        <v>0</v>
      </c>
      <c r="AE49" s="411">
        <f>SUMIFS('LAC 102_Wkst'!$AF$7:$AF$2010,'LAC 102_Wkst'!$D$7:$D$2010,$C$7,'LAC 102_Wkst'!$I$7:$I$2010,$C$9,'LAC 102_Wkst'!$E$7:$E$2010,$C49,'LAC 102_Wkst'!$G$7:$G$2010,$D49,'LAC 102_Wkst'!$L$7:$L$2010,"07",'LAC 102_Wkst'!$N$7:$N$2010,"P5")</f>
        <v>0</v>
      </c>
      <c r="AF49" s="410">
        <f>SUMIFS('LAC 102_Wkst'!$Q$7:$Q$2010,'LAC 102_Wkst'!$D$7:$D$2010,$C$7,'LAC 102_Wkst'!$I$7:$I$2010,$C$9,'LAC 102_Wkst'!$E$7:$E$2010,$C49,'LAC 102_Wkst'!$G$7:$G$2010,$D49,'LAC 102_Wkst'!$L$7:$L$2010,"08",'LAC 102_Wkst'!$N$7:$N$2010,"P1")+SUMIFS('LAC 102_Wkst'!$Q$7:$Q$2010,'LAC 102_Wkst'!$D$7:$D$2010,$C$7,'LAC 102_Wkst'!$I$7:$I$2010,$C$9,'LAC 102_Wkst'!$E$7:$E$2010,$C49,'LAC 102_Wkst'!$G$7:$G$2010,$D49,'LAC 102_Wkst'!$L$7:$L$2010,"08",'LAC 102_Wkst'!$N$7:$N$2010,"P2")+SUMIFS('LAC 102_Wkst'!$Q$7:$Q$2010,'LAC 102_Wkst'!$D$7:$D$2010,$C$7,'LAC 102_Wkst'!$I$7:$I$2010,$C$9,'LAC 102_Wkst'!$E$7:$E$2010,$C49,'LAC 102_Wkst'!$G$7:$G$2010,$D49,'LAC 102_Wkst'!$L$7:$L$2010,"08",'LAC 102_Wkst'!$N$7:$N$2010,"P3")</f>
        <v>0</v>
      </c>
      <c r="AG49" s="411">
        <f>SUMIFS('LAC 102_Wkst'!$AF$7:$AF$2010,'LAC 102_Wkst'!$D$7:$D$2010,$C$7,'LAC 102_Wkst'!$I$7:$I$2010,$C$9,'LAC 102_Wkst'!$E$7:$E$2010,$C49,'LAC 102_Wkst'!$G$7:$G$2010,$D49,'LAC 102_Wkst'!$L$7:$L$2010,"08",'LAC 102_Wkst'!$N$7:$N$2010,"P1")+SUMIFS('LAC 102_Wkst'!$AF$7:$AF$2010,'LAC 102_Wkst'!$D$7:$D$2010,$C$7,'LAC 102_Wkst'!$I$7:$I$2010,$C$9,'LAC 102_Wkst'!$E$7:$E$2010,$C49,'LAC 102_Wkst'!$G$7:$G$2010,$D49,'LAC 102_Wkst'!$L$7:$L$2010,"08",'LAC 102_Wkst'!$N$7:$N$2010,"P2")+SUMIFS('LAC 102_Wkst'!$AF$7:$AF$2010,'LAC 102_Wkst'!$D$7:$D$2010,$C$7,'LAC 102_Wkst'!$I$7:$I$2010,$C$9,'LAC 102_Wkst'!$E$7:$E$2010,$C49,'LAC 102_Wkst'!$G$7:$G$2010,$D49,'LAC 102_Wkst'!$L$7:$L$2010,"08",'LAC 102_Wkst'!$N$7:$N$2010,"P3")</f>
        <v>0</v>
      </c>
      <c r="AH49" s="410">
        <f>SUMIFS('LAC 102_Wkst'!$Q$7:$Q$2010,'LAC 102_Wkst'!$D$7:$D$2010,$C$7,'LAC 102_Wkst'!$I$7:$I$2010,$C$9,'LAC 102_Wkst'!$E$7:$E$2010,$C49,'LAC 102_Wkst'!$G$7:$G$2010,$D49,'LAC 102_Wkst'!$L$7:$L$2010,"08",'LAC 102_Wkst'!$N$7:$N$2010,"P4")</f>
        <v>0</v>
      </c>
      <c r="AI49" s="411">
        <f>SUMIFS('LAC 102_Wkst'!$AF$7:$AF$2010,'LAC 102_Wkst'!$D$7:$D$2010,$C$7,'LAC 102_Wkst'!$I$7:$I$2010,$C$9,'LAC 102_Wkst'!$E$7:$E$2010,$C49,'LAC 102_Wkst'!$G$7:$G$2010,$D49,'LAC 102_Wkst'!$L$7:$L$2010,"08",'LAC 102_Wkst'!$N$7:$N$2010,"P4")</f>
        <v>0</v>
      </c>
      <c r="AJ49" s="410">
        <f>SUMIFS('LAC 102_Wkst'!$Q$7:$Q$2010,'LAC 102_Wkst'!$D$7:$D$2010,$C$7,'LAC 102_Wkst'!$I$7:$I$2010,$C$9,'LAC 102_Wkst'!$E$7:$E$2010,$C49,'LAC 102_Wkst'!$G$7:$G$2010,$D49,'LAC 102_Wkst'!$L$7:$L$2010,"08",'LAC 102_Wkst'!$N$7:$N$2010,"P5")</f>
        <v>0</v>
      </c>
      <c r="AK49" s="411">
        <f>SUMIFS('LAC 102_Wkst'!$AF$7:$AF$2010,'LAC 102_Wkst'!$D$7:$D$2010,$C$7,'LAC 102_Wkst'!$I$7:$I$2010,$C$9,'LAC 102_Wkst'!$E$7:$E$2010,$C49,'LAC 102_Wkst'!$G$7:$G$2010,$D49,'LAC 102_Wkst'!$L$7:$L$2010,"08",'LAC 102_Wkst'!$N$7:$N$2010,"P5")</f>
        <v>0</v>
      </c>
      <c r="AL49" s="410">
        <f>SUMIFS('LAC 102_Wkst'!$Q$7:$Q$2010,'LAC 102_Wkst'!$D$7:$D$2010,$C$7,'LAC 102_Wkst'!$I$7:$I$2010,$C$9,'LAC 102_Wkst'!$E$7:$E$2010,$C49,'LAC 102_Wkst'!$G$7:$G$2010,$D49,'LAC 102_Wkst'!$L$7:$L$2010,"09",'LAC 102_Wkst'!$N$7:$N$2010,"P1")+SUMIFS('LAC 102_Wkst'!$Q$7:$Q$2010,'LAC 102_Wkst'!$D$7:$D$2010,$C$7,'LAC 102_Wkst'!$I$7:$I$2010,$C$9,'LAC 102_Wkst'!$E$7:$E$2010,$C49,'LAC 102_Wkst'!$G$7:$G$2010,$D49,'LAC 102_Wkst'!$L$7:$L$2010,"09",'LAC 102_Wkst'!$N$7:$N$2010,"P2")+SUMIFS('LAC 102_Wkst'!$Q$7:$Q$2010,'LAC 102_Wkst'!$D$7:$D$2010,$C$7,'LAC 102_Wkst'!$I$7:$I$2010,$C$9,'LAC 102_Wkst'!$E$7:$E$2010,$C49,'LAC 102_Wkst'!$G$7:$G$2010,$D49,'LAC 102_Wkst'!$L$7:$L$2010,"09",'LAC 102_Wkst'!$N$7:$N$2010,"P3")+SUMIFS('LAC 102_Wkst'!$Q$7:$Q$2010,'LAC 102_Wkst'!$D$7:$D$2010,$C$7,'LAC 102_Wkst'!$I$7:$I$2010,$C$9,'LAC 102_Wkst'!$E$7:$E$2010,$C49,'LAC 102_Wkst'!$G$7:$G$2010,$D49,'LAC 102_Wkst'!$L$7:$L$2010,"09",'LAC 102_Wkst'!$N$7:$N$2010,"P4")</f>
        <v>0</v>
      </c>
      <c r="AM49" s="411">
        <f>SUMIFS('LAC 102_Wkst'!$AF$7:$AF$2010,'LAC 102_Wkst'!$D$7:$D$2010,$C$7,'LAC 102_Wkst'!$I$7:$I$2010,$C$9,'LAC 102_Wkst'!$E$7:$E$2010,$C49,'LAC 102_Wkst'!$G$7:$G$2010,$D49,'LAC 102_Wkst'!$L$7:$L$2010,"09",'LAC 102_Wkst'!$N$7:$N$2010,"P1")+SUMIFS('LAC 102_Wkst'!$AF$7:$AF$2010,'LAC 102_Wkst'!$D$7:$D$2010,$C$7,'LAC 102_Wkst'!$I$7:$I$2010,$C$9,'LAC 102_Wkst'!$E$7:$E$2010,$C49,'LAC 102_Wkst'!$G$7:$G$2010,$D49,'LAC 102_Wkst'!$L$7:$L$2010,"09",'LAC 102_Wkst'!$N$7:$N$2010,"P2")+SUMIFS('LAC 102_Wkst'!$AF$7:$AF$2010,'LAC 102_Wkst'!$D$7:$D$2010,$C$7,'LAC 102_Wkst'!$I$7:$I$2010,$C$9,'LAC 102_Wkst'!$E$7:$E$2010,$C49,'LAC 102_Wkst'!$G$7:$G$2010,$D49,'LAC 102_Wkst'!$L$7:$L$2010,"09",'LAC 102_Wkst'!$N$7:$N$2010,"P3")+SUMIFS('LAC 102_Wkst'!$AF$7:$AF$2010,'LAC 102_Wkst'!$D$7:$D$2010,$C$7,'LAC 102_Wkst'!$I$7:$I$2010,$C$9,'LAC 102_Wkst'!$E$7:$E$2010,$C49,'LAC 102_Wkst'!$G$7:$G$2010,$D49,'LAC 102_Wkst'!$L$7:$L$2010,"09",'LAC 102_Wkst'!$N$7:$N$2010,"P4")</f>
        <v>0</v>
      </c>
      <c r="AN49" s="410">
        <f>SUMIFS('LAC 102_Wkst'!$Q$7:$Q$2010,'LAC 102_Wkst'!$D$7:$D$2010,$C$7,'LAC 102_Wkst'!$I$7:$I$2010,$C$9,'LAC 102_Wkst'!$E$7:$E$2010,$C49,'LAC 102_Wkst'!$G$7:$G$2010,$D49,'LAC 102_Wkst'!$L$7:$L$2010,"09",'LAC 102_Wkst'!$N$7:$N$2010,"P5")</f>
        <v>0</v>
      </c>
      <c r="AO49" s="411">
        <f>SUMIFS('LAC 102_Wkst'!$AF$7:$AF$2010,'LAC 102_Wkst'!$D$7:$D$2010,$C$7,'LAC 102_Wkst'!$I$7:$I$2010,$C$9,'LAC 102_Wkst'!$E$7:$E$2010,$C49,'LAC 102_Wkst'!$G$7:$G$2010,$D49,'LAC 102_Wkst'!$L$7:$L$2010,"09",'LAC 102_Wkst'!$N$7:$N$2010,"P5")</f>
        <v>0</v>
      </c>
      <c r="AP49" s="410">
        <f>SUMIFS('LAC 102_Wkst'!$Q$7:$Q$2010,'LAC 102_Wkst'!$D$7:$D$2010,$C$7,'LAC 102_Wkst'!$I$7:$I$2010,$C$9,'LAC 102_Wkst'!$E$7:$E$2010,$C49,'LAC 102_Wkst'!$G$7:$G$2010,$D49,'LAC 102_Wkst'!$L$7:$L$2010,"10",'LAC 102_Wkst'!$N$7:$N$2010,"P1")+SUMIFS('LAC 102_Wkst'!$Q$7:$Q$2010,'LAC 102_Wkst'!$D$7:$D$2010,$C$7,'LAC 102_Wkst'!$I$7:$I$2010,$C$9,'LAC 102_Wkst'!$E$7:$E$2010,$C49,'LAC 102_Wkst'!$G$7:$G$2010,$D49,'LAC 102_Wkst'!$L$7:$L$2010,"10",'LAC 102_Wkst'!$N$7:$N$2010,"P2")+SUMIFS('LAC 102_Wkst'!$Q$7:$Q$2010,'LAC 102_Wkst'!$D$7:$D$2010,$C$7,'LAC 102_Wkst'!$I$7:$I$2010,$C$9,'LAC 102_Wkst'!$E$7:$E$2010,$C49,'LAC 102_Wkst'!$G$7:$G$2010,$D49,'LAC 102_Wkst'!$L$7:$L$2010,"10",'LAC 102_Wkst'!$N$7:$N$2010,"P3")+SUMIFS('LAC 102_Wkst'!$Q$7:$Q$2010,'LAC 102_Wkst'!$D$7:$D$2010,$C$7,'LAC 102_Wkst'!$I$7:$I$2010,$C$9,'LAC 102_Wkst'!$E$7:$E$2010,$C49,'LAC 102_Wkst'!$G$7:$G$2010,$D49,'LAC 102_Wkst'!$L$7:$L$2010,"10",'LAC 102_Wkst'!$N$7:$N$2010,"P4")</f>
        <v>0</v>
      </c>
      <c r="AQ49" s="411">
        <f>SUMIFS('LAC 102_Wkst'!$AF$7:$AF$2010,'LAC 102_Wkst'!$D$7:$D$2010,$C$7,'LAC 102_Wkst'!$I$7:$I$2010,$C$9,'LAC 102_Wkst'!$E$7:$E$2010,$C49,'LAC 102_Wkst'!$G$7:$G$2010,$D49,'LAC 102_Wkst'!$L$7:$L$2010,"10",'LAC 102_Wkst'!$N$7:$N$2010,"P1")+SUMIFS('LAC 102_Wkst'!$AF$7:$AF$2010,'LAC 102_Wkst'!$D$7:$D$2010,$C$7,'LAC 102_Wkst'!$I$7:$I$2010,$C$9,'LAC 102_Wkst'!$E$7:$E$2010,$C49,'LAC 102_Wkst'!$G$7:$G$2010,$D49,'LAC 102_Wkst'!$L$7:$L$2010,"10",'LAC 102_Wkst'!$N$7:$N$2010,"P2")+SUMIFS('LAC 102_Wkst'!$AF$7:$AF$2010,'LAC 102_Wkst'!$D$7:$D$2010,$C$7,'LAC 102_Wkst'!$I$7:$I$2010,$C$9,'LAC 102_Wkst'!$E$7:$E$2010,$C49,'LAC 102_Wkst'!$G$7:$G$2010,$D49,'LAC 102_Wkst'!$L$7:$L$2010,"10",'LAC 102_Wkst'!$N$7:$N$2010,"P3")+SUMIFS('LAC 102_Wkst'!$AF$7:$AF$2010,'LAC 102_Wkst'!$D$7:$D$2010,$C$7,'LAC 102_Wkst'!$I$7:$I$2010,$C$9,'LAC 102_Wkst'!$E$7:$E$2010,$C49,'LAC 102_Wkst'!$G$7:$G$2010,$D49,'LAC 102_Wkst'!$L$7:$L$2010,"10",'LAC 102_Wkst'!$N$7:$N$2010,"P4")</f>
        <v>0</v>
      </c>
      <c r="AR49" s="410">
        <f>SUMIFS('LAC 102_Wkst'!$Q$7:$Q$2010,'LAC 102_Wkst'!$D$7:$D$2010,$C$7,'LAC 102_Wkst'!$I$7:$I$2010,$C$9,'LAC 102_Wkst'!$E$7:$E$2010,$C49,'LAC 102_Wkst'!$G$7:$G$2010,$D49,'LAC 102_Wkst'!$L$7:$L$2010,"10",'LAC 102_Wkst'!$N$7:$N$2010,"P5")</f>
        <v>0</v>
      </c>
      <c r="AS49" s="411">
        <f>SUMIFS('LAC 102_Wkst'!$AF$7:$AF$2010,'LAC 102_Wkst'!$D$7:$D$2010,$C$7,'LAC 102_Wkst'!$I$7:$I$2010,$C$9,'LAC 102_Wkst'!$E$7:$E$2010,$C49,'LAC 102_Wkst'!$G$7:$G$2010,$D49,'LAC 102_Wkst'!$L$7:$L$2010,"10",'LAC 102_Wkst'!$N$7:$N$2010,"P5")</f>
        <v>0</v>
      </c>
      <c r="AT49" s="410">
        <f>SUMIFS('LAC 102_Wkst'!$Q$7:$Q$2010,'LAC 102_Wkst'!$D$7:$D$2010,$C$7,'LAC 102_Wkst'!$I$7:$I$2010,$C$9,'LAC 102_Wkst'!$E$7:$E$2010,$C49,'LAC 102_Wkst'!$G$7:$G$2010,$D49,'LAC 102_Wkst'!$L$7:$L$2010,"11",'LAC 102_Wkst'!$N$7:$N$2010,"P1")+SUMIFS('LAC 102_Wkst'!$Q$7:$Q$2010,'LAC 102_Wkst'!$D$7:$D$2010,$C$7,'LAC 102_Wkst'!$I$7:$I$2010,$C$9,'LAC 102_Wkst'!$E$7:$E$2010,$C49,'LAC 102_Wkst'!$G$7:$G$2010,$D49,'LAC 102_Wkst'!$L$7:$L$2010,"12",'LAC 102_Wkst'!$N$7:$N$2010,"P1")</f>
        <v>0</v>
      </c>
      <c r="AU49" s="411">
        <f>SUMIFS('LAC 102_Wkst'!$Q$7:$Q$2010,'LAC 102_Wkst'!$D$7:$D$2010,$C$7,'LAC 102_Wkst'!$I$7:$I$2010,$C$9,'LAC 102_Wkst'!$E$7:$E$2010,$C49,'LAC 102_Wkst'!$G$7:$G$2010,$D49,'LAC 102_Wkst'!$L$7:$L$2010,"13",'LAC 102_Wkst'!$N$7:$N$2010,"P5")</f>
        <v>0</v>
      </c>
      <c r="AV49" s="410">
        <f>SUMIFS('LAC 102_Wkst'!$Q$7:$Q$2010,'LAC 102_Wkst'!$D$7:$D$2010,$C$7,'LAC 102_Wkst'!$I$7:$I$2010,$C$9,'LAC 102_Wkst'!$E$7:$E$2010,$C49,'LAC 102_Wkst'!$G$7:$G$2010,$D49,'LAC 102_Wkst'!$L$7:$L$2010,"11",'LAC 102_Wkst'!$N$7:$N$2010,"P2")+SUMIFS('LAC 102_Wkst'!$Q$7:$Q$2010,'LAC 102_Wkst'!$D$7:$D$2010,$C$7,'LAC 102_Wkst'!$I$7:$I$2010,$C$9,'LAC 102_Wkst'!$E$7:$E$2010,$C49,'LAC 102_Wkst'!$G$7:$G$2010,$D49,'LAC 102_Wkst'!$L$7:$L$2010,"12",'LAC 102_Wkst'!$N$7:$N$2010,"P2")+SUMIFS('LAC 102_Wkst'!$Q$7:$Q$2010,'LAC 102_Wkst'!$D$7:$D$2010,$C$7,'LAC 102_Wkst'!$I$7:$I$2010,$C$9,'LAC 102_Wkst'!$E$7:$E$2010,$C49,'LAC 102_Wkst'!$G$7:$G$2010,$D49,'LAC 102_Wkst'!$L$7:$L$2010,"11",'LAC 102_Wkst'!$N$7:$N$2010,"P3")+SUMIFS('LAC 102_Wkst'!$Q$7:$Q$2010,'LAC 102_Wkst'!$D$7:$D$2010,$C$7,'LAC 102_Wkst'!$I$7:$I$2010,$C$9,'LAC 102_Wkst'!$E$7:$E$2010,$C49,'LAC 102_Wkst'!$G$7:$G$2010,$D49,'LAC 102_Wkst'!$L$7:$L$2010,"12",'LAC 102_Wkst'!$N$7:$N$2010,"P3")</f>
        <v>0</v>
      </c>
      <c r="AW49" s="411">
        <f>SUMIFS('LAC 102_Wkst'!$AF$7:$AF$2010,'LAC 102_Wkst'!$D$7:$D$2010,$C$7,'LAC 102_Wkst'!$I$7:$I$2010,$C$9,'LAC 102_Wkst'!$E$7:$E$2010,$C49,'LAC 102_Wkst'!$G$7:$G$2010,$D49,'LAC 102_Wkst'!$L$7:$L$2010,"11",'LAC 102_Wkst'!$N$7:$N$2010,"P2")+SUMIFS('LAC 102_Wkst'!$AF$7:$AF$2010,'LAC 102_Wkst'!$D$7:$D$2010,$C$7,'LAC 102_Wkst'!$I$7:$I$2010,$C$9,'LAC 102_Wkst'!$E$7:$E$2010,$C49,'LAC 102_Wkst'!$G$7:$G$2010,$D49,'LAC 102_Wkst'!$L$7:$L$2010,"12",'LAC 102_Wkst'!$N$7:$N$2010,"P2")+SUMIFS('LAC 102_Wkst'!$AF$7:$AF$2010,'LAC 102_Wkst'!$D$7:$D$2010,$C$7,'LAC 102_Wkst'!$I$7:$I$2010,$C$9,'LAC 102_Wkst'!$E$7:$E$2010,$C49,'LAC 102_Wkst'!$G$7:$G$2010,$D49,'LAC 102_Wkst'!$L$7:$L$2010,"11",'LAC 102_Wkst'!$N$7:$N$2010,"P3")+SUMIFS('LAC 102_Wkst'!$AF$7:$AF$2010,'LAC 102_Wkst'!$D$7:$D$2010,$C$7,'LAC 102_Wkst'!$I$7:$I$2010,$C$9,'LAC 102_Wkst'!$E$7:$E$2010,$C49,'LAC 102_Wkst'!$G$7:$G$2010,$D49,'LAC 102_Wkst'!$L$7:$L$2010,"12",'LAC 102_Wkst'!$N$7:$N$2010,"P3")</f>
        <v>0</v>
      </c>
      <c r="AX49" s="410">
        <f>SUMIFS('LAC 102_Wkst'!$Q$7:$Q$2010,'LAC 102_Wkst'!$D$7:$D$2010,$C$7,'LAC 102_Wkst'!$I$7:$I$2010,$C$9,'LAC 102_Wkst'!$E$7:$E$2010,$C49,'LAC 102_Wkst'!$G$7:$G$2010,$D49,'LAC 102_Wkst'!$L$7:$L$2010,"11",'LAC 102_Wkst'!$N$7:$N$2010,"P4")+SUMIFS('LAC 102_Wkst'!$Q$7:$Q$2010,'LAC 102_Wkst'!$D$7:$D$2010,$C$7,'LAC 102_Wkst'!$I$7:$I$2010,$C$9,'LAC 102_Wkst'!$E$7:$E$2010,$C49,'LAC 102_Wkst'!$G$7:$G$2010,$D49,'LAC 102_Wkst'!$L$7:$L$2010,"12",'LAC 102_Wkst'!$N$7:$N$2010,"P4")</f>
        <v>0</v>
      </c>
      <c r="AY49" s="411">
        <f>SUMIFS('LAC 102_Wkst'!$AF$7:$AF$2010,'LAC 102_Wkst'!$D$7:$D$2010,$C$7,'LAC 102_Wkst'!$I$7:$I$2010,$C$9,'LAC 102_Wkst'!$E$7:$E$2010,$C49,'LAC 102_Wkst'!$G$7:$G$2010,$D49,'LAC 102_Wkst'!$L$7:$L$2010,"11",'LAC 102_Wkst'!$N$7:$N$2010,"P4")+SUMIFS('LAC 102_Wkst'!$AF$7:$AF$2010,'LAC 102_Wkst'!$D$7:$D$2010,$C$7,'LAC 102_Wkst'!$I$7:$I$2010,$C$9,'LAC 102_Wkst'!$E$7:$E$2010,$C49,'LAC 102_Wkst'!$G$7:$G$2010,$D49,'LAC 102_Wkst'!$L$7:$L$2010,"12",'LAC 102_Wkst'!$N$7:$N$2010,"P4")</f>
        <v>0</v>
      </c>
      <c r="AZ49" s="410">
        <f>SUMIFS('LAC 102_Wkst'!$Q$7:$Q$2010,'LAC 102_Wkst'!$D$7:$D$2010,$C$7,'LAC 102_Wkst'!$I$7:$I$2010,$C$9,'LAC 102_Wkst'!$E$7:$E$2010,$C49,'LAC 102_Wkst'!$G$7:$G$2010,$D49,'LAC 102_Wkst'!$L$7:$L$2010,"11",'LAC 102_Wkst'!$N$7:$N$2010,"P5")+SUMIFS('LAC 102_Wkst'!$Q$7:$Q$2010,'LAC 102_Wkst'!$D$7:$D$2010,$C$7,'LAC 102_Wkst'!$I$7:$I$2010,$C$9,'LAC 102_Wkst'!$E$7:$E$2010,$C49,'LAC 102_Wkst'!$G$7:$G$2010,$D49,'LAC 102_Wkst'!$L$7:$L$2010,"12",'LAC 102_Wkst'!$N$7:$N$2010,"P5")</f>
        <v>0</v>
      </c>
      <c r="BA49" s="411">
        <f>SUMIFS('LAC 102_Wkst'!$AF$7:$AF$2010,'LAC 102_Wkst'!$D$7:$D$2010,$C$7,'LAC 102_Wkst'!$I$7:$I$2010,$C$9,'LAC 102_Wkst'!$E$7:$E$2010,$C49,'LAC 102_Wkst'!$G$7:$G$2010,$D49,'LAC 102_Wkst'!$L$7:$L$2010,"11",'LAC 102_Wkst'!$N$7:$N$2010,"P5")+SUMIFS('LAC 102_Wkst'!$AF$7:$AF$2010,'LAC 102_Wkst'!$D$7:$D$2010,$C$7,'LAC 102_Wkst'!$I$7:$I$2010,$C$9,'LAC 102_Wkst'!$E$7:$E$2010,$C49,'LAC 102_Wkst'!$G$7:$G$2010,$D49,'LAC 102_Wkst'!$L$7:$L$2010,"12",'LAC 102_Wkst'!$N$7:$N$2010,"P5")</f>
        <v>0</v>
      </c>
      <c r="BB49" s="410">
        <f>SUMIFS('LAC 102_Wkst'!$Q$7:$Q$2010,'LAC 102_Wkst'!$D$7:$D$2010,$C$7,'LAC 102_Wkst'!$I$7:$I$2010,$C$9,'LAC 102_Wkst'!$E$7:$E$2010,$C49,'LAC 102_Wkst'!$G$7:$G$2010,$D49,'LAC 102_Wkst'!$L$7:$L$2010,"13",'LAC 102_Wkst'!$N$7:$N$2010,"P1")+SUMIFS('LAC 102_Wkst'!$Q$7:$Q$2010,'LAC 102_Wkst'!$D$7:$D$2010,$C$7,'LAC 102_Wkst'!$I$7:$I$2010,$C$9,'LAC 102_Wkst'!$E$7:$E$2010,$C49,'LAC 102_Wkst'!$G$7:$G$2010,$D49,'LAC 102_Wkst'!$L$7:$L$2010,"13",'LAC 102_Wkst'!$N$7:$N$2010,"P2")+SUMIFS('LAC 102_Wkst'!$Q$7:$Q$2010,'LAC 102_Wkst'!$D$7:$D$2010,$C$7,'LAC 102_Wkst'!$I$7:$I$2010,$C$9,'LAC 102_Wkst'!$E$7:$E$2010,$C49,'LAC 102_Wkst'!$G$7:$G$2010,$D49,'LAC 102_Wkst'!$L$7:$L$2010,"13",'LAC 102_Wkst'!$N$7:$N$2010,"P3")+SUMIFS('LAC 102_Wkst'!$Q$7:$Q$2010,'LAC 102_Wkst'!$D$7:$D$2010,$C$7,'LAC 102_Wkst'!$I$7:$I$2010,$C$9,'LAC 102_Wkst'!$E$7:$E$2010,$C49,'LAC 102_Wkst'!$G$7:$G$2010,$D49,'LAC 102_Wkst'!$L$7:$L$2010,"13",'LAC 102_Wkst'!$N$7:$N$2010,"P4")</f>
        <v>0</v>
      </c>
      <c r="BC49" s="411">
        <f>SUMIFS('LAC 102_Wkst'!$AF$7:$AF$2010,'LAC 102_Wkst'!$D$7:$D$2010,$C$7,'LAC 102_Wkst'!$I$7:$I$2010,$C$9,'LAC 102_Wkst'!$E$7:$E$2010,$C49,'LAC 102_Wkst'!$G$7:$G$2010,$D49,'LAC 102_Wkst'!$L$7:$L$2010,"13",'LAC 102_Wkst'!$N$7:$N$2010,"P1")+SUMIFS('LAC 102_Wkst'!$AF$7:$AF$2010,'LAC 102_Wkst'!$D$7:$D$2010,$C$7,'LAC 102_Wkst'!$I$7:$I$2010,$C$9,'LAC 102_Wkst'!$E$7:$E$2010,$C49,'LAC 102_Wkst'!$G$7:$G$2010,$D49,'LAC 102_Wkst'!$L$7:$L$2010,"13",'LAC 102_Wkst'!$N$7:$N$2010,"P2")+SUMIFS('LAC 102_Wkst'!$AF$7:$AF$2010,'LAC 102_Wkst'!$D$7:$D$2010,$C$7,'LAC 102_Wkst'!$I$7:$I$2010,$C$9,'LAC 102_Wkst'!$E$7:$E$2010,$C49,'LAC 102_Wkst'!$G$7:$G$2010,$D49,'LAC 102_Wkst'!$L$7:$L$2010,"13",'LAC 102_Wkst'!$N$7:$N$2010,"P3")+SUMIFS('LAC 102_Wkst'!$AF$7:$AF$2010,'LAC 102_Wkst'!$D$7:$D$2010,$C$7,'LAC 102_Wkst'!$I$7:$I$2010,$C$9,'LAC 102_Wkst'!$E$7:$E$2010,$C49,'LAC 102_Wkst'!$G$7:$G$2010,$D49,'LAC 102_Wkst'!$L$7:$L$2010,"13",'LAC 102_Wkst'!$N$7:$N$2010,"P4")</f>
        <v>0</v>
      </c>
      <c r="BD49" s="410">
        <f>SUMIFS('LAC 102_Wkst'!$Q$7:$Q$2010,'LAC 102_Wkst'!$D$7:$D$2010,$C$7,'LAC 102_Wkst'!$I$7:$I$2010,$C$9,'LAC 102_Wkst'!$E$7:$E$2010,$C49,'LAC 102_Wkst'!$G$7:$G$2010,$D49,'LAC 102_Wkst'!$L$7:$L$2010,"13",'LAC 102_Wkst'!$N$7:$N$2010,"P5")</f>
        <v>0</v>
      </c>
      <c r="BE49" s="411">
        <f>SUMIFS('LAC 102_Wkst'!$AF$7:$AF$2010,'LAC 102_Wkst'!$D$7:$D$2010,$C$7,'LAC 102_Wkst'!$I$7:$I$2010,$C$9,'LAC 102_Wkst'!$E$7:$E$2010,$C49,'LAC 102_Wkst'!$G$7:$G$2010,$D49,'LAC 102_Wkst'!$L$7:$L$2010,"13",'LAC 102_Wkst'!$N$7:$N$2010,"P5")</f>
        <v>0</v>
      </c>
      <c r="BF49" s="407">
        <f t="shared" si="4"/>
        <v>0</v>
      </c>
      <c r="BG49" s="1654">
        <f>SUMIFS('LAC 102_Wkst'!$AF$7:$AF$2010,'LAC 102_Wkst'!$D$7:$D$2010,$C$7,'LAC 102_Wkst'!$I$7:$I$2010,$C$9,'LAC 102_Wkst'!$E$7:$E$2010,$C49,'LAC 102_Wkst'!$G$7:$G$2010,$D49,'LAC 102_Wkst'!$L$7:$L$2010,"14")</f>
        <v>0</v>
      </c>
    </row>
    <row r="50" spans="1:59" x14ac:dyDescent="0.2">
      <c r="A50" s="401">
        <v>28</v>
      </c>
      <c r="B50" s="1678" t="str">
        <f>IF(Schedule_B!B$47="","",Schedule_B!B$47)</f>
        <v/>
      </c>
      <c r="C50" s="1674" t="str">
        <f>IF(Schedule_B!C$47=""," ",Schedule_B!C$47)</f>
        <v xml:space="preserve"> </v>
      </c>
      <c r="D50" s="1675" t="str">
        <f>IF(Schedule_B!D$47=""," ",Schedule_B!D$47)</f>
        <v xml:space="preserve"> </v>
      </c>
      <c r="E50" s="1221">
        <f>SUMIFS('LAC 102_Wkst'!$Q$7:$Q$2010,'LAC 102_Wkst'!$D$7:$D$2010,$C$7,'LAC 102_Wkst'!$I$7:$I$2010,$C$9,'LAC 102_Wkst'!$E$7:$E$2010,$C50,'LAC 102_Wkst'!$G$7:$G$2010,$D50)</f>
        <v>0</v>
      </c>
      <c r="F50" s="408">
        <f>SUMIFS('LAC 102_Wkst'!$Q$7:$Q$2010,'LAC 102_Wkst'!$D$7:$D$2010,$C$7,'LAC 102_Wkst'!$I$7:$I$2010,$C$9,'LAC 102_Wkst'!$E$7:$E$2010,$C50,'LAC 102_Wkst'!$G$7:$G$2010,$D50,'LAC 102_Wkst'!$L$7:$L$2010,"01",'LAC 102_Wkst'!$N$7:$N$2010,"P1")+SUMIFS('LAC 102_Wkst'!$Q$7:$Q$2010,'LAC 102_Wkst'!$D$7:$D$2010,$C$7,'LAC 102_Wkst'!$I$7:$I$2010,$C$9,'LAC 102_Wkst'!$E$7:$E$2010,$C50,'LAC 102_Wkst'!$G$7:$G$2010,$D50,'LAC 102_Wkst'!$L$7:$L$2010,"01",'LAC 102_Wkst'!$N$7:$N$2010,"P2")+SUMIFS('LAC 102_Wkst'!$Q$7:$Q$2010,'LAC 102_Wkst'!$D$7:$D$2010,$C$7,'LAC 102_Wkst'!$I$7:$I$2010,$C$9,'LAC 102_Wkst'!$E$7:$E$2010,$C50,'LAC 102_Wkst'!$G$7:$G$2010,$D50,'LAC 102_Wkst'!$L$7:$L$2010,"01",'LAC 102_Wkst'!$N$7:$N$2010,"P3")+SUMIFS('LAC 102_Wkst'!$Q$7:$Q$2010,'LAC 102_Wkst'!$D$7:$D$2010,$C$7,'LAC 102_Wkst'!$I$7:$I$2010,$C$9,'LAC 102_Wkst'!$E$7:$E$2010,$C50,'LAC 102_Wkst'!$G$7:$G$2010,$D50,'LAC 102_Wkst'!$L$7:$L$2010,"02",'LAC 102_Wkst'!$N$7:$N$2010,"P1")+SUMIFS('LAC 102_Wkst'!$Q$7:$Q$2010,'LAC 102_Wkst'!$D$7:$D$2010,$C$7,'LAC 102_Wkst'!$I$7:$I$2010,$C$9,'LAC 102_Wkst'!$E$7:$E$2010,$C50,'LAC 102_Wkst'!$G$7:$G$2010,$D50,'LAC 102_Wkst'!$L$7:$L$2010,"02",'LAC 102_Wkst'!$N$7:$N$2010,"P2")+SUMIFS('LAC 102_Wkst'!$Q$7:$Q$2010,'LAC 102_Wkst'!$D$7:$D$2010,$C$7,'LAC 102_Wkst'!$I$7:$I$2010,$C$9,'LAC 102_Wkst'!$E$7:$E$2010,$C50,'LAC 102_Wkst'!$G$7:$G$2010,$D50,'LAC 102_Wkst'!$L$7:$L$2010,"02",'LAC 102_Wkst'!$N$7:$N$2010,"P3")</f>
        <v>0</v>
      </c>
      <c r="G50" s="409">
        <f>SUMIFS('LAC 102_Wkst'!$AF$7:$AF$2010,'LAC 102_Wkst'!$D$7:$D$2010,$C$7,'LAC 102_Wkst'!$I$7:$I$2010,$C$9,'LAC 102_Wkst'!$E$7:$E$2010,$C50,'LAC 102_Wkst'!$G$7:$G$2010,$D50,'LAC 102_Wkst'!$L$7:$L$2010,"01",'LAC 102_Wkst'!$N$7:$N$2010,"P1")+SUMIFS('LAC 102_Wkst'!$AF$7:$AF$2010,'LAC 102_Wkst'!$D$7:$D$2010,$C$7,'LAC 102_Wkst'!$I$7:$I$2010,$C$9,'LAC 102_Wkst'!$E$7:$E$2010,$C50,'LAC 102_Wkst'!$G$7:$G$2010,$D50,'LAC 102_Wkst'!$L$7:$L$2010,"01",'LAC 102_Wkst'!$N$7:$N$2010,"P2")+SUMIFS('LAC 102_Wkst'!$AF$7:$AF$2010,'LAC 102_Wkst'!$D$7:$D$2010,$C$7,'LAC 102_Wkst'!$I$7:$I$2010,$C$9,'LAC 102_Wkst'!$E$7:$E$2010,$C50,'LAC 102_Wkst'!$G$7:$G$2010,$D50,'LAC 102_Wkst'!$L$7:$L$2010,"01",'LAC 102_Wkst'!$N$7:$N$2010,"P3")+SUMIFS('LAC 102_Wkst'!$AF$7:$AF$2010,'LAC 102_Wkst'!$D$7:$D$2010,$C$7,'LAC 102_Wkst'!$I$7:$I$2010,$C$9,'LAC 102_Wkst'!$E$7:$E$2010,$C50,'LAC 102_Wkst'!$G$7:$G$2010,$D50,'LAC 102_Wkst'!$L$7:$L$2010,"02",'LAC 102_Wkst'!$N$7:$N$2010,"P1")+SUMIFS('LAC 102_Wkst'!$AF$7:$AF$2010,'LAC 102_Wkst'!$D$7:$D$2010,$C$7,'LAC 102_Wkst'!$I$7:$I$2010,$C$9,'LAC 102_Wkst'!$E$7:$E$2010,$C50,'LAC 102_Wkst'!$G$7:$G$2010,$D50,'LAC 102_Wkst'!$L$7:$L$2010,"02",'LAC 102_Wkst'!$N$7:$N$2010,"P2")+SUMIFS('LAC 102_Wkst'!$AF$7:$AF$2010,'LAC 102_Wkst'!$D$7:$D$2010,$C$7,'LAC 102_Wkst'!$I$7:$I$2010,$C$9,'LAC 102_Wkst'!$E$7:$E$2010,$C50,'LAC 102_Wkst'!$G$7:$G$2010,$D50,'LAC 102_Wkst'!$L$7:$L$2010,"02",'LAC 102_Wkst'!$N$7:$N$2010,"P3")</f>
        <v>0</v>
      </c>
      <c r="H50" s="410">
        <f>SUMIFS('LAC 102_Wkst'!$Q$7:$Q$2010,'LAC 102_Wkst'!$D$7:$D$2010,$C$7,'LAC 102_Wkst'!$I$7:$I$2010,$C$9,'LAC 102_Wkst'!$E$7:$E$2010,$C50,'LAC 102_Wkst'!$G$7:$G$2010,$D50,'LAC 102_Wkst'!$L$7:$L$2010,"01",'LAC 102_Wkst'!$N$7:$N$2010,"P4")+SUMIFS('LAC 102_Wkst'!$Q$7:$Q$2010,'LAC 102_Wkst'!$D$7:$D$2010,$C$7,'LAC 102_Wkst'!$I$7:$I$2010,$C$9,'LAC 102_Wkst'!$E$7:$E$2010,$C50,'LAC 102_Wkst'!$G$7:$G$2010,$D50,'LAC 102_Wkst'!$L$7:$L$2010,"02",'LAC 102_Wkst'!$N$7:$N$2010,"P4")</f>
        <v>0</v>
      </c>
      <c r="I50" s="411">
        <f>SUMIFS('LAC 102_Wkst'!$AF$7:$AF$2010,'LAC 102_Wkst'!$D$7:$D$2010,$C$7,'LAC 102_Wkst'!$I$7:$I$2010,$C$9,'LAC 102_Wkst'!$E$7:$E$2010,$C50,'LAC 102_Wkst'!$G$7:$G$2010,$D50,'LAC 102_Wkst'!$L$7:$L$2010,"01",'LAC 102_Wkst'!$N$7:$N$2010,"P4")+SUMIFS('LAC 102_Wkst'!$AF$7:$AF$2010,'LAC 102_Wkst'!$D$7:$D$2010,$C$7,'LAC 102_Wkst'!$I$7:$I$2010,$C$9,'LAC 102_Wkst'!$E$7:$E$2010,$C50,'LAC 102_Wkst'!$G$7:$G$2010,$D50,'LAC 102_Wkst'!$L$7:$L$2010,"02",'LAC 102_Wkst'!$N$7:$N$2010,"P4")</f>
        <v>0</v>
      </c>
      <c r="J50" s="410">
        <f>SUMIFS('LAC 102_Wkst'!$Q$7:$Q$2010,'LAC 102_Wkst'!$D$7:$D$2010,$C$7,'LAC 102_Wkst'!$I$7:$I$2010,$C$9,'LAC 102_Wkst'!$E$7:$E$2010,$C50,'LAC 102_Wkst'!$G$7:$G$2010,$D50,'LAC 102_Wkst'!$L$7:$L$2010,"01",'LAC 102_Wkst'!$N$7:$N$2010,"P5")+SUMIFS('LAC 102_Wkst'!$Q$7:$Q$2010,'LAC 102_Wkst'!$D$7:$D$2010,$C$7,'LAC 102_Wkst'!$I$7:$I$2010,$C$9,'LAC 102_Wkst'!$E$7:$E$2010,$C50,'LAC 102_Wkst'!$G$7:$G$2010,$D50,'LAC 102_Wkst'!$L$7:$L$2010,"02",'LAC 102_Wkst'!$N$7:$N$2010,"P5")</f>
        <v>0</v>
      </c>
      <c r="K50" s="411">
        <f>SUMIFS('LAC 102_Wkst'!$AF$7:$AF$2010,'LAC 102_Wkst'!$D$7:$D$2010,$C$7,'LAC 102_Wkst'!$I$7:$I$2010,$C$9,'LAC 102_Wkst'!$E$7:$E$2010,$C50,'LAC 102_Wkst'!$G$7:$G$2010,$D50,'LAC 102_Wkst'!$L$7:$L$2010,"01",'LAC 102_Wkst'!$N$7:$N$2010,"P5")+SUMIFS('LAC 102_Wkst'!$AF$7:$AF$2010,'LAC 102_Wkst'!$D$7:$D$2010,$C$7,'LAC 102_Wkst'!$I$7:$I$2010,$C$9,'LAC 102_Wkst'!$E$7:$E$2010,$C50,'LAC 102_Wkst'!$G$7:$G$2010,$D50,'LAC 102_Wkst'!$L$7:$L$2010,"02",'LAC 102_Wkst'!$N$7:$N$2010,"P5")</f>
        <v>0</v>
      </c>
      <c r="L50" s="410">
        <f>SUMIFS('LAC 102_Wkst'!$Q$7:$Q$2010,'LAC 102_Wkst'!$D$7:$D$2010,$C$7,'LAC 102_Wkst'!$I$7:$I$2010,$C$9,'LAC 102_Wkst'!$E$7:$E$2010,$C50,'LAC 102_Wkst'!$G$7:$G$2010,$D50,'LAC 102_Wkst'!$L$7:$L$2010,"03",'LAC 102_Wkst'!$N$7:$N$2010,"P1")+SUMIFS('LAC 102_Wkst'!$Q$7:$Q$2010,'LAC 102_Wkst'!$D$7:$D$2010,$C$7,'LAC 102_Wkst'!$I$7:$I$2010,$C$9,'LAC 102_Wkst'!$E$7:$E$2010,$C50,'LAC 102_Wkst'!$G$7:$G$2010,$D50,'LAC 102_Wkst'!$L$7:$L$2010,"03",'LAC 102_Wkst'!$N$7:$N$2010,"P2")+SUMIFS('LAC 102_Wkst'!$Q$7:$Q$2010,'LAC 102_Wkst'!$D$7:$D$2010,$C$7,'LAC 102_Wkst'!$I$7:$I$2010,$C$9,'LAC 102_Wkst'!$E$7:$E$2010,$C50,'LAC 102_Wkst'!$G$7:$G$2010,$D50,'LAC 102_Wkst'!$L$7:$L$2010,"03",'LAC 102_Wkst'!$N$7:$N$2010,"P3")+SUMIFS('LAC 102_Wkst'!$Q$7:$Q$2010,'LAC 102_Wkst'!$D$7:$D$2010,$C$7,'LAC 102_Wkst'!$I$7:$I$2010,$C$9,'LAC 102_Wkst'!$E$7:$E$2010,$C50,'LAC 102_Wkst'!$G$7:$G$2010,$D50,'LAC 102_Wkst'!$L$7:$L$2010,"04",'LAC 102_Wkst'!$N$7:$N$2010,"P1")+SUMIFS('LAC 102_Wkst'!$Q$7:$Q$2010,'LAC 102_Wkst'!$D$7:$D$2010,$C$7,'LAC 102_Wkst'!$I$7:$I$2010,$C$9,'LAC 102_Wkst'!$E$7:$E$2010,$C50,'LAC 102_Wkst'!$G$7:$G$2010,$D50,'LAC 102_Wkst'!$L$7:$L$2010,"04",'LAC 102_Wkst'!$N$7:$N$2010,"P2")+SUMIFS('LAC 102_Wkst'!$Q$7:$Q$2010,'LAC 102_Wkst'!$D$7:$D$2010,$C$7,'LAC 102_Wkst'!$I$7:$I$2010,$C$9,'LAC 102_Wkst'!$E$7:$E$2010,$C50,'LAC 102_Wkst'!$G$7:$G$2010,$D50,'LAC 102_Wkst'!$L$7:$L$2010,"04",'LAC 102_Wkst'!$N$7:$N$2010,"P3")</f>
        <v>0</v>
      </c>
      <c r="M50" s="411">
        <f>SUMIFS('LAC 102_Wkst'!$AF$7:$AF$2010,'LAC 102_Wkst'!$D$7:$D$2010,$C$7,'LAC 102_Wkst'!$I$7:$I$2010,$C$9,'LAC 102_Wkst'!$E$7:$E$2010,$C50,'LAC 102_Wkst'!$G$7:$G$2010,$D50,'LAC 102_Wkst'!$L$7:$L$2010,"03",'LAC 102_Wkst'!$N$7:$N$2010,"P1")+SUMIFS('LAC 102_Wkst'!$AF$7:$AF$2010,'LAC 102_Wkst'!$D$7:$D$2010,$C$7,'LAC 102_Wkst'!$I$7:$I$2010,$C$9,'LAC 102_Wkst'!$E$7:$E$2010,$C50,'LAC 102_Wkst'!$G$7:$G$2010,$D50,'LAC 102_Wkst'!$L$7:$L$2010,"03",'LAC 102_Wkst'!$N$7:$N$2010,"P2")+SUMIFS('LAC 102_Wkst'!$AF$7:$AF$2010,'LAC 102_Wkst'!$D$7:$D$2010,$C$7,'LAC 102_Wkst'!$I$7:$I$2010,$C$9,'LAC 102_Wkst'!$E$7:$E$2010,$C50,'LAC 102_Wkst'!$G$7:$G$2010,$D50,'LAC 102_Wkst'!$L$7:$L$2010,"03",'LAC 102_Wkst'!$N$7:$N$2010,"P3")+SUMIFS('LAC 102_Wkst'!$AF$7:$AF$2010,'LAC 102_Wkst'!$D$7:$D$2010,$C$7,'LAC 102_Wkst'!$I$7:$I$2010,$C$9,'LAC 102_Wkst'!$E$7:$E$2010,$C50,'LAC 102_Wkst'!$G$7:$G$2010,$D50,'LAC 102_Wkst'!$L$7:$L$2010,"04",'LAC 102_Wkst'!$N$7:$N$2010,"P1")+SUMIFS('LAC 102_Wkst'!$AF$7:$AF$2010,'LAC 102_Wkst'!$D$7:$D$2010,$C$7,'LAC 102_Wkst'!$I$7:$I$2010,$C$9,'LAC 102_Wkst'!$E$7:$E$2010,$C50,'LAC 102_Wkst'!$G$7:$G$2010,$D50,'LAC 102_Wkst'!$L$7:$L$2010,"04",'LAC 102_Wkst'!$N$7:$N$2010,"P2")+SUMIFS('LAC 102_Wkst'!$AF$7:$AF$2010,'LAC 102_Wkst'!$D$7:$D$2010,$C$7,'LAC 102_Wkst'!$I$7:$I$2010,$C$9,'LAC 102_Wkst'!$E$7:$E$2010,$C50,'LAC 102_Wkst'!$G$7:$G$2010,$D50,'LAC 102_Wkst'!$L$7:$L$2010,"04",'LAC 102_Wkst'!$N$7:$N$2010,"P3")</f>
        <v>0</v>
      </c>
      <c r="N50" s="410">
        <f>SUMIFS('LAC 102_Wkst'!$Q$7:$Q$2010,'LAC 102_Wkst'!$D$7:$D$2010,$C$7,'LAC 102_Wkst'!$I$7:$I$2010,$C$9,'LAC 102_Wkst'!$E$7:$E$2010,$C50,'LAC 102_Wkst'!$G$7:$G$2010,$D50,'LAC 102_Wkst'!$L$7:$L$2010,"03",'LAC 102_Wkst'!$N$7:$N$2010,"P4")+SUMIFS('LAC 102_Wkst'!$Q$7:$Q$2010,'LAC 102_Wkst'!$D$7:$D$2010,$C$7,'LAC 102_Wkst'!$I$7:$I$2010,$C$9,'LAC 102_Wkst'!$E$7:$E$2010,$C50,'LAC 102_Wkst'!$G$7:$G$2010,$D50,'LAC 102_Wkst'!$L$7:$L$2010,"04",'LAC 102_Wkst'!$N$7:$N$2010,"P4")</f>
        <v>0</v>
      </c>
      <c r="O50" s="411">
        <f>SUMIFS('LAC 102_Wkst'!$AF$7:$AF$2010,'LAC 102_Wkst'!$D$7:$D$2010,$C$7,'LAC 102_Wkst'!$I$7:$I$2010,$C$9,'LAC 102_Wkst'!$E$7:$E$2010,$C50,'LAC 102_Wkst'!$G$7:$G$2010,$D50,'LAC 102_Wkst'!$L$7:$L$2010,"03",'LAC 102_Wkst'!$N$7:$N$2010,"P4")+SUMIFS('LAC 102_Wkst'!$AF$7:$AF$2010,'LAC 102_Wkst'!$D$7:$D$2010,$C$7,'LAC 102_Wkst'!$I$7:$I$2010,$C$9,'LAC 102_Wkst'!$E$7:$E$2010,$C50,'LAC 102_Wkst'!$G$7:$G$2010,$D50,'LAC 102_Wkst'!$L$7:$L$2010,"04",'LAC 102_Wkst'!$N$7:$N$2010,"P4")</f>
        <v>0</v>
      </c>
      <c r="P50" s="410">
        <f>SUMIFS('LAC 102_Wkst'!$Q$7:$Q$2010,'LAC 102_Wkst'!$D$7:$D$2010,$C$7,'LAC 102_Wkst'!$I$7:$I$2010,$C$9,'LAC 102_Wkst'!$E$7:$E$2010,$C50,'LAC 102_Wkst'!$G$7:$G$2010,$D50,'LAC 102_Wkst'!$L$7:$L$2010,"03",'LAC 102_Wkst'!$N$7:$N$2010,"P5")+SUMIFS('LAC 102_Wkst'!$Q$7:$Q$2010,'LAC 102_Wkst'!$D$7:$D$2010,$C$7,'LAC 102_Wkst'!$I$7:$I$2010,$C$9,'LAC 102_Wkst'!$E$7:$E$2010,$C50,'LAC 102_Wkst'!$G$7:$G$2010,$D50,'LAC 102_Wkst'!$L$7:$L$2010,"04",'LAC 102_Wkst'!$N$7:$N$2010,"P5")</f>
        <v>0</v>
      </c>
      <c r="Q50" s="411">
        <f>SUMIFS('LAC 102_Wkst'!$AF$7:$AF$2010,'LAC 102_Wkst'!$D$7:$D$2010,$C$7,'LAC 102_Wkst'!$I$7:$I$2010,$C$9,'LAC 102_Wkst'!$E$7:$E$2010,$C50,'LAC 102_Wkst'!$G$7:$G$2010,$D50,'LAC 102_Wkst'!$L$7:$L$2010,"03",'LAC 102_Wkst'!$N$7:$N$2010,"P5")+SUMIFS('LAC 102_Wkst'!$AF$7:$AF$2010,'LAC 102_Wkst'!$D$7:$D$2010,$C$7,'LAC 102_Wkst'!$I$7:$I$2010,$C$9,'LAC 102_Wkst'!$E$7:$E$2010,$C50,'LAC 102_Wkst'!$G$7:$G$2010,$D50,'LAC 102_Wkst'!$L$7:$L$2010,"04",'LAC 102_Wkst'!$N$7:$N$2010,"P5")</f>
        <v>0</v>
      </c>
      <c r="R50" s="412">
        <f>SUMIFS('LAC 102_Wkst'!$Q$7:$Q$2010,'LAC 102_Wkst'!$D$7:$D$2010,$C$7,'LAC 102_Wkst'!$I$7:$I$2010,$C$9,'LAC 102_Wkst'!$E$7:$E$2010,$C50,'LAC 102_Wkst'!$G$7:$G$2010,$D50,'LAC 102_Wkst'!$L$7:$L$2010,"05",'LAC 102_Wkst'!$N$7:$N$2010,"P1")+SUMIFS('LAC 102_Wkst'!$Q$7:$Q$2010,'LAC 102_Wkst'!$D$7:$D$2010,$C$7,'LAC 102_Wkst'!$I$7:$I$2010,$C$9,'LAC 102_Wkst'!$E$7:$E$2010,$C50,'LAC 102_Wkst'!$G$7:$G$2010,$D50,'LAC 102_Wkst'!$L$7:$L$2010,"06",'LAC 102_Wkst'!$N$7:$N$2010,"P1")</f>
        <v>0</v>
      </c>
      <c r="S50" s="411">
        <f>SUMIFS('LAC 102_Wkst'!$AF$7:$AF$2010,'LAC 102_Wkst'!$D$7:$D$2010,$C$7,'LAC 102_Wkst'!$I$7:$I$2010,$C$9,'LAC 102_Wkst'!$E$7:$E$2010,$C50,'LAC 102_Wkst'!$G$7:$G$2010,$D50,'LAC 102_Wkst'!$L$7:$L$2010,"05",'LAC 102_Wkst'!$N$7:$N$2010,"P1")+SUMIFS('LAC 102_Wkst'!$AF$7:$AF$2010,'LAC 102_Wkst'!$D$7:$D$2010,$C$7,'LAC 102_Wkst'!$I$7:$I$2010,$C$9,'LAC 102_Wkst'!$E$7:$E$2010,$C50,'LAC 102_Wkst'!$G$7:$G$2010,$D50,'LAC 102_Wkst'!$L$7:$L$2010,"06",'LAC 102_Wkst'!$N$7:$N$2010,"P1")</f>
        <v>0</v>
      </c>
      <c r="T50" s="410">
        <f>SUMIFS('LAC 102_Wkst'!$Q$7:$Q$2010,'LAC 102_Wkst'!$D$7:$D$2010,$C$7,'LAC 102_Wkst'!$I$7:$I$2010,$C$9,'LAC 102_Wkst'!$E$7:$E$2010,$C50,'LAC 102_Wkst'!$G$7:$G$2010,$D50,'LAC 102_Wkst'!$L$7:$L$2010,"05",'LAC 102_Wkst'!$N$7:$N$2010,"P2")+SUMIFS('LAC 102_Wkst'!$Q$7:$Q$2010,'LAC 102_Wkst'!$D$7:$D$2010,$C$7,'LAC 102_Wkst'!$I$7:$I$2010,$C$9,'LAC 102_Wkst'!$E$7:$E$2010,$C50,'LAC 102_Wkst'!$G$7:$G$2010,$D50,'LAC 102_Wkst'!$L$7:$L$2010,"06",'LAC 102_Wkst'!$N$7:$N$2010,"P2")+SUMIFS('LAC 102_Wkst'!$Q$7:$Q$2010,'LAC 102_Wkst'!$D$7:$D$2010,$C$7,'LAC 102_Wkst'!$I$7:$I$2010,$C$9,'LAC 102_Wkst'!$E$7:$E$2010,$C50,'LAC 102_Wkst'!$G$7:$G$2010,$D50,'LAC 102_Wkst'!$L$7:$L$2010,"05",'LAC 102_Wkst'!$N$7:$N$2010,"P3")+SUMIFS('LAC 102_Wkst'!$Q$7:$Q$2010,'LAC 102_Wkst'!$D$7:$D$2010,$C$7,'LAC 102_Wkst'!$I$7:$I$2010,$C$9,'LAC 102_Wkst'!$E$7:$E$2010,$C50,'LAC 102_Wkst'!$G$7:$G$2010,$D50,'LAC 102_Wkst'!$L$7:$L$2010,"06",'LAC 102_Wkst'!$N$7:$N$2010,"P3")</f>
        <v>0</v>
      </c>
      <c r="U50" s="411">
        <f>SUMIFS('LAC 102_Wkst'!$AF$7:$AF$2010,'LAC 102_Wkst'!$D$7:$D$2010,$C$7,'LAC 102_Wkst'!$I$7:$I$2010,$C$9,'LAC 102_Wkst'!$E$7:$E$2010,$C50,'LAC 102_Wkst'!$G$7:$G$2010,$D50,'LAC 102_Wkst'!$L$7:$L$2010,"05",'LAC 102_Wkst'!$N$7:$N$2010,"P2")+SUMIFS('LAC 102_Wkst'!$AF$7:$AF$2010,'LAC 102_Wkst'!$D$7:$D$2010,$C$7,'LAC 102_Wkst'!$I$7:$I$2010,$C$9,'LAC 102_Wkst'!$E$7:$E$2010,$C50,'LAC 102_Wkst'!$G$7:$G$2010,$D50,'LAC 102_Wkst'!$L$7:$L$2010,"06",'LAC 102_Wkst'!$N$7:$N$2010,"P2")+SUMIFS('LAC 102_Wkst'!$AF$7:$AF$2010,'LAC 102_Wkst'!$D$7:$D$2010,$C$7,'LAC 102_Wkst'!$I$7:$I$2010,$C$9,'LAC 102_Wkst'!$E$7:$E$2010,$C50,'LAC 102_Wkst'!$G$7:$G$2010,$D50,'LAC 102_Wkst'!$L$7:$L$2010,"05",'LAC 102_Wkst'!$N$7:$N$2010,"P3")+SUMIFS('LAC 102_Wkst'!$AF$7:$AF$2010,'LAC 102_Wkst'!$D$7:$D$2010,$C$7,'LAC 102_Wkst'!$I$7:$I$2010,$C$9,'LAC 102_Wkst'!$E$7:$E$2010,$C50,'LAC 102_Wkst'!$G$7:$G$2010,$D50,'LAC 102_Wkst'!$L$7:$L$2010,"06",'LAC 102_Wkst'!$N$7:$N$2010,"P3")</f>
        <v>0</v>
      </c>
      <c r="V50" s="410">
        <f>SUMIFS('LAC 102_Wkst'!$Q$7:$Q$2010,'LAC 102_Wkst'!$D$7:$D$2010,$C$7,'LAC 102_Wkst'!$I$7:$I$2010,$C$9,'LAC 102_Wkst'!$E$7:$E$2010,$C50,'LAC 102_Wkst'!$G$7:$G$2010,$D50,'LAC 102_Wkst'!$L$7:$L$2010,"05",'LAC 102_Wkst'!$N$7:$N$2010,"P4")+SUMIFS('LAC 102_Wkst'!$Q$7:$Q$2010,'LAC 102_Wkst'!$D$7:$D$2010,$C$7,'LAC 102_Wkst'!$I$7:$I$2010,$C$9,'LAC 102_Wkst'!$E$7:$E$2010,$C50,'LAC 102_Wkst'!$G$7:$G$2010,$D50,'LAC 102_Wkst'!$L$7:$L$2010,"06",'LAC 102_Wkst'!$N$7:$N$2010,"P4")</f>
        <v>0</v>
      </c>
      <c r="W50" s="411">
        <f>SUMIFS('LAC 102_Wkst'!$AF$7:$AF$2010,'LAC 102_Wkst'!$D$7:$D$2010,$C$7,'LAC 102_Wkst'!$I$7:$I$2010,$C$9,'LAC 102_Wkst'!$E$7:$E$2010,$C50,'LAC 102_Wkst'!$G$7:$G$2010,$D50,'LAC 102_Wkst'!$L$7:$L$2010,"05",'LAC 102_Wkst'!$N$7:$N$2010,"P4")+SUMIFS('LAC 102_Wkst'!$AF$7:$AF$2010,'LAC 102_Wkst'!$D$7:$D$2010,$C$7,'LAC 102_Wkst'!$I$7:$I$2010,$C$9,'LAC 102_Wkst'!$E$7:$E$2010,$C50,'LAC 102_Wkst'!$G$7:$G$2010,$D50,'LAC 102_Wkst'!$L$7:$L$2010,"06",'LAC 102_Wkst'!$N$7:$N$2010,"P4")</f>
        <v>0</v>
      </c>
      <c r="X50" s="410">
        <f>SUMIFS('LAC 102_Wkst'!$Q$7:$Q$2010,'LAC 102_Wkst'!$D$7:$D$2010,$C$7,'LAC 102_Wkst'!$I$7:$I$2010,$C$9,'LAC 102_Wkst'!$E$7:$E$2010,$C50,'LAC 102_Wkst'!$G$7:$G$2010,$D50,'LAC 102_Wkst'!$L$7:$L$2010,"05",'LAC 102_Wkst'!$N$7:$N$2010,"P5")+SUMIFS('LAC 102_Wkst'!$Q$7:$Q$2010,'LAC 102_Wkst'!$D$7:$D$2010,$C$7,'LAC 102_Wkst'!$I$7:$I$2010,$C$9,'LAC 102_Wkst'!$E$7:$E$2010,$C50,'LAC 102_Wkst'!$G$7:$G$2010,$D50,'LAC 102_Wkst'!$L$7:$L$2010,"06",'LAC 102_Wkst'!$N$7:$N$2010,"P5")</f>
        <v>0</v>
      </c>
      <c r="Y50" s="411">
        <f>SUMIFS('LAC 102_Wkst'!$AF$7:$AF$2010,'LAC 102_Wkst'!$D$7:$D$2010,$C$7,'LAC 102_Wkst'!$I$7:$I$2010,$C$9,'LAC 102_Wkst'!$E$7:$E$2010,$C50,'LAC 102_Wkst'!$G$7:$G$2010,$D50,'LAC 102_Wkst'!$L$7:$L$2010,"05",'LAC 102_Wkst'!$N$7:$N$2010,"P5")+SUMIFS('LAC 102_Wkst'!$AF$7:$AF$2010,'LAC 102_Wkst'!$D$7:$D$2010,$C$7,'LAC 102_Wkst'!$I$7:$I$2010,$C$9,'LAC 102_Wkst'!$E$7:$E$2010,$C50,'LAC 102_Wkst'!$G$7:$G$2010,$D50,'LAC 102_Wkst'!$L$7:$L$2010,"06",'LAC 102_Wkst'!$N$7:$N$2010,"P5")</f>
        <v>0</v>
      </c>
      <c r="Z50" s="410">
        <f>SUMIFS('LAC 102_Wkst'!$Q$7:$Q$2010,'LAC 102_Wkst'!$D$7:$D$2010,$C$7,'LAC 102_Wkst'!$I$7:$I$2010,$C$9,'LAC 102_Wkst'!$E$7:$E$2010,$C50,'LAC 102_Wkst'!$G$7:$G$2010,$D50,'LAC 102_Wkst'!$L$7:$L$2010,"07",'LAC 102_Wkst'!$N$7:$N$2010,"P1")+SUMIFS('LAC 102_Wkst'!$Q$7:$Q$2010,'LAC 102_Wkst'!$D$7:$D$2010,$C$7,'LAC 102_Wkst'!$I$7:$I$2010,$C$9,'LAC 102_Wkst'!$E$7:$E$2010,$C50,'LAC 102_Wkst'!$G$7:$G$2010,$D50,'LAC 102_Wkst'!$L$7:$L$2010,"07",'LAC 102_Wkst'!$N$7:$N$2010,"P2")+SUMIFS('LAC 102_Wkst'!$Q$7:$Q$2010,'LAC 102_Wkst'!$D$7:$D$2010,$C$7,'LAC 102_Wkst'!$I$7:$I$2010,$C$9,'LAC 102_Wkst'!$E$7:$E$2010,$C50,'LAC 102_Wkst'!$G$7:$G$2010,$D50,'LAC 102_Wkst'!$L$7:$L$2010,"07",'LAC 102_Wkst'!$N$7:$N$2010,"P3")</f>
        <v>0</v>
      </c>
      <c r="AA50" s="411">
        <f>SUMIFS('LAC 102_Wkst'!$AF$7:$AF$2010,'LAC 102_Wkst'!$D$7:$D$2010,$C$7,'LAC 102_Wkst'!$I$7:$I$2010,$C$9,'LAC 102_Wkst'!$E$7:$E$2010,$C50,'LAC 102_Wkst'!$G$7:$G$2010,$D50,'LAC 102_Wkst'!$L$7:$L$2010,"07",'LAC 102_Wkst'!$N$7:$N$2010,"P1")+SUMIFS('LAC 102_Wkst'!$AF$7:$AF$2010,'LAC 102_Wkst'!$D$7:$D$2010,$C$7,'LAC 102_Wkst'!$I$7:$I$2010,$C$9,'LAC 102_Wkst'!$E$7:$E$2010,$C50,'LAC 102_Wkst'!$G$7:$G$2010,$D50,'LAC 102_Wkst'!$L$7:$L$2010,"07",'LAC 102_Wkst'!$N$7:$N$2010,"P2")+SUMIFS('LAC 102_Wkst'!$AF$7:$AF$2010,'LAC 102_Wkst'!$D$7:$D$2010,$C$7,'LAC 102_Wkst'!$I$7:$I$2010,$C$9,'LAC 102_Wkst'!$E$7:$E$2010,$C50,'LAC 102_Wkst'!$G$7:$G$2010,$D50,'LAC 102_Wkst'!$L$7:$L$2010,"07",'LAC 102_Wkst'!$N$7:$N$2010,"P3")</f>
        <v>0</v>
      </c>
      <c r="AB50" s="410">
        <f>SUMIFS('LAC 102_Wkst'!$Q$7:$Q$2010,'LAC 102_Wkst'!$D$7:$D$2010,$C$7,'LAC 102_Wkst'!$I$7:$I$2010,$C$9,'LAC 102_Wkst'!$E$7:$E$2010,$C50,'LAC 102_Wkst'!$G$7:$G$2010,$D50,'LAC 102_Wkst'!$L$7:$L$2010,"07",'LAC 102_Wkst'!$N$7:$N$2010,"P4")</f>
        <v>0</v>
      </c>
      <c r="AC50" s="411">
        <f>SUMIFS('LAC 102_Wkst'!$AF$7:$AF$2010,'LAC 102_Wkst'!$D$7:$D$2010,$C$7,'LAC 102_Wkst'!$I$7:$I$2010,$C$9,'LAC 102_Wkst'!$E$7:$E$2010,$C50,'LAC 102_Wkst'!$G$7:$G$2010,$D50,'LAC 102_Wkst'!$L$7:$L$2010,"07",'LAC 102_Wkst'!$N$7:$N$2010,"P4")</f>
        <v>0</v>
      </c>
      <c r="AD50" s="410">
        <f>SUMIFS('LAC 102_Wkst'!$Q$7:$Q$2010,'LAC 102_Wkst'!$D$7:$D$2010,$C$7,'LAC 102_Wkst'!$I$7:$I$2010,$C$9,'LAC 102_Wkst'!$E$7:$E$2010,$C50,'LAC 102_Wkst'!$G$7:$G$2010,$D50,'LAC 102_Wkst'!$L$7:$L$2010,"07",'LAC 102_Wkst'!$N$7:$N$2010,"P5")</f>
        <v>0</v>
      </c>
      <c r="AE50" s="411">
        <f>SUMIFS('LAC 102_Wkst'!$AF$7:$AF$2010,'LAC 102_Wkst'!$D$7:$D$2010,$C$7,'LAC 102_Wkst'!$I$7:$I$2010,$C$9,'LAC 102_Wkst'!$E$7:$E$2010,$C50,'LAC 102_Wkst'!$G$7:$G$2010,$D50,'LAC 102_Wkst'!$L$7:$L$2010,"07",'LAC 102_Wkst'!$N$7:$N$2010,"P5")</f>
        <v>0</v>
      </c>
      <c r="AF50" s="410">
        <f>SUMIFS('LAC 102_Wkst'!$Q$7:$Q$2010,'LAC 102_Wkst'!$D$7:$D$2010,$C$7,'LAC 102_Wkst'!$I$7:$I$2010,$C$9,'LAC 102_Wkst'!$E$7:$E$2010,$C50,'LAC 102_Wkst'!$G$7:$G$2010,$D50,'LAC 102_Wkst'!$L$7:$L$2010,"08",'LAC 102_Wkst'!$N$7:$N$2010,"P1")+SUMIFS('LAC 102_Wkst'!$Q$7:$Q$2010,'LAC 102_Wkst'!$D$7:$D$2010,$C$7,'LAC 102_Wkst'!$I$7:$I$2010,$C$9,'LAC 102_Wkst'!$E$7:$E$2010,$C50,'LAC 102_Wkst'!$G$7:$G$2010,$D50,'LAC 102_Wkst'!$L$7:$L$2010,"08",'LAC 102_Wkst'!$N$7:$N$2010,"P2")+SUMIFS('LAC 102_Wkst'!$Q$7:$Q$2010,'LAC 102_Wkst'!$D$7:$D$2010,$C$7,'LAC 102_Wkst'!$I$7:$I$2010,$C$9,'LAC 102_Wkst'!$E$7:$E$2010,$C50,'LAC 102_Wkst'!$G$7:$G$2010,$D50,'LAC 102_Wkst'!$L$7:$L$2010,"08",'LAC 102_Wkst'!$N$7:$N$2010,"P3")</f>
        <v>0</v>
      </c>
      <c r="AG50" s="411">
        <f>SUMIFS('LAC 102_Wkst'!$AF$7:$AF$2010,'LAC 102_Wkst'!$D$7:$D$2010,$C$7,'LAC 102_Wkst'!$I$7:$I$2010,$C$9,'LAC 102_Wkst'!$E$7:$E$2010,$C50,'LAC 102_Wkst'!$G$7:$G$2010,$D50,'LAC 102_Wkst'!$L$7:$L$2010,"08",'LAC 102_Wkst'!$N$7:$N$2010,"P1")+SUMIFS('LAC 102_Wkst'!$AF$7:$AF$2010,'LAC 102_Wkst'!$D$7:$D$2010,$C$7,'LAC 102_Wkst'!$I$7:$I$2010,$C$9,'LAC 102_Wkst'!$E$7:$E$2010,$C50,'LAC 102_Wkst'!$G$7:$G$2010,$D50,'LAC 102_Wkst'!$L$7:$L$2010,"08",'LAC 102_Wkst'!$N$7:$N$2010,"P2")+SUMIFS('LAC 102_Wkst'!$AF$7:$AF$2010,'LAC 102_Wkst'!$D$7:$D$2010,$C$7,'LAC 102_Wkst'!$I$7:$I$2010,$C$9,'LAC 102_Wkst'!$E$7:$E$2010,$C50,'LAC 102_Wkst'!$G$7:$G$2010,$D50,'LAC 102_Wkst'!$L$7:$L$2010,"08",'LAC 102_Wkst'!$N$7:$N$2010,"P3")</f>
        <v>0</v>
      </c>
      <c r="AH50" s="410">
        <f>SUMIFS('LAC 102_Wkst'!$Q$7:$Q$2010,'LAC 102_Wkst'!$D$7:$D$2010,$C$7,'LAC 102_Wkst'!$I$7:$I$2010,$C$9,'LAC 102_Wkst'!$E$7:$E$2010,$C50,'LAC 102_Wkst'!$G$7:$G$2010,$D50,'LAC 102_Wkst'!$L$7:$L$2010,"08",'LAC 102_Wkst'!$N$7:$N$2010,"P4")</f>
        <v>0</v>
      </c>
      <c r="AI50" s="411">
        <f>SUMIFS('LAC 102_Wkst'!$AF$7:$AF$2010,'LAC 102_Wkst'!$D$7:$D$2010,$C$7,'LAC 102_Wkst'!$I$7:$I$2010,$C$9,'LAC 102_Wkst'!$E$7:$E$2010,$C50,'LAC 102_Wkst'!$G$7:$G$2010,$D50,'LAC 102_Wkst'!$L$7:$L$2010,"08",'LAC 102_Wkst'!$N$7:$N$2010,"P4")</f>
        <v>0</v>
      </c>
      <c r="AJ50" s="410">
        <f>SUMIFS('LAC 102_Wkst'!$Q$7:$Q$2010,'LAC 102_Wkst'!$D$7:$D$2010,$C$7,'LAC 102_Wkst'!$I$7:$I$2010,$C$9,'LAC 102_Wkst'!$E$7:$E$2010,$C50,'LAC 102_Wkst'!$G$7:$G$2010,$D50,'LAC 102_Wkst'!$L$7:$L$2010,"08",'LAC 102_Wkst'!$N$7:$N$2010,"P5")</f>
        <v>0</v>
      </c>
      <c r="AK50" s="411">
        <f>SUMIFS('LAC 102_Wkst'!$AF$7:$AF$2010,'LAC 102_Wkst'!$D$7:$D$2010,$C$7,'LAC 102_Wkst'!$I$7:$I$2010,$C$9,'LAC 102_Wkst'!$E$7:$E$2010,$C50,'LAC 102_Wkst'!$G$7:$G$2010,$D50,'LAC 102_Wkst'!$L$7:$L$2010,"08",'LAC 102_Wkst'!$N$7:$N$2010,"P5")</f>
        <v>0</v>
      </c>
      <c r="AL50" s="410">
        <f>SUMIFS('LAC 102_Wkst'!$Q$7:$Q$2010,'LAC 102_Wkst'!$D$7:$D$2010,$C$7,'LAC 102_Wkst'!$I$7:$I$2010,$C$9,'LAC 102_Wkst'!$E$7:$E$2010,$C50,'LAC 102_Wkst'!$G$7:$G$2010,$D50,'LAC 102_Wkst'!$L$7:$L$2010,"09",'LAC 102_Wkst'!$N$7:$N$2010,"P1")+SUMIFS('LAC 102_Wkst'!$Q$7:$Q$2010,'LAC 102_Wkst'!$D$7:$D$2010,$C$7,'LAC 102_Wkst'!$I$7:$I$2010,$C$9,'LAC 102_Wkst'!$E$7:$E$2010,$C50,'LAC 102_Wkst'!$G$7:$G$2010,$D50,'LAC 102_Wkst'!$L$7:$L$2010,"09",'LAC 102_Wkst'!$N$7:$N$2010,"P2")+SUMIFS('LAC 102_Wkst'!$Q$7:$Q$2010,'LAC 102_Wkst'!$D$7:$D$2010,$C$7,'LAC 102_Wkst'!$I$7:$I$2010,$C$9,'LAC 102_Wkst'!$E$7:$E$2010,$C50,'LAC 102_Wkst'!$G$7:$G$2010,$D50,'LAC 102_Wkst'!$L$7:$L$2010,"09",'LAC 102_Wkst'!$N$7:$N$2010,"P3")+SUMIFS('LAC 102_Wkst'!$Q$7:$Q$2010,'LAC 102_Wkst'!$D$7:$D$2010,$C$7,'LAC 102_Wkst'!$I$7:$I$2010,$C$9,'LAC 102_Wkst'!$E$7:$E$2010,$C50,'LAC 102_Wkst'!$G$7:$G$2010,$D50,'LAC 102_Wkst'!$L$7:$L$2010,"09",'LAC 102_Wkst'!$N$7:$N$2010,"P4")</f>
        <v>0</v>
      </c>
      <c r="AM50" s="411">
        <f>SUMIFS('LAC 102_Wkst'!$AF$7:$AF$2010,'LAC 102_Wkst'!$D$7:$D$2010,$C$7,'LAC 102_Wkst'!$I$7:$I$2010,$C$9,'LAC 102_Wkst'!$E$7:$E$2010,$C50,'LAC 102_Wkst'!$G$7:$G$2010,$D50,'LAC 102_Wkst'!$L$7:$L$2010,"09",'LAC 102_Wkst'!$N$7:$N$2010,"P1")+SUMIFS('LAC 102_Wkst'!$AF$7:$AF$2010,'LAC 102_Wkst'!$D$7:$D$2010,$C$7,'LAC 102_Wkst'!$I$7:$I$2010,$C$9,'LAC 102_Wkst'!$E$7:$E$2010,$C50,'LAC 102_Wkst'!$G$7:$G$2010,$D50,'LAC 102_Wkst'!$L$7:$L$2010,"09",'LAC 102_Wkst'!$N$7:$N$2010,"P2")+SUMIFS('LAC 102_Wkst'!$AF$7:$AF$2010,'LAC 102_Wkst'!$D$7:$D$2010,$C$7,'LAC 102_Wkst'!$I$7:$I$2010,$C$9,'LAC 102_Wkst'!$E$7:$E$2010,$C50,'LAC 102_Wkst'!$G$7:$G$2010,$D50,'LAC 102_Wkst'!$L$7:$L$2010,"09",'LAC 102_Wkst'!$N$7:$N$2010,"P3")+SUMIFS('LAC 102_Wkst'!$AF$7:$AF$2010,'LAC 102_Wkst'!$D$7:$D$2010,$C$7,'LAC 102_Wkst'!$I$7:$I$2010,$C$9,'LAC 102_Wkst'!$E$7:$E$2010,$C50,'LAC 102_Wkst'!$G$7:$G$2010,$D50,'LAC 102_Wkst'!$L$7:$L$2010,"09",'LAC 102_Wkst'!$N$7:$N$2010,"P4")</f>
        <v>0</v>
      </c>
      <c r="AN50" s="410">
        <f>SUMIFS('LAC 102_Wkst'!$Q$7:$Q$2010,'LAC 102_Wkst'!$D$7:$D$2010,$C$7,'LAC 102_Wkst'!$I$7:$I$2010,$C$9,'LAC 102_Wkst'!$E$7:$E$2010,$C50,'LAC 102_Wkst'!$G$7:$G$2010,$D50,'LAC 102_Wkst'!$L$7:$L$2010,"09",'LAC 102_Wkst'!$N$7:$N$2010,"P5")</f>
        <v>0</v>
      </c>
      <c r="AO50" s="411">
        <f>SUMIFS('LAC 102_Wkst'!$AF$7:$AF$2010,'LAC 102_Wkst'!$D$7:$D$2010,$C$7,'LAC 102_Wkst'!$I$7:$I$2010,$C$9,'LAC 102_Wkst'!$E$7:$E$2010,$C50,'LAC 102_Wkst'!$G$7:$G$2010,$D50,'LAC 102_Wkst'!$L$7:$L$2010,"09",'LAC 102_Wkst'!$N$7:$N$2010,"P5")</f>
        <v>0</v>
      </c>
      <c r="AP50" s="410">
        <f>SUMIFS('LAC 102_Wkst'!$Q$7:$Q$2010,'LAC 102_Wkst'!$D$7:$D$2010,$C$7,'LAC 102_Wkst'!$I$7:$I$2010,$C$9,'LAC 102_Wkst'!$E$7:$E$2010,$C50,'LAC 102_Wkst'!$G$7:$G$2010,$D50,'LAC 102_Wkst'!$L$7:$L$2010,"10",'LAC 102_Wkst'!$N$7:$N$2010,"P1")+SUMIFS('LAC 102_Wkst'!$Q$7:$Q$2010,'LAC 102_Wkst'!$D$7:$D$2010,$C$7,'LAC 102_Wkst'!$I$7:$I$2010,$C$9,'LAC 102_Wkst'!$E$7:$E$2010,$C50,'LAC 102_Wkst'!$G$7:$G$2010,$D50,'LAC 102_Wkst'!$L$7:$L$2010,"10",'LAC 102_Wkst'!$N$7:$N$2010,"P2")+SUMIFS('LAC 102_Wkst'!$Q$7:$Q$2010,'LAC 102_Wkst'!$D$7:$D$2010,$C$7,'LAC 102_Wkst'!$I$7:$I$2010,$C$9,'LAC 102_Wkst'!$E$7:$E$2010,$C50,'LAC 102_Wkst'!$G$7:$G$2010,$D50,'LAC 102_Wkst'!$L$7:$L$2010,"10",'LAC 102_Wkst'!$N$7:$N$2010,"P3")+SUMIFS('LAC 102_Wkst'!$Q$7:$Q$2010,'LAC 102_Wkst'!$D$7:$D$2010,$C$7,'LAC 102_Wkst'!$I$7:$I$2010,$C$9,'LAC 102_Wkst'!$E$7:$E$2010,$C50,'LAC 102_Wkst'!$G$7:$G$2010,$D50,'LAC 102_Wkst'!$L$7:$L$2010,"10",'LAC 102_Wkst'!$N$7:$N$2010,"P4")</f>
        <v>0</v>
      </c>
      <c r="AQ50" s="411">
        <f>SUMIFS('LAC 102_Wkst'!$AF$7:$AF$2010,'LAC 102_Wkst'!$D$7:$D$2010,$C$7,'LAC 102_Wkst'!$I$7:$I$2010,$C$9,'LAC 102_Wkst'!$E$7:$E$2010,$C50,'LAC 102_Wkst'!$G$7:$G$2010,$D50,'LAC 102_Wkst'!$L$7:$L$2010,"10",'LAC 102_Wkst'!$N$7:$N$2010,"P1")+SUMIFS('LAC 102_Wkst'!$AF$7:$AF$2010,'LAC 102_Wkst'!$D$7:$D$2010,$C$7,'LAC 102_Wkst'!$I$7:$I$2010,$C$9,'LAC 102_Wkst'!$E$7:$E$2010,$C50,'LAC 102_Wkst'!$G$7:$G$2010,$D50,'LAC 102_Wkst'!$L$7:$L$2010,"10",'LAC 102_Wkst'!$N$7:$N$2010,"P2")+SUMIFS('LAC 102_Wkst'!$AF$7:$AF$2010,'LAC 102_Wkst'!$D$7:$D$2010,$C$7,'LAC 102_Wkst'!$I$7:$I$2010,$C$9,'LAC 102_Wkst'!$E$7:$E$2010,$C50,'LAC 102_Wkst'!$G$7:$G$2010,$D50,'LAC 102_Wkst'!$L$7:$L$2010,"10",'LAC 102_Wkst'!$N$7:$N$2010,"P3")+SUMIFS('LAC 102_Wkst'!$AF$7:$AF$2010,'LAC 102_Wkst'!$D$7:$D$2010,$C$7,'LAC 102_Wkst'!$I$7:$I$2010,$C$9,'LAC 102_Wkst'!$E$7:$E$2010,$C50,'LAC 102_Wkst'!$G$7:$G$2010,$D50,'LAC 102_Wkst'!$L$7:$L$2010,"10",'LAC 102_Wkst'!$N$7:$N$2010,"P4")</f>
        <v>0</v>
      </c>
      <c r="AR50" s="410">
        <f>SUMIFS('LAC 102_Wkst'!$Q$7:$Q$2010,'LAC 102_Wkst'!$D$7:$D$2010,$C$7,'LAC 102_Wkst'!$I$7:$I$2010,$C$9,'LAC 102_Wkst'!$E$7:$E$2010,$C50,'LAC 102_Wkst'!$G$7:$G$2010,$D50,'LAC 102_Wkst'!$L$7:$L$2010,"10",'LAC 102_Wkst'!$N$7:$N$2010,"P5")</f>
        <v>0</v>
      </c>
      <c r="AS50" s="411">
        <f>SUMIFS('LAC 102_Wkst'!$AF$7:$AF$2010,'LAC 102_Wkst'!$D$7:$D$2010,$C$7,'LAC 102_Wkst'!$I$7:$I$2010,$C$9,'LAC 102_Wkst'!$E$7:$E$2010,$C50,'LAC 102_Wkst'!$G$7:$G$2010,$D50,'LAC 102_Wkst'!$L$7:$L$2010,"10",'LAC 102_Wkst'!$N$7:$N$2010,"P5")</f>
        <v>0</v>
      </c>
      <c r="AT50" s="410">
        <f>SUMIFS('LAC 102_Wkst'!$Q$7:$Q$2010,'LAC 102_Wkst'!$D$7:$D$2010,$C$7,'LAC 102_Wkst'!$I$7:$I$2010,$C$9,'LAC 102_Wkst'!$E$7:$E$2010,$C50,'LAC 102_Wkst'!$G$7:$G$2010,$D50,'LAC 102_Wkst'!$L$7:$L$2010,"11",'LAC 102_Wkst'!$N$7:$N$2010,"P1")+SUMIFS('LAC 102_Wkst'!$Q$7:$Q$2010,'LAC 102_Wkst'!$D$7:$D$2010,$C$7,'LAC 102_Wkst'!$I$7:$I$2010,$C$9,'LAC 102_Wkst'!$E$7:$E$2010,$C50,'LAC 102_Wkst'!$G$7:$G$2010,$D50,'LAC 102_Wkst'!$L$7:$L$2010,"12",'LAC 102_Wkst'!$N$7:$N$2010,"P1")</f>
        <v>0</v>
      </c>
      <c r="AU50" s="411">
        <f>SUMIFS('LAC 102_Wkst'!$Q$7:$Q$2010,'LAC 102_Wkst'!$D$7:$D$2010,$C$7,'LAC 102_Wkst'!$I$7:$I$2010,$C$9,'LAC 102_Wkst'!$E$7:$E$2010,$C50,'LAC 102_Wkst'!$G$7:$G$2010,$D50,'LAC 102_Wkst'!$L$7:$L$2010,"13",'LAC 102_Wkst'!$N$7:$N$2010,"P5")</f>
        <v>0</v>
      </c>
      <c r="AV50" s="410">
        <f>SUMIFS('LAC 102_Wkst'!$Q$7:$Q$2010,'LAC 102_Wkst'!$D$7:$D$2010,$C$7,'LAC 102_Wkst'!$I$7:$I$2010,$C$9,'LAC 102_Wkst'!$E$7:$E$2010,$C50,'LAC 102_Wkst'!$G$7:$G$2010,$D50,'LAC 102_Wkst'!$L$7:$L$2010,"11",'LAC 102_Wkst'!$N$7:$N$2010,"P2")+SUMIFS('LAC 102_Wkst'!$Q$7:$Q$2010,'LAC 102_Wkst'!$D$7:$D$2010,$C$7,'LAC 102_Wkst'!$I$7:$I$2010,$C$9,'LAC 102_Wkst'!$E$7:$E$2010,$C50,'LAC 102_Wkst'!$G$7:$G$2010,$D50,'LAC 102_Wkst'!$L$7:$L$2010,"12",'LAC 102_Wkst'!$N$7:$N$2010,"P2")+SUMIFS('LAC 102_Wkst'!$Q$7:$Q$2010,'LAC 102_Wkst'!$D$7:$D$2010,$C$7,'LAC 102_Wkst'!$I$7:$I$2010,$C$9,'LAC 102_Wkst'!$E$7:$E$2010,$C50,'LAC 102_Wkst'!$G$7:$G$2010,$D50,'LAC 102_Wkst'!$L$7:$L$2010,"11",'LAC 102_Wkst'!$N$7:$N$2010,"P3")+SUMIFS('LAC 102_Wkst'!$Q$7:$Q$2010,'LAC 102_Wkst'!$D$7:$D$2010,$C$7,'LAC 102_Wkst'!$I$7:$I$2010,$C$9,'LAC 102_Wkst'!$E$7:$E$2010,$C50,'LAC 102_Wkst'!$G$7:$G$2010,$D50,'LAC 102_Wkst'!$L$7:$L$2010,"12",'LAC 102_Wkst'!$N$7:$N$2010,"P3")</f>
        <v>0</v>
      </c>
      <c r="AW50" s="411">
        <f>SUMIFS('LAC 102_Wkst'!$AF$7:$AF$2010,'LAC 102_Wkst'!$D$7:$D$2010,$C$7,'LAC 102_Wkst'!$I$7:$I$2010,$C$9,'LAC 102_Wkst'!$E$7:$E$2010,$C50,'LAC 102_Wkst'!$G$7:$G$2010,$D50,'LAC 102_Wkst'!$L$7:$L$2010,"11",'LAC 102_Wkst'!$N$7:$N$2010,"P2")+SUMIFS('LAC 102_Wkst'!$AF$7:$AF$2010,'LAC 102_Wkst'!$D$7:$D$2010,$C$7,'LAC 102_Wkst'!$I$7:$I$2010,$C$9,'LAC 102_Wkst'!$E$7:$E$2010,$C50,'LAC 102_Wkst'!$G$7:$G$2010,$D50,'LAC 102_Wkst'!$L$7:$L$2010,"12",'LAC 102_Wkst'!$N$7:$N$2010,"P2")+SUMIFS('LAC 102_Wkst'!$AF$7:$AF$2010,'LAC 102_Wkst'!$D$7:$D$2010,$C$7,'LAC 102_Wkst'!$I$7:$I$2010,$C$9,'LAC 102_Wkst'!$E$7:$E$2010,$C50,'LAC 102_Wkst'!$G$7:$G$2010,$D50,'LAC 102_Wkst'!$L$7:$L$2010,"11",'LAC 102_Wkst'!$N$7:$N$2010,"P3")+SUMIFS('LAC 102_Wkst'!$AF$7:$AF$2010,'LAC 102_Wkst'!$D$7:$D$2010,$C$7,'LAC 102_Wkst'!$I$7:$I$2010,$C$9,'LAC 102_Wkst'!$E$7:$E$2010,$C50,'LAC 102_Wkst'!$G$7:$G$2010,$D50,'LAC 102_Wkst'!$L$7:$L$2010,"12",'LAC 102_Wkst'!$N$7:$N$2010,"P3")</f>
        <v>0</v>
      </c>
      <c r="AX50" s="410">
        <f>SUMIFS('LAC 102_Wkst'!$Q$7:$Q$2010,'LAC 102_Wkst'!$D$7:$D$2010,$C$7,'LAC 102_Wkst'!$I$7:$I$2010,$C$9,'LAC 102_Wkst'!$E$7:$E$2010,$C50,'LAC 102_Wkst'!$G$7:$G$2010,$D50,'LAC 102_Wkst'!$L$7:$L$2010,"11",'LAC 102_Wkst'!$N$7:$N$2010,"P4")+SUMIFS('LAC 102_Wkst'!$Q$7:$Q$2010,'LAC 102_Wkst'!$D$7:$D$2010,$C$7,'LAC 102_Wkst'!$I$7:$I$2010,$C$9,'LAC 102_Wkst'!$E$7:$E$2010,$C50,'LAC 102_Wkst'!$G$7:$G$2010,$D50,'LAC 102_Wkst'!$L$7:$L$2010,"12",'LAC 102_Wkst'!$N$7:$N$2010,"P4")</f>
        <v>0</v>
      </c>
      <c r="AY50" s="411">
        <f>SUMIFS('LAC 102_Wkst'!$AF$7:$AF$2010,'LAC 102_Wkst'!$D$7:$D$2010,$C$7,'LAC 102_Wkst'!$I$7:$I$2010,$C$9,'LAC 102_Wkst'!$E$7:$E$2010,$C50,'LAC 102_Wkst'!$G$7:$G$2010,$D50,'LAC 102_Wkst'!$L$7:$L$2010,"11",'LAC 102_Wkst'!$N$7:$N$2010,"P4")+SUMIFS('LAC 102_Wkst'!$AF$7:$AF$2010,'LAC 102_Wkst'!$D$7:$D$2010,$C$7,'LAC 102_Wkst'!$I$7:$I$2010,$C$9,'LAC 102_Wkst'!$E$7:$E$2010,$C50,'LAC 102_Wkst'!$G$7:$G$2010,$D50,'LAC 102_Wkst'!$L$7:$L$2010,"12",'LAC 102_Wkst'!$N$7:$N$2010,"P4")</f>
        <v>0</v>
      </c>
      <c r="AZ50" s="410">
        <f>SUMIFS('LAC 102_Wkst'!$Q$7:$Q$2010,'LAC 102_Wkst'!$D$7:$D$2010,$C$7,'LAC 102_Wkst'!$I$7:$I$2010,$C$9,'LAC 102_Wkst'!$E$7:$E$2010,$C50,'LAC 102_Wkst'!$G$7:$G$2010,$D50,'LAC 102_Wkst'!$L$7:$L$2010,"11",'LAC 102_Wkst'!$N$7:$N$2010,"P5")+SUMIFS('LAC 102_Wkst'!$Q$7:$Q$2010,'LAC 102_Wkst'!$D$7:$D$2010,$C$7,'LAC 102_Wkst'!$I$7:$I$2010,$C$9,'LAC 102_Wkst'!$E$7:$E$2010,$C50,'LAC 102_Wkst'!$G$7:$G$2010,$D50,'LAC 102_Wkst'!$L$7:$L$2010,"12",'LAC 102_Wkst'!$N$7:$N$2010,"P5")</f>
        <v>0</v>
      </c>
      <c r="BA50" s="411">
        <f>SUMIFS('LAC 102_Wkst'!$AF$7:$AF$2010,'LAC 102_Wkst'!$D$7:$D$2010,$C$7,'LAC 102_Wkst'!$I$7:$I$2010,$C$9,'LAC 102_Wkst'!$E$7:$E$2010,$C50,'LAC 102_Wkst'!$G$7:$G$2010,$D50,'LAC 102_Wkst'!$L$7:$L$2010,"11",'LAC 102_Wkst'!$N$7:$N$2010,"P5")+SUMIFS('LAC 102_Wkst'!$AF$7:$AF$2010,'LAC 102_Wkst'!$D$7:$D$2010,$C$7,'LAC 102_Wkst'!$I$7:$I$2010,$C$9,'LAC 102_Wkst'!$E$7:$E$2010,$C50,'LAC 102_Wkst'!$G$7:$G$2010,$D50,'LAC 102_Wkst'!$L$7:$L$2010,"12",'LAC 102_Wkst'!$N$7:$N$2010,"P5")</f>
        <v>0</v>
      </c>
      <c r="BB50" s="410">
        <f>SUMIFS('LAC 102_Wkst'!$Q$7:$Q$2010,'LAC 102_Wkst'!$D$7:$D$2010,$C$7,'LAC 102_Wkst'!$I$7:$I$2010,$C$9,'LAC 102_Wkst'!$E$7:$E$2010,$C50,'LAC 102_Wkst'!$G$7:$G$2010,$D50,'LAC 102_Wkst'!$L$7:$L$2010,"13",'LAC 102_Wkst'!$N$7:$N$2010,"P1")+SUMIFS('LAC 102_Wkst'!$Q$7:$Q$2010,'LAC 102_Wkst'!$D$7:$D$2010,$C$7,'LAC 102_Wkst'!$I$7:$I$2010,$C$9,'LAC 102_Wkst'!$E$7:$E$2010,$C50,'LAC 102_Wkst'!$G$7:$G$2010,$D50,'LAC 102_Wkst'!$L$7:$L$2010,"13",'LAC 102_Wkst'!$N$7:$N$2010,"P2")+SUMIFS('LAC 102_Wkst'!$Q$7:$Q$2010,'LAC 102_Wkst'!$D$7:$D$2010,$C$7,'LAC 102_Wkst'!$I$7:$I$2010,$C$9,'LAC 102_Wkst'!$E$7:$E$2010,$C50,'LAC 102_Wkst'!$G$7:$G$2010,$D50,'LAC 102_Wkst'!$L$7:$L$2010,"13",'LAC 102_Wkst'!$N$7:$N$2010,"P3")+SUMIFS('LAC 102_Wkst'!$Q$7:$Q$2010,'LAC 102_Wkst'!$D$7:$D$2010,$C$7,'LAC 102_Wkst'!$I$7:$I$2010,$C$9,'LAC 102_Wkst'!$E$7:$E$2010,$C50,'LAC 102_Wkst'!$G$7:$G$2010,$D50,'LAC 102_Wkst'!$L$7:$L$2010,"13",'LAC 102_Wkst'!$N$7:$N$2010,"P4")</f>
        <v>0</v>
      </c>
      <c r="BC50" s="411">
        <f>SUMIFS('LAC 102_Wkst'!$AF$7:$AF$2010,'LAC 102_Wkst'!$D$7:$D$2010,$C$7,'LAC 102_Wkst'!$I$7:$I$2010,$C$9,'LAC 102_Wkst'!$E$7:$E$2010,$C50,'LAC 102_Wkst'!$G$7:$G$2010,$D50,'LAC 102_Wkst'!$L$7:$L$2010,"13",'LAC 102_Wkst'!$N$7:$N$2010,"P1")+SUMIFS('LAC 102_Wkst'!$AF$7:$AF$2010,'LAC 102_Wkst'!$D$7:$D$2010,$C$7,'LAC 102_Wkst'!$I$7:$I$2010,$C$9,'LAC 102_Wkst'!$E$7:$E$2010,$C50,'LAC 102_Wkst'!$G$7:$G$2010,$D50,'LAC 102_Wkst'!$L$7:$L$2010,"13",'LAC 102_Wkst'!$N$7:$N$2010,"P2")+SUMIFS('LAC 102_Wkst'!$AF$7:$AF$2010,'LAC 102_Wkst'!$D$7:$D$2010,$C$7,'LAC 102_Wkst'!$I$7:$I$2010,$C$9,'LAC 102_Wkst'!$E$7:$E$2010,$C50,'LAC 102_Wkst'!$G$7:$G$2010,$D50,'LAC 102_Wkst'!$L$7:$L$2010,"13",'LAC 102_Wkst'!$N$7:$N$2010,"P3")+SUMIFS('LAC 102_Wkst'!$AF$7:$AF$2010,'LAC 102_Wkst'!$D$7:$D$2010,$C$7,'LAC 102_Wkst'!$I$7:$I$2010,$C$9,'LAC 102_Wkst'!$E$7:$E$2010,$C50,'LAC 102_Wkst'!$G$7:$G$2010,$D50,'LAC 102_Wkst'!$L$7:$L$2010,"13",'LAC 102_Wkst'!$N$7:$N$2010,"P4")</f>
        <v>0</v>
      </c>
      <c r="BD50" s="410">
        <f>SUMIFS('LAC 102_Wkst'!$Q$7:$Q$2010,'LAC 102_Wkst'!$D$7:$D$2010,$C$7,'LAC 102_Wkst'!$I$7:$I$2010,$C$9,'LAC 102_Wkst'!$E$7:$E$2010,$C50,'LAC 102_Wkst'!$G$7:$G$2010,$D50,'LAC 102_Wkst'!$L$7:$L$2010,"13",'LAC 102_Wkst'!$N$7:$N$2010,"P5")</f>
        <v>0</v>
      </c>
      <c r="BE50" s="411">
        <f>SUMIFS('LAC 102_Wkst'!$AF$7:$AF$2010,'LAC 102_Wkst'!$D$7:$D$2010,$C$7,'LAC 102_Wkst'!$I$7:$I$2010,$C$9,'LAC 102_Wkst'!$E$7:$E$2010,$C50,'LAC 102_Wkst'!$G$7:$G$2010,$D50,'LAC 102_Wkst'!$L$7:$L$2010,"13",'LAC 102_Wkst'!$N$7:$N$2010,"P5")</f>
        <v>0</v>
      </c>
      <c r="BF50" s="407">
        <f t="shared" si="4"/>
        <v>0</v>
      </c>
      <c r="BG50" s="1654">
        <f>SUMIFS('LAC 102_Wkst'!$AF$7:$AF$2010,'LAC 102_Wkst'!$D$7:$D$2010,$C$7,'LAC 102_Wkst'!$I$7:$I$2010,$C$9,'LAC 102_Wkst'!$E$7:$E$2010,$C50,'LAC 102_Wkst'!$G$7:$G$2010,$D50,'LAC 102_Wkst'!$L$7:$L$2010,"14")</f>
        <v>0</v>
      </c>
    </row>
    <row r="51" spans="1:59" x14ac:dyDescent="0.2">
      <c r="A51" s="401">
        <v>29</v>
      </c>
      <c r="B51" s="1678" t="str">
        <f>IF(Schedule_B!B$48="","",Schedule_B!B$48)</f>
        <v/>
      </c>
      <c r="C51" s="1674" t="str">
        <f>IF(Schedule_B!C$48=""," ",Schedule_B!C$48)</f>
        <v xml:space="preserve"> </v>
      </c>
      <c r="D51" s="1675" t="str">
        <f>IF(Schedule_B!D$48=""," ",Schedule_B!D$48)</f>
        <v xml:space="preserve"> </v>
      </c>
      <c r="E51" s="1221">
        <f>SUMIFS('LAC 102_Wkst'!$Q$7:$Q$2010,'LAC 102_Wkst'!$D$7:$D$2010,$C$7,'LAC 102_Wkst'!$I$7:$I$2010,$C$9,'LAC 102_Wkst'!$E$7:$E$2010,$C51,'LAC 102_Wkst'!$G$7:$G$2010,$D51)</f>
        <v>0</v>
      </c>
      <c r="F51" s="408">
        <f>SUMIFS('LAC 102_Wkst'!$Q$7:$Q$2010,'LAC 102_Wkst'!$D$7:$D$2010,$C$7,'LAC 102_Wkst'!$I$7:$I$2010,$C$9,'LAC 102_Wkst'!$E$7:$E$2010,$C51,'LAC 102_Wkst'!$G$7:$G$2010,$D51,'LAC 102_Wkst'!$L$7:$L$2010,"01",'LAC 102_Wkst'!$N$7:$N$2010,"P1")+SUMIFS('LAC 102_Wkst'!$Q$7:$Q$2010,'LAC 102_Wkst'!$D$7:$D$2010,$C$7,'LAC 102_Wkst'!$I$7:$I$2010,$C$9,'LAC 102_Wkst'!$E$7:$E$2010,$C51,'LAC 102_Wkst'!$G$7:$G$2010,$D51,'LAC 102_Wkst'!$L$7:$L$2010,"01",'LAC 102_Wkst'!$N$7:$N$2010,"P2")+SUMIFS('LAC 102_Wkst'!$Q$7:$Q$2010,'LAC 102_Wkst'!$D$7:$D$2010,$C$7,'LAC 102_Wkst'!$I$7:$I$2010,$C$9,'LAC 102_Wkst'!$E$7:$E$2010,$C51,'LAC 102_Wkst'!$G$7:$G$2010,$D51,'LAC 102_Wkst'!$L$7:$L$2010,"01",'LAC 102_Wkst'!$N$7:$N$2010,"P3")+SUMIFS('LAC 102_Wkst'!$Q$7:$Q$2010,'LAC 102_Wkst'!$D$7:$D$2010,$C$7,'LAC 102_Wkst'!$I$7:$I$2010,$C$9,'LAC 102_Wkst'!$E$7:$E$2010,$C51,'LAC 102_Wkst'!$G$7:$G$2010,$D51,'LAC 102_Wkst'!$L$7:$L$2010,"02",'LAC 102_Wkst'!$N$7:$N$2010,"P1")+SUMIFS('LAC 102_Wkst'!$Q$7:$Q$2010,'LAC 102_Wkst'!$D$7:$D$2010,$C$7,'LAC 102_Wkst'!$I$7:$I$2010,$C$9,'LAC 102_Wkst'!$E$7:$E$2010,$C51,'LAC 102_Wkst'!$G$7:$G$2010,$D51,'LAC 102_Wkst'!$L$7:$L$2010,"02",'LAC 102_Wkst'!$N$7:$N$2010,"P2")+SUMIFS('LAC 102_Wkst'!$Q$7:$Q$2010,'LAC 102_Wkst'!$D$7:$D$2010,$C$7,'LAC 102_Wkst'!$I$7:$I$2010,$C$9,'LAC 102_Wkst'!$E$7:$E$2010,$C51,'LAC 102_Wkst'!$G$7:$G$2010,$D51,'LAC 102_Wkst'!$L$7:$L$2010,"02",'LAC 102_Wkst'!$N$7:$N$2010,"P3")</f>
        <v>0</v>
      </c>
      <c r="G51" s="409">
        <f>SUMIFS('LAC 102_Wkst'!$AF$7:$AF$2010,'LAC 102_Wkst'!$D$7:$D$2010,$C$7,'LAC 102_Wkst'!$I$7:$I$2010,$C$9,'LAC 102_Wkst'!$E$7:$E$2010,$C51,'LAC 102_Wkst'!$G$7:$G$2010,$D51,'LAC 102_Wkst'!$L$7:$L$2010,"01",'LAC 102_Wkst'!$N$7:$N$2010,"P1")+SUMIFS('LAC 102_Wkst'!$AF$7:$AF$2010,'LAC 102_Wkst'!$D$7:$D$2010,$C$7,'LAC 102_Wkst'!$I$7:$I$2010,$C$9,'LAC 102_Wkst'!$E$7:$E$2010,$C51,'LAC 102_Wkst'!$G$7:$G$2010,$D51,'LAC 102_Wkst'!$L$7:$L$2010,"01",'LAC 102_Wkst'!$N$7:$N$2010,"P2")+SUMIFS('LAC 102_Wkst'!$AF$7:$AF$2010,'LAC 102_Wkst'!$D$7:$D$2010,$C$7,'LAC 102_Wkst'!$I$7:$I$2010,$C$9,'LAC 102_Wkst'!$E$7:$E$2010,$C51,'LAC 102_Wkst'!$G$7:$G$2010,$D51,'LAC 102_Wkst'!$L$7:$L$2010,"01",'LAC 102_Wkst'!$N$7:$N$2010,"P3")+SUMIFS('LAC 102_Wkst'!$AF$7:$AF$2010,'LAC 102_Wkst'!$D$7:$D$2010,$C$7,'LAC 102_Wkst'!$I$7:$I$2010,$C$9,'LAC 102_Wkst'!$E$7:$E$2010,$C51,'LAC 102_Wkst'!$G$7:$G$2010,$D51,'LAC 102_Wkst'!$L$7:$L$2010,"02",'LAC 102_Wkst'!$N$7:$N$2010,"P1")+SUMIFS('LAC 102_Wkst'!$AF$7:$AF$2010,'LAC 102_Wkst'!$D$7:$D$2010,$C$7,'LAC 102_Wkst'!$I$7:$I$2010,$C$9,'LAC 102_Wkst'!$E$7:$E$2010,$C51,'LAC 102_Wkst'!$G$7:$G$2010,$D51,'LAC 102_Wkst'!$L$7:$L$2010,"02",'LAC 102_Wkst'!$N$7:$N$2010,"P2")+SUMIFS('LAC 102_Wkst'!$AF$7:$AF$2010,'LAC 102_Wkst'!$D$7:$D$2010,$C$7,'LAC 102_Wkst'!$I$7:$I$2010,$C$9,'LAC 102_Wkst'!$E$7:$E$2010,$C51,'LAC 102_Wkst'!$G$7:$G$2010,$D51,'LAC 102_Wkst'!$L$7:$L$2010,"02",'LAC 102_Wkst'!$N$7:$N$2010,"P3")</f>
        <v>0</v>
      </c>
      <c r="H51" s="410">
        <f>SUMIFS('LAC 102_Wkst'!$Q$7:$Q$2010,'LAC 102_Wkst'!$D$7:$D$2010,$C$7,'LAC 102_Wkst'!$I$7:$I$2010,$C$9,'LAC 102_Wkst'!$E$7:$E$2010,$C51,'LAC 102_Wkst'!$G$7:$G$2010,$D51,'LAC 102_Wkst'!$L$7:$L$2010,"01",'LAC 102_Wkst'!$N$7:$N$2010,"P4")+SUMIFS('LAC 102_Wkst'!$Q$7:$Q$2010,'LAC 102_Wkst'!$D$7:$D$2010,$C$7,'LAC 102_Wkst'!$I$7:$I$2010,$C$9,'LAC 102_Wkst'!$E$7:$E$2010,$C51,'LAC 102_Wkst'!$G$7:$G$2010,$D51,'LAC 102_Wkst'!$L$7:$L$2010,"02",'LAC 102_Wkst'!$N$7:$N$2010,"P4")</f>
        <v>0</v>
      </c>
      <c r="I51" s="411">
        <f>SUMIFS('LAC 102_Wkst'!$AF$7:$AF$2010,'LAC 102_Wkst'!$D$7:$D$2010,$C$7,'LAC 102_Wkst'!$I$7:$I$2010,$C$9,'LAC 102_Wkst'!$E$7:$E$2010,$C51,'LAC 102_Wkst'!$G$7:$G$2010,$D51,'LAC 102_Wkst'!$L$7:$L$2010,"01",'LAC 102_Wkst'!$N$7:$N$2010,"P4")+SUMIFS('LAC 102_Wkst'!$AF$7:$AF$2010,'LAC 102_Wkst'!$D$7:$D$2010,$C$7,'LAC 102_Wkst'!$I$7:$I$2010,$C$9,'LAC 102_Wkst'!$E$7:$E$2010,$C51,'LAC 102_Wkst'!$G$7:$G$2010,$D51,'LAC 102_Wkst'!$L$7:$L$2010,"02",'LAC 102_Wkst'!$N$7:$N$2010,"P4")</f>
        <v>0</v>
      </c>
      <c r="J51" s="410">
        <f>SUMIFS('LAC 102_Wkst'!$Q$7:$Q$2010,'LAC 102_Wkst'!$D$7:$D$2010,$C$7,'LAC 102_Wkst'!$I$7:$I$2010,$C$9,'LAC 102_Wkst'!$E$7:$E$2010,$C51,'LAC 102_Wkst'!$G$7:$G$2010,$D51,'LAC 102_Wkst'!$L$7:$L$2010,"01",'LAC 102_Wkst'!$N$7:$N$2010,"P5")+SUMIFS('LAC 102_Wkst'!$Q$7:$Q$2010,'LAC 102_Wkst'!$D$7:$D$2010,$C$7,'LAC 102_Wkst'!$I$7:$I$2010,$C$9,'LAC 102_Wkst'!$E$7:$E$2010,$C51,'LAC 102_Wkst'!$G$7:$G$2010,$D51,'LAC 102_Wkst'!$L$7:$L$2010,"02",'LAC 102_Wkst'!$N$7:$N$2010,"P5")</f>
        <v>0</v>
      </c>
      <c r="K51" s="411">
        <f>SUMIFS('LAC 102_Wkst'!$AF$7:$AF$2010,'LAC 102_Wkst'!$D$7:$D$2010,$C$7,'LAC 102_Wkst'!$I$7:$I$2010,$C$9,'LAC 102_Wkst'!$E$7:$E$2010,$C51,'LAC 102_Wkst'!$G$7:$G$2010,$D51,'LAC 102_Wkst'!$L$7:$L$2010,"01",'LAC 102_Wkst'!$N$7:$N$2010,"P5")+SUMIFS('LAC 102_Wkst'!$AF$7:$AF$2010,'LAC 102_Wkst'!$D$7:$D$2010,$C$7,'LAC 102_Wkst'!$I$7:$I$2010,$C$9,'LAC 102_Wkst'!$E$7:$E$2010,$C51,'LAC 102_Wkst'!$G$7:$G$2010,$D51,'LAC 102_Wkst'!$L$7:$L$2010,"02",'LAC 102_Wkst'!$N$7:$N$2010,"P5")</f>
        <v>0</v>
      </c>
      <c r="L51" s="410">
        <f>SUMIFS('LAC 102_Wkst'!$Q$7:$Q$2010,'LAC 102_Wkst'!$D$7:$D$2010,$C$7,'LAC 102_Wkst'!$I$7:$I$2010,$C$9,'LAC 102_Wkst'!$E$7:$E$2010,$C51,'LAC 102_Wkst'!$G$7:$G$2010,$D51,'LAC 102_Wkst'!$L$7:$L$2010,"03",'LAC 102_Wkst'!$N$7:$N$2010,"P1")+SUMIFS('LAC 102_Wkst'!$Q$7:$Q$2010,'LAC 102_Wkst'!$D$7:$D$2010,$C$7,'LAC 102_Wkst'!$I$7:$I$2010,$C$9,'LAC 102_Wkst'!$E$7:$E$2010,$C51,'LAC 102_Wkst'!$G$7:$G$2010,$D51,'LAC 102_Wkst'!$L$7:$L$2010,"03",'LAC 102_Wkst'!$N$7:$N$2010,"P2")+SUMIFS('LAC 102_Wkst'!$Q$7:$Q$2010,'LAC 102_Wkst'!$D$7:$D$2010,$C$7,'LAC 102_Wkst'!$I$7:$I$2010,$C$9,'LAC 102_Wkst'!$E$7:$E$2010,$C51,'LAC 102_Wkst'!$G$7:$G$2010,$D51,'LAC 102_Wkst'!$L$7:$L$2010,"03",'LAC 102_Wkst'!$N$7:$N$2010,"P3")+SUMIFS('LAC 102_Wkst'!$Q$7:$Q$2010,'LAC 102_Wkst'!$D$7:$D$2010,$C$7,'LAC 102_Wkst'!$I$7:$I$2010,$C$9,'LAC 102_Wkst'!$E$7:$E$2010,$C51,'LAC 102_Wkst'!$G$7:$G$2010,$D51,'LAC 102_Wkst'!$L$7:$L$2010,"04",'LAC 102_Wkst'!$N$7:$N$2010,"P1")+SUMIFS('LAC 102_Wkst'!$Q$7:$Q$2010,'LAC 102_Wkst'!$D$7:$D$2010,$C$7,'LAC 102_Wkst'!$I$7:$I$2010,$C$9,'LAC 102_Wkst'!$E$7:$E$2010,$C51,'LAC 102_Wkst'!$G$7:$G$2010,$D51,'LAC 102_Wkst'!$L$7:$L$2010,"04",'LAC 102_Wkst'!$N$7:$N$2010,"P2")+SUMIFS('LAC 102_Wkst'!$Q$7:$Q$2010,'LAC 102_Wkst'!$D$7:$D$2010,$C$7,'LAC 102_Wkst'!$I$7:$I$2010,$C$9,'LAC 102_Wkst'!$E$7:$E$2010,$C51,'LAC 102_Wkst'!$G$7:$G$2010,$D51,'LAC 102_Wkst'!$L$7:$L$2010,"04",'LAC 102_Wkst'!$N$7:$N$2010,"P3")</f>
        <v>0</v>
      </c>
      <c r="M51" s="411">
        <f>SUMIFS('LAC 102_Wkst'!$AF$7:$AF$2010,'LAC 102_Wkst'!$D$7:$D$2010,$C$7,'LAC 102_Wkst'!$I$7:$I$2010,$C$9,'LAC 102_Wkst'!$E$7:$E$2010,$C51,'LAC 102_Wkst'!$G$7:$G$2010,$D51,'LAC 102_Wkst'!$L$7:$L$2010,"03",'LAC 102_Wkst'!$N$7:$N$2010,"P1")+SUMIFS('LAC 102_Wkst'!$AF$7:$AF$2010,'LAC 102_Wkst'!$D$7:$D$2010,$C$7,'LAC 102_Wkst'!$I$7:$I$2010,$C$9,'LAC 102_Wkst'!$E$7:$E$2010,$C51,'LAC 102_Wkst'!$G$7:$G$2010,$D51,'LAC 102_Wkst'!$L$7:$L$2010,"03",'LAC 102_Wkst'!$N$7:$N$2010,"P2")+SUMIFS('LAC 102_Wkst'!$AF$7:$AF$2010,'LAC 102_Wkst'!$D$7:$D$2010,$C$7,'LAC 102_Wkst'!$I$7:$I$2010,$C$9,'LAC 102_Wkst'!$E$7:$E$2010,$C51,'LAC 102_Wkst'!$G$7:$G$2010,$D51,'LAC 102_Wkst'!$L$7:$L$2010,"03",'LAC 102_Wkst'!$N$7:$N$2010,"P3")+SUMIFS('LAC 102_Wkst'!$AF$7:$AF$2010,'LAC 102_Wkst'!$D$7:$D$2010,$C$7,'LAC 102_Wkst'!$I$7:$I$2010,$C$9,'LAC 102_Wkst'!$E$7:$E$2010,$C51,'LAC 102_Wkst'!$G$7:$G$2010,$D51,'LAC 102_Wkst'!$L$7:$L$2010,"04",'LAC 102_Wkst'!$N$7:$N$2010,"P1")+SUMIFS('LAC 102_Wkst'!$AF$7:$AF$2010,'LAC 102_Wkst'!$D$7:$D$2010,$C$7,'LAC 102_Wkst'!$I$7:$I$2010,$C$9,'LAC 102_Wkst'!$E$7:$E$2010,$C51,'LAC 102_Wkst'!$G$7:$G$2010,$D51,'LAC 102_Wkst'!$L$7:$L$2010,"04",'LAC 102_Wkst'!$N$7:$N$2010,"P2")+SUMIFS('LAC 102_Wkst'!$AF$7:$AF$2010,'LAC 102_Wkst'!$D$7:$D$2010,$C$7,'LAC 102_Wkst'!$I$7:$I$2010,$C$9,'LAC 102_Wkst'!$E$7:$E$2010,$C51,'LAC 102_Wkst'!$G$7:$G$2010,$D51,'LAC 102_Wkst'!$L$7:$L$2010,"04",'LAC 102_Wkst'!$N$7:$N$2010,"P3")</f>
        <v>0</v>
      </c>
      <c r="N51" s="410">
        <f>SUMIFS('LAC 102_Wkst'!$Q$7:$Q$2010,'LAC 102_Wkst'!$D$7:$D$2010,$C$7,'LAC 102_Wkst'!$I$7:$I$2010,$C$9,'LAC 102_Wkst'!$E$7:$E$2010,$C51,'LAC 102_Wkst'!$G$7:$G$2010,$D51,'LAC 102_Wkst'!$L$7:$L$2010,"03",'LAC 102_Wkst'!$N$7:$N$2010,"P4")+SUMIFS('LAC 102_Wkst'!$Q$7:$Q$2010,'LAC 102_Wkst'!$D$7:$D$2010,$C$7,'LAC 102_Wkst'!$I$7:$I$2010,$C$9,'LAC 102_Wkst'!$E$7:$E$2010,$C51,'LAC 102_Wkst'!$G$7:$G$2010,$D51,'LAC 102_Wkst'!$L$7:$L$2010,"04",'LAC 102_Wkst'!$N$7:$N$2010,"P4")</f>
        <v>0</v>
      </c>
      <c r="O51" s="411">
        <f>SUMIFS('LAC 102_Wkst'!$AF$7:$AF$2010,'LAC 102_Wkst'!$D$7:$D$2010,$C$7,'LAC 102_Wkst'!$I$7:$I$2010,$C$9,'LAC 102_Wkst'!$E$7:$E$2010,$C51,'LAC 102_Wkst'!$G$7:$G$2010,$D51,'LAC 102_Wkst'!$L$7:$L$2010,"03",'LAC 102_Wkst'!$N$7:$N$2010,"P4")+SUMIFS('LAC 102_Wkst'!$AF$7:$AF$2010,'LAC 102_Wkst'!$D$7:$D$2010,$C$7,'LAC 102_Wkst'!$I$7:$I$2010,$C$9,'LAC 102_Wkst'!$E$7:$E$2010,$C51,'LAC 102_Wkst'!$G$7:$G$2010,$D51,'LAC 102_Wkst'!$L$7:$L$2010,"04",'LAC 102_Wkst'!$N$7:$N$2010,"P4")</f>
        <v>0</v>
      </c>
      <c r="P51" s="410">
        <f>SUMIFS('LAC 102_Wkst'!$Q$7:$Q$2010,'LAC 102_Wkst'!$D$7:$D$2010,$C$7,'LAC 102_Wkst'!$I$7:$I$2010,$C$9,'LAC 102_Wkst'!$E$7:$E$2010,$C51,'LAC 102_Wkst'!$G$7:$G$2010,$D51,'LAC 102_Wkst'!$L$7:$L$2010,"03",'LAC 102_Wkst'!$N$7:$N$2010,"P5")+SUMIFS('LAC 102_Wkst'!$Q$7:$Q$2010,'LAC 102_Wkst'!$D$7:$D$2010,$C$7,'LAC 102_Wkst'!$I$7:$I$2010,$C$9,'LAC 102_Wkst'!$E$7:$E$2010,$C51,'LAC 102_Wkst'!$G$7:$G$2010,$D51,'LAC 102_Wkst'!$L$7:$L$2010,"04",'LAC 102_Wkst'!$N$7:$N$2010,"P5")</f>
        <v>0</v>
      </c>
      <c r="Q51" s="411">
        <f>SUMIFS('LAC 102_Wkst'!$AF$7:$AF$2010,'LAC 102_Wkst'!$D$7:$D$2010,$C$7,'LAC 102_Wkst'!$I$7:$I$2010,$C$9,'LAC 102_Wkst'!$E$7:$E$2010,$C51,'LAC 102_Wkst'!$G$7:$G$2010,$D51,'LAC 102_Wkst'!$L$7:$L$2010,"03",'LAC 102_Wkst'!$N$7:$N$2010,"P5")+SUMIFS('LAC 102_Wkst'!$AF$7:$AF$2010,'LAC 102_Wkst'!$D$7:$D$2010,$C$7,'LAC 102_Wkst'!$I$7:$I$2010,$C$9,'LAC 102_Wkst'!$E$7:$E$2010,$C51,'LAC 102_Wkst'!$G$7:$G$2010,$D51,'LAC 102_Wkst'!$L$7:$L$2010,"04",'LAC 102_Wkst'!$N$7:$N$2010,"P5")</f>
        <v>0</v>
      </c>
      <c r="R51" s="412">
        <f>SUMIFS('LAC 102_Wkst'!$Q$7:$Q$2010,'LAC 102_Wkst'!$D$7:$D$2010,$C$7,'LAC 102_Wkst'!$I$7:$I$2010,$C$9,'LAC 102_Wkst'!$E$7:$E$2010,$C51,'LAC 102_Wkst'!$G$7:$G$2010,$D51,'LAC 102_Wkst'!$L$7:$L$2010,"05",'LAC 102_Wkst'!$N$7:$N$2010,"P1")+SUMIFS('LAC 102_Wkst'!$Q$7:$Q$2010,'LAC 102_Wkst'!$D$7:$D$2010,$C$7,'LAC 102_Wkst'!$I$7:$I$2010,$C$9,'LAC 102_Wkst'!$E$7:$E$2010,$C51,'LAC 102_Wkst'!$G$7:$G$2010,$D51,'LAC 102_Wkst'!$L$7:$L$2010,"06",'LAC 102_Wkst'!$N$7:$N$2010,"P1")</f>
        <v>0</v>
      </c>
      <c r="S51" s="411">
        <f>SUMIFS('LAC 102_Wkst'!$AF$7:$AF$2010,'LAC 102_Wkst'!$D$7:$D$2010,$C$7,'LAC 102_Wkst'!$I$7:$I$2010,$C$9,'LAC 102_Wkst'!$E$7:$E$2010,$C51,'LAC 102_Wkst'!$G$7:$G$2010,$D51,'LAC 102_Wkst'!$L$7:$L$2010,"05",'LAC 102_Wkst'!$N$7:$N$2010,"P1")+SUMIFS('LAC 102_Wkst'!$AF$7:$AF$2010,'LAC 102_Wkst'!$D$7:$D$2010,$C$7,'LAC 102_Wkst'!$I$7:$I$2010,$C$9,'LAC 102_Wkst'!$E$7:$E$2010,$C51,'LAC 102_Wkst'!$G$7:$G$2010,$D51,'LAC 102_Wkst'!$L$7:$L$2010,"06",'LAC 102_Wkst'!$N$7:$N$2010,"P1")</f>
        <v>0</v>
      </c>
      <c r="T51" s="410">
        <f>SUMIFS('LAC 102_Wkst'!$Q$7:$Q$2010,'LAC 102_Wkst'!$D$7:$D$2010,$C$7,'LAC 102_Wkst'!$I$7:$I$2010,$C$9,'LAC 102_Wkst'!$E$7:$E$2010,$C51,'LAC 102_Wkst'!$G$7:$G$2010,$D51,'LAC 102_Wkst'!$L$7:$L$2010,"05",'LAC 102_Wkst'!$N$7:$N$2010,"P2")+SUMIFS('LAC 102_Wkst'!$Q$7:$Q$2010,'LAC 102_Wkst'!$D$7:$D$2010,$C$7,'LAC 102_Wkst'!$I$7:$I$2010,$C$9,'LAC 102_Wkst'!$E$7:$E$2010,$C51,'LAC 102_Wkst'!$G$7:$G$2010,$D51,'LAC 102_Wkst'!$L$7:$L$2010,"06",'LAC 102_Wkst'!$N$7:$N$2010,"P2")+SUMIFS('LAC 102_Wkst'!$Q$7:$Q$2010,'LAC 102_Wkst'!$D$7:$D$2010,$C$7,'LAC 102_Wkst'!$I$7:$I$2010,$C$9,'LAC 102_Wkst'!$E$7:$E$2010,$C51,'LAC 102_Wkst'!$G$7:$G$2010,$D51,'LAC 102_Wkst'!$L$7:$L$2010,"05",'LAC 102_Wkst'!$N$7:$N$2010,"P3")+SUMIFS('LAC 102_Wkst'!$Q$7:$Q$2010,'LAC 102_Wkst'!$D$7:$D$2010,$C$7,'LAC 102_Wkst'!$I$7:$I$2010,$C$9,'LAC 102_Wkst'!$E$7:$E$2010,$C51,'LAC 102_Wkst'!$G$7:$G$2010,$D51,'LAC 102_Wkst'!$L$7:$L$2010,"06",'LAC 102_Wkst'!$N$7:$N$2010,"P3")</f>
        <v>0</v>
      </c>
      <c r="U51" s="411">
        <f>SUMIFS('LAC 102_Wkst'!$AF$7:$AF$2010,'LAC 102_Wkst'!$D$7:$D$2010,$C$7,'LAC 102_Wkst'!$I$7:$I$2010,$C$9,'LAC 102_Wkst'!$E$7:$E$2010,$C51,'LAC 102_Wkst'!$G$7:$G$2010,$D51,'LAC 102_Wkst'!$L$7:$L$2010,"05",'LAC 102_Wkst'!$N$7:$N$2010,"P2")+SUMIFS('LAC 102_Wkst'!$AF$7:$AF$2010,'LAC 102_Wkst'!$D$7:$D$2010,$C$7,'LAC 102_Wkst'!$I$7:$I$2010,$C$9,'LAC 102_Wkst'!$E$7:$E$2010,$C51,'LAC 102_Wkst'!$G$7:$G$2010,$D51,'LAC 102_Wkst'!$L$7:$L$2010,"06",'LAC 102_Wkst'!$N$7:$N$2010,"P2")+SUMIFS('LAC 102_Wkst'!$AF$7:$AF$2010,'LAC 102_Wkst'!$D$7:$D$2010,$C$7,'LAC 102_Wkst'!$I$7:$I$2010,$C$9,'LAC 102_Wkst'!$E$7:$E$2010,$C51,'LAC 102_Wkst'!$G$7:$G$2010,$D51,'LAC 102_Wkst'!$L$7:$L$2010,"05",'LAC 102_Wkst'!$N$7:$N$2010,"P3")+SUMIFS('LAC 102_Wkst'!$AF$7:$AF$2010,'LAC 102_Wkst'!$D$7:$D$2010,$C$7,'LAC 102_Wkst'!$I$7:$I$2010,$C$9,'LAC 102_Wkst'!$E$7:$E$2010,$C51,'LAC 102_Wkst'!$G$7:$G$2010,$D51,'LAC 102_Wkst'!$L$7:$L$2010,"06",'LAC 102_Wkst'!$N$7:$N$2010,"P3")</f>
        <v>0</v>
      </c>
      <c r="V51" s="410">
        <f>SUMIFS('LAC 102_Wkst'!$Q$7:$Q$2010,'LAC 102_Wkst'!$D$7:$D$2010,$C$7,'LAC 102_Wkst'!$I$7:$I$2010,$C$9,'LAC 102_Wkst'!$E$7:$E$2010,$C51,'LAC 102_Wkst'!$G$7:$G$2010,$D51,'LAC 102_Wkst'!$L$7:$L$2010,"05",'LAC 102_Wkst'!$N$7:$N$2010,"P4")+SUMIFS('LAC 102_Wkst'!$Q$7:$Q$2010,'LAC 102_Wkst'!$D$7:$D$2010,$C$7,'LAC 102_Wkst'!$I$7:$I$2010,$C$9,'LAC 102_Wkst'!$E$7:$E$2010,$C51,'LAC 102_Wkst'!$G$7:$G$2010,$D51,'LAC 102_Wkst'!$L$7:$L$2010,"06",'LAC 102_Wkst'!$N$7:$N$2010,"P4")</f>
        <v>0</v>
      </c>
      <c r="W51" s="411">
        <f>SUMIFS('LAC 102_Wkst'!$AF$7:$AF$2010,'LAC 102_Wkst'!$D$7:$D$2010,$C$7,'LAC 102_Wkst'!$I$7:$I$2010,$C$9,'LAC 102_Wkst'!$E$7:$E$2010,$C51,'LAC 102_Wkst'!$G$7:$G$2010,$D51,'LAC 102_Wkst'!$L$7:$L$2010,"05",'LAC 102_Wkst'!$N$7:$N$2010,"P4")+SUMIFS('LAC 102_Wkst'!$AF$7:$AF$2010,'LAC 102_Wkst'!$D$7:$D$2010,$C$7,'LAC 102_Wkst'!$I$7:$I$2010,$C$9,'LAC 102_Wkst'!$E$7:$E$2010,$C51,'LAC 102_Wkst'!$G$7:$G$2010,$D51,'LAC 102_Wkst'!$L$7:$L$2010,"06",'LAC 102_Wkst'!$N$7:$N$2010,"P4")</f>
        <v>0</v>
      </c>
      <c r="X51" s="410">
        <f>SUMIFS('LAC 102_Wkst'!$Q$7:$Q$2010,'LAC 102_Wkst'!$D$7:$D$2010,$C$7,'LAC 102_Wkst'!$I$7:$I$2010,$C$9,'LAC 102_Wkst'!$E$7:$E$2010,$C51,'LAC 102_Wkst'!$G$7:$G$2010,$D51,'LAC 102_Wkst'!$L$7:$L$2010,"05",'LAC 102_Wkst'!$N$7:$N$2010,"P5")+SUMIFS('LAC 102_Wkst'!$Q$7:$Q$2010,'LAC 102_Wkst'!$D$7:$D$2010,$C$7,'LAC 102_Wkst'!$I$7:$I$2010,$C$9,'LAC 102_Wkst'!$E$7:$E$2010,$C51,'LAC 102_Wkst'!$G$7:$G$2010,$D51,'LAC 102_Wkst'!$L$7:$L$2010,"06",'LAC 102_Wkst'!$N$7:$N$2010,"P5")</f>
        <v>0</v>
      </c>
      <c r="Y51" s="411">
        <f>SUMIFS('LAC 102_Wkst'!$AF$7:$AF$2010,'LAC 102_Wkst'!$D$7:$D$2010,$C$7,'LAC 102_Wkst'!$I$7:$I$2010,$C$9,'LAC 102_Wkst'!$E$7:$E$2010,$C51,'LAC 102_Wkst'!$G$7:$G$2010,$D51,'LAC 102_Wkst'!$L$7:$L$2010,"05",'LAC 102_Wkst'!$N$7:$N$2010,"P5")+SUMIFS('LAC 102_Wkst'!$AF$7:$AF$2010,'LAC 102_Wkst'!$D$7:$D$2010,$C$7,'LAC 102_Wkst'!$I$7:$I$2010,$C$9,'LAC 102_Wkst'!$E$7:$E$2010,$C51,'LAC 102_Wkst'!$G$7:$G$2010,$D51,'LAC 102_Wkst'!$L$7:$L$2010,"06",'LAC 102_Wkst'!$N$7:$N$2010,"P5")</f>
        <v>0</v>
      </c>
      <c r="Z51" s="410">
        <f>SUMIFS('LAC 102_Wkst'!$Q$7:$Q$2010,'LAC 102_Wkst'!$D$7:$D$2010,$C$7,'LAC 102_Wkst'!$I$7:$I$2010,$C$9,'LAC 102_Wkst'!$E$7:$E$2010,$C51,'LAC 102_Wkst'!$G$7:$G$2010,$D51,'LAC 102_Wkst'!$L$7:$L$2010,"07",'LAC 102_Wkst'!$N$7:$N$2010,"P1")+SUMIFS('LAC 102_Wkst'!$Q$7:$Q$2010,'LAC 102_Wkst'!$D$7:$D$2010,$C$7,'LAC 102_Wkst'!$I$7:$I$2010,$C$9,'LAC 102_Wkst'!$E$7:$E$2010,$C51,'LAC 102_Wkst'!$G$7:$G$2010,$D51,'LAC 102_Wkst'!$L$7:$L$2010,"07",'LAC 102_Wkst'!$N$7:$N$2010,"P2")+SUMIFS('LAC 102_Wkst'!$Q$7:$Q$2010,'LAC 102_Wkst'!$D$7:$D$2010,$C$7,'LAC 102_Wkst'!$I$7:$I$2010,$C$9,'LAC 102_Wkst'!$E$7:$E$2010,$C51,'LAC 102_Wkst'!$G$7:$G$2010,$D51,'LAC 102_Wkst'!$L$7:$L$2010,"07",'LAC 102_Wkst'!$N$7:$N$2010,"P3")</f>
        <v>0</v>
      </c>
      <c r="AA51" s="411">
        <f>SUMIFS('LAC 102_Wkst'!$AF$7:$AF$2010,'LAC 102_Wkst'!$D$7:$D$2010,$C$7,'LAC 102_Wkst'!$I$7:$I$2010,$C$9,'LAC 102_Wkst'!$E$7:$E$2010,$C51,'LAC 102_Wkst'!$G$7:$G$2010,$D51,'LAC 102_Wkst'!$L$7:$L$2010,"07",'LAC 102_Wkst'!$N$7:$N$2010,"P1")+SUMIFS('LAC 102_Wkst'!$AF$7:$AF$2010,'LAC 102_Wkst'!$D$7:$D$2010,$C$7,'LAC 102_Wkst'!$I$7:$I$2010,$C$9,'LAC 102_Wkst'!$E$7:$E$2010,$C51,'LAC 102_Wkst'!$G$7:$G$2010,$D51,'LAC 102_Wkst'!$L$7:$L$2010,"07",'LAC 102_Wkst'!$N$7:$N$2010,"P2")+SUMIFS('LAC 102_Wkst'!$AF$7:$AF$2010,'LAC 102_Wkst'!$D$7:$D$2010,$C$7,'LAC 102_Wkst'!$I$7:$I$2010,$C$9,'LAC 102_Wkst'!$E$7:$E$2010,$C51,'LAC 102_Wkst'!$G$7:$G$2010,$D51,'LAC 102_Wkst'!$L$7:$L$2010,"07",'LAC 102_Wkst'!$N$7:$N$2010,"P3")</f>
        <v>0</v>
      </c>
      <c r="AB51" s="410">
        <f>SUMIFS('LAC 102_Wkst'!$Q$7:$Q$2010,'LAC 102_Wkst'!$D$7:$D$2010,$C$7,'LAC 102_Wkst'!$I$7:$I$2010,$C$9,'LAC 102_Wkst'!$E$7:$E$2010,$C51,'LAC 102_Wkst'!$G$7:$G$2010,$D51,'LAC 102_Wkst'!$L$7:$L$2010,"07",'LAC 102_Wkst'!$N$7:$N$2010,"P4")</f>
        <v>0</v>
      </c>
      <c r="AC51" s="411">
        <f>SUMIFS('LAC 102_Wkst'!$AF$7:$AF$2010,'LAC 102_Wkst'!$D$7:$D$2010,$C$7,'LAC 102_Wkst'!$I$7:$I$2010,$C$9,'LAC 102_Wkst'!$E$7:$E$2010,$C51,'LAC 102_Wkst'!$G$7:$G$2010,$D51,'LAC 102_Wkst'!$L$7:$L$2010,"07",'LAC 102_Wkst'!$N$7:$N$2010,"P4")</f>
        <v>0</v>
      </c>
      <c r="AD51" s="410">
        <f>SUMIFS('LAC 102_Wkst'!$Q$7:$Q$2010,'LAC 102_Wkst'!$D$7:$D$2010,$C$7,'LAC 102_Wkst'!$I$7:$I$2010,$C$9,'LAC 102_Wkst'!$E$7:$E$2010,$C51,'LAC 102_Wkst'!$G$7:$G$2010,$D51,'LAC 102_Wkst'!$L$7:$L$2010,"07",'LAC 102_Wkst'!$N$7:$N$2010,"P5")</f>
        <v>0</v>
      </c>
      <c r="AE51" s="411">
        <f>SUMIFS('LAC 102_Wkst'!$AF$7:$AF$2010,'LAC 102_Wkst'!$D$7:$D$2010,$C$7,'LAC 102_Wkst'!$I$7:$I$2010,$C$9,'LAC 102_Wkst'!$E$7:$E$2010,$C51,'LAC 102_Wkst'!$G$7:$G$2010,$D51,'LAC 102_Wkst'!$L$7:$L$2010,"07",'LAC 102_Wkst'!$N$7:$N$2010,"P5")</f>
        <v>0</v>
      </c>
      <c r="AF51" s="410">
        <f>SUMIFS('LAC 102_Wkst'!$Q$7:$Q$2010,'LAC 102_Wkst'!$D$7:$D$2010,$C$7,'LAC 102_Wkst'!$I$7:$I$2010,$C$9,'LAC 102_Wkst'!$E$7:$E$2010,$C51,'LAC 102_Wkst'!$G$7:$G$2010,$D51,'LAC 102_Wkst'!$L$7:$L$2010,"08",'LAC 102_Wkst'!$N$7:$N$2010,"P1")+SUMIFS('LAC 102_Wkst'!$Q$7:$Q$2010,'LAC 102_Wkst'!$D$7:$D$2010,$C$7,'LAC 102_Wkst'!$I$7:$I$2010,$C$9,'LAC 102_Wkst'!$E$7:$E$2010,$C51,'LAC 102_Wkst'!$G$7:$G$2010,$D51,'LAC 102_Wkst'!$L$7:$L$2010,"08",'LAC 102_Wkst'!$N$7:$N$2010,"P2")+SUMIFS('LAC 102_Wkst'!$Q$7:$Q$2010,'LAC 102_Wkst'!$D$7:$D$2010,$C$7,'LAC 102_Wkst'!$I$7:$I$2010,$C$9,'LAC 102_Wkst'!$E$7:$E$2010,$C51,'LAC 102_Wkst'!$G$7:$G$2010,$D51,'LAC 102_Wkst'!$L$7:$L$2010,"08",'LAC 102_Wkst'!$N$7:$N$2010,"P3")</f>
        <v>0</v>
      </c>
      <c r="AG51" s="411">
        <f>SUMIFS('LAC 102_Wkst'!$AF$7:$AF$2010,'LAC 102_Wkst'!$D$7:$D$2010,$C$7,'LAC 102_Wkst'!$I$7:$I$2010,$C$9,'LAC 102_Wkst'!$E$7:$E$2010,$C51,'LAC 102_Wkst'!$G$7:$G$2010,$D51,'LAC 102_Wkst'!$L$7:$L$2010,"08",'LAC 102_Wkst'!$N$7:$N$2010,"P1")+SUMIFS('LAC 102_Wkst'!$AF$7:$AF$2010,'LAC 102_Wkst'!$D$7:$D$2010,$C$7,'LAC 102_Wkst'!$I$7:$I$2010,$C$9,'LAC 102_Wkst'!$E$7:$E$2010,$C51,'LAC 102_Wkst'!$G$7:$G$2010,$D51,'LAC 102_Wkst'!$L$7:$L$2010,"08",'LAC 102_Wkst'!$N$7:$N$2010,"P2")+SUMIFS('LAC 102_Wkst'!$AF$7:$AF$2010,'LAC 102_Wkst'!$D$7:$D$2010,$C$7,'LAC 102_Wkst'!$I$7:$I$2010,$C$9,'LAC 102_Wkst'!$E$7:$E$2010,$C51,'LAC 102_Wkst'!$G$7:$G$2010,$D51,'LAC 102_Wkst'!$L$7:$L$2010,"08",'LAC 102_Wkst'!$N$7:$N$2010,"P3")</f>
        <v>0</v>
      </c>
      <c r="AH51" s="410">
        <f>SUMIFS('LAC 102_Wkst'!$Q$7:$Q$2010,'LAC 102_Wkst'!$D$7:$D$2010,$C$7,'LAC 102_Wkst'!$I$7:$I$2010,$C$9,'LAC 102_Wkst'!$E$7:$E$2010,$C51,'LAC 102_Wkst'!$G$7:$G$2010,$D51,'LAC 102_Wkst'!$L$7:$L$2010,"08",'LAC 102_Wkst'!$N$7:$N$2010,"P4")</f>
        <v>0</v>
      </c>
      <c r="AI51" s="411">
        <f>SUMIFS('LAC 102_Wkst'!$AF$7:$AF$2010,'LAC 102_Wkst'!$D$7:$D$2010,$C$7,'LAC 102_Wkst'!$I$7:$I$2010,$C$9,'LAC 102_Wkst'!$E$7:$E$2010,$C51,'LAC 102_Wkst'!$G$7:$G$2010,$D51,'LAC 102_Wkst'!$L$7:$L$2010,"08",'LAC 102_Wkst'!$N$7:$N$2010,"P4")</f>
        <v>0</v>
      </c>
      <c r="AJ51" s="410">
        <f>SUMIFS('LAC 102_Wkst'!$Q$7:$Q$2010,'LAC 102_Wkst'!$D$7:$D$2010,$C$7,'LAC 102_Wkst'!$I$7:$I$2010,$C$9,'LAC 102_Wkst'!$E$7:$E$2010,$C51,'LAC 102_Wkst'!$G$7:$G$2010,$D51,'LAC 102_Wkst'!$L$7:$L$2010,"08",'LAC 102_Wkst'!$N$7:$N$2010,"P5")</f>
        <v>0</v>
      </c>
      <c r="AK51" s="411">
        <f>SUMIFS('LAC 102_Wkst'!$AF$7:$AF$2010,'LAC 102_Wkst'!$D$7:$D$2010,$C$7,'LAC 102_Wkst'!$I$7:$I$2010,$C$9,'LAC 102_Wkst'!$E$7:$E$2010,$C51,'LAC 102_Wkst'!$G$7:$G$2010,$D51,'LAC 102_Wkst'!$L$7:$L$2010,"08",'LAC 102_Wkst'!$N$7:$N$2010,"P5")</f>
        <v>0</v>
      </c>
      <c r="AL51" s="410">
        <f>SUMIFS('LAC 102_Wkst'!$Q$7:$Q$2010,'LAC 102_Wkst'!$D$7:$D$2010,$C$7,'LAC 102_Wkst'!$I$7:$I$2010,$C$9,'LAC 102_Wkst'!$E$7:$E$2010,$C51,'LAC 102_Wkst'!$G$7:$G$2010,$D51,'LAC 102_Wkst'!$L$7:$L$2010,"09",'LAC 102_Wkst'!$N$7:$N$2010,"P1")+SUMIFS('LAC 102_Wkst'!$Q$7:$Q$2010,'LAC 102_Wkst'!$D$7:$D$2010,$C$7,'LAC 102_Wkst'!$I$7:$I$2010,$C$9,'LAC 102_Wkst'!$E$7:$E$2010,$C51,'LAC 102_Wkst'!$G$7:$G$2010,$D51,'LAC 102_Wkst'!$L$7:$L$2010,"09",'LAC 102_Wkst'!$N$7:$N$2010,"P2")+SUMIFS('LAC 102_Wkst'!$Q$7:$Q$2010,'LAC 102_Wkst'!$D$7:$D$2010,$C$7,'LAC 102_Wkst'!$I$7:$I$2010,$C$9,'LAC 102_Wkst'!$E$7:$E$2010,$C51,'LAC 102_Wkst'!$G$7:$G$2010,$D51,'LAC 102_Wkst'!$L$7:$L$2010,"09",'LAC 102_Wkst'!$N$7:$N$2010,"P3")+SUMIFS('LAC 102_Wkst'!$Q$7:$Q$2010,'LAC 102_Wkst'!$D$7:$D$2010,$C$7,'LAC 102_Wkst'!$I$7:$I$2010,$C$9,'LAC 102_Wkst'!$E$7:$E$2010,$C51,'LAC 102_Wkst'!$G$7:$G$2010,$D51,'LAC 102_Wkst'!$L$7:$L$2010,"09",'LAC 102_Wkst'!$N$7:$N$2010,"P4")</f>
        <v>0</v>
      </c>
      <c r="AM51" s="411">
        <f>SUMIFS('LAC 102_Wkst'!$AF$7:$AF$2010,'LAC 102_Wkst'!$D$7:$D$2010,$C$7,'LAC 102_Wkst'!$I$7:$I$2010,$C$9,'LAC 102_Wkst'!$E$7:$E$2010,$C51,'LAC 102_Wkst'!$G$7:$G$2010,$D51,'LAC 102_Wkst'!$L$7:$L$2010,"09",'LAC 102_Wkst'!$N$7:$N$2010,"P1")+SUMIFS('LAC 102_Wkst'!$AF$7:$AF$2010,'LAC 102_Wkst'!$D$7:$D$2010,$C$7,'LAC 102_Wkst'!$I$7:$I$2010,$C$9,'LAC 102_Wkst'!$E$7:$E$2010,$C51,'LAC 102_Wkst'!$G$7:$G$2010,$D51,'LAC 102_Wkst'!$L$7:$L$2010,"09",'LAC 102_Wkst'!$N$7:$N$2010,"P2")+SUMIFS('LAC 102_Wkst'!$AF$7:$AF$2010,'LAC 102_Wkst'!$D$7:$D$2010,$C$7,'LAC 102_Wkst'!$I$7:$I$2010,$C$9,'LAC 102_Wkst'!$E$7:$E$2010,$C51,'LAC 102_Wkst'!$G$7:$G$2010,$D51,'LAC 102_Wkst'!$L$7:$L$2010,"09",'LAC 102_Wkst'!$N$7:$N$2010,"P3")+SUMIFS('LAC 102_Wkst'!$AF$7:$AF$2010,'LAC 102_Wkst'!$D$7:$D$2010,$C$7,'LAC 102_Wkst'!$I$7:$I$2010,$C$9,'LAC 102_Wkst'!$E$7:$E$2010,$C51,'LAC 102_Wkst'!$G$7:$G$2010,$D51,'LAC 102_Wkst'!$L$7:$L$2010,"09",'LAC 102_Wkst'!$N$7:$N$2010,"P4")</f>
        <v>0</v>
      </c>
      <c r="AN51" s="410">
        <f>SUMIFS('LAC 102_Wkst'!$Q$7:$Q$2010,'LAC 102_Wkst'!$D$7:$D$2010,$C$7,'LAC 102_Wkst'!$I$7:$I$2010,$C$9,'LAC 102_Wkst'!$E$7:$E$2010,$C51,'LAC 102_Wkst'!$G$7:$G$2010,$D51,'LAC 102_Wkst'!$L$7:$L$2010,"09",'LAC 102_Wkst'!$N$7:$N$2010,"P5")</f>
        <v>0</v>
      </c>
      <c r="AO51" s="411">
        <f>SUMIFS('LAC 102_Wkst'!$AF$7:$AF$2010,'LAC 102_Wkst'!$D$7:$D$2010,$C$7,'LAC 102_Wkst'!$I$7:$I$2010,$C$9,'LAC 102_Wkst'!$E$7:$E$2010,$C51,'LAC 102_Wkst'!$G$7:$G$2010,$D51,'LAC 102_Wkst'!$L$7:$L$2010,"09",'LAC 102_Wkst'!$N$7:$N$2010,"P5")</f>
        <v>0</v>
      </c>
      <c r="AP51" s="410">
        <f>SUMIFS('LAC 102_Wkst'!$Q$7:$Q$2010,'LAC 102_Wkst'!$D$7:$D$2010,$C$7,'LAC 102_Wkst'!$I$7:$I$2010,$C$9,'LAC 102_Wkst'!$E$7:$E$2010,$C51,'LAC 102_Wkst'!$G$7:$G$2010,$D51,'LAC 102_Wkst'!$L$7:$L$2010,"10",'LAC 102_Wkst'!$N$7:$N$2010,"P1")+SUMIFS('LAC 102_Wkst'!$Q$7:$Q$2010,'LAC 102_Wkst'!$D$7:$D$2010,$C$7,'LAC 102_Wkst'!$I$7:$I$2010,$C$9,'LAC 102_Wkst'!$E$7:$E$2010,$C51,'LAC 102_Wkst'!$G$7:$G$2010,$D51,'LAC 102_Wkst'!$L$7:$L$2010,"10",'LAC 102_Wkst'!$N$7:$N$2010,"P2")+SUMIFS('LAC 102_Wkst'!$Q$7:$Q$2010,'LAC 102_Wkst'!$D$7:$D$2010,$C$7,'LAC 102_Wkst'!$I$7:$I$2010,$C$9,'LAC 102_Wkst'!$E$7:$E$2010,$C51,'LAC 102_Wkst'!$G$7:$G$2010,$D51,'LAC 102_Wkst'!$L$7:$L$2010,"10",'LAC 102_Wkst'!$N$7:$N$2010,"P3")+SUMIFS('LAC 102_Wkst'!$Q$7:$Q$2010,'LAC 102_Wkst'!$D$7:$D$2010,$C$7,'LAC 102_Wkst'!$I$7:$I$2010,$C$9,'LAC 102_Wkst'!$E$7:$E$2010,$C51,'LAC 102_Wkst'!$G$7:$G$2010,$D51,'LAC 102_Wkst'!$L$7:$L$2010,"10",'LAC 102_Wkst'!$N$7:$N$2010,"P4")</f>
        <v>0</v>
      </c>
      <c r="AQ51" s="411">
        <f>SUMIFS('LAC 102_Wkst'!$AF$7:$AF$2010,'LAC 102_Wkst'!$D$7:$D$2010,$C$7,'LAC 102_Wkst'!$I$7:$I$2010,$C$9,'LAC 102_Wkst'!$E$7:$E$2010,$C51,'LAC 102_Wkst'!$G$7:$G$2010,$D51,'LAC 102_Wkst'!$L$7:$L$2010,"10",'LAC 102_Wkst'!$N$7:$N$2010,"P1")+SUMIFS('LAC 102_Wkst'!$AF$7:$AF$2010,'LAC 102_Wkst'!$D$7:$D$2010,$C$7,'LAC 102_Wkst'!$I$7:$I$2010,$C$9,'LAC 102_Wkst'!$E$7:$E$2010,$C51,'LAC 102_Wkst'!$G$7:$G$2010,$D51,'LAC 102_Wkst'!$L$7:$L$2010,"10",'LAC 102_Wkst'!$N$7:$N$2010,"P2")+SUMIFS('LAC 102_Wkst'!$AF$7:$AF$2010,'LAC 102_Wkst'!$D$7:$D$2010,$C$7,'LAC 102_Wkst'!$I$7:$I$2010,$C$9,'LAC 102_Wkst'!$E$7:$E$2010,$C51,'LAC 102_Wkst'!$G$7:$G$2010,$D51,'LAC 102_Wkst'!$L$7:$L$2010,"10",'LAC 102_Wkst'!$N$7:$N$2010,"P3")+SUMIFS('LAC 102_Wkst'!$AF$7:$AF$2010,'LAC 102_Wkst'!$D$7:$D$2010,$C$7,'LAC 102_Wkst'!$I$7:$I$2010,$C$9,'LAC 102_Wkst'!$E$7:$E$2010,$C51,'LAC 102_Wkst'!$G$7:$G$2010,$D51,'LAC 102_Wkst'!$L$7:$L$2010,"10",'LAC 102_Wkst'!$N$7:$N$2010,"P4")</f>
        <v>0</v>
      </c>
      <c r="AR51" s="410">
        <f>SUMIFS('LAC 102_Wkst'!$Q$7:$Q$2010,'LAC 102_Wkst'!$D$7:$D$2010,$C$7,'LAC 102_Wkst'!$I$7:$I$2010,$C$9,'LAC 102_Wkst'!$E$7:$E$2010,$C51,'LAC 102_Wkst'!$G$7:$G$2010,$D51,'LAC 102_Wkst'!$L$7:$L$2010,"10",'LAC 102_Wkst'!$N$7:$N$2010,"P5")</f>
        <v>0</v>
      </c>
      <c r="AS51" s="411">
        <f>SUMIFS('LAC 102_Wkst'!$AF$7:$AF$2010,'LAC 102_Wkst'!$D$7:$D$2010,$C$7,'LAC 102_Wkst'!$I$7:$I$2010,$C$9,'LAC 102_Wkst'!$E$7:$E$2010,$C51,'LAC 102_Wkst'!$G$7:$G$2010,$D51,'LAC 102_Wkst'!$L$7:$L$2010,"10",'LAC 102_Wkst'!$N$7:$N$2010,"P5")</f>
        <v>0</v>
      </c>
      <c r="AT51" s="410">
        <f>SUMIFS('LAC 102_Wkst'!$Q$7:$Q$2010,'LAC 102_Wkst'!$D$7:$D$2010,$C$7,'LAC 102_Wkst'!$I$7:$I$2010,$C$9,'LAC 102_Wkst'!$E$7:$E$2010,$C51,'LAC 102_Wkst'!$G$7:$G$2010,$D51,'LAC 102_Wkst'!$L$7:$L$2010,"11",'LAC 102_Wkst'!$N$7:$N$2010,"P1")+SUMIFS('LAC 102_Wkst'!$Q$7:$Q$2010,'LAC 102_Wkst'!$D$7:$D$2010,$C$7,'LAC 102_Wkst'!$I$7:$I$2010,$C$9,'LAC 102_Wkst'!$E$7:$E$2010,$C51,'LAC 102_Wkst'!$G$7:$G$2010,$D51,'LAC 102_Wkst'!$L$7:$L$2010,"12",'LAC 102_Wkst'!$N$7:$N$2010,"P1")</f>
        <v>0</v>
      </c>
      <c r="AU51" s="411">
        <f>SUMIFS('LAC 102_Wkst'!$Q$7:$Q$2010,'LAC 102_Wkst'!$D$7:$D$2010,$C$7,'LAC 102_Wkst'!$I$7:$I$2010,$C$9,'LAC 102_Wkst'!$E$7:$E$2010,$C51,'LAC 102_Wkst'!$G$7:$G$2010,$D51,'LAC 102_Wkst'!$L$7:$L$2010,"13",'LAC 102_Wkst'!$N$7:$N$2010,"P5")</f>
        <v>0</v>
      </c>
      <c r="AV51" s="410">
        <f>SUMIFS('LAC 102_Wkst'!$Q$7:$Q$2010,'LAC 102_Wkst'!$D$7:$D$2010,$C$7,'LAC 102_Wkst'!$I$7:$I$2010,$C$9,'LAC 102_Wkst'!$E$7:$E$2010,$C51,'LAC 102_Wkst'!$G$7:$G$2010,$D51,'LAC 102_Wkst'!$L$7:$L$2010,"11",'LAC 102_Wkst'!$N$7:$N$2010,"P2")+SUMIFS('LAC 102_Wkst'!$Q$7:$Q$2010,'LAC 102_Wkst'!$D$7:$D$2010,$C$7,'LAC 102_Wkst'!$I$7:$I$2010,$C$9,'LAC 102_Wkst'!$E$7:$E$2010,$C51,'LAC 102_Wkst'!$G$7:$G$2010,$D51,'LAC 102_Wkst'!$L$7:$L$2010,"12",'LAC 102_Wkst'!$N$7:$N$2010,"P2")+SUMIFS('LAC 102_Wkst'!$Q$7:$Q$2010,'LAC 102_Wkst'!$D$7:$D$2010,$C$7,'LAC 102_Wkst'!$I$7:$I$2010,$C$9,'LAC 102_Wkst'!$E$7:$E$2010,$C51,'LAC 102_Wkst'!$G$7:$G$2010,$D51,'LAC 102_Wkst'!$L$7:$L$2010,"11",'LAC 102_Wkst'!$N$7:$N$2010,"P3")+SUMIFS('LAC 102_Wkst'!$Q$7:$Q$2010,'LAC 102_Wkst'!$D$7:$D$2010,$C$7,'LAC 102_Wkst'!$I$7:$I$2010,$C$9,'LAC 102_Wkst'!$E$7:$E$2010,$C51,'LAC 102_Wkst'!$G$7:$G$2010,$D51,'LAC 102_Wkst'!$L$7:$L$2010,"12",'LAC 102_Wkst'!$N$7:$N$2010,"P3")</f>
        <v>0</v>
      </c>
      <c r="AW51" s="411">
        <f>SUMIFS('LAC 102_Wkst'!$AF$7:$AF$2010,'LAC 102_Wkst'!$D$7:$D$2010,$C$7,'LAC 102_Wkst'!$I$7:$I$2010,$C$9,'LAC 102_Wkst'!$E$7:$E$2010,$C51,'LAC 102_Wkst'!$G$7:$G$2010,$D51,'LAC 102_Wkst'!$L$7:$L$2010,"11",'LAC 102_Wkst'!$N$7:$N$2010,"P2")+SUMIFS('LAC 102_Wkst'!$AF$7:$AF$2010,'LAC 102_Wkst'!$D$7:$D$2010,$C$7,'LAC 102_Wkst'!$I$7:$I$2010,$C$9,'LAC 102_Wkst'!$E$7:$E$2010,$C51,'LAC 102_Wkst'!$G$7:$G$2010,$D51,'LAC 102_Wkst'!$L$7:$L$2010,"12",'LAC 102_Wkst'!$N$7:$N$2010,"P2")+SUMIFS('LAC 102_Wkst'!$AF$7:$AF$2010,'LAC 102_Wkst'!$D$7:$D$2010,$C$7,'LAC 102_Wkst'!$I$7:$I$2010,$C$9,'LAC 102_Wkst'!$E$7:$E$2010,$C51,'LAC 102_Wkst'!$G$7:$G$2010,$D51,'LAC 102_Wkst'!$L$7:$L$2010,"11",'LAC 102_Wkst'!$N$7:$N$2010,"P3")+SUMIFS('LAC 102_Wkst'!$AF$7:$AF$2010,'LAC 102_Wkst'!$D$7:$D$2010,$C$7,'LAC 102_Wkst'!$I$7:$I$2010,$C$9,'LAC 102_Wkst'!$E$7:$E$2010,$C51,'LAC 102_Wkst'!$G$7:$G$2010,$D51,'LAC 102_Wkst'!$L$7:$L$2010,"12",'LAC 102_Wkst'!$N$7:$N$2010,"P3")</f>
        <v>0</v>
      </c>
      <c r="AX51" s="410">
        <f>SUMIFS('LAC 102_Wkst'!$Q$7:$Q$2010,'LAC 102_Wkst'!$D$7:$D$2010,$C$7,'LAC 102_Wkst'!$I$7:$I$2010,$C$9,'LAC 102_Wkst'!$E$7:$E$2010,$C51,'LAC 102_Wkst'!$G$7:$G$2010,$D51,'LAC 102_Wkst'!$L$7:$L$2010,"11",'LAC 102_Wkst'!$N$7:$N$2010,"P4")+SUMIFS('LAC 102_Wkst'!$Q$7:$Q$2010,'LAC 102_Wkst'!$D$7:$D$2010,$C$7,'LAC 102_Wkst'!$I$7:$I$2010,$C$9,'LAC 102_Wkst'!$E$7:$E$2010,$C51,'LAC 102_Wkst'!$G$7:$G$2010,$D51,'LAC 102_Wkst'!$L$7:$L$2010,"12",'LAC 102_Wkst'!$N$7:$N$2010,"P4")</f>
        <v>0</v>
      </c>
      <c r="AY51" s="411">
        <f>SUMIFS('LAC 102_Wkst'!$AF$7:$AF$2010,'LAC 102_Wkst'!$D$7:$D$2010,$C$7,'LAC 102_Wkst'!$I$7:$I$2010,$C$9,'LAC 102_Wkst'!$E$7:$E$2010,$C51,'LAC 102_Wkst'!$G$7:$G$2010,$D51,'LAC 102_Wkst'!$L$7:$L$2010,"11",'LAC 102_Wkst'!$N$7:$N$2010,"P4")+SUMIFS('LAC 102_Wkst'!$AF$7:$AF$2010,'LAC 102_Wkst'!$D$7:$D$2010,$C$7,'LAC 102_Wkst'!$I$7:$I$2010,$C$9,'LAC 102_Wkst'!$E$7:$E$2010,$C51,'LAC 102_Wkst'!$G$7:$G$2010,$D51,'LAC 102_Wkst'!$L$7:$L$2010,"12",'LAC 102_Wkst'!$N$7:$N$2010,"P4")</f>
        <v>0</v>
      </c>
      <c r="AZ51" s="410">
        <f>SUMIFS('LAC 102_Wkst'!$Q$7:$Q$2010,'LAC 102_Wkst'!$D$7:$D$2010,$C$7,'LAC 102_Wkst'!$I$7:$I$2010,$C$9,'LAC 102_Wkst'!$E$7:$E$2010,$C51,'LAC 102_Wkst'!$G$7:$G$2010,$D51,'LAC 102_Wkst'!$L$7:$L$2010,"11",'LAC 102_Wkst'!$N$7:$N$2010,"P5")+SUMIFS('LAC 102_Wkst'!$Q$7:$Q$2010,'LAC 102_Wkst'!$D$7:$D$2010,$C$7,'LAC 102_Wkst'!$I$7:$I$2010,$C$9,'LAC 102_Wkst'!$E$7:$E$2010,$C51,'LAC 102_Wkst'!$G$7:$G$2010,$D51,'LAC 102_Wkst'!$L$7:$L$2010,"12",'LAC 102_Wkst'!$N$7:$N$2010,"P5")</f>
        <v>0</v>
      </c>
      <c r="BA51" s="411">
        <f>SUMIFS('LAC 102_Wkst'!$AF$7:$AF$2010,'LAC 102_Wkst'!$D$7:$D$2010,$C$7,'LAC 102_Wkst'!$I$7:$I$2010,$C$9,'LAC 102_Wkst'!$E$7:$E$2010,$C51,'LAC 102_Wkst'!$G$7:$G$2010,$D51,'LAC 102_Wkst'!$L$7:$L$2010,"11",'LAC 102_Wkst'!$N$7:$N$2010,"P5")+SUMIFS('LAC 102_Wkst'!$AF$7:$AF$2010,'LAC 102_Wkst'!$D$7:$D$2010,$C$7,'LAC 102_Wkst'!$I$7:$I$2010,$C$9,'LAC 102_Wkst'!$E$7:$E$2010,$C51,'LAC 102_Wkst'!$G$7:$G$2010,$D51,'LAC 102_Wkst'!$L$7:$L$2010,"12",'LAC 102_Wkst'!$N$7:$N$2010,"P5")</f>
        <v>0</v>
      </c>
      <c r="BB51" s="410">
        <f>SUMIFS('LAC 102_Wkst'!$Q$7:$Q$2010,'LAC 102_Wkst'!$D$7:$D$2010,$C$7,'LAC 102_Wkst'!$I$7:$I$2010,$C$9,'LAC 102_Wkst'!$E$7:$E$2010,$C51,'LAC 102_Wkst'!$G$7:$G$2010,$D51,'LAC 102_Wkst'!$L$7:$L$2010,"13",'LAC 102_Wkst'!$N$7:$N$2010,"P1")+SUMIFS('LAC 102_Wkst'!$Q$7:$Q$2010,'LAC 102_Wkst'!$D$7:$D$2010,$C$7,'LAC 102_Wkst'!$I$7:$I$2010,$C$9,'LAC 102_Wkst'!$E$7:$E$2010,$C51,'LAC 102_Wkst'!$G$7:$G$2010,$D51,'LAC 102_Wkst'!$L$7:$L$2010,"13",'LAC 102_Wkst'!$N$7:$N$2010,"P2")+SUMIFS('LAC 102_Wkst'!$Q$7:$Q$2010,'LAC 102_Wkst'!$D$7:$D$2010,$C$7,'LAC 102_Wkst'!$I$7:$I$2010,$C$9,'LAC 102_Wkst'!$E$7:$E$2010,$C51,'LAC 102_Wkst'!$G$7:$G$2010,$D51,'LAC 102_Wkst'!$L$7:$L$2010,"13",'LAC 102_Wkst'!$N$7:$N$2010,"P3")+SUMIFS('LAC 102_Wkst'!$Q$7:$Q$2010,'LAC 102_Wkst'!$D$7:$D$2010,$C$7,'LAC 102_Wkst'!$I$7:$I$2010,$C$9,'LAC 102_Wkst'!$E$7:$E$2010,$C51,'LAC 102_Wkst'!$G$7:$G$2010,$D51,'LAC 102_Wkst'!$L$7:$L$2010,"13",'LAC 102_Wkst'!$N$7:$N$2010,"P4")</f>
        <v>0</v>
      </c>
      <c r="BC51" s="411">
        <f>SUMIFS('LAC 102_Wkst'!$AF$7:$AF$2010,'LAC 102_Wkst'!$D$7:$D$2010,$C$7,'LAC 102_Wkst'!$I$7:$I$2010,$C$9,'LAC 102_Wkst'!$E$7:$E$2010,$C51,'LAC 102_Wkst'!$G$7:$G$2010,$D51,'LAC 102_Wkst'!$L$7:$L$2010,"13",'LAC 102_Wkst'!$N$7:$N$2010,"P1")+SUMIFS('LAC 102_Wkst'!$AF$7:$AF$2010,'LAC 102_Wkst'!$D$7:$D$2010,$C$7,'LAC 102_Wkst'!$I$7:$I$2010,$C$9,'LAC 102_Wkst'!$E$7:$E$2010,$C51,'LAC 102_Wkst'!$G$7:$G$2010,$D51,'LAC 102_Wkst'!$L$7:$L$2010,"13",'LAC 102_Wkst'!$N$7:$N$2010,"P2")+SUMIFS('LAC 102_Wkst'!$AF$7:$AF$2010,'LAC 102_Wkst'!$D$7:$D$2010,$C$7,'LAC 102_Wkst'!$I$7:$I$2010,$C$9,'LAC 102_Wkst'!$E$7:$E$2010,$C51,'LAC 102_Wkst'!$G$7:$G$2010,$D51,'LAC 102_Wkst'!$L$7:$L$2010,"13",'LAC 102_Wkst'!$N$7:$N$2010,"P3")+SUMIFS('LAC 102_Wkst'!$AF$7:$AF$2010,'LAC 102_Wkst'!$D$7:$D$2010,$C$7,'LAC 102_Wkst'!$I$7:$I$2010,$C$9,'LAC 102_Wkst'!$E$7:$E$2010,$C51,'LAC 102_Wkst'!$G$7:$G$2010,$D51,'LAC 102_Wkst'!$L$7:$L$2010,"13",'LAC 102_Wkst'!$N$7:$N$2010,"P4")</f>
        <v>0</v>
      </c>
      <c r="BD51" s="410">
        <f>SUMIFS('LAC 102_Wkst'!$Q$7:$Q$2010,'LAC 102_Wkst'!$D$7:$D$2010,$C$7,'LAC 102_Wkst'!$I$7:$I$2010,$C$9,'LAC 102_Wkst'!$E$7:$E$2010,$C51,'LAC 102_Wkst'!$G$7:$G$2010,$D51,'LAC 102_Wkst'!$L$7:$L$2010,"13",'LAC 102_Wkst'!$N$7:$N$2010,"P5")</f>
        <v>0</v>
      </c>
      <c r="BE51" s="411">
        <f>SUMIFS('LAC 102_Wkst'!$AF$7:$AF$2010,'LAC 102_Wkst'!$D$7:$D$2010,$C$7,'LAC 102_Wkst'!$I$7:$I$2010,$C$9,'LAC 102_Wkst'!$E$7:$E$2010,$C51,'LAC 102_Wkst'!$G$7:$G$2010,$D51,'LAC 102_Wkst'!$L$7:$L$2010,"13",'LAC 102_Wkst'!$N$7:$N$2010,"P5")</f>
        <v>0</v>
      </c>
      <c r="BF51" s="407">
        <f t="shared" si="4"/>
        <v>0</v>
      </c>
      <c r="BG51" s="1654">
        <f>SUMIFS('LAC 102_Wkst'!$AF$7:$AF$2010,'LAC 102_Wkst'!$D$7:$D$2010,$C$7,'LAC 102_Wkst'!$I$7:$I$2010,$C$9,'LAC 102_Wkst'!$E$7:$E$2010,$C51,'LAC 102_Wkst'!$G$7:$G$2010,$D51,'LAC 102_Wkst'!$L$7:$L$2010,"14")</f>
        <v>0</v>
      </c>
    </row>
    <row r="52" spans="1:59" x14ac:dyDescent="0.2">
      <c r="A52" s="401">
        <v>30</v>
      </c>
      <c r="B52" s="1678" t="str">
        <f>IF(Schedule_B!B$49="","",Schedule_B!B$49)</f>
        <v/>
      </c>
      <c r="C52" s="1674" t="str">
        <f>IF(Schedule_B!C$49=""," ",Schedule_B!C$49)</f>
        <v xml:space="preserve"> </v>
      </c>
      <c r="D52" s="1675" t="str">
        <f>IF(Schedule_B!D$49=""," ",Schedule_B!D$49)</f>
        <v xml:space="preserve"> </v>
      </c>
      <c r="E52" s="1221">
        <f>SUMIFS('LAC 102_Wkst'!$Q$7:$Q$2010,'LAC 102_Wkst'!$D$7:$D$2010,$C$7,'LAC 102_Wkst'!$I$7:$I$2010,$C$9,'LAC 102_Wkst'!$E$7:$E$2010,$C52,'LAC 102_Wkst'!$G$7:$G$2010,$D52)</f>
        <v>0</v>
      </c>
      <c r="F52" s="408">
        <f>SUMIFS('LAC 102_Wkst'!$Q$7:$Q$2010,'LAC 102_Wkst'!$D$7:$D$2010,$C$7,'LAC 102_Wkst'!$I$7:$I$2010,$C$9,'LAC 102_Wkst'!$E$7:$E$2010,$C52,'LAC 102_Wkst'!$G$7:$G$2010,$D52,'LAC 102_Wkst'!$L$7:$L$2010,"01",'LAC 102_Wkst'!$N$7:$N$2010,"P1")+SUMIFS('LAC 102_Wkst'!$Q$7:$Q$2010,'LAC 102_Wkst'!$D$7:$D$2010,$C$7,'LAC 102_Wkst'!$I$7:$I$2010,$C$9,'LAC 102_Wkst'!$E$7:$E$2010,$C52,'LAC 102_Wkst'!$G$7:$G$2010,$D52,'LAC 102_Wkst'!$L$7:$L$2010,"01",'LAC 102_Wkst'!$N$7:$N$2010,"P2")+SUMIFS('LAC 102_Wkst'!$Q$7:$Q$2010,'LAC 102_Wkst'!$D$7:$D$2010,$C$7,'LAC 102_Wkst'!$I$7:$I$2010,$C$9,'LAC 102_Wkst'!$E$7:$E$2010,$C52,'LAC 102_Wkst'!$G$7:$G$2010,$D52,'LAC 102_Wkst'!$L$7:$L$2010,"01",'LAC 102_Wkst'!$N$7:$N$2010,"P3")+SUMIFS('LAC 102_Wkst'!$Q$7:$Q$2010,'LAC 102_Wkst'!$D$7:$D$2010,$C$7,'LAC 102_Wkst'!$I$7:$I$2010,$C$9,'LAC 102_Wkst'!$E$7:$E$2010,$C52,'LAC 102_Wkst'!$G$7:$G$2010,$D52,'LAC 102_Wkst'!$L$7:$L$2010,"02",'LAC 102_Wkst'!$N$7:$N$2010,"P1")+SUMIFS('LAC 102_Wkst'!$Q$7:$Q$2010,'LAC 102_Wkst'!$D$7:$D$2010,$C$7,'LAC 102_Wkst'!$I$7:$I$2010,$C$9,'LAC 102_Wkst'!$E$7:$E$2010,$C52,'LAC 102_Wkst'!$G$7:$G$2010,$D52,'LAC 102_Wkst'!$L$7:$L$2010,"02",'LAC 102_Wkst'!$N$7:$N$2010,"P2")+SUMIFS('LAC 102_Wkst'!$Q$7:$Q$2010,'LAC 102_Wkst'!$D$7:$D$2010,$C$7,'LAC 102_Wkst'!$I$7:$I$2010,$C$9,'LAC 102_Wkst'!$E$7:$E$2010,$C52,'LAC 102_Wkst'!$G$7:$G$2010,$D52,'LAC 102_Wkst'!$L$7:$L$2010,"02",'LAC 102_Wkst'!$N$7:$N$2010,"P3")</f>
        <v>0</v>
      </c>
      <c r="G52" s="409">
        <f>SUMIFS('LAC 102_Wkst'!$AF$7:$AF$2010,'LAC 102_Wkst'!$D$7:$D$2010,$C$7,'LAC 102_Wkst'!$I$7:$I$2010,$C$9,'LAC 102_Wkst'!$E$7:$E$2010,$C52,'LAC 102_Wkst'!$G$7:$G$2010,$D52,'LAC 102_Wkst'!$L$7:$L$2010,"01",'LAC 102_Wkst'!$N$7:$N$2010,"P1")+SUMIFS('LAC 102_Wkst'!$AF$7:$AF$2010,'LAC 102_Wkst'!$D$7:$D$2010,$C$7,'LAC 102_Wkst'!$I$7:$I$2010,$C$9,'LAC 102_Wkst'!$E$7:$E$2010,$C52,'LAC 102_Wkst'!$G$7:$G$2010,$D52,'LAC 102_Wkst'!$L$7:$L$2010,"01",'LAC 102_Wkst'!$N$7:$N$2010,"P2")+SUMIFS('LAC 102_Wkst'!$AF$7:$AF$2010,'LAC 102_Wkst'!$D$7:$D$2010,$C$7,'LAC 102_Wkst'!$I$7:$I$2010,$C$9,'LAC 102_Wkst'!$E$7:$E$2010,$C52,'LAC 102_Wkst'!$G$7:$G$2010,$D52,'LAC 102_Wkst'!$L$7:$L$2010,"01",'LAC 102_Wkst'!$N$7:$N$2010,"P3")+SUMIFS('LAC 102_Wkst'!$AF$7:$AF$2010,'LAC 102_Wkst'!$D$7:$D$2010,$C$7,'LAC 102_Wkst'!$I$7:$I$2010,$C$9,'LAC 102_Wkst'!$E$7:$E$2010,$C52,'LAC 102_Wkst'!$G$7:$G$2010,$D52,'LAC 102_Wkst'!$L$7:$L$2010,"02",'LAC 102_Wkst'!$N$7:$N$2010,"P1")+SUMIFS('LAC 102_Wkst'!$AF$7:$AF$2010,'LAC 102_Wkst'!$D$7:$D$2010,$C$7,'LAC 102_Wkst'!$I$7:$I$2010,$C$9,'LAC 102_Wkst'!$E$7:$E$2010,$C52,'LAC 102_Wkst'!$G$7:$G$2010,$D52,'LAC 102_Wkst'!$L$7:$L$2010,"02",'LAC 102_Wkst'!$N$7:$N$2010,"P2")+SUMIFS('LAC 102_Wkst'!$AF$7:$AF$2010,'LAC 102_Wkst'!$D$7:$D$2010,$C$7,'LAC 102_Wkst'!$I$7:$I$2010,$C$9,'LAC 102_Wkst'!$E$7:$E$2010,$C52,'LAC 102_Wkst'!$G$7:$G$2010,$D52,'LAC 102_Wkst'!$L$7:$L$2010,"02",'LAC 102_Wkst'!$N$7:$N$2010,"P3")</f>
        <v>0</v>
      </c>
      <c r="H52" s="410">
        <f>SUMIFS('LAC 102_Wkst'!$Q$7:$Q$2010,'LAC 102_Wkst'!$D$7:$D$2010,$C$7,'LAC 102_Wkst'!$I$7:$I$2010,$C$9,'LAC 102_Wkst'!$E$7:$E$2010,$C52,'LAC 102_Wkst'!$G$7:$G$2010,$D52,'LAC 102_Wkst'!$L$7:$L$2010,"01",'LAC 102_Wkst'!$N$7:$N$2010,"P4")+SUMIFS('LAC 102_Wkst'!$Q$7:$Q$2010,'LAC 102_Wkst'!$D$7:$D$2010,$C$7,'LAC 102_Wkst'!$I$7:$I$2010,$C$9,'LAC 102_Wkst'!$E$7:$E$2010,$C52,'LAC 102_Wkst'!$G$7:$G$2010,$D52,'LAC 102_Wkst'!$L$7:$L$2010,"02",'LAC 102_Wkst'!$N$7:$N$2010,"P4")</f>
        <v>0</v>
      </c>
      <c r="I52" s="411">
        <f>SUMIFS('LAC 102_Wkst'!$AF$7:$AF$2010,'LAC 102_Wkst'!$D$7:$D$2010,$C$7,'LAC 102_Wkst'!$I$7:$I$2010,$C$9,'LAC 102_Wkst'!$E$7:$E$2010,$C52,'LAC 102_Wkst'!$G$7:$G$2010,$D52,'LAC 102_Wkst'!$L$7:$L$2010,"01",'LAC 102_Wkst'!$N$7:$N$2010,"P4")+SUMIFS('LAC 102_Wkst'!$AF$7:$AF$2010,'LAC 102_Wkst'!$D$7:$D$2010,$C$7,'LAC 102_Wkst'!$I$7:$I$2010,$C$9,'LAC 102_Wkst'!$E$7:$E$2010,$C52,'LAC 102_Wkst'!$G$7:$G$2010,$D52,'LAC 102_Wkst'!$L$7:$L$2010,"02",'LAC 102_Wkst'!$N$7:$N$2010,"P4")</f>
        <v>0</v>
      </c>
      <c r="J52" s="410">
        <f>SUMIFS('LAC 102_Wkst'!$Q$7:$Q$2010,'LAC 102_Wkst'!$D$7:$D$2010,$C$7,'LAC 102_Wkst'!$I$7:$I$2010,$C$9,'LAC 102_Wkst'!$E$7:$E$2010,$C52,'LAC 102_Wkst'!$G$7:$G$2010,$D52,'LAC 102_Wkst'!$L$7:$L$2010,"01",'LAC 102_Wkst'!$N$7:$N$2010,"P5")+SUMIFS('LAC 102_Wkst'!$Q$7:$Q$2010,'LAC 102_Wkst'!$D$7:$D$2010,$C$7,'LAC 102_Wkst'!$I$7:$I$2010,$C$9,'LAC 102_Wkst'!$E$7:$E$2010,$C52,'LAC 102_Wkst'!$G$7:$G$2010,$D52,'LAC 102_Wkst'!$L$7:$L$2010,"02",'LAC 102_Wkst'!$N$7:$N$2010,"P5")</f>
        <v>0</v>
      </c>
      <c r="K52" s="411">
        <f>SUMIFS('LAC 102_Wkst'!$AF$7:$AF$2010,'LAC 102_Wkst'!$D$7:$D$2010,$C$7,'LAC 102_Wkst'!$I$7:$I$2010,$C$9,'LAC 102_Wkst'!$E$7:$E$2010,$C52,'LAC 102_Wkst'!$G$7:$G$2010,$D52,'LAC 102_Wkst'!$L$7:$L$2010,"01",'LAC 102_Wkst'!$N$7:$N$2010,"P5")+SUMIFS('LAC 102_Wkst'!$AF$7:$AF$2010,'LAC 102_Wkst'!$D$7:$D$2010,$C$7,'LAC 102_Wkst'!$I$7:$I$2010,$C$9,'LAC 102_Wkst'!$E$7:$E$2010,$C52,'LAC 102_Wkst'!$G$7:$G$2010,$D52,'LAC 102_Wkst'!$L$7:$L$2010,"02",'LAC 102_Wkst'!$N$7:$N$2010,"P5")</f>
        <v>0</v>
      </c>
      <c r="L52" s="410">
        <f>SUMIFS('LAC 102_Wkst'!$Q$7:$Q$2010,'LAC 102_Wkst'!$D$7:$D$2010,$C$7,'LAC 102_Wkst'!$I$7:$I$2010,$C$9,'LAC 102_Wkst'!$E$7:$E$2010,$C52,'LAC 102_Wkst'!$G$7:$G$2010,$D52,'LAC 102_Wkst'!$L$7:$L$2010,"03",'LAC 102_Wkst'!$N$7:$N$2010,"P1")+SUMIFS('LAC 102_Wkst'!$Q$7:$Q$2010,'LAC 102_Wkst'!$D$7:$D$2010,$C$7,'LAC 102_Wkst'!$I$7:$I$2010,$C$9,'LAC 102_Wkst'!$E$7:$E$2010,$C52,'LAC 102_Wkst'!$G$7:$G$2010,$D52,'LAC 102_Wkst'!$L$7:$L$2010,"03",'LAC 102_Wkst'!$N$7:$N$2010,"P2")+SUMIFS('LAC 102_Wkst'!$Q$7:$Q$2010,'LAC 102_Wkst'!$D$7:$D$2010,$C$7,'LAC 102_Wkst'!$I$7:$I$2010,$C$9,'LAC 102_Wkst'!$E$7:$E$2010,$C52,'LAC 102_Wkst'!$G$7:$G$2010,$D52,'LAC 102_Wkst'!$L$7:$L$2010,"03",'LAC 102_Wkst'!$N$7:$N$2010,"P3")+SUMIFS('LAC 102_Wkst'!$Q$7:$Q$2010,'LAC 102_Wkst'!$D$7:$D$2010,$C$7,'LAC 102_Wkst'!$I$7:$I$2010,$C$9,'LAC 102_Wkst'!$E$7:$E$2010,$C52,'LAC 102_Wkst'!$G$7:$G$2010,$D52,'LAC 102_Wkst'!$L$7:$L$2010,"04",'LAC 102_Wkst'!$N$7:$N$2010,"P1")+SUMIFS('LAC 102_Wkst'!$Q$7:$Q$2010,'LAC 102_Wkst'!$D$7:$D$2010,$C$7,'LAC 102_Wkst'!$I$7:$I$2010,$C$9,'LAC 102_Wkst'!$E$7:$E$2010,$C52,'LAC 102_Wkst'!$G$7:$G$2010,$D52,'LAC 102_Wkst'!$L$7:$L$2010,"04",'LAC 102_Wkst'!$N$7:$N$2010,"P2")+SUMIFS('LAC 102_Wkst'!$Q$7:$Q$2010,'LAC 102_Wkst'!$D$7:$D$2010,$C$7,'LAC 102_Wkst'!$I$7:$I$2010,$C$9,'LAC 102_Wkst'!$E$7:$E$2010,$C52,'LAC 102_Wkst'!$G$7:$G$2010,$D52,'LAC 102_Wkst'!$L$7:$L$2010,"04",'LAC 102_Wkst'!$N$7:$N$2010,"P3")</f>
        <v>0</v>
      </c>
      <c r="M52" s="411">
        <f>SUMIFS('LAC 102_Wkst'!$AF$7:$AF$2010,'LAC 102_Wkst'!$D$7:$D$2010,$C$7,'LAC 102_Wkst'!$I$7:$I$2010,$C$9,'LAC 102_Wkst'!$E$7:$E$2010,$C52,'LAC 102_Wkst'!$G$7:$G$2010,$D52,'LAC 102_Wkst'!$L$7:$L$2010,"03",'LAC 102_Wkst'!$N$7:$N$2010,"P1")+SUMIFS('LAC 102_Wkst'!$AF$7:$AF$2010,'LAC 102_Wkst'!$D$7:$D$2010,$C$7,'LAC 102_Wkst'!$I$7:$I$2010,$C$9,'LAC 102_Wkst'!$E$7:$E$2010,$C52,'LAC 102_Wkst'!$G$7:$G$2010,$D52,'LAC 102_Wkst'!$L$7:$L$2010,"03",'LAC 102_Wkst'!$N$7:$N$2010,"P2")+SUMIFS('LAC 102_Wkst'!$AF$7:$AF$2010,'LAC 102_Wkst'!$D$7:$D$2010,$C$7,'LAC 102_Wkst'!$I$7:$I$2010,$C$9,'LAC 102_Wkst'!$E$7:$E$2010,$C52,'LAC 102_Wkst'!$G$7:$G$2010,$D52,'LAC 102_Wkst'!$L$7:$L$2010,"03",'LAC 102_Wkst'!$N$7:$N$2010,"P3")+SUMIFS('LAC 102_Wkst'!$AF$7:$AF$2010,'LAC 102_Wkst'!$D$7:$D$2010,$C$7,'LAC 102_Wkst'!$I$7:$I$2010,$C$9,'LAC 102_Wkst'!$E$7:$E$2010,$C52,'LAC 102_Wkst'!$G$7:$G$2010,$D52,'LAC 102_Wkst'!$L$7:$L$2010,"04",'LAC 102_Wkst'!$N$7:$N$2010,"P1")+SUMIFS('LAC 102_Wkst'!$AF$7:$AF$2010,'LAC 102_Wkst'!$D$7:$D$2010,$C$7,'LAC 102_Wkst'!$I$7:$I$2010,$C$9,'LAC 102_Wkst'!$E$7:$E$2010,$C52,'LAC 102_Wkst'!$G$7:$G$2010,$D52,'LAC 102_Wkst'!$L$7:$L$2010,"04",'LAC 102_Wkst'!$N$7:$N$2010,"P2")+SUMIFS('LAC 102_Wkst'!$AF$7:$AF$2010,'LAC 102_Wkst'!$D$7:$D$2010,$C$7,'LAC 102_Wkst'!$I$7:$I$2010,$C$9,'LAC 102_Wkst'!$E$7:$E$2010,$C52,'LAC 102_Wkst'!$G$7:$G$2010,$D52,'LAC 102_Wkst'!$L$7:$L$2010,"04",'LAC 102_Wkst'!$N$7:$N$2010,"P3")</f>
        <v>0</v>
      </c>
      <c r="N52" s="410">
        <f>SUMIFS('LAC 102_Wkst'!$Q$7:$Q$2010,'LAC 102_Wkst'!$D$7:$D$2010,$C$7,'LAC 102_Wkst'!$I$7:$I$2010,$C$9,'LAC 102_Wkst'!$E$7:$E$2010,$C52,'LAC 102_Wkst'!$G$7:$G$2010,$D52,'LAC 102_Wkst'!$L$7:$L$2010,"03",'LAC 102_Wkst'!$N$7:$N$2010,"P4")+SUMIFS('LAC 102_Wkst'!$Q$7:$Q$2010,'LAC 102_Wkst'!$D$7:$D$2010,$C$7,'LAC 102_Wkst'!$I$7:$I$2010,$C$9,'LAC 102_Wkst'!$E$7:$E$2010,$C52,'LAC 102_Wkst'!$G$7:$G$2010,$D52,'LAC 102_Wkst'!$L$7:$L$2010,"04",'LAC 102_Wkst'!$N$7:$N$2010,"P4")</f>
        <v>0</v>
      </c>
      <c r="O52" s="411">
        <f>SUMIFS('LAC 102_Wkst'!$AF$7:$AF$2010,'LAC 102_Wkst'!$D$7:$D$2010,$C$7,'LAC 102_Wkst'!$I$7:$I$2010,$C$9,'LAC 102_Wkst'!$E$7:$E$2010,$C52,'LAC 102_Wkst'!$G$7:$G$2010,$D52,'LAC 102_Wkst'!$L$7:$L$2010,"03",'LAC 102_Wkst'!$N$7:$N$2010,"P4")+SUMIFS('LAC 102_Wkst'!$AF$7:$AF$2010,'LAC 102_Wkst'!$D$7:$D$2010,$C$7,'LAC 102_Wkst'!$I$7:$I$2010,$C$9,'LAC 102_Wkst'!$E$7:$E$2010,$C52,'LAC 102_Wkst'!$G$7:$G$2010,$D52,'LAC 102_Wkst'!$L$7:$L$2010,"04",'LAC 102_Wkst'!$N$7:$N$2010,"P4")</f>
        <v>0</v>
      </c>
      <c r="P52" s="410">
        <f>SUMIFS('LAC 102_Wkst'!$Q$7:$Q$2010,'LAC 102_Wkst'!$D$7:$D$2010,$C$7,'LAC 102_Wkst'!$I$7:$I$2010,$C$9,'LAC 102_Wkst'!$E$7:$E$2010,$C52,'LAC 102_Wkst'!$G$7:$G$2010,$D52,'LAC 102_Wkst'!$L$7:$L$2010,"03",'LAC 102_Wkst'!$N$7:$N$2010,"P5")+SUMIFS('LAC 102_Wkst'!$Q$7:$Q$2010,'LAC 102_Wkst'!$D$7:$D$2010,$C$7,'LAC 102_Wkst'!$I$7:$I$2010,$C$9,'LAC 102_Wkst'!$E$7:$E$2010,$C52,'LAC 102_Wkst'!$G$7:$G$2010,$D52,'LAC 102_Wkst'!$L$7:$L$2010,"04",'LAC 102_Wkst'!$N$7:$N$2010,"P5")</f>
        <v>0</v>
      </c>
      <c r="Q52" s="411">
        <f>SUMIFS('LAC 102_Wkst'!$AF$7:$AF$2010,'LAC 102_Wkst'!$D$7:$D$2010,$C$7,'LAC 102_Wkst'!$I$7:$I$2010,$C$9,'LAC 102_Wkst'!$E$7:$E$2010,$C52,'LAC 102_Wkst'!$G$7:$G$2010,$D52,'LAC 102_Wkst'!$L$7:$L$2010,"03",'LAC 102_Wkst'!$N$7:$N$2010,"P5")+SUMIFS('LAC 102_Wkst'!$AF$7:$AF$2010,'LAC 102_Wkst'!$D$7:$D$2010,$C$7,'LAC 102_Wkst'!$I$7:$I$2010,$C$9,'LAC 102_Wkst'!$E$7:$E$2010,$C52,'LAC 102_Wkst'!$G$7:$G$2010,$D52,'LAC 102_Wkst'!$L$7:$L$2010,"04",'LAC 102_Wkst'!$N$7:$N$2010,"P5")</f>
        <v>0</v>
      </c>
      <c r="R52" s="412">
        <f>SUMIFS('LAC 102_Wkst'!$Q$7:$Q$2010,'LAC 102_Wkst'!$D$7:$D$2010,$C$7,'LAC 102_Wkst'!$I$7:$I$2010,$C$9,'LAC 102_Wkst'!$E$7:$E$2010,$C52,'LAC 102_Wkst'!$G$7:$G$2010,$D52,'LAC 102_Wkst'!$L$7:$L$2010,"05",'LAC 102_Wkst'!$N$7:$N$2010,"P1")+SUMIFS('LAC 102_Wkst'!$Q$7:$Q$2010,'LAC 102_Wkst'!$D$7:$D$2010,$C$7,'LAC 102_Wkst'!$I$7:$I$2010,$C$9,'LAC 102_Wkst'!$E$7:$E$2010,$C52,'LAC 102_Wkst'!$G$7:$G$2010,$D52,'LAC 102_Wkst'!$L$7:$L$2010,"06",'LAC 102_Wkst'!$N$7:$N$2010,"P1")</f>
        <v>0</v>
      </c>
      <c r="S52" s="411">
        <f>SUMIFS('LAC 102_Wkst'!$AF$7:$AF$2010,'LAC 102_Wkst'!$D$7:$D$2010,$C$7,'LAC 102_Wkst'!$I$7:$I$2010,$C$9,'LAC 102_Wkst'!$E$7:$E$2010,$C52,'LAC 102_Wkst'!$G$7:$G$2010,$D52,'LAC 102_Wkst'!$L$7:$L$2010,"05",'LAC 102_Wkst'!$N$7:$N$2010,"P1")+SUMIFS('LAC 102_Wkst'!$AF$7:$AF$2010,'LAC 102_Wkst'!$D$7:$D$2010,$C$7,'LAC 102_Wkst'!$I$7:$I$2010,$C$9,'LAC 102_Wkst'!$E$7:$E$2010,$C52,'LAC 102_Wkst'!$G$7:$G$2010,$D52,'LAC 102_Wkst'!$L$7:$L$2010,"06",'LAC 102_Wkst'!$N$7:$N$2010,"P1")</f>
        <v>0</v>
      </c>
      <c r="T52" s="410">
        <f>SUMIFS('LAC 102_Wkst'!$Q$7:$Q$2010,'LAC 102_Wkst'!$D$7:$D$2010,$C$7,'LAC 102_Wkst'!$I$7:$I$2010,$C$9,'LAC 102_Wkst'!$E$7:$E$2010,$C52,'LAC 102_Wkst'!$G$7:$G$2010,$D52,'LAC 102_Wkst'!$L$7:$L$2010,"05",'LAC 102_Wkst'!$N$7:$N$2010,"P2")+SUMIFS('LAC 102_Wkst'!$Q$7:$Q$2010,'LAC 102_Wkst'!$D$7:$D$2010,$C$7,'LAC 102_Wkst'!$I$7:$I$2010,$C$9,'LAC 102_Wkst'!$E$7:$E$2010,$C52,'LAC 102_Wkst'!$G$7:$G$2010,$D52,'LAC 102_Wkst'!$L$7:$L$2010,"06",'LAC 102_Wkst'!$N$7:$N$2010,"P2")+SUMIFS('LAC 102_Wkst'!$Q$7:$Q$2010,'LAC 102_Wkst'!$D$7:$D$2010,$C$7,'LAC 102_Wkst'!$I$7:$I$2010,$C$9,'LAC 102_Wkst'!$E$7:$E$2010,$C52,'LAC 102_Wkst'!$G$7:$G$2010,$D52,'LAC 102_Wkst'!$L$7:$L$2010,"05",'LAC 102_Wkst'!$N$7:$N$2010,"P3")+SUMIFS('LAC 102_Wkst'!$Q$7:$Q$2010,'LAC 102_Wkst'!$D$7:$D$2010,$C$7,'LAC 102_Wkst'!$I$7:$I$2010,$C$9,'LAC 102_Wkst'!$E$7:$E$2010,$C52,'LAC 102_Wkst'!$G$7:$G$2010,$D52,'LAC 102_Wkst'!$L$7:$L$2010,"06",'LAC 102_Wkst'!$N$7:$N$2010,"P3")</f>
        <v>0</v>
      </c>
      <c r="U52" s="411">
        <f>SUMIFS('LAC 102_Wkst'!$AF$7:$AF$2010,'LAC 102_Wkst'!$D$7:$D$2010,$C$7,'LAC 102_Wkst'!$I$7:$I$2010,$C$9,'LAC 102_Wkst'!$E$7:$E$2010,$C52,'LAC 102_Wkst'!$G$7:$G$2010,$D52,'LAC 102_Wkst'!$L$7:$L$2010,"05",'LAC 102_Wkst'!$N$7:$N$2010,"P2")+SUMIFS('LAC 102_Wkst'!$AF$7:$AF$2010,'LAC 102_Wkst'!$D$7:$D$2010,$C$7,'LAC 102_Wkst'!$I$7:$I$2010,$C$9,'LAC 102_Wkst'!$E$7:$E$2010,$C52,'LAC 102_Wkst'!$G$7:$G$2010,$D52,'LAC 102_Wkst'!$L$7:$L$2010,"06",'LAC 102_Wkst'!$N$7:$N$2010,"P2")+SUMIFS('LAC 102_Wkst'!$AF$7:$AF$2010,'LAC 102_Wkst'!$D$7:$D$2010,$C$7,'LAC 102_Wkst'!$I$7:$I$2010,$C$9,'LAC 102_Wkst'!$E$7:$E$2010,$C52,'LAC 102_Wkst'!$G$7:$G$2010,$D52,'LAC 102_Wkst'!$L$7:$L$2010,"05",'LAC 102_Wkst'!$N$7:$N$2010,"P3")+SUMIFS('LAC 102_Wkst'!$AF$7:$AF$2010,'LAC 102_Wkst'!$D$7:$D$2010,$C$7,'LAC 102_Wkst'!$I$7:$I$2010,$C$9,'LAC 102_Wkst'!$E$7:$E$2010,$C52,'LAC 102_Wkst'!$G$7:$G$2010,$D52,'LAC 102_Wkst'!$L$7:$L$2010,"06",'LAC 102_Wkst'!$N$7:$N$2010,"P3")</f>
        <v>0</v>
      </c>
      <c r="V52" s="410">
        <f>SUMIFS('LAC 102_Wkst'!$Q$7:$Q$2010,'LAC 102_Wkst'!$D$7:$D$2010,$C$7,'LAC 102_Wkst'!$I$7:$I$2010,$C$9,'LAC 102_Wkst'!$E$7:$E$2010,$C52,'LAC 102_Wkst'!$G$7:$G$2010,$D52,'LAC 102_Wkst'!$L$7:$L$2010,"05",'LAC 102_Wkst'!$N$7:$N$2010,"P4")+SUMIFS('LAC 102_Wkst'!$Q$7:$Q$2010,'LAC 102_Wkst'!$D$7:$D$2010,$C$7,'LAC 102_Wkst'!$I$7:$I$2010,$C$9,'LAC 102_Wkst'!$E$7:$E$2010,$C52,'LAC 102_Wkst'!$G$7:$G$2010,$D52,'LAC 102_Wkst'!$L$7:$L$2010,"06",'LAC 102_Wkst'!$N$7:$N$2010,"P4")</f>
        <v>0</v>
      </c>
      <c r="W52" s="411">
        <f>SUMIFS('LAC 102_Wkst'!$AF$7:$AF$2010,'LAC 102_Wkst'!$D$7:$D$2010,$C$7,'LAC 102_Wkst'!$I$7:$I$2010,$C$9,'LAC 102_Wkst'!$E$7:$E$2010,$C52,'LAC 102_Wkst'!$G$7:$G$2010,$D52,'LAC 102_Wkst'!$L$7:$L$2010,"05",'LAC 102_Wkst'!$N$7:$N$2010,"P4")+SUMIFS('LAC 102_Wkst'!$AF$7:$AF$2010,'LAC 102_Wkst'!$D$7:$D$2010,$C$7,'LAC 102_Wkst'!$I$7:$I$2010,$C$9,'LAC 102_Wkst'!$E$7:$E$2010,$C52,'LAC 102_Wkst'!$G$7:$G$2010,$D52,'LAC 102_Wkst'!$L$7:$L$2010,"06",'LAC 102_Wkst'!$N$7:$N$2010,"P4")</f>
        <v>0</v>
      </c>
      <c r="X52" s="410">
        <f>SUMIFS('LAC 102_Wkst'!$Q$7:$Q$2010,'LAC 102_Wkst'!$D$7:$D$2010,$C$7,'LAC 102_Wkst'!$I$7:$I$2010,$C$9,'LAC 102_Wkst'!$E$7:$E$2010,$C52,'LAC 102_Wkst'!$G$7:$G$2010,$D52,'LAC 102_Wkst'!$L$7:$L$2010,"05",'LAC 102_Wkst'!$N$7:$N$2010,"P5")+SUMIFS('LAC 102_Wkst'!$Q$7:$Q$2010,'LAC 102_Wkst'!$D$7:$D$2010,$C$7,'LAC 102_Wkst'!$I$7:$I$2010,$C$9,'LAC 102_Wkst'!$E$7:$E$2010,$C52,'LAC 102_Wkst'!$G$7:$G$2010,$D52,'LAC 102_Wkst'!$L$7:$L$2010,"06",'LAC 102_Wkst'!$N$7:$N$2010,"P5")</f>
        <v>0</v>
      </c>
      <c r="Y52" s="411">
        <f>SUMIFS('LAC 102_Wkst'!$AF$7:$AF$2010,'LAC 102_Wkst'!$D$7:$D$2010,$C$7,'LAC 102_Wkst'!$I$7:$I$2010,$C$9,'LAC 102_Wkst'!$E$7:$E$2010,$C52,'LAC 102_Wkst'!$G$7:$G$2010,$D52,'LAC 102_Wkst'!$L$7:$L$2010,"05",'LAC 102_Wkst'!$N$7:$N$2010,"P5")+SUMIFS('LAC 102_Wkst'!$AF$7:$AF$2010,'LAC 102_Wkst'!$D$7:$D$2010,$C$7,'LAC 102_Wkst'!$I$7:$I$2010,$C$9,'LAC 102_Wkst'!$E$7:$E$2010,$C52,'LAC 102_Wkst'!$G$7:$G$2010,$D52,'LAC 102_Wkst'!$L$7:$L$2010,"06",'LAC 102_Wkst'!$N$7:$N$2010,"P5")</f>
        <v>0</v>
      </c>
      <c r="Z52" s="410">
        <f>SUMIFS('LAC 102_Wkst'!$Q$7:$Q$2010,'LAC 102_Wkst'!$D$7:$D$2010,$C$7,'LAC 102_Wkst'!$I$7:$I$2010,$C$9,'LAC 102_Wkst'!$E$7:$E$2010,$C52,'LAC 102_Wkst'!$G$7:$G$2010,$D52,'LAC 102_Wkst'!$L$7:$L$2010,"07",'LAC 102_Wkst'!$N$7:$N$2010,"P1")+SUMIFS('LAC 102_Wkst'!$Q$7:$Q$2010,'LAC 102_Wkst'!$D$7:$D$2010,$C$7,'LAC 102_Wkst'!$I$7:$I$2010,$C$9,'LAC 102_Wkst'!$E$7:$E$2010,$C52,'LAC 102_Wkst'!$G$7:$G$2010,$D52,'LAC 102_Wkst'!$L$7:$L$2010,"07",'LAC 102_Wkst'!$N$7:$N$2010,"P2")+SUMIFS('LAC 102_Wkst'!$Q$7:$Q$2010,'LAC 102_Wkst'!$D$7:$D$2010,$C$7,'LAC 102_Wkst'!$I$7:$I$2010,$C$9,'LAC 102_Wkst'!$E$7:$E$2010,$C52,'LAC 102_Wkst'!$G$7:$G$2010,$D52,'LAC 102_Wkst'!$L$7:$L$2010,"07",'LAC 102_Wkst'!$N$7:$N$2010,"P3")</f>
        <v>0</v>
      </c>
      <c r="AA52" s="411">
        <f>SUMIFS('LAC 102_Wkst'!$AF$7:$AF$2010,'LAC 102_Wkst'!$D$7:$D$2010,$C$7,'LAC 102_Wkst'!$I$7:$I$2010,$C$9,'LAC 102_Wkst'!$E$7:$E$2010,$C52,'LAC 102_Wkst'!$G$7:$G$2010,$D52,'LAC 102_Wkst'!$L$7:$L$2010,"07",'LAC 102_Wkst'!$N$7:$N$2010,"P1")+SUMIFS('LAC 102_Wkst'!$AF$7:$AF$2010,'LAC 102_Wkst'!$D$7:$D$2010,$C$7,'LAC 102_Wkst'!$I$7:$I$2010,$C$9,'LAC 102_Wkst'!$E$7:$E$2010,$C52,'LAC 102_Wkst'!$G$7:$G$2010,$D52,'LAC 102_Wkst'!$L$7:$L$2010,"07",'LAC 102_Wkst'!$N$7:$N$2010,"P2")+SUMIFS('LAC 102_Wkst'!$AF$7:$AF$2010,'LAC 102_Wkst'!$D$7:$D$2010,$C$7,'LAC 102_Wkst'!$I$7:$I$2010,$C$9,'LAC 102_Wkst'!$E$7:$E$2010,$C52,'LAC 102_Wkst'!$G$7:$G$2010,$D52,'LAC 102_Wkst'!$L$7:$L$2010,"07",'LAC 102_Wkst'!$N$7:$N$2010,"P3")</f>
        <v>0</v>
      </c>
      <c r="AB52" s="410">
        <f>SUMIFS('LAC 102_Wkst'!$Q$7:$Q$2010,'LAC 102_Wkst'!$D$7:$D$2010,$C$7,'LAC 102_Wkst'!$I$7:$I$2010,$C$9,'LAC 102_Wkst'!$E$7:$E$2010,$C52,'LAC 102_Wkst'!$G$7:$G$2010,$D52,'LAC 102_Wkst'!$L$7:$L$2010,"07",'LAC 102_Wkst'!$N$7:$N$2010,"P4")</f>
        <v>0</v>
      </c>
      <c r="AC52" s="411">
        <f>SUMIFS('LAC 102_Wkst'!$AF$7:$AF$2010,'LAC 102_Wkst'!$D$7:$D$2010,$C$7,'LAC 102_Wkst'!$I$7:$I$2010,$C$9,'LAC 102_Wkst'!$E$7:$E$2010,$C52,'LAC 102_Wkst'!$G$7:$G$2010,$D52,'LAC 102_Wkst'!$L$7:$L$2010,"07",'LAC 102_Wkst'!$N$7:$N$2010,"P4")</f>
        <v>0</v>
      </c>
      <c r="AD52" s="410">
        <f>SUMIFS('LAC 102_Wkst'!$Q$7:$Q$2010,'LAC 102_Wkst'!$D$7:$D$2010,$C$7,'LAC 102_Wkst'!$I$7:$I$2010,$C$9,'LAC 102_Wkst'!$E$7:$E$2010,$C52,'LAC 102_Wkst'!$G$7:$G$2010,$D52,'LAC 102_Wkst'!$L$7:$L$2010,"07",'LAC 102_Wkst'!$N$7:$N$2010,"P5")</f>
        <v>0</v>
      </c>
      <c r="AE52" s="411">
        <f>SUMIFS('LAC 102_Wkst'!$AF$7:$AF$2010,'LAC 102_Wkst'!$D$7:$D$2010,$C$7,'LAC 102_Wkst'!$I$7:$I$2010,$C$9,'LAC 102_Wkst'!$E$7:$E$2010,$C52,'LAC 102_Wkst'!$G$7:$G$2010,$D52,'LAC 102_Wkst'!$L$7:$L$2010,"07",'LAC 102_Wkst'!$N$7:$N$2010,"P5")</f>
        <v>0</v>
      </c>
      <c r="AF52" s="410">
        <f>SUMIFS('LAC 102_Wkst'!$Q$7:$Q$2010,'LAC 102_Wkst'!$D$7:$D$2010,$C$7,'LAC 102_Wkst'!$I$7:$I$2010,$C$9,'LAC 102_Wkst'!$E$7:$E$2010,$C52,'LAC 102_Wkst'!$G$7:$G$2010,$D52,'LAC 102_Wkst'!$L$7:$L$2010,"08",'LAC 102_Wkst'!$N$7:$N$2010,"P1")+SUMIFS('LAC 102_Wkst'!$Q$7:$Q$2010,'LAC 102_Wkst'!$D$7:$D$2010,$C$7,'LAC 102_Wkst'!$I$7:$I$2010,$C$9,'LAC 102_Wkst'!$E$7:$E$2010,$C52,'LAC 102_Wkst'!$G$7:$G$2010,$D52,'LAC 102_Wkst'!$L$7:$L$2010,"08",'LAC 102_Wkst'!$N$7:$N$2010,"P2")+SUMIFS('LAC 102_Wkst'!$Q$7:$Q$2010,'LAC 102_Wkst'!$D$7:$D$2010,$C$7,'LAC 102_Wkst'!$I$7:$I$2010,$C$9,'LAC 102_Wkst'!$E$7:$E$2010,$C52,'LAC 102_Wkst'!$G$7:$G$2010,$D52,'LAC 102_Wkst'!$L$7:$L$2010,"08",'LAC 102_Wkst'!$N$7:$N$2010,"P3")</f>
        <v>0</v>
      </c>
      <c r="AG52" s="411">
        <f>SUMIFS('LAC 102_Wkst'!$AF$7:$AF$2010,'LAC 102_Wkst'!$D$7:$D$2010,$C$7,'LAC 102_Wkst'!$I$7:$I$2010,$C$9,'LAC 102_Wkst'!$E$7:$E$2010,$C52,'LAC 102_Wkst'!$G$7:$G$2010,$D52,'LAC 102_Wkst'!$L$7:$L$2010,"08",'LAC 102_Wkst'!$N$7:$N$2010,"P1")+SUMIFS('LAC 102_Wkst'!$AF$7:$AF$2010,'LAC 102_Wkst'!$D$7:$D$2010,$C$7,'LAC 102_Wkst'!$I$7:$I$2010,$C$9,'LAC 102_Wkst'!$E$7:$E$2010,$C52,'LAC 102_Wkst'!$G$7:$G$2010,$D52,'LAC 102_Wkst'!$L$7:$L$2010,"08",'LAC 102_Wkst'!$N$7:$N$2010,"P2")+SUMIFS('LAC 102_Wkst'!$AF$7:$AF$2010,'LAC 102_Wkst'!$D$7:$D$2010,$C$7,'LAC 102_Wkst'!$I$7:$I$2010,$C$9,'LAC 102_Wkst'!$E$7:$E$2010,$C52,'LAC 102_Wkst'!$G$7:$G$2010,$D52,'LAC 102_Wkst'!$L$7:$L$2010,"08",'LAC 102_Wkst'!$N$7:$N$2010,"P3")</f>
        <v>0</v>
      </c>
      <c r="AH52" s="410">
        <f>SUMIFS('LAC 102_Wkst'!$Q$7:$Q$2010,'LAC 102_Wkst'!$D$7:$D$2010,$C$7,'LAC 102_Wkst'!$I$7:$I$2010,$C$9,'LAC 102_Wkst'!$E$7:$E$2010,$C52,'LAC 102_Wkst'!$G$7:$G$2010,$D52,'LAC 102_Wkst'!$L$7:$L$2010,"08",'LAC 102_Wkst'!$N$7:$N$2010,"P4")</f>
        <v>0</v>
      </c>
      <c r="AI52" s="411">
        <f>SUMIFS('LAC 102_Wkst'!$AF$7:$AF$2010,'LAC 102_Wkst'!$D$7:$D$2010,$C$7,'LAC 102_Wkst'!$I$7:$I$2010,$C$9,'LAC 102_Wkst'!$E$7:$E$2010,$C52,'LAC 102_Wkst'!$G$7:$G$2010,$D52,'LAC 102_Wkst'!$L$7:$L$2010,"08",'LAC 102_Wkst'!$N$7:$N$2010,"P4")</f>
        <v>0</v>
      </c>
      <c r="AJ52" s="410">
        <f>SUMIFS('LAC 102_Wkst'!$Q$7:$Q$2010,'LAC 102_Wkst'!$D$7:$D$2010,$C$7,'LAC 102_Wkst'!$I$7:$I$2010,$C$9,'LAC 102_Wkst'!$E$7:$E$2010,$C52,'LAC 102_Wkst'!$G$7:$G$2010,$D52,'LAC 102_Wkst'!$L$7:$L$2010,"08",'LAC 102_Wkst'!$N$7:$N$2010,"P5")</f>
        <v>0</v>
      </c>
      <c r="AK52" s="411">
        <f>SUMIFS('LAC 102_Wkst'!$AF$7:$AF$2010,'LAC 102_Wkst'!$D$7:$D$2010,$C$7,'LAC 102_Wkst'!$I$7:$I$2010,$C$9,'LAC 102_Wkst'!$E$7:$E$2010,$C52,'LAC 102_Wkst'!$G$7:$G$2010,$D52,'LAC 102_Wkst'!$L$7:$L$2010,"08",'LAC 102_Wkst'!$N$7:$N$2010,"P5")</f>
        <v>0</v>
      </c>
      <c r="AL52" s="410">
        <f>SUMIFS('LAC 102_Wkst'!$Q$7:$Q$2010,'LAC 102_Wkst'!$D$7:$D$2010,$C$7,'LAC 102_Wkst'!$I$7:$I$2010,$C$9,'LAC 102_Wkst'!$E$7:$E$2010,$C52,'LAC 102_Wkst'!$G$7:$G$2010,$D52,'LAC 102_Wkst'!$L$7:$L$2010,"09",'LAC 102_Wkst'!$N$7:$N$2010,"P1")+SUMIFS('LAC 102_Wkst'!$Q$7:$Q$2010,'LAC 102_Wkst'!$D$7:$D$2010,$C$7,'LAC 102_Wkst'!$I$7:$I$2010,$C$9,'LAC 102_Wkst'!$E$7:$E$2010,$C52,'LAC 102_Wkst'!$G$7:$G$2010,$D52,'LAC 102_Wkst'!$L$7:$L$2010,"09",'LAC 102_Wkst'!$N$7:$N$2010,"P2")+SUMIFS('LAC 102_Wkst'!$Q$7:$Q$2010,'LAC 102_Wkst'!$D$7:$D$2010,$C$7,'LAC 102_Wkst'!$I$7:$I$2010,$C$9,'LAC 102_Wkst'!$E$7:$E$2010,$C52,'LAC 102_Wkst'!$G$7:$G$2010,$D52,'LAC 102_Wkst'!$L$7:$L$2010,"09",'LAC 102_Wkst'!$N$7:$N$2010,"P3")+SUMIFS('LAC 102_Wkst'!$Q$7:$Q$2010,'LAC 102_Wkst'!$D$7:$D$2010,$C$7,'LAC 102_Wkst'!$I$7:$I$2010,$C$9,'LAC 102_Wkst'!$E$7:$E$2010,$C52,'LAC 102_Wkst'!$G$7:$G$2010,$D52,'LAC 102_Wkst'!$L$7:$L$2010,"09",'LAC 102_Wkst'!$N$7:$N$2010,"P4")</f>
        <v>0</v>
      </c>
      <c r="AM52" s="411">
        <f>SUMIFS('LAC 102_Wkst'!$AF$7:$AF$2010,'LAC 102_Wkst'!$D$7:$D$2010,$C$7,'LAC 102_Wkst'!$I$7:$I$2010,$C$9,'LAC 102_Wkst'!$E$7:$E$2010,$C52,'LAC 102_Wkst'!$G$7:$G$2010,$D52,'LAC 102_Wkst'!$L$7:$L$2010,"09",'LAC 102_Wkst'!$N$7:$N$2010,"P1")+SUMIFS('LAC 102_Wkst'!$AF$7:$AF$2010,'LAC 102_Wkst'!$D$7:$D$2010,$C$7,'LAC 102_Wkst'!$I$7:$I$2010,$C$9,'LAC 102_Wkst'!$E$7:$E$2010,$C52,'LAC 102_Wkst'!$G$7:$G$2010,$D52,'LAC 102_Wkst'!$L$7:$L$2010,"09",'LAC 102_Wkst'!$N$7:$N$2010,"P2")+SUMIFS('LAC 102_Wkst'!$AF$7:$AF$2010,'LAC 102_Wkst'!$D$7:$D$2010,$C$7,'LAC 102_Wkst'!$I$7:$I$2010,$C$9,'LAC 102_Wkst'!$E$7:$E$2010,$C52,'LAC 102_Wkst'!$G$7:$G$2010,$D52,'LAC 102_Wkst'!$L$7:$L$2010,"09",'LAC 102_Wkst'!$N$7:$N$2010,"P3")+SUMIFS('LAC 102_Wkst'!$AF$7:$AF$2010,'LAC 102_Wkst'!$D$7:$D$2010,$C$7,'LAC 102_Wkst'!$I$7:$I$2010,$C$9,'LAC 102_Wkst'!$E$7:$E$2010,$C52,'LAC 102_Wkst'!$G$7:$G$2010,$D52,'LAC 102_Wkst'!$L$7:$L$2010,"09",'LAC 102_Wkst'!$N$7:$N$2010,"P4")</f>
        <v>0</v>
      </c>
      <c r="AN52" s="410">
        <f>SUMIFS('LAC 102_Wkst'!$Q$7:$Q$2010,'LAC 102_Wkst'!$D$7:$D$2010,$C$7,'LAC 102_Wkst'!$I$7:$I$2010,$C$9,'LAC 102_Wkst'!$E$7:$E$2010,$C52,'LAC 102_Wkst'!$G$7:$G$2010,$D52,'LAC 102_Wkst'!$L$7:$L$2010,"09",'LAC 102_Wkst'!$N$7:$N$2010,"P5")</f>
        <v>0</v>
      </c>
      <c r="AO52" s="411">
        <f>SUMIFS('LAC 102_Wkst'!$AF$7:$AF$2010,'LAC 102_Wkst'!$D$7:$D$2010,$C$7,'LAC 102_Wkst'!$I$7:$I$2010,$C$9,'LAC 102_Wkst'!$E$7:$E$2010,$C52,'LAC 102_Wkst'!$G$7:$G$2010,$D52,'LAC 102_Wkst'!$L$7:$L$2010,"09",'LAC 102_Wkst'!$N$7:$N$2010,"P5")</f>
        <v>0</v>
      </c>
      <c r="AP52" s="410">
        <f>SUMIFS('LAC 102_Wkst'!$Q$7:$Q$2010,'LAC 102_Wkst'!$D$7:$D$2010,$C$7,'LAC 102_Wkst'!$I$7:$I$2010,$C$9,'LAC 102_Wkst'!$E$7:$E$2010,$C52,'LAC 102_Wkst'!$G$7:$G$2010,$D52,'LAC 102_Wkst'!$L$7:$L$2010,"10",'LAC 102_Wkst'!$N$7:$N$2010,"P1")+SUMIFS('LAC 102_Wkst'!$Q$7:$Q$2010,'LAC 102_Wkst'!$D$7:$D$2010,$C$7,'LAC 102_Wkst'!$I$7:$I$2010,$C$9,'LAC 102_Wkst'!$E$7:$E$2010,$C52,'LAC 102_Wkst'!$G$7:$G$2010,$D52,'LAC 102_Wkst'!$L$7:$L$2010,"10",'LAC 102_Wkst'!$N$7:$N$2010,"P2")+SUMIFS('LAC 102_Wkst'!$Q$7:$Q$2010,'LAC 102_Wkst'!$D$7:$D$2010,$C$7,'LAC 102_Wkst'!$I$7:$I$2010,$C$9,'LAC 102_Wkst'!$E$7:$E$2010,$C52,'LAC 102_Wkst'!$G$7:$G$2010,$D52,'LAC 102_Wkst'!$L$7:$L$2010,"10",'LAC 102_Wkst'!$N$7:$N$2010,"P3")+SUMIFS('LAC 102_Wkst'!$Q$7:$Q$2010,'LAC 102_Wkst'!$D$7:$D$2010,$C$7,'LAC 102_Wkst'!$I$7:$I$2010,$C$9,'LAC 102_Wkst'!$E$7:$E$2010,$C52,'LAC 102_Wkst'!$G$7:$G$2010,$D52,'LAC 102_Wkst'!$L$7:$L$2010,"10",'LAC 102_Wkst'!$N$7:$N$2010,"P4")</f>
        <v>0</v>
      </c>
      <c r="AQ52" s="411">
        <f>SUMIFS('LAC 102_Wkst'!$AF$7:$AF$2010,'LAC 102_Wkst'!$D$7:$D$2010,$C$7,'LAC 102_Wkst'!$I$7:$I$2010,$C$9,'LAC 102_Wkst'!$E$7:$E$2010,$C52,'LAC 102_Wkst'!$G$7:$G$2010,$D52,'LAC 102_Wkst'!$L$7:$L$2010,"10",'LAC 102_Wkst'!$N$7:$N$2010,"P1")+SUMIFS('LAC 102_Wkst'!$AF$7:$AF$2010,'LAC 102_Wkst'!$D$7:$D$2010,$C$7,'LAC 102_Wkst'!$I$7:$I$2010,$C$9,'LAC 102_Wkst'!$E$7:$E$2010,$C52,'LAC 102_Wkst'!$G$7:$G$2010,$D52,'LAC 102_Wkst'!$L$7:$L$2010,"10",'LAC 102_Wkst'!$N$7:$N$2010,"P2")+SUMIFS('LAC 102_Wkst'!$AF$7:$AF$2010,'LAC 102_Wkst'!$D$7:$D$2010,$C$7,'LAC 102_Wkst'!$I$7:$I$2010,$C$9,'LAC 102_Wkst'!$E$7:$E$2010,$C52,'LAC 102_Wkst'!$G$7:$G$2010,$D52,'LAC 102_Wkst'!$L$7:$L$2010,"10",'LAC 102_Wkst'!$N$7:$N$2010,"P3")+SUMIFS('LAC 102_Wkst'!$AF$7:$AF$2010,'LAC 102_Wkst'!$D$7:$D$2010,$C$7,'LAC 102_Wkst'!$I$7:$I$2010,$C$9,'LAC 102_Wkst'!$E$7:$E$2010,$C52,'LAC 102_Wkst'!$G$7:$G$2010,$D52,'LAC 102_Wkst'!$L$7:$L$2010,"10",'LAC 102_Wkst'!$N$7:$N$2010,"P4")</f>
        <v>0</v>
      </c>
      <c r="AR52" s="410">
        <f>SUMIFS('LAC 102_Wkst'!$Q$7:$Q$2010,'LAC 102_Wkst'!$D$7:$D$2010,$C$7,'LAC 102_Wkst'!$I$7:$I$2010,$C$9,'LAC 102_Wkst'!$E$7:$E$2010,$C52,'LAC 102_Wkst'!$G$7:$G$2010,$D52,'LAC 102_Wkst'!$L$7:$L$2010,"10",'LAC 102_Wkst'!$N$7:$N$2010,"P5")</f>
        <v>0</v>
      </c>
      <c r="AS52" s="411">
        <f>SUMIFS('LAC 102_Wkst'!$AF$7:$AF$2010,'LAC 102_Wkst'!$D$7:$D$2010,$C$7,'LAC 102_Wkst'!$I$7:$I$2010,$C$9,'LAC 102_Wkst'!$E$7:$E$2010,$C52,'LAC 102_Wkst'!$G$7:$G$2010,$D52,'LAC 102_Wkst'!$L$7:$L$2010,"10",'LAC 102_Wkst'!$N$7:$N$2010,"P5")</f>
        <v>0</v>
      </c>
      <c r="AT52" s="410">
        <f>SUMIFS('LAC 102_Wkst'!$Q$7:$Q$2010,'LAC 102_Wkst'!$D$7:$D$2010,$C$7,'LAC 102_Wkst'!$I$7:$I$2010,$C$9,'LAC 102_Wkst'!$E$7:$E$2010,$C52,'LAC 102_Wkst'!$G$7:$G$2010,$D52,'LAC 102_Wkst'!$L$7:$L$2010,"11",'LAC 102_Wkst'!$N$7:$N$2010,"P1")+SUMIFS('LAC 102_Wkst'!$Q$7:$Q$2010,'LAC 102_Wkst'!$D$7:$D$2010,$C$7,'LAC 102_Wkst'!$I$7:$I$2010,$C$9,'LAC 102_Wkst'!$E$7:$E$2010,$C52,'LAC 102_Wkst'!$G$7:$G$2010,$D52,'LAC 102_Wkst'!$L$7:$L$2010,"12",'LAC 102_Wkst'!$N$7:$N$2010,"P1")</f>
        <v>0</v>
      </c>
      <c r="AU52" s="411">
        <f>SUMIFS('LAC 102_Wkst'!$Q$7:$Q$2010,'LAC 102_Wkst'!$D$7:$D$2010,$C$7,'LAC 102_Wkst'!$I$7:$I$2010,$C$9,'LAC 102_Wkst'!$E$7:$E$2010,$C52,'LAC 102_Wkst'!$G$7:$G$2010,$D52,'LAC 102_Wkst'!$L$7:$L$2010,"13",'LAC 102_Wkst'!$N$7:$N$2010,"P5")</f>
        <v>0</v>
      </c>
      <c r="AV52" s="410">
        <f>SUMIFS('LAC 102_Wkst'!$Q$7:$Q$2010,'LAC 102_Wkst'!$D$7:$D$2010,$C$7,'LAC 102_Wkst'!$I$7:$I$2010,$C$9,'LAC 102_Wkst'!$E$7:$E$2010,$C52,'LAC 102_Wkst'!$G$7:$G$2010,$D52,'LAC 102_Wkst'!$L$7:$L$2010,"11",'LAC 102_Wkst'!$N$7:$N$2010,"P2")+SUMIFS('LAC 102_Wkst'!$Q$7:$Q$2010,'LAC 102_Wkst'!$D$7:$D$2010,$C$7,'LAC 102_Wkst'!$I$7:$I$2010,$C$9,'LAC 102_Wkst'!$E$7:$E$2010,$C52,'LAC 102_Wkst'!$G$7:$G$2010,$D52,'LAC 102_Wkst'!$L$7:$L$2010,"12",'LAC 102_Wkst'!$N$7:$N$2010,"P2")+SUMIFS('LAC 102_Wkst'!$Q$7:$Q$2010,'LAC 102_Wkst'!$D$7:$D$2010,$C$7,'LAC 102_Wkst'!$I$7:$I$2010,$C$9,'LAC 102_Wkst'!$E$7:$E$2010,$C52,'LAC 102_Wkst'!$G$7:$G$2010,$D52,'LAC 102_Wkst'!$L$7:$L$2010,"11",'LAC 102_Wkst'!$N$7:$N$2010,"P3")+SUMIFS('LAC 102_Wkst'!$Q$7:$Q$2010,'LAC 102_Wkst'!$D$7:$D$2010,$C$7,'LAC 102_Wkst'!$I$7:$I$2010,$C$9,'LAC 102_Wkst'!$E$7:$E$2010,$C52,'LAC 102_Wkst'!$G$7:$G$2010,$D52,'LAC 102_Wkst'!$L$7:$L$2010,"12",'LAC 102_Wkst'!$N$7:$N$2010,"P3")</f>
        <v>0</v>
      </c>
      <c r="AW52" s="411">
        <f>SUMIFS('LAC 102_Wkst'!$AF$7:$AF$2010,'LAC 102_Wkst'!$D$7:$D$2010,$C$7,'LAC 102_Wkst'!$I$7:$I$2010,$C$9,'LAC 102_Wkst'!$E$7:$E$2010,$C52,'LAC 102_Wkst'!$G$7:$G$2010,$D52,'LAC 102_Wkst'!$L$7:$L$2010,"11",'LAC 102_Wkst'!$N$7:$N$2010,"P2")+SUMIFS('LAC 102_Wkst'!$AF$7:$AF$2010,'LAC 102_Wkst'!$D$7:$D$2010,$C$7,'LAC 102_Wkst'!$I$7:$I$2010,$C$9,'LAC 102_Wkst'!$E$7:$E$2010,$C52,'LAC 102_Wkst'!$G$7:$G$2010,$D52,'LAC 102_Wkst'!$L$7:$L$2010,"12",'LAC 102_Wkst'!$N$7:$N$2010,"P2")+SUMIFS('LAC 102_Wkst'!$AF$7:$AF$2010,'LAC 102_Wkst'!$D$7:$D$2010,$C$7,'LAC 102_Wkst'!$I$7:$I$2010,$C$9,'LAC 102_Wkst'!$E$7:$E$2010,$C52,'LAC 102_Wkst'!$G$7:$G$2010,$D52,'LAC 102_Wkst'!$L$7:$L$2010,"11",'LAC 102_Wkst'!$N$7:$N$2010,"P3")+SUMIFS('LAC 102_Wkst'!$AF$7:$AF$2010,'LAC 102_Wkst'!$D$7:$D$2010,$C$7,'LAC 102_Wkst'!$I$7:$I$2010,$C$9,'LAC 102_Wkst'!$E$7:$E$2010,$C52,'LAC 102_Wkst'!$G$7:$G$2010,$D52,'LAC 102_Wkst'!$L$7:$L$2010,"12",'LAC 102_Wkst'!$N$7:$N$2010,"P3")</f>
        <v>0</v>
      </c>
      <c r="AX52" s="410">
        <f>SUMIFS('LAC 102_Wkst'!$Q$7:$Q$2010,'LAC 102_Wkst'!$D$7:$D$2010,$C$7,'LAC 102_Wkst'!$I$7:$I$2010,$C$9,'LAC 102_Wkst'!$E$7:$E$2010,$C52,'LAC 102_Wkst'!$G$7:$G$2010,$D52,'LAC 102_Wkst'!$L$7:$L$2010,"11",'LAC 102_Wkst'!$N$7:$N$2010,"P4")+SUMIFS('LAC 102_Wkst'!$Q$7:$Q$2010,'LAC 102_Wkst'!$D$7:$D$2010,$C$7,'LAC 102_Wkst'!$I$7:$I$2010,$C$9,'LAC 102_Wkst'!$E$7:$E$2010,$C52,'LAC 102_Wkst'!$G$7:$G$2010,$D52,'LAC 102_Wkst'!$L$7:$L$2010,"12",'LAC 102_Wkst'!$N$7:$N$2010,"P4")</f>
        <v>0</v>
      </c>
      <c r="AY52" s="411">
        <f>SUMIFS('LAC 102_Wkst'!$AF$7:$AF$2010,'LAC 102_Wkst'!$D$7:$D$2010,$C$7,'LAC 102_Wkst'!$I$7:$I$2010,$C$9,'LAC 102_Wkst'!$E$7:$E$2010,$C52,'LAC 102_Wkst'!$G$7:$G$2010,$D52,'LAC 102_Wkst'!$L$7:$L$2010,"11",'LAC 102_Wkst'!$N$7:$N$2010,"P4")+SUMIFS('LAC 102_Wkst'!$AF$7:$AF$2010,'LAC 102_Wkst'!$D$7:$D$2010,$C$7,'LAC 102_Wkst'!$I$7:$I$2010,$C$9,'LAC 102_Wkst'!$E$7:$E$2010,$C52,'LAC 102_Wkst'!$G$7:$G$2010,$D52,'LAC 102_Wkst'!$L$7:$L$2010,"12",'LAC 102_Wkst'!$N$7:$N$2010,"P4")</f>
        <v>0</v>
      </c>
      <c r="AZ52" s="410">
        <f>SUMIFS('LAC 102_Wkst'!$Q$7:$Q$2010,'LAC 102_Wkst'!$D$7:$D$2010,$C$7,'LAC 102_Wkst'!$I$7:$I$2010,$C$9,'LAC 102_Wkst'!$E$7:$E$2010,$C52,'LAC 102_Wkst'!$G$7:$G$2010,$D52,'LAC 102_Wkst'!$L$7:$L$2010,"11",'LAC 102_Wkst'!$N$7:$N$2010,"P5")+SUMIFS('LAC 102_Wkst'!$Q$7:$Q$2010,'LAC 102_Wkst'!$D$7:$D$2010,$C$7,'LAC 102_Wkst'!$I$7:$I$2010,$C$9,'LAC 102_Wkst'!$E$7:$E$2010,$C52,'LAC 102_Wkst'!$G$7:$G$2010,$D52,'LAC 102_Wkst'!$L$7:$L$2010,"12",'LAC 102_Wkst'!$N$7:$N$2010,"P5")</f>
        <v>0</v>
      </c>
      <c r="BA52" s="411">
        <f>SUMIFS('LAC 102_Wkst'!$AF$7:$AF$2010,'LAC 102_Wkst'!$D$7:$D$2010,$C$7,'LAC 102_Wkst'!$I$7:$I$2010,$C$9,'LAC 102_Wkst'!$E$7:$E$2010,$C52,'LAC 102_Wkst'!$G$7:$G$2010,$D52,'LAC 102_Wkst'!$L$7:$L$2010,"11",'LAC 102_Wkst'!$N$7:$N$2010,"P5")+SUMIFS('LAC 102_Wkst'!$AF$7:$AF$2010,'LAC 102_Wkst'!$D$7:$D$2010,$C$7,'LAC 102_Wkst'!$I$7:$I$2010,$C$9,'LAC 102_Wkst'!$E$7:$E$2010,$C52,'LAC 102_Wkst'!$G$7:$G$2010,$D52,'LAC 102_Wkst'!$L$7:$L$2010,"12",'LAC 102_Wkst'!$N$7:$N$2010,"P5")</f>
        <v>0</v>
      </c>
      <c r="BB52" s="410">
        <f>SUMIFS('LAC 102_Wkst'!$Q$7:$Q$2010,'LAC 102_Wkst'!$D$7:$D$2010,$C$7,'LAC 102_Wkst'!$I$7:$I$2010,$C$9,'LAC 102_Wkst'!$E$7:$E$2010,$C52,'LAC 102_Wkst'!$G$7:$G$2010,$D52,'LAC 102_Wkst'!$L$7:$L$2010,"13",'LAC 102_Wkst'!$N$7:$N$2010,"P1")+SUMIFS('LAC 102_Wkst'!$Q$7:$Q$2010,'LAC 102_Wkst'!$D$7:$D$2010,$C$7,'LAC 102_Wkst'!$I$7:$I$2010,$C$9,'LAC 102_Wkst'!$E$7:$E$2010,$C52,'LAC 102_Wkst'!$G$7:$G$2010,$D52,'LAC 102_Wkst'!$L$7:$L$2010,"13",'LAC 102_Wkst'!$N$7:$N$2010,"P2")+SUMIFS('LAC 102_Wkst'!$Q$7:$Q$2010,'LAC 102_Wkst'!$D$7:$D$2010,$C$7,'LAC 102_Wkst'!$I$7:$I$2010,$C$9,'LAC 102_Wkst'!$E$7:$E$2010,$C52,'LAC 102_Wkst'!$G$7:$G$2010,$D52,'LAC 102_Wkst'!$L$7:$L$2010,"13",'LAC 102_Wkst'!$N$7:$N$2010,"P3")+SUMIFS('LAC 102_Wkst'!$Q$7:$Q$2010,'LAC 102_Wkst'!$D$7:$D$2010,$C$7,'LAC 102_Wkst'!$I$7:$I$2010,$C$9,'LAC 102_Wkst'!$E$7:$E$2010,$C52,'LAC 102_Wkst'!$G$7:$G$2010,$D52,'LAC 102_Wkst'!$L$7:$L$2010,"13",'LAC 102_Wkst'!$N$7:$N$2010,"P4")</f>
        <v>0</v>
      </c>
      <c r="BC52" s="411">
        <f>SUMIFS('LAC 102_Wkst'!$AF$7:$AF$2010,'LAC 102_Wkst'!$D$7:$D$2010,$C$7,'LAC 102_Wkst'!$I$7:$I$2010,$C$9,'LAC 102_Wkst'!$E$7:$E$2010,$C52,'LAC 102_Wkst'!$G$7:$G$2010,$D52,'LAC 102_Wkst'!$L$7:$L$2010,"13",'LAC 102_Wkst'!$N$7:$N$2010,"P1")+SUMIFS('LAC 102_Wkst'!$AF$7:$AF$2010,'LAC 102_Wkst'!$D$7:$D$2010,$C$7,'LAC 102_Wkst'!$I$7:$I$2010,$C$9,'LAC 102_Wkst'!$E$7:$E$2010,$C52,'LAC 102_Wkst'!$G$7:$G$2010,$D52,'LAC 102_Wkst'!$L$7:$L$2010,"13",'LAC 102_Wkst'!$N$7:$N$2010,"P2")+SUMIFS('LAC 102_Wkst'!$AF$7:$AF$2010,'LAC 102_Wkst'!$D$7:$D$2010,$C$7,'LAC 102_Wkst'!$I$7:$I$2010,$C$9,'LAC 102_Wkst'!$E$7:$E$2010,$C52,'LAC 102_Wkst'!$G$7:$G$2010,$D52,'LAC 102_Wkst'!$L$7:$L$2010,"13",'LAC 102_Wkst'!$N$7:$N$2010,"P3")+SUMIFS('LAC 102_Wkst'!$AF$7:$AF$2010,'LAC 102_Wkst'!$D$7:$D$2010,$C$7,'LAC 102_Wkst'!$I$7:$I$2010,$C$9,'LAC 102_Wkst'!$E$7:$E$2010,$C52,'LAC 102_Wkst'!$G$7:$G$2010,$D52,'LAC 102_Wkst'!$L$7:$L$2010,"13",'LAC 102_Wkst'!$N$7:$N$2010,"P4")</f>
        <v>0</v>
      </c>
      <c r="BD52" s="410">
        <f>SUMIFS('LAC 102_Wkst'!$Q$7:$Q$2010,'LAC 102_Wkst'!$D$7:$D$2010,$C$7,'LAC 102_Wkst'!$I$7:$I$2010,$C$9,'LAC 102_Wkst'!$E$7:$E$2010,$C52,'LAC 102_Wkst'!$G$7:$G$2010,$D52,'LAC 102_Wkst'!$L$7:$L$2010,"13",'LAC 102_Wkst'!$N$7:$N$2010,"P5")</f>
        <v>0</v>
      </c>
      <c r="BE52" s="411">
        <f>SUMIFS('LAC 102_Wkst'!$AF$7:$AF$2010,'LAC 102_Wkst'!$D$7:$D$2010,$C$7,'LAC 102_Wkst'!$I$7:$I$2010,$C$9,'LAC 102_Wkst'!$E$7:$E$2010,$C52,'LAC 102_Wkst'!$G$7:$G$2010,$D52,'LAC 102_Wkst'!$L$7:$L$2010,"13",'LAC 102_Wkst'!$N$7:$N$2010,"P5")</f>
        <v>0</v>
      </c>
      <c r="BF52" s="407">
        <f t="shared" si="4"/>
        <v>0</v>
      </c>
      <c r="BG52" s="1654">
        <f>SUMIFS('LAC 102_Wkst'!$AF$7:$AF$2010,'LAC 102_Wkst'!$D$7:$D$2010,$C$7,'LAC 102_Wkst'!$I$7:$I$2010,$C$9,'LAC 102_Wkst'!$E$7:$E$2010,$C52,'LAC 102_Wkst'!$G$7:$G$2010,$D52,'LAC 102_Wkst'!$L$7:$L$2010,"14")</f>
        <v>0</v>
      </c>
    </row>
    <row r="53" spans="1:59" x14ac:dyDescent="0.2">
      <c r="A53" s="401">
        <v>31</v>
      </c>
      <c r="B53" s="1678" t="str">
        <f>IF(Schedule_B!B$50="","",Schedule_B!B$50)</f>
        <v/>
      </c>
      <c r="C53" s="1674" t="str">
        <f>IF(Schedule_B!C$50=""," ",Schedule_B!C$50)</f>
        <v xml:space="preserve"> </v>
      </c>
      <c r="D53" s="1675" t="str">
        <f>IF(Schedule_B!D$50=""," ",Schedule_B!D$50)</f>
        <v xml:space="preserve"> </v>
      </c>
      <c r="E53" s="1221">
        <f>SUMIFS('LAC 102_Wkst'!$Q$7:$Q$2010,'LAC 102_Wkst'!$D$7:$D$2010,$C$7,'LAC 102_Wkst'!$I$7:$I$2010,$C$9,'LAC 102_Wkst'!$E$7:$E$2010,$C53,'LAC 102_Wkst'!$G$7:$G$2010,$D53)</f>
        <v>0</v>
      </c>
      <c r="F53" s="408">
        <f>SUMIFS('LAC 102_Wkst'!$Q$7:$Q$2010,'LAC 102_Wkst'!$D$7:$D$2010,$C$7,'LAC 102_Wkst'!$I$7:$I$2010,$C$9,'LAC 102_Wkst'!$E$7:$E$2010,$C53,'LAC 102_Wkst'!$G$7:$G$2010,$D53,'LAC 102_Wkst'!$L$7:$L$2010,"01",'LAC 102_Wkst'!$N$7:$N$2010,"P1")+SUMIFS('LAC 102_Wkst'!$Q$7:$Q$2010,'LAC 102_Wkst'!$D$7:$D$2010,$C$7,'LAC 102_Wkst'!$I$7:$I$2010,$C$9,'LAC 102_Wkst'!$E$7:$E$2010,$C53,'LAC 102_Wkst'!$G$7:$G$2010,$D53,'LAC 102_Wkst'!$L$7:$L$2010,"01",'LAC 102_Wkst'!$N$7:$N$2010,"P2")+SUMIFS('LAC 102_Wkst'!$Q$7:$Q$2010,'LAC 102_Wkst'!$D$7:$D$2010,$C$7,'LAC 102_Wkst'!$I$7:$I$2010,$C$9,'LAC 102_Wkst'!$E$7:$E$2010,$C53,'LAC 102_Wkst'!$G$7:$G$2010,$D53,'LAC 102_Wkst'!$L$7:$L$2010,"01",'LAC 102_Wkst'!$N$7:$N$2010,"P3")+SUMIFS('LAC 102_Wkst'!$Q$7:$Q$2010,'LAC 102_Wkst'!$D$7:$D$2010,$C$7,'LAC 102_Wkst'!$I$7:$I$2010,$C$9,'LAC 102_Wkst'!$E$7:$E$2010,$C53,'LAC 102_Wkst'!$G$7:$G$2010,$D53,'LAC 102_Wkst'!$L$7:$L$2010,"02",'LAC 102_Wkst'!$N$7:$N$2010,"P1")+SUMIFS('LAC 102_Wkst'!$Q$7:$Q$2010,'LAC 102_Wkst'!$D$7:$D$2010,$C$7,'LAC 102_Wkst'!$I$7:$I$2010,$C$9,'LAC 102_Wkst'!$E$7:$E$2010,$C53,'LAC 102_Wkst'!$G$7:$G$2010,$D53,'LAC 102_Wkst'!$L$7:$L$2010,"02",'LAC 102_Wkst'!$N$7:$N$2010,"P2")+SUMIFS('LAC 102_Wkst'!$Q$7:$Q$2010,'LAC 102_Wkst'!$D$7:$D$2010,$C$7,'LAC 102_Wkst'!$I$7:$I$2010,$C$9,'LAC 102_Wkst'!$E$7:$E$2010,$C53,'LAC 102_Wkst'!$G$7:$G$2010,$D53,'LAC 102_Wkst'!$L$7:$L$2010,"02",'LAC 102_Wkst'!$N$7:$N$2010,"P3")</f>
        <v>0</v>
      </c>
      <c r="G53" s="409">
        <f>SUMIFS('LAC 102_Wkst'!$AF$7:$AF$2010,'LAC 102_Wkst'!$D$7:$D$2010,$C$7,'LAC 102_Wkst'!$I$7:$I$2010,$C$9,'LAC 102_Wkst'!$E$7:$E$2010,$C53,'LAC 102_Wkst'!$G$7:$G$2010,$D53,'LAC 102_Wkst'!$L$7:$L$2010,"01",'LAC 102_Wkst'!$N$7:$N$2010,"P1")+SUMIFS('LAC 102_Wkst'!$AF$7:$AF$2010,'LAC 102_Wkst'!$D$7:$D$2010,$C$7,'LAC 102_Wkst'!$I$7:$I$2010,$C$9,'LAC 102_Wkst'!$E$7:$E$2010,$C53,'LAC 102_Wkst'!$G$7:$G$2010,$D53,'LAC 102_Wkst'!$L$7:$L$2010,"01",'LAC 102_Wkst'!$N$7:$N$2010,"P2")+SUMIFS('LAC 102_Wkst'!$AF$7:$AF$2010,'LAC 102_Wkst'!$D$7:$D$2010,$C$7,'LAC 102_Wkst'!$I$7:$I$2010,$C$9,'LAC 102_Wkst'!$E$7:$E$2010,$C53,'LAC 102_Wkst'!$G$7:$G$2010,$D53,'LAC 102_Wkst'!$L$7:$L$2010,"01",'LAC 102_Wkst'!$N$7:$N$2010,"P3")+SUMIFS('LAC 102_Wkst'!$AF$7:$AF$2010,'LAC 102_Wkst'!$D$7:$D$2010,$C$7,'LAC 102_Wkst'!$I$7:$I$2010,$C$9,'LAC 102_Wkst'!$E$7:$E$2010,$C53,'LAC 102_Wkst'!$G$7:$G$2010,$D53,'LAC 102_Wkst'!$L$7:$L$2010,"02",'LAC 102_Wkst'!$N$7:$N$2010,"P1")+SUMIFS('LAC 102_Wkst'!$AF$7:$AF$2010,'LAC 102_Wkst'!$D$7:$D$2010,$C$7,'LAC 102_Wkst'!$I$7:$I$2010,$C$9,'LAC 102_Wkst'!$E$7:$E$2010,$C53,'LAC 102_Wkst'!$G$7:$G$2010,$D53,'LAC 102_Wkst'!$L$7:$L$2010,"02",'LAC 102_Wkst'!$N$7:$N$2010,"P2")+SUMIFS('LAC 102_Wkst'!$AF$7:$AF$2010,'LAC 102_Wkst'!$D$7:$D$2010,$C$7,'LAC 102_Wkst'!$I$7:$I$2010,$C$9,'LAC 102_Wkst'!$E$7:$E$2010,$C53,'LAC 102_Wkst'!$G$7:$G$2010,$D53,'LAC 102_Wkst'!$L$7:$L$2010,"02",'LAC 102_Wkst'!$N$7:$N$2010,"P3")</f>
        <v>0</v>
      </c>
      <c r="H53" s="410">
        <f>SUMIFS('LAC 102_Wkst'!$Q$7:$Q$2010,'LAC 102_Wkst'!$D$7:$D$2010,$C$7,'LAC 102_Wkst'!$I$7:$I$2010,$C$9,'LAC 102_Wkst'!$E$7:$E$2010,$C53,'LAC 102_Wkst'!$G$7:$G$2010,$D53,'LAC 102_Wkst'!$L$7:$L$2010,"01",'LAC 102_Wkst'!$N$7:$N$2010,"P4")+SUMIFS('LAC 102_Wkst'!$Q$7:$Q$2010,'LAC 102_Wkst'!$D$7:$D$2010,$C$7,'LAC 102_Wkst'!$I$7:$I$2010,$C$9,'LAC 102_Wkst'!$E$7:$E$2010,$C53,'LAC 102_Wkst'!$G$7:$G$2010,$D53,'LAC 102_Wkst'!$L$7:$L$2010,"02",'LAC 102_Wkst'!$N$7:$N$2010,"P4")</f>
        <v>0</v>
      </c>
      <c r="I53" s="411">
        <f>SUMIFS('LAC 102_Wkst'!$AF$7:$AF$2010,'LAC 102_Wkst'!$D$7:$D$2010,$C$7,'LAC 102_Wkst'!$I$7:$I$2010,$C$9,'LAC 102_Wkst'!$E$7:$E$2010,$C53,'LAC 102_Wkst'!$G$7:$G$2010,$D53,'LAC 102_Wkst'!$L$7:$L$2010,"01",'LAC 102_Wkst'!$N$7:$N$2010,"P4")+SUMIFS('LAC 102_Wkst'!$AF$7:$AF$2010,'LAC 102_Wkst'!$D$7:$D$2010,$C$7,'LAC 102_Wkst'!$I$7:$I$2010,$C$9,'LAC 102_Wkst'!$E$7:$E$2010,$C53,'LAC 102_Wkst'!$G$7:$G$2010,$D53,'LAC 102_Wkst'!$L$7:$L$2010,"02",'LAC 102_Wkst'!$N$7:$N$2010,"P4")</f>
        <v>0</v>
      </c>
      <c r="J53" s="410">
        <f>SUMIFS('LAC 102_Wkst'!$Q$7:$Q$2010,'LAC 102_Wkst'!$D$7:$D$2010,$C$7,'LAC 102_Wkst'!$I$7:$I$2010,$C$9,'LAC 102_Wkst'!$E$7:$E$2010,$C53,'LAC 102_Wkst'!$G$7:$G$2010,$D53,'LAC 102_Wkst'!$L$7:$L$2010,"01",'LAC 102_Wkst'!$N$7:$N$2010,"P5")+SUMIFS('LAC 102_Wkst'!$Q$7:$Q$2010,'LAC 102_Wkst'!$D$7:$D$2010,$C$7,'LAC 102_Wkst'!$I$7:$I$2010,$C$9,'LAC 102_Wkst'!$E$7:$E$2010,$C53,'LAC 102_Wkst'!$G$7:$G$2010,$D53,'LAC 102_Wkst'!$L$7:$L$2010,"02",'LAC 102_Wkst'!$N$7:$N$2010,"P5")</f>
        <v>0</v>
      </c>
      <c r="K53" s="411">
        <f>SUMIFS('LAC 102_Wkst'!$AF$7:$AF$2010,'LAC 102_Wkst'!$D$7:$D$2010,$C$7,'LAC 102_Wkst'!$I$7:$I$2010,$C$9,'LAC 102_Wkst'!$E$7:$E$2010,$C53,'LAC 102_Wkst'!$G$7:$G$2010,$D53,'LAC 102_Wkst'!$L$7:$L$2010,"01",'LAC 102_Wkst'!$N$7:$N$2010,"P5")+SUMIFS('LAC 102_Wkst'!$AF$7:$AF$2010,'LAC 102_Wkst'!$D$7:$D$2010,$C$7,'LAC 102_Wkst'!$I$7:$I$2010,$C$9,'LAC 102_Wkst'!$E$7:$E$2010,$C53,'LAC 102_Wkst'!$G$7:$G$2010,$D53,'LAC 102_Wkst'!$L$7:$L$2010,"02",'LAC 102_Wkst'!$N$7:$N$2010,"P5")</f>
        <v>0</v>
      </c>
      <c r="L53" s="410">
        <f>SUMIFS('LAC 102_Wkst'!$Q$7:$Q$2010,'LAC 102_Wkst'!$D$7:$D$2010,$C$7,'LAC 102_Wkst'!$I$7:$I$2010,$C$9,'LAC 102_Wkst'!$E$7:$E$2010,$C53,'LAC 102_Wkst'!$G$7:$G$2010,$D53,'LAC 102_Wkst'!$L$7:$L$2010,"03",'LAC 102_Wkst'!$N$7:$N$2010,"P1")+SUMIFS('LAC 102_Wkst'!$Q$7:$Q$2010,'LAC 102_Wkst'!$D$7:$D$2010,$C$7,'LAC 102_Wkst'!$I$7:$I$2010,$C$9,'LAC 102_Wkst'!$E$7:$E$2010,$C53,'LAC 102_Wkst'!$G$7:$G$2010,$D53,'LAC 102_Wkst'!$L$7:$L$2010,"03",'LAC 102_Wkst'!$N$7:$N$2010,"P2")+SUMIFS('LAC 102_Wkst'!$Q$7:$Q$2010,'LAC 102_Wkst'!$D$7:$D$2010,$C$7,'LAC 102_Wkst'!$I$7:$I$2010,$C$9,'LAC 102_Wkst'!$E$7:$E$2010,$C53,'LAC 102_Wkst'!$G$7:$G$2010,$D53,'LAC 102_Wkst'!$L$7:$L$2010,"03",'LAC 102_Wkst'!$N$7:$N$2010,"P3")+SUMIFS('LAC 102_Wkst'!$Q$7:$Q$2010,'LAC 102_Wkst'!$D$7:$D$2010,$C$7,'LAC 102_Wkst'!$I$7:$I$2010,$C$9,'LAC 102_Wkst'!$E$7:$E$2010,$C53,'LAC 102_Wkst'!$G$7:$G$2010,$D53,'LAC 102_Wkst'!$L$7:$L$2010,"04",'LAC 102_Wkst'!$N$7:$N$2010,"P1")+SUMIFS('LAC 102_Wkst'!$Q$7:$Q$2010,'LAC 102_Wkst'!$D$7:$D$2010,$C$7,'LAC 102_Wkst'!$I$7:$I$2010,$C$9,'LAC 102_Wkst'!$E$7:$E$2010,$C53,'LAC 102_Wkst'!$G$7:$G$2010,$D53,'LAC 102_Wkst'!$L$7:$L$2010,"04",'LAC 102_Wkst'!$N$7:$N$2010,"P2")+SUMIFS('LAC 102_Wkst'!$Q$7:$Q$2010,'LAC 102_Wkst'!$D$7:$D$2010,$C$7,'LAC 102_Wkst'!$I$7:$I$2010,$C$9,'LAC 102_Wkst'!$E$7:$E$2010,$C53,'LAC 102_Wkst'!$G$7:$G$2010,$D53,'LAC 102_Wkst'!$L$7:$L$2010,"04",'LAC 102_Wkst'!$N$7:$N$2010,"P3")</f>
        <v>0</v>
      </c>
      <c r="M53" s="411">
        <f>SUMIFS('LAC 102_Wkst'!$AF$7:$AF$2010,'LAC 102_Wkst'!$D$7:$D$2010,$C$7,'LAC 102_Wkst'!$I$7:$I$2010,$C$9,'LAC 102_Wkst'!$E$7:$E$2010,$C53,'LAC 102_Wkst'!$G$7:$G$2010,$D53,'LAC 102_Wkst'!$L$7:$L$2010,"03",'LAC 102_Wkst'!$N$7:$N$2010,"P1")+SUMIFS('LAC 102_Wkst'!$AF$7:$AF$2010,'LAC 102_Wkst'!$D$7:$D$2010,$C$7,'LAC 102_Wkst'!$I$7:$I$2010,$C$9,'LAC 102_Wkst'!$E$7:$E$2010,$C53,'LAC 102_Wkst'!$G$7:$G$2010,$D53,'LAC 102_Wkst'!$L$7:$L$2010,"03",'LAC 102_Wkst'!$N$7:$N$2010,"P2")+SUMIFS('LAC 102_Wkst'!$AF$7:$AF$2010,'LAC 102_Wkst'!$D$7:$D$2010,$C$7,'LAC 102_Wkst'!$I$7:$I$2010,$C$9,'LAC 102_Wkst'!$E$7:$E$2010,$C53,'LAC 102_Wkst'!$G$7:$G$2010,$D53,'LAC 102_Wkst'!$L$7:$L$2010,"03",'LAC 102_Wkst'!$N$7:$N$2010,"P3")+SUMIFS('LAC 102_Wkst'!$AF$7:$AF$2010,'LAC 102_Wkst'!$D$7:$D$2010,$C$7,'LAC 102_Wkst'!$I$7:$I$2010,$C$9,'LAC 102_Wkst'!$E$7:$E$2010,$C53,'LAC 102_Wkst'!$G$7:$G$2010,$D53,'LAC 102_Wkst'!$L$7:$L$2010,"04",'LAC 102_Wkst'!$N$7:$N$2010,"P1")+SUMIFS('LAC 102_Wkst'!$AF$7:$AF$2010,'LAC 102_Wkst'!$D$7:$D$2010,$C$7,'LAC 102_Wkst'!$I$7:$I$2010,$C$9,'LAC 102_Wkst'!$E$7:$E$2010,$C53,'LAC 102_Wkst'!$G$7:$G$2010,$D53,'LAC 102_Wkst'!$L$7:$L$2010,"04",'LAC 102_Wkst'!$N$7:$N$2010,"P2")+SUMIFS('LAC 102_Wkst'!$AF$7:$AF$2010,'LAC 102_Wkst'!$D$7:$D$2010,$C$7,'LAC 102_Wkst'!$I$7:$I$2010,$C$9,'LAC 102_Wkst'!$E$7:$E$2010,$C53,'LAC 102_Wkst'!$G$7:$G$2010,$D53,'LAC 102_Wkst'!$L$7:$L$2010,"04",'LAC 102_Wkst'!$N$7:$N$2010,"P3")</f>
        <v>0</v>
      </c>
      <c r="N53" s="410">
        <f>SUMIFS('LAC 102_Wkst'!$Q$7:$Q$2010,'LAC 102_Wkst'!$D$7:$D$2010,$C$7,'LAC 102_Wkst'!$I$7:$I$2010,$C$9,'LAC 102_Wkst'!$E$7:$E$2010,$C53,'LAC 102_Wkst'!$G$7:$G$2010,$D53,'LAC 102_Wkst'!$L$7:$L$2010,"03",'LAC 102_Wkst'!$N$7:$N$2010,"P4")+SUMIFS('LAC 102_Wkst'!$Q$7:$Q$2010,'LAC 102_Wkst'!$D$7:$D$2010,$C$7,'LAC 102_Wkst'!$I$7:$I$2010,$C$9,'LAC 102_Wkst'!$E$7:$E$2010,$C53,'LAC 102_Wkst'!$G$7:$G$2010,$D53,'LAC 102_Wkst'!$L$7:$L$2010,"04",'LAC 102_Wkst'!$N$7:$N$2010,"P4")</f>
        <v>0</v>
      </c>
      <c r="O53" s="411">
        <f>SUMIFS('LAC 102_Wkst'!$AF$7:$AF$2010,'LAC 102_Wkst'!$D$7:$D$2010,$C$7,'LAC 102_Wkst'!$I$7:$I$2010,$C$9,'LAC 102_Wkst'!$E$7:$E$2010,$C53,'LAC 102_Wkst'!$G$7:$G$2010,$D53,'LAC 102_Wkst'!$L$7:$L$2010,"03",'LAC 102_Wkst'!$N$7:$N$2010,"P4")+SUMIFS('LAC 102_Wkst'!$AF$7:$AF$2010,'LAC 102_Wkst'!$D$7:$D$2010,$C$7,'LAC 102_Wkst'!$I$7:$I$2010,$C$9,'LAC 102_Wkst'!$E$7:$E$2010,$C53,'LAC 102_Wkst'!$G$7:$G$2010,$D53,'LAC 102_Wkst'!$L$7:$L$2010,"04",'LAC 102_Wkst'!$N$7:$N$2010,"P4")</f>
        <v>0</v>
      </c>
      <c r="P53" s="410">
        <f>SUMIFS('LAC 102_Wkst'!$Q$7:$Q$2010,'LAC 102_Wkst'!$D$7:$D$2010,$C$7,'LAC 102_Wkst'!$I$7:$I$2010,$C$9,'LAC 102_Wkst'!$E$7:$E$2010,$C53,'LAC 102_Wkst'!$G$7:$G$2010,$D53,'LAC 102_Wkst'!$L$7:$L$2010,"03",'LAC 102_Wkst'!$N$7:$N$2010,"P5")+SUMIFS('LAC 102_Wkst'!$Q$7:$Q$2010,'LAC 102_Wkst'!$D$7:$D$2010,$C$7,'LAC 102_Wkst'!$I$7:$I$2010,$C$9,'LAC 102_Wkst'!$E$7:$E$2010,$C53,'LAC 102_Wkst'!$G$7:$G$2010,$D53,'LAC 102_Wkst'!$L$7:$L$2010,"04",'LAC 102_Wkst'!$N$7:$N$2010,"P5")</f>
        <v>0</v>
      </c>
      <c r="Q53" s="411">
        <f>SUMIFS('LAC 102_Wkst'!$AF$7:$AF$2010,'LAC 102_Wkst'!$D$7:$D$2010,$C$7,'LAC 102_Wkst'!$I$7:$I$2010,$C$9,'LAC 102_Wkst'!$E$7:$E$2010,$C53,'LAC 102_Wkst'!$G$7:$G$2010,$D53,'LAC 102_Wkst'!$L$7:$L$2010,"03",'LAC 102_Wkst'!$N$7:$N$2010,"P5")+SUMIFS('LAC 102_Wkst'!$AF$7:$AF$2010,'LAC 102_Wkst'!$D$7:$D$2010,$C$7,'LAC 102_Wkst'!$I$7:$I$2010,$C$9,'LAC 102_Wkst'!$E$7:$E$2010,$C53,'LAC 102_Wkst'!$G$7:$G$2010,$D53,'LAC 102_Wkst'!$L$7:$L$2010,"04",'LAC 102_Wkst'!$N$7:$N$2010,"P5")</f>
        <v>0</v>
      </c>
      <c r="R53" s="412">
        <f>SUMIFS('LAC 102_Wkst'!$Q$7:$Q$2010,'LAC 102_Wkst'!$D$7:$D$2010,$C$7,'LAC 102_Wkst'!$I$7:$I$2010,$C$9,'LAC 102_Wkst'!$E$7:$E$2010,$C53,'LAC 102_Wkst'!$G$7:$G$2010,$D53,'LAC 102_Wkst'!$L$7:$L$2010,"05",'LAC 102_Wkst'!$N$7:$N$2010,"P1")+SUMIFS('LAC 102_Wkst'!$Q$7:$Q$2010,'LAC 102_Wkst'!$D$7:$D$2010,$C$7,'LAC 102_Wkst'!$I$7:$I$2010,$C$9,'LAC 102_Wkst'!$E$7:$E$2010,$C53,'LAC 102_Wkst'!$G$7:$G$2010,$D53,'LAC 102_Wkst'!$L$7:$L$2010,"06",'LAC 102_Wkst'!$N$7:$N$2010,"P1")</f>
        <v>0</v>
      </c>
      <c r="S53" s="411">
        <f>SUMIFS('LAC 102_Wkst'!$AF$7:$AF$2010,'LAC 102_Wkst'!$D$7:$D$2010,$C$7,'LAC 102_Wkst'!$I$7:$I$2010,$C$9,'LAC 102_Wkst'!$E$7:$E$2010,$C53,'LAC 102_Wkst'!$G$7:$G$2010,$D53,'LAC 102_Wkst'!$L$7:$L$2010,"05",'LAC 102_Wkst'!$N$7:$N$2010,"P1")+SUMIFS('LAC 102_Wkst'!$AF$7:$AF$2010,'LAC 102_Wkst'!$D$7:$D$2010,$C$7,'LAC 102_Wkst'!$I$7:$I$2010,$C$9,'LAC 102_Wkst'!$E$7:$E$2010,$C53,'LAC 102_Wkst'!$G$7:$G$2010,$D53,'LAC 102_Wkst'!$L$7:$L$2010,"06",'LAC 102_Wkst'!$N$7:$N$2010,"P1")</f>
        <v>0</v>
      </c>
      <c r="T53" s="410">
        <f>SUMIFS('LAC 102_Wkst'!$Q$7:$Q$2010,'LAC 102_Wkst'!$D$7:$D$2010,$C$7,'LAC 102_Wkst'!$I$7:$I$2010,$C$9,'LAC 102_Wkst'!$E$7:$E$2010,$C53,'LAC 102_Wkst'!$G$7:$G$2010,$D53,'LAC 102_Wkst'!$L$7:$L$2010,"05",'LAC 102_Wkst'!$N$7:$N$2010,"P2")+SUMIFS('LAC 102_Wkst'!$Q$7:$Q$2010,'LAC 102_Wkst'!$D$7:$D$2010,$C$7,'LAC 102_Wkst'!$I$7:$I$2010,$C$9,'LAC 102_Wkst'!$E$7:$E$2010,$C53,'LAC 102_Wkst'!$G$7:$G$2010,$D53,'LAC 102_Wkst'!$L$7:$L$2010,"06",'LAC 102_Wkst'!$N$7:$N$2010,"P2")+SUMIFS('LAC 102_Wkst'!$Q$7:$Q$2010,'LAC 102_Wkst'!$D$7:$D$2010,$C$7,'LAC 102_Wkst'!$I$7:$I$2010,$C$9,'LAC 102_Wkst'!$E$7:$E$2010,$C53,'LAC 102_Wkst'!$G$7:$G$2010,$D53,'LAC 102_Wkst'!$L$7:$L$2010,"05",'LAC 102_Wkst'!$N$7:$N$2010,"P3")+SUMIFS('LAC 102_Wkst'!$Q$7:$Q$2010,'LAC 102_Wkst'!$D$7:$D$2010,$C$7,'LAC 102_Wkst'!$I$7:$I$2010,$C$9,'LAC 102_Wkst'!$E$7:$E$2010,$C53,'LAC 102_Wkst'!$G$7:$G$2010,$D53,'LAC 102_Wkst'!$L$7:$L$2010,"06",'LAC 102_Wkst'!$N$7:$N$2010,"P3")</f>
        <v>0</v>
      </c>
      <c r="U53" s="411">
        <f>SUMIFS('LAC 102_Wkst'!$AF$7:$AF$2010,'LAC 102_Wkst'!$D$7:$D$2010,$C$7,'LAC 102_Wkst'!$I$7:$I$2010,$C$9,'LAC 102_Wkst'!$E$7:$E$2010,$C53,'LAC 102_Wkst'!$G$7:$G$2010,$D53,'LAC 102_Wkst'!$L$7:$L$2010,"05",'LAC 102_Wkst'!$N$7:$N$2010,"P2")+SUMIFS('LAC 102_Wkst'!$AF$7:$AF$2010,'LAC 102_Wkst'!$D$7:$D$2010,$C$7,'LAC 102_Wkst'!$I$7:$I$2010,$C$9,'LAC 102_Wkst'!$E$7:$E$2010,$C53,'LAC 102_Wkst'!$G$7:$G$2010,$D53,'LAC 102_Wkst'!$L$7:$L$2010,"06",'LAC 102_Wkst'!$N$7:$N$2010,"P2")+SUMIFS('LAC 102_Wkst'!$AF$7:$AF$2010,'LAC 102_Wkst'!$D$7:$D$2010,$C$7,'LAC 102_Wkst'!$I$7:$I$2010,$C$9,'LAC 102_Wkst'!$E$7:$E$2010,$C53,'LAC 102_Wkst'!$G$7:$G$2010,$D53,'LAC 102_Wkst'!$L$7:$L$2010,"05",'LAC 102_Wkst'!$N$7:$N$2010,"P3")+SUMIFS('LAC 102_Wkst'!$AF$7:$AF$2010,'LAC 102_Wkst'!$D$7:$D$2010,$C$7,'LAC 102_Wkst'!$I$7:$I$2010,$C$9,'LAC 102_Wkst'!$E$7:$E$2010,$C53,'LAC 102_Wkst'!$G$7:$G$2010,$D53,'LAC 102_Wkst'!$L$7:$L$2010,"06",'LAC 102_Wkst'!$N$7:$N$2010,"P3")</f>
        <v>0</v>
      </c>
      <c r="V53" s="410">
        <f>SUMIFS('LAC 102_Wkst'!$Q$7:$Q$2010,'LAC 102_Wkst'!$D$7:$D$2010,$C$7,'LAC 102_Wkst'!$I$7:$I$2010,$C$9,'LAC 102_Wkst'!$E$7:$E$2010,$C53,'LAC 102_Wkst'!$G$7:$G$2010,$D53,'LAC 102_Wkst'!$L$7:$L$2010,"05",'LAC 102_Wkst'!$N$7:$N$2010,"P4")+SUMIFS('LAC 102_Wkst'!$Q$7:$Q$2010,'LAC 102_Wkst'!$D$7:$D$2010,$C$7,'LAC 102_Wkst'!$I$7:$I$2010,$C$9,'LAC 102_Wkst'!$E$7:$E$2010,$C53,'LAC 102_Wkst'!$G$7:$G$2010,$D53,'LAC 102_Wkst'!$L$7:$L$2010,"06",'LAC 102_Wkst'!$N$7:$N$2010,"P4")</f>
        <v>0</v>
      </c>
      <c r="W53" s="411">
        <f>SUMIFS('LAC 102_Wkst'!$AF$7:$AF$2010,'LAC 102_Wkst'!$D$7:$D$2010,$C$7,'LAC 102_Wkst'!$I$7:$I$2010,$C$9,'LAC 102_Wkst'!$E$7:$E$2010,$C53,'LAC 102_Wkst'!$G$7:$G$2010,$D53,'LAC 102_Wkst'!$L$7:$L$2010,"05",'LAC 102_Wkst'!$N$7:$N$2010,"P4")+SUMIFS('LAC 102_Wkst'!$AF$7:$AF$2010,'LAC 102_Wkst'!$D$7:$D$2010,$C$7,'LAC 102_Wkst'!$I$7:$I$2010,$C$9,'LAC 102_Wkst'!$E$7:$E$2010,$C53,'LAC 102_Wkst'!$G$7:$G$2010,$D53,'LAC 102_Wkst'!$L$7:$L$2010,"06",'LAC 102_Wkst'!$N$7:$N$2010,"P4")</f>
        <v>0</v>
      </c>
      <c r="X53" s="410">
        <f>SUMIFS('LAC 102_Wkst'!$Q$7:$Q$2010,'LAC 102_Wkst'!$D$7:$D$2010,$C$7,'LAC 102_Wkst'!$I$7:$I$2010,$C$9,'LAC 102_Wkst'!$E$7:$E$2010,$C53,'LAC 102_Wkst'!$G$7:$G$2010,$D53,'LAC 102_Wkst'!$L$7:$L$2010,"05",'LAC 102_Wkst'!$N$7:$N$2010,"P5")+SUMIFS('LAC 102_Wkst'!$Q$7:$Q$2010,'LAC 102_Wkst'!$D$7:$D$2010,$C$7,'LAC 102_Wkst'!$I$7:$I$2010,$C$9,'LAC 102_Wkst'!$E$7:$E$2010,$C53,'LAC 102_Wkst'!$G$7:$G$2010,$D53,'LAC 102_Wkst'!$L$7:$L$2010,"06",'LAC 102_Wkst'!$N$7:$N$2010,"P5")</f>
        <v>0</v>
      </c>
      <c r="Y53" s="411">
        <f>SUMIFS('LAC 102_Wkst'!$AF$7:$AF$2010,'LAC 102_Wkst'!$D$7:$D$2010,$C$7,'LAC 102_Wkst'!$I$7:$I$2010,$C$9,'LAC 102_Wkst'!$E$7:$E$2010,$C53,'LAC 102_Wkst'!$G$7:$G$2010,$D53,'LAC 102_Wkst'!$L$7:$L$2010,"05",'LAC 102_Wkst'!$N$7:$N$2010,"P5")+SUMIFS('LAC 102_Wkst'!$AF$7:$AF$2010,'LAC 102_Wkst'!$D$7:$D$2010,$C$7,'LAC 102_Wkst'!$I$7:$I$2010,$C$9,'LAC 102_Wkst'!$E$7:$E$2010,$C53,'LAC 102_Wkst'!$G$7:$G$2010,$D53,'LAC 102_Wkst'!$L$7:$L$2010,"06",'LAC 102_Wkst'!$N$7:$N$2010,"P5")</f>
        <v>0</v>
      </c>
      <c r="Z53" s="410">
        <f>SUMIFS('LAC 102_Wkst'!$Q$7:$Q$2010,'LAC 102_Wkst'!$D$7:$D$2010,$C$7,'LAC 102_Wkst'!$I$7:$I$2010,$C$9,'LAC 102_Wkst'!$E$7:$E$2010,$C53,'LAC 102_Wkst'!$G$7:$G$2010,$D53,'LAC 102_Wkst'!$L$7:$L$2010,"07",'LAC 102_Wkst'!$N$7:$N$2010,"P1")+SUMIFS('LAC 102_Wkst'!$Q$7:$Q$2010,'LAC 102_Wkst'!$D$7:$D$2010,$C$7,'LAC 102_Wkst'!$I$7:$I$2010,$C$9,'LAC 102_Wkst'!$E$7:$E$2010,$C53,'LAC 102_Wkst'!$G$7:$G$2010,$D53,'LAC 102_Wkst'!$L$7:$L$2010,"07",'LAC 102_Wkst'!$N$7:$N$2010,"P2")+SUMIFS('LAC 102_Wkst'!$Q$7:$Q$2010,'LAC 102_Wkst'!$D$7:$D$2010,$C$7,'LAC 102_Wkst'!$I$7:$I$2010,$C$9,'LAC 102_Wkst'!$E$7:$E$2010,$C53,'LAC 102_Wkst'!$G$7:$G$2010,$D53,'LAC 102_Wkst'!$L$7:$L$2010,"07",'LAC 102_Wkst'!$N$7:$N$2010,"P3")</f>
        <v>0</v>
      </c>
      <c r="AA53" s="411">
        <f>SUMIFS('LAC 102_Wkst'!$AF$7:$AF$2010,'LAC 102_Wkst'!$D$7:$D$2010,$C$7,'LAC 102_Wkst'!$I$7:$I$2010,$C$9,'LAC 102_Wkst'!$E$7:$E$2010,$C53,'LAC 102_Wkst'!$G$7:$G$2010,$D53,'LAC 102_Wkst'!$L$7:$L$2010,"07",'LAC 102_Wkst'!$N$7:$N$2010,"P1")+SUMIFS('LAC 102_Wkst'!$AF$7:$AF$2010,'LAC 102_Wkst'!$D$7:$D$2010,$C$7,'LAC 102_Wkst'!$I$7:$I$2010,$C$9,'LAC 102_Wkst'!$E$7:$E$2010,$C53,'LAC 102_Wkst'!$G$7:$G$2010,$D53,'LAC 102_Wkst'!$L$7:$L$2010,"07",'LAC 102_Wkst'!$N$7:$N$2010,"P2")+SUMIFS('LAC 102_Wkst'!$AF$7:$AF$2010,'LAC 102_Wkst'!$D$7:$D$2010,$C$7,'LAC 102_Wkst'!$I$7:$I$2010,$C$9,'LAC 102_Wkst'!$E$7:$E$2010,$C53,'LAC 102_Wkst'!$G$7:$G$2010,$D53,'LAC 102_Wkst'!$L$7:$L$2010,"07",'LAC 102_Wkst'!$N$7:$N$2010,"P3")</f>
        <v>0</v>
      </c>
      <c r="AB53" s="410">
        <f>SUMIFS('LAC 102_Wkst'!$Q$7:$Q$2010,'LAC 102_Wkst'!$D$7:$D$2010,$C$7,'LAC 102_Wkst'!$I$7:$I$2010,$C$9,'LAC 102_Wkst'!$E$7:$E$2010,$C53,'LAC 102_Wkst'!$G$7:$G$2010,$D53,'LAC 102_Wkst'!$L$7:$L$2010,"07",'LAC 102_Wkst'!$N$7:$N$2010,"P4")</f>
        <v>0</v>
      </c>
      <c r="AC53" s="411">
        <f>SUMIFS('LAC 102_Wkst'!$AF$7:$AF$2010,'LAC 102_Wkst'!$D$7:$D$2010,$C$7,'LAC 102_Wkst'!$I$7:$I$2010,$C$9,'LAC 102_Wkst'!$E$7:$E$2010,$C53,'LAC 102_Wkst'!$G$7:$G$2010,$D53,'LAC 102_Wkst'!$L$7:$L$2010,"07",'LAC 102_Wkst'!$N$7:$N$2010,"P4")</f>
        <v>0</v>
      </c>
      <c r="AD53" s="410">
        <f>SUMIFS('LAC 102_Wkst'!$Q$7:$Q$2010,'LAC 102_Wkst'!$D$7:$D$2010,$C$7,'LAC 102_Wkst'!$I$7:$I$2010,$C$9,'LAC 102_Wkst'!$E$7:$E$2010,$C53,'LAC 102_Wkst'!$G$7:$G$2010,$D53,'LAC 102_Wkst'!$L$7:$L$2010,"07",'LAC 102_Wkst'!$N$7:$N$2010,"P5")</f>
        <v>0</v>
      </c>
      <c r="AE53" s="411">
        <f>SUMIFS('LAC 102_Wkst'!$AF$7:$AF$2010,'LAC 102_Wkst'!$D$7:$D$2010,$C$7,'LAC 102_Wkst'!$I$7:$I$2010,$C$9,'LAC 102_Wkst'!$E$7:$E$2010,$C53,'LAC 102_Wkst'!$G$7:$G$2010,$D53,'LAC 102_Wkst'!$L$7:$L$2010,"07",'LAC 102_Wkst'!$N$7:$N$2010,"P5")</f>
        <v>0</v>
      </c>
      <c r="AF53" s="410">
        <f>SUMIFS('LAC 102_Wkst'!$Q$7:$Q$2010,'LAC 102_Wkst'!$D$7:$D$2010,$C$7,'LAC 102_Wkst'!$I$7:$I$2010,$C$9,'LAC 102_Wkst'!$E$7:$E$2010,$C53,'LAC 102_Wkst'!$G$7:$G$2010,$D53,'LAC 102_Wkst'!$L$7:$L$2010,"08",'LAC 102_Wkst'!$N$7:$N$2010,"P1")+SUMIFS('LAC 102_Wkst'!$Q$7:$Q$2010,'LAC 102_Wkst'!$D$7:$D$2010,$C$7,'LAC 102_Wkst'!$I$7:$I$2010,$C$9,'LAC 102_Wkst'!$E$7:$E$2010,$C53,'LAC 102_Wkst'!$G$7:$G$2010,$D53,'LAC 102_Wkst'!$L$7:$L$2010,"08",'LAC 102_Wkst'!$N$7:$N$2010,"P2")+SUMIFS('LAC 102_Wkst'!$Q$7:$Q$2010,'LAC 102_Wkst'!$D$7:$D$2010,$C$7,'LAC 102_Wkst'!$I$7:$I$2010,$C$9,'LAC 102_Wkst'!$E$7:$E$2010,$C53,'LAC 102_Wkst'!$G$7:$G$2010,$D53,'LAC 102_Wkst'!$L$7:$L$2010,"08",'LAC 102_Wkst'!$N$7:$N$2010,"P3")</f>
        <v>0</v>
      </c>
      <c r="AG53" s="411">
        <f>SUMIFS('LAC 102_Wkst'!$AF$7:$AF$2010,'LAC 102_Wkst'!$D$7:$D$2010,$C$7,'LAC 102_Wkst'!$I$7:$I$2010,$C$9,'LAC 102_Wkst'!$E$7:$E$2010,$C53,'LAC 102_Wkst'!$G$7:$G$2010,$D53,'LAC 102_Wkst'!$L$7:$L$2010,"08",'LAC 102_Wkst'!$N$7:$N$2010,"P1")+SUMIFS('LAC 102_Wkst'!$AF$7:$AF$2010,'LAC 102_Wkst'!$D$7:$D$2010,$C$7,'LAC 102_Wkst'!$I$7:$I$2010,$C$9,'LAC 102_Wkst'!$E$7:$E$2010,$C53,'LAC 102_Wkst'!$G$7:$G$2010,$D53,'LAC 102_Wkst'!$L$7:$L$2010,"08",'LAC 102_Wkst'!$N$7:$N$2010,"P2")+SUMIFS('LAC 102_Wkst'!$AF$7:$AF$2010,'LAC 102_Wkst'!$D$7:$D$2010,$C$7,'LAC 102_Wkst'!$I$7:$I$2010,$C$9,'LAC 102_Wkst'!$E$7:$E$2010,$C53,'LAC 102_Wkst'!$G$7:$G$2010,$D53,'LAC 102_Wkst'!$L$7:$L$2010,"08",'LAC 102_Wkst'!$N$7:$N$2010,"P3")</f>
        <v>0</v>
      </c>
      <c r="AH53" s="410">
        <f>SUMIFS('LAC 102_Wkst'!$Q$7:$Q$2010,'LAC 102_Wkst'!$D$7:$D$2010,$C$7,'LAC 102_Wkst'!$I$7:$I$2010,$C$9,'LAC 102_Wkst'!$E$7:$E$2010,$C53,'LAC 102_Wkst'!$G$7:$G$2010,$D53,'LAC 102_Wkst'!$L$7:$L$2010,"08",'LAC 102_Wkst'!$N$7:$N$2010,"P4")</f>
        <v>0</v>
      </c>
      <c r="AI53" s="411">
        <f>SUMIFS('LAC 102_Wkst'!$AF$7:$AF$2010,'LAC 102_Wkst'!$D$7:$D$2010,$C$7,'LAC 102_Wkst'!$I$7:$I$2010,$C$9,'LAC 102_Wkst'!$E$7:$E$2010,$C53,'LAC 102_Wkst'!$G$7:$G$2010,$D53,'LAC 102_Wkst'!$L$7:$L$2010,"08",'LAC 102_Wkst'!$N$7:$N$2010,"P4")</f>
        <v>0</v>
      </c>
      <c r="AJ53" s="410">
        <f>SUMIFS('LAC 102_Wkst'!$Q$7:$Q$2010,'LAC 102_Wkst'!$D$7:$D$2010,$C$7,'LAC 102_Wkst'!$I$7:$I$2010,$C$9,'LAC 102_Wkst'!$E$7:$E$2010,$C53,'LAC 102_Wkst'!$G$7:$G$2010,$D53,'LAC 102_Wkst'!$L$7:$L$2010,"08",'LAC 102_Wkst'!$N$7:$N$2010,"P5")</f>
        <v>0</v>
      </c>
      <c r="AK53" s="411">
        <f>SUMIFS('LAC 102_Wkst'!$AF$7:$AF$2010,'LAC 102_Wkst'!$D$7:$D$2010,$C$7,'LAC 102_Wkst'!$I$7:$I$2010,$C$9,'LAC 102_Wkst'!$E$7:$E$2010,$C53,'LAC 102_Wkst'!$G$7:$G$2010,$D53,'LAC 102_Wkst'!$L$7:$L$2010,"08",'LAC 102_Wkst'!$N$7:$N$2010,"P5")</f>
        <v>0</v>
      </c>
      <c r="AL53" s="410">
        <f>SUMIFS('LAC 102_Wkst'!$Q$7:$Q$2010,'LAC 102_Wkst'!$D$7:$D$2010,$C$7,'LAC 102_Wkst'!$I$7:$I$2010,$C$9,'LAC 102_Wkst'!$E$7:$E$2010,$C53,'LAC 102_Wkst'!$G$7:$G$2010,$D53,'LAC 102_Wkst'!$L$7:$L$2010,"09",'LAC 102_Wkst'!$N$7:$N$2010,"P1")+SUMIFS('LAC 102_Wkst'!$Q$7:$Q$2010,'LAC 102_Wkst'!$D$7:$D$2010,$C$7,'LAC 102_Wkst'!$I$7:$I$2010,$C$9,'LAC 102_Wkst'!$E$7:$E$2010,$C53,'LAC 102_Wkst'!$G$7:$G$2010,$D53,'LAC 102_Wkst'!$L$7:$L$2010,"09",'LAC 102_Wkst'!$N$7:$N$2010,"P2")+SUMIFS('LAC 102_Wkst'!$Q$7:$Q$2010,'LAC 102_Wkst'!$D$7:$D$2010,$C$7,'LAC 102_Wkst'!$I$7:$I$2010,$C$9,'LAC 102_Wkst'!$E$7:$E$2010,$C53,'LAC 102_Wkst'!$G$7:$G$2010,$D53,'LAC 102_Wkst'!$L$7:$L$2010,"09",'LAC 102_Wkst'!$N$7:$N$2010,"P3")+SUMIFS('LAC 102_Wkst'!$Q$7:$Q$2010,'LAC 102_Wkst'!$D$7:$D$2010,$C$7,'LAC 102_Wkst'!$I$7:$I$2010,$C$9,'LAC 102_Wkst'!$E$7:$E$2010,$C53,'LAC 102_Wkst'!$G$7:$G$2010,$D53,'LAC 102_Wkst'!$L$7:$L$2010,"09",'LAC 102_Wkst'!$N$7:$N$2010,"P4")</f>
        <v>0</v>
      </c>
      <c r="AM53" s="411">
        <f>SUMIFS('LAC 102_Wkst'!$AF$7:$AF$2010,'LAC 102_Wkst'!$D$7:$D$2010,$C$7,'LAC 102_Wkst'!$I$7:$I$2010,$C$9,'LAC 102_Wkst'!$E$7:$E$2010,$C53,'LAC 102_Wkst'!$G$7:$G$2010,$D53,'LAC 102_Wkst'!$L$7:$L$2010,"09",'LAC 102_Wkst'!$N$7:$N$2010,"P1")+SUMIFS('LAC 102_Wkst'!$AF$7:$AF$2010,'LAC 102_Wkst'!$D$7:$D$2010,$C$7,'LAC 102_Wkst'!$I$7:$I$2010,$C$9,'LAC 102_Wkst'!$E$7:$E$2010,$C53,'LAC 102_Wkst'!$G$7:$G$2010,$D53,'LAC 102_Wkst'!$L$7:$L$2010,"09",'LAC 102_Wkst'!$N$7:$N$2010,"P2")+SUMIFS('LAC 102_Wkst'!$AF$7:$AF$2010,'LAC 102_Wkst'!$D$7:$D$2010,$C$7,'LAC 102_Wkst'!$I$7:$I$2010,$C$9,'LAC 102_Wkst'!$E$7:$E$2010,$C53,'LAC 102_Wkst'!$G$7:$G$2010,$D53,'LAC 102_Wkst'!$L$7:$L$2010,"09",'LAC 102_Wkst'!$N$7:$N$2010,"P3")+SUMIFS('LAC 102_Wkst'!$AF$7:$AF$2010,'LAC 102_Wkst'!$D$7:$D$2010,$C$7,'LAC 102_Wkst'!$I$7:$I$2010,$C$9,'LAC 102_Wkst'!$E$7:$E$2010,$C53,'LAC 102_Wkst'!$G$7:$G$2010,$D53,'LAC 102_Wkst'!$L$7:$L$2010,"09",'LAC 102_Wkst'!$N$7:$N$2010,"P4")</f>
        <v>0</v>
      </c>
      <c r="AN53" s="410">
        <f>SUMIFS('LAC 102_Wkst'!$Q$7:$Q$2010,'LAC 102_Wkst'!$D$7:$D$2010,$C$7,'LAC 102_Wkst'!$I$7:$I$2010,$C$9,'LAC 102_Wkst'!$E$7:$E$2010,$C53,'LAC 102_Wkst'!$G$7:$G$2010,$D53,'LAC 102_Wkst'!$L$7:$L$2010,"09",'LAC 102_Wkst'!$N$7:$N$2010,"P5")</f>
        <v>0</v>
      </c>
      <c r="AO53" s="411">
        <f>SUMIFS('LAC 102_Wkst'!$AF$7:$AF$2010,'LAC 102_Wkst'!$D$7:$D$2010,$C$7,'LAC 102_Wkst'!$I$7:$I$2010,$C$9,'LAC 102_Wkst'!$E$7:$E$2010,$C53,'LAC 102_Wkst'!$G$7:$G$2010,$D53,'LAC 102_Wkst'!$L$7:$L$2010,"09",'LAC 102_Wkst'!$N$7:$N$2010,"P5")</f>
        <v>0</v>
      </c>
      <c r="AP53" s="410">
        <f>SUMIFS('LAC 102_Wkst'!$Q$7:$Q$2010,'LAC 102_Wkst'!$D$7:$D$2010,$C$7,'LAC 102_Wkst'!$I$7:$I$2010,$C$9,'LAC 102_Wkst'!$E$7:$E$2010,$C53,'LAC 102_Wkst'!$G$7:$G$2010,$D53,'LAC 102_Wkst'!$L$7:$L$2010,"10",'LAC 102_Wkst'!$N$7:$N$2010,"P1")+SUMIFS('LAC 102_Wkst'!$Q$7:$Q$2010,'LAC 102_Wkst'!$D$7:$D$2010,$C$7,'LAC 102_Wkst'!$I$7:$I$2010,$C$9,'LAC 102_Wkst'!$E$7:$E$2010,$C53,'LAC 102_Wkst'!$G$7:$G$2010,$D53,'LAC 102_Wkst'!$L$7:$L$2010,"10",'LAC 102_Wkst'!$N$7:$N$2010,"P2")+SUMIFS('LAC 102_Wkst'!$Q$7:$Q$2010,'LAC 102_Wkst'!$D$7:$D$2010,$C$7,'LAC 102_Wkst'!$I$7:$I$2010,$C$9,'LAC 102_Wkst'!$E$7:$E$2010,$C53,'LAC 102_Wkst'!$G$7:$G$2010,$D53,'LAC 102_Wkst'!$L$7:$L$2010,"10",'LAC 102_Wkst'!$N$7:$N$2010,"P3")+SUMIFS('LAC 102_Wkst'!$Q$7:$Q$2010,'LAC 102_Wkst'!$D$7:$D$2010,$C$7,'LAC 102_Wkst'!$I$7:$I$2010,$C$9,'LAC 102_Wkst'!$E$7:$E$2010,$C53,'LAC 102_Wkst'!$G$7:$G$2010,$D53,'LAC 102_Wkst'!$L$7:$L$2010,"10",'LAC 102_Wkst'!$N$7:$N$2010,"P4")</f>
        <v>0</v>
      </c>
      <c r="AQ53" s="411">
        <f>SUMIFS('LAC 102_Wkst'!$AF$7:$AF$2010,'LAC 102_Wkst'!$D$7:$D$2010,$C$7,'LAC 102_Wkst'!$I$7:$I$2010,$C$9,'LAC 102_Wkst'!$E$7:$E$2010,$C53,'LAC 102_Wkst'!$G$7:$G$2010,$D53,'LAC 102_Wkst'!$L$7:$L$2010,"10",'LAC 102_Wkst'!$N$7:$N$2010,"P1")+SUMIFS('LAC 102_Wkst'!$AF$7:$AF$2010,'LAC 102_Wkst'!$D$7:$D$2010,$C$7,'LAC 102_Wkst'!$I$7:$I$2010,$C$9,'LAC 102_Wkst'!$E$7:$E$2010,$C53,'LAC 102_Wkst'!$G$7:$G$2010,$D53,'LAC 102_Wkst'!$L$7:$L$2010,"10",'LAC 102_Wkst'!$N$7:$N$2010,"P2")+SUMIFS('LAC 102_Wkst'!$AF$7:$AF$2010,'LAC 102_Wkst'!$D$7:$D$2010,$C$7,'LAC 102_Wkst'!$I$7:$I$2010,$C$9,'LAC 102_Wkst'!$E$7:$E$2010,$C53,'LAC 102_Wkst'!$G$7:$G$2010,$D53,'LAC 102_Wkst'!$L$7:$L$2010,"10",'LAC 102_Wkst'!$N$7:$N$2010,"P3")+SUMIFS('LAC 102_Wkst'!$AF$7:$AF$2010,'LAC 102_Wkst'!$D$7:$D$2010,$C$7,'LAC 102_Wkst'!$I$7:$I$2010,$C$9,'LAC 102_Wkst'!$E$7:$E$2010,$C53,'LAC 102_Wkst'!$G$7:$G$2010,$D53,'LAC 102_Wkst'!$L$7:$L$2010,"10",'LAC 102_Wkst'!$N$7:$N$2010,"P4")</f>
        <v>0</v>
      </c>
      <c r="AR53" s="410">
        <f>SUMIFS('LAC 102_Wkst'!$Q$7:$Q$2010,'LAC 102_Wkst'!$D$7:$D$2010,$C$7,'LAC 102_Wkst'!$I$7:$I$2010,$C$9,'LAC 102_Wkst'!$E$7:$E$2010,$C53,'LAC 102_Wkst'!$G$7:$G$2010,$D53,'LAC 102_Wkst'!$L$7:$L$2010,"10",'LAC 102_Wkst'!$N$7:$N$2010,"P5")</f>
        <v>0</v>
      </c>
      <c r="AS53" s="411">
        <f>SUMIFS('LAC 102_Wkst'!$AF$7:$AF$2010,'LAC 102_Wkst'!$D$7:$D$2010,$C$7,'LAC 102_Wkst'!$I$7:$I$2010,$C$9,'LAC 102_Wkst'!$E$7:$E$2010,$C53,'LAC 102_Wkst'!$G$7:$G$2010,$D53,'LAC 102_Wkst'!$L$7:$L$2010,"10",'LAC 102_Wkst'!$N$7:$N$2010,"P5")</f>
        <v>0</v>
      </c>
      <c r="AT53" s="410">
        <f>SUMIFS('LAC 102_Wkst'!$Q$7:$Q$2010,'LAC 102_Wkst'!$D$7:$D$2010,$C$7,'LAC 102_Wkst'!$I$7:$I$2010,$C$9,'LAC 102_Wkst'!$E$7:$E$2010,$C53,'LAC 102_Wkst'!$G$7:$G$2010,$D53,'LAC 102_Wkst'!$L$7:$L$2010,"11",'LAC 102_Wkst'!$N$7:$N$2010,"P1")+SUMIFS('LAC 102_Wkst'!$Q$7:$Q$2010,'LAC 102_Wkst'!$D$7:$D$2010,$C$7,'LAC 102_Wkst'!$I$7:$I$2010,$C$9,'LAC 102_Wkst'!$E$7:$E$2010,$C53,'LAC 102_Wkst'!$G$7:$G$2010,$D53,'LAC 102_Wkst'!$L$7:$L$2010,"12",'LAC 102_Wkst'!$N$7:$N$2010,"P1")</f>
        <v>0</v>
      </c>
      <c r="AU53" s="411">
        <f>SUMIFS('LAC 102_Wkst'!$Q$7:$Q$2010,'LAC 102_Wkst'!$D$7:$D$2010,$C$7,'LAC 102_Wkst'!$I$7:$I$2010,$C$9,'LAC 102_Wkst'!$E$7:$E$2010,$C53,'LAC 102_Wkst'!$G$7:$G$2010,$D53,'LAC 102_Wkst'!$L$7:$L$2010,"13",'LAC 102_Wkst'!$N$7:$N$2010,"P5")</f>
        <v>0</v>
      </c>
      <c r="AV53" s="410">
        <f>SUMIFS('LAC 102_Wkst'!$Q$7:$Q$2010,'LAC 102_Wkst'!$D$7:$D$2010,$C$7,'LAC 102_Wkst'!$I$7:$I$2010,$C$9,'LAC 102_Wkst'!$E$7:$E$2010,$C53,'LAC 102_Wkst'!$G$7:$G$2010,$D53,'LAC 102_Wkst'!$L$7:$L$2010,"11",'LAC 102_Wkst'!$N$7:$N$2010,"P2")+SUMIFS('LAC 102_Wkst'!$Q$7:$Q$2010,'LAC 102_Wkst'!$D$7:$D$2010,$C$7,'LAC 102_Wkst'!$I$7:$I$2010,$C$9,'LAC 102_Wkst'!$E$7:$E$2010,$C53,'LAC 102_Wkst'!$G$7:$G$2010,$D53,'LAC 102_Wkst'!$L$7:$L$2010,"12",'LAC 102_Wkst'!$N$7:$N$2010,"P2")+SUMIFS('LAC 102_Wkst'!$Q$7:$Q$2010,'LAC 102_Wkst'!$D$7:$D$2010,$C$7,'LAC 102_Wkst'!$I$7:$I$2010,$C$9,'LAC 102_Wkst'!$E$7:$E$2010,$C53,'LAC 102_Wkst'!$G$7:$G$2010,$D53,'LAC 102_Wkst'!$L$7:$L$2010,"11",'LAC 102_Wkst'!$N$7:$N$2010,"P3")+SUMIFS('LAC 102_Wkst'!$Q$7:$Q$2010,'LAC 102_Wkst'!$D$7:$D$2010,$C$7,'LAC 102_Wkst'!$I$7:$I$2010,$C$9,'LAC 102_Wkst'!$E$7:$E$2010,$C53,'LAC 102_Wkst'!$G$7:$G$2010,$D53,'LAC 102_Wkst'!$L$7:$L$2010,"12",'LAC 102_Wkst'!$N$7:$N$2010,"P3")</f>
        <v>0</v>
      </c>
      <c r="AW53" s="411">
        <f>SUMIFS('LAC 102_Wkst'!$AF$7:$AF$2010,'LAC 102_Wkst'!$D$7:$D$2010,$C$7,'LAC 102_Wkst'!$I$7:$I$2010,$C$9,'LAC 102_Wkst'!$E$7:$E$2010,$C53,'LAC 102_Wkst'!$G$7:$G$2010,$D53,'LAC 102_Wkst'!$L$7:$L$2010,"11",'LAC 102_Wkst'!$N$7:$N$2010,"P2")+SUMIFS('LAC 102_Wkst'!$AF$7:$AF$2010,'LAC 102_Wkst'!$D$7:$D$2010,$C$7,'LAC 102_Wkst'!$I$7:$I$2010,$C$9,'LAC 102_Wkst'!$E$7:$E$2010,$C53,'LAC 102_Wkst'!$G$7:$G$2010,$D53,'LAC 102_Wkst'!$L$7:$L$2010,"12",'LAC 102_Wkst'!$N$7:$N$2010,"P2")+SUMIFS('LAC 102_Wkst'!$AF$7:$AF$2010,'LAC 102_Wkst'!$D$7:$D$2010,$C$7,'LAC 102_Wkst'!$I$7:$I$2010,$C$9,'LAC 102_Wkst'!$E$7:$E$2010,$C53,'LAC 102_Wkst'!$G$7:$G$2010,$D53,'LAC 102_Wkst'!$L$7:$L$2010,"11",'LAC 102_Wkst'!$N$7:$N$2010,"P3")+SUMIFS('LAC 102_Wkst'!$AF$7:$AF$2010,'LAC 102_Wkst'!$D$7:$D$2010,$C$7,'LAC 102_Wkst'!$I$7:$I$2010,$C$9,'LAC 102_Wkst'!$E$7:$E$2010,$C53,'LAC 102_Wkst'!$G$7:$G$2010,$D53,'LAC 102_Wkst'!$L$7:$L$2010,"12",'LAC 102_Wkst'!$N$7:$N$2010,"P3")</f>
        <v>0</v>
      </c>
      <c r="AX53" s="410">
        <f>SUMIFS('LAC 102_Wkst'!$Q$7:$Q$2010,'LAC 102_Wkst'!$D$7:$D$2010,$C$7,'LAC 102_Wkst'!$I$7:$I$2010,$C$9,'LAC 102_Wkst'!$E$7:$E$2010,$C53,'LAC 102_Wkst'!$G$7:$G$2010,$D53,'LAC 102_Wkst'!$L$7:$L$2010,"11",'LAC 102_Wkst'!$N$7:$N$2010,"P4")+SUMIFS('LAC 102_Wkst'!$Q$7:$Q$2010,'LAC 102_Wkst'!$D$7:$D$2010,$C$7,'LAC 102_Wkst'!$I$7:$I$2010,$C$9,'LAC 102_Wkst'!$E$7:$E$2010,$C53,'LAC 102_Wkst'!$G$7:$G$2010,$D53,'LAC 102_Wkst'!$L$7:$L$2010,"12",'LAC 102_Wkst'!$N$7:$N$2010,"P4")</f>
        <v>0</v>
      </c>
      <c r="AY53" s="411">
        <f>SUMIFS('LAC 102_Wkst'!$AF$7:$AF$2010,'LAC 102_Wkst'!$D$7:$D$2010,$C$7,'LAC 102_Wkst'!$I$7:$I$2010,$C$9,'LAC 102_Wkst'!$E$7:$E$2010,$C53,'LAC 102_Wkst'!$G$7:$G$2010,$D53,'LAC 102_Wkst'!$L$7:$L$2010,"11",'LAC 102_Wkst'!$N$7:$N$2010,"P4")+SUMIFS('LAC 102_Wkst'!$AF$7:$AF$2010,'LAC 102_Wkst'!$D$7:$D$2010,$C$7,'LAC 102_Wkst'!$I$7:$I$2010,$C$9,'LAC 102_Wkst'!$E$7:$E$2010,$C53,'LAC 102_Wkst'!$G$7:$G$2010,$D53,'LAC 102_Wkst'!$L$7:$L$2010,"12",'LAC 102_Wkst'!$N$7:$N$2010,"P4")</f>
        <v>0</v>
      </c>
      <c r="AZ53" s="410">
        <f>SUMIFS('LAC 102_Wkst'!$Q$7:$Q$2010,'LAC 102_Wkst'!$D$7:$D$2010,$C$7,'LAC 102_Wkst'!$I$7:$I$2010,$C$9,'LAC 102_Wkst'!$E$7:$E$2010,$C53,'LAC 102_Wkst'!$G$7:$G$2010,$D53,'LAC 102_Wkst'!$L$7:$L$2010,"11",'LAC 102_Wkst'!$N$7:$N$2010,"P5")+SUMIFS('LAC 102_Wkst'!$Q$7:$Q$2010,'LAC 102_Wkst'!$D$7:$D$2010,$C$7,'LAC 102_Wkst'!$I$7:$I$2010,$C$9,'LAC 102_Wkst'!$E$7:$E$2010,$C53,'LAC 102_Wkst'!$G$7:$G$2010,$D53,'LAC 102_Wkst'!$L$7:$L$2010,"12",'LAC 102_Wkst'!$N$7:$N$2010,"P5")</f>
        <v>0</v>
      </c>
      <c r="BA53" s="411">
        <f>SUMIFS('LAC 102_Wkst'!$AF$7:$AF$2010,'LAC 102_Wkst'!$D$7:$D$2010,$C$7,'LAC 102_Wkst'!$I$7:$I$2010,$C$9,'LAC 102_Wkst'!$E$7:$E$2010,$C53,'LAC 102_Wkst'!$G$7:$G$2010,$D53,'LAC 102_Wkst'!$L$7:$L$2010,"11",'LAC 102_Wkst'!$N$7:$N$2010,"P5")+SUMIFS('LAC 102_Wkst'!$AF$7:$AF$2010,'LAC 102_Wkst'!$D$7:$D$2010,$C$7,'LAC 102_Wkst'!$I$7:$I$2010,$C$9,'LAC 102_Wkst'!$E$7:$E$2010,$C53,'LAC 102_Wkst'!$G$7:$G$2010,$D53,'LAC 102_Wkst'!$L$7:$L$2010,"12",'LAC 102_Wkst'!$N$7:$N$2010,"P5")</f>
        <v>0</v>
      </c>
      <c r="BB53" s="410">
        <f>SUMIFS('LAC 102_Wkst'!$Q$7:$Q$2010,'LAC 102_Wkst'!$D$7:$D$2010,$C$7,'LAC 102_Wkst'!$I$7:$I$2010,$C$9,'LAC 102_Wkst'!$E$7:$E$2010,$C53,'LAC 102_Wkst'!$G$7:$G$2010,$D53,'LAC 102_Wkst'!$L$7:$L$2010,"13",'LAC 102_Wkst'!$N$7:$N$2010,"P1")+SUMIFS('LAC 102_Wkst'!$Q$7:$Q$2010,'LAC 102_Wkst'!$D$7:$D$2010,$C$7,'LAC 102_Wkst'!$I$7:$I$2010,$C$9,'LAC 102_Wkst'!$E$7:$E$2010,$C53,'LAC 102_Wkst'!$G$7:$G$2010,$D53,'LAC 102_Wkst'!$L$7:$L$2010,"13",'LAC 102_Wkst'!$N$7:$N$2010,"P2")+SUMIFS('LAC 102_Wkst'!$Q$7:$Q$2010,'LAC 102_Wkst'!$D$7:$D$2010,$C$7,'LAC 102_Wkst'!$I$7:$I$2010,$C$9,'LAC 102_Wkst'!$E$7:$E$2010,$C53,'LAC 102_Wkst'!$G$7:$G$2010,$D53,'LAC 102_Wkst'!$L$7:$L$2010,"13",'LAC 102_Wkst'!$N$7:$N$2010,"P3")+SUMIFS('LAC 102_Wkst'!$Q$7:$Q$2010,'LAC 102_Wkst'!$D$7:$D$2010,$C$7,'LAC 102_Wkst'!$I$7:$I$2010,$C$9,'LAC 102_Wkst'!$E$7:$E$2010,$C53,'LAC 102_Wkst'!$G$7:$G$2010,$D53,'LAC 102_Wkst'!$L$7:$L$2010,"13",'LAC 102_Wkst'!$N$7:$N$2010,"P4")</f>
        <v>0</v>
      </c>
      <c r="BC53" s="411">
        <f>SUMIFS('LAC 102_Wkst'!$AF$7:$AF$2010,'LAC 102_Wkst'!$D$7:$D$2010,$C$7,'LAC 102_Wkst'!$I$7:$I$2010,$C$9,'LAC 102_Wkst'!$E$7:$E$2010,$C53,'LAC 102_Wkst'!$G$7:$G$2010,$D53,'LAC 102_Wkst'!$L$7:$L$2010,"13",'LAC 102_Wkst'!$N$7:$N$2010,"P1")+SUMIFS('LAC 102_Wkst'!$AF$7:$AF$2010,'LAC 102_Wkst'!$D$7:$D$2010,$C$7,'LAC 102_Wkst'!$I$7:$I$2010,$C$9,'LAC 102_Wkst'!$E$7:$E$2010,$C53,'LAC 102_Wkst'!$G$7:$G$2010,$D53,'LAC 102_Wkst'!$L$7:$L$2010,"13",'LAC 102_Wkst'!$N$7:$N$2010,"P2")+SUMIFS('LAC 102_Wkst'!$AF$7:$AF$2010,'LAC 102_Wkst'!$D$7:$D$2010,$C$7,'LAC 102_Wkst'!$I$7:$I$2010,$C$9,'LAC 102_Wkst'!$E$7:$E$2010,$C53,'LAC 102_Wkst'!$G$7:$G$2010,$D53,'LAC 102_Wkst'!$L$7:$L$2010,"13",'LAC 102_Wkst'!$N$7:$N$2010,"P3")+SUMIFS('LAC 102_Wkst'!$AF$7:$AF$2010,'LAC 102_Wkst'!$D$7:$D$2010,$C$7,'LAC 102_Wkst'!$I$7:$I$2010,$C$9,'LAC 102_Wkst'!$E$7:$E$2010,$C53,'LAC 102_Wkst'!$G$7:$G$2010,$D53,'LAC 102_Wkst'!$L$7:$L$2010,"13",'LAC 102_Wkst'!$N$7:$N$2010,"P4")</f>
        <v>0</v>
      </c>
      <c r="BD53" s="410">
        <f>SUMIFS('LAC 102_Wkst'!$Q$7:$Q$2010,'LAC 102_Wkst'!$D$7:$D$2010,$C$7,'LAC 102_Wkst'!$I$7:$I$2010,$C$9,'LAC 102_Wkst'!$E$7:$E$2010,$C53,'LAC 102_Wkst'!$G$7:$G$2010,$D53,'LAC 102_Wkst'!$L$7:$L$2010,"13",'LAC 102_Wkst'!$N$7:$N$2010,"P5")</f>
        <v>0</v>
      </c>
      <c r="BE53" s="411">
        <f>SUMIFS('LAC 102_Wkst'!$AF$7:$AF$2010,'LAC 102_Wkst'!$D$7:$D$2010,$C$7,'LAC 102_Wkst'!$I$7:$I$2010,$C$9,'LAC 102_Wkst'!$E$7:$E$2010,$C53,'LAC 102_Wkst'!$G$7:$G$2010,$D53,'LAC 102_Wkst'!$L$7:$L$2010,"13",'LAC 102_Wkst'!$N$7:$N$2010,"P5")</f>
        <v>0</v>
      </c>
      <c r="BF53" s="407">
        <f t="shared" si="4"/>
        <v>0</v>
      </c>
      <c r="BG53" s="1654">
        <f>SUMIFS('LAC 102_Wkst'!$AF$7:$AF$2010,'LAC 102_Wkst'!$D$7:$D$2010,$C$7,'LAC 102_Wkst'!$I$7:$I$2010,$C$9,'LAC 102_Wkst'!$E$7:$E$2010,$C53,'LAC 102_Wkst'!$G$7:$G$2010,$D53,'LAC 102_Wkst'!$L$7:$L$2010,"14")</f>
        <v>0</v>
      </c>
    </row>
    <row r="54" spans="1:59" x14ac:dyDescent="0.2">
      <c r="A54" s="401">
        <v>32</v>
      </c>
      <c r="B54" s="1678" t="str">
        <f>IF(Schedule_B!B$51="","",Schedule_B!B$51)</f>
        <v/>
      </c>
      <c r="C54" s="1674" t="str">
        <f>IF(Schedule_B!C$51=""," ",Schedule_B!C$51)</f>
        <v xml:space="preserve"> </v>
      </c>
      <c r="D54" s="1675" t="str">
        <f>IF(Schedule_B!D$51=""," ",Schedule_B!D$51)</f>
        <v xml:space="preserve"> </v>
      </c>
      <c r="E54" s="1221">
        <f>SUMIFS('LAC 102_Wkst'!$Q$7:$Q$2010,'LAC 102_Wkst'!$D$7:$D$2010,$C$7,'LAC 102_Wkst'!$I$7:$I$2010,$C$9,'LAC 102_Wkst'!$E$7:$E$2010,$C54,'LAC 102_Wkst'!$G$7:$G$2010,$D54)</f>
        <v>0</v>
      </c>
      <c r="F54" s="408">
        <f>SUMIFS('LAC 102_Wkst'!$Q$7:$Q$2010,'LAC 102_Wkst'!$D$7:$D$2010,$C$7,'LAC 102_Wkst'!$I$7:$I$2010,$C$9,'LAC 102_Wkst'!$E$7:$E$2010,$C54,'LAC 102_Wkst'!$G$7:$G$2010,$D54,'LAC 102_Wkst'!$L$7:$L$2010,"01",'LAC 102_Wkst'!$N$7:$N$2010,"P1")+SUMIFS('LAC 102_Wkst'!$Q$7:$Q$2010,'LAC 102_Wkst'!$D$7:$D$2010,$C$7,'LAC 102_Wkst'!$I$7:$I$2010,$C$9,'LAC 102_Wkst'!$E$7:$E$2010,$C54,'LAC 102_Wkst'!$G$7:$G$2010,$D54,'LAC 102_Wkst'!$L$7:$L$2010,"01",'LAC 102_Wkst'!$N$7:$N$2010,"P2")+SUMIFS('LAC 102_Wkst'!$Q$7:$Q$2010,'LAC 102_Wkst'!$D$7:$D$2010,$C$7,'LAC 102_Wkst'!$I$7:$I$2010,$C$9,'LAC 102_Wkst'!$E$7:$E$2010,$C54,'LAC 102_Wkst'!$G$7:$G$2010,$D54,'LAC 102_Wkst'!$L$7:$L$2010,"01",'LAC 102_Wkst'!$N$7:$N$2010,"P3")+SUMIFS('LAC 102_Wkst'!$Q$7:$Q$2010,'LAC 102_Wkst'!$D$7:$D$2010,$C$7,'LAC 102_Wkst'!$I$7:$I$2010,$C$9,'LAC 102_Wkst'!$E$7:$E$2010,$C54,'LAC 102_Wkst'!$G$7:$G$2010,$D54,'LAC 102_Wkst'!$L$7:$L$2010,"02",'LAC 102_Wkst'!$N$7:$N$2010,"P1")+SUMIFS('LAC 102_Wkst'!$Q$7:$Q$2010,'LAC 102_Wkst'!$D$7:$D$2010,$C$7,'LAC 102_Wkst'!$I$7:$I$2010,$C$9,'LAC 102_Wkst'!$E$7:$E$2010,$C54,'LAC 102_Wkst'!$G$7:$G$2010,$D54,'LAC 102_Wkst'!$L$7:$L$2010,"02",'LAC 102_Wkst'!$N$7:$N$2010,"P2")+SUMIFS('LAC 102_Wkst'!$Q$7:$Q$2010,'LAC 102_Wkst'!$D$7:$D$2010,$C$7,'LAC 102_Wkst'!$I$7:$I$2010,$C$9,'LAC 102_Wkst'!$E$7:$E$2010,$C54,'LAC 102_Wkst'!$G$7:$G$2010,$D54,'LAC 102_Wkst'!$L$7:$L$2010,"02",'LAC 102_Wkst'!$N$7:$N$2010,"P3")</f>
        <v>0</v>
      </c>
      <c r="G54" s="409">
        <f>SUMIFS('LAC 102_Wkst'!$AF$7:$AF$2010,'LAC 102_Wkst'!$D$7:$D$2010,$C$7,'LAC 102_Wkst'!$I$7:$I$2010,$C$9,'LAC 102_Wkst'!$E$7:$E$2010,$C54,'LAC 102_Wkst'!$G$7:$G$2010,$D54,'LAC 102_Wkst'!$L$7:$L$2010,"01",'LAC 102_Wkst'!$N$7:$N$2010,"P1")+SUMIFS('LAC 102_Wkst'!$AF$7:$AF$2010,'LAC 102_Wkst'!$D$7:$D$2010,$C$7,'LAC 102_Wkst'!$I$7:$I$2010,$C$9,'LAC 102_Wkst'!$E$7:$E$2010,$C54,'LAC 102_Wkst'!$G$7:$G$2010,$D54,'LAC 102_Wkst'!$L$7:$L$2010,"01",'LAC 102_Wkst'!$N$7:$N$2010,"P2")+SUMIFS('LAC 102_Wkst'!$AF$7:$AF$2010,'LAC 102_Wkst'!$D$7:$D$2010,$C$7,'LAC 102_Wkst'!$I$7:$I$2010,$C$9,'LAC 102_Wkst'!$E$7:$E$2010,$C54,'LAC 102_Wkst'!$G$7:$G$2010,$D54,'LAC 102_Wkst'!$L$7:$L$2010,"01",'LAC 102_Wkst'!$N$7:$N$2010,"P3")+SUMIFS('LAC 102_Wkst'!$AF$7:$AF$2010,'LAC 102_Wkst'!$D$7:$D$2010,$C$7,'LAC 102_Wkst'!$I$7:$I$2010,$C$9,'LAC 102_Wkst'!$E$7:$E$2010,$C54,'LAC 102_Wkst'!$G$7:$G$2010,$D54,'LAC 102_Wkst'!$L$7:$L$2010,"02",'LAC 102_Wkst'!$N$7:$N$2010,"P1")+SUMIFS('LAC 102_Wkst'!$AF$7:$AF$2010,'LAC 102_Wkst'!$D$7:$D$2010,$C$7,'LAC 102_Wkst'!$I$7:$I$2010,$C$9,'LAC 102_Wkst'!$E$7:$E$2010,$C54,'LAC 102_Wkst'!$G$7:$G$2010,$D54,'LAC 102_Wkst'!$L$7:$L$2010,"02",'LAC 102_Wkst'!$N$7:$N$2010,"P2")+SUMIFS('LAC 102_Wkst'!$AF$7:$AF$2010,'LAC 102_Wkst'!$D$7:$D$2010,$C$7,'LAC 102_Wkst'!$I$7:$I$2010,$C$9,'LAC 102_Wkst'!$E$7:$E$2010,$C54,'LAC 102_Wkst'!$G$7:$G$2010,$D54,'LAC 102_Wkst'!$L$7:$L$2010,"02",'LAC 102_Wkst'!$N$7:$N$2010,"P3")</f>
        <v>0</v>
      </c>
      <c r="H54" s="410">
        <f>SUMIFS('LAC 102_Wkst'!$Q$7:$Q$2010,'LAC 102_Wkst'!$D$7:$D$2010,$C$7,'LAC 102_Wkst'!$I$7:$I$2010,$C$9,'LAC 102_Wkst'!$E$7:$E$2010,$C54,'LAC 102_Wkst'!$G$7:$G$2010,$D54,'LAC 102_Wkst'!$L$7:$L$2010,"01",'LAC 102_Wkst'!$N$7:$N$2010,"P4")+SUMIFS('LAC 102_Wkst'!$Q$7:$Q$2010,'LAC 102_Wkst'!$D$7:$D$2010,$C$7,'LAC 102_Wkst'!$I$7:$I$2010,$C$9,'LAC 102_Wkst'!$E$7:$E$2010,$C54,'LAC 102_Wkst'!$G$7:$G$2010,$D54,'LAC 102_Wkst'!$L$7:$L$2010,"02",'LAC 102_Wkst'!$N$7:$N$2010,"P4")</f>
        <v>0</v>
      </c>
      <c r="I54" s="411">
        <f>SUMIFS('LAC 102_Wkst'!$AF$7:$AF$2010,'LAC 102_Wkst'!$D$7:$D$2010,$C$7,'LAC 102_Wkst'!$I$7:$I$2010,$C$9,'LAC 102_Wkst'!$E$7:$E$2010,$C54,'LAC 102_Wkst'!$G$7:$G$2010,$D54,'LAC 102_Wkst'!$L$7:$L$2010,"01",'LAC 102_Wkst'!$N$7:$N$2010,"P4")+SUMIFS('LAC 102_Wkst'!$AF$7:$AF$2010,'LAC 102_Wkst'!$D$7:$D$2010,$C$7,'LAC 102_Wkst'!$I$7:$I$2010,$C$9,'LAC 102_Wkst'!$E$7:$E$2010,$C54,'LAC 102_Wkst'!$G$7:$G$2010,$D54,'LAC 102_Wkst'!$L$7:$L$2010,"02",'LAC 102_Wkst'!$N$7:$N$2010,"P4")</f>
        <v>0</v>
      </c>
      <c r="J54" s="410">
        <f>SUMIFS('LAC 102_Wkst'!$Q$7:$Q$2010,'LAC 102_Wkst'!$D$7:$D$2010,$C$7,'LAC 102_Wkst'!$I$7:$I$2010,$C$9,'LAC 102_Wkst'!$E$7:$E$2010,$C54,'LAC 102_Wkst'!$G$7:$G$2010,$D54,'LAC 102_Wkst'!$L$7:$L$2010,"01",'LAC 102_Wkst'!$N$7:$N$2010,"P5")+SUMIFS('LAC 102_Wkst'!$Q$7:$Q$2010,'LAC 102_Wkst'!$D$7:$D$2010,$C$7,'LAC 102_Wkst'!$I$7:$I$2010,$C$9,'LAC 102_Wkst'!$E$7:$E$2010,$C54,'LAC 102_Wkst'!$G$7:$G$2010,$D54,'LAC 102_Wkst'!$L$7:$L$2010,"02",'LAC 102_Wkst'!$N$7:$N$2010,"P5")</f>
        <v>0</v>
      </c>
      <c r="K54" s="411">
        <f>SUMIFS('LAC 102_Wkst'!$AF$7:$AF$2010,'LAC 102_Wkst'!$D$7:$D$2010,$C$7,'LAC 102_Wkst'!$I$7:$I$2010,$C$9,'LAC 102_Wkst'!$E$7:$E$2010,$C54,'LAC 102_Wkst'!$G$7:$G$2010,$D54,'LAC 102_Wkst'!$L$7:$L$2010,"01",'LAC 102_Wkst'!$N$7:$N$2010,"P5")+SUMIFS('LAC 102_Wkst'!$AF$7:$AF$2010,'LAC 102_Wkst'!$D$7:$D$2010,$C$7,'LAC 102_Wkst'!$I$7:$I$2010,$C$9,'LAC 102_Wkst'!$E$7:$E$2010,$C54,'LAC 102_Wkst'!$G$7:$G$2010,$D54,'LAC 102_Wkst'!$L$7:$L$2010,"02",'LAC 102_Wkst'!$N$7:$N$2010,"P5")</f>
        <v>0</v>
      </c>
      <c r="L54" s="410">
        <f>SUMIFS('LAC 102_Wkst'!$Q$7:$Q$2010,'LAC 102_Wkst'!$D$7:$D$2010,$C$7,'LAC 102_Wkst'!$I$7:$I$2010,$C$9,'LAC 102_Wkst'!$E$7:$E$2010,$C54,'LAC 102_Wkst'!$G$7:$G$2010,$D54,'LAC 102_Wkst'!$L$7:$L$2010,"03",'LAC 102_Wkst'!$N$7:$N$2010,"P1")+SUMIFS('LAC 102_Wkst'!$Q$7:$Q$2010,'LAC 102_Wkst'!$D$7:$D$2010,$C$7,'LAC 102_Wkst'!$I$7:$I$2010,$C$9,'LAC 102_Wkst'!$E$7:$E$2010,$C54,'LAC 102_Wkst'!$G$7:$G$2010,$D54,'LAC 102_Wkst'!$L$7:$L$2010,"03",'LAC 102_Wkst'!$N$7:$N$2010,"P2")+SUMIFS('LAC 102_Wkst'!$Q$7:$Q$2010,'LAC 102_Wkst'!$D$7:$D$2010,$C$7,'LAC 102_Wkst'!$I$7:$I$2010,$C$9,'LAC 102_Wkst'!$E$7:$E$2010,$C54,'LAC 102_Wkst'!$G$7:$G$2010,$D54,'LAC 102_Wkst'!$L$7:$L$2010,"03",'LAC 102_Wkst'!$N$7:$N$2010,"P3")+SUMIFS('LAC 102_Wkst'!$Q$7:$Q$2010,'LAC 102_Wkst'!$D$7:$D$2010,$C$7,'LAC 102_Wkst'!$I$7:$I$2010,$C$9,'LAC 102_Wkst'!$E$7:$E$2010,$C54,'LAC 102_Wkst'!$G$7:$G$2010,$D54,'LAC 102_Wkst'!$L$7:$L$2010,"04",'LAC 102_Wkst'!$N$7:$N$2010,"P1")+SUMIFS('LAC 102_Wkst'!$Q$7:$Q$2010,'LAC 102_Wkst'!$D$7:$D$2010,$C$7,'LAC 102_Wkst'!$I$7:$I$2010,$C$9,'LAC 102_Wkst'!$E$7:$E$2010,$C54,'LAC 102_Wkst'!$G$7:$G$2010,$D54,'LAC 102_Wkst'!$L$7:$L$2010,"04",'LAC 102_Wkst'!$N$7:$N$2010,"P2")+SUMIFS('LAC 102_Wkst'!$Q$7:$Q$2010,'LAC 102_Wkst'!$D$7:$D$2010,$C$7,'LAC 102_Wkst'!$I$7:$I$2010,$C$9,'LAC 102_Wkst'!$E$7:$E$2010,$C54,'LAC 102_Wkst'!$G$7:$G$2010,$D54,'LAC 102_Wkst'!$L$7:$L$2010,"04",'LAC 102_Wkst'!$N$7:$N$2010,"P3")</f>
        <v>0</v>
      </c>
      <c r="M54" s="411">
        <f>SUMIFS('LAC 102_Wkst'!$AF$7:$AF$2010,'LAC 102_Wkst'!$D$7:$D$2010,$C$7,'LAC 102_Wkst'!$I$7:$I$2010,$C$9,'LAC 102_Wkst'!$E$7:$E$2010,$C54,'LAC 102_Wkst'!$G$7:$G$2010,$D54,'LAC 102_Wkst'!$L$7:$L$2010,"03",'LAC 102_Wkst'!$N$7:$N$2010,"P1")+SUMIFS('LAC 102_Wkst'!$AF$7:$AF$2010,'LAC 102_Wkst'!$D$7:$D$2010,$C$7,'LAC 102_Wkst'!$I$7:$I$2010,$C$9,'LAC 102_Wkst'!$E$7:$E$2010,$C54,'LAC 102_Wkst'!$G$7:$G$2010,$D54,'LAC 102_Wkst'!$L$7:$L$2010,"03",'LAC 102_Wkst'!$N$7:$N$2010,"P2")+SUMIFS('LAC 102_Wkst'!$AF$7:$AF$2010,'LAC 102_Wkst'!$D$7:$D$2010,$C$7,'LAC 102_Wkst'!$I$7:$I$2010,$C$9,'LAC 102_Wkst'!$E$7:$E$2010,$C54,'LAC 102_Wkst'!$G$7:$G$2010,$D54,'LAC 102_Wkst'!$L$7:$L$2010,"03",'LAC 102_Wkst'!$N$7:$N$2010,"P3")+SUMIFS('LAC 102_Wkst'!$AF$7:$AF$2010,'LAC 102_Wkst'!$D$7:$D$2010,$C$7,'LAC 102_Wkst'!$I$7:$I$2010,$C$9,'LAC 102_Wkst'!$E$7:$E$2010,$C54,'LAC 102_Wkst'!$G$7:$G$2010,$D54,'LAC 102_Wkst'!$L$7:$L$2010,"04",'LAC 102_Wkst'!$N$7:$N$2010,"P1")+SUMIFS('LAC 102_Wkst'!$AF$7:$AF$2010,'LAC 102_Wkst'!$D$7:$D$2010,$C$7,'LAC 102_Wkst'!$I$7:$I$2010,$C$9,'LAC 102_Wkst'!$E$7:$E$2010,$C54,'LAC 102_Wkst'!$G$7:$G$2010,$D54,'LAC 102_Wkst'!$L$7:$L$2010,"04",'LAC 102_Wkst'!$N$7:$N$2010,"P2")+SUMIFS('LAC 102_Wkst'!$AF$7:$AF$2010,'LAC 102_Wkst'!$D$7:$D$2010,$C$7,'LAC 102_Wkst'!$I$7:$I$2010,$C$9,'LAC 102_Wkst'!$E$7:$E$2010,$C54,'LAC 102_Wkst'!$G$7:$G$2010,$D54,'LAC 102_Wkst'!$L$7:$L$2010,"04",'LAC 102_Wkst'!$N$7:$N$2010,"P3")</f>
        <v>0</v>
      </c>
      <c r="N54" s="410">
        <f>SUMIFS('LAC 102_Wkst'!$Q$7:$Q$2010,'LAC 102_Wkst'!$D$7:$D$2010,$C$7,'LAC 102_Wkst'!$I$7:$I$2010,$C$9,'LAC 102_Wkst'!$E$7:$E$2010,$C54,'LAC 102_Wkst'!$G$7:$G$2010,$D54,'LAC 102_Wkst'!$L$7:$L$2010,"03",'LAC 102_Wkst'!$N$7:$N$2010,"P4")+SUMIFS('LAC 102_Wkst'!$Q$7:$Q$2010,'LAC 102_Wkst'!$D$7:$D$2010,$C$7,'LAC 102_Wkst'!$I$7:$I$2010,$C$9,'LAC 102_Wkst'!$E$7:$E$2010,$C54,'LAC 102_Wkst'!$G$7:$G$2010,$D54,'LAC 102_Wkst'!$L$7:$L$2010,"04",'LAC 102_Wkst'!$N$7:$N$2010,"P4")</f>
        <v>0</v>
      </c>
      <c r="O54" s="411">
        <f>SUMIFS('LAC 102_Wkst'!$AF$7:$AF$2010,'LAC 102_Wkst'!$D$7:$D$2010,$C$7,'LAC 102_Wkst'!$I$7:$I$2010,$C$9,'LAC 102_Wkst'!$E$7:$E$2010,$C54,'LAC 102_Wkst'!$G$7:$G$2010,$D54,'LAC 102_Wkst'!$L$7:$L$2010,"03",'LAC 102_Wkst'!$N$7:$N$2010,"P4")+SUMIFS('LAC 102_Wkst'!$AF$7:$AF$2010,'LAC 102_Wkst'!$D$7:$D$2010,$C$7,'LAC 102_Wkst'!$I$7:$I$2010,$C$9,'LAC 102_Wkst'!$E$7:$E$2010,$C54,'LAC 102_Wkst'!$G$7:$G$2010,$D54,'LAC 102_Wkst'!$L$7:$L$2010,"04",'LAC 102_Wkst'!$N$7:$N$2010,"P4")</f>
        <v>0</v>
      </c>
      <c r="P54" s="410">
        <f>SUMIFS('LAC 102_Wkst'!$Q$7:$Q$2010,'LAC 102_Wkst'!$D$7:$D$2010,$C$7,'LAC 102_Wkst'!$I$7:$I$2010,$C$9,'LAC 102_Wkst'!$E$7:$E$2010,$C54,'LAC 102_Wkst'!$G$7:$G$2010,$D54,'LAC 102_Wkst'!$L$7:$L$2010,"03",'LAC 102_Wkst'!$N$7:$N$2010,"P5")+SUMIFS('LAC 102_Wkst'!$Q$7:$Q$2010,'LAC 102_Wkst'!$D$7:$D$2010,$C$7,'LAC 102_Wkst'!$I$7:$I$2010,$C$9,'LAC 102_Wkst'!$E$7:$E$2010,$C54,'LAC 102_Wkst'!$G$7:$G$2010,$D54,'LAC 102_Wkst'!$L$7:$L$2010,"04",'LAC 102_Wkst'!$N$7:$N$2010,"P5")</f>
        <v>0</v>
      </c>
      <c r="Q54" s="411">
        <f>SUMIFS('LAC 102_Wkst'!$AF$7:$AF$2010,'LAC 102_Wkst'!$D$7:$D$2010,$C$7,'LAC 102_Wkst'!$I$7:$I$2010,$C$9,'LAC 102_Wkst'!$E$7:$E$2010,$C54,'LAC 102_Wkst'!$G$7:$G$2010,$D54,'LAC 102_Wkst'!$L$7:$L$2010,"03",'LAC 102_Wkst'!$N$7:$N$2010,"P5")+SUMIFS('LAC 102_Wkst'!$AF$7:$AF$2010,'LAC 102_Wkst'!$D$7:$D$2010,$C$7,'LAC 102_Wkst'!$I$7:$I$2010,$C$9,'LAC 102_Wkst'!$E$7:$E$2010,$C54,'LAC 102_Wkst'!$G$7:$G$2010,$D54,'LAC 102_Wkst'!$L$7:$L$2010,"04",'LAC 102_Wkst'!$N$7:$N$2010,"P5")</f>
        <v>0</v>
      </c>
      <c r="R54" s="412">
        <f>SUMIFS('LAC 102_Wkst'!$Q$7:$Q$2010,'LAC 102_Wkst'!$D$7:$D$2010,$C$7,'LAC 102_Wkst'!$I$7:$I$2010,$C$9,'LAC 102_Wkst'!$E$7:$E$2010,$C54,'LAC 102_Wkst'!$G$7:$G$2010,$D54,'LAC 102_Wkst'!$L$7:$L$2010,"05",'LAC 102_Wkst'!$N$7:$N$2010,"P1")+SUMIFS('LAC 102_Wkst'!$Q$7:$Q$2010,'LAC 102_Wkst'!$D$7:$D$2010,$C$7,'LAC 102_Wkst'!$I$7:$I$2010,$C$9,'LAC 102_Wkst'!$E$7:$E$2010,$C54,'LAC 102_Wkst'!$G$7:$G$2010,$D54,'LAC 102_Wkst'!$L$7:$L$2010,"06",'LAC 102_Wkst'!$N$7:$N$2010,"P1")</f>
        <v>0</v>
      </c>
      <c r="S54" s="411">
        <f>SUMIFS('LAC 102_Wkst'!$AF$7:$AF$2010,'LAC 102_Wkst'!$D$7:$D$2010,$C$7,'LAC 102_Wkst'!$I$7:$I$2010,$C$9,'LAC 102_Wkst'!$E$7:$E$2010,$C54,'LAC 102_Wkst'!$G$7:$G$2010,$D54,'LAC 102_Wkst'!$L$7:$L$2010,"05",'LAC 102_Wkst'!$N$7:$N$2010,"P1")+SUMIFS('LAC 102_Wkst'!$AF$7:$AF$2010,'LAC 102_Wkst'!$D$7:$D$2010,$C$7,'LAC 102_Wkst'!$I$7:$I$2010,$C$9,'LAC 102_Wkst'!$E$7:$E$2010,$C54,'LAC 102_Wkst'!$G$7:$G$2010,$D54,'LAC 102_Wkst'!$L$7:$L$2010,"06",'LAC 102_Wkst'!$N$7:$N$2010,"P1")</f>
        <v>0</v>
      </c>
      <c r="T54" s="410">
        <f>SUMIFS('LAC 102_Wkst'!$Q$7:$Q$2010,'LAC 102_Wkst'!$D$7:$D$2010,$C$7,'LAC 102_Wkst'!$I$7:$I$2010,$C$9,'LAC 102_Wkst'!$E$7:$E$2010,$C54,'LAC 102_Wkst'!$G$7:$G$2010,$D54,'LAC 102_Wkst'!$L$7:$L$2010,"05",'LAC 102_Wkst'!$N$7:$N$2010,"P2")+SUMIFS('LAC 102_Wkst'!$Q$7:$Q$2010,'LAC 102_Wkst'!$D$7:$D$2010,$C$7,'LAC 102_Wkst'!$I$7:$I$2010,$C$9,'LAC 102_Wkst'!$E$7:$E$2010,$C54,'LAC 102_Wkst'!$G$7:$G$2010,$D54,'LAC 102_Wkst'!$L$7:$L$2010,"06",'LAC 102_Wkst'!$N$7:$N$2010,"P2")+SUMIFS('LAC 102_Wkst'!$Q$7:$Q$2010,'LAC 102_Wkst'!$D$7:$D$2010,$C$7,'LAC 102_Wkst'!$I$7:$I$2010,$C$9,'LAC 102_Wkst'!$E$7:$E$2010,$C54,'LAC 102_Wkst'!$G$7:$G$2010,$D54,'LAC 102_Wkst'!$L$7:$L$2010,"05",'LAC 102_Wkst'!$N$7:$N$2010,"P3")+SUMIFS('LAC 102_Wkst'!$Q$7:$Q$2010,'LAC 102_Wkst'!$D$7:$D$2010,$C$7,'LAC 102_Wkst'!$I$7:$I$2010,$C$9,'LAC 102_Wkst'!$E$7:$E$2010,$C54,'LAC 102_Wkst'!$G$7:$G$2010,$D54,'LAC 102_Wkst'!$L$7:$L$2010,"06",'LAC 102_Wkst'!$N$7:$N$2010,"P3")</f>
        <v>0</v>
      </c>
      <c r="U54" s="411">
        <f>SUMIFS('LAC 102_Wkst'!$AF$7:$AF$2010,'LAC 102_Wkst'!$D$7:$D$2010,$C$7,'LAC 102_Wkst'!$I$7:$I$2010,$C$9,'LAC 102_Wkst'!$E$7:$E$2010,$C54,'LAC 102_Wkst'!$G$7:$G$2010,$D54,'LAC 102_Wkst'!$L$7:$L$2010,"05",'LAC 102_Wkst'!$N$7:$N$2010,"P2")+SUMIFS('LAC 102_Wkst'!$AF$7:$AF$2010,'LAC 102_Wkst'!$D$7:$D$2010,$C$7,'LAC 102_Wkst'!$I$7:$I$2010,$C$9,'LAC 102_Wkst'!$E$7:$E$2010,$C54,'LAC 102_Wkst'!$G$7:$G$2010,$D54,'LAC 102_Wkst'!$L$7:$L$2010,"06",'LAC 102_Wkst'!$N$7:$N$2010,"P2")+SUMIFS('LAC 102_Wkst'!$AF$7:$AF$2010,'LAC 102_Wkst'!$D$7:$D$2010,$C$7,'LAC 102_Wkst'!$I$7:$I$2010,$C$9,'LAC 102_Wkst'!$E$7:$E$2010,$C54,'LAC 102_Wkst'!$G$7:$G$2010,$D54,'LAC 102_Wkst'!$L$7:$L$2010,"05",'LAC 102_Wkst'!$N$7:$N$2010,"P3")+SUMIFS('LAC 102_Wkst'!$AF$7:$AF$2010,'LAC 102_Wkst'!$D$7:$D$2010,$C$7,'LAC 102_Wkst'!$I$7:$I$2010,$C$9,'LAC 102_Wkst'!$E$7:$E$2010,$C54,'LAC 102_Wkst'!$G$7:$G$2010,$D54,'LAC 102_Wkst'!$L$7:$L$2010,"06",'LAC 102_Wkst'!$N$7:$N$2010,"P3")</f>
        <v>0</v>
      </c>
      <c r="V54" s="410">
        <f>SUMIFS('LAC 102_Wkst'!$Q$7:$Q$2010,'LAC 102_Wkst'!$D$7:$D$2010,$C$7,'LAC 102_Wkst'!$I$7:$I$2010,$C$9,'LAC 102_Wkst'!$E$7:$E$2010,$C54,'LAC 102_Wkst'!$G$7:$G$2010,$D54,'LAC 102_Wkst'!$L$7:$L$2010,"05",'LAC 102_Wkst'!$N$7:$N$2010,"P4")+SUMIFS('LAC 102_Wkst'!$Q$7:$Q$2010,'LAC 102_Wkst'!$D$7:$D$2010,$C$7,'LAC 102_Wkst'!$I$7:$I$2010,$C$9,'LAC 102_Wkst'!$E$7:$E$2010,$C54,'LAC 102_Wkst'!$G$7:$G$2010,$D54,'LAC 102_Wkst'!$L$7:$L$2010,"06",'LAC 102_Wkst'!$N$7:$N$2010,"P4")</f>
        <v>0</v>
      </c>
      <c r="W54" s="411">
        <f>SUMIFS('LAC 102_Wkst'!$AF$7:$AF$2010,'LAC 102_Wkst'!$D$7:$D$2010,$C$7,'LAC 102_Wkst'!$I$7:$I$2010,$C$9,'LAC 102_Wkst'!$E$7:$E$2010,$C54,'LAC 102_Wkst'!$G$7:$G$2010,$D54,'LAC 102_Wkst'!$L$7:$L$2010,"05",'LAC 102_Wkst'!$N$7:$N$2010,"P4")+SUMIFS('LAC 102_Wkst'!$AF$7:$AF$2010,'LAC 102_Wkst'!$D$7:$D$2010,$C$7,'LAC 102_Wkst'!$I$7:$I$2010,$C$9,'LAC 102_Wkst'!$E$7:$E$2010,$C54,'LAC 102_Wkst'!$G$7:$G$2010,$D54,'LAC 102_Wkst'!$L$7:$L$2010,"06",'LAC 102_Wkst'!$N$7:$N$2010,"P4")</f>
        <v>0</v>
      </c>
      <c r="X54" s="410">
        <f>SUMIFS('LAC 102_Wkst'!$Q$7:$Q$2010,'LAC 102_Wkst'!$D$7:$D$2010,$C$7,'LAC 102_Wkst'!$I$7:$I$2010,$C$9,'LAC 102_Wkst'!$E$7:$E$2010,$C54,'LAC 102_Wkst'!$G$7:$G$2010,$D54,'LAC 102_Wkst'!$L$7:$L$2010,"05",'LAC 102_Wkst'!$N$7:$N$2010,"P5")+SUMIFS('LAC 102_Wkst'!$Q$7:$Q$2010,'LAC 102_Wkst'!$D$7:$D$2010,$C$7,'LAC 102_Wkst'!$I$7:$I$2010,$C$9,'LAC 102_Wkst'!$E$7:$E$2010,$C54,'LAC 102_Wkst'!$G$7:$G$2010,$D54,'LAC 102_Wkst'!$L$7:$L$2010,"06",'LAC 102_Wkst'!$N$7:$N$2010,"P5")</f>
        <v>0</v>
      </c>
      <c r="Y54" s="411">
        <f>SUMIFS('LAC 102_Wkst'!$AF$7:$AF$2010,'LAC 102_Wkst'!$D$7:$D$2010,$C$7,'LAC 102_Wkst'!$I$7:$I$2010,$C$9,'LAC 102_Wkst'!$E$7:$E$2010,$C54,'LAC 102_Wkst'!$G$7:$G$2010,$D54,'LAC 102_Wkst'!$L$7:$L$2010,"05",'LAC 102_Wkst'!$N$7:$N$2010,"P5")+SUMIFS('LAC 102_Wkst'!$AF$7:$AF$2010,'LAC 102_Wkst'!$D$7:$D$2010,$C$7,'LAC 102_Wkst'!$I$7:$I$2010,$C$9,'LAC 102_Wkst'!$E$7:$E$2010,$C54,'LAC 102_Wkst'!$G$7:$G$2010,$D54,'LAC 102_Wkst'!$L$7:$L$2010,"06",'LAC 102_Wkst'!$N$7:$N$2010,"P5")</f>
        <v>0</v>
      </c>
      <c r="Z54" s="410">
        <f>SUMIFS('LAC 102_Wkst'!$Q$7:$Q$2010,'LAC 102_Wkst'!$D$7:$D$2010,$C$7,'LAC 102_Wkst'!$I$7:$I$2010,$C$9,'LAC 102_Wkst'!$E$7:$E$2010,$C54,'LAC 102_Wkst'!$G$7:$G$2010,$D54,'LAC 102_Wkst'!$L$7:$L$2010,"07",'LAC 102_Wkst'!$N$7:$N$2010,"P1")+SUMIFS('LAC 102_Wkst'!$Q$7:$Q$2010,'LAC 102_Wkst'!$D$7:$D$2010,$C$7,'LAC 102_Wkst'!$I$7:$I$2010,$C$9,'LAC 102_Wkst'!$E$7:$E$2010,$C54,'LAC 102_Wkst'!$G$7:$G$2010,$D54,'LAC 102_Wkst'!$L$7:$L$2010,"07",'LAC 102_Wkst'!$N$7:$N$2010,"P2")+SUMIFS('LAC 102_Wkst'!$Q$7:$Q$2010,'LAC 102_Wkst'!$D$7:$D$2010,$C$7,'LAC 102_Wkst'!$I$7:$I$2010,$C$9,'LAC 102_Wkst'!$E$7:$E$2010,$C54,'LAC 102_Wkst'!$G$7:$G$2010,$D54,'LAC 102_Wkst'!$L$7:$L$2010,"07",'LAC 102_Wkst'!$N$7:$N$2010,"P3")</f>
        <v>0</v>
      </c>
      <c r="AA54" s="411">
        <f>SUMIFS('LAC 102_Wkst'!$AF$7:$AF$2010,'LAC 102_Wkst'!$D$7:$D$2010,$C$7,'LAC 102_Wkst'!$I$7:$I$2010,$C$9,'LAC 102_Wkst'!$E$7:$E$2010,$C54,'LAC 102_Wkst'!$G$7:$G$2010,$D54,'LAC 102_Wkst'!$L$7:$L$2010,"07",'LAC 102_Wkst'!$N$7:$N$2010,"P1")+SUMIFS('LAC 102_Wkst'!$AF$7:$AF$2010,'LAC 102_Wkst'!$D$7:$D$2010,$C$7,'LAC 102_Wkst'!$I$7:$I$2010,$C$9,'LAC 102_Wkst'!$E$7:$E$2010,$C54,'LAC 102_Wkst'!$G$7:$G$2010,$D54,'LAC 102_Wkst'!$L$7:$L$2010,"07",'LAC 102_Wkst'!$N$7:$N$2010,"P2")+SUMIFS('LAC 102_Wkst'!$AF$7:$AF$2010,'LAC 102_Wkst'!$D$7:$D$2010,$C$7,'LAC 102_Wkst'!$I$7:$I$2010,$C$9,'LAC 102_Wkst'!$E$7:$E$2010,$C54,'LAC 102_Wkst'!$G$7:$G$2010,$D54,'LAC 102_Wkst'!$L$7:$L$2010,"07",'LAC 102_Wkst'!$N$7:$N$2010,"P3")</f>
        <v>0</v>
      </c>
      <c r="AB54" s="410">
        <f>SUMIFS('LAC 102_Wkst'!$Q$7:$Q$2010,'LAC 102_Wkst'!$D$7:$D$2010,$C$7,'LAC 102_Wkst'!$I$7:$I$2010,$C$9,'LAC 102_Wkst'!$E$7:$E$2010,$C54,'LAC 102_Wkst'!$G$7:$G$2010,$D54,'LAC 102_Wkst'!$L$7:$L$2010,"07",'LAC 102_Wkst'!$N$7:$N$2010,"P4")</f>
        <v>0</v>
      </c>
      <c r="AC54" s="411">
        <f>SUMIFS('LAC 102_Wkst'!$AF$7:$AF$2010,'LAC 102_Wkst'!$D$7:$D$2010,$C$7,'LAC 102_Wkst'!$I$7:$I$2010,$C$9,'LAC 102_Wkst'!$E$7:$E$2010,$C54,'LAC 102_Wkst'!$G$7:$G$2010,$D54,'LAC 102_Wkst'!$L$7:$L$2010,"07",'LAC 102_Wkst'!$N$7:$N$2010,"P4")</f>
        <v>0</v>
      </c>
      <c r="AD54" s="410">
        <f>SUMIFS('LAC 102_Wkst'!$Q$7:$Q$2010,'LAC 102_Wkst'!$D$7:$D$2010,$C$7,'LAC 102_Wkst'!$I$7:$I$2010,$C$9,'LAC 102_Wkst'!$E$7:$E$2010,$C54,'LAC 102_Wkst'!$G$7:$G$2010,$D54,'LAC 102_Wkst'!$L$7:$L$2010,"07",'LAC 102_Wkst'!$N$7:$N$2010,"P5")</f>
        <v>0</v>
      </c>
      <c r="AE54" s="411">
        <f>SUMIFS('LAC 102_Wkst'!$AF$7:$AF$2010,'LAC 102_Wkst'!$D$7:$D$2010,$C$7,'LAC 102_Wkst'!$I$7:$I$2010,$C$9,'LAC 102_Wkst'!$E$7:$E$2010,$C54,'LAC 102_Wkst'!$G$7:$G$2010,$D54,'LAC 102_Wkst'!$L$7:$L$2010,"07",'LAC 102_Wkst'!$N$7:$N$2010,"P5")</f>
        <v>0</v>
      </c>
      <c r="AF54" s="410">
        <f>SUMIFS('LAC 102_Wkst'!$Q$7:$Q$2010,'LAC 102_Wkst'!$D$7:$D$2010,$C$7,'LAC 102_Wkst'!$I$7:$I$2010,$C$9,'LAC 102_Wkst'!$E$7:$E$2010,$C54,'LAC 102_Wkst'!$G$7:$G$2010,$D54,'LAC 102_Wkst'!$L$7:$L$2010,"08",'LAC 102_Wkst'!$N$7:$N$2010,"P1")+SUMIFS('LAC 102_Wkst'!$Q$7:$Q$2010,'LAC 102_Wkst'!$D$7:$D$2010,$C$7,'LAC 102_Wkst'!$I$7:$I$2010,$C$9,'LAC 102_Wkst'!$E$7:$E$2010,$C54,'LAC 102_Wkst'!$G$7:$G$2010,$D54,'LAC 102_Wkst'!$L$7:$L$2010,"08",'LAC 102_Wkst'!$N$7:$N$2010,"P2")+SUMIFS('LAC 102_Wkst'!$Q$7:$Q$2010,'LAC 102_Wkst'!$D$7:$D$2010,$C$7,'LAC 102_Wkst'!$I$7:$I$2010,$C$9,'LAC 102_Wkst'!$E$7:$E$2010,$C54,'LAC 102_Wkst'!$G$7:$G$2010,$D54,'LAC 102_Wkst'!$L$7:$L$2010,"08",'LAC 102_Wkst'!$N$7:$N$2010,"P3")</f>
        <v>0</v>
      </c>
      <c r="AG54" s="411">
        <f>SUMIFS('LAC 102_Wkst'!$AF$7:$AF$2010,'LAC 102_Wkst'!$D$7:$D$2010,$C$7,'LAC 102_Wkst'!$I$7:$I$2010,$C$9,'LAC 102_Wkst'!$E$7:$E$2010,$C54,'LAC 102_Wkst'!$G$7:$G$2010,$D54,'LAC 102_Wkst'!$L$7:$L$2010,"08",'LAC 102_Wkst'!$N$7:$N$2010,"P1")+SUMIFS('LAC 102_Wkst'!$AF$7:$AF$2010,'LAC 102_Wkst'!$D$7:$D$2010,$C$7,'LAC 102_Wkst'!$I$7:$I$2010,$C$9,'LAC 102_Wkst'!$E$7:$E$2010,$C54,'LAC 102_Wkst'!$G$7:$G$2010,$D54,'LAC 102_Wkst'!$L$7:$L$2010,"08",'LAC 102_Wkst'!$N$7:$N$2010,"P2")+SUMIFS('LAC 102_Wkst'!$AF$7:$AF$2010,'LAC 102_Wkst'!$D$7:$D$2010,$C$7,'LAC 102_Wkst'!$I$7:$I$2010,$C$9,'LAC 102_Wkst'!$E$7:$E$2010,$C54,'LAC 102_Wkst'!$G$7:$G$2010,$D54,'LAC 102_Wkst'!$L$7:$L$2010,"08",'LAC 102_Wkst'!$N$7:$N$2010,"P3")</f>
        <v>0</v>
      </c>
      <c r="AH54" s="410">
        <f>SUMIFS('LAC 102_Wkst'!$Q$7:$Q$2010,'LAC 102_Wkst'!$D$7:$D$2010,$C$7,'LAC 102_Wkst'!$I$7:$I$2010,$C$9,'LAC 102_Wkst'!$E$7:$E$2010,$C54,'LAC 102_Wkst'!$G$7:$G$2010,$D54,'LAC 102_Wkst'!$L$7:$L$2010,"08",'LAC 102_Wkst'!$N$7:$N$2010,"P4")</f>
        <v>0</v>
      </c>
      <c r="AI54" s="411">
        <f>SUMIFS('LAC 102_Wkst'!$AF$7:$AF$2010,'LAC 102_Wkst'!$D$7:$D$2010,$C$7,'LAC 102_Wkst'!$I$7:$I$2010,$C$9,'LAC 102_Wkst'!$E$7:$E$2010,$C54,'LAC 102_Wkst'!$G$7:$G$2010,$D54,'LAC 102_Wkst'!$L$7:$L$2010,"08",'LAC 102_Wkst'!$N$7:$N$2010,"P4")</f>
        <v>0</v>
      </c>
      <c r="AJ54" s="410">
        <f>SUMIFS('LAC 102_Wkst'!$Q$7:$Q$2010,'LAC 102_Wkst'!$D$7:$D$2010,$C$7,'LAC 102_Wkst'!$I$7:$I$2010,$C$9,'LAC 102_Wkst'!$E$7:$E$2010,$C54,'LAC 102_Wkst'!$G$7:$G$2010,$D54,'LAC 102_Wkst'!$L$7:$L$2010,"08",'LAC 102_Wkst'!$N$7:$N$2010,"P5")</f>
        <v>0</v>
      </c>
      <c r="AK54" s="411">
        <f>SUMIFS('LAC 102_Wkst'!$AF$7:$AF$2010,'LAC 102_Wkst'!$D$7:$D$2010,$C$7,'LAC 102_Wkst'!$I$7:$I$2010,$C$9,'LAC 102_Wkst'!$E$7:$E$2010,$C54,'LAC 102_Wkst'!$G$7:$G$2010,$D54,'LAC 102_Wkst'!$L$7:$L$2010,"08",'LAC 102_Wkst'!$N$7:$N$2010,"P5")</f>
        <v>0</v>
      </c>
      <c r="AL54" s="410">
        <f>SUMIFS('LAC 102_Wkst'!$Q$7:$Q$2010,'LAC 102_Wkst'!$D$7:$D$2010,$C$7,'LAC 102_Wkst'!$I$7:$I$2010,$C$9,'LAC 102_Wkst'!$E$7:$E$2010,$C54,'LAC 102_Wkst'!$G$7:$G$2010,$D54,'LAC 102_Wkst'!$L$7:$L$2010,"09",'LAC 102_Wkst'!$N$7:$N$2010,"P1")+SUMIFS('LAC 102_Wkst'!$Q$7:$Q$2010,'LAC 102_Wkst'!$D$7:$D$2010,$C$7,'LAC 102_Wkst'!$I$7:$I$2010,$C$9,'LAC 102_Wkst'!$E$7:$E$2010,$C54,'LAC 102_Wkst'!$G$7:$G$2010,$D54,'LAC 102_Wkst'!$L$7:$L$2010,"09",'LAC 102_Wkst'!$N$7:$N$2010,"P2")+SUMIFS('LAC 102_Wkst'!$Q$7:$Q$2010,'LAC 102_Wkst'!$D$7:$D$2010,$C$7,'LAC 102_Wkst'!$I$7:$I$2010,$C$9,'LAC 102_Wkst'!$E$7:$E$2010,$C54,'LAC 102_Wkst'!$G$7:$G$2010,$D54,'LAC 102_Wkst'!$L$7:$L$2010,"09",'LAC 102_Wkst'!$N$7:$N$2010,"P3")+SUMIFS('LAC 102_Wkst'!$Q$7:$Q$2010,'LAC 102_Wkst'!$D$7:$D$2010,$C$7,'LAC 102_Wkst'!$I$7:$I$2010,$C$9,'LAC 102_Wkst'!$E$7:$E$2010,$C54,'LAC 102_Wkst'!$G$7:$G$2010,$D54,'LAC 102_Wkst'!$L$7:$L$2010,"09",'LAC 102_Wkst'!$N$7:$N$2010,"P4")</f>
        <v>0</v>
      </c>
      <c r="AM54" s="411">
        <f>SUMIFS('LAC 102_Wkst'!$AF$7:$AF$2010,'LAC 102_Wkst'!$D$7:$D$2010,$C$7,'LAC 102_Wkst'!$I$7:$I$2010,$C$9,'LAC 102_Wkst'!$E$7:$E$2010,$C54,'LAC 102_Wkst'!$G$7:$G$2010,$D54,'LAC 102_Wkst'!$L$7:$L$2010,"09",'LAC 102_Wkst'!$N$7:$N$2010,"P1")+SUMIFS('LAC 102_Wkst'!$AF$7:$AF$2010,'LAC 102_Wkst'!$D$7:$D$2010,$C$7,'LAC 102_Wkst'!$I$7:$I$2010,$C$9,'LAC 102_Wkst'!$E$7:$E$2010,$C54,'LAC 102_Wkst'!$G$7:$G$2010,$D54,'LAC 102_Wkst'!$L$7:$L$2010,"09",'LAC 102_Wkst'!$N$7:$N$2010,"P2")+SUMIFS('LAC 102_Wkst'!$AF$7:$AF$2010,'LAC 102_Wkst'!$D$7:$D$2010,$C$7,'LAC 102_Wkst'!$I$7:$I$2010,$C$9,'LAC 102_Wkst'!$E$7:$E$2010,$C54,'LAC 102_Wkst'!$G$7:$G$2010,$D54,'LAC 102_Wkst'!$L$7:$L$2010,"09",'LAC 102_Wkst'!$N$7:$N$2010,"P3")+SUMIFS('LAC 102_Wkst'!$AF$7:$AF$2010,'LAC 102_Wkst'!$D$7:$D$2010,$C$7,'LAC 102_Wkst'!$I$7:$I$2010,$C$9,'LAC 102_Wkst'!$E$7:$E$2010,$C54,'LAC 102_Wkst'!$G$7:$G$2010,$D54,'LAC 102_Wkst'!$L$7:$L$2010,"09",'LAC 102_Wkst'!$N$7:$N$2010,"P4")</f>
        <v>0</v>
      </c>
      <c r="AN54" s="410">
        <f>SUMIFS('LAC 102_Wkst'!$Q$7:$Q$2010,'LAC 102_Wkst'!$D$7:$D$2010,$C$7,'LAC 102_Wkst'!$I$7:$I$2010,$C$9,'LAC 102_Wkst'!$E$7:$E$2010,$C54,'LAC 102_Wkst'!$G$7:$G$2010,$D54,'LAC 102_Wkst'!$L$7:$L$2010,"09",'LAC 102_Wkst'!$N$7:$N$2010,"P5")</f>
        <v>0</v>
      </c>
      <c r="AO54" s="411">
        <f>SUMIFS('LAC 102_Wkst'!$AF$7:$AF$2010,'LAC 102_Wkst'!$D$7:$D$2010,$C$7,'LAC 102_Wkst'!$I$7:$I$2010,$C$9,'LAC 102_Wkst'!$E$7:$E$2010,$C54,'LAC 102_Wkst'!$G$7:$G$2010,$D54,'LAC 102_Wkst'!$L$7:$L$2010,"09",'LAC 102_Wkst'!$N$7:$N$2010,"P5")</f>
        <v>0</v>
      </c>
      <c r="AP54" s="410">
        <f>SUMIFS('LAC 102_Wkst'!$Q$7:$Q$2010,'LAC 102_Wkst'!$D$7:$D$2010,$C$7,'LAC 102_Wkst'!$I$7:$I$2010,$C$9,'LAC 102_Wkst'!$E$7:$E$2010,$C54,'LAC 102_Wkst'!$G$7:$G$2010,$D54,'LAC 102_Wkst'!$L$7:$L$2010,"10",'LAC 102_Wkst'!$N$7:$N$2010,"P1")+SUMIFS('LAC 102_Wkst'!$Q$7:$Q$2010,'LAC 102_Wkst'!$D$7:$D$2010,$C$7,'LAC 102_Wkst'!$I$7:$I$2010,$C$9,'LAC 102_Wkst'!$E$7:$E$2010,$C54,'LAC 102_Wkst'!$G$7:$G$2010,$D54,'LAC 102_Wkst'!$L$7:$L$2010,"10",'LAC 102_Wkst'!$N$7:$N$2010,"P2")+SUMIFS('LAC 102_Wkst'!$Q$7:$Q$2010,'LAC 102_Wkst'!$D$7:$D$2010,$C$7,'LAC 102_Wkst'!$I$7:$I$2010,$C$9,'LAC 102_Wkst'!$E$7:$E$2010,$C54,'LAC 102_Wkst'!$G$7:$G$2010,$D54,'LAC 102_Wkst'!$L$7:$L$2010,"10",'LAC 102_Wkst'!$N$7:$N$2010,"P3")+SUMIFS('LAC 102_Wkst'!$Q$7:$Q$2010,'LAC 102_Wkst'!$D$7:$D$2010,$C$7,'LAC 102_Wkst'!$I$7:$I$2010,$C$9,'LAC 102_Wkst'!$E$7:$E$2010,$C54,'LAC 102_Wkst'!$G$7:$G$2010,$D54,'LAC 102_Wkst'!$L$7:$L$2010,"10",'LAC 102_Wkst'!$N$7:$N$2010,"P4")</f>
        <v>0</v>
      </c>
      <c r="AQ54" s="411">
        <f>SUMIFS('LAC 102_Wkst'!$AF$7:$AF$2010,'LAC 102_Wkst'!$D$7:$D$2010,$C$7,'LAC 102_Wkst'!$I$7:$I$2010,$C$9,'LAC 102_Wkst'!$E$7:$E$2010,$C54,'LAC 102_Wkst'!$G$7:$G$2010,$D54,'LAC 102_Wkst'!$L$7:$L$2010,"10",'LAC 102_Wkst'!$N$7:$N$2010,"P1")+SUMIFS('LAC 102_Wkst'!$AF$7:$AF$2010,'LAC 102_Wkst'!$D$7:$D$2010,$C$7,'LAC 102_Wkst'!$I$7:$I$2010,$C$9,'LAC 102_Wkst'!$E$7:$E$2010,$C54,'LAC 102_Wkst'!$G$7:$G$2010,$D54,'LAC 102_Wkst'!$L$7:$L$2010,"10",'LAC 102_Wkst'!$N$7:$N$2010,"P2")+SUMIFS('LAC 102_Wkst'!$AF$7:$AF$2010,'LAC 102_Wkst'!$D$7:$D$2010,$C$7,'LAC 102_Wkst'!$I$7:$I$2010,$C$9,'LAC 102_Wkst'!$E$7:$E$2010,$C54,'LAC 102_Wkst'!$G$7:$G$2010,$D54,'LAC 102_Wkst'!$L$7:$L$2010,"10",'LAC 102_Wkst'!$N$7:$N$2010,"P3")+SUMIFS('LAC 102_Wkst'!$AF$7:$AF$2010,'LAC 102_Wkst'!$D$7:$D$2010,$C$7,'LAC 102_Wkst'!$I$7:$I$2010,$C$9,'LAC 102_Wkst'!$E$7:$E$2010,$C54,'LAC 102_Wkst'!$G$7:$G$2010,$D54,'LAC 102_Wkst'!$L$7:$L$2010,"10",'LAC 102_Wkst'!$N$7:$N$2010,"P4")</f>
        <v>0</v>
      </c>
      <c r="AR54" s="410">
        <f>SUMIFS('LAC 102_Wkst'!$Q$7:$Q$2010,'LAC 102_Wkst'!$D$7:$D$2010,$C$7,'LAC 102_Wkst'!$I$7:$I$2010,$C$9,'LAC 102_Wkst'!$E$7:$E$2010,$C54,'LAC 102_Wkst'!$G$7:$G$2010,$D54,'LAC 102_Wkst'!$L$7:$L$2010,"10",'LAC 102_Wkst'!$N$7:$N$2010,"P5")</f>
        <v>0</v>
      </c>
      <c r="AS54" s="411">
        <f>SUMIFS('LAC 102_Wkst'!$AF$7:$AF$2010,'LAC 102_Wkst'!$D$7:$D$2010,$C$7,'LAC 102_Wkst'!$I$7:$I$2010,$C$9,'LAC 102_Wkst'!$E$7:$E$2010,$C54,'LAC 102_Wkst'!$G$7:$G$2010,$D54,'LAC 102_Wkst'!$L$7:$L$2010,"10",'LAC 102_Wkst'!$N$7:$N$2010,"P5")</f>
        <v>0</v>
      </c>
      <c r="AT54" s="410">
        <f>SUMIFS('LAC 102_Wkst'!$Q$7:$Q$2010,'LAC 102_Wkst'!$D$7:$D$2010,$C$7,'LAC 102_Wkst'!$I$7:$I$2010,$C$9,'LAC 102_Wkst'!$E$7:$E$2010,$C54,'LAC 102_Wkst'!$G$7:$G$2010,$D54,'LAC 102_Wkst'!$L$7:$L$2010,"11",'LAC 102_Wkst'!$N$7:$N$2010,"P1")+SUMIFS('LAC 102_Wkst'!$Q$7:$Q$2010,'LAC 102_Wkst'!$D$7:$D$2010,$C$7,'LAC 102_Wkst'!$I$7:$I$2010,$C$9,'LAC 102_Wkst'!$E$7:$E$2010,$C54,'LAC 102_Wkst'!$G$7:$G$2010,$D54,'LAC 102_Wkst'!$L$7:$L$2010,"12",'LAC 102_Wkst'!$N$7:$N$2010,"P1")</f>
        <v>0</v>
      </c>
      <c r="AU54" s="411">
        <f>SUMIFS('LAC 102_Wkst'!$Q$7:$Q$2010,'LAC 102_Wkst'!$D$7:$D$2010,$C$7,'LAC 102_Wkst'!$I$7:$I$2010,$C$9,'LAC 102_Wkst'!$E$7:$E$2010,$C54,'LAC 102_Wkst'!$G$7:$G$2010,$D54,'LAC 102_Wkst'!$L$7:$L$2010,"13",'LAC 102_Wkst'!$N$7:$N$2010,"P5")</f>
        <v>0</v>
      </c>
      <c r="AV54" s="410">
        <f>SUMIFS('LAC 102_Wkst'!$Q$7:$Q$2010,'LAC 102_Wkst'!$D$7:$D$2010,$C$7,'LAC 102_Wkst'!$I$7:$I$2010,$C$9,'LAC 102_Wkst'!$E$7:$E$2010,$C54,'LAC 102_Wkst'!$G$7:$G$2010,$D54,'LAC 102_Wkst'!$L$7:$L$2010,"11",'LAC 102_Wkst'!$N$7:$N$2010,"P2")+SUMIFS('LAC 102_Wkst'!$Q$7:$Q$2010,'LAC 102_Wkst'!$D$7:$D$2010,$C$7,'LAC 102_Wkst'!$I$7:$I$2010,$C$9,'LAC 102_Wkst'!$E$7:$E$2010,$C54,'LAC 102_Wkst'!$G$7:$G$2010,$D54,'LAC 102_Wkst'!$L$7:$L$2010,"12",'LAC 102_Wkst'!$N$7:$N$2010,"P2")+SUMIFS('LAC 102_Wkst'!$Q$7:$Q$2010,'LAC 102_Wkst'!$D$7:$D$2010,$C$7,'LAC 102_Wkst'!$I$7:$I$2010,$C$9,'LAC 102_Wkst'!$E$7:$E$2010,$C54,'LAC 102_Wkst'!$G$7:$G$2010,$D54,'LAC 102_Wkst'!$L$7:$L$2010,"11",'LAC 102_Wkst'!$N$7:$N$2010,"P3")+SUMIFS('LAC 102_Wkst'!$Q$7:$Q$2010,'LAC 102_Wkst'!$D$7:$D$2010,$C$7,'LAC 102_Wkst'!$I$7:$I$2010,$C$9,'LAC 102_Wkst'!$E$7:$E$2010,$C54,'LAC 102_Wkst'!$G$7:$G$2010,$D54,'LAC 102_Wkst'!$L$7:$L$2010,"12",'LAC 102_Wkst'!$N$7:$N$2010,"P3")</f>
        <v>0</v>
      </c>
      <c r="AW54" s="411">
        <f>SUMIFS('LAC 102_Wkst'!$AF$7:$AF$2010,'LAC 102_Wkst'!$D$7:$D$2010,$C$7,'LAC 102_Wkst'!$I$7:$I$2010,$C$9,'LAC 102_Wkst'!$E$7:$E$2010,$C54,'LAC 102_Wkst'!$G$7:$G$2010,$D54,'LAC 102_Wkst'!$L$7:$L$2010,"11",'LAC 102_Wkst'!$N$7:$N$2010,"P2")+SUMIFS('LAC 102_Wkst'!$AF$7:$AF$2010,'LAC 102_Wkst'!$D$7:$D$2010,$C$7,'LAC 102_Wkst'!$I$7:$I$2010,$C$9,'LAC 102_Wkst'!$E$7:$E$2010,$C54,'LAC 102_Wkst'!$G$7:$G$2010,$D54,'LAC 102_Wkst'!$L$7:$L$2010,"12",'LAC 102_Wkst'!$N$7:$N$2010,"P2")+SUMIFS('LAC 102_Wkst'!$AF$7:$AF$2010,'LAC 102_Wkst'!$D$7:$D$2010,$C$7,'LAC 102_Wkst'!$I$7:$I$2010,$C$9,'LAC 102_Wkst'!$E$7:$E$2010,$C54,'LAC 102_Wkst'!$G$7:$G$2010,$D54,'LAC 102_Wkst'!$L$7:$L$2010,"11",'LAC 102_Wkst'!$N$7:$N$2010,"P3")+SUMIFS('LAC 102_Wkst'!$AF$7:$AF$2010,'LAC 102_Wkst'!$D$7:$D$2010,$C$7,'LAC 102_Wkst'!$I$7:$I$2010,$C$9,'LAC 102_Wkst'!$E$7:$E$2010,$C54,'LAC 102_Wkst'!$G$7:$G$2010,$D54,'LAC 102_Wkst'!$L$7:$L$2010,"12",'LAC 102_Wkst'!$N$7:$N$2010,"P3")</f>
        <v>0</v>
      </c>
      <c r="AX54" s="410">
        <f>SUMIFS('LAC 102_Wkst'!$Q$7:$Q$2010,'LAC 102_Wkst'!$D$7:$D$2010,$C$7,'LAC 102_Wkst'!$I$7:$I$2010,$C$9,'LAC 102_Wkst'!$E$7:$E$2010,$C54,'LAC 102_Wkst'!$G$7:$G$2010,$D54,'LAC 102_Wkst'!$L$7:$L$2010,"11",'LAC 102_Wkst'!$N$7:$N$2010,"P4")+SUMIFS('LAC 102_Wkst'!$Q$7:$Q$2010,'LAC 102_Wkst'!$D$7:$D$2010,$C$7,'LAC 102_Wkst'!$I$7:$I$2010,$C$9,'LAC 102_Wkst'!$E$7:$E$2010,$C54,'LAC 102_Wkst'!$G$7:$G$2010,$D54,'LAC 102_Wkst'!$L$7:$L$2010,"12",'LAC 102_Wkst'!$N$7:$N$2010,"P4")</f>
        <v>0</v>
      </c>
      <c r="AY54" s="411">
        <f>SUMIFS('LAC 102_Wkst'!$AF$7:$AF$2010,'LAC 102_Wkst'!$D$7:$D$2010,$C$7,'LAC 102_Wkst'!$I$7:$I$2010,$C$9,'LAC 102_Wkst'!$E$7:$E$2010,$C54,'LAC 102_Wkst'!$G$7:$G$2010,$D54,'LAC 102_Wkst'!$L$7:$L$2010,"11",'LAC 102_Wkst'!$N$7:$N$2010,"P4")+SUMIFS('LAC 102_Wkst'!$AF$7:$AF$2010,'LAC 102_Wkst'!$D$7:$D$2010,$C$7,'LAC 102_Wkst'!$I$7:$I$2010,$C$9,'LAC 102_Wkst'!$E$7:$E$2010,$C54,'LAC 102_Wkst'!$G$7:$G$2010,$D54,'LAC 102_Wkst'!$L$7:$L$2010,"12",'LAC 102_Wkst'!$N$7:$N$2010,"P4")</f>
        <v>0</v>
      </c>
      <c r="AZ54" s="410">
        <f>SUMIFS('LAC 102_Wkst'!$Q$7:$Q$2010,'LAC 102_Wkst'!$D$7:$D$2010,$C$7,'LAC 102_Wkst'!$I$7:$I$2010,$C$9,'LAC 102_Wkst'!$E$7:$E$2010,$C54,'LAC 102_Wkst'!$G$7:$G$2010,$D54,'LAC 102_Wkst'!$L$7:$L$2010,"11",'LAC 102_Wkst'!$N$7:$N$2010,"P5")+SUMIFS('LAC 102_Wkst'!$Q$7:$Q$2010,'LAC 102_Wkst'!$D$7:$D$2010,$C$7,'LAC 102_Wkst'!$I$7:$I$2010,$C$9,'LAC 102_Wkst'!$E$7:$E$2010,$C54,'LAC 102_Wkst'!$G$7:$G$2010,$D54,'LAC 102_Wkst'!$L$7:$L$2010,"12",'LAC 102_Wkst'!$N$7:$N$2010,"P5")</f>
        <v>0</v>
      </c>
      <c r="BA54" s="411">
        <f>SUMIFS('LAC 102_Wkst'!$AF$7:$AF$2010,'LAC 102_Wkst'!$D$7:$D$2010,$C$7,'LAC 102_Wkst'!$I$7:$I$2010,$C$9,'LAC 102_Wkst'!$E$7:$E$2010,$C54,'LAC 102_Wkst'!$G$7:$G$2010,$D54,'LAC 102_Wkst'!$L$7:$L$2010,"11",'LAC 102_Wkst'!$N$7:$N$2010,"P5")+SUMIFS('LAC 102_Wkst'!$AF$7:$AF$2010,'LAC 102_Wkst'!$D$7:$D$2010,$C$7,'LAC 102_Wkst'!$I$7:$I$2010,$C$9,'LAC 102_Wkst'!$E$7:$E$2010,$C54,'LAC 102_Wkst'!$G$7:$G$2010,$D54,'LAC 102_Wkst'!$L$7:$L$2010,"12",'LAC 102_Wkst'!$N$7:$N$2010,"P5")</f>
        <v>0</v>
      </c>
      <c r="BB54" s="410">
        <f>SUMIFS('LAC 102_Wkst'!$Q$7:$Q$2010,'LAC 102_Wkst'!$D$7:$D$2010,$C$7,'LAC 102_Wkst'!$I$7:$I$2010,$C$9,'LAC 102_Wkst'!$E$7:$E$2010,$C54,'LAC 102_Wkst'!$G$7:$G$2010,$D54,'LAC 102_Wkst'!$L$7:$L$2010,"13",'LAC 102_Wkst'!$N$7:$N$2010,"P1")+SUMIFS('LAC 102_Wkst'!$Q$7:$Q$2010,'LAC 102_Wkst'!$D$7:$D$2010,$C$7,'LAC 102_Wkst'!$I$7:$I$2010,$C$9,'LAC 102_Wkst'!$E$7:$E$2010,$C54,'LAC 102_Wkst'!$G$7:$G$2010,$D54,'LAC 102_Wkst'!$L$7:$L$2010,"13",'LAC 102_Wkst'!$N$7:$N$2010,"P2")+SUMIFS('LAC 102_Wkst'!$Q$7:$Q$2010,'LAC 102_Wkst'!$D$7:$D$2010,$C$7,'LAC 102_Wkst'!$I$7:$I$2010,$C$9,'LAC 102_Wkst'!$E$7:$E$2010,$C54,'LAC 102_Wkst'!$G$7:$G$2010,$D54,'LAC 102_Wkst'!$L$7:$L$2010,"13",'LAC 102_Wkst'!$N$7:$N$2010,"P3")+SUMIFS('LAC 102_Wkst'!$Q$7:$Q$2010,'LAC 102_Wkst'!$D$7:$D$2010,$C$7,'LAC 102_Wkst'!$I$7:$I$2010,$C$9,'LAC 102_Wkst'!$E$7:$E$2010,$C54,'LAC 102_Wkst'!$G$7:$G$2010,$D54,'LAC 102_Wkst'!$L$7:$L$2010,"13",'LAC 102_Wkst'!$N$7:$N$2010,"P4")</f>
        <v>0</v>
      </c>
      <c r="BC54" s="411">
        <f>SUMIFS('LAC 102_Wkst'!$AF$7:$AF$2010,'LAC 102_Wkst'!$D$7:$D$2010,$C$7,'LAC 102_Wkst'!$I$7:$I$2010,$C$9,'LAC 102_Wkst'!$E$7:$E$2010,$C54,'LAC 102_Wkst'!$G$7:$G$2010,$D54,'LAC 102_Wkst'!$L$7:$L$2010,"13",'LAC 102_Wkst'!$N$7:$N$2010,"P1")+SUMIFS('LAC 102_Wkst'!$AF$7:$AF$2010,'LAC 102_Wkst'!$D$7:$D$2010,$C$7,'LAC 102_Wkst'!$I$7:$I$2010,$C$9,'LAC 102_Wkst'!$E$7:$E$2010,$C54,'LAC 102_Wkst'!$G$7:$G$2010,$D54,'LAC 102_Wkst'!$L$7:$L$2010,"13",'LAC 102_Wkst'!$N$7:$N$2010,"P2")+SUMIFS('LAC 102_Wkst'!$AF$7:$AF$2010,'LAC 102_Wkst'!$D$7:$D$2010,$C$7,'LAC 102_Wkst'!$I$7:$I$2010,$C$9,'LAC 102_Wkst'!$E$7:$E$2010,$C54,'LAC 102_Wkst'!$G$7:$G$2010,$D54,'LAC 102_Wkst'!$L$7:$L$2010,"13",'LAC 102_Wkst'!$N$7:$N$2010,"P3")+SUMIFS('LAC 102_Wkst'!$AF$7:$AF$2010,'LAC 102_Wkst'!$D$7:$D$2010,$C$7,'LAC 102_Wkst'!$I$7:$I$2010,$C$9,'LAC 102_Wkst'!$E$7:$E$2010,$C54,'LAC 102_Wkst'!$G$7:$G$2010,$D54,'LAC 102_Wkst'!$L$7:$L$2010,"13",'LAC 102_Wkst'!$N$7:$N$2010,"P4")</f>
        <v>0</v>
      </c>
      <c r="BD54" s="410">
        <f>SUMIFS('LAC 102_Wkst'!$Q$7:$Q$2010,'LAC 102_Wkst'!$D$7:$D$2010,$C$7,'LAC 102_Wkst'!$I$7:$I$2010,$C$9,'LAC 102_Wkst'!$E$7:$E$2010,$C54,'LAC 102_Wkst'!$G$7:$G$2010,$D54,'LAC 102_Wkst'!$L$7:$L$2010,"13",'LAC 102_Wkst'!$N$7:$N$2010,"P5")</f>
        <v>0</v>
      </c>
      <c r="BE54" s="411">
        <f>SUMIFS('LAC 102_Wkst'!$AF$7:$AF$2010,'LAC 102_Wkst'!$D$7:$D$2010,$C$7,'LAC 102_Wkst'!$I$7:$I$2010,$C$9,'LAC 102_Wkst'!$E$7:$E$2010,$C54,'LAC 102_Wkst'!$G$7:$G$2010,$D54,'LAC 102_Wkst'!$L$7:$L$2010,"13",'LAC 102_Wkst'!$N$7:$N$2010,"P5")</f>
        <v>0</v>
      </c>
      <c r="BF54" s="407">
        <f t="shared" si="4"/>
        <v>0</v>
      </c>
      <c r="BG54" s="1654">
        <f>SUMIFS('LAC 102_Wkst'!$AF$7:$AF$2010,'LAC 102_Wkst'!$D$7:$D$2010,$C$7,'LAC 102_Wkst'!$I$7:$I$2010,$C$9,'LAC 102_Wkst'!$E$7:$E$2010,$C54,'LAC 102_Wkst'!$G$7:$G$2010,$D54,'LAC 102_Wkst'!$L$7:$L$2010,"14")</f>
        <v>0</v>
      </c>
    </row>
    <row r="55" spans="1:59" x14ac:dyDescent="0.2">
      <c r="A55" s="401">
        <v>33</v>
      </c>
      <c r="B55" s="1678" t="str">
        <f>IF(Schedule_B!B$52="","",Schedule_B!B$52)</f>
        <v/>
      </c>
      <c r="C55" s="1674" t="str">
        <f>IF(Schedule_B!C$52=""," ",Schedule_B!C$52)</f>
        <v xml:space="preserve"> </v>
      </c>
      <c r="D55" s="1675" t="str">
        <f>IF(Schedule_B!D$52=""," ",Schedule_B!D$52)</f>
        <v xml:space="preserve"> </v>
      </c>
      <c r="E55" s="1221">
        <f>SUMIFS('LAC 102_Wkst'!$Q$7:$Q$2010,'LAC 102_Wkst'!$D$7:$D$2010,$C$7,'LAC 102_Wkst'!$I$7:$I$2010,$C$9,'LAC 102_Wkst'!$E$7:$E$2010,$C55,'LAC 102_Wkst'!$G$7:$G$2010,$D55)</f>
        <v>0</v>
      </c>
      <c r="F55" s="408">
        <f>SUMIFS('LAC 102_Wkst'!$Q$7:$Q$2010,'LAC 102_Wkst'!$D$7:$D$2010,$C$7,'LAC 102_Wkst'!$I$7:$I$2010,$C$9,'LAC 102_Wkst'!$E$7:$E$2010,$C55,'LAC 102_Wkst'!$G$7:$G$2010,$D55,'LAC 102_Wkst'!$L$7:$L$2010,"01",'LAC 102_Wkst'!$N$7:$N$2010,"P1")+SUMIFS('LAC 102_Wkst'!$Q$7:$Q$2010,'LAC 102_Wkst'!$D$7:$D$2010,$C$7,'LAC 102_Wkst'!$I$7:$I$2010,$C$9,'LAC 102_Wkst'!$E$7:$E$2010,$C55,'LAC 102_Wkst'!$G$7:$G$2010,$D55,'LAC 102_Wkst'!$L$7:$L$2010,"01",'LAC 102_Wkst'!$N$7:$N$2010,"P2")+SUMIFS('LAC 102_Wkst'!$Q$7:$Q$2010,'LAC 102_Wkst'!$D$7:$D$2010,$C$7,'LAC 102_Wkst'!$I$7:$I$2010,$C$9,'LAC 102_Wkst'!$E$7:$E$2010,$C55,'LAC 102_Wkst'!$G$7:$G$2010,$D55,'LAC 102_Wkst'!$L$7:$L$2010,"01",'LAC 102_Wkst'!$N$7:$N$2010,"P3")+SUMIFS('LAC 102_Wkst'!$Q$7:$Q$2010,'LAC 102_Wkst'!$D$7:$D$2010,$C$7,'LAC 102_Wkst'!$I$7:$I$2010,$C$9,'LAC 102_Wkst'!$E$7:$E$2010,$C55,'LAC 102_Wkst'!$G$7:$G$2010,$D55,'LAC 102_Wkst'!$L$7:$L$2010,"02",'LAC 102_Wkst'!$N$7:$N$2010,"P1")+SUMIFS('LAC 102_Wkst'!$Q$7:$Q$2010,'LAC 102_Wkst'!$D$7:$D$2010,$C$7,'LAC 102_Wkst'!$I$7:$I$2010,$C$9,'LAC 102_Wkst'!$E$7:$E$2010,$C55,'LAC 102_Wkst'!$G$7:$G$2010,$D55,'LAC 102_Wkst'!$L$7:$L$2010,"02",'LAC 102_Wkst'!$N$7:$N$2010,"P2")+SUMIFS('LAC 102_Wkst'!$Q$7:$Q$2010,'LAC 102_Wkst'!$D$7:$D$2010,$C$7,'LAC 102_Wkst'!$I$7:$I$2010,$C$9,'LAC 102_Wkst'!$E$7:$E$2010,$C55,'LAC 102_Wkst'!$G$7:$G$2010,$D55,'LAC 102_Wkst'!$L$7:$L$2010,"02",'LAC 102_Wkst'!$N$7:$N$2010,"P3")</f>
        <v>0</v>
      </c>
      <c r="G55" s="409">
        <f>SUMIFS('LAC 102_Wkst'!$AF$7:$AF$2010,'LAC 102_Wkst'!$D$7:$D$2010,$C$7,'LAC 102_Wkst'!$I$7:$I$2010,$C$9,'LAC 102_Wkst'!$E$7:$E$2010,$C55,'LAC 102_Wkst'!$G$7:$G$2010,$D55,'LAC 102_Wkst'!$L$7:$L$2010,"01",'LAC 102_Wkst'!$N$7:$N$2010,"P1")+SUMIFS('LAC 102_Wkst'!$AF$7:$AF$2010,'LAC 102_Wkst'!$D$7:$D$2010,$C$7,'LAC 102_Wkst'!$I$7:$I$2010,$C$9,'LAC 102_Wkst'!$E$7:$E$2010,$C55,'LAC 102_Wkst'!$G$7:$G$2010,$D55,'LAC 102_Wkst'!$L$7:$L$2010,"01",'LAC 102_Wkst'!$N$7:$N$2010,"P2")+SUMIFS('LAC 102_Wkst'!$AF$7:$AF$2010,'LAC 102_Wkst'!$D$7:$D$2010,$C$7,'LAC 102_Wkst'!$I$7:$I$2010,$C$9,'LAC 102_Wkst'!$E$7:$E$2010,$C55,'LAC 102_Wkst'!$G$7:$G$2010,$D55,'LAC 102_Wkst'!$L$7:$L$2010,"01",'LAC 102_Wkst'!$N$7:$N$2010,"P3")+SUMIFS('LAC 102_Wkst'!$AF$7:$AF$2010,'LAC 102_Wkst'!$D$7:$D$2010,$C$7,'LAC 102_Wkst'!$I$7:$I$2010,$C$9,'LAC 102_Wkst'!$E$7:$E$2010,$C55,'LAC 102_Wkst'!$G$7:$G$2010,$D55,'LAC 102_Wkst'!$L$7:$L$2010,"02",'LAC 102_Wkst'!$N$7:$N$2010,"P1")+SUMIFS('LAC 102_Wkst'!$AF$7:$AF$2010,'LAC 102_Wkst'!$D$7:$D$2010,$C$7,'LAC 102_Wkst'!$I$7:$I$2010,$C$9,'LAC 102_Wkst'!$E$7:$E$2010,$C55,'LAC 102_Wkst'!$G$7:$G$2010,$D55,'LAC 102_Wkst'!$L$7:$L$2010,"02",'LAC 102_Wkst'!$N$7:$N$2010,"P2")+SUMIFS('LAC 102_Wkst'!$AF$7:$AF$2010,'LAC 102_Wkst'!$D$7:$D$2010,$C$7,'LAC 102_Wkst'!$I$7:$I$2010,$C$9,'LAC 102_Wkst'!$E$7:$E$2010,$C55,'LAC 102_Wkst'!$G$7:$G$2010,$D55,'LAC 102_Wkst'!$L$7:$L$2010,"02",'LAC 102_Wkst'!$N$7:$N$2010,"P3")</f>
        <v>0</v>
      </c>
      <c r="H55" s="410">
        <f>SUMIFS('LAC 102_Wkst'!$Q$7:$Q$2010,'LAC 102_Wkst'!$D$7:$D$2010,$C$7,'LAC 102_Wkst'!$I$7:$I$2010,$C$9,'LAC 102_Wkst'!$E$7:$E$2010,$C55,'LAC 102_Wkst'!$G$7:$G$2010,$D55,'LAC 102_Wkst'!$L$7:$L$2010,"01",'LAC 102_Wkst'!$N$7:$N$2010,"P4")+SUMIFS('LAC 102_Wkst'!$Q$7:$Q$2010,'LAC 102_Wkst'!$D$7:$D$2010,$C$7,'LAC 102_Wkst'!$I$7:$I$2010,$C$9,'LAC 102_Wkst'!$E$7:$E$2010,$C55,'LAC 102_Wkst'!$G$7:$G$2010,$D55,'LAC 102_Wkst'!$L$7:$L$2010,"02",'LAC 102_Wkst'!$N$7:$N$2010,"P4")</f>
        <v>0</v>
      </c>
      <c r="I55" s="411">
        <f>SUMIFS('LAC 102_Wkst'!$AF$7:$AF$2010,'LAC 102_Wkst'!$D$7:$D$2010,$C$7,'LAC 102_Wkst'!$I$7:$I$2010,$C$9,'LAC 102_Wkst'!$E$7:$E$2010,$C55,'LAC 102_Wkst'!$G$7:$G$2010,$D55,'LAC 102_Wkst'!$L$7:$L$2010,"01",'LAC 102_Wkst'!$N$7:$N$2010,"P4")+SUMIFS('LAC 102_Wkst'!$AF$7:$AF$2010,'LAC 102_Wkst'!$D$7:$D$2010,$C$7,'LAC 102_Wkst'!$I$7:$I$2010,$C$9,'LAC 102_Wkst'!$E$7:$E$2010,$C55,'LAC 102_Wkst'!$G$7:$G$2010,$D55,'LAC 102_Wkst'!$L$7:$L$2010,"02",'LAC 102_Wkst'!$N$7:$N$2010,"P4")</f>
        <v>0</v>
      </c>
      <c r="J55" s="410">
        <f>SUMIFS('LAC 102_Wkst'!$Q$7:$Q$2010,'LAC 102_Wkst'!$D$7:$D$2010,$C$7,'LAC 102_Wkst'!$I$7:$I$2010,$C$9,'LAC 102_Wkst'!$E$7:$E$2010,$C55,'LAC 102_Wkst'!$G$7:$G$2010,$D55,'LAC 102_Wkst'!$L$7:$L$2010,"01",'LAC 102_Wkst'!$N$7:$N$2010,"P5")+SUMIFS('LAC 102_Wkst'!$Q$7:$Q$2010,'LAC 102_Wkst'!$D$7:$D$2010,$C$7,'LAC 102_Wkst'!$I$7:$I$2010,$C$9,'LAC 102_Wkst'!$E$7:$E$2010,$C55,'LAC 102_Wkst'!$G$7:$G$2010,$D55,'LAC 102_Wkst'!$L$7:$L$2010,"02",'LAC 102_Wkst'!$N$7:$N$2010,"P5")</f>
        <v>0</v>
      </c>
      <c r="K55" s="411">
        <f>SUMIFS('LAC 102_Wkst'!$AF$7:$AF$2010,'LAC 102_Wkst'!$D$7:$D$2010,$C$7,'LAC 102_Wkst'!$I$7:$I$2010,$C$9,'LAC 102_Wkst'!$E$7:$E$2010,$C55,'LAC 102_Wkst'!$G$7:$G$2010,$D55,'LAC 102_Wkst'!$L$7:$L$2010,"01",'LAC 102_Wkst'!$N$7:$N$2010,"P5")+SUMIFS('LAC 102_Wkst'!$AF$7:$AF$2010,'LAC 102_Wkst'!$D$7:$D$2010,$C$7,'LAC 102_Wkst'!$I$7:$I$2010,$C$9,'LAC 102_Wkst'!$E$7:$E$2010,$C55,'LAC 102_Wkst'!$G$7:$G$2010,$D55,'LAC 102_Wkst'!$L$7:$L$2010,"02",'LAC 102_Wkst'!$N$7:$N$2010,"P5")</f>
        <v>0</v>
      </c>
      <c r="L55" s="410">
        <f>SUMIFS('LAC 102_Wkst'!$Q$7:$Q$2010,'LAC 102_Wkst'!$D$7:$D$2010,$C$7,'LAC 102_Wkst'!$I$7:$I$2010,$C$9,'LAC 102_Wkst'!$E$7:$E$2010,$C55,'LAC 102_Wkst'!$G$7:$G$2010,$D55,'LAC 102_Wkst'!$L$7:$L$2010,"03",'LAC 102_Wkst'!$N$7:$N$2010,"P1")+SUMIFS('LAC 102_Wkst'!$Q$7:$Q$2010,'LAC 102_Wkst'!$D$7:$D$2010,$C$7,'LAC 102_Wkst'!$I$7:$I$2010,$C$9,'LAC 102_Wkst'!$E$7:$E$2010,$C55,'LAC 102_Wkst'!$G$7:$G$2010,$D55,'LAC 102_Wkst'!$L$7:$L$2010,"03",'LAC 102_Wkst'!$N$7:$N$2010,"P2")+SUMIFS('LAC 102_Wkst'!$Q$7:$Q$2010,'LAC 102_Wkst'!$D$7:$D$2010,$C$7,'LAC 102_Wkst'!$I$7:$I$2010,$C$9,'LAC 102_Wkst'!$E$7:$E$2010,$C55,'LAC 102_Wkst'!$G$7:$G$2010,$D55,'LAC 102_Wkst'!$L$7:$L$2010,"03",'LAC 102_Wkst'!$N$7:$N$2010,"P3")+SUMIFS('LAC 102_Wkst'!$Q$7:$Q$2010,'LAC 102_Wkst'!$D$7:$D$2010,$C$7,'LAC 102_Wkst'!$I$7:$I$2010,$C$9,'LAC 102_Wkst'!$E$7:$E$2010,$C55,'LAC 102_Wkst'!$G$7:$G$2010,$D55,'LAC 102_Wkst'!$L$7:$L$2010,"04",'LAC 102_Wkst'!$N$7:$N$2010,"P1")+SUMIFS('LAC 102_Wkst'!$Q$7:$Q$2010,'LAC 102_Wkst'!$D$7:$D$2010,$C$7,'LAC 102_Wkst'!$I$7:$I$2010,$C$9,'LAC 102_Wkst'!$E$7:$E$2010,$C55,'LAC 102_Wkst'!$G$7:$G$2010,$D55,'LAC 102_Wkst'!$L$7:$L$2010,"04",'LAC 102_Wkst'!$N$7:$N$2010,"P2")+SUMIFS('LAC 102_Wkst'!$Q$7:$Q$2010,'LAC 102_Wkst'!$D$7:$D$2010,$C$7,'LAC 102_Wkst'!$I$7:$I$2010,$C$9,'LAC 102_Wkst'!$E$7:$E$2010,$C55,'LAC 102_Wkst'!$G$7:$G$2010,$D55,'LAC 102_Wkst'!$L$7:$L$2010,"04",'LAC 102_Wkst'!$N$7:$N$2010,"P3")</f>
        <v>0</v>
      </c>
      <c r="M55" s="411">
        <f>SUMIFS('LAC 102_Wkst'!$AF$7:$AF$2010,'LAC 102_Wkst'!$D$7:$D$2010,$C$7,'LAC 102_Wkst'!$I$7:$I$2010,$C$9,'LAC 102_Wkst'!$E$7:$E$2010,$C55,'LAC 102_Wkst'!$G$7:$G$2010,$D55,'LAC 102_Wkst'!$L$7:$L$2010,"03",'LAC 102_Wkst'!$N$7:$N$2010,"P1")+SUMIFS('LAC 102_Wkst'!$AF$7:$AF$2010,'LAC 102_Wkst'!$D$7:$D$2010,$C$7,'LAC 102_Wkst'!$I$7:$I$2010,$C$9,'LAC 102_Wkst'!$E$7:$E$2010,$C55,'LAC 102_Wkst'!$G$7:$G$2010,$D55,'LAC 102_Wkst'!$L$7:$L$2010,"03",'LAC 102_Wkst'!$N$7:$N$2010,"P2")+SUMIFS('LAC 102_Wkst'!$AF$7:$AF$2010,'LAC 102_Wkst'!$D$7:$D$2010,$C$7,'LAC 102_Wkst'!$I$7:$I$2010,$C$9,'LAC 102_Wkst'!$E$7:$E$2010,$C55,'LAC 102_Wkst'!$G$7:$G$2010,$D55,'LAC 102_Wkst'!$L$7:$L$2010,"03",'LAC 102_Wkst'!$N$7:$N$2010,"P3")+SUMIFS('LAC 102_Wkst'!$AF$7:$AF$2010,'LAC 102_Wkst'!$D$7:$D$2010,$C$7,'LAC 102_Wkst'!$I$7:$I$2010,$C$9,'LAC 102_Wkst'!$E$7:$E$2010,$C55,'LAC 102_Wkst'!$G$7:$G$2010,$D55,'LAC 102_Wkst'!$L$7:$L$2010,"04",'LAC 102_Wkst'!$N$7:$N$2010,"P1")+SUMIFS('LAC 102_Wkst'!$AF$7:$AF$2010,'LAC 102_Wkst'!$D$7:$D$2010,$C$7,'LAC 102_Wkst'!$I$7:$I$2010,$C$9,'LAC 102_Wkst'!$E$7:$E$2010,$C55,'LAC 102_Wkst'!$G$7:$G$2010,$D55,'LAC 102_Wkst'!$L$7:$L$2010,"04",'LAC 102_Wkst'!$N$7:$N$2010,"P2")+SUMIFS('LAC 102_Wkst'!$AF$7:$AF$2010,'LAC 102_Wkst'!$D$7:$D$2010,$C$7,'LAC 102_Wkst'!$I$7:$I$2010,$C$9,'LAC 102_Wkst'!$E$7:$E$2010,$C55,'LAC 102_Wkst'!$G$7:$G$2010,$D55,'LAC 102_Wkst'!$L$7:$L$2010,"04",'LAC 102_Wkst'!$N$7:$N$2010,"P3")</f>
        <v>0</v>
      </c>
      <c r="N55" s="410">
        <f>SUMIFS('LAC 102_Wkst'!$Q$7:$Q$2010,'LAC 102_Wkst'!$D$7:$D$2010,$C$7,'LAC 102_Wkst'!$I$7:$I$2010,$C$9,'LAC 102_Wkst'!$E$7:$E$2010,$C55,'LAC 102_Wkst'!$G$7:$G$2010,$D55,'LAC 102_Wkst'!$L$7:$L$2010,"03",'LAC 102_Wkst'!$N$7:$N$2010,"P4")+SUMIFS('LAC 102_Wkst'!$Q$7:$Q$2010,'LAC 102_Wkst'!$D$7:$D$2010,$C$7,'LAC 102_Wkst'!$I$7:$I$2010,$C$9,'LAC 102_Wkst'!$E$7:$E$2010,$C55,'LAC 102_Wkst'!$G$7:$G$2010,$D55,'LAC 102_Wkst'!$L$7:$L$2010,"04",'LAC 102_Wkst'!$N$7:$N$2010,"P4")</f>
        <v>0</v>
      </c>
      <c r="O55" s="411">
        <f>SUMIFS('LAC 102_Wkst'!$AF$7:$AF$2010,'LAC 102_Wkst'!$D$7:$D$2010,$C$7,'LAC 102_Wkst'!$I$7:$I$2010,$C$9,'LAC 102_Wkst'!$E$7:$E$2010,$C55,'LAC 102_Wkst'!$G$7:$G$2010,$D55,'LAC 102_Wkst'!$L$7:$L$2010,"03",'LAC 102_Wkst'!$N$7:$N$2010,"P4")+SUMIFS('LAC 102_Wkst'!$AF$7:$AF$2010,'LAC 102_Wkst'!$D$7:$D$2010,$C$7,'LAC 102_Wkst'!$I$7:$I$2010,$C$9,'LAC 102_Wkst'!$E$7:$E$2010,$C55,'LAC 102_Wkst'!$G$7:$G$2010,$D55,'LAC 102_Wkst'!$L$7:$L$2010,"04",'LAC 102_Wkst'!$N$7:$N$2010,"P4")</f>
        <v>0</v>
      </c>
      <c r="P55" s="410">
        <f>SUMIFS('LAC 102_Wkst'!$Q$7:$Q$2010,'LAC 102_Wkst'!$D$7:$D$2010,$C$7,'LAC 102_Wkst'!$I$7:$I$2010,$C$9,'LAC 102_Wkst'!$E$7:$E$2010,$C55,'LAC 102_Wkst'!$G$7:$G$2010,$D55,'LAC 102_Wkst'!$L$7:$L$2010,"03",'LAC 102_Wkst'!$N$7:$N$2010,"P5")+SUMIFS('LAC 102_Wkst'!$Q$7:$Q$2010,'LAC 102_Wkst'!$D$7:$D$2010,$C$7,'LAC 102_Wkst'!$I$7:$I$2010,$C$9,'LAC 102_Wkst'!$E$7:$E$2010,$C55,'LAC 102_Wkst'!$G$7:$G$2010,$D55,'LAC 102_Wkst'!$L$7:$L$2010,"04",'LAC 102_Wkst'!$N$7:$N$2010,"P5")</f>
        <v>0</v>
      </c>
      <c r="Q55" s="411">
        <f>SUMIFS('LAC 102_Wkst'!$AF$7:$AF$2010,'LAC 102_Wkst'!$D$7:$D$2010,$C$7,'LAC 102_Wkst'!$I$7:$I$2010,$C$9,'LAC 102_Wkst'!$E$7:$E$2010,$C55,'LAC 102_Wkst'!$G$7:$G$2010,$D55,'LAC 102_Wkst'!$L$7:$L$2010,"03",'LAC 102_Wkst'!$N$7:$N$2010,"P5")+SUMIFS('LAC 102_Wkst'!$AF$7:$AF$2010,'LAC 102_Wkst'!$D$7:$D$2010,$C$7,'LAC 102_Wkst'!$I$7:$I$2010,$C$9,'LAC 102_Wkst'!$E$7:$E$2010,$C55,'LAC 102_Wkst'!$G$7:$G$2010,$D55,'LAC 102_Wkst'!$L$7:$L$2010,"04",'LAC 102_Wkst'!$N$7:$N$2010,"P5")</f>
        <v>0</v>
      </c>
      <c r="R55" s="412">
        <f>SUMIFS('LAC 102_Wkst'!$Q$7:$Q$2010,'LAC 102_Wkst'!$D$7:$D$2010,$C$7,'LAC 102_Wkst'!$I$7:$I$2010,$C$9,'LAC 102_Wkst'!$E$7:$E$2010,$C55,'LAC 102_Wkst'!$G$7:$G$2010,$D55,'LAC 102_Wkst'!$L$7:$L$2010,"05",'LAC 102_Wkst'!$N$7:$N$2010,"P1")+SUMIFS('LAC 102_Wkst'!$Q$7:$Q$2010,'LAC 102_Wkst'!$D$7:$D$2010,$C$7,'LAC 102_Wkst'!$I$7:$I$2010,$C$9,'LAC 102_Wkst'!$E$7:$E$2010,$C55,'LAC 102_Wkst'!$G$7:$G$2010,$D55,'LAC 102_Wkst'!$L$7:$L$2010,"06",'LAC 102_Wkst'!$N$7:$N$2010,"P1")</f>
        <v>0</v>
      </c>
      <c r="S55" s="411">
        <f>SUMIFS('LAC 102_Wkst'!$AF$7:$AF$2010,'LAC 102_Wkst'!$D$7:$D$2010,$C$7,'LAC 102_Wkst'!$I$7:$I$2010,$C$9,'LAC 102_Wkst'!$E$7:$E$2010,$C55,'LAC 102_Wkst'!$G$7:$G$2010,$D55,'LAC 102_Wkst'!$L$7:$L$2010,"05",'LAC 102_Wkst'!$N$7:$N$2010,"P1")+SUMIFS('LAC 102_Wkst'!$AF$7:$AF$2010,'LAC 102_Wkst'!$D$7:$D$2010,$C$7,'LAC 102_Wkst'!$I$7:$I$2010,$C$9,'LAC 102_Wkst'!$E$7:$E$2010,$C55,'LAC 102_Wkst'!$G$7:$G$2010,$D55,'LAC 102_Wkst'!$L$7:$L$2010,"06",'LAC 102_Wkst'!$N$7:$N$2010,"P1")</f>
        <v>0</v>
      </c>
      <c r="T55" s="410">
        <f>SUMIFS('LAC 102_Wkst'!$Q$7:$Q$2010,'LAC 102_Wkst'!$D$7:$D$2010,$C$7,'LAC 102_Wkst'!$I$7:$I$2010,$C$9,'LAC 102_Wkst'!$E$7:$E$2010,$C55,'LAC 102_Wkst'!$G$7:$G$2010,$D55,'LAC 102_Wkst'!$L$7:$L$2010,"05",'LAC 102_Wkst'!$N$7:$N$2010,"P2")+SUMIFS('LAC 102_Wkst'!$Q$7:$Q$2010,'LAC 102_Wkst'!$D$7:$D$2010,$C$7,'LAC 102_Wkst'!$I$7:$I$2010,$C$9,'LAC 102_Wkst'!$E$7:$E$2010,$C55,'LAC 102_Wkst'!$G$7:$G$2010,$D55,'LAC 102_Wkst'!$L$7:$L$2010,"06",'LAC 102_Wkst'!$N$7:$N$2010,"P2")+SUMIFS('LAC 102_Wkst'!$Q$7:$Q$2010,'LAC 102_Wkst'!$D$7:$D$2010,$C$7,'LAC 102_Wkst'!$I$7:$I$2010,$C$9,'LAC 102_Wkst'!$E$7:$E$2010,$C55,'LAC 102_Wkst'!$G$7:$G$2010,$D55,'LAC 102_Wkst'!$L$7:$L$2010,"05",'LAC 102_Wkst'!$N$7:$N$2010,"P3")+SUMIFS('LAC 102_Wkst'!$Q$7:$Q$2010,'LAC 102_Wkst'!$D$7:$D$2010,$C$7,'LAC 102_Wkst'!$I$7:$I$2010,$C$9,'LAC 102_Wkst'!$E$7:$E$2010,$C55,'LAC 102_Wkst'!$G$7:$G$2010,$D55,'LAC 102_Wkst'!$L$7:$L$2010,"06",'LAC 102_Wkst'!$N$7:$N$2010,"P3")</f>
        <v>0</v>
      </c>
      <c r="U55" s="411">
        <f>SUMIFS('LAC 102_Wkst'!$AF$7:$AF$2010,'LAC 102_Wkst'!$D$7:$D$2010,$C$7,'LAC 102_Wkst'!$I$7:$I$2010,$C$9,'LAC 102_Wkst'!$E$7:$E$2010,$C55,'LAC 102_Wkst'!$G$7:$G$2010,$D55,'LAC 102_Wkst'!$L$7:$L$2010,"05",'LAC 102_Wkst'!$N$7:$N$2010,"P2")+SUMIFS('LAC 102_Wkst'!$AF$7:$AF$2010,'LAC 102_Wkst'!$D$7:$D$2010,$C$7,'LAC 102_Wkst'!$I$7:$I$2010,$C$9,'LAC 102_Wkst'!$E$7:$E$2010,$C55,'LAC 102_Wkst'!$G$7:$G$2010,$D55,'LAC 102_Wkst'!$L$7:$L$2010,"06",'LAC 102_Wkst'!$N$7:$N$2010,"P2")+SUMIFS('LAC 102_Wkst'!$AF$7:$AF$2010,'LAC 102_Wkst'!$D$7:$D$2010,$C$7,'LAC 102_Wkst'!$I$7:$I$2010,$C$9,'LAC 102_Wkst'!$E$7:$E$2010,$C55,'LAC 102_Wkst'!$G$7:$G$2010,$D55,'LAC 102_Wkst'!$L$7:$L$2010,"05",'LAC 102_Wkst'!$N$7:$N$2010,"P3")+SUMIFS('LAC 102_Wkst'!$AF$7:$AF$2010,'LAC 102_Wkst'!$D$7:$D$2010,$C$7,'LAC 102_Wkst'!$I$7:$I$2010,$C$9,'LAC 102_Wkst'!$E$7:$E$2010,$C55,'LAC 102_Wkst'!$G$7:$G$2010,$D55,'LAC 102_Wkst'!$L$7:$L$2010,"06",'LAC 102_Wkst'!$N$7:$N$2010,"P3")</f>
        <v>0</v>
      </c>
      <c r="V55" s="410">
        <f>SUMIFS('LAC 102_Wkst'!$Q$7:$Q$2010,'LAC 102_Wkst'!$D$7:$D$2010,$C$7,'LAC 102_Wkst'!$I$7:$I$2010,$C$9,'LAC 102_Wkst'!$E$7:$E$2010,$C55,'LAC 102_Wkst'!$G$7:$G$2010,$D55,'LAC 102_Wkst'!$L$7:$L$2010,"05",'LAC 102_Wkst'!$N$7:$N$2010,"P4")+SUMIFS('LAC 102_Wkst'!$Q$7:$Q$2010,'LAC 102_Wkst'!$D$7:$D$2010,$C$7,'LAC 102_Wkst'!$I$7:$I$2010,$C$9,'LAC 102_Wkst'!$E$7:$E$2010,$C55,'LAC 102_Wkst'!$G$7:$G$2010,$D55,'LAC 102_Wkst'!$L$7:$L$2010,"06",'LAC 102_Wkst'!$N$7:$N$2010,"P4")</f>
        <v>0</v>
      </c>
      <c r="W55" s="411">
        <f>SUMIFS('LAC 102_Wkst'!$AF$7:$AF$2010,'LAC 102_Wkst'!$D$7:$D$2010,$C$7,'LAC 102_Wkst'!$I$7:$I$2010,$C$9,'LAC 102_Wkst'!$E$7:$E$2010,$C55,'LAC 102_Wkst'!$G$7:$G$2010,$D55,'LAC 102_Wkst'!$L$7:$L$2010,"05",'LAC 102_Wkst'!$N$7:$N$2010,"P4")+SUMIFS('LAC 102_Wkst'!$AF$7:$AF$2010,'LAC 102_Wkst'!$D$7:$D$2010,$C$7,'LAC 102_Wkst'!$I$7:$I$2010,$C$9,'LAC 102_Wkst'!$E$7:$E$2010,$C55,'LAC 102_Wkst'!$G$7:$G$2010,$D55,'LAC 102_Wkst'!$L$7:$L$2010,"06",'LAC 102_Wkst'!$N$7:$N$2010,"P4")</f>
        <v>0</v>
      </c>
      <c r="X55" s="410">
        <f>SUMIFS('LAC 102_Wkst'!$Q$7:$Q$2010,'LAC 102_Wkst'!$D$7:$D$2010,$C$7,'LAC 102_Wkst'!$I$7:$I$2010,$C$9,'LAC 102_Wkst'!$E$7:$E$2010,$C55,'LAC 102_Wkst'!$G$7:$G$2010,$D55,'LAC 102_Wkst'!$L$7:$L$2010,"05",'LAC 102_Wkst'!$N$7:$N$2010,"P5")+SUMIFS('LAC 102_Wkst'!$Q$7:$Q$2010,'LAC 102_Wkst'!$D$7:$D$2010,$C$7,'LAC 102_Wkst'!$I$7:$I$2010,$C$9,'LAC 102_Wkst'!$E$7:$E$2010,$C55,'LAC 102_Wkst'!$G$7:$G$2010,$D55,'LAC 102_Wkst'!$L$7:$L$2010,"06",'LAC 102_Wkst'!$N$7:$N$2010,"P5")</f>
        <v>0</v>
      </c>
      <c r="Y55" s="411">
        <f>SUMIFS('LAC 102_Wkst'!$AF$7:$AF$2010,'LAC 102_Wkst'!$D$7:$D$2010,$C$7,'LAC 102_Wkst'!$I$7:$I$2010,$C$9,'LAC 102_Wkst'!$E$7:$E$2010,$C55,'LAC 102_Wkst'!$G$7:$G$2010,$D55,'LAC 102_Wkst'!$L$7:$L$2010,"05",'LAC 102_Wkst'!$N$7:$N$2010,"P5")+SUMIFS('LAC 102_Wkst'!$AF$7:$AF$2010,'LAC 102_Wkst'!$D$7:$D$2010,$C$7,'LAC 102_Wkst'!$I$7:$I$2010,$C$9,'LAC 102_Wkst'!$E$7:$E$2010,$C55,'LAC 102_Wkst'!$G$7:$G$2010,$D55,'LAC 102_Wkst'!$L$7:$L$2010,"06",'LAC 102_Wkst'!$N$7:$N$2010,"P5")</f>
        <v>0</v>
      </c>
      <c r="Z55" s="410">
        <f>SUMIFS('LAC 102_Wkst'!$Q$7:$Q$2010,'LAC 102_Wkst'!$D$7:$D$2010,$C$7,'LAC 102_Wkst'!$I$7:$I$2010,$C$9,'LAC 102_Wkst'!$E$7:$E$2010,$C55,'LAC 102_Wkst'!$G$7:$G$2010,$D55,'LAC 102_Wkst'!$L$7:$L$2010,"07",'LAC 102_Wkst'!$N$7:$N$2010,"P1")+SUMIFS('LAC 102_Wkst'!$Q$7:$Q$2010,'LAC 102_Wkst'!$D$7:$D$2010,$C$7,'LAC 102_Wkst'!$I$7:$I$2010,$C$9,'LAC 102_Wkst'!$E$7:$E$2010,$C55,'LAC 102_Wkst'!$G$7:$G$2010,$D55,'LAC 102_Wkst'!$L$7:$L$2010,"07",'LAC 102_Wkst'!$N$7:$N$2010,"P2")+SUMIFS('LAC 102_Wkst'!$Q$7:$Q$2010,'LAC 102_Wkst'!$D$7:$D$2010,$C$7,'LAC 102_Wkst'!$I$7:$I$2010,$C$9,'LAC 102_Wkst'!$E$7:$E$2010,$C55,'LAC 102_Wkst'!$G$7:$G$2010,$D55,'LAC 102_Wkst'!$L$7:$L$2010,"07",'LAC 102_Wkst'!$N$7:$N$2010,"P3")</f>
        <v>0</v>
      </c>
      <c r="AA55" s="411">
        <f>SUMIFS('LAC 102_Wkst'!$AF$7:$AF$2010,'LAC 102_Wkst'!$D$7:$D$2010,$C$7,'LAC 102_Wkst'!$I$7:$I$2010,$C$9,'LAC 102_Wkst'!$E$7:$E$2010,$C55,'LAC 102_Wkst'!$G$7:$G$2010,$D55,'LAC 102_Wkst'!$L$7:$L$2010,"07",'LAC 102_Wkst'!$N$7:$N$2010,"P1")+SUMIFS('LAC 102_Wkst'!$AF$7:$AF$2010,'LAC 102_Wkst'!$D$7:$D$2010,$C$7,'LAC 102_Wkst'!$I$7:$I$2010,$C$9,'LAC 102_Wkst'!$E$7:$E$2010,$C55,'LAC 102_Wkst'!$G$7:$G$2010,$D55,'LAC 102_Wkst'!$L$7:$L$2010,"07",'LAC 102_Wkst'!$N$7:$N$2010,"P2")+SUMIFS('LAC 102_Wkst'!$AF$7:$AF$2010,'LAC 102_Wkst'!$D$7:$D$2010,$C$7,'LAC 102_Wkst'!$I$7:$I$2010,$C$9,'LAC 102_Wkst'!$E$7:$E$2010,$C55,'LAC 102_Wkst'!$G$7:$G$2010,$D55,'LAC 102_Wkst'!$L$7:$L$2010,"07",'LAC 102_Wkst'!$N$7:$N$2010,"P3")</f>
        <v>0</v>
      </c>
      <c r="AB55" s="410">
        <f>SUMIFS('LAC 102_Wkst'!$Q$7:$Q$2010,'LAC 102_Wkst'!$D$7:$D$2010,$C$7,'LAC 102_Wkst'!$I$7:$I$2010,$C$9,'LAC 102_Wkst'!$E$7:$E$2010,$C55,'LAC 102_Wkst'!$G$7:$G$2010,$D55,'LAC 102_Wkst'!$L$7:$L$2010,"07",'LAC 102_Wkst'!$N$7:$N$2010,"P4")</f>
        <v>0</v>
      </c>
      <c r="AC55" s="411">
        <f>SUMIFS('LAC 102_Wkst'!$AF$7:$AF$2010,'LAC 102_Wkst'!$D$7:$D$2010,$C$7,'LAC 102_Wkst'!$I$7:$I$2010,$C$9,'LAC 102_Wkst'!$E$7:$E$2010,$C55,'LAC 102_Wkst'!$G$7:$G$2010,$D55,'LAC 102_Wkst'!$L$7:$L$2010,"07",'LAC 102_Wkst'!$N$7:$N$2010,"P4")</f>
        <v>0</v>
      </c>
      <c r="AD55" s="410">
        <f>SUMIFS('LAC 102_Wkst'!$Q$7:$Q$2010,'LAC 102_Wkst'!$D$7:$D$2010,$C$7,'LAC 102_Wkst'!$I$7:$I$2010,$C$9,'LAC 102_Wkst'!$E$7:$E$2010,$C55,'LAC 102_Wkst'!$G$7:$G$2010,$D55,'LAC 102_Wkst'!$L$7:$L$2010,"07",'LAC 102_Wkst'!$N$7:$N$2010,"P5")</f>
        <v>0</v>
      </c>
      <c r="AE55" s="411">
        <f>SUMIFS('LAC 102_Wkst'!$AF$7:$AF$2010,'LAC 102_Wkst'!$D$7:$D$2010,$C$7,'LAC 102_Wkst'!$I$7:$I$2010,$C$9,'LAC 102_Wkst'!$E$7:$E$2010,$C55,'LAC 102_Wkst'!$G$7:$G$2010,$D55,'LAC 102_Wkst'!$L$7:$L$2010,"07",'LAC 102_Wkst'!$N$7:$N$2010,"P5")</f>
        <v>0</v>
      </c>
      <c r="AF55" s="410">
        <f>SUMIFS('LAC 102_Wkst'!$Q$7:$Q$2010,'LAC 102_Wkst'!$D$7:$D$2010,$C$7,'LAC 102_Wkst'!$I$7:$I$2010,$C$9,'LAC 102_Wkst'!$E$7:$E$2010,$C55,'LAC 102_Wkst'!$G$7:$G$2010,$D55,'LAC 102_Wkst'!$L$7:$L$2010,"08",'LAC 102_Wkst'!$N$7:$N$2010,"P1")+SUMIFS('LAC 102_Wkst'!$Q$7:$Q$2010,'LAC 102_Wkst'!$D$7:$D$2010,$C$7,'LAC 102_Wkst'!$I$7:$I$2010,$C$9,'LAC 102_Wkst'!$E$7:$E$2010,$C55,'LAC 102_Wkst'!$G$7:$G$2010,$D55,'LAC 102_Wkst'!$L$7:$L$2010,"08",'LAC 102_Wkst'!$N$7:$N$2010,"P2")+SUMIFS('LAC 102_Wkst'!$Q$7:$Q$2010,'LAC 102_Wkst'!$D$7:$D$2010,$C$7,'LAC 102_Wkst'!$I$7:$I$2010,$C$9,'LAC 102_Wkst'!$E$7:$E$2010,$C55,'LAC 102_Wkst'!$G$7:$G$2010,$D55,'LAC 102_Wkst'!$L$7:$L$2010,"08",'LAC 102_Wkst'!$N$7:$N$2010,"P3")</f>
        <v>0</v>
      </c>
      <c r="AG55" s="411">
        <f>SUMIFS('LAC 102_Wkst'!$AF$7:$AF$2010,'LAC 102_Wkst'!$D$7:$D$2010,$C$7,'LAC 102_Wkst'!$I$7:$I$2010,$C$9,'LAC 102_Wkst'!$E$7:$E$2010,$C55,'LAC 102_Wkst'!$G$7:$G$2010,$D55,'LAC 102_Wkst'!$L$7:$L$2010,"08",'LAC 102_Wkst'!$N$7:$N$2010,"P1")+SUMIFS('LAC 102_Wkst'!$AF$7:$AF$2010,'LAC 102_Wkst'!$D$7:$D$2010,$C$7,'LAC 102_Wkst'!$I$7:$I$2010,$C$9,'LAC 102_Wkst'!$E$7:$E$2010,$C55,'LAC 102_Wkst'!$G$7:$G$2010,$D55,'LAC 102_Wkst'!$L$7:$L$2010,"08",'LAC 102_Wkst'!$N$7:$N$2010,"P2")+SUMIFS('LAC 102_Wkst'!$AF$7:$AF$2010,'LAC 102_Wkst'!$D$7:$D$2010,$C$7,'LAC 102_Wkst'!$I$7:$I$2010,$C$9,'LAC 102_Wkst'!$E$7:$E$2010,$C55,'LAC 102_Wkst'!$G$7:$G$2010,$D55,'LAC 102_Wkst'!$L$7:$L$2010,"08",'LAC 102_Wkst'!$N$7:$N$2010,"P3")</f>
        <v>0</v>
      </c>
      <c r="AH55" s="410">
        <f>SUMIFS('LAC 102_Wkst'!$Q$7:$Q$2010,'LAC 102_Wkst'!$D$7:$D$2010,$C$7,'LAC 102_Wkst'!$I$7:$I$2010,$C$9,'LAC 102_Wkst'!$E$7:$E$2010,$C55,'LAC 102_Wkst'!$G$7:$G$2010,$D55,'LAC 102_Wkst'!$L$7:$L$2010,"08",'LAC 102_Wkst'!$N$7:$N$2010,"P4")</f>
        <v>0</v>
      </c>
      <c r="AI55" s="411">
        <f>SUMIFS('LAC 102_Wkst'!$AF$7:$AF$2010,'LAC 102_Wkst'!$D$7:$D$2010,$C$7,'LAC 102_Wkst'!$I$7:$I$2010,$C$9,'LAC 102_Wkst'!$E$7:$E$2010,$C55,'LAC 102_Wkst'!$G$7:$G$2010,$D55,'LAC 102_Wkst'!$L$7:$L$2010,"08",'LAC 102_Wkst'!$N$7:$N$2010,"P4")</f>
        <v>0</v>
      </c>
      <c r="AJ55" s="410">
        <f>SUMIFS('LAC 102_Wkst'!$Q$7:$Q$2010,'LAC 102_Wkst'!$D$7:$D$2010,$C$7,'LAC 102_Wkst'!$I$7:$I$2010,$C$9,'LAC 102_Wkst'!$E$7:$E$2010,$C55,'LAC 102_Wkst'!$G$7:$G$2010,$D55,'LAC 102_Wkst'!$L$7:$L$2010,"08",'LAC 102_Wkst'!$N$7:$N$2010,"P5")</f>
        <v>0</v>
      </c>
      <c r="AK55" s="411">
        <f>SUMIFS('LAC 102_Wkst'!$AF$7:$AF$2010,'LAC 102_Wkst'!$D$7:$D$2010,$C$7,'LAC 102_Wkst'!$I$7:$I$2010,$C$9,'LAC 102_Wkst'!$E$7:$E$2010,$C55,'LAC 102_Wkst'!$G$7:$G$2010,$D55,'LAC 102_Wkst'!$L$7:$L$2010,"08",'LAC 102_Wkst'!$N$7:$N$2010,"P5")</f>
        <v>0</v>
      </c>
      <c r="AL55" s="410">
        <f>SUMIFS('LAC 102_Wkst'!$Q$7:$Q$2010,'LAC 102_Wkst'!$D$7:$D$2010,$C$7,'LAC 102_Wkst'!$I$7:$I$2010,$C$9,'LAC 102_Wkst'!$E$7:$E$2010,$C55,'LAC 102_Wkst'!$G$7:$G$2010,$D55,'LAC 102_Wkst'!$L$7:$L$2010,"09",'LAC 102_Wkst'!$N$7:$N$2010,"P1")+SUMIFS('LAC 102_Wkst'!$Q$7:$Q$2010,'LAC 102_Wkst'!$D$7:$D$2010,$C$7,'LAC 102_Wkst'!$I$7:$I$2010,$C$9,'LAC 102_Wkst'!$E$7:$E$2010,$C55,'LAC 102_Wkst'!$G$7:$G$2010,$D55,'LAC 102_Wkst'!$L$7:$L$2010,"09",'LAC 102_Wkst'!$N$7:$N$2010,"P2")+SUMIFS('LAC 102_Wkst'!$Q$7:$Q$2010,'LAC 102_Wkst'!$D$7:$D$2010,$C$7,'LAC 102_Wkst'!$I$7:$I$2010,$C$9,'LAC 102_Wkst'!$E$7:$E$2010,$C55,'LAC 102_Wkst'!$G$7:$G$2010,$D55,'LAC 102_Wkst'!$L$7:$L$2010,"09",'LAC 102_Wkst'!$N$7:$N$2010,"P3")+SUMIFS('LAC 102_Wkst'!$Q$7:$Q$2010,'LAC 102_Wkst'!$D$7:$D$2010,$C$7,'LAC 102_Wkst'!$I$7:$I$2010,$C$9,'LAC 102_Wkst'!$E$7:$E$2010,$C55,'LAC 102_Wkst'!$G$7:$G$2010,$D55,'LAC 102_Wkst'!$L$7:$L$2010,"09",'LAC 102_Wkst'!$N$7:$N$2010,"P4")</f>
        <v>0</v>
      </c>
      <c r="AM55" s="411">
        <f>SUMIFS('LAC 102_Wkst'!$AF$7:$AF$2010,'LAC 102_Wkst'!$D$7:$D$2010,$C$7,'LAC 102_Wkst'!$I$7:$I$2010,$C$9,'LAC 102_Wkst'!$E$7:$E$2010,$C55,'LAC 102_Wkst'!$G$7:$G$2010,$D55,'LAC 102_Wkst'!$L$7:$L$2010,"09",'LAC 102_Wkst'!$N$7:$N$2010,"P1")+SUMIFS('LAC 102_Wkst'!$AF$7:$AF$2010,'LAC 102_Wkst'!$D$7:$D$2010,$C$7,'LAC 102_Wkst'!$I$7:$I$2010,$C$9,'LAC 102_Wkst'!$E$7:$E$2010,$C55,'LAC 102_Wkst'!$G$7:$G$2010,$D55,'LAC 102_Wkst'!$L$7:$L$2010,"09",'LAC 102_Wkst'!$N$7:$N$2010,"P2")+SUMIFS('LAC 102_Wkst'!$AF$7:$AF$2010,'LAC 102_Wkst'!$D$7:$D$2010,$C$7,'LAC 102_Wkst'!$I$7:$I$2010,$C$9,'LAC 102_Wkst'!$E$7:$E$2010,$C55,'LAC 102_Wkst'!$G$7:$G$2010,$D55,'LAC 102_Wkst'!$L$7:$L$2010,"09",'LAC 102_Wkst'!$N$7:$N$2010,"P3")+SUMIFS('LAC 102_Wkst'!$AF$7:$AF$2010,'LAC 102_Wkst'!$D$7:$D$2010,$C$7,'LAC 102_Wkst'!$I$7:$I$2010,$C$9,'LAC 102_Wkst'!$E$7:$E$2010,$C55,'LAC 102_Wkst'!$G$7:$G$2010,$D55,'LAC 102_Wkst'!$L$7:$L$2010,"09",'LAC 102_Wkst'!$N$7:$N$2010,"P4")</f>
        <v>0</v>
      </c>
      <c r="AN55" s="410">
        <f>SUMIFS('LAC 102_Wkst'!$Q$7:$Q$2010,'LAC 102_Wkst'!$D$7:$D$2010,$C$7,'LAC 102_Wkst'!$I$7:$I$2010,$C$9,'LAC 102_Wkst'!$E$7:$E$2010,$C55,'LAC 102_Wkst'!$G$7:$G$2010,$D55,'LAC 102_Wkst'!$L$7:$L$2010,"09",'LAC 102_Wkst'!$N$7:$N$2010,"P5")</f>
        <v>0</v>
      </c>
      <c r="AO55" s="411">
        <f>SUMIFS('LAC 102_Wkst'!$AF$7:$AF$2010,'LAC 102_Wkst'!$D$7:$D$2010,$C$7,'LAC 102_Wkst'!$I$7:$I$2010,$C$9,'LAC 102_Wkst'!$E$7:$E$2010,$C55,'LAC 102_Wkst'!$G$7:$G$2010,$D55,'LAC 102_Wkst'!$L$7:$L$2010,"09",'LAC 102_Wkst'!$N$7:$N$2010,"P5")</f>
        <v>0</v>
      </c>
      <c r="AP55" s="410">
        <f>SUMIFS('LAC 102_Wkst'!$Q$7:$Q$2010,'LAC 102_Wkst'!$D$7:$D$2010,$C$7,'LAC 102_Wkst'!$I$7:$I$2010,$C$9,'LAC 102_Wkst'!$E$7:$E$2010,$C55,'LAC 102_Wkst'!$G$7:$G$2010,$D55,'LAC 102_Wkst'!$L$7:$L$2010,"10",'LAC 102_Wkst'!$N$7:$N$2010,"P1")+SUMIFS('LAC 102_Wkst'!$Q$7:$Q$2010,'LAC 102_Wkst'!$D$7:$D$2010,$C$7,'LAC 102_Wkst'!$I$7:$I$2010,$C$9,'LAC 102_Wkst'!$E$7:$E$2010,$C55,'LAC 102_Wkst'!$G$7:$G$2010,$D55,'LAC 102_Wkst'!$L$7:$L$2010,"10",'LAC 102_Wkst'!$N$7:$N$2010,"P2")+SUMIFS('LAC 102_Wkst'!$Q$7:$Q$2010,'LAC 102_Wkst'!$D$7:$D$2010,$C$7,'LAC 102_Wkst'!$I$7:$I$2010,$C$9,'LAC 102_Wkst'!$E$7:$E$2010,$C55,'LAC 102_Wkst'!$G$7:$G$2010,$D55,'LAC 102_Wkst'!$L$7:$L$2010,"10",'LAC 102_Wkst'!$N$7:$N$2010,"P3")+SUMIFS('LAC 102_Wkst'!$Q$7:$Q$2010,'LAC 102_Wkst'!$D$7:$D$2010,$C$7,'LAC 102_Wkst'!$I$7:$I$2010,$C$9,'LAC 102_Wkst'!$E$7:$E$2010,$C55,'LAC 102_Wkst'!$G$7:$G$2010,$D55,'LAC 102_Wkst'!$L$7:$L$2010,"10",'LAC 102_Wkst'!$N$7:$N$2010,"P4")</f>
        <v>0</v>
      </c>
      <c r="AQ55" s="411">
        <f>SUMIFS('LAC 102_Wkst'!$AF$7:$AF$2010,'LAC 102_Wkst'!$D$7:$D$2010,$C$7,'LAC 102_Wkst'!$I$7:$I$2010,$C$9,'LAC 102_Wkst'!$E$7:$E$2010,$C55,'LAC 102_Wkst'!$G$7:$G$2010,$D55,'LAC 102_Wkst'!$L$7:$L$2010,"10",'LAC 102_Wkst'!$N$7:$N$2010,"P1")+SUMIFS('LAC 102_Wkst'!$AF$7:$AF$2010,'LAC 102_Wkst'!$D$7:$D$2010,$C$7,'LAC 102_Wkst'!$I$7:$I$2010,$C$9,'LAC 102_Wkst'!$E$7:$E$2010,$C55,'LAC 102_Wkst'!$G$7:$G$2010,$D55,'LAC 102_Wkst'!$L$7:$L$2010,"10",'LAC 102_Wkst'!$N$7:$N$2010,"P2")+SUMIFS('LAC 102_Wkst'!$AF$7:$AF$2010,'LAC 102_Wkst'!$D$7:$D$2010,$C$7,'LAC 102_Wkst'!$I$7:$I$2010,$C$9,'LAC 102_Wkst'!$E$7:$E$2010,$C55,'LAC 102_Wkst'!$G$7:$G$2010,$D55,'LAC 102_Wkst'!$L$7:$L$2010,"10",'LAC 102_Wkst'!$N$7:$N$2010,"P3")+SUMIFS('LAC 102_Wkst'!$AF$7:$AF$2010,'LAC 102_Wkst'!$D$7:$D$2010,$C$7,'LAC 102_Wkst'!$I$7:$I$2010,$C$9,'LAC 102_Wkst'!$E$7:$E$2010,$C55,'LAC 102_Wkst'!$G$7:$G$2010,$D55,'LAC 102_Wkst'!$L$7:$L$2010,"10",'LAC 102_Wkst'!$N$7:$N$2010,"P4")</f>
        <v>0</v>
      </c>
      <c r="AR55" s="410">
        <f>SUMIFS('LAC 102_Wkst'!$Q$7:$Q$2010,'LAC 102_Wkst'!$D$7:$D$2010,$C$7,'LAC 102_Wkst'!$I$7:$I$2010,$C$9,'LAC 102_Wkst'!$E$7:$E$2010,$C55,'LAC 102_Wkst'!$G$7:$G$2010,$D55,'LAC 102_Wkst'!$L$7:$L$2010,"10",'LAC 102_Wkst'!$N$7:$N$2010,"P5")</f>
        <v>0</v>
      </c>
      <c r="AS55" s="411">
        <f>SUMIFS('LAC 102_Wkst'!$AF$7:$AF$2010,'LAC 102_Wkst'!$D$7:$D$2010,$C$7,'LAC 102_Wkst'!$I$7:$I$2010,$C$9,'LAC 102_Wkst'!$E$7:$E$2010,$C55,'LAC 102_Wkst'!$G$7:$G$2010,$D55,'LAC 102_Wkst'!$L$7:$L$2010,"10",'LAC 102_Wkst'!$N$7:$N$2010,"P5")</f>
        <v>0</v>
      </c>
      <c r="AT55" s="410">
        <f>SUMIFS('LAC 102_Wkst'!$Q$7:$Q$2010,'LAC 102_Wkst'!$D$7:$D$2010,$C$7,'LAC 102_Wkst'!$I$7:$I$2010,$C$9,'LAC 102_Wkst'!$E$7:$E$2010,$C55,'LAC 102_Wkst'!$G$7:$G$2010,$D55,'LAC 102_Wkst'!$L$7:$L$2010,"11",'LAC 102_Wkst'!$N$7:$N$2010,"P1")+SUMIFS('LAC 102_Wkst'!$Q$7:$Q$2010,'LAC 102_Wkst'!$D$7:$D$2010,$C$7,'LAC 102_Wkst'!$I$7:$I$2010,$C$9,'LAC 102_Wkst'!$E$7:$E$2010,$C55,'LAC 102_Wkst'!$G$7:$G$2010,$D55,'LAC 102_Wkst'!$L$7:$L$2010,"12",'LAC 102_Wkst'!$N$7:$N$2010,"P1")</f>
        <v>0</v>
      </c>
      <c r="AU55" s="411">
        <f>SUMIFS('LAC 102_Wkst'!$Q$7:$Q$2010,'LAC 102_Wkst'!$D$7:$D$2010,$C$7,'LAC 102_Wkst'!$I$7:$I$2010,$C$9,'LAC 102_Wkst'!$E$7:$E$2010,$C55,'LAC 102_Wkst'!$G$7:$G$2010,$D55,'LAC 102_Wkst'!$L$7:$L$2010,"13",'LAC 102_Wkst'!$N$7:$N$2010,"P5")</f>
        <v>0</v>
      </c>
      <c r="AV55" s="410">
        <f>SUMIFS('LAC 102_Wkst'!$Q$7:$Q$2010,'LAC 102_Wkst'!$D$7:$D$2010,$C$7,'LAC 102_Wkst'!$I$7:$I$2010,$C$9,'LAC 102_Wkst'!$E$7:$E$2010,$C55,'LAC 102_Wkst'!$G$7:$G$2010,$D55,'LAC 102_Wkst'!$L$7:$L$2010,"11",'LAC 102_Wkst'!$N$7:$N$2010,"P2")+SUMIFS('LAC 102_Wkst'!$Q$7:$Q$2010,'LAC 102_Wkst'!$D$7:$D$2010,$C$7,'LAC 102_Wkst'!$I$7:$I$2010,$C$9,'LAC 102_Wkst'!$E$7:$E$2010,$C55,'LAC 102_Wkst'!$G$7:$G$2010,$D55,'LAC 102_Wkst'!$L$7:$L$2010,"12",'LAC 102_Wkst'!$N$7:$N$2010,"P2")+SUMIFS('LAC 102_Wkst'!$Q$7:$Q$2010,'LAC 102_Wkst'!$D$7:$D$2010,$C$7,'LAC 102_Wkst'!$I$7:$I$2010,$C$9,'LAC 102_Wkst'!$E$7:$E$2010,$C55,'LAC 102_Wkst'!$G$7:$G$2010,$D55,'LAC 102_Wkst'!$L$7:$L$2010,"11",'LAC 102_Wkst'!$N$7:$N$2010,"P3")+SUMIFS('LAC 102_Wkst'!$Q$7:$Q$2010,'LAC 102_Wkst'!$D$7:$D$2010,$C$7,'LAC 102_Wkst'!$I$7:$I$2010,$C$9,'LAC 102_Wkst'!$E$7:$E$2010,$C55,'LAC 102_Wkst'!$G$7:$G$2010,$D55,'LAC 102_Wkst'!$L$7:$L$2010,"12",'LAC 102_Wkst'!$N$7:$N$2010,"P3")</f>
        <v>0</v>
      </c>
      <c r="AW55" s="411">
        <f>SUMIFS('LAC 102_Wkst'!$AF$7:$AF$2010,'LAC 102_Wkst'!$D$7:$D$2010,$C$7,'LAC 102_Wkst'!$I$7:$I$2010,$C$9,'LAC 102_Wkst'!$E$7:$E$2010,$C55,'LAC 102_Wkst'!$G$7:$G$2010,$D55,'LAC 102_Wkst'!$L$7:$L$2010,"11",'LAC 102_Wkst'!$N$7:$N$2010,"P2")+SUMIFS('LAC 102_Wkst'!$AF$7:$AF$2010,'LAC 102_Wkst'!$D$7:$D$2010,$C$7,'LAC 102_Wkst'!$I$7:$I$2010,$C$9,'LAC 102_Wkst'!$E$7:$E$2010,$C55,'LAC 102_Wkst'!$G$7:$G$2010,$D55,'LAC 102_Wkst'!$L$7:$L$2010,"12",'LAC 102_Wkst'!$N$7:$N$2010,"P2")+SUMIFS('LAC 102_Wkst'!$AF$7:$AF$2010,'LAC 102_Wkst'!$D$7:$D$2010,$C$7,'LAC 102_Wkst'!$I$7:$I$2010,$C$9,'LAC 102_Wkst'!$E$7:$E$2010,$C55,'LAC 102_Wkst'!$G$7:$G$2010,$D55,'LAC 102_Wkst'!$L$7:$L$2010,"11",'LAC 102_Wkst'!$N$7:$N$2010,"P3")+SUMIFS('LAC 102_Wkst'!$AF$7:$AF$2010,'LAC 102_Wkst'!$D$7:$D$2010,$C$7,'LAC 102_Wkst'!$I$7:$I$2010,$C$9,'LAC 102_Wkst'!$E$7:$E$2010,$C55,'LAC 102_Wkst'!$G$7:$G$2010,$D55,'LAC 102_Wkst'!$L$7:$L$2010,"12",'LAC 102_Wkst'!$N$7:$N$2010,"P3")</f>
        <v>0</v>
      </c>
      <c r="AX55" s="410">
        <f>SUMIFS('LAC 102_Wkst'!$Q$7:$Q$2010,'LAC 102_Wkst'!$D$7:$D$2010,$C$7,'LAC 102_Wkst'!$I$7:$I$2010,$C$9,'LAC 102_Wkst'!$E$7:$E$2010,$C55,'LAC 102_Wkst'!$G$7:$G$2010,$D55,'LAC 102_Wkst'!$L$7:$L$2010,"11",'LAC 102_Wkst'!$N$7:$N$2010,"P4")+SUMIFS('LAC 102_Wkst'!$Q$7:$Q$2010,'LAC 102_Wkst'!$D$7:$D$2010,$C$7,'LAC 102_Wkst'!$I$7:$I$2010,$C$9,'LAC 102_Wkst'!$E$7:$E$2010,$C55,'LAC 102_Wkst'!$G$7:$G$2010,$D55,'LAC 102_Wkst'!$L$7:$L$2010,"12",'LAC 102_Wkst'!$N$7:$N$2010,"P4")</f>
        <v>0</v>
      </c>
      <c r="AY55" s="411">
        <f>SUMIFS('LAC 102_Wkst'!$AF$7:$AF$2010,'LAC 102_Wkst'!$D$7:$D$2010,$C$7,'LAC 102_Wkst'!$I$7:$I$2010,$C$9,'LAC 102_Wkst'!$E$7:$E$2010,$C55,'LAC 102_Wkst'!$G$7:$G$2010,$D55,'LAC 102_Wkst'!$L$7:$L$2010,"11",'LAC 102_Wkst'!$N$7:$N$2010,"P4")+SUMIFS('LAC 102_Wkst'!$AF$7:$AF$2010,'LAC 102_Wkst'!$D$7:$D$2010,$C$7,'LAC 102_Wkst'!$I$7:$I$2010,$C$9,'LAC 102_Wkst'!$E$7:$E$2010,$C55,'LAC 102_Wkst'!$G$7:$G$2010,$D55,'LAC 102_Wkst'!$L$7:$L$2010,"12",'LAC 102_Wkst'!$N$7:$N$2010,"P4")</f>
        <v>0</v>
      </c>
      <c r="AZ55" s="410">
        <f>SUMIFS('LAC 102_Wkst'!$Q$7:$Q$2010,'LAC 102_Wkst'!$D$7:$D$2010,$C$7,'LAC 102_Wkst'!$I$7:$I$2010,$C$9,'LAC 102_Wkst'!$E$7:$E$2010,$C55,'LAC 102_Wkst'!$G$7:$G$2010,$D55,'LAC 102_Wkst'!$L$7:$L$2010,"11",'LAC 102_Wkst'!$N$7:$N$2010,"P5")+SUMIFS('LAC 102_Wkst'!$Q$7:$Q$2010,'LAC 102_Wkst'!$D$7:$D$2010,$C$7,'LAC 102_Wkst'!$I$7:$I$2010,$C$9,'LAC 102_Wkst'!$E$7:$E$2010,$C55,'LAC 102_Wkst'!$G$7:$G$2010,$D55,'LAC 102_Wkst'!$L$7:$L$2010,"12",'LAC 102_Wkst'!$N$7:$N$2010,"P5")</f>
        <v>0</v>
      </c>
      <c r="BA55" s="411">
        <f>SUMIFS('LAC 102_Wkst'!$AF$7:$AF$2010,'LAC 102_Wkst'!$D$7:$D$2010,$C$7,'LAC 102_Wkst'!$I$7:$I$2010,$C$9,'LAC 102_Wkst'!$E$7:$E$2010,$C55,'LAC 102_Wkst'!$G$7:$G$2010,$D55,'LAC 102_Wkst'!$L$7:$L$2010,"11",'LAC 102_Wkst'!$N$7:$N$2010,"P5")+SUMIFS('LAC 102_Wkst'!$AF$7:$AF$2010,'LAC 102_Wkst'!$D$7:$D$2010,$C$7,'LAC 102_Wkst'!$I$7:$I$2010,$C$9,'LAC 102_Wkst'!$E$7:$E$2010,$C55,'LAC 102_Wkst'!$G$7:$G$2010,$D55,'LAC 102_Wkst'!$L$7:$L$2010,"12",'LAC 102_Wkst'!$N$7:$N$2010,"P5")</f>
        <v>0</v>
      </c>
      <c r="BB55" s="410">
        <f>SUMIFS('LAC 102_Wkst'!$Q$7:$Q$2010,'LAC 102_Wkst'!$D$7:$D$2010,$C$7,'LAC 102_Wkst'!$I$7:$I$2010,$C$9,'LAC 102_Wkst'!$E$7:$E$2010,$C55,'LAC 102_Wkst'!$G$7:$G$2010,$D55,'LAC 102_Wkst'!$L$7:$L$2010,"13",'LAC 102_Wkst'!$N$7:$N$2010,"P1")+SUMIFS('LAC 102_Wkst'!$Q$7:$Q$2010,'LAC 102_Wkst'!$D$7:$D$2010,$C$7,'LAC 102_Wkst'!$I$7:$I$2010,$C$9,'LAC 102_Wkst'!$E$7:$E$2010,$C55,'LAC 102_Wkst'!$G$7:$G$2010,$D55,'LAC 102_Wkst'!$L$7:$L$2010,"13",'LAC 102_Wkst'!$N$7:$N$2010,"P2")+SUMIFS('LAC 102_Wkst'!$Q$7:$Q$2010,'LAC 102_Wkst'!$D$7:$D$2010,$C$7,'LAC 102_Wkst'!$I$7:$I$2010,$C$9,'LAC 102_Wkst'!$E$7:$E$2010,$C55,'LAC 102_Wkst'!$G$7:$G$2010,$D55,'LAC 102_Wkst'!$L$7:$L$2010,"13",'LAC 102_Wkst'!$N$7:$N$2010,"P3")+SUMIFS('LAC 102_Wkst'!$Q$7:$Q$2010,'LAC 102_Wkst'!$D$7:$D$2010,$C$7,'LAC 102_Wkst'!$I$7:$I$2010,$C$9,'LAC 102_Wkst'!$E$7:$E$2010,$C55,'LAC 102_Wkst'!$G$7:$G$2010,$D55,'LAC 102_Wkst'!$L$7:$L$2010,"13",'LAC 102_Wkst'!$N$7:$N$2010,"P4")</f>
        <v>0</v>
      </c>
      <c r="BC55" s="411">
        <f>SUMIFS('LAC 102_Wkst'!$AF$7:$AF$2010,'LAC 102_Wkst'!$D$7:$D$2010,$C$7,'LAC 102_Wkst'!$I$7:$I$2010,$C$9,'LAC 102_Wkst'!$E$7:$E$2010,$C55,'LAC 102_Wkst'!$G$7:$G$2010,$D55,'LAC 102_Wkst'!$L$7:$L$2010,"13",'LAC 102_Wkst'!$N$7:$N$2010,"P1")+SUMIFS('LAC 102_Wkst'!$AF$7:$AF$2010,'LAC 102_Wkst'!$D$7:$D$2010,$C$7,'LAC 102_Wkst'!$I$7:$I$2010,$C$9,'LAC 102_Wkst'!$E$7:$E$2010,$C55,'LAC 102_Wkst'!$G$7:$G$2010,$D55,'LAC 102_Wkst'!$L$7:$L$2010,"13",'LAC 102_Wkst'!$N$7:$N$2010,"P2")+SUMIFS('LAC 102_Wkst'!$AF$7:$AF$2010,'LAC 102_Wkst'!$D$7:$D$2010,$C$7,'LAC 102_Wkst'!$I$7:$I$2010,$C$9,'LAC 102_Wkst'!$E$7:$E$2010,$C55,'LAC 102_Wkst'!$G$7:$G$2010,$D55,'LAC 102_Wkst'!$L$7:$L$2010,"13",'LAC 102_Wkst'!$N$7:$N$2010,"P3")+SUMIFS('LAC 102_Wkst'!$AF$7:$AF$2010,'LAC 102_Wkst'!$D$7:$D$2010,$C$7,'LAC 102_Wkst'!$I$7:$I$2010,$C$9,'LAC 102_Wkst'!$E$7:$E$2010,$C55,'LAC 102_Wkst'!$G$7:$G$2010,$D55,'LAC 102_Wkst'!$L$7:$L$2010,"13",'LAC 102_Wkst'!$N$7:$N$2010,"P4")</f>
        <v>0</v>
      </c>
      <c r="BD55" s="410">
        <f>SUMIFS('LAC 102_Wkst'!$Q$7:$Q$2010,'LAC 102_Wkst'!$D$7:$D$2010,$C$7,'LAC 102_Wkst'!$I$7:$I$2010,$C$9,'LAC 102_Wkst'!$E$7:$E$2010,$C55,'LAC 102_Wkst'!$G$7:$G$2010,$D55,'LAC 102_Wkst'!$L$7:$L$2010,"13",'LAC 102_Wkst'!$N$7:$N$2010,"P5")</f>
        <v>0</v>
      </c>
      <c r="BE55" s="411">
        <f>SUMIFS('LAC 102_Wkst'!$AF$7:$AF$2010,'LAC 102_Wkst'!$D$7:$D$2010,$C$7,'LAC 102_Wkst'!$I$7:$I$2010,$C$9,'LAC 102_Wkst'!$E$7:$E$2010,$C55,'LAC 102_Wkst'!$G$7:$G$2010,$D55,'LAC 102_Wkst'!$L$7:$L$2010,"13",'LAC 102_Wkst'!$N$7:$N$2010,"P5")</f>
        <v>0</v>
      </c>
      <c r="BF55" s="407">
        <f t="shared" si="4"/>
        <v>0</v>
      </c>
      <c r="BG55" s="1654">
        <f>SUMIFS('LAC 102_Wkst'!$AF$7:$AF$2010,'LAC 102_Wkst'!$D$7:$D$2010,$C$7,'LAC 102_Wkst'!$I$7:$I$2010,$C$9,'LAC 102_Wkst'!$E$7:$E$2010,$C55,'LAC 102_Wkst'!$G$7:$G$2010,$D55,'LAC 102_Wkst'!$L$7:$L$2010,"14")</f>
        <v>0</v>
      </c>
    </row>
    <row r="56" spans="1:59" x14ac:dyDescent="0.2">
      <c r="A56" s="401">
        <v>34</v>
      </c>
      <c r="B56" s="1678" t="str">
        <f>IF(Schedule_B!B$53="","",Schedule_B!B$53)</f>
        <v/>
      </c>
      <c r="C56" s="1674" t="str">
        <f>IF(Schedule_B!C$53=""," ",Schedule_B!C$53)</f>
        <v xml:space="preserve"> </v>
      </c>
      <c r="D56" s="1675" t="str">
        <f>IF(Schedule_B!D$53=""," ",Schedule_B!D$53)</f>
        <v xml:space="preserve"> </v>
      </c>
      <c r="E56" s="1221">
        <f>SUMIFS('LAC 102_Wkst'!$Q$7:$Q$2010,'LAC 102_Wkst'!$D$7:$D$2010,$C$7,'LAC 102_Wkst'!$I$7:$I$2010,$C$9,'LAC 102_Wkst'!$E$7:$E$2010,$C56,'LAC 102_Wkst'!$G$7:$G$2010,$D56)</f>
        <v>0</v>
      </c>
      <c r="F56" s="408">
        <f>SUMIFS('LAC 102_Wkst'!$Q$7:$Q$2010,'LAC 102_Wkst'!$D$7:$D$2010,$C$7,'LAC 102_Wkst'!$I$7:$I$2010,$C$9,'LAC 102_Wkst'!$E$7:$E$2010,$C56,'LAC 102_Wkst'!$G$7:$G$2010,$D56,'LAC 102_Wkst'!$L$7:$L$2010,"01",'LAC 102_Wkst'!$N$7:$N$2010,"P1")+SUMIFS('LAC 102_Wkst'!$Q$7:$Q$2010,'LAC 102_Wkst'!$D$7:$D$2010,$C$7,'LAC 102_Wkst'!$I$7:$I$2010,$C$9,'LAC 102_Wkst'!$E$7:$E$2010,$C56,'LAC 102_Wkst'!$G$7:$G$2010,$D56,'LAC 102_Wkst'!$L$7:$L$2010,"01",'LAC 102_Wkst'!$N$7:$N$2010,"P2")+SUMIFS('LAC 102_Wkst'!$Q$7:$Q$2010,'LAC 102_Wkst'!$D$7:$D$2010,$C$7,'LAC 102_Wkst'!$I$7:$I$2010,$C$9,'LAC 102_Wkst'!$E$7:$E$2010,$C56,'LAC 102_Wkst'!$G$7:$G$2010,$D56,'LAC 102_Wkst'!$L$7:$L$2010,"01",'LAC 102_Wkst'!$N$7:$N$2010,"P3")+SUMIFS('LAC 102_Wkst'!$Q$7:$Q$2010,'LAC 102_Wkst'!$D$7:$D$2010,$C$7,'LAC 102_Wkst'!$I$7:$I$2010,$C$9,'LAC 102_Wkst'!$E$7:$E$2010,$C56,'LAC 102_Wkst'!$G$7:$G$2010,$D56,'LAC 102_Wkst'!$L$7:$L$2010,"02",'LAC 102_Wkst'!$N$7:$N$2010,"P1")+SUMIFS('LAC 102_Wkst'!$Q$7:$Q$2010,'LAC 102_Wkst'!$D$7:$D$2010,$C$7,'LAC 102_Wkst'!$I$7:$I$2010,$C$9,'LAC 102_Wkst'!$E$7:$E$2010,$C56,'LAC 102_Wkst'!$G$7:$G$2010,$D56,'LAC 102_Wkst'!$L$7:$L$2010,"02",'LAC 102_Wkst'!$N$7:$N$2010,"P2")+SUMIFS('LAC 102_Wkst'!$Q$7:$Q$2010,'LAC 102_Wkst'!$D$7:$D$2010,$C$7,'LAC 102_Wkst'!$I$7:$I$2010,$C$9,'LAC 102_Wkst'!$E$7:$E$2010,$C56,'LAC 102_Wkst'!$G$7:$G$2010,$D56,'LAC 102_Wkst'!$L$7:$L$2010,"02",'LAC 102_Wkst'!$N$7:$N$2010,"P3")</f>
        <v>0</v>
      </c>
      <c r="G56" s="409">
        <f>SUMIFS('LAC 102_Wkst'!$AF$7:$AF$2010,'LAC 102_Wkst'!$D$7:$D$2010,$C$7,'LAC 102_Wkst'!$I$7:$I$2010,$C$9,'LAC 102_Wkst'!$E$7:$E$2010,$C56,'LAC 102_Wkst'!$G$7:$G$2010,$D56,'LAC 102_Wkst'!$L$7:$L$2010,"01",'LAC 102_Wkst'!$N$7:$N$2010,"P1")+SUMIFS('LAC 102_Wkst'!$AF$7:$AF$2010,'LAC 102_Wkst'!$D$7:$D$2010,$C$7,'LAC 102_Wkst'!$I$7:$I$2010,$C$9,'LAC 102_Wkst'!$E$7:$E$2010,$C56,'LAC 102_Wkst'!$G$7:$G$2010,$D56,'LAC 102_Wkst'!$L$7:$L$2010,"01",'LAC 102_Wkst'!$N$7:$N$2010,"P2")+SUMIFS('LAC 102_Wkst'!$AF$7:$AF$2010,'LAC 102_Wkst'!$D$7:$D$2010,$C$7,'LAC 102_Wkst'!$I$7:$I$2010,$C$9,'LAC 102_Wkst'!$E$7:$E$2010,$C56,'LAC 102_Wkst'!$G$7:$G$2010,$D56,'LAC 102_Wkst'!$L$7:$L$2010,"01",'LAC 102_Wkst'!$N$7:$N$2010,"P3")+SUMIFS('LAC 102_Wkst'!$AF$7:$AF$2010,'LAC 102_Wkst'!$D$7:$D$2010,$C$7,'LAC 102_Wkst'!$I$7:$I$2010,$C$9,'LAC 102_Wkst'!$E$7:$E$2010,$C56,'LAC 102_Wkst'!$G$7:$G$2010,$D56,'LAC 102_Wkst'!$L$7:$L$2010,"02",'LAC 102_Wkst'!$N$7:$N$2010,"P1")+SUMIFS('LAC 102_Wkst'!$AF$7:$AF$2010,'LAC 102_Wkst'!$D$7:$D$2010,$C$7,'LAC 102_Wkst'!$I$7:$I$2010,$C$9,'LAC 102_Wkst'!$E$7:$E$2010,$C56,'LAC 102_Wkst'!$G$7:$G$2010,$D56,'LAC 102_Wkst'!$L$7:$L$2010,"02",'LAC 102_Wkst'!$N$7:$N$2010,"P2")+SUMIFS('LAC 102_Wkst'!$AF$7:$AF$2010,'LAC 102_Wkst'!$D$7:$D$2010,$C$7,'LAC 102_Wkst'!$I$7:$I$2010,$C$9,'LAC 102_Wkst'!$E$7:$E$2010,$C56,'LAC 102_Wkst'!$G$7:$G$2010,$D56,'LAC 102_Wkst'!$L$7:$L$2010,"02",'LAC 102_Wkst'!$N$7:$N$2010,"P3")</f>
        <v>0</v>
      </c>
      <c r="H56" s="410">
        <f>SUMIFS('LAC 102_Wkst'!$Q$7:$Q$2010,'LAC 102_Wkst'!$D$7:$D$2010,$C$7,'LAC 102_Wkst'!$I$7:$I$2010,$C$9,'LAC 102_Wkst'!$E$7:$E$2010,$C56,'LAC 102_Wkst'!$G$7:$G$2010,$D56,'LAC 102_Wkst'!$L$7:$L$2010,"01",'LAC 102_Wkst'!$N$7:$N$2010,"P4")+SUMIFS('LAC 102_Wkst'!$Q$7:$Q$2010,'LAC 102_Wkst'!$D$7:$D$2010,$C$7,'LAC 102_Wkst'!$I$7:$I$2010,$C$9,'LAC 102_Wkst'!$E$7:$E$2010,$C56,'LAC 102_Wkst'!$G$7:$G$2010,$D56,'LAC 102_Wkst'!$L$7:$L$2010,"02",'LAC 102_Wkst'!$N$7:$N$2010,"P4")</f>
        <v>0</v>
      </c>
      <c r="I56" s="411">
        <f>SUMIFS('LAC 102_Wkst'!$AF$7:$AF$2010,'LAC 102_Wkst'!$D$7:$D$2010,$C$7,'LAC 102_Wkst'!$I$7:$I$2010,$C$9,'LAC 102_Wkst'!$E$7:$E$2010,$C56,'LAC 102_Wkst'!$G$7:$G$2010,$D56,'LAC 102_Wkst'!$L$7:$L$2010,"01",'LAC 102_Wkst'!$N$7:$N$2010,"P4")+SUMIFS('LAC 102_Wkst'!$AF$7:$AF$2010,'LAC 102_Wkst'!$D$7:$D$2010,$C$7,'LAC 102_Wkst'!$I$7:$I$2010,$C$9,'LAC 102_Wkst'!$E$7:$E$2010,$C56,'LAC 102_Wkst'!$G$7:$G$2010,$D56,'LAC 102_Wkst'!$L$7:$L$2010,"02",'LAC 102_Wkst'!$N$7:$N$2010,"P4")</f>
        <v>0</v>
      </c>
      <c r="J56" s="410">
        <f>SUMIFS('LAC 102_Wkst'!$Q$7:$Q$2010,'LAC 102_Wkst'!$D$7:$D$2010,$C$7,'LAC 102_Wkst'!$I$7:$I$2010,$C$9,'LAC 102_Wkst'!$E$7:$E$2010,$C56,'LAC 102_Wkst'!$G$7:$G$2010,$D56,'LAC 102_Wkst'!$L$7:$L$2010,"01",'LAC 102_Wkst'!$N$7:$N$2010,"P5")+SUMIFS('LAC 102_Wkst'!$Q$7:$Q$2010,'LAC 102_Wkst'!$D$7:$D$2010,$C$7,'LAC 102_Wkst'!$I$7:$I$2010,$C$9,'LAC 102_Wkst'!$E$7:$E$2010,$C56,'LAC 102_Wkst'!$G$7:$G$2010,$D56,'LAC 102_Wkst'!$L$7:$L$2010,"02",'LAC 102_Wkst'!$N$7:$N$2010,"P5")</f>
        <v>0</v>
      </c>
      <c r="K56" s="411">
        <f>SUMIFS('LAC 102_Wkst'!$AF$7:$AF$2010,'LAC 102_Wkst'!$D$7:$D$2010,$C$7,'LAC 102_Wkst'!$I$7:$I$2010,$C$9,'LAC 102_Wkst'!$E$7:$E$2010,$C56,'LAC 102_Wkst'!$G$7:$G$2010,$D56,'LAC 102_Wkst'!$L$7:$L$2010,"01",'LAC 102_Wkst'!$N$7:$N$2010,"P5")+SUMIFS('LAC 102_Wkst'!$AF$7:$AF$2010,'LAC 102_Wkst'!$D$7:$D$2010,$C$7,'LAC 102_Wkst'!$I$7:$I$2010,$C$9,'LAC 102_Wkst'!$E$7:$E$2010,$C56,'LAC 102_Wkst'!$G$7:$G$2010,$D56,'LAC 102_Wkst'!$L$7:$L$2010,"02",'LAC 102_Wkst'!$N$7:$N$2010,"P5")</f>
        <v>0</v>
      </c>
      <c r="L56" s="410">
        <f>SUMIFS('LAC 102_Wkst'!$Q$7:$Q$2010,'LAC 102_Wkst'!$D$7:$D$2010,$C$7,'LAC 102_Wkst'!$I$7:$I$2010,$C$9,'LAC 102_Wkst'!$E$7:$E$2010,$C56,'LAC 102_Wkst'!$G$7:$G$2010,$D56,'LAC 102_Wkst'!$L$7:$L$2010,"03",'LAC 102_Wkst'!$N$7:$N$2010,"P1")+SUMIFS('LAC 102_Wkst'!$Q$7:$Q$2010,'LAC 102_Wkst'!$D$7:$D$2010,$C$7,'LAC 102_Wkst'!$I$7:$I$2010,$C$9,'LAC 102_Wkst'!$E$7:$E$2010,$C56,'LAC 102_Wkst'!$G$7:$G$2010,$D56,'LAC 102_Wkst'!$L$7:$L$2010,"03",'LAC 102_Wkst'!$N$7:$N$2010,"P2")+SUMIFS('LAC 102_Wkst'!$Q$7:$Q$2010,'LAC 102_Wkst'!$D$7:$D$2010,$C$7,'LAC 102_Wkst'!$I$7:$I$2010,$C$9,'LAC 102_Wkst'!$E$7:$E$2010,$C56,'LAC 102_Wkst'!$G$7:$G$2010,$D56,'LAC 102_Wkst'!$L$7:$L$2010,"03",'LAC 102_Wkst'!$N$7:$N$2010,"P3")+SUMIFS('LAC 102_Wkst'!$Q$7:$Q$2010,'LAC 102_Wkst'!$D$7:$D$2010,$C$7,'LAC 102_Wkst'!$I$7:$I$2010,$C$9,'LAC 102_Wkst'!$E$7:$E$2010,$C56,'LAC 102_Wkst'!$G$7:$G$2010,$D56,'LAC 102_Wkst'!$L$7:$L$2010,"04",'LAC 102_Wkst'!$N$7:$N$2010,"P1")+SUMIFS('LAC 102_Wkst'!$Q$7:$Q$2010,'LAC 102_Wkst'!$D$7:$D$2010,$C$7,'LAC 102_Wkst'!$I$7:$I$2010,$C$9,'LAC 102_Wkst'!$E$7:$E$2010,$C56,'LAC 102_Wkst'!$G$7:$G$2010,$D56,'LAC 102_Wkst'!$L$7:$L$2010,"04",'LAC 102_Wkst'!$N$7:$N$2010,"P2")+SUMIFS('LAC 102_Wkst'!$Q$7:$Q$2010,'LAC 102_Wkst'!$D$7:$D$2010,$C$7,'LAC 102_Wkst'!$I$7:$I$2010,$C$9,'LAC 102_Wkst'!$E$7:$E$2010,$C56,'LAC 102_Wkst'!$G$7:$G$2010,$D56,'LAC 102_Wkst'!$L$7:$L$2010,"04",'LAC 102_Wkst'!$N$7:$N$2010,"P3")</f>
        <v>0</v>
      </c>
      <c r="M56" s="411">
        <f>SUMIFS('LAC 102_Wkst'!$AF$7:$AF$2010,'LAC 102_Wkst'!$D$7:$D$2010,$C$7,'LAC 102_Wkst'!$I$7:$I$2010,$C$9,'LAC 102_Wkst'!$E$7:$E$2010,$C56,'LAC 102_Wkst'!$G$7:$G$2010,$D56,'LAC 102_Wkst'!$L$7:$L$2010,"03",'LAC 102_Wkst'!$N$7:$N$2010,"P1")+SUMIFS('LAC 102_Wkst'!$AF$7:$AF$2010,'LAC 102_Wkst'!$D$7:$D$2010,$C$7,'LAC 102_Wkst'!$I$7:$I$2010,$C$9,'LAC 102_Wkst'!$E$7:$E$2010,$C56,'LAC 102_Wkst'!$G$7:$G$2010,$D56,'LAC 102_Wkst'!$L$7:$L$2010,"03",'LAC 102_Wkst'!$N$7:$N$2010,"P2")+SUMIFS('LAC 102_Wkst'!$AF$7:$AF$2010,'LAC 102_Wkst'!$D$7:$D$2010,$C$7,'LAC 102_Wkst'!$I$7:$I$2010,$C$9,'LAC 102_Wkst'!$E$7:$E$2010,$C56,'LAC 102_Wkst'!$G$7:$G$2010,$D56,'LAC 102_Wkst'!$L$7:$L$2010,"03",'LAC 102_Wkst'!$N$7:$N$2010,"P3")+SUMIFS('LAC 102_Wkst'!$AF$7:$AF$2010,'LAC 102_Wkst'!$D$7:$D$2010,$C$7,'LAC 102_Wkst'!$I$7:$I$2010,$C$9,'LAC 102_Wkst'!$E$7:$E$2010,$C56,'LAC 102_Wkst'!$G$7:$G$2010,$D56,'LAC 102_Wkst'!$L$7:$L$2010,"04",'LAC 102_Wkst'!$N$7:$N$2010,"P1")+SUMIFS('LAC 102_Wkst'!$AF$7:$AF$2010,'LAC 102_Wkst'!$D$7:$D$2010,$C$7,'LAC 102_Wkst'!$I$7:$I$2010,$C$9,'LAC 102_Wkst'!$E$7:$E$2010,$C56,'LAC 102_Wkst'!$G$7:$G$2010,$D56,'LAC 102_Wkst'!$L$7:$L$2010,"04",'LAC 102_Wkst'!$N$7:$N$2010,"P2")+SUMIFS('LAC 102_Wkst'!$AF$7:$AF$2010,'LAC 102_Wkst'!$D$7:$D$2010,$C$7,'LAC 102_Wkst'!$I$7:$I$2010,$C$9,'LAC 102_Wkst'!$E$7:$E$2010,$C56,'LAC 102_Wkst'!$G$7:$G$2010,$D56,'LAC 102_Wkst'!$L$7:$L$2010,"04",'LAC 102_Wkst'!$N$7:$N$2010,"P3")</f>
        <v>0</v>
      </c>
      <c r="N56" s="410">
        <f>SUMIFS('LAC 102_Wkst'!$Q$7:$Q$2010,'LAC 102_Wkst'!$D$7:$D$2010,$C$7,'LAC 102_Wkst'!$I$7:$I$2010,$C$9,'LAC 102_Wkst'!$E$7:$E$2010,$C56,'LAC 102_Wkst'!$G$7:$G$2010,$D56,'LAC 102_Wkst'!$L$7:$L$2010,"03",'LAC 102_Wkst'!$N$7:$N$2010,"P4")+SUMIFS('LAC 102_Wkst'!$Q$7:$Q$2010,'LAC 102_Wkst'!$D$7:$D$2010,$C$7,'LAC 102_Wkst'!$I$7:$I$2010,$C$9,'LAC 102_Wkst'!$E$7:$E$2010,$C56,'LAC 102_Wkst'!$G$7:$G$2010,$D56,'LAC 102_Wkst'!$L$7:$L$2010,"04",'LAC 102_Wkst'!$N$7:$N$2010,"P4")</f>
        <v>0</v>
      </c>
      <c r="O56" s="411">
        <f>SUMIFS('LAC 102_Wkst'!$AF$7:$AF$2010,'LAC 102_Wkst'!$D$7:$D$2010,$C$7,'LAC 102_Wkst'!$I$7:$I$2010,$C$9,'LAC 102_Wkst'!$E$7:$E$2010,$C56,'LAC 102_Wkst'!$G$7:$G$2010,$D56,'LAC 102_Wkst'!$L$7:$L$2010,"03",'LAC 102_Wkst'!$N$7:$N$2010,"P4")+SUMIFS('LAC 102_Wkst'!$AF$7:$AF$2010,'LAC 102_Wkst'!$D$7:$D$2010,$C$7,'LAC 102_Wkst'!$I$7:$I$2010,$C$9,'LAC 102_Wkst'!$E$7:$E$2010,$C56,'LAC 102_Wkst'!$G$7:$G$2010,$D56,'LAC 102_Wkst'!$L$7:$L$2010,"04",'LAC 102_Wkst'!$N$7:$N$2010,"P4")</f>
        <v>0</v>
      </c>
      <c r="P56" s="410">
        <f>SUMIFS('LAC 102_Wkst'!$Q$7:$Q$2010,'LAC 102_Wkst'!$D$7:$D$2010,$C$7,'LAC 102_Wkst'!$I$7:$I$2010,$C$9,'LAC 102_Wkst'!$E$7:$E$2010,$C56,'LAC 102_Wkst'!$G$7:$G$2010,$D56,'LAC 102_Wkst'!$L$7:$L$2010,"03",'LAC 102_Wkst'!$N$7:$N$2010,"P5")+SUMIFS('LAC 102_Wkst'!$Q$7:$Q$2010,'LAC 102_Wkst'!$D$7:$D$2010,$C$7,'LAC 102_Wkst'!$I$7:$I$2010,$C$9,'LAC 102_Wkst'!$E$7:$E$2010,$C56,'LAC 102_Wkst'!$G$7:$G$2010,$D56,'LAC 102_Wkst'!$L$7:$L$2010,"04",'LAC 102_Wkst'!$N$7:$N$2010,"P5")</f>
        <v>0</v>
      </c>
      <c r="Q56" s="411">
        <f>SUMIFS('LAC 102_Wkst'!$AF$7:$AF$2010,'LAC 102_Wkst'!$D$7:$D$2010,$C$7,'LAC 102_Wkst'!$I$7:$I$2010,$C$9,'LAC 102_Wkst'!$E$7:$E$2010,$C56,'LAC 102_Wkst'!$G$7:$G$2010,$D56,'LAC 102_Wkst'!$L$7:$L$2010,"03",'LAC 102_Wkst'!$N$7:$N$2010,"P5")+SUMIFS('LAC 102_Wkst'!$AF$7:$AF$2010,'LAC 102_Wkst'!$D$7:$D$2010,$C$7,'LAC 102_Wkst'!$I$7:$I$2010,$C$9,'LAC 102_Wkst'!$E$7:$E$2010,$C56,'LAC 102_Wkst'!$G$7:$G$2010,$D56,'LAC 102_Wkst'!$L$7:$L$2010,"04",'LAC 102_Wkst'!$N$7:$N$2010,"P5")</f>
        <v>0</v>
      </c>
      <c r="R56" s="412">
        <f>SUMIFS('LAC 102_Wkst'!$Q$7:$Q$2010,'LAC 102_Wkst'!$D$7:$D$2010,$C$7,'LAC 102_Wkst'!$I$7:$I$2010,$C$9,'LAC 102_Wkst'!$E$7:$E$2010,$C56,'LAC 102_Wkst'!$G$7:$G$2010,$D56,'LAC 102_Wkst'!$L$7:$L$2010,"05",'LAC 102_Wkst'!$N$7:$N$2010,"P1")+SUMIFS('LAC 102_Wkst'!$Q$7:$Q$2010,'LAC 102_Wkst'!$D$7:$D$2010,$C$7,'LAC 102_Wkst'!$I$7:$I$2010,$C$9,'LAC 102_Wkst'!$E$7:$E$2010,$C56,'LAC 102_Wkst'!$G$7:$G$2010,$D56,'LAC 102_Wkst'!$L$7:$L$2010,"06",'LAC 102_Wkst'!$N$7:$N$2010,"P1")</f>
        <v>0</v>
      </c>
      <c r="S56" s="411">
        <f>SUMIFS('LAC 102_Wkst'!$AF$7:$AF$2010,'LAC 102_Wkst'!$D$7:$D$2010,$C$7,'LAC 102_Wkst'!$I$7:$I$2010,$C$9,'LAC 102_Wkst'!$E$7:$E$2010,$C56,'LAC 102_Wkst'!$G$7:$G$2010,$D56,'LAC 102_Wkst'!$L$7:$L$2010,"05",'LAC 102_Wkst'!$N$7:$N$2010,"P1")+SUMIFS('LAC 102_Wkst'!$AF$7:$AF$2010,'LAC 102_Wkst'!$D$7:$D$2010,$C$7,'LAC 102_Wkst'!$I$7:$I$2010,$C$9,'LAC 102_Wkst'!$E$7:$E$2010,$C56,'LAC 102_Wkst'!$G$7:$G$2010,$D56,'LAC 102_Wkst'!$L$7:$L$2010,"06",'LAC 102_Wkst'!$N$7:$N$2010,"P1")</f>
        <v>0</v>
      </c>
      <c r="T56" s="410">
        <f>SUMIFS('LAC 102_Wkst'!$Q$7:$Q$2010,'LAC 102_Wkst'!$D$7:$D$2010,$C$7,'LAC 102_Wkst'!$I$7:$I$2010,$C$9,'LAC 102_Wkst'!$E$7:$E$2010,$C56,'LAC 102_Wkst'!$G$7:$G$2010,$D56,'LAC 102_Wkst'!$L$7:$L$2010,"05",'LAC 102_Wkst'!$N$7:$N$2010,"P2")+SUMIFS('LAC 102_Wkst'!$Q$7:$Q$2010,'LAC 102_Wkst'!$D$7:$D$2010,$C$7,'LAC 102_Wkst'!$I$7:$I$2010,$C$9,'LAC 102_Wkst'!$E$7:$E$2010,$C56,'LAC 102_Wkst'!$G$7:$G$2010,$D56,'LAC 102_Wkst'!$L$7:$L$2010,"06",'LAC 102_Wkst'!$N$7:$N$2010,"P2")+SUMIFS('LAC 102_Wkst'!$Q$7:$Q$2010,'LAC 102_Wkst'!$D$7:$D$2010,$C$7,'LAC 102_Wkst'!$I$7:$I$2010,$C$9,'LAC 102_Wkst'!$E$7:$E$2010,$C56,'LAC 102_Wkst'!$G$7:$G$2010,$D56,'LAC 102_Wkst'!$L$7:$L$2010,"05",'LAC 102_Wkst'!$N$7:$N$2010,"P3")+SUMIFS('LAC 102_Wkst'!$Q$7:$Q$2010,'LAC 102_Wkst'!$D$7:$D$2010,$C$7,'LAC 102_Wkst'!$I$7:$I$2010,$C$9,'LAC 102_Wkst'!$E$7:$E$2010,$C56,'LAC 102_Wkst'!$G$7:$G$2010,$D56,'LAC 102_Wkst'!$L$7:$L$2010,"06",'LAC 102_Wkst'!$N$7:$N$2010,"P3")</f>
        <v>0</v>
      </c>
      <c r="U56" s="411">
        <f>SUMIFS('LAC 102_Wkst'!$AF$7:$AF$2010,'LAC 102_Wkst'!$D$7:$D$2010,$C$7,'LAC 102_Wkst'!$I$7:$I$2010,$C$9,'LAC 102_Wkst'!$E$7:$E$2010,$C56,'LAC 102_Wkst'!$G$7:$G$2010,$D56,'LAC 102_Wkst'!$L$7:$L$2010,"05",'LAC 102_Wkst'!$N$7:$N$2010,"P2")+SUMIFS('LAC 102_Wkst'!$AF$7:$AF$2010,'LAC 102_Wkst'!$D$7:$D$2010,$C$7,'LAC 102_Wkst'!$I$7:$I$2010,$C$9,'LAC 102_Wkst'!$E$7:$E$2010,$C56,'LAC 102_Wkst'!$G$7:$G$2010,$D56,'LAC 102_Wkst'!$L$7:$L$2010,"06",'LAC 102_Wkst'!$N$7:$N$2010,"P2")+SUMIFS('LAC 102_Wkst'!$AF$7:$AF$2010,'LAC 102_Wkst'!$D$7:$D$2010,$C$7,'LAC 102_Wkst'!$I$7:$I$2010,$C$9,'LAC 102_Wkst'!$E$7:$E$2010,$C56,'LAC 102_Wkst'!$G$7:$G$2010,$D56,'LAC 102_Wkst'!$L$7:$L$2010,"05",'LAC 102_Wkst'!$N$7:$N$2010,"P3")+SUMIFS('LAC 102_Wkst'!$AF$7:$AF$2010,'LAC 102_Wkst'!$D$7:$D$2010,$C$7,'LAC 102_Wkst'!$I$7:$I$2010,$C$9,'LAC 102_Wkst'!$E$7:$E$2010,$C56,'LAC 102_Wkst'!$G$7:$G$2010,$D56,'LAC 102_Wkst'!$L$7:$L$2010,"06",'LAC 102_Wkst'!$N$7:$N$2010,"P3")</f>
        <v>0</v>
      </c>
      <c r="V56" s="410">
        <f>SUMIFS('LAC 102_Wkst'!$Q$7:$Q$2010,'LAC 102_Wkst'!$D$7:$D$2010,$C$7,'LAC 102_Wkst'!$I$7:$I$2010,$C$9,'LAC 102_Wkst'!$E$7:$E$2010,$C56,'LAC 102_Wkst'!$G$7:$G$2010,$D56,'LAC 102_Wkst'!$L$7:$L$2010,"05",'LAC 102_Wkst'!$N$7:$N$2010,"P4")+SUMIFS('LAC 102_Wkst'!$Q$7:$Q$2010,'LAC 102_Wkst'!$D$7:$D$2010,$C$7,'LAC 102_Wkst'!$I$7:$I$2010,$C$9,'LAC 102_Wkst'!$E$7:$E$2010,$C56,'LAC 102_Wkst'!$G$7:$G$2010,$D56,'LAC 102_Wkst'!$L$7:$L$2010,"06",'LAC 102_Wkst'!$N$7:$N$2010,"P4")</f>
        <v>0</v>
      </c>
      <c r="W56" s="411">
        <f>SUMIFS('LAC 102_Wkst'!$AF$7:$AF$2010,'LAC 102_Wkst'!$D$7:$D$2010,$C$7,'LAC 102_Wkst'!$I$7:$I$2010,$C$9,'LAC 102_Wkst'!$E$7:$E$2010,$C56,'LAC 102_Wkst'!$G$7:$G$2010,$D56,'LAC 102_Wkst'!$L$7:$L$2010,"05",'LAC 102_Wkst'!$N$7:$N$2010,"P4")+SUMIFS('LAC 102_Wkst'!$AF$7:$AF$2010,'LAC 102_Wkst'!$D$7:$D$2010,$C$7,'LAC 102_Wkst'!$I$7:$I$2010,$C$9,'LAC 102_Wkst'!$E$7:$E$2010,$C56,'LAC 102_Wkst'!$G$7:$G$2010,$D56,'LAC 102_Wkst'!$L$7:$L$2010,"06",'LAC 102_Wkst'!$N$7:$N$2010,"P4")</f>
        <v>0</v>
      </c>
      <c r="X56" s="410">
        <f>SUMIFS('LAC 102_Wkst'!$Q$7:$Q$2010,'LAC 102_Wkst'!$D$7:$D$2010,$C$7,'LAC 102_Wkst'!$I$7:$I$2010,$C$9,'LAC 102_Wkst'!$E$7:$E$2010,$C56,'LAC 102_Wkst'!$G$7:$G$2010,$D56,'LAC 102_Wkst'!$L$7:$L$2010,"05",'LAC 102_Wkst'!$N$7:$N$2010,"P5")+SUMIFS('LAC 102_Wkst'!$Q$7:$Q$2010,'LAC 102_Wkst'!$D$7:$D$2010,$C$7,'LAC 102_Wkst'!$I$7:$I$2010,$C$9,'LAC 102_Wkst'!$E$7:$E$2010,$C56,'LAC 102_Wkst'!$G$7:$G$2010,$D56,'LAC 102_Wkst'!$L$7:$L$2010,"06",'LAC 102_Wkst'!$N$7:$N$2010,"P5")</f>
        <v>0</v>
      </c>
      <c r="Y56" s="411">
        <f>SUMIFS('LAC 102_Wkst'!$AF$7:$AF$2010,'LAC 102_Wkst'!$D$7:$D$2010,$C$7,'LAC 102_Wkst'!$I$7:$I$2010,$C$9,'LAC 102_Wkst'!$E$7:$E$2010,$C56,'LAC 102_Wkst'!$G$7:$G$2010,$D56,'LAC 102_Wkst'!$L$7:$L$2010,"05",'LAC 102_Wkst'!$N$7:$N$2010,"P5")+SUMIFS('LAC 102_Wkst'!$AF$7:$AF$2010,'LAC 102_Wkst'!$D$7:$D$2010,$C$7,'LAC 102_Wkst'!$I$7:$I$2010,$C$9,'LAC 102_Wkst'!$E$7:$E$2010,$C56,'LAC 102_Wkst'!$G$7:$G$2010,$D56,'LAC 102_Wkst'!$L$7:$L$2010,"06",'LAC 102_Wkst'!$N$7:$N$2010,"P5")</f>
        <v>0</v>
      </c>
      <c r="Z56" s="410">
        <f>SUMIFS('LAC 102_Wkst'!$Q$7:$Q$2010,'LAC 102_Wkst'!$D$7:$D$2010,$C$7,'LAC 102_Wkst'!$I$7:$I$2010,$C$9,'LAC 102_Wkst'!$E$7:$E$2010,$C56,'LAC 102_Wkst'!$G$7:$G$2010,$D56,'LAC 102_Wkst'!$L$7:$L$2010,"07",'LAC 102_Wkst'!$N$7:$N$2010,"P1")+SUMIFS('LAC 102_Wkst'!$Q$7:$Q$2010,'LAC 102_Wkst'!$D$7:$D$2010,$C$7,'LAC 102_Wkst'!$I$7:$I$2010,$C$9,'LAC 102_Wkst'!$E$7:$E$2010,$C56,'LAC 102_Wkst'!$G$7:$G$2010,$D56,'LAC 102_Wkst'!$L$7:$L$2010,"07",'LAC 102_Wkst'!$N$7:$N$2010,"P2")+SUMIFS('LAC 102_Wkst'!$Q$7:$Q$2010,'LAC 102_Wkst'!$D$7:$D$2010,$C$7,'LAC 102_Wkst'!$I$7:$I$2010,$C$9,'LAC 102_Wkst'!$E$7:$E$2010,$C56,'LAC 102_Wkst'!$G$7:$G$2010,$D56,'LAC 102_Wkst'!$L$7:$L$2010,"07",'LAC 102_Wkst'!$N$7:$N$2010,"P3")</f>
        <v>0</v>
      </c>
      <c r="AA56" s="411">
        <f>SUMIFS('LAC 102_Wkst'!$AF$7:$AF$2010,'LAC 102_Wkst'!$D$7:$D$2010,$C$7,'LAC 102_Wkst'!$I$7:$I$2010,$C$9,'LAC 102_Wkst'!$E$7:$E$2010,$C56,'LAC 102_Wkst'!$G$7:$G$2010,$D56,'LAC 102_Wkst'!$L$7:$L$2010,"07",'LAC 102_Wkst'!$N$7:$N$2010,"P1")+SUMIFS('LAC 102_Wkst'!$AF$7:$AF$2010,'LAC 102_Wkst'!$D$7:$D$2010,$C$7,'LAC 102_Wkst'!$I$7:$I$2010,$C$9,'LAC 102_Wkst'!$E$7:$E$2010,$C56,'LAC 102_Wkst'!$G$7:$G$2010,$D56,'LAC 102_Wkst'!$L$7:$L$2010,"07",'LAC 102_Wkst'!$N$7:$N$2010,"P2")+SUMIFS('LAC 102_Wkst'!$AF$7:$AF$2010,'LAC 102_Wkst'!$D$7:$D$2010,$C$7,'LAC 102_Wkst'!$I$7:$I$2010,$C$9,'LAC 102_Wkst'!$E$7:$E$2010,$C56,'LAC 102_Wkst'!$G$7:$G$2010,$D56,'LAC 102_Wkst'!$L$7:$L$2010,"07",'LAC 102_Wkst'!$N$7:$N$2010,"P3")</f>
        <v>0</v>
      </c>
      <c r="AB56" s="410">
        <f>SUMIFS('LAC 102_Wkst'!$Q$7:$Q$2010,'LAC 102_Wkst'!$D$7:$D$2010,$C$7,'LAC 102_Wkst'!$I$7:$I$2010,$C$9,'LAC 102_Wkst'!$E$7:$E$2010,$C56,'LAC 102_Wkst'!$G$7:$G$2010,$D56,'LAC 102_Wkst'!$L$7:$L$2010,"07",'LAC 102_Wkst'!$N$7:$N$2010,"P4")</f>
        <v>0</v>
      </c>
      <c r="AC56" s="411">
        <f>SUMIFS('LAC 102_Wkst'!$AF$7:$AF$2010,'LAC 102_Wkst'!$D$7:$D$2010,$C$7,'LAC 102_Wkst'!$I$7:$I$2010,$C$9,'LAC 102_Wkst'!$E$7:$E$2010,$C56,'LAC 102_Wkst'!$G$7:$G$2010,$D56,'LAC 102_Wkst'!$L$7:$L$2010,"07",'LAC 102_Wkst'!$N$7:$N$2010,"P4")</f>
        <v>0</v>
      </c>
      <c r="AD56" s="410">
        <f>SUMIFS('LAC 102_Wkst'!$Q$7:$Q$2010,'LAC 102_Wkst'!$D$7:$D$2010,$C$7,'LAC 102_Wkst'!$I$7:$I$2010,$C$9,'LAC 102_Wkst'!$E$7:$E$2010,$C56,'LAC 102_Wkst'!$G$7:$G$2010,$D56,'LAC 102_Wkst'!$L$7:$L$2010,"07",'LAC 102_Wkst'!$N$7:$N$2010,"P5")</f>
        <v>0</v>
      </c>
      <c r="AE56" s="411">
        <f>SUMIFS('LAC 102_Wkst'!$AF$7:$AF$2010,'LAC 102_Wkst'!$D$7:$D$2010,$C$7,'LAC 102_Wkst'!$I$7:$I$2010,$C$9,'LAC 102_Wkst'!$E$7:$E$2010,$C56,'LAC 102_Wkst'!$G$7:$G$2010,$D56,'LAC 102_Wkst'!$L$7:$L$2010,"07",'LAC 102_Wkst'!$N$7:$N$2010,"P5")</f>
        <v>0</v>
      </c>
      <c r="AF56" s="410">
        <f>SUMIFS('LAC 102_Wkst'!$Q$7:$Q$2010,'LAC 102_Wkst'!$D$7:$D$2010,$C$7,'LAC 102_Wkst'!$I$7:$I$2010,$C$9,'LAC 102_Wkst'!$E$7:$E$2010,$C56,'LAC 102_Wkst'!$G$7:$G$2010,$D56,'LAC 102_Wkst'!$L$7:$L$2010,"08",'LAC 102_Wkst'!$N$7:$N$2010,"P1")+SUMIFS('LAC 102_Wkst'!$Q$7:$Q$2010,'LAC 102_Wkst'!$D$7:$D$2010,$C$7,'LAC 102_Wkst'!$I$7:$I$2010,$C$9,'LAC 102_Wkst'!$E$7:$E$2010,$C56,'LAC 102_Wkst'!$G$7:$G$2010,$D56,'LAC 102_Wkst'!$L$7:$L$2010,"08",'LAC 102_Wkst'!$N$7:$N$2010,"P2")+SUMIFS('LAC 102_Wkst'!$Q$7:$Q$2010,'LAC 102_Wkst'!$D$7:$D$2010,$C$7,'LAC 102_Wkst'!$I$7:$I$2010,$C$9,'LAC 102_Wkst'!$E$7:$E$2010,$C56,'LAC 102_Wkst'!$G$7:$G$2010,$D56,'LAC 102_Wkst'!$L$7:$L$2010,"08",'LAC 102_Wkst'!$N$7:$N$2010,"P3")</f>
        <v>0</v>
      </c>
      <c r="AG56" s="411">
        <f>SUMIFS('LAC 102_Wkst'!$AF$7:$AF$2010,'LAC 102_Wkst'!$D$7:$D$2010,$C$7,'LAC 102_Wkst'!$I$7:$I$2010,$C$9,'LAC 102_Wkst'!$E$7:$E$2010,$C56,'LAC 102_Wkst'!$G$7:$G$2010,$D56,'LAC 102_Wkst'!$L$7:$L$2010,"08",'LAC 102_Wkst'!$N$7:$N$2010,"P1")+SUMIFS('LAC 102_Wkst'!$AF$7:$AF$2010,'LAC 102_Wkst'!$D$7:$D$2010,$C$7,'LAC 102_Wkst'!$I$7:$I$2010,$C$9,'LAC 102_Wkst'!$E$7:$E$2010,$C56,'LAC 102_Wkst'!$G$7:$G$2010,$D56,'LAC 102_Wkst'!$L$7:$L$2010,"08",'LAC 102_Wkst'!$N$7:$N$2010,"P2")+SUMIFS('LAC 102_Wkst'!$AF$7:$AF$2010,'LAC 102_Wkst'!$D$7:$D$2010,$C$7,'LAC 102_Wkst'!$I$7:$I$2010,$C$9,'LAC 102_Wkst'!$E$7:$E$2010,$C56,'LAC 102_Wkst'!$G$7:$G$2010,$D56,'LAC 102_Wkst'!$L$7:$L$2010,"08",'LAC 102_Wkst'!$N$7:$N$2010,"P3")</f>
        <v>0</v>
      </c>
      <c r="AH56" s="410">
        <f>SUMIFS('LAC 102_Wkst'!$Q$7:$Q$2010,'LAC 102_Wkst'!$D$7:$D$2010,$C$7,'LAC 102_Wkst'!$I$7:$I$2010,$C$9,'LAC 102_Wkst'!$E$7:$E$2010,$C56,'LAC 102_Wkst'!$G$7:$G$2010,$D56,'LAC 102_Wkst'!$L$7:$L$2010,"08",'LAC 102_Wkst'!$N$7:$N$2010,"P4")</f>
        <v>0</v>
      </c>
      <c r="AI56" s="411">
        <f>SUMIFS('LAC 102_Wkst'!$AF$7:$AF$2010,'LAC 102_Wkst'!$D$7:$D$2010,$C$7,'LAC 102_Wkst'!$I$7:$I$2010,$C$9,'LAC 102_Wkst'!$E$7:$E$2010,$C56,'LAC 102_Wkst'!$G$7:$G$2010,$D56,'LAC 102_Wkst'!$L$7:$L$2010,"08",'LAC 102_Wkst'!$N$7:$N$2010,"P4")</f>
        <v>0</v>
      </c>
      <c r="AJ56" s="410">
        <f>SUMIFS('LAC 102_Wkst'!$Q$7:$Q$2010,'LAC 102_Wkst'!$D$7:$D$2010,$C$7,'LAC 102_Wkst'!$I$7:$I$2010,$C$9,'LAC 102_Wkst'!$E$7:$E$2010,$C56,'LAC 102_Wkst'!$G$7:$G$2010,$D56,'LAC 102_Wkst'!$L$7:$L$2010,"08",'LAC 102_Wkst'!$N$7:$N$2010,"P5")</f>
        <v>0</v>
      </c>
      <c r="AK56" s="411">
        <f>SUMIFS('LAC 102_Wkst'!$AF$7:$AF$2010,'LAC 102_Wkst'!$D$7:$D$2010,$C$7,'LAC 102_Wkst'!$I$7:$I$2010,$C$9,'LAC 102_Wkst'!$E$7:$E$2010,$C56,'LAC 102_Wkst'!$G$7:$G$2010,$D56,'LAC 102_Wkst'!$L$7:$L$2010,"08",'LAC 102_Wkst'!$N$7:$N$2010,"P5")</f>
        <v>0</v>
      </c>
      <c r="AL56" s="410">
        <f>SUMIFS('LAC 102_Wkst'!$Q$7:$Q$2010,'LAC 102_Wkst'!$D$7:$D$2010,$C$7,'LAC 102_Wkst'!$I$7:$I$2010,$C$9,'LAC 102_Wkst'!$E$7:$E$2010,$C56,'LAC 102_Wkst'!$G$7:$G$2010,$D56,'LAC 102_Wkst'!$L$7:$L$2010,"09",'LAC 102_Wkst'!$N$7:$N$2010,"P1")+SUMIFS('LAC 102_Wkst'!$Q$7:$Q$2010,'LAC 102_Wkst'!$D$7:$D$2010,$C$7,'LAC 102_Wkst'!$I$7:$I$2010,$C$9,'LAC 102_Wkst'!$E$7:$E$2010,$C56,'LAC 102_Wkst'!$G$7:$G$2010,$D56,'LAC 102_Wkst'!$L$7:$L$2010,"09",'LAC 102_Wkst'!$N$7:$N$2010,"P2")+SUMIFS('LAC 102_Wkst'!$Q$7:$Q$2010,'LAC 102_Wkst'!$D$7:$D$2010,$C$7,'LAC 102_Wkst'!$I$7:$I$2010,$C$9,'LAC 102_Wkst'!$E$7:$E$2010,$C56,'LAC 102_Wkst'!$G$7:$G$2010,$D56,'LAC 102_Wkst'!$L$7:$L$2010,"09",'LAC 102_Wkst'!$N$7:$N$2010,"P3")+SUMIFS('LAC 102_Wkst'!$Q$7:$Q$2010,'LAC 102_Wkst'!$D$7:$D$2010,$C$7,'LAC 102_Wkst'!$I$7:$I$2010,$C$9,'LAC 102_Wkst'!$E$7:$E$2010,$C56,'LAC 102_Wkst'!$G$7:$G$2010,$D56,'LAC 102_Wkst'!$L$7:$L$2010,"09",'LAC 102_Wkst'!$N$7:$N$2010,"P4")</f>
        <v>0</v>
      </c>
      <c r="AM56" s="411">
        <f>SUMIFS('LAC 102_Wkst'!$AF$7:$AF$2010,'LAC 102_Wkst'!$D$7:$D$2010,$C$7,'LAC 102_Wkst'!$I$7:$I$2010,$C$9,'LAC 102_Wkst'!$E$7:$E$2010,$C56,'LAC 102_Wkst'!$G$7:$G$2010,$D56,'LAC 102_Wkst'!$L$7:$L$2010,"09",'LAC 102_Wkst'!$N$7:$N$2010,"P1")+SUMIFS('LAC 102_Wkst'!$AF$7:$AF$2010,'LAC 102_Wkst'!$D$7:$D$2010,$C$7,'LAC 102_Wkst'!$I$7:$I$2010,$C$9,'LAC 102_Wkst'!$E$7:$E$2010,$C56,'LAC 102_Wkst'!$G$7:$G$2010,$D56,'LAC 102_Wkst'!$L$7:$L$2010,"09",'LAC 102_Wkst'!$N$7:$N$2010,"P2")+SUMIFS('LAC 102_Wkst'!$AF$7:$AF$2010,'LAC 102_Wkst'!$D$7:$D$2010,$C$7,'LAC 102_Wkst'!$I$7:$I$2010,$C$9,'LAC 102_Wkst'!$E$7:$E$2010,$C56,'LAC 102_Wkst'!$G$7:$G$2010,$D56,'LAC 102_Wkst'!$L$7:$L$2010,"09",'LAC 102_Wkst'!$N$7:$N$2010,"P3")+SUMIFS('LAC 102_Wkst'!$AF$7:$AF$2010,'LAC 102_Wkst'!$D$7:$D$2010,$C$7,'LAC 102_Wkst'!$I$7:$I$2010,$C$9,'LAC 102_Wkst'!$E$7:$E$2010,$C56,'LAC 102_Wkst'!$G$7:$G$2010,$D56,'LAC 102_Wkst'!$L$7:$L$2010,"09",'LAC 102_Wkst'!$N$7:$N$2010,"P4")</f>
        <v>0</v>
      </c>
      <c r="AN56" s="410">
        <f>SUMIFS('LAC 102_Wkst'!$Q$7:$Q$2010,'LAC 102_Wkst'!$D$7:$D$2010,$C$7,'LAC 102_Wkst'!$I$7:$I$2010,$C$9,'LAC 102_Wkst'!$E$7:$E$2010,$C56,'LAC 102_Wkst'!$G$7:$G$2010,$D56,'LAC 102_Wkst'!$L$7:$L$2010,"09",'LAC 102_Wkst'!$N$7:$N$2010,"P5")</f>
        <v>0</v>
      </c>
      <c r="AO56" s="411">
        <f>SUMIFS('LAC 102_Wkst'!$AF$7:$AF$2010,'LAC 102_Wkst'!$D$7:$D$2010,$C$7,'LAC 102_Wkst'!$I$7:$I$2010,$C$9,'LAC 102_Wkst'!$E$7:$E$2010,$C56,'LAC 102_Wkst'!$G$7:$G$2010,$D56,'LAC 102_Wkst'!$L$7:$L$2010,"09",'LAC 102_Wkst'!$N$7:$N$2010,"P5")</f>
        <v>0</v>
      </c>
      <c r="AP56" s="410">
        <f>SUMIFS('LAC 102_Wkst'!$Q$7:$Q$2010,'LAC 102_Wkst'!$D$7:$D$2010,$C$7,'LAC 102_Wkst'!$I$7:$I$2010,$C$9,'LAC 102_Wkst'!$E$7:$E$2010,$C56,'LAC 102_Wkst'!$G$7:$G$2010,$D56,'LAC 102_Wkst'!$L$7:$L$2010,"10",'LAC 102_Wkst'!$N$7:$N$2010,"P1")+SUMIFS('LAC 102_Wkst'!$Q$7:$Q$2010,'LAC 102_Wkst'!$D$7:$D$2010,$C$7,'LAC 102_Wkst'!$I$7:$I$2010,$C$9,'LAC 102_Wkst'!$E$7:$E$2010,$C56,'LAC 102_Wkst'!$G$7:$G$2010,$D56,'LAC 102_Wkst'!$L$7:$L$2010,"10",'LAC 102_Wkst'!$N$7:$N$2010,"P2")+SUMIFS('LAC 102_Wkst'!$Q$7:$Q$2010,'LAC 102_Wkst'!$D$7:$D$2010,$C$7,'LAC 102_Wkst'!$I$7:$I$2010,$C$9,'LAC 102_Wkst'!$E$7:$E$2010,$C56,'LAC 102_Wkst'!$G$7:$G$2010,$D56,'LAC 102_Wkst'!$L$7:$L$2010,"10",'LAC 102_Wkst'!$N$7:$N$2010,"P3")+SUMIFS('LAC 102_Wkst'!$Q$7:$Q$2010,'LAC 102_Wkst'!$D$7:$D$2010,$C$7,'LAC 102_Wkst'!$I$7:$I$2010,$C$9,'LAC 102_Wkst'!$E$7:$E$2010,$C56,'LAC 102_Wkst'!$G$7:$G$2010,$D56,'LAC 102_Wkst'!$L$7:$L$2010,"10",'LAC 102_Wkst'!$N$7:$N$2010,"P4")</f>
        <v>0</v>
      </c>
      <c r="AQ56" s="411">
        <f>SUMIFS('LAC 102_Wkst'!$AF$7:$AF$2010,'LAC 102_Wkst'!$D$7:$D$2010,$C$7,'LAC 102_Wkst'!$I$7:$I$2010,$C$9,'LAC 102_Wkst'!$E$7:$E$2010,$C56,'LAC 102_Wkst'!$G$7:$G$2010,$D56,'LAC 102_Wkst'!$L$7:$L$2010,"10",'LAC 102_Wkst'!$N$7:$N$2010,"P1")+SUMIFS('LAC 102_Wkst'!$AF$7:$AF$2010,'LAC 102_Wkst'!$D$7:$D$2010,$C$7,'LAC 102_Wkst'!$I$7:$I$2010,$C$9,'LAC 102_Wkst'!$E$7:$E$2010,$C56,'LAC 102_Wkst'!$G$7:$G$2010,$D56,'LAC 102_Wkst'!$L$7:$L$2010,"10",'LAC 102_Wkst'!$N$7:$N$2010,"P2")+SUMIFS('LAC 102_Wkst'!$AF$7:$AF$2010,'LAC 102_Wkst'!$D$7:$D$2010,$C$7,'LAC 102_Wkst'!$I$7:$I$2010,$C$9,'LAC 102_Wkst'!$E$7:$E$2010,$C56,'LAC 102_Wkst'!$G$7:$G$2010,$D56,'LAC 102_Wkst'!$L$7:$L$2010,"10",'LAC 102_Wkst'!$N$7:$N$2010,"P3")+SUMIFS('LAC 102_Wkst'!$AF$7:$AF$2010,'LAC 102_Wkst'!$D$7:$D$2010,$C$7,'LAC 102_Wkst'!$I$7:$I$2010,$C$9,'LAC 102_Wkst'!$E$7:$E$2010,$C56,'LAC 102_Wkst'!$G$7:$G$2010,$D56,'LAC 102_Wkst'!$L$7:$L$2010,"10",'LAC 102_Wkst'!$N$7:$N$2010,"P4")</f>
        <v>0</v>
      </c>
      <c r="AR56" s="410">
        <f>SUMIFS('LAC 102_Wkst'!$Q$7:$Q$2010,'LAC 102_Wkst'!$D$7:$D$2010,$C$7,'LAC 102_Wkst'!$I$7:$I$2010,$C$9,'LAC 102_Wkst'!$E$7:$E$2010,$C56,'LAC 102_Wkst'!$G$7:$G$2010,$D56,'LAC 102_Wkst'!$L$7:$L$2010,"10",'LAC 102_Wkst'!$N$7:$N$2010,"P5")</f>
        <v>0</v>
      </c>
      <c r="AS56" s="411">
        <f>SUMIFS('LAC 102_Wkst'!$AF$7:$AF$2010,'LAC 102_Wkst'!$D$7:$D$2010,$C$7,'LAC 102_Wkst'!$I$7:$I$2010,$C$9,'LAC 102_Wkst'!$E$7:$E$2010,$C56,'LAC 102_Wkst'!$G$7:$G$2010,$D56,'LAC 102_Wkst'!$L$7:$L$2010,"10",'LAC 102_Wkst'!$N$7:$N$2010,"P5")</f>
        <v>0</v>
      </c>
      <c r="AT56" s="410">
        <f>SUMIFS('LAC 102_Wkst'!$Q$7:$Q$2010,'LAC 102_Wkst'!$D$7:$D$2010,$C$7,'LAC 102_Wkst'!$I$7:$I$2010,$C$9,'LAC 102_Wkst'!$E$7:$E$2010,$C56,'LAC 102_Wkst'!$G$7:$G$2010,$D56,'LAC 102_Wkst'!$L$7:$L$2010,"11",'LAC 102_Wkst'!$N$7:$N$2010,"P1")+SUMIFS('LAC 102_Wkst'!$Q$7:$Q$2010,'LAC 102_Wkst'!$D$7:$D$2010,$C$7,'LAC 102_Wkst'!$I$7:$I$2010,$C$9,'LAC 102_Wkst'!$E$7:$E$2010,$C56,'LAC 102_Wkst'!$G$7:$G$2010,$D56,'LAC 102_Wkst'!$L$7:$L$2010,"12",'LAC 102_Wkst'!$N$7:$N$2010,"P1")</f>
        <v>0</v>
      </c>
      <c r="AU56" s="411">
        <f>SUMIFS('LAC 102_Wkst'!$Q$7:$Q$2010,'LAC 102_Wkst'!$D$7:$D$2010,$C$7,'LAC 102_Wkst'!$I$7:$I$2010,$C$9,'LAC 102_Wkst'!$E$7:$E$2010,$C56,'LAC 102_Wkst'!$G$7:$G$2010,$D56,'LAC 102_Wkst'!$L$7:$L$2010,"13",'LAC 102_Wkst'!$N$7:$N$2010,"P5")</f>
        <v>0</v>
      </c>
      <c r="AV56" s="410">
        <f>SUMIFS('LAC 102_Wkst'!$Q$7:$Q$2010,'LAC 102_Wkst'!$D$7:$D$2010,$C$7,'LAC 102_Wkst'!$I$7:$I$2010,$C$9,'LAC 102_Wkst'!$E$7:$E$2010,$C56,'LAC 102_Wkst'!$G$7:$G$2010,$D56,'LAC 102_Wkst'!$L$7:$L$2010,"11",'LAC 102_Wkst'!$N$7:$N$2010,"P2")+SUMIFS('LAC 102_Wkst'!$Q$7:$Q$2010,'LAC 102_Wkst'!$D$7:$D$2010,$C$7,'LAC 102_Wkst'!$I$7:$I$2010,$C$9,'LAC 102_Wkst'!$E$7:$E$2010,$C56,'LAC 102_Wkst'!$G$7:$G$2010,$D56,'LAC 102_Wkst'!$L$7:$L$2010,"12",'LAC 102_Wkst'!$N$7:$N$2010,"P2")+SUMIFS('LAC 102_Wkst'!$Q$7:$Q$2010,'LAC 102_Wkst'!$D$7:$D$2010,$C$7,'LAC 102_Wkst'!$I$7:$I$2010,$C$9,'LAC 102_Wkst'!$E$7:$E$2010,$C56,'LAC 102_Wkst'!$G$7:$G$2010,$D56,'LAC 102_Wkst'!$L$7:$L$2010,"11",'LAC 102_Wkst'!$N$7:$N$2010,"P3")+SUMIFS('LAC 102_Wkst'!$Q$7:$Q$2010,'LAC 102_Wkst'!$D$7:$D$2010,$C$7,'LAC 102_Wkst'!$I$7:$I$2010,$C$9,'LAC 102_Wkst'!$E$7:$E$2010,$C56,'LAC 102_Wkst'!$G$7:$G$2010,$D56,'LAC 102_Wkst'!$L$7:$L$2010,"12",'LAC 102_Wkst'!$N$7:$N$2010,"P3")</f>
        <v>0</v>
      </c>
      <c r="AW56" s="411">
        <f>SUMIFS('LAC 102_Wkst'!$AF$7:$AF$2010,'LAC 102_Wkst'!$D$7:$D$2010,$C$7,'LAC 102_Wkst'!$I$7:$I$2010,$C$9,'LAC 102_Wkst'!$E$7:$E$2010,$C56,'LAC 102_Wkst'!$G$7:$G$2010,$D56,'LAC 102_Wkst'!$L$7:$L$2010,"11",'LAC 102_Wkst'!$N$7:$N$2010,"P2")+SUMIFS('LAC 102_Wkst'!$AF$7:$AF$2010,'LAC 102_Wkst'!$D$7:$D$2010,$C$7,'LAC 102_Wkst'!$I$7:$I$2010,$C$9,'LAC 102_Wkst'!$E$7:$E$2010,$C56,'LAC 102_Wkst'!$G$7:$G$2010,$D56,'LAC 102_Wkst'!$L$7:$L$2010,"12",'LAC 102_Wkst'!$N$7:$N$2010,"P2")+SUMIFS('LAC 102_Wkst'!$AF$7:$AF$2010,'LAC 102_Wkst'!$D$7:$D$2010,$C$7,'LAC 102_Wkst'!$I$7:$I$2010,$C$9,'LAC 102_Wkst'!$E$7:$E$2010,$C56,'LAC 102_Wkst'!$G$7:$G$2010,$D56,'LAC 102_Wkst'!$L$7:$L$2010,"11",'LAC 102_Wkst'!$N$7:$N$2010,"P3")+SUMIFS('LAC 102_Wkst'!$AF$7:$AF$2010,'LAC 102_Wkst'!$D$7:$D$2010,$C$7,'LAC 102_Wkst'!$I$7:$I$2010,$C$9,'LAC 102_Wkst'!$E$7:$E$2010,$C56,'LAC 102_Wkst'!$G$7:$G$2010,$D56,'LAC 102_Wkst'!$L$7:$L$2010,"12",'LAC 102_Wkst'!$N$7:$N$2010,"P3")</f>
        <v>0</v>
      </c>
      <c r="AX56" s="410">
        <f>SUMIFS('LAC 102_Wkst'!$Q$7:$Q$2010,'LAC 102_Wkst'!$D$7:$D$2010,$C$7,'LAC 102_Wkst'!$I$7:$I$2010,$C$9,'LAC 102_Wkst'!$E$7:$E$2010,$C56,'LAC 102_Wkst'!$G$7:$G$2010,$D56,'LAC 102_Wkst'!$L$7:$L$2010,"11",'LAC 102_Wkst'!$N$7:$N$2010,"P4")+SUMIFS('LAC 102_Wkst'!$Q$7:$Q$2010,'LAC 102_Wkst'!$D$7:$D$2010,$C$7,'LAC 102_Wkst'!$I$7:$I$2010,$C$9,'LAC 102_Wkst'!$E$7:$E$2010,$C56,'LAC 102_Wkst'!$G$7:$G$2010,$D56,'LAC 102_Wkst'!$L$7:$L$2010,"12",'LAC 102_Wkst'!$N$7:$N$2010,"P4")</f>
        <v>0</v>
      </c>
      <c r="AY56" s="411">
        <f>SUMIFS('LAC 102_Wkst'!$AF$7:$AF$2010,'LAC 102_Wkst'!$D$7:$D$2010,$C$7,'LAC 102_Wkst'!$I$7:$I$2010,$C$9,'LAC 102_Wkst'!$E$7:$E$2010,$C56,'LAC 102_Wkst'!$G$7:$G$2010,$D56,'LAC 102_Wkst'!$L$7:$L$2010,"11",'LAC 102_Wkst'!$N$7:$N$2010,"P4")+SUMIFS('LAC 102_Wkst'!$AF$7:$AF$2010,'LAC 102_Wkst'!$D$7:$D$2010,$C$7,'LAC 102_Wkst'!$I$7:$I$2010,$C$9,'LAC 102_Wkst'!$E$7:$E$2010,$C56,'LAC 102_Wkst'!$G$7:$G$2010,$D56,'LAC 102_Wkst'!$L$7:$L$2010,"12",'LAC 102_Wkst'!$N$7:$N$2010,"P4")</f>
        <v>0</v>
      </c>
      <c r="AZ56" s="410">
        <f>SUMIFS('LAC 102_Wkst'!$Q$7:$Q$2010,'LAC 102_Wkst'!$D$7:$D$2010,$C$7,'LAC 102_Wkst'!$I$7:$I$2010,$C$9,'LAC 102_Wkst'!$E$7:$E$2010,$C56,'LAC 102_Wkst'!$G$7:$G$2010,$D56,'LAC 102_Wkst'!$L$7:$L$2010,"11",'LAC 102_Wkst'!$N$7:$N$2010,"P5")+SUMIFS('LAC 102_Wkst'!$Q$7:$Q$2010,'LAC 102_Wkst'!$D$7:$D$2010,$C$7,'LAC 102_Wkst'!$I$7:$I$2010,$C$9,'LAC 102_Wkst'!$E$7:$E$2010,$C56,'LAC 102_Wkst'!$G$7:$G$2010,$D56,'LAC 102_Wkst'!$L$7:$L$2010,"12",'LAC 102_Wkst'!$N$7:$N$2010,"P5")</f>
        <v>0</v>
      </c>
      <c r="BA56" s="411">
        <f>SUMIFS('LAC 102_Wkst'!$AF$7:$AF$2010,'LAC 102_Wkst'!$D$7:$D$2010,$C$7,'LAC 102_Wkst'!$I$7:$I$2010,$C$9,'LAC 102_Wkst'!$E$7:$E$2010,$C56,'LAC 102_Wkst'!$G$7:$G$2010,$D56,'LAC 102_Wkst'!$L$7:$L$2010,"11",'LAC 102_Wkst'!$N$7:$N$2010,"P5")+SUMIFS('LAC 102_Wkst'!$AF$7:$AF$2010,'LAC 102_Wkst'!$D$7:$D$2010,$C$7,'LAC 102_Wkst'!$I$7:$I$2010,$C$9,'LAC 102_Wkst'!$E$7:$E$2010,$C56,'LAC 102_Wkst'!$G$7:$G$2010,$D56,'LAC 102_Wkst'!$L$7:$L$2010,"12",'LAC 102_Wkst'!$N$7:$N$2010,"P5")</f>
        <v>0</v>
      </c>
      <c r="BB56" s="410">
        <f>SUMIFS('LAC 102_Wkst'!$Q$7:$Q$2010,'LAC 102_Wkst'!$D$7:$D$2010,$C$7,'LAC 102_Wkst'!$I$7:$I$2010,$C$9,'LAC 102_Wkst'!$E$7:$E$2010,$C56,'LAC 102_Wkst'!$G$7:$G$2010,$D56,'LAC 102_Wkst'!$L$7:$L$2010,"13",'LAC 102_Wkst'!$N$7:$N$2010,"P1")+SUMIFS('LAC 102_Wkst'!$Q$7:$Q$2010,'LAC 102_Wkst'!$D$7:$D$2010,$C$7,'LAC 102_Wkst'!$I$7:$I$2010,$C$9,'LAC 102_Wkst'!$E$7:$E$2010,$C56,'LAC 102_Wkst'!$G$7:$G$2010,$D56,'LAC 102_Wkst'!$L$7:$L$2010,"13",'LAC 102_Wkst'!$N$7:$N$2010,"P2")+SUMIFS('LAC 102_Wkst'!$Q$7:$Q$2010,'LAC 102_Wkst'!$D$7:$D$2010,$C$7,'LAC 102_Wkst'!$I$7:$I$2010,$C$9,'LAC 102_Wkst'!$E$7:$E$2010,$C56,'LAC 102_Wkst'!$G$7:$G$2010,$D56,'LAC 102_Wkst'!$L$7:$L$2010,"13",'LAC 102_Wkst'!$N$7:$N$2010,"P3")+SUMIFS('LAC 102_Wkst'!$Q$7:$Q$2010,'LAC 102_Wkst'!$D$7:$D$2010,$C$7,'LAC 102_Wkst'!$I$7:$I$2010,$C$9,'LAC 102_Wkst'!$E$7:$E$2010,$C56,'LAC 102_Wkst'!$G$7:$G$2010,$D56,'LAC 102_Wkst'!$L$7:$L$2010,"13",'LAC 102_Wkst'!$N$7:$N$2010,"P4")</f>
        <v>0</v>
      </c>
      <c r="BC56" s="411">
        <f>SUMIFS('LAC 102_Wkst'!$AF$7:$AF$2010,'LAC 102_Wkst'!$D$7:$D$2010,$C$7,'LAC 102_Wkst'!$I$7:$I$2010,$C$9,'LAC 102_Wkst'!$E$7:$E$2010,$C56,'LAC 102_Wkst'!$G$7:$G$2010,$D56,'LAC 102_Wkst'!$L$7:$L$2010,"13",'LAC 102_Wkst'!$N$7:$N$2010,"P1")+SUMIFS('LAC 102_Wkst'!$AF$7:$AF$2010,'LAC 102_Wkst'!$D$7:$D$2010,$C$7,'LAC 102_Wkst'!$I$7:$I$2010,$C$9,'LAC 102_Wkst'!$E$7:$E$2010,$C56,'LAC 102_Wkst'!$G$7:$G$2010,$D56,'LAC 102_Wkst'!$L$7:$L$2010,"13",'LAC 102_Wkst'!$N$7:$N$2010,"P2")+SUMIFS('LAC 102_Wkst'!$AF$7:$AF$2010,'LAC 102_Wkst'!$D$7:$D$2010,$C$7,'LAC 102_Wkst'!$I$7:$I$2010,$C$9,'LAC 102_Wkst'!$E$7:$E$2010,$C56,'LAC 102_Wkst'!$G$7:$G$2010,$D56,'LAC 102_Wkst'!$L$7:$L$2010,"13",'LAC 102_Wkst'!$N$7:$N$2010,"P3")+SUMIFS('LAC 102_Wkst'!$AF$7:$AF$2010,'LAC 102_Wkst'!$D$7:$D$2010,$C$7,'LAC 102_Wkst'!$I$7:$I$2010,$C$9,'LAC 102_Wkst'!$E$7:$E$2010,$C56,'LAC 102_Wkst'!$G$7:$G$2010,$D56,'LAC 102_Wkst'!$L$7:$L$2010,"13",'LAC 102_Wkst'!$N$7:$N$2010,"P4")</f>
        <v>0</v>
      </c>
      <c r="BD56" s="410">
        <f>SUMIFS('LAC 102_Wkst'!$Q$7:$Q$2010,'LAC 102_Wkst'!$D$7:$D$2010,$C$7,'LAC 102_Wkst'!$I$7:$I$2010,$C$9,'LAC 102_Wkst'!$E$7:$E$2010,$C56,'LAC 102_Wkst'!$G$7:$G$2010,$D56,'LAC 102_Wkst'!$L$7:$L$2010,"13",'LAC 102_Wkst'!$N$7:$N$2010,"P5")</f>
        <v>0</v>
      </c>
      <c r="BE56" s="411">
        <f>SUMIFS('LAC 102_Wkst'!$AF$7:$AF$2010,'LAC 102_Wkst'!$D$7:$D$2010,$C$7,'LAC 102_Wkst'!$I$7:$I$2010,$C$9,'LAC 102_Wkst'!$E$7:$E$2010,$C56,'LAC 102_Wkst'!$G$7:$G$2010,$D56,'LAC 102_Wkst'!$L$7:$L$2010,"13",'LAC 102_Wkst'!$N$7:$N$2010,"P5")</f>
        <v>0</v>
      </c>
      <c r="BF56" s="407">
        <f t="shared" si="4"/>
        <v>0</v>
      </c>
      <c r="BG56" s="1654">
        <f>SUMIFS('LAC 102_Wkst'!$AF$7:$AF$2010,'LAC 102_Wkst'!$D$7:$D$2010,$C$7,'LAC 102_Wkst'!$I$7:$I$2010,$C$9,'LAC 102_Wkst'!$E$7:$E$2010,$C56,'LAC 102_Wkst'!$G$7:$G$2010,$D56,'LAC 102_Wkst'!$L$7:$L$2010,"14")</f>
        <v>0</v>
      </c>
    </row>
    <row r="57" spans="1:59" x14ac:dyDescent="0.2">
      <c r="A57" s="401">
        <v>35</v>
      </c>
      <c r="B57" s="1678" t="str">
        <f>IF(Schedule_B!B$54="","",Schedule_B!B$54)</f>
        <v/>
      </c>
      <c r="C57" s="1674" t="str">
        <f>IF(Schedule_B!C$54=""," ",Schedule_B!C$54)</f>
        <v xml:space="preserve"> </v>
      </c>
      <c r="D57" s="1675" t="str">
        <f>IF(Schedule_B!D$54=""," ",Schedule_B!D$54)</f>
        <v xml:space="preserve"> </v>
      </c>
      <c r="E57" s="1221">
        <f>SUMIFS('LAC 102_Wkst'!$Q$7:$Q$2010,'LAC 102_Wkst'!$D$7:$D$2010,$C$7,'LAC 102_Wkst'!$I$7:$I$2010,$C$9,'LAC 102_Wkst'!$E$7:$E$2010,$C57,'LAC 102_Wkst'!$G$7:$G$2010,$D57)</f>
        <v>0</v>
      </c>
      <c r="F57" s="408">
        <f>SUMIFS('LAC 102_Wkst'!$Q$7:$Q$2010,'LAC 102_Wkst'!$D$7:$D$2010,$C$7,'LAC 102_Wkst'!$I$7:$I$2010,$C$9,'LAC 102_Wkst'!$E$7:$E$2010,$C57,'LAC 102_Wkst'!$G$7:$G$2010,$D57,'LAC 102_Wkst'!$L$7:$L$2010,"01",'LAC 102_Wkst'!$N$7:$N$2010,"P1")+SUMIFS('LAC 102_Wkst'!$Q$7:$Q$2010,'LAC 102_Wkst'!$D$7:$D$2010,$C$7,'LAC 102_Wkst'!$I$7:$I$2010,$C$9,'LAC 102_Wkst'!$E$7:$E$2010,$C57,'LAC 102_Wkst'!$G$7:$G$2010,$D57,'LAC 102_Wkst'!$L$7:$L$2010,"01",'LAC 102_Wkst'!$N$7:$N$2010,"P2")+SUMIFS('LAC 102_Wkst'!$Q$7:$Q$2010,'LAC 102_Wkst'!$D$7:$D$2010,$C$7,'LAC 102_Wkst'!$I$7:$I$2010,$C$9,'LAC 102_Wkst'!$E$7:$E$2010,$C57,'LAC 102_Wkst'!$G$7:$G$2010,$D57,'LAC 102_Wkst'!$L$7:$L$2010,"01",'LAC 102_Wkst'!$N$7:$N$2010,"P3")+SUMIFS('LAC 102_Wkst'!$Q$7:$Q$2010,'LAC 102_Wkst'!$D$7:$D$2010,$C$7,'LAC 102_Wkst'!$I$7:$I$2010,$C$9,'LAC 102_Wkst'!$E$7:$E$2010,$C57,'LAC 102_Wkst'!$G$7:$G$2010,$D57,'LAC 102_Wkst'!$L$7:$L$2010,"02",'LAC 102_Wkst'!$N$7:$N$2010,"P1")+SUMIFS('LAC 102_Wkst'!$Q$7:$Q$2010,'LAC 102_Wkst'!$D$7:$D$2010,$C$7,'LAC 102_Wkst'!$I$7:$I$2010,$C$9,'LAC 102_Wkst'!$E$7:$E$2010,$C57,'LAC 102_Wkst'!$G$7:$G$2010,$D57,'LAC 102_Wkst'!$L$7:$L$2010,"02",'LAC 102_Wkst'!$N$7:$N$2010,"P2")+SUMIFS('LAC 102_Wkst'!$Q$7:$Q$2010,'LAC 102_Wkst'!$D$7:$D$2010,$C$7,'LAC 102_Wkst'!$I$7:$I$2010,$C$9,'LAC 102_Wkst'!$E$7:$E$2010,$C57,'LAC 102_Wkst'!$G$7:$G$2010,$D57,'LAC 102_Wkst'!$L$7:$L$2010,"02",'LAC 102_Wkst'!$N$7:$N$2010,"P3")</f>
        <v>0</v>
      </c>
      <c r="G57" s="409">
        <f>SUMIFS('LAC 102_Wkst'!$AF$7:$AF$2010,'LAC 102_Wkst'!$D$7:$D$2010,$C$7,'LAC 102_Wkst'!$I$7:$I$2010,$C$9,'LAC 102_Wkst'!$E$7:$E$2010,$C57,'LAC 102_Wkst'!$G$7:$G$2010,$D57,'LAC 102_Wkst'!$L$7:$L$2010,"01",'LAC 102_Wkst'!$N$7:$N$2010,"P1")+SUMIFS('LAC 102_Wkst'!$AF$7:$AF$2010,'LAC 102_Wkst'!$D$7:$D$2010,$C$7,'LAC 102_Wkst'!$I$7:$I$2010,$C$9,'LAC 102_Wkst'!$E$7:$E$2010,$C57,'LAC 102_Wkst'!$G$7:$G$2010,$D57,'LAC 102_Wkst'!$L$7:$L$2010,"01",'LAC 102_Wkst'!$N$7:$N$2010,"P2")+SUMIFS('LAC 102_Wkst'!$AF$7:$AF$2010,'LAC 102_Wkst'!$D$7:$D$2010,$C$7,'LAC 102_Wkst'!$I$7:$I$2010,$C$9,'LAC 102_Wkst'!$E$7:$E$2010,$C57,'LAC 102_Wkst'!$G$7:$G$2010,$D57,'LAC 102_Wkst'!$L$7:$L$2010,"01",'LAC 102_Wkst'!$N$7:$N$2010,"P3")+SUMIFS('LAC 102_Wkst'!$AF$7:$AF$2010,'LAC 102_Wkst'!$D$7:$D$2010,$C$7,'LAC 102_Wkst'!$I$7:$I$2010,$C$9,'LAC 102_Wkst'!$E$7:$E$2010,$C57,'LAC 102_Wkst'!$G$7:$G$2010,$D57,'LAC 102_Wkst'!$L$7:$L$2010,"02",'LAC 102_Wkst'!$N$7:$N$2010,"P1")+SUMIFS('LAC 102_Wkst'!$AF$7:$AF$2010,'LAC 102_Wkst'!$D$7:$D$2010,$C$7,'LAC 102_Wkst'!$I$7:$I$2010,$C$9,'LAC 102_Wkst'!$E$7:$E$2010,$C57,'LAC 102_Wkst'!$G$7:$G$2010,$D57,'LAC 102_Wkst'!$L$7:$L$2010,"02",'LAC 102_Wkst'!$N$7:$N$2010,"P2")+SUMIFS('LAC 102_Wkst'!$AF$7:$AF$2010,'LAC 102_Wkst'!$D$7:$D$2010,$C$7,'LAC 102_Wkst'!$I$7:$I$2010,$C$9,'LAC 102_Wkst'!$E$7:$E$2010,$C57,'LAC 102_Wkst'!$G$7:$G$2010,$D57,'LAC 102_Wkst'!$L$7:$L$2010,"02",'LAC 102_Wkst'!$N$7:$N$2010,"P3")</f>
        <v>0</v>
      </c>
      <c r="H57" s="410">
        <f>SUMIFS('LAC 102_Wkst'!$Q$7:$Q$2010,'LAC 102_Wkst'!$D$7:$D$2010,$C$7,'LAC 102_Wkst'!$I$7:$I$2010,$C$9,'LAC 102_Wkst'!$E$7:$E$2010,$C57,'LAC 102_Wkst'!$G$7:$G$2010,$D57,'LAC 102_Wkst'!$L$7:$L$2010,"01",'LAC 102_Wkst'!$N$7:$N$2010,"P4")+SUMIFS('LAC 102_Wkst'!$Q$7:$Q$2010,'LAC 102_Wkst'!$D$7:$D$2010,$C$7,'LAC 102_Wkst'!$I$7:$I$2010,$C$9,'LAC 102_Wkst'!$E$7:$E$2010,$C57,'LAC 102_Wkst'!$G$7:$G$2010,$D57,'LAC 102_Wkst'!$L$7:$L$2010,"02",'LAC 102_Wkst'!$N$7:$N$2010,"P4")</f>
        <v>0</v>
      </c>
      <c r="I57" s="411">
        <f>SUMIFS('LAC 102_Wkst'!$AF$7:$AF$2010,'LAC 102_Wkst'!$D$7:$D$2010,$C$7,'LAC 102_Wkst'!$I$7:$I$2010,$C$9,'LAC 102_Wkst'!$E$7:$E$2010,$C57,'LAC 102_Wkst'!$G$7:$G$2010,$D57,'LAC 102_Wkst'!$L$7:$L$2010,"01",'LAC 102_Wkst'!$N$7:$N$2010,"P4")+SUMIFS('LAC 102_Wkst'!$AF$7:$AF$2010,'LAC 102_Wkst'!$D$7:$D$2010,$C$7,'LAC 102_Wkst'!$I$7:$I$2010,$C$9,'LAC 102_Wkst'!$E$7:$E$2010,$C57,'LAC 102_Wkst'!$G$7:$G$2010,$D57,'LAC 102_Wkst'!$L$7:$L$2010,"02",'LAC 102_Wkst'!$N$7:$N$2010,"P4")</f>
        <v>0</v>
      </c>
      <c r="J57" s="410">
        <f>SUMIFS('LAC 102_Wkst'!$Q$7:$Q$2010,'LAC 102_Wkst'!$D$7:$D$2010,$C$7,'LAC 102_Wkst'!$I$7:$I$2010,$C$9,'LAC 102_Wkst'!$E$7:$E$2010,$C57,'LAC 102_Wkst'!$G$7:$G$2010,$D57,'LAC 102_Wkst'!$L$7:$L$2010,"01",'LAC 102_Wkst'!$N$7:$N$2010,"P5")+SUMIFS('LAC 102_Wkst'!$Q$7:$Q$2010,'LAC 102_Wkst'!$D$7:$D$2010,$C$7,'LAC 102_Wkst'!$I$7:$I$2010,$C$9,'LAC 102_Wkst'!$E$7:$E$2010,$C57,'LAC 102_Wkst'!$G$7:$G$2010,$D57,'LAC 102_Wkst'!$L$7:$L$2010,"02",'LAC 102_Wkst'!$N$7:$N$2010,"P5")</f>
        <v>0</v>
      </c>
      <c r="K57" s="411">
        <f>SUMIFS('LAC 102_Wkst'!$AF$7:$AF$2010,'LAC 102_Wkst'!$D$7:$D$2010,$C$7,'LAC 102_Wkst'!$I$7:$I$2010,$C$9,'LAC 102_Wkst'!$E$7:$E$2010,$C57,'LAC 102_Wkst'!$G$7:$G$2010,$D57,'LAC 102_Wkst'!$L$7:$L$2010,"01",'LAC 102_Wkst'!$N$7:$N$2010,"P5")+SUMIFS('LAC 102_Wkst'!$AF$7:$AF$2010,'LAC 102_Wkst'!$D$7:$D$2010,$C$7,'LAC 102_Wkst'!$I$7:$I$2010,$C$9,'LAC 102_Wkst'!$E$7:$E$2010,$C57,'LAC 102_Wkst'!$G$7:$G$2010,$D57,'LAC 102_Wkst'!$L$7:$L$2010,"02",'LAC 102_Wkst'!$N$7:$N$2010,"P5")</f>
        <v>0</v>
      </c>
      <c r="L57" s="410">
        <f>SUMIFS('LAC 102_Wkst'!$Q$7:$Q$2010,'LAC 102_Wkst'!$D$7:$D$2010,$C$7,'LAC 102_Wkst'!$I$7:$I$2010,$C$9,'LAC 102_Wkst'!$E$7:$E$2010,$C57,'LAC 102_Wkst'!$G$7:$G$2010,$D57,'LAC 102_Wkst'!$L$7:$L$2010,"03",'LAC 102_Wkst'!$N$7:$N$2010,"P1")+SUMIFS('LAC 102_Wkst'!$Q$7:$Q$2010,'LAC 102_Wkst'!$D$7:$D$2010,$C$7,'LAC 102_Wkst'!$I$7:$I$2010,$C$9,'LAC 102_Wkst'!$E$7:$E$2010,$C57,'LAC 102_Wkst'!$G$7:$G$2010,$D57,'LAC 102_Wkst'!$L$7:$L$2010,"03",'LAC 102_Wkst'!$N$7:$N$2010,"P2")+SUMIFS('LAC 102_Wkst'!$Q$7:$Q$2010,'LAC 102_Wkst'!$D$7:$D$2010,$C$7,'LAC 102_Wkst'!$I$7:$I$2010,$C$9,'LAC 102_Wkst'!$E$7:$E$2010,$C57,'LAC 102_Wkst'!$G$7:$G$2010,$D57,'LAC 102_Wkst'!$L$7:$L$2010,"03",'LAC 102_Wkst'!$N$7:$N$2010,"P3")+SUMIFS('LAC 102_Wkst'!$Q$7:$Q$2010,'LAC 102_Wkst'!$D$7:$D$2010,$C$7,'LAC 102_Wkst'!$I$7:$I$2010,$C$9,'LAC 102_Wkst'!$E$7:$E$2010,$C57,'LAC 102_Wkst'!$G$7:$G$2010,$D57,'LAC 102_Wkst'!$L$7:$L$2010,"04",'LAC 102_Wkst'!$N$7:$N$2010,"P1")+SUMIFS('LAC 102_Wkst'!$Q$7:$Q$2010,'LAC 102_Wkst'!$D$7:$D$2010,$C$7,'LAC 102_Wkst'!$I$7:$I$2010,$C$9,'LAC 102_Wkst'!$E$7:$E$2010,$C57,'LAC 102_Wkst'!$G$7:$G$2010,$D57,'LAC 102_Wkst'!$L$7:$L$2010,"04",'LAC 102_Wkst'!$N$7:$N$2010,"P2")+SUMIFS('LAC 102_Wkst'!$Q$7:$Q$2010,'LAC 102_Wkst'!$D$7:$D$2010,$C$7,'LAC 102_Wkst'!$I$7:$I$2010,$C$9,'LAC 102_Wkst'!$E$7:$E$2010,$C57,'LAC 102_Wkst'!$G$7:$G$2010,$D57,'LAC 102_Wkst'!$L$7:$L$2010,"04",'LAC 102_Wkst'!$N$7:$N$2010,"P3")</f>
        <v>0</v>
      </c>
      <c r="M57" s="411">
        <f>SUMIFS('LAC 102_Wkst'!$AF$7:$AF$2010,'LAC 102_Wkst'!$D$7:$D$2010,$C$7,'LAC 102_Wkst'!$I$7:$I$2010,$C$9,'LAC 102_Wkst'!$E$7:$E$2010,$C57,'LAC 102_Wkst'!$G$7:$G$2010,$D57,'LAC 102_Wkst'!$L$7:$L$2010,"03",'LAC 102_Wkst'!$N$7:$N$2010,"P1")+SUMIFS('LAC 102_Wkst'!$AF$7:$AF$2010,'LAC 102_Wkst'!$D$7:$D$2010,$C$7,'LAC 102_Wkst'!$I$7:$I$2010,$C$9,'LAC 102_Wkst'!$E$7:$E$2010,$C57,'LAC 102_Wkst'!$G$7:$G$2010,$D57,'LAC 102_Wkst'!$L$7:$L$2010,"03",'LAC 102_Wkst'!$N$7:$N$2010,"P2")+SUMIFS('LAC 102_Wkst'!$AF$7:$AF$2010,'LAC 102_Wkst'!$D$7:$D$2010,$C$7,'LAC 102_Wkst'!$I$7:$I$2010,$C$9,'LAC 102_Wkst'!$E$7:$E$2010,$C57,'LAC 102_Wkst'!$G$7:$G$2010,$D57,'LAC 102_Wkst'!$L$7:$L$2010,"03",'LAC 102_Wkst'!$N$7:$N$2010,"P3")+SUMIFS('LAC 102_Wkst'!$AF$7:$AF$2010,'LAC 102_Wkst'!$D$7:$D$2010,$C$7,'LAC 102_Wkst'!$I$7:$I$2010,$C$9,'LAC 102_Wkst'!$E$7:$E$2010,$C57,'LAC 102_Wkst'!$G$7:$G$2010,$D57,'LAC 102_Wkst'!$L$7:$L$2010,"04",'LAC 102_Wkst'!$N$7:$N$2010,"P1")+SUMIFS('LAC 102_Wkst'!$AF$7:$AF$2010,'LAC 102_Wkst'!$D$7:$D$2010,$C$7,'LAC 102_Wkst'!$I$7:$I$2010,$C$9,'LAC 102_Wkst'!$E$7:$E$2010,$C57,'LAC 102_Wkst'!$G$7:$G$2010,$D57,'LAC 102_Wkst'!$L$7:$L$2010,"04",'LAC 102_Wkst'!$N$7:$N$2010,"P2")+SUMIFS('LAC 102_Wkst'!$AF$7:$AF$2010,'LAC 102_Wkst'!$D$7:$D$2010,$C$7,'LAC 102_Wkst'!$I$7:$I$2010,$C$9,'LAC 102_Wkst'!$E$7:$E$2010,$C57,'LAC 102_Wkst'!$G$7:$G$2010,$D57,'LAC 102_Wkst'!$L$7:$L$2010,"04",'LAC 102_Wkst'!$N$7:$N$2010,"P3")</f>
        <v>0</v>
      </c>
      <c r="N57" s="410">
        <f>SUMIFS('LAC 102_Wkst'!$Q$7:$Q$2010,'LAC 102_Wkst'!$D$7:$D$2010,$C$7,'LAC 102_Wkst'!$I$7:$I$2010,$C$9,'LAC 102_Wkst'!$E$7:$E$2010,$C57,'LAC 102_Wkst'!$G$7:$G$2010,$D57,'LAC 102_Wkst'!$L$7:$L$2010,"03",'LAC 102_Wkst'!$N$7:$N$2010,"P4")+SUMIFS('LAC 102_Wkst'!$Q$7:$Q$2010,'LAC 102_Wkst'!$D$7:$D$2010,$C$7,'LAC 102_Wkst'!$I$7:$I$2010,$C$9,'LAC 102_Wkst'!$E$7:$E$2010,$C57,'LAC 102_Wkst'!$G$7:$G$2010,$D57,'LAC 102_Wkst'!$L$7:$L$2010,"04",'LAC 102_Wkst'!$N$7:$N$2010,"P4")</f>
        <v>0</v>
      </c>
      <c r="O57" s="411">
        <f>SUMIFS('LAC 102_Wkst'!$AF$7:$AF$2010,'LAC 102_Wkst'!$D$7:$D$2010,$C$7,'LAC 102_Wkst'!$I$7:$I$2010,$C$9,'LAC 102_Wkst'!$E$7:$E$2010,$C57,'LAC 102_Wkst'!$G$7:$G$2010,$D57,'LAC 102_Wkst'!$L$7:$L$2010,"03",'LAC 102_Wkst'!$N$7:$N$2010,"P4")+SUMIFS('LAC 102_Wkst'!$AF$7:$AF$2010,'LAC 102_Wkst'!$D$7:$D$2010,$C$7,'LAC 102_Wkst'!$I$7:$I$2010,$C$9,'LAC 102_Wkst'!$E$7:$E$2010,$C57,'LAC 102_Wkst'!$G$7:$G$2010,$D57,'LAC 102_Wkst'!$L$7:$L$2010,"04",'LAC 102_Wkst'!$N$7:$N$2010,"P4")</f>
        <v>0</v>
      </c>
      <c r="P57" s="410">
        <f>SUMIFS('LAC 102_Wkst'!$Q$7:$Q$2010,'LAC 102_Wkst'!$D$7:$D$2010,$C$7,'LAC 102_Wkst'!$I$7:$I$2010,$C$9,'LAC 102_Wkst'!$E$7:$E$2010,$C57,'LAC 102_Wkst'!$G$7:$G$2010,$D57,'LAC 102_Wkst'!$L$7:$L$2010,"03",'LAC 102_Wkst'!$N$7:$N$2010,"P5")+SUMIFS('LAC 102_Wkst'!$Q$7:$Q$2010,'LAC 102_Wkst'!$D$7:$D$2010,$C$7,'LAC 102_Wkst'!$I$7:$I$2010,$C$9,'LAC 102_Wkst'!$E$7:$E$2010,$C57,'LAC 102_Wkst'!$G$7:$G$2010,$D57,'LAC 102_Wkst'!$L$7:$L$2010,"04",'LAC 102_Wkst'!$N$7:$N$2010,"P5")</f>
        <v>0</v>
      </c>
      <c r="Q57" s="411">
        <f>SUMIFS('LAC 102_Wkst'!$AF$7:$AF$2010,'LAC 102_Wkst'!$D$7:$D$2010,$C$7,'LAC 102_Wkst'!$I$7:$I$2010,$C$9,'LAC 102_Wkst'!$E$7:$E$2010,$C57,'LAC 102_Wkst'!$G$7:$G$2010,$D57,'LAC 102_Wkst'!$L$7:$L$2010,"03",'LAC 102_Wkst'!$N$7:$N$2010,"P5")+SUMIFS('LAC 102_Wkst'!$AF$7:$AF$2010,'LAC 102_Wkst'!$D$7:$D$2010,$C$7,'LAC 102_Wkst'!$I$7:$I$2010,$C$9,'LAC 102_Wkst'!$E$7:$E$2010,$C57,'LAC 102_Wkst'!$G$7:$G$2010,$D57,'LAC 102_Wkst'!$L$7:$L$2010,"04",'LAC 102_Wkst'!$N$7:$N$2010,"P5")</f>
        <v>0</v>
      </c>
      <c r="R57" s="412">
        <f>SUMIFS('LAC 102_Wkst'!$Q$7:$Q$2010,'LAC 102_Wkst'!$D$7:$D$2010,$C$7,'LAC 102_Wkst'!$I$7:$I$2010,$C$9,'LAC 102_Wkst'!$E$7:$E$2010,$C57,'LAC 102_Wkst'!$G$7:$G$2010,$D57,'LAC 102_Wkst'!$L$7:$L$2010,"05",'LAC 102_Wkst'!$N$7:$N$2010,"P1")+SUMIFS('LAC 102_Wkst'!$Q$7:$Q$2010,'LAC 102_Wkst'!$D$7:$D$2010,$C$7,'LAC 102_Wkst'!$I$7:$I$2010,$C$9,'LAC 102_Wkst'!$E$7:$E$2010,$C57,'LAC 102_Wkst'!$G$7:$G$2010,$D57,'LAC 102_Wkst'!$L$7:$L$2010,"06",'LAC 102_Wkst'!$N$7:$N$2010,"P1")</f>
        <v>0</v>
      </c>
      <c r="S57" s="411">
        <f>SUMIFS('LAC 102_Wkst'!$AF$7:$AF$2010,'LAC 102_Wkst'!$D$7:$D$2010,$C$7,'LAC 102_Wkst'!$I$7:$I$2010,$C$9,'LAC 102_Wkst'!$E$7:$E$2010,$C57,'LAC 102_Wkst'!$G$7:$G$2010,$D57,'LAC 102_Wkst'!$L$7:$L$2010,"05",'LAC 102_Wkst'!$N$7:$N$2010,"P1")+SUMIFS('LAC 102_Wkst'!$AF$7:$AF$2010,'LAC 102_Wkst'!$D$7:$D$2010,$C$7,'LAC 102_Wkst'!$I$7:$I$2010,$C$9,'LAC 102_Wkst'!$E$7:$E$2010,$C57,'LAC 102_Wkst'!$G$7:$G$2010,$D57,'LAC 102_Wkst'!$L$7:$L$2010,"06",'LAC 102_Wkst'!$N$7:$N$2010,"P1")</f>
        <v>0</v>
      </c>
      <c r="T57" s="410">
        <f>SUMIFS('LAC 102_Wkst'!$Q$7:$Q$2010,'LAC 102_Wkst'!$D$7:$D$2010,$C$7,'LAC 102_Wkst'!$I$7:$I$2010,$C$9,'LAC 102_Wkst'!$E$7:$E$2010,$C57,'LAC 102_Wkst'!$G$7:$G$2010,$D57,'LAC 102_Wkst'!$L$7:$L$2010,"05",'LAC 102_Wkst'!$N$7:$N$2010,"P2")+SUMIFS('LAC 102_Wkst'!$Q$7:$Q$2010,'LAC 102_Wkst'!$D$7:$D$2010,$C$7,'LAC 102_Wkst'!$I$7:$I$2010,$C$9,'LAC 102_Wkst'!$E$7:$E$2010,$C57,'LAC 102_Wkst'!$G$7:$G$2010,$D57,'LAC 102_Wkst'!$L$7:$L$2010,"06",'LAC 102_Wkst'!$N$7:$N$2010,"P2")+SUMIFS('LAC 102_Wkst'!$Q$7:$Q$2010,'LAC 102_Wkst'!$D$7:$D$2010,$C$7,'LAC 102_Wkst'!$I$7:$I$2010,$C$9,'LAC 102_Wkst'!$E$7:$E$2010,$C57,'LAC 102_Wkst'!$G$7:$G$2010,$D57,'LAC 102_Wkst'!$L$7:$L$2010,"05",'LAC 102_Wkst'!$N$7:$N$2010,"P3")+SUMIFS('LAC 102_Wkst'!$Q$7:$Q$2010,'LAC 102_Wkst'!$D$7:$D$2010,$C$7,'LAC 102_Wkst'!$I$7:$I$2010,$C$9,'LAC 102_Wkst'!$E$7:$E$2010,$C57,'LAC 102_Wkst'!$G$7:$G$2010,$D57,'LAC 102_Wkst'!$L$7:$L$2010,"06",'LAC 102_Wkst'!$N$7:$N$2010,"P3")</f>
        <v>0</v>
      </c>
      <c r="U57" s="411">
        <f>SUMIFS('LAC 102_Wkst'!$AF$7:$AF$2010,'LAC 102_Wkst'!$D$7:$D$2010,$C$7,'LAC 102_Wkst'!$I$7:$I$2010,$C$9,'LAC 102_Wkst'!$E$7:$E$2010,$C57,'LAC 102_Wkst'!$G$7:$G$2010,$D57,'LAC 102_Wkst'!$L$7:$L$2010,"05",'LAC 102_Wkst'!$N$7:$N$2010,"P2")+SUMIFS('LAC 102_Wkst'!$AF$7:$AF$2010,'LAC 102_Wkst'!$D$7:$D$2010,$C$7,'LAC 102_Wkst'!$I$7:$I$2010,$C$9,'LAC 102_Wkst'!$E$7:$E$2010,$C57,'LAC 102_Wkst'!$G$7:$G$2010,$D57,'LAC 102_Wkst'!$L$7:$L$2010,"06",'LAC 102_Wkst'!$N$7:$N$2010,"P2")+SUMIFS('LAC 102_Wkst'!$AF$7:$AF$2010,'LAC 102_Wkst'!$D$7:$D$2010,$C$7,'LAC 102_Wkst'!$I$7:$I$2010,$C$9,'LAC 102_Wkst'!$E$7:$E$2010,$C57,'LAC 102_Wkst'!$G$7:$G$2010,$D57,'LAC 102_Wkst'!$L$7:$L$2010,"05",'LAC 102_Wkst'!$N$7:$N$2010,"P3")+SUMIFS('LAC 102_Wkst'!$AF$7:$AF$2010,'LAC 102_Wkst'!$D$7:$D$2010,$C$7,'LAC 102_Wkst'!$I$7:$I$2010,$C$9,'LAC 102_Wkst'!$E$7:$E$2010,$C57,'LAC 102_Wkst'!$G$7:$G$2010,$D57,'LAC 102_Wkst'!$L$7:$L$2010,"06",'LAC 102_Wkst'!$N$7:$N$2010,"P3")</f>
        <v>0</v>
      </c>
      <c r="V57" s="410">
        <f>SUMIFS('LAC 102_Wkst'!$Q$7:$Q$2010,'LAC 102_Wkst'!$D$7:$D$2010,$C$7,'LAC 102_Wkst'!$I$7:$I$2010,$C$9,'LAC 102_Wkst'!$E$7:$E$2010,$C57,'LAC 102_Wkst'!$G$7:$G$2010,$D57,'LAC 102_Wkst'!$L$7:$L$2010,"05",'LAC 102_Wkst'!$N$7:$N$2010,"P4")+SUMIFS('LAC 102_Wkst'!$Q$7:$Q$2010,'LAC 102_Wkst'!$D$7:$D$2010,$C$7,'LAC 102_Wkst'!$I$7:$I$2010,$C$9,'LAC 102_Wkst'!$E$7:$E$2010,$C57,'LAC 102_Wkst'!$G$7:$G$2010,$D57,'LAC 102_Wkst'!$L$7:$L$2010,"06",'LAC 102_Wkst'!$N$7:$N$2010,"P4")</f>
        <v>0</v>
      </c>
      <c r="W57" s="411">
        <f>SUMIFS('LAC 102_Wkst'!$AF$7:$AF$2010,'LAC 102_Wkst'!$D$7:$D$2010,$C$7,'LAC 102_Wkst'!$I$7:$I$2010,$C$9,'LAC 102_Wkst'!$E$7:$E$2010,$C57,'LAC 102_Wkst'!$G$7:$G$2010,$D57,'LAC 102_Wkst'!$L$7:$L$2010,"05",'LAC 102_Wkst'!$N$7:$N$2010,"P4")+SUMIFS('LAC 102_Wkst'!$AF$7:$AF$2010,'LAC 102_Wkst'!$D$7:$D$2010,$C$7,'LAC 102_Wkst'!$I$7:$I$2010,$C$9,'LAC 102_Wkst'!$E$7:$E$2010,$C57,'LAC 102_Wkst'!$G$7:$G$2010,$D57,'LAC 102_Wkst'!$L$7:$L$2010,"06",'LAC 102_Wkst'!$N$7:$N$2010,"P4")</f>
        <v>0</v>
      </c>
      <c r="X57" s="410">
        <f>SUMIFS('LAC 102_Wkst'!$Q$7:$Q$2010,'LAC 102_Wkst'!$D$7:$D$2010,$C$7,'LAC 102_Wkst'!$I$7:$I$2010,$C$9,'LAC 102_Wkst'!$E$7:$E$2010,$C57,'LAC 102_Wkst'!$G$7:$G$2010,$D57,'LAC 102_Wkst'!$L$7:$L$2010,"05",'LAC 102_Wkst'!$N$7:$N$2010,"P5")+SUMIFS('LAC 102_Wkst'!$Q$7:$Q$2010,'LAC 102_Wkst'!$D$7:$D$2010,$C$7,'LAC 102_Wkst'!$I$7:$I$2010,$C$9,'LAC 102_Wkst'!$E$7:$E$2010,$C57,'LAC 102_Wkst'!$G$7:$G$2010,$D57,'LAC 102_Wkst'!$L$7:$L$2010,"06",'LAC 102_Wkst'!$N$7:$N$2010,"P5")</f>
        <v>0</v>
      </c>
      <c r="Y57" s="411">
        <f>SUMIFS('LAC 102_Wkst'!$AF$7:$AF$2010,'LAC 102_Wkst'!$D$7:$D$2010,$C$7,'LAC 102_Wkst'!$I$7:$I$2010,$C$9,'LAC 102_Wkst'!$E$7:$E$2010,$C57,'LAC 102_Wkst'!$G$7:$G$2010,$D57,'LAC 102_Wkst'!$L$7:$L$2010,"05",'LAC 102_Wkst'!$N$7:$N$2010,"P5")+SUMIFS('LAC 102_Wkst'!$AF$7:$AF$2010,'LAC 102_Wkst'!$D$7:$D$2010,$C$7,'LAC 102_Wkst'!$I$7:$I$2010,$C$9,'LAC 102_Wkst'!$E$7:$E$2010,$C57,'LAC 102_Wkst'!$G$7:$G$2010,$D57,'LAC 102_Wkst'!$L$7:$L$2010,"06",'LAC 102_Wkst'!$N$7:$N$2010,"P5")</f>
        <v>0</v>
      </c>
      <c r="Z57" s="410">
        <f>SUMIFS('LAC 102_Wkst'!$Q$7:$Q$2010,'LAC 102_Wkst'!$D$7:$D$2010,$C$7,'LAC 102_Wkst'!$I$7:$I$2010,$C$9,'LAC 102_Wkst'!$E$7:$E$2010,$C57,'LAC 102_Wkst'!$G$7:$G$2010,$D57,'LAC 102_Wkst'!$L$7:$L$2010,"07",'LAC 102_Wkst'!$N$7:$N$2010,"P1")+SUMIFS('LAC 102_Wkst'!$Q$7:$Q$2010,'LAC 102_Wkst'!$D$7:$D$2010,$C$7,'LAC 102_Wkst'!$I$7:$I$2010,$C$9,'LAC 102_Wkst'!$E$7:$E$2010,$C57,'LAC 102_Wkst'!$G$7:$G$2010,$D57,'LAC 102_Wkst'!$L$7:$L$2010,"07",'LAC 102_Wkst'!$N$7:$N$2010,"P2")+SUMIFS('LAC 102_Wkst'!$Q$7:$Q$2010,'LAC 102_Wkst'!$D$7:$D$2010,$C$7,'LAC 102_Wkst'!$I$7:$I$2010,$C$9,'LAC 102_Wkst'!$E$7:$E$2010,$C57,'LAC 102_Wkst'!$G$7:$G$2010,$D57,'LAC 102_Wkst'!$L$7:$L$2010,"07",'LAC 102_Wkst'!$N$7:$N$2010,"P3")</f>
        <v>0</v>
      </c>
      <c r="AA57" s="411">
        <f>SUMIFS('LAC 102_Wkst'!$AF$7:$AF$2010,'LAC 102_Wkst'!$D$7:$D$2010,$C$7,'LAC 102_Wkst'!$I$7:$I$2010,$C$9,'LAC 102_Wkst'!$E$7:$E$2010,$C57,'LAC 102_Wkst'!$G$7:$G$2010,$D57,'LAC 102_Wkst'!$L$7:$L$2010,"07",'LAC 102_Wkst'!$N$7:$N$2010,"P1")+SUMIFS('LAC 102_Wkst'!$AF$7:$AF$2010,'LAC 102_Wkst'!$D$7:$D$2010,$C$7,'LAC 102_Wkst'!$I$7:$I$2010,$C$9,'LAC 102_Wkst'!$E$7:$E$2010,$C57,'LAC 102_Wkst'!$G$7:$G$2010,$D57,'LAC 102_Wkst'!$L$7:$L$2010,"07",'LAC 102_Wkst'!$N$7:$N$2010,"P2")+SUMIFS('LAC 102_Wkst'!$AF$7:$AF$2010,'LAC 102_Wkst'!$D$7:$D$2010,$C$7,'LAC 102_Wkst'!$I$7:$I$2010,$C$9,'LAC 102_Wkst'!$E$7:$E$2010,$C57,'LAC 102_Wkst'!$G$7:$G$2010,$D57,'LAC 102_Wkst'!$L$7:$L$2010,"07",'LAC 102_Wkst'!$N$7:$N$2010,"P3")</f>
        <v>0</v>
      </c>
      <c r="AB57" s="410">
        <f>SUMIFS('LAC 102_Wkst'!$Q$7:$Q$2010,'LAC 102_Wkst'!$D$7:$D$2010,$C$7,'LAC 102_Wkst'!$I$7:$I$2010,$C$9,'LAC 102_Wkst'!$E$7:$E$2010,$C57,'LAC 102_Wkst'!$G$7:$G$2010,$D57,'LAC 102_Wkst'!$L$7:$L$2010,"07",'LAC 102_Wkst'!$N$7:$N$2010,"P4")</f>
        <v>0</v>
      </c>
      <c r="AC57" s="411">
        <f>SUMIFS('LAC 102_Wkst'!$AF$7:$AF$2010,'LAC 102_Wkst'!$D$7:$D$2010,$C$7,'LAC 102_Wkst'!$I$7:$I$2010,$C$9,'LAC 102_Wkst'!$E$7:$E$2010,$C57,'LAC 102_Wkst'!$G$7:$G$2010,$D57,'LAC 102_Wkst'!$L$7:$L$2010,"07",'LAC 102_Wkst'!$N$7:$N$2010,"P4")</f>
        <v>0</v>
      </c>
      <c r="AD57" s="410">
        <f>SUMIFS('LAC 102_Wkst'!$Q$7:$Q$2010,'LAC 102_Wkst'!$D$7:$D$2010,$C$7,'LAC 102_Wkst'!$I$7:$I$2010,$C$9,'LAC 102_Wkst'!$E$7:$E$2010,$C57,'LAC 102_Wkst'!$G$7:$G$2010,$D57,'LAC 102_Wkst'!$L$7:$L$2010,"07",'LAC 102_Wkst'!$N$7:$N$2010,"P5")</f>
        <v>0</v>
      </c>
      <c r="AE57" s="411">
        <f>SUMIFS('LAC 102_Wkst'!$AF$7:$AF$2010,'LAC 102_Wkst'!$D$7:$D$2010,$C$7,'LAC 102_Wkst'!$I$7:$I$2010,$C$9,'LAC 102_Wkst'!$E$7:$E$2010,$C57,'LAC 102_Wkst'!$G$7:$G$2010,$D57,'LAC 102_Wkst'!$L$7:$L$2010,"07",'LAC 102_Wkst'!$N$7:$N$2010,"P5")</f>
        <v>0</v>
      </c>
      <c r="AF57" s="410">
        <f>SUMIFS('LAC 102_Wkst'!$Q$7:$Q$2010,'LAC 102_Wkst'!$D$7:$D$2010,$C$7,'LAC 102_Wkst'!$I$7:$I$2010,$C$9,'LAC 102_Wkst'!$E$7:$E$2010,$C57,'LAC 102_Wkst'!$G$7:$G$2010,$D57,'LAC 102_Wkst'!$L$7:$L$2010,"08",'LAC 102_Wkst'!$N$7:$N$2010,"P1")+SUMIFS('LAC 102_Wkst'!$Q$7:$Q$2010,'LAC 102_Wkst'!$D$7:$D$2010,$C$7,'LAC 102_Wkst'!$I$7:$I$2010,$C$9,'LAC 102_Wkst'!$E$7:$E$2010,$C57,'LAC 102_Wkst'!$G$7:$G$2010,$D57,'LAC 102_Wkst'!$L$7:$L$2010,"08",'LAC 102_Wkst'!$N$7:$N$2010,"P2")+SUMIFS('LAC 102_Wkst'!$Q$7:$Q$2010,'LAC 102_Wkst'!$D$7:$D$2010,$C$7,'LAC 102_Wkst'!$I$7:$I$2010,$C$9,'LAC 102_Wkst'!$E$7:$E$2010,$C57,'LAC 102_Wkst'!$G$7:$G$2010,$D57,'LAC 102_Wkst'!$L$7:$L$2010,"08",'LAC 102_Wkst'!$N$7:$N$2010,"P3")</f>
        <v>0</v>
      </c>
      <c r="AG57" s="411">
        <f>SUMIFS('LAC 102_Wkst'!$AF$7:$AF$2010,'LAC 102_Wkst'!$D$7:$D$2010,$C$7,'LAC 102_Wkst'!$I$7:$I$2010,$C$9,'LAC 102_Wkst'!$E$7:$E$2010,$C57,'LAC 102_Wkst'!$G$7:$G$2010,$D57,'LAC 102_Wkst'!$L$7:$L$2010,"08",'LAC 102_Wkst'!$N$7:$N$2010,"P1")+SUMIFS('LAC 102_Wkst'!$AF$7:$AF$2010,'LAC 102_Wkst'!$D$7:$D$2010,$C$7,'LAC 102_Wkst'!$I$7:$I$2010,$C$9,'LAC 102_Wkst'!$E$7:$E$2010,$C57,'LAC 102_Wkst'!$G$7:$G$2010,$D57,'LAC 102_Wkst'!$L$7:$L$2010,"08",'LAC 102_Wkst'!$N$7:$N$2010,"P2")+SUMIFS('LAC 102_Wkst'!$AF$7:$AF$2010,'LAC 102_Wkst'!$D$7:$D$2010,$C$7,'LAC 102_Wkst'!$I$7:$I$2010,$C$9,'LAC 102_Wkst'!$E$7:$E$2010,$C57,'LAC 102_Wkst'!$G$7:$G$2010,$D57,'LAC 102_Wkst'!$L$7:$L$2010,"08",'LAC 102_Wkst'!$N$7:$N$2010,"P3")</f>
        <v>0</v>
      </c>
      <c r="AH57" s="410">
        <f>SUMIFS('LAC 102_Wkst'!$Q$7:$Q$2010,'LAC 102_Wkst'!$D$7:$D$2010,$C$7,'LAC 102_Wkst'!$I$7:$I$2010,$C$9,'LAC 102_Wkst'!$E$7:$E$2010,$C57,'LAC 102_Wkst'!$G$7:$G$2010,$D57,'LAC 102_Wkst'!$L$7:$L$2010,"08",'LAC 102_Wkst'!$N$7:$N$2010,"P4")</f>
        <v>0</v>
      </c>
      <c r="AI57" s="411">
        <f>SUMIFS('LAC 102_Wkst'!$AF$7:$AF$2010,'LAC 102_Wkst'!$D$7:$D$2010,$C$7,'LAC 102_Wkst'!$I$7:$I$2010,$C$9,'LAC 102_Wkst'!$E$7:$E$2010,$C57,'LAC 102_Wkst'!$G$7:$G$2010,$D57,'LAC 102_Wkst'!$L$7:$L$2010,"08",'LAC 102_Wkst'!$N$7:$N$2010,"P4")</f>
        <v>0</v>
      </c>
      <c r="AJ57" s="410">
        <f>SUMIFS('LAC 102_Wkst'!$Q$7:$Q$2010,'LAC 102_Wkst'!$D$7:$D$2010,$C$7,'LAC 102_Wkst'!$I$7:$I$2010,$C$9,'LAC 102_Wkst'!$E$7:$E$2010,$C57,'LAC 102_Wkst'!$G$7:$G$2010,$D57,'LAC 102_Wkst'!$L$7:$L$2010,"08",'LAC 102_Wkst'!$N$7:$N$2010,"P5")</f>
        <v>0</v>
      </c>
      <c r="AK57" s="411">
        <f>SUMIFS('LAC 102_Wkst'!$AF$7:$AF$2010,'LAC 102_Wkst'!$D$7:$D$2010,$C$7,'LAC 102_Wkst'!$I$7:$I$2010,$C$9,'LAC 102_Wkst'!$E$7:$E$2010,$C57,'LAC 102_Wkst'!$G$7:$G$2010,$D57,'LAC 102_Wkst'!$L$7:$L$2010,"08",'LAC 102_Wkst'!$N$7:$N$2010,"P5")</f>
        <v>0</v>
      </c>
      <c r="AL57" s="410">
        <f>SUMIFS('LAC 102_Wkst'!$Q$7:$Q$2010,'LAC 102_Wkst'!$D$7:$D$2010,$C$7,'LAC 102_Wkst'!$I$7:$I$2010,$C$9,'LAC 102_Wkst'!$E$7:$E$2010,$C57,'LAC 102_Wkst'!$G$7:$G$2010,$D57,'LAC 102_Wkst'!$L$7:$L$2010,"09",'LAC 102_Wkst'!$N$7:$N$2010,"P1")+SUMIFS('LAC 102_Wkst'!$Q$7:$Q$2010,'LAC 102_Wkst'!$D$7:$D$2010,$C$7,'LAC 102_Wkst'!$I$7:$I$2010,$C$9,'LAC 102_Wkst'!$E$7:$E$2010,$C57,'LAC 102_Wkst'!$G$7:$G$2010,$D57,'LAC 102_Wkst'!$L$7:$L$2010,"09",'LAC 102_Wkst'!$N$7:$N$2010,"P2")+SUMIFS('LAC 102_Wkst'!$Q$7:$Q$2010,'LAC 102_Wkst'!$D$7:$D$2010,$C$7,'LAC 102_Wkst'!$I$7:$I$2010,$C$9,'LAC 102_Wkst'!$E$7:$E$2010,$C57,'LAC 102_Wkst'!$G$7:$G$2010,$D57,'LAC 102_Wkst'!$L$7:$L$2010,"09",'LAC 102_Wkst'!$N$7:$N$2010,"P3")+SUMIFS('LAC 102_Wkst'!$Q$7:$Q$2010,'LAC 102_Wkst'!$D$7:$D$2010,$C$7,'LAC 102_Wkst'!$I$7:$I$2010,$C$9,'LAC 102_Wkst'!$E$7:$E$2010,$C57,'LAC 102_Wkst'!$G$7:$G$2010,$D57,'LAC 102_Wkst'!$L$7:$L$2010,"09",'LAC 102_Wkst'!$N$7:$N$2010,"P4")</f>
        <v>0</v>
      </c>
      <c r="AM57" s="411">
        <f>SUMIFS('LAC 102_Wkst'!$AF$7:$AF$2010,'LAC 102_Wkst'!$D$7:$D$2010,$C$7,'LAC 102_Wkst'!$I$7:$I$2010,$C$9,'LAC 102_Wkst'!$E$7:$E$2010,$C57,'LAC 102_Wkst'!$G$7:$G$2010,$D57,'LAC 102_Wkst'!$L$7:$L$2010,"09",'LAC 102_Wkst'!$N$7:$N$2010,"P1")+SUMIFS('LAC 102_Wkst'!$AF$7:$AF$2010,'LAC 102_Wkst'!$D$7:$D$2010,$C$7,'LAC 102_Wkst'!$I$7:$I$2010,$C$9,'LAC 102_Wkst'!$E$7:$E$2010,$C57,'LAC 102_Wkst'!$G$7:$G$2010,$D57,'LAC 102_Wkst'!$L$7:$L$2010,"09",'LAC 102_Wkst'!$N$7:$N$2010,"P2")+SUMIFS('LAC 102_Wkst'!$AF$7:$AF$2010,'LAC 102_Wkst'!$D$7:$D$2010,$C$7,'LAC 102_Wkst'!$I$7:$I$2010,$C$9,'LAC 102_Wkst'!$E$7:$E$2010,$C57,'LAC 102_Wkst'!$G$7:$G$2010,$D57,'LAC 102_Wkst'!$L$7:$L$2010,"09",'LAC 102_Wkst'!$N$7:$N$2010,"P3")+SUMIFS('LAC 102_Wkst'!$AF$7:$AF$2010,'LAC 102_Wkst'!$D$7:$D$2010,$C$7,'LAC 102_Wkst'!$I$7:$I$2010,$C$9,'LAC 102_Wkst'!$E$7:$E$2010,$C57,'LAC 102_Wkst'!$G$7:$G$2010,$D57,'LAC 102_Wkst'!$L$7:$L$2010,"09",'LAC 102_Wkst'!$N$7:$N$2010,"P4")</f>
        <v>0</v>
      </c>
      <c r="AN57" s="410">
        <f>SUMIFS('LAC 102_Wkst'!$Q$7:$Q$2010,'LAC 102_Wkst'!$D$7:$D$2010,$C$7,'LAC 102_Wkst'!$I$7:$I$2010,$C$9,'LAC 102_Wkst'!$E$7:$E$2010,$C57,'LAC 102_Wkst'!$G$7:$G$2010,$D57,'LAC 102_Wkst'!$L$7:$L$2010,"09",'LAC 102_Wkst'!$N$7:$N$2010,"P5")</f>
        <v>0</v>
      </c>
      <c r="AO57" s="411">
        <f>SUMIFS('LAC 102_Wkst'!$AF$7:$AF$2010,'LAC 102_Wkst'!$D$7:$D$2010,$C$7,'LAC 102_Wkst'!$I$7:$I$2010,$C$9,'LAC 102_Wkst'!$E$7:$E$2010,$C57,'LAC 102_Wkst'!$G$7:$G$2010,$D57,'LAC 102_Wkst'!$L$7:$L$2010,"09",'LAC 102_Wkst'!$N$7:$N$2010,"P5")</f>
        <v>0</v>
      </c>
      <c r="AP57" s="410">
        <f>SUMIFS('LAC 102_Wkst'!$Q$7:$Q$2010,'LAC 102_Wkst'!$D$7:$D$2010,$C$7,'LAC 102_Wkst'!$I$7:$I$2010,$C$9,'LAC 102_Wkst'!$E$7:$E$2010,$C57,'LAC 102_Wkst'!$G$7:$G$2010,$D57,'LAC 102_Wkst'!$L$7:$L$2010,"10",'LAC 102_Wkst'!$N$7:$N$2010,"P1")+SUMIFS('LAC 102_Wkst'!$Q$7:$Q$2010,'LAC 102_Wkst'!$D$7:$D$2010,$C$7,'LAC 102_Wkst'!$I$7:$I$2010,$C$9,'LAC 102_Wkst'!$E$7:$E$2010,$C57,'LAC 102_Wkst'!$G$7:$G$2010,$D57,'LAC 102_Wkst'!$L$7:$L$2010,"10",'LAC 102_Wkst'!$N$7:$N$2010,"P2")+SUMIFS('LAC 102_Wkst'!$Q$7:$Q$2010,'LAC 102_Wkst'!$D$7:$D$2010,$C$7,'LAC 102_Wkst'!$I$7:$I$2010,$C$9,'LAC 102_Wkst'!$E$7:$E$2010,$C57,'LAC 102_Wkst'!$G$7:$G$2010,$D57,'LAC 102_Wkst'!$L$7:$L$2010,"10",'LAC 102_Wkst'!$N$7:$N$2010,"P3")+SUMIFS('LAC 102_Wkst'!$Q$7:$Q$2010,'LAC 102_Wkst'!$D$7:$D$2010,$C$7,'LAC 102_Wkst'!$I$7:$I$2010,$C$9,'LAC 102_Wkst'!$E$7:$E$2010,$C57,'LAC 102_Wkst'!$G$7:$G$2010,$D57,'LAC 102_Wkst'!$L$7:$L$2010,"10",'LAC 102_Wkst'!$N$7:$N$2010,"P4")</f>
        <v>0</v>
      </c>
      <c r="AQ57" s="411">
        <f>SUMIFS('LAC 102_Wkst'!$AF$7:$AF$2010,'LAC 102_Wkst'!$D$7:$D$2010,$C$7,'LAC 102_Wkst'!$I$7:$I$2010,$C$9,'LAC 102_Wkst'!$E$7:$E$2010,$C57,'LAC 102_Wkst'!$G$7:$G$2010,$D57,'LAC 102_Wkst'!$L$7:$L$2010,"10",'LAC 102_Wkst'!$N$7:$N$2010,"P1")+SUMIFS('LAC 102_Wkst'!$AF$7:$AF$2010,'LAC 102_Wkst'!$D$7:$D$2010,$C$7,'LAC 102_Wkst'!$I$7:$I$2010,$C$9,'LAC 102_Wkst'!$E$7:$E$2010,$C57,'LAC 102_Wkst'!$G$7:$G$2010,$D57,'LAC 102_Wkst'!$L$7:$L$2010,"10",'LAC 102_Wkst'!$N$7:$N$2010,"P2")+SUMIFS('LAC 102_Wkst'!$AF$7:$AF$2010,'LAC 102_Wkst'!$D$7:$D$2010,$C$7,'LAC 102_Wkst'!$I$7:$I$2010,$C$9,'LAC 102_Wkst'!$E$7:$E$2010,$C57,'LAC 102_Wkst'!$G$7:$G$2010,$D57,'LAC 102_Wkst'!$L$7:$L$2010,"10",'LAC 102_Wkst'!$N$7:$N$2010,"P3")+SUMIFS('LAC 102_Wkst'!$AF$7:$AF$2010,'LAC 102_Wkst'!$D$7:$D$2010,$C$7,'LAC 102_Wkst'!$I$7:$I$2010,$C$9,'LAC 102_Wkst'!$E$7:$E$2010,$C57,'LAC 102_Wkst'!$G$7:$G$2010,$D57,'LAC 102_Wkst'!$L$7:$L$2010,"10",'LAC 102_Wkst'!$N$7:$N$2010,"P4")</f>
        <v>0</v>
      </c>
      <c r="AR57" s="410">
        <f>SUMIFS('LAC 102_Wkst'!$Q$7:$Q$2010,'LAC 102_Wkst'!$D$7:$D$2010,$C$7,'LAC 102_Wkst'!$I$7:$I$2010,$C$9,'LAC 102_Wkst'!$E$7:$E$2010,$C57,'LAC 102_Wkst'!$G$7:$G$2010,$D57,'LAC 102_Wkst'!$L$7:$L$2010,"10",'LAC 102_Wkst'!$N$7:$N$2010,"P5")</f>
        <v>0</v>
      </c>
      <c r="AS57" s="411">
        <f>SUMIFS('LAC 102_Wkst'!$AF$7:$AF$2010,'LAC 102_Wkst'!$D$7:$D$2010,$C$7,'LAC 102_Wkst'!$I$7:$I$2010,$C$9,'LAC 102_Wkst'!$E$7:$E$2010,$C57,'LAC 102_Wkst'!$G$7:$G$2010,$D57,'LAC 102_Wkst'!$L$7:$L$2010,"10",'LAC 102_Wkst'!$N$7:$N$2010,"P5")</f>
        <v>0</v>
      </c>
      <c r="AT57" s="410">
        <f>SUMIFS('LAC 102_Wkst'!$Q$7:$Q$2010,'LAC 102_Wkst'!$D$7:$D$2010,$C$7,'LAC 102_Wkst'!$I$7:$I$2010,$C$9,'LAC 102_Wkst'!$E$7:$E$2010,$C57,'LAC 102_Wkst'!$G$7:$G$2010,$D57,'LAC 102_Wkst'!$L$7:$L$2010,"11",'LAC 102_Wkst'!$N$7:$N$2010,"P1")+SUMIFS('LAC 102_Wkst'!$Q$7:$Q$2010,'LAC 102_Wkst'!$D$7:$D$2010,$C$7,'LAC 102_Wkst'!$I$7:$I$2010,$C$9,'LAC 102_Wkst'!$E$7:$E$2010,$C57,'LAC 102_Wkst'!$G$7:$G$2010,$D57,'LAC 102_Wkst'!$L$7:$L$2010,"12",'LAC 102_Wkst'!$N$7:$N$2010,"P1")</f>
        <v>0</v>
      </c>
      <c r="AU57" s="411">
        <f>SUMIFS('LAC 102_Wkst'!$Q$7:$Q$2010,'LAC 102_Wkst'!$D$7:$D$2010,$C$7,'LAC 102_Wkst'!$I$7:$I$2010,$C$9,'LAC 102_Wkst'!$E$7:$E$2010,$C57,'LAC 102_Wkst'!$G$7:$G$2010,$D57,'LAC 102_Wkst'!$L$7:$L$2010,"13",'LAC 102_Wkst'!$N$7:$N$2010,"P5")</f>
        <v>0</v>
      </c>
      <c r="AV57" s="410">
        <f>SUMIFS('LAC 102_Wkst'!$Q$7:$Q$2010,'LAC 102_Wkst'!$D$7:$D$2010,$C$7,'LAC 102_Wkst'!$I$7:$I$2010,$C$9,'LAC 102_Wkst'!$E$7:$E$2010,$C57,'LAC 102_Wkst'!$G$7:$G$2010,$D57,'LAC 102_Wkst'!$L$7:$L$2010,"11",'LAC 102_Wkst'!$N$7:$N$2010,"P2")+SUMIFS('LAC 102_Wkst'!$Q$7:$Q$2010,'LAC 102_Wkst'!$D$7:$D$2010,$C$7,'LAC 102_Wkst'!$I$7:$I$2010,$C$9,'LAC 102_Wkst'!$E$7:$E$2010,$C57,'LAC 102_Wkst'!$G$7:$G$2010,$D57,'LAC 102_Wkst'!$L$7:$L$2010,"12",'LAC 102_Wkst'!$N$7:$N$2010,"P2")+SUMIFS('LAC 102_Wkst'!$Q$7:$Q$2010,'LAC 102_Wkst'!$D$7:$D$2010,$C$7,'LAC 102_Wkst'!$I$7:$I$2010,$C$9,'LAC 102_Wkst'!$E$7:$E$2010,$C57,'LAC 102_Wkst'!$G$7:$G$2010,$D57,'LAC 102_Wkst'!$L$7:$L$2010,"11",'LAC 102_Wkst'!$N$7:$N$2010,"P3")+SUMIFS('LAC 102_Wkst'!$Q$7:$Q$2010,'LAC 102_Wkst'!$D$7:$D$2010,$C$7,'LAC 102_Wkst'!$I$7:$I$2010,$C$9,'LAC 102_Wkst'!$E$7:$E$2010,$C57,'LAC 102_Wkst'!$G$7:$G$2010,$D57,'LAC 102_Wkst'!$L$7:$L$2010,"12",'LAC 102_Wkst'!$N$7:$N$2010,"P3")</f>
        <v>0</v>
      </c>
      <c r="AW57" s="411">
        <f>SUMIFS('LAC 102_Wkst'!$AF$7:$AF$2010,'LAC 102_Wkst'!$D$7:$D$2010,$C$7,'LAC 102_Wkst'!$I$7:$I$2010,$C$9,'LAC 102_Wkst'!$E$7:$E$2010,$C57,'LAC 102_Wkst'!$G$7:$G$2010,$D57,'LAC 102_Wkst'!$L$7:$L$2010,"11",'LAC 102_Wkst'!$N$7:$N$2010,"P2")+SUMIFS('LAC 102_Wkst'!$AF$7:$AF$2010,'LAC 102_Wkst'!$D$7:$D$2010,$C$7,'LAC 102_Wkst'!$I$7:$I$2010,$C$9,'LAC 102_Wkst'!$E$7:$E$2010,$C57,'LAC 102_Wkst'!$G$7:$G$2010,$D57,'LAC 102_Wkst'!$L$7:$L$2010,"12",'LAC 102_Wkst'!$N$7:$N$2010,"P2")+SUMIFS('LAC 102_Wkst'!$AF$7:$AF$2010,'LAC 102_Wkst'!$D$7:$D$2010,$C$7,'LAC 102_Wkst'!$I$7:$I$2010,$C$9,'LAC 102_Wkst'!$E$7:$E$2010,$C57,'LAC 102_Wkst'!$G$7:$G$2010,$D57,'LAC 102_Wkst'!$L$7:$L$2010,"11",'LAC 102_Wkst'!$N$7:$N$2010,"P3")+SUMIFS('LAC 102_Wkst'!$AF$7:$AF$2010,'LAC 102_Wkst'!$D$7:$D$2010,$C$7,'LAC 102_Wkst'!$I$7:$I$2010,$C$9,'LAC 102_Wkst'!$E$7:$E$2010,$C57,'LAC 102_Wkst'!$G$7:$G$2010,$D57,'LAC 102_Wkst'!$L$7:$L$2010,"12",'LAC 102_Wkst'!$N$7:$N$2010,"P3")</f>
        <v>0</v>
      </c>
      <c r="AX57" s="410">
        <f>SUMIFS('LAC 102_Wkst'!$Q$7:$Q$2010,'LAC 102_Wkst'!$D$7:$D$2010,$C$7,'LAC 102_Wkst'!$I$7:$I$2010,$C$9,'LAC 102_Wkst'!$E$7:$E$2010,$C57,'LAC 102_Wkst'!$G$7:$G$2010,$D57,'LAC 102_Wkst'!$L$7:$L$2010,"11",'LAC 102_Wkst'!$N$7:$N$2010,"P4")+SUMIFS('LAC 102_Wkst'!$Q$7:$Q$2010,'LAC 102_Wkst'!$D$7:$D$2010,$C$7,'LAC 102_Wkst'!$I$7:$I$2010,$C$9,'LAC 102_Wkst'!$E$7:$E$2010,$C57,'LAC 102_Wkst'!$G$7:$G$2010,$D57,'LAC 102_Wkst'!$L$7:$L$2010,"12",'LAC 102_Wkst'!$N$7:$N$2010,"P4")</f>
        <v>0</v>
      </c>
      <c r="AY57" s="411">
        <f>SUMIFS('LAC 102_Wkst'!$AF$7:$AF$2010,'LAC 102_Wkst'!$D$7:$D$2010,$C$7,'LAC 102_Wkst'!$I$7:$I$2010,$C$9,'LAC 102_Wkst'!$E$7:$E$2010,$C57,'LAC 102_Wkst'!$G$7:$G$2010,$D57,'LAC 102_Wkst'!$L$7:$L$2010,"11",'LAC 102_Wkst'!$N$7:$N$2010,"P4")+SUMIFS('LAC 102_Wkst'!$AF$7:$AF$2010,'LAC 102_Wkst'!$D$7:$D$2010,$C$7,'LAC 102_Wkst'!$I$7:$I$2010,$C$9,'LAC 102_Wkst'!$E$7:$E$2010,$C57,'LAC 102_Wkst'!$G$7:$G$2010,$D57,'LAC 102_Wkst'!$L$7:$L$2010,"12",'LAC 102_Wkst'!$N$7:$N$2010,"P4")</f>
        <v>0</v>
      </c>
      <c r="AZ57" s="410">
        <f>SUMIFS('LAC 102_Wkst'!$Q$7:$Q$2010,'LAC 102_Wkst'!$D$7:$D$2010,$C$7,'LAC 102_Wkst'!$I$7:$I$2010,$C$9,'LAC 102_Wkst'!$E$7:$E$2010,$C57,'LAC 102_Wkst'!$G$7:$G$2010,$D57,'LAC 102_Wkst'!$L$7:$L$2010,"11",'LAC 102_Wkst'!$N$7:$N$2010,"P5")+SUMIFS('LAC 102_Wkst'!$Q$7:$Q$2010,'LAC 102_Wkst'!$D$7:$D$2010,$C$7,'LAC 102_Wkst'!$I$7:$I$2010,$C$9,'LAC 102_Wkst'!$E$7:$E$2010,$C57,'LAC 102_Wkst'!$G$7:$G$2010,$D57,'LAC 102_Wkst'!$L$7:$L$2010,"12",'LAC 102_Wkst'!$N$7:$N$2010,"P5")</f>
        <v>0</v>
      </c>
      <c r="BA57" s="411">
        <f>SUMIFS('LAC 102_Wkst'!$AF$7:$AF$2010,'LAC 102_Wkst'!$D$7:$D$2010,$C$7,'LAC 102_Wkst'!$I$7:$I$2010,$C$9,'LAC 102_Wkst'!$E$7:$E$2010,$C57,'LAC 102_Wkst'!$G$7:$G$2010,$D57,'LAC 102_Wkst'!$L$7:$L$2010,"11",'LAC 102_Wkst'!$N$7:$N$2010,"P5")+SUMIFS('LAC 102_Wkst'!$AF$7:$AF$2010,'LAC 102_Wkst'!$D$7:$D$2010,$C$7,'LAC 102_Wkst'!$I$7:$I$2010,$C$9,'LAC 102_Wkst'!$E$7:$E$2010,$C57,'LAC 102_Wkst'!$G$7:$G$2010,$D57,'LAC 102_Wkst'!$L$7:$L$2010,"12",'LAC 102_Wkst'!$N$7:$N$2010,"P5")</f>
        <v>0</v>
      </c>
      <c r="BB57" s="410">
        <f>SUMIFS('LAC 102_Wkst'!$Q$7:$Q$2010,'LAC 102_Wkst'!$D$7:$D$2010,$C$7,'LAC 102_Wkst'!$I$7:$I$2010,$C$9,'LAC 102_Wkst'!$E$7:$E$2010,$C57,'LAC 102_Wkst'!$G$7:$G$2010,$D57,'LAC 102_Wkst'!$L$7:$L$2010,"13",'LAC 102_Wkst'!$N$7:$N$2010,"P1")+SUMIFS('LAC 102_Wkst'!$Q$7:$Q$2010,'LAC 102_Wkst'!$D$7:$D$2010,$C$7,'LAC 102_Wkst'!$I$7:$I$2010,$C$9,'LAC 102_Wkst'!$E$7:$E$2010,$C57,'LAC 102_Wkst'!$G$7:$G$2010,$D57,'LAC 102_Wkst'!$L$7:$L$2010,"13",'LAC 102_Wkst'!$N$7:$N$2010,"P2")+SUMIFS('LAC 102_Wkst'!$Q$7:$Q$2010,'LAC 102_Wkst'!$D$7:$D$2010,$C$7,'LAC 102_Wkst'!$I$7:$I$2010,$C$9,'LAC 102_Wkst'!$E$7:$E$2010,$C57,'LAC 102_Wkst'!$G$7:$G$2010,$D57,'LAC 102_Wkst'!$L$7:$L$2010,"13",'LAC 102_Wkst'!$N$7:$N$2010,"P3")+SUMIFS('LAC 102_Wkst'!$Q$7:$Q$2010,'LAC 102_Wkst'!$D$7:$D$2010,$C$7,'LAC 102_Wkst'!$I$7:$I$2010,$C$9,'LAC 102_Wkst'!$E$7:$E$2010,$C57,'LAC 102_Wkst'!$G$7:$G$2010,$D57,'LAC 102_Wkst'!$L$7:$L$2010,"13",'LAC 102_Wkst'!$N$7:$N$2010,"P4")</f>
        <v>0</v>
      </c>
      <c r="BC57" s="411">
        <f>SUMIFS('LAC 102_Wkst'!$AF$7:$AF$2010,'LAC 102_Wkst'!$D$7:$D$2010,$C$7,'LAC 102_Wkst'!$I$7:$I$2010,$C$9,'LAC 102_Wkst'!$E$7:$E$2010,$C57,'LAC 102_Wkst'!$G$7:$G$2010,$D57,'LAC 102_Wkst'!$L$7:$L$2010,"13",'LAC 102_Wkst'!$N$7:$N$2010,"P1")+SUMIFS('LAC 102_Wkst'!$AF$7:$AF$2010,'LAC 102_Wkst'!$D$7:$D$2010,$C$7,'LAC 102_Wkst'!$I$7:$I$2010,$C$9,'LAC 102_Wkst'!$E$7:$E$2010,$C57,'LAC 102_Wkst'!$G$7:$G$2010,$D57,'LAC 102_Wkst'!$L$7:$L$2010,"13",'LAC 102_Wkst'!$N$7:$N$2010,"P2")+SUMIFS('LAC 102_Wkst'!$AF$7:$AF$2010,'LAC 102_Wkst'!$D$7:$D$2010,$C$7,'LAC 102_Wkst'!$I$7:$I$2010,$C$9,'LAC 102_Wkst'!$E$7:$E$2010,$C57,'LAC 102_Wkst'!$G$7:$G$2010,$D57,'LAC 102_Wkst'!$L$7:$L$2010,"13",'LAC 102_Wkst'!$N$7:$N$2010,"P3")+SUMIFS('LAC 102_Wkst'!$AF$7:$AF$2010,'LAC 102_Wkst'!$D$7:$D$2010,$C$7,'LAC 102_Wkst'!$I$7:$I$2010,$C$9,'LAC 102_Wkst'!$E$7:$E$2010,$C57,'LAC 102_Wkst'!$G$7:$G$2010,$D57,'LAC 102_Wkst'!$L$7:$L$2010,"13",'LAC 102_Wkst'!$N$7:$N$2010,"P4")</f>
        <v>0</v>
      </c>
      <c r="BD57" s="410">
        <f>SUMIFS('LAC 102_Wkst'!$Q$7:$Q$2010,'LAC 102_Wkst'!$D$7:$D$2010,$C$7,'LAC 102_Wkst'!$I$7:$I$2010,$C$9,'LAC 102_Wkst'!$E$7:$E$2010,$C57,'LAC 102_Wkst'!$G$7:$G$2010,$D57,'LAC 102_Wkst'!$L$7:$L$2010,"13",'LAC 102_Wkst'!$N$7:$N$2010,"P5")</f>
        <v>0</v>
      </c>
      <c r="BE57" s="411">
        <f>SUMIFS('LAC 102_Wkst'!$AF$7:$AF$2010,'LAC 102_Wkst'!$D$7:$D$2010,$C$7,'LAC 102_Wkst'!$I$7:$I$2010,$C$9,'LAC 102_Wkst'!$E$7:$E$2010,$C57,'LAC 102_Wkst'!$G$7:$G$2010,$D57,'LAC 102_Wkst'!$L$7:$L$2010,"13",'LAC 102_Wkst'!$N$7:$N$2010,"P5")</f>
        <v>0</v>
      </c>
      <c r="BF57" s="407">
        <f t="shared" si="4"/>
        <v>0</v>
      </c>
      <c r="BG57" s="1654">
        <f>SUMIFS('LAC 102_Wkst'!$AF$7:$AF$2010,'LAC 102_Wkst'!$D$7:$D$2010,$C$7,'LAC 102_Wkst'!$I$7:$I$2010,$C$9,'LAC 102_Wkst'!$E$7:$E$2010,$C57,'LAC 102_Wkst'!$G$7:$G$2010,$D57,'LAC 102_Wkst'!$L$7:$L$2010,"14")</f>
        <v>0</v>
      </c>
    </row>
    <row r="58" spans="1:59" x14ac:dyDescent="0.2">
      <c r="A58" s="401">
        <v>36</v>
      </c>
      <c r="B58" s="1678" t="str">
        <f>IF(Schedule_B!B$55="","",Schedule_B!B$55)</f>
        <v/>
      </c>
      <c r="C58" s="1674" t="str">
        <f>IF(Schedule_B!C$55=""," ",Schedule_B!C$55)</f>
        <v xml:space="preserve"> </v>
      </c>
      <c r="D58" s="1675" t="str">
        <f>IF(Schedule_B!D$55=""," ",Schedule_B!D$55)</f>
        <v xml:space="preserve"> </v>
      </c>
      <c r="E58" s="1221">
        <f>SUMIFS('LAC 102_Wkst'!$Q$7:$Q$2010,'LAC 102_Wkst'!$D$7:$D$2010,$C$7,'LAC 102_Wkst'!$I$7:$I$2010,$C$9,'LAC 102_Wkst'!$E$7:$E$2010,$C58,'LAC 102_Wkst'!$G$7:$G$2010,$D58)</f>
        <v>0</v>
      </c>
      <c r="F58" s="408">
        <f>SUMIFS('LAC 102_Wkst'!$Q$7:$Q$2010,'LAC 102_Wkst'!$D$7:$D$2010,$C$7,'LAC 102_Wkst'!$I$7:$I$2010,$C$9,'LAC 102_Wkst'!$E$7:$E$2010,$C58,'LAC 102_Wkst'!$G$7:$G$2010,$D58,'LAC 102_Wkst'!$L$7:$L$2010,"01",'LAC 102_Wkst'!$N$7:$N$2010,"P1")+SUMIFS('LAC 102_Wkst'!$Q$7:$Q$2010,'LAC 102_Wkst'!$D$7:$D$2010,$C$7,'LAC 102_Wkst'!$I$7:$I$2010,$C$9,'LAC 102_Wkst'!$E$7:$E$2010,$C58,'LAC 102_Wkst'!$G$7:$G$2010,$D58,'LAC 102_Wkst'!$L$7:$L$2010,"01",'LAC 102_Wkst'!$N$7:$N$2010,"P2")+SUMIFS('LAC 102_Wkst'!$Q$7:$Q$2010,'LAC 102_Wkst'!$D$7:$D$2010,$C$7,'LAC 102_Wkst'!$I$7:$I$2010,$C$9,'LAC 102_Wkst'!$E$7:$E$2010,$C58,'LAC 102_Wkst'!$G$7:$G$2010,$D58,'LAC 102_Wkst'!$L$7:$L$2010,"01",'LAC 102_Wkst'!$N$7:$N$2010,"P3")+SUMIFS('LAC 102_Wkst'!$Q$7:$Q$2010,'LAC 102_Wkst'!$D$7:$D$2010,$C$7,'LAC 102_Wkst'!$I$7:$I$2010,$C$9,'LAC 102_Wkst'!$E$7:$E$2010,$C58,'LAC 102_Wkst'!$G$7:$G$2010,$D58,'LAC 102_Wkst'!$L$7:$L$2010,"02",'LAC 102_Wkst'!$N$7:$N$2010,"P1")+SUMIFS('LAC 102_Wkst'!$Q$7:$Q$2010,'LAC 102_Wkst'!$D$7:$D$2010,$C$7,'LAC 102_Wkst'!$I$7:$I$2010,$C$9,'LAC 102_Wkst'!$E$7:$E$2010,$C58,'LAC 102_Wkst'!$G$7:$G$2010,$D58,'LAC 102_Wkst'!$L$7:$L$2010,"02",'LAC 102_Wkst'!$N$7:$N$2010,"P2")+SUMIFS('LAC 102_Wkst'!$Q$7:$Q$2010,'LAC 102_Wkst'!$D$7:$D$2010,$C$7,'LAC 102_Wkst'!$I$7:$I$2010,$C$9,'LAC 102_Wkst'!$E$7:$E$2010,$C58,'LAC 102_Wkst'!$G$7:$G$2010,$D58,'LAC 102_Wkst'!$L$7:$L$2010,"02",'LAC 102_Wkst'!$N$7:$N$2010,"P3")</f>
        <v>0</v>
      </c>
      <c r="G58" s="409">
        <f>SUMIFS('LAC 102_Wkst'!$AF$7:$AF$2010,'LAC 102_Wkst'!$D$7:$D$2010,$C$7,'LAC 102_Wkst'!$I$7:$I$2010,$C$9,'LAC 102_Wkst'!$E$7:$E$2010,$C58,'LAC 102_Wkst'!$G$7:$G$2010,$D58,'LAC 102_Wkst'!$L$7:$L$2010,"01",'LAC 102_Wkst'!$N$7:$N$2010,"P1")+SUMIFS('LAC 102_Wkst'!$AF$7:$AF$2010,'LAC 102_Wkst'!$D$7:$D$2010,$C$7,'LAC 102_Wkst'!$I$7:$I$2010,$C$9,'LAC 102_Wkst'!$E$7:$E$2010,$C58,'LAC 102_Wkst'!$G$7:$G$2010,$D58,'LAC 102_Wkst'!$L$7:$L$2010,"01",'LAC 102_Wkst'!$N$7:$N$2010,"P2")+SUMIFS('LAC 102_Wkst'!$AF$7:$AF$2010,'LAC 102_Wkst'!$D$7:$D$2010,$C$7,'LAC 102_Wkst'!$I$7:$I$2010,$C$9,'LAC 102_Wkst'!$E$7:$E$2010,$C58,'LAC 102_Wkst'!$G$7:$G$2010,$D58,'LAC 102_Wkst'!$L$7:$L$2010,"01",'LAC 102_Wkst'!$N$7:$N$2010,"P3")+SUMIFS('LAC 102_Wkst'!$AF$7:$AF$2010,'LAC 102_Wkst'!$D$7:$D$2010,$C$7,'LAC 102_Wkst'!$I$7:$I$2010,$C$9,'LAC 102_Wkst'!$E$7:$E$2010,$C58,'LAC 102_Wkst'!$G$7:$G$2010,$D58,'LAC 102_Wkst'!$L$7:$L$2010,"02",'LAC 102_Wkst'!$N$7:$N$2010,"P1")+SUMIFS('LAC 102_Wkst'!$AF$7:$AF$2010,'LAC 102_Wkst'!$D$7:$D$2010,$C$7,'LAC 102_Wkst'!$I$7:$I$2010,$C$9,'LAC 102_Wkst'!$E$7:$E$2010,$C58,'LAC 102_Wkst'!$G$7:$G$2010,$D58,'LAC 102_Wkst'!$L$7:$L$2010,"02",'LAC 102_Wkst'!$N$7:$N$2010,"P2")+SUMIFS('LAC 102_Wkst'!$AF$7:$AF$2010,'LAC 102_Wkst'!$D$7:$D$2010,$C$7,'LAC 102_Wkst'!$I$7:$I$2010,$C$9,'LAC 102_Wkst'!$E$7:$E$2010,$C58,'LAC 102_Wkst'!$G$7:$G$2010,$D58,'LAC 102_Wkst'!$L$7:$L$2010,"02",'LAC 102_Wkst'!$N$7:$N$2010,"P3")</f>
        <v>0</v>
      </c>
      <c r="H58" s="410">
        <f>SUMIFS('LAC 102_Wkst'!$Q$7:$Q$2010,'LAC 102_Wkst'!$D$7:$D$2010,$C$7,'LAC 102_Wkst'!$I$7:$I$2010,$C$9,'LAC 102_Wkst'!$E$7:$E$2010,$C58,'LAC 102_Wkst'!$G$7:$G$2010,$D58,'LAC 102_Wkst'!$L$7:$L$2010,"01",'LAC 102_Wkst'!$N$7:$N$2010,"P4")+SUMIFS('LAC 102_Wkst'!$Q$7:$Q$2010,'LAC 102_Wkst'!$D$7:$D$2010,$C$7,'LAC 102_Wkst'!$I$7:$I$2010,$C$9,'LAC 102_Wkst'!$E$7:$E$2010,$C58,'LAC 102_Wkst'!$G$7:$G$2010,$D58,'LAC 102_Wkst'!$L$7:$L$2010,"02",'LAC 102_Wkst'!$N$7:$N$2010,"P4")</f>
        <v>0</v>
      </c>
      <c r="I58" s="411">
        <f>SUMIFS('LAC 102_Wkst'!$AF$7:$AF$2010,'LAC 102_Wkst'!$D$7:$D$2010,$C$7,'LAC 102_Wkst'!$I$7:$I$2010,$C$9,'LAC 102_Wkst'!$E$7:$E$2010,$C58,'LAC 102_Wkst'!$G$7:$G$2010,$D58,'LAC 102_Wkst'!$L$7:$L$2010,"01",'LAC 102_Wkst'!$N$7:$N$2010,"P4")+SUMIFS('LAC 102_Wkst'!$AF$7:$AF$2010,'LAC 102_Wkst'!$D$7:$D$2010,$C$7,'LAC 102_Wkst'!$I$7:$I$2010,$C$9,'LAC 102_Wkst'!$E$7:$E$2010,$C58,'LAC 102_Wkst'!$G$7:$G$2010,$D58,'LAC 102_Wkst'!$L$7:$L$2010,"02",'LAC 102_Wkst'!$N$7:$N$2010,"P4")</f>
        <v>0</v>
      </c>
      <c r="J58" s="410">
        <f>SUMIFS('LAC 102_Wkst'!$Q$7:$Q$2010,'LAC 102_Wkst'!$D$7:$D$2010,$C$7,'LAC 102_Wkst'!$I$7:$I$2010,$C$9,'LAC 102_Wkst'!$E$7:$E$2010,$C58,'LAC 102_Wkst'!$G$7:$G$2010,$D58,'LAC 102_Wkst'!$L$7:$L$2010,"01",'LAC 102_Wkst'!$N$7:$N$2010,"P5")+SUMIFS('LAC 102_Wkst'!$Q$7:$Q$2010,'LAC 102_Wkst'!$D$7:$D$2010,$C$7,'LAC 102_Wkst'!$I$7:$I$2010,$C$9,'LAC 102_Wkst'!$E$7:$E$2010,$C58,'LAC 102_Wkst'!$G$7:$G$2010,$D58,'LAC 102_Wkst'!$L$7:$L$2010,"02",'LAC 102_Wkst'!$N$7:$N$2010,"P5")</f>
        <v>0</v>
      </c>
      <c r="K58" s="411">
        <f>SUMIFS('LAC 102_Wkst'!$AF$7:$AF$2010,'LAC 102_Wkst'!$D$7:$D$2010,$C$7,'LAC 102_Wkst'!$I$7:$I$2010,$C$9,'LAC 102_Wkst'!$E$7:$E$2010,$C58,'LAC 102_Wkst'!$G$7:$G$2010,$D58,'LAC 102_Wkst'!$L$7:$L$2010,"01",'LAC 102_Wkst'!$N$7:$N$2010,"P5")+SUMIFS('LAC 102_Wkst'!$AF$7:$AF$2010,'LAC 102_Wkst'!$D$7:$D$2010,$C$7,'LAC 102_Wkst'!$I$7:$I$2010,$C$9,'LAC 102_Wkst'!$E$7:$E$2010,$C58,'LAC 102_Wkst'!$G$7:$G$2010,$D58,'LAC 102_Wkst'!$L$7:$L$2010,"02",'LAC 102_Wkst'!$N$7:$N$2010,"P5")</f>
        <v>0</v>
      </c>
      <c r="L58" s="410">
        <f>SUMIFS('LAC 102_Wkst'!$Q$7:$Q$2010,'LAC 102_Wkst'!$D$7:$D$2010,$C$7,'LAC 102_Wkst'!$I$7:$I$2010,$C$9,'LAC 102_Wkst'!$E$7:$E$2010,$C58,'LAC 102_Wkst'!$G$7:$G$2010,$D58,'LAC 102_Wkst'!$L$7:$L$2010,"03",'LAC 102_Wkst'!$N$7:$N$2010,"P1")+SUMIFS('LAC 102_Wkst'!$Q$7:$Q$2010,'LAC 102_Wkst'!$D$7:$D$2010,$C$7,'LAC 102_Wkst'!$I$7:$I$2010,$C$9,'LAC 102_Wkst'!$E$7:$E$2010,$C58,'LAC 102_Wkst'!$G$7:$G$2010,$D58,'LAC 102_Wkst'!$L$7:$L$2010,"03",'LAC 102_Wkst'!$N$7:$N$2010,"P2")+SUMIFS('LAC 102_Wkst'!$Q$7:$Q$2010,'LAC 102_Wkst'!$D$7:$D$2010,$C$7,'LAC 102_Wkst'!$I$7:$I$2010,$C$9,'LAC 102_Wkst'!$E$7:$E$2010,$C58,'LAC 102_Wkst'!$G$7:$G$2010,$D58,'LAC 102_Wkst'!$L$7:$L$2010,"03",'LAC 102_Wkst'!$N$7:$N$2010,"P3")+SUMIFS('LAC 102_Wkst'!$Q$7:$Q$2010,'LAC 102_Wkst'!$D$7:$D$2010,$C$7,'LAC 102_Wkst'!$I$7:$I$2010,$C$9,'LAC 102_Wkst'!$E$7:$E$2010,$C58,'LAC 102_Wkst'!$G$7:$G$2010,$D58,'LAC 102_Wkst'!$L$7:$L$2010,"04",'LAC 102_Wkst'!$N$7:$N$2010,"P1")+SUMIFS('LAC 102_Wkst'!$Q$7:$Q$2010,'LAC 102_Wkst'!$D$7:$D$2010,$C$7,'LAC 102_Wkst'!$I$7:$I$2010,$C$9,'LAC 102_Wkst'!$E$7:$E$2010,$C58,'LAC 102_Wkst'!$G$7:$G$2010,$D58,'LAC 102_Wkst'!$L$7:$L$2010,"04",'LAC 102_Wkst'!$N$7:$N$2010,"P2")+SUMIFS('LAC 102_Wkst'!$Q$7:$Q$2010,'LAC 102_Wkst'!$D$7:$D$2010,$C$7,'LAC 102_Wkst'!$I$7:$I$2010,$C$9,'LAC 102_Wkst'!$E$7:$E$2010,$C58,'LAC 102_Wkst'!$G$7:$G$2010,$D58,'LAC 102_Wkst'!$L$7:$L$2010,"04",'LAC 102_Wkst'!$N$7:$N$2010,"P3")</f>
        <v>0</v>
      </c>
      <c r="M58" s="411">
        <f>SUMIFS('LAC 102_Wkst'!$AF$7:$AF$2010,'LAC 102_Wkst'!$D$7:$D$2010,$C$7,'LAC 102_Wkst'!$I$7:$I$2010,$C$9,'LAC 102_Wkst'!$E$7:$E$2010,$C58,'LAC 102_Wkst'!$G$7:$G$2010,$D58,'LAC 102_Wkst'!$L$7:$L$2010,"03",'LAC 102_Wkst'!$N$7:$N$2010,"P1")+SUMIFS('LAC 102_Wkst'!$AF$7:$AF$2010,'LAC 102_Wkst'!$D$7:$D$2010,$C$7,'LAC 102_Wkst'!$I$7:$I$2010,$C$9,'LAC 102_Wkst'!$E$7:$E$2010,$C58,'LAC 102_Wkst'!$G$7:$G$2010,$D58,'LAC 102_Wkst'!$L$7:$L$2010,"03",'LAC 102_Wkst'!$N$7:$N$2010,"P2")+SUMIFS('LAC 102_Wkst'!$AF$7:$AF$2010,'LAC 102_Wkst'!$D$7:$D$2010,$C$7,'LAC 102_Wkst'!$I$7:$I$2010,$C$9,'LAC 102_Wkst'!$E$7:$E$2010,$C58,'LAC 102_Wkst'!$G$7:$G$2010,$D58,'LAC 102_Wkst'!$L$7:$L$2010,"03",'LAC 102_Wkst'!$N$7:$N$2010,"P3")+SUMIFS('LAC 102_Wkst'!$AF$7:$AF$2010,'LAC 102_Wkst'!$D$7:$D$2010,$C$7,'LAC 102_Wkst'!$I$7:$I$2010,$C$9,'LAC 102_Wkst'!$E$7:$E$2010,$C58,'LAC 102_Wkst'!$G$7:$G$2010,$D58,'LAC 102_Wkst'!$L$7:$L$2010,"04",'LAC 102_Wkst'!$N$7:$N$2010,"P1")+SUMIFS('LAC 102_Wkst'!$AF$7:$AF$2010,'LAC 102_Wkst'!$D$7:$D$2010,$C$7,'LAC 102_Wkst'!$I$7:$I$2010,$C$9,'LAC 102_Wkst'!$E$7:$E$2010,$C58,'LAC 102_Wkst'!$G$7:$G$2010,$D58,'LAC 102_Wkst'!$L$7:$L$2010,"04",'LAC 102_Wkst'!$N$7:$N$2010,"P2")+SUMIFS('LAC 102_Wkst'!$AF$7:$AF$2010,'LAC 102_Wkst'!$D$7:$D$2010,$C$7,'LAC 102_Wkst'!$I$7:$I$2010,$C$9,'LAC 102_Wkst'!$E$7:$E$2010,$C58,'LAC 102_Wkst'!$G$7:$G$2010,$D58,'LAC 102_Wkst'!$L$7:$L$2010,"04",'LAC 102_Wkst'!$N$7:$N$2010,"P3")</f>
        <v>0</v>
      </c>
      <c r="N58" s="410">
        <f>SUMIFS('LAC 102_Wkst'!$Q$7:$Q$2010,'LAC 102_Wkst'!$D$7:$D$2010,$C$7,'LAC 102_Wkst'!$I$7:$I$2010,$C$9,'LAC 102_Wkst'!$E$7:$E$2010,$C58,'LAC 102_Wkst'!$G$7:$G$2010,$D58,'LAC 102_Wkst'!$L$7:$L$2010,"03",'LAC 102_Wkst'!$N$7:$N$2010,"P4")+SUMIFS('LAC 102_Wkst'!$Q$7:$Q$2010,'LAC 102_Wkst'!$D$7:$D$2010,$C$7,'LAC 102_Wkst'!$I$7:$I$2010,$C$9,'LAC 102_Wkst'!$E$7:$E$2010,$C58,'LAC 102_Wkst'!$G$7:$G$2010,$D58,'LAC 102_Wkst'!$L$7:$L$2010,"04",'LAC 102_Wkst'!$N$7:$N$2010,"P4")</f>
        <v>0</v>
      </c>
      <c r="O58" s="411">
        <f>SUMIFS('LAC 102_Wkst'!$AF$7:$AF$2010,'LAC 102_Wkst'!$D$7:$D$2010,$C$7,'LAC 102_Wkst'!$I$7:$I$2010,$C$9,'LAC 102_Wkst'!$E$7:$E$2010,$C58,'LAC 102_Wkst'!$G$7:$G$2010,$D58,'LAC 102_Wkst'!$L$7:$L$2010,"03",'LAC 102_Wkst'!$N$7:$N$2010,"P4")+SUMIFS('LAC 102_Wkst'!$AF$7:$AF$2010,'LAC 102_Wkst'!$D$7:$D$2010,$C$7,'LAC 102_Wkst'!$I$7:$I$2010,$C$9,'LAC 102_Wkst'!$E$7:$E$2010,$C58,'LAC 102_Wkst'!$G$7:$G$2010,$D58,'LAC 102_Wkst'!$L$7:$L$2010,"04",'LAC 102_Wkst'!$N$7:$N$2010,"P4")</f>
        <v>0</v>
      </c>
      <c r="P58" s="410">
        <f>SUMIFS('LAC 102_Wkst'!$Q$7:$Q$2010,'LAC 102_Wkst'!$D$7:$D$2010,$C$7,'LAC 102_Wkst'!$I$7:$I$2010,$C$9,'LAC 102_Wkst'!$E$7:$E$2010,$C58,'LAC 102_Wkst'!$G$7:$G$2010,$D58,'LAC 102_Wkst'!$L$7:$L$2010,"03",'LAC 102_Wkst'!$N$7:$N$2010,"P5")+SUMIFS('LAC 102_Wkst'!$Q$7:$Q$2010,'LAC 102_Wkst'!$D$7:$D$2010,$C$7,'LAC 102_Wkst'!$I$7:$I$2010,$C$9,'LAC 102_Wkst'!$E$7:$E$2010,$C58,'LAC 102_Wkst'!$G$7:$G$2010,$D58,'LAC 102_Wkst'!$L$7:$L$2010,"04",'LAC 102_Wkst'!$N$7:$N$2010,"P5")</f>
        <v>0</v>
      </c>
      <c r="Q58" s="411">
        <f>SUMIFS('LAC 102_Wkst'!$AF$7:$AF$2010,'LAC 102_Wkst'!$D$7:$D$2010,$C$7,'LAC 102_Wkst'!$I$7:$I$2010,$C$9,'LAC 102_Wkst'!$E$7:$E$2010,$C58,'LAC 102_Wkst'!$G$7:$G$2010,$D58,'LAC 102_Wkst'!$L$7:$L$2010,"03",'LAC 102_Wkst'!$N$7:$N$2010,"P5")+SUMIFS('LAC 102_Wkst'!$AF$7:$AF$2010,'LAC 102_Wkst'!$D$7:$D$2010,$C$7,'LAC 102_Wkst'!$I$7:$I$2010,$C$9,'LAC 102_Wkst'!$E$7:$E$2010,$C58,'LAC 102_Wkst'!$G$7:$G$2010,$D58,'LAC 102_Wkst'!$L$7:$L$2010,"04",'LAC 102_Wkst'!$N$7:$N$2010,"P5")</f>
        <v>0</v>
      </c>
      <c r="R58" s="412">
        <f>SUMIFS('LAC 102_Wkst'!$Q$7:$Q$2010,'LAC 102_Wkst'!$D$7:$D$2010,$C$7,'LAC 102_Wkst'!$I$7:$I$2010,$C$9,'LAC 102_Wkst'!$E$7:$E$2010,$C58,'LAC 102_Wkst'!$G$7:$G$2010,$D58,'LAC 102_Wkst'!$L$7:$L$2010,"05",'LAC 102_Wkst'!$N$7:$N$2010,"P1")+SUMIFS('LAC 102_Wkst'!$Q$7:$Q$2010,'LAC 102_Wkst'!$D$7:$D$2010,$C$7,'LAC 102_Wkst'!$I$7:$I$2010,$C$9,'LAC 102_Wkst'!$E$7:$E$2010,$C58,'LAC 102_Wkst'!$G$7:$G$2010,$D58,'LAC 102_Wkst'!$L$7:$L$2010,"06",'LAC 102_Wkst'!$N$7:$N$2010,"P1")</f>
        <v>0</v>
      </c>
      <c r="S58" s="411">
        <f>SUMIFS('LAC 102_Wkst'!$AF$7:$AF$2010,'LAC 102_Wkst'!$D$7:$D$2010,$C$7,'LAC 102_Wkst'!$I$7:$I$2010,$C$9,'LAC 102_Wkst'!$E$7:$E$2010,$C58,'LAC 102_Wkst'!$G$7:$G$2010,$D58,'LAC 102_Wkst'!$L$7:$L$2010,"05",'LAC 102_Wkst'!$N$7:$N$2010,"P1")+SUMIFS('LAC 102_Wkst'!$AF$7:$AF$2010,'LAC 102_Wkst'!$D$7:$D$2010,$C$7,'LAC 102_Wkst'!$I$7:$I$2010,$C$9,'LAC 102_Wkst'!$E$7:$E$2010,$C58,'LAC 102_Wkst'!$G$7:$G$2010,$D58,'LAC 102_Wkst'!$L$7:$L$2010,"06",'LAC 102_Wkst'!$N$7:$N$2010,"P1")</f>
        <v>0</v>
      </c>
      <c r="T58" s="410">
        <f>SUMIFS('LAC 102_Wkst'!$Q$7:$Q$2010,'LAC 102_Wkst'!$D$7:$D$2010,$C$7,'LAC 102_Wkst'!$I$7:$I$2010,$C$9,'LAC 102_Wkst'!$E$7:$E$2010,$C58,'LAC 102_Wkst'!$G$7:$G$2010,$D58,'LAC 102_Wkst'!$L$7:$L$2010,"05",'LAC 102_Wkst'!$N$7:$N$2010,"P2")+SUMIFS('LAC 102_Wkst'!$Q$7:$Q$2010,'LAC 102_Wkst'!$D$7:$D$2010,$C$7,'LAC 102_Wkst'!$I$7:$I$2010,$C$9,'LAC 102_Wkst'!$E$7:$E$2010,$C58,'LAC 102_Wkst'!$G$7:$G$2010,$D58,'LAC 102_Wkst'!$L$7:$L$2010,"06",'LAC 102_Wkst'!$N$7:$N$2010,"P2")+SUMIFS('LAC 102_Wkst'!$Q$7:$Q$2010,'LAC 102_Wkst'!$D$7:$D$2010,$C$7,'LAC 102_Wkst'!$I$7:$I$2010,$C$9,'LAC 102_Wkst'!$E$7:$E$2010,$C58,'LAC 102_Wkst'!$G$7:$G$2010,$D58,'LAC 102_Wkst'!$L$7:$L$2010,"05",'LAC 102_Wkst'!$N$7:$N$2010,"P3")+SUMIFS('LAC 102_Wkst'!$Q$7:$Q$2010,'LAC 102_Wkst'!$D$7:$D$2010,$C$7,'LAC 102_Wkst'!$I$7:$I$2010,$C$9,'LAC 102_Wkst'!$E$7:$E$2010,$C58,'LAC 102_Wkst'!$G$7:$G$2010,$D58,'LAC 102_Wkst'!$L$7:$L$2010,"06",'LAC 102_Wkst'!$N$7:$N$2010,"P3")</f>
        <v>0</v>
      </c>
      <c r="U58" s="411">
        <f>SUMIFS('LAC 102_Wkst'!$AF$7:$AF$2010,'LAC 102_Wkst'!$D$7:$D$2010,$C$7,'LAC 102_Wkst'!$I$7:$I$2010,$C$9,'LAC 102_Wkst'!$E$7:$E$2010,$C58,'LAC 102_Wkst'!$G$7:$G$2010,$D58,'LAC 102_Wkst'!$L$7:$L$2010,"05",'LAC 102_Wkst'!$N$7:$N$2010,"P2")+SUMIFS('LAC 102_Wkst'!$AF$7:$AF$2010,'LAC 102_Wkst'!$D$7:$D$2010,$C$7,'LAC 102_Wkst'!$I$7:$I$2010,$C$9,'LAC 102_Wkst'!$E$7:$E$2010,$C58,'LAC 102_Wkst'!$G$7:$G$2010,$D58,'LAC 102_Wkst'!$L$7:$L$2010,"06",'LAC 102_Wkst'!$N$7:$N$2010,"P2")+SUMIFS('LAC 102_Wkst'!$AF$7:$AF$2010,'LAC 102_Wkst'!$D$7:$D$2010,$C$7,'LAC 102_Wkst'!$I$7:$I$2010,$C$9,'LAC 102_Wkst'!$E$7:$E$2010,$C58,'LAC 102_Wkst'!$G$7:$G$2010,$D58,'LAC 102_Wkst'!$L$7:$L$2010,"05",'LAC 102_Wkst'!$N$7:$N$2010,"P3")+SUMIFS('LAC 102_Wkst'!$AF$7:$AF$2010,'LAC 102_Wkst'!$D$7:$D$2010,$C$7,'LAC 102_Wkst'!$I$7:$I$2010,$C$9,'LAC 102_Wkst'!$E$7:$E$2010,$C58,'LAC 102_Wkst'!$G$7:$G$2010,$D58,'LAC 102_Wkst'!$L$7:$L$2010,"06",'LAC 102_Wkst'!$N$7:$N$2010,"P3")</f>
        <v>0</v>
      </c>
      <c r="V58" s="410">
        <f>SUMIFS('LAC 102_Wkst'!$Q$7:$Q$2010,'LAC 102_Wkst'!$D$7:$D$2010,$C$7,'LAC 102_Wkst'!$I$7:$I$2010,$C$9,'LAC 102_Wkst'!$E$7:$E$2010,$C58,'LAC 102_Wkst'!$G$7:$G$2010,$D58,'LAC 102_Wkst'!$L$7:$L$2010,"05",'LAC 102_Wkst'!$N$7:$N$2010,"P4")+SUMIFS('LAC 102_Wkst'!$Q$7:$Q$2010,'LAC 102_Wkst'!$D$7:$D$2010,$C$7,'LAC 102_Wkst'!$I$7:$I$2010,$C$9,'LAC 102_Wkst'!$E$7:$E$2010,$C58,'LAC 102_Wkst'!$G$7:$G$2010,$D58,'LAC 102_Wkst'!$L$7:$L$2010,"06",'LAC 102_Wkst'!$N$7:$N$2010,"P4")</f>
        <v>0</v>
      </c>
      <c r="W58" s="411">
        <f>SUMIFS('LAC 102_Wkst'!$AF$7:$AF$2010,'LAC 102_Wkst'!$D$7:$D$2010,$C$7,'LAC 102_Wkst'!$I$7:$I$2010,$C$9,'LAC 102_Wkst'!$E$7:$E$2010,$C58,'LAC 102_Wkst'!$G$7:$G$2010,$D58,'LAC 102_Wkst'!$L$7:$L$2010,"05",'LAC 102_Wkst'!$N$7:$N$2010,"P4")+SUMIFS('LAC 102_Wkst'!$AF$7:$AF$2010,'LAC 102_Wkst'!$D$7:$D$2010,$C$7,'LAC 102_Wkst'!$I$7:$I$2010,$C$9,'LAC 102_Wkst'!$E$7:$E$2010,$C58,'LAC 102_Wkst'!$G$7:$G$2010,$D58,'LAC 102_Wkst'!$L$7:$L$2010,"06",'LAC 102_Wkst'!$N$7:$N$2010,"P4")</f>
        <v>0</v>
      </c>
      <c r="X58" s="410">
        <f>SUMIFS('LAC 102_Wkst'!$Q$7:$Q$2010,'LAC 102_Wkst'!$D$7:$D$2010,$C$7,'LAC 102_Wkst'!$I$7:$I$2010,$C$9,'LAC 102_Wkst'!$E$7:$E$2010,$C58,'LAC 102_Wkst'!$G$7:$G$2010,$D58,'LAC 102_Wkst'!$L$7:$L$2010,"05",'LAC 102_Wkst'!$N$7:$N$2010,"P5")+SUMIFS('LAC 102_Wkst'!$Q$7:$Q$2010,'LAC 102_Wkst'!$D$7:$D$2010,$C$7,'LAC 102_Wkst'!$I$7:$I$2010,$C$9,'LAC 102_Wkst'!$E$7:$E$2010,$C58,'LAC 102_Wkst'!$G$7:$G$2010,$D58,'LAC 102_Wkst'!$L$7:$L$2010,"06",'LAC 102_Wkst'!$N$7:$N$2010,"P5")</f>
        <v>0</v>
      </c>
      <c r="Y58" s="411">
        <f>SUMIFS('LAC 102_Wkst'!$AF$7:$AF$2010,'LAC 102_Wkst'!$D$7:$D$2010,$C$7,'LAC 102_Wkst'!$I$7:$I$2010,$C$9,'LAC 102_Wkst'!$E$7:$E$2010,$C58,'LAC 102_Wkst'!$G$7:$G$2010,$D58,'LAC 102_Wkst'!$L$7:$L$2010,"05",'LAC 102_Wkst'!$N$7:$N$2010,"P5")+SUMIFS('LAC 102_Wkst'!$AF$7:$AF$2010,'LAC 102_Wkst'!$D$7:$D$2010,$C$7,'LAC 102_Wkst'!$I$7:$I$2010,$C$9,'LAC 102_Wkst'!$E$7:$E$2010,$C58,'LAC 102_Wkst'!$G$7:$G$2010,$D58,'LAC 102_Wkst'!$L$7:$L$2010,"06",'LAC 102_Wkst'!$N$7:$N$2010,"P5")</f>
        <v>0</v>
      </c>
      <c r="Z58" s="410">
        <f>SUMIFS('LAC 102_Wkst'!$Q$7:$Q$2010,'LAC 102_Wkst'!$D$7:$D$2010,$C$7,'LAC 102_Wkst'!$I$7:$I$2010,$C$9,'LAC 102_Wkst'!$E$7:$E$2010,$C58,'LAC 102_Wkst'!$G$7:$G$2010,$D58,'LAC 102_Wkst'!$L$7:$L$2010,"07",'LAC 102_Wkst'!$N$7:$N$2010,"P1")+SUMIFS('LAC 102_Wkst'!$Q$7:$Q$2010,'LAC 102_Wkst'!$D$7:$D$2010,$C$7,'LAC 102_Wkst'!$I$7:$I$2010,$C$9,'LAC 102_Wkst'!$E$7:$E$2010,$C58,'LAC 102_Wkst'!$G$7:$G$2010,$D58,'LAC 102_Wkst'!$L$7:$L$2010,"07",'LAC 102_Wkst'!$N$7:$N$2010,"P2")+SUMIFS('LAC 102_Wkst'!$Q$7:$Q$2010,'LAC 102_Wkst'!$D$7:$D$2010,$C$7,'LAC 102_Wkst'!$I$7:$I$2010,$C$9,'LAC 102_Wkst'!$E$7:$E$2010,$C58,'LAC 102_Wkst'!$G$7:$G$2010,$D58,'LAC 102_Wkst'!$L$7:$L$2010,"07",'LAC 102_Wkst'!$N$7:$N$2010,"P3")</f>
        <v>0</v>
      </c>
      <c r="AA58" s="411">
        <f>SUMIFS('LAC 102_Wkst'!$AF$7:$AF$2010,'LAC 102_Wkst'!$D$7:$D$2010,$C$7,'LAC 102_Wkst'!$I$7:$I$2010,$C$9,'LAC 102_Wkst'!$E$7:$E$2010,$C58,'LAC 102_Wkst'!$G$7:$G$2010,$D58,'LAC 102_Wkst'!$L$7:$L$2010,"07",'LAC 102_Wkst'!$N$7:$N$2010,"P1")+SUMIFS('LAC 102_Wkst'!$AF$7:$AF$2010,'LAC 102_Wkst'!$D$7:$D$2010,$C$7,'LAC 102_Wkst'!$I$7:$I$2010,$C$9,'LAC 102_Wkst'!$E$7:$E$2010,$C58,'LAC 102_Wkst'!$G$7:$G$2010,$D58,'LAC 102_Wkst'!$L$7:$L$2010,"07",'LAC 102_Wkst'!$N$7:$N$2010,"P2")+SUMIFS('LAC 102_Wkst'!$AF$7:$AF$2010,'LAC 102_Wkst'!$D$7:$D$2010,$C$7,'LAC 102_Wkst'!$I$7:$I$2010,$C$9,'LAC 102_Wkst'!$E$7:$E$2010,$C58,'LAC 102_Wkst'!$G$7:$G$2010,$D58,'LAC 102_Wkst'!$L$7:$L$2010,"07",'LAC 102_Wkst'!$N$7:$N$2010,"P3")</f>
        <v>0</v>
      </c>
      <c r="AB58" s="410">
        <f>SUMIFS('LAC 102_Wkst'!$Q$7:$Q$2010,'LAC 102_Wkst'!$D$7:$D$2010,$C$7,'LAC 102_Wkst'!$I$7:$I$2010,$C$9,'LAC 102_Wkst'!$E$7:$E$2010,$C58,'LAC 102_Wkst'!$G$7:$G$2010,$D58,'LAC 102_Wkst'!$L$7:$L$2010,"07",'LAC 102_Wkst'!$N$7:$N$2010,"P4")</f>
        <v>0</v>
      </c>
      <c r="AC58" s="411">
        <f>SUMIFS('LAC 102_Wkst'!$AF$7:$AF$2010,'LAC 102_Wkst'!$D$7:$D$2010,$C$7,'LAC 102_Wkst'!$I$7:$I$2010,$C$9,'LAC 102_Wkst'!$E$7:$E$2010,$C58,'LAC 102_Wkst'!$G$7:$G$2010,$D58,'LAC 102_Wkst'!$L$7:$L$2010,"07",'LAC 102_Wkst'!$N$7:$N$2010,"P4")</f>
        <v>0</v>
      </c>
      <c r="AD58" s="410">
        <f>SUMIFS('LAC 102_Wkst'!$Q$7:$Q$2010,'LAC 102_Wkst'!$D$7:$D$2010,$C$7,'LAC 102_Wkst'!$I$7:$I$2010,$C$9,'LAC 102_Wkst'!$E$7:$E$2010,$C58,'LAC 102_Wkst'!$G$7:$G$2010,$D58,'LAC 102_Wkst'!$L$7:$L$2010,"07",'LAC 102_Wkst'!$N$7:$N$2010,"P5")</f>
        <v>0</v>
      </c>
      <c r="AE58" s="411">
        <f>SUMIFS('LAC 102_Wkst'!$AF$7:$AF$2010,'LAC 102_Wkst'!$D$7:$D$2010,$C$7,'LAC 102_Wkst'!$I$7:$I$2010,$C$9,'LAC 102_Wkst'!$E$7:$E$2010,$C58,'LAC 102_Wkst'!$G$7:$G$2010,$D58,'LAC 102_Wkst'!$L$7:$L$2010,"07",'LAC 102_Wkst'!$N$7:$N$2010,"P5")</f>
        <v>0</v>
      </c>
      <c r="AF58" s="410">
        <f>SUMIFS('LAC 102_Wkst'!$Q$7:$Q$2010,'LAC 102_Wkst'!$D$7:$D$2010,$C$7,'LAC 102_Wkst'!$I$7:$I$2010,$C$9,'LAC 102_Wkst'!$E$7:$E$2010,$C58,'LAC 102_Wkst'!$G$7:$G$2010,$D58,'LAC 102_Wkst'!$L$7:$L$2010,"08",'LAC 102_Wkst'!$N$7:$N$2010,"P1")+SUMIFS('LAC 102_Wkst'!$Q$7:$Q$2010,'LAC 102_Wkst'!$D$7:$D$2010,$C$7,'LAC 102_Wkst'!$I$7:$I$2010,$C$9,'LAC 102_Wkst'!$E$7:$E$2010,$C58,'LAC 102_Wkst'!$G$7:$G$2010,$D58,'LAC 102_Wkst'!$L$7:$L$2010,"08",'LAC 102_Wkst'!$N$7:$N$2010,"P2")+SUMIFS('LAC 102_Wkst'!$Q$7:$Q$2010,'LAC 102_Wkst'!$D$7:$D$2010,$C$7,'LAC 102_Wkst'!$I$7:$I$2010,$C$9,'LAC 102_Wkst'!$E$7:$E$2010,$C58,'LAC 102_Wkst'!$G$7:$G$2010,$D58,'LAC 102_Wkst'!$L$7:$L$2010,"08",'LAC 102_Wkst'!$N$7:$N$2010,"P3")</f>
        <v>0</v>
      </c>
      <c r="AG58" s="411">
        <f>SUMIFS('LAC 102_Wkst'!$AF$7:$AF$2010,'LAC 102_Wkst'!$D$7:$D$2010,$C$7,'LAC 102_Wkst'!$I$7:$I$2010,$C$9,'LAC 102_Wkst'!$E$7:$E$2010,$C58,'LAC 102_Wkst'!$G$7:$G$2010,$D58,'LAC 102_Wkst'!$L$7:$L$2010,"08",'LAC 102_Wkst'!$N$7:$N$2010,"P1")+SUMIFS('LAC 102_Wkst'!$AF$7:$AF$2010,'LAC 102_Wkst'!$D$7:$D$2010,$C$7,'LAC 102_Wkst'!$I$7:$I$2010,$C$9,'LAC 102_Wkst'!$E$7:$E$2010,$C58,'LAC 102_Wkst'!$G$7:$G$2010,$D58,'LAC 102_Wkst'!$L$7:$L$2010,"08",'LAC 102_Wkst'!$N$7:$N$2010,"P2")+SUMIFS('LAC 102_Wkst'!$AF$7:$AF$2010,'LAC 102_Wkst'!$D$7:$D$2010,$C$7,'LAC 102_Wkst'!$I$7:$I$2010,$C$9,'LAC 102_Wkst'!$E$7:$E$2010,$C58,'LAC 102_Wkst'!$G$7:$G$2010,$D58,'LAC 102_Wkst'!$L$7:$L$2010,"08",'LAC 102_Wkst'!$N$7:$N$2010,"P3")</f>
        <v>0</v>
      </c>
      <c r="AH58" s="410">
        <f>SUMIFS('LAC 102_Wkst'!$Q$7:$Q$2010,'LAC 102_Wkst'!$D$7:$D$2010,$C$7,'LAC 102_Wkst'!$I$7:$I$2010,$C$9,'LAC 102_Wkst'!$E$7:$E$2010,$C58,'LAC 102_Wkst'!$G$7:$G$2010,$D58,'LAC 102_Wkst'!$L$7:$L$2010,"08",'LAC 102_Wkst'!$N$7:$N$2010,"P4")</f>
        <v>0</v>
      </c>
      <c r="AI58" s="411">
        <f>SUMIFS('LAC 102_Wkst'!$AF$7:$AF$2010,'LAC 102_Wkst'!$D$7:$D$2010,$C$7,'LAC 102_Wkst'!$I$7:$I$2010,$C$9,'LAC 102_Wkst'!$E$7:$E$2010,$C58,'LAC 102_Wkst'!$G$7:$G$2010,$D58,'LAC 102_Wkst'!$L$7:$L$2010,"08",'LAC 102_Wkst'!$N$7:$N$2010,"P4")</f>
        <v>0</v>
      </c>
      <c r="AJ58" s="410">
        <f>SUMIFS('LAC 102_Wkst'!$Q$7:$Q$2010,'LAC 102_Wkst'!$D$7:$D$2010,$C$7,'LAC 102_Wkst'!$I$7:$I$2010,$C$9,'LAC 102_Wkst'!$E$7:$E$2010,$C58,'LAC 102_Wkst'!$G$7:$G$2010,$D58,'LAC 102_Wkst'!$L$7:$L$2010,"08",'LAC 102_Wkst'!$N$7:$N$2010,"P5")</f>
        <v>0</v>
      </c>
      <c r="AK58" s="411">
        <f>SUMIFS('LAC 102_Wkst'!$AF$7:$AF$2010,'LAC 102_Wkst'!$D$7:$D$2010,$C$7,'LAC 102_Wkst'!$I$7:$I$2010,$C$9,'LAC 102_Wkst'!$E$7:$E$2010,$C58,'LAC 102_Wkst'!$G$7:$G$2010,$D58,'LAC 102_Wkst'!$L$7:$L$2010,"08",'LAC 102_Wkst'!$N$7:$N$2010,"P5")</f>
        <v>0</v>
      </c>
      <c r="AL58" s="410">
        <f>SUMIFS('LAC 102_Wkst'!$Q$7:$Q$2010,'LAC 102_Wkst'!$D$7:$D$2010,$C$7,'LAC 102_Wkst'!$I$7:$I$2010,$C$9,'LAC 102_Wkst'!$E$7:$E$2010,$C58,'LAC 102_Wkst'!$G$7:$G$2010,$D58,'LAC 102_Wkst'!$L$7:$L$2010,"09",'LAC 102_Wkst'!$N$7:$N$2010,"P1")+SUMIFS('LAC 102_Wkst'!$Q$7:$Q$2010,'LAC 102_Wkst'!$D$7:$D$2010,$C$7,'LAC 102_Wkst'!$I$7:$I$2010,$C$9,'LAC 102_Wkst'!$E$7:$E$2010,$C58,'LAC 102_Wkst'!$G$7:$G$2010,$D58,'LAC 102_Wkst'!$L$7:$L$2010,"09",'LAC 102_Wkst'!$N$7:$N$2010,"P2")+SUMIFS('LAC 102_Wkst'!$Q$7:$Q$2010,'LAC 102_Wkst'!$D$7:$D$2010,$C$7,'LAC 102_Wkst'!$I$7:$I$2010,$C$9,'LAC 102_Wkst'!$E$7:$E$2010,$C58,'LAC 102_Wkst'!$G$7:$G$2010,$D58,'LAC 102_Wkst'!$L$7:$L$2010,"09",'LAC 102_Wkst'!$N$7:$N$2010,"P3")+SUMIFS('LAC 102_Wkst'!$Q$7:$Q$2010,'LAC 102_Wkst'!$D$7:$D$2010,$C$7,'LAC 102_Wkst'!$I$7:$I$2010,$C$9,'LAC 102_Wkst'!$E$7:$E$2010,$C58,'LAC 102_Wkst'!$G$7:$G$2010,$D58,'LAC 102_Wkst'!$L$7:$L$2010,"09",'LAC 102_Wkst'!$N$7:$N$2010,"P4")</f>
        <v>0</v>
      </c>
      <c r="AM58" s="411">
        <f>SUMIFS('LAC 102_Wkst'!$AF$7:$AF$2010,'LAC 102_Wkst'!$D$7:$D$2010,$C$7,'LAC 102_Wkst'!$I$7:$I$2010,$C$9,'LAC 102_Wkst'!$E$7:$E$2010,$C58,'LAC 102_Wkst'!$G$7:$G$2010,$D58,'LAC 102_Wkst'!$L$7:$L$2010,"09",'LAC 102_Wkst'!$N$7:$N$2010,"P1")+SUMIFS('LAC 102_Wkst'!$AF$7:$AF$2010,'LAC 102_Wkst'!$D$7:$D$2010,$C$7,'LAC 102_Wkst'!$I$7:$I$2010,$C$9,'LAC 102_Wkst'!$E$7:$E$2010,$C58,'LAC 102_Wkst'!$G$7:$G$2010,$D58,'LAC 102_Wkst'!$L$7:$L$2010,"09",'LAC 102_Wkst'!$N$7:$N$2010,"P2")+SUMIFS('LAC 102_Wkst'!$AF$7:$AF$2010,'LAC 102_Wkst'!$D$7:$D$2010,$C$7,'LAC 102_Wkst'!$I$7:$I$2010,$C$9,'LAC 102_Wkst'!$E$7:$E$2010,$C58,'LAC 102_Wkst'!$G$7:$G$2010,$D58,'LAC 102_Wkst'!$L$7:$L$2010,"09",'LAC 102_Wkst'!$N$7:$N$2010,"P3")+SUMIFS('LAC 102_Wkst'!$AF$7:$AF$2010,'LAC 102_Wkst'!$D$7:$D$2010,$C$7,'LAC 102_Wkst'!$I$7:$I$2010,$C$9,'LAC 102_Wkst'!$E$7:$E$2010,$C58,'LAC 102_Wkst'!$G$7:$G$2010,$D58,'LAC 102_Wkst'!$L$7:$L$2010,"09",'LAC 102_Wkst'!$N$7:$N$2010,"P4")</f>
        <v>0</v>
      </c>
      <c r="AN58" s="410">
        <f>SUMIFS('LAC 102_Wkst'!$Q$7:$Q$2010,'LAC 102_Wkst'!$D$7:$D$2010,$C$7,'LAC 102_Wkst'!$I$7:$I$2010,$C$9,'LAC 102_Wkst'!$E$7:$E$2010,$C58,'LAC 102_Wkst'!$G$7:$G$2010,$D58,'LAC 102_Wkst'!$L$7:$L$2010,"09",'LAC 102_Wkst'!$N$7:$N$2010,"P5")</f>
        <v>0</v>
      </c>
      <c r="AO58" s="411">
        <f>SUMIFS('LAC 102_Wkst'!$AF$7:$AF$2010,'LAC 102_Wkst'!$D$7:$D$2010,$C$7,'LAC 102_Wkst'!$I$7:$I$2010,$C$9,'LAC 102_Wkst'!$E$7:$E$2010,$C58,'LAC 102_Wkst'!$G$7:$G$2010,$D58,'LAC 102_Wkst'!$L$7:$L$2010,"09",'LAC 102_Wkst'!$N$7:$N$2010,"P5")</f>
        <v>0</v>
      </c>
      <c r="AP58" s="410">
        <f>SUMIFS('LAC 102_Wkst'!$Q$7:$Q$2010,'LAC 102_Wkst'!$D$7:$D$2010,$C$7,'LAC 102_Wkst'!$I$7:$I$2010,$C$9,'LAC 102_Wkst'!$E$7:$E$2010,$C58,'LAC 102_Wkst'!$G$7:$G$2010,$D58,'LAC 102_Wkst'!$L$7:$L$2010,"10",'LAC 102_Wkst'!$N$7:$N$2010,"P1")+SUMIFS('LAC 102_Wkst'!$Q$7:$Q$2010,'LAC 102_Wkst'!$D$7:$D$2010,$C$7,'LAC 102_Wkst'!$I$7:$I$2010,$C$9,'LAC 102_Wkst'!$E$7:$E$2010,$C58,'LAC 102_Wkst'!$G$7:$G$2010,$D58,'LAC 102_Wkst'!$L$7:$L$2010,"10",'LAC 102_Wkst'!$N$7:$N$2010,"P2")+SUMIFS('LAC 102_Wkst'!$Q$7:$Q$2010,'LAC 102_Wkst'!$D$7:$D$2010,$C$7,'LAC 102_Wkst'!$I$7:$I$2010,$C$9,'LAC 102_Wkst'!$E$7:$E$2010,$C58,'LAC 102_Wkst'!$G$7:$G$2010,$D58,'LAC 102_Wkst'!$L$7:$L$2010,"10",'LAC 102_Wkst'!$N$7:$N$2010,"P3")+SUMIFS('LAC 102_Wkst'!$Q$7:$Q$2010,'LAC 102_Wkst'!$D$7:$D$2010,$C$7,'LAC 102_Wkst'!$I$7:$I$2010,$C$9,'LAC 102_Wkst'!$E$7:$E$2010,$C58,'LAC 102_Wkst'!$G$7:$G$2010,$D58,'LAC 102_Wkst'!$L$7:$L$2010,"10",'LAC 102_Wkst'!$N$7:$N$2010,"P4")</f>
        <v>0</v>
      </c>
      <c r="AQ58" s="411">
        <f>SUMIFS('LAC 102_Wkst'!$AF$7:$AF$2010,'LAC 102_Wkst'!$D$7:$D$2010,$C$7,'LAC 102_Wkst'!$I$7:$I$2010,$C$9,'LAC 102_Wkst'!$E$7:$E$2010,$C58,'LAC 102_Wkst'!$G$7:$G$2010,$D58,'LAC 102_Wkst'!$L$7:$L$2010,"10",'LAC 102_Wkst'!$N$7:$N$2010,"P1")+SUMIFS('LAC 102_Wkst'!$AF$7:$AF$2010,'LAC 102_Wkst'!$D$7:$D$2010,$C$7,'LAC 102_Wkst'!$I$7:$I$2010,$C$9,'LAC 102_Wkst'!$E$7:$E$2010,$C58,'LAC 102_Wkst'!$G$7:$G$2010,$D58,'LAC 102_Wkst'!$L$7:$L$2010,"10",'LAC 102_Wkst'!$N$7:$N$2010,"P2")+SUMIFS('LAC 102_Wkst'!$AF$7:$AF$2010,'LAC 102_Wkst'!$D$7:$D$2010,$C$7,'LAC 102_Wkst'!$I$7:$I$2010,$C$9,'LAC 102_Wkst'!$E$7:$E$2010,$C58,'LAC 102_Wkst'!$G$7:$G$2010,$D58,'LAC 102_Wkst'!$L$7:$L$2010,"10",'LAC 102_Wkst'!$N$7:$N$2010,"P3")+SUMIFS('LAC 102_Wkst'!$AF$7:$AF$2010,'LAC 102_Wkst'!$D$7:$D$2010,$C$7,'LAC 102_Wkst'!$I$7:$I$2010,$C$9,'LAC 102_Wkst'!$E$7:$E$2010,$C58,'LAC 102_Wkst'!$G$7:$G$2010,$D58,'LAC 102_Wkst'!$L$7:$L$2010,"10",'LAC 102_Wkst'!$N$7:$N$2010,"P4")</f>
        <v>0</v>
      </c>
      <c r="AR58" s="410">
        <f>SUMIFS('LAC 102_Wkst'!$Q$7:$Q$2010,'LAC 102_Wkst'!$D$7:$D$2010,$C$7,'LAC 102_Wkst'!$I$7:$I$2010,$C$9,'LAC 102_Wkst'!$E$7:$E$2010,$C58,'LAC 102_Wkst'!$G$7:$G$2010,$D58,'LAC 102_Wkst'!$L$7:$L$2010,"10",'LAC 102_Wkst'!$N$7:$N$2010,"P5")</f>
        <v>0</v>
      </c>
      <c r="AS58" s="411">
        <f>SUMIFS('LAC 102_Wkst'!$AF$7:$AF$2010,'LAC 102_Wkst'!$D$7:$D$2010,$C$7,'LAC 102_Wkst'!$I$7:$I$2010,$C$9,'LAC 102_Wkst'!$E$7:$E$2010,$C58,'LAC 102_Wkst'!$G$7:$G$2010,$D58,'LAC 102_Wkst'!$L$7:$L$2010,"10",'LAC 102_Wkst'!$N$7:$N$2010,"P5")</f>
        <v>0</v>
      </c>
      <c r="AT58" s="410">
        <f>SUMIFS('LAC 102_Wkst'!$Q$7:$Q$2010,'LAC 102_Wkst'!$D$7:$D$2010,$C$7,'LAC 102_Wkst'!$I$7:$I$2010,$C$9,'LAC 102_Wkst'!$E$7:$E$2010,$C58,'LAC 102_Wkst'!$G$7:$G$2010,$D58,'LAC 102_Wkst'!$L$7:$L$2010,"11",'LAC 102_Wkst'!$N$7:$N$2010,"P1")+SUMIFS('LAC 102_Wkst'!$Q$7:$Q$2010,'LAC 102_Wkst'!$D$7:$D$2010,$C$7,'LAC 102_Wkst'!$I$7:$I$2010,$C$9,'LAC 102_Wkst'!$E$7:$E$2010,$C58,'LAC 102_Wkst'!$G$7:$G$2010,$D58,'LAC 102_Wkst'!$L$7:$L$2010,"12",'LAC 102_Wkst'!$N$7:$N$2010,"P1")</f>
        <v>0</v>
      </c>
      <c r="AU58" s="411">
        <f>SUMIFS('LAC 102_Wkst'!$Q$7:$Q$2010,'LAC 102_Wkst'!$D$7:$D$2010,$C$7,'LAC 102_Wkst'!$I$7:$I$2010,$C$9,'LAC 102_Wkst'!$E$7:$E$2010,$C58,'LAC 102_Wkst'!$G$7:$G$2010,$D58,'LAC 102_Wkst'!$L$7:$L$2010,"13",'LAC 102_Wkst'!$N$7:$N$2010,"P5")</f>
        <v>0</v>
      </c>
      <c r="AV58" s="410">
        <f>SUMIFS('LAC 102_Wkst'!$Q$7:$Q$2010,'LAC 102_Wkst'!$D$7:$D$2010,$C$7,'LAC 102_Wkst'!$I$7:$I$2010,$C$9,'LAC 102_Wkst'!$E$7:$E$2010,$C58,'LAC 102_Wkst'!$G$7:$G$2010,$D58,'LAC 102_Wkst'!$L$7:$L$2010,"11",'LAC 102_Wkst'!$N$7:$N$2010,"P2")+SUMIFS('LAC 102_Wkst'!$Q$7:$Q$2010,'LAC 102_Wkst'!$D$7:$D$2010,$C$7,'LAC 102_Wkst'!$I$7:$I$2010,$C$9,'LAC 102_Wkst'!$E$7:$E$2010,$C58,'LAC 102_Wkst'!$G$7:$G$2010,$D58,'LAC 102_Wkst'!$L$7:$L$2010,"12",'LAC 102_Wkst'!$N$7:$N$2010,"P2")+SUMIFS('LAC 102_Wkst'!$Q$7:$Q$2010,'LAC 102_Wkst'!$D$7:$D$2010,$C$7,'LAC 102_Wkst'!$I$7:$I$2010,$C$9,'LAC 102_Wkst'!$E$7:$E$2010,$C58,'LAC 102_Wkst'!$G$7:$G$2010,$D58,'LAC 102_Wkst'!$L$7:$L$2010,"11",'LAC 102_Wkst'!$N$7:$N$2010,"P3")+SUMIFS('LAC 102_Wkst'!$Q$7:$Q$2010,'LAC 102_Wkst'!$D$7:$D$2010,$C$7,'LAC 102_Wkst'!$I$7:$I$2010,$C$9,'LAC 102_Wkst'!$E$7:$E$2010,$C58,'LAC 102_Wkst'!$G$7:$G$2010,$D58,'LAC 102_Wkst'!$L$7:$L$2010,"12",'LAC 102_Wkst'!$N$7:$N$2010,"P3")</f>
        <v>0</v>
      </c>
      <c r="AW58" s="411">
        <f>SUMIFS('LAC 102_Wkst'!$AF$7:$AF$2010,'LAC 102_Wkst'!$D$7:$D$2010,$C$7,'LAC 102_Wkst'!$I$7:$I$2010,$C$9,'LAC 102_Wkst'!$E$7:$E$2010,$C58,'LAC 102_Wkst'!$G$7:$G$2010,$D58,'LAC 102_Wkst'!$L$7:$L$2010,"11",'LAC 102_Wkst'!$N$7:$N$2010,"P2")+SUMIFS('LAC 102_Wkst'!$AF$7:$AF$2010,'LAC 102_Wkst'!$D$7:$D$2010,$C$7,'LAC 102_Wkst'!$I$7:$I$2010,$C$9,'LAC 102_Wkst'!$E$7:$E$2010,$C58,'LAC 102_Wkst'!$G$7:$G$2010,$D58,'LAC 102_Wkst'!$L$7:$L$2010,"12",'LAC 102_Wkst'!$N$7:$N$2010,"P2")+SUMIFS('LAC 102_Wkst'!$AF$7:$AF$2010,'LAC 102_Wkst'!$D$7:$D$2010,$C$7,'LAC 102_Wkst'!$I$7:$I$2010,$C$9,'LAC 102_Wkst'!$E$7:$E$2010,$C58,'LAC 102_Wkst'!$G$7:$G$2010,$D58,'LAC 102_Wkst'!$L$7:$L$2010,"11",'LAC 102_Wkst'!$N$7:$N$2010,"P3")+SUMIFS('LAC 102_Wkst'!$AF$7:$AF$2010,'LAC 102_Wkst'!$D$7:$D$2010,$C$7,'LAC 102_Wkst'!$I$7:$I$2010,$C$9,'LAC 102_Wkst'!$E$7:$E$2010,$C58,'LAC 102_Wkst'!$G$7:$G$2010,$D58,'LAC 102_Wkst'!$L$7:$L$2010,"12",'LAC 102_Wkst'!$N$7:$N$2010,"P3")</f>
        <v>0</v>
      </c>
      <c r="AX58" s="410">
        <f>SUMIFS('LAC 102_Wkst'!$Q$7:$Q$2010,'LAC 102_Wkst'!$D$7:$D$2010,$C$7,'LAC 102_Wkst'!$I$7:$I$2010,$C$9,'LAC 102_Wkst'!$E$7:$E$2010,$C58,'LAC 102_Wkst'!$G$7:$G$2010,$D58,'LAC 102_Wkst'!$L$7:$L$2010,"11",'LAC 102_Wkst'!$N$7:$N$2010,"P4")+SUMIFS('LAC 102_Wkst'!$Q$7:$Q$2010,'LAC 102_Wkst'!$D$7:$D$2010,$C$7,'LAC 102_Wkst'!$I$7:$I$2010,$C$9,'LAC 102_Wkst'!$E$7:$E$2010,$C58,'LAC 102_Wkst'!$G$7:$G$2010,$D58,'LAC 102_Wkst'!$L$7:$L$2010,"12",'LAC 102_Wkst'!$N$7:$N$2010,"P4")</f>
        <v>0</v>
      </c>
      <c r="AY58" s="411">
        <f>SUMIFS('LAC 102_Wkst'!$AF$7:$AF$2010,'LAC 102_Wkst'!$D$7:$D$2010,$C$7,'LAC 102_Wkst'!$I$7:$I$2010,$C$9,'LAC 102_Wkst'!$E$7:$E$2010,$C58,'LAC 102_Wkst'!$G$7:$G$2010,$D58,'LAC 102_Wkst'!$L$7:$L$2010,"11",'LAC 102_Wkst'!$N$7:$N$2010,"P4")+SUMIFS('LAC 102_Wkst'!$AF$7:$AF$2010,'LAC 102_Wkst'!$D$7:$D$2010,$C$7,'LAC 102_Wkst'!$I$7:$I$2010,$C$9,'LAC 102_Wkst'!$E$7:$E$2010,$C58,'LAC 102_Wkst'!$G$7:$G$2010,$D58,'LAC 102_Wkst'!$L$7:$L$2010,"12",'LAC 102_Wkst'!$N$7:$N$2010,"P4")</f>
        <v>0</v>
      </c>
      <c r="AZ58" s="410">
        <f>SUMIFS('LAC 102_Wkst'!$Q$7:$Q$2010,'LAC 102_Wkst'!$D$7:$D$2010,$C$7,'LAC 102_Wkst'!$I$7:$I$2010,$C$9,'LAC 102_Wkst'!$E$7:$E$2010,$C58,'LAC 102_Wkst'!$G$7:$G$2010,$D58,'LAC 102_Wkst'!$L$7:$L$2010,"11",'LAC 102_Wkst'!$N$7:$N$2010,"P5")+SUMIFS('LAC 102_Wkst'!$Q$7:$Q$2010,'LAC 102_Wkst'!$D$7:$D$2010,$C$7,'LAC 102_Wkst'!$I$7:$I$2010,$C$9,'LAC 102_Wkst'!$E$7:$E$2010,$C58,'LAC 102_Wkst'!$G$7:$G$2010,$D58,'LAC 102_Wkst'!$L$7:$L$2010,"12",'LAC 102_Wkst'!$N$7:$N$2010,"P5")</f>
        <v>0</v>
      </c>
      <c r="BA58" s="411">
        <f>SUMIFS('LAC 102_Wkst'!$AF$7:$AF$2010,'LAC 102_Wkst'!$D$7:$D$2010,$C$7,'LAC 102_Wkst'!$I$7:$I$2010,$C$9,'LAC 102_Wkst'!$E$7:$E$2010,$C58,'LAC 102_Wkst'!$G$7:$G$2010,$D58,'LAC 102_Wkst'!$L$7:$L$2010,"11",'LAC 102_Wkst'!$N$7:$N$2010,"P5")+SUMIFS('LAC 102_Wkst'!$AF$7:$AF$2010,'LAC 102_Wkst'!$D$7:$D$2010,$C$7,'LAC 102_Wkst'!$I$7:$I$2010,$C$9,'LAC 102_Wkst'!$E$7:$E$2010,$C58,'LAC 102_Wkst'!$G$7:$G$2010,$D58,'LAC 102_Wkst'!$L$7:$L$2010,"12",'LAC 102_Wkst'!$N$7:$N$2010,"P5")</f>
        <v>0</v>
      </c>
      <c r="BB58" s="410">
        <f>SUMIFS('LAC 102_Wkst'!$Q$7:$Q$2010,'LAC 102_Wkst'!$D$7:$D$2010,$C$7,'LAC 102_Wkst'!$I$7:$I$2010,$C$9,'LAC 102_Wkst'!$E$7:$E$2010,$C58,'LAC 102_Wkst'!$G$7:$G$2010,$D58,'LAC 102_Wkst'!$L$7:$L$2010,"13",'LAC 102_Wkst'!$N$7:$N$2010,"P1")+SUMIFS('LAC 102_Wkst'!$Q$7:$Q$2010,'LAC 102_Wkst'!$D$7:$D$2010,$C$7,'LAC 102_Wkst'!$I$7:$I$2010,$C$9,'LAC 102_Wkst'!$E$7:$E$2010,$C58,'LAC 102_Wkst'!$G$7:$G$2010,$D58,'LAC 102_Wkst'!$L$7:$L$2010,"13",'LAC 102_Wkst'!$N$7:$N$2010,"P2")+SUMIFS('LAC 102_Wkst'!$Q$7:$Q$2010,'LAC 102_Wkst'!$D$7:$D$2010,$C$7,'LAC 102_Wkst'!$I$7:$I$2010,$C$9,'LAC 102_Wkst'!$E$7:$E$2010,$C58,'LAC 102_Wkst'!$G$7:$G$2010,$D58,'LAC 102_Wkst'!$L$7:$L$2010,"13",'LAC 102_Wkst'!$N$7:$N$2010,"P3")+SUMIFS('LAC 102_Wkst'!$Q$7:$Q$2010,'LAC 102_Wkst'!$D$7:$D$2010,$C$7,'LAC 102_Wkst'!$I$7:$I$2010,$C$9,'LAC 102_Wkst'!$E$7:$E$2010,$C58,'LAC 102_Wkst'!$G$7:$G$2010,$D58,'LAC 102_Wkst'!$L$7:$L$2010,"13",'LAC 102_Wkst'!$N$7:$N$2010,"P4")</f>
        <v>0</v>
      </c>
      <c r="BC58" s="411">
        <f>SUMIFS('LAC 102_Wkst'!$AF$7:$AF$2010,'LAC 102_Wkst'!$D$7:$D$2010,$C$7,'LAC 102_Wkst'!$I$7:$I$2010,$C$9,'LAC 102_Wkst'!$E$7:$E$2010,$C58,'LAC 102_Wkst'!$G$7:$G$2010,$D58,'LAC 102_Wkst'!$L$7:$L$2010,"13",'LAC 102_Wkst'!$N$7:$N$2010,"P1")+SUMIFS('LAC 102_Wkst'!$AF$7:$AF$2010,'LAC 102_Wkst'!$D$7:$D$2010,$C$7,'LAC 102_Wkst'!$I$7:$I$2010,$C$9,'LAC 102_Wkst'!$E$7:$E$2010,$C58,'LAC 102_Wkst'!$G$7:$G$2010,$D58,'LAC 102_Wkst'!$L$7:$L$2010,"13",'LAC 102_Wkst'!$N$7:$N$2010,"P2")+SUMIFS('LAC 102_Wkst'!$AF$7:$AF$2010,'LAC 102_Wkst'!$D$7:$D$2010,$C$7,'LAC 102_Wkst'!$I$7:$I$2010,$C$9,'LAC 102_Wkst'!$E$7:$E$2010,$C58,'LAC 102_Wkst'!$G$7:$G$2010,$D58,'LAC 102_Wkst'!$L$7:$L$2010,"13",'LAC 102_Wkst'!$N$7:$N$2010,"P3")+SUMIFS('LAC 102_Wkst'!$AF$7:$AF$2010,'LAC 102_Wkst'!$D$7:$D$2010,$C$7,'LAC 102_Wkst'!$I$7:$I$2010,$C$9,'LAC 102_Wkst'!$E$7:$E$2010,$C58,'LAC 102_Wkst'!$G$7:$G$2010,$D58,'LAC 102_Wkst'!$L$7:$L$2010,"13",'LAC 102_Wkst'!$N$7:$N$2010,"P4")</f>
        <v>0</v>
      </c>
      <c r="BD58" s="410">
        <f>SUMIFS('LAC 102_Wkst'!$Q$7:$Q$2010,'LAC 102_Wkst'!$D$7:$D$2010,$C$7,'LAC 102_Wkst'!$I$7:$I$2010,$C$9,'LAC 102_Wkst'!$E$7:$E$2010,$C58,'LAC 102_Wkst'!$G$7:$G$2010,$D58,'LAC 102_Wkst'!$L$7:$L$2010,"13",'LAC 102_Wkst'!$N$7:$N$2010,"P5")</f>
        <v>0</v>
      </c>
      <c r="BE58" s="411">
        <f>SUMIFS('LAC 102_Wkst'!$AF$7:$AF$2010,'LAC 102_Wkst'!$D$7:$D$2010,$C$7,'LAC 102_Wkst'!$I$7:$I$2010,$C$9,'LAC 102_Wkst'!$E$7:$E$2010,$C58,'LAC 102_Wkst'!$G$7:$G$2010,$D58,'LAC 102_Wkst'!$L$7:$L$2010,"13",'LAC 102_Wkst'!$N$7:$N$2010,"P5")</f>
        <v>0</v>
      </c>
      <c r="BF58" s="407">
        <f t="shared" si="4"/>
        <v>0</v>
      </c>
      <c r="BG58" s="1654">
        <f>SUMIFS('LAC 102_Wkst'!$AF$7:$AF$2010,'LAC 102_Wkst'!$D$7:$D$2010,$C$7,'LAC 102_Wkst'!$I$7:$I$2010,$C$9,'LAC 102_Wkst'!$E$7:$E$2010,$C58,'LAC 102_Wkst'!$G$7:$G$2010,$D58,'LAC 102_Wkst'!$L$7:$L$2010,"14")</f>
        <v>0</v>
      </c>
    </row>
    <row r="59" spans="1:59" x14ac:dyDescent="0.2">
      <c r="A59" s="401">
        <v>37</v>
      </c>
      <c r="B59" s="1678" t="str">
        <f>IF(Schedule_B!B$56="","",Schedule_B!B$56)</f>
        <v/>
      </c>
      <c r="C59" s="1674" t="str">
        <f>IF(Schedule_B!C$56=""," ",Schedule_B!C$56)</f>
        <v xml:space="preserve"> </v>
      </c>
      <c r="D59" s="1675" t="str">
        <f>IF(Schedule_B!D$56=""," ",Schedule_B!D$56)</f>
        <v xml:space="preserve"> </v>
      </c>
      <c r="E59" s="1221">
        <f>SUMIFS('LAC 102_Wkst'!$Q$7:$Q$2010,'LAC 102_Wkst'!$D$7:$D$2010,$C$7,'LAC 102_Wkst'!$I$7:$I$2010,$C$9,'LAC 102_Wkst'!$E$7:$E$2010,$C59,'LAC 102_Wkst'!$G$7:$G$2010,$D59)</f>
        <v>0</v>
      </c>
      <c r="F59" s="408">
        <f>SUMIFS('LAC 102_Wkst'!$Q$7:$Q$2010,'LAC 102_Wkst'!$D$7:$D$2010,$C$7,'LAC 102_Wkst'!$I$7:$I$2010,$C$9,'LAC 102_Wkst'!$E$7:$E$2010,$C59,'LAC 102_Wkst'!$G$7:$G$2010,$D59,'LAC 102_Wkst'!$L$7:$L$2010,"01",'LAC 102_Wkst'!$N$7:$N$2010,"P1")+SUMIFS('LAC 102_Wkst'!$Q$7:$Q$2010,'LAC 102_Wkst'!$D$7:$D$2010,$C$7,'LAC 102_Wkst'!$I$7:$I$2010,$C$9,'LAC 102_Wkst'!$E$7:$E$2010,$C59,'LAC 102_Wkst'!$G$7:$G$2010,$D59,'LAC 102_Wkst'!$L$7:$L$2010,"01",'LAC 102_Wkst'!$N$7:$N$2010,"P2")+SUMIFS('LAC 102_Wkst'!$Q$7:$Q$2010,'LAC 102_Wkst'!$D$7:$D$2010,$C$7,'LAC 102_Wkst'!$I$7:$I$2010,$C$9,'LAC 102_Wkst'!$E$7:$E$2010,$C59,'LAC 102_Wkst'!$G$7:$G$2010,$D59,'LAC 102_Wkst'!$L$7:$L$2010,"01",'LAC 102_Wkst'!$N$7:$N$2010,"P3")+SUMIFS('LAC 102_Wkst'!$Q$7:$Q$2010,'LAC 102_Wkst'!$D$7:$D$2010,$C$7,'LAC 102_Wkst'!$I$7:$I$2010,$C$9,'LAC 102_Wkst'!$E$7:$E$2010,$C59,'LAC 102_Wkst'!$G$7:$G$2010,$D59,'LAC 102_Wkst'!$L$7:$L$2010,"02",'LAC 102_Wkst'!$N$7:$N$2010,"P1")+SUMIFS('LAC 102_Wkst'!$Q$7:$Q$2010,'LAC 102_Wkst'!$D$7:$D$2010,$C$7,'LAC 102_Wkst'!$I$7:$I$2010,$C$9,'LAC 102_Wkst'!$E$7:$E$2010,$C59,'LAC 102_Wkst'!$G$7:$G$2010,$D59,'LAC 102_Wkst'!$L$7:$L$2010,"02",'LAC 102_Wkst'!$N$7:$N$2010,"P2")+SUMIFS('LAC 102_Wkst'!$Q$7:$Q$2010,'LAC 102_Wkst'!$D$7:$D$2010,$C$7,'LAC 102_Wkst'!$I$7:$I$2010,$C$9,'LAC 102_Wkst'!$E$7:$E$2010,$C59,'LAC 102_Wkst'!$G$7:$G$2010,$D59,'LAC 102_Wkst'!$L$7:$L$2010,"02",'LAC 102_Wkst'!$N$7:$N$2010,"P3")</f>
        <v>0</v>
      </c>
      <c r="G59" s="409">
        <f>SUMIFS('LAC 102_Wkst'!$AF$7:$AF$2010,'LAC 102_Wkst'!$D$7:$D$2010,$C$7,'LAC 102_Wkst'!$I$7:$I$2010,$C$9,'LAC 102_Wkst'!$E$7:$E$2010,$C59,'LAC 102_Wkst'!$G$7:$G$2010,$D59,'LAC 102_Wkst'!$L$7:$L$2010,"01",'LAC 102_Wkst'!$N$7:$N$2010,"P1")+SUMIFS('LAC 102_Wkst'!$AF$7:$AF$2010,'LAC 102_Wkst'!$D$7:$D$2010,$C$7,'LAC 102_Wkst'!$I$7:$I$2010,$C$9,'LAC 102_Wkst'!$E$7:$E$2010,$C59,'LAC 102_Wkst'!$G$7:$G$2010,$D59,'LAC 102_Wkst'!$L$7:$L$2010,"01",'LAC 102_Wkst'!$N$7:$N$2010,"P2")+SUMIFS('LAC 102_Wkst'!$AF$7:$AF$2010,'LAC 102_Wkst'!$D$7:$D$2010,$C$7,'LAC 102_Wkst'!$I$7:$I$2010,$C$9,'LAC 102_Wkst'!$E$7:$E$2010,$C59,'LAC 102_Wkst'!$G$7:$G$2010,$D59,'LAC 102_Wkst'!$L$7:$L$2010,"01",'LAC 102_Wkst'!$N$7:$N$2010,"P3")+SUMIFS('LAC 102_Wkst'!$AF$7:$AF$2010,'LAC 102_Wkst'!$D$7:$D$2010,$C$7,'LAC 102_Wkst'!$I$7:$I$2010,$C$9,'LAC 102_Wkst'!$E$7:$E$2010,$C59,'LAC 102_Wkst'!$G$7:$G$2010,$D59,'LAC 102_Wkst'!$L$7:$L$2010,"02",'LAC 102_Wkst'!$N$7:$N$2010,"P1")+SUMIFS('LAC 102_Wkst'!$AF$7:$AF$2010,'LAC 102_Wkst'!$D$7:$D$2010,$C$7,'LAC 102_Wkst'!$I$7:$I$2010,$C$9,'LAC 102_Wkst'!$E$7:$E$2010,$C59,'LAC 102_Wkst'!$G$7:$G$2010,$D59,'LAC 102_Wkst'!$L$7:$L$2010,"02",'LAC 102_Wkst'!$N$7:$N$2010,"P2")+SUMIFS('LAC 102_Wkst'!$AF$7:$AF$2010,'LAC 102_Wkst'!$D$7:$D$2010,$C$7,'LAC 102_Wkst'!$I$7:$I$2010,$C$9,'LAC 102_Wkst'!$E$7:$E$2010,$C59,'LAC 102_Wkst'!$G$7:$G$2010,$D59,'LAC 102_Wkst'!$L$7:$L$2010,"02",'LAC 102_Wkst'!$N$7:$N$2010,"P3")</f>
        <v>0</v>
      </c>
      <c r="H59" s="410">
        <f>SUMIFS('LAC 102_Wkst'!$Q$7:$Q$2010,'LAC 102_Wkst'!$D$7:$D$2010,$C$7,'LAC 102_Wkst'!$I$7:$I$2010,$C$9,'LAC 102_Wkst'!$E$7:$E$2010,$C59,'LAC 102_Wkst'!$G$7:$G$2010,$D59,'LAC 102_Wkst'!$L$7:$L$2010,"01",'LAC 102_Wkst'!$N$7:$N$2010,"P4")+SUMIFS('LAC 102_Wkst'!$Q$7:$Q$2010,'LAC 102_Wkst'!$D$7:$D$2010,$C$7,'LAC 102_Wkst'!$I$7:$I$2010,$C$9,'LAC 102_Wkst'!$E$7:$E$2010,$C59,'LAC 102_Wkst'!$G$7:$G$2010,$D59,'LAC 102_Wkst'!$L$7:$L$2010,"02",'LAC 102_Wkst'!$N$7:$N$2010,"P4")</f>
        <v>0</v>
      </c>
      <c r="I59" s="411">
        <f>SUMIFS('LAC 102_Wkst'!$AF$7:$AF$2010,'LAC 102_Wkst'!$D$7:$D$2010,$C$7,'LAC 102_Wkst'!$I$7:$I$2010,$C$9,'LAC 102_Wkst'!$E$7:$E$2010,$C59,'LAC 102_Wkst'!$G$7:$G$2010,$D59,'LAC 102_Wkst'!$L$7:$L$2010,"01",'LAC 102_Wkst'!$N$7:$N$2010,"P4")+SUMIFS('LAC 102_Wkst'!$AF$7:$AF$2010,'LAC 102_Wkst'!$D$7:$D$2010,$C$7,'LAC 102_Wkst'!$I$7:$I$2010,$C$9,'LAC 102_Wkst'!$E$7:$E$2010,$C59,'LAC 102_Wkst'!$G$7:$G$2010,$D59,'LAC 102_Wkst'!$L$7:$L$2010,"02",'LAC 102_Wkst'!$N$7:$N$2010,"P4")</f>
        <v>0</v>
      </c>
      <c r="J59" s="410">
        <f>SUMIFS('LAC 102_Wkst'!$Q$7:$Q$2010,'LAC 102_Wkst'!$D$7:$D$2010,$C$7,'LAC 102_Wkst'!$I$7:$I$2010,$C$9,'LAC 102_Wkst'!$E$7:$E$2010,$C59,'LAC 102_Wkst'!$G$7:$G$2010,$D59,'LAC 102_Wkst'!$L$7:$L$2010,"01",'LAC 102_Wkst'!$N$7:$N$2010,"P5")+SUMIFS('LAC 102_Wkst'!$Q$7:$Q$2010,'LAC 102_Wkst'!$D$7:$D$2010,$C$7,'LAC 102_Wkst'!$I$7:$I$2010,$C$9,'LAC 102_Wkst'!$E$7:$E$2010,$C59,'LAC 102_Wkst'!$G$7:$G$2010,$D59,'LAC 102_Wkst'!$L$7:$L$2010,"02",'LAC 102_Wkst'!$N$7:$N$2010,"P5")</f>
        <v>0</v>
      </c>
      <c r="K59" s="411">
        <f>SUMIFS('LAC 102_Wkst'!$AF$7:$AF$2010,'LAC 102_Wkst'!$D$7:$D$2010,$C$7,'LAC 102_Wkst'!$I$7:$I$2010,$C$9,'LAC 102_Wkst'!$E$7:$E$2010,$C59,'LAC 102_Wkst'!$G$7:$G$2010,$D59,'LAC 102_Wkst'!$L$7:$L$2010,"01",'LAC 102_Wkst'!$N$7:$N$2010,"P5")+SUMIFS('LAC 102_Wkst'!$AF$7:$AF$2010,'LAC 102_Wkst'!$D$7:$D$2010,$C$7,'LAC 102_Wkst'!$I$7:$I$2010,$C$9,'LAC 102_Wkst'!$E$7:$E$2010,$C59,'LAC 102_Wkst'!$G$7:$G$2010,$D59,'LAC 102_Wkst'!$L$7:$L$2010,"02",'LAC 102_Wkst'!$N$7:$N$2010,"P5")</f>
        <v>0</v>
      </c>
      <c r="L59" s="410">
        <f>SUMIFS('LAC 102_Wkst'!$Q$7:$Q$2010,'LAC 102_Wkst'!$D$7:$D$2010,$C$7,'LAC 102_Wkst'!$I$7:$I$2010,$C$9,'LAC 102_Wkst'!$E$7:$E$2010,$C59,'LAC 102_Wkst'!$G$7:$G$2010,$D59,'LAC 102_Wkst'!$L$7:$L$2010,"03",'LAC 102_Wkst'!$N$7:$N$2010,"P1")+SUMIFS('LAC 102_Wkst'!$Q$7:$Q$2010,'LAC 102_Wkst'!$D$7:$D$2010,$C$7,'LAC 102_Wkst'!$I$7:$I$2010,$C$9,'LAC 102_Wkst'!$E$7:$E$2010,$C59,'LAC 102_Wkst'!$G$7:$G$2010,$D59,'LAC 102_Wkst'!$L$7:$L$2010,"03",'LAC 102_Wkst'!$N$7:$N$2010,"P2")+SUMIFS('LAC 102_Wkst'!$Q$7:$Q$2010,'LAC 102_Wkst'!$D$7:$D$2010,$C$7,'LAC 102_Wkst'!$I$7:$I$2010,$C$9,'LAC 102_Wkst'!$E$7:$E$2010,$C59,'LAC 102_Wkst'!$G$7:$G$2010,$D59,'LAC 102_Wkst'!$L$7:$L$2010,"03",'LAC 102_Wkst'!$N$7:$N$2010,"P3")+SUMIFS('LAC 102_Wkst'!$Q$7:$Q$2010,'LAC 102_Wkst'!$D$7:$D$2010,$C$7,'LAC 102_Wkst'!$I$7:$I$2010,$C$9,'LAC 102_Wkst'!$E$7:$E$2010,$C59,'LAC 102_Wkst'!$G$7:$G$2010,$D59,'LAC 102_Wkst'!$L$7:$L$2010,"04",'LAC 102_Wkst'!$N$7:$N$2010,"P1")+SUMIFS('LAC 102_Wkst'!$Q$7:$Q$2010,'LAC 102_Wkst'!$D$7:$D$2010,$C$7,'LAC 102_Wkst'!$I$7:$I$2010,$C$9,'LAC 102_Wkst'!$E$7:$E$2010,$C59,'LAC 102_Wkst'!$G$7:$G$2010,$D59,'LAC 102_Wkst'!$L$7:$L$2010,"04",'LAC 102_Wkst'!$N$7:$N$2010,"P2")+SUMIFS('LAC 102_Wkst'!$Q$7:$Q$2010,'LAC 102_Wkst'!$D$7:$D$2010,$C$7,'LAC 102_Wkst'!$I$7:$I$2010,$C$9,'LAC 102_Wkst'!$E$7:$E$2010,$C59,'LAC 102_Wkst'!$G$7:$G$2010,$D59,'LAC 102_Wkst'!$L$7:$L$2010,"04",'LAC 102_Wkst'!$N$7:$N$2010,"P3")</f>
        <v>0</v>
      </c>
      <c r="M59" s="411">
        <f>SUMIFS('LAC 102_Wkst'!$AF$7:$AF$2010,'LAC 102_Wkst'!$D$7:$D$2010,$C$7,'LAC 102_Wkst'!$I$7:$I$2010,$C$9,'LAC 102_Wkst'!$E$7:$E$2010,$C59,'LAC 102_Wkst'!$G$7:$G$2010,$D59,'LAC 102_Wkst'!$L$7:$L$2010,"03",'LAC 102_Wkst'!$N$7:$N$2010,"P1")+SUMIFS('LAC 102_Wkst'!$AF$7:$AF$2010,'LAC 102_Wkst'!$D$7:$D$2010,$C$7,'LAC 102_Wkst'!$I$7:$I$2010,$C$9,'LAC 102_Wkst'!$E$7:$E$2010,$C59,'LAC 102_Wkst'!$G$7:$G$2010,$D59,'LAC 102_Wkst'!$L$7:$L$2010,"03",'LAC 102_Wkst'!$N$7:$N$2010,"P2")+SUMIFS('LAC 102_Wkst'!$AF$7:$AF$2010,'LAC 102_Wkst'!$D$7:$D$2010,$C$7,'LAC 102_Wkst'!$I$7:$I$2010,$C$9,'LAC 102_Wkst'!$E$7:$E$2010,$C59,'LAC 102_Wkst'!$G$7:$G$2010,$D59,'LAC 102_Wkst'!$L$7:$L$2010,"03",'LAC 102_Wkst'!$N$7:$N$2010,"P3")+SUMIFS('LAC 102_Wkst'!$AF$7:$AF$2010,'LAC 102_Wkst'!$D$7:$D$2010,$C$7,'LAC 102_Wkst'!$I$7:$I$2010,$C$9,'LAC 102_Wkst'!$E$7:$E$2010,$C59,'LAC 102_Wkst'!$G$7:$G$2010,$D59,'LAC 102_Wkst'!$L$7:$L$2010,"04",'LAC 102_Wkst'!$N$7:$N$2010,"P1")+SUMIFS('LAC 102_Wkst'!$AF$7:$AF$2010,'LAC 102_Wkst'!$D$7:$D$2010,$C$7,'LAC 102_Wkst'!$I$7:$I$2010,$C$9,'LAC 102_Wkst'!$E$7:$E$2010,$C59,'LAC 102_Wkst'!$G$7:$G$2010,$D59,'LAC 102_Wkst'!$L$7:$L$2010,"04",'LAC 102_Wkst'!$N$7:$N$2010,"P2")+SUMIFS('LAC 102_Wkst'!$AF$7:$AF$2010,'LAC 102_Wkst'!$D$7:$D$2010,$C$7,'LAC 102_Wkst'!$I$7:$I$2010,$C$9,'LAC 102_Wkst'!$E$7:$E$2010,$C59,'LAC 102_Wkst'!$G$7:$G$2010,$D59,'LAC 102_Wkst'!$L$7:$L$2010,"04",'LAC 102_Wkst'!$N$7:$N$2010,"P3")</f>
        <v>0</v>
      </c>
      <c r="N59" s="410">
        <f>SUMIFS('LAC 102_Wkst'!$Q$7:$Q$2010,'LAC 102_Wkst'!$D$7:$D$2010,$C$7,'LAC 102_Wkst'!$I$7:$I$2010,$C$9,'LAC 102_Wkst'!$E$7:$E$2010,$C59,'LAC 102_Wkst'!$G$7:$G$2010,$D59,'LAC 102_Wkst'!$L$7:$L$2010,"03",'LAC 102_Wkst'!$N$7:$N$2010,"P4")+SUMIFS('LAC 102_Wkst'!$Q$7:$Q$2010,'LAC 102_Wkst'!$D$7:$D$2010,$C$7,'LAC 102_Wkst'!$I$7:$I$2010,$C$9,'LAC 102_Wkst'!$E$7:$E$2010,$C59,'LAC 102_Wkst'!$G$7:$G$2010,$D59,'LAC 102_Wkst'!$L$7:$L$2010,"04",'LAC 102_Wkst'!$N$7:$N$2010,"P4")</f>
        <v>0</v>
      </c>
      <c r="O59" s="411">
        <f>SUMIFS('LAC 102_Wkst'!$AF$7:$AF$2010,'LAC 102_Wkst'!$D$7:$D$2010,$C$7,'LAC 102_Wkst'!$I$7:$I$2010,$C$9,'LAC 102_Wkst'!$E$7:$E$2010,$C59,'LAC 102_Wkst'!$G$7:$G$2010,$D59,'LAC 102_Wkst'!$L$7:$L$2010,"03",'LAC 102_Wkst'!$N$7:$N$2010,"P4")+SUMIFS('LAC 102_Wkst'!$AF$7:$AF$2010,'LAC 102_Wkst'!$D$7:$D$2010,$C$7,'LAC 102_Wkst'!$I$7:$I$2010,$C$9,'LAC 102_Wkst'!$E$7:$E$2010,$C59,'LAC 102_Wkst'!$G$7:$G$2010,$D59,'LAC 102_Wkst'!$L$7:$L$2010,"04",'LAC 102_Wkst'!$N$7:$N$2010,"P4")</f>
        <v>0</v>
      </c>
      <c r="P59" s="410">
        <f>SUMIFS('LAC 102_Wkst'!$Q$7:$Q$2010,'LAC 102_Wkst'!$D$7:$D$2010,$C$7,'LAC 102_Wkst'!$I$7:$I$2010,$C$9,'LAC 102_Wkst'!$E$7:$E$2010,$C59,'LAC 102_Wkst'!$G$7:$G$2010,$D59,'LAC 102_Wkst'!$L$7:$L$2010,"03",'LAC 102_Wkst'!$N$7:$N$2010,"P5")+SUMIFS('LAC 102_Wkst'!$Q$7:$Q$2010,'LAC 102_Wkst'!$D$7:$D$2010,$C$7,'LAC 102_Wkst'!$I$7:$I$2010,$C$9,'LAC 102_Wkst'!$E$7:$E$2010,$C59,'LAC 102_Wkst'!$G$7:$G$2010,$D59,'LAC 102_Wkst'!$L$7:$L$2010,"04",'LAC 102_Wkst'!$N$7:$N$2010,"P5")</f>
        <v>0</v>
      </c>
      <c r="Q59" s="411">
        <f>SUMIFS('LAC 102_Wkst'!$AF$7:$AF$2010,'LAC 102_Wkst'!$D$7:$D$2010,$C$7,'LAC 102_Wkst'!$I$7:$I$2010,$C$9,'LAC 102_Wkst'!$E$7:$E$2010,$C59,'LAC 102_Wkst'!$G$7:$G$2010,$D59,'LAC 102_Wkst'!$L$7:$L$2010,"03",'LAC 102_Wkst'!$N$7:$N$2010,"P5")+SUMIFS('LAC 102_Wkst'!$AF$7:$AF$2010,'LAC 102_Wkst'!$D$7:$D$2010,$C$7,'LAC 102_Wkst'!$I$7:$I$2010,$C$9,'LAC 102_Wkst'!$E$7:$E$2010,$C59,'LAC 102_Wkst'!$G$7:$G$2010,$D59,'LAC 102_Wkst'!$L$7:$L$2010,"04",'LAC 102_Wkst'!$N$7:$N$2010,"P5")</f>
        <v>0</v>
      </c>
      <c r="R59" s="412">
        <f>SUMIFS('LAC 102_Wkst'!$Q$7:$Q$2010,'LAC 102_Wkst'!$D$7:$D$2010,$C$7,'LAC 102_Wkst'!$I$7:$I$2010,$C$9,'LAC 102_Wkst'!$E$7:$E$2010,$C59,'LAC 102_Wkst'!$G$7:$G$2010,$D59,'LAC 102_Wkst'!$L$7:$L$2010,"05",'LAC 102_Wkst'!$N$7:$N$2010,"P1")+SUMIFS('LAC 102_Wkst'!$Q$7:$Q$2010,'LAC 102_Wkst'!$D$7:$D$2010,$C$7,'LAC 102_Wkst'!$I$7:$I$2010,$C$9,'LAC 102_Wkst'!$E$7:$E$2010,$C59,'LAC 102_Wkst'!$G$7:$G$2010,$D59,'LAC 102_Wkst'!$L$7:$L$2010,"06",'LAC 102_Wkst'!$N$7:$N$2010,"P1")</f>
        <v>0</v>
      </c>
      <c r="S59" s="411">
        <f>SUMIFS('LAC 102_Wkst'!$AF$7:$AF$2010,'LAC 102_Wkst'!$D$7:$D$2010,$C$7,'LAC 102_Wkst'!$I$7:$I$2010,$C$9,'LAC 102_Wkst'!$E$7:$E$2010,$C59,'LAC 102_Wkst'!$G$7:$G$2010,$D59,'LAC 102_Wkst'!$L$7:$L$2010,"05",'LAC 102_Wkst'!$N$7:$N$2010,"P1")+SUMIFS('LAC 102_Wkst'!$AF$7:$AF$2010,'LAC 102_Wkst'!$D$7:$D$2010,$C$7,'LAC 102_Wkst'!$I$7:$I$2010,$C$9,'LAC 102_Wkst'!$E$7:$E$2010,$C59,'LAC 102_Wkst'!$G$7:$G$2010,$D59,'LAC 102_Wkst'!$L$7:$L$2010,"06",'LAC 102_Wkst'!$N$7:$N$2010,"P1")</f>
        <v>0</v>
      </c>
      <c r="T59" s="410">
        <f>SUMIFS('LAC 102_Wkst'!$Q$7:$Q$2010,'LAC 102_Wkst'!$D$7:$D$2010,$C$7,'LAC 102_Wkst'!$I$7:$I$2010,$C$9,'LAC 102_Wkst'!$E$7:$E$2010,$C59,'LAC 102_Wkst'!$G$7:$G$2010,$D59,'LAC 102_Wkst'!$L$7:$L$2010,"05",'LAC 102_Wkst'!$N$7:$N$2010,"P2")+SUMIFS('LAC 102_Wkst'!$Q$7:$Q$2010,'LAC 102_Wkst'!$D$7:$D$2010,$C$7,'LAC 102_Wkst'!$I$7:$I$2010,$C$9,'LAC 102_Wkst'!$E$7:$E$2010,$C59,'LAC 102_Wkst'!$G$7:$G$2010,$D59,'LAC 102_Wkst'!$L$7:$L$2010,"06",'LAC 102_Wkst'!$N$7:$N$2010,"P2")+SUMIFS('LAC 102_Wkst'!$Q$7:$Q$2010,'LAC 102_Wkst'!$D$7:$D$2010,$C$7,'LAC 102_Wkst'!$I$7:$I$2010,$C$9,'LAC 102_Wkst'!$E$7:$E$2010,$C59,'LAC 102_Wkst'!$G$7:$G$2010,$D59,'LAC 102_Wkst'!$L$7:$L$2010,"05",'LAC 102_Wkst'!$N$7:$N$2010,"P3")+SUMIFS('LAC 102_Wkst'!$Q$7:$Q$2010,'LAC 102_Wkst'!$D$7:$D$2010,$C$7,'LAC 102_Wkst'!$I$7:$I$2010,$C$9,'LAC 102_Wkst'!$E$7:$E$2010,$C59,'LAC 102_Wkst'!$G$7:$G$2010,$D59,'LAC 102_Wkst'!$L$7:$L$2010,"06",'LAC 102_Wkst'!$N$7:$N$2010,"P3")</f>
        <v>0</v>
      </c>
      <c r="U59" s="411">
        <f>SUMIFS('LAC 102_Wkst'!$AF$7:$AF$2010,'LAC 102_Wkst'!$D$7:$D$2010,$C$7,'LAC 102_Wkst'!$I$7:$I$2010,$C$9,'LAC 102_Wkst'!$E$7:$E$2010,$C59,'LAC 102_Wkst'!$G$7:$G$2010,$D59,'LAC 102_Wkst'!$L$7:$L$2010,"05",'LAC 102_Wkst'!$N$7:$N$2010,"P2")+SUMIFS('LAC 102_Wkst'!$AF$7:$AF$2010,'LAC 102_Wkst'!$D$7:$D$2010,$C$7,'LAC 102_Wkst'!$I$7:$I$2010,$C$9,'LAC 102_Wkst'!$E$7:$E$2010,$C59,'LAC 102_Wkst'!$G$7:$G$2010,$D59,'LAC 102_Wkst'!$L$7:$L$2010,"06",'LAC 102_Wkst'!$N$7:$N$2010,"P2")+SUMIFS('LAC 102_Wkst'!$AF$7:$AF$2010,'LAC 102_Wkst'!$D$7:$D$2010,$C$7,'LAC 102_Wkst'!$I$7:$I$2010,$C$9,'LAC 102_Wkst'!$E$7:$E$2010,$C59,'LAC 102_Wkst'!$G$7:$G$2010,$D59,'LAC 102_Wkst'!$L$7:$L$2010,"05",'LAC 102_Wkst'!$N$7:$N$2010,"P3")+SUMIFS('LAC 102_Wkst'!$AF$7:$AF$2010,'LAC 102_Wkst'!$D$7:$D$2010,$C$7,'LAC 102_Wkst'!$I$7:$I$2010,$C$9,'LAC 102_Wkst'!$E$7:$E$2010,$C59,'LAC 102_Wkst'!$G$7:$G$2010,$D59,'LAC 102_Wkst'!$L$7:$L$2010,"06",'LAC 102_Wkst'!$N$7:$N$2010,"P3")</f>
        <v>0</v>
      </c>
      <c r="V59" s="410">
        <f>SUMIFS('LAC 102_Wkst'!$Q$7:$Q$2010,'LAC 102_Wkst'!$D$7:$D$2010,$C$7,'LAC 102_Wkst'!$I$7:$I$2010,$C$9,'LAC 102_Wkst'!$E$7:$E$2010,$C59,'LAC 102_Wkst'!$G$7:$G$2010,$D59,'LAC 102_Wkst'!$L$7:$L$2010,"05",'LAC 102_Wkst'!$N$7:$N$2010,"P4")+SUMIFS('LAC 102_Wkst'!$Q$7:$Q$2010,'LAC 102_Wkst'!$D$7:$D$2010,$C$7,'LAC 102_Wkst'!$I$7:$I$2010,$C$9,'LAC 102_Wkst'!$E$7:$E$2010,$C59,'LAC 102_Wkst'!$G$7:$G$2010,$D59,'LAC 102_Wkst'!$L$7:$L$2010,"06",'LAC 102_Wkst'!$N$7:$N$2010,"P4")</f>
        <v>0</v>
      </c>
      <c r="W59" s="411">
        <f>SUMIFS('LAC 102_Wkst'!$AF$7:$AF$2010,'LAC 102_Wkst'!$D$7:$D$2010,$C$7,'LAC 102_Wkst'!$I$7:$I$2010,$C$9,'LAC 102_Wkst'!$E$7:$E$2010,$C59,'LAC 102_Wkst'!$G$7:$G$2010,$D59,'LAC 102_Wkst'!$L$7:$L$2010,"05",'LAC 102_Wkst'!$N$7:$N$2010,"P4")+SUMIFS('LAC 102_Wkst'!$AF$7:$AF$2010,'LAC 102_Wkst'!$D$7:$D$2010,$C$7,'LAC 102_Wkst'!$I$7:$I$2010,$C$9,'LAC 102_Wkst'!$E$7:$E$2010,$C59,'LAC 102_Wkst'!$G$7:$G$2010,$D59,'LAC 102_Wkst'!$L$7:$L$2010,"06",'LAC 102_Wkst'!$N$7:$N$2010,"P4")</f>
        <v>0</v>
      </c>
      <c r="X59" s="410">
        <f>SUMIFS('LAC 102_Wkst'!$Q$7:$Q$2010,'LAC 102_Wkst'!$D$7:$D$2010,$C$7,'LAC 102_Wkst'!$I$7:$I$2010,$C$9,'LAC 102_Wkst'!$E$7:$E$2010,$C59,'LAC 102_Wkst'!$G$7:$G$2010,$D59,'LAC 102_Wkst'!$L$7:$L$2010,"05",'LAC 102_Wkst'!$N$7:$N$2010,"P5")+SUMIFS('LAC 102_Wkst'!$Q$7:$Q$2010,'LAC 102_Wkst'!$D$7:$D$2010,$C$7,'LAC 102_Wkst'!$I$7:$I$2010,$C$9,'LAC 102_Wkst'!$E$7:$E$2010,$C59,'LAC 102_Wkst'!$G$7:$G$2010,$D59,'LAC 102_Wkst'!$L$7:$L$2010,"06",'LAC 102_Wkst'!$N$7:$N$2010,"P5")</f>
        <v>0</v>
      </c>
      <c r="Y59" s="411">
        <f>SUMIFS('LAC 102_Wkst'!$AF$7:$AF$2010,'LAC 102_Wkst'!$D$7:$D$2010,$C$7,'LAC 102_Wkst'!$I$7:$I$2010,$C$9,'LAC 102_Wkst'!$E$7:$E$2010,$C59,'LAC 102_Wkst'!$G$7:$G$2010,$D59,'LAC 102_Wkst'!$L$7:$L$2010,"05",'LAC 102_Wkst'!$N$7:$N$2010,"P5")+SUMIFS('LAC 102_Wkst'!$AF$7:$AF$2010,'LAC 102_Wkst'!$D$7:$D$2010,$C$7,'LAC 102_Wkst'!$I$7:$I$2010,$C$9,'LAC 102_Wkst'!$E$7:$E$2010,$C59,'LAC 102_Wkst'!$G$7:$G$2010,$D59,'LAC 102_Wkst'!$L$7:$L$2010,"06",'LAC 102_Wkst'!$N$7:$N$2010,"P5")</f>
        <v>0</v>
      </c>
      <c r="Z59" s="410">
        <f>SUMIFS('LAC 102_Wkst'!$Q$7:$Q$2010,'LAC 102_Wkst'!$D$7:$D$2010,$C$7,'LAC 102_Wkst'!$I$7:$I$2010,$C$9,'LAC 102_Wkst'!$E$7:$E$2010,$C59,'LAC 102_Wkst'!$G$7:$G$2010,$D59,'LAC 102_Wkst'!$L$7:$L$2010,"07",'LAC 102_Wkst'!$N$7:$N$2010,"P1")+SUMIFS('LAC 102_Wkst'!$Q$7:$Q$2010,'LAC 102_Wkst'!$D$7:$D$2010,$C$7,'LAC 102_Wkst'!$I$7:$I$2010,$C$9,'LAC 102_Wkst'!$E$7:$E$2010,$C59,'LAC 102_Wkst'!$G$7:$G$2010,$D59,'LAC 102_Wkst'!$L$7:$L$2010,"07",'LAC 102_Wkst'!$N$7:$N$2010,"P2")+SUMIFS('LAC 102_Wkst'!$Q$7:$Q$2010,'LAC 102_Wkst'!$D$7:$D$2010,$C$7,'LAC 102_Wkst'!$I$7:$I$2010,$C$9,'LAC 102_Wkst'!$E$7:$E$2010,$C59,'LAC 102_Wkst'!$G$7:$G$2010,$D59,'LAC 102_Wkst'!$L$7:$L$2010,"07",'LAC 102_Wkst'!$N$7:$N$2010,"P3")</f>
        <v>0</v>
      </c>
      <c r="AA59" s="411">
        <f>SUMIFS('LAC 102_Wkst'!$AF$7:$AF$2010,'LAC 102_Wkst'!$D$7:$D$2010,$C$7,'LAC 102_Wkst'!$I$7:$I$2010,$C$9,'LAC 102_Wkst'!$E$7:$E$2010,$C59,'LAC 102_Wkst'!$G$7:$G$2010,$D59,'LAC 102_Wkst'!$L$7:$L$2010,"07",'LAC 102_Wkst'!$N$7:$N$2010,"P1")+SUMIFS('LAC 102_Wkst'!$AF$7:$AF$2010,'LAC 102_Wkst'!$D$7:$D$2010,$C$7,'LAC 102_Wkst'!$I$7:$I$2010,$C$9,'LAC 102_Wkst'!$E$7:$E$2010,$C59,'LAC 102_Wkst'!$G$7:$G$2010,$D59,'LAC 102_Wkst'!$L$7:$L$2010,"07",'LAC 102_Wkst'!$N$7:$N$2010,"P2")+SUMIFS('LAC 102_Wkst'!$AF$7:$AF$2010,'LAC 102_Wkst'!$D$7:$D$2010,$C$7,'LAC 102_Wkst'!$I$7:$I$2010,$C$9,'LAC 102_Wkst'!$E$7:$E$2010,$C59,'LAC 102_Wkst'!$G$7:$G$2010,$D59,'LAC 102_Wkst'!$L$7:$L$2010,"07",'LAC 102_Wkst'!$N$7:$N$2010,"P3")</f>
        <v>0</v>
      </c>
      <c r="AB59" s="410">
        <f>SUMIFS('LAC 102_Wkst'!$Q$7:$Q$2010,'LAC 102_Wkst'!$D$7:$D$2010,$C$7,'LAC 102_Wkst'!$I$7:$I$2010,$C$9,'LAC 102_Wkst'!$E$7:$E$2010,$C59,'LAC 102_Wkst'!$G$7:$G$2010,$D59,'LAC 102_Wkst'!$L$7:$L$2010,"07",'LAC 102_Wkst'!$N$7:$N$2010,"P4")</f>
        <v>0</v>
      </c>
      <c r="AC59" s="411">
        <f>SUMIFS('LAC 102_Wkst'!$AF$7:$AF$2010,'LAC 102_Wkst'!$D$7:$D$2010,$C$7,'LAC 102_Wkst'!$I$7:$I$2010,$C$9,'LAC 102_Wkst'!$E$7:$E$2010,$C59,'LAC 102_Wkst'!$G$7:$G$2010,$D59,'LAC 102_Wkst'!$L$7:$L$2010,"07",'LAC 102_Wkst'!$N$7:$N$2010,"P4")</f>
        <v>0</v>
      </c>
      <c r="AD59" s="410">
        <f>SUMIFS('LAC 102_Wkst'!$Q$7:$Q$2010,'LAC 102_Wkst'!$D$7:$D$2010,$C$7,'LAC 102_Wkst'!$I$7:$I$2010,$C$9,'LAC 102_Wkst'!$E$7:$E$2010,$C59,'LAC 102_Wkst'!$G$7:$G$2010,$D59,'LAC 102_Wkst'!$L$7:$L$2010,"07",'LAC 102_Wkst'!$N$7:$N$2010,"P5")</f>
        <v>0</v>
      </c>
      <c r="AE59" s="411">
        <f>SUMIFS('LAC 102_Wkst'!$AF$7:$AF$2010,'LAC 102_Wkst'!$D$7:$D$2010,$C$7,'LAC 102_Wkst'!$I$7:$I$2010,$C$9,'LAC 102_Wkst'!$E$7:$E$2010,$C59,'LAC 102_Wkst'!$G$7:$G$2010,$D59,'LAC 102_Wkst'!$L$7:$L$2010,"07",'LAC 102_Wkst'!$N$7:$N$2010,"P5")</f>
        <v>0</v>
      </c>
      <c r="AF59" s="410">
        <f>SUMIFS('LAC 102_Wkst'!$Q$7:$Q$2010,'LAC 102_Wkst'!$D$7:$D$2010,$C$7,'LAC 102_Wkst'!$I$7:$I$2010,$C$9,'LAC 102_Wkst'!$E$7:$E$2010,$C59,'LAC 102_Wkst'!$G$7:$G$2010,$D59,'LAC 102_Wkst'!$L$7:$L$2010,"08",'LAC 102_Wkst'!$N$7:$N$2010,"P1")+SUMIFS('LAC 102_Wkst'!$Q$7:$Q$2010,'LAC 102_Wkst'!$D$7:$D$2010,$C$7,'LAC 102_Wkst'!$I$7:$I$2010,$C$9,'LAC 102_Wkst'!$E$7:$E$2010,$C59,'LAC 102_Wkst'!$G$7:$G$2010,$D59,'LAC 102_Wkst'!$L$7:$L$2010,"08",'LAC 102_Wkst'!$N$7:$N$2010,"P2")+SUMIFS('LAC 102_Wkst'!$Q$7:$Q$2010,'LAC 102_Wkst'!$D$7:$D$2010,$C$7,'LAC 102_Wkst'!$I$7:$I$2010,$C$9,'LAC 102_Wkst'!$E$7:$E$2010,$C59,'LAC 102_Wkst'!$G$7:$G$2010,$D59,'LAC 102_Wkst'!$L$7:$L$2010,"08",'LAC 102_Wkst'!$N$7:$N$2010,"P3")</f>
        <v>0</v>
      </c>
      <c r="AG59" s="411">
        <f>SUMIFS('LAC 102_Wkst'!$AF$7:$AF$2010,'LAC 102_Wkst'!$D$7:$D$2010,$C$7,'LAC 102_Wkst'!$I$7:$I$2010,$C$9,'LAC 102_Wkst'!$E$7:$E$2010,$C59,'LAC 102_Wkst'!$G$7:$G$2010,$D59,'LAC 102_Wkst'!$L$7:$L$2010,"08",'LAC 102_Wkst'!$N$7:$N$2010,"P1")+SUMIFS('LAC 102_Wkst'!$AF$7:$AF$2010,'LAC 102_Wkst'!$D$7:$D$2010,$C$7,'LAC 102_Wkst'!$I$7:$I$2010,$C$9,'LAC 102_Wkst'!$E$7:$E$2010,$C59,'LAC 102_Wkst'!$G$7:$G$2010,$D59,'LAC 102_Wkst'!$L$7:$L$2010,"08",'LAC 102_Wkst'!$N$7:$N$2010,"P2")+SUMIFS('LAC 102_Wkst'!$AF$7:$AF$2010,'LAC 102_Wkst'!$D$7:$D$2010,$C$7,'LAC 102_Wkst'!$I$7:$I$2010,$C$9,'LAC 102_Wkst'!$E$7:$E$2010,$C59,'LAC 102_Wkst'!$G$7:$G$2010,$D59,'LAC 102_Wkst'!$L$7:$L$2010,"08",'LAC 102_Wkst'!$N$7:$N$2010,"P3")</f>
        <v>0</v>
      </c>
      <c r="AH59" s="410">
        <f>SUMIFS('LAC 102_Wkst'!$Q$7:$Q$2010,'LAC 102_Wkst'!$D$7:$D$2010,$C$7,'LAC 102_Wkst'!$I$7:$I$2010,$C$9,'LAC 102_Wkst'!$E$7:$E$2010,$C59,'LAC 102_Wkst'!$G$7:$G$2010,$D59,'LAC 102_Wkst'!$L$7:$L$2010,"08",'LAC 102_Wkst'!$N$7:$N$2010,"P4")</f>
        <v>0</v>
      </c>
      <c r="AI59" s="411">
        <f>SUMIFS('LAC 102_Wkst'!$AF$7:$AF$2010,'LAC 102_Wkst'!$D$7:$D$2010,$C$7,'LAC 102_Wkst'!$I$7:$I$2010,$C$9,'LAC 102_Wkst'!$E$7:$E$2010,$C59,'LAC 102_Wkst'!$G$7:$G$2010,$D59,'LAC 102_Wkst'!$L$7:$L$2010,"08",'LAC 102_Wkst'!$N$7:$N$2010,"P4")</f>
        <v>0</v>
      </c>
      <c r="AJ59" s="410">
        <f>SUMIFS('LAC 102_Wkst'!$Q$7:$Q$2010,'LAC 102_Wkst'!$D$7:$D$2010,$C$7,'LAC 102_Wkst'!$I$7:$I$2010,$C$9,'LAC 102_Wkst'!$E$7:$E$2010,$C59,'LAC 102_Wkst'!$G$7:$G$2010,$D59,'LAC 102_Wkst'!$L$7:$L$2010,"08",'LAC 102_Wkst'!$N$7:$N$2010,"P5")</f>
        <v>0</v>
      </c>
      <c r="AK59" s="411">
        <f>SUMIFS('LAC 102_Wkst'!$AF$7:$AF$2010,'LAC 102_Wkst'!$D$7:$D$2010,$C$7,'LAC 102_Wkst'!$I$7:$I$2010,$C$9,'LAC 102_Wkst'!$E$7:$E$2010,$C59,'LAC 102_Wkst'!$G$7:$G$2010,$D59,'LAC 102_Wkst'!$L$7:$L$2010,"08",'LAC 102_Wkst'!$N$7:$N$2010,"P5")</f>
        <v>0</v>
      </c>
      <c r="AL59" s="410">
        <f>SUMIFS('LAC 102_Wkst'!$Q$7:$Q$2010,'LAC 102_Wkst'!$D$7:$D$2010,$C$7,'LAC 102_Wkst'!$I$7:$I$2010,$C$9,'LAC 102_Wkst'!$E$7:$E$2010,$C59,'LAC 102_Wkst'!$G$7:$G$2010,$D59,'LAC 102_Wkst'!$L$7:$L$2010,"09",'LAC 102_Wkst'!$N$7:$N$2010,"P1")+SUMIFS('LAC 102_Wkst'!$Q$7:$Q$2010,'LAC 102_Wkst'!$D$7:$D$2010,$C$7,'LAC 102_Wkst'!$I$7:$I$2010,$C$9,'LAC 102_Wkst'!$E$7:$E$2010,$C59,'LAC 102_Wkst'!$G$7:$G$2010,$D59,'LAC 102_Wkst'!$L$7:$L$2010,"09",'LAC 102_Wkst'!$N$7:$N$2010,"P2")+SUMIFS('LAC 102_Wkst'!$Q$7:$Q$2010,'LAC 102_Wkst'!$D$7:$D$2010,$C$7,'LAC 102_Wkst'!$I$7:$I$2010,$C$9,'LAC 102_Wkst'!$E$7:$E$2010,$C59,'LAC 102_Wkst'!$G$7:$G$2010,$D59,'LAC 102_Wkst'!$L$7:$L$2010,"09",'LAC 102_Wkst'!$N$7:$N$2010,"P3")+SUMIFS('LAC 102_Wkst'!$Q$7:$Q$2010,'LAC 102_Wkst'!$D$7:$D$2010,$C$7,'LAC 102_Wkst'!$I$7:$I$2010,$C$9,'LAC 102_Wkst'!$E$7:$E$2010,$C59,'LAC 102_Wkst'!$G$7:$G$2010,$D59,'LAC 102_Wkst'!$L$7:$L$2010,"09",'LAC 102_Wkst'!$N$7:$N$2010,"P4")</f>
        <v>0</v>
      </c>
      <c r="AM59" s="411">
        <f>SUMIFS('LAC 102_Wkst'!$AF$7:$AF$2010,'LAC 102_Wkst'!$D$7:$D$2010,$C$7,'LAC 102_Wkst'!$I$7:$I$2010,$C$9,'LAC 102_Wkst'!$E$7:$E$2010,$C59,'LAC 102_Wkst'!$G$7:$G$2010,$D59,'LAC 102_Wkst'!$L$7:$L$2010,"09",'LAC 102_Wkst'!$N$7:$N$2010,"P1")+SUMIFS('LAC 102_Wkst'!$AF$7:$AF$2010,'LAC 102_Wkst'!$D$7:$D$2010,$C$7,'LAC 102_Wkst'!$I$7:$I$2010,$C$9,'LAC 102_Wkst'!$E$7:$E$2010,$C59,'LAC 102_Wkst'!$G$7:$G$2010,$D59,'LAC 102_Wkst'!$L$7:$L$2010,"09",'LAC 102_Wkst'!$N$7:$N$2010,"P2")+SUMIFS('LAC 102_Wkst'!$AF$7:$AF$2010,'LAC 102_Wkst'!$D$7:$D$2010,$C$7,'LAC 102_Wkst'!$I$7:$I$2010,$C$9,'LAC 102_Wkst'!$E$7:$E$2010,$C59,'LAC 102_Wkst'!$G$7:$G$2010,$D59,'LAC 102_Wkst'!$L$7:$L$2010,"09",'LAC 102_Wkst'!$N$7:$N$2010,"P3")+SUMIFS('LAC 102_Wkst'!$AF$7:$AF$2010,'LAC 102_Wkst'!$D$7:$D$2010,$C$7,'LAC 102_Wkst'!$I$7:$I$2010,$C$9,'LAC 102_Wkst'!$E$7:$E$2010,$C59,'LAC 102_Wkst'!$G$7:$G$2010,$D59,'LAC 102_Wkst'!$L$7:$L$2010,"09",'LAC 102_Wkst'!$N$7:$N$2010,"P4")</f>
        <v>0</v>
      </c>
      <c r="AN59" s="410">
        <f>SUMIFS('LAC 102_Wkst'!$Q$7:$Q$2010,'LAC 102_Wkst'!$D$7:$D$2010,$C$7,'LAC 102_Wkst'!$I$7:$I$2010,$C$9,'LAC 102_Wkst'!$E$7:$E$2010,$C59,'LAC 102_Wkst'!$G$7:$G$2010,$D59,'LAC 102_Wkst'!$L$7:$L$2010,"09",'LAC 102_Wkst'!$N$7:$N$2010,"P5")</f>
        <v>0</v>
      </c>
      <c r="AO59" s="411">
        <f>SUMIFS('LAC 102_Wkst'!$AF$7:$AF$2010,'LAC 102_Wkst'!$D$7:$D$2010,$C$7,'LAC 102_Wkst'!$I$7:$I$2010,$C$9,'LAC 102_Wkst'!$E$7:$E$2010,$C59,'LAC 102_Wkst'!$G$7:$G$2010,$D59,'LAC 102_Wkst'!$L$7:$L$2010,"09",'LAC 102_Wkst'!$N$7:$N$2010,"P5")</f>
        <v>0</v>
      </c>
      <c r="AP59" s="410">
        <f>SUMIFS('LAC 102_Wkst'!$Q$7:$Q$2010,'LAC 102_Wkst'!$D$7:$D$2010,$C$7,'LAC 102_Wkst'!$I$7:$I$2010,$C$9,'LAC 102_Wkst'!$E$7:$E$2010,$C59,'LAC 102_Wkst'!$G$7:$G$2010,$D59,'LAC 102_Wkst'!$L$7:$L$2010,"10",'LAC 102_Wkst'!$N$7:$N$2010,"P1")+SUMIFS('LAC 102_Wkst'!$Q$7:$Q$2010,'LAC 102_Wkst'!$D$7:$D$2010,$C$7,'LAC 102_Wkst'!$I$7:$I$2010,$C$9,'LAC 102_Wkst'!$E$7:$E$2010,$C59,'LAC 102_Wkst'!$G$7:$G$2010,$D59,'LAC 102_Wkst'!$L$7:$L$2010,"10",'LAC 102_Wkst'!$N$7:$N$2010,"P2")+SUMIFS('LAC 102_Wkst'!$Q$7:$Q$2010,'LAC 102_Wkst'!$D$7:$D$2010,$C$7,'LAC 102_Wkst'!$I$7:$I$2010,$C$9,'LAC 102_Wkst'!$E$7:$E$2010,$C59,'LAC 102_Wkst'!$G$7:$G$2010,$D59,'LAC 102_Wkst'!$L$7:$L$2010,"10",'LAC 102_Wkst'!$N$7:$N$2010,"P3")+SUMIFS('LAC 102_Wkst'!$Q$7:$Q$2010,'LAC 102_Wkst'!$D$7:$D$2010,$C$7,'LAC 102_Wkst'!$I$7:$I$2010,$C$9,'LAC 102_Wkst'!$E$7:$E$2010,$C59,'LAC 102_Wkst'!$G$7:$G$2010,$D59,'LAC 102_Wkst'!$L$7:$L$2010,"10",'LAC 102_Wkst'!$N$7:$N$2010,"P4")</f>
        <v>0</v>
      </c>
      <c r="AQ59" s="411">
        <f>SUMIFS('LAC 102_Wkst'!$AF$7:$AF$2010,'LAC 102_Wkst'!$D$7:$D$2010,$C$7,'LAC 102_Wkst'!$I$7:$I$2010,$C$9,'LAC 102_Wkst'!$E$7:$E$2010,$C59,'LAC 102_Wkst'!$G$7:$G$2010,$D59,'LAC 102_Wkst'!$L$7:$L$2010,"10",'LAC 102_Wkst'!$N$7:$N$2010,"P1")+SUMIFS('LAC 102_Wkst'!$AF$7:$AF$2010,'LAC 102_Wkst'!$D$7:$D$2010,$C$7,'LAC 102_Wkst'!$I$7:$I$2010,$C$9,'LAC 102_Wkst'!$E$7:$E$2010,$C59,'LAC 102_Wkst'!$G$7:$G$2010,$D59,'LAC 102_Wkst'!$L$7:$L$2010,"10",'LAC 102_Wkst'!$N$7:$N$2010,"P2")+SUMIFS('LAC 102_Wkst'!$AF$7:$AF$2010,'LAC 102_Wkst'!$D$7:$D$2010,$C$7,'LAC 102_Wkst'!$I$7:$I$2010,$C$9,'LAC 102_Wkst'!$E$7:$E$2010,$C59,'LAC 102_Wkst'!$G$7:$G$2010,$D59,'LAC 102_Wkst'!$L$7:$L$2010,"10",'LAC 102_Wkst'!$N$7:$N$2010,"P3")+SUMIFS('LAC 102_Wkst'!$AF$7:$AF$2010,'LAC 102_Wkst'!$D$7:$D$2010,$C$7,'LAC 102_Wkst'!$I$7:$I$2010,$C$9,'LAC 102_Wkst'!$E$7:$E$2010,$C59,'LAC 102_Wkst'!$G$7:$G$2010,$D59,'LAC 102_Wkst'!$L$7:$L$2010,"10",'LAC 102_Wkst'!$N$7:$N$2010,"P4")</f>
        <v>0</v>
      </c>
      <c r="AR59" s="410">
        <f>SUMIFS('LAC 102_Wkst'!$Q$7:$Q$2010,'LAC 102_Wkst'!$D$7:$D$2010,$C$7,'LAC 102_Wkst'!$I$7:$I$2010,$C$9,'LAC 102_Wkst'!$E$7:$E$2010,$C59,'LAC 102_Wkst'!$G$7:$G$2010,$D59,'LAC 102_Wkst'!$L$7:$L$2010,"10",'LAC 102_Wkst'!$N$7:$N$2010,"P5")</f>
        <v>0</v>
      </c>
      <c r="AS59" s="411">
        <f>SUMIFS('LAC 102_Wkst'!$AF$7:$AF$2010,'LAC 102_Wkst'!$D$7:$D$2010,$C$7,'LAC 102_Wkst'!$I$7:$I$2010,$C$9,'LAC 102_Wkst'!$E$7:$E$2010,$C59,'LAC 102_Wkst'!$G$7:$G$2010,$D59,'LAC 102_Wkst'!$L$7:$L$2010,"10",'LAC 102_Wkst'!$N$7:$N$2010,"P5")</f>
        <v>0</v>
      </c>
      <c r="AT59" s="410">
        <f>SUMIFS('LAC 102_Wkst'!$Q$7:$Q$2010,'LAC 102_Wkst'!$D$7:$D$2010,$C$7,'LAC 102_Wkst'!$I$7:$I$2010,$C$9,'LAC 102_Wkst'!$E$7:$E$2010,$C59,'LAC 102_Wkst'!$G$7:$G$2010,$D59,'LAC 102_Wkst'!$L$7:$L$2010,"11",'LAC 102_Wkst'!$N$7:$N$2010,"P1")+SUMIFS('LAC 102_Wkst'!$Q$7:$Q$2010,'LAC 102_Wkst'!$D$7:$D$2010,$C$7,'LAC 102_Wkst'!$I$7:$I$2010,$C$9,'LAC 102_Wkst'!$E$7:$E$2010,$C59,'LAC 102_Wkst'!$G$7:$G$2010,$D59,'LAC 102_Wkst'!$L$7:$L$2010,"12",'LAC 102_Wkst'!$N$7:$N$2010,"P1")</f>
        <v>0</v>
      </c>
      <c r="AU59" s="411">
        <f>SUMIFS('LAC 102_Wkst'!$Q$7:$Q$2010,'LAC 102_Wkst'!$D$7:$D$2010,$C$7,'LAC 102_Wkst'!$I$7:$I$2010,$C$9,'LAC 102_Wkst'!$E$7:$E$2010,$C59,'LAC 102_Wkst'!$G$7:$G$2010,$D59,'LAC 102_Wkst'!$L$7:$L$2010,"13",'LAC 102_Wkst'!$N$7:$N$2010,"P5")</f>
        <v>0</v>
      </c>
      <c r="AV59" s="410">
        <f>SUMIFS('LAC 102_Wkst'!$Q$7:$Q$2010,'LAC 102_Wkst'!$D$7:$D$2010,$C$7,'LAC 102_Wkst'!$I$7:$I$2010,$C$9,'LAC 102_Wkst'!$E$7:$E$2010,$C59,'LAC 102_Wkst'!$G$7:$G$2010,$D59,'LAC 102_Wkst'!$L$7:$L$2010,"11",'LAC 102_Wkst'!$N$7:$N$2010,"P2")+SUMIFS('LAC 102_Wkst'!$Q$7:$Q$2010,'LAC 102_Wkst'!$D$7:$D$2010,$C$7,'LAC 102_Wkst'!$I$7:$I$2010,$C$9,'LAC 102_Wkst'!$E$7:$E$2010,$C59,'LAC 102_Wkst'!$G$7:$G$2010,$D59,'LAC 102_Wkst'!$L$7:$L$2010,"12",'LAC 102_Wkst'!$N$7:$N$2010,"P2")+SUMIFS('LAC 102_Wkst'!$Q$7:$Q$2010,'LAC 102_Wkst'!$D$7:$D$2010,$C$7,'LAC 102_Wkst'!$I$7:$I$2010,$C$9,'LAC 102_Wkst'!$E$7:$E$2010,$C59,'LAC 102_Wkst'!$G$7:$G$2010,$D59,'LAC 102_Wkst'!$L$7:$L$2010,"11",'LAC 102_Wkst'!$N$7:$N$2010,"P3")+SUMIFS('LAC 102_Wkst'!$Q$7:$Q$2010,'LAC 102_Wkst'!$D$7:$D$2010,$C$7,'LAC 102_Wkst'!$I$7:$I$2010,$C$9,'LAC 102_Wkst'!$E$7:$E$2010,$C59,'LAC 102_Wkst'!$G$7:$G$2010,$D59,'LAC 102_Wkst'!$L$7:$L$2010,"12",'LAC 102_Wkst'!$N$7:$N$2010,"P3")</f>
        <v>0</v>
      </c>
      <c r="AW59" s="411">
        <f>SUMIFS('LAC 102_Wkst'!$AF$7:$AF$2010,'LAC 102_Wkst'!$D$7:$D$2010,$C$7,'LAC 102_Wkst'!$I$7:$I$2010,$C$9,'LAC 102_Wkst'!$E$7:$E$2010,$C59,'LAC 102_Wkst'!$G$7:$G$2010,$D59,'LAC 102_Wkst'!$L$7:$L$2010,"11",'LAC 102_Wkst'!$N$7:$N$2010,"P2")+SUMIFS('LAC 102_Wkst'!$AF$7:$AF$2010,'LAC 102_Wkst'!$D$7:$D$2010,$C$7,'LAC 102_Wkst'!$I$7:$I$2010,$C$9,'LAC 102_Wkst'!$E$7:$E$2010,$C59,'LAC 102_Wkst'!$G$7:$G$2010,$D59,'LAC 102_Wkst'!$L$7:$L$2010,"12",'LAC 102_Wkst'!$N$7:$N$2010,"P2")+SUMIFS('LAC 102_Wkst'!$AF$7:$AF$2010,'LAC 102_Wkst'!$D$7:$D$2010,$C$7,'LAC 102_Wkst'!$I$7:$I$2010,$C$9,'LAC 102_Wkst'!$E$7:$E$2010,$C59,'LAC 102_Wkst'!$G$7:$G$2010,$D59,'LAC 102_Wkst'!$L$7:$L$2010,"11",'LAC 102_Wkst'!$N$7:$N$2010,"P3")+SUMIFS('LAC 102_Wkst'!$AF$7:$AF$2010,'LAC 102_Wkst'!$D$7:$D$2010,$C$7,'LAC 102_Wkst'!$I$7:$I$2010,$C$9,'LAC 102_Wkst'!$E$7:$E$2010,$C59,'LAC 102_Wkst'!$G$7:$G$2010,$D59,'LAC 102_Wkst'!$L$7:$L$2010,"12",'LAC 102_Wkst'!$N$7:$N$2010,"P3")</f>
        <v>0</v>
      </c>
      <c r="AX59" s="410">
        <f>SUMIFS('LAC 102_Wkst'!$Q$7:$Q$2010,'LAC 102_Wkst'!$D$7:$D$2010,$C$7,'LAC 102_Wkst'!$I$7:$I$2010,$C$9,'LAC 102_Wkst'!$E$7:$E$2010,$C59,'LAC 102_Wkst'!$G$7:$G$2010,$D59,'LAC 102_Wkst'!$L$7:$L$2010,"11",'LAC 102_Wkst'!$N$7:$N$2010,"P4")+SUMIFS('LAC 102_Wkst'!$Q$7:$Q$2010,'LAC 102_Wkst'!$D$7:$D$2010,$C$7,'LAC 102_Wkst'!$I$7:$I$2010,$C$9,'LAC 102_Wkst'!$E$7:$E$2010,$C59,'LAC 102_Wkst'!$G$7:$G$2010,$D59,'LAC 102_Wkst'!$L$7:$L$2010,"12",'LAC 102_Wkst'!$N$7:$N$2010,"P4")</f>
        <v>0</v>
      </c>
      <c r="AY59" s="411">
        <f>SUMIFS('LAC 102_Wkst'!$AF$7:$AF$2010,'LAC 102_Wkst'!$D$7:$D$2010,$C$7,'LAC 102_Wkst'!$I$7:$I$2010,$C$9,'LAC 102_Wkst'!$E$7:$E$2010,$C59,'LAC 102_Wkst'!$G$7:$G$2010,$D59,'LAC 102_Wkst'!$L$7:$L$2010,"11",'LAC 102_Wkst'!$N$7:$N$2010,"P4")+SUMIFS('LAC 102_Wkst'!$AF$7:$AF$2010,'LAC 102_Wkst'!$D$7:$D$2010,$C$7,'LAC 102_Wkst'!$I$7:$I$2010,$C$9,'LAC 102_Wkst'!$E$7:$E$2010,$C59,'LAC 102_Wkst'!$G$7:$G$2010,$D59,'LAC 102_Wkst'!$L$7:$L$2010,"12",'LAC 102_Wkst'!$N$7:$N$2010,"P4")</f>
        <v>0</v>
      </c>
      <c r="AZ59" s="410">
        <f>SUMIFS('LAC 102_Wkst'!$Q$7:$Q$2010,'LAC 102_Wkst'!$D$7:$D$2010,$C$7,'LAC 102_Wkst'!$I$7:$I$2010,$C$9,'LAC 102_Wkst'!$E$7:$E$2010,$C59,'LAC 102_Wkst'!$G$7:$G$2010,$D59,'LAC 102_Wkst'!$L$7:$L$2010,"11",'LAC 102_Wkst'!$N$7:$N$2010,"P5")+SUMIFS('LAC 102_Wkst'!$Q$7:$Q$2010,'LAC 102_Wkst'!$D$7:$D$2010,$C$7,'LAC 102_Wkst'!$I$7:$I$2010,$C$9,'LAC 102_Wkst'!$E$7:$E$2010,$C59,'LAC 102_Wkst'!$G$7:$G$2010,$D59,'LAC 102_Wkst'!$L$7:$L$2010,"12",'LAC 102_Wkst'!$N$7:$N$2010,"P5")</f>
        <v>0</v>
      </c>
      <c r="BA59" s="411">
        <f>SUMIFS('LAC 102_Wkst'!$AF$7:$AF$2010,'LAC 102_Wkst'!$D$7:$D$2010,$C$7,'LAC 102_Wkst'!$I$7:$I$2010,$C$9,'LAC 102_Wkst'!$E$7:$E$2010,$C59,'LAC 102_Wkst'!$G$7:$G$2010,$D59,'LAC 102_Wkst'!$L$7:$L$2010,"11",'LAC 102_Wkst'!$N$7:$N$2010,"P5")+SUMIFS('LAC 102_Wkst'!$AF$7:$AF$2010,'LAC 102_Wkst'!$D$7:$D$2010,$C$7,'LAC 102_Wkst'!$I$7:$I$2010,$C$9,'LAC 102_Wkst'!$E$7:$E$2010,$C59,'LAC 102_Wkst'!$G$7:$G$2010,$D59,'LAC 102_Wkst'!$L$7:$L$2010,"12",'LAC 102_Wkst'!$N$7:$N$2010,"P5")</f>
        <v>0</v>
      </c>
      <c r="BB59" s="410">
        <f>SUMIFS('LAC 102_Wkst'!$Q$7:$Q$2010,'LAC 102_Wkst'!$D$7:$D$2010,$C$7,'LAC 102_Wkst'!$I$7:$I$2010,$C$9,'LAC 102_Wkst'!$E$7:$E$2010,$C59,'LAC 102_Wkst'!$G$7:$G$2010,$D59,'LAC 102_Wkst'!$L$7:$L$2010,"13",'LAC 102_Wkst'!$N$7:$N$2010,"P1")+SUMIFS('LAC 102_Wkst'!$Q$7:$Q$2010,'LAC 102_Wkst'!$D$7:$D$2010,$C$7,'LAC 102_Wkst'!$I$7:$I$2010,$C$9,'LAC 102_Wkst'!$E$7:$E$2010,$C59,'LAC 102_Wkst'!$G$7:$G$2010,$D59,'LAC 102_Wkst'!$L$7:$L$2010,"13",'LAC 102_Wkst'!$N$7:$N$2010,"P2")+SUMIFS('LAC 102_Wkst'!$Q$7:$Q$2010,'LAC 102_Wkst'!$D$7:$D$2010,$C$7,'LAC 102_Wkst'!$I$7:$I$2010,$C$9,'LAC 102_Wkst'!$E$7:$E$2010,$C59,'LAC 102_Wkst'!$G$7:$G$2010,$D59,'LAC 102_Wkst'!$L$7:$L$2010,"13",'LAC 102_Wkst'!$N$7:$N$2010,"P3")+SUMIFS('LAC 102_Wkst'!$Q$7:$Q$2010,'LAC 102_Wkst'!$D$7:$D$2010,$C$7,'LAC 102_Wkst'!$I$7:$I$2010,$C$9,'LAC 102_Wkst'!$E$7:$E$2010,$C59,'LAC 102_Wkst'!$G$7:$G$2010,$D59,'LAC 102_Wkst'!$L$7:$L$2010,"13",'LAC 102_Wkst'!$N$7:$N$2010,"P4")</f>
        <v>0</v>
      </c>
      <c r="BC59" s="411">
        <f>SUMIFS('LAC 102_Wkst'!$AF$7:$AF$2010,'LAC 102_Wkst'!$D$7:$D$2010,$C$7,'LAC 102_Wkst'!$I$7:$I$2010,$C$9,'LAC 102_Wkst'!$E$7:$E$2010,$C59,'LAC 102_Wkst'!$G$7:$G$2010,$D59,'LAC 102_Wkst'!$L$7:$L$2010,"13",'LAC 102_Wkst'!$N$7:$N$2010,"P1")+SUMIFS('LAC 102_Wkst'!$AF$7:$AF$2010,'LAC 102_Wkst'!$D$7:$D$2010,$C$7,'LAC 102_Wkst'!$I$7:$I$2010,$C$9,'LAC 102_Wkst'!$E$7:$E$2010,$C59,'LAC 102_Wkst'!$G$7:$G$2010,$D59,'LAC 102_Wkst'!$L$7:$L$2010,"13",'LAC 102_Wkst'!$N$7:$N$2010,"P2")+SUMIFS('LAC 102_Wkst'!$AF$7:$AF$2010,'LAC 102_Wkst'!$D$7:$D$2010,$C$7,'LAC 102_Wkst'!$I$7:$I$2010,$C$9,'LAC 102_Wkst'!$E$7:$E$2010,$C59,'LAC 102_Wkst'!$G$7:$G$2010,$D59,'LAC 102_Wkst'!$L$7:$L$2010,"13",'LAC 102_Wkst'!$N$7:$N$2010,"P3")+SUMIFS('LAC 102_Wkst'!$AF$7:$AF$2010,'LAC 102_Wkst'!$D$7:$D$2010,$C$7,'LAC 102_Wkst'!$I$7:$I$2010,$C$9,'LAC 102_Wkst'!$E$7:$E$2010,$C59,'LAC 102_Wkst'!$G$7:$G$2010,$D59,'LAC 102_Wkst'!$L$7:$L$2010,"13",'LAC 102_Wkst'!$N$7:$N$2010,"P4")</f>
        <v>0</v>
      </c>
      <c r="BD59" s="410">
        <f>SUMIFS('LAC 102_Wkst'!$Q$7:$Q$2010,'LAC 102_Wkst'!$D$7:$D$2010,$C$7,'LAC 102_Wkst'!$I$7:$I$2010,$C$9,'LAC 102_Wkst'!$E$7:$E$2010,$C59,'LAC 102_Wkst'!$G$7:$G$2010,$D59,'LAC 102_Wkst'!$L$7:$L$2010,"13",'LAC 102_Wkst'!$N$7:$N$2010,"P5")</f>
        <v>0</v>
      </c>
      <c r="BE59" s="411">
        <f>SUMIFS('LAC 102_Wkst'!$AF$7:$AF$2010,'LAC 102_Wkst'!$D$7:$D$2010,$C$7,'LAC 102_Wkst'!$I$7:$I$2010,$C$9,'LAC 102_Wkst'!$E$7:$E$2010,$C59,'LAC 102_Wkst'!$G$7:$G$2010,$D59,'LAC 102_Wkst'!$L$7:$L$2010,"13",'LAC 102_Wkst'!$N$7:$N$2010,"P5")</f>
        <v>0</v>
      </c>
      <c r="BF59" s="407">
        <f t="shared" si="4"/>
        <v>0</v>
      </c>
      <c r="BG59" s="1654">
        <f>SUMIFS('LAC 102_Wkst'!$AF$7:$AF$2010,'LAC 102_Wkst'!$D$7:$D$2010,$C$7,'LAC 102_Wkst'!$I$7:$I$2010,$C$9,'LAC 102_Wkst'!$E$7:$E$2010,$C59,'LAC 102_Wkst'!$G$7:$G$2010,$D59,'LAC 102_Wkst'!$L$7:$L$2010,"14")</f>
        <v>0</v>
      </c>
    </row>
    <row r="60" spans="1:59" x14ac:dyDescent="0.2">
      <c r="A60" s="401">
        <v>38</v>
      </c>
      <c r="B60" s="1678" t="str">
        <f>IF(Schedule_B!B$57="","",Schedule_B!B$57)</f>
        <v/>
      </c>
      <c r="C60" s="1674" t="str">
        <f>IF(Schedule_B!C$57=""," ",Schedule_B!C$57)</f>
        <v xml:space="preserve"> </v>
      </c>
      <c r="D60" s="1675" t="str">
        <f>IF(Schedule_B!D$57=""," ",Schedule_B!D$57)</f>
        <v xml:space="preserve"> </v>
      </c>
      <c r="E60" s="1221">
        <f>SUMIFS('LAC 102_Wkst'!$Q$7:$Q$2010,'LAC 102_Wkst'!$D$7:$D$2010,$C$7,'LAC 102_Wkst'!$I$7:$I$2010,$C$9,'LAC 102_Wkst'!$E$7:$E$2010,$C60,'LAC 102_Wkst'!$G$7:$G$2010,$D60)</f>
        <v>0</v>
      </c>
      <c r="F60" s="408">
        <f>SUMIFS('LAC 102_Wkst'!$Q$7:$Q$2010,'LAC 102_Wkst'!$D$7:$D$2010,$C$7,'LAC 102_Wkst'!$I$7:$I$2010,$C$9,'LAC 102_Wkst'!$E$7:$E$2010,$C60,'LAC 102_Wkst'!$G$7:$G$2010,$D60,'LAC 102_Wkst'!$L$7:$L$2010,"01",'LAC 102_Wkst'!$N$7:$N$2010,"P1")+SUMIFS('LAC 102_Wkst'!$Q$7:$Q$2010,'LAC 102_Wkst'!$D$7:$D$2010,$C$7,'LAC 102_Wkst'!$I$7:$I$2010,$C$9,'LAC 102_Wkst'!$E$7:$E$2010,$C60,'LAC 102_Wkst'!$G$7:$G$2010,$D60,'LAC 102_Wkst'!$L$7:$L$2010,"01",'LAC 102_Wkst'!$N$7:$N$2010,"P2")+SUMIFS('LAC 102_Wkst'!$Q$7:$Q$2010,'LAC 102_Wkst'!$D$7:$D$2010,$C$7,'LAC 102_Wkst'!$I$7:$I$2010,$C$9,'LAC 102_Wkst'!$E$7:$E$2010,$C60,'LAC 102_Wkst'!$G$7:$G$2010,$D60,'LAC 102_Wkst'!$L$7:$L$2010,"01",'LAC 102_Wkst'!$N$7:$N$2010,"P3")+SUMIFS('LAC 102_Wkst'!$Q$7:$Q$2010,'LAC 102_Wkst'!$D$7:$D$2010,$C$7,'LAC 102_Wkst'!$I$7:$I$2010,$C$9,'LAC 102_Wkst'!$E$7:$E$2010,$C60,'LAC 102_Wkst'!$G$7:$G$2010,$D60,'LAC 102_Wkst'!$L$7:$L$2010,"02",'LAC 102_Wkst'!$N$7:$N$2010,"P1")+SUMIFS('LAC 102_Wkst'!$Q$7:$Q$2010,'LAC 102_Wkst'!$D$7:$D$2010,$C$7,'LAC 102_Wkst'!$I$7:$I$2010,$C$9,'LAC 102_Wkst'!$E$7:$E$2010,$C60,'LAC 102_Wkst'!$G$7:$G$2010,$D60,'LAC 102_Wkst'!$L$7:$L$2010,"02",'LAC 102_Wkst'!$N$7:$N$2010,"P2")+SUMIFS('LAC 102_Wkst'!$Q$7:$Q$2010,'LAC 102_Wkst'!$D$7:$D$2010,$C$7,'LAC 102_Wkst'!$I$7:$I$2010,$C$9,'LAC 102_Wkst'!$E$7:$E$2010,$C60,'LAC 102_Wkst'!$G$7:$G$2010,$D60,'LAC 102_Wkst'!$L$7:$L$2010,"02",'LAC 102_Wkst'!$N$7:$N$2010,"P3")</f>
        <v>0</v>
      </c>
      <c r="G60" s="409">
        <f>SUMIFS('LAC 102_Wkst'!$AF$7:$AF$2010,'LAC 102_Wkst'!$D$7:$D$2010,$C$7,'LAC 102_Wkst'!$I$7:$I$2010,$C$9,'LAC 102_Wkst'!$E$7:$E$2010,$C60,'LAC 102_Wkst'!$G$7:$G$2010,$D60,'LAC 102_Wkst'!$L$7:$L$2010,"01",'LAC 102_Wkst'!$N$7:$N$2010,"P1")+SUMIFS('LAC 102_Wkst'!$AF$7:$AF$2010,'LAC 102_Wkst'!$D$7:$D$2010,$C$7,'LAC 102_Wkst'!$I$7:$I$2010,$C$9,'LAC 102_Wkst'!$E$7:$E$2010,$C60,'LAC 102_Wkst'!$G$7:$G$2010,$D60,'LAC 102_Wkst'!$L$7:$L$2010,"01",'LAC 102_Wkst'!$N$7:$N$2010,"P2")+SUMIFS('LAC 102_Wkst'!$AF$7:$AF$2010,'LAC 102_Wkst'!$D$7:$D$2010,$C$7,'LAC 102_Wkst'!$I$7:$I$2010,$C$9,'LAC 102_Wkst'!$E$7:$E$2010,$C60,'LAC 102_Wkst'!$G$7:$G$2010,$D60,'LAC 102_Wkst'!$L$7:$L$2010,"01",'LAC 102_Wkst'!$N$7:$N$2010,"P3")+SUMIFS('LAC 102_Wkst'!$AF$7:$AF$2010,'LAC 102_Wkst'!$D$7:$D$2010,$C$7,'LAC 102_Wkst'!$I$7:$I$2010,$C$9,'LAC 102_Wkst'!$E$7:$E$2010,$C60,'LAC 102_Wkst'!$G$7:$G$2010,$D60,'LAC 102_Wkst'!$L$7:$L$2010,"02",'LAC 102_Wkst'!$N$7:$N$2010,"P1")+SUMIFS('LAC 102_Wkst'!$AF$7:$AF$2010,'LAC 102_Wkst'!$D$7:$D$2010,$C$7,'LAC 102_Wkst'!$I$7:$I$2010,$C$9,'LAC 102_Wkst'!$E$7:$E$2010,$C60,'LAC 102_Wkst'!$G$7:$G$2010,$D60,'LAC 102_Wkst'!$L$7:$L$2010,"02",'LAC 102_Wkst'!$N$7:$N$2010,"P2")+SUMIFS('LAC 102_Wkst'!$AF$7:$AF$2010,'LAC 102_Wkst'!$D$7:$D$2010,$C$7,'LAC 102_Wkst'!$I$7:$I$2010,$C$9,'LAC 102_Wkst'!$E$7:$E$2010,$C60,'LAC 102_Wkst'!$G$7:$G$2010,$D60,'LAC 102_Wkst'!$L$7:$L$2010,"02",'LAC 102_Wkst'!$N$7:$N$2010,"P3")</f>
        <v>0</v>
      </c>
      <c r="H60" s="410">
        <f>SUMIFS('LAC 102_Wkst'!$Q$7:$Q$2010,'LAC 102_Wkst'!$D$7:$D$2010,$C$7,'LAC 102_Wkst'!$I$7:$I$2010,$C$9,'LAC 102_Wkst'!$E$7:$E$2010,$C60,'LAC 102_Wkst'!$G$7:$G$2010,$D60,'LAC 102_Wkst'!$L$7:$L$2010,"01",'LAC 102_Wkst'!$N$7:$N$2010,"P4")+SUMIFS('LAC 102_Wkst'!$Q$7:$Q$2010,'LAC 102_Wkst'!$D$7:$D$2010,$C$7,'LAC 102_Wkst'!$I$7:$I$2010,$C$9,'LAC 102_Wkst'!$E$7:$E$2010,$C60,'LAC 102_Wkst'!$G$7:$G$2010,$D60,'LAC 102_Wkst'!$L$7:$L$2010,"02",'LAC 102_Wkst'!$N$7:$N$2010,"P4")</f>
        <v>0</v>
      </c>
      <c r="I60" s="411">
        <f>SUMIFS('LAC 102_Wkst'!$AF$7:$AF$2010,'LAC 102_Wkst'!$D$7:$D$2010,$C$7,'LAC 102_Wkst'!$I$7:$I$2010,$C$9,'LAC 102_Wkst'!$E$7:$E$2010,$C60,'LAC 102_Wkst'!$G$7:$G$2010,$D60,'LAC 102_Wkst'!$L$7:$L$2010,"01",'LAC 102_Wkst'!$N$7:$N$2010,"P4")+SUMIFS('LAC 102_Wkst'!$AF$7:$AF$2010,'LAC 102_Wkst'!$D$7:$D$2010,$C$7,'LAC 102_Wkst'!$I$7:$I$2010,$C$9,'LAC 102_Wkst'!$E$7:$E$2010,$C60,'LAC 102_Wkst'!$G$7:$G$2010,$D60,'LAC 102_Wkst'!$L$7:$L$2010,"02",'LAC 102_Wkst'!$N$7:$N$2010,"P4")</f>
        <v>0</v>
      </c>
      <c r="J60" s="410">
        <f>SUMIFS('LAC 102_Wkst'!$Q$7:$Q$2010,'LAC 102_Wkst'!$D$7:$D$2010,$C$7,'LAC 102_Wkst'!$I$7:$I$2010,$C$9,'LAC 102_Wkst'!$E$7:$E$2010,$C60,'LAC 102_Wkst'!$G$7:$G$2010,$D60,'LAC 102_Wkst'!$L$7:$L$2010,"01",'LAC 102_Wkst'!$N$7:$N$2010,"P5")+SUMIFS('LAC 102_Wkst'!$Q$7:$Q$2010,'LAC 102_Wkst'!$D$7:$D$2010,$C$7,'LAC 102_Wkst'!$I$7:$I$2010,$C$9,'LAC 102_Wkst'!$E$7:$E$2010,$C60,'LAC 102_Wkst'!$G$7:$G$2010,$D60,'LAC 102_Wkst'!$L$7:$L$2010,"02",'LAC 102_Wkst'!$N$7:$N$2010,"P5")</f>
        <v>0</v>
      </c>
      <c r="K60" s="411">
        <f>SUMIFS('LAC 102_Wkst'!$AF$7:$AF$2010,'LAC 102_Wkst'!$D$7:$D$2010,$C$7,'LAC 102_Wkst'!$I$7:$I$2010,$C$9,'LAC 102_Wkst'!$E$7:$E$2010,$C60,'LAC 102_Wkst'!$G$7:$G$2010,$D60,'LAC 102_Wkst'!$L$7:$L$2010,"01",'LAC 102_Wkst'!$N$7:$N$2010,"P5")+SUMIFS('LAC 102_Wkst'!$AF$7:$AF$2010,'LAC 102_Wkst'!$D$7:$D$2010,$C$7,'LAC 102_Wkst'!$I$7:$I$2010,$C$9,'LAC 102_Wkst'!$E$7:$E$2010,$C60,'LAC 102_Wkst'!$G$7:$G$2010,$D60,'LAC 102_Wkst'!$L$7:$L$2010,"02",'LAC 102_Wkst'!$N$7:$N$2010,"P5")</f>
        <v>0</v>
      </c>
      <c r="L60" s="410">
        <f>SUMIFS('LAC 102_Wkst'!$Q$7:$Q$2010,'LAC 102_Wkst'!$D$7:$D$2010,$C$7,'LAC 102_Wkst'!$I$7:$I$2010,$C$9,'LAC 102_Wkst'!$E$7:$E$2010,$C60,'LAC 102_Wkst'!$G$7:$G$2010,$D60,'LAC 102_Wkst'!$L$7:$L$2010,"03",'LAC 102_Wkst'!$N$7:$N$2010,"P1")+SUMIFS('LAC 102_Wkst'!$Q$7:$Q$2010,'LAC 102_Wkst'!$D$7:$D$2010,$C$7,'LAC 102_Wkst'!$I$7:$I$2010,$C$9,'LAC 102_Wkst'!$E$7:$E$2010,$C60,'LAC 102_Wkst'!$G$7:$G$2010,$D60,'LAC 102_Wkst'!$L$7:$L$2010,"03",'LAC 102_Wkst'!$N$7:$N$2010,"P2")+SUMIFS('LAC 102_Wkst'!$Q$7:$Q$2010,'LAC 102_Wkst'!$D$7:$D$2010,$C$7,'LAC 102_Wkst'!$I$7:$I$2010,$C$9,'LAC 102_Wkst'!$E$7:$E$2010,$C60,'LAC 102_Wkst'!$G$7:$G$2010,$D60,'LAC 102_Wkst'!$L$7:$L$2010,"03",'LAC 102_Wkst'!$N$7:$N$2010,"P3")+SUMIFS('LAC 102_Wkst'!$Q$7:$Q$2010,'LAC 102_Wkst'!$D$7:$D$2010,$C$7,'LAC 102_Wkst'!$I$7:$I$2010,$C$9,'LAC 102_Wkst'!$E$7:$E$2010,$C60,'LAC 102_Wkst'!$G$7:$G$2010,$D60,'LAC 102_Wkst'!$L$7:$L$2010,"04",'LAC 102_Wkst'!$N$7:$N$2010,"P1")+SUMIFS('LAC 102_Wkst'!$Q$7:$Q$2010,'LAC 102_Wkst'!$D$7:$D$2010,$C$7,'LAC 102_Wkst'!$I$7:$I$2010,$C$9,'LAC 102_Wkst'!$E$7:$E$2010,$C60,'LAC 102_Wkst'!$G$7:$G$2010,$D60,'LAC 102_Wkst'!$L$7:$L$2010,"04",'LAC 102_Wkst'!$N$7:$N$2010,"P2")+SUMIFS('LAC 102_Wkst'!$Q$7:$Q$2010,'LAC 102_Wkst'!$D$7:$D$2010,$C$7,'LAC 102_Wkst'!$I$7:$I$2010,$C$9,'LAC 102_Wkst'!$E$7:$E$2010,$C60,'LAC 102_Wkst'!$G$7:$G$2010,$D60,'LAC 102_Wkst'!$L$7:$L$2010,"04",'LAC 102_Wkst'!$N$7:$N$2010,"P3")</f>
        <v>0</v>
      </c>
      <c r="M60" s="411">
        <f>SUMIFS('LAC 102_Wkst'!$AF$7:$AF$2010,'LAC 102_Wkst'!$D$7:$D$2010,$C$7,'LAC 102_Wkst'!$I$7:$I$2010,$C$9,'LAC 102_Wkst'!$E$7:$E$2010,$C60,'LAC 102_Wkst'!$G$7:$G$2010,$D60,'LAC 102_Wkst'!$L$7:$L$2010,"03",'LAC 102_Wkst'!$N$7:$N$2010,"P1")+SUMIFS('LAC 102_Wkst'!$AF$7:$AF$2010,'LAC 102_Wkst'!$D$7:$D$2010,$C$7,'LAC 102_Wkst'!$I$7:$I$2010,$C$9,'LAC 102_Wkst'!$E$7:$E$2010,$C60,'LAC 102_Wkst'!$G$7:$G$2010,$D60,'LAC 102_Wkst'!$L$7:$L$2010,"03",'LAC 102_Wkst'!$N$7:$N$2010,"P2")+SUMIFS('LAC 102_Wkst'!$AF$7:$AF$2010,'LAC 102_Wkst'!$D$7:$D$2010,$C$7,'LAC 102_Wkst'!$I$7:$I$2010,$C$9,'LAC 102_Wkst'!$E$7:$E$2010,$C60,'LAC 102_Wkst'!$G$7:$G$2010,$D60,'LAC 102_Wkst'!$L$7:$L$2010,"03",'LAC 102_Wkst'!$N$7:$N$2010,"P3")+SUMIFS('LAC 102_Wkst'!$AF$7:$AF$2010,'LAC 102_Wkst'!$D$7:$D$2010,$C$7,'LAC 102_Wkst'!$I$7:$I$2010,$C$9,'LAC 102_Wkst'!$E$7:$E$2010,$C60,'LAC 102_Wkst'!$G$7:$G$2010,$D60,'LAC 102_Wkst'!$L$7:$L$2010,"04",'LAC 102_Wkst'!$N$7:$N$2010,"P1")+SUMIFS('LAC 102_Wkst'!$AF$7:$AF$2010,'LAC 102_Wkst'!$D$7:$D$2010,$C$7,'LAC 102_Wkst'!$I$7:$I$2010,$C$9,'LAC 102_Wkst'!$E$7:$E$2010,$C60,'LAC 102_Wkst'!$G$7:$G$2010,$D60,'LAC 102_Wkst'!$L$7:$L$2010,"04",'LAC 102_Wkst'!$N$7:$N$2010,"P2")+SUMIFS('LAC 102_Wkst'!$AF$7:$AF$2010,'LAC 102_Wkst'!$D$7:$D$2010,$C$7,'LAC 102_Wkst'!$I$7:$I$2010,$C$9,'LAC 102_Wkst'!$E$7:$E$2010,$C60,'LAC 102_Wkst'!$G$7:$G$2010,$D60,'LAC 102_Wkst'!$L$7:$L$2010,"04",'LAC 102_Wkst'!$N$7:$N$2010,"P3")</f>
        <v>0</v>
      </c>
      <c r="N60" s="410">
        <f>SUMIFS('LAC 102_Wkst'!$Q$7:$Q$2010,'LAC 102_Wkst'!$D$7:$D$2010,$C$7,'LAC 102_Wkst'!$I$7:$I$2010,$C$9,'LAC 102_Wkst'!$E$7:$E$2010,$C60,'LAC 102_Wkst'!$G$7:$G$2010,$D60,'LAC 102_Wkst'!$L$7:$L$2010,"03",'LAC 102_Wkst'!$N$7:$N$2010,"P4")+SUMIFS('LAC 102_Wkst'!$Q$7:$Q$2010,'LAC 102_Wkst'!$D$7:$D$2010,$C$7,'LAC 102_Wkst'!$I$7:$I$2010,$C$9,'LAC 102_Wkst'!$E$7:$E$2010,$C60,'LAC 102_Wkst'!$G$7:$G$2010,$D60,'LAC 102_Wkst'!$L$7:$L$2010,"04",'LAC 102_Wkst'!$N$7:$N$2010,"P4")</f>
        <v>0</v>
      </c>
      <c r="O60" s="411">
        <f>SUMIFS('LAC 102_Wkst'!$AF$7:$AF$2010,'LAC 102_Wkst'!$D$7:$D$2010,$C$7,'LAC 102_Wkst'!$I$7:$I$2010,$C$9,'LAC 102_Wkst'!$E$7:$E$2010,$C60,'LAC 102_Wkst'!$G$7:$G$2010,$D60,'LAC 102_Wkst'!$L$7:$L$2010,"03",'LAC 102_Wkst'!$N$7:$N$2010,"P4")+SUMIFS('LAC 102_Wkst'!$AF$7:$AF$2010,'LAC 102_Wkst'!$D$7:$D$2010,$C$7,'LAC 102_Wkst'!$I$7:$I$2010,$C$9,'LAC 102_Wkst'!$E$7:$E$2010,$C60,'LAC 102_Wkst'!$G$7:$G$2010,$D60,'LAC 102_Wkst'!$L$7:$L$2010,"04",'LAC 102_Wkst'!$N$7:$N$2010,"P4")</f>
        <v>0</v>
      </c>
      <c r="P60" s="410">
        <f>SUMIFS('LAC 102_Wkst'!$Q$7:$Q$2010,'LAC 102_Wkst'!$D$7:$D$2010,$C$7,'LAC 102_Wkst'!$I$7:$I$2010,$C$9,'LAC 102_Wkst'!$E$7:$E$2010,$C60,'LAC 102_Wkst'!$G$7:$G$2010,$D60,'LAC 102_Wkst'!$L$7:$L$2010,"03",'LAC 102_Wkst'!$N$7:$N$2010,"P5")+SUMIFS('LAC 102_Wkst'!$Q$7:$Q$2010,'LAC 102_Wkst'!$D$7:$D$2010,$C$7,'LAC 102_Wkst'!$I$7:$I$2010,$C$9,'LAC 102_Wkst'!$E$7:$E$2010,$C60,'LAC 102_Wkst'!$G$7:$G$2010,$D60,'LAC 102_Wkst'!$L$7:$L$2010,"04",'LAC 102_Wkst'!$N$7:$N$2010,"P5")</f>
        <v>0</v>
      </c>
      <c r="Q60" s="411">
        <f>SUMIFS('LAC 102_Wkst'!$AF$7:$AF$2010,'LAC 102_Wkst'!$D$7:$D$2010,$C$7,'LAC 102_Wkst'!$I$7:$I$2010,$C$9,'LAC 102_Wkst'!$E$7:$E$2010,$C60,'LAC 102_Wkst'!$G$7:$G$2010,$D60,'LAC 102_Wkst'!$L$7:$L$2010,"03",'LAC 102_Wkst'!$N$7:$N$2010,"P5")+SUMIFS('LAC 102_Wkst'!$AF$7:$AF$2010,'LAC 102_Wkst'!$D$7:$D$2010,$C$7,'LAC 102_Wkst'!$I$7:$I$2010,$C$9,'LAC 102_Wkst'!$E$7:$E$2010,$C60,'LAC 102_Wkst'!$G$7:$G$2010,$D60,'LAC 102_Wkst'!$L$7:$L$2010,"04",'LAC 102_Wkst'!$N$7:$N$2010,"P5")</f>
        <v>0</v>
      </c>
      <c r="R60" s="412">
        <f>SUMIFS('LAC 102_Wkst'!$Q$7:$Q$2010,'LAC 102_Wkst'!$D$7:$D$2010,$C$7,'LAC 102_Wkst'!$I$7:$I$2010,$C$9,'LAC 102_Wkst'!$E$7:$E$2010,$C60,'LAC 102_Wkst'!$G$7:$G$2010,$D60,'LAC 102_Wkst'!$L$7:$L$2010,"05",'LAC 102_Wkst'!$N$7:$N$2010,"P1")+SUMIFS('LAC 102_Wkst'!$Q$7:$Q$2010,'LAC 102_Wkst'!$D$7:$D$2010,$C$7,'LAC 102_Wkst'!$I$7:$I$2010,$C$9,'LAC 102_Wkst'!$E$7:$E$2010,$C60,'LAC 102_Wkst'!$G$7:$G$2010,$D60,'LAC 102_Wkst'!$L$7:$L$2010,"06",'LAC 102_Wkst'!$N$7:$N$2010,"P1")</f>
        <v>0</v>
      </c>
      <c r="S60" s="411">
        <f>SUMIFS('LAC 102_Wkst'!$AF$7:$AF$2010,'LAC 102_Wkst'!$D$7:$D$2010,$C$7,'LAC 102_Wkst'!$I$7:$I$2010,$C$9,'LAC 102_Wkst'!$E$7:$E$2010,$C60,'LAC 102_Wkst'!$G$7:$G$2010,$D60,'LAC 102_Wkst'!$L$7:$L$2010,"05",'LAC 102_Wkst'!$N$7:$N$2010,"P1")+SUMIFS('LAC 102_Wkst'!$AF$7:$AF$2010,'LAC 102_Wkst'!$D$7:$D$2010,$C$7,'LAC 102_Wkst'!$I$7:$I$2010,$C$9,'LAC 102_Wkst'!$E$7:$E$2010,$C60,'LAC 102_Wkst'!$G$7:$G$2010,$D60,'LAC 102_Wkst'!$L$7:$L$2010,"06",'LAC 102_Wkst'!$N$7:$N$2010,"P1")</f>
        <v>0</v>
      </c>
      <c r="T60" s="410">
        <f>SUMIFS('LAC 102_Wkst'!$Q$7:$Q$2010,'LAC 102_Wkst'!$D$7:$D$2010,$C$7,'LAC 102_Wkst'!$I$7:$I$2010,$C$9,'LAC 102_Wkst'!$E$7:$E$2010,$C60,'LAC 102_Wkst'!$G$7:$G$2010,$D60,'LAC 102_Wkst'!$L$7:$L$2010,"05",'LAC 102_Wkst'!$N$7:$N$2010,"P2")+SUMIFS('LAC 102_Wkst'!$Q$7:$Q$2010,'LAC 102_Wkst'!$D$7:$D$2010,$C$7,'LAC 102_Wkst'!$I$7:$I$2010,$C$9,'LAC 102_Wkst'!$E$7:$E$2010,$C60,'LAC 102_Wkst'!$G$7:$G$2010,$D60,'LAC 102_Wkst'!$L$7:$L$2010,"06",'LAC 102_Wkst'!$N$7:$N$2010,"P2")+SUMIFS('LAC 102_Wkst'!$Q$7:$Q$2010,'LAC 102_Wkst'!$D$7:$D$2010,$C$7,'LAC 102_Wkst'!$I$7:$I$2010,$C$9,'LAC 102_Wkst'!$E$7:$E$2010,$C60,'LAC 102_Wkst'!$G$7:$G$2010,$D60,'LAC 102_Wkst'!$L$7:$L$2010,"05",'LAC 102_Wkst'!$N$7:$N$2010,"P3")+SUMIFS('LAC 102_Wkst'!$Q$7:$Q$2010,'LAC 102_Wkst'!$D$7:$D$2010,$C$7,'LAC 102_Wkst'!$I$7:$I$2010,$C$9,'LAC 102_Wkst'!$E$7:$E$2010,$C60,'LAC 102_Wkst'!$G$7:$G$2010,$D60,'LAC 102_Wkst'!$L$7:$L$2010,"06",'LAC 102_Wkst'!$N$7:$N$2010,"P3")</f>
        <v>0</v>
      </c>
      <c r="U60" s="411">
        <f>SUMIFS('LAC 102_Wkst'!$AF$7:$AF$2010,'LAC 102_Wkst'!$D$7:$D$2010,$C$7,'LAC 102_Wkst'!$I$7:$I$2010,$C$9,'LAC 102_Wkst'!$E$7:$E$2010,$C60,'LAC 102_Wkst'!$G$7:$G$2010,$D60,'LAC 102_Wkst'!$L$7:$L$2010,"05",'LAC 102_Wkst'!$N$7:$N$2010,"P2")+SUMIFS('LAC 102_Wkst'!$AF$7:$AF$2010,'LAC 102_Wkst'!$D$7:$D$2010,$C$7,'LAC 102_Wkst'!$I$7:$I$2010,$C$9,'LAC 102_Wkst'!$E$7:$E$2010,$C60,'LAC 102_Wkst'!$G$7:$G$2010,$D60,'LAC 102_Wkst'!$L$7:$L$2010,"06",'LAC 102_Wkst'!$N$7:$N$2010,"P2")+SUMIFS('LAC 102_Wkst'!$AF$7:$AF$2010,'LAC 102_Wkst'!$D$7:$D$2010,$C$7,'LAC 102_Wkst'!$I$7:$I$2010,$C$9,'LAC 102_Wkst'!$E$7:$E$2010,$C60,'LAC 102_Wkst'!$G$7:$G$2010,$D60,'LAC 102_Wkst'!$L$7:$L$2010,"05",'LAC 102_Wkst'!$N$7:$N$2010,"P3")+SUMIFS('LAC 102_Wkst'!$AF$7:$AF$2010,'LAC 102_Wkst'!$D$7:$D$2010,$C$7,'LAC 102_Wkst'!$I$7:$I$2010,$C$9,'LAC 102_Wkst'!$E$7:$E$2010,$C60,'LAC 102_Wkst'!$G$7:$G$2010,$D60,'LAC 102_Wkst'!$L$7:$L$2010,"06",'LAC 102_Wkst'!$N$7:$N$2010,"P3")</f>
        <v>0</v>
      </c>
      <c r="V60" s="410">
        <f>SUMIFS('LAC 102_Wkst'!$Q$7:$Q$2010,'LAC 102_Wkst'!$D$7:$D$2010,$C$7,'LAC 102_Wkst'!$I$7:$I$2010,$C$9,'LAC 102_Wkst'!$E$7:$E$2010,$C60,'LAC 102_Wkst'!$G$7:$G$2010,$D60,'LAC 102_Wkst'!$L$7:$L$2010,"05",'LAC 102_Wkst'!$N$7:$N$2010,"P4")+SUMIFS('LAC 102_Wkst'!$Q$7:$Q$2010,'LAC 102_Wkst'!$D$7:$D$2010,$C$7,'LAC 102_Wkst'!$I$7:$I$2010,$C$9,'LAC 102_Wkst'!$E$7:$E$2010,$C60,'LAC 102_Wkst'!$G$7:$G$2010,$D60,'LAC 102_Wkst'!$L$7:$L$2010,"06",'LAC 102_Wkst'!$N$7:$N$2010,"P4")</f>
        <v>0</v>
      </c>
      <c r="W60" s="411">
        <f>SUMIFS('LAC 102_Wkst'!$AF$7:$AF$2010,'LAC 102_Wkst'!$D$7:$D$2010,$C$7,'LAC 102_Wkst'!$I$7:$I$2010,$C$9,'LAC 102_Wkst'!$E$7:$E$2010,$C60,'LAC 102_Wkst'!$G$7:$G$2010,$D60,'LAC 102_Wkst'!$L$7:$L$2010,"05",'LAC 102_Wkst'!$N$7:$N$2010,"P4")+SUMIFS('LAC 102_Wkst'!$AF$7:$AF$2010,'LAC 102_Wkst'!$D$7:$D$2010,$C$7,'LAC 102_Wkst'!$I$7:$I$2010,$C$9,'LAC 102_Wkst'!$E$7:$E$2010,$C60,'LAC 102_Wkst'!$G$7:$G$2010,$D60,'LAC 102_Wkst'!$L$7:$L$2010,"06",'LAC 102_Wkst'!$N$7:$N$2010,"P4")</f>
        <v>0</v>
      </c>
      <c r="X60" s="410">
        <f>SUMIFS('LAC 102_Wkst'!$Q$7:$Q$2010,'LAC 102_Wkst'!$D$7:$D$2010,$C$7,'LAC 102_Wkst'!$I$7:$I$2010,$C$9,'LAC 102_Wkst'!$E$7:$E$2010,$C60,'LAC 102_Wkst'!$G$7:$G$2010,$D60,'LAC 102_Wkst'!$L$7:$L$2010,"05",'LAC 102_Wkst'!$N$7:$N$2010,"P5")+SUMIFS('LAC 102_Wkst'!$Q$7:$Q$2010,'LAC 102_Wkst'!$D$7:$D$2010,$C$7,'LAC 102_Wkst'!$I$7:$I$2010,$C$9,'LAC 102_Wkst'!$E$7:$E$2010,$C60,'LAC 102_Wkst'!$G$7:$G$2010,$D60,'LAC 102_Wkst'!$L$7:$L$2010,"06",'LAC 102_Wkst'!$N$7:$N$2010,"P5")</f>
        <v>0</v>
      </c>
      <c r="Y60" s="411">
        <f>SUMIFS('LAC 102_Wkst'!$AF$7:$AF$2010,'LAC 102_Wkst'!$D$7:$D$2010,$C$7,'LAC 102_Wkst'!$I$7:$I$2010,$C$9,'LAC 102_Wkst'!$E$7:$E$2010,$C60,'LAC 102_Wkst'!$G$7:$G$2010,$D60,'LAC 102_Wkst'!$L$7:$L$2010,"05",'LAC 102_Wkst'!$N$7:$N$2010,"P5")+SUMIFS('LAC 102_Wkst'!$AF$7:$AF$2010,'LAC 102_Wkst'!$D$7:$D$2010,$C$7,'LAC 102_Wkst'!$I$7:$I$2010,$C$9,'LAC 102_Wkst'!$E$7:$E$2010,$C60,'LAC 102_Wkst'!$G$7:$G$2010,$D60,'LAC 102_Wkst'!$L$7:$L$2010,"06",'LAC 102_Wkst'!$N$7:$N$2010,"P5")</f>
        <v>0</v>
      </c>
      <c r="Z60" s="410">
        <f>SUMIFS('LAC 102_Wkst'!$Q$7:$Q$2010,'LAC 102_Wkst'!$D$7:$D$2010,$C$7,'LAC 102_Wkst'!$I$7:$I$2010,$C$9,'LAC 102_Wkst'!$E$7:$E$2010,$C60,'LAC 102_Wkst'!$G$7:$G$2010,$D60,'LAC 102_Wkst'!$L$7:$L$2010,"07",'LAC 102_Wkst'!$N$7:$N$2010,"P1")+SUMIFS('LAC 102_Wkst'!$Q$7:$Q$2010,'LAC 102_Wkst'!$D$7:$D$2010,$C$7,'LAC 102_Wkst'!$I$7:$I$2010,$C$9,'LAC 102_Wkst'!$E$7:$E$2010,$C60,'LAC 102_Wkst'!$G$7:$G$2010,$D60,'LAC 102_Wkst'!$L$7:$L$2010,"07",'LAC 102_Wkst'!$N$7:$N$2010,"P2")+SUMIFS('LAC 102_Wkst'!$Q$7:$Q$2010,'LAC 102_Wkst'!$D$7:$D$2010,$C$7,'LAC 102_Wkst'!$I$7:$I$2010,$C$9,'LAC 102_Wkst'!$E$7:$E$2010,$C60,'LAC 102_Wkst'!$G$7:$G$2010,$D60,'LAC 102_Wkst'!$L$7:$L$2010,"07",'LAC 102_Wkst'!$N$7:$N$2010,"P3")</f>
        <v>0</v>
      </c>
      <c r="AA60" s="411">
        <f>SUMIFS('LAC 102_Wkst'!$AF$7:$AF$2010,'LAC 102_Wkst'!$D$7:$D$2010,$C$7,'LAC 102_Wkst'!$I$7:$I$2010,$C$9,'LAC 102_Wkst'!$E$7:$E$2010,$C60,'LAC 102_Wkst'!$G$7:$G$2010,$D60,'LAC 102_Wkst'!$L$7:$L$2010,"07",'LAC 102_Wkst'!$N$7:$N$2010,"P1")+SUMIFS('LAC 102_Wkst'!$AF$7:$AF$2010,'LAC 102_Wkst'!$D$7:$D$2010,$C$7,'LAC 102_Wkst'!$I$7:$I$2010,$C$9,'LAC 102_Wkst'!$E$7:$E$2010,$C60,'LAC 102_Wkst'!$G$7:$G$2010,$D60,'LAC 102_Wkst'!$L$7:$L$2010,"07",'LAC 102_Wkst'!$N$7:$N$2010,"P2")+SUMIFS('LAC 102_Wkst'!$AF$7:$AF$2010,'LAC 102_Wkst'!$D$7:$D$2010,$C$7,'LAC 102_Wkst'!$I$7:$I$2010,$C$9,'LAC 102_Wkst'!$E$7:$E$2010,$C60,'LAC 102_Wkst'!$G$7:$G$2010,$D60,'LAC 102_Wkst'!$L$7:$L$2010,"07",'LAC 102_Wkst'!$N$7:$N$2010,"P3")</f>
        <v>0</v>
      </c>
      <c r="AB60" s="410">
        <f>SUMIFS('LAC 102_Wkst'!$Q$7:$Q$2010,'LAC 102_Wkst'!$D$7:$D$2010,$C$7,'LAC 102_Wkst'!$I$7:$I$2010,$C$9,'LAC 102_Wkst'!$E$7:$E$2010,$C60,'LAC 102_Wkst'!$G$7:$G$2010,$D60,'LAC 102_Wkst'!$L$7:$L$2010,"07",'LAC 102_Wkst'!$N$7:$N$2010,"P4")</f>
        <v>0</v>
      </c>
      <c r="AC60" s="411">
        <f>SUMIFS('LAC 102_Wkst'!$AF$7:$AF$2010,'LAC 102_Wkst'!$D$7:$D$2010,$C$7,'LAC 102_Wkst'!$I$7:$I$2010,$C$9,'LAC 102_Wkst'!$E$7:$E$2010,$C60,'LAC 102_Wkst'!$G$7:$G$2010,$D60,'LAC 102_Wkst'!$L$7:$L$2010,"07",'LAC 102_Wkst'!$N$7:$N$2010,"P4")</f>
        <v>0</v>
      </c>
      <c r="AD60" s="410">
        <f>SUMIFS('LAC 102_Wkst'!$Q$7:$Q$2010,'LAC 102_Wkst'!$D$7:$D$2010,$C$7,'LAC 102_Wkst'!$I$7:$I$2010,$C$9,'LAC 102_Wkst'!$E$7:$E$2010,$C60,'LAC 102_Wkst'!$G$7:$G$2010,$D60,'LAC 102_Wkst'!$L$7:$L$2010,"07",'LAC 102_Wkst'!$N$7:$N$2010,"P5")</f>
        <v>0</v>
      </c>
      <c r="AE60" s="411">
        <f>SUMIFS('LAC 102_Wkst'!$AF$7:$AF$2010,'LAC 102_Wkst'!$D$7:$D$2010,$C$7,'LAC 102_Wkst'!$I$7:$I$2010,$C$9,'LAC 102_Wkst'!$E$7:$E$2010,$C60,'LAC 102_Wkst'!$G$7:$G$2010,$D60,'LAC 102_Wkst'!$L$7:$L$2010,"07",'LAC 102_Wkst'!$N$7:$N$2010,"P5")</f>
        <v>0</v>
      </c>
      <c r="AF60" s="410">
        <f>SUMIFS('LAC 102_Wkst'!$Q$7:$Q$2010,'LAC 102_Wkst'!$D$7:$D$2010,$C$7,'LAC 102_Wkst'!$I$7:$I$2010,$C$9,'LAC 102_Wkst'!$E$7:$E$2010,$C60,'LAC 102_Wkst'!$G$7:$G$2010,$D60,'LAC 102_Wkst'!$L$7:$L$2010,"08",'LAC 102_Wkst'!$N$7:$N$2010,"P1")+SUMIFS('LAC 102_Wkst'!$Q$7:$Q$2010,'LAC 102_Wkst'!$D$7:$D$2010,$C$7,'LAC 102_Wkst'!$I$7:$I$2010,$C$9,'LAC 102_Wkst'!$E$7:$E$2010,$C60,'LAC 102_Wkst'!$G$7:$G$2010,$D60,'LAC 102_Wkst'!$L$7:$L$2010,"08",'LAC 102_Wkst'!$N$7:$N$2010,"P2")+SUMIFS('LAC 102_Wkst'!$Q$7:$Q$2010,'LAC 102_Wkst'!$D$7:$D$2010,$C$7,'LAC 102_Wkst'!$I$7:$I$2010,$C$9,'LAC 102_Wkst'!$E$7:$E$2010,$C60,'LAC 102_Wkst'!$G$7:$G$2010,$D60,'LAC 102_Wkst'!$L$7:$L$2010,"08",'LAC 102_Wkst'!$N$7:$N$2010,"P3")</f>
        <v>0</v>
      </c>
      <c r="AG60" s="411">
        <f>SUMIFS('LAC 102_Wkst'!$AF$7:$AF$2010,'LAC 102_Wkst'!$D$7:$D$2010,$C$7,'LAC 102_Wkst'!$I$7:$I$2010,$C$9,'LAC 102_Wkst'!$E$7:$E$2010,$C60,'LAC 102_Wkst'!$G$7:$G$2010,$D60,'LAC 102_Wkst'!$L$7:$L$2010,"08",'LAC 102_Wkst'!$N$7:$N$2010,"P1")+SUMIFS('LAC 102_Wkst'!$AF$7:$AF$2010,'LAC 102_Wkst'!$D$7:$D$2010,$C$7,'LAC 102_Wkst'!$I$7:$I$2010,$C$9,'LAC 102_Wkst'!$E$7:$E$2010,$C60,'LAC 102_Wkst'!$G$7:$G$2010,$D60,'LAC 102_Wkst'!$L$7:$L$2010,"08",'LAC 102_Wkst'!$N$7:$N$2010,"P2")+SUMIFS('LAC 102_Wkst'!$AF$7:$AF$2010,'LAC 102_Wkst'!$D$7:$D$2010,$C$7,'LAC 102_Wkst'!$I$7:$I$2010,$C$9,'LAC 102_Wkst'!$E$7:$E$2010,$C60,'LAC 102_Wkst'!$G$7:$G$2010,$D60,'LAC 102_Wkst'!$L$7:$L$2010,"08",'LAC 102_Wkst'!$N$7:$N$2010,"P3")</f>
        <v>0</v>
      </c>
      <c r="AH60" s="410">
        <f>SUMIFS('LAC 102_Wkst'!$Q$7:$Q$2010,'LAC 102_Wkst'!$D$7:$D$2010,$C$7,'LAC 102_Wkst'!$I$7:$I$2010,$C$9,'LAC 102_Wkst'!$E$7:$E$2010,$C60,'LAC 102_Wkst'!$G$7:$G$2010,$D60,'LAC 102_Wkst'!$L$7:$L$2010,"08",'LAC 102_Wkst'!$N$7:$N$2010,"P4")</f>
        <v>0</v>
      </c>
      <c r="AI60" s="411">
        <f>SUMIFS('LAC 102_Wkst'!$AF$7:$AF$2010,'LAC 102_Wkst'!$D$7:$D$2010,$C$7,'LAC 102_Wkst'!$I$7:$I$2010,$C$9,'LAC 102_Wkst'!$E$7:$E$2010,$C60,'LAC 102_Wkst'!$G$7:$G$2010,$D60,'LAC 102_Wkst'!$L$7:$L$2010,"08",'LAC 102_Wkst'!$N$7:$N$2010,"P4")</f>
        <v>0</v>
      </c>
      <c r="AJ60" s="410">
        <f>SUMIFS('LAC 102_Wkst'!$Q$7:$Q$2010,'LAC 102_Wkst'!$D$7:$D$2010,$C$7,'LAC 102_Wkst'!$I$7:$I$2010,$C$9,'LAC 102_Wkst'!$E$7:$E$2010,$C60,'LAC 102_Wkst'!$G$7:$G$2010,$D60,'LAC 102_Wkst'!$L$7:$L$2010,"08",'LAC 102_Wkst'!$N$7:$N$2010,"P5")</f>
        <v>0</v>
      </c>
      <c r="AK60" s="411">
        <f>SUMIFS('LAC 102_Wkst'!$AF$7:$AF$2010,'LAC 102_Wkst'!$D$7:$D$2010,$C$7,'LAC 102_Wkst'!$I$7:$I$2010,$C$9,'LAC 102_Wkst'!$E$7:$E$2010,$C60,'LAC 102_Wkst'!$G$7:$G$2010,$D60,'LAC 102_Wkst'!$L$7:$L$2010,"08",'LAC 102_Wkst'!$N$7:$N$2010,"P5")</f>
        <v>0</v>
      </c>
      <c r="AL60" s="410">
        <f>SUMIFS('LAC 102_Wkst'!$Q$7:$Q$2010,'LAC 102_Wkst'!$D$7:$D$2010,$C$7,'LAC 102_Wkst'!$I$7:$I$2010,$C$9,'LAC 102_Wkst'!$E$7:$E$2010,$C60,'LAC 102_Wkst'!$G$7:$G$2010,$D60,'LAC 102_Wkst'!$L$7:$L$2010,"09",'LAC 102_Wkst'!$N$7:$N$2010,"P1")+SUMIFS('LAC 102_Wkst'!$Q$7:$Q$2010,'LAC 102_Wkst'!$D$7:$D$2010,$C$7,'LAC 102_Wkst'!$I$7:$I$2010,$C$9,'LAC 102_Wkst'!$E$7:$E$2010,$C60,'LAC 102_Wkst'!$G$7:$G$2010,$D60,'LAC 102_Wkst'!$L$7:$L$2010,"09",'LAC 102_Wkst'!$N$7:$N$2010,"P2")+SUMIFS('LAC 102_Wkst'!$Q$7:$Q$2010,'LAC 102_Wkst'!$D$7:$D$2010,$C$7,'LAC 102_Wkst'!$I$7:$I$2010,$C$9,'LAC 102_Wkst'!$E$7:$E$2010,$C60,'LAC 102_Wkst'!$G$7:$G$2010,$D60,'LAC 102_Wkst'!$L$7:$L$2010,"09",'LAC 102_Wkst'!$N$7:$N$2010,"P3")+SUMIFS('LAC 102_Wkst'!$Q$7:$Q$2010,'LAC 102_Wkst'!$D$7:$D$2010,$C$7,'LAC 102_Wkst'!$I$7:$I$2010,$C$9,'LAC 102_Wkst'!$E$7:$E$2010,$C60,'LAC 102_Wkst'!$G$7:$G$2010,$D60,'LAC 102_Wkst'!$L$7:$L$2010,"09",'LAC 102_Wkst'!$N$7:$N$2010,"P4")</f>
        <v>0</v>
      </c>
      <c r="AM60" s="411">
        <f>SUMIFS('LAC 102_Wkst'!$AF$7:$AF$2010,'LAC 102_Wkst'!$D$7:$D$2010,$C$7,'LAC 102_Wkst'!$I$7:$I$2010,$C$9,'LAC 102_Wkst'!$E$7:$E$2010,$C60,'LAC 102_Wkst'!$G$7:$G$2010,$D60,'LAC 102_Wkst'!$L$7:$L$2010,"09",'LAC 102_Wkst'!$N$7:$N$2010,"P1")+SUMIFS('LAC 102_Wkst'!$AF$7:$AF$2010,'LAC 102_Wkst'!$D$7:$D$2010,$C$7,'LAC 102_Wkst'!$I$7:$I$2010,$C$9,'LAC 102_Wkst'!$E$7:$E$2010,$C60,'LAC 102_Wkst'!$G$7:$G$2010,$D60,'LAC 102_Wkst'!$L$7:$L$2010,"09",'LAC 102_Wkst'!$N$7:$N$2010,"P2")+SUMIFS('LAC 102_Wkst'!$AF$7:$AF$2010,'LAC 102_Wkst'!$D$7:$D$2010,$C$7,'LAC 102_Wkst'!$I$7:$I$2010,$C$9,'LAC 102_Wkst'!$E$7:$E$2010,$C60,'LAC 102_Wkst'!$G$7:$G$2010,$D60,'LAC 102_Wkst'!$L$7:$L$2010,"09",'LAC 102_Wkst'!$N$7:$N$2010,"P3")+SUMIFS('LAC 102_Wkst'!$AF$7:$AF$2010,'LAC 102_Wkst'!$D$7:$D$2010,$C$7,'LAC 102_Wkst'!$I$7:$I$2010,$C$9,'LAC 102_Wkst'!$E$7:$E$2010,$C60,'LAC 102_Wkst'!$G$7:$G$2010,$D60,'LAC 102_Wkst'!$L$7:$L$2010,"09",'LAC 102_Wkst'!$N$7:$N$2010,"P4")</f>
        <v>0</v>
      </c>
      <c r="AN60" s="410">
        <f>SUMIFS('LAC 102_Wkst'!$Q$7:$Q$2010,'LAC 102_Wkst'!$D$7:$D$2010,$C$7,'LAC 102_Wkst'!$I$7:$I$2010,$C$9,'LAC 102_Wkst'!$E$7:$E$2010,$C60,'LAC 102_Wkst'!$G$7:$G$2010,$D60,'LAC 102_Wkst'!$L$7:$L$2010,"09",'LAC 102_Wkst'!$N$7:$N$2010,"P5")</f>
        <v>0</v>
      </c>
      <c r="AO60" s="411">
        <f>SUMIFS('LAC 102_Wkst'!$AF$7:$AF$2010,'LAC 102_Wkst'!$D$7:$D$2010,$C$7,'LAC 102_Wkst'!$I$7:$I$2010,$C$9,'LAC 102_Wkst'!$E$7:$E$2010,$C60,'LAC 102_Wkst'!$G$7:$G$2010,$D60,'LAC 102_Wkst'!$L$7:$L$2010,"09",'LAC 102_Wkst'!$N$7:$N$2010,"P5")</f>
        <v>0</v>
      </c>
      <c r="AP60" s="410">
        <f>SUMIFS('LAC 102_Wkst'!$Q$7:$Q$2010,'LAC 102_Wkst'!$D$7:$D$2010,$C$7,'LAC 102_Wkst'!$I$7:$I$2010,$C$9,'LAC 102_Wkst'!$E$7:$E$2010,$C60,'LAC 102_Wkst'!$G$7:$G$2010,$D60,'LAC 102_Wkst'!$L$7:$L$2010,"10",'LAC 102_Wkst'!$N$7:$N$2010,"P1")+SUMIFS('LAC 102_Wkst'!$Q$7:$Q$2010,'LAC 102_Wkst'!$D$7:$D$2010,$C$7,'LAC 102_Wkst'!$I$7:$I$2010,$C$9,'LAC 102_Wkst'!$E$7:$E$2010,$C60,'LAC 102_Wkst'!$G$7:$G$2010,$D60,'LAC 102_Wkst'!$L$7:$L$2010,"10",'LAC 102_Wkst'!$N$7:$N$2010,"P2")+SUMIFS('LAC 102_Wkst'!$Q$7:$Q$2010,'LAC 102_Wkst'!$D$7:$D$2010,$C$7,'LAC 102_Wkst'!$I$7:$I$2010,$C$9,'LAC 102_Wkst'!$E$7:$E$2010,$C60,'LAC 102_Wkst'!$G$7:$G$2010,$D60,'LAC 102_Wkst'!$L$7:$L$2010,"10",'LAC 102_Wkst'!$N$7:$N$2010,"P3")+SUMIFS('LAC 102_Wkst'!$Q$7:$Q$2010,'LAC 102_Wkst'!$D$7:$D$2010,$C$7,'LAC 102_Wkst'!$I$7:$I$2010,$C$9,'LAC 102_Wkst'!$E$7:$E$2010,$C60,'LAC 102_Wkst'!$G$7:$G$2010,$D60,'LAC 102_Wkst'!$L$7:$L$2010,"10",'LAC 102_Wkst'!$N$7:$N$2010,"P4")</f>
        <v>0</v>
      </c>
      <c r="AQ60" s="411">
        <f>SUMIFS('LAC 102_Wkst'!$AF$7:$AF$2010,'LAC 102_Wkst'!$D$7:$D$2010,$C$7,'LAC 102_Wkst'!$I$7:$I$2010,$C$9,'LAC 102_Wkst'!$E$7:$E$2010,$C60,'LAC 102_Wkst'!$G$7:$G$2010,$D60,'LAC 102_Wkst'!$L$7:$L$2010,"10",'LAC 102_Wkst'!$N$7:$N$2010,"P1")+SUMIFS('LAC 102_Wkst'!$AF$7:$AF$2010,'LAC 102_Wkst'!$D$7:$D$2010,$C$7,'LAC 102_Wkst'!$I$7:$I$2010,$C$9,'LAC 102_Wkst'!$E$7:$E$2010,$C60,'LAC 102_Wkst'!$G$7:$G$2010,$D60,'LAC 102_Wkst'!$L$7:$L$2010,"10",'LAC 102_Wkst'!$N$7:$N$2010,"P2")+SUMIFS('LAC 102_Wkst'!$AF$7:$AF$2010,'LAC 102_Wkst'!$D$7:$D$2010,$C$7,'LAC 102_Wkst'!$I$7:$I$2010,$C$9,'LAC 102_Wkst'!$E$7:$E$2010,$C60,'LAC 102_Wkst'!$G$7:$G$2010,$D60,'LAC 102_Wkst'!$L$7:$L$2010,"10",'LAC 102_Wkst'!$N$7:$N$2010,"P3")+SUMIFS('LAC 102_Wkst'!$AF$7:$AF$2010,'LAC 102_Wkst'!$D$7:$D$2010,$C$7,'LAC 102_Wkst'!$I$7:$I$2010,$C$9,'LAC 102_Wkst'!$E$7:$E$2010,$C60,'LAC 102_Wkst'!$G$7:$G$2010,$D60,'LAC 102_Wkst'!$L$7:$L$2010,"10",'LAC 102_Wkst'!$N$7:$N$2010,"P4")</f>
        <v>0</v>
      </c>
      <c r="AR60" s="410">
        <f>SUMIFS('LAC 102_Wkst'!$Q$7:$Q$2010,'LAC 102_Wkst'!$D$7:$D$2010,$C$7,'LAC 102_Wkst'!$I$7:$I$2010,$C$9,'LAC 102_Wkst'!$E$7:$E$2010,$C60,'LAC 102_Wkst'!$G$7:$G$2010,$D60,'LAC 102_Wkst'!$L$7:$L$2010,"10",'LAC 102_Wkst'!$N$7:$N$2010,"P5")</f>
        <v>0</v>
      </c>
      <c r="AS60" s="411">
        <f>SUMIFS('LAC 102_Wkst'!$AF$7:$AF$2010,'LAC 102_Wkst'!$D$7:$D$2010,$C$7,'LAC 102_Wkst'!$I$7:$I$2010,$C$9,'LAC 102_Wkst'!$E$7:$E$2010,$C60,'LAC 102_Wkst'!$G$7:$G$2010,$D60,'LAC 102_Wkst'!$L$7:$L$2010,"10",'LAC 102_Wkst'!$N$7:$N$2010,"P5")</f>
        <v>0</v>
      </c>
      <c r="AT60" s="410">
        <f>SUMIFS('LAC 102_Wkst'!$Q$7:$Q$2010,'LAC 102_Wkst'!$D$7:$D$2010,$C$7,'LAC 102_Wkst'!$I$7:$I$2010,$C$9,'LAC 102_Wkst'!$E$7:$E$2010,$C60,'LAC 102_Wkst'!$G$7:$G$2010,$D60,'LAC 102_Wkst'!$L$7:$L$2010,"11",'LAC 102_Wkst'!$N$7:$N$2010,"P1")+SUMIFS('LAC 102_Wkst'!$Q$7:$Q$2010,'LAC 102_Wkst'!$D$7:$D$2010,$C$7,'LAC 102_Wkst'!$I$7:$I$2010,$C$9,'LAC 102_Wkst'!$E$7:$E$2010,$C60,'LAC 102_Wkst'!$G$7:$G$2010,$D60,'LAC 102_Wkst'!$L$7:$L$2010,"12",'LAC 102_Wkst'!$N$7:$N$2010,"P1")</f>
        <v>0</v>
      </c>
      <c r="AU60" s="411">
        <f>SUMIFS('LAC 102_Wkst'!$Q$7:$Q$2010,'LAC 102_Wkst'!$D$7:$D$2010,$C$7,'LAC 102_Wkst'!$I$7:$I$2010,$C$9,'LAC 102_Wkst'!$E$7:$E$2010,$C60,'LAC 102_Wkst'!$G$7:$G$2010,$D60,'LAC 102_Wkst'!$L$7:$L$2010,"13",'LAC 102_Wkst'!$N$7:$N$2010,"P5")</f>
        <v>0</v>
      </c>
      <c r="AV60" s="410">
        <f>SUMIFS('LAC 102_Wkst'!$Q$7:$Q$2010,'LAC 102_Wkst'!$D$7:$D$2010,$C$7,'LAC 102_Wkst'!$I$7:$I$2010,$C$9,'LAC 102_Wkst'!$E$7:$E$2010,$C60,'LAC 102_Wkst'!$G$7:$G$2010,$D60,'LAC 102_Wkst'!$L$7:$L$2010,"11",'LAC 102_Wkst'!$N$7:$N$2010,"P2")+SUMIFS('LAC 102_Wkst'!$Q$7:$Q$2010,'LAC 102_Wkst'!$D$7:$D$2010,$C$7,'LAC 102_Wkst'!$I$7:$I$2010,$C$9,'LAC 102_Wkst'!$E$7:$E$2010,$C60,'LAC 102_Wkst'!$G$7:$G$2010,$D60,'LAC 102_Wkst'!$L$7:$L$2010,"12",'LAC 102_Wkst'!$N$7:$N$2010,"P2")+SUMIFS('LAC 102_Wkst'!$Q$7:$Q$2010,'LAC 102_Wkst'!$D$7:$D$2010,$C$7,'LAC 102_Wkst'!$I$7:$I$2010,$C$9,'LAC 102_Wkst'!$E$7:$E$2010,$C60,'LAC 102_Wkst'!$G$7:$G$2010,$D60,'LAC 102_Wkst'!$L$7:$L$2010,"11",'LAC 102_Wkst'!$N$7:$N$2010,"P3")+SUMIFS('LAC 102_Wkst'!$Q$7:$Q$2010,'LAC 102_Wkst'!$D$7:$D$2010,$C$7,'LAC 102_Wkst'!$I$7:$I$2010,$C$9,'LAC 102_Wkst'!$E$7:$E$2010,$C60,'LAC 102_Wkst'!$G$7:$G$2010,$D60,'LAC 102_Wkst'!$L$7:$L$2010,"12",'LAC 102_Wkst'!$N$7:$N$2010,"P3")</f>
        <v>0</v>
      </c>
      <c r="AW60" s="411">
        <f>SUMIFS('LAC 102_Wkst'!$AF$7:$AF$2010,'LAC 102_Wkst'!$D$7:$D$2010,$C$7,'LAC 102_Wkst'!$I$7:$I$2010,$C$9,'LAC 102_Wkst'!$E$7:$E$2010,$C60,'LAC 102_Wkst'!$G$7:$G$2010,$D60,'LAC 102_Wkst'!$L$7:$L$2010,"11",'LAC 102_Wkst'!$N$7:$N$2010,"P2")+SUMIFS('LAC 102_Wkst'!$AF$7:$AF$2010,'LAC 102_Wkst'!$D$7:$D$2010,$C$7,'LAC 102_Wkst'!$I$7:$I$2010,$C$9,'LAC 102_Wkst'!$E$7:$E$2010,$C60,'LAC 102_Wkst'!$G$7:$G$2010,$D60,'LAC 102_Wkst'!$L$7:$L$2010,"12",'LAC 102_Wkst'!$N$7:$N$2010,"P2")+SUMIFS('LAC 102_Wkst'!$AF$7:$AF$2010,'LAC 102_Wkst'!$D$7:$D$2010,$C$7,'LAC 102_Wkst'!$I$7:$I$2010,$C$9,'LAC 102_Wkst'!$E$7:$E$2010,$C60,'LAC 102_Wkst'!$G$7:$G$2010,$D60,'LAC 102_Wkst'!$L$7:$L$2010,"11",'LAC 102_Wkst'!$N$7:$N$2010,"P3")+SUMIFS('LAC 102_Wkst'!$AF$7:$AF$2010,'LAC 102_Wkst'!$D$7:$D$2010,$C$7,'LAC 102_Wkst'!$I$7:$I$2010,$C$9,'LAC 102_Wkst'!$E$7:$E$2010,$C60,'LAC 102_Wkst'!$G$7:$G$2010,$D60,'LAC 102_Wkst'!$L$7:$L$2010,"12",'LAC 102_Wkst'!$N$7:$N$2010,"P3")</f>
        <v>0</v>
      </c>
      <c r="AX60" s="410">
        <f>SUMIFS('LAC 102_Wkst'!$Q$7:$Q$2010,'LAC 102_Wkst'!$D$7:$D$2010,$C$7,'LAC 102_Wkst'!$I$7:$I$2010,$C$9,'LAC 102_Wkst'!$E$7:$E$2010,$C60,'LAC 102_Wkst'!$G$7:$G$2010,$D60,'LAC 102_Wkst'!$L$7:$L$2010,"11",'LAC 102_Wkst'!$N$7:$N$2010,"P4")+SUMIFS('LAC 102_Wkst'!$Q$7:$Q$2010,'LAC 102_Wkst'!$D$7:$D$2010,$C$7,'LAC 102_Wkst'!$I$7:$I$2010,$C$9,'LAC 102_Wkst'!$E$7:$E$2010,$C60,'LAC 102_Wkst'!$G$7:$G$2010,$D60,'LAC 102_Wkst'!$L$7:$L$2010,"12",'LAC 102_Wkst'!$N$7:$N$2010,"P4")</f>
        <v>0</v>
      </c>
      <c r="AY60" s="411">
        <f>SUMIFS('LAC 102_Wkst'!$AF$7:$AF$2010,'LAC 102_Wkst'!$D$7:$D$2010,$C$7,'LAC 102_Wkst'!$I$7:$I$2010,$C$9,'LAC 102_Wkst'!$E$7:$E$2010,$C60,'LAC 102_Wkst'!$G$7:$G$2010,$D60,'LAC 102_Wkst'!$L$7:$L$2010,"11",'LAC 102_Wkst'!$N$7:$N$2010,"P4")+SUMIFS('LAC 102_Wkst'!$AF$7:$AF$2010,'LAC 102_Wkst'!$D$7:$D$2010,$C$7,'LAC 102_Wkst'!$I$7:$I$2010,$C$9,'LAC 102_Wkst'!$E$7:$E$2010,$C60,'LAC 102_Wkst'!$G$7:$G$2010,$D60,'LAC 102_Wkst'!$L$7:$L$2010,"12",'LAC 102_Wkst'!$N$7:$N$2010,"P4")</f>
        <v>0</v>
      </c>
      <c r="AZ60" s="410">
        <f>SUMIFS('LAC 102_Wkst'!$Q$7:$Q$2010,'LAC 102_Wkst'!$D$7:$D$2010,$C$7,'LAC 102_Wkst'!$I$7:$I$2010,$C$9,'LAC 102_Wkst'!$E$7:$E$2010,$C60,'LAC 102_Wkst'!$G$7:$G$2010,$D60,'LAC 102_Wkst'!$L$7:$L$2010,"11",'LAC 102_Wkst'!$N$7:$N$2010,"P5")+SUMIFS('LAC 102_Wkst'!$Q$7:$Q$2010,'LAC 102_Wkst'!$D$7:$D$2010,$C$7,'LAC 102_Wkst'!$I$7:$I$2010,$C$9,'LAC 102_Wkst'!$E$7:$E$2010,$C60,'LAC 102_Wkst'!$G$7:$G$2010,$D60,'LAC 102_Wkst'!$L$7:$L$2010,"12",'LAC 102_Wkst'!$N$7:$N$2010,"P5")</f>
        <v>0</v>
      </c>
      <c r="BA60" s="411">
        <f>SUMIFS('LAC 102_Wkst'!$AF$7:$AF$2010,'LAC 102_Wkst'!$D$7:$D$2010,$C$7,'LAC 102_Wkst'!$I$7:$I$2010,$C$9,'LAC 102_Wkst'!$E$7:$E$2010,$C60,'LAC 102_Wkst'!$G$7:$G$2010,$D60,'LAC 102_Wkst'!$L$7:$L$2010,"11",'LAC 102_Wkst'!$N$7:$N$2010,"P5")+SUMIFS('LAC 102_Wkst'!$AF$7:$AF$2010,'LAC 102_Wkst'!$D$7:$D$2010,$C$7,'LAC 102_Wkst'!$I$7:$I$2010,$C$9,'LAC 102_Wkst'!$E$7:$E$2010,$C60,'LAC 102_Wkst'!$G$7:$G$2010,$D60,'LAC 102_Wkst'!$L$7:$L$2010,"12",'LAC 102_Wkst'!$N$7:$N$2010,"P5")</f>
        <v>0</v>
      </c>
      <c r="BB60" s="410">
        <f>SUMIFS('LAC 102_Wkst'!$Q$7:$Q$2010,'LAC 102_Wkst'!$D$7:$D$2010,$C$7,'LAC 102_Wkst'!$I$7:$I$2010,$C$9,'LAC 102_Wkst'!$E$7:$E$2010,$C60,'LAC 102_Wkst'!$G$7:$G$2010,$D60,'LAC 102_Wkst'!$L$7:$L$2010,"13",'LAC 102_Wkst'!$N$7:$N$2010,"P1")+SUMIFS('LAC 102_Wkst'!$Q$7:$Q$2010,'LAC 102_Wkst'!$D$7:$D$2010,$C$7,'LAC 102_Wkst'!$I$7:$I$2010,$C$9,'LAC 102_Wkst'!$E$7:$E$2010,$C60,'LAC 102_Wkst'!$G$7:$G$2010,$D60,'LAC 102_Wkst'!$L$7:$L$2010,"13",'LAC 102_Wkst'!$N$7:$N$2010,"P2")+SUMIFS('LAC 102_Wkst'!$Q$7:$Q$2010,'LAC 102_Wkst'!$D$7:$D$2010,$C$7,'LAC 102_Wkst'!$I$7:$I$2010,$C$9,'LAC 102_Wkst'!$E$7:$E$2010,$C60,'LAC 102_Wkst'!$G$7:$G$2010,$D60,'LAC 102_Wkst'!$L$7:$L$2010,"13",'LAC 102_Wkst'!$N$7:$N$2010,"P3")+SUMIFS('LAC 102_Wkst'!$Q$7:$Q$2010,'LAC 102_Wkst'!$D$7:$D$2010,$C$7,'LAC 102_Wkst'!$I$7:$I$2010,$C$9,'LAC 102_Wkst'!$E$7:$E$2010,$C60,'LAC 102_Wkst'!$G$7:$G$2010,$D60,'LAC 102_Wkst'!$L$7:$L$2010,"13",'LAC 102_Wkst'!$N$7:$N$2010,"P4")</f>
        <v>0</v>
      </c>
      <c r="BC60" s="411">
        <f>SUMIFS('LAC 102_Wkst'!$AF$7:$AF$2010,'LAC 102_Wkst'!$D$7:$D$2010,$C$7,'LAC 102_Wkst'!$I$7:$I$2010,$C$9,'LAC 102_Wkst'!$E$7:$E$2010,$C60,'LAC 102_Wkst'!$G$7:$G$2010,$D60,'LAC 102_Wkst'!$L$7:$L$2010,"13",'LAC 102_Wkst'!$N$7:$N$2010,"P1")+SUMIFS('LAC 102_Wkst'!$AF$7:$AF$2010,'LAC 102_Wkst'!$D$7:$D$2010,$C$7,'LAC 102_Wkst'!$I$7:$I$2010,$C$9,'LAC 102_Wkst'!$E$7:$E$2010,$C60,'LAC 102_Wkst'!$G$7:$G$2010,$D60,'LAC 102_Wkst'!$L$7:$L$2010,"13",'LAC 102_Wkst'!$N$7:$N$2010,"P2")+SUMIFS('LAC 102_Wkst'!$AF$7:$AF$2010,'LAC 102_Wkst'!$D$7:$D$2010,$C$7,'LAC 102_Wkst'!$I$7:$I$2010,$C$9,'LAC 102_Wkst'!$E$7:$E$2010,$C60,'LAC 102_Wkst'!$G$7:$G$2010,$D60,'LAC 102_Wkst'!$L$7:$L$2010,"13",'LAC 102_Wkst'!$N$7:$N$2010,"P3")+SUMIFS('LAC 102_Wkst'!$AF$7:$AF$2010,'LAC 102_Wkst'!$D$7:$D$2010,$C$7,'LAC 102_Wkst'!$I$7:$I$2010,$C$9,'LAC 102_Wkst'!$E$7:$E$2010,$C60,'LAC 102_Wkst'!$G$7:$G$2010,$D60,'LAC 102_Wkst'!$L$7:$L$2010,"13",'LAC 102_Wkst'!$N$7:$N$2010,"P4")</f>
        <v>0</v>
      </c>
      <c r="BD60" s="410">
        <f>SUMIFS('LAC 102_Wkst'!$Q$7:$Q$2010,'LAC 102_Wkst'!$D$7:$D$2010,$C$7,'LAC 102_Wkst'!$I$7:$I$2010,$C$9,'LAC 102_Wkst'!$E$7:$E$2010,$C60,'LAC 102_Wkst'!$G$7:$G$2010,$D60,'LAC 102_Wkst'!$L$7:$L$2010,"13",'LAC 102_Wkst'!$N$7:$N$2010,"P5")</f>
        <v>0</v>
      </c>
      <c r="BE60" s="411">
        <f>SUMIFS('LAC 102_Wkst'!$AF$7:$AF$2010,'LAC 102_Wkst'!$D$7:$D$2010,$C$7,'LAC 102_Wkst'!$I$7:$I$2010,$C$9,'LAC 102_Wkst'!$E$7:$E$2010,$C60,'LAC 102_Wkst'!$G$7:$G$2010,$D60,'LAC 102_Wkst'!$L$7:$L$2010,"13",'LAC 102_Wkst'!$N$7:$N$2010,"P5")</f>
        <v>0</v>
      </c>
      <c r="BF60" s="407">
        <f t="shared" si="4"/>
        <v>0</v>
      </c>
      <c r="BG60" s="1654">
        <f>SUMIFS('LAC 102_Wkst'!$AF$7:$AF$2010,'LAC 102_Wkst'!$D$7:$D$2010,$C$7,'LAC 102_Wkst'!$I$7:$I$2010,$C$9,'LAC 102_Wkst'!$E$7:$E$2010,$C60,'LAC 102_Wkst'!$G$7:$G$2010,$D60,'LAC 102_Wkst'!$L$7:$L$2010,"14")</f>
        <v>0</v>
      </c>
    </row>
    <row r="61" spans="1:59" x14ac:dyDescent="0.2">
      <c r="A61" s="401">
        <v>39</v>
      </c>
      <c r="B61" s="1678" t="str">
        <f>IF(Schedule_B!B$58="","",Schedule_B!B$58)</f>
        <v/>
      </c>
      <c r="C61" s="1674" t="str">
        <f>IF(Schedule_B!C$58=""," ",Schedule_B!C$58)</f>
        <v xml:space="preserve"> </v>
      </c>
      <c r="D61" s="1675" t="str">
        <f>IF(Schedule_B!D$58=""," ",Schedule_B!D$58)</f>
        <v xml:space="preserve"> </v>
      </c>
      <c r="E61" s="1221">
        <f>SUMIFS('LAC 102_Wkst'!$Q$7:$Q$2010,'LAC 102_Wkst'!$D$7:$D$2010,$C$7,'LAC 102_Wkst'!$I$7:$I$2010,$C$9,'LAC 102_Wkst'!$E$7:$E$2010,$C61,'LAC 102_Wkst'!$G$7:$G$2010,$D61)</f>
        <v>0</v>
      </c>
      <c r="F61" s="408">
        <f>SUMIFS('LAC 102_Wkst'!$Q$7:$Q$2010,'LAC 102_Wkst'!$D$7:$D$2010,$C$7,'LAC 102_Wkst'!$I$7:$I$2010,$C$9,'LAC 102_Wkst'!$E$7:$E$2010,$C61,'LAC 102_Wkst'!$G$7:$G$2010,$D61,'LAC 102_Wkst'!$L$7:$L$2010,"01",'LAC 102_Wkst'!$N$7:$N$2010,"P1")+SUMIFS('LAC 102_Wkst'!$Q$7:$Q$2010,'LAC 102_Wkst'!$D$7:$D$2010,$C$7,'LAC 102_Wkst'!$I$7:$I$2010,$C$9,'LAC 102_Wkst'!$E$7:$E$2010,$C61,'LAC 102_Wkst'!$G$7:$G$2010,$D61,'LAC 102_Wkst'!$L$7:$L$2010,"01",'LAC 102_Wkst'!$N$7:$N$2010,"P2")+SUMIFS('LAC 102_Wkst'!$Q$7:$Q$2010,'LAC 102_Wkst'!$D$7:$D$2010,$C$7,'LAC 102_Wkst'!$I$7:$I$2010,$C$9,'LAC 102_Wkst'!$E$7:$E$2010,$C61,'LAC 102_Wkst'!$G$7:$G$2010,$D61,'LAC 102_Wkst'!$L$7:$L$2010,"01",'LAC 102_Wkst'!$N$7:$N$2010,"P3")+SUMIFS('LAC 102_Wkst'!$Q$7:$Q$2010,'LAC 102_Wkst'!$D$7:$D$2010,$C$7,'LAC 102_Wkst'!$I$7:$I$2010,$C$9,'LAC 102_Wkst'!$E$7:$E$2010,$C61,'LAC 102_Wkst'!$G$7:$G$2010,$D61,'LAC 102_Wkst'!$L$7:$L$2010,"02",'LAC 102_Wkst'!$N$7:$N$2010,"P1")+SUMIFS('LAC 102_Wkst'!$Q$7:$Q$2010,'LAC 102_Wkst'!$D$7:$D$2010,$C$7,'LAC 102_Wkst'!$I$7:$I$2010,$C$9,'LAC 102_Wkst'!$E$7:$E$2010,$C61,'LAC 102_Wkst'!$G$7:$G$2010,$D61,'LAC 102_Wkst'!$L$7:$L$2010,"02",'LAC 102_Wkst'!$N$7:$N$2010,"P2")+SUMIFS('LAC 102_Wkst'!$Q$7:$Q$2010,'LAC 102_Wkst'!$D$7:$D$2010,$C$7,'LAC 102_Wkst'!$I$7:$I$2010,$C$9,'LAC 102_Wkst'!$E$7:$E$2010,$C61,'LAC 102_Wkst'!$G$7:$G$2010,$D61,'LAC 102_Wkst'!$L$7:$L$2010,"02",'LAC 102_Wkst'!$N$7:$N$2010,"P3")</f>
        <v>0</v>
      </c>
      <c r="G61" s="409">
        <f>SUMIFS('LAC 102_Wkst'!$AF$7:$AF$2010,'LAC 102_Wkst'!$D$7:$D$2010,$C$7,'LAC 102_Wkst'!$I$7:$I$2010,$C$9,'LAC 102_Wkst'!$E$7:$E$2010,$C61,'LAC 102_Wkst'!$G$7:$G$2010,$D61,'LAC 102_Wkst'!$L$7:$L$2010,"01",'LAC 102_Wkst'!$N$7:$N$2010,"P1")+SUMIFS('LAC 102_Wkst'!$AF$7:$AF$2010,'LAC 102_Wkst'!$D$7:$D$2010,$C$7,'LAC 102_Wkst'!$I$7:$I$2010,$C$9,'LAC 102_Wkst'!$E$7:$E$2010,$C61,'LAC 102_Wkst'!$G$7:$G$2010,$D61,'LAC 102_Wkst'!$L$7:$L$2010,"01",'LAC 102_Wkst'!$N$7:$N$2010,"P2")+SUMIFS('LAC 102_Wkst'!$AF$7:$AF$2010,'LAC 102_Wkst'!$D$7:$D$2010,$C$7,'LAC 102_Wkst'!$I$7:$I$2010,$C$9,'LAC 102_Wkst'!$E$7:$E$2010,$C61,'LAC 102_Wkst'!$G$7:$G$2010,$D61,'LAC 102_Wkst'!$L$7:$L$2010,"01",'LAC 102_Wkst'!$N$7:$N$2010,"P3")+SUMIFS('LAC 102_Wkst'!$AF$7:$AF$2010,'LAC 102_Wkst'!$D$7:$D$2010,$C$7,'LAC 102_Wkst'!$I$7:$I$2010,$C$9,'LAC 102_Wkst'!$E$7:$E$2010,$C61,'LAC 102_Wkst'!$G$7:$G$2010,$D61,'LAC 102_Wkst'!$L$7:$L$2010,"02",'LAC 102_Wkst'!$N$7:$N$2010,"P1")+SUMIFS('LAC 102_Wkst'!$AF$7:$AF$2010,'LAC 102_Wkst'!$D$7:$D$2010,$C$7,'LAC 102_Wkst'!$I$7:$I$2010,$C$9,'LAC 102_Wkst'!$E$7:$E$2010,$C61,'LAC 102_Wkst'!$G$7:$G$2010,$D61,'LAC 102_Wkst'!$L$7:$L$2010,"02",'LAC 102_Wkst'!$N$7:$N$2010,"P2")+SUMIFS('LAC 102_Wkst'!$AF$7:$AF$2010,'LAC 102_Wkst'!$D$7:$D$2010,$C$7,'LAC 102_Wkst'!$I$7:$I$2010,$C$9,'LAC 102_Wkst'!$E$7:$E$2010,$C61,'LAC 102_Wkst'!$G$7:$G$2010,$D61,'LAC 102_Wkst'!$L$7:$L$2010,"02",'LAC 102_Wkst'!$N$7:$N$2010,"P3")</f>
        <v>0</v>
      </c>
      <c r="H61" s="410">
        <f>SUMIFS('LAC 102_Wkst'!$Q$7:$Q$2010,'LAC 102_Wkst'!$D$7:$D$2010,$C$7,'LAC 102_Wkst'!$I$7:$I$2010,$C$9,'LAC 102_Wkst'!$E$7:$E$2010,$C61,'LAC 102_Wkst'!$G$7:$G$2010,$D61,'LAC 102_Wkst'!$L$7:$L$2010,"01",'LAC 102_Wkst'!$N$7:$N$2010,"P4")+SUMIFS('LAC 102_Wkst'!$Q$7:$Q$2010,'LAC 102_Wkst'!$D$7:$D$2010,$C$7,'LAC 102_Wkst'!$I$7:$I$2010,$C$9,'LAC 102_Wkst'!$E$7:$E$2010,$C61,'LAC 102_Wkst'!$G$7:$G$2010,$D61,'LAC 102_Wkst'!$L$7:$L$2010,"02",'LAC 102_Wkst'!$N$7:$N$2010,"P4")</f>
        <v>0</v>
      </c>
      <c r="I61" s="411">
        <f>SUMIFS('LAC 102_Wkst'!$AF$7:$AF$2010,'LAC 102_Wkst'!$D$7:$D$2010,$C$7,'LAC 102_Wkst'!$I$7:$I$2010,$C$9,'LAC 102_Wkst'!$E$7:$E$2010,$C61,'LAC 102_Wkst'!$G$7:$G$2010,$D61,'LAC 102_Wkst'!$L$7:$L$2010,"01",'LAC 102_Wkst'!$N$7:$N$2010,"P4")+SUMIFS('LAC 102_Wkst'!$AF$7:$AF$2010,'LAC 102_Wkst'!$D$7:$D$2010,$C$7,'LAC 102_Wkst'!$I$7:$I$2010,$C$9,'LAC 102_Wkst'!$E$7:$E$2010,$C61,'LAC 102_Wkst'!$G$7:$G$2010,$D61,'LAC 102_Wkst'!$L$7:$L$2010,"02",'LAC 102_Wkst'!$N$7:$N$2010,"P4")</f>
        <v>0</v>
      </c>
      <c r="J61" s="410">
        <f>SUMIFS('LAC 102_Wkst'!$Q$7:$Q$2010,'LAC 102_Wkst'!$D$7:$D$2010,$C$7,'LAC 102_Wkst'!$I$7:$I$2010,$C$9,'LAC 102_Wkst'!$E$7:$E$2010,$C61,'LAC 102_Wkst'!$G$7:$G$2010,$D61,'LAC 102_Wkst'!$L$7:$L$2010,"01",'LAC 102_Wkst'!$N$7:$N$2010,"P5")+SUMIFS('LAC 102_Wkst'!$Q$7:$Q$2010,'LAC 102_Wkst'!$D$7:$D$2010,$C$7,'LAC 102_Wkst'!$I$7:$I$2010,$C$9,'LAC 102_Wkst'!$E$7:$E$2010,$C61,'LAC 102_Wkst'!$G$7:$G$2010,$D61,'LAC 102_Wkst'!$L$7:$L$2010,"02",'LAC 102_Wkst'!$N$7:$N$2010,"P5")</f>
        <v>0</v>
      </c>
      <c r="K61" s="411">
        <f>SUMIFS('LAC 102_Wkst'!$AF$7:$AF$2010,'LAC 102_Wkst'!$D$7:$D$2010,$C$7,'LAC 102_Wkst'!$I$7:$I$2010,$C$9,'LAC 102_Wkst'!$E$7:$E$2010,$C61,'LAC 102_Wkst'!$G$7:$G$2010,$D61,'LAC 102_Wkst'!$L$7:$L$2010,"01",'LAC 102_Wkst'!$N$7:$N$2010,"P5")+SUMIFS('LAC 102_Wkst'!$AF$7:$AF$2010,'LAC 102_Wkst'!$D$7:$D$2010,$C$7,'LAC 102_Wkst'!$I$7:$I$2010,$C$9,'LAC 102_Wkst'!$E$7:$E$2010,$C61,'LAC 102_Wkst'!$G$7:$G$2010,$D61,'LAC 102_Wkst'!$L$7:$L$2010,"02",'LAC 102_Wkst'!$N$7:$N$2010,"P5")</f>
        <v>0</v>
      </c>
      <c r="L61" s="410">
        <f>SUMIFS('LAC 102_Wkst'!$Q$7:$Q$2010,'LAC 102_Wkst'!$D$7:$D$2010,$C$7,'LAC 102_Wkst'!$I$7:$I$2010,$C$9,'LAC 102_Wkst'!$E$7:$E$2010,$C61,'LAC 102_Wkst'!$G$7:$G$2010,$D61,'LAC 102_Wkst'!$L$7:$L$2010,"03",'LAC 102_Wkst'!$N$7:$N$2010,"P1")+SUMIFS('LAC 102_Wkst'!$Q$7:$Q$2010,'LAC 102_Wkst'!$D$7:$D$2010,$C$7,'LAC 102_Wkst'!$I$7:$I$2010,$C$9,'LAC 102_Wkst'!$E$7:$E$2010,$C61,'LAC 102_Wkst'!$G$7:$G$2010,$D61,'LAC 102_Wkst'!$L$7:$L$2010,"03",'LAC 102_Wkst'!$N$7:$N$2010,"P2")+SUMIFS('LAC 102_Wkst'!$Q$7:$Q$2010,'LAC 102_Wkst'!$D$7:$D$2010,$C$7,'LAC 102_Wkst'!$I$7:$I$2010,$C$9,'LAC 102_Wkst'!$E$7:$E$2010,$C61,'LAC 102_Wkst'!$G$7:$G$2010,$D61,'LAC 102_Wkst'!$L$7:$L$2010,"03",'LAC 102_Wkst'!$N$7:$N$2010,"P3")+SUMIFS('LAC 102_Wkst'!$Q$7:$Q$2010,'LAC 102_Wkst'!$D$7:$D$2010,$C$7,'LAC 102_Wkst'!$I$7:$I$2010,$C$9,'LAC 102_Wkst'!$E$7:$E$2010,$C61,'LAC 102_Wkst'!$G$7:$G$2010,$D61,'LAC 102_Wkst'!$L$7:$L$2010,"04",'LAC 102_Wkst'!$N$7:$N$2010,"P1")+SUMIFS('LAC 102_Wkst'!$Q$7:$Q$2010,'LAC 102_Wkst'!$D$7:$D$2010,$C$7,'LAC 102_Wkst'!$I$7:$I$2010,$C$9,'LAC 102_Wkst'!$E$7:$E$2010,$C61,'LAC 102_Wkst'!$G$7:$G$2010,$D61,'LAC 102_Wkst'!$L$7:$L$2010,"04",'LAC 102_Wkst'!$N$7:$N$2010,"P2")+SUMIFS('LAC 102_Wkst'!$Q$7:$Q$2010,'LAC 102_Wkst'!$D$7:$D$2010,$C$7,'LAC 102_Wkst'!$I$7:$I$2010,$C$9,'LAC 102_Wkst'!$E$7:$E$2010,$C61,'LAC 102_Wkst'!$G$7:$G$2010,$D61,'LAC 102_Wkst'!$L$7:$L$2010,"04",'LAC 102_Wkst'!$N$7:$N$2010,"P3")</f>
        <v>0</v>
      </c>
      <c r="M61" s="411">
        <f>SUMIFS('LAC 102_Wkst'!$AF$7:$AF$2010,'LAC 102_Wkst'!$D$7:$D$2010,$C$7,'LAC 102_Wkst'!$I$7:$I$2010,$C$9,'LAC 102_Wkst'!$E$7:$E$2010,$C61,'LAC 102_Wkst'!$G$7:$G$2010,$D61,'LAC 102_Wkst'!$L$7:$L$2010,"03",'LAC 102_Wkst'!$N$7:$N$2010,"P1")+SUMIFS('LAC 102_Wkst'!$AF$7:$AF$2010,'LAC 102_Wkst'!$D$7:$D$2010,$C$7,'LAC 102_Wkst'!$I$7:$I$2010,$C$9,'LAC 102_Wkst'!$E$7:$E$2010,$C61,'LAC 102_Wkst'!$G$7:$G$2010,$D61,'LAC 102_Wkst'!$L$7:$L$2010,"03",'LAC 102_Wkst'!$N$7:$N$2010,"P2")+SUMIFS('LAC 102_Wkst'!$AF$7:$AF$2010,'LAC 102_Wkst'!$D$7:$D$2010,$C$7,'LAC 102_Wkst'!$I$7:$I$2010,$C$9,'LAC 102_Wkst'!$E$7:$E$2010,$C61,'LAC 102_Wkst'!$G$7:$G$2010,$D61,'LAC 102_Wkst'!$L$7:$L$2010,"03",'LAC 102_Wkst'!$N$7:$N$2010,"P3")+SUMIFS('LAC 102_Wkst'!$AF$7:$AF$2010,'LAC 102_Wkst'!$D$7:$D$2010,$C$7,'LAC 102_Wkst'!$I$7:$I$2010,$C$9,'LAC 102_Wkst'!$E$7:$E$2010,$C61,'LAC 102_Wkst'!$G$7:$G$2010,$D61,'LAC 102_Wkst'!$L$7:$L$2010,"04",'LAC 102_Wkst'!$N$7:$N$2010,"P1")+SUMIFS('LAC 102_Wkst'!$AF$7:$AF$2010,'LAC 102_Wkst'!$D$7:$D$2010,$C$7,'LAC 102_Wkst'!$I$7:$I$2010,$C$9,'LAC 102_Wkst'!$E$7:$E$2010,$C61,'LAC 102_Wkst'!$G$7:$G$2010,$D61,'LAC 102_Wkst'!$L$7:$L$2010,"04",'LAC 102_Wkst'!$N$7:$N$2010,"P2")+SUMIFS('LAC 102_Wkst'!$AF$7:$AF$2010,'LAC 102_Wkst'!$D$7:$D$2010,$C$7,'LAC 102_Wkst'!$I$7:$I$2010,$C$9,'LAC 102_Wkst'!$E$7:$E$2010,$C61,'LAC 102_Wkst'!$G$7:$G$2010,$D61,'LAC 102_Wkst'!$L$7:$L$2010,"04",'LAC 102_Wkst'!$N$7:$N$2010,"P3")</f>
        <v>0</v>
      </c>
      <c r="N61" s="410">
        <f>SUMIFS('LAC 102_Wkst'!$Q$7:$Q$2010,'LAC 102_Wkst'!$D$7:$D$2010,$C$7,'LAC 102_Wkst'!$I$7:$I$2010,$C$9,'LAC 102_Wkst'!$E$7:$E$2010,$C61,'LAC 102_Wkst'!$G$7:$G$2010,$D61,'LAC 102_Wkst'!$L$7:$L$2010,"03",'LAC 102_Wkst'!$N$7:$N$2010,"P4")+SUMIFS('LAC 102_Wkst'!$Q$7:$Q$2010,'LAC 102_Wkst'!$D$7:$D$2010,$C$7,'LAC 102_Wkst'!$I$7:$I$2010,$C$9,'LAC 102_Wkst'!$E$7:$E$2010,$C61,'LAC 102_Wkst'!$G$7:$G$2010,$D61,'LAC 102_Wkst'!$L$7:$L$2010,"04",'LAC 102_Wkst'!$N$7:$N$2010,"P4")</f>
        <v>0</v>
      </c>
      <c r="O61" s="411">
        <f>SUMIFS('LAC 102_Wkst'!$AF$7:$AF$2010,'LAC 102_Wkst'!$D$7:$D$2010,$C$7,'LAC 102_Wkst'!$I$7:$I$2010,$C$9,'LAC 102_Wkst'!$E$7:$E$2010,$C61,'LAC 102_Wkst'!$G$7:$G$2010,$D61,'LAC 102_Wkst'!$L$7:$L$2010,"03",'LAC 102_Wkst'!$N$7:$N$2010,"P4")+SUMIFS('LAC 102_Wkst'!$AF$7:$AF$2010,'LAC 102_Wkst'!$D$7:$D$2010,$C$7,'LAC 102_Wkst'!$I$7:$I$2010,$C$9,'LAC 102_Wkst'!$E$7:$E$2010,$C61,'LAC 102_Wkst'!$G$7:$G$2010,$D61,'LAC 102_Wkst'!$L$7:$L$2010,"04",'LAC 102_Wkst'!$N$7:$N$2010,"P4")</f>
        <v>0</v>
      </c>
      <c r="P61" s="410">
        <f>SUMIFS('LAC 102_Wkst'!$Q$7:$Q$2010,'LAC 102_Wkst'!$D$7:$D$2010,$C$7,'LAC 102_Wkst'!$I$7:$I$2010,$C$9,'LAC 102_Wkst'!$E$7:$E$2010,$C61,'LAC 102_Wkst'!$G$7:$G$2010,$D61,'LAC 102_Wkst'!$L$7:$L$2010,"03",'LAC 102_Wkst'!$N$7:$N$2010,"P5")+SUMIFS('LAC 102_Wkst'!$Q$7:$Q$2010,'LAC 102_Wkst'!$D$7:$D$2010,$C$7,'LAC 102_Wkst'!$I$7:$I$2010,$C$9,'LAC 102_Wkst'!$E$7:$E$2010,$C61,'LAC 102_Wkst'!$G$7:$G$2010,$D61,'LAC 102_Wkst'!$L$7:$L$2010,"04",'LAC 102_Wkst'!$N$7:$N$2010,"P5")</f>
        <v>0</v>
      </c>
      <c r="Q61" s="411">
        <f>SUMIFS('LAC 102_Wkst'!$AF$7:$AF$2010,'LAC 102_Wkst'!$D$7:$D$2010,$C$7,'LAC 102_Wkst'!$I$7:$I$2010,$C$9,'LAC 102_Wkst'!$E$7:$E$2010,$C61,'LAC 102_Wkst'!$G$7:$G$2010,$D61,'LAC 102_Wkst'!$L$7:$L$2010,"03",'LAC 102_Wkst'!$N$7:$N$2010,"P5")+SUMIFS('LAC 102_Wkst'!$AF$7:$AF$2010,'LAC 102_Wkst'!$D$7:$D$2010,$C$7,'LAC 102_Wkst'!$I$7:$I$2010,$C$9,'LAC 102_Wkst'!$E$7:$E$2010,$C61,'LAC 102_Wkst'!$G$7:$G$2010,$D61,'LAC 102_Wkst'!$L$7:$L$2010,"04",'LAC 102_Wkst'!$N$7:$N$2010,"P5")</f>
        <v>0</v>
      </c>
      <c r="R61" s="412">
        <f>SUMIFS('LAC 102_Wkst'!$Q$7:$Q$2010,'LAC 102_Wkst'!$D$7:$D$2010,$C$7,'LAC 102_Wkst'!$I$7:$I$2010,$C$9,'LAC 102_Wkst'!$E$7:$E$2010,$C61,'LAC 102_Wkst'!$G$7:$G$2010,$D61,'LAC 102_Wkst'!$L$7:$L$2010,"05",'LAC 102_Wkst'!$N$7:$N$2010,"P1")+SUMIFS('LAC 102_Wkst'!$Q$7:$Q$2010,'LAC 102_Wkst'!$D$7:$D$2010,$C$7,'LAC 102_Wkst'!$I$7:$I$2010,$C$9,'LAC 102_Wkst'!$E$7:$E$2010,$C61,'LAC 102_Wkst'!$G$7:$G$2010,$D61,'LAC 102_Wkst'!$L$7:$L$2010,"06",'LAC 102_Wkst'!$N$7:$N$2010,"P1")</f>
        <v>0</v>
      </c>
      <c r="S61" s="411">
        <f>SUMIFS('LAC 102_Wkst'!$AF$7:$AF$2010,'LAC 102_Wkst'!$D$7:$D$2010,$C$7,'LAC 102_Wkst'!$I$7:$I$2010,$C$9,'LAC 102_Wkst'!$E$7:$E$2010,$C61,'LAC 102_Wkst'!$G$7:$G$2010,$D61,'LAC 102_Wkst'!$L$7:$L$2010,"05",'LAC 102_Wkst'!$N$7:$N$2010,"P1")+SUMIFS('LAC 102_Wkst'!$AF$7:$AF$2010,'LAC 102_Wkst'!$D$7:$D$2010,$C$7,'LAC 102_Wkst'!$I$7:$I$2010,$C$9,'LAC 102_Wkst'!$E$7:$E$2010,$C61,'LAC 102_Wkst'!$G$7:$G$2010,$D61,'LAC 102_Wkst'!$L$7:$L$2010,"06",'LAC 102_Wkst'!$N$7:$N$2010,"P1")</f>
        <v>0</v>
      </c>
      <c r="T61" s="410">
        <f>SUMIFS('LAC 102_Wkst'!$Q$7:$Q$2010,'LAC 102_Wkst'!$D$7:$D$2010,$C$7,'LAC 102_Wkst'!$I$7:$I$2010,$C$9,'LAC 102_Wkst'!$E$7:$E$2010,$C61,'LAC 102_Wkst'!$G$7:$G$2010,$D61,'LAC 102_Wkst'!$L$7:$L$2010,"05",'LAC 102_Wkst'!$N$7:$N$2010,"P2")+SUMIFS('LAC 102_Wkst'!$Q$7:$Q$2010,'LAC 102_Wkst'!$D$7:$D$2010,$C$7,'LAC 102_Wkst'!$I$7:$I$2010,$C$9,'LAC 102_Wkst'!$E$7:$E$2010,$C61,'LAC 102_Wkst'!$G$7:$G$2010,$D61,'LAC 102_Wkst'!$L$7:$L$2010,"06",'LAC 102_Wkst'!$N$7:$N$2010,"P2")+SUMIFS('LAC 102_Wkst'!$Q$7:$Q$2010,'LAC 102_Wkst'!$D$7:$D$2010,$C$7,'LAC 102_Wkst'!$I$7:$I$2010,$C$9,'LAC 102_Wkst'!$E$7:$E$2010,$C61,'LAC 102_Wkst'!$G$7:$G$2010,$D61,'LAC 102_Wkst'!$L$7:$L$2010,"05",'LAC 102_Wkst'!$N$7:$N$2010,"P3")+SUMIFS('LAC 102_Wkst'!$Q$7:$Q$2010,'LAC 102_Wkst'!$D$7:$D$2010,$C$7,'LAC 102_Wkst'!$I$7:$I$2010,$C$9,'LAC 102_Wkst'!$E$7:$E$2010,$C61,'LAC 102_Wkst'!$G$7:$G$2010,$D61,'LAC 102_Wkst'!$L$7:$L$2010,"06",'LAC 102_Wkst'!$N$7:$N$2010,"P3")</f>
        <v>0</v>
      </c>
      <c r="U61" s="411">
        <f>SUMIFS('LAC 102_Wkst'!$AF$7:$AF$2010,'LAC 102_Wkst'!$D$7:$D$2010,$C$7,'LAC 102_Wkst'!$I$7:$I$2010,$C$9,'LAC 102_Wkst'!$E$7:$E$2010,$C61,'LAC 102_Wkst'!$G$7:$G$2010,$D61,'LAC 102_Wkst'!$L$7:$L$2010,"05",'LAC 102_Wkst'!$N$7:$N$2010,"P2")+SUMIFS('LAC 102_Wkst'!$AF$7:$AF$2010,'LAC 102_Wkst'!$D$7:$D$2010,$C$7,'LAC 102_Wkst'!$I$7:$I$2010,$C$9,'LAC 102_Wkst'!$E$7:$E$2010,$C61,'LAC 102_Wkst'!$G$7:$G$2010,$D61,'LAC 102_Wkst'!$L$7:$L$2010,"06",'LAC 102_Wkst'!$N$7:$N$2010,"P2")+SUMIFS('LAC 102_Wkst'!$AF$7:$AF$2010,'LAC 102_Wkst'!$D$7:$D$2010,$C$7,'LAC 102_Wkst'!$I$7:$I$2010,$C$9,'LAC 102_Wkst'!$E$7:$E$2010,$C61,'LAC 102_Wkst'!$G$7:$G$2010,$D61,'LAC 102_Wkst'!$L$7:$L$2010,"05",'LAC 102_Wkst'!$N$7:$N$2010,"P3")+SUMIFS('LAC 102_Wkst'!$AF$7:$AF$2010,'LAC 102_Wkst'!$D$7:$D$2010,$C$7,'LAC 102_Wkst'!$I$7:$I$2010,$C$9,'LAC 102_Wkst'!$E$7:$E$2010,$C61,'LAC 102_Wkst'!$G$7:$G$2010,$D61,'LAC 102_Wkst'!$L$7:$L$2010,"06",'LAC 102_Wkst'!$N$7:$N$2010,"P3")</f>
        <v>0</v>
      </c>
      <c r="V61" s="410">
        <f>SUMIFS('LAC 102_Wkst'!$Q$7:$Q$2010,'LAC 102_Wkst'!$D$7:$D$2010,$C$7,'LAC 102_Wkst'!$I$7:$I$2010,$C$9,'LAC 102_Wkst'!$E$7:$E$2010,$C61,'LAC 102_Wkst'!$G$7:$G$2010,$D61,'LAC 102_Wkst'!$L$7:$L$2010,"05",'LAC 102_Wkst'!$N$7:$N$2010,"P4")+SUMIFS('LAC 102_Wkst'!$Q$7:$Q$2010,'LAC 102_Wkst'!$D$7:$D$2010,$C$7,'LAC 102_Wkst'!$I$7:$I$2010,$C$9,'LAC 102_Wkst'!$E$7:$E$2010,$C61,'LAC 102_Wkst'!$G$7:$G$2010,$D61,'LAC 102_Wkst'!$L$7:$L$2010,"06",'LAC 102_Wkst'!$N$7:$N$2010,"P4")</f>
        <v>0</v>
      </c>
      <c r="W61" s="411">
        <f>SUMIFS('LAC 102_Wkst'!$AF$7:$AF$2010,'LAC 102_Wkst'!$D$7:$D$2010,$C$7,'LAC 102_Wkst'!$I$7:$I$2010,$C$9,'LAC 102_Wkst'!$E$7:$E$2010,$C61,'LAC 102_Wkst'!$G$7:$G$2010,$D61,'LAC 102_Wkst'!$L$7:$L$2010,"05",'LAC 102_Wkst'!$N$7:$N$2010,"P4")+SUMIFS('LAC 102_Wkst'!$AF$7:$AF$2010,'LAC 102_Wkst'!$D$7:$D$2010,$C$7,'LAC 102_Wkst'!$I$7:$I$2010,$C$9,'LAC 102_Wkst'!$E$7:$E$2010,$C61,'LAC 102_Wkst'!$G$7:$G$2010,$D61,'LAC 102_Wkst'!$L$7:$L$2010,"06",'LAC 102_Wkst'!$N$7:$N$2010,"P4")</f>
        <v>0</v>
      </c>
      <c r="X61" s="410">
        <f>SUMIFS('LAC 102_Wkst'!$Q$7:$Q$2010,'LAC 102_Wkst'!$D$7:$D$2010,$C$7,'LAC 102_Wkst'!$I$7:$I$2010,$C$9,'LAC 102_Wkst'!$E$7:$E$2010,$C61,'LAC 102_Wkst'!$G$7:$G$2010,$D61,'LAC 102_Wkst'!$L$7:$L$2010,"05",'LAC 102_Wkst'!$N$7:$N$2010,"P5")+SUMIFS('LAC 102_Wkst'!$Q$7:$Q$2010,'LAC 102_Wkst'!$D$7:$D$2010,$C$7,'LAC 102_Wkst'!$I$7:$I$2010,$C$9,'LAC 102_Wkst'!$E$7:$E$2010,$C61,'LAC 102_Wkst'!$G$7:$G$2010,$D61,'LAC 102_Wkst'!$L$7:$L$2010,"06",'LAC 102_Wkst'!$N$7:$N$2010,"P5")</f>
        <v>0</v>
      </c>
      <c r="Y61" s="411">
        <f>SUMIFS('LAC 102_Wkst'!$AF$7:$AF$2010,'LAC 102_Wkst'!$D$7:$D$2010,$C$7,'LAC 102_Wkst'!$I$7:$I$2010,$C$9,'LAC 102_Wkst'!$E$7:$E$2010,$C61,'LAC 102_Wkst'!$G$7:$G$2010,$D61,'LAC 102_Wkst'!$L$7:$L$2010,"05",'LAC 102_Wkst'!$N$7:$N$2010,"P5")+SUMIFS('LAC 102_Wkst'!$AF$7:$AF$2010,'LAC 102_Wkst'!$D$7:$D$2010,$C$7,'LAC 102_Wkst'!$I$7:$I$2010,$C$9,'LAC 102_Wkst'!$E$7:$E$2010,$C61,'LAC 102_Wkst'!$G$7:$G$2010,$D61,'LAC 102_Wkst'!$L$7:$L$2010,"06",'LAC 102_Wkst'!$N$7:$N$2010,"P5")</f>
        <v>0</v>
      </c>
      <c r="Z61" s="410">
        <f>SUMIFS('LAC 102_Wkst'!$Q$7:$Q$2010,'LAC 102_Wkst'!$D$7:$D$2010,$C$7,'LAC 102_Wkst'!$I$7:$I$2010,$C$9,'LAC 102_Wkst'!$E$7:$E$2010,$C61,'LAC 102_Wkst'!$G$7:$G$2010,$D61,'LAC 102_Wkst'!$L$7:$L$2010,"07",'LAC 102_Wkst'!$N$7:$N$2010,"P1")+SUMIFS('LAC 102_Wkst'!$Q$7:$Q$2010,'LAC 102_Wkst'!$D$7:$D$2010,$C$7,'LAC 102_Wkst'!$I$7:$I$2010,$C$9,'LAC 102_Wkst'!$E$7:$E$2010,$C61,'LAC 102_Wkst'!$G$7:$G$2010,$D61,'LAC 102_Wkst'!$L$7:$L$2010,"07",'LAC 102_Wkst'!$N$7:$N$2010,"P2")+SUMIFS('LAC 102_Wkst'!$Q$7:$Q$2010,'LAC 102_Wkst'!$D$7:$D$2010,$C$7,'LAC 102_Wkst'!$I$7:$I$2010,$C$9,'LAC 102_Wkst'!$E$7:$E$2010,$C61,'LAC 102_Wkst'!$G$7:$G$2010,$D61,'LAC 102_Wkst'!$L$7:$L$2010,"07",'LAC 102_Wkst'!$N$7:$N$2010,"P3")</f>
        <v>0</v>
      </c>
      <c r="AA61" s="411">
        <f>SUMIFS('LAC 102_Wkst'!$AF$7:$AF$2010,'LAC 102_Wkst'!$D$7:$D$2010,$C$7,'LAC 102_Wkst'!$I$7:$I$2010,$C$9,'LAC 102_Wkst'!$E$7:$E$2010,$C61,'LAC 102_Wkst'!$G$7:$G$2010,$D61,'LAC 102_Wkst'!$L$7:$L$2010,"07",'LAC 102_Wkst'!$N$7:$N$2010,"P1")+SUMIFS('LAC 102_Wkst'!$AF$7:$AF$2010,'LAC 102_Wkst'!$D$7:$D$2010,$C$7,'LAC 102_Wkst'!$I$7:$I$2010,$C$9,'LAC 102_Wkst'!$E$7:$E$2010,$C61,'LAC 102_Wkst'!$G$7:$G$2010,$D61,'LAC 102_Wkst'!$L$7:$L$2010,"07",'LAC 102_Wkst'!$N$7:$N$2010,"P2")+SUMIFS('LAC 102_Wkst'!$AF$7:$AF$2010,'LAC 102_Wkst'!$D$7:$D$2010,$C$7,'LAC 102_Wkst'!$I$7:$I$2010,$C$9,'LAC 102_Wkst'!$E$7:$E$2010,$C61,'LAC 102_Wkst'!$G$7:$G$2010,$D61,'LAC 102_Wkst'!$L$7:$L$2010,"07",'LAC 102_Wkst'!$N$7:$N$2010,"P3")</f>
        <v>0</v>
      </c>
      <c r="AB61" s="410">
        <f>SUMIFS('LAC 102_Wkst'!$Q$7:$Q$2010,'LAC 102_Wkst'!$D$7:$D$2010,$C$7,'LAC 102_Wkst'!$I$7:$I$2010,$C$9,'LAC 102_Wkst'!$E$7:$E$2010,$C61,'LAC 102_Wkst'!$G$7:$G$2010,$D61,'LAC 102_Wkst'!$L$7:$L$2010,"07",'LAC 102_Wkst'!$N$7:$N$2010,"P4")</f>
        <v>0</v>
      </c>
      <c r="AC61" s="411">
        <f>SUMIFS('LAC 102_Wkst'!$AF$7:$AF$2010,'LAC 102_Wkst'!$D$7:$D$2010,$C$7,'LAC 102_Wkst'!$I$7:$I$2010,$C$9,'LAC 102_Wkst'!$E$7:$E$2010,$C61,'LAC 102_Wkst'!$G$7:$G$2010,$D61,'LAC 102_Wkst'!$L$7:$L$2010,"07",'LAC 102_Wkst'!$N$7:$N$2010,"P4")</f>
        <v>0</v>
      </c>
      <c r="AD61" s="410">
        <f>SUMIFS('LAC 102_Wkst'!$Q$7:$Q$2010,'LAC 102_Wkst'!$D$7:$D$2010,$C$7,'LAC 102_Wkst'!$I$7:$I$2010,$C$9,'LAC 102_Wkst'!$E$7:$E$2010,$C61,'LAC 102_Wkst'!$G$7:$G$2010,$D61,'LAC 102_Wkst'!$L$7:$L$2010,"07",'LAC 102_Wkst'!$N$7:$N$2010,"P5")</f>
        <v>0</v>
      </c>
      <c r="AE61" s="411">
        <f>SUMIFS('LAC 102_Wkst'!$AF$7:$AF$2010,'LAC 102_Wkst'!$D$7:$D$2010,$C$7,'LAC 102_Wkst'!$I$7:$I$2010,$C$9,'LAC 102_Wkst'!$E$7:$E$2010,$C61,'LAC 102_Wkst'!$G$7:$G$2010,$D61,'LAC 102_Wkst'!$L$7:$L$2010,"07",'LAC 102_Wkst'!$N$7:$N$2010,"P5")</f>
        <v>0</v>
      </c>
      <c r="AF61" s="410">
        <f>SUMIFS('LAC 102_Wkst'!$Q$7:$Q$2010,'LAC 102_Wkst'!$D$7:$D$2010,$C$7,'LAC 102_Wkst'!$I$7:$I$2010,$C$9,'LAC 102_Wkst'!$E$7:$E$2010,$C61,'LAC 102_Wkst'!$G$7:$G$2010,$D61,'LAC 102_Wkst'!$L$7:$L$2010,"08",'LAC 102_Wkst'!$N$7:$N$2010,"P1")+SUMIFS('LAC 102_Wkst'!$Q$7:$Q$2010,'LAC 102_Wkst'!$D$7:$D$2010,$C$7,'LAC 102_Wkst'!$I$7:$I$2010,$C$9,'LAC 102_Wkst'!$E$7:$E$2010,$C61,'LAC 102_Wkst'!$G$7:$G$2010,$D61,'LAC 102_Wkst'!$L$7:$L$2010,"08",'LAC 102_Wkst'!$N$7:$N$2010,"P2")+SUMIFS('LAC 102_Wkst'!$Q$7:$Q$2010,'LAC 102_Wkst'!$D$7:$D$2010,$C$7,'LAC 102_Wkst'!$I$7:$I$2010,$C$9,'LAC 102_Wkst'!$E$7:$E$2010,$C61,'LAC 102_Wkst'!$G$7:$G$2010,$D61,'LAC 102_Wkst'!$L$7:$L$2010,"08",'LAC 102_Wkst'!$N$7:$N$2010,"P3")</f>
        <v>0</v>
      </c>
      <c r="AG61" s="411">
        <f>SUMIFS('LAC 102_Wkst'!$AF$7:$AF$2010,'LAC 102_Wkst'!$D$7:$D$2010,$C$7,'LAC 102_Wkst'!$I$7:$I$2010,$C$9,'LAC 102_Wkst'!$E$7:$E$2010,$C61,'LAC 102_Wkst'!$G$7:$G$2010,$D61,'LAC 102_Wkst'!$L$7:$L$2010,"08",'LAC 102_Wkst'!$N$7:$N$2010,"P1")+SUMIFS('LAC 102_Wkst'!$AF$7:$AF$2010,'LAC 102_Wkst'!$D$7:$D$2010,$C$7,'LAC 102_Wkst'!$I$7:$I$2010,$C$9,'LAC 102_Wkst'!$E$7:$E$2010,$C61,'LAC 102_Wkst'!$G$7:$G$2010,$D61,'LAC 102_Wkst'!$L$7:$L$2010,"08",'LAC 102_Wkst'!$N$7:$N$2010,"P2")+SUMIFS('LAC 102_Wkst'!$AF$7:$AF$2010,'LAC 102_Wkst'!$D$7:$D$2010,$C$7,'LAC 102_Wkst'!$I$7:$I$2010,$C$9,'LAC 102_Wkst'!$E$7:$E$2010,$C61,'LAC 102_Wkst'!$G$7:$G$2010,$D61,'LAC 102_Wkst'!$L$7:$L$2010,"08",'LAC 102_Wkst'!$N$7:$N$2010,"P3")</f>
        <v>0</v>
      </c>
      <c r="AH61" s="410">
        <f>SUMIFS('LAC 102_Wkst'!$Q$7:$Q$2010,'LAC 102_Wkst'!$D$7:$D$2010,$C$7,'LAC 102_Wkst'!$I$7:$I$2010,$C$9,'LAC 102_Wkst'!$E$7:$E$2010,$C61,'LAC 102_Wkst'!$G$7:$G$2010,$D61,'LAC 102_Wkst'!$L$7:$L$2010,"08",'LAC 102_Wkst'!$N$7:$N$2010,"P4")</f>
        <v>0</v>
      </c>
      <c r="AI61" s="411">
        <f>SUMIFS('LAC 102_Wkst'!$AF$7:$AF$2010,'LAC 102_Wkst'!$D$7:$D$2010,$C$7,'LAC 102_Wkst'!$I$7:$I$2010,$C$9,'LAC 102_Wkst'!$E$7:$E$2010,$C61,'LAC 102_Wkst'!$G$7:$G$2010,$D61,'LAC 102_Wkst'!$L$7:$L$2010,"08",'LAC 102_Wkst'!$N$7:$N$2010,"P4")</f>
        <v>0</v>
      </c>
      <c r="AJ61" s="410">
        <f>SUMIFS('LAC 102_Wkst'!$Q$7:$Q$2010,'LAC 102_Wkst'!$D$7:$D$2010,$C$7,'LAC 102_Wkst'!$I$7:$I$2010,$C$9,'LAC 102_Wkst'!$E$7:$E$2010,$C61,'LAC 102_Wkst'!$G$7:$G$2010,$D61,'LAC 102_Wkst'!$L$7:$L$2010,"08",'LAC 102_Wkst'!$N$7:$N$2010,"P5")</f>
        <v>0</v>
      </c>
      <c r="AK61" s="411">
        <f>SUMIFS('LAC 102_Wkst'!$AF$7:$AF$2010,'LAC 102_Wkst'!$D$7:$D$2010,$C$7,'LAC 102_Wkst'!$I$7:$I$2010,$C$9,'LAC 102_Wkst'!$E$7:$E$2010,$C61,'LAC 102_Wkst'!$G$7:$G$2010,$D61,'LAC 102_Wkst'!$L$7:$L$2010,"08",'LAC 102_Wkst'!$N$7:$N$2010,"P5")</f>
        <v>0</v>
      </c>
      <c r="AL61" s="410">
        <f>SUMIFS('LAC 102_Wkst'!$Q$7:$Q$2010,'LAC 102_Wkst'!$D$7:$D$2010,$C$7,'LAC 102_Wkst'!$I$7:$I$2010,$C$9,'LAC 102_Wkst'!$E$7:$E$2010,$C61,'LAC 102_Wkst'!$G$7:$G$2010,$D61,'LAC 102_Wkst'!$L$7:$L$2010,"09",'LAC 102_Wkst'!$N$7:$N$2010,"P1")+SUMIFS('LAC 102_Wkst'!$Q$7:$Q$2010,'LAC 102_Wkst'!$D$7:$D$2010,$C$7,'LAC 102_Wkst'!$I$7:$I$2010,$C$9,'LAC 102_Wkst'!$E$7:$E$2010,$C61,'LAC 102_Wkst'!$G$7:$G$2010,$D61,'LAC 102_Wkst'!$L$7:$L$2010,"09",'LAC 102_Wkst'!$N$7:$N$2010,"P2")+SUMIFS('LAC 102_Wkst'!$Q$7:$Q$2010,'LAC 102_Wkst'!$D$7:$D$2010,$C$7,'LAC 102_Wkst'!$I$7:$I$2010,$C$9,'LAC 102_Wkst'!$E$7:$E$2010,$C61,'LAC 102_Wkst'!$G$7:$G$2010,$D61,'LAC 102_Wkst'!$L$7:$L$2010,"09",'LAC 102_Wkst'!$N$7:$N$2010,"P3")+SUMIFS('LAC 102_Wkst'!$Q$7:$Q$2010,'LAC 102_Wkst'!$D$7:$D$2010,$C$7,'LAC 102_Wkst'!$I$7:$I$2010,$C$9,'LAC 102_Wkst'!$E$7:$E$2010,$C61,'LAC 102_Wkst'!$G$7:$G$2010,$D61,'LAC 102_Wkst'!$L$7:$L$2010,"09",'LAC 102_Wkst'!$N$7:$N$2010,"P4")</f>
        <v>0</v>
      </c>
      <c r="AM61" s="411">
        <f>SUMIFS('LAC 102_Wkst'!$AF$7:$AF$2010,'LAC 102_Wkst'!$D$7:$D$2010,$C$7,'LAC 102_Wkst'!$I$7:$I$2010,$C$9,'LAC 102_Wkst'!$E$7:$E$2010,$C61,'LAC 102_Wkst'!$G$7:$G$2010,$D61,'LAC 102_Wkst'!$L$7:$L$2010,"09",'LAC 102_Wkst'!$N$7:$N$2010,"P1")+SUMIFS('LAC 102_Wkst'!$AF$7:$AF$2010,'LAC 102_Wkst'!$D$7:$D$2010,$C$7,'LAC 102_Wkst'!$I$7:$I$2010,$C$9,'LAC 102_Wkst'!$E$7:$E$2010,$C61,'LAC 102_Wkst'!$G$7:$G$2010,$D61,'LAC 102_Wkst'!$L$7:$L$2010,"09",'LAC 102_Wkst'!$N$7:$N$2010,"P2")+SUMIFS('LAC 102_Wkst'!$AF$7:$AF$2010,'LAC 102_Wkst'!$D$7:$D$2010,$C$7,'LAC 102_Wkst'!$I$7:$I$2010,$C$9,'LAC 102_Wkst'!$E$7:$E$2010,$C61,'LAC 102_Wkst'!$G$7:$G$2010,$D61,'LAC 102_Wkst'!$L$7:$L$2010,"09",'LAC 102_Wkst'!$N$7:$N$2010,"P3")+SUMIFS('LAC 102_Wkst'!$AF$7:$AF$2010,'LAC 102_Wkst'!$D$7:$D$2010,$C$7,'LAC 102_Wkst'!$I$7:$I$2010,$C$9,'LAC 102_Wkst'!$E$7:$E$2010,$C61,'LAC 102_Wkst'!$G$7:$G$2010,$D61,'LAC 102_Wkst'!$L$7:$L$2010,"09",'LAC 102_Wkst'!$N$7:$N$2010,"P4")</f>
        <v>0</v>
      </c>
      <c r="AN61" s="410">
        <f>SUMIFS('LAC 102_Wkst'!$Q$7:$Q$2010,'LAC 102_Wkst'!$D$7:$D$2010,$C$7,'LAC 102_Wkst'!$I$7:$I$2010,$C$9,'LAC 102_Wkst'!$E$7:$E$2010,$C61,'LAC 102_Wkst'!$G$7:$G$2010,$D61,'LAC 102_Wkst'!$L$7:$L$2010,"09",'LAC 102_Wkst'!$N$7:$N$2010,"P5")</f>
        <v>0</v>
      </c>
      <c r="AO61" s="411">
        <f>SUMIFS('LAC 102_Wkst'!$AF$7:$AF$2010,'LAC 102_Wkst'!$D$7:$D$2010,$C$7,'LAC 102_Wkst'!$I$7:$I$2010,$C$9,'LAC 102_Wkst'!$E$7:$E$2010,$C61,'LAC 102_Wkst'!$G$7:$G$2010,$D61,'LAC 102_Wkst'!$L$7:$L$2010,"09",'LAC 102_Wkst'!$N$7:$N$2010,"P5")</f>
        <v>0</v>
      </c>
      <c r="AP61" s="410">
        <f>SUMIFS('LAC 102_Wkst'!$Q$7:$Q$2010,'LAC 102_Wkst'!$D$7:$D$2010,$C$7,'LAC 102_Wkst'!$I$7:$I$2010,$C$9,'LAC 102_Wkst'!$E$7:$E$2010,$C61,'LAC 102_Wkst'!$G$7:$G$2010,$D61,'LAC 102_Wkst'!$L$7:$L$2010,"10",'LAC 102_Wkst'!$N$7:$N$2010,"P1")+SUMIFS('LAC 102_Wkst'!$Q$7:$Q$2010,'LAC 102_Wkst'!$D$7:$D$2010,$C$7,'LAC 102_Wkst'!$I$7:$I$2010,$C$9,'LAC 102_Wkst'!$E$7:$E$2010,$C61,'LAC 102_Wkst'!$G$7:$G$2010,$D61,'LAC 102_Wkst'!$L$7:$L$2010,"10",'LAC 102_Wkst'!$N$7:$N$2010,"P2")+SUMIFS('LAC 102_Wkst'!$Q$7:$Q$2010,'LAC 102_Wkst'!$D$7:$D$2010,$C$7,'LAC 102_Wkst'!$I$7:$I$2010,$C$9,'LAC 102_Wkst'!$E$7:$E$2010,$C61,'LAC 102_Wkst'!$G$7:$G$2010,$D61,'LAC 102_Wkst'!$L$7:$L$2010,"10",'LAC 102_Wkst'!$N$7:$N$2010,"P3")+SUMIFS('LAC 102_Wkst'!$Q$7:$Q$2010,'LAC 102_Wkst'!$D$7:$D$2010,$C$7,'LAC 102_Wkst'!$I$7:$I$2010,$C$9,'LAC 102_Wkst'!$E$7:$E$2010,$C61,'LAC 102_Wkst'!$G$7:$G$2010,$D61,'LAC 102_Wkst'!$L$7:$L$2010,"10",'LAC 102_Wkst'!$N$7:$N$2010,"P4")</f>
        <v>0</v>
      </c>
      <c r="AQ61" s="411">
        <f>SUMIFS('LAC 102_Wkst'!$AF$7:$AF$2010,'LAC 102_Wkst'!$D$7:$D$2010,$C$7,'LAC 102_Wkst'!$I$7:$I$2010,$C$9,'LAC 102_Wkst'!$E$7:$E$2010,$C61,'LAC 102_Wkst'!$G$7:$G$2010,$D61,'LAC 102_Wkst'!$L$7:$L$2010,"10",'LAC 102_Wkst'!$N$7:$N$2010,"P1")+SUMIFS('LAC 102_Wkst'!$AF$7:$AF$2010,'LAC 102_Wkst'!$D$7:$D$2010,$C$7,'LAC 102_Wkst'!$I$7:$I$2010,$C$9,'LAC 102_Wkst'!$E$7:$E$2010,$C61,'LAC 102_Wkst'!$G$7:$G$2010,$D61,'LAC 102_Wkst'!$L$7:$L$2010,"10",'LAC 102_Wkst'!$N$7:$N$2010,"P2")+SUMIFS('LAC 102_Wkst'!$AF$7:$AF$2010,'LAC 102_Wkst'!$D$7:$D$2010,$C$7,'LAC 102_Wkst'!$I$7:$I$2010,$C$9,'LAC 102_Wkst'!$E$7:$E$2010,$C61,'LAC 102_Wkst'!$G$7:$G$2010,$D61,'LAC 102_Wkst'!$L$7:$L$2010,"10",'LAC 102_Wkst'!$N$7:$N$2010,"P3")+SUMIFS('LAC 102_Wkst'!$AF$7:$AF$2010,'LAC 102_Wkst'!$D$7:$D$2010,$C$7,'LAC 102_Wkst'!$I$7:$I$2010,$C$9,'LAC 102_Wkst'!$E$7:$E$2010,$C61,'LAC 102_Wkst'!$G$7:$G$2010,$D61,'LAC 102_Wkst'!$L$7:$L$2010,"10",'LAC 102_Wkst'!$N$7:$N$2010,"P4")</f>
        <v>0</v>
      </c>
      <c r="AR61" s="410">
        <f>SUMIFS('LAC 102_Wkst'!$Q$7:$Q$2010,'LAC 102_Wkst'!$D$7:$D$2010,$C$7,'LAC 102_Wkst'!$I$7:$I$2010,$C$9,'LAC 102_Wkst'!$E$7:$E$2010,$C61,'LAC 102_Wkst'!$G$7:$G$2010,$D61,'LAC 102_Wkst'!$L$7:$L$2010,"10",'LAC 102_Wkst'!$N$7:$N$2010,"P5")</f>
        <v>0</v>
      </c>
      <c r="AS61" s="411">
        <f>SUMIFS('LAC 102_Wkst'!$AF$7:$AF$2010,'LAC 102_Wkst'!$D$7:$D$2010,$C$7,'LAC 102_Wkst'!$I$7:$I$2010,$C$9,'LAC 102_Wkst'!$E$7:$E$2010,$C61,'LAC 102_Wkst'!$G$7:$G$2010,$D61,'LAC 102_Wkst'!$L$7:$L$2010,"10",'LAC 102_Wkst'!$N$7:$N$2010,"P5")</f>
        <v>0</v>
      </c>
      <c r="AT61" s="410">
        <f>SUMIFS('LAC 102_Wkst'!$Q$7:$Q$2010,'LAC 102_Wkst'!$D$7:$D$2010,$C$7,'LAC 102_Wkst'!$I$7:$I$2010,$C$9,'LAC 102_Wkst'!$E$7:$E$2010,$C61,'LAC 102_Wkst'!$G$7:$G$2010,$D61,'LAC 102_Wkst'!$L$7:$L$2010,"11",'LAC 102_Wkst'!$N$7:$N$2010,"P1")+SUMIFS('LAC 102_Wkst'!$Q$7:$Q$2010,'LAC 102_Wkst'!$D$7:$D$2010,$C$7,'LAC 102_Wkst'!$I$7:$I$2010,$C$9,'LAC 102_Wkst'!$E$7:$E$2010,$C61,'LAC 102_Wkst'!$G$7:$G$2010,$D61,'LAC 102_Wkst'!$L$7:$L$2010,"12",'LAC 102_Wkst'!$N$7:$N$2010,"P1")</f>
        <v>0</v>
      </c>
      <c r="AU61" s="411">
        <f>SUMIFS('LAC 102_Wkst'!$Q$7:$Q$2010,'LAC 102_Wkst'!$D$7:$D$2010,$C$7,'LAC 102_Wkst'!$I$7:$I$2010,$C$9,'LAC 102_Wkst'!$E$7:$E$2010,$C61,'LAC 102_Wkst'!$G$7:$G$2010,$D61,'LAC 102_Wkst'!$L$7:$L$2010,"13",'LAC 102_Wkst'!$N$7:$N$2010,"P5")</f>
        <v>0</v>
      </c>
      <c r="AV61" s="410">
        <f>SUMIFS('LAC 102_Wkst'!$Q$7:$Q$2010,'LAC 102_Wkst'!$D$7:$D$2010,$C$7,'LAC 102_Wkst'!$I$7:$I$2010,$C$9,'LAC 102_Wkst'!$E$7:$E$2010,$C61,'LAC 102_Wkst'!$G$7:$G$2010,$D61,'LAC 102_Wkst'!$L$7:$L$2010,"11",'LAC 102_Wkst'!$N$7:$N$2010,"P2")+SUMIFS('LAC 102_Wkst'!$Q$7:$Q$2010,'LAC 102_Wkst'!$D$7:$D$2010,$C$7,'LAC 102_Wkst'!$I$7:$I$2010,$C$9,'LAC 102_Wkst'!$E$7:$E$2010,$C61,'LAC 102_Wkst'!$G$7:$G$2010,$D61,'LAC 102_Wkst'!$L$7:$L$2010,"12",'LAC 102_Wkst'!$N$7:$N$2010,"P2")+SUMIFS('LAC 102_Wkst'!$Q$7:$Q$2010,'LAC 102_Wkst'!$D$7:$D$2010,$C$7,'LAC 102_Wkst'!$I$7:$I$2010,$C$9,'LAC 102_Wkst'!$E$7:$E$2010,$C61,'LAC 102_Wkst'!$G$7:$G$2010,$D61,'LAC 102_Wkst'!$L$7:$L$2010,"11",'LAC 102_Wkst'!$N$7:$N$2010,"P3")+SUMIFS('LAC 102_Wkst'!$Q$7:$Q$2010,'LAC 102_Wkst'!$D$7:$D$2010,$C$7,'LAC 102_Wkst'!$I$7:$I$2010,$C$9,'LAC 102_Wkst'!$E$7:$E$2010,$C61,'LAC 102_Wkst'!$G$7:$G$2010,$D61,'LAC 102_Wkst'!$L$7:$L$2010,"12",'LAC 102_Wkst'!$N$7:$N$2010,"P3")</f>
        <v>0</v>
      </c>
      <c r="AW61" s="411">
        <f>SUMIFS('LAC 102_Wkst'!$AF$7:$AF$2010,'LAC 102_Wkst'!$D$7:$D$2010,$C$7,'LAC 102_Wkst'!$I$7:$I$2010,$C$9,'LAC 102_Wkst'!$E$7:$E$2010,$C61,'LAC 102_Wkst'!$G$7:$G$2010,$D61,'LAC 102_Wkst'!$L$7:$L$2010,"11",'LAC 102_Wkst'!$N$7:$N$2010,"P2")+SUMIFS('LAC 102_Wkst'!$AF$7:$AF$2010,'LAC 102_Wkst'!$D$7:$D$2010,$C$7,'LAC 102_Wkst'!$I$7:$I$2010,$C$9,'LAC 102_Wkst'!$E$7:$E$2010,$C61,'LAC 102_Wkst'!$G$7:$G$2010,$D61,'LAC 102_Wkst'!$L$7:$L$2010,"12",'LAC 102_Wkst'!$N$7:$N$2010,"P2")+SUMIFS('LAC 102_Wkst'!$AF$7:$AF$2010,'LAC 102_Wkst'!$D$7:$D$2010,$C$7,'LAC 102_Wkst'!$I$7:$I$2010,$C$9,'LAC 102_Wkst'!$E$7:$E$2010,$C61,'LAC 102_Wkst'!$G$7:$G$2010,$D61,'LAC 102_Wkst'!$L$7:$L$2010,"11",'LAC 102_Wkst'!$N$7:$N$2010,"P3")+SUMIFS('LAC 102_Wkst'!$AF$7:$AF$2010,'LAC 102_Wkst'!$D$7:$D$2010,$C$7,'LAC 102_Wkst'!$I$7:$I$2010,$C$9,'LAC 102_Wkst'!$E$7:$E$2010,$C61,'LAC 102_Wkst'!$G$7:$G$2010,$D61,'LAC 102_Wkst'!$L$7:$L$2010,"12",'LAC 102_Wkst'!$N$7:$N$2010,"P3")</f>
        <v>0</v>
      </c>
      <c r="AX61" s="410">
        <f>SUMIFS('LAC 102_Wkst'!$Q$7:$Q$2010,'LAC 102_Wkst'!$D$7:$D$2010,$C$7,'LAC 102_Wkst'!$I$7:$I$2010,$C$9,'LAC 102_Wkst'!$E$7:$E$2010,$C61,'LAC 102_Wkst'!$G$7:$G$2010,$D61,'LAC 102_Wkst'!$L$7:$L$2010,"11",'LAC 102_Wkst'!$N$7:$N$2010,"P4")+SUMIFS('LAC 102_Wkst'!$Q$7:$Q$2010,'LAC 102_Wkst'!$D$7:$D$2010,$C$7,'LAC 102_Wkst'!$I$7:$I$2010,$C$9,'LAC 102_Wkst'!$E$7:$E$2010,$C61,'LAC 102_Wkst'!$G$7:$G$2010,$D61,'LAC 102_Wkst'!$L$7:$L$2010,"12",'LAC 102_Wkst'!$N$7:$N$2010,"P4")</f>
        <v>0</v>
      </c>
      <c r="AY61" s="411">
        <f>SUMIFS('LAC 102_Wkst'!$AF$7:$AF$2010,'LAC 102_Wkst'!$D$7:$D$2010,$C$7,'LAC 102_Wkst'!$I$7:$I$2010,$C$9,'LAC 102_Wkst'!$E$7:$E$2010,$C61,'LAC 102_Wkst'!$G$7:$G$2010,$D61,'LAC 102_Wkst'!$L$7:$L$2010,"11",'LAC 102_Wkst'!$N$7:$N$2010,"P4")+SUMIFS('LAC 102_Wkst'!$AF$7:$AF$2010,'LAC 102_Wkst'!$D$7:$D$2010,$C$7,'LAC 102_Wkst'!$I$7:$I$2010,$C$9,'LAC 102_Wkst'!$E$7:$E$2010,$C61,'LAC 102_Wkst'!$G$7:$G$2010,$D61,'LAC 102_Wkst'!$L$7:$L$2010,"12",'LAC 102_Wkst'!$N$7:$N$2010,"P4")</f>
        <v>0</v>
      </c>
      <c r="AZ61" s="410">
        <f>SUMIFS('LAC 102_Wkst'!$Q$7:$Q$2010,'LAC 102_Wkst'!$D$7:$D$2010,$C$7,'LAC 102_Wkst'!$I$7:$I$2010,$C$9,'LAC 102_Wkst'!$E$7:$E$2010,$C61,'LAC 102_Wkst'!$G$7:$G$2010,$D61,'LAC 102_Wkst'!$L$7:$L$2010,"11",'LAC 102_Wkst'!$N$7:$N$2010,"P5")+SUMIFS('LAC 102_Wkst'!$Q$7:$Q$2010,'LAC 102_Wkst'!$D$7:$D$2010,$C$7,'LAC 102_Wkst'!$I$7:$I$2010,$C$9,'LAC 102_Wkst'!$E$7:$E$2010,$C61,'LAC 102_Wkst'!$G$7:$G$2010,$D61,'LAC 102_Wkst'!$L$7:$L$2010,"12",'LAC 102_Wkst'!$N$7:$N$2010,"P5")</f>
        <v>0</v>
      </c>
      <c r="BA61" s="411">
        <f>SUMIFS('LAC 102_Wkst'!$AF$7:$AF$2010,'LAC 102_Wkst'!$D$7:$D$2010,$C$7,'LAC 102_Wkst'!$I$7:$I$2010,$C$9,'LAC 102_Wkst'!$E$7:$E$2010,$C61,'LAC 102_Wkst'!$G$7:$G$2010,$D61,'LAC 102_Wkst'!$L$7:$L$2010,"11",'LAC 102_Wkst'!$N$7:$N$2010,"P5")+SUMIFS('LAC 102_Wkst'!$AF$7:$AF$2010,'LAC 102_Wkst'!$D$7:$D$2010,$C$7,'LAC 102_Wkst'!$I$7:$I$2010,$C$9,'LAC 102_Wkst'!$E$7:$E$2010,$C61,'LAC 102_Wkst'!$G$7:$G$2010,$D61,'LAC 102_Wkst'!$L$7:$L$2010,"12",'LAC 102_Wkst'!$N$7:$N$2010,"P5")</f>
        <v>0</v>
      </c>
      <c r="BB61" s="410">
        <f>SUMIFS('LAC 102_Wkst'!$Q$7:$Q$2010,'LAC 102_Wkst'!$D$7:$D$2010,$C$7,'LAC 102_Wkst'!$I$7:$I$2010,$C$9,'LAC 102_Wkst'!$E$7:$E$2010,$C61,'LAC 102_Wkst'!$G$7:$G$2010,$D61,'LAC 102_Wkst'!$L$7:$L$2010,"13",'LAC 102_Wkst'!$N$7:$N$2010,"P1")+SUMIFS('LAC 102_Wkst'!$Q$7:$Q$2010,'LAC 102_Wkst'!$D$7:$D$2010,$C$7,'LAC 102_Wkst'!$I$7:$I$2010,$C$9,'LAC 102_Wkst'!$E$7:$E$2010,$C61,'LAC 102_Wkst'!$G$7:$G$2010,$D61,'LAC 102_Wkst'!$L$7:$L$2010,"13",'LAC 102_Wkst'!$N$7:$N$2010,"P2")+SUMIFS('LAC 102_Wkst'!$Q$7:$Q$2010,'LAC 102_Wkst'!$D$7:$D$2010,$C$7,'LAC 102_Wkst'!$I$7:$I$2010,$C$9,'LAC 102_Wkst'!$E$7:$E$2010,$C61,'LAC 102_Wkst'!$G$7:$G$2010,$D61,'LAC 102_Wkst'!$L$7:$L$2010,"13",'LAC 102_Wkst'!$N$7:$N$2010,"P3")+SUMIFS('LAC 102_Wkst'!$Q$7:$Q$2010,'LAC 102_Wkst'!$D$7:$D$2010,$C$7,'LAC 102_Wkst'!$I$7:$I$2010,$C$9,'LAC 102_Wkst'!$E$7:$E$2010,$C61,'LAC 102_Wkst'!$G$7:$G$2010,$D61,'LAC 102_Wkst'!$L$7:$L$2010,"13",'LAC 102_Wkst'!$N$7:$N$2010,"P4")</f>
        <v>0</v>
      </c>
      <c r="BC61" s="411">
        <f>SUMIFS('LAC 102_Wkst'!$AF$7:$AF$2010,'LAC 102_Wkst'!$D$7:$D$2010,$C$7,'LAC 102_Wkst'!$I$7:$I$2010,$C$9,'LAC 102_Wkst'!$E$7:$E$2010,$C61,'LAC 102_Wkst'!$G$7:$G$2010,$D61,'LAC 102_Wkst'!$L$7:$L$2010,"13",'LAC 102_Wkst'!$N$7:$N$2010,"P1")+SUMIFS('LAC 102_Wkst'!$AF$7:$AF$2010,'LAC 102_Wkst'!$D$7:$D$2010,$C$7,'LAC 102_Wkst'!$I$7:$I$2010,$C$9,'LAC 102_Wkst'!$E$7:$E$2010,$C61,'LAC 102_Wkst'!$G$7:$G$2010,$D61,'LAC 102_Wkst'!$L$7:$L$2010,"13",'LAC 102_Wkst'!$N$7:$N$2010,"P2")+SUMIFS('LAC 102_Wkst'!$AF$7:$AF$2010,'LAC 102_Wkst'!$D$7:$D$2010,$C$7,'LAC 102_Wkst'!$I$7:$I$2010,$C$9,'LAC 102_Wkst'!$E$7:$E$2010,$C61,'LAC 102_Wkst'!$G$7:$G$2010,$D61,'LAC 102_Wkst'!$L$7:$L$2010,"13",'LAC 102_Wkst'!$N$7:$N$2010,"P3")+SUMIFS('LAC 102_Wkst'!$AF$7:$AF$2010,'LAC 102_Wkst'!$D$7:$D$2010,$C$7,'LAC 102_Wkst'!$I$7:$I$2010,$C$9,'LAC 102_Wkst'!$E$7:$E$2010,$C61,'LAC 102_Wkst'!$G$7:$G$2010,$D61,'LAC 102_Wkst'!$L$7:$L$2010,"13",'LAC 102_Wkst'!$N$7:$N$2010,"P4")</f>
        <v>0</v>
      </c>
      <c r="BD61" s="410">
        <f>SUMIFS('LAC 102_Wkst'!$Q$7:$Q$2010,'LAC 102_Wkst'!$D$7:$D$2010,$C$7,'LAC 102_Wkst'!$I$7:$I$2010,$C$9,'LAC 102_Wkst'!$E$7:$E$2010,$C61,'LAC 102_Wkst'!$G$7:$G$2010,$D61,'LAC 102_Wkst'!$L$7:$L$2010,"13",'LAC 102_Wkst'!$N$7:$N$2010,"P5")</f>
        <v>0</v>
      </c>
      <c r="BE61" s="411">
        <f>SUMIFS('LAC 102_Wkst'!$AF$7:$AF$2010,'LAC 102_Wkst'!$D$7:$D$2010,$C$7,'LAC 102_Wkst'!$I$7:$I$2010,$C$9,'LAC 102_Wkst'!$E$7:$E$2010,$C61,'LAC 102_Wkst'!$G$7:$G$2010,$D61,'LAC 102_Wkst'!$L$7:$L$2010,"13",'LAC 102_Wkst'!$N$7:$N$2010,"P5")</f>
        <v>0</v>
      </c>
      <c r="BF61" s="407">
        <f t="shared" si="4"/>
        <v>0</v>
      </c>
      <c r="BG61" s="1654">
        <f>SUMIFS('LAC 102_Wkst'!$AF$7:$AF$2010,'LAC 102_Wkst'!$D$7:$D$2010,$C$7,'LAC 102_Wkst'!$I$7:$I$2010,$C$9,'LAC 102_Wkst'!$E$7:$E$2010,$C61,'LAC 102_Wkst'!$G$7:$G$2010,$D61,'LAC 102_Wkst'!$L$7:$L$2010,"14")</f>
        <v>0</v>
      </c>
    </row>
    <row r="62" spans="1:59" x14ac:dyDescent="0.2">
      <c r="A62" s="401">
        <v>40</v>
      </c>
      <c r="B62" s="1678" t="str">
        <f>IF(Schedule_B!B$59="","",Schedule_B!B$59)</f>
        <v/>
      </c>
      <c r="C62" s="1674" t="str">
        <f>IF(Schedule_B!C$59=""," ",Schedule_B!C$59)</f>
        <v xml:space="preserve"> </v>
      </c>
      <c r="D62" s="1675" t="str">
        <f>IF(Schedule_B!D$59=""," ",Schedule_B!D$59)</f>
        <v xml:space="preserve"> </v>
      </c>
      <c r="E62" s="1221">
        <f>SUMIFS('LAC 102_Wkst'!$Q$7:$Q$2010,'LAC 102_Wkst'!$D$7:$D$2010,$C$7,'LAC 102_Wkst'!$I$7:$I$2010,$C$9,'LAC 102_Wkst'!$E$7:$E$2010,$C62,'LAC 102_Wkst'!$G$7:$G$2010,$D62)</f>
        <v>0</v>
      </c>
      <c r="F62" s="408">
        <f>SUMIFS('LAC 102_Wkst'!$Q$7:$Q$2010,'LAC 102_Wkst'!$D$7:$D$2010,$C$7,'LAC 102_Wkst'!$I$7:$I$2010,$C$9,'LAC 102_Wkst'!$E$7:$E$2010,$C62,'LAC 102_Wkst'!$G$7:$G$2010,$D62,'LAC 102_Wkst'!$L$7:$L$2010,"01",'LAC 102_Wkst'!$N$7:$N$2010,"P1")+SUMIFS('LAC 102_Wkst'!$Q$7:$Q$2010,'LAC 102_Wkst'!$D$7:$D$2010,$C$7,'LAC 102_Wkst'!$I$7:$I$2010,$C$9,'LAC 102_Wkst'!$E$7:$E$2010,$C62,'LAC 102_Wkst'!$G$7:$G$2010,$D62,'LAC 102_Wkst'!$L$7:$L$2010,"01",'LAC 102_Wkst'!$N$7:$N$2010,"P2")+SUMIFS('LAC 102_Wkst'!$Q$7:$Q$2010,'LAC 102_Wkst'!$D$7:$D$2010,$C$7,'LAC 102_Wkst'!$I$7:$I$2010,$C$9,'LAC 102_Wkst'!$E$7:$E$2010,$C62,'LAC 102_Wkst'!$G$7:$G$2010,$D62,'LAC 102_Wkst'!$L$7:$L$2010,"01",'LAC 102_Wkst'!$N$7:$N$2010,"P3")+SUMIFS('LAC 102_Wkst'!$Q$7:$Q$2010,'LAC 102_Wkst'!$D$7:$D$2010,$C$7,'LAC 102_Wkst'!$I$7:$I$2010,$C$9,'LAC 102_Wkst'!$E$7:$E$2010,$C62,'LAC 102_Wkst'!$G$7:$G$2010,$D62,'LAC 102_Wkst'!$L$7:$L$2010,"02",'LAC 102_Wkst'!$N$7:$N$2010,"P1")+SUMIFS('LAC 102_Wkst'!$Q$7:$Q$2010,'LAC 102_Wkst'!$D$7:$D$2010,$C$7,'LAC 102_Wkst'!$I$7:$I$2010,$C$9,'LAC 102_Wkst'!$E$7:$E$2010,$C62,'LAC 102_Wkst'!$G$7:$G$2010,$D62,'LAC 102_Wkst'!$L$7:$L$2010,"02",'LAC 102_Wkst'!$N$7:$N$2010,"P2")+SUMIFS('LAC 102_Wkst'!$Q$7:$Q$2010,'LAC 102_Wkst'!$D$7:$D$2010,$C$7,'LAC 102_Wkst'!$I$7:$I$2010,$C$9,'LAC 102_Wkst'!$E$7:$E$2010,$C62,'LAC 102_Wkst'!$G$7:$G$2010,$D62,'LAC 102_Wkst'!$L$7:$L$2010,"02",'LAC 102_Wkst'!$N$7:$N$2010,"P3")</f>
        <v>0</v>
      </c>
      <c r="G62" s="409">
        <f>SUMIFS('LAC 102_Wkst'!$AF$7:$AF$2010,'LAC 102_Wkst'!$D$7:$D$2010,$C$7,'LAC 102_Wkst'!$I$7:$I$2010,$C$9,'LAC 102_Wkst'!$E$7:$E$2010,$C62,'LAC 102_Wkst'!$G$7:$G$2010,$D62,'LAC 102_Wkst'!$L$7:$L$2010,"01",'LAC 102_Wkst'!$N$7:$N$2010,"P1")+SUMIFS('LAC 102_Wkst'!$AF$7:$AF$2010,'LAC 102_Wkst'!$D$7:$D$2010,$C$7,'LAC 102_Wkst'!$I$7:$I$2010,$C$9,'LAC 102_Wkst'!$E$7:$E$2010,$C62,'LAC 102_Wkst'!$G$7:$G$2010,$D62,'LAC 102_Wkst'!$L$7:$L$2010,"01",'LAC 102_Wkst'!$N$7:$N$2010,"P2")+SUMIFS('LAC 102_Wkst'!$AF$7:$AF$2010,'LAC 102_Wkst'!$D$7:$D$2010,$C$7,'LAC 102_Wkst'!$I$7:$I$2010,$C$9,'LAC 102_Wkst'!$E$7:$E$2010,$C62,'LAC 102_Wkst'!$G$7:$G$2010,$D62,'LAC 102_Wkst'!$L$7:$L$2010,"01",'LAC 102_Wkst'!$N$7:$N$2010,"P3")+SUMIFS('LAC 102_Wkst'!$AF$7:$AF$2010,'LAC 102_Wkst'!$D$7:$D$2010,$C$7,'LAC 102_Wkst'!$I$7:$I$2010,$C$9,'LAC 102_Wkst'!$E$7:$E$2010,$C62,'LAC 102_Wkst'!$G$7:$G$2010,$D62,'LAC 102_Wkst'!$L$7:$L$2010,"02",'LAC 102_Wkst'!$N$7:$N$2010,"P1")+SUMIFS('LAC 102_Wkst'!$AF$7:$AF$2010,'LAC 102_Wkst'!$D$7:$D$2010,$C$7,'LAC 102_Wkst'!$I$7:$I$2010,$C$9,'LAC 102_Wkst'!$E$7:$E$2010,$C62,'LAC 102_Wkst'!$G$7:$G$2010,$D62,'LAC 102_Wkst'!$L$7:$L$2010,"02",'LAC 102_Wkst'!$N$7:$N$2010,"P2")+SUMIFS('LAC 102_Wkst'!$AF$7:$AF$2010,'LAC 102_Wkst'!$D$7:$D$2010,$C$7,'LAC 102_Wkst'!$I$7:$I$2010,$C$9,'LAC 102_Wkst'!$E$7:$E$2010,$C62,'LAC 102_Wkst'!$G$7:$G$2010,$D62,'LAC 102_Wkst'!$L$7:$L$2010,"02",'LAC 102_Wkst'!$N$7:$N$2010,"P3")</f>
        <v>0</v>
      </c>
      <c r="H62" s="410">
        <f>SUMIFS('LAC 102_Wkst'!$Q$7:$Q$2010,'LAC 102_Wkst'!$D$7:$D$2010,$C$7,'LAC 102_Wkst'!$I$7:$I$2010,$C$9,'LAC 102_Wkst'!$E$7:$E$2010,$C62,'LAC 102_Wkst'!$G$7:$G$2010,$D62,'LAC 102_Wkst'!$L$7:$L$2010,"01",'LAC 102_Wkst'!$N$7:$N$2010,"P4")+SUMIFS('LAC 102_Wkst'!$Q$7:$Q$2010,'LAC 102_Wkst'!$D$7:$D$2010,$C$7,'LAC 102_Wkst'!$I$7:$I$2010,$C$9,'LAC 102_Wkst'!$E$7:$E$2010,$C62,'LAC 102_Wkst'!$G$7:$G$2010,$D62,'LAC 102_Wkst'!$L$7:$L$2010,"02",'LAC 102_Wkst'!$N$7:$N$2010,"P4")</f>
        <v>0</v>
      </c>
      <c r="I62" s="411">
        <f>SUMIFS('LAC 102_Wkst'!$AF$7:$AF$2010,'LAC 102_Wkst'!$D$7:$D$2010,$C$7,'LAC 102_Wkst'!$I$7:$I$2010,$C$9,'LAC 102_Wkst'!$E$7:$E$2010,$C62,'LAC 102_Wkst'!$G$7:$G$2010,$D62,'LAC 102_Wkst'!$L$7:$L$2010,"01",'LAC 102_Wkst'!$N$7:$N$2010,"P4")+SUMIFS('LAC 102_Wkst'!$AF$7:$AF$2010,'LAC 102_Wkst'!$D$7:$D$2010,$C$7,'LAC 102_Wkst'!$I$7:$I$2010,$C$9,'LAC 102_Wkst'!$E$7:$E$2010,$C62,'LAC 102_Wkst'!$G$7:$G$2010,$D62,'LAC 102_Wkst'!$L$7:$L$2010,"02",'LAC 102_Wkst'!$N$7:$N$2010,"P4")</f>
        <v>0</v>
      </c>
      <c r="J62" s="410">
        <f>SUMIFS('LAC 102_Wkst'!$Q$7:$Q$2010,'LAC 102_Wkst'!$D$7:$D$2010,$C$7,'LAC 102_Wkst'!$I$7:$I$2010,$C$9,'LAC 102_Wkst'!$E$7:$E$2010,$C62,'LAC 102_Wkst'!$G$7:$G$2010,$D62,'LAC 102_Wkst'!$L$7:$L$2010,"01",'LAC 102_Wkst'!$N$7:$N$2010,"P5")+SUMIFS('LAC 102_Wkst'!$Q$7:$Q$2010,'LAC 102_Wkst'!$D$7:$D$2010,$C$7,'LAC 102_Wkst'!$I$7:$I$2010,$C$9,'LAC 102_Wkst'!$E$7:$E$2010,$C62,'LAC 102_Wkst'!$G$7:$G$2010,$D62,'LAC 102_Wkst'!$L$7:$L$2010,"02",'LAC 102_Wkst'!$N$7:$N$2010,"P5")</f>
        <v>0</v>
      </c>
      <c r="K62" s="411">
        <f>SUMIFS('LAC 102_Wkst'!$AF$7:$AF$2010,'LAC 102_Wkst'!$D$7:$D$2010,$C$7,'LAC 102_Wkst'!$I$7:$I$2010,$C$9,'LAC 102_Wkst'!$E$7:$E$2010,$C62,'LAC 102_Wkst'!$G$7:$G$2010,$D62,'LAC 102_Wkst'!$L$7:$L$2010,"01",'LAC 102_Wkst'!$N$7:$N$2010,"P5")+SUMIFS('LAC 102_Wkst'!$AF$7:$AF$2010,'LAC 102_Wkst'!$D$7:$D$2010,$C$7,'LAC 102_Wkst'!$I$7:$I$2010,$C$9,'LAC 102_Wkst'!$E$7:$E$2010,$C62,'LAC 102_Wkst'!$G$7:$G$2010,$D62,'LAC 102_Wkst'!$L$7:$L$2010,"02",'LAC 102_Wkst'!$N$7:$N$2010,"P5")</f>
        <v>0</v>
      </c>
      <c r="L62" s="410">
        <f>SUMIFS('LAC 102_Wkst'!$Q$7:$Q$2010,'LAC 102_Wkst'!$D$7:$D$2010,$C$7,'LAC 102_Wkst'!$I$7:$I$2010,$C$9,'LAC 102_Wkst'!$E$7:$E$2010,$C62,'LAC 102_Wkst'!$G$7:$G$2010,$D62,'LAC 102_Wkst'!$L$7:$L$2010,"03",'LAC 102_Wkst'!$N$7:$N$2010,"P1")+SUMIFS('LAC 102_Wkst'!$Q$7:$Q$2010,'LAC 102_Wkst'!$D$7:$D$2010,$C$7,'LAC 102_Wkst'!$I$7:$I$2010,$C$9,'LAC 102_Wkst'!$E$7:$E$2010,$C62,'LAC 102_Wkst'!$G$7:$G$2010,$D62,'LAC 102_Wkst'!$L$7:$L$2010,"03",'LAC 102_Wkst'!$N$7:$N$2010,"P2")+SUMIFS('LAC 102_Wkst'!$Q$7:$Q$2010,'LAC 102_Wkst'!$D$7:$D$2010,$C$7,'LAC 102_Wkst'!$I$7:$I$2010,$C$9,'LAC 102_Wkst'!$E$7:$E$2010,$C62,'LAC 102_Wkst'!$G$7:$G$2010,$D62,'LAC 102_Wkst'!$L$7:$L$2010,"03",'LAC 102_Wkst'!$N$7:$N$2010,"P3")+SUMIFS('LAC 102_Wkst'!$Q$7:$Q$2010,'LAC 102_Wkst'!$D$7:$D$2010,$C$7,'LAC 102_Wkst'!$I$7:$I$2010,$C$9,'LAC 102_Wkst'!$E$7:$E$2010,$C62,'LAC 102_Wkst'!$G$7:$G$2010,$D62,'LAC 102_Wkst'!$L$7:$L$2010,"04",'LAC 102_Wkst'!$N$7:$N$2010,"P1")+SUMIFS('LAC 102_Wkst'!$Q$7:$Q$2010,'LAC 102_Wkst'!$D$7:$D$2010,$C$7,'LAC 102_Wkst'!$I$7:$I$2010,$C$9,'LAC 102_Wkst'!$E$7:$E$2010,$C62,'LAC 102_Wkst'!$G$7:$G$2010,$D62,'LAC 102_Wkst'!$L$7:$L$2010,"04",'LAC 102_Wkst'!$N$7:$N$2010,"P2")+SUMIFS('LAC 102_Wkst'!$Q$7:$Q$2010,'LAC 102_Wkst'!$D$7:$D$2010,$C$7,'LAC 102_Wkst'!$I$7:$I$2010,$C$9,'LAC 102_Wkst'!$E$7:$E$2010,$C62,'LAC 102_Wkst'!$G$7:$G$2010,$D62,'LAC 102_Wkst'!$L$7:$L$2010,"04",'LAC 102_Wkst'!$N$7:$N$2010,"P3")</f>
        <v>0</v>
      </c>
      <c r="M62" s="411">
        <f>SUMIFS('LAC 102_Wkst'!$AF$7:$AF$2010,'LAC 102_Wkst'!$D$7:$D$2010,$C$7,'LAC 102_Wkst'!$I$7:$I$2010,$C$9,'LAC 102_Wkst'!$E$7:$E$2010,$C62,'LAC 102_Wkst'!$G$7:$G$2010,$D62,'LAC 102_Wkst'!$L$7:$L$2010,"03",'LAC 102_Wkst'!$N$7:$N$2010,"P1")+SUMIFS('LAC 102_Wkst'!$AF$7:$AF$2010,'LAC 102_Wkst'!$D$7:$D$2010,$C$7,'LAC 102_Wkst'!$I$7:$I$2010,$C$9,'LAC 102_Wkst'!$E$7:$E$2010,$C62,'LAC 102_Wkst'!$G$7:$G$2010,$D62,'LAC 102_Wkst'!$L$7:$L$2010,"03",'LAC 102_Wkst'!$N$7:$N$2010,"P2")+SUMIFS('LAC 102_Wkst'!$AF$7:$AF$2010,'LAC 102_Wkst'!$D$7:$D$2010,$C$7,'LAC 102_Wkst'!$I$7:$I$2010,$C$9,'LAC 102_Wkst'!$E$7:$E$2010,$C62,'LAC 102_Wkst'!$G$7:$G$2010,$D62,'LAC 102_Wkst'!$L$7:$L$2010,"03",'LAC 102_Wkst'!$N$7:$N$2010,"P3")+SUMIFS('LAC 102_Wkst'!$AF$7:$AF$2010,'LAC 102_Wkst'!$D$7:$D$2010,$C$7,'LAC 102_Wkst'!$I$7:$I$2010,$C$9,'LAC 102_Wkst'!$E$7:$E$2010,$C62,'LAC 102_Wkst'!$G$7:$G$2010,$D62,'LAC 102_Wkst'!$L$7:$L$2010,"04",'LAC 102_Wkst'!$N$7:$N$2010,"P1")+SUMIFS('LAC 102_Wkst'!$AF$7:$AF$2010,'LAC 102_Wkst'!$D$7:$D$2010,$C$7,'LAC 102_Wkst'!$I$7:$I$2010,$C$9,'LAC 102_Wkst'!$E$7:$E$2010,$C62,'LAC 102_Wkst'!$G$7:$G$2010,$D62,'LAC 102_Wkst'!$L$7:$L$2010,"04",'LAC 102_Wkst'!$N$7:$N$2010,"P2")+SUMIFS('LAC 102_Wkst'!$AF$7:$AF$2010,'LAC 102_Wkst'!$D$7:$D$2010,$C$7,'LAC 102_Wkst'!$I$7:$I$2010,$C$9,'LAC 102_Wkst'!$E$7:$E$2010,$C62,'LAC 102_Wkst'!$G$7:$G$2010,$D62,'LAC 102_Wkst'!$L$7:$L$2010,"04",'LAC 102_Wkst'!$N$7:$N$2010,"P3")</f>
        <v>0</v>
      </c>
      <c r="N62" s="410">
        <f>SUMIFS('LAC 102_Wkst'!$Q$7:$Q$2010,'LAC 102_Wkst'!$D$7:$D$2010,$C$7,'LAC 102_Wkst'!$I$7:$I$2010,$C$9,'LAC 102_Wkst'!$E$7:$E$2010,$C62,'LAC 102_Wkst'!$G$7:$G$2010,$D62,'LAC 102_Wkst'!$L$7:$L$2010,"03",'LAC 102_Wkst'!$N$7:$N$2010,"P4")+SUMIFS('LAC 102_Wkst'!$Q$7:$Q$2010,'LAC 102_Wkst'!$D$7:$D$2010,$C$7,'LAC 102_Wkst'!$I$7:$I$2010,$C$9,'LAC 102_Wkst'!$E$7:$E$2010,$C62,'LAC 102_Wkst'!$G$7:$G$2010,$D62,'LAC 102_Wkst'!$L$7:$L$2010,"04",'LAC 102_Wkst'!$N$7:$N$2010,"P4")</f>
        <v>0</v>
      </c>
      <c r="O62" s="411">
        <f>SUMIFS('LAC 102_Wkst'!$AF$7:$AF$2010,'LAC 102_Wkst'!$D$7:$D$2010,$C$7,'LAC 102_Wkst'!$I$7:$I$2010,$C$9,'LAC 102_Wkst'!$E$7:$E$2010,$C62,'LAC 102_Wkst'!$G$7:$G$2010,$D62,'LAC 102_Wkst'!$L$7:$L$2010,"03",'LAC 102_Wkst'!$N$7:$N$2010,"P4")+SUMIFS('LAC 102_Wkst'!$AF$7:$AF$2010,'LAC 102_Wkst'!$D$7:$D$2010,$C$7,'LAC 102_Wkst'!$I$7:$I$2010,$C$9,'LAC 102_Wkst'!$E$7:$E$2010,$C62,'LAC 102_Wkst'!$G$7:$G$2010,$D62,'LAC 102_Wkst'!$L$7:$L$2010,"04",'LAC 102_Wkst'!$N$7:$N$2010,"P4")</f>
        <v>0</v>
      </c>
      <c r="P62" s="410">
        <f>SUMIFS('LAC 102_Wkst'!$Q$7:$Q$2010,'LAC 102_Wkst'!$D$7:$D$2010,$C$7,'LAC 102_Wkst'!$I$7:$I$2010,$C$9,'LAC 102_Wkst'!$E$7:$E$2010,$C62,'LAC 102_Wkst'!$G$7:$G$2010,$D62,'LAC 102_Wkst'!$L$7:$L$2010,"03",'LAC 102_Wkst'!$N$7:$N$2010,"P5")+SUMIFS('LAC 102_Wkst'!$Q$7:$Q$2010,'LAC 102_Wkst'!$D$7:$D$2010,$C$7,'LAC 102_Wkst'!$I$7:$I$2010,$C$9,'LAC 102_Wkst'!$E$7:$E$2010,$C62,'LAC 102_Wkst'!$G$7:$G$2010,$D62,'LAC 102_Wkst'!$L$7:$L$2010,"04",'LAC 102_Wkst'!$N$7:$N$2010,"P5")</f>
        <v>0</v>
      </c>
      <c r="Q62" s="411">
        <f>SUMIFS('LAC 102_Wkst'!$AF$7:$AF$2010,'LAC 102_Wkst'!$D$7:$D$2010,$C$7,'LAC 102_Wkst'!$I$7:$I$2010,$C$9,'LAC 102_Wkst'!$E$7:$E$2010,$C62,'LAC 102_Wkst'!$G$7:$G$2010,$D62,'LAC 102_Wkst'!$L$7:$L$2010,"03",'LAC 102_Wkst'!$N$7:$N$2010,"P5")+SUMIFS('LAC 102_Wkst'!$AF$7:$AF$2010,'LAC 102_Wkst'!$D$7:$D$2010,$C$7,'LAC 102_Wkst'!$I$7:$I$2010,$C$9,'LAC 102_Wkst'!$E$7:$E$2010,$C62,'LAC 102_Wkst'!$G$7:$G$2010,$D62,'LAC 102_Wkst'!$L$7:$L$2010,"04",'LAC 102_Wkst'!$N$7:$N$2010,"P5")</f>
        <v>0</v>
      </c>
      <c r="R62" s="412">
        <f>SUMIFS('LAC 102_Wkst'!$Q$7:$Q$2010,'LAC 102_Wkst'!$D$7:$D$2010,$C$7,'LAC 102_Wkst'!$I$7:$I$2010,$C$9,'LAC 102_Wkst'!$E$7:$E$2010,$C62,'LAC 102_Wkst'!$G$7:$G$2010,$D62,'LAC 102_Wkst'!$L$7:$L$2010,"05",'LAC 102_Wkst'!$N$7:$N$2010,"P1")+SUMIFS('LAC 102_Wkst'!$Q$7:$Q$2010,'LAC 102_Wkst'!$D$7:$D$2010,$C$7,'LAC 102_Wkst'!$I$7:$I$2010,$C$9,'LAC 102_Wkst'!$E$7:$E$2010,$C62,'LAC 102_Wkst'!$G$7:$G$2010,$D62,'LAC 102_Wkst'!$L$7:$L$2010,"06",'LAC 102_Wkst'!$N$7:$N$2010,"P1")</f>
        <v>0</v>
      </c>
      <c r="S62" s="411">
        <f>SUMIFS('LAC 102_Wkst'!$AF$7:$AF$2010,'LAC 102_Wkst'!$D$7:$D$2010,$C$7,'LAC 102_Wkst'!$I$7:$I$2010,$C$9,'LAC 102_Wkst'!$E$7:$E$2010,$C62,'LAC 102_Wkst'!$G$7:$G$2010,$D62,'LAC 102_Wkst'!$L$7:$L$2010,"05",'LAC 102_Wkst'!$N$7:$N$2010,"P1")+SUMIFS('LAC 102_Wkst'!$AF$7:$AF$2010,'LAC 102_Wkst'!$D$7:$D$2010,$C$7,'LAC 102_Wkst'!$I$7:$I$2010,$C$9,'LAC 102_Wkst'!$E$7:$E$2010,$C62,'LAC 102_Wkst'!$G$7:$G$2010,$D62,'LAC 102_Wkst'!$L$7:$L$2010,"06",'LAC 102_Wkst'!$N$7:$N$2010,"P1")</f>
        <v>0</v>
      </c>
      <c r="T62" s="410">
        <f>SUMIFS('LAC 102_Wkst'!$Q$7:$Q$2010,'LAC 102_Wkst'!$D$7:$D$2010,$C$7,'LAC 102_Wkst'!$I$7:$I$2010,$C$9,'LAC 102_Wkst'!$E$7:$E$2010,$C62,'LAC 102_Wkst'!$G$7:$G$2010,$D62,'LAC 102_Wkst'!$L$7:$L$2010,"05",'LAC 102_Wkst'!$N$7:$N$2010,"P2")+SUMIFS('LAC 102_Wkst'!$Q$7:$Q$2010,'LAC 102_Wkst'!$D$7:$D$2010,$C$7,'LAC 102_Wkst'!$I$7:$I$2010,$C$9,'LAC 102_Wkst'!$E$7:$E$2010,$C62,'LAC 102_Wkst'!$G$7:$G$2010,$D62,'LAC 102_Wkst'!$L$7:$L$2010,"06",'LAC 102_Wkst'!$N$7:$N$2010,"P2")+SUMIFS('LAC 102_Wkst'!$Q$7:$Q$2010,'LAC 102_Wkst'!$D$7:$D$2010,$C$7,'LAC 102_Wkst'!$I$7:$I$2010,$C$9,'LAC 102_Wkst'!$E$7:$E$2010,$C62,'LAC 102_Wkst'!$G$7:$G$2010,$D62,'LAC 102_Wkst'!$L$7:$L$2010,"05",'LAC 102_Wkst'!$N$7:$N$2010,"P3")+SUMIFS('LAC 102_Wkst'!$Q$7:$Q$2010,'LAC 102_Wkst'!$D$7:$D$2010,$C$7,'LAC 102_Wkst'!$I$7:$I$2010,$C$9,'LAC 102_Wkst'!$E$7:$E$2010,$C62,'LAC 102_Wkst'!$G$7:$G$2010,$D62,'LAC 102_Wkst'!$L$7:$L$2010,"06",'LAC 102_Wkst'!$N$7:$N$2010,"P3")</f>
        <v>0</v>
      </c>
      <c r="U62" s="411">
        <f>SUMIFS('LAC 102_Wkst'!$AF$7:$AF$2010,'LAC 102_Wkst'!$D$7:$D$2010,$C$7,'LAC 102_Wkst'!$I$7:$I$2010,$C$9,'LAC 102_Wkst'!$E$7:$E$2010,$C62,'LAC 102_Wkst'!$G$7:$G$2010,$D62,'LAC 102_Wkst'!$L$7:$L$2010,"05",'LAC 102_Wkst'!$N$7:$N$2010,"P2")+SUMIFS('LAC 102_Wkst'!$AF$7:$AF$2010,'LAC 102_Wkst'!$D$7:$D$2010,$C$7,'LAC 102_Wkst'!$I$7:$I$2010,$C$9,'LAC 102_Wkst'!$E$7:$E$2010,$C62,'LAC 102_Wkst'!$G$7:$G$2010,$D62,'LAC 102_Wkst'!$L$7:$L$2010,"06",'LAC 102_Wkst'!$N$7:$N$2010,"P2")+SUMIFS('LAC 102_Wkst'!$AF$7:$AF$2010,'LAC 102_Wkst'!$D$7:$D$2010,$C$7,'LAC 102_Wkst'!$I$7:$I$2010,$C$9,'LAC 102_Wkst'!$E$7:$E$2010,$C62,'LAC 102_Wkst'!$G$7:$G$2010,$D62,'LAC 102_Wkst'!$L$7:$L$2010,"05",'LAC 102_Wkst'!$N$7:$N$2010,"P3")+SUMIFS('LAC 102_Wkst'!$AF$7:$AF$2010,'LAC 102_Wkst'!$D$7:$D$2010,$C$7,'LAC 102_Wkst'!$I$7:$I$2010,$C$9,'LAC 102_Wkst'!$E$7:$E$2010,$C62,'LAC 102_Wkst'!$G$7:$G$2010,$D62,'LAC 102_Wkst'!$L$7:$L$2010,"06",'LAC 102_Wkst'!$N$7:$N$2010,"P3")</f>
        <v>0</v>
      </c>
      <c r="V62" s="410">
        <f>SUMIFS('LAC 102_Wkst'!$Q$7:$Q$2010,'LAC 102_Wkst'!$D$7:$D$2010,$C$7,'LAC 102_Wkst'!$I$7:$I$2010,$C$9,'LAC 102_Wkst'!$E$7:$E$2010,$C62,'LAC 102_Wkst'!$G$7:$G$2010,$D62,'LAC 102_Wkst'!$L$7:$L$2010,"05",'LAC 102_Wkst'!$N$7:$N$2010,"P4")+SUMIFS('LAC 102_Wkst'!$Q$7:$Q$2010,'LAC 102_Wkst'!$D$7:$D$2010,$C$7,'LAC 102_Wkst'!$I$7:$I$2010,$C$9,'LAC 102_Wkst'!$E$7:$E$2010,$C62,'LAC 102_Wkst'!$G$7:$G$2010,$D62,'LAC 102_Wkst'!$L$7:$L$2010,"06",'LAC 102_Wkst'!$N$7:$N$2010,"P4")</f>
        <v>0</v>
      </c>
      <c r="W62" s="411">
        <f>SUMIFS('LAC 102_Wkst'!$AF$7:$AF$2010,'LAC 102_Wkst'!$D$7:$D$2010,$C$7,'LAC 102_Wkst'!$I$7:$I$2010,$C$9,'LAC 102_Wkst'!$E$7:$E$2010,$C62,'LAC 102_Wkst'!$G$7:$G$2010,$D62,'LAC 102_Wkst'!$L$7:$L$2010,"05",'LAC 102_Wkst'!$N$7:$N$2010,"P4")+SUMIFS('LAC 102_Wkst'!$AF$7:$AF$2010,'LAC 102_Wkst'!$D$7:$D$2010,$C$7,'LAC 102_Wkst'!$I$7:$I$2010,$C$9,'LAC 102_Wkst'!$E$7:$E$2010,$C62,'LAC 102_Wkst'!$G$7:$G$2010,$D62,'LAC 102_Wkst'!$L$7:$L$2010,"06",'LAC 102_Wkst'!$N$7:$N$2010,"P4")</f>
        <v>0</v>
      </c>
      <c r="X62" s="410">
        <f>SUMIFS('LAC 102_Wkst'!$Q$7:$Q$2010,'LAC 102_Wkst'!$D$7:$D$2010,$C$7,'LAC 102_Wkst'!$I$7:$I$2010,$C$9,'LAC 102_Wkst'!$E$7:$E$2010,$C62,'LAC 102_Wkst'!$G$7:$G$2010,$D62,'LAC 102_Wkst'!$L$7:$L$2010,"05",'LAC 102_Wkst'!$N$7:$N$2010,"P5")+SUMIFS('LAC 102_Wkst'!$Q$7:$Q$2010,'LAC 102_Wkst'!$D$7:$D$2010,$C$7,'LAC 102_Wkst'!$I$7:$I$2010,$C$9,'LAC 102_Wkst'!$E$7:$E$2010,$C62,'LAC 102_Wkst'!$G$7:$G$2010,$D62,'LAC 102_Wkst'!$L$7:$L$2010,"06",'LAC 102_Wkst'!$N$7:$N$2010,"P5")</f>
        <v>0</v>
      </c>
      <c r="Y62" s="411">
        <f>SUMIFS('LAC 102_Wkst'!$AF$7:$AF$2010,'LAC 102_Wkst'!$D$7:$D$2010,$C$7,'LAC 102_Wkst'!$I$7:$I$2010,$C$9,'LAC 102_Wkst'!$E$7:$E$2010,$C62,'LAC 102_Wkst'!$G$7:$G$2010,$D62,'LAC 102_Wkst'!$L$7:$L$2010,"05",'LAC 102_Wkst'!$N$7:$N$2010,"P5")+SUMIFS('LAC 102_Wkst'!$AF$7:$AF$2010,'LAC 102_Wkst'!$D$7:$D$2010,$C$7,'LAC 102_Wkst'!$I$7:$I$2010,$C$9,'LAC 102_Wkst'!$E$7:$E$2010,$C62,'LAC 102_Wkst'!$G$7:$G$2010,$D62,'LAC 102_Wkst'!$L$7:$L$2010,"06",'LAC 102_Wkst'!$N$7:$N$2010,"P5")</f>
        <v>0</v>
      </c>
      <c r="Z62" s="410">
        <f>SUMIFS('LAC 102_Wkst'!$Q$7:$Q$2010,'LAC 102_Wkst'!$D$7:$D$2010,$C$7,'LAC 102_Wkst'!$I$7:$I$2010,$C$9,'LAC 102_Wkst'!$E$7:$E$2010,$C62,'LAC 102_Wkst'!$G$7:$G$2010,$D62,'LAC 102_Wkst'!$L$7:$L$2010,"07",'LAC 102_Wkst'!$N$7:$N$2010,"P1")+SUMIFS('LAC 102_Wkst'!$Q$7:$Q$2010,'LAC 102_Wkst'!$D$7:$D$2010,$C$7,'LAC 102_Wkst'!$I$7:$I$2010,$C$9,'LAC 102_Wkst'!$E$7:$E$2010,$C62,'LAC 102_Wkst'!$G$7:$G$2010,$D62,'LAC 102_Wkst'!$L$7:$L$2010,"07",'LAC 102_Wkst'!$N$7:$N$2010,"P2")+SUMIFS('LAC 102_Wkst'!$Q$7:$Q$2010,'LAC 102_Wkst'!$D$7:$D$2010,$C$7,'LAC 102_Wkst'!$I$7:$I$2010,$C$9,'LAC 102_Wkst'!$E$7:$E$2010,$C62,'LAC 102_Wkst'!$G$7:$G$2010,$D62,'LAC 102_Wkst'!$L$7:$L$2010,"07",'LAC 102_Wkst'!$N$7:$N$2010,"P3")</f>
        <v>0</v>
      </c>
      <c r="AA62" s="411">
        <f>SUMIFS('LAC 102_Wkst'!$AF$7:$AF$2010,'LAC 102_Wkst'!$D$7:$D$2010,$C$7,'LAC 102_Wkst'!$I$7:$I$2010,$C$9,'LAC 102_Wkst'!$E$7:$E$2010,$C62,'LAC 102_Wkst'!$G$7:$G$2010,$D62,'LAC 102_Wkst'!$L$7:$L$2010,"07",'LAC 102_Wkst'!$N$7:$N$2010,"P1")+SUMIFS('LAC 102_Wkst'!$AF$7:$AF$2010,'LAC 102_Wkst'!$D$7:$D$2010,$C$7,'LAC 102_Wkst'!$I$7:$I$2010,$C$9,'LAC 102_Wkst'!$E$7:$E$2010,$C62,'LAC 102_Wkst'!$G$7:$G$2010,$D62,'LAC 102_Wkst'!$L$7:$L$2010,"07",'LAC 102_Wkst'!$N$7:$N$2010,"P2")+SUMIFS('LAC 102_Wkst'!$AF$7:$AF$2010,'LAC 102_Wkst'!$D$7:$D$2010,$C$7,'LAC 102_Wkst'!$I$7:$I$2010,$C$9,'LAC 102_Wkst'!$E$7:$E$2010,$C62,'LAC 102_Wkst'!$G$7:$G$2010,$D62,'LAC 102_Wkst'!$L$7:$L$2010,"07",'LAC 102_Wkst'!$N$7:$N$2010,"P3")</f>
        <v>0</v>
      </c>
      <c r="AB62" s="410">
        <f>SUMIFS('LAC 102_Wkst'!$Q$7:$Q$2010,'LAC 102_Wkst'!$D$7:$D$2010,$C$7,'LAC 102_Wkst'!$I$7:$I$2010,$C$9,'LAC 102_Wkst'!$E$7:$E$2010,$C62,'LAC 102_Wkst'!$G$7:$G$2010,$D62,'LAC 102_Wkst'!$L$7:$L$2010,"07",'LAC 102_Wkst'!$N$7:$N$2010,"P4")</f>
        <v>0</v>
      </c>
      <c r="AC62" s="411">
        <f>SUMIFS('LAC 102_Wkst'!$AF$7:$AF$2010,'LAC 102_Wkst'!$D$7:$D$2010,$C$7,'LAC 102_Wkst'!$I$7:$I$2010,$C$9,'LAC 102_Wkst'!$E$7:$E$2010,$C62,'LAC 102_Wkst'!$G$7:$G$2010,$D62,'LAC 102_Wkst'!$L$7:$L$2010,"07",'LAC 102_Wkst'!$N$7:$N$2010,"P4")</f>
        <v>0</v>
      </c>
      <c r="AD62" s="410">
        <f>SUMIFS('LAC 102_Wkst'!$Q$7:$Q$2010,'LAC 102_Wkst'!$D$7:$D$2010,$C$7,'LAC 102_Wkst'!$I$7:$I$2010,$C$9,'LAC 102_Wkst'!$E$7:$E$2010,$C62,'LAC 102_Wkst'!$G$7:$G$2010,$D62,'LAC 102_Wkst'!$L$7:$L$2010,"07",'LAC 102_Wkst'!$N$7:$N$2010,"P5")</f>
        <v>0</v>
      </c>
      <c r="AE62" s="411">
        <f>SUMIFS('LAC 102_Wkst'!$AF$7:$AF$2010,'LAC 102_Wkst'!$D$7:$D$2010,$C$7,'LAC 102_Wkst'!$I$7:$I$2010,$C$9,'LAC 102_Wkst'!$E$7:$E$2010,$C62,'LAC 102_Wkst'!$G$7:$G$2010,$D62,'LAC 102_Wkst'!$L$7:$L$2010,"07",'LAC 102_Wkst'!$N$7:$N$2010,"P5")</f>
        <v>0</v>
      </c>
      <c r="AF62" s="410">
        <f>SUMIFS('LAC 102_Wkst'!$Q$7:$Q$2010,'LAC 102_Wkst'!$D$7:$D$2010,$C$7,'LAC 102_Wkst'!$I$7:$I$2010,$C$9,'LAC 102_Wkst'!$E$7:$E$2010,$C62,'LAC 102_Wkst'!$G$7:$G$2010,$D62,'LAC 102_Wkst'!$L$7:$L$2010,"08",'LAC 102_Wkst'!$N$7:$N$2010,"P1")+SUMIFS('LAC 102_Wkst'!$Q$7:$Q$2010,'LAC 102_Wkst'!$D$7:$D$2010,$C$7,'LAC 102_Wkst'!$I$7:$I$2010,$C$9,'LAC 102_Wkst'!$E$7:$E$2010,$C62,'LAC 102_Wkst'!$G$7:$G$2010,$D62,'LAC 102_Wkst'!$L$7:$L$2010,"08",'LAC 102_Wkst'!$N$7:$N$2010,"P2")+SUMIFS('LAC 102_Wkst'!$Q$7:$Q$2010,'LAC 102_Wkst'!$D$7:$D$2010,$C$7,'LAC 102_Wkst'!$I$7:$I$2010,$C$9,'LAC 102_Wkst'!$E$7:$E$2010,$C62,'LAC 102_Wkst'!$G$7:$G$2010,$D62,'LAC 102_Wkst'!$L$7:$L$2010,"08",'LAC 102_Wkst'!$N$7:$N$2010,"P3")</f>
        <v>0</v>
      </c>
      <c r="AG62" s="411">
        <f>SUMIFS('LAC 102_Wkst'!$AF$7:$AF$2010,'LAC 102_Wkst'!$D$7:$D$2010,$C$7,'LAC 102_Wkst'!$I$7:$I$2010,$C$9,'LAC 102_Wkst'!$E$7:$E$2010,$C62,'LAC 102_Wkst'!$G$7:$G$2010,$D62,'LAC 102_Wkst'!$L$7:$L$2010,"08",'LAC 102_Wkst'!$N$7:$N$2010,"P1")+SUMIFS('LAC 102_Wkst'!$AF$7:$AF$2010,'LAC 102_Wkst'!$D$7:$D$2010,$C$7,'LAC 102_Wkst'!$I$7:$I$2010,$C$9,'LAC 102_Wkst'!$E$7:$E$2010,$C62,'LAC 102_Wkst'!$G$7:$G$2010,$D62,'LAC 102_Wkst'!$L$7:$L$2010,"08",'LAC 102_Wkst'!$N$7:$N$2010,"P2")+SUMIFS('LAC 102_Wkst'!$AF$7:$AF$2010,'LAC 102_Wkst'!$D$7:$D$2010,$C$7,'LAC 102_Wkst'!$I$7:$I$2010,$C$9,'LAC 102_Wkst'!$E$7:$E$2010,$C62,'LAC 102_Wkst'!$G$7:$G$2010,$D62,'LAC 102_Wkst'!$L$7:$L$2010,"08",'LAC 102_Wkst'!$N$7:$N$2010,"P3")</f>
        <v>0</v>
      </c>
      <c r="AH62" s="410">
        <f>SUMIFS('LAC 102_Wkst'!$Q$7:$Q$2010,'LAC 102_Wkst'!$D$7:$D$2010,$C$7,'LAC 102_Wkst'!$I$7:$I$2010,$C$9,'LAC 102_Wkst'!$E$7:$E$2010,$C62,'LAC 102_Wkst'!$G$7:$G$2010,$D62,'LAC 102_Wkst'!$L$7:$L$2010,"08",'LAC 102_Wkst'!$N$7:$N$2010,"P4")</f>
        <v>0</v>
      </c>
      <c r="AI62" s="411">
        <f>SUMIFS('LAC 102_Wkst'!$AF$7:$AF$2010,'LAC 102_Wkst'!$D$7:$D$2010,$C$7,'LAC 102_Wkst'!$I$7:$I$2010,$C$9,'LAC 102_Wkst'!$E$7:$E$2010,$C62,'LAC 102_Wkst'!$G$7:$G$2010,$D62,'LAC 102_Wkst'!$L$7:$L$2010,"08",'LAC 102_Wkst'!$N$7:$N$2010,"P4")</f>
        <v>0</v>
      </c>
      <c r="AJ62" s="410">
        <f>SUMIFS('LAC 102_Wkst'!$Q$7:$Q$2010,'LAC 102_Wkst'!$D$7:$D$2010,$C$7,'LAC 102_Wkst'!$I$7:$I$2010,$C$9,'LAC 102_Wkst'!$E$7:$E$2010,$C62,'LAC 102_Wkst'!$G$7:$G$2010,$D62,'LAC 102_Wkst'!$L$7:$L$2010,"08",'LAC 102_Wkst'!$N$7:$N$2010,"P5")</f>
        <v>0</v>
      </c>
      <c r="AK62" s="411">
        <f>SUMIFS('LAC 102_Wkst'!$AF$7:$AF$2010,'LAC 102_Wkst'!$D$7:$D$2010,$C$7,'LAC 102_Wkst'!$I$7:$I$2010,$C$9,'LAC 102_Wkst'!$E$7:$E$2010,$C62,'LAC 102_Wkst'!$G$7:$G$2010,$D62,'LAC 102_Wkst'!$L$7:$L$2010,"08",'LAC 102_Wkst'!$N$7:$N$2010,"P5")</f>
        <v>0</v>
      </c>
      <c r="AL62" s="410">
        <f>SUMIFS('LAC 102_Wkst'!$Q$7:$Q$2010,'LAC 102_Wkst'!$D$7:$D$2010,$C$7,'LAC 102_Wkst'!$I$7:$I$2010,$C$9,'LAC 102_Wkst'!$E$7:$E$2010,$C62,'LAC 102_Wkst'!$G$7:$G$2010,$D62,'LAC 102_Wkst'!$L$7:$L$2010,"09",'LAC 102_Wkst'!$N$7:$N$2010,"P1")+SUMIFS('LAC 102_Wkst'!$Q$7:$Q$2010,'LAC 102_Wkst'!$D$7:$D$2010,$C$7,'LAC 102_Wkst'!$I$7:$I$2010,$C$9,'LAC 102_Wkst'!$E$7:$E$2010,$C62,'LAC 102_Wkst'!$G$7:$G$2010,$D62,'LAC 102_Wkst'!$L$7:$L$2010,"09",'LAC 102_Wkst'!$N$7:$N$2010,"P2")+SUMIFS('LAC 102_Wkst'!$Q$7:$Q$2010,'LAC 102_Wkst'!$D$7:$D$2010,$C$7,'LAC 102_Wkst'!$I$7:$I$2010,$C$9,'LAC 102_Wkst'!$E$7:$E$2010,$C62,'LAC 102_Wkst'!$G$7:$G$2010,$D62,'LAC 102_Wkst'!$L$7:$L$2010,"09",'LAC 102_Wkst'!$N$7:$N$2010,"P3")+SUMIFS('LAC 102_Wkst'!$Q$7:$Q$2010,'LAC 102_Wkst'!$D$7:$D$2010,$C$7,'LAC 102_Wkst'!$I$7:$I$2010,$C$9,'LAC 102_Wkst'!$E$7:$E$2010,$C62,'LAC 102_Wkst'!$G$7:$G$2010,$D62,'LAC 102_Wkst'!$L$7:$L$2010,"09",'LAC 102_Wkst'!$N$7:$N$2010,"P4")</f>
        <v>0</v>
      </c>
      <c r="AM62" s="411">
        <f>SUMIFS('LAC 102_Wkst'!$AF$7:$AF$2010,'LAC 102_Wkst'!$D$7:$D$2010,$C$7,'LAC 102_Wkst'!$I$7:$I$2010,$C$9,'LAC 102_Wkst'!$E$7:$E$2010,$C62,'LAC 102_Wkst'!$G$7:$G$2010,$D62,'LAC 102_Wkst'!$L$7:$L$2010,"09",'LAC 102_Wkst'!$N$7:$N$2010,"P1")+SUMIFS('LAC 102_Wkst'!$AF$7:$AF$2010,'LAC 102_Wkst'!$D$7:$D$2010,$C$7,'LAC 102_Wkst'!$I$7:$I$2010,$C$9,'LAC 102_Wkst'!$E$7:$E$2010,$C62,'LAC 102_Wkst'!$G$7:$G$2010,$D62,'LAC 102_Wkst'!$L$7:$L$2010,"09",'LAC 102_Wkst'!$N$7:$N$2010,"P2")+SUMIFS('LAC 102_Wkst'!$AF$7:$AF$2010,'LAC 102_Wkst'!$D$7:$D$2010,$C$7,'LAC 102_Wkst'!$I$7:$I$2010,$C$9,'LAC 102_Wkst'!$E$7:$E$2010,$C62,'LAC 102_Wkst'!$G$7:$G$2010,$D62,'LAC 102_Wkst'!$L$7:$L$2010,"09",'LAC 102_Wkst'!$N$7:$N$2010,"P3")+SUMIFS('LAC 102_Wkst'!$AF$7:$AF$2010,'LAC 102_Wkst'!$D$7:$D$2010,$C$7,'LAC 102_Wkst'!$I$7:$I$2010,$C$9,'LAC 102_Wkst'!$E$7:$E$2010,$C62,'LAC 102_Wkst'!$G$7:$G$2010,$D62,'LAC 102_Wkst'!$L$7:$L$2010,"09",'LAC 102_Wkst'!$N$7:$N$2010,"P4")</f>
        <v>0</v>
      </c>
      <c r="AN62" s="410">
        <f>SUMIFS('LAC 102_Wkst'!$Q$7:$Q$2010,'LAC 102_Wkst'!$D$7:$D$2010,$C$7,'LAC 102_Wkst'!$I$7:$I$2010,$C$9,'LAC 102_Wkst'!$E$7:$E$2010,$C62,'LAC 102_Wkst'!$G$7:$G$2010,$D62,'LAC 102_Wkst'!$L$7:$L$2010,"09",'LAC 102_Wkst'!$N$7:$N$2010,"P5")</f>
        <v>0</v>
      </c>
      <c r="AO62" s="411">
        <f>SUMIFS('LAC 102_Wkst'!$AF$7:$AF$2010,'LAC 102_Wkst'!$D$7:$D$2010,$C$7,'LAC 102_Wkst'!$I$7:$I$2010,$C$9,'LAC 102_Wkst'!$E$7:$E$2010,$C62,'LAC 102_Wkst'!$G$7:$G$2010,$D62,'LAC 102_Wkst'!$L$7:$L$2010,"09",'LAC 102_Wkst'!$N$7:$N$2010,"P5")</f>
        <v>0</v>
      </c>
      <c r="AP62" s="410">
        <f>SUMIFS('LAC 102_Wkst'!$Q$7:$Q$2010,'LAC 102_Wkst'!$D$7:$D$2010,$C$7,'LAC 102_Wkst'!$I$7:$I$2010,$C$9,'LAC 102_Wkst'!$E$7:$E$2010,$C62,'LAC 102_Wkst'!$G$7:$G$2010,$D62,'LAC 102_Wkst'!$L$7:$L$2010,"10",'LAC 102_Wkst'!$N$7:$N$2010,"P1")+SUMIFS('LAC 102_Wkst'!$Q$7:$Q$2010,'LAC 102_Wkst'!$D$7:$D$2010,$C$7,'LAC 102_Wkst'!$I$7:$I$2010,$C$9,'LAC 102_Wkst'!$E$7:$E$2010,$C62,'LAC 102_Wkst'!$G$7:$G$2010,$D62,'LAC 102_Wkst'!$L$7:$L$2010,"10",'LAC 102_Wkst'!$N$7:$N$2010,"P2")+SUMIFS('LAC 102_Wkst'!$Q$7:$Q$2010,'LAC 102_Wkst'!$D$7:$D$2010,$C$7,'LAC 102_Wkst'!$I$7:$I$2010,$C$9,'LAC 102_Wkst'!$E$7:$E$2010,$C62,'LAC 102_Wkst'!$G$7:$G$2010,$D62,'LAC 102_Wkst'!$L$7:$L$2010,"10",'LAC 102_Wkst'!$N$7:$N$2010,"P3")+SUMIFS('LAC 102_Wkst'!$Q$7:$Q$2010,'LAC 102_Wkst'!$D$7:$D$2010,$C$7,'LAC 102_Wkst'!$I$7:$I$2010,$C$9,'LAC 102_Wkst'!$E$7:$E$2010,$C62,'LAC 102_Wkst'!$G$7:$G$2010,$D62,'LAC 102_Wkst'!$L$7:$L$2010,"10",'LAC 102_Wkst'!$N$7:$N$2010,"P4")</f>
        <v>0</v>
      </c>
      <c r="AQ62" s="411">
        <f>SUMIFS('LAC 102_Wkst'!$AF$7:$AF$2010,'LAC 102_Wkst'!$D$7:$D$2010,$C$7,'LAC 102_Wkst'!$I$7:$I$2010,$C$9,'LAC 102_Wkst'!$E$7:$E$2010,$C62,'LAC 102_Wkst'!$G$7:$G$2010,$D62,'LAC 102_Wkst'!$L$7:$L$2010,"10",'LAC 102_Wkst'!$N$7:$N$2010,"P1")+SUMIFS('LAC 102_Wkst'!$AF$7:$AF$2010,'LAC 102_Wkst'!$D$7:$D$2010,$C$7,'LAC 102_Wkst'!$I$7:$I$2010,$C$9,'LAC 102_Wkst'!$E$7:$E$2010,$C62,'LAC 102_Wkst'!$G$7:$G$2010,$D62,'LAC 102_Wkst'!$L$7:$L$2010,"10",'LAC 102_Wkst'!$N$7:$N$2010,"P2")+SUMIFS('LAC 102_Wkst'!$AF$7:$AF$2010,'LAC 102_Wkst'!$D$7:$D$2010,$C$7,'LAC 102_Wkst'!$I$7:$I$2010,$C$9,'LAC 102_Wkst'!$E$7:$E$2010,$C62,'LAC 102_Wkst'!$G$7:$G$2010,$D62,'LAC 102_Wkst'!$L$7:$L$2010,"10",'LAC 102_Wkst'!$N$7:$N$2010,"P3")+SUMIFS('LAC 102_Wkst'!$AF$7:$AF$2010,'LAC 102_Wkst'!$D$7:$D$2010,$C$7,'LAC 102_Wkst'!$I$7:$I$2010,$C$9,'LAC 102_Wkst'!$E$7:$E$2010,$C62,'LAC 102_Wkst'!$G$7:$G$2010,$D62,'LAC 102_Wkst'!$L$7:$L$2010,"10",'LAC 102_Wkst'!$N$7:$N$2010,"P4")</f>
        <v>0</v>
      </c>
      <c r="AR62" s="410">
        <f>SUMIFS('LAC 102_Wkst'!$Q$7:$Q$2010,'LAC 102_Wkst'!$D$7:$D$2010,$C$7,'LAC 102_Wkst'!$I$7:$I$2010,$C$9,'LAC 102_Wkst'!$E$7:$E$2010,$C62,'LAC 102_Wkst'!$G$7:$G$2010,$D62,'LAC 102_Wkst'!$L$7:$L$2010,"10",'LAC 102_Wkst'!$N$7:$N$2010,"P5")</f>
        <v>0</v>
      </c>
      <c r="AS62" s="411">
        <f>SUMIFS('LAC 102_Wkst'!$AF$7:$AF$2010,'LAC 102_Wkst'!$D$7:$D$2010,$C$7,'LAC 102_Wkst'!$I$7:$I$2010,$C$9,'LAC 102_Wkst'!$E$7:$E$2010,$C62,'LAC 102_Wkst'!$G$7:$G$2010,$D62,'LAC 102_Wkst'!$L$7:$L$2010,"10",'LAC 102_Wkst'!$N$7:$N$2010,"P5")</f>
        <v>0</v>
      </c>
      <c r="AT62" s="410">
        <f>SUMIFS('LAC 102_Wkst'!$Q$7:$Q$2010,'LAC 102_Wkst'!$D$7:$D$2010,$C$7,'LAC 102_Wkst'!$I$7:$I$2010,$C$9,'LAC 102_Wkst'!$E$7:$E$2010,$C62,'LAC 102_Wkst'!$G$7:$G$2010,$D62,'LAC 102_Wkst'!$L$7:$L$2010,"11",'LAC 102_Wkst'!$N$7:$N$2010,"P1")+SUMIFS('LAC 102_Wkst'!$Q$7:$Q$2010,'LAC 102_Wkst'!$D$7:$D$2010,$C$7,'LAC 102_Wkst'!$I$7:$I$2010,$C$9,'LAC 102_Wkst'!$E$7:$E$2010,$C62,'LAC 102_Wkst'!$G$7:$G$2010,$D62,'LAC 102_Wkst'!$L$7:$L$2010,"12",'LAC 102_Wkst'!$N$7:$N$2010,"P1")</f>
        <v>0</v>
      </c>
      <c r="AU62" s="411">
        <f>SUMIFS('LAC 102_Wkst'!$Q$7:$Q$2010,'LAC 102_Wkst'!$D$7:$D$2010,$C$7,'LAC 102_Wkst'!$I$7:$I$2010,$C$9,'LAC 102_Wkst'!$E$7:$E$2010,$C62,'LAC 102_Wkst'!$G$7:$G$2010,$D62,'LAC 102_Wkst'!$L$7:$L$2010,"13",'LAC 102_Wkst'!$N$7:$N$2010,"P5")</f>
        <v>0</v>
      </c>
      <c r="AV62" s="410">
        <f>SUMIFS('LAC 102_Wkst'!$Q$7:$Q$2010,'LAC 102_Wkst'!$D$7:$D$2010,$C$7,'LAC 102_Wkst'!$I$7:$I$2010,$C$9,'LAC 102_Wkst'!$E$7:$E$2010,$C62,'LAC 102_Wkst'!$G$7:$G$2010,$D62,'LAC 102_Wkst'!$L$7:$L$2010,"11",'LAC 102_Wkst'!$N$7:$N$2010,"P2")+SUMIFS('LAC 102_Wkst'!$Q$7:$Q$2010,'LAC 102_Wkst'!$D$7:$D$2010,$C$7,'LAC 102_Wkst'!$I$7:$I$2010,$C$9,'LAC 102_Wkst'!$E$7:$E$2010,$C62,'LAC 102_Wkst'!$G$7:$G$2010,$D62,'LAC 102_Wkst'!$L$7:$L$2010,"12",'LAC 102_Wkst'!$N$7:$N$2010,"P2")+SUMIFS('LAC 102_Wkst'!$Q$7:$Q$2010,'LAC 102_Wkst'!$D$7:$D$2010,$C$7,'LAC 102_Wkst'!$I$7:$I$2010,$C$9,'LAC 102_Wkst'!$E$7:$E$2010,$C62,'LAC 102_Wkst'!$G$7:$G$2010,$D62,'LAC 102_Wkst'!$L$7:$L$2010,"11",'LAC 102_Wkst'!$N$7:$N$2010,"P3")+SUMIFS('LAC 102_Wkst'!$Q$7:$Q$2010,'LAC 102_Wkst'!$D$7:$D$2010,$C$7,'LAC 102_Wkst'!$I$7:$I$2010,$C$9,'LAC 102_Wkst'!$E$7:$E$2010,$C62,'LAC 102_Wkst'!$G$7:$G$2010,$D62,'LAC 102_Wkst'!$L$7:$L$2010,"12",'LAC 102_Wkst'!$N$7:$N$2010,"P3")</f>
        <v>0</v>
      </c>
      <c r="AW62" s="411">
        <f>SUMIFS('LAC 102_Wkst'!$AF$7:$AF$2010,'LAC 102_Wkst'!$D$7:$D$2010,$C$7,'LAC 102_Wkst'!$I$7:$I$2010,$C$9,'LAC 102_Wkst'!$E$7:$E$2010,$C62,'LAC 102_Wkst'!$G$7:$G$2010,$D62,'LAC 102_Wkst'!$L$7:$L$2010,"11",'LAC 102_Wkst'!$N$7:$N$2010,"P2")+SUMIFS('LAC 102_Wkst'!$AF$7:$AF$2010,'LAC 102_Wkst'!$D$7:$D$2010,$C$7,'LAC 102_Wkst'!$I$7:$I$2010,$C$9,'LAC 102_Wkst'!$E$7:$E$2010,$C62,'LAC 102_Wkst'!$G$7:$G$2010,$D62,'LAC 102_Wkst'!$L$7:$L$2010,"12",'LAC 102_Wkst'!$N$7:$N$2010,"P2")+SUMIFS('LAC 102_Wkst'!$AF$7:$AF$2010,'LAC 102_Wkst'!$D$7:$D$2010,$C$7,'LAC 102_Wkst'!$I$7:$I$2010,$C$9,'LAC 102_Wkst'!$E$7:$E$2010,$C62,'LAC 102_Wkst'!$G$7:$G$2010,$D62,'LAC 102_Wkst'!$L$7:$L$2010,"11",'LAC 102_Wkst'!$N$7:$N$2010,"P3")+SUMIFS('LAC 102_Wkst'!$AF$7:$AF$2010,'LAC 102_Wkst'!$D$7:$D$2010,$C$7,'LAC 102_Wkst'!$I$7:$I$2010,$C$9,'LAC 102_Wkst'!$E$7:$E$2010,$C62,'LAC 102_Wkst'!$G$7:$G$2010,$D62,'LAC 102_Wkst'!$L$7:$L$2010,"12",'LAC 102_Wkst'!$N$7:$N$2010,"P3")</f>
        <v>0</v>
      </c>
      <c r="AX62" s="410">
        <f>SUMIFS('LAC 102_Wkst'!$Q$7:$Q$2010,'LAC 102_Wkst'!$D$7:$D$2010,$C$7,'LAC 102_Wkst'!$I$7:$I$2010,$C$9,'LAC 102_Wkst'!$E$7:$E$2010,$C62,'LAC 102_Wkst'!$G$7:$G$2010,$D62,'LAC 102_Wkst'!$L$7:$L$2010,"11",'LAC 102_Wkst'!$N$7:$N$2010,"P4")+SUMIFS('LAC 102_Wkst'!$Q$7:$Q$2010,'LAC 102_Wkst'!$D$7:$D$2010,$C$7,'LAC 102_Wkst'!$I$7:$I$2010,$C$9,'LAC 102_Wkst'!$E$7:$E$2010,$C62,'LAC 102_Wkst'!$G$7:$G$2010,$D62,'LAC 102_Wkst'!$L$7:$L$2010,"12",'LAC 102_Wkst'!$N$7:$N$2010,"P4")</f>
        <v>0</v>
      </c>
      <c r="AY62" s="411">
        <f>SUMIFS('LAC 102_Wkst'!$AF$7:$AF$2010,'LAC 102_Wkst'!$D$7:$D$2010,$C$7,'LAC 102_Wkst'!$I$7:$I$2010,$C$9,'LAC 102_Wkst'!$E$7:$E$2010,$C62,'LAC 102_Wkst'!$G$7:$G$2010,$D62,'LAC 102_Wkst'!$L$7:$L$2010,"11",'LAC 102_Wkst'!$N$7:$N$2010,"P4")+SUMIFS('LAC 102_Wkst'!$AF$7:$AF$2010,'LAC 102_Wkst'!$D$7:$D$2010,$C$7,'LAC 102_Wkst'!$I$7:$I$2010,$C$9,'LAC 102_Wkst'!$E$7:$E$2010,$C62,'LAC 102_Wkst'!$G$7:$G$2010,$D62,'LAC 102_Wkst'!$L$7:$L$2010,"12",'LAC 102_Wkst'!$N$7:$N$2010,"P4")</f>
        <v>0</v>
      </c>
      <c r="AZ62" s="410">
        <f>SUMIFS('LAC 102_Wkst'!$Q$7:$Q$2010,'LAC 102_Wkst'!$D$7:$D$2010,$C$7,'LAC 102_Wkst'!$I$7:$I$2010,$C$9,'LAC 102_Wkst'!$E$7:$E$2010,$C62,'LAC 102_Wkst'!$G$7:$G$2010,$D62,'LAC 102_Wkst'!$L$7:$L$2010,"11",'LAC 102_Wkst'!$N$7:$N$2010,"P5")+SUMIFS('LAC 102_Wkst'!$Q$7:$Q$2010,'LAC 102_Wkst'!$D$7:$D$2010,$C$7,'LAC 102_Wkst'!$I$7:$I$2010,$C$9,'LAC 102_Wkst'!$E$7:$E$2010,$C62,'LAC 102_Wkst'!$G$7:$G$2010,$D62,'LAC 102_Wkst'!$L$7:$L$2010,"12",'LAC 102_Wkst'!$N$7:$N$2010,"P5")</f>
        <v>0</v>
      </c>
      <c r="BA62" s="411">
        <f>SUMIFS('LAC 102_Wkst'!$AF$7:$AF$2010,'LAC 102_Wkst'!$D$7:$D$2010,$C$7,'LAC 102_Wkst'!$I$7:$I$2010,$C$9,'LAC 102_Wkst'!$E$7:$E$2010,$C62,'LAC 102_Wkst'!$G$7:$G$2010,$D62,'LAC 102_Wkst'!$L$7:$L$2010,"11",'LAC 102_Wkst'!$N$7:$N$2010,"P5")+SUMIFS('LAC 102_Wkst'!$AF$7:$AF$2010,'LAC 102_Wkst'!$D$7:$D$2010,$C$7,'LAC 102_Wkst'!$I$7:$I$2010,$C$9,'LAC 102_Wkst'!$E$7:$E$2010,$C62,'LAC 102_Wkst'!$G$7:$G$2010,$D62,'LAC 102_Wkst'!$L$7:$L$2010,"12",'LAC 102_Wkst'!$N$7:$N$2010,"P5")</f>
        <v>0</v>
      </c>
      <c r="BB62" s="410">
        <f>SUMIFS('LAC 102_Wkst'!$Q$7:$Q$2010,'LAC 102_Wkst'!$D$7:$D$2010,$C$7,'LAC 102_Wkst'!$I$7:$I$2010,$C$9,'LAC 102_Wkst'!$E$7:$E$2010,$C62,'LAC 102_Wkst'!$G$7:$G$2010,$D62,'LAC 102_Wkst'!$L$7:$L$2010,"13",'LAC 102_Wkst'!$N$7:$N$2010,"P1")+SUMIFS('LAC 102_Wkst'!$Q$7:$Q$2010,'LAC 102_Wkst'!$D$7:$D$2010,$C$7,'LAC 102_Wkst'!$I$7:$I$2010,$C$9,'LAC 102_Wkst'!$E$7:$E$2010,$C62,'LAC 102_Wkst'!$G$7:$G$2010,$D62,'LAC 102_Wkst'!$L$7:$L$2010,"13",'LAC 102_Wkst'!$N$7:$N$2010,"P2")+SUMIFS('LAC 102_Wkst'!$Q$7:$Q$2010,'LAC 102_Wkst'!$D$7:$D$2010,$C$7,'LAC 102_Wkst'!$I$7:$I$2010,$C$9,'LAC 102_Wkst'!$E$7:$E$2010,$C62,'LAC 102_Wkst'!$G$7:$G$2010,$D62,'LAC 102_Wkst'!$L$7:$L$2010,"13",'LAC 102_Wkst'!$N$7:$N$2010,"P3")+SUMIFS('LAC 102_Wkst'!$Q$7:$Q$2010,'LAC 102_Wkst'!$D$7:$D$2010,$C$7,'LAC 102_Wkst'!$I$7:$I$2010,$C$9,'LAC 102_Wkst'!$E$7:$E$2010,$C62,'LAC 102_Wkst'!$G$7:$G$2010,$D62,'LAC 102_Wkst'!$L$7:$L$2010,"13",'LAC 102_Wkst'!$N$7:$N$2010,"P4")</f>
        <v>0</v>
      </c>
      <c r="BC62" s="411">
        <f>SUMIFS('LAC 102_Wkst'!$AF$7:$AF$2010,'LAC 102_Wkst'!$D$7:$D$2010,$C$7,'LAC 102_Wkst'!$I$7:$I$2010,$C$9,'LAC 102_Wkst'!$E$7:$E$2010,$C62,'LAC 102_Wkst'!$G$7:$G$2010,$D62,'LAC 102_Wkst'!$L$7:$L$2010,"13",'LAC 102_Wkst'!$N$7:$N$2010,"P1")+SUMIFS('LAC 102_Wkst'!$AF$7:$AF$2010,'LAC 102_Wkst'!$D$7:$D$2010,$C$7,'LAC 102_Wkst'!$I$7:$I$2010,$C$9,'LAC 102_Wkst'!$E$7:$E$2010,$C62,'LAC 102_Wkst'!$G$7:$G$2010,$D62,'LAC 102_Wkst'!$L$7:$L$2010,"13",'LAC 102_Wkst'!$N$7:$N$2010,"P2")+SUMIFS('LAC 102_Wkst'!$AF$7:$AF$2010,'LAC 102_Wkst'!$D$7:$D$2010,$C$7,'LAC 102_Wkst'!$I$7:$I$2010,$C$9,'LAC 102_Wkst'!$E$7:$E$2010,$C62,'LAC 102_Wkst'!$G$7:$G$2010,$D62,'LAC 102_Wkst'!$L$7:$L$2010,"13",'LAC 102_Wkst'!$N$7:$N$2010,"P3")+SUMIFS('LAC 102_Wkst'!$AF$7:$AF$2010,'LAC 102_Wkst'!$D$7:$D$2010,$C$7,'LAC 102_Wkst'!$I$7:$I$2010,$C$9,'LAC 102_Wkst'!$E$7:$E$2010,$C62,'LAC 102_Wkst'!$G$7:$G$2010,$D62,'LAC 102_Wkst'!$L$7:$L$2010,"13",'LAC 102_Wkst'!$N$7:$N$2010,"P4")</f>
        <v>0</v>
      </c>
      <c r="BD62" s="410">
        <f>SUMIFS('LAC 102_Wkst'!$Q$7:$Q$2010,'LAC 102_Wkst'!$D$7:$D$2010,$C$7,'LAC 102_Wkst'!$I$7:$I$2010,$C$9,'LAC 102_Wkst'!$E$7:$E$2010,$C62,'LAC 102_Wkst'!$G$7:$G$2010,$D62,'LAC 102_Wkst'!$L$7:$L$2010,"13",'LAC 102_Wkst'!$N$7:$N$2010,"P5")</f>
        <v>0</v>
      </c>
      <c r="BE62" s="411">
        <f>SUMIFS('LAC 102_Wkst'!$AF$7:$AF$2010,'LAC 102_Wkst'!$D$7:$D$2010,$C$7,'LAC 102_Wkst'!$I$7:$I$2010,$C$9,'LAC 102_Wkst'!$E$7:$E$2010,$C62,'LAC 102_Wkst'!$G$7:$G$2010,$D62,'LAC 102_Wkst'!$L$7:$L$2010,"13",'LAC 102_Wkst'!$N$7:$N$2010,"P5")</f>
        <v>0</v>
      </c>
      <c r="BF62" s="407">
        <f t="shared" si="4"/>
        <v>0</v>
      </c>
      <c r="BG62" s="1654">
        <f>SUMIFS('LAC 102_Wkst'!$AF$7:$AF$2010,'LAC 102_Wkst'!$D$7:$D$2010,$C$7,'LAC 102_Wkst'!$I$7:$I$2010,$C$9,'LAC 102_Wkst'!$E$7:$E$2010,$C62,'LAC 102_Wkst'!$G$7:$G$2010,$D62,'LAC 102_Wkst'!$L$7:$L$2010,"14")</f>
        <v>0</v>
      </c>
    </row>
    <row r="63" spans="1:59" x14ac:dyDescent="0.2">
      <c r="A63" s="401">
        <v>41</v>
      </c>
      <c r="B63" s="1678" t="str">
        <f>IF(Schedule_B!B$60="","",Schedule_B!B$60)</f>
        <v/>
      </c>
      <c r="C63" s="1674" t="str">
        <f>IF(Schedule_B!C$60=""," ",Schedule_B!C$60)</f>
        <v xml:space="preserve"> </v>
      </c>
      <c r="D63" s="1675" t="str">
        <f>IF(Schedule_B!D$60=""," ",Schedule_B!D$60)</f>
        <v xml:space="preserve"> </v>
      </c>
      <c r="E63" s="1221">
        <f>SUMIFS('LAC 102_Wkst'!$Q$7:$Q$2010,'LAC 102_Wkst'!$D$7:$D$2010,$C$7,'LAC 102_Wkst'!$I$7:$I$2010,$C$9,'LAC 102_Wkst'!$E$7:$E$2010,$C63,'LAC 102_Wkst'!$G$7:$G$2010,$D63)</f>
        <v>0</v>
      </c>
      <c r="F63" s="408">
        <f>SUMIFS('LAC 102_Wkst'!$Q$7:$Q$2010,'LAC 102_Wkst'!$D$7:$D$2010,$C$7,'LAC 102_Wkst'!$I$7:$I$2010,$C$9,'LAC 102_Wkst'!$E$7:$E$2010,$C63,'LAC 102_Wkst'!$G$7:$G$2010,$D63,'LAC 102_Wkst'!$L$7:$L$2010,"01",'LAC 102_Wkst'!$N$7:$N$2010,"P1")+SUMIFS('LAC 102_Wkst'!$Q$7:$Q$2010,'LAC 102_Wkst'!$D$7:$D$2010,$C$7,'LAC 102_Wkst'!$I$7:$I$2010,$C$9,'LAC 102_Wkst'!$E$7:$E$2010,$C63,'LAC 102_Wkst'!$G$7:$G$2010,$D63,'LAC 102_Wkst'!$L$7:$L$2010,"01",'LAC 102_Wkst'!$N$7:$N$2010,"P2")+SUMIFS('LAC 102_Wkst'!$Q$7:$Q$2010,'LAC 102_Wkst'!$D$7:$D$2010,$C$7,'LAC 102_Wkst'!$I$7:$I$2010,$C$9,'LAC 102_Wkst'!$E$7:$E$2010,$C63,'LAC 102_Wkst'!$G$7:$G$2010,$D63,'LAC 102_Wkst'!$L$7:$L$2010,"01",'LAC 102_Wkst'!$N$7:$N$2010,"P3")+SUMIFS('LAC 102_Wkst'!$Q$7:$Q$2010,'LAC 102_Wkst'!$D$7:$D$2010,$C$7,'LAC 102_Wkst'!$I$7:$I$2010,$C$9,'LAC 102_Wkst'!$E$7:$E$2010,$C63,'LAC 102_Wkst'!$G$7:$G$2010,$D63,'LAC 102_Wkst'!$L$7:$L$2010,"02",'LAC 102_Wkst'!$N$7:$N$2010,"P1")+SUMIFS('LAC 102_Wkst'!$Q$7:$Q$2010,'LAC 102_Wkst'!$D$7:$D$2010,$C$7,'LAC 102_Wkst'!$I$7:$I$2010,$C$9,'LAC 102_Wkst'!$E$7:$E$2010,$C63,'LAC 102_Wkst'!$G$7:$G$2010,$D63,'LAC 102_Wkst'!$L$7:$L$2010,"02",'LAC 102_Wkst'!$N$7:$N$2010,"P2")+SUMIFS('LAC 102_Wkst'!$Q$7:$Q$2010,'LAC 102_Wkst'!$D$7:$D$2010,$C$7,'LAC 102_Wkst'!$I$7:$I$2010,$C$9,'LAC 102_Wkst'!$E$7:$E$2010,$C63,'LAC 102_Wkst'!$G$7:$G$2010,$D63,'LAC 102_Wkst'!$L$7:$L$2010,"02",'LAC 102_Wkst'!$N$7:$N$2010,"P3")</f>
        <v>0</v>
      </c>
      <c r="G63" s="409">
        <f>SUMIFS('LAC 102_Wkst'!$AF$7:$AF$2010,'LAC 102_Wkst'!$D$7:$D$2010,$C$7,'LAC 102_Wkst'!$I$7:$I$2010,$C$9,'LAC 102_Wkst'!$E$7:$E$2010,$C63,'LAC 102_Wkst'!$G$7:$G$2010,$D63,'LAC 102_Wkst'!$L$7:$L$2010,"01",'LAC 102_Wkst'!$N$7:$N$2010,"P1")+SUMIFS('LAC 102_Wkst'!$AF$7:$AF$2010,'LAC 102_Wkst'!$D$7:$D$2010,$C$7,'LAC 102_Wkst'!$I$7:$I$2010,$C$9,'LAC 102_Wkst'!$E$7:$E$2010,$C63,'LAC 102_Wkst'!$G$7:$G$2010,$D63,'LAC 102_Wkst'!$L$7:$L$2010,"01",'LAC 102_Wkst'!$N$7:$N$2010,"P2")+SUMIFS('LAC 102_Wkst'!$AF$7:$AF$2010,'LAC 102_Wkst'!$D$7:$D$2010,$C$7,'LAC 102_Wkst'!$I$7:$I$2010,$C$9,'LAC 102_Wkst'!$E$7:$E$2010,$C63,'LAC 102_Wkst'!$G$7:$G$2010,$D63,'LAC 102_Wkst'!$L$7:$L$2010,"01",'LAC 102_Wkst'!$N$7:$N$2010,"P3")+SUMIFS('LAC 102_Wkst'!$AF$7:$AF$2010,'LAC 102_Wkst'!$D$7:$D$2010,$C$7,'LAC 102_Wkst'!$I$7:$I$2010,$C$9,'LAC 102_Wkst'!$E$7:$E$2010,$C63,'LAC 102_Wkst'!$G$7:$G$2010,$D63,'LAC 102_Wkst'!$L$7:$L$2010,"02",'LAC 102_Wkst'!$N$7:$N$2010,"P1")+SUMIFS('LAC 102_Wkst'!$AF$7:$AF$2010,'LAC 102_Wkst'!$D$7:$D$2010,$C$7,'LAC 102_Wkst'!$I$7:$I$2010,$C$9,'LAC 102_Wkst'!$E$7:$E$2010,$C63,'LAC 102_Wkst'!$G$7:$G$2010,$D63,'LAC 102_Wkst'!$L$7:$L$2010,"02",'LAC 102_Wkst'!$N$7:$N$2010,"P2")+SUMIFS('LAC 102_Wkst'!$AF$7:$AF$2010,'LAC 102_Wkst'!$D$7:$D$2010,$C$7,'LAC 102_Wkst'!$I$7:$I$2010,$C$9,'LAC 102_Wkst'!$E$7:$E$2010,$C63,'LAC 102_Wkst'!$G$7:$G$2010,$D63,'LAC 102_Wkst'!$L$7:$L$2010,"02",'LAC 102_Wkst'!$N$7:$N$2010,"P3")</f>
        <v>0</v>
      </c>
      <c r="H63" s="410">
        <f>SUMIFS('LAC 102_Wkst'!$Q$7:$Q$2010,'LAC 102_Wkst'!$D$7:$D$2010,$C$7,'LAC 102_Wkst'!$I$7:$I$2010,$C$9,'LAC 102_Wkst'!$E$7:$E$2010,$C63,'LAC 102_Wkst'!$G$7:$G$2010,$D63,'LAC 102_Wkst'!$L$7:$L$2010,"01",'LAC 102_Wkst'!$N$7:$N$2010,"P4")+SUMIFS('LAC 102_Wkst'!$Q$7:$Q$2010,'LAC 102_Wkst'!$D$7:$D$2010,$C$7,'LAC 102_Wkst'!$I$7:$I$2010,$C$9,'LAC 102_Wkst'!$E$7:$E$2010,$C63,'LAC 102_Wkst'!$G$7:$G$2010,$D63,'LAC 102_Wkst'!$L$7:$L$2010,"02",'LAC 102_Wkst'!$N$7:$N$2010,"P4")</f>
        <v>0</v>
      </c>
      <c r="I63" s="411">
        <f>SUMIFS('LAC 102_Wkst'!$AF$7:$AF$2010,'LAC 102_Wkst'!$D$7:$D$2010,$C$7,'LAC 102_Wkst'!$I$7:$I$2010,$C$9,'LAC 102_Wkst'!$E$7:$E$2010,$C63,'LAC 102_Wkst'!$G$7:$G$2010,$D63,'LAC 102_Wkst'!$L$7:$L$2010,"01",'LAC 102_Wkst'!$N$7:$N$2010,"P4")+SUMIFS('LAC 102_Wkst'!$AF$7:$AF$2010,'LAC 102_Wkst'!$D$7:$D$2010,$C$7,'LAC 102_Wkst'!$I$7:$I$2010,$C$9,'LAC 102_Wkst'!$E$7:$E$2010,$C63,'LAC 102_Wkst'!$G$7:$G$2010,$D63,'LAC 102_Wkst'!$L$7:$L$2010,"02",'LAC 102_Wkst'!$N$7:$N$2010,"P4")</f>
        <v>0</v>
      </c>
      <c r="J63" s="410">
        <f>SUMIFS('LAC 102_Wkst'!$Q$7:$Q$2010,'LAC 102_Wkst'!$D$7:$D$2010,$C$7,'LAC 102_Wkst'!$I$7:$I$2010,$C$9,'LAC 102_Wkst'!$E$7:$E$2010,$C63,'LAC 102_Wkst'!$G$7:$G$2010,$D63,'LAC 102_Wkst'!$L$7:$L$2010,"01",'LAC 102_Wkst'!$N$7:$N$2010,"P5")+SUMIFS('LAC 102_Wkst'!$Q$7:$Q$2010,'LAC 102_Wkst'!$D$7:$D$2010,$C$7,'LAC 102_Wkst'!$I$7:$I$2010,$C$9,'LAC 102_Wkst'!$E$7:$E$2010,$C63,'LAC 102_Wkst'!$G$7:$G$2010,$D63,'LAC 102_Wkst'!$L$7:$L$2010,"02",'LAC 102_Wkst'!$N$7:$N$2010,"P5")</f>
        <v>0</v>
      </c>
      <c r="K63" s="411">
        <f>SUMIFS('LAC 102_Wkst'!$AF$7:$AF$2010,'LAC 102_Wkst'!$D$7:$D$2010,$C$7,'LAC 102_Wkst'!$I$7:$I$2010,$C$9,'LAC 102_Wkst'!$E$7:$E$2010,$C63,'LAC 102_Wkst'!$G$7:$G$2010,$D63,'LAC 102_Wkst'!$L$7:$L$2010,"01",'LAC 102_Wkst'!$N$7:$N$2010,"P5")+SUMIFS('LAC 102_Wkst'!$AF$7:$AF$2010,'LAC 102_Wkst'!$D$7:$D$2010,$C$7,'LAC 102_Wkst'!$I$7:$I$2010,$C$9,'LAC 102_Wkst'!$E$7:$E$2010,$C63,'LAC 102_Wkst'!$G$7:$G$2010,$D63,'LAC 102_Wkst'!$L$7:$L$2010,"02",'LAC 102_Wkst'!$N$7:$N$2010,"P5")</f>
        <v>0</v>
      </c>
      <c r="L63" s="410">
        <f>SUMIFS('LAC 102_Wkst'!$Q$7:$Q$2010,'LAC 102_Wkst'!$D$7:$D$2010,$C$7,'LAC 102_Wkst'!$I$7:$I$2010,$C$9,'LAC 102_Wkst'!$E$7:$E$2010,$C63,'LAC 102_Wkst'!$G$7:$G$2010,$D63,'LAC 102_Wkst'!$L$7:$L$2010,"03",'LAC 102_Wkst'!$N$7:$N$2010,"P1")+SUMIFS('LAC 102_Wkst'!$Q$7:$Q$2010,'LAC 102_Wkst'!$D$7:$D$2010,$C$7,'LAC 102_Wkst'!$I$7:$I$2010,$C$9,'LAC 102_Wkst'!$E$7:$E$2010,$C63,'LAC 102_Wkst'!$G$7:$G$2010,$D63,'LAC 102_Wkst'!$L$7:$L$2010,"03",'LAC 102_Wkst'!$N$7:$N$2010,"P2")+SUMIFS('LAC 102_Wkst'!$Q$7:$Q$2010,'LAC 102_Wkst'!$D$7:$D$2010,$C$7,'LAC 102_Wkst'!$I$7:$I$2010,$C$9,'LAC 102_Wkst'!$E$7:$E$2010,$C63,'LAC 102_Wkst'!$G$7:$G$2010,$D63,'LAC 102_Wkst'!$L$7:$L$2010,"03",'LAC 102_Wkst'!$N$7:$N$2010,"P3")+SUMIFS('LAC 102_Wkst'!$Q$7:$Q$2010,'LAC 102_Wkst'!$D$7:$D$2010,$C$7,'LAC 102_Wkst'!$I$7:$I$2010,$C$9,'LAC 102_Wkst'!$E$7:$E$2010,$C63,'LAC 102_Wkst'!$G$7:$G$2010,$D63,'LAC 102_Wkst'!$L$7:$L$2010,"04",'LAC 102_Wkst'!$N$7:$N$2010,"P1")+SUMIFS('LAC 102_Wkst'!$Q$7:$Q$2010,'LAC 102_Wkst'!$D$7:$D$2010,$C$7,'LAC 102_Wkst'!$I$7:$I$2010,$C$9,'LAC 102_Wkst'!$E$7:$E$2010,$C63,'LAC 102_Wkst'!$G$7:$G$2010,$D63,'LAC 102_Wkst'!$L$7:$L$2010,"04",'LAC 102_Wkst'!$N$7:$N$2010,"P2")+SUMIFS('LAC 102_Wkst'!$Q$7:$Q$2010,'LAC 102_Wkst'!$D$7:$D$2010,$C$7,'LAC 102_Wkst'!$I$7:$I$2010,$C$9,'LAC 102_Wkst'!$E$7:$E$2010,$C63,'LAC 102_Wkst'!$G$7:$G$2010,$D63,'LAC 102_Wkst'!$L$7:$L$2010,"04",'LAC 102_Wkst'!$N$7:$N$2010,"P3")</f>
        <v>0</v>
      </c>
      <c r="M63" s="411">
        <f>SUMIFS('LAC 102_Wkst'!$AF$7:$AF$2010,'LAC 102_Wkst'!$D$7:$D$2010,$C$7,'LAC 102_Wkst'!$I$7:$I$2010,$C$9,'LAC 102_Wkst'!$E$7:$E$2010,$C63,'LAC 102_Wkst'!$G$7:$G$2010,$D63,'LAC 102_Wkst'!$L$7:$L$2010,"03",'LAC 102_Wkst'!$N$7:$N$2010,"P1")+SUMIFS('LAC 102_Wkst'!$AF$7:$AF$2010,'LAC 102_Wkst'!$D$7:$D$2010,$C$7,'LAC 102_Wkst'!$I$7:$I$2010,$C$9,'LAC 102_Wkst'!$E$7:$E$2010,$C63,'LAC 102_Wkst'!$G$7:$G$2010,$D63,'LAC 102_Wkst'!$L$7:$L$2010,"03",'LAC 102_Wkst'!$N$7:$N$2010,"P2")+SUMIFS('LAC 102_Wkst'!$AF$7:$AF$2010,'LAC 102_Wkst'!$D$7:$D$2010,$C$7,'LAC 102_Wkst'!$I$7:$I$2010,$C$9,'LAC 102_Wkst'!$E$7:$E$2010,$C63,'LAC 102_Wkst'!$G$7:$G$2010,$D63,'LAC 102_Wkst'!$L$7:$L$2010,"03",'LAC 102_Wkst'!$N$7:$N$2010,"P3")+SUMIFS('LAC 102_Wkst'!$AF$7:$AF$2010,'LAC 102_Wkst'!$D$7:$D$2010,$C$7,'LAC 102_Wkst'!$I$7:$I$2010,$C$9,'LAC 102_Wkst'!$E$7:$E$2010,$C63,'LAC 102_Wkst'!$G$7:$G$2010,$D63,'LAC 102_Wkst'!$L$7:$L$2010,"04",'LAC 102_Wkst'!$N$7:$N$2010,"P1")+SUMIFS('LAC 102_Wkst'!$AF$7:$AF$2010,'LAC 102_Wkst'!$D$7:$D$2010,$C$7,'LAC 102_Wkst'!$I$7:$I$2010,$C$9,'LAC 102_Wkst'!$E$7:$E$2010,$C63,'LAC 102_Wkst'!$G$7:$G$2010,$D63,'LAC 102_Wkst'!$L$7:$L$2010,"04",'LAC 102_Wkst'!$N$7:$N$2010,"P2")+SUMIFS('LAC 102_Wkst'!$AF$7:$AF$2010,'LAC 102_Wkst'!$D$7:$D$2010,$C$7,'LAC 102_Wkst'!$I$7:$I$2010,$C$9,'LAC 102_Wkst'!$E$7:$E$2010,$C63,'LAC 102_Wkst'!$G$7:$G$2010,$D63,'LAC 102_Wkst'!$L$7:$L$2010,"04",'LAC 102_Wkst'!$N$7:$N$2010,"P3")</f>
        <v>0</v>
      </c>
      <c r="N63" s="410">
        <f>SUMIFS('LAC 102_Wkst'!$Q$7:$Q$2010,'LAC 102_Wkst'!$D$7:$D$2010,$C$7,'LAC 102_Wkst'!$I$7:$I$2010,$C$9,'LAC 102_Wkst'!$E$7:$E$2010,$C63,'LAC 102_Wkst'!$G$7:$G$2010,$D63,'LAC 102_Wkst'!$L$7:$L$2010,"03",'LAC 102_Wkst'!$N$7:$N$2010,"P4")+SUMIFS('LAC 102_Wkst'!$Q$7:$Q$2010,'LAC 102_Wkst'!$D$7:$D$2010,$C$7,'LAC 102_Wkst'!$I$7:$I$2010,$C$9,'LAC 102_Wkst'!$E$7:$E$2010,$C63,'LAC 102_Wkst'!$G$7:$G$2010,$D63,'LAC 102_Wkst'!$L$7:$L$2010,"04",'LAC 102_Wkst'!$N$7:$N$2010,"P4")</f>
        <v>0</v>
      </c>
      <c r="O63" s="411">
        <f>SUMIFS('LAC 102_Wkst'!$AF$7:$AF$2010,'LAC 102_Wkst'!$D$7:$D$2010,$C$7,'LAC 102_Wkst'!$I$7:$I$2010,$C$9,'LAC 102_Wkst'!$E$7:$E$2010,$C63,'LAC 102_Wkst'!$G$7:$G$2010,$D63,'LAC 102_Wkst'!$L$7:$L$2010,"03",'LAC 102_Wkst'!$N$7:$N$2010,"P4")+SUMIFS('LAC 102_Wkst'!$AF$7:$AF$2010,'LAC 102_Wkst'!$D$7:$D$2010,$C$7,'LAC 102_Wkst'!$I$7:$I$2010,$C$9,'LAC 102_Wkst'!$E$7:$E$2010,$C63,'LAC 102_Wkst'!$G$7:$G$2010,$D63,'LAC 102_Wkst'!$L$7:$L$2010,"04",'LAC 102_Wkst'!$N$7:$N$2010,"P4")</f>
        <v>0</v>
      </c>
      <c r="P63" s="410">
        <f>SUMIFS('LAC 102_Wkst'!$Q$7:$Q$2010,'LAC 102_Wkst'!$D$7:$D$2010,$C$7,'LAC 102_Wkst'!$I$7:$I$2010,$C$9,'LAC 102_Wkst'!$E$7:$E$2010,$C63,'LAC 102_Wkst'!$G$7:$G$2010,$D63,'LAC 102_Wkst'!$L$7:$L$2010,"03",'LAC 102_Wkst'!$N$7:$N$2010,"P5")+SUMIFS('LAC 102_Wkst'!$Q$7:$Q$2010,'LAC 102_Wkst'!$D$7:$D$2010,$C$7,'LAC 102_Wkst'!$I$7:$I$2010,$C$9,'LAC 102_Wkst'!$E$7:$E$2010,$C63,'LAC 102_Wkst'!$G$7:$G$2010,$D63,'LAC 102_Wkst'!$L$7:$L$2010,"04",'LAC 102_Wkst'!$N$7:$N$2010,"P5")</f>
        <v>0</v>
      </c>
      <c r="Q63" s="411">
        <f>SUMIFS('LAC 102_Wkst'!$AF$7:$AF$2010,'LAC 102_Wkst'!$D$7:$D$2010,$C$7,'LAC 102_Wkst'!$I$7:$I$2010,$C$9,'LAC 102_Wkst'!$E$7:$E$2010,$C63,'LAC 102_Wkst'!$G$7:$G$2010,$D63,'LAC 102_Wkst'!$L$7:$L$2010,"03",'LAC 102_Wkst'!$N$7:$N$2010,"P5")+SUMIFS('LAC 102_Wkst'!$AF$7:$AF$2010,'LAC 102_Wkst'!$D$7:$D$2010,$C$7,'LAC 102_Wkst'!$I$7:$I$2010,$C$9,'LAC 102_Wkst'!$E$7:$E$2010,$C63,'LAC 102_Wkst'!$G$7:$G$2010,$D63,'LAC 102_Wkst'!$L$7:$L$2010,"04",'LAC 102_Wkst'!$N$7:$N$2010,"P5")</f>
        <v>0</v>
      </c>
      <c r="R63" s="412">
        <f>SUMIFS('LAC 102_Wkst'!$Q$7:$Q$2010,'LAC 102_Wkst'!$D$7:$D$2010,$C$7,'LAC 102_Wkst'!$I$7:$I$2010,$C$9,'LAC 102_Wkst'!$E$7:$E$2010,$C63,'LAC 102_Wkst'!$G$7:$G$2010,$D63,'LAC 102_Wkst'!$L$7:$L$2010,"05",'LAC 102_Wkst'!$N$7:$N$2010,"P1")+SUMIFS('LAC 102_Wkst'!$Q$7:$Q$2010,'LAC 102_Wkst'!$D$7:$D$2010,$C$7,'LAC 102_Wkst'!$I$7:$I$2010,$C$9,'LAC 102_Wkst'!$E$7:$E$2010,$C63,'LAC 102_Wkst'!$G$7:$G$2010,$D63,'LAC 102_Wkst'!$L$7:$L$2010,"06",'LAC 102_Wkst'!$N$7:$N$2010,"P1")</f>
        <v>0</v>
      </c>
      <c r="S63" s="411">
        <f>SUMIFS('LAC 102_Wkst'!$AF$7:$AF$2010,'LAC 102_Wkst'!$D$7:$D$2010,$C$7,'LAC 102_Wkst'!$I$7:$I$2010,$C$9,'LAC 102_Wkst'!$E$7:$E$2010,$C63,'LAC 102_Wkst'!$G$7:$G$2010,$D63,'LAC 102_Wkst'!$L$7:$L$2010,"05",'LAC 102_Wkst'!$N$7:$N$2010,"P1")+SUMIFS('LAC 102_Wkst'!$AF$7:$AF$2010,'LAC 102_Wkst'!$D$7:$D$2010,$C$7,'LAC 102_Wkst'!$I$7:$I$2010,$C$9,'LAC 102_Wkst'!$E$7:$E$2010,$C63,'LAC 102_Wkst'!$G$7:$G$2010,$D63,'LAC 102_Wkst'!$L$7:$L$2010,"06",'LAC 102_Wkst'!$N$7:$N$2010,"P1")</f>
        <v>0</v>
      </c>
      <c r="T63" s="410">
        <f>SUMIFS('LAC 102_Wkst'!$Q$7:$Q$2010,'LAC 102_Wkst'!$D$7:$D$2010,$C$7,'LAC 102_Wkst'!$I$7:$I$2010,$C$9,'LAC 102_Wkst'!$E$7:$E$2010,$C63,'LAC 102_Wkst'!$G$7:$G$2010,$D63,'LAC 102_Wkst'!$L$7:$L$2010,"05",'LAC 102_Wkst'!$N$7:$N$2010,"P2")+SUMIFS('LAC 102_Wkst'!$Q$7:$Q$2010,'LAC 102_Wkst'!$D$7:$D$2010,$C$7,'LAC 102_Wkst'!$I$7:$I$2010,$C$9,'LAC 102_Wkst'!$E$7:$E$2010,$C63,'LAC 102_Wkst'!$G$7:$G$2010,$D63,'LAC 102_Wkst'!$L$7:$L$2010,"06",'LAC 102_Wkst'!$N$7:$N$2010,"P2")+SUMIFS('LAC 102_Wkst'!$Q$7:$Q$2010,'LAC 102_Wkst'!$D$7:$D$2010,$C$7,'LAC 102_Wkst'!$I$7:$I$2010,$C$9,'LAC 102_Wkst'!$E$7:$E$2010,$C63,'LAC 102_Wkst'!$G$7:$G$2010,$D63,'LAC 102_Wkst'!$L$7:$L$2010,"05",'LAC 102_Wkst'!$N$7:$N$2010,"P3")+SUMIFS('LAC 102_Wkst'!$Q$7:$Q$2010,'LAC 102_Wkst'!$D$7:$D$2010,$C$7,'LAC 102_Wkst'!$I$7:$I$2010,$C$9,'LAC 102_Wkst'!$E$7:$E$2010,$C63,'LAC 102_Wkst'!$G$7:$G$2010,$D63,'LAC 102_Wkst'!$L$7:$L$2010,"06",'LAC 102_Wkst'!$N$7:$N$2010,"P3")</f>
        <v>0</v>
      </c>
      <c r="U63" s="411">
        <f>SUMIFS('LAC 102_Wkst'!$AF$7:$AF$2010,'LAC 102_Wkst'!$D$7:$D$2010,$C$7,'LAC 102_Wkst'!$I$7:$I$2010,$C$9,'LAC 102_Wkst'!$E$7:$E$2010,$C63,'LAC 102_Wkst'!$G$7:$G$2010,$D63,'LAC 102_Wkst'!$L$7:$L$2010,"05",'LAC 102_Wkst'!$N$7:$N$2010,"P2")+SUMIFS('LAC 102_Wkst'!$AF$7:$AF$2010,'LAC 102_Wkst'!$D$7:$D$2010,$C$7,'LAC 102_Wkst'!$I$7:$I$2010,$C$9,'LAC 102_Wkst'!$E$7:$E$2010,$C63,'LAC 102_Wkst'!$G$7:$G$2010,$D63,'LAC 102_Wkst'!$L$7:$L$2010,"06",'LAC 102_Wkst'!$N$7:$N$2010,"P2")+SUMIFS('LAC 102_Wkst'!$AF$7:$AF$2010,'LAC 102_Wkst'!$D$7:$D$2010,$C$7,'LAC 102_Wkst'!$I$7:$I$2010,$C$9,'LAC 102_Wkst'!$E$7:$E$2010,$C63,'LAC 102_Wkst'!$G$7:$G$2010,$D63,'LAC 102_Wkst'!$L$7:$L$2010,"05",'LAC 102_Wkst'!$N$7:$N$2010,"P3")+SUMIFS('LAC 102_Wkst'!$AF$7:$AF$2010,'LAC 102_Wkst'!$D$7:$D$2010,$C$7,'LAC 102_Wkst'!$I$7:$I$2010,$C$9,'LAC 102_Wkst'!$E$7:$E$2010,$C63,'LAC 102_Wkst'!$G$7:$G$2010,$D63,'LAC 102_Wkst'!$L$7:$L$2010,"06",'LAC 102_Wkst'!$N$7:$N$2010,"P3")</f>
        <v>0</v>
      </c>
      <c r="V63" s="410">
        <f>SUMIFS('LAC 102_Wkst'!$Q$7:$Q$2010,'LAC 102_Wkst'!$D$7:$D$2010,$C$7,'LAC 102_Wkst'!$I$7:$I$2010,$C$9,'LAC 102_Wkst'!$E$7:$E$2010,$C63,'LAC 102_Wkst'!$G$7:$G$2010,$D63,'LAC 102_Wkst'!$L$7:$L$2010,"05",'LAC 102_Wkst'!$N$7:$N$2010,"P4")+SUMIFS('LAC 102_Wkst'!$Q$7:$Q$2010,'LAC 102_Wkst'!$D$7:$D$2010,$C$7,'LAC 102_Wkst'!$I$7:$I$2010,$C$9,'LAC 102_Wkst'!$E$7:$E$2010,$C63,'LAC 102_Wkst'!$G$7:$G$2010,$D63,'LAC 102_Wkst'!$L$7:$L$2010,"06",'LAC 102_Wkst'!$N$7:$N$2010,"P4")</f>
        <v>0</v>
      </c>
      <c r="W63" s="411">
        <f>SUMIFS('LAC 102_Wkst'!$AF$7:$AF$2010,'LAC 102_Wkst'!$D$7:$D$2010,$C$7,'LAC 102_Wkst'!$I$7:$I$2010,$C$9,'LAC 102_Wkst'!$E$7:$E$2010,$C63,'LAC 102_Wkst'!$G$7:$G$2010,$D63,'LAC 102_Wkst'!$L$7:$L$2010,"05",'LAC 102_Wkst'!$N$7:$N$2010,"P4")+SUMIFS('LAC 102_Wkst'!$AF$7:$AF$2010,'LAC 102_Wkst'!$D$7:$D$2010,$C$7,'LAC 102_Wkst'!$I$7:$I$2010,$C$9,'LAC 102_Wkst'!$E$7:$E$2010,$C63,'LAC 102_Wkst'!$G$7:$G$2010,$D63,'LAC 102_Wkst'!$L$7:$L$2010,"06",'LAC 102_Wkst'!$N$7:$N$2010,"P4")</f>
        <v>0</v>
      </c>
      <c r="X63" s="410">
        <f>SUMIFS('LAC 102_Wkst'!$Q$7:$Q$2010,'LAC 102_Wkst'!$D$7:$D$2010,$C$7,'LAC 102_Wkst'!$I$7:$I$2010,$C$9,'LAC 102_Wkst'!$E$7:$E$2010,$C63,'LAC 102_Wkst'!$G$7:$G$2010,$D63,'LAC 102_Wkst'!$L$7:$L$2010,"05",'LAC 102_Wkst'!$N$7:$N$2010,"P5")+SUMIFS('LAC 102_Wkst'!$Q$7:$Q$2010,'LAC 102_Wkst'!$D$7:$D$2010,$C$7,'LAC 102_Wkst'!$I$7:$I$2010,$C$9,'LAC 102_Wkst'!$E$7:$E$2010,$C63,'LAC 102_Wkst'!$G$7:$G$2010,$D63,'LAC 102_Wkst'!$L$7:$L$2010,"06",'LAC 102_Wkst'!$N$7:$N$2010,"P5")</f>
        <v>0</v>
      </c>
      <c r="Y63" s="411">
        <f>SUMIFS('LAC 102_Wkst'!$AF$7:$AF$2010,'LAC 102_Wkst'!$D$7:$D$2010,$C$7,'LAC 102_Wkst'!$I$7:$I$2010,$C$9,'LAC 102_Wkst'!$E$7:$E$2010,$C63,'LAC 102_Wkst'!$G$7:$G$2010,$D63,'LAC 102_Wkst'!$L$7:$L$2010,"05",'LAC 102_Wkst'!$N$7:$N$2010,"P5")+SUMIFS('LAC 102_Wkst'!$AF$7:$AF$2010,'LAC 102_Wkst'!$D$7:$D$2010,$C$7,'LAC 102_Wkst'!$I$7:$I$2010,$C$9,'LAC 102_Wkst'!$E$7:$E$2010,$C63,'LAC 102_Wkst'!$G$7:$G$2010,$D63,'LAC 102_Wkst'!$L$7:$L$2010,"06",'LAC 102_Wkst'!$N$7:$N$2010,"P5")</f>
        <v>0</v>
      </c>
      <c r="Z63" s="410">
        <f>SUMIFS('LAC 102_Wkst'!$Q$7:$Q$2010,'LAC 102_Wkst'!$D$7:$D$2010,$C$7,'LAC 102_Wkst'!$I$7:$I$2010,$C$9,'LAC 102_Wkst'!$E$7:$E$2010,$C63,'LAC 102_Wkst'!$G$7:$G$2010,$D63,'LAC 102_Wkst'!$L$7:$L$2010,"07",'LAC 102_Wkst'!$N$7:$N$2010,"P1")+SUMIFS('LAC 102_Wkst'!$Q$7:$Q$2010,'LAC 102_Wkst'!$D$7:$D$2010,$C$7,'LAC 102_Wkst'!$I$7:$I$2010,$C$9,'LAC 102_Wkst'!$E$7:$E$2010,$C63,'LAC 102_Wkst'!$G$7:$G$2010,$D63,'LAC 102_Wkst'!$L$7:$L$2010,"07",'LAC 102_Wkst'!$N$7:$N$2010,"P2")+SUMIFS('LAC 102_Wkst'!$Q$7:$Q$2010,'LAC 102_Wkst'!$D$7:$D$2010,$C$7,'LAC 102_Wkst'!$I$7:$I$2010,$C$9,'LAC 102_Wkst'!$E$7:$E$2010,$C63,'LAC 102_Wkst'!$G$7:$G$2010,$D63,'LAC 102_Wkst'!$L$7:$L$2010,"07",'LAC 102_Wkst'!$N$7:$N$2010,"P3")</f>
        <v>0</v>
      </c>
      <c r="AA63" s="411">
        <f>SUMIFS('LAC 102_Wkst'!$AF$7:$AF$2010,'LAC 102_Wkst'!$D$7:$D$2010,$C$7,'LAC 102_Wkst'!$I$7:$I$2010,$C$9,'LAC 102_Wkst'!$E$7:$E$2010,$C63,'LAC 102_Wkst'!$G$7:$G$2010,$D63,'LAC 102_Wkst'!$L$7:$L$2010,"07",'LAC 102_Wkst'!$N$7:$N$2010,"P1")+SUMIFS('LAC 102_Wkst'!$AF$7:$AF$2010,'LAC 102_Wkst'!$D$7:$D$2010,$C$7,'LAC 102_Wkst'!$I$7:$I$2010,$C$9,'LAC 102_Wkst'!$E$7:$E$2010,$C63,'LAC 102_Wkst'!$G$7:$G$2010,$D63,'LAC 102_Wkst'!$L$7:$L$2010,"07",'LAC 102_Wkst'!$N$7:$N$2010,"P2")+SUMIFS('LAC 102_Wkst'!$AF$7:$AF$2010,'LAC 102_Wkst'!$D$7:$D$2010,$C$7,'LAC 102_Wkst'!$I$7:$I$2010,$C$9,'LAC 102_Wkst'!$E$7:$E$2010,$C63,'LAC 102_Wkst'!$G$7:$G$2010,$D63,'LAC 102_Wkst'!$L$7:$L$2010,"07",'LAC 102_Wkst'!$N$7:$N$2010,"P3")</f>
        <v>0</v>
      </c>
      <c r="AB63" s="410">
        <f>SUMIFS('LAC 102_Wkst'!$Q$7:$Q$2010,'LAC 102_Wkst'!$D$7:$D$2010,$C$7,'LAC 102_Wkst'!$I$7:$I$2010,$C$9,'LAC 102_Wkst'!$E$7:$E$2010,$C63,'LAC 102_Wkst'!$G$7:$G$2010,$D63,'LAC 102_Wkst'!$L$7:$L$2010,"07",'LAC 102_Wkst'!$N$7:$N$2010,"P4")</f>
        <v>0</v>
      </c>
      <c r="AC63" s="411">
        <f>SUMIFS('LAC 102_Wkst'!$AF$7:$AF$2010,'LAC 102_Wkst'!$D$7:$D$2010,$C$7,'LAC 102_Wkst'!$I$7:$I$2010,$C$9,'LAC 102_Wkst'!$E$7:$E$2010,$C63,'LAC 102_Wkst'!$G$7:$G$2010,$D63,'LAC 102_Wkst'!$L$7:$L$2010,"07",'LAC 102_Wkst'!$N$7:$N$2010,"P4")</f>
        <v>0</v>
      </c>
      <c r="AD63" s="410">
        <f>SUMIFS('LAC 102_Wkst'!$Q$7:$Q$2010,'LAC 102_Wkst'!$D$7:$D$2010,$C$7,'LAC 102_Wkst'!$I$7:$I$2010,$C$9,'LAC 102_Wkst'!$E$7:$E$2010,$C63,'LAC 102_Wkst'!$G$7:$G$2010,$D63,'LAC 102_Wkst'!$L$7:$L$2010,"07",'LAC 102_Wkst'!$N$7:$N$2010,"P5")</f>
        <v>0</v>
      </c>
      <c r="AE63" s="411">
        <f>SUMIFS('LAC 102_Wkst'!$AF$7:$AF$2010,'LAC 102_Wkst'!$D$7:$D$2010,$C$7,'LAC 102_Wkst'!$I$7:$I$2010,$C$9,'LAC 102_Wkst'!$E$7:$E$2010,$C63,'LAC 102_Wkst'!$G$7:$G$2010,$D63,'LAC 102_Wkst'!$L$7:$L$2010,"07",'LAC 102_Wkst'!$N$7:$N$2010,"P5")</f>
        <v>0</v>
      </c>
      <c r="AF63" s="410">
        <f>SUMIFS('LAC 102_Wkst'!$Q$7:$Q$2010,'LAC 102_Wkst'!$D$7:$D$2010,$C$7,'LAC 102_Wkst'!$I$7:$I$2010,$C$9,'LAC 102_Wkst'!$E$7:$E$2010,$C63,'LAC 102_Wkst'!$G$7:$G$2010,$D63,'LAC 102_Wkst'!$L$7:$L$2010,"08",'LAC 102_Wkst'!$N$7:$N$2010,"P1")+SUMIFS('LAC 102_Wkst'!$Q$7:$Q$2010,'LAC 102_Wkst'!$D$7:$D$2010,$C$7,'LAC 102_Wkst'!$I$7:$I$2010,$C$9,'LAC 102_Wkst'!$E$7:$E$2010,$C63,'LAC 102_Wkst'!$G$7:$G$2010,$D63,'LAC 102_Wkst'!$L$7:$L$2010,"08",'LAC 102_Wkst'!$N$7:$N$2010,"P2")+SUMIFS('LAC 102_Wkst'!$Q$7:$Q$2010,'LAC 102_Wkst'!$D$7:$D$2010,$C$7,'LAC 102_Wkst'!$I$7:$I$2010,$C$9,'LAC 102_Wkst'!$E$7:$E$2010,$C63,'LAC 102_Wkst'!$G$7:$G$2010,$D63,'LAC 102_Wkst'!$L$7:$L$2010,"08",'LAC 102_Wkst'!$N$7:$N$2010,"P3")</f>
        <v>0</v>
      </c>
      <c r="AG63" s="411">
        <f>SUMIFS('LAC 102_Wkst'!$AF$7:$AF$2010,'LAC 102_Wkst'!$D$7:$D$2010,$C$7,'LAC 102_Wkst'!$I$7:$I$2010,$C$9,'LAC 102_Wkst'!$E$7:$E$2010,$C63,'LAC 102_Wkst'!$G$7:$G$2010,$D63,'LAC 102_Wkst'!$L$7:$L$2010,"08",'LAC 102_Wkst'!$N$7:$N$2010,"P1")+SUMIFS('LAC 102_Wkst'!$AF$7:$AF$2010,'LAC 102_Wkst'!$D$7:$D$2010,$C$7,'LAC 102_Wkst'!$I$7:$I$2010,$C$9,'LAC 102_Wkst'!$E$7:$E$2010,$C63,'LAC 102_Wkst'!$G$7:$G$2010,$D63,'LAC 102_Wkst'!$L$7:$L$2010,"08",'LAC 102_Wkst'!$N$7:$N$2010,"P2")+SUMIFS('LAC 102_Wkst'!$AF$7:$AF$2010,'LAC 102_Wkst'!$D$7:$D$2010,$C$7,'LAC 102_Wkst'!$I$7:$I$2010,$C$9,'LAC 102_Wkst'!$E$7:$E$2010,$C63,'LAC 102_Wkst'!$G$7:$G$2010,$D63,'LAC 102_Wkst'!$L$7:$L$2010,"08",'LAC 102_Wkst'!$N$7:$N$2010,"P3")</f>
        <v>0</v>
      </c>
      <c r="AH63" s="410">
        <f>SUMIFS('LAC 102_Wkst'!$Q$7:$Q$2010,'LAC 102_Wkst'!$D$7:$D$2010,$C$7,'LAC 102_Wkst'!$I$7:$I$2010,$C$9,'LAC 102_Wkst'!$E$7:$E$2010,$C63,'LAC 102_Wkst'!$G$7:$G$2010,$D63,'LAC 102_Wkst'!$L$7:$L$2010,"08",'LAC 102_Wkst'!$N$7:$N$2010,"P4")</f>
        <v>0</v>
      </c>
      <c r="AI63" s="411">
        <f>SUMIFS('LAC 102_Wkst'!$AF$7:$AF$2010,'LAC 102_Wkst'!$D$7:$D$2010,$C$7,'LAC 102_Wkst'!$I$7:$I$2010,$C$9,'LAC 102_Wkst'!$E$7:$E$2010,$C63,'LAC 102_Wkst'!$G$7:$G$2010,$D63,'LAC 102_Wkst'!$L$7:$L$2010,"08",'LAC 102_Wkst'!$N$7:$N$2010,"P4")</f>
        <v>0</v>
      </c>
      <c r="AJ63" s="410">
        <f>SUMIFS('LAC 102_Wkst'!$Q$7:$Q$2010,'LAC 102_Wkst'!$D$7:$D$2010,$C$7,'LAC 102_Wkst'!$I$7:$I$2010,$C$9,'LAC 102_Wkst'!$E$7:$E$2010,$C63,'LAC 102_Wkst'!$G$7:$G$2010,$D63,'LAC 102_Wkst'!$L$7:$L$2010,"08",'LAC 102_Wkst'!$N$7:$N$2010,"P5")</f>
        <v>0</v>
      </c>
      <c r="AK63" s="411">
        <f>SUMIFS('LAC 102_Wkst'!$AF$7:$AF$2010,'LAC 102_Wkst'!$D$7:$D$2010,$C$7,'LAC 102_Wkst'!$I$7:$I$2010,$C$9,'LAC 102_Wkst'!$E$7:$E$2010,$C63,'LAC 102_Wkst'!$G$7:$G$2010,$D63,'LAC 102_Wkst'!$L$7:$L$2010,"08",'LAC 102_Wkst'!$N$7:$N$2010,"P5")</f>
        <v>0</v>
      </c>
      <c r="AL63" s="410">
        <f>SUMIFS('LAC 102_Wkst'!$Q$7:$Q$2010,'LAC 102_Wkst'!$D$7:$D$2010,$C$7,'LAC 102_Wkst'!$I$7:$I$2010,$C$9,'LAC 102_Wkst'!$E$7:$E$2010,$C63,'LAC 102_Wkst'!$G$7:$G$2010,$D63,'LAC 102_Wkst'!$L$7:$L$2010,"09",'LAC 102_Wkst'!$N$7:$N$2010,"P1")+SUMIFS('LAC 102_Wkst'!$Q$7:$Q$2010,'LAC 102_Wkst'!$D$7:$D$2010,$C$7,'LAC 102_Wkst'!$I$7:$I$2010,$C$9,'LAC 102_Wkst'!$E$7:$E$2010,$C63,'LAC 102_Wkst'!$G$7:$G$2010,$D63,'LAC 102_Wkst'!$L$7:$L$2010,"09",'LAC 102_Wkst'!$N$7:$N$2010,"P2")+SUMIFS('LAC 102_Wkst'!$Q$7:$Q$2010,'LAC 102_Wkst'!$D$7:$D$2010,$C$7,'LAC 102_Wkst'!$I$7:$I$2010,$C$9,'LAC 102_Wkst'!$E$7:$E$2010,$C63,'LAC 102_Wkst'!$G$7:$G$2010,$D63,'LAC 102_Wkst'!$L$7:$L$2010,"09",'LAC 102_Wkst'!$N$7:$N$2010,"P3")+SUMIFS('LAC 102_Wkst'!$Q$7:$Q$2010,'LAC 102_Wkst'!$D$7:$D$2010,$C$7,'LAC 102_Wkst'!$I$7:$I$2010,$C$9,'LAC 102_Wkst'!$E$7:$E$2010,$C63,'LAC 102_Wkst'!$G$7:$G$2010,$D63,'LAC 102_Wkst'!$L$7:$L$2010,"09",'LAC 102_Wkst'!$N$7:$N$2010,"P4")</f>
        <v>0</v>
      </c>
      <c r="AM63" s="411">
        <f>SUMIFS('LAC 102_Wkst'!$AF$7:$AF$2010,'LAC 102_Wkst'!$D$7:$D$2010,$C$7,'LAC 102_Wkst'!$I$7:$I$2010,$C$9,'LAC 102_Wkst'!$E$7:$E$2010,$C63,'LAC 102_Wkst'!$G$7:$G$2010,$D63,'LAC 102_Wkst'!$L$7:$L$2010,"09",'LAC 102_Wkst'!$N$7:$N$2010,"P1")+SUMIFS('LAC 102_Wkst'!$AF$7:$AF$2010,'LAC 102_Wkst'!$D$7:$D$2010,$C$7,'LAC 102_Wkst'!$I$7:$I$2010,$C$9,'LAC 102_Wkst'!$E$7:$E$2010,$C63,'LAC 102_Wkst'!$G$7:$G$2010,$D63,'LAC 102_Wkst'!$L$7:$L$2010,"09",'LAC 102_Wkst'!$N$7:$N$2010,"P2")+SUMIFS('LAC 102_Wkst'!$AF$7:$AF$2010,'LAC 102_Wkst'!$D$7:$D$2010,$C$7,'LAC 102_Wkst'!$I$7:$I$2010,$C$9,'LAC 102_Wkst'!$E$7:$E$2010,$C63,'LAC 102_Wkst'!$G$7:$G$2010,$D63,'LAC 102_Wkst'!$L$7:$L$2010,"09",'LAC 102_Wkst'!$N$7:$N$2010,"P3")+SUMIFS('LAC 102_Wkst'!$AF$7:$AF$2010,'LAC 102_Wkst'!$D$7:$D$2010,$C$7,'LAC 102_Wkst'!$I$7:$I$2010,$C$9,'LAC 102_Wkst'!$E$7:$E$2010,$C63,'LAC 102_Wkst'!$G$7:$G$2010,$D63,'LAC 102_Wkst'!$L$7:$L$2010,"09",'LAC 102_Wkst'!$N$7:$N$2010,"P4")</f>
        <v>0</v>
      </c>
      <c r="AN63" s="410">
        <f>SUMIFS('LAC 102_Wkst'!$Q$7:$Q$2010,'LAC 102_Wkst'!$D$7:$D$2010,$C$7,'LAC 102_Wkst'!$I$7:$I$2010,$C$9,'LAC 102_Wkst'!$E$7:$E$2010,$C63,'LAC 102_Wkst'!$G$7:$G$2010,$D63,'LAC 102_Wkst'!$L$7:$L$2010,"09",'LAC 102_Wkst'!$N$7:$N$2010,"P5")</f>
        <v>0</v>
      </c>
      <c r="AO63" s="411">
        <f>SUMIFS('LAC 102_Wkst'!$AF$7:$AF$2010,'LAC 102_Wkst'!$D$7:$D$2010,$C$7,'LAC 102_Wkst'!$I$7:$I$2010,$C$9,'LAC 102_Wkst'!$E$7:$E$2010,$C63,'LAC 102_Wkst'!$G$7:$G$2010,$D63,'LAC 102_Wkst'!$L$7:$L$2010,"09",'LAC 102_Wkst'!$N$7:$N$2010,"P5")</f>
        <v>0</v>
      </c>
      <c r="AP63" s="410">
        <f>SUMIFS('LAC 102_Wkst'!$Q$7:$Q$2010,'LAC 102_Wkst'!$D$7:$D$2010,$C$7,'LAC 102_Wkst'!$I$7:$I$2010,$C$9,'LAC 102_Wkst'!$E$7:$E$2010,$C63,'LAC 102_Wkst'!$G$7:$G$2010,$D63,'LAC 102_Wkst'!$L$7:$L$2010,"10",'LAC 102_Wkst'!$N$7:$N$2010,"P1")+SUMIFS('LAC 102_Wkst'!$Q$7:$Q$2010,'LAC 102_Wkst'!$D$7:$D$2010,$C$7,'LAC 102_Wkst'!$I$7:$I$2010,$C$9,'LAC 102_Wkst'!$E$7:$E$2010,$C63,'LAC 102_Wkst'!$G$7:$G$2010,$D63,'LAC 102_Wkst'!$L$7:$L$2010,"10",'LAC 102_Wkst'!$N$7:$N$2010,"P2")+SUMIFS('LAC 102_Wkst'!$Q$7:$Q$2010,'LAC 102_Wkst'!$D$7:$D$2010,$C$7,'LAC 102_Wkst'!$I$7:$I$2010,$C$9,'LAC 102_Wkst'!$E$7:$E$2010,$C63,'LAC 102_Wkst'!$G$7:$G$2010,$D63,'LAC 102_Wkst'!$L$7:$L$2010,"10",'LAC 102_Wkst'!$N$7:$N$2010,"P3")+SUMIFS('LAC 102_Wkst'!$Q$7:$Q$2010,'LAC 102_Wkst'!$D$7:$D$2010,$C$7,'LAC 102_Wkst'!$I$7:$I$2010,$C$9,'LAC 102_Wkst'!$E$7:$E$2010,$C63,'LAC 102_Wkst'!$G$7:$G$2010,$D63,'LAC 102_Wkst'!$L$7:$L$2010,"10",'LAC 102_Wkst'!$N$7:$N$2010,"P4")</f>
        <v>0</v>
      </c>
      <c r="AQ63" s="411">
        <f>SUMIFS('LAC 102_Wkst'!$AF$7:$AF$2010,'LAC 102_Wkst'!$D$7:$D$2010,$C$7,'LAC 102_Wkst'!$I$7:$I$2010,$C$9,'LAC 102_Wkst'!$E$7:$E$2010,$C63,'LAC 102_Wkst'!$G$7:$G$2010,$D63,'LAC 102_Wkst'!$L$7:$L$2010,"10",'LAC 102_Wkst'!$N$7:$N$2010,"P1")+SUMIFS('LAC 102_Wkst'!$AF$7:$AF$2010,'LAC 102_Wkst'!$D$7:$D$2010,$C$7,'LAC 102_Wkst'!$I$7:$I$2010,$C$9,'LAC 102_Wkst'!$E$7:$E$2010,$C63,'LAC 102_Wkst'!$G$7:$G$2010,$D63,'LAC 102_Wkst'!$L$7:$L$2010,"10",'LAC 102_Wkst'!$N$7:$N$2010,"P2")+SUMIFS('LAC 102_Wkst'!$AF$7:$AF$2010,'LAC 102_Wkst'!$D$7:$D$2010,$C$7,'LAC 102_Wkst'!$I$7:$I$2010,$C$9,'LAC 102_Wkst'!$E$7:$E$2010,$C63,'LAC 102_Wkst'!$G$7:$G$2010,$D63,'LAC 102_Wkst'!$L$7:$L$2010,"10",'LAC 102_Wkst'!$N$7:$N$2010,"P3")+SUMIFS('LAC 102_Wkst'!$AF$7:$AF$2010,'LAC 102_Wkst'!$D$7:$D$2010,$C$7,'LAC 102_Wkst'!$I$7:$I$2010,$C$9,'LAC 102_Wkst'!$E$7:$E$2010,$C63,'LAC 102_Wkst'!$G$7:$G$2010,$D63,'LAC 102_Wkst'!$L$7:$L$2010,"10",'LAC 102_Wkst'!$N$7:$N$2010,"P4")</f>
        <v>0</v>
      </c>
      <c r="AR63" s="410">
        <f>SUMIFS('LAC 102_Wkst'!$Q$7:$Q$2010,'LAC 102_Wkst'!$D$7:$D$2010,$C$7,'LAC 102_Wkst'!$I$7:$I$2010,$C$9,'LAC 102_Wkst'!$E$7:$E$2010,$C63,'LAC 102_Wkst'!$G$7:$G$2010,$D63,'LAC 102_Wkst'!$L$7:$L$2010,"10",'LAC 102_Wkst'!$N$7:$N$2010,"P5")</f>
        <v>0</v>
      </c>
      <c r="AS63" s="411">
        <f>SUMIFS('LAC 102_Wkst'!$AF$7:$AF$2010,'LAC 102_Wkst'!$D$7:$D$2010,$C$7,'LAC 102_Wkst'!$I$7:$I$2010,$C$9,'LAC 102_Wkst'!$E$7:$E$2010,$C63,'LAC 102_Wkst'!$G$7:$G$2010,$D63,'LAC 102_Wkst'!$L$7:$L$2010,"10",'LAC 102_Wkst'!$N$7:$N$2010,"P5")</f>
        <v>0</v>
      </c>
      <c r="AT63" s="410">
        <f>SUMIFS('LAC 102_Wkst'!$Q$7:$Q$2010,'LAC 102_Wkst'!$D$7:$D$2010,$C$7,'LAC 102_Wkst'!$I$7:$I$2010,$C$9,'LAC 102_Wkst'!$E$7:$E$2010,$C63,'LAC 102_Wkst'!$G$7:$G$2010,$D63,'LAC 102_Wkst'!$L$7:$L$2010,"11",'LAC 102_Wkst'!$N$7:$N$2010,"P1")+SUMIFS('LAC 102_Wkst'!$Q$7:$Q$2010,'LAC 102_Wkst'!$D$7:$D$2010,$C$7,'LAC 102_Wkst'!$I$7:$I$2010,$C$9,'LAC 102_Wkst'!$E$7:$E$2010,$C63,'LAC 102_Wkst'!$G$7:$G$2010,$D63,'LAC 102_Wkst'!$L$7:$L$2010,"12",'LAC 102_Wkst'!$N$7:$N$2010,"P1")</f>
        <v>0</v>
      </c>
      <c r="AU63" s="411">
        <f>SUMIFS('LAC 102_Wkst'!$Q$7:$Q$2010,'LAC 102_Wkst'!$D$7:$D$2010,$C$7,'LAC 102_Wkst'!$I$7:$I$2010,$C$9,'LAC 102_Wkst'!$E$7:$E$2010,$C63,'LAC 102_Wkst'!$G$7:$G$2010,$D63,'LAC 102_Wkst'!$L$7:$L$2010,"13",'LAC 102_Wkst'!$N$7:$N$2010,"P5")</f>
        <v>0</v>
      </c>
      <c r="AV63" s="410">
        <f>SUMIFS('LAC 102_Wkst'!$Q$7:$Q$2010,'LAC 102_Wkst'!$D$7:$D$2010,$C$7,'LAC 102_Wkst'!$I$7:$I$2010,$C$9,'LAC 102_Wkst'!$E$7:$E$2010,$C63,'LAC 102_Wkst'!$G$7:$G$2010,$D63,'LAC 102_Wkst'!$L$7:$L$2010,"11",'LAC 102_Wkst'!$N$7:$N$2010,"P2")+SUMIFS('LAC 102_Wkst'!$Q$7:$Q$2010,'LAC 102_Wkst'!$D$7:$D$2010,$C$7,'LAC 102_Wkst'!$I$7:$I$2010,$C$9,'LAC 102_Wkst'!$E$7:$E$2010,$C63,'LAC 102_Wkst'!$G$7:$G$2010,$D63,'LAC 102_Wkst'!$L$7:$L$2010,"12",'LAC 102_Wkst'!$N$7:$N$2010,"P2")+SUMIFS('LAC 102_Wkst'!$Q$7:$Q$2010,'LAC 102_Wkst'!$D$7:$D$2010,$C$7,'LAC 102_Wkst'!$I$7:$I$2010,$C$9,'LAC 102_Wkst'!$E$7:$E$2010,$C63,'LAC 102_Wkst'!$G$7:$G$2010,$D63,'LAC 102_Wkst'!$L$7:$L$2010,"11",'LAC 102_Wkst'!$N$7:$N$2010,"P3")+SUMIFS('LAC 102_Wkst'!$Q$7:$Q$2010,'LAC 102_Wkst'!$D$7:$D$2010,$C$7,'LAC 102_Wkst'!$I$7:$I$2010,$C$9,'LAC 102_Wkst'!$E$7:$E$2010,$C63,'LAC 102_Wkst'!$G$7:$G$2010,$D63,'LAC 102_Wkst'!$L$7:$L$2010,"12",'LAC 102_Wkst'!$N$7:$N$2010,"P3")</f>
        <v>0</v>
      </c>
      <c r="AW63" s="411">
        <f>SUMIFS('LAC 102_Wkst'!$AF$7:$AF$2010,'LAC 102_Wkst'!$D$7:$D$2010,$C$7,'LAC 102_Wkst'!$I$7:$I$2010,$C$9,'LAC 102_Wkst'!$E$7:$E$2010,$C63,'LAC 102_Wkst'!$G$7:$G$2010,$D63,'LAC 102_Wkst'!$L$7:$L$2010,"11",'LAC 102_Wkst'!$N$7:$N$2010,"P2")+SUMIFS('LAC 102_Wkst'!$AF$7:$AF$2010,'LAC 102_Wkst'!$D$7:$D$2010,$C$7,'LAC 102_Wkst'!$I$7:$I$2010,$C$9,'LAC 102_Wkst'!$E$7:$E$2010,$C63,'LAC 102_Wkst'!$G$7:$G$2010,$D63,'LAC 102_Wkst'!$L$7:$L$2010,"12",'LAC 102_Wkst'!$N$7:$N$2010,"P2")+SUMIFS('LAC 102_Wkst'!$AF$7:$AF$2010,'LAC 102_Wkst'!$D$7:$D$2010,$C$7,'LAC 102_Wkst'!$I$7:$I$2010,$C$9,'LAC 102_Wkst'!$E$7:$E$2010,$C63,'LAC 102_Wkst'!$G$7:$G$2010,$D63,'LAC 102_Wkst'!$L$7:$L$2010,"11",'LAC 102_Wkst'!$N$7:$N$2010,"P3")+SUMIFS('LAC 102_Wkst'!$AF$7:$AF$2010,'LAC 102_Wkst'!$D$7:$D$2010,$C$7,'LAC 102_Wkst'!$I$7:$I$2010,$C$9,'LAC 102_Wkst'!$E$7:$E$2010,$C63,'LAC 102_Wkst'!$G$7:$G$2010,$D63,'LAC 102_Wkst'!$L$7:$L$2010,"12",'LAC 102_Wkst'!$N$7:$N$2010,"P3")</f>
        <v>0</v>
      </c>
      <c r="AX63" s="410">
        <f>SUMIFS('LAC 102_Wkst'!$Q$7:$Q$2010,'LAC 102_Wkst'!$D$7:$D$2010,$C$7,'LAC 102_Wkst'!$I$7:$I$2010,$C$9,'LAC 102_Wkst'!$E$7:$E$2010,$C63,'LAC 102_Wkst'!$G$7:$G$2010,$D63,'LAC 102_Wkst'!$L$7:$L$2010,"11",'LAC 102_Wkst'!$N$7:$N$2010,"P4")+SUMIFS('LAC 102_Wkst'!$Q$7:$Q$2010,'LAC 102_Wkst'!$D$7:$D$2010,$C$7,'LAC 102_Wkst'!$I$7:$I$2010,$C$9,'LAC 102_Wkst'!$E$7:$E$2010,$C63,'LAC 102_Wkst'!$G$7:$G$2010,$D63,'LAC 102_Wkst'!$L$7:$L$2010,"12",'LAC 102_Wkst'!$N$7:$N$2010,"P4")</f>
        <v>0</v>
      </c>
      <c r="AY63" s="411">
        <f>SUMIFS('LAC 102_Wkst'!$AF$7:$AF$2010,'LAC 102_Wkst'!$D$7:$D$2010,$C$7,'LAC 102_Wkst'!$I$7:$I$2010,$C$9,'LAC 102_Wkst'!$E$7:$E$2010,$C63,'LAC 102_Wkst'!$G$7:$G$2010,$D63,'LAC 102_Wkst'!$L$7:$L$2010,"11",'LAC 102_Wkst'!$N$7:$N$2010,"P4")+SUMIFS('LAC 102_Wkst'!$AF$7:$AF$2010,'LAC 102_Wkst'!$D$7:$D$2010,$C$7,'LAC 102_Wkst'!$I$7:$I$2010,$C$9,'LAC 102_Wkst'!$E$7:$E$2010,$C63,'LAC 102_Wkst'!$G$7:$G$2010,$D63,'LAC 102_Wkst'!$L$7:$L$2010,"12",'LAC 102_Wkst'!$N$7:$N$2010,"P4")</f>
        <v>0</v>
      </c>
      <c r="AZ63" s="410">
        <f>SUMIFS('LAC 102_Wkst'!$Q$7:$Q$2010,'LAC 102_Wkst'!$D$7:$D$2010,$C$7,'LAC 102_Wkst'!$I$7:$I$2010,$C$9,'LAC 102_Wkst'!$E$7:$E$2010,$C63,'LAC 102_Wkst'!$G$7:$G$2010,$D63,'LAC 102_Wkst'!$L$7:$L$2010,"11",'LAC 102_Wkst'!$N$7:$N$2010,"P5")+SUMIFS('LAC 102_Wkst'!$Q$7:$Q$2010,'LAC 102_Wkst'!$D$7:$D$2010,$C$7,'LAC 102_Wkst'!$I$7:$I$2010,$C$9,'LAC 102_Wkst'!$E$7:$E$2010,$C63,'LAC 102_Wkst'!$G$7:$G$2010,$D63,'LAC 102_Wkst'!$L$7:$L$2010,"12",'LAC 102_Wkst'!$N$7:$N$2010,"P5")</f>
        <v>0</v>
      </c>
      <c r="BA63" s="411">
        <f>SUMIFS('LAC 102_Wkst'!$AF$7:$AF$2010,'LAC 102_Wkst'!$D$7:$D$2010,$C$7,'LAC 102_Wkst'!$I$7:$I$2010,$C$9,'LAC 102_Wkst'!$E$7:$E$2010,$C63,'LAC 102_Wkst'!$G$7:$G$2010,$D63,'LAC 102_Wkst'!$L$7:$L$2010,"11",'LAC 102_Wkst'!$N$7:$N$2010,"P5")+SUMIFS('LAC 102_Wkst'!$AF$7:$AF$2010,'LAC 102_Wkst'!$D$7:$D$2010,$C$7,'LAC 102_Wkst'!$I$7:$I$2010,$C$9,'LAC 102_Wkst'!$E$7:$E$2010,$C63,'LAC 102_Wkst'!$G$7:$G$2010,$D63,'LAC 102_Wkst'!$L$7:$L$2010,"12",'LAC 102_Wkst'!$N$7:$N$2010,"P5")</f>
        <v>0</v>
      </c>
      <c r="BB63" s="410">
        <f>SUMIFS('LAC 102_Wkst'!$Q$7:$Q$2010,'LAC 102_Wkst'!$D$7:$D$2010,$C$7,'LAC 102_Wkst'!$I$7:$I$2010,$C$9,'LAC 102_Wkst'!$E$7:$E$2010,$C63,'LAC 102_Wkst'!$G$7:$G$2010,$D63,'LAC 102_Wkst'!$L$7:$L$2010,"13",'LAC 102_Wkst'!$N$7:$N$2010,"P1")+SUMIFS('LAC 102_Wkst'!$Q$7:$Q$2010,'LAC 102_Wkst'!$D$7:$D$2010,$C$7,'LAC 102_Wkst'!$I$7:$I$2010,$C$9,'LAC 102_Wkst'!$E$7:$E$2010,$C63,'LAC 102_Wkst'!$G$7:$G$2010,$D63,'LAC 102_Wkst'!$L$7:$L$2010,"13",'LAC 102_Wkst'!$N$7:$N$2010,"P2")+SUMIFS('LAC 102_Wkst'!$Q$7:$Q$2010,'LAC 102_Wkst'!$D$7:$D$2010,$C$7,'LAC 102_Wkst'!$I$7:$I$2010,$C$9,'LAC 102_Wkst'!$E$7:$E$2010,$C63,'LAC 102_Wkst'!$G$7:$G$2010,$D63,'LAC 102_Wkst'!$L$7:$L$2010,"13",'LAC 102_Wkst'!$N$7:$N$2010,"P3")+SUMIFS('LAC 102_Wkst'!$Q$7:$Q$2010,'LAC 102_Wkst'!$D$7:$D$2010,$C$7,'LAC 102_Wkst'!$I$7:$I$2010,$C$9,'LAC 102_Wkst'!$E$7:$E$2010,$C63,'LAC 102_Wkst'!$G$7:$G$2010,$D63,'LAC 102_Wkst'!$L$7:$L$2010,"13",'LAC 102_Wkst'!$N$7:$N$2010,"P4")</f>
        <v>0</v>
      </c>
      <c r="BC63" s="411">
        <f>SUMIFS('LAC 102_Wkst'!$AF$7:$AF$2010,'LAC 102_Wkst'!$D$7:$D$2010,$C$7,'LAC 102_Wkst'!$I$7:$I$2010,$C$9,'LAC 102_Wkst'!$E$7:$E$2010,$C63,'LAC 102_Wkst'!$G$7:$G$2010,$D63,'LAC 102_Wkst'!$L$7:$L$2010,"13",'LAC 102_Wkst'!$N$7:$N$2010,"P1")+SUMIFS('LAC 102_Wkst'!$AF$7:$AF$2010,'LAC 102_Wkst'!$D$7:$D$2010,$C$7,'LAC 102_Wkst'!$I$7:$I$2010,$C$9,'LAC 102_Wkst'!$E$7:$E$2010,$C63,'LAC 102_Wkst'!$G$7:$G$2010,$D63,'LAC 102_Wkst'!$L$7:$L$2010,"13",'LAC 102_Wkst'!$N$7:$N$2010,"P2")+SUMIFS('LAC 102_Wkst'!$AF$7:$AF$2010,'LAC 102_Wkst'!$D$7:$D$2010,$C$7,'LAC 102_Wkst'!$I$7:$I$2010,$C$9,'LAC 102_Wkst'!$E$7:$E$2010,$C63,'LAC 102_Wkst'!$G$7:$G$2010,$D63,'LAC 102_Wkst'!$L$7:$L$2010,"13",'LAC 102_Wkst'!$N$7:$N$2010,"P3")+SUMIFS('LAC 102_Wkst'!$AF$7:$AF$2010,'LAC 102_Wkst'!$D$7:$D$2010,$C$7,'LAC 102_Wkst'!$I$7:$I$2010,$C$9,'LAC 102_Wkst'!$E$7:$E$2010,$C63,'LAC 102_Wkst'!$G$7:$G$2010,$D63,'LAC 102_Wkst'!$L$7:$L$2010,"13",'LAC 102_Wkst'!$N$7:$N$2010,"P4")</f>
        <v>0</v>
      </c>
      <c r="BD63" s="410">
        <f>SUMIFS('LAC 102_Wkst'!$Q$7:$Q$2010,'LAC 102_Wkst'!$D$7:$D$2010,$C$7,'LAC 102_Wkst'!$I$7:$I$2010,$C$9,'LAC 102_Wkst'!$E$7:$E$2010,$C63,'LAC 102_Wkst'!$G$7:$G$2010,$D63,'LAC 102_Wkst'!$L$7:$L$2010,"13",'LAC 102_Wkst'!$N$7:$N$2010,"P5")</f>
        <v>0</v>
      </c>
      <c r="BE63" s="411">
        <f>SUMIFS('LAC 102_Wkst'!$AF$7:$AF$2010,'LAC 102_Wkst'!$D$7:$D$2010,$C$7,'LAC 102_Wkst'!$I$7:$I$2010,$C$9,'LAC 102_Wkst'!$E$7:$E$2010,$C63,'LAC 102_Wkst'!$G$7:$G$2010,$D63,'LAC 102_Wkst'!$L$7:$L$2010,"13",'LAC 102_Wkst'!$N$7:$N$2010,"P5")</f>
        <v>0</v>
      </c>
      <c r="BF63" s="407">
        <f t="shared" si="4"/>
        <v>0</v>
      </c>
      <c r="BG63" s="1654">
        <f>SUMIFS('LAC 102_Wkst'!$AF$7:$AF$2010,'LAC 102_Wkst'!$D$7:$D$2010,$C$7,'LAC 102_Wkst'!$I$7:$I$2010,$C$9,'LAC 102_Wkst'!$E$7:$E$2010,$C63,'LAC 102_Wkst'!$G$7:$G$2010,$D63,'LAC 102_Wkst'!$L$7:$L$2010,"14")</f>
        <v>0</v>
      </c>
    </row>
    <row r="64" spans="1:59" x14ac:dyDescent="0.2">
      <c r="A64" s="401">
        <v>42</v>
      </c>
      <c r="B64" s="1678" t="str">
        <f>IF(Schedule_B!B$61="","",Schedule_B!B$61)</f>
        <v/>
      </c>
      <c r="C64" s="1674" t="str">
        <f>IF(Schedule_B!C$61=""," ",Schedule_B!C$61)</f>
        <v xml:space="preserve"> </v>
      </c>
      <c r="D64" s="1675" t="str">
        <f>IF(Schedule_B!D$61=""," ",Schedule_B!D$61)</f>
        <v xml:space="preserve"> </v>
      </c>
      <c r="E64" s="1221">
        <f>SUMIFS('LAC 102_Wkst'!$Q$7:$Q$2010,'LAC 102_Wkst'!$D$7:$D$2010,$C$7,'LAC 102_Wkst'!$I$7:$I$2010,$C$9,'LAC 102_Wkst'!$E$7:$E$2010,$C64,'LAC 102_Wkst'!$G$7:$G$2010,$D64)</f>
        <v>0</v>
      </c>
      <c r="F64" s="408">
        <f>SUMIFS('LAC 102_Wkst'!$Q$7:$Q$2010,'LAC 102_Wkst'!$D$7:$D$2010,$C$7,'LAC 102_Wkst'!$I$7:$I$2010,$C$9,'LAC 102_Wkst'!$E$7:$E$2010,$C64,'LAC 102_Wkst'!$G$7:$G$2010,$D64,'LAC 102_Wkst'!$L$7:$L$2010,"01",'LAC 102_Wkst'!$N$7:$N$2010,"P1")+SUMIFS('LAC 102_Wkst'!$Q$7:$Q$2010,'LAC 102_Wkst'!$D$7:$D$2010,$C$7,'LAC 102_Wkst'!$I$7:$I$2010,$C$9,'LAC 102_Wkst'!$E$7:$E$2010,$C64,'LAC 102_Wkst'!$G$7:$G$2010,$D64,'LAC 102_Wkst'!$L$7:$L$2010,"01",'LAC 102_Wkst'!$N$7:$N$2010,"P2")+SUMIFS('LAC 102_Wkst'!$Q$7:$Q$2010,'LAC 102_Wkst'!$D$7:$D$2010,$C$7,'LAC 102_Wkst'!$I$7:$I$2010,$C$9,'LAC 102_Wkst'!$E$7:$E$2010,$C64,'LAC 102_Wkst'!$G$7:$G$2010,$D64,'LAC 102_Wkst'!$L$7:$L$2010,"01",'LAC 102_Wkst'!$N$7:$N$2010,"P3")+SUMIFS('LAC 102_Wkst'!$Q$7:$Q$2010,'LAC 102_Wkst'!$D$7:$D$2010,$C$7,'LAC 102_Wkst'!$I$7:$I$2010,$C$9,'LAC 102_Wkst'!$E$7:$E$2010,$C64,'LAC 102_Wkst'!$G$7:$G$2010,$D64,'LAC 102_Wkst'!$L$7:$L$2010,"02",'LAC 102_Wkst'!$N$7:$N$2010,"P1")+SUMIFS('LAC 102_Wkst'!$Q$7:$Q$2010,'LAC 102_Wkst'!$D$7:$D$2010,$C$7,'LAC 102_Wkst'!$I$7:$I$2010,$C$9,'LAC 102_Wkst'!$E$7:$E$2010,$C64,'LAC 102_Wkst'!$G$7:$G$2010,$D64,'LAC 102_Wkst'!$L$7:$L$2010,"02",'LAC 102_Wkst'!$N$7:$N$2010,"P2")+SUMIFS('LAC 102_Wkst'!$Q$7:$Q$2010,'LAC 102_Wkst'!$D$7:$D$2010,$C$7,'LAC 102_Wkst'!$I$7:$I$2010,$C$9,'LAC 102_Wkst'!$E$7:$E$2010,$C64,'LAC 102_Wkst'!$G$7:$G$2010,$D64,'LAC 102_Wkst'!$L$7:$L$2010,"02",'LAC 102_Wkst'!$N$7:$N$2010,"P3")</f>
        <v>0</v>
      </c>
      <c r="G64" s="409">
        <f>SUMIFS('LAC 102_Wkst'!$AF$7:$AF$2010,'LAC 102_Wkst'!$D$7:$D$2010,$C$7,'LAC 102_Wkst'!$I$7:$I$2010,$C$9,'LAC 102_Wkst'!$E$7:$E$2010,$C64,'LAC 102_Wkst'!$G$7:$G$2010,$D64,'LAC 102_Wkst'!$L$7:$L$2010,"01",'LAC 102_Wkst'!$N$7:$N$2010,"P1")+SUMIFS('LAC 102_Wkst'!$AF$7:$AF$2010,'LAC 102_Wkst'!$D$7:$D$2010,$C$7,'LAC 102_Wkst'!$I$7:$I$2010,$C$9,'LAC 102_Wkst'!$E$7:$E$2010,$C64,'LAC 102_Wkst'!$G$7:$G$2010,$D64,'LAC 102_Wkst'!$L$7:$L$2010,"01",'LAC 102_Wkst'!$N$7:$N$2010,"P2")+SUMIFS('LAC 102_Wkst'!$AF$7:$AF$2010,'LAC 102_Wkst'!$D$7:$D$2010,$C$7,'LAC 102_Wkst'!$I$7:$I$2010,$C$9,'LAC 102_Wkst'!$E$7:$E$2010,$C64,'LAC 102_Wkst'!$G$7:$G$2010,$D64,'LAC 102_Wkst'!$L$7:$L$2010,"01",'LAC 102_Wkst'!$N$7:$N$2010,"P3")+SUMIFS('LAC 102_Wkst'!$AF$7:$AF$2010,'LAC 102_Wkst'!$D$7:$D$2010,$C$7,'LAC 102_Wkst'!$I$7:$I$2010,$C$9,'LAC 102_Wkst'!$E$7:$E$2010,$C64,'LAC 102_Wkst'!$G$7:$G$2010,$D64,'LAC 102_Wkst'!$L$7:$L$2010,"02",'LAC 102_Wkst'!$N$7:$N$2010,"P1")+SUMIFS('LAC 102_Wkst'!$AF$7:$AF$2010,'LAC 102_Wkst'!$D$7:$D$2010,$C$7,'LAC 102_Wkst'!$I$7:$I$2010,$C$9,'LAC 102_Wkst'!$E$7:$E$2010,$C64,'LAC 102_Wkst'!$G$7:$G$2010,$D64,'LAC 102_Wkst'!$L$7:$L$2010,"02",'LAC 102_Wkst'!$N$7:$N$2010,"P2")+SUMIFS('LAC 102_Wkst'!$AF$7:$AF$2010,'LAC 102_Wkst'!$D$7:$D$2010,$C$7,'LAC 102_Wkst'!$I$7:$I$2010,$C$9,'LAC 102_Wkst'!$E$7:$E$2010,$C64,'LAC 102_Wkst'!$G$7:$G$2010,$D64,'LAC 102_Wkst'!$L$7:$L$2010,"02",'LAC 102_Wkst'!$N$7:$N$2010,"P3")</f>
        <v>0</v>
      </c>
      <c r="H64" s="410">
        <f>SUMIFS('LAC 102_Wkst'!$Q$7:$Q$2010,'LAC 102_Wkst'!$D$7:$D$2010,$C$7,'LAC 102_Wkst'!$I$7:$I$2010,$C$9,'LAC 102_Wkst'!$E$7:$E$2010,$C64,'LAC 102_Wkst'!$G$7:$G$2010,$D64,'LAC 102_Wkst'!$L$7:$L$2010,"01",'LAC 102_Wkst'!$N$7:$N$2010,"P4")+SUMIFS('LAC 102_Wkst'!$Q$7:$Q$2010,'LAC 102_Wkst'!$D$7:$D$2010,$C$7,'LAC 102_Wkst'!$I$7:$I$2010,$C$9,'LAC 102_Wkst'!$E$7:$E$2010,$C64,'LAC 102_Wkst'!$G$7:$G$2010,$D64,'LAC 102_Wkst'!$L$7:$L$2010,"02",'LAC 102_Wkst'!$N$7:$N$2010,"P4")</f>
        <v>0</v>
      </c>
      <c r="I64" s="411">
        <f>SUMIFS('LAC 102_Wkst'!$AF$7:$AF$2010,'LAC 102_Wkst'!$D$7:$D$2010,$C$7,'LAC 102_Wkst'!$I$7:$I$2010,$C$9,'LAC 102_Wkst'!$E$7:$E$2010,$C64,'LAC 102_Wkst'!$G$7:$G$2010,$D64,'LAC 102_Wkst'!$L$7:$L$2010,"01",'LAC 102_Wkst'!$N$7:$N$2010,"P4")+SUMIFS('LAC 102_Wkst'!$AF$7:$AF$2010,'LAC 102_Wkst'!$D$7:$D$2010,$C$7,'LAC 102_Wkst'!$I$7:$I$2010,$C$9,'LAC 102_Wkst'!$E$7:$E$2010,$C64,'LAC 102_Wkst'!$G$7:$G$2010,$D64,'LAC 102_Wkst'!$L$7:$L$2010,"02",'LAC 102_Wkst'!$N$7:$N$2010,"P4")</f>
        <v>0</v>
      </c>
      <c r="J64" s="410">
        <f>SUMIFS('LAC 102_Wkst'!$Q$7:$Q$2010,'LAC 102_Wkst'!$D$7:$D$2010,$C$7,'LAC 102_Wkst'!$I$7:$I$2010,$C$9,'LAC 102_Wkst'!$E$7:$E$2010,$C64,'LAC 102_Wkst'!$G$7:$G$2010,$D64,'LAC 102_Wkst'!$L$7:$L$2010,"01",'LAC 102_Wkst'!$N$7:$N$2010,"P5")+SUMIFS('LAC 102_Wkst'!$Q$7:$Q$2010,'LAC 102_Wkst'!$D$7:$D$2010,$C$7,'LAC 102_Wkst'!$I$7:$I$2010,$C$9,'LAC 102_Wkst'!$E$7:$E$2010,$C64,'LAC 102_Wkst'!$G$7:$G$2010,$D64,'LAC 102_Wkst'!$L$7:$L$2010,"02",'LAC 102_Wkst'!$N$7:$N$2010,"P5")</f>
        <v>0</v>
      </c>
      <c r="K64" s="411">
        <f>SUMIFS('LAC 102_Wkst'!$AF$7:$AF$2010,'LAC 102_Wkst'!$D$7:$D$2010,$C$7,'LAC 102_Wkst'!$I$7:$I$2010,$C$9,'LAC 102_Wkst'!$E$7:$E$2010,$C64,'LAC 102_Wkst'!$G$7:$G$2010,$D64,'LAC 102_Wkst'!$L$7:$L$2010,"01",'LAC 102_Wkst'!$N$7:$N$2010,"P5")+SUMIFS('LAC 102_Wkst'!$AF$7:$AF$2010,'LAC 102_Wkst'!$D$7:$D$2010,$C$7,'LAC 102_Wkst'!$I$7:$I$2010,$C$9,'LAC 102_Wkst'!$E$7:$E$2010,$C64,'LAC 102_Wkst'!$G$7:$G$2010,$D64,'LAC 102_Wkst'!$L$7:$L$2010,"02",'LAC 102_Wkst'!$N$7:$N$2010,"P5")</f>
        <v>0</v>
      </c>
      <c r="L64" s="410">
        <f>SUMIFS('LAC 102_Wkst'!$Q$7:$Q$2010,'LAC 102_Wkst'!$D$7:$D$2010,$C$7,'LAC 102_Wkst'!$I$7:$I$2010,$C$9,'LAC 102_Wkst'!$E$7:$E$2010,$C64,'LAC 102_Wkst'!$G$7:$G$2010,$D64,'LAC 102_Wkst'!$L$7:$L$2010,"03",'LAC 102_Wkst'!$N$7:$N$2010,"P1")+SUMIFS('LAC 102_Wkst'!$Q$7:$Q$2010,'LAC 102_Wkst'!$D$7:$D$2010,$C$7,'LAC 102_Wkst'!$I$7:$I$2010,$C$9,'LAC 102_Wkst'!$E$7:$E$2010,$C64,'LAC 102_Wkst'!$G$7:$G$2010,$D64,'LAC 102_Wkst'!$L$7:$L$2010,"03",'LAC 102_Wkst'!$N$7:$N$2010,"P2")+SUMIFS('LAC 102_Wkst'!$Q$7:$Q$2010,'LAC 102_Wkst'!$D$7:$D$2010,$C$7,'LAC 102_Wkst'!$I$7:$I$2010,$C$9,'LAC 102_Wkst'!$E$7:$E$2010,$C64,'LAC 102_Wkst'!$G$7:$G$2010,$D64,'LAC 102_Wkst'!$L$7:$L$2010,"03",'LAC 102_Wkst'!$N$7:$N$2010,"P3")+SUMIFS('LAC 102_Wkst'!$Q$7:$Q$2010,'LAC 102_Wkst'!$D$7:$D$2010,$C$7,'LAC 102_Wkst'!$I$7:$I$2010,$C$9,'LAC 102_Wkst'!$E$7:$E$2010,$C64,'LAC 102_Wkst'!$G$7:$G$2010,$D64,'LAC 102_Wkst'!$L$7:$L$2010,"04",'LAC 102_Wkst'!$N$7:$N$2010,"P1")+SUMIFS('LAC 102_Wkst'!$Q$7:$Q$2010,'LAC 102_Wkst'!$D$7:$D$2010,$C$7,'LAC 102_Wkst'!$I$7:$I$2010,$C$9,'LAC 102_Wkst'!$E$7:$E$2010,$C64,'LAC 102_Wkst'!$G$7:$G$2010,$D64,'LAC 102_Wkst'!$L$7:$L$2010,"04",'LAC 102_Wkst'!$N$7:$N$2010,"P2")+SUMIFS('LAC 102_Wkst'!$Q$7:$Q$2010,'LAC 102_Wkst'!$D$7:$D$2010,$C$7,'LAC 102_Wkst'!$I$7:$I$2010,$C$9,'LAC 102_Wkst'!$E$7:$E$2010,$C64,'LAC 102_Wkst'!$G$7:$G$2010,$D64,'LAC 102_Wkst'!$L$7:$L$2010,"04",'LAC 102_Wkst'!$N$7:$N$2010,"P3")</f>
        <v>0</v>
      </c>
      <c r="M64" s="411">
        <f>SUMIFS('LAC 102_Wkst'!$AF$7:$AF$2010,'LAC 102_Wkst'!$D$7:$D$2010,$C$7,'LAC 102_Wkst'!$I$7:$I$2010,$C$9,'LAC 102_Wkst'!$E$7:$E$2010,$C64,'LAC 102_Wkst'!$G$7:$G$2010,$D64,'LAC 102_Wkst'!$L$7:$L$2010,"03",'LAC 102_Wkst'!$N$7:$N$2010,"P1")+SUMIFS('LAC 102_Wkst'!$AF$7:$AF$2010,'LAC 102_Wkst'!$D$7:$D$2010,$C$7,'LAC 102_Wkst'!$I$7:$I$2010,$C$9,'LAC 102_Wkst'!$E$7:$E$2010,$C64,'LAC 102_Wkst'!$G$7:$G$2010,$D64,'LAC 102_Wkst'!$L$7:$L$2010,"03",'LAC 102_Wkst'!$N$7:$N$2010,"P2")+SUMIFS('LAC 102_Wkst'!$AF$7:$AF$2010,'LAC 102_Wkst'!$D$7:$D$2010,$C$7,'LAC 102_Wkst'!$I$7:$I$2010,$C$9,'LAC 102_Wkst'!$E$7:$E$2010,$C64,'LAC 102_Wkst'!$G$7:$G$2010,$D64,'LAC 102_Wkst'!$L$7:$L$2010,"03",'LAC 102_Wkst'!$N$7:$N$2010,"P3")+SUMIFS('LAC 102_Wkst'!$AF$7:$AF$2010,'LAC 102_Wkst'!$D$7:$D$2010,$C$7,'LAC 102_Wkst'!$I$7:$I$2010,$C$9,'LAC 102_Wkst'!$E$7:$E$2010,$C64,'LAC 102_Wkst'!$G$7:$G$2010,$D64,'LAC 102_Wkst'!$L$7:$L$2010,"04",'LAC 102_Wkst'!$N$7:$N$2010,"P1")+SUMIFS('LAC 102_Wkst'!$AF$7:$AF$2010,'LAC 102_Wkst'!$D$7:$D$2010,$C$7,'LAC 102_Wkst'!$I$7:$I$2010,$C$9,'LAC 102_Wkst'!$E$7:$E$2010,$C64,'LAC 102_Wkst'!$G$7:$G$2010,$D64,'LAC 102_Wkst'!$L$7:$L$2010,"04",'LAC 102_Wkst'!$N$7:$N$2010,"P2")+SUMIFS('LAC 102_Wkst'!$AF$7:$AF$2010,'LAC 102_Wkst'!$D$7:$D$2010,$C$7,'LAC 102_Wkst'!$I$7:$I$2010,$C$9,'LAC 102_Wkst'!$E$7:$E$2010,$C64,'LAC 102_Wkst'!$G$7:$G$2010,$D64,'LAC 102_Wkst'!$L$7:$L$2010,"04",'LAC 102_Wkst'!$N$7:$N$2010,"P3")</f>
        <v>0</v>
      </c>
      <c r="N64" s="410">
        <f>SUMIFS('LAC 102_Wkst'!$Q$7:$Q$2010,'LAC 102_Wkst'!$D$7:$D$2010,$C$7,'LAC 102_Wkst'!$I$7:$I$2010,$C$9,'LAC 102_Wkst'!$E$7:$E$2010,$C64,'LAC 102_Wkst'!$G$7:$G$2010,$D64,'LAC 102_Wkst'!$L$7:$L$2010,"03",'LAC 102_Wkst'!$N$7:$N$2010,"P4")+SUMIFS('LAC 102_Wkst'!$Q$7:$Q$2010,'LAC 102_Wkst'!$D$7:$D$2010,$C$7,'LAC 102_Wkst'!$I$7:$I$2010,$C$9,'LAC 102_Wkst'!$E$7:$E$2010,$C64,'LAC 102_Wkst'!$G$7:$G$2010,$D64,'LAC 102_Wkst'!$L$7:$L$2010,"04",'LAC 102_Wkst'!$N$7:$N$2010,"P4")</f>
        <v>0</v>
      </c>
      <c r="O64" s="411">
        <f>SUMIFS('LAC 102_Wkst'!$AF$7:$AF$2010,'LAC 102_Wkst'!$D$7:$D$2010,$C$7,'LAC 102_Wkst'!$I$7:$I$2010,$C$9,'LAC 102_Wkst'!$E$7:$E$2010,$C64,'LAC 102_Wkst'!$G$7:$G$2010,$D64,'LAC 102_Wkst'!$L$7:$L$2010,"03",'LAC 102_Wkst'!$N$7:$N$2010,"P4")+SUMIFS('LAC 102_Wkst'!$AF$7:$AF$2010,'LAC 102_Wkst'!$D$7:$D$2010,$C$7,'LAC 102_Wkst'!$I$7:$I$2010,$C$9,'LAC 102_Wkst'!$E$7:$E$2010,$C64,'LAC 102_Wkst'!$G$7:$G$2010,$D64,'LAC 102_Wkst'!$L$7:$L$2010,"04",'LAC 102_Wkst'!$N$7:$N$2010,"P4")</f>
        <v>0</v>
      </c>
      <c r="P64" s="410">
        <f>SUMIFS('LAC 102_Wkst'!$Q$7:$Q$2010,'LAC 102_Wkst'!$D$7:$D$2010,$C$7,'LAC 102_Wkst'!$I$7:$I$2010,$C$9,'LAC 102_Wkst'!$E$7:$E$2010,$C64,'LAC 102_Wkst'!$G$7:$G$2010,$D64,'LAC 102_Wkst'!$L$7:$L$2010,"03",'LAC 102_Wkst'!$N$7:$N$2010,"P5")+SUMIFS('LAC 102_Wkst'!$Q$7:$Q$2010,'LAC 102_Wkst'!$D$7:$D$2010,$C$7,'LAC 102_Wkst'!$I$7:$I$2010,$C$9,'LAC 102_Wkst'!$E$7:$E$2010,$C64,'LAC 102_Wkst'!$G$7:$G$2010,$D64,'LAC 102_Wkst'!$L$7:$L$2010,"04",'LAC 102_Wkst'!$N$7:$N$2010,"P5")</f>
        <v>0</v>
      </c>
      <c r="Q64" s="411">
        <f>SUMIFS('LAC 102_Wkst'!$AF$7:$AF$2010,'LAC 102_Wkst'!$D$7:$D$2010,$C$7,'LAC 102_Wkst'!$I$7:$I$2010,$C$9,'LAC 102_Wkst'!$E$7:$E$2010,$C64,'LAC 102_Wkst'!$G$7:$G$2010,$D64,'LAC 102_Wkst'!$L$7:$L$2010,"03",'LAC 102_Wkst'!$N$7:$N$2010,"P5")+SUMIFS('LAC 102_Wkst'!$AF$7:$AF$2010,'LAC 102_Wkst'!$D$7:$D$2010,$C$7,'LAC 102_Wkst'!$I$7:$I$2010,$C$9,'LAC 102_Wkst'!$E$7:$E$2010,$C64,'LAC 102_Wkst'!$G$7:$G$2010,$D64,'LAC 102_Wkst'!$L$7:$L$2010,"04",'LAC 102_Wkst'!$N$7:$N$2010,"P5")</f>
        <v>0</v>
      </c>
      <c r="R64" s="412">
        <f>SUMIFS('LAC 102_Wkst'!$Q$7:$Q$2010,'LAC 102_Wkst'!$D$7:$D$2010,$C$7,'LAC 102_Wkst'!$I$7:$I$2010,$C$9,'LAC 102_Wkst'!$E$7:$E$2010,$C64,'LAC 102_Wkst'!$G$7:$G$2010,$D64,'LAC 102_Wkst'!$L$7:$L$2010,"05",'LAC 102_Wkst'!$N$7:$N$2010,"P1")+SUMIFS('LAC 102_Wkst'!$Q$7:$Q$2010,'LAC 102_Wkst'!$D$7:$D$2010,$C$7,'LAC 102_Wkst'!$I$7:$I$2010,$C$9,'LAC 102_Wkst'!$E$7:$E$2010,$C64,'LAC 102_Wkst'!$G$7:$G$2010,$D64,'LAC 102_Wkst'!$L$7:$L$2010,"06",'LAC 102_Wkst'!$N$7:$N$2010,"P1")</f>
        <v>0</v>
      </c>
      <c r="S64" s="411">
        <f>SUMIFS('LAC 102_Wkst'!$AF$7:$AF$2010,'LAC 102_Wkst'!$D$7:$D$2010,$C$7,'LAC 102_Wkst'!$I$7:$I$2010,$C$9,'LAC 102_Wkst'!$E$7:$E$2010,$C64,'LAC 102_Wkst'!$G$7:$G$2010,$D64,'LAC 102_Wkst'!$L$7:$L$2010,"05",'LAC 102_Wkst'!$N$7:$N$2010,"P1")+SUMIFS('LAC 102_Wkst'!$AF$7:$AF$2010,'LAC 102_Wkst'!$D$7:$D$2010,$C$7,'LAC 102_Wkst'!$I$7:$I$2010,$C$9,'LAC 102_Wkst'!$E$7:$E$2010,$C64,'LAC 102_Wkst'!$G$7:$G$2010,$D64,'LAC 102_Wkst'!$L$7:$L$2010,"06",'LAC 102_Wkst'!$N$7:$N$2010,"P1")</f>
        <v>0</v>
      </c>
      <c r="T64" s="410">
        <f>SUMIFS('LAC 102_Wkst'!$Q$7:$Q$2010,'LAC 102_Wkst'!$D$7:$D$2010,$C$7,'LAC 102_Wkst'!$I$7:$I$2010,$C$9,'LAC 102_Wkst'!$E$7:$E$2010,$C64,'LAC 102_Wkst'!$G$7:$G$2010,$D64,'LAC 102_Wkst'!$L$7:$L$2010,"05",'LAC 102_Wkst'!$N$7:$N$2010,"P2")+SUMIFS('LAC 102_Wkst'!$Q$7:$Q$2010,'LAC 102_Wkst'!$D$7:$D$2010,$C$7,'LAC 102_Wkst'!$I$7:$I$2010,$C$9,'LAC 102_Wkst'!$E$7:$E$2010,$C64,'LAC 102_Wkst'!$G$7:$G$2010,$D64,'LAC 102_Wkst'!$L$7:$L$2010,"06",'LAC 102_Wkst'!$N$7:$N$2010,"P2")+SUMIFS('LAC 102_Wkst'!$Q$7:$Q$2010,'LAC 102_Wkst'!$D$7:$D$2010,$C$7,'LAC 102_Wkst'!$I$7:$I$2010,$C$9,'LAC 102_Wkst'!$E$7:$E$2010,$C64,'LAC 102_Wkst'!$G$7:$G$2010,$D64,'LAC 102_Wkst'!$L$7:$L$2010,"05",'LAC 102_Wkst'!$N$7:$N$2010,"P3")+SUMIFS('LAC 102_Wkst'!$Q$7:$Q$2010,'LAC 102_Wkst'!$D$7:$D$2010,$C$7,'LAC 102_Wkst'!$I$7:$I$2010,$C$9,'LAC 102_Wkst'!$E$7:$E$2010,$C64,'LAC 102_Wkst'!$G$7:$G$2010,$D64,'LAC 102_Wkst'!$L$7:$L$2010,"06",'LAC 102_Wkst'!$N$7:$N$2010,"P3")</f>
        <v>0</v>
      </c>
      <c r="U64" s="411">
        <f>SUMIFS('LAC 102_Wkst'!$AF$7:$AF$2010,'LAC 102_Wkst'!$D$7:$D$2010,$C$7,'LAC 102_Wkst'!$I$7:$I$2010,$C$9,'LAC 102_Wkst'!$E$7:$E$2010,$C64,'LAC 102_Wkst'!$G$7:$G$2010,$D64,'LAC 102_Wkst'!$L$7:$L$2010,"05",'LAC 102_Wkst'!$N$7:$N$2010,"P2")+SUMIFS('LAC 102_Wkst'!$AF$7:$AF$2010,'LAC 102_Wkst'!$D$7:$D$2010,$C$7,'LAC 102_Wkst'!$I$7:$I$2010,$C$9,'LAC 102_Wkst'!$E$7:$E$2010,$C64,'LAC 102_Wkst'!$G$7:$G$2010,$D64,'LAC 102_Wkst'!$L$7:$L$2010,"06",'LAC 102_Wkst'!$N$7:$N$2010,"P2")+SUMIFS('LAC 102_Wkst'!$AF$7:$AF$2010,'LAC 102_Wkst'!$D$7:$D$2010,$C$7,'LAC 102_Wkst'!$I$7:$I$2010,$C$9,'LAC 102_Wkst'!$E$7:$E$2010,$C64,'LAC 102_Wkst'!$G$7:$G$2010,$D64,'LAC 102_Wkst'!$L$7:$L$2010,"05",'LAC 102_Wkst'!$N$7:$N$2010,"P3")+SUMIFS('LAC 102_Wkst'!$AF$7:$AF$2010,'LAC 102_Wkst'!$D$7:$D$2010,$C$7,'LAC 102_Wkst'!$I$7:$I$2010,$C$9,'LAC 102_Wkst'!$E$7:$E$2010,$C64,'LAC 102_Wkst'!$G$7:$G$2010,$D64,'LAC 102_Wkst'!$L$7:$L$2010,"06",'LAC 102_Wkst'!$N$7:$N$2010,"P3")</f>
        <v>0</v>
      </c>
      <c r="V64" s="410">
        <f>SUMIFS('LAC 102_Wkst'!$Q$7:$Q$2010,'LAC 102_Wkst'!$D$7:$D$2010,$C$7,'LAC 102_Wkst'!$I$7:$I$2010,$C$9,'LAC 102_Wkst'!$E$7:$E$2010,$C64,'LAC 102_Wkst'!$G$7:$G$2010,$D64,'LAC 102_Wkst'!$L$7:$L$2010,"05",'LAC 102_Wkst'!$N$7:$N$2010,"P4")+SUMIFS('LAC 102_Wkst'!$Q$7:$Q$2010,'LAC 102_Wkst'!$D$7:$D$2010,$C$7,'LAC 102_Wkst'!$I$7:$I$2010,$C$9,'LAC 102_Wkst'!$E$7:$E$2010,$C64,'LAC 102_Wkst'!$G$7:$G$2010,$D64,'LAC 102_Wkst'!$L$7:$L$2010,"06",'LAC 102_Wkst'!$N$7:$N$2010,"P4")</f>
        <v>0</v>
      </c>
      <c r="W64" s="411">
        <f>SUMIFS('LAC 102_Wkst'!$AF$7:$AF$2010,'LAC 102_Wkst'!$D$7:$D$2010,$C$7,'LAC 102_Wkst'!$I$7:$I$2010,$C$9,'LAC 102_Wkst'!$E$7:$E$2010,$C64,'LAC 102_Wkst'!$G$7:$G$2010,$D64,'LAC 102_Wkst'!$L$7:$L$2010,"05",'LAC 102_Wkst'!$N$7:$N$2010,"P4")+SUMIFS('LAC 102_Wkst'!$AF$7:$AF$2010,'LAC 102_Wkst'!$D$7:$D$2010,$C$7,'LAC 102_Wkst'!$I$7:$I$2010,$C$9,'LAC 102_Wkst'!$E$7:$E$2010,$C64,'LAC 102_Wkst'!$G$7:$G$2010,$D64,'LAC 102_Wkst'!$L$7:$L$2010,"06",'LAC 102_Wkst'!$N$7:$N$2010,"P4")</f>
        <v>0</v>
      </c>
      <c r="X64" s="410">
        <f>SUMIFS('LAC 102_Wkst'!$Q$7:$Q$2010,'LAC 102_Wkst'!$D$7:$D$2010,$C$7,'LAC 102_Wkst'!$I$7:$I$2010,$C$9,'LAC 102_Wkst'!$E$7:$E$2010,$C64,'LAC 102_Wkst'!$G$7:$G$2010,$D64,'LAC 102_Wkst'!$L$7:$L$2010,"05",'LAC 102_Wkst'!$N$7:$N$2010,"P5")+SUMIFS('LAC 102_Wkst'!$Q$7:$Q$2010,'LAC 102_Wkst'!$D$7:$D$2010,$C$7,'LAC 102_Wkst'!$I$7:$I$2010,$C$9,'LAC 102_Wkst'!$E$7:$E$2010,$C64,'LAC 102_Wkst'!$G$7:$G$2010,$D64,'LAC 102_Wkst'!$L$7:$L$2010,"06",'LAC 102_Wkst'!$N$7:$N$2010,"P5")</f>
        <v>0</v>
      </c>
      <c r="Y64" s="411">
        <f>SUMIFS('LAC 102_Wkst'!$AF$7:$AF$2010,'LAC 102_Wkst'!$D$7:$D$2010,$C$7,'LAC 102_Wkst'!$I$7:$I$2010,$C$9,'LAC 102_Wkst'!$E$7:$E$2010,$C64,'LAC 102_Wkst'!$G$7:$G$2010,$D64,'LAC 102_Wkst'!$L$7:$L$2010,"05",'LAC 102_Wkst'!$N$7:$N$2010,"P5")+SUMIFS('LAC 102_Wkst'!$AF$7:$AF$2010,'LAC 102_Wkst'!$D$7:$D$2010,$C$7,'LAC 102_Wkst'!$I$7:$I$2010,$C$9,'LAC 102_Wkst'!$E$7:$E$2010,$C64,'LAC 102_Wkst'!$G$7:$G$2010,$D64,'LAC 102_Wkst'!$L$7:$L$2010,"06",'LAC 102_Wkst'!$N$7:$N$2010,"P5")</f>
        <v>0</v>
      </c>
      <c r="Z64" s="410">
        <f>SUMIFS('LAC 102_Wkst'!$Q$7:$Q$2010,'LAC 102_Wkst'!$D$7:$D$2010,$C$7,'LAC 102_Wkst'!$I$7:$I$2010,$C$9,'LAC 102_Wkst'!$E$7:$E$2010,$C64,'LAC 102_Wkst'!$G$7:$G$2010,$D64,'LAC 102_Wkst'!$L$7:$L$2010,"07",'LAC 102_Wkst'!$N$7:$N$2010,"P1")+SUMIFS('LAC 102_Wkst'!$Q$7:$Q$2010,'LAC 102_Wkst'!$D$7:$D$2010,$C$7,'LAC 102_Wkst'!$I$7:$I$2010,$C$9,'LAC 102_Wkst'!$E$7:$E$2010,$C64,'LAC 102_Wkst'!$G$7:$G$2010,$D64,'LAC 102_Wkst'!$L$7:$L$2010,"07",'LAC 102_Wkst'!$N$7:$N$2010,"P2")+SUMIFS('LAC 102_Wkst'!$Q$7:$Q$2010,'LAC 102_Wkst'!$D$7:$D$2010,$C$7,'LAC 102_Wkst'!$I$7:$I$2010,$C$9,'LAC 102_Wkst'!$E$7:$E$2010,$C64,'LAC 102_Wkst'!$G$7:$G$2010,$D64,'LAC 102_Wkst'!$L$7:$L$2010,"07",'LAC 102_Wkst'!$N$7:$N$2010,"P3")</f>
        <v>0</v>
      </c>
      <c r="AA64" s="411">
        <f>SUMIFS('LAC 102_Wkst'!$AF$7:$AF$2010,'LAC 102_Wkst'!$D$7:$D$2010,$C$7,'LAC 102_Wkst'!$I$7:$I$2010,$C$9,'LAC 102_Wkst'!$E$7:$E$2010,$C64,'LAC 102_Wkst'!$G$7:$G$2010,$D64,'LAC 102_Wkst'!$L$7:$L$2010,"07",'LAC 102_Wkst'!$N$7:$N$2010,"P1")+SUMIFS('LAC 102_Wkst'!$AF$7:$AF$2010,'LAC 102_Wkst'!$D$7:$D$2010,$C$7,'LAC 102_Wkst'!$I$7:$I$2010,$C$9,'LAC 102_Wkst'!$E$7:$E$2010,$C64,'LAC 102_Wkst'!$G$7:$G$2010,$D64,'LAC 102_Wkst'!$L$7:$L$2010,"07",'LAC 102_Wkst'!$N$7:$N$2010,"P2")+SUMIFS('LAC 102_Wkst'!$AF$7:$AF$2010,'LAC 102_Wkst'!$D$7:$D$2010,$C$7,'LAC 102_Wkst'!$I$7:$I$2010,$C$9,'LAC 102_Wkst'!$E$7:$E$2010,$C64,'LAC 102_Wkst'!$G$7:$G$2010,$D64,'LAC 102_Wkst'!$L$7:$L$2010,"07",'LAC 102_Wkst'!$N$7:$N$2010,"P3")</f>
        <v>0</v>
      </c>
      <c r="AB64" s="410">
        <f>SUMIFS('LAC 102_Wkst'!$Q$7:$Q$2010,'LAC 102_Wkst'!$D$7:$D$2010,$C$7,'LAC 102_Wkst'!$I$7:$I$2010,$C$9,'LAC 102_Wkst'!$E$7:$E$2010,$C64,'LAC 102_Wkst'!$G$7:$G$2010,$D64,'LAC 102_Wkst'!$L$7:$L$2010,"07",'LAC 102_Wkst'!$N$7:$N$2010,"P4")</f>
        <v>0</v>
      </c>
      <c r="AC64" s="411">
        <f>SUMIFS('LAC 102_Wkst'!$AF$7:$AF$2010,'LAC 102_Wkst'!$D$7:$D$2010,$C$7,'LAC 102_Wkst'!$I$7:$I$2010,$C$9,'LAC 102_Wkst'!$E$7:$E$2010,$C64,'LAC 102_Wkst'!$G$7:$G$2010,$D64,'LAC 102_Wkst'!$L$7:$L$2010,"07",'LAC 102_Wkst'!$N$7:$N$2010,"P4")</f>
        <v>0</v>
      </c>
      <c r="AD64" s="410">
        <f>SUMIFS('LAC 102_Wkst'!$Q$7:$Q$2010,'LAC 102_Wkst'!$D$7:$D$2010,$C$7,'LAC 102_Wkst'!$I$7:$I$2010,$C$9,'LAC 102_Wkst'!$E$7:$E$2010,$C64,'LAC 102_Wkst'!$G$7:$G$2010,$D64,'LAC 102_Wkst'!$L$7:$L$2010,"07",'LAC 102_Wkst'!$N$7:$N$2010,"P5")</f>
        <v>0</v>
      </c>
      <c r="AE64" s="411">
        <f>SUMIFS('LAC 102_Wkst'!$AF$7:$AF$2010,'LAC 102_Wkst'!$D$7:$D$2010,$C$7,'LAC 102_Wkst'!$I$7:$I$2010,$C$9,'LAC 102_Wkst'!$E$7:$E$2010,$C64,'LAC 102_Wkst'!$G$7:$G$2010,$D64,'LAC 102_Wkst'!$L$7:$L$2010,"07",'LAC 102_Wkst'!$N$7:$N$2010,"P5")</f>
        <v>0</v>
      </c>
      <c r="AF64" s="410">
        <f>SUMIFS('LAC 102_Wkst'!$Q$7:$Q$2010,'LAC 102_Wkst'!$D$7:$D$2010,$C$7,'LAC 102_Wkst'!$I$7:$I$2010,$C$9,'LAC 102_Wkst'!$E$7:$E$2010,$C64,'LAC 102_Wkst'!$G$7:$G$2010,$D64,'LAC 102_Wkst'!$L$7:$L$2010,"08",'LAC 102_Wkst'!$N$7:$N$2010,"P1")+SUMIFS('LAC 102_Wkst'!$Q$7:$Q$2010,'LAC 102_Wkst'!$D$7:$D$2010,$C$7,'LAC 102_Wkst'!$I$7:$I$2010,$C$9,'LAC 102_Wkst'!$E$7:$E$2010,$C64,'LAC 102_Wkst'!$G$7:$G$2010,$D64,'LAC 102_Wkst'!$L$7:$L$2010,"08",'LAC 102_Wkst'!$N$7:$N$2010,"P2")+SUMIFS('LAC 102_Wkst'!$Q$7:$Q$2010,'LAC 102_Wkst'!$D$7:$D$2010,$C$7,'LAC 102_Wkst'!$I$7:$I$2010,$C$9,'LAC 102_Wkst'!$E$7:$E$2010,$C64,'LAC 102_Wkst'!$G$7:$G$2010,$D64,'LAC 102_Wkst'!$L$7:$L$2010,"08",'LAC 102_Wkst'!$N$7:$N$2010,"P3")</f>
        <v>0</v>
      </c>
      <c r="AG64" s="411">
        <f>SUMIFS('LAC 102_Wkst'!$AF$7:$AF$2010,'LAC 102_Wkst'!$D$7:$D$2010,$C$7,'LAC 102_Wkst'!$I$7:$I$2010,$C$9,'LAC 102_Wkst'!$E$7:$E$2010,$C64,'LAC 102_Wkst'!$G$7:$G$2010,$D64,'LAC 102_Wkst'!$L$7:$L$2010,"08",'LAC 102_Wkst'!$N$7:$N$2010,"P1")+SUMIFS('LAC 102_Wkst'!$AF$7:$AF$2010,'LAC 102_Wkst'!$D$7:$D$2010,$C$7,'LAC 102_Wkst'!$I$7:$I$2010,$C$9,'LAC 102_Wkst'!$E$7:$E$2010,$C64,'LAC 102_Wkst'!$G$7:$G$2010,$D64,'LAC 102_Wkst'!$L$7:$L$2010,"08",'LAC 102_Wkst'!$N$7:$N$2010,"P2")+SUMIFS('LAC 102_Wkst'!$AF$7:$AF$2010,'LAC 102_Wkst'!$D$7:$D$2010,$C$7,'LAC 102_Wkst'!$I$7:$I$2010,$C$9,'LAC 102_Wkst'!$E$7:$E$2010,$C64,'LAC 102_Wkst'!$G$7:$G$2010,$D64,'LAC 102_Wkst'!$L$7:$L$2010,"08",'LAC 102_Wkst'!$N$7:$N$2010,"P3")</f>
        <v>0</v>
      </c>
      <c r="AH64" s="410">
        <f>SUMIFS('LAC 102_Wkst'!$Q$7:$Q$2010,'LAC 102_Wkst'!$D$7:$D$2010,$C$7,'LAC 102_Wkst'!$I$7:$I$2010,$C$9,'LAC 102_Wkst'!$E$7:$E$2010,$C64,'LAC 102_Wkst'!$G$7:$G$2010,$D64,'LAC 102_Wkst'!$L$7:$L$2010,"08",'LAC 102_Wkst'!$N$7:$N$2010,"P4")</f>
        <v>0</v>
      </c>
      <c r="AI64" s="411">
        <f>SUMIFS('LAC 102_Wkst'!$AF$7:$AF$2010,'LAC 102_Wkst'!$D$7:$D$2010,$C$7,'LAC 102_Wkst'!$I$7:$I$2010,$C$9,'LAC 102_Wkst'!$E$7:$E$2010,$C64,'LAC 102_Wkst'!$G$7:$G$2010,$D64,'LAC 102_Wkst'!$L$7:$L$2010,"08",'LAC 102_Wkst'!$N$7:$N$2010,"P4")</f>
        <v>0</v>
      </c>
      <c r="AJ64" s="410">
        <f>SUMIFS('LAC 102_Wkst'!$Q$7:$Q$2010,'LAC 102_Wkst'!$D$7:$D$2010,$C$7,'LAC 102_Wkst'!$I$7:$I$2010,$C$9,'LAC 102_Wkst'!$E$7:$E$2010,$C64,'LAC 102_Wkst'!$G$7:$G$2010,$D64,'LAC 102_Wkst'!$L$7:$L$2010,"08",'LAC 102_Wkst'!$N$7:$N$2010,"P5")</f>
        <v>0</v>
      </c>
      <c r="AK64" s="411">
        <f>SUMIFS('LAC 102_Wkst'!$AF$7:$AF$2010,'LAC 102_Wkst'!$D$7:$D$2010,$C$7,'LAC 102_Wkst'!$I$7:$I$2010,$C$9,'LAC 102_Wkst'!$E$7:$E$2010,$C64,'LAC 102_Wkst'!$G$7:$G$2010,$D64,'LAC 102_Wkst'!$L$7:$L$2010,"08",'LAC 102_Wkst'!$N$7:$N$2010,"P5")</f>
        <v>0</v>
      </c>
      <c r="AL64" s="410">
        <f>SUMIFS('LAC 102_Wkst'!$Q$7:$Q$2010,'LAC 102_Wkst'!$D$7:$D$2010,$C$7,'LAC 102_Wkst'!$I$7:$I$2010,$C$9,'LAC 102_Wkst'!$E$7:$E$2010,$C64,'LAC 102_Wkst'!$G$7:$G$2010,$D64,'LAC 102_Wkst'!$L$7:$L$2010,"09",'LAC 102_Wkst'!$N$7:$N$2010,"P1")+SUMIFS('LAC 102_Wkst'!$Q$7:$Q$2010,'LAC 102_Wkst'!$D$7:$D$2010,$C$7,'LAC 102_Wkst'!$I$7:$I$2010,$C$9,'LAC 102_Wkst'!$E$7:$E$2010,$C64,'LAC 102_Wkst'!$G$7:$G$2010,$D64,'LAC 102_Wkst'!$L$7:$L$2010,"09",'LAC 102_Wkst'!$N$7:$N$2010,"P2")+SUMIFS('LAC 102_Wkst'!$Q$7:$Q$2010,'LAC 102_Wkst'!$D$7:$D$2010,$C$7,'LAC 102_Wkst'!$I$7:$I$2010,$C$9,'LAC 102_Wkst'!$E$7:$E$2010,$C64,'LAC 102_Wkst'!$G$7:$G$2010,$D64,'LAC 102_Wkst'!$L$7:$L$2010,"09",'LAC 102_Wkst'!$N$7:$N$2010,"P3")+SUMIFS('LAC 102_Wkst'!$Q$7:$Q$2010,'LAC 102_Wkst'!$D$7:$D$2010,$C$7,'LAC 102_Wkst'!$I$7:$I$2010,$C$9,'LAC 102_Wkst'!$E$7:$E$2010,$C64,'LAC 102_Wkst'!$G$7:$G$2010,$D64,'LAC 102_Wkst'!$L$7:$L$2010,"09",'LAC 102_Wkst'!$N$7:$N$2010,"P4")</f>
        <v>0</v>
      </c>
      <c r="AM64" s="411">
        <f>SUMIFS('LAC 102_Wkst'!$AF$7:$AF$2010,'LAC 102_Wkst'!$D$7:$D$2010,$C$7,'LAC 102_Wkst'!$I$7:$I$2010,$C$9,'LAC 102_Wkst'!$E$7:$E$2010,$C64,'LAC 102_Wkst'!$G$7:$G$2010,$D64,'LAC 102_Wkst'!$L$7:$L$2010,"09",'LAC 102_Wkst'!$N$7:$N$2010,"P1")+SUMIFS('LAC 102_Wkst'!$AF$7:$AF$2010,'LAC 102_Wkst'!$D$7:$D$2010,$C$7,'LAC 102_Wkst'!$I$7:$I$2010,$C$9,'LAC 102_Wkst'!$E$7:$E$2010,$C64,'LAC 102_Wkst'!$G$7:$G$2010,$D64,'LAC 102_Wkst'!$L$7:$L$2010,"09",'LAC 102_Wkst'!$N$7:$N$2010,"P2")+SUMIFS('LAC 102_Wkst'!$AF$7:$AF$2010,'LAC 102_Wkst'!$D$7:$D$2010,$C$7,'LAC 102_Wkst'!$I$7:$I$2010,$C$9,'LAC 102_Wkst'!$E$7:$E$2010,$C64,'LAC 102_Wkst'!$G$7:$G$2010,$D64,'LAC 102_Wkst'!$L$7:$L$2010,"09",'LAC 102_Wkst'!$N$7:$N$2010,"P3")+SUMIFS('LAC 102_Wkst'!$AF$7:$AF$2010,'LAC 102_Wkst'!$D$7:$D$2010,$C$7,'LAC 102_Wkst'!$I$7:$I$2010,$C$9,'LAC 102_Wkst'!$E$7:$E$2010,$C64,'LAC 102_Wkst'!$G$7:$G$2010,$D64,'LAC 102_Wkst'!$L$7:$L$2010,"09",'LAC 102_Wkst'!$N$7:$N$2010,"P4")</f>
        <v>0</v>
      </c>
      <c r="AN64" s="410">
        <f>SUMIFS('LAC 102_Wkst'!$Q$7:$Q$2010,'LAC 102_Wkst'!$D$7:$D$2010,$C$7,'LAC 102_Wkst'!$I$7:$I$2010,$C$9,'LAC 102_Wkst'!$E$7:$E$2010,$C64,'LAC 102_Wkst'!$G$7:$G$2010,$D64,'LAC 102_Wkst'!$L$7:$L$2010,"09",'LAC 102_Wkst'!$N$7:$N$2010,"P5")</f>
        <v>0</v>
      </c>
      <c r="AO64" s="411">
        <f>SUMIFS('LAC 102_Wkst'!$AF$7:$AF$2010,'LAC 102_Wkst'!$D$7:$D$2010,$C$7,'LAC 102_Wkst'!$I$7:$I$2010,$C$9,'LAC 102_Wkst'!$E$7:$E$2010,$C64,'LAC 102_Wkst'!$G$7:$G$2010,$D64,'LAC 102_Wkst'!$L$7:$L$2010,"09",'LAC 102_Wkst'!$N$7:$N$2010,"P5")</f>
        <v>0</v>
      </c>
      <c r="AP64" s="410">
        <f>SUMIFS('LAC 102_Wkst'!$Q$7:$Q$2010,'LAC 102_Wkst'!$D$7:$D$2010,$C$7,'LAC 102_Wkst'!$I$7:$I$2010,$C$9,'LAC 102_Wkst'!$E$7:$E$2010,$C64,'LAC 102_Wkst'!$G$7:$G$2010,$D64,'LAC 102_Wkst'!$L$7:$L$2010,"10",'LAC 102_Wkst'!$N$7:$N$2010,"P1")+SUMIFS('LAC 102_Wkst'!$Q$7:$Q$2010,'LAC 102_Wkst'!$D$7:$D$2010,$C$7,'LAC 102_Wkst'!$I$7:$I$2010,$C$9,'LAC 102_Wkst'!$E$7:$E$2010,$C64,'LAC 102_Wkst'!$G$7:$G$2010,$D64,'LAC 102_Wkst'!$L$7:$L$2010,"10",'LAC 102_Wkst'!$N$7:$N$2010,"P2")+SUMIFS('LAC 102_Wkst'!$Q$7:$Q$2010,'LAC 102_Wkst'!$D$7:$D$2010,$C$7,'LAC 102_Wkst'!$I$7:$I$2010,$C$9,'LAC 102_Wkst'!$E$7:$E$2010,$C64,'LAC 102_Wkst'!$G$7:$G$2010,$D64,'LAC 102_Wkst'!$L$7:$L$2010,"10",'LAC 102_Wkst'!$N$7:$N$2010,"P3")+SUMIFS('LAC 102_Wkst'!$Q$7:$Q$2010,'LAC 102_Wkst'!$D$7:$D$2010,$C$7,'LAC 102_Wkst'!$I$7:$I$2010,$C$9,'LAC 102_Wkst'!$E$7:$E$2010,$C64,'LAC 102_Wkst'!$G$7:$G$2010,$D64,'LAC 102_Wkst'!$L$7:$L$2010,"10",'LAC 102_Wkst'!$N$7:$N$2010,"P4")</f>
        <v>0</v>
      </c>
      <c r="AQ64" s="411">
        <f>SUMIFS('LAC 102_Wkst'!$AF$7:$AF$2010,'LAC 102_Wkst'!$D$7:$D$2010,$C$7,'LAC 102_Wkst'!$I$7:$I$2010,$C$9,'LAC 102_Wkst'!$E$7:$E$2010,$C64,'LAC 102_Wkst'!$G$7:$G$2010,$D64,'LAC 102_Wkst'!$L$7:$L$2010,"10",'LAC 102_Wkst'!$N$7:$N$2010,"P1")+SUMIFS('LAC 102_Wkst'!$AF$7:$AF$2010,'LAC 102_Wkst'!$D$7:$D$2010,$C$7,'LAC 102_Wkst'!$I$7:$I$2010,$C$9,'LAC 102_Wkst'!$E$7:$E$2010,$C64,'LAC 102_Wkst'!$G$7:$G$2010,$D64,'LAC 102_Wkst'!$L$7:$L$2010,"10",'LAC 102_Wkst'!$N$7:$N$2010,"P2")+SUMIFS('LAC 102_Wkst'!$AF$7:$AF$2010,'LAC 102_Wkst'!$D$7:$D$2010,$C$7,'LAC 102_Wkst'!$I$7:$I$2010,$C$9,'LAC 102_Wkst'!$E$7:$E$2010,$C64,'LAC 102_Wkst'!$G$7:$G$2010,$D64,'LAC 102_Wkst'!$L$7:$L$2010,"10",'LAC 102_Wkst'!$N$7:$N$2010,"P3")+SUMIFS('LAC 102_Wkst'!$AF$7:$AF$2010,'LAC 102_Wkst'!$D$7:$D$2010,$C$7,'LAC 102_Wkst'!$I$7:$I$2010,$C$9,'LAC 102_Wkst'!$E$7:$E$2010,$C64,'LAC 102_Wkst'!$G$7:$G$2010,$D64,'LAC 102_Wkst'!$L$7:$L$2010,"10",'LAC 102_Wkst'!$N$7:$N$2010,"P4")</f>
        <v>0</v>
      </c>
      <c r="AR64" s="410">
        <f>SUMIFS('LAC 102_Wkst'!$Q$7:$Q$2010,'LAC 102_Wkst'!$D$7:$D$2010,$C$7,'LAC 102_Wkst'!$I$7:$I$2010,$C$9,'LAC 102_Wkst'!$E$7:$E$2010,$C64,'LAC 102_Wkst'!$G$7:$G$2010,$D64,'LAC 102_Wkst'!$L$7:$L$2010,"10",'LAC 102_Wkst'!$N$7:$N$2010,"P5")</f>
        <v>0</v>
      </c>
      <c r="AS64" s="411">
        <f>SUMIFS('LAC 102_Wkst'!$AF$7:$AF$2010,'LAC 102_Wkst'!$D$7:$D$2010,$C$7,'LAC 102_Wkst'!$I$7:$I$2010,$C$9,'LAC 102_Wkst'!$E$7:$E$2010,$C64,'LAC 102_Wkst'!$G$7:$G$2010,$D64,'LAC 102_Wkst'!$L$7:$L$2010,"10",'LAC 102_Wkst'!$N$7:$N$2010,"P5")</f>
        <v>0</v>
      </c>
      <c r="AT64" s="410">
        <f>SUMIFS('LAC 102_Wkst'!$Q$7:$Q$2010,'LAC 102_Wkst'!$D$7:$D$2010,$C$7,'LAC 102_Wkst'!$I$7:$I$2010,$C$9,'LAC 102_Wkst'!$E$7:$E$2010,$C64,'LAC 102_Wkst'!$G$7:$G$2010,$D64,'LAC 102_Wkst'!$L$7:$L$2010,"11",'LAC 102_Wkst'!$N$7:$N$2010,"P1")+SUMIFS('LAC 102_Wkst'!$Q$7:$Q$2010,'LAC 102_Wkst'!$D$7:$D$2010,$C$7,'LAC 102_Wkst'!$I$7:$I$2010,$C$9,'LAC 102_Wkst'!$E$7:$E$2010,$C64,'LAC 102_Wkst'!$G$7:$G$2010,$D64,'LAC 102_Wkst'!$L$7:$L$2010,"12",'LAC 102_Wkst'!$N$7:$N$2010,"P1")</f>
        <v>0</v>
      </c>
      <c r="AU64" s="411">
        <f>SUMIFS('LAC 102_Wkst'!$Q$7:$Q$2010,'LAC 102_Wkst'!$D$7:$D$2010,$C$7,'LAC 102_Wkst'!$I$7:$I$2010,$C$9,'LAC 102_Wkst'!$E$7:$E$2010,$C64,'LAC 102_Wkst'!$G$7:$G$2010,$D64,'LAC 102_Wkst'!$L$7:$L$2010,"13",'LAC 102_Wkst'!$N$7:$N$2010,"P5")</f>
        <v>0</v>
      </c>
      <c r="AV64" s="410">
        <f>SUMIFS('LAC 102_Wkst'!$Q$7:$Q$2010,'LAC 102_Wkst'!$D$7:$D$2010,$C$7,'LAC 102_Wkst'!$I$7:$I$2010,$C$9,'LAC 102_Wkst'!$E$7:$E$2010,$C64,'LAC 102_Wkst'!$G$7:$G$2010,$D64,'LAC 102_Wkst'!$L$7:$L$2010,"11",'LAC 102_Wkst'!$N$7:$N$2010,"P2")+SUMIFS('LAC 102_Wkst'!$Q$7:$Q$2010,'LAC 102_Wkst'!$D$7:$D$2010,$C$7,'LAC 102_Wkst'!$I$7:$I$2010,$C$9,'LAC 102_Wkst'!$E$7:$E$2010,$C64,'LAC 102_Wkst'!$G$7:$G$2010,$D64,'LAC 102_Wkst'!$L$7:$L$2010,"12",'LAC 102_Wkst'!$N$7:$N$2010,"P2")+SUMIFS('LAC 102_Wkst'!$Q$7:$Q$2010,'LAC 102_Wkst'!$D$7:$D$2010,$C$7,'LAC 102_Wkst'!$I$7:$I$2010,$C$9,'LAC 102_Wkst'!$E$7:$E$2010,$C64,'LAC 102_Wkst'!$G$7:$G$2010,$D64,'LAC 102_Wkst'!$L$7:$L$2010,"11",'LAC 102_Wkst'!$N$7:$N$2010,"P3")+SUMIFS('LAC 102_Wkst'!$Q$7:$Q$2010,'LAC 102_Wkst'!$D$7:$D$2010,$C$7,'LAC 102_Wkst'!$I$7:$I$2010,$C$9,'LAC 102_Wkst'!$E$7:$E$2010,$C64,'LAC 102_Wkst'!$G$7:$G$2010,$D64,'LAC 102_Wkst'!$L$7:$L$2010,"12",'LAC 102_Wkst'!$N$7:$N$2010,"P3")</f>
        <v>0</v>
      </c>
      <c r="AW64" s="411">
        <f>SUMIFS('LAC 102_Wkst'!$AF$7:$AF$2010,'LAC 102_Wkst'!$D$7:$D$2010,$C$7,'LAC 102_Wkst'!$I$7:$I$2010,$C$9,'LAC 102_Wkst'!$E$7:$E$2010,$C64,'LAC 102_Wkst'!$G$7:$G$2010,$D64,'LAC 102_Wkst'!$L$7:$L$2010,"11",'LAC 102_Wkst'!$N$7:$N$2010,"P2")+SUMIFS('LAC 102_Wkst'!$AF$7:$AF$2010,'LAC 102_Wkst'!$D$7:$D$2010,$C$7,'LAC 102_Wkst'!$I$7:$I$2010,$C$9,'LAC 102_Wkst'!$E$7:$E$2010,$C64,'LAC 102_Wkst'!$G$7:$G$2010,$D64,'LAC 102_Wkst'!$L$7:$L$2010,"12",'LAC 102_Wkst'!$N$7:$N$2010,"P2")+SUMIFS('LAC 102_Wkst'!$AF$7:$AF$2010,'LAC 102_Wkst'!$D$7:$D$2010,$C$7,'LAC 102_Wkst'!$I$7:$I$2010,$C$9,'LAC 102_Wkst'!$E$7:$E$2010,$C64,'LAC 102_Wkst'!$G$7:$G$2010,$D64,'LAC 102_Wkst'!$L$7:$L$2010,"11",'LAC 102_Wkst'!$N$7:$N$2010,"P3")+SUMIFS('LAC 102_Wkst'!$AF$7:$AF$2010,'LAC 102_Wkst'!$D$7:$D$2010,$C$7,'LAC 102_Wkst'!$I$7:$I$2010,$C$9,'LAC 102_Wkst'!$E$7:$E$2010,$C64,'LAC 102_Wkst'!$G$7:$G$2010,$D64,'LAC 102_Wkst'!$L$7:$L$2010,"12",'LAC 102_Wkst'!$N$7:$N$2010,"P3")</f>
        <v>0</v>
      </c>
      <c r="AX64" s="410">
        <f>SUMIFS('LAC 102_Wkst'!$Q$7:$Q$2010,'LAC 102_Wkst'!$D$7:$D$2010,$C$7,'LAC 102_Wkst'!$I$7:$I$2010,$C$9,'LAC 102_Wkst'!$E$7:$E$2010,$C64,'LAC 102_Wkst'!$G$7:$G$2010,$D64,'LAC 102_Wkst'!$L$7:$L$2010,"11",'LAC 102_Wkst'!$N$7:$N$2010,"P4")+SUMIFS('LAC 102_Wkst'!$Q$7:$Q$2010,'LAC 102_Wkst'!$D$7:$D$2010,$C$7,'LAC 102_Wkst'!$I$7:$I$2010,$C$9,'LAC 102_Wkst'!$E$7:$E$2010,$C64,'LAC 102_Wkst'!$G$7:$G$2010,$D64,'LAC 102_Wkst'!$L$7:$L$2010,"12",'LAC 102_Wkst'!$N$7:$N$2010,"P4")</f>
        <v>0</v>
      </c>
      <c r="AY64" s="411">
        <f>SUMIFS('LAC 102_Wkst'!$AF$7:$AF$2010,'LAC 102_Wkst'!$D$7:$D$2010,$C$7,'LAC 102_Wkst'!$I$7:$I$2010,$C$9,'LAC 102_Wkst'!$E$7:$E$2010,$C64,'LAC 102_Wkst'!$G$7:$G$2010,$D64,'LAC 102_Wkst'!$L$7:$L$2010,"11",'LAC 102_Wkst'!$N$7:$N$2010,"P4")+SUMIFS('LAC 102_Wkst'!$AF$7:$AF$2010,'LAC 102_Wkst'!$D$7:$D$2010,$C$7,'LAC 102_Wkst'!$I$7:$I$2010,$C$9,'LAC 102_Wkst'!$E$7:$E$2010,$C64,'LAC 102_Wkst'!$G$7:$G$2010,$D64,'LAC 102_Wkst'!$L$7:$L$2010,"12",'LAC 102_Wkst'!$N$7:$N$2010,"P4")</f>
        <v>0</v>
      </c>
      <c r="AZ64" s="410">
        <f>SUMIFS('LAC 102_Wkst'!$Q$7:$Q$2010,'LAC 102_Wkst'!$D$7:$D$2010,$C$7,'LAC 102_Wkst'!$I$7:$I$2010,$C$9,'LAC 102_Wkst'!$E$7:$E$2010,$C64,'LAC 102_Wkst'!$G$7:$G$2010,$D64,'LAC 102_Wkst'!$L$7:$L$2010,"11",'LAC 102_Wkst'!$N$7:$N$2010,"P5")+SUMIFS('LAC 102_Wkst'!$Q$7:$Q$2010,'LAC 102_Wkst'!$D$7:$D$2010,$C$7,'LAC 102_Wkst'!$I$7:$I$2010,$C$9,'LAC 102_Wkst'!$E$7:$E$2010,$C64,'LAC 102_Wkst'!$G$7:$G$2010,$D64,'LAC 102_Wkst'!$L$7:$L$2010,"12",'LAC 102_Wkst'!$N$7:$N$2010,"P5")</f>
        <v>0</v>
      </c>
      <c r="BA64" s="411">
        <f>SUMIFS('LAC 102_Wkst'!$AF$7:$AF$2010,'LAC 102_Wkst'!$D$7:$D$2010,$C$7,'LAC 102_Wkst'!$I$7:$I$2010,$C$9,'LAC 102_Wkst'!$E$7:$E$2010,$C64,'LAC 102_Wkst'!$G$7:$G$2010,$D64,'LAC 102_Wkst'!$L$7:$L$2010,"11",'LAC 102_Wkst'!$N$7:$N$2010,"P5")+SUMIFS('LAC 102_Wkst'!$AF$7:$AF$2010,'LAC 102_Wkst'!$D$7:$D$2010,$C$7,'LAC 102_Wkst'!$I$7:$I$2010,$C$9,'LAC 102_Wkst'!$E$7:$E$2010,$C64,'LAC 102_Wkst'!$G$7:$G$2010,$D64,'LAC 102_Wkst'!$L$7:$L$2010,"12",'LAC 102_Wkst'!$N$7:$N$2010,"P5")</f>
        <v>0</v>
      </c>
      <c r="BB64" s="410">
        <f>SUMIFS('LAC 102_Wkst'!$Q$7:$Q$2010,'LAC 102_Wkst'!$D$7:$D$2010,$C$7,'LAC 102_Wkst'!$I$7:$I$2010,$C$9,'LAC 102_Wkst'!$E$7:$E$2010,$C64,'LAC 102_Wkst'!$G$7:$G$2010,$D64,'LAC 102_Wkst'!$L$7:$L$2010,"13",'LAC 102_Wkst'!$N$7:$N$2010,"P1")+SUMIFS('LAC 102_Wkst'!$Q$7:$Q$2010,'LAC 102_Wkst'!$D$7:$D$2010,$C$7,'LAC 102_Wkst'!$I$7:$I$2010,$C$9,'LAC 102_Wkst'!$E$7:$E$2010,$C64,'LAC 102_Wkst'!$G$7:$G$2010,$D64,'LAC 102_Wkst'!$L$7:$L$2010,"13",'LAC 102_Wkst'!$N$7:$N$2010,"P2")+SUMIFS('LAC 102_Wkst'!$Q$7:$Q$2010,'LAC 102_Wkst'!$D$7:$D$2010,$C$7,'LAC 102_Wkst'!$I$7:$I$2010,$C$9,'LAC 102_Wkst'!$E$7:$E$2010,$C64,'LAC 102_Wkst'!$G$7:$G$2010,$D64,'LAC 102_Wkst'!$L$7:$L$2010,"13",'LAC 102_Wkst'!$N$7:$N$2010,"P3")+SUMIFS('LAC 102_Wkst'!$Q$7:$Q$2010,'LAC 102_Wkst'!$D$7:$D$2010,$C$7,'LAC 102_Wkst'!$I$7:$I$2010,$C$9,'LAC 102_Wkst'!$E$7:$E$2010,$C64,'LAC 102_Wkst'!$G$7:$G$2010,$D64,'LAC 102_Wkst'!$L$7:$L$2010,"13",'LAC 102_Wkst'!$N$7:$N$2010,"P4")</f>
        <v>0</v>
      </c>
      <c r="BC64" s="411">
        <f>SUMIFS('LAC 102_Wkst'!$AF$7:$AF$2010,'LAC 102_Wkst'!$D$7:$D$2010,$C$7,'LAC 102_Wkst'!$I$7:$I$2010,$C$9,'LAC 102_Wkst'!$E$7:$E$2010,$C64,'LAC 102_Wkst'!$G$7:$G$2010,$D64,'LAC 102_Wkst'!$L$7:$L$2010,"13",'LAC 102_Wkst'!$N$7:$N$2010,"P1")+SUMIFS('LAC 102_Wkst'!$AF$7:$AF$2010,'LAC 102_Wkst'!$D$7:$D$2010,$C$7,'LAC 102_Wkst'!$I$7:$I$2010,$C$9,'LAC 102_Wkst'!$E$7:$E$2010,$C64,'LAC 102_Wkst'!$G$7:$G$2010,$D64,'LAC 102_Wkst'!$L$7:$L$2010,"13",'LAC 102_Wkst'!$N$7:$N$2010,"P2")+SUMIFS('LAC 102_Wkst'!$AF$7:$AF$2010,'LAC 102_Wkst'!$D$7:$D$2010,$C$7,'LAC 102_Wkst'!$I$7:$I$2010,$C$9,'LAC 102_Wkst'!$E$7:$E$2010,$C64,'LAC 102_Wkst'!$G$7:$G$2010,$D64,'LAC 102_Wkst'!$L$7:$L$2010,"13",'LAC 102_Wkst'!$N$7:$N$2010,"P3")+SUMIFS('LAC 102_Wkst'!$AF$7:$AF$2010,'LAC 102_Wkst'!$D$7:$D$2010,$C$7,'LAC 102_Wkst'!$I$7:$I$2010,$C$9,'LAC 102_Wkst'!$E$7:$E$2010,$C64,'LAC 102_Wkst'!$G$7:$G$2010,$D64,'LAC 102_Wkst'!$L$7:$L$2010,"13",'LAC 102_Wkst'!$N$7:$N$2010,"P4")</f>
        <v>0</v>
      </c>
      <c r="BD64" s="410">
        <f>SUMIFS('LAC 102_Wkst'!$Q$7:$Q$2010,'LAC 102_Wkst'!$D$7:$D$2010,$C$7,'LAC 102_Wkst'!$I$7:$I$2010,$C$9,'LAC 102_Wkst'!$E$7:$E$2010,$C64,'LAC 102_Wkst'!$G$7:$G$2010,$D64,'LAC 102_Wkst'!$L$7:$L$2010,"13",'LAC 102_Wkst'!$N$7:$N$2010,"P5")</f>
        <v>0</v>
      </c>
      <c r="BE64" s="411">
        <f>SUMIFS('LAC 102_Wkst'!$AF$7:$AF$2010,'LAC 102_Wkst'!$D$7:$D$2010,$C$7,'LAC 102_Wkst'!$I$7:$I$2010,$C$9,'LAC 102_Wkst'!$E$7:$E$2010,$C64,'LAC 102_Wkst'!$G$7:$G$2010,$D64,'LAC 102_Wkst'!$L$7:$L$2010,"13",'LAC 102_Wkst'!$N$7:$N$2010,"P5")</f>
        <v>0</v>
      </c>
      <c r="BF64" s="407">
        <f t="shared" si="4"/>
        <v>0</v>
      </c>
      <c r="BG64" s="1654">
        <f>SUMIFS('LAC 102_Wkst'!$AF$7:$AF$2010,'LAC 102_Wkst'!$D$7:$D$2010,$C$7,'LAC 102_Wkst'!$I$7:$I$2010,$C$9,'LAC 102_Wkst'!$E$7:$E$2010,$C64,'LAC 102_Wkst'!$G$7:$G$2010,$D64,'LAC 102_Wkst'!$L$7:$L$2010,"14")</f>
        <v>0</v>
      </c>
    </row>
    <row r="65" spans="1:59" x14ac:dyDescent="0.2">
      <c r="A65" s="401">
        <v>43</v>
      </c>
      <c r="B65" s="1678" t="str">
        <f>IF(Schedule_B!B$62="","",Schedule_B!B$62)</f>
        <v/>
      </c>
      <c r="C65" s="1674" t="str">
        <f>IF(Schedule_B!C$62=""," ",Schedule_B!C$62)</f>
        <v xml:space="preserve"> </v>
      </c>
      <c r="D65" s="1675" t="str">
        <f>IF(Schedule_B!D$62=""," ",Schedule_B!D$62)</f>
        <v xml:space="preserve"> </v>
      </c>
      <c r="E65" s="1221">
        <f>SUMIFS('LAC 102_Wkst'!$Q$7:$Q$2010,'LAC 102_Wkst'!$D$7:$D$2010,$C$7,'LAC 102_Wkst'!$I$7:$I$2010,$C$9,'LAC 102_Wkst'!$E$7:$E$2010,$C65,'LAC 102_Wkst'!$G$7:$G$2010,$D65)</f>
        <v>0</v>
      </c>
      <c r="F65" s="408">
        <f>SUMIFS('LAC 102_Wkst'!$Q$7:$Q$2010,'LAC 102_Wkst'!$D$7:$D$2010,$C$7,'LAC 102_Wkst'!$I$7:$I$2010,$C$9,'LAC 102_Wkst'!$E$7:$E$2010,$C65,'LAC 102_Wkst'!$G$7:$G$2010,$D65,'LAC 102_Wkst'!$L$7:$L$2010,"01",'LAC 102_Wkst'!$N$7:$N$2010,"P1")+SUMIFS('LAC 102_Wkst'!$Q$7:$Q$2010,'LAC 102_Wkst'!$D$7:$D$2010,$C$7,'LAC 102_Wkst'!$I$7:$I$2010,$C$9,'LAC 102_Wkst'!$E$7:$E$2010,$C65,'LAC 102_Wkst'!$G$7:$G$2010,$D65,'LAC 102_Wkst'!$L$7:$L$2010,"01",'LAC 102_Wkst'!$N$7:$N$2010,"P2")+SUMIFS('LAC 102_Wkst'!$Q$7:$Q$2010,'LAC 102_Wkst'!$D$7:$D$2010,$C$7,'LAC 102_Wkst'!$I$7:$I$2010,$C$9,'LAC 102_Wkst'!$E$7:$E$2010,$C65,'LAC 102_Wkst'!$G$7:$G$2010,$D65,'LAC 102_Wkst'!$L$7:$L$2010,"01",'LAC 102_Wkst'!$N$7:$N$2010,"P3")+SUMIFS('LAC 102_Wkst'!$Q$7:$Q$2010,'LAC 102_Wkst'!$D$7:$D$2010,$C$7,'LAC 102_Wkst'!$I$7:$I$2010,$C$9,'LAC 102_Wkst'!$E$7:$E$2010,$C65,'LAC 102_Wkst'!$G$7:$G$2010,$D65,'LAC 102_Wkst'!$L$7:$L$2010,"02",'LAC 102_Wkst'!$N$7:$N$2010,"P1")+SUMIFS('LAC 102_Wkst'!$Q$7:$Q$2010,'LAC 102_Wkst'!$D$7:$D$2010,$C$7,'LAC 102_Wkst'!$I$7:$I$2010,$C$9,'LAC 102_Wkst'!$E$7:$E$2010,$C65,'LAC 102_Wkst'!$G$7:$G$2010,$D65,'LAC 102_Wkst'!$L$7:$L$2010,"02",'LAC 102_Wkst'!$N$7:$N$2010,"P2")+SUMIFS('LAC 102_Wkst'!$Q$7:$Q$2010,'LAC 102_Wkst'!$D$7:$D$2010,$C$7,'LAC 102_Wkst'!$I$7:$I$2010,$C$9,'LAC 102_Wkst'!$E$7:$E$2010,$C65,'LAC 102_Wkst'!$G$7:$G$2010,$D65,'LAC 102_Wkst'!$L$7:$L$2010,"02",'LAC 102_Wkst'!$N$7:$N$2010,"P3")</f>
        <v>0</v>
      </c>
      <c r="G65" s="409">
        <f>SUMIFS('LAC 102_Wkst'!$AF$7:$AF$2010,'LAC 102_Wkst'!$D$7:$D$2010,$C$7,'LAC 102_Wkst'!$I$7:$I$2010,$C$9,'LAC 102_Wkst'!$E$7:$E$2010,$C65,'LAC 102_Wkst'!$G$7:$G$2010,$D65,'LAC 102_Wkst'!$L$7:$L$2010,"01",'LAC 102_Wkst'!$N$7:$N$2010,"P1")+SUMIFS('LAC 102_Wkst'!$AF$7:$AF$2010,'LAC 102_Wkst'!$D$7:$D$2010,$C$7,'LAC 102_Wkst'!$I$7:$I$2010,$C$9,'LAC 102_Wkst'!$E$7:$E$2010,$C65,'LAC 102_Wkst'!$G$7:$G$2010,$D65,'LAC 102_Wkst'!$L$7:$L$2010,"01",'LAC 102_Wkst'!$N$7:$N$2010,"P2")+SUMIFS('LAC 102_Wkst'!$AF$7:$AF$2010,'LAC 102_Wkst'!$D$7:$D$2010,$C$7,'LAC 102_Wkst'!$I$7:$I$2010,$C$9,'LAC 102_Wkst'!$E$7:$E$2010,$C65,'LAC 102_Wkst'!$G$7:$G$2010,$D65,'LAC 102_Wkst'!$L$7:$L$2010,"01",'LAC 102_Wkst'!$N$7:$N$2010,"P3")+SUMIFS('LAC 102_Wkst'!$AF$7:$AF$2010,'LAC 102_Wkst'!$D$7:$D$2010,$C$7,'LAC 102_Wkst'!$I$7:$I$2010,$C$9,'LAC 102_Wkst'!$E$7:$E$2010,$C65,'LAC 102_Wkst'!$G$7:$G$2010,$D65,'LAC 102_Wkst'!$L$7:$L$2010,"02",'LAC 102_Wkst'!$N$7:$N$2010,"P1")+SUMIFS('LAC 102_Wkst'!$AF$7:$AF$2010,'LAC 102_Wkst'!$D$7:$D$2010,$C$7,'LAC 102_Wkst'!$I$7:$I$2010,$C$9,'LAC 102_Wkst'!$E$7:$E$2010,$C65,'LAC 102_Wkst'!$G$7:$G$2010,$D65,'LAC 102_Wkst'!$L$7:$L$2010,"02",'LAC 102_Wkst'!$N$7:$N$2010,"P2")+SUMIFS('LAC 102_Wkst'!$AF$7:$AF$2010,'LAC 102_Wkst'!$D$7:$D$2010,$C$7,'LAC 102_Wkst'!$I$7:$I$2010,$C$9,'LAC 102_Wkst'!$E$7:$E$2010,$C65,'LAC 102_Wkst'!$G$7:$G$2010,$D65,'LAC 102_Wkst'!$L$7:$L$2010,"02",'LAC 102_Wkst'!$N$7:$N$2010,"P3")</f>
        <v>0</v>
      </c>
      <c r="H65" s="410">
        <f>SUMIFS('LAC 102_Wkst'!$Q$7:$Q$2010,'LAC 102_Wkst'!$D$7:$D$2010,$C$7,'LAC 102_Wkst'!$I$7:$I$2010,$C$9,'LAC 102_Wkst'!$E$7:$E$2010,$C65,'LAC 102_Wkst'!$G$7:$G$2010,$D65,'LAC 102_Wkst'!$L$7:$L$2010,"01",'LAC 102_Wkst'!$N$7:$N$2010,"P4")+SUMIFS('LAC 102_Wkst'!$Q$7:$Q$2010,'LAC 102_Wkst'!$D$7:$D$2010,$C$7,'LAC 102_Wkst'!$I$7:$I$2010,$C$9,'LAC 102_Wkst'!$E$7:$E$2010,$C65,'LAC 102_Wkst'!$G$7:$G$2010,$D65,'LAC 102_Wkst'!$L$7:$L$2010,"02",'LAC 102_Wkst'!$N$7:$N$2010,"P4")</f>
        <v>0</v>
      </c>
      <c r="I65" s="411">
        <f>SUMIFS('LAC 102_Wkst'!$AF$7:$AF$2010,'LAC 102_Wkst'!$D$7:$D$2010,$C$7,'LAC 102_Wkst'!$I$7:$I$2010,$C$9,'LAC 102_Wkst'!$E$7:$E$2010,$C65,'LAC 102_Wkst'!$G$7:$G$2010,$D65,'LAC 102_Wkst'!$L$7:$L$2010,"01",'LAC 102_Wkst'!$N$7:$N$2010,"P4")+SUMIFS('LAC 102_Wkst'!$AF$7:$AF$2010,'LAC 102_Wkst'!$D$7:$D$2010,$C$7,'LAC 102_Wkst'!$I$7:$I$2010,$C$9,'LAC 102_Wkst'!$E$7:$E$2010,$C65,'LAC 102_Wkst'!$G$7:$G$2010,$D65,'LAC 102_Wkst'!$L$7:$L$2010,"02",'LAC 102_Wkst'!$N$7:$N$2010,"P4")</f>
        <v>0</v>
      </c>
      <c r="J65" s="410">
        <f>SUMIFS('LAC 102_Wkst'!$Q$7:$Q$2010,'LAC 102_Wkst'!$D$7:$D$2010,$C$7,'LAC 102_Wkst'!$I$7:$I$2010,$C$9,'LAC 102_Wkst'!$E$7:$E$2010,$C65,'LAC 102_Wkst'!$G$7:$G$2010,$D65,'LAC 102_Wkst'!$L$7:$L$2010,"01",'LAC 102_Wkst'!$N$7:$N$2010,"P5")+SUMIFS('LAC 102_Wkst'!$Q$7:$Q$2010,'LAC 102_Wkst'!$D$7:$D$2010,$C$7,'LAC 102_Wkst'!$I$7:$I$2010,$C$9,'LAC 102_Wkst'!$E$7:$E$2010,$C65,'LAC 102_Wkst'!$G$7:$G$2010,$D65,'LAC 102_Wkst'!$L$7:$L$2010,"02",'LAC 102_Wkst'!$N$7:$N$2010,"P5")</f>
        <v>0</v>
      </c>
      <c r="K65" s="411">
        <f>SUMIFS('LAC 102_Wkst'!$AF$7:$AF$2010,'LAC 102_Wkst'!$D$7:$D$2010,$C$7,'LAC 102_Wkst'!$I$7:$I$2010,$C$9,'LAC 102_Wkst'!$E$7:$E$2010,$C65,'LAC 102_Wkst'!$G$7:$G$2010,$D65,'LAC 102_Wkst'!$L$7:$L$2010,"01",'LAC 102_Wkst'!$N$7:$N$2010,"P5")+SUMIFS('LAC 102_Wkst'!$AF$7:$AF$2010,'LAC 102_Wkst'!$D$7:$D$2010,$C$7,'LAC 102_Wkst'!$I$7:$I$2010,$C$9,'LAC 102_Wkst'!$E$7:$E$2010,$C65,'LAC 102_Wkst'!$G$7:$G$2010,$D65,'LAC 102_Wkst'!$L$7:$L$2010,"02",'LAC 102_Wkst'!$N$7:$N$2010,"P5")</f>
        <v>0</v>
      </c>
      <c r="L65" s="410">
        <f>SUMIFS('LAC 102_Wkst'!$Q$7:$Q$2010,'LAC 102_Wkst'!$D$7:$D$2010,$C$7,'LAC 102_Wkst'!$I$7:$I$2010,$C$9,'LAC 102_Wkst'!$E$7:$E$2010,$C65,'LAC 102_Wkst'!$G$7:$G$2010,$D65,'LAC 102_Wkst'!$L$7:$L$2010,"03",'LAC 102_Wkst'!$N$7:$N$2010,"P1")+SUMIFS('LAC 102_Wkst'!$Q$7:$Q$2010,'LAC 102_Wkst'!$D$7:$D$2010,$C$7,'LAC 102_Wkst'!$I$7:$I$2010,$C$9,'LAC 102_Wkst'!$E$7:$E$2010,$C65,'LAC 102_Wkst'!$G$7:$G$2010,$D65,'LAC 102_Wkst'!$L$7:$L$2010,"03",'LAC 102_Wkst'!$N$7:$N$2010,"P2")+SUMIFS('LAC 102_Wkst'!$Q$7:$Q$2010,'LAC 102_Wkst'!$D$7:$D$2010,$C$7,'LAC 102_Wkst'!$I$7:$I$2010,$C$9,'LAC 102_Wkst'!$E$7:$E$2010,$C65,'LAC 102_Wkst'!$G$7:$G$2010,$D65,'LAC 102_Wkst'!$L$7:$L$2010,"03",'LAC 102_Wkst'!$N$7:$N$2010,"P3")+SUMIFS('LAC 102_Wkst'!$Q$7:$Q$2010,'LAC 102_Wkst'!$D$7:$D$2010,$C$7,'LAC 102_Wkst'!$I$7:$I$2010,$C$9,'LAC 102_Wkst'!$E$7:$E$2010,$C65,'LAC 102_Wkst'!$G$7:$G$2010,$D65,'LAC 102_Wkst'!$L$7:$L$2010,"04",'LAC 102_Wkst'!$N$7:$N$2010,"P1")+SUMIFS('LAC 102_Wkst'!$Q$7:$Q$2010,'LAC 102_Wkst'!$D$7:$D$2010,$C$7,'LAC 102_Wkst'!$I$7:$I$2010,$C$9,'LAC 102_Wkst'!$E$7:$E$2010,$C65,'LAC 102_Wkst'!$G$7:$G$2010,$D65,'LAC 102_Wkst'!$L$7:$L$2010,"04",'LAC 102_Wkst'!$N$7:$N$2010,"P2")+SUMIFS('LAC 102_Wkst'!$Q$7:$Q$2010,'LAC 102_Wkst'!$D$7:$D$2010,$C$7,'LAC 102_Wkst'!$I$7:$I$2010,$C$9,'LAC 102_Wkst'!$E$7:$E$2010,$C65,'LAC 102_Wkst'!$G$7:$G$2010,$D65,'LAC 102_Wkst'!$L$7:$L$2010,"04",'LAC 102_Wkst'!$N$7:$N$2010,"P3")</f>
        <v>0</v>
      </c>
      <c r="M65" s="411">
        <f>SUMIFS('LAC 102_Wkst'!$AF$7:$AF$2010,'LAC 102_Wkst'!$D$7:$D$2010,$C$7,'LAC 102_Wkst'!$I$7:$I$2010,$C$9,'LAC 102_Wkst'!$E$7:$E$2010,$C65,'LAC 102_Wkst'!$G$7:$G$2010,$D65,'LAC 102_Wkst'!$L$7:$L$2010,"03",'LAC 102_Wkst'!$N$7:$N$2010,"P1")+SUMIFS('LAC 102_Wkst'!$AF$7:$AF$2010,'LAC 102_Wkst'!$D$7:$D$2010,$C$7,'LAC 102_Wkst'!$I$7:$I$2010,$C$9,'LAC 102_Wkst'!$E$7:$E$2010,$C65,'LAC 102_Wkst'!$G$7:$G$2010,$D65,'LAC 102_Wkst'!$L$7:$L$2010,"03",'LAC 102_Wkst'!$N$7:$N$2010,"P2")+SUMIFS('LAC 102_Wkst'!$AF$7:$AF$2010,'LAC 102_Wkst'!$D$7:$D$2010,$C$7,'LAC 102_Wkst'!$I$7:$I$2010,$C$9,'LAC 102_Wkst'!$E$7:$E$2010,$C65,'LAC 102_Wkst'!$G$7:$G$2010,$D65,'LAC 102_Wkst'!$L$7:$L$2010,"03",'LAC 102_Wkst'!$N$7:$N$2010,"P3")+SUMIFS('LAC 102_Wkst'!$AF$7:$AF$2010,'LAC 102_Wkst'!$D$7:$D$2010,$C$7,'LAC 102_Wkst'!$I$7:$I$2010,$C$9,'LAC 102_Wkst'!$E$7:$E$2010,$C65,'LAC 102_Wkst'!$G$7:$G$2010,$D65,'LAC 102_Wkst'!$L$7:$L$2010,"04",'LAC 102_Wkst'!$N$7:$N$2010,"P1")+SUMIFS('LAC 102_Wkst'!$AF$7:$AF$2010,'LAC 102_Wkst'!$D$7:$D$2010,$C$7,'LAC 102_Wkst'!$I$7:$I$2010,$C$9,'LAC 102_Wkst'!$E$7:$E$2010,$C65,'LAC 102_Wkst'!$G$7:$G$2010,$D65,'LAC 102_Wkst'!$L$7:$L$2010,"04",'LAC 102_Wkst'!$N$7:$N$2010,"P2")+SUMIFS('LAC 102_Wkst'!$AF$7:$AF$2010,'LAC 102_Wkst'!$D$7:$D$2010,$C$7,'LAC 102_Wkst'!$I$7:$I$2010,$C$9,'LAC 102_Wkst'!$E$7:$E$2010,$C65,'LAC 102_Wkst'!$G$7:$G$2010,$D65,'LAC 102_Wkst'!$L$7:$L$2010,"04",'LAC 102_Wkst'!$N$7:$N$2010,"P3")</f>
        <v>0</v>
      </c>
      <c r="N65" s="410">
        <f>SUMIFS('LAC 102_Wkst'!$Q$7:$Q$2010,'LAC 102_Wkst'!$D$7:$D$2010,$C$7,'LAC 102_Wkst'!$I$7:$I$2010,$C$9,'LAC 102_Wkst'!$E$7:$E$2010,$C65,'LAC 102_Wkst'!$G$7:$G$2010,$D65,'LAC 102_Wkst'!$L$7:$L$2010,"03",'LAC 102_Wkst'!$N$7:$N$2010,"P4")+SUMIFS('LAC 102_Wkst'!$Q$7:$Q$2010,'LAC 102_Wkst'!$D$7:$D$2010,$C$7,'LAC 102_Wkst'!$I$7:$I$2010,$C$9,'LAC 102_Wkst'!$E$7:$E$2010,$C65,'LAC 102_Wkst'!$G$7:$G$2010,$D65,'LAC 102_Wkst'!$L$7:$L$2010,"04",'LAC 102_Wkst'!$N$7:$N$2010,"P4")</f>
        <v>0</v>
      </c>
      <c r="O65" s="411">
        <f>SUMIFS('LAC 102_Wkst'!$AF$7:$AF$2010,'LAC 102_Wkst'!$D$7:$D$2010,$C$7,'LAC 102_Wkst'!$I$7:$I$2010,$C$9,'LAC 102_Wkst'!$E$7:$E$2010,$C65,'LAC 102_Wkst'!$G$7:$G$2010,$D65,'LAC 102_Wkst'!$L$7:$L$2010,"03",'LAC 102_Wkst'!$N$7:$N$2010,"P4")+SUMIFS('LAC 102_Wkst'!$AF$7:$AF$2010,'LAC 102_Wkst'!$D$7:$D$2010,$C$7,'LAC 102_Wkst'!$I$7:$I$2010,$C$9,'LAC 102_Wkst'!$E$7:$E$2010,$C65,'LAC 102_Wkst'!$G$7:$G$2010,$D65,'LAC 102_Wkst'!$L$7:$L$2010,"04",'LAC 102_Wkst'!$N$7:$N$2010,"P4")</f>
        <v>0</v>
      </c>
      <c r="P65" s="410">
        <f>SUMIFS('LAC 102_Wkst'!$Q$7:$Q$2010,'LAC 102_Wkst'!$D$7:$D$2010,$C$7,'LAC 102_Wkst'!$I$7:$I$2010,$C$9,'LAC 102_Wkst'!$E$7:$E$2010,$C65,'LAC 102_Wkst'!$G$7:$G$2010,$D65,'LAC 102_Wkst'!$L$7:$L$2010,"03",'LAC 102_Wkst'!$N$7:$N$2010,"P5")+SUMIFS('LAC 102_Wkst'!$Q$7:$Q$2010,'LAC 102_Wkst'!$D$7:$D$2010,$C$7,'LAC 102_Wkst'!$I$7:$I$2010,$C$9,'LAC 102_Wkst'!$E$7:$E$2010,$C65,'LAC 102_Wkst'!$G$7:$G$2010,$D65,'LAC 102_Wkst'!$L$7:$L$2010,"04",'LAC 102_Wkst'!$N$7:$N$2010,"P5")</f>
        <v>0</v>
      </c>
      <c r="Q65" s="411">
        <f>SUMIFS('LAC 102_Wkst'!$AF$7:$AF$2010,'LAC 102_Wkst'!$D$7:$D$2010,$C$7,'LAC 102_Wkst'!$I$7:$I$2010,$C$9,'LAC 102_Wkst'!$E$7:$E$2010,$C65,'LAC 102_Wkst'!$G$7:$G$2010,$D65,'LAC 102_Wkst'!$L$7:$L$2010,"03",'LAC 102_Wkst'!$N$7:$N$2010,"P5")+SUMIFS('LAC 102_Wkst'!$AF$7:$AF$2010,'LAC 102_Wkst'!$D$7:$D$2010,$C$7,'LAC 102_Wkst'!$I$7:$I$2010,$C$9,'LAC 102_Wkst'!$E$7:$E$2010,$C65,'LAC 102_Wkst'!$G$7:$G$2010,$D65,'LAC 102_Wkst'!$L$7:$L$2010,"04",'LAC 102_Wkst'!$N$7:$N$2010,"P5")</f>
        <v>0</v>
      </c>
      <c r="R65" s="412">
        <f>SUMIFS('LAC 102_Wkst'!$Q$7:$Q$2010,'LAC 102_Wkst'!$D$7:$D$2010,$C$7,'LAC 102_Wkst'!$I$7:$I$2010,$C$9,'LAC 102_Wkst'!$E$7:$E$2010,$C65,'LAC 102_Wkst'!$G$7:$G$2010,$D65,'LAC 102_Wkst'!$L$7:$L$2010,"05",'LAC 102_Wkst'!$N$7:$N$2010,"P1")+SUMIFS('LAC 102_Wkst'!$Q$7:$Q$2010,'LAC 102_Wkst'!$D$7:$D$2010,$C$7,'LAC 102_Wkst'!$I$7:$I$2010,$C$9,'LAC 102_Wkst'!$E$7:$E$2010,$C65,'LAC 102_Wkst'!$G$7:$G$2010,$D65,'LAC 102_Wkst'!$L$7:$L$2010,"06",'LAC 102_Wkst'!$N$7:$N$2010,"P1")</f>
        <v>0</v>
      </c>
      <c r="S65" s="411">
        <f>SUMIFS('LAC 102_Wkst'!$AF$7:$AF$2010,'LAC 102_Wkst'!$D$7:$D$2010,$C$7,'LAC 102_Wkst'!$I$7:$I$2010,$C$9,'LAC 102_Wkst'!$E$7:$E$2010,$C65,'LAC 102_Wkst'!$G$7:$G$2010,$D65,'LAC 102_Wkst'!$L$7:$L$2010,"05",'LAC 102_Wkst'!$N$7:$N$2010,"P1")+SUMIFS('LAC 102_Wkst'!$AF$7:$AF$2010,'LAC 102_Wkst'!$D$7:$D$2010,$C$7,'LAC 102_Wkst'!$I$7:$I$2010,$C$9,'LAC 102_Wkst'!$E$7:$E$2010,$C65,'LAC 102_Wkst'!$G$7:$G$2010,$D65,'LAC 102_Wkst'!$L$7:$L$2010,"06",'LAC 102_Wkst'!$N$7:$N$2010,"P1")</f>
        <v>0</v>
      </c>
      <c r="T65" s="410">
        <f>SUMIFS('LAC 102_Wkst'!$Q$7:$Q$2010,'LAC 102_Wkst'!$D$7:$D$2010,$C$7,'LAC 102_Wkst'!$I$7:$I$2010,$C$9,'LAC 102_Wkst'!$E$7:$E$2010,$C65,'LAC 102_Wkst'!$G$7:$G$2010,$D65,'LAC 102_Wkst'!$L$7:$L$2010,"05",'LAC 102_Wkst'!$N$7:$N$2010,"P2")+SUMIFS('LAC 102_Wkst'!$Q$7:$Q$2010,'LAC 102_Wkst'!$D$7:$D$2010,$C$7,'LAC 102_Wkst'!$I$7:$I$2010,$C$9,'LAC 102_Wkst'!$E$7:$E$2010,$C65,'LAC 102_Wkst'!$G$7:$G$2010,$D65,'LAC 102_Wkst'!$L$7:$L$2010,"06",'LAC 102_Wkst'!$N$7:$N$2010,"P2")+SUMIFS('LAC 102_Wkst'!$Q$7:$Q$2010,'LAC 102_Wkst'!$D$7:$D$2010,$C$7,'LAC 102_Wkst'!$I$7:$I$2010,$C$9,'LAC 102_Wkst'!$E$7:$E$2010,$C65,'LAC 102_Wkst'!$G$7:$G$2010,$D65,'LAC 102_Wkst'!$L$7:$L$2010,"05",'LAC 102_Wkst'!$N$7:$N$2010,"P3")+SUMIFS('LAC 102_Wkst'!$Q$7:$Q$2010,'LAC 102_Wkst'!$D$7:$D$2010,$C$7,'LAC 102_Wkst'!$I$7:$I$2010,$C$9,'LAC 102_Wkst'!$E$7:$E$2010,$C65,'LAC 102_Wkst'!$G$7:$G$2010,$D65,'LAC 102_Wkst'!$L$7:$L$2010,"06",'LAC 102_Wkst'!$N$7:$N$2010,"P3")</f>
        <v>0</v>
      </c>
      <c r="U65" s="411">
        <f>SUMIFS('LAC 102_Wkst'!$AF$7:$AF$2010,'LAC 102_Wkst'!$D$7:$D$2010,$C$7,'LAC 102_Wkst'!$I$7:$I$2010,$C$9,'LAC 102_Wkst'!$E$7:$E$2010,$C65,'LAC 102_Wkst'!$G$7:$G$2010,$D65,'LAC 102_Wkst'!$L$7:$L$2010,"05",'LAC 102_Wkst'!$N$7:$N$2010,"P2")+SUMIFS('LAC 102_Wkst'!$AF$7:$AF$2010,'LAC 102_Wkst'!$D$7:$D$2010,$C$7,'LAC 102_Wkst'!$I$7:$I$2010,$C$9,'LAC 102_Wkst'!$E$7:$E$2010,$C65,'LAC 102_Wkst'!$G$7:$G$2010,$D65,'LAC 102_Wkst'!$L$7:$L$2010,"06",'LAC 102_Wkst'!$N$7:$N$2010,"P2")+SUMIFS('LAC 102_Wkst'!$AF$7:$AF$2010,'LAC 102_Wkst'!$D$7:$D$2010,$C$7,'LAC 102_Wkst'!$I$7:$I$2010,$C$9,'LAC 102_Wkst'!$E$7:$E$2010,$C65,'LAC 102_Wkst'!$G$7:$G$2010,$D65,'LAC 102_Wkst'!$L$7:$L$2010,"05",'LAC 102_Wkst'!$N$7:$N$2010,"P3")+SUMIFS('LAC 102_Wkst'!$AF$7:$AF$2010,'LAC 102_Wkst'!$D$7:$D$2010,$C$7,'LAC 102_Wkst'!$I$7:$I$2010,$C$9,'LAC 102_Wkst'!$E$7:$E$2010,$C65,'LAC 102_Wkst'!$G$7:$G$2010,$D65,'LAC 102_Wkst'!$L$7:$L$2010,"06",'LAC 102_Wkst'!$N$7:$N$2010,"P3")</f>
        <v>0</v>
      </c>
      <c r="V65" s="410">
        <f>SUMIFS('LAC 102_Wkst'!$Q$7:$Q$2010,'LAC 102_Wkst'!$D$7:$D$2010,$C$7,'LAC 102_Wkst'!$I$7:$I$2010,$C$9,'LAC 102_Wkst'!$E$7:$E$2010,$C65,'LAC 102_Wkst'!$G$7:$G$2010,$D65,'LAC 102_Wkst'!$L$7:$L$2010,"05",'LAC 102_Wkst'!$N$7:$N$2010,"P4")+SUMIFS('LAC 102_Wkst'!$Q$7:$Q$2010,'LAC 102_Wkst'!$D$7:$D$2010,$C$7,'LAC 102_Wkst'!$I$7:$I$2010,$C$9,'LAC 102_Wkst'!$E$7:$E$2010,$C65,'LAC 102_Wkst'!$G$7:$G$2010,$D65,'LAC 102_Wkst'!$L$7:$L$2010,"06",'LAC 102_Wkst'!$N$7:$N$2010,"P4")</f>
        <v>0</v>
      </c>
      <c r="W65" s="411">
        <f>SUMIFS('LAC 102_Wkst'!$AF$7:$AF$2010,'LAC 102_Wkst'!$D$7:$D$2010,$C$7,'LAC 102_Wkst'!$I$7:$I$2010,$C$9,'LAC 102_Wkst'!$E$7:$E$2010,$C65,'LAC 102_Wkst'!$G$7:$G$2010,$D65,'LAC 102_Wkst'!$L$7:$L$2010,"05",'LAC 102_Wkst'!$N$7:$N$2010,"P4")+SUMIFS('LAC 102_Wkst'!$AF$7:$AF$2010,'LAC 102_Wkst'!$D$7:$D$2010,$C$7,'LAC 102_Wkst'!$I$7:$I$2010,$C$9,'LAC 102_Wkst'!$E$7:$E$2010,$C65,'LAC 102_Wkst'!$G$7:$G$2010,$D65,'LAC 102_Wkst'!$L$7:$L$2010,"06",'LAC 102_Wkst'!$N$7:$N$2010,"P4")</f>
        <v>0</v>
      </c>
      <c r="X65" s="410">
        <f>SUMIFS('LAC 102_Wkst'!$Q$7:$Q$2010,'LAC 102_Wkst'!$D$7:$D$2010,$C$7,'LAC 102_Wkst'!$I$7:$I$2010,$C$9,'LAC 102_Wkst'!$E$7:$E$2010,$C65,'LAC 102_Wkst'!$G$7:$G$2010,$D65,'LAC 102_Wkst'!$L$7:$L$2010,"05",'LAC 102_Wkst'!$N$7:$N$2010,"P5")+SUMIFS('LAC 102_Wkst'!$Q$7:$Q$2010,'LAC 102_Wkst'!$D$7:$D$2010,$C$7,'LAC 102_Wkst'!$I$7:$I$2010,$C$9,'LAC 102_Wkst'!$E$7:$E$2010,$C65,'LAC 102_Wkst'!$G$7:$G$2010,$D65,'LAC 102_Wkst'!$L$7:$L$2010,"06",'LAC 102_Wkst'!$N$7:$N$2010,"P5")</f>
        <v>0</v>
      </c>
      <c r="Y65" s="411">
        <f>SUMIFS('LAC 102_Wkst'!$AF$7:$AF$2010,'LAC 102_Wkst'!$D$7:$D$2010,$C$7,'LAC 102_Wkst'!$I$7:$I$2010,$C$9,'LAC 102_Wkst'!$E$7:$E$2010,$C65,'LAC 102_Wkst'!$G$7:$G$2010,$D65,'LAC 102_Wkst'!$L$7:$L$2010,"05",'LAC 102_Wkst'!$N$7:$N$2010,"P5")+SUMIFS('LAC 102_Wkst'!$AF$7:$AF$2010,'LAC 102_Wkst'!$D$7:$D$2010,$C$7,'LAC 102_Wkst'!$I$7:$I$2010,$C$9,'LAC 102_Wkst'!$E$7:$E$2010,$C65,'LAC 102_Wkst'!$G$7:$G$2010,$D65,'LAC 102_Wkst'!$L$7:$L$2010,"06",'LAC 102_Wkst'!$N$7:$N$2010,"P5")</f>
        <v>0</v>
      </c>
      <c r="Z65" s="410">
        <f>SUMIFS('LAC 102_Wkst'!$Q$7:$Q$2010,'LAC 102_Wkst'!$D$7:$D$2010,$C$7,'LAC 102_Wkst'!$I$7:$I$2010,$C$9,'LAC 102_Wkst'!$E$7:$E$2010,$C65,'LAC 102_Wkst'!$G$7:$G$2010,$D65,'LAC 102_Wkst'!$L$7:$L$2010,"07",'LAC 102_Wkst'!$N$7:$N$2010,"P1")+SUMIFS('LAC 102_Wkst'!$Q$7:$Q$2010,'LAC 102_Wkst'!$D$7:$D$2010,$C$7,'LAC 102_Wkst'!$I$7:$I$2010,$C$9,'LAC 102_Wkst'!$E$7:$E$2010,$C65,'LAC 102_Wkst'!$G$7:$G$2010,$D65,'LAC 102_Wkst'!$L$7:$L$2010,"07",'LAC 102_Wkst'!$N$7:$N$2010,"P2")+SUMIFS('LAC 102_Wkst'!$Q$7:$Q$2010,'LAC 102_Wkst'!$D$7:$D$2010,$C$7,'LAC 102_Wkst'!$I$7:$I$2010,$C$9,'LAC 102_Wkst'!$E$7:$E$2010,$C65,'LAC 102_Wkst'!$G$7:$G$2010,$D65,'LAC 102_Wkst'!$L$7:$L$2010,"07",'LAC 102_Wkst'!$N$7:$N$2010,"P3")</f>
        <v>0</v>
      </c>
      <c r="AA65" s="411">
        <f>SUMIFS('LAC 102_Wkst'!$AF$7:$AF$2010,'LAC 102_Wkst'!$D$7:$D$2010,$C$7,'LAC 102_Wkst'!$I$7:$I$2010,$C$9,'LAC 102_Wkst'!$E$7:$E$2010,$C65,'LAC 102_Wkst'!$G$7:$G$2010,$D65,'LAC 102_Wkst'!$L$7:$L$2010,"07",'LAC 102_Wkst'!$N$7:$N$2010,"P1")+SUMIFS('LAC 102_Wkst'!$AF$7:$AF$2010,'LAC 102_Wkst'!$D$7:$D$2010,$C$7,'LAC 102_Wkst'!$I$7:$I$2010,$C$9,'LAC 102_Wkst'!$E$7:$E$2010,$C65,'LAC 102_Wkst'!$G$7:$G$2010,$D65,'LAC 102_Wkst'!$L$7:$L$2010,"07",'LAC 102_Wkst'!$N$7:$N$2010,"P2")+SUMIFS('LAC 102_Wkst'!$AF$7:$AF$2010,'LAC 102_Wkst'!$D$7:$D$2010,$C$7,'LAC 102_Wkst'!$I$7:$I$2010,$C$9,'LAC 102_Wkst'!$E$7:$E$2010,$C65,'LAC 102_Wkst'!$G$7:$G$2010,$D65,'LAC 102_Wkst'!$L$7:$L$2010,"07",'LAC 102_Wkst'!$N$7:$N$2010,"P3")</f>
        <v>0</v>
      </c>
      <c r="AB65" s="410">
        <f>SUMIFS('LAC 102_Wkst'!$Q$7:$Q$2010,'LAC 102_Wkst'!$D$7:$D$2010,$C$7,'LAC 102_Wkst'!$I$7:$I$2010,$C$9,'LAC 102_Wkst'!$E$7:$E$2010,$C65,'LAC 102_Wkst'!$G$7:$G$2010,$D65,'LAC 102_Wkst'!$L$7:$L$2010,"07",'LAC 102_Wkst'!$N$7:$N$2010,"P4")</f>
        <v>0</v>
      </c>
      <c r="AC65" s="411">
        <f>SUMIFS('LAC 102_Wkst'!$AF$7:$AF$2010,'LAC 102_Wkst'!$D$7:$D$2010,$C$7,'LAC 102_Wkst'!$I$7:$I$2010,$C$9,'LAC 102_Wkst'!$E$7:$E$2010,$C65,'LAC 102_Wkst'!$G$7:$G$2010,$D65,'LAC 102_Wkst'!$L$7:$L$2010,"07",'LAC 102_Wkst'!$N$7:$N$2010,"P4")</f>
        <v>0</v>
      </c>
      <c r="AD65" s="410">
        <f>SUMIFS('LAC 102_Wkst'!$Q$7:$Q$2010,'LAC 102_Wkst'!$D$7:$D$2010,$C$7,'LAC 102_Wkst'!$I$7:$I$2010,$C$9,'LAC 102_Wkst'!$E$7:$E$2010,$C65,'LAC 102_Wkst'!$G$7:$G$2010,$D65,'LAC 102_Wkst'!$L$7:$L$2010,"07",'LAC 102_Wkst'!$N$7:$N$2010,"P5")</f>
        <v>0</v>
      </c>
      <c r="AE65" s="411">
        <f>SUMIFS('LAC 102_Wkst'!$AF$7:$AF$2010,'LAC 102_Wkst'!$D$7:$D$2010,$C$7,'LAC 102_Wkst'!$I$7:$I$2010,$C$9,'LAC 102_Wkst'!$E$7:$E$2010,$C65,'LAC 102_Wkst'!$G$7:$G$2010,$D65,'LAC 102_Wkst'!$L$7:$L$2010,"07",'LAC 102_Wkst'!$N$7:$N$2010,"P5")</f>
        <v>0</v>
      </c>
      <c r="AF65" s="410">
        <f>SUMIFS('LAC 102_Wkst'!$Q$7:$Q$2010,'LAC 102_Wkst'!$D$7:$D$2010,$C$7,'LAC 102_Wkst'!$I$7:$I$2010,$C$9,'LAC 102_Wkst'!$E$7:$E$2010,$C65,'LAC 102_Wkst'!$G$7:$G$2010,$D65,'LAC 102_Wkst'!$L$7:$L$2010,"08",'LAC 102_Wkst'!$N$7:$N$2010,"P1")+SUMIFS('LAC 102_Wkst'!$Q$7:$Q$2010,'LAC 102_Wkst'!$D$7:$D$2010,$C$7,'LAC 102_Wkst'!$I$7:$I$2010,$C$9,'LAC 102_Wkst'!$E$7:$E$2010,$C65,'LAC 102_Wkst'!$G$7:$G$2010,$D65,'LAC 102_Wkst'!$L$7:$L$2010,"08",'LAC 102_Wkst'!$N$7:$N$2010,"P2")+SUMIFS('LAC 102_Wkst'!$Q$7:$Q$2010,'LAC 102_Wkst'!$D$7:$D$2010,$C$7,'LAC 102_Wkst'!$I$7:$I$2010,$C$9,'LAC 102_Wkst'!$E$7:$E$2010,$C65,'LAC 102_Wkst'!$G$7:$G$2010,$D65,'LAC 102_Wkst'!$L$7:$L$2010,"08",'LAC 102_Wkst'!$N$7:$N$2010,"P3")</f>
        <v>0</v>
      </c>
      <c r="AG65" s="411">
        <f>SUMIFS('LAC 102_Wkst'!$AF$7:$AF$2010,'LAC 102_Wkst'!$D$7:$D$2010,$C$7,'LAC 102_Wkst'!$I$7:$I$2010,$C$9,'LAC 102_Wkst'!$E$7:$E$2010,$C65,'LAC 102_Wkst'!$G$7:$G$2010,$D65,'LAC 102_Wkst'!$L$7:$L$2010,"08",'LAC 102_Wkst'!$N$7:$N$2010,"P1")+SUMIFS('LAC 102_Wkst'!$AF$7:$AF$2010,'LAC 102_Wkst'!$D$7:$D$2010,$C$7,'LAC 102_Wkst'!$I$7:$I$2010,$C$9,'LAC 102_Wkst'!$E$7:$E$2010,$C65,'LAC 102_Wkst'!$G$7:$G$2010,$D65,'LAC 102_Wkst'!$L$7:$L$2010,"08",'LAC 102_Wkst'!$N$7:$N$2010,"P2")+SUMIFS('LAC 102_Wkst'!$AF$7:$AF$2010,'LAC 102_Wkst'!$D$7:$D$2010,$C$7,'LAC 102_Wkst'!$I$7:$I$2010,$C$9,'LAC 102_Wkst'!$E$7:$E$2010,$C65,'LAC 102_Wkst'!$G$7:$G$2010,$D65,'LAC 102_Wkst'!$L$7:$L$2010,"08",'LAC 102_Wkst'!$N$7:$N$2010,"P3")</f>
        <v>0</v>
      </c>
      <c r="AH65" s="410">
        <f>SUMIFS('LAC 102_Wkst'!$Q$7:$Q$2010,'LAC 102_Wkst'!$D$7:$D$2010,$C$7,'LAC 102_Wkst'!$I$7:$I$2010,$C$9,'LAC 102_Wkst'!$E$7:$E$2010,$C65,'LAC 102_Wkst'!$G$7:$G$2010,$D65,'LAC 102_Wkst'!$L$7:$L$2010,"08",'LAC 102_Wkst'!$N$7:$N$2010,"P4")</f>
        <v>0</v>
      </c>
      <c r="AI65" s="411">
        <f>SUMIFS('LAC 102_Wkst'!$AF$7:$AF$2010,'LAC 102_Wkst'!$D$7:$D$2010,$C$7,'LAC 102_Wkst'!$I$7:$I$2010,$C$9,'LAC 102_Wkst'!$E$7:$E$2010,$C65,'LAC 102_Wkst'!$G$7:$G$2010,$D65,'LAC 102_Wkst'!$L$7:$L$2010,"08",'LAC 102_Wkst'!$N$7:$N$2010,"P4")</f>
        <v>0</v>
      </c>
      <c r="AJ65" s="410">
        <f>SUMIFS('LAC 102_Wkst'!$Q$7:$Q$2010,'LAC 102_Wkst'!$D$7:$D$2010,$C$7,'LAC 102_Wkst'!$I$7:$I$2010,$C$9,'LAC 102_Wkst'!$E$7:$E$2010,$C65,'LAC 102_Wkst'!$G$7:$G$2010,$D65,'LAC 102_Wkst'!$L$7:$L$2010,"08",'LAC 102_Wkst'!$N$7:$N$2010,"P5")</f>
        <v>0</v>
      </c>
      <c r="AK65" s="411">
        <f>SUMIFS('LAC 102_Wkst'!$AF$7:$AF$2010,'LAC 102_Wkst'!$D$7:$D$2010,$C$7,'LAC 102_Wkst'!$I$7:$I$2010,$C$9,'LAC 102_Wkst'!$E$7:$E$2010,$C65,'LAC 102_Wkst'!$G$7:$G$2010,$D65,'LAC 102_Wkst'!$L$7:$L$2010,"08",'LAC 102_Wkst'!$N$7:$N$2010,"P5")</f>
        <v>0</v>
      </c>
      <c r="AL65" s="410">
        <f>SUMIFS('LAC 102_Wkst'!$Q$7:$Q$2010,'LAC 102_Wkst'!$D$7:$D$2010,$C$7,'LAC 102_Wkst'!$I$7:$I$2010,$C$9,'LAC 102_Wkst'!$E$7:$E$2010,$C65,'LAC 102_Wkst'!$G$7:$G$2010,$D65,'LAC 102_Wkst'!$L$7:$L$2010,"09",'LAC 102_Wkst'!$N$7:$N$2010,"P1")+SUMIFS('LAC 102_Wkst'!$Q$7:$Q$2010,'LAC 102_Wkst'!$D$7:$D$2010,$C$7,'LAC 102_Wkst'!$I$7:$I$2010,$C$9,'LAC 102_Wkst'!$E$7:$E$2010,$C65,'LAC 102_Wkst'!$G$7:$G$2010,$D65,'LAC 102_Wkst'!$L$7:$L$2010,"09",'LAC 102_Wkst'!$N$7:$N$2010,"P2")+SUMIFS('LAC 102_Wkst'!$Q$7:$Q$2010,'LAC 102_Wkst'!$D$7:$D$2010,$C$7,'LAC 102_Wkst'!$I$7:$I$2010,$C$9,'LAC 102_Wkst'!$E$7:$E$2010,$C65,'LAC 102_Wkst'!$G$7:$G$2010,$D65,'LAC 102_Wkst'!$L$7:$L$2010,"09",'LAC 102_Wkst'!$N$7:$N$2010,"P3")+SUMIFS('LAC 102_Wkst'!$Q$7:$Q$2010,'LAC 102_Wkst'!$D$7:$D$2010,$C$7,'LAC 102_Wkst'!$I$7:$I$2010,$C$9,'LAC 102_Wkst'!$E$7:$E$2010,$C65,'LAC 102_Wkst'!$G$7:$G$2010,$D65,'LAC 102_Wkst'!$L$7:$L$2010,"09",'LAC 102_Wkst'!$N$7:$N$2010,"P4")</f>
        <v>0</v>
      </c>
      <c r="AM65" s="411">
        <f>SUMIFS('LAC 102_Wkst'!$AF$7:$AF$2010,'LAC 102_Wkst'!$D$7:$D$2010,$C$7,'LAC 102_Wkst'!$I$7:$I$2010,$C$9,'LAC 102_Wkst'!$E$7:$E$2010,$C65,'LAC 102_Wkst'!$G$7:$G$2010,$D65,'LAC 102_Wkst'!$L$7:$L$2010,"09",'LAC 102_Wkst'!$N$7:$N$2010,"P1")+SUMIFS('LAC 102_Wkst'!$AF$7:$AF$2010,'LAC 102_Wkst'!$D$7:$D$2010,$C$7,'LAC 102_Wkst'!$I$7:$I$2010,$C$9,'LAC 102_Wkst'!$E$7:$E$2010,$C65,'LAC 102_Wkst'!$G$7:$G$2010,$D65,'LAC 102_Wkst'!$L$7:$L$2010,"09",'LAC 102_Wkst'!$N$7:$N$2010,"P2")+SUMIFS('LAC 102_Wkst'!$AF$7:$AF$2010,'LAC 102_Wkst'!$D$7:$D$2010,$C$7,'LAC 102_Wkst'!$I$7:$I$2010,$C$9,'LAC 102_Wkst'!$E$7:$E$2010,$C65,'LAC 102_Wkst'!$G$7:$G$2010,$D65,'LAC 102_Wkst'!$L$7:$L$2010,"09",'LAC 102_Wkst'!$N$7:$N$2010,"P3")+SUMIFS('LAC 102_Wkst'!$AF$7:$AF$2010,'LAC 102_Wkst'!$D$7:$D$2010,$C$7,'LAC 102_Wkst'!$I$7:$I$2010,$C$9,'LAC 102_Wkst'!$E$7:$E$2010,$C65,'LAC 102_Wkst'!$G$7:$G$2010,$D65,'LAC 102_Wkst'!$L$7:$L$2010,"09",'LAC 102_Wkst'!$N$7:$N$2010,"P4")</f>
        <v>0</v>
      </c>
      <c r="AN65" s="410">
        <f>SUMIFS('LAC 102_Wkst'!$Q$7:$Q$2010,'LAC 102_Wkst'!$D$7:$D$2010,$C$7,'LAC 102_Wkst'!$I$7:$I$2010,$C$9,'LAC 102_Wkst'!$E$7:$E$2010,$C65,'LAC 102_Wkst'!$G$7:$G$2010,$D65,'LAC 102_Wkst'!$L$7:$L$2010,"09",'LAC 102_Wkst'!$N$7:$N$2010,"P5")</f>
        <v>0</v>
      </c>
      <c r="AO65" s="411">
        <f>SUMIFS('LAC 102_Wkst'!$AF$7:$AF$2010,'LAC 102_Wkst'!$D$7:$D$2010,$C$7,'LAC 102_Wkst'!$I$7:$I$2010,$C$9,'LAC 102_Wkst'!$E$7:$E$2010,$C65,'LAC 102_Wkst'!$G$7:$G$2010,$D65,'LAC 102_Wkst'!$L$7:$L$2010,"09",'LAC 102_Wkst'!$N$7:$N$2010,"P5")</f>
        <v>0</v>
      </c>
      <c r="AP65" s="410">
        <f>SUMIFS('LAC 102_Wkst'!$Q$7:$Q$2010,'LAC 102_Wkst'!$D$7:$D$2010,$C$7,'LAC 102_Wkst'!$I$7:$I$2010,$C$9,'LAC 102_Wkst'!$E$7:$E$2010,$C65,'LAC 102_Wkst'!$G$7:$G$2010,$D65,'LAC 102_Wkst'!$L$7:$L$2010,"10",'LAC 102_Wkst'!$N$7:$N$2010,"P1")+SUMIFS('LAC 102_Wkst'!$Q$7:$Q$2010,'LAC 102_Wkst'!$D$7:$D$2010,$C$7,'LAC 102_Wkst'!$I$7:$I$2010,$C$9,'LAC 102_Wkst'!$E$7:$E$2010,$C65,'LAC 102_Wkst'!$G$7:$G$2010,$D65,'LAC 102_Wkst'!$L$7:$L$2010,"10",'LAC 102_Wkst'!$N$7:$N$2010,"P2")+SUMIFS('LAC 102_Wkst'!$Q$7:$Q$2010,'LAC 102_Wkst'!$D$7:$D$2010,$C$7,'LAC 102_Wkst'!$I$7:$I$2010,$C$9,'LAC 102_Wkst'!$E$7:$E$2010,$C65,'LAC 102_Wkst'!$G$7:$G$2010,$D65,'LAC 102_Wkst'!$L$7:$L$2010,"10",'LAC 102_Wkst'!$N$7:$N$2010,"P3")+SUMIFS('LAC 102_Wkst'!$Q$7:$Q$2010,'LAC 102_Wkst'!$D$7:$D$2010,$C$7,'LAC 102_Wkst'!$I$7:$I$2010,$C$9,'LAC 102_Wkst'!$E$7:$E$2010,$C65,'LAC 102_Wkst'!$G$7:$G$2010,$D65,'LAC 102_Wkst'!$L$7:$L$2010,"10",'LAC 102_Wkst'!$N$7:$N$2010,"P4")</f>
        <v>0</v>
      </c>
      <c r="AQ65" s="411">
        <f>SUMIFS('LAC 102_Wkst'!$AF$7:$AF$2010,'LAC 102_Wkst'!$D$7:$D$2010,$C$7,'LAC 102_Wkst'!$I$7:$I$2010,$C$9,'LAC 102_Wkst'!$E$7:$E$2010,$C65,'LAC 102_Wkst'!$G$7:$G$2010,$D65,'LAC 102_Wkst'!$L$7:$L$2010,"10",'LAC 102_Wkst'!$N$7:$N$2010,"P1")+SUMIFS('LAC 102_Wkst'!$AF$7:$AF$2010,'LAC 102_Wkst'!$D$7:$D$2010,$C$7,'LAC 102_Wkst'!$I$7:$I$2010,$C$9,'LAC 102_Wkst'!$E$7:$E$2010,$C65,'LAC 102_Wkst'!$G$7:$G$2010,$D65,'LAC 102_Wkst'!$L$7:$L$2010,"10",'LAC 102_Wkst'!$N$7:$N$2010,"P2")+SUMIFS('LAC 102_Wkst'!$AF$7:$AF$2010,'LAC 102_Wkst'!$D$7:$D$2010,$C$7,'LAC 102_Wkst'!$I$7:$I$2010,$C$9,'LAC 102_Wkst'!$E$7:$E$2010,$C65,'LAC 102_Wkst'!$G$7:$G$2010,$D65,'LAC 102_Wkst'!$L$7:$L$2010,"10",'LAC 102_Wkst'!$N$7:$N$2010,"P3")+SUMIFS('LAC 102_Wkst'!$AF$7:$AF$2010,'LAC 102_Wkst'!$D$7:$D$2010,$C$7,'LAC 102_Wkst'!$I$7:$I$2010,$C$9,'LAC 102_Wkst'!$E$7:$E$2010,$C65,'LAC 102_Wkst'!$G$7:$G$2010,$D65,'LAC 102_Wkst'!$L$7:$L$2010,"10",'LAC 102_Wkst'!$N$7:$N$2010,"P4")</f>
        <v>0</v>
      </c>
      <c r="AR65" s="410">
        <f>SUMIFS('LAC 102_Wkst'!$Q$7:$Q$2010,'LAC 102_Wkst'!$D$7:$D$2010,$C$7,'LAC 102_Wkst'!$I$7:$I$2010,$C$9,'LAC 102_Wkst'!$E$7:$E$2010,$C65,'LAC 102_Wkst'!$G$7:$G$2010,$D65,'LAC 102_Wkst'!$L$7:$L$2010,"10",'LAC 102_Wkst'!$N$7:$N$2010,"P5")</f>
        <v>0</v>
      </c>
      <c r="AS65" s="411">
        <f>SUMIFS('LAC 102_Wkst'!$AF$7:$AF$2010,'LAC 102_Wkst'!$D$7:$D$2010,$C$7,'LAC 102_Wkst'!$I$7:$I$2010,$C$9,'LAC 102_Wkst'!$E$7:$E$2010,$C65,'LAC 102_Wkst'!$G$7:$G$2010,$D65,'LAC 102_Wkst'!$L$7:$L$2010,"10",'LAC 102_Wkst'!$N$7:$N$2010,"P5")</f>
        <v>0</v>
      </c>
      <c r="AT65" s="410">
        <f>SUMIFS('LAC 102_Wkst'!$Q$7:$Q$2010,'LAC 102_Wkst'!$D$7:$D$2010,$C$7,'LAC 102_Wkst'!$I$7:$I$2010,$C$9,'LAC 102_Wkst'!$E$7:$E$2010,$C65,'LAC 102_Wkst'!$G$7:$G$2010,$D65,'LAC 102_Wkst'!$L$7:$L$2010,"11",'LAC 102_Wkst'!$N$7:$N$2010,"P1")+SUMIFS('LAC 102_Wkst'!$Q$7:$Q$2010,'LAC 102_Wkst'!$D$7:$D$2010,$C$7,'LAC 102_Wkst'!$I$7:$I$2010,$C$9,'LAC 102_Wkst'!$E$7:$E$2010,$C65,'LAC 102_Wkst'!$G$7:$G$2010,$D65,'LAC 102_Wkst'!$L$7:$L$2010,"12",'LAC 102_Wkst'!$N$7:$N$2010,"P1")</f>
        <v>0</v>
      </c>
      <c r="AU65" s="411">
        <f>SUMIFS('LAC 102_Wkst'!$Q$7:$Q$2010,'LAC 102_Wkst'!$D$7:$D$2010,$C$7,'LAC 102_Wkst'!$I$7:$I$2010,$C$9,'LAC 102_Wkst'!$E$7:$E$2010,$C65,'LAC 102_Wkst'!$G$7:$G$2010,$D65,'LAC 102_Wkst'!$L$7:$L$2010,"13",'LAC 102_Wkst'!$N$7:$N$2010,"P5")</f>
        <v>0</v>
      </c>
      <c r="AV65" s="410">
        <f>SUMIFS('LAC 102_Wkst'!$Q$7:$Q$2010,'LAC 102_Wkst'!$D$7:$D$2010,$C$7,'LAC 102_Wkst'!$I$7:$I$2010,$C$9,'LAC 102_Wkst'!$E$7:$E$2010,$C65,'LAC 102_Wkst'!$G$7:$G$2010,$D65,'LAC 102_Wkst'!$L$7:$L$2010,"11",'LAC 102_Wkst'!$N$7:$N$2010,"P2")+SUMIFS('LAC 102_Wkst'!$Q$7:$Q$2010,'LAC 102_Wkst'!$D$7:$D$2010,$C$7,'LAC 102_Wkst'!$I$7:$I$2010,$C$9,'LAC 102_Wkst'!$E$7:$E$2010,$C65,'LAC 102_Wkst'!$G$7:$G$2010,$D65,'LAC 102_Wkst'!$L$7:$L$2010,"12",'LAC 102_Wkst'!$N$7:$N$2010,"P2")+SUMIFS('LAC 102_Wkst'!$Q$7:$Q$2010,'LAC 102_Wkst'!$D$7:$D$2010,$C$7,'LAC 102_Wkst'!$I$7:$I$2010,$C$9,'LAC 102_Wkst'!$E$7:$E$2010,$C65,'LAC 102_Wkst'!$G$7:$G$2010,$D65,'LAC 102_Wkst'!$L$7:$L$2010,"11",'LAC 102_Wkst'!$N$7:$N$2010,"P3")+SUMIFS('LAC 102_Wkst'!$Q$7:$Q$2010,'LAC 102_Wkst'!$D$7:$D$2010,$C$7,'LAC 102_Wkst'!$I$7:$I$2010,$C$9,'LAC 102_Wkst'!$E$7:$E$2010,$C65,'LAC 102_Wkst'!$G$7:$G$2010,$D65,'LAC 102_Wkst'!$L$7:$L$2010,"12",'LAC 102_Wkst'!$N$7:$N$2010,"P3")</f>
        <v>0</v>
      </c>
      <c r="AW65" s="411">
        <f>SUMIFS('LAC 102_Wkst'!$AF$7:$AF$2010,'LAC 102_Wkst'!$D$7:$D$2010,$C$7,'LAC 102_Wkst'!$I$7:$I$2010,$C$9,'LAC 102_Wkst'!$E$7:$E$2010,$C65,'LAC 102_Wkst'!$G$7:$G$2010,$D65,'LAC 102_Wkst'!$L$7:$L$2010,"11",'LAC 102_Wkst'!$N$7:$N$2010,"P2")+SUMIFS('LAC 102_Wkst'!$AF$7:$AF$2010,'LAC 102_Wkst'!$D$7:$D$2010,$C$7,'LAC 102_Wkst'!$I$7:$I$2010,$C$9,'LAC 102_Wkst'!$E$7:$E$2010,$C65,'LAC 102_Wkst'!$G$7:$G$2010,$D65,'LAC 102_Wkst'!$L$7:$L$2010,"12",'LAC 102_Wkst'!$N$7:$N$2010,"P2")+SUMIFS('LAC 102_Wkst'!$AF$7:$AF$2010,'LAC 102_Wkst'!$D$7:$D$2010,$C$7,'LAC 102_Wkst'!$I$7:$I$2010,$C$9,'LAC 102_Wkst'!$E$7:$E$2010,$C65,'LAC 102_Wkst'!$G$7:$G$2010,$D65,'LAC 102_Wkst'!$L$7:$L$2010,"11",'LAC 102_Wkst'!$N$7:$N$2010,"P3")+SUMIFS('LAC 102_Wkst'!$AF$7:$AF$2010,'LAC 102_Wkst'!$D$7:$D$2010,$C$7,'LAC 102_Wkst'!$I$7:$I$2010,$C$9,'LAC 102_Wkst'!$E$7:$E$2010,$C65,'LAC 102_Wkst'!$G$7:$G$2010,$D65,'LAC 102_Wkst'!$L$7:$L$2010,"12",'LAC 102_Wkst'!$N$7:$N$2010,"P3")</f>
        <v>0</v>
      </c>
      <c r="AX65" s="410">
        <f>SUMIFS('LAC 102_Wkst'!$Q$7:$Q$2010,'LAC 102_Wkst'!$D$7:$D$2010,$C$7,'LAC 102_Wkst'!$I$7:$I$2010,$C$9,'LAC 102_Wkst'!$E$7:$E$2010,$C65,'LAC 102_Wkst'!$G$7:$G$2010,$D65,'LAC 102_Wkst'!$L$7:$L$2010,"11",'LAC 102_Wkst'!$N$7:$N$2010,"P4")+SUMIFS('LAC 102_Wkst'!$Q$7:$Q$2010,'LAC 102_Wkst'!$D$7:$D$2010,$C$7,'LAC 102_Wkst'!$I$7:$I$2010,$C$9,'LAC 102_Wkst'!$E$7:$E$2010,$C65,'LAC 102_Wkst'!$G$7:$G$2010,$D65,'LAC 102_Wkst'!$L$7:$L$2010,"12",'LAC 102_Wkst'!$N$7:$N$2010,"P4")</f>
        <v>0</v>
      </c>
      <c r="AY65" s="411">
        <f>SUMIFS('LAC 102_Wkst'!$AF$7:$AF$2010,'LAC 102_Wkst'!$D$7:$D$2010,$C$7,'LAC 102_Wkst'!$I$7:$I$2010,$C$9,'LAC 102_Wkst'!$E$7:$E$2010,$C65,'LAC 102_Wkst'!$G$7:$G$2010,$D65,'LAC 102_Wkst'!$L$7:$L$2010,"11",'LAC 102_Wkst'!$N$7:$N$2010,"P4")+SUMIFS('LAC 102_Wkst'!$AF$7:$AF$2010,'LAC 102_Wkst'!$D$7:$D$2010,$C$7,'LAC 102_Wkst'!$I$7:$I$2010,$C$9,'LAC 102_Wkst'!$E$7:$E$2010,$C65,'LAC 102_Wkst'!$G$7:$G$2010,$D65,'LAC 102_Wkst'!$L$7:$L$2010,"12",'LAC 102_Wkst'!$N$7:$N$2010,"P4")</f>
        <v>0</v>
      </c>
      <c r="AZ65" s="410">
        <f>SUMIFS('LAC 102_Wkst'!$Q$7:$Q$2010,'LAC 102_Wkst'!$D$7:$D$2010,$C$7,'LAC 102_Wkst'!$I$7:$I$2010,$C$9,'LAC 102_Wkst'!$E$7:$E$2010,$C65,'LAC 102_Wkst'!$G$7:$G$2010,$D65,'LAC 102_Wkst'!$L$7:$L$2010,"11",'LAC 102_Wkst'!$N$7:$N$2010,"P5")+SUMIFS('LAC 102_Wkst'!$Q$7:$Q$2010,'LAC 102_Wkst'!$D$7:$D$2010,$C$7,'LAC 102_Wkst'!$I$7:$I$2010,$C$9,'LAC 102_Wkst'!$E$7:$E$2010,$C65,'LAC 102_Wkst'!$G$7:$G$2010,$D65,'LAC 102_Wkst'!$L$7:$L$2010,"12",'LAC 102_Wkst'!$N$7:$N$2010,"P5")</f>
        <v>0</v>
      </c>
      <c r="BA65" s="411">
        <f>SUMIFS('LAC 102_Wkst'!$AF$7:$AF$2010,'LAC 102_Wkst'!$D$7:$D$2010,$C$7,'LAC 102_Wkst'!$I$7:$I$2010,$C$9,'LAC 102_Wkst'!$E$7:$E$2010,$C65,'LAC 102_Wkst'!$G$7:$G$2010,$D65,'LAC 102_Wkst'!$L$7:$L$2010,"11",'LAC 102_Wkst'!$N$7:$N$2010,"P5")+SUMIFS('LAC 102_Wkst'!$AF$7:$AF$2010,'LAC 102_Wkst'!$D$7:$D$2010,$C$7,'LAC 102_Wkst'!$I$7:$I$2010,$C$9,'LAC 102_Wkst'!$E$7:$E$2010,$C65,'LAC 102_Wkst'!$G$7:$G$2010,$D65,'LAC 102_Wkst'!$L$7:$L$2010,"12",'LAC 102_Wkst'!$N$7:$N$2010,"P5")</f>
        <v>0</v>
      </c>
      <c r="BB65" s="410">
        <f>SUMIFS('LAC 102_Wkst'!$Q$7:$Q$2010,'LAC 102_Wkst'!$D$7:$D$2010,$C$7,'LAC 102_Wkst'!$I$7:$I$2010,$C$9,'LAC 102_Wkst'!$E$7:$E$2010,$C65,'LAC 102_Wkst'!$G$7:$G$2010,$D65,'LAC 102_Wkst'!$L$7:$L$2010,"13",'LAC 102_Wkst'!$N$7:$N$2010,"P1")+SUMIFS('LAC 102_Wkst'!$Q$7:$Q$2010,'LAC 102_Wkst'!$D$7:$D$2010,$C$7,'LAC 102_Wkst'!$I$7:$I$2010,$C$9,'LAC 102_Wkst'!$E$7:$E$2010,$C65,'LAC 102_Wkst'!$G$7:$G$2010,$D65,'LAC 102_Wkst'!$L$7:$L$2010,"13",'LAC 102_Wkst'!$N$7:$N$2010,"P2")+SUMIFS('LAC 102_Wkst'!$Q$7:$Q$2010,'LAC 102_Wkst'!$D$7:$D$2010,$C$7,'LAC 102_Wkst'!$I$7:$I$2010,$C$9,'LAC 102_Wkst'!$E$7:$E$2010,$C65,'LAC 102_Wkst'!$G$7:$G$2010,$D65,'LAC 102_Wkst'!$L$7:$L$2010,"13",'LAC 102_Wkst'!$N$7:$N$2010,"P3")+SUMIFS('LAC 102_Wkst'!$Q$7:$Q$2010,'LAC 102_Wkst'!$D$7:$D$2010,$C$7,'LAC 102_Wkst'!$I$7:$I$2010,$C$9,'LAC 102_Wkst'!$E$7:$E$2010,$C65,'LAC 102_Wkst'!$G$7:$G$2010,$D65,'LAC 102_Wkst'!$L$7:$L$2010,"13",'LAC 102_Wkst'!$N$7:$N$2010,"P4")</f>
        <v>0</v>
      </c>
      <c r="BC65" s="411">
        <f>SUMIFS('LAC 102_Wkst'!$AF$7:$AF$2010,'LAC 102_Wkst'!$D$7:$D$2010,$C$7,'LAC 102_Wkst'!$I$7:$I$2010,$C$9,'LAC 102_Wkst'!$E$7:$E$2010,$C65,'LAC 102_Wkst'!$G$7:$G$2010,$D65,'LAC 102_Wkst'!$L$7:$L$2010,"13",'LAC 102_Wkst'!$N$7:$N$2010,"P1")+SUMIFS('LAC 102_Wkst'!$AF$7:$AF$2010,'LAC 102_Wkst'!$D$7:$D$2010,$C$7,'LAC 102_Wkst'!$I$7:$I$2010,$C$9,'LAC 102_Wkst'!$E$7:$E$2010,$C65,'LAC 102_Wkst'!$G$7:$G$2010,$D65,'LAC 102_Wkst'!$L$7:$L$2010,"13",'LAC 102_Wkst'!$N$7:$N$2010,"P2")+SUMIFS('LAC 102_Wkst'!$AF$7:$AF$2010,'LAC 102_Wkst'!$D$7:$D$2010,$C$7,'LAC 102_Wkst'!$I$7:$I$2010,$C$9,'LAC 102_Wkst'!$E$7:$E$2010,$C65,'LAC 102_Wkst'!$G$7:$G$2010,$D65,'LAC 102_Wkst'!$L$7:$L$2010,"13",'LAC 102_Wkst'!$N$7:$N$2010,"P3")+SUMIFS('LAC 102_Wkst'!$AF$7:$AF$2010,'LAC 102_Wkst'!$D$7:$D$2010,$C$7,'LAC 102_Wkst'!$I$7:$I$2010,$C$9,'LAC 102_Wkst'!$E$7:$E$2010,$C65,'LAC 102_Wkst'!$G$7:$G$2010,$D65,'LAC 102_Wkst'!$L$7:$L$2010,"13",'LAC 102_Wkst'!$N$7:$N$2010,"P4")</f>
        <v>0</v>
      </c>
      <c r="BD65" s="410">
        <f>SUMIFS('LAC 102_Wkst'!$Q$7:$Q$2010,'LAC 102_Wkst'!$D$7:$D$2010,$C$7,'LAC 102_Wkst'!$I$7:$I$2010,$C$9,'LAC 102_Wkst'!$E$7:$E$2010,$C65,'LAC 102_Wkst'!$G$7:$G$2010,$D65,'LAC 102_Wkst'!$L$7:$L$2010,"13",'LAC 102_Wkst'!$N$7:$N$2010,"P5")</f>
        <v>0</v>
      </c>
      <c r="BE65" s="411">
        <f>SUMIFS('LAC 102_Wkst'!$AF$7:$AF$2010,'LAC 102_Wkst'!$D$7:$D$2010,$C$7,'LAC 102_Wkst'!$I$7:$I$2010,$C$9,'LAC 102_Wkst'!$E$7:$E$2010,$C65,'LAC 102_Wkst'!$G$7:$G$2010,$D65,'LAC 102_Wkst'!$L$7:$L$2010,"13",'LAC 102_Wkst'!$N$7:$N$2010,"P5")</f>
        <v>0</v>
      </c>
      <c r="BF65" s="407">
        <f t="shared" si="4"/>
        <v>0</v>
      </c>
      <c r="BG65" s="1654">
        <f>SUMIFS('LAC 102_Wkst'!$AF$7:$AF$2010,'LAC 102_Wkst'!$D$7:$D$2010,$C$7,'LAC 102_Wkst'!$I$7:$I$2010,$C$9,'LAC 102_Wkst'!$E$7:$E$2010,$C65,'LAC 102_Wkst'!$G$7:$G$2010,$D65,'LAC 102_Wkst'!$L$7:$L$2010,"14")</f>
        <v>0</v>
      </c>
    </row>
    <row r="66" spans="1:59" x14ac:dyDescent="0.2">
      <c r="A66" s="401">
        <v>44</v>
      </c>
      <c r="B66" s="1678" t="str">
        <f>IF(Schedule_B!B$63="","",Schedule_B!B$63)</f>
        <v/>
      </c>
      <c r="C66" s="1674" t="str">
        <f>IF(Schedule_B!C$63=""," ",Schedule_B!C$63)</f>
        <v xml:space="preserve"> </v>
      </c>
      <c r="D66" s="1675" t="str">
        <f>IF(Schedule_B!D$63=""," ",Schedule_B!D$63)</f>
        <v xml:space="preserve"> </v>
      </c>
      <c r="E66" s="1221">
        <f>SUMIFS('LAC 102_Wkst'!$Q$7:$Q$2010,'LAC 102_Wkst'!$D$7:$D$2010,$C$7,'LAC 102_Wkst'!$I$7:$I$2010,$C$9,'LAC 102_Wkst'!$E$7:$E$2010,$C66,'LAC 102_Wkst'!$G$7:$G$2010,$D66)</f>
        <v>0</v>
      </c>
      <c r="F66" s="408">
        <f>SUMIFS('LAC 102_Wkst'!$Q$7:$Q$2010,'LAC 102_Wkst'!$D$7:$D$2010,$C$7,'LAC 102_Wkst'!$I$7:$I$2010,$C$9,'LAC 102_Wkst'!$E$7:$E$2010,$C66,'LAC 102_Wkst'!$G$7:$G$2010,$D66,'LAC 102_Wkst'!$L$7:$L$2010,"01",'LAC 102_Wkst'!$N$7:$N$2010,"P1")+SUMIFS('LAC 102_Wkst'!$Q$7:$Q$2010,'LAC 102_Wkst'!$D$7:$D$2010,$C$7,'LAC 102_Wkst'!$I$7:$I$2010,$C$9,'LAC 102_Wkst'!$E$7:$E$2010,$C66,'LAC 102_Wkst'!$G$7:$G$2010,$D66,'LAC 102_Wkst'!$L$7:$L$2010,"01",'LAC 102_Wkst'!$N$7:$N$2010,"P2")+SUMIFS('LAC 102_Wkst'!$Q$7:$Q$2010,'LAC 102_Wkst'!$D$7:$D$2010,$C$7,'LAC 102_Wkst'!$I$7:$I$2010,$C$9,'LAC 102_Wkst'!$E$7:$E$2010,$C66,'LAC 102_Wkst'!$G$7:$G$2010,$D66,'LAC 102_Wkst'!$L$7:$L$2010,"01",'LAC 102_Wkst'!$N$7:$N$2010,"P3")+SUMIFS('LAC 102_Wkst'!$Q$7:$Q$2010,'LAC 102_Wkst'!$D$7:$D$2010,$C$7,'LAC 102_Wkst'!$I$7:$I$2010,$C$9,'LAC 102_Wkst'!$E$7:$E$2010,$C66,'LAC 102_Wkst'!$G$7:$G$2010,$D66,'LAC 102_Wkst'!$L$7:$L$2010,"02",'LAC 102_Wkst'!$N$7:$N$2010,"P1")+SUMIFS('LAC 102_Wkst'!$Q$7:$Q$2010,'LAC 102_Wkst'!$D$7:$D$2010,$C$7,'LAC 102_Wkst'!$I$7:$I$2010,$C$9,'LAC 102_Wkst'!$E$7:$E$2010,$C66,'LAC 102_Wkst'!$G$7:$G$2010,$D66,'LAC 102_Wkst'!$L$7:$L$2010,"02",'LAC 102_Wkst'!$N$7:$N$2010,"P2")+SUMIFS('LAC 102_Wkst'!$Q$7:$Q$2010,'LAC 102_Wkst'!$D$7:$D$2010,$C$7,'LAC 102_Wkst'!$I$7:$I$2010,$C$9,'LAC 102_Wkst'!$E$7:$E$2010,$C66,'LAC 102_Wkst'!$G$7:$G$2010,$D66,'LAC 102_Wkst'!$L$7:$L$2010,"02",'LAC 102_Wkst'!$N$7:$N$2010,"P3")</f>
        <v>0</v>
      </c>
      <c r="G66" s="409">
        <f>SUMIFS('LAC 102_Wkst'!$AF$7:$AF$2010,'LAC 102_Wkst'!$D$7:$D$2010,$C$7,'LAC 102_Wkst'!$I$7:$I$2010,$C$9,'LAC 102_Wkst'!$E$7:$E$2010,$C66,'LAC 102_Wkst'!$G$7:$G$2010,$D66,'LAC 102_Wkst'!$L$7:$L$2010,"01",'LAC 102_Wkst'!$N$7:$N$2010,"P1")+SUMIFS('LAC 102_Wkst'!$AF$7:$AF$2010,'LAC 102_Wkst'!$D$7:$D$2010,$C$7,'LAC 102_Wkst'!$I$7:$I$2010,$C$9,'LAC 102_Wkst'!$E$7:$E$2010,$C66,'LAC 102_Wkst'!$G$7:$G$2010,$D66,'LAC 102_Wkst'!$L$7:$L$2010,"01",'LAC 102_Wkst'!$N$7:$N$2010,"P2")+SUMIFS('LAC 102_Wkst'!$AF$7:$AF$2010,'LAC 102_Wkst'!$D$7:$D$2010,$C$7,'LAC 102_Wkst'!$I$7:$I$2010,$C$9,'LAC 102_Wkst'!$E$7:$E$2010,$C66,'LAC 102_Wkst'!$G$7:$G$2010,$D66,'LAC 102_Wkst'!$L$7:$L$2010,"01",'LAC 102_Wkst'!$N$7:$N$2010,"P3")+SUMIFS('LAC 102_Wkst'!$AF$7:$AF$2010,'LAC 102_Wkst'!$D$7:$D$2010,$C$7,'LAC 102_Wkst'!$I$7:$I$2010,$C$9,'LAC 102_Wkst'!$E$7:$E$2010,$C66,'LAC 102_Wkst'!$G$7:$G$2010,$D66,'LAC 102_Wkst'!$L$7:$L$2010,"02",'LAC 102_Wkst'!$N$7:$N$2010,"P1")+SUMIFS('LAC 102_Wkst'!$AF$7:$AF$2010,'LAC 102_Wkst'!$D$7:$D$2010,$C$7,'LAC 102_Wkst'!$I$7:$I$2010,$C$9,'LAC 102_Wkst'!$E$7:$E$2010,$C66,'LAC 102_Wkst'!$G$7:$G$2010,$D66,'LAC 102_Wkst'!$L$7:$L$2010,"02",'LAC 102_Wkst'!$N$7:$N$2010,"P2")+SUMIFS('LAC 102_Wkst'!$AF$7:$AF$2010,'LAC 102_Wkst'!$D$7:$D$2010,$C$7,'LAC 102_Wkst'!$I$7:$I$2010,$C$9,'LAC 102_Wkst'!$E$7:$E$2010,$C66,'LAC 102_Wkst'!$G$7:$G$2010,$D66,'LAC 102_Wkst'!$L$7:$L$2010,"02",'LAC 102_Wkst'!$N$7:$N$2010,"P3")</f>
        <v>0</v>
      </c>
      <c r="H66" s="410">
        <f>SUMIFS('LAC 102_Wkst'!$Q$7:$Q$2010,'LAC 102_Wkst'!$D$7:$D$2010,$C$7,'LAC 102_Wkst'!$I$7:$I$2010,$C$9,'LAC 102_Wkst'!$E$7:$E$2010,$C66,'LAC 102_Wkst'!$G$7:$G$2010,$D66,'LAC 102_Wkst'!$L$7:$L$2010,"01",'LAC 102_Wkst'!$N$7:$N$2010,"P4")+SUMIFS('LAC 102_Wkst'!$Q$7:$Q$2010,'LAC 102_Wkst'!$D$7:$D$2010,$C$7,'LAC 102_Wkst'!$I$7:$I$2010,$C$9,'LAC 102_Wkst'!$E$7:$E$2010,$C66,'LAC 102_Wkst'!$G$7:$G$2010,$D66,'LAC 102_Wkst'!$L$7:$L$2010,"02",'LAC 102_Wkst'!$N$7:$N$2010,"P4")</f>
        <v>0</v>
      </c>
      <c r="I66" s="411">
        <f>SUMIFS('LAC 102_Wkst'!$AF$7:$AF$2010,'LAC 102_Wkst'!$D$7:$D$2010,$C$7,'LAC 102_Wkst'!$I$7:$I$2010,$C$9,'LAC 102_Wkst'!$E$7:$E$2010,$C66,'LAC 102_Wkst'!$G$7:$G$2010,$D66,'LAC 102_Wkst'!$L$7:$L$2010,"01",'LAC 102_Wkst'!$N$7:$N$2010,"P4")+SUMIFS('LAC 102_Wkst'!$AF$7:$AF$2010,'LAC 102_Wkst'!$D$7:$D$2010,$C$7,'LAC 102_Wkst'!$I$7:$I$2010,$C$9,'LAC 102_Wkst'!$E$7:$E$2010,$C66,'LAC 102_Wkst'!$G$7:$G$2010,$D66,'LAC 102_Wkst'!$L$7:$L$2010,"02",'LAC 102_Wkst'!$N$7:$N$2010,"P4")</f>
        <v>0</v>
      </c>
      <c r="J66" s="410">
        <f>SUMIFS('LAC 102_Wkst'!$Q$7:$Q$2010,'LAC 102_Wkst'!$D$7:$D$2010,$C$7,'LAC 102_Wkst'!$I$7:$I$2010,$C$9,'LAC 102_Wkst'!$E$7:$E$2010,$C66,'LAC 102_Wkst'!$G$7:$G$2010,$D66,'LAC 102_Wkst'!$L$7:$L$2010,"01",'LAC 102_Wkst'!$N$7:$N$2010,"P5")+SUMIFS('LAC 102_Wkst'!$Q$7:$Q$2010,'LAC 102_Wkst'!$D$7:$D$2010,$C$7,'LAC 102_Wkst'!$I$7:$I$2010,$C$9,'LAC 102_Wkst'!$E$7:$E$2010,$C66,'LAC 102_Wkst'!$G$7:$G$2010,$D66,'LAC 102_Wkst'!$L$7:$L$2010,"02",'LAC 102_Wkst'!$N$7:$N$2010,"P5")</f>
        <v>0</v>
      </c>
      <c r="K66" s="411">
        <f>SUMIFS('LAC 102_Wkst'!$AF$7:$AF$2010,'LAC 102_Wkst'!$D$7:$D$2010,$C$7,'LAC 102_Wkst'!$I$7:$I$2010,$C$9,'LAC 102_Wkst'!$E$7:$E$2010,$C66,'LAC 102_Wkst'!$G$7:$G$2010,$D66,'LAC 102_Wkst'!$L$7:$L$2010,"01",'LAC 102_Wkst'!$N$7:$N$2010,"P5")+SUMIFS('LAC 102_Wkst'!$AF$7:$AF$2010,'LAC 102_Wkst'!$D$7:$D$2010,$C$7,'LAC 102_Wkst'!$I$7:$I$2010,$C$9,'LAC 102_Wkst'!$E$7:$E$2010,$C66,'LAC 102_Wkst'!$G$7:$G$2010,$D66,'LAC 102_Wkst'!$L$7:$L$2010,"02",'LAC 102_Wkst'!$N$7:$N$2010,"P5")</f>
        <v>0</v>
      </c>
      <c r="L66" s="410">
        <f>SUMIFS('LAC 102_Wkst'!$Q$7:$Q$2010,'LAC 102_Wkst'!$D$7:$D$2010,$C$7,'LAC 102_Wkst'!$I$7:$I$2010,$C$9,'LAC 102_Wkst'!$E$7:$E$2010,$C66,'LAC 102_Wkst'!$G$7:$G$2010,$D66,'LAC 102_Wkst'!$L$7:$L$2010,"03",'LAC 102_Wkst'!$N$7:$N$2010,"P1")+SUMIFS('LAC 102_Wkst'!$Q$7:$Q$2010,'LAC 102_Wkst'!$D$7:$D$2010,$C$7,'LAC 102_Wkst'!$I$7:$I$2010,$C$9,'LAC 102_Wkst'!$E$7:$E$2010,$C66,'LAC 102_Wkst'!$G$7:$G$2010,$D66,'LAC 102_Wkst'!$L$7:$L$2010,"03",'LAC 102_Wkst'!$N$7:$N$2010,"P2")+SUMIFS('LAC 102_Wkst'!$Q$7:$Q$2010,'LAC 102_Wkst'!$D$7:$D$2010,$C$7,'LAC 102_Wkst'!$I$7:$I$2010,$C$9,'LAC 102_Wkst'!$E$7:$E$2010,$C66,'LAC 102_Wkst'!$G$7:$G$2010,$D66,'LAC 102_Wkst'!$L$7:$L$2010,"03",'LAC 102_Wkst'!$N$7:$N$2010,"P3")+SUMIFS('LAC 102_Wkst'!$Q$7:$Q$2010,'LAC 102_Wkst'!$D$7:$D$2010,$C$7,'LAC 102_Wkst'!$I$7:$I$2010,$C$9,'LAC 102_Wkst'!$E$7:$E$2010,$C66,'LAC 102_Wkst'!$G$7:$G$2010,$D66,'LAC 102_Wkst'!$L$7:$L$2010,"04",'LAC 102_Wkst'!$N$7:$N$2010,"P1")+SUMIFS('LAC 102_Wkst'!$Q$7:$Q$2010,'LAC 102_Wkst'!$D$7:$D$2010,$C$7,'LAC 102_Wkst'!$I$7:$I$2010,$C$9,'LAC 102_Wkst'!$E$7:$E$2010,$C66,'LAC 102_Wkst'!$G$7:$G$2010,$D66,'LAC 102_Wkst'!$L$7:$L$2010,"04",'LAC 102_Wkst'!$N$7:$N$2010,"P2")+SUMIFS('LAC 102_Wkst'!$Q$7:$Q$2010,'LAC 102_Wkst'!$D$7:$D$2010,$C$7,'LAC 102_Wkst'!$I$7:$I$2010,$C$9,'LAC 102_Wkst'!$E$7:$E$2010,$C66,'LAC 102_Wkst'!$G$7:$G$2010,$D66,'LAC 102_Wkst'!$L$7:$L$2010,"04",'LAC 102_Wkst'!$N$7:$N$2010,"P3")</f>
        <v>0</v>
      </c>
      <c r="M66" s="411">
        <f>SUMIFS('LAC 102_Wkst'!$AF$7:$AF$2010,'LAC 102_Wkst'!$D$7:$D$2010,$C$7,'LAC 102_Wkst'!$I$7:$I$2010,$C$9,'LAC 102_Wkst'!$E$7:$E$2010,$C66,'LAC 102_Wkst'!$G$7:$G$2010,$D66,'LAC 102_Wkst'!$L$7:$L$2010,"03",'LAC 102_Wkst'!$N$7:$N$2010,"P1")+SUMIFS('LAC 102_Wkst'!$AF$7:$AF$2010,'LAC 102_Wkst'!$D$7:$D$2010,$C$7,'LAC 102_Wkst'!$I$7:$I$2010,$C$9,'LAC 102_Wkst'!$E$7:$E$2010,$C66,'LAC 102_Wkst'!$G$7:$G$2010,$D66,'LAC 102_Wkst'!$L$7:$L$2010,"03",'LAC 102_Wkst'!$N$7:$N$2010,"P2")+SUMIFS('LAC 102_Wkst'!$AF$7:$AF$2010,'LAC 102_Wkst'!$D$7:$D$2010,$C$7,'LAC 102_Wkst'!$I$7:$I$2010,$C$9,'LAC 102_Wkst'!$E$7:$E$2010,$C66,'LAC 102_Wkst'!$G$7:$G$2010,$D66,'LAC 102_Wkst'!$L$7:$L$2010,"03",'LAC 102_Wkst'!$N$7:$N$2010,"P3")+SUMIFS('LAC 102_Wkst'!$AF$7:$AF$2010,'LAC 102_Wkst'!$D$7:$D$2010,$C$7,'LAC 102_Wkst'!$I$7:$I$2010,$C$9,'LAC 102_Wkst'!$E$7:$E$2010,$C66,'LAC 102_Wkst'!$G$7:$G$2010,$D66,'LAC 102_Wkst'!$L$7:$L$2010,"04",'LAC 102_Wkst'!$N$7:$N$2010,"P1")+SUMIFS('LAC 102_Wkst'!$AF$7:$AF$2010,'LAC 102_Wkst'!$D$7:$D$2010,$C$7,'LAC 102_Wkst'!$I$7:$I$2010,$C$9,'LAC 102_Wkst'!$E$7:$E$2010,$C66,'LAC 102_Wkst'!$G$7:$G$2010,$D66,'LAC 102_Wkst'!$L$7:$L$2010,"04",'LAC 102_Wkst'!$N$7:$N$2010,"P2")+SUMIFS('LAC 102_Wkst'!$AF$7:$AF$2010,'LAC 102_Wkst'!$D$7:$D$2010,$C$7,'LAC 102_Wkst'!$I$7:$I$2010,$C$9,'LAC 102_Wkst'!$E$7:$E$2010,$C66,'LAC 102_Wkst'!$G$7:$G$2010,$D66,'LAC 102_Wkst'!$L$7:$L$2010,"04",'LAC 102_Wkst'!$N$7:$N$2010,"P3")</f>
        <v>0</v>
      </c>
      <c r="N66" s="410">
        <f>SUMIFS('LAC 102_Wkst'!$Q$7:$Q$2010,'LAC 102_Wkst'!$D$7:$D$2010,$C$7,'LAC 102_Wkst'!$I$7:$I$2010,$C$9,'LAC 102_Wkst'!$E$7:$E$2010,$C66,'LAC 102_Wkst'!$G$7:$G$2010,$D66,'LAC 102_Wkst'!$L$7:$L$2010,"03",'LAC 102_Wkst'!$N$7:$N$2010,"P4")+SUMIFS('LAC 102_Wkst'!$Q$7:$Q$2010,'LAC 102_Wkst'!$D$7:$D$2010,$C$7,'LAC 102_Wkst'!$I$7:$I$2010,$C$9,'LAC 102_Wkst'!$E$7:$E$2010,$C66,'LAC 102_Wkst'!$G$7:$G$2010,$D66,'LAC 102_Wkst'!$L$7:$L$2010,"04",'LAC 102_Wkst'!$N$7:$N$2010,"P4")</f>
        <v>0</v>
      </c>
      <c r="O66" s="411">
        <f>SUMIFS('LAC 102_Wkst'!$AF$7:$AF$2010,'LAC 102_Wkst'!$D$7:$D$2010,$C$7,'LAC 102_Wkst'!$I$7:$I$2010,$C$9,'LAC 102_Wkst'!$E$7:$E$2010,$C66,'LAC 102_Wkst'!$G$7:$G$2010,$D66,'LAC 102_Wkst'!$L$7:$L$2010,"03",'LAC 102_Wkst'!$N$7:$N$2010,"P4")+SUMIFS('LAC 102_Wkst'!$AF$7:$AF$2010,'LAC 102_Wkst'!$D$7:$D$2010,$C$7,'LAC 102_Wkst'!$I$7:$I$2010,$C$9,'LAC 102_Wkst'!$E$7:$E$2010,$C66,'LAC 102_Wkst'!$G$7:$G$2010,$D66,'LAC 102_Wkst'!$L$7:$L$2010,"04",'LAC 102_Wkst'!$N$7:$N$2010,"P4")</f>
        <v>0</v>
      </c>
      <c r="P66" s="410">
        <f>SUMIFS('LAC 102_Wkst'!$Q$7:$Q$2010,'LAC 102_Wkst'!$D$7:$D$2010,$C$7,'LAC 102_Wkst'!$I$7:$I$2010,$C$9,'LAC 102_Wkst'!$E$7:$E$2010,$C66,'LAC 102_Wkst'!$G$7:$G$2010,$D66,'LAC 102_Wkst'!$L$7:$L$2010,"03",'LAC 102_Wkst'!$N$7:$N$2010,"P5")+SUMIFS('LAC 102_Wkst'!$Q$7:$Q$2010,'LAC 102_Wkst'!$D$7:$D$2010,$C$7,'LAC 102_Wkst'!$I$7:$I$2010,$C$9,'LAC 102_Wkst'!$E$7:$E$2010,$C66,'LAC 102_Wkst'!$G$7:$G$2010,$D66,'LAC 102_Wkst'!$L$7:$L$2010,"04",'LAC 102_Wkst'!$N$7:$N$2010,"P5")</f>
        <v>0</v>
      </c>
      <c r="Q66" s="411">
        <f>SUMIFS('LAC 102_Wkst'!$AF$7:$AF$2010,'LAC 102_Wkst'!$D$7:$D$2010,$C$7,'LAC 102_Wkst'!$I$7:$I$2010,$C$9,'LAC 102_Wkst'!$E$7:$E$2010,$C66,'LAC 102_Wkst'!$G$7:$G$2010,$D66,'LAC 102_Wkst'!$L$7:$L$2010,"03",'LAC 102_Wkst'!$N$7:$N$2010,"P5")+SUMIFS('LAC 102_Wkst'!$AF$7:$AF$2010,'LAC 102_Wkst'!$D$7:$D$2010,$C$7,'LAC 102_Wkst'!$I$7:$I$2010,$C$9,'LAC 102_Wkst'!$E$7:$E$2010,$C66,'LAC 102_Wkst'!$G$7:$G$2010,$D66,'LAC 102_Wkst'!$L$7:$L$2010,"04",'LAC 102_Wkst'!$N$7:$N$2010,"P5")</f>
        <v>0</v>
      </c>
      <c r="R66" s="412">
        <f>SUMIFS('LAC 102_Wkst'!$Q$7:$Q$2010,'LAC 102_Wkst'!$D$7:$D$2010,$C$7,'LAC 102_Wkst'!$I$7:$I$2010,$C$9,'LAC 102_Wkst'!$E$7:$E$2010,$C66,'LAC 102_Wkst'!$G$7:$G$2010,$D66,'LAC 102_Wkst'!$L$7:$L$2010,"05",'LAC 102_Wkst'!$N$7:$N$2010,"P1")+SUMIFS('LAC 102_Wkst'!$Q$7:$Q$2010,'LAC 102_Wkst'!$D$7:$D$2010,$C$7,'LAC 102_Wkst'!$I$7:$I$2010,$C$9,'LAC 102_Wkst'!$E$7:$E$2010,$C66,'LAC 102_Wkst'!$G$7:$G$2010,$D66,'LAC 102_Wkst'!$L$7:$L$2010,"06",'LAC 102_Wkst'!$N$7:$N$2010,"P1")</f>
        <v>0</v>
      </c>
      <c r="S66" s="411">
        <f>SUMIFS('LAC 102_Wkst'!$AF$7:$AF$2010,'LAC 102_Wkst'!$D$7:$D$2010,$C$7,'LAC 102_Wkst'!$I$7:$I$2010,$C$9,'LAC 102_Wkst'!$E$7:$E$2010,$C66,'LAC 102_Wkst'!$G$7:$G$2010,$D66,'LAC 102_Wkst'!$L$7:$L$2010,"05",'LAC 102_Wkst'!$N$7:$N$2010,"P1")+SUMIFS('LAC 102_Wkst'!$AF$7:$AF$2010,'LAC 102_Wkst'!$D$7:$D$2010,$C$7,'LAC 102_Wkst'!$I$7:$I$2010,$C$9,'LAC 102_Wkst'!$E$7:$E$2010,$C66,'LAC 102_Wkst'!$G$7:$G$2010,$D66,'LAC 102_Wkst'!$L$7:$L$2010,"06",'LAC 102_Wkst'!$N$7:$N$2010,"P1")</f>
        <v>0</v>
      </c>
      <c r="T66" s="410">
        <f>SUMIFS('LAC 102_Wkst'!$Q$7:$Q$2010,'LAC 102_Wkst'!$D$7:$D$2010,$C$7,'LAC 102_Wkst'!$I$7:$I$2010,$C$9,'LAC 102_Wkst'!$E$7:$E$2010,$C66,'LAC 102_Wkst'!$G$7:$G$2010,$D66,'LAC 102_Wkst'!$L$7:$L$2010,"05",'LAC 102_Wkst'!$N$7:$N$2010,"P2")+SUMIFS('LAC 102_Wkst'!$Q$7:$Q$2010,'LAC 102_Wkst'!$D$7:$D$2010,$C$7,'LAC 102_Wkst'!$I$7:$I$2010,$C$9,'LAC 102_Wkst'!$E$7:$E$2010,$C66,'LAC 102_Wkst'!$G$7:$G$2010,$D66,'LAC 102_Wkst'!$L$7:$L$2010,"06",'LAC 102_Wkst'!$N$7:$N$2010,"P2")+SUMIFS('LAC 102_Wkst'!$Q$7:$Q$2010,'LAC 102_Wkst'!$D$7:$D$2010,$C$7,'LAC 102_Wkst'!$I$7:$I$2010,$C$9,'LAC 102_Wkst'!$E$7:$E$2010,$C66,'LAC 102_Wkst'!$G$7:$G$2010,$D66,'LAC 102_Wkst'!$L$7:$L$2010,"05",'LAC 102_Wkst'!$N$7:$N$2010,"P3")+SUMIFS('LAC 102_Wkst'!$Q$7:$Q$2010,'LAC 102_Wkst'!$D$7:$D$2010,$C$7,'LAC 102_Wkst'!$I$7:$I$2010,$C$9,'LAC 102_Wkst'!$E$7:$E$2010,$C66,'LAC 102_Wkst'!$G$7:$G$2010,$D66,'LAC 102_Wkst'!$L$7:$L$2010,"06",'LAC 102_Wkst'!$N$7:$N$2010,"P3")</f>
        <v>0</v>
      </c>
      <c r="U66" s="411">
        <f>SUMIFS('LAC 102_Wkst'!$AF$7:$AF$2010,'LAC 102_Wkst'!$D$7:$D$2010,$C$7,'LAC 102_Wkst'!$I$7:$I$2010,$C$9,'LAC 102_Wkst'!$E$7:$E$2010,$C66,'LAC 102_Wkst'!$G$7:$G$2010,$D66,'LAC 102_Wkst'!$L$7:$L$2010,"05",'LAC 102_Wkst'!$N$7:$N$2010,"P2")+SUMIFS('LAC 102_Wkst'!$AF$7:$AF$2010,'LAC 102_Wkst'!$D$7:$D$2010,$C$7,'LAC 102_Wkst'!$I$7:$I$2010,$C$9,'LAC 102_Wkst'!$E$7:$E$2010,$C66,'LAC 102_Wkst'!$G$7:$G$2010,$D66,'LAC 102_Wkst'!$L$7:$L$2010,"06",'LAC 102_Wkst'!$N$7:$N$2010,"P2")+SUMIFS('LAC 102_Wkst'!$AF$7:$AF$2010,'LAC 102_Wkst'!$D$7:$D$2010,$C$7,'LAC 102_Wkst'!$I$7:$I$2010,$C$9,'LAC 102_Wkst'!$E$7:$E$2010,$C66,'LAC 102_Wkst'!$G$7:$G$2010,$D66,'LAC 102_Wkst'!$L$7:$L$2010,"05",'LAC 102_Wkst'!$N$7:$N$2010,"P3")+SUMIFS('LAC 102_Wkst'!$AF$7:$AF$2010,'LAC 102_Wkst'!$D$7:$D$2010,$C$7,'LAC 102_Wkst'!$I$7:$I$2010,$C$9,'LAC 102_Wkst'!$E$7:$E$2010,$C66,'LAC 102_Wkst'!$G$7:$G$2010,$D66,'LAC 102_Wkst'!$L$7:$L$2010,"06",'LAC 102_Wkst'!$N$7:$N$2010,"P3")</f>
        <v>0</v>
      </c>
      <c r="V66" s="410">
        <f>SUMIFS('LAC 102_Wkst'!$Q$7:$Q$2010,'LAC 102_Wkst'!$D$7:$D$2010,$C$7,'LAC 102_Wkst'!$I$7:$I$2010,$C$9,'LAC 102_Wkst'!$E$7:$E$2010,$C66,'LAC 102_Wkst'!$G$7:$G$2010,$D66,'LAC 102_Wkst'!$L$7:$L$2010,"05",'LAC 102_Wkst'!$N$7:$N$2010,"P4")+SUMIFS('LAC 102_Wkst'!$Q$7:$Q$2010,'LAC 102_Wkst'!$D$7:$D$2010,$C$7,'LAC 102_Wkst'!$I$7:$I$2010,$C$9,'LAC 102_Wkst'!$E$7:$E$2010,$C66,'LAC 102_Wkst'!$G$7:$G$2010,$D66,'LAC 102_Wkst'!$L$7:$L$2010,"06",'LAC 102_Wkst'!$N$7:$N$2010,"P4")</f>
        <v>0</v>
      </c>
      <c r="W66" s="411">
        <f>SUMIFS('LAC 102_Wkst'!$AF$7:$AF$2010,'LAC 102_Wkst'!$D$7:$D$2010,$C$7,'LAC 102_Wkst'!$I$7:$I$2010,$C$9,'LAC 102_Wkst'!$E$7:$E$2010,$C66,'LAC 102_Wkst'!$G$7:$G$2010,$D66,'LAC 102_Wkst'!$L$7:$L$2010,"05",'LAC 102_Wkst'!$N$7:$N$2010,"P4")+SUMIFS('LAC 102_Wkst'!$AF$7:$AF$2010,'LAC 102_Wkst'!$D$7:$D$2010,$C$7,'LAC 102_Wkst'!$I$7:$I$2010,$C$9,'LAC 102_Wkst'!$E$7:$E$2010,$C66,'LAC 102_Wkst'!$G$7:$G$2010,$D66,'LAC 102_Wkst'!$L$7:$L$2010,"06",'LAC 102_Wkst'!$N$7:$N$2010,"P4")</f>
        <v>0</v>
      </c>
      <c r="X66" s="410">
        <f>SUMIFS('LAC 102_Wkst'!$Q$7:$Q$2010,'LAC 102_Wkst'!$D$7:$D$2010,$C$7,'LAC 102_Wkst'!$I$7:$I$2010,$C$9,'LAC 102_Wkst'!$E$7:$E$2010,$C66,'LAC 102_Wkst'!$G$7:$G$2010,$D66,'LAC 102_Wkst'!$L$7:$L$2010,"05",'LAC 102_Wkst'!$N$7:$N$2010,"P5")+SUMIFS('LAC 102_Wkst'!$Q$7:$Q$2010,'LAC 102_Wkst'!$D$7:$D$2010,$C$7,'LAC 102_Wkst'!$I$7:$I$2010,$C$9,'LAC 102_Wkst'!$E$7:$E$2010,$C66,'LAC 102_Wkst'!$G$7:$G$2010,$D66,'LAC 102_Wkst'!$L$7:$L$2010,"06",'LAC 102_Wkst'!$N$7:$N$2010,"P5")</f>
        <v>0</v>
      </c>
      <c r="Y66" s="411">
        <f>SUMIFS('LAC 102_Wkst'!$AF$7:$AF$2010,'LAC 102_Wkst'!$D$7:$D$2010,$C$7,'LAC 102_Wkst'!$I$7:$I$2010,$C$9,'LAC 102_Wkst'!$E$7:$E$2010,$C66,'LAC 102_Wkst'!$G$7:$G$2010,$D66,'LAC 102_Wkst'!$L$7:$L$2010,"05",'LAC 102_Wkst'!$N$7:$N$2010,"P5")+SUMIFS('LAC 102_Wkst'!$AF$7:$AF$2010,'LAC 102_Wkst'!$D$7:$D$2010,$C$7,'LAC 102_Wkst'!$I$7:$I$2010,$C$9,'LAC 102_Wkst'!$E$7:$E$2010,$C66,'LAC 102_Wkst'!$G$7:$G$2010,$D66,'LAC 102_Wkst'!$L$7:$L$2010,"06",'LAC 102_Wkst'!$N$7:$N$2010,"P5")</f>
        <v>0</v>
      </c>
      <c r="Z66" s="410">
        <f>SUMIFS('LAC 102_Wkst'!$Q$7:$Q$2010,'LAC 102_Wkst'!$D$7:$D$2010,$C$7,'LAC 102_Wkst'!$I$7:$I$2010,$C$9,'LAC 102_Wkst'!$E$7:$E$2010,$C66,'LAC 102_Wkst'!$G$7:$G$2010,$D66,'LAC 102_Wkst'!$L$7:$L$2010,"07",'LAC 102_Wkst'!$N$7:$N$2010,"P1")+SUMIFS('LAC 102_Wkst'!$Q$7:$Q$2010,'LAC 102_Wkst'!$D$7:$D$2010,$C$7,'LAC 102_Wkst'!$I$7:$I$2010,$C$9,'LAC 102_Wkst'!$E$7:$E$2010,$C66,'LAC 102_Wkst'!$G$7:$G$2010,$D66,'LAC 102_Wkst'!$L$7:$L$2010,"07",'LAC 102_Wkst'!$N$7:$N$2010,"P2")+SUMIFS('LAC 102_Wkst'!$Q$7:$Q$2010,'LAC 102_Wkst'!$D$7:$D$2010,$C$7,'LAC 102_Wkst'!$I$7:$I$2010,$C$9,'LAC 102_Wkst'!$E$7:$E$2010,$C66,'LAC 102_Wkst'!$G$7:$G$2010,$D66,'LAC 102_Wkst'!$L$7:$L$2010,"07",'LAC 102_Wkst'!$N$7:$N$2010,"P3")</f>
        <v>0</v>
      </c>
      <c r="AA66" s="411">
        <f>SUMIFS('LAC 102_Wkst'!$AF$7:$AF$2010,'LAC 102_Wkst'!$D$7:$D$2010,$C$7,'LAC 102_Wkst'!$I$7:$I$2010,$C$9,'LAC 102_Wkst'!$E$7:$E$2010,$C66,'LAC 102_Wkst'!$G$7:$G$2010,$D66,'LAC 102_Wkst'!$L$7:$L$2010,"07",'LAC 102_Wkst'!$N$7:$N$2010,"P1")+SUMIFS('LAC 102_Wkst'!$AF$7:$AF$2010,'LAC 102_Wkst'!$D$7:$D$2010,$C$7,'LAC 102_Wkst'!$I$7:$I$2010,$C$9,'LAC 102_Wkst'!$E$7:$E$2010,$C66,'LAC 102_Wkst'!$G$7:$G$2010,$D66,'LAC 102_Wkst'!$L$7:$L$2010,"07",'LAC 102_Wkst'!$N$7:$N$2010,"P2")+SUMIFS('LAC 102_Wkst'!$AF$7:$AF$2010,'LAC 102_Wkst'!$D$7:$D$2010,$C$7,'LAC 102_Wkst'!$I$7:$I$2010,$C$9,'LAC 102_Wkst'!$E$7:$E$2010,$C66,'LAC 102_Wkst'!$G$7:$G$2010,$D66,'LAC 102_Wkst'!$L$7:$L$2010,"07",'LAC 102_Wkst'!$N$7:$N$2010,"P3")</f>
        <v>0</v>
      </c>
      <c r="AB66" s="410">
        <f>SUMIFS('LAC 102_Wkst'!$Q$7:$Q$2010,'LAC 102_Wkst'!$D$7:$D$2010,$C$7,'LAC 102_Wkst'!$I$7:$I$2010,$C$9,'LAC 102_Wkst'!$E$7:$E$2010,$C66,'LAC 102_Wkst'!$G$7:$G$2010,$D66,'LAC 102_Wkst'!$L$7:$L$2010,"07",'LAC 102_Wkst'!$N$7:$N$2010,"P4")</f>
        <v>0</v>
      </c>
      <c r="AC66" s="411">
        <f>SUMIFS('LAC 102_Wkst'!$AF$7:$AF$2010,'LAC 102_Wkst'!$D$7:$D$2010,$C$7,'LAC 102_Wkst'!$I$7:$I$2010,$C$9,'LAC 102_Wkst'!$E$7:$E$2010,$C66,'LAC 102_Wkst'!$G$7:$G$2010,$D66,'LAC 102_Wkst'!$L$7:$L$2010,"07",'LAC 102_Wkst'!$N$7:$N$2010,"P4")</f>
        <v>0</v>
      </c>
      <c r="AD66" s="410">
        <f>SUMIFS('LAC 102_Wkst'!$Q$7:$Q$2010,'LAC 102_Wkst'!$D$7:$D$2010,$C$7,'LAC 102_Wkst'!$I$7:$I$2010,$C$9,'LAC 102_Wkst'!$E$7:$E$2010,$C66,'LAC 102_Wkst'!$G$7:$G$2010,$D66,'LAC 102_Wkst'!$L$7:$L$2010,"07",'LAC 102_Wkst'!$N$7:$N$2010,"P5")</f>
        <v>0</v>
      </c>
      <c r="AE66" s="411">
        <f>SUMIFS('LAC 102_Wkst'!$AF$7:$AF$2010,'LAC 102_Wkst'!$D$7:$D$2010,$C$7,'LAC 102_Wkst'!$I$7:$I$2010,$C$9,'LAC 102_Wkst'!$E$7:$E$2010,$C66,'LAC 102_Wkst'!$G$7:$G$2010,$D66,'LAC 102_Wkst'!$L$7:$L$2010,"07",'LAC 102_Wkst'!$N$7:$N$2010,"P5")</f>
        <v>0</v>
      </c>
      <c r="AF66" s="410">
        <f>SUMIFS('LAC 102_Wkst'!$Q$7:$Q$2010,'LAC 102_Wkst'!$D$7:$D$2010,$C$7,'LAC 102_Wkst'!$I$7:$I$2010,$C$9,'LAC 102_Wkst'!$E$7:$E$2010,$C66,'LAC 102_Wkst'!$G$7:$G$2010,$D66,'LAC 102_Wkst'!$L$7:$L$2010,"08",'LAC 102_Wkst'!$N$7:$N$2010,"P1")+SUMIFS('LAC 102_Wkst'!$Q$7:$Q$2010,'LAC 102_Wkst'!$D$7:$D$2010,$C$7,'LAC 102_Wkst'!$I$7:$I$2010,$C$9,'LAC 102_Wkst'!$E$7:$E$2010,$C66,'LAC 102_Wkst'!$G$7:$G$2010,$D66,'LAC 102_Wkst'!$L$7:$L$2010,"08",'LAC 102_Wkst'!$N$7:$N$2010,"P2")+SUMIFS('LAC 102_Wkst'!$Q$7:$Q$2010,'LAC 102_Wkst'!$D$7:$D$2010,$C$7,'LAC 102_Wkst'!$I$7:$I$2010,$C$9,'LAC 102_Wkst'!$E$7:$E$2010,$C66,'LAC 102_Wkst'!$G$7:$G$2010,$D66,'LAC 102_Wkst'!$L$7:$L$2010,"08",'LAC 102_Wkst'!$N$7:$N$2010,"P3")</f>
        <v>0</v>
      </c>
      <c r="AG66" s="411">
        <f>SUMIFS('LAC 102_Wkst'!$AF$7:$AF$2010,'LAC 102_Wkst'!$D$7:$D$2010,$C$7,'LAC 102_Wkst'!$I$7:$I$2010,$C$9,'LAC 102_Wkst'!$E$7:$E$2010,$C66,'LAC 102_Wkst'!$G$7:$G$2010,$D66,'LAC 102_Wkst'!$L$7:$L$2010,"08",'LAC 102_Wkst'!$N$7:$N$2010,"P1")+SUMIFS('LAC 102_Wkst'!$AF$7:$AF$2010,'LAC 102_Wkst'!$D$7:$D$2010,$C$7,'LAC 102_Wkst'!$I$7:$I$2010,$C$9,'LAC 102_Wkst'!$E$7:$E$2010,$C66,'LAC 102_Wkst'!$G$7:$G$2010,$D66,'LAC 102_Wkst'!$L$7:$L$2010,"08",'LAC 102_Wkst'!$N$7:$N$2010,"P2")+SUMIFS('LAC 102_Wkst'!$AF$7:$AF$2010,'LAC 102_Wkst'!$D$7:$D$2010,$C$7,'LAC 102_Wkst'!$I$7:$I$2010,$C$9,'LAC 102_Wkst'!$E$7:$E$2010,$C66,'LAC 102_Wkst'!$G$7:$G$2010,$D66,'LAC 102_Wkst'!$L$7:$L$2010,"08",'LAC 102_Wkst'!$N$7:$N$2010,"P3")</f>
        <v>0</v>
      </c>
      <c r="AH66" s="410">
        <f>SUMIFS('LAC 102_Wkst'!$Q$7:$Q$2010,'LAC 102_Wkst'!$D$7:$D$2010,$C$7,'LAC 102_Wkst'!$I$7:$I$2010,$C$9,'LAC 102_Wkst'!$E$7:$E$2010,$C66,'LAC 102_Wkst'!$G$7:$G$2010,$D66,'LAC 102_Wkst'!$L$7:$L$2010,"08",'LAC 102_Wkst'!$N$7:$N$2010,"P4")</f>
        <v>0</v>
      </c>
      <c r="AI66" s="411">
        <f>SUMIFS('LAC 102_Wkst'!$AF$7:$AF$2010,'LAC 102_Wkst'!$D$7:$D$2010,$C$7,'LAC 102_Wkst'!$I$7:$I$2010,$C$9,'LAC 102_Wkst'!$E$7:$E$2010,$C66,'LAC 102_Wkst'!$G$7:$G$2010,$D66,'LAC 102_Wkst'!$L$7:$L$2010,"08",'LAC 102_Wkst'!$N$7:$N$2010,"P4")</f>
        <v>0</v>
      </c>
      <c r="AJ66" s="410">
        <f>SUMIFS('LAC 102_Wkst'!$Q$7:$Q$2010,'LAC 102_Wkst'!$D$7:$D$2010,$C$7,'LAC 102_Wkst'!$I$7:$I$2010,$C$9,'LAC 102_Wkst'!$E$7:$E$2010,$C66,'LAC 102_Wkst'!$G$7:$G$2010,$D66,'LAC 102_Wkst'!$L$7:$L$2010,"08",'LAC 102_Wkst'!$N$7:$N$2010,"P5")</f>
        <v>0</v>
      </c>
      <c r="AK66" s="411">
        <f>SUMIFS('LAC 102_Wkst'!$AF$7:$AF$2010,'LAC 102_Wkst'!$D$7:$D$2010,$C$7,'LAC 102_Wkst'!$I$7:$I$2010,$C$9,'LAC 102_Wkst'!$E$7:$E$2010,$C66,'LAC 102_Wkst'!$G$7:$G$2010,$D66,'LAC 102_Wkst'!$L$7:$L$2010,"08",'LAC 102_Wkst'!$N$7:$N$2010,"P5")</f>
        <v>0</v>
      </c>
      <c r="AL66" s="410">
        <f>SUMIFS('LAC 102_Wkst'!$Q$7:$Q$2010,'LAC 102_Wkst'!$D$7:$D$2010,$C$7,'LAC 102_Wkst'!$I$7:$I$2010,$C$9,'LAC 102_Wkst'!$E$7:$E$2010,$C66,'LAC 102_Wkst'!$G$7:$G$2010,$D66,'LAC 102_Wkst'!$L$7:$L$2010,"09",'LAC 102_Wkst'!$N$7:$N$2010,"P1")+SUMIFS('LAC 102_Wkst'!$Q$7:$Q$2010,'LAC 102_Wkst'!$D$7:$D$2010,$C$7,'LAC 102_Wkst'!$I$7:$I$2010,$C$9,'LAC 102_Wkst'!$E$7:$E$2010,$C66,'LAC 102_Wkst'!$G$7:$G$2010,$D66,'LAC 102_Wkst'!$L$7:$L$2010,"09",'LAC 102_Wkst'!$N$7:$N$2010,"P2")+SUMIFS('LAC 102_Wkst'!$Q$7:$Q$2010,'LAC 102_Wkst'!$D$7:$D$2010,$C$7,'LAC 102_Wkst'!$I$7:$I$2010,$C$9,'LAC 102_Wkst'!$E$7:$E$2010,$C66,'LAC 102_Wkst'!$G$7:$G$2010,$D66,'LAC 102_Wkst'!$L$7:$L$2010,"09",'LAC 102_Wkst'!$N$7:$N$2010,"P3")+SUMIFS('LAC 102_Wkst'!$Q$7:$Q$2010,'LAC 102_Wkst'!$D$7:$D$2010,$C$7,'LAC 102_Wkst'!$I$7:$I$2010,$C$9,'LAC 102_Wkst'!$E$7:$E$2010,$C66,'LAC 102_Wkst'!$G$7:$G$2010,$D66,'LAC 102_Wkst'!$L$7:$L$2010,"09",'LAC 102_Wkst'!$N$7:$N$2010,"P4")</f>
        <v>0</v>
      </c>
      <c r="AM66" s="411">
        <f>SUMIFS('LAC 102_Wkst'!$AF$7:$AF$2010,'LAC 102_Wkst'!$D$7:$D$2010,$C$7,'LAC 102_Wkst'!$I$7:$I$2010,$C$9,'LAC 102_Wkst'!$E$7:$E$2010,$C66,'LAC 102_Wkst'!$G$7:$G$2010,$D66,'LAC 102_Wkst'!$L$7:$L$2010,"09",'LAC 102_Wkst'!$N$7:$N$2010,"P1")+SUMIFS('LAC 102_Wkst'!$AF$7:$AF$2010,'LAC 102_Wkst'!$D$7:$D$2010,$C$7,'LAC 102_Wkst'!$I$7:$I$2010,$C$9,'LAC 102_Wkst'!$E$7:$E$2010,$C66,'LAC 102_Wkst'!$G$7:$G$2010,$D66,'LAC 102_Wkst'!$L$7:$L$2010,"09",'LAC 102_Wkst'!$N$7:$N$2010,"P2")+SUMIFS('LAC 102_Wkst'!$AF$7:$AF$2010,'LAC 102_Wkst'!$D$7:$D$2010,$C$7,'LAC 102_Wkst'!$I$7:$I$2010,$C$9,'LAC 102_Wkst'!$E$7:$E$2010,$C66,'LAC 102_Wkst'!$G$7:$G$2010,$D66,'LAC 102_Wkst'!$L$7:$L$2010,"09",'LAC 102_Wkst'!$N$7:$N$2010,"P3")+SUMIFS('LAC 102_Wkst'!$AF$7:$AF$2010,'LAC 102_Wkst'!$D$7:$D$2010,$C$7,'LAC 102_Wkst'!$I$7:$I$2010,$C$9,'LAC 102_Wkst'!$E$7:$E$2010,$C66,'LAC 102_Wkst'!$G$7:$G$2010,$D66,'LAC 102_Wkst'!$L$7:$L$2010,"09",'LAC 102_Wkst'!$N$7:$N$2010,"P4")</f>
        <v>0</v>
      </c>
      <c r="AN66" s="410">
        <f>SUMIFS('LAC 102_Wkst'!$Q$7:$Q$2010,'LAC 102_Wkst'!$D$7:$D$2010,$C$7,'LAC 102_Wkst'!$I$7:$I$2010,$C$9,'LAC 102_Wkst'!$E$7:$E$2010,$C66,'LAC 102_Wkst'!$G$7:$G$2010,$D66,'LAC 102_Wkst'!$L$7:$L$2010,"09",'LAC 102_Wkst'!$N$7:$N$2010,"P5")</f>
        <v>0</v>
      </c>
      <c r="AO66" s="411">
        <f>SUMIFS('LAC 102_Wkst'!$AF$7:$AF$2010,'LAC 102_Wkst'!$D$7:$D$2010,$C$7,'LAC 102_Wkst'!$I$7:$I$2010,$C$9,'LAC 102_Wkst'!$E$7:$E$2010,$C66,'LAC 102_Wkst'!$G$7:$G$2010,$D66,'LAC 102_Wkst'!$L$7:$L$2010,"09",'LAC 102_Wkst'!$N$7:$N$2010,"P5")</f>
        <v>0</v>
      </c>
      <c r="AP66" s="410">
        <f>SUMIFS('LAC 102_Wkst'!$Q$7:$Q$2010,'LAC 102_Wkst'!$D$7:$D$2010,$C$7,'LAC 102_Wkst'!$I$7:$I$2010,$C$9,'LAC 102_Wkst'!$E$7:$E$2010,$C66,'LAC 102_Wkst'!$G$7:$G$2010,$D66,'LAC 102_Wkst'!$L$7:$L$2010,"10",'LAC 102_Wkst'!$N$7:$N$2010,"P1")+SUMIFS('LAC 102_Wkst'!$Q$7:$Q$2010,'LAC 102_Wkst'!$D$7:$D$2010,$C$7,'LAC 102_Wkst'!$I$7:$I$2010,$C$9,'LAC 102_Wkst'!$E$7:$E$2010,$C66,'LAC 102_Wkst'!$G$7:$G$2010,$D66,'LAC 102_Wkst'!$L$7:$L$2010,"10",'LAC 102_Wkst'!$N$7:$N$2010,"P2")+SUMIFS('LAC 102_Wkst'!$Q$7:$Q$2010,'LAC 102_Wkst'!$D$7:$D$2010,$C$7,'LAC 102_Wkst'!$I$7:$I$2010,$C$9,'LAC 102_Wkst'!$E$7:$E$2010,$C66,'LAC 102_Wkst'!$G$7:$G$2010,$D66,'LAC 102_Wkst'!$L$7:$L$2010,"10",'LAC 102_Wkst'!$N$7:$N$2010,"P3")+SUMIFS('LAC 102_Wkst'!$Q$7:$Q$2010,'LAC 102_Wkst'!$D$7:$D$2010,$C$7,'LAC 102_Wkst'!$I$7:$I$2010,$C$9,'LAC 102_Wkst'!$E$7:$E$2010,$C66,'LAC 102_Wkst'!$G$7:$G$2010,$D66,'LAC 102_Wkst'!$L$7:$L$2010,"10",'LAC 102_Wkst'!$N$7:$N$2010,"P4")</f>
        <v>0</v>
      </c>
      <c r="AQ66" s="411">
        <f>SUMIFS('LAC 102_Wkst'!$AF$7:$AF$2010,'LAC 102_Wkst'!$D$7:$D$2010,$C$7,'LAC 102_Wkst'!$I$7:$I$2010,$C$9,'LAC 102_Wkst'!$E$7:$E$2010,$C66,'LAC 102_Wkst'!$G$7:$G$2010,$D66,'LAC 102_Wkst'!$L$7:$L$2010,"10",'LAC 102_Wkst'!$N$7:$N$2010,"P1")+SUMIFS('LAC 102_Wkst'!$AF$7:$AF$2010,'LAC 102_Wkst'!$D$7:$D$2010,$C$7,'LAC 102_Wkst'!$I$7:$I$2010,$C$9,'LAC 102_Wkst'!$E$7:$E$2010,$C66,'LAC 102_Wkst'!$G$7:$G$2010,$D66,'LAC 102_Wkst'!$L$7:$L$2010,"10",'LAC 102_Wkst'!$N$7:$N$2010,"P2")+SUMIFS('LAC 102_Wkst'!$AF$7:$AF$2010,'LAC 102_Wkst'!$D$7:$D$2010,$C$7,'LAC 102_Wkst'!$I$7:$I$2010,$C$9,'LAC 102_Wkst'!$E$7:$E$2010,$C66,'LAC 102_Wkst'!$G$7:$G$2010,$D66,'LAC 102_Wkst'!$L$7:$L$2010,"10",'LAC 102_Wkst'!$N$7:$N$2010,"P3")+SUMIFS('LAC 102_Wkst'!$AF$7:$AF$2010,'LAC 102_Wkst'!$D$7:$D$2010,$C$7,'LAC 102_Wkst'!$I$7:$I$2010,$C$9,'LAC 102_Wkst'!$E$7:$E$2010,$C66,'LAC 102_Wkst'!$G$7:$G$2010,$D66,'LAC 102_Wkst'!$L$7:$L$2010,"10",'LAC 102_Wkst'!$N$7:$N$2010,"P4")</f>
        <v>0</v>
      </c>
      <c r="AR66" s="410">
        <f>SUMIFS('LAC 102_Wkst'!$Q$7:$Q$2010,'LAC 102_Wkst'!$D$7:$D$2010,$C$7,'LAC 102_Wkst'!$I$7:$I$2010,$C$9,'LAC 102_Wkst'!$E$7:$E$2010,$C66,'LAC 102_Wkst'!$G$7:$G$2010,$D66,'LAC 102_Wkst'!$L$7:$L$2010,"10",'LAC 102_Wkst'!$N$7:$N$2010,"P5")</f>
        <v>0</v>
      </c>
      <c r="AS66" s="411">
        <f>SUMIFS('LAC 102_Wkst'!$AF$7:$AF$2010,'LAC 102_Wkst'!$D$7:$D$2010,$C$7,'LAC 102_Wkst'!$I$7:$I$2010,$C$9,'LAC 102_Wkst'!$E$7:$E$2010,$C66,'LAC 102_Wkst'!$G$7:$G$2010,$D66,'LAC 102_Wkst'!$L$7:$L$2010,"10",'LAC 102_Wkst'!$N$7:$N$2010,"P5")</f>
        <v>0</v>
      </c>
      <c r="AT66" s="410">
        <f>SUMIFS('LAC 102_Wkst'!$Q$7:$Q$2010,'LAC 102_Wkst'!$D$7:$D$2010,$C$7,'LAC 102_Wkst'!$I$7:$I$2010,$C$9,'LAC 102_Wkst'!$E$7:$E$2010,$C66,'LAC 102_Wkst'!$G$7:$G$2010,$D66,'LAC 102_Wkst'!$L$7:$L$2010,"11",'LAC 102_Wkst'!$N$7:$N$2010,"P1")+SUMIFS('LAC 102_Wkst'!$Q$7:$Q$2010,'LAC 102_Wkst'!$D$7:$D$2010,$C$7,'LAC 102_Wkst'!$I$7:$I$2010,$C$9,'LAC 102_Wkst'!$E$7:$E$2010,$C66,'LAC 102_Wkst'!$G$7:$G$2010,$D66,'LAC 102_Wkst'!$L$7:$L$2010,"12",'LAC 102_Wkst'!$N$7:$N$2010,"P1")</f>
        <v>0</v>
      </c>
      <c r="AU66" s="411">
        <f>SUMIFS('LAC 102_Wkst'!$Q$7:$Q$2010,'LAC 102_Wkst'!$D$7:$D$2010,$C$7,'LAC 102_Wkst'!$I$7:$I$2010,$C$9,'LAC 102_Wkst'!$E$7:$E$2010,$C66,'LAC 102_Wkst'!$G$7:$G$2010,$D66,'LAC 102_Wkst'!$L$7:$L$2010,"13",'LAC 102_Wkst'!$N$7:$N$2010,"P5")</f>
        <v>0</v>
      </c>
      <c r="AV66" s="410">
        <f>SUMIFS('LAC 102_Wkst'!$Q$7:$Q$2010,'LAC 102_Wkst'!$D$7:$D$2010,$C$7,'LAC 102_Wkst'!$I$7:$I$2010,$C$9,'LAC 102_Wkst'!$E$7:$E$2010,$C66,'LAC 102_Wkst'!$G$7:$G$2010,$D66,'LAC 102_Wkst'!$L$7:$L$2010,"11",'LAC 102_Wkst'!$N$7:$N$2010,"P2")+SUMIFS('LAC 102_Wkst'!$Q$7:$Q$2010,'LAC 102_Wkst'!$D$7:$D$2010,$C$7,'LAC 102_Wkst'!$I$7:$I$2010,$C$9,'LAC 102_Wkst'!$E$7:$E$2010,$C66,'LAC 102_Wkst'!$G$7:$G$2010,$D66,'LAC 102_Wkst'!$L$7:$L$2010,"12",'LAC 102_Wkst'!$N$7:$N$2010,"P2")+SUMIFS('LAC 102_Wkst'!$Q$7:$Q$2010,'LAC 102_Wkst'!$D$7:$D$2010,$C$7,'LAC 102_Wkst'!$I$7:$I$2010,$C$9,'LAC 102_Wkst'!$E$7:$E$2010,$C66,'LAC 102_Wkst'!$G$7:$G$2010,$D66,'LAC 102_Wkst'!$L$7:$L$2010,"11",'LAC 102_Wkst'!$N$7:$N$2010,"P3")+SUMIFS('LAC 102_Wkst'!$Q$7:$Q$2010,'LAC 102_Wkst'!$D$7:$D$2010,$C$7,'LAC 102_Wkst'!$I$7:$I$2010,$C$9,'LAC 102_Wkst'!$E$7:$E$2010,$C66,'LAC 102_Wkst'!$G$7:$G$2010,$D66,'LAC 102_Wkst'!$L$7:$L$2010,"12",'LAC 102_Wkst'!$N$7:$N$2010,"P3")</f>
        <v>0</v>
      </c>
      <c r="AW66" s="411">
        <f>SUMIFS('LAC 102_Wkst'!$AF$7:$AF$2010,'LAC 102_Wkst'!$D$7:$D$2010,$C$7,'LAC 102_Wkst'!$I$7:$I$2010,$C$9,'LAC 102_Wkst'!$E$7:$E$2010,$C66,'LAC 102_Wkst'!$G$7:$G$2010,$D66,'LAC 102_Wkst'!$L$7:$L$2010,"11",'LAC 102_Wkst'!$N$7:$N$2010,"P2")+SUMIFS('LAC 102_Wkst'!$AF$7:$AF$2010,'LAC 102_Wkst'!$D$7:$D$2010,$C$7,'LAC 102_Wkst'!$I$7:$I$2010,$C$9,'LAC 102_Wkst'!$E$7:$E$2010,$C66,'LAC 102_Wkst'!$G$7:$G$2010,$D66,'LAC 102_Wkst'!$L$7:$L$2010,"12",'LAC 102_Wkst'!$N$7:$N$2010,"P2")+SUMIFS('LAC 102_Wkst'!$AF$7:$AF$2010,'LAC 102_Wkst'!$D$7:$D$2010,$C$7,'LAC 102_Wkst'!$I$7:$I$2010,$C$9,'LAC 102_Wkst'!$E$7:$E$2010,$C66,'LAC 102_Wkst'!$G$7:$G$2010,$D66,'LAC 102_Wkst'!$L$7:$L$2010,"11",'LAC 102_Wkst'!$N$7:$N$2010,"P3")+SUMIFS('LAC 102_Wkst'!$AF$7:$AF$2010,'LAC 102_Wkst'!$D$7:$D$2010,$C$7,'LAC 102_Wkst'!$I$7:$I$2010,$C$9,'LAC 102_Wkst'!$E$7:$E$2010,$C66,'LAC 102_Wkst'!$G$7:$G$2010,$D66,'LAC 102_Wkst'!$L$7:$L$2010,"12",'LAC 102_Wkst'!$N$7:$N$2010,"P3")</f>
        <v>0</v>
      </c>
      <c r="AX66" s="410">
        <f>SUMIFS('LAC 102_Wkst'!$Q$7:$Q$2010,'LAC 102_Wkst'!$D$7:$D$2010,$C$7,'LAC 102_Wkst'!$I$7:$I$2010,$C$9,'LAC 102_Wkst'!$E$7:$E$2010,$C66,'LAC 102_Wkst'!$G$7:$G$2010,$D66,'LAC 102_Wkst'!$L$7:$L$2010,"11",'LAC 102_Wkst'!$N$7:$N$2010,"P4")+SUMIFS('LAC 102_Wkst'!$Q$7:$Q$2010,'LAC 102_Wkst'!$D$7:$D$2010,$C$7,'LAC 102_Wkst'!$I$7:$I$2010,$C$9,'LAC 102_Wkst'!$E$7:$E$2010,$C66,'LAC 102_Wkst'!$G$7:$G$2010,$D66,'LAC 102_Wkst'!$L$7:$L$2010,"12",'LAC 102_Wkst'!$N$7:$N$2010,"P4")</f>
        <v>0</v>
      </c>
      <c r="AY66" s="411">
        <f>SUMIFS('LAC 102_Wkst'!$AF$7:$AF$2010,'LAC 102_Wkst'!$D$7:$D$2010,$C$7,'LAC 102_Wkst'!$I$7:$I$2010,$C$9,'LAC 102_Wkst'!$E$7:$E$2010,$C66,'LAC 102_Wkst'!$G$7:$G$2010,$D66,'LAC 102_Wkst'!$L$7:$L$2010,"11",'LAC 102_Wkst'!$N$7:$N$2010,"P4")+SUMIFS('LAC 102_Wkst'!$AF$7:$AF$2010,'LAC 102_Wkst'!$D$7:$D$2010,$C$7,'LAC 102_Wkst'!$I$7:$I$2010,$C$9,'LAC 102_Wkst'!$E$7:$E$2010,$C66,'LAC 102_Wkst'!$G$7:$G$2010,$D66,'LAC 102_Wkst'!$L$7:$L$2010,"12",'LAC 102_Wkst'!$N$7:$N$2010,"P4")</f>
        <v>0</v>
      </c>
      <c r="AZ66" s="410">
        <f>SUMIFS('LAC 102_Wkst'!$Q$7:$Q$2010,'LAC 102_Wkst'!$D$7:$D$2010,$C$7,'LAC 102_Wkst'!$I$7:$I$2010,$C$9,'LAC 102_Wkst'!$E$7:$E$2010,$C66,'LAC 102_Wkst'!$G$7:$G$2010,$D66,'LAC 102_Wkst'!$L$7:$L$2010,"11",'LAC 102_Wkst'!$N$7:$N$2010,"P5")+SUMIFS('LAC 102_Wkst'!$Q$7:$Q$2010,'LAC 102_Wkst'!$D$7:$D$2010,$C$7,'LAC 102_Wkst'!$I$7:$I$2010,$C$9,'LAC 102_Wkst'!$E$7:$E$2010,$C66,'LAC 102_Wkst'!$G$7:$G$2010,$D66,'LAC 102_Wkst'!$L$7:$L$2010,"12",'LAC 102_Wkst'!$N$7:$N$2010,"P5")</f>
        <v>0</v>
      </c>
      <c r="BA66" s="411">
        <f>SUMIFS('LAC 102_Wkst'!$AF$7:$AF$2010,'LAC 102_Wkst'!$D$7:$D$2010,$C$7,'LAC 102_Wkst'!$I$7:$I$2010,$C$9,'LAC 102_Wkst'!$E$7:$E$2010,$C66,'LAC 102_Wkst'!$G$7:$G$2010,$D66,'LAC 102_Wkst'!$L$7:$L$2010,"11",'LAC 102_Wkst'!$N$7:$N$2010,"P5")+SUMIFS('LAC 102_Wkst'!$AF$7:$AF$2010,'LAC 102_Wkst'!$D$7:$D$2010,$C$7,'LAC 102_Wkst'!$I$7:$I$2010,$C$9,'LAC 102_Wkst'!$E$7:$E$2010,$C66,'LAC 102_Wkst'!$G$7:$G$2010,$D66,'LAC 102_Wkst'!$L$7:$L$2010,"12",'LAC 102_Wkst'!$N$7:$N$2010,"P5")</f>
        <v>0</v>
      </c>
      <c r="BB66" s="410">
        <f>SUMIFS('LAC 102_Wkst'!$Q$7:$Q$2010,'LAC 102_Wkst'!$D$7:$D$2010,$C$7,'LAC 102_Wkst'!$I$7:$I$2010,$C$9,'LAC 102_Wkst'!$E$7:$E$2010,$C66,'LAC 102_Wkst'!$G$7:$G$2010,$D66,'LAC 102_Wkst'!$L$7:$L$2010,"13",'LAC 102_Wkst'!$N$7:$N$2010,"P1")+SUMIFS('LAC 102_Wkst'!$Q$7:$Q$2010,'LAC 102_Wkst'!$D$7:$D$2010,$C$7,'LAC 102_Wkst'!$I$7:$I$2010,$C$9,'LAC 102_Wkst'!$E$7:$E$2010,$C66,'LAC 102_Wkst'!$G$7:$G$2010,$D66,'LAC 102_Wkst'!$L$7:$L$2010,"13",'LAC 102_Wkst'!$N$7:$N$2010,"P2")+SUMIFS('LAC 102_Wkst'!$Q$7:$Q$2010,'LAC 102_Wkst'!$D$7:$D$2010,$C$7,'LAC 102_Wkst'!$I$7:$I$2010,$C$9,'LAC 102_Wkst'!$E$7:$E$2010,$C66,'LAC 102_Wkst'!$G$7:$G$2010,$D66,'LAC 102_Wkst'!$L$7:$L$2010,"13",'LAC 102_Wkst'!$N$7:$N$2010,"P3")+SUMIFS('LAC 102_Wkst'!$Q$7:$Q$2010,'LAC 102_Wkst'!$D$7:$D$2010,$C$7,'LAC 102_Wkst'!$I$7:$I$2010,$C$9,'LAC 102_Wkst'!$E$7:$E$2010,$C66,'LAC 102_Wkst'!$G$7:$G$2010,$D66,'LAC 102_Wkst'!$L$7:$L$2010,"13",'LAC 102_Wkst'!$N$7:$N$2010,"P4")</f>
        <v>0</v>
      </c>
      <c r="BC66" s="411">
        <f>SUMIFS('LAC 102_Wkst'!$AF$7:$AF$2010,'LAC 102_Wkst'!$D$7:$D$2010,$C$7,'LAC 102_Wkst'!$I$7:$I$2010,$C$9,'LAC 102_Wkst'!$E$7:$E$2010,$C66,'LAC 102_Wkst'!$G$7:$G$2010,$D66,'LAC 102_Wkst'!$L$7:$L$2010,"13",'LAC 102_Wkst'!$N$7:$N$2010,"P1")+SUMIFS('LAC 102_Wkst'!$AF$7:$AF$2010,'LAC 102_Wkst'!$D$7:$D$2010,$C$7,'LAC 102_Wkst'!$I$7:$I$2010,$C$9,'LAC 102_Wkst'!$E$7:$E$2010,$C66,'LAC 102_Wkst'!$G$7:$G$2010,$D66,'LAC 102_Wkst'!$L$7:$L$2010,"13",'LAC 102_Wkst'!$N$7:$N$2010,"P2")+SUMIFS('LAC 102_Wkst'!$AF$7:$AF$2010,'LAC 102_Wkst'!$D$7:$D$2010,$C$7,'LAC 102_Wkst'!$I$7:$I$2010,$C$9,'LAC 102_Wkst'!$E$7:$E$2010,$C66,'LAC 102_Wkst'!$G$7:$G$2010,$D66,'LAC 102_Wkst'!$L$7:$L$2010,"13",'LAC 102_Wkst'!$N$7:$N$2010,"P3")+SUMIFS('LAC 102_Wkst'!$AF$7:$AF$2010,'LAC 102_Wkst'!$D$7:$D$2010,$C$7,'LAC 102_Wkst'!$I$7:$I$2010,$C$9,'LAC 102_Wkst'!$E$7:$E$2010,$C66,'LAC 102_Wkst'!$G$7:$G$2010,$D66,'LAC 102_Wkst'!$L$7:$L$2010,"13",'LAC 102_Wkst'!$N$7:$N$2010,"P4")</f>
        <v>0</v>
      </c>
      <c r="BD66" s="410">
        <f>SUMIFS('LAC 102_Wkst'!$Q$7:$Q$2010,'LAC 102_Wkst'!$D$7:$D$2010,$C$7,'LAC 102_Wkst'!$I$7:$I$2010,$C$9,'LAC 102_Wkst'!$E$7:$E$2010,$C66,'LAC 102_Wkst'!$G$7:$G$2010,$D66,'LAC 102_Wkst'!$L$7:$L$2010,"13",'LAC 102_Wkst'!$N$7:$N$2010,"P5")</f>
        <v>0</v>
      </c>
      <c r="BE66" s="411">
        <f>SUMIFS('LAC 102_Wkst'!$AF$7:$AF$2010,'LAC 102_Wkst'!$D$7:$D$2010,$C$7,'LAC 102_Wkst'!$I$7:$I$2010,$C$9,'LAC 102_Wkst'!$E$7:$E$2010,$C66,'LAC 102_Wkst'!$G$7:$G$2010,$D66,'LAC 102_Wkst'!$L$7:$L$2010,"13",'LAC 102_Wkst'!$N$7:$N$2010,"P5")</f>
        <v>0</v>
      </c>
      <c r="BF66" s="407">
        <f t="shared" si="4"/>
        <v>0</v>
      </c>
      <c r="BG66" s="1654">
        <f>SUMIFS('LAC 102_Wkst'!$AF$7:$AF$2010,'LAC 102_Wkst'!$D$7:$D$2010,$C$7,'LAC 102_Wkst'!$I$7:$I$2010,$C$9,'LAC 102_Wkst'!$E$7:$E$2010,$C66,'LAC 102_Wkst'!$G$7:$G$2010,$D66,'LAC 102_Wkst'!$L$7:$L$2010,"14")</f>
        <v>0</v>
      </c>
    </row>
    <row r="67" spans="1:59" x14ac:dyDescent="0.2">
      <c r="A67" s="401">
        <v>45</v>
      </c>
      <c r="B67" s="1678" t="str">
        <f>IF(Schedule_B!B$64="","",Schedule_B!B$64)</f>
        <v/>
      </c>
      <c r="C67" s="1674" t="str">
        <f>IF(Schedule_B!C$64=""," ",Schedule_B!C$64)</f>
        <v xml:space="preserve"> </v>
      </c>
      <c r="D67" s="1675" t="str">
        <f>IF(Schedule_B!D$64=""," ",Schedule_B!D$64)</f>
        <v xml:space="preserve"> </v>
      </c>
      <c r="E67" s="1221">
        <f>SUMIFS('LAC 102_Wkst'!$Q$7:$Q$2010,'LAC 102_Wkst'!$D$7:$D$2010,$C$7,'LAC 102_Wkst'!$I$7:$I$2010,$C$9,'LAC 102_Wkst'!$E$7:$E$2010,$C67,'LAC 102_Wkst'!$G$7:$G$2010,$D67)</f>
        <v>0</v>
      </c>
      <c r="F67" s="408">
        <f>SUMIFS('LAC 102_Wkst'!$Q$7:$Q$2010,'LAC 102_Wkst'!$D$7:$D$2010,$C$7,'LAC 102_Wkst'!$I$7:$I$2010,$C$9,'LAC 102_Wkst'!$E$7:$E$2010,$C67,'LAC 102_Wkst'!$G$7:$G$2010,$D67,'LAC 102_Wkst'!$L$7:$L$2010,"01",'LAC 102_Wkst'!$N$7:$N$2010,"P1")+SUMIFS('LAC 102_Wkst'!$Q$7:$Q$2010,'LAC 102_Wkst'!$D$7:$D$2010,$C$7,'LAC 102_Wkst'!$I$7:$I$2010,$C$9,'LAC 102_Wkst'!$E$7:$E$2010,$C67,'LAC 102_Wkst'!$G$7:$G$2010,$D67,'LAC 102_Wkst'!$L$7:$L$2010,"01",'LAC 102_Wkst'!$N$7:$N$2010,"P2")+SUMIFS('LAC 102_Wkst'!$Q$7:$Q$2010,'LAC 102_Wkst'!$D$7:$D$2010,$C$7,'LAC 102_Wkst'!$I$7:$I$2010,$C$9,'LAC 102_Wkst'!$E$7:$E$2010,$C67,'LAC 102_Wkst'!$G$7:$G$2010,$D67,'LAC 102_Wkst'!$L$7:$L$2010,"01",'LAC 102_Wkst'!$N$7:$N$2010,"P3")+SUMIFS('LAC 102_Wkst'!$Q$7:$Q$2010,'LAC 102_Wkst'!$D$7:$D$2010,$C$7,'LAC 102_Wkst'!$I$7:$I$2010,$C$9,'LAC 102_Wkst'!$E$7:$E$2010,$C67,'LAC 102_Wkst'!$G$7:$G$2010,$D67,'LAC 102_Wkst'!$L$7:$L$2010,"02",'LAC 102_Wkst'!$N$7:$N$2010,"P1")+SUMIFS('LAC 102_Wkst'!$Q$7:$Q$2010,'LAC 102_Wkst'!$D$7:$D$2010,$C$7,'LAC 102_Wkst'!$I$7:$I$2010,$C$9,'LAC 102_Wkst'!$E$7:$E$2010,$C67,'LAC 102_Wkst'!$G$7:$G$2010,$D67,'LAC 102_Wkst'!$L$7:$L$2010,"02",'LAC 102_Wkst'!$N$7:$N$2010,"P2")+SUMIFS('LAC 102_Wkst'!$Q$7:$Q$2010,'LAC 102_Wkst'!$D$7:$D$2010,$C$7,'LAC 102_Wkst'!$I$7:$I$2010,$C$9,'LAC 102_Wkst'!$E$7:$E$2010,$C67,'LAC 102_Wkst'!$G$7:$G$2010,$D67,'LAC 102_Wkst'!$L$7:$L$2010,"02",'LAC 102_Wkst'!$N$7:$N$2010,"P3")</f>
        <v>0</v>
      </c>
      <c r="G67" s="409">
        <f>SUMIFS('LAC 102_Wkst'!$AF$7:$AF$2010,'LAC 102_Wkst'!$D$7:$D$2010,$C$7,'LAC 102_Wkst'!$I$7:$I$2010,$C$9,'LAC 102_Wkst'!$E$7:$E$2010,$C67,'LAC 102_Wkst'!$G$7:$G$2010,$D67,'LAC 102_Wkst'!$L$7:$L$2010,"01",'LAC 102_Wkst'!$N$7:$N$2010,"P1")+SUMIFS('LAC 102_Wkst'!$AF$7:$AF$2010,'LAC 102_Wkst'!$D$7:$D$2010,$C$7,'LAC 102_Wkst'!$I$7:$I$2010,$C$9,'LAC 102_Wkst'!$E$7:$E$2010,$C67,'LAC 102_Wkst'!$G$7:$G$2010,$D67,'LAC 102_Wkst'!$L$7:$L$2010,"01",'LAC 102_Wkst'!$N$7:$N$2010,"P2")+SUMIFS('LAC 102_Wkst'!$AF$7:$AF$2010,'LAC 102_Wkst'!$D$7:$D$2010,$C$7,'LAC 102_Wkst'!$I$7:$I$2010,$C$9,'LAC 102_Wkst'!$E$7:$E$2010,$C67,'LAC 102_Wkst'!$G$7:$G$2010,$D67,'LAC 102_Wkst'!$L$7:$L$2010,"01",'LAC 102_Wkst'!$N$7:$N$2010,"P3")+SUMIFS('LAC 102_Wkst'!$AF$7:$AF$2010,'LAC 102_Wkst'!$D$7:$D$2010,$C$7,'LAC 102_Wkst'!$I$7:$I$2010,$C$9,'LAC 102_Wkst'!$E$7:$E$2010,$C67,'LAC 102_Wkst'!$G$7:$G$2010,$D67,'LAC 102_Wkst'!$L$7:$L$2010,"02",'LAC 102_Wkst'!$N$7:$N$2010,"P1")+SUMIFS('LAC 102_Wkst'!$AF$7:$AF$2010,'LAC 102_Wkst'!$D$7:$D$2010,$C$7,'LAC 102_Wkst'!$I$7:$I$2010,$C$9,'LAC 102_Wkst'!$E$7:$E$2010,$C67,'LAC 102_Wkst'!$G$7:$G$2010,$D67,'LAC 102_Wkst'!$L$7:$L$2010,"02",'LAC 102_Wkst'!$N$7:$N$2010,"P2")+SUMIFS('LAC 102_Wkst'!$AF$7:$AF$2010,'LAC 102_Wkst'!$D$7:$D$2010,$C$7,'LAC 102_Wkst'!$I$7:$I$2010,$C$9,'LAC 102_Wkst'!$E$7:$E$2010,$C67,'LAC 102_Wkst'!$G$7:$G$2010,$D67,'LAC 102_Wkst'!$L$7:$L$2010,"02",'LAC 102_Wkst'!$N$7:$N$2010,"P3")</f>
        <v>0</v>
      </c>
      <c r="H67" s="410">
        <f>SUMIFS('LAC 102_Wkst'!$Q$7:$Q$2010,'LAC 102_Wkst'!$D$7:$D$2010,$C$7,'LAC 102_Wkst'!$I$7:$I$2010,$C$9,'LAC 102_Wkst'!$E$7:$E$2010,$C67,'LAC 102_Wkst'!$G$7:$G$2010,$D67,'LAC 102_Wkst'!$L$7:$L$2010,"01",'LAC 102_Wkst'!$N$7:$N$2010,"P4")+SUMIFS('LAC 102_Wkst'!$Q$7:$Q$2010,'LAC 102_Wkst'!$D$7:$D$2010,$C$7,'LAC 102_Wkst'!$I$7:$I$2010,$C$9,'LAC 102_Wkst'!$E$7:$E$2010,$C67,'LAC 102_Wkst'!$G$7:$G$2010,$D67,'LAC 102_Wkst'!$L$7:$L$2010,"02",'LAC 102_Wkst'!$N$7:$N$2010,"P4")</f>
        <v>0</v>
      </c>
      <c r="I67" s="411">
        <f>SUMIFS('LAC 102_Wkst'!$AF$7:$AF$2010,'LAC 102_Wkst'!$D$7:$D$2010,$C$7,'LAC 102_Wkst'!$I$7:$I$2010,$C$9,'LAC 102_Wkst'!$E$7:$E$2010,$C67,'LAC 102_Wkst'!$G$7:$G$2010,$D67,'LAC 102_Wkst'!$L$7:$L$2010,"01",'LAC 102_Wkst'!$N$7:$N$2010,"P4")+SUMIFS('LAC 102_Wkst'!$AF$7:$AF$2010,'LAC 102_Wkst'!$D$7:$D$2010,$C$7,'LAC 102_Wkst'!$I$7:$I$2010,$C$9,'LAC 102_Wkst'!$E$7:$E$2010,$C67,'LAC 102_Wkst'!$G$7:$G$2010,$D67,'LAC 102_Wkst'!$L$7:$L$2010,"02",'LAC 102_Wkst'!$N$7:$N$2010,"P4")</f>
        <v>0</v>
      </c>
      <c r="J67" s="410">
        <f>SUMIFS('LAC 102_Wkst'!$Q$7:$Q$2010,'LAC 102_Wkst'!$D$7:$D$2010,$C$7,'LAC 102_Wkst'!$I$7:$I$2010,$C$9,'LAC 102_Wkst'!$E$7:$E$2010,$C67,'LAC 102_Wkst'!$G$7:$G$2010,$D67,'LAC 102_Wkst'!$L$7:$L$2010,"01",'LAC 102_Wkst'!$N$7:$N$2010,"P5")+SUMIFS('LAC 102_Wkst'!$Q$7:$Q$2010,'LAC 102_Wkst'!$D$7:$D$2010,$C$7,'LAC 102_Wkst'!$I$7:$I$2010,$C$9,'LAC 102_Wkst'!$E$7:$E$2010,$C67,'LAC 102_Wkst'!$G$7:$G$2010,$D67,'LAC 102_Wkst'!$L$7:$L$2010,"02",'LAC 102_Wkst'!$N$7:$N$2010,"P5")</f>
        <v>0</v>
      </c>
      <c r="K67" s="411">
        <f>SUMIFS('LAC 102_Wkst'!$AF$7:$AF$2010,'LAC 102_Wkst'!$D$7:$D$2010,$C$7,'LAC 102_Wkst'!$I$7:$I$2010,$C$9,'LAC 102_Wkst'!$E$7:$E$2010,$C67,'LAC 102_Wkst'!$G$7:$G$2010,$D67,'LAC 102_Wkst'!$L$7:$L$2010,"01",'LAC 102_Wkst'!$N$7:$N$2010,"P5")+SUMIFS('LAC 102_Wkst'!$AF$7:$AF$2010,'LAC 102_Wkst'!$D$7:$D$2010,$C$7,'LAC 102_Wkst'!$I$7:$I$2010,$C$9,'LAC 102_Wkst'!$E$7:$E$2010,$C67,'LAC 102_Wkst'!$G$7:$G$2010,$D67,'LAC 102_Wkst'!$L$7:$L$2010,"02",'LAC 102_Wkst'!$N$7:$N$2010,"P5")</f>
        <v>0</v>
      </c>
      <c r="L67" s="410">
        <f>SUMIFS('LAC 102_Wkst'!$Q$7:$Q$2010,'LAC 102_Wkst'!$D$7:$D$2010,$C$7,'LAC 102_Wkst'!$I$7:$I$2010,$C$9,'LAC 102_Wkst'!$E$7:$E$2010,$C67,'LAC 102_Wkst'!$G$7:$G$2010,$D67,'LAC 102_Wkst'!$L$7:$L$2010,"03",'LAC 102_Wkst'!$N$7:$N$2010,"P1")+SUMIFS('LAC 102_Wkst'!$Q$7:$Q$2010,'LAC 102_Wkst'!$D$7:$D$2010,$C$7,'LAC 102_Wkst'!$I$7:$I$2010,$C$9,'LAC 102_Wkst'!$E$7:$E$2010,$C67,'LAC 102_Wkst'!$G$7:$G$2010,$D67,'LAC 102_Wkst'!$L$7:$L$2010,"03",'LAC 102_Wkst'!$N$7:$N$2010,"P2")+SUMIFS('LAC 102_Wkst'!$Q$7:$Q$2010,'LAC 102_Wkst'!$D$7:$D$2010,$C$7,'LAC 102_Wkst'!$I$7:$I$2010,$C$9,'LAC 102_Wkst'!$E$7:$E$2010,$C67,'LAC 102_Wkst'!$G$7:$G$2010,$D67,'LAC 102_Wkst'!$L$7:$L$2010,"03",'LAC 102_Wkst'!$N$7:$N$2010,"P3")+SUMIFS('LAC 102_Wkst'!$Q$7:$Q$2010,'LAC 102_Wkst'!$D$7:$D$2010,$C$7,'LAC 102_Wkst'!$I$7:$I$2010,$C$9,'LAC 102_Wkst'!$E$7:$E$2010,$C67,'LAC 102_Wkst'!$G$7:$G$2010,$D67,'LAC 102_Wkst'!$L$7:$L$2010,"04",'LAC 102_Wkst'!$N$7:$N$2010,"P1")+SUMIFS('LAC 102_Wkst'!$Q$7:$Q$2010,'LAC 102_Wkst'!$D$7:$D$2010,$C$7,'LAC 102_Wkst'!$I$7:$I$2010,$C$9,'LAC 102_Wkst'!$E$7:$E$2010,$C67,'LAC 102_Wkst'!$G$7:$G$2010,$D67,'LAC 102_Wkst'!$L$7:$L$2010,"04",'LAC 102_Wkst'!$N$7:$N$2010,"P2")+SUMIFS('LAC 102_Wkst'!$Q$7:$Q$2010,'LAC 102_Wkst'!$D$7:$D$2010,$C$7,'LAC 102_Wkst'!$I$7:$I$2010,$C$9,'LAC 102_Wkst'!$E$7:$E$2010,$C67,'LAC 102_Wkst'!$G$7:$G$2010,$D67,'LAC 102_Wkst'!$L$7:$L$2010,"04",'LAC 102_Wkst'!$N$7:$N$2010,"P3")</f>
        <v>0</v>
      </c>
      <c r="M67" s="411">
        <f>SUMIFS('LAC 102_Wkst'!$AF$7:$AF$2010,'LAC 102_Wkst'!$D$7:$D$2010,$C$7,'LAC 102_Wkst'!$I$7:$I$2010,$C$9,'LAC 102_Wkst'!$E$7:$E$2010,$C67,'LAC 102_Wkst'!$G$7:$G$2010,$D67,'LAC 102_Wkst'!$L$7:$L$2010,"03",'LAC 102_Wkst'!$N$7:$N$2010,"P1")+SUMIFS('LAC 102_Wkst'!$AF$7:$AF$2010,'LAC 102_Wkst'!$D$7:$D$2010,$C$7,'LAC 102_Wkst'!$I$7:$I$2010,$C$9,'LAC 102_Wkst'!$E$7:$E$2010,$C67,'LAC 102_Wkst'!$G$7:$G$2010,$D67,'LAC 102_Wkst'!$L$7:$L$2010,"03",'LAC 102_Wkst'!$N$7:$N$2010,"P2")+SUMIFS('LAC 102_Wkst'!$AF$7:$AF$2010,'LAC 102_Wkst'!$D$7:$D$2010,$C$7,'LAC 102_Wkst'!$I$7:$I$2010,$C$9,'LAC 102_Wkst'!$E$7:$E$2010,$C67,'LAC 102_Wkst'!$G$7:$G$2010,$D67,'LAC 102_Wkst'!$L$7:$L$2010,"03",'LAC 102_Wkst'!$N$7:$N$2010,"P3")+SUMIFS('LAC 102_Wkst'!$AF$7:$AF$2010,'LAC 102_Wkst'!$D$7:$D$2010,$C$7,'LAC 102_Wkst'!$I$7:$I$2010,$C$9,'LAC 102_Wkst'!$E$7:$E$2010,$C67,'LAC 102_Wkst'!$G$7:$G$2010,$D67,'LAC 102_Wkst'!$L$7:$L$2010,"04",'LAC 102_Wkst'!$N$7:$N$2010,"P1")+SUMIFS('LAC 102_Wkst'!$AF$7:$AF$2010,'LAC 102_Wkst'!$D$7:$D$2010,$C$7,'LAC 102_Wkst'!$I$7:$I$2010,$C$9,'LAC 102_Wkst'!$E$7:$E$2010,$C67,'LAC 102_Wkst'!$G$7:$G$2010,$D67,'LAC 102_Wkst'!$L$7:$L$2010,"04",'LAC 102_Wkst'!$N$7:$N$2010,"P2")+SUMIFS('LAC 102_Wkst'!$AF$7:$AF$2010,'LAC 102_Wkst'!$D$7:$D$2010,$C$7,'LAC 102_Wkst'!$I$7:$I$2010,$C$9,'LAC 102_Wkst'!$E$7:$E$2010,$C67,'LAC 102_Wkst'!$G$7:$G$2010,$D67,'LAC 102_Wkst'!$L$7:$L$2010,"04",'LAC 102_Wkst'!$N$7:$N$2010,"P3")</f>
        <v>0</v>
      </c>
      <c r="N67" s="410">
        <f>SUMIFS('LAC 102_Wkst'!$Q$7:$Q$2010,'LAC 102_Wkst'!$D$7:$D$2010,$C$7,'LAC 102_Wkst'!$I$7:$I$2010,$C$9,'LAC 102_Wkst'!$E$7:$E$2010,$C67,'LAC 102_Wkst'!$G$7:$G$2010,$D67,'LAC 102_Wkst'!$L$7:$L$2010,"03",'LAC 102_Wkst'!$N$7:$N$2010,"P4")+SUMIFS('LAC 102_Wkst'!$Q$7:$Q$2010,'LAC 102_Wkst'!$D$7:$D$2010,$C$7,'LAC 102_Wkst'!$I$7:$I$2010,$C$9,'LAC 102_Wkst'!$E$7:$E$2010,$C67,'LAC 102_Wkst'!$G$7:$G$2010,$D67,'LAC 102_Wkst'!$L$7:$L$2010,"04",'LAC 102_Wkst'!$N$7:$N$2010,"P4")</f>
        <v>0</v>
      </c>
      <c r="O67" s="411">
        <f>SUMIFS('LAC 102_Wkst'!$AF$7:$AF$2010,'LAC 102_Wkst'!$D$7:$D$2010,$C$7,'LAC 102_Wkst'!$I$7:$I$2010,$C$9,'LAC 102_Wkst'!$E$7:$E$2010,$C67,'LAC 102_Wkst'!$G$7:$G$2010,$D67,'LAC 102_Wkst'!$L$7:$L$2010,"03",'LAC 102_Wkst'!$N$7:$N$2010,"P4")+SUMIFS('LAC 102_Wkst'!$AF$7:$AF$2010,'LAC 102_Wkst'!$D$7:$D$2010,$C$7,'LAC 102_Wkst'!$I$7:$I$2010,$C$9,'LAC 102_Wkst'!$E$7:$E$2010,$C67,'LAC 102_Wkst'!$G$7:$G$2010,$D67,'LAC 102_Wkst'!$L$7:$L$2010,"04",'LAC 102_Wkst'!$N$7:$N$2010,"P4")</f>
        <v>0</v>
      </c>
      <c r="P67" s="410">
        <f>SUMIFS('LAC 102_Wkst'!$Q$7:$Q$2010,'LAC 102_Wkst'!$D$7:$D$2010,$C$7,'LAC 102_Wkst'!$I$7:$I$2010,$C$9,'LAC 102_Wkst'!$E$7:$E$2010,$C67,'LAC 102_Wkst'!$G$7:$G$2010,$D67,'LAC 102_Wkst'!$L$7:$L$2010,"03",'LAC 102_Wkst'!$N$7:$N$2010,"P5")+SUMIFS('LAC 102_Wkst'!$Q$7:$Q$2010,'LAC 102_Wkst'!$D$7:$D$2010,$C$7,'LAC 102_Wkst'!$I$7:$I$2010,$C$9,'LAC 102_Wkst'!$E$7:$E$2010,$C67,'LAC 102_Wkst'!$G$7:$G$2010,$D67,'LAC 102_Wkst'!$L$7:$L$2010,"04",'LAC 102_Wkst'!$N$7:$N$2010,"P5")</f>
        <v>0</v>
      </c>
      <c r="Q67" s="411">
        <f>SUMIFS('LAC 102_Wkst'!$AF$7:$AF$2010,'LAC 102_Wkst'!$D$7:$D$2010,$C$7,'LAC 102_Wkst'!$I$7:$I$2010,$C$9,'LAC 102_Wkst'!$E$7:$E$2010,$C67,'LAC 102_Wkst'!$G$7:$G$2010,$D67,'LAC 102_Wkst'!$L$7:$L$2010,"03",'LAC 102_Wkst'!$N$7:$N$2010,"P5")+SUMIFS('LAC 102_Wkst'!$AF$7:$AF$2010,'LAC 102_Wkst'!$D$7:$D$2010,$C$7,'LAC 102_Wkst'!$I$7:$I$2010,$C$9,'LAC 102_Wkst'!$E$7:$E$2010,$C67,'LAC 102_Wkst'!$G$7:$G$2010,$D67,'LAC 102_Wkst'!$L$7:$L$2010,"04",'LAC 102_Wkst'!$N$7:$N$2010,"P5")</f>
        <v>0</v>
      </c>
      <c r="R67" s="412">
        <f>SUMIFS('LAC 102_Wkst'!$Q$7:$Q$2010,'LAC 102_Wkst'!$D$7:$D$2010,$C$7,'LAC 102_Wkst'!$I$7:$I$2010,$C$9,'LAC 102_Wkst'!$E$7:$E$2010,$C67,'LAC 102_Wkst'!$G$7:$G$2010,$D67,'LAC 102_Wkst'!$L$7:$L$2010,"05",'LAC 102_Wkst'!$N$7:$N$2010,"P1")+SUMIFS('LAC 102_Wkst'!$Q$7:$Q$2010,'LAC 102_Wkst'!$D$7:$D$2010,$C$7,'LAC 102_Wkst'!$I$7:$I$2010,$C$9,'LAC 102_Wkst'!$E$7:$E$2010,$C67,'LAC 102_Wkst'!$G$7:$G$2010,$D67,'LAC 102_Wkst'!$L$7:$L$2010,"06",'LAC 102_Wkst'!$N$7:$N$2010,"P1")</f>
        <v>0</v>
      </c>
      <c r="S67" s="411">
        <f>SUMIFS('LAC 102_Wkst'!$AF$7:$AF$2010,'LAC 102_Wkst'!$D$7:$D$2010,$C$7,'LAC 102_Wkst'!$I$7:$I$2010,$C$9,'LAC 102_Wkst'!$E$7:$E$2010,$C67,'LAC 102_Wkst'!$G$7:$G$2010,$D67,'LAC 102_Wkst'!$L$7:$L$2010,"05",'LAC 102_Wkst'!$N$7:$N$2010,"P1")+SUMIFS('LAC 102_Wkst'!$AF$7:$AF$2010,'LAC 102_Wkst'!$D$7:$D$2010,$C$7,'LAC 102_Wkst'!$I$7:$I$2010,$C$9,'LAC 102_Wkst'!$E$7:$E$2010,$C67,'LAC 102_Wkst'!$G$7:$G$2010,$D67,'LAC 102_Wkst'!$L$7:$L$2010,"06",'LAC 102_Wkst'!$N$7:$N$2010,"P1")</f>
        <v>0</v>
      </c>
      <c r="T67" s="410">
        <f>SUMIFS('LAC 102_Wkst'!$Q$7:$Q$2010,'LAC 102_Wkst'!$D$7:$D$2010,$C$7,'LAC 102_Wkst'!$I$7:$I$2010,$C$9,'LAC 102_Wkst'!$E$7:$E$2010,$C67,'LAC 102_Wkst'!$G$7:$G$2010,$D67,'LAC 102_Wkst'!$L$7:$L$2010,"05",'LAC 102_Wkst'!$N$7:$N$2010,"P2")+SUMIFS('LAC 102_Wkst'!$Q$7:$Q$2010,'LAC 102_Wkst'!$D$7:$D$2010,$C$7,'LAC 102_Wkst'!$I$7:$I$2010,$C$9,'LAC 102_Wkst'!$E$7:$E$2010,$C67,'LAC 102_Wkst'!$G$7:$G$2010,$D67,'LAC 102_Wkst'!$L$7:$L$2010,"06",'LAC 102_Wkst'!$N$7:$N$2010,"P2")+SUMIFS('LAC 102_Wkst'!$Q$7:$Q$2010,'LAC 102_Wkst'!$D$7:$D$2010,$C$7,'LAC 102_Wkst'!$I$7:$I$2010,$C$9,'LAC 102_Wkst'!$E$7:$E$2010,$C67,'LAC 102_Wkst'!$G$7:$G$2010,$D67,'LAC 102_Wkst'!$L$7:$L$2010,"05",'LAC 102_Wkst'!$N$7:$N$2010,"P3")+SUMIFS('LAC 102_Wkst'!$Q$7:$Q$2010,'LAC 102_Wkst'!$D$7:$D$2010,$C$7,'LAC 102_Wkst'!$I$7:$I$2010,$C$9,'LAC 102_Wkst'!$E$7:$E$2010,$C67,'LAC 102_Wkst'!$G$7:$G$2010,$D67,'LAC 102_Wkst'!$L$7:$L$2010,"06",'LAC 102_Wkst'!$N$7:$N$2010,"P3")</f>
        <v>0</v>
      </c>
      <c r="U67" s="411">
        <f>SUMIFS('LAC 102_Wkst'!$AF$7:$AF$2010,'LAC 102_Wkst'!$D$7:$D$2010,$C$7,'LAC 102_Wkst'!$I$7:$I$2010,$C$9,'LAC 102_Wkst'!$E$7:$E$2010,$C67,'LAC 102_Wkst'!$G$7:$G$2010,$D67,'LAC 102_Wkst'!$L$7:$L$2010,"05",'LAC 102_Wkst'!$N$7:$N$2010,"P2")+SUMIFS('LAC 102_Wkst'!$AF$7:$AF$2010,'LAC 102_Wkst'!$D$7:$D$2010,$C$7,'LAC 102_Wkst'!$I$7:$I$2010,$C$9,'LAC 102_Wkst'!$E$7:$E$2010,$C67,'LAC 102_Wkst'!$G$7:$G$2010,$D67,'LAC 102_Wkst'!$L$7:$L$2010,"06",'LAC 102_Wkst'!$N$7:$N$2010,"P2")+SUMIFS('LAC 102_Wkst'!$AF$7:$AF$2010,'LAC 102_Wkst'!$D$7:$D$2010,$C$7,'LAC 102_Wkst'!$I$7:$I$2010,$C$9,'LAC 102_Wkst'!$E$7:$E$2010,$C67,'LAC 102_Wkst'!$G$7:$G$2010,$D67,'LAC 102_Wkst'!$L$7:$L$2010,"05",'LAC 102_Wkst'!$N$7:$N$2010,"P3")+SUMIFS('LAC 102_Wkst'!$AF$7:$AF$2010,'LAC 102_Wkst'!$D$7:$D$2010,$C$7,'LAC 102_Wkst'!$I$7:$I$2010,$C$9,'LAC 102_Wkst'!$E$7:$E$2010,$C67,'LAC 102_Wkst'!$G$7:$G$2010,$D67,'LAC 102_Wkst'!$L$7:$L$2010,"06",'LAC 102_Wkst'!$N$7:$N$2010,"P3")</f>
        <v>0</v>
      </c>
      <c r="V67" s="410">
        <f>SUMIFS('LAC 102_Wkst'!$Q$7:$Q$2010,'LAC 102_Wkst'!$D$7:$D$2010,$C$7,'LAC 102_Wkst'!$I$7:$I$2010,$C$9,'LAC 102_Wkst'!$E$7:$E$2010,$C67,'LAC 102_Wkst'!$G$7:$G$2010,$D67,'LAC 102_Wkst'!$L$7:$L$2010,"05",'LAC 102_Wkst'!$N$7:$N$2010,"P4")+SUMIFS('LAC 102_Wkst'!$Q$7:$Q$2010,'LAC 102_Wkst'!$D$7:$D$2010,$C$7,'LAC 102_Wkst'!$I$7:$I$2010,$C$9,'LAC 102_Wkst'!$E$7:$E$2010,$C67,'LAC 102_Wkst'!$G$7:$G$2010,$D67,'LAC 102_Wkst'!$L$7:$L$2010,"06",'LAC 102_Wkst'!$N$7:$N$2010,"P4")</f>
        <v>0</v>
      </c>
      <c r="W67" s="411">
        <f>SUMIFS('LAC 102_Wkst'!$AF$7:$AF$2010,'LAC 102_Wkst'!$D$7:$D$2010,$C$7,'LAC 102_Wkst'!$I$7:$I$2010,$C$9,'LAC 102_Wkst'!$E$7:$E$2010,$C67,'LAC 102_Wkst'!$G$7:$G$2010,$D67,'LAC 102_Wkst'!$L$7:$L$2010,"05",'LAC 102_Wkst'!$N$7:$N$2010,"P4")+SUMIFS('LAC 102_Wkst'!$AF$7:$AF$2010,'LAC 102_Wkst'!$D$7:$D$2010,$C$7,'LAC 102_Wkst'!$I$7:$I$2010,$C$9,'LAC 102_Wkst'!$E$7:$E$2010,$C67,'LAC 102_Wkst'!$G$7:$G$2010,$D67,'LAC 102_Wkst'!$L$7:$L$2010,"06",'LAC 102_Wkst'!$N$7:$N$2010,"P4")</f>
        <v>0</v>
      </c>
      <c r="X67" s="410">
        <f>SUMIFS('LAC 102_Wkst'!$Q$7:$Q$2010,'LAC 102_Wkst'!$D$7:$D$2010,$C$7,'LAC 102_Wkst'!$I$7:$I$2010,$C$9,'LAC 102_Wkst'!$E$7:$E$2010,$C67,'LAC 102_Wkst'!$G$7:$G$2010,$D67,'LAC 102_Wkst'!$L$7:$L$2010,"05",'LAC 102_Wkst'!$N$7:$N$2010,"P5")+SUMIFS('LAC 102_Wkst'!$Q$7:$Q$2010,'LAC 102_Wkst'!$D$7:$D$2010,$C$7,'LAC 102_Wkst'!$I$7:$I$2010,$C$9,'LAC 102_Wkst'!$E$7:$E$2010,$C67,'LAC 102_Wkst'!$G$7:$G$2010,$D67,'LAC 102_Wkst'!$L$7:$L$2010,"06",'LAC 102_Wkst'!$N$7:$N$2010,"P5")</f>
        <v>0</v>
      </c>
      <c r="Y67" s="411">
        <f>SUMIFS('LAC 102_Wkst'!$AF$7:$AF$2010,'LAC 102_Wkst'!$D$7:$D$2010,$C$7,'LAC 102_Wkst'!$I$7:$I$2010,$C$9,'LAC 102_Wkst'!$E$7:$E$2010,$C67,'LAC 102_Wkst'!$G$7:$G$2010,$D67,'LAC 102_Wkst'!$L$7:$L$2010,"05",'LAC 102_Wkst'!$N$7:$N$2010,"P5")+SUMIFS('LAC 102_Wkst'!$AF$7:$AF$2010,'LAC 102_Wkst'!$D$7:$D$2010,$C$7,'LAC 102_Wkst'!$I$7:$I$2010,$C$9,'LAC 102_Wkst'!$E$7:$E$2010,$C67,'LAC 102_Wkst'!$G$7:$G$2010,$D67,'LAC 102_Wkst'!$L$7:$L$2010,"06",'LAC 102_Wkst'!$N$7:$N$2010,"P5")</f>
        <v>0</v>
      </c>
      <c r="Z67" s="410">
        <f>SUMIFS('LAC 102_Wkst'!$Q$7:$Q$2010,'LAC 102_Wkst'!$D$7:$D$2010,$C$7,'LAC 102_Wkst'!$I$7:$I$2010,$C$9,'LAC 102_Wkst'!$E$7:$E$2010,$C67,'LAC 102_Wkst'!$G$7:$G$2010,$D67,'LAC 102_Wkst'!$L$7:$L$2010,"07",'LAC 102_Wkst'!$N$7:$N$2010,"P1")+SUMIFS('LAC 102_Wkst'!$Q$7:$Q$2010,'LAC 102_Wkst'!$D$7:$D$2010,$C$7,'LAC 102_Wkst'!$I$7:$I$2010,$C$9,'LAC 102_Wkst'!$E$7:$E$2010,$C67,'LAC 102_Wkst'!$G$7:$G$2010,$D67,'LAC 102_Wkst'!$L$7:$L$2010,"07",'LAC 102_Wkst'!$N$7:$N$2010,"P2")+SUMIFS('LAC 102_Wkst'!$Q$7:$Q$2010,'LAC 102_Wkst'!$D$7:$D$2010,$C$7,'LAC 102_Wkst'!$I$7:$I$2010,$C$9,'LAC 102_Wkst'!$E$7:$E$2010,$C67,'LAC 102_Wkst'!$G$7:$G$2010,$D67,'LAC 102_Wkst'!$L$7:$L$2010,"07",'LAC 102_Wkst'!$N$7:$N$2010,"P3")</f>
        <v>0</v>
      </c>
      <c r="AA67" s="411">
        <f>SUMIFS('LAC 102_Wkst'!$AF$7:$AF$2010,'LAC 102_Wkst'!$D$7:$D$2010,$C$7,'LAC 102_Wkst'!$I$7:$I$2010,$C$9,'LAC 102_Wkst'!$E$7:$E$2010,$C67,'LAC 102_Wkst'!$G$7:$G$2010,$D67,'LAC 102_Wkst'!$L$7:$L$2010,"07",'LAC 102_Wkst'!$N$7:$N$2010,"P1")+SUMIFS('LAC 102_Wkst'!$AF$7:$AF$2010,'LAC 102_Wkst'!$D$7:$D$2010,$C$7,'LAC 102_Wkst'!$I$7:$I$2010,$C$9,'LAC 102_Wkst'!$E$7:$E$2010,$C67,'LAC 102_Wkst'!$G$7:$G$2010,$D67,'LAC 102_Wkst'!$L$7:$L$2010,"07",'LAC 102_Wkst'!$N$7:$N$2010,"P2")+SUMIFS('LAC 102_Wkst'!$AF$7:$AF$2010,'LAC 102_Wkst'!$D$7:$D$2010,$C$7,'LAC 102_Wkst'!$I$7:$I$2010,$C$9,'LAC 102_Wkst'!$E$7:$E$2010,$C67,'LAC 102_Wkst'!$G$7:$G$2010,$D67,'LAC 102_Wkst'!$L$7:$L$2010,"07",'LAC 102_Wkst'!$N$7:$N$2010,"P3")</f>
        <v>0</v>
      </c>
      <c r="AB67" s="410">
        <f>SUMIFS('LAC 102_Wkst'!$Q$7:$Q$2010,'LAC 102_Wkst'!$D$7:$D$2010,$C$7,'LAC 102_Wkst'!$I$7:$I$2010,$C$9,'LAC 102_Wkst'!$E$7:$E$2010,$C67,'LAC 102_Wkst'!$G$7:$G$2010,$D67,'LAC 102_Wkst'!$L$7:$L$2010,"07",'LAC 102_Wkst'!$N$7:$N$2010,"P4")</f>
        <v>0</v>
      </c>
      <c r="AC67" s="411">
        <f>SUMIFS('LAC 102_Wkst'!$AF$7:$AF$2010,'LAC 102_Wkst'!$D$7:$D$2010,$C$7,'LAC 102_Wkst'!$I$7:$I$2010,$C$9,'LAC 102_Wkst'!$E$7:$E$2010,$C67,'LAC 102_Wkst'!$G$7:$G$2010,$D67,'LAC 102_Wkst'!$L$7:$L$2010,"07",'LAC 102_Wkst'!$N$7:$N$2010,"P4")</f>
        <v>0</v>
      </c>
      <c r="AD67" s="410">
        <f>SUMIFS('LAC 102_Wkst'!$Q$7:$Q$2010,'LAC 102_Wkst'!$D$7:$D$2010,$C$7,'LAC 102_Wkst'!$I$7:$I$2010,$C$9,'LAC 102_Wkst'!$E$7:$E$2010,$C67,'LAC 102_Wkst'!$G$7:$G$2010,$D67,'LAC 102_Wkst'!$L$7:$L$2010,"07",'LAC 102_Wkst'!$N$7:$N$2010,"P5")</f>
        <v>0</v>
      </c>
      <c r="AE67" s="411">
        <f>SUMIFS('LAC 102_Wkst'!$AF$7:$AF$2010,'LAC 102_Wkst'!$D$7:$D$2010,$C$7,'LAC 102_Wkst'!$I$7:$I$2010,$C$9,'LAC 102_Wkst'!$E$7:$E$2010,$C67,'LAC 102_Wkst'!$G$7:$G$2010,$D67,'LAC 102_Wkst'!$L$7:$L$2010,"07",'LAC 102_Wkst'!$N$7:$N$2010,"P5")</f>
        <v>0</v>
      </c>
      <c r="AF67" s="410">
        <f>SUMIFS('LAC 102_Wkst'!$Q$7:$Q$2010,'LAC 102_Wkst'!$D$7:$D$2010,$C$7,'LAC 102_Wkst'!$I$7:$I$2010,$C$9,'LAC 102_Wkst'!$E$7:$E$2010,$C67,'LAC 102_Wkst'!$G$7:$G$2010,$D67,'LAC 102_Wkst'!$L$7:$L$2010,"08",'LAC 102_Wkst'!$N$7:$N$2010,"P1")+SUMIFS('LAC 102_Wkst'!$Q$7:$Q$2010,'LAC 102_Wkst'!$D$7:$D$2010,$C$7,'LAC 102_Wkst'!$I$7:$I$2010,$C$9,'LAC 102_Wkst'!$E$7:$E$2010,$C67,'LAC 102_Wkst'!$G$7:$G$2010,$D67,'LAC 102_Wkst'!$L$7:$L$2010,"08",'LAC 102_Wkst'!$N$7:$N$2010,"P2")+SUMIFS('LAC 102_Wkst'!$Q$7:$Q$2010,'LAC 102_Wkst'!$D$7:$D$2010,$C$7,'LAC 102_Wkst'!$I$7:$I$2010,$C$9,'LAC 102_Wkst'!$E$7:$E$2010,$C67,'LAC 102_Wkst'!$G$7:$G$2010,$D67,'LAC 102_Wkst'!$L$7:$L$2010,"08",'LAC 102_Wkst'!$N$7:$N$2010,"P3")</f>
        <v>0</v>
      </c>
      <c r="AG67" s="411">
        <f>SUMIFS('LAC 102_Wkst'!$AF$7:$AF$2010,'LAC 102_Wkst'!$D$7:$D$2010,$C$7,'LAC 102_Wkst'!$I$7:$I$2010,$C$9,'LAC 102_Wkst'!$E$7:$E$2010,$C67,'LAC 102_Wkst'!$G$7:$G$2010,$D67,'LAC 102_Wkst'!$L$7:$L$2010,"08",'LAC 102_Wkst'!$N$7:$N$2010,"P1")+SUMIFS('LAC 102_Wkst'!$AF$7:$AF$2010,'LAC 102_Wkst'!$D$7:$D$2010,$C$7,'LAC 102_Wkst'!$I$7:$I$2010,$C$9,'LAC 102_Wkst'!$E$7:$E$2010,$C67,'LAC 102_Wkst'!$G$7:$G$2010,$D67,'LAC 102_Wkst'!$L$7:$L$2010,"08",'LAC 102_Wkst'!$N$7:$N$2010,"P2")+SUMIFS('LAC 102_Wkst'!$AF$7:$AF$2010,'LAC 102_Wkst'!$D$7:$D$2010,$C$7,'LAC 102_Wkst'!$I$7:$I$2010,$C$9,'LAC 102_Wkst'!$E$7:$E$2010,$C67,'LAC 102_Wkst'!$G$7:$G$2010,$D67,'LAC 102_Wkst'!$L$7:$L$2010,"08",'LAC 102_Wkst'!$N$7:$N$2010,"P3")</f>
        <v>0</v>
      </c>
      <c r="AH67" s="410">
        <f>SUMIFS('LAC 102_Wkst'!$Q$7:$Q$2010,'LAC 102_Wkst'!$D$7:$D$2010,$C$7,'LAC 102_Wkst'!$I$7:$I$2010,$C$9,'LAC 102_Wkst'!$E$7:$E$2010,$C67,'LAC 102_Wkst'!$G$7:$G$2010,$D67,'LAC 102_Wkst'!$L$7:$L$2010,"08",'LAC 102_Wkst'!$N$7:$N$2010,"P4")</f>
        <v>0</v>
      </c>
      <c r="AI67" s="411">
        <f>SUMIFS('LAC 102_Wkst'!$AF$7:$AF$2010,'LAC 102_Wkst'!$D$7:$D$2010,$C$7,'LAC 102_Wkst'!$I$7:$I$2010,$C$9,'LAC 102_Wkst'!$E$7:$E$2010,$C67,'LAC 102_Wkst'!$G$7:$G$2010,$D67,'LAC 102_Wkst'!$L$7:$L$2010,"08",'LAC 102_Wkst'!$N$7:$N$2010,"P4")</f>
        <v>0</v>
      </c>
      <c r="AJ67" s="410">
        <f>SUMIFS('LAC 102_Wkst'!$Q$7:$Q$2010,'LAC 102_Wkst'!$D$7:$D$2010,$C$7,'LAC 102_Wkst'!$I$7:$I$2010,$C$9,'LAC 102_Wkst'!$E$7:$E$2010,$C67,'LAC 102_Wkst'!$G$7:$G$2010,$D67,'LAC 102_Wkst'!$L$7:$L$2010,"08",'LAC 102_Wkst'!$N$7:$N$2010,"P5")</f>
        <v>0</v>
      </c>
      <c r="AK67" s="411">
        <f>SUMIFS('LAC 102_Wkst'!$AF$7:$AF$2010,'LAC 102_Wkst'!$D$7:$D$2010,$C$7,'LAC 102_Wkst'!$I$7:$I$2010,$C$9,'LAC 102_Wkst'!$E$7:$E$2010,$C67,'LAC 102_Wkst'!$G$7:$G$2010,$D67,'LAC 102_Wkst'!$L$7:$L$2010,"08",'LAC 102_Wkst'!$N$7:$N$2010,"P5")</f>
        <v>0</v>
      </c>
      <c r="AL67" s="410">
        <f>SUMIFS('LAC 102_Wkst'!$Q$7:$Q$2010,'LAC 102_Wkst'!$D$7:$D$2010,$C$7,'LAC 102_Wkst'!$I$7:$I$2010,$C$9,'LAC 102_Wkst'!$E$7:$E$2010,$C67,'LAC 102_Wkst'!$G$7:$G$2010,$D67,'LAC 102_Wkst'!$L$7:$L$2010,"09",'LAC 102_Wkst'!$N$7:$N$2010,"P1")+SUMIFS('LAC 102_Wkst'!$Q$7:$Q$2010,'LAC 102_Wkst'!$D$7:$D$2010,$C$7,'LAC 102_Wkst'!$I$7:$I$2010,$C$9,'LAC 102_Wkst'!$E$7:$E$2010,$C67,'LAC 102_Wkst'!$G$7:$G$2010,$D67,'LAC 102_Wkst'!$L$7:$L$2010,"09",'LAC 102_Wkst'!$N$7:$N$2010,"P2")+SUMIFS('LAC 102_Wkst'!$Q$7:$Q$2010,'LAC 102_Wkst'!$D$7:$D$2010,$C$7,'LAC 102_Wkst'!$I$7:$I$2010,$C$9,'LAC 102_Wkst'!$E$7:$E$2010,$C67,'LAC 102_Wkst'!$G$7:$G$2010,$D67,'LAC 102_Wkst'!$L$7:$L$2010,"09",'LAC 102_Wkst'!$N$7:$N$2010,"P3")+SUMIFS('LAC 102_Wkst'!$Q$7:$Q$2010,'LAC 102_Wkst'!$D$7:$D$2010,$C$7,'LAC 102_Wkst'!$I$7:$I$2010,$C$9,'LAC 102_Wkst'!$E$7:$E$2010,$C67,'LAC 102_Wkst'!$G$7:$G$2010,$D67,'LAC 102_Wkst'!$L$7:$L$2010,"09",'LAC 102_Wkst'!$N$7:$N$2010,"P4")</f>
        <v>0</v>
      </c>
      <c r="AM67" s="411">
        <f>SUMIFS('LAC 102_Wkst'!$AF$7:$AF$2010,'LAC 102_Wkst'!$D$7:$D$2010,$C$7,'LAC 102_Wkst'!$I$7:$I$2010,$C$9,'LAC 102_Wkst'!$E$7:$E$2010,$C67,'LAC 102_Wkst'!$G$7:$G$2010,$D67,'LAC 102_Wkst'!$L$7:$L$2010,"09",'LAC 102_Wkst'!$N$7:$N$2010,"P1")+SUMIFS('LAC 102_Wkst'!$AF$7:$AF$2010,'LAC 102_Wkst'!$D$7:$D$2010,$C$7,'LAC 102_Wkst'!$I$7:$I$2010,$C$9,'LAC 102_Wkst'!$E$7:$E$2010,$C67,'LAC 102_Wkst'!$G$7:$G$2010,$D67,'LAC 102_Wkst'!$L$7:$L$2010,"09",'LAC 102_Wkst'!$N$7:$N$2010,"P2")+SUMIFS('LAC 102_Wkst'!$AF$7:$AF$2010,'LAC 102_Wkst'!$D$7:$D$2010,$C$7,'LAC 102_Wkst'!$I$7:$I$2010,$C$9,'LAC 102_Wkst'!$E$7:$E$2010,$C67,'LAC 102_Wkst'!$G$7:$G$2010,$D67,'LAC 102_Wkst'!$L$7:$L$2010,"09",'LAC 102_Wkst'!$N$7:$N$2010,"P3")+SUMIFS('LAC 102_Wkst'!$AF$7:$AF$2010,'LAC 102_Wkst'!$D$7:$D$2010,$C$7,'LAC 102_Wkst'!$I$7:$I$2010,$C$9,'LAC 102_Wkst'!$E$7:$E$2010,$C67,'LAC 102_Wkst'!$G$7:$G$2010,$D67,'LAC 102_Wkst'!$L$7:$L$2010,"09",'LAC 102_Wkst'!$N$7:$N$2010,"P4")</f>
        <v>0</v>
      </c>
      <c r="AN67" s="410">
        <f>SUMIFS('LAC 102_Wkst'!$Q$7:$Q$2010,'LAC 102_Wkst'!$D$7:$D$2010,$C$7,'LAC 102_Wkst'!$I$7:$I$2010,$C$9,'LAC 102_Wkst'!$E$7:$E$2010,$C67,'LAC 102_Wkst'!$G$7:$G$2010,$D67,'LAC 102_Wkst'!$L$7:$L$2010,"09",'LAC 102_Wkst'!$N$7:$N$2010,"P5")</f>
        <v>0</v>
      </c>
      <c r="AO67" s="411">
        <f>SUMIFS('LAC 102_Wkst'!$AF$7:$AF$2010,'LAC 102_Wkst'!$D$7:$D$2010,$C$7,'LAC 102_Wkst'!$I$7:$I$2010,$C$9,'LAC 102_Wkst'!$E$7:$E$2010,$C67,'LAC 102_Wkst'!$G$7:$G$2010,$D67,'LAC 102_Wkst'!$L$7:$L$2010,"09",'LAC 102_Wkst'!$N$7:$N$2010,"P5")</f>
        <v>0</v>
      </c>
      <c r="AP67" s="410">
        <f>SUMIFS('LAC 102_Wkst'!$Q$7:$Q$2010,'LAC 102_Wkst'!$D$7:$D$2010,$C$7,'LAC 102_Wkst'!$I$7:$I$2010,$C$9,'LAC 102_Wkst'!$E$7:$E$2010,$C67,'LAC 102_Wkst'!$G$7:$G$2010,$D67,'LAC 102_Wkst'!$L$7:$L$2010,"10",'LAC 102_Wkst'!$N$7:$N$2010,"P1")+SUMIFS('LAC 102_Wkst'!$Q$7:$Q$2010,'LAC 102_Wkst'!$D$7:$D$2010,$C$7,'LAC 102_Wkst'!$I$7:$I$2010,$C$9,'LAC 102_Wkst'!$E$7:$E$2010,$C67,'LAC 102_Wkst'!$G$7:$G$2010,$D67,'LAC 102_Wkst'!$L$7:$L$2010,"10",'LAC 102_Wkst'!$N$7:$N$2010,"P2")+SUMIFS('LAC 102_Wkst'!$Q$7:$Q$2010,'LAC 102_Wkst'!$D$7:$D$2010,$C$7,'LAC 102_Wkst'!$I$7:$I$2010,$C$9,'LAC 102_Wkst'!$E$7:$E$2010,$C67,'LAC 102_Wkst'!$G$7:$G$2010,$D67,'LAC 102_Wkst'!$L$7:$L$2010,"10",'LAC 102_Wkst'!$N$7:$N$2010,"P3")+SUMIFS('LAC 102_Wkst'!$Q$7:$Q$2010,'LAC 102_Wkst'!$D$7:$D$2010,$C$7,'LAC 102_Wkst'!$I$7:$I$2010,$C$9,'LAC 102_Wkst'!$E$7:$E$2010,$C67,'LAC 102_Wkst'!$G$7:$G$2010,$D67,'LAC 102_Wkst'!$L$7:$L$2010,"10",'LAC 102_Wkst'!$N$7:$N$2010,"P4")</f>
        <v>0</v>
      </c>
      <c r="AQ67" s="411">
        <f>SUMIFS('LAC 102_Wkst'!$AF$7:$AF$2010,'LAC 102_Wkst'!$D$7:$D$2010,$C$7,'LAC 102_Wkst'!$I$7:$I$2010,$C$9,'LAC 102_Wkst'!$E$7:$E$2010,$C67,'LAC 102_Wkst'!$G$7:$G$2010,$D67,'LAC 102_Wkst'!$L$7:$L$2010,"10",'LAC 102_Wkst'!$N$7:$N$2010,"P1")+SUMIFS('LAC 102_Wkst'!$AF$7:$AF$2010,'LAC 102_Wkst'!$D$7:$D$2010,$C$7,'LAC 102_Wkst'!$I$7:$I$2010,$C$9,'LAC 102_Wkst'!$E$7:$E$2010,$C67,'LAC 102_Wkst'!$G$7:$G$2010,$D67,'LAC 102_Wkst'!$L$7:$L$2010,"10",'LAC 102_Wkst'!$N$7:$N$2010,"P2")+SUMIFS('LAC 102_Wkst'!$AF$7:$AF$2010,'LAC 102_Wkst'!$D$7:$D$2010,$C$7,'LAC 102_Wkst'!$I$7:$I$2010,$C$9,'LAC 102_Wkst'!$E$7:$E$2010,$C67,'LAC 102_Wkst'!$G$7:$G$2010,$D67,'LAC 102_Wkst'!$L$7:$L$2010,"10",'LAC 102_Wkst'!$N$7:$N$2010,"P3")+SUMIFS('LAC 102_Wkst'!$AF$7:$AF$2010,'LAC 102_Wkst'!$D$7:$D$2010,$C$7,'LAC 102_Wkst'!$I$7:$I$2010,$C$9,'LAC 102_Wkst'!$E$7:$E$2010,$C67,'LAC 102_Wkst'!$G$7:$G$2010,$D67,'LAC 102_Wkst'!$L$7:$L$2010,"10",'LAC 102_Wkst'!$N$7:$N$2010,"P4")</f>
        <v>0</v>
      </c>
      <c r="AR67" s="410">
        <f>SUMIFS('LAC 102_Wkst'!$Q$7:$Q$2010,'LAC 102_Wkst'!$D$7:$D$2010,$C$7,'LAC 102_Wkst'!$I$7:$I$2010,$C$9,'LAC 102_Wkst'!$E$7:$E$2010,$C67,'LAC 102_Wkst'!$G$7:$G$2010,$D67,'LAC 102_Wkst'!$L$7:$L$2010,"10",'LAC 102_Wkst'!$N$7:$N$2010,"P5")</f>
        <v>0</v>
      </c>
      <c r="AS67" s="411">
        <f>SUMIFS('LAC 102_Wkst'!$AF$7:$AF$2010,'LAC 102_Wkst'!$D$7:$D$2010,$C$7,'LAC 102_Wkst'!$I$7:$I$2010,$C$9,'LAC 102_Wkst'!$E$7:$E$2010,$C67,'LAC 102_Wkst'!$G$7:$G$2010,$D67,'LAC 102_Wkst'!$L$7:$L$2010,"10",'LAC 102_Wkst'!$N$7:$N$2010,"P5")</f>
        <v>0</v>
      </c>
      <c r="AT67" s="410">
        <f>SUMIFS('LAC 102_Wkst'!$Q$7:$Q$2010,'LAC 102_Wkst'!$D$7:$D$2010,$C$7,'LAC 102_Wkst'!$I$7:$I$2010,$C$9,'LAC 102_Wkst'!$E$7:$E$2010,$C67,'LAC 102_Wkst'!$G$7:$G$2010,$D67,'LAC 102_Wkst'!$L$7:$L$2010,"11",'LAC 102_Wkst'!$N$7:$N$2010,"P1")+SUMIFS('LAC 102_Wkst'!$Q$7:$Q$2010,'LAC 102_Wkst'!$D$7:$D$2010,$C$7,'LAC 102_Wkst'!$I$7:$I$2010,$C$9,'LAC 102_Wkst'!$E$7:$E$2010,$C67,'LAC 102_Wkst'!$G$7:$G$2010,$D67,'LAC 102_Wkst'!$L$7:$L$2010,"12",'LAC 102_Wkst'!$N$7:$N$2010,"P1")</f>
        <v>0</v>
      </c>
      <c r="AU67" s="411">
        <f>SUMIFS('LAC 102_Wkst'!$Q$7:$Q$2010,'LAC 102_Wkst'!$D$7:$D$2010,$C$7,'LAC 102_Wkst'!$I$7:$I$2010,$C$9,'LAC 102_Wkst'!$E$7:$E$2010,$C67,'LAC 102_Wkst'!$G$7:$G$2010,$D67,'LAC 102_Wkst'!$L$7:$L$2010,"13",'LAC 102_Wkst'!$N$7:$N$2010,"P5")</f>
        <v>0</v>
      </c>
      <c r="AV67" s="410">
        <f>SUMIFS('LAC 102_Wkst'!$Q$7:$Q$2010,'LAC 102_Wkst'!$D$7:$D$2010,$C$7,'LAC 102_Wkst'!$I$7:$I$2010,$C$9,'LAC 102_Wkst'!$E$7:$E$2010,$C67,'LAC 102_Wkst'!$G$7:$G$2010,$D67,'LAC 102_Wkst'!$L$7:$L$2010,"11",'LAC 102_Wkst'!$N$7:$N$2010,"P2")+SUMIFS('LAC 102_Wkst'!$Q$7:$Q$2010,'LAC 102_Wkst'!$D$7:$D$2010,$C$7,'LAC 102_Wkst'!$I$7:$I$2010,$C$9,'LAC 102_Wkst'!$E$7:$E$2010,$C67,'LAC 102_Wkst'!$G$7:$G$2010,$D67,'LAC 102_Wkst'!$L$7:$L$2010,"12",'LAC 102_Wkst'!$N$7:$N$2010,"P2")+SUMIFS('LAC 102_Wkst'!$Q$7:$Q$2010,'LAC 102_Wkst'!$D$7:$D$2010,$C$7,'LAC 102_Wkst'!$I$7:$I$2010,$C$9,'LAC 102_Wkst'!$E$7:$E$2010,$C67,'LAC 102_Wkst'!$G$7:$G$2010,$D67,'LAC 102_Wkst'!$L$7:$L$2010,"11",'LAC 102_Wkst'!$N$7:$N$2010,"P3")+SUMIFS('LAC 102_Wkst'!$Q$7:$Q$2010,'LAC 102_Wkst'!$D$7:$D$2010,$C$7,'LAC 102_Wkst'!$I$7:$I$2010,$C$9,'LAC 102_Wkst'!$E$7:$E$2010,$C67,'LAC 102_Wkst'!$G$7:$G$2010,$D67,'LAC 102_Wkst'!$L$7:$L$2010,"12",'LAC 102_Wkst'!$N$7:$N$2010,"P3")</f>
        <v>0</v>
      </c>
      <c r="AW67" s="411">
        <f>SUMIFS('LAC 102_Wkst'!$AF$7:$AF$2010,'LAC 102_Wkst'!$D$7:$D$2010,$C$7,'LAC 102_Wkst'!$I$7:$I$2010,$C$9,'LAC 102_Wkst'!$E$7:$E$2010,$C67,'LAC 102_Wkst'!$G$7:$G$2010,$D67,'LAC 102_Wkst'!$L$7:$L$2010,"11",'LAC 102_Wkst'!$N$7:$N$2010,"P2")+SUMIFS('LAC 102_Wkst'!$AF$7:$AF$2010,'LAC 102_Wkst'!$D$7:$D$2010,$C$7,'LAC 102_Wkst'!$I$7:$I$2010,$C$9,'LAC 102_Wkst'!$E$7:$E$2010,$C67,'LAC 102_Wkst'!$G$7:$G$2010,$D67,'LAC 102_Wkst'!$L$7:$L$2010,"12",'LAC 102_Wkst'!$N$7:$N$2010,"P2")+SUMIFS('LAC 102_Wkst'!$AF$7:$AF$2010,'LAC 102_Wkst'!$D$7:$D$2010,$C$7,'LAC 102_Wkst'!$I$7:$I$2010,$C$9,'LAC 102_Wkst'!$E$7:$E$2010,$C67,'LAC 102_Wkst'!$G$7:$G$2010,$D67,'LAC 102_Wkst'!$L$7:$L$2010,"11",'LAC 102_Wkst'!$N$7:$N$2010,"P3")+SUMIFS('LAC 102_Wkst'!$AF$7:$AF$2010,'LAC 102_Wkst'!$D$7:$D$2010,$C$7,'LAC 102_Wkst'!$I$7:$I$2010,$C$9,'LAC 102_Wkst'!$E$7:$E$2010,$C67,'LAC 102_Wkst'!$G$7:$G$2010,$D67,'LAC 102_Wkst'!$L$7:$L$2010,"12",'LAC 102_Wkst'!$N$7:$N$2010,"P3")</f>
        <v>0</v>
      </c>
      <c r="AX67" s="410">
        <f>SUMIFS('LAC 102_Wkst'!$Q$7:$Q$2010,'LAC 102_Wkst'!$D$7:$D$2010,$C$7,'LAC 102_Wkst'!$I$7:$I$2010,$C$9,'LAC 102_Wkst'!$E$7:$E$2010,$C67,'LAC 102_Wkst'!$G$7:$G$2010,$D67,'LAC 102_Wkst'!$L$7:$L$2010,"11",'LAC 102_Wkst'!$N$7:$N$2010,"P4")+SUMIFS('LAC 102_Wkst'!$Q$7:$Q$2010,'LAC 102_Wkst'!$D$7:$D$2010,$C$7,'LAC 102_Wkst'!$I$7:$I$2010,$C$9,'LAC 102_Wkst'!$E$7:$E$2010,$C67,'LAC 102_Wkst'!$G$7:$G$2010,$D67,'LAC 102_Wkst'!$L$7:$L$2010,"12",'LAC 102_Wkst'!$N$7:$N$2010,"P4")</f>
        <v>0</v>
      </c>
      <c r="AY67" s="411">
        <f>SUMIFS('LAC 102_Wkst'!$AF$7:$AF$2010,'LAC 102_Wkst'!$D$7:$D$2010,$C$7,'LAC 102_Wkst'!$I$7:$I$2010,$C$9,'LAC 102_Wkst'!$E$7:$E$2010,$C67,'LAC 102_Wkst'!$G$7:$G$2010,$D67,'LAC 102_Wkst'!$L$7:$L$2010,"11",'LAC 102_Wkst'!$N$7:$N$2010,"P4")+SUMIFS('LAC 102_Wkst'!$AF$7:$AF$2010,'LAC 102_Wkst'!$D$7:$D$2010,$C$7,'LAC 102_Wkst'!$I$7:$I$2010,$C$9,'LAC 102_Wkst'!$E$7:$E$2010,$C67,'LAC 102_Wkst'!$G$7:$G$2010,$D67,'LAC 102_Wkst'!$L$7:$L$2010,"12",'LAC 102_Wkst'!$N$7:$N$2010,"P4")</f>
        <v>0</v>
      </c>
      <c r="AZ67" s="410">
        <f>SUMIFS('LAC 102_Wkst'!$Q$7:$Q$2010,'LAC 102_Wkst'!$D$7:$D$2010,$C$7,'LAC 102_Wkst'!$I$7:$I$2010,$C$9,'LAC 102_Wkst'!$E$7:$E$2010,$C67,'LAC 102_Wkst'!$G$7:$G$2010,$D67,'LAC 102_Wkst'!$L$7:$L$2010,"11",'LAC 102_Wkst'!$N$7:$N$2010,"P5")+SUMIFS('LAC 102_Wkst'!$Q$7:$Q$2010,'LAC 102_Wkst'!$D$7:$D$2010,$C$7,'LAC 102_Wkst'!$I$7:$I$2010,$C$9,'LAC 102_Wkst'!$E$7:$E$2010,$C67,'LAC 102_Wkst'!$G$7:$G$2010,$D67,'LAC 102_Wkst'!$L$7:$L$2010,"12",'LAC 102_Wkst'!$N$7:$N$2010,"P5")</f>
        <v>0</v>
      </c>
      <c r="BA67" s="411">
        <f>SUMIFS('LAC 102_Wkst'!$AF$7:$AF$2010,'LAC 102_Wkst'!$D$7:$D$2010,$C$7,'LAC 102_Wkst'!$I$7:$I$2010,$C$9,'LAC 102_Wkst'!$E$7:$E$2010,$C67,'LAC 102_Wkst'!$G$7:$G$2010,$D67,'LAC 102_Wkst'!$L$7:$L$2010,"11",'LAC 102_Wkst'!$N$7:$N$2010,"P5")+SUMIFS('LAC 102_Wkst'!$AF$7:$AF$2010,'LAC 102_Wkst'!$D$7:$D$2010,$C$7,'LAC 102_Wkst'!$I$7:$I$2010,$C$9,'LAC 102_Wkst'!$E$7:$E$2010,$C67,'LAC 102_Wkst'!$G$7:$G$2010,$D67,'LAC 102_Wkst'!$L$7:$L$2010,"12",'LAC 102_Wkst'!$N$7:$N$2010,"P5")</f>
        <v>0</v>
      </c>
      <c r="BB67" s="410">
        <f>SUMIFS('LAC 102_Wkst'!$Q$7:$Q$2010,'LAC 102_Wkst'!$D$7:$D$2010,$C$7,'LAC 102_Wkst'!$I$7:$I$2010,$C$9,'LAC 102_Wkst'!$E$7:$E$2010,$C67,'LAC 102_Wkst'!$G$7:$G$2010,$D67,'LAC 102_Wkst'!$L$7:$L$2010,"13",'LAC 102_Wkst'!$N$7:$N$2010,"P1")+SUMIFS('LAC 102_Wkst'!$Q$7:$Q$2010,'LAC 102_Wkst'!$D$7:$D$2010,$C$7,'LAC 102_Wkst'!$I$7:$I$2010,$C$9,'LAC 102_Wkst'!$E$7:$E$2010,$C67,'LAC 102_Wkst'!$G$7:$G$2010,$D67,'LAC 102_Wkst'!$L$7:$L$2010,"13",'LAC 102_Wkst'!$N$7:$N$2010,"P2")+SUMIFS('LAC 102_Wkst'!$Q$7:$Q$2010,'LAC 102_Wkst'!$D$7:$D$2010,$C$7,'LAC 102_Wkst'!$I$7:$I$2010,$C$9,'LAC 102_Wkst'!$E$7:$E$2010,$C67,'LAC 102_Wkst'!$G$7:$G$2010,$D67,'LAC 102_Wkst'!$L$7:$L$2010,"13",'LAC 102_Wkst'!$N$7:$N$2010,"P3")+SUMIFS('LAC 102_Wkst'!$Q$7:$Q$2010,'LAC 102_Wkst'!$D$7:$D$2010,$C$7,'LAC 102_Wkst'!$I$7:$I$2010,$C$9,'LAC 102_Wkst'!$E$7:$E$2010,$C67,'LAC 102_Wkst'!$G$7:$G$2010,$D67,'LAC 102_Wkst'!$L$7:$L$2010,"13",'LAC 102_Wkst'!$N$7:$N$2010,"P4")</f>
        <v>0</v>
      </c>
      <c r="BC67" s="411">
        <f>SUMIFS('LAC 102_Wkst'!$AF$7:$AF$2010,'LAC 102_Wkst'!$D$7:$D$2010,$C$7,'LAC 102_Wkst'!$I$7:$I$2010,$C$9,'LAC 102_Wkst'!$E$7:$E$2010,$C67,'LAC 102_Wkst'!$G$7:$G$2010,$D67,'LAC 102_Wkst'!$L$7:$L$2010,"13",'LAC 102_Wkst'!$N$7:$N$2010,"P1")+SUMIFS('LAC 102_Wkst'!$AF$7:$AF$2010,'LAC 102_Wkst'!$D$7:$D$2010,$C$7,'LAC 102_Wkst'!$I$7:$I$2010,$C$9,'LAC 102_Wkst'!$E$7:$E$2010,$C67,'LAC 102_Wkst'!$G$7:$G$2010,$D67,'LAC 102_Wkst'!$L$7:$L$2010,"13",'LAC 102_Wkst'!$N$7:$N$2010,"P2")+SUMIFS('LAC 102_Wkst'!$AF$7:$AF$2010,'LAC 102_Wkst'!$D$7:$D$2010,$C$7,'LAC 102_Wkst'!$I$7:$I$2010,$C$9,'LAC 102_Wkst'!$E$7:$E$2010,$C67,'LAC 102_Wkst'!$G$7:$G$2010,$D67,'LAC 102_Wkst'!$L$7:$L$2010,"13",'LAC 102_Wkst'!$N$7:$N$2010,"P3")+SUMIFS('LAC 102_Wkst'!$AF$7:$AF$2010,'LAC 102_Wkst'!$D$7:$D$2010,$C$7,'LAC 102_Wkst'!$I$7:$I$2010,$C$9,'LAC 102_Wkst'!$E$7:$E$2010,$C67,'LAC 102_Wkst'!$G$7:$G$2010,$D67,'LAC 102_Wkst'!$L$7:$L$2010,"13",'LAC 102_Wkst'!$N$7:$N$2010,"P4")</f>
        <v>0</v>
      </c>
      <c r="BD67" s="410">
        <f>SUMIFS('LAC 102_Wkst'!$Q$7:$Q$2010,'LAC 102_Wkst'!$D$7:$D$2010,$C$7,'LAC 102_Wkst'!$I$7:$I$2010,$C$9,'LAC 102_Wkst'!$E$7:$E$2010,$C67,'LAC 102_Wkst'!$G$7:$G$2010,$D67,'LAC 102_Wkst'!$L$7:$L$2010,"13",'LAC 102_Wkst'!$N$7:$N$2010,"P5")</f>
        <v>0</v>
      </c>
      <c r="BE67" s="411">
        <f>SUMIFS('LAC 102_Wkst'!$AF$7:$AF$2010,'LAC 102_Wkst'!$D$7:$D$2010,$C$7,'LAC 102_Wkst'!$I$7:$I$2010,$C$9,'LAC 102_Wkst'!$E$7:$E$2010,$C67,'LAC 102_Wkst'!$G$7:$G$2010,$D67,'LAC 102_Wkst'!$L$7:$L$2010,"13",'LAC 102_Wkst'!$N$7:$N$2010,"P5")</f>
        <v>0</v>
      </c>
      <c r="BF67" s="407">
        <f t="shared" si="4"/>
        <v>0</v>
      </c>
      <c r="BG67" s="1654">
        <f>SUMIFS('LAC 102_Wkst'!$AF$7:$AF$2010,'LAC 102_Wkst'!$D$7:$D$2010,$C$7,'LAC 102_Wkst'!$I$7:$I$2010,$C$9,'LAC 102_Wkst'!$E$7:$E$2010,$C67,'LAC 102_Wkst'!$G$7:$G$2010,$D67,'LAC 102_Wkst'!$L$7:$L$2010,"14")</f>
        <v>0</v>
      </c>
    </row>
    <row r="68" spans="1:59" x14ac:dyDescent="0.2">
      <c r="A68" s="401">
        <v>46</v>
      </c>
      <c r="B68" s="1678" t="str">
        <f>IF(Schedule_B!B$65="","",Schedule_B!B$65)</f>
        <v/>
      </c>
      <c r="C68" s="1674" t="str">
        <f>IF(Schedule_B!C$65=""," ",Schedule_B!C$65)</f>
        <v xml:space="preserve"> </v>
      </c>
      <c r="D68" s="1675" t="str">
        <f>IF(Schedule_B!D$65=""," ",Schedule_B!D$65)</f>
        <v xml:space="preserve"> </v>
      </c>
      <c r="E68" s="1221">
        <f>SUMIFS('LAC 102_Wkst'!$Q$7:$Q$2010,'LAC 102_Wkst'!$D$7:$D$2010,$C$7,'LAC 102_Wkst'!$I$7:$I$2010,$C$9,'LAC 102_Wkst'!$E$7:$E$2010,$C68,'LAC 102_Wkst'!$G$7:$G$2010,$D68)</f>
        <v>0</v>
      </c>
      <c r="F68" s="408">
        <f>SUMIFS('LAC 102_Wkst'!$Q$7:$Q$2010,'LAC 102_Wkst'!$D$7:$D$2010,$C$7,'LAC 102_Wkst'!$I$7:$I$2010,$C$9,'LAC 102_Wkst'!$E$7:$E$2010,$C68,'LAC 102_Wkst'!$G$7:$G$2010,$D68,'LAC 102_Wkst'!$L$7:$L$2010,"01",'LAC 102_Wkst'!$N$7:$N$2010,"P1")+SUMIFS('LAC 102_Wkst'!$Q$7:$Q$2010,'LAC 102_Wkst'!$D$7:$D$2010,$C$7,'LAC 102_Wkst'!$I$7:$I$2010,$C$9,'LAC 102_Wkst'!$E$7:$E$2010,$C68,'LAC 102_Wkst'!$G$7:$G$2010,$D68,'LAC 102_Wkst'!$L$7:$L$2010,"01",'LAC 102_Wkst'!$N$7:$N$2010,"P2")+SUMIFS('LAC 102_Wkst'!$Q$7:$Q$2010,'LAC 102_Wkst'!$D$7:$D$2010,$C$7,'LAC 102_Wkst'!$I$7:$I$2010,$C$9,'LAC 102_Wkst'!$E$7:$E$2010,$C68,'LAC 102_Wkst'!$G$7:$G$2010,$D68,'LAC 102_Wkst'!$L$7:$L$2010,"01",'LAC 102_Wkst'!$N$7:$N$2010,"P3")+SUMIFS('LAC 102_Wkst'!$Q$7:$Q$2010,'LAC 102_Wkst'!$D$7:$D$2010,$C$7,'LAC 102_Wkst'!$I$7:$I$2010,$C$9,'LAC 102_Wkst'!$E$7:$E$2010,$C68,'LAC 102_Wkst'!$G$7:$G$2010,$D68,'LAC 102_Wkst'!$L$7:$L$2010,"02",'LAC 102_Wkst'!$N$7:$N$2010,"P1")+SUMIFS('LAC 102_Wkst'!$Q$7:$Q$2010,'LAC 102_Wkst'!$D$7:$D$2010,$C$7,'LAC 102_Wkst'!$I$7:$I$2010,$C$9,'LAC 102_Wkst'!$E$7:$E$2010,$C68,'LAC 102_Wkst'!$G$7:$G$2010,$D68,'LAC 102_Wkst'!$L$7:$L$2010,"02",'LAC 102_Wkst'!$N$7:$N$2010,"P2")+SUMIFS('LAC 102_Wkst'!$Q$7:$Q$2010,'LAC 102_Wkst'!$D$7:$D$2010,$C$7,'LAC 102_Wkst'!$I$7:$I$2010,$C$9,'LAC 102_Wkst'!$E$7:$E$2010,$C68,'LAC 102_Wkst'!$G$7:$G$2010,$D68,'LAC 102_Wkst'!$L$7:$L$2010,"02",'LAC 102_Wkst'!$N$7:$N$2010,"P3")</f>
        <v>0</v>
      </c>
      <c r="G68" s="409">
        <f>SUMIFS('LAC 102_Wkst'!$AF$7:$AF$2010,'LAC 102_Wkst'!$D$7:$D$2010,$C$7,'LAC 102_Wkst'!$I$7:$I$2010,$C$9,'LAC 102_Wkst'!$E$7:$E$2010,$C68,'LAC 102_Wkst'!$G$7:$G$2010,$D68,'LAC 102_Wkst'!$L$7:$L$2010,"01",'LAC 102_Wkst'!$N$7:$N$2010,"P1")+SUMIFS('LAC 102_Wkst'!$AF$7:$AF$2010,'LAC 102_Wkst'!$D$7:$D$2010,$C$7,'LAC 102_Wkst'!$I$7:$I$2010,$C$9,'LAC 102_Wkst'!$E$7:$E$2010,$C68,'LAC 102_Wkst'!$G$7:$G$2010,$D68,'LAC 102_Wkst'!$L$7:$L$2010,"01",'LAC 102_Wkst'!$N$7:$N$2010,"P2")+SUMIFS('LAC 102_Wkst'!$AF$7:$AF$2010,'LAC 102_Wkst'!$D$7:$D$2010,$C$7,'LAC 102_Wkst'!$I$7:$I$2010,$C$9,'LAC 102_Wkst'!$E$7:$E$2010,$C68,'LAC 102_Wkst'!$G$7:$G$2010,$D68,'LAC 102_Wkst'!$L$7:$L$2010,"01",'LAC 102_Wkst'!$N$7:$N$2010,"P3")+SUMIFS('LAC 102_Wkst'!$AF$7:$AF$2010,'LAC 102_Wkst'!$D$7:$D$2010,$C$7,'LAC 102_Wkst'!$I$7:$I$2010,$C$9,'LAC 102_Wkst'!$E$7:$E$2010,$C68,'LAC 102_Wkst'!$G$7:$G$2010,$D68,'LAC 102_Wkst'!$L$7:$L$2010,"02",'LAC 102_Wkst'!$N$7:$N$2010,"P1")+SUMIFS('LAC 102_Wkst'!$AF$7:$AF$2010,'LAC 102_Wkst'!$D$7:$D$2010,$C$7,'LAC 102_Wkst'!$I$7:$I$2010,$C$9,'LAC 102_Wkst'!$E$7:$E$2010,$C68,'LAC 102_Wkst'!$G$7:$G$2010,$D68,'LAC 102_Wkst'!$L$7:$L$2010,"02",'LAC 102_Wkst'!$N$7:$N$2010,"P2")+SUMIFS('LAC 102_Wkst'!$AF$7:$AF$2010,'LAC 102_Wkst'!$D$7:$D$2010,$C$7,'LAC 102_Wkst'!$I$7:$I$2010,$C$9,'LAC 102_Wkst'!$E$7:$E$2010,$C68,'LAC 102_Wkst'!$G$7:$G$2010,$D68,'LAC 102_Wkst'!$L$7:$L$2010,"02",'LAC 102_Wkst'!$N$7:$N$2010,"P3")</f>
        <v>0</v>
      </c>
      <c r="H68" s="410">
        <f>SUMIFS('LAC 102_Wkst'!$Q$7:$Q$2010,'LAC 102_Wkst'!$D$7:$D$2010,$C$7,'LAC 102_Wkst'!$I$7:$I$2010,$C$9,'LAC 102_Wkst'!$E$7:$E$2010,$C68,'LAC 102_Wkst'!$G$7:$G$2010,$D68,'LAC 102_Wkst'!$L$7:$L$2010,"01",'LAC 102_Wkst'!$N$7:$N$2010,"P4")+SUMIFS('LAC 102_Wkst'!$Q$7:$Q$2010,'LAC 102_Wkst'!$D$7:$D$2010,$C$7,'LAC 102_Wkst'!$I$7:$I$2010,$C$9,'LAC 102_Wkst'!$E$7:$E$2010,$C68,'LAC 102_Wkst'!$G$7:$G$2010,$D68,'LAC 102_Wkst'!$L$7:$L$2010,"02",'LAC 102_Wkst'!$N$7:$N$2010,"P4")</f>
        <v>0</v>
      </c>
      <c r="I68" s="411">
        <f>SUMIFS('LAC 102_Wkst'!$AF$7:$AF$2010,'LAC 102_Wkst'!$D$7:$D$2010,$C$7,'LAC 102_Wkst'!$I$7:$I$2010,$C$9,'LAC 102_Wkst'!$E$7:$E$2010,$C68,'LAC 102_Wkst'!$G$7:$G$2010,$D68,'LAC 102_Wkst'!$L$7:$L$2010,"01",'LAC 102_Wkst'!$N$7:$N$2010,"P4")+SUMIFS('LAC 102_Wkst'!$AF$7:$AF$2010,'LAC 102_Wkst'!$D$7:$D$2010,$C$7,'LAC 102_Wkst'!$I$7:$I$2010,$C$9,'LAC 102_Wkst'!$E$7:$E$2010,$C68,'LAC 102_Wkst'!$G$7:$G$2010,$D68,'LAC 102_Wkst'!$L$7:$L$2010,"02",'LAC 102_Wkst'!$N$7:$N$2010,"P4")</f>
        <v>0</v>
      </c>
      <c r="J68" s="410">
        <f>SUMIFS('LAC 102_Wkst'!$Q$7:$Q$2010,'LAC 102_Wkst'!$D$7:$D$2010,$C$7,'LAC 102_Wkst'!$I$7:$I$2010,$C$9,'LAC 102_Wkst'!$E$7:$E$2010,$C68,'LAC 102_Wkst'!$G$7:$G$2010,$D68,'LAC 102_Wkst'!$L$7:$L$2010,"01",'LAC 102_Wkst'!$N$7:$N$2010,"P5")+SUMIFS('LAC 102_Wkst'!$Q$7:$Q$2010,'LAC 102_Wkst'!$D$7:$D$2010,$C$7,'LAC 102_Wkst'!$I$7:$I$2010,$C$9,'LAC 102_Wkst'!$E$7:$E$2010,$C68,'LAC 102_Wkst'!$G$7:$G$2010,$D68,'LAC 102_Wkst'!$L$7:$L$2010,"02",'LAC 102_Wkst'!$N$7:$N$2010,"P5")</f>
        <v>0</v>
      </c>
      <c r="K68" s="411">
        <f>SUMIFS('LAC 102_Wkst'!$AF$7:$AF$2010,'LAC 102_Wkst'!$D$7:$D$2010,$C$7,'LAC 102_Wkst'!$I$7:$I$2010,$C$9,'LAC 102_Wkst'!$E$7:$E$2010,$C68,'LAC 102_Wkst'!$G$7:$G$2010,$D68,'LAC 102_Wkst'!$L$7:$L$2010,"01",'LAC 102_Wkst'!$N$7:$N$2010,"P5")+SUMIFS('LAC 102_Wkst'!$AF$7:$AF$2010,'LAC 102_Wkst'!$D$7:$D$2010,$C$7,'LAC 102_Wkst'!$I$7:$I$2010,$C$9,'LAC 102_Wkst'!$E$7:$E$2010,$C68,'LAC 102_Wkst'!$G$7:$G$2010,$D68,'LAC 102_Wkst'!$L$7:$L$2010,"02",'LAC 102_Wkst'!$N$7:$N$2010,"P5")</f>
        <v>0</v>
      </c>
      <c r="L68" s="410">
        <f>SUMIFS('LAC 102_Wkst'!$Q$7:$Q$2010,'LAC 102_Wkst'!$D$7:$D$2010,$C$7,'LAC 102_Wkst'!$I$7:$I$2010,$C$9,'LAC 102_Wkst'!$E$7:$E$2010,$C68,'LAC 102_Wkst'!$G$7:$G$2010,$D68,'LAC 102_Wkst'!$L$7:$L$2010,"03",'LAC 102_Wkst'!$N$7:$N$2010,"P1")+SUMIFS('LAC 102_Wkst'!$Q$7:$Q$2010,'LAC 102_Wkst'!$D$7:$D$2010,$C$7,'LAC 102_Wkst'!$I$7:$I$2010,$C$9,'LAC 102_Wkst'!$E$7:$E$2010,$C68,'LAC 102_Wkst'!$G$7:$G$2010,$D68,'LAC 102_Wkst'!$L$7:$L$2010,"03",'LAC 102_Wkst'!$N$7:$N$2010,"P2")+SUMIFS('LAC 102_Wkst'!$Q$7:$Q$2010,'LAC 102_Wkst'!$D$7:$D$2010,$C$7,'LAC 102_Wkst'!$I$7:$I$2010,$C$9,'LAC 102_Wkst'!$E$7:$E$2010,$C68,'LAC 102_Wkst'!$G$7:$G$2010,$D68,'LAC 102_Wkst'!$L$7:$L$2010,"03",'LAC 102_Wkst'!$N$7:$N$2010,"P3")+SUMIFS('LAC 102_Wkst'!$Q$7:$Q$2010,'LAC 102_Wkst'!$D$7:$D$2010,$C$7,'LAC 102_Wkst'!$I$7:$I$2010,$C$9,'LAC 102_Wkst'!$E$7:$E$2010,$C68,'LAC 102_Wkst'!$G$7:$G$2010,$D68,'LAC 102_Wkst'!$L$7:$L$2010,"04",'LAC 102_Wkst'!$N$7:$N$2010,"P1")+SUMIFS('LAC 102_Wkst'!$Q$7:$Q$2010,'LAC 102_Wkst'!$D$7:$D$2010,$C$7,'LAC 102_Wkst'!$I$7:$I$2010,$C$9,'LAC 102_Wkst'!$E$7:$E$2010,$C68,'LAC 102_Wkst'!$G$7:$G$2010,$D68,'LAC 102_Wkst'!$L$7:$L$2010,"04",'LAC 102_Wkst'!$N$7:$N$2010,"P2")+SUMIFS('LAC 102_Wkst'!$Q$7:$Q$2010,'LAC 102_Wkst'!$D$7:$D$2010,$C$7,'LAC 102_Wkst'!$I$7:$I$2010,$C$9,'LAC 102_Wkst'!$E$7:$E$2010,$C68,'LAC 102_Wkst'!$G$7:$G$2010,$D68,'LAC 102_Wkst'!$L$7:$L$2010,"04",'LAC 102_Wkst'!$N$7:$N$2010,"P3")</f>
        <v>0</v>
      </c>
      <c r="M68" s="411">
        <f>SUMIFS('LAC 102_Wkst'!$AF$7:$AF$2010,'LAC 102_Wkst'!$D$7:$D$2010,$C$7,'LAC 102_Wkst'!$I$7:$I$2010,$C$9,'LAC 102_Wkst'!$E$7:$E$2010,$C68,'LAC 102_Wkst'!$G$7:$G$2010,$D68,'LAC 102_Wkst'!$L$7:$L$2010,"03",'LAC 102_Wkst'!$N$7:$N$2010,"P1")+SUMIFS('LAC 102_Wkst'!$AF$7:$AF$2010,'LAC 102_Wkst'!$D$7:$D$2010,$C$7,'LAC 102_Wkst'!$I$7:$I$2010,$C$9,'LAC 102_Wkst'!$E$7:$E$2010,$C68,'LAC 102_Wkst'!$G$7:$G$2010,$D68,'LAC 102_Wkst'!$L$7:$L$2010,"03",'LAC 102_Wkst'!$N$7:$N$2010,"P2")+SUMIFS('LAC 102_Wkst'!$AF$7:$AF$2010,'LAC 102_Wkst'!$D$7:$D$2010,$C$7,'LAC 102_Wkst'!$I$7:$I$2010,$C$9,'LAC 102_Wkst'!$E$7:$E$2010,$C68,'LAC 102_Wkst'!$G$7:$G$2010,$D68,'LAC 102_Wkst'!$L$7:$L$2010,"03",'LAC 102_Wkst'!$N$7:$N$2010,"P3")+SUMIFS('LAC 102_Wkst'!$AF$7:$AF$2010,'LAC 102_Wkst'!$D$7:$D$2010,$C$7,'LAC 102_Wkst'!$I$7:$I$2010,$C$9,'LAC 102_Wkst'!$E$7:$E$2010,$C68,'LAC 102_Wkst'!$G$7:$G$2010,$D68,'LAC 102_Wkst'!$L$7:$L$2010,"04",'LAC 102_Wkst'!$N$7:$N$2010,"P1")+SUMIFS('LAC 102_Wkst'!$AF$7:$AF$2010,'LAC 102_Wkst'!$D$7:$D$2010,$C$7,'LAC 102_Wkst'!$I$7:$I$2010,$C$9,'LAC 102_Wkst'!$E$7:$E$2010,$C68,'LAC 102_Wkst'!$G$7:$G$2010,$D68,'LAC 102_Wkst'!$L$7:$L$2010,"04",'LAC 102_Wkst'!$N$7:$N$2010,"P2")+SUMIFS('LAC 102_Wkst'!$AF$7:$AF$2010,'LAC 102_Wkst'!$D$7:$D$2010,$C$7,'LAC 102_Wkst'!$I$7:$I$2010,$C$9,'LAC 102_Wkst'!$E$7:$E$2010,$C68,'LAC 102_Wkst'!$G$7:$G$2010,$D68,'LAC 102_Wkst'!$L$7:$L$2010,"04",'LAC 102_Wkst'!$N$7:$N$2010,"P3")</f>
        <v>0</v>
      </c>
      <c r="N68" s="410">
        <f>SUMIFS('LAC 102_Wkst'!$Q$7:$Q$2010,'LAC 102_Wkst'!$D$7:$D$2010,$C$7,'LAC 102_Wkst'!$I$7:$I$2010,$C$9,'LAC 102_Wkst'!$E$7:$E$2010,$C68,'LAC 102_Wkst'!$G$7:$G$2010,$D68,'LAC 102_Wkst'!$L$7:$L$2010,"03",'LAC 102_Wkst'!$N$7:$N$2010,"P4")+SUMIFS('LAC 102_Wkst'!$Q$7:$Q$2010,'LAC 102_Wkst'!$D$7:$D$2010,$C$7,'LAC 102_Wkst'!$I$7:$I$2010,$C$9,'LAC 102_Wkst'!$E$7:$E$2010,$C68,'LAC 102_Wkst'!$G$7:$G$2010,$D68,'LAC 102_Wkst'!$L$7:$L$2010,"04",'LAC 102_Wkst'!$N$7:$N$2010,"P4")</f>
        <v>0</v>
      </c>
      <c r="O68" s="411">
        <f>SUMIFS('LAC 102_Wkst'!$AF$7:$AF$2010,'LAC 102_Wkst'!$D$7:$D$2010,$C$7,'LAC 102_Wkst'!$I$7:$I$2010,$C$9,'LAC 102_Wkst'!$E$7:$E$2010,$C68,'LAC 102_Wkst'!$G$7:$G$2010,$D68,'LAC 102_Wkst'!$L$7:$L$2010,"03",'LAC 102_Wkst'!$N$7:$N$2010,"P4")+SUMIFS('LAC 102_Wkst'!$AF$7:$AF$2010,'LAC 102_Wkst'!$D$7:$D$2010,$C$7,'LAC 102_Wkst'!$I$7:$I$2010,$C$9,'LAC 102_Wkst'!$E$7:$E$2010,$C68,'LAC 102_Wkst'!$G$7:$G$2010,$D68,'LAC 102_Wkst'!$L$7:$L$2010,"04",'LAC 102_Wkst'!$N$7:$N$2010,"P4")</f>
        <v>0</v>
      </c>
      <c r="P68" s="410">
        <f>SUMIFS('LAC 102_Wkst'!$Q$7:$Q$2010,'LAC 102_Wkst'!$D$7:$D$2010,$C$7,'LAC 102_Wkst'!$I$7:$I$2010,$C$9,'LAC 102_Wkst'!$E$7:$E$2010,$C68,'LAC 102_Wkst'!$G$7:$G$2010,$D68,'LAC 102_Wkst'!$L$7:$L$2010,"03",'LAC 102_Wkst'!$N$7:$N$2010,"P5")+SUMIFS('LAC 102_Wkst'!$Q$7:$Q$2010,'LAC 102_Wkst'!$D$7:$D$2010,$C$7,'LAC 102_Wkst'!$I$7:$I$2010,$C$9,'LAC 102_Wkst'!$E$7:$E$2010,$C68,'LAC 102_Wkst'!$G$7:$G$2010,$D68,'LAC 102_Wkst'!$L$7:$L$2010,"04",'LAC 102_Wkst'!$N$7:$N$2010,"P5")</f>
        <v>0</v>
      </c>
      <c r="Q68" s="411">
        <f>SUMIFS('LAC 102_Wkst'!$AF$7:$AF$2010,'LAC 102_Wkst'!$D$7:$D$2010,$C$7,'LAC 102_Wkst'!$I$7:$I$2010,$C$9,'LAC 102_Wkst'!$E$7:$E$2010,$C68,'LAC 102_Wkst'!$G$7:$G$2010,$D68,'LAC 102_Wkst'!$L$7:$L$2010,"03",'LAC 102_Wkst'!$N$7:$N$2010,"P5")+SUMIFS('LAC 102_Wkst'!$AF$7:$AF$2010,'LAC 102_Wkst'!$D$7:$D$2010,$C$7,'LAC 102_Wkst'!$I$7:$I$2010,$C$9,'LAC 102_Wkst'!$E$7:$E$2010,$C68,'LAC 102_Wkst'!$G$7:$G$2010,$D68,'LAC 102_Wkst'!$L$7:$L$2010,"04",'LAC 102_Wkst'!$N$7:$N$2010,"P5")</f>
        <v>0</v>
      </c>
      <c r="R68" s="412">
        <f>SUMIFS('LAC 102_Wkst'!$Q$7:$Q$2010,'LAC 102_Wkst'!$D$7:$D$2010,$C$7,'LAC 102_Wkst'!$I$7:$I$2010,$C$9,'LAC 102_Wkst'!$E$7:$E$2010,$C68,'LAC 102_Wkst'!$G$7:$G$2010,$D68,'LAC 102_Wkst'!$L$7:$L$2010,"05",'LAC 102_Wkst'!$N$7:$N$2010,"P1")+SUMIFS('LAC 102_Wkst'!$Q$7:$Q$2010,'LAC 102_Wkst'!$D$7:$D$2010,$C$7,'LAC 102_Wkst'!$I$7:$I$2010,$C$9,'LAC 102_Wkst'!$E$7:$E$2010,$C68,'LAC 102_Wkst'!$G$7:$G$2010,$D68,'LAC 102_Wkst'!$L$7:$L$2010,"06",'LAC 102_Wkst'!$N$7:$N$2010,"P1")</f>
        <v>0</v>
      </c>
      <c r="S68" s="411">
        <f>SUMIFS('LAC 102_Wkst'!$AF$7:$AF$2010,'LAC 102_Wkst'!$D$7:$D$2010,$C$7,'LAC 102_Wkst'!$I$7:$I$2010,$C$9,'LAC 102_Wkst'!$E$7:$E$2010,$C68,'LAC 102_Wkst'!$G$7:$G$2010,$D68,'LAC 102_Wkst'!$L$7:$L$2010,"05",'LAC 102_Wkst'!$N$7:$N$2010,"P1")+SUMIFS('LAC 102_Wkst'!$AF$7:$AF$2010,'LAC 102_Wkst'!$D$7:$D$2010,$C$7,'LAC 102_Wkst'!$I$7:$I$2010,$C$9,'LAC 102_Wkst'!$E$7:$E$2010,$C68,'LAC 102_Wkst'!$G$7:$G$2010,$D68,'LAC 102_Wkst'!$L$7:$L$2010,"06",'LAC 102_Wkst'!$N$7:$N$2010,"P1")</f>
        <v>0</v>
      </c>
      <c r="T68" s="410">
        <f>SUMIFS('LAC 102_Wkst'!$Q$7:$Q$2010,'LAC 102_Wkst'!$D$7:$D$2010,$C$7,'LAC 102_Wkst'!$I$7:$I$2010,$C$9,'LAC 102_Wkst'!$E$7:$E$2010,$C68,'LAC 102_Wkst'!$G$7:$G$2010,$D68,'LAC 102_Wkst'!$L$7:$L$2010,"05",'LAC 102_Wkst'!$N$7:$N$2010,"P2")+SUMIFS('LAC 102_Wkst'!$Q$7:$Q$2010,'LAC 102_Wkst'!$D$7:$D$2010,$C$7,'LAC 102_Wkst'!$I$7:$I$2010,$C$9,'LAC 102_Wkst'!$E$7:$E$2010,$C68,'LAC 102_Wkst'!$G$7:$G$2010,$D68,'LAC 102_Wkst'!$L$7:$L$2010,"06",'LAC 102_Wkst'!$N$7:$N$2010,"P2")+SUMIFS('LAC 102_Wkst'!$Q$7:$Q$2010,'LAC 102_Wkst'!$D$7:$D$2010,$C$7,'LAC 102_Wkst'!$I$7:$I$2010,$C$9,'LAC 102_Wkst'!$E$7:$E$2010,$C68,'LAC 102_Wkst'!$G$7:$G$2010,$D68,'LAC 102_Wkst'!$L$7:$L$2010,"05",'LAC 102_Wkst'!$N$7:$N$2010,"P3")+SUMIFS('LAC 102_Wkst'!$Q$7:$Q$2010,'LAC 102_Wkst'!$D$7:$D$2010,$C$7,'LAC 102_Wkst'!$I$7:$I$2010,$C$9,'LAC 102_Wkst'!$E$7:$E$2010,$C68,'LAC 102_Wkst'!$G$7:$G$2010,$D68,'LAC 102_Wkst'!$L$7:$L$2010,"06",'LAC 102_Wkst'!$N$7:$N$2010,"P3")</f>
        <v>0</v>
      </c>
      <c r="U68" s="411">
        <f>SUMIFS('LAC 102_Wkst'!$AF$7:$AF$2010,'LAC 102_Wkst'!$D$7:$D$2010,$C$7,'LAC 102_Wkst'!$I$7:$I$2010,$C$9,'LAC 102_Wkst'!$E$7:$E$2010,$C68,'LAC 102_Wkst'!$G$7:$G$2010,$D68,'LAC 102_Wkst'!$L$7:$L$2010,"05",'LAC 102_Wkst'!$N$7:$N$2010,"P2")+SUMIFS('LAC 102_Wkst'!$AF$7:$AF$2010,'LAC 102_Wkst'!$D$7:$D$2010,$C$7,'LAC 102_Wkst'!$I$7:$I$2010,$C$9,'LAC 102_Wkst'!$E$7:$E$2010,$C68,'LAC 102_Wkst'!$G$7:$G$2010,$D68,'LAC 102_Wkst'!$L$7:$L$2010,"06",'LAC 102_Wkst'!$N$7:$N$2010,"P2")+SUMIFS('LAC 102_Wkst'!$AF$7:$AF$2010,'LAC 102_Wkst'!$D$7:$D$2010,$C$7,'LAC 102_Wkst'!$I$7:$I$2010,$C$9,'LAC 102_Wkst'!$E$7:$E$2010,$C68,'LAC 102_Wkst'!$G$7:$G$2010,$D68,'LAC 102_Wkst'!$L$7:$L$2010,"05",'LAC 102_Wkst'!$N$7:$N$2010,"P3")+SUMIFS('LAC 102_Wkst'!$AF$7:$AF$2010,'LAC 102_Wkst'!$D$7:$D$2010,$C$7,'LAC 102_Wkst'!$I$7:$I$2010,$C$9,'LAC 102_Wkst'!$E$7:$E$2010,$C68,'LAC 102_Wkst'!$G$7:$G$2010,$D68,'LAC 102_Wkst'!$L$7:$L$2010,"06",'LAC 102_Wkst'!$N$7:$N$2010,"P3")</f>
        <v>0</v>
      </c>
      <c r="V68" s="410">
        <f>SUMIFS('LAC 102_Wkst'!$Q$7:$Q$2010,'LAC 102_Wkst'!$D$7:$D$2010,$C$7,'LAC 102_Wkst'!$I$7:$I$2010,$C$9,'LAC 102_Wkst'!$E$7:$E$2010,$C68,'LAC 102_Wkst'!$G$7:$G$2010,$D68,'LAC 102_Wkst'!$L$7:$L$2010,"05",'LAC 102_Wkst'!$N$7:$N$2010,"P4")+SUMIFS('LAC 102_Wkst'!$Q$7:$Q$2010,'LAC 102_Wkst'!$D$7:$D$2010,$C$7,'LAC 102_Wkst'!$I$7:$I$2010,$C$9,'LAC 102_Wkst'!$E$7:$E$2010,$C68,'LAC 102_Wkst'!$G$7:$G$2010,$D68,'LAC 102_Wkst'!$L$7:$L$2010,"06",'LAC 102_Wkst'!$N$7:$N$2010,"P4")</f>
        <v>0</v>
      </c>
      <c r="W68" s="411">
        <f>SUMIFS('LAC 102_Wkst'!$AF$7:$AF$2010,'LAC 102_Wkst'!$D$7:$D$2010,$C$7,'LAC 102_Wkst'!$I$7:$I$2010,$C$9,'LAC 102_Wkst'!$E$7:$E$2010,$C68,'LAC 102_Wkst'!$G$7:$G$2010,$D68,'LAC 102_Wkst'!$L$7:$L$2010,"05",'LAC 102_Wkst'!$N$7:$N$2010,"P4")+SUMIFS('LAC 102_Wkst'!$AF$7:$AF$2010,'LAC 102_Wkst'!$D$7:$D$2010,$C$7,'LAC 102_Wkst'!$I$7:$I$2010,$C$9,'LAC 102_Wkst'!$E$7:$E$2010,$C68,'LAC 102_Wkst'!$G$7:$G$2010,$D68,'LAC 102_Wkst'!$L$7:$L$2010,"06",'LAC 102_Wkst'!$N$7:$N$2010,"P4")</f>
        <v>0</v>
      </c>
      <c r="X68" s="410">
        <f>SUMIFS('LAC 102_Wkst'!$Q$7:$Q$2010,'LAC 102_Wkst'!$D$7:$D$2010,$C$7,'LAC 102_Wkst'!$I$7:$I$2010,$C$9,'LAC 102_Wkst'!$E$7:$E$2010,$C68,'LAC 102_Wkst'!$G$7:$G$2010,$D68,'LAC 102_Wkst'!$L$7:$L$2010,"05",'LAC 102_Wkst'!$N$7:$N$2010,"P5")+SUMIFS('LAC 102_Wkst'!$Q$7:$Q$2010,'LAC 102_Wkst'!$D$7:$D$2010,$C$7,'LAC 102_Wkst'!$I$7:$I$2010,$C$9,'LAC 102_Wkst'!$E$7:$E$2010,$C68,'LAC 102_Wkst'!$G$7:$G$2010,$D68,'LAC 102_Wkst'!$L$7:$L$2010,"06",'LAC 102_Wkst'!$N$7:$N$2010,"P5")</f>
        <v>0</v>
      </c>
      <c r="Y68" s="411">
        <f>SUMIFS('LAC 102_Wkst'!$AF$7:$AF$2010,'LAC 102_Wkst'!$D$7:$D$2010,$C$7,'LAC 102_Wkst'!$I$7:$I$2010,$C$9,'LAC 102_Wkst'!$E$7:$E$2010,$C68,'LAC 102_Wkst'!$G$7:$G$2010,$D68,'LAC 102_Wkst'!$L$7:$L$2010,"05",'LAC 102_Wkst'!$N$7:$N$2010,"P5")+SUMIFS('LAC 102_Wkst'!$AF$7:$AF$2010,'LAC 102_Wkst'!$D$7:$D$2010,$C$7,'LAC 102_Wkst'!$I$7:$I$2010,$C$9,'LAC 102_Wkst'!$E$7:$E$2010,$C68,'LAC 102_Wkst'!$G$7:$G$2010,$D68,'LAC 102_Wkst'!$L$7:$L$2010,"06",'LAC 102_Wkst'!$N$7:$N$2010,"P5")</f>
        <v>0</v>
      </c>
      <c r="Z68" s="410">
        <f>SUMIFS('LAC 102_Wkst'!$Q$7:$Q$2010,'LAC 102_Wkst'!$D$7:$D$2010,$C$7,'LAC 102_Wkst'!$I$7:$I$2010,$C$9,'LAC 102_Wkst'!$E$7:$E$2010,$C68,'LAC 102_Wkst'!$G$7:$G$2010,$D68,'LAC 102_Wkst'!$L$7:$L$2010,"07",'LAC 102_Wkst'!$N$7:$N$2010,"P1")+SUMIFS('LAC 102_Wkst'!$Q$7:$Q$2010,'LAC 102_Wkst'!$D$7:$D$2010,$C$7,'LAC 102_Wkst'!$I$7:$I$2010,$C$9,'LAC 102_Wkst'!$E$7:$E$2010,$C68,'LAC 102_Wkst'!$G$7:$G$2010,$D68,'LAC 102_Wkst'!$L$7:$L$2010,"07",'LAC 102_Wkst'!$N$7:$N$2010,"P2")+SUMIFS('LAC 102_Wkst'!$Q$7:$Q$2010,'LAC 102_Wkst'!$D$7:$D$2010,$C$7,'LAC 102_Wkst'!$I$7:$I$2010,$C$9,'LAC 102_Wkst'!$E$7:$E$2010,$C68,'LAC 102_Wkst'!$G$7:$G$2010,$D68,'LAC 102_Wkst'!$L$7:$L$2010,"07",'LAC 102_Wkst'!$N$7:$N$2010,"P3")</f>
        <v>0</v>
      </c>
      <c r="AA68" s="411">
        <f>SUMIFS('LAC 102_Wkst'!$AF$7:$AF$2010,'LAC 102_Wkst'!$D$7:$D$2010,$C$7,'LAC 102_Wkst'!$I$7:$I$2010,$C$9,'LAC 102_Wkst'!$E$7:$E$2010,$C68,'LAC 102_Wkst'!$G$7:$G$2010,$D68,'LAC 102_Wkst'!$L$7:$L$2010,"07",'LAC 102_Wkst'!$N$7:$N$2010,"P1")+SUMIFS('LAC 102_Wkst'!$AF$7:$AF$2010,'LAC 102_Wkst'!$D$7:$D$2010,$C$7,'LAC 102_Wkst'!$I$7:$I$2010,$C$9,'LAC 102_Wkst'!$E$7:$E$2010,$C68,'LAC 102_Wkst'!$G$7:$G$2010,$D68,'LAC 102_Wkst'!$L$7:$L$2010,"07",'LAC 102_Wkst'!$N$7:$N$2010,"P2")+SUMIFS('LAC 102_Wkst'!$AF$7:$AF$2010,'LAC 102_Wkst'!$D$7:$D$2010,$C$7,'LAC 102_Wkst'!$I$7:$I$2010,$C$9,'LAC 102_Wkst'!$E$7:$E$2010,$C68,'LAC 102_Wkst'!$G$7:$G$2010,$D68,'LAC 102_Wkst'!$L$7:$L$2010,"07",'LAC 102_Wkst'!$N$7:$N$2010,"P3")</f>
        <v>0</v>
      </c>
      <c r="AB68" s="410">
        <f>SUMIFS('LAC 102_Wkst'!$Q$7:$Q$2010,'LAC 102_Wkst'!$D$7:$D$2010,$C$7,'LAC 102_Wkst'!$I$7:$I$2010,$C$9,'LAC 102_Wkst'!$E$7:$E$2010,$C68,'LAC 102_Wkst'!$G$7:$G$2010,$D68,'LAC 102_Wkst'!$L$7:$L$2010,"07",'LAC 102_Wkst'!$N$7:$N$2010,"P4")</f>
        <v>0</v>
      </c>
      <c r="AC68" s="411">
        <f>SUMIFS('LAC 102_Wkst'!$AF$7:$AF$2010,'LAC 102_Wkst'!$D$7:$D$2010,$C$7,'LAC 102_Wkst'!$I$7:$I$2010,$C$9,'LAC 102_Wkst'!$E$7:$E$2010,$C68,'LAC 102_Wkst'!$G$7:$G$2010,$D68,'LAC 102_Wkst'!$L$7:$L$2010,"07",'LAC 102_Wkst'!$N$7:$N$2010,"P4")</f>
        <v>0</v>
      </c>
      <c r="AD68" s="410">
        <f>SUMIFS('LAC 102_Wkst'!$Q$7:$Q$2010,'LAC 102_Wkst'!$D$7:$D$2010,$C$7,'LAC 102_Wkst'!$I$7:$I$2010,$C$9,'LAC 102_Wkst'!$E$7:$E$2010,$C68,'LAC 102_Wkst'!$G$7:$G$2010,$D68,'LAC 102_Wkst'!$L$7:$L$2010,"07",'LAC 102_Wkst'!$N$7:$N$2010,"P5")</f>
        <v>0</v>
      </c>
      <c r="AE68" s="411">
        <f>SUMIFS('LAC 102_Wkst'!$AF$7:$AF$2010,'LAC 102_Wkst'!$D$7:$D$2010,$C$7,'LAC 102_Wkst'!$I$7:$I$2010,$C$9,'LAC 102_Wkst'!$E$7:$E$2010,$C68,'LAC 102_Wkst'!$G$7:$G$2010,$D68,'LAC 102_Wkst'!$L$7:$L$2010,"07",'LAC 102_Wkst'!$N$7:$N$2010,"P5")</f>
        <v>0</v>
      </c>
      <c r="AF68" s="410">
        <f>SUMIFS('LAC 102_Wkst'!$Q$7:$Q$2010,'LAC 102_Wkst'!$D$7:$D$2010,$C$7,'LAC 102_Wkst'!$I$7:$I$2010,$C$9,'LAC 102_Wkst'!$E$7:$E$2010,$C68,'LAC 102_Wkst'!$G$7:$G$2010,$D68,'LAC 102_Wkst'!$L$7:$L$2010,"08",'LAC 102_Wkst'!$N$7:$N$2010,"P1")+SUMIFS('LAC 102_Wkst'!$Q$7:$Q$2010,'LAC 102_Wkst'!$D$7:$D$2010,$C$7,'LAC 102_Wkst'!$I$7:$I$2010,$C$9,'LAC 102_Wkst'!$E$7:$E$2010,$C68,'LAC 102_Wkst'!$G$7:$G$2010,$D68,'LAC 102_Wkst'!$L$7:$L$2010,"08",'LAC 102_Wkst'!$N$7:$N$2010,"P2")+SUMIFS('LAC 102_Wkst'!$Q$7:$Q$2010,'LAC 102_Wkst'!$D$7:$D$2010,$C$7,'LAC 102_Wkst'!$I$7:$I$2010,$C$9,'LAC 102_Wkst'!$E$7:$E$2010,$C68,'LAC 102_Wkst'!$G$7:$G$2010,$D68,'LAC 102_Wkst'!$L$7:$L$2010,"08",'LAC 102_Wkst'!$N$7:$N$2010,"P3")</f>
        <v>0</v>
      </c>
      <c r="AG68" s="411">
        <f>SUMIFS('LAC 102_Wkst'!$AF$7:$AF$2010,'LAC 102_Wkst'!$D$7:$D$2010,$C$7,'LAC 102_Wkst'!$I$7:$I$2010,$C$9,'LAC 102_Wkst'!$E$7:$E$2010,$C68,'LAC 102_Wkst'!$G$7:$G$2010,$D68,'LAC 102_Wkst'!$L$7:$L$2010,"08",'LAC 102_Wkst'!$N$7:$N$2010,"P1")+SUMIFS('LAC 102_Wkst'!$AF$7:$AF$2010,'LAC 102_Wkst'!$D$7:$D$2010,$C$7,'LAC 102_Wkst'!$I$7:$I$2010,$C$9,'LAC 102_Wkst'!$E$7:$E$2010,$C68,'LAC 102_Wkst'!$G$7:$G$2010,$D68,'LAC 102_Wkst'!$L$7:$L$2010,"08",'LAC 102_Wkst'!$N$7:$N$2010,"P2")+SUMIFS('LAC 102_Wkst'!$AF$7:$AF$2010,'LAC 102_Wkst'!$D$7:$D$2010,$C$7,'LAC 102_Wkst'!$I$7:$I$2010,$C$9,'LAC 102_Wkst'!$E$7:$E$2010,$C68,'LAC 102_Wkst'!$G$7:$G$2010,$D68,'LAC 102_Wkst'!$L$7:$L$2010,"08",'LAC 102_Wkst'!$N$7:$N$2010,"P3")</f>
        <v>0</v>
      </c>
      <c r="AH68" s="410">
        <f>SUMIFS('LAC 102_Wkst'!$Q$7:$Q$2010,'LAC 102_Wkst'!$D$7:$D$2010,$C$7,'LAC 102_Wkst'!$I$7:$I$2010,$C$9,'LAC 102_Wkst'!$E$7:$E$2010,$C68,'LAC 102_Wkst'!$G$7:$G$2010,$D68,'LAC 102_Wkst'!$L$7:$L$2010,"08",'LAC 102_Wkst'!$N$7:$N$2010,"P4")</f>
        <v>0</v>
      </c>
      <c r="AI68" s="411">
        <f>SUMIFS('LAC 102_Wkst'!$AF$7:$AF$2010,'LAC 102_Wkst'!$D$7:$D$2010,$C$7,'LAC 102_Wkst'!$I$7:$I$2010,$C$9,'LAC 102_Wkst'!$E$7:$E$2010,$C68,'LAC 102_Wkst'!$G$7:$G$2010,$D68,'LAC 102_Wkst'!$L$7:$L$2010,"08",'LAC 102_Wkst'!$N$7:$N$2010,"P4")</f>
        <v>0</v>
      </c>
      <c r="AJ68" s="410">
        <f>SUMIFS('LAC 102_Wkst'!$Q$7:$Q$2010,'LAC 102_Wkst'!$D$7:$D$2010,$C$7,'LAC 102_Wkst'!$I$7:$I$2010,$C$9,'LAC 102_Wkst'!$E$7:$E$2010,$C68,'LAC 102_Wkst'!$G$7:$G$2010,$D68,'LAC 102_Wkst'!$L$7:$L$2010,"08",'LAC 102_Wkst'!$N$7:$N$2010,"P5")</f>
        <v>0</v>
      </c>
      <c r="AK68" s="411">
        <f>SUMIFS('LAC 102_Wkst'!$AF$7:$AF$2010,'LAC 102_Wkst'!$D$7:$D$2010,$C$7,'LAC 102_Wkst'!$I$7:$I$2010,$C$9,'LAC 102_Wkst'!$E$7:$E$2010,$C68,'LAC 102_Wkst'!$G$7:$G$2010,$D68,'LAC 102_Wkst'!$L$7:$L$2010,"08",'LAC 102_Wkst'!$N$7:$N$2010,"P5")</f>
        <v>0</v>
      </c>
      <c r="AL68" s="410">
        <f>SUMIFS('LAC 102_Wkst'!$Q$7:$Q$2010,'LAC 102_Wkst'!$D$7:$D$2010,$C$7,'LAC 102_Wkst'!$I$7:$I$2010,$C$9,'LAC 102_Wkst'!$E$7:$E$2010,$C68,'LAC 102_Wkst'!$G$7:$G$2010,$D68,'LAC 102_Wkst'!$L$7:$L$2010,"09",'LAC 102_Wkst'!$N$7:$N$2010,"P1")+SUMIFS('LAC 102_Wkst'!$Q$7:$Q$2010,'LAC 102_Wkst'!$D$7:$D$2010,$C$7,'LAC 102_Wkst'!$I$7:$I$2010,$C$9,'LAC 102_Wkst'!$E$7:$E$2010,$C68,'LAC 102_Wkst'!$G$7:$G$2010,$D68,'LAC 102_Wkst'!$L$7:$L$2010,"09",'LAC 102_Wkst'!$N$7:$N$2010,"P2")+SUMIFS('LAC 102_Wkst'!$Q$7:$Q$2010,'LAC 102_Wkst'!$D$7:$D$2010,$C$7,'LAC 102_Wkst'!$I$7:$I$2010,$C$9,'LAC 102_Wkst'!$E$7:$E$2010,$C68,'LAC 102_Wkst'!$G$7:$G$2010,$D68,'LAC 102_Wkst'!$L$7:$L$2010,"09",'LAC 102_Wkst'!$N$7:$N$2010,"P3")+SUMIFS('LAC 102_Wkst'!$Q$7:$Q$2010,'LAC 102_Wkst'!$D$7:$D$2010,$C$7,'LAC 102_Wkst'!$I$7:$I$2010,$C$9,'LAC 102_Wkst'!$E$7:$E$2010,$C68,'LAC 102_Wkst'!$G$7:$G$2010,$D68,'LAC 102_Wkst'!$L$7:$L$2010,"09",'LAC 102_Wkst'!$N$7:$N$2010,"P4")</f>
        <v>0</v>
      </c>
      <c r="AM68" s="411">
        <f>SUMIFS('LAC 102_Wkst'!$AF$7:$AF$2010,'LAC 102_Wkst'!$D$7:$D$2010,$C$7,'LAC 102_Wkst'!$I$7:$I$2010,$C$9,'LAC 102_Wkst'!$E$7:$E$2010,$C68,'LAC 102_Wkst'!$G$7:$G$2010,$D68,'LAC 102_Wkst'!$L$7:$L$2010,"09",'LAC 102_Wkst'!$N$7:$N$2010,"P1")+SUMIFS('LAC 102_Wkst'!$AF$7:$AF$2010,'LAC 102_Wkst'!$D$7:$D$2010,$C$7,'LAC 102_Wkst'!$I$7:$I$2010,$C$9,'LAC 102_Wkst'!$E$7:$E$2010,$C68,'LAC 102_Wkst'!$G$7:$G$2010,$D68,'LAC 102_Wkst'!$L$7:$L$2010,"09",'LAC 102_Wkst'!$N$7:$N$2010,"P2")+SUMIFS('LAC 102_Wkst'!$AF$7:$AF$2010,'LAC 102_Wkst'!$D$7:$D$2010,$C$7,'LAC 102_Wkst'!$I$7:$I$2010,$C$9,'LAC 102_Wkst'!$E$7:$E$2010,$C68,'LAC 102_Wkst'!$G$7:$G$2010,$D68,'LAC 102_Wkst'!$L$7:$L$2010,"09",'LAC 102_Wkst'!$N$7:$N$2010,"P3")+SUMIFS('LAC 102_Wkst'!$AF$7:$AF$2010,'LAC 102_Wkst'!$D$7:$D$2010,$C$7,'LAC 102_Wkst'!$I$7:$I$2010,$C$9,'LAC 102_Wkst'!$E$7:$E$2010,$C68,'LAC 102_Wkst'!$G$7:$G$2010,$D68,'LAC 102_Wkst'!$L$7:$L$2010,"09",'LAC 102_Wkst'!$N$7:$N$2010,"P4")</f>
        <v>0</v>
      </c>
      <c r="AN68" s="410">
        <f>SUMIFS('LAC 102_Wkst'!$Q$7:$Q$2010,'LAC 102_Wkst'!$D$7:$D$2010,$C$7,'LAC 102_Wkst'!$I$7:$I$2010,$C$9,'LAC 102_Wkst'!$E$7:$E$2010,$C68,'LAC 102_Wkst'!$G$7:$G$2010,$D68,'LAC 102_Wkst'!$L$7:$L$2010,"09",'LAC 102_Wkst'!$N$7:$N$2010,"P5")</f>
        <v>0</v>
      </c>
      <c r="AO68" s="411">
        <f>SUMIFS('LAC 102_Wkst'!$AF$7:$AF$2010,'LAC 102_Wkst'!$D$7:$D$2010,$C$7,'LAC 102_Wkst'!$I$7:$I$2010,$C$9,'LAC 102_Wkst'!$E$7:$E$2010,$C68,'LAC 102_Wkst'!$G$7:$G$2010,$D68,'LAC 102_Wkst'!$L$7:$L$2010,"09",'LAC 102_Wkst'!$N$7:$N$2010,"P5")</f>
        <v>0</v>
      </c>
      <c r="AP68" s="410">
        <f>SUMIFS('LAC 102_Wkst'!$Q$7:$Q$2010,'LAC 102_Wkst'!$D$7:$D$2010,$C$7,'LAC 102_Wkst'!$I$7:$I$2010,$C$9,'LAC 102_Wkst'!$E$7:$E$2010,$C68,'LAC 102_Wkst'!$G$7:$G$2010,$D68,'LAC 102_Wkst'!$L$7:$L$2010,"10",'LAC 102_Wkst'!$N$7:$N$2010,"P1")+SUMIFS('LAC 102_Wkst'!$Q$7:$Q$2010,'LAC 102_Wkst'!$D$7:$D$2010,$C$7,'LAC 102_Wkst'!$I$7:$I$2010,$C$9,'LAC 102_Wkst'!$E$7:$E$2010,$C68,'LAC 102_Wkst'!$G$7:$G$2010,$D68,'LAC 102_Wkst'!$L$7:$L$2010,"10",'LAC 102_Wkst'!$N$7:$N$2010,"P2")+SUMIFS('LAC 102_Wkst'!$Q$7:$Q$2010,'LAC 102_Wkst'!$D$7:$D$2010,$C$7,'LAC 102_Wkst'!$I$7:$I$2010,$C$9,'LAC 102_Wkst'!$E$7:$E$2010,$C68,'LAC 102_Wkst'!$G$7:$G$2010,$D68,'LAC 102_Wkst'!$L$7:$L$2010,"10",'LAC 102_Wkst'!$N$7:$N$2010,"P3")+SUMIFS('LAC 102_Wkst'!$Q$7:$Q$2010,'LAC 102_Wkst'!$D$7:$D$2010,$C$7,'LAC 102_Wkst'!$I$7:$I$2010,$C$9,'LAC 102_Wkst'!$E$7:$E$2010,$C68,'LAC 102_Wkst'!$G$7:$G$2010,$D68,'LAC 102_Wkst'!$L$7:$L$2010,"10",'LAC 102_Wkst'!$N$7:$N$2010,"P4")</f>
        <v>0</v>
      </c>
      <c r="AQ68" s="411">
        <f>SUMIFS('LAC 102_Wkst'!$AF$7:$AF$2010,'LAC 102_Wkst'!$D$7:$D$2010,$C$7,'LAC 102_Wkst'!$I$7:$I$2010,$C$9,'LAC 102_Wkst'!$E$7:$E$2010,$C68,'LAC 102_Wkst'!$G$7:$G$2010,$D68,'LAC 102_Wkst'!$L$7:$L$2010,"10",'LAC 102_Wkst'!$N$7:$N$2010,"P1")+SUMIFS('LAC 102_Wkst'!$AF$7:$AF$2010,'LAC 102_Wkst'!$D$7:$D$2010,$C$7,'LAC 102_Wkst'!$I$7:$I$2010,$C$9,'LAC 102_Wkst'!$E$7:$E$2010,$C68,'LAC 102_Wkst'!$G$7:$G$2010,$D68,'LAC 102_Wkst'!$L$7:$L$2010,"10",'LAC 102_Wkst'!$N$7:$N$2010,"P2")+SUMIFS('LAC 102_Wkst'!$AF$7:$AF$2010,'LAC 102_Wkst'!$D$7:$D$2010,$C$7,'LAC 102_Wkst'!$I$7:$I$2010,$C$9,'LAC 102_Wkst'!$E$7:$E$2010,$C68,'LAC 102_Wkst'!$G$7:$G$2010,$D68,'LAC 102_Wkst'!$L$7:$L$2010,"10",'LAC 102_Wkst'!$N$7:$N$2010,"P3")+SUMIFS('LAC 102_Wkst'!$AF$7:$AF$2010,'LAC 102_Wkst'!$D$7:$D$2010,$C$7,'LAC 102_Wkst'!$I$7:$I$2010,$C$9,'LAC 102_Wkst'!$E$7:$E$2010,$C68,'LAC 102_Wkst'!$G$7:$G$2010,$D68,'LAC 102_Wkst'!$L$7:$L$2010,"10",'LAC 102_Wkst'!$N$7:$N$2010,"P4")</f>
        <v>0</v>
      </c>
      <c r="AR68" s="410">
        <f>SUMIFS('LAC 102_Wkst'!$Q$7:$Q$2010,'LAC 102_Wkst'!$D$7:$D$2010,$C$7,'LAC 102_Wkst'!$I$7:$I$2010,$C$9,'LAC 102_Wkst'!$E$7:$E$2010,$C68,'LAC 102_Wkst'!$G$7:$G$2010,$D68,'LAC 102_Wkst'!$L$7:$L$2010,"10",'LAC 102_Wkst'!$N$7:$N$2010,"P5")</f>
        <v>0</v>
      </c>
      <c r="AS68" s="411">
        <f>SUMIFS('LAC 102_Wkst'!$AF$7:$AF$2010,'LAC 102_Wkst'!$D$7:$D$2010,$C$7,'LAC 102_Wkst'!$I$7:$I$2010,$C$9,'LAC 102_Wkst'!$E$7:$E$2010,$C68,'LAC 102_Wkst'!$G$7:$G$2010,$D68,'LAC 102_Wkst'!$L$7:$L$2010,"10",'LAC 102_Wkst'!$N$7:$N$2010,"P5")</f>
        <v>0</v>
      </c>
      <c r="AT68" s="410">
        <f>SUMIFS('LAC 102_Wkst'!$Q$7:$Q$2010,'LAC 102_Wkst'!$D$7:$D$2010,$C$7,'LAC 102_Wkst'!$I$7:$I$2010,$C$9,'LAC 102_Wkst'!$E$7:$E$2010,$C68,'LAC 102_Wkst'!$G$7:$G$2010,$D68,'LAC 102_Wkst'!$L$7:$L$2010,"11",'LAC 102_Wkst'!$N$7:$N$2010,"P1")+SUMIFS('LAC 102_Wkst'!$Q$7:$Q$2010,'LAC 102_Wkst'!$D$7:$D$2010,$C$7,'LAC 102_Wkst'!$I$7:$I$2010,$C$9,'LAC 102_Wkst'!$E$7:$E$2010,$C68,'LAC 102_Wkst'!$G$7:$G$2010,$D68,'LAC 102_Wkst'!$L$7:$L$2010,"12",'LAC 102_Wkst'!$N$7:$N$2010,"P1")</f>
        <v>0</v>
      </c>
      <c r="AU68" s="411">
        <f>SUMIFS('LAC 102_Wkst'!$Q$7:$Q$2010,'LAC 102_Wkst'!$D$7:$D$2010,$C$7,'LAC 102_Wkst'!$I$7:$I$2010,$C$9,'LAC 102_Wkst'!$E$7:$E$2010,$C68,'LAC 102_Wkst'!$G$7:$G$2010,$D68,'LAC 102_Wkst'!$L$7:$L$2010,"13",'LAC 102_Wkst'!$N$7:$N$2010,"P5")</f>
        <v>0</v>
      </c>
      <c r="AV68" s="410">
        <f>SUMIFS('LAC 102_Wkst'!$Q$7:$Q$2010,'LAC 102_Wkst'!$D$7:$D$2010,$C$7,'LAC 102_Wkst'!$I$7:$I$2010,$C$9,'LAC 102_Wkst'!$E$7:$E$2010,$C68,'LAC 102_Wkst'!$G$7:$G$2010,$D68,'LAC 102_Wkst'!$L$7:$L$2010,"11",'LAC 102_Wkst'!$N$7:$N$2010,"P2")+SUMIFS('LAC 102_Wkst'!$Q$7:$Q$2010,'LAC 102_Wkst'!$D$7:$D$2010,$C$7,'LAC 102_Wkst'!$I$7:$I$2010,$C$9,'LAC 102_Wkst'!$E$7:$E$2010,$C68,'LAC 102_Wkst'!$G$7:$G$2010,$D68,'LAC 102_Wkst'!$L$7:$L$2010,"12",'LAC 102_Wkst'!$N$7:$N$2010,"P2")+SUMIFS('LAC 102_Wkst'!$Q$7:$Q$2010,'LAC 102_Wkst'!$D$7:$D$2010,$C$7,'LAC 102_Wkst'!$I$7:$I$2010,$C$9,'LAC 102_Wkst'!$E$7:$E$2010,$C68,'LAC 102_Wkst'!$G$7:$G$2010,$D68,'LAC 102_Wkst'!$L$7:$L$2010,"11",'LAC 102_Wkst'!$N$7:$N$2010,"P3")+SUMIFS('LAC 102_Wkst'!$Q$7:$Q$2010,'LAC 102_Wkst'!$D$7:$D$2010,$C$7,'LAC 102_Wkst'!$I$7:$I$2010,$C$9,'LAC 102_Wkst'!$E$7:$E$2010,$C68,'LAC 102_Wkst'!$G$7:$G$2010,$D68,'LAC 102_Wkst'!$L$7:$L$2010,"12",'LAC 102_Wkst'!$N$7:$N$2010,"P3")</f>
        <v>0</v>
      </c>
      <c r="AW68" s="411">
        <f>SUMIFS('LAC 102_Wkst'!$AF$7:$AF$2010,'LAC 102_Wkst'!$D$7:$D$2010,$C$7,'LAC 102_Wkst'!$I$7:$I$2010,$C$9,'LAC 102_Wkst'!$E$7:$E$2010,$C68,'LAC 102_Wkst'!$G$7:$G$2010,$D68,'LAC 102_Wkst'!$L$7:$L$2010,"11",'LAC 102_Wkst'!$N$7:$N$2010,"P2")+SUMIFS('LAC 102_Wkst'!$AF$7:$AF$2010,'LAC 102_Wkst'!$D$7:$D$2010,$C$7,'LAC 102_Wkst'!$I$7:$I$2010,$C$9,'LAC 102_Wkst'!$E$7:$E$2010,$C68,'LAC 102_Wkst'!$G$7:$G$2010,$D68,'LAC 102_Wkst'!$L$7:$L$2010,"12",'LAC 102_Wkst'!$N$7:$N$2010,"P2")+SUMIFS('LAC 102_Wkst'!$AF$7:$AF$2010,'LAC 102_Wkst'!$D$7:$D$2010,$C$7,'LAC 102_Wkst'!$I$7:$I$2010,$C$9,'LAC 102_Wkst'!$E$7:$E$2010,$C68,'LAC 102_Wkst'!$G$7:$G$2010,$D68,'LAC 102_Wkst'!$L$7:$L$2010,"11",'LAC 102_Wkst'!$N$7:$N$2010,"P3")+SUMIFS('LAC 102_Wkst'!$AF$7:$AF$2010,'LAC 102_Wkst'!$D$7:$D$2010,$C$7,'LAC 102_Wkst'!$I$7:$I$2010,$C$9,'LAC 102_Wkst'!$E$7:$E$2010,$C68,'LAC 102_Wkst'!$G$7:$G$2010,$D68,'LAC 102_Wkst'!$L$7:$L$2010,"12",'LAC 102_Wkst'!$N$7:$N$2010,"P3")</f>
        <v>0</v>
      </c>
      <c r="AX68" s="410">
        <f>SUMIFS('LAC 102_Wkst'!$Q$7:$Q$2010,'LAC 102_Wkst'!$D$7:$D$2010,$C$7,'LAC 102_Wkst'!$I$7:$I$2010,$C$9,'LAC 102_Wkst'!$E$7:$E$2010,$C68,'LAC 102_Wkst'!$G$7:$G$2010,$D68,'LAC 102_Wkst'!$L$7:$L$2010,"11",'LAC 102_Wkst'!$N$7:$N$2010,"P4")+SUMIFS('LAC 102_Wkst'!$Q$7:$Q$2010,'LAC 102_Wkst'!$D$7:$D$2010,$C$7,'LAC 102_Wkst'!$I$7:$I$2010,$C$9,'LAC 102_Wkst'!$E$7:$E$2010,$C68,'LAC 102_Wkst'!$G$7:$G$2010,$D68,'LAC 102_Wkst'!$L$7:$L$2010,"12",'LAC 102_Wkst'!$N$7:$N$2010,"P4")</f>
        <v>0</v>
      </c>
      <c r="AY68" s="411">
        <f>SUMIFS('LAC 102_Wkst'!$AF$7:$AF$2010,'LAC 102_Wkst'!$D$7:$D$2010,$C$7,'LAC 102_Wkst'!$I$7:$I$2010,$C$9,'LAC 102_Wkst'!$E$7:$E$2010,$C68,'LAC 102_Wkst'!$G$7:$G$2010,$D68,'LAC 102_Wkst'!$L$7:$L$2010,"11",'LAC 102_Wkst'!$N$7:$N$2010,"P4")+SUMIFS('LAC 102_Wkst'!$AF$7:$AF$2010,'LAC 102_Wkst'!$D$7:$D$2010,$C$7,'LAC 102_Wkst'!$I$7:$I$2010,$C$9,'LAC 102_Wkst'!$E$7:$E$2010,$C68,'LAC 102_Wkst'!$G$7:$G$2010,$D68,'LAC 102_Wkst'!$L$7:$L$2010,"12",'LAC 102_Wkst'!$N$7:$N$2010,"P4")</f>
        <v>0</v>
      </c>
      <c r="AZ68" s="410">
        <f>SUMIFS('LAC 102_Wkst'!$Q$7:$Q$2010,'LAC 102_Wkst'!$D$7:$D$2010,$C$7,'LAC 102_Wkst'!$I$7:$I$2010,$C$9,'LAC 102_Wkst'!$E$7:$E$2010,$C68,'LAC 102_Wkst'!$G$7:$G$2010,$D68,'LAC 102_Wkst'!$L$7:$L$2010,"11",'LAC 102_Wkst'!$N$7:$N$2010,"P5")+SUMIFS('LAC 102_Wkst'!$Q$7:$Q$2010,'LAC 102_Wkst'!$D$7:$D$2010,$C$7,'LAC 102_Wkst'!$I$7:$I$2010,$C$9,'LAC 102_Wkst'!$E$7:$E$2010,$C68,'LAC 102_Wkst'!$G$7:$G$2010,$D68,'LAC 102_Wkst'!$L$7:$L$2010,"12",'LAC 102_Wkst'!$N$7:$N$2010,"P5")</f>
        <v>0</v>
      </c>
      <c r="BA68" s="411">
        <f>SUMIFS('LAC 102_Wkst'!$AF$7:$AF$2010,'LAC 102_Wkst'!$D$7:$D$2010,$C$7,'LAC 102_Wkst'!$I$7:$I$2010,$C$9,'LAC 102_Wkst'!$E$7:$E$2010,$C68,'LAC 102_Wkst'!$G$7:$G$2010,$D68,'LAC 102_Wkst'!$L$7:$L$2010,"11",'LAC 102_Wkst'!$N$7:$N$2010,"P5")+SUMIFS('LAC 102_Wkst'!$AF$7:$AF$2010,'LAC 102_Wkst'!$D$7:$D$2010,$C$7,'LAC 102_Wkst'!$I$7:$I$2010,$C$9,'LAC 102_Wkst'!$E$7:$E$2010,$C68,'LAC 102_Wkst'!$G$7:$G$2010,$D68,'LAC 102_Wkst'!$L$7:$L$2010,"12",'LAC 102_Wkst'!$N$7:$N$2010,"P5")</f>
        <v>0</v>
      </c>
      <c r="BB68" s="410">
        <f>SUMIFS('LAC 102_Wkst'!$Q$7:$Q$2010,'LAC 102_Wkst'!$D$7:$D$2010,$C$7,'LAC 102_Wkst'!$I$7:$I$2010,$C$9,'LAC 102_Wkst'!$E$7:$E$2010,$C68,'LAC 102_Wkst'!$G$7:$G$2010,$D68,'LAC 102_Wkst'!$L$7:$L$2010,"13",'LAC 102_Wkst'!$N$7:$N$2010,"P1")+SUMIFS('LAC 102_Wkst'!$Q$7:$Q$2010,'LAC 102_Wkst'!$D$7:$D$2010,$C$7,'LAC 102_Wkst'!$I$7:$I$2010,$C$9,'LAC 102_Wkst'!$E$7:$E$2010,$C68,'LAC 102_Wkst'!$G$7:$G$2010,$D68,'LAC 102_Wkst'!$L$7:$L$2010,"13",'LAC 102_Wkst'!$N$7:$N$2010,"P2")+SUMIFS('LAC 102_Wkst'!$Q$7:$Q$2010,'LAC 102_Wkst'!$D$7:$D$2010,$C$7,'LAC 102_Wkst'!$I$7:$I$2010,$C$9,'LAC 102_Wkst'!$E$7:$E$2010,$C68,'LAC 102_Wkst'!$G$7:$G$2010,$D68,'LAC 102_Wkst'!$L$7:$L$2010,"13",'LAC 102_Wkst'!$N$7:$N$2010,"P3")+SUMIFS('LAC 102_Wkst'!$Q$7:$Q$2010,'LAC 102_Wkst'!$D$7:$D$2010,$C$7,'LAC 102_Wkst'!$I$7:$I$2010,$C$9,'LAC 102_Wkst'!$E$7:$E$2010,$C68,'LAC 102_Wkst'!$G$7:$G$2010,$D68,'LAC 102_Wkst'!$L$7:$L$2010,"13",'LAC 102_Wkst'!$N$7:$N$2010,"P4")</f>
        <v>0</v>
      </c>
      <c r="BC68" s="411">
        <f>SUMIFS('LAC 102_Wkst'!$AF$7:$AF$2010,'LAC 102_Wkst'!$D$7:$D$2010,$C$7,'LAC 102_Wkst'!$I$7:$I$2010,$C$9,'LAC 102_Wkst'!$E$7:$E$2010,$C68,'LAC 102_Wkst'!$G$7:$G$2010,$D68,'LAC 102_Wkst'!$L$7:$L$2010,"13",'LAC 102_Wkst'!$N$7:$N$2010,"P1")+SUMIFS('LAC 102_Wkst'!$AF$7:$AF$2010,'LAC 102_Wkst'!$D$7:$D$2010,$C$7,'LAC 102_Wkst'!$I$7:$I$2010,$C$9,'LAC 102_Wkst'!$E$7:$E$2010,$C68,'LAC 102_Wkst'!$G$7:$G$2010,$D68,'LAC 102_Wkst'!$L$7:$L$2010,"13",'LAC 102_Wkst'!$N$7:$N$2010,"P2")+SUMIFS('LAC 102_Wkst'!$AF$7:$AF$2010,'LAC 102_Wkst'!$D$7:$D$2010,$C$7,'LAC 102_Wkst'!$I$7:$I$2010,$C$9,'LAC 102_Wkst'!$E$7:$E$2010,$C68,'LAC 102_Wkst'!$G$7:$G$2010,$D68,'LAC 102_Wkst'!$L$7:$L$2010,"13",'LAC 102_Wkst'!$N$7:$N$2010,"P3")+SUMIFS('LAC 102_Wkst'!$AF$7:$AF$2010,'LAC 102_Wkst'!$D$7:$D$2010,$C$7,'LAC 102_Wkst'!$I$7:$I$2010,$C$9,'LAC 102_Wkst'!$E$7:$E$2010,$C68,'LAC 102_Wkst'!$G$7:$G$2010,$D68,'LAC 102_Wkst'!$L$7:$L$2010,"13",'LAC 102_Wkst'!$N$7:$N$2010,"P4")</f>
        <v>0</v>
      </c>
      <c r="BD68" s="410">
        <f>SUMIFS('LAC 102_Wkst'!$Q$7:$Q$2010,'LAC 102_Wkst'!$D$7:$D$2010,$C$7,'LAC 102_Wkst'!$I$7:$I$2010,$C$9,'LAC 102_Wkst'!$E$7:$E$2010,$C68,'LAC 102_Wkst'!$G$7:$G$2010,$D68,'LAC 102_Wkst'!$L$7:$L$2010,"13",'LAC 102_Wkst'!$N$7:$N$2010,"P5")</f>
        <v>0</v>
      </c>
      <c r="BE68" s="411">
        <f>SUMIFS('LAC 102_Wkst'!$AF$7:$AF$2010,'LAC 102_Wkst'!$D$7:$D$2010,$C$7,'LAC 102_Wkst'!$I$7:$I$2010,$C$9,'LAC 102_Wkst'!$E$7:$E$2010,$C68,'LAC 102_Wkst'!$G$7:$G$2010,$D68,'LAC 102_Wkst'!$L$7:$L$2010,"13",'LAC 102_Wkst'!$N$7:$N$2010,"P5")</f>
        <v>0</v>
      </c>
      <c r="BF68" s="407">
        <f t="shared" si="4"/>
        <v>0</v>
      </c>
      <c r="BG68" s="1654">
        <f>SUMIFS('LAC 102_Wkst'!$AF$7:$AF$2010,'LAC 102_Wkst'!$D$7:$D$2010,$C$7,'LAC 102_Wkst'!$I$7:$I$2010,$C$9,'LAC 102_Wkst'!$E$7:$E$2010,$C68,'LAC 102_Wkst'!$G$7:$G$2010,$D68,'LAC 102_Wkst'!$L$7:$L$2010,"14")</f>
        <v>0</v>
      </c>
    </row>
    <row r="69" spans="1:59" x14ac:dyDescent="0.2">
      <c r="A69" s="401">
        <v>47</v>
      </c>
      <c r="B69" s="1678" t="str">
        <f>IF(Schedule_B!B$66="","",Schedule_B!B$66)</f>
        <v/>
      </c>
      <c r="C69" s="1674" t="str">
        <f>IF(Schedule_B!C$66=""," ",Schedule_B!C$66)</f>
        <v xml:space="preserve"> </v>
      </c>
      <c r="D69" s="1675" t="str">
        <f>IF(Schedule_B!D$66=""," ",Schedule_B!D$66)</f>
        <v xml:space="preserve"> </v>
      </c>
      <c r="E69" s="1221">
        <f>SUMIFS('LAC 102_Wkst'!$Q$7:$Q$2010,'LAC 102_Wkst'!$D$7:$D$2010,$C$7,'LAC 102_Wkst'!$I$7:$I$2010,$C$9,'LAC 102_Wkst'!$E$7:$E$2010,$C69,'LAC 102_Wkst'!$G$7:$G$2010,$D69)</f>
        <v>0</v>
      </c>
      <c r="F69" s="408">
        <f>SUMIFS('LAC 102_Wkst'!$Q$7:$Q$2010,'LAC 102_Wkst'!$D$7:$D$2010,$C$7,'LAC 102_Wkst'!$I$7:$I$2010,$C$9,'LAC 102_Wkst'!$E$7:$E$2010,$C69,'LAC 102_Wkst'!$G$7:$G$2010,$D69,'LAC 102_Wkst'!$L$7:$L$2010,"01",'LAC 102_Wkst'!$N$7:$N$2010,"P1")+SUMIFS('LAC 102_Wkst'!$Q$7:$Q$2010,'LAC 102_Wkst'!$D$7:$D$2010,$C$7,'LAC 102_Wkst'!$I$7:$I$2010,$C$9,'LAC 102_Wkst'!$E$7:$E$2010,$C69,'LAC 102_Wkst'!$G$7:$G$2010,$D69,'LAC 102_Wkst'!$L$7:$L$2010,"01",'LAC 102_Wkst'!$N$7:$N$2010,"P2")+SUMIFS('LAC 102_Wkst'!$Q$7:$Q$2010,'LAC 102_Wkst'!$D$7:$D$2010,$C$7,'LAC 102_Wkst'!$I$7:$I$2010,$C$9,'LAC 102_Wkst'!$E$7:$E$2010,$C69,'LAC 102_Wkst'!$G$7:$G$2010,$D69,'LAC 102_Wkst'!$L$7:$L$2010,"01",'LAC 102_Wkst'!$N$7:$N$2010,"P3")+SUMIFS('LAC 102_Wkst'!$Q$7:$Q$2010,'LAC 102_Wkst'!$D$7:$D$2010,$C$7,'LAC 102_Wkst'!$I$7:$I$2010,$C$9,'LAC 102_Wkst'!$E$7:$E$2010,$C69,'LAC 102_Wkst'!$G$7:$G$2010,$D69,'LAC 102_Wkst'!$L$7:$L$2010,"02",'LAC 102_Wkst'!$N$7:$N$2010,"P1")+SUMIFS('LAC 102_Wkst'!$Q$7:$Q$2010,'LAC 102_Wkst'!$D$7:$D$2010,$C$7,'LAC 102_Wkst'!$I$7:$I$2010,$C$9,'LAC 102_Wkst'!$E$7:$E$2010,$C69,'LAC 102_Wkst'!$G$7:$G$2010,$D69,'LAC 102_Wkst'!$L$7:$L$2010,"02",'LAC 102_Wkst'!$N$7:$N$2010,"P2")+SUMIFS('LAC 102_Wkst'!$Q$7:$Q$2010,'LAC 102_Wkst'!$D$7:$D$2010,$C$7,'LAC 102_Wkst'!$I$7:$I$2010,$C$9,'LAC 102_Wkst'!$E$7:$E$2010,$C69,'LAC 102_Wkst'!$G$7:$G$2010,$D69,'LAC 102_Wkst'!$L$7:$L$2010,"02",'LAC 102_Wkst'!$N$7:$N$2010,"P3")</f>
        <v>0</v>
      </c>
      <c r="G69" s="409">
        <f>SUMIFS('LAC 102_Wkst'!$AF$7:$AF$2010,'LAC 102_Wkst'!$D$7:$D$2010,$C$7,'LAC 102_Wkst'!$I$7:$I$2010,$C$9,'LAC 102_Wkst'!$E$7:$E$2010,$C69,'LAC 102_Wkst'!$G$7:$G$2010,$D69,'LAC 102_Wkst'!$L$7:$L$2010,"01",'LAC 102_Wkst'!$N$7:$N$2010,"P1")+SUMIFS('LAC 102_Wkst'!$AF$7:$AF$2010,'LAC 102_Wkst'!$D$7:$D$2010,$C$7,'LAC 102_Wkst'!$I$7:$I$2010,$C$9,'LAC 102_Wkst'!$E$7:$E$2010,$C69,'LAC 102_Wkst'!$G$7:$G$2010,$D69,'LAC 102_Wkst'!$L$7:$L$2010,"01",'LAC 102_Wkst'!$N$7:$N$2010,"P2")+SUMIFS('LAC 102_Wkst'!$AF$7:$AF$2010,'LAC 102_Wkst'!$D$7:$D$2010,$C$7,'LAC 102_Wkst'!$I$7:$I$2010,$C$9,'LAC 102_Wkst'!$E$7:$E$2010,$C69,'LAC 102_Wkst'!$G$7:$G$2010,$D69,'LAC 102_Wkst'!$L$7:$L$2010,"01",'LAC 102_Wkst'!$N$7:$N$2010,"P3")+SUMIFS('LAC 102_Wkst'!$AF$7:$AF$2010,'LAC 102_Wkst'!$D$7:$D$2010,$C$7,'LAC 102_Wkst'!$I$7:$I$2010,$C$9,'LAC 102_Wkst'!$E$7:$E$2010,$C69,'LAC 102_Wkst'!$G$7:$G$2010,$D69,'LAC 102_Wkst'!$L$7:$L$2010,"02",'LAC 102_Wkst'!$N$7:$N$2010,"P1")+SUMIFS('LAC 102_Wkst'!$AF$7:$AF$2010,'LAC 102_Wkst'!$D$7:$D$2010,$C$7,'LAC 102_Wkst'!$I$7:$I$2010,$C$9,'LAC 102_Wkst'!$E$7:$E$2010,$C69,'LAC 102_Wkst'!$G$7:$G$2010,$D69,'LAC 102_Wkst'!$L$7:$L$2010,"02",'LAC 102_Wkst'!$N$7:$N$2010,"P2")+SUMIFS('LAC 102_Wkst'!$AF$7:$AF$2010,'LAC 102_Wkst'!$D$7:$D$2010,$C$7,'LAC 102_Wkst'!$I$7:$I$2010,$C$9,'LAC 102_Wkst'!$E$7:$E$2010,$C69,'LAC 102_Wkst'!$G$7:$G$2010,$D69,'LAC 102_Wkst'!$L$7:$L$2010,"02",'LAC 102_Wkst'!$N$7:$N$2010,"P3")</f>
        <v>0</v>
      </c>
      <c r="H69" s="410">
        <f>SUMIFS('LAC 102_Wkst'!$Q$7:$Q$2010,'LAC 102_Wkst'!$D$7:$D$2010,$C$7,'LAC 102_Wkst'!$I$7:$I$2010,$C$9,'LAC 102_Wkst'!$E$7:$E$2010,$C69,'LAC 102_Wkst'!$G$7:$G$2010,$D69,'LAC 102_Wkst'!$L$7:$L$2010,"01",'LAC 102_Wkst'!$N$7:$N$2010,"P4")+SUMIFS('LAC 102_Wkst'!$Q$7:$Q$2010,'LAC 102_Wkst'!$D$7:$D$2010,$C$7,'LAC 102_Wkst'!$I$7:$I$2010,$C$9,'LAC 102_Wkst'!$E$7:$E$2010,$C69,'LAC 102_Wkst'!$G$7:$G$2010,$D69,'LAC 102_Wkst'!$L$7:$L$2010,"02",'LAC 102_Wkst'!$N$7:$N$2010,"P4")</f>
        <v>0</v>
      </c>
      <c r="I69" s="411">
        <f>SUMIFS('LAC 102_Wkst'!$AF$7:$AF$2010,'LAC 102_Wkst'!$D$7:$D$2010,$C$7,'LAC 102_Wkst'!$I$7:$I$2010,$C$9,'LAC 102_Wkst'!$E$7:$E$2010,$C69,'LAC 102_Wkst'!$G$7:$G$2010,$D69,'LAC 102_Wkst'!$L$7:$L$2010,"01",'LAC 102_Wkst'!$N$7:$N$2010,"P4")+SUMIFS('LAC 102_Wkst'!$AF$7:$AF$2010,'LAC 102_Wkst'!$D$7:$D$2010,$C$7,'LAC 102_Wkst'!$I$7:$I$2010,$C$9,'LAC 102_Wkst'!$E$7:$E$2010,$C69,'LAC 102_Wkst'!$G$7:$G$2010,$D69,'LAC 102_Wkst'!$L$7:$L$2010,"02",'LAC 102_Wkst'!$N$7:$N$2010,"P4")</f>
        <v>0</v>
      </c>
      <c r="J69" s="410">
        <f>SUMIFS('LAC 102_Wkst'!$Q$7:$Q$2010,'LAC 102_Wkst'!$D$7:$D$2010,$C$7,'LAC 102_Wkst'!$I$7:$I$2010,$C$9,'LAC 102_Wkst'!$E$7:$E$2010,$C69,'LAC 102_Wkst'!$G$7:$G$2010,$D69,'LAC 102_Wkst'!$L$7:$L$2010,"01",'LAC 102_Wkst'!$N$7:$N$2010,"P5")+SUMIFS('LAC 102_Wkst'!$Q$7:$Q$2010,'LAC 102_Wkst'!$D$7:$D$2010,$C$7,'LAC 102_Wkst'!$I$7:$I$2010,$C$9,'LAC 102_Wkst'!$E$7:$E$2010,$C69,'LAC 102_Wkst'!$G$7:$G$2010,$D69,'LAC 102_Wkst'!$L$7:$L$2010,"02",'LAC 102_Wkst'!$N$7:$N$2010,"P5")</f>
        <v>0</v>
      </c>
      <c r="K69" s="411">
        <f>SUMIFS('LAC 102_Wkst'!$AF$7:$AF$2010,'LAC 102_Wkst'!$D$7:$D$2010,$C$7,'LAC 102_Wkst'!$I$7:$I$2010,$C$9,'LAC 102_Wkst'!$E$7:$E$2010,$C69,'LAC 102_Wkst'!$G$7:$G$2010,$D69,'LAC 102_Wkst'!$L$7:$L$2010,"01",'LAC 102_Wkst'!$N$7:$N$2010,"P5")+SUMIFS('LAC 102_Wkst'!$AF$7:$AF$2010,'LAC 102_Wkst'!$D$7:$D$2010,$C$7,'LAC 102_Wkst'!$I$7:$I$2010,$C$9,'LAC 102_Wkst'!$E$7:$E$2010,$C69,'LAC 102_Wkst'!$G$7:$G$2010,$D69,'LAC 102_Wkst'!$L$7:$L$2010,"02",'LAC 102_Wkst'!$N$7:$N$2010,"P5")</f>
        <v>0</v>
      </c>
      <c r="L69" s="410">
        <f>SUMIFS('LAC 102_Wkst'!$Q$7:$Q$2010,'LAC 102_Wkst'!$D$7:$D$2010,$C$7,'LAC 102_Wkst'!$I$7:$I$2010,$C$9,'LAC 102_Wkst'!$E$7:$E$2010,$C69,'LAC 102_Wkst'!$G$7:$G$2010,$D69,'LAC 102_Wkst'!$L$7:$L$2010,"03",'LAC 102_Wkst'!$N$7:$N$2010,"P1")+SUMIFS('LAC 102_Wkst'!$Q$7:$Q$2010,'LAC 102_Wkst'!$D$7:$D$2010,$C$7,'LAC 102_Wkst'!$I$7:$I$2010,$C$9,'LAC 102_Wkst'!$E$7:$E$2010,$C69,'LAC 102_Wkst'!$G$7:$G$2010,$D69,'LAC 102_Wkst'!$L$7:$L$2010,"03",'LAC 102_Wkst'!$N$7:$N$2010,"P2")+SUMIFS('LAC 102_Wkst'!$Q$7:$Q$2010,'LAC 102_Wkst'!$D$7:$D$2010,$C$7,'LAC 102_Wkst'!$I$7:$I$2010,$C$9,'LAC 102_Wkst'!$E$7:$E$2010,$C69,'LAC 102_Wkst'!$G$7:$G$2010,$D69,'LAC 102_Wkst'!$L$7:$L$2010,"03",'LAC 102_Wkst'!$N$7:$N$2010,"P3")+SUMIFS('LAC 102_Wkst'!$Q$7:$Q$2010,'LAC 102_Wkst'!$D$7:$D$2010,$C$7,'LAC 102_Wkst'!$I$7:$I$2010,$C$9,'LAC 102_Wkst'!$E$7:$E$2010,$C69,'LAC 102_Wkst'!$G$7:$G$2010,$D69,'LAC 102_Wkst'!$L$7:$L$2010,"04",'LAC 102_Wkst'!$N$7:$N$2010,"P1")+SUMIFS('LAC 102_Wkst'!$Q$7:$Q$2010,'LAC 102_Wkst'!$D$7:$D$2010,$C$7,'LAC 102_Wkst'!$I$7:$I$2010,$C$9,'LAC 102_Wkst'!$E$7:$E$2010,$C69,'LAC 102_Wkst'!$G$7:$G$2010,$D69,'LAC 102_Wkst'!$L$7:$L$2010,"04",'LAC 102_Wkst'!$N$7:$N$2010,"P2")+SUMIFS('LAC 102_Wkst'!$Q$7:$Q$2010,'LAC 102_Wkst'!$D$7:$D$2010,$C$7,'LAC 102_Wkst'!$I$7:$I$2010,$C$9,'LAC 102_Wkst'!$E$7:$E$2010,$C69,'LAC 102_Wkst'!$G$7:$G$2010,$D69,'LAC 102_Wkst'!$L$7:$L$2010,"04",'LAC 102_Wkst'!$N$7:$N$2010,"P3")</f>
        <v>0</v>
      </c>
      <c r="M69" s="411">
        <f>SUMIFS('LAC 102_Wkst'!$AF$7:$AF$2010,'LAC 102_Wkst'!$D$7:$D$2010,$C$7,'LAC 102_Wkst'!$I$7:$I$2010,$C$9,'LAC 102_Wkst'!$E$7:$E$2010,$C69,'LAC 102_Wkst'!$G$7:$G$2010,$D69,'LAC 102_Wkst'!$L$7:$L$2010,"03",'LAC 102_Wkst'!$N$7:$N$2010,"P1")+SUMIFS('LAC 102_Wkst'!$AF$7:$AF$2010,'LAC 102_Wkst'!$D$7:$D$2010,$C$7,'LAC 102_Wkst'!$I$7:$I$2010,$C$9,'LAC 102_Wkst'!$E$7:$E$2010,$C69,'LAC 102_Wkst'!$G$7:$G$2010,$D69,'LAC 102_Wkst'!$L$7:$L$2010,"03",'LAC 102_Wkst'!$N$7:$N$2010,"P2")+SUMIFS('LAC 102_Wkst'!$AF$7:$AF$2010,'LAC 102_Wkst'!$D$7:$D$2010,$C$7,'LAC 102_Wkst'!$I$7:$I$2010,$C$9,'LAC 102_Wkst'!$E$7:$E$2010,$C69,'LAC 102_Wkst'!$G$7:$G$2010,$D69,'LAC 102_Wkst'!$L$7:$L$2010,"03",'LAC 102_Wkst'!$N$7:$N$2010,"P3")+SUMIFS('LAC 102_Wkst'!$AF$7:$AF$2010,'LAC 102_Wkst'!$D$7:$D$2010,$C$7,'LAC 102_Wkst'!$I$7:$I$2010,$C$9,'LAC 102_Wkst'!$E$7:$E$2010,$C69,'LAC 102_Wkst'!$G$7:$G$2010,$D69,'LAC 102_Wkst'!$L$7:$L$2010,"04",'LAC 102_Wkst'!$N$7:$N$2010,"P1")+SUMIFS('LAC 102_Wkst'!$AF$7:$AF$2010,'LAC 102_Wkst'!$D$7:$D$2010,$C$7,'LAC 102_Wkst'!$I$7:$I$2010,$C$9,'LAC 102_Wkst'!$E$7:$E$2010,$C69,'LAC 102_Wkst'!$G$7:$G$2010,$D69,'LAC 102_Wkst'!$L$7:$L$2010,"04",'LAC 102_Wkst'!$N$7:$N$2010,"P2")+SUMIFS('LAC 102_Wkst'!$AF$7:$AF$2010,'LAC 102_Wkst'!$D$7:$D$2010,$C$7,'LAC 102_Wkst'!$I$7:$I$2010,$C$9,'LAC 102_Wkst'!$E$7:$E$2010,$C69,'LAC 102_Wkst'!$G$7:$G$2010,$D69,'LAC 102_Wkst'!$L$7:$L$2010,"04",'LAC 102_Wkst'!$N$7:$N$2010,"P3")</f>
        <v>0</v>
      </c>
      <c r="N69" s="410">
        <f>SUMIFS('LAC 102_Wkst'!$Q$7:$Q$2010,'LAC 102_Wkst'!$D$7:$D$2010,$C$7,'LAC 102_Wkst'!$I$7:$I$2010,$C$9,'LAC 102_Wkst'!$E$7:$E$2010,$C69,'LAC 102_Wkst'!$G$7:$G$2010,$D69,'LAC 102_Wkst'!$L$7:$L$2010,"03",'LAC 102_Wkst'!$N$7:$N$2010,"P4")+SUMIFS('LAC 102_Wkst'!$Q$7:$Q$2010,'LAC 102_Wkst'!$D$7:$D$2010,$C$7,'LAC 102_Wkst'!$I$7:$I$2010,$C$9,'LAC 102_Wkst'!$E$7:$E$2010,$C69,'LAC 102_Wkst'!$G$7:$G$2010,$D69,'LAC 102_Wkst'!$L$7:$L$2010,"04",'LAC 102_Wkst'!$N$7:$N$2010,"P4")</f>
        <v>0</v>
      </c>
      <c r="O69" s="411">
        <f>SUMIFS('LAC 102_Wkst'!$AF$7:$AF$2010,'LAC 102_Wkst'!$D$7:$D$2010,$C$7,'LAC 102_Wkst'!$I$7:$I$2010,$C$9,'LAC 102_Wkst'!$E$7:$E$2010,$C69,'LAC 102_Wkst'!$G$7:$G$2010,$D69,'LAC 102_Wkst'!$L$7:$L$2010,"03",'LAC 102_Wkst'!$N$7:$N$2010,"P4")+SUMIFS('LAC 102_Wkst'!$AF$7:$AF$2010,'LAC 102_Wkst'!$D$7:$D$2010,$C$7,'LAC 102_Wkst'!$I$7:$I$2010,$C$9,'LAC 102_Wkst'!$E$7:$E$2010,$C69,'LAC 102_Wkst'!$G$7:$G$2010,$D69,'LAC 102_Wkst'!$L$7:$L$2010,"04",'LAC 102_Wkst'!$N$7:$N$2010,"P4")</f>
        <v>0</v>
      </c>
      <c r="P69" s="410">
        <f>SUMIFS('LAC 102_Wkst'!$Q$7:$Q$2010,'LAC 102_Wkst'!$D$7:$D$2010,$C$7,'LAC 102_Wkst'!$I$7:$I$2010,$C$9,'LAC 102_Wkst'!$E$7:$E$2010,$C69,'LAC 102_Wkst'!$G$7:$G$2010,$D69,'LAC 102_Wkst'!$L$7:$L$2010,"03",'LAC 102_Wkst'!$N$7:$N$2010,"P5")+SUMIFS('LAC 102_Wkst'!$Q$7:$Q$2010,'LAC 102_Wkst'!$D$7:$D$2010,$C$7,'LAC 102_Wkst'!$I$7:$I$2010,$C$9,'LAC 102_Wkst'!$E$7:$E$2010,$C69,'LAC 102_Wkst'!$G$7:$G$2010,$D69,'LAC 102_Wkst'!$L$7:$L$2010,"04",'LAC 102_Wkst'!$N$7:$N$2010,"P5")</f>
        <v>0</v>
      </c>
      <c r="Q69" s="411">
        <f>SUMIFS('LAC 102_Wkst'!$AF$7:$AF$2010,'LAC 102_Wkst'!$D$7:$D$2010,$C$7,'LAC 102_Wkst'!$I$7:$I$2010,$C$9,'LAC 102_Wkst'!$E$7:$E$2010,$C69,'LAC 102_Wkst'!$G$7:$G$2010,$D69,'LAC 102_Wkst'!$L$7:$L$2010,"03",'LAC 102_Wkst'!$N$7:$N$2010,"P5")+SUMIFS('LAC 102_Wkst'!$AF$7:$AF$2010,'LAC 102_Wkst'!$D$7:$D$2010,$C$7,'LAC 102_Wkst'!$I$7:$I$2010,$C$9,'LAC 102_Wkst'!$E$7:$E$2010,$C69,'LAC 102_Wkst'!$G$7:$G$2010,$D69,'LAC 102_Wkst'!$L$7:$L$2010,"04",'LAC 102_Wkst'!$N$7:$N$2010,"P5")</f>
        <v>0</v>
      </c>
      <c r="R69" s="412">
        <f>SUMIFS('LAC 102_Wkst'!$Q$7:$Q$2010,'LAC 102_Wkst'!$D$7:$D$2010,$C$7,'LAC 102_Wkst'!$I$7:$I$2010,$C$9,'LAC 102_Wkst'!$E$7:$E$2010,$C69,'LAC 102_Wkst'!$G$7:$G$2010,$D69,'LAC 102_Wkst'!$L$7:$L$2010,"05",'LAC 102_Wkst'!$N$7:$N$2010,"P1")+SUMIFS('LAC 102_Wkst'!$Q$7:$Q$2010,'LAC 102_Wkst'!$D$7:$D$2010,$C$7,'LAC 102_Wkst'!$I$7:$I$2010,$C$9,'LAC 102_Wkst'!$E$7:$E$2010,$C69,'LAC 102_Wkst'!$G$7:$G$2010,$D69,'LAC 102_Wkst'!$L$7:$L$2010,"06",'LAC 102_Wkst'!$N$7:$N$2010,"P1")</f>
        <v>0</v>
      </c>
      <c r="S69" s="411">
        <f>SUMIFS('LAC 102_Wkst'!$AF$7:$AF$2010,'LAC 102_Wkst'!$D$7:$D$2010,$C$7,'LAC 102_Wkst'!$I$7:$I$2010,$C$9,'LAC 102_Wkst'!$E$7:$E$2010,$C69,'LAC 102_Wkst'!$G$7:$G$2010,$D69,'LAC 102_Wkst'!$L$7:$L$2010,"05",'LAC 102_Wkst'!$N$7:$N$2010,"P1")+SUMIFS('LAC 102_Wkst'!$AF$7:$AF$2010,'LAC 102_Wkst'!$D$7:$D$2010,$C$7,'LAC 102_Wkst'!$I$7:$I$2010,$C$9,'LAC 102_Wkst'!$E$7:$E$2010,$C69,'LAC 102_Wkst'!$G$7:$G$2010,$D69,'LAC 102_Wkst'!$L$7:$L$2010,"06",'LAC 102_Wkst'!$N$7:$N$2010,"P1")</f>
        <v>0</v>
      </c>
      <c r="T69" s="410">
        <f>SUMIFS('LAC 102_Wkst'!$Q$7:$Q$2010,'LAC 102_Wkst'!$D$7:$D$2010,$C$7,'LAC 102_Wkst'!$I$7:$I$2010,$C$9,'LAC 102_Wkst'!$E$7:$E$2010,$C69,'LAC 102_Wkst'!$G$7:$G$2010,$D69,'LAC 102_Wkst'!$L$7:$L$2010,"05",'LAC 102_Wkst'!$N$7:$N$2010,"P2")+SUMIFS('LAC 102_Wkst'!$Q$7:$Q$2010,'LAC 102_Wkst'!$D$7:$D$2010,$C$7,'LAC 102_Wkst'!$I$7:$I$2010,$C$9,'LAC 102_Wkst'!$E$7:$E$2010,$C69,'LAC 102_Wkst'!$G$7:$G$2010,$D69,'LAC 102_Wkst'!$L$7:$L$2010,"06",'LAC 102_Wkst'!$N$7:$N$2010,"P2")+SUMIFS('LAC 102_Wkst'!$Q$7:$Q$2010,'LAC 102_Wkst'!$D$7:$D$2010,$C$7,'LAC 102_Wkst'!$I$7:$I$2010,$C$9,'LAC 102_Wkst'!$E$7:$E$2010,$C69,'LAC 102_Wkst'!$G$7:$G$2010,$D69,'LAC 102_Wkst'!$L$7:$L$2010,"05",'LAC 102_Wkst'!$N$7:$N$2010,"P3")+SUMIFS('LAC 102_Wkst'!$Q$7:$Q$2010,'LAC 102_Wkst'!$D$7:$D$2010,$C$7,'LAC 102_Wkst'!$I$7:$I$2010,$C$9,'LAC 102_Wkst'!$E$7:$E$2010,$C69,'LAC 102_Wkst'!$G$7:$G$2010,$D69,'LAC 102_Wkst'!$L$7:$L$2010,"06",'LAC 102_Wkst'!$N$7:$N$2010,"P3")</f>
        <v>0</v>
      </c>
      <c r="U69" s="411">
        <f>SUMIFS('LAC 102_Wkst'!$AF$7:$AF$2010,'LAC 102_Wkst'!$D$7:$D$2010,$C$7,'LAC 102_Wkst'!$I$7:$I$2010,$C$9,'LAC 102_Wkst'!$E$7:$E$2010,$C69,'LAC 102_Wkst'!$G$7:$G$2010,$D69,'LAC 102_Wkst'!$L$7:$L$2010,"05",'LAC 102_Wkst'!$N$7:$N$2010,"P2")+SUMIFS('LAC 102_Wkst'!$AF$7:$AF$2010,'LAC 102_Wkst'!$D$7:$D$2010,$C$7,'LAC 102_Wkst'!$I$7:$I$2010,$C$9,'LAC 102_Wkst'!$E$7:$E$2010,$C69,'LAC 102_Wkst'!$G$7:$G$2010,$D69,'LAC 102_Wkst'!$L$7:$L$2010,"06",'LAC 102_Wkst'!$N$7:$N$2010,"P2")+SUMIFS('LAC 102_Wkst'!$AF$7:$AF$2010,'LAC 102_Wkst'!$D$7:$D$2010,$C$7,'LAC 102_Wkst'!$I$7:$I$2010,$C$9,'LAC 102_Wkst'!$E$7:$E$2010,$C69,'LAC 102_Wkst'!$G$7:$G$2010,$D69,'LAC 102_Wkst'!$L$7:$L$2010,"05",'LAC 102_Wkst'!$N$7:$N$2010,"P3")+SUMIFS('LAC 102_Wkst'!$AF$7:$AF$2010,'LAC 102_Wkst'!$D$7:$D$2010,$C$7,'LAC 102_Wkst'!$I$7:$I$2010,$C$9,'LAC 102_Wkst'!$E$7:$E$2010,$C69,'LAC 102_Wkst'!$G$7:$G$2010,$D69,'LAC 102_Wkst'!$L$7:$L$2010,"06",'LAC 102_Wkst'!$N$7:$N$2010,"P3")</f>
        <v>0</v>
      </c>
      <c r="V69" s="410">
        <f>SUMIFS('LAC 102_Wkst'!$Q$7:$Q$2010,'LAC 102_Wkst'!$D$7:$D$2010,$C$7,'LAC 102_Wkst'!$I$7:$I$2010,$C$9,'LAC 102_Wkst'!$E$7:$E$2010,$C69,'LAC 102_Wkst'!$G$7:$G$2010,$D69,'LAC 102_Wkst'!$L$7:$L$2010,"05",'LAC 102_Wkst'!$N$7:$N$2010,"P4")+SUMIFS('LAC 102_Wkst'!$Q$7:$Q$2010,'LAC 102_Wkst'!$D$7:$D$2010,$C$7,'LAC 102_Wkst'!$I$7:$I$2010,$C$9,'LAC 102_Wkst'!$E$7:$E$2010,$C69,'LAC 102_Wkst'!$G$7:$G$2010,$D69,'LAC 102_Wkst'!$L$7:$L$2010,"06",'LAC 102_Wkst'!$N$7:$N$2010,"P4")</f>
        <v>0</v>
      </c>
      <c r="W69" s="411">
        <f>SUMIFS('LAC 102_Wkst'!$AF$7:$AF$2010,'LAC 102_Wkst'!$D$7:$D$2010,$C$7,'LAC 102_Wkst'!$I$7:$I$2010,$C$9,'LAC 102_Wkst'!$E$7:$E$2010,$C69,'LAC 102_Wkst'!$G$7:$G$2010,$D69,'LAC 102_Wkst'!$L$7:$L$2010,"05",'LAC 102_Wkst'!$N$7:$N$2010,"P4")+SUMIFS('LAC 102_Wkst'!$AF$7:$AF$2010,'LAC 102_Wkst'!$D$7:$D$2010,$C$7,'LAC 102_Wkst'!$I$7:$I$2010,$C$9,'LAC 102_Wkst'!$E$7:$E$2010,$C69,'LAC 102_Wkst'!$G$7:$G$2010,$D69,'LAC 102_Wkst'!$L$7:$L$2010,"06",'LAC 102_Wkst'!$N$7:$N$2010,"P4")</f>
        <v>0</v>
      </c>
      <c r="X69" s="410">
        <f>SUMIFS('LAC 102_Wkst'!$Q$7:$Q$2010,'LAC 102_Wkst'!$D$7:$D$2010,$C$7,'LAC 102_Wkst'!$I$7:$I$2010,$C$9,'LAC 102_Wkst'!$E$7:$E$2010,$C69,'LAC 102_Wkst'!$G$7:$G$2010,$D69,'LAC 102_Wkst'!$L$7:$L$2010,"05",'LAC 102_Wkst'!$N$7:$N$2010,"P5")+SUMIFS('LAC 102_Wkst'!$Q$7:$Q$2010,'LAC 102_Wkst'!$D$7:$D$2010,$C$7,'LAC 102_Wkst'!$I$7:$I$2010,$C$9,'LAC 102_Wkst'!$E$7:$E$2010,$C69,'LAC 102_Wkst'!$G$7:$G$2010,$D69,'LAC 102_Wkst'!$L$7:$L$2010,"06",'LAC 102_Wkst'!$N$7:$N$2010,"P5")</f>
        <v>0</v>
      </c>
      <c r="Y69" s="411">
        <f>SUMIFS('LAC 102_Wkst'!$AF$7:$AF$2010,'LAC 102_Wkst'!$D$7:$D$2010,$C$7,'LAC 102_Wkst'!$I$7:$I$2010,$C$9,'LAC 102_Wkst'!$E$7:$E$2010,$C69,'LAC 102_Wkst'!$G$7:$G$2010,$D69,'LAC 102_Wkst'!$L$7:$L$2010,"05",'LAC 102_Wkst'!$N$7:$N$2010,"P5")+SUMIFS('LAC 102_Wkst'!$AF$7:$AF$2010,'LAC 102_Wkst'!$D$7:$D$2010,$C$7,'LAC 102_Wkst'!$I$7:$I$2010,$C$9,'LAC 102_Wkst'!$E$7:$E$2010,$C69,'LAC 102_Wkst'!$G$7:$G$2010,$D69,'LAC 102_Wkst'!$L$7:$L$2010,"06",'LAC 102_Wkst'!$N$7:$N$2010,"P5")</f>
        <v>0</v>
      </c>
      <c r="Z69" s="410">
        <f>SUMIFS('LAC 102_Wkst'!$Q$7:$Q$2010,'LAC 102_Wkst'!$D$7:$D$2010,$C$7,'LAC 102_Wkst'!$I$7:$I$2010,$C$9,'LAC 102_Wkst'!$E$7:$E$2010,$C69,'LAC 102_Wkst'!$G$7:$G$2010,$D69,'LAC 102_Wkst'!$L$7:$L$2010,"07",'LAC 102_Wkst'!$N$7:$N$2010,"P1")+SUMIFS('LAC 102_Wkst'!$Q$7:$Q$2010,'LAC 102_Wkst'!$D$7:$D$2010,$C$7,'LAC 102_Wkst'!$I$7:$I$2010,$C$9,'LAC 102_Wkst'!$E$7:$E$2010,$C69,'LAC 102_Wkst'!$G$7:$G$2010,$D69,'LAC 102_Wkst'!$L$7:$L$2010,"07",'LAC 102_Wkst'!$N$7:$N$2010,"P2")+SUMIFS('LAC 102_Wkst'!$Q$7:$Q$2010,'LAC 102_Wkst'!$D$7:$D$2010,$C$7,'LAC 102_Wkst'!$I$7:$I$2010,$C$9,'LAC 102_Wkst'!$E$7:$E$2010,$C69,'LAC 102_Wkst'!$G$7:$G$2010,$D69,'LAC 102_Wkst'!$L$7:$L$2010,"07",'LAC 102_Wkst'!$N$7:$N$2010,"P3")</f>
        <v>0</v>
      </c>
      <c r="AA69" s="411">
        <f>SUMIFS('LAC 102_Wkst'!$AF$7:$AF$2010,'LAC 102_Wkst'!$D$7:$D$2010,$C$7,'LAC 102_Wkst'!$I$7:$I$2010,$C$9,'LAC 102_Wkst'!$E$7:$E$2010,$C69,'LAC 102_Wkst'!$G$7:$G$2010,$D69,'LAC 102_Wkst'!$L$7:$L$2010,"07",'LAC 102_Wkst'!$N$7:$N$2010,"P1")+SUMIFS('LAC 102_Wkst'!$AF$7:$AF$2010,'LAC 102_Wkst'!$D$7:$D$2010,$C$7,'LAC 102_Wkst'!$I$7:$I$2010,$C$9,'LAC 102_Wkst'!$E$7:$E$2010,$C69,'LAC 102_Wkst'!$G$7:$G$2010,$D69,'LAC 102_Wkst'!$L$7:$L$2010,"07",'LAC 102_Wkst'!$N$7:$N$2010,"P2")+SUMIFS('LAC 102_Wkst'!$AF$7:$AF$2010,'LAC 102_Wkst'!$D$7:$D$2010,$C$7,'LAC 102_Wkst'!$I$7:$I$2010,$C$9,'LAC 102_Wkst'!$E$7:$E$2010,$C69,'LAC 102_Wkst'!$G$7:$G$2010,$D69,'LAC 102_Wkst'!$L$7:$L$2010,"07",'LAC 102_Wkst'!$N$7:$N$2010,"P3")</f>
        <v>0</v>
      </c>
      <c r="AB69" s="410">
        <f>SUMIFS('LAC 102_Wkst'!$Q$7:$Q$2010,'LAC 102_Wkst'!$D$7:$D$2010,$C$7,'LAC 102_Wkst'!$I$7:$I$2010,$C$9,'LAC 102_Wkst'!$E$7:$E$2010,$C69,'LAC 102_Wkst'!$G$7:$G$2010,$D69,'LAC 102_Wkst'!$L$7:$L$2010,"07",'LAC 102_Wkst'!$N$7:$N$2010,"P4")</f>
        <v>0</v>
      </c>
      <c r="AC69" s="411">
        <f>SUMIFS('LAC 102_Wkst'!$AF$7:$AF$2010,'LAC 102_Wkst'!$D$7:$D$2010,$C$7,'LAC 102_Wkst'!$I$7:$I$2010,$C$9,'LAC 102_Wkst'!$E$7:$E$2010,$C69,'LAC 102_Wkst'!$G$7:$G$2010,$D69,'LAC 102_Wkst'!$L$7:$L$2010,"07",'LAC 102_Wkst'!$N$7:$N$2010,"P4")</f>
        <v>0</v>
      </c>
      <c r="AD69" s="410">
        <f>SUMIFS('LAC 102_Wkst'!$Q$7:$Q$2010,'LAC 102_Wkst'!$D$7:$D$2010,$C$7,'LAC 102_Wkst'!$I$7:$I$2010,$C$9,'LAC 102_Wkst'!$E$7:$E$2010,$C69,'LAC 102_Wkst'!$G$7:$G$2010,$D69,'LAC 102_Wkst'!$L$7:$L$2010,"07",'LAC 102_Wkst'!$N$7:$N$2010,"P5")</f>
        <v>0</v>
      </c>
      <c r="AE69" s="411">
        <f>SUMIFS('LAC 102_Wkst'!$AF$7:$AF$2010,'LAC 102_Wkst'!$D$7:$D$2010,$C$7,'LAC 102_Wkst'!$I$7:$I$2010,$C$9,'LAC 102_Wkst'!$E$7:$E$2010,$C69,'LAC 102_Wkst'!$G$7:$G$2010,$D69,'LAC 102_Wkst'!$L$7:$L$2010,"07",'LAC 102_Wkst'!$N$7:$N$2010,"P5")</f>
        <v>0</v>
      </c>
      <c r="AF69" s="410">
        <f>SUMIFS('LAC 102_Wkst'!$Q$7:$Q$2010,'LAC 102_Wkst'!$D$7:$D$2010,$C$7,'LAC 102_Wkst'!$I$7:$I$2010,$C$9,'LAC 102_Wkst'!$E$7:$E$2010,$C69,'LAC 102_Wkst'!$G$7:$G$2010,$D69,'LAC 102_Wkst'!$L$7:$L$2010,"08",'LAC 102_Wkst'!$N$7:$N$2010,"P1")+SUMIFS('LAC 102_Wkst'!$Q$7:$Q$2010,'LAC 102_Wkst'!$D$7:$D$2010,$C$7,'LAC 102_Wkst'!$I$7:$I$2010,$C$9,'LAC 102_Wkst'!$E$7:$E$2010,$C69,'LAC 102_Wkst'!$G$7:$G$2010,$D69,'LAC 102_Wkst'!$L$7:$L$2010,"08",'LAC 102_Wkst'!$N$7:$N$2010,"P2")+SUMIFS('LAC 102_Wkst'!$Q$7:$Q$2010,'LAC 102_Wkst'!$D$7:$D$2010,$C$7,'LAC 102_Wkst'!$I$7:$I$2010,$C$9,'LAC 102_Wkst'!$E$7:$E$2010,$C69,'LAC 102_Wkst'!$G$7:$G$2010,$D69,'LAC 102_Wkst'!$L$7:$L$2010,"08",'LAC 102_Wkst'!$N$7:$N$2010,"P3")</f>
        <v>0</v>
      </c>
      <c r="AG69" s="411">
        <f>SUMIFS('LAC 102_Wkst'!$AF$7:$AF$2010,'LAC 102_Wkst'!$D$7:$D$2010,$C$7,'LAC 102_Wkst'!$I$7:$I$2010,$C$9,'LAC 102_Wkst'!$E$7:$E$2010,$C69,'LAC 102_Wkst'!$G$7:$G$2010,$D69,'LAC 102_Wkst'!$L$7:$L$2010,"08",'LAC 102_Wkst'!$N$7:$N$2010,"P1")+SUMIFS('LAC 102_Wkst'!$AF$7:$AF$2010,'LAC 102_Wkst'!$D$7:$D$2010,$C$7,'LAC 102_Wkst'!$I$7:$I$2010,$C$9,'LAC 102_Wkst'!$E$7:$E$2010,$C69,'LAC 102_Wkst'!$G$7:$G$2010,$D69,'LAC 102_Wkst'!$L$7:$L$2010,"08",'LAC 102_Wkst'!$N$7:$N$2010,"P2")+SUMIFS('LAC 102_Wkst'!$AF$7:$AF$2010,'LAC 102_Wkst'!$D$7:$D$2010,$C$7,'LAC 102_Wkst'!$I$7:$I$2010,$C$9,'LAC 102_Wkst'!$E$7:$E$2010,$C69,'LAC 102_Wkst'!$G$7:$G$2010,$D69,'LAC 102_Wkst'!$L$7:$L$2010,"08",'LAC 102_Wkst'!$N$7:$N$2010,"P3")</f>
        <v>0</v>
      </c>
      <c r="AH69" s="410">
        <f>SUMIFS('LAC 102_Wkst'!$Q$7:$Q$2010,'LAC 102_Wkst'!$D$7:$D$2010,$C$7,'LAC 102_Wkst'!$I$7:$I$2010,$C$9,'LAC 102_Wkst'!$E$7:$E$2010,$C69,'LAC 102_Wkst'!$G$7:$G$2010,$D69,'LAC 102_Wkst'!$L$7:$L$2010,"08",'LAC 102_Wkst'!$N$7:$N$2010,"P4")</f>
        <v>0</v>
      </c>
      <c r="AI69" s="411">
        <f>SUMIFS('LAC 102_Wkst'!$AF$7:$AF$2010,'LAC 102_Wkst'!$D$7:$D$2010,$C$7,'LAC 102_Wkst'!$I$7:$I$2010,$C$9,'LAC 102_Wkst'!$E$7:$E$2010,$C69,'LAC 102_Wkst'!$G$7:$G$2010,$D69,'LAC 102_Wkst'!$L$7:$L$2010,"08",'LAC 102_Wkst'!$N$7:$N$2010,"P4")</f>
        <v>0</v>
      </c>
      <c r="AJ69" s="410">
        <f>SUMIFS('LAC 102_Wkst'!$Q$7:$Q$2010,'LAC 102_Wkst'!$D$7:$D$2010,$C$7,'LAC 102_Wkst'!$I$7:$I$2010,$C$9,'LAC 102_Wkst'!$E$7:$E$2010,$C69,'LAC 102_Wkst'!$G$7:$G$2010,$D69,'LAC 102_Wkst'!$L$7:$L$2010,"08",'LAC 102_Wkst'!$N$7:$N$2010,"P5")</f>
        <v>0</v>
      </c>
      <c r="AK69" s="411">
        <f>SUMIFS('LAC 102_Wkst'!$AF$7:$AF$2010,'LAC 102_Wkst'!$D$7:$D$2010,$C$7,'LAC 102_Wkst'!$I$7:$I$2010,$C$9,'LAC 102_Wkst'!$E$7:$E$2010,$C69,'LAC 102_Wkst'!$G$7:$G$2010,$D69,'LAC 102_Wkst'!$L$7:$L$2010,"08",'LAC 102_Wkst'!$N$7:$N$2010,"P5")</f>
        <v>0</v>
      </c>
      <c r="AL69" s="410">
        <f>SUMIFS('LAC 102_Wkst'!$Q$7:$Q$2010,'LAC 102_Wkst'!$D$7:$D$2010,$C$7,'LAC 102_Wkst'!$I$7:$I$2010,$C$9,'LAC 102_Wkst'!$E$7:$E$2010,$C69,'LAC 102_Wkst'!$G$7:$G$2010,$D69,'LAC 102_Wkst'!$L$7:$L$2010,"09",'LAC 102_Wkst'!$N$7:$N$2010,"P1")+SUMIFS('LAC 102_Wkst'!$Q$7:$Q$2010,'LAC 102_Wkst'!$D$7:$D$2010,$C$7,'LAC 102_Wkst'!$I$7:$I$2010,$C$9,'LAC 102_Wkst'!$E$7:$E$2010,$C69,'LAC 102_Wkst'!$G$7:$G$2010,$D69,'LAC 102_Wkst'!$L$7:$L$2010,"09",'LAC 102_Wkst'!$N$7:$N$2010,"P2")+SUMIFS('LAC 102_Wkst'!$Q$7:$Q$2010,'LAC 102_Wkst'!$D$7:$D$2010,$C$7,'LAC 102_Wkst'!$I$7:$I$2010,$C$9,'LAC 102_Wkst'!$E$7:$E$2010,$C69,'LAC 102_Wkst'!$G$7:$G$2010,$D69,'LAC 102_Wkst'!$L$7:$L$2010,"09",'LAC 102_Wkst'!$N$7:$N$2010,"P3")+SUMIFS('LAC 102_Wkst'!$Q$7:$Q$2010,'LAC 102_Wkst'!$D$7:$D$2010,$C$7,'LAC 102_Wkst'!$I$7:$I$2010,$C$9,'LAC 102_Wkst'!$E$7:$E$2010,$C69,'LAC 102_Wkst'!$G$7:$G$2010,$D69,'LAC 102_Wkst'!$L$7:$L$2010,"09",'LAC 102_Wkst'!$N$7:$N$2010,"P4")</f>
        <v>0</v>
      </c>
      <c r="AM69" s="411">
        <f>SUMIFS('LAC 102_Wkst'!$AF$7:$AF$2010,'LAC 102_Wkst'!$D$7:$D$2010,$C$7,'LAC 102_Wkst'!$I$7:$I$2010,$C$9,'LAC 102_Wkst'!$E$7:$E$2010,$C69,'LAC 102_Wkst'!$G$7:$G$2010,$D69,'LAC 102_Wkst'!$L$7:$L$2010,"09",'LAC 102_Wkst'!$N$7:$N$2010,"P1")+SUMIFS('LAC 102_Wkst'!$AF$7:$AF$2010,'LAC 102_Wkst'!$D$7:$D$2010,$C$7,'LAC 102_Wkst'!$I$7:$I$2010,$C$9,'LAC 102_Wkst'!$E$7:$E$2010,$C69,'LAC 102_Wkst'!$G$7:$G$2010,$D69,'LAC 102_Wkst'!$L$7:$L$2010,"09",'LAC 102_Wkst'!$N$7:$N$2010,"P2")+SUMIFS('LAC 102_Wkst'!$AF$7:$AF$2010,'LAC 102_Wkst'!$D$7:$D$2010,$C$7,'LAC 102_Wkst'!$I$7:$I$2010,$C$9,'LAC 102_Wkst'!$E$7:$E$2010,$C69,'LAC 102_Wkst'!$G$7:$G$2010,$D69,'LAC 102_Wkst'!$L$7:$L$2010,"09",'LAC 102_Wkst'!$N$7:$N$2010,"P3")+SUMIFS('LAC 102_Wkst'!$AF$7:$AF$2010,'LAC 102_Wkst'!$D$7:$D$2010,$C$7,'LAC 102_Wkst'!$I$7:$I$2010,$C$9,'LAC 102_Wkst'!$E$7:$E$2010,$C69,'LAC 102_Wkst'!$G$7:$G$2010,$D69,'LAC 102_Wkst'!$L$7:$L$2010,"09",'LAC 102_Wkst'!$N$7:$N$2010,"P4")</f>
        <v>0</v>
      </c>
      <c r="AN69" s="410">
        <f>SUMIFS('LAC 102_Wkst'!$Q$7:$Q$2010,'LAC 102_Wkst'!$D$7:$D$2010,$C$7,'LAC 102_Wkst'!$I$7:$I$2010,$C$9,'LAC 102_Wkst'!$E$7:$E$2010,$C69,'LAC 102_Wkst'!$G$7:$G$2010,$D69,'LAC 102_Wkst'!$L$7:$L$2010,"09",'LAC 102_Wkst'!$N$7:$N$2010,"P5")</f>
        <v>0</v>
      </c>
      <c r="AO69" s="411">
        <f>SUMIFS('LAC 102_Wkst'!$AF$7:$AF$2010,'LAC 102_Wkst'!$D$7:$D$2010,$C$7,'LAC 102_Wkst'!$I$7:$I$2010,$C$9,'LAC 102_Wkst'!$E$7:$E$2010,$C69,'LAC 102_Wkst'!$G$7:$G$2010,$D69,'LAC 102_Wkst'!$L$7:$L$2010,"09",'LAC 102_Wkst'!$N$7:$N$2010,"P5")</f>
        <v>0</v>
      </c>
      <c r="AP69" s="410">
        <f>SUMIFS('LAC 102_Wkst'!$Q$7:$Q$2010,'LAC 102_Wkst'!$D$7:$D$2010,$C$7,'LAC 102_Wkst'!$I$7:$I$2010,$C$9,'LAC 102_Wkst'!$E$7:$E$2010,$C69,'LAC 102_Wkst'!$G$7:$G$2010,$D69,'LAC 102_Wkst'!$L$7:$L$2010,"10",'LAC 102_Wkst'!$N$7:$N$2010,"P1")+SUMIFS('LAC 102_Wkst'!$Q$7:$Q$2010,'LAC 102_Wkst'!$D$7:$D$2010,$C$7,'LAC 102_Wkst'!$I$7:$I$2010,$C$9,'LAC 102_Wkst'!$E$7:$E$2010,$C69,'LAC 102_Wkst'!$G$7:$G$2010,$D69,'LAC 102_Wkst'!$L$7:$L$2010,"10",'LAC 102_Wkst'!$N$7:$N$2010,"P2")+SUMIFS('LAC 102_Wkst'!$Q$7:$Q$2010,'LAC 102_Wkst'!$D$7:$D$2010,$C$7,'LAC 102_Wkst'!$I$7:$I$2010,$C$9,'LAC 102_Wkst'!$E$7:$E$2010,$C69,'LAC 102_Wkst'!$G$7:$G$2010,$D69,'LAC 102_Wkst'!$L$7:$L$2010,"10",'LAC 102_Wkst'!$N$7:$N$2010,"P3")+SUMIFS('LAC 102_Wkst'!$Q$7:$Q$2010,'LAC 102_Wkst'!$D$7:$D$2010,$C$7,'LAC 102_Wkst'!$I$7:$I$2010,$C$9,'LAC 102_Wkst'!$E$7:$E$2010,$C69,'LAC 102_Wkst'!$G$7:$G$2010,$D69,'LAC 102_Wkst'!$L$7:$L$2010,"10",'LAC 102_Wkst'!$N$7:$N$2010,"P4")</f>
        <v>0</v>
      </c>
      <c r="AQ69" s="411">
        <f>SUMIFS('LAC 102_Wkst'!$AF$7:$AF$2010,'LAC 102_Wkst'!$D$7:$D$2010,$C$7,'LAC 102_Wkst'!$I$7:$I$2010,$C$9,'LAC 102_Wkst'!$E$7:$E$2010,$C69,'LAC 102_Wkst'!$G$7:$G$2010,$D69,'LAC 102_Wkst'!$L$7:$L$2010,"10",'LAC 102_Wkst'!$N$7:$N$2010,"P1")+SUMIFS('LAC 102_Wkst'!$AF$7:$AF$2010,'LAC 102_Wkst'!$D$7:$D$2010,$C$7,'LAC 102_Wkst'!$I$7:$I$2010,$C$9,'LAC 102_Wkst'!$E$7:$E$2010,$C69,'LAC 102_Wkst'!$G$7:$G$2010,$D69,'LAC 102_Wkst'!$L$7:$L$2010,"10",'LAC 102_Wkst'!$N$7:$N$2010,"P2")+SUMIFS('LAC 102_Wkst'!$AF$7:$AF$2010,'LAC 102_Wkst'!$D$7:$D$2010,$C$7,'LAC 102_Wkst'!$I$7:$I$2010,$C$9,'LAC 102_Wkst'!$E$7:$E$2010,$C69,'LAC 102_Wkst'!$G$7:$G$2010,$D69,'LAC 102_Wkst'!$L$7:$L$2010,"10",'LAC 102_Wkst'!$N$7:$N$2010,"P3")+SUMIFS('LAC 102_Wkst'!$AF$7:$AF$2010,'LAC 102_Wkst'!$D$7:$D$2010,$C$7,'LAC 102_Wkst'!$I$7:$I$2010,$C$9,'LAC 102_Wkst'!$E$7:$E$2010,$C69,'LAC 102_Wkst'!$G$7:$G$2010,$D69,'LAC 102_Wkst'!$L$7:$L$2010,"10",'LAC 102_Wkst'!$N$7:$N$2010,"P4")</f>
        <v>0</v>
      </c>
      <c r="AR69" s="410">
        <f>SUMIFS('LAC 102_Wkst'!$Q$7:$Q$2010,'LAC 102_Wkst'!$D$7:$D$2010,$C$7,'LAC 102_Wkst'!$I$7:$I$2010,$C$9,'LAC 102_Wkst'!$E$7:$E$2010,$C69,'LAC 102_Wkst'!$G$7:$G$2010,$D69,'LAC 102_Wkst'!$L$7:$L$2010,"10",'LAC 102_Wkst'!$N$7:$N$2010,"P5")</f>
        <v>0</v>
      </c>
      <c r="AS69" s="411">
        <f>SUMIFS('LAC 102_Wkst'!$AF$7:$AF$2010,'LAC 102_Wkst'!$D$7:$D$2010,$C$7,'LAC 102_Wkst'!$I$7:$I$2010,$C$9,'LAC 102_Wkst'!$E$7:$E$2010,$C69,'LAC 102_Wkst'!$G$7:$G$2010,$D69,'LAC 102_Wkst'!$L$7:$L$2010,"10",'LAC 102_Wkst'!$N$7:$N$2010,"P5")</f>
        <v>0</v>
      </c>
      <c r="AT69" s="410">
        <f>SUMIFS('LAC 102_Wkst'!$Q$7:$Q$2010,'LAC 102_Wkst'!$D$7:$D$2010,$C$7,'LAC 102_Wkst'!$I$7:$I$2010,$C$9,'LAC 102_Wkst'!$E$7:$E$2010,$C69,'LAC 102_Wkst'!$G$7:$G$2010,$D69,'LAC 102_Wkst'!$L$7:$L$2010,"11",'LAC 102_Wkst'!$N$7:$N$2010,"P1")+SUMIFS('LAC 102_Wkst'!$Q$7:$Q$2010,'LAC 102_Wkst'!$D$7:$D$2010,$C$7,'LAC 102_Wkst'!$I$7:$I$2010,$C$9,'LAC 102_Wkst'!$E$7:$E$2010,$C69,'LAC 102_Wkst'!$G$7:$G$2010,$D69,'LAC 102_Wkst'!$L$7:$L$2010,"12",'LAC 102_Wkst'!$N$7:$N$2010,"P1")</f>
        <v>0</v>
      </c>
      <c r="AU69" s="411">
        <f>SUMIFS('LAC 102_Wkst'!$Q$7:$Q$2010,'LAC 102_Wkst'!$D$7:$D$2010,$C$7,'LAC 102_Wkst'!$I$7:$I$2010,$C$9,'LAC 102_Wkst'!$E$7:$E$2010,$C69,'LAC 102_Wkst'!$G$7:$G$2010,$D69,'LAC 102_Wkst'!$L$7:$L$2010,"13",'LAC 102_Wkst'!$N$7:$N$2010,"P5")</f>
        <v>0</v>
      </c>
      <c r="AV69" s="410">
        <f>SUMIFS('LAC 102_Wkst'!$Q$7:$Q$2010,'LAC 102_Wkst'!$D$7:$D$2010,$C$7,'LAC 102_Wkst'!$I$7:$I$2010,$C$9,'LAC 102_Wkst'!$E$7:$E$2010,$C69,'LAC 102_Wkst'!$G$7:$G$2010,$D69,'LAC 102_Wkst'!$L$7:$L$2010,"11",'LAC 102_Wkst'!$N$7:$N$2010,"P2")+SUMIFS('LAC 102_Wkst'!$Q$7:$Q$2010,'LAC 102_Wkst'!$D$7:$D$2010,$C$7,'LAC 102_Wkst'!$I$7:$I$2010,$C$9,'LAC 102_Wkst'!$E$7:$E$2010,$C69,'LAC 102_Wkst'!$G$7:$G$2010,$D69,'LAC 102_Wkst'!$L$7:$L$2010,"12",'LAC 102_Wkst'!$N$7:$N$2010,"P2")+SUMIFS('LAC 102_Wkst'!$Q$7:$Q$2010,'LAC 102_Wkst'!$D$7:$D$2010,$C$7,'LAC 102_Wkst'!$I$7:$I$2010,$C$9,'LAC 102_Wkst'!$E$7:$E$2010,$C69,'LAC 102_Wkst'!$G$7:$G$2010,$D69,'LAC 102_Wkst'!$L$7:$L$2010,"11",'LAC 102_Wkst'!$N$7:$N$2010,"P3")+SUMIFS('LAC 102_Wkst'!$Q$7:$Q$2010,'LAC 102_Wkst'!$D$7:$D$2010,$C$7,'LAC 102_Wkst'!$I$7:$I$2010,$C$9,'LAC 102_Wkst'!$E$7:$E$2010,$C69,'LAC 102_Wkst'!$G$7:$G$2010,$D69,'LAC 102_Wkst'!$L$7:$L$2010,"12",'LAC 102_Wkst'!$N$7:$N$2010,"P3")</f>
        <v>0</v>
      </c>
      <c r="AW69" s="411">
        <f>SUMIFS('LAC 102_Wkst'!$AF$7:$AF$2010,'LAC 102_Wkst'!$D$7:$D$2010,$C$7,'LAC 102_Wkst'!$I$7:$I$2010,$C$9,'LAC 102_Wkst'!$E$7:$E$2010,$C69,'LAC 102_Wkst'!$G$7:$G$2010,$D69,'LAC 102_Wkst'!$L$7:$L$2010,"11",'LAC 102_Wkst'!$N$7:$N$2010,"P2")+SUMIFS('LAC 102_Wkst'!$AF$7:$AF$2010,'LAC 102_Wkst'!$D$7:$D$2010,$C$7,'LAC 102_Wkst'!$I$7:$I$2010,$C$9,'LAC 102_Wkst'!$E$7:$E$2010,$C69,'LAC 102_Wkst'!$G$7:$G$2010,$D69,'LAC 102_Wkst'!$L$7:$L$2010,"12",'LAC 102_Wkst'!$N$7:$N$2010,"P2")+SUMIFS('LAC 102_Wkst'!$AF$7:$AF$2010,'LAC 102_Wkst'!$D$7:$D$2010,$C$7,'LAC 102_Wkst'!$I$7:$I$2010,$C$9,'LAC 102_Wkst'!$E$7:$E$2010,$C69,'LAC 102_Wkst'!$G$7:$G$2010,$D69,'LAC 102_Wkst'!$L$7:$L$2010,"11",'LAC 102_Wkst'!$N$7:$N$2010,"P3")+SUMIFS('LAC 102_Wkst'!$AF$7:$AF$2010,'LAC 102_Wkst'!$D$7:$D$2010,$C$7,'LAC 102_Wkst'!$I$7:$I$2010,$C$9,'LAC 102_Wkst'!$E$7:$E$2010,$C69,'LAC 102_Wkst'!$G$7:$G$2010,$D69,'LAC 102_Wkst'!$L$7:$L$2010,"12",'LAC 102_Wkst'!$N$7:$N$2010,"P3")</f>
        <v>0</v>
      </c>
      <c r="AX69" s="410">
        <f>SUMIFS('LAC 102_Wkst'!$Q$7:$Q$2010,'LAC 102_Wkst'!$D$7:$D$2010,$C$7,'LAC 102_Wkst'!$I$7:$I$2010,$C$9,'LAC 102_Wkst'!$E$7:$E$2010,$C69,'LAC 102_Wkst'!$G$7:$G$2010,$D69,'LAC 102_Wkst'!$L$7:$L$2010,"11",'LAC 102_Wkst'!$N$7:$N$2010,"P4")+SUMIFS('LAC 102_Wkst'!$Q$7:$Q$2010,'LAC 102_Wkst'!$D$7:$D$2010,$C$7,'LAC 102_Wkst'!$I$7:$I$2010,$C$9,'LAC 102_Wkst'!$E$7:$E$2010,$C69,'LAC 102_Wkst'!$G$7:$G$2010,$D69,'LAC 102_Wkst'!$L$7:$L$2010,"12",'LAC 102_Wkst'!$N$7:$N$2010,"P4")</f>
        <v>0</v>
      </c>
      <c r="AY69" s="411">
        <f>SUMIFS('LAC 102_Wkst'!$AF$7:$AF$2010,'LAC 102_Wkst'!$D$7:$D$2010,$C$7,'LAC 102_Wkst'!$I$7:$I$2010,$C$9,'LAC 102_Wkst'!$E$7:$E$2010,$C69,'LAC 102_Wkst'!$G$7:$G$2010,$D69,'LAC 102_Wkst'!$L$7:$L$2010,"11",'LAC 102_Wkst'!$N$7:$N$2010,"P4")+SUMIFS('LAC 102_Wkst'!$AF$7:$AF$2010,'LAC 102_Wkst'!$D$7:$D$2010,$C$7,'LAC 102_Wkst'!$I$7:$I$2010,$C$9,'LAC 102_Wkst'!$E$7:$E$2010,$C69,'LAC 102_Wkst'!$G$7:$G$2010,$D69,'LAC 102_Wkst'!$L$7:$L$2010,"12",'LAC 102_Wkst'!$N$7:$N$2010,"P4")</f>
        <v>0</v>
      </c>
      <c r="AZ69" s="410">
        <f>SUMIFS('LAC 102_Wkst'!$Q$7:$Q$2010,'LAC 102_Wkst'!$D$7:$D$2010,$C$7,'LAC 102_Wkst'!$I$7:$I$2010,$C$9,'LAC 102_Wkst'!$E$7:$E$2010,$C69,'LAC 102_Wkst'!$G$7:$G$2010,$D69,'LAC 102_Wkst'!$L$7:$L$2010,"11",'LAC 102_Wkst'!$N$7:$N$2010,"P5")+SUMIFS('LAC 102_Wkst'!$Q$7:$Q$2010,'LAC 102_Wkst'!$D$7:$D$2010,$C$7,'LAC 102_Wkst'!$I$7:$I$2010,$C$9,'LAC 102_Wkst'!$E$7:$E$2010,$C69,'LAC 102_Wkst'!$G$7:$G$2010,$D69,'LAC 102_Wkst'!$L$7:$L$2010,"12",'LAC 102_Wkst'!$N$7:$N$2010,"P5")</f>
        <v>0</v>
      </c>
      <c r="BA69" s="411">
        <f>SUMIFS('LAC 102_Wkst'!$AF$7:$AF$2010,'LAC 102_Wkst'!$D$7:$D$2010,$C$7,'LAC 102_Wkst'!$I$7:$I$2010,$C$9,'LAC 102_Wkst'!$E$7:$E$2010,$C69,'LAC 102_Wkst'!$G$7:$G$2010,$D69,'LAC 102_Wkst'!$L$7:$L$2010,"11",'LAC 102_Wkst'!$N$7:$N$2010,"P5")+SUMIFS('LAC 102_Wkst'!$AF$7:$AF$2010,'LAC 102_Wkst'!$D$7:$D$2010,$C$7,'LAC 102_Wkst'!$I$7:$I$2010,$C$9,'LAC 102_Wkst'!$E$7:$E$2010,$C69,'LAC 102_Wkst'!$G$7:$G$2010,$D69,'LAC 102_Wkst'!$L$7:$L$2010,"12",'LAC 102_Wkst'!$N$7:$N$2010,"P5")</f>
        <v>0</v>
      </c>
      <c r="BB69" s="410">
        <f>SUMIFS('LAC 102_Wkst'!$Q$7:$Q$2010,'LAC 102_Wkst'!$D$7:$D$2010,$C$7,'LAC 102_Wkst'!$I$7:$I$2010,$C$9,'LAC 102_Wkst'!$E$7:$E$2010,$C69,'LAC 102_Wkst'!$G$7:$G$2010,$D69,'LAC 102_Wkst'!$L$7:$L$2010,"13",'LAC 102_Wkst'!$N$7:$N$2010,"P1")+SUMIFS('LAC 102_Wkst'!$Q$7:$Q$2010,'LAC 102_Wkst'!$D$7:$D$2010,$C$7,'LAC 102_Wkst'!$I$7:$I$2010,$C$9,'LAC 102_Wkst'!$E$7:$E$2010,$C69,'LAC 102_Wkst'!$G$7:$G$2010,$D69,'LAC 102_Wkst'!$L$7:$L$2010,"13",'LAC 102_Wkst'!$N$7:$N$2010,"P2")+SUMIFS('LAC 102_Wkst'!$Q$7:$Q$2010,'LAC 102_Wkst'!$D$7:$D$2010,$C$7,'LAC 102_Wkst'!$I$7:$I$2010,$C$9,'LAC 102_Wkst'!$E$7:$E$2010,$C69,'LAC 102_Wkst'!$G$7:$G$2010,$D69,'LAC 102_Wkst'!$L$7:$L$2010,"13",'LAC 102_Wkst'!$N$7:$N$2010,"P3")+SUMIFS('LAC 102_Wkst'!$Q$7:$Q$2010,'LAC 102_Wkst'!$D$7:$D$2010,$C$7,'LAC 102_Wkst'!$I$7:$I$2010,$C$9,'LAC 102_Wkst'!$E$7:$E$2010,$C69,'LAC 102_Wkst'!$G$7:$G$2010,$D69,'LAC 102_Wkst'!$L$7:$L$2010,"13",'LAC 102_Wkst'!$N$7:$N$2010,"P4")</f>
        <v>0</v>
      </c>
      <c r="BC69" s="411">
        <f>SUMIFS('LAC 102_Wkst'!$AF$7:$AF$2010,'LAC 102_Wkst'!$D$7:$D$2010,$C$7,'LAC 102_Wkst'!$I$7:$I$2010,$C$9,'LAC 102_Wkst'!$E$7:$E$2010,$C69,'LAC 102_Wkst'!$G$7:$G$2010,$D69,'LAC 102_Wkst'!$L$7:$L$2010,"13",'LAC 102_Wkst'!$N$7:$N$2010,"P1")+SUMIFS('LAC 102_Wkst'!$AF$7:$AF$2010,'LAC 102_Wkst'!$D$7:$D$2010,$C$7,'LAC 102_Wkst'!$I$7:$I$2010,$C$9,'LAC 102_Wkst'!$E$7:$E$2010,$C69,'LAC 102_Wkst'!$G$7:$G$2010,$D69,'LAC 102_Wkst'!$L$7:$L$2010,"13",'LAC 102_Wkst'!$N$7:$N$2010,"P2")+SUMIFS('LAC 102_Wkst'!$AF$7:$AF$2010,'LAC 102_Wkst'!$D$7:$D$2010,$C$7,'LAC 102_Wkst'!$I$7:$I$2010,$C$9,'LAC 102_Wkst'!$E$7:$E$2010,$C69,'LAC 102_Wkst'!$G$7:$G$2010,$D69,'LAC 102_Wkst'!$L$7:$L$2010,"13",'LAC 102_Wkst'!$N$7:$N$2010,"P3")+SUMIFS('LAC 102_Wkst'!$AF$7:$AF$2010,'LAC 102_Wkst'!$D$7:$D$2010,$C$7,'LAC 102_Wkst'!$I$7:$I$2010,$C$9,'LAC 102_Wkst'!$E$7:$E$2010,$C69,'LAC 102_Wkst'!$G$7:$G$2010,$D69,'LAC 102_Wkst'!$L$7:$L$2010,"13",'LAC 102_Wkst'!$N$7:$N$2010,"P4")</f>
        <v>0</v>
      </c>
      <c r="BD69" s="410">
        <f>SUMIFS('LAC 102_Wkst'!$Q$7:$Q$2010,'LAC 102_Wkst'!$D$7:$D$2010,$C$7,'LAC 102_Wkst'!$I$7:$I$2010,$C$9,'LAC 102_Wkst'!$E$7:$E$2010,$C69,'LAC 102_Wkst'!$G$7:$G$2010,$D69,'LAC 102_Wkst'!$L$7:$L$2010,"13",'LAC 102_Wkst'!$N$7:$N$2010,"P5")</f>
        <v>0</v>
      </c>
      <c r="BE69" s="411">
        <f>SUMIFS('LAC 102_Wkst'!$AF$7:$AF$2010,'LAC 102_Wkst'!$D$7:$D$2010,$C$7,'LAC 102_Wkst'!$I$7:$I$2010,$C$9,'LAC 102_Wkst'!$E$7:$E$2010,$C69,'LAC 102_Wkst'!$G$7:$G$2010,$D69,'LAC 102_Wkst'!$L$7:$L$2010,"13",'LAC 102_Wkst'!$N$7:$N$2010,"P5")</f>
        <v>0</v>
      </c>
      <c r="BF69" s="407">
        <f t="shared" si="4"/>
        <v>0</v>
      </c>
      <c r="BG69" s="1654">
        <f>SUMIFS('LAC 102_Wkst'!$AF$7:$AF$2010,'LAC 102_Wkst'!$D$7:$D$2010,$C$7,'LAC 102_Wkst'!$I$7:$I$2010,$C$9,'LAC 102_Wkst'!$E$7:$E$2010,$C69,'LAC 102_Wkst'!$G$7:$G$2010,$D69,'LAC 102_Wkst'!$L$7:$L$2010,"14")</f>
        <v>0</v>
      </c>
    </row>
    <row r="70" spans="1:59" x14ac:dyDescent="0.2">
      <c r="A70" s="401">
        <v>48</v>
      </c>
      <c r="B70" s="1678" t="str">
        <f>IF(Schedule_B!B$67="","",Schedule_B!B$67)</f>
        <v/>
      </c>
      <c r="C70" s="1674" t="str">
        <f>IF(Schedule_B!C$67=""," ",Schedule_B!C$67)</f>
        <v xml:space="preserve"> </v>
      </c>
      <c r="D70" s="1675" t="str">
        <f>IF(Schedule_B!D$67=""," ",Schedule_B!D$67)</f>
        <v xml:space="preserve"> </v>
      </c>
      <c r="E70" s="1221">
        <f>SUMIFS('LAC 102_Wkst'!$Q$7:$Q$2010,'LAC 102_Wkst'!$D$7:$D$2010,$C$7,'LAC 102_Wkst'!$I$7:$I$2010,$C$9,'LAC 102_Wkst'!$E$7:$E$2010,$C70,'LAC 102_Wkst'!$G$7:$G$2010,$D70)</f>
        <v>0</v>
      </c>
      <c r="F70" s="408">
        <f>SUMIFS('LAC 102_Wkst'!$Q$7:$Q$2010,'LAC 102_Wkst'!$D$7:$D$2010,$C$7,'LAC 102_Wkst'!$I$7:$I$2010,$C$9,'LAC 102_Wkst'!$E$7:$E$2010,$C70,'LAC 102_Wkst'!$G$7:$G$2010,$D70,'LAC 102_Wkst'!$L$7:$L$2010,"01",'LAC 102_Wkst'!$N$7:$N$2010,"P1")+SUMIFS('LAC 102_Wkst'!$Q$7:$Q$2010,'LAC 102_Wkst'!$D$7:$D$2010,$C$7,'LAC 102_Wkst'!$I$7:$I$2010,$C$9,'LAC 102_Wkst'!$E$7:$E$2010,$C70,'LAC 102_Wkst'!$G$7:$G$2010,$D70,'LAC 102_Wkst'!$L$7:$L$2010,"01",'LAC 102_Wkst'!$N$7:$N$2010,"P2")+SUMIFS('LAC 102_Wkst'!$Q$7:$Q$2010,'LAC 102_Wkst'!$D$7:$D$2010,$C$7,'LAC 102_Wkst'!$I$7:$I$2010,$C$9,'LAC 102_Wkst'!$E$7:$E$2010,$C70,'LAC 102_Wkst'!$G$7:$G$2010,$D70,'LAC 102_Wkst'!$L$7:$L$2010,"01",'LAC 102_Wkst'!$N$7:$N$2010,"P3")+SUMIFS('LAC 102_Wkst'!$Q$7:$Q$2010,'LAC 102_Wkst'!$D$7:$D$2010,$C$7,'LAC 102_Wkst'!$I$7:$I$2010,$C$9,'LAC 102_Wkst'!$E$7:$E$2010,$C70,'LAC 102_Wkst'!$G$7:$G$2010,$D70,'LAC 102_Wkst'!$L$7:$L$2010,"02",'LAC 102_Wkst'!$N$7:$N$2010,"P1")+SUMIFS('LAC 102_Wkst'!$Q$7:$Q$2010,'LAC 102_Wkst'!$D$7:$D$2010,$C$7,'LAC 102_Wkst'!$I$7:$I$2010,$C$9,'LAC 102_Wkst'!$E$7:$E$2010,$C70,'LAC 102_Wkst'!$G$7:$G$2010,$D70,'LAC 102_Wkst'!$L$7:$L$2010,"02",'LAC 102_Wkst'!$N$7:$N$2010,"P2")+SUMIFS('LAC 102_Wkst'!$Q$7:$Q$2010,'LAC 102_Wkst'!$D$7:$D$2010,$C$7,'LAC 102_Wkst'!$I$7:$I$2010,$C$9,'LAC 102_Wkst'!$E$7:$E$2010,$C70,'LAC 102_Wkst'!$G$7:$G$2010,$D70,'LAC 102_Wkst'!$L$7:$L$2010,"02",'LAC 102_Wkst'!$N$7:$N$2010,"P3")</f>
        <v>0</v>
      </c>
      <c r="G70" s="409">
        <f>SUMIFS('LAC 102_Wkst'!$AF$7:$AF$2010,'LAC 102_Wkst'!$D$7:$D$2010,$C$7,'LAC 102_Wkst'!$I$7:$I$2010,$C$9,'LAC 102_Wkst'!$E$7:$E$2010,$C70,'LAC 102_Wkst'!$G$7:$G$2010,$D70,'LAC 102_Wkst'!$L$7:$L$2010,"01",'LAC 102_Wkst'!$N$7:$N$2010,"P1")+SUMIFS('LAC 102_Wkst'!$AF$7:$AF$2010,'LAC 102_Wkst'!$D$7:$D$2010,$C$7,'LAC 102_Wkst'!$I$7:$I$2010,$C$9,'LAC 102_Wkst'!$E$7:$E$2010,$C70,'LAC 102_Wkst'!$G$7:$G$2010,$D70,'LAC 102_Wkst'!$L$7:$L$2010,"01",'LAC 102_Wkst'!$N$7:$N$2010,"P2")+SUMIFS('LAC 102_Wkst'!$AF$7:$AF$2010,'LAC 102_Wkst'!$D$7:$D$2010,$C$7,'LAC 102_Wkst'!$I$7:$I$2010,$C$9,'LAC 102_Wkst'!$E$7:$E$2010,$C70,'LAC 102_Wkst'!$G$7:$G$2010,$D70,'LAC 102_Wkst'!$L$7:$L$2010,"01",'LAC 102_Wkst'!$N$7:$N$2010,"P3")+SUMIFS('LAC 102_Wkst'!$AF$7:$AF$2010,'LAC 102_Wkst'!$D$7:$D$2010,$C$7,'LAC 102_Wkst'!$I$7:$I$2010,$C$9,'LAC 102_Wkst'!$E$7:$E$2010,$C70,'LAC 102_Wkst'!$G$7:$G$2010,$D70,'LAC 102_Wkst'!$L$7:$L$2010,"02",'LAC 102_Wkst'!$N$7:$N$2010,"P1")+SUMIFS('LAC 102_Wkst'!$AF$7:$AF$2010,'LAC 102_Wkst'!$D$7:$D$2010,$C$7,'LAC 102_Wkst'!$I$7:$I$2010,$C$9,'LAC 102_Wkst'!$E$7:$E$2010,$C70,'LAC 102_Wkst'!$G$7:$G$2010,$D70,'LAC 102_Wkst'!$L$7:$L$2010,"02",'LAC 102_Wkst'!$N$7:$N$2010,"P2")+SUMIFS('LAC 102_Wkst'!$AF$7:$AF$2010,'LAC 102_Wkst'!$D$7:$D$2010,$C$7,'LAC 102_Wkst'!$I$7:$I$2010,$C$9,'LAC 102_Wkst'!$E$7:$E$2010,$C70,'LAC 102_Wkst'!$G$7:$G$2010,$D70,'LAC 102_Wkst'!$L$7:$L$2010,"02",'LAC 102_Wkst'!$N$7:$N$2010,"P3")</f>
        <v>0</v>
      </c>
      <c r="H70" s="410">
        <f>SUMIFS('LAC 102_Wkst'!$Q$7:$Q$2010,'LAC 102_Wkst'!$D$7:$D$2010,$C$7,'LAC 102_Wkst'!$I$7:$I$2010,$C$9,'LAC 102_Wkst'!$E$7:$E$2010,$C70,'LAC 102_Wkst'!$G$7:$G$2010,$D70,'LAC 102_Wkst'!$L$7:$L$2010,"01",'LAC 102_Wkst'!$N$7:$N$2010,"P4")+SUMIFS('LAC 102_Wkst'!$Q$7:$Q$2010,'LAC 102_Wkst'!$D$7:$D$2010,$C$7,'LAC 102_Wkst'!$I$7:$I$2010,$C$9,'LAC 102_Wkst'!$E$7:$E$2010,$C70,'LAC 102_Wkst'!$G$7:$G$2010,$D70,'LAC 102_Wkst'!$L$7:$L$2010,"02",'LAC 102_Wkst'!$N$7:$N$2010,"P4")</f>
        <v>0</v>
      </c>
      <c r="I70" s="411">
        <f>SUMIFS('LAC 102_Wkst'!$AF$7:$AF$2010,'LAC 102_Wkst'!$D$7:$D$2010,$C$7,'LAC 102_Wkst'!$I$7:$I$2010,$C$9,'LAC 102_Wkst'!$E$7:$E$2010,$C70,'LAC 102_Wkst'!$G$7:$G$2010,$D70,'LAC 102_Wkst'!$L$7:$L$2010,"01",'LAC 102_Wkst'!$N$7:$N$2010,"P4")+SUMIFS('LAC 102_Wkst'!$AF$7:$AF$2010,'LAC 102_Wkst'!$D$7:$D$2010,$C$7,'LAC 102_Wkst'!$I$7:$I$2010,$C$9,'LAC 102_Wkst'!$E$7:$E$2010,$C70,'LAC 102_Wkst'!$G$7:$G$2010,$D70,'LAC 102_Wkst'!$L$7:$L$2010,"02",'LAC 102_Wkst'!$N$7:$N$2010,"P4")</f>
        <v>0</v>
      </c>
      <c r="J70" s="410">
        <f>SUMIFS('LAC 102_Wkst'!$Q$7:$Q$2010,'LAC 102_Wkst'!$D$7:$D$2010,$C$7,'LAC 102_Wkst'!$I$7:$I$2010,$C$9,'LAC 102_Wkst'!$E$7:$E$2010,$C70,'LAC 102_Wkst'!$G$7:$G$2010,$D70,'LAC 102_Wkst'!$L$7:$L$2010,"01",'LAC 102_Wkst'!$N$7:$N$2010,"P5")+SUMIFS('LAC 102_Wkst'!$Q$7:$Q$2010,'LAC 102_Wkst'!$D$7:$D$2010,$C$7,'LAC 102_Wkst'!$I$7:$I$2010,$C$9,'LAC 102_Wkst'!$E$7:$E$2010,$C70,'LAC 102_Wkst'!$G$7:$G$2010,$D70,'LAC 102_Wkst'!$L$7:$L$2010,"02",'LAC 102_Wkst'!$N$7:$N$2010,"P5")</f>
        <v>0</v>
      </c>
      <c r="K70" s="411">
        <f>SUMIFS('LAC 102_Wkst'!$AF$7:$AF$2010,'LAC 102_Wkst'!$D$7:$D$2010,$C$7,'LAC 102_Wkst'!$I$7:$I$2010,$C$9,'LAC 102_Wkst'!$E$7:$E$2010,$C70,'LAC 102_Wkst'!$G$7:$G$2010,$D70,'LAC 102_Wkst'!$L$7:$L$2010,"01",'LAC 102_Wkst'!$N$7:$N$2010,"P5")+SUMIFS('LAC 102_Wkst'!$AF$7:$AF$2010,'LAC 102_Wkst'!$D$7:$D$2010,$C$7,'LAC 102_Wkst'!$I$7:$I$2010,$C$9,'LAC 102_Wkst'!$E$7:$E$2010,$C70,'LAC 102_Wkst'!$G$7:$G$2010,$D70,'LAC 102_Wkst'!$L$7:$L$2010,"02",'LAC 102_Wkst'!$N$7:$N$2010,"P5")</f>
        <v>0</v>
      </c>
      <c r="L70" s="410">
        <f>SUMIFS('LAC 102_Wkst'!$Q$7:$Q$2010,'LAC 102_Wkst'!$D$7:$D$2010,$C$7,'LAC 102_Wkst'!$I$7:$I$2010,$C$9,'LAC 102_Wkst'!$E$7:$E$2010,$C70,'LAC 102_Wkst'!$G$7:$G$2010,$D70,'LAC 102_Wkst'!$L$7:$L$2010,"03",'LAC 102_Wkst'!$N$7:$N$2010,"P1")+SUMIFS('LAC 102_Wkst'!$Q$7:$Q$2010,'LAC 102_Wkst'!$D$7:$D$2010,$C$7,'LAC 102_Wkst'!$I$7:$I$2010,$C$9,'LAC 102_Wkst'!$E$7:$E$2010,$C70,'LAC 102_Wkst'!$G$7:$G$2010,$D70,'LAC 102_Wkst'!$L$7:$L$2010,"03",'LAC 102_Wkst'!$N$7:$N$2010,"P2")+SUMIFS('LAC 102_Wkst'!$Q$7:$Q$2010,'LAC 102_Wkst'!$D$7:$D$2010,$C$7,'LAC 102_Wkst'!$I$7:$I$2010,$C$9,'LAC 102_Wkst'!$E$7:$E$2010,$C70,'LAC 102_Wkst'!$G$7:$G$2010,$D70,'LAC 102_Wkst'!$L$7:$L$2010,"03",'LAC 102_Wkst'!$N$7:$N$2010,"P3")+SUMIFS('LAC 102_Wkst'!$Q$7:$Q$2010,'LAC 102_Wkst'!$D$7:$D$2010,$C$7,'LAC 102_Wkst'!$I$7:$I$2010,$C$9,'LAC 102_Wkst'!$E$7:$E$2010,$C70,'LAC 102_Wkst'!$G$7:$G$2010,$D70,'LAC 102_Wkst'!$L$7:$L$2010,"04",'LAC 102_Wkst'!$N$7:$N$2010,"P1")+SUMIFS('LAC 102_Wkst'!$Q$7:$Q$2010,'LAC 102_Wkst'!$D$7:$D$2010,$C$7,'LAC 102_Wkst'!$I$7:$I$2010,$C$9,'LAC 102_Wkst'!$E$7:$E$2010,$C70,'LAC 102_Wkst'!$G$7:$G$2010,$D70,'LAC 102_Wkst'!$L$7:$L$2010,"04",'LAC 102_Wkst'!$N$7:$N$2010,"P2")+SUMIFS('LAC 102_Wkst'!$Q$7:$Q$2010,'LAC 102_Wkst'!$D$7:$D$2010,$C$7,'LAC 102_Wkst'!$I$7:$I$2010,$C$9,'LAC 102_Wkst'!$E$7:$E$2010,$C70,'LAC 102_Wkst'!$G$7:$G$2010,$D70,'LAC 102_Wkst'!$L$7:$L$2010,"04",'LAC 102_Wkst'!$N$7:$N$2010,"P3")</f>
        <v>0</v>
      </c>
      <c r="M70" s="411">
        <f>SUMIFS('LAC 102_Wkst'!$AF$7:$AF$2010,'LAC 102_Wkst'!$D$7:$D$2010,$C$7,'LAC 102_Wkst'!$I$7:$I$2010,$C$9,'LAC 102_Wkst'!$E$7:$E$2010,$C70,'LAC 102_Wkst'!$G$7:$G$2010,$D70,'LAC 102_Wkst'!$L$7:$L$2010,"03",'LAC 102_Wkst'!$N$7:$N$2010,"P1")+SUMIFS('LAC 102_Wkst'!$AF$7:$AF$2010,'LAC 102_Wkst'!$D$7:$D$2010,$C$7,'LAC 102_Wkst'!$I$7:$I$2010,$C$9,'LAC 102_Wkst'!$E$7:$E$2010,$C70,'LAC 102_Wkst'!$G$7:$G$2010,$D70,'LAC 102_Wkst'!$L$7:$L$2010,"03",'LAC 102_Wkst'!$N$7:$N$2010,"P2")+SUMIFS('LAC 102_Wkst'!$AF$7:$AF$2010,'LAC 102_Wkst'!$D$7:$D$2010,$C$7,'LAC 102_Wkst'!$I$7:$I$2010,$C$9,'LAC 102_Wkst'!$E$7:$E$2010,$C70,'LAC 102_Wkst'!$G$7:$G$2010,$D70,'LAC 102_Wkst'!$L$7:$L$2010,"03",'LAC 102_Wkst'!$N$7:$N$2010,"P3")+SUMIFS('LAC 102_Wkst'!$AF$7:$AF$2010,'LAC 102_Wkst'!$D$7:$D$2010,$C$7,'LAC 102_Wkst'!$I$7:$I$2010,$C$9,'LAC 102_Wkst'!$E$7:$E$2010,$C70,'LAC 102_Wkst'!$G$7:$G$2010,$D70,'LAC 102_Wkst'!$L$7:$L$2010,"04",'LAC 102_Wkst'!$N$7:$N$2010,"P1")+SUMIFS('LAC 102_Wkst'!$AF$7:$AF$2010,'LAC 102_Wkst'!$D$7:$D$2010,$C$7,'LAC 102_Wkst'!$I$7:$I$2010,$C$9,'LAC 102_Wkst'!$E$7:$E$2010,$C70,'LAC 102_Wkst'!$G$7:$G$2010,$D70,'LAC 102_Wkst'!$L$7:$L$2010,"04",'LAC 102_Wkst'!$N$7:$N$2010,"P2")+SUMIFS('LAC 102_Wkst'!$AF$7:$AF$2010,'LAC 102_Wkst'!$D$7:$D$2010,$C$7,'LAC 102_Wkst'!$I$7:$I$2010,$C$9,'LAC 102_Wkst'!$E$7:$E$2010,$C70,'LAC 102_Wkst'!$G$7:$G$2010,$D70,'LAC 102_Wkst'!$L$7:$L$2010,"04",'LAC 102_Wkst'!$N$7:$N$2010,"P3")</f>
        <v>0</v>
      </c>
      <c r="N70" s="410">
        <f>SUMIFS('LAC 102_Wkst'!$Q$7:$Q$2010,'LAC 102_Wkst'!$D$7:$D$2010,$C$7,'LAC 102_Wkst'!$I$7:$I$2010,$C$9,'LAC 102_Wkst'!$E$7:$E$2010,$C70,'LAC 102_Wkst'!$G$7:$G$2010,$D70,'LAC 102_Wkst'!$L$7:$L$2010,"03",'LAC 102_Wkst'!$N$7:$N$2010,"P4")+SUMIFS('LAC 102_Wkst'!$Q$7:$Q$2010,'LAC 102_Wkst'!$D$7:$D$2010,$C$7,'LAC 102_Wkst'!$I$7:$I$2010,$C$9,'LAC 102_Wkst'!$E$7:$E$2010,$C70,'LAC 102_Wkst'!$G$7:$G$2010,$D70,'LAC 102_Wkst'!$L$7:$L$2010,"04",'LAC 102_Wkst'!$N$7:$N$2010,"P4")</f>
        <v>0</v>
      </c>
      <c r="O70" s="411">
        <f>SUMIFS('LAC 102_Wkst'!$AF$7:$AF$2010,'LAC 102_Wkst'!$D$7:$D$2010,$C$7,'LAC 102_Wkst'!$I$7:$I$2010,$C$9,'LAC 102_Wkst'!$E$7:$E$2010,$C70,'LAC 102_Wkst'!$G$7:$G$2010,$D70,'LAC 102_Wkst'!$L$7:$L$2010,"03",'LAC 102_Wkst'!$N$7:$N$2010,"P4")+SUMIFS('LAC 102_Wkst'!$AF$7:$AF$2010,'LAC 102_Wkst'!$D$7:$D$2010,$C$7,'LAC 102_Wkst'!$I$7:$I$2010,$C$9,'LAC 102_Wkst'!$E$7:$E$2010,$C70,'LAC 102_Wkst'!$G$7:$G$2010,$D70,'LAC 102_Wkst'!$L$7:$L$2010,"04",'LAC 102_Wkst'!$N$7:$N$2010,"P4")</f>
        <v>0</v>
      </c>
      <c r="P70" s="410">
        <f>SUMIFS('LAC 102_Wkst'!$Q$7:$Q$2010,'LAC 102_Wkst'!$D$7:$D$2010,$C$7,'LAC 102_Wkst'!$I$7:$I$2010,$C$9,'LAC 102_Wkst'!$E$7:$E$2010,$C70,'LAC 102_Wkst'!$G$7:$G$2010,$D70,'LAC 102_Wkst'!$L$7:$L$2010,"03",'LAC 102_Wkst'!$N$7:$N$2010,"P5")+SUMIFS('LAC 102_Wkst'!$Q$7:$Q$2010,'LAC 102_Wkst'!$D$7:$D$2010,$C$7,'LAC 102_Wkst'!$I$7:$I$2010,$C$9,'LAC 102_Wkst'!$E$7:$E$2010,$C70,'LAC 102_Wkst'!$G$7:$G$2010,$D70,'LAC 102_Wkst'!$L$7:$L$2010,"04",'LAC 102_Wkst'!$N$7:$N$2010,"P5")</f>
        <v>0</v>
      </c>
      <c r="Q70" s="411">
        <f>SUMIFS('LAC 102_Wkst'!$AF$7:$AF$2010,'LAC 102_Wkst'!$D$7:$D$2010,$C$7,'LAC 102_Wkst'!$I$7:$I$2010,$C$9,'LAC 102_Wkst'!$E$7:$E$2010,$C70,'LAC 102_Wkst'!$G$7:$G$2010,$D70,'LAC 102_Wkst'!$L$7:$L$2010,"03",'LAC 102_Wkst'!$N$7:$N$2010,"P5")+SUMIFS('LAC 102_Wkst'!$AF$7:$AF$2010,'LAC 102_Wkst'!$D$7:$D$2010,$C$7,'LAC 102_Wkst'!$I$7:$I$2010,$C$9,'LAC 102_Wkst'!$E$7:$E$2010,$C70,'LAC 102_Wkst'!$G$7:$G$2010,$D70,'LAC 102_Wkst'!$L$7:$L$2010,"04",'LAC 102_Wkst'!$N$7:$N$2010,"P5")</f>
        <v>0</v>
      </c>
      <c r="R70" s="412">
        <f>SUMIFS('LAC 102_Wkst'!$Q$7:$Q$2010,'LAC 102_Wkst'!$D$7:$D$2010,$C$7,'LAC 102_Wkst'!$I$7:$I$2010,$C$9,'LAC 102_Wkst'!$E$7:$E$2010,$C70,'LAC 102_Wkst'!$G$7:$G$2010,$D70,'LAC 102_Wkst'!$L$7:$L$2010,"05",'LAC 102_Wkst'!$N$7:$N$2010,"P1")+SUMIFS('LAC 102_Wkst'!$Q$7:$Q$2010,'LAC 102_Wkst'!$D$7:$D$2010,$C$7,'LAC 102_Wkst'!$I$7:$I$2010,$C$9,'LAC 102_Wkst'!$E$7:$E$2010,$C70,'LAC 102_Wkst'!$G$7:$G$2010,$D70,'LAC 102_Wkst'!$L$7:$L$2010,"06",'LAC 102_Wkst'!$N$7:$N$2010,"P1")</f>
        <v>0</v>
      </c>
      <c r="S70" s="411">
        <f>SUMIFS('LAC 102_Wkst'!$AF$7:$AF$2010,'LAC 102_Wkst'!$D$7:$D$2010,$C$7,'LAC 102_Wkst'!$I$7:$I$2010,$C$9,'LAC 102_Wkst'!$E$7:$E$2010,$C70,'LAC 102_Wkst'!$G$7:$G$2010,$D70,'LAC 102_Wkst'!$L$7:$L$2010,"05",'LAC 102_Wkst'!$N$7:$N$2010,"P1")+SUMIFS('LAC 102_Wkst'!$AF$7:$AF$2010,'LAC 102_Wkst'!$D$7:$D$2010,$C$7,'LAC 102_Wkst'!$I$7:$I$2010,$C$9,'LAC 102_Wkst'!$E$7:$E$2010,$C70,'LAC 102_Wkst'!$G$7:$G$2010,$D70,'LAC 102_Wkst'!$L$7:$L$2010,"06",'LAC 102_Wkst'!$N$7:$N$2010,"P1")</f>
        <v>0</v>
      </c>
      <c r="T70" s="410">
        <f>SUMIFS('LAC 102_Wkst'!$Q$7:$Q$2010,'LAC 102_Wkst'!$D$7:$D$2010,$C$7,'LAC 102_Wkst'!$I$7:$I$2010,$C$9,'LAC 102_Wkst'!$E$7:$E$2010,$C70,'LAC 102_Wkst'!$G$7:$G$2010,$D70,'LAC 102_Wkst'!$L$7:$L$2010,"05",'LAC 102_Wkst'!$N$7:$N$2010,"P2")+SUMIFS('LAC 102_Wkst'!$Q$7:$Q$2010,'LAC 102_Wkst'!$D$7:$D$2010,$C$7,'LAC 102_Wkst'!$I$7:$I$2010,$C$9,'LAC 102_Wkst'!$E$7:$E$2010,$C70,'LAC 102_Wkst'!$G$7:$G$2010,$D70,'LAC 102_Wkst'!$L$7:$L$2010,"06",'LAC 102_Wkst'!$N$7:$N$2010,"P2")+SUMIFS('LAC 102_Wkst'!$Q$7:$Q$2010,'LAC 102_Wkst'!$D$7:$D$2010,$C$7,'LAC 102_Wkst'!$I$7:$I$2010,$C$9,'LAC 102_Wkst'!$E$7:$E$2010,$C70,'LAC 102_Wkst'!$G$7:$G$2010,$D70,'LAC 102_Wkst'!$L$7:$L$2010,"05",'LAC 102_Wkst'!$N$7:$N$2010,"P3")+SUMIFS('LAC 102_Wkst'!$Q$7:$Q$2010,'LAC 102_Wkst'!$D$7:$D$2010,$C$7,'LAC 102_Wkst'!$I$7:$I$2010,$C$9,'LAC 102_Wkst'!$E$7:$E$2010,$C70,'LAC 102_Wkst'!$G$7:$G$2010,$D70,'LAC 102_Wkst'!$L$7:$L$2010,"06",'LAC 102_Wkst'!$N$7:$N$2010,"P3")</f>
        <v>0</v>
      </c>
      <c r="U70" s="411">
        <f>SUMIFS('LAC 102_Wkst'!$AF$7:$AF$2010,'LAC 102_Wkst'!$D$7:$D$2010,$C$7,'LAC 102_Wkst'!$I$7:$I$2010,$C$9,'LAC 102_Wkst'!$E$7:$E$2010,$C70,'LAC 102_Wkst'!$G$7:$G$2010,$D70,'LAC 102_Wkst'!$L$7:$L$2010,"05",'LAC 102_Wkst'!$N$7:$N$2010,"P2")+SUMIFS('LAC 102_Wkst'!$AF$7:$AF$2010,'LAC 102_Wkst'!$D$7:$D$2010,$C$7,'LAC 102_Wkst'!$I$7:$I$2010,$C$9,'LAC 102_Wkst'!$E$7:$E$2010,$C70,'LAC 102_Wkst'!$G$7:$G$2010,$D70,'LAC 102_Wkst'!$L$7:$L$2010,"06",'LAC 102_Wkst'!$N$7:$N$2010,"P2")+SUMIFS('LAC 102_Wkst'!$AF$7:$AF$2010,'LAC 102_Wkst'!$D$7:$D$2010,$C$7,'LAC 102_Wkst'!$I$7:$I$2010,$C$9,'LAC 102_Wkst'!$E$7:$E$2010,$C70,'LAC 102_Wkst'!$G$7:$G$2010,$D70,'LAC 102_Wkst'!$L$7:$L$2010,"05",'LAC 102_Wkst'!$N$7:$N$2010,"P3")+SUMIFS('LAC 102_Wkst'!$AF$7:$AF$2010,'LAC 102_Wkst'!$D$7:$D$2010,$C$7,'LAC 102_Wkst'!$I$7:$I$2010,$C$9,'LAC 102_Wkst'!$E$7:$E$2010,$C70,'LAC 102_Wkst'!$G$7:$G$2010,$D70,'LAC 102_Wkst'!$L$7:$L$2010,"06",'LAC 102_Wkst'!$N$7:$N$2010,"P3")</f>
        <v>0</v>
      </c>
      <c r="V70" s="410">
        <f>SUMIFS('LAC 102_Wkst'!$Q$7:$Q$2010,'LAC 102_Wkst'!$D$7:$D$2010,$C$7,'LAC 102_Wkst'!$I$7:$I$2010,$C$9,'LAC 102_Wkst'!$E$7:$E$2010,$C70,'LAC 102_Wkst'!$G$7:$G$2010,$D70,'LAC 102_Wkst'!$L$7:$L$2010,"05",'LAC 102_Wkst'!$N$7:$N$2010,"P4")+SUMIFS('LAC 102_Wkst'!$Q$7:$Q$2010,'LAC 102_Wkst'!$D$7:$D$2010,$C$7,'LAC 102_Wkst'!$I$7:$I$2010,$C$9,'LAC 102_Wkst'!$E$7:$E$2010,$C70,'LAC 102_Wkst'!$G$7:$G$2010,$D70,'LAC 102_Wkst'!$L$7:$L$2010,"06",'LAC 102_Wkst'!$N$7:$N$2010,"P4")</f>
        <v>0</v>
      </c>
      <c r="W70" s="411">
        <f>SUMIFS('LAC 102_Wkst'!$AF$7:$AF$2010,'LAC 102_Wkst'!$D$7:$D$2010,$C$7,'LAC 102_Wkst'!$I$7:$I$2010,$C$9,'LAC 102_Wkst'!$E$7:$E$2010,$C70,'LAC 102_Wkst'!$G$7:$G$2010,$D70,'LAC 102_Wkst'!$L$7:$L$2010,"05",'LAC 102_Wkst'!$N$7:$N$2010,"P4")+SUMIFS('LAC 102_Wkst'!$AF$7:$AF$2010,'LAC 102_Wkst'!$D$7:$D$2010,$C$7,'LAC 102_Wkst'!$I$7:$I$2010,$C$9,'LAC 102_Wkst'!$E$7:$E$2010,$C70,'LAC 102_Wkst'!$G$7:$G$2010,$D70,'LAC 102_Wkst'!$L$7:$L$2010,"06",'LAC 102_Wkst'!$N$7:$N$2010,"P4")</f>
        <v>0</v>
      </c>
      <c r="X70" s="410">
        <f>SUMIFS('LAC 102_Wkst'!$Q$7:$Q$2010,'LAC 102_Wkst'!$D$7:$D$2010,$C$7,'LAC 102_Wkst'!$I$7:$I$2010,$C$9,'LAC 102_Wkst'!$E$7:$E$2010,$C70,'LAC 102_Wkst'!$G$7:$G$2010,$D70,'LAC 102_Wkst'!$L$7:$L$2010,"05",'LAC 102_Wkst'!$N$7:$N$2010,"P5")+SUMIFS('LAC 102_Wkst'!$Q$7:$Q$2010,'LAC 102_Wkst'!$D$7:$D$2010,$C$7,'LAC 102_Wkst'!$I$7:$I$2010,$C$9,'LAC 102_Wkst'!$E$7:$E$2010,$C70,'LAC 102_Wkst'!$G$7:$G$2010,$D70,'LAC 102_Wkst'!$L$7:$L$2010,"06",'LAC 102_Wkst'!$N$7:$N$2010,"P5")</f>
        <v>0</v>
      </c>
      <c r="Y70" s="411">
        <f>SUMIFS('LAC 102_Wkst'!$AF$7:$AF$2010,'LAC 102_Wkst'!$D$7:$D$2010,$C$7,'LAC 102_Wkst'!$I$7:$I$2010,$C$9,'LAC 102_Wkst'!$E$7:$E$2010,$C70,'LAC 102_Wkst'!$G$7:$G$2010,$D70,'LAC 102_Wkst'!$L$7:$L$2010,"05",'LAC 102_Wkst'!$N$7:$N$2010,"P5")+SUMIFS('LAC 102_Wkst'!$AF$7:$AF$2010,'LAC 102_Wkst'!$D$7:$D$2010,$C$7,'LAC 102_Wkst'!$I$7:$I$2010,$C$9,'LAC 102_Wkst'!$E$7:$E$2010,$C70,'LAC 102_Wkst'!$G$7:$G$2010,$D70,'LAC 102_Wkst'!$L$7:$L$2010,"06",'LAC 102_Wkst'!$N$7:$N$2010,"P5")</f>
        <v>0</v>
      </c>
      <c r="Z70" s="410">
        <f>SUMIFS('LAC 102_Wkst'!$Q$7:$Q$2010,'LAC 102_Wkst'!$D$7:$D$2010,$C$7,'LAC 102_Wkst'!$I$7:$I$2010,$C$9,'LAC 102_Wkst'!$E$7:$E$2010,$C70,'LAC 102_Wkst'!$G$7:$G$2010,$D70,'LAC 102_Wkst'!$L$7:$L$2010,"07",'LAC 102_Wkst'!$N$7:$N$2010,"P1")+SUMIFS('LAC 102_Wkst'!$Q$7:$Q$2010,'LAC 102_Wkst'!$D$7:$D$2010,$C$7,'LAC 102_Wkst'!$I$7:$I$2010,$C$9,'LAC 102_Wkst'!$E$7:$E$2010,$C70,'LAC 102_Wkst'!$G$7:$G$2010,$D70,'LAC 102_Wkst'!$L$7:$L$2010,"07",'LAC 102_Wkst'!$N$7:$N$2010,"P2")+SUMIFS('LAC 102_Wkst'!$Q$7:$Q$2010,'LAC 102_Wkst'!$D$7:$D$2010,$C$7,'LAC 102_Wkst'!$I$7:$I$2010,$C$9,'LAC 102_Wkst'!$E$7:$E$2010,$C70,'LAC 102_Wkst'!$G$7:$G$2010,$D70,'LAC 102_Wkst'!$L$7:$L$2010,"07",'LAC 102_Wkst'!$N$7:$N$2010,"P3")</f>
        <v>0</v>
      </c>
      <c r="AA70" s="411">
        <f>SUMIFS('LAC 102_Wkst'!$AF$7:$AF$2010,'LAC 102_Wkst'!$D$7:$D$2010,$C$7,'LAC 102_Wkst'!$I$7:$I$2010,$C$9,'LAC 102_Wkst'!$E$7:$E$2010,$C70,'LAC 102_Wkst'!$G$7:$G$2010,$D70,'LAC 102_Wkst'!$L$7:$L$2010,"07",'LAC 102_Wkst'!$N$7:$N$2010,"P1")+SUMIFS('LAC 102_Wkst'!$AF$7:$AF$2010,'LAC 102_Wkst'!$D$7:$D$2010,$C$7,'LAC 102_Wkst'!$I$7:$I$2010,$C$9,'LAC 102_Wkst'!$E$7:$E$2010,$C70,'LAC 102_Wkst'!$G$7:$G$2010,$D70,'LAC 102_Wkst'!$L$7:$L$2010,"07",'LAC 102_Wkst'!$N$7:$N$2010,"P2")+SUMIFS('LAC 102_Wkst'!$AF$7:$AF$2010,'LAC 102_Wkst'!$D$7:$D$2010,$C$7,'LAC 102_Wkst'!$I$7:$I$2010,$C$9,'LAC 102_Wkst'!$E$7:$E$2010,$C70,'LAC 102_Wkst'!$G$7:$G$2010,$D70,'LAC 102_Wkst'!$L$7:$L$2010,"07",'LAC 102_Wkst'!$N$7:$N$2010,"P3")</f>
        <v>0</v>
      </c>
      <c r="AB70" s="410">
        <f>SUMIFS('LAC 102_Wkst'!$Q$7:$Q$2010,'LAC 102_Wkst'!$D$7:$D$2010,$C$7,'LAC 102_Wkst'!$I$7:$I$2010,$C$9,'LAC 102_Wkst'!$E$7:$E$2010,$C70,'LAC 102_Wkst'!$G$7:$G$2010,$D70,'LAC 102_Wkst'!$L$7:$L$2010,"07",'LAC 102_Wkst'!$N$7:$N$2010,"P4")</f>
        <v>0</v>
      </c>
      <c r="AC70" s="411">
        <f>SUMIFS('LAC 102_Wkst'!$AF$7:$AF$2010,'LAC 102_Wkst'!$D$7:$D$2010,$C$7,'LAC 102_Wkst'!$I$7:$I$2010,$C$9,'LAC 102_Wkst'!$E$7:$E$2010,$C70,'LAC 102_Wkst'!$G$7:$G$2010,$D70,'LAC 102_Wkst'!$L$7:$L$2010,"07",'LAC 102_Wkst'!$N$7:$N$2010,"P4")</f>
        <v>0</v>
      </c>
      <c r="AD70" s="410">
        <f>SUMIFS('LAC 102_Wkst'!$Q$7:$Q$2010,'LAC 102_Wkst'!$D$7:$D$2010,$C$7,'LAC 102_Wkst'!$I$7:$I$2010,$C$9,'LAC 102_Wkst'!$E$7:$E$2010,$C70,'LAC 102_Wkst'!$G$7:$G$2010,$D70,'LAC 102_Wkst'!$L$7:$L$2010,"07",'LAC 102_Wkst'!$N$7:$N$2010,"P5")</f>
        <v>0</v>
      </c>
      <c r="AE70" s="411">
        <f>SUMIFS('LAC 102_Wkst'!$AF$7:$AF$2010,'LAC 102_Wkst'!$D$7:$D$2010,$C$7,'LAC 102_Wkst'!$I$7:$I$2010,$C$9,'LAC 102_Wkst'!$E$7:$E$2010,$C70,'LAC 102_Wkst'!$G$7:$G$2010,$D70,'LAC 102_Wkst'!$L$7:$L$2010,"07",'LAC 102_Wkst'!$N$7:$N$2010,"P5")</f>
        <v>0</v>
      </c>
      <c r="AF70" s="410">
        <f>SUMIFS('LAC 102_Wkst'!$Q$7:$Q$2010,'LAC 102_Wkst'!$D$7:$D$2010,$C$7,'LAC 102_Wkst'!$I$7:$I$2010,$C$9,'LAC 102_Wkst'!$E$7:$E$2010,$C70,'LAC 102_Wkst'!$G$7:$G$2010,$D70,'LAC 102_Wkst'!$L$7:$L$2010,"08",'LAC 102_Wkst'!$N$7:$N$2010,"P1")+SUMIFS('LAC 102_Wkst'!$Q$7:$Q$2010,'LAC 102_Wkst'!$D$7:$D$2010,$C$7,'LAC 102_Wkst'!$I$7:$I$2010,$C$9,'LAC 102_Wkst'!$E$7:$E$2010,$C70,'LAC 102_Wkst'!$G$7:$G$2010,$D70,'LAC 102_Wkst'!$L$7:$L$2010,"08",'LAC 102_Wkst'!$N$7:$N$2010,"P2")+SUMIFS('LAC 102_Wkst'!$Q$7:$Q$2010,'LAC 102_Wkst'!$D$7:$D$2010,$C$7,'LAC 102_Wkst'!$I$7:$I$2010,$C$9,'LAC 102_Wkst'!$E$7:$E$2010,$C70,'LAC 102_Wkst'!$G$7:$G$2010,$D70,'LAC 102_Wkst'!$L$7:$L$2010,"08",'LAC 102_Wkst'!$N$7:$N$2010,"P3")</f>
        <v>0</v>
      </c>
      <c r="AG70" s="411">
        <f>SUMIFS('LAC 102_Wkst'!$AF$7:$AF$2010,'LAC 102_Wkst'!$D$7:$D$2010,$C$7,'LAC 102_Wkst'!$I$7:$I$2010,$C$9,'LAC 102_Wkst'!$E$7:$E$2010,$C70,'LAC 102_Wkst'!$G$7:$G$2010,$D70,'LAC 102_Wkst'!$L$7:$L$2010,"08",'LAC 102_Wkst'!$N$7:$N$2010,"P1")+SUMIFS('LAC 102_Wkst'!$AF$7:$AF$2010,'LAC 102_Wkst'!$D$7:$D$2010,$C$7,'LAC 102_Wkst'!$I$7:$I$2010,$C$9,'LAC 102_Wkst'!$E$7:$E$2010,$C70,'LAC 102_Wkst'!$G$7:$G$2010,$D70,'LAC 102_Wkst'!$L$7:$L$2010,"08",'LAC 102_Wkst'!$N$7:$N$2010,"P2")+SUMIFS('LAC 102_Wkst'!$AF$7:$AF$2010,'LAC 102_Wkst'!$D$7:$D$2010,$C$7,'LAC 102_Wkst'!$I$7:$I$2010,$C$9,'LAC 102_Wkst'!$E$7:$E$2010,$C70,'LAC 102_Wkst'!$G$7:$G$2010,$D70,'LAC 102_Wkst'!$L$7:$L$2010,"08",'LAC 102_Wkst'!$N$7:$N$2010,"P3")</f>
        <v>0</v>
      </c>
      <c r="AH70" s="410">
        <f>SUMIFS('LAC 102_Wkst'!$Q$7:$Q$2010,'LAC 102_Wkst'!$D$7:$D$2010,$C$7,'LAC 102_Wkst'!$I$7:$I$2010,$C$9,'LAC 102_Wkst'!$E$7:$E$2010,$C70,'LAC 102_Wkst'!$G$7:$G$2010,$D70,'LAC 102_Wkst'!$L$7:$L$2010,"08",'LAC 102_Wkst'!$N$7:$N$2010,"P4")</f>
        <v>0</v>
      </c>
      <c r="AI70" s="411">
        <f>SUMIFS('LAC 102_Wkst'!$AF$7:$AF$2010,'LAC 102_Wkst'!$D$7:$D$2010,$C$7,'LAC 102_Wkst'!$I$7:$I$2010,$C$9,'LAC 102_Wkst'!$E$7:$E$2010,$C70,'LAC 102_Wkst'!$G$7:$G$2010,$D70,'LAC 102_Wkst'!$L$7:$L$2010,"08",'LAC 102_Wkst'!$N$7:$N$2010,"P4")</f>
        <v>0</v>
      </c>
      <c r="AJ70" s="410">
        <f>SUMIFS('LAC 102_Wkst'!$Q$7:$Q$2010,'LAC 102_Wkst'!$D$7:$D$2010,$C$7,'LAC 102_Wkst'!$I$7:$I$2010,$C$9,'LAC 102_Wkst'!$E$7:$E$2010,$C70,'LAC 102_Wkst'!$G$7:$G$2010,$D70,'LAC 102_Wkst'!$L$7:$L$2010,"08",'LAC 102_Wkst'!$N$7:$N$2010,"P5")</f>
        <v>0</v>
      </c>
      <c r="AK70" s="411">
        <f>SUMIFS('LAC 102_Wkst'!$AF$7:$AF$2010,'LAC 102_Wkst'!$D$7:$D$2010,$C$7,'LAC 102_Wkst'!$I$7:$I$2010,$C$9,'LAC 102_Wkst'!$E$7:$E$2010,$C70,'LAC 102_Wkst'!$G$7:$G$2010,$D70,'LAC 102_Wkst'!$L$7:$L$2010,"08",'LAC 102_Wkst'!$N$7:$N$2010,"P5")</f>
        <v>0</v>
      </c>
      <c r="AL70" s="410">
        <f>SUMIFS('LAC 102_Wkst'!$Q$7:$Q$2010,'LAC 102_Wkst'!$D$7:$D$2010,$C$7,'LAC 102_Wkst'!$I$7:$I$2010,$C$9,'LAC 102_Wkst'!$E$7:$E$2010,$C70,'LAC 102_Wkst'!$G$7:$G$2010,$D70,'LAC 102_Wkst'!$L$7:$L$2010,"09",'LAC 102_Wkst'!$N$7:$N$2010,"P1")+SUMIFS('LAC 102_Wkst'!$Q$7:$Q$2010,'LAC 102_Wkst'!$D$7:$D$2010,$C$7,'LAC 102_Wkst'!$I$7:$I$2010,$C$9,'LAC 102_Wkst'!$E$7:$E$2010,$C70,'LAC 102_Wkst'!$G$7:$G$2010,$D70,'LAC 102_Wkst'!$L$7:$L$2010,"09",'LAC 102_Wkst'!$N$7:$N$2010,"P2")+SUMIFS('LAC 102_Wkst'!$Q$7:$Q$2010,'LAC 102_Wkst'!$D$7:$D$2010,$C$7,'LAC 102_Wkst'!$I$7:$I$2010,$C$9,'LAC 102_Wkst'!$E$7:$E$2010,$C70,'LAC 102_Wkst'!$G$7:$G$2010,$D70,'LAC 102_Wkst'!$L$7:$L$2010,"09",'LAC 102_Wkst'!$N$7:$N$2010,"P3")+SUMIFS('LAC 102_Wkst'!$Q$7:$Q$2010,'LAC 102_Wkst'!$D$7:$D$2010,$C$7,'LAC 102_Wkst'!$I$7:$I$2010,$C$9,'LAC 102_Wkst'!$E$7:$E$2010,$C70,'LAC 102_Wkst'!$G$7:$G$2010,$D70,'LAC 102_Wkst'!$L$7:$L$2010,"09",'LAC 102_Wkst'!$N$7:$N$2010,"P4")</f>
        <v>0</v>
      </c>
      <c r="AM70" s="411">
        <f>SUMIFS('LAC 102_Wkst'!$AF$7:$AF$2010,'LAC 102_Wkst'!$D$7:$D$2010,$C$7,'LAC 102_Wkst'!$I$7:$I$2010,$C$9,'LAC 102_Wkst'!$E$7:$E$2010,$C70,'LAC 102_Wkst'!$G$7:$G$2010,$D70,'LAC 102_Wkst'!$L$7:$L$2010,"09",'LAC 102_Wkst'!$N$7:$N$2010,"P1")+SUMIFS('LAC 102_Wkst'!$AF$7:$AF$2010,'LAC 102_Wkst'!$D$7:$D$2010,$C$7,'LAC 102_Wkst'!$I$7:$I$2010,$C$9,'LAC 102_Wkst'!$E$7:$E$2010,$C70,'LAC 102_Wkst'!$G$7:$G$2010,$D70,'LAC 102_Wkst'!$L$7:$L$2010,"09",'LAC 102_Wkst'!$N$7:$N$2010,"P2")+SUMIFS('LAC 102_Wkst'!$AF$7:$AF$2010,'LAC 102_Wkst'!$D$7:$D$2010,$C$7,'LAC 102_Wkst'!$I$7:$I$2010,$C$9,'LAC 102_Wkst'!$E$7:$E$2010,$C70,'LAC 102_Wkst'!$G$7:$G$2010,$D70,'LAC 102_Wkst'!$L$7:$L$2010,"09",'LAC 102_Wkst'!$N$7:$N$2010,"P3")+SUMIFS('LAC 102_Wkst'!$AF$7:$AF$2010,'LAC 102_Wkst'!$D$7:$D$2010,$C$7,'LAC 102_Wkst'!$I$7:$I$2010,$C$9,'LAC 102_Wkst'!$E$7:$E$2010,$C70,'LAC 102_Wkst'!$G$7:$G$2010,$D70,'LAC 102_Wkst'!$L$7:$L$2010,"09",'LAC 102_Wkst'!$N$7:$N$2010,"P4")</f>
        <v>0</v>
      </c>
      <c r="AN70" s="410">
        <f>SUMIFS('LAC 102_Wkst'!$Q$7:$Q$2010,'LAC 102_Wkst'!$D$7:$D$2010,$C$7,'LAC 102_Wkst'!$I$7:$I$2010,$C$9,'LAC 102_Wkst'!$E$7:$E$2010,$C70,'LAC 102_Wkst'!$G$7:$G$2010,$D70,'LAC 102_Wkst'!$L$7:$L$2010,"09",'LAC 102_Wkst'!$N$7:$N$2010,"P5")</f>
        <v>0</v>
      </c>
      <c r="AO70" s="411">
        <f>SUMIFS('LAC 102_Wkst'!$AF$7:$AF$2010,'LAC 102_Wkst'!$D$7:$D$2010,$C$7,'LAC 102_Wkst'!$I$7:$I$2010,$C$9,'LAC 102_Wkst'!$E$7:$E$2010,$C70,'LAC 102_Wkst'!$G$7:$G$2010,$D70,'LAC 102_Wkst'!$L$7:$L$2010,"09",'LAC 102_Wkst'!$N$7:$N$2010,"P5")</f>
        <v>0</v>
      </c>
      <c r="AP70" s="410">
        <f>SUMIFS('LAC 102_Wkst'!$Q$7:$Q$2010,'LAC 102_Wkst'!$D$7:$D$2010,$C$7,'LAC 102_Wkst'!$I$7:$I$2010,$C$9,'LAC 102_Wkst'!$E$7:$E$2010,$C70,'LAC 102_Wkst'!$G$7:$G$2010,$D70,'LAC 102_Wkst'!$L$7:$L$2010,"10",'LAC 102_Wkst'!$N$7:$N$2010,"P1")+SUMIFS('LAC 102_Wkst'!$Q$7:$Q$2010,'LAC 102_Wkst'!$D$7:$D$2010,$C$7,'LAC 102_Wkst'!$I$7:$I$2010,$C$9,'LAC 102_Wkst'!$E$7:$E$2010,$C70,'LAC 102_Wkst'!$G$7:$G$2010,$D70,'LAC 102_Wkst'!$L$7:$L$2010,"10",'LAC 102_Wkst'!$N$7:$N$2010,"P2")+SUMIFS('LAC 102_Wkst'!$Q$7:$Q$2010,'LAC 102_Wkst'!$D$7:$D$2010,$C$7,'LAC 102_Wkst'!$I$7:$I$2010,$C$9,'LAC 102_Wkst'!$E$7:$E$2010,$C70,'LAC 102_Wkst'!$G$7:$G$2010,$D70,'LAC 102_Wkst'!$L$7:$L$2010,"10",'LAC 102_Wkst'!$N$7:$N$2010,"P3")+SUMIFS('LAC 102_Wkst'!$Q$7:$Q$2010,'LAC 102_Wkst'!$D$7:$D$2010,$C$7,'LAC 102_Wkst'!$I$7:$I$2010,$C$9,'LAC 102_Wkst'!$E$7:$E$2010,$C70,'LAC 102_Wkst'!$G$7:$G$2010,$D70,'LAC 102_Wkst'!$L$7:$L$2010,"10",'LAC 102_Wkst'!$N$7:$N$2010,"P4")</f>
        <v>0</v>
      </c>
      <c r="AQ70" s="411">
        <f>SUMIFS('LAC 102_Wkst'!$AF$7:$AF$2010,'LAC 102_Wkst'!$D$7:$D$2010,$C$7,'LAC 102_Wkst'!$I$7:$I$2010,$C$9,'LAC 102_Wkst'!$E$7:$E$2010,$C70,'LAC 102_Wkst'!$G$7:$G$2010,$D70,'LAC 102_Wkst'!$L$7:$L$2010,"10",'LAC 102_Wkst'!$N$7:$N$2010,"P1")+SUMIFS('LAC 102_Wkst'!$AF$7:$AF$2010,'LAC 102_Wkst'!$D$7:$D$2010,$C$7,'LAC 102_Wkst'!$I$7:$I$2010,$C$9,'LAC 102_Wkst'!$E$7:$E$2010,$C70,'LAC 102_Wkst'!$G$7:$G$2010,$D70,'LAC 102_Wkst'!$L$7:$L$2010,"10",'LAC 102_Wkst'!$N$7:$N$2010,"P2")+SUMIFS('LAC 102_Wkst'!$AF$7:$AF$2010,'LAC 102_Wkst'!$D$7:$D$2010,$C$7,'LAC 102_Wkst'!$I$7:$I$2010,$C$9,'LAC 102_Wkst'!$E$7:$E$2010,$C70,'LAC 102_Wkst'!$G$7:$G$2010,$D70,'LAC 102_Wkst'!$L$7:$L$2010,"10",'LAC 102_Wkst'!$N$7:$N$2010,"P3")+SUMIFS('LAC 102_Wkst'!$AF$7:$AF$2010,'LAC 102_Wkst'!$D$7:$D$2010,$C$7,'LAC 102_Wkst'!$I$7:$I$2010,$C$9,'LAC 102_Wkst'!$E$7:$E$2010,$C70,'LAC 102_Wkst'!$G$7:$G$2010,$D70,'LAC 102_Wkst'!$L$7:$L$2010,"10",'LAC 102_Wkst'!$N$7:$N$2010,"P4")</f>
        <v>0</v>
      </c>
      <c r="AR70" s="410">
        <f>SUMIFS('LAC 102_Wkst'!$Q$7:$Q$2010,'LAC 102_Wkst'!$D$7:$D$2010,$C$7,'LAC 102_Wkst'!$I$7:$I$2010,$C$9,'LAC 102_Wkst'!$E$7:$E$2010,$C70,'LAC 102_Wkst'!$G$7:$G$2010,$D70,'LAC 102_Wkst'!$L$7:$L$2010,"10",'LAC 102_Wkst'!$N$7:$N$2010,"P5")</f>
        <v>0</v>
      </c>
      <c r="AS70" s="411">
        <f>SUMIFS('LAC 102_Wkst'!$AF$7:$AF$2010,'LAC 102_Wkst'!$D$7:$D$2010,$C$7,'LAC 102_Wkst'!$I$7:$I$2010,$C$9,'LAC 102_Wkst'!$E$7:$E$2010,$C70,'LAC 102_Wkst'!$G$7:$G$2010,$D70,'LAC 102_Wkst'!$L$7:$L$2010,"10",'LAC 102_Wkst'!$N$7:$N$2010,"P5")</f>
        <v>0</v>
      </c>
      <c r="AT70" s="410">
        <f>SUMIFS('LAC 102_Wkst'!$Q$7:$Q$2010,'LAC 102_Wkst'!$D$7:$D$2010,$C$7,'LAC 102_Wkst'!$I$7:$I$2010,$C$9,'LAC 102_Wkst'!$E$7:$E$2010,$C70,'LAC 102_Wkst'!$G$7:$G$2010,$D70,'LAC 102_Wkst'!$L$7:$L$2010,"11",'LAC 102_Wkst'!$N$7:$N$2010,"P1")+SUMIFS('LAC 102_Wkst'!$Q$7:$Q$2010,'LAC 102_Wkst'!$D$7:$D$2010,$C$7,'LAC 102_Wkst'!$I$7:$I$2010,$C$9,'LAC 102_Wkst'!$E$7:$E$2010,$C70,'LAC 102_Wkst'!$G$7:$G$2010,$D70,'LAC 102_Wkst'!$L$7:$L$2010,"12",'LAC 102_Wkst'!$N$7:$N$2010,"P1")</f>
        <v>0</v>
      </c>
      <c r="AU70" s="411">
        <f>SUMIFS('LAC 102_Wkst'!$Q$7:$Q$2010,'LAC 102_Wkst'!$D$7:$D$2010,$C$7,'LAC 102_Wkst'!$I$7:$I$2010,$C$9,'LAC 102_Wkst'!$E$7:$E$2010,$C70,'LAC 102_Wkst'!$G$7:$G$2010,$D70,'LAC 102_Wkst'!$L$7:$L$2010,"13",'LAC 102_Wkst'!$N$7:$N$2010,"P5")</f>
        <v>0</v>
      </c>
      <c r="AV70" s="410">
        <f>SUMIFS('LAC 102_Wkst'!$Q$7:$Q$2010,'LAC 102_Wkst'!$D$7:$D$2010,$C$7,'LAC 102_Wkst'!$I$7:$I$2010,$C$9,'LAC 102_Wkst'!$E$7:$E$2010,$C70,'LAC 102_Wkst'!$G$7:$G$2010,$D70,'LAC 102_Wkst'!$L$7:$L$2010,"11",'LAC 102_Wkst'!$N$7:$N$2010,"P2")+SUMIFS('LAC 102_Wkst'!$Q$7:$Q$2010,'LAC 102_Wkst'!$D$7:$D$2010,$C$7,'LAC 102_Wkst'!$I$7:$I$2010,$C$9,'LAC 102_Wkst'!$E$7:$E$2010,$C70,'LAC 102_Wkst'!$G$7:$G$2010,$D70,'LAC 102_Wkst'!$L$7:$L$2010,"12",'LAC 102_Wkst'!$N$7:$N$2010,"P2")+SUMIFS('LAC 102_Wkst'!$Q$7:$Q$2010,'LAC 102_Wkst'!$D$7:$D$2010,$C$7,'LAC 102_Wkst'!$I$7:$I$2010,$C$9,'LAC 102_Wkst'!$E$7:$E$2010,$C70,'LAC 102_Wkst'!$G$7:$G$2010,$D70,'LAC 102_Wkst'!$L$7:$L$2010,"11",'LAC 102_Wkst'!$N$7:$N$2010,"P3")+SUMIFS('LAC 102_Wkst'!$Q$7:$Q$2010,'LAC 102_Wkst'!$D$7:$D$2010,$C$7,'LAC 102_Wkst'!$I$7:$I$2010,$C$9,'LAC 102_Wkst'!$E$7:$E$2010,$C70,'LAC 102_Wkst'!$G$7:$G$2010,$D70,'LAC 102_Wkst'!$L$7:$L$2010,"12",'LAC 102_Wkst'!$N$7:$N$2010,"P3")</f>
        <v>0</v>
      </c>
      <c r="AW70" s="411">
        <f>SUMIFS('LAC 102_Wkst'!$AF$7:$AF$2010,'LAC 102_Wkst'!$D$7:$D$2010,$C$7,'LAC 102_Wkst'!$I$7:$I$2010,$C$9,'LAC 102_Wkst'!$E$7:$E$2010,$C70,'LAC 102_Wkst'!$G$7:$G$2010,$D70,'LAC 102_Wkst'!$L$7:$L$2010,"11",'LAC 102_Wkst'!$N$7:$N$2010,"P2")+SUMIFS('LAC 102_Wkst'!$AF$7:$AF$2010,'LAC 102_Wkst'!$D$7:$D$2010,$C$7,'LAC 102_Wkst'!$I$7:$I$2010,$C$9,'LAC 102_Wkst'!$E$7:$E$2010,$C70,'LAC 102_Wkst'!$G$7:$G$2010,$D70,'LAC 102_Wkst'!$L$7:$L$2010,"12",'LAC 102_Wkst'!$N$7:$N$2010,"P2")+SUMIFS('LAC 102_Wkst'!$AF$7:$AF$2010,'LAC 102_Wkst'!$D$7:$D$2010,$C$7,'LAC 102_Wkst'!$I$7:$I$2010,$C$9,'LAC 102_Wkst'!$E$7:$E$2010,$C70,'LAC 102_Wkst'!$G$7:$G$2010,$D70,'LAC 102_Wkst'!$L$7:$L$2010,"11",'LAC 102_Wkst'!$N$7:$N$2010,"P3")+SUMIFS('LAC 102_Wkst'!$AF$7:$AF$2010,'LAC 102_Wkst'!$D$7:$D$2010,$C$7,'LAC 102_Wkst'!$I$7:$I$2010,$C$9,'LAC 102_Wkst'!$E$7:$E$2010,$C70,'LAC 102_Wkst'!$G$7:$G$2010,$D70,'LAC 102_Wkst'!$L$7:$L$2010,"12",'LAC 102_Wkst'!$N$7:$N$2010,"P3")</f>
        <v>0</v>
      </c>
      <c r="AX70" s="410">
        <f>SUMIFS('LAC 102_Wkst'!$Q$7:$Q$2010,'LAC 102_Wkst'!$D$7:$D$2010,$C$7,'LAC 102_Wkst'!$I$7:$I$2010,$C$9,'LAC 102_Wkst'!$E$7:$E$2010,$C70,'LAC 102_Wkst'!$G$7:$G$2010,$D70,'LAC 102_Wkst'!$L$7:$L$2010,"11",'LAC 102_Wkst'!$N$7:$N$2010,"P4")+SUMIFS('LAC 102_Wkst'!$Q$7:$Q$2010,'LAC 102_Wkst'!$D$7:$D$2010,$C$7,'LAC 102_Wkst'!$I$7:$I$2010,$C$9,'LAC 102_Wkst'!$E$7:$E$2010,$C70,'LAC 102_Wkst'!$G$7:$G$2010,$D70,'LAC 102_Wkst'!$L$7:$L$2010,"12",'LAC 102_Wkst'!$N$7:$N$2010,"P4")</f>
        <v>0</v>
      </c>
      <c r="AY70" s="411">
        <f>SUMIFS('LAC 102_Wkst'!$AF$7:$AF$2010,'LAC 102_Wkst'!$D$7:$D$2010,$C$7,'LAC 102_Wkst'!$I$7:$I$2010,$C$9,'LAC 102_Wkst'!$E$7:$E$2010,$C70,'LAC 102_Wkst'!$G$7:$G$2010,$D70,'LAC 102_Wkst'!$L$7:$L$2010,"11",'LAC 102_Wkst'!$N$7:$N$2010,"P4")+SUMIFS('LAC 102_Wkst'!$AF$7:$AF$2010,'LAC 102_Wkst'!$D$7:$D$2010,$C$7,'LAC 102_Wkst'!$I$7:$I$2010,$C$9,'LAC 102_Wkst'!$E$7:$E$2010,$C70,'LAC 102_Wkst'!$G$7:$G$2010,$D70,'LAC 102_Wkst'!$L$7:$L$2010,"12",'LAC 102_Wkst'!$N$7:$N$2010,"P4")</f>
        <v>0</v>
      </c>
      <c r="AZ70" s="410">
        <f>SUMIFS('LAC 102_Wkst'!$Q$7:$Q$2010,'LAC 102_Wkst'!$D$7:$D$2010,$C$7,'LAC 102_Wkst'!$I$7:$I$2010,$C$9,'LAC 102_Wkst'!$E$7:$E$2010,$C70,'LAC 102_Wkst'!$G$7:$G$2010,$D70,'LAC 102_Wkst'!$L$7:$L$2010,"11",'LAC 102_Wkst'!$N$7:$N$2010,"P5")+SUMIFS('LAC 102_Wkst'!$Q$7:$Q$2010,'LAC 102_Wkst'!$D$7:$D$2010,$C$7,'LAC 102_Wkst'!$I$7:$I$2010,$C$9,'LAC 102_Wkst'!$E$7:$E$2010,$C70,'LAC 102_Wkst'!$G$7:$G$2010,$D70,'LAC 102_Wkst'!$L$7:$L$2010,"12",'LAC 102_Wkst'!$N$7:$N$2010,"P5")</f>
        <v>0</v>
      </c>
      <c r="BA70" s="411">
        <f>SUMIFS('LAC 102_Wkst'!$AF$7:$AF$2010,'LAC 102_Wkst'!$D$7:$D$2010,$C$7,'LAC 102_Wkst'!$I$7:$I$2010,$C$9,'LAC 102_Wkst'!$E$7:$E$2010,$C70,'LAC 102_Wkst'!$G$7:$G$2010,$D70,'LAC 102_Wkst'!$L$7:$L$2010,"11",'LAC 102_Wkst'!$N$7:$N$2010,"P5")+SUMIFS('LAC 102_Wkst'!$AF$7:$AF$2010,'LAC 102_Wkst'!$D$7:$D$2010,$C$7,'LAC 102_Wkst'!$I$7:$I$2010,$C$9,'LAC 102_Wkst'!$E$7:$E$2010,$C70,'LAC 102_Wkst'!$G$7:$G$2010,$D70,'LAC 102_Wkst'!$L$7:$L$2010,"12",'LAC 102_Wkst'!$N$7:$N$2010,"P5")</f>
        <v>0</v>
      </c>
      <c r="BB70" s="410">
        <f>SUMIFS('LAC 102_Wkst'!$Q$7:$Q$2010,'LAC 102_Wkst'!$D$7:$D$2010,$C$7,'LAC 102_Wkst'!$I$7:$I$2010,$C$9,'LAC 102_Wkst'!$E$7:$E$2010,$C70,'LAC 102_Wkst'!$G$7:$G$2010,$D70,'LAC 102_Wkst'!$L$7:$L$2010,"13",'LAC 102_Wkst'!$N$7:$N$2010,"P1")+SUMIFS('LAC 102_Wkst'!$Q$7:$Q$2010,'LAC 102_Wkst'!$D$7:$D$2010,$C$7,'LAC 102_Wkst'!$I$7:$I$2010,$C$9,'LAC 102_Wkst'!$E$7:$E$2010,$C70,'LAC 102_Wkst'!$G$7:$G$2010,$D70,'LAC 102_Wkst'!$L$7:$L$2010,"13",'LAC 102_Wkst'!$N$7:$N$2010,"P2")+SUMIFS('LAC 102_Wkst'!$Q$7:$Q$2010,'LAC 102_Wkst'!$D$7:$D$2010,$C$7,'LAC 102_Wkst'!$I$7:$I$2010,$C$9,'LAC 102_Wkst'!$E$7:$E$2010,$C70,'LAC 102_Wkst'!$G$7:$G$2010,$D70,'LAC 102_Wkst'!$L$7:$L$2010,"13",'LAC 102_Wkst'!$N$7:$N$2010,"P3")+SUMIFS('LAC 102_Wkst'!$Q$7:$Q$2010,'LAC 102_Wkst'!$D$7:$D$2010,$C$7,'LAC 102_Wkst'!$I$7:$I$2010,$C$9,'LAC 102_Wkst'!$E$7:$E$2010,$C70,'LAC 102_Wkst'!$G$7:$G$2010,$D70,'LAC 102_Wkst'!$L$7:$L$2010,"13",'LAC 102_Wkst'!$N$7:$N$2010,"P4")</f>
        <v>0</v>
      </c>
      <c r="BC70" s="411">
        <f>SUMIFS('LAC 102_Wkst'!$AF$7:$AF$2010,'LAC 102_Wkst'!$D$7:$D$2010,$C$7,'LAC 102_Wkst'!$I$7:$I$2010,$C$9,'LAC 102_Wkst'!$E$7:$E$2010,$C70,'LAC 102_Wkst'!$G$7:$G$2010,$D70,'LAC 102_Wkst'!$L$7:$L$2010,"13",'LAC 102_Wkst'!$N$7:$N$2010,"P1")+SUMIFS('LAC 102_Wkst'!$AF$7:$AF$2010,'LAC 102_Wkst'!$D$7:$D$2010,$C$7,'LAC 102_Wkst'!$I$7:$I$2010,$C$9,'LAC 102_Wkst'!$E$7:$E$2010,$C70,'LAC 102_Wkst'!$G$7:$G$2010,$D70,'LAC 102_Wkst'!$L$7:$L$2010,"13",'LAC 102_Wkst'!$N$7:$N$2010,"P2")+SUMIFS('LAC 102_Wkst'!$AF$7:$AF$2010,'LAC 102_Wkst'!$D$7:$D$2010,$C$7,'LAC 102_Wkst'!$I$7:$I$2010,$C$9,'LAC 102_Wkst'!$E$7:$E$2010,$C70,'LAC 102_Wkst'!$G$7:$G$2010,$D70,'LAC 102_Wkst'!$L$7:$L$2010,"13",'LAC 102_Wkst'!$N$7:$N$2010,"P3")+SUMIFS('LAC 102_Wkst'!$AF$7:$AF$2010,'LAC 102_Wkst'!$D$7:$D$2010,$C$7,'LAC 102_Wkst'!$I$7:$I$2010,$C$9,'LAC 102_Wkst'!$E$7:$E$2010,$C70,'LAC 102_Wkst'!$G$7:$G$2010,$D70,'LAC 102_Wkst'!$L$7:$L$2010,"13",'LAC 102_Wkst'!$N$7:$N$2010,"P4")</f>
        <v>0</v>
      </c>
      <c r="BD70" s="410">
        <f>SUMIFS('LAC 102_Wkst'!$Q$7:$Q$2010,'LAC 102_Wkst'!$D$7:$D$2010,$C$7,'LAC 102_Wkst'!$I$7:$I$2010,$C$9,'LAC 102_Wkst'!$E$7:$E$2010,$C70,'LAC 102_Wkst'!$G$7:$G$2010,$D70,'LAC 102_Wkst'!$L$7:$L$2010,"13",'LAC 102_Wkst'!$N$7:$N$2010,"P5")</f>
        <v>0</v>
      </c>
      <c r="BE70" s="411">
        <f>SUMIFS('LAC 102_Wkst'!$AF$7:$AF$2010,'LAC 102_Wkst'!$D$7:$D$2010,$C$7,'LAC 102_Wkst'!$I$7:$I$2010,$C$9,'LAC 102_Wkst'!$E$7:$E$2010,$C70,'LAC 102_Wkst'!$G$7:$G$2010,$D70,'LAC 102_Wkst'!$L$7:$L$2010,"13",'LAC 102_Wkst'!$N$7:$N$2010,"P5")</f>
        <v>0</v>
      </c>
      <c r="BF70" s="407">
        <f t="shared" si="4"/>
        <v>0</v>
      </c>
      <c r="BG70" s="1654">
        <f>SUMIFS('LAC 102_Wkst'!$AF$7:$AF$2010,'LAC 102_Wkst'!$D$7:$D$2010,$C$7,'LAC 102_Wkst'!$I$7:$I$2010,$C$9,'LAC 102_Wkst'!$E$7:$E$2010,$C70,'LAC 102_Wkst'!$G$7:$G$2010,$D70,'LAC 102_Wkst'!$L$7:$L$2010,"14")</f>
        <v>0</v>
      </c>
    </row>
    <row r="71" spans="1:59" x14ac:dyDescent="0.2">
      <c r="A71" s="401">
        <v>49</v>
      </c>
      <c r="B71" s="1678" t="str">
        <f>IF(Schedule_B!B$68="","",Schedule_B!B$68)</f>
        <v/>
      </c>
      <c r="C71" s="1674" t="str">
        <f>IF(Schedule_B!C$68=""," ",Schedule_B!C$68)</f>
        <v xml:space="preserve"> </v>
      </c>
      <c r="D71" s="1675" t="str">
        <f>IF(Schedule_B!D$68=""," ",Schedule_B!D$68)</f>
        <v xml:space="preserve"> </v>
      </c>
      <c r="E71" s="1221">
        <f>SUMIFS('LAC 102_Wkst'!$Q$7:$Q$2010,'LAC 102_Wkst'!$D$7:$D$2010,$C$7,'LAC 102_Wkst'!$I$7:$I$2010,$C$9,'LAC 102_Wkst'!$E$7:$E$2010,$C71,'LAC 102_Wkst'!$G$7:$G$2010,$D71)</f>
        <v>0</v>
      </c>
      <c r="F71" s="408">
        <f>SUMIFS('LAC 102_Wkst'!$Q$7:$Q$2010,'LAC 102_Wkst'!$D$7:$D$2010,$C$7,'LAC 102_Wkst'!$I$7:$I$2010,$C$9,'LAC 102_Wkst'!$E$7:$E$2010,$C71,'LAC 102_Wkst'!$G$7:$G$2010,$D71,'LAC 102_Wkst'!$L$7:$L$2010,"01",'LAC 102_Wkst'!$N$7:$N$2010,"P1")+SUMIFS('LAC 102_Wkst'!$Q$7:$Q$2010,'LAC 102_Wkst'!$D$7:$D$2010,$C$7,'LAC 102_Wkst'!$I$7:$I$2010,$C$9,'LAC 102_Wkst'!$E$7:$E$2010,$C71,'LAC 102_Wkst'!$G$7:$G$2010,$D71,'LAC 102_Wkst'!$L$7:$L$2010,"01",'LAC 102_Wkst'!$N$7:$N$2010,"P2")+SUMIFS('LAC 102_Wkst'!$Q$7:$Q$2010,'LAC 102_Wkst'!$D$7:$D$2010,$C$7,'LAC 102_Wkst'!$I$7:$I$2010,$C$9,'LAC 102_Wkst'!$E$7:$E$2010,$C71,'LAC 102_Wkst'!$G$7:$G$2010,$D71,'LAC 102_Wkst'!$L$7:$L$2010,"01",'LAC 102_Wkst'!$N$7:$N$2010,"P3")+SUMIFS('LAC 102_Wkst'!$Q$7:$Q$2010,'LAC 102_Wkst'!$D$7:$D$2010,$C$7,'LAC 102_Wkst'!$I$7:$I$2010,$C$9,'LAC 102_Wkst'!$E$7:$E$2010,$C71,'LAC 102_Wkst'!$G$7:$G$2010,$D71,'LAC 102_Wkst'!$L$7:$L$2010,"02",'LAC 102_Wkst'!$N$7:$N$2010,"P1")+SUMIFS('LAC 102_Wkst'!$Q$7:$Q$2010,'LAC 102_Wkst'!$D$7:$D$2010,$C$7,'LAC 102_Wkst'!$I$7:$I$2010,$C$9,'LAC 102_Wkst'!$E$7:$E$2010,$C71,'LAC 102_Wkst'!$G$7:$G$2010,$D71,'LAC 102_Wkst'!$L$7:$L$2010,"02",'LAC 102_Wkst'!$N$7:$N$2010,"P2")+SUMIFS('LAC 102_Wkst'!$Q$7:$Q$2010,'LAC 102_Wkst'!$D$7:$D$2010,$C$7,'LAC 102_Wkst'!$I$7:$I$2010,$C$9,'LAC 102_Wkst'!$E$7:$E$2010,$C71,'LAC 102_Wkst'!$G$7:$G$2010,$D71,'LAC 102_Wkst'!$L$7:$L$2010,"02",'LAC 102_Wkst'!$N$7:$N$2010,"P3")</f>
        <v>0</v>
      </c>
      <c r="G71" s="409">
        <f>SUMIFS('LAC 102_Wkst'!$AF$7:$AF$2010,'LAC 102_Wkst'!$D$7:$D$2010,$C$7,'LAC 102_Wkst'!$I$7:$I$2010,$C$9,'LAC 102_Wkst'!$E$7:$E$2010,$C71,'LAC 102_Wkst'!$G$7:$G$2010,$D71,'LAC 102_Wkst'!$L$7:$L$2010,"01",'LAC 102_Wkst'!$N$7:$N$2010,"P1")+SUMIFS('LAC 102_Wkst'!$AF$7:$AF$2010,'LAC 102_Wkst'!$D$7:$D$2010,$C$7,'LAC 102_Wkst'!$I$7:$I$2010,$C$9,'LAC 102_Wkst'!$E$7:$E$2010,$C71,'LAC 102_Wkst'!$G$7:$G$2010,$D71,'LAC 102_Wkst'!$L$7:$L$2010,"01",'LAC 102_Wkst'!$N$7:$N$2010,"P2")+SUMIFS('LAC 102_Wkst'!$AF$7:$AF$2010,'LAC 102_Wkst'!$D$7:$D$2010,$C$7,'LAC 102_Wkst'!$I$7:$I$2010,$C$9,'LAC 102_Wkst'!$E$7:$E$2010,$C71,'LAC 102_Wkst'!$G$7:$G$2010,$D71,'LAC 102_Wkst'!$L$7:$L$2010,"01",'LAC 102_Wkst'!$N$7:$N$2010,"P3")+SUMIFS('LAC 102_Wkst'!$AF$7:$AF$2010,'LAC 102_Wkst'!$D$7:$D$2010,$C$7,'LAC 102_Wkst'!$I$7:$I$2010,$C$9,'LAC 102_Wkst'!$E$7:$E$2010,$C71,'LAC 102_Wkst'!$G$7:$G$2010,$D71,'LAC 102_Wkst'!$L$7:$L$2010,"02",'LAC 102_Wkst'!$N$7:$N$2010,"P1")+SUMIFS('LAC 102_Wkst'!$AF$7:$AF$2010,'LAC 102_Wkst'!$D$7:$D$2010,$C$7,'LAC 102_Wkst'!$I$7:$I$2010,$C$9,'LAC 102_Wkst'!$E$7:$E$2010,$C71,'LAC 102_Wkst'!$G$7:$G$2010,$D71,'LAC 102_Wkst'!$L$7:$L$2010,"02",'LAC 102_Wkst'!$N$7:$N$2010,"P2")+SUMIFS('LAC 102_Wkst'!$AF$7:$AF$2010,'LAC 102_Wkst'!$D$7:$D$2010,$C$7,'LAC 102_Wkst'!$I$7:$I$2010,$C$9,'LAC 102_Wkst'!$E$7:$E$2010,$C71,'LAC 102_Wkst'!$G$7:$G$2010,$D71,'LAC 102_Wkst'!$L$7:$L$2010,"02",'LAC 102_Wkst'!$N$7:$N$2010,"P3")</f>
        <v>0</v>
      </c>
      <c r="H71" s="410">
        <f>SUMIFS('LAC 102_Wkst'!$Q$7:$Q$2010,'LAC 102_Wkst'!$D$7:$D$2010,$C$7,'LAC 102_Wkst'!$I$7:$I$2010,$C$9,'LAC 102_Wkst'!$E$7:$E$2010,$C71,'LAC 102_Wkst'!$G$7:$G$2010,$D71,'LAC 102_Wkst'!$L$7:$L$2010,"01",'LAC 102_Wkst'!$N$7:$N$2010,"P4")+SUMIFS('LAC 102_Wkst'!$Q$7:$Q$2010,'LAC 102_Wkst'!$D$7:$D$2010,$C$7,'LAC 102_Wkst'!$I$7:$I$2010,$C$9,'LAC 102_Wkst'!$E$7:$E$2010,$C71,'LAC 102_Wkst'!$G$7:$G$2010,$D71,'LAC 102_Wkst'!$L$7:$L$2010,"02",'LAC 102_Wkst'!$N$7:$N$2010,"P4")</f>
        <v>0</v>
      </c>
      <c r="I71" s="411">
        <f>SUMIFS('LAC 102_Wkst'!$AF$7:$AF$2010,'LAC 102_Wkst'!$D$7:$D$2010,$C$7,'LAC 102_Wkst'!$I$7:$I$2010,$C$9,'LAC 102_Wkst'!$E$7:$E$2010,$C71,'LAC 102_Wkst'!$G$7:$G$2010,$D71,'LAC 102_Wkst'!$L$7:$L$2010,"01",'LAC 102_Wkst'!$N$7:$N$2010,"P4")+SUMIFS('LAC 102_Wkst'!$AF$7:$AF$2010,'LAC 102_Wkst'!$D$7:$D$2010,$C$7,'LAC 102_Wkst'!$I$7:$I$2010,$C$9,'LAC 102_Wkst'!$E$7:$E$2010,$C71,'LAC 102_Wkst'!$G$7:$G$2010,$D71,'LAC 102_Wkst'!$L$7:$L$2010,"02",'LAC 102_Wkst'!$N$7:$N$2010,"P4")</f>
        <v>0</v>
      </c>
      <c r="J71" s="410">
        <f>SUMIFS('LAC 102_Wkst'!$Q$7:$Q$2010,'LAC 102_Wkst'!$D$7:$D$2010,$C$7,'LAC 102_Wkst'!$I$7:$I$2010,$C$9,'LAC 102_Wkst'!$E$7:$E$2010,$C71,'LAC 102_Wkst'!$G$7:$G$2010,$D71,'LAC 102_Wkst'!$L$7:$L$2010,"01",'LAC 102_Wkst'!$N$7:$N$2010,"P5")+SUMIFS('LAC 102_Wkst'!$Q$7:$Q$2010,'LAC 102_Wkst'!$D$7:$D$2010,$C$7,'LAC 102_Wkst'!$I$7:$I$2010,$C$9,'LAC 102_Wkst'!$E$7:$E$2010,$C71,'LAC 102_Wkst'!$G$7:$G$2010,$D71,'LAC 102_Wkst'!$L$7:$L$2010,"02",'LAC 102_Wkst'!$N$7:$N$2010,"P5")</f>
        <v>0</v>
      </c>
      <c r="K71" s="411">
        <f>SUMIFS('LAC 102_Wkst'!$AF$7:$AF$2010,'LAC 102_Wkst'!$D$7:$D$2010,$C$7,'LAC 102_Wkst'!$I$7:$I$2010,$C$9,'LAC 102_Wkst'!$E$7:$E$2010,$C71,'LAC 102_Wkst'!$G$7:$G$2010,$D71,'LAC 102_Wkst'!$L$7:$L$2010,"01",'LAC 102_Wkst'!$N$7:$N$2010,"P5")+SUMIFS('LAC 102_Wkst'!$AF$7:$AF$2010,'LAC 102_Wkst'!$D$7:$D$2010,$C$7,'LAC 102_Wkst'!$I$7:$I$2010,$C$9,'LAC 102_Wkst'!$E$7:$E$2010,$C71,'LAC 102_Wkst'!$G$7:$G$2010,$D71,'LAC 102_Wkst'!$L$7:$L$2010,"02",'LAC 102_Wkst'!$N$7:$N$2010,"P5")</f>
        <v>0</v>
      </c>
      <c r="L71" s="410">
        <f>SUMIFS('LAC 102_Wkst'!$Q$7:$Q$2010,'LAC 102_Wkst'!$D$7:$D$2010,$C$7,'LAC 102_Wkst'!$I$7:$I$2010,$C$9,'LAC 102_Wkst'!$E$7:$E$2010,$C71,'LAC 102_Wkst'!$G$7:$G$2010,$D71,'LAC 102_Wkst'!$L$7:$L$2010,"03",'LAC 102_Wkst'!$N$7:$N$2010,"P1")+SUMIFS('LAC 102_Wkst'!$Q$7:$Q$2010,'LAC 102_Wkst'!$D$7:$D$2010,$C$7,'LAC 102_Wkst'!$I$7:$I$2010,$C$9,'LAC 102_Wkst'!$E$7:$E$2010,$C71,'LAC 102_Wkst'!$G$7:$G$2010,$D71,'LAC 102_Wkst'!$L$7:$L$2010,"03",'LAC 102_Wkst'!$N$7:$N$2010,"P2")+SUMIFS('LAC 102_Wkst'!$Q$7:$Q$2010,'LAC 102_Wkst'!$D$7:$D$2010,$C$7,'LAC 102_Wkst'!$I$7:$I$2010,$C$9,'LAC 102_Wkst'!$E$7:$E$2010,$C71,'LAC 102_Wkst'!$G$7:$G$2010,$D71,'LAC 102_Wkst'!$L$7:$L$2010,"03",'LAC 102_Wkst'!$N$7:$N$2010,"P3")+SUMIFS('LAC 102_Wkst'!$Q$7:$Q$2010,'LAC 102_Wkst'!$D$7:$D$2010,$C$7,'LAC 102_Wkst'!$I$7:$I$2010,$C$9,'LAC 102_Wkst'!$E$7:$E$2010,$C71,'LAC 102_Wkst'!$G$7:$G$2010,$D71,'LAC 102_Wkst'!$L$7:$L$2010,"04",'LAC 102_Wkst'!$N$7:$N$2010,"P1")+SUMIFS('LAC 102_Wkst'!$Q$7:$Q$2010,'LAC 102_Wkst'!$D$7:$D$2010,$C$7,'LAC 102_Wkst'!$I$7:$I$2010,$C$9,'LAC 102_Wkst'!$E$7:$E$2010,$C71,'LAC 102_Wkst'!$G$7:$G$2010,$D71,'LAC 102_Wkst'!$L$7:$L$2010,"04",'LAC 102_Wkst'!$N$7:$N$2010,"P2")+SUMIFS('LAC 102_Wkst'!$Q$7:$Q$2010,'LAC 102_Wkst'!$D$7:$D$2010,$C$7,'LAC 102_Wkst'!$I$7:$I$2010,$C$9,'LAC 102_Wkst'!$E$7:$E$2010,$C71,'LAC 102_Wkst'!$G$7:$G$2010,$D71,'LAC 102_Wkst'!$L$7:$L$2010,"04",'LAC 102_Wkst'!$N$7:$N$2010,"P3")</f>
        <v>0</v>
      </c>
      <c r="M71" s="411">
        <f>SUMIFS('LAC 102_Wkst'!$AF$7:$AF$2010,'LAC 102_Wkst'!$D$7:$D$2010,$C$7,'LAC 102_Wkst'!$I$7:$I$2010,$C$9,'LAC 102_Wkst'!$E$7:$E$2010,$C71,'LAC 102_Wkst'!$G$7:$G$2010,$D71,'LAC 102_Wkst'!$L$7:$L$2010,"03",'LAC 102_Wkst'!$N$7:$N$2010,"P1")+SUMIFS('LAC 102_Wkst'!$AF$7:$AF$2010,'LAC 102_Wkst'!$D$7:$D$2010,$C$7,'LAC 102_Wkst'!$I$7:$I$2010,$C$9,'LAC 102_Wkst'!$E$7:$E$2010,$C71,'LAC 102_Wkst'!$G$7:$G$2010,$D71,'LAC 102_Wkst'!$L$7:$L$2010,"03",'LAC 102_Wkst'!$N$7:$N$2010,"P2")+SUMIFS('LAC 102_Wkst'!$AF$7:$AF$2010,'LAC 102_Wkst'!$D$7:$D$2010,$C$7,'LAC 102_Wkst'!$I$7:$I$2010,$C$9,'LAC 102_Wkst'!$E$7:$E$2010,$C71,'LAC 102_Wkst'!$G$7:$G$2010,$D71,'LAC 102_Wkst'!$L$7:$L$2010,"03",'LAC 102_Wkst'!$N$7:$N$2010,"P3")+SUMIFS('LAC 102_Wkst'!$AF$7:$AF$2010,'LAC 102_Wkst'!$D$7:$D$2010,$C$7,'LAC 102_Wkst'!$I$7:$I$2010,$C$9,'LAC 102_Wkst'!$E$7:$E$2010,$C71,'LAC 102_Wkst'!$G$7:$G$2010,$D71,'LAC 102_Wkst'!$L$7:$L$2010,"04",'LAC 102_Wkst'!$N$7:$N$2010,"P1")+SUMIFS('LAC 102_Wkst'!$AF$7:$AF$2010,'LAC 102_Wkst'!$D$7:$D$2010,$C$7,'LAC 102_Wkst'!$I$7:$I$2010,$C$9,'LAC 102_Wkst'!$E$7:$E$2010,$C71,'LAC 102_Wkst'!$G$7:$G$2010,$D71,'LAC 102_Wkst'!$L$7:$L$2010,"04",'LAC 102_Wkst'!$N$7:$N$2010,"P2")+SUMIFS('LAC 102_Wkst'!$AF$7:$AF$2010,'LAC 102_Wkst'!$D$7:$D$2010,$C$7,'LAC 102_Wkst'!$I$7:$I$2010,$C$9,'LAC 102_Wkst'!$E$7:$E$2010,$C71,'LAC 102_Wkst'!$G$7:$G$2010,$D71,'LAC 102_Wkst'!$L$7:$L$2010,"04",'LAC 102_Wkst'!$N$7:$N$2010,"P3")</f>
        <v>0</v>
      </c>
      <c r="N71" s="410">
        <f>SUMIFS('LAC 102_Wkst'!$Q$7:$Q$2010,'LAC 102_Wkst'!$D$7:$D$2010,$C$7,'LAC 102_Wkst'!$I$7:$I$2010,$C$9,'LAC 102_Wkst'!$E$7:$E$2010,$C71,'LAC 102_Wkst'!$G$7:$G$2010,$D71,'LAC 102_Wkst'!$L$7:$L$2010,"03",'LAC 102_Wkst'!$N$7:$N$2010,"P4")+SUMIFS('LAC 102_Wkst'!$Q$7:$Q$2010,'LAC 102_Wkst'!$D$7:$D$2010,$C$7,'LAC 102_Wkst'!$I$7:$I$2010,$C$9,'LAC 102_Wkst'!$E$7:$E$2010,$C71,'LAC 102_Wkst'!$G$7:$G$2010,$D71,'LAC 102_Wkst'!$L$7:$L$2010,"04",'LAC 102_Wkst'!$N$7:$N$2010,"P4")</f>
        <v>0</v>
      </c>
      <c r="O71" s="411">
        <f>SUMIFS('LAC 102_Wkst'!$AF$7:$AF$2010,'LAC 102_Wkst'!$D$7:$D$2010,$C$7,'LAC 102_Wkst'!$I$7:$I$2010,$C$9,'LAC 102_Wkst'!$E$7:$E$2010,$C71,'LAC 102_Wkst'!$G$7:$G$2010,$D71,'LAC 102_Wkst'!$L$7:$L$2010,"03",'LAC 102_Wkst'!$N$7:$N$2010,"P4")+SUMIFS('LAC 102_Wkst'!$AF$7:$AF$2010,'LAC 102_Wkst'!$D$7:$D$2010,$C$7,'LAC 102_Wkst'!$I$7:$I$2010,$C$9,'LAC 102_Wkst'!$E$7:$E$2010,$C71,'LAC 102_Wkst'!$G$7:$G$2010,$D71,'LAC 102_Wkst'!$L$7:$L$2010,"04",'LAC 102_Wkst'!$N$7:$N$2010,"P4")</f>
        <v>0</v>
      </c>
      <c r="P71" s="410">
        <f>SUMIFS('LAC 102_Wkst'!$Q$7:$Q$2010,'LAC 102_Wkst'!$D$7:$D$2010,$C$7,'LAC 102_Wkst'!$I$7:$I$2010,$C$9,'LAC 102_Wkst'!$E$7:$E$2010,$C71,'LAC 102_Wkst'!$G$7:$G$2010,$D71,'LAC 102_Wkst'!$L$7:$L$2010,"03",'LAC 102_Wkst'!$N$7:$N$2010,"P5")+SUMIFS('LAC 102_Wkst'!$Q$7:$Q$2010,'LAC 102_Wkst'!$D$7:$D$2010,$C$7,'LAC 102_Wkst'!$I$7:$I$2010,$C$9,'LAC 102_Wkst'!$E$7:$E$2010,$C71,'LAC 102_Wkst'!$G$7:$G$2010,$D71,'LAC 102_Wkst'!$L$7:$L$2010,"04",'LAC 102_Wkst'!$N$7:$N$2010,"P5")</f>
        <v>0</v>
      </c>
      <c r="Q71" s="411">
        <f>SUMIFS('LAC 102_Wkst'!$AF$7:$AF$2010,'LAC 102_Wkst'!$D$7:$D$2010,$C$7,'LAC 102_Wkst'!$I$7:$I$2010,$C$9,'LAC 102_Wkst'!$E$7:$E$2010,$C71,'LAC 102_Wkst'!$G$7:$G$2010,$D71,'LAC 102_Wkst'!$L$7:$L$2010,"03",'LAC 102_Wkst'!$N$7:$N$2010,"P5")+SUMIFS('LAC 102_Wkst'!$AF$7:$AF$2010,'LAC 102_Wkst'!$D$7:$D$2010,$C$7,'LAC 102_Wkst'!$I$7:$I$2010,$C$9,'LAC 102_Wkst'!$E$7:$E$2010,$C71,'LAC 102_Wkst'!$G$7:$G$2010,$D71,'LAC 102_Wkst'!$L$7:$L$2010,"04",'LAC 102_Wkst'!$N$7:$N$2010,"P5")</f>
        <v>0</v>
      </c>
      <c r="R71" s="412">
        <f>SUMIFS('LAC 102_Wkst'!$Q$7:$Q$2010,'LAC 102_Wkst'!$D$7:$D$2010,$C$7,'LAC 102_Wkst'!$I$7:$I$2010,$C$9,'LAC 102_Wkst'!$E$7:$E$2010,$C71,'LAC 102_Wkst'!$G$7:$G$2010,$D71,'LAC 102_Wkst'!$L$7:$L$2010,"05",'LAC 102_Wkst'!$N$7:$N$2010,"P1")+SUMIFS('LAC 102_Wkst'!$Q$7:$Q$2010,'LAC 102_Wkst'!$D$7:$D$2010,$C$7,'LAC 102_Wkst'!$I$7:$I$2010,$C$9,'LAC 102_Wkst'!$E$7:$E$2010,$C71,'LAC 102_Wkst'!$G$7:$G$2010,$D71,'LAC 102_Wkst'!$L$7:$L$2010,"06",'LAC 102_Wkst'!$N$7:$N$2010,"P1")</f>
        <v>0</v>
      </c>
      <c r="S71" s="411">
        <f>SUMIFS('LAC 102_Wkst'!$AF$7:$AF$2010,'LAC 102_Wkst'!$D$7:$D$2010,$C$7,'LAC 102_Wkst'!$I$7:$I$2010,$C$9,'LAC 102_Wkst'!$E$7:$E$2010,$C71,'LAC 102_Wkst'!$G$7:$G$2010,$D71,'LAC 102_Wkst'!$L$7:$L$2010,"05",'LAC 102_Wkst'!$N$7:$N$2010,"P1")+SUMIFS('LAC 102_Wkst'!$AF$7:$AF$2010,'LAC 102_Wkst'!$D$7:$D$2010,$C$7,'LAC 102_Wkst'!$I$7:$I$2010,$C$9,'LAC 102_Wkst'!$E$7:$E$2010,$C71,'LAC 102_Wkst'!$G$7:$G$2010,$D71,'LAC 102_Wkst'!$L$7:$L$2010,"06",'LAC 102_Wkst'!$N$7:$N$2010,"P1")</f>
        <v>0</v>
      </c>
      <c r="T71" s="410">
        <f>SUMIFS('LAC 102_Wkst'!$Q$7:$Q$2010,'LAC 102_Wkst'!$D$7:$D$2010,$C$7,'LAC 102_Wkst'!$I$7:$I$2010,$C$9,'LAC 102_Wkst'!$E$7:$E$2010,$C71,'LAC 102_Wkst'!$G$7:$G$2010,$D71,'LAC 102_Wkst'!$L$7:$L$2010,"05",'LAC 102_Wkst'!$N$7:$N$2010,"P2")+SUMIFS('LAC 102_Wkst'!$Q$7:$Q$2010,'LAC 102_Wkst'!$D$7:$D$2010,$C$7,'LAC 102_Wkst'!$I$7:$I$2010,$C$9,'LAC 102_Wkst'!$E$7:$E$2010,$C71,'LAC 102_Wkst'!$G$7:$G$2010,$D71,'LAC 102_Wkst'!$L$7:$L$2010,"06",'LAC 102_Wkst'!$N$7:$N$2010,"P2")+SUMIFS('LAC 102_Wkst'!$Q$7:$Q$2010,'LAC 102_Wkst'!$D$7:$D$2010,$C$7,'LAC 102_Wkst'!$I$7:$I$2010,$C$9,'LAC 102_Wkst'!$E$7:$E$2010,$C71,'LAC 102_Wkst'!$G$7:$G$2010,$D71,'LAC 102_Wkst'!$L$7:$L$2010,"05",'LAC 102_Wkst'!$N$7:$N$2010,"P3")+SUMIFS('LAC 102_Wkst'!$Q$7:$Q$2010,'LAC 102_Wkst'!$D$7:$D$2010,$C$7,'LAC 102_Wkst'!$I$7:$I$2010,$C$9,'LAC 102_Wkst'!$E$7:$E$2010,$C71,'LAC 102_Wkst'!$G$7:$G$2010,$D71,'LAC 102_Wkst'!$L$7:$L$2010,"06",'LAC 102_Wkst'!$N$7:$N$2010,"P3")</f>
        <v>0</v>
      </c>
      <c r="U71" s="411">
        <f>SUMIFS('LAC 102_Wkst'!$AF$7:$AF$2010,'LAC 102_Wkst'!$D$7:$D$2010,$C$7,'LAC 102_Wkst'!$I$7:$I$2010,$C$9,'LAC 102_Wkst'!$E$7:$E$2010,$C71,'LAC 102_Wkst'!$G$7:$G$2010,$D71,'LAC 102_Wkst'!$L$7:$L$2010,"05",'LAC 102_Wkst'!$N$7:$N$2010,"P2")+SUMIFS('LAC 102_Wkst'!$AF$7:$AF$2010,'LAC 102_Wkst'!$D$7:$D$2010,$C$7,'LAC 102_Wkst'!$I$7:$I$2010,$C$9,'LAC 102_Wkst'!$E$7:$E$2010,$C71,'LAC 102_Wkst'!$G$7:$G$2010,$D71,'LAC 102_Wkst'!$L$7:$L$2010,"06",'LAC 102_Wkst'!$N$7:$N$2010,"P2")+SUMIFS('LAC 102_Wkst'!$AF$7:$AF$2010,'LAC 102_Wkst'!$D$7:$D$2010,$C$7,'LAC 102_Wkst'!$I$7:$I$2010,$C$9,'LAC 102_Wkst'!$E$7:$E$2010,$C71,'LAC 102_Wkst'!$G$7:$G$2010,$D71,'LAC 102_Wkst'!$L$7:$L$2010,"05",'LAC 102_Wkst'!$N$7:$N$2010,"P3")+SUMIFS('LAC 102_Wkst'!$AF$7:$AF$2010,'LAC 102_Wkst'!$D$7:$D$2010,$C$7,'LAC 102_Wkst'!$I$7:$I$2010,$C$9,'LAC 102_Wkst'!$E$7:$E$2010,$C71,'LAC 102_Wkst'!$G$7:$G$2010,$D71,'LAC 102_Wkst'!$L$7:$L$2010,"06",'LAC 102_Wkst'!$N$7:$N$2010,"P3")</f>
        <v>0</v>
      </c>
      <c r="V71" s="410">
        <f>SUMIFS('LAC 102_Wkst'!$Q$7:$Q$2010,'LAC 102_Wkst'!$D$7:$D$2010,$C$7,'LAC 102_Wkst'!$I$7:$I$2010,$C$9,'LAC 102_Wkst'!$E$7:$E$2010,$C71,'LAC 102_Wkst'!$G$7:$G$2010,$D71,'LAC 102_Wkst'!$L$7:$L$2010,"05",'LAC 102_Wkst'!$N$7:$N$2010,"P4")+SUMIFS('LAC 102_Wkst'!$Q$7:$Q$2010,'LAC 102_Wkst'!$D$7:$D$2010,$C$7,'LAC 102_Wkst'!$I$7:$I$2010,$C$9,'LAC 102_Wkst'!$E$7:$E$2010,$C71,'LAC 102_Wkst'!$G$7:$G$2010,$D71,'LAC 102_Wkst'!$L$7:$L$2010,"06",'LAC 102_Wkst'!$N$7:$N$2010,"P4")</f>
        <v>0</v>
      </c>
      <c r="W71" s="411">
        <f>SUMIFS('LAC 102_Wkst'!$AF$7:$AF$2010,'LAC 102_Wkst'!$D$7:$D$2010,$C$7,'LAC 102_Wkst'!$I$7:$I$2010,$C$9,'LAC 102_Wkst'!$E$7:$E$2010,$C71,'LAC 102_Wkst'!$G$7:$G$2010,$D71,'LAC 102_Wkst'!$L$7:$L$2010,"05",'LAC 102_Wkst'!$N$7:$N$2010,"P4")+SUMIFS('LAC 102_Wkst'!$AF$7:$AF$2010,'LAC 102_Wkst'!$D$7:$D$2010,$C$7,'LAC 102_Wkst'!$I$7:$I$2010,$C$9,'LAC 102_Wkst'!$E$7:$E$2010,$C71,'LAC 102_Wkst'!$G$7:$G$2010,$D71,'LAC 102_Wkst'!$L$7:$L$2010,"06",'LAC 102_Wkst'!$N$7:$N$2010,"P4")</f>
        <v>0</v>
      </c>
      <c r="X71" s="410">
        <f>SUMIFS('LAC 102_Wkst'!$Q$7:$Q$2010,'LAC 102_Wkst'!$D$7:$D$2010,$C$7,'LAC 102_Wkst'!$I$7:$I$2010,$C$9,'LAC 102_Wkst'!$E$7:$E$2010,$C71,'LAC 102_Wkst'!$G$7:$G$2010,$D71,'LAC 102_Wkst'!$L$7:$L$2010,"05",'LAC 102_Wkst'!$N$7:$N$2010,"P5")+SUMIFS('LAC 102_Wkst'!$Q$7:$Q$2010,'LAC 102_Wkst'!$D$7:$D$2010,$C$7,'LAC 102_Wkst'!$I$7:$I$2010,$C$9,'LAC 102_Wkst'!$E$7:$E$2010,$C71,'LAC 102_Wkst'!$G$7:$G$2010,$D71,'LAC 102_Wkst'!$L$7:$L$2010,"06",'LAC 102_Wkst'!$N$7:$N$2010,"P5")</f>
        <v>0</v>
      </c>
      <c r="Y71" s="411">
        <f>SUMIFS('LAC 102_Wkst'!$AF$7:$AF$2010,'LAC 102_Wkst'!$D$7:$D$2010,$C$7,'LAC 102_Wkst'!$I$7:$I$2010,$C$9,'LAC 102_Wkst'!$E$7:$E$2010,$C71,'LAC 102_Wkst'!$G$7:$G$2010,$D71,'LAC 102_Wkst'!$L$7:$L$2010,"05",'LAC 102_Wkst'!$N$7:$N$2010,"P5")+SUMIFS('LAC 102_Wkst'!$AF$7:$AF$2010,'LAC 102_Wkst'!$D$7:$D$2010,$C$7,'LAC 102_Wkst'!$I$7:$I$2010,$C$9,'LAC 102_Wkst'!$E$7:$E$2010,$C71,'LAC 102_Wkst'!$G$7:$G$2010,$D71,'LAC 102_Wkst'!$L$7:$L$2010,"06",'LAC 102_Wkst'!$N$7:$N$2010,"P5")</f>
        <v>0</v>
      </c>
      <c r="Z71" s="410">
        <f>SUMIFS('LAC 102_Wkst'!$Q$7:$Q$2010,'LAC 102_Wkst'!$D$7:$D$2010,$C$7,'LAC 102_Wkst'!$I$7:$I$2010,$C$9,'LAC 102_Wkst'!$E$7:$E$2010,$C71,'LAC 102_Wkst'!$G$7:$G$2010,$D71,'LAC 102_Wkst'!$L$7:$L$2010,"07",'LAC 102_Wkst'!$N$7:$N$2010,"P1")+SUMIFS('LAC 102_Wkst'!$Q$7:$Q$2010,'LAC 102_Wkst'!$D$7:$D$2010,$C$7,'LAC 102_Wkst'!$I$7:$I$2010,$C$9,'LAC 102_Wkst'!$E$7:$E$2010,$C71,'LAC 102_Wkst'!$G$7:$G$2010,$D71,'LAC 102_Wkst'!$L$7:$L$2010,"07",'LAC 102_Wkst'!$N$7:$N$2010,"P2")+SUMIFS('LAC 102_Wkst'!$Q$7:$Q$2010,'LAC 102_Wkst'!$D$7:$D$2010,$C$7,'LAC 102_Wkst'!$I$7:$I$2010,$C$9,'LAC 102_Wkst'!$E$7:$E$2010,$C71,'LAC 102_Wkst'!$G$7:$G$2010,$D71,'LAC 102_Wkst'!$L$7:$L$2010,"07",'LAC 102_Wkst'!$N$7:$N$2010,"P3")</f>
        <v>0</v>
      </c>
      <c r="AA71" s="411">
        <f>SUMIFS('LAC 102_Wkst'!$AF$7:$AF$2010,'LAC 102_Wkst'!$D$7:$D$2010,$C$7,'LAC 102_Wkst'!$I$7:$I$2010,$C$9,'LAC 102_Wkst'!$E$7:$E$2010,$C71,'LAC 102_Wkst'!$G$7:$G$2010,$D71,'LAC 102_Wkst'!$L$7:$L$2010,"07",'LAC 102_Wkst'!$N$7:$N$2010,"P1")+SUMIFS('LAC 102_Wkst'!$AF$7:$AF$2010,'LAC 102_Wkst'!$D$7:$D$2010,$C$7,'LAC 102_Wkst'!$I$7:$I$2010,$C$9,'LAC 102_Wkst'!$E$7:$E$2010,$C71,'LAC 102_Wkst'!$G$7:$G$2010,$D71,'LAC 102_Wkst'!$L$7:$L$2010,"07",'LAC 102_Wkst'!$N$7:$N$2010,"P2")+SUMIFS('LAC 102_Wkst'!$AF$7:$AF$2010,'LAC 102_Wkst'!$D$7:$D$2010,$C$7,'LAC 102_Wkst'!$I$7:$I$2010,$C$9,'LAC 102_Wkst'!$E$7:$E$2010,$C71,'LAC 102_Wkst'!$G$7:$G$2010,$D71,'LAC 102_Wkst'!$L$7:$L$2010,"07",'LAC 102_Wkst'!$N$7:$N$2010,"P3")</f>
        <v>0</v>
      </c>
      <c r="AB71" s="410">
        <f>SUMIFS('LAC 102_Wkst'!$Q$7:$Q$2010,'LAC 102_Wkst'!$D$7:$D$2010,$C$7,'LAC 102_Wkst'!$I$7:$I$2010,$C$9,'LAC 102_Wkst'!$E$7:$E$2010,$C71,'LAC 102_Wkst'!$G$7:$G$2010,$D71,'LAC 102_Wkst'!$L$7:$L$2010,"07",'LAC 102_Wkst'!$N$7:$N$2010,"P4")</f>
        <v>0</v>
      </c>
      <c r="AC71" s="411">
        <f>SUMIFS('LAC 102_Wkst'!$AF$7:$AF$2010,'LAC 102_Wkst'!$D$7:$D$2010,$C$7,'LAC 102_Wkst'!$I$7:$I$2010,$C$9,'LAC 102_Wkst'!$E$7:$E$2010,$C71,'LAC 102_Wkst'!$G$7:$G$2010,$D71,'LAC 102_Wkst'!$L$7:$L$2010,"07",'LAC 102_Wkst'!$N$7:$N$2010,"P4")</f>
        <v>0</v>
      </c>
      <c r="AD71" s="410">
        <f>SUMIFS('LAC 102_Wkst'!$Q$7:$Q$2010,'LAC 102_Wkst'!$D$7:$D$2010,$C$7,'LAC 102_Wkst'!$I$7:$I$2010,$C$9,'LAC 102_Wkst'!$E$7:$E$2010,$C71,'LAC 102_Wkst'!$G$7:$G$2010,$D71,'LAC 102_Wkst'!$L$7:$L$2010,"07",'LAC 102_Wkst'!$N$7:$N$2010,"P5")</f>
        <v>0</v>
      </c>
      <c r="AE71" s="411">
        <f>SUMIFS('LAC 102_Wkst'!$AF$7:$AF$2010,'LAC 102_Wkst'!$D$7:$D$2010,$C$7,'LAC 102_Wkst'!$I$7:$I$2010,$C$9,'LAC 102_Wkst'!$E$7:$E$2010,$C71,'LAC 102_Wkst'!$G$7:$G$2010,$D71,'LAC 102_Wkst'!$L$7:$L$2010,"07",'LAC 102_Wkst'!$N$7:$N$2010,"P5")</f>
        <v>0</v>
      </c>
      <c r="AF71" s="410">
        <f>SUMIFS('LAC 102_Wkst'!$Q$7:$Q$2010,'LAC 102_Wkst'!$D$7:$D$2010,$C$7,'LAC 102_Wkst'!$I$7:$I$2010,$C$9,'LAC 102_Wkst'!$E$7:$E$2010,$C71,'LAC 102_Wkst'!$G$7:$G$2010,$D71,'LAC 102_Wkst'!$L$7:$L$2010,"08",'LAC 102_Wkst'!$N$7:$N$2010,"P1")+SUMIFS('LAC 102_Wkst'!$Q$7:$Q$2010,'LAC 102_Wkst'!$D$7:$D$2010,$C$7,'LAC 102_Wkst'!$I$7:$I$2010,$C$9,'LAC 102_Wkst'!$E$7:$E$2010,$C71,'LAC 102_Wkst'!$G$7:$G$2010,$D71,'LAC 102_Wkst'!$L$7:$L$2010,"08",'LAC 102_Wkst'!$N$7:$N$2010,"P2")+SUMIFS('LAC 102_Wkst'!$Q$7:$Q$2010,'LAC 102_Wkst'!$D$7:$D$2010,$C$7,'LAC 102_Wkst'!$I$7:$I$2010,$C$9,'LAC 102_Wkst'!$E$7:$E$2010,$C71,'LAC 102_Wkst'!$G$7:$G$2010,$D71,'LAC 102_Wkst'!$L$7:$L$2010,"08",'LAC 102_Wkst'!$N$7:$N$2010,"P3")</f>
        <v>0</v>
      </c>
      <c r="AG71" s="411">
        <f>SUMIFS('LAC 102_Wkst'!$AF$7:$AF$2010,'LAC 102_Wkst'!$D$7:$D$2010,$C$7,'LAC 102_Wkst'!$I$7:$I$2010,$C$9,'LAC 102_Wkst'!$E$7:$E$2010,$C71,'LAC 102_Wkst'!$G$7:$G$2010,$D71,'LAC 102_Wkst'!$L$7:$L$2010,"08",'LAC 102_Wkst'!$N$7:$N$2010,"P1")+SUMIFS('LAC 102_Wkst'!$AF$7:$AF$2010,'LAC 102_Wkst'!$D$7:$D$2010,$C$7,'LAC 102_Wkst'!$I$7:$I$2010,$C$9,'LAC 102_Wkst'!$E$7:$E$2010,$C71,'LAC 102_Wkst'!$G$7:$G$2010,$D71,'LAC 102_Wkst'!$L$7:$L$2010,"08",'LAC 102_Wkst'!$N$7:$N$2010,"P2")+SUMIFS('LAC 102_Wkst'!$AF$7:$AF$2010,'LAC 102_Wkst'!$D$7:$D$2010,$C$7,'LAC 102_Wkst'!$I$7:$I$2010,$C$9,'LAC 102_Wkst'!$E$7:$E$2010,$C71,'LAC 102_Wkst'!$G$7:$G$2010,$D71,'LAC 102_Wkst'!$L$7:$L$2010,"08",'LAC 102_Wkst'!$N$7:$N$2010,"P3")</f>
        <v>0</v>
      </c>
      <c r="AH71" s="410">
        <f>SUMIFS('LAC 102_Wkst'!$Q$7:$Q$2010,'LAC 102_Wkst'!$D$7:$D$2010,$C$7,'LAC 102_Wkst'!$I$7:$I$2010,$C$9,'LAC 102_Wkst'!$E$7:$E$2010,$C71,'LAC 102_Wkst'!$G$7:$G$2010,$D71,'LAC 102_Wkst'!$L$7:$L$2010,"08",'LAC 102_Wkst'!$N$7:$N$2010,"P4")</f>
        <v>0</v>
      </c>
      <c r="AI71" s="411">
        <f>SUMIFS('LAC 102_Wkst'!$AF$7:$AF$2010,'LAC 102_Wkst'!$D$7:$D$2010,$C$7,'LAC 102_Wkst'!$I$7:$I$2010,$C$9,'LAC 102_Wkst'!$E$7:$E$2010,$C71,'LAC 102_Wkst'!$G$7:$G$2010,$D71,'LAC 102_Wkst'!$L$7:$L$2010,"08",'LAC 102_Wkst'!$N$7:$N$2010,"P4")</f>
        <v>0</v>
      </c>
      <c r="AJ71" s="410">
        <f>SUMIFS('LAC 102_Wkst'!$Q$7:$Q$2010,'LAC 102_Wkst'!$D$7:$D$2010,$C$7,'LAC 102_Wkst'!$I$7:$I$2010,$C$9,'LAC 102_Wkst'!$E$7:$E$2010,$C71,'LAC 102_Wkst'!$G$7:$G$2010,$D71,'LAC 102_Wkst'!$L$7:$L$2010,"08",'LAC 102_Wkst'!$N$7:$N$2010,"P5")</f>
        <v>0</v>
      </c>
      <c r="AK71" s="411">
        <f>SUMIFS('LAC 102_Wkst'!$AF$7:$AF$2010,'LAC 102_Wkst'!$D$7:$D$2010,$C$7,'LAC 102_Wkst'!$I$7:$I$2010,$C$9,'LAC 102_Wkst'!$E$7:$E$2010,$C71,'LAC 102_Wkst'!$G$7:$G$2010,$D71,'LAC 102_Wkst'!$L$7:$L$2010,"08",'LAC 102_Wkst'!$N$7:$N$2010,"P5")</f>
        <v>0</v>
      </c>
      <c r="AL71" s="410">
        <f>SUMIFS('LAC 102_Wkst'!$Q$7:$Q$2010,'LAC 102_Wkst'!$D$7:$D$2010,$C$7,'LAC 102_Wkst'!$I$7:$I$2010,$C$9,'LAC 102_Wkst'!$E$7:$E$2010,$C71,'LAC 102_Wkst'!$G$7:$G$2010,$D71,'LAC 102_Wkst'!$L$7:$L$2010,"09",'LAC 102_Wkst'!$N$7:$N$2010,"P1")+SUMIFS('LAC 102_Wkst'!$Q$7:$Q$2010,'LAC 102_Wkst'!$D$7:$D$2010,$C$7,'LAC 102_Wkst'!$I$7:$I$2010,$C$9,'LAC 102_Wkst'!$E$7:$E$2010,$C71,'LAC 102_Wkst'!$G$7:$G$2010,$D71,'LAC 102_Wkst'!$L$7:$L$2010,"09",'LAC 102_Wkst'!$N$7:$N$2010,"P2")+SUMIFS('LAC 102_Wkst'!$Q$7:$Q$2010,'LAC 102_Wkst'!$D$7:$D$2010,$C$7,'LAC 102_Wkst'!$I$7:$I$2010,$C$9,'LAC 102_Wkst'!$E$7:$E$2010,$C71,'LAC 102_Wkst'!$G$7:$G$2010,$D71,'LAC 102_Wkst'!$L$7:$L$2010,"09",'LAC 102_Wkst'!$N$7:$N$2010,"P3")+SUMIFS('LAC 102_Wkst'!$Q$7:$Q$2010,'LAC 102_Wkst'!$D$7:$D$2010,$C$7,'LAC 102_Wkst'!$I$7:$I$2010,$C$9,'LAC 102_Wkst'!$E$7:$E$2010,$C71,'LAC 102_Wkst'!$G$7:$G$2010,$D71,'LAC 102_Wkst'!$L$7:$L$2010,"09",'LAC 102_Wkst'!$N$7:$N$2010,"P4")</f>
        <v>0</v>
      </c>
      <c r="AM71" s="411">
        <f>SUMIFS('LAC 102_Wkst'!$AF$7:$AF$2010,'LAC 102_Wkst'!$D$7:$D$2010,$C$7,'LAC 102_Wkst'!$I$7:$I$2010,$C$9,'LAC 102_Wkst'!$E$7:$E$2010,$C71,'LAC 102_Wkst'!$G$7:$G$2010,$D71,'LAC 102_Wkst'!$L$7:$L$2010,"09",'LAC 102_Wkst'!$N$7:$N$2010,"P1")+SUMIFS('LAC 102_Wkst'!$AF$7:$AF$2010,'LAC 102_Wkst'!$D$7:$D$2010,$C$7,'LAC 102_Wkst'!$I$7:$I$2010,$C$9,'LAC 102_Wkst'!$E$7:$E$2010,$C71,'LAC 102_Wkst'!$G$7:$G$2010,$D71,'LAC 102_Wkst'!$L$7:$L$2010,"09",'LAC 102_Wkst'!$N$7:$N$2010,"P2")+SUMIFS('LAC 102_Wkst'!$AF$7:$AF$2010,'LAC 102_Wkst'!$D$7:$D$2010,$C$7,'LAC 102_Wkst'!$I$7:$I$2010,$C$9,'LAC 102_Wkst'!$E$7:$E$2010,$C71,'LAC 102_Wkst'!$G$7:$G$2010,$D71,'LAC 102_Wkst'!$L$7:$L$2010,"09",'LAC 102_Wkst'!$N$7:$N$2010,"P3")+SUMIFS('LAC 102_Wkst'!$AF$7:$AF$2010,'LAC 102_Wkst'!$D$7:$D$2010,$C$7,'LAC 102_Wkst'!$I$7:$I$2010,$C$9,'LAC 102_Wkst'!$E$7:$E$2010,$C71,'LAC 102_Wkst'!$G$7:$G$2010,$D71,'LAC 102_Wkst'!$L$7:$L$2010,"09",'LAC 102_Wkst'!$N$7:$N$2010,"P4")</f>
        <v>0</v>
      </c>
      <c r="AN71" s="410">
        <f>SUMIFS('LAC 102_Wkst'!$Q$7:$Q$2010,'LAC 102_Wkst'!$D$7:$D$2010,$C$7,'LAC 102_Wkst'!$I$7:$I$2010,$C$9,'LAC 102_Wkst'!$E$7:$E$2010,$C71,'LAC 102_Wkst'!$G$7:$G$2010,$D71,'LAC 102_Wkst'!$L$7:$L$2010,"09",'LAC 102_Wkst'!$N$7:$N$2010,"P5")</f>
        <v>0</v>
      </c>
      <c r="AO71" s="411">
        <f>SUMIFS('LAC 102_Wkst'!$AF$7:$AF$2010,'LAC 102_Wkst'!$D$7:$D$2010,$C$7,'LAC 102_Wkst'!$I$7:$I$2010,$C$9,'LAC 102_Wkst'!$E$7:$E$2010,$C71,'LAC 102_Wkst'!$G$7:$G$2010,$D71,'LAC 102_Wkst'!$L$7:$L$2010,"09",'LAC 102_Wkst'!$N$7:$N$2010,"P5")</f>
        <v>0</v>
      </c>
      <c r="AP71" s="410">
        <f>SUMIFS('LAC 102_Wkst'!$Q$7:$Q$2010,'LAC 102_Wkst'!$D$7:$D$2010,$C$7,'LAC 102_Wkst'!$I$7:$I$2010,$C$9,'LAC 102_Wkst'!$E$7:$E$2010,$C71,'LAC 102_Wkst'!$G$7:$G$2010,$D71,'LAC 102_Wkst'!$L$7:$L$2010,"10",'LAC 102_Wkst'!$N$7:$N$2010,"P1")+SUMIFS('LAC 102_Wkst'!$Q$7:$Q$2010,'LAC 102_Wkst'!$D$7:$D$2010,$C$7,'LAC 102_Wkst'!$I$7:$I$2010,$C$9,'LAC 102_Wkst'!$E$7:$E$2010,$C71,'LAC 102_Wkst'!$G$7:$G$2010,$D71,'LAC 102_Wkst'!$L$7:$L$2010,"10",'LAC 102_Wkst'!$N$7:$N$2010,"P2")+SUMIFS('LAC 102_Wkst'!$Q$7:$Q$2010,'LAC 102_Wkst'!$D$7:$D$2010,$C$7,'LAC 102_Wkst'!$I$7:$I$2010,$C$9,'LAC 102_Wkst'!$E$7:$E$2010,$C71,'LAC 102_Wkst'!$G$7:$G$2010,$D71,'LAC 102_Wkst'!$L$7:$L$2010,"10",'LAC 102_Wkst'!$N$7:$N$2010,"P3")+SUMIFS('LAC 102_Wkst'!$Q$7:$Q$2010,'LAC 102_Wkst'!$D$7:$D$2010,$C$7,'LAC 102_Wkst'!$I$7:$I$2010,$C$9,'LAC 102_Wkst'!$E$7:$E$2010,$C71,'LAC 102_Wkst'!$G$7:$G$2010,$D71,'LAC 102_Wkst'!$L$7:$L$2010,"10",'LAC 102_Wkst'!$N$7:$N$2010,"P4")</f>
        <v>0</v>
      </c>
      <c r="AQ71" s="411">
        <f>SUMIFS('LAC 102_Wkst'!$AF$7:$AF$2010,'LAC 102_Wkst'!$D$7:$D$2010,$C$7,'LAC 102_Wkst'!$I$7:$I$2010,$C$9,'LAC 102_Wkst'!$E$7:$E$2010,$C71,'LAC 102_Wkst'!$G$7:$G$2010,$D71,'LAC 102_Wkst'!$L$7:$L$2010,"10",'LAC 102_Wkst'!$N$7:$N$2010,"P1")+SUMIFS('LAC 102_Wkst'!$AF$7:$AF$2010,'LAC 102_Wkst'!$D$7:$D$2010,$C$7,'LAC 102_Wkst'!$I$7:$I$2010,$C$9,'LAC 102_Wkst'!$E$7:$E$2010,$C71,'LAC 102_Wkst'!$G$7:$G$2010,$D71,'LAC 102_Wkst'!$L$7:$L$2010,"10",'LAC 102_Wkst'!$N$7:$N$2010,"P2")+SUMIFS('LAC 102_Wkst'!$AF$7:$AF$2010,'LAC 102_Wkst'!$D$7:$D$2010,$C$7,'LAC 102_Wkst'!$I$7:$I$2010,$C$9,'LAC 102_Wkst'!$E$7:$E$2010,$C71,'LAC 102_Wkst'!$G$7:$G$2010,$D71,'LAC 102_Wkst'!$L$7:$L$2010,"10",'LAC 102_Wkst'!$N$7:$N$2010,"P3")+SUMIFS('LAC 102_Wkst'!$AF$7:$AF$2010,'LAC 102_Wkst'!$D$7:$D$2010,$C$7,'LAC 102_Wkst'!$I$7:$I$2010,$C$9,'LAC 102_Wkst'!$E$7:$E$2010,$C71,'LAC 102_Wkst'!$G$7:$G$2010,$D71,'LAC 102_Wkst'!$L$7:$L$2010,"10",'LAC 102_Wkst'!$N$7:$N$2010,"P4")</f>
        <v>0</v>
      </c>
      <c r="AR71" s="410">
        <f>SUMIFS('LAC 102_Wkst'!$Q$7:$Q$2010,'LAC 102_Wkst'!$D$7:$D$2010,$C$7,'LAC 102_Wkst'!$I$7:$I$2010,$C$9,'LAC 102_Wkst'!$E$7:$E$2010,$C71,'LAC 102_Wkst'!$G$7:$G$2010,$D71,'LAC 102_Wkst'!$L$7:$L$2010,"10",'LAC 102_Wkst'!$N$7:$N$2010,"P5")</f>
        <v>0</v>
      </c>
      <c r="AS71" s="411">
        <f>SUMIFS('LAC 102_Wkst'!$AF$7:$AF$2010,'LAC 102_Wkst'!$D$7:$D$2010,$C$7,'LAC 102_Wkst'!$I$7:$I$2010,$C$9,'LAC 102_Wkst'!$E$7:$E$2010,$C71,'LAC 102_Wkst'!$G$7:$G$2010,$D71,'LAC 102_Wkst'!$L$7:$L$2010,"10",'LAC 102_Wkst'!$N$7:$N$2010,"P5")</f>
        <v>0</v>
      </c>
      <c r="AT71" s="410">
        <f>SUMIFS('LAC 102_Wkst'!$Q$7:$Q$2010,'LAC 102_Wkst'!$D$7:$D$2010,$C$7,'LAC 102_Wkst'!$I$7:$I$2010,$C$9,'LAC 102_Wkst'!$E$7:$E$2010,$C71,'LAC 102_Wkst'!$G$7:$G$2010,$D71,'LAC 102_Wkst'!$L$7:$L$2010,"11",'LAC 102_Wkst'!$N$7:$N$2010,"P1")+SUMIFS('LAC 102_Wkst'!$Q$7:$Q$2010,'LAC 102_Wkst'!$D$7:$D$2010,$C$7,'LAC 102_Wkst'!$I$7:$I$2010,$C$9,'LAC 102_Wkst'!$E$7:$E$2010,$C71,'LAC 102_Wkst'!$G$7:$G$2010,$D71,'LAC 102_Wkst'!$L$7:$L$2010,"12",'LAC 102_Wkst'!$N$7:$N$2010,"P1")</f>
        <v>0</v>
      </c>
      <c r="AU71" s="411">
        <f>SUMIFS('LAC 102_Wkst'!$Q$7:$Q$2010,'LAC 102_Wkst'!$D$7:$D$2010,$C$7,'LAC 102_Wkst'!$I$7:$I$2010,$C$9,'LAC 102_Wkst'!$E$7:$E$2010,$C71,'LAC 102_Wkst'!$G$7:$G$2010,$D71,'LAC 102_Wkst'!$L$7:$L$2010,"13",'LAC 102_Wkst'!$N$7:$N$2010,"P5")</f>
        <v>0</v>
      </c>
      <c r="AV71" s="410">
        <f>SUMIFS('LAC 102_Wkst'!$Q$7:$Q$2010,'LAC 102_Wkst'!$D$7:$D$2010,$C$7,'LAC 102_Wkst'!$I$7:$I$2010,$C$9,'LAC 102_Wkst'!$E$7:$E$2010,$C71,'LAC 102_Wkst'!$G$7:$G$2010,$D71,'LAC 102_Wkst'!$L$7:$L$2010,"11",'LAC 102_Wkst'!$N$7:$N$2010,"P2")+SUMIFS('LAC 102_Wkst'!$Q$7:$Q$2010,'LAC 102_Wkst'!$D$7:$D$2010,$C$7,'LAC 102_Wkst'!$I$7:$I$2010,$C$9,'LAC 102_Wkst'!$E$7:$E$2010,$C71,'LAC 102_Wkst'!$G$7:$G$2010,$D71,'LAC 102_Wkst'!$L$7:$L$2010,"12",'LAC 102_Wkst'!$N$7:$N$2010,"P2")+SUMIFS('LAC 102_Wkst'!$Q$7:$Q$2010,'LAC 102_Wkst'!$D$7:$D$2010,$C$7,'LAC 102_Wkst'!$I$7:$I$2010,$C$9,'LAC 102_Wkst'!$E$7:$E$2010,$C71,'LAC 102_Wkst'!$G$7:$G$2010,$D71,'LAC 102_Wkst'!$L$7:$L$2010,"11",'LAC 102_Wkst'!$N$7:$N$2010,"P3")+SUMIFS('LAC 102_Wkst'!$Q$7:$Q$2010,'LAC 102_Wkst'!$D$7:$D$2010,$C$7,'LAC 102_Wkst'!$I$7:$I$2010,$C$9,'LAC 102_Wkst'!$E$7:$E$2010,$C71,'LAC 102_Wkst'!$G$7:$G$2010,$D71,'LAC 102_Wkst'!$L$7:$L$2010,"12",'LAC 102_Wkst'!$N$7:$N$2010,"P3")</f>
        <v>0</v>
      </c>
      <c r="AW71" s="411">
        <f>SUMIFS('LAC 102_Wkst'!$AF$7:$AF$2010,'LAC 102_Wkst'!$D$7:$D$2010,$C$7,'LAC 102_Wkst'!$I$7:$I$2010,$C$9,'LAC 102_Wkst'!$E$7:$E$2010,$C71,'LAC 102_Wkst'!$G$7:$G$2010,$D71,'LAC 102_Wkst'!$L$7:$L$2010,"11",'LAC 102_Wkst'!$N$7:$N$2010,"P2")+SUMIFS('LAC 102_Wkst'!$AF$7:$AF$2010,'LAC 102_Wkst'!$D$7:$D$2010,$C$7,'LAC 102_Wkst'!$I$7:$I$2010,$C$9,'LAC 102_Wkst'!$E$7:$E$2010,$C71,'LAC 102_Wkst'!$G$7:$G$2010,$D71,'LAC 102_Wkst'!$L$7:$L$2010,"12",'LAC 102_Wkst'!$N$7:$N$2010,"P2")+SUMIFS('LAC 102_Wkst'!$AF$7:$AF$2010,'LAC 102_Wkst'!$D$7:$D$2010,$C$7,'LAC 102_Wkst'!$I$7:$I$2010,$C$9,'LAC 102_Wkst'!$E$7:$E$2010,$C71,'LAC 102_Wkst'!$G$7:$G$2010,$D71,'LAC 102_Wkst'!$L$7:$L$2010,"11",'LAC 102_Wkst'!$N$7:$N$2010,"P3")+SUMIFS('LAC 102_Wkst'!$AF$7:$AF$2010,'LAC 102_Wkst'!$D$7:$D$2010,$C$7,'LAC 102_Wkst'!$I$7:$I$2010,$C$9,'LAC 102_Wkst'!$E$7:$E$2010,$C71,'LAC 102_Wkst'!$G$7:$G$2010,$D71,'LAC 102_Wkst'!$L$7:$L$2010,"12",'LAC 102_Wkst'!$N$7:$N$2010,"P3")</f>
        <v>0</v>
      </c>
      <c r="AX71" s="410">
        <f>SUMIFS('LAC 102_Wkst'!$Q$7:$Q$2010,'LAC 102_Wkst'!$D$7:$D$2010,$C$7,'LAC 102_Wkst'!$I$7:$I$2010,$C$9,'LAC 102_Wkst'!$E$7:$E$2010,$C71,'LAC 102_Wkst'!$G$7:$G$2010,$D71,'LAC 102_Wkst'!$L$7:$L$2010,"11",'LAC 102_Wkst'!$N$7:$N$2010,"P4")+SUMIFS('LAC 102_Wkst'!$Q$7:$Q$2010,'LAC 102_Wkst'!$D$7:$D$2010,$C$7,'LAC 102_Wkst'!$I$7:$I$2010,$C$9,'LAC 102_Wkst'!$E$7:$E$2010,$C71,'LAC 102_Wkst'!$G$7:$G$2010,$D71,'LAC 102_Wkst'!$L$7:$L$2010,"12",'LAC 102_Wkst'!$N$7:$N$2010,"P4")</f>
        <v>0</v>
      </c>
      <c r="AY71" s="411">
        <f>SUMIFS('LAC 102_Wkst'!$AF$7:$AF$2010,'LAC 102_Wkst'!$D$7:$D$2010,$C$7,'LAC 102_Wkst'!$I$7:$I$2010,$C$9,'LAC 102_Wkst'!$E$7:$E$2010,$C71,'LAC 102_Wkst'!$G$7:$G$2010,$D71,'LAC 102_Wkst'!$L$7:$L$2010,"11",'LAC 102_Wkst'!$N$7:$N$2010,"P4")+SUMIFS('LAC 102_Wkst'!$AF$7:$AF$2010,'LAC 102_Wkst'!$D$7:$D$2010,$C$7,'LAC 102_Wkst'!$I$7:$I$2010,$C$9,'LAC 102_Wkst'!$E$7:$E$2010,$C71,'LAC 102_Wkst'!$G$7:$G$2010,$D71,'LAC 102_Wkst'!$L$7:$L$2010,"12",'LAC 102_Wkst'!$N$7:$N$2010,"P4")</f>
        <v>0</v>
      </c>
      <c r="AZ71" s="410">
        <f>SUMIFS('LAC 102_Wkst'!$Q$7:$Q$2010,'LAC 102_Wkst'!$D$7:$D$2010,$C$7,'LAC 102_Wkst'!$I$7:$I$2010,$C$9,'LAC 102_Wkst'!$E$7:$E$2010,$C71,'LAC 102_Wkst'!$G$7:$G$2010,$D71,'LAC 102_Wkst'!$L$7:$L$2010,"11",'LAC 102_Wkst'!$N$7:$N$2010,"P5")+SUMIFS('LAC 102_Wkst'!$Q$7:$Q$2010,'LAC 102_Wkst'!$D$7:$D$2010,$C$7,'LAC 102_Wkst'!$I$7:$I$2010,$C$9,'LAC 102_Wkst'!$E$7:$E$2010,$C71,'LAC 102_Wkst'!$G$7:$G$2010,$D71,'LAC 102_Wkst'!$L$7:$L$2010,"12",'LAC 102_Wkst'!$N$7:$N$2010,"P5")</f>
        <v>0</v>
      </c>
      <c r="BA71" s="411">
        <f>SUMIFS('LAC 102_Wkst'!$AF$7:$AF$2010,'LAC 102_Wkst'!$D$7:$D$2010,$C$7,'LAC 102_Wkst'!$I$7:$I$2010,$C$9,'LAC 102_Wkst'!$E$7:$E$2010,$C71,'LAC 102_Wkst'!$G$7:$G$2010,$D71,'LAC 102_Wkst'!$L$7:$L$2010,"11",'LAC 102_Wkst'!$N$7:$N$2010,"P5")+SUMIFS('LAC 102_Wkst'!$AF$7:$AF$2010,'LAC 102_Wkst'!$D$7:$D$2010,$C$7,'LAC 102_Wkst'!$I$7:$I$2010,$C$9,'LAC 102_Wkst'!$E$7:$E$2010,$C71,'LAC 102_Wkst'!$G$7:$G$2010,$D71,'LAC 102_Wkst'!$L$7:$L$2010,"12",'LAC 102_Wkst'!$N$7:$N$2010,"P5")</f>
        <v>0</v>
      </c>
      <c r="BB71" s="410">
        <f>SUMIFS('LAC 102_Wkst'!$Q$7:$Q$2010,'LAC 102_Wkst'!$D$7:$D$2010,$C$7,'LAC 102_Wkst'!$I$7:$I$2010,$C$9,'LAC 102_Wkst'!$E$7:$E$2010,$C71,'LAC 102_Wkst'!$G$7:$G$2010,$D71,'LAC 102_Wkst'!$L$7:$L$2010,"13",'LAC 102_Wkst'!$N$7:$N$2010,"P1")+SUMIFS('LAC 102_Wkst'!$Q$7:$Q$2010,'LAC 102_Wkst'!$D$7:$D$2010,$C$7,'LAC 102_Wkst'!$I$7:$I$2010,$C$9,'LAC 102_Wkst'!$E$7:$E$2010,$C71,'LAC 102_Wkst'!$G$7:$G$2010,$D71,'LAC 102_Wkst'!$L$7:$L$2010,"13",'LAC 102_Wkst'!$N$7:$N$2010,"P2")+SUMIFS('LAC 102_Wkst'!$Q$7:$Q$2010,'LAC 102_Wkst'!$D$7:$D$2010,$C$7,'LAC 102_Wkst'!$I$7:$I$2010,$C$9,'LAC 102_Wkst'!$E$7:$E$2010,$C71,'LAC 102_Wkst'!$G$7:$G$2010,$D71,'LAC 102_Wkst'!$L$7:$L$2010,"13",'LAC 102_Wkst'!$N$7:$N$2010,"P3")+SUMIFS('LAC 102_Wkst'!$Q$7:$Q$2010,'LAC 102_Wkst'!$D$7:$D$2010,$C$7,'LAC 102_Wkst'!$I$7:$I$2010,$C$9,'LAC 102_Wkst'!$E$7:$E$2010,$C71,'LAC 102_Wkst'!$G$7:$G$2010,$D71,'LAC 102_Wkst'!$L$7:$L$2010,"13",'LAC 102_Wkst'!$N$7:$N$2010,"P4")</f>
        <v>0</v>
      </c>
      <c r="BC71" s="411">
        <f>SUMIFS('LAC 102_Wkst'!$AF$7:$AF$2010,'LAC 102_Wkst'!$D$7:$D$2010,$C$7,'LAC 102_Wkst'!$I$7:$I$2010,$C$9,'LAC 102_Wkst'!$E$7:$E$2010,$C71,'LAC 102_Wkst'!$G$7:$G$2010,$D71,'LAC 102_Wkst'!$L$7:$L$2010,"13",'LAC 102_Wkst'!$N$7:$N$2010,"P1")+SUMIFS('LAC 102_Wkst'!$AF$7:$AF$2010,'LAC 102_Wkst'!$D$7:$D$2010,$C$7,'LAC 102_Wkst'!$I$7:$I$2010,$C$9,'LAC 102_Wkst'!$E$7:$E$2010,$C71,'LAC 102_Wkst'!$G$7:$G$2010,$D71,'LAC 102_Wkst'!$L$7:$L$2010,"13",'LAC 102_Wkst'!$N$7:$N$2010,"P2")+SUMIFS('LAC 102_Wkst'!$AF$7:$AF$2010,'LAC 102_Wkst'!$D$7:$D$2010,$C$7,'LAC 102_Wkst'!$I$7:$I$2010,$C$9,'LAC 102_Wkst'!$E$7:$E$2010,$C71,'LAC 102_Wkst'!$G$7:$G$2010,$D71,'LAC 102_Wkst'!$L$7:$L$2010,"13",'LAC 102_Wkst'!$N$7:$N$2010,"P3")+SUMIFS('LAC 102_Wkst'!$AF$7:$AF$2010,'LAC 102_Wkst'!$D$7:$D$2010,$C$7,'LAC 102_Wkst'!$I$7:$I$2010,$C$9,'LAC 102_Wkst'!$E$7:$E$2010,$C71,'LAC 102_Wkst'!$G$7:$G$2010,$D71,'LAC 102_Wkst'!$L$7:$L$2010,"13",'LAC 102_Wkst'!$N$7:$N$2010,"P4")</f>
        <v>0</v>
      </c>
      <c r="BD71" s="410">
        <f>SUMIFS('LAC 102_Wkst'!$Q$7:$Q$2010,'LAC 102_Wkst'!$D$7:$D$2010,$C$7,'LAC 102_Wkst'!$I$7:$I$2010,$C$9,'LAC 102_Wkst'!$E$7:$E$2010,$C71,'LAC 102_Wkst'!$G$7:$G$2010,$D71,'LAC 102_Wkst'!$L$7:$L$2010,"13",'LAC 102_Wkst'!$N$7:$N$2010,"P5")</f>
        <v>0</v>
      </c>
      <c r="BE71" s="411">
        <f>SUMIFS('LAC 102_Wkst'!$AF$7:$AF$2010,'LAC 102_Wkst'!$D$7:$D$2010,$C$7,'LAC 102_Wkst'!$I$7:$I$2010,$C$9,'LAC 102_Wkst'!$E$7:$E$2010,$C71,'LAC 102_Wkst'!$G$7:$G$2010,$D71,'LAC 102_Wkst'!$L$7:$L$2010,"13",'LAC 102_Wkst'!$N$7:$N$2010,"P5")</f>
        <v>0</v>
      </c>
      <c r="BF71" s="407">
        <f t="shared" si="4"/>
        <v>0</v>
      </c>
      <c r="BG71" s="1654">
        <f>SUMIFS('LAC 102_Wkst'!$AF$7:$AF$2010,'LAC 102_Wkst'!$D$7:$D$2010,$C$7,'LAC 102_Wkst'!$I$7:$I$2010,$C$9,'LAC 102_Wkst'!$E$7:$E$2010,$C71,'LAC 102_Wkst'!$G$7:$G$2010,$D71,'LAC 102_Wkst'!$L$7:$L$2010,"14")</f>
        <v>0</v>
      </c>
    </row>
    <row r="72" spans="1:59" x14ac:dyDescent="0.2">
      <c r="A72" s="401">
        <v>50</v>
      </c>
      <c r="B72" s="1678" t="str">
        <f>IF(Schedule_B!B$69="","",Schedule_B!B$69)</f>
        <v/>
      </c>
      <c r="C72" s="1674" t="str">
        <f>IF(Schedule_B!C$69=""," ",Schedule_B!C$69)</f>
        <v xml:space="preserve"> </v>
      </c>
      <c r="D72" s="1675" t="str">
        <f>IF(Schedule_B!D$69=""," ",Schedule_B!D$69)</f>
        <v xml:space="preserve"> </v>
      </c>
      <c r="E72" s="1221">
        <f>SUMIFS('LAC 102_Wkst'!$Q$7:$Q$2010,'LAC 102_Wkst'!$D$7:$D$2010,$C$7,'LAC 102_Wkst'!$I$7:$I$2010,$C$9,'LAC 102_Wkst'!$E$7:$E$2010,$C72,'LAC 102_Wkst'!$G$7:$G$2010,$D72)</f>
        <v>0</v>
      </c>
      <c r="F72" s="408">
        <f>SUMIFS('LAC 102_Wkst'!$Q$7:$Q$2010,'LAC 102_Wkst'!$D$7:$D$2010,$C$7,'LAC 102_Wkst'!$I$7:$I$2010,$C$9,'LAC 102_Wkst'!$E$7:$E$2010,$C72,'LAC 102_Wkst'!$G$7:$G$2010,$D72,'LAC 102_Wkst'!$L$7:$L$2010,"01",'LAC 102_Wkst'!$N$7:$N$2010,"P1")+SUMIFS('LAC 102_Wkst'!$Q$7:$Q$2010,'LAC 102_Wkst'!$D$7:$D$2010,$C$7,'LAC 102_Wkst'!$I$7:$I$2010,$C$9,'LAC 102_Wkst'!$E$7:$E$2010,$C72,'LAC 102_Wkst'!$G$7:$G$2010,$D72,'LAC 102_Wkst'!$L$7:$L$2010,"01",'LAC 102_Wkst'!$N$7:$N$2010,"P2")+SUMIFS('LAC 102_Wkst'!$Q$7:$Q$2010,'LAC 102_Wkst'!$D$7:$D$2010,$C$7,'LAC 102_Wkst'!$I$7:$I$2010,$C$9,'LAC 102_Wkst'!$E$7:$E$2010,$C72,'LAC 102_Wkst'!$G$7:$G$2010,$D72,'LAC 102_Wkst'!$L$7:$L$2010,"01",'LAC 102_Wkst'!$N$7:$N$2010,"P3")+SUMIFS('LAC 102_Wkst'!$Q$7:$Q$2010,'LAC 102_Wkst'!$D$7:$D$2010,$C$7,'LAC 102_Wkst'!$I$7:$I$2010,$C$9,'LAC 102_Wkst'!$E$7:$E$2010,$C72,'LAC 102_Wkst'!$G$7:$G$2010,$D72,'LAC 102_Wkst'!$L$7:$L$2010,"02",'LAC 102_Wkst'!$N$7:$N$2010,"P1")+SUMIFS('LAC 102_Wkst'!$Q$7:$Q$2010,'LAC 102_Wkst'!$D$7:$D$2010,$C$7,'LAC 102_Wkst'!$I$7:$I$2010,$C$9,'LAC 102_Wkst'!$E$7:$E$2010,$C72,'LAC 102_Wkst'!$G$7:$G$2010,$D72,'LAC 102_Wkst'!$L$7:$L$2010,"02",'LAC 102_Wkst'!$N$7:$N$2010,"P2")+SUMIFS('LAC 102_Wkst'!$Q$7:$Q$2010,'LAC 102_Wkst'!$D$7:$D$2010,$C$7,'LAC 102_Wkst'!$I$7:$I$2010,$C$9,'LAC 102_Wkst'!$E$7:$E$2010,$C72,'LAC 102_Wkst'!$G$7:$G$2010,$D72,'LAC 102_Wkst'!$L$7:$L$2010,"02",'LAC 102_Wkst'!$N$7:$N$2010,"P3")</f>
        <v>0</v>
      </c>
      <c r="G72" s="409">
        <f>SUMIFS('LAC 102_Wkst'!$AF$7:$AF$2010,'LAC 102_Wkst'!$D$7:$D$2010,$C$7,'LAC 102_Wkst'!$I$7:$I$2010,$C$9,'LAC 102_Wkst'!$E$7:$E$2010,$C72,'LAC 102_Wkst'!$G$7:$G$2010,$D72,'LAC 102_Wkst'!$L$7:$L$2010,"01",'LAC 102_Wkst'!$N$7:$N$2010,"P1")+SUMIFS('LAC 102_Wkst'!$AF$7:$AF$2010,'LAC 102_Wkst'!$D$7:$D$2010,$C$7,'LAC 102_Wkst'!$I$7:$I$2010,$C$9,'LAC 102_Wkst'!$E$7:$E$2010,$C72,'LAC 102_Wkst'!$G$7:$G$2010,$D72,'LAC 102_Wkst'!$L$7:$L$2010,"01",'LAC 102_Wkst'!$N$7:$N$2010,"P2")+SUMIFS('LAC 102_Wkst'!$AF$7:$AF$2010,'LAC 102_Wkst'!$D$7:$D$2010,$C$7,'LAC 102_Wkst'!$I$7:$I$2010,$C$9,'LAC 102_Wkst'!$E$7:$E$2010,$C72,'LAC 102_Wkst'!$G$7:$G$2010,$D72,'LAC 102_Wkst'!$L$7:$L$2010,"01",'LAC 102_Wkst'!$N$7:$N$2010,"P3")+SUMIFS('LAC 102_Wkst'!$AF$7:$AF$2010,'LAC 102_Wkst'!$D$7:$D$2010,$C$7,'LAC 102_Wkst'!$I$7:$I$2010,$C$9,'LAC 102_Wkst'!$E$7:$E$2010,$C72,'LAC 102_Wkst'!$G$7:$G$2010,$D72,'LAC 102_Wkst'!$L$7:$L$2010,"02",'LAC 102_Wkst'!$N$7:$N$2010,"P1")+SUMIFS('LAC 102_Wkst'!$AF$7:$AF$2010,'LAC 102_Wkst'!$D$7:$D$2010,$C$7,'LAC 102_Wkst'!$I$7:$I$2010,$C$9,'LAC 102_Wkst'!$E$7:$E$2010,$C72,'LAC 102_Wkst'!$G$7:$G$2010,$D72,'LAC 102_Wkst'!$L$7:$L$2010,"02",'LAC 102_Wkst'!$N$7:$N$2010,"P2")+SUMIFS('LAC 102_Wkst'!$AF$7:$AF$2010,'LAC 102_Wkst'!$D$7:$D$2010,$C$7,'LAC 102_Wkst'!$I$7:$I$2010,$C$9,'LAC 102_Wkst'!$E$7:$E$2010,$C72,'LAC 102_Wkst'!$G$7:$G$2010,$D72,'LAC 102_Wkst'!$L$7:$L$2010,"02",'LAC 102_Wkst'!$N$7:$N$2010,"P3")</f>
        <v>0</v>
      </c>
      <c r="H72" s="410">
        <f>SUMIFS('LAC 102_Wkst'!$Q$7:$Q$2010,'LAC 102_Wkst'!$D$7:$D$2010,$C$7,'LAC 102_Wkst'!$I$7:$I$2010,$C$9,'LAC 102_Wkst'!$E$7:$E$2010,$C72,'LAC 102_Wkst'!$G$7:$G$2010,$D72,'LAC 102_Wkst'!$L$7:$L$2010,"01",'LAC 102_Wkst'!$N$7:$N$2010,"P4")+SUMIFS('LAC 102_Wkst'!$Q$7:$Q$2010,'LAC 102_Wkst'!$D$7:$D$2010,$C$7,'LAC 102_Wkst'!$I$7:$I$2010,$C$9,'LAC 102_Wkst'!$E$7:$E$2010,$C72,'LAC 102_Wkst'!$G$7:$G$2010,$D72,'LAC 102_Wkst'!$L$7:$L$2010,"02",'LAC 102_Wkst'!$N$7:$N$2010,"P4")</f>
        <v>0</v>
      </c>
      <c r="I72" s="411">
        <f>SUMIFS('LAC 102_Wkst'!$AF$7:$AF$2010,'LAC 102_Wkst'!$D$7:$D$2010,$C$7,'LAC 102_Wkst'!$I$7:$I$2010,$C$9,'LAC 102_Wkst'!$E$7:$E$2010,$C72,'LAC 102_Wkst'!$G$7:$G$2010,$D72,'LAC 102_Wkst'!$L$7:$L$2010,"01",'LAC 102_Wkst'!$N$7:$N$2010,"P4")+SUMIFS('LAC 102_Wkst'!$AF$7:$AF$2010,'LAC 102_Wkst'!$D$7:$D$2010,$C$7,'LAC 102_Wkst'!$I$7:$I$2010,$C$9,'LAC 102_Wkst'!$E$7:$E$2010,$C72,'LAC 102_Wkst'!$G$7:$G$2010,$D72,'LAC 102_Wkst'!$L$7:$L$2010,"02",'LAC 102_Wkst'!$N$7:$N$2010,"P4")</f>
        <v>0</v>
      </c>
      <c r="J72" s="410">
        <f>SUMIFS('LAC 102_Wkst'!$Q$7:$Q$2010,'LAC 102_Wkst'!$D$7:$D$2010,$C$7,'LAC 102_Wkst'!$I$7:$I$2010,$C$9,'LAC 102_Wkst'!$E$7:$E$2010,$C72,'LAC 102_Wkst'!$G$7:$G$2010,$D72,'LAC 102_Wkst'!$L$7:$L$2010,"01",'LAC 102_Wkst'!$N$7:$N$2010,"P5")+SUMIFS('LAC 102_Wkst'!$Q$7:$Q$2010,'LAC 102_Wkst'!$D$7:$D$2010,$C$7,'LAC 102_Wkst'!$I$7:$I$2010,$C$9,'LAC 102_Wkst'!$E$7:$E$2010,$C72,'LAC 102_Wkst'!$G$7:$G$2010,$D72,'LAC 102_Wkst'!$L$7:$L$2010,"02",'LAC 102_Wkst'!$N$7:$N$2010,"P5")</f>
        <v>0</v>
      </c>
      <c r="K72" s="411">
        <f>SUMIFS('LAC 102_Wkst'!$AF$7:$AF$2010,'LAC 102_Wkst'!$D$7:$D$2010,$C$7,'LAC 102_Wkst'!$I$7:$I$2010,$C$9,'LAC 102_Wkst'!$E$7:$E$2010,$C72,'LAC 102_Wkst'!$G$7:$G$2010,$D72,'LAC 102_Wkst'!$L$7:$L$2010,"01",'LAC 102_Wkst'!$N$7:$N$2010,"P5")+SUMIFS('LAC 102_Wkst'!$AF$7:$AF$2010,'LAC 102_Wkst'!$D$7:$D$2010,$C$7,'LAC 102_Wkst'!$I$7:$I$2010,$C$9,'LAC 102_Wkst'!$E$7:$E$2010,$C72,'LAC 102_Wkst'!$G$7:$G$2010,$D72,'LAC 102_Wkst'!$L$7:$L$2010,"02",'LAC 102_Wkst'!$N$7:$N$2010,"P5")</f>
        <v>0</v>
      </c>
      <c r="L72" s="410">
        <f>SUMIFS('LAC 102_Wkst'!$Q$7:$Q$2010,'LAC 102_Wkst'!$D$7:$D$2010,$C$7,'LAC 102_Wkst'!$I$7:$I$2010,$C$9,'LAC 102_Wkst'!$E$7:$E$2010,$C72,'LAC 102_Wkst'!$G$7:$G$2010,$D72,'LAC 102_Wkst'!$L$7:$L$2010,"03",'LAC 102_Wkst'!$N$7:$N$2010,"P1")+SUMIFS('LAC 102_Wkst'!$Q$7:$Q$2010,'LAC 102_Wkst'!$D$7:$D$2010,$C$7,'LAC 102_Wkst'!$I$7:$I$2010,$C$9,'LAC 102_Wkst'!$E$7:$E$2010,$C72,'LAC 102_Wkst'!$G$7:$G$2010,$D72,'LAC 102_Wkst'!$L$7:$L$2010,"03",'LAC 102_Wkst'!$N$7:$N$2010,"P2")+SUMIFS('LAC 102_Wkst'!$Q$7:$Q$2010,'LAC 102_Wkst'!$D$7:$D$2010,$C$7,'LAC 102_Wkst'!$I$7:$I$2010,$C$9,'LAC 102_Wkst'!$E$7:$E$2010,$C72,'LAC 102_Wkst'!$G$7:$G$2010,$D72,'LAC 102_Wkst'!$L$7:$L$2010,"03",'LAC 102_Wkst'!$N$7:$N$2010,"P3")+SUMIFS('LAC 102_Wkst'!$Q$7:$Q$2010,'LAC 102_Wkst'!$D$7:$D$2010,$C$7,'LAC 102_Wkst'!$I$7:$I$2010,$C$9,'LAC 102_Wkst'!$E$7:$E$2010,$C72,'LAC 102_Wkst'!$G$7:$G$2010,$D72,'LAC 102_Wkst'!$L$7:$L$2010,"04",'LAC 102_Wkst'!$N$7:$N$2010,"P1")+SUMIFS('LAC 102_Wkst'!$Q$7:$Q$2010,'LAC 102_Wkst'!$D$7:$D$2010,$C$7,'LAC 102_Wkst'!$I$7:$I$2010,$C$9,'LAC 102_Wkst'!$E$7:$E$2010,$C72,'LAC 102_Wkst'!$G$7:$G$2010,$D72,'LAC 102_Wkst'!$L$7:$L$2010,"04",'LAC 102_Wkst'!$N$7:$N$2010,"P2")+SUMIFS('LAC 102_Wkst'!$Q$7:$Q$2010,'LAC 102_Wkst'!$D$7:$D$2010,$C$7,'LAC 102_Wkst'!$I$7:$I$2010,$C$9,'LAC 102_Wkst'!$E$7:$E$2010,$C72,'LAC 102_Wkst'!$G$7:$G$2010,$D72,'LAC 102_Wkst'!$L$7:$L$2010,"04",'LAC 102_Wkst'!$N$7:$N$2010,"P3")</f>
        <v>0</v>
      </c>
      <c r="M72" s="411">
        <f>SUMIFS('LAC 102_Wkst'!$AF$7:$AF$2010,'LAC 102_Wkst'!$D$7:$D$2010,$C$7,'LAC 102_Wkst'!$I$7:$I$2010,$C$9,'LAC 102_Wkst'!$E$7:$E$2010,$C72,'LAC 102_Wkst'!$G$7:$G$2010,$D72,'LAC 102_Wkst'!$L$7:$L$2010,"03",'LAC 102_Wkst'!$N$7:$N$2010,"P1")+SUMIFS('LAC 102_Wkst'!$AF$7:$AF$2010,'LAC 102_Wkst'!$D$7:$D$2010,$C$7,'LAC 102_Wkst'!$I$7:$I$2010,$C$9,'LAC 102_Wkst'!$E$7:$E$2010,$C72,'LAC 102_Wkst'!$G$7:$G$2010,$D72,'LAC 102_Wkst'!$L$7:$L$2010,"03",'LAC 102_Wkst'!$N$7:$N$2010,"P2")+SUMIFS('LAC 102_Wkst'!$AF$7:$AF$2010,'LAC 102_Wkst'!$D$7:$D$2010,$C$7,'LAC 102_Wkst'!$I$7:$I$2010,$C$9,'LAC 102_Wkst'!$E$7:$E$2010,$C72,'LAC 102_Wkst'!$G$7:$G$2010,$D72,'LAC 102_Wkst'!$L$7:$L$2010,"03",'LAC 102_Wkst'!$N$7:$N$2010,"P3")+SUMIFS('LAC 102_Wkst'!$AF$7:$AF$2010,'LAC 102_Wkst'!$D$7:$D$2010,$C$7,'LAC 102_Wkst'!$I$7:$I$2010,$C$9,'LAC 102_Wkst'!$E$7:$E$2010,$C72,'LAC 102_Wkst'!$G$7:$G$2010,$D72,'LAC 102_Wkst'!$L$7:$L$2010,"04",'LAC 102_Wkst'!$N$7:$N$2010,"P1")+SUMIFS('LAC 102_Wkst'!$AF$7:$AF$2010,'LAC 102_Wkst'!$D$7:$D$2010,$C$7,'LAC 102_Wkst'!$I$7:$I$2010,$C$9,'LAC 102_Wkst'!$E$7:$E$2010,$C72,'LAC 102_Wkst'!$G$7:$G$2010,$D72,'LAC 102_Wkst'!$L$7:$L$2010,"04",'LAC 102_Wkst'!$N$7:$N$2010,"P2")+SUMIFS('LAC 102_Wkst'!$AF$7:$AF$2010,'LAC 102_Wkst'!$D$7:$D$2010,$C$7,'LAC 102_Wkst'!$I$7:$I$2010,$C$9,'LAC 102_Wkst'!$E$7:$E$2010,$C72,'LAC 102_Wkst'!$G$7:$G$2010,$D72,'LAC 102_Wkst'!$L$7:$L$2010,"04",'LAC 102_Wkst'!$N$7:$N$2010,"P3")</f>
        <v>0</v>
      </c>
      <c r="N72" s="410">
        <f>SUMIFS('LAC 102_Wkst'!$Q$7:$Q$2010,'LAC 102_Wkst'!$D$7:$D$2010,$C$7,'LAC 102_Wkst'!$I$7:$I$2010,$C$9,'LAC 102_Wkst'!$E$7:$E$2010,$C72,'LAC 102_Wkst'!$G$7:$G$2010,$D72,'LAC 102_Wkst'!$L$7:$L$2010,"03",'LAC 102_Wkst'!$N$7:$N$2010,"P4")+SUMIFS('LAC 102_Wkst'!$Q$7:$Q$2010,'LAC 102_Wkst'!$D$7:$D$2010,$C$7,'LAC 102_Wkst'!$I$7:$I$2010,$C$9,'LAC 102_Wkst'!$E$7:$E$2010,$C72,'LAC 102_Wkst'!$G$7:$G$2010,$D72,'LAC 102_Wkst'!$L$7:$L$2010,"04",'LAC 102_Wkst'!$N$7:$N$2010,"P4")</f>
        <v>0</v>
      </c>
      <c r="O72" s="411">
        <f>SUMIFS('LAC 102_Wkst'!$AF$7:$AF$2010,'LAC 102_Wkst'!$D$7:$D$2010,$C$7,'LAC 102_Wkst'!$I$7:$I$2010,$C$9,'LAC 102_Wkst'!$E$7:$E$2010,$C72,'LAC 102_Wkst'!$G$7:$G$2010,$D72,'LAC 102_Wkst'!$L$7:$L$2010,"03",'LAC 102_Wkst'!$N$7:$N$2010,"P4")+SUMIFS('LAC 102_Wkst'!$AF$7:$AF$2010,'LAC 102_Wkst'!$D$7:$D$2010,$C$7,'LAC 102_Wkst'!$I$7:$I$2010,$C$9,'LAC 102_Wkst'!$E$7:$E$2010,$C72,'LAC 102_Wkst'!$G$7:$G$2010,$D72,'LAC 102_Wkst'!$L$7:$L$2010,"04",'LAC 102_Wkst'!$N$7:$N$2010,"P4")</f>
        <v>0</v>
      </c>
      <c r="P72" s="410">
        <f>SUMIFS('LAC 102_Wkst'!$Q$7:$Q$2010,'LAC 102_Wkst'!$D$7:$D$2010,$C$7,'LAC 102_Wkst'!$I$7:$I$2010,$C$9,'LAC 102_Wkst'!$E$7:$E$2010,$C72,'LAC 102_Wkst'!$G$7:$G$2010,$D72,'LAC 102_Wkst'!$L$7:$L$2010,"03",'LAC 102_Wkst'!$N$7:$N$2010,"P5")+SUMIFS('LAC 102_Wkst'!$Q$7:$Q$2010,'LAC 102_Wkst'!$D$7:$D$2010,$C$7,'LAC 102_Wkst'!$I$7:$I$2010,$C$9,'LAC 102_Wkst'!$E$7:$E$2010,$C72,'LAC 102_Wkst'!$G$7:$G$2010,$D72,'LAC 102_Wkst'!$L$7:$L$2010,"04",'LAC 102_Wkst'!$N$7:$N$2010,"P5")</f>
        <v>0</v>
      </c>
      <c r="Q72" s="411">
        <f>SUMIFS('LAC 102_Wkst'!$AF$7:$AF$2010,'LAC 102_Wkst'!$D$7:$D$2010,$C$7,'LAC 102_Wkst'!$I$7:$I$2010,$C$9,'LAC 102_Wkst'!$E$7:$E$2010,$C72,'LAC 102_Wkst'!$G$7:$G$2010,$D72,'LAC 102_Wkst'!$L$7:$L$2010,"03",'LAC 102_Wkst'!$N$7:$N$2010,"P5")+SUMIFS('LAC 102_Wkst'!$AF$7:$AF$2010,'LAC 102_Wkst'!$D$7:$D$2010,$C$7,'LAC 102_Wkst'!$I$7:$I$2010,$C$9,'LAC 102_Wkst'!$E$7:$E$2010,$C72,'LAC 102_Wkst'!$G$7:$G$2010,$D72,'LAC 102_Wkst'!$L$7:$L$2010,"04",'LAC 102_Wkst'!$N$7:$N$2010,"P5")</f>
        <v>0</v>
      </c>
      <c r="R72" s="412">
        <f>SUMIFS('LAC 102_Wkst'!$Q$7:$Q$2010,'LAC 102_Wkst'!$D$7:$D$2010,$C$7,'LAC 102_Wkst'!$I$7:$I$2010,$C$9,'LAC 102_Wkst'!$E$7:$E$2010,$C72,'LAC 102_Wkst'!$G$7:$G$2010,$D72,'LAC 102_Wkst'!$L$7:$L$2010,"05",'LAC 102_Wkst'!$N$7:$N$2010,"P1")+SUMIFS('LAC 102_Wkst'!$Q$7:$Q$2010,'LAC 102_Wkst'!$D$7:$D$2010,$C$7,'LAC 102_Wkst'!$I$7:$I$2010,$C$9,'LAC 102_Wkst'!$E$7:$E$2010,$C72,'LAC 102_Wkst'!$G$7:$G$2010,$D72,'LAC 102_Wkst'!$L$7:$L$2010,"06",'LAC 102_Wkst'!$N$7:$N$2010,"P1")</f>
        <v>0</v>
      </c>
      <c r="S72" s="411">
        <f>SUMIFS('LAC 102_Wkst'!$AF$7:$AF$2010,'LAC 102_Wkst'!$D$7:$D$2010,$C$7,'LAC 102_Wkst'!$I$7:$I$2010,$C$9,'LAC 102_Wkst'!$E$7:$E$2010,$C72,'LAC 102_Wkst'!$G$7:$G$2010,$D72,'LAC 102_Wkst'!$L$7:$L$2010,"05",'LAC 102_Wkst'!$N$7:$N$2010,"P1")+SUMIFS('LAC 102_Wkst'!$AF$7:$AF$2010,'LAC 102_Wkst'!$D$7:$D$2010,$C$7,'LAC 102_Wkst'!$I$7:$I$2010,$C$9,'LAC 102_Wkst'!$E$7:$E$2010,$C72,'LAC 102_Wkst'!$G$7:$G$2010,$D72,'LAC 102_Wkst'!$L$7:$L$2010,"06",'LAC 102_Wkst'!$N$7:$N$2010,"P1")</f>
        <v>0</v>
      </c>
      <c r="T72" s="410">
        <f>SUMIFS('LAC 102_Wkst'!$Q$7:$Q$2010,'LAC 102_Wkst'!$D$7:$D$2010,$C$7,'LAC 102_Wkst'!$I$7:$I$2010,$C$9,'LAC 102_Wkst'!$E$7:$E$2010,$C72,'LAC 102_Wkst'!$G$7:$G$2010,$D72,'LAC 102_Wkst'!$L$7:$L$2010,"05",'LAC 102_Wkst'!$N$7:$N$2010,"P2")+SUMIFS('LAC 102_Wkst'!$Q$7:$Q$2010,'LAC 102_Wkst'!$D$7:$D$2010,$C$7,'LAC 102_Wkst'!$I$7:$I$2010,$C$9,'LAC 102_Wkst'!$E$7:$E$2010,$C72,'LAC 102_Wkst'!$G$7:$G$2010,$D72,'LAC 102_Wkst'!$L$7:$L$2010,"06",'LAC 102_Wkst'!$N$7:$N$2010,"P2")+SUMIFS('LAC 102_Wkst'!$Q$7:$Q$2010,'LAC 102_Wkst'!$D$7:$D$2010,$C$7,'LAC 102_Wkst'!$I$7:$I$2010,$C$9,'LAC 102_Wkst'!$E$7:$E$2010,$C72,'LAC 102_Wkst'!$G$7:$G$2010,$D72,'LAC 102_Wkst'!$L$7:$L$2010,"05",'LAC 102_Wkst'!$N$7:$N$2010,"P3")+SUMIFS('LAC 102_Wkst'!$Q$7:$Q$2010,'LAC 102_Wkst'!$D$7:$D$2010,$C$7,'LAC 102_Wkst'!$I$7:$I$2010,$C$9,'LAC 102_Wkst'!$E$7:$E$2010,$C72,'LAC 102_Wkst'!$G$7:$G$2010,$D72,'LAC 102_Wkst'!$L$7:$L$2010,"06",'LAC 102_Wkst'!$N$7:$N$2010,"P3")</f>
        <v>0</v>
      </c>
      <c r="U72" s="411">
        <f>SUMIFS('LAC 102_Wkst'!$AF$7:$AF$2010,'LAC 102_Wkst'!$D$7:$D$2010,$C$7,'LAC 102_Wkst'!$I$7:$I$2010,$C$9,'LAC 102_Wkst'!$E$7:$E$2010,$C72,'LAC 102_Wkst'!$G$7:$G$2010,$D72,'LAC 102_Wkst'!$L$7:$L$2010,"05",'LAC 102_Wkst'!$N$7:$N$2010,"P2")+SUMIFS('LAC 102_Wkst'!$AF$7:$AF$2010,'LAC 102_Wkst'!$D$7:$D$2010,$C$7,'LAC 102_Wkst'!$I$7:$I$2010,$C$9,'LAC 102_Wkst'!$E$7:$E$2010,$C72,'LAC 102_Wkst'!$G$7:$G$2010,$D72,'LAC 102_Wkst'!$L$7:$L$2010,"06",'LAC 102_Wkst'!$N$7:$N$2010,"P2")+SUMIFS('LAC 102_Wkst'!$AF$7:$AF$2010,'LAC 102_Wkst'!$D$7:$D$2010,$C$7,'LAC 102_Wkst'!$I$7:$I$2010,$C$9,'LAC 102_Wkst'!$E$7:$E$2010,$C72,'LAC 102_Wkst'!$G$7:$G$2010,$D72,'LAC 102_Wkst'!$L$7:$L$2010,"05",'LAC 102_Wkst'!$N$7:$N$2010,"P3")+SUMIFS('LAC 102_Wkst'!$AF$7:$AF$2010,'LAC 102_Wkst'!$D$7:$D$2010,$C$7,'LAC 102_Wkst'!$I$7:$I$2010,$C$9,'LAC 102_Wkst'!$E$7:$E$2010,$C72,'LAC 102_Wkst'!$G$7:$G$2010,$D72,'LAC 102_Wkst'!$L$7:$L$2010,"06",'LAC 102_Wkst'!$N$7:$N$2010,"P3")</f>
        <v>0</v>
      </c>
      <c r="V72" s="410">
        <f>SUMIFS('LAC 102_Wkst'!$Q$7:$Q$2010,'LAC 102_Wkst'!$D$7:$D$2010,$C$7,'LAC 102_Wkst'!$I$7:$I$2010,$C$9,'LAC 102_Wkst'!$E$7:$E$2010,$C72,'LAC 102_Wkst'!$G$7:$G$2010,$D72,'LAC 102_Wkst'!$L$7:$L$2010,"05",'LAC 102_Wkst'!$N$7:$N$2010,"P4")+SUMIFS('LAC 102_Wkst'!$Q$7:$Q$2010,'LAC 102_Wkst'!$D$7:$D$2010,$C$7,'LAC 102_Wkst'!$I$7:$I$2010,$C$9,'LAC 102_Wkst'!$E$7:$E$2010,$C72,'LAC 102_Wkst'!$G$7:$G$2010,$D72,'LAC 102_Wkst'!$L$7:$L$2010,"06",'LAC 102_Wkst'!$N$7:$N$2010,"P4")</f>
        <v>0</v>
      </c>
      <c r="W72" s="411">
        <f>SUMIFS('LAC 102_Wkst'!$AF$7:$AF$2010,'LAC 102_Wkst'!$D$7:$D$2010,$C$7,'LAC 102_Wkst'!$I$7:$I$2010,$C$9,'LAC 102_Wkst'!$E$7:$E$2010,$C72,'LAC 102_Wkst'!$G$7:$G$2010,$D72,'LAC 102_Wkst'!$L$7:$L$2010,"05",'LAC 102_Wkst'!$N$7:$N$2010,"P4")+SUMIFS('LAC 102_Wkst'!$AF$7:$AF$2010,'LAC 102_Wkst'!$D$7:$D$2010,$C$7,'LAC 102_Wkst'!$I$7:$I$2010,$C$9,'LAC 102_Wkst'!$E$7:$E$2010,$C72,'LAC 102_Wkst'!$G$7:$G$2010,$D72,'LAC 102_Wkst'!$L$7:$L$2010,"06",'LAC 102_Wkst'!$N$7:$N$2010,"P4")</f>
        <v>0</v>
      </c>
      <c r="X72" s="410">
        <f>SUMIFS('LAC 102_Wkst'!$Q$7:$Q$2010,'LAC 102_Wkst'!$D$7:$D$2010,$C$7,'LAC 102_Wkst'!$I$7:$I$2010,$C$9,'LAC 102_Wkst'!$E$7:$E$2010,$C72,'LAC 102_Wkst'!$G$7:$G$2010,$D72,'LAC 102_Wkst'!$L$7:$L$2010,"05",'LAC 102_Wkst'!$N$7:$N$2010,"P5")+SUMIFS('LAC 102_Wkst'!$Q$7:$Q$2010,'LAC 102_Wkst'!$D$7:$D$2010,$C$7,'LAC 102_Wkst'!$I$7:$I$2010,$C$9,'LAC 102_Wkst'!$E$7:$E$2010,$C72,'LAC 102_Wkst'!$G$7:$G$2010,$D72,'LAC 102_Wkst'!$L$7:$L$2010,"06",'LAC 102_Wkst'!$N$7:$N$2010,"P5")</f>
        <v>0</v>
      </c>
      <c r="Y72" s="411">
        <f>SUMIFS('LAC 102_Wkst'!$AF$7:$AF$2010,'LAC 102_Wkst'!$D$7:$D$2010,$C$7,'LAC 102_Wkst'!$I$7:$I$2010,$C$9,'LAC 102_Wkst'!$E$7:$E$2010,$C72,'LAC 102_Wkst'!$G$7:$G$2010,$D72,'LAC 102_Wkst'!$L$7:$L$2010,"05",'LAC 102_Wkst'!$N$7:$N$2010,"P5")+SUMIFS('LAC 102_Wkst'!$AF$7:$AF$2010,'LAC 102_Wkst'!$D$7:$D$2010,$C$7,'LAC 102_Wkst'!$I$7:$I$2010,$C$9,'LAC 102_Wkst'!$E$7:$E$2010,$C72,'LAC 102_Wkst'!$G$7:$G$2010,$D72,'LAC 102_Wkst'!$L$7:$L$2010,"06",'LAC 102_Wkst'!$N$7:$N$2010,"P5")</f>
        <v>0</v>
      </c>
      <c r="Z72" s="410">
        <f>SUMIFS('LAC 102_Wkst'!$Q$7:$Q$2010,'LAC 102_Wkst'!$D$7:$D$2010,$C$7,'LAC 102_Wkst'!$I$7:$I$2010,$C$9,'LAC 102_Wkst'!$E$7:$E$2010,$C72,'LAC 102_Wkst'!$G$7:$G$2010,$D72,'LAC 102_Wkst'!$L$7:$L$2010,"07",'LAC 102_Wkst'!$N$7:$N$2010,"P1")+SUMIFS('LAC 102_Wkst'!$Q$7:$Q$2010,'LAC 102_Wkst'!$D$7:$D$2010,$C$7,'LAC 102_Wkst'!$I$7:$I$2010,$C$9,'LAC 102_Wkst'!$E$7:$E$2010,$C72,'LAC 102_Wkst'!$G$7:$G$2010,$D72,'LAC 102_Wkst'!$L$7:$L$2010,"07",'LAC 102_Wkst'!$N$7:$N$2010,"P2")+SUMIFS('LAC 102_Wkst'!$Q$7:$Q$2010,'LAC 102_Wkst'!$D$7:$D$2010,$C$7,'LAC 102_Wkst'!$I$7:$I$2010,$C$9,'LAC 102_Wkst'!$E$7:$E$2010,$C72,'LAC 102_Wkst'!$G$7:$G$2010,$D72,'LAC 102_Wkst'!$L$7:$L$2010,"07",'LAC 102_Wkst'!$N$7:$N$2010,"P3")</f>
        <v>0</v>
      </c>
      <c r="AA72" s="411">
        <f>SUMIFS('LAC 102_Wkst'!$AF$7:$AF$2010,'LAC 102_Wkst'!$D$7:$D$2010,$C$7,'LAC 102_Wkst'!$I$7:$I$2010,$C$9,'LAC 102_Wkst'!$E$7:$E$2010,$C72,'LAC 102_Wkst'!$G$7:$G$2010,$D72,'LAC 102_Wkst'!$L$7:$L$2010,"07",'LAC 102_Wkst'!$N$7:$N$2010,"P1")+SUMIFS('LAC 102_Wkst'!$AF$7:$AF$2010,'LAC 102_Wkst'!$D$7:$D$2010,$C$7,'LAC 102_Wkst'!$I$7:$I$2010,$C$9,'LAC 102_Wkst'!$E$7:$E$2010,$C72,'LAC 102_Wkst'!$G$7:$G$2010,$D72,'LAC 102_Wkst'!$L$7:$L$2010,"07",'LAC 102_Wkst'!$N$7:$N$2010,"P2")+SUMIFS('LAC 102_Wkst'!$AF$7:$AF$2010,'LAC 102_Wkst'!$D$7:$D$2010,$C$7,'LAC 102_Wkst'!$I$7:$I$2010,$C$9,'LAC 102_Wkst'!$E$7:$E$2010,$C72,'LAC 102_Wkst'!$G$7:$G$2010,$D72,'LAC 102_Wkst'!$L$7:$L$2010,"07",'LAC 102_Wkst'!$N$7:$N$2010,"P3")</f>
        <v>0</v>
      </c>
      <c r="AB72" s="410">
        <f>SUMIFS('LAC 102_Wkst'!$Q$7:$Q$2010,'LAC 102_Wkst'!$D$7:$D$2010,$C$7,'LAC 102_Wkst'!$I$7:$I$2010,$C$9,'LAC 102_Wkst'!$E$7:$E$2010,$C72,'LAC 102_Wkst'!$G$7:$G$2010,$D72,'LAC 102_Wkst'!$L$7:$L$2010,"07",'LAC 102_Wkst'!$N$7:$N$2010,"P4")</f>
        <v>0</v>
      </c>
      <c r="AC72" s="411">
        <f>SUMIFS('LAC 102_Wkst'!$AF$7:$AF$2010,'LAC 102_Wkst'!$D$7:$D$2010,$C$7,'LAC 102_Wkst'!$I$7:$I$2010,$C$9,'LAC 102_Wkst'!$E$7:$E$2010,$C72,'LAC 102_Wkst'!$G$7:$G$2010,$D72,'LAC 102_Wkst'!$L$7:$L$2010,"07",'LAC 102_Wkst'!$N$7:$N$2010,"P4")</f>
        <v>0</v>
      </c>
      <c r="AD72" s="410">
        <f>SUMIFS('LAC 102_Wkst'!$Q$7:$Q$2010,'LAC 102_Wkst'!$D$7:$D$2010,$C$7,'LAC 102_Wkst'!$I$7:$I$2010,$C$9,'LAC 102_Wkst'!$E$7:$E$2010,$C72,'LAC 102_Wkst'!$G$7:$G$2010,$D72,'LAC 102_Wkst'!$L$7:$L$2010,"07",'LAC 102_Wkst'!$N$7:$N$2010,"P5")</f>
        <v>0</v>
      </c>
      <c r="AE72" s="411">
        <f>SUMIFS('LAC 102_Wkst'!$AF$7:$AF$2010,'LAC 102_Wkst'!$D$7:$D$2010,$C$7,'LAC 102_Wkst'!$I$7:$I$2010,$C$9,'LAC 102_Wkst'!$E$7:$E$2010,$C72,'LAC 102_Wkst'!$G$7:$G$2010,$D72,'LAC 102_Wkst'!$L$7:$L$2010,"07",'LAC 102_Wkst'!$N$7:$N$2010,"P5")</f>
        <v>0</v>
      </c>
      <c r="AF72" s="410">
        <f>SUMIFS('LAC 102_Wkst'!$Q$7:$Q$2010,'LAC 102_Wkst'!$D$7:$D$2010,$C$7,'LAC 102_Wkst'!$I$7:$I$2010,$C$9,'LAC 102_Wkst'!$E$7:$E$2010,$C72,'LAC 102_Wkst'!$G$7:$G$2010,$D72,'LAC 102_Wkst'!$L$7:$L$2010,"08",'LAC 102_Wkst'!$N$7:$N$2010,"P1")+SUMIFS('LAC 102_Wkst'!$Q$7:$Q$2010,'LAC 102_Wkst'!$D$7:$D$2010,$C$7,'LAC 102_Wkst'!$I$7:$I$2010,$C$9,'LAC 102_Wkst'!$E$7:$E$2010,$C72,'LAC 102_Wkst'!$G$7:$G$2010,$D72,'LAC 102_Wkst'!$L$7:$L$2010,"08",'LAC 102_Wkst'!$N$7:$N$2010,"P2")+SUMIFS('LAC 102_Wkst'!$Q$7:$Q$2010,'LAC 102_Wkst'!$D$7:$D$2010,$C$7,'LAC 102_Wkst'!$I$7:$I$2010,$C$9,'LAC 102_Wkst'!$E$7:$E$2010,$C72,'LAC 102_Wkst'!$G$7:$G$2010,$D72,'LAC 102_Wkst'!$L$7:$L$2010,"08",'LAC 102_Wkst'!$N$7:$N$2010,"P3")</f>
        <v>0</v>
      </c>
      <c r="AG72" s="411">
        <f>SUMIFS('LAC 102_Wkst'!$AF$7:$AF$2010,'LAC 102_Wkst'!$D$7:$D$2010,$C$7,'LAC 102_Wkst'!$I$7:$I$2010,$C$9,'LAC 102_Wkst'!$E$7:$E$2010,$C72,'LAC 102_Wkst'!$G$7:$G$2010,$D72,'LAC 102_Wkst'!$L$7:$L$2010,"08",'LAC 102_Wkst'!$N$7:$N$2010,"P1")+SUMIFS('LAC 102_Wkst'!$AF$7:$AF$2010,'LAC 102_Wkst'!$D$7:$D$2010,$C$7,'LAC 102_Wkst'!$I$7:$I$2010,$C$9,'LAC 102_Wkst'!$E$7:$E$2010,$C72,'LAC 102_Wkst'!$G$7:$G$2010,$D72,'LAC 102_Wkst'!$L$7:$L$2010,"08",'LAC 102_Wkst'!$N$7:$N$2010,"P2")+SUMIFS('LAC 102_Wkst'!$AF$7:$AF$2010,'LAC 102_Wkst'!$D$7:$D$2010,$C$7,'LAC 102_Wkst'!$I$7:$I$2010,$C$9,'LAC 102_Wkst'!$E$7:$E$2010,$C72,'LAC 102_Wkst'!$G$7:$G$2010,$D72,'LAC 102_Wkst'!$L$7:$L$2010,"08",'LAC 102_Wkst'!$N$7:$N$2010,"P3")</f>
        <v>0</v>
      </c>
      <c r="AH72" s="410">
        <f>SUMIFS('LAC 102_Wkst'!$Q$7:$Q$2010,'LAC 102_Wkst'!$D$7:$D$2010,$C$7,'LAC 102_Wkst'!$I$7:$I$2010,$C$9,'LAC 102_Wkst'!$E$7:$E$2010,$C72,'LAC 102_Wkst'!$G$7:$G$2010,$D72,'LAC 102_Wkst'!$L$7:$L$2010,"08",'LAC 102_Wkst'!$N$7:$N$2010,"P4")</f>
        <v>0</v>
      </c>
      <c r="AI72" s="411">
        <f>SUMIFS('LAC 102_Wkst'!$AF$7:$AF$2010,'LAC 102_Wkst'!$D$7:$D$2010,$C$7,'LAC 102_Wkst'!$I$7:$I$2010,$C$9,'LAC 102_Wkst'!$E$7:$E$2010,$C72,'LAC 102_Wkst'!$G$7:$G$2010,$D72,'LAC 102_Wkst'!$L$7:$L$2010,"08",'LAC 102_Wkst'!$N$7:$N$2010,"P4")</f>
        <v>0</v>
      </c>
      <c r="AJ72" s="410">
        <f>SUMIFS('LAC 102_Wkst'!$Q$7:$Q$2010,'LAC 102_Wkst'!$D$7:$D$2010,$C$7,'LAC 102_Wkst'!$I$7:$I$2010,$C$9,'LAC 102_Wkst'!$E$7:$E$2010,$C72,'LAC 102_Wkst'!$G$7:$G$2010,$D72,'LAC 102_Wkst'!$L$7:$L$2010,"08",'LAC 102_Wkst'!$N$7:$N$2010,"P5")</f>
        <v>0</v>
      </c>
      <c r="AK72" s="411">
        <f>SUMIFS('LAC 102_Wkst'!$AF$7:$AF$2010,'LAC 102_Wkst'!$D$7:$D$2010,$C$7,'LAC 102_Wkst'!$I$7:$I$2010,$C$9,'LAC 102_Wkst'!$E$7:$E$2010,$C72,'LAC 102_Wkst'!$G$7:$G$2010,$D72,'LAC 102_Wkst'!$L$7:$L$2010,"08",'LAC 102_Wkst'!$N$7:$N$2010,"P5")</f>
        <v>0</v>
      </c>
      <c r="AL72" s="410">
        <f>SUMIFS('LAC 102_Wkst'!$Q$7:$Q$2010,'LAC 102_Wkst'!$D$7:$D$2010,$C$7,'LAC 102_Wkst'!$I$7:$I$2010,$C$9,'LAC 102_Wkst'!$E$7:$E$2010,$C72,'LAC 102_Wkst'!$G$7:$G$2010,$D72,'LAC 102_Wkst'!$L$7:$L$2010,"09",'LAC 102_Wkst'!$N$7:$N$2010,"P1")+SUMIFS('LAC 102_Wkst'!$Q$7:$Q$2010,'LAC 102_Wkst'!$D$7:$D$2010,$C$7,'LAC 102_Wkst'!$I$7:$I$2010,$C$9,'LAC 102_Wkst'!$E$7:$E$2010,$C72,'LAC 102_Wkst'!$G$7:$G$2010,$D72,'LAC 102_Wkst'!$L$7:$L$2010,"09",'LAC 102_Wkst'!$N$7:$N$2010,"P2")+SUMIFS('LAC 102_Wkst'!$Q$7:$Q$2010,'LAC 102_Wkst'!$D$7:$D$2010,$C$7,'LAC 102_Wkst'!$I$7:$I$2010,$C$9,'LAC 102_Wkst'!$E$7:$E$2010,$C72,'LAC 102_Wkst'!$G$7:$G$2010,$D72,'LAC 102_Wkst'!$L$7:$L$2010,"09",'LAC 102_Wkst'!$N$7:$N$2010,"P3")+SUMIFS('LAC 102_Wkst'!$Q$7:$Q$2010,'LAC 102_Wkst'!$D$7:$D$2010,$C$7,'LAC 102_Wkst'!$I$7:$I$2010,$C$9,'LAC 102_Wkst'!$E$7:$E$2010,$C72,'LAC 102_Wkst'!$G$7:$G$2010,$D72,'LAC 102_Wkst'!$L$7:$L$2010,"09",'LAC 102_Wkst'!$N$7:$N$2010,"P4")</f>
        <v>0</v>
      </c>
      <c r="AM72" s="411">
        <f>SUMIFS('LAC 102_Wkst'!$AF$7:$AF$2010,'LAC 102_Wkst'!$D$7:$D$2010,$C$7,'LAC 102_Wkst'!$I$7:$I$2010,$C$9,'LAC 102_Wkst'!$E$7:$E$2010,$C72,'LAC 102_Wkst'!$G$7:$G$2010,$D72,'LAC 102_Wkst'!$L$7:$L$2010,"09",'LAC 102_Wkst'!$N$7:$N$2010,"P1")+SUMIFS('LAC 102_Wkst'!$AF$7:$AF$2010,'LAC 102_Wkst'!$D$7:$D$2010,$C$7,'LAC 102_Wkst'!$I$7:$I$2010,$C$9,'LAC 102_Wkst'!$E$7:$E$2010,$C72,'LAC 102_Wkst'!$G$7:$G$2010,$D72,'LAC 102_Wkst'!$L$7:$L$2010,"09",'LAC 102_Wkst'!$N$7:$N$2010,"P2")+SUMIFS('LAC 102_Wkst'!$AF$7:$AF$2010,'LAC 102_Wkst'!$D$7:$D$2010,$C$7,'LAC 102_Wkst'!$I$7:$I$2010,$C$9,'LAC 102_Wkst'!$E$7:$E$2010,$C72,'LAC 102_Wkst'!$G$7:$G$2010,$D72,'LAC 102_Wkst'!$L$7:$L$2010,"09",'LAC 102_Wkst'!$N$7:$N$2010,"P3")+SUMIFS('LAC 102_Wkst'!$AF$7:$AF$2010,'LAC 102_Wkst'!$D$7:$D$2010,$C$7,'LAC 102_Wkst'!$I$7:$I$2010,$C$9,'LAC 102_Wkst'!$E$7:$E$2010,$C72,'LAC 102_Wkst'!$G$7:$G$2010,$D72,'LAC 102_Wkst'!$L$7:$L$2010,"09",'LAC 102_Wkst'!$N$7:$N$2010,"P4")</f>
        <v>0</v>
      </c>
      <c r="AN72" s="410">
        <f>SUMIFS('LAC 102_Wkst'!$Q$7:$Q$2010,'LAC 102_Wkst'!$D$7:$D$2010,$C$7,'LAC 102_Wkst'!$I$7:$I$2010,$C$9,'LAC 102_Wkst'!$E$7:$E$2010,$C72,'LAC 102_Wkst'!$G$7:$G$2010,$D72,'LAC 102_Wkst'!$L$7:$L$2010,"09",'LAC 102_Wkst'!$N$7:$N$2010,"P5")</f>
        <v>0</v>
      </c>
      <c r="AO72" s="411">
        <f>SUMIFS('LAC 102_Wkst'!$AF$7:$AF$2010,'LAC 102_Wkst'!$D$7:$D$2010,$C$7,'LAC 102_Wkst'!$I$7:$I$2010,$C$9,'LAC 102_Wkst'!$E$7:$E$2010,$C72,'LAC 102_Wkst'!$G$7:$G$2010,$D72,'LAC 102_Wkst'!$L$7:$L$2010,"09",'LAC 102_Wkst'!$N$7:$N$2010,"P5")</f>
        <v>0</v>
      </c>
      <c r="AP72" s="410">
        <f>SUMIFS('LAC 102_Wkst'!$Q$7:$Q$2010,'LAC 102_Wkst'!$D$7:$D$2010,$C$7,'LAC 102_Wkst'!$I$7:$I$2010,$C$9,'LAC 102_Wkst'!$E$7:$E$2010,$C72,'LAC 102_Wkst'!$G$7:$G$2010,$D72,'LAC 102_Wkst'!$L$7:$L$2010,"10",'LAC 102_Wkst'!$N$7:$N$2010,"P1")+SUMIFS('LAC 102_Wkst'!$Q$7:$Q$2010,'LAC 102_Wkst'!$D$7:$D$2010,$C$7,'LAC 102_Wkst'!$I$7:$I$2010,$C$9,'LAC 102_Wkst'!$E$7:$E$2010,$C72,'LAC 102_Wkst'!$G$7:$G$2010,$D72,'LAC 102_Wkst'!$L$7:$L$2010,"10",'LAC 102_Wkst'!$N$7:$N$2010,"P2")+SUMIFS('LAC 102_Wkst'!$Q$7:$Q$2010,'LAC 102_Wkst'!$D$7:$D$2010,$C$7,'LAC 102_Wkst'!$I$7:$I$2010,$C$9,'LAC 102_Wkst'!$E$7:$E$2010,$C72,'LAC 102_Wkst'!$G$7:$G$2010,$D72,'LAC 102_Wkst'!$L$7:$L$2010,"10",'LAC 102_Wkst'!$N$7:$N$2010,"P3")+SUMIFS('LAC 102_Wkst'!$Q$7:$Q$2010,'LAC 102_Wkst'!$D$7:$D$2010,$C$7,'LAC 102_Wkst'!$I$7:$I$2010,$C$9,'LAC 102_Wkst'!$E$7:$E$2010,$C72,'LAC 102_Wkst'!$G$7:$G$2010,$D72,'LAC 102_Wkst'!$L$7:$L$2010,"10",'LAC 102_Wkst'!$N$7:$N$2010,"P4")</f>
        <v>0</v>
      </c>
      <c r="AQ72" s="411">
        <f>SUMIFS('LAC 102_Wkst'!$AF$7:$AF$2010,'LAC 102_Wkst'!$D$7:$D$2010,$C$7,'LAC 102_Wkst'!$I$7:$I$2010,$C$9,'LAC 102_Wkst'!$E$7:$E$2010,$C72,'LAC 102_Wkst'!$G$7:$G$2010,$D72,'LAC 102_Wkst'!$L$7:$L$2010,"10",'LAC 102_Wkst'!$N$7:$N$2010,"P1")+SUMIFS('LAC 102_Wkst'!$AF$7:$AF$2010,'LAC 102_Wkst'!$D$7:$D$2010,$C$7,'LAC 102_Wkst'!$I$7:$I$2010,$C$9,'LAC 102_Wkst'!$E$7:$E$2010,$C72,'LAC 102_Wkst'!$G$7:$G$2010,$D72,'LAC 102_Wkst'!$L$7:$L$2010,"10",'LAC 102_Wkst'!$N$7:$N$2010,"P2")+SUMIFS('LAC 102_Wkst'!$AF$7:$AF$2010,'LAC 102_Wkst'!$D$7:$D$2010,$C$7,'LAC 102_Wkst'!$I$7:$I$2010,$C$9,'LAC 102_Wkst'!$E$7:$E$2010,$C72,'LAC 102_Wkst'!$G$7:$G$2010,$D72,'LAC 102_Wkst'!$L$7:$L$2010,"10",'LAC 102_Wkst'!$N$7:$N$2010,"P3")+SUMIFS('LAC 102_Wkst'!$AF$7:$AF$2010,'LAC 102_Wkst'!$D$7:$D$2010,$C$7,'LAC 102_Wkst'!$I$7:$I$2010,$C$9,'LAC 102_Wkst'!$E$7:$E$2010,$C72,'LAC 102_Wkst'!$G$7:$G$2010,$D72,'LAC 102_Wkst'!$L$7:$L$2010,"10",'LAC 102_Wkst'!$N$7:$N$2010,"P4")</f>
        <v>0</v>
      </c>
      <c r="AR72" s="410">
        <f>SUMIFS('LAC 102_Wkst'!$Q$7:$Q$2010,'LAC 102_Wkst'!$D$7:$D$2010,$C$7,'LAC 102_Wkst'!$I$7:$I$2010,$C$9,'LAC 102_Wkst'!$E$7:$E$2010,$C72,'LAC 102_Wkst'!$G$7:$G$2010,$D72,'LAC 102_Wkst'!$L$7:$L$2010,"10",'LAC 102_Wkst'!$N$7:$N$2010,"P5")</f>
        <v>0</v>
      </c>
      <c r="AS72" s="411">
        <f>SUMIFS('LAC 102_Wkst'!$AF$7:$AF$2010,'LAC 102_Wkst'!$D$7:$D$2010,$C$7,'LAC 102_Wkst'!$I$7:$I$2010,$C$9,'LAC 102_Wkst'!$E$7:$E$2010,$C72,'LAC 102_Wkst'!$G$7:$G$2010,$D72,'LAC 102_Wkst'!$L$7:$L$2010,"10",'LAC 102_Wkst'!$N$7:$N$2010,"P5")</f>
        <v>0</v>
      </c>
      <c r="AT72" s="410">
        <f>SUMIFS('LAC 102_Wkst'!$Q$7:$Q$2010,'LAC 102_Wkst'!$D$7:$D$2010,$C$7,'LAC 102_Wkst'!$I$7:$I$2010,$C$9,'LAC 102_Wkst'!$E$7:$E$2010,$C72,'LAC 102_Wkst'!$G$7:$G$2010,$D72,'LAC 102_Wkst'!$L$7:$L$2010,"11",'LAC 102_Wkst'!$N$7:$N$2010,"P1")+SUMIFS('LAC 102_Wkst'!$Q$7:$Q$2010,'LAC 102_Wkst'!$D$7:$D$2010,$C$7,'LAC 102_Wkst'!$I$7:$I$2010,$C$9,'LAC 102_Wkst'!$E$7:$E$2010,$C72,'LAC 102_Wkst'!$G$7:$G$2010,$D72,'LAC 102_Wkst'!$L$7:$L$2010,"12",'LAC 102_Wkst'!$N$7:$N$2010,"P1")</f>
        <v>0</v>
      </c>
      <c r="AU72" s="411">
        <f>SUMIFS('LAC 102_Wkst'!$Q$7:$Q$2010,'LAC 102_Wkst'!$D$7:$D$2010,$C$7,'LAC 102_Wkst'!$I$7:$I$2010,$C$9,'LAC 102_Wkst'!$E$7:$E$2010,$C72,'LAC 102_Wkst'!$G$7:$G$2010,$D72,'LAC 102_Wkst'!$L$7:$L$2010,"13",'LAC 102_Wkst'!$N$7:$N$2010,"P5")</f>
        <v>0</v>
      </c>
      <c r="AV72" s="410">
        <f>SUMIFS('LAC 102_Wkst'!$Q$7:$Q$2010,'LAC 102_Wkst'!$D$7:$D$2010,$C$7,'LAC 102_Wkst'!$I$7:$I$2010,$C$9,'LAC 102_Wkst'!$E$7:$E$2010,$C72,'LAC 102_Wkst'!$G$7:$G$2010,$D72,'LAC 102_Wkst'!$L$7:$L$2010,"11",'LAC 102_Wkst'!$N$7:$N$2010,"P2")+SUMIFS('LAC 102_Wkst'!$Q$7:$Q$2010,'LAC 102_Wkst'!$D$7:$D$2010,$C$7,'LAC 102_Wkst'!$I$7:$I$2010,$C$9,'LAC 102_Wkst'!$E$7:$E$2010,$C72,'LAC 102_Wkst'!$G$7:$G$2010,$D72,'LAC 102_Wkst'!$L$7:$L$2010,"12",'LAC 102_Wkst'!$N$7:$N$2010,"P2")+SUMIFS('LAC 102_Wkst'!$Q$7:$Q$2010,'LAC 102_Wkst'!$D$7:$D$2010,$C$7,'LAC 102_Wkst'!$I$7:$I$2010,$C$9,'LAC 102_Wkst'!$E$7:$E$2010,$C72,'LAC 102_Wkst'!$G$7:$G$2010,$D72,'LAC 102_Wkst'!$L$7:$L$2010,"11",'LAC 102_Wkst'!$N$7:$N$2010,"P3")+SUMIFS('LAC 102_Wkst'!$Q$7:$Q$2010,'LAC 102_Wkst'!$D$7:$D$2010,$C$7,'LAC 102_Wkst'!$I$7:$I$2010,$C$9,'LAC 102_Wkst'!$E$7:$E$2010,$C72,'LAC 102_Wkst'!$G$7:$G$2010,$D72,'LAC 102_Wkst'!$L$7:$L$2010,"12",'LAC 102_Wkst'!$N$7:$N$2010,"P3")</f>
        <v>0</v>
      </c>
      <c r="AW72" s="411">
        <f>SUMIFS('LAC 102_Wkst'!$AF$7:$AF$2010,'LAC 102_Wkst'!$D$7:$D$2010,$C$7,'LAC 102_Wkst'!$I$7:$I$2010,$C$9,'LAC 102_Wkst'!$E$7:$E$2010,$C72,'LAC 102_Wkst'!$G$7:$G$2010,$D72,'LAC 102_Wkst'!$L$7:$L$2010,"11",'LAC 102_Wkst'!$N$7:$N$2010,"P2")+SUMIFS('LAC 102_Wkst'!$AF$7:$AF$2010,'LAC 102_Wkst'!$D$7:$D$2010,$C$7,'LAC 102_Wkst'!$I$7:$I$2010,$C$9,'LAC 102_Wkst'!$E$7:$E$2010,$C72,'LAC 102_Wkst'!$G$7:$G$2010,$D72,'LAC 102_Wkst'!$L$7:$L$2010,"12",'LAC 102_Wkst'!$N$7:$N$2010,"P2")+SUMIFS('LAC 102_Wkst'!$AF$7:$AF$2010,'LAC 102_Wkst'!$D$7:$D$2010,$C$7,'LAC 102_Wkst'!$I$7:$I$2010,$C$9,'LAC 102_Wkst'!$E$7:$E$2010,$C72,'LAC 102_Wkst'!$G$7:$G$2010,$D72,'LAC 102_Wkst'!$L$7:$L$2010,"11",'LAC 102_Wkst'!$N$7:$N$2010,"P3")+SUMIFS('LAC 102_Wkst'!$AF$7:$AF$2010,'LAC 102_Wkst'!$D$7:$D$2010,$C$7,'LAC 102_Wkst'!$I$7:$I$2010,$C$9,'LAC 102_Wkst'!$E$7:$E$2010,$C72,'LAC 102_Wkst'!$G$7:$G$2010,$D72,'LAC 102_Wkst'!$L$7:$L$2010,"12",'LAC 102_Wkst'!$N$7:$N$2010,"P3")</f>
        <v>0</v>
      </c>
      <c r="AX72" s="410">
        <f>SUMIFS('LAC 102_Wkst'!$Q$7:$Q$2010,'LAC 102_Wkst'!$D$7:$D$2010,$C$7,'LAC 102_Wkst'!$I$7:$I$2010,$C$9,'LAC 102_Wkst'!$E$7:$E$2010,$C72,'LAC 102_Wkst'!$G$7:$G$2010,$D72,'LAC 102_Wkst'!$L$7:$L$2010,"11",'LAC 102_Wkst'!$N$7:$N$2010,"P4")+SUMIFS('LAC 102_Wkst'!$Q$7:$Q$2010,'LAC 102_Wkst'!$D$7:$D$2010,$C$7,'LAC 102_Wkst'!$I$7:$I$2010,$C$9,'LAC 102_Wkst'!$E$7:$E$2010,$C72,'LAC 102_Wkst'!$G$7:$G$2010,$D72,'LAC 102_Wkst'!$L$7:$L$2010,"12",'LAC 102_Wkst'!$N$7:$N$2010,"P4")</f>
        <v>0</v>
      </c>
      <c r="AY72" s="411">
        <f>SUMIFS('LAC 102_Wkst'!$AF$7:$AF$2010,'LAC 102_Wkst'!$D$7:$D$2010,$C$7,'LAC 102_Wkst'!$I$7:$I$2010,$C$9,'LAC 102_Wkst'!$E$7:$E$2010,$C72,'LAC 102_Wkst'!$G$7:$G$2010,$D72,'LAC 102_Wkst'!$L$7:$L$2010,"11",'LAC 102_Wkst'!$N$7:$N$2010,"P4")+SUMIFS('LAC 102_Wkst'!$AF$7:$AF$2010,'LAC 102_Wkst'!$D$7:$D$2010,$C$7,'LAC 102_Wkst'!$I$7:$I$2010,$C$9,'LAC 102_Wkst'!$E$7:$E$2010,$C72,'LAC 102_Wkst'!$G$7:$G$2010,$D72,'LAC 102_Wkst'!$L$7:$L$2010,"12",'LAC 102_Wkst'!$N$7:$N$2010,"P4")</f>
        <v>0</v>
      </c>
      <c r="AZ72" s="410">
        <f>SUMIFS('LAC 102_Wkst'!$Q$7:$Q$2010,'LAC 102_Wkst'!$D$7:$D$2010,$C$7,'LAC 102_Wkst'!$I$7:$I$2010,$C$9,'LAC 102_Wkst'!$E$7:$E$2010,$C72,'LAC 102_Wkst'!$G$7:$G$2010,$D72,'LAC 102_Wkst'!$L$7:$L$2010,"11",'LAC 102_Wkst'!$N$7:$N$2010,"P5")+SUMIFS('LAC 102_Wkst'!$Q$7:$Q$2010,'LAC 102_Wkst'!$D$7:$D$2010,$C$7,'LAC 102_Wkst'!$I$7:$I$2010,$C$9,'LAC 102_Wkst'!$E$7:$E$2010,$C72,'LAC 102_Wkst'!$G$7:$G$2010,$D72,'LAC 102_Wkst'!$L$7:$L$2010,"12",'LAC 102_Wkst'!$N$7:$N$2010,"P5")</f>
        <v>0</v>
      </c>
      <c r="BA72" s="411">
        <f>SUMIFS('LAC 102_Wkst'!$AF$7:$AF$2010,'LAC 102_Wkst'!$D$7:$D$2010,$C$7,'LAC 102_Wkst'!$I$7:$I$2010,$C$9,'LAC 102_Wkst'!$E$7:$E$2010,$C72,'LAC 102_Wkst'!$G$7:$G$2010,$D72,'LAC 102_Wkst'!$L$7:$L$2010,"11",'LAC 102_Wkst'!$N$7:$N$2010,"P5")+SUMIFS('LAC 102_Wkst'!$AF$7:$AF$2010,'LAC 102_Wkst'!$D$7:$D$2010,$C$7,'LAC 102_Wkst'!$I$7:$I$2010,$C$9,'LAC 102_Wkst'!$E$7:$E$2010,$C72,'LAC 102_Wkst'!$G$7:$G$2010,$D72,'LAC 102_Wkst'!$L$7:$L$2010,"12",'LAC 102_Wkst'!$N$7:$N$2010,"P5")</f>
        <v>0</v>
      </c>
      <c r="BB72" s="410">
        <f>SUMIFS('LAC 102_Wkst'!$Q$7:$Q$2010,'LAC 102_Wkst'!$D$7:$D$2010,$C$7,'LAC 102_Wkst'!$I$7:$I$2010,$C$9,'LAC 102_Wkst'!$E$7:$E$2010,$C72,'LAC 102_Wkst'!$G$7:$G$2010,$D72,'LAC 102_Wkst'!$L$7:$L$2010,"13",'LAC 102_Wkst'!$N$7:$N$2010,"P1")+SUMIFS('LAC 102_Wkst'!$Q$7:$Q$2010,'LAC 102_Wkst'!$D$7:$D$2010,$C$7,'LAC 102_Wkst'!$I$7:$I$2010,$C$9,'LAC 102_Wkst'!$E$7:$E$2010,$C72,'LAC 102_Wkst'!$G$7:$G$2010,$D72,'LAC 102_Wkst'!$L$7:$L$2010,"13",'LAC 102_Wkst'!$N$7:$N$2010,"P2")+SUMIFS('LAC 102_Wkst'!$Q$7:$Q$2010,'LAC 102_Wkst'!$D$7:$D$2010,$C$7,'LAC 102_Wkst'!$I$7:$I$2010,$C$9,'LAC 102_Wkst'!$E$7:$E$2010,$C72,'LAC 102_Wkst'!$G$7:$G$2010,$D72,'LAC 102_Wkst'!$L$7:$L$2010,"13",'LAC 102_Wkst'!$N$7:$N$2010,"P3")+SUMIFS('LAC 102_Wkst'!$Q$7:$Q$2010,'LAC 102_Wkst'!$D$7:$D$2010,$C$7,'LAC 102_Wkst'!$I$7:$I$2010,$C$9,'LAC 102_Wkst'!$E$7:$E$2010,$C72,'LAC 102_Wkst'!$G$7:$G$2010,$D72,'LAC 102_Wkst'!$L$7:$L$2010,"13",'LAC 102_Wkst'!$N$7:$N$2010,"P4")</f>
        <v>0</v>
      </c>
      <c r="BC72" s="411">
        <f>SUMIFS('LAC 102_Wkst'!$AF$7:$AF$2010,'LAC 102_Wkst'!$D$7:$D$2010,$C$7,'LAC 102_Wkst'!$I$7:$I$2010,$C$9,'LAC 102_Wkst'!$E$7:$E$2010,$C72,'LAC 102_Wkst'!$G$7:$G$2010,$D72,'LAC 102_Wkst'!$L$7:$L$2010,"13",'LAC 102_Wkst'!$N$7:$N$2010,"P1")+SUMIFS('LAC 102_Wkst'!$AF$7:$AF$2010,'LAC 102_Wkst'!$D$7:$D$2010,$C$7,'LAC 102_Wkst'!$I$7:$I$2010,$C$9,'LAC 102_Wkst'!$E$7:$E$2010,$C72,'LAC 102_Wkst'!$G$7:$G$2010,$D72,'LAC 102_Wkst'!$L$7:$L$2010,"13",'LAC 102_Wkst'!$N$7:$N$2010,"P2")+SUMIFS('LAC 102_Wkst'!$AF$7:$AF$2010,'LAC 102_Wkst'!$D$7:$D$2010,$C$7,'LAC 102_Wkst'!$I$7:$I$2010,$C$9,'LAC 102_Wkst'!$E$7:$E$2010,$C72,'LAC 102_Wkst'!$G$7:$G$2010,$D72,'LAC 102_Wkst'!$L$7:$L$2010,"13",'LAC 102_Wkst'!$N$7:$N$2010,"P3")+SUMIFS('LAC 102_Wkst'!$AF$7:$AF$2010,'LAC 102_Wkst'!$D$7:$D$2010,$C$7,'LAC 102_Wkst'!$I$7:$I$2010,$C$9,'LAC 102_Wkst'!$E$7:$E$2010,$C72,'LAC 102_Wkst'!$G$7:$G$2010,$D72,'LAC 102_Wkst'!$L$7:$L$2010,"13",'LAC 102_Wkst'!$N$7:$N$2010,"P4")</f>
        <v>0</v>
      </c>
      <c r="BD72" s="410">
        <f>SUMIFS('LAC 102_Wkst'!$Q$7:$Q$2010,'LAC 102_Wkst'!$D$7:$D$2010,$C$7,'LAC 102_Wkst'!$I$7:$I$2010,$C$9,'LAC 102_Wkst'!$E$7:$E$2010,$C72,'LAC 102_Wkst'!$G$7:$G$2010,$D72,'LAC 102_Wkst'!$L$7:$L$2010,"13",'LAC 102_Wkst'!$N$7:$N$2010,"P5")</f>
        <v>0</v>
      </c>
      <c r="BE72" s="411">
        <f>SUMIFS('LAC 102_Wkst'!$AF$7:$AF$2010,'LAC 102_Wkst'!$D$7:$D$2010,$C$7,'LAC 102_Wkst'!$I$7:$I$2010,$C$9,'LAC 102_Wkst'!$E$7:$E$2010,$C72,'LAC 102_Wkst'!$G$7:$G$2010,$D72,'LAC 102_Wkst'!$L$7:$L$2010,"13",'LAC 102_Wkst'!$N$7:$N$2010,"P5")</f>
        <v>0</v>
      </c>
      <c r="BF72" s="407">
        <f t="shared" si="4"/>
        <v>0</v>
      </c>
      <c r="BG72" s="1654">
        <f>SUMIFS('LAC 102_Wkst'!$AF$7:$AF$2010,'LAC 102_Wkst'!$D$7:$D$2010,$C$7,'LAC 102_Wkst'!$I$7:$I$2010,$C$9,'LAC 102_Wkst'!$E$7:$E$2010,$C72,'LAC 102_Wkst'!$G$7:$G$2010,$D72,'LAC 102_Wkst'!$L$7:$L$2010,"14")</f>
        <v>0</v>
      </c>
    </row>
    <row r="73" spans="1:59" x14ac:dyDescent="0.2">
      <c r="A73" s="401">
        <v>51</v>
      </c>
      <c r="B73" s="1678" t="str">
        <f>IF(Schedule_B!B$70="","",Schedule_B!B$70)</f>
        <v/>
      </c>
      <c r="C73" s="1674" t="str">
        <f>IF(Schedule_B!C$70=""," ",Schedule_B!C$70)</f>
        <v xml:space="preserve"> </v>
      </c>
      <c r="D73" s="1675" t="str">
        <f>IF(Schedule_B!D$70=""," ",Schedule_B!D$70)</f>
        <v xml:space="preserve"> </v>
      </c>
      <c r="E73" s="1221">
        <f>SUMIFS('LAC 102_Wkst'!$Q$7:$Q$2010,'LAC 102_Wkst'!$D$7:$D$2010,$C$7,'LAC 102_Wkst'!$I$7:$I$2010,$C$9,'LAC 102_Wkst'!$E$7:$E$2010,$C73,'LAC 102_Wkst'!$G$7:$G$2010,$D73)</f>
        <v>0</v>
      </c>
      <c r="F73" s="408">
        <f>SUMIFS('LAC 102_Wkst'!$Q$7:$Q$2010,'LAC 102_Wkst'!$D$7:$D$2010,$C$7,'LAC 102_Wkst'!$I$7:$I$2010,$C$9,'LAC 102_Wkst'!$E$7:$E$2010,$C73,'LAC 102_Wkst'!$G$7:$G$2010,$D73,'LAC 102_Wkst'!$L$7:$L$2010,"01",'LAC 102_Wkst'!$N$7:$N$2010,"P1")+SUMIFS('LAC 102_Wkst'!$Q$7:$Q$2010,'LAC 102_Wkst'!$D$7:$D$2010,$C$7,'LAC 102_Wkst'!$I$7:$I$2010,$C$9,'LAC 102_Wkst'!$E$7:$E$2010,$C73,'LAC 102_Wkst'!$G$7:$G$2010,$D73,'LAC 102_Wkst'!$L$7:$L$2010,"01",'LAC 102_Wkst'!$N$7:$N$2010,"P2")+SUMIFS('LAC 102_Wkst'!$Q$7:$Q$2010,'LAC 102_Wkst'!$D$7:$D$2010,$C$7,'LAC 102_Wkst'!$I$7:$I$2010,$C$9,'LAC 102_Wkst'!$E$7:$E$2010,$C73,'LAC 102_Wkst'!$G$7:$G$2010,$D73,'LAC 102_Wkst'!$L$7:$L$2010,"01",'LAC 102_Wkst'!$N$7:$N$2010,"P3")+SUMIFS('LAC 102_Wkst'!$Q$7:$Q$2010,'LAC 102_Wkst'!$D$7:$D$2010,$C$7,'LAC 102_Wkst'!$I$7:$I$2010,$C$9,'LAC 102_Wkst'!$E$7:$E$2010,$C73,'LAC 102_Wkst'!$G$7:$G$2010,$D73,'LAC 102_Wkst'!$L$7:$L$2010,"02",'LAC 102_Wkst'!$N$7:$N$2010,"P1")+SUMIFS('LAC 102_Wkst'!$Q$7:$Q$2010,'LAC 102_Wkst'!$D$7:$D$2010,$C$7,'LAC 102_Wkst'!$I$7:$I$2010,$C$9,'LAC 102_Wkst'!$E$7:$E$2010,$C73,'LAC 102_Wkst'!$G$7:$G$2010,$D73,'LAC 102_Wkst'!$L$7:$L$2010,"02",'LAC 102_Wkst'!$N$7:$N$2010,"P2")+SUMIFS('LAC 102_Wkst'!$Q$7:$Q$2010,'LAC 102_Wkst'!$D$7:$D$2010,$C$7,'LAC 102_Wkst'!$I$7:$I$2010,$C$9,'LAC 102_Wkst'!$E$7:$E$2010,$C73,'LAC 102_Wkst'!$G$7:$G$2010,$D73,'LAC 102_Wkst'!$L$7:$L$2010,"02",'LAC 102_Wkst'!$N$7:$N$2010,"P3")</f>
        <v>0</v>
      </c>
      <c r="G73" s="409">
        <f>SUMIFS('LAC 102_Wkst'!$AF$7:$AF$2010,'LAC 102_Wkst'!$D$7:$D$2010,$C$7,'LAC 102_Wkst'!$I$7:$I$2010,$C$9,'LAC 102_Wkst'!$E$7:$E$2010,$C73,'LAC 102_Wkst'!$G$7:$G$2010,$D73,'LAC 102_Wkst'!$L$7:$L$2010,"01",'LAC 102_Wkst'!$N$7:$N$2010,"P1")+SUMIFS('LAC 102_Wkst'!$AF$7:$AF$2010,'LAC 102_Wkst'!$D$7:$D$2010,$C$7,'LAC 102_Wkst'!$I$7:$I$2010,$C$9,'LAC 102_Wkst'!$E$7:$E$2010,$C73,'LAC 102_Wkst'!$G$7:$G$2010,$D73,'LAC 102_Wkst'!$L$7:$L$2010,"01",'LAC 102_Wkst'!$N$7:$N$2010,"P2")+SUMIFS('LAC 102_Wkst'!$AF$7:$AF$2010,'LAC 102_Wkst'!$D$7:$D$2010,$C$7,'LAC 102_Wkst'!$I$7:$I$2010,$C$9,'LAC 102_Wkst'!$E$7:$E$2010,$C73,'LAC 102_Wkst'!$G$7:$G$2010,$D73,'LAC 102_Wkst'!$L$7:$L$2010,"01",'LAC 102_Wkst'!$N$7:$N$2010,"P3")+SUMIFS('LAC 102_Wkst'!$AF$7:$AF$2010,'LAC 102_Wkst'!$D$7:$D$2010,$C$7,'LAC 102_Wkst'!$I$7:$I$2010,$C$9,'LAC 102_Wkst'!$E$7:$E$2010,$C73,'LAC 102_Wkst'!$G$7:$G$2010,$D73,'LAC 102_Wkst'!$L$7:$L$2010,"02",'LAC 102_Wkst'!$N$7:$N$2010,"P1")+SUMIFS('LAC 102_Wkst'!$AF$7:$AF$2010,'LAC 102_Wkst'!$D$7:$D$2010,$C$7,'LAC 102_Wkst'!$I$7:$I$2010,$C$9,'LAC 102_Wkst'!$E$7:$E$2010,$C73,'LAC 102_Wkst'!$G$7:$G$2010,$D73,'LAC 102_Wkst'!$L$7:$L$2010,"02",'LAC 102_Wkst'!$N$7:$N$2010,"P2")+SUMIFS('LAC 102_Wkst'!$AF$7:$AF$2010,'LAC 102_Wkst'!$D$7:$D$2010,$C$7,'LAC 102_Wkst'!$I$7:$I$2010,$C$9,'LAC 102_Wkst'!$E$7:$E$2010,$C73,'LAC 102_Wkst'!$G$7:$G$2010,$D73,'LAC 102_Wkst'!$L$7:$L$2010,"02",'LAC 102_Wkst'!$N$7:$N$2010,"P3")</f>
        <v>0</v>
      </c>
      <c r="H73" s="410">
        <f>SUMIFS('LAC 102_Wkst'!$Q$7:$Q$2010,'LAC 102_Wkst'!$D$7:$D$2010,$C$7,'LAC 102_Wkst'!$I$7:$I$2010,$C$9,'LAC 102_Wkst'!$E$7:$E$2010,$C73,'LAC 102_Wkst'!$G$7:$G$2010,$D73,'LAC 102_Wkst'!$L$7:$L$2010,"01",'LAC 102_Wkst'!$N$7:$N$2010,"P4")+SUMIFS('LAC 102_Wkst'!$Q$7:$Q$2010,'LAC 102_Wkst'!$D$7:$D$2010,$C$7,'LAC 102_Wkst'!$I$7:$I$2010,$C$9,'LAC 102_Wkst'!$E$7:$E$2010,$C73,'LAC 102_Wkst'!$G$7:$G$2010,$D73,'LAC 102_Wkst'!$L$7:$L$2010,"02",'LAC 102_Wkst'!$N$7:$N$2010,"P4")</f>
        <v>0</v>
      </c>
      <c r="I73" s="411">
        <f>SUMIFS('LAC 102_Wkst'!$AF$7:$AF$2010,'LAC 102_Wkst'!$D$7:$D$2010,$C$7,'LAC 102_Wkst'!$I$7:$I$2010,$C$9,'LAC 102_Wkst'!$E$7:$E$2010,$C73,'LAC 102_Wkst'!$G$7:$G$2010,$D73,'LAC 102_Wkst'!$L$7:$L$2010,"01",'LAC 102_Wkst'!$N$7:$N$2010,"P4")+SUMIFS('LAC 102_Wkst'!$AF$7:$AF$2010,'LAC 102_Wkst'!$D$7:$D$2010,$C$7,'LAC 102_Wkst'!$I$7:$I$2010,$C$9,'LAC 102_Wkst'!$E$7:$E$2010,$C73,'LAC 102_Wkst'!$G$7:$G$2010,$D73,'LAC 102_Wkst'!$L$7:$L$2010,"02",'LAC 102_Wkst'!$N$7:$N$2010,"P4")</f>
        <v>0</v>
      </c>
      <c r="J73" s="410">
        <f>SUMIFS('LAC 102_Wkst'!$Q$7:$Q$2010,'LAC 102_Wkst'!$D$7:$D$2010,$C$7,'LAC 102_Wkst'!$I$7:$I$2010,$C$9,'LAC 102_Wkst'!$E$7:$E$2010,$C73,'LAC 102_Wkst'!$G$7:$G$2010,$D73,'LAC 102_Wkst'!$L$7:$L$2010,"01",'LAC 102_Wkst'!$N$7:$N$2010,"P5")+SUMIFS('LAC 102_Wkst'!$Q$7:$Q$2010,'LAC 102_Wkst'!$D$7:$D$2010,$C$7,'LAC 102_Wkst'!$I$7:$I$2010,$C$9,'LAC 102_Wkst'!$E$7:$E$2010,$C73,'LAC 102_Wkst'!$G$7:$G$2010,$D73,'LAC 102_Wkst'!$L$7:$L$2010,"02",'LAC 102_Wkst'!$N$7:$N$2010,"P5")</f>
        <v>0</v>
      </c>
      <c r="K73" s="411">
        <f>SUMIFS('LAC 102_Wkst'!$AF$7:$AF$2010,'LAC 102_Wkst'!$D$7:$D$2010,$C$7,'LAC 102_Wkst'!$I$7:$I$2010,$C$9,'LAC 102_Wkst'!$E$7:$E$2010,$C73,'LAC 102_Wkst'!$G$7:$G$2010,$D73,'LAC 102_Wkst'!$L$7:$L$2010,"01",'LAC 102_Wkst'!$N$7:$N$2010,"P5")+SUMIFS('LAC 102_Wkst'!$AF$7:$AF$2010,'LAC 102_Wkst'!$D$7:$D$2010,$C$7,'LAC 102_Wkst'!$I$7:$I$2010,$C$9,'LAC 102_Wkst'!$E$7:$E$2010,$C73,'LAC 102_Wkst'!$G$7:$G$2010,$D73,'LAC 102_Wkst'!$L$7:$L$2010,"02",'LAC 102_Wkst'!$N$7:$N$2010,"P5")</f>
        <v>0</v>
      </c>
      <c r="L73" s="410">
        <f>SUMIFS('LAC 102_Wkst'!$Q$7:$Q$2010,'LAC 102_Wkst'!$D$7:$D$2010,$C$7,'LAC 102_Wkst'!$I$7:$I$2010,$C$9,'LAC 102_Wkst'!$E$7:$E$2010,$C73,'LAC 102_Wkst'!$G$7:$G$2010,$D73,'LAC 102_Wkst'!$L$7:$L$2010,"03",'LAC 102_Wkst'!$N$7:$N$2010,"P1")+SUMIFS('LAC 102_Wkst'!$Q$7:$Q$2010,'LAC 102_Wkst'!$D$7:$D$2010,$C$7,'LAC 102_Wkst'!$I$7:$I$2010,$C$9,'LAC 102_Wkst'!$E$7:$E$2010,$C73,'LAC 102_Wkst'!$G$7:$G$2010,$D73,'LAC 102_Wkst'!$L$7:$L$2010,"03",'LAC 102_Wkst'!$N$7:$N$2010,"P2")+SUMIFS('LAC 102_Wkst'!$Q$7:$Q$2010,'LAC 102_Wkst'!$D$7:$D$2010,$C$7,'LAC 102_Wkst'!$I$7:$I$2010,$C$9,'LAC 102_Wkst'!$E$7:$E$2010,$C73,'LAC 102_Wkst'!$G$7:$G$2010,$D73,'LAC 102_Wkst'!$L$7:$L$2010,"03",'LAC 102_Wkst'!$N$7:$N$2010,"P3")+SUMIFS('LAC 102_Wkst'!$Q$7:$Q$2010,'LAC 102_Wkst'!$D$7:$D$2010,$C$7,'LAC 102_Wkst'!$I$7:$I$2010,$C$9,'LAC 102_Wkst'!$E$7:$E$2010,$C73,'LAC 102_Wkst'!$G$7:$G$2010,$D73,'LAC 102_Wkst'!$L$7:$L$2010,"04",'LAC 102_Wkst'!$N$7:$N$2010,"P1")+SUMIFS('LAC 102_Wkst'!$Q$7:$Q$2010,'LAC 102_Wkst'!$D$7:$D$2010,$C$7,'LAC 102_Wkst'!$I$7:$I$2010,$C$9,'LAC 102_Wkst'!$E$7:$E$2010,$C73,'LAC 102_Wkst'!$G$7:$G$2010,$D73,'LAC 102_Wkst'!$L$7:$L$2010,"04",'LAC 102_Wkst'!$N$7:$N$2010,"P2")+SUMIFS('LAC 102_Wkst'!$Q$7:$Q$2010,'LAC 102_Wkst'!$D$7:$D$2010,$C$7,'LAC 102_Wkst'!$I$7:$I$2010,$C$9,'LAC 102_Wkst'!$E$7:$E$2010,$C73,'LAC 102_Wkst'!$G$7:$G$2010,$D73,'LAC 102_Wkst'!$L$7:$L$2010,"04",'LAC 102_Wkst'!$N$7:$N$2010,"P3")</f>
        <v>0</v>
      </c>
      <c r="M73" s="411">
        <f>SUMIFS('LAC 102_Wkst'!$AF$7:$AF$2010,'LAC 102_Wkst'!$D$7:$D$2010,$C$7,'LAC 102_Wkst'!$I$7:$I$2010,$C$9,'LAC 102_Wkst'!$E$7:$E$2010,$C73,'LAC 102_Wkst'!$G$7:$G$2010,$D73,'LAC 102_Wkst'!$L$7:$L$2010,"03",'LAC 102_Wkst'!$N$7:$N$2010,"P1")+SUMIFS('LAC 102_Wkst'!$AF$7:$AF$2010,'LAC 102_Wkst'!$D$7:$D$2010,$C$7,'LAC 102_Wkst'!$I$7:$I$2010,$C$9,'LAC 102_Wkst'!$E$7:$E$2010,$C73,'LAC 102_Wkst'!$G$7:$G$2010,$D73,'LAC 102_Wkst'!$L$7:$L$2010,"03",'LAC 102_Wkst'!$N$7:$N$2010,"P2")+SUMIFS('LAC 102_Wkst'!$AF$7:$AF$2010,'LAC 102_Wkst'!$D$7:$D$2010,$C$7,'LAC 102_Wkst'!$I$7:$I$2010,$C$9,'LAC 102_Wkst'!$E$7:$E$2010,$C73,'LAC 102_Wkst'!$G$7:$G$2010,$D73,'LAC 102_Wkst'!$L$7:$L$2010,"03",'LAC 102_Wkst'!$N$7:$N$2010,"P3")+SUMIFS('LAC 102_Wkst'!$AF$7:$AF$2010,'LAC 102_Wkst'!$D$7:$D$2010,$C$7,'LAC 102_Wkst'!$I$7:$I$2010,$C$9,'LAC 102_Wkst'!$E$7:$E$2010,$C73,'LAC 102_Wkst'!$G$7:$G$2010,$D73,'LAC 102_Wkst'!$L$7:$L$2010,"04",'LAC 102_Wkst'!$N$7:$N$2010,"P1")+SUMIFS('LAC 102_Wkst'!$AF$7:$AF$2010,'LAC 102_Wkst'!$D$7:$D$2010,$C$7,'LAC 102_Wkst'!$I$7:$I$2010,$C$9,'LAC 102_Wkst'!$E$7:$E$2010,$C73,'LAC 102_Wkst'!$G$7:$G$2010,$D73,'LAC 102_Wkst'!$L$7:$L$2010,"04",'LAC 102_Wkst'!$N$7:$N$2010,"P2")+SUMIFS('LAC 102_Wkst'!$AF$7:$AF$2010,'LAC 102_Wkst'!$D$7:$D$2010,$C$7,'LAC 102_Wkst'!$I$7:$I$2010,$C$9,'LAC 102_Wkst'!$E$7:$E$2010,$C73,'LAC 102_Wkst'!$G$7:$G$2010,$D73,'LAC 102_Wkst'!$L$7:$L$2010,"04",'LAC 102_Wkst'!$N$7:$N$2010,"P3")</f>
        <v>0</v>
      </c>
      <c r="N73" s="410">
        <f>SUMIFS('LAC 102_Wkst'!$Q$7:$Q$2010,'LAC 102_Wkst'!$D$7:$D$2010,$C$7,'LAC 102_Wkst'!$I$7:$I$2010,$C$9,'LAC 102_Wkst'!$E$7:$E$2010,$C73,'LAC 102_Wkst'!$G$7:$G$2010,$D73,'LAC 102_Wkst'!$L$7:$L$2010,"03",'LAC 102_Wkst'!$N$7:$N$2010,"P4")+SUMIFS('LAC 102_Wkst'!$Q$7:$Q$2010,'LAC 102_Wkst'!$D$7:$D$2010,$C$7,'LAC 102_Wkst'!$I$7:$I$2010,$C$9,'LAC 102_Wkst'!$E$7:$E$2010,$C73,'LAC 102_Wkst'!$G$7:$G$2010,$D73,'LAC 102_Wkst'!$L$7:$L$2010,"04",'LAC 102_Wkst'!$N$7:$N$2010,"P4")</f>
        <v>0</v>
      </c>
      <c r="O73" s="411">
        <f>SUMIFS('LAC 102_Wkst'!$AF$7:$AF$2010,'LAC 102_Wkst'!$D$7:$D$2010,$C$7,'LAC 102_Wkst'!$I$7:$I$2010,$C$9,'LAC 102_Wkst'!$E$7:$E$2010,$C73,'LAC 102_Wkst'!$G$7:$G$2010,$D73,'LAC 102_Wkst'!$L$7:$L$2010,"03",'LAC 102_Wkst'!$N$7:$N$2010,"P4")+SUMIFS('LAC 102_Wkst'!$AF$7:$AF$2010,'LAC 102_Wkst'!$D$7:$D$2010,$C$7,'LAC 102_Wkst'!$I$7:$I$2010,$C$9,'LAC 102_Wkst'!$E$7:$E$2010,$C73,'LAC 102_Wkst'!$G$7:$G$2010,$D73,'LAC 102_Wkst'!$L$7:$L$2010,"04",'LAC 102_Wkst'!$N$7:$N$2010,"P4")</f>
        <v>0</v>
      </c>
      <c r="P73" s="410">
        <f>SUMIFS('LAC 102_Wkst'!$Q$7:$Q$2010,'LAC 102_Wkst'!$D$7:$D$2010,$C$7,'LAC 102_Wkst'!$I$7:$I$2010,$C$9,'LAC 102_Wkst'!$E$7:$E$2010,$C73,'LAC 102_Wkst'!$G$7:$G$2010,$D73,'LAC 102_Wkst'!$L$7:$L$2010,"03",'LAC 102_Wkst'!$N$7:$N$2010,"P5")+SUMIFS('LAC 102_Wkst'!$Q$7:$Q$2010,'LAC 102_Wkst'!$D$7:$D$2010,$C$7,'LAC 102_Wkst'!$I$7:$I$2010,$C$9,'LAC 102_Wkst'!$E$7:$E$2010,$C73,'LAC 102_Wkst'!$G$7:$G$2010,$D73,'LAC 102_Wkst'!$L$7:$L$2010,"04",'LAC 102_Wkst'!$N$7:$N$2010,"P5")</f>
        <v>0</v>
      </c>
      <c r="Q73" s="411">
        <f>SUMIFS('LAC 102_Wkst'!$AF$7:$AF$2010,'LAC 102_Wkst'!$D$7:$D$2010,$C$7,'LAC 102_Wkst'!$I$7:$I$2010,$C$9,'LAC 102_Wkst'!$E$7:$E$2010,$C73,'LAC 102_Wkst'!$G$7:$G$2010,$D73,'LAC 102_Wkst'!$L$7:$L$2010,"03",'LAC 102_Wkst'!$N$7:$N$2010,"P5")+SUMIFS('LAC 102_Wkst'!$AF$7:$AF$2010,'LAC 102_Wkst'!$D$7:$D$2010,$C$7,'LAC 102_Wkst'!$I$7:$I$2010,$C$9,'LAC 102_Wkst'!$E$7:$E$2010,$C73,'LAC 102_Wkst'!$G$7:$G$2010,$D73,'LAC 102_Wkst'!$L$7:$L$2010,"04",'LAC 102_Wkst'!$N$7:$N$2010,"P5")</f>
        <v>0</v>
      </c>
      <c r="R73" s="412">
        <f>SUMIFS('LAC 102_Wkst'!$Q$7:$Q$2010,'LAC 102_Wkst'!$D$7:$D$2010,$C$7,'LAC 102_Wkst'!$I$7:$I$2010,$C$9,'LAC 102_Wkst'!$E$7:$E$2010,$C73,'LAC 102_Wkst'!$G$7:$G$2010,$D73,'LAC 102_Wkst'!$L$7:$L$2010,"05",'LAC 102_Wkst'!$N$7:$N$2010,"P1")+SUMIFS('LAC 102_Wkst'!$Q$7:$Q$2010,'LAC 102_Wkst'!$D$7:$D$2010,$C$7,'LAC 102_Wkst'!$I$7:$I$2010,$C$9,'LAC 102_Wkst'!$E$7:$E$2010,$C73,'LAC 102_Wkst'!$G$7:$G$2010,$D73,'LAC 102_Wkst'!$L$7:$L$2010,"06",'LAC 102_Wkst'!$N$7:$N$2010,"P1")</f>
        <v>0</v>
      </c>
      <c r="S73" s="411">
        <f>SUMIFS('LAC 102_Wkst'!$AF$7:$AF$2010,'LAC 102_Wkst'!$D$7:$D$2010,$C$7,'LAC 102_Wkst'!$I$7:$I$2010,$C$9,'LAC 102_Wkst'!$E$7:$E$2010,$C73,'LAC 102_Wkst'!$G$7:$G$2010,$D73,'LAC 102_Wkst'!$L$7:$L$2010,"05",'LAC 102_Wkst'!$N$7:$N$2010,"P1")+SUMIFS('LAC 102_Wkst'!$AF$7:$AF$2010,'LAC 102_Wkst'!$D$7:$D$2010,$C$7,'LAC 102_Wkst'!$I$7:$I$2010,$C$9,'LAC 102_Wkst'!$E$7:$E$2010,$C73,'LAC 102_Wkst'!$G$7:$G$2010,$D73,'LAC 102_Wkst'!$L$7:$L$2010,"06",'LAC 102_Wkst'!$N$7:$N$2010,"P1")</f>
        <v>0</v>
      </c>
      <c r="T73" s="410">
        <f>SUMIFS('LAC 102_Wkst'!$Q$7:$Q$2010,'LAC 102_Wkst'!$D$7:$D$2010,$C$7,'LAC 102_Wkst'!$I$7:$I$2010,$C$9,'LAC 102_Wkst'!$E$7:$E$2010,$C73,'LAC 102_Wkst'!$G$7:$G$2010,$D73,'LAC 102_Wkst'!$L$7:$L$2010,"05",'LAC 102_Wkst'!$N$7:$N$2010,"P2")+SUMIFS('LAC 102_Wkst'!$Q$7:$Q$2010,'LAC 102_Wkst'!$D$7:$D$2010,$C$7,'LAC 102_Wkst'!$I$7:$I$2010,$C$9,'LAC 102_Wkst'!$E$7:$E$2010,$C73,'LAC 102_Wkst'!$G$7:$G$2010,$D73,'LAC 102_Wkst'!$L$7:$L$2010,"06",'LAC 102_Wkst'!$N$7:$N$2010,"P2")+SUMIFS('LAC 102_Wkst'!$Q$7:$Q$2010,'LAC 102_Wkst'!$D$7:$D$2010,$C$7,'LAC 102_Wkst'!$I$7:$I$2010,$C$9,'LAC 102_Wkst'!$E$7:$E$2010,$C73,'LAC 102_Wkst'!$G$7:$G$2010,$D73,'LAC 102_Wkst'!$L$7:$L$2010,"05",'LAC 102_Wkst'!$N$7:$N$2010,"P3")+SUMIFS('LAC 102_Wkst'!$Q$7:$Q$2010,'LAC 102_Wkst'!$D$7:$D$2010,$C$7,'LAC 102_Wkst'!$I$7:$I$2010,$C$9,'LAC 102_Wkst'!$E$7:$E$2010,$C73,'LAC 102_Wkst'!$G$7:$G$2010,$D73,'LAC 102_Wkst'!$L$7:$L$2010,"06",'LAC 102_Wkst'!$N$7:$N$2010,"P3")</f>
        <v>0</v>
      </c>
      <c r="U73" s="411">
        <f>SUMIFS('LAC 102_Wkst'!$AF$7:$AF$2010,'LAC 102_Wkst'!$D$7:$D$2010,$C$7,'LAC 102_Wkst'!$I$7:$I$2010,$C$9,'LAC 102_Wkst'!$E$7:$E$2010,$C73,'LAC 102_Wkst'!$G$7:$G$2010,$D73,'LAC 102_Wkst'!$L$7:$L$2010,"05",'LAC 102_Wkst'!$N$7:$N$2010,"P2")+SUMIFS('LAC 102_Wkst'!$AF$7:$AF$2010,'LAC 102_Wkst'!$D$7:$D$2010,$C$7,'LAC 102_Wkst'!$I$7:$I$2010,$C$9,'LAC 102_Wkst'!$E$7:$E$2010,$C73,'LAC 102_Wkst'!$G$7:$G$2010,$D73,'LAC 102_Wkst'!$L$7:$L$2010,"06",'LAC 102_Wkst'!$N$7:$N$2010,"P2")+SUMIFS('LAC 102_Wkst'!$AF$7:$AF$2010,'LAC 102_Wkst'!$D$7:$D$2010,$C$7,'LAC 102_Wkst'!$I$7:$I$2010,$C$9,'LAC 102_Wkst'!$E$7:$E$2010,$C73,'LAC 102_Wkst'!$G$7:$G$2010,$D73,'LAC 102_Wkst'!$L$7:$L$2010,"05",'LAC 102_Wkst'!$N$7:$N$2010,"P3")+SUMIFS('LAC 102_Wkst'!$AF$7:$AF$2010,'LAC 102_Wkst'!$D$7:$D$2010,$C$7,'LAC 102_Wkst'!$I$7:$I$2010,$C$9,'LAC 102_Wkst'!$E$7:$E$2010,$C73,'LAC 102_Wkst'!$G$7:$G$2010,$D73,'LAC 102_Wkst'!$L$7:$L$2010,"06",'LAC 102_Wkst'!$N$7:$N$2010,"P3")</f>
        <v>0</v>
      </c>
      <c r="V73" s="410">
        <f>SUMIFS('LAC 102_Wkst'!$Q$7:$Q$2010,'LAC 102_Wkst'!$D$7:$D$2010,$C$7,'LAC 102_Wkst'!$I$7:$I$2010,$C$9,'LAC 102_Wkst'!$E$7:$E$2010,$C73,'LAC 102_Wkst'!$G$7:$G$2010,$D73,'LAC 102_Wkst'!$L$7:$L$2010,"05",'LAC 102_Wkst'!$N$7:$N$2010,"P4")+SUMIFS('LAC 102_Wkst'!$Q$7:$Q$2010,'LAC 102_Wkst'!$D$7:$D$2010,$C$7,'LAC 102_Wkst'!$I$7:$I$2010,$C$9,'LAC 102_Wkst'!$E$7:$E$2010,$C73,'LAC 102_Wkst'!$G$7:$G$2010,$D73,'LAC 102_Wkst'!$L$7:$L$2010,"06",'LAC 102_Wkst'!$N$7:$N$2010,"P4")</f>
        <v>0</v>
      </c>
      <c r="W73" s="411">
        <f>SUMIFS('LAC 102_Wkst'!$AF$7:$AF$2010,'LAC 102_Wkst'!$D$7:$D$2010,$C$7,'LAC 102_Wkst'!$I$7:$I$2010,$C$9,'LAC 102_Wkst'!$E$7:$E$2010,$C73,'LAC 102_Wkst'!$G$7:$G$2010,$D73,'LAC 102_Wkst'!$L$7:$L$2010,"05",'LAC 102_Wkst'!$N$7:$N$2010,"P4")+SUMIFS('LAC 102_Wkst'!$AF$7:$AF$2010,'LAC 102_Wkst'!$D$7:$D$2010,$C$7,'LAC 102_Wkst'!$I$7:$I$2010,$C$9,'LAC 102_Wkst'!$E$7:$E$2010,$C73,'LAC 102_Wkst'!$G$7:$G$2010,$D73,'LAC 102_Wkst'!$L$7:$L$2010,"06",'LAC 102_Wkst'!$N$7:$N$2010,"P4")</f>
        <v>0</v>
      </c>
      <c r="X73" s="410">
        <f>SUMIFS('LAC 102_Wkst'!$Q$7:$Q$2010,'LAC 102_Wkst'!$D$7:$D$2010,$C$7,'LAC 102_Wkst'!$I$7:$I$2010,$C$9,'LAC 102_Wkst'!$E$7:$E$2010,$C73,'LAC 102_Wkst'!$G$7:$G$2010,$D73,'LAC 102_Wkst'!$L$7:$L$2010,"05",'LAC 102_Wkst'!$N$7:$N$2010,"P5")+SUMIFS('LAC 102_Wkst'!$Q$7:$Q$2010,'LAC 102_Wkst'!$D$7:$D$2010,$C$7,'LAC 102_Wkst'!$I$7:$I$2010,$C$9,'LAC 102_Wkst'!$E$7:$E$2010,$C73,'LAC 102_Wkst'!$G$7:$G$2010,$D73,'LAC 102_Wkst'!$L$7:$L$2010,"06",'LAC 102_Wkst'!$N$7:$N$2010,"P5")</f>
        <v>0</v>
      </c>
      <c r="Y73" s="411">
        <f>SUMIFS('LAC 102_Wkst'!$AF$7:$AF$2010,'LAC 102_Wkst'!$D$7:$D$2010,$C$7,'LAC 102_Wkst'!$I$7:$I$2010,$C$9,'LAC 102_Wkst'!$E$7:$E$2010,$C73,'LAC 102_Wkst'!$G$7:$G$2010,$D73,'LAC 102_Wkst'!$L$7:$L$2010,"05",'LAC 102_Wkst'!$N$7:$N$2010,"P5")+SUMIFS('LAC 102_Wkst'!$AF$7:$AF$2010,'LAC 102_Wkst'!$D$7:$D$2010,$C$7,'LAC 102_Wkst'!$I$7:$I$2010,$C$9,'LAC 102_Wkst'!$E$7:$E$2010,$C73,'LAC 102_Wkst'!$G$7:$G$2010,$D73,'LAC 102_Wkst'!$L$7:$L$2010,"06",'LAC 102_Wkst'!$N$7:$N$2010,"P5")</f>
        <v>0</v>
      </c>
      <c r="Z73" s="410">
        <f>SUMIFS('LAC 102_Wkst'!$Q$7:$Q$2010,'LAC 102_Wkst'!$D$7:$D$2010,$C$7,'LAC 102_Wkst'!$I$7:$I$2010,$C$9,'LAC 102_Wkst'!$E$7:$E$2010,$C73,'LAC 102_Wkst'!$G$7:$G$2010,$D73,'LAC 102_Wkst'!$L$7:$L$2010,"07",'LAC 102_Wkst'!$N$7:$N$2010,"P1")+SUMIFS('LAC 102_Wkst'!$Q$7:$Q$2010,'LAC 102_Wkst'!$D$7:$D$2010,$C$7,'LAC 102_Wkst'!$I$7:$I$2010,$C$9,'LAC 102_Wkst'!$E$7:$E$2010,$C73,'LAC 102_Wkst'!$G$7:$G$2010,$D73,'LAC 102_Wkst'!$L$7:$L$2010,"07",'LAC 102_Wkst'!$N$7:$N$2010,"P2")+SUMIFS('LAC 102_Wkst'!$Q$7:$Q$2010,'LAC 102_Wkst'!$D$7:$D$2010,$C$7,'LAC 102_Wkst'!$I$7:$I$2010,$C$9,'LAC 102_Wkst'!$E$7:$E$2010,$C73,'LAC 102_Wkst'!$G$7:$G$2010,$D73,'LAC 102_Wkst'!$L$7:$L$2010,"07",'LAC 102_Wkst'!$N$7:$N$2010,"P3")</f>
        <v>0</v>
      </c>
      <c r="AA73" s="411">
        <f>SUMIFS('LAC 102_Wkst'!$AF$7:$AF$2010,'LAC 102_Wkst'!$D$7:$D$2010,$C$7,'LAC 102_Wkst'!$I$7:$I$2010,$C$9,'LAC 102_Wkst'!$E$7:$E$2010,$C73,'LAC 102_Wkst'!$G$7:$G$2010,$D73,'LAC 102_Wkst'!$L$7:$L$2010,"07",'LAC 102_Wkst'!$N$7:$N$2010,"P1")+SUMIFS('LAC 102_Wkst'!$AF$7:$AF$2010,'LAC 102_Wkst'!$D$7:$D$2010,$C$7,'LAC 102_Wkst'!$I$7:$I$2010,$C$9,'LAC 102_Wkst'!$E$7:$E$2010,$C73,'LAC 102_Wkst'!$G$7:$G$2010,$D73,'LAC 102_Wkst'!$L$7:$L$2010,"07",'LAC 102_Wkst'!$N$7:$N$2010,"P2")+SUMIFS('LAC 102_Wkst'!$AF$7:$AF$2010,'LAC 102_Wkst'!$D$7:$D$2010,$C$7,'LAC 102_Wkst'!$I$7:$I$2010,$C$9,'LAC 102_Wkst'!$E$7:$E$2010,$C73,'LAC 102_Wkst'!$G$7:$G$2010,$D73,'LAC 102_Wkst'!$L$7:$L$2010,"07",'LAC 102_Wkst'!$N$7:$N$2010,"P3")</f>
        <v>0</v>
      </c>
      <c r="AB73" s="410">
        <f>SUMIFS('LAC 102_Wkst'!$Q$7:$Q$2010,'LAC 102_Wkst'!$D$7:$D$2010,$C$7,'LAC 102_Wkst'!$I$7:$I$2010,$C$9,'LAC 102_Wkst'!$E$7:$E$2010,$C73,'LAC 102_Wkst'!$G$7:$G$2010,$D73,'LAC 102_Wkst'!$L$7:$L$2010,"07",'LAC 102_Wkst'!$N$7:$N$2010,"P4")</f>
        <v>0</v>
      </c>
      <c r="AC73" s="411">
        <f>SUMIFS('LAC 102_Wkst'!$AF$7:$AF$2010,'LAC 102_Wkst'!$D$7:$D$2010,$C$7,'LAC 102_Wkst'!$I$7:$I$2010,$C$9,'LAC 102_Wkst'!$E$7:$E$2010,$C73,'LAC 102_Wkst'!$G$7:$G$2010,$D73,'LAC 102_Wkst'!$L$7:$L$2010,"07",'LAC 102_Wkst'!$N$7:$N$2010,"P4")</f>
        <v>0</v>
      </c>
      <c r="AD73" s="410">
        <f>SUMIFS('LAC 102_Wkst'!$Q$7:$Q$2010,'LAC 102_Wkst'!$D$7:$D$2010,$C$7,'LAC 102_Wkst'!$I$7:$I$2010,$C$9,'LAC 102_Wkst'!$E$7:$E$2010,$C73,'LAC 102_Wkst'!$G$7:$G$2010,$D73,'LAC 102_Wkst'!$L$7:$L$2010,"07",'LAC 102_Wkst'!$N$7:$N$2010,"P5")</f>
        <v>0</v>
      </c>
      <c r="AE73" s="411">
        <f>SUMIFS('LAC 102_Wkst'!$AF$7:$AF$2010,'LAC 102_Wkst'!$D$7:$D$2010,$C$7,'LAC 102_Wkst'!$I$7:$I$2010,$C$9,'LAC 102_Wkst'!$E$7:$E$2010,$C73,'LAC 102_Wkst'!$G$7:$G$2010,$D73,'LAC 102_Wkst'!$L$7:$L$2010,"07",'LAC 102_Wkst'!$N$7:$N$2010,"P5")</f>
        <v>0</v>
      </c>
      <c r="AF73" s="410">
        <f>SUMIFS('LAC 102_Wkst'!$Q$7:$Q$2010,'LAC 102_Wkst'!$D$7:$D$2010,$C$7,'LAC 102_Wkst'!$I$7:$I$2010,$C$9,'LAC 102_Wkst'!$E$7:$E$2010,$C73,'LAC 102_Wkst'!$G$7:$G$2010,$D73,'LAC 102_Wkst'!$L$7:$L$2010,"08",'LAC 102_Wkst'!$N$7:$N$2010,"P1")+SUMIFS('LAC 102_Wkst'!$Q$7:$Q$2010,'LAC 102_Wkst'!$D$7:$D$2010,$C$7,'LAC 102_Wkst'!$I$7:$I$2010,$C$9,'LAC 102_Wkst'!$E$7:$E$2010,$C73,'LAC 102_Wkst'!$G$7:$G$2010,$D73,'LAC 102_Wkst'!$L$7:$L$2010,"08",'LAC 102_Wkst'!$N$7:$N$2010,"P2")+SUMIFS('LAC 102_Wkst'!$Q$7:$Q$2010,'LAC 102_Wkst'!$D$7:$D$2010,$C$7,'LAC 102_Wkst'!$I$7:$I$2010,$C$9,'LAC 102_Wkst'!$E$7:$E$2010,$C73,'LAC 102_Wkst'!$G$7:$G$2010,$D73,'LAC 102_Wkst'!$L$7:$L$2010,"08",'LAC 102_Wkst'!$N$7:$N$2010,"P3")</f>
        <v>0</v>
      </c>
      <c r="AG73" s="411">
        <f>SUMIFS('LAC 102_Wkst'!$AF$7:$AF$2010,'LAC 102_Wkst'!$D$7:$D$2010,$C$7,'LAC 102_Wkst'!$I$7:$I$2010,$C$9,'LAC 102_Wkst'!$E$7:$E$2010,$C73,'LAC 102_Wkst'!$G$7:$G$2010,$D73,'LAC 102_Wkst'!$L$7:$L$2010,"08",'LAC 102_Wkst'!$N$7:$N$2010,"P1")+SUMIFS('LAC 102_Wkst'!$AF$7:$AF$2010,'LAC 102_Wkst'!$D$7:$D$2010,$C$7,'LAC 102_Wkst'!$I$7:$I$2010,$C$9,'LAC 102_Wkst'!$E$7:$E$2010,$C73,'LAC 102_Wkst'!$G$7:$G$2010,$D73,'LAC 102_Wkst'!$L$7:$L$2010,"08",'LAC 102_Wkst'!$N$7:$N$2010,"P2")+SUMIFS('LAC 102_Wkst'!$AF$7:$AF$2010,'LAC 102_Wkst'!$D$7:$D$2010,$C$7,'LAC 102_Wkst'!$I$7:$I$2010,$C$9,'LAC 102_Wkst'!$E$7:$E$2010,$C73,'LAC 102_Wkst'!$G$7:$G$2010,$D73,'LAC 102_Wkst'!$L$7:$L$2010,"08",'LAC 102_Wkst'!$N$7:$N$2010,"P3")</f>
        <v>0</v>
      </c>
      <c r="AH73" s="410">
        <f>SUMIFS('LAC 102_Wkst'!$Q$7:$Q$2010,'LAC 102_Wkst'!$D$7:$D$2010,$C$7,'LAC 102_Wkst'!$I$7:$I$2010,$C$9,'LAC 102_Wkst'!$E$7:$E$2010,$C73,'LAC 102_Wkst'!$G$7:$G$2010,$D73,'LAC 102_Wkst'!$L$7:$L$2010,"08",'LAC 102_Wkst'!$N$7:$N$2010,"P4")</f>
        <v>0</v>
      </c>
      <c r="AI73" s="411">
        <f>SUMIFS('LAC 102_Wkst'!$AF$7:$AF$2010,'LAC 102_Wkst'!$D$7:$D$2010,$C$7,'LAC 102_Wkst'!$I$7:$I$2010,$C$9,'LAC 102_Wkst'!$E$7:$E$2010,$C73,'LAC 102_Wkst'!$G$7:$G$2010,$D73,'LAC 102_Wkst'!$L$7:$L$2010,"08",'LAC 102_Wkst'!$N$7:$N$2010,"P4")</f>
        <v>0</v>
      </c>
      <c r="AJ73" s="410">
        <f>SUMIFS('LAC 102_Wkst'!$Q$7:$Q$2010,'LAC 102_Wkst'!$D$7:$D$2010,$C$7,'LAC 102_Wkst'!$I$7:$I$2010,$C$9,'LAC 102_Wkst'!$E$7:$E$2010,$C73,'LAC 102_Wkst'!$G$7:$G$2010,$D73,'LAC 102_Wkst'!$L$7:$L$2010,"08",'LAC 102_Wkst'!$N$7:$N$2010,"P5")</f>
        <v>0</v>
      </c>
      <c r="AK73" s="411">
        <f>SUMIFS('LAC 102_Wkst'!$AF$7:$AF$2010,'LAC 102_Wkst'!$D$7:$D$2010,$C$7,'LAC 102_Wkst'!$I$7:$I$2010,$C$9,'LAC 102_Wkst'!$E$7:$E$2010,$C73,'LAC 102_Wkst'!$G$7:$G$2010,$D73,'LAC 102_Wkst'!$L$7:$L$2010,"08",'LAC 102_Wkst'!$N$7:$N$2010,"P5")</f>
        <v>0</v>
      </c>
      <c r="AL73" s="410">
        <f>SUMIFS('LAC 102_Wkst'!$Q$7:$Q$2010,'LAC 102_Wkst'!$D$7:$D$2010,$C$7,'LAC 102_Wkst'!$I$7:$I$2010,$C$9,'LAC 102_Wkst'!$E$7:$E$2010,$C73,'LAC 102_Wkst'!$G$7:$G$2010,$D73,'LAC 102_Wkst'!$L$7:$L$2010,"09",'LAC 102_Wkst'!$N$7:$N$2010,"P1")+SUMIFS('LAC 102_Wkst'!$Q$7:$Q$2010,'LAC 102_Wkst'!$D$7:$D$2010,$C$7,'LAC 102_Wkst'!$I$7:$I$2010,$C$9,'LAC 102_Wkst'!$E$7:$E$2010,$C73,'LAC 102_Wkst'!$G$7:$G$2010,$D73,'LAC 102_Wkst'!$L$7:$L$2010,"09",'LAC 102_Wkst'!$N$7:$N$2010,"P2")+SUMIFS('LAC 102_Wkst'!$Q$7:$Q$2010,'LAC 102_Wkst'!$D$7:$D$2010,$C$7,'LAC 102_Wkst'!$I$7:$I$2010,$C$9,'LAC 102_Wkst'!$E$7:$E$2010,$C73,'LAC 102_Wkst'!$G$7:$G$2010,$D73,'LAC 102_Wkst'!$L$7:$L$2010,"09",'LAC 102_Wkst'!$N$7:$N$2010,"P3")+SUMIFS('LAC 102_Wkst'!$Q$7:$Q$2010,'LAC 102_Wkst'!$D$7:$D$2010,$C$7,'LAC 102_Wkst'!$I$7:$I$2010,$C$9,'LAC 102_Wkst'!$E$7:$E$2010,$C73,'LAC 102_Wkst'!$G$7:$G$2010,$D73,'LAC 102_Wkst'!$L$7:$L$2010,"09",'LAC 102_Wkst'!$N$7:$N$2010,"P4")</f>
        <v>0</v>
      </c>
      <c r="AM73" s="411">
        <f>SUMIFS('LAC 102_Wkst'!$AF$7:$AF$2010,'LAC 102_Wkst'!$D$7:$D$2010,$C$7,'LAC 102_Wkst'!$I$7:$I$2010,$C$9,'LAC 102_Wkst'!$E$7:$E$2010,$C73,'LAC 102_Wkst'!$G$7:$G$2010,$D73,'LAC 102_Wkst'!$L$7:$L$2010,"09",'LAC 102_Wkst'!$N$7:$N$2010,"P1")+SUMIFS('LAC 102_Wkst'!$AF$7:$AF$2010,'LAC 102_Wkst'!$D$7:$D$2010,$C$7,'LAC 102_Wkst'!$I$7:$I$2010,$C$9,'LAC 102_Wkst'!$E$7:$E$2010,$C73,'LAC 102_Wkst'!$G$7:$G$2010,$D73,'LAC 102_Wkst'!$L$7:$L$2010,"09",'LAC 102_Wkst'!$N$7:$N$2010,"P2")+SUMIFS('LAC 102_Wkst'!$AF$7:$AF$2010,'LAC 102_Wkst'!$D$7:$D$2010,$C$7,'LAC 102_Wkst'!$I$7:$I$2010,$C$9,'LAC 102_Wkst'!$E$7:$E$2010,$C73,'LAC 102_Wkst'!$G$7:$G$2010,$D73,'LAC 102_Wkst'!$L$7:$L$2010,"09",'LAC 102_Wkst'!$N$7:$N$2010,"P3")+SUMIFS('LAC 102_Wkst'!$AF$7:$AF$2010,'LAC 102_Wkst'!$D$7:$D$2010,$C$7,'LAC 102_Wkst'!$I$7:$I$2010,$C$9,'LAC 102_Wkst'!$E$7:$E$2010,$C73,'LAC 102_Wkst'!$G$7:$G$2010,$D73,'LAC 102_Wkst'!$L$7:$L$2010,"09",'LAC 102_Wkst'!$N$7:$N$2010,"P4")</f>
        <v>0</v>
      </c>
      <c r="AN73" s="410">
        <f>SUMIFS('LAC 102_Wkst'!$Q$7:$Q$2010,'LAC 102_Wkst'!$D$7:$D$2010,$C$7,'LAC 102_Wkst'!$I$7:$I$2010,$C$9,'LAC 102_Wkst'!$E$7:$E$2010,$C73,'LAC 102_Wkst'!$G$7:$G$2010,$D73,'LAC 102_Wkst'!$L$7:$L$2010,"09",'LAC 102_Wkst'!$N$7:$N$2010,"P5")</f>
        <v>0</v>
      </c>
      <c r="AO73" s="411">
        <f>SUMIFS('LAC 102_Wkst'!$AF$7:$AF$2010,'LAC 102_Wkst'!$D$7:$D$2010,$C$7,'LAC 102_Wkst'!$I$7:$I$2010,$C$9,'LAC 102_Wkst'!$E$7:$E$2010,$C73,'LAC 102_Wkst'!$G$7:$G$2010,$D73,'LAC 102_Wkst'!$L$7:$L$2010,"09",'LAC 102_Wkst'!$N$7:$N$2010,"P5")</f>
        <v>0</v>
      </c>
      <c r="AP73" s="410">
        <f>SUMIFS('LAC 102_Wkst'!$Q$7:$Q$2010,'LAC 102_Wkst'!$D$7:$D$2010,$C$7,'LAC 102_Wkst'!$I$7:$I$2010,$C$9,'LAC 102_Wkst'!$E$7:$E$2010,$C73,'LAC 102_Wkst'!$G$7:$G$2010,$D73,'LAC 102_Wkst'!$L$7:$L$2010,"10",'LAC 102_Wkst'!$N$7:$N$2010,"P1")+SUMIFS('LAC 102_Wkst'!$Q$7:$Q$2010,'LAC 102_Wkst'!$D$7:$D$2010,$C$7,'LAC 102_Wkst'!$I$7:$I$2010,$C$9,'LAC 102_Wkst'!$E$7:$E$2010,$C73,'LAC 102_Wkst'!$G$7:$G$2010,$D73,'LAC 102_Wkst'!$L$7:$L$2010,"10",'LAC 102_Wkst'!$N$7:$N$2010,"P2")+SUMIFS('LAC 102_Wkst'!$Q$7:$Q$2010,'LAC 102_Wkst'!$D$7:$D$2010,$C$7,'LAC 102_Wkst'!$I$7:$I$2010,$C$9,'LAC 102_Wkst'!$E$7:$E$2010,$C73,'LAC 102_Wkst'!$G$7:$G$2010,$D73,'LAC 102_Wkst'!$L$7:$L$2010,"10",'LAC 102_Wkst'!$N$7:$N$2010,"P3")+SUMIFS('LAC 102_Wkst'!$Q$7:$Q$2010,'LAC 102_Wkst'!$D$7:$D$2010,$C$7,'LAC 102_Wkst'!$I$7:$I$2010,$C$9,'LAC 102_Wkst'!$E$7:$E$2010,$C73,'LAC 102_Wkst'!$G$7:$G$2010,$D73,'LAC 102_Wkst'!$L$7:$L$2010,"10",'LAC 102_Wkst'!$N$7:$N$2010,"P4")</f>
        <v>0</v>
      </c>
      <c r="AQ73" s="411">
        <f>SUMIFS('LAC 102_Wkst'!$AF$7:$AF$2010,'LAC 102_Wkst'!$D$7:$D$2010,$C$7,'LAC 102_Wkst'!$I$7:$I$2010,$C$9,'LAC 102_Wkst'!$E$7:$E$2010,$C73,'LAC 102_Wkst'!$G$7:$G$2010,$D73,'LAC 102_Wkst'!$L$7:$L$2010,"10",'LAC 102_Wkst'!$N$7:$N$2010,"P1")+SUMIFS('LAC 102_Wkst'!$AF$7:$AF$2010,'LAC 102_Wkst'!$D$7:$D$2010,$C$7,'LAC 102_Wkst'!$I$7:$I$2010,$C$9,'LAC 102_Wkst'!$E$7:$E$2010,$C73,'LAC 102_Wkst'!$G$7:$G$2010,$D73,'LAC 102_Wkst'!$L$7:$L$2010,"10",'LAC 102_Wkst'!$N$7:$N$2010,"P2")+SUMIFS('LAC 102_Wkst'!$AF$7:$AF$2010,'LAC 102_Wkst'!$D$7:$D$2010,$C$7,'LAC 102_Wkst'!$I$7:$I$2010,$C$9,'LAC 102_Wkst'!$E$7:$E$2010,$C73,'LAC 102_Wkst'!$G$7:$G$2010,$D73,'LAC 102_Wkst'!$L$7:$L$2010,"10",'LAC 102_Wkst'!$N$7:$N$2010,"P3")+SUMIFS('LAC 102_Wkst'!$AF$7:$AF$2010,'LAC 102_Wkst'!$D$7:$D$2010,$C$7,'LAC 102_Wkst'!$I$7:$I$2010,$C$9,'LAC 102_Wkst'!$E$7:$E$2010,$C73,'LAC 102_Wkst'!$G$7:$G$2010,$D73,'LAC 102_Wkst'!$L$7:$L$2010,"10",'LAC 102_Wkst'!$N$7:$N$2010,"P4")</f>
        <v>0</v>
      </c>
      <c r="AR73" s="410">
        <f>SUMIFS('LAC 102_Wkst'!$Q$7:$Q$2010,'LAC 102_Wkst'!$D$7:$D$2010,$C$7,'LAC 102_Wkst'!$I$7:$I$2010,$C$9,'LAC 102_Wkst'!$E$7:$E$2010,$C73,'LAC 102_Wkst'!$G$7:$G$2010,$D73,'LAC 102_Wkst'!$L$7:$L$2010,"10",'LAC 102_Wkst'!$N$7:$N$2010,"P5")</f>
        <v>0</v>
      </c>
      <c r="AS73" s="411">
        <f>SUMIFS('LAC 102_Wkst'!$AF$7:$AF$2010,'LAC 102_Wkst'!$D$7:$D$2010,$C$7,'LAC 102_Wkst'!$I$7:$I$2010,$C$9,'LAC 102_Wkst'!$E$7:$E$2010,$C73,'LAC 102_Wkst'!$G$7:$G$2010,$D73,'LAC 102_Wkst'!$L$7:$L$2010,"10",'LAC 102_Wkst'!$N$7:$N$2010,"P5")</f>
        <v>0</v>
      </c>
      <c r="AT73" s="410">
        <f>SUMIFS('LAC 102_Wkst'!$Q$7:$Q$2010,'LAC 102_Wkst'!$D$7:$D$2010,$C$7,'LAC 102_Wkst'!$I$7:$I$2010,$C$9,'LAC 102_Wkst'!$E$7:$E$2010,$C73,'LAC 102_Wkst'!$G$7:$G$2010,$D73,'LAC 102_Wkst'!$L$7:$L$2010,"11",'LAC 102_Wkst'!$N$7:$N$2010,"P1")+SUMIFS('LAC 102_Wkst'!$Q$7:$Q$2010,'LAC 102_Wkst'!$D$7:$D$2010,$C$7,'LAC 102_Wkst'!$I$7:$I$2010,$C$9,'LAC 102_Wkst'!$E$7:$E$2010,$C73,'LAC 102_Wkst'!$G$7:$G$2010,$D73,'LAC 102_Wkst'!$L$7:$L$2010,"12",'LAC 102_Wkst'!$N$7:$N$2010,"P1")</f>
        <v>0</v>
      </c>
      <c r="AU73" s="411">
        <f>SUMIFS('LAC 102_Wkst'!$Q$7:$Q$2010,'LAC 102_Wkst'!$D$7:$D$2010,$C$7,'LAC 102_Wkst'!$I$7:$I$2010,$C$9,'LAC 102_Wkst'!$E$7:$E$2010,$C73,'LAC 102_Wkst'!$G$7:$G$2010,$D73,'LAC 102_Wkst'!$L$7:$L$2010,"13",'LAC 102_Wkst'!$N$7:$N$2010,"P5")</f>
        <v>0</v>
      </c>
      <c r="AV73" s="410">
        <f>SUMIFS('LAC 102_Wkst'!$Q$7:$Q$2010,'LAC 102_Wkst'!$D$7:$D$2010,$C$7,'LAC 102_Wkst'!$I$7:$I$2010,$C$9,'LAC 102_Wkst'!$E$7:$E$2010,$C73,'LAC 102_Wkst'!$G$7:$G$2010,$D73,'LAC 102_Wkst'!$L$7:$L$2010,"11",'LAC 102_Wkst'!$N$7:$N$2010,"P2")+SUMIFS('LAC 102_Wkst'!$Q$7:$Q$2010,'LAC 102_Wkst'!$D$7:$D$2010,$C$7,'LAC 102_Wkst'!$I$7:$I$2010,$C$9,'LAC 102_Wkst'!$E$7:$E$2010,$C73,'LAC 102_Wkst'!$G$7:$G$2010,$D73,'LAC 102_Wkst'!$L$7:$L$2010,"12",'LAC 102_Wkst'!$N$7:$N$2010,"P2")+SUMIFS('LAC 102_Wkst'!$Q$7:$Q$2010,'LAC 102_Wkst'!$D$7:$D$2010,$C$7,'LAC 102_Wkst'!$I$7:$I$2010,$C$9,'LAC 102_Wkst'!$E$7:$E$2010,$C73,'LAC 102_Wkst'!$G$7:$G$2010,$D73,'LAC 102_Wkst'!$L$7:$L$2010,"11",'LAC 102_Wkst'!$N$7:$N$2010,"P3")+SUMIFS('LAC 102_Wkst'!$Q$7:$Q$2010,'LAC 102_Wkst'!$D$7:$D$2010,$C$7,'LAC 102_Wkst'!$I$7:$I$2010,$C$9,'LAC 102_Wkst'!$E$7:$E$2010,$C73,'LAC 102_Wkst'!$G$7:$G$2010,$D73,'LAC 102_Wkst'!$L$7:$L$2010,"12",'LAC 102_Wkst'!$N$7:$N$2010,"P3")</f>
        <v>0</v>
      </c>
      <c r="AW73" s="411">
        <f>SUMIFS('LAC 102_Wkst'!$AF$7:$AF$2010,'LAC 102_Wkst'!$D$7:$D$2010,$C$7,'LAC 102_Wkst'!$I$7:$I$2010,$C$9,'LAC 102_Wkst'!$E$7:$E$2010,$C73,'LAC 102_Wkst'!$G$7:$G$2010,$D73,'LAC 102_Wkst'!$L$7:$L$2010,"11",'LAC 102_Wkst'!$N$7:$N$2010,"P2")+SUMIFS('LAC 102_Wkst'!$AF$7:$AF$2010,'LAC 102_Wkst'!$D$7:$D$2010,$C$7,'LAC 102_Wkst'!$I$7:$I$2010,$C$9,'LAC 102_Wkst'!$E$7:$E$2010,$C73,'LAC 102_Wkst'!$G$7:$G$2010,$D73,'LAC 102_Wkst'!$L$7:$L$2010,"12",'LAC 102_Wkst'!$N$7:$N$2010,"P2")+SUMIFS('LAC 102_Wkst'!$AF$7:$AF$2010,'LAC 102_Wkst'!$D$7:$D$2010,$C$7,'LAC 102_Wkst'!$I$7:$I$2010,$C$9,'LAC 102_Wkst'!$E$7:$E$2010,$C73,'LAC 102_Wkst'!$G$7:$G$2010,$D73,'LAC 102_Wkst'!$L$7:$L$2010,"11",'LAC 102_Wkst'!$N$7:$N$2010,"P3")+SUMIFS('LAC 102_Wkst'!$AF$7:$AF$2010,'LAC 102_Wkst'!$D$7:$D$2010,$C$7,'LAC 102_Wkst'!$I$7:$I$2010,$C$9,'LAC 102_Wkst'!$E$7:$E$2010,$C73,'LAC 102_Wkst'!$G$7:$G$2010,$D73,'LAC 102_Wkst'!$L$7:$L$2010,"12",'LAC 102_Wkst'!$N$7:$N$2010,"P3")</f>
        <v>0</v>
      </c>
      <c r="AX73" s="410">
        <f>SUMIFS('LAC 102_Wkst'!$Q$7:$Q$2010,'LAC 102_Wkst'!$D$7:$D$2010,$C$7,'LAC 102_Wkst'!$I$7:$I$2010,$C$9,'LAC 102_Wkst'!$E$7:$E$2010,$C73,'LAC 102_Wkst'!$G$7:$G$2010,$D73,'LAC 102_Wkst'!$L$7:$L$2010,"11",'LAC 102_Wkst'!$N$7:$N$2010,"P4")+SUMIFS('LAC 102_Wkst'!$Q$7:$Q$2010,'LAC 102_Wkst'!$D$7:$D$2010,$C$7,'LAC 102_Wkst'!$I$7:$I$2010,$C$9,'LAC 102_Wkst'!$E$7:$E$2010,$C73,'LAC 102_Wkst'!$G$7:$G$2010,$D73,'LAC 102_Wkst'!$L$7:$L$2010,"12",'LAC 102_Wkst'!$N$7:$N$2010,"P4")</f>
        <v>0</v>
      </c>
      <c r="AY73" s="411">
        <f>SUMIFS('LAC 102_Wkst'!$AF$7:$AF$2010,'LAC 102_Wkst'!$D$7:$D$2010,$C$7,'LAC 102_Wkst'!$I$7:$I$2010,$C$9,'LAC 102_Wkst'!$E$7:$E$2010,$C73,'LAC 102_Wkst'!$G$7:$G$2010,$D73,'LAC 102_Wkst'!$L$7:$L$2010,"11",'LAC 102_Wkst'!$N$7:$N$2010,"P4")+SUMIFS('LAC 102_Wkst'!$AF$7:$AF$2010,'LAC 102_Wkst'!$D$7:$D$2010,$C$7,'LAC 102_Wkst'!$I$7:$I$2010,$C$9,'LAC 102_Wkst'!$E$7:$E$2010,$C73,'LAC 102_Wkst'!$G$7:$G$2010,$D73,'LAC 102_Wkst'!$L$7:$L$2010,"12",'LAC 102_Wkst'!$N$7:$N$2010,"P4")</f>
        <v>0</v>
      </c>
      <c r="AZ73" s="410">
        <f>SUMIFS('LAC 102_Wkst'!$Q$7:$Q$2010,'LAC 102_Wkst'!$D$7:$D$2010,$C$7,'LAC 102_Wkst'!$I$7:$I$2010,$C$9,'LAC 102_Wkst'!$E$7:$E$2010,$C73,'LAC 102_Wkst'!$G$7:$G$2010,$D73,'LAC 102_Wkst'!$L$7:$L$2010,"11",'LAC 102_Wkst'!$N$7:$N$2010,"P5")+SUMIFS('LAC 102_Wkst'!$Q$7:$Q$2010,'LAC 102_Wkst'!$D$7:$D$2010,$C$7,'LAC 102_Wkst'!$I$7:$I$2010,$C$9,'LAC 102_Wkst'!$E$7:$E$2010,$C73,'LAC 102_Wkst'!$G$7:$G$2010,$D73,'LAC 102_Wkst'!$L$7:$L$2010,"12",'LAC 102_Wkst'!$N$7:$N$2010,"P5")</f>
        <v>0</v>
      </c>
      <c r="BA73" s="411">
        <f>SUMIFS('LAC 102_Wkst'!$AF$7:$AF$2010,'LAC 102_Wkst'!$D$7:$D$2010,$C$7,'LAC 102_Wkst'!$I$7:$I$2010,$C$9,'LAC 102_Wkst'!$E$7:$E$2010,$C73,'LAC 102_Wkst'!$G$7:$G$2010,$D73,'LAC 102_Wkst'!$L$7:$L$2010,"11",'LAC 102_Wkst'!$N$7:$N$2010,"P5")+SUMIFS('LAC 102_Wkst'!$AF$7:$AF$2010,'LAC 102_Wkst'!$D$7:$D$2010,$C$7,'LAC 102_Wkst'!$I$7:$I$2010,$C$9,'LAC 102_Wkst'!$E$7:$E$2010,$C73,'LAC 102_Wkst'!$G$7:$G$2010,$D73,'LAC 102_Wkst'!$L$7:$L$2010,"12",'LAC 102_Wkst'!$N$7:$N$2010,"P5")</f>
        <v>0</v>
      </c>
      <c r="BB73" s="410">
        <f>SUMIFS('LAC 102_Wkst'!$Q$7:$Q$2010,'LAC 102_Wkst'!$D$7:$D$2010,$C$7,'LAC 102_Wkst'!$I$7:$I$2010,$C$9,'LAC 102_Wkst'!$E$7:$E$2010,$C73,'LAC 102_Wkst'!$G$7:$G$2010,$D73,'LAC 102_Wkst'!$L$7:$L$2010,"13",'LAC 102_Wkst'!$N$7:$N$2010,"P1")+SUMIFS('LAC 102_Wkst'!$Q$7:$Q$2010,'LAC 102_Wkst'!$D$7:$D$2010,$C$7,'LAC 102_Wkst'!$I$7:$I$2010,$C$9,'LAC 102_Wkst'!$E$7:$E$2010,$C73,'LAC 102_Wkst'!$G$7:$G$2010,$D73,'LAC 102_Wkst'!$L$7:$L$2010,"13",'LAC 102_Wkst'!$N$7:$N$2010,"P2")+SUMIFS('LAC 102_Wkst'!$Q$7:$Q$2010,'LAC 102_Wkst'!$D$7:$D$2010,$C$7,'LAC 102_Wkst'!$I$7:$I$2010,$C$9,'LAC 102_Wkst'!$E$7:$E$2010,$C73,'LAC 102_Wkst'!$G$7:$G$2010,$D73,'LAC 102_Wkst'!$L$7:$L$2010,"13",'LAC 102_Wkst'!$N$7:$N$2010,"P3")+SUMIFS('LAC 102_Wkst'!$Q$7:$Q$2010,'LAC 102_Wkst'!$D$7:$D$2010,$C$7,'LAC 102_Wkst'!$I$7:$I$2010,$C$9,'LAC 102_Wkst'!$E$7:$E$2010,$C73,'LAC 102_Wkst'!$G$7:$G$2010,$D73,'LAC 102_Wkst'!$L$7:$L$2010,"13",'LAC 102_Wkst'!$N$7:$N$2010,"P4")</f>
        <v>0</v>
      </c>
      <c r="BC73" s="411">
        <f>SUMIFS('LAC 102_Wkst'!$AF$7:$AF$2010,'LAC 102_Wkst'!$D$7:$D$2010,$C$7,'LAC 102_Wkst'!$I$7:$I$2010,$C$9,'LAC 102_Wkst'!$E$7:$E$2010,$C73,'LAC 102_Wkst'!$G$7:$G$2010,$D73,'LAC 102_Wkst'!$L$7:$L$2010,"13",'LAC 102_Wkst'!$N$7:$N$2010,"P1")+SUMIFS('LAC 102_Wkst'!$AF$7:$AF$2010,'LAC 102_Wkst'!$D$7:$D$2010,$C$7,'LAC 102_Wkst'!$I$7:$I$2010,$C$9,'LAC 102_Wkst'!$E$7:$E$2010,$C73,'LAC 102_Wkst'!$G$7:$G$2010,$D73,'LAC 102_Wkst'!$L$7:$L$2010,"13",'LAC 102_Wkst'!$N$7:$N$2010,"P2")+SUMIFS('LAC 102_Wkst'!$AF$7:$AF$2010,'LAC 102_Wkst'!$D$7:$D$2010,$C$7,'LAC 102_Wkst'!$I$7:$I$2010,$C$9,'LAC 102_Wkst'!$E$7:$E$2010,$C73,'LAC 102_Wkst'!$G$7:$G$2010,$D73,'LAC 102_Wkst'!$L$7:$L$2010,"13",'LAC 102_Wkst'!$N$7:$N$2010,"P3")+SUMIFS('LAC 102_Wkst'!$AF$7:$AF$2010,'LAC 102_Wkst'!$D$7:$D$2010,$C$7,'LAC 102_Wkst'!$I$7:$I$2010,$C$9,'LAC 102_Wkst'!$E$7:$E$2010,$C73,'LAC 102_Wkst'!$G$7:$G$2010,$D73,'LAC 102_Wkst'!$L$7:$L$2010,"13",'LAC 102_Wkst'!$N$7:$N$2010,"P4")</f>
        <v>0</v>
      </c>
      <c r="BD73" s="410">
        <f>SUMIFS('LAC 102_Wkst'!$Q$7:$Q$2010,'LAC 102_Wkst'!$D$7:$D$2010,$C$7,'LAC 102_Wkst'!$I$7:$I$2010,$C$9,'LAC 102_Wkst'!$E$7:$E$2010,$C73,'LAC 102_Wkst'!$G$7:$G$2010,$D73,'LAC 102_Wkst'!$L$7:$L$2010,"13",'LAC 102_Wkst'!$N$7:$N$2010,"P5")</f>
        <v>0</v>
      </c>
      <c r="BE73" s="411">
        <f>SUMIFS('LAC 102_Wkst'!$AF$7:$AF$2010,'LAC 102_Wkst'!$D$7:$D$2010,$C$7,'LAC 102_Wkst'!$I$7:$I$2010,$C$9,'LAC 102_Wkst'!$E$7:$E$2010,$C73,'LAC 102_Wkst'!$G$7:$G$2010,$D73,'LAC 102_Wkst'!$L$7:$L$2010,"13",'LAC 102_Wkst'!$N$7:$N$2010,"P5")</f>
        <v>0</v>
      </c>
      <c r="BF73" s="407">
        <f t="shared" si="4"/>
        <v>0</v>
      </c>
      <c r="BG73" s="1654">
        <f>SUMIFS('LAC 102_Wkst'!$AF$7:$AF$2010,'LAC 102_Wkst'!$D$7:$D$2010,$C$7,'LAC 102_Wkst'!$I$7:$I$2010,$C$9,'LAC 102_Wkst'!$E$7:$E$2010,$C73,'LAC 102_Wkst'!$G$7:$G$2010,$D73,'LAC 102_Wkst'!$L$7:$L$2010,"14")</f>
        <v>0</v>
      </c>
    </row>
    <row r="74" spans="1:59" x14ac:dyDescent="0.2">
      <c r="A74" s="401">
        <v>52</v>
      </c>
      <c r="B74" s="1678" t="str">
        <f>IF(Schedule_B!B$71="","",Schedule_B!B$71)</f>
        <v/>
      </c>
      <c r="C74" s="1674" t="str">
        <f>IF(Schedule_B!C$71=""," ",Schedule_B!C$71)</f>
        <v xml:space="preserve"> </v>
      </c>
      <c r="D74" s="1675" t="str">
        <f>IF(Schedule_B!D$71=""," ",Schedule_B!D$71)</f>
        <v xml:space="preserve"> </v>
      </c>
      <c r="E74" s="1221">
        <f>SUMIFS('LAC 102_Wkst'!$Q$7:$Q$2010,'LAC 102_Wkst'!$D$7:$D$2010,$C$7,'LAC 102_Wkst'!$I$7:$I$2010,$C$9,'LAC 102_Wkst'!$E$7:$E$2010,$C74,'LAC 102_Wkst'!$G$7:$G$2010,$D74)</f>
        <v>0</v>
      </c>
      <c r="F74" s="408">
        <f>SUMIFS('LAC 102_Wkst'!$Q$7:$Q$2010,'LAC 102_Wkst'!$D$7:$D$2010,$C$7,'LAC 102_Wkst'!$I$7:$I$2010,$C$9,'LAC 102_Wkst'!$E$7:$E$2010,$C74,'LAC 102_Wkst'!$G$7:$G$2010,$D74,'LAC 102_Wkst'!$L$7:$L$2010,"01",'LAC 102_Wkst'!$N$7:$N$2010,"P1")+SUMIFS('LAC 102_Wkst'!$Q$7:$Q$2010,'LAC 102_Wkst'!$D$7:$D$2010,$C$7,'LAC 102_Wkst'!$I$7:$I$2010,$C$9,'LAC 102_Wkst'!$E$7:$E$2010,$C74,'LAC 102_Wkst'!$G$7:$G$2010,$D74,'LAC 102_Wkst'!$L$7:$L$2010,"01",'LAC 102_Wkst'!$N$7:$N$2010,"P2")+SUMIFS('LAC 102_Wkst'!$Q$7:$Q$2010,'LAC 102_Wkst'!$D$7:$D$2010,$C$7,'LAC 102_Wkst'!$I$7:$I$2010,$C$9,'LAC 102_Wkst'!$E$7:$E$2010,$C74,'LAC 102_Wkst'!$G$7:$G$2010,$D74,'LAC 102_Wkst'!$L$7:$L$2010,"01",'LAC 102_Wkst'!$N$7:$N$2010,"P3")+SUMIFS('LAC 102_Wkst'!$Q$7:$Q$2010,'LAC 102_Wkst'!$D$7:$D$2010,$C$7,'LAC 102_Wkst'!$I$7:$I$2010,$C$9,'LAC 102_Wkst'!$E$7:$E$2010,$C74,'LAC 102_Wkst'!$G$7:$G$2010,$D74,'LAC 102_Wkst'!$L$7:$L$2010,"02",'LAC 102_Wkst'!$N$7:$N$2010,"P1")+SUMIFS('LAC 102_Wkst'!$Q$7:$Q$2010,'LAC 102_Wkst'!$D$7:$D$2010,$C$7,'LAC 102_Wkst'!$I$7:$I$2010,$C$9,'LAC 102_Wkst'!$E$7:$E$2010,$C74,'LAC 102_Wkst'!$G$7:$G$2010,$D74,'LAC 102_Wkst'!$L$7:$L$2010,"02",'LAC 102_Wkst'!$N$7:$N$2010,"P2")+SUMIFS('LAC 102_Wkst'!$Q$7:$Q$2010,'LAC 102_Wkst'!$D$7:$D$2010,$C$7,'LAC 102_Wkst'!$I$7:$I$2010,$C$9,'LAC 102_Wkst'!$E$7:$E$2010,$C74,'LAC 102_Wkst'!$G$7:$G$2010,$D74,'LAC 102_Wkst'!$L$7:$L$2010,"02",'LAC 102_Wkst'!$N$7:$N$2010,"P3")</f>
        <v>0</v>
      </c>
      <c r="G74" s="409">
        <f>SUMIFS('LAC 102_Wkst'!$AF$7:$AF$2010,'LAC 102_Wkst'!$D$7:$D$2010,$C$7,'LAC 102_Wkst'!$I$7:$I$2010,$C$9,'LAC 102_Wkst'!$E$7:$E$2010,$C74,'LAC 102_Wkst'!$G$7:$G$2010,$D74,'LAC 102_Wkst'!$L$7:$L$2010,"01",'LAC 102_Wkst'!$N$7:$N$2010,"P1")+SUMIFS('LAC 102_Wkst'!$AF$7:$AF$2010,'LAC 102_Wkst'!$D$7:$D$2010,$C$7,'LAC 102_Wkst'!$I$7:$I$2010,$C$9,'LAC 102_Wkst'!$E$7:$E$2010,$C74,'LAC 102_Wkst'!$G$7:$G$2010,$D74,'LAC 102_Wkst'!$L$7:$L$2010,"01",'LAC 102_Wkst'!$N$7:$N$2010,"P2")+SUMIFS('LAC 102_Wkst'!$AF$7:$AF$2010,'LAC 102_Wkst'!$D$7:$D$2010,$C$7,'LAC 102_Wkst'!$I$7:$I$2010,$C$9,'LAC 102_Wkst'!$E$7:$E$2010,$C74,'LAC 102_Wkst'!$G$7:$G$2010,$D74,'LAC 102_Wkst'!$L$7:$L$2010,"01",'LAC 102_Wkst'!$N$7:$N$2010,"P3")+SUMIFS('LAC 102_Wkst'!$AF$7:$AF$2010,'LAC 102_Wkst'!$D$7:$D$2010,$C$7,'LAC 102_Wkst'!$I$7:$I$2010,$C$9,'LAC 102_Wkst'!$E$7:$E$2010,$C74,'LAC 102_Wkst'!$G$7:$G$2010,$D74,'LAC 102_Wkst'!$L$7:$L$2010,"02",'LAC 102_Wkst'!$N$7:$N$2010,"P1")+SUMIFS('LAC 102_Wkst'!$AF$7:$AF$2010,'LAC 102_Wkst'!$D$7:$D$2010,$C$7,'LAC 102_Wkst'!$I$7:$I$2010,$C$9,'LAC 102_Wkst'!$E$7:$E$2010,$C74,'LAC 102_Wkst'!$G$7:$G$2010,$D74,'LAC 102_Wkst'!$L$7:$L$2010,"02",'LAC 102_Wkst'!$N$7:$N$2010,"P2")+SUMIFS('LAC 102_Wkst'!$AF$7:$AF$2010,'LAC 102_Wkst'!$D$7:$D$2010,$C$7,'LAC 102_Wkst'!$I$7:$I$2010,$C$9,'LAC 102_Wkst'!$E$7:$E$2010,$C74,'LAC 102_Wkst'!$G$7:$G$2010,$D74,'LAC 102_Wkst'!$L$7:$L$2010,"02",'LAC 102_Wkst'!$N$7:$N$2010,"P3")</f>
        <v>0</v>
      </c>
      <c r="H74" s="410">
        <f>SUMIFS('LAC 102_Wkst'!$Q$7:$Q$2010,'LAC 102_Wkst'!$D$7:$D$2010,$C$7,'LAC 102_Wkst'!$I$7:$I$2010,$C$9,'LAC 102_Wkst'!$E$7:$E$2010,$C74,'LAC 102_Wkst'!$G$7:$G$2010,$D74,'LAC 102_Wkst'!$L$7:$L$2010,"01",'LAC 102_Wkst'!$N$7:$N$2010,"P4")+SUMIFS('LAC 102_Wkst'!$Q$7:$Q$2010,'LAC 102_Wkst'!$D$7:$D$2010,$C$7,'LAC 102_Wkst'!$I$7:$I$2010,$C$9,'LAC 102_Wkst'!$E$7:$E$2010,$C74,'LAC 102_Wkst'!$G$7:$G$2010,$D74,'LAC 102_Wkst'!$L$7:$L$2010,"02",'LAC 102_Wkst'!$N$7:$N$2010,"P4")</f>
        <v>0</v>
      </c>
      <c r="I74" s="411">
        <f>SUMIFS('LAC 102_Wkst'!$AF$7:$AF$2010,'LAC 102_Wkst'!$D$7:$D$2010,$C$7,'LAC 102_Wkst'!$I$7:$I$2010,$C$9,'LAC 102_Wkst'!$E$7:$E$2010,$C74,'LAC 102_Wkst'!$G$7:$G$2010,$D74,'LAC 102_Wkst'!$L$7:$L$2010,"01",'LAC 102_Wkst'!$N$7:$N$2010,"P4")+SUMIFS('LAC 102_Wkst'!$AF$7:$AF$2010,'LAC 102_Wkst'!$D$7:$D$2010,$C$7,'LAC 102_Wkst'!$I$7:$I$2010,$C$9,'LAC 102_Wkst'!$E$7:$E$2010,$C74,'LAC 102_Wkst'!$G$7:$G$2010,$D74,'LAC 102_Wkst'!$L$7:$L$2010,"02",'LAC 102_Wkst'!$N$7:$N$2010,"P4")</f>
        <v>0</v>
      </c>
      <c r="J74" s="410">
        <f>SUMIFS('LAC 102_Wkst'!$Q$7:$Q$2010,'LAC 102_Wkst'!$D$7:$D$2010,$C$7,'LAC 102_Wkst'!$I$7:$I$2010,$C$9,'LAC 102_Wkst'!$E$7:$E$2010,$C74,'LAC 102_Wkst'!$G$7:$G$2010,$D74,'LAC 102_Wkst'!$L$7:$L$2010,"01",'LAC 102_Wkst'!$N$7:$N$2010,"P5")+SUMIFS('LAC 102_Wkst'!$Q$7:$Q$2010,'LAC 102_Wkst'!$D$7:$D$2010,$C$7,'LAC 102_Wkst'!$I$7:$I$2010,$C$9,'LAC 102_Wkst'!$E$7:$E$2010,$C74,'LAC 102_Wkst'!$G$7:$G$2010,$D74,'LAC 102_Wkst'!$L$7:$L$2010,"02",'LAC 102_Wkst'!$N$7:$N$2010,"P5")</f>
        <v>0</v>
      </c>
      <c r="K74" s="411">
        <f>SUMIFS('LAC 102_Wkst'!$AF$7:$AF$2010,'LAC 102_Wkst'!$D$7:$D$2010,$C$7,'LAC 102_Wkst'!$I$7:$I$2010,$C$9,'LAC 102_Wkst'!$E$7:$E$2010,$C74,'LAC 102_Wkst'!$G$7:$G$2010,$D74,'LAC 102_Wkst'!$L$7:$L$2010,"01",'LAC 102_Wkst'!$N$7:$N$2010,"P5")+SUMIFS('LAC 102_Wkst'!$AF$7:$AF$2010,'LAC 102_Wkst'!$D$7:$D$2010,$C$7,'LAC 102_Wkst'!$I$7:$I$2010,$C$9,'LAC 102_Wkst'!$E$7:$E$2010,$C74,'LAC 102_Wkst'!$G$7:$G$2010,$D74,'LAC 102_Wkst'!$L$7:$L$2010,"02",'LAC 102_Wkst'!$N$7:$N$2010,"P5")</f>
        <v>0</v>
      </c>
      <c r="L74" s="410">
        <f>SUMIFS('LAC 102_Wkst'!$Q$7:$Q$2010,'LAC 102_Wkst'!$D$7:$D$2010,$C$7,'LAC 102_Wkst'!$I$7:$I$2010,$C$9,'LAC 102_Wkst'!$E$7:$E$2010,$C74,'LAC 102_Wkst'!$G$7:$G$2010,$D74,'LAC 102_Wkst'!$L$7:$L$2010,"03",'LAC 102_Wkst'!$N$7:$N$2010,"P1")+SUMIFS('LAC 102_Wkst'!$Q$7:$Q$2010,'LAC 102_Wkst'!$D$7:$D$2010,$C$7,'LAC 102_Wkst'!$I$7:$I$2010,$C$9,'LAC 102_Wkst'!$E$7:$E$2010,$C74,'LAC 102_Wkst'!$G$7:$G$2010,$D74,'LAC 102_Wkst'!$L$7:$L$2010,"03",'LAC 102_Wkst'!$N$7:$N$2010,"P2")+SUMIFS('LAC 102_Wkst'!$Q$7:$Q$2010,'LAC 102_Wkst'!$D$7:$D$2010,$C$7,'LAC 102_Wkst'!$I$7:$I$2010,$C$9,'LAC 102_Wkst'!$E$7:$E$2010,$C74,'LAC 102_Wkst'!$G$7:$G$2010,$D74,'LAC 102_Wkst'!$L$7:$L$2010,"03",'LAC 102_Wkst'!$N$7:$N$2010,"P3")+SUMIFS('LAC 102_Wkst'!$Q$7:$Q$2010,'LAC 102_Wkst'!$D$7:$D$2010,$C$7,'LAC 102_Wkst'!$I$7:$I$2010,$C$9,'LAC 102_Wkst'!$E$7:$E$2010,$C74,'LAC 102_Wkst'!$G$7:$G$2010,$D74,'LAC 102_Wkst'!$L$7:$L$2010,"04",'LAC 102_Wkst'!$N$7:$N$2010,"P1")+SUMIFS('LAC 102_Wkst'!$Q$7:$Q$2010,'LAC 102_Wkst'!$D$7:$D$2010,$C$7,'LAC 102_Wkst'!$I$7:$I$2010,$C$9,'LAC 102_Wkst'!$E$7:$E$2010,$C74,'LAC 102_Wkst'!$G$7:$G$2010,$D74,'LAC 102_Wkst'!$L$7:$L$2010,"04",'LAC 102_Wkst'!$N$7:$N$2010,"P2")+SUMIFS('LAC 102_Wkst'!$Q$7:$Q$2010,'LAC 102_Wkst'!$D$7:$D$2010,$C$7,'LAC 102_Wkst'!$I$7:$I$2010,$C$9,'LAC 102_Wkst'!$E$7:$E$2010,$C74,'LAC 102_Wkst'!$G$7:$G$2010,$D74,'LAC 102_Wkst'!$L$7:$L$2010,"04",'LAC 102_Wkst'!$N$7:$N$2010,"P3")</f>
        <v>0</v>
      </c>
      <c r="M74" s="411">
        <f>SUMIFS('LAC 102_Wkst'!$AF$7:$AF$2010,'LAC 102_Wkst'!$D$7:$D$2010,$C$7,'LAC 102_Wkst'!$I$7:$I$2010,$C$9,'LAC 102_Wkst'!$E$7:$E$2010,$C74,'LAC 102_Wkst'!$G$7:$G$2010,$D74,'LAC 102_Wkst'!$L$7:$L$2010,"03",'LAC 102_Wkst'!$N$7:$N$2010,"P1")+SUMIFS('LAC 102_Wkst'!$AF$7:$AF$2010,'LAC 102_Wkst'!$D$7:$D$2010,$C$7,'LAC 102_Wkst'!$I$7:$I$2010,$C$9,'LAC 102_Wkst'!$E$7:$E$2010,$C74,'LAC 102_Wkst'!$G$7:$G$2010,$D74,'LAC 102_Wkst'!$L$7:$L$2010,"03",'LAC 102_Wkst'!$N$7:$N$2010,"P2")+SUMIFS('LAC 102_Wkst'!$AF$7:$AF$2010,'LAC 102_Wkst'!$D$7:$D$2010,$C$7,'LAC 102_Wkst'!$I$7:$I$2010,$C$9,'LAC 102_Wkst'!$E$7:$E$2010,$C74,'LAC 102_Wkst'!$G$7:$G$2010,$D74,'LAC 102_Wkst'!$L$7:$L$2010,"03",'LAC 102_Wkst'!$N$7:$N$2010,"P3")+SUMIFS('LAC 102_Wkst'!$AF$7:$AF$2010,'LAC 102_Wkst'!$D$7:$D$2010,$C$7,'LAC 102_Wkst'!$I$7:$I$2010,$C$9,'LAC 102_Wkst'!$E$7:$E$2010,$C74,'LAC 102_Wkst'!$G$7:$G$2010,$D74,'LAC 102_Wkst'!$L$7:$L$2010,"04",'LAC 102_Wkst'!$N$7:$N$2010,"P1")+SUMIFS('LAC 102_Wkst'!$AF$7:$AF$2010,'LAC 102_Wkst'!$D$7:$D$2010,$C$7,'LAC 102_Wkst'!$I$7:$I$2010,$C$9,'LAC 102_Wkst'!$E$7:$E$2010,$C74,'LAC 102_Wkst'!$G$7:$G$2010,$D74,'LAC 102_Wkst'!$L$7:$L$2010,"04",'LAC 102_Wkst'!$N$7:$N$2010,"P2")+SUMIFS('LAC 102_Wkst'!$AF$7:$AF$2010,'LAC 102_Wkst'!$D$7:$D$2010,$C$7,'LAC 102_Wkst'!$I$7:$I$2010,$C$9,'LAC 102_Wkst'!$E$7:$E$2010,$C74,'LAC 102_Wkst'!$G$7:$G$2010,$D74,'LAC 102_Wkst'!$L$7:$L$2010,"04",'LAC 102_Wkst'!$N$7:$N$2010,"P3")</f>
        <v>0</v>
      </c>
      <c r="N74" s="410">
        <f>SUMIFS('LAC 102_Wkst'!$Q$7:$Q$2010,'LAC 102_Wkst'!$D$7:$D$2010,$C$7,'LAC 102_Wkst'!$I$7:$I$2010,$C$9,'LAC 102_Wkst'!$E$7:$E$2010,$C74,'LAC 102_Wkst'!$G$7:$G$2010,$D74,'LAC 102_Wkst'!$L$7:$L$2010,"03",'LAC 102_Wkst'!$N$7:$N$2010,"P4")+SUMIFS('LAC 102_Wkst'!$Q$7:$Q$2010,'LAC 102_Wkst'!$D$7:$D$2010,$C$7,'LAC 102_Wkst'!$I$7:$I$2010,$C$9,'LAC 102_Wkst'!$E$7:$E$2010,$C74,'LAC 102_Wkst'!$G$7:$G$2010,$D74,'LAC 102_Wkst'!$L$7:$L$2010,"04",'LAC 102_Wkst'!$N$7:$N$2010,"P4")</f>
        <v>0</v>
      </c>
      <c r="O74" s="411">
        <f>SUMIFS('LAC 102_Wkst'!$AF$7:$AF$2010,'LAC 102_Wkst'!$D$7:$D$2010,$C$7,'LAC 102_Wkst'!$I$7:$I$2010,$C$9,'LAC 102_Wkst'!$E$7:$E$2010,$C74,'LAC 102_Wkst'!$G$7:$G$2010,$D74,'LAC 102_Wkst'!$L$7:$L$2010,"03",'LAC 102_Wkst'!$N$7:$N$2010,"P4")+SUMIFS('LAC 102_Wkst'!$AF$7:$AF$2010,'LAC 102_Wkst'!$D$7:$D$2010,$C$7,'LAC 102_Wkst'!$I$7:$I$2010,$C$9,'LAC 102_Wkst'!$E$7:$E$2010,$C74,'LAC 102_Wkst'!$G$7:$G$2010,$D74,'LAC 102_Wkst'!$L$7:$L$2010,"04",'LAC 102_Wkst'!$N$7:$N$2010,"P4")</f>
        <v>0</v>
      </c>
      <c r="P74" s="410">
        <f>SUMIFS('LAC 102_Wkst'!$Q$7:$Q$2010,'LAC 102_Wkst'!$D$7:$D$2010,$C$7,'LAC 102_Wkst'!$I$7:$I$2010,$C$9,'LAC 102_Wkst'!$E$7:$E$2010,$C74,'LAC 102_Wkst'!$G$7:$G$2010,$D74,'LAC 102_Wkst'!$L$7:$L$2010,"03",'LAC 102_Wkst'!$N$7:$N$2010,"P5")+SUMIFS('LAC 102_Wkst'!$Q$7:$Q$2010,'LAC 102_Wkst'!$D$7:$D$2010,$C$7,'LAC 102_Wkst'!$I$7:$I$2010,$C$9,'LAC 102_Wkst'!$E$7:$E$2010,$C74,'LAC 102_Wkst'!$G$7:$G$2010,$D74,'LAC 102_Wkst'!$L$7:$L$2010,"04",'LAC 102_Wkst'!$N$7:$N$2010,"P5")</f>
        <v>0</v>
      </c>
      <c r="Q74" s="411">
        <f>SUMIFS('LAC 102_Wkst'!$AF$7:$AF$2010,'LAC 102_Wkst'!$D$7:$D$2010,$C$7,'LAC 102_Wkst'!$I$7:$I$2010,$C$9,'LAC 102_Wkst'!$E$7:$E$2010,$C74,'LAC 102_Wkst'!$G$7:$G$2010,$D74,'LAC 102_Wkst'!$L$7:$L$2010,"03",'LAC 102_Wkst'!$N$7:$N$2010,"P5")+SUMIFS('LAC 102_Wkst'!$AF$7:$AF$2010,'LAC 102_Wkst'!$D$7:$D$2010,$C$7,'LAC 102_Wkst'!$I$7:$I$2010,$C$9,'LAC 102_Wkst'!$E$7:$E$2010,$C74,'LAC 102_Wkst'!$G$7:$G$2010,$D74,'LAC 102_Wkst'!$L$7:$L$2010,"04",'LAC 102_Wkst'!$N$7:$N$2010,"P5")</f>
        <v>0</v>
      </c>
      <c r="R74" s="412">
        <f>SUMIFS('LAC 102_Wkst'!$Q$7:$Q$2010,'LAC 102_Wkst'!$D$7:$D$2010,$C$7,'LAC 102_Wkst'!$I$7:$I$2010,$C$9,'LAC 102_Wkst'!$E$7:$E$2010,$C74,'LAC 102_Wkst'!$G$7:$G$2010,$D74,'LAC 102_Wkst'!$L$7:$L$2010,"05",'LAC 102_Wkst'!$N$7:$N$2010,"P1")+SUMIFS('LAC 102_Wkst'!$Q$7:$Q$2010,'LAC 102_Wkst'!$D$7:$D$2010,$C$7,'LAC 102_Wkst'!$I$7:$I$2010,$C$9,'LAC 102_Wkst'!$E$7:$E$2010,$C74,'LAC 102_Wkst'!$G$7:$G$2010,$D74,'LAC 102_Wkst'!$L$7:$L$2010,"06",'LAC 102_Wkst'!$N$7:$N$2010,"P1")</f>
        <v>0</v>
      </c>
      <c r="S74" s="411">
        <f>SUMIFS('LAC 102_Wkst'!$AF$7:$AF$2010,'LAC 102_Wkst'!$D$7:$D$2010,$C$7,'LAC 102_Wkst'!$I$7:$I$2010,$C$9,'LAC 102_Wkst'!$E$7:$E$2010,$C74,'LAC 102_Wkst'!$G$7:$G$2010,$D74,'LAC 102_Wkst'!$L$7:$L$2010,"05",'LAC 102_Wkst'!$N$7:$N$2010,"P1")+SUMIFS('LAC 102_Wkst'!$AF$7:$AF$2010,'LAC 102_Wkst'!$D$7:$D$2010,$C$7,'LAC 102_Wkst'!$I$7:$I$2010,$C$9,'LAC 102_Wkst'!$E$7:$E$2010,$C74,'LAC 102_Wkst'!$G$7:$G$2010,$D74,'LAC 102_Wkst'!$L$7:$L$2010,"06",'LAC 102_Wkst'!$N$7:$N$2010,"P1")</f>
        <v>0</v>
      </c>
      <c r="T74" s="410">
        <f>SUMIFS('LAC 102_Wkst'!$Q$7:$Q$2010,'LAC 102_Wkst'!$D$7:$D$2010,$C$7,'LAC 102_Wkst'!$I$7:$I$2010,$C$9,'LAC 102_Wkst'!$E$7:$E$2010,$C74,'LAC 102_Wkst'!$G$7:$G$2010,$D74,'LAC 102_Wkst'!$L$7:$L$2010,"05",'LAC 102_Wkst'!$N$7:$N$2010,"P2")+SUMIFS('LAC 102_Wkst'!$Q$7:$Q$2010,'LAC 102_Wkst'!$D$7:$D$2010,$C$7,'LAC 102_Wkst'!$I$7:$I$2010,$C$9,'LAC 102_Wkst'!$E$7:$E$2010,$C74,'LAC 102_Wkst'!$G$7:$G$2010,$D74,'LAC 102_Wkst'!$L$7:$L$2010,"06",'LAC 102_Wkst'!$N$7:$N$2010,"P2")+SUMIFS('LAC 102_Wkst'!$Q$7:$Q$2010,'LAC 102_Wkst'!$D$7:$D$2010,$C$7,'LAC 102_Wkst'!$I$7:$I$2010,$C$9,'LAC 102_Wkst'!$E$7:$E$2010,$C74,'LAC 102_Wkst'!$G$7:$G$2010,$D74,'LAC 102_Wkst'!$L$7:$L$2010,"05",'LAC 102_Wkst'!$N$7:$N$2010,"P3")+SUMIFS('LAC 102_Wkst'!$Q$7:$Q$2010,'LAC 102_Wkst'!$D$7:$D$2010,$C$7,'LAC 102_Wkst'!$I$7:$I$2010,$C$9,'LAC 102_Wkst'!$E$7:$E$2010,$C74,'LAC 102_Wkst'!$G$7:$G$2010,$D74,'LAC 102_Wkst'!$L$7:$L$2010,"06",'LAC 102_Wkst'!$N$7:$N$2010,"P3")</f>
        <v>0</v>
      </c>
      <c r="U74" s="411">
        <f>SUMIFS('LAC 102_Wkst'!$AF$7:$AF$2010,'LAC 102_Wkst'!$D$7:$D$2010,$C$7,'LAC 102_Wkst'!$I$7:$I$2010,$C$9,'LAC 102_Wkst'!$E$7:$E$2010,$C74,'LAC 102_Wkst'!$G$7:$G$2010,$D74,'LAC 102_Wkst'!$L$7:$L$2010,"05",'LAC 102_Wkst'!$N$7:$N$2010,"P2")+SUMIFS('LAC 102_Wkst'!$AF$7:$AF$2010,'LAC 102_Wkst'!$D$7:$D$2010,$C$7,'LAC 102_Wkst'!$I$7:$I$2010,$C$9,'LAC 102_Wkst'!$E$7:$E$2010,$C74,'LAC 102_Wkst'!$G$7:$G$2010,$D74,'LAC 102_Wkst'!$L$7:$L$2010,"06",'LAC 102_Wkst'!$N$7:$N$2010,"P2")+SUMIFS('LAC 102_Wkst'!$AF$7:$AF$2010,'LAC 102_Wkst'!$D$7:$D$2010,$C$7,'LAC 102_Wkst'!$I$7:$I$2010,$C$9,'LAC 102_Wkst'!$E$7:$E$2010,$C74,'LAC 102_Wkst'!$G$7:$G$2010,$D74,'LAC 102_Wkst'!$L$7:$L$2010,"05",'LAC 102_Wkst'!$N$7:$N$2010,"P3")+SUMIFS('LAC 102_Wkst'!$AF$7:$AF$2010,'LAC 102_Wkst'!$D$7:$D$2010,$C$7,'LAC 102_Wkst'!$I$7:$I$2010,$C$9,'LAC 102_Wkst'!$E$7:$E$2010,$C74,'LAC 102_Wkst'!$G$7:$G$2010,$D74,'LAC 102_Wkst'!$L$7:$L$2010,"06",'LAC 102_Wkst'!$N$7:$N$2010,"P3")</f>
        <v>0</v>
      </c>
      <c r="V74" s="410">
        <f>SUMIFS('LAC 102_Wkst'!$Q$7:$Q$2010,'LAC 102_Wkst'!$D$7:$D$2010,$C$7,'LAC 102_Wkst'!$I$7:$I$2010,$C$9,'LAC 102_Wkst'!$E$7:$E$2010,$C74,'LAC 102_Wkst'!$G$7:$G$2010,$D74,'LAC 102_Wkst'!$L$7:$L$2010,"05",'LAC 102_Wkst'!$N$7:$N$2010,"P4")+SUMIFS('LAC 102_Wkst'!$Q$7:$Q$2010,'LAC 102_Wkst'!$D$7:$D$2010,$C$7,'LAC 102_Wkst'!$I$7:$I$2010,$C$9,'LAC 102_Wkst'!$E$7:$E$2010,$C74,'LAC 102_Wkst'!$G$7:$G$2010,$D74,'LAC 102_Wkst'!$L$7:$L$2010,"06",'LAC 102_Wkst'!$N$7:$N$2010,"P4")</f>
        <v>0</v>
      </c>
      <c r="W74" s="411">
        <f>SUMIFS('LAC 102_Wkst'!$AF$7:$AF$2010,'LAC 102_Wkst'!$D$7:$D$2010,$C$7,'LAC 102_Wkst'!$I$7:$I$2010,$C$9,'LAC 102_Wkst'!$E$7:$E$2010,$C74,'LAC 102_Wkst'!$G$7:$G$2010,$D74,'LAC 102_Wkst'!$L$7:$L$2010,"05",'LAC 102_Wkst'!$N$7:$N$2010,"P4")+SUMIFS('LAC 102_Wkst'!$AF$7:$AF$2010,'LAC 102_Wkst'!$D$7:$D$2010,$C$7,'LAC 102_Wkst'!$I$7:$I$2010,$C$9,'LAC 102_Wkst'!$E$7:$E$2010,$C74,'LAC 102_Wkst'!$G$7:$G$2010,$D74,'LAC 102_Wkst'!$L$7:$L$2010,"06",'LAC 102_Wkst'!$N$7:$N$2010,"P4")</f>
        <v>0</v>
      </c>
      <c r="X74" s="410">
        <f>SUMIFS('LAC 102_Wkst'!$Q$7:$Q$2010,'LAC 102_Wkst'!$D$7:$D$2010,$C$7,'LAC 102_Wkst'!$I$7:$I$2010,$C$9,'LAC 102_Wkst'!$E$7:$E$2010,$C74,'LAC 102_Wkst'!$G$7:$G$2010,$D74,'LAC 102_Wkst'!$L$7:$L$2010,"05",'LAC 102_Wkst'!$N$7:$N$2010,"P5")+SUMIFS('LAC 102_Wkst'!$Q$7:$Q$2010,'LAC 102_Wkst'!$D$7:$D$2010,$C$7,'LAC 102_Wkst'!$I$7:$I$2010,$C$9,'LAC 102_Wkst'!$E$7:$E$2010,$C74,'LAC 102_Wkst'!$G$7:$G$2010,$D74,'LAC 102_Wkst'!$L$7:$L$2010,"06",'LAC 102_Wkst'!$N$7:$N$2010,"P5")</f>
        <v>0</v>
      </c>
      <c r="Y74" s="411">
        <f>SUMIFS('LAC 102_Wkst'!$AF$7:$AF$2010,'LAC 102_Wkst'!$D$7:$D$2010,$C$7,'LAC 102_Wkst'!$I$7:$I$2010,$C$9,'LAC 102_Wkst'!$E$7:$E$2010,$C74,'LAC 102_Wkst'!$G$7:$G$2010,$D74,'LAC 102_Wkst'!$L$7:$L$2010,"05",'LAC 102_Wkst'!$N$7:$N$2010,"P5")+SUMIFS('LAC 102_Wkst'!$AF$7:$AF$2010,'LAC 102_Wkst'!$D$7:$D$2010,$C$7,'LAC 102_Wkst'!$I$7:$I$2010,$C$9,'LAC 102_Wkst'!$E$7:$E$2010,$C74,'LAC 102_Wkst'!$G$7:$G$2010,$D74,'LAC 102_Wkst'!$L$7:$L$2010,"06",'LAC 102_Wkst'!$N$7:$N$2010,"P5")</f>
        <v>0</v>
      </c>
      <c r="Z74" s="410">
        <f>SUMIFS('LAC 102_Wkst'!$Q$7:$Q$2010,'LAC 102_Wkst'!$D$7:$D$2010,$C$7,'LAC 102_Wkst'!$I$7:$I$2010,$C$9,'LAC 102_Wkst'!$E$7:$E$2010,$C74,'LAC 102_Wkst'!$G$7:$G$2010,$D74,'LAC 102_Wkst'!$L$7:$L$2010,"07",'LAC 102_Wkst'!$N$7:$N$2010,"P1")+SUMIFS('LAC 102_Wkst'!$Q$7:$Q$2010,'LAC 102_Wkst'!$D$7:$D$2010,$C$7,'LAC 102_Wkst'!$I$7:$I$2010,$C$9,'LAC 102_Wkst'!$E$7:$E$2010,$C74,'LAC 102_Wkst'!$G$7:$G$2010,$D74,'LAC 102_Wkst'!$L$7:$L$2010,"07",'LAC 102_Wkst'!$N$7:$N$2010,"P2")+SUMIFS('LAC 102_Wkst'!$Q$7:$Q$2010,'LAC 102_Wkst'!$D$7:$D$2010,$C$7,'LAC 102_Wkst'!$I$7:$I$2010,$C$9,'LAC 102_Wkst'!$E$7:$E$2010,$C74,'LAC 102_Wkst'!$G$7:$G$2010,$D74,'LAC 102_Wkst'!$L$7:$L$2010,"07",'LAC 102_Wkst'!$N$7:$N$2010,"P3")</f>
        <v>0</v>
      </c>
      <c r="AA74" s="411">
        <f>SUMIFS('LAC 102_Wkst'!$AF$7:$AF$2010,'LAC 102_Wkst'!$D$7:$D$2010,$C$7,'LAC 102_Wkst'!$I$7:$I$2010,$C$9,'LAC 102_Wkst'!$E$7:$E$2010,$C74,'LAC 102_Wkst'!$G$7:$G$2010,$D74,'LAC 102_Wkst'!$L$7:$L$2010,"07",'LAC 102_Wkst'!$N$7:$N$2010,"P1")+SUMIFS('LAC 102_Wkst'!$AF$7:$AF$2010,'LAC 102_Wkst'!$D$7:$D$2010,$C$7,'LAC 102_Wkst'!$I$7:$I$2010,$C$9,'LAC 102_Wkst'!$E$7:$E$2010,$C74,'LAC 102_Wkst'!$G$7:$G$2010,$D74,'LAC 102_Wkst'!$L$7:$L$2010,"07",'LAC 102_Wkst'!$N$7:$N$2010,"P2")+SUMIFS('LAC 102_Wkst'!$AF$7:$AF$2010,'LAC 102_Wkst'!$D$7:$D$2010,$C$7,'LAC 102_Wkst'!$I$7:$I$2010,$C$9,'LAC 102_Wkst'!$E$7:$E$2010,$C74,'LAC 102_Wkst'!$G$7:$G$2010,$D74,'LAC 102_Wkst'!$L$7:$L$2010,"07",'LAC 102_Wkst'!$N$7:$N$2010,"P3")</f>
        <v>0</v>
      </c>
      <c r="AB74" s="410">
        <f>SUMIFS('LAC 102_Wkst'!$Q$7:$Q$2010,'LAC 102_Wkst'!$D$7:$D$2010,$C$7,'LAC 102_Wkst'!$I$7:$I$2010,$C$9,'LAC 102_Wkst'!$E$7:$E$2010,$C74,'LAC 102_Wkst'!$G$7:$G$2010,$D74,'LAC 102_Wkst'!$L$7:$L$2010,"07",'LAC 102_Wkst'!$N$7:$N$2010,"P4")</f>
        <v>0</v>
      </c>
      <c r="AC74" s="411">
        <f>SUMIFS('LAC 102_Wkst'!$AF$7:$AF$2010,'LAC 102_Wkst'!$D$7:$D$2010,$C$7,'LAC 102_Wkst'!$I$7:$I$2010,$C$9,'LAC 102_Wkst'!$E$7:$E$2010,$C74,'LAC 102_Wkst'!$G$7:$G$2010,$D74,'LAC 102_Wkst'!$L$7:$L$2010,"07",'LAC 102_Wkst'!$N$7:$N$2010,"P4")</f>
        <v>0</v>
      </c>
      <c r="AD74" s="410">
        <f>SUMIFS('LAC 102_Wkst'!$Q$7:$Q$2010,'LAC 102_Wkst'!$D$7:$D$2010,$C$7,'LAC 102_Wkst'!$I$7:$I$2010,$C$9,'LAC 102_Wkst'!$E$7:$E$2010,$C74,'LAC 102_Wkst'!$G$7:$G$2010,$D74,'LAC 102_Wkst'!$L$7:$L$2010,"07",'LAC 102_Wkst'!$N$7:$N$2010,"P5")</f>
        <v>0</v>
      </c>
      <c r="AE74" s="411">
        <f>SUMIFS('LAC 102_Wkst'!$AF$7:$AF$2010,'LAC 102_Wkst'!$D$7:$D$2010,$C$7,'LAC 102_Wkst'!$I$7:$I$2010,$C$9,'LAC 102_Wkst'!$E$7:$E$2010,$C74,'LAC 102_Wkst'!$G$7:$G$2010,$D74,'LAC 102_Wkst'!$L$7:$L$2010,"07",'LAC 102_Wkst'!$N$7:$N$2010,"P5")</f>
        <v>0</v>
      </c>
      <c r="AF74" s="410">
        <f>SUMIFS('LAC 102_Wkst'!$Q$7:$Q$2010,'LAC 102_Wkst'!$D$7:$D$2010,$C$7,'LAC 102_Wkst'!$I$7:$I$2010,$C$9,'LAC 102_Wkst'!$E$7:$E$2010,$C74,'LAC 102_Wkst'!$G$7:$G$2010,$D74,'LAC 102_Wkst'!$L$7:$L$2010,"08",'LAC 102_Wkst'!$N$7:$N$2010,"P1")+SUMIFS('LAC 102_Wkst'!$Q$7:$Q$2010,'LAC 102_Wkst'!$D$7:$D$2010,$C$7,'LAC 102_Wkst'!$I$7:$I$2010,$C$9,'LAC 102_Wkst'!$E$7:$E$2010,$C74,'LAC 102_Wkst'!$G$7:$G$2010,$D74,'LAC 102_Wkst'!$L$7:$L$2010,"08",'LAC 102_Wkst'!$N$7:$N$2010,"P2")+SUMIFS('LAC 102_Wkst'!$Q$7:$Q$2010,'LAC 102_Wkst'!$D$7:$D$2010,$C$7,'LAC 102_Wkst'!$I$7:$I$2010,$C$9,'LAC 102_Wkst'!$E$7:$E$2010,$C74,'LAC 102_Wkst'!$G$7:$G$2010,$D74,'LAC 102_Wkst'!$L$7:$L$2010,"08",'LAC 102_Wkst'!$N$7:$N$2010,"P3")</f>
        <v>0</v>
      </c>
      <c r="AG74" s="411">
        <f>SUMIFS('LAC 102_Wkst'!$AF$7:$AF$2010,'LAC 102_Wkst'!$D$7:$D$2010,$C$7,'LAC 102_Wkst'!$I$7:$I$2010,$C$9,'LAC 102_Wkst'!$E$7:$E$2010,$C74,'LAC 102_Wkst'!$G$7:$G$2010,$D74,'LAC 102_Wkst'!$L$7:$L$2010,"08",'LAC 102_Wkst'!$N$7:$N$2010,"P1")+SUMIFS('LAC 102_Wkst'!$AF$7:$AF$2010,'LAC 102_Wkst'!$D$7:$D$2010,$C$7,'LAC 102_Wkst'!$I$7:$I$2010,$C$9,'LAC 102_Wkst'!$E$7:$E$2010,$C74,'LAC 102_Wkst'!$G$7:$G$2010,$D74,'LAC 102_Wkst'!$L$7:$L$2010,"08",'LAC 102_Wkst'!$N$7:$N$2010,"P2")+SUMIFS('LAC 102_Wkst'!$AF$7:$AF$2010,'LAC 102_Wkst'!$D$7:$D$2010,$C$7,'LAC 102_Wkst'!$I$7:$I$2010,$C$9,'LAC 102_Wkst'!$E$7:$E$2010,$C74,'LAC 102_Wkst'!$G$7:$G$2010,$D74,'LAC 102_Wkst'!$L$7:$L$2010,"08",'LAC 102_Wkst'!$N$7:$N$2010,"P3")</f>
        <v>0</v>
      </c>
      <c r="AH74" s="410">
        <f>SUMIFS('LAC 102_Wkst'!$Q$7:$Q$2010,'LAC 102_Wkst'!$D$7:$D$2010,$C$7,'LAC 102_Wkst'!$I$7:$I$2010,$C$9,'LAC 102_Wkst'!$E$7:$E$2010,$C74,'LAC 102_Wkst'!$G$7:$G$2010,$D74,'LAC 102_Wkst'!$L$7:$L$2010,"08",'LAC 102_Wkst'!$N$7:$N$2010,"P4")</f>
        <v>0</v>
      </c>
      <c r="AI74" s="411">
        <f>SUMIFS('LAC 102_Wkst'!$AF$7:$AF$2010,'LAC 102_Wkst'!$D$7:$D$2010,$C$7,'LAC 102_Wkst'!$I$7:$I$2010,$C$9,'LAC 102_Wkst'!$E$7:$E$2010,$C74,'LAC 102_Wkst'!$G$7:$G$2010,$D74,'LAC 102_Wkst'!$L$7:$L$2010,"08",'LAC 102_Wkst'!$N$7:$N$2010,"P4")</f>
        <v>0</v>
      </c>
      <c r="AJ74" s="410">
        <f>SUMIFS('LAC 102_Wkst'!$Q$7:$Q$2010,'LAC 102_Wkst'!$D$7:$D$2010,$C$7,'LAC 102_Wkst'!$I$7:$I$2010,$C$9,'LAC 102_Wkst'!$E$7:$E$2010,$C74,'LAC 102_Wkst'!$G$7:$G$2010,$D74,'LAC 102_Wkst'!$L$7:$L$2010,"08",'LAC 102_Wkst'!$N$7:$N$2010,"P5")</f>
        <v>0</v>
      </c>
      <c r="AK74" s="411">
        <f>SUMIFS('LAC 102_Wkst'!$AF$7:$AF$2010,'LAC 102_Wkst'!$D$7:$D$2010,$C$7,'LAC 102_Wkst'!$I$7:$I$2010,$C$9,'LAC 102_Wkst'!$E$7:$E$2010,$C74,'LAC 102_Wkst'!$G$7:$G$2010,$D74,'LAC 102_Wkst'!$L$7:$L$2010,"08",'LAC 102_Wkst'!$N$7:$N$2010,"P5")</f>
        <v>0</v>
      </c>
      <c r="AL74" s="410">
        <f>SUMIFS('LAC 102_Wkst'!$Q$7:$Q$2010,'LAC 102_Wkst'!$D$7:$D$2010,$C$7,'LAC 102_Wkst'!$I$7:$I$2010,$C$9,'LAC 102_Wkst'!$E$7:$E$2010,$C74,'LAC 102_Wkst'!$G$7:$G$2010,$D74,'LAC 102_Wkst'!$L$7:$L$2010,"09",'LAC 102_Wkst'!$N$7:$N$2010,"P1")+SUMIFS('LAC 102_Wkst'!$Q$7:$Q$2010,'LAC 102_Wkst'!$D$7:$D$2010,$C$7,'LAC 102_Wkst'!$I$7:$I$2010,$C$9,'LAC 102_Wkst'!$E$7:$E$2010,$C74,'LAC 102_Wkst'!$G$7:$G$2010,$D74,'LAC 102_Wkst'!$L$7:$L$2010,"09",'LAC 102_Wkst'!$N$7:$N$2010,"P2")+SUMIFS('LAC 102_Wkst'!$Q$7:$Q$2010,'LAC 102_Wkst'!$D$7:$D$2010,$C$7,'LAC 102_Wkst'!$I$7:$I$2010,$C$9,'LAC 102_Wkst'!$E$7:$E$2010,$C74,'LAC 102_Wkst'!$G$7:$G$2010,$D74,'LAC 102_Wkst'!$L$7:$L$2010,"09",'LAC 102_Wkst'!$N$7:$N$2010,"P3")+SUMIFS('LAC 102_Wkst'!$Q$7:$Q$2010,'LAC 102_Wkst'!$D$7:$D$2010,$C$7,'LAC 102_Wkst'!$I$7:$I$2010,$C$9,'LAC 102_Wkst'!$E$7:$E$2010,$C74,'LAC 102_Wkst'!$G$7:$G$2010,$D74,'LAC 102_Wkst'!$L$7:$L$2010,"09",'LAC 102_Wkst'!$N$7:$N$2010,"P4")</f>
        <v>0</v>
      </c>
      <c r="AM74" s="411">
        <f>SUMIFS('LAC 102_Wkst'!$AF$7:$AF$2010,'LAC 102_Wkst'!$D$7:$D$2010,$C$7,'LAC 102_Wkst'!$I$7:$I$2010,$C$9,'LAC 102_Wkst'!$E$7:$E$2010,$C74,'LAC 102_Wkst'!$G$7:$G$2010,$D74,'LAC 102_Wkst'!$L$7:$L$2010,"09",'LAC 102_Wkst'!$N$7:$N$2010,"P1")+SUMIFS('LAC 102_Wkst'!$AF$7:$AF$2010,'LAC 102_Wkst'!$D$7:$D$2010,$C$7,'LAC 102_Wkst'!$I$7:$I$2010,$C$9,'LAC 102_Wkst'!$E$7:$E$2010,$C74,'LAC 102_Wkst'!$G$7:$G$2010,$D74,'LAC 102_Wkst'!$L$7:$L$2010,"09",'LAC 102_Wkst'!$N$7:$N$2010,"P2")+SUMIFS('LAC 102_Wkst'!$AF$7:$AF$2010,'LAC 102_Wkst'!$D$7:$D$2010,$C$7,'LAC 102_Wkst'!$I$7:$I$2010,$C$9,'LAC 102_Wkst'!$E$7:$E$2010,$C74,'LAC 102_Wkst'!$G$7:$G$2010,$D74,'LAC 102_Wkst'!$L$7:$L$2010,"09",'LAC 102_Wkst'!$N$7:$N$2010,"P3")+SUMIFS('LAC 102_Wkst'!$AF$7:$AF$2010,'LAC 102_Wkst'!$D$7:$D$2010,$C$7,'LAC 102_Wkst'!$I$7:$I$2010,$C$9,'LAC 102_Wkst'!$E$7:$E$2010,$C74,'LAC 102_Wkst'!$G$7:$G$2010,$D74,'LAC 102_Wkst'!$L$7:$L$2010,"09",'LAC 102_Wkst'!$N$7:$N$2010,"P4")</f>
        <v>0</v>
      </c>
      <c r="AN74" s="410">
        <f>SUMIFS('LAC 102_Wkst'!$Q$7:$Q$2010,'LAC 102_Wkst'!$D$7:$D$2010,$C$7,'LAC 102_Wkst'!$I$7:$I$2010,$C$9,'LAC 102_Wkst'!$E$7:$E$2010,$C74,'LAC 102_Wkst'!$G$7:$G$2010,$D74,'LAC 102_Wkst'!$L$7:$L$2010,"09",'LAC 102_Wkst'!$N$7:$N$2010,"P5")</f>
        <v>0</v>
      </c>
      <c r="AO74" s="411">
        <f>SUMIFS('LAC 102_Wkst'!$AF$7:$AF$2010,'LAC 102_Wkst'!$D$7:$D$2010,$C$7,'LAC 102_Wkst'!$I$7:$I$2010,$C$9,'LAC 102_Wkst'!$E$7:$E$2010,$C74,'LAC 102_Wkst'!$G$7:$G$2010,$D74,'LAC 102_Wkst'!$L$7:$L$2010,"09",'LAC 102_Wkst'!$N$7:$N$2010,"P5")</f>
        <v>0</v>
      </c>
      <c r="AP74" s="410">
        <f>SUMIFS('LAC 102_Wkst'!$Q$7:$Q$2010,'LAC 102_Wkst'!$D$7:$D$2010,$C$7,'LAC 102_Wkst'!$I$7:$I$2010,$C$9,'LAC 102_Wkst'!$E$7:$E$2010,$C74,'LAC 102_Wkst'!$G$7:$G$2010,$D74,'LAC 102_Wkst'!$L$7:$L$2010,"10",'LAC 102_Wkst'!$N$7:$N$2010,"P1")+SUMIFS('LAC 102_Wkst'!$Q$7:$Q$2010,'LAC 102_Wkst'!$D$7:$D$2010,$C$7,'LAC 102_Wkst'!$I$7:$I$2010,$C$9,'LAC 102_Wkst'!$E$7:$E$2010,$C74,'LAC 102_Wkst'!$G$7:$G$2010,$D74,'LAC 102_Wkst'!$L$7:$L$2010,"10",'LAC 102_Wkst'!$N$7:$N$2010,"P2")+SUMIFS('LAC 102_Wkst'!$Q$7:$Q$2010,'LAC 102_Wkst'!$D$7:$D$2010,$C$7,'LAC 102_Wkst'!$I$7:$I$2010,$C$9,'LAC 102_Wkst'!$E$7:$E$2010,$C74,'LAC 102_Wkst'!$G$7:$G$2010,$D74,'LAC 102_Wkst'!$L$7:$L$2010,"10",'LAC 102_Wkst'!$N$7:$N$2010,"P3")+SUMIFS('LAC 102_Wkst'!$Q$7:$Q$2010,'LAC 102_Wkst'!$D$7:$D$2010,$C$7,'LAC 102_Wkst'!$I$7:$I$2010,$C$9,'LAC 102_Wkst'!$E$7:$E$2010,$C74,'LAC 102_Wkst'!$G$7:$G$2010,$D74,'LAC 102_Wkst'!$L$7:$L$2010,"10",'LAC 102_Wkst'!$N$7:$N$2010,"P4")</f>
        <v>0</v>
      </c>
      <c r="AQ74" s="411">
        <f>SUMIFS('LAC 102_Wkst'!$AF$7:$AF$2010,'LAC 102_Wkst'!$D$7:$D$2010,$C$7,'LAC 102_Wkst'!$I$7:$I$2010,$C$9,'LAC 102_Wkst'!$E$7:$E$2010,$C74,'LAC 102_Wkst'!$G$7:$G$2010,$D74,'LAC 102_Wkst'!$L$7:$L$2010,"10",'LAC 102_Wkst'!$N$7:$N$2010,"P1")+SUMIFS('LAC 102_Wkst'!$AF$7:$AF$2010,'LAC 102_Wkst'!$D$7:$D$2010,$C$7,'LAC 102_Wkst'!$I$7:$I$2010,$C$9,'LAC 102_Wkst'!$E$7:$E$2010,$C74,'LAC 102_Wkst'!$G$7:$G$2010,$D74,'LAC 102_Wkst'!$L$7:$L$2010,"10",'LAC 102_Wkst'!$N$7:$N$2010,"P2")+SUMIFS('LAC 102_Wkst'!$AF$7:$AF$2010,'LAC 102_Wkst'!$D$7:$D$2010,$C$7,'LAC 102_Wkst'!$I$7:$I$2010,$C$9,'LAC 102_Wkst'!$E$7:$E$2010,$C74,'LAC 102_Wkst'!$G$7:$G$2010,$D74,'LAC 102_Wkst'!$L$7:$L$2010,"10",'LAC 102_Wkst'!$N$7:$N$2010,"P3")+SUMIFS('LAC 102_Wkst'!$AF$7:$AF$2010,'LAC 102_Wkst'!$D$7:$D$2010,$C$7,'LAC 102_Wkst'!$I$7:$I$2010,$C$9,'LAC 102_Wkst'!$E$7:$E$2010,$C74,'LAC 102_Wkst'!$G$7:$G$2010,$D74,'LAC 102_Wkst'!$L$7:$L$2010,"10",'LAC 102_Wkst'!$N$7:$N$2010,"P4")</f>
        <v>0</v>
      </c>
      <c r="AR74" s="410">
        <f>SUMIFS('LAC 102_Wkst'!$Q$7:$Q$2010,'LAC 102_Wkst'!$D$7:$D$2010,$C$7,'LAC 102_Wkst'!$I$7:$I$2010,$C$9,'LAC 102_Wkst'!$E$7:$E$2010,$C74,'LAC 102_Wkst'!$G$7:$G$2010,$D74,'LAC 102_Wkst'!$L$7:$L$2010,"10",'LAC 102_Wkst'!$N$7:$N$2010,"P5")</f>
        <v>0</v>
      </c>
      <c r="AS74" s="411">
        <f>SUMIFS('LAC 102_Wkst'!$AF$7:$AF$2010,'LAC 102_Wkst'!$D$7:$D$2010,$C$7,'LAC 102_Wkst'!$I$7:$I$2010,$C$9,'LAC 102_Wkst'!$E$7:$E$2010,$C74,'LAC 102_Wkst'!$G$7:$G$2010,$D74,'LAC 102_Wkst'!$L$7:$L$2010,"10",'LAC 102_Wkst'!$N$7:$N$2010,"P5")</f>
        <v>0</v>
      </c>
      <c r="AT74" s="410">
        <f>SUMIFS('LAC 102_Wkst'!$Q$7:$Q$2010,'LAC 102_Wkst'!$D$7:$D$2010,$C$7,'LAC 102_Wkst'!$I$7:$I$2010,$C$9,'LAC 102_Wkst'!$E$7:$E$2010,$C74,'LAC 102_Wkst'!$G$7:$G$2010,$D74,'LAC 102_Wkst'!$L$7:$L$2010,"11",'LAC 102_Wkst'!$N$7:$N$2010,"P1")+SUMIFS('LAC 102_Wkst'!$Q$7:$Q$2010,'LAC 102_Wkst'!$D$7:$D$2010,$C$7,'LAC 102_Wkst'!$I$7:$I$2010,$C$9,'LAC 102_Wkst'!$E$7:$E$2010,$C74,'LAC 102_Wkst'!$G$7:$G$2010,$D74,'LAC 102_Wkst'!$L$7:$L$2010,"12",'LAC 102_Wkst'!$N$7:$N$2010,"P1")</f>
        <v>0</v>
      </c>
      <c r="AU74" s="411">
        <f>SUMIFS('LAC 102_Wkst'!$Q$7:$Q$2010,'LAC 102_Wkst'!$D$7:$D$2010,$C$7,'LAC 102_Wkst'!$I$7:$I$2010,$C$9,'LAC 102_Wkst'!$E$7:$E$2010,$C74,'LAC 102_Wkst'!$G$7:$G$2010,$D74,'LAC 102_Wkst'!$L$7:$L$2010,"13",'LAC 102_Wkst'!$N$7:$N$2010,"P5")</f>
        <v>0</v>
      </c>
      <c r="AV74" s="410">
        <f>SUMIFS('LAC 102_Wkst'!$Q$7:$Q$2010,'LAC 102_Wkst'!$D$7:$D$2010,$C$7,'LAC 102_Wkst'!$I$7:$I$2010,$C$9,'LAC 102_Wkst'!$E$7:$E$2010,$C74,'LAC 102_Wkst'!$G$7:$G$2010,$D74,'LAC 102_Wkst'!$L$7:$L$2010,"11",'LAC 102_Wkst'!$N$7:$N$2010,"P2")+SUMIFS('LAC 102_Wkst'!$Q$7:$Q$2010,'LAC 102_Wkst'!$D$7:$D$2010,$C$7,'LAC 102_Wkst'!$I$7:$I$2010,$C$9,'LAC 102_Wkst'!$E$7:$E$2010,$C74,'LAC 102_Wkst'!$G$7:$G$2010,$D74,'LAC 102_Wkst'!$L$7:$L$2010,"12",'LAC 102_Wkst'!$N$7:$N$2010,"P2")+SUMIFS('LAC 102_Wkst'!$Q$7:$Q$2010,'LAC 102_Wkst'!$D$7:$D$2010,$C$7,'LAC 102_Wkst'!$I$7:$I$2010,$C$9,'LAC 102_Wkst'!$E$7:$E$2010,$C74,'LAC 102_Wkst'!$G$7:$G$2010,$D74,'LAC 102_Wkst'!$L$7:$L$2010,"11",'LAC 102_Wkst'!$N$7:$N$2010,"P3")+SUMIFS('LAC 102_Wkst'!$Q$7:$Q$2010,'LAC 102_Wkst'!$D$7:$D$2010,$C$7,'LAC 102_Wkst'!$I$7:$I$2010,$C$9,'LAC 102_Wkst'!$E$7:$E$2010,$C74,'LAC 102_Wkst'!$G$7:$G$2010,$D74,'LAC 102_Wkst'!$L$7:$L$2010,"12",'LAC 102_Wkst'!$N$7:$N$2010,"P3")</f>
        <v>0</v>
      </c>
      <c r="AW74" s="411">
        <f>SUMIFS('LAC 102_Wkst'!$AF$7:$AF$2010,'LAC 102_Wkst'!$D$7:$D$2010,$C$7,'LAC 102_Wkst'!$I$7:$I$2010,$C$9,'LAC 102_Wkst'!$E$7:$E$2010,$C74,'LAC 102_Wkst'!$G$7:$G$2010,$D74,'LAC 102_Wkst'!$L$7:$L$2010,"11",'LAC 102_Wkst'!$N$7:$N$2010,"P2")+SUMIFS('LAC 102_Wkst'!$AF$7:$AF$2010,'LAC 102_Wkst'!$D$7:$D$2010,$C$7,'LAC 102_Wkst'!$I$7:$I$2010,$C$9,'LAC 102_Wkst'!$E$7:$E$2010,$C74,'LAC 102_Wkst'!$G$7:$G$2010,$D74,'LAC 102_Wkst'!$L$7:$L$2010,"12",'LAC 102_Wkst'!$N$7:$N$2010,"P2")+SUMIFS('LAC 102_Wkst'!$AF$7:$AF$2010,'LAC 102_Wkst'!$D$7:$D$2010,$C$7,'LAC 102_Wkst'!$I$7:$I$2010,$C$9,'LAC 102_Wkst'!$E$7:$E$2010,$C74,'LAC 102_Wkst'!$G$7:$G$2010,$D74,'LAC 102_Wkst'!$L$7:$L$2010,"11",'LAC 102_Wkst'!$N$7:$N$2010,"P3")+SUMIFS('LAC 102_Wkst'!$AF$7:$AF$2010,'LAC 102_Wkst'!$D$7:$D$2010,$C$7,'LAC 102_Wkst'!$I$7:$I$2010,$C$9,'LAC 102_Wkst'!$E$7:$E$2010,$C74,'LAC 102_Wkst'!$G$7:$G$2010,$D74,'LAC 102_Wkst'!$L$7:$L$2010,"12",'LAC 102_Wkst'!$N$7:$N$2010,"P3")</f>
        <v>0</v>
      </c>
      <c r="AX74" s="410">
        <f>SUMIFS('LAC 102_Wkst'!$Q$7:$Q$2010,'LAC 102_Wkst'!$D$7:$D$2010,$C$7,'LAC 102_Wkst'!$I$7:$I$2010,$C$9,'LAC 102_Wkst'!$E$7:$E$2010,$C74,'LAC 102_Wkst'!$G$7:$G$2010,$D74,'LAC 102_Wkst'!$L$7:$L$2010,"11",'LAC 102_Wkst'!$N$7:$N$2010,"P4")+SUMIFS('LAC 102_Wkst'!$Q$7:$Q$2010,'LAC 102_Wkst'!$D$7:$D$2010,$C$7,'LAC 102_Wkst'!$I$7:$I$2010,$C$9,'LAC 102_Wkst'!$E$7:$E$2010,$C74,'LAC 102_Wkst'!$G$7:$G$2010,$D74,'LAC 102_Wkst'!$L$7:$L$2010,"12",'LAC 102_Wkst'!$N$7:$N$2010,"P4")</f>
        <v>0</v>
      </c>
      <c r="AY74" s="411">
        <f>SUMIFS('LAC 102_Wkst'!$AF$7:$AF$2010,'LAC 102_Wkst'!$D$7:$D$2010,$C$7,'LAC 102_Wkst'!$I$7:$I$2010,$C$9,'LAC 102_Wkst'!$E$7:$E$2010,$C74,'LAC 102_Wkst'!$G$7:$G$2010,$D74,'LAC 102_Wkst'!$L$7:$L$2010,"11",'LAC 102_Wkst'!$N$7:$N$2010,"P4")+SUMIFS('LAC 102_Wkst'!$AF$7:$AF$2010,'LAC 102_Wkst'!$D$7:$D$2010,$C$7,'LAC 102_Wkst'!$I$7:$I$2010,$C$9,'LAC 102_Wkst'!$E$7:$E$2010,$C74,'LAC 102_Wkst'!$G$7:$G$2010,$D74,'LAC 102_Wkst'!$L$7:$L$2010,"12",'LAC 102_Wkst'!$N$7:$N$2010,"P4")</f>
        <v>0</v>
      </c>
      <c r="AZ74" s="410">
        <f>SUMIFS('LAC 102_Wkst'!$Q$7:$Q$2010,'LAC 102_Wkst'!$D$7:$D$2010,$C$7,'LAC 102_Wkst'!$I$7:$I$2010,$C$9,'LAC 102_Wkst'!$E$7:$E$2010,$C74,'LAC 102_Wkst'!$G$7:$G$2010,$D74,'LAC 102_Wkst'!$L$7:$L$2010,"11",'LAC 102_Wkst'!$N$7:$N$2010,"P5")+SUMIFS('LAC 102_Wkst'!$Q$7:$Q$2010,'LAC 102_Wkst'!$D$7:$D$2010,$C$7,'LAC 102_Wkst'!$I$7:$I$2010,$C$9,'LAC 102_Wkst'!$E$7:$E$2010,$C74,'LAC 102_Wkst'!$G$7:$G$2010,$D74,'LAC 102_Wkst'!$L$7:$L$2010,"12",'LAC 102_Wkst'!$N$7:$N$2010,"P5")</f>
        <v>0</v>
      </c>
      <c r="BA74" s="411">
        <f>SUMIFS('LAC 102_Wkst'!$AF$7:$AF$2010,'LAC 102_Wkst'!$D$7:$D$2010,$C$7,'LAC 102_Wkst'!$I$7:$I$2010,$C$9,'LAC 102_Wkst'!$E$7:$E$2010,$C74,'LAC 102_Wkst'!$G$7:$G$2010,$D74,'LAC 102_Wkst'!$L$7:$L$2010,"11",'LAC 102_Wkst'!$N$7:$N$2010,"P5")+SUMIFS('LAC 102_Wkst'!$AF$7:$AF$2010,'LAC 102_Wkst'!$D$7:$D$2010,$C$7,'LAC 102_Wkst'!$I$7:$I$2010,$C$9,'LAC 102_Wkst'!$E$7:$E$2010,$C74,'LAC 102_Wkst'!$G$7:$G$2010,$D74,'LAC 102_Wkst'!$L$7:$L$2010,"12",'LAC 102_Wkst'!$N$7:$N$2010,"P5")</f>
        <v>0</v>
      </c>
      <c r="BB74" s="410">
        <f>SUMIFS('LAC 102_Wkst'!$Q$7:$Q$2010,'LAC 102_Wkst'!$D$7:$D$2010,$C$7,'LAC 102_Wkst'!$I$7:$I$2010,$C$9,'LAC 102_Wkst'!$E$7:$E$2010,$C74,'LAC 102_Wkst'!$G$7:$G$2010,$D74,'LAC 102_Wkst'!$L$7:$L$2010,"13",'LAC 102_Wkst'!$N$7:$N$2010,"P1")+SUMIFS('LAC 102_Wkst'!$Q$7:$Q$2010,'LAC 102_Wkst'!$D$7:$D$2010,$C$7,'LAC 102_Wkst'!$I$7:$I$2010,$C$9,'LAC 102_Wkst'!$E$7:$E$2010,$C74,'LAC 102_Wkst'!$G$7:$G$2010,$D74,'LAC 102_Wkst'!$L$7:$L$2010,"13",'LAC 102_Wkst'!$N$7:$N$2010,"P2")+SUMIFS('LAC 102_Wkst'!$Q$7:$Q$2010,'LAC 102_Wkst'!$D$7:$D$2010,$C$7,'LAC 102_Wkst'!$I$7:$I$2010,$C$9,'LAC 102_Wkst'!$E$7:$E$2010,$C74,'LAC 102_Wkst'!$G$7:$G$2010,$D74,'LAC 102_Wkst'!$L$7:$L$2010,"13",'LAC 102_Wkst'!$N$7:$N$2010,"P3")+SUMIFS('LAC 102_Wkst'!$Q$7:$Q$2010,'LAC 102_Wkst'!$D$7:$D$2010,$C$7,'LAC 102_Wkst'!$I$7:$I$2010,$C$9,'LAC 102_Wkst'!$E$7:$E$2010,$C74,'LAC 102_Wkst'!$G$7:$G$2010,$D74,'LAC 102_Wkst'!$L$7:$L$2010,"13",'LAC 102_Wkst'!$N$7:$N$2010,"P4")</f>
        <v>0</v>
      </c>
      <c r="BC74" s="411">
        <f>SUMIFS('LAC 102_Wkst'!$AF$7:$AF$2010,'LAC 102_Wkst'!$D$7:$D$2010,$C$7,'LAC 102_Wkst'!$I$7:$I$2010,$C$9,'LAC 102_Wkst'!$E$7:$E$2010,$C74,'LAC 102_Wkst'!$G$7:$G$2010,$D74,'LAC 102_Wkst'!$L$7:$L$2010,"13",'LAC 102_Wkst'!$N$7:$N$2010,"P1")+SUMIFS('LAC 102_Wkst'!$AF$7:$AF$2010,'LAC 102_Wkst'!$D$7:$D$2010,$C$7,'LAC 102_Wkst'!$I$7:$I$2010,$C$9,'LAC 102_Wkst'!$E$7:$E$2010,$C74,'LAC 102_Wkst'!$G$7:$G$2010,$D74,'LAC 102_Wkst'!$L$7:$L$2010,"13",'LAC 102_Wkst'!$N$7:$N$2010,"P2")+SUMIFS('LAC 102_Wkst'!$AF$7:$AF$2010,'LAC 102_Wkst'!$D$7:$D$2010,$C$7,'LAC 102_Wkst'!$I$7:$I$2010,$C$9,'LAC 102_Wkst'!$E$7:$E$2010,$C74,'LAC 102_Wkst'!$G$7:$G$2010,$D74,'LAC 102_Wkst'!$L$7:$L$2010,"13",'LAC 102_Wkst'!$N$7:$N$2010,"P3")+SUMIFS('LAC 102_Wkst'!$AF$7:$AF$2010,'LAC 102_Wkst'!$D$7:$D$2010,$C$7,'LAC 102_Wkst'!$I$7:$I$2010,$C$9,'LAC 102_Wkst'!$E$7:$E$2010,$C74,'LAC 102_Wkst'!$G$7:$G$2010,$D74,'LAC 102_Wkst'!$L$7:$L$2010,"13",'LAC 102_Wkst'!$N$7:$N$2010,"P4")</f>
        <v>0</v>
      </c>
      <c r="BD74" s="410">
        <f>SUMIFS('LAC 102_Wkst'!$Q$7:$Q$2010,'LAC 102_Wkst'!$D$7:$D$2010,$C$7,'LAC 102_Wkst'!$I$7:$I$2010,$C$9,'LAC 102_Wkst'!$E$7:$E$2010,$C74,'LAC 102_Wkst'!$G$7:$G$2010,$D74,'LAC 102_Wkst'!$L$7:$L$2010,"13",'LAC 102_Wkst'!$N$7:$N$2010,"P5")</f>
        <v>0</v>
      </c>
      <c r="BE74" s="411">
        <f>SUMIFS('LAC 102_Wkst'!$AF$7:$AF$2010,'LAC 102_Wkst'!$D$7:$D$2010,$C$7,'LAC 102_Wkst'!$I$7:$I$2010,$C$9,'LAC 102_Wkst'!$E$7:$E$2010,$C74,'LAC 102_Wkst'!$G$7:$G$2010,$D74,'LAC 102_Wkst'!$L$7:$L$2010,"13",'LAC 102_Wkst'!$N$7:$N$2010,"P5")</f>
        <v>0</v>
      </c>
      <c r="BF74" s="407">
        <f t="shared" si="4"/>
        <v>0</v>
      </c>
      <c r="BG74" s="1654">
        <f>SUMIFS('LAC 102_Wkst'!$AF$7:$AF$2010,'LAC 102_Wkst'!$D$7:$D$2010,$C$7,'LAC 102_Wkst'!$I$7:$I$2010,$C$9,'LAC 102_Wkst'!$E$7:$E$2010,$C74,'LAC 102_Wkst'!$G$7:$G$2010,$D74,'LAC 102_Wkst'!$L$7:$L$2010,"14")</f>
        <v>0</v>
      </c>
    </row>
    <row r="75" spans="1:59" x14ac:dyDescent="0.2">
      <c r="A75" s="401">
        <v>53</v>
      </c>
      <c r="B75" s="1678" t="str">
        <f>IF(Schedule_B!B$72="","",Schedule_B!B$72)</f>
        <v/>
      </c>
      <c r="C75" s="1674" t="str">
        <f>IF(Schedule_B!C$72=""," ",Schedule_B!C$72)</f>
        <v xml:space="preserve"> </v>
      </c>
      <c r="D75" s="1675" t="str">
        <f>IF(Schedule_B!D$72=""," ",Schedule_B!D$72)</f>
        <v xml:space="preserve"> </v>
      </c>
      <c r="E75" s="1221">
        <f>SUMIFS('LAC 102_Wkst'!$Q$7:$Q$2010,'LAC 102_Wkst'!$D$7:$D$2010,$C$7,'LAC 102_Wkst'!$I$7:$I$2010,$C$9,'LAC 102_Wkst'!$E$7:$E$2010,$C75,'LAC 102_Wkst'!$G$7:$G$2010,$D75)</f>
        <v>0</v>
      </c>
      <c r="F75" s="408">
        <f>SUMIFS('LAC 102_Wkst'!$Q$7:$Q$2010,'LAC 102_Wkst'!$D$7:$D$2010,$C$7,'LAC 102_Wkst'!$I$7:$I$2010,$C$9,'LAC 102_Wkst'!$E$7:$E$2010,$C75,'LAC 102_Wkst'!$G$7:$G$2010,$D75,'LAC 102_Wkst'!$L$7:$L$2010,"01",'LAC 102_Wkst'!$N$7:$N$2010,"P1")+SUMIFS('LAC 102_Wkst'!$Q$7:$Q$2010,'LAC 102_Wkst'!$D$7:$D$2010,$C$7,'LAC 102_Wkst'!$I$7:$I$2010,$C$9,'LAC 102_Wkst'!$E$7:$E$2010,$C75,'LAC 102_Wkst'!$G$7:$G$2010,$D75,'LAC 102_Wkst'!$L$7:$L$2010,"01",'LAC 102_Wkst'!$N$7:$N$2010,"P2")+SUMIFS('LAC 102_Wkst'!$Q$7:$Q$2010,'LAC 102_Wkst'!$D$7:$D$2010,$C$7,'LAC 102_Wkst'!$I$7:$I$2010,$C$9,'LAC 102_Wkst'!$E$7:$E$2010,$C75,'LAC 102_Wkst'!$G$7:$G$2010,$D75,'LAC 102_Wkst'!$L$7:$L$2010,"01",'LAC 102_Wkst'!$N$7:$N$2010,"P3")+SUMIFS('LAC 102_Wkst'!$Q$7:$Q$2010,'LAC 102_Wkst'!$D$7:$D$2010,$C$7,'LAC 102_Wkst'!$I$7:$I$2010,$C$9,'LAC 102_Wkst'!$E$7:$E$2010,$C75,'LAC 102_Wkst'!$G$7:$G$2010,$D75,'LAC 102_Wkst'!$L$7:$L$2010,"02",'LAC 102_Wkst'!$N$7:$N$2010,"P1")+SUMIFS('LAC 102_Wkst'!$Q$7:$Q$2010,'LAC 102_Wkst'!$D$7:$D$2010,$C$7,'LAC 102_Wkst'!$I$7:$I$2010,$C$9,'LAC 102_Wkst'!$E$7:$E$2010,$C75,'LAC 102_Wkst'!$G$7:$G$2010,$D75,'LAC 102_Wkst'!$L$7:$L$2010,"02",'LAC 102_Wkst'!$N$7:$N$2010,"P2")+SUMIFS('LAC 102_Wkst'!$Q$7:$Q$2010,'LAC 102_Wkst'!$D$7:$D$2010,$C$7,'LAC 102_Wkst'!$I$7:$I$2010,$C$9,'LAC 102_Wkst'!$E$7:$E$2010,$C75,'LAC 102_Wkst'!$G$7:$G$2010,$D75,'LAC 102_Wkst'!$L$7:$L$2010,"02",'LAC 102_Wkst'!$N$7:$N$2010,"P3")</f>
        <v>0</v>
      </c>
      <c r="G75" s="409">
        <f>SUMIFS('LAC 102_Wkst'!$AF$7:$AF$2010,'LAC 102_Wkst'!$D$7:$D$2010,$C$7,'LAC 102_Wkst'!$I$7:$I$2010,$C$9,'LAC 102_Wkst'!$E$7:$E$2010,$C75,'LAC 102_Wkst'!$G$7:$G$2010,$D75,'LAC 102_Wkst'!$L$7:$L$2010,"01",'LAC 102_Wkst'!$N$7:$N$2010,"P1")+SUMIFS('LAC 102_Wkst'!$AF$7:$AF$2010,'LAC 102_Wkst'!$D$7:$D$2010,$C$7,'LAC 102_Wkst'!$I$7:$I$2010,$C$9,'LAC 102_Wkst'!$E$7:$E$2010,$C75,'LAC 102_Wkst'!$G$7:$G$2010,$D75,'LAC 102_Wkst'!$L$7:$L$2010,"01",'LAC 102_Wkst'!$N$7:$N$2010,"P2")+SUMIFS('LAC 102_Wkst'!$AF$7:$AF$2010,'LAC 102_Wkst'!$D$7:$D$2010,$C$7,'LAC 102_Wkst'!$I$7:$I$2010,$C$9,'LAC 102_Wkst'!$E$7:$E$2010,$C75,'LAC 102_Wkst'!$G$7:$G$2010,$D75,'LAC 102_Wkst'!$L$7:$L$2010,"01",'LAC 102_Wkst'!$N$7:$N$2010,"P3")+SUMIFS('LAC 102_Wkst'!$AF$7:$AF$2010,'LAC 102_Wkst'!$D$7:$D$2010,$C$7,'LAC 102_Wkst'!$I$7:$I$2010,$C$9,'LAC 102_Wkst'!$E$7:$E$2010,$C75,'LAC 102_Wkst'!$G$7:$G$2010,$D75,'LAC 102_Wkst'!$L$7:$L$2010,"02",'LAC 102_Wkst'!$N$7:$N$2010,"P1")+SUMIFS('LAC 102_Wkst'!$AF$7:$AF$2010,'LAC 102_Wkst'!$D$7:$D$2010,$C$7,'LAC 102_Wkst'!$I$7:$I$2010,$C$9,'LAC 102_Wkst'!$E$7:$E$2010,$C75,'LAC 102_Wkst'!$G$7:$G$2010,$D75,'LAC 102_Wkst'!$L$7:$L$2010,"02",'LAC 102_Wkst'!$N$7:$N$2010,"P2")+SUMIFS('LAC 102_Wkst'!$AF$7:$AF$2010,'LAC 102_Wkst'!$D$7:$D$2010,$C$7,'LAC 102_Wkst'!$I$7:$I$2010,$C$9,'LAC 102_Wkst'!$E$7:$E$2010,$C75,'LAC 102_Wkst'!$G$7:$G$2010,$D75,'LAC 102_Wkst'!$L$7:$L$2010,"02",'LAC 102_Wkst'!$N$7:$N$2010,"P3")</f>
        <v>0</v>
      </c>
      <c r="H75" s="410">
        <f>SUMIFS('LAC 102_Wkst'!$Q$7:$Q$2010,'LAC 102_Wkst'!$D$7:$D$2010,$C$7,'LAC 102_Wkst'!$I$7:$I$2010,$C$9,'LAC 102_Wkst'!$E$7:$E$2010,$C75,'LAC 102_Wkst'!$G$7:$G$2010,$D75,'LAC 102_Wkst'!$L$7:$L$2010,"01",'LAC 102_Wkst'!$N$7:$N$2010,"P4")+SUMIFS('LAC 102_Wkst'!$Q$7:$Q$2010,'LAC 102_Wkst'!$D$7:$D$2010,$C$7,'LAC 102_Wkst'!$I$7:$I$2010,$C$9,'LAC 102_Wkst'!$E$7:$E$2010,$C75,'LAC 102_Wkst'!$G$7:$G$2010,$D75,'LAC 102_Wkst'!$L$7:$L$2010,"02",'LAC 102_Wkst'!$N$7:$N$2010,"P4")</f>
        <v>0</v>
      </c>
      <c r="I75" s="411">
        <f>SUMIFS('LAC 102_Wkst'!$AF$7:$AF$2010,'LAC 102_Wkst'!$D$7:$D$2010,$C$7,'LAC 102_Wkst'!$I$7:$I$2010,$C$9,'LAC 102_Wkst'!$E$7:$E$2010,$C75,'LAC 102_Wkst'!$G$7:$G$2010,$D75,'LAC 102_Wkst'!$L$7:$L$2010,"01",'LAC 102_Wkst'!$N$7:$N$2010,"P4")+SUMIFS('LAC 102_Wkst'!$AF$7:$AF$2010,'LAC 102_Wkst'!$D$7:$D$2010,$C$7,'LAC 102_Wkst'!$I$7:$I$2010,$C$9,'LAC 102_Wkst'!$E$7:$E$2010,$C75,'LAC 102_Wkst'!$G$7:$G$2010,$D75,'LAC 102_Wkst'!$L$7:$L$2010,"02",'LAC 102_Wkst'!$N$7:$N$2010,"P4")</f>
        <v>0</v>
      </c>
      <c r="J75" s="410">
        <f>SUMIFS('LAC 102_Wkst'!$Q$7:$Q$2010,'LAC 102_Wkst'!$D$7:$D$2010,$C$7,'LAC 102_Wkst'!$I$7:$I$2010,$C$9,'LAC 102_Wkst'!$E$7:$E$2010,$C75,'LAC 102_Wkst'!$G$7:$G$2010,$D75,'LAC 102_Wkst'!$L$7:$L$2010,"01",'LAC 102_Wkst'!$N$7:$N$2010,"P5")+SUMIFS('LAC 102_Wkst'!$Q$7:$Q$2010,'LAC 102_Wkst'!$D$7:$D$2010,$C$7,'LAC 102_Wkst'!$I$7:$I$2010,$C$9,'LAC 102_Wkst'!$E$7:$E$2010,$C75,'LAC 102_Wkst'!$G$7:$G$2010,$D75,'LAC 102_Wkst'!$L$7:$L$2010,"02",'LAC 102_Wkst'!$N$7:$N$2010,"P5")</f>
        <v>0</v>
      </c>
      <c r="K75" s="411">
        <f>SUMIFS('LAC 102_Wkst'!$AF$7:$AF$2010,'LAC 102_Wkst'!$D$7:$D$2010,$C$7,'LAC 102_Wkst'!$I$7:$I$2010,$C$9,'LAC 102_Wkst'!$E$7:$E$2010,$C75,'LAC 102_Wkst'!$G$7:$G$2010,$D75,'LAC 102_Wkst'!$L$7:$L$2010,"01",'LAC 102_Wkst'!$N$7:$N$2010,"P5")+SUMIFS('LAC 102_Wkst'!$AF$7:$AF$2010,'LAC 102_Wkst'!$D$7:$D$2010,$C$7,'LAC 102_Wkst'!$I$7:$I$2010,$C$9,'LAC 102_Wkst'!$E$7:$E$2010,$C75,'LAC 102_Wkst'!$G$7:$G$2010,$D75,'LAC 102_Wkst'!$L$7:$L$2010,"02",'LAC 102_Wkst'!$N$7:$N$2010,"P5")</f>
        <v>0</v>
      </c>
      <c r="L75" s="410">
        <f>SUMIFS('LAC 102_Wkst'!$Q$7:$Q$2010,'LAC 102_Wkst'!$D$7:$D$2010,$C$7,'LAC 102_Wkst'!$I$7:$I$2010,$C$9,'LAC 102_Wkst'!$E$7:$E$2010,$C75,'LAC 102_Wkst'!$G$7:$G$2010,$D75,'LAC 102_Wkst'!$L$7:$L$2010,"03",'LAC 102_Wkst'!$N$7:$N$2010,"P1")+SUMIFS('LAC 102_Wkst'!$Q$7:$Q$2010,'LAC 102_Wkst'!$D$7:$D$2010,$C$7,'LAC 102_Wkst'!$I$7:$I$2010,$C$9,'LAC 102_Wkst'!$E$7:$E$2010,$C75,'LAC 102_Wkst'!$G$7:$G$2010,$D75,'LAC 102_Wkst'!$L$7:$L$2010,"03",'LAC 102_Wkst'!$N$7:$N$2010,"P2")+SUMIFS('LAC 102_Wkst'!$Q$7:$Q$2010,'LAC 102_Wkst'!$D$7:$D$2010,$C$7,'LAC 102_Wkst'!$I$7:$I$2010,$C$9,'LAC 102_Wkst'!$E$7:$E$2010,$C75,'LAC 102_Wkst'!$G$7:$G$2010,$D75,'LAC 102_Wkst'!$L$7:$L$2010,"03",'LAC 102_Wkst'!$N$7:$N$2010,"P3")+SUMIFS('LAC 102_Wkst'!$Q$7:$Q$2010,'LAC 102_Wkst'!$D$7:$D$2010,$C$7,'LAC 102_Wkst'!$I$7:$I$2010,$C$9,'LAC 102_Wkst'!$E$7:$E$2010,$C75,'LAC 102_Wkst'!$G$7:$G$2010,$D75,'LAC 102_Wkst'!$L$7:$L$2010,"04",'LAC 102_Wkst'!$N$7:$N$2010,"P1")+SUMIFS('LAC 102_Wkst'!$Q$7:$Q$2010,'LAC 102_Wkst'!$D$7:$D$2010,$C$7,'LAC 102_Wkst'!$I$7:$I$2010,$C$9,'LAC 102_Wkst'!$E$7:$E$2010,$C75,'LAC 102_Wkst'!$G$7:$G$2010,$D75,'LAC 102_Wkst'!$L$7:$L$2010,"04",'LAC 102_Wkst'!$N$7:$N$2010,"P2")+SUMIFS('LAC 102_Wkst'!$Q$7:$Q$2010,'LAC 102_Wkst'!$D$7:$D$2010,$C$7,'LAC 102_Wkst'!$I$7:$I$2010,$C$9,'LAC 102_Wkst'!$E$7:$E$2010,$C75,'LAC 102_Wkst'!$G$7:$G$2010,$D75,'LAC 102_Wkst'!$L$7:$L$2010,"04",'LAC 102_Wkst'!$N$7:$N$2010,"P3")</f>
        <v>0</v>
      </c>
      <c r="M75" s="411">
        <f>SUMIFS('LAC 102_Wkst'!$AF$7:$AF$2010,'LAC 102_Wkst'!$D$7:$D$2010,$C$7,'LAC 102_Wkst'!$I$7:$I$2010,$C$9,'LAC 102_Wkst'!$E$7:$E$2010,$C75,'LAC 102_Wkst'!$G$7:$G$2010,$D75,'LAC 102_Wkst'!$L$7:$L$2010,"03",'LAC 102_Wkst'!$N$7:$N$2010,"P1")+SUMIFS('LAC 102_Wkst'!$AF$7:$AF$2010,'LAC 102_Wkst'!$D$7:$D$2010,$C$7,'LAC 102_Wkst'!$I$7:$I$2010,$C$9,'LAC 102_Wkst'!$E$7:$E$2010,$C75,'LAC 102_Wkst'!$G$7:$G$2010,$D75,'LAC 102_Wkst'!$L$7:$L$2010,"03",'LAC 102_Wkst'!$N$7:$N$2010,"P2")+SUMIFS('LAC 102_Wkst'!$AF$7:$AF$2010,'LAC 102_Wkst'!$D$7:$D$2010,$C$7,'LAC 102_Wkst'!$I$7:$I$2010,$C$9,'LAC 102_Wkst'!$E$7:$E$2010,$C75,'LAC 102_Wkst'!$G$7:$G$2010,$D75,'LAC 102_Wkst'!$L$7:$L$2010,"03",'LAC 102_Wkst'!$N$7:$N$2010,"P3")+SUMIFS('LAC 102_Wkst'!$AF$7:$AF$2010,'LAC 102_Wkst'!$D$7:$D$2010,$C$7,'LAC 102_Wkst'!$I$7:$I$2010,$C$9,'LAC 102_Wkst'!$E$7:$E$2010,$C75,'LAC 102_Wkst'!$G$7:$G$2010,$D75,'LAC 102_Wkst'!$L$7:$L$2010,"04",'LAC 102_Wkst'!$N$7:$N$2010,"P1")+SUMIFS('LAC 102_Wkst'!$AF$7:$AF$2010,'LAC 102_Wkst'!$D$7:$D$2010,$C$7,'LAC 102_Wkst'!$I$7:$I$2010,$C$9,'LAC 102_Wkst'!$E$7:$E$2010,$C75,'LAC 102_Wkst'!$G$7:$G$2010,$D75,'LAC 102_Wkst'!$L$7:$L$2010,"04",'LAC 102_Wkst'!$N$7:$N$2010,"P2")+SUMIFS('LAC 102_Wkst'!$AF$7:$AF$2010,'LAC 102_Wkst'!$D$7:$D$2010,$C$7,'LAC 102_Wkst'!$I$7:$I$2010,$C$9,'LAC 102_Wkst'!$E$7:$E$2010,$C75,'LAC 102_Wkst'!$G$7:$G$2010,$D75,'LAC 102_Wkst'!$L$7:$L$2010,"04",'LAC 102_Wkst'!$N$7:$N$2010,"P3")</f>
        <v>0</v>
      </c>
      <c r="N75" s="410">
        <f>SUMIFS('LAC 102_Wkst'!$Q$7:$Q$2010,'LAC 102_Wkst'!$D$7:$D$2010,$C$7,'LAC 102_Wkst'!$I$7:$I$2010,$C$9,'LAC 102_Wkst'!$E$7:$E$2010,$C75,'LAC 102_Wkst'!$G$7:$G$2010,$D75,'LAC 102_Wkst'!$L$7:$L$2010,"03",'LAC 102_Wkst'!$N$7:$N$2010,"P4")+SUMIFS('LAC 102_Wkst'!$Q$7:$Q$2010,'LAC 102_Wkst'!$D$7:$D$2010,$C$7,'LAC 102_Wkst'!$I$7:$I$2010,$C$9,'LAC 102_Wkst'!$E$7:$E$2010,$C75,'LAC 102_Wkst'!$G$7:$G$2010,$D75,'LAC 102_Wkst'!$L$7:$L$2010,"04",'LAC 102_Wkst'!$N$7:$N$2010,"P4")</f>
        <v>0</v>
      </c>
      <c r="O75" s="411">
        <f>SUMIFS('LAC 102_Wkst'!$AF$7:$AF$2010,'LAC 102_Wkst'!$D$7:$D$2010,$C$7,'LAC 102_Wkst'!$I$7:$I$2010,$C$9,'LAC 102_Wkst'!$E$7:$E$2010,$C75,'LAC 102_Wkst'!$G$7:$G$2010,$D75,'LAC 102_Wkst'!$L$7:$L$2010,"03",'LAC 102_Wkst'!$N$7:$N$2010,"P4")+SUMIFS('LAC 102_Wkst'!$AF$7:$AF$2010,'LAC 102_Wkst'!$D$7:$D$2010,$C$7,'LAC 102_Wkst'!$I$7:$I$2010,$C$9,'LAC 102_Wkst'!$E$7:$E$2010,$C75,'LAC 102_Wkst'!$G$7:$G$2010,$D75,'LAC 102_Wkst'!$L$7:$L$2010,"04",'LAC 102_Wkst'!$N$7:$N$2010,"P4")</f>
        <v>0</v>
      </c>
      <c r="P75" s="410">
        <f>SUMIFS('LAC 102_Wkst'!$Q$7:$Q$2010,'LAC 102_Wkst'!$D$7:$D$2010,$C$7,'LAC 102_Wkst'!$I$7:$I$2010,$C$9,'LAC 102_Wkst'!$E$7:$E$2010,$C75,'LAC 102_Wkst'!$G$7:$G$2010,$D75,'LAC 102_Wkst'!$L$7:$L$2010,"03",'LAC 102_Wkst'!$N$7:$N$2010,"P5")+SUMIFS('LAC 102_Wkst'!$Q$7:$Q$2010,'LAC 102_Wkst'!$D$7:$D$2010,$C$7,'LAC 102_Wkst'!$I$7:$I$2010,$C$9,'LAC 102_Wkst'!$E$7:$E$2010,$C75,'LAC 102_Wkst'!$G$7:$G$2010,$D75,'LAC 102_Wkst'!$L$7:$L$2010,"04",'LAC 102_Wkst'!$N$7:$N$2010,"P5")</f>
        <v>0</v>
      </c>
      <c r="Q75" s="411">
        <f>SUMIFS('LAC 102_Wkst'!$AF$7:$AF$2010,'LAC 102_Wkst'!$D$7:$D$2010,$C$7,'LAC 102_Wkst'!$I$7:$I$2010,$C$9,'LAC 102_Wkst'!$E$7:$E$2010,$C75,'LAC 102_Wkst'!$G$7:$G$2010,$D75,'LAC 102_Wkst'!$L$7:$L$2010,"03",'LAC 102_Wkst'!$N$7:$N$2010,"P5")+SUMIFS('LAC 102_Wkst'!$AF$7:$AF$2010,'LAC 102_Wkst'!$D$7:$D$2010,$C$7,'LAC 102_Wkst'!$I$7:$I$2010,$C$9,'LAC 102_Wkst'!$E$7:$E$2010,$C75,'LAC 102_Wkst'!$G$7:$G$2010,$D75,'LAC 102_Wkst'!$L$7:$L$2010,"04",'LAC 102_Wkst'!$N$7:$N$2010,"P5")</f>
        <v>0</v>
      </c>
      <c r="R75" s="412">
        <f>SUMIFS('LAC 102_Wkst'!$Q$7:$Q$2010,'LAC 102_Wkst'!$D$7:$D$2010,$C$7,'LAC 102_Wkst'!$I$7:$I$2010,$C$9,'LAC 102_Wkst'!$E$7:$E$2010,$C75,'LAC 102_Wkst'!$G$7:$G$2010,$D75,'LAC 102_Wkst'!$L$7:$L$2010,"05",'LAC 102_Wkst'!$N$7:$N$2010,"P1")+SUMIFS('LAC 102_Wkst'!$Q$7:$Q$2010,'LAC 102_Wkst'!$D$7:$D$2010,$C$7,'LAC 102_Wkst'!$I$7:$I$2010,$C$9,'LAC 102_Wkst'!$E$7:$E$2010,$C75,'LAC 102_Wkst'!$G$7:$G$2010,$D75,'LAC 102_Wkst'!$L$7:$L$2010,"06",'LAC 102_Wkst'!$N$7:$N$2010,"P1")</f>
        <v>0</v>
      </c>
      <c r="S75" s="411">
        <f>SUMIFS('LAC 102_Wkst'!$AF$7:$AF$2010,'LAC 102_Wkst'!$D$7:$D$2010,$C$7,'LAC 102_Wkst'!$I$7:$I$2010,$C$9,'LAC 102_Wkst'!$E$7:$E$2010,$C75,'LAC 102_Wkst'!$G$7:$G$2010,$D75,'LAC 102_Wkst'!$L$7:$L$2010,"05",'LAC 102_Wkst'!$N$7:$N$2010,"P1")+SUMIFS('LAC 102_Wkst'!$AF$7:$AF$2010,'LAC 102_Wkst'!$D$7:$D$2010,$C$7,'LAC 102_Wkst'!$I$7:$I$2010,$C$9,'LAC 102_Wkst'!$E$7:$E$2010,$C75,'LAC 102_Wkst'!$G$7:$G$2010,$D75,'LAC 102_Wkst'!$L$7:$L$2010,"06",'LAC 102_Wkst'!$N$7:$N$2010,"P1")</f>
        <v>0</v>
      </c>
      <c r="T75" s="410">
        <f>SUMIFS('LAC 102_Wkst'!$Q$7:$Q$2010,'LAC 102_Wkst'!$D$7:$D$2010,$C$7,'LAC 102_Wkst'!$I$7:$I$2010,$C$9,'LAC 102_Wkst'!$E$7:$E$2010,$C75,'LAC 102_Wkst'!$G$7:$G$2010,$D75,'LAC 102_Wkst'!$L$7:$L$2010,"05",'LAC 102_Wkst'!$N$7:$N$2010,"P2")+SUMIFS('LAC 102_Wkst'!$Q$7:$Q$2010,'LAC 102_Wkst'!$D$7:$D$2010,$C$7,'LAC 102_Wkst'!$I$7:$I$2010,$C$9,'LAC 102_Wkst'!$E$7:$E$2010,$C75,'LAC 102_Wkst'!$G$7:$G$2010,$D75,'LAC 102_Wkst'!$L$7:$L$2010,"06",'LAC 102_Wkst'!$N$7:$N$2010,"P2")+SUMIFS('LAC 102_Wkst'!$Q$7:$Q$2010,'LAC 102_Wkst'!$D$7:$D$2010,$C$7,'LAC 102_Wkst'!$I$7:$I$2010,$C$9,'LAC 102_Wkst'!$E$7:$E$2010,$C75,'LAC 102_Wkst'!$G$7:$G$2010,$D75,'LAC 102_Wkst'!$L$7:$L$2010,"05",'LAC 102_Wkst'!$N$7:$N$2010,"P3")+SUMIFS('LAC 102_Wkst'!$Q$7:$Q$2010,'LAC 102_Wkst'!$D$7:$D$2010,$C$7,'LAC 102_Wkst'!$I$7:$I$2010,$C$9,'LAC 102_Wkst'!$E$7:$E$2010,$C75,'LAC 102_Wkst'!$G$7:$G$2010,$D75,'LAC 102_Wkst'!$L$7:$L$2010,"06",'LAC 102_Wkst'!$N$7:$N$2010,"P3")</f>
        <v>0</v>
      </c>
      <c r="U75" s="411">
        <f>SUMIFS('LAC 102_Wkst'!$AF$7:$AF$2010,'LAC 102_Wkst'!$D$7:$D$2010,$C$7,'LAC 102_Wkst'!$I$7:$I$2010,$C$9,'LAC 102_Wkst'!$E$7:$E$2010,$C75,'LAC 102_Wkst'!$G$7:$G$2010,$D75,'LAC 102_Wkst'!$L$7:$L$2010,"05",'LAC 102_Wkst'!$N$7:$N$2010,"P2")+SUMIFS('LAC 102_Wkst'!$AF$7:$AF$2010,'LAC 102_Wkst'!$D$7:$D$2010,$C$7,'LAC 102_Wkst'!$I$7:$I$2010,$C$9,'LAC 102_Wkst'!$E$7:$E$2010,$C75,'LAC 102_Wkst'!$G$7:$G$2010,$D75,'LAC 102_Wkst'!$L$7:$L$2010,"06",'LAC 102_Wkst'!$N$7:$N$2010,"P2")+SUMIFS('LAC 102_Wkst'!$AF$7:$AF$2010,'LAC 102_Wkst'!$D$7:$D$2010,$C$7,'LAC 102_Wkst'!$I$7:$I$2010,$C$9,'LAC 102_Wkst'!$E$7:$E$2010,$C75,'LAC 102_Wkst'!$G$7:$G$2010,$D75,'LAC 102_Wkst'!$L$7:$L$2010,"05",'LAC 102_Wkst'!$N$7:$N$2010,"P3")+SUMIFS('LAC 102_Wkst'!$AF$7:$AF$2010,'LAC 102_Wkst'!$D$7:$D$2010,$C$7,'LAC 102_Wkst'!$I$7:$I$2010,$C$9,'LAC 102_Wkst'!$E$7:$E$2010,$C75,'LAC 102_Wkst'!$G$7:$G$2010,$D75,'LAC 102_Wkst'!$L$7:$L$2010,"06",'LAC 102_Wkst'!$N$7:$N$2010,"P3")</f>
        <v>0</v>
      </c>
      <c r="V75" s="410">
        <f>SUMIFS('LAC 102_Wkst'!$Q$7:$Q$2010,'LAC 102_Wkst'!$D$7:$D$2010,$C$7,'LAC 102_Wkst'!$I$7:$I$2010,$C$9,'LAC 102_Wkst'!$E$7:$E$2010,$C75,'LAC 102_Wkst'!$G$7:$G$2010,$D75,'LAC 102_Wkst'!$L$7:$L$2010,"05",'LAC 102_Wkst'!$N$7:$N$2010,"P4")+SUMIFS('LAC 102_Wkst'!$Q$7:$Q$2010,'LAC 102_Wkst'!$D$7:$D$2010,$C$7,'LAC 102_Wkst'!$I$7:$I$2010,$C$9,'LAC 102_Wkst'!$E$7:$E$2010,$C75,'LAC 102_Wkst'!$G$7:$G$2010,$D75,'LAC 102_Wkst'!$L$7:$L$2010,"06",'LAC 102_Wkst'!$N$7:$N$2010,"P4")</f>
        <v>0</v>
      </c>
      <c r="W75" s="411">
        <f>SUMIFS('LAC 102_Wkst'!$AF$7:$AF$2010,'LAC 102_Wkst'!$D$7:$D$2010,$C$7,'LAC 102_Wkst'!$I$7:$I$2010,$C$9,'LAC 102_Wkst'!$E$7:$E$2010,$C75,'LAC 102_Wkst'!$G$7:$G$2010,$D75,'LAC 102_Wkst'!$L$7:$L$2010,"05",'LAC 102_Wkst'!$N$7:$N$2010,"P4")+SUMIFS('LAC 102_Wkst'!$AF$7:$AF$2010,'LAC 102_Wkst'!$D$7:$D$2010,$C$7,'LAC 102_Wkst'!$I$7:$I$2010,$C$9,'LAC 102_Wkst'!$E$7:$E$2010,$C75,'LAC 102_Wkst'!$G$7:$G$2010,$D75,'LAC 102_Wkst'!$L$7:$L$2010,"06",'LAC 102_Wkst'!$N$7:$N$2010,"P4")</f>
        <v>0</v>
      </c>
      <c r="X75" s="410">
        <f>SUMIFS('LAC 102_Wkst'!$Q$7:$Q$2010,'LAC 102_Wkst'!$D$7:$D$2010,$C$7,'LAC 102_Wkst'!$I$7:$I$2010,$C$9,'LAC 102_Wkst'!$E$7:$E$2010,$C75,'LAC 102_Wkst'!$G$7:$G$2010,$D75,'LAC 102_Wkst'!$L$7:$L$2010,"05",'LAC 102_Wkst'!$N$7:$N$2010,"P5")+SUMIFS('LAC 102_Wkst'!$Q$7:$Q$2010,'LAC 102_Wkst'!$D$7:$D$2010,$C$7,'LAC 102_Wkst'!$I$7:$I$2010,$C$9,'LAC 102_Wkst'!$E$7:$E$2010,$C75,'LAC 102_Wkst'!$G$7:$G$2010,$D75,'LAC 102_Wkst'!$L$7:$L$2010,"06",'LAC 102_Wkst'!$N$7:$N$2010,"P5")</f>
        <v>0</v>
      </c>
      <c r="Y75" s="411">
        <f>SUMIFS('LAC 102_Wkst'!$AF$7:$AF$2010,'LAC 102_Wkst'!$D$7:$D$2010,$C$7,'LAC 102_Wkst'!$I$7:$I$2010,$C$9,'LAC 102_Wkst'!$E$7:$E$2010,$C75,'LAC 102_Wkst'!$G$7:$G$2010,$D75,'LAC 102_Wkst'!$L$7:$L$2010,"05",'LAC 102_Wkst'!$N$7:$N$2010,"P5")+SUMIFS('LAC 102_Wkst'!$AF$7:$AF$2010,'LAC 102_Wkst'!$D$7:$D$2010,$C$7,'LAC 102_Wkst'!$I$7:$I$2010,$C$9,'LAC 102_Wkst'!$E$7:$E$2010,$C75,'LAC 102_Wkst'!$G$7:$G$2010,$D75,'LAC 102_Wkst'!$L$7:$L$2010,"06",'LAC 102_Wkst'!$N$7:$N$2010,"P5")</f>
        <v>0</v>
      </c>
      <c r="Z75" s="410">
        <f>SUMIFS('LAC 102_Wkst'!$Q$7:$Q$2010,'LAC 102_Wkst'!$D$7:$D$2010,$C$7,'LAC 102_Wkst'!$I$7:$I$2010,$C$9,'LAC 102_Wkst'!$E$7:$E$2010,$C75,'LAC 102_Wkst'!$G$7:$G$2010,$D75,'LAC 102_Wkst'!$L$7:$L$2010,"07",'LAC 102_Wkst'!$N$7:$N$2010,"P1")+SUMIFS('LAC 102_Wkst'!$Q$7:$Q$2010,'LAC 102_Wkst'!$D$7:$D$2010,$C$7,'LAC 102_Wkst'!$I$7:$I$2010,$C$9,'LAC 102_Wkst'!$E$7:$E$2010,$C75,'LAC 102_Wkst'!$G$7:$G$2010,$D75,'LAC 102_Wkst'!$L$7:$L$2010,"07",'LAC 102_Wkst'!$N$7:$N$2010,"P2")+SUMIFS('LAC 102_Wkst'!$Q$7:$Q$2010,'LAC 102_Wkst'!$D$7:$D$2010,$C$7,'LAC 102_Wkst'!$I$7:$I$2010,$C$9,'LAC 102_Wkst'!$E$7:$E$2010,$C75,'LAC 102_Wkst'!$G$7:$G$2010,$D75,'LAC 102_Wkst'!$L$7:$L$2010,"07",'LAC 102_Wkst'!$N$7:$N$2010,"P3")</f>
        <v>0</v>
      </c>
      <c r="AA75" s="411">
        <f>SUMIFS('LAC 102_Wkst'!$AF$7:$AF$2010,'LAC 102_Wkst'!$D$7:$D$2010,$C$7,'LAC 102_Wkst'!$I$7:$I$2010,$C$9,'LAC 102_Wkst'!$E$7:$E$2010,$C75,'LAC 102_Wkst'!$G$7:$G$2010,$D75,'LAC 102_Wkst'!$L$7:$L$2010,"07",'LAC 102_Wkst'!$N$7:$N$2010,"P1")+SUMIFS('LAC 102_Wkst'!$AF$7:$AF$2010,'LAC 102_Wkst'!$D$7:$D$2010,$C$7,'LAC 102_Wkst'!$I$7:$I$2010,$C$9,'LAC 102_Wkst'!$E$7:$E$2010,$C75,'LAC 102_Wkst'!$G$7:$G$2010,$D75,'LAC 102_Wkst'!$L$7:$L$2010,"07",'LAC 102_Wkst'!$N$7:$N$2010,"P2")+SUMIFS('LAC 102_Wkst'!$AF$7:$AF$2010,'LAC 102_Wkst'!$D$7:$D$2010,$C$7,'LAC 102_Wkst'!$I$7:$I$2010,$C$9,'LAC 102_Wkst'!$E$7:$E$2010,$C75,'LAC 102_Wkst'!$G$7:$G$2010,$D75,'LAC 102_Wkst'!$L$7:$L$2010,"07",'LAC 102_Wkst'!$N$7:$N$2010,"P3")</f>
        <v>0</v>
      </c>
      <c r="AB75" s="410">
        <f>SUMIFS('LAC 102_Wkst'!$Q$7:$Q$2010,'LAC 102_Wkst'!$D$7:$D$2010,$C$7,'LAC 102_Wkst'!$I$7:$I$2010,$C$9,'LAC 102_Wkst'!$E$7:$E$2010,$C75,'LAC 102_Wkst'!$G$7:$G$2010,$D75,'LAC 102_Wkst'!$L$7:$L$2010,"07",'LAC 102_Wkst'!$N$7:$N$2010,"P4")</f>
        <v>0</v>
      </c>
      <c r="AC75" s="411">
        <f>SUMIFS('LAC 102_Wkst'!$AF$7:$AF$2010,'LAC 102_Wkst'!$D$7:$D$2010,$C$7,'LAC 102_Wkst'!$I$7:$I$2010,$C$9,'LAC 102_Wkst'!$E$7:$E$2010,$C75,'LAC 102_Wkst'!$G$7:$G$2010,$D75,'LAC 102_Wkst'!$L$7:$L$2010,"07",'LAC 102_Wkst'!$N$7:$N$2010,"P4")</f>
        <v>0</v>
      </c>
      <c r="AD75" s="410">
        <f>SUMIFS('LAC 102_Wkst'!$Q$7:$Q$2010,'LAC 102_Wkst'!$D$7:$D$2010,$C$7,'LAC 102_Wkst'!$I$7:$I$2010,$C$9,'LAC 102_Wkst'!$E$7:$E$2010,$C75,'LAC 102_Wkst'!$G$7:$G$2010,$D75,'LAC 102_Wkst'!$L$7:$L$2010,"07",'LAC 102_Wkst'!$N$7:$N$2010,"P5")</f>
        <v>0</v>
      </c>
      <c r="AE75" s="411">
        <f>SUMIFS('LAC 102_Wkst'!$AF$7:$AF$2010,'LAC 102_Wkst'!$D$7:$D$2010,$C$7,'LAC 102_Wkst'!$I$7:$I$2010,$C$9,'LAC 102_Wkst'!$E$7:$E$2010,$C75,'LAC 102_Wkst'!$G$7:$G$2010,$D75,'LAC 102_Wkst'!$L$7:$L$2010,"07",'LAC 102_Wkst'!$N$7:$N$2010,"P5")</f>
        <v>0</v>
      </c>
      <c r="AF75" s="410">
        <f>SUMIFS('LAC 102_Wkst'!$Q$7:$Q$2010,'LAC 102_Wkst'!$D$7:$D$2010,$C$7,'LAC 102_Wkst'!$I$7:$I$2010,$C$9,'LAC 102_Wkst'!$E$7:$E$2010,$C75,'LAC 102_Wkst'!$G$7:$G$2010,$D75,'LAC 102_Wkst'!$L$7:$L$2010,"08",'LAC 102_Wkst'!$N$7:$N$2010,"P1")+SUMIFS('LAC 102_Wkst'!$Q$7:$Q$2010,'LAC 102_Wkst'!$D$7:$D$2010,$C$7,'LAC 102_Wkst'!$I$7:$I$2010,$C$9,'LAC 102_Wkst'!$E$7:$E$2010,$C75,'LAC 102_Wkst'!$G$7:$G$2010,$D75,'LAC 102_Wkst'!$L$7:$L$2010,"08",'LAC 102_Wkst'!$N$7:$N$2010,"P2")+SUMIFS('LAC 102_Wkst'!$Q$7:$Q$2010,'LAC 102_Wkst'!$D$7:$D$2010,$C$7,'LAC 102_Wkst'!$I$7:$I$2010,$C$9,'LAC 102_Wkst'!$E$7:$E$2010,$C75,'LAC 102_Wkst'!$G$7:$G$2010,$D75,'LAC 102_Wkst'!$L$7:$L$2010,"08",'LAC 102_Wkst'!$N$7:$N$2010,"P3")</f>
        <v>0</v>
      </c>
      <c r="AG75" s="411">
        <f>SUMIFS('LAC 102_Wkst'!$AF$7:$AF$2010,'LAC 102_Wkst'!$D$7:$D$2010,$C$7,'LAC 102_Wkst'!$I$7:$I$2010,$C$9,'LAC 102_Wkst'!$E$7:$E$2010,$C75,'LAC 102_Wkst'!$G$7:$G$2010,$D75,'LAC 102_Wkst'!$L$7:$L$2010,"08",'LAC 102_Wkst'!$N$7:$N$2010,"P1")+SUMIFS('LAC 102_Wkst'!$AF$7:$AF$2010,'LAC 102_Wkst'!$D$7:$D$2010,$C$7,'LAC 102_Wkst'!$I$7:$I$2010,$C$9,'LAC 102_Wkst'!$E$7:$E$2010,$C75,'LAC 102_Wkst'!$G$7:$G$2010,$D75,'LAC 102_Wkst'!$L$7:$L$2010,"08",'LAC 102_Wkst'!$N$7:$N$2010,"P2")+SUMIFS('LAC 102_Wkst'!$AF$7:$AF$2010,'LAC 102_Wkst'!$D$7:$D$2010,$C$7,'LAC 102_Wkst'!$I$7:$I$2010,$C$9,'LAC 102_Wkst'!$E$7:$E$2010,$C75,'LAC 102_Wkst'!$G$7:$G$2010,$D75,'LAC 102_Wkst'!$L$7:$L$2010,"08",'LAC 102_Wkst'!$N$7:$N$2010,"P3")</f>
        <v>0</v>
      </c>
      <c r="AH75" s="410">
        <f>SUMIFS('LAC 102_Wkst'!$Q$7:$Q$2010,'LAC 102_Wkst'!$D$7:$D$2010,$C$7,'LAC 102_Wkst'!$I$7:$I$2010,$C$9,'LAC 102_Wkst'!$E$7:$E$2010,$C75,'LAC 102_Wkst'!$G$7:$G$2010,$D75,'LAC 102_Wkst'!$L$7:$L$2010,"08",'LAC 102_Wkst'!$N$7:$N$2010,"P4")</f>
        <v>0</v>
      </c>
      <c r="AI75" s="411">
        <f>SUMIFS('LAC 102_Wkst'!$AF$7:$AF$2010,'LAC 102_Wkst'!$D$7:$D$2010,$C$7,'LAC 102_Wkst'!$I$7:$I$2010,$C$9,'LAC 102_Wkst'!$E$7:$E$2010,$C75,'LAC 102_Wkst'!$G$7:$G$2010,$D75,'LAC 102_Wkst'!$L$7:$L$2010,"08",'LAC 102_Wkst'!$N$7:$N$2010,"P4")</f>
        <v>0</v>
      </c>
      <c r="AJ75" s="410">
        <f>SUMIFS('LAC 102_Wkst'!$Q$7:$Q$2010,'LAC 102_Wkst'!$D$7:$D$2010,$C$7,'LAC 102_Wkst'!$I$7:$I$2010,$C$9,'LAC 102_Wkst'!$E$7:$E$2010,$C75,'LAC 102_Wkst'!$G$7:$G$2010,$D75,'LAC 102_Wkst'!$L$7:$L$2010,"08",'LAC 102_Wkst'!$N$7:$N$2010,"P5")</f>
        <v>0</v>
      </c>
      <c r="AK75" s="411">
        <f>SUMIFS('LAC 102_Wkst'!$AF$7:$AF$2010,'LAC 102_Wkst'!$D$7:$D$2010,$C$7,'LAC 102_Wkst'!$I$7:$I$2010,$C$9,'LAC 102_Wkst'!$E$7:$E$2010,$C75,'LAC 102_Wkst'!$G$7:$G$2010,$D75,'LAC 102_Wkst'!$L$7:$L$2010,"08",'LAC 102_Wkst'!$N$7:$N$2010,"P5")</f>
        <v>0</v>
      </c>
      <c r="AL75" s="410">
        <f>SUMIFS('LAC 102_Wkst'!$Q$7:$Q$2010,'LAC 102_Wkst'!$D$7:$D$2010,$C$7,'LAC 102_Wkst'!$I$7:$I$2010,$C$9,'LAC 102_Wkst'!$E$7:$E$2010,$C75,'LAC 102_Wkst'!$G$7:$G$2010,$D75,'LAC 102_Wkst'!$L$7:$L$2010,"09",'LAC 102_Wkst'!$N$7:$N$2010,"P1")+SUMIFS('LAC 102_Wkst'!$Q$7:$Q$2010,'LAC 102_Wkst'!$D$7:$D$2010,$C$7,'LAC 102_Wkst'!$I$7:$I$2010,$C$9,'LAC 102_Wkst'!$E$7:$E$2010,$C75,'LAC 102_Wkst'!$G$7:$G$2010,$D75,'LAC 102_Wkst'!$L$7:$L$2010,"09",'LAC 102_Wkst'!$N$7:$N$2010,"P2")+SUMIFS('LAC 102_Wkst'!$Q$7:$Q$2010,'LAC 102_Wkst'!$D$7:$D$2010,$C$7,'LAC 102_Wkst'!$I$7:$I$2010,$C$9,'LAC 102_Wkst'!$E$7:$E$2010,$C75,'LAC 102_Wkst'!$G$7:$G$2010,$D75,'LAC 102_Wkst'!$L$7:$L$2010,"09",'LAC 102_Wkst'!$N$7:$N$2010,"P3")+SUMIFS('LAC 102_Wkst'!$Q$7:$Q$2010,'LAC 102_Wkst'!$D$7:$D$2010,$C$7,'LAC 102_Wkst'!$I$7:$I$2010,$C$9,'LAC 102_Wkst'!$E$7:$E$2010,$C75,'LAC 102_Wkst'!$G$7:$G$2010,$D75,'LAC 102_Wkst'!$L$7:$L$2010,"09",'LAC 102_Wkst'!$N$7:$N$2010,"P4")</f>
        <v>0</v>
      </c>
      <c r="AM75" s="411">
        <f>SUMIFS('LAC 102_Wkst'!$AF$7:$AF$2010,'LAC 102_Wkst'!$D$7:$D$2010,$C$7,'LAC 102_Wkst'!$I$7:$I$2010,$C$9,'LAC 102_Wkst'!$E$7:$E$2010,$C75,'LAC 102_Wkst'!$G$7:$G$2010,$D75,'LAC 102_Wkst'!$L$7:$L$2010,"09",'LAC 102_Wkst'!$N$7:$N$2010,"P1")+SUMIFS('LAC 102_Wkst'!$AF$7:$AF$2010,'LAC 102_Wkst'!$D$7:$D$2010,$C$7,'LAC 102_Wkst'!$I$7:$I$2010,$C$9,'LAC 102_Wkst'!$E$7:$E$2010,$C75,'LAC 102_Wkst'!$G$7:$G$2010,$D75,'LAC 102_Wkst'!$L$7:$L$2010,"09",'LAC 102_Wkst'!$N$7:$N$2010,"P2")+SUMIFS('LAC 102_Wkst'!$AF$7:$AF$2010,'LAC 102_Wkst'!$D$7:$D$2010,$C$7,'LAC 102_Wkst'!$I$7:$I$2010,$C$9,'LAC 102_Wkst'!$E$7:$E$2010,$C75,'LAC 102_Wkst'!$G$7:$G$2010,$D75,'LAC 102_Wkst'!$L$7:$L$2010,"09",'LAC 102_Wkst'!$N$7:$N$2010,"P3")+SUMIFS('LAC 102_Wkst'!$AF$7:$AF$2010,'LAC 102_Wkst'!$D$7:$D$2010,$C$7,'LAC 102_Wkst'!$I$7:$I$2010,$C$9,'LAC 102_Wkst'!$E$7:$E$2010,$C75,'LAC 102_Wkst'!$G$7:$G$2010,$D75,'LAC 102_Wkst'!$L$7:$L$2010,"09",'LAC 102_Wkst'!$N$7:$N$2010,"P4")</f>
        <v>0</v>
      </c>
      <c r="AN75" s="410">
        <f>SUMIFS('LAC 102_Wkst'!$Q$7:$Q$2010,'LAC 102_Wkst'!$D$7:$D$2010,$C$7,'LAC 102_Wkst'!$I$7:$I$2010,$C$9,'LAC 102_Wkst'!$E$7:$E$2010,$C75,'LAC 102_Wkst'!$G$7:$G$2010,$D75,'LAC 102_Wkst'!$L$7:$L$2010,"09",'LAC 102_Wkst'!$N$7:$N$2010,"P5")</f>
        <v>0</v>
      </c>
      <c r="AO75" s="411">
        <f>SUMIFS('LAC 102_Wkst'!$AF$7:$AF$2010,'LAC 102_Wkst'!$D$7:$D$2010,$C$7,'LAC 102_Wkst'!$I$7:$I$2010,$C$9,'LAC 102_Wkst'!$E$7:$E$2010,$C75,'LAC 102_Wkst'!$G$7:$G$2010,$D75,'LAC 102_Wkst'!$L$7:$L$2010,"09",'LAC 102_Wkst'!$N$7:$N$2010,"P5")</f>
        <v>0</v>
      </c>
      <c r="AP75" s="410">
        <f>SUMIFS('LAC 102_Wkst'!$Q$7:$Q$2010,'LAC 102_Wkst'!$D$7:$D$2010,$C$7,'LAC 102_Wkst'!$I$7:$I$2010,$C$9,'LAC 102_Wkst'!$E$7:$E$2010,$C75,'LAC 102_Wkst'!$G$7:$G$2010,$D75,'LAC 102_Wkst'!$L$7:$L$2010,"10",'LAC 102_Wkst'!$N$7:$N$2010,"P1")+SUMIFS('LAC 102_Wkst'!$Q$7:$Q$2010,'LAC 102_Wkst'!$D$7:$D$2010,$C$7,'LAC 102_Wkst'!$I$7:$I$2010,$C$9,'LAC 102_Wkst'!$E$7:$E$2010,$C75,'LAC 102_Wkst'!$G$7:$G$2010,$D75,'LAC 102_Wkst'!$L$7:$L$2010,"10",'LAC 102_Wkst'!$N$7:$N$2010,"P2")+SUMIFS('LAC 102_Wkst'!$Q$7:$Q$2010,'LAC 102_Wkst'!$D$7:$D$2010,$C$7,'LAC 102_Wkst'!$I$7:$I$2010,$C$9,'LAC 102_Wkst'!$E$7:$E$2010,$C75,'LAC 102_Wkst'!$G$7:$G$2010,$D75,'LAC 102_Wkst'!$L$7:$L$2010,"10",'LAC 102_Wkst'!$N$7:$N$2010,"P3")+SUMIFS('LAC 102_Wkst'!$Q$7:$Q$2010,'LAC 102_Wkst'!$D$7:$D$2010,$C$7,'LAC 102_Wkst'!$I$7:$I$2010,$C$9,'LAC 102_Wkst'!$E$7:$E$2010,$C75,'LAC 102_Wkst'!$G$7:$G$2010,$D75,'LAC 102_Wkst'!$L$7:$L$2010,"10",'LAC 102_Wkst'!$N$7:$N$2010,"P4")</f>
        <v>0</v>
      </c>
      <c r="AQ75" s="411">
        <f>SUMIFS('LAC 102_Wkst'!$AF$7:$AF$2010,'LAC 102_Wkst'!$D$7:$D$2010,$C$7,'LAC 102_Wkst'!$I$7:$I$2010,$C$9,'LAC 102_Wkst'!$E$7:$E$2010,$C75,'LAC 102_Wkst'!$G$7:$G$2010,$D75,'LAC 102_Wkst'!$L$7:$L$2010,"10",'LAC 102_Wkst'!$N$7:$N$2010,"P1")+SUMIFS('LAC 102_Wkst'!$AF$7:$AF$2010,'LAC 102_Wkst'!$D$7:$D$2010,$C$7,'LAC 102_Wkst'!$I$7:$I$2010,$C$9,'LAC 102_Wkst'!$E$7:$E$2010,$C75,'LAC 102_Wkst'!$G$7:$G$2010,$D75,'LAC 102_Wkst'!$L$7:$L$2010,"10",'LAC 102_Wkst'!$N$7:$N$2010,"P2")+SUMIFS('LAC 102_Wkst'!$AF$7:$AF$2010,'LAC 102_Wkst'!$D$7:$D$2010,$C$7,'LAC 102_Wkst'!$I$7:$I$2010,$C$9,'LAC 102_Wkst'!$E$7:$E$2010,$C75,'LAC 102_Wkst'!$G$7:$G$2010,$D75,'LAC 102_Wkst'!$L$7:$L$2010,"10",'LAC 102_Wkst'!$N$7:$N$2010,"P3")+SUMIFS('LAC 102_Wkst'!$AF$7:$AF$2010,'LAC 102_Wkst'!$D$7:$D$2010,$C$7,'LAC 102_Wkst'!$I$7:$I$2010,$C$9,'LAC 102_Wkst'!$E$7:$E$2010,$C75,'LAC 102_Wkst'!$G$7:$G$2010,$D75,'LAC 102_Wkst'!$L$7:$L$2010,"10",'LAC 102_Wkst'!$N$7:$N$2010,"P4")</f>
        <v>0</v>
      </c>
      <c r="AR75" s="410">
        <f>SUMIFS('LAC 102_Wkst'!$Q$7:$Q$2010,'LAC 102_Wkst'!$D$7:$D$2010,$C$7,'LAC 102_Wkst'!$I$7:$I$2010,$C$9,'LAC 102_Wkst'!$E$7:$E$2010,$C75,'LAC 102_Wkst'!$G$7:$G$2010,$D75,'LAC 102_Wkst'!$L$7:$L$2010,"10",'LAC 102_Wkst'!$N$7:$N$2010,"P5")</f>
        <v>0</v>
      </c>
      <c r="AS75" s="411">
        <f>SUMIFS('LAC 102_Wkst'!$AF$7:$AF$2010,'LAC 102_Wkst'!$D$7:$D$2010,$C$7,'LAC 102_Wkst'!$I$7:$I$2010,$C$9,'LAC 102_Wkst'!$E$7:$E$2010,$C75,'LAC 102_Wkst'!$G$7:$G$2010,$D75,'LAC 102_Wkst'!$L$7:$L$2010,"10",'LAC 102_Wkst'!$N$7:$N$2010,"P5")</f>
        <v>0</v>
      </c>
      <c r="AT75" s="410">
        <f>SUMIFS('LAC 102_Wkst'!$Q$7:$Q$2010,'LAC 102_Wkst'!$D$7:$D$2010,$C$7,'LAC 102_Wkst'!$I$7:$I$2010,$C$9,'LAC 102_Wkst'!$E$7:$E$2010,$C75,'LAC 102_Wkst'!$G$7:$G$2010,$D75,'LAC 102_Wkst'!$L$7:$L$2010,"11",'LAC 102_Wkst'!$N$7:$N$2010,"P1")+SUMIFS('LAC 102_Wkst'!$Q$7:$Q$2010,'LAC 102_Wkst'!$D$7:$D$2010,$C$7,'LAC 102_Wkst'!$I$7:$I$2010,$C$9,'LAC 102_Wkst'!$E$7:$E$2010,$C75,'LAC 102_Wkst'!$G$7:$G$2010,$D75,'LAC 102_Wkst'!$L$7:$L$2010,"12",'LAC 102_Wkst'!$N$7:$N$2010,"P1")</f>
        <v>0</v>
      </c>
      <c r="AU75" s="411">
        <f>SUMIFS('LAC 102_Wkst'!$Q$7:$Q$2010,'LAC 102_Wkst'!$D$7:$D$2010,$C$7,'LAC 102_Wkst'!$I$7:$I$2010,$C$9,'LAC 102_Wkst'!$E$7:$E$2010,$C75,'LAC 102_Wkst'!$G$7:$G$2010,$D75,'LAC 102_Wkst'!$L$7:$L$2010,"13",'LAC 102_Wkst'!$N$7:$N$2010,"P5")</f>
        <v>0</v>
      </c>
      <c r="AV75" s="410">
        <f>SUMIFS('LAC 102_Wkst'!$Q$7:$Q$2010,'LAC 102_Wkst'!$D$7:$D$2010,$C$7,'LAC 102_Wkst'!$I$7:$I$2010,$C$9,'LAC 102_Wkst'!$E$7:$E$2010,$C75,'LAC 102_Wkst'!$G$7:$G$2010,$D75,'LAC 102_Wkst'!$L$7:$L$2010,"11",'LAC 102_Wkst'!$N$7:$N$2010,"P2")+SUMIFS('LAC 102_Wkst'!$Q$7:$Q$2010,'LAC 102_Wkst'!$D$7:$D$2010,$C$7,'LAC 102_Wkst'!$I$7:$I$2010,$C$9,'LAC 102_Wkst'!$E$7:$E$2010,$C75,'LAC 102_Wkst'!$G$7:$G$2010,$D75,'LAC 102_Wkst'!$L$7:$L$2010,"12",'LAC 102_Wkst'!$N$7:$N$2010,"P2")+SUMIFS('LAC 102_Wkst'!$Q$7:$Q$2010,'LAC 102_Wkst'!$D$7:$D$2010,$C$7,'LAC 102_Wkst'!$I$7:$I$2010,$C$9,'LAC 102_Wkst'!$E$7:$E$2010,$C75,'LAC 102_Wkst'!$G$7:$G$2010,$D75,'LAC 102_Wkst'!$L$7:$L$2010,"11",'LAC 102_Wkst'!$N$7:$N$2010,"P3")+SUMIFS('LAC 102_Wkst'!$Q$7:$Q$2010,'LAC 102_Wkst'!$D$7:$D$2010,$C$7,'LAC 102_Wkst'!$I$7:$I$2010,$C$9,'LAC 102_Wkst'!$E$7:$E$2010,$C75,'LAC 102_Wkst'!$G$7:$G$2010,$D75,'LAC 102_Wkst'!$L$7:$L$2010,"12",'LAC 102_Wkst'!$N$7:$N$2010,"P3")</f>
        <v>0</v>
      </c>
      <c r="AW75" s="411">
        <f>SUMIFS('LAC 102_Wkst'!$AF$7:$AF$2010,'LAC 102_Wkst'!$D$7:$D$2010,$C$7,'LAC 102_Wkst'!$I$7:$I$2010,$C$9,'LAC 102_Wkst'!$E$7:$E$2010,$C75,'LAC 102_Wkst'!$G$7:$G$2010,$D75,'LAC 102_Wkst'!$L$7:$L$2010,"11",'LAC 102_Wkst'!$N$7:$N$2010,"P2")+SUMIFS('LAC 102_Wkst'!$AF$7:$AF$2010,'LAC 102_Wkst'!$D$7:$D$2010,$C$7,'LAC 102_Wkst'!$I$7:$I$2010,$C$9,'LAC 102_Wkst'!$E$7:$E$2010,$C75,'LAC 102_Wkst'!$G$7:$G$2010,$D75,'LAC 102_Wkst'!$L$7:$L$2010,"12",'LAC 102_Wkst'!$N$7:$N$2010,"P2")+SUMIFS('LAC 102_Wkst'!$AF$7:$AF$2010,'LAC 102_Wkst'!$D$7:$D$2010,$C$7,'LAC 102_Wkst'!$I$7:$I$2010,$C$9,'LAC 102_Wkst'!$E$7:$E$2010,$C75,'LAC 102_Wkst'!$G$7:$G$2010,$D75,'LAC 102_Wkst'!$L$7:$L$2010,"11",'LAC 102_Wkst'!$N$7:$N$2010,"P3")+SUMIFS('LAC 102_Wkst'!$AF$7:$AF$2010,'LAC 102_Wkst'!$D$7:$D$2010,$C$7,'LAC 102_Wkst'!$I$7:$I$2010,$C$9,'LAC 102_Wkst'!$E$7:$E$2010,$C75,'LAC 102_Wkst'!$G$7:$G$2010,$D75,'LAC 102_Wkst'!$L$7:$L$2010,"12",'LAC 102_Wkst'!$N$7:$N$2010,"P3")</f>
        <v>0</v>
      </c>
      <c r="AX75" s="410">
        <f>SUMIFS('LAC 102_Wkst'!$Q$7:$Q$2010,'LAC 102_Wkst'!$D$7:$D$2010,$C$7,'LAC 102_Wkst'!$I$7:$I$2010,$C$9,'LAC 102_Wkst'!$E$7:$E$2010,$C75,'LAC 102_Wkst'!$G$7:$G$2010,$D75,'LAC 102_Wkst'!$L$7:$L$2010,"11",'LAC 102_Wkst'!$N$7:$N$2010,"P4")+SUMIFS('LAC 102_Wkst'!$Q$7:$Q$2010,'LAC 102_Wkst'!$D$7:$D$2010,$C$7,'LAC 102_Wkst'!$I$7:$I$2010,$C$9,'LAC 102_Wkst'!$E$7:$E$2010,$C75,'LAC 102_Wkst'!$G$7:$G$2010,$D75,'LAC 102_Wkst'!$L$7:$L$2010,"12",'LAC 102_Wkst'!$N$7:$N$2010,"P4")</f>
        <v>0</v>
      </c>
      <c r="AY75" s="411">
        <f>SUMIFS('LAC 102_Wkst'!$AF$7:$AF$2010,'LAC 102_Wkst'!$D$7:$D$2010,$C$7,'LAC 102_Wkst'!$I$7:$I$2010,$C$9,'LAC 102_Wkst'!$E$7:$E$2010,$C75,'LAC 102_Wkst'!$G$7:$G$2010,$D75,'LAC 102_Wkst'!$L$7:$L$2010,"11",'LAC 102_Wkst'!$N$7:$N$2010,"P4")+SUMIFS('LAC 102_Wkst'!$AF$7:$AF$2010,'LAC 102_Wkst'!$D$7:$D$2010,$C$7,'LAC 102_Wkst'!$I$7:$I$2010,$C$9,'LAC 102_Wkst'!$E$7:$E$2010,$C75,'LAC 102_Wkst'!$G$7:$G$2010,$D75,'LAC 102_Wkst'!$L$7:$L$2010,"12",'LAC 102_Wkst'!$N$7:$N$2010,"P4")</f>
        <v>0</v>
      </c>
      <c r="AZ75" s="410">
        <f>SUMIFS('LAC 102_Wkst'!$Q$7:$Q$2010,'LAC 102_Wkst'!$D$7:$D$2010,$C$7,'LAC 102_Wkst'!$I$7:$I$2010,$C$9,'LAC 102_Wkst'!$E$7:$E$2010,$C75,'LAC 102_Wkst'!$G$7:$G$2010,$D75,'LAC 102_Wkst'!$L$7:$L$2010,"11",'LAC 102_Wkst'!$N$7:$N$2010,"P5")+SUMIFS('LAC 102_Wkst'!$Q$7:$Q$2010,'LAC 102_Wkst'!$D$7:$D$2010,$C$7,'LAC 102_Wkst'!$I$7:$I$2010,$C$9,'LAC 102_Wkst'!$E$7:$E$2010,$C75,'LAC 102_Wkst'!$G$7:$G$2010,$D75,'LAC 102_Wkst'!$L$7:$L$2010,"12",'LAC 102_Wkst'!$N$7:$N$2010,"P5")</f>
        <v>0</v>
      </c>
      <c r="BA75" s="411">
        <f>SUMIFS('LAC 102_Wkst'!$AF$7:$AF$2010,'LAC 102_Wkst'!$D$7:$D$2010,$C$7,'LAC 102_Wkst'!$I$7:$I$2010,$C$9,'LAC 102_Wkst'!$E$7:$E$2010,$C75,'LAC 102_Wkst'!$G$7:$G$2010,$D75,'LAC 102_Wkst'!$L$7:$L$2010,"11",'LAC 102_Wkst'!$N$7:$N$2010,"P5")+SUMIFS('LAC 102_Wkst'!$AF$7:$AF$2010,'LAC 102_Wkst'!$D$7:$D$2010,$C$7,'LAC 102_Wkst'!$I$7:$I$2010,$C$9,'LAC 102_Wkst'!$E$7:$E$2010,$C75,'LAC 102_Wkst'!$G$7:$G$2010,$D75,'LAC 102_Wkst'!$L$7:$L$2010,"12",'LAC 102_Wkst'!$N$7:$N$2010,"P5")</f>
        <v>0</v>
      </c>
      <c r="BB75" s="410">
        <f>SUMIFS('LAC 102_Wkst'!$Q$7:$Q$2010,'LAC 102_Wkst'!$D$7:$D$2010,$C$7,'LAC 102_Wkst'!$I$7:$I$2010,$C$9,'LAC 102_Wkst'!$E$7:$E$2010,$C75,'LAC 102_Wkst'!$G$7:$G$2010,$D75,'LAC 102_Wkst'!$L$7:$L$2010,"13",'LAC 102_Wkst'!$N$7:$N$2010,"P1")+SUMIFS('LAC 102_Wkst'!$Q$7:$Q$2010,'LAC 102_Wkst'!$D$7:$D$2010,$C$7,'LAC 102_Wkst'!$I$7:$I$2010,$C$9,'LAC 102_Wkst'!$E$7:$E$2010,$C75,'LAC 102_Wkst'!$G$7:$G$2010,$D75,'LAC 102_Wkst'!$L$7:$L$2010,"13",'LAC 102_Wkst'!$N$7:$N$2010,"P2")+SUMIFS('LAC 102_Wkst'!$Q$7:$Q$2010,'LAC 102_Wkst'!$D$7:$D$2010,$C$7,'LAC 102_Wkst'!$I$7:$I$2010,$C$9,'LAC 102_Wkst'!$E$7:$E$2010,$C75,'LAC 102_Wkst'!$G$7:$G$2010,$D75,'LAC 102_Wkst'!$L$7:$L$2010,"13",'LAC 102_Wkst'!$N$7:$N$2010,"P3")+SUMIFS('LAC 102_Wkst'!$Q$7:$Q$2010,'LAC 102_Wkst'!$D$7:$D$2010,$C$7,'LAC 102_Wkst'!$I$7:$I$2010,$C$9,'LAC 102_Wkst'!$E$7:$E$2010,$C75,'LAC 102_Wkst'!$G$7:$G$2010,$D75,'LAC 102_Wkst'!$L$7:$L$2010,"13",'LAC 102_Wkst'!$N$7:$N$2010,"P4")</f>
        <v>0</v>
      </c>
      <c r="BC75" s="411">
        <f>SUMIFS('LAC 102_Wkst'!$AF$7:$AF$2010,'LAC 102_Wkst'!$D$7:$D$2010,$C$7,'LAC 102_Wkst'!$I$7:$I$2010,$C$9,'LAC 102_Wkst'!$E$7:$E$2010,$C75,'LAC 102_Wkst'!$G$7:$G$2010,$D75,'LAC 102_Wkst'!$L$7:$L$2010,"13",'LAC 102_Wkst'!$N$7:$N$2010,"P1")+SUMIFS('LAC 102_Wkst'!$AF$7:$AF$2010,'LAC 102_Wkst'!$D$7:$D$2010,$C$7,'LAC 102_Wkst'!$I$7:$I$2010,$C$9,'LAC 102_Wkst'!$E$7:$E$2010,$C75,'LAC 102_Wkst'!$G$7:$G$2010,$D75,'LAC 102_Wkst'!$L$7:$L$2010,"13",'LAC 102_Wkst'!$N$7:$N$2010,"P2")+SUMIFS('LAC 102_Wkst'!$AF$7:$AF$2010,'LAC 102_Wkst'!$D$7:$D$2010,$C$7,'LAC 102_Wkst'!$I$7:$I$2010,$C$9,'LAC 102_Wkst'!$E$7:$E$2010,$C75,'LAC 102_Wkst'!$G$7:$G$2010,$D75,'LAC 102_Wkst'!$L$7:$L$2010,"13",'LAC 102_Wkst'!$N$7:$N$2010,"P3")+SUMIFS('LAC 102_Wkst'!$AF$7:$AF$2010,'LAC 102_Wkst'!$D$7:$D$2010,$C$7,'LAC 102_Wkst'!$I$7:$I$2010,$C$9,'LAC 102_Wkst'!$E$7:$E$2010,$C75,'LAC 102_Wkst'!$G$7:$G$2010,$D75,'LAC 102_Wkst'!$L$7:$L$2010,"13",'LAC 102_Wkst'!$N$7:$N$2010,"P4")</f>
        <v>0</v>
      </c>
      <c r="BD75" s="410">
        <f>SUMIFS('LAC 102_Wkst'!$Q$7:$Q$2010,'LAC 102_Wkst'!$D$7:$D$2010,$C$7,'LAC 102_Wkst'!$I$7:$I$2010,$C$9,'LAC 102_Wkst'!$E$7:$E$2010,$C75,'LAC 102_Wkst'!$G$7:$G$2010,$D75,'LAC 102_Wkst'!$L$7:$L$2010,"13",'LAC 102_Wkst'!$N$7:$N$2010,"P5")</f>
        <v>0</v>
      </c>
      <c r="BE75" s="411">
        <f>SUMIFS('LAC 102_Wkst'!$AF$7:$AF$2010,'LAC 102_Wkst'!$D$7:$D$2010,$C$7,'LAC 102_Wkst'!$I$7:$I$2010,$C$9,'LAC 102_Wkst'!$E$7:$E$2010,$C75,'LAC 102_Wkst'!$G$7:$G$2010,$D75,'LAC 102_Wkst'!$L$7:$L$2010,"13",'LAC 102_Wkst'!$N$7:$N$2010,"P5")</f>
        <v>0</v>
      </c>
      <c r="BF75" s="407">
        <f t="shared" si="4"/>
        <v>0</v>
      </c>
      <c r="BG75" s="1654">
        <f>SUMIFS('LAC 102_Wkst'!$AF$7:$AF$2010,'LAC 102_Wkst'!$D$7:$D$2010,$C$7,'LAC 102_Wkst'!$I$7:$I$2010,$C$9,'LAC 102_Wkst'!$E$7:$E$2010,$C75,'LAC 102_Wkst'!$G$7:$G$2010,$D75,'LAC 102_Wkst'!$L$7:$L$2010,"14")</f>
        <v>0</v>
      </c>
    </row>
    <row r="76" spans="1:59" x14ac:dyDescent="0.2">
      <c r="A76" s="401">
        <v>54</v>
      </c>
      <c r="B76" s="1678" t="str">
        <f>IF(Schedule_B!B$73="","",Schedule_B!B$73)</f>
        <v/>
      </c>
      <c r="C76" s="1674" t="str">
        <f>IF(Schedule_B!C$73=""," ",Schedule_B!C$73)</f>
        <v xml:space="preserve"> </v>
      </c>
      <c r="D76" s="1675" t="str">
        <f>IF(Schedule_B!D$73=""," ",Schedule_B!D$73)</f>
        <v xml:space="preserve"> </v>
      </c>
      <c r="E76" s="1221">
        <f>SUMIFS('LAC 102_Wkst'!$Q$7:$Q$2010,'LAC 102_Wkst'!$D$7:$D$2010,$C$7,'LAC 102_Wkst'!$I$7:$I$2010,$C$9,'LAC 102_Wkst'!$E$7:$E$2010,$C76,'LAC 102_Wkst'!$G$7:$G$2010,$D76)</f>
        <v>0</v>
      </c>
      <c r="F76" s="408">
        <f>SUMIFS('LAC 102_Wkst'!$Q$7:$Q$2010,'LAC 102_Wkst'!$D$7:$D$2010,$C$7,'LAC 102_Wkst'!$I$7:$I$2010,$C$9,'LAC 102_Wkst'!$E$7:$E$2010,$C76,'LAC 102_Wkst'!$G$7:$G$2010,$D76,'LAC 102_Wkst'!$L$7:$L$2010,"01",'LAC 102_Wkst'!$N$7:$N$2010,"P1")+SUMIFS('LAC 102_Wkst'!$Q$7:$Q$2010,'LAC 102_Wkst'!$D$7:$D$2010,$C$7,'LAC 102_Wkst'!$I$7:$I$2010,$C$9,'LAC 102_Wkst'!$E$7:$E$2010,$C76,'LAC 102_Wkst'!$G$7:$G$2010,$D76,'LAC 102_Wkst'!$L$7:$L$2010,"01",'LAC 102_Wkst'!$N$7:$N$2010,"P2")+SUMIFS('LAC 102_Wkst'!$Q$7:$Q$2010,'LAC 102_Wkst'!$D$7:$D$2010,$C$7,'LAC 102_Wkst'!$I$7:$I$2010,$C$9,'LAC 102_Wkst'!$E$7:$E$2010,$C76,'LAC 102_Wkst'!$G$7:$G$2010,$D76,'LAC 102_Wkst'!$L$7:$L$2010,"01",'LAC 102_Wkst'!$N$7:$N$2010,"P3")+SUMIFS('LAC 102_Wkst'!$Q$7:$Q$2010,'LAC 102_Wkst'!$D$7:$D$2010,$C$7,'LAC 102_Wkst'!$I$7:$I$2010,$C$9,'LAC 102_Wkst'!$E$7:$E$2010,$C76,'LAC 102_Wkst'!$G$7:$G$2010,$D76,'LAC 102_Wkst'!$L$7:$L$2010,"02",'LAC 102_Wkst'!$N$7:$N$2010,"P1")+SUMIFS('LAC 102_Wkst'!$Q$7:$Q$2010,'LAC 102_Wkst'!$D$7:$D$2010,$C$7,'LAC 102_Wkst'!$I$7:$I$2010,$C$9,'LAC 102_Wkst'!$E$7:$E$2010,$C76,'LAC 102_Wkst'!$G$7:$G$2010,$D76,'LAC 102_Wkst'!$L$7:$L$2010,"02",'LAC 102_Wkst'!$N$7:$N$2010,"P2")+SUMIFS('LAC 102_Wkst'!$Q$7:$Q$2010,'LAC 102_Wkst'!$D$7:$D$2010,$C$7,'LAC 102_Wkst'!$I$7:$I$2010,$C$9,'LAC 102_Wkst'!$E$7:$E$2010,$C76,'LAC 102_Wkst'!$G$7:$G$2010,$D76,'LAC 102_Wkst'!$L$7:$L$2010,"02",'LAC 102_Wkst'!$N$7:$N$2010,"P3")</f>
        <v>0</v>
      </c>
      <c r="G76" s="409">
        <f>SUMIFS('LAC 102_Wkst'!$AF$7:$AF$2010,'LAC 102_Wkst'!$D$7:$D$2010,$C$7,'LAC 102_Wkst'!$I$7:$I$2010,$C$9,'LAC 102_Wkst'!$E$7:$E$2010,$C76,'LAC 102_Wkst'!$G$7:$G$2010,$D76,'LAC 102_Wkst'!$L$7:$L$2010,"01",'LAC 102_Wkst'!$N$7:$N$2010,"P1")+SUMIFS('LAC 102_Wkst'!$AF$7:$AF$2010,'LAC 102_Wkst'!$D$7:$D$2010,$C$7,'LAC 102_Wkst'!$I$7:$I$2010,$C$9,'LAC 102_Wkst'!$E$7:$E$2010,$C76,'LAC 102_Wkst'!$G$7:$G$2010,$D76,'LAC 102_Wkst'!$L$7:$L$2010,"01",'LAC 102_Wkst'!$N$7:$N$2010,"P2")+SUMIFS('LAC 102_Wkst'!$AF$7:$AF$2010,'LAC 102_Wkst'!$D$7:$D$2010,$C$7,'LAC 102_Wkst'!$I$7:$I$2010,$C$9,'LAC 102_Wkst'!$E$7:$E$2010,$C76,'LAC 102_Wkst'!$G$7:$G$2010,$D76,'LAC 102_Wkst'!$L$7:$L$2010,"01",'LAC 102_Wkst'!$N$7:$N$2010,"P3")+SUMIFS('LAC 102_Wkst'!$AF$7:$AF$2010,'LAC 102_Wkst'!$D$7:$D$2010,$C$7,'LAC 102_Wkst'!$I$7:$I$2010,$C$9,'LAC 102_Wkst'!$E$7:$E$2010,$C76,'LAC 102_Wkst'!$G$7:$G$2010,$D76,'LAC 102_Wkst'!$L$7:$L$2010,"02",'LAC 102_Wkst'!$N$7:$N$2010,"P1")+SUMIFS('LAC 102_Wkst'!$AF$7:$AF$2010,'LAC 102_Wkst'!$D$7:$D$2010,$C$7,'LAC 102_Wkst'!$I$7:$I$2010,$C$9,'LAC 102_Wkst'!$E$7:$E$2010,$C76,'LAC 102_Wkst'!$G$7:$G$2010,$D76,'LAC 102_Wkst'!$L$7:$L$2010,"02",'LAC 102_Wkst'!$N$7:$N$2010,"P2")+SUMIFS('LAC 102_Wkst'!$AF$7:$AF$2010,'LAC 102_Wkst'!$D$7:$D$2010,$C$7,'LAC 102_Wkst'!$I$7:$I$2010,$C$9,'LAC 102_Wkst'!$E$7:$E$2010,$C76,'LAC 102_Wkst'!$G$7:$G$2010,$D76,'LAC 102_Wkst'!$L$7:$L$2010,"02",'LAC 102_Wkst'!$N$7:$N$2010,"P3")</f>
        <v>0</v>
      </c>
      <c r="H76" s="410">
        <f>SUMIFS('LAC 102_Wkst'!$Q$7:$Q$2010,'LAC 102_Wkst'!$D$7:$D$2010,$C$7,'LAC 102_Wkst'!$I$7:$I$2010,$C$9,'LAC 102_Wkst'!$E$7:$E$2010,$C76,'LAC 102_Wkst'!$G$7:$G$2010,$D76,'LAC 102_Wkst'!$L$7:$L$2010,"01",'LAC 102_Wkst'!$N$7:$N$2010,"P4")+SUMIFS('LAC 102_Wkst'!$Q$7:$Q$2010,'LAC 102_Wkst'!$D$7:$D$2010,$C$7,'LAC 102_Wkst'!$I$7:$I$2010,$C$9,'LAC 102_Wkst'!$E$7:$E$2010,$C76,'LAC 102_Wkst'!$G$7:$G$2010,$D76,'LAC 102_Wkst'!$L$7:$L$2010,"02",'LAC 102_Wkst'!$N$7:$N$2010,"P4")</f>
        <v>0</v>
      </c>
      <c r="I76" s="411">
        <f>SUMIFS('LAC 102_Wkst'!$AF$7:$AF$2010,'LAC 102_Wkst'!$D$7:$D$2010,$C$7,'LAC 102_Wkst'!$I$7:$I$2010,$C$9,'LAC 102_Wkst'!$E$7:$E$2010,$C76,'LAC 102_Wkst'!$G$7:$G$2010,$D76,'LAC 102_Wkst'!$L$7:$L$2010,"01",'LAC 102_Wkst'!$N$7:$N$2010,"P4")+SUMIFS('LAC 102_Wkst'!$AF$7:$AF$2010,'LAC 102_Wkst'!$D$7:$D$2010,$C$7,'LAC 102_Wkst'!$I$7:$I$2010,$C$9,'LAC 102_Wkst'!$E$7:$E$2010,$C76,'LAC 102_Wkst'!$G$7:$G$2010,$D76,'LAC 102_Wkst'!$L$7:$L$2010,"02",'LAC 102_Wkst'!$N$7:$N$2010,"P4")</f>
        <v>0</v>
      </c>
      <c r="J76" s="410">
        <f>SUMIFS('LAC 102_Wkst'!$Q$7:$Q$2010,'LAC 102_Wkst'!$D$7:$D$2010,$C$7,'LAC 102_Wkst'!$I$7:$I$2010,$C$9,'LAC 102_Wkst'!$E$7:$E$2010,$C76,'LAC 102_Wkst'!$G$7:$G$2010,$D76,'LAC 102_Wkst'!$L$7:$L$2010,"01",'LAC 102_Wkst'!$N$7:$N$2010,"P5")+SUMIFS('LAC 102_Wkst'!$Q$7:$Q$2010,'LAC 102_Wkst'!$D$7:$D$2010,$C$7,'LAC 102_Wkst'!$I$7:$I$2010,$C$9,'LAC 102_Wkst'!$E$7:$E$2010,$C76,'LAC 102_Wkst'!$G$7:$G$2010,$D76,'LAC 102_Wkst'!$L$7:$L$2010,"02",'LAC 102_Wkst'!$N$7:$N$2010,"P5")</f>
        <v>0</v>
      </c>
      <c r="K76" s="411">
        <f>SUMIFS('LAC 102_Wkst'!$AF$7:$AF$2010,'LAC 102_Wkst'!$D$7:$D$2010,$C$7,'LAC 102_Wkst'!$I$7:$I$2010,$C$9,'LAC 102_Wkst'!$E$7:$E$2010,$C76,'LAC 102_Wkst'!$G$7:$G$2010,$D76,'LAC 102_Wkst'!$L$7:$L$2010,"01",'LAC 102_Wkst'!$N$7:$N$2010,"P5")+SUMIFS('LAC 102_Wkst'!$AF$7:$AF$2010,'LAC 102_Wkst'!$D$7:$D$2010,$C$7,'LAC 102_Wkst'!$I$7:$I$2010,$C$9,'LAC 102_Wkst'!$E$7:$E$2010,$C76,'LAC 102_Wkst'!$G$7:$G$2010,$D76,'LAC 102_Wkst'!$L$7:$L$2010,"02",'LAC 102_Wkst'!$N$7:$N$2010,"P5")</f>
        <v>0</v>
      </c>
      <c r="L76" s="410">
        <f>SUMIFS('LAC 102_Wkst'!$Q$7:$Q$2010,'LAC 102_Wkst'!$D$7:$D$2010,$C$7,'LAC 102_Wkst'!$I$7:$I$2010,$C$9,'LAC 102_Wkst'!$E$7:$E$2010,$C76,'LAC 102_Wkst'!$G$7:$G$2010,$D76,'LAC 102_Wkst'!$L$7:$L$2010,"03",'LAC 102_Wkst'!$N$7:$N$2010,"P1")+SUMIFS('LAC 102_Wkst'!$Q$7:$Q$2010,'LAC 102_Wkst'!$D$7:$D$2010,$C$7,'LAC 102_Wkst'!$I$7:$I$2010,$C$9,'LAC 102_Wkst'!$E$7:$E$2010,$C76,'LAC 102_Wkst'!$G$7:$G$2010,$D76,'LAC 102_Wkst'!$L$7:$L$2010,"03",'LAC 102_Wkst'!$N$7:$N$2010,"P2")+SUMIFS('LAC 102_Wkst'!$Q$7:$Q$2010,'LAC 102_Wkst'!$D$7:$D$2010,$C$7,'LAC 102_Wkst'!$I$7:$I$2010,$C$9,'LAC 102_Wkst'!$E$7:$E$2010,$C76,'LAC 102_Wkst'!$G$7:$G$2010,$D76,'LAC 102_Wkst'!$L$7:$L$2010,"03",'LAC 102_Wkst'!$N$7:$N$2010,"P3")+SUMIFS('LAC 102_Wkst'!$Q$7:$Q$2010,'LAC 102_Wkst'!$D$7:$D$2010,$C$7,'LAC 102_Wkst'!$I$7:$I$2010,$C$9,'LAC 102_Wkst'!$E$7:$E$2010,$C76,'LAC 102_Wkst'!$G$7:$G$2010,$D76,'LAC 102_Wkst'!$L$7:$L$2010,"04",'LAC 102_Wkst'!$N$7:$N$2010,"P1")+SUMIFS('LAC 102_Wkst'!$Q$7:$Q$2010,'LAC 102_Wkst'!$D$7:$D$2010,$C$7,'LAC 102_Wkst'!$I$7:$I$2010,$C$9,'LAC 102_Wkst'!$E$7:$E$2010,$C76,'LAC 102_Wkst'!$G$7:$G$2010,$D76,'LAC 102_Wkst'!$L$7:$L$2010,"04",'LAC 102_Wkst'!$N$7:$N$2010,"P2")+SUMIFS('LAC 102_Wkst'!$Q$7:$Q$2010,'LAC 102_Wkst'!$D$7:$D$2010,$C$7,'LAC 102_Wkst'!$I$7:$I$2010,$C$9,'LAC 102_Wkst'!$E$7:$E$2010,$C76,'LAC 102_Wkst'!$G$7:$G$2010,$D76,'LAC 102_Wkst'!$L$7:$L$2010,"04",'LAC 102_Wkst'!$N$7:$N$2010,"P3")</f>
        <v>0</v>
      </c>
      <c r="M76" s="411">
        <f>SUMIFS('LAC 102_Wkst'!$AF$7:$AF$2010,'LAC 102_Wkst'!$D$7:$D$2010,$C$7,'LAC 102_Wkst'!$I$7:$I$2010,$C$9,'LAC 102_Wkst'!$E$7:$E$2010,$C76,'LAC 102_Wkst'!$G$7:$G$2010,$D76,'LAC 102_Wkst'!$L$7:$L$2010,"03",'LAC 102_Wkst'!$N$7:$N$2010,"P1")+SUMIFS('LAC 102_Wkst'!$AF$7:$AF$2010,'LAC 102_Wkst'!$D$7:$D$2010,$C$7,'LAC 102_Wkst'!$I$7:$I$2010,$C$9,'LAC 102_Wkst'!$E$7:$E$2010,$C76,'LAC 102_Wkst'!$G$7:$G$2010,$D76,'LAC 102_Wkst'!$L$7:$L$2010,"03",'LAC 102_Wkst'!$N$7:$N$2010,"P2")+SUMIFS('LAC 102_Wkst'!$AF$7:$AF$2010,'LAC 102_Wkst'!$D$7:$D$2010,$C$7,'LAC 102_Wkst'!$I$7:$I$2010,$C$9,'LAC 102_Wkst'!$E$7:$E$2010,$C76,'LAC 102_Wkst'!$G$7:$G$2010,$D76,'LAC 102_Wkst'!$L$7:$L$2010,"03",'LAC 102_Wkst'!$N$7:$N$2010,"P3")+SUMIFS('LAC 102_Wkst'!$AF$7:$AF$2010,'LAC 102_Wkst'!$D$7:$D$2010,$C$7,'LAC 102_Wkst'!$I$7:$I$2010,$C$9,'LAC 102_Wkst'!$E$7:$E$2010,$C76,'LAC 102_Wkst'!$G$7:$G$2010,$D76,'LAC 102_Wkst'!$L$7:$L$2010,"04",'LAC 102_Wkst'!$N$7:$N$2010,"P1")+SUMIFS('LAC 102_Wkst'!$AF$7:$AF$2010,'LAC 102_Wkst'!$D$7:$D$2010,$C$7,'LAC 102_Wkst'!$I$7:$I$2010,$C$9,'LAC 102_Wkst'!$E$7:$E$2010,$C76,'LAC 102_Wkst'!$G$7:$G$2010,$D76,'LAC 102_Wkst'!$L$7:$L$2010,"04",'LAC 102_Wkst'!$N$7:$N$2010,"P2")+SUMIFS('LAC 102_Wkst'!$AF$7:$AF$2010,'LAC 102_Wkst'!$D$7:$D$2010,$C$7,'LAC 102_Wkst'!$I$7:$I$2010,$C$9,'LAC 102_Wkst'!$E$7:$E$2010,$C76,'LAC 102_Wkst'!$G$7:$G$2010,$D76,'LAC 102_Wkst'!$L$7:$L$2010,"04",'LAC 102_Wkst'!$N$7:$N$2010,"P3")</f>
        <v>0</v>
      </c>
      <c r="N76" s="410">
        <f>SUMIFS('LAC 102_Wkst'!$Q$7:$Q$2010,'LAC 102_Wkst'!$D$7:$D$2010,$C$7,'LAC 102_Wkst'!$I$7:$I$2010,$C$9,'LAC 102_Wkst'!$E$7:$E$2010,$C76,'LAC 102_Wkst'!$G$7:$G$2010,$D76,'LAC 102_Wkst'!$L$7:$L$2010,"03",'LAC 102_Wkst'!$N$7:$N$2010,"P4")+SUMIFS('LAC 102_Wkst'!$Q$7:$Q$2010,'LAC 102_Wkst'!$D$7:$D$2010,$C$7,'LAC 102_Wkst'!$I$7:$I$2010,$C$9,'LAC 102_Wkst'!$E$7:$E$2010,$C76,'LAC 102_Wkst'!$G$7:$G$2010,$D76,'LAC 102_Wkst'!$L$7:$L$2010,"04",'LAC 102_Wkst'!$N$7:$N$2010,"P4")</f>
        <v>0</v>
      </c>
      <c r="O76" s="411">
        <f>SUMIFS('LAC 102_Wkst'!$AF$7:$AF$2010,'LAC 102_Wkst'!$D$7:$D$2010,$C$7,'LAC 102_Wkst'!$I$7:$I$2010,$C$9,'LAC 102_Wkst'!$E$7:$E$2010,$C76,'LAC 102_Wkst'!$G$7:$G$2010,$D76,'LAC 102_Wkst'!$L$7:$L$2010,"03",'LAC 102_Wkst'!$N$7:$N$2010,"P4")+SUMIFS('LAC 102_Wkst'!$AF$7:$AF$2010,'LAC 102_Wkst'!$D$7:$D$2010,$C$7,'LAC 102_Wkst'!$I$7:$I$2010,$C$9,'LAC 102_Wkst'!$E$7:$E$2010,$C76,'LAC 102_Wkst'!$G$7:$G$2010,$D76,'LAC 102_Wkst'!$L$7:$L$2010,"04",'LAC 102_Wkst'!$N$7:$N$2010,"P4")</f>
        <v>0</v>
      </c>
      <c r="P76" s="410">
        <f>SUMIFS('LAC 102_Wkst'!$Q$7:$Q$2010,'LAC 102_Wkst'!$D$7:$D$2010,$C$7,'LAC 102_Wkst'!$I$7:$I$2010,$C$9,'LAC 102_Wkst'!$E$7:$E$2010,$C76,'LAC 102_Wkst'!$G$7:$G$2010,$D76,'LAC 102_Wkst'!$L$7:$L$2010,"03",'LAC 102_Wkst'!$N$7:$N$2010,"P5")+SUMIFS('LAC 102_Wkst'!$Q$7:$Q$2010,'LAC 102_Wkst'!$D$7:$D$2010,$C$7,'LAC 102_Wkst'!$I$7:$I$2010,$C$9,'LAC 102_Wkst'!$E$7:$E$2010,$C76,'LAC 102_Wkst'!$G$7:$G$2010,$D76,'LAC 102_Wkst'!$L$7:$L$2010,"04",'LAC 102_Wkst'!$N$7:$N$2010,"P5")</f>
        <v>0</v>
      </c>
      <c r="Q76" s="411">
        <f>SUMIFS('LAC 102_Wkst'!$AF$7:$AF$2010,'LAC 102_Wkst'!$D$7:$D$2010,$C$7,'LAC 102_Wkst'!$I$7:$I$2010,$C$9,'LAC 102_Wkst'!$E$7:$E$2010,$C76,'LAC 102_Wkst'!$G$7:$G$2010,$D76,'LAC 102_Wkst'!$L$7:$L$2010,"03",'LAC 102_Wkst'!$N$7:$N$2010,"P5")+SUMIFS('LAC 102_Wkst'!$AF$7:$AF$2010,'LAC 102_Wkst'!$D$7:$D$2010,$C$7,'LAC 102_Wkst'!$I$7:$I$2010,$C$9,'LAC 102_Wkst'!$E$7:$E$2010,$C76,'LAC 102_Wkst'!$G$7:$G$2010,$D76,'LAC 102_Wkst'!$L$7:$L$2010,"04",'LAC 102_Wkst'!$N$7:$N$2010,"P5")</f>
        <v>0</v>
      </c>
      <c r="R76" s="412">
        <f>SUMIFS('LAC 102_Wkst'!$Q$7:$Q$2010,'LAC 102_Wkst'!$D$7:$D$2010,$C$7,'LAC 102_Wkst'!$I$7:$I$2010,$C$9,'LAC 102_Wkst'!$E$7:$E$2010,$C76,'LAC 102_Wkst'!$G$7:$G$2010,$D76,'LAC 102_Wkst'!$L$7:$L$2010,"05",'LAC 102_Wkst'!$N$7:$N$2010,"P1")+SUMIFS('LAC 102_Wkst'!$Q$7:$Q$2010,'LAC 102_Wkst'!$D$7:$D$2010,$C$7,'LAC 102_Wkst'!$I$7:$I$2010,$C$9,'LAC 102_Wkst'!$E$7:$E$2010,$C76,'LAC 102_Wkst'!$G$7:$G$2010,$D76,'LAC 102_Wkst'!$L$7:$L$2010,"06",'LAC 102_Wkst'!$N$7:$N$2010,"P1")</f>
        <v>0</v>
      </c>
      <c r="S76" s="411">
        <f>SUMIFS('LAC 102_Wkst'!$AF$7:$AF$2010,'LAC 102_Wkst'!$D$7:$D$2010,$C$7,'LAC 102_Wkst'!$I$7:$I$2010,$C$9,'LAC 102_Wkst'!$E$7:$E$2010,$C76,'LAC 102_Wkst'!$G$7:$G$2010,$D76,'LAC 102_Wkst'!$L$7:$L$2010,"05",'LAC 102_Wkst'!$N$7:$N$2010,"P1")+SUMIFS('LAC 102_Wkst'!$AF$7:$AF$2010,'LAC 102_Wkst'!$D$7:$D$2010,$C$7,'LAC 102_Wkst'!$I$7:$I$2010,$C$9,'LAC 102_Wkst'!$E$7:$E$2010,$C76,'LAC 102_Wkst'!$G$7:$G$2010,$D76,'LAC 102_Wkst'!$L$7:$L$2010,"06",'LAC 102_Wkst'!$N$7:$N$2010,"P1")</f>
        <v>0</v>
      </c>
      <c r="T76" s="410">
        <f>SUMIFS('LAC 102_Wkst'!$Q$7:$Q$2010,'LAC 102_Wkst'!$D$7:$D$2010,$C$7,'LAC 102_Wkst'!$I$7:$I$2010,$C$9,'LAC 102_Wkst'!$E$7:$E$2010,$C76,'LAC 102_Wkst'!$G$7:$G$2010,$D76,'LAC 102_Wkst'!$L$7:$L$2010,"05",'LAC 102_Wkst'!$N$7:$N$2010,"P2")+SUMIFS('LAC 102_Wkst'!$Q$7:$Q$2010,'LAC 102_Wkst'!$D$7:$D$2010,$C$7,'LAC 102_Wkst'!$I$7:$I$2010,$C$9,'LAC 102_Wkst'!$E$7:$E$2010,$C76,'LAC 102_Wkst'!$G$7:$G$2010,$D76,'LAC 102_Wkst'!$L$7:$L$2010,"06",'LAC 102_Wkst'!$N$7:$N$2010,"P2")+SUMIFS('LAC 102_Wkst'!$Q$7:$Q$2010,'LAC 102_Wkst'!$D$7:$D$2010,$C$7,'LAC 102_Wkst'!$I$7:$I$2010,$C$9,'LAC 102_Wkst'!$E$7:$E$2010,$C76,'LAC 102_Wkst'!$G$7:$G$2010,$D76,'LAC 102_Wkst'!$L$7:$L$2010,"05",'LAC 102_Wkst'!$N$7:$N$2010,"P3")+SUMIFS('LAC 102_Wkst'!$Q$7:$Q$2010,'LAC 102_Wkst'!$D$7:$D$2010,$C$7,'LAC 102_Wkst'!$I$7:$I$2010,$C$9,'LAC 102_Wkst'!$E$7:$E$2010,$C76,'LAC 102_Wkst'!$G$7:$G$2010,$D76,'LAC 102_Wkst'!$L$7:$L$2010,"06",'LAC 102_Wkst'!$N$7:$N$2010,"P3")</f>
        <v>0</v>
      </c>
      <c r="U76" s="411">
        <f>SUMIFS('LAC 102_Wkst'!$AF$7:$AF$2010,'LAC 102_Wkst'!$D$7:$D$2010,$C$7,'LAC 102_Wkst'!$I$7:$I$2010,$C$9,'LAC 102_Wkst'!$E$7:$E$2010,$C76,'LAC 102_Wkst'!$G$7:$G$2010,$D76,'LAC 102_Wkst'!$L$7:$L$2010,"05",'LAC 102_Wkst'!$N$7:$N$2010,"P2")+SUMIFS('LAC 102_Wkst'!$AF$7:$AF$2010,'LAC 102_Wkst'!$D$7:$D$2010,$C$7,'LAC 102_Wkst'!$I$7:$I$2010,$C$9,'LAC 102_Wkst'!$E$7:$E$2010,$C76,'LAC 102_Wkst'!$G$7:$G$2010,$D76,'LAC 102_Wkst'!$L$7:$L$2010,"06",'LAC 102_Wkst'!$N$7:$N$2010,"P2")+SUMIFS('LAC 102_Wkst'!$AF$7:$AF$2010,'LAC 102_Wkst'!$D$7:$D$2010,$C$7,'LAC 102_Wkst'!$I$7:$I$2010,$C$9,'LAC 102_Wkst'!$E$7:$E$2010,$C76,'LAC 102_Wkst'!$G$7:$G$2010,$D76,'LAC 102_Wkst'!$L$7:$L$2010,"05",'LAC 102_Wkst'!$N$7:$N$2010,"P3")+SUMIFS('LAC 102_Wkst'!$AF$7:$AF$2010,'LAC 102_Wkst'!$D$7:$D$2010,$C$7,'LAC 102_Wkst'!$I$7:$I$2010,$C$9,'LAC 102_Wkst'!$E$7:$E$2010,$C76,'LAC 102_Wkst'!$G$7:$G$2010,$D76,'LAC 102_Wkst'!$L$7:$L$2010,"06",'LAC 102_Wkst'!$N$7:$N$2010,"P3")</f>
        <v>0</v>
      </c>
      <c r="V76" s="410">
        <f>SUMIFS('LAC 102_Wkst'!$Q$7:$Q$2010,'LAC 102_Wkst'!$D$7:$D$2010,$C$7,'LAC 102_Wkst'!$I$7:$I$2010,$C$9,'LAC 102_Wkst'!$E$7:$E$2010,$C76,'LAC 102_Wkst'!$G$7:$G$2010,$D76,'LAC 102_Wkst'!$L$7:$L$2010,"05",'LAC 102_Wkst'!$N$7:$N$2010,"P4")+SUMIFS('LAC 102_Wkst'!$Q$7:$Q$2010,'LAC 102_Wkst'!$D$7:$D$2010,$C$7,'LAC 102_Wkst'!$I$7:$I$2010,$C$9,'LAC 102_Wkst'!$E$7:$E$2010,$C76,'LAC 102_Wkst'!$G$7:$G$2010,$D76,'LAC 102_Wkst'!$L$7:$L$2010,"06",'LAC 102_Wkst'!$N$7:$N$2010,"P4")</f>
        <v>0</v>
      </c>
      <c r="W76" s="411">
        <f>SUMIFS('LAC 102_Wkst'!$AF$7:$AF$2010,'LAC 102_Wkst'!$D$7:$D$2010,$C$7,'LAC 102_Wkst'!$I$7:$I$2010,$C$9,'LAC 102_Wkst'!$E$7:$E$2010,$C76,'LAC 102_Wkst'!$G$7:$G$2010,$D76,'LAC 102_Wkst'!$L$7:$L$2010,"05",'LAC 102_Wkst'!$N$7:$N$2010,"P4")+SUMIFS('LAC 102_Wkst'!$AF$7:$AF$2010,'LAC 102_Wkst'!$D$7:$D$2010,$C$7,'LAC 102_Wkst'!$I$7:$I$2010,$C$9,'LAC 102_Wkst'!$E$7:$E$2010,$C76,'LAC 102_Wkst'!$G$7:$G$2010,$D76,'LAC 102_Wkst'!$L$7:$L$2010,"06",'LAC 102_Wkst'!$N$7:$N$2010,"P4")</f>
        <v>0</v>
      </c>
      <c r="X76" s="410">
        <f>SUMIFS('LAC 102_Wkst'!$Q$7:$Q$2010,'LAC 102_Wkst'!$D$7:$D$2010,$C$7,'LAC 102_Wkst'!$I$7:$I$2010,$C$9,'LAC 102_Wkst'!$E$7:$E$2010,$C76,'LAC 102_Wkst'!$G$7:$G$2010,$D76,'LAC 102_Wkst'!$L$7:$L$2010,"05",'LAC 102_Wkst'!$N$7:$N$2010,"P5")+SUMIFS('LAC 102_Wkst'!$Q$7:$Q$2010,'LAC 102_Wkst'!$D$7:$D$2010,$C$7,'LAC 102_Wkst'!$I$7:$I$2010,$C$9,'LAC 102_Wkst'!$E$7:$E$2010,$C76,'LAC 102_Wkst'!$G$7:$G$2010,$D76,'LAC 102_Wkst'!$L$7:$L$2010,"06",'LAC 102_Wkst'!$N$7:$N$2010,"P5")</f>
        <v>0</v>
      </c>
      <c r="Y76" s="411">
        <f>SUMIFS('LAC 102_Wkst'!$AF$7:$AF$2010,'LAC 102_Wkst'!$D$7:$D$2010,$C$7,'LAC 102_Wkst'!$I$7:$I$2010,$C$9,'LAC 102_Wkst'!$E$7:$E$2010,$C76,'LAC 102_Wkst'!$G$7:$G$2010,$D76,'LAC 102_Wkst'!$L$7:$L$2010,"05",'LAC 102_Wkst'!$N$7:$N$2010,"P5")+SUMIFS('LAC 102_Wkst'!$AF$7:$AF$2010,'LAC 102_Wkst'!$D$7:$D$2010,$C$7,'LAC 102_Wkst'!$I$7:$I$2010,$C$9,'LAC 102_Wkst'!$E$7:$E$2010,$C76,'LAC 102_Wkst'!$G$7:$G$2010,$D76,'LAC 102_Wkst'!$L$7:$L$2010,"06",'LAC 102_Wkst'!$N$7:$N$2010,"P5")</f>
        <v>0</v>
      </c>
      <c r="Z76" s="410">
        <f>SUMIFS('LAC 102_Wkst'!$Q$7:$Q$2010,'LAC 102_Wkst'!$D$7:$D$2010,$C$7,'LAC 102_Wkst'!$I$7:$I$2010,$C$9,'LAC 102_Wkst'!$E$7:$E$2010,$C76,'LAC 102_Wkst'!$G$7:$G$2010,$D76,'LAC 102_Wkst'!$L$7:$L$2010,"07",'LAC 102_Wkst'!$N$7:$N$2010,"P1")+SUMIFS('LAC 102_Wkst'!$Q$7:$Q$2010,'LAC 102_Wkst'!$D$7:$D$2010,$C$7,'LAC 102_Wkst'!$I$7:$I$2010,$C$9,'LAC 102_Wkst'!$E$7:$E$2010,$C76,'LAC 102_Wkst'!$G$7:$G$2010,$D76,'LAC 102_Wkst'!$L$7:$L$2010,"07",'LAC 102_Wkst'!$N$7:$N$2010,"P2")+SUMIFS('LAC 102_Wkst'!$Q$7:$Q$2010,'LAC 102_Wkst'!$D$7:$D$2010,$C$7,'LAC 102_Wkst'!$I$7:$I$2010,$C$9,'LAC 102_Wkst'!$E$7:$E$2010,$C76,'LAC 102_Wkst'!$G$7:$G$2010,$D76,'LAC 102_Wkst'!$L$7:$L$2010,"07",'LAC 102_Wkst'!$N$7:$N$2010,"P3")</f>
        <v>0</v>
      </c>
      <c r="AA76" s="411">
        <f>SUMIFS('LAC 102_Wkst'!$AF$7:$AF$2010,'LAC 102_Wkst'!$D$7:$D$2010,$C$7,'LAC 102_Wkst'!$I$7:$I$2010,$C$9,'LAC 102_Wkst'!$E$7:$E$2010,$C76,'LAC 102_Wkst'!$G$7:$G$2010,$D76,'LAC 102_Wkst'!$L$7:$L$2010,"07",'LAC 102_Wkst'!$N$7:$N$2010,"P1")+SUMIFS('LAC 102_Wkst'!$AF$7:$AF$2010,'LAC 102_Wkst'!$D$7:$D$2010,$C$7,'LAC 102_Wkst'!$I$7:$I$2010,$C$9,'LAC 102_Wkst'!$E$7:$E$2010,$C76,'LAC 102_Wkst'!$G$7:$G$2010,$D76,'LAC 102_Wkst'!$L$7:$L$2010,"07",'LAC 102_Wkst'!$N$7:$N$2010,"P2")+SUMIFS('LAC 102_Wkst'!$AF$7:$AF$2010,'LAC 102_Wkst'!$D$7:$D$2010,$C$7,'LAC 102_Wkst'!$I$7:$I$2010,$C$9,'LAC 102_Wkst'!$E$7:$E$2010,$C76,'LAC 102_Wkst'!$G$7:$G$2010,$D76,'LAC 102_Wkst'!$L$7:$L$2010,"07",'LAC 102_Wkst'!$N$7:$N$2010,"P3")</f>
        <v>0</v>
      </c>
      <c r="AB76" s="410">
        <f>SUMIFS('LAC 102_Wkst'!$Q$7:$Q$2010,'LAC 102_Wkst'!$D$7:$D$2010,$C$7,'LAC 102_Wkst'!$I$7:$I$2010,$C$9,'LAC 102_Wkst'!$E$7:$E$2010,$C76,'LAC 102_Wkst'!$G$7:$G$2010,$D76,'LAC 102_Wkst'!$L$7:$L$2010,"07",'LAC 102_Wkst'!$N$7:$N$2010,"P4")</f>
        <v>0</v>
      </c>
      <c r="AC76" s="411">
        <f>SUMIFS('LAC 102_Wkst'!$AF$7:$AF$2010,'LAC 102_Wkst'!$D$7:$D$2010,$C$7,'LAC 102_Wkst'!$I$7:$I$2010,$C$9,'LAC 102_Wkst'!$E$7:$E$2010,$C76,'LAC 102_Wkst'!$G$7:$G$2010,$D76,'LAC 102_Wkst'!$L$7:$L$2010,"07",'LAC 102_Wkst'!$N$7:$N$2010,"P4")</f>
        <v>0</v>
      </c>
      <c r="AD76" s="410">
        <f>SUMIFS('LAC 102_Wkst'!$Q$7:$Q$2010,'LAC 102_Wkst'!$D$7:$D$2010,$C$7,'LAC 102_Wkst'!$I$7:$I$2010,$C$9,'LAC 102_Wkst'!$E$7:$E$2010,$C76,'LAC 102_Wkst'!$G$7:$G$2010,$D76,'LAC 102_Wkst'!$L$7:$L$2010,"07",'LAC 102_Wkst'!$N$7:$N$2010,"P5")</f>
        <v>0</v>
      </c>
      <c r="AE76" s="411">
        <f>SUMIFS('LAC 102_Wkst'!$AF$7:$AF$2010,'LAC 102_Wkst'!$D$7:$D$2010,$C$7,'LAC 102_Wkst'!$I$7:$I$2010,$C$9,'LAC 102_Wkst'!$E$7:$E$2010,$C76,'LAC 102_Wkst'!$G$7:$G$2010,$D76,'LAC 102_Wkst'!$L$7:$L$2010,"07",'LAC 102_Wkst'!$N$7:$N$2010,"P5")</f>
        <v>0</v>
      </c>
      <c r="AF76" s="410">
        <f>SUMIFS('LAC 102_Wkst'!$Q$7:$Q$2010,'LAC 102_Wkst'!$D$7:$D$2010,$C$7,'LAC 102_Wkst'!$I$7:$I$2010,$C$9,'LAC 102_Wkst'!$E$7:$E$2010,$C76,'LAC 102_Wkst'!$G$7:$G$2010,$D76,'LAC 102_Wkst'!$L$7:$L$2010,"08",'LAC 102_Wkst'!$N$7:$N$2010,"P1")+SUMIFS('LAC 102_Wkst'!$Q$7:$Q$2010,'LAC 102_Wkst'!$D$7:$D$2010,$C$7,'LAC 102_Wkst'!$I$7:$I$2010,$C$9,'LAC 102_Wkst'!$E$7:$E$2010,$C76,'LAC 102_Wkst'!$G$7:$G$2010,$D76,'LAC 102_Wkst'!$L$7:$L$2010,"08",'LAC 102_Wkst'!$N$7:$N$2010,"P2")+SUMIFS('LAC 102_Wkst'!$Q$7:$Q$2010,'LAC 102_Wkst'!$D$7:$D$2010,$C$7,'LAC 102_Wkst'!$I$7:$I$2010,$C$9,'LAC 102_Wkst'!$E$7:$E$2010,$C76,'LAC 102_Wkst'!$G$7:$G$2010,$D76,'LAC 102_Wkst'!$L$7:$L$2010,"08",'LAC 102_Wkst'!$N$7:$N$2010,"P3")</f>
        <v>0</v>
      </c>
      <c r="AG76" s="411">
        <f>SUMIFS('LAC 102_Wkst'!$AF$7:$AF$2010,'LAC 102_Wkst'!$D$7:$D$2010,$C$7,'LAC 102_Wkst'!$I$7:$I$2010,$C$9,'LAC 102_Wkst'!$E$7:$E$2010,$C76,'LAC 102_Wkst'!$G$7:$G$2010,$D76,'LAC 102_Wkst'!$L$7:$L$2010,"08",'LAC 102_Wkst'!$N$7:$N$2010,"P1")+SUMIFS('LAC 102_Wkst'!$AF$7:$AF$2010,'LAC 102_Wkst'!$D$7:$D$2010,$C$7,'LAC 102_Wkst'!$I$7:$I$2010,$C$9,'LAC 102_Wkst'!$E$7:$E$2010,$C76,'LAC 102_Wkst'!$G$7:$G$2010,$D76,'LAC 102_Wkst'!$L$7:$L$2010,"08",'LAC 102_Wkst'!$N$7:$N$2010,"P2")+SUMIFS('LAC 102_Wkst'!$AF$7:$AF$2010,'LAC 102_Wkst'!$D$7:$D$2010,$C$7,'LAC 102_Wkst'!$I$7:$I$2010,$C$9,'LAC 102_Wkst'!$E$7:$E$2010,$C76,'LAC 102_Wkst'!$G$7:$G$2010,$D76,'LAC 102_Wkst'!$L$7:$L$2010,"08",'LAC 102_Wkst'!$N$7:$N$2010,"P3")</f>
        <v>0</v>
      </c>
      <c r="AH76" s="410">
        <f>SUMIFS('LAC 102_Wkst'!$Q$7:$Q$2010,'LAC 102_Wkst'!$D$7:$D$2010,$C$7,'LAC 102_Wkst'!$I$7:$I$2010,$C$9,'LAC 102_Wkst'!$E$7:$E$2010,$C76,'LAC 102_Wkst'!$G$7:$G$2010,$D76,'LAC 102_Wkst'!$L$7:$L$2010,"08",'LAC 102_Wkst'!$N$7:$N$2010,"P4")</f>
        <v>0</v>
      </c>
      <c r="AI76" s="411">
        <f>SUMIFS('LAC 102_Wkst'!$AF$7:$AF$2010,'LAC 102_Wkst'!$D$7:$D$2010,$C$7,'LAC 102_Wkst'!$I$7:$I$2010,$C$9,'LAC 102_Wkst'!$E$7:$E$2010,$C76,'LAC 102_Wkst'!$G$7:$G$2010,$D76,'LAC 102_Wkst'!$L$7:$L$2010,"08",'LAC 102_Wkst'!$N$7:$N$2010,"P4")</f>
        <v>0</v>
      </c>
      <c r="AJ76" s="410">
        <f>SUMIFS('LAC 102_Wkst'!$Q$7:$Q$2010,'LAC 102_Wkst'!$D$7:$D$2010,$C$7,'LAC 102_Wkst'!$I$7:$I$2010,$C$9,'LAC 102_Wkst'!$E$7:$E$2010,$C76,'LAC 102_Wkst'!$G$7:$G$2010,$D76,'LAC 102_Wkst'!$L$7:$L$2010,"08",'LAC 102_Wkst'!$N$7:$N$2010,"P5")</f>
        <v>0</v>
      </c>
      <c r="AK76" s="411">
        <f>SUMIFS('LAC 102_Wkst'!$AF$7:$AF$2010,'LAC 102_Wkst'!$D$7:$D$2010,$C$7,'LAC 102_Wkst'!$I$7:$I$2010,$C$9,'LAC 102_Wkst'!$E$7:$E$2010,$C76,'LAC 102_Wkst'!$G$7:$G$2010,$D76,'LAC 102_Wkst'!$L$7:$L$2010,"08",'LAC 102_Wkst'!$N$7:$N$2010,"P5")</f>
        <v>0</v>
      </c>
      <c r="AL76" s="410">
        <f>SUMIFS('LAC 102_Wkst'!$Q$7:$Q$2010,'LAC 102_Wkst'!$D$7:$D$2010,$C$7,'LAC 102_Wkst'!$I$7:$I$2010,$C$9,'LAC 102_Wkst'!$E$7:$E$2010,$C76,'LAC 102_Wkst'!$G$7:$G$2010,$D76,'LAC 102_Wkst'!$L$7:$L$2010,"09",'LAC 102_Wkst'!$N$7:$N$2010,"P1")+SUMIFS('LAC 102_Wkst'!$Q$7:$Q$2010,'LAC 102_Wkst'!$D$7:$D$2010,$C$7,'LAC 102_Wkst'!$I$7:$I$2010,$C$9,'LAC 102_Wkst'!$E$7:$E$2010,$C76,'LAC 102_Wkst'!$G$7:$G$2010,$D76,'LAC 102_Wkst'!$L$7:$L$2010,"09",'LAC 102_Wkst'!$N$7:$N$2010,"P2")+SUMIFS('LAC 102_Wkst'!$Q$7:$Q$2010,'LAC 102_Wkst'!$D$7:$D$2010,$C$7,'LAC 102_Wkst'!$I$7:$I$2010,$C$9,'LAC 102_Wkst'!$E$7:$E$2010,$C76,'LAC 102_Wkst'!$G$7:$G$2010,$D76,'LAC 102_Wkst'!$L$7:$L$2010,"09",'LAC 102_Wkst'!$N$7:$N$2010,"P3")+SUMIFS('LAC 102_Wkst'!$Q$7:$Q$2010,'LAC 102_Wkst'!$D$7:$D$2010,$C$7,'LAC 102_Wkst'!$I$7:$I$2010,$C$9,'LAC 102_Wkst'!$E$7:$E$2010,$C76,'LAC 102_Wkst'!$G$7:$G$2010,$D76,'LAC 102_Wkst'!$L$7:$L$2010,"09",'LAC 102_Wkst'!$N$7:$N$2010,"P4")</f>
        <v>0</v>
      </c>
      <c r="AM76" s="411">
        <f>SUMIFS('LAC 102_Wkst'!$AF$7:$AF$2010,'LAC 102_Wkst'!$D$7:$D$2010,$C$7,'LAC 102_Wkst'!$I$7:$I$2010,$C$9,'LAC 102_Wkst'!$E$7:$E$2010,$C76,'LAC 102_Wkst'!$G$7:$G$2010,$D76,'LAC 102_Wkst'!$L$7:$L$2010,"09",'LAC 102_Wkst'!$N$7:$N$2010,"P1")+SUMIFS('LAC 102_Wkst'!$AF$7:$AF$2010,'LAC 102_Wkst'!$D$7:$D$2010,$C$7,'LAC 102_Wkst'!$I$7:$I$2010,$C$9,'LAC 102_Wkst'!$E$7:$E$2010,$C76,'LAC 102_Wkst'!$G$7:$G$2010,$D76,'LAC 102_Wkst'!$L$7:$L$2010,"09",'LAC 102_Wkst'!$N$7:$N$2010,"P2")+SUMIFS('LAC 102_Wkst'!$AF$7:$AF$2010,'LAC 102_Wkst'!$D$7:$D$2010,$C$7,'LAC 102_Wkst'!$I$7:$I$2010,$C$9,'LAC 102_Wkst'!$E$7:$E$2010,$C76,'LAC 102_Wkst'!$G$7:$G$2010,$D76,'LAC 102_Wkst'!$L$7:$L$2010,"09",'LAC 102_Wkst'!$N$7:$N$2010,"P3")+SUMIFS('LAC 102_Wkst'!$AF$7:$AF$2010,'LAC 102_Wkst'!$D$7:$D$2010,$C$7,'LAC 102_Wkst'!$I$7:$I$2010,$C$9,'LAC 102_Wkst'!$E$7:$E$2010,$C76,'LAC 102_Wkst'!$G$7:$G$2010,$D76,'LAC 102_Wkst'!$L$7:$L$2010,"09",'LAC 102_Wkst'!$N$7:$N$2010,"P4")</f>
        <v>0</v>
      </c>
      <c r="AN76" s="410">
        <f>SUMIFS('LAC 102_Wkst'!$Q$7:$Q$2010,'LAC 102_Wkst'!$D$7:$D$2010,$C$7,'LAC 102_Wkst'!$I$7:$I$2010,$C$9,'LAC 102_Wkst'!$E$7:$E$2010,$C76,'LAC 102_Wkst'!$G$7:$G$2010,$D76,'LAC 102_Wkst'!$L$7:$L$2010,"09",'LAC 102_Wkst'!$N$7:$N$2010,"P5")</f>
        <v>0</v>
      </c>
      <c r="AO76" s="411">
        <f>SUMIFS('LAC 102_Wkst'!$AF$7:$AF$2010,'LAC 102_Wkst'!$D$7:$D$2010,$C$7,'LAC 102_Wkst'!$I$7:$I$2010,$C$9,'LAC 102_Wkst'!$E$7:$E$2010,$C76,'LAC 102_Wkst'!$G$7:$G$2010,$D76,'LAC 102_Wkst'!$L$7:$L$2010,"09",'LAC 102_Wkst'!$N$7:$N$2010,"P5")</f>
        <v>0</v>
      </c>
      <c r="AP76" s="410">
        <f>SUMIFS('LAC 102_Wkst'!$Q$7:$Q$2010,'LAC 102_Wkst'!$D$7:$D$2010,$C$7,'LAC 102_Wkst'!$I$7:$I$2010,$C$9,'LAC 102_Wkst'!$E$7:$E$2010,$C76,'LAC 102_Wkst'!$G$7:$G$2010,$D76,'LAC 102_Wkst'!$L$7:$L$2010,"10",'LAC 102_Wkst'!$N$7:$N$2010,"P1")+SUMIFS('LAC 102_Wkst'!$Q$7:$Q$2010,'LAC 102_Wkst'!$D$7:$D$2010,$C$7,'LAC 102_Wkst'!$I$7:$I$2010,$C$9,'LAC 102_Wkst'!$E$7:$E$2010,$C76,'LAC 102_Wkst'!$G$7:$G$2010,$D76,'LAC 102_Wkst'!$L$7:$L$2010,"10",'LAC 102_Wkst'!$N$7:$N$2010,"P2")+SUMIFS('LAC 102_Wkst'!$Q$7:$Q$2010,'LAC 102_Wkst'!$D$7:$D$2010,$C$7,'LAC 102_Wkst'!$I$7:$I$2010,$C$9,'LAC 102_Wkst'!$E$7:$E$2010,$C76,'LAC 102_Wkst'!$G$7:$G$2010,$D76,'LAC 102_Wkst'!$L$7:$L$2010,"10",'LAC 102_Wkst'!$N$7:$N$2010,"P3")+SUMIFS('LAC 102_Wkst'!$Q$7:$Q$2010,'LAC 102_Wkst'!$D$7:$D$2010,$C$7,'LAC 102_Wkst'!$I$7:$I$2010,$C$9,'LAC 102_Wkst'!$E$7:$E$2010,$C76,'LAC 102_Wkst'!$G$7:$G$2010,$D76,'LAC 102_Wkst'!$L$7:$L$2010,"10",'LAC 102_Wkst'!$N$7:$N$2010,"P4")</f>
        <v>0</v>
      </c>
      <c r="AQ76" s="411">
        <f>SUMIFS('LAC 102_Wkst'!$AF$7:$AF$2010,'LAC 102_Wkst'!$D$7:$D$2010,$C$7,'LAC 102_Wkst'!$I$7:$I$2010,$C$9,'LAC 102_Wkst'!$E$7:$E$2010,$C76,'LAC 102_Wkst'!$G$7:$G$2010,$D76,'LAC 102_Wkst'!$L$7:$L$2010,"10",'LAC 102_Wkst'!$N$7:$N$2010,"P1")+SUMIFS('LAC 102_Wkst'!$AF$7:$AF$2010,'LAC 102_Wkst'!$D$7:$D$2010,$C$7,'LAC 102_Wkst'!$I$7:$I$2010,$C$9,'LAC 102_Wkst'!$E$7:$E$2010,$C76,'LAC 102_Wkst'!$G$7:$G$2010,$D76,'LAC 102_Wkst'!$L$7:$L$2010,"10",'LAC 102_Wkst'!$N$7:$N$2010,"P2")+SUMIFS('LAC 102_Wkst'!$AF$7:$AF$2010,'LAC 102_Wkst'!$D$7:$D$2010,$C$7,'LAC 102_Wkst'!$I$7:$I$2010,$C$9,'LAC 102_Wkst'!$E$7:$E$2010,$C76,'LAC 102_Wkst'!$G$7:$G$2010,$D76,'LAC 102_Wkst'!$L$7:$L$2010,"10",'LAC 102_Wkst'!$N$7:$N$2010,"P3")+SUMIFS('LAC 102_Wkst'!$AF$7:$AF$2010,'LAC 102_Wkst'!$D$7:$D$2010,$C$7,'LAC 102_Wkst'!$I$7:$I$2010,$C$9,'LAC 102_Wkst'!$E$7:$E$2010,$C76,'LAC 102_Wkst'!$G$7:$G$2010,$D76,'LAC 102_Wkst'!$L$7:$L$2010,"10",'LAC 102_Wkst'!$N$7:$N$2010,"P4")</f>
        <v>0</v>
      </c>
      <c r="AR76" s="410">
        <f>SUMIFS('LAC 102_Wkst'!$Q$7:$Q$2010,'LAC 102_Wkst'!$D$7:$D$2010,$C$7,'LAC 102_Wkst'!$I$7:$I$2010,$C$9,'LAC 102_Wkst'!$E$7:$E$2010,$C76,'LAC 102_Wkst'!$G$7:$G$2010,$D76,'LAC 102_Wkst'!$L$7:$L$2010,"10",'LAC 102_Wkst'!$N$7:$N$2010,"P5")</f>
        <v>0</v>
      </c>
      <c r="AS76" s="411">
        <f>SUMIFS('LAC 102_Wkst'!$AF$7:$AF$2010,'LAC 102_Wkst'!$D$7:$D$2010,$C$7,'LAC 102_Wkst'!$I$7:$I$2010,$C$9,'LAC 102_Wkst'!$E$7:$E$2010,$C76,'LAC 102_Wkst'!$G$7:$G$2010,$D76,'LAC 102_Wkst'!$L$7:$L$2010,"10",'LAC 102_Wkst'!$N$7:$N$2010,"P5")</f>
        <v>0</v>
      </c>
      <c r="AT76" s="410">
        <f>SUMIFS('LAC 102_Wkst'!$Q$7:$Q$2010,'LAC 102_Wkst'!$D$7:$D$2010,$C$7,'LAC 102_Wkst'!$I$7:$I$2010,$C$9,'LAC 102_Wkst'!$E$7:$E$2010,$C76,'LAC 102_Wkst'!$G$7:$G$2010,$D76,'LAC 102_Wkst'!$L$7:$L$2010,"11",'LAC 102_Wkst'!$N$7:$N$2010,"P1")+SUMIFS('LAC 102_Wkst'!$Q$7:$Q$2010,'LAC 102_Wkst'!$D$7:$D$2010,$C$7,'LAC 102_Wkst'!$I$7:$I$2010,$C$9,'LAC 102_Wkst'!$E$7:$E$2010,$C76,'LAC 102_Wkst'!$G$7:$G$2010,$D76,'LAC 102_Wkst'!$L$7:$L$2010,"12",'LAC 102_Wkst'!$N$7:$N$2010,"P1")</f>
        <v>0</v>
      </c>
      <c r="AU76" s="411">
        <f>SUMIFS('LAC 102_Wkst'!$Q$7:$Q$2010,'LAC 102_Wkst'!$D$7:$D$2010,$C$7,'LAC 102_Wkst'!$I$7:$I$2010,$C$9,'LAC 102_Wkst'!$E$7:$E$2010,$C76,'LAC 102_Wkst'!$G$7:$G$2010,$D76,'LAC 102_Wkst'!$L$7:$L$2010,"13",'LAC 102_Wkst'!$N$7:$N$2010,"P5")</f>
        <v>0</v>
      </c>
      <c r="AV76" s="410">
        <f>SUMIFS('LAC 102_Wkst'!$Q$7:$Q$2010,'LAC 102_Wkst'!$D$7:$D$2010,$C$7,'LAC 102_Wkst'!$I$7:$I$2010,$C$9,'LAC 102_Wkst'!$E$7:$E$2010,$C76,'LAC 102_Wkst'!$G$7:$G$2010,$D76,'LAC 102_Wkst'!$L$7:$L$2010,"11",'LAC 102_Wkst'!$N$7:$N$2010,"P2")+SUMIFS('LAC 102_Wkst'!$Q$7:$Q$2010,'LAC 102_Wkst'!$D$7:$D$2010,$C$7,'LAC 102_Wkst'!$I$7:$I$2010,$C$9,'LAC 102_Wkst'!$E$7:$E$2010,$C76,'LAC 102_Wkst'!$G$7:$G$2010,$D76,'LAC 102_Wkst'!$L$7:$L$2010,"12",'LAC 102_Wkst'!$N$7:$N$2010,"P2")+SUMIFS('LAC 102_Wkst'!$Q$7:$Q$2010,'LAC 102_Wkst'!$D$7:$D$2010,$C$7,'LAC 102_Wkst'!$I$7:$I$2010,$C$9,'LAC 102_Wkst'!$E$7:$E$2010,$C76,'LAC 102_Wkst'!$G$7:$G$2010,$D76,'LAC 102_Wkst'!$L$7:$L$2010,"11",'LAC 102_Wkst'!$N$7:$N$2010,"P3")+SUMIFS('LAC 102_Wkst'!$Q$7:$Q$2010,'LAC 102_Wkst'!$D$7:$D$2010,$C$7,'LAC 102_Wkst'!$I$7:$I$2010,$C$9,'LAC 102_Wkst'!$E$7:$E$2010,$C76,'LAC 102_Wkst'!$G$7:$G$2010,$D76,'LAC 102_Wkst'!$L$7:$L$2010,"12",'LAC 102_Wkst'!$N$7:$N$2010,"P3")</f>
        <v>0</v>
      </c>
      <c r="AW76" s="411">
        <f>SUMIFS('LAC 102_Wkst'!$AF$7:$AF$2010,'LAC 102_Wkst'!$D$7:$D$2010,$C$7,'LAC 102_Wkst'!$I$7:$I$2010,$C$9,'LAC 102_Wkst'!$E$7:$E$2010,$C76,'LAC 102_Wkst'!$G$7:$G$2010,$D76,'LAC 102_Wkst'!$L$7:$L$2010,"11",'LAC 102_Wkst'!$N$7:$N$2010,"P2")+SUMIFS('LAC 102_Wkst'!$AF$7:$AF$2010,'LAC 102_Wkst'!$D$7:$D$2010,$C$7,'LAC 102_Wkst'!$I$7:$I$2010,$C$9,'LAC 102_Wkst'!$E$7:$E$2010,$C76,'LAC 102_Wkst'!$G$7:$G$2010,$D76,'LAC 102_Wkst'!$L$7:$L$2010,"12",'LAC 102_Wkst'!$N$7:$N$2010,"P2")+SUMIFS('LAC 102_Wkst'!$AF$7:$AF$2010,'LAC 102_Wkst'!$D$7:$D$2010,$C$7,'LAC 102_Wkst'!$I$7:$I$2010,$C$9,'LAC 102_Wkst'!$E$7:$E$2010,$C76,'LAC 102_Wkst'!$G$7:$G$2010,$D76,'LAC 102_Wkst'!$L$7:$L$2010,"11",'LAC 102_Wkst'!$N$7:$N$2010,"P3")+SUMIFS('LAC 102_Wkst'!$AF$7:$AF$2010,'LAC 102_Wkst'!$D$7:$D$2010,$C$7,'LAC 102_Wkst'!$I$7:$I$2010,$C$9,'LAC 102_Wkst'!$E$7:$E$2010,$C76,'LAC 102_Wkst'!$G$7:$G$2010,$D76,'LAC 102_Wkst'!$L$7:$L$2010,"12",'LAC 102_Wkst'!$N$7:$N$2010,"P3")</f>
        <v>0</v>
      </c>
      <c r="AX76" s="410">
        <f>SUMIFS('LAC 102_Wkst'!$Q$7:$Q$2010,'LAC 102_Wkst'!$D$7:$D$2010,$C$7,'LAC 102_Wkst'!$I$7:$I$2010,$C$9,'LAC 102_Wkst'!$E$7:$E$2010,$C76,'LAC 102_Wkst'!$G$7:$G$2010,$D76,'LAC 102_Wkst'!$L$7:$L$2010,"11",'LAC 102_Wkst'!$N$7:$N$2010,"P4")+SUMIFS('LAC 102_Wkst'!$Q$7:$Q$2010,'LAC 102_Wkst'!$D$7:$D$2010,$C$7,'LAC 102_Wkst'!$I$7:$I$2010,$C$9,'LAC 102_Wkst'!$E$7:$E$2010,$C76,'LAC 102_Wkst'!$G$7:$G$2010,$D76,'LAC 102_Wkst'!$L$7:$L$2010,"12",'LAC 102_Wkst'!$N$7:$N$2010,"P4")</f>
        <v>0</v>
      </c>
      <c r="AY76" s="411">
        <f>SUMIFS('LAC 102_Wkst'!$AF$7:$AF$2010,'LAC 102_Wkst'!$D$7:$D$2010,$C$7,'LAC 102_Wkst'!$I$7:$I$2010,$C$9,'LAC 102_Wkst'!$E$7:$E$2010,$C76,'LAC 102_Wkst'!$G$7:$G$2010,$D76,'LAC 102_Wkst'!$L$7:$L$2010,"11",'LAC 102_Wkst'!$N$7:$N$2010,"P4")+SUMIFS('LAC 102_Wkst'!$AF$7:$AF$2010,'LAC 102_Wkst'!$D$7:$D$2010,$C$7,'LAC 102_Wkst'!$I$7:$I$2010,$C$9,'LAC 102_Wkst'!$E$7:$E$2010,$C76,'LAC 102_Wkst'!$G$7:$G$2010,$D76,'LAC 102_Wkst'!$L$7:$L$2010,"12",'LAC 102_Wkst'!$N$7:$N$2010,"P4")</f>
        <v>0</v>
      </c>
      <c r="AZ76" s="410">
        <f>SUMIFS('LAC 102_Wkst'!$Q$7:$Q$2010,'LAC 102_Wkst'!$D$7:$D$2010,$C$7,'LAC 102_Wkst'!$I$7:$I$2010,$C$9,'LAC 102_Wkst'!$E$7:$E$2010,$C76,'LAC 102_Wkst'!$G$7:$G$2010,$D76,'LAC 102_Wkst'!$L$7:$L$2010,"11",'LAC 102_Wkst'!$N$7:$N$2010,"P5")+SUMIFS('LAC 102_Wkst'!$Q$7:$Q$2010,'LAC 102_Wkst'!$D$7:$D$2010,$C$7,'LAC 102_Wkst'!$I$7:$I$2010,$C$9,'LAC 102_Wkst'!$E$7:$E$2010,$C76,'LAC 102_Wkst'!$G$7:$G$2010,$D76,'LAC 102_Wkst'!$L$7:$L$2010,"12",'LAC 102_Wkst'!$N$7:$N$2010,"P5")</f>
        <v>0</v>
      </c>
      <c r="BA76" s="411">
        <f>SUMIFS('LAC 102_Wkst'!$AF$7:$AF$2010,'LAC 102_Wkst'!$D$7:$D$2010,$C$7,'LAC 102_Wkst'!$I$7:$I$2010,$C$9,'LAC 102_Wkst'!$E$7:$E$2010,$C76,'LAC 102_Wkst'!$G$7:$G$2010,$D76,'LAC 102_Wkst'!$L$7:$L$2010,"11",'LAC 102_Wkst'!$N$7:$N$2010,"P5")+SUMIFS('LAC 102_Wkst'!$AF$7:$AF$2010,'LAC 102_Wkst'!$D$7:$D$2010,$C$7,'LAC 102_Wkst'!$I$7:$I$2010,$C$9,'LAC 102_Wkst'!$E$7:$E$2010,$C76,'LAC 102_Wkst'!$G$7:$G$2010,$D76,'LAC 102_Wkst'!$L$7:$L$2010,"12",'LAC 102_Wkst'!$N$7:$N$2010,"P5")</f>
        <v>0</v>
      </c>
      <c r="BB76" s="410">
        <f>SUMIFS('LAC 102_Wkst'!$Q$7:$Q$2010,'LAC 102_Wkst'!$D$7:$D$2010,$C$7,'LAC 102_Wkst'!$I$7:$I$2010,$C$9,'LAC 102_Wkst'!$E$7:$E$2010,$C76,'LAC 102_Wkst'!$G$7:$G$2010,$D76,'LAC 102_Wkst'!$L$7:$L$2010,"13",'LAC 102_Wkst'!$N$7:$N$2010,"P1")+SUMIFS('LAC 102_Wkst'!$Q$7:$Q$2010,'LAC 102_Wkst'!$D$7:$D$2010,$C$7,'LAC 102_Wkst'!$I$7:$I$2010,$C$9,'LAC 102_Wkst'!$E$7:$E$2010,$C76,'LAC 102_Wkst'!$G$7:$G$2010,$D76,'LAC 102_Wkst'!$L$7:$L$2010,"13",'LAC 102_Wkst'!$N$7:$N$2010,"P2")+SUMIFS('LAC 102_Wkst'!$Q$7:$Q$2010,'LAC 102_Wkst'!$D$7:$D$2010,$C$7,'LAC 102_Wkst'!$I$7:$I$2010,$C$9,'LAC 102_Wkst'!$E$7:$E$2010,$C76,'LAC 102_Wkst'!$G$7:$G$2010,$D76,'LAC 102_Wkst'!$L$7:$L$2010,"13",'LAC 102_Wkst'!$N$7:$N$2010,"P3")+SUMIFS('LAC 102_Wkst'!$Q$7:$Q$2010,'LAC 102_Wkst'!$D$7:$D$2010,$C$7,'LAC 102_Wkst'!$I$7:$I$2010,$C$9,'LAC 102_Wkst'!$E$7:$E$2010,$C76,'LAC 102_Wkst'!$G$7:$G$2010,$D76,'LAC 102_Wkst'!$L$7:$L$2010,"13",'LAC 102_Wkst'!$N$7:$N$2010,"P4")</f>
        <v>0</v>
      </c>
      <c r="BC76" s="411">
        <f>SUMIFS('LAC 102_Wkst'!$AF$7:$AF$2010,'LAC 102_Wkst'!$D$7:$D$2010,$C$7,'LAC 102_Wkst'!$I$7:$I$2010,$C$9,'LAC 102_Wkst'!$E$7:$E$2010,$C76,'LAC 102_Wkst'!$G$7:$G$2010,$D76,'LAC 102_Wkst'!$L$7:$L$2010,"13",'LAC 102_Wkst'!$N$7:$N$2010,"P1")+SUMIFS('LAC 102_Wkst'!$AF$7:$AF$2010,'LAC 102_Wkst'!$D$7:$D$2010,$C$7,'LAC 102_Wkst'!$I$7:$I$2010,$C$9,'LAC 102_Wkst'!$E$7:$E$2010,$C76,'LAC 102_Wkst'!$G$7:$G$2010,$D76,'LAC 102_Wkst'!$L$7:$L$2010,"13",'LAC 102_Wkst'!$N$7:$N$2010,"P2")+SUMIFS('LAC 102_Wkst'!$AF$7:$AF$2010,'LAC 102_Wkst'!$D$7:$D$2010,$C$7,'LAC 102_Wkst'!$I$7:$I$2010,$C$9,'LAC 102_Wkst'!$E$7:$E$2010,$C76,'LAC 102_Wkst'!$G$7:$G$2010,$D76,'LAC 102_Wkst'!$L$7:$L$2010,"13",'LAC 102_Wkst'!$N$7:$N$2010,"P3")+SUMIFS('LAC 102_Wkst'!$AF$7:$AF$2010,'LAC 102_Wkst'!$D$7:$D$2010,$C$7,'LAC 102_Wkst'!$I$7:$I$2010,$C$9,'LAC 102_Wkst'!$E$7:$E$2010,$C76,'LAC 102_Wkst'!$G$7:$G$2010,$D76,'LAC 102_Wkst'!$L$7:$L$2010,"13",'LAC 102_Wkst'!$N$7:$N$2010,"P4")</f>
        <v>0</v>
      </c>
      <c r="BD76" s="410">
        <f>SUMIFS('LAC 102_Wkst'!$Q$7:$Q$2010,'LAC 102_Wkst'!$D$7:$D$2010,$C$7,'LAC 102_Wkst'!$I$7:$I$2010,$C$9,'LAC 102_Wkst'!$E$7:$E$2010,$C76,'LAC 102_Wkst'!$G$7:$G$2010,$D76,'LAC 102_Wkst'!$L$7:$L$2010,"13",'LAC 102_Wkst'!$N$7:$N$2010,"P5")</f>
        <v>0</v>
      </c>
      <c r="BE76" s="411">
        <f>SUMIFS('LAC 102_Wkst'!$AF$7:$AF$2010,'LAC 102_Wkst'!$D$7:$D$2010,$C$7,'LAC 102_Wkst'!$I$7:$I$2010,$C$9,'LAC 102_Wkst'!$E$7:$E$2010,$C76,'LAC 102_Wkst'!$G$7:$G$2010,$D76,'LAC 102_Wkst'!$L$7:$L$2010,"13",'LAC 102_Wkst'!$N$7:$N$2010,"P5")</f>
        <v>0</v>
      </c>
      <c r="BF76" s="407">
        <f t="shared" si="4"/>
        <v>0</v>
      </c>
      <c r="BG76" s="1654">
        <f>SUMIFS('LAC 102_Wkst'!$AF$7:$AF$2010,'LAC 102_Wkst'!$D$7:$D$2010,$C$7,'LAC 102_Wkst'!$I$7:$I$2010,$C$9,'LAC 102_Wkst'!$E$7:$E$2010,$C76,'LAC 102_Wkst'!$G$7:$G$2010,$D76,'LAC 102_Wkst'!$L$7:$L$2010,"14")</f>
        <v>0</v>
      </c>
    </row>
    <row r="77" spans="1:59" x14ac:dyDescent="0.2">
      <c r="A77" s="401">
        <v>55</v>
      </c>
      <c r="B77" s="1678" t="str">
        <f>IF(Schedule_B!B$74="","",Schedule_B!B$74)</f>
        <v/>
      </c>
      <c r="C77" s="1674" t="str">
        <f>IF(Schedule_B!C$74=""," ",Schedule_B!C$74)</f>
        <v xml:space="preserve"> </v>
      </c>
      <c r="D77" s="1675" t="str">
        <f>IF(Schedule_B!D$74=""," ",Schedule_B!D$74)</f>
        <v xml:space="preserve"> </v>
      </c>
      <c r="E77" s="1221">
        <f>SUMIFS('LAC 102_Wkst'!$Q$7:$Q$2010,'LAC 102_Wkst'!$D$7:$D$2010,$C$7,'LAC 102_Wkst'!$I$7:$I$2010,$C$9,'LAC 102_Wkst'!$E$7:$E$2010,$C77,'LAC 102_Wkst'!$G$7:$G$2010,$D77)</f>
        <v>0</v>
      </c>
      <c r="F77" s="408">
        <f>SUMIFS('LAC 102_Wkst'!$Q$7:$Q$2010,'LAC 102_Wkst'!$D$7:$D$2010,$C$7,'LAC 102_Wkst'!$I$7:$I$2010,$C$9,'LAC 102_Wkst'!$E$7:$E$2010,$C77,'LAC 102_Wkst'!$G$7:$G$2010,$D77,'LAC 102_Wkst'!$L$7:$L$2010,"01",'LAC 102_Wkst'!$N$7:$N$2010,"P1")+SUMIFS('LAC 102_Wkst'!$Q$7:$Q$2010,'LAC 102_Wkst'!$D$7:$D$2010,$C$7,'LAC 102_Wkst'!$I$7:$I$2010,$C$9,'LAC 102_Wkst'!$E$7:$E$2010,$C77,'LAC 102_Wkst'!$G$7:$G$2010,$D77,'LAC 102_Wkst'!$L$7:$L$2010,"01",'LAC 102_Wkst'!$N$7:$N$2010,"P2")+SUMIFS('LAC 102_Wkst'!$Q$7:$Q$2010,'LAC 102_Wkst'!$D$7:$D$2010,$C$7,'LAC 102_Wkst'!$I$7:$I$2010,$C$9,'LAC 102_Wkst'!$E$7:$E$2010,$C77,'LAC 102_Wkst'!$G$7:$G$2010,$D77,'LAC 102_Wkst'!$L$7:$L$2010,"01",'LAC 102_Wkst'!$N$7:$N$2010,"P3")+SUMIFS('LAC 102_Wkst'!$Q$7:$Q$2010,'LAC 102_Wkst'!$D$7:$D$2010,$C$7,'LAC 102_Wkst'!$I$7:$I$2010,$C$9,'LAC 102_Wkst'!$E$7:$E$2010,$C77,'LAC 102_Wkst'!$G$7:$G$2010,$D77,'LAC 102_Wkst'!$L$7:$L$2010,"02",'LAC 102_Wkst'!$N$7:$N$2010,"P1")+SUMIFS('LAC 102_Wkst'!$Q$7:$Q$2010,'LAC 102_Wkst'!$D$7:$D$2010,$C$7,'LAC 102_Wkst'!$I$7:$I$2010,$C$9,'LAC 102_Wkst'!$E$7:$E$2010,$C77,'LAC 102_Wkst'!$G$7:$G$2010,$D77,'LAC 102_Wkst'!$L$7:$L$2010,"02",'LAC 102_Wkst'!$N$7:$N$2010,"P2")+SUMIFS('LAC 102_Wkst'!$Q$7:$Q$2010,'LAC 102_Wkst'!$D$7:$D$2010,$C$7,'LAC 102_Wkst'!$I$7:$I$2010,$C$9,'LAC 102_Wkst'!$E$7:$E$2010,$C77,'LAC 102_Wkst'!$G$7:$G$2010,$D77,'LAC 102_Wkst'!$L$7:$L$2010,"02",'LAC 102_Wkst'!$N$7:$N$2010,"P3")</f>
        <v>0</v>
      </c>
      <c r="G77" s="409">
        <f>SUMIFS('LAC 102_Wkst'!$AF$7:$AF$2010,'LAC 102_Wkst'!$D$7:$D$2010,$C$7,'LAC 102_Wkst'!$I$7:$I$2010,$C$9,'LAC 102_Wkst'!$E$7:$E$2010,$C77,'LAC 102_Wkst'!$G$7:$G$2010,$D77,'LAC 102_Wkst'!$L$7:$L$2010,"01",'LAC 102_Wkst'!$N$7:$N$2010,"P1")+SUMIFS('LAC 102_Wkst'!$AF$7:$AF$2010,'LAC 102_Wkst'!$D$7:$D$2010,$C$7,'LAC 102_Wkst'!$I$7:$I$2010,$C$9,'LAC 102_Wkst'!$E$7:$E$2010,$C77,'LAC 102_Wkst'!$G$7:$G$2010,$D77,'LAC 102_Wkst'!$L$7:$L$2010,"01",'LAC 102_Wkst'!$N$7:$N$2010,"P2")+SUMIFS('LAC 102_Wkst'!$AF$7:$AF$2010,'LAC 102_Wkst'!$D$7:$D$2010,$C$7,'LAC 102_Wkst'!$I$7:$I$2010,$C$9,'LAC 102_Wkst'!$E$7:$E$2010,$C77,'LAC 102_Wkst'!$G$7:$G$2010,$D77,'LAC 102_Wkst'!$L$7:$L$2010,"01",'LAC 102_Wkst'!$N$7:$N$2010,"P3")+SUMIFS('LAC 102_Wkst'!$AF$7:$AF$2010,'LAC 102_Wkst'!$D$7:$D$2010,$C$7,'LAC 102_Wkst'!$I$7:$I$2010,$C$9,'LAC 102_Wkst'!$E$7:$E$2010,$C77,'LAC 102_Wkst'!$G$7:$G$2010,$D77,'LAC 102_Wkst'!$L$7:$L$2010,"02",'LAC 102_Wkst'!$N$7:$N$2010,"P1")+SUMIFS('LAC 102_Wkst'!$AF$7:$AF$2010,'LAC 102_Wkst'!$D$7:$D$2010,$C$7,'LAC 102_Wkst'!$I$7:$I$2010,$C$9,'LAC 102_Wkst'!$E$7:$E$2010,$C77,'LAC 102_Wkst'!$G$7:$G$2010,$D77,'LAC 102_Wkst'!$L$7:$L$2010,"02",'LAC 102_Wkst'!$N$7:$N$2010,"P2")+SUMIFS('LAC 102_Wkst'!$AF$7:$AF$2010,'LAC 102_Wkst'!$D$7:$D$2010,$C$7,'LAC 102_Wkst'!$I$7:$I$2010,$C$9,'LAC 102_Wkst'!$E$7:$E$2010,$C77,'LAC 102_Wkst'!$G$7:$G$2010,$D77,'LAC 102_Wkst'!$L$7:$L$2010,"02",'LAC 102_Wkst'!$N$7:$N$2010,"P3")</f>
        <v>0</v>
      </c>
      <c r="H77" s="410">
        <f>SUMIFS('LAC 102_Wkst'!$Q$7:$Q$2010,'LAC 102_Wkst'!$D$7:$D$2010,$C$7,'LAC 102_Wkst'!$I$7:$I$2010,$C$9,'LAC 102_Wkst'!$E$7:$E$2010,$C77,'LAC 102_Wkst'!$G$7:$G$2010,$D77,'LAC 102_Wkst'!$L$7:$L$2010,"01",'LAC 102_Wkst'!$N$7:$N$2010,"P4")+SUMIFS('LAC 102_Wkst'!$Q$7:$Q$2010,'LAC 102_Wkst'!$D$7:$D$2010,$C$7,'LAC 102_Wkst'!$I$7:$I$2010,$C$9,'LAC 102_Wkst'!$E$7:$E$2010,$C77,'LAC 102_Wkst'!$G$7:$G$2010,$D77,'LAC 102_Wkst'!$L$7:$L$2010,"02",'LAC 102_Wkst'!$N$7:$N$2010,"P4")</f>
        <v>0</v>
      </c>
      <c r="I77" s="411">
        <f>SUMIFS('LAC 102_Wkst'!$AF$7:$AF$2010,'LAC 102_Wkst'!$D$7:$D$2010,$C$7,'LAC 102_Wkst'!$I$7:$I$2010,$C$9,'LAC 102_Wkst'!$E$7:$E$2010,$C77,'LAC 102_Wkst'!$G$7:$G$2010,$D77,'LAC 102_Wkst'!$L$7:$L$2010,"01",'LAC 102_Wkst'!$N$7:$N$2010,"P4")+SUMIFS('LAC 102_Wkst'!$AF$7:$AF$2010,'LAC 102_Wkst'!$D$7:$D$2010,$C$7,'LAC 102_Wkst'!$I$7:$I$2010,$C$9,'LAC 102_Wkst'!$E$7:$E$2010,$C77,'LAC 102_Wkst'!$G$7:$G$2010,$D77,'LAC 102_Wkst'!$L$7:$L$2010,"02",'LAC 102_Wkst'!$N$7:$N$2010,"P4")</f>
        <v>0</v>
      </c>
      <c r="J77" s="410">
        <f>SUMIFS('LAC 102_Wkst'!$Q$7:$Q$2010,'LAC 102_Wkst'!$D$7:$D$2010,$C$7,'LAC 102_Wkst'!$I$7:$I$2010,$C$9,'LAC 102_Wkst'!$E$7:$E$2010,$C77,'LAC 102_Wkst'!$G$7:$G$2010,$D77,'LAC 102_Wkst'!$L$7:$L$2010,"01",'LAC 102_Wkst'!$N$7:$N$2010,"P5")+SUMIFS('LAC 102_Wkst'!$Q$7:$Q$2010,'LAC 102_Wkst'!$D$7:$D$2010,$C$7,'LAC 102_Wkst'!$I$7:$I$2010,$C$9,'LAC 102_Wkst'!$E$7:$E$2010,$C77,'LAC 102_Wkst'!$G$7:$G$2010,$D77,'LAC 102_Wkst'!$L$7:$L$2010,"02",'LAC 102_Wkst'!$N$7:$N$2010,"P5")</f>
        <v>0</v>
      </c>
      <c r="K77" s="411">
        <f>SUMIFS('LAC 102_Wkst'!$AF$7:$AF$2010,'LAC 102_Wkst'!$D$7:$D$2010,$C$7,'LAC 102_Wkst'!$I$7:$I$2010,$C$9,'LAC 102_Wkst'!$E$7:$E$2010,$C77,'LAC 102_Wkst'!$G$7:$G$2010,$D77,'LAC 102_Wkst'!$L$7:$L$2010,"01",'LAC 102_Wkst'!$N$7:$N$2010,"P5")+SUMIFS('LAC 102_Wkst'!$AF$7:$AF$2010,'LAC 102_Wkst'!$D$7:$D$2010,$C$7,'LAC 102_Wkst'!$I$7:$I$2010,$C$9,'LAC 102_Wkst'!$E$7:$E$2010,$C77,'LAC 102_Wkst'!$G$7:$G$2010,$D77,'LAC 102_Wkst'!$L$7:$L$2010,"02",'LAC 102_Wkst'!$N$7:$N$2010,"P5")</f>
        <v>0</v>
      </c>
      <c r="L77" s="410">
        <f>SUMIFS('LAC 102_Wkst'!$Q$7:$Q$2010,'LAC 102_Wkst'!$D$7:$D$2010,$C$7,'LAC 102_Wkst'!$I$7:$I$2010,$C$9,'LAC 102_Wkst'!$E$7:$E$2010,$C77,'LAC 102_Wkst'!$G$7:$G$2010,$D77,'LAC 102_Wkst'!$L$7:$L$2010,"03",'LAC 102_Wkst'!$N$7:$N$2010,"P1")+SUMIFS('LAC 102_Wkst'!$Q$7:$Q$2010,'LAC 102_Wkst'!$D$7:$D$2010,$C$7,'LAC 102_Wkst'!$I$7:$I$2010,$C$9,'LAC 102_Wkst'!$E$7:$E$2010,$C77,'LAC 102_Wkst'!$G$7:$G$2010,$D77,'LAC 102_Wkst'!$L$7:$L$2010,"03",'LAC 102_Wkst'!$N$7:$N$2010,"P2")+SUMIFS('LAC 102_Wkst'!$Q$7:$Q$2010,'LAC 102_Wkst'!$D$7:$D$2010,$C$7,'LAC 102_Wkst'!$I$7:$I$2010,$C$9,'LAC 102_Wkst'!$E$7:$E$2010,$C77,'LAC 102_Wkst'!$G$7:$G$2010,$D77,'LAC 102_Wkst'!$L$7:$L$2010,"03",'LAC 102_Wkst'!$N$7:$N$2010,"P3")+SUMIFS('LAC 102_Wkst'!$Q$7:$Q$2010,'LAC 102_Wkst'!$D$7:$D$2010,$C$7,'LAC 102_Wkst'!$I$7:$I$2010,$C$9,'LAC 102_Wkst'!$E$7:$E$2010,$C77,'LAC 102_Wkst'!$G$7:$G$2010,$D77,'LAC 102_Wkst'!$L$7:$L$2010,"04",'LAC 102_Wkst'!$N$7:$N$2010,"P1")+SUMIFS('LAC 102_Wkst'!$Q$7:$Q$2010,'LAC 102_Wkst'!$D$7:$D$2010,$C$7,'LAC 102_Wkst'!$I$7:$I$2010,$C$9,'LAC 102_Wkst'!$E$7:$E$2010,$C77,'LAC 102_Wkst'!$G$7:$G$2010,$D77,'LAC 102_Wkst'!$L$7:$L$2010,"04",'LAC 102_Wkst'!$N$7:$N$2010,"P2")+SUMIFS('LAC 102_Wkst'!$Q$7:$Q$2010,'LAC 102_Wkst'!$D$7:$D$2010,$C$7,'LAC 102_Wkst'!$I$7:$I$2010,$C$9,'LAC 102_Wkst'!$E$7:$E$2010,$C77,'LAC 102_Wkst'!$G$7:$G$2010,$D77,'LAC 102_Wkst'!$L$7:$L$2010,"04",'LAC 102_Wkst'!$N$7:$N$2010,"P3")</f>
        <v>0</v>
      </c>
      <c r="M77" s="411">
        <f>SUMIFS('LAC 102_Wkst'!$AF$7:$AF$2010,'LAC 102_Wkst'!$D$7:$D$2010,$C$7,'LAC 102_Wkst'!$I$7:$I$2010,$C$9,'LAC 102_Wkst'!$E$7:$E$2010,$C77,'LAC 102_Wkst'!$G$7:$G$2010,$D77,'LAC 102_Wkst'!$L$7:$L$2010,"03",'LAC 102_Wkst'!$N$7:$N$2010,"P1")+SUMIFS('LAC 102_Wkst'!$AF$7:$AF$2010,'LAC 102_Wkst'!$D$7:$D$2010,$C$7,'LAC 102_Wkst'!$I$7:$I$2010,$C$9,'LAC 102_Wkst'!$E$7:$E$2010,$C77,'LAC 102_Wkst'!$G$7:$G$2010,$D77,'LAC 102_Wkst'!$L$7:$L$2010,"03",'LAC 102_Wkst'!$N$7:$N$2010,"P2")+SUMIFS('LAC 102_Wkst'!$AF$7:$AF$2010,'LAC 102_Wkst'!$D$7:$D$2010,$C$7,'LAC 102_Wkst'!$I$7:$I$2010,$C$9,'LAC 102_Wkst'!$E$7:$E$2010,$C77,'LAC 102_Wkst'!$G$7:$G$2010,$D77,'LAC 102_Wkst'!$L$7:$L$2010,"03",'LAC 102_Wkst'!$N$7:$N$2010,"P3")+SUMIFS('LAC 102_Wkst'!$AF$7:$AF$2010,'LAC 102_Wkst'!$D$7:$D$2010,$C$7,'LAC 102_Wkst'!$I$7:$I$2010,$C$9,'LAC 102_Wkst'!$E$7:$E$2010,$C77,'LAC 102_Wkst'!$G$7:$G$2010,$D77,'LAC 102_Wkst'!$L$7:$L$2010,"04",'LAC 102_Wkst'!$N$7:$N$2010,"P1")+SUMIFS('LAC 102_Wkst'!$AF$7:$AF$2010,'LAC 102_Wkst'!$D$7:$D$2010,$C$7,'LAC 102_Wkst'!$I$7:$I$2010,$C$9,'LAC 102_Wkst'!$E$7:$E$2010,$C77,'LAC 102_Wkst'!$G$7:$G$2010,$D77,'LAC 102_Wkst'!$L$7:$L$2010,"04",'LAC 102_Wkst'!$N$7:$N$2010,"P2")+SUMIFS('LAC 102_Wkst'!$AF$7:$AF$2010,'LAC 102_Wkst'!$D$7:$D$2010,$C$7,'LAC 102_Wkst'!$I$7:$I$2010,$C$9,'LAC 102_Wkst'!$E$7:$E$2010,$C77,'LAC 102_Wkst'!$G$7:$G$2010,$D77,'LAC 102_Wkst'!$L$7:$L$2010,"04",'LAC 102_Wkst'!$N$7:$N$2010,"P3")</f>
        <v>0</v>
      </c>
      <c r="N77" s="410">
        <f>SUMIFS('LAC 102_Wkst'!$Q$7:$Q$2010,'LAC 102_Wkst'!$D$7:$D$2010,$C$7,'LAC 102_Wkst'!$I$7:$I$2010,$C$9,'LAC 102_Wkst'!$E$7:$E$2010,$C77,'LAC 102_Wkst'!$G$7:$G$2010,$D77,'LAC 102_Wkst'!$L$7:$L$2010,"03",'LAC 102_Wkst'!$N$7:$N$2010,"P4")+SUMIFS('LAC 102_Wkst'!$Q$7:$Q$2010,'LAC 102_Wkst'!$D$7:$D$2010,$C$7,'LAC 102_Wkst'!$I$7:$I$2010,$C$9,'LAC 102_Wkst'!$E$7:$E$2010,$C77,'LAC 102_Wkst'!$G$7:$G$2010,$D77,'LAC 102_Wkst'!$L$7:$L$2010,"04",'LAC 102_Wkst'!$N$7:$N$2010,"P4")</f>
        <v>0</v>
      </c>
      <c r="O77" s="411">
        <f>SUMIFS('LAC 102_Wkst'!$AF$7:$AF$2010,'LAC 102_Wkst'!$D$7:$D$2010,$C$7,'LAC 102_Wkst'!$I$7:$I$2010,$C$9,'LAC 102_Wkst'!$E$7:$E$2010,$C77,'LAC 102_Wkst'!$G$7:$G$2010,$D77,'LAC 102_Wkst'!$L$7:$L$2010,"03",'LAC 102_Wkst'!$N$7:$N$2010,"P4")+SUMIFS('LAC 102_Wkst'!$AF$7:$AF$2010,'LAC 102_Wkst'!$D$7:$D$2010,$C$7,'LAC 102_Wkst'!$I$7:$I$2010,$C$9,'LAC 102_Wkst'!$E$7:$E$2010,$C77,'LAC 102_Wkst'!$G$7:$G$2010,$D77,'LAC 102_Wkst'!$L$7:$L$2010,"04",'LAC 102_Wkst'!$N$7:$N$2010,"P4")</f>
        <v>0</v>
      </c>
      <c r="P77" s="410">
        <f>SUMIFS('LAC 102_Wkst'!$Q$7:$Q$2010,'LAC 102_Wkst'!$D$7:$D$2010,$C$7,'LAC 102_Wkst'!$I$7:$I$2010,$C$9,'LAC 102_Wkst'!$E$7:$E$2010,$C77,'LAC 102_Wkst'!$G$7:$G$2010,$D77,'LAC 102_Wkst'!$L$7:$L$2010,"03",'LAC 102_Wkst'!$N$7:$N$2010,"P5")+SUMIFS('LAC 102_Wkst'!$Q$7:$Q$2010,'LAC 102_Wkst'!$D$7:$D$2010,$C$7,'LAC 102_Wkst'!$I$7:$I$2010,$C$9,'LAC 102_Wkst'!$E$7:$E$2010,$C77,'LAC 102_Wkst'!$G$7:$G$2010,$D77,'LAC 102_Wkst'!$L$7:$L$2010,"04",'LAC 102_Wkst'!$N$7:$N$2010,"P5")</f>
        <v>0</v>
      </c>
      <c r="Q77" s="411">
        <f>SUMIFS('LAC 102_Wkst'!$AF$7:$AF$2010,'LAC 102_Wkst'!$D$7:$D$2010,$C$7,'LAC 102_Wkst'!$I$7:$I$2010,$C$9,'LAC 102_Wkst'!$E$7:$E$2010,$C77,'LAC 102_Wkst'!$G$7:$G$2010,$D77,'LAC 102_Wkst'!$L$7:$L$2010,"03",'LAC 102_Wkst'!$N$7:$N$2010,"P5")+SUMIFS('LAC 102_Wkst'!$AF$7:$AF$2010,'LAC 102_Wkst'!$D$7:$D$2010,$C$7,'LAC 102_Wkst'!$I$7:$I$2010,$C$9,'LAC 102_Wkst'!$E$7:$E$2010,$C77,'LAC 102_Wkst'!$G$7:$G$2010,$D77,'LAC 102_Wkst'!$L$7:$L$2010,"04",'LAC 102_Wkst'!$N$7:$N$2010,"P5")</f>
        <v>0</v>
      </c>
      <c r="R77" s="412">
        <f>SUMIFS('LAC 102_Wkst'!$Q$7:$Q$2010,'LAC 102_Wkst'!$D$7:$D$2010,$C$7,'LAC 102_Wkst'!$I$7:$I$2010,$C$9,'LAC 102_Wkst'!$E$7:$E$2010,$C77,'LAC 102_Wkst'!$G$7:$G$2010,$D77,'LAC 102_Wkst'!$L$7:$L$2010,"05",'LAC 102_Wkst'!$N$7:$N$2010,"P1")+SUMIFS('LAC 102_Wkst'!$Q$7:$Q$2010,'LAC 102_Wkst'!$D$7:$D$2010,$C$7,'LAC 102_Wkst'!$I$7:$I$2010,$C$9,'LAC 102_Wkst'!$E$7:$E$2010,$C77,'LAC 102_Wkst'!$G$7:$G$2010,$D77,'LAC 102_Wkst'!$L$7:$L$2010,"06",'LAC 102_Wkst'!$N$7:$N$2010,"P1")</f>
        <v>0</v>
      </c>
      <c r="S77" s="411">
        <f>SUMIFS('LAC 102_Wkst'!$AF$7:$AF$2010,'LAC 102_Wkst'!$D$7:$D$2010,$C$7,'LAC 102_Wkst'!$I$7:$I$2010,$C$9,'LAC 102_Wkst'!$E$7:$E$2010,$C77,'LAC 102_Wkst'!$G$7:$G$2010,$D77,'LAC 102_Wkst'!$L$7:$L$2010,"05",'LAC 102_Wkst'!$N$7:$N$2010,"P1")+SUMIFS('LAC 102_Wkst'!$AF$7:$AF$2010,'LAC 102_Wkst'!$D$7:$D$2010,$C$7,'LAC 102_Wkst'!$I$7:$I$2010,$C$9,'LAC 102_Wkst'!$E$7:$E$2010,$C77,'LAC 102_Wkst'!$G$7:$G$2010,$D77,'LAC 102_Wkst'!$L$7:$L$2010,"06",'LAC 102_Wkst'!$N$7:$N$2010,"P1")</f>
        <v>0</v>
      </c>
      <c r="T77" s="410">
        <f>SUMIFS('LAC 102_Wkst'!$Q$7:$Q$2010,'LAC 102_Wkst'!$D$7:$D$2010,$C$7,'LAC 102_Wkst'!$I$7:$I$2010,$C$9,'LAC 102_Wkst'!$E$7:$E$2010,$C77,'LAC 102_Wkst'!$G$7:$G$2010,$D77,'LAC 102_Wkst'!$L$7:$L$2010,"05",'LAC 102_Wkst'!$N$7:$N$2010,"P2")+SUMIFS('LAC 102_Wkst'!$Q$7:$Q$2010,'LAC 102_Wkst'!$D$7:$D$2010,$C$7,'LAC 102_Wkst'!$I$7:$I$2010,$C$9,'LAC 102_Wkst'!$E$7:$E$2010,$C77,'LAC 102_Wkst'!$G$7:$G$2010,$D77,'LAC 102_Wkst'!$L$7:$L$2010,"06",'LAC 102_Wkst'!$N$7:$N$2010,"P2")+SUMIFS('LAC 102_Wkst'!$Q$7:$Q$2010,'LAC 102_Wkst'!$D$7:$D$2010,$C$7,'LAC 102_Wkst'!$I$7:$I$2010,$C$9,'LAC 102_Wkst'!$E$7:$E$2010,$C77,'LAC 102_Wkst'!$G$7:$G$2010,$D77,'LAC 102_Wkst'!$L$7:$L$2010,"05",'LAC 102_Wkst'!$N$7:$N$2010,"P3")+SUMIFS('LAC 102_Wkst'!$Q$7:$Q$2010,'LAC 102_Wkst'!$D$7:$D$2010,$C$7,'LAC 102_Wkst'!$I$7:$I$2010,$C$9,'LAC 102_Wkst'!$E$7:$E$2010,$C77,'LAC 102_Wkst'!$G$7:$G$2010,$D77,'LAC 102_Wkst'!$L$7:$L$2010,"06",'LAC 102_Wkst'!$N$7:$N$2010,"P3")</f>
        <v>0</v>
      </c>
      <c r="U77" s="411">
        <f>SUMIFS('LAC 102_Wkst'!$AF$7:$AF$2010,'LAC 102_Wkst'!$D$7:$D$2010,$C$7,'LAC 102_Wkst'!$I$7:$I$2010,$C$9,'LAC 102_Wkst'!$E$7:$E$2010,$C77,'LAC 102_Wkst'!$G$7:$G$2010,$D77,'LAC 102_Wkst'!$L$7:$L$2010,"05",'LAC 102_Wkst'!$N$7:$N$2010,"P2")+SUMIFS('LAC 102_Wkst'!$AF$7:$AF$2010,'LAC 102_Wkst'!$D$7:$D$2010,$C$7,'LAC 102_Wkst'!$I$7:$I$2010,$C$9,'LAC 102_Wkst'!$E$7:$E$2010,$C77,'LAC 102_Wkst'!$G$7:$G$2010,$D77,'LAC 102_Wkst'!$L$7:$L$2010,"06",'LAC 102_Wkst'!$N$7:$N$2010,"P2")+SUMIFS('LAC 102_Wkst'!$AF$7:$AF$2010,'LAC 102_Wkst'!$D$7:$D$2010,$C$7,'LAC 102_Wkst'!$I$7:$I$2010,$C$9,'LAC 102_Wkst'!$E$7:$E$2010,$C77,'LAC 102_Wkst'!$G$7:$G$2010,$D77,'LAC 102_Wkst'!$L$7:$L$2010,"05",'LAC 102_Wkst'!$N$7:$N$2010,"P3")+SUMIFS('LAC 102_Wkst'!$AF$7:$AF$2010,'LAC 102_Wkst'!$D$7:$D$2010,$C$7,'LAC 102_Wkst'!$I$7:$I$2010,$C$9,'LAC 102_Wkst'!$E$7:$E$2010,$C77,'LAC 102_Wkst'!$G$7:$G$2010,$D77,'LAC 102_Wkst'!$L$7:$L$2010,"06",'LAC 102_Wkst'!$N$7:$N$2010,"P3")</f>
        <v>0</v>
      </c>
      <c r="V77" s="410">
        <f>SUMIFS('LAC 102_Wkst'!$Q$7:$Q$2010,'LAC 102_Wkst'!$D$7:$D$2010,$C$7,'LAC 102_Wkst'!$I$7:$I$2010,$C$9,'LAC 102_Wkst'!$E$7:$E$2010,$C77,'LAC 102_Wkst'!$G$7:$G$2010,$D77,'LAC 102_Wkst'!$L$7:$L$2010,"05",'LAC 102_Wkst'!$N$7:$N$2010,"P4")+SUMIFS('LAC 102_Wkst'!$Q$7:$Q$2010,'LAC 102_Wkst'!$D$7:$D$2010,$C$7,'LAC 102_Wkst'!$I$7:$I$2010,$C$9,'LAC 102_Wkst'!$E$7:$E$2010,$C77,'LAC 102_Wkst'!$G$7:$G$2010,$D77,'LAC 102_Wkst'!$L$7:$L$2010,"06",'LAC 102_Wkst'!$N$7:$N$2010,"P4")</f>
        <v>0</v>
      </c>
      <c r="W77" s="411">
        <f>SUMIFS('LAC 102_Wkst'!$AF$7:$AF$2010,'LAC 102_Wkst'!$D$7:$D$2010,$C$7,'LAC 102_Wkst'!$I$7:$I$2010,$C$9,'LAC 102_Wkst'!$E$7:$E$2010,$C77,'LAC 102_Wkst'!$G$7:$G$2010,$D77,'LAC 102_Wkst'!$L$7:$L$2010,"05",'LAC 102_Wkst'!$N$7:$N$2010,"P4")+SUMIFS('LAC 102_Wkst'!$AF$7:$AF$2010,'LAC 102_Wkst'!$D$7:$D$2010,$C$7,'LAC 102_Wkst'!$I$7:$I$2010,$C$9,'LAC 102_Wkst'!$E$7:$E$2010,$C77,'LAC 102_Wkst'!$G$7:$G$2010,$D77,'LAC 102_Wkst'!$L$7:$L$2010,"06",'LAC 102_Wkst'!$N$7:$N$2010,"P4")</f>
        <v>0</v>
      </c>
      <c r="X77" s="410">
        <f>SUMIFS('LAC 102_Wkst'!$Q$7:$Q$2010,'LAC 102_Wkst'!$D$7:$D$2010,$C$7,'LAC 102_Wkst'!$I$7:$I$2010,$C$9,'LAC 102_Wkst'!$E$7:$E$2010,$C77,'LAC 102_Wkst'!$G$7:$G$2010,$D77,'LAC 102_Wkst'!$L$7:$L$2010,"05",'LAC 102_Wkst'!$N$7:$N$2010,"P5")+SUMIFS('LAC 102_Wkst'!$Q$7:$Q$2010,'LAC 102_Wkst'!$D$7:$D$2010,$C$7,'LAC 102_Wkst'!$I$7:$I$2010,$C$9,'LAC 102_Wkst'!$E$7:$E$2010,$C77,'LAC 102_Wkst'!$G$7:$G$2010,$D77,'LAC 102_Wkst'!$L$7:$L$2010,"06",'LAC 102_Wkst'!$N$7:$N$2010,"P5")</f>
        <v>0</v>
      </c>
      <c r="Y77" s="411">
        <f>SUMIFS('LAC 102_Wkst'!$AF$7:$AF$2010,'LAC 102_Wkst'!$D$7:$D$2010,$C$7,'LAC 102_Wkst'!$I$7:$I$2010,$C$9,'LAC 102_Wkst'!$E$7:$E$2010,$C77,'LAC 102_Wkst'!$G$7:$G$2010,$D77,'LAC 102_Wkst'!$L$7:$L$2010,"05",'LAC 102_Wkst'!$N$7:$N$2010,"P5")+SUMIFS('LAC 102_Wkst'!$AF$7:$AF$2010,'LAC 102_Wkst'!$D$7:$D$2010,$C$7,'LAC 102_Wkst'!$I$7:$I$2010,$C$9,'LAC 102_Wkst'!$E$7:$E$2010,$C77,'LAC 102_Wkst'!$G$7:$G$2010,$D77,'LAC 102_Wkst'!$L$7:$L$2010,"06",'LAC 102_Wkst'!$N$7:$N$2010,"P5")</f>
        <v>0</v>
      </c>
      <c r="Z77" s="410">
        <f>SUMIFS('LAC 102_Wkst'!$Q$7:$Q$2010,'LAC 102_Wkst'!$D$7:$D$2010,$C$7,'LAC 102_Wkst'!$I$7:$I$2010,$C$9,'LAC 102_Wkst'!$E$7:$E$2010,$C77,'LAC 102_Wkst'!$G$7:$G$2010,$D77,'LAC 102_Wkst'!$L$7:$L$2010,"07",'LAC 102_Wkst'!$N$7:$N$2010,"P1")+SUMIFS('LAC 102_Wkst'!$Q$7:$Q$2010,'LAC 102_Wkst'!$D$7:$D$2010,$C$7,'LAC 102_Wkst'!$I$7:$I$2010,$C$9,'LAC 102_Wkst'!$E$7:$E$2010,$C77,'LAC 102_Wkst'!$G$7:$G$2010,$D77,'LAC 102_Wkst'!$L$7:$L$2010,"07",'LAC 102_Wkst'!$N$7:$N$2010,"P2")+SUMIFS('LAC 102_Wkst'!$Q$7:$Q$2010,'LAC 102_Wkst'!$D$7:$D$2010,$C$7,'LAC 102_Wkst'!$I$7:$I$2010,$C$9,'LAC 102_Wkst'!$E$7:$E$2010,$C77,'LAC 102_Wkst'!$G$7:$G$2010,$D77,'LAC 102_Wkst'!$L$7:$L$2010,"07",'LAC 102_Wkst'!$N$7:$N$2010,"P3")</f>
        <v>0</v>
      </c>
      <c r="AA77" s="411">
        <f>SUMIFS('LAC 102_Wkst'!$AF$7:$AF$2010,'LAC 102_Wkst'!$D$7:$D$2010,$C$7,'LAC 102_Wkst'!$I$7:$I$2010,$C$9,'LAC 102_Wkst'!$E$7:$E$2010,$C77,'LAC 102_Wkst'!$G$7:$G$2010,$D77,'LAC 102_Wkst'!$L$7:$L$2010,"07",'LAC 102_Wkst'!$N$7:$N$2010,"P1")+SUMIFS('LAC 102_Wkst'!$AF$7:$AF$2010,'LAC 102_Wkst'!$D$7:$D$2010,$C$7,'LAC 102_Wkst'!$I$7:$I$2010,$C$9,'LAC 102_Wkst'!$E$7:$E$2010,$C77,'LAC 102_Wkst'!$G$7:$G$2010,$D77,'LAC 102_Wkst'!$L$7:$L$2010,"07",'LAC 102_Wkst'!$N$7:$N$2010,"P2")+SUMIFS('LAC 102_Wkst'!$AF$7:$AF$2010,'LAC 102_Wkst'!$D$7:$D$2010,$C$7,'LAC 102_Wkst'!$I$7:$I$2010,$C$9,'LAC 102_Wkst'!$E$7:$E$2010,$C77,'LAC 102_Wkst'!$G$7:$G$2010,$D77,'LAC 102_Wkst'!$L$7:$L$2010,"07",'LAC 102_Wkst'!$N$7:$N$2010,"P3")</f>
        <v>0</v>
      </c>
      <c r="AB77" s="410">
        <f>SUMIFS('LAC 102_Wkst'!$Q$7:$Q$2010,'LAC 102_Wkst'!$D$7:$D$2010,$C$7,'LAC 102_Wkst'!$I$7:$I$2010,$C$9,'LAC 102_Wkst'!$E$7:$E$2010,$C77,'LAC 102_Wkst'!$G$7:$G$2010,$D77,'LAC 102_Wkst'!$L$7:$L$2010,"07",'LAC 102_Wkst'!$N$7:$N$2010,"P4")</f>
        <v>0</v>
      </c>
      <c r="AC77" s="411">
        <f>SUMIFS('LAC 102_Wkst'!$AF$7:$AF$2010,'LAC 102_Wkst'!$D$7:$D$2010,$C$7,'LAC 102_Wkst'!$I$7:$I$2010,$C$9,'LAC 102_Wkst'!$E$7:$E$2010,$C77,'LAC 102_Wkst'!$G$7:$G$2010,$D77,'LAC 102_Wkst'!$L$7:$L$2010,"07",'LAC 102_Wkst'!$N$7:$N$2010,"P4")</f>
        <v>0</v>
      </c>
      <c r="AD77" s="410">
        <f>SUMIFS('LAC 102_Wkst'!$Q$7:$Q$2010,'LAC 102_Wkst'!$D$7:$D$2010,$C$7,'LAC 102_Wkst'!$I$7:$I$2010,$C$9,'LAC 102_Wkst'!$E$7:$E$2010,$C77,'LAC 102_Wkst'!$G$7:$G$2010,$D77,'LAC 102_Wkst'!$L$7:$L$2010,"07",'LAC 102_Wkst'!$N$7:$N$2010,"P5")</f>
        <v>0</v>
      </c>
      <c r="AE77" s="411">
        <f>SUMIFS('LAC 102_Wkst'!$AF$7:$AF$2010,'LAC 102_Wkst'!$D$7:$D$2010,$C$7,'LAC 102_Wkst'!$I$7:$I$2010,$C$9,'LAC 102_Wkst'!$E$7:$E$2010,$C77,'LAC 102_Wkst'!$G$7:$G$2010,$D77,'LAC 102_Wkst'!$L$7:$L$2010,"07",'LAC 102_Wkst'!$N$7:$N$2010,"P5")</f>
        <v>0</v>
      </c>
      <c r="AF77" s="410">
        <f>SUMIFS('LAC 102_Wkst'!$Q$7:$Q$2010,'LAC 102_Wkst'!$D$7:$D$2010,$C$7,'LAC 102_Wkst'!$I$7:$I$2010,$C$9,'LAC 102_Wkst'!$E$7:$E$2010,$C77,'LAC 102_Wkst'!$G$7:$G$2010,$D77,'LAC 102_Wkst'!$L$7:$L$2010,"08",'LAC 102_Wkst'!$N$7:$N$2010,"P1")+SUMIFS('LAC 102_Wkst'!$Q$7:$Q$2010,'LAC 102_Wkst'!$D$7:$D$2010,$C$7,'LAC 102_Wkst'!$I$7:$I$2010,$C$9,'LAC 102_Wkst'!$E$7:$E$2010,$C77,'LAC 102_Wkst'!$G$7:$G$2010,$D77,'LAC 102_Wkst'!$L$7:$L$2010,"08",'LAC 102_Wkst'!$N$7:$N$2010,"P2")+SUMIFS('LAC 102_Wkst'!$Q$7:$Q$2010,'LAC 102_Wkst'!$D$7:$D$2010,$C$7,'LAC 102_Wkst'!$I$7:$I$2010,$C$9,'LAC 102_Wkst'!$E$7:$E$2010,$C77,'LAC 102_Wkst'!$G$7:$G$2010,$D77,'LAC 102_Wkst'!$L$7:$L$2010,"08",'LAC 102_Wkst'!$N$7:$N$2010,"P3")</f>
        <v>0</v>
      </c>
      <c r="AG77" s="411">
        <f>SUMIFS('LAC 102_Wkst'!$AF$7:$AF$2010,'LAC 102_Wkst'!$D$7:$D$2010,$C$7,'LAC 102_Wkst'!$I$7:$I$2010,$C$9,'LAC 102_Wkst'!$E$7:$E$2010,$C77,'LAC 102_Wkst'!$G$7:$G$2010,$D77,'LAC 102_Wkst'!$L$7:$L$2010,"08",'LAC 102_Wkst'!$N$7:$N$2010,"P1")+SUMIFS('LAC 102_Wkst'!$AF$7:$AF$2010,'LAC 102_Wkst'!$D$7:$D$2010,$C$7,'LAC 102_Wkst'!$I$7:$I$2010,$C$9,'LAC 102_Wkst'!$E$7:$E$2010,$C77,'LAC 102_Wkst'!$G$7:$G$2010,$D77,'LAC 102_Wkst'!$L$7:$L$2010,"08",'LAC 102_Wkst'!$N$7:$N$2010,"P2")+SUMIFS('LAC 102_Wkst'!$AF$7:$AF$2010,'LAC 102_Wkst'!$D$7:$D$2010,$C$7,'LAC 102_Wkst'!$I$7:$I$2010,$C$9,'LAC 102_Wkst'!$E$7:$E$2010,$C77,'LAC 102_Wkst'!$G$7:$G$2010,$D77,'LAC 102_Wkst'!$L$7:$L$2010,"08",'LAC 102_Wkst'!$N$7:$N$2010,"P3")</f>
        <v>0</v>
      </c>
      <c r="AH77" s="410">
        <f>SUMIFS('LAC 102_Wkst'!$Q$7:$Q$2010,'LAC 102_Wkst'!$D$7:$D$2010,$C$7,'LAC 102_Wkst'!$I$7:$I$2010,$C$9,'LAC 102_Wkst'!$E$7:$E$2010,$C77,'LAC 102_Wkst'!$G$7:$G$2010,$D77,'LAC 102_Wkst'!$L$7:$L$2010,"08",'LAC 102_Wkst'!$N$7:$N$2010,"P4")</f>
        <v>0</v>
      </c>
      <c r="AI77" s="411">
        <f>SUMIFS('LAC 102_Wkst'!$AF$7:$AF$2010,'LAC 102_Wkst'!$D$7:$D$2010,$C$7,'LAC 102_Wkst'!$I$7:$I$2010,$C$9,'LAC 102_Wkst'!$E$7:$E$2010,$C77,'LAC 102_Wkst'!$G$7:$G$2010,$D77,'LAC 102_Wkst'!$L$7:$L$2010,"08",'LAC 102_Wkst'!$N$7:$N$2010,"P4")</f>
        <v>0</v>
      </c>
      <c r="AJ77" s="410">
        <f>SUMIFS('LAC 102_Wkst'!$Q$7:$Q$2010,'LAC 102_Wkst'!$D$7:$D$2010,$C$7,'LAC 102_Wkst'!$I$7:$I$2010,$C$9,'LAC 102_Wkst'!$E$7:$E$2010,$C77,'LAC 102_Wkst'!$G$7:$G$2010,$D77,'LAC 102_Wkst'!$L$7:$L$2010,"08",'LAC 102_Wkst'!$N$7:$N$2010,"P5")</f>
        <v>0</v>
      </c>
      <c r="AK77" s="411">
        <f>SUMIFS('LAC 102_Wkst'!$AF$7:$AF$2010,'LAC 102_Wkst'!$D$7:$D$2010,$C$7,'LAC 102_Wkst'!$I$7:$I$2010,$C$9,'LAC 102_Wkst'!$E$7:$E$2010,$C77,'LAC 102_Wkst'!$G$7:$G$2010,$D77,'LAC 102_Wkst'!$L$7:$L$2010,"08",'LAC 102_Wkst'!$N$7:$N$2010,"P5")</f>
        <v>0</v>
      </c>
      <c r="AL77" s="410">
        <f>SUMIFS('LAC 102_Wkst'!$Q$7:$Q$2010,'LAC 102_Wkst'!$D$7:$D$2010,$C$7,'LAC 102_Wkst'!$I$7:$I$2010,$C$9,'LAC 102_Wkst'!$E$7:$E$2010,$C77,'LAC 102_Wkst'!$G$7:$G$2010,$D77,'LAC 102_Wkst'!$L$7:$L$2010,"09",'LAC 102_Wkst'!$N$7:$N$2010,"P1")+SUMIFS('LAC 102_Wkst'!$Q$7:$Q$2010,'LAC 102_Wkst'!$D$7:$D$2010,$C$7,'LAC 102_Wkst'!$I$7:$I$2010,$C$9,'LAC 102_Wkst'!$E$7:$E$2010,$C77,'LAC 102_Wkst'!$G$7:$G$2010,$D77,'LAC 102_Wkst'!$L$7:$L$2010,"09",'LAC 102_Wkst'!$N$7:$N$2010,"P2")+SUMIFS('LAC 102_Wkst'!$Q$7:$Q$2010,'LAC 102_Wkst'!$D$7:$D$2010,$C$7,'LAC 102_Wkst'!$I$7:$I$2010,$C$9,'LAC 102_Wkst'!$E$7:$E$2010,$C77,'LAC 102_Wkst'!$G$7:$G$2010,$D77,'LAC 102_Wkst'!$L$7:$L$2010,"09",'LAC 102_Wkst'!$N$7:$N$2010,"P3")+SUMIFS('LAC 102_Wkst'!$Q$7:$Q$2010,'LAC 102_Wkst'!$D$7:$D$2010,$C$7,'LAC 102_Wkst'!$I$7:$I$2010,$C$9,'LAC 102_Wkst'!$E$7:$E$2010,$C77,'LAC 102_Wkst'!$G$7:$G$2010,$D77,'LAC 102_Wkst'!$L$7:$L$2010,"09",'LAC 102_Wkst'!$N$7:$N$2010,"P4")</f>
        <v>0</v>
      </c>
      <c r="AM77" s="411">
        <f>SUMIFS('LAC 102_Wkst'!$AF$7:$AF$2010,'LAC 102_Wkst'!$D$7:$D$2010,$C$7,'LAC 102_Wkst'!$I$7:$I$2010,$C$9,'LAC 102_Wkst'!$E$7:$E$2010,$C77,'LAC 102_Wkst'!$G$7:$G$2010,$D77,'LAC 102_Wkst'!$L$7:$L$2010,"09",'LAC 102_Wkst'!$N$7:$N$2010,"P1")+SUMIFS('LAC 102_Wkst'!$AF$7:$AF$2010,'LAC 102_Wkst'!$D$7:$D$2010,$C$7,'LAC 102_Wkst'!$I$7:$I$2010,$C$9,'LAC 102_Wkst'!$E$7:$E$2010,$C77,'LAC 102_Wkst'!$G$7:$G$2010,$D77,'LAC 102_Wkst'!$L$7:$L$2010,"09",'LAC 102_Wkst'!$N$7:$N$2010,"P2")+SUMIFS('LAC 102_Wkst'!$AF$7:$AF$2010,'LAC 102_Wkst'!$D$7:$D$2010,$C$7,'LAC 102_Wkst'!$I$7:$I$2010,$C$9,'LAC 102_Wkst'!$E$7:$E$2010,$C77,'LAC 102_Wkst'!$G$7:$G$2010,$D77,'LAC 102_Wkst'!$L$7:$L$2010,"09",'LAC 102_Wkst'!$N$7:$N$2010,"P3")+SUMIFS('LAC 102_Wkst'!$AF$7:$AF$2010,'LAC 102_Wkst'!$D$7:$D$2010,$C$7,'LAC 102_Wkst'!$I$7:$I$2010,$C$9,'LAC 102_Wkst'!$E$7:$E$2010,$C77,'LAC 102_Wkst'!$G$7:$G$2010,$D77,'LAC 102_Wkst'!$L$7:$L$2010,"09",'LAC 102_Wkst'!$N$7:$N$2010,"P4")</f>
        <v>0</v>
      </c>
      <c r="AN77" s="410">
        <f>SUMIFS('LAC 102_Wkst'!$Q$7:$Q$2010,'LAC 102_Wkst'!$D$7:$D$2010,$C$7,'LAC 102_Wkst'!$I$7:$I$2010,$C$9,'LAC 102_Wkst'!$E$7:$E$2010,$C77,'LAC 102_Wkst'!$G$7:$G$2010,$D77,'LAC 102_Wkst'!$L$7:$L$2010,"09",'LAC 102_Wkst'!$N$7:$N$2010,"P5")</f>
        <v>0</v>
      </c>
      <c r="AO77" s="411">
        <f>SUMIFS('LAC 102_Wkst'!$AF$7:$AF$2010,'LAC 102_Wkst'!$D$7:$D$2010,$C$7,'LAC 102_Wkst'!$I$7:$I$2010,$C$9,'LAC 102_Wkst'!$E$7:$E$2010,$C77,'LAC 102_Wkst'!$G$7:$G$2010,$D77,'LAC 102_Wkst'!$L$7:$L$2010,"09",'LAC 102_Wkst'!$N$7:$N$2010,"P5")</f>
        <v>0</v>
      </c>
      <c r="AP77" s="410">
        <f>SUMIFS('LAC 102_Wkst'!$Q$7:$Q$2010,'LAC 102_Wkst'!$D$7:$D$2010,$C$7,'LAC 102_Wkst'!$I$7:$I$2010,$C$9,'LAC 102_Wkst'!$E$7:$E$2010,$C77,'LAC 102_Wkst'!$G$7:$G$2010,$D77,'LAC 102_Wkst'!$L$7:$L$2010,"10",'LAC 102_Wkst'!$N$7:$N$2010,"P1")+SUMIFS('LAC 102_Wkst'!$Q$7:$Q$2010,'LAC 102_Wkst'!$D$7:$D$2010,$C$7,'LAC 102_Wkst'!$I$7:$I$2010,$C$9,'LAC 102_Wkst'!$E$7:$E$2010,$C77,'LAC 102_Wkst'!$G$7:$G$2010,$D77,'LAC 102_Wkst'!$L$7:$L$2010,"10",'LAC 102_Wkst'!$N$7:$N$2010,"P2")+SUMIFS('LAC 102_Wkst'!$Q$7:$Q$2010,'LAC 102_Wkst'!$D$7:$D$2010,$C$7,'LAC 102_Wkst'!$I$7:$I$2010,$C$9,'LAC 102_Wkst'!$E$7:$E$2010,$C77,'LAC 102_Wkst'!$G$7:$G$2010,$D77,'LAC 102_Wkst'!$L$7:$L$2010,"10",'LAC 102_Wkst'!$N$7:$N$2010,"P3")+SUMIFS('LAC 102_Wkst'!$Q$7:$Q$2010,'LAC 102_Wkst'!$D$7:$D$2010,$C$7,'LAC 102_Wkst'!$I$7:$I$2010,$C$9,'LAC 102_Wkst'!$E$7:$E$2010,$C77,'LAC 102_Wkst'!$G$7:$G$2010,$D77,'LAC 102_Wkst'!$L$7:$L$2010,"10",'LAC 102_Wkst'!$N$7:$N$2010,"P4")</f>
        <v>0</v>
      </c>
      <c r="AQ77" s="411">
        <f>SUMIFS('LAC 102_Wkst'!$AF$7:$AF$2010,'LAC 102_Wkst'!$D$7:$D$2010,$C$7,'LAC 102_Wkst'!$I$7:$I$2010,$C$9,'LAC 102_Wkst'!$E$7:$E$2010,$C77,'LAC 102_Wkst'!$G$7:$G$2010,$D77,'LAC 102_Wkst'!$L$7:$L$2010,"10",'LAC 102_Wkst'!$N$7:$N$2010,"P1")+SUMIFS('LAC 102_Wkst'!$AF$7:$AF$2010,'LAC 102_Wkst'!$D$7:$D$2010,$C$7,'LAC 102_Wkst'!$I$7:$I$2010,$C$9,'LAC 102_Wkst'!$E$7:$E$2010,$C77,'LAC 102_Wkst'!$G$7:$G$2010,$D77,'LAC 102_Wkst'!$L$7:$L$2010,"10",'LAC 102_Wkst'!$N$7:$N$2010,"P2")+SUMIFS('LAC 102_Wkst'!$AF$7:$AF$2010,'LAC 102_Wkst'!$D$7:$D$2010,$C$7,'LAC 102_Wkst'!$I$7:$I$2010,$C$9,'LAC 102_Wkst'!$E$7:$E$2010,$C77,'LAC 102_Wkst'!$G$7:$G$2010,$D77,'LAC 102_Wkst'!$L$7:$L$2010,"10",'LAC 102_Wkst'!$N$7:$N$2010,"P3")+SUMIFS('LAC 102_Wkst'!$AF$7:$AF$2010,'LAC 102_Wkst'!$D$7:$D$2010,$C$7,'LAC 102_Wkst'!$I$7:$I$2010,$C$9,'LAC 102_Wkst'!$E$7:$E$2010,$C77,'LAC 102_Wkst'!$G$7:$G$2010,$D77,'LAC 102_Wkst'!$L$7:$L$2010,"10",'LAC 102_Wkst'!$N$7:$N$2010,"P4")</f>
        <v>0</v>
      </c>
      <c r="AR77" s="410">
        <f>SUMIFS('LAC 102_Wkst'!$Q$7:$Q$2010,'LAC 102_Wkst'!$D$7:$D$2010,$C$7,'LAC 102_Wkst'!$I$7:$I$2010,$C$9,'LAC 102_Wkst'!$E$7:$E$2010,$C77,'LAC 102_Wkst'!$G$7:$G$2010,$D77,'LAC 102_Wkst'!$L$7:$L$2010,"10",'LAC 102_Wkst'!$N$7:$N$2010,"P5")</f>
        <v>0</v>
      </c>
      <c r="AS77" s="411">
        <f>SUMIFS('LAC 102_Wkst'!$AF$7:$AF$2010,'LAC 102_Wkst'!$D$7:$D$2010,$C$7,'LAC 102_Wkst'!$I$7:$I$2010,$C$9,'LAC 102_Wkst'!$E$7:$E$2010,$C77,'LAC 102_Wkst'!$G$7:$G$2010,$D77,'LAC 102_Wkst'!$L$7:$L$2010,"10",'LAC 102_Wkst'!$N$7:$N$2010,"P5")</f>
        <v>0</v>
      </c>
      <c r="AT77" s="410">
        <f>SUMIFS('LAC 102_Wkst'!$Q$7:$Q$2010,'LAC 102_Wkst'!$D$7:$D$2010,$C$7,'LAC 102_Wkst'!$I$7:$I$2010,$C$9,'LAC 102_Wkst'!$E$7:$E$2010,$C77,'LAC 102_Wkst'!$G$7:$G$2010,$D77,'LAC 102_Wkst'!$L$7:$L$2010,"11",'LAC 102_Wkst'!$N$7:$N$2010,"P1")+SUMIFS('LAC 102_Wkst'!$Q$7:$Q$2010,'LAC 102_Wkst'!$D$7:$D$2010,$C$7,'LAC 102_Wkst'!$I$7:$I$2010,$C$9,'LAC 102_Wkst'!$E$7:$E$2010,$C77,'LAC 102_Wkst'!$G$7:$G$2010,$D77,'LAC 102_Wkst'!$L$7:$L$2010,"12",'LAC 102_Wkst'!$N$7:$N$2010,"P1")</f>
        <v>0</v>
      </c>
      <c r="AU77" s="411">
        <f>SUMIFS('LAC 102_Wkst'!$Q$7:$Q$2010,'LAC 102_Wkst'!$D$7:$D$2010,$C$7,'LAC 102_Wkst'!$I$7:$I$2010,$C$9,'LAC 102_Wkst'!$E$7:$E$2010,$C77,'LAC 102_Wkst'!$G$7:$G$2010,$D77,'LAC 102_Wkst'!$L$7:$L$2010,"13",'LAC 102_Wkst'!$N$7:$N$2010,"P5")</f>
        <v>0</v>
      </c>
      <c r="AV77" s="410">
        <f>SUMIFS('LAC 102_Wkst'!$Q$7:$Q$2010,'LAC 102_Wkst'!$D$7:$D$2010,$C$7,'LAC 102_Wkst'!$I$7:$I$2010,$C$9,'LAC 102_Wkst'!$E$7:$E$2010,$C77,'LAC 102_Wkst'!$G$7:$G$2010,$D77,'LAC 102_Wkst'!$L$7:$L$2010,"11",'LAC 102_Wkst'!$N$7:$N$2010,"P2")+SUMIFS('LAC 102_Wkst'!$Q$7:$Q$2010,'LAC 102_Wkst'!$D$7:$D$2010,$C$7,'LAC 102_Wkst'!$I$7:$I$2010,$C$9,'LAC 102_Wkst'!$E$7:$E$2010,$C77,'LAC 102_Wkst'!$G$7:$G$2010,$D77,'LAC 102_Wkst'!$L$7:$L$2010,"12",'LAC 102_Wkst'!$N$7:$N$2010,"P2")+SUMIFS('LAC 102_Wkst'!$Q$7:$Q$2010,'LAC 102_Wkst'!$D$7:$D$2010,$C$7,'LAC 102_Wkst'!$I$7:$I$2010,$C$9,'LAC 102_Wkst'!$E$7:$E$2010,$C77,'LAC 102_Wkst'!$G$7:$G$2010,$D77,'LAC 102_Wkst'!$L$7:$L$2010,"11",'LAC 102_Wkst'!$N$7:$N$2010,"P3")+SUMIFS('LAC 102_Wkst'!$Q$7:$Q$2010,'LAC 102_Wkst'!$D$7:$D$2010,$C$7,'LAC 102_Wkst'!$I$7:$I$2010,$C$9,'LAC 102_Wkst'!$E$7:$E$2010,$C77,'LAC 102_Wkst'!$G$7:$G$2010,$D77,'LAC 102_Wkst'!$L$7:$L$2010,"12",'LAC 102_Wkst'!$N$7:$N$2010,"P3")</f>
        <v>0</v>
      </c>
      <c r="AW77" s="411">
        <f>SUMIFS('LAC 102_Wkst'!$AF$7:$AF$2010,'LAC 102_Wkst'!$D$7:$D$2010,$C$7,'LAC 102_Wkst'!$I$7:$I$2010,$C$9,'LAC 102_Wkst'!$E$7:$E$2010,$C77,'LAC 102_Wkst'!$G$7:$G$2010,$D77,'LAC 102_Wkst'!$L$7:$L$2010,"11",'LAC 102_Wkst'!$N$7:$N$2010,"P2")+SUMIFS('LAC 102_Wkst'!$AF$7:$AF$2010,'LAC 102_Wkst'!$D$7:$D$2010,$C$7,'LAC 102_Wkst'!$I$7:$I$2010,$C$9,'LAC 102_Wkst'!$E$7:$E$2010,$C77,'LAC 102_Wkst'!$G$7:$G$2010,$D77,'LAC 102_Wkst'!$L$7:$L$2010,"12",'LAC 102_Wkst'!$N$7:$N$2010,"P2")+SUMIFS('LAC 102_Wkst'!$AF$7:$AF$2010,'LAC 102_Wkst'!$D$7:$D$2010,$C$7,'LAC 102_Wkst'!$I$7:$I$2010,$C$9,'LAC 102_Wkst'!$E$7:$E$2010,$C77,'LAC 102_Wkst'!$G$7:$G$2010,$D77,'LAC 102_Wkst'!$L$7:$L$2010,"11",'LAC 102_Wkst'!$N$7:$N$2010,"P3")+SUMIFS('LAC 102_Wkst'!$AF$7:$AF$2010,'LAC 102_Wkst'!$D$7:$D$2010,$C$7,'LAC 102_Wkst'!$I$7:$I$2010,$C$9,'LAC 102_Wkst'!$E$7:$E$2010,$C77,'LAC 102_Wkst'!$G$7:$G$2010,$D77,'LAC 102_Wkst'!$L$7:$L$2010,"12",'LAC 102_Wkst'!$N$7:$N$2010,"P3")</f>
        <v>0</v>
      </c>
      <c r="AX77" s="410">
        <f>SUMIFS('LAC 102_Wkst'!$Q$7:$Q$2010,'LAC 102_Wkst'!$D$7:$D$2010,$C$7,'LAC 102_Wkst'!$I$7:$I$2010,$C$9,'LAC 102_Wkst'!$E$7:$E$2010,$C77,'LAC 102_Wkst'!$G$7:$G$2010,$D77,'LAC 102_Wkst'!$L$7:$L$2010,"11",'LAC 102_Wkst'!$N$7:$N$2010,"P4")+SUMIFS('LAC 102_Wkst'!$Q$7:$Q$2010,'LAC 102_Wkst'!$D$7:$D$2010,$C$7,'LAC 102_Wkst'!$I$7:$I$2010,$C$9,'LAC 102_Wkst'!$E$7:$E$2010,$C77,'LAC 102_Wkst'!$G$7:$G$2010,$D77,'LAC 102_Wkst'!$L$7:$L$2010,"12",'LAC 102_Wkst'!$N$7:$N$2010,"P4")</f>
        <v>0</v>
      </c>
      <c r="AY77" s="411">
        <f>SUMIFS('LAC 102_Wkst'!$AF$7:$AF$2010,'LAC 102_Wkst'!$D$7:$D$2010,$C$7,'LAC 102_Wkst'!$I$7:$I$2010,$C$9,'LAC 102_Wkst'!$E$7:$E$2010,$C77,'LAC 102_Wkst'!$G$7:$G$2010,$D77,'LAC 102_Wkst'!$L$7:$L$2010,"11",'LAC 102_Wkst'!$N$7:$N$2010,"P4")+SUMIFS('LAC 102_Wkst'!$AF$7:$AF$2010,'LAC 102_Wkst'!$D$7:$D$2010,$C$7,'LAC 102_Wkst'!$I$7:$I$2010,$C$9,'LAC 102_Wkst'!$E$7:$E$2010,$C77,'LAC 102_Wkst'!$G$7:$G$2010,$D77,'LAC 102_Wkst'!$L$7:$L$2010,"12",'LAC 102_Wkst'!$N$7:$N$2010,"P4")</f>
        <v>0</v>
      </c>
      <c r="AZ77" s="410">
        <f>SUMIFS('LAC 102_Wkst'!$Q$7:$Q$2010,'LAC 102_Wkst'!$D$7:$D$2010,$C$7,'LAC 102_Wkst'!$I$7:$I$2010,$C$9,'LAC 102_Wkst'!$E$7:$E$2010,$C77,'LAC 102_Wkst'!$G$7:$G$2010,$D77,'LAC 102_Wkst'!$L$7:$L$2010,"11",'LAC 102_Wkst'!$N$7:$N$2010,"P5")+SUMIFS('LAC 102_Wkst'!$Q$7:$Q$2010,'LAC 102_Wkst'!$D$7:$D$2010,$C$7,'LAC 102_Wkst'!$I$7:$I$2010,$C$9,'LAC 102_Wkst'!$E$7:$E$2010,$C77,'LAC 102_Wkst'!$G$7:$G$2010,$D77,'LAC 102_Wkst'!$L$7:$L$2010,"12",'LAC 102_Wkst'!$N$7:$N$2010,"P5")</f>
        <v>0</v>
      </c>
      <c r="BA77" s="411">
        <f>SUMIFS('LAC 102_Wkst'!$AF$7:$AF$2010,'LAC 102_Wkst'!$D$7:$D$2010,$C$7,'LAC 102_Wkst'!$I$7:$I$2010,$C$9,'LAC 102_Wkst'!$E$7:$E$2010,$C77,'LAC 102_Wkst'!$G$7:$G$2010,$D77,'LAC 102_Wkst'!$L$7:$L$2010,"11",'LAC 102_Wkst'!$N$7:$N$2010,"P5")+SUMIFS('LAC 102_Wkst'!$AF$7:$AF$2010,'LAC 102_Wkst'!$D$7:$D$2010,$C$7,'LAC 102_Wkst'!$I$7:$I$2010,$C$9,'LAC 102_Wkst'!$E$7:$E$2010,$C77,'LAC 102_Wkst'!$G$7:$G$2010,$D77,'LAC 102_Wkst'!$L$7:$L$2010,"12",'LAC 102_Wkst'!$N$7:$N$2010,"P5")</f>
        <v>0</v>
      </c>
      <c r="BB77" s="410">
        <f>SUMIFS('LAC 102_Wkst'!$Q$7:$Q$2010,'LAC 102_Wkst'!$D$7:$D$2010,$C$7,'LAC 102_Wkst'!$I$7:$I$2010,$C$9,'LAC 102_Wkst'!$E$7:$E$2010,$C77,'LAC 102_Wkst'!$G$7:$G$2010,$D77,'LAC 102_Wkst'!$L$7:$L$2010,"13",'LAC 102_Wkst'!$N$7:$N$2010,"P1")+SUMIFS('LAC 102_Wkst'!$Q$7:$Q$2010,'LAC 102_Wkst'!$D$7:$D$2010,$C$7,'LAC 102_Wkst'!$I$7:$I$2010,$C$9,'LAC 102_Wkst'!$E$7:$E$2010,$C77,'LAC 102_Wkst'!$G$7:$G$2010,$D77,'LAC 102_Wkst'!$L$7:$L$2010,"13",'LAC 102_Wkst'!$N$7:$N$2010,"P2")+SUMIFS('LAC 102_Wkst'!$Q$7:$Q$2010,'LAC 102_Wkst'!$D$7:$D$2010,$C$7,'LAC 102_Wkst'!$I$7:$I$2010,$C$9,'LAC 102_Wkst'!$E$7:$E$2010,$C77,'LAC 102_Wkst'!$G$7:$G$2010,$D77,'LAC 102_Wkst'!$L$7:$L$2010,"13",'LAC 102_Wkst'!$N$7:$N$2010,"P3")+SUMIFS('LAC 102_Wkst'!$Q$7:$Q$2010,'LAC 102_Wkst'!$D$7:$D$2010,$C$7,'LAC 102_Wkst'!$I$7:$I$2010,$C$9,'LAC 102_Wkst'!$E$7:$E$2010,$C77,'LAC 102_Wkst'!$G$7:$G$2010,$D77,'LAC 102_Wkst'!$L$7:$L$2010,"13",'LAC 102_Wkst'!$N$7:$N$2010,"P4")</f>
        <v>0</v>
      </c>
      <c r="BC77" s="411">
        <f>SUMIFS('LAC 102_Wkst'!$AF$7:$AF$2010,'LAC 102_Wkst'!$D$7:$D$2010,$C$7,'LAC 102_Wkst'!$I$7:$I$2010,$C$9,'LAC 102_Wkst'!$E$7:$E$2010,$C77,'LAC 102_Wkst'!$G$7:$G$2010,$D77,'LAC 102_Wkst'!$L$7:$L$2010,"13",'LAC 102_Wkst'!$N$7:$N$2010,"P1")+SUMIFS('LAC 102_Wkst'!$AF$7:$AF$2010,'LAC 102_Wkst'!$D$7:$D$2010,$C$7,'LAC 102_Wkst'!$I$7:$I$2010,$C$9,'LAC 102_Wkst'!$E$7:$E$2010,$C77,'LAC 102_Wkst'!$G$7:$G$2010,$D77,'LAC 102_Wkst'!$L$7:$L$2010,"13",'LAC 102_Wkst'!$N$7:$N$2010,"P2")+SUMIFS('LAC 102_Wkst'!$AF$7:$AF$2010,'LAC 102_Wkst'!$D$7:$D$2010,$C$7,'LAC 102_Wkst'!$I$7:$I$2010,$C$9,'LAC 102_Wkst'!$E$7:$E$2010,$C77,'LAC 102_Wkst'!$G$7:$G$2010,$D77,'LAC 102_Wkst'!$L$7:$L$2010,"13",'LAC 102_Wkst'!$N$7:$N$2010,"P3")+SUMIFS('LAC 102_Wkst'!$AF$7:$AF$2010,'LAC 102_Wkst'!$D$7:$D$2010,$C$7,'LAC 102_Wkst'!$I$7:$I$2010,$C$9,'LAC 102_Wkst'!$E$7:$E$2010,$C77,'LAC 102_Wkst'!$G$7:$G$2010,$D77,'LAC 102_Wkst'!$L$7:$L$2010,"13",'LAC 102_Wkst'!$N$7:$N$2010,"P4")</f>
        <v>0</v>
      </c>
      <c r="BD77" s="410">
        <f>SUMIFS('LAC 102_Wkst'!$Q$7:$Q$2010,'LAC 102_Wkst'!$D$7:$D$2010,$C$7,'LAC 102_Wkst'!$I$7:$I$2010,$C$9,'LAC 102_Wkst'!$E$7:$E$2010,$C77,'LAC 102_Wkst'!$G$7:$G$2010,$D77,'LAC 102_Wkst'!$L$7:$L$2010,"13",'LAC 102_Wkst'!$N$7:$N$2010,"P5")</f>
        <v>0</v>
      </c>
      <c r="BE77" s="411">
        <f>SUMIFS('LAC 102_Wkst'!$AF$7:$AF$2010,'LAC 102_Wkst'!$D$7:$D$2010,$C$7,'LAC 102_Wkst'!$I$7:$I$2010,$C$9,'LAC 102_Wkst'!$E$7:$E$2010,$C77,'LAC 102_Wkst'!$G$7:$G$2010,$D77,'LAC 102_Wkst'!$L$7:$L$2010,"13",'LAC 102_Wkst'!$N$7:$N$2010,"P5")</f>
        <v>0</v>
      </c>
      <c r="BF77" s="407">
        <f t="shared" si="4"/>
        <v>0</v>
      </c>
      <c r="BG77" s="1654">
        <f>SUMIFS('LAC 102_Wkst'!$AF$7:$AF$2010,'LAC 102_Wkst'!$D$7:$D$2010,$C$7,'LAC 102_Wkst'!$I$7:$I$2010,$C$9,'LAC 102_Wkst'!$E$7:$E$2010,$C77,'LAC 102_Wkst'!$G$7:$G$2010,$D77,'LAC 102_Wkst'!$L$7:$L$2010,"14")</f>
        <v>0</v>
      </c>
    </row>
    <row r="78" spans="1:59" x14ac:dyDescent="0.2">
      <c r="A78" s="401">
        <v>56</v>
      </c>
      <c r="B78" s="1678" t="str">
        <f>IF(Schedule_B!B$75="","",Schedule_B!B$75)</f>
        <v/>
      </c>
      <c r="C78" s="1674" t="str">
        <f>IF(Schedule_B!C$75=""," ",Schedule_B!C$75)</f>
        <v xml:space="preserve"> </v>
      </c>
      <c r="D78" s="1675" t="str">
        <f>IF(Schedule_B!D$75=""," ",Schedule_B!D$75)</f>
        <v xml:space="preserve"> </v>
      </c>
      <c r="E78" s="1221">
        <f>SUMIFS('LAC 102_Wkst'!$Q$7:$Q$2010,'LAC 102_Wkst'!$D$7:$D$2010,$C$7,'LAC 102_Wkst'!$I$7:$I$2010,$C$9,'LAC 102_Wkst'!$E$7:$E$2010,$C78,'LAC 102_Wkst'!$G$7:$G$2010,$D78)</f>
        <v>0</v>
      </c>
      <c r="F78" s="408">
        <f>SUMIFS('LAC 102_Wkst'!$Q$7:$Q$2010,'LAC 102_Wkst'!$D$7:$D$2010,$C$7,'LAC 102_Wkst'!$I$7:$I$2010,$C$9,'LAC 102_Wkst'!$E$7:$E$2010,$C78,'LAC 102_Wkst'!$G$7:$G$2010,$D78,'LAC 102_Wkst'!$L$7:$L$2010,"01",'LAC 102_Wkst'!$N$7:$N$2010,"P1")+SUMIFS('LAC 102_Wkst'!$Q$7:$Q$2010,'LAC 102_Wkst'!$D$7:$D$2010,$C$7,'LAC 102_Wkst'!$I$7:$I$2010,$C$9,'LAC 102_Wkst'!$E$7:$E$2010,$C78,'LAC 102_Wkst'!$G$7:$G$2010,$D78,'LAC 102_Wkst'!$L$7:$L$2010,"01",'LAC 102_Wkst'!$N$7:$N$2010,"P2")+SUMIFS('LAC 102_Wkst'!$Q$7:$Q$2010,'LAC 102_Wkst'!$D$7:$D$2010,$C$7,'LAC 102_Wkst'!$I$7:$I$2010,$C$9,'LAC 102_Wkst'!$E$7:$E$2010,$C78,'LAC 102_Wkst'!$G$7:$G$2010,$D78,'LAC 102_Wkst'!$L$7:$L$2010,"01",'LAC 102_Wkst'!$N$7:$N$2010,"P3")+SUMIFS('LAC 102_Wkst'!$Q$7:$Q$2010,'LAC 102_Wkst'!$D$7:$D$2010,$C$7,'LAC 102_Wkst'!$I$7:$I$2010,$C$9,'LAC 102_Wkst'!$E$7:$E$2010,$C78,'LAC 102_Wkst'!$G$7:$G$2010,$D78,'LAC 102_Wkst'!$L$7:$L$2010,"02",'LAC 102_Wkst'!$N$7:$N$2010,"P1")+SUMIFS('LAC 102_Wkst'!$Q$7:$Q$2010,'LAC 102_Wkst'!$D$7:$D$2010,$C$7,'LAC 102_Wkst'!$I$7:$I$2010,$C$9,'LAC 102_Wkst'!$E$7:$E$2010,$C78,'LAC 102_Wkst'!$G$7:$G$2010,$D78,'LAC 102_Wkst'!$L$7:$L$2010,"02",'LAC 102_Wkst'!$N$7:$N$2010,"P2")+SUMIFS('LAC 102_Wkst'!$Q$7:$Q$2010,'LAC 102_Wkst'!$D$7:$D$2010,$C$7,'LAC 102_Wkst'!$I$7:$I$2010,$C$9,'LAC 102_Wkst'!$E$7:$E$2010,$C78,'LAC 102_Wkst'!$G$7:$G$2010,$D78,'LAC 102_Wkst'!$L$7:$L$2010,"02",'LAC 102_Wkst'!$N$7:$N$2010,"P3")</f>
        <v>0</v>
      </c>
      <c r="G78" s="409">
        <f>SUMIFS('LAC 102_Wkst'!$AF$7:$AF$2010,'LAC 102_Wkst'!$D$7:$D$2010,$C$7,'LAC 102_Wkst'!$I$7:$I$2010,$C$9,'LAC 102_Wkst'!$E$7:$E$2010,$C78,'LAC 102_Wkst'!$G$7:$G$2010,$D78,'LAC 102_Wkst'!$L$7:$L$2010,"01",'LAC 102_Wkst'!$N$7:$N$2010,"P1")+SUMIFS('LAC 102_Wkst'!$AF$7:$AF$2010,'LAC 102_Wkst'!$D$7:$D$2010,$C$7,'LAC 102_Wkst'!$I$7:$I$2010,$C$9,'LAC 102_Wkst'!$E$7:$E$2010,$C78,'LAC 102_Wkst'!$G$7:$G$2010,$D78,'LAC 102_Wkst'!$L$7:$L$2010,"01",'LAC 102_Wkst'!$N$7:$N$2010,"P2")+SUMIFS('LAC 102_Wkst'!$AF$7:$AF$2010,'LAC 102_Wkst'!$D$7:$D$2010,$C$7,'LAC 102_Wkst'!$I$7:$I$2010,$C$9,'LAC 102_Wkst'!$E$7:$E$2010,$C78,'LAC 102_Wkst'!$G$7:$G$2010,$D78,'LAC 102_Wkst'!$L$7:$L$2010,"01",'LAC 102_Wkst'!$N$7:$N$2010,"P3")+SUMIFS('LAC 102_Wkst'!$AF$7:$AF$2010,'LAC 102_Wkst'!$D$7:$D$2010,$C$7,'LAC 102_Wkst'!$I$7:$I$2010,$C$9,'LAC 102_Wkst'!$E$7:$E$2010,$C78,'LAC 102_Wkst'!$G$7:$G$2010,$D78,'LAC 102_Wkst'!$L$7:$L$2010,"02",'LAC 102_Wkst'!$N$7:$N$2010,"P1")+SUMIFS('LAC 102_Wkst'!$AF$7:$AF$2010,'LAC 102_Wkst'!$D$7:$D$2010,$C$7,'LAC 102_Wkst'!$I$7:$I$2010,$C$9,'LAC 102_Wkst'!$E$7:$E$2010,$C78,'LAC 102_Wkst'!$G$7:$G$2010,$D78,'LAC 102_Wkst'!$L$7:$L$2010,"02",'LAC 102_Wkst'!$N$7:$N$2010,"P2")+SUMIFS('LAC 102_Wkst'!$AF$7:$AF$2010,'LAC 102_Wkst'!$D$7:$D$2010,$C$7,'LAC 102_Wkst'!$I$7:$I$2010,$C$9,'LAC 102_Wkst'!$E$7:$E$2010,$C78,'LAC 102_Wkst'!$G$7:$G$2010,$D78,'LAC 102_Wkst'!$L$7:$L$2010,"02",'LAC 102_Wkst'!$N$7:$N$2010,"P3")</f>
        <v>0</v>
      </c>
      <c r="H78" s="410">
        <f>SUMIFS('LAC 102_Wkst'!$Q$7:$Q$2010,'LAC 102_Wkst'!$D$7:$D$2010,$C$7,'LAC 102_Wkst'!$I$7:$I$2010,$C$9,'LAC 102_Wkst'!$E$7:$E$2010,$C78,'LAC 102_Wkst'!$G$7:$G$2010,$D78,'LAC 102_Wkst'!$L$7:$L$2010,"01",'LAC 102_Wkst'!$N$7:$N$2010,"P4")+SUMIFS('LAC 102_Wkst'!$Q$7:$Q$2010,'LAC 102_Wkst'!$D$7:$D$2010,$C$7,'LAC 102_Wkst'!$I$7:$I$2010,$C$9,'LAC 102_Wkst'!$E$7:$E$2010,$C78,'LAC 102_Wkst'!$G$7:$G$2010,$D78,'LAC 102_Wkst'!$L$7:$L$2010,"02",'LAC 102_Wkst'!$N$7:$N$2010,"P4")</f>
        <v>0</v>
      </c>
      <c r="I78" s="411">
        <f>SUMIFS('LAC 102_Wkst'!$AF$7:$AF$2010,'LAC 102_Wkst'!$D$7:$D$2010,$C$7,'LAC 102_Wkst'!$I$7:$I$2010,$C$9,'LAC 102_Wkst'!$E$7:$E$2010,$C78,'LAC 102_Wkst'!$G$7:$G$2010,$D78,'LAC 102_Wkst'!$L$7:$L$2010,"01",'LAC 102_Wkst'!$N$7:$N$2010,"P4")+SUMIFS('LAC 102_Wkst'!$AF$7:$AF$2010,'LAC 102_Wkst'!$D$7:$D$2010,$C$7,'LAC 102_Wkst'!$I$7:$I$2010,$C$9,'LAC 102_Wkst'!$E$7:$E$2010,$C78,'LAC 102_Wkst'!$G$7:$G$2010,$D78,'LAC 102_Wkst'!$L$7:$L$2010,"02",'LAC 102_Wkst'!$N$7:$N$2010,"P4")</f>
        <v>0</v>
      </c>
      <c r="J78" s="410">
        <f>SUMIFS('LAC 102_Wkst'!$Q$7:$Q$2010,'LAC 102_Wkst'!$D$7:$D$2010,$C$7,'LAC 102_Wkst'!$I$7:$I$2010,$C$9,'LAC 102_Wkst'!$E$7:$E$2010,$C78,'LAC 102_Wkst'!$G$7:$G$2010,$D78,'LAC 102_Wkst'!$L$7:$L$2010,"01",'LAC 102_Wkst'!$N$7:$N$2010,"P5")+SUMIFS('LAC 102_Wkst'!$Q$7:$Q$2010,'LAC 102_Wkst'!$D$7:$D$2010,$C$7,'LAC 102_Wkst'!$I$7:$I$2010,$C$9,'LAC 102_Wkst'!$E$7:$E$2010,$C78,'LAC 102_Wkst'!$G$7:$G$2010,$D78,'LAC 102_Wkst'!$L$7:$L$2010,"02",'LAC 102_Wkst'!$N$7:$N$2010,"P5")</f>
        <v>0</v>
      </c>
      <c r="K78" s="411">
        <f>SUMIFS('LAC 102_Wkst'!$AF$7:$AF$2010,'LAC 102_Wkst'!$D$7:$D$2010,$C$7,'LAC 102_Wkst'!$I$7:$I$2010,$C$9,'LAC 102_Wkst'!$E$7:$E$2010,$C78,'LAC 102_Wkst'!$G$7:$G$2010,$D78,'LAC 102_Wkst'!$L$7:$L$2010,"01",'LAC 102_Wkst'!$N$7:$N$2010,"P5")+SUMIFS('LAC 102_Wkst'!$AF$7:$AF$2010,'LAC 102_Wkst'!$D$7:$D$2010,$C$7,'LAC 102_Wkst'!$I$7:$I$2010,$C$9,'LAC 102_Wkst'!$E$7:$E$2010,$C78,'LAC 102_Wkst'!$G$7:$G$2010,$D78,'LAC 102_Wkst'!$L$7:$L$2010,"02",'LAC 102_Wkst'!$N$7:$N$2010,"P5")</f>
        <v>0</v>
      </c>
      <c r="L78" s="410">
        <f>SUMIFS('LAC 102_Wkst'!$Q$7:$Q$2010,'LAC 102_Wkst'!$D$7:$D$2010,$C$7,'LAC 102_Wkst'!$I$7:$I$2010,$C$9,'LAC 102_Wkst'!$E$7:$E$2010,$C78,'LAC 102_Wkst'!$G$7:$G$2010,$D78,'LAC 102_Wkst'!$L$7:$L$2010,"03",'LAC 102_Wkst'!$N$7:$N$2010,"P1")+SUMIFS('LAC 102_Wkst'!$Q$7:$Q$2010,'LAC 102_Wkst'!$D$7:$D$2010,$C$7,'LAC 102_Wkst'!$I$7:$I$2010,$C$9,'LAC 102_Wkst'!$E$7:$E$2010,$C78,'LAC 102_Wkst'!$G$7:$G$2010,$D78,'LAC 102_Wkst'!$L$7:$L$2010,"03",'LAC 102_Wkst'!$N$7:$N$2010,"P2")+SUMIFS('LAC 102_Wkst'!$Q$7:$Q$2010,'LAC 102_Wkst'!$D$7:$D$2010,$C$7,'LAC 102_Wkst'!$I$7:$I$2010,$C$9,'LAC 102_Wkst'!$E$7:$E$2010,$C78,'LAC 102_Wkst'!$G$7:$G$2010,$D78,'LAC 102_Wkst'!$L$7:$L$2010,"03",'LAC 102_Wkst'!$N$7:$N$2010,"P3")+SUMIFS('LAC 102_Wkst'!$Q$7:$Q$2010,'LAC 102_Wkst'!$D$7:$D$2010,$C$7,'LAC 102_Wkst'!$I$7:$I$2010,$C$9,'LAC 102_Wkst'!$E$7:$E$2010,$C78,'LAC 102_Wkst'!$G$7:$G$2010,$D78,'LAC 102_Wkst'!$L$7:$L$2010,"04",'LAC 102_Wkst'!$N$7:$N$2010,"P1")+SUMIFS('LAC 102_Wkst'!$Q$7:$Q$2010,'LAC 102_Wkst'!$D$7:$D$2010,$C$7,'LAC 102_Wkst'!$I$7:$I$2010,$C$9,'LAC 102_Wkst'!$E$7:$E$2010,$C78,'LAC 102_Wkst'!$G$7:$G$2010,$D78,'LAC 102_Wkst'!$L$7:$L$2010,"04",'LAC 102_Wkst'!$N$7:$N$2010,"P2")+SUMIFS('LAC 102_Wkst'!$Q$7:$Q$2010,'LAC 102_Wkst'!$D$7:$D$2010,$C$7,'LAC 102_Wkst'!$I$7:$I$2010,$C$9,'LAC 102_Wkst'!$E$7:$E$2010,$C78,'LAC 102_Wkst'!$G$7:$G$2010,$D78,'LAC 102_Wkst'!$L$7:$L$2010,"04",'LAC 102_Wkst'!$N$7:$N$2010,"P3")</f>
        <v>0</v>
      </c>
      <c r="M78" s="411">
        <f>SUMIFS('LAC 102_Wkst'!$AF$7:$AF$2010,'LAC 102_Wkst'!$D$7:$D$2010,$C$7,'LAC 102_Wkst'!$I$7:$I$2010,$C$9,'LAC 102_Wkst'!$E$7:$E$2010,$C78,'LAC 102_Wkst'!$G$7:$G$2010,$D78,'LAC 102_Wkst'!$L$7:$L$2010,"03",'LAC 102_Wkst'!$N$7:$N$2010,"P1")+SUMIFS('LAC 102_Wkst'!$AF$7:$AF$2010,'LAC 102_Wkst'!$D$7:$D$2010,$C$7,'LAC 102_Wkst'!$I$7:$I$2010,$C$9,'LAC 102_Wkst'!$E$7:$E$2010,$C78,'LAC 102_Wkst'!$G$7:$G$2010,$D78,'LAC 102_Wkst'!$L$7:$L$2010,"03",'LAC 102_Wkst'!$N$7:$N$2010,"P2")+SUMIFS('LAC 102_Wkst'!$AF$7:$AF$2010,'LAC 102_Wkst'!$D$7:$D$2010,$C$7,'LAC 102_Wkst'!$I$7:$I$2010,$C$9,'LAC 102_Wkst'!$E$7:$E$2010,$C78,'LAC 102_Wkst'!$G$7:$G$2010,$D78,'LAC 102_Wkst'!$L$7:$L$2010,"03",'LAC 102_Wkst'!$N$7:$N$2010,"P3")+SUMIFS('LAC 102_Wkst'!$AF$7:$AF$2010,'LAC 102_Wkst'!$D$7:$D$2010,$C$7,'LAC 102_Wkst'!$I$7:$I$2010,$C$9,'LAC 102_Wkst'!$E$7:$E$2010,$C78,'LAC 102_Wkst'!$G$7:$G$2010,$D78,'LAC 102_Wkst'!$L$7:$L$2010,"04",'LAC 102_Wkst'!$N$7:$N$2010,"P1")+SUMIFS('LAC 102_Wkst'!$AF$7:$AF$2010,'LAC 102_Wkst'!$D$7:$D$2010,$C$7,'LAC 102_Wkst'!$I$7:$I$2010,$C$9,'LAC 102_Wkst'!$E$7:$E$2010,$C78,'LAC 102_Wkst'!$G$7:$G$2010,$D78,'LAC 102_Wkst'!$L$7:$L$2010,"04",'LAC 102_Wkst'!$N$7:$N$2010,"P2")+SUMIFS('LAC 102_Wkst'!$AF$7:$AF$2010,'LAC 102_Wkst'!$D$7:$D$2010,$C$7,'LAC 102_Wkst'!$I$7:$I$2010,$C$9,'LAC 102_Wkst'!$E$7:$E$2010,$C78,'LAC 102_Wkst'!$G$7:$G$2010,$D78,'LAC 102_Wkst'!$L$7:$L$2010,"04",'LAC 102_Wkst'!$N$7:$N$2010,"P3")</f>
        <v>0</v>
      </c>
      <c r="N78" s="410">
        <f>SUMIFS('LAC 102_Wkst'!$Q$7:$Q$2010,'LAC 102_Wkst'!$D$7:$D$2010,$C$7,'LAC 102_Wkst'!$I$7:$I$2010,$C$9,'LAC 102_Wkst'!$E$7:$E$2010,$C78,'LAC 102_Wkst'!$G$7:$G$2010,$D78,'LAC 102_Wkst'!$L$7:$L$2010,"03",'LAC 102_Wkst'!$N$7:$N$2010,"P4")+SUMIFS('LAC 102_Wkst'!$Q$7:$Q$2010,'LAC 102_Wkst'!$D$7:$D$2010,$C$7,'LAC 102_Wkst'!$I$7:$I$2010,$C$9,'LAC 102_Wkst'!$E$7:$E$2010,$C78,'LAC 102_Wkst'!$G$7:$G$2010,$D78,'LAC 102_Wkst'!$L$7:$L$2010,"04",'LAC 102_Wkst'!$N$7:$N$2010,"P4")</f>
        <v>0</v>
      </c>
      <c r="O78" s="411">
        <f>SUMIFS('LAC 102_Wkst'!$AF$7:$AF$2010,'LAC 102_Wkst'!$D$7:$D$2010,$C$7,'LAC 102_Wkst'!$I$7:$I$2010,$C$9,'LAC 102_Wkst'!$E$7:$E$2010,$C78,'LAC 102_Wkst'!$G$7:$G$2010,$D78,'LAC 102_Wkst'!$L$7:$L$2010,"03",'LAC 102_Wkst'!$N$7:$N$2010,"P4")+SUMIFS('LAC 102_Wkst'!$AF$7:$AF$2010,'LAC 102_Wkst'!$D$7:$D$2010,$C$7,'LAC 102_Wkst'!$I$7:$I$2010,$C$9,'LAC 102_Wkst'!$E$7:$E$2010,$C78,'LAC 102_Wkst'!$G$7:$G$2010,$D78,'LAC 102_Wkst'!$L$7:$L$2010,"04",'LAC 102_Wkst'!$N$7:$N$2010,"P4")</f>
        <v>0</v>
      </c>
      <c r="P78" s="410">
        <f>SUMIFS('LAC 102_Wkst'!$Q$7:$Q$2010,'LAC 102_Wkst'!$D$7:$D$2010,$C$7,'LAC 102_Wkst'!$I$7:$I$2010,$C$9,'LAC 102_Wkst'!$E$7:$E$2010,$C78,'LAC 102_Wkst'!$G$7:$G$2010,$D78,'LAC 102_Wkst'!$L$7:$L$2010,"03",'LAC 102_Wkst'!$N$7:$N$2010,"P5")+SUMIFS('LAC 102_Wkst'!$Q$7:$Q$2010,'LAC 102_Wkst'!$D$7:$D$2010,$C$7,'LAC 102_Wkst'!$I$7:$I$2010,$C$9,'LAC 102_Wkst'!$E$7:$E$2010,$C78,'LAC 102_Wkst'!$G$7:$G$2010,$D78,'LAC 102_Wkst'!$L$7:$L$2010,"04",'LAC 102_Wkst'!$N$7:$N$2010,"P5")</f>
        <v>0</v>
      </c>
      <c r="Q78" s="411">
        <f>SUMIFS('LAC 102_Wkst'!$AF$7:$AF$2010,'LAC 102_Wkst'!$D$7:$D$2010,$C$7,'LAC 102_Wkst'!$I$7:$I$2010,$C$9,'LAC 102_Wkst'!$E$7:$E$2010,$C78,'LAC 102_Wkst'!$G$7:$G$2010,$D78,'LAC 102_Wkst'!$L$7:$L$2010,"03",'LAC 102_Wkst'!$N$7:$N$2010,"P5")+SUMIFS('LAC 102_Wkst'!$AF$7:$AF$2010,'LAC 102_Wkst'!$D$7:$D$2010,$C$7,'LAC 102_Wkst'!$I$7:$I$2010,$C$9,'LAC 102_Wkst'!$E$7:$E$2010,$C78,'LAC 102_Wkst'!$G$7:$G$2010,$D78,'LAC 102_Wkst'!$L$7:$L$2010,"04",'LAC 102_Wkst'!$N$7:$N$2010,"P5")</f>
        <v>0</v>
      </c>
      <c r="R78" s="412">
        <f>SUMIFS('LAC 102_Wkst'!$Q$7:$Q$2010,'LAC 102_Wkst'!$D$7:$D$2010,$C$7,'LAC 102_Wkst'!$I$7:$I$2010,$C$9,'LAC 102_Wkst'!$E$7:$E$2010,$C78,'LAC 102_Wkst'!$G$7:$G$2010,$D78,'LAC 102_Wkst'!$L$7:$L$2010,"05",'LAC 102_Wkst'!$N$7:$N$2010,"P1")+SUMIFS('LAC 102_Wkst'!$Q$7:$Q$2010,'LAC 102_Wkst'!$D$7:$D$2010,$C$7,'LAC 102_Wkst'!$I$7:$I$2010,$C$9,'LAC 102_Wkst'!$E$7:$E$2010,$C78,'LAC 102_Wkst'!$G$7:$G$2010,$D78,'LAC 102_Wkst'!$L$7:$L$2010,"06",'LAC 102_Wkst'!$N$7:$N$2010,"P1")</f>
        <v>0</v>
      </c>
      <c r="S78" s="411">
        <f>SUMIFS('LAC 102_Wkst'!$AF$7:$AF$2010,'LAC 102_Wkst'!$D$7:$D$2010,$C$7,'LAC 102_Wkst'!$I$7:$I$2010,$C$9,'LAC 102_Wkst'!$E$7:$E$2010,$C78,'LAC 102_Wkst'!$G$7:$G$2010,$D78,'LAC 102_Wkst'!$L$7:$L$2010,"05",'LAC 102_Wkst'!$N$7:$N$2010,"P1")+SUMIFS('LAC 102_Wkst'!$AF$7:$AF$2010,'LAC 102_Wkst'!$D$7:$D$2010,$C$7,'LAC 102_Wkst'!$I$7:$I$2010,$C$9,'LAC 102_Wkst'!$E$7:$E$2010,$C78,'LAC 102_Wkst'!$G$7:$G$2010,$D78,'LAC 102_Wkst'!$L$7:$L$2010,"06",'LAC 102_Wkst'!$N$7:$N$2010,"P1")</f>
        <v>0</v>
      </c>
      <c r="T78" s="410">
        <f>SUMIFS('LAC 102_Wkst'!$Q$7:$Q$2010,'LAC 102_Wkst'!$D$7:$D$2010,$C$7,'LAC 102_Wkst'!$I$7:$I$2010,$C$9,'LAC 102_Wkst'!$E$7:$E$2010,$C78,'LAC 102_Wkst'!$G$7:$G$2010,$D78,'LAC 102_Wkst'!$L$7:$L$2010,"05",'LAC 102_Wkst'!$N$7:$N$2010,"P2")+SUMIFS('LAC 102_Wkst'!$Q$7:$Q$2010,'LAC 102_Wkst'!$D$7:$D$2010,$C$7,'LAC 102_Wkst'!$I$7:$I$2010,$C$9,'LAC 102_Wkst'!$E$7:$E$2010,$C78,'LAC 102_Wkst'!$G$7:$G$2010,$D78,'LAC 102_Wkst'!$L$7:$L$2010,"06",'LAC 102_Wkst'!$N$7:$N$2010,"P2")+SUMIFS('LAC 102_Wkst'!$Q$7:$Q$2010,'LAC 102_Wkst'!$D$7:$D$2010,$C$7,'LAC 102_Wkst'!$I$7:$I$2010,$C$9,'LAC 102_Wkst'!$E$7:$E$2010,$C78,'LAC 102_Wkst'!$G$7:$G$2010,$D78,'LAC 102_Wkst'!$L$7:$L$2010,"05",'LAC 102_Wkst'!$N$7:$N$2010,"P3")+SUMIFS('LAC 102_Wkst'!$Q$7:$Q$2010,'LAC 102_Wkst'!$D$7:$D$2010,$C$7,'LAC 102_Wkst'!$I$7:$I$2010,$C$9,'LAC 102_Wkst'!$E$7:$E$2010,$C78,'LAC 102_Wkst'!$G$7:$G$2010,$D78,'LAC 102_Wkst'!$L$7:$L$2010,"06",'LAC 102_Wkst'!$N$7:$N$2010,"P3")</f>
        <v>0</v>
      </c>
      <c r="U78" s="411">
        <f>SUMIFS('LAC 102_Wkst'!$AF$7:$AF$2010,'LAC 102_Wkst'!$D$7:$D$2010,$C$7,'LAC 102_Wkst'!$I$7:$I$2010,$C$9,'LAC 102_Wkst'!$E$7:$E$2010,$C78,'LAC 102_Wkst'!$G$7:$G$2010,$D78,'LAC 102_Wkst'!$L$7:$L$2010,"05",'LAC 102_Wkst'!$N$7:$N$2010,"P2")+SUMIFS('LAC 102_Wkst'!$AF$7:$AF$2010,'LAC 102_Wkst'!$D$7:$D$2010,$C$7,'LAC 102_Wkst'!$I$7:$I$2010,$C$9,'LAC 102_Wkst'!$E$7:$E$2010,$C78,'LAC 102_Wkst'!$G$7:$G$2010,$D78,'LAC 102_Wkst'!$L$7:$L$2010,"06",'LAC 102_Wkst'!$N$7:$N$2010,"P2")+SUMIFS('LAC 102_Wkst'!$AF$7:$AF$2010,'LAC 102_Wkst'!$D$7:$D$2010,$C$7,'LAC 102_Wkst'!$I$7:$I$2010,$C$9,'LAC 102_Wkst'!$E$7:$E$2010,$C78,'LAC 102_Wkst'!$G$7:$G$2010,$D78,'LAC 102_Wkst'!$L$7:$L$2010,"05",'LAC 102_Wkst'!$N$7:$N$2010,"P3")+SUMIFS('LAC 102_Wkst'!$AF$7:$AF$2010,'LAC 102_Wkst'!$D$7:$D$2010,$C$7,'LAC 102_Wkst'!$I$7:$I$2010,$C$9,'LAC 102_Wkst'!$E$7:$E$2010,$C78,'LAC 102_Wkst'!$G$7:$G$2010,$D78,'LAC 102_Wkst'!$L$7:$L$2010,"06",'LAC 102_Wkst'!$N$7:$N$2010,"P3")</f>
        <v>0</v>
      </c>
      <c r="V78" s="410">
        <f>SUMIFS('LAC 102_Wkst'!$Q$7:$Q$2010,'LAC 102_Wkst'!$D$7:$D$2010,$C$7,'LAC 102_Wkst'!$I$7:$I$2010,$C$9,'LAC 102_Wkst'!$E$7:$E$2010,$C78,'LAC 102_Wkst'!$G$7:$G$2010,$D78,'LAC 102_Wkst'!$L$7:$L$2010,"05",'LAC 102_Wkst'!$N$7:$N$2010,"P4")+SUMIFS('LAC 102_Wkst'!$Q$7:$Q$2010,'LAC 102_Wkst'!$D$7:$D$2010,$C$7,'LAC 102_Wkst'!$I$7:$I$2010,$C$9,'LAC 102_Wkst'!$E$7:$E$2010,$C78,'LAC 102_Wkst'!$G$7:$G$2010,$D78,'LAC 102_Wkst'!$L$7:$L$2010,"06",'LAC 102_Wkst'!$N$7:$N$2010,"P4")</f>
        <v>0</v>
      </c>
      <c r="W78" s="411">
        <f>SUMIFS('LAC 102_Wkst'!$AF$7:$AF$2010,'LAC 102_Wkst'!$D$7:$D$2010,$C$7,'LAC 102_Wkst'!$I$7:$I$2010,$C$9,'LAC 102_Wkst'!$E$7:$E$2010,$C78,'LAC 102_Wkst'!$G$7:$G$2010,$D78,'LAC 102_Wkst'!$L$7:$L$2010,"05",'LAC 102_Wkst'!$N$7:$N$2010,"P4")+SUMIFS('LAC 102_Wkst'!$AF$7:$AF$2010,'LAC 102_Wkst'!$D$7:$D$2010,$C$7,'LAC 102_Wkst'!$I$7:$I$2010,$C$9,'LAC 102_Wkst'!$E$7:$E$2010,$C78,'LAC 102_Wkst'!$G$7:$G$2010,$D78,'LAC 102_Wkst'!$L$7:$L$2010,"06",'LAC 102_Wkst'!$N$7:$N$2010,"P4")</f>
        <v>0</v>
      </c>
      <c r="X78" s="410">
        <f>SUMIFS('LAC 102_Wkst'!$Q$7:$Q$2010,'LAC 102_Wkst'!$D$7:$D$2010,$C$7,'LAC 102_Wkst'!$I$7:$I$2010,$C$9,'LAC 102_Wkst'!$E$7:$E$2010,$C78,'LAC 102_Wkst'!$G$7:$G$2010,$D78,'LAC 102_Wkst'!$L$7:$L$2010,"05",'LAC 102_Wkst'!$N$7:$N$2010,"P5")+SUMIFS('LAC 102_Wkst'!$Q$7:$Q$2010,'LAC 102_Wkst'!$D$7:$D$2010,$C$7,'LAC 102_Wkst'!$I$7:$I$2010,$C$9,'LAC 102_Wkst'!$E$7:$E$2010,$C78,'LAC 102_Wkst'!$G$7:$G$2010,$D78,'LAC 102_Wkst'!$L$7:$L$2010,"06",'LAC 102_Wkst'!$N$7:$N$2010,"P5")</f>
        <v>0</v>
      </c>
      <c r="Y78" s="411">
        <f>SUMIFS('LAC 102_Wkst'!$AF$7:$AF$2010,'LAC 102_Wkst'!$D$7:$D$2010,$C$7,'LAC 102_Wkst'!$I$7:$I$2010,$C$9,'LAC 102_Wkst'!$E$7:$E$2010,$C78,'LAC 102_Wkst'!$G$7:$G$2010,$D78,'LAC 102_Wkst'!$L$7:$L$2010,"05",'LAC 102_Wkst'!$N$7:$N$2010,"P5")+SUMIFS('LAC 102_Wkst'!$AF$7:$AF$2010,'LAC 102_Wkst'!$D$7:$D$2010,$C$7,'LAC 102_Wkst'!$I$7:$I$2010,$C$9,'LAC 102_Wkst'!$E$7:$E$2010,$C78,'LAC 102_Wkst'!$G$7:$G$2010,$D78,'LAC 102_Wkst'!$L$7:$L$2010,"06",'LAC 102_Wkst'!$N$7:$N$2010,"P5")</f>
        <v>0</v>
      </c>
      <c r="Z78" s="410">
        <f>SUMIFS('LAC 102_Wkst'!$Q$7:$Q$2010,'LAC 102_Wkst'!$D$7:$D$2010,$C$7,'LAC 102_Wkst'!$I$7:$I$2010,$C$9,'LAC 102_Wkst'!$E$7:$E$2010,$C78,'LAC 102_Wkst'!$G$7:$G$2010,$D78,'LAC 102_Wkst'!$L$7:$L$2010,"07",'LAC 102_Wkst'!$N$7:$N$2010,"P1")+SUMIFS('LAC 102_Wkst'!$Q$7:$Q$2010,'LAC 102_Wkst'!$D$7:$D$2010,$C$7,'LAC 102_Wkst'!$I$7:$I$2010,$C$9,'LAC 102_Wkst'!$E$7:$E$2010,$C78,'LAC 102_Wkst'!$G$7:$G$2010,$D78,'LAC 102_Wkst'!$L$7:$L$2010,"07",'LAC 102_Wkst'!$N$7:$N$2010,"P2")+SUMIFS('LAC 102_Wkst'!$Q$7:$Q$2010,'LAC 102_Wkst'!$D$7:$D$2010,$C$7,'LAC 102_Wkst'!$I$7:$I$2010,$C$9,'LAC 102_Wkst'!$E$7:$E$2010,$C78,'LAC 102_Wkst'!$G$7:$G$2010,$D78,'LAC 102_Wkst'!$L$7:$L$2010,"07",'LAC 102_Wkst'!$N$7:$N$2010,"P3")</f>
        <v>0</v>
      </c>
      <c r="AA78" s="411">
        <f>SUMIFS('LAC 102_Wkst'!$AF$7:$AF$2010,'LAC 102_Wkst'!$D$7:$D$2010,$C$7,'LAC 102_Wkst'!$I$7:$I$2010,$C$9,'LAC 102_Wkst'!$E$7:$E$2010,$C78,'LAC 102_Wkst'!$G$7:$G$2010,$D78,'LAC 102_Wkst'!$L$7:$L$2010,"07",'LAC 102_Wkst'!$N$7:$N$2010,"P1")+SUMIFS('LAC 102_Wkst'!$AF$7:$AF$2010,'LAC 102_Wkst'!$D$7:$D$2010,$C$7,'LAC 102_Wkst'!$I$7:$I$2010,$C$9,'LAC 102_Wkst'!$E$7:$E$2010,$C78,'LAC 102_Wkst'!$G$7:$G$2010,$D78,'LAC 102_Wkst'!$L$7:$L$2010,"07",'LAC 102_Wkst'!$N$7:$N$2010,"P2")+SUMIFS('LAC 102_Wkst'!$AF$7:$AF$2010,'LAC 102_Wkst'!$D$7:$D$2010,$C$7,'LAC 102_Wkst'!$I$7:$I$2010,$C$9,'LAC 102_Wkst'!$E$7:$E$2010,$C78,'LAC 102_Wkst'!$G$7:$G$2010,$D78,'LAC 102_Wkst'!$L$7:$L$2010,"07",'LAC 102_Wkst'!$N$7:$N$2010,"P3")</f>
        <v>0</v>
      </c>
      <c r="AB78" s="410">
        <f>SUMIFS('LAC 102_Wkst'!$Q$7:$Q$2010,'LAC 102_Wkst'!$D$7:$D$2010,$C$7,'LAC 102_Wkst'!$I$7:$I$2010,$C$9,'LAC 102_Wkst'!$E$7:$E$2010,$C78,'LAC 102_Wkst'!$G$7:$G$2010,$D78,'LAC 102_Wkst'!$L$7:$L$2010,"07",'LAC 102_Wkst'!$N$7:$N$2010,"P4")</f>
        <v>0</v>
      </c>
      <c r="AC78" s="411">
        <f>SUMIFS('LAC 102_Wkst'!$AF$7:$AF$2010,'LAC 102_Wkst'!$D$7:$D$2010,$C$7,'LAC 102_Wkst'!$I$7:$I$2010,$C$9,'LAC 102_Wkst'!$E$7:$E$2010,$C78,'LAC 102_Wkst'!$G$7:$G$2010,$D78,'LAC 102_Wkst'!$L$7:$L$2010,"07",'LAC 102_Wkst'!$N$7:$N$2010,"P4")</f>
        <v>0</v>
      </c>
      <c r="AD78" s="410">
        <f>SUMIFS('LAC 102_Wkst'!$Q$7:$Q$2010,'LAC 102_Wkst'!$D$7:$D$2010,$C$7,'LAC 102_Wkst'!$I$7:$I$2010,$C$9,'LAC 102_Wkst'!$E$7:$E$2010,$C78,'LAC 102_Wkst'!$G$7:$G$2010,$D78,'LAC 102_Wkst'!$L$7:$L$2010,"07",'LAC 102_Wkst'!$N$7:$N$2010,"P5")</f>
        <v>0</v>
      </c>
      <c r="AE78" s="411">
        <f>SUMIFS('LAC 102_Wkst'!$AF$7:$AF$2010,'LAC 102_Wkst'!$D$7:$D$2010,$C$7,'LAC 102_Wkst'!$I$7:$I$2010,$C$9,'LAC 102_Wkst'!$E$7:$E$2010,$C78,'LAC 102_Wkst'!$G$7:$G$2010,$D78,'LAC 102_Wkst'!$L$7:$L$2010,"07",'LAC 102_Wkst'!$N$7:$N$2010,"P5")</f>
        <v>0</v>
      </c>
      <c r="AF78" s="410">
        <f>SUMIFS('LAC 102_Wkst'!$Q$7:$Q$2010,'LAC 102_Wkst'!$D$7:$D$2010,$C$7,'LAC 102_Wkst'!$I$7:$I$2010,$C$9,'LAC 102_Wkst'!$E$7:$E$2010,$C78,'LAC 102_Wkst'!$G$7:$G$2010,$D78,'LAC 102_Wkst'!$L$7:$L$2010,"08",'LAC 102_Wkst'!$N$7:$N$2010,"P1")+SUMIFS('LAC 102_Wkst'!$Q$7:$Q$2010,'LAC 102_Wkst'!$D$7:$D$2010,$C$7,'LAC 102_Wkst'!$I$7:$I$2010,$C$9,'LAC 102_Wkst'!$E$7:$E$2010,$C78,'LAC 102_Wkst'!$G$7:$G$2010,$D78,'LAC 102_Wkst'!$L$7:$L$2010,"08",'LAC 102_Wkst'!$N$7:$N$2010,"P2")+SUMIFS('LAC 102_Wkst'!$Q$7:$Q$2010,'LAC 102_Wkst'!$D$7:$D$2010,$C$7,'LAC 102_Wkst'!$I$7:$I$2010,$C$9,'LAC 102_Wkst'!$E$7:$E$2010,$C78,'LAC 102_Wkst'!$G$7:$G$2010,$D78,'LAC 102_Wkst'!$L$7:$L$2010,"08",'LAC 102_Wkst'!$N$7:$N$2010,"P3")</f>
        <v>0</v>
      </c>
      <c r="AG78" s="411">
        <f>SUMIFS('LAC 102_Wkst'!$AF$7:$AF$2010,'LAC 102_Wkst'!$D$7:$D$2010,$C$7,'LAC 102_Wkst'!$I$7:$I$2010,$C$9,'LAC 102_Wkst'!$E$7:$E$2010,$C78,'LAC 102_Wkst'!$G$7:$G$2010,$D78,'LAC 102_Wkst'!$L$7:$L$2010,"08",'LAC 102_Wkst'!$N$7:$N$2010,"P1")+SUMIFS('LAC 102_Wkst'!$AF$7:$AF$2010,'LAC 102_Wkst'!$D$7:$D$2010,$C$7,'LAC 102_Wkst'!$I$7:$I$2010,$C$9,'LAC 102_Wkst'!$E$7:$E$2010,$C78,'LAC 102_Wkst'!$G$7:$G$2010,$D78,'LAC 102_Wkst'!$L$7:$L$2010,"08",'LAC 102_Wkst'!$N$7:$N$2010,"P2")+SUMIFS('LAC 102_Wkst'!$AF$7:$AF$2010,'LAC 102_Wkst'!$D$7:$D$2010,$C$7,'LAC 102_Wkst'!$I$7:$I$2010,$C$9,'LAC 102_Wkst'!$E$7:$E$2010,$C78,'LAC 102_Wkst'!$G$7:$G$2010,$D78,'LAC 102_Wkst'!$L$7:$L$2010,"08",'LAC 102_Wkst'!$N$7:$N$2010,"P3")</f>
        <v>0</v>
      </c>
      <c r="AH78" s="410">
        <f>SUMIFS('LAC 102_Wkst'!$Q$7:$Q$2010,'LAC 102_Wkst'!$D$7:$D$2010,$C$7,'LAC 102_Wkst'!$I$7:$I$2010,$C$9,'LAC 102_Wkst'!$E$7:$E$2010,$C78,'LAC 102_Wkst'!$G$7:$G$2010,$D78,'LAC 102_Wkst'!$L$7:$L$2010,"08",'LAC 102_Wkst'!$N$7:$N$2010,"P4")</f>
        <v>0</v>
      </c>
      <c r="AI78" s="411">
        <f>SUMIFS('LAC 102_Wkst'!$AF$7:$AF$2010,'LAC 102_Wkst'!$D$7:$D$2010,$C$7,'LAC 102_Wkst'!$I$7:$I$2010,$C$9,'LAC 102_Wkst'!$E$7:$E$2010,$C78,'LAC 102_Wkst'!$G$7:$G$2010,$D78,'LAC 102_Wkst'!$L$7:$L$2010,"08",'LAC 102_Wkst'!$N$7:$N$2010,"P4")</f>
        <v>0</v>
      </c>
      <c r="AJ78" s="410">
        <f>SUMIFS('LAC 102_Wkst'!$Q$7:$Q$2010,'LAC 102_Wkst'!$D$7:$D$2010,$C$7,'LAC 102_Wkst'!$I$7:$I$2010,$C$9,'LAC 102_Wkst'!$E$7:$E$2010,$C78,'LAC 102_Wkst'!$G$7:$G$2010,$D78,'LAC 102_Wkst'!$L$7:$L$2010,"08",'LAC 102_Wkst'!$N$7:$N$2010,"P5")</f>
        <v>0</v>
      </c>
      <c r="AK78" s="411">
        <f>SUMIFS('LAC 102_Wkst'!$AF$7:$AF$2010,'LAC 102_Wkst'!$D$7:$D$2010,$C$7,'LAC 102_Wkst'!$I$7:$I$2010,$C$9,'LAC 102_Wkst'!$E$7:$E$2010,$C78,'LAC 102_Wkst'!$G$7:$G$2010,$D78,'LAC 102_Wkst'!$L$7:$L$2010,"08",'LAC 102_Wkst'!$N$7:$N$2010,"P5")</f>
        <v>0</v>
      </c>
      <c r="AL78" s="410">
        <f>SUMIFS('LAC 102_Wkst'!$Q$7:$Q$2010,'LAC 102_Wkst'!$D$7:$D$2010,$C$7,'LAC 102_Wkst'!$I$7:$I$2010,$C$9,'LAC 102_Wkst'!$E$7:$E$2010,$C78,'LAC 102_Wkst'!$G$7:$G$2010,$D78,'LAC 102_Wkst'!$L$7:$L$2010,"09",'LAC 102_Wkst'!$N$7:$N$2010,"P1")+SUMIFS('LAC 102_Wkst'!$Q$7:$Q$2010,'LAC 102_Wkst'!$D$7:$D$2010,$C$7,'LAC 102_Wkst'!$I$7:$I$2010,$C$9,'LAC 102_Wkst'!$E$7:$E$2010,$C78,'LAC 102_Wkst'!$G$7:$G$2010,$D78,'LAC 102_Wkst'!$L$7:$L$2010,"09",'LAC 102_Wkst'!$N$7:$N$2010,"P2")+SUMIFS('LAC 102_Wkst'!$Q$7:$Q$2010,'LAC 102_Wkst'!$D$7:$D$2010,$C$7,'LAC 102_Wkst'!$I$7:$I$2010,$C$9,'LAC 102_Wkst'!$E$7:$E$2010,$C78,'LAC 102_Wkst'!$G$7:$G$2010,$D78,'LAC 102_Wkst'!$L$7:$L$2010,"09",'LAC 102_Wkst'!$N$7:$N$2010,"P3")+SUMIFS('LAC 102_Wkst'!$Q$7:$Q$2010,'LAC 102_Wkst'!$D$7:$D$2010,$C$7,'LAC 102_Wkst'!$I$7:$I$2010,$C$9,'LAC 102_Wkst'!$E$7:$E$2010,$C78,'LAC 102_Wkst'!$G$7:$G$2010,$D78,'LAC 102_Wkst'!$L$7:$L$2010,"09",'LAC 102_Wkst'!$N$7:$N$2010,"P4")</f>
        <v>0</v>
      </c>
      <c r="AM78" s="411">
        <f>SUMIFS('LAC 102_Wkst'!$AF$7:$AF$2010,'LAC 102_Wkst'!$D$7:$D$2010,$C$7,'LAC 102_Wkst'!$I$7:$I$2010,$C$9,'LAC 102_Wkst'!$E$7:$E$2010,$C78,'LAC 102_Wkst'!$G$7:$G$2010,$D78,'LAC 102_Wkst'!$L$7:$L$2010,"09",'LAC 102_Wkst'!$N$7:$N$2010,"P1")+SUMIFS('LAC 102_Wkst'!$AF$7:$AF$2010,'LAC 102_Wkst'!$D$7:$D$2010,$C$7,'LAC 102_Wkst'!$I$7:$I$2010,$C$9,'LAC 102_Wkst'!$E$7:$E$2010,$C78,'LAC 102_Wkst'!$G$7:$G$2010,$D78,'LAC 102_Wkst'!$L$7:$L$2010,"09",'LAC 102_Wkst'!$N$7:$N$2010,"P2")+SUMIFS('LAC 102_Wkst'!$AF$7:$AF$2010,'LAC 102_Wkst'!$D$7:$D$2010,$C$7,'LAC 102_Wkst'!$I$7:$I$2010,$C$9,'LAC 102_Wkst'!$E$7:$E$2010,$C78,'LAC 102_Wkst'!$G$7:$G$2010,$D78,'LAC 102_Wkst'!$L$7:$L$2010,"09",'LAC 102_Wkst'!$N$7:$N$2010,"P3")+SUMIFS('LAC 102_Wkst'!$AF$7:$AF$2010,'LAC 102_Wkst'!$D$7:$D$2010,$C$7,'LAC 102_Wkst'!$I$7:$I$2010,$C$9,'LAC 102_Wkst'!$E$7:$E$2010,$C78,'LAC 102_Wkst'!$G$7:$G$2010,$D78,'LAC 102_Wkst'!$L$7:$L$2010,"09",'LAC 102_Wkst'!$N$7:$N$2010,"P4")</f>
        <v>0</v>
      </c>
      <c r="AN78" s="410">
        <f>SUMIFS('LAC 102_Wkst'!$Q$7:$Q$2010,'LAC 102_Wkst'!$D$7:$D$2010,$C$7,'LAC 102_Wkst'!$I$7:$I$2010,$C$9,'LAC 102_Wkst'!$E$7:$E$2010,$C78,'LAC 102_Wkst'!$G$7:$G$2010,$D78,'LAC 102_Wkst'!$L$7:$L$2010,"09",'LAC 102_Wkst'!$N$7:$N$2010,"P5")</f>
        <v>0</v>
      </c>
      <c r="AO78" s="411">
        <f>SUMIFS('LAC 102_Wkst'!$AF$7:$AF$2010,'LAC 102_Wkst'!$D$7:$D$2010,$C$7,'LAC 102_Wkst'!$I$7:$I$2010,$C$9,'LAC 102_Wkst'!$E$7:$E$2010,$C78,'LAC 102_Wkst'!$G$7:$G$2010,$D78,'LAC 102_Wkst'!$L$7:$L$2010,"09",'LAC 102_Wkst'!$N$7:$N$2010,"P5")</f>
        <v>0</v>
      </c>
      <c r="AP78" s="410">
        <f>SUMIFS('LAC 102_Wkst'!$Q$7:$Q$2010,'LAC 102_Wkst'!$D$7:$D$2010,$C$7,'LAC 102_Wkst'!$I$7:$I$2010,$C$9,'LAC 102_Wkst'!$E$7:$E$2010,$C78,'LAC 102_Wkst'!$G$7:$G$2010,$D78,'LAC 102_Wkst'!$L$7:$L$2010,"10",'LAC 102_Wkst'!$N$7:$N$2010,"P1")+SUMIFS('LAC 102_Wkst'!$Q$7:$Q$2010,'LAC 102_Wkst'!$D$7:$D$2010,$C$7,'LAC 102_Wkst'!$I$7:$I$2010,$C$9,'LAC 102_Wkst'!$E$7:$E$2010,$C78,'LAC 102_Wkst'!$G$7:$G$2010,$D78,'LAC 102_Wkst'!$L$7:$L$2010,"10",'LAC 102_Wkst'!$N$7:$N$2010,"P2")+SUMIFS('LAC 102_Wkst'!$Q$7:$Q$2010,'LAC 102_Wkst'!$D$7:$D$2010,$C$7,'LAC 102_Wkst'!$I$7:$I$2010,$C$9,'LAC 102_Wkst'!$E$7:$E$2010,$C78,'LAC 102_Wkst'!$G$7:$G$2010,$D78,'LAC 102_Wkst'!$L$7:$L$2010,"10",'LAC 102_Wkst'!$N$7:$N$2010,"P3")+SUMIFS('LAC 102_Wkst'!$Q$7:$Q$2010,'LAC 102_Wkst'!$D$7:$D$2010,$C$7,'LAC 102_Wkst'!$I$7:$I$2010,$C$9,'LAC 102_Wkst'!$E$7:$E$2010,$C78,'LAC 102_Wkst'!$G$7:$G$2010,$D78,'LAC 102_Wkst'!$L$7:$L$2010,"10",'LAC 102_Wkst'!$N$7:$N$2010,"P4")</f>
        <v>0</v>
      </c>
      <c r="AQ78" s="411">
        <f>SUMIFS('LAC 102_Wkst'!$AF$7:$AF$2010,'LAC 102_Wkst'!$D$7:$D$2010,$C$7,'LAC 102_Wkst'!$I$7:$I$2010,$C$9,'LAC 102_Wkst'!$E$7:$E$2010,$C78,'LAC 102_Wkst'!$G$7:$G$2010,$D78,'LAC 102_Wkst'!$L$7:$L$2010,"10",'LAC 102_Wkst'!$N$7:$N$2010,"P1")+SUMIFS('LAC 102_Wkst'!$AF$7:$AF$2010,'LAC 102_Wkst'!$D$7:$D$2010,$C$7,'LAC 102_Wkst'!$I$7:$I$2010,$C$9,'LAC 102_Wkst'!$E$7:$E$2010,$C78,'LAC 102_Wkst'!$G$7:$G$2010,$D78,'LAC 102_Wkst'!$L$7:$L$2010,"10",'LAC 102_Wkst'!$N$7:$N$2010,"P2")+SUMIFS('LAC 102_Wkst'!$AF$7:$AF$2010,'LAC 102_Wkst'!$D$7:$D$2010,$C$7,'LAC 102_Wkst'!$I$7:$I$2010,$C$9,'LAC 102_Wkst'!$E$7:$E$2010,$C78,'LAC 102_Wkst'!$G$7:$G$2010,$D78,'LAC 102_Wkst'!$L$7:$L$2010,"10",'LAC 102_Wkst'!$N$7:$N$2010,"P3")+SUMIFS('LAC 102_Wkst'!$AF$7:$AF$2010,'LAC 102_Wkst'!$D$7:$D$2010,$C$7,'LAC 102_Wkst'!$I$7:$I$2010,$C$9,'LAC 102_Wkst'!$E$7:$E$2010,$C78,'LAC 102_Wkst'!$G$7:$G$2010,$D78,'LAC 102_Wkst'!$L$7:$L$2010,"10",'LAC 102_Wkst'!$N$7:$N$2010,"P4")</f>
        <v>0</v>
      </c>
      <c r="AR78" s="410">
        <f>SUMIFS('LAC 102_Wkst'!$Q$7:$Q$2010,'LAC 102_Wkst'!$D$7:$D$2010,$C$7,'LAC 102_Wkst'!$I$7:$I$2010,$C$9,'LAC 102_Wkst'!$E$7:$E$2010,$C78,'LAC 102_Wkst'!$G$7:$G$2010,$D78,'LAC 102_Wkst'!$L$7:$L$2010,"10",'LAC 102_Wkst'!$N$7:$N$2010,"P5")</f>
        <v>0</v>
      </c>
      <c r="AS78" s="411">
        <f>SUMIFS('LAC 102_Wkst'!$AF$7:$AF$2010,'LAC 102_Wkst'!$D$7:$D$2010,$C$7,'LAC 102_Wkst'!$I$7:$I$2010,$C$9,'LAC 102_Wkst'!$E$7:$E$2010,$C78,'LAC 102_Wkst'!$G$7:$G$2010,$D78,'LAC 102_Wkst'!$L$7:$L$2010,"10",'LAC 102_Wkst'!$N$7:$N$2010,"P5")</f>
        <v>0</v>
      </c>
      <c r="AT78" s="410">
        <f>SUMIFS('LAC 102_Wkst'!$Q$7:$Q$2010,'LAC 102_Wkst'!$D$7:$D$2010,$C$7,'LAC 102_Wkst'!$I$7:$I$2010,$C$9,'LAC 102_Wkst'!$E$7:$E$2010,$C78,'LAC 102_Wkst'!$G$7:$G$2010,$D78,'LAC 102_Wkst'!$L$7:$L$2010,"11",'LAC 102_Wkst'!$N$7:$N$2010,"P1")+SUMIFS('LAC 102_Wkst'!$Q$7:$Q$2010,'LAC 102_Wkst'!$D$7:$D$2010,$C$7,'LAC 102_Wkst'!$I$7:$I$2010,$C$9,'LAC 102_Wkst'!$E$7:$E$2010,$C78,'LAC 102_Wkst'!$G$7:$G$2010,$D78,'LAC 102_Wkst'!$L$7:$L$2010,"12",'LAC 102_Wkst'!$N$7:$N$2010,"P1")</f>
        <v>0</v>
      </c>
      <c r="AU78" s="411">
        <f>SUMIFS('LAC 102_Wkst'!$Q$7:$Q$2010,'LAC 102_Wkst'!$D$7:$D$2010,$C$7,'LAC 102_Wkst'!$I$7:$I$2010,$C$9,'LAC 102_Wkst'!$E$7:$E$2010,$C78,'LAC 102_Wkst'!$G$7:$G$2010,$D78,'LAC 102_Wkst'!$L$7:$L$2010,"13",'LAC 102_Wkst'!$N$7:$N$2010,"P5")</f>
        <v>0</v>
      </c>
      <c r="AV78" s="410">
        <f>SUMIFS('LAC 102_Wkst'!$Q$7:$Q$2010,'LAC 102_Wkst'!$D$7:$D$2010,$C$7,'LAC 102_Wkst'!$I$7:$I$2010,$C$9,'LAC 102_Wkst'!$E$7:$E$2010,$C78,'LAC 102_Wkst'!$G$7:$G$2010,$D78,'LAC 102_Wkst'!$L$7:$L$2010,"11",'LAC 102_Wkst'!$N$7:$N$2010,"P2")+SUMIFS('LAC 102_Wkst'!$Q$7:$Q$2010,'LAC 102_Wkst'!$D$7:$D$2010,$C$7,'LAC 102_Wkst'!$I$7:$I$2010,$C$9,'LAC 102_Wkst'!$E$7:$E$2010,$C78,'LAC 102_Wkst'!$G$7:$G$2010,$D78,'LAC 102_Wkst'!$L$7:$L$2010,"12",'LAC 102_Wkst'!$N$7:$N$2010,"P2")+SUMIFS('LAC 102_Wkst'!$Q$7:$Q$2010,'LAC 102_Wkst'!$D$7:$D$2010,$C$7,'LAC 102_Wkst'!$I$7:$I$2010,$C$9,'LAC 102_Wkst'!$E$7:$E$2010,$C78,'LAC 102_Wkst'!$G$7:$G$2010,$D78,'LAC 102_Wkst'!$L$7:$L$2010,"11",'LAC 102_Wkst'!$N$7:$N$2010,"P3")+SUMIFS('LAC 102_Wkst'!$Q$7:$Q$2010,'LAC 102_Wkst'!$D$7:$D$2010,$C$7,'LAC 102_Wkst'!$I$7:$I$2010,$C$9,'LAC 102_Wkst'!$E$7:$E$2010,$C78,'LAC 102_Wkst'!$G$7:$G$2010,$D78,'LAC 102_Wkst'!$L$7:$L$2010,"12",'LAC 102_Wkst'!$N$7:$N$2010,"P3")</f>
        <v>0</v>
      </c>
      <c r="AW78" s="411">
        <f>SUMIFS('LAC 102_Wkst'!$AF$7:$AF$2010,'LAC 102_Wkst'!$D$7:$D$2010,$C$7,'LAC 102_Wkst'!$I$7:$I$2010,$C$9,'LAC 102_Wkst'!$E$7:$E$2010,$C78,'LAC 102_Wkst'!$G$7:$G$2010,$D78,'LAC 102_Wkst'!$L$7:$L$2010,"11",'LAC 102_Wkst'!$N$7:$N$2010,"P2")+SUMIFS('LAC 102_Wkst'!$AF$7:$AF$2010,'LAC 102_Wkst'!$D$7:$D$2010,$C$7,'LAC 102_Wkst'!$I$7:$I$2010,$C$9,'LAC 102_Wkst'!$E$7:$E$2010,$C78,'LAC 102_Wkst'!$G$7:$G$2010,$D78,'LAC 102_Wkst'!$L$7:$L$2010,"12",'LAC 102_Wkst'!$N$7:$N$2010,"P2")+SUMIFS('LAC 102_Wkst'!$AF$7:$AF$2010,'LAC 102_Wkst'!$D$7:$D$2010,$C$7,'LAC 102_Wkst'!$I$7:$I$2010,$C$9,'LAC 102_Wkst'!$E$7:$E$2010,$C78,'LAC 102_Wkst'!$G$7:$G$2010,$D78,'LAC 102_Wkst'!$L$7:$L$2010,"11",'LAC 102_Wkst'!$N$7:$N$2010,"P3")+SUMIFS('LAC 102_Wkst'!$AF$7:$AF$2010,'LAC 102_Wkst'!$D$7:$D$2010,$C$7,'LAC 102_Wkst'!$I$7:$I$2010,$C$9,'LAC 102_Wkst'!$E$7:$E$2010,$C78,'LAC 102_Wkst'!$G$7:$G$2010,$D78,'LAC 102_Wkst'!$L$7:$L$2010,"12",'LAC 102_Wkst'!$N$7:$N$2010,"P3")</f>
        <v>0</v>
      </c>
      <c r="AX78" s="410">
        <f>SUMIFS('LAC 102_Wkst'!$Q$7:$Q$2010,'LAC 102_Wkst'!$D$7:$D$2010,$C$7,'LAC 102_Wkst'!$I$7:$I$2010,$C$9,'LAC 102_Wkst'!$E$7:$E$2010,$C78,'LAC 102_Wkst'!$G$7:$G$2010,$D78,'LAC 102_Wkst'!$L$7:$L$2010,"11",'LAC 102_Wkst'!$N$7:$N$2010,"P4")+SUMIFS('LAC 102_Wkst'!$Q$7:$Q$2010,'LAC 102_Wkst'!$D$7:$D$2010,$C$7,'LAC 102_Wkst'!$I$7:$I$2010,$C$9,'LAC 102_Wkst'!$E$7:$E$2010,$C78,'LAC 102_Wkst'!$G$7:$G$2010,$D78,'LAC 102_Wkst'!$L$7:$L$2010,"12",'LAC 102_Wkst'!$N$7:$N$2010,"P4")</f>
        <v>0</v>
      </c>
      <c r="AY78" s="411">
        <f>SUMIFS('LAC 102_Wkst'!$AF$7:$AF$2010,'LAC 102_Wkst'!$D$7:$D$2010,$C$7,'LAC 102_Wkst'!$I$7:$I$2010,$C$9,'LAC 102_Wkst'!$E$7:$E$2010,$C78,'LAC 102_Wkst'!$G$7:$G$2010,$D78,'LAC 102_Wkst'!$L$7:$L$2010,"11",'LAC 102_Wkst'!$N$7:$N$2010,"P4")+SUMIFS('LAC 102_Wkst'!$AF$7:$AF$2010,'LAC 102_Wkst'!$D$7:$D$2010,$C$7,'LAC 102_Wkst'!$I$7:$I$2010,$C$9,'LAC 102_Wkst'!$E$7:$E$2010,$C78,'LAC 102_Wkst'!$G$7:$G$2010,$D78,'LAC 102_Wkst'!$L$7:$L$2010,"12",'LAC 102_Wkst'!$N$7:$N$2010,"P4")</f>
        <v>0</v>
      </c>
      <c r="AZ78" s="410">
        <f>SUMIFS('LAC 102_Wkst'!$Q$7:$Q$2010,'LAC 102_Wkst'!$D$7:$D$2010,$C$7,'LAC 102_Wkst'!$I$7:$I$2010,$C$9,'LAC 102_Wkst'!$E$7:$E$2010,$C78,'LAC 102_Wkst'!$G$7:$G$2010,$D78,'LAC 102_Wkst'!$L$7:$L$2010,"11",'LAC 102_Wkst'!$N$7:$N$2010,"P5")+SUMIFS('LAC 102_Wkst'!$Q$7:$Q$2010,'LAC 102_Wkst'!$D$7:$D$2010,$C$7,'LAC 102_Wkst'!$I$7:$I$2010,$C$9,'LAC 102_Wkst'!$E$7:$E$2010,$C78,'LAC 102_Wkst'!$G$7:$G$2010,$D78,'LAC 102_Wkst'!$L$7:$L$2010,"12",'LAC 102_Wkst'!$N$7:$N$2010,"P5")</f>
        <v>0</v>
      </c>
      <c r="BA78" s="411">
        <f>SUMIFS('LAC 102_Wkst'!$AF$7:$AF$2010,'LAC 102_Wkst'!$D$7:$D$2010,$C$7,'LAC 102_Wkst'!$I$7:$I$2010,$C$9,'LAC 102_Wkst'!$E$7:$E$2010,$C78,'LAC 102_Wkst'!$G$7:$G$2010,$D78,'LAC 102_Wkst'!$L$7:$L$2010,"11",'LAC 102_Wkst'!$N$7:$N$2010,"P5")+SUMIFS('LAC 102_Wkst'!$AF$7:$AF$2010,'LAC 102_Wkst'!$D$7:$D$2010,$C$7,'LAC 102_Wkst'!$I$7:$I$2010,$C$9,'LAC 102_Wkst'!$E$7:$E$2010,$C78,'LAC 102_Wkst'!$G$7:$G$2010,$D78,'LAC 102_Wkst'!$L$7:$L$2010,"12",'LAC 102_Wkst'!$N$7:$N$2010,"P5")</f>
        <v>0</v>
      </c>
      <c r="BB78" s="410">
        <f>SUMIFS('LAC 102_Wkst'!$Q$7:$Q$2010,'LAC 102_Wkst'!$D$7:$D$2010,$C$7,'LAC 102_Wkst'!$I$7:$I$2010,$C$9,'LAC 102_Wkst'!$E$7:$E$2010,$C78,'LAC 102_Wkst'!$G$7:$G$2010,$D78,'LAC 102_Wkst'!$L$7:$L$2010,"13",'LAC 102_Wkst'!$N$7:$N$2010,"P1")+SUMIFS('LAC 102_Wkst'!$Q$7:$Q$2010,'LAC 102_Wkst'!$D$7:$D$2010,$C$7,'LAC 102_Wkst'!$I$7:$I$2010,$C$9,'LAC 102_Wkst'!$E$7:$E$2010,$C78,'LAC 102_Wkst'!$G$7:$G$2010,$D78,'LAC 102_Wkst'!$L$7:$L$2010,"13",'LAC 102_Wkst'!$N$7:$N$2010,"P2")+SUMIFS('LAC 102_Wkst'!$Q$7:$Q$2010,'LAC 102_Wkst'!$D$7:$D$2010,$C$7,'LAC 102_Wkst'!$I$7:$I$2010,$C$9,'LAC 102_Wkst'!$E$7:$E$2010,$C78,'LAC 102_Wkst'!$G$7:$G$2010,$D78,'LAC 102_Wkst'!$L$7:$L$2010,"13",'LAC 102_Wkst'!$N$7:$N$2010,"P3")+SUMIFS('LAC 102_Wkst'!$Q$7:$Q$2010,'LAC 102_Wkst'!$D$7:$D$2010,$C$7,'LAC 102_Wkst'!$I$7:$I$2010,$C$9,'LAC 102_Wkst'!$E$7:$E$2010,$C78,'LAC 102_Wkst'!$G$7:$G$2010,$D78,'LAC 102_Wkst'!$L$7:$L$2010,"13",'LAC 102_Wkst'!$N$7:$N$2010,"P4")</f>
        <v>0</v>
      </c>
      <c r="BC78" s="411">
        <f>SUMIFS('LAC 102_Wkst'!$AF$7:$AF$2010,'LAC 102_Wkst'!$D$7:$D$2010,$C$7,'LAC 102_Wkst'!$I$7:$I$2010,$C$9,'LAC 102_Wkst'!$E$7:$E$2010,$C78,'LAC 102_Wkst'!$G$7:$G$2010,$D78,'LAC 102_Wkst'!$L$7:$L$2010,"13",'LAC 102_Wkst'!$N$7:$N$2010,"P1")+SUMIFS('LAC 102_Wkst'!$AF$7:$AF$2010,'LAC 102_Wkst'!$D$7:$D$2010,$C$7,'LAC 102_Wkst'!$I$7:$I$2010,$C$9,'LAC 102_Wkst'!$E$7:$E$2010,$C78,'LAC 102_Wkst'!$G$7:$G$2010,$D78,'LAC 102_Wkst'!$L$7:$L$2010,"13",'LAC 102_Wkst'!$N$7:$N$2010,"P2")+SUMIFS('LAC 102_Wkst'!$AF$7:$AF$2010,'LAC 102_Wkst'!$D$7:$D$2010,$C$7,'LAC 102_Wkst'!$I$7:$I$2010,$C$9,'LAC 102_Wkst'!$E$7:$E$2010,$C78,'LAC 102_Wkst'!$G$7:$G$2010,$D78,'LAC 102_Wkst'!$L$7:$L$2010,"13",'LAC 102_Wkst'!$N$7:$N$2010,"P3")+SUMIFS('LAC 102_Wkst'!$AF$7:$AF$2010,'LAC 102_Wkst'!$D$7:$D$2010,$C$7,'LAC 102_Wkst'!$I$7:$I$2010,$C$9,'LAC 102_Wkst'!$E$7:$E$2010,$C78,'LAC 102_Wkst'!$G$7:$G$2010,$D78,'LAC 102_Wkst'!$L$7:$L$2010,"13",'LAC 102_Wkst'!$N$7:$N$2010,"P4")</f>
        <v>0</v>
      </c>
      <c r="BD78" s="410">
        <f>SUMIFS('LAC 102_Wkst'!$Q$7:$Q$2010,'LAC 102_Wkst'!$D$7:$D$2010,$C$7,'LAC 102_Wkst'!$I$7:$I$2010,$C$9,'LAC 102_Wkst'!$E$7:$E$2010,$C78,'LAC 102_Wkst'!$G$7:$G$2010,$D78,'LAC 102_Wkst'!$L$7:$L$2010,"13",'LAC 102_Wkst'!$N$7:$N$2010,"P5")</f>
        <v>0</v>
      </c>
      <c r="BE78" s="411">
        <f>SUMIFS('LAC 102_Wkst'!$AF$7:$AF$2010,'LAC 102_Wkst'!$D$7:$D$2010,$C$7,'LAC 102_Wkst'!$I$7:$I$2010,$C$9,'LAC 102_Wkst'!$E$7:$E$2010,$C78,'LAC 102_Wkst'!$G$7:$G$2010,$D78,'LAC 102_Wkst'!$L$7:$L$2010,"13",'LAC 102_Wkst'!$N$7:$N$2010,"P5")</f>
        <v>0</v>
      </c>
      <c r="BF78" s="407">
        <f t="shared" si="4"/>
        <v>0</v>
      </c>
      <c r="BG78" s="1654">
        <f>SUMIFS('LAC 102_Wkst'!$AF$7:$AF$2010,'LAC 102_Wkst'!$D$7:$D$2010,$C$7,'LAC 102_Wkst'!$I$7:$I$2010,$C$9,'LAC 102_Wkst'!$E$7:$E$2010,$C78,'LAC 102_Wkst'!$G$7:$G$2010,$D78,'LAC 102_Wkst'!$L$7:$L$2010,"14")</f>
        <v>0</v>
      </c>
    </row>
    <row r="79" spans="1:59" x14ac:dyDescent="0.2">
      <c r="A79" s="401">
        <v>57</v>
      </c>
      <c r="B79" s="1678" t="str">
        <f>IF(Schedule_B!B$76="","",Schedule_B!B$76)</f>
        <v/>
      </c>
      <c r="C79" s="1674" t="str">
        <f>IF(Schedule_B!C$76=""," ",Schedule_B!C$76)</f>
        <v xml:space="preserve"> </v>
      </c>
      <c r="D79" s="1675" t="str">
        <f>IF(Schedule_B!D$76=""," ",Schedule_B!D$76)</f>
        <v xml:space="preserve"> </v>
      </c>
      <c r="E79" s="1221">
        <f>SUMIFS('LAC 102_Wkst'!$Q$7:$Q$2010,'LAC 102_Wkst'!$D$7:$D$2010,$C$7,'LAC 102_Wkst'!$I$7:$I$2010,$C$9,'LAC 102_Wkst'!$E$7:$E$2010,$C79,'LAC 102_Wkst'!$G$7:$G$2010,$D79)</f>
        <v>0</v>
      </c>
      <c r="F79" s="408">
        <f>SUMIFS('LAC 102_Wkst'!$Q$7:$Q$2010,'LAC 102_Wkst'!$D$7:$D$2010,$C$7,'LAC 102_Wkst'!$I$7:$I$2010,$C$9,'LAC 102_Wkst'!$E$7:$E$2010,$C79,'LAC 102_Wkst'!$G$7:$G$2010,$D79,'LAC 102_Wkst'!$L$7:$L$2010,"01",'LAC 102_Wkst'!$N$7:$N$2010,"P1")+SUMIFS('LAC 102_Wkst'!$Q$7:$Q$2010,'LAC 102_Wkst'!$D$7:$D$2010,$C$7,'LAC 102_Wkst'!$I$7:$I$2010,$C$9,'LAC 102_Wkst'!$E$7:$E$2010,$C79,'LAC 102_Wkst'!$G$7:$G$2010,$D79,'LAC 102_Wkst'!$L$7:$L$2010,"01",'LAC 102_Wkst'!$N$7:$N$2010,"P2")+SUMIFS('LAC 102_Wkst'!$Q$7:$Q$2010,'LAC 102_Wkst'!$D$7:$D$2010,$C$7,'LAC 102_Wkst'!$I$7:$I$2010,$C$9,'LAC 102_Wkst'!$E$7:$E$2010,$C79,'LAC 102_Wkst'!$G$7:$G$2010,$D79,'LAC 102_Wkst'!$L$7:$L$2010,"01",'LAC 102_Wkst'!$N$7:$N$2010,"P3")+SUMIFS('LAC 102_Wkst'!$Q$7:$Q$2010,'LAC 102_Wkst'!$D$7:$D$2010,$C$7,'LAC 102_Wkst'!$I$7:$I$2010,$C$9,'LAC 102_Wkst'!$E$7:$E$2010,$C79,'LAC 102_Wkst'!$G$7:$G$2010,$D79,'LAC 102_Wkst'!$L$7:$L$2010,"02",'LAC 102_Wkst'!$N$7:$N$2010,"P1")+SUMIFS('LAC 102_Wkst'!$Q$7:$Q$2010,'LAC 102_Wkst'!$D$7:$D$2010,$C$7,'LAC 102_Wkst'!$I$7:$I$2010,$C$9,'LAC 102_Wkst'!$E$7:$E$2010,$C79,'LAC 102_Wkst'!$G$7:$G$2010,$D79,'LAC 102_Wkst'!$L$7:$L$2010,"02",'LAC 102_Wkst'!$N$7:$N$2010,"P2")+SUMIFS('LAC 102_Wkst'!$Q$7:$Q$2010,'LAC 102_Wkst'!$D$7:$D$2010,$C$7,'LAC 102_Wkst'!$I$7:$I$2010,$C$9,'LAC 102_Wkst'!$E$7:$E$2010,$C79,'LAC 102_Wkst'!$G$7:$G$2010,$D79,'LAC 102_Wkst'!$L$7:$L$2010,"02",'LAC 102_Wkst'!$N$7:$N$2010,"P3")</f>
        <v>0</v>
      </c>
      <c r="G79" s="409">
        <f>SUMIFS('LAC 102_Wkst'!$AF$7:$AF$2010,'LAC 102_Wkst'!$D$7:$D$2010,$C$7,'LAC 102_Wkst'!$I$7:$I$2010,$C$9,'LAC 102_Wkst'!$E$7:$E$2010,$C79,'LAC 102_Wkst'!$G$7:$G$2010,$D79,'LAC 102_Wkst'!$L$7:$L$2010,"01",'LAC 102_Wkst'!$N$7:$N$2010,"P1")+SUMIFS('LAC 102_Wkst'!$AF$7:$AF$2010,'LAC 102_Wkst'!$D$7:$D$2010,$C$7,'LAC 102_Wkst'!$I$7:$I$2010,$C$9,'LAC 102_Wkst'!$E$7:$E$2010,$C79,'LAC 102_Wkst'!$G$7:$G$2010,$D79,'LAC 102_Wkst'!$L$7:$L$2010,"01",'LAC 102_Wkst'!$N$7:$N$2010,"P2")+SUMIFS('LAC 102_Wkst'!$AF$7:$AF$2010,'LAC 102_Wkst'!$D$7:$D$2010,$C$7,'LAC 102_Wkst'!$I$7:$I$2010,$C$9,'LAC 102_Wkst'!$E$7:$E$2010,$C79,'LAC 102_Wkst'!$G$7:$G$2010,$D79,'LAC 102_Wkst'!$L$7:$L$2010,"01",'LAC 102_Wkst'!$N$7:$N$2010,"P3")+SUMIFS('LAC 102_Wkst'!$AF$7:$AF$2010,'LAC 102_Wkst'!$D$7:$D$2010,$C$7,'LAC 102_Wkst'!$I$7:$I$2010,$C$9,'LAC 102_Wkst'!$E$7:$E$2010,$C79,'LAC 102_Wkst'!$G$7:$G$2010,$D79,'LAC 102_Wkst'!$L$7:$L$2010,"02",'LAC 102_Wkst'!$N$7:$N$2010,"P1")+SUMIFS('LAC 102_Wkst'!$AF$7:$AF$2010,'LAC 102_Wkst'!$D$7:$D$2010,$C$7,'LAC 102_Wkst'!$I$7:$I$2010,$C$9,'LAC 102_Wkst'!$E$7:$E$2010,$C79,'LAC 102_Wkst'!$G$7:$G$2010,$D79,'LAC 102_Wkst'!$L$7:$L$2010,"02",'LAC 102_Wkst'!$N$7:$N$2010,"P2")+SUMIFS('LAC 102_Wkst'!$AF$7:$AF$2010,'LAC 102_Wkst'!$D$7:$D$2010,$C$7,'LAC 102_Wkst'!$I$7:$I$2010,$C$9,'LAC 102_Wkst'!$E$7:$E$2010,$C79,'LAC 102_Wkst'!$G$7:$G$2010,$D79,'LAC 102_Wkst'!$L$7:$L$2010,"02",'LAC 102_Wkst'!$N$7:$N$2010,"P3")</f>
        <v>0</v>
      </c>
      <c r="H79" s="410">
        <f>SUMIFS('LAC 102_Wkst'!$Q$7:$Q$2010,'LAC 102_Wkst'!$D$7:$D$2010,$C$7,'LAC 102_Wkst'!$I$7:$I$2010,$C$9,'LAC 102_Wkst'!$E$7:$E$2010,$C79,'LAC 102_Wkst'!$G$7:$G$2010,$D79,'LAC 102_Wkst'!$L$7:$L$2010,"01",'LAC 102_Wkst'!$N$7:$N$2010,"P4")+SUMIFS('LAC 102_Wkst'!$Q$7:$Q$2010,'LAC 102_Wkst'!$D$7:$D$2010,$C$7,'LAC 102_Wkst'!$I$7:$I$2010,$C$9,'LAC 102_Wkst'!$E$7:$E$2010,$C79,'LAC 102_Wkst'!$G$7:$G$2010,$D79,'LAC 102_Wkst'!$L$7:$L$2010,"02",'LAC 102_Wkst'!$N$7:$N$2010,"P4")</f>
        <v>0</v>
      </c>
      <c r="I79" s="411">
        <f>SUMIFS('LAC 102_Wkst'!$AF$7:$AF$2010,'LAC 102_Wkst'!$D$7:$D$2010,$C$7,'LAC 102_Wkst'!$I$7:$I$2010,$C$9,'LAC 102_Wkst'!$E$7:$E$2010,$C79,'LAC 102_Wkst'!$G$7:$G$2010,$D79,'LAC 102_Wkst'!$L$7:$L$2010,"01",'LAC 102_Wkst'!$N$7:$N$2010,"P4")+SUMIFS('LAC 102_Wkst'!$AF$7:$AF$2010,'LAC 102_Wkst'!$D$7:$D$2010,$C$7,'LAC 102_Wkst'!$I$7:$I$2010,$C$9,'LAC 102_Wkst'!$E$7:$E$2010,$C79,'LAC 102_Wkst'!$G$7:$G$2010,$D79,'LAC 102_Wkst'!$L$7:$L$2010,"02",'LAC 102_Wkst'!$N$7:$N$2010,"P4")</f>
        <v>0</v>
      </c>
      <c r="J79" s="410">
        <f>SUMIFS('LAC 102_Wkst'!$Q$7:$Q$2010,'LAC 102_Wkst'!$D$7:$D$2010,$C$7,'LAC 102_Wkst'!$I$7:$I$2010,$C$9,'LAC 102_Wkst'!$E$7:$E$2010,$C79,'LAC 102_Wkst'!$G$7:$G$2010,$D79,'LAC 102_Wkst'!$L$7:$L$2010,"01",'LAC 102_Wkst'!$N$7:$N$2010,"P5")+SUMIFS('LAC 102_Wkst'!$Q$7:$Q$2010,'LAC 102_Wkst'!$D$7:$D$2010,$C$7,'LAC 102_Wkst'!$I$7:$I$2010,$C$9,'LAC 102_Wkst'!$E$7:$E$2010,$C79,'LAC 102_Wkst'!$G$7:$G$2010,$D79,'LAC 102_Wkst'!$L$7:$L$2010,"02",'LAC 102_Wkst'!$N$7:$N$2010,"P5")</f>
        <v>0</v>
      </c>
      <c r="K79" s="411">
        <f>SUMIFS('LAC 102_Wkst'!$AF$7:$AF$2010,'LAC 102_Wkst'!$D$7:$D$2010,$C$7,'LAC 102_Wkst'!$I$7:$I$2010,$C$9,'LAC 102_Wkst'!$E$7:$E$2010,$C79,'LAC 102_Wkst'!$G$7:$G$2010,$D79,'LAC 102_Wkst'!$L$7:$L$2010,"01",'LAC 102_Wkst'!$N$7:$N$2010,"P5")+SUMIFS('LAC 102_Wkst'!$AF$7:$AF$2010,'LAC 102_Wkst'!$D$7:$D$2010,$C$7,'LAC 102_Wkst'!$I$7:$I$2010,$C$9,'LAC 102_Wkst'!$E$7:$E$2010,$C79,'LAC 102_Wkst'!$G$7:$G$2010,$D79,'LAC 102_Wkst'!$L$7:$L$2010,"02",'LAC 102_Wkst'!$N$7:$N$2010,"P5")</f>
        <v>0</v>
      </c>
      <c r="L79" s="410">
        <f>SUMIFS('LAC 102_Wkst'!$Q$7:$Q$2010,'LAC 102_Wkst'!$D$7:$D$2010,$C$7,'LAC 102_Wkst'!$I$7:$I$2010,$C$9,'LAC 102_Wkst'!$E$7:$E$2010,$C79,'LAC 102_Wkst'!$G$7:$G$2010,$D79,'LAC 102_Wkst'!$L$7:$L$2010,"03",'LAC 102_Wkst'!$N$7:$N$2010,"P1")+SUMIFS('LAC 102_Wkst'!$Q$7:$Q$2010,'LAC 102_Wkst'!$D$7:$D$2010,$C$7,'LAC 102_Wkst'!$I$7:$I$2010,$C$9,'LAC 102_Wkst'!$E$7:$E$2010,$C79,'LAC 102_Wkst'!$G$7:$G$2010,$D79,'LAC 102_Wkst'!$L$7:$L$2010,"03",'LAC 102_Wkst'!$N$7:$N$2010,"P2")+SUMIFS('LAC 102_Wkst'!$Q$7:$Q$2010,'LAC 102_Wkst'!$D$7:$D$2010,$C$7,'LAC 102_Wkst'!$I$7:$I$2010,$C$9,'LAC 102_Wkst'!$E$7:$E$2010,$C79,'LAC 102_Wkst'!$G$7:$G$2010,$D79,'LAC 102_Wkst'!$L$7:$L$2010,"03",'LAC 102_Wkst'!$N$7:$N$2010,"P3")+SUMIFS('LAC 102_Wkst'!$Q$7:$Q$2010,'LAC 102_Wkst'!$D$7:$D$2010,$C$7,'LAC 102_Wkst'!$I$7:$I$2010,$C$9,'LAC 102_Wkst'!$E$7:$E$2010,$C79,'LAC 102_Wkst'!$G$7:$G$2010,$D79,'LAC 102_Wkst'!$L$7:$L$2010,"04",'LAC 102_Wkst'!$N$7:$N$2010,"P1")+SUMIFS('LAC 102_Wkst'!$Q$7:$Q$2010,'LAC 102_Wkst'!$D$7:$D$2010,$C$7,'LAC 102_Wkst'!$I$7:$I$2010,$C$9,'LAC 102_Wkst'!$E$7:$E$2010,$C79,'LAC 102_Wkst'!$G$7:$G$2010,$D79,'LAC 102_Wkst'!$L$7:$L$2010,"04",'LAC 102_Wkst'!$N$7:$N$2010,"P2")+SUMIFS('LAC 102_Wkst'!$Q$7:$Q$2010,'LAC 102_Wkst'!$D$7:$D$2010,$C$7,'LAC 102_Wkst'!$I$7:$I$2010,$C$9,'LAC 102_Wkst'!$E$7:$E$2010,$C79,'LAC 102_Wkst'!$G$7:$G$2010,$D79,'LAC 102_Wkst'!$L$7:$L$2010,"04",'LAC 102_Wkst'!$N$7:$N$2010,"P3")</f>
        <v>0</v>
      </c>
      <c r="M79" s="411">
        <f>SUMIFS('LAC 102_Wkst'!$AF$7:$AF$2010,'LAC 102_Wkst'!$D$7:$D$2010,$C$7,'LAC 102_Wkst'!$I$7:$I$2010,$C$9,'LAC 102_Wkst'!$E$7:$E$2010,$C79,'LAC 102_Wkst'!$G$7:$G$2010,$D79,'LAC 102_Wkst'!$L$7:$L$2010,"03",'LAC 102_Wkst'!$N$7:$N$2010,"P1")+SUMIFS('LAC 102_Wkst'!$AF$7:$AF$2010,'LAC 102_Wkst'!$D$7:$D$2010,$C$7,'LAC 102_Wkst'!$I$7:$I$2010,$C$9,'LAC 102_Wkst'!$E$7:$E$2010,$C79,'LAC 102_Wkst'!$G$7:$G$2010,$D79,'LAC 102_Wkst'!$L$7:$L$2010,"03",'LAC 102_Wkst'!$N$7:$N$2010,"P2")+SUMIFS('LAC 102_Wkst'!$AF$7:$AF$2010,'LAC 102_Wkst'!$D$7:$D$2010,$C$7,'LAC 102_Wkst'!$I$7:$I$2010,$C$9,'LAC 102_Wkst'!$E$7:$E$2010,$C79,'LAC 102_Wkst'!$G$7:$G$2010,$D79,'LAC 102_Wkst'!$L$7:$L$2010,"03",'LAC 102_Wkst'!$N$7:$N$2010,"P3")+SUMIFS('LAC 102_Wkst'!$AF$7:$AF$2010,'LAC 102_Wkst'!$D$7:$D$2010,$C$7,'LAC 102_Wkst'!$I$7:$I$2010,$C$9,'LAC 102_Wkst'!$E$7:$E$2010,$C79,'LAC 102_Wkst'!$G$7:$G$2010,$D79,'LAC 102_Wkst'!$L$7:$L$2010,"04",'LAC 102_Wkst'!$N$7:$N$2010,"P1")+SUMIFS('LAC 102_Wkst'!$AF$7:$AF$2010,'LAC 102_Wkst'!$D$7:$D$2010,$C$7,'LAC 102_Wkst'!$I$7:$I$2010,$C$9,'LAC 102_Wkst'!$E$7:$E$2010,$C79,'LAC 102_Wkst'!$G$7:$G$2010,$D79,'LAC 102_Wkst'!$L$7:$L$2010,"04",'LAC 102_Wkst'!$N$7:$N$2010,"P2")+SUMIFS('LAC 102_Wkst'!$AF$7:$AF$2010,'LAC 102_Wkst'!$D$7:$D$2010,$C$7,'LAC 102_Wkst'!$I$7:$I$2010,$C$9,'LAC 102_Wkst'!$E$7:$E$2010,$C79,'LAC 102_Wkst'!$G$7:$G$2010,$D79,'LAC 102_Wkst'!$L$7:$L$2010,"04",'LAC 102_Wkst'!$N$7:$N$2010,"P3")</f>
        <v>0</v>
      </c>
      <c r="N79" s="410">
        <f>SUMIFS('LAC 102_Wkst'!$Q$7:$Q$2010,'LAC 102_Wkst'!$D$7:$D$2010,$C$7,'LAC 102_Wkst'!$I$7:$I$2010,$C$9,'LAC 102_Wkst'!$E$7:$E$2010,$C79,'LAC 102_Wkst'!$G$7:$G$2010,$D79,'LAC 102_Wkst'!$L$7:$L$2010,"03",'LAC 102_Wkst'!$N$7:$N$2010,"P4")+SUMIFS('LAC 102_Wkst'!$Q$7:$Q$2010,'LAC 102_Wkst'!$D$7:$D$2010,$C$7,'LAC 102_Wkst'!$I$7:$I$2010,$C$9,'LAC 102_Wkst'!$E$7:$E$2010,$C79,'LAC 102_Wkst'!$G$7:$G$2010,$D79,'LAC 102_Wkst'!$L$7:$L$2010,"04",'LAC 102_Wkst'!$N$7:$N$2010,"P4")</f>
        <v>0</v>
      </c>
      <c r="O79" s="411">
        <f>SUMIFS('LAC 102_Wkst'!$AF$7:$AF$2010,'LAC 102_Wkst'!$D$7:$D$2010,$C$7,'LAC 102_Wkst'!$I$7:$I$2010,$C$9,'LAC 102_Wkst'!$E$7:$E$2010,$C79,'LAC 102_Wkst'!$G$7:$G$2010,$D79,'LAC 102_Wkst'!$L$7:$L$2010,"03",'LAC 102_Wkst'!$N$7:$N$2010,"P4")+SUMIFS('LAC 102_Wkst'!$AF$7:$AF$2010,'LAC 102_Wkst'!$D$7:$D$2010,$C$7,'LAC 102_Wkst'!$I$7:$I$2010,$C$9,'LAC 102_Wkst'!$E$7:$E$2010,$C79,'LAC 102_Wkst'!$G$7:$G$2010,$D79,'LAC 102_Wkst'!$L$7:$L$2010,"04",'LAC 102_Wkst'!$N$7:$N$2010,"P4")</f>
        <v>0</v>
      </c>
      <c r="P79" s="410">
        <f>SUMIFS('LAC 102_Wkst'!$Q$7:$Q$2010,'LAC 102_Wkst'!$D$7:$D$2010,$C$7,'LAC 102_Wkst'!$I$7:$I$2010,$C$9,'LAC 102_Wkst'!$E$7:$E$2010,$C79,'LAC 102_Wkst'!$G$7:$G$2010,$D79,'LAC 102_Wkst'!$L$7:$L$2010,"03",'LAC 102_Wkst'!$N$7:$N$2010,"P5")+SUMIFS('LAC 102_Wkst'!$Q$7:$Q$2010,'LAC 102_Wkst'!$D$7:$D$2010,$C$7,'LAC 102_Wkst'!$I$7:$I$2010,$C$9,'LAC 102_Wkst'!$E$7:$E$2010,$C79,'LAC 102_Wkst'!$G$7:$G$2010,$D79,'LAC 102_Wkst'!$L$7:$L$2010,"04",'LAC 102_Wkst'!$N$7:$N$2010,"P5")</f>
        <v>0</v>
      </c>
      <c r="Q79" s="411">
        <f>SUMIFS('LAC 102_Wkst'!$AF$7:$AF$2010,'LAC 102_Wkst'!$D$7:$D$2010,$C$7,'LAC 102_Wkst'!$I$7:$I$2010,$C$9,'LAC 102_Wkst'!$E$7:$E$2010,$C79,'LAC 102_Wkst'!$G$7:$G$2010,$D79,'LAC 102_Wkst'!$L$7:$L$2010,"03",'LAC 102_Wkst'!$N$7:$N$2010,"P5")+SUMIFS('LAC 102_Wkst'!$AF$7:$AF$2010,'LAC 102_Wkst'!$D$7:$D$2010,$C$7,'LAC 102_Wkst'!$I$7:$I$2010,$C$9,'LAC 102_Wkst'!$E$7:$E$2010,$C79,'LAC 102_Wkst'!$G$7:$G$2010,$D79,'LAC 102_Wkst'!$L$7:$L$2010,"04",'LAC 102_Wkst'!$N$7:$N$2010,"P5")</f>
        <v>0</v>
      </c>
      <c r="R79" s="412">
        <f>SUMIFS('LAC 102_Wkst'!$Q$7:$Q$2010,'LAC 102_Wkst'!$D$7:$D$2010,$C$7,'LAC 102_Wkst'!$I$7:$I$2010,$C$9,'LAC 102_Wkst'!$E$7:$E$2010,$C79,'LAC 102_Wkst'!$G$7:$G$2010,$D79,'LAC 102_Wkst'!$L$7:$L$2010,"05",'LAC 102_Wkst'!$N$7:$N$2010,"P1")+SUMIFS('LAC 102_Wkst'!$Q$7:$Q$2010,'LAC 102_Wkst'!$D$7:$D$2010,$C$7,'LAC 102_Wkst'!$I$7:$I$2010,$C$9,'LAC 102_Wkst'!$E$7:$E$2010,$C79,'LAC 102_Wkst'!$G$7:$G$2010,$D79,'LAC 102_Wkst'!$L$7:$L$2010,"06",'LAC 102_Wkst'!$N$7:$N$2010,"P1")</f>
        <v>0</v>
      </c>
      <c r="S79" s="411">
        <f>SUMIFS('LAC 102_Wkst'!$AF$7:$AF$2010,'LAC 102_Wkst'!$D$7:$D$2010,$C$7,'LAC 102_Wkst'!$I$7:$I$2010,$C$9,'LAC 102_Wkst'!$E$7:$E$2010,$C79,'LAC 102_Wkst'!$G$7:$G$2010,$D79,'LAC 102_Wkst'!$L$7:$L$2010,"05",'LAC 102_Wkst'!$N$7:$N$2010,"P1")+SUMIFS('LAC 102_Wkst'!$AF$7:$AF$2010,'LAC 102_Wkst'!$D$7:$D$2010,$C$7,'LAC 102_Wkst'!$I$7:$I$2010,$C$9,'LAC 102_Wkst'!$E$7:$E$2010,$C79,'LAC 102_Wkst'!$G$7:$G$2010,$D79,'LAC 102_Wkst'!$L$7:$L$2010,"06",'LAC 102_Wkst'!$N$7:$N$2010,"P1")</f>
        <v>0</v>
      </c>
      <c r="T79" s="410">
        <f>SUMIFS('LAC 102_Wkst'!$Q$7:$Q$2010,'LAC 102_Wkst'!$D$7:$D$2010,$C$7,'LAC 102_Wkst'!$I$7:$I$2010,$C$9,'LAC 102_Wkst'!$E$7:$E$2010,$C79,'LAC 102_Wkst'!$G$7:$G$2010,$D79,'LAC 102_Wkst'!$L$7:$L$2010,"05",'LAC 102_Wkst'!$N$7:$N$2010,"P2")+SUMIFS('LAC 102_Wkst'!$Q$7:$Q$2010,'LAC 102_Wkst'!$D$7:$D$2010,$C$7,'LAC 102_Wkst'!$I$7:$I$2010,$C$9,'LAC 102_Wkst'!$E$7:$E$2010,$C79,'LAC 102_Wkst'!$G$7:$G$2010,$D79,'LAC 102_Wkst'!$L$7:$L$2010,"06",'LAC 102_Wkst'!$N$7:$N$2010,"P2")+SUMIFS('LAC 102_Wkst'!$Q$7:$Q$2010,'LAC 102_Wkst'!$D$7:$D$2010,$C$7,'LAC 102_Wkst'!$I$7:$I$2010,$C$9,'LAC 102_Wkst'!$E$7:$E$2010,$C79,'LAC 102_Wkst'!$G$7:$G$2010,$D79,'LAC 102_Wkst'!$L$7:$L$2010,"05",'LAC 102_Wkst'!$N$7:$N$2010,"P3")+SUMIFS('LAC 102_Wkst'!$Q$7:$Q$2010,'LAC 102_Wkst'!$D$7:$D$2010,$C$7,'LAC 102_Wkst'!$I$7:$I$2010,$C$9,'LAC 102_Wkst'!$E$7:$E$2010,$C79,'LAC 102_Wkst'!$G$7:$G$2010,$D79,'LAC 102_Wkst'!$L$7:$L$2010,"06",'LAC 102_Wkst'!$N$7:$N$2010,"P3")</f>
        <v>0</v>
      </c>
      <c r="U79" s="411">
        <f>SUMIFS('LAC 102_Wkst'!$AF$7:$AF$2010,'LAC 102_Wkst'!$D$7:$D$2010,$C$7,'LAC 102_Wkst'!$I$7:$I$2010,$C$9,'LAC 102_Wkst'!$E$7:$E$2010,$C79,'LAC 102_Wkst'!$G$7:$G$2010,$D79,'LAC 102_Wkst'!$L$7:$L$2010,"05",'LAC 102_Wkst'!$N$7:$N$2010,"P2")+SUMIFS('LAC 102_Wkst'!$AF$7:$AF$2010,'LAC 102_Wkst'!$D$7:$D$2010,$C$7,'LAC 102_Wkst'!$I$7:$I$2010,$C$9,'LAC 102_Wkst'!$E$7:$E$2010,$C79,'LAC 102_Wkst'!$G$7:$G$2010,$D79,'LAC 102_Wkst'!$L$7:$L$2010,"06",'LAC 102_Wkst'!$N$7:$N$2010,"P2")+SUMIFS('LAC 102_Wkst'!$AF$7:$AF$2010,'LAC 102_Wkst'!$D$7:$D$2010,$C$7,'LAC 102_Wkst'!$I$7:$I$2010,$C$9,'LAC 102_Wkst'!$E$7:$E$2010,$C79,'LAC 102_Wkst'!$G$7:$G$2010,$D79,'LAC 102_Wkst'!$L$7:$L$2010,"05",'LAC 102_Wkst'!$N$7:$N$2010,"P3")+SUMIFS('LAC 102_Wkst'!$AF$7:$AF$2010,'LAC 102_Wkst'!$D$7:$D$2010,$C$7,'LAC 102_Wkst'!$I$7:$I$2010,$C$9,'LAC 102_Wkst'!$E$7:$E$2010,$C79,'LAC 102_Wkst'!$G$7:$G$2010,$D79,'LAC 102_Wkst'!$L$7:$L$2010,"06",'LAC 102_Wkst'!$N$7:$N$2010,"P3")</f>
        <v>0</v>
      </c>
      <c r="V79" s="410">
        <f>SUMIFS('LAC 102_Wkst'!$Q$7:$Q$2010,'LAC 102_Wkst'!$D$7:$D$2010,$C$7,'LAC 102_Wkst'!$I$7:$I$2010,$C$9,'LAC 102_Wkst'!$E$7:$E$2010,$C79,'LAC 102_Wkst'!$G$7:$G$2010,$D79,'LAC 102_Wkst'!$L$7:$L$2010,"05",'LAC 102_Wkst'!$N$7:$N$2010,"P4")+SUMIFS('LAC 102_Wkst'!$Q$7:$Q$2010,'LAC 102_Wkst'!$D$7:$D$2010,$C$7,'LAC 102_Wkst'!$I$7:$I$2010,$C$9,'LAC 102_Wkst'!$E$7:$E$2010,$C79,'LAC 102_Wkst'!$G$7:$G$2010,$D79,'LAC 102_Wkst'!$L$7:$L$2010,"06",'LAC 102_Wkst'!$N$7:$N$2010,"P4")</f>
        <v>0</v>
      </c>
      <c r="W79" s="411">
        <f>SUMIFS('LAC 102_Wkst'!$AF$7:$AF$2010,'LAC 102_Wkst'!$D$7:$D$2010,$C$7,'LAC 102_Wkst'!$I$7:$I$2010,$C$9,'LAC 102_Wkst'!$E$7:$E$2010,$C79,'LAC 102_Wkst'!$G$7:$G$2010,$D79,'LAC 102_Wkst'!$L$7:$L$2010,"05",'LAC 102_Wkst'!$N$7:$N$2010,"P4")+SUMIFS('LAC 102_Wkst'!$AF$7:$AF$2010,'LAC 102_Wkst'!$D$7:$D$2010,$C$7,'LAC 102_Wkst'!$I$7:$I$2010,$C$9,'LAC 102_Wkst'!$E$7:$E$2010,$C79,'LAC 102_Wkst'!$G$7:$G$2010,$D79,'LAC 102_Wkst'!$L$7:$L$2010,"06",'LAC 102_Wkst'!$N$7:$N$2010,"P4")</f>
        <v>0</v>
      </c>
      <c r="X79" s="410">
        <f>SUMIFS('LAC 102_Wkst'!$Q$7:$Q$2010,'LAC 102_Wkst'!$D$7:$D$2010,$C$7,'LAC 102_Wkst'!$I$7:$I$2010,$C$9,'LAC 102_Wkst'!$E$7:$E$2010,$C79,'LAC 102_Wkst'!$G$7:$G$2010,$D79,'LAC 102_Wkst'!$L$7:$L$2010,"05",'LAC 102_Wkst'!$N$7:$N$2010,"P5")+SUMIFS('LAC 102_Wkst'!$Q$7:$Q$2010,'LAC 102_Wkst'!$D$7:$D$2010,$C$7,'LAC 102_Wkst'!$I$7:$I$2010,$C$9,'LAC 102_Wkst'!$E$7:$E$2010,$C79,'LAC 102_Wkst'!$G$7:$G$2010,$D79,'LAC 102_Wkst'!$L$7:$L$2010,"06",'LAC 102_Wkst'!$N$7:$N$2010,"P5")</f>
        <v>0</v>
      </c>
      <c r="Y79" s="411">
        <f>SUMIFS('LAC 102_Wkst'!$AF$7:$AF$2010,'LAC 102_Wkst'!$D$7:$D$2010,$C$7,'LAC 102_Wkst'!$I$7:$I$2010,$C$9,'LAC 102_Wkst'!$E$7:$E$2010,$C79,'LAC 102_Wkst'!$G$7:$G$2010,$D79,'LAC 102_Wkst'!$L$7:$L$2010,"05",'LAC 102_Wkst'!$N$7:$N$2010,"P5")+SUMIFS('LAC 102_Wkst'!$AF$7:$AF$2010,'LAC 102_Wkst'!$D$7:$D$2010,$C$7,'LAC 102_Wkst'!$I$7:$I$2010,$C$9,'LAC 102_Wkst'!$E$7:$E$2010,$C79,'LAC 102_Wkst'!$G$7:$G$2010,$D79,'LAC 102_Wkst'!$L$7:$L$2010,"06",'LAC 102_Wkst'!$N$7:$N$2010,"P5")</f>
        <v>0</v>
      </c>
      <c r="Z79" s="410">
        <f>SUMIFS('LAC 102_Wkst'!$Q$7:$Q$2010,'LAC 102_Wkst'!$D$7:$D$2010,$C$7,'LAC 102_Wkst'!$I$7:$I$2010,$C$9,'LAC 102_Wkst'!$E$7:$E$2010,$C79,'LAC 102_Wkst'!$G$7:$G$2010,$D79,'LAC 102_Wkst'!$L$7:$L$2010,"07",'LAC 102_Wkst'!$N$7:$N$2010,"P1")+SUMIFS('LAC 102_Wkst'!$Q$7:$Q$2010,'LAC 102_Wkst'!$D$7:$D$2010,$C$7,'LAC 102_Wkst'!$I$7:$I$2010,$C$9,'LAC 102_Wkst'!$E$7:$E$2010,$C79,'LAC 102_Wkst'!$G$7:$G$2010,$D79,'LAC 102_Wkst'!$L$7:$L$2010,"07",'LAC 102_Wkst'!$N$7:$N$2010,"P2")+SUMIFS('LAC 102_Wkst'!$Q$7:$Q$2010,'LAC 102_Wkst'!$D$7:$D$2010,$C$7,'LAC 102_Wkst'!$I$7:$I$2010,$C$9,'LAC 102_Wkst'!$E$7:$E$2010,$C79,'LAC 102_Wkst'!$G$7:$G$2010,$D79,'LAC 102_Wkst'!$L$7:$L$2010,"07",'LAC 102_Wkst'!$N$7:$N$2010,"P3")</f>
        <v>0</v>
      </c>
      <c r="AA79" s="411">
        <f>SUMIFS('LAC 102_Wkst'!$AF$7:$AF$2010,'LAC 102_Wkst'!$D$7:$D$2010,$C$7,'LAC 102_Wkst'!$I$7:$I$2010,$C$9,'LAC 102_Wkst'!$E$7:$E$2010,$C79,'LAC 102_Wkst'!$G$7:$G$2010,$D79,'LAC 102_Wkst'!$L$7:$L$2010,"07",'LAC 102_Wkst'!$N$7:$N$2010,"P1")+SUMIFS('LAC 102_Wkst'!$AF$7:$AF$2010,'LAC 102_Wkst'!$D$7:$D$2010,$C$7,'LAC 102_Wkst'!$I$7:$I$2010,$C$9,'LAC 102_Wkst'!$E$7:$E$2010,$C79,'LAC 102_Wkst'!$G$7:$G$2010,$D79,'LAC 102_Wkst'!$L$7:$L$2010,"07",'LAC 102_Wkst'!$N$7:$N$2010,"P2")+SUMIFS('LAC 102_Wkst'!$AF$7:$AF$2010,'LAC 102_Wkst'!$D$7:$D$2010,$C$7,'LAC 102_Wkst'!$I$7:$I$2010,$C$9,'LAC 102_Wkst'!$E$7:$E$2010,$C79,'LAC 102_Wkst'!$G$7:$G$2010,$D79,'LAC 102_Wkst'!$L$7:$L$2010,"07",'LAC 102_Wkst'!$N$7:$N$2010,"P3")</f>
        <v>0</v>
      </c>
      <c r="AB79" s="410">
        <f>SUMIFS('LAC 102_Wkst'!$Q$7:$Q$2010,'LAC 102_Wkst'!$D$7:$D$2010,$C$7,'LAC 102_Wkst'!$I$7:$I$2010,$C$9,'LAC 102_Wkst'!$E$7:$E$2010,$C79,'LAC 102_Wkst'!$G$7:$G$2010,$D79,'LAC 102_Wkst'!$L$7:$L$2010,"07",'LAC 102_Wkst'!$N$7:$N$2010,"P4")</f>
        <v>0</v>
      </c>
      <c r="AC79" s="411">
        <f>SUMIFS('LAC 102_Wkst'!$AF$7:$AF$2010,'LAC 102_Wkst'!$D$7:$D$2010,$C$7,'LAC 102_Wkst'!$I$7:$I$2010,$C$9,'LAC 102_Wkst'!$E$7:$E$2010,$C79,'LAC 102_Wkst'!$G$7:$G$2010,$D79,'LAC 102_Wkst'!$L$7:$L$2010,"07",'LAC 102_Wkst'!$N$7:$N$2010,"P4")</f>
        <v>0</v>
      </c>
      <c r="AD79" s="410">
        <f>SUMIFS('LAC 102_Wkst'!$Q$7:$Q$2010,'LAC 102_Wkst'!$D$7:$D$2010,$C$7,'LAC 102_Wkst'!$I$7:$I$2010,$C$9,'LAC 102_Wkst'!$E$7:$E$2010,$C79,'LAC 102_Wkst'!$G$7:$G$2010,$D79,'LAC 102_Wkst'!$L$7:$L$2010,"07",'LAC 102_Wkst'!$N$7:$N$2010,"P5")</f>
        <v>0</v>
      </c>
      <c r="AE79" s="411">
        <f>SUMIFS('LAC 102_Wkst'!$AF$7:$AF$2010,'LAC 102_Wkst'!$D$7:$D$2010,$C$7,'LAC 102_Wkst'!$I$7:$I$2010,$C$9,'LAC 102_Wkst'!$E$7:$E$2010,$C79,'LAC 102_Wkst'!$G$7:$G$2010,$D79,'LAC 102_Wkst'!$L$7:$L$2010,"07",'LAC 102_Wkst'!$N$7:$N$2010,"P5")</f>
        <v>0</v>
      </c>
      <c r="AF79" s="410">
        <f>SUMIFS('LAC 102_Wkst'!$Q$7:$Q$2010,'LAC 102_Wkst'!$D$7:$D$2010,$C$7,'LAC 102_Wkst'!$I$7:$I$2010,$C$9,'LAC 102_Wkst'!$E$7:$E$2010,$C79,'LAC 102_Wkst'!$G$7:$G$2010,$D79,'LAC 102_Wkst'!$L$7:$L$2010,"08",'LAC 102_Wkst'!$N$7:$N$2010,"P1")+SUMIFS('LAC 102_Wkst'!$Q$7:$Q$2010,'LAC 102_Wkst'!$D$7:$D$2010,$C$7,'LAC 102_Wkst'!$I$7:$I$2010,$C$9,'LAC 102_Wkst'!$E$7:$E$2010,$C79,'LAC 102_Wkst'!$G$7:$G$2010,$D79,'LAC 102_Wkst'!$L$7:$L$2010,"08",'LAC 102_Wkst'!$N$7:$N$2010,"P2")+SUMIFS('LAC 102_Wkst'!$Q$7:$Q$2010,'LAC 102_Wkst'!$D$7:$D$2010,$C$7,'LAC 102_Wkst'!$I$7:$I$2010,$C$9,'LAC 102_Wkst'!$E$7:$E$2010,$C79,'LAC 102_Wkst'!$G$7:$G$2010,$D79,'LAC 102_Wkst'!$L$7:$L$2010,"08",'LAC 102_Wkst'!$N$7:$N$2010,"P3")</f>
        <v>0</v>
      </c>
      <c r="AG79" s="411">
        <f>SUMIFS('LAC 102_Wkst'!$AF$7:$AF$2010,'LAC 102_Wkst'!$D$7:$D$2010,$C$7,'LAC 102_Wkst'!$I$7:$I$2010,$C$9,'LAC 102_Wkst'!$E$7:$E$2010,$C79,'LAC 102_Wkst'!$G$7:$G$2010,$D79,'LAC 102_Wkst'!$L$7:$L$2010,"08",'LAC 102_Wkst'!$N$7:$N$2010,"P1")+SUMIFS('LAC 102_Wkst'!$AF$7:$AF$2010,'LAC 102_Wkst'!$D$7:$D$2010,$C$7,'LAC 102_Wkst'!$I$7:$I$2010,$C$9,'LAC 102_Wkst'!$E$7:$E$2010,$C79,'LAC 102_Wkst'!$G$7:$G$2010,$D79,'LAC 102_Wkst'!$L$7:$L$2010,"08",'LAC 102_Wkst'!$N$7:$N$2010,"P2")+SUMIFS('LAC 102_Wkst'!$AF$7:$AF$2010,'LAC 102_Wkst'!$D$7:$D$2010,$C$7,'LAC 102_Wkst'!$I$7:$I$2010,$C$9,'LAC 102_Wkst'!$E$7:$E$2010,$C79,'LAC 102_Wkst'!$G$7:$G$2010,$D79,'LAC 102_Wkst'!$L$7:$L$2010,"08",'LAC 102_Wkst'!$N$7:$N$2010,"P3")</f>
        <v>0</v>
      </c>
      <c r="AH79" s="410">
        <f>SUMIFS('LAC 102_Wkst'!$Q$7:$Q$2010,'LAC 102_Wkst'!$D$7:$D$2010,$C$7,'LAC 102_Wkst'!$I$7:$I$2010,$C$9,'LAC 102_Wkst'!$E$7:$E$2010,$C79,'LAC 102_Wkst'!$G$7:$G$2010,$D79,'LAC 102_Wkst'!$L$7:$L$2010,"08",'LAC 102_Wkst'!$N$7:$N$2010,"P4")</f>
        <v>0</v>
      </c>
      <c r="AI79" s="411">
        <f>SUMIFS('LAC 102_Wkst'!$AF$7:$AF$2010,'LAC 102_Wkst'!$D$7:$D$2010,$C$7,'LAC 102_Wkst'!$I$7:$I$2010,$C$9,'LAC 102_Wkst'!$E$7:$E$2010,$C79,'LAC 102_Wkst'!$G$7:$G$2010,$D79,'LAC 102_Wkst'!$L$7:$L$2010,"08",'LAC 102_Wkst'!$N$7:$N$2010,"P4")</f>
        <v>0</v>
      </c>
      <c r="AJ79" s="410">
        <f>SUMIFS('LAC 102_Wkst'!$Q$7:$Q$2010,'LAC 102_Wkst'!$D$7:$D$2010,$C$7,'LAC 102_Wkst'!$I$7:$I$2010,$C$9,'LAC 102_Wkst'!$E$7:$E$2010,$C79,'LAC 102_Wkst'!$G$7:$G$2010,$D79,'LAC 102_Wkst'!$L$7:$L$2010,"08",'LAC 102_Wkst'!$N$7:$N$2010,"P5")</f>
        <v>0</v>
      </c>
      <c r="AK79" s="411">
        <f>SUMIFS('LAC 102_Wkst'!$AF$7:$AF$2010,'LAC 102_Wkst'!$D$7:$D$2010,$C$7,'LAC 102_Wkst'!$I$7:$I$2010,$C$9,'LAC 102_Wkst'!$E$7:$E$2010,$C79,'LAC 102_Wkst'!$G$7:$G$2010,$D79,'LAC 102_Wkst'!$L$7:$L$2010,"08",'LAC 102_Wkst'!$N$7:$N$2010,"P5")</f>
        <v>0</v>
      </c>
      <c r="AL79" s="410">
        <f>SUMIFS('LAC 102_Wkst'!$Q$7:$Q$2010,'LAC 102_Wkst'!$D$7:$D$2010,$C$7,'LAC 102_Wkst'!$I$7:$I$2010,$C$9,'LAC 102_Wkst'!$E$7:$E$2010,$C79,'LAC 102_Wkst'!$G$7:$G$2010,$D79,'LAC 102_Wkst'!$L$7:$L$2010,"09",'LAC 102_Wkst'!$N$7:$N$2010,"P1")+SUMIFS('LAC 102_Wkst'!$Q$7:$Q$2010,'LAC 102_Wkst'!$D$7:$D$2010,$C$7,'LAC 102_Wkst'!$I$7:$I$2010,$C$9,'LAC 102_Wkst'!$E$7:$E$2010,$C79,'LAC 102_Wkst'!$G$7:$G$2010,$D79,'LAC 102_Wkst'!$L$7:$L$2010,"09",'LAC 102_Wkst'!$N$7:$N$2010,"P2")+SUMIFS('LAC 102_Wkst'!$Q$7:$Q$2010,'LAC 102_Wkst'!$D$7:$D$2010,$C$7,'LAC 102_Wkst'!$I$7:$I$2010,$C$9,'LAC 102_Wkst'!$E$7:$E$2010,$C79,'LAC 102_Wkst'!$G$7:$G$2010,$D79,'LAC 102_Wkst'!$L$7:$L$2010,"09",'LAC 102_Wkst'!$N$7:$N$2010,"P3")+SUMIFS('LAC 102_Wkst'!$Q$7:$Q$2010,'LAC 102_Wkst'!$D$7:$D$2010,$C$7,'LAC 102_Wkst'!$I$7:$I$2010,$C$9,'LAC 102_Wkst'!$E$7:$E$2010,$C79,'LAC 102_Wkst'!$G$7:$G$2010,$D79,'LAC 102_Wkst'!$L$7:$L$2010,"09",'LAC 102_Wkst'!$N$7:$N$2010,"P4")</f>
        <v>0</v>
      </c>
      <c r="AM79" s="411">
        <f>SUMIFS('LAC 102_Wkst'!$AF$7:$AF$2010,'LAC 102_Wkst'!$D$7:$D$2010,$C$7,'LAC 102_Wkst'!$I$7:$I$2010,$C$9,'LAC 102_Wkst'!$E$7:$E$2010,$C79,'LAC 102_Wkst'!$G$7:$G$2010,$D79,'LAC 102_Wkst'!$L$7:$L$2010,"09",'LAC 102_Wkst'!$N$7:$N$2010,"P1")+SUMIFS('LAC 102_Wkst'!$AF$7:$AF$2010,'LAC 102_Wkst'!$D$7:$D$2010,$C$7,'LAC 102_Wkst'!$I$7:$I$2010,$C$9,'LAC 102_Wkst'!$E$7:$E$2010,$C79,'LAC 102_Wkst'!$G$7:$G$2010,$D79,'LAC 102_Wkst'!$L$7:$L$2010,"09",'LAC 102_Wkst'!$N$7:$N$2010,"P2")+SUMIFS('LAC 102_Wkst'!$AF$7:$AF$2010,'LAC 102_Wkst'!$D$7:$D$2010,$C$7,'LAC 102_Wkst'!$I$7:$I$2010,$C$9,'LAC 102_Wkst'!$E$7:$E$2010,$C79,'LAC 102_Wkst'!$G$7:$G$2010,$D79,'LAC 102_Wkst'!$L$7:$L$2010,"09",'LAC 102_Wkst'!$N$7:$N$2010,"P3")+SUMIFS('LAC 102_Wkst'!$AF$7:$AF$2010,'LAC 102_Wkst'!$D$7:$D$2010,$C$7,'LAC 102_Wkst'!$I$7:$I$2010,$C$9,'LAC 102_Wkst'!$E$7:$E$2010,$C79,'LAC 102_Wkst'!$G$7:$G$2010,$D79,'LAC 102_Wkst'!$L$7:$L$2010,"09",'LAC 102_Wkst'!$N$7:$N$2010,"P4")</f>
        <v>0</v>
      </c>
      <c r="AN79" s="410">
        <f>SUMIFS('LAC 102_Wkst'!$Q$7:$Q$2010,'LAC 102_Wkst'!$D$7:$D$2010,$C$7,'LAC 102_Wkst'!$I$7:$I$2010,$C$9,'LAC 102_Wkst'!$E$7:$E$2010,$C79,'LAC 102_Wkst'!$G$7:$G$2010,$D79,'LAC 102_Wkst'!$L$7:$L$2010,"09",'LAC 102_Wkst'!$N$7:$N$2010,"P5")</f>
        <v>0</v>
      </c>
      <c r="AO79" s="411">
        <f>SUMIFS('LAC 102_Wkst'!$AF$7:$AF$2010,'LAC 102_Wkst'!$D$7:$D$2010,$C$7,'LAC 102_Wkst'!$I$7:$I$2010,$C$9,'LAC 102_Wkst'!$E$7:$E$2010,$C79,'LAC 102_Wkst'!$G$7:$G$2010,$D79,'LAC 102_Wkst'!$L$7:$L$2010,"09",'LAC 102_Wkst'!$N$7:$N$2010,"P5")</f>
        <v>0</v>
      </c>
      <c r="AP79" s="410">
        <f>SUMIFS('LAC 102_Wkst'!$Q$7:$Q$2010,'LAC 102_Wkst'!$D$7:$D$2010,$C$7,'LAC 102_Wkst'!$I$7:$I$2010,$C$9,'LAC 102_Wkst'!$E$7:$E$2010,$C79,'LAC 102_Wkst'!$G$7:$G$2010,$D79,'LAC 102_Wkst'!$L$7:$L$2010,"10",'LAC 102_Wkst'!$N$7:$N$2010,"P1")+SUMIFS('LAC 102_Wkst'!$Q$7:$Q$2010,'LAC 102_Wkst'!$D$7:$D$2010,$C$7,'LAC 102_Wkst'!$I$7:$I$2010,$C$9,'LAC 102_Wkst'!$E$7:$E$2010,$C79,'LAC 102_Wkst'!$G$7:$G$2010,$D79,'LAC 102_Wkst'!$L$7:$L$2010,"10",'LAC 102_Wkst'!$N$7:$N$2010,"P2")+SUMIFS('LAC 102_Wkst'!$Q$7:$Q$2010,'LAC 102_Wkst'!$D$7:$D$2010,$C$7,'LAC 102_Wkst'!$I$7:$I$2010,$C$9,'LAC 102_Wkst'!$E$7:$E$2010,$C79,'LAC 102_Wkst'!$G$7:$G$2010,$D79,'LAC 102_Wkst'!$L$7:$L$2010,"10",'LAC 102_Wkst'!$N$7:$N$2010,"P3")+SUMIFS('LAC 102_Wkst'!$Q$7:$Q$2010,'LAC 102_Wkst'!$D$7:$D$2010,$C$7,'LAC 102_Wkst'!$I$7:$I$2010,$C$9,'LAC 102_Wkst'!$E$7:$E$2010,$C79,'LAC 102_Wkst'!$G$7:$G$2010,$D79,'LAC 102_Wkst'!$L$7:$L$2010,"10",'LAC 102_Wkst'!$N$7:$N$2010,"P4")</f>
        <v>0</v>
      </c>
      <c r="AQ79" s="411">
        <f>SUMIFS('LAC 102_Wkst'!$AF$7:$AF$2010,'LAC 102_Wkst'!$D$7:$D$2010,$C$7,'LAC 102_Wkst'!$I$7:$I$2010,$C$9,'LAC 102_Wkst'!$E$7:$E$2010,$C79,'LAC 102_Wkst'!$G$7:$G$2010,$D79,'LAC 102_Wkst'!$L$7:$L$2010,"10",'LAC 102_Wkst'!$N$7:$N$2010,"P1")+SUMIFS('LAC 102_Wkst'!$AF$7:$AF$2010,'LAC 102_Wkst'!$D$7:$D$2010,$C$7,'LAC 102_Wkst'!$I$7:$I$2010,$C$9,'LAC 102_Wkst'!$E$7:$E$2010,$C79,'LAC 102_Wkst'!$G$7:$G$2010,$D79,'LAC 102_Wkst'!$L$7:$L$2010,"10",'LAC 102_Wkst'!$N$7:$N$2010,"P2")+SUMIFS('LAC 102_Wkst'!$AF$7:$AF$2010,'LAC 102_Wkst'!$D$7:$D$2010,$C$7,'LAC 102_Wkst'!$I$7:$I$2010,$C$9,'LAC 102_Wkst'!$E$7:$E$2010,$C79,'LAC 102_Wkst'!$G$7:$G$2010,$D79,'LAC 102_Wkst'!$L$7:$L$2010,"10",'LAC 102_Wkst'!$N$7:$N$2010,"P3")+SUMIFS('LAC 102_Wkst'!$AF$7:$AF$2010,'LAC 102_Wkst'!$D$7:$D$2010,$C$7,'LAC 102_Wkst'!$I$7:$I$2010,$C$9,'LAC 102_Wkst'!$E$7:$E$2010,$C79,'LAC 102_Wkst'!$G$7:$G$2010,$D79,'LAC 102_Wkst'!$L$7:$L$2010,"10",'LAC 102_Wkst'!$N$7:$N$2010,"P4")</f>
        <v>0</v>
      </c>
      <c r="AR79" s="410">
        <f>SUMIFS('LAC 102_Wkst'!$Q$7:$Q$2010,'LAC 102_Wkst'!$D$7:$D$2010,$C$7,'LAC 102_Wkst'!$I$7:$I$2010,$C$9,'LAC 102_Wkst'!$E$7:$E$2010,$C79,'LAC 102_Wkst'!$G$7:$G$2010,$D79,'LAC 102_Wkst'!$L$7:$L$2010,"10",'LAC 102_Wkst'!$N$7:$N$2010,"P5")</f>
        <v>0</v>
      </c>
      <c r="AS79" s="411">
        <f>SUMIFS('LAC 102_Wkst'!$AF$7:$AF$2010,'LAC 102_Wkst'!$D$7:$D$2010,$C$7,'LAC 102_Wkst'!$I$7:$I$2010,$C$9,'LAC 102_Wkst'!$E$7:$E$2010,$C79,'LAC 102_Wkst'!$G$7:$G$2010,$D79,'LAC 102_Wkst'!$L$7:$L$2010,"10",'LAC 102_Wkst'!$N$7:$N$2010,"P5")</f>
        <v>0</v>
      </c>
      <c r="AT79" s="410">
        <f>SUMIFS('LAC 102_Wkst'!$Q$7:$Q$2010,'LAC 102_Wkst'!$D$7:$D$2010,$C$7,'LAC 102_Wkst'!$I$7:$I$2010,$C$9,'LAC 102_Wkst'!$E$7:$E$2010,$C79,'LAC 102_Wkst'!$G$7:$G$2010,$D79,'LAC 102_Wkst'!$L$7:$L$2010,"11",'LAC 102_Wkst'!$N$7:$N$2010,"P1")+SUMIFS('LAC 102_Wkst'!$Q$7:$Q$2010,'LAC 102_Wkst'!$D$7:$D$2010,$C$7,'LAC 102_Wkst'!$I$7:$I$2010,$C$9,'LAC 102_Wkst'!$E$7:$E$2010,$C79,'LAC 102_Wkst'!$G$7:$G$2010,$D79,'LAC 102_Wkst'!$L$7:$L$2010,"12",'LAC 102_Wkst'!$N$7:$N$2010,"P1")</f>
        <v>0</v>
      </c>
      <c r="AU79" s="411">
        <f>SUMIFS('LAC 102_Wkst'!$Q$7:$Q$2010,'LAC 102_Wkst'!$D$7:$D$2010,$C$7,'LAC 102_Wkst'!$I$7:$I$2010,$C$9,'LAC 102_Wkst'!$E$7:$E$2010,$C79,'LAC 102_Wkst'!$G$7:$G$2010,$D79,'LAC 102_Wkst'!$L$7:$L$2010,"13",'LAC 102_Wkst'!$N$7:$N$2010,"P5")</f>
        <v>0</v>
      </c>
      <c r="AV79" s="410">
        <f>SUMIFS('LAC 102_Wkst'!$Q$7:$Q$2010,'LAC 102_Wkst'!$D$7:$D$2010,$C$7,'LAC 102_Wkst'!$I$7:$I$2010,$C$9,'LAC 102_Wkst'!$E$7:$E$2010,$C79,'LAC 102_Wkst'!$G$7:$G$2010,$D79,'LAC 102_Wkst'!$L$7:$L$2010,"11",'LAC 102_Wkst'!$N$7:$N$2010,"P2")+SUMIFS('LAC 102_Wkst'!$Q$7:$Q$2010,'LAC 102_Wkst'!$D$7:$D$2010,$C$7,'LAC 102_Wkst'!$I$7:$I$2010,$C$9,'LAC 102_Wkst'!$E$7:$E$2010,$C79,'LAC 102_Wkst'!$G$7:$G$2010,$D79,'LAC 102_Wkst'!$L$7:$L$2010,"12",'LAC 102_Wkst'!$N$7:$N$2010,"P2")+SUMIFS('LAC 102_Wkst'!$Q$7:$Q$2010,'LAC 102_Wkst'!$D$7:$D$2010,$C$7,'LAC 102_Wkst'!$I$7:$I$2010,$C$9,'LAC 102_Wkst'!$E$7:$E$2010,$C79,'LAC 102_Wkst'!$G$7:$G$2010,$D79,'LAC 102_Wkst'!$L$7:$L$2010,"11",'LAC 102_Wkst'!$N$7:$N$2010,"P3")+SUMIFS('LAC 102_Wkst'!$Q$7:$Q$2010,'LAC 102_Wkst'!$D$7:$D$2010,$C$7,'LAC 102_Wkst'!$I$7:$I$2010,$C$9,'LAC 102_Wkst'!$E$7:$E$2010,$C79,'LAC 102_Wkst'!$G$7:$G$2010,$D79,'LAC 102_Wkst'!$L$7:$L$2010,"12",'LAC 102_Wkst'!$N$7:$N$2010,"P3")</f>
        <v>0</v>
      </c>
      <c r="AW79" s="411">
        <f>SUMIFS('LAC 102_Wkst'!$AF$7:$AF$2010,'LAC 102_Wkst'!$D$7:$D$2010,$C$7,'LAC 102_Wkst'!$I$7:$I$2010,$C$9,'LAC 102_Wkst'!$E$7:$E$2010,$C79,'LAC 102_Wkst'!$G$7:$G$2010,$D79,'LAC 102_Wkst'!$L$7:$L$2010,"11",'LAC 102_Wkst'!$N$7:$N$2010,"P2")+SUMIFS('LAC 102_Wkst'!$AF$7:$AF$2010,'LAC 102_Wkst'!$D$7:$D$2010,$C$7,'LAC 102_Wkst'!$I$7:$I$2010,$C$9,'LAC 102_Wkst'!$E$7:$E$2010,$C79,'LAC 102_Wkst'!$G$7:$G$2010,$D79,'LAC 102_Wkst'!$L$7:$L$2010,"12",'LAC 102_Wkst'!$N$7:$N$2010,"P2")+SUMIFS('LAC 102_Wkst'!$AF$7:$AF$2010,'LAC 102_Wkst'!$D$7:$D$2010,$C$7,'LAC 102_Wkst'!$I$7:$I$2010,$C$9,'LAC 102_Wkst'!$E$7:$E$2010,$C79,'LAC 102_Wkst'!$G$7:$G$2010,$D79,'LAC 102_Wkst'!$L$7:$L$2010,"11",'LAC 102_Wkst'!$N$7:$N$2010,"P3")+SUMIFS('LAC 102_Wkst'!$AF$7:$AF$2010,'LAC 102_Wkst'!$D$7:$D$2010,$C$7,'LAC 102_Wkst'!$I$7:$I$2010,$C$9,'LAC 102_Wkst'!$E$7:$E$2010,$C79,'LAC 102_Wkst'!$G$7:$G$2010,$D79,'LAC 102_Wkst'!$L$7:$L$2010,"12",'LAC 102_Wkst'!$N$7:$N$2010,"P3")</f>
        <v>0</v>
      </c>
      <c r="AX79" s="410">
        <f>SUMIFS('LAC 102_Wkst'!$Q$7:$Q$2010,'LAC 102_Wkst'!$D$7:$D$2010,$C$7,'LAC 102_Wkst'!$I$7:$I$2010,$C$9,'LAC 102_Wkst'!$E$7:$E$2010,$C79,'LAC 102_Wkst'!$G$7:$G$2010,$D79,'LAC 102_Wkst'!$L$7:$L$2010,"11",'LAC 102_Wkst'!$N$7:$N$2010,"P4")+SUMIFS('LAC 102_Wkst'!$Q$7:$Q$2010,'LAC 102_Wkst'!$D$7:$D$2010,$C$7,'LAC 102_Wkst'!$I$7:$I$2010,$C$9,'LAC 102_Wkst'!$E$7:$E$2010,$C79,'LAC 102_Wkst'!$G$7:$G$2010,$D79,'LAC 102_Wkst'!$L$7:$L$2010,"12",'LAC 102_Wkst'!$N$7:$N$2010,"P4")</f>
        <v>0</v>
      </c>
      <c r="AY79" s="411">
        <f>SUMIFS('LAC 102_Wkst'!$AF$7:$AF$2010,'LAC 102_Wkst'!$D$7:$D$2010,$C$7,'LAC 102_Wkst'!$I$7:$I$2010,$C$9,'LAC 102_Wkst'!$E$7:$E$2010,$C79,'LAC 102_Wkst'!$G$7:$G$2010,$D79,'LAC 102_Wkst'!$L$7:$L$2010,"11",'LAC 102_Wkst'!$N$7:$N$2010,"P4")+SUMIFS('LAC 102_Wkst'!$AF$7:$AF$2010,'LAC 102_Wkst'!$D$7:$D$2010,$C$7,'LAC 102_Wkst'!$I$7:$I$2010,$C$9,'LAC 102_Wkst'!$E$7:$E$2010,$C79,'LAC 102_Wkst'!$G$7:$G$2010,$D79,'LAC 102_Wkst'!$L$7:$L$2010,"12",'LAC 102_Wkst'!$N$7:$N$2010,"P4")</f>
        <v>0</v>
      </c>
      <c r="AZ79" s="410">
        <f>SUMIFS('LAC 102_Wkst'!$Q$7:$Q$2010,'LAC 102_Wkst'!$D$7:$D$2010,$C$7,'LAC 102_Wkst'!$I$7:$I$2010,$C$9,'LAC 102_Wkst'!$E$7:$E$2010,$C79,'LAC 102_Wkst'!$G$7:$G$2010,$D79,'LAC 102_Wkst'!$L$7:$L$2010,"11",'LAC 102_Wkst'!$N$7:$N$2010,"P5")+SUMIFS('LAC 102_Wkst'!$Q$7:$Q$2010,'LAC 102_Wkst'!$D$7:$D$2010,$C$7,'LAC 102_Wkst'!$I$7:$I$2010,$C$9,'LAC 102_Wkst'!$E$7:$E$2010,$C79,'LAC 102_Wkst'!$G$7:$G$2010,$D79,'LAC 102_Wkst'!$L$7:$L$2010,"12",'LAC 102_Wkst'!$N$7:$N$2010,"P5")</f>
        <v>0</v>
      </c>
      <c r="BA79" s="411">
        <f>SUMIFS('LAC 102_Wkst'!$AF$7:$AF$2010,'LAC 102_Wkst'!$D$7:$D$2010,$C$7,'LAC 102_Wkst'!$I$7:$I$2010,$C$9,'LAC 102_Wkst'!$E$7:$E$2010,$C79,'LAC 102_Wkst'!$G$7:$G$2010,$D79,'LAC 102_Wkst'!$L$7:$L$2010,"11",'LAC 102_Wkst'!$N$7:$N$2010,"P5")+SUMIFS('LAC 102_Wkst'!$AF$7:$AF$2010,'LAC 102_Wkst'!$D$7:$D$2010,$C$7,'LAC 102_Wkst'!$I$7:$I$2010,$C$9,'LAC 102_Wkst'!$E$7:$E$2010,$C79,'LAC 102_Wkst'!$G$7:$G$2010,$D79,'LAC 102_Wkst'!$L$7:$L$2010,"12",'LAC 102_Wkst'!$N$7:$N$2010,"P5")</f>
        <v>0</v>
      </c>
      <c r="BB79" s="410">
        <f>SUMIFS('LAC 102_Wkst'!$Q$7:$Q$2010,'LAC 102_Wkst'!$D$7:$D$2010,$C$7,'LAC 102_Wkst'!$I$7:$I$2010,$C$9,'LAC 102_Wkst'!$E$7:$E$2010,$C79,'LAC 102_Wkst'!$G$7:$G$2010,$D79,'LAC 102_Wkst'!$L$7:$L$2010,"13",'LAC 102_Wkst'!$N$7:$N$2010,"P1")+SUMIFS('LAC 102_Wkst'!$Q$7:$Q$2010,'LAC 102_Wkst'!$D$7:$D$2010,$C$7,'LAC 102_Wkst'!$I$7:$I$2010,$C$9,'LAC 102_Wkst'!$E$7:$E$2010,$C79,'LAC 102_Wkst'!$G$7:$G$2010,$D79,'LAC 102_Wkst'!$L$7:$L$2010,"13",'LAC 102_Wkst'!$N$7:$N$2010,"P2")+SUMIFS('LAC 102_Wkst'!$Q$7:$Q$2010,'LAC 102_Wkst'!$D$7:$D$2010,$C$7,'LAC 102_Wkst'!$I$7:$I$2010,$C$9,'LAC 102_Wkst'!$E$7:$E$2010,$C79,'LAC 102_Wkst'!$G$7:$G$2010,$D79,'LAC 102_Wkst'!$L$7:$L$2010,"13",'LAC 102_Wkst'!$N$7:$N$2010,"P3")+SUMIFS('LAC 102_Wkst'!$Q$7:$Q$2010,'LAC 102_Wkst'!$D$7:$D$2010,$C$7,'LAC 102_Wkst'!$I$7:$I$2010,$C$9,'LAC 102_Wkst'!$E$7:$E$2010,$C79,'LAC 102_Wkst'!$G$7:$G$2010,$D79,'LAC 102_Wkst'!$L$7:$L$2010,"13",'LAC 102_Wkst'!$N$7:$N$2010,"P4")</f>
        <v>0</v>
      </c>
      <c r="BC79" s="411">
        <f>SUMIFS('LAC 102_Wkst'!$AF$7:$AF$2010,'LAC 102_Wkst'!$D$7:$D$2010,$C$7,'LAC 102_Wkst'!$I$7:$I$2010,$C$9,'LAC 102_Wkst'!$E$7:$E$2010,$C79,'LAC 102_Wkst'!$G$7:$G$2010,$D79,'LAC 102_Wkst'!$L$7:$L$2010,"13",'LAC 102_Wkst'!$N$7:$N$2010,"P1")+SUMIFS('LAC 102_Wkst'!$AF$7:$AF$2010,'LAC 102_Wkst'!$D$7:$D$2010,$C$7,'LAC 102_Wkst'!$I$7:$I$2010,$C$9,'LAC 102_Wkst'!$E$7:$E$2010,$C79,'LAC 102_Wkst'!$G$7:$G$2010,$D79,'LAC 102_Wkst'!$L$7:$L$2010,"13",'LAC 102_Wkst'!$N$7:$N$2010,"P2")+SUMIFS('LAC 102_Wkst'!$AF$7:$AF$2010,'LAC 102_Wkst'!$D$7:$D$2010,$C$7,'LAC 102_Wkst'!$I$7:$I$2010,$C$9,'LAC 102_Wkst'!$E$7:$E$2010,$C79,'LAC 102_Wkst'!$G$7:$G$2010,$D79,'LAC 102_Wkst'!$L$7:$L$2010,"13",'LAC 102_Wkst'!$N$7:$N$2010,"P3")+SUMIFS('LAC 102_Wkst'!$AF$7:$AF$2010,'LAC 102_Wkst'!$D$7:$D$2010,$C$7,'LAC 102_Wkst'!$I$7:$I$2010,$C$9,'LAC 102_Wkst'!$E$7:$E$2010,$C79,'LAC 102_Wkst'!$G$7:$G$2010,$D79,'LAC 102_Wkst'!$L$7:$L$2010,"13",'LAC 102_Wkst'!$N$7:$N$2010,"P4")</f>
        <v>0</v>
      </c>
      <c r="BD79" s="410">
        <f>SUMIFS('LAC 102_Wkst'!$Q$7:$Q$2010,'LAC 102_Wkst'!$D$7:$D$2010,$C$7,'LAC 102_Wkst'!$I$7:$I$2010,$C$9,'LAC 102_Wkst'!$E$7:$E$2010,$C79,'LAC 102_Wkst'!$G$7:$G$2010,$D79,'LAC 102_Wkst'!$L$7:$L$2010,"13",'LAC 102_Wkst'!$N$7:$N$2010,"P5")</f>
        <v>0</v>
      </c>
      <c r="BE79" s="411">
        <f>SUMIFS('LAC 102_Wkst'!$AF$7:$AF$2010,'LAC 102_Wkst'!$D$7:$D$2010,$C$7,'LAC 102_Wkst'!$I$7:$I$2010,$C$9,'LAC 102_Wkst'!$E$7:$E$2010,$C79,'LAC 102_Wkst'!$G$7:$G$2010,$D79,'LAC 102_Wkst'!$L$7:$L$2010,"13",'LAC 102_Wkst'!$N$7:$N$2010,"P5")</f>
        <v>0</v>
      </c>
      <c r="BF79" s="407">
        <f t="shared" si="4"/>
        <v>0</v>
      </c>
      <c r="BG79" s="1654">
        <f>SUMIFS('LAC 102_Wkst'!$AF$7:$AF$2010,'LAC 102_Wkst'!$D$7:$D$2010,$C$7,'LAC 102_Wkst'!$I$7:$I$2010,$C$9,'LAC 102_Wkst'!$E$7:$E$2010,$C79,'LAC 102_Wkst'!$G$7:$G$2010,$D79,'LAC 102_Wkst'!$L$7:$L$2010,"14")</f>
        <v>0</v>
      </c>
    </row>
    <row r="80" spans="1:59" x14ac:dyDescent="0.2">
      <c r="A80" s="401">
        <v>58</v>
      </c>
      <c r="B80" s="1678" t="str">
        <f>IF(Schedule_B!B$77="","",Schedule_B!B$77)</f>
        <v/>
      </c>
      <c r="C80" s="1674" t="str">
        <f>IF(Schedule_B!C$77=""," ",Schedule_B!C$77)</f>
        <v xml:space="preserve"> </v>
      </c>
      <c r="D80" s="1675" t="str">
        <f>IF(Schedule_B!D$77=""," ",Schedule_B!D$77)</f>
        <v xml:space="preserve"> </v>
      </c>
      <c r="E80" s="1221">
        <f>SUMIFS('LAC 102_Wkst'!$Q$7:$Q$2010,'LAC 102_Wkst'!$D$7:$D$2010,$C$7,'LAC 102_Wkst'!$I$7:$I$2010,$C$9,'LAC 102_Wkst'!$E$7:$E$2010,$C80,'LAC 102_Wkst'!$G$7:$G$2010,$D80)</f>
        <v>0</v>
      </c>
      <c r="F80" s="408">
        <f>SUMIFS('LAC 102_Wkst'!$Q$7:$Q$2010,'LAC 102_Wkst'!$D$7:$D$2010,$C$7,'LAC 102_Wkst'!$I$7:$I$2010,$C$9,'LAC 102_Wkst'!$E$7:$E$2010,$C80,'LAC 102_Wkst'!$G$7:$G$2010,$D80,'LAC 102_Wkst'!$L$7:$L$2010,"01",'LAC 102_Wkst'!$N$7:$N$2010,"P1")+SUMIFS('LAC 102_Wkst'!$Q$7:$Q$2010,'LAC 102_Wkst'!$D$7:$D$2010,$C$7,'LAC 102_Wkst'!$I$7:$I$2010,$C$9,'LAC 102_Wkst'!$E$7:$E$2010,$C80,'LAC 102_Wkst'!$G$7:$G$2010,$D80,'LAC 102_Wkst'!$L$7:$L$2010,"01",'LAC 102_Wkst'!$N$7:$N$2010,"P2")+SUMIFS('LAC 102_Wkst'!$Q$7:$Q$2010,'LAC 102_Wkst'!$D$7:$D$2010,$C$7,'LAC 102_Wkst'!$I$7:$I$2010,$C$9,'LAC 102_Wkst'!$E$7:$E$2010,$C80,'LAC 102_Wkst'!$G$7:$G$2010,$D80,'LAC 102_Wkst'!$L$7:$L$2010,"01",'LAC 102_Wkst'!$N$7:$N$2010,"P3")+SUMIFS('LAC 102_Wkst'!$Q$7:$Q$2010,'LAC 102_Wkst'!$D$7:$D$2010,$C$7,'LAC 102_Wkst'!$I$7:$I$2010,$C$9,'LAC 102_Wkst'!$E$7:$E$2010,$C80,'LAC 102_Wkst'!$G$7:$G$2010,$D80,'LAC 102_Wkst'!$L$7:$L$2010,"02",'LAC 102_Wkst'!$N$7:$N$2010,"P1")+SUMIFS('LAC 102_Wkst'!$Q$7:$Q$2010,'LAC 102_Wkst'!$D$7:$D$2010,$C$7,'LAC 102_Wkst'!$I$7:$I$2010,$C$9,'LAC 102_Wkst'!$E$7:$E$2010,$C80,'LAC 102_Wkst'!$G$7:$G$2010,$D80,'LAC 102_Wkst'!$L$7:$L$2010,"02",'LAC 102_Wkst'!$N$7:$N$2010,"P2")+SUMIFS('LAC 102_Wkst'!$Q$7:$Q$2010,'LAC 102_Wkst'!$D$7:$D$2010,$C$7,'LAC 102_Wkst'!$I$7:$I$2010,$C$9,'LAC 102_Wkst'!$E$7:$E$2010,$C80,'LAC 102_Wkst'!$G$7:$G$2010,$D80,'LAC 102_Wkst'!$L$7:$L$2010,"02",'LAC 102_Wkst'!$N$7:$N$2010,"P3")</f>
        <v>0</v>
      </c>
      <c r="G80" s="409">
        <f>SUMIFS('LAC 102_Wkst'!$AF$7:$AF$2010,'LAC 102_Wkst'!$D$7:$D$2010,$C$7,'LAC 102_Wkst'!$I$7:$I$2010,$C$9,'LAC 102_Wkst'!$E$7:$E$2010,$C80,'LAC 102_Wkst'!$G$7:$G$2010,$D80,'LAC 102_Wkst'!$L$7:$L$2010,"01",'LAC 102_Wkst'!$N$7:$N$2010,"P1")+SUMIFS('LAC 102_Wkst'!$AF$7:$AF$2010,'LAC 102_Wkst'!$D$7:$D$2010,$C$7,'LAC 102_Wkst'!$I$7:$I$2010,$C$9,'LAC 102_Wkst'!$E$7:$E$2010,$C80,'LAC 102_Wkst'!$G$7:$G$2010,$D80,'LAC 102_Wkst'!$L$7:$L$2010,"01",'LAC 102_Wkst'!$N$7:$N$2010,"P2")+SUMIFS('LAC 102_Wkst'!$AF$7:$AF$2010,'LAC 102_Wkst'!$D$7:$D$2010,$C$7,'LAC 102_Wkst'!$I$7:$I$2010,$C$9,'LAC 102_Wkst'!$E$7:$E$2010,$C80,'LAC 102_Wkst'!$G$7:$G$2010,$D80,'LAC 102_Wkst'!$L$7:$L$2010,"01",'LAC 102_Wkst'!$N$7:$N$2010,"P3")+SUMIFS('LAC 102_Wkst'!$AF$7:$AF$2010,'LAC 102_Wkst'!$D$7:$D$2010,$C$7,'LAC 102_Wkst'!$I$7:$I$2010,$C$9,'LAC 102_Wkst'!$E$7:$E$2010,$C80,'LAC 102_Wkst'!$G$7:$G$2010,$D80,'LAC 102_Wkst'!$L$7:$L$2010,"02",'LAC 102_Wkst'!$N$7:$N$2010,"P1")+SUMIFS('LAC 102_Wkst'!$AF$7:$AF$2010,'LAC 102_Wkst'!$D$7:$D$2010,$C$7,'LAC 102_Wkst'!$I$7:$I$2010,$C$9,'LAC 102_Wkst'!$E$7:$E$2010,$C80,'LAC 102_Wkst'!$G$7:$G$2010,$D80,'LAC 102_Wkst'!$L$7:$L$2010,"02",'LAC 102_Wkst'!$N$7:$N$2010,"P2")+SUMIFS('LAC 102_Wkst'!$AF$7:$AF$2010,'LAC 102_Wkst'!$D$7:$D$2010,$C$7,'LAC 102_Wkst'!$I$7:$I$2010,$C$9,'LAC 102_Wkst'!$E$7:$E$2010,$C80,'LAC 102_Wkst'!$G$7:$G$2010,$D80,'LAC 102_Wkst'!$L$7:$L$2010,"02",'LAC 102_Wkst'!$N$7:$N$2010,"P3")</f>
        <v>0</v>
      </c>
      <c r="H80" s="410">
        <f>SUMIFS('LAC 102_Wkst'!$Q$7:$Q$2010,'LAC 102_Wkst'!$D$7:$D$2010,$C$7,'LAC 102_Wkst'!$I$7:$I$2010,$C$9,'LAC 102_Wkst'!$E$7:$E$2010,$C80,'LAC 102_Wkst'!$G$7:$G$2010,$D80,'LAC 102_Wkst'!$L$7:$L$2010,"01",'LAC 102_Wkst'!$N$7:$N$2010,"P4")+SUMIFS('LAC 102_Wkst'!$Q$7:$Q$2010,'LAC 102_Wkst'!$D$7:$D$2010,$C$7,'LAC 102_Wkst'!$I$7:$I$2010,$C$9,'LAC 102_Wkst'!$E$7:$E$2010,$C80,'LAC 102_Wkst'!$G$7:$G$2010,$D80,'LAC 102_Wkst'!$L$7:$L$2010,"02",'LAC 102_Wkst'!$N$7:$N$2010,"P4")</f>
        <v>0</v>
      </c>
      <c r="I80" s="411">
        <f>SUMIFS('LAC 102_Wkst'!$AF$7:$AF$2010,'LAC 102_Wkst'!$D$7:$D$2010,$C$7,'LAC 102_Wkst'!$I$7:$I$2010,$C$9,'LAC 102_Wkst'!$E$7:$E$2010,$C80,'LAC 102_Wkst'!$G$7:$G$2010,$D80,'LAC 102_Wkst'!$L$7:$L$2010,"01",'LAC 102_Wkst'!$N$7:$N$2010,"P4")+SUMIFS('LAC 102_Wkst'!$AF$7:$AF$2010,'LAC 102_Wkst'!$D$7:$D$2010,$C$7,'LAC 102_Wkst'!$I$7:$I$2010,$C$9,'LAC 102_Wkst'!$E$7:$E$2010,$C80,'LAC 102_Wkst'!$G$7:$G$2010,$D80,'LAC 102_Wkst'!$L$7:$L$2010,"02",'LAC 102_Wkst'!$N$7:$N$2010,"P4")</f>
        <v>0</v>
      </c>
      <c r="J80" s="410">
        <f>SUMIFS('LAC 102_Wkst'!$Q$7:$Q$2010,'LAC 102_Wkst'!$D$7:$D$2010,$C$7,'LAC 102_Wkst'!$I$7:$I$2010,$C$9,'LAC 102_Wkst'!$E$7:$E$2010,$C80,'LAC 102_Wkst'!$G$7:$G$2010,$D80,'LAC 102_Wkst'!$L$7:$L$2010,"01",'LAC 102_Wkst'!$N$7:$N$2010,"P5")+SUMIFS('LAC 102_Wkst'!$Q$7:$Q$2010,'LAC 102_Wkst'!$D$7:$D$2010,$C$7,'LAC 102_Wkst'!$I$7:$I$2010,$C$9,'LAC 102_Wkst'!$E$7:$E$2010,$C80,'LAC 102_Wkst'!$G$7:$G$2010,$D80,'LAC 102_Wkst'!$L$7:$L$2010,"02",'LAC 102_Wkst'!$N$7:$N$2010,"P5")</f>
        <v>0</v>
      </c>
      <c r="K80" s="411">
        <f>SUMIFS('LAC 102_Wkst'!$AF$7:$AF$2010,'LAC 102_Wkst'!$D$7:$D$2010,$C$7,'LAC 102_Wkst'!$I$7:$I$2010,$C$9,'LAC 102_Wkst'!$E$7:$E$2010,$C80,'LAC 102_Wkst'!$G$7:$G$2010,$D80,'LAC 102_Wkst'!$L$7:$L$2010,"01",'LAC 102_Wkst'!$N$7:$N$2010,"P5")+SUMIFS('LAC 102_Wkst'!$AF$7:$AF$2010,'LAC 102_Wkst'!$D$7:$D$2010,$C$7,'LAC 102_Wkst'!$I$7:$I$2010,$C$9,'LAC 102_Wkst'!$E$7:$E$2010,$C80,'LAC 102_Wkst'!$G$7:$G$2010,$D80,'LAC 102_Wkst'!$L$7:$L$2010,"02",'LAC 102_Wkst'!$N$7:$N$2010,"P5")</f>
        <v>0</v>
      </c>
      <c r="L80" s="410">
        <f>SUMIFS('LAC 102_Wkst'!$Q$7:$Q$2010,'LAC 102_Wkst'!$D$7:$D$2010,$C$7,'LAC 102_Wkst'!$I$7:$I$2010,$C$9,'LAC 102_Wkst'!$E$7:$E$2010,$C80,'LAC 102_Wkst'!$G$7:$G$2010,$D80,'LAC 102_Wkst'!$L$7:$L$2010,"03",'LAC 102_Wkst'!$N$7:$N$2010,"P1")+SUMIFS('LAC 102_Wkst'!$Q$7:$Q$2010,'LAC 102_Wkst'!$D$7:$D$2010,$C$7,'LAC 102_Wkst'!$I$7:$I$2010,$C$9,'LAC 102_Wkst'!$E$7:$E$2010,$C80,'LAC 102_Wkst'!$G$7:$G$2010,$D80,'LAC 102_Wkst'!$L$7:$L$2010,"03",'LAC 102_Wkst'!$N$7:$N$2010,"P2")+SUMIFS('LAC 102_Wkst'!$Q$7:$Q$2010,'LAC 102_Wkst'!$D$7:$D$2010,$C$7,'LAC 102_Wkst'!$I$7:$I$2010,$C$9,'LAC 102_Wkst'!$E$7:$E$2010,$C80,'LAC 102_Wkst'!$G$7:$G$2010,$D80,'LAC 102_Wkst'!$L$7:$L$2010,"03",'LAC 102_Wkst'!$N$7:$N$2010,"P3")+SUMIFS('LAC 102_Wkst'!$Q$7:$Q$2010,'LAC 102_Wkst'!$D$7:$D$2010,$C$7,'LAC 102_Wkst'!$I$7:$I$2010,$C$9,'LAC 102_Wkst'!$E$7:$E$2010,$C80,'LAC 102_Wkst'!$G$7:$G$2010,$D80,'LAC 102_Wkst'!$L$7:$L$2010,"04",'LAC 102_Wkst'!$N$7:$N$2010,"P1")+SUMIFS('LAC 102_Wkst'!$Q$7:$Q$2010,'LAC 102_Wkst'!$D$7:$D$2010,$C$7,'LAC 102_Wkst'!$I$7:$I$2010,$C$9,'LAC 102_Wkst'!$E$7:$E$2010,$C80,'LAC 102_Wkst'!$G$7:$G$2010,$D80,'LAC 102_Wkst'!$L$7:$L$2010,"04",'LAC 102_Wkst'!$N$7:$N$2010,"P2")+SUMIFS('LAC 102_Wkst'!$Q$7:$Q$2010,'LAC 102_Wkst'!$D$7:$D$2010,$C$7,'LAC 102_Wkst'!$I$7:$I$2010,$C$9,'LAC 102_Wkst'!$E$7:$E$2010,$C80,'LAC 102_Wkst'!$G$7:$G$2010,$D80,'LAC 102_Wkst'!$L$7:$L$2010,"04",'LAC 102_Wkst'!$N$7:$N$2010,"P3")</f>
        <v>0</v>
      </c>
      <c r="M80" s="411">
        <f>SUMIFS('LAC 102_Wkst'!$AF$7:$AF$2010,'LAC 102_Wkst'!$D$7:$D$2010,$C$7,'LAC 102_Wkst'!$I$7:$I$2010,$C$9,'LAC 102_Wkst'!$E$7:$E$2010,$C80,'LAC 102_Wkst'!$G$7:$G$2010,$D80,'LAC 102_Wkst'!$L$7:$L$2010,"03",'LAC 102_Wkst'!$N$7:$N$2010,"P1")+SUMIFS('LAC 102_Wkst'!$AF$7:$AF$2010,'LAC 102_Wkst'!$D$7:$D$2010,$C$7,'LAC 102_Wkst'!$I$7:$I$2010,$C$9,'LAC 102_Wkst'!$E$7:$E$2010,$C80,'LAC 102_Wkst'!$G$7:$G$2010,$D80,'LAC 102_Wkst'!$L$7:$L$2010,"03",'LAC 102_Wkst'!$N$7:$N$2010,"P2")+SUMIFS('LAC 102_Wkst'!$AF$7:$AF$2010,'LAC 102_Wkst'!$D$7:$D$2010,$C$7,'LAC 102_Wkst'!$I$7:$I$2010,$C$9,'LAC 102_Wkst'!$E$7:$E$2010,$C80,'LAC 102_Wkst'!$G$7:$G$2010,$D80,'LAC 102_Wkst'!$L$7:$L$2010,"03",'LAC 102_Wkst'!$N$7:$N$2010,"P3")+SUMIFS('LAC 102_Wkst'!$AF$7:$AF$2010,'LAC 102_Wkst'!$D$7:$D$2010,$C$7,'LAC 102_Wkst'!$I$7:$I$2010,$C$9,'LAC 102_Wkst'!$E$7:$E$2010,$C80,'LAC 102_Wkst'!$G$7:$G$2010,$D80,'LAC 102_Wkst'!$L$7:$L$2010,"04",'LAC 102_Wkst'!$N$7:$N$2010,"P1")+SUMIFS('LAC 102_Wkst'!$AF$7:$AF$2010,'LAC 102_Wkst'!$D$7:$D$2010,$C$7,'LAC 102_Wkst'!$I$7:$I$2010,$C$9,'LAC 102_Wkst'!$E$7:$E$2010,$C80,'LAC 102_Wkst'!$G$7:$G$2010,$D80,'LAC 102_Wkst'!$L$7:$L$2010,"04",'LAC 102_Wkst'!$N$7:$N$2010,"P2")+SUMIFS('LAC 102_Wkst'!$AF$7:$AF$2010,'LAC 102_Wkst'!$D$7:$D$2010,$C$7,'LAC 102_Wkst'!$I$7:$I$2010,$C$9,'LAC 102_Wkst'!$E$7:$E$2010,$C80,'LAC 102_Wkst'!$G$7:$G$2010,$D80,'LAC 102_Wkst'!$L$7:$L$2010,"04",'LAC 102_Wkst'!$N$7:$N$2010,"P3")</f>
        <v>0</v>
      </c>
      <c r="N80" s="410">
        <f>SUMIFS('LAC 102_Wkst'!$Q$7:$Q$2010,'LAC 102_Wkst'!$D$7:$D$2010,$C$7,'LAC 102_Wkst'!$I$7:$I$2010,$C$9,'LAC 102_Wkst'!$E$7:$E$2010,$C80,'LAC 102_Wkst'!$G$7:$G$2010,$D80,'LAC 102_Wkst'!$L$7:$L$2010,"03",'LAC 102_Wkst'!$N$7:$N$2010,"P4")+SUMIFS('LAC 102_Wkst'!$Q$7:$Q$2010,'LAC 102_Wkst'!$D$7:$D$2010,$C$7,'LAC 102_Wkst'!$I$7:$I$2010,$C$9,'LAC 102_Wkst'!$E$7:$E$2010,$C80,'LAC 102_Wkst'!$G$7:$G$2010,$D80,'LAC 102_Wkst'!$L$7:$L$2010,"04",'LAC 102_Wkst'!$N$7:$N$2010,"P4")</f>
        <v>0</v>
      </c>
      <c r="O80" s="411">
        <f>SUMIFS('LAC 102_Wkst'!$AF$7:$AF$2010,'LAC 102_Wkst'!$D$7:$D$2010,$C$7,'LAC 102_Wkst'!$I$7:$I$2010,$C$9,'LAC 102_Wkst'!$E$7:$E$2010,$C80,'LAC 102_Wkst'!$G$7:$G$2010,$D80,'LAC 102_Wkst'!$L$7:$L$2010,"03",'LAC 102_Wkst'!$N$7:$N$2010,"P4")+SUMIFS('LAC 102_Wkst'!$AF$7:$AF$2010,'LAC 102_Wkst'!$D$7:$D$2010,$C$7,'LAC 102_Wkst'!$I$7:$I$2010,$C$9,'LAC 102_Wkst'!$E$7:$E$2010,$C80,'LAC 102_Wkst'!$G$7:$G$2010,$D80,'LAC 102_Wkst'!$L$7:$L$2010,"04",'LAC 102_Wkst'!$N$7:$N$2010,"P4")</f>
        <v>0</v>
      </c>
      <c r="P80" s="410">
        <f>SUMIFS('LAC 102_Wkst'!$Q$7:$Q$2010,'LAC 102_Wkst'!$D$7:$D$2010,$C$7,'LAC 102_Wkst'!$I$7:$I$2010,$C$9,'LAC 102_Wkst'!$E$7:$E$2010,$C80,'LAC 102_Wkst'!$G$7:$G$2010,$D80,'LAC 102_Wkst'!$L$7:$L$2010,"03",'LAC 102_Wkst'!$N$7:$N$2010,"P5")+SUMIFS('LAC 102_Wkst'!$Q$7:$Q$2010,'LAC 102_Wkst'!$D$7:$D$2010,$C$7,'LAC 102_Wkst'!$I$7:$I$2010,$C$9,'LAC 102_Wkst'!$E$7:$E$2010,$C80,'LAC 102_Wkst'!$G$7:$G$2010,$D80,'LAC 102_Wkst'!$L$7:$L$2010,"04",'LAC 102_Wkst'!$N$7:$N$2010,"P5")</f>
        <v>0</v>
      </c>
      <c r="Q80" s="411">
        <f>SUMIFS('LAC 102_Wkst'!$AF$7:$AF$2010,'LAC 102_Wkst'!$D$7:$D$2010,$C$7,'LAC 102_Wkst'!$I$7:$I$2010,$C$9,'LAC 102_Wkst'!$E$7:$E$2010,$C80,'LAC 102_Wkst'!$G$7:$G$2010,$D80,'LAC 102_Wkst'!$L$7:$L$2010,"03",'LAC 102_Wkst'!$N$7:$N$2010,"P5")+SUMIFS('LAC 102_Wkst'!$AF$7:$AF$2010,'LAC 102_Wkst'!$D$7:$D$2010,$C$7,'LAC 102_Wkst'!$I$7:$I$2010,$C$9,'LAC 102_Wkst'!$E$7:$E$2010,$C80,'LAC 102_Wkst'!$G$7:$G$2010,$D80,'LAC 102_Wkst'!$L$7:$L$2010,"04",'LAC 102_Wkst'!$N$7:$N$2010,"P5")</f>
        <v>0</v>
      </c>
      <c r="R80" s="412">
        <f>SUMIFS('LAC 102_Wkst'!$Q$7:$Q$2010,'LAC 102_Wkst'!$D$7:$D$2010,$C$7,'LAC 102_Wkst'!$I$7:$I$2010,$C$9,'LAC 102_Wkst'!$E$7:$E$2010,$C80,'LAC 102_Wkst'!$G$7:$G$2010,$D80,'LAC 102_Wkst'!$L$7:$L$2010,"05",'LAC 102_Wkst'!$N$7:$N$2010,"P1")+SUMIFS('LAC 102_Wkst'!$Q$7:$Q$2010,'LAC 102_Wkst'!$D$7:$D$2010,$C$7,'LAC 102_Wkst'!$I$7:$I$2010,$C$9,'LAC 102_Wkst'!$E$7:$E$2010,$C80,'LAC 102_Wkst'!$G$7:$G$2010,$D80,'LAC 102_Wkst'!$L$7:$L$2010,"06",'LAC 102_Wkst'!$N$7:$N$2010,"P1")</f>
        <v>0</v>
      </c>
      <c r="S80" s="411">
        <f>SUMIFS('LAC 102_Wkst'!$AF$7:$AF$2010,'LAC 102_Wkst'!$D$7:$D$2010,$C$7,'LAC 102_Wkst'!$I$7:$I$2010,$C$9,'LAC 102_Wkst'!$E$7:$E$2010,$C80,'LAC 102_Wkst'!$G$7:$G$2010,$D80,'LAC 102_Wkst'!$L$7:$L$2010,"05",'LAC 102_Wkst'!$N$7:$N$2010,"P1")+SUMIFS('LAC 102_Wkst'!$AF$7:$AF$2010,'LAC 102_Wkst'!$D$7:$D$2010,$C$7,'LAC 102_Wkst'!$I$7:$I$2010,$C$9,'LAC 102_Wkst'!$E$7:$E$2010,$C80,'LAC 102_Wkst'!$G$7:$G$2010,$D80,'LAC 102_Wkst'!$L$7:$L$2010,"06",'LAC 102_Wkst'!$N$7:$N$2010,"P1")</f>
        <v>0</v>
      </c>
      <c r="T80" s="410">
        <f>SUMIFS('LAC 102_Wkst'!$Q$7:$Q$2010,'LAC 102_Wkst'!$D$7:$D$2010,$C$7,'LAC 102_Wkst'!$I$7:$I$2010,$C$9,'LAC 102_Wkst'!$E$7:$E$2010,$C80,'LAC 102_Wkst'!$G$7:$G$2010,$D80,'LAC 102_Wkst'!$L$7:$L$2010,"05",'LAC 102_Wkst'!$N$7:$N$2010,"P2")+SUMIFS('LAC 102_Wkst'!$Q$7:$Q$2010,'LAC 102_Wkst'!$D$7:$D$2010,$C$7,'LAC 102_Wkst'!$I$7:$I$2010,$C$9,'LAC 102_Wkst'!$E$7:$E$2010,$C80,'LAC 102_Wkst'!$G$7:$G$2010,$D80,'LAC 102_Wkst'!$L$7:$L$2010,"06",'LAC 102_Wkst'!$N$7:$N$2010,"P2")+SUMIFS('LAC 102_Wkst'!$Q$7:$Q$2010,'LAC 102_Wkst'!$D$7:$D$2010,$C$7,'LAC 102_Wkst'!$I$7:$I$2010,$C$9,'LAC 102_Wkst'!$E$7:$E$2010,$C80,'LAC 102_Wkst'!$G$7:$G$2010,$D80,'LAC 102_Wkst'!$L$7:$L$2010,"05",'LAC 102_Wkst'!$N$7:$N$2010,"P3")+SUMIFS('LAC 102_Wkst'!$Q$7:$Q$2010,'LAC 102_Wkst'!$D$7:$D$2010,$C$7,'LAC 102_Wkst'!$I$7:$I$2010,$C$9,'LAC 102_Wkst'!$E$7:$E$2010,$C80,'LAC 102_Wkst'!$G$7:$G$2010,$D80,'LAC 102_Wkst'!$L$7:$L$2010,"06",'LAC 102_Wkst'!$N$7:$N$2010,"P3")</f>
        <v>0</v>
      </c>
      <c r="U80" s="411">
        <f>SUMIFS('LAC 102_Wkst'!$AF$7:$AF$2010,'LAC 102_Wkst'!$D$7:$D$2010,$C$7,'LAC 102_Wkst'!$I$7:$I$2010,$C$9,'LAC 102_Wkst'!$E$7:$E$2010,$C80,'LAC 102_Wkst'!$G$7:$G$2010,$D80,'LAC 102_Wkst'!$L$7:$L$2010,"05",'LAC 102_Wkst'!$N$7:$N$2010,"P2")+SUMIFS('LAC 102_Wkst'!$AF$7:$AF$2010,'LAC 102_Wkst'!$D$7:$D$2010,$C$7,'LAC 102_Wkst'!$I$7:$I$2010,$C$9,'LAC 102_Wkst'!$E$7:$E$2010,$C80,'LAC 102_Wkst'!$G$7:$G$2010,$D80,'LAC 102_Wkst'!$L$7:$L$2010,"06",'LAC 102_Wkst'!$N$7:$N$2010,"P2")+SUMIFS('LAC 102_Wkst'!$AF$7:$AF$2010,'LAC 102_Wkst'!$D$7:$D$2010,$C$7,'LAC 102_Wkst'!$I$7:$I$2010,$C$9,'LAC 102_Wkst'!$E$7:$E$2010,$C80,'LAC 102_Wkst'!$G$7:$G$2010,$D80,'LAC 102_Wkst'!$L$7:$L$2010,"05",'LAC 102_Wkst'!$N$7:$N$2010,"P3")+SUMIFS('LAC 102_Wkst'!$AF$7:$AF$2010,'LAC 102_Wkst'!$D$7:$D$2010,$C$7,'LAC 102_Wkst'!$I$7:$I$2010,$C$9,'LAC 102_Wkst'!$E$7:$E$2010,$C80,'LAC 102_Wkst'!$G$7:$G$2010,$D80,'LAC 102_Wkst'!$L$7:$L$2010,"06",'LAC 102_Wkst'!$N$7:$N$2010,"P3")</f>
        <v>0</v>
      </c>
      <c r="V80" s="410">
        <f>SUMIFS('LAC 102_Wkst'!$Q$7:$Q$2010,'LAC 102_Wkst'!$D$7:$D$2010,$C$7,'LAC 102_Wkst'!$I$7:$I$2010,$C$9,'LAC 102_Wkst'!$E$7:$E$2010,$C80,'LAC 102_Wkst'!$G$7:$G$2010,$D80,'LAC 102_Wkst'!$L$7:$L$2010,"05",'LAC 102_Wkst'!$N$7:$N$2010,"P4")+SUMIFS('LAC 102_Wkst'!$Q$7:$Q$2010,'LAC 102_Wkst'!$D$7:$D$2010,$C$7,'LAC 102_Wkst'!$I$7:$I$2010,$C$9,'LAC 102_Wkst'!$E$7:$E$2010,$C80,'LAC 102_Wkst'!$G$7:$G$2010,$D80,'LAC 102_Wkst'!$L$7:$L$2010,"06",'LAC 102_Wkst'!$N$7:$N$2010,"P4")</f>
        <v>0</v>
      </c>
      <c r="W80" s="411">
        <f>SUMIFS('LAC 102_Wkst'!$AF$7:$AF$2010,'LAC 102_Wkst'!$D$7:$D$2010,$C$7,'LAC 102_Wkst'!$I$7:$I$2010,$C$9,'LAC 102_Wkst'!$E$7:$E$2010,$C80,'LAC 102_Wkst'!$G$7:$G$2010,$D80,'LAC 102_Wkst'!$L$7:$L$2010,"05",'LAC 102_Wkst'!$N$7:$N$2010,"P4")+SUMIFS('LAC 102_Wkst'!$AF$7:$AF$2010,'LAC 102_Wkst'!$D$7:$D$2010,$C$7,'LAC 102_Wkst'!$I$7:$I$2010,$C$9,'LAC 102_Wkst'!$E$7:$E$2010,$C80,'LAC 102_Wkst'!$G$7:$G$2010,$D80,'LAC 102_Wkst'!$L$7:$L$2010,"06",'LAC 102_Wkst'!$N$7:$N$2010,"P4")</f>
        <v>0</v>
      </c>
      <c r="X80" s="410">
        <f>SUMIFS('LAC 102_Wkst'!$Q$7:$Q$2010,'LAC 102_Wkst'!$D$7:$D$2010,$C$7,'LAC 102_Wkst'!$I$7:$I$2010,$C$9,'LAC 102_Wkst'!$E$7:$E$2010,$C80,'LAC 102_Wkst'!$G$7:$G$2010,$D80,'LAC 102_Wkst'!$L$7:$L$2010,"05",'LAC 102_Wkst'!$N$7:$N$2010,"P5")+SUMIFS('LAC 102_Wkst'!$Q$7:$Q$2010,'LAC 102_Wkst'!$D$7:$D$2010,$C$7,'LAC 102_Wkst'!$I$7:$I$2010,$C$9,'LAC 102_Wkst'!$E$7:$E$2010,$C80,'LAC 102_Wkst'!$G$7:$G$2010,$D80,'LAC 102_Wkst'!$L$7:$L$2010,"06",'LAC 102_Wkst'!$N$7:$N$2010,"P5")</f>
        <v>0</v>
      </c>
      <c r="Y80" s="411">
        <f>SUMIFS('LAC 102_Wkst'!$AF$7:$AF$2010,'LAC 102_Wkst'!$D$7:$D$2010,$C$7,'LAC 102_Wkst'!$I$7:$I$2010,$C$9,'LAC 102_Wkst'!$E$7:$E$2010,$C80,'LAC 102_Wkst'!$G$7:$G$2010,$D80,'LAC 102_Wkst'!$L$7:$L$2010,"05",'LAC 102_Wkst'!$N$7:$N$2010,"P5")+SUMIFS('LAC 102_Wkst'!$AF$7:$AF$2010,'LAC 102_Wkst'!$D$7:$D$2010,$C$7,'LAC 102_Wkst'!$I$7:$I$2010,$C$9,'LAC 102_Wkst'!$E$7:$E$2010,$C80,'LAC 102_Wkst'!$G$7:$G$2010,$D80,'LAC 102_Wkst'!$L$7:$L$2010,"06",'LAC 102_Wkst'!$N$7:$N$2010,"P5")</f>
        <v>0</v>
      </c>
      <c r="Z80" s="410">
        <f>SUMIFS('LAC 102_Wkst'!$Q$7:$Q$2010,'LAC 102_Wkst'!$D$7:$D$2010,$C$7,'LAC 102_Wkst'!$I$7:$I$2010,$C$9,'LAC 102_Wkst'!$E$7:$E$2010,$C80,'LAC 102_Wkst'!$G$7:$G$2010,$D80,'LAC 102_Wkst'!$L$7:$L$2010,"07",'LAC 102_Wkst'!$N$7:$N$2010,"P1")+SUMIFS('LAC 102_Wkst'!$Q$7:$Q$2010,'LAC 102_Wkst'!$D$7:$D$2010,$C$7,'LAC 102_Wkst'!$I$7:$I$2010,$C$9,'LAC 102_Wkst'!$E$7:$E$2010,$C80,'LAC 102_Wkst'!$G$7:$G$2010,$D80,'LAC 102_Wkst'!$L$7:$L$2010,"07",'LAC 102_Wkst'!$N$7:$N$2010,"P2")+SUMIFS('LAC 102_Wkst'!$Q$7:$Q$2010,'LAC 102_Wkst'!$D$7:$D$2010,$C$7,'LAC 102_Wkst'!$I$7:$I$2010,$C$9,'LAC 102_Wkst'!$E$7:$E$2010,$C80,'LAC 102_Wkst'!$G$7:$G$2010,$D80,'LAC 102_Wkst'!$L$7:$L$2010,"07",'LAC 102_Wkst'!$N$7:$N$2010,"P3")</f>
        <v>0</v>
      </c>
      <c r="AA80" s="411">
        <f>SUMIFS('LAC 102_Wkst'!$AF$7:$AF$2010,'LAC 102_Wkst'!$D$7:$D$2010,$C$7,'LAC 102_Wkst'!$I$7:$I$2010,$C$9,'LAC 102_Wkst'!$E$7:$E$2010,$C80,'LAC 102_Wkst'!$G$7:$G$2010,$D80,'LAC 102_Wkst'!$L$7:$L$2010,"07",'LAC 102_Wkst'!$N$7:$N$2010,"P1")+SUMIFS('LAC 102_Wkst'!$AF$7:$AF$2010,'LAC 102_Wkst'!$D$7:$D$2010,$C$7,'LAC 102_Wkst'!$I$7:$I$2010,$C$9,'LAC 102_Wkst'!$E$7:$E$2010,$C80,'LAC 102_Wkst'!$G$7:$G$2010,$D80,'LAC 102_Wkst'!$L$7:$L$2010,"07",'LAC 102_Wkst'!$N$7:$N$2010,"P2")+SUMIFS('LAC 102_Wkst'!$AF$7:$AF$2010,'LAC 102_Wkst'!$D$7:$D$2010,$C$7,'LAC 102_Wkst'!$I$7:$I$2010,$C$9,'LAC 102_Wkst'!$E$7:$E$2010,$C80,'LAC 102_Wkst'!$G$7:$G$2010,$D80,'LAC 102_Wkst'!$L$7:$L$2010,"07",'LAC 102_Wkst'!$N$7:$N$2010,"P3")</f>
        <v>0</v>
      </c>
      <c r="AB80" s="410">
        <f>SUMIFS('LAC 102_Wkst'!$Q$7:$Q$2010,'LAC 102_Wkst'!$D$7:$D$2010,$C$7,'LAC 102_Wkst'!$I$7:$I$2010,$C$9,'LAC 102_Wkst'!$E$7:$E$2010,$C80,'LAC 102_Wkst'!$G$7:$G$2010,$D80,'LAC 102_Wkst'!$L$7:$L$2010,"07",'LAC 102_Wkst'!$N$7:$N$2010,"P4")</f>
        <v>0</v>
      </c>
      <c r="AC80" s="411">
        <f>SUMIFS('LAC 102_Wkst'!$AF$7:$AF$2010,'LAC 102_Wkst'!$D$7:$D$2010,$C$7,'LAC 102_Wkst'!$I$7:$I$2010,$C$9,'LAC 102_Wkst'!$E$7:$E$2010,$C80,'LAC 102_Wkst'!$G$7:$G$2010,$D80,'LAC 102_Wkst'!$L$7:$L$2010,"07",'LAC 102_Wkst'!$N$7:$N$2010,"P4")</f>
        <v>0</v>
      </c>
      <c r="AD80" s="410">
        <f>SUMIFS('LAC 102_Wkst'!$Q$7:$Q$2010,'LAC 102_Wkst'!$D$7:$D$2010,$C$7,'LAC 102_Wkst'!$I$7:$I$2010,$C$9,'LAC 102_Wkst'!$E$7:$E$2010,$C80,'LAC 102_Wkst'!$G$7:$G$2010,$D80,'LAC 102_Wkst'!$L$7:$L$2010,"07",'LAC 102_Wkst'!$N$7:$N$2010,"P5")</f>
        <v>0</v>
      </c>
      <c r="AE80" s="411">
        <f>SUMIFS('LAC 102_Wkst'!$AF$7:$AF$2010,'LAC 102_Wkst'!$D$7:$D$2010,$C$7,'LAC 102_Wkst'!$I$7:$I$2010,$C$9,'LAC 102_Wkst'!$E$7:$E$2010,$C80,'LAC 102_Wkst'!$G$7:$G$2010,$D80,'LAC 102_Wkst'!$L$7:$L$2010,"07",'LAC 102_Wkst'!$N$7:$N$2010,"P5")</f>
        <v>0</v>
      </c>
      <c r="AF80" s="410">
        <f>SUMIFS('LAC 102_Wkst'!$Q$7:$Q$2010,'LAC 102_Wkst'!$D$7:$D$2010,$C$7,'LAC 102_Wkst'!$I$7:$I$2010,$C$9,'LAC 102_Wkst'!$E$7:$E$2010,$C80,'LAC 102_Wkst'!$G$7:$G$2010,$D80,'LAC 102_Wkst'!$L$7:$L$2010,"08",'LAC 102_Wkst'!$N$7:$N$2010,"P1")+SUMIFS('LAC 102_Wkst'!$Q$7:$Q$2010,'LAC 102_Wkst'!$D$7:$D$2010,$C$7,'LAC 102_Wkst'!$I$7:$I$2010,$C$9,'LAC 102_Wkst'!$E$7:$E$2010,$C80,'LAC 102_Wkst'!$G$7:$G$2010,$D80,'LAC 102_Wkst'!$L$7:$L$2010,"08",'LAC 102_Wkst'!$N$7:$N$2010,"P2")+SUMIFS('LAC 102_Wkst'!$Q$7:$Q$2010,'LAC 102_Wkst'!$D$7:$D$2010,$C$7,'LAC 102_Wkst'!$I$7:$I$2010,$C$9,'LAC 102_Wkst'!$E$7:$E$2010,$C80,'LAC 102_Wkst'!$G$7:$G$2010,$D80,'LAC 102_Wkst'!$L$7:$L$2010,"08",'LAC 102_Wkst'!$N$7:$N$2010,"P3")</f>
        <v>0</v>
      </c>
      <c r="AG80" s="411">
        <f>SUMIFS('LAC 102_Wkst'!$AF$7:$AF$2010,'LAC 102_Wkst'!$D$7:$D$2010,$C$7,'LAC 102_Wkst'!$I$7:$I$2010,$C$9,'LAC 102_Wkst'!$E$7:$E$2010,$C80,'LAC 102_Wkst'!$G$7:$G$2010,$D80,'LAC 102_Wkst'!$L$7:$L$2010,"08",'LAC 102_Wkst'!$N$7:$N$2010,"P1")+SUMIFS('LAC 102_Wkst'!$AF$7:$AF$2010,'LAC 102_Wkst'!$D$7:$D$2010,$C$7,'LAC 102_Wkst'!$I$7:$I$2010,$C$9,'LAC 102_Wkst'!$E$7:$E$2010,$C80,'LAC 102_Wkst'!$G$7:$G$2010,$D80,'LAC 102_Wkst'!$L$7:$L$2010,"08",'LAC 102_Wkst'!$N$7:$N$2010,"P2")+SUMIFS('LAC 102_Wkst'!$AF$7:$AF$2010,'LAC 102_Wkst'!$D$7:$D$2010,$C$7,'LAC 102_Wkst'!$I$7:$I$2010,$C$9,'LAC 102_Wkst'!$E$7:$E$2010,$C80,'LAC 102_Wkst'!$G$7:$G$2010,$D80,'LAC 102_Wkst'!$L$7:$L$2010,"08",'LAC 102_Wkst'!$N$7:$N$2010,"P3")</f>
        <v>0</v>
      </c>
      <c r="AH80" s="410">
        <f>SUMIFS('LAC 102_Wkst'!$Q$7:$Q$2010,'LAC 102_Wkst'!$D$7:$D$2010,$C$7,'LAC 102_Wkst'!$I$7:$I$2010,$C$9,'LAC 102_Wkst'!$E$7:$E$2010,$C80,'LAC 102_Wkst'!$G$7:$G$2010,$D80,'LAC 102_Wkst'!$L$7:$L$2010,"08",'LAC 102_Wkst'!$N$7:$N$2010,"P4")</f>
        <v>0</v>
      </c>
      <c r="AI80" s="411">
        <f>SUMIFS('LAC 102_Wkst'!$AF$7:$AF$2010,'LAC 102_Wkst'!$D$7:$D$2010,$C$7,'LAC 102_Wkst'!$I$7:$I$2010,$C$9,'LAC 102_Wkst'!$E$7:$E$2010,$C80,'LAC 102_Wkst'!$G$7:$G$2010,$D80,'LAC 102_Wkst'!$L$7:$L$2010,"08",'LAC 102_Wkst'!$N$7:$N$2010,"P4")</f>
        <v>0</v>
      </c>
      <c r="AJ80" s="410">
        <f>SUMIFS('LAC 102_Wkst'!$Q$7:$Q$2010,'LAC 102_Wkst'!$D$7:$D$2010,$C$7,'LAC 102_Wkst'!$I$7:$I$2010,$C$9,'LAC 102_Wkst'!$E$7:$E$2010,$C80,'LAC 102_Wkst'!$G$7:$G$2010,$D80,'LAC 102_Wkst'!$L$7:$L$2010,"08",'LAC 102_Wkst'!$N$7:$N$2010,"P5")</f>
        <v>0</v>
      </c>
      <c r="AK80" s="411">
        <f>SUMIFS('LAC 102_Wkst'!$AF$7:$AF$2010,'LAC 102_Wkst'!$D$7:$D$2010,$C$7,'LAC 102_Wkst'!$I$7:$I$2010,$C$9,'LAC 102_Wkst'!$E$7:$E$2010,$C80,'LAC 102_Wkst'!$G$7:$G$2010,$D80,'LAC 102_Wkst'!$L$7:$L$2010,"08",'LAC 102_Wkst'!$N$7:$N$2010,"P5")</f>
        <v>0</v>
      </c>
      <c r="AL80" s="410">
        <f>SUMIFS('LAC 102_Wkst'!$Q$7:$Q$2010,'LAC 102_Wkst'!$D$7:$D$2010,$C$7,'LAC 102_Wkst'!$I$7:$I$2010,$C$9,'LAC 102_Wkst'!$E$7:$E$2010,$C80,'LAC 102_Wkst'!$G$7:$G$2010,$D80,'LAC 102_Wkst'!$L$7:$L$2010,"09",'LAC 102_Wkst'!$N$7:$N$2010,"P1")+SUMIFS('LAC 102_Wkst'!$Q$7:$Q$2010,'LAC 102_Wkst'!$D$7:$D$2010,$C$7,'LAC 102_Wkst'!$I$7:$I$2010,$C$9,'LAC 102_Wkst'!$E$7:$E$2010,$C80,'LAC 102_Wkst'!$G$7:$G$2010,$D80,'LAC 102_Wkst'!$L$7:$L$2010,"09",'LAC 102_Wkst'!$N$7:$N$2010,"P2")+SUMIFS('LAC 102_Wkst'!$Q$7:$Q$2010,'LAC 102_Wkst'!$D$7:$D$2010,$C$7,'LAC 102_Wkst'!$I$7:$I$2010,$C$9,'LAC 102_Wkst'!$E$7:$E$2010,$C80,'LAC 102_Wkst'!$G$7:$G$2010,$D80,'LAC 102_Wkst'!$L$7:$L$2010,"09",'LAC 102_Wkst'!$N$7:$N$2010,"P3")+SUMIFS('LAC 102_Wkst'!$Q$7:$Q$2010,'LAC 102_Wkst'!$D$7:$D$2010,$C$7,'LAC 102_Wkst'!$I$7:$I$2010,$C$9,'LAC 102_Wkst'!$E$7:$E$2010,$C80,'LAC 102_Wkst'!$G$7:$G$2010,$D80,'LAC 102_Wkst'!$L$7:$L$2010,"09",'LAC 102_Wkst'!$N$7:$N$2010,"P4")</f>
        <v>0</v>
      </c>
      <c r="AM80" s="411">
        <f>SUMIFS('LAC 102_Wkst'!$AF$7:$AF$2010,'LAC 102_Wkst'!$D$7:$D$2010,$C$7,'LAC 102_Wkst'!$I$7:$I$2010,$C$9,'LAC 102_Wkst'!$E$7:$E$2010,$C80,'LAC 102_Wkst'!$G$7:$G$2010,$D80,'LAC 102_Wkst'!$L$7:$L$2010,"09",'LAC 102_Wkst'!$N$7:$N$2010,"P1")+SUMIFS('LAC 102_Wkst'!$AF$7:$AF$2010,'LAC 102_Wkst'!$D$7:$D$2010,$C$7,'LAC 102_Wkst'!$I$7:$I$2010,$C$9,'LAC 102_Wkst'!$E$7:$E$2010,$C80,'LAC 102_Wkst'!$G$7:$G$2010,$D80,'LAC 102_Wkst'!$L$7:$L$2010,"09",'LAC 102_Wkst'!$N$7:$N$2010,"P2")+SUMIFS('LAC 102_Wkst'!$AF$7:$AF$2010,'LAC 102_Wkst'!$D$7:$D$2010,$C$7,'LAC 102_Wkst'!$I$7:$I$2010,$C$9,'LAC 102_Wkst'!$E$7:$E$2010,$C80,'LAC 102_Wkst'!$G$7:$G$2010,$D80,'LAC 102_Wkst'!$L$7:$L$2010,"09",'LAC 102_Wkst'!$N$7:$N$2010,"P3")+SUMIFS('LAC 102_Wkst'!$AF$7:$AF$2010,'LAC 102_Wkst'!$D$7:$D$2010,$C$7,'LAC 102_Wkst'!$I$7:$I$2010,$C$9,'LAC 102_Wkst'!$E$7:$E$2010,$C80,'LAC 102_Wkst'!$G$7:$G$2010,$D80,'LAC 102_Wkst'!$L$7:$L$2010,"09",'LAC 102_Wkst'!$N$7:$N$2010,"P4")</f>
        <v>0</v>
      </c>
      <c r="AN80" s="410">
        <f>SUMIFS('LAC 102_Wkst'!$Q$7:$Q$2010,'LAC 102_Wkst'!$D$7:$D$2010,$C$7,'LAC 102_Wkst'!$I$7:$I$2010,$C$9,'LAC 102_Wkst'!$E$7:$E$2010,$C80,'LAC 102_Wkst'!$G$7:$G$2010,$D80,'LAC 102_Wkst'!$L$7:$L$2010,"09",'LAC 102_Wkst'!$N$7:$N$2010,"P5")</f>
        <v>0</v>
      </c>
      <c r="AO80" s="411">
        <f>SUMIFS('LAC 102_Wkst'!$AF$7:$AF$2010,'LAC 102_Wkst'!$D$7:$D$2010,$C$7,'LAC 102_Wkst'!$I$7:$I$2010,$C$9,'LAC 102_Wkst'!$E$7:$E$2010,$C80,'LAC 102_Wkst'!$G$7:$G$2010,$D80,'LAC 102_Wkst'!$L$7:$L$2010,"09",'LAC 102_Wkst'!$N$7:$N$2010,"P5")</f>
        <v>0</v>
      </c>
      <c r="AP80" s="410">
        <f>SUMIFS('LAC 102_Wkst'!$Q$7:$Q$2010,'LAC 102_Wkst'!$D$7:$D$2010,$C$7,'LAC 102_Wkst'!$I$7:$I$2010,$C$9,'LAC 102_Wkst'!$E$7:$E$2010,$C80,'LAC 102_Wkst'!$G$7:$G$2010,$D80,'LAC 102_Wkst'!$L$7:$L$2010,"10",'LAC 102_Wkst'!$N$7:$N$2010,"P1")+SUMIFS('LAC 102_Wkst'!$Q$7:$Q$2010,'LAC 102_Wkst'!$D$7:$D$2010,$C$7,'LAC 102_Wkst'!$I$7:$I$2010,$C$9,'LAC 102_Wkst'!$E$7:$E$2010,$C80,'LAC 102_Wkst'!$G$7:$G$2010,$D80,'LAC 102_Wkst'!$L$7:$L$2010,"10",'LAC 102_Wkst'!$N$7:$N$2010,"P2")+SUMIFS('LAC 102_Wkst'!$Q$7:$Q$2010,'LAC 102_Wkst'!$D$7:$D$2010,$C$7,'LAC 102_Wkst'!$I$7:$I$2010,$C$9,'LAC 102_Wkst'!$E$7:$E$2010,$C80,'LAC 102_Wkst'!$G$7:$G$2010,$D80,'LAC 102_Wkst'!$L$7:$L$2010,"10",'LAC 102_Wkst'!$N$7:$N$2010,"P3")+SUMIFS('LAC 102_Wkst'!$Q$7:$Q$2010,'LAC 102_Wkst'!$D$7:$D$2010,$C$7,'LAC 102_Wkst'!$I$7:$I$2010,$C$9,'LAC 102_Wkst'!$E$7:$E$2010,$C80,'LAC 102_Wkst'!$G$7:$G$2010,$D80,'LAC 102_Wkst'!$L$7:$L$2010,"10",'LAC 102_Wkst'!$N$7:$N$2010,"P4")</f>
        <v>0</v>
      </c>
      <c r="AQ80" s="411">
        <f>SUMIFS('LAC 102_Wkst'!$AF$7:$AF$2010,'LAC 102_Wkst'!$D$7:$D$2010,$C$7,'LAC 102_Wkst'!$I$7:$I$2010,$C$9,'LAC 102_Wkst'!$E$7:$E$2010,$C80,'LAC 102_Wkst'!$G$7:$G$2010,$D80,'LAC 102_Wkst'!$L$7:$L$2010,"10",'LAC 102_Wkst'!$N$7:$N$2010,"P1")+SUMIFS('LAC 102_Wkst'!$AF$7:$AF$2010,'LAC 102_Wkst'!$D$7:$D$2010,$C$7,'LAC 102_Wkst'!$I$7:$I$2010,$C$9,'LAC 102_Wkst'!$E$7:$E$2010,$C80,'LAC 102_Wkst'!$G$7:$G$2010,$D80,'LAC 102_Wkst'!$L$7:$L$2010,"10",'LAC 102_Wkst'!$N$7:$N$2010,"P2")+SUMIFS('LAC 102_Wkst'!$AF$7:$AF$2010,'LAC 102_Wkst'!$D$7:$D$2010,$C$7,'LAC 102_Wkst'!$I$7:$I$2010,$C$9,'LAC 102_Wkst'!$E$7:$E$2010,$C80,'LAC 102_Wkst'!$G$7:$G$2010,$D80,'LAC 102_Wkst'!$L$7:$L$2010,"10",'LAC 102_Wkst'!$N$7:$N$2010,"P3")+SUMIFS('LAC 102_Wkst'!$AF$7:$AF$2010,'LAC 102_Wkst'!$D$7:$D$2010,$C$7,'LAC 102_Wkst'!$I$7:$I$2010,$C$9,'LAC 102_Wkst'!$E$7:$E$2010,$C80,'LAC 102_Wkst'!$G$7:$G$2010,$D80,'LAC 102_Wkst'!$L$7:$L$2010,"10",'LAC 102_Wkst'!$N$7:$N$2010,"P4")</f>
        <v>0</v>
      </c>
      <c r="AR80" s="410">
        <f>SUMIFS('LAC 102_Wkst'!$Q$7:$Q$2010,'LAC 102_Wkst'!$D$7:$D$2010,$C$7,'LAC 102_Wkst'!$I$7:$I$2010,$C$9,'LAC 102_Wkst'!$E$7:$E$2010,$C80,'LAC 102_Wkst'!$G$7:$G$2010,$D80,'LAC 102_Wkst'!$L$7:$L$2010,"10",'LAC 102_Wkst'!$N$7:$N$2010,"P5")</f>
        <v>0</v>
      </c>
      <c r="AS80" s="411">
        <f>SUMIFS('LAC 102_Wkst'!$AF$7:$AF$2010,'LAC 102_Wkst'!$D$7:$D$2010,$C$7,'LAC 102_Wkst'!$I$7:$I$2010,$C$9,'LAC 102_Wkst'!$E$7:$E$2010,$C80,'LAC 102_Wkst'!$G$7:$G$2010,$D80,'LAC 102_Wkst'!$L$7:$L$2010,"10",'LAC 102_Wkst'!$N$7:$N$2010,"P5")</f>
        <v>0</v>
      </c>
      <c r="AT80" s="410">
        <f>SUMIFS('LAC 102_Wkst'!$Q$7:$Q$2010,'LAC 102_Wkst'!$D$7:$D$2010,$C$7,'LAC 102_Wkst'!$I$7:$I$2010,$C$9,'LAC 102_Wkst'!$E$7:$E$2010,$C80,'LAC 102_Wkst'!$G$7:$G$2010,$D80,'LAC 102_Wkst'!$L$7:$L$2010,"11",'LAC 102_Wkst'!$N$7:$N$2010,"P1")+SUMIFS('LAC 102_Wkst'!$Q$7:$Q$2010,'LAC 102_Wkst'!$D$7:$D$2010,$C$7,'LAC 102_Wkst'!$I$7:$I$2010,$C$9,'LAC 102_Wkst'!$E$7:$E$2010,$C80,'LAC 102_Wkst'!$G$7:$G$2010,$D80,'LAC 102_Wkst'!$L$7:$L$2010,"12",'LAC 102_Wkst'!$N$7:$N$2010,"P1")</f>
        <v>0</v>
      </c>
      <c r="AU80" s="411">
        <f>SUMIFS('LAC 102_Wkst'!$Q$7:$Q$2010,'LAC 102_Wkst'!$D$7:$D$2010,$C$7,'LAC 102_Wkst'!$I$7:$I$2010,$C$9,'LAC 102_Wkst'!$E$7:$E$2010,$C80,'LAC 102_Wkst'!$G$7:$G$2010,$D80,'LAC 102_Wkst'!$L$7:$L$2010,"13",'LAC 102_Wkst'!$N$7:$N$2010,"P5")</f>
        <v>0</v>
      </c>
      <c r="AV80" s="410">
        <f>SUMIFS('LAC 102_Wkst'!$Q$7:$Q$2010,'LAC 102_Wkst'!$D$7:$D$2010,$C$7,'LAC 102_Wkst'!$I$7:$I$2010,$C$9,'LAC 102_Wkst'!$E$7:$E$2010,$C80,'LAC 102_Wkst'!$G$7:$G$2010,$D80,'LAC 102_Wkst'!$L$7:$L$2010,"11",'LAC 102_Wkst'!$N$7:$N$2010,"P2")+SUMIFS('LAC 102_Wkst'!$Q$7:$Q$2010,'LAC 102_Wkst'!$D$7:$D$2010,$C$7,'LAC 102_Wkst'!$I$7:$I$2010,$C$9,'LAC 102_Wkst'!$E$7:$E$2010,$C80,'LAC 102_Wkst'!$G$7:$G$2010,$D80,'LAC 102_Wkst'!$L$7:$L$2010,"12",'LAC 102_Wkst'!$N$7:$N$2010,"P2")+SUMIFS('LAC 102_Wkst'!$Q$7:$Q$2010,'LAC 102_Wkst'!$D$7:$D$2010,$C$7,'LAC 102_Wkst'!$I$7:$I$2010,$C$9,'LAC 102_Wkst'!$E$7:$E$2010,$C80,'LAC 102_Wkst'!$G$7:$G$2010,$D80,'LAC 102_Wkst'!$L$7:$L$2010,"11",'LAC 102_Wkst'!$N$7:$N$2010,"P3")+SUMIFS('LAC 102_Wkst'!$Q$7:$Q$2010,'LAC 102_Wkst'!$D$7:$D$2010,$C$7,'LAC 102_Wkst'!$I$7:$I$2010,$C$9,'LAC 102_Wkst'!$E$7:$E$2010,$C80,'LAC 102_Wkst'!$G$7:$G$2010,$D80,'LAC 102_Wkst'!$L$7:$L$2010,"12",'LAC 102_Wkst'!$N$7:$N$2010,"P3")</f>
        <v>0</v>
      </c>
      <c r="AW80" s="411">
        <f>SUMIFS('LAC 102_Wkst'!$AF$7:$AF$2010,'LAC 102_Wkst'!$D$7:$D$2010,$C$7,'LAC 102_Wkst'!$I$7:$I$2010,$C$9,'LAC 102_Wkst'!$E$7:$E$2010,$C80,'LAC 102_Wkst'!$G$7:$G$2010,$D80,'LAC 102_Wkst'!$L$7:$L$2010,"11",'LAC 102_Wkst'!$N$7:$N$2010,"P2")+SUMIFS('LAC 102_Wkst'!$AF$7:$AF$2010,'LAC 102_Wkst'!$D$7:$D$2010,$C$7,'LAC 102_Wkst'!$I$7:$I$2010,$C$9,'LAC 102_Wkst'!$E$7:$E$2010,$C80,'LAC 102_Wkst'!$G$7:$G$2010,$D80,'LAC 102_Wkst'!$L$7:$L$2010,"12",'LAC 102_Wkst'!$N$7:$N$2010,"P2")+SUMIFS('LAC 102_Wkst'!$AF$7:$AF$2010,'LAC 102_Wkst'!$D$7:$D$2010,$C$7,'LAC 102_Wkst'!$I$7:$I$2010,$C$9,'LAC 102_Wkst'!$E$7:$E$2010,$C80,'LAC 102_Wkst'!$G$7:$G$2010,$D80,'LAC 102_Wkst'!$L$7:$L$2010,"11",'LAC 102_Wkst'!$N$7:$N$2010,"P3")+SUMIFS('LAC 102_Wkst'!$AF$7:$AF$2010,'LAC 102_Wkst'!$D$7:$D$2010,$C$7,'LAC 102_Wkst'!$I$7:$I$2010,$C$9,'LAC 102_Wkst'!$E$7:$E$2010,$C80,'LAC 102_Wkst'!$G$7:$G$2010,$D80,'LAC 102_Wkst'!$L$7:$L$2010,"12",'LAC 102_Wkst'!$N$7:$N$2010,"P3")</f>
        <v>0</v>
      </c>
      <c r="AX80" s="410">
        <f>SUMIFS('LAC 102_Wkst'!$Q$7:$Q$2010,'LAC 102_Wkst'!$D$7:$D$2010,$C$7,'LAC 102_Wkst'!$I$7:$I$2010,$C$9,'LAC 102_Wkst'!$E$7:$E$2010,$C80,'LAC 102_Wkst'!$G$7:$G$2010,$D80,'LAC 102_Wkst'!$L$7:$L$2010,"11",'LAC 102_Wkst'!$N$7:$N$2010,"P4")+SUMIFS('LAC 102_Wkst'!$Q$7:$Q$2010,'LAC 102_Wkst'!$D$7:$D$2010,$C$7,'LAC 102_Wkst'!$I$7:$I$2010,$C$9,'LAC 102_Wkst'!$E$7:$E$2010,$C80,'LAC 102_Wkst'!$G$7:$G$2010,$D80,'LAC 102_Wkst'!$L$7:$L$2010,"12",'LAC 102_Wkst'!$N$7:$N$2010,"P4")</f>
        <v>0</v>
      </c>
      <c r="AY80" s="411">
        <f>SUMIFS('LAC 102_Wkst'!$AF$7:$AF$2010,'LAC 102_Wkst'!$D$7:$D$2010,$C$7,'LAC 102_Wkst'!$I$7:$I$2010,$C$9,'LAC 102_Wkst'!$E$7:$E$2010,$C80,'LAC 102_Wkst'!$G$7:$G$2010,$D80,'LAC 102_Wkst'!$L$7:$L$2010,"11",'LAC 102_Wkst'!$N$7:$N$2010,"P4")+SUMIFS('LAC 102_Wkst'!$AF$7:$AF$2010,'LAC 102_Wkst'!$D$7:$D$2010,$C$7,'LAC 102_Wkst'!$I$7:$I$2010,$C$9,'LAC 102_Wkst'!$E$7:$E$2010,$C80,'LAC 102_Wkst'!$G$7:$G$2010,$D80,'LAC 102_Wkst'!$L$7:$L$2010,"12",'LAC 102_Wkst'!$N$7:$N$2010,"P4")</f>
        <v>0</v>
      </c>
      <c r="AZ80" s="410">
        <f>SUMIFS('LAC 102_Wkst'!$Q$7:$Q$2010,'LAC 102_Wkst'!$D$7:$D$2010,$C$7,'LAC 102_Wkst'!$I$7:$I$2010,$C$9,'LAC 102_Wkst'!$E$7:$E$2010,$C80,'LAC 102_Wkst'!$G$7:$G$2010,$D80,'LAC 102_Wkst'!$L$7:$L$2010,"11",'LAC 102_Wkst'!$N$7:$N$2010,"P5")+SUMIFS('LAC 102_Wkst'!$Q$7:$Q$2010,'LAC 102_Wkst'!$D$7:$D$2010,$C$7,'LAC 102_Wkst'!$I$7:$I$2010,$C$9,'LAC 102_Wkst'!$E$7:$E$2010,$C80,'LAC 102_Wkst'!$G$7:$G$2010,$D80,'LAC 102_Wkst'!$L$7:$L$2010,"12",'LAC 102_Wkst'!$N$7:$N$2010,"P5")</f>
        <v>0</v>
      </c>
      <c r="BA80" s="411">
        <f>SUMIFS('LAC 102_Wkst'!$AF$7:$AF$2010,'LAC 102_Wkst'!$D$7:$D$2010,$C$7,'LAC 102_Wkst'!$I$7:$I$2010,$C$9,'LAC 102_Wkst'!$E$7:$E$2010,$C80,'LAC 102_Wkst'!$G$7:$G$2010,$D80,'LAC 102_Wkst'!$L$7:$L$2010,"11",'LAC 102_Wkst'!$N$7:$N$2010,"P5")+SUMIFS('LAC 102_Wkst'!$AF$7:$AF$2010,'LAC 102_Wkst'!$D$7:$D$2010,$C$7,'LAC 102_Wkst'!$I$7:$I$2010,$C$9,'LAC 102_Wkst'!$E$7:$E$2010,$C80,'LAC 102_Wkst'!$G$7:$G$2010,$D80,'LAC 102_Wkst'!$L$7:$L$2010,"12",'LAC 102_Wkst'!$N$7:$N$2010,"P5")</f>
        <v>0</v>
      </c>
      <c r="BB80" s="410">
        <f>SUMIFS('LAC 102_Wkst'!$Q$7:$Q$2010,'LAC 102_Wkst'!$D$7:$D$2010,$C$7,'LAC 102_Wkst'!$I$7:$I$2010,$C$9,'LAC 102_Wkst'!$E$7:$E$2010,$C80,'LAC 102_Wkst'!$G$7:$G$2010,$D80,'LAC 102_Wkst'!$L$7:$L$2010,"13",'LAC 102_Wkst'!$N$7:$N$2010,"P1")+SUMIFS('LAC 102_Wkst'!$Q$7:$Q$2010,'LAC 102_Wkst'!$D$7:$D$2010,$C$7,'LAC 102_Wkst'!$I$7:$I$2010,$C$9,'LAC 102_Wkst'!$E$7:$E$2010,$C80,'LAC 102_Wkst'!$G$7:$G$2010,$D80,'LAC 102_Wkst'!$L$7:$L$2010,"13",'LAC 102_Wkst'!$N$7:$N$2010,"P2")+SUMIFS('LAC 102_Wkst'!$Q$7:$Q$2010,'LAC 102_Wkst'!$D$7:$D$2010,$C$7,'LAC 102_Wkst'!$I$7:$I$2010,$C$9,'LAC 102_Wkst'!$E$7:$E$2010,$C80,'LAC 102_Wkst'!$G$7:$G$2010,$D80,'LAC 102_Wkst'!$L$7:$L$2010,"13",'LAC 102_Wkst'!$N$7:$N$2010,"P3")+SUMIFS('LAC 102_Wkst'!$Q$7:$Q$2010,'LAC 102_Wkst'!$D$7:$D$2010,$C$7,'LAC 102_Wkst'!$I$7:$I$2010,$C$9,'LAC 102_Wkst'!$E$7:$E$2010,$C80,'LAC 102_Wkst'!$G$7:$G$2010,$D80,'LAC 102_Wkst'!$L$7:$L$2010,"13",'LAC 102_Wkst'!$N$7:$N$2010,"P4")</f>
        <v>0</v>
      </c>
      <c r="BC80" s="411">
        <f>SUMIFS('LAC 102_Wkst'!$AF$7:$AF$2010,'LAC 102_Wkst'!$D$7:$D$2010,$C$7,'LAC 102_Wkst'!$I$7:$I$2010,$C$9,'LAC 102_Wkst'!$E$7:$E$2010,$C80,'LAC 102_Wkst'!$G$7:$G$2010,$D80,'LAC 102_Wkst'!$L$7:$L$2010,"13",'LAC 102_Wkst'!$N$7:$N$2010,"P1")+SUMIFS('LAC 102_Wkst'!$AF$7:$AF$2010,'LAC 102_Wkst'!$D$7:$D$2010,$C$7,'LAC 102_Wkst'!$I$7:$I$2010,$C$9,'LAC 102_Wkst'!$E$7:$E$2010,$C80,'LAC 102_Wkst'!$G$7:$G$2010,$D80,'LAC 102_Wkst'!$L$7:$L$2010,"13",'LAC 102_Wkst'!$N$7:$N$2010,"P2")+SUMIFS('LAC 102_Wkst'!$AF$7:$AF$2010,'LAC 102_Wkst'!$D$7:$D$2010,$C$7,'LAC 102_Wkst'!$I$7:$I$2010,$C$9,'LAC 102_Wkst'!$E$7:$E$2010,$C80,'LAC 102_Wkst'!$G$7:$G$2010,$D80,'LAC 102_Wkst'!$L$7:$L$2010,"13",'LAC 102_Wkst'!$N$7:$N$2010,"P3")+SUMIFS('LAC 102_Wkst'!$AF$7:$AF$2010,'LAC 102_Wkst'!$D$7:$D$2010,$C$7,'LAC 102_Wkst'!$I$7:$I$2010,$C$9,'LAC 102_Wkst'!$E$7:$E$2010,$C80,'LAC 102_Wkst'!$G$7:$G$2010,$D80,'LAC 102_Wkst'!$L$7:$L$2010,"13",'LAC 102_Wkst'!$N$7:$N$2010,"P4")</f>
        <v>0</v>
      </c>
      <c r="BD80" s="410">
        <f>SUMIFS('LAC 102_Wkst'!$Q$7:$Q$2010,'LAC 102_Wkst'!$D$7:$D$2010,$C$7,'LAC 102_Wkst'!$I$7:$I$2010,$C$9,'LAC 102_Wkst'!$E$7:$E$2010,$C80,'LAC 102_Wkst'!$G$7:$G$2010,$D80,'LAC 102_Wkst'!$L$7:$L$2010,"13",'LAC 102_Wkst'!$N$7:$N$2010,"P5")</f>
        <v>0</v>
      </c>
      <c r="BE80" s="411">
        <f>SUMIFS('LAC 102_Wkst'!$AF$7:$AF$2010,'LAC 102_Wkst'!$D$7:$D$2010,$C$7,'LAC 102_Wkst'!$I$7:$I$2010,$C$9,'LAC 102_Wkst'!$E$7:$E$2010,$C80,'LAC 102_Wkst'!$G$7:$G$2010,$D80,'LAC 102_Wkst'!$L$7:$L$2010,"13",'LAC 102_Wkst'!$N$7:$N$2010,"P5")</f>
        <v>0</v>
      </c>
      <c r="BF80" s="407">
        <f t="shared" si="4"/>
        <v>0</v>
      </c>
      <c r="BG80" s="1654">
        <f>SUMIFS('LAC 102_Wkst'!$AF$7:$AF$2010,'LAC 102_Wkst'!$D$7:$D$2010,$C$7,'LAC 102_Wkst'!$I$7:$I$2010,$C$9,'LAC 102_Wkst'!$E$7:$E$2010,$C80,'LAC 102_Wkst'!$G$7:$G$2010,$D80,'LAC 102_Wkst'!$L$7:$L$2010,"14")</f>
        <v>0</v>
      </c>
    </row>
    <row r="81" spans="1:59" x14ac:dyDescent="0.2">
      <c r="A81" s="401">
        <v>59</v>
      </c>
      <c r="B81" s="1678" t="str">
        <f>IF(Schedule_B!B$78="","",Schedule_B!B$78)</f>
        <v/>
      </c>
      <c r="C81" s="1674" t="str">
        <f>IF(Schedule_B!C$78=""," ",Schedule_B!C$78)</f>
        <v xml:space="preserve"> </v>
      </c>
      <c r="D81" s="1675" t="str">
        <f>IF(Schedule_B!D$78=""," ",Schedule_B!D$78)</f>
        <v xml:space="preserve"> </v>
      </c>
      <c r="E81" s="1221">
        <f>SUMIFS('LAC 102_Wkst'!$Q$7:$Q$2010,'LAC 102_Wkst'!$D$7:$D$2010,$C$7,'LAC 102_Wkst'!$I$7:$I$2010,$C$9,'LAC 102_Wkst'!$E$7:$E$2010,$C81,'LAC 102_Wkst'!$G$7:$G$2010,$D81)</f>
        <v>0</v>
      </c>
      <c r="F81" s="408">
        <f>SUMIFS('LAC 102_Wkst'!$Q$7:$Q$2010,'LAC 102_Wkst'!$D$7:$D$2010,$C$7,'LAC 102_Wkst'!$I$7:$I$2010,$C$9,'LAC 102_Wkst'!$E$7:$E$2010,$C81,'LAC 102_Wkst'!$G$7:$G$2010,$D81,'LAC 102_Wkst'!$L$7:$L$2010,"01",'LAC 102_Wkst'!$N$7:$N$2010,"P1")+SUMIFS('LAC 102_Wkst'!$Q$7:$Q$2010,'LAC 102_Wkst'!$D$7:$D$2010,$C$7,'LAC 102_Wkst'!$I$7:$I$2010,$C$9,'LAC 102_Wkst'!$E$7:$E$2010,$C81,'LAC 102_Wkst'!$G$7:$G$2010,$D81,'LAC 102_Wkst'!$L$7:$L$2010,"01",'LAC 102_Wkst'!$N$7:$N$2010,"P2")+SUMIFS('LAC 102_Wkst'!$Q$7:$Q$2010,'LAC 102_Wkst'!$D$7:$D$2010,$C$7,'LAC 102_Wkst'!$I$7:$I$2010,$C$9,'LAC 102_Wkst'!$E$7:$E$2010,$C81,'LAC 102_Wkst'!$G$7:$G$2010,$D81,'LAC 102_Wkst'!$L$7:$L$2010,"01",'LAC 102_Wkst'!$N$7:$N$2010,"P3")+SUMIFS('LAC 102_Wkst'!$Q$7:$Q$2010,'LAC 102_Wkst'!$D$7:$D$2010,$C$7,'LAC 102_Wkst'!$I$7:$I$2010,$C$9,'LAC 102_Wkst'!$E$7:$E$2010,$C81,'LAC 102_Wkst'!$G$7:$G$2010,$D81,'LAC 102_Wkst'!$L$7:$L$2010,"02",'LAC 102_Wkst'!$N$7:$N$2010,"P1")+SUMIFS('LAC 102_Wkst'!$Q$7:$Q$2010,'LAC 102_Wkst'!$D$7:$D$2010,$C$7,'LAC 102_Wkst'!$I$7:$I$2010,$C$9,'LAC 102_Wkst'!$E$7:$E$2010,$C81,'LAC 102_Wkst'!$G$7:$G$2010,$D81,'LAC 102_Wkst'!$L$7:$L$2010,"02",'LAC 102_Wkst'!$N$7:$N$2010,"P2")+SUMIFS('LAC 102_Wkst'!$Q$7:$Q$2010,'LAC 102_Wkst'!$D$7:$D$2010,$C$7,'LAC 102_Wkst'!$I$7:$I$2010,$C$9,'LAC 102_Wkst'!$E$7:$E$2010,$C81,'LAC 102_Wkst'!$G$7:$G$2010,$D81,'LAC 102_Wkst'!$L$7:$L$2010,"02",'LAC 102_Wkst'!$N$7:$N$2010,"P3")</f>
        <v>0</v>
      </c>
      <c r="G81" s="409">
        <f>SUMIFS('LAC 102_Wkst'!$AF$7:$AF$2010,'LAC 102_Wkst'!$D$7:$D$2010,$C$7,'LAC 102_Wkst'!$I$7:$I$2010,$C$9,'LAC 102_Wkst'!$E$7:$E$2010,$C81,'LAC 102_Wkst'!$G$7:$G$2010,$D81,'LAC 102_Wkst'!$L$7:$L$2010,"01",'LAC 102_Wkst'!$N$7:$N$2010,"P1")+SUMIFS('LAC 102_Wkst'!$AF$7:$AF$2010,'LAC 102_Wkst'!$D$7:$D$2010,$C$7,'LAC 102_Wkst'!$I$7:$I$2010,$C$9,'LAC 102_Wkst'!$E$7:$E$2010,$C81,'LAC 102_Wkst'!$G$7:$G$2010,$D81,'LAC 102_Wkst'!$L$7:$L$2010,"01",'LAC 102_Wkst'!$N$7:$N$2010,"P2")+SUMIFS('LAC 102_Wkst'!$AF$7:$AF$2010,'LAC 102_Wkst'!$D$7:$D$2010,$C$7,'LAC 102_Wkst'!$I$7:$I$2010,$C$9,'LAC 102_Wkst'!$E$7:$E$2010,$C81,'LAC 102_Wkst'!$G$7:$G$2010,$D81,'LAC 102_Wkst'!$L$7:$L$2010,"01",'LAC 102_Wkst'!$N$7:$N$2010,"P3")+SUMIFS('LAC 102_Wkst'!$AF$7:$AF$2010,'LAC 102_Wkst'!$D$7:$D$2010,$C$7,'LAC 102_Wkst'!$I$7:$I$2010,$C$9,'LAC 102_Wkst'!$E$7:$E$2010,$C81,'LAC 102_Wkst'!$G$7:$G$2010,$D81,'LAC 102_Wkst'!$L$7:$L$2010,"02",'LAC 102_Wkst'!$N$7:$N$2010,"P1")+SUMIFS('LAC 102_Wkst'!$AF$7:$AF$2010,'LAC 102_Wkst'!$D$7:$D$2010,$C$7,'LAC 102_Wkst'!$I$7:$I$2010,$C$9,'LAC 102_Wkst'!$E$7:$E$2010,$C81,'LAC 102_Wkst'!$G$7:$G$2010,$D81,'LAC 102_Wkst'!$L$7:$L$2010,"02",'LAC 102_Wkst'!$N$7:$N$2010,"P2")+SUMIFS('LAC 102_Wkst'!$AF$7:$AF$2010,'LAC 102_Wkst'!$D$7:$D$2010,$C$7,'LAC 102_Wkst'!$I$7:$I$2010,$C$9,'LAC 102_Wkst'!$E$7:$E$2010,$C81,'LAC 102_Wkst'!$G$7:$G$2010,$D81,'LAC 102_Wkst'!$L$7:$L$2010,"02",'LAC 102_Wkst'!$N$7:$N$2010,"P3")</f>
        <v>0</v>
      </c>
      <c r="H81" s="410">
        <f>SUMIFS('LAC 102_Wkst'!$Q$7:$Q$2010,'LAC 102_Wkst'!$D$7:$D$2010,$C$7,'LAC 102_Wkst'!$I$7:$I$2010,$C$9,'LAC 102_Wkst'!$E$7:$E$2010,$C81,'LAC 102_Wkst'!$G$7:$G$2010,$D81,'LAC 102_Wkst'!$L$7:$L$2010,"01",'LAC 102_Wkst'!$N$7:$N$2010,"P4")+SUMIFS('LAC 102_Wkst'!$Q$7:$Q$2010,'LAC 102_Wkst'!$D$7:$D$2010,$C$7,'LAC 102_Wkst'!$I$7:$I$2010,$C$9,'LAC 102_Wkst'!$E$7:$E$2010,$C81,'LAC 102_Wkst'!$G$7:$G$2010,$D81,'LAC 102_Wkst'!$L$7:$L$2010,"02",'LAC 102_Wkst'!$N$7:$N$2010,"P4")</f>
        <v>0</v>
      </c>
      <c r="I81" s="411">
        <f>SUMIFS('LAC 102_Wkst'!$AF$7:$AF$2010,'LAC 102_Wkst'!$D$7:$D$2010,$C$7,'LAC 102_Wkst'!$I$7:$I$2010,$C$9,'LAC 102_Wkst'!$E$7:$E$2010,$C81,'LAC 102_Wkst'!$G$7:$G$2010,$D81,'LAC 102_Wkst'!$L$7:$L$2010,"01",'LAC 102_Wkst'!$N$7:$N$2010,"P4")+SUMIFS('LAC 102_Wkst'!$AF$7:$AF$2010,'LAC 102_Wkst'!$D$7:$D$2010,$C$7,'LAC 102_Wkst'!$I$7:$I$2010,$C$9,'LAC 102_Wkst'!$E$7:$E$2010,$C81,'LAC 102_Wkst'!$G$7:$G$2010,$D81,'LAC 102_Wkst'!$L$7:$L$2010,"02",'LAC 102_Wkst'!$N$7:$N$2010,"P4")</f>
        <v>0</v>
      </c>
      <c r="J81" s="410">
        <f>SUMIFS('LAC 102_Wkst'!$Q$7:$Q$2010,'LAC 102_Wkst'!$D$7:$D$2010,$C$7,'LAC 102_Wkst'!$I$7:$I$2010,$C$9,'LAC 102_Wkst'!$E$7:$E$2010,$C81,'LAC 102_Wkst'!$G$7:$G$2010,$D81,'LAC 102_Wkst'!$L$7:$L$2010,"01",'LAC 102_Wkst'!$N$7:$N$2010,"P5")+SUMIFS('LAC 102_Wkst'!$Q$7:$Q$2010,'LAC 102_Wkst'!$D$7:$D$2010,$C$7,'LAC 102_Wkst'!$I$7:$I$2010,$C$9,'LAC 102_Wkst'!$E$7:$E$2010,$C81,'LAC 102_Wkst'!$G$7:$G$2010,$D81,'LAC 102_Wkst'!$L$7:$L$2010,"02",'LAC 102_Wkst'!$N$7:$N$2010,"P5")</f>
        <v>0</v>
      </c>
      <c r="K81" s="411">
        <f>SUMIFS('LAC 102_Wkst'!$AF$7:$AF$2010,'LAC 102_Wkst'!$D$7:$D$2010,$C$7,'LAC 102_Wkst'!$I$7:$I$2010,$C$9,'LAC 102_Wkst'!$E$7:$E$2010,$C81,'LAC 102_Wkst'!$G$7:$G$2010,$D81,'LAC 102_Wkst'!$L$7:$L$2010,"01",'LAC 102_Wkst'!$N$7:$N$2010,"P5")+SUMIFS('LAC 102_Wkst'!$AF$7:$AF$2010,'LAC 102_Wkst'!$D$7:$D$2010,$C$7,'LAC 102_Wkst'!$I$7:$I$2010,$C$9,'LAC 102_Wkst'!$E$7:$E$2010,$C81,'LAC 102_Wkst'!$G$7:$G$2010,$D81,'LAC 102_Wkst'!$L$7:$L$2010,"02",'LAC 102_Wkst'!$N$7:$N$2010,"P5")</f>
        <v>0</v>
      </c>
      <c r="L81" s="410">
        <f>SUMIFS('LAC 102_Wkst'!$Q$7:$Q$2010,'LAC 102_Wkst'!$D$7:$D$2010,$C$7,'LAC 102_Wkst'!$I$7:$I$2010,$C$9,'LAC 102_Wkst'!$E$7:$E$2010,$C81,'LAC 102_Wkst'!$G$7:$G$2010,$D81,'LAC 102_Wkst'!$L$7:$L$2010,"03",'LAC 102_Wkst'!$N$7:$N$2010,"P1")+SUMIFS('LAC 102_Wkst'!$Q$7:$Q$2010,'LAC 102_Wkst'!$D$7:$D$2010,$C$7,'LAC 102_Wkst'!$I$7:$I$2010,$C$9,'LAC 102_Wkst'!$E$7:$E$2010,$C81,'LAC 102_Wkst'!$G$7:$G$2010,$D81,'LAC 102_Wkst'!$L$7:$L$2010,"03",'LAC 102_Wkst'!$N$7:$N$2010,"P2")+SUMIFS('LAC 102_Wkst'!$Q$7:$Q$2010,'LAC 102_Wkst'!$D$7:$D$2010,$C$7,'LAC 102_Wkst'!$I$7:$I$2010,$C$9,'LAC 102_Wkst'!$E$7:$E$2010,$C81,'LAC 102_Wkst'!$G$7:$G$2010,$D81,'LAC 102_Wkst'!$L$7:$L$2010,"03",'LAC 102_Wkst'!$N$7:$N$2010,"P3")+SUMIFS('LAC 102_Wkst'!$Q$7:$Q$2010,'LAC 102_Wkst'!$D$7:$D$2010,$C$7,'LAC 102_Wkst'!$I$7:$I$2010,$C$9,'LAC 102_Wkst'!$E$7:$E$2010,$C81,'LAC 102_Wkst'!$G$7:$G$2010,$D81,'LAC 102_Wkst'!$L$7:$L$2010,"04",'LAC 102_Wkst'!$N$7:$N$2010,"P1")+SUMIFS('LAC 102_Wkst'!$Q$7:$Q$2010,'LAC 102_Wkst'!$D$7:$D$2010,$C$7,'LAC 102_Wkst'!$I$7:$I$2010,$C$9,'LAC 102_Wkst'!$E$7:$E$2010,$C81,'LAC 102_Wkst'!$G$7:$G$2010,$D81,'LAC 102_Wkst'!$L$7:$L$2010,"04",'LAC 102_Wkst'!$N$7:$N$2010,"P2")+SUMIFS('LAC 102_Wkst'!$Q$7:$Q$2010,'LAC 102_Wkst'!$D$7:$D$2010,$C$7,'LAC 102_Wkst'!$I$7:$I$2010,$C$9,'LAC 102_Wkst'!$E$7:$E$2010,$C81,'LAC 102_Wkst'!$G$7:$G$2010,$D81,'LAC 102_Wkst'!$L$7:$L$2010,"04",'LAC 102_Wkst'!$N$7:$N$2010,"P3")</f>
        <v>0</v>
      </c>
      <c r="M81" s="411">
        <f>SUMIFS('LAC 102_Wkst'!$AF$7:$AF$2010,'LAC 102_Wkst'!$D$7:$D$2010,$C$7,'LAC 102_Wkst'!$I$7:$I$2010,$C$9,'LAC 102_Wkst'!$E$7:$E$2010,$C81,'LAC 102_Wkst'!$G$7:$G$2010,$D81,'LAC 102_Wkst'!$L$7:$L$2010,"03",'LAC 102_Wkst'!$N$7:$N$2010,"P1")+SUMIFS('LAC 102_Wkst'!$AF$7:$AF$2010,'LAC 102_Wkst'!$D$7:$D$2010,$C$7,'LAC 102_Wkst'!$I$7:$I$2010,$C$9,'LAC 102_Wkst'!$E$7:$E$2010,$C81,'LAC 102_Wkst'!$G$7:$G$2010,$D81,'LAC 102_Wkst'!$L$7:$L$2010,"03",'LAC 102_Wkst'!$N$7:$N$2010,"P2")+SUMIFS('LAC 102_Wkst'!$AF$7:$AF$2010,'LAC 102_Wkst'!$D$7:$D$2010,$C$7,'LAC 102_Wkst'!$I$7:$I$2010,$C$9,'LAC 102_Wkst'!$E$7:$E$2010,$C81,'LAC 102_Wkst'!$G$7:$G$2010,$D81,'LAC 102_Wkst'!$L$7:$L$2010,"03",'LAC 102_Wkst'!$N$7:$N$2010,"P3")+SUMIFS('LAC 102_Wkst'!$AF$7:$AF$2010,'LAC 102_Wkst'!$D$7:$D$2010,$C$7,'LAC 102_Wkst'!$I$7:$I$2010,$C$9,'LAC 102_Wkst'!$E$7:$E$2010,$C81,'LAC 102_Wkst'!$G$7:$G$2010,$D81,'LAC 102_Wkst'!$L$7:$L$2010,"04",'LAC 102_Wkst'!$N$7:$N$2010,"P1")+SUMIFS('LAC 102_Wkst'!$AF$7:$AF$2010,'LAC 102_Wkst'!$D$7:$D$2010,$C$7,'LAC 102_Wkst'!$I$7:$I$2010,$C$9,'LAC 102_Wkst'!$E$7:$E$2010,$C81,'LAC 102_Wkst'!$G$7:$G$2010,$D81,'LAC 102_Wkst'!$L$7:$L$2010,"04",'LAC 102_Wkst'!$N$7:$N$2010,"P2")+SUMIFS('LAC 102_Wkst'!$AF$7:$AF$2010,'LAC 102_Wkst'!$D$7:$D$2010,$C$7,'LAC 102_Wkst'!$I$7:$I$2010,$C$9,'LAC 102_Wkst'!$E$7:$E$2010,$C81,'LAC 102_Wkst'!$G$7:$G$2010,$D81,'LAC 102_Wkst'!$L$7:$L$2010,"04",'LAC 102_Wkst'!$N$7:$N$2010,"P3")</f>
        <v>0</v>
      </c>
      <c r="N81" s="410">
        <f>SUMIFS('LAC 102_Wkst'!$Q$7:$Q$2010,'LAC 102_Wkst'!$D$7:$D$2010,$C$7,'LAC 102_Wkst'!$I$7:$I$2010,$C$9,'LAC 102_Wkst'!$E$7:$E$2010,$C81,'LAC 102_Wkst'!$G$7:$G$2010,$D81,'LAC 102_Wkst'!$L$7:$L$2010,"03",'LAC 102_Wkst'!$N$7:$N$2010,"P4")+SUMIFS('LAC 102_Wkst'!$Q$7:$Q$2010,'LAC 102_Wkst'!$D$7:$D$2010,$C$7,'LAC 102_Wkst'!$I$7:$I$2010,$C$9,'LAC 102_Wkst'!$E$7:$E$2010,$C81,'LAC 102_Wkst'!$G$7:$G$2010,$D81,'LAC 102_Wkst'!$L$7:$L$2010,"04",'LAC 102_Wkst'!$N$7:$N$2010,"P4")</f>
        <v>0</v>
      </c>
      <c r="O81" s="411">
        <f>SUMIFS('LAC 102_Wkst'!$AF$7:$AF$2010,'LAC 102_Wkst'!$D$7:$D$2010,$C$7,'LAC 102_Wkst'!$I$7:$I$2010,$C$9,'LAC 102_Wkst'!$E$7:$E$2010,$C81,'LAC 102_Wkst'!$G$7:$G$2010,$D81,'LAC 102_Wkst'!$L$7:$L$2010,"03",'LAC 102_Wkst'!$N$7:$N$2010,"P4")+SUMIFS('LAC 102_Wkst'!$AF$7:$AF$2010,'LAC 102_Wkst'!$D$7:$D$2010,$C$7,'LAC 102_Wkst'!$I$7:$I$2010,$C$9,'LAC 102_Wkst'!$E$7:$E$2010,$C81,'LAC 102_Wkst'!$G$7:$G$2010,$D81,'LAC 102_Wkst'!$L$7:$L$2010,"04",'LAC 102_Wkst'!$N$7:$N$2010,"P4")</f>
        <v>0</v>
      </c>
      <c r="P81" s="410">
        <f>SUMIFS('LAC 102_Wkst'!$Q$7:$Q$2010,'LAC 102_Wkst'!$D$7:$D$2010,$C$7,'LAC 102_Wkst'!$I$7:$I$2010,$C$9,'LAC 102_Wkst'!$E$7:$E$2010,$C81,'LAC 102_Wkst'!$G$7:$G$2010,$D81,'LAC 102_Wkst'!$L$7:$L$2010,"03",'LAC 102_Wkst'!$N$7:$N$2010,"P5")+SUMIFS('LAC 102_Wkst'!$Q$7:$Q$2010,'LAC 102_Wkst'!$D$7:$D$2010,$C$7,'LAC 102_Wkst'!$I$7:$I$2010,$C$9,'LAC 102_Wkst'!$E$7:$E$2010,$C81,'LAC 102_Wkst'!$G$7:$G$2010,$D81,'LAC 102_Wkst'!$L$7:$L$2010,"04",'LAC 102_Wkst'!$N$7:$N$2010,"P5")</f>
        <v>0</v>
      </c>
      <c r="Q81" s="411">
        <f>SUMIFS('LAC 102_Wkst'!$AF$7:$AF$2010,'LAC 102_Wkst'!$D$7:$D$2010,$C$7,'LAC 102_Wkst'!$I$7:$I$2010,$C$9,'LAC 102_Wkst'!$E$7:$E$2010,$C81,'LAC 102_Wkst'!$G$7:$G$2010,$D81,'LAC 102_Wkst'!$L$7:$L$2010,"03",'LAC 102_Wkst'!$N$7:$N$2010,"P5")+SUMIFS('LAC 102_Wkst'!$AF$7:$AF$2010,'LAC 102_Wkst'!$D$7:$D$2010,$C$7,'LAC 102_Wkst'!$I$7:$I$2010,$C$9,'LAC 102_Wkst'!$E$7:$E$2010,$C81,'LAC 102_Wkst'!$G$7:$G$2010,$D81,'LAC 102_Wkst'!$L$7:$L$2010,"04",'LAC 102_Wkst'!$N$7:$N$2010,"P5")</f>
        <v>0</v>
      </c>
      <c r="R81" s="412">
        <f>SUMIFS('LAC 102_Wkst'!$Q$7:$Q$2010,'LAC 102_Wkst'!$D$7:$D$2010,$C$7,'LAC 102_Wkst'!$I$7:$I$2010,$C$9,'LAC 102_Wkst'!$E$7:$E$2010,$C81,'LAC 102_Wkst'!$G$7:$G$2010,$D81,'LAC 102_Wkst'!$L$7:$L$2010,"05",'LAC 102_Wkst'!$N$7:$N$2010,"P1")+SUMIFS('LAC 102_Wkst'!$Q$7:$Q$2010,'LAC 102_Wkst'!$D$7:$D$2010,$C$7,'LAC 102_Wkst'!$I$7:$I$2010,$C$9,'LAC 102_Wkst'!$E$7:$E$2010,$C81,'LAC 102_Wkst'!$G$7:$G$2010,$D81,'LAC 102_Wkst'!$L$7:$L$2010,"06",'LAC 102_Wkst'!$N$7:$N$2010,"P1")</f>
        <v>0</v>
      </c>
      <c r="S81" s="411">
        <f>SUMIFS('LAC 102_Wkst'!$AF$7:$AF$2010,'LAC 102_Wkst'!$D$7:$D$2010,$C$7,'LAC 102_Wkst'!$I$7:$I$2010,$C$9,'LAC 102_Wkst'!$E$7:$E$2010,$C81,'LAC 102_Wkst'!$G$7:$G$2010,$D81,'LAC 102_Wkst'!$L$7:$L$2010,"05",'LAC 102_Wkst'!$N$7:$N$2010,"P1")+SUMIFS('LAC 102_Wkst'!$AF$7:$AF$2010,'LAC 102_Wkst'!$D$7:$D$2010,$C$7,'LAC 102_Wkst'!$I$7:$I$2010,$C$9,'LAC 102_Wkst'!$E$7:$E$2010,$C81,'LAC 102_Wkst'!$G$7:$G$2010,$D81,'LAC 102_Wkst'!$L$7:$L$2010,"06",'LAC 102_Wkst'!$N$7:$N$2010,"P1")</f>
        <v>0</v>
      </c>
      <c r="T81" s="410">
        <f>SUMIFS('LAC 102_Wkst'!$Q$7:$Q$2010,'LAC 102_Wkst'!$D$7:$D$2010,$C$7,'LAC 102_Wkst'!$I$7:$I$2010,$C$9,'LAC 102_Wkst'!$E$7:$E$2010,$C81,'LAC 102_Wkst'!$G$7:$G$2010,$D81,'LAC 102_Wkst'!$L$7:$L$2010,"05",'LAC 102_Wkst'!$N$7:$N$2010,"P2")+SUMIFS('LAC 102_Wkst'!$Q$7:$Q$2010,'LAC 102_Wkst'!$D$7:$D$2010,$C$7,'LAC 102_Wkst'!$I$7:$I$2010,$C$9,'LAC 102_Wkst'!$E$7:$E$2010,$C81,'LAC 102_Wkst'!$G$7:$G$2010,$D81,'LAC 102_Wkst'!$L$7:$L$2010,"06",'LAC 102_Wkst'!$N$7:$N$2010,"P2")+SUMIFS('LAC 102_Wkst'!$Q$7:$Q$2010,'LAC 102_Wkst'!$D$7:$D$2010,$C$7,'LAC 102_Wkst'!$I$7:$I$2010,$C$9,'LAC 102_Wkst'!$E$7:$E$2010,$C81,'LAC 102_Wkst'!$G$7:$G$2010,$D81,'LAC 102_Wkst'!$L$7:$L$2010,"05",'LAC 102_Wkst'!$N$7:$N$2010,"P3")+SUMIFS('LAC 102_Wkst'!$Q$7:$Q$2010,'LAC 102_Wkst'!$D$7:$D$2010,$C$7,'LAC 102_Wkst'!$I$7:$I$2010,$C$9,'LAC 102_Wkst'!$E$7:$E$2010,$C81,'LAC 102_Wkst'!$G$7:$G$2010,$D81,'LAC 102_Wkst'!$L$7:$L$2010,"06",'LAC 102_Wkst'!$N$7:$N$2010,"P3")</f>
        <v>0</v>
      </c>
      <c r="U81" s="411">
        <f>SUMIFS('LAC 102_Wkst'!$AF$7:$AF$2010,'LAC 102_Wkst'!$D$7:$D$2010,$C$7,'LAC 102_Wkst'!$I$7:$I$2010,$C$9,'LAC 102_Wkst'!$E$7:$E$2010,$C81,'LAC 102_Wkst'!$G$7:$G$2010,$D81,'LAC 102_Wkst'!$L$7:$L$2010,"05",'LAC 102_Wkst'!$N$7:$N$2010,"P2")+SUMIFS('LAC 102_Wkst'!$AF$7:$AF$2010,'LAC 102_Wkst'!$D$7:$D$2010,$C$7,'LAC 102_Wkst'!$I$7:$I$2010,$C$9,'LAC 102_Wkst'!$E$7:$E$2010,$C81,'LAC 102_Wkst'!$G$7:$G$2010,$D81,'LAC 102_Wkst'!$L$7:$L$2010,"06",'LAC 102_Wkst'!$N$7:$N$2010,"P2")+SUMIFS('LAC 102_Wkst'!$AF$7:$AF$2010,'LAC 102_Wkst'!$D$7:$D$2010,$C$7,'LAC 102_Wkst'!$I$7:$I$2010,$C$9,'LAC 102_Wkst'!$E$7:$E$2010,$C81,'LAC 102_Wkst'!$G$7:$G$2010,$D81,'LAC 102_Wkst'!$L$7:$L$2010,"05",'LAC 102_Wkst'!$N$7:$N$2010,"P3")+SUMIFS('LAC 102_Wkst'!$AF$7:$AF$2010,'LAC 102_Wkst'!$D$7:$D$2010,$C$7,'LAC 102_Wkst'!$I$7:$I$2010,$C$9,'LAC 102_Wkst'!$E$7:$E$2010,$C81,'LAC 102_Wkst'!$G$7:$G$2010,$D81,'LAC 102_Wkst'!$L$7:$L$2010,"06",'LAC 102_Wkst'!$N$7:$N$2010,"P3")</f>
        <v>0</v>
      </c>
      <c r="V81" s="410">
        <f>SUMIFS('LAC 102_Wkst'!$Q$7:$Q$2010,'LAC 102_Wkst'!$D$7:$D$2010,$C$7,'LAC 102_Wkst'!$I$7:$I$2010,$C$9,'LAC 102_Wkst'!$E$7:$E$2010,$C81,'LAC 102_Wkst'!$G$7:$G$2010,$D81,'LAC 102_Wkst'!$L$7:$L$2010,"05",'LAC 102_Wkst'!$N$7:$N$2010,"P4")+SUMIFS('LAC 102_Wkst'!$Q$7:$Q$2010,'LAC 102_Wkst'!$D$7:$D$2010,$C$7,'LAC 102_Wkst'!$I$7:$I$2010,$C$9,'LAC 102_Wkst'!$E$7:$E$2010,$C81,'LAC 102_Wkst'!$G$7:$G$2010,$D81,'LAC 102_Wkst'!$L$7:$L$2010,"06",'LAC 102_Wkst'!$N$7:$N$2010,"P4")</f>
        <v>0</v>
      </c>
      <c r="W81" s="411">
        <f>SUMIFS('LAC 102_Wkst'!$AF$7:$AF$2010,'LAC 102_Wkst'!$D$7:$D$2010,$C$7,'LAC 102_Wkst'!$I$7:$I$2010,$C$9,'LAC 102_Wkst'!$E$7:$E$2010,$C81,'LAC 102_Wkst'!$G$7:$G$2010,$D81,'LAC 102_Wkst'!$L$7:$L$2010,"05",'LAC 102_Wkst'!$N$7:$N$2010,"P4")+SUMIFS('LAC 102_Wkst'!$AF$7:$AF$2010,'LAC 102_Wkst'!$D$7:$D$2010,$C$7,'LAC 102_Wkst'!$I$7:$I$2010,$C$9,'LAC 102_Wkst'!$E$7:$E$2010,$C81,'LAC 102_Wkst'!$G$7:$G$2010,$D81,'LAC 102_Wkst'!$L$7:$L$2010,"06",'LAC 102_Wkst'!$N$7:$N$2010,"P4")</f>
        <v>0</v>
      </c>
      <c r="X81" s="410">
        <f>SUMIFS('LAC 102_Wkst'!$Q$7:$Q$2010,'LAC 102_Wkst'!$D$7:$D$2010,$C$7,'LAC 102_Wkst'!$I$7:$I$2010,$C$9,'LAC 102_Wkst'!$E$7:$E$2010,$C81,'LAC 102_Wkst'!$G$7:$G$2010,$D81,'LAC 102_Wkst'!$L$7:$L$2010,"05",'LAC 102_Wkst'!$N$7:$N$2010,"P5")+SUMIFS('LAC 102_Wkst'!$Q$7:$Q$2010,'LAC 102_Wkst'!$D$7:$D$2010,$C$7,'LAC 102_Wkst'!$I$7:$I$2010,$C$9,'LAC 102_Wkst'!$E$7:$E$2010,$C81,'LAC 102_Wkst'!$G$7:$G$2010,$D81,'LAC 102_Wkst'!$L$7:$L$2010,"06",'LAC 102_Wkst'!$N$7:$N$2010,"P5")</f>
        <v>0</v>
      </c>
      <c r="Y81" s="411">
        <f>SUMIFS('LAC 102_Wkst'!$AF$7:$AF$2010,'LAC 102_Wkst'!$D$7:$D$2010,$C$7,'LAC 102_Wkst'!$I$7:$I$2010,$C$9,'LAC 102_Wkst'!$E$7:$E$2010,$C81,'LAC 102_Wkst'!$G$7:$G$2010,$D81,'LAC 102_Wkst'!$L$7:$L$2010,"05",'LAC 102_Wkst'!$N$7:$N$2010,"P5")+SUMIFS('LAC 102_Wkst'!$AF$7:$AF$2010,'LAC 102_Wkst'!$D$7:$D$2010,$C$7,'LAC 102_Wkst'!$I$7:$I$2010,$C$9,'LAC 102_Wkst'!$E$7:$E$2010,$C81,'LAC 102_Wkst'!$G$7:$G$2010,$D81,'LAC 102_Wkst'!$L$7:$L$2010,"06",'LAC 102_Wkst'!$N$7:$N$2010,"P5")</f>
        <v>0</v>
      </c>
      <c r="Z81" s="410">
        <f>SUMIFS('LAC 102_Wkst'!$Q$7:$Q$2010,'LAC 102_Wkst'!$D$7:$D$2010,$C$7,'LAC 102_Wkst'!$I$7:$I$2010,$C$9,'LAC 102_Wkst'!$E$7:$E$2010,$C81,'LAC 102_Wkst'!$G$7:$G$2010,$D81,'LAC 102_Wkst'!$L$7:$L$2010,"07",'LAC 102_Wkst'!$N$7:$N$2010,"P1")+SUMIFS('LAC 102_Wkst'!$Q$7:$Q$2010,'LAC 102_Wkst'!$D$7:$D$2010,$C$7,'LAC 102_Wkst'!$I$7:$I$2010,$C$9,'LAC 102_Wkst'!$E$7:$E$2010,$C81,'LAC 102_Wkst'!$G$7:$G$2010,$D81,'LAC 102_Wkst'!$L$7:$L$2010,"07",'LAC 102_Wkst'!$N$7:$N$2010,"P2")+SUMIFS('LAC 102_Wkst'!$Q$7:$Q$2010,'LAC 102_Wkst'!$D$7:$D$2010,$C$7,'LAC 102_Wkst'!$I$7:$I$2010,$C$9,'LAC 102_Wkst'!$E$7:$E$2010,$C81,'LAC 102_Wkst'!$G$7:$G$2010,$D81,'LAC 102_Wkst'!$L$7:$L$2010,"07",'LAC 102_Wkst'!$N$7:$N$2010,"P3")</f>
        <v>0</v>
      </c>
      <c r="AA81" s="411">
        <f>SUMIFS('LAC 102_Wkst'!$AF$7:$AF$2010,'LAC 102_Wkst'!$D$7:$D$2010,$C$7,'LAC 102_Wkst'!$I$7:$I$2010,$C$9,'LAC 102_Wkst'!$E$7:$E$2010,$C81,'LAC 102_Wkst'!$G$7:$G$2010,$D81,'LAC 102_Wkst'!$L$7:$L$2010,"07",'LAC 102_Wkst'!$N$7:$N$2010,"P1")+SUMIFS('LAC 102_Wkst'!$AF$7:$AF$2010,'LAC 102_Wkst'!$D$7:$D$2010,$C$7,'LAC 102_Wkst'!$I$7:$I$2010,$C$9,'LAC 102_Wkst'!$E$7:$E$2010,$C81,'LAC 102_Wkst'!$G$7:$G$2010,$D81,'LAC 102_Wkst'!$L$7:$L$2010,"07",'LAC 102_Wkst'!$N$7:$N$2010,"P2")+SUMIFS('LAC 102_Wkst'!$AF$7:$AF$2010,'LAC 102_Wkst'!$D$7:$D$2010,$C$7,'LAC 102_Wkst'!$I$7:$I$2010,$C$9,'LAC 102_Wkst'!$E$7:$E$2010,$C81,'LAC 102_Wkst'!$G$7:$G$2010,$D81,'LAC 102_Wkst'!$L$7:$L$2010,"07",'LAC 102_Wkst'!$N$7:$N$2010,"P3")</f>
        <v>0</v>
      </c>
      <c r="AB81" s="410">
        <f>SUMIFS('LAC 102_Wkst'!$Q$7:$Q$2010,'LAC 102_Wkst'!$D$7:$D$2010,$C$7,'LAC 102_Wkst'!$I$7:$I$2010,$C$9,'LAC 102_Wkst'!$E$7:$E$2010,$C81,'LAC 102_Wkst'!$G$7:$G$2010,$D81,'LAC 102_Wkst'!$L$7:$L$2010,"07",'LAC 102_Wkst'!$N$7:$N$2010,"P4")</f>
        <v>0</v>
      </c>
      <c r="AC81" s="411">
        <f>SUMIFS('LAC 102_Wkst'!$AF$7:$AF$2010,'LAC 102_Wkst'!$D$7:$D$2010,$C$7,'LAC 102_Wkst'!$I$7:$I$2010,$C$9,'LAC 102_Wkst'!$E$7:$E$2010,$C81,'LAC 102_Wkst'!$G$7:$G$2010,$D81,'LAC 102_Wkst'!$L$7:$L$2010,"07",'LAC 102_Wkst'!$N$7:$N$2010,"P4")</f>
        <v>0</v>
      </c>
      <c r="AD81" s="410">
        <f>SUMIFS('LAC 102_Wkst'!$Q$7:$Q$2010,'LAC 102_Wkst'!$D$7:$D$2010,$C$7,'LAC 102_Wkst'!$I$7:$I$2010,$C$9,'LAC 102_Wkst'!$E$7:$E$2010,$C81,'LAC 102_Wkst'!$G$7:$G$2010,$D81,'LAC 102_Wkst'!$L$7:$L$2010,"07",'LAC 102_Wkst'!$N$7:$N$2010,"P5")</f>
        <v>0</v>
      </c>
      <c r="AE81" s="411">
        <f>SUMIFS('LAC 102_Wkst'!$AF$7:$AF$2010,'LAC 102_Wkst'!$D$7:$D$2010,$C$7,'LAC 102_Wkst'!$I$7:$I$2010,$C$9,'LAC 102_Wkst'!$E$7:$E$2010,$C81,'LAC 102_Wkst'!$G$7:$G$2010,$D81,'LAC 102_Wkst'!$L$7:$L$2010,"07",'LAC 102_Wkst'!$N$7:$N$2010,"P5")</f>
        <v>0</v>
      </c>
      <c r="AF81" s="410">
        <f>SUMIFS('LAC 102_Wkst'!$Q$7:$Q$2010,'LAC 102_Wkst'!$D$7:$D$2010,$C$7,'LAC 102_Wkst'!$I$7:$I$2010,$C$9,'LAC 102_Wkst'!$E$7:$E$2010,$C81,'LAC 102_Wkst'!$G$7:$G$2010,$D81,'LAC 102_Wkst'!$L$7:$L$2010,"08",'LAC 102_Wkst'!$N$7:$N$2010,"P1")+SUMIFS('LAC 102_Wkst'!$Q$7:$Q$2010,'LAC 102_Wkst'!$D$7:$D$2010,$C$7,'LAC 102_Wkst'!$I$7:$I$2010,$C$9,'LAC 102_Wkst'!$E$7:$E$2010,$C81,'LAC 102_Wkst'!$G$7:$G$2010,$D81,'LAC 102_Wkst'!$L$7:$L$2010,"08",'LAC 102_Wkst'!$N$7:$N$2010,"P2")+SUMIFS('LAC 102_Wkst'!$Q$7:$Q$2010,'LAC 102_Wkst'!$D$7:$D$2010,$C$7,'LAC 102_Wkst'!$I$7:$I$2010,$C$9,'LAC 102_Wkst'!$E$7:$E$2010,$C81,'LAC 102_Wkst'!$G$7:$G$2010,$D81,'LAC 102_Wkst'!$L$7:$L$2010,"08",'LAC 102_Wkst'!$N$7:$N$2010,"P3")</f>
        <v>0</v>
      </c>
      <c r="AG81" s="411">
        <f>SUMIFS('LAC 102_Wkst'!$AF$7:$AF$2010,'LAC 102_Wkst'!$D$7:$D$2010,$C$7,'LAC 102_Wkst'!$I$7:$I$2010,$C$9,'LAC 102_Wkst'!$E$7:$E$2010,$C81,'LAC 102_Wkst'!$G$7:$G$2010,$D81,'LAC 102_Wkst'!$L$7:$L$2010,"08",'LAC 102_Wkst'!$N$7:$N$2010,"P1")+SUMIFS('LAC 102_Wkst'!$AF$7:$AF$2010,'LAC 102_Wkst'!$D$7:$D$2010,$C$7,'LAC 102_Wkst'!$I$7:$I$2010,$C$9,'LAC 102_Wkst'!$E$7:$E$2010,$C81,'LAC 102_Wkst'!$G$7:$G$2010,$D81,'LAC 102_Wkst'!$L$7:$L$2010,"08",'LAC 102_Wkst'!$N$7:$N$2010,"P2")+SUMIFS('LAC 102_Wkst'!$AF$7:$AF$2010,'LAC 102_Wkst'!$D$7:$D$2010,$C$7,'LAC 102_Wkst'!$I$7:$I$2010,$C$9,'LAC 102_Wkst'!$E$7:$E$2010,$C81,'LAC 102_Wkst'!$G$7:$G$2010,$D81,'LAC 102_Wkst'!$L$7:$L$2010,"08",'LAC 102_Wkst'!$N$7:$N$2010,"P3")</f>
        <v>0</v>
      </c>
      <c r="AH81" s="410">
        <f>SUMIFS('LAC 102_Wkst'!$Q$7:$Q$2010,'LAC 102_Wkst'!$D$7:$D$2010,$C$7,'LAC 102_Wkst'!$I$7:$I$2010,$C$9,'LAC 102_Wkst'!$E$7:$E$2010,$C81,'LAC 102_Wkst'!$G$7:$G$2010,$D81,'LAC 102_Wkst'!$L$7:$L$2010,"08",'LAC 102_Wkst'!$N$7:$N$2010,"P4")</f>
        <v>0</v>
      </c>
      <c r="AI81" s="411">
        <f>SUMIFS('LAC 102_Wkst'!$AF$7:$AF$2010,'LAC 102_Wkst'!$D$7:$D$2010,$C$7,'LAC 102_Wkst'!$I$7:$I$2010,$C$9,'LAC 102_Wkst'!$E$7:$E$2010,$C81,'LAC 102_Wkst'!$G$7:$G$2010,$D81,'LAC 102_Wkst'!$L$7:$L$2010,"08",'LAC 102_Wkst'!$N$7:$N$2010,"P4")</f>
        <v>0</v>
      </c>
      <c r="AJ81" s="410">
        <f>SUMIFS('LAC 102_Wkst'!$Q$7:$Q$2010,'LAC 102_Wkst'!$D$7:$D$2010,$C$7,'LAC 102_Wkst'!$I$7:$I$2010,$C$9,'LAC 102_Wkst'!$E$7:$E$2010,$C81,'LAC 102_Wkst'!$G$7:$G$2010,$D81,'LAC 102_Wkst'!$L$7:$L$2010,"08",'LAC 102_Wkst'!$N$7:$N$2010,"P5")</f>
        <v>0</v>
      </c>
      <c r="AK81" s="411">
        <f>SUMIFS('LAC 102_Wkst'!$AF$7:$AF$2010,'LAC 102_Wkst'!$D$7:$D$2010,$C$7,'LAC 102_Wkst'!$I$7:$I$2010,$C$9,'LAC 102_Wkst'!$E$7:$E$2010,$C81,'LAC 102_Wkst'!$G$7:$G$2010,$D81,'LAC 102_Wkst'!$L$7:$L$2010,"08",'LAC 102_Wkst'!$N$7:$N$2010,"P5")</f>
        <v>0</v>
      </c>
      <c r="AL81" s="410">
        <f>SUMIFS('LAC 102_Wkst'!$Q$7:$Q$2010,'LAC 102_Wkst'!$D$7:$D$2010,$C$7,'LAC 102_Wkst'!$I$7:$I$2010,$C$9,'LAC 102_Wkst'!$E$7:$E$2010,$C81,'LAC 102_Wkst'!$G$7:$G$2010,$D81,'LAC 102_Wkst'!$L$7:$L$2010,"09",'LAC 102_Wkst'!$N$7:$N$2010,"P1")+SUMIFS('LAC 102_Wkst'!$Q$7:$Q$2010,'LAC 102_Wkst'!$D$7:$D$2010,$C$7,'LAC 102_Wkst'!$I$7:$I$2010,$C$9,'LAC 102_Wkst'!$E$7:$E$2010,$C81,'LAC 102_Wkst'!$G$7:$G$2010,$D81,'LAC 102_Wkst'!$L$7:$L$2010,"09",'LAC 102_Wkst'!$N$7:$N$2010,"P2")+SUMIFS('LAC 102_Wkst'!$Q$7:$Q$2010,'LAC 102_Wkst'!$D$7:$D$2010,$C$7,'LAC 102_Wkst'!$I$7:$I$2010,$C$9,'LAC 102_Wkst'!$E$7:$E$2010,$C81,'LAC 102_Wkst'!$G$7:$G$2010,$D81,'LAC 102_Wkst'!$L$7:$L$2010,"09",'LAC 102_Wkst'!$N$7:$N$2010,"P3")+SUMIFS('LAC 102_Wkst'!$Q$7:$Q$2010,'LAC 102_Wkst'!$D$7:$D$2010,$C$7,'LAC 102_Wkst'!$I$7:$I$2010,$C$9,'LAC 102_Wkst'!$E$7:$E$2010,$C81,'LAC 102_Wkst'!$G$7:$G$2010,$D81,'LAC 102_Wkst'!$L$7:$L$2010,"09",'LAC 102_Wkst'!$N$7:$N$2010,"P4")</f>
        <v>0</v>
      </c>
      <c r="AM81" s="411">
        <f>SUMIFS('LAC 102_Wkst'!$AF$7:$AF$2010,'LAC 102_Wkst'!$D$7:$D$2010,$C$7,'LAC 102_Wkst'!$I$7:$I$2010,$C$9,'LAC 102_Wkst'!$E$7:$E$2010,$C81,'LAC 102_Wkst'!$G$7:$G$2010,$D81,'LAC 102_Wkst'!$L$7:$L$2010,"09",'LAC 102_Wkst'!$N$7:$N$2010,"P1")+SUMIFS('LAC 102_Wkst'!$AF$7:$AF$2010,'LAC 102_Wkst'!$D$7:$D$2010,$C$7,'LAC 102_Wkst'!$I$7:$I$2010,$C$9,'LAC 102_Wkst'!$E$7:$E$2010,$C81,'LAC 102_Wkst'!$G$7:$G$2010,$D81,'LAC 102_Wkst'!$L$7:$L$2010,"09",'LAC 102_Wkst'!$N$7:$N$2010,"P2")+SUMIFS('LAC 102_Wkst'!$AF$7:$AF$2010,'LAC 102_Wkst'!$D$7:$D$2010,$C$7,'LAC 102_Wkst'!$I$7:$I$2010,$C$9,'LAC 102_Wkst'!$E$7:$E$2010,$C81,'LAC 102_Wkst'!$G$7:$G$2010,$D81,'LAC 102_Wkst'!$L$7:$L$2010,"09",'LAC 102_Wkst'!$N$7:$N$2010,"P3")+SUMIFS('LAC 102_Wkst'!$AF$7:$AF$2010,'LAC 102_Wkst'!$D$7:$D$2010,$C$7,'LAC 102_Wkst'!$I$7:$I$2010,$C$9,'LAC 102_Wkst'!$E$7:$E$2010,$C81,'LAC 102_Wkst'!$G$7:$G$2010,$D81,'LAC 102_Wkst'!$L$7:$L$2010,"09",'LAC 102_Wkst'!$N$7:$N$2010,"P4")</f>
        <v>0</v>
      </c>
      <c r="AN81" s="410">
        <f>SUMIFS('LAC 102_Wkst'!$Q$7:$Q$2010,'LAC 102_Wkst'!$D$7:$D$2010,$C$7,'LAC 102_Wkst'!$I$7:$I$2010,$C$9,'LAC 102_Wkst'!$E$7:$E$2010,$C81,'LAC 102_Wkst'!$G$7:$G$2010,$D81,'LAC 102_Wkst'!$L$7:$L$2010,"09",'LAC 102_Wkst'!$N$7:$N$2010,"P5")</f>
        <v>0</v>
      </c>
      <c r="AO81" s="411">
        <f>SUMIFS('LAC 102_Wkst'!$AF$7:$AF$2010,'LAC 102_Wkst'!$D$7:$D$2010,$C$7,'LAC 102_Wkst'!$I$7:$I$2010,$C$9,'LAC 102_Wkst'!$E$7:$E$2010,$C81,'LAC 102_Wkst'!$G$7:$G$2010,$D81,'LAC 102_Wkst'!$L$7:$L$2010,"09",'LAC 102_Wkst'!$N$7:$N$2010,"P5")</f>
        <v>0</v>
      </c>
      <c r="AP81" s="410">
        <f>SUMIFS('LAC 102_Wkst'!$Q$7:$Q$2010,'LAC 102_Wkst'!$D$7:$D$2010,$C$7,'LAC 102_Wkst'!$I$7:$I$2010,$C$9,'LAC 102_Wkst'!$E$7:$E$2010,$C81,'LAC 102_Wkst'!$G$7:$G$2010,$D81,'LAC 102_Wkst'!$L$7:$L$2010,"10",'LAC 102_Wkst'!$N$7:$N$2010,"P1")+SUMIFS('LAC 102_Wkst'!$Q$7:$Q$2010,'LAC 102_Wkst'!$D$7:$D$2010,$C$7,'LAC 102_Wkst'!$I$7:$I$2010,$C$9,'LAC 102_Wkst'!$E$7:$E$2010,$C81,'LAC 102_Wkst'!$G$7:$G$2010,$D81,'LAC 102_Wkst'!$L$7:$L$2010,"10",'LAC 102_Wkst'!$N$7:$N$2010,"P2")+SUMIFS('LAC 102_Wkst'!$Q$7:$Q$2010,'LAC 102_Wkst'!$D$7:$D$2010,$C$7,'LAC 102_Wkst'!$I$7:$I$2010,$C$9,'LAC 102_Wkst'!$E$7:$E$2010,$C81,'LAC 102_Wkst'!$G$7:$G$2010,$D81,'LAC 102_Wkst'!$L$7:$L$2010,"10",'LAC 102_Wkst'!$N$7:$N$2010,"P3")+SUMIFS('LAC 102_Wkst'!$Q$7:$Q$2010,'LAC 102_Wkst'!$D$7:$D$2010,$C$7,'LAC 102_Wkst'!$I$7:$I$2010,$C$9,'LAC 102_Wkst'!$E$7:$E$2010,$C81,'LAC 102_Wkst'!$G$7:$G$2010,$D81,'LAC 102_Wkst'!$L$7:$L$2010,"10",'LAC 102_Wkst'!$N$7:$N$2010,"P4")</f>
        <v>0</v>
      </c>
      <c r="AQ81" s="411">
        <f>SUMIFS('LAC 102_Wkst'!$AF$7:$AF$2010,'LAC 102_Wkst'!$D$7:$D$2010,$C$7,'LAC 102_Wkst'!$I$7:$I$2010,$C$9,'LAC 102_Wkst'!$E$7:$E$2010,$C81,'LAC 102_Wkst'!$G$7:$G$2010,$D81,'LAC 102_Wkst'!$L$7:$L$2010,"10",'LAC 102_Wkst'!$N$7:$N$2010,"P1")+SUMIFS('LAC 102_Wkst'!$AF$7:$AF$2010,'LAC 102_Wkst'!$D$7:$D$2010,$C$7,'LAC 102_Wkst'!$I$7:$I$2010,$C$9,'LAC 102_Wkst'!$E$7:$E$2010,$C81,'LAC 102_Wkst'!$G$7:$G$2010,$D81,'LAC 102_Wkst'!$L$7:$L$2010,"10",'LAC 102_Wkst'!$N$7:$N$2010,"P2")+SUMIFS('LAC 102_Wkst'!$AF$7:$AF$2010,'LAC 102_Wkst'!$D$7:$D$2010,$C$7,'LAC 102_Wkst'!$I$7:$I$2010,$C$9,'LAC 102_Wkst'!$E$7:$E$2010,$C81,'LAC 102_Wkst'!$G$7:$G$2010,$D81,'LAC 102_Wkst'!$L$7:$L$2010,"10",'LAC 102_Wkst'!$N$7:$N$2010,"P3")+SUMIFS('LAC 102_Wkst'!$AF$7:$AF$2010,'LAC 102_Wkst'!$D$7:$D$2010,$C$7,'LAC 102_Wkst'!$I$7:$I$2010,$C$9,'LAC 102_Wkst'!$E$7:$E$2010,$C81,'LAC 102_Wkst'!$G$7:$G$2010,$D81,'LAC 102_Wkst'!$L$7:$L$2010,"10",'LAC 102_Wkst'!$N$7:$N$2010,"P4")</f>
        <v>0</v>
      </c>
      <c r="AR81" s="410">
        <f>SUMIFS('LAC 102_Wkst'!$Q$7:$Q$2010,'LAC 102_Wkst'!$D$7:$D$2010,$C$7,'LAC 102_Wkst'!$I$7:$I$2010,$C$9,'LAC 102_Wkst'!$E$7:$E$2010,$C81,'LAC 102_Wkst'!$G$7:$G$2010,$D81,'LAC 102_Wkst'!$L$7:$L$2010,"10",'LAC 102_Wkst'!$N$7:$N$2010,"P5")</f>
        <v>0</v>
      </c>
      <c r="AS81" s="411">
        <f>SUMIFS('LAC 102_Wkst'!$AF$7:$AF$2010,'LAC 102_Wkst'!$D$7:$D$2010,$C$7,'LAC 102_Wkst'!$I$7:$I$2010,$C$9,'LAC 102_Wkst'!$E$7:$E$2010,$C81,'LAC 102_Wkst'!$G$7:$G$2010,$D81,'LAC 102_Wkst'!$L$7:$L$2010,"10",'LAC 102_Wkst'!$N$7:$N$2010,"P5")</f>
        <v>0</v>
      </c>
      <c r="AT81" s="410">
        <f>SUMIFS('LAC 102_Wkst'!$Q$7:$Q$2010,'LAC 102_Wkst'!$D$7:$D$2010,$C$7,'LAC 102_Wkst'!$I$7:$I$2010,$C$9,'LAC 102_Wkst'!$E$7:$E$2010,$C81,'LAC 102_Wkst'!$G$7:$G$2010,$D81,'LAC 102_Wkst'!$L$7:$L$2010,"11",'LAC 102_Wkst'!$N$7:$N$2010,"P1")+SUMIFS('LAC 102_Wkst'!$Q$7:$Q$2010,'LAC 102_Wkst'!$D$7:$D$2010,$C$7,'LAC 102_Wkst'!$I$7:$I$2010,$C$9,'LAC 102_Wkst'!$E$7:$E$2010,$C81,'LAC 102_Wkst'!$G$7:$G$2010,$D81,'LAC 102_Wkst'!$L$7:$L$2010,"12",'LAC 102_Wkst'!$N$7:$N$2010,"P1")</f>
        <v>0</v>
      </c>
      <c r="AU81" s="411">
        <f>SUMIFS('LAC 102_Wkst'!$Q$7:$Q$2010,'LAC 102_Wkst'!$D$7:$D$2010,$C$7,'LAC 102_Wkst'!$I$7:$I$2010,$C$9,'LAC 102_Wkst'!$E$7:$E$2010,$C81,'LAC 102_Wkst'!$G$7:$G$2010,$D81,'LAC 102_Wkst'!$L$7:$L$2010,"13",'LAC 102_Wkst'!$N$7:$N$2010,"P5")</f>
        <v>0</v>
      </c>
      <c r="AV81" s="410">
        <f>SUMIFS('LAC 102_Wkst'!$Q$7:$Q$2010,'LAC 102_Wkst'!$D$7:$D$2010,$C$7,'LAC 102_Wkst'!$I$7:$I$2010,$C$9,'LAC 102_Wkst'!$E$7:$E$2010,$C81,'LAC 102_Wkst'!$G$7:$G$2010,$D81,'LAC 102_Wkst'!$L$7:$L$2010,"11",'LAC 102_Wkst'!$N$7:$N$2010,"P2")+SUMIFS('LAC 102_Wkst'!$Q$7:$Q$2010,'LAC 102_Wkst'!$D$7:$D$2010,$C$7,'LAC 102_Wkst'!$I$7:$I$2010,$C$9,'LAC 102_Wkst'!$E$7:$E$2010,$C81,'LAC 102_Wkst'!$G$7:$G$2010,$D81,'LAC 102_Wkst'!$L$7:$L$2010,"12",'LAC 102_Wkst'!$N$7:$N$2010,"P2")+SUMIFS('LAC 102_Wkst'!$Q$7:$Q$2010,'LAC 102_Wkst'!$D$7:$D$2010,$C$7,'LAC 102_Wkst'!$I$7:$I$2010,$C$9,'LAC 102_Wkst'!$E$7:$E$2010,$C81,'LAC 102_Wkst'!$G$7:$G$2010,$D81,'LAC 102_Wkst'!$L$7:$L$2010,"11",'LAC 102_Wkst'!$N$7:$N$2010,"P3")+SUMIFS('LAC 102_Wkst'!$Q$7:$Q$2010,'LAC 102_Wkst'!$D$7:$D$2010,$C$7,'LAC 102_Wkst'!$I$7:$I$2010,$C$9,'LAC 102_Wkst'!$E$7:$E$2010,$C81,'LAC 102_Wkst'!$G$7:$G$2010,$D81,'LAC 102_Wkst'!$L$7:$L$2010,"12",'LAC 102_Wkst'!$N$7:$N$2010,"P3")</f>
        <v>0</v>
      </c>
      <c r="AW81" s="411">
        <f>SUMIFS('LAC 102_Wkst'!$AF$7:$AF$2010,'LAC 102_Wkst'!$D$7:$D$2010,$C$7,'LAC 102_Wkst'!$I$7:$I$2010,$C$9,'LAC 102_Wkst'!$E$7:$E$2010,$C81,'LAC 102_Wkst'!$G$7:$G$2010,$D81,'LAC 102_Wkst'!$L$7:$L$2010,"11",'LAC 102_Wkst'!$N$7:$N$2010,"P2")+SUMIFS('LAC 102_Wkst'!$AF$7:$AF$2010,'LAC 102_Wkst'!$D$7:$D$2010,$C$7,'LAC 102_Wkst'!$I$7:$I$2010,$C$9,'LAC 102_Wkst'!$E$7:$E$2010,$C81,'LAC 102_Wkst'!$G$7:$G$2010,$D81,'LAC 102_Wkst'!$L$7:$L$2010,"12",'LAC 102_Wkst'!$N$7:$N$2010,"P2")+SUMIFS('LAC 102_Wkst'!$AF$7:$AF$2010,'LAC 102_Wkst'!$D$7:$D$2010,$C$7,'LAC 102_Wkst'!$I$7:$I$2010,$C$9,'LAC 102_Wkst'!$E$7:$E$2010,$C81,'LAC 102_Wkst'!$G$7:$G$2010,$D81,'LAC 102_Wkst'!$L$7:$L$2010,"11",'LAC 102_Wkst'!$N$7:$N$2010,"P3")+SUMIFS('LAC 102_Wkst'!$AF$7:$AF$2010,'LAC 102_Wkst'!$D$7:$D$2010,$C$7,'LAC 102_Wkst'!$I$7:$I$2010,$C$9,'LAC 102_Wkst'!$E$7:$E$2010,$C81,'LAC 102_Wkst'!$G$7:$G$2010,$D81,'LAC 102_Wkst'!$L$7:$L$2010,"12",'LAC 102_Wkst'!$N$7:$N$2010,"P3")</f>
        <v>0</v>
      </c>
      <c r="AX81" s="410">
        <f>SUMIFS('LAC 102_Wkst'!$Q$7:$Q$2010,'LAC 102_Wkst'!$D$7:$D$2010,$C$7,'LAC 102_Wkst'!$I$7:$I$2010,$C$9,'LAC 102_Wkst'!$E$7:$E$2010,$C81,'LAC 102_Wkst'!$G$7:$G$2010,$D81,'LAC 102_Wkst'!$L$7:$L$2010,"11",'LAC 102_Wkst'!$N$7:$N$2010,"P4")+SUMIFS('LAC 102_Wkst'!$Q$7:$Q$2010,'LAC 102_Wkst'!$D$7:$D$2010,$C$7,'LAC 102_Wkst'!$I$7:$I$2010,$C$9,'LAC 102_Wkst'!$E$7:$E$2010,$C81,'LAC 102_Wkst'!$G$7:$G$2010,$D81,'LAC 102_Wkst'!$L$7:$L$2010,"12",'LAC 102_Wkst'!$N$7:$N$2010,"P4")</f>
        <v>0</v>
      </c>
      <c r="AY81" s="411">
        <f>SUMIFS('LAC 102_Wkst'!$AF$7:$AF$2010,'LAC 102_Wkst'!$D$7:$D$2010,$C$7,'LAC 102_Wkst'!$I$7:$I$2010,$C$9,'LAC 102_Wkst'!$E$7:$E$2010,$C81,'LAC 102_Wkst'!$G$7:$G$2010,$D81,'LAC 102_Wkst'!$L$7:$L$2010,"11",'LAC 102_Wkst'!$N$7:$N$2010,"P4")+SUMIFS('LAC 102_Wkst'!$AF$7:$AF$2010,'LAC 102_Wkst'!$D$7:$D$2010,$C$7,'LAC 102_Wkst'!$I$7:$I$2010,$C$9,'LAC 102_Wkst'!$E$7:$E$2010,$C81,'LAC 102_Wkst'!$G$7:$G$2010,$D81,'LAC 102_Wkst'!$L$7:$L$2010,"12",'LAC 102_Wkst'!$N$7:$N$2010,"P4")</f>
        <v>0</v>
      </c>
      <c r="AZ81" s="410">
        <f>SUMIFS('LAC 102_Wkst'!$Q$7:$Q$2010,'LAC 102_Wkst'!$D$7:$D$2010,$C$7,'LAC 102_Wkst'!$I$7:$I$2010,$C$9,'LAC 102_Wkst'!$E$7:$E$2010,$C81,'LAC 102_Wkst'!$G$7:$G$2010,$D81,'LAC 102_Wkst'!$L$7:$L$2010,"11",'LAC 102_Wkst'!$N$7:$N$2010,"P5")+SUMIFS('LAC 102_Wkst'!$Q$7:$Q$2010,'LAC 102_Wkst'!$D$7:$D$2010,$C$7,'LAC 102_Wkst'!$I$7:$I$2010,$C$9,'LAC 102_Wkst'!$E$7:$E$2010,$C81,'LAC 102_Wkst'!$G$7:$G$2010,$D81,'LAC 102_Wkst'!$L$7:$L$2010,"12",'LAC 102_Wkst'!$N$7:$N$2010,"P5")</f>
        <v>0</v>
      </c>
      <c r="BA81" s="411">
        <f>SUMIFS('LAC 102_Wkst'!$AF$7:$AF$2010,'LAC 102_Wkst'!$D$7:$D$2010,$C$7,'LAC 102_Wkst'!$I$7:$I$2010,$C$9,'LAC 102_Wkst'!$E$7:$E$2010,$C81,'LAC 102_Wkst'!$G$7:$G$2010,$D81,'LAC 102_Wkst'!$L$7:$L$2010,"11",'LAC 102_Wkst'!$N$7:$N$2010,"P5")+SUMIFS('LAC 102_Wkst'!$AF$7:$AF$2010,'LAC 102_Wkst'!$D$7:$D$2010,$C$7,'LAC 102_Wkst'!$I$7:$I$2010,$C$9,'LAC 102_Wkst'!$E$7:$E$2010,$C81,'LAC 102_Wkst'!$G$7:$G$2010,$D81,'LAC 102_Wkst'!$L$7:$L$2010,"12",'LAC 102_Wkst'!$N$7:$N$2010,"P5")</f>
        <v>0</v>
      </c>
      <c r="BB81" s="410">
        <f>SUMIFS('LAC 102_Wkst'!$Q$7:$Q$2010,'LAC 102_Wkst'!$D$7:$D$2010,$C$7,'LAC 102_Wkst'!$I$7:$I$2010,$C$9,'LAC 102_Wkst'!$E$7:$E$2010,$C81,'LAC 102_Wkst'!$G$7:$G$2010,$D81,'LAC 102_Wkst'!$L$7:$L$2010,"13",'LAC 102_Wkst'!$N$7:$N$2010,"P1")+SUMIFS('LAC 102_Wkst'!$Q$7:$Q$2010,'LAC 102_Wkst'!$D$7:$D$2010,$C$7,'LAC 102_Wkst'!$I$7:$I$2010,$C$9,'LAC 102_Wkst'!$E$7:$E$2010,$C81,'LAC 102_Wkst'!$G$7:$G$2010,$D81,'LAC 102_Wkst'!$L$7:$L$2010,"13",'LAC 102_Wkst'!$N$7:$N$2010,"P2")+SUMIFS('LAC 102_Wkst'!$Q$7:$Q$2010,'LAC 102_Wkst'!$D$7:$D$2010,$C$7,'LAC 102_Wkst'!$I$7:$I$2010,$C$9,'LAC 102_Wkst'!$E$7:$E$2010,$C81,'LAC 102_Wkst'!$G$7:$G$2010,$D81,'LAC 102_Wkst'!$L$7:$L$2010,"13",'LAC 102_Wkst'!$N$7:$N$2010,"P3")+SUMIFS('LAC 102_Wkst'!$Q$7:$Q$2010,'LAC 102_Wkst'!$D$7:$D$2010,$C$7,'LAC 102_Wkst'!$I$7:$I$2010,$C$9,'LAC 102_Wkst'!$E$7:$E$2010,$C81,'LAC 102_Wkst'!$G$7:$G$2010,$D81,'LAC 102_Wkst'!$L$7:$L$2010,"13",'LAC 102_Wkst'!$N$7:$N$2010,"P4")</f>
        <v>0</v>
      </c>
      <c r="BC81" s="411">
        <f>SUMIFS('LAC 102_Wkst'!$AF$7:$AF$2010,'LAC 102_Wkst'!$D$7:$D$2010,$C$7,'LAC 102_Wkst'!$I$7:$I$2010,$C$9,'LAC 102_Wkst'!$E$7:$E$2010,$C81,'LAC 102_Wkst'!$G$7:$G$2010,$D81,'LAC 102_Wkst'!$L$7:$L$2010,"13",'LAC 102_Wkst'!$N$7:$N$2010,"P1")+SUMIFS('LAC 102_Wkst'!$AF$7:$AF$2010,'LAC 102_Wkst'!$D$7:$D$2010,$C$7,'LAC 102_Wkst'!$I$7:$I$2010,$C$9,'LAC 102_Wkst'!$E$7:$E$2010,$C81,'LAC 102_Wkst'!$G$7:$G$2010,$D81,'LAC 102_Wkst'!$L$7:$L$2010,"13",'LAC 102_Wkst'!$N$7:$N$2010,"P2")+SUMIFS('LAC 102_Wkst'!$AF$7:$AF$2010,'LAC 102_Wkst'!$D$7:$D$2010,$C$7,'LAC 102_Wkst'!$I$7:$I$2010,$C$9,'LAC 102_Wkst'!$E$7:$E$2010,$C81,'LAC 102_Wkst'!$G$7:$G$2010,$D81,'LAC 102_Wkst'!$L$7:$L$2010,"13",'LAC 102_Wkst'!$N$7:$N$2010,"P3")+SUMIFS('LAC 102_Wkst'!$AF$7:$AF$2010,'LAC 102_Wkst'!$D$7:$D$2010,$C$7,'LAC 102_Wkst'!$I$7:$I$2010,$C$9,'LAC 102_Wkst'!$E$7:$E$2010,$C81,'LAC 102_Wkst'!$G$7:$G$2010,$D81,'LAC 102_Wkst'!$L$7:$L$2010,"13",'LAC 102_Wkst'!$N$7:$N$2010,"P4")</f>
        <v>0</v>
      </c>
      <c r="BD81" s="410">
        <f>SUMIFS('LAC 102_Wkst'!$Q$7:$Q$2010,'LAC 102_Wkst'!$D$7:$D$2010,$C$7,'LAC 102_Wkst'!$I$7:$I$2010,$C$9,'LAC 102_Wkst'!$E$7:$E$2010,$C81,'LAC 102_Wkst'!$G$7:$G$2010,$D81,'LAC 102_Wkst'!$L$7:$L$2010,"13",'LAC 102_Wkst'!$N$7:$N$2010,"P5")</f>
        <v>0</v>
      </c>
      <c r="BE81" s="411">
        <f>SUMIFS('LAC 102_Wkst'!$AF$7:$AF$2010,'LAC 102_Wkst'!$D$7:$D$2010,$C$7,'LAC 102_Wkst'!$I$7:$I$2010,$C$9,'LAC 102_Wkst'!$E$7:$E$2010,$C81,'LAC 102_Wkst'!$G$7:$G$2010,$D81,'LAC 102_Wkst'!$L$7:$L$2010,"13",'LAC 102_Wkst'!$N$7:$N$2010,"P5")</f>
        <v>0</v>
      </c>
      <c r="BF81" s="407">
        <f t="shared" si="4"/>
        <v>0</v>
      </c>
      <c r="BG81" s="1654">
        <f>SUMIFS('LAC 102_Wkst'!$AF$7:$AF$2010,'LAC 102_Wkst'!$D$7:$D$2010,$C$7,'LAC 102_Wkst'!$I$7:$I$2010,$C$9,'LAC 102_Wkst'!$E$7:$E$2010,$C81,'LAC 102_Wkst'!$G$7:$G$2010,$D81,'LAC 102_Wkst'!$L$7:$L$2010,"14")</f>
        <v>0</v>
      </c>
    </row>
    <row r="82" spans="1:59" x14ac:dyDescent="0.2">
      <c r="A82" s="401">
        <v>60</v>
      </c>
      <c r="B82" s="1678" t="str">
        <f>IF(Schedule_B!B$79="","",Schedule_B!B$79)</f>
        <v/>
      </c>
      <c r="C82" s="1674" t="str">
        <f>IF(Schedule_B!C$79=""," ",Schedule_B!C$79)</f>
        <v xml:space="preserve"> </v>
      </c>
      <c r="D82" s="1675" t="str">
        <f>IF(Schedule_B!D$79=""," ",Schedule_B!D$79)</f>
        <v xml:space="preserve"> </v>
      </c>
      <c r="E82" s="1221">
        <f>SUMIFS('LAC 102_Wkst'!$Q$7:$Q$2010,'LAC 102_Wkst'!$D$7:$D$2010,$C$7,'LAC 102_Wkst'!$I$7:$I$2010,$C$9,'LAC 102_Wkst'!$E$7:$E$2010,$C82,'LAC 102_Wkst'!$G$7:$G$2010,$D82)</f>
        <v>0</v>
      </c>
      <c r="F82" s="408">
        <f>SUMIFS('LAC 102_Wkst'!$Q$7:$Q$2010,'LAC 102_Wkst'!$D$7:$D$2010,$C$7,'LAC 102_Wkst'!$I$7:$I$2010,$C$9,'LAC 102_Wkst'!$E$7:$E$2010,$C82,'LAC 102_Wkst'!$G$7:$G$2010,$D82,'LAC 102_Wkst'!$L$7:$L$2010,"01",'LAC 102_Wkst'!$N$7:$N$2010,"P1")+SUMIFS('LAC 102_Wkst'!$Q$7:$Q$2010,'LAC 102_Wkst'!$D$7:$D$2010,$C$7,'LAC 102_Wkst'!$I$7:$I$2010,$C$9,'LAC 102_Wkst'!$E$7:$E$2010,$C82,'LAC 102_Wkst'!$G$7:$G$2010,$D82,'LAC 102_Wkst'!$L$7:$L$2010,"01",'LAC 102_Wkst'!$N$7:$N$2010,"P2")+SUMIFS('LAC 102_Wkst'!$Q$7:$Q$2010,'LAC 102_Wkst'!$D$7:$D$2010,$C$7,'LAC 102_Wkst'!$I$7:$I$2010,$C$9,'LAC 102_Wkst'!$E$7:$E$2010,$C82,'LAC 102_Wkst'!$G$7:$G$2010,$D82,'LAC 102_Wkst'!$L$7:$L$2010,"01",'LAC 102_Wkst'!$N$7:$N$2010,"P3")+SUMIFS('LAC 102_Wkst'!$Q$7:$Q$2010,'LAC 102_Wkst'!$D$7:$D$2010,$C$7,'LAC 102_Wkst'!$I$7:$I$2010,$C$9,'LAC 102_Wkst'!$E$7:$E$2010,$C82,'LAC 102_Wkst'!$G$7:$G$2010,$D82,'LAC 102_Wkst'!$L$7:$L$2010,"02",'LAC 102_Wkst'!$N$7:$N$2010,"P1")+SUMIFS('LAC 102_Wkst'!$Q$7:$Q$2010,'LAC 102_Wkst'!$D$7:$D$2010,$C$7,'LAC 102_Wkst'!$I$7:$I$2010,$C$9,'LAC 102_Wkst'!$E$7:$E$2010,$C82,'LAC 102_Wkst'!$G$7:$G$2010,$D82,'LAC 102_Wkst'!$L$7:$L$2010,"02",'LAC 102_Wkst'!$N$7:$N$2010,"P2")+SUMIFS('LAC 102_Wkst'!$Q$7:$Q$2010,'LAC 102_Wkst'!$D$7:$D$2010,$C$7,'LAC 102_Wkst'!$I$7:$I$2010,$C$9,'LAC 102_Wkst'!$E$7:$E$2010,$C82,'LAC 102_Wkst'!$G$7:$G$2010,$D82,'LAC 102_Wkst'!$L$7:$L$2010,"02",'LAC 102_Wkst'!$N$7:$N$2010,"P3")</f>
        <v>0</v>
      </c>
      <c r="G82" s="409">
        <f>SUMIFS('LAC 102_Wkst'!$AF$7:$AF$2010,'LAC 102_Wkst'!$D$7:$D$2010,$C$7,'LAC 102_Wkst'!$I$7:$I$2010,$C$9,'LAC 102_Wkst'!$E$7:$E$2010,$C82,'LAC 102_Wkst'!$G$7:$G$2010,$D82,'LAC 102_Wkst'!$L$7:$L$2010,"01",'LAC 102_Wkst'!$N$7:$N$2010,"P1")+SUMIFS('LAC 102_Wkst'!$AF$7:$AF$2010,'LAC 102_Wkst'!$D$7:$D$2010,$C$7,'LAC 102_Wkst'!$I$7:$I$2010,$C$9,'LAC 102_Wkst'!$E$7:$E$2010,$C82,'LAC 102_Wkst'!$G$7:$G$2010,$D82,'LAC 102_Wkst'!$L$7:$L$2010,"01",'LAC 102_Wkst'!$N$7:$N$2010,"P2")+SUMIFS('LAC 102_Wkst'!$AF$7:$AF$2010,'LAC 102_Wkst'!$D$7:$D$2010,$C$7,'LAC 102_Wkst'!$I$7:$I$2010,$C$9,'LAC 102_Wkst'!$E$7:$E$2010,$C82,'LAC 102_Wkst'!$G$7:$G$2010,$D82,'LAC 102_Wkst'!$L$7:$L$2010,"01",'LAC 102_Wkst'!$N$7:$N$2010,"P3")+SUMIFS('LAC 102_Wkst'!$AF$7:$AF$2010,'LAC 102_Wkst'!$D$7:$D$2010,$C$7,'LAC 102_Wkst'!$I$7:$I$2010,$C$9,'LAC 102_Wkst'!$E$7:$E$2010,$C82,'LAC 102_Wkst'!$G$7:$G$2010,$D82,'LAC 102_Wkst'!$L$7:$L$2010,"02",'LAC 102_Wkst'!$N$7:$N$2010,"P1")+SUMIFS('LAC 102_Wkst'!$AF$7:$AF$2010,'LAC 102_Wkst'!$D$7:$D$2010,$C$7,'LAC 102_Wkst'!$I$7:$I$2010,$C$9,'LAC 102_Wkst'!$E$7:$E$2010,$C82,'LAC 102_Wkst'!$G$7:$G$2010,$D82,'LAC 102_Wkst'!$L$7:$L$2010,"02",'LAC 102_Wkst'!$N$7:$N$2010,"P2")+SUMIFS('LAC 102_Wkst'!$AF$7:$AF$2010,'LAC 102_Wkst'!$D$7:$D$2010,$C$7,'LAC 102_Wkst'!$I$7:$I$2010,$C$9,'LAC 102_Wkst'!$E$7:$E$2010,$C82,'LAC 102_Wkst'!$G$7:$G$2010,$D82,'LAC 102_Wkst'!$L$7:$L$2010,"02",'LAC 102_Wkst'!$N$7:$N$2010,"P3")</f>
        <v>0</v>
      </c>
      <c r="H82" s="410">
        <f>SUMIFS('LAC 102_Wkst'!$Q$7:$Q$2010,'LAC 102_Wkst'!$D$7:$D$2010,$C$7,'LAC 102_Wkst'!$I$7:$I$2010,$C$9,'LAC 102_Wkst'!$E$7:$E$2010,$C82,'LAC 102_Wkst'!$G$7:$G$2010,$D82,'LAC 102_Wkst'!$L$7:$L$2010,"01",'LAC 102_Wkst'!$N$7:$N$2010,"P4")+SUMIFS('LAC 102_Wkst'!$Q$7:$Q$2010,'LAC 102_Wkst'!$D$7:$D$2010,$C$7,'LAC 102_Wkst'!$I$7:$I$2010,$C$9,'LAC 102_Wkst'!$E$7:$E$2010,$C82,'LAC 102_Wkst'!$G$7:$G$2010,$D82,'LAC 102_Wkst'!$L$7:$L$2010,"02",'LAC 102_Wkst'!$N$7:$N$2010,"P4")</f>
        <v>0</v>
      </c>
      <c r="I82" s="411">
        <f>SUMIFS('LAC 102_Wkst'!$AF$7:$AF$2010,'LAC 102_Wkst'!$D$7:$D$2010,$C$7,'LAC 102_Wkst'!$I$7:$I$2010,$C$9,'LAC 102_Wkst'!$E$7:$E$2010,$C82,'LAC 102_Wkst'!$G$7:$G$2010,$D82,'LAC 102_Wkst'!$L$7:$L$2010,"01",'LAC 102_Wkst'!$N$7:$N$2010,"P4")+SUMIFS('LAC 102_Wkst'!$AF$7:$AF$2010,'LAC 102_Wkst'!$D$7:$D$2010,$C$7,'LAC 102_Wkst'!$I$7:$I$2010,$C$9,'LAC 102_Wkst'!$E$7:$E$2010,$C82,'LAC 102_Wkst'!$G$7:$G$2010,$D82,'LAC 102_Wkst'!$L$7:$L$2010,"02",'LAC 102_Wkst'!$N$7:$N$2010,"P4")</f>
        <v>0</v>
      </c>
      <c r="J82" s="410">
        <f>SUMIFS('LAC 102_Wkst'!$Q$7:$Q$2010,'LAC 102_Wkst'!$D$7:$D$2010,$C$7,'LAC 102_Wkst'!$I$7:$I$2010,$C$9,'LAC 102_Wkst'!$E$7:$E$2010,$C82,'LAC 102_Wkst'!$G$7:$G$2010,$D82,'LAC 102_Wkst'!$L$7:$L$2010,"01",'LAC 102_Wkst'!$N$7:$N$2010,"P5")+SUMIFS('LAC 102_Wkst'!$Q$7:$Q$2010,'LAC 102_Wkst'!$D$7:$D$2010,$C$7,'LAC 102_Wkst'!$I$7:$I$2010,$C$9,'LAC 102_Wkst'!$E$7:$E$2010,$C82,'LAC 102_Wkst'!$G$7:$G$2010,$D82,'LAC 102_Wkst'!$L$7:$L$2010,"02",'LAC 102_Wkst'!$N$7:$N$2010,"P5")</f>
        <v>0</v>
      </c>
      <c r="K82" s="411">
        <f>SUMIFS('LAC 102_Wkst'!$AF$7:$AF$2010,'LAC 102_Wkst'!$D$7:$D$2010,$C$7,'LAC 102_Wkst'!$I$7:$I$2010,$C$9,'LAC 102_Wkst'!$E$7:$E$2010,$C82,'LAC 102_Wkst'!$G$7:$G$2010,$D82,'LAC 102_Wkst'!$L$7:$L$2010,"01",'LAC 102_Wkst'!$N$7:$N$2010,"P5")+SUMIFS('LAC 102_Wkst'!$AF$7:$AF$2010,'LAC 102_Wkst'!$D$7:$D$2010,$C$7,'LAC 102_Wkst'!$I$7:$I$2010,$C$9,'LAC 102_Wkst'!$E$7:$E$2010,$C82,'LAC 102_Wkst'!$G$7:$G$2010,$D82,'LAC 102_Wkst'!$L$7:$L$2010,"02",'LAC 102_Wkst'!$N$7:$N$2010,"P5")</f>
        <v>0</v>
      </c>
      <c r="L82" s="410">
        <f>SUMIFS('LAC 102_Wkst'!$Q$7:$Q$2010,'LAC 102_Wkst'!$D$7:$D$2010,$C$7,'LAC 102_Wkst'!$I$7:$I$2010,$C$9,'LAC 102_Wkst'!$E$7:$E$2010,$C82,'LAC 102_Wkst'!$G$7:$G$2010,$D82,'LAC 102_Wkst'!$L$7:$L$2010,"03",'LAC 102_Wkst'!$N$7:$N$2010,"P1")+SUMIFS('LAC 102_Wkst'!$Q$7:$Q$2010,'LAC 102_Wkst'!$D$7:$D$2010,$C$7,'LAC 102_Wkst'!$I$7:$I$2010,$C$9,'LAC 102_Wkst'!$E$7:$E$2010,$C82,'LAC 102_Wkst'!$G$7:$G$2010,$D82,'LAC 102_Wkst'!$L$7:$L$2010,"03",'LAC 102_Wkst'!$N$7:$N$2010,"P2")+SUMIFS('LAC 102_Wkst'!$Q$7:$Q$2010,'LAC 102_Wkst'!$D$7:$D$2010,$C$7,'LAC 102_Wkst'!$I$7:$I$2010,$C$9,'LAC 102_Wkst'!$E$7:$E$2010,$C82,'LAC 102_Wkst'!$G$7:$G$2010,$D82,'LAC 102_Wkst'!$L$7:$L$2010,"03",'LAC 102_Wkst'!$N$7:$N$2010,"P3")+SUMIFS('LAC 102_Wkst'!$Q$7:$Q$2010,'LAC 102_Wkst'!$D$7:$D$2010,$C$7,'LAC 102_Wkst'!$I$7:$I$2010,$C$9,'LAC 102_Wkst'!$E$7:$E$2010,$C82,'LAC 102_Wkst'!$G$7:$G$2010,$D82,'LAC 102_Wkst'!$L$7:$L$2010,"04",'LAC 102_Wkst'!$N$7:$N$2010,"P1")+SUMIFS('LAC 102_Wkst'!$Q$7:$Q$2010,'LAC 102_Wkst'!$D$7:$D$2010,$C$7,'LAC 102_Wkst'!$I$7:$I$2010,$C$9,'LAC 102_Wkst'!$E$7:$E$2010,$C82,'LAC 102_Wkst'!$G$7:$G$2010,$D82,'LAC 102_Wkst'!$L$7:$L$2010,"04",'LAC 102_Wkst'!$N$7:$N$2010,"P2")+SUMIFS('LAC 102_Wkst'!$Q$7:$Q$2010,'LAC 102_Wkst'!$D$7:$D$2010,$C$7,'LAC 102_Wkst'!$I$7:$I$2010,$C$9,'LAC 102_Wkst'!$E$7:$E$2010,$C82,'LAC 102_Wkst'!$G$7:$G$2010,$D82,'LAC 102_Wkst'!$L$7:$L$2010,"04",'LAC 102_Wkst'!$N$7:$N$2010,"P3")</f>
        <v>0</v>
      </c>
      <c r="M82" s="411">
        <f>SUMIFS('LAC 102_Wkst'!$AF$7:$AF$2010,'LAC 102_Wkst'!$D$7:$D$2010,$C$7,'LAC 102_Wkst'!$I$7:$I$2010,$C$9,'LAC 102_Wkst'!$E$7:$E$2010,$C82,'LAC 102_Wkst'!$G$7:$G$2010,$D82,'LAC 102_Wkst'!$L$7:$L$2010,"03",'LAC 102_Wkst'!$N$7:$N$2010,"P1")+SUMIFS('LAC 102_Wkst'!$AF$7:$AF$2010,'LAC 102_Wkst'!$D$7:$D$2010,$C$7,'LAC 102_Wkst'!$I$7:$I$2010,$C$9,'LAC 102_Wkst'!$E$7:$E$2010,$C82,'LAC 102_Wkst'!$G$7:$G$2010,$D82,'LAC 102_Wkst'!$L$7:$L$2010,"03",'LAC 102_Wkst'!$N$7:$N$2010,"P2")+SUMIFS('LAC 102_Wkst'!$AF$7:$AF$2010,'LAC 102_Wkst'!$D$7:$D$2010,$C$7,'LAC 102_Wkst'!$I$7:$I$2010,$C$9,'LAC 102_Wkst'!$E$7:$E$2010,$C82,'LAC 102_Wkst'!$G$7:$G$2010,$D82,'LAC 102_Wkst'!$L$7:$L$2010,"03",'LAC 102_Wkst'!$N$7:$N$2010,"P3")+SUMIFS('LAC 102_Wkst'!$AF$7:$AF$2010,'LAC 102_Wkst'!$D$7:$D$2010,$C$7,'LAC 102_Wkst'!$I$7:$I$2010,$C$9,'LAC 102_Wkst'!$E$7:$E$2010,$C82,'LAC 102_Wkst'!$G$7:$G$2010,$D82,'LAC 102_Wkst'!$L$7:$L$2010,"04",'LAC 102_Wkst'!$N$7:$N$2010,"P1")+SUMIFS('LAC 102_Wkst'!$AF$7:$AF$2010,'LAC 102_Wkst'!$D$7:$D$2010,$C$7,'LAC 102_Wkst'!$I$7:$I$2010,$C$9,'LAC 102_Wkst'!$E$7:$E$2010,$C82,'LAC 102_Wkst'!$G$7:$G$2010,$D82,'LAC 102_Wkst'!$L$7:$L$2010,"04",'LAC 102_Wkst'!$N$7:$N$2010,"P2")+SUMIFS('LAC 102_Wkst'!$AF$7:$AF$2010,'LAC 102_Wkst'!$D$7:$D$2010,$C$7,'LAC 102_Wkst'!$I$7:$I$2010,$C$9,'LAC 102_Wkst'!$E$7:$E$2010,$C82,'LAC 102_Wkst'!$G$7:$G$2010,$D82,'LAC 102_Wkst'!$L$7:$L$2010,"04",'LAC 102_Wkst'!$N$7:$N$2010,"P3")</f>
        <v>0</v>
      </c>
      <c r="N82" s="410">
        <f>SUMIFS('LAC 102_Wkst'!$Q$7:$Q$2010,'LAC 102_Wkst'!$D$7:$D$2010,$C$7,'LAC 102_Wkst'!$I$7:$I$2010,$C$9,'LAC 102_Wkst'!$E$7:$E$2010,$C82,'LAC 102_Wkst'!$G$7:$G$2010,$D82,'LAC 102_Wkst'!$L$7:$L$2010,"03",'LAC 102_Wkst'!$N$7:$N$2010,"P4")+SUMIFS('LAC 102_Wkst'!$Q$7:$Q$2010,'LAC 102_Wkst'!$D$7:$D$2010,$C$7,'LAC 102_Wkst'!$I$7:$I$2010,$C$9,'LAC 102_Wkst'!$E$7:$E$2010,$C82,'LAC 102_Wkst'!$G$7:$G$2010,$D82,'LAC 102_Wkst'!$L$7:$L$2010,"04",'LAC 102_Wkst'!$N$7:$N$2010,"P4")</f>
        <v>0</v>
      </c>
      <c r="O82" s="411">
        <f>SUMIFS('LAC 102_Wkst'!$AF$7:$AF$2010,'LAC 102_Wkst'!$D$7:$D$2010,$C$7,'LAC 102_Wkst'!$I$7:$I$2010,$C$9,'LAC 102_Wkst'!$E$7:$E$2010,$C82,'LAC 102_Wkst'!$G$7:$G$2010,$D82,'LAC 102_Wkst'!$L$7:$L$2010,"03",'LAC 102_Wkst'!$N$7:$N$2010,"P4")+SUMIFS('LAC 102_Wkst'!$AF$7:$AF$2010,'LAC 102_Wkst'!$D$7:$D$2010,$C$7,'LAC 102_Wkst'!$I$7:$I$2010,$C$9,'LAC 102_Wkst'!$E$7:$E$2010,$C82,'LAC 102_Wkst'!$G$7:$G$2010,$D82,'LAC 102_Wkst'!$L$7:$L$2010,"04",'LAC 102_Wkst'!$N$7:$N$2010,"P4")</f>
        <v>0</v>
      </c>
      <c r="P82" s="410">
        <f>SUMIFS('LAC 102_Wkst'!$Q$7:$Q$2010,'LAC 102_Wkst'!$D$7:$D$2010,$C$7,'LAC 102_Wkst'!$I$7:$I$2010,$C$9,'LAC 102_Wkst'!$E$7:$E$2010,$C82,'LAC 102_Wkst'!$G$7:$G$2010,$D82,'LAC 102_Wkst'!$L$7:$L$2010,"03",'LAC 102_Wkst'!$N$7:$N$2010,"P5")+SUMIFS('LAC 102_Wkst'!$Q$7:$Q$2010,'LAC 102_Wkst'!$D$7:$D$2010,$C$7,'LAC 102_Wkst'!$I$7:$I$2010,$C$9,'LAC 102_Wkst'!$E$7:$E$2010,$C82,'LAC 102_Wkst'!$G$7:$G$2010,$D82,'LAC 102_Wkst'!$L$7:$L$2010,"04",'LAC 102_Wkst'!$N$7:$N$2010,"P5")</f>
        <v>0</v>
      </c>
      <c r="Q82" s="411">
        <f>SUMIFS('LAC 102_Wkst'!$AF$7:$AF$2010,'LAC 102_Wkst'!$D$7:$D$2010,$C$7,'LAC 102_Wkst'!$I$7:$I$2010,$C$9,'LAC 102_Wkst'!$E$7:$E$2010,$C82,'LAC 102_Wkst'!$G$7:$G$2010,$D82,'LAC 102_Wkst'!$L$7:$L$2010,"03",'LAC 102_Wkst'!$N$7:$N$2010,"P5")+SUMIFS('LAC 102_Wkst'!$AF$7:$AF$2010,'LAC 102_Wkst'!$D$7:$D$2010,$C$7,'LAC 102_Wkst'!$I$7:$I$2010,$C$9,'LAC 102_Wkst'!$E$7:$E$2010,$C82,'LAC 102_Wkst'!$G$7:$G$2010,$D82,'LAC 102_Wkst'!$L$7:$L$2010,"04",'LAC 102_Wkst'!$N$7:$N$2010,"P5")</f>
        <v>0</v>
      </c>
      <c r="R82" s="412">
        <f>SUMIFS('LAC 102_Wkst'!$Q$7:$Q$2010,'LAC 102_Wkst'!$D$7:$D$2010,$C$7,'LAC 102_Wkst'!$I$7:$I$2010,$C$9,'LAC 102_Wkst'!$E$7:$E$2010,$C82,'LAC 102_Wkst'!$G$7:$G$2010,$D82,'LAC 102_Wkst'!$L$7:$L$2010,"05",'LAC 102_Wkst'!$N$7:$N$2010,"P1")+SUMIFS('LAC 102_Wkst'!$Q$7:$Q$2010,'LAC 102_Wkst'!$D$7:$D$2010,$C$7,'LAC 102_Wkst'!$I$7:$I$2010,$C$9,'LAC 102_Wkst'!$E$7:$E$2010,$C82,'LAC 102_Wkst'!$G$7:$G$2010,$D82,'LAC 102_Wkst'!$L$7:$L$2010,"06",'LAC 102_Wkst'!$N$7:$N$2010,"P1")</f>
        <v>0</v>
      </c>
      <c r="S82" s="411">
        <f>SUMIFS('LAC 102_Wkst'!$AF$7:$AF$2010,'LAC 102_Wkst'!$D$7:$D$2010,$C$7,'LAC 102_Wkst'!$I$7:$I$2010,$C$9,'LAC 102_Wkst'!$E$7:$E$2010,$C82,'LAC 102_Wkst'!$G$7:$G$2010,$D82,'LAC 102_Wkst'!$L$7:$L$2010,"05",'LAC 102_Wkst'!$N$7:$N$2010,"P1")+SUMIFS('LAC 102_Wkst'!$AF$7:$AF$2010,'LAC 102_Wkst'!$D$7:$D$2010,$C$7,'LAC 102_Wkst'!$I$7:$I$2010,$C$9,'LAC 102_Wkst'!$E$7:$E$2010,$C82,'LAC 102_Wkst'!$G$7:$G$2010,$D82,'LAC 102_Wkst'!$L$7:$L$2010,"06",'LAC 102_Wkst'!$N$7:$N$2010,"P1")</f>
        <v>0</v>
      </c>
      <c r="T82" s="410">
        <f>SUMIFS('LAC 102_Wkst'!$Q$7:$Q$2010,'LAC 102_Wkst'!$D$7:$D$2010,$C$7,'LAC 102_Wkst'!$I$7:$I$2010,$C$9,'LAC 102_Wkst'!$E$7:$E$2010,$C82,'LAC 102_Wkst'!$G$7:$G$2010,$D82,'LAC 102_Wkst'!$L$7:$L$2010,"05",'LAC 102_Wkst'!$N$7:$N$2010,"P2")+SUMIFS('LAC 102_Wkst'!$Q$7:$Q$2010,'LAC 102_Wkst'!$D$7:$D$2010,$C$7,'LAC 102_Wkst'!$I$7:$I$2010,$C$9,'LAC 102_Wkst'!$E$7:$E$2010,$C82,'LAC 102_Wkst'!$G$7:$G$2010,$D82,'LAC 102_Wkst'!$L$7:$L$2010,"06",'LAC 102_Wkst'!$N$7:$N$2010,"P2")+SUMIFS('LAC 102_Wkst'!$Q$7:$Q$2010,'LAC 102_Wkst'!$D$7:$D$2010,$C$7,'LAC 102_Wkst'!$I$7:$I$2010,$C$9,'LAC 102_Wkst'!$E$7:$E$2010,$C82,'LAC 102_Wkst'!$G$7:$G$2010,$D82,'LAC 102_Wkst'!$L$7:$L$2010,"05",'LAC 102_Wkst'!$N$7:$N$2010,"P3")+SUMIFS('LAC 102_Wkst'!$Q$7:$Q$2010,'LAC 102_Wkst'!$D$7:$D$2010,$C$7,'LAC 102_Wkst'!$I$7:$I$2010,$C$9,'LAC 102_Wkst'!$E$7:$E$2010,$C82,'LAC 102_Wkst'!$G$7:$G$2010,$D82,'LAC 102_Wkst'!$L$7:$L$2010,"06",'LAC 102_Wkst'!$N$7:$N$2010,"P3")</f>
        <v>0</v>
      </c>
      <c r="U82" s="411">
        <f>SUMIFS('LAC 102_Wkst'!$AF$7:$AF$2010,'LAC 102_Wkst'!$D$7:$D$2010,$C$7,'LAC 102_Wkst'!$I$7:$I$2010,$C$9,'LAC 102_Wkst'!$E$7:$E$2010,$C82,'LAC 102_Wkst'!$G$7:$G$2010,$D82,'LAC 102_Wkst'!$L$7:$L$2010,"05",'LAC 102_Wkst'!$N$7:$N$2010,"P2")+SUMIFS('LAC 102_Wkst'!$AF$7:$AF$2010,'LAC 102_Wkst'!$D$7:$D$2010,$C$7,'LAC 102_Wkst'!$I$7:$I$2010,$C$9,'LAC 102_Wkst'!$E$7:$E$2010,$C82,'LAC 102_Wkst'!$G$7:$G$2010,$D82,'LAC 102_Wkst'!$L$7:$L$2010,"06",'LAC 102_Wkst'!$N$7:$N$2010,"P2")+SUMIFS('LAC 102_Wkst'!$AF$7:$AF$2010,'LAC 102_Wkst'!$D$7:$D$2010,$C$7,'LAC 102_Wkst'!$I$7:$I$2010,$C$9,'LAC 102_Wkst'!$E$7:$E$2010,$C82,'LAC 102_Wkst'!$G$7:$G$2010,$D82,'LAC 102_Wkst'!$L$7:$L$2010,"05",'LAC 102_Wkst'!$N$7:$N$2010,"P3")+SUMIFS('LAC 102_Wkst'!$AF$7:$AF$2010,'LAC 102_Wkst'!$D$7:$D$2010,$C$7,'LAC 102_Wkst'!$I$7:$I$2010,$C$9,'LAC 102_Wkst'!$E$7:$E$2010,$C82,'LAC 102_Wkst'!$G$7:$G$2010,$D82,'LAC 102_Wkst'!$L$7:$L$2010,"06",'LAC 102_Wkst'!$N$7:$N$2010,"P3")</f>
        <v>0</v>
      </c>
      <c r="V82" s="410">
        <f>SUMIFS('LAC 102_Wkst'!$Q$7:$Q$2010,'LAC 102_Wkst'!$D$7:$D$2010,$C$7,'LAC 102_Wkst'!$I$7:$I$2010,$C$9,'LAC 102_Wkst'!$E$7:$E$2010,$C82,'LAC 102_Wkst'!$G$7:$G$2010,$D82,'LAC 102_Wkst'!$L$7:$L$2010,"05",'LAC 102_Wkst'!$N$7:$N$2010,"P4")+SUMIFS('LAC 102_Wkst'!$Q$7:$Q$2010,'LAC 102_Wkst'!$D$7:$D$2010,$C$7,'LAC 102_Wkst'!$I$7:$I$2010,$C$9,'LAC 102_Wkst'!$E$7:$E$2010,$C82,'LAC 102_Wkst'!$G$7:$G$2010,$D82,'LAC 102_Wkst'!$L$7:$L$2010,"06",'LAC 102_Wkst'!$N$7:$N$2010,"P4")</f>
        <v>0</v>
      </c>
      <c r="W82" s="411">
        <f>SUMIFS('LAC 102_Wkst'!$AF$7:$AF$2010,'LAC 102_Wkst'!$D$7:$D$2010,$C$7,'LAC 102_Wkst'!$I$7:$I$2010,$C$9,'LAC 102_Wkst'!$E$7:$E$2010,$C82,'LAC 102_Wkst'!$G$7:$G$2010,$D82,'LAC 102_Wkst'!$L$7:$L$2010,"05",'LAC 102_Wkst'!$N$7:$N$2010,"P4")+SUMIFS('LAC 102_Wkst'!$AF$7:$AF$2010,'LAC 102_Wkst'!$D$7:$D$2010,$C$7,'LAC 102_Wkst'!$I$7:$I$2010,$C$9,'LAC 102_Wkst'!$E$7:$E$2010,$C82,'LAC 102_Wkst'!$G$7:$G$2010,$D82,'LAC 102_Wkst'!$L$7:$L$2010,"06",'LAC 102_Wkst'!$N$7:$N$2010,"P4")</f>
        <v>0</v>
      </c>
      <c r="X82" s="410">
        <f>SUMIFS('LAC 102_Wkst'!$Q$7:$Q$2010,'LAC 102_Wkst'!$D$7:$D$2010,$C$7,'LAC 102_Wkst'!$I$7:$I$2010,$C$9,'LAC 102_Wkst'!$E$7:$E$2010,$C82,'LAC 102_Wkst'!$G$7:$G$2010,$D82,'LAC 102_Wkst'!$L$7:$L$2010,"05",'LAC 102_Wkst'!$N$7:$N$2010,"P5")+SUMIFS('LAC 102_Wkst'!$Q$7:$Q$2010,'LAC 102_Wkst'!$D$7:$D$2010,$C$7,'LAC 102_Wkst'!$I$7:$I$2010,$C$9,'LAC 102_Wkst'!$E$7:$E$2010,$C82,'LAC 102_Wkst'!$G$7:$G$2010,$D82,'LAC 102_Wkst'!$L$7:$L$2010,"06",'LAC 102_Wkst'!$N$7:$N$2010,"P5")</f>
        <v>0</v>
      </c>
      <c r="Y82" s="411">
        <f>SUMIFS('LAC 102_Wkst'!$AF$7:$AF$2010,'LAC 102_Wkst'!$D$7:$D$2010,$C$7,'LAC 102_Wkst'!$I$7:$I$2010,$C$9,'LAC 102_Wkst'!$E$7:$E$2010,$C82,'LAC 102_Wkst'!$G$7:$G$2010,$D82,'LAC 102_Wkst'!$L$7:$L$2010,"05",'LAC 102_Wkst'!$N$7:$N$2010,"P5")+SUMIFS('LAC 102_Wkst'!$AF$7:$AF$2010,'LAC 102_Wkst'!$D$7:$D$2010,$C$7,'LAC 102_Wkst'!$I$7:$I$2010,$C$9,'LAC 102_Wkst'!$E$7:$E$2010,$C82,'LAC 102_Wkst'!$G$7:$G$2010,$D82,'LAC 102_Wkst'!$L$7:$L$2010,"06",'LAC 102_Wkst'!$N$7:$N$2010,"P5")</f>
        <v>0</v>
      </c>
      <c r="Z82" s="410">
        <f>SUMIFS('LAC 102_Wkst'!$Q$7:$Q$2010,'LAC 102_Wkst'!$D$7:$D$2010,$C$7,'LAC 102_Wkst'!$I$7:$I$2010,$C$9,'LAC 102_Wkst'!$E$7:$E$2010,$C82,'LAC 102_Wkst'!$G$7:$G$2010,$D82,'LAC 102_Wkst'!$L$7:$L$2010,"07",'LAC 102_Wkst'!$N$7:$N$2010,"P1")+SUMIFS('LAC 102_Wkst'!$Q$7:$Q$2010,'LAC 102_Wkst'!$D$7:$D$2010,$C$7,'LAC 102_Wkst'!$I$7:$I$2010,$C$9,'LAC 102_Wkst'!$E$7:$E$2010,$C82,'LAC 102_Wkst'!$G$7:$G$2010,$D82,'LAC 102_Wkst'!$L$7:$L$2010,"07",'LAC 102_Wkst'!$N$7:$N$2010,"P2")+SUMIFS('LAC 102_Wkst'!$Q$7:$Q$2010,'LAC 102_Wkst'!$D$7:$D$2010,$C$7,'LAC 102_Wkst'!$I$7:$I$2010,$C$9,'LAC 102_Wkst'!$E$7:$E$2010,$C82,'LAC 102_Wkst'!$G$7:$G$2010,$D82,'LAC 102_Wkst'!$L$7:$L$2010,"07",'LAC 102_Wkst'!$N$7:$N$2010,"P3")</f>
        <v>0</v>
      </c>
      <c r="AA82" s="411">
        <f>SUMIFS('LAC 102_Wkst'!$AF$7:$AF$2010,'LAC 102_Wkst'!$D$7:$D$2010,$C$7,'LAC 102_Wkst'!$I$7:$I$2010,$C$9,'LAC 102_Wkst'!$E$7:$E$2010,$C82,'LAC 102_Wkst'!$G$7:$G$2010,$D82,'LAC 102_Wkst'!$L$7:$L$2010,"07",'LAC 102_Wkst'!$N$7:$N$2010,"P1")+SUMIFS('LAC 102_Wkst'!$AF$7:$AF$2010,'LAC 102_Wkst'!$D$7:$D$2010,$C$7,'LAC 102_Wkst'!$I$7:$I$2010,$C$9,'LAC 102_Wkst'!$E$7:$E$2010,$C82,'LAC 102_Wkst'!$G$7:$G$2010,$D82,'LAC 102_Wkst'!$L$7:$L$2010,"07",'LAC 102_Wkst'!$N$7:$N$2010,"P2")+SUMIFS('LAC 102_Wkst'!$AF$7:$AF$2010,'LAC 102_Wkst'!$D$7:$D$2010,$C$7,'LAC 102_Wkst'!$I$7:$I$2010,$C$9,'LAC 102_Wkst'!$E$7:$E$2010,$C82,'LAC 102_Wkst'!$G$7:$G$2010,$D82,'LAC 102_Wkst'!$L$7:$L$2010,"07",'LAC 102_Wkst'!$N$7:$N$2010,"P3")</f>
        <v>0</v>
      </c>
      <c r="AB82" s="410">
        <f>SUMIFS('LAC 102_Wkst'!$Q$7:$Q$2010,'LAC 102_Wkst'!$D$7:$D$2010,$C$7,'LAC 102_Wkst'!$I$7:$I$2010,$C$9,'LAC 102_Wkst'!$E$7:$E$2010,$C82,'LAC 102_Wkst'!$G$7:$G$2010,$D82,'LAC 102_Wkst'!$L$7:$L$2010,"07",'LAC 102_Wkst'!$N$7:$N$2010,"P4")</f>
        <v>0</v>
      </c>
      <c r="AC82" s="411">
        <f>SUMIFS('LAC 102_Wkst'!$AF$7:$AF$2010,'LAC 102_Wkst'!$D$7:$D$2010,$C$7,'LAC 102_Wkst'!$I$7:$I$2010,$C$9,'LAC 102_Wkst'!$E$7:$E$2010,$C82,'LAC 102_Wkst'!$G$7:$G$2010,$D82,'LAC 102_Wkst'!$L$7:$L$2010,"07",'LAC 102_Wkst'!$N$7:$N$2010,"P4")</f>
        <v>0</v>
      </c>
      <c r="AD82" s="410">
        <f>SUMIFS('LAC 102_Wkst'!$Q$7:$Q$2010,'LAC 102_Wkst'!$D$7:$D$2010,$C$7,'LAC 102_Wkst'!$I$7:$I$2010,$C$9,'LAC 102_Wkst'!$E$7:$E$2010,$C82,'LAC 102_Wkst'!$G$7:$G$2010,$D82,'LAC 102_Wkst'!$L$7:$L$2010,"07",'LAC 102_Wkst'!$N$7:$N$2010,"P5")</f>
        <v>0</v>
      </c>
      <c r="AE82" s="411">
        <f>SUMIFS('LAC 102_Wkst'!$AF$7:$AF$2010,'LAC 102_Wkst'!$D$7:$D$2010,$C$7,'LAC 102_Wkst'!$I$7:$I$2010,$C$9,'LAC 102_Wkst'!$E$7:$E$2010,$C82,'LAC 102_Wkst'!$G$7:$G$2010,$D82,'LAC 102_Wkst'!$L$7:$L$2010,"07",'LAC 102_Wkst'!$N$7:$N$2010,"P5")</f>
        <v>0</v>
      </c>
      <c r="AF82" s="410">
        <f>SUMIFS('LAC 102_Wkst'!$Q$7:$Q$2010,'LAC 102_Wkst'!$D$7:$D$2010,$C$7,'LAC 102_Wkst'!$I$7:$I$2010,$C$9,'LAC 102_Wkst'!$E$7:$E$2010,$C82,'LAC 102_Wkst'!$G$7:$G$2010,$D82,'LAC 102_Wkst'!$L$7:$L$2010,"08",'LAC 102_Wkst'!$N$7:$N$2010,"P1")+SUMIFS('LAC 102_Wkst'!$Q$7:$Q$2010,'LAC 102_Wkst'!$D$7:$D$2010,$C$7,'LAC 102_Wkst'!$I$7:$I$2010,$C$9,'LAC 102_Wkst'!$E$7:$E$2010,$C82,'LAC 102_Wkst'!$G$7:$G$2010,$D82,'LAC 102_Wkst'!$L$7:$L$2010,"08",'LAC 102_Wkst'!$N$7:$N$2010,"P2")+SUMIFS('LAC 102_Wkst'!$Q$7:$Q$2010,'LAC 102_Wkst'!$D$7:$D$2010,$C$7,'LAC 102_Wkst'!$I$7:$I$2010,$C$9,'LAC 102_Wkst'!$E$7:$E$2010,$C82,'LAC 102_Wkst'!$G$7:$G$2010,$D82,'LAC 102_Wkst'!$L$7:$L$2010,"08",'LAC 102_Wkst'!$N$7:$N$2010,"P3")</f>
        <v>0</v>
      </c>
      <c r="AG82" s="411">
        <f>SUMIFS('LAC 102_Wkst'!$AF$7:$AF$2010,'LAC 102_Wkst'!$D$7:$D$2010,$C$7,'LAC 102_Wkst'!$I$7:$I$2010,$C$9,'LAC 102_Wkst'!$E$7:$E$2010,$C82,'LAC 102_Wkst'!$G$7:$G$2010,$D82,'LAC 102_Wkst'!$L$7:$L$2010,"08",'LAC 102_Wkst'!$N$7:$N$2010,"P1")+SUMIFS('LAC 102_Wkst'!$AF$7:$AF$2010,'LAC 102_Wkst'!$D$7:$D$2010,$C$7,'LAC 102_Wkst'!$I$7:$I$2010,$C$9,'LAC 102_Wkst'!$E$7:$E$2010,$C82,'LAC 102_Wkst'!$G$7:$G$2010,$D82,'LAC 102_Wkst'!$L$7:$L$2010,"08",'LAC 102_Wkst'!$N$7:$N$2010,"P2")+SUMIFS('LAC 102_Wkst'!$AF$7:$AF$2010,'LAC 102_Wkst'!$D$7:$D$2010,$C$7,'LAC 102_Wkst'!$I$7:$I$2010,$C$9,'LAC 102_Wkst'!$E$7:$E$2010,$C82,'LAC 102_Wkst'!$G$7:$G$2010,$D82,'LAC 102_Wkst'!$L$7:$L$2010,"08",'LAC 102_Wkst'!$N$7:$N$2010,"P3")</f>
        <v>0</v>
      </c>
      <c r="AH82" s="410">
        <f>SUMIFS('LAC 102_Wkst'!$Q$7:$Q$2010,'LAC 102_Wkst'!$D$7:$D$2010,$C$7,'LAC 102_Wkst'!$I$7:$I$2010,$C$9,'LAC 102_Wkst'!$E$7:$E$2010,$C82,'LAC 102_Wkst'!$G$7:$G$2010,$D82,'LAC 102_Wkst'!$L$7:$L$2010,"08",'LAC 102_Wkst'!$N$7:$N$2010,"P4")</f>
        <v>0</v>
      </c>
      <c r="AI82" s="411">
        <f>SUMIFS('LAC 102_Wkst'!$AF$7:$AF$2010,'LAC 102_Wkst'!$D$7:$D$2010,$C$7,'LAC 102_Wkst'!$I$7:$I$2010,$C$9,'LAC 102_Wkst'!$E$7:$E$2010,$C82,'LAC 102_Wkst'!$G$7:$G$2010,$D82,'LAC 102_Wkst'!$L$7:$L$2010,"08",'LAC 102_Wkst'!$N$7:$N$2010,"P4")</f>
        <v>0</v>
      </c>
      <c r="AJ82" s="410">
        <f>SUMIFS('LAC 102_Wkst'!$Q$7:$Q$2010,'LAC 102_Wkst'!$D$7:$D$2010,$C$7,'LAC 102_Wkst'!$I$7:$I$2010,$C$9,'LAC 102_Wkst'!$E$7:$E$2010,$C82,'LAC 102_Wkst'!$G$7:$G$2010,$D82,'LAC 102_Wkst'!$L$7:$L$2010,"08",'LAC 102_Wkst'!$N$7:$N$2010,"P5")</f>
        <v>0</v>
      </c>
      <c r="AK82" s="411">
        <f>SUMIFS('LAC 102_Wkst'!$AF$7:$AF$2010,'LAC 102_Wkst'!$D$7:$D$2010,$C$7,'LAC 102_Wkst'!$I$7:$I$2010,$C$9,'LAC 102_Wkst'!$E$7:$E$2010,$C82,'LAC 102_Wkst'!$G$7:$G$2010,$D82,'LAC 102_Wkst'!$L$7:$L$2010,"08",'LAC 102_Wkst'!$N$7:$N$2010,"P5")</f>
        <v>0</v>
      </c>
      <c r="AL82" s="410">
        <f>SUMIFS('LAC 102_Wkst'!$Q$7:$Q$2010,'LAC 102_Wkst'!$D$7:$D$2010,$C$7,'LAC 102_Wkst'!$I$7:$I$2010,$C$9,'LAC 102_Wkst'!$E$7:$E$2010,$C82,'LAC 102_Wkst'!$G$7:$G$2010,$D82,'LAC 102_Wkst'!$L$7:$L$2010,"09",'LAC 102_Wkst'!$N$7:$N$2010,"P1")+SUMIFS('LAC 102_Wkst'!$Q$7:$Q$2010,'LAC 102_Wkst'!$D$7:$D$2010,$C$7,'LAC 102_Wkst'!$I$7:$I$2010,$C$9,'LAC 102_Wkst'!$E$7:$E$2010,$C82,'LAC 102_Wkst'!$G$7:$G$2010,$D82,'LAC 102_Wkst'!$L$7:$L$2010,"09",'LAC 102_Wkst'!$N$7:$N$2010,"P2")+SUMIFS('LAC 102_Wkst'!$Q$7:$Q$2010,'LAC 102_Wkst'!$D$7:$D$2010,$C$7,'LAC 102_Wkst'!$I$7:$I$2010,$C$9,'LAC 102_Wkst'!$E$7:$E$2010,$C82,'LAC 102_Wkst'!$G$7:$G$2010,$D82,'LAC 102_Wkst'!$L$7:$L$2010,"09",'LAC 102_Wkst'!$N$7:$N$2010,"P3")+SUMIFS('LAC 102_Wkst'!$Q$7:$Q$2010,'LAC 102_Wkst'!$D$7:$D$2010,$C$7,'LAC 102_Wkst'!$I$7:$I$2010,$C$9,'LAC 102_Wkst'!$E$7:$E$2010,$C82,'LAC 102_Wkst'!$G$7:$G$2010,$D82,'LAC 102_Wkst'!$L$7:$L$2010,"09",'LAC 102_Wkst'!$N$7:$N$2010,"P4")</f>
        <v>0</v>
      </c>
      <c r="AM82" s="411">
        <f>SUMIFS('LAC 102_Wkst'!$AF$7:$AF$2010,'LAC 102_Wkst'!$D$7:$D$2010,$C$7,'LAC 102_Wkst'!$I$7:$I$2010,$C$9,'LAC 102_Wkst'!$E$7:$E$2010,$C82,'LAC 102_Wkst'!$G$7:$G$2010,$D82,'LAC 102_Wkst'!$L$7:$L$2010,"09",'LAC 102_Wkst'!$N$7:$N$2010,"P1")+SUMIFS('LAC 102_Wkst'!$AF$7:$AF$2010,'LAC 102_Wkst'!$D$7:$D$2010,$C$7,'LAC 102_Wkst'!$I$7:$I$2010,$C$9,'LAC 102_Wkst'!$E$7:$E$2010,$C82,'LAC 102_Wkst'!$G$7:$G$2010,$D82,'LAC 102_Wkst'!$L$7:$L$2010,"09",'LAC 102_Wkst'!$N$7:$N$2010,"P2")+SUMIFS('LAC 102_Wkst'!$AF$7:$AF$2010,'LAC 102_Wkst'!$D$7:$D$2010,$C$7,'LAC 102_Wkst'!$I$7:$I$2010,$C$9,'LAC 102_Wkst'!$E$7:$E$2010,$C82,'LAC 102_Wkst'!$G$7:$G$2010,$D82,'LAC 102_Wkst'!$L$7:$L$2010,"09",'LAC 102_Wkst'!$N$7:$N$2010,"P3")+SUMIFS('LAC 102_Wkst'!$AF$7:$AF$2010,'LAC 102_Wkst'!$D$7:$D$2010,$C$7,'LAC 102_Wkst'!$I$7:$I$2010,$C$9,'LAC 102_Wkst'!$E$7:$E$2010,$C82,'LAC 102_Wkst'!$G$7:$G$2010,$D82,'LAC 102_Wkst'!$L$7:$L$2010,"09",'LAC 102_Wkst'!$N$7:$N$2010,"P4")</f>
        <v>0</v>
      </c>
      <c r="AN82" s="410">
        <f>SUMIFS('LAC 102_Wkst'!$Q$7:$Q$2010,'LAC 102_Wkst'!$D$7:$D$2010,$C$7,'LAC 102_Wkst'!$I$7:$I$2010,$C$9,'LAC 102_Wkst'!$E$7:$E$2010,$C82,'LAC 102_Wkst'!$G$7:$G$2010,$D82,'LAC 102_Wkst'!$L$7:$L$2010,"09",'LAC 102_Wkst'!$N$7:$N$2010,"P5")</f>
        <v>0</v>
      </c>
      <c r="AO82" s="411">
        <f>SUMIFS('LAC 102_Wkst'!$AF$7:$AF$2010,'LAC 102_Wkst'!$D$7:$D$2010,$C$7,'LAC 102_Wkst'!$I$7:$I$2010,$C$9,'LAC 102_Wkst'!$E$7:$E$2010,$C82,'LAC 102_Wkst'!$G$7:$G$2010,$D82,'LAC 102_Wkst'!$L$7:$L$2010,"09",'LAC 102_Wkst'!$N$7:$N$2010,"P5")</f>
        <v>0</v>
      </c>
      <c r="AP82" s="410">
        <f>SUMIFS('LAC 102_Wkst'!$Q$7:$Q$2010,'LAC 102_Wkst'!$D$7:$D$2010,$C$7,'LAC 102_Wkst'!$I$7:$I$2010,$C$9,'LAC 102_Wkst'!$E$7:$E$2010,$C82,'LAC 102_Wkst'!$G$7:$G$2010,$D82,'LAC 102_Wkst'!$L$7:$L$2010,"10",'LAC 102_Wkst'!$N$7:$N$2010,"P1")+SUMIFS('LAC 102_Wkst'!$Q$7:$Q$2010,'LAC 102_Wkst'!$D$7:$D$2010,$C$7,'LAC 102_Wkst'!$I$7:$I$2010,$C$9,'LAC 102_Wkst'!$E$7:$E$2010,$C82,'LAC 102_Wkst'!$G$7:$G$2010,$D82,'LAC 102_Wkst'!$L$7:$L$2010,"10",'LAC 102_Wkst'!$N$7:$N$2010,"P2")+SUMIFS('LAC 102_Wkst'!$Q$7:$Q$2010,'LAC 102_Wkst'!$D$7:$D$2010,$C$7,'LAC 102_Wkst'!$I$7:$I$2010,$C$9,'LAC 102_Wkst'!$E$7:$E$2010,$C82,'LAC 102_Wkst'!$G$7:$G$2010,$D82,'LAC 102_Wkst'!$L$7:$L$2010,"10",'LAC 102_Wkst'!$N$7:$N$2010,"P3")+SUMIFS('LAC 102_Wkst'!$Q$7:$Q$2010,'LAC 102_Wkst'!$D$7:$D$2010,$C$7,'LAC 102_Wkst'!$I$7:$I$2010,$C$9,'LAC 102_Wkst'!$E$7:$E$2010,$C82,'LAC 102_Wkst'!$G$7:$G$2010,$D82,'LAC 102_Wkst'!$L$7:$L$2010,"10",'LAC 102_Wkst'!$N$7:$N$2010,"P4")</f>
        <v>0</v>
      </c>
      <c r="AQ82" s="411">
        <f>SUMIFS('LAC 102_Wkst'!$AF$7:$AF$2010,'LAC 102_Wkst'!$D$7:$D$2010,$C$7,'LAC 102_Wkst'!$I$7:$I$2010,$C$9,'LAC 102_Wkst'!$E$7:$E$2010,$C82,'LAC 102_Wkst'!$G$7:$G$2010,$D82,'LAC 102_Wkst'!$L$7:$L$2010,"10",'LAC 102_Wkst'!$N$7:$N$2010,"P1")+SUMIFS('LAC 102_Wkst'!$AF$7:$AF$2010,'LAC 102_Wkst'!$D$7:$D$2010,$C$7,'LAC 102_Wkst'!$I$7:$I$2010,$C$9,'LAC 102_Wkst'!$E$7:$E$2010,$C82,'LAC 102_Wkst'!$G$7:$G$2010,$D82,'LAC 102_Wkst'!$L$7:$L$2010,"10",'LAC 102_Wkst'!$N$7:$N$2010,"P2")+SUMIFS('LAC 102_Wkst'!$AF$7:$AF$2010,'LAC 102_Wkst'!$D$7:$D$2010,$C$7,'LAC 102_Wkst'!$I$7:$I$2010,$C$9,'LAC 102_Wkst'!$E$7:$E$2010,$C82,'LAC 102_Wkst'!$G$7:$G$2010,$D82,'LAC 102_Wkst'!$L$7:$L$2010,"10",'LAC 102_Wkst'!$N$7:$N$2010,"P3")+SUMIFS('LAC 102_Wkst'!$AF$7:$AF$2010,'LAC 102_Wkst'!$D$7:$D$2010,$C$7,'LAC 102_Wkst'!$I$7:$I$2010,$C$9,'LAC 102_Wkst'!$E$7:$E$2010,$C82,'LAC 102_Wkst'!$G$7:$G$2010,$D82,'LAC 102_Wkst'!$L$7:$L$2010,"10",'LAC 102_Wkst'!$N$7:$N$2010,"P4")</f>
        <v>0</v>
      </c>
      <c r="AR82" s="410">
        <f>SUMIFS('LAC 102_Wkst'!$Q$7:$Q$2010,'LAC 102_Wkst'!$D$7:$D$2010,$C$7,'LAC 102_Wkst'!$I$7:$I$2010,$C$9,'LAC 102_Wkst'!$E$7:$E$2010,$C82,'LAC 102_Wkst'!$G$7:$G$2010,$D82,'LAC 102_Wkst'!$L$7:$L$2010,"10",'LAC 102_Wkst'!$N$7:$N$2010,"P5")</f>
        <v>0</v>
      </c>
      <c r="AS82" s="411">
        <f>SUMIFS('LAC 102_Wkst'!$AF$7:$AF$2010,'LAC 102_Wkst'!$D$7:$D$2010,$C$7,'LAC 102_Wkst'!$I$7:$I$2010,$C$9,'LAC 102_Wkst'!$E$7:$E$2010,$C82,'LAC 102_Wkst'!$G$7:$G$2010,$D82,'LAC 102_Wkst'!$L$7:$L$2010,"10",'LAC 102_Wkst'!$N$7:$N$2010,"P5")</f>
        <v>0</v>
      </c>
      <c r="AT82" s="410">
        <f>SUMIFS('LAC 102_Wkst'!$Q$7:$Q$2010,'LAC 102_Wkst'!$D$7:$D$2010,$C$7,'LAC 102_Wkst'!$I$7:$I$2010,$C$9,'LAC 102_Wkst'!$E$7:$E$2010,$C82,'LAC 102_Wkst'!$G$7:$G$2010,$D82,'LAC 102_Wkst'!$L$7:$L$2010,"11",'LAC 102_Wkst'!$N$7:$N$2010,"P1")+SUMIFS('LAC 102_Wkst'!$Q$7:$Q$2010,'LAC 102_Wkst'!$D$7:$D$2010,$C$7,'LAC 102_Wkst'!$I$7:$I$2010,$C$9,'LAC 102_Wkst'!$E$7:$E$2010,$C82,'LAC 102_Wkst'!$G$7:$G$2010,$D82,'LAC 102_Wkst'!$L$7:$L$2010,"12",'LAC 102_Wkst'!$N$7:$N$2010,"P1")</f>
        <v>0</v>
      </c>
      <c r="AU82" s="411">
        <f>SUMIFS('LAC 102_Wkst'!$Q$7:$Q$2010,'LAC 102_Wkst'!$D$7:$D$2010,$C$7,'LAC 102_Wkst'!$I$7:$I$2010,$C$9,'LAC 102_Wkst'!$E$7:$E$2010,$C82,'LAC 102_Wkst'!$G$7:$G$2010,$D82,'LAC 102_Wkst'!$L$7:$L$2010,"13",'LAC 102_Wkst'!$N$7:$N$2010,"P5")</f>
        <v>0</v>
      </c>
      <c r="AV82" s="410">
        <f>SUMIFS('LAC 102_Wkst'!$Q$7:$Q$2010,'LAC 102_Wkst'!$D$7:$D$2010,$C$7,'LAC 102_Wkst'!$I$7:$I$2010,$C$9,'LAC 102_Wkst'!$E$7:$E$2010,$C82,'LAC 102_Wkst'!$G$7:$G$2010,$D82,'LAC 102_Wkst'!$L$7:$L$2010,"11",'LAC 102_Wkst'!$N$7:$N$2010,"P2")+SUMIFS('LAC 102_Wkst'!$Q$7:$Q$2010,'LAC 102_Wkst'!$D$7:$D$2010,$C$7,'LAC 102_Wkst'!$I$7:$I$2010,$C$9,'LAC 102_Wkst'!$E$7:$E$2010,$C82,'LAC 102_Wkst'!$G$7:$G$2010,$D82,'LAC 102_Wkst'!$L$7:$L$2010,"12",'LAC 102_Wkst'!$N$7:$N$2010,"P2")+SUMIFS('LAC 102_Wkst'!$Q$7:$Q$2010,'LAC 102_Wkst'!$D$7:$D$2010,$C$7,'LAC 102_Wkst'!$I$7:$I$2010,$C$9,'LAC 102_Wkst'!$E$7:$E$2010,$C82,'LAC 102_Wkst'!$G$7:$G$2010,$D82,'LAC 102_Wkst'!$L$7:$L$2010,"11",'LAC 102_Wkst'!$N$7:$N$2010,"P3")+SUMIFS('LAC 102_Wkst'!$Q$7:$Q$2010,'LAC 102_Wkst'!$D$7:$D$2010,$C$7,'LAC 102_Wkst'!$I$7:$I$2010,$C$9,'LAC 102_Wkst'!$E$7:$E$2010,$C82,'LAC 102_Wkst'!$G$7:$G$2010,$D82,'LAC 102_Wkst'!$L$7:$L$2010,"12",'LAC 102_Wkst'!$N$7:$N$2010,"P3")</f>
        <v>0</v>
      </c>
      <c r="AW82" s="411">
        <f>SUMIFS('LAC 102_Wkst'!$AF$7:$AF$2010,'LAC 102_Wkst'!$D$7:$D$2010,$C$7,'LAC 102_Wkst'!$I$7:$I$2010,$C$9,'LAC 102_Wkst'!$E$7:$E$2010,$C82,'LAC 102_Wkst'!$G$7:$G$2010,$D82,'LAC 102_Wkst'!$L$7:$L$2010,"11",'LAC 102_Wkst'!$N$7:$N$2010,"P2")+SUMIFS('LAC 102_Wkst'!$AF$7:$AF$2010,'LAC 102_Wkst'!$D$7:$D$2010,$C$7,'LAC 102_Wkst'!$I$7:$I$2010,$C$9,'LAC 102_Wkst'!$E$7:$E$2010,$C82,'LAC 102_Wkst'!$G$7:$G$2010,$D82,'LAC 102_Wkst'!$L$7:$L$2010,"12",'LAC 102_Wkst'!$N$7:$N$2010,"P2")+SUMIFS('LAC 102_Wkst'!$AF$7:$AF$2010,'LAC 102_Wkst'!$D$7:$D$2010,$C$7,'LAC 102_Wkst'!$I$7:$I$2010,$C$9,'LAC 102_Wkst'!$E$7:$E$2010,$C82,'LAC 102_Wkst'!$G$7:$G$2010,$D82,'LAC 102_Wkst'!$L$7:$L$2010,"11",'LAC 102_Wkst'!$N$7:$N$2010,"P3")+SUMIFS('LAC 102_Wkst'!$AF$7:$AF$2010,'LAC 102_Wkst'!$D$7:$D$2010,$C$7,'LAC 102_Wkst'!$I$7:$I$2010,$C$9,'LAC 102_Wkst'!$E$7:$E$2010,$C82,'LAC 102_Wkst'!$G$7:$G$2010,$D82,'LAC 102_Wkst'!$L$7:$L$2010,"12",'LAC 102_Wkst'!$N$7:$N$2010,"P3")</f>
        <v>0</v>
      </c>
      <c r="AX82" s="410">
        <f>SUMIFS('LAC 102_Wkst'!$Q$7:$Q$2010,'LAC 102_Wkst'!$D$7:$D$2010,$C$7,'LAC 102_Wkst'!$I$7:$I$2010,$C$9,'LAC 102_Wkst'!$E$7:$E$2010,$C82,'LAC 102_Wkst'!$G$7:$G$2010,$D82,'LAC 102_Wkst'!$L$7:$L$2010,"11",'LAC 102_Wkst'!$N$7:$N$2010,"P4")+SUMIFS('LAC 102_Wkst'!$Q$7:$Q$2010,'LAC 102_Wkst'!$D$7:$D$2010,$C$7,'LAC 102_Wkst'!$I$7:$I$2010,$C$9,'LAC 102_Wkst'!$E$7:$E$2010,$C82,'LAC 102_Wkst'!$G$7:$G$2010,$D82,'LAC 102_Wkst'!$L$7:$L$2010,"12",'LAC 102_Wkst'!$N$7:$N$2010,"P4")</f>
        <v>0</v>
      </c>
      <c r="AY82" s="411">
        <f>SUMIFS('LAC 102_Wkst'!$AF$7:$AF$2010,'LAC 102_Wkst'!$D$7:$D$2010,$C$7,'LAC 102_Wkst'!$I$7:$I$2010,$C$9,'LAC 102_Wkst'!$E$7:$E$2010,$C82,'LAC 102_Wkst'!$G$7:$G$2010,$D82,'LAC 102_Wkst'!$L$7:$L$2010,"11",'LAC 102_Wkst'!$N$7:$N$2010,"P4")+SUMIFS('LAC 102_Wkst'!$AF$7:$AF$2010,'LAC 102_Wkst'!$D$7:$D$2010,$C$7,'LAC 102_Wkst'!$I$7:$I$2010,$C$9,'LAC 102_Wkst'!$E$7:$E$2010,$C82,'LAC 102_Wkst'!$G$7:$G$2010,$D82,'LAC 102_Wkst'!$L$7:$L$2010,"12",'LAC 102_Wkst'!$N$7:$N$2010,"P4")</f>
        <v>0</v>
      </c>
      <c r="AZ82" s="410">
        <f>SUMIFS('LAC 102_Wkst'!$Q$7:$Q$2010,'LAC 102_Wkst'!$D$7:$D$2010,$C$7,'LAC 102_Wkst'!$I$7:$I$2010,$C$9,'LAC 102_Wkst'!$E$7:$E$2010,$C82,'LAC 102_Wkst'!$G$7:$G$2010,$D82,'LAC 102_Wkst'!$L$7:$L$2010,"11",'LAC 102_Wkst'!$N$7:$N$2010,"P5")+SUMIFS('LAC 102_Wkst'!$Q$7:$Q$2010,'LAC 102_Wkst'!$D$7:$D$2010,$C$7,'LAC 102_Wkst'!$I$7:$I$2010,$C$9,'LAC 102_Wkst'!$E$7:$E$2010,$C82,'LAC 102_Wkst'!$G$7:$G$2010,$D82,'LAC 102_Wkst'!$L$7:$L$2010,"12",'LAC 102_Wkst'!$N$7:$N$2010,"P5")</f>
        <v>0</v>
      </c>
      <c r="BA82" s="411">
        <f>SUMIFS('LAC 102_Wkst'!$AF$7:$AF$2010,'LAC 102_Wkst'!$D$7:$D$2010,$C$7,'LAC 102_Wkst'!$I$7:$I$2010,$C$9,'LAC 102_Wkst'!$E$7:$E$2010,$C82,'LAC 102_Wkst'!$G$7:$G$2010,$D82,'LAC 102_Wkst'!$L$7:$L$2010,"11",'LAC 102_Wkst'!$N$7:$N$2010,"P5")+SUMIFS('LAC 102_Wkst'!$AF$7:$AF$2010,'LAC 102_Wkst'!$D$7:$D$2010,$C$7,'LAC 102_Wkst'!$I$7:$I$2010,$C$9,'LAC 102_Wkst'!$E$7:$E$2010,$C82,'LAC 102_Wkst'!$G$7:$G$2010,$D82,'LAC 102_Wkst'!$L$7:$L$2010,"12",'LAC 102_Wkst'!$N$7:$N$2010,"P5")</f>
        <v>0</v>
      </c>
      <c r="BB82" s="410">
        <f>SUMIFS('LAC 102_Wkst'!$Q$7:$Q$2010,'LAC 102_Wkst'!$D$7:$D$2010,$C$7,'LAC 102_Wkst'!$I$7:$I$2010,$C$9,'LAC 102_Wkst'!$E$7:$E$2010,$C82,'LAC 102_Wkst'!$G$7:$G$2010,$D82,'LAC 102_Wkst'!$L$7:$L$2010,"13",'LAC 102_Wkst'!$N$7:$N$2010,"P1")+SUMIFS('LAC 102_Wkst'!$Q$7:$Q$2010,'LAC 102_Wkst'!$D$7:$D$2010,$C$7,'LAC 102_Wkst'!$I$7:$I$2010,$C$9,'LAC 102_Wkst'!$E$7:$E$2010,$C82,'LAC 102_Wkst'!$G$7:$G$2010,$D82,'LAC 102_Wkst'!$L$7:$L$2010,"13",'LAC 102_Wkst'!$N$7:$N$2010,"P2")+SUMIFS('LAC 102_Wkst'!$Q$7:$Q$2010,'LAC 102_Wkst'!$D$7:$D$2010,$C$7,'LAC 102_Wkst'!$I$7:$I$2010,$C$9,'LAC 102_Wkst'!$E$7:$E$2010,$C82,'LAC 102_Wkst'!$G$7:$G$2010,$D82,'LAC 102_Wkst'!$L$7:$L$2010,"13",'LAC 102_Wkst'!$N$7:$N$2010,"P3")+SUMIFS('LAC 102_Wkst'!$Q$7:$Q$2010,'LAC 102_Wkst'!$D$7:$D$2010,$C$7,'LAC 102_Wkst'!$I$7:$I$2010,$C$9,'LAC 102_Wkst'!$E$7:$E$2010,$C82,'LAC 102_Wkst'!$G$7:$G$2010,$D82,'LAC 102_Wkst'!$L$7:$L$2010,"13",'LAC 102_Wkst'!$N$7:$N$2010,"P4")</f>
        <v>0</v>
      </c>
      <c r="BC82" s="411">
        <f>SUMIFS('LAC 102_Wkst'!$AF$7:$AF$2010,'LAC 102_Wkst'!$D$7:$D$2010,$C$7,'LAC 102_Wkst'!$I$7:$I$2010,$C$9,'LAC 102_Wkst'!$E$7:$E$2010,$C82,'LAC 102_Wkst'!$G$7:$G$2010,$D82,'LAC 102_Wkst'!$L$7:$L$2010,"13",'LAC 102_Wkst'!$N$7:$N$2010,"P1")+SUMIFS('LAC 102_Wkst'!$AF$7:$AF$2010,'LAC 102_Wkst'!$D$7:$D$2010,$C$7,'LAC 102_Wkst'!$I$7:$I$2010,$C$9,'LAC 102_Wkst'!$E$7:$E$2010,$C82,'LAC 102_Wkst'!$G$7:$G$2010,$D82,'LAC 102_Wkst'!$L$7:$L$2010,"13",'LAC 102_Wkst'!$N$7:$N$2010,"P2")+SUMIFS('LAC 102_Wkst'!$AF$7:$AF$2010,'LAC 102_Wkst'!$D$7:$D$2010,$C$7,'LAC 102_Wkst'!$I$7:$I$2010,$C$9,'LAC 102_Wkst'!$E$7:$E$2010,$C82,'LAC 102_Wkst'!$G$7:$G$2010,$D82,'LAC 102_Wkst'!$L$7:$L$2010,"13",'LAC 102_Wkst'!$N$7:$N$2010,"P3")+SUMIFS('LAC 102_Wkst'!$AF$7:$AF$2010,'LAC 102_Wkst'!$D$7:$D$2010,$C$7,'LAC 102_Wkst'!$I$7:$I$2010,$C$9,'LAC 102_Wkst'!$E$7:$E$2010,$C82,'LAC 102_Wkst'!$G$7:$G$2010,$D82,'LAC 102_Wkst'!$L$7:$L$2010,"13",'LAC 102_Wkst'!$N$7:$N$2010,"P4")</f>
        <v>0</v>
      </c>
      <c r="BD82" s="410">
        <f>SUMIFS('LAC 102_Wkst'!$Q$7:$Q$2010,'LAC 102_Wkst'!$D$7:$D$2010,$C$7,'LAC 102_Wkst'!$I$7:$I$2010,$C$9,'LAC 102_Wkst'!$E$7:$E$2010,$C82,'LAC 102_Wkst'!$G$7:$G$2010,$D82,'LAC 102_Wkst'!$L$7:$L$2010,"13",'LAC 102_Wkst'!$N$7:$N$2010,"P5")</f>
        <v>0</v>
      </c>
      <c r="BE82" s="411">
        <f>SUMIFS('LAC 102_Wkst'!$AF$7:$AF$2010,'LAC 102_Wkst'!$D$7:$D$2010,$C$7,'LAC 102_Wkst'!$I$7:$I$2010,$C$9,'LAC 102_Wkst'!$E$7:$E$2010,$C82,'LAC 102_Wkst'!$G$7:$G$2010,$D82,'LAC 102_Wkst'!$L$7:$L$2010,"13",'LAC 102_Wkst'!$N$7:$N$2010,"P5")</f>
        <v>0</v>
      </c>
      <c r="BF82" s="407">
        <f t="shared" si="4"/>
        <v>0</v>
      </c>
      <c r="BG82" s="1654">
        <f>SUMIFS('LAC 102_Wkst'!$AF$7:$AF$2010,'LAC 102_Wkst'!$D$7:$D$2010,$C$7,'LAC 102_Wkst'!$I$7:$I$2010,$C$9,'LAC 102_Wkst'!$E$7:$E$2010,$C82,'LAC 102_Wkst'!$G$7:$G$2010,$D82,'LAC 102_Wkst'!$L$7:$L$2010,"14")</f>
        <v>0</v>
      </c>
    </row>
    <row r="83" spans="1:59" x14ac:dyDescent="0.2">
      <c r="A83" s="401">
        <v>61</v>
      </c>
      <c r="B83" s="1678" t="str">
        <f>IF(Schedule_B!B$80="","",Schedule_B!B$80)</f>
        <v/>
      </c>
      <c r="C83" s="1674" t="str">
        <f>IF(Schedule_B!C$80=""," ",Schedule_B!C$80)</f>
        <v xml:space="preserve"> </v>
      </c>
      <c r="D83" s="1675" t="str">
        <f>IF(Schedule_B!D$80=""," ",Schedule_B!D$80)</f>
        <v xml:space="preserve"> </v>
      </c>
      <c r="E83" s="1221">
        <f>SUMIFS('LAC 102_Wkst'!$Q$7:$Q$2010,'LAC 102_Wkst'!$D$7:$D$2010,$C$7,'LAC 102_Wkst'!$I$7:$I$2010,$C$9,'LAC 102_Wkst'!$E$7:$E$2010,$C83,'LAC 102_Wkst'!$G$7:$G$2010,$D83)</f>
        <v>0</v>
      </c>
      <c r="F83" s="408">
        <f>SUMIFS('LAC 102_Wkst'!$Q$7:$Q$2010,'LAC 102_Wkst'!$D$7:$D$2010,$C$7,'LAC 102_Wkst'!$I$7:$I$2010,$C$9,'LAC 102_Wkst'!$E$7:$E$2010,$C83,'LAC 102_Wkst'!$G$7:$G$2010,$D83,'LAC 102_Wkst'!$L$7:$L$2010,"01",'LAC 102_Wkst'!$N$7:$N$2010,"P1")+SUMIFS('LAC 102_Wkst'!$Q$7:$Q$2010,'LAC 102_Wkst'!$D$7:$D$2010,$C$7,'LAC 102_Wkst'!$I$7:$I$2010,$C$9,'LAC 102_Wkst'!$E$7:$E$2010,$C83,'LAC 102_Wkst'!$G$7:$G$2010,$D83,'LAC 102_Wkst'!$L$7:$L$2010,"01",'LAC 102_Wkst'!$N$7:$N$2010,"P2")+SUMIFS('LAC 102_Wkst'!$Q$7:$Q$2010,'LAC 102_Wkst'!$D$7:$D$2010,$C$7,'LAC 102_Wkst'!$I$7:$I$2010,$C$9,'LAC 102_Wkst'!$E$7:$E$2010,$C83,'LAC 102_Wkst'!$G$7:$G$2010,$D83,'LAC 102_Wkst'!$L$7:$L$2010,"01",'LAC 102_Wkst'!$N$7:$N$2010,"P3")+SUMIFS('LAC 102_Wkst'!$Q$7:$Q$2010,'LAC 102_Wkst'!$D$7:$D$2010,$C$7,'LAC 102_Wkst'!$I$7:$I$2010,$C$9,'LAC 102_Wkst'!$E$7:$E$2010,$C83,'LAC 102_Wkst'!$G$7:$G$2010,$D83,'LAC 102_Wkst'!$L$7:$L$2010,"02",'LAC 102_Wkst'!$N$7:$N$2010,"P1")+SUMIFS('LAC 102_Wkst'!$Q$7:$Q$2010,'LAC 102_Wkst'!$D$7:$D$2010,$C$7,'LAC 102_Wkst'!$I$7:$I$2010,$C$9,'LAC 102_Wkst'!$E$7:$E$2010,$C83,'LAC 102_Wkst'!$G$7:$G$2010,$D83,'LAC 102_Wkst'!$L$7:$L$2010,"02",'LAC 102_Wkst'!$N$7:$N$2010,"P2")+SUMIFS('LAC 102_Wkst'!$Q$7:$Q$2010,'LAC 102_Wkst'!$D$7:$D$2010,$C$7,'LAC 102_Wkst'!$I$7:$I$2010,$C$9,'LAC 102_Wkst'!$E$7:$E$2010,$C83,'LAC 102_Wkst'!$G$7:$G$2010,$D83,'LAC 102_Wkst'!$L$7:$L$2010,"02",'LAC 102_Wkst'!$N$7:$N$2010,"P3")</f>
        <v>0</v>
      </c>
      <c r="G83" s="409">
        <f>SUMIFS('LAC 102_Wkst'!$AF$7:$AF$2010,'LAC 102_Wkst'!$D$7:$D$2010,$C$7,'LAC 102_Wkst'!$I$7:$I$2010,$C$9,'LAC 102_Wkst'!$E$7:$E$2010,$C83,'LAC 102_Wkst'!$G$7:$G$2010,$D83,'LAC 102_Wkst'!$L$7:$L$2010,"01",'LAC 102_Wkst'!$N$7:$N$2010,"P1")+SUMIFS('LAC 102_Wkst'!$AF$7:$AF$2010,'LAC 102_Wkst'!$D$7:$D$2010,$C$7,'LAC 102_Wkst'!$I$7:$I$2010,$C$9,'LAC 102_Wkst'!$E$7:$E$2010,$C83,'LAC 102_Wkst'!$G$7:$G$2010,$D83,'LAC 102_Wkst'!$L$7:$L$2010,"01",'LAC 102_Wkst'!$N$7:$N$2010,"P2")+SUMIFS('LAC 102_Wkst'!$AF$7:$AF$2010,'LAC 102_Wkst'!$D$7:$D$2010,$C$7,'LAC 102_Wkst'!$I$7:$I$2010,$C$9,'LAC 102_Wkst'!$E$7:$E$2010,$C83,'LAC 102_Wkst'!$G$7:$G$2010,$D83,'LAC 102_Wkst'!$L$7:$L$2010,"01",'LAC 102_Wkst'!$N$7:$N$2010,"P3")+SUMIFS('LAC 102_Wkst'!$AF$7:$AF$2010,'LAC 102_Wkst'!$D$7:$D$2010,$C$7,'LAC 102_Wkst'!$I$7:$I$2010,$C$9,'LAC 102_Wkst'!$E$7:$E$2010,$C83,'LAC 102_Wkst'!$G$7:$G$2010,$D83,'LAC 102_Wkst'!$L$7:$L$2010,"02",'LAC 102_Wkst'!$N$7:$N$2010,"P1")+SUMIFS('LAC 102_Wkst'!$AF$7:$AF$2010,'LAC 102_Wkst'!$D$7:$D$2010,$C$7,'LAC 102_Wkst'!$I$7:$I$2010,$C$9,'LAC 102_Wkst'!$E$7:$E$2010,$C83,'LAC 102_Wkst'!$G$7:$G$2010,$D83,'LAC 102_Wkst'!$L$7:$L$2010,"02",'LAC 102_Wkst'!$N$7:$N$2010,"P2")+SUMIFS('LAC 102_Wkst'!$AF$7:$AF$2010,'LAC 102_Wkst'!$D$7:$D$2010,$C$7,'LAC 102_Wkst'!$I$7:$I$2010,$C$9,'LAC 102_Wkst'!$E$7:$E$2010,$C83,'LAC 102_Wkst'!$G$7:$G$2010,$D83,'LAC 102_Wkst'!$L$7:$L$2010,"02",'LAC 102_Wkst'!$N$7:$N$2010,"P3")</f>
        <v>0</v>
      </c>
      <c r="H83" s="410">
        <f>SUMIFS('LAC 102_Wkst'!$Q$7:$Q$2010,'LAC 102_Wkst'!$D$7:$D$2010,$C$7,'LAC 102_Wkst'!$I$7:$I$2010,$C$9,'LAC 102_Wkst'!$E$7:$E$2010,$C83,'LAC 102_Wkst'!$G$7:$G$2010,$D83,'LAC 102_Wkst'!$L$7:$L$2010,"01",'LAC 102_Wkst'!$N$7:$N$2010,"P4")+SUMIFS('LAC 102_Wkst'!$Q$7:$Q$2010,'LAC 102_Wkst'!$D$7:$D$2010,$C$7,'LAC 102_Wkst'!$I$7:$I$2010,$C$9,'LAC 102_Wkst'!$E$7:$E$2010,$C83,'LAC 102_Wkst'!$G$7:$G$2010,$D83,'LAC 102_Wkst'!$L$7:$L$2010,"02",'LAC 102_Wkst'!$N$7:$N$2010,"P4")</f>
        <v>0</v>
      </c>
      <c r="I83" s="411">
        <f>SUMIFS('LAC 102_Wkst'!$AF$7:$AF$2010,'LAC 102_Wkst'!$D$7:$D$2010,$C$7,'LAC 102_Wkst'!$I$7:$I$2010,$C$9,'LAC 102_Wkst'!$E$7:$E$2010,$C83,'LAC 102_Wkst'!$G$7:$G$2010,$D83,'LAC 102_Wkst'!$L$7:$L$2010,"01",'LAC 102_Wkst'!$N$7:$N$2010,"P4")+SUMIFS('LAC 102_Wkst'!$AF$7:$AF$2010,'LAC 102_Wkst'!$D$7:$D$2010,$C$7,'LAC 102_Wkst'!$I$7:$I$2010,$C$9,'LAC 102_Wkst'!$E$7:$E$2010,$C83,'LAC 102_Wkst'!$G$7:$G$2010,$D83,'LAC 102_Wkst'!$L$7:$L$2010,"02",'LAC 102_Wkst'!$N$7:$N$2010,"P4")</f>
        <v>0</v>
      </c>
      <c r="J83" s="410">
        <f>SUMIFS('LAC 102_Wkst'!$Q$7:$Q$2010,'LAC 102_Wkst'!$D$7:$D$2010,$C$7,'LAC 102_Wkst'!$I$7:$I$2010,$C$9,'LAC 102_Wkst'!$E$7:$E$2010,$C83,'LAC 102_Wkst'!$G$7:$G$2010,$D83,'LAC 102_Wkst'!$L$7:$L$2010,"01",'LAC 102_Wkst'!$N$7:$N$2010,"P5")+SUMIFS('LAC 102_Wkst'!$Q$7:$Q$2010,'LAC 102_Wkst'!$D$7:$D$2010,$C$7,'LAC 102_Wkst'!$I$7:$I$2010,$C$9,'LAC 102_Wkst'!$E$7:$E$2010,$C83,'LAC 102_Wkst'!$G$7:$G$2010,$D83,'LAC 102_Wkst'!$L$7:$L$2010,"02",'LAC 102_Wkst'!$N$7:$N$2010,"P5")</f>
        <v>0</v>
      </c>
      <c r="K83" s="411">
        <f>SUMIFS('LAC 102_Wkst'!$AF$7:$AF$2010,'LAC 102_Wkst'!$D$7:$D$2010,$C$7,'LAC 102_Wkst'!$I$7:$I$2010,$C$9,'LAC 102_Wkst'!$E$7:$E$2010,$C83,'LAC 102_Wkst'!$G$7:$G$2010,$D83,'LAC 102_Wkst'!$L$7:$L$2010,"01",'LAC 102_Wkst'!$N$7:$N$2010,"P5")+SUMIFS('LAC 102_Wkst'!$AF$7:$AF$2010,'LAC 102_Wkst'!$D$7:$D$2010,$C$7,'LAC 102_Wkst'!$I$7:$I$2010,$C$9,'LAC 102_Wkst'!$E$7:$E$2010,$C83,'LAC 102_Wkst'!$G$7:$G$2010,$D83,'LAC 102_Wkst'!$L$7:$L$2010,"02",'LAC 102_Wkst'!$N$7:$N$2010,"P5")</f>
        <v>0</v>
      </c>
      <c r="L83" s="410">
        <f>SUMIFS('LAC 102_Wkst'!$Q$7:$Q$2010,'LAC 102_Wkst'!$D$7:$D$2010,$C$7,'LAC 102_Wkst'!$I$7:$I$2010,$C$9,'LAC 102_Wkst'!$E$7:$E$2010,$C83,'LAC 102_Wkst'!$G$7:$G$2010,$D83,'LAC 102_Wkst'!$L$7:$L$2010,"03",'LAC 102_Wkst'!$N$7:$N$2010,"P1")+SUMIFS('LAC 102_Wkst'!$Q$7:$Q$2010,'LAC 102_Wkst'!$D$7:$D$2010,$C$7,'LAC 102_Wkst'!$I$7:$I$2010,$C$9,'LAC 102_Wkst'!$E$7:$E$2010,$C83,'LAC 102_Wkst'!$G$7:$G$2010,$D83,'LAC 102_Wkst'!$L$7:$L$2010,"03",'LAC 102_Wkst'!$N$7:$N$2010,"P2")+SUMIFS('LAC 102_Wkst'!$Q$7:$Q$2010,'LAC 102_Wkst'!$D$7:$D$2010,$C$7,'LAC 102_Wkst'!$I$7:$I$2010,$C$9,'LAC 102_Wkst'!$E$7:$E$2010,$C83,'LAC 102_Wkst'!$G$7:$G$2010,$D83,'LAC 102_Wkst'!$L$7:$L$2010,"03",'LAC 102_Wkst'!$N$7:$N$2010,"P3")+SUMIFS('LAC 102_Wkst'!$Q$7:$Q$2010,'LAC 102_Wkst'!$D$7:$D$2010,$C$7,'LAC 102_Wkst'!$I$7:$I$2010,$C$9,'LAC 102_Wkst'!$E$7:$E$2010,$C83,'LAC 102_Wkst'!$G$7:$G$2010,$D83,'LAC 102_Wkst'!$L$7:$L$2010,"04",'LAC 102_Wkst'!$N$7:$N$2010,"P1")+SUMIFS('LAC 102_Wkst'!$Q$7:$Q$2010,'LAC 102_Wkst'!$D$7:$D$2010,$C$7,'LAC 102_Wkst'!$I$7:$I$2010,$C$9,'LAC 102_Wkst'!$E$7:$E$2010,$C83,'LAC 102_Wkst'!$G$7:$G$2010,$D83,'LAC 102_Wkst'!$L$7:$L$2010,"04",'LAC 102_Wkst'!$N$7:$N$2010,"P2")+SUMIFS('LAC 102_Wkst'!$Q$7:$Q$2010,'LAC 102_Wkst'!$D$7:$D$2010,$C$7,'LAC 102_Wkst'!$I$7:$I$2010,$C$9,'LAC 102_Wkst'!$E$7:$E$2010,$C83,'LAC 102_Wkst'!$G$7:$G$2010,$D83,'LAC 102_Wkst'!$L$7:$L$2010,"04",'LAC 102_Wkst'!$N$7:$N$2010,"P3")</f>
        <v>0</v>
      </c>
      <c r="M83" s="411">
        <f>SUMIFS('LAC 102_Wkst'!$AF$7:$AF$2010,'LAC 102_Wkst'!$D$7:$D$2010,$C$7,'LAC 102_Wkst'!$I$7:$I$2010,$C$9,'LAC 102_Wkst'!$E$7:$E$2010,$C83,'LAC 102_Wkst'!$G$7:$G$2010,$D83,'LAC 102_Wkst'!$L$7:$L$2010,"03",'LAC 102_Wkst'!$N$7:$N$2010,"P1")+SUMIFS('LAC 102_Wkst'!$AF$7:$AF$2010,'LAC 102_Wkst'!$D$7:$D$2010,$C$7,'LAC 102_Wkst'!$I$7:$I$2010,$C$9,'LAC 102_Wkst'!$E$7:$E$2010,$C83,'LAC 102_Wkst'!$G$7:$G$2010,$D83,'LAC 102_Wkst'!$L$7:$L$2010,"03",'LAC 102_Wkst'!$N$7:$N$2010,"P2")+SUMIFS('LAC 102_Wkst'!$AF$7:$AF$2010,'LAC 102_Wkst'!$D$7:$D$2010,$C$7,'LAC 102_Wkst'!$I$7:$I$2010,$C$9,'LAC 102_Wkst'!$E$7:$E$2010,$C83,'LAC 102_Wkst'!$G$7:$G$2010,$D83,'LAC 102_Wkst'!$L$7:$L$2010,"03",'LAC 102_Wkst'!$N$7:$N$2010,"P3")+SUMIFS('LAC 102_Wkst'!$AF$7:$AF$2010,'LAC 102_Wkst'!$D$7:$D$2010,$C$7,'LAC 102_Wkst'!$I$7:$I$2010,$C$9,'LAC 102_Wkst'!$E$7:$E$2010,$C83,'LAC 102_Wkst'!$G$7:$G$2010,$D83,'LAC 102_Wkst'!$L$7:$L$2010,"04",'LAC 102_Wkst'!$N$7:$N$2010,"P1")+SUMIFS('LAC 102_Wkst'!$AF$7:$AF$2010,'LAC 102_Wkst'!$D$7:$D$2010,$C$7,'LAC 102_Wkst'!$I$7:$I$2010,$C$9,'LAC 102_Wkst'!$E$7:$E$2010,$C83,'LAC 102_Wkst'!$G$7:$G$2010,$D83,'LAC 102_Wkst'!$L$7:$L$2010,"04",'LAC 102_Wkst'!$N$7:$N$2010,"P2")+SUMIFS('LAC 102_Wkst'!$AF$7:$AF$2010,'LAC 102_Wkst'!$D$7:$D$2010,$C$7,'LAC 102_Wkst'!$I$7:$I$2010,$C$9,'LAC 102_Wkst'!$E$7:$E$2010,$C83,'LAC 102_Wkst'!$G$7:$G$2010,$D83,'LAC 102_Wkst'!$L$7:$L$2010,"04",'LAC 102_Wkst'!$N$7:$N$2010,"P3")</f>
        <v>0</v>
      </c>
      <c r="N83" s="410">
        <f>SUMIFS('LAC 102_Wkst'!$Q$7:$Q$2010,'LAC 102_Wkst'!$D$7:$D$2010,$C$7,'LAC 102_Wkst'!$I$7:$I$2010,$C$9,'LAC 102_Wkst'!$E$7:$E$2010,$C83,'LAC 102_Wkst'!$G$7:$G$2010,$D83,'LAC 102_Wkst'!$L$7:$L$2010,"03",'LAC 102_Wkst'!$N$7:$N$2010,"P4")+SUMIFS('LAC 102_Wkst'!$Q$7:$Q$2010,'LAC 102_Wkst'!$D$7:$D$2010,$C$7,'LAC 102_Wkst'!$I$7:$I$2010,$C$9,'LAC 102_Wkst'!$E$7:$E$2010,$C83,'LAC 102_Wkst'!$G$7:$G$2010,$D83,'LAC 102_Wkst'!$L$7:$L$2010,"04",'LAC 102_Wkst'!$N$7:$N$2010,"P4")</f>
        <v>0</v>
      </c>
      <c r="O83" s="411">
        <f>SUMIFS('LAC 102_Wkst'!$AF$7:$AF$2010,'LAC 102_Wkst'!$D$7:$D$2010,$C$7,'LAC 102_Wkst'!$I$7:$I$2010,$C$9,'LAC 102_Wkst'!$E$7:$E$2010,$C83,'LAC 102_Wkst'!$G$7:$G$2010,$D83,'LAC 102_Wkst'!$L$7:$L$2010,"03",'LAC 102_Wkst'!$N$7:$N$2010,"P4")+SUMIFS('LAC 102_Wkst'!$AF$7:$AF$2010,'LAC 102_Wkst'!$D$7:$D$2010,$C$7,'LAC 102_Wkst'!$I$7:$I$2010,$C$9,'LAC 102_Wkst'!$E$7:$E$2010,$C83,'LAC 102_Wkst'!$G$7:$G$2010,$D83,'LAC 102_Wkst'!$L$7:$L$2010,"04",'LAC 102_Wkst'!$N$7:$N$2010,"P4")</f>
        <v>0</v>
      </c>
      <c r="P83" s="410">
        <f>SUMIFS('LAC 102_Wkst'!$Q$7:$Q$2010,'LAC 102_Wkst'!$D$7:$D$2010,$C$7,'LAC 102_Wkst'!$I$7:$I$2010,$C$9,'LAC 102_Wkst'!$E$7:$E$2010,$C83,'LAC 102_Wkst'!$G$7:$G$2010,$D83,'LAC 102_Wkst'!$L$7:$L$2010,"03",'LAC 102_Wkst'!$N$7:$N$2010,"P5")+SUMIFS('LAC 102_Wkst'!$Q$7:$Q$2010,'LAC 102_Wkst'!$D$7:$D$2010,$C$7,'LAC 102_Wkst'!$I$7:$I$2010,$C$9,'LAC 102_Wkst'!$E$7:$E$2010,$C83,'LAC 102_Wkst'!$G$7:$G$2010,$D83,'LAC 102_Wkst'!$L$7:$L$2010,"04",'LAC 102_Wkst'!$N$7:$N$2010,"P5")</f>
        <v>0</v>
      </c>
      <c r="Q83" s="411">
        <f>SUMIFS('LAC 102_Wkst'!$AF$7:$AF$2010,'LAC 102_Wkst'!$D$7:$D$2010,$C$7,'LAC 102_Wkst'!$I$7:$I$2010,$C$9,'LAC 102_Wkst'!$E$7:$E$2010,$C83,'LAC 102_Wkst'!$G$7:$G$2010,$D83,'LAC 102_Wkst'!$L$7:$L$2010,"03",'LAC 102_Wkst'!$N$7:$N$2010,"P5")+SUMIFS('LAC 102_Wkst'!$AF$7:$AF$2010,'LAC 102_Wkst'!$D$7:$D$2010,$C$7,'LAC 102_Wkst'!$I$7:$I$2010,$C$9,'LAC 102_Wkst'!$E$7:$E$2010,$C83,'LAC 102_Wkst'!$G$7:$G$2010,$D83,'LAC 102_Wkst'!$L$7:$L$2010,"04",'LAC 102_Wkst'!$N$7:$N$2010,"P5")</f>
        <v>0</v>
      </c>
      <c r="R83" s="412">
        <f>SUMIFS('LAC 102_Wkst'!$Q$7:$Q$2010,'LAC 102_Wkst'!$D$7:$D$2010,$C$7,'LAC 102_Wkst'!$I$7:$I$2010,$C$9,'LAC 102_Wkst'!$E$7:$E$2010,$C83,'LAC 102_Wkst'!$G$7:$G$2010,$D83,'LAC 102_Wkst'!$L$7:$L$2010,"05",'LAC 102_Wkst'!$N$7:$N$2010,"P1")+SUMIFS('LAC 102_Wkst'!$Q$7:$Q$2010,'LAC 102_Wkst'!$D$7:$D$2010,$C$7,'LAC 102_Wkst'!$I$7:$I$2010,$C$9,'LAC 102_Wkst'!$E$7:$E$2010,$C83,'LAC 102_Wkst'!$G$7:$G$2010,$D83,'LAC 102_Wkst'!$L$7:$L$2010,"06",'LAC 102_Wkst'!$N$7:$N$2010,"P1")</f>
        <v>0</v>
      </c>
      <c r="S83" s="411">
        <f>SUMIFS('LAC 102_Wkst'!$AF$7:$AF$2010,'LAC 102_Wkst'!$D$7:$D$2010,$C$7,'LAC 102_Wkst'!$I$7:$I$2010,$C$9,'LAC 102_Wkst'!$E$7:$E$2010,$C83,'LAC 102_Wkst'!$G$7:$G$2010,$D83,'LAC 102_Wkst'!$L$7:$L$2010,"05",'LAC 102_Wkst'!$N$7:$N$2010,"P1")+SUMIFS('LAC 102_Wkst'!$AF$7:$AF$2010,'LAC 102_Wkst'!$D$7:$D$2010,$C$7,'LAC 102_Wkst'!$I$7:$I$2010,$C$9,'LAC 102_Wkst'!$E$7:$E$2010,$C83,'LAC 102_Wkst'!$G$7:$G$2010,$D83,'LAC 102_Wkst'!$L$7:$L$2010,"06",'LAC 102_Wkst'!$N$7:$N$2010,"P1")</f>
        <v>0</v>
      </c>
      <c r="T83" s="410">
        <f>SUMIFS('LAC 102_Wkst'!$Q$7:$Q$2010,'LAC 102_Wkst'!$D$7:$D$2010,$C$7,'LAC 102_Wkst'!$I$7:$I$2010,$C$9,'LAC 102_Wkst'!$E$7:$E$2010,$C83,'LAC 102_Wkst'!$G$7:$G$2010,$D83,'LAC 102_Wkst'!$L$7:$L$2010,"05",'LAC 102_Wkst'!$N$7:$N$2010,"P2")+SUMIFS('LAC 102_Wkst'!$Q$7:$Q$2010,'LAC 102_Wkst'!$D$7:$D$2010,$C$7,'LAC 102_Wkst'!$I$7:$I$2010,$C$9,'LAC 102_Wkst'!$E$7:$E$2010,$C83,'LAC 102_Wkst'!$G$7:$G$2010,$D83,'LAC 102_Wkst'!$L$7:$L$2010,"06",'LAC 102_Wkst'!$N$7:$N$2010,"P2")+SUMIFS('LAC 102_Wkst'!$Q$7:$Q$2010,'LAC 102_Wkst'!$D$7:$D$2010,$C$7,'LAC 102_Wkst'!$I$7:$I$2010,$C$9,'LAC 102_Wkst'!$E$7:$E$2010,$C83,'LAC 102_Wkst'!$G$7:$G$2010,$D83,'LAC 102_Wkst'!$L$7:$L$2010,"05",'LAC 102_Wkst'!$N$7:$N$2010,"P3")+SUMIFS('LAC 102_Wkst'!$Q$7:$Q$2010,'LAC 102_Wkst'!$D$7:$D$2010,$C$7,'LAC 102_Wkst'!$I$7:$I$2010,$C$9,'LAC 102_Wkst'!$E$7:$E$2010,$C83,'LAC 102_Wkst'!$G$7:$G$2010,$D83,'LAC 102_Wkst'!$L$7:$L$2010,"06",'LAC 102_Wkst'!$N$7:$N$2010,"P3")</f>
        <v>0</v>
      </c>
      <c r="U83" s="411">
        <f>SUMIFS('LAC 102_Wkst'!$AF$7:$AF$2010,'LAC 102_Wkst'!$D$7:$D$2010,$C$7,'LAC 102_Wkst'!$I$7:$I$2010,$C$9,'LAC 102_Wkst'!$E$7:$E$2010,$C83,'LAC 102_Wkst'!$G$7:$G$2010,$D83,'LAC 102_Wkst'!$L$7:$L$2010,"05",'LAC 102_Wkst'!$N$7:$N$2010,"P2")+SUMIFS('LAC 102_Wkst'!$AF$7:$AF$2010,'LAC 102_Wkst'!$D$7:$D$2010,$C$7,'LAC 102_Wkst'!$I$7:$I$2010,$C$9,'LAC 102_Wkst'!$E$7:$E$2010,$C83,'LAC 102_Wkst'!$G$7:$G$2010,$D83,'LAC 102_Wkst'!$L$7:$L$2010,"06",'LAC 102_Wkst'!$N$7:$N$2010,"P2")+SUMIFS('LAC 102_Wkst'!$AF$7:$AF$2010,'LAC 102_Wkst'!$D$7:$D$2010,$C$7,'LAC 102_Wkst'!$I$7:$I$2010,$C$9,'LAC 102_Wkst'!$E$7:$E$2010,$C83,'LAC 102_Wkst'!$G$7:$G$2010,$D83,'LAC 102_Wkst'!$L$7:$L$2010,"05",'LAC 102_Wkst'!$N$7:$N$2010,"P3")+SUMIFS('LAC 102_Wkst'!$AF$7:$AF$2010,'LAC 102_Wkst'!$D$7:$D$2010,$C$7,'LAC 102_Wkst'!$I$7:$I$2010,$C$9,'LAC 102_Wkst'!$E$7:$E$2010,$C83,'LAC 102_Wkst'!$G$7:$G$2010,$D83,'LAC 102_Wkst'!$L$7:$L$2010,"06",'LAC 102_Wkst'!$N$7:$N$2010,"P3")</f>
        <v>0</v>
      </c>
      <c r="V83" s="410">
        <f>SUMIFS('LAC 102_Wkst'!$Q$7:$Q$2010,'LAC 102_Wkst'!$D$7:$D$2010,$C$7,'LAC 102_Wkst'!$I$7:$I$2010,$C$9,'LAC 102_Wkst'!$E$7:$E$2010,$C83,'LAC 102_Wkst'!$G$7:$G$2010,$D83,'LAC 102_Wkst'!$L$7:$L$2010,"05",'LAC 102_Wkst'!$N$7:$N$2010,"P4")+SUMIFS('LAC 102_Wkst'!$Q$7:$Q$2010,'LAC 102_Wkst'!$D$7:$D$2010,$C$7,'LAC 102_Wkst'!$I$7:$I$2010,$C$9,'LAC 102_Wkst'!$E$7:$E$2010,$C83,'LAC 102_Wkst'!$G$7:$G$2010,$D83,'LAC 102_Wkst'!$L$7:$L$2010,"06",'LAC 102_Wkst'!$N$7:$N$2010,"P4")</f>
        <v>0</v>
      </c>
      <c r="W83" s="411">
        <f>SUMIFS('LAC 102_Wkst'!$AF$7:$AF$2010,'LAC 102_Wkst'!$D$7:$D$2010,$C$7,'LAC 102_Wkst'!$I$7:$I$2010,$C$9,'LAC 102_Wkst'!$E$7:$E$2010,$C83,'LAC 102_Wkst'!$G$7:$G$2010,$D83,'LAC 102_Wkst'!$L$7:$L$2010,"05",'LAC 102_Wkst'!$N$7:$N$2010,"P4")+SUMIFS('LAC 102_Wkst'!$AF$7:$AF$2010,'LAC 102_Wkst'!$D$7:$D$2010,$C$7,'LAC 102_Wkst'!$I$7:$I$2010,$C$9,'LAC 102_Wkst'!$E$7:$E$2010,$C83,'LAC 102_Wkst'!$G$7:$G$2010,$D83,'LAC 102_Wkst'!$L$7:$L$2010,"06",'LAC 102_Wkst'!$N$7:$N$2010,"P4")</f>
        <v>0</v>
      </c>
      <c r="X83" s="410">
        <f>SUMIFS('LAC 102_Wkst'!$Q$7:$Q$2010,'LAC 102_Wkst'!$D$7:$D$2010,$C$7,'LAC 102_Wkst'!$I$7:$I$2010,$C$9,'LAC 102_Wkst'!$E$7:$E$2010,$C83,'LAC 102_Wkst'!$G$7:$G$2010,$D83,'LAC 102_Wkst'!$L$7:$L$2010,"05",'LAC 102_Wkst'!$N$7:$N$2010,"P5")+SUMIFS('LAC 102_Wkst'!$Q$7:$Q$2010,'LAC 102_Wkst'!$D$7:$D$2010,$C$7,'LAC 102_Wkst'!$I$7:$I$2010,$C$9,'LAC 102_Wkst'!$E$7:$E$2010,$C83,'LAC 102_Wkst'!$G$7:$G$2010,$D83,'LAC 102_Wkst'!$L$7:$L$2010,"06",'LAC 102_Wkst'!$N$7:$N$2010,"P5")</f>
        <v>0</v>
      </c>
      <c r="Y83" s="411">
        <f>SUMIFS('LAC 102_Wkst'!$AF$7:$AF$2010,'LAC 102_Wkst'!$D$7:$D$2010,$C$7,'LAC 102_Wkst'!$I$7:$I$2010,$C$9,'LAC 102_Wkst'!$E$7:$E$2010,$C83,'LAC 102_Wkst'!$G$7:$G$2010,$D83,'LAC 102_Wkst'!$L$7:$L$2010,"05",'LAC 102_Wkst'!$N$7:$N$2010,"P5")+SUMIFS('LAC 102_Wkst'!$AF$7:$AF$2010,'LAC 102_Wkst'!$D$7:$D$2010,$C$7,'LAC 102_Wkst'!$I$7:$I$2010,$C$9,'LAC 102_Wkst'!$E$7:$E$2010,$C83,'LAC 102_Wkst'!$G$7:$G$2010,$D83,'LAC 102_Wkst'!$L$7:$L$2010,"06",'LAC 102_Wkst'!$N$7:$N$2010,"P5")</f>
        <v>0</v>
      </c>
      <c r="Z83" s="410">
        <f>SUMIFS('LAC 102_Wkst'!$Q$7:$Q$2010,'LAC 102_Wkst'!$D$7:$D$2010,$C$7,'LAC 102_Wkst'!$I$7:$I$2010,$C$9,'LAC 102_Wkst'!$E$7:$E$2010,$C83,'LAC 102_Wkst'!$G$7:$G$2010,$D83,'LAC 102_Wkst'!$L$7:$L$2010,"07",'LAC 102_Wkst'!$N$7:$N$2010,"P1")+SUMIFS('LAC 102_Wkst'!$Q$7:$Q$2010,'LAC 102_Wkst'!$D$7:$D$2010,$C$7,'LAC 102_Wkst'!$I$7:$I$2010,$C$9,'LAC 102_Wkst'!$E$7:$E$2010,$C83,'LAC 102_Wkst'!$G$7:$G$2010,$D83,'LAC 102_Wkst'!$L$7:$L$2010,"07",'LAC 102_Wkst'!$N$7:$N$2010,"P2")+SUMIFS('LAC 102_Wkst'!$Q$7:$Q$2010,'LAC 102_Wkst'!$D$7:$D$2010,$C$7,'LAC 102_Wkst'!$I$7:$I$2010,$C$9,'LAC 102_Wkst'!$E$7:$E$2010,$C83,'LAC 102_Wkst'!$G$7:$G$2010,$D83,'LAC 102_Wkst'!$L$7:$L$2010,"07",'LAC 102_Wkst'!$N$7:$N$2010,"P3")</f>
        <v>0</v>
      </c>
      <c r="AA83" s="411">
        <f>SUMIFS('LAC 102_Wkst'!$AF$7:$AF$2010,'LAC 102_Wkst'!$D$7:$D$2010,$C$7,'LAC 102_Wkst'!$I$7:$I$2010,$C$9,'LAC 102_Wkst'!$E$7:$E$2010,$C83,'LAC 102_Wkst'!$G$7:$G$2010,$D83,'LAC 102_Wkst'!$L$7:$L$2010,"07",'LAC 102_Wkst'!$N$7:$N$2010,"P1")+SUMIFS('LAC 102_Wkst'!$AF$7:$AF$2010,'LAC 102_Wkst'!$D$7:$D$2010,$C$7,'LAC 102_Wkst'!$I$7:$I$2010,$C$9,'LAC 102_Wkst'!$E$7:$E$2010,$C83,'LAC 102_Wkst'!$G$7:$G$2010,$D83,'LAC 102_Wkst'!$L$7:$L$2010,"07",'LAC 102_Wkst'!$N$7:$N$2010,"P2")+SUMIFS('LAC 102_Wkst'!$AF$7:$AF$2010,'LAC 102_Wkst'!$D$7:$D$2010,$C$7,'LAC 102_Wkst'!$I$7:$I$2010,$C$9,'LAC 102_Wkst'!$E$7:$E$2010,$C83,'LAC 102_Wkst'!$G$7:$G$2010,$D83,'LAC 102_Wkst'!$L$7:$L$2010,"07",'LAC 102_Wkst'!$N$7:$N$2010,"P3")</f>
        <v>0</v>
      </c>
      <c r="AB83" s="410">
        <f>SUMIFS('LAC 102_Wkst'!$Q$7:$Q$2010,'LAC 102_Wkst'!$D$7:$D$2010,$C$7,'LAC 102_Wkst'!$I$7:$I$2010,$C$9,'LAC 102_Wkst'!$E$7:$E$2010,$C83,'LAC 102_Wkst'!$G$7:$G$2010,$D83,'LAC 102_Wkst'!$L$7:$L$2010,"07",'LAC 102_Wkst'!$N$7:$N$2010,"P4")</f>
        <v>0</v>
      </c>
      <c r="AC83" s="411">
        <f>SUMIFS('LAC 102_Wkst'!$AF$7:$AF$2010,'LAC 102_Wkst'!$D$7:$D$2010,$C$7,'LAC 102_Wkst'!$I$7:$I$2010,$C$9,'LAC 102_Wkst'!$E$7:$E$2010,$C83,'LAC 102_Wkst'!$G$7:$G$2010,$D83,'LAC 102_Wkst'!$L$7:$L$2010,"07",'LAC 102_Wkst'!$N$7:$N$2010,"P4")</f>
        <v>0</v>
      </c>
      <c r="AD83" s="410">
        <f>SUMIFS('LAC 102_Wkst'!$Q$7:$Q$2010,'LAC 102_Wkst'!$D$7:$D$2010,$C$7,'LAC 102_Wkst'!$I$7:$I$2010,$C$9,'LAC 102_Wkst'!$E$7:$E$2010,$C83,'LAC 102_Wkst'!$G$7:$G$2010,$D83,'LAC 102_Wkst'!$L$7:$L$2010,"07",'LAC 102_Wkst'!$N$7:$N$2010,"P5")</f>
        <v>0</v>
      </c>
      <c r="AE83" s="411">
        <f>SUMIFS('LAC 102_Wkst'!$AF$7:$AF$2010,'LAC 102_Wkst'!$D$7:$D$2010,$C$7,'LAC 102_Wkst'!$I$7:$I$2010,$C$9,'LAC 102_Wkst'!$E$7:$E$2010,$C83,'LAC 102_Wkst'!$G$7:$G$2010,$D83,'LAC 102_Wkst'!$L$7:$L$2010,"07",'LAC 102_Wkst'!$N$7:$N$2010,"P5")</f>
        <v>0</v>
      </c>
      <c r="AF83" s="410">
        <f>SUMIFS('LAC 102_Wkst'!$Q$7:$Q$2010,'LAC 102_Wkst'!$D$7:$D$2010,$C$7,'LAC 102_Wkst'!$I$7:$I$2010,$C$9,'LAC 102_Wkst'!$E$7:$E$2010,$C83,'LAC 102_Wkst'!$G$7:$G$2010,$D83,'LAC 102_Wkst'!$L$7:$L$2010,"08",'LAC 102_Wkst'!$N$7:$N$2010,"P1")+SUMIFS('LAC 102_Wkst'!$Q$7:$Q$2010,'LAC 102_Wkst'!$D$7:$D$2010,$C$7,'LAC 102_Wkst'!$I$7:$I$2010,$C$9,'LAC 102_Wkst'!$E$7:$E$2010,$C83,'LAC 102_Wkst'!$G$7:$G$2010,$D83,'LAC 102_Wkst'!$L$7:$L$2010,"08",'LAC 102_Wkst'!$N$7:$N$2010,"P2")+SUMIFS('LAC 102_Wkst'!$Q$7:$Q$2010,'LAC 102_Wkst'!$D$7:$D$2010,$C$7,'LAC 102_Wkst'!$I$7:$I$2010,$C$9,'LAC 102_Wkst'!$E$7:$E$2010,$C83,'LAC 102_Wkst'!$G$7:$G$2010,$D83,'LAC 102_Wkst'!$L$7:$L$2010,"08",'LAC 102_Wkst'!$N$7:$N$2010,"P3")</f>
        <v>0</v>
      </c>
      <c r="AG83" s="411">
        <f>SUMIFS('LAC 102_Wkst'!$AF$7:$AF$2010,'LAC 102_Wkst'!$D$7:$D$2010,$C$7,'LAC 102_Wkst'!$I$7:$I$2010,$C$9,'LAC 102_Wkst'!$E$7:$E$2010,$C83,'LAC 102_Wkst'!$G$7:$G$2010,$D83,'LAC 102_Wkst'!$L$7:$L$2010,"08",'LAC 102_Wkst'!$N$7:$N$2010,"P1")+SUMIFS('LAC 102_Wkst'!$AF$7:$AF$2010,'LAC 102_Wkst'!$D$7:$D$2010,$C$7,'LAC 102_Wkst'!$I$7:$I$2010,$C$9,'LAC 102_Wkst'!$E$7:$E$2010,$C83,'LAC 102_Wkst'!$G$7:$G$2010,$D83,'LAC 102_Wkst'!$L$7:$L$2010,"08",'LAC 102_Wkst'!$N$7:$N$2010,"P2")+SUMIFS('LAC 102_Wkst'!$AF$7:$AF$2010,'LAC 102_Wkst'!$D$7:$D$2010,$C$7,'LAC 102_Wkst'!$I$7:$I$2010,$C$9,'LAC 102_Wkst'!$E$7:$E$2010,$C83,'LAC 102_Wkst'!$G$7:$G$2010,$D83,'LAC 102_Wkst'!$L$7:$L$2010,"08",'LAC 102_Wkst'!$N$7:$N$2010,"P3")</f>
        <v>0</v>
      </c>
      <c r="AH83" s="410">
        <f>SUMIFS('LAC 102_Wkst'!$Q$7:$Q$2010,'LAC 102_Wkst'!$D$7:$D$2010,$C$7,'LAC 102_Wkst'!$I$7:$I$2010,$C$9,'LAC 102_Wkst'!$E$7:$E$2010,$C83,'LAC 102_Wkst'!$G$7:$G$2010,$D83,'LAC 102_Wkst'!$L$7:$L$2010,"08",'LAC 102_Wkst'!$N$7:$N$2010,"P4")</f>
        <v>0</v>
      </c>
      <c r="AI83" s="411">
        <f>SUMIFS('LAC 102_Wkst'!$AF$7:$AF$2010,'LAC 102_Wkst'!$D$7:$D$2010,$C$7,'LAC 102_Wkst'!$I$7:$I$2010,$C$9,'LAC 102_Wkst'!$E$7:$E$2010,$C83,'LAC 102_Wkst'!$G$7:$G$2010,$D83,'LAC 102_Wkst'!$L$7:$L$2010,"08",'LAC 102_Wkst'!$N$7:$N$2010,"P4")</f>
        <v>0</v>
      </c>
      <c r="AJ83" s="410">
        <f>SUMIFS('LAC 102_Wkst'!$Q$7:$Q$2010,'LAC 102_Wkst'!$D$7:$D$2010,$C$7,'LAC 102_Wkst'!$I$7:$I$2010,$C$9,'LAC 102_Wkst'!$E$7:$E$2010,$C83,'LAC 102_Wkst'!$G$7:$G$2010,$D83,'LAC 102_Wkst'!$L$7:$L$2010,"08",'LAC 102_Wkst'!$N$7:$N$2010,"P5")</f>
        <v>0</v>
      </c>
      <c r="AK83" s="411">
        <f>SUMIFS('LAC 102_Wkst'!$AF$7:$AF$2010,'LAC 102_Wkst'!$D$7:$D$2010,$C$7,'LAC 102_Wkst'!$I$7:$I$2010,$C$9,'LAC 102_Wkst'!$E$7:$E$2010,$C83,'LAC 102_Wkst'!$G$7:$G$2010,$D83,'LAC 102_Wkst'!$L$7:$L$2010,"08",'LAC 102_Wkst'!$N$7:$N$2010,"P5")</f>
        <v>0</v>
      </c>
      <c r="AL83" s="410">
        <f>SUMIFS('LAC 102_Wkst'!$Q$7:$Q$2010,'LAC 102_Wkst'!$D$7:$D$2010,$C$7,'LAC 102_Wkst'!$I$7:$I$2010,$C$9,'LAC 102_Wkst'!$E$7:$E$2010,$C83,'LAC 102_Wkst'!$G$7:$G$2010,$D83,'LAC 102_Wkst'!$L$7:$L$2010,"09",'LAC 102_Wkst'!$N$7:$N$2010,"P1")+SUMIFS('LAC 102_Wkst'!$Q$7:$Q$2010,'LAC 102_Wkst'!$D$7:$D$2010,$C$7,'LAC 102_Wkst'!$I$7:$I$2010,$C$9,'LAC 102_Wkst'!$E$7:$E$2010,$C83,'LAC 102_Wkst'!$G$7:$G$2010,$D83,'LAC 102_Wkst'!$L$7:$L$2010,"09",'LAC 102_Wkst'!$N$7:$N$2010,"P2")+SUMIFS('LAC 102_Wkst'!$Q$7:$Q$2010,'LAC 102_Wkst'!$D$7:$D$2010,$C$7,'LAC 102_Wkst'!$I$7:$I$2010,$C$9,'LAC 102_Wkst'!$E$7:$E$2010,$C83,'LAC 102_Wkst'!$G$7:$G$2010,$D83,'LAC 102_Wkst'!$L$7:$L$2010,"09",'LAC 102_Wkst'!$N$7:$N$2010,"P3")+SUMIFS('LAC 102_Wkst'!$Q$7:$Q$2010,'LAC 102_Wkst'!$D$7:$D$2010,$C$7,'LAC 102_Wkst'!$I$7:$I$2010,$C$9,'LAC 102_Wkst'!$E$7:$E$2010,$C83,'LAC 102_Wkst'!$G$7:$G$2010,$D83,'LAC 102_Wkst'!$L$7:$L$2010,"09",'LAC 102_Wkst'!$N$7:$N$2010,"P4")</f>
        <v>0</v>
      </c>
      <c r="AM83" s="411">
        <f>SUMIFS('LAC 102_Wkst'!$AF$7:$AF$2010,'LAC 102_Wkst'!$D$7:$D$2010,$C$7,'LAC 102_Wkst'!$I$7:$I$2010,$C$9,'LAC 102_Wkst'!$E$7:$E$2010,$C83,'LAC 102_Wkst'!$G$7:$G$2010,$D83,'LAC 102_Wkst'!$L$7:$L$2010,"09",'LAC 102_Wkst'!$N$7:$N$2010,"P1")+SUMIFS('LAC 102_Wkst'!$AF$7:$AF$2010,'LAC 102_Wkst'!$D$7:$D$2010,$C$7,'LAC 102_Wkst'!$I$7:$I$2010,$C$9,'LAC 102_Wkst'!$E$7:$E$2010,$C83,'LAC 102_Wkst'!$G$7:$G$2010,$D83,'LAC 102_Wkst'!$L$7:$L$2010,"09",'LAC 102_Wkst'!$N$7:$N$2010,"P2")+SUMIFS('LAC 102_Wkst'!$AF$7:$AF$2010,'LAC 102_Wkst'!$D$7:$D$2010,$C$7,'LAC 102_Wkst'!$I$7:$I$2010,$C$9,'LAC 102_Wkst'!$E$7:$E$2010,$C83,'LAC 102_Wkst'!$G$7:$G$2010,$D83,'LAC 102_Wkst'!$L$7:$L$2010,"09",'LAC 102_Wkst'!$N$7:$N$2010,"P3")+SUMIFS('LAC 102_Wkst'!$AF$7:$AF$2010,'LAC 102_Wkst'!$D$7:$D$2010,$C$7,'LAC 102_Wkst'!$I$7:$I$2010,$C$9,'LAC 102_Wkst'!$E$7:$E$2010,$C83,'LAC 102_Wkst'!$G$7:$G$2010,$D83,'LAC 102_Wkst'!$L$7:$L$2010,"09",'LAC 102_Wkst'!$N$7:$N$2010,"P4")</f>
        <v>0</v>
      </c>
      <c r="AN83" s="410">
        <f>SUMIFS('LAC 102_Wkst'!$Q$7:$Q$2010,'LAC 102_Wkst'!$D$7:$D$2010,$C$7,'LAC 102_Wkst'!$I$7:$I$2010,$C$9,'LAC 102_Wkst'!$E$7:$E$2010,$C83,'LAC 102_Wkst'!$G$7:$G$2010,$D83,'LAC 102_Wkst'!$L$7:$L$2010,"09",'LAC 102_Wkst'!$N$7:$N$2010,"P5")</f>
        <v>0</v>
      </c>
      <c r="AO83" s="411">
        <f>SUMIFS('LAC 102_Wkst'!$AF$7:$AF$2010,'LAC 102_Wkst'!$D$7:$D$2010,$C$7,'LAC 102_Wkst'!$I$7:$I$2010,$C$9,'LAC 102_Wkst'!$E$7:$E$2010,$C83,'LAC 102_Wkst'!$G$7:$G$2010,$D83,'LAC 102_Wkst'!$L$7:$L$2010,"09",'LAC 102_Wkst'!$N$7:$N$2010,"P5")</f>
        <v>0</v>
      </c>
      <c r="AP83" s="410">
        <f>SUMIFS('LAC 102_Wkst'!$Q$7:$Q$2010,'LAC 102_Wkst'!$D$7:$D$2010,$C$7,'LAC 102_Wkst'!$I$7:$I$2010,$C$9,'LAC 102_Wkst'!$E$7:$E$2010,$C83,'LAC 102_Wkst'!$G$7:$G$2010,$D83,'LAC 102_Wkst'!$L$7:$L$2010,"10",'LAC 102_Wkst'!$N$7:$N$2010,"P1")+SUMIFS('LAC 102_Wkst'!$Q$7:$Q$2010,'LAC 102_Wkst'!$D$7:$D$2010,$C$7,'LAC 102_Wkst'!$I$7:$I$2010,$C$9,'LAC 102_Wkst'!$E$7:$E$2010,$C83,'LAC 102_Wkst'!$G$7:$G$2010,$D83,'LAC 102_Wkst'!$L$7:$L$2010,"10",'LAC 102_Wkst'!$N$7:$N$2010,"P2")+SUMIFS('LAC 102_Wkst'!$Q$7:$Q$2010,'LAC 102_Wkst'!$D$7:$D$2010,$C$7,'LAC 102_Wkst'!$I$7:$I$2010,$C$9,'LAC 102_Wkst'!$E$7:$E$2010,$C83,'LAC 102_Wkst'!$G$7:$G$2010,$D83,'LAC 102_Wkst'!$L$7:$L$2010,"10",'LAC 102_Wkst'!$N$7:$N$2010,"P3")+SUMIFS('LAC 102_Wkst'!$Q$7:$Q$2010,'LAC 102_Wkst'!$D$7:$D$2010,$C$7,'LAC 102_Wkst'!$I$7:$I$2010,$C$9,'LAC 102_Wkst'!$E$7:$E$2010,$C83,'LAC 102_Wkst'!$G$7:$G$2010,$D83,'LAC 102_Wkst'!$L$7:$L$2010,"10",'LAC 102_Wkst'!$N$7:$N$2010,"P4")</f>
        <v>0</v>
      </c>
      <c r="AQ83" s="411">
        <f>SUMIFS('LAC 102_Wkst'!$AF$7:$AF$2010,'LAC 102_Wkst'!$D$7:$D$2010,$C$7,'LAC 102_Wkst'!$I$7:$I$2010,$C$9,'LAC 102_Wkst'!$E$7:$E$2010,$C83,'LAC 102_Wkst'!$G$7:$G$2010,$D83,'LAC 102_Wkst'!$L$7:$L$2010,"10",'LAC 102_Wkst'!$N$7:$N$2010,"P1")+SUMIFS('LAC 102_Wkst'!$AF$7:$AF$2010,'LAC 102_Wkst'!$D$7:$D$2010,$C$7,'LAC 102_Wkst'!$I$7:$I$2010,$C$9,'LAC 102_Wkst'!$E$7:$E$2010,$C83,'LAC 102_Wkst'!$G$7:$G$2010,$D83,'LAC 102_Wkst'!$L$7:$L$2010,"10",'LAC 102_Wkst'!$N$7:$N$2010,"P2")+SUMIFS('LAC 102_Wkst'!$AF$7:$AF$2010,'LAC 102_Wkst'!$D$7:$D$2010,$C$7,'LAC 102_Wkst'!$I$7:$I$2010,$C$9,'LAC 102_Wkst'!$E$7:$E$2010,$C83,'LAC 102_Wkst'!$G$7:$G$2010,$D83,'LAC 102_Wkst'!$L$7:$L$2010,"10",'LAC 102_Wkst'!$N$7:$N$2010,"P3")+SUMIFS('LAC 102_Wkst'!$AF$7:$AF$2010,'LAC 102_Wkst'!$D$7:$D$2010,$C$7,'LAC 102_Wkst'!$I$7:$I$2010,$C$9,'LAC 102_Wkst'!$E$7:$E$2010,$C83,'LAC 102_Wkst'!$G$7:$G$2010,$D83,'LAC 102_Wkst'!$L$7:$L$2010,"10",'LAC 102_Wkst'!$N$7:$N$2010,"P4")</f>
        <v>0</v>
      </c>
      <c r="AR83" s="410">
        <f>SUMIFS('LAC 102_Wkst'!$Q$7:$Q$2010,'LAC 102_Wkst'!$D$7:$D$2010,$C$7,'LAC 102_Wkst'!$I$7:$I$2010,$C$9,'LAC 102_Wkst'!$E$7:$E$2010,$C83,'LAC 102_Wkst'!$G$7:$G$2010,$D83,'LAC 102_Wkst'!$L$7:$L$2010,"10",'LAC 102_Wkst'!$N$7:$N$2010,"P5")</f>
        <v>0</v>
      </c>
      <c r="AS83" s="411">
        <f>SUMIFS('LAC 102_Wkst'!$AF$7:$AF$2010,'LAC 102_Wkst'!$D$7:$D$2010,$C$7,'LAC 102_Wkst'!$I$7:$I$2010,$C$9,'LAC 102_Wkst'!$E$7:$E$2010,$C83,'LAC 102_Wkst'!$G$7:$G$2010,$D83,'LAC 102_Wkst'!$L$7:$L$2010,"10",'LAC 102_Wkst'!$N$7:$N$2010,"P5")</f>
        <v>0</v>
      </c>
      <c r="AT83" s="410">
        <f>SUMIFS('LAC 102_Wkst'!$Q$7:$Q$2010,'LAC 102_Wkst'!$D$7:$D$2010,$C$7,'LAC 102_Wkst'!$I$7:$I$2010,$C$9,'LAC 102_Wkst'!$E$7:$E$2010,$C83,'LAC 102_Wkst'!$G$7:$G$2010,$D83,'LAC 102_Wkst'!$L$7:$L$2010,"11",'LAC 102_Wkst'!$N$7:$N$2010,"P1")+SUMIFS('LAC 102_Wkst'!$Q$7:$Q$2010,'LAC 102_Wkst'!$D$7:$D$2010,$C$7,'LAC 102_Wkst'!$I$7:$I$2010,$C$9,'LAC 102_Wkst'!$E$7:$E$2010,$C83,'LAC 102_Wkst'!$G$7:$G$2010,$D83,'LAC 102_Wkst'!$L$7:$L$2010,"12",'LAC 102_Wkst'!$N$7:$N$2010,"P1")</f>
        <v>0</v>
      </c>
      <c r="AU83" s="411">
        <f>SUMIFS('LAC 102_Wkst'!$Q$7:$Q$2010,'LAC 102_Wkst'!$D$7:$D$2010,$C$7,'LAC 102_Wkst'!$I$7:$I$2010,$C$9,'LAC 102_Wkst'!$E$7:$E$2010,$C83,'LAC 102_Wkst'!$G$7:$G$2010,$D83,'LAC 102_Wkst'!$L$7:$L$2010,"13",'LAC 102_Wkst'!$N$7:$N$2010,"P5")</f>
        <v>0</v>
      </c>
      <c r="AV83" s="410">
        <f>SUMIFS('LAC 102_Wkst'!$Q$7:$Q$2010,'LAC 102_Wkst'!$D$7:$D$2010,$C$7,'LAC 102_Wkst'!$I$7:$I$2010,$C$9,'LAC 102_Wkst'!$E$7:$E$2010,$C83,'LAC 102_Wkst'!$G$7:$G$2010,$D83,'LAC 102_Wkst'!$L$7:$L$2010,"11",'LAC 102_Wkst'!$N$7:$N$2010,"P2")+SUMIFS('LAC 102_Wkst'!$Q$7:$Q$2010,'LAC 102_Wkst'!$D$7:$D$2010,$C$7,'LAC 102_Wkst'!$I$7:$I$2010,$C$9,'LAC 102_Wkst'!$E$7:$E$2010,$C83,'LAC 102_Wkst'!$G$7:$G$2010,$D83,'LAC 102_Wkst'!$L$7:$L$2010,"12",'LAC 102_Wkst'!$N$7:$N$2010,"P2")+SUMIFS('LAC 102_Wkst'!$Q$7:$Q$2010,'LAC 102_Wkst'!$D$7:$D$2010,$C$7,'LAC 102_Wkst'!$I$7:$I$2010,$C$9,'LAC 102_Wkst'!$E$7:$E$2010,$C83,'LAC 102_Wkst'!$G$7:$G$2010,$D83,'LAC 102_Wkst'!$L$7:$L$2010,"11",'LAC 102_Wkst'!$N$7:$N$2010,"P3")+SUMIFS('LAC 102_Wkst'!$Q$7:$Q$2010,'LAC 102_Wkst'!$D$7:$D$2010,$C$7,'LAC 102_Wkst'!$I$7:$I$2010,$C$9,'LAC 102_Wkst'!$E$7:$E$2010,$C83,'LAC 102_Wkst'!$G$7:$G$2010,$D83,'LAC 102_Wkst'!$L$7:$L$2010,"12",'LAC 102_Wkst'!$N$7:$N$2010,"P3")</f>
        <v>0</v>
      </c>
      <c r="AW83" s="411">
        <f>SUMIFS('LAC 102_Wkst'!$AF$7:$AF$2010,'LAC 102_Wkst'!$D$7:$D$2010,$C$7,'LAC 102_Wkst'!$I$7:$I$2010,$C$9,'LAC 102_Wkst'!$E$7:$E$2010,$C83,'LAC 102_Wkst'!$G$7:$G$2010,$D83,'LAC 102_Wkst'!$L$7:$L$2010,"11",'LAC 102_Wkst'!$N$7:$N$2010,"P2")+SUMIFS('LAC 102_Wkst'!$AF$7:$AF$2010,'LAC 102_Wkst'!$D$7:$D$2010,$C$7,'LAC 102_Wkst'!$I$7:$I$2010,$C$9,'LAC 102_Wkst'!$E$7:$E$2010,$C83,'LAC 102_Wkst'!$G$7:$G$2010,$D83,'LAC 102_Wkst'!$L$7:$L$2010,"12",'LAC 102_Wkst'!$N$7:$N$2010,"P2")+SUMIFS('LAC 102_Wkst'!$AF$7:$AF$2010,'LAC 102_Wkst'!$D$7:$D$2010,$C$7,'LAC 102_Wkst'!$I$7:$I$2010,$C$9,'LAC 102_Wkst'!$E$7:$E$2010,$C83,'LAC 102_Wkst'!$G$7:$G$2010,$D83,'LAC 102_Wkst'!$L$7:$L$2010,"11",'LAC 102_Wkst'!$N$7:$N$2010,"P3")+SUMIFS('LAC 102_Wkst'!$AF$7:$AF$2010,'LAC 102_Wkst'!$D$7:$D$2010,$C$7,'LAC 102_Wkst'!$I$7:$I$2010,$C$9,'LAC 102_Wkst'!$E$7:$E$2010,$C83,'LAC 102_Wkst'!$G$7:$G$2010,$D83,'LAC 102_Wkst'!$L$7:$L$2010,"12",'LAC 102_Wkst'!$N$7:$N$2010,"P3")</f>
        <v>0</v>
      </c>
      <c r="AX83" s="410">
        <f>SUMIFS('LAC 102_Wkst'!$Q$7:$Q$2010,'LAC 102_Wkst'!$D$7:$D$2010,$C$7,'LAC 102_Wkst'!$I$7:$I$2010,$C$9,'LAC 102_Wkst'!$E$7:$E$2010,$C83,'LAC 102_Wkst'!$G$7:$G$2010,$D83,'LAC 102_Wkst'!$L$7:$L$2010,"11",'LAC 102_Wkst'!$N$7:$N$2010,"P4")+SUMIFS('LAC 102_Wkst'!$Q$7:$Q$2010,'LAC 102_Wkst'!$D$7:$D$2010,$C$7,'LAC 102_Wkst'!$I$7:$I$2010,$C$9,'LAC 102_Wkst'!$E$7:$E$2010,$C83,'LAC 102_Wkst'!$G$7:$G$2010,$D83,'LAC 102_Wkst'!$L$7:$L$2010,"12",'LAC 102_Wkst'!$N$7:$N$2010,"P4")</f>
        <v>0</v>
      </c>
      <c r="AY83" s="411">
        <f>SUMIFS('LAC 102_Wkst'!$AF$7:$AF$2010,'LAC 102_Wkst'!$D$7:$D$2010,$C$7,'LAC 102_Wkst'!$I$7:$I$2010,$C$9,'LAC 102_Wkst'!$E$7:$E$2010,$C83,'LAC 102_Wkst'!$G$7:$G$2010,$D83,'LAC 102_Wkst'!$L$7:$L$2010,"11",'LAC 102_Wkst'!$N$7:$N$2010,"P4")+SUMIFS('LAC 102_Wkst'!$AF$7:$AF$2010,'LAC 102_Wkst'!$D$7:$D$2010,$C$7,'LAC 102_Wkst'!$I$7:$I$2010,$C$9,'LAC 102_Wkst'!$E$7:$E$2010,$C83,'LAC 102_Wkst'!$G$7:$G$2010,$D83,'LAC 102_Wkst'!$L$7:$L$2010,"12",'LAC 102_Wkst'!$N$7:$N$2010,"P4")</f>
        <v>0</v>
      </c>
      <c r="AZ83" s="410">
        <f>SUMIFS('LAC 102_Wkst'!$Q$7:$Q$2010,'LAC 102_Wkst'!$D$7:$D$2010,$C$7,'LAC 102_Wkst'!$I$7:$I$2010,$C$9,'LAC 102_Wkst'!$E$7:$E$2010,$C83,'LAC 102_Wkst'!$G$7:$G$2010,$D83,'LAC 102_Wkst'!$L$7:$L$2010,"11",'LAC 102_Wkst'!$N$7:$N$2010,"P5")+SUMIFS('LAC 102_Wkst'!$Q$7:$Q$2010,'LAC 102_Wkst'!$D$7:$D$2010,$C$7,'LAC 102_Wkst'!$I$7:$I$2010,$C$9,'LAC 102_Wkst'!$E$7:$E$2010,$C83,'LAC 102_Wkst'!$G$7:$G$2010,$D83,'LAC 102_Wkst'!$L$7:$L$2010,"12",'LAC 102_Wkst'!$N$7:$N$2010,"P5")</f>
        <v>0</v>
      </c>
      <c r="BA83" s="411">
        <f>SUMIFS('LAC 102_Wkst'!$AF$7:$AF$2010,'LAC 102_Wkst'!$D$7:$D$2010,$C$7,'LAC 102_Wkst'!$I$7:$I$2010,$C$9,'LAC 102_Wkst'!$E$7:$E$2010,$C83,'LAC 102_Wkst'!$G$7:$G$2010,$D83,'LAC 102_Wkst'!$L$7:$L$2010,"11",'LAC 102_Wkst'!$N$7:$N$2010,"P5")+SUMIFS('LAC 102_Wkst'!$AF$7:$AF$2010,'LAC 102_Wkst'!$D$7:$D$2010,$C$7,'LAC 102_Wkst'!$I$7:$I$2010,$C$9,'LAC 102_Wkst'!$E$7:$E$2010,$C83,'LAC 102_Wkst'!$G$7:$G$2010,$D83,'LAC 102_Wkst'!$L$7:$L$2010,"12",'LAC 102_Wkst'!$N$7:$N$2010,"P5")</f>
        <v>0</v>
      </c>
      <c r="BB83" s="410">
        <f>SUMIFS('LAC 102_Wkst'!$Q$7:$Q$2010,'LAC 102_Wkst'!$D$7:$D$2010,$C$7,'LAC 102_Wkst'!$I$7:$I$2010,$C$9,'LAC 102_Wkst'!$E$7:$E$2010,$C83,'LAC 102_Wkst'!$G$7:$G$2010,$D83,'LAC 102_Wkst'!$L$7:$L$2010,"13",'LAC 102_Wkst'!$N$7:$N$2010,"P1")+SUMIFS('LAC 102_Wkst'!$Q$7:$Q$2010,'LAC 102_Wkst'!$D$7:$D$2010,$C$7,'LAC 102_Wkst'!$I$7:$I$2010,$C$9,'LAC 102_Wkst'!$E$7:$E$2010,$C83,'LAC 102_Wkst'!$G$7:$G$2010,$D83,'LAC 102_Wkst'!$L$7:$L$2010,"13",'LAC 102_Wkst'!$N$7:$N$2010,"P2")+SUMIFS('LAC 102_Wkst'!$Q$7:$Q$2010,'LAC 102_Wkst'!$D$7:$D$2010,$C$7,'LAC 102_Wkst'!$I$7:$I$2010,$C$9,'LAC 102_Wkst'!$E$7:$E$2010,$C83,'LAC 102_Wkst'!$G$7:$G$2010,$D83,'LAC 102_Wkst'!$L$7:$L$2010,"13",'LAC 102_Wkst'!$N$7:$N$2010,"P3")+SUMIFS('LAC 102_Wkst'!$Q$7:$Q$2010,'LAC 102_Wkst'!$D$7:$D$2010,$C$7,'LAC 102_Wkst'!$I$7:$I$2010,$C$9,'LAC 102_Wkst'!$E$7:$E$2010,$C83,'LAC 102_Wkst'!$G$7:$G$2010,$D83,'LAC 102_Wkst'!$L$7:$L$2010,"13",'LAC 102_Wkst'!$N$7:$N$2010,"P4")</f>
        <v>0</v>
      </c>
      <c r="BC83" s="411">
        <f>SUMIFS('LAC 102_Wkst'!$AF$7:$AF$2010,'LAC 102_Wkst'!$D$7:$D$2010,$C$7,'LAC 102_Wkst'!$I$7:$I$2010,$C$9,'LAC 102_Wkst'!$E$7:$E$2010,$C83,'LAC 102_Wkst'!$G$7:$G$2010,$D83,'LAC 102_Wkst'!$L$7:$L$2010,"13",'LAC 102_Wkst'!$N$7:$N$2010,"P1")+SUMIFS('LAC 102_Wkst'!$AF$7:$AF$2010,'LAC 102_Wkst'!$D$7:$D$2010,$C$7,'LAC 102_Wkst'!$I$7:$I$2010,$C$9,'LAC 102_Wkst'!$E$7:$E$2010,$C83,'LAC 102_Wkst'!$G$7:$G$2010,$D83,'LAC 102_Wkst'!$L$7:$L$2010,"13",'LAC 102_Wkst'!$N$7:$N$2010,"P2")+SUMIFS('LAC 102_Wkst'!$AF$7:$AF$2010,'LAC 102_Wkst'!$D$7:$D$2010,$C$7,'LAC 102_Wkst'!$I$7:$I$2010,$C$9,'LAC 102_Wkst'!$E$7:$E$2010,$C83,'LAC 102_Wkst'!$G$7:$G$2010,$D83,'LAC 102_Wkst'!$L$7:$L$2010,"13",'LAC 102_Wkst'!$N$7:$N$2010,"P3")+SUMIFS('LAC 102_Wkst'!$AF$7:$AF$2010,'LAC 102_Wkst'!$D$7:$D$2010,$C$7,'LAC 102_Wkst'!$I$7:$I$2010,$C$9,'LAC 102_Wkst'!$E$7:$E$2010,$C83,'LAC 102_Wkst'!$G$7:$G$2010,$D83,'LAC 102_Wkst'!$L$7:$L$2010,"13",'LAC 102_Wkst'!$N$7:$N$2010,"P4")</f>
        <v>0</v>
      </c>
      <c r="BD83" s="410">
        <f>SUMIFS('LAC 102_Wkst'!$Q$7:$Q$2010,'LAC 102_Wkst'!$D$7:$D$2010,$C$7,'LAC 102_Wkst'!$I$7:$I$2010,$C$9,'LAC 102_Wkst'!$E$7:$E$2010,$C83,'LAC 102_Wkst'!$G$7:$G$2010,$D83,'LAC 102_Wkst'!$L$7:$L$2010,"13",'LAC 102_Wkst'!$N$7:$N$2010,"P5")</f>
        <v>0</v>
      </c>
      <c r="BE83" s="411">
        <f>SUMIFS('LAC 102_Wkst'!$AF$7:$AF$2010,'LAC 102_Wkst'!$D$7:$D$2010,$C$7,'LAC 102_Wkst'!$I$7:$I$2010,$C$9,'LAC 102_Wkst'!$E$7:$E$2010,$C83,'LAC 102_Wkst'!$G$7:$G$2010,$D83,'LAC 102_Wkst'!$L$7:$L$2010,"13",'LAC 102_Wkst'!$N$7:$N$2010,"P5")</f>
        <v>0</v>
      </c>
      <c r="BF83" s="407">
        <f t="shared" si="4"/>
        <v>0</v>
      </c>
      <c r="BG83" s="1654">
        <f>SUMIFS('LAC 102_Wkst'!$AF$7:$AF$2010,'LAC 102_Wkst'!$D$7:$D$2010,$C$7,'LAC 102_Wkst'!$I$7:$I$2010,$C$9,'LAC 102_Wkst'!$E$7:$E$2010,$C83,'LAC 102_Wkst'!$G$7:$G$2010,$D83,'LAC 102_Wkst'!$L$7:$L$2010,"14")</f>
        <v>0</v>
      </c>
    </row>
    <row r="84" spans="1:59" x14ac:dyDescent="0.2">
      <c r="A84" s="401">
        <v>62</v>
      </c>
      <c r="B84" s="1678" t="str">
        <f>IF(Schedule_B!B$81="","",Schedule_B!B$81)</f>
        <v/>
      </c>
      <c r="C84" s="1674" t="str">
        <f>IF(Schedule_B!C$81=""," ",Schedule_B!C$81)</f>
        <v xml:space="preserve"> </v>
      </c>
      <c r="D84" s="1675" t="str">
        <f>IF(Schedule_B!D$81=""," ",Schedule_B!D$81)</f>
        <v xml:space="preserve"> </v>
      </c>
      <c r="E84" s="1221">
        <f>SUMIFS('LAC 102_Wkst'!$Q$7:$Q$2010,'LAC 102_Wkst'!$D$7:$D$2010,$C$7,'LAC 102_Wkst'!$I$7:$I$2010,$C$9,'LAC 102_Wkst'!$E$7:$E$2010,$C84,'LAC 102_Wkst'!$G$7:$G$2010,$D84)</f>
        <v>0</v>
      </c>
      <c r="F84" s="408">
        <f>SUMIFS('LAC 102_Wkst'!$Q$7:$Q$2010,'LAC 102_Wkst'!$D$7:$D$2010,$C$7,'LAC 102_Wkst'!$I$7:$I$2010,$C$9,'LAC 102_Wkst'!$E$7:$E$2010,$C84,'LAC 102_Wkst'!$G$7:$G$2010,$D84,'LAC 102_Wkst'!$L$7:$L$2010,"01",'LAC 102_Wkst'!$N$7:$N$2010,"P1")+SUMIFS('LAC 102_Wkst'!$Q$7:$Q$2010,'LAC 102_Wkst'!$D$7:$D$2010,$C$7,'LAC 102_Wkst'!$I$7:$I$2010,$C$9,'LAC 102_Wkst'!$E$7:$E$2010,$C84,'LAC 102_Wkst'!$G$7:$G$2010,$D84,'LAC 102_Wkst'!$L$7:$L$2010,"01",'LAC 102_Wkst'!$N$7:$N$2010,"P2")+SUMIFS('LAC 102_Wkst'!$Q$7:$Q$2010,'LAC 102_Wkst'!$D$7:$D$2010,$C$7,'LAC 102_Wkst'!$I$7:$I$2010,$C$9,'LAC 102_Wkst'!$E$7:$E$2010,$C84,'LAC 102_Wkst'!$G$7:$G$2010,$D84,'LAC 102_Wkst'!$L$7:$L$2010,"01",'LAC 102_Wkst'!$N$7:$N$2010,"P3")+SUMIFS('LAC 102_Wkst'!$Q$7:$Q$2010,'LAC 102_Wkst'!$D$7:$D$2010,$C$7,'LAC 102_Wkst'!$I$7:$I$2010,$C$9,'LAC 102_Wkst'!$E$7:$E$2010,$C84,'LAC 102_Wkst'!$G$7:$G$2010,$D84,'LAC 102_Wkst'!$L$7:$L$2010,"02",'LAC 102_Wkst'!$N$7:$N$2010,"P1")+SUMIFS('LAC 102_Wkst'!$Q$7:$Q$2010,'LAC 102_Wkst'!$D$7:$D$2010,$C$7,'LAC 102_Wkst'!$I$7:$I$2010,$C$9,'LAC 102_Wkst'!$E$7:$E$2010,$C84,'LAC 102_Wkst'!$G$7:$G$2010,$D84,'LAC 102_Wkst'!$L$7:$L$2010,"02",'LAC 102_Wkst'!$N$7:$N$2010,"P2")+SUMIFS('LAC 102_Wkst'!$Q$7:$Q$2010,'LAC 102_Wkst'!$D$7:$D$2010,$C$7,'LAC 102_Wkst'!$I$7:$I$2010,$C$9,'LAC 102_Wkst'!$E$7:$E$2010,$C84,'LAC 102_Wkst'!$G$7:$G$2010,$D84,'LAC 102_Wkst'!$L$7:$L$2010,"02",'LAC 102_Wkst'!$N$7:$N$2010,"P3")</f>
        <v>0</v>
      </c>
      <c r="G84" s="409">
        <f>SUMIFS('LAC 102_Wkst'!$AF$7:$AF$2010,'LAC 102_Wkst'!$D$7:$D$2010,$C$7,'LAC 102_Wkst'!$I$7:$I$2010,$C$9,'LAC 102_Wkst'!$E$7:$E$2010,$C84,'LAC 102_Wkst'!$G$7:$G$2010,$D84,'LAC 102_Wkst'!$L$7:$L$2010,"01",'LAC 102_Wkst'!$N$7:$N$2010,"P1")+SUMIFS('LAC 102_Wkst'!$AF$7:$AF$2010,'LAC 102_Wkst'!$D$7:$D$2010,$C$7,'LAC 102_Wkst'!$I$7:$I$2010,$C$9,'LAC 102_Wkst'!$E$7:$E$2010,$C84,'LAC 102_Wkst'!$G$7:$G$2010,$D84,'LAC 102_Wkst'!$L$7:$L$2010,"01",'LAC 102_Wkst'!$N$7:$N$2010,"P2")+SUMIFS('LAC 102_Wkst'!$AF$7:$AF$2010,'LAC 102_Wkst'!$D$7:$D$2010,$C$7,'LAC 102_Wkst'!$I$7:$I$2010,$C$9,'LAC 102_Wkst'!$E$7:$E$2010,$C84,'LAC 102_Wkst'!$G$7:$G$2010,$D84,'LAC 102_Wkst'!$L$7:$L$2010,"01",'LAC 102_Wkst'!$N$7:$N$2010,"P3")+SUMIFS('LAC 102_Wkst'!$AF$7:$AF$2010,'LAC 102_Wkst'!$D$7:$D$2010,$C$7,'LAC 102_Wkst'!$I$7:$I$2010,$C$9,'LAC 102_Wkst'!$E$7:$E$2010,$C84,'LAC 102_Wkst'!$G$7:$G$2010,$D84,'LAC 102_Wkst'!$L$7:$L$2010,"02",'LAC 102_Wkst'!$N$7:$N$2010,"P1")+SUMIFS('LAC 102_Wkst'!$AF$7:$AF$2010,'LAC 102_Wkst'!$D$7:$D$2010,$C$7,'LAC 102_Wkst'!$I$7:$I$2010,$C$9,'LAC 102_Wkst'!$E$7:$E$2010,$C84,'LAC 102_Wkst'!$G$7:$G$2010,$D84,'LAC 102_Wkst'!$L$7:$L$2010,"02",'LAC 102_Wkst'!$N$7:$N$2010,"P2")+SUMIFS('LAC 102_Wkst'!$AF$7:$AF$2010,'LAC 102_Wkst'!$D$7:$D$2010,$C$7,'LAC 102_Wkst'!$I$7:$I$2010,$C$9,'LAC 102_Wkst'!$E$7:$E$2010,$C84,'LAC 102_Wkst'!$G$7:$G$2010,$D84,'LAC 102_Wkst'!$L$7:$L$2010,"02",'LAC 102_Wkst'!$N$7:$N$2010,"P3")</f>
        <v>0</v>
      </c>
      <c r="H84" s="410">
        <f>SUMIFS('LAC 102_Wkst'!$Q$7:$Q$2010,'LAC 102_Wkst'!$D$7:$D$2010,$C$7,'LAC 102_Wkst'!$I$7:$I$2010,$C$9,'LAC 102_Wkst'!$E$7:$E$2010,$C84,'LAC 102_Wkst'!$G$7:$G$2010,$D84,'LAC 102_Wkst'!$L$7:$L$2010,"01",'LAC 102_Wkst'!$N$7:$N$2010,"P4")+SUMIFS('LAC 102_Wkst'!$Q$7:$Q$2010,'LAC 102_Wkst'!$D$7:$D$2010,$C$7,'LAC 102_Wkst'!$I$7:$I$2010,$C$9,'LAC 102_Wkst'!$E$7:$E$2010,$C84,'LAC 102_Wkst'!$G$7:$G$2010,$D84,'LAC 102_Wkst'!$L$7:$L$2010,"02",'LAC 102_Wkst'!$N$7:$N$2010,"P4")</f>
        <v>0</v>
      </c>
      <c r="I84" s="411">
        <f>SUMIFS('LAC 102_Wkst'!$AF$7:$AF$2010,'LAC 102_Wkst'!$D$7:$D$2010,$C$7,'LAC 102_Wkst'!$I$7:$I$2010,$C$9,'LAC 102_Wkst'!$E$7:$E$2010,$C84,'LAC 102_Wkst'!$G$7:$G$2010,$D84,'LAC 102_Wkst'!$L$7:$L$2010,"01",'LAC 102_Wkst'!$N$7:$N$2010,"P4")+SUMIFS('LAC 102_Wkst'!$AF$7:$AF$2010,'LAC 102_Wkst'!$D$7:$D$2010,$C$7,'LAC 102_Wkst'!$I$7:$I$2010,$C$9,'LAC 102_Wkst'!$E$7:$E$2010,$C84,'LAC 102_Wkst'!$G$7:$G$2010,$D84,'LAC 102_Wkst'!$L$7:$L$2010,"02",'LAC 102_Wkst'!$N$7:$N$2010,"P4")</f>
        <v>0</v>
      </c>
      <c r="J84" s="410">
        <f>SUMIFS('LAC 102_Wkst'!$Q$7:$Q$2010,'LAC 102_Wkst'!$D$7:$D$2010,$C$7,'LAC 102_Wkst'!$I$7:$I$2010,$C$9,'LAC 102_Wkst'!$E$7:$E$2010,$C84,'LAC 102_Wkst'!$G$7:$G$2010,$D84,'LAC 102_Wkst'!$L$7:$L$2010,"01",'LAC 102_Wkst'!$N$7:$N$2010,"P5")+SUMIFS('LAC 102_Wkst'!$Q$7:$Q$2010,'LAC 102_Wkst'!$D$7:$D$2010,$C$7,'LAC 102_Wkst'!$I$7:$I$2010,$C$9,'LAC 102_Wkst'!$E$7:$E$2010,$C84,'LAC 102_Wkst'!$G$7:$G$2010,$D84,'LAC 102_Wkst'!$L$7:$L$2010,"02",'LAC 102_Wkst'!$N$7:$N$2010,"P5")</f>
        <v>0</v>
      </c>
      <c r="K84" s="411">
        <f>SUMIFS('LAC 102_Wkst'!$AF$7:$AF$2010,'LAC 102_Wkst'!$D$7:$D$2010,$C$7,'LAC 102_Wkst'!$I$7:$I$2010,$C$9,'LAC 102_Wkst'!$E$7:$E$2010,$C84,'LAC 102_Wkst'!$G$7:$G$2010,$D84,'LAC 102_Wkst'!$L$7:$L$2010,"01",'LAC 102_Wkst'!$N$7:$N$2010,"P5")+SUMIFS('LAC 102_Wkst'!$AF$7:$AF$2010,'LAC 102_Wkst'!$D$7:$D$2010,$C$7,'LAC 102_Wkst'!$I$7:$I$2010,$C$9,'LAC 102_Wkst'!$E$7:$E$2010,$C84,'LAC 102_Wkst'!$G$7:$G$2010,$D84,'LAC 102_Wkst'!$L$7:$L$2010,"02",'LAC 102_Wkst'!$N$7:$N$2010,"P5")</f>
        <v>0</v>
      </c>
      <c r="L84" s="410">
        <f>SUMIFS('LAC 102_Wkst'!$Q$7:$Q$2010,'LAC 102_Wkst'!$D$7:$D$2010,$C$7,'LAC 102_Wkst'!$I$7:$I$2010,$C$9,'LAC 102_Wkst'!$E$7:$E$2010,$C84,'LAC 102_Wkst'!$G$7:$G$2010,$D84,'LAC 102_Wkst'!$L$7:$L$2010,"03",'LAC 102_Wkst'!$N$7:$N$2010,"P1")+SUMIFS('LAC 102_Wkst'!$Q$7:$Q$2010,'LAC 102_Wkst'!$D$7:$D$2010,$C$7,'LAC 102_Wkst'!$I$7:$I$2010,$C$9,'LAC 102_Wkst'!$E$7:$E$2010,$C84,'LAC 102_Wkst'!$G$7:$G$2010,$D84,'LAC 102_Wkst'!$L$7:$L$2010,"03",'LAC 102_Wkst'!$N$7:$N$2010,"P2")+SUMIFS('LAC 102_Wkst'!$Q$7:$Q$2010,'LAC 102_Wkst'!$D$7:$D$2010,$C$7,'LAC 102_Wkst'!$I$7:$I$2010,$C$9,'LAC 102_Wkst'!$E$7:$E$2010,$C84,'LAC 102_Wkst'!$G$7:$G$2010,$D84,'LAC 102_Wkst'!$L$7:$L$2010,"03",'LAC 102_Wkst'!$N$7:$N$2010,"P3")+SUMIFS('LAC 102_Wkst'!$Q$7:$Q$2010,'LAC 102_Wkst'!$D$7:$D$2010,$C$7,'LAC 102_Wkst'!$I$7:$I$2010,$C$9,'LAC 102_Wkst'!$E$7:$E$2010,$C84,'LAC 102_Wkst'!$G$7:$G$2010,$D84,'LAC 102_Wkst'!$L$7:$L$2010,"04",'LAC 102_Wkst'!$N$7:$N$2010,"P1")+SUMIFS('LAC 102_Wkst'!$Q$7:$Q$2010,'LAC 102_Wkst'!$D$7:$D$2010,$C$7,'LAC 102_Wkst'!$I$7:$I$2010,$C$9,'LAC 102_Wkst'!$E$7:$E$2010,$C84,'LAC 102_Wkst'!$G$7:$G$2010,$D84,'LAC 102_Wkst'!$L$7:$L$2010,"04",'LAC 102_Wkst'!$N$7:$N$2010,"P2")+SUMIFS('LAC 102_Wkst'!$Q$7:$Q$2010,'LAC 102_Wkst'!$D$7:$D$2010,$C$7,'LAC 102_Wkst'!$I$7:$I$2010,$C$9,'LAC 102_Wkst'!$E$7:$E$2010,$C84,'LAC 102_Wkst'!$G$7:$G$2010,$D84,'LAC 102_Wkst'!$L$7:$L$2010,"04",'LAC 102_Wkst'!$N$7:$N$2010,"P3")</f>
        <v>0</v>
      </c>
      <c r="M84" s="411">
        <f>SUMIFS('LAC 102_Wkst'!$AF$7:$AF$2010,'LAC 102_Wkst'!$D$7:$D$2010,$C$7,'LAC 102_Wkst'!$I$7:$I$2010,$C$9,'LAC 102_Wkst'!$E$7:$E$2010,$C84,'LAC 102_Wkst'!$G$7:$G$2010,$D84,'LAC 102_Wkst'!$L$7:$L$2010,"03",'LAC 102_Wkst'!$N$7:$N$2010,"P1")+SUMIFS('LAC 102_Wkst'!$AF$7:$AF$2010,'LAC 102_Wkst'!$D$7:$D$2010,$C$7,'LAC 102_Wkst'!$I$7:$I$2010,$C$9,'LAC 102_Wkst'!$E$7:$E$2010,$C84,'LAC 102_Wkst'!$G$7:$G$2010,$D84,'LAC 102_Wkst'!$L$7:$L$2010,"03",'LAC 102_Wkst'!$N$7:$N$2010,"P2")+SUMIFS('LAC 102_Wkst'!$AF$7:$AF$2010,'LAC 102_Wkst'!$D$7:$D$2010,$C$7,'LAC 102_Wkst'!$I$7:$I$2010,$C$9,'LAC 102_Wkst'!$E$7:$E$2010,$C84,'LAC 102_Wkst'!$G$7:$G$2010,$D84,'LAC 102_Wkst'!$L$7:$L$2010,"03",'LAC 102_Wkst'!$N$7:$N$2010,"P3")+SUMIFS('LAC 102_Wkst'!$AF$7:$AF$2010,'LAC 102_Wkst'!$D$7:$D$2010,$C$7,'LAC 102_Wkst'!$I$7:$I$2010,$C$9,'LAC 102_Wkst'!$E$7:$E$2010,$C84,'LAC 102_Wkst'!$G$7:$G$2010,$D84,'LAC 102_Wkst'!$L$7:$L$2010,"04",'LAC 102_Wkst'!$N$7:$N$2010,"P1")+SUMIFS('LAC 102_Wkst'!$AF$7:$AF$2010,'LAC 102_Wkst'!$D$7:$D$2010,$C$7,'LAC 102_Wkst'!$I$7:$I$2010,$C$9,'LAC 102_Wkst'!$E$7:$E$2010,$C84,'LAC 102_Wkst'!$G$7:$G$2010,$D84,'LAC 102_Wkst'!$L$7:$L$2010,"04",'LAC 102_Wkst'!$N$7:$N$2010,"P2")+SUMIFS('LAC 102_Wkst'!$AF$7:$AF$2010,'LAC 102_Wkst'!$D$7:$D$2010,$C$7,'LAC 102_Wkst'!$I$7:$I$2010,$C$9,'LAC 102_Wkst'!$E$7:$E$2010,$C84,'LAC 102_Wkst'!$G$7:$G$2010,$D84,'LAC 102_Wkst'!$L$7:$L$2010,"04",'LAC 102_Wkst'!$N$7:$N$2010,"P3")</f>
        <v>0</v>
      </c>
      <c r="N84" s="410">
        <f>SUMIFS('LAC 102_Wkst'!$Q$7:$Q$2010,'LAC 102_Wkst'!$D$7:$D$2010,$C$7,'LAC 102_Wkst'!$I$7:$I$2010,$C$9,'LAC 102_Wkst'!$E$7:$E$2010,$C84,'LAC 102_Wkst'!$G$7:$G$2010,$D84,'LAC 102_Wkst'!$L$7:$L$2010,"03",'LAC 102_Wkst'!$N$7:$N$2010,"P4")+SUMIFS('LAC 102_Wkst'!$Q$7:$Q$2010,'LAC 102_Wkst'!$D$7:$D$2010,$C$7,'LAC 102_Wkst'!$I$7:$I$2010,$C$9,'LAC 102_Wkst'!$E$7:$E$2010,$C84,'LAC 102_Wkst'!$G$7:$G$2010,$D84,'LAC 102_Wkst'!$L$7:$L$2010,"04",'LAC 102_Wkst'!$N$7:$N$2010,"P4")</f>
        <v>0</v>
      </c>
      <c r="O84" s="411">
        <f>SUMIFS('LAC 102_Wkst'!$AF$7:$AF$2010,'LAC 102_Wkst'!$D$7:$D$2010,$C$7,'LAC 102_Wkst'!$I$7:$I$2010,$C$9,'LAC 102_Wkst'!$E$7:$E$2010,$C84,'LAC 102_Wkst'!$G$7:$G$2010,$D84,'LAC 102_Wkst'!$L$7:$L$2010,"03",'LAC 102_Wkst'!$N$7:$N$2010,"P4")+SUMIFS('LAC 102_Wkst'!$AF$7:$AF$2010,'LAC 102_Wkst'!$D$7:$D$2010,$C$7,'LAC 102_Wkst'!$I$7:$I$2010,$C$9,'LAC 102_Wkst'!$E$7:$E$2010,$C84,'LAC 102_Wkst'!$G$7:$G$2010,$D84,'LAC 102_Wkst'!$L$7:$L$2010,"04",'LAC 102_Wkst'!$N$7:$N$2010,"P4")</f>
        <v>0</v>
      </c>
      <c r="P84" s="410">
        <f>SUMIFS('LAC 102_Wkst'!$Q$7:$Q$2010,'LAC 102_Wkst'!$D$7:$D$2010,$C$7,'LAC 102_Wkst'!$I$7:$I$2010,$C$9,'LAC 102_Wkst'!$E$7:$E$2010,$C84,'LAC 102_Wkst'!$G$7:$G$2010,$D84,'LAC 102_Wkst'!$L$7:$L$2010,"03",'LAC 102_Wkst'!$N$7:$N$2010,"P5")+SUMIFS('LAC 102_Wkst'!$Q$7:$Q$2010,'LAC 102_Wkst'!$D$7:$D$2010,$C$7,'LAC 102_Wkst'!$I$7:$I$2010,$C$9,'LAC 102_Wkst'!$E$7:$E$2010,$C84,'LAC 102_Wkst'!$G$7:$G$2010,$D84,'LAC 102_Wkst'!$L$7:$L$2010,"04",'LAC 102_Wkst'!$N$7:$N$2010,"P5")</f>
        <v>0</v>
      </c>
      <c r="Q84" s="411">
        <f>SUMIFS('LAC 102_Wkst'!$AF$7:$AF$2010,'LAC 102_Wkst'!$D$7:$D$2010,$C$7,'LAC 102_Wkst'!$I$7:$I$2010,$C$9,'LAC 102_Wkst'!$E$7:$E$2010,$C84,'LAC 102_Wkst'!$G$7:$G$2010,$D84,'LAC 102_Wkst'!$L$7:$L$2010,"03",'LAC 102_Wkst'!$N$7:$N$2010,"P5")+SUMIFS('LAC 102_Wkst'!$AF$7:$AF$2010,'LAC 102_Wkst'!$D$7:$D$2010,$C$7,'LAC 102_Wkst'!$I$7:$I$2010,$C$9,'LAC 102_Wkst'!$E$7:$E$2010,$C84,'LAC 102_Wkst'!$G$7:$G$2010,$D84,'LAC 102_Wkst'!$L$7:$L$2010,"04",'LAC 102_Wkst'!$N$7:$N$2010,"P5")</f>
        <v>0</v>
      </c>
      <c r="R84" s="412">
        <f>SUMIFS('LAC 102_Wkst'!$Q$7:$Q$2010,'LAC 102_Wkst'!$D$7:$D$2010,$C$7,'LAC 102_Wkst'!$I$7:$I$2010,$C$9,'LAC 102_Wkst'!$E$7:$E$2010,$C84,'LAC 102_Wkst'!$G$7:$G$2010,$D84,'LAC 102_Wkst'!$L$7:$L$2010,"05",'LAC 102_Wkst'!$N$7:$N$2010,"P1")+SUMIFS('LAC 102_Wkst'!$Q$7:$Q$2010,'LAC 102_Wkst'!$D$7:$D$2010,$C$7,'LAC 102_Wkst'!$I$7:$I$2010,$C$9,'LAC 102_Wkst'!$E$7:$E$2010,$C84,'LAC 102_Wkst'!$G$7:$G$2010,$D84,'LAC 102_Wkst'!$L$7:$L$2010,"06",'LAC 102_Wkst'!$N$7:$N$2010,"P1")</f>
        <v>0</v>
      </c>
      <c r="S84" s="411">
        <f>SUMIFS('LAC 102_Wkst'!$AF$7:$AF$2010,'LAC 102_Wkst'!$D$7:$D$2010,$C$7,'LAC 102_Wkst'!$I$7:$I$2010,$C$9,'LAC 102_Wkst'!$E$7:$E$2010,$C84,'LAC 102_Wkst'!$G$7:$G$2010,$D84,'LAC 102_Wkst'!$L$7:$L$2010,"05",'LAC 102_Wkst'!$N$7:$N$2010,"P1")+SUMIFS('LAC 102_Wkst'!$AF$7:$AF$2010,'LAC 102_Wkst'!$D$7:$D$2010,$C$7,'LAC 102_Wkst'!$I$7:$I$2010,$C$9,'LAC 102_Wkst'!$E$7:$E$2010,$C84,'LAC 102_Wkst'!$G$7:$G$2010,$D84,'LAC 102_Wkst'!$L$7:$L$2010,"06",'LAC 102_Wkst'!$N$7:$N$2010,"P1")</f>
        <v>0</v>
      </c>
      <c r="T84" s="410">
        <f>SUMIFS('LAC 102_Wkst'!$Q$7:$Q$2010,'LAC 102_Wkst'!$D$7:$D$2010,$C$7,'LAC 102_Wkst'!$I$7:$I$2010,$C$9,'LAC 102_Wkst'!$E$7:$E$2010,$C84,'LAC 102_Wkst'!$G$7:$G$2010,$D84,'LAC 102_Wkst'!$L$7:$L$2010,"05",'LAC 102_Wkst'!$N$7:$N$2010,"P2")+SUMIFS('LAC 102_Wkst'!$Q$7:$Q$2010,'LAC 102_Wkst'!$D$7:$D$2010,$C$7,'LAC 102_Wkst'!$I$7:$I$2010,$C$9,'LAC 102_Wkst'!$E$7:$E$2010,$C84,'LAC 102_Wkst'!$G$7:$G$2010,$D84,'LAC 102_Wkst'!$L$7:$L$2010,"06",'LAC 102_Wkst'!$N$7:$N$2010,"P2")+SUMIFS('LAC 102_Wkst'!$Q$7:$Q$2010,'LAC 102_Wkst'!$D$7:$D$2010,$C$7,'LAC 102_Wkst'!$I$7:$I$2010,$C$9,'LAC 102_Wkst'!$E$7:$E$2010,$C84,'LAC 102_Wkst'!$G$7:$G$2010,$D84,'LAC 102_Wkst'!$L$7:$L$2010,"05",'LAC 102_Wkst'!$N$7:$N$2010,"P3")+SUMIFS('LAC 102_Wkst'!$Q$7:$Q$2010,'LAC 102_Wkst'!$D$7:$D$2010,$C$7,'LAC 102_Wkst'!$I$7:$I$2010,$C$9,'LAC 102_Wkst'!$E$7:$E$2010,$C84,'LAC 102_Wkst'!$G$7:$G$2010,$D84,'LAC 102_Wkst'!$L$7:$L$2010,"06",'LAC 102_Wkst'!$N$7:$N$2010,"P3")</f>
        <v>0</v>
      </c>
      <c r="U84" s="411">
        <f>SUMIFS('LAC 102_Wkst'!$AF$7:$AF$2010,'LAC 102_Wkst'!$D$7:$D$2010,$C$7,'LAC 102_Wkst'!$I$7:$I$2010,$C$9,'LAC 102_Wkst'!$E$7:$E$2010,$C84,'LAC 102_Wkst'!$G$7:$G$2010,$D84,'LAC 102_Wkst'!$L$7:$L$2010,"05",'LAC 102_Wkst'!$N$7:$N$2010,"P2")+SUMIFS('LAC 102_Wkst'!$AF$7:$AF$2010,'LAC 102_Wkst'!$D$7:$D$2010,$C$7,'LAC 102_Wkst'!$I$7:$I$2010,$C$9,'LAC 102_Wkst'!$E$7:$E$2010,$C84,'LAC 102_Wkst'!$G$7:$G$2010,$D84,'LAC 102_Wkst'!$L$7:$L$2010,"06",'LAC 102_Wkst'!$N$7:$N$2010,"P2")+SUMIFS('LAC 102_Wkst'!$AF$7:$AF$2010,'LAC 102_Wkst'!$D$7:$D$2010,$C$7,'LAC 102_Wkst'!$I$7:$I$2010,$C$9,'LAC 102_Wkst'!$E$7:$E$2010,$C84,'LAC 102_Wkst'!$G$7:$G$2010,$D84,'LAC 102_Wkst'!$L$7:$L$2010,"05",'LAC 102_Wkst'!$N$7:$N$2010,"P3")+SUMIFS('LAC 102_Wkst'!$AF$7:$AF$2010,'LAC 102_Wkst'!$D$7:$D$2010,$C$7,'LAC 102_Wkst'!$I$7:$I$2010,$C$9,'LAC 102_Wkst'!$E$7:$E$2010,$C84,'LAC 102_Wkst'!$G$7:$G$2010,$D84,'LAC 102_Wkst'!$L$7:$L$2010,"06",'LAC 102_Wkst'!$N$7:$N$2010,"P3")</f>
        <v>0</v>
      </c>
      <c r="V84" s="410">
        <f>SUMIFS('LAC 102_Wkst'!$Q$7:$Q$2010,'LAC 102_Wkst'!$D$7:$D$2010,$C$7,'LAC 102_Wkst'!$I$7:$I$2010,$C$9,'LAC 102_Wkst'!$E$7:$E$2010,$C84,'LAC 102_Wkst'!$G$7:$G$2010,$D84,'LAC 102_Wkst'!$L$7:$L$2010,"05",'LAC 102_Wkst'!$N$7:$N$2010,"P4")+SUMIFS('LAC 102_Wkst'!$Q$7:$Q$2010,'LAC 102_Wkst'!$D$7:$D$2010,$C$7,'LAC 102_Wkst'!$I$7:$I$2010,$C$9,'LAC 102_Wkst'!$E$7:$E$2010,$C84,'LAC 102_Wkst'!$G$7:$G$2010,$D84,'LAC 102_Wkst'!$L$7:$L$2010,"06",'LAC 102_Wkst'!$N$7:$N$2010,"P4")</f>
        <v>0</v>
      </c>
      <c r="W84" s="411">
        <f>SUMIFS('LAC 102_Wkst'!$AF$7:$AF$2010,'LAC 102_Wkst'!$D$7:$D$2010,$C$7,'LAC 102_Wkst'!$I$7:$I$2010,$C$9,'LAC 102_Wkst'!$E$7:$E$2010,$C84,'LAC 102_Wkst'!$G$7:$G$2010,$D84,'LAC 102_Wkst'!$L$7:$L$2010,"05",'LAC 102_Wkst'!$N$7:$N$2010,"P4")+SUMIFS('LAC 102_Wkst'!$AF$7:$AF$2010,'LAC 102_Wkst'!$D$7:$D$2010,$C$7,'LAC 102_Wkst'!$I$7:$I$2010,$C$9,'LAC 102_Wkst'!$E$7:$E$2010,$C84,'LAC 102_Wkst'!$G$7:$G$2010,$D84,'LAC 102_Wkst'!$L$7:$L$2010,"06",'LAC 102_Wkst'!$N$7:$N$2010,"P4")</f>
        <v>0</v>
      </c>
      <c r="X84" s="410">
        <f>SUMIFS('LAC 102_Wkst'!$Q$7:$Q$2010,'LAC 102_Wkst'!$D$7:$D$2010,$C$7,'LAC 102_Wkst'!$I$7:$I$2010,$C$9,'LAC 102_Wkst'!$E$7:$E$2010,$C84,'LAC 102_Wkst'!$G$7:$G$2010,$D84,'LAC 102_Wkst'!$L$7:$L$2010,"05",'LAC 102_Wkst'!$N$7:$N$2010,"P5")+SUMIFS('LAC 102_Wkst'!$Q$7:$Q$2010,'LAC 102_Wkst'!$D$7:$D$2010,$C$7,'LAC 102_Wkst'!$I$7:$I$2010,$C$9,'LAC 102_Wkst'!$E$7:$E$2010,$C84,'LAC 102_Wkst'!$G$7:$G$2010,$D84,'LAC 102_Wkst'!$L$7:$L$2010,"06",'LAC 102_Wkst'!$N$7:$N$2010,"P5")</f>
        <v>0</v>
      </c>
      <c r="Y84" s="411">
        <f>SUMIFS('LAC 102_Wkst'!$AF$7:$AF$2010,'LAC 102_Wkst'!$D$7:$D$2010,$C$7,'LAC 102_Wkst'!$I$7:$I$2010,$C$9,'LAC 102_Wkst'!$E$7:$E$2010,$C84,'LAC 102_Wkst'!$G$7:$G$2010,$D84,'LAC 102_Wkst'!$L$7:$L$2010,"05",'LAC 102_Wkst'!$N$7:$N$2010,"P5")+SUMIFS('LAC 102_Wkst'!$AF$7:$AF$2010,'LAC 102_Wkst'!$D$7:$D$2010,$C$7,'LAC 102_Wkst'!$I$7:$I$2010,$C$9,'LAC 102_Wkst'!$E$7:$E$2010,$C84,'LAC 102_Wkst'!$G$7:$G$2010,$D84,'LAC 102_Wkst'!$L$7:$L$2010,"06",'LAC 102_Wkst'!$N$7:$N$2010,"P5")</f>
        <v>0</v>
      </c>
      <c r="Z84" s="410">
        <f>SUMIFS('LAC 102_Wkst'!$Q$7:$Q$2010,'LAC 102_Wkst'!$D$7:$D$2010,$C$7,'LAC 102_Wkst'!$I$7:$I$2010,$C$9,'LAC 102_Wkst'!$E$7:$E$2010,$C84,'LAC 102_Wkst'!$G$7:$G$2010,$D84,'LAC 102_Wkst'!$L$7:$L$2010,"07",'LAC 102_Wkst'!$N$7:$N$2010,"P1")+SUMIFS('LAC 102_Wkst'!$Q$7:$Q$2010,'LAC 102_Wkst'!$D$7:$D$2010,$C$7,'LAC 102_Wkst'!$I$7:$I$2010,$C$9,'LAC 102_Wkst'!$E$7:$E$2010,$C84,'LAC 102_Wkst'!$G$7:$G$2010,$D84,'LAC 102_Wkst'!$L$7:$L$2010,"07",'LAC 102_Wkst'!$N$7:$N$2010,"P2")+SUMIFS('LAC 102_Wkst'!$Q$7:$Q$2010,'LAC 102_Wkst'!$D$7:$D$2010,$C$7,'LAC 102_Wkst'!$I$7:$I$2010,$C$9,'LAC 102_Wkst'!$E$7:$E$2010,$C84,'LAC 102_Wkst'!$G$7:$G$2010,$D84,'LAC 102_Wkst'!$L$7:$L$2010,"07",'LAC 102_Wkst'!$N$7:$N$2010,"P3")</f>
        <v>0</v>
      </c>
      <c r="AA84" s="411">
        <f>SUMIFS('LAC 102_Wkst'!$AF$7:$AF$2010,'LAC 102_Wkst'!$D$7:$D$2010,$C$7,'LAC 102_Wkst'!$I$7:$I$2010,$C$9,'LAC 102_Wkst'!$E$7:$E$2010,$C84,'LAC 102_Wkst'!$G$7:$G$2010,$D84,'LAC 102_Wkst'!$L$7:$L$2010,"07",'LAC 102_Wkst'!$N$7:$N$2010,"P1")+SUMIFS('LAC 102_Wkst'!$AF$7:$AF$2010,'LAC 102_Wkst'!$D$7:$D$2010,$C$7,'LAC 102_Wkst'!$I$7:$I$2010,$C$9,'LAC 102_Wkst'!$E$7:$E$2010,$C84,'LAC 102_Wkst'!$G$7:$G$2010,$D84,'LAC 102_Wkst'!$L$7:$L$2010,"07",'LAC 102_Wkst'!$N$7:$N$2010,"P2")+SUMIFS('LAC 102_Wkst'!$AF$7:$AF$2010,'LAC 102_Wkst'!$D$7:$D$2010,$C$7,'LAC 102_Wkst'!$I$7:$I$2010,$C$9,'LAC 102_Wkst'!$E$7:$E$2010,$C84,'LAC 102_Wkst'!$G$7:$G$2010,$D84,'LAC 102_Wkst'!$L$7:$L$2010,"07",'LAC 102_Wkst'!$N$7:$N$2010,"P3")</f>
        <v>0</v>
      </c>
      <c r="AB84" s="410">
        <f>SUMIFS('LAC 102_Wkst'!$Q$7:$Q$2010,'LAC 102_Wkst'!$D$7:$D$2010,$C$7,'LAC 102_Wkst'!$I$7:$I$2010,$C$9,'LAC 102_Wkst'!$E$7:$E$2010,$C84,'LAC 102_Wkst'!$G$7:$G$2010,$D84,'LAC 102_Wkst'!$L$7:$L$2010,"07",'LAC 102_Wkst'!$N$7:$N$2010,"P4")</f>
        <v>0</v>
      </c>
      <c r="AC84" s="411">
        <f>SUMIFS('LAC 102_Wkst'!$AF$7:$AF$2010,'LAC 102_Wkst'!$D$7:$D$2010,$C$7,'LAC 102_Wkst'!$I$7:$I$2010,$C$9,'LAC 102_Wkst'!$E$7:$E$2010,$C84,'LAC 102_Wkst'!$G$7:$G$2010,$D84,'LAC 102_Wkst'!$L$7:$L$2010,"07",'LAC 102_Wkst'!$N$7:$N$2010,"P4")</f>
        <v>0</v>
      </c>
      <c r="AD84" s="410">
        <f>SUMIFS('LAC 102_Wkst'!$Q$7:$Q$2010,'LAC 102_Wkst'!$D$7:$D$2010,$C$7,'LAC 102_Wkst'!$I$7:$I$2010,$C$9,'LAC 102_Wkst'!$E$7:$E$2010,$C84,'LAC 102_Wkst'!$G$7:$G$2010,$D84,'LAC 102_Wkst'!$L$7:$L$2010,"07",'LAC 102_Wkst'!$N$7:$N$2010,"P5")</f>
        <v>0</v>
      </c>
      <c r="AE84" s="411">
        <f>SUMIFS('LAC 102_Wkst'!$AF$7:$AF$2010,'LAC 102_Wkst'!$D$7:$D$2010,$C$7,'LAC 102_Wkst'!$I$7:$I$2010,$C$9,'LAC 102_Wkst'!$E$7:$E$2010,$C84,'LAC 102_Wkst'!$G$7:$G$2010,$D84,'LAC 102_Wkst'!$L$7:$L$2010,"07",'LAC 102_Wkst'!$N$7:$N$2010,"P5")</f>
        <v>0</v>
      </c>
      <c r="AF84" s="410">
        <f>SUMIFS('LAC 102_Wkst'!$Q$7:$Q$2010,'LAC 102_Wkst'!$D$7:$D$2010,$C$7,'LAC 102_Wkst'!$I$7:$I$2010,$C$9,'LAC 102_Wkst'!$E$7:$E$2010,$C84,'LAC 102_Wkst'!$G$7:$G$2010,$D84,'LAC 102_Wkst'!$L$7:$L$2010,"08",'LAC 102_Wkst'!$N$7:$N$2010,"P1")+SUMIFS('LAC 102_Wkst'!$Q$7:$Q$2010,'LAC 102_Wkst'!$D$7:$D$2010,$C$7,'LAC 102_Wkst'!$I$7:$I$2010,$C$9,'LAC 102_Wkst'!$E$7:$E$2010,$C84,'LAC 102_Wkst'!$G$7:$G$2010,$D84,'LAC 102_Wkst'!$L$7:$L$2010,"08",'LAC 102_Wkst'!$N$7:$N$2010,"P2")+SUMIFS('LAC 102_Wkst'!$Q$7:$Q$2010,'LAC 102_Wkst'!$D$7:$D$2010,$C$7,'LAC 102_Wkst'!$I$7:$I$2010,$C$9,'LAC 102_Wkst'!$E$7:$E$2010,$C84,'LAC 102_Wkst'!$G$7:$G$2010,$D84,'LAC 102_Wkst'!$L$7:$L$2010,"08",'LAC 102_Wkst'!$N$7:$N$2010,"P3")</f>
        <v>0</v>
      </c>
      <c r="AG84" s="411">
        <f>SUMIFS('LAC 102_Wkst'!$AF$7:$AF$2010,'LAC 102_Wkst'!$D$7:$D$2010,$C$7,'LAC 102_Wkst'!$I$7:$I$2010,$C$9,'LAC 102_Wkst'!$E$7:$E$2010,$C84,'LAC 102_Wkst'!$G$7:$G$2010,$D84,'LAC 102_Wkst'!$L$7:$L$2010,"08",'LAC 102_Wkst'!$N$7:$N$2010,"P1")+SUMIFS('LAC 102_Wkst'!$AF$7:$AF$2010,'LAC 102_Wkst'!$D$7:$D$2010,$C$7,'LAC 102_Wkst'!$I$7:$I$2010,$C$9,'LAC 102_Wkst'!$E$7:$E$2010,$C84,'LAC 102_Wkst'!$G$7:$G$2010,$D84,'LAC 102_Wkst'!$L$7:$L$2010,"08",'LAC 102_Wkst'!$N$7:$N$2010,"P2")+SUMIFS('LAC 102_Wkst'!$AF$7:$AF$2010,'LAC 102_Wkst'!$D$7:$D$2010,$C$7,'LAC 102_Wkst'!$I$7:$I$2010,$C$9,'LAC 102_Wkst'!$E$7:$E$2010,$C84,'LAC 102_Wkst'!$G$7:$G$2010,$D84,'LAC 102_Wkst'!$L$7:$L$2010,"08",'LAC 102_Wkst'!$N$7:$N$2010,"P3")</f>
        <v>0</v>
      </c>
      <c r="AH84" s="410">
        <f>SUMIFS('LAC 102_Wkst'!$Q$7:$Q$2010,'LAC 102_Wkst'!$D$7:$D$2010,$C$7,'LAC 102_Wkst'!$I$7:$I$2010,$C$9,'LAC 102_Wkst'!$E$7:$E$2010,$C84,'LAC 102_Wkst'!$G$7:$G$2010,$D84,'LAC 102_Wkst'!$L$7:$L$2010,"08",'LAC 102_Wkst'!$N$7:$N$2010,"P4")</f>
        <v>0</v>
      </c>
      <c r="AI84" s="411">
        <f>SUMIFS('LAC 102_Wkst'!$AF$7:$AF$2010,'LAC 102_Wkst'!$D$7:$D$2010,$C$7,'LAC 102_Wkst'!$I$7:$I$2010,$C$9,'LAC 102_Wkst'!$E$7:$E$2010,$C84,'LAC 102_Wkst'!$G$7:$G$2010,$D84,'LAC 102_Wkst'!$L$7:$L$2010,"08",'LAC 102_Wkst'!$N$7:$N$2010,"P4")</f>
        <v>0</v>
      </c>
      <c r="AJ84" s="410">
        <f>SUMIFS('LAC 102_Wkst'!$Q$7:$Q$2010,'LAC 102_Wkst'!$D$7:$D$2010,$C$7,'LAC 102_Wkst'!$I$7:$I$2010,$C$9,'LAC 102_Wkst'!$E$7:$E$2010,$C84,'LAC 102_Wkst'!$G$7:$G$2010,$D84,'LAC 102_Wkst'!$L$7:$L$2010,"08",'LAC 102_Wkst'!$N$7:$N$2010,"P5")</f>
        <v>0</v>
      </c>
      <c r="AK84" s="411">
        <f>SUMIFS('LAC 102_Wkst'!$AF$7:$AF$2010,'LAC 102_Wkst'!$D$7:$D$2010,$C$7,'LAC 102_Wkst'!$I$7:$I$2010,$C$9,'LAC 102_Wkst'!$E$7:$E$2010,$C84,'LAC 102_Wkst'!$G$7:$G$2010,$D84,'LAC 102_Wkst'!$L$7:$L$2010,"08",'LAC 102_Wkst'!$N$7:$N$2010,"P5")</f>
        <v>0</v>
      </c>
      <c r="AL84" s="410">
        <f>SUMIFS('LAC 102_Wkst'!$Q$7:$Q$2010,'LAC 102_Wkst'!$D$7:$D$2010,$C$7,'LAC 102_Wkst'!$I$7:$I$2010,$C$9,'LAC 102_Wkst'!$E$7:$E$2010,$C84,'LAC 102_Wkst'!$G$7:$G$2010,$D84,'LAC 102_Wkst'!$L$7:$L$2010,"09",'LAC 102_Wkst'!$N$7:$N$2010,"P1")+SUMIFS('LAC 102_Wkst'!$Q$7:$Q$2010,'LAC 102_Wkst'!$D$7:$D$2010,$C$7,'LAC 102_Wkst'!$I$7:$I$2010,$C$9,'LAC 102_Wkst'!$E$7:$E$2010,$C84,'LAC 102_Wkst'!$G$7:$G$2010,$D84,'LAC 102_Wkst'!$L$7:$L$2010,"09",'LAC 102_Wkst'!$N$7:$N$2010,"P2")+SUMIFS('LAC 102_Wkst'!$Q$7:$Q$2010,'LAC 102_Wkst'!$D$7:$D$2010,$C$7,'LAC 102_Wkst'!$I$7:$I$2010,$C$9,'LAC 102_Wkst'!$E$7:$E$2010,$C84,'LAC 102_Wkst'!$G$7:$G$2010,$D84,'LAC 102_Wkst'!$L$7:$L$2010,"09",'LAC 102_Wkst'!$N$7:$N$2010,"P3")+SUMIFS('LAC 102_Wkst'!$Q$7:$Q$2010,'LAC 102_Wkst'!$D$7:$D$2010,$C$7,'LAC 102_Wkst'!$I$7:$I$2010,$C$9,'LAC 102_Wkst'!$E$7:$E$2010,$C84,'LAC 102_Wkst'!$G$7:$G$2010,$D84,'LAC 102_Wkst'!$L$7:$L$2010,"09",'LAC 102_Wkst'!$N$7:$N$2010,"P4")</f>
        <v>0</v>
      </c>
      <c r="AM84" s="411">
        <f>SUMIFS('LAC 102_Wkst'!$AF$7:$AF$2010,'LAC 102_Wkst'!$D$7:$D$2010,$C$7,'LAC 102_Wkst'!$I$7:$I$2010,$C$9,'LAC 102_Wkst'!$E$7:$E$2010,$C84,'LAC 102_Wkst'!$G$7:$G$2010,$D84,'LAC 102_Wkst'!$L$7:$L$2010,"09",'LAC 102_Wkst'!$N$7:$N$2010,"P1")+SUMIFS('LAC 102_Wkst'!$AF$7:$AF$2010,'LAC 102_Wkst'!$D$7:$D$2010,$C$7,'LAC 102_Wkst'!$I$7:$I$2010,$C$9,'LAC 102_Wkst'!$E$7:$E$2010,$C84,'LAC 102_Wkst'!$G$7:$G$2010,$D84,'LAC 102_Wkst'!$L$7:$L$2010,"09",'LAC 102_Wkst'!$N$7:$N$2010,"P2")+SUMIFS('LAC 102_Wkst'!$AF$7:$AF$2010,'LAC 102_Wkst'!$D$7:$D$2010,$C$7,'LAC 102_Wkst'!$I$7:$I$2010,$C$9,'LAC 102_Wkst'!$E$7:$E$2010,$C84,'LAC 102_Wkst'!$G$7:$G$2010,$D84,'LAC 102_Wkst'!$L$7:$L$2010,"09",'LAC 102_Wkst'!$N$7:$N$2010,"P3")+SUMIFS('LAC 102_Wkst'!$AF$7:$AF$2010,'LAC 102_Wkst'!$D$7:$D$2010,$C$7,'LAC 102_Wkst'!$I$7:$I$2010,$C$9,'LAC 102_Wkst'!$E$7:$E$2010,$C84,'LAC 102_Wkst'!$G$7:$G$2010,$D84,'LAC 102_Wkst'!$L$7:$L$2010,"09",'LAC 102_Wkst'!$N$7:$N$2010,"P4")</f>
        <v>0</v>
      </c>
      <c r="AN84" s="410">
        <f>SUMIFS('LAC 102_Wkst'!$Q$7:$Q$2010,'LAC 102_Wkst'!$D$7:$D$2010,$C$7,'LAC 102_Wkst'!$I$7:$I$2010,$C$9,'LAC 102_Wkst'!$E$7:$E$2010,$C84,'LAC 102_Wkst'!$G$7:$G$2010,$D84,'LAC 102_Wkst'!$L$7:$L$2010,"09",'LAC 102_Wkst'!$N$7:$N$2010,"P5")</f>
        <v>0</v>
      </c>
      <c r="AO84" s="411">
        <f>SUMIFS('LAC 102_Wkst'!$AF$7:$AF$2010,'LAC 102_Wkst'!$D$7:$D$2010,$C$7,'LAC 102_Wkst'!$I$7:$I$2010,$C$9,'LAC 102_Wkst'!$E$7:$E$2010,$C84,'LAC 102_Wkst'!$G$7:$G$2010,$D84,'LAC 102_Wkst'!$L$7:$L$2010,"09",'LAC 102_Wkst'!$N$7:$N$2010,"P5")</f>
        <v>0</v>
      </c>
      <c r="AP84" s="410">
        <f>SUMIFS('LAC 102_Wkst'!$Q$7:$Q$2010,'LAC 102_Wkst'!$D$7:$D$2010,$C$7,'LAC 102_Wkst'!$I$7:$I$2010,$C$9,'LAC 102_Wkst'!$E$7:$E$2010,$C84,'LAC 102_Wkst'!$G$7:$G$2010,$D84,'LAC 102_Wkst'!$L$7:$L$2010,"10",'LAC 102_Wkst'!$N$7:$N$2010,"P1")+SUMIFS('LAC 102_Wkst'!$Q$7:$Q$2010,'LAC 102_Wkst'!$D$7:$D$2010,$C$7,'LAC 102_Wkst'!$I$7:$I$2010,$C$9,'LAC 102_Wkst'!$E$7:$E$2010,$C84,'LAC 102_Wkst'!$G$7:$G$2010,$D84,'LAC 102_Wkst'!$L$7:$L$2010,"10",'LAC 102_Wkst'!$N$7:$N$2010,"P2")+SUMIFS('LAC 102_Wkst'!$Q$7:$Q$2010,'LAC 102_Wkst'!$D$7:$D$2010,$C$7,'LAC 102_Wkst'!$I$7:$I$2010,$C$9,'LAC 102_Wkst'!$E$7:$E$2010,$C84,'LAC 102_Wkst'!$G$7:$G$2010,$D84,'LAC 102_Wkst'!$L$7:$L$2010,"10",'LAC 102_Wkst'!$N$7:$N$2010,"P3")+SUMIFS('LAC 102_Wkst'!$Q$7:$Q$2010,'LAC 102_Wkst'!$D$7:$D$2010,$C$7,'LAC 102_Wkst'!$I$7:$I$2010,$C$9,'LAC 102_Wkst'!$E$7:$E$2010,$C84,'LAC 102_Wkst'!$G$7:$G$2010,$D84,'LAC 102_Wkst'!$L$7:$L$2010,"10",'LAC 102_Wkst'!$N$7:$N$2010,"P4")</f>
        <v>0</v>
      </c>
      <c r="AQ84" s="411">
        <f>SUMIFS('LAC 102_Wkst'!$AF$7:$AF$2010,'LAC 102_Wkst'!$D$7:$D$2010,$C$7,'LAC 102_Wkst'!$I$7:$I$2010,$C$9,'LAC 102_Wkst'!$E$7:$E$2010,$C84,'LAC 102_Wkst'!$G$7:$G$2010,$D84,'LAC 102_Wkst'!$L$7:$L$2010,"10",'LAC 102_Wkst'!$N$7:$N$2010,"P1")+SUMIFS('LAC 102_Wkst'!$AF$7:$AF$2010,'LAC 102_Wkst'!$D$7:$D$2010,$C$7,'LAC 102_Wkst'!$I$7:$I$2010,$C$9,'LAC 102_Wkst'!$E$7:$E$2010,$C84,'LAC 102_Wkst'!$G$7:$G$2010,$D84,'LAC 102_Wkst'!$L$7:$L$2010,"10",'LAC 102_Wkst'!$N$7:$N$2010,"P2")+SUMIFS('LAC 102_Wkst'!$AF$7:$AF$2010,'LAC 102_Wkst'!$D$7:$D$2010,$C$7,'LAC 102_Wkst'!$I$7:$I$2010,$C$9,'LAC 102_Wkst'!$E$7:$E$2010,$C84,'LAC 102_Wkst'!$G$7:$G$2010,$D84,'LAC 102_Wkst'!$L$7:$L$2010,"10",'LAC 102_Wkst'!$N$7:$N$2010,"P3")+SUMIFS('LAC 102_Wkst'!$AF$7:$AF$2010,'LAC 102_Wkst'!$D$7:$D$2010,$C$7,'LAC 102_Wkst'!$I$7:$I$2010,$C$9,'LAC 102_Wkst'!$E$7:$E$2010,$C84,'LAC 102_Wkst'!$G$7:$G$2010,$D84,'LAC 102_Wkst'!$L$7:$L$2010,"10",'LAC 102_Wkst'!$N$7:$N$2010,"P4")</f>
        <v>0</v>
      </c>
      <c r="AR84" s="410">
        <f>SUMIFS('LAC 102_Wkst'!$Q$7:$Q$2010,'LAC 102_Wkst'!$D$7:$D$2010,$C$7,'LAC 102_Wkst'!$I$7:$I$2010,$C$9,'LAC 102_Wkst'!$E$7:$E$2010,$C84,'LAC 102_Wkst'!$G$7:$G$2010,$D84,'LAC 102_Wkst'!$L$7:$L$2010,"10",'LAC 102_Wkst'!$N$7:$N$2010,"P5")</f>
        <v>0</v>
      </c>
      <c r="AS84" s="411">
        <f>SUMIFS('LAC 102_Wkst'!$AF$7:$AF$2010,'LAC 102_Wkst'!$D$7:$D$2010,$C$7,'LAC 102_Wkst'!$I$7:$I$2010,$C$9,'LAC 102_Wkst'!$E$7:$E$2010,$C84,'LAC 102_Wkst'!$G$7:$G$2010,$D84,'LAC 102_Wkst'!$L$7:$L$2010,"10",'LAC 102_Wkst'!$N$7:$N$2010,"P5")</f>
        <v>0</v>
      </c>
      <c r="AT84" s="410">
        <f>SUMIFS('LAC 102_Wkst'!$Q$7:$Q$2010,'LAC 102_Wkst'!$D$7:$D$2010,$C$7,'LAC 102_Wkst'!$I$7:$I$2010,$C$9,'LAC 102_Wkst'!$E$7:$E$2010,$C84,'LAC 102_Wkst'!$G$7:$G$2010,$D84,'LAC 102_Wkst'!$L$7:$L$2010,"11",'LAC 102_Wkst'!$N$7:$N$2010,"P1")+SUMIFS('LAC 102_Wkst'!$Q$7:$Q$2010,'LAC 102_Wkst'!$D$7:$D$2010,$C$7,'LAC 102_Wkst'!$I$7:$I$2010,$C$9,'LAC 102_Wkst'!$E$7:$E$2010,$C84,'LAC 102_Wkst'!$G$7:$G$2010,$D84,'LAC 102_Wkst'!$L$7:$L$2010,"12",'LAC 102_Wkst'!$N$7:$N$2010,"P1")</f>
        <v>0</v>
      </c>
      <c r="AU84" s="411">
        <f>SUMIFS('LAC 102_Wkst'!$Q$7:$Q$2010,'LAC 102_Wkst'!$D$7:$D$2010,$C$7,'LAC 102_Wkst'!$I$7:$I$2010,$C$9,'LAC 102_Wkst'!$E$7:$E$2010,$C84,'LAC 102_Wkst'!$G$7:$G$2010,$D84,'LAC 102_Wkst'!$L$7:$L$2010,"13",'LAC 102_Wkst'!$N$7:$N$2010,"P5")</f>
        <v>0</v>
      </c>
      <c r="AV84" s="410">
        <f>SUMIFS('LAC 102_Wkst'!$Q$7:$Q$2010,'LAC 102_Wkst'!$D$7:$D$2010,$C$7,'LAC 102_Wkst'!$I$7:$I$2010,$C$9,'LAC 102_Wkst'!$E$7:$E$2010,$C84,'LAC 102_Wkst'!$G$7:$G$2010,$D84,'LAC 102_Wkst'!$L$7:$L$2010,"11",'LAC 102_Wkst'!$N$7:$N$2010,"P2")+SUMIFS('LAC 102_Wkst'!$Q$7:$Q$2010,'LAC 102_Wkst'!$D$7:$D$2010,$C$7,'LAC 102_Wkst'!$I$7:$I$2010,$C$9,'LAC 102_Wkst'!$E$7:$E$2010,$C84,'LAC 102_Wkst'!$G$7:$G$2010,$D84,'LAC 102_Wkst'!$L$7:$L$2010,"12",'LAC 102_Wkst'!$N$7:$N$2010,"P2")+SUMIFS('LAC 102_Wkst'!$Q$7:$Q$2010,'LAC 102_Wkst'!$D$7:$D$2010,$C$7,'LAC 102_Wkst'!$I$7:$I$2010,$C$9,'LAC 102_Wkst'!$E$7:$E$2010,$C84,'LAC 102_Wkst'!$G$7:$G$2010,$D84,'LAC 102_Wkst'!$L$7:$L$2010,"11",'LAC 102_Wkst'!$N$7:$N$2010,"P3")+SUMIFS('LAC 102_Wkst'!$Q$7:$Q$2010,'LAC 102_Wkst'!$D$7:$D$2010,$C$7,'LAC 102_Wkst'!$I$7:$I$2010,$C$9,'LAC 102_Wkst'!$E$7:$E$2010,$C84,'LAC 102_Wkst'!$G$7:$G$2010,$D84,'LAC 102_Wkst'!$L$7:$L$2010,"12",'LAC 102_Wkst'!$N$7:$N$2010,"P3")</f>
        <v>0</v>
      </c>
      <c r="AW84" s="411">
        <f>SUMIFS('LAC 102_Wkst'!$AF$7:$AF$2010,'LAC 102_Wkst'!$D$7:$D$2010,$C$7,'LAC 102_Wkst'!$I$7:$I$2010,$C$9,'LAC 102_Wkst'!$E$7:$E$2010,$C84,'LAC 102_Wkst'!$G$7:$G$2010,$D84,'LAC 102_Wkst'!$L$7:$L$2010,"11",'LAC 102_Wkst'!$N$7:$N$2010,"P2")+SUMIFS('LAC 102_Wkst'!$AF$7:$AF$2010,'LAC 102_Wkst'!$D$7:$D$2010,$C$7,'LAC 102_Wkst'!$I$7:$I$2010,$C$9,'LAC 102_Wkst'!$E$7:$E$2010,$C84,'LAC 102_Wkst'!$G$7:$G$2010,$D84,'LAC 102_Wkst'!$L$7:$L$2010,"12",'LAC 102_Wkst'!$N$7:$N$2010,"P2")+SUMIFS('LAC 102_Wkst'!$AF$7:$AF$2010,'LAC 102_Wkst'!$D$7:$D$2010,$C$7,'LAC 102_Wkst'!$I$7:$I$2010,$C$9,'LAC 102_Wkst'!$E$7:$E$2010,$C84,'LAC 102_Wkst'!$G$7:$G$2010,$D84,'LAC 102_Wkst'!$L$7:$L$2010,"11",'LAC 102_Wkst'!$N$7:$N$2010,"P3")+SUMIFS('LAC 102_Wkst'!$AF$7:$AF$2010,'LAC 102_Wkst'!$D$7:$D$2010,$C$7,'LAC 102_Wkst'!$I$7:$I$2010,$C$9,'LAC 102_Wkst'!$E$7:$E$2010,$C84,'LAC 102_Wkst'!$G$7:$G$2010,$D84,'LAC 102_Wkst'!$L$7:$L$2010,"12",'LAC 102_Wkst'!$N$7:$N$2010,"P3")</f>
        <v>0</v>
      </c>
      <c r="AX84" s="410">
        <f>SUMIFS('LAC 102_Wkst'!$Q$7:$Q$2010,'LAC 102_Wkst'!$D$7:$D$2010,$C$7,'LAC 102_Wkst'!$I$7:$I$2010,$C$9,'LAC 102_Wkst'!$E$7:$E$2010,$C84,'LAC 102_Wkst'!$G$7:$G$2010,$D84,'LAC 102_Wkst'!$L$7:$L$2010,"11",'LAC 102_Wkst'!$N$7:$N$2010,"P4")+SUMIFS('LAC 102_Wkst'!$Q$7:$Q$2010,'LAC 102_Wkst'!$D$7:$D$2010,$C$7,'LAC 102_Wkst'!$I$7:$I$2010,$C$9,'LAC 102_Wkst'!$E$7:$E$2010,$C84,'LAC 102_Wkst'!$G$7:$G$2010,$D84,'LAC 102_Wkst'!$L$7:$L$2010,"12",'LAC 102_Wkst'!$N$7:$N$2010,"P4")</f>
        <v>0</v>
      </c>
      <c r="AY84" s="411">
        <f>SUMIFS('LAC 102_Wkst'!$AF$7:$AF$2010,'LAC 102_Wkst'!$D$7:$D$2010,$C$7,'LAC 102_Wkst'!$I$7:$I$2010,$C$9,'LAC 102_Wkst'!$E$7:$E$2010,$C84,'LAC 102_Wkst'!$G$7:$G$2010,$D84,'LAC 102_Wkst'!$L$7:$L$2010,"11",'LAC 102_Wkst'!$N$7:$N$2010,"P4")+SUMIFS('LAC 102_Wkst'!$AF$7:$AF$2010,'LAC 102_Wkst'!$D$7:$D$2010,$C$7,'LAC 102_Wkst'!$I$7:$I$2010,$C$9,'LAC 102_Wkst'!$E$7:$E$2010,$C84,'LAC 102_Wkst'!$G$7:$G$2010,$D84,'LAC 102_Wkst'!$L$7:$L$2010,"12",'LAC 102_Wkst'!$N$7:$N$2010,"P4")</f>
        <v>0</v>
      </c>
      <c r="AZ84" s="410">
        <f>SUMIFS('LAC 102_Wkst'!$Q$7:$Q$2010,'LAC 102_Wkst'!$D$7:$D$2010,$C$7,'LAC 102_Wkst'!$I$7:$I$2010,$C$9,'LAC 102_Wkst'!$E$7:$E$2010,$C84,'LAC 102_Wkst'!$G$7:$G$2010,$D84,'LAC 102_Wkst'!$L$7:$L$2010,"11",'LAC 102_Wkst'!$N$7:$N$2010,"P5")+SUMIFS('LAC 102_Wkst'!$Q$7:$Q$2010,'LAC 102_Wkst'!$D$7:$D$2010,$C$7,'LAC 102_Wkst'!$I$7:$I$2010,$C$9,'LAC 102_Wkst'!$E$7:$E$2010,$C84,'LAC 102_Wkst'!$G$7:$G$2010,$D84,'LAC 102_Wkst'!$L$7:$L$2010,"12",'LAC 102_Wkst'!$N$7:$N$2010,"P5")</f>
        <v>0</v>
      </c>
      <c r="BA84" s="411">
        <f>SUMIFS('LAC 102_Wkst'!$AF$7:$AF$2010,'LAC 102_Wkst'!$D$7:$D$2010,$C$7,'LAC 102_Wkst'!$I$7:$I$2010,$C$9,'LAC 102_Wkst'!$E$7:$E$2010,$C84,'LAC 102_Wkst'!$G$7:$G$2010,$D84,'LAC 102_Wkst'!$L$7:$L$2010,"11",'LAC 102_Wkst'!$N$7:$N$2010,"P5")+SUMIFS('LAC 102_Wkst'!$AF$7:$AF$2010,'LAC 102_Wkst'!$D$7:$D$2010,$C$7,'LAC 102_Wkst'!$I$7:$I$2010,$C$9,'LAC 102_Wkst'!$E$7:$E$2010,$C84,'LAC 102_Wkst'!$G$7:$G$2010,$D84,'LAC 102_Wkst'!$L$7:$L$2010,"12",'LAC 102_Wkst'!$N$7:$N$2010,"P5")</f>
        <v>0</v>
      </c>
      <c r="BB84" s="410">
        <f>SUMIFS('LAC 102_Wkst'!$Q$7:$Q$2010,'LAC 102_Wkst'!$D$7:$D$2010,$C$7,'LAC 102_Wkst'!$I$7:$I$2010,$C$9,'LAC 102_Wkst'!$E$7:$E$2010,$C84,'LAC 102_Wkst'!$G$7:$G$2010,$D84,'LAC 102_Wkst'!$L$7:$L$2010,"13",'LAC 102_Wkst'!$N$7:$N$2010,"P1")+SUMIFS('LAC 102_Wkst'!$Q$7:$Q$2010,'LAC 102_Wkst'!$D$7:$D$2010,$C$7,'LAC 102_Wkst'!$I$7:$I$2010,$C$9,'LAC 102_Wkst'!$E$7:$E$2010,$C84,'LAC 102_Wkst'!$G$7:$G$2010,$D84,'LAC 102_Wkst'!$L$7:$L$2010,"13",'LAC 102_Wkst'!$N$7:$N$2010,"P2")+SUMIFS('LAC 102_Wkst'!$Q$7:$Q$2010,'LAC 102_Wkst'!$D$7:$D$2010,$C$7,'LAC 102_Wkst'!$I$7:$I$2010,$C$9,'LAC 102_Wkst'!$E$7:$E$2010,$C84,'LAC 102_Wkst'!$G$7:$G$2010,$D84,'LAC 102_Wkst'!$L$7:$L$2010,"13",'LAC 102_Wkst'!$N$7:$N$2010,"P3")+SUMIFS('LAC 102_Wkst'!$Q$7:$Q$2010,'LAC 102_Wkst'!$D$7:$D$2010,$C$7,'LAC 102_Wkst'!$I$7:$I$2010,$C$9,'LAC 102_Wkst'!$E$7:$E$2010,$C84,'LAC 102_Wkst'!$G$7:$G$2010,$D84,'LAC 102_Wkst'!$L$7:$L$2010,"13",'LAC 102_Wkst'!$N$7:$N$2010,"P4")</f>
        <v>0</v>
      </c>
      <c r="BC84" s="411">
        <f>SUMIFS('LAC 102_Wkst'!$AF$7:$AF$2010,'LAC 102_Wkst'!$D$7:$D$2010,$C$7,'LAC 102_Wkst'!$I$7:$I$2010,$C$9,'LAC 102_Wkst'!$E$7:$E$2010,$C84,'LAC 102_Wkst'!$G$7:$G$2010,$D84,'LAC 102_Wkst'!$L$7:$L$2010,"13",'LAC 102_Wkst'!$N$7:$N$2010,"P1")+SUMIFS('LAC 102_Wkst'!$AF$7:$AF$2010,'LAC 102_Wkst'!$D$7:$D$2010,$C$7,'LAC 102_Wkst'!$I$7:$I$2010,$C$9,'LAC 102_Wkst'!$E$7:$E$2010,$C84,'LAC 102_Wkst'!$G$7:$G$2010,$D84,'LAC 102_Wkst'!$L$7:$L$2010,"13",'LAC 102_Wkst'!$N$7:$N$2010,"P2")+SUMIFS('LAC 102_Wkst'!$AF$7:$AF$2010,'LAC 102_Wkst'!$D$7:$D$2010,$C$7,'LAC 102_Wkst'!$I$7:$I$2010,$C$9,'LAC 102_Wkst'!$E$7:$E$2010,$C84,'LAC 102_Wkst'!$G$7:$G$2010,$D84,'LAC 102_Wkst'!$L$7:$L$2010,"13",'LAC 102_Wkst'!$N$7:$N$2010,"P3")+SUMIFS('LAC 102_Wkst'!$AF$7:$AF$2010,'LAC 102_Wkst'!$D$7:$D$2010,$C$7,'LAC 102_Wkst'!$I$7:$I$2010,$C$9,'LAC 102_Wkst'!$E$7:$E$2010,$C84,'LAC 102_Wkst'!$G$7:$G$2010,$D84,'LAC 102_Wkst'!$L$7:$L$2010,"13",'LAC 102_Wkst'!$N$7:$N$2010,"P4")</f>
        <v>0</v>
      </c>
      <c r="BD84" s="410">
        <f>SUMIFS('LAC 102_Wkst'!$Q$7:$Q$2010,'LAC 102_Wkst'!$D$7:$D$2010,$C$7,'LAC 102_Wkst'!$I$7:$I$2010,$C$9,'LAC 102_Wkst'!$E$7:$E$2010,$C84,'LAC 102_Wkst'!$G$7:$G$2010,$D84,'LAC 102_Wkst'!$L$7:$L$2010,"13",'LAC 102_Wkst'!$N$7:$N$2010,"P5")</f>
        <v>0</v>
      </c>
      <c r="BE84" s="411">
        <f>SUMIFS('LAC 102_Wkst'!$AF$7:$AF$2010,'LAC 102_Wkst'!$D$7:$D$2010,$C$7,'LAC 102_Wkst'!$I$7:$I$2010,$C$9,'LAC 102_Wkst'!$E$7:$E$2010,$C84,'LAC 102_Wkst'!$G$7:$G$2010,$D84,'LAC 102_Wkst'!$L$7:$L$2010,"13",'LAC 102_Wkst'!$N$7:$N$2010,"P5")</f>
        <v>0</v>
      </c>
      <c r="BF84" s="407">
        <f t="shared" si="4"/>
        <v>0</v>
      </c>
      <c r="BG84" s="1654">
        <f>SUMIFS('LAC 102_Wkst'!$AF$7:$AF$2010,'LAC 102_Wkst'!$D$7:$D$2010,$C$7,'LAC 102_Wkst'!$I$7:$I$2010,$C$9,'LAC 102_Wkst'!$E$7:$E$2010,$C84,'LAC 102_Wkst'!$G$7:$G$2010,$D84,'LAC 102_Wkst'!$L$7:$L$2010,"14")</f>
        <v>0</v>
      </c>
    </row>
    <row r="85" spans="1:59" x14ac:dyDescent="0.2">
      <c r="A85" s="401">
        <v>63</v>
      </c>
      <c r="B85" s="1678" t="str">
        <f>IF(Schedule_B!B$82="","",Schedule_B!B$82)</f>
        <v/>
      </c>
      <c r="C85" s="1674" t="str">
        <f>IF(Schedule_B!C$82=""," ",Schedule_B!C$82)</f>
        <v xml:space="preserve"> </v>
      </c>
      <c r="D85" s="1675" t="str">
        <f>IF(Schedule_B!D$82=""," ",Schedule_B!D$82)</f>
        <v xml:space="preserve"> </v>
      </c>
      <c r="E85" s="1221">
        <f>SUMIFS('LAC 102_Wkst'!$Q$7:$Q$2010,'LAC 102_Wkst'!$D$7:$D$2010,$C$7,'LAC 102_Wkst'!$I$7:$I$2010,$C$9,'LAC 102_Wkst'!$E$7:$E$2010,$C85,'LAC 102_Wkst'!$G$7:$G$2010,$D85)</f>
        <v>0</v>
      </c>
      <c r="F85" s="408">
        <f>SUMIFS('LAC 102_Wkst'!$Q$7:$Q$2010,'LAC 102_Wkst'!$D$7:$D$2010,$C$7,'LAC 102_Wkst'!$I$7:$I$2010,$C$9,'LAC 102_Wkst'!$E$7:$E$2010,$C85,'LAC 102_Wkst'!$G$7:$G$2010,$D85,'LAC 102_Wkst'!$L$7:$L$2010,"01",'LAC 102_Wkst'!$N$7:$N$2010,"P1")+SUMIFS('LAC 102_Wkst'!$Q$7:$Q$2010,'LAC 102_Wkst'!$D$7:$D$2010,$C$7,'LAC 102_Wkst'!$I$7:$I$2010,$C$9,'LAC 102_Wkst'!$E$7:$E$2010,$C85,'LAC 102_Wkst'!$G$7:$G$2010,$D85,'LAC 102_Wkst'!$L$7:$L$2010,"01",'LAC 102_Wkst'!$N$7:$N$2010,"P2")+SUMIFS('LAC 102_Wkst'!$Q$7:$Q$2010,'LAC 102_Wkst'!$D$7:$D$2010,$C$7,'LAC 102_Wkst'!$I$7:$I$2010,$C$9,'LAC 102_Wkst'!$E$7:$E$2010,$C85,'LAC 102_Wkst'!$G$7:$G$2010,$D85,'LAC 102_Wkst'!$L$7:$L$2010,"01",'LAC 102_Wkst'!$N$7:$N$2010,"P3")+SUMIFS('LAC 102_Wkst'!$Q$7:$Q$2010,'LAC 102_Wkst'!$D$7:$D$2010,$C$7,'LAC 102_Wkst'!$I$7:$I$2010,$C$9,'LAC 102_Wkst'!$E$7:$E$2010,$C85,'LAC 102_Wkst'!$G$7:$G$2010,$D85,'LAC 102_Wkst'!$L$7:$L$2010,"02",'LAC 102_Wkst'!$N$7:$N$2010,"P1")+SUMIFS('LAC 102_Wkst'!$Q$7:$Q$2010,'LAC 102_Wkst'!$D$7:$D$2010,$C$7,'LAC 102_Wkst'!$I$7:$I$2010,$C$9,'LAC 102_Wkst'!$E$7:$E$2010,$C85,'LAC 102_Wkst'!$G$7:$G$2010,$D85,'LAC 102_Wkst'!$L$7:$L$2010,"02",'LAC 102_Wkst'!$N$7:$N$2010,"P2")+SUMIFS('LAC 102_Wkst'!$Q$7:$Q$2010,'LAC 102_Wkst'!$D$7:$D$2010,$C$7,'LAC 102_Wkst'!$I$7:$I$2010,$C$9,'LAC 102_Wkst'!$E$7:$E$2010,$C85,'LAC 102_Wkst'!$G$7:$G$2010,$D85,'LAC 102_Wkst'!$L$7:$L$2010,"02",'LAC 102_Wkst'!$N$7:$N$2010,"P3")</f>
        <v>0</v>
      </c>
      <c r="G85" s="409">
        <f>SUMIFS('LAC 102_Wkst'!$AF$7:$AF$2010,'LAC 102_Wkst'!$D$7:$D$2010,$C$7,'LAC 102_Wkst'!$I$7:$I$2010,$C$9,'LAC 102_Wkst'!$E$7:$E$2010,$C85,'LAC 102_Wkst'!$G$7:$G$2010,$D85,'LAC 102_Wkst'!$L$7:$L$2010,"01",'LAC 102_Wkst'!$N$7:$N$2010,"P1")+SUMIFS('LAC 102_Wkst'!$AF$7:$AF$2010,'LAC 102_Wkst'!$D$7:$D$2010,$C$7,'LAC 102_Wkst'!$I$7:$I$2010,$C$9,'LAC 102_Wkst'!$E$7:$E$2010,$C85,'LAC 102_Wkst'!$G$7:$G$2010,$D85,'LAC 102_Wkst'!$L$7:$L$2010,"01",'LAC 102_Wkst'!$N$7:$N$2010,"P2")+SUMIFS('LAC 102_Wkst'!$AF$7:$AF$2010,'LAC 102_Wkst'!$D$7:$D$2010,$C$7,'LAC 102_Wkst'!$I$7:$I$2010,$C$9,'LAC 102_Wkst'!$E$7:$E$2010,$C85,'LAC 102_Wkst'!$G$7:$G$2010,$D85,'LAC 102_Wkst'!$L$7:$L$2010,"01",'LAC 102_Wkst'!$N$7:$N$2010,"P3")+SUMIFS('LAC 102_Wkst'!$AF$7:$AF$2010,'LAC 102_Wkst'!$D$7:$D$2010,$C$7,'LAC 102_Wkst'!$I$7:$I$2010,$C$9,'LAC 102_Wkst'!$E$7:$E$2010,$C85,'LAC 102_Wkst'!$G$7:$G$2010,$D85,'LAC 102_Wkst'!$L$7:$L$2010,"02",'LAC 102_Wkst'!$N$7:$N$2010,"P1")+SUMIFS('LAC 102_Wkst'!$AF$7:$AF$2010,'LAC 102_Wkst'!$D$7:$D$2010,$C$7,'LAC 102_Wkst'!$I$7:$I$2010,$C$9,'LAC 102_Wkst'!$E$7:$E$2010,$C85,'LAC 102_Wkst'!$G$7:$G$2010,$D85,'LAC 102_Wkst'!$L$7:$L$2010,"02",'LAC 102_Wkst'!$N$7:$N$2010,"P2")+SUMIFS('LAC 102_Wkst'!$AF$7:$AF$2010,'LAC 102_Wkst'!$D$7:$D$2010,$C$7,'LAC 102_Wkst'!$I$7:$I$2010,$C$9,'LAC 102_Wkst'!$E$7:$E$2010,$C85,'LAC 102_Wkst'!$G$7:$G$2010,$D85,'LAC 102_Wkst'!$L$7:$L$2010,"02",'LAC 102_Wkst'!$N$7:$N$2010,"P3")</f>
        <v>0</v>
      </c>
      <c r="H85" s="410">
        <f>SUMIFS('LAC 102_Wkst'!$Q$7:$Q$2010,'LAC 102_Wkst'!$D$7:$D$2010,$C$7,'LAC 102_Wkst'!$I$7:$I$2010,$C$9,'LAC 102_Wkst'!$E$7:$E$2010,$C85,'LAC 102_Wkst'!$G$7:$G$2010,$D85,'LAC 102_Wkst'!$L$7:$L$2010,"01",'LAC 102_Wkst'!$N$7:$N$2010,"P4")+SUMIFS('LAC 102_Wkst'!$Q$7:$Q$2010,'LAC 102_Wkst'!$D$7:$D$2010,$C$7,'LAC 102_Wkst'!$I$7:$I$2010,$C$9,'LAC 102_Wkst'!$E$7:$E$2010,$C85,'LAC 102_Wkst'!$G$7:$G$2010,$D85,'LAC 102_Wkst'!$L$7:$L$2010,"02",'LAC 102_Wkst'!$N$7:$N$2010,"P4")</f>
        <v>0</v>
      </c>
      <c r="I85" s="411">
        <f>SUMIFS('LAC 102_Wkst'!$AF$7:$AF$2010,'LAC 102_Wkst'!$D$7:$D$2010,$C$7,'LAC 102_Wkst'!$I$7:$I$2010,$C$9,'LAC 102_Wkst'!$E$7:$E$2010,$C85,'LAC 102_Wkst'!$G$7:$G$2010,$D85,'LAC 102_Wkst'!$L$7:$L$2010,"01",'LAC 102_Wkst'!$N$7:$N$2010,"P4")+SUMIFS('LAC 102_Wkst'!$AF$7:$AF$2010,'LAC 102_Wkst'!$D$7:$D$2010,$C$7,'LAC 102_Wkst'!$I$7:$I$2010,$C$9,'LAC 102_Wkst'!$E$7:$E$2010,$C85,'LAC 102_Wkst'!$G$7:$G$2010,$D85,'LAC 102_Wkst'!$L$7:$L$2010,"02",'LAC 102_Wkst'!$N$7:$N$2010,"P4")</f>
        <v>0</v>
      </c>
      <c r="J85" s="410">
        <f>SUMIFS('LAC 102_Wkst'!$Q$7:$Q$2010,'LAC 102_Wkst'!$D$7:$D$2010,$C$7,'LAC 102_Wkst'!$I$7:$I$2010,$C$9,'LAC 102_Wkst'!$E$7:$E$2010,$C85,'LAC 102_Wkst'!$G$7:$G$2010,$D85,'LAC 102_Wkst'!$L$7:$L$2010,"01",'LAC 102_Wkst'!$N$7:$N$2010,"P5")+SUMIFS('LAC 102_Wkst'!$Q$7:$Q$2010,'LAC 102_Wkst'!$D$7:$D$2010,$C$7,'LAC 102_Wkst'!$I$7:$I$2010,$C$9,'LAC 102_Wkst'!$E$7:$E$2010,$C85,'LAC 102_Wkst'!$G$7:$G$2010,$D85,'LAC 102_Wkst'!$L$7:$L$2010,"02",'LAC 102_Wkst'!$N$7:$N$2010,"P5")</f>
        <v>0</v>
      </c>
      <c r="K85" s="411">
        <f>SUMIFS('LAC 102_Wkst'!$AF$7:$AF$2010,'LAC 102_Wkst'!$D$7:$D$2010,$C$7,'LAC 102_Wkst'!$I$7:$I$2010,$C$9,'LAC 102_Wkst'!$E$7:$E$2010,$C85,'LAC 102_Wkst'!$G$7:$G$2010,$D85,'LAC 102_Wkst'!$L$7:$L$2010,"01",'LAC 102_Wkst'!$N$7:$N$2010,"P5")+SUMIFS('LAC 102_Wkst'!$AF$7:$AF$2010,'LAC 102_Wkst'!$D$7:$D$2010,$C$7,'LAC 102_Wkst'!$I$7:$I$2010,$C$9,'LAC 102_Wkst'!$E$7:$E$2010,$C85,'LAC 102_Wkst'!$G$7:$G$2010,$D85,'LAC 102_Wkst'!$L$7:$L$2010,"02",'LAC 102_Wkst'!$N$7:$N$2010,"P5")</f>
        <v>0</v>
      </c>
      <c r="L85" s="410">
        <f>SUMIFS('LAC 102_Wkst'!$Q$7:$Q$2010,'LAC 102_Wkst'!$D$7:$D$2010,$C$7,'LAC 102_Wkst'!$I$7:$I$2010,$C$9,'LAC 102_Wkst'!$E$7:$E$2010,$C85,'LAC 102_Wkst'!$G$7:$G$2010,$D85,'LAC 102_Wkst'!$L$7:$L$2010,"03",'LAC 102_Wkst'!$N$7:$N$2010,"P1")+SUMIFS('LAC 102_Wkst'!$Q$7:$Q$2010,'LAC 102_Wkst'!$D$7:$D$2010,$C$7,'LAC 102_Wkst'!$I$7:$I$2010,$C$9,'LAC 102_Wkst'!$E$7:$E$2010,$C85,'LAC 102_Wkst'!$G$7:$G$2010,$D85,'LAC 102_Wkst'!$L$7:$L$2010,"03",'LAC 102_Wkst'!$N$7:$N$2010,"P2")+SUMIFS('LAC 102_Wkst'!$Q$7:$Q$2010,'LAC 102_Wkst'!$D$7:$D$2010,$C$7,'LAC 102_Wkst'!$I$7:$I$2010,$C$9,'LAC 102_Wkst'!$E$7:$E$2010,$C85,'LAC 102_Wkst'!$G$7:$G$2010,$D85,'LAC 102_Wkst'!$L$7:$L$2010,"03",'LAC 102_Wkst'!$N$7:$N$2010,"P3")+SUMIFS('LAC 102_Wkst'!$Q$7:$Q$2010,'LAC 102_Wkst'!$D$7:$D$2010,$C$7,'LAC 102_Wkst'!$I$7:$I$2010,$C$9,'LAC 102_Wkst'!$E$7:$E$2010,$C85,'LAC 102_Wkst'!$G$7:$G$2010,$D85,'LAC 102_Wkst'!$L$7:$L$2010,"04",'LAC 102_Wkst'!$N$7:$N$2010,"P1")+SUMIFS('LAC 102_Wkst'!$Q$7:$Q$2010,'LAC 102_Wkst'!$D$7:$D$2010,$C$7,'LAC 102_Wkst'!$I$7:$I$2010,$C$9,'LAC 102_Wkst'!$E$7:$E$2010,$C85,'LAC 102_Wkst'!$G$7:$G$2010,$D85,'LAC 102_Wkst'!$L$7:$L$2010,"04",'LAC 102_Wkst'!$N$7:$N$2010,"P2")+SUMIFS('LAC 102_Wkst'!$Q$7:$Q$2010,'LAC 102_Wkst'!$D$7:$D$2010,$C$7,'LAC 102_Wkst'!$I$7:$I$2010,$C$9,'LAC 102_Wkst'!$E$7:$E$2010,$C85,'LAC 102_Wkst'!$G$7:$G$2010,$D85,'LAC 102_Wkst'!$L$7:$L$2010,"04",'LAC 102_Wkst'!$N$7:$N$2010,"P3")</f>
        <v>0</v>
      </c>
      <c r="M85" s="411">
        <f>SUMIFS('LAC 102_Wkst'!$AF$7:$AF$2010,'LAC 102_Wkst'!$D$7:$D$2010,$C$7,'LAC 102_Wkst'!$I$7:$I$2010,$C$9,'LAC 102_Wkst'!$E$7:$E$2010,$C85,'LAC 102_Wkst'!$G$7:$G$2010,$D85,'LAC 102_Wkst'!$L$7:$L$2010,"03",'LAC 102_Wkst'!$N$7:$N$2010,"P1")+SUMIFS('LAC 102_Wkst'!$AF$7:$AF$2010,'LAC 102_Wkst'!$D$7:$D$2010,$C$7,'LAC 102_Wkst'!$I$7:$I$2010,$C$9,'LAC 102_Wkst'!$E$7:$E$2010,$C85,'LAC 102_Wkst'!$G$7:$G$2010,$D85,'LAC 102_Wkst'!$L$7:$L$2010,"03",'LAC 102_Wkst'!$N$7:$N$2010,"P2")+SUMIFS('LAC 102_Wkst'!$AF$7:$AF$2010,'LAC 102_Wkst'!$D$7:$D$2010,$C$7,'LAC 102_Wkst'!$I$7:$I$2010,$C$9,'LAC 102_Wkst'!$E$7:$E$2010,$C85,'LAC 102_Wkst'!$G$7:$G$2010,$D85,'LAC 102_Wkst'!$L$7:$L$2010,"03",'LAC 102_Wkst'!$N$7:$N$2010,"P3")+SUMIFS('LAC 102_Wkst'!$AF$7:$AF$2010,'LAC 102_Wkst'!$D$7:$D$2010,$C$7,'LAC 102_Wkst'!$I$7:$I$2010,$C$9,'LAC 102_Wkst'!$E$7:$E$2010,$C85,'LAC 102_Wkst'!$G$7:$G$2010,$D85,'LAC 102_Wkst'!$L$7:$L$2010,"04",'LAC 102_Wkst'!$N$7:$N$2010,"P1")+SUMIFS('LAC 102_Wkst'!$AF$7:$AF$2010,'LAC 102_Wkst'!$D$7:$D$2010,$C$7,'LAC 102_Wkst'!$I$7:$I$2010,$C$9,'LAC 102_Wkst'!$E$7:$E$2010,$C85,'LAC 102_Wkst'!$G$7:$G$2010,$D85,'LAC 102_Wkst'!$L$7:$L$2010,"04",'LAC 102_Wkst'!$N$7:$N$2010,"P2")+SUMIFS('LAC 102_Wkst'!$AF$7:$AF$2010,'LAC 102_Wkst'!$D$7:$D$2010,$C$7,'LAC 102_Wkst'!$I$7:$I$2010,$C$9,'LAC 102_Wkst'!$E$7:$E$2010,$C85,'LAC 102_Wkst'!$G$7:$G$2010,$D85,'LAC 102_Wkst'!$L$7:$L$2010,"04",'LAC 102_Wkst'!$N$7:$N$2010,"P3")</f>
        <v>0</v>
      </c>
      <c r="N85" s="410">
        <f>SUMIFS('LAC 102_Wkst'!$Q$7:$Q$2010,'LAC 102_Wkst'!$D$7:$D$2010,$C$7,'LAC 102_Wkst'!$I$7:$I$2010,$C$9,'LAC 102_Wkst'!$E$7:$E$2010,$C85,'LAC 102_Wkst'!$G$7:$G$2010,$D85,'LAC 102_Wkst'!$L$7:$L$2010,"03",'LAC 102_Wkst'!$N$7:$N$2010,"P4")+SUMIFS('LAC 102_Wkst'!$Q$7:$Q$2010,'LAC 102_Wkst'!$D$7:$D$2010,$C$7,'LAC 102_Wkst'!$I$7:$I$2010,$C$9,'LAC 102_Wkst'!$E$7:$E$2010,$C85,'LAC 102_Wkst'!$G$7:$G$2010,$D85,'LAC 102_Wkst'!$L$7:$L$2010,"04",'LAC 102_Wkst'!$N$7:$N$2010,"P4")</f>
        <v>0</v>
      </c>
      <c r="O85" s="411">
        <f>SUMIFS('LAC 102_Wkst'!$AF$7:$AF$2010,'LAC 102_Wkst'!$D$7:$D$2010,$C$7,'LAC 102_Wkst'!$I$7:$I$2010,$C$9,'LAC 102_Wkst'!$E$7:$E$2010,$C85,'LAC 102_Wkst'!$G$7:$G$2010,$D85,'LAC 102_Wkst'!$L$7:$L$2010,"03",'LAC 102_Wkst'!$N$7:$N$2010,"P4")+SUMIFS('LAC 102_Wkst'!$AF$7:$AF$2010,'LAC 102_Wkst'!$D$7:$D$2010,$C$7,'LAC 102_Wkst'!$I$7:$I$2010,$C$9,'LAC 102_Wkst'!$E$7:$E$2010,$C85,'LAC 102_Wkst'!$G$7:$G$2010,$D85,'LAC 102_Wkst'!$L$7:$L$2010,"04",'LAC 102_Wkst'!$N$7:$N$2010,"P4")</f>
        <v>0</v>
      </c>
      <c r="P85" s="410">
        <f>SUMIFS('LAC 102_Wkst'!$Q$7:$Q$2010,'LAC 102_Wkst'!$D$7:$D$2010,$C$7,'LAC 102_Wkst'!$I$7:$I$2010,$C$9,'LAC 102_Wkst'!$E$7:$E$2010,$C85,'LAC 102_Wkst'!$G$7:$G$2010,$D85,'LAC 102_Wkst'!$L$7:$L$2010,"03",'LAC 102_Wkst'!$N$7:$N$2010,"P5")+SUMIFS('LAC 102_Wkst'!$Q$7:$Q$2010,'LAC 102_Wkst'!$D$7:$D$2010,$C$7,'LAC 102_Wkst'!$I$7:$I$2010,$C$9,'LAC 102_Wkst'!$E$7:$E$2010,$C85,'LAC 102_Wkst'!$G$7:$G$2010,$D85,'LAC 102_Wkst'!$L$7:$L$2010,"04",'LAC 102_Wkst'!$N$7:$N$2010,"P5")</f>
        <v>0</v>
      </c>
      <c r="Q85" s="411">
        <f>SUMIFS('LAC 102_Wkst'!$AF$7:$AF$2010,'LAC 102_Wkst'!$D$7:$D$2010,$C$7,'LAC 102_Wkst'!$I$7:$I$2010,$C$9,'LAC 102_Wkst'!$E$7:$E$2010,$C85,'LAC 102_Wkst'!$G$7:$G$2010,$D85,'LAC 102_Wkst'!$L$7:$L$2010,"03",'LAC 102_Wkst'!$N$7:$N$2010,"P5")+SUMIFS('LAC 102_Wkst'!$AF$7:$AF$2010,'LAC 102_Wkst'!$D$7:$D$2010,$C$7,'LAC 102_Wkst'!$I$7:$I$2010,$C$9,'LAC 102_Wkst'!$E$7:$E$2010,$C85,'LAC 102_Wkst'!$G$7:$G$2010,$D85,'LAC 102_Wkst'!$L$7:$L$2010,"04",'LAC 102_Wkst'!$N$7:$N$2010,"P5")</f>
        <v>0</v>
      </c>
      <c r="R85" s="412">
        <f>SUMIFS('LAC 102_Wkst'!$Q$7:$Q$2010,'LAC 102_Wkst'!$D$7:$D$2010,$C$7,'LAC 102_Wkst'!$I$7:$I$2010,$C$9,'LAC 102_Wkst'!$E$7:$E$2010,$C85,'LAC 102_Wkst'!$G$7:$G$2010,$D85,'LAC 102_Wkst'!$L$7:$L$2010,"05",'LAC 102_Wkst'!$N$7:$N$2010,"P1")+SUMIFS('LAC 102_Wkst'!$Q$7:$Q$2010,'LAC 102_Wkst'!$D$7:$D$2010,$C$7,'LAC 102_Wkst'!$I$7:$I$2010,$C$9,'LAC 102_Wkst'!$E$7:$E$2010,$C85,'LAC 102_Wkst'!$G$7:$G$2010,$D85,'LAC 102_Wkst'!$L$7:$L$2010,"06",'LAC 102_Wkst'!$N$7:$N$2010,"P1")</f>
        <v>0</v>
      </c>
      <c r="S85" s="411">
        <f>SUMIFS('LAC 102_Wkst'!$AF$7:$AF$2010,'LAC 102_Wkst'!$D$7:$D$2010,$C$7,'LAC 102_Wkst'!$I$7:$I$2010,$C$9,'LAC 102_Wkst'!$E$7:$E$2010,$C85,'LAC 102_Wkst'!$G$7:$G$2010,$D85,'LAC 102_Wkst'!$L$7:$L$2010,"05",'LAC 102_Wkst'!$N$7:$N$2010,"P1")+SUMIFS('LAC 102_Wkst'!$AF$7:$AF$2010,'LAC 102_Wkst'!$D$7:$D$2010,$C$7,'LAC 102_Wkst'!$I$7:$I$2010,$C$9,'LAC 102_Wkst'!$E$7:$E$2010,$C85,'LAC 102_Wkst'!$G$7:$G$2010,$D85,'LAC 102_Wkst'!$L$7:$L$2010,"06",'LAC 102_Wkst'!$N$7:$N$2010,"P1")</f>
        <v>0</v>
      </c>
      <c r="T85" s="410">
        <f>SUMIFS('LAC 102_Wkst'!$Q$7:$Q$2010,'LAC 102_Wkst'!$D$7:$D$2010,$C$7,'LAC 102_Wkst'!$I$7:$I$2010,$C$9,'LAC 102_Wkst'!$E$7:$E$2010,$C85,'LAC 102_Wkst'!$G$7:$G$2010,$D85,'LAC 102_Wkst'!$L$7:$L$2010,"05",'LAC 102_Wkst'!$N$7:$N$2010,"P2")+SUMIFS('LAC 102_Wkst'!$Q$7:$Q$2010,'LAC 102_Wkst'!$D$7:$D$2010,$C$7,'LAC 102_Wkst'!$I$7:$I$2010,$C$9,'LAC 102_Wkst'!$E$7:$E$2010,$C85,'LAC 102_Wkst'!$G$7:$G$2010,$D85,'LAC 102_Wkst'!$L$7:$L$2010,"06",'LAC 102_Wkst'!$N$7:$N$2010,"P2")+SUMIFS('LAC 102_Wkst'!$Q$7:$Q$2010,'LAC 102_Wkst'!$D$7:$D$2010,$C$7,'LAC 102_Wkst'!$I$7:$I$2010,$C$9,'LAC 102_Wkst'!$E$7:$E$2010,$C85,'LAC 102_Wkst'!$G$7:$G$2010,$D85,'LAC 102_Wkst'!$L$7:$L$2010,"05",'LAC 102_Wkst'!$N$7:$N$2010,"P3")+SUMIFS('LAC 102_Wkst'!$Q$7:$Q$2010,'LAC 102_Wkst'!$D$7:$D$2010,$C$7,'LAC 102_Wkst'!$I$7:$I$2010,$C$9,'LAC 102_Wkst'!$E$7:$E$2010,$C85,'LAC 102_Wkst'!$G$7:$G$2010,$D85,'LAC 102_Wkst'!$L$7:$L$2010,"06",'LAC 102_Wkst'!$N$7:$N$2010,"P3")</f>
        <v>0</v>
      </c>
      <c r="U85" s="411">
        <f>SUMIFS('LAC 102_Wkst'!$AF$7:$AF$2010,'LAC 102_Wkst'!$D$7:$D$2010,$C$7,'LAC 102_Wkst'!$I$7:$I$2010,$C$9,'LAC 102_Wkst'!$E$7:$E$2010,$C85,'LAC 102_Wkst'!$G$7:$G$2010,$D85,'LAC 102_Wkst'!$L$7:$L$2010,"05",'LAC 102_Wkst'!$N$7:$N$2010,"P2")+SUMIFS('LAC 102_Wkst'!$AF$7:$AF$2010,'LAC 102_Wkst'!$D$7:$D$2010,$C$7,'LAC 102_Wkst'!$I$7:$I$2010,$C$9,'LAC 102_Wkst'!$E$7:$E$2010,$C85,'LAC 102_Wkst'!$G$7:$G$2010,$D85,'LAC 102_Wkst'!$L$7:$L$2010,"06",'LAC 102_Wkst'!$N$7:$N$2010,"P2")+SUMIFS('LAC 102_Wkst'!$AF$7:$AF$2010,'LAC 102_Wkst'!$D$7:$D$2010,$C$7,'LAC 102_Wkst'!$I$7:$I$2010,$C$9,'LAC 102_Wkst'!$E$7:$E$2010,$C85,'LAC 102_Wkst'!$G$7:$G$2010,$D85,'LAC 102_Wkst'!$L$7:$L$2010,"05",'LAC 102_Wkst'!$N$7:$N$2010,"P3")+SUMIFS('LAC 102_Wkst'!$AF$7:$AF$2010,'LAC 102_Wkst'!$D$7:$D$2010,$C$7,'LAC 102_Wkst'!$I$7:$I$2010,$C$9,'LAC 102_Wkst'!$E$7:$E$2010,$C85,'LAC 102_Wkst'!$G$7:$G$2010,$D85,'LAC 102_Wkst'!$L$7:$L$2010,"06",'LAC 102_Wkst'!$N$7:$N$2010,"P3")</f>
        <v>0</v>
      </c>
      <c r="V85" s="410">
        <f>SUMIFS('LAC 102_Wkst'!$Q$7:$Q$2010,'LAC 102_Wkst'!$D$7:$D$2010,$C$7,'LAC 102_Wkst'!$I$7:$I$2010,$C$9,'LAC 102_Wkst'!$E$7:$E$2010,$C85,'LAC 102_Wkst'!$G$7:$G$2010,$D85,'LAC 102_Wkst'!$L$7:$L$2010,"05",'LAC 102_Wkst'!$N$7:$N$2010,"P4")+SUMIFS('LAC 102_Wkst'!$Q$7:$Q$2010,'LAC 102_Wkst'!$D$7:$D$2010,$C$7,'LAC 102_Wkst'!$I$7:$I$2010,$C$9,'LAC 102_Wkst'!$E$7:$E$2010,$C85,'LAC 102_Wkst'!$G$7:$G$2010,$D85,'LAC 102_Wkst'!$L$7:$L$2010,"06",'LAC 102_Wkst'!$N$7:$N$2010,"P4")</f>
        <v>0</v>
      </c>
      <c r="W85" s="411">
        <f>SUMIFS('LAC 102_Wkst'!$AF$7:$AF$2010,'LAC 102_Wkst'!$D$7:$D$2010,$C$7,'LAC 102_Wkst'!$I$7:$I$2010,$C$9,'LAC 102_Wkst'!$E$7:$E$2010,$C85,'LAC 102_Wkst'!$G$7:$G$2010,$D85,'LAC 102_Wkst'!$L$7:$L$2010,"05",'LAC 102_Wkst'!$N$7:$N$2010,"P4")+SUMIFS('LAC 102_Wkst'!$AF$7:$AF$2010,'LAC 102_Wkst'!$D$7:$D$2010,$C$7,'LAC 102_Wkst'!$I$7:$I$2010,$C$9,'LAC 102_Wkst'!$E$7:$E$2010,$C85,'LAC 102_Wkst'!$G$7:$G$2010,$D85,'LAC 102_Wkst'!$L$7:$L$2010,"06",'LAC 102_Wkst'!$N$7:$N$2010,"P4")</f>
        <v>0</v>
      </c>
      <c r="X85" s="410">
        <f>SUMIFS('LAC 102_Wkst'!$Q$7:$Q$2010,'LAC 102_Wkst'!$D$7:$D$2010,$C$7,'LAC 102_Wkst'!$I$7:$I$2010,$C$9,'LAC 102_Wkst'!$E$7:$E$2010,$C85,'LAC 102_Wkst'!$G$7:$G$2010,$D85,'LAC 102_Wkst'!$L$7:$L$2010,"05",'LAC 102_Wkst'!$N$7:$N$2010,"P5")+SUMIFS('LAC 102_Wkst'!$Q$7:$Q$2010,'LAC 102_Wkst'!$D$7:$D$2010,$C$7,'LAC 102_Wkst'!$I$7:$I$2010,$C$9,'LAC 102_Wkst'!$E$7:$E$2010,$C85,'LAC 102_Wkst'!$G$7:$G$2010,$D85,'LAC 102_Wkst'!$L$7:$L$2010,"06",'LAC 102_Wkst'!$N$7:$N$2010,"P5")</f>
        <v>0</v>
      </c>
      <c r="Y85" s="411">
        <f>SUMIFS('LAC 102_Wkst'!$AF$7:$AF$2010,'LAC 102_Wkst'!$D$7:$D$2010,$C$7,'LAC 102_Wkst'!$I$7:$I$2010,$C$9,'LAC 102_Wkst'!$E$7:$E$2010,$C85,'LAC 102_Wkst'!$G$7:$G$2010,$D85,'LAC 102_Wkst'!$L$7:$L$2010,"05",'LAC 102_Wkst'!$N$7:$N$2010,"P5")+SUMIFS('LAC 102_Wkst'!$AF$7:$AF$2010,'LAC 102_Wkst'!$D$7:$D$2010,$C$7,'LAC 102_Wkst'!$I$7:$I$2010,$C$9,'LAC 102_Wkst'!$E$7:$E$2010,$C85,'LAC 102_Wkst'!$G$7:$G$2010,$D85,'LAC 102_Wkst'!$L$7:$L$2010,"06",'LAC 102_Wkst'!$N$7:$N$2010,"P5")</f>
        <v>0</v>
      </c>
      <c r="Z85" s="410">
        <f>SUMIFS('LAC 102_Wkst'!$Q$7:$Q$2010,'LAC 102_Wkst'!$D$7:$D$2010,$C$7,'LAC 102_Wkst'!$I$7:$I$2010,$C$9,'LAC 102_Wkst'!$E$7:$E$2010,$C85,'LAC 102_Wkst'!$G$7:$G$2010,$D85,'LAC 102_Wkst'!$L$7:$L$2010,"07",'LAC 102_Wkst'!$N$7:$N$2010,"P1")+SUMIFS('LAC 102_Wkst'!$Q$7:$Q$2010,'LAC 102_Wkst'!$D$7:$D$2010,$C$7,'LAC 102_Wkst'!$I$7:$I$2010,$C$9,'LAC 102_Wkst'!$E$7:$E$2010,$C85,'LAC 102_Wkst'!$G$7:$G$2010,$D85,'LAC 102_Wkst'!$L$7:$L$2010,"07",'LAC 102_Wkst'!$N$7:$N$2010,"P2")+SUMIFS('LAC 102_Wkst'!$Q$7:$Q$2010,'LAC 102_Wkst'!$D$7:$D$2010,$C$7,'LAC 102_Wkst'!$I$7:$I$2010,$C$9,'LAC 102_Wkst'!$E$7:$E$2010,$C85,'LAC 102_Wkst'!$G$7:$G$2010,$D85,'LAC 102_Wkst'!$L$7:$L$2010,"07",'LAC 102_Wkst'!$N$7:$N$2010,"P3")</f>
        <v>0</v>
      </c>
      <c r="AA85" s="411">
        <f>SUMIFS('LAC 102_Wkst'!$AF$7:$AF$2010,'LAC 102_Wkst'!$D$7:$D$2010,$C$7,'LAC 102_Wkst'!$I$7:$I$2010,$C$9,'LAC 102_Wkst'!$E$7:$E$2010,$C85,'LAC 102_Wkst'!$G$7:$G$2010,$D85,'LAC 102_Wkst'!$L$7:$L$2010,"07",'LAC 102_Wkst'!$N$7:$N$2010,"P1")+SUMIFS('LAC 102_Wkst'!$AF$7:$AF$2010,'LAC 102_Wkst'!$D$7:$D$2010,$C$7,'LAC 102_Wkst'!$I$7:$I$2010,$C$9,'LAC 102_Wkst'!$E$7:$E$2010,$C85,'LAC 102_Wkst'!$G$7:$G$2010,$D85,'LAC 102_Wkst'!$L$7:$L$2010,"07",'LAC 102_Wkst'!$N$7:$N$2010,"P2")+SUMIFS('LAC 102_Wkst'!$AF$7:$AF$2010,'LAC 102_Wkst'!$D$7:$D$2010,$C$7,'LAC 102_Wkst'!$I$7:$I$2010,$C$9,'LAC 102_Wkst'!$E$7:$E$2010,$C85,'LAC 102_Wkst'!$G$7:$G$2010,$D85,'LAC 102_Wkst'!$L$7:$L$2010,"07",'LAC 102_Wkst'!$N$7:$N$2010,"P3")</f>
        <v>0</v>
      </c>
      <c r="AB85" s="410">
        <f>SUMIFS('LAC 102_Wkst'!$Q$7:$Q$2010,'LAC 102_Wkst'!$D$7:$D$2010,$C$7,'LAC 102_Wkst'!$I$7:$I$2010,$C$9,'LAC 102_Wkst'!$E$7:$E$2010,$C85,'LAC 102_Wkst'!$G$7:$G$2010,$D85,'LAC 102_Wkst'!$L$7:$L$2010,"07",'LAC 102_Wkst'!$N$7:$N$2010,"P4")</f>
        <v>0</v>
      </c>
      <c r="AC85" s="411">
        <f>SUMIFS('LAC 102_Wkst'!$AF$7:$AF$2010,'LAC 102_Wkst'!$D$7:$D$2010,$C$7,'LAC 102_Wkst'!$I$7:$I$2010,$C$9,'LAC 102_Wkst'!$E$7:$E$2010,$C85,'LAC 102_Wkst'!$G$7:$G$2010,$D85,'LAC 102_Wkst'!$L$7:$L$2010,"07",'LAC 102_Wkst'!$N$7:$N$2010,"P4")</f>
        <v>0</v>
      </c>
      <c r="AD85" s="410">
        <f>SUMIFS('LAC 102_Wkst'!$Q$7:$Q$2010,'LAC 102_Wkst'!$D$7:$D$2010,$C$7,'LAC 102_Wkst'!$I$7:$I$2010,$C$9,'LAC 102_Wkst'!$E$7:$E$2010,$C85,'LAC 102_Wkst'!$G$7:$G$2010,$D85,'LAC 102_Wkst'!$L$7:$L$2010,"07",'LAC 102_Wkst'!$N$7:$N$2010,"P5")</f>
        <v>0</v>
      </c>
      <c r="AE85" s="411">
        <f>SUMIFS('LAC 102_Wkst'!$AF$7:$AF$2010,'LAC 102_Wkst'!$D$7:$D$2010,$C$7,'LAC 102_Wkst'!$I$7:$I$2010,$C$9,'LAC 102_Wkst'!$E$7:$E$2010,$C85,'LAC 102_Wkst'!$G$7:$G$2010,$D85,'LAC 102_Wkst'!$L$7:$L$2010,"07",'LAC 102_Wkst'!$N$7:$N$2010,"P5")</f>
        <v>0</v>
      </c>
      <c r="AF85" s="410">
        <f>SUMIFS('LAC 102_Wkst'!$Q$7:$Q$2010,'LAC 102_Wkst'!$D$7:$D$2010,$C$7,'LAC 102_Wkst'!$I$7:$I$2010,$C$9,'LAC 102_Wkst'!$E$7:$E$2010,$C85,'LAC 102_Wkst'!$G$7:$G$2010,$D85,'LAC 102_Wkst'!$L$7:$L$2010,"08",'LAC 102_Wkst'!$N$7:$N$2010,"P1")+SUMIFS('LAC 102_Wkst'!$Q$7:$Q$2010,'LAC 102_Wkst'!$D$7:$D$2010,$C$7,'LAC 102_Wkst'!$I$7:$I$2010,$C$9,'LAC 102_Wkst'!$E$7:$E$2010,$C85,'LAC 102_Wkst'!$G$7:$G$2010,$D85,'LAC 102_Wkst'!$L$7:$L$2010,"08",'LAC 102_Wkst'!$N$7:$N$2010,"P2")+SUMIFS('LAC 102_Wkst'!$Q$7:$Q$2010,'LAC 102_Wkst'!$D$7:$D$2010,$C$7,'LAC 102_Wkst'!$I$7:$I$2010,$C$9,'LAC 102_Wkst'!$E$7:$E$2010,$C85,'LAC 102_Wkst'!$G$7:$G$2010,$D85,'LAC 102_Wkst'!$L$7:$L$2010,"08",'LAC 102_Wkst'!$N$7:$N$2010,"P3")</f>
        <v>0</v>
      </c>
      <c r="AG85" s="411">
        <f>SUMIFS('LAC 102_Wkst'!$AF$7:$AF$2010,'LAC 102_Wkst'!$D$7:$D$2010,$C$7,'LAC 102_Wkst'!$I$7:$I$2010,$C$9,'LAC 102_Wkst'!$E$7:$E$2010,$C85,'LAC 102_Wkst'!$G$7:$G$2010,$D85,'LAC 102_Wkst'!$L$7:$L$2010,"08",'LAC 102_Wkst'!$N$7:$N$2010,"P1")+SUMIFS('LAC 102_Wkst'!$AF$7:$AF$2010,'LAC 102_Wkst'!$D$7:$D$2010,$C$7,'LAC 102_Wkst'!$I$7:$I$2010,$C$9,'LAC 102_Wkst'!$E$7:$E$2010,$C85,'LAC 102_Wkst'!$G$7:$G$2010,$D85,'LAC 102_Wkst'!$L$7:$L$2010,"08",'LAC 102_Wkst'!$N$7:$N$2010,"P2")+SUMIFS('LAC 102_Wkst'!$AF$7:$AF$2010,'LAC 102_Wkst'!$D$7:$D$2010,$C$7,'LAC 102_Wkst'!$I$7:$I$2010,$C$9,'LAC 102_Wkst'!$E$7:$E$2010,$C85,'LAC 102_Wkst'!$G$7:$G$2010,$D85,'LAC 102_Wkst'!$L$7:$L$2010,"08",'LAC 102_Wkst'!$N$7:$N$2010,"P3")</f>
        <v>0</v>
      </c>
      <c r="AH85" s="410">
        <f>SUMIFS('LAC 102_Wkst'!$Q$7:$Q$2010,'LAC 102_Wkst'!$D$7:$D$2010,$C$7,'LAC 102_Wkst'!$I$7:$I$2010,$C$9,'LAC 102_Wkst'!$E$7:$E$2010,$C85,'LAC 102_Wkst'!$G$7:$G$2010,$D85,'LAC 102_Wkst'!$L$7:$L$2010,"08",'LAC 102_Wkst'!$N$7:$N$2010,"P4")</f>
        <v>0</v>
      </c>
      <c r="AI85" s="411">
        <f>SUMIFS('LAC 102_Wkst'!$AF$7:$AF$2010,'LAC 102_Wkst'!$D$7:$D$2010,$C$7,'LAC 102_Wkst'!$I$7:$I$2010,$C$9,'LAC 102_Wkst'!$E$7:$E$2010,$C85,'LAC 102_Wkst'!$G$7:$G$2010,$D85,'LAC 102_Wkst'!$L$7:$L$2010,"08",'LAC 102_Wkst'!$N$7:$N$2010,"P4")</f>
        <v>0</v>
      </c>
      <c r="AJ85" s="410">
        <f>SUMIFS('LAC 102_Wkst'!$Q$7:$Q$2010,'LAC 102_Wkst'!$D$7:$D$2010,$C$7,'LAC 102_Wkst'!$I$7:$I$2010,$C$9,'LAC 102_Wkst'!$E$7:$E$2010,$C85,'LAC 102_Wkst'!$G$7:$G$2010,$D85,'LAC 102_Wkst'!$L$7:$L$2010,"08",'LAC 102_Wkst'!$N$7:$N$2010,"P5")</f>
        <v>0</v>
      </c>
      <c r="AK85" s="411">
        <f>SUMIFS('LAC 102_Wkst'!$AF$7:$AF$2010,'LAC 102_Wkst'!$D$7:$D$2010,$C$7,'LAC 102_Wkst'!$I$7:$I$2010,$C$9,'LAC 102_Wkst'!$E$7:$E$2010,$C85,'LAC 102_Wkst'!$G$7:$G$2010,$D85,'LAC 102_Wkst'!$L$7:$L$2010,"08",'LAC 102_Wkst'!$N$7:$N$2010,"P5")</f>
        <v>0</v>
      </c>
      <c r="AL85" s="410">
        <f>SUMIFS('LAC 102_Wkst'!$Q$7:$Q$2010,'LAC 102_Wkst'!$D$7:$D$2010,$C$7,'LAC 102_Wkst'!$I$7:$I$2010,$C$9,'LAC 102_Wkst'!$E$7:$E$2010,$C85,'LAC 102_Wkst'!$G$7:$G$2010,$D85,'LAC 102_Wkst'!$L$7:$L$2010,"09",'LAC 102_Wkst'!$N$7:$N$2010,"P1")+SUMIFS('LAC 102_Wkst'!$Q$7:$Q$2010,'LAC 102_Wkst'!$D$7:$D$2010,$C$7,'LAC 102_Wkst'!$I$7:$I$2010,$C$9,'LAC 102_Wkst'!$E$7:$E$2010,$C85,'LAC 102_Wkst'!$G$7:$G$2010,$D85,'LAC 102_Wkst'!$L$7:$L$2010,"09",'LAC 102_Wkst'!$N$7:$N$2010,"P2")+SUMIFS('LAC 102_Wkst'!$Q$7:$Q$2010,'LAC 102_Wkst'!$D$7:$D$2010,$C$7,'LAC 102_Wkst'!$I$7:$I$2010,$C$9,'LAC 102_Wkst'!$E$7:$E$2010,$C85,'LAC 102_Wkst'!$G$7:$G$2010,$D85,'LAC 102_Wkst'!$L$7:$L$2010,"09",'LAC 102_Wkst'!$N$7:$N$2010,"P3")+SUMIFS('LAC 102_Wkst'!$Q$7:$Q$2010,'LAC 102_Wkst'!$D$7:$D$2010,$C$7,'LAC 102_Wkst'!$I$7:$I$2010,$C$9,'LAC 102_Wkst'!$E$7:$E$2010,$C85,'LAC 102_Wkst'!$G$7:$G$2010,$D85,'LAC 102_Wkst'!$L$7:$L$2010,"09",'LAC 102_Wkst'!$N$7:$N$2010,"P4")</f>
        <v>0</v>
      </c>
      <c r="AM85" s="411">
        <f>SUMIFS('LAC 102_Wkst'!$AF$7:$AF$2010,'LAC 102_Wkst'!$D$7:$D$2010,$C$7,'LAC 102_Wkst'!$I$7:$I$2010,$C$9,'LAC 102_Wkst'!$E$7:$E$2010,$C85,'LAC 102_Wkst'!$G$7:$G$2010,$D85,'LAC 102_Wkst'!$L$7:$L$2010,"09",'LAC 102_Wkst'!$N$7:$N$2010,"P1")+SUMIFS('LAC 102_Wkst'!$AF$7:$AF$2010,'LAC 102_Wkst'!$D$7:$D$2010,$C$7,'LAC 102_Wkst'!$I$7:$I$2010,$C$9,'LAC 102_Wkst'!$E$7:$E$2010,$C85,'LAC 102_Wkst'!$G$7:$G$2010,$D85,'LAC 102_Wkst'!$L$7:$L$2010,"09",'LAC 102_Wkst'!$N$7:$N$2010,"P2")+SUMIFS('LAC 102_Wkst'!$AF$7:$AF$2010,'LAC 102_Wkst'!$D$7:$D$2010,$C$7,'LAC 102_Wkst'!$I$7:$I$2010,$C$9,'LAC 102_Wkst'!$E$7:$E$2010,$C85,'LAC 102_Wkst'!$G$7:$G$2010,$D85,'LAC 102_Wkst'!$L$7:$L$2010,"09",'LAC 102_Wkst'!$N$7:$N$2010,"P3")+SUMIFS('LAC 102_Wkst'!$AF$7:$AF$2010,'LAC 102_Wkst'!$D$7:$D$2010,$C$7,'LAC 102_Wkst'!$I$7:$I$2010,$C$9,'LAC 102_Wkst'!$E$7:$E$2010,$C85,'LAC 102_Wkst'!$G$7:$G$2010,$D85,'LAC 102_Wkst'!$L$7:$L$2010,"09",'LAC 102_Wkst'!$N$7:$N$2010,"P4")</f>
        <v>0</v>
      </c>
      <c r="AN85" s="410">
        <f>SUMIFS('LAC 102_Wkst'!$Q$7:$Q$2010,'LAC 102_Wkst'!$D$7:$D$2010,$C$7,'LAC 102_Wkst'!$I$7:$I$2010,$C$9,'LAC 102_Wkst'!$E$7:$E$2010,$C85,'LAC 102_Wkst'!$G$7:$G$2010,$D85,'LAC 102_Wkst'!$L$7:$L$2010,"09",'LAC 102_Wkst'!$N$7:$N$2010,"P5")</f>
        <v>0</v>
      </c>
      <c r="AO85" s="411">
        <f>SUMIFS('LAC 102_Wkst'!$AF$7:$AF$2010,'LAC 102_Wkst'!$D$7:$D$2010,$C$7,'LAC 102_Wkst'!$I$7:$I$2010,$C$9,'LAC 102_Wkst'!$E$7:$E$2010,$C85,'LAC 102_Wkst'!$G$7:$G$2010,$D85,'LAC 102_Wkst'!$L$7:$L$2010,"09",'LAC 102_Wkst'!$N$7:$N$2010,"P5")</f>
        <v>0</v>
      </c>
      <c r="AP85" s="410">
        <f>SUMIFS('LAC 102_Wkst'!$Q$7:$Q$2010,'LAC 102_Wkst'!$D$7:$D$2010,$C$7,'LAC 102_Wkst'!$I$7:$I$2010,$C$9,'LAC 102_Wkst'!$E$7:$E$2010,$C85,'LAC 102_Wkst'!$G$7:$G$2010,$D85,'LAC 102_Wkst'!$L$7:$L$2010,"10",'LAC 102_Wkst'!$N$7:$N$2010,"P1")+SUMIFS('LAC 102_Wkst'!$Q$7:$Q$2010,'LAC 102_Wkst'!$D$7:$D$2010,$C$7,'LAC 102_Wkst'!$I$7:$I$2010,$C$9,'LAC 102_Wkst'!$E$7:$E$2010,$C85,'LAC 102_Wkst'!$G$7:$G$2010,$D85,'LAC 102_Wkst'!$L$7:$L$2010,"10",'LAC 102_Wkst'!$N$7:$N$2010,"P2")+SUMIFS('LAC 102_Wkst'!$Q$7:$Q$2010,'LAC 102_Wkst'!$D$7:$D$2010,$C$7,'LAC 102_Wkst'!$I$7:$I$2010,$C$9,'LAC 102_Wkst'!$E$7:$E$2010,$C85,'LAC 102_Wkst'!$G$7:$G$2010,$D85,'LAC 102_Wkst'!$L$7:$L$2010,"10",'LAC 102_Wkst'!$N$7:$N$2010,"P3")+SUMIFS('LAC 102_Wkst'!$Q$7:$Q$2010,'LAC 102_Wkst'!$D$7:$D$2010,$C$7,'LAC 102_Wkst'!$I$7:$I$2010,$C$9,'LAC 102_Wkst'!$E$7:$E$2010,$C85,'LAC 102_Wkst'!$G$7:$G$2010,$D85,'LAC 102_Wkst'!$L$7:$L$2010,"10",'LAC 102_Wkst'!$N$7:$N$2010,"P4")</f>
        <v>0</v>
      </c>
      <c r="AQ85" s="411">
        <f>SUMIFS('LAC 102_Wkst'!$AF$7:$AF$2010,'LAC 102_Wkst'!$D$7:$D$2010,$C$7,'LAC 102_Wkst'!$I$7:$I$2010,$C$9,'LAC 102_Wkst'!$E$7:$E$2010,$C85,'LAC 102_Wkst'!$G$7:$G$2010,$D85,'LAC 102_Wkst'!$L$7:$L$2010,"10",'LAC 102_Wkst'!$N$7:$N$2010,"P1")+SUMIFS('LAC 102_Wkst'!$AF$7:$AF$2010,'LAC 102_Wkst'!$D$7:$D$2010,$C$7,'LAC 102_Wkst'!$I$7:$I$2010,$C$9,'LAC 102_Wkst'!$E$7:$E$2010,$C85,'LAC 102_Wkst'!$G$7:$G$2010,$D85,'LAC 102_Wkst'!$L$7:$L$2010,"10",'LAC 102_Wkst'!$N$7:$N$2010,"P2")+SUMIFS('LAC 102_Wkst'!$AF$7:$AF$2010,'LAC 102_Wkst'!$D$7:$D$2010,$C$7,'LAC 102_Wkst'!$I$7:$I$2010,$C$9,'LAC 102_Wkst'!$E$7:$E$2010,$C85,'LAC 102_Wkst'!$G$7:$G$2010,$D85,'LAC 102_Wkst'!$L$7:$L$2010,"10",'LAC 102_Wkst'!$N$7:$N$2010,"P3")+SUMIFS('LAC 102_Wkst'!$AF$7:$AF$2010,'LAC 102_Wkst'!$D$7:$D$2010,$C$7,'LAC 102_Wkst'!$I$7:$I$2010,$C$9,'LAC 102_Wkst'!$E$7:$E$2010,$C85,'LAC 102_Wkst'!$G$7:$G$2010,$D85,'LAC 102_Wkst'!$L$7:$L$2010,"10",'LAC 102_Wkst'!$N$7:$N$2010,"P4")</f>
        <v>0</v>
      </c>
      <c r="AR85" s="410">
        <f>SUMIFS('LAC 102_Wkst'!$Q$7:$Q$2010,'LAC 102_Wkst'!$D$7:$D$2010,$C$7,'LAC 102_Wkst'!$I$7:$I$2010,$C$9,'LAC 102_Wkst'!$E$7:$E$2010,$C85,'LAC 102_Wkst'!$G$7:$G$2010,$D85,'LAC 102_Wkst'!$L$7:$L$2010,"10",'LAC 102_Wkst'!$N$7:$N$2010,"P5")</f>
        <v>0</v>
      </c>
      <c r="AS85" s="411">
        <f>SUMIFS('LAC 102_Wkst'!$AF$7:$AF$2010,'LAC 102_Wkst'!$D$7:$D$2010,$C$7,'LAC 102_Wkst'!$I$7:$I$2010,$C$9,'LAC 102_Wkst'!$E$7:$E$2010,$C85,'LAC 102_Wkst'!$G$7:$G$2010,$D85,'LAC 102_Wkst'!$L$7:$L$2010,"10",'LAC 102_Wkst'!$N$7:$N$2010,"P5")</f>
        <v>0</v>
      </c>
      <c r="AT85" s="410">
        <f>SUMIFS('LAC 102_Wkst'!$Q$7:$Q$2010,'LAC 102_Wkst'!$D$7:$D$2010,$C$7,'LAC 102_Wkst'!$I$7:$I$2010,$C$9,'LAC 102_Wkst'!$E$7:$E$2010,$C85,'LAC 102_Wkst'!$G$7:$G$2010,$D85,'LAC 102_Wkst'!$L$7:$L$2010,"11",'LAC 102_Wkst'!$N$7:$N$2010,"P1")+SUMIFS('LAC 102_Wkst'!$Q$7:$Q$2010,'LAC 102_Wkst'!$D$7:$D$2010,$C$7,'LAC 102_Wkst'!$I$7:$I$2010,$C$9,'LAC 102_Wkst'!$E$7:$E$2010,$C85,'LAC 102_Wkst'!$G$7:$G$2010,$D85,'LAC 102_Wkst'!$L$7:$L$2010,"12",'LAC 102_Wkst'!$N$7:$N$2010,"P1")</f>
        <v>0</v>
      </c>
      <c r="AU85" s="411">
        <f>SUMIFS('LAC 102_Wkst'!$Q$7:$Q$2010,'LAC 102_Wkst'!$D$7:$D$2010,$C$7,'LAC 102_Wkst'!$I$7:$I$2010,$C$9,'LAC 102_Wkst'!$E$7:$E$2010,$C85,'LAC 102_Wkst'!$G$7:$G$2010,$D85,'LAC 102_Wkst'!$L$7:$L$2010,"13",'LAC 102_Wkst'!$N$7:$N$2010,"P5")</f>
        <v>0</v>
      </c>
      <c r="AV85" s="410">
        <f>SUMIFS('LAC 102_Wkst'!$Q$7:$Q$2010,'LAC 102_Wkst'!$D$7:$D$2010,$C$7,'LAC 102_Wkst'!$I$7:$I$2010,$C$9,'LAC 102_Wkst'!$E$7:$E$2010,$C85,'LAC 102_Wkst'!$G$7:$G$2010,$D85,'LAC 102_Wkst'!$L$7:$L$2010,"11",'LAC 102_Wkst'!$N$7:$N$2010,"P2")+SUMIFS('LAC 102_Wkst'!$Q$7:$Q$2010,'LAC 102_Wkst'!$D$7:$D$2010,$C$7,'LAC 102_Wkst'!$I$7:$I$2010,$C$9,'LAC 102_Wkst'!$E$7:$E$2010,$C85,'LAC 102_Wkst'!$G$7:$G$2010,$D85,'LAC 102_Wkst'!$L$7:$L$2010,"12",'LAC 102_Wkst'!$N$7:$N$2010,"P2")+SUMIFS('LAC 102_Wkst'!$Q$7:$Q$2010,'LAC 102_Wkst'!$D$7:$D$2010,$C$7,'LAC 102_Wkst'!$I$7:$I$2010,$C$9,'LAC 102_Wkst'!$E$7:$E$2010,$C85,'LAC 102_Wkst'!$G$7:$G$2010,$D85,'LAC 102_Wkst'!$L$7:$L$2010,"11",'LAC 102_Wkst'!$N$7:$N$2010,"P3")+SUMIFS('LAC 102_Wkst'!$Q$7:$Q$2010,'LAC 102_Wkst'!$D$7:$D$2010,$C$7,'LAC 102_Wkst'!$I$7:$I$2010,$C$9,'LAC 102_Wkst'!$E$7:$E$2010,$C85,'LAC 102_Wkst'!$G$7:$G$2010,$D85,'LAC 102_Wkst'!$L$7:$L$2010,"12",'LAC 102_Wkst'!$N$7:$N$2010,"P3")</f>
        <v>0</v>
      </c>
      <c r="AW85" s="411">
        <f>SUMIFS('LAC 102_Wkst'!$AF$7:$AF$2010,'LAC 102_Wkst'!$D$7:$D$2010,$C$7,'LAC 102_Wkst'!$I$7:$I$2010,$C$9,'LAC 102_Wkst'!$E$7:$E$2010,$C85,'LAC 102_Wkst'!$G$7:$G$2010,$D85,'LAC 102_Wkst'!$L$7:$L$2010,"11",'LAC 102_Wkst'!$N$7:$N$2010,"P2")+SUMIFS('LAC 102_Wkst'!$AF$7:$AF$2010,'LAC 102_Wkst'!$D$7:$D$2010,$C$7,'LAC 102_Wkst'!$I$7:$I$2010,$C$9,'LAC 102_Wkst'!$E$7:$E$2010,$C85,'LAC 102_Wkst'!$G$7:$G$2010,$D85,'LAC 102_Wkst'!$L$7:$L$2010,"12",'LAC 102_Wkst'!$N$7:$N$2010,"P2")+SUMIFS('LAC 102_Wkst'!$AF$7:$AF$2010,'LAC 102_Wkst'!$D$7:$D$2010,$C$7,'LAC 102_Wkst'!$I$7:$I$2010,$C$9,'LAC 102_Wkst'!$E$7:$E$2010,$C85,'LAC 102_Wkst'!$G$7:$G$2010,$D85,'LAC 102_Wkst'!$L$7:$L$2010,"11",'LAC 102_Wkst'!$N$7:$N$2010,"P3")+SUMIFS('LAC 102_Wkst'!$AF$7:$AF$2010,'LAC 102_Wkst'!$D$7:$D$2010,$C$7,'LAC 102_Wkst'!$I$7:$I$2010,$C$9,'LAC 102_Wkst'!$E$7:$E$2010,$C85,'LAC 102_Wkst'!$G$7:$G$2010,$D85,'LAC 102_Wkst'!$L$7:$L$2010,"12",'LAC 102_Wkst'!$N$7:$N$2010,"P3")</f>
        <v>0</v>
      </c>
      <c r="AX85" s="410">
        <f>SUMIFS('LAC 102_Wkst'!$Q$7:$Q$2010,'LAC 102_Wkst'!$D$7:$D$2010,$C$7,'LAC 102_Wkst'!$I$7:$I$2010,$C$9,'LAC 102_Wkst'!$E$7:$E$2010,$C85,'LAC 102_Wkst'!$G$7:$G$2010,$D85,'LAC 102_Wkst'!$L$7:$L$2010,"11",'LAC 102_Wkst'!$N$7:$N$2010,"P4")+SUMIFS('LAC 102_Wkst'!$Q$7:$Q$2010,'LAC 102_Wkst'!$D$7:$D$2010,$C$7,'LAC 102_Wkst'!$I$7:$I$2010,$C$9,'LAC 102_Wkst'!$E$7:$E$2010,$C85,'LAC 102_Wkst'!$G$7:$G$2010,$D85,'LAC 102_Wkst'!$L$7:$L$2010,"12",'LAC 102_Wkst'!$N$7:$N$2010,"P4")</f>
        <v>0</v>
      </c>
      <c r="AY85" s="411">
        <f>SUMIFS('LAC 102_Wkst'!$AF$7:$AF$2010,'LAC 102_Wkst'!$D$7:$D$2010,$C$7,'LAC 102_Wkst'!$I$7:$I$2010,$C$9,'LAC 102_Wkst'!$E$7:$E$2010,$C85,'LAC 102_Wkst'!$G$7:$G$2010,$D85,'LAC 102_Wkst'!$L$7:$L$2010,"11",'LAC 102_Wkst'!$N$7:$N$2010,"P4")+SUMIFS('LAC 102_Wkst'!$AF$7:$AF$2010,'LAC 102_Wkst'!$D$7:$D$2010,$C$7,'LAC 102_Wkst'!$I$7:$I$2010,$C$9,'LAC 102_Wkst'!$E$7:$E$2010,$C85,'LAC 102_Wkst'!$G$7:$G$2010,$D85,'LAC 102_Wkst'!$L$7:$L$2010,"12",'LAC 102_Wkst'!$N$7:$N$2010,"P4")</f>
        <v>0</v>
      </c>
      <c r="AZ85" s="410">
        <f>SUMIFS('LAC 102_Wkst'!$Q$7:$Q$2010,'LAC 102_Wkst'!$D$7:$D$2010,$C$7,'LAC 102_Wkst'!$I$7:$I$2010,$C$9,'LAC 102_Wkst'!$E$7:$E$2010,$C85,'LAC 102_Wkst'!$G$7:$G$2010,$D85,'LAC 102_Wkst'!$L$7:$L$2010,"11",'LAC 102_Wkst'!$N$7:$N$2010,"P5")+SUMIFS('LAC 102_Wkst'!$Q$7:$Q$2010,'LAC 102_Wkst'!$D$7:$D$2010,$C$7,'LAC 102_Wkst'!$I$7:$I$2010,$C$9,'LAC 102_Wkst'!$E$7:$E$2010,$C85,'LAC 102_Wkst'!$G$7:$G$2010,$D85,'LAC 102_Wkst'!$L$7:$L$2010,"12",'LAC 102_Wkst'!$N$7:$N$2010,"P5")</f>
        <v>0</v>
      </c>
      <c r="BA85" s="411">
        <f>SUMIFS('LAC 102_Wkst'!$AF$7:$AF$2010,'LAC 102_Wkst'!$D$7:$D$2010,$C$7,'LAC 102_Wkst'!$I$7:$I$2010,$C$9,'LAC 102_Wkst'!$E$7:$E$2010,$C85,'LAC 102_Wkst'!$G$7:$G$2010,$D85,'LAC 102_Wkst'!$L$7:$L$2010,"11",'LAC 102_Wkst'!$N$7:$N$2010,"P5")+SUMIFS('LAC 102_Wkst'!$AF$7:$AF$2010,'LAC 102_Wkst'!$D$7:$D$2010,$C$7,'LAC 102_Wkst'!$I$7:$I$2010,$C$9,'LAC 102_Wkst'!$E$7:$E$2010,$C85,'LAC 102_Wkst'!$G$7:$G$2010,$D85,'LAC 102_Wkst'!$L$7:$L$2010,"12",'LAC 102_Wkst'!$N$7:$N$2010,"P5")</f>
        <v>0</v>
      </c>
      <c r="BB85" s="410">
        <f>SUMIFS('LAC 102_Wkst'!$Q$7:$Q$2010,'LAC 102_Wkst'!$D$7:$D$2010,$C$7,'LAC 102_Wkst'!$I$7:$I$2010,$C$9,'LAC 102_Wkst'!$E$7:$E$2010,$C85,'LAC 102_Wkst'!$G$7:$G$2010,$D85,'LAC 102_Wkst'!$L$7:$L$2010,"13",'LAC 102_Wkst'!$N$7:$N$2010,"P1")+SUMIFS('LAC 102_Wkst'!$Q$7:$Q$2010,'LAC 102_Wkst'!$D$7:$D$2010,$C$7,'LAC 102_Wkst'!$I$7:$I$2010,$C$9,'LAC 102_Wkst'!$E$7:$E$2010,$C85,'LAC 102_Wkst'!$G$7:$G$2010,$D85,'LAC 102_Wkst'!$L$7:$L$2010,"13",'LAC 102_Wkst'!$N$7:$N$2010,"P2")+SUMIFS('LAC 102_Wkst'!$Q$7:$Q$2010,'LAC 102_Wkst'!$D$7:$D$2010,$C$7,'LAC 102_Wkst'!$I$7:$I$2010,$C$9,'LAC 102_Wkst'!$E$7:$E$2010,$C85,'LAC 102_Wkst'!$G$7:$G$2010,$D85,'LAC 102_Wkst'!$L$7:$L$2010,"13",'LAC 102_Wkst'!$N$7:$N$2010,"P3")+SUMIFS('LAC 102_Wkst'!$Q$7:$Q$2010,'LAC 102_Wkst'!$D$7:$D$2010,$C$7,'LAC 102_Wkst'!$I$7:$I$2010,$C$9,'LAC 102_Wkst'!$E$7:$E$2010,$C85,'LAC 102_Wkst'!$G$7:$G$2010,$D85,'LAC 102_Wkst'!$L$7:$L$2010,"13",'LAC 102_Wkst'!$N$7:$N$2010,"P4")</f>
        <v>0</v>
      </c>
      <c r="BC85" s="411">
        <f>SUMIFS('LAC 102_Wkst'!$AF$7:$AF$2010,'LAC 102_Wkst'!$D$7:$D$2010,$C$7,'LAC 102_Wkst'!$I$7:$I$2010,$C$9,'LAC 102_Wkst'!$E$7:$E$2010,$C85,'LAC 102_Wkst'!$G$7:$G$2010,$D85,'LAC 102_Wkst'!$L$7:$L$2010,"13",'LAC 102_Wkst'!$N$7:$N$2010,"P1")+SUMIFS('LAC 102_Wkst'!$AF$7:$AF$2010,'LAC 102_Wkst'!$D$7:$D$2010,$C$7,'LAC 102_Wkst'!$I$7:$I$2010,$C$9,'LAC 102_Wkst'!$E$7:$E$2010,$C85,'LAC 102_Wkst'!$G$7:$G$2010,$D85,'LAC 102_Wkst'!$L$7:$L$2010,"13",'LAC 102_Wkst'!$N$7:$N$2010,"P2")+SUMIFS('LAC 102_Wkst'!$AF$7:$AF$2010,'LAC 102_Wkst'!$D$7:$D$2010,$C$7,'LAC 102_Wkst'!$I$7:$I$2010,$C$9,'LAC 102_Wkst'!$E$7:$E$2010,$C85,'LAC 102_Wkst'!$G$7:$G$2010,$D85,'LAC 102_Wkst'!$L$7:$L$2010,"13",'LAC 102_Wkst'!$N$7:$N$2010,"P3")+SUMIFS('LAC 102_Wkst'!$AF$7:$AF$2010,'LAC 102_Wkst'!$D$7:$D$2010,$C$7,'LAC 102_Wkst'!$I$7:$I$2010,$C$9,'LAC 102_Wkst'!$E$7:$E$2010,$C85,'LAC 102_Wkst'!$G$7:$G$2010,$D85,'LAC 102_Wkst'!$L$7:$L$2010,"13",'LAC 102_Wkst'!$N$7:$N$2010,"P4")</f>
        <v>0</v>
      </c>
      <c r="BD85" s="410">
        <f>SUMIFS('LAC 102_Wkst'!$Q$7:$Q$2010,'LAC 102_Wkst'!$D$7:$D$2010,$C$7,'LAC 102_Wkst'!$I$7:$I$2010,$C$9,'LAC 102_Wkst'!$E$7:$E$2010,$C85,'LAC 102_Wkst'!$G$7:$G$2010,$D85,'LAC 102_Wkst'!$L$7:$L$2010,"13",'LAC 102_Wkst'!$N$7:$N$2010,"P5")</f>
        <v>0</v>
      </c>
      <c r="BE85" s="411">
        <f>SUMIFS('LAC 102_Wkst'!$AF$7:$AF$2010,'LAC 102_Wkst'!$D$7:$D$2010,$C$7,'LAC 102_Wkst'!$I$7:$I$2010,$C$9,'LAC 102_Wkst'!$E$7:$E$2010,$C85,'LAC 102_Wkst'!$G$7:$G$2010,$D85,'LAC 102_Wkst'!$L$7:$L$2010,"13",'LAC 102_Wkst'!$N$7:$N$2010,"P5")</f>
        <v>0</v>
      </c>
      <c r="BF85" s="407">
        <f t="shared" si="4"/>
        <v>0</v>
      </c>
      <c r="BG85" s="1654">
        <f>SUMIFS('LAC 102_Wkst'!$AF$7:$AF$2010,'LAC 102_Wkst'!$D$7:$D$2010,$C$7,'LAC 102_Wkst'!$I$7:$I$2010,$C$9,'LAC 102_Wkst'!$E$7:$E$2010,$C85,'LAC 102_Wkst'!$G$7:$G$2010,$D85,'LAC 102_Wkst'!$L$7:$L$2010,"14")</f>
        <v>0</v>
      </c>
    </row>
    <row r="86" spans="1:59" x14ac:dyDescent="0.2">
      <c r="A86" s="401">
        <v>64</v>
      </c>
      <c r="B86" s="1678" t="str">
        <f>IF(Schedule_B!B$83="","",Schedule_B!B$83)</f>
        <v/>
      </c>
      <c r="C86" s="1674" t="str">
        <f>IF(Schedule_B!C$83=""," ",Schedule_B!C$83)</f>
        <v xml:space="preserve"> </v>
      </c>
      <c r="D86" s="1675" t="str">
        <f>IF(Schedule_B!D$83=""," ",Schedule_B!D$83)</f>
        <v xml:space="preserve"> </v>
      </c>
      <c r="E86" s="1221">
        <f>SUMIFS('LAC 102_Wkst'!$Q$7:$Q$2010,'LAC 102_Wkst'!$D$7:$D$2010,$C$7,'LAC 102_Wkst'!$I$7:$I$2010,$C$9,'LAC 102_Wkst'!$E$7:$E$2010,$C86,'LAC 102_Wkst'!$G$7:$G$2010,$D86)</f>
        <v>0</v>
      </c>
      <c r="F86" s="408">
        <f>SUMIFS('LAC 102_Wkst'!$Q$7:$Q$2010,'LAC 102_Wkst'!$D$7:$D$2010,$C$7,'LAC 102_Wkst'!$I$7:$I$2010,$C$9,'LAC 102_Wkst'!$E$7:$E$2010,$C86,'LAC 102_Wkst'!$G$7:$G$2010,$D86,'LAC 102_Wkst'!$L$7:$L$2010,"01",'LAC 102_Wkst'!$N$7:$N$2010,"P1")+SUMIFS('LAC 102_Wkst'!$Q$7:$Q$2010,'LAC 102_Wkst'!$D$7:$D$2010,$C$7,'LAC 102_Wkst'!$I$7:$I$2010,$C$9,'LAC 102_Wkst'!$E$7:$E$2010,$C86,'LAC 102_Wkst'!$G$7:$G$2010,$D86,'LAC 102_Wkst'!$L$7:$L$2010,"01",'LAC 102_Wkst'!$N$7:$N$2010,"P2")+SUMIFS('LAC 102_Wkst'!$Q$7:$Q$2010,'LAC 102_Wkst'!$D$7:$D$2010,$C$7,'LAC 102_Wkst'!$I$7:$I$2010,$C$9,'LAC 102_Wkst'!$E$7:$E$2010,$C86,'LAC 102_Wkst'!$G$7:$G$2010,$D86,'LAC 102_Wkst'!$L$7:$L$2010,"01",'LAC 102_Wkst'!$N$7:$N$2010,"P3")+SUMIFS('LAC 102_Wkst'!$Q$7:$Q$2010,'LAC 102_Wkst'!$D$7:$D$2010,$C$7,'LAC 102_Wkst'!$I$7:$I$2010,$C$9,'LAC 102_Wkst'!$E$7:$E$2010,$C86,'LAC 102_Wkst'!$G$7:$G$2010,$D86,'LAC 102_Wkst'!$L$7:$L$2010,"02",'LAC 102_Wkst'!$N$7:$N$2010,"P1")+SUMIFS('LAC 102_Wkst'!$Q$7:$Q$2010,'LAC 102_Wkst'!$D$7:$D$2010,$C$7,'LAC 102_Wkst'!$I$7:$I$2010,$C$9,'LAC 102_Wkst'!$E$7:$E$2010,$C86,'LAC 102_Wkst'!$G$7:$G$2010,$D86,'LAC 102_Wkst'!$L$7:$L$2010,"02",'LAC 102_Wkst'!$N$7:$N$2010,"P2")+SUMIFS('LAC 102_Wkst'!$Q$7:$Q$2010,'LAC 102_Wkst'!$D$7:$D$2010,$C$7,'LAC 102_Wkst'!$I$7:$I$2010,$C$9,'LAC 102_Wkst'!$E$7:$E$2010,$C86,'LAC 102_Wkst'!$G$7:$G$2010,$D86,'LAC 102_Wkst'!$L$7:$L$2010,"02",'LAC 102_Wkst'!$N$7:$N$2010,"P3")</f>
        <v>0</v>
      </c>
      <c r="G86" s="409">
        <f>SUMIFS('LAC 102_Wkst'!$AF$7:$AF$2010,'LAC 102_Wkst'!$D$7:$D$2010,$C$7,'LAC 102_Wkst'!$I$7:$I$2010,$C$9,'LAC 102_Wkst'!$E$7:$E$2010,$C86,'LAC 102_Wkst'!$G$7:$G$2010,$D86,'LAC 102_Wkst'!$L$7:$L$2010,"01",'LAC 102_Wkst'!$N$7:$N$2010,"P1")+SUMIFS('LAC 102_Wkst'!$AF$7:$AF$2010,'LAC 102_Wkst'!$D$7:$D$2010,$C$7,'LAC 102_Wkst'!$I$7:$I$2010,$C$9,'LAC 102_Wkst'!$E$7:$E$2010,$C86,'LAC 102_Wkst'!$G$7:$G$2010,$D86,'LAC 102_Wkst'!$L$7:$L$2010,"01",'LAC 102_Wkst'!$N$7:$N$2010,"P2")+SUMIFS('LAC 102_Wkst'!$AF$7:$AF$2010,'LAC 102_Wkst'!$D$7:$D$2010,$C$7,'LAC 102_Wkst'!$I$7:$I$2010,$C$9,'LAC 102_Wkst'!$E$7:$E$2010,$C86,'LAC 102_Wkst'!$G$7:$G$2010,$D86,'LAC 102_Wkst'!$L$7:$L$2010,"01",'LAC 102_Wkst'!$N$7:$N$2010,"P3")+SUMIFS('LAC 102_Wkst'!$AF$7:$AF$2010,'LAC 102_Wkst'!$D$7:$D$2010,$C$7,'LAC 102_Wkst'!$I$7:$I$2010,$C$9,'LAC 102_Wkst'!$E$7:$E$2010,$C86,'LAC 102_Wkst'!$G$7:$G$2010,$D86,'LAC 102_Wkst'!$L$7:$L$2010,"02",'LAC 102_Wkst'!$N$7:$N$2010,"P1")+SUMIFS('LAC 102_Wkst'!$AF$7:$AF$2010,'LAC 102_Wkst'!$D$7:$D$2010,$C$7,'LAC 102_Wkst'!$I$7:$I$2010,$C$9,'LAC 102_Wkst'!$E$7:$E$2010,$C86,'LAC 102_Wkst'!$G$7:$G$2010,$D86,'LAC 102_Wkst'!$L$7:$L$2010,"02",'LAC 102_Wkst'!$N$7:$N$2010,"P2")+SUMIFS('LAC 102_Wkst'!$AF$7:$AF$2010,'LAC 102_Wkst'!$D$7:$D$2010,$C$7,'LAC 102_Wkst'!$I$7:$I$2010,$C$9,'LAC 102_Wkst'!$E$7:$E$2010,$C86,'LAC 102_Wkst'!$G$7:$G$2010,$D86,'LAC 102_Wkst'!$L$7:$L$2010,"02",'LAC 102_Wkst'!$N$7:$N$2010,"P3")</f>
        <v>0</v>
      </c>
      <c r="H86" s="410">
        <f>SUMIFS('LAC 102_Wkst'!$Q$7:$Q$2010,'LAC 102_Wkst'!$D$7:$D$2010,$C$7,'LAC 102_Wkst'!$I$7:$I$2010,$C$9,'LAC 102_Wkst'!$E$7:$E$2010,$C86,'LAC 102_Wkst'!$G$7:$G$2010,$D86,'LAC 102_Wkst'!$L$7:$L$2010,"01",'LAC 102_Wkst'!$N$7:$N$2010,"P4")+SUMIFS('LAC 102_Wkst'!$Q$7:$Q$2010,'LAC 102_Wkst'!$D$7:$D$2010,$C$7,'LAC 102_Wkst'!$I$7:$I$2010,$C$9,'LAC 102_Wkst'!$E$7:$E$2010,$C86,'LAC 102_Wkst'!$G$7:$G$2010,$D86,'LAC 102_Wkst'!$L$7:$L$2010,"02",'LAC 102_Wkst'!$N$7:$N$2010,"P4")</f>
        <v>0</v>
      </c>
      <c r="I86" s="411">
        <f>SUMIFS('LAC 102_Wkst'!$AF$7:$AF$2010,'LAC 102_Wkst'!$D$7:$D$2010,$C$7,'LAC 102_Wkst'!$I$7:$I$2010,$C$9,'LAC 102_Wkst'!$E$7:$E$2010,$C86,'LAC 102_Wkst'!$G$7:$G$2010,$D86,'LAC 102_Wkst'!$L$7:$L$2010,"01",'LAC 102_Wkst'!$N$7:$N$2010,"P4")+SUMIFS('LAC 102_Wkst'!$AF$7:$AF$2010,'LAC 102_Wkst'!$D$7:$D$2010,$C$7,'LAC 102_Wkst'!$I$7:$I$2010,$C$9,'LAC 102_Wkst'!$E$7:$E$2010,$C86,'LAC 102_Wkst'!$G$7:$G$2010,$D86,'LAC 102_Wkst'!$L$7:$L$2010,"02",'LAC 102_Wkst'!$N$7:$N$2010,"P4")</f>
        <v>0</v>
      </c>
      <c r="J86" s="410">
        <f>SUMIFS('LAC 102_Wkst'!$Q$7:$Q$2010,'LAC 102_Wkst'!$D$7:$D$2010,$C$7,'LAC 102_Wkst'!$I$7:$I$2010,$C$9,'LAC 102_Wkst'!$E$7:$E$2010,$C86,'LAC 102_Wkst'!$G$7:$G$2010,$D86,'LAC 102_Wkst'!$L$7:$L$2010,"01",'LAC 102_Wkst'!$N$7:$N$2010,"P5")+SUMIFS('LAC 102_Wkst'!$Q$7:$Q$2010,'LAC 102_Wkst'!$D$7:$D$2010,$C$7,'LAC 102_Wkst'!$I$7:$I$2010,$C$9,'LAC 102_Wkst'!$E$7:$E$2010,$C86,'LAC 102_Wkst'!$G$7:$G$2010,$D86,'LAC 102_Wkst'!$L$7:$L$2010,"02",'LAC 102_Wkst'!$N$7:$N$2010,"P5")</f>
        <v>0</v>
      </c>
      <c r="K86" s="411">
        <f>SUMIFS('LAC 102_Wkst'!$AF$7:$AF$2010,'LAC 102_Wkst'!$D$7:$D$2010,$C$7,'LAC 102_Wkst'!$I$7:$I$2010,$C$9,'LAC 102_Wkst'!$E$7:$E$2010,$C86,'LAC 102_Wkst'!$G$7:$G$2010,$D86,'LAC 102_Wkst'!$L$7:$L$2010,"01",'LAC 102_Wkst'!$N$7:$N$2010,"P5")+SUMIFS('LAC 102_Wkst'!$AF$7:$AF$2010,'LAC 102_Wkst'!$D$7:$D$2010,$C$7,'LAC 102_Wkst'!$I$7:$I$2010,$C$9,'LAC 102_Wkst'!$E$7:$E$2010,$C86,'LAC 102_Wkst'!$G$7:$G$2010,$D86,'LAC 102_Wkst'!$L$7:$L$2010,"02",'LAC 102_Wkst'!$N$7:$N$2010,"P5")</f>
        <v>0</v>
      </c>
      <c r="L86" s="410">
        <f>SUMIFS('LAC 102_Wkst'!$Q$7:$Q$2010,'LAC 102_Wkst'!$D$7:$D$2010,$C$7,'LAC 102_Wkst'!$I$7:$I$2010,$C$9,'LAC 102_Wkst'!$E$7:$E$2010,$C86,'LAC 102_Wkst'!$G$7:$G$2010,$D86,'LAC 102_Wkst'!$L$7:$L$2010,"03",'LAC 102_Wkst'!$N$7:$N$2010,"P1")+SUMIFS('LAC 102_Wkst'!$Q$7:$Q$2010,'LAC 102_Wkst'!$D$7:$D$2010,$C$7,'LAC 102_Wkst'!$I$7:$I$2010,$C$9,'LAC 102_Wkst'!$E$7:$E$2010,$C86,'LAC 102_Wkst'!$G$7:$G$2010,$D86,'LAC 102_Wkst'!$L$7:$L$2010,"03",'LAC 102_Wkst'!$N$7:$N$2010,"P2")+SUMIFS('LAC 102_Wkst'!$Q$7:$Q$2010,'LAC 102_Wkst'!$D$7:$D$2010,$C$7,'LAC 102_Wkst'!$I$7:$I$2010,$C$9,'LAC 102_Wkst'!$E$7:$E$2010,$C86,'LAC 102_Wkst'!$G$7:$G$2010,$D86,'LAC 102_Wkst'!$L$7:$L$2010,"03",'LAC 102_Wkst'!$N$7:$N$2010,"P3")+SUMIFS('LAC 102_Wkst'!$Q$7:$Q$2010,'LAC 102_Wkst'!$D$7:$D$2010,$C$7,'LAC 102_Wkst'!$I$7:$I$2010,$C$9,'LAC 102_Wkst'!$E$7:$E$2010,$C86,'LAC 102_Wkst'!$G$7:$G$2010,$D86,'LAC 102_Wkst'!$L$7:$L$2010,"04",'LAC 102_Wkst'!$N$7:$N$2010,"P1")+SUMIFS('LAC 102_Wkst'!$Q$7:$Q$2010,'LAC 102_Wkst'!$D$7:$D$2010,$C$7,'LAC 102_Wkst'!$I$7:$I$2010,$C$9,'LAC 102_Wkst'!$E$7:$E$2010,$C86,'LAC 102_Wkst'!$G$7:$G$2010,$D86,'LAC 102_Wkst'!$L$7:$L$2010,"04",'LAC 102_Wkst'!$N$7:$N$2010,"P2")+SUMIFS('LAC 102_Wkst'!$Q$7:$Q$2010,'LAC 102_Wkst'!$D$7:$D$2010,$C$7,'LAC 102_Wkst'!$I$7:$I$2010,$C$9,'LAC 102_Wkst'!$E$7:$E$2010,$C86,'LAC 102_Wkst'!$G$7:$G$2010,$D86,'LAC 102_Wkst'!$L$7:$L$2010,"04",'LAC 102_Wkst'!$N$7:$N$2010,"P3")</f>
        <v>0</v>
      </c>
      <c r="M86" s="411">
        <f>SUMIFS('LAC 102_Wkst'!$AF$7:$AF$2010,'LAC 102_Wkst'!$D$7:$D$2010,$C$7,'LAC 102_Wkst'!$I$7:$I$2010,$C$9,'LAC 102_Wkst'!$E$7:$E$2010,$C86,'LAC 102_Wkst'!$G$7:$G$2010,$D86,'LAC 102_Wkst'!$L$7:$L$2010,"03",'LAC 102_Wkst'!$N$7:$N$2010,"P1")+SUMIFS('LAC 102_Wkst'!$AF$7:$AF$2010,'LAC 102_Wkst'!$D$7:$D$2010,$C$7,'LAC 102_Wkst'!$I$7:$I$2010,$C$9,'LAC 102_Wkst'!$E$7:$E$2010,$C86,'LAC 102_Wkst'!$G$7:$G$2010,$D86,'LAC 102_Wkst'!$L$7:$L$2010,"03",'LAC 102_Wkst'!$N$7:$N$2010,"P2")+SUMIFS('LAC 102_Wkst'!$AF$7:$AF$2010,'LAC 102_Wkst'!$D$7:$D$2010,$C$7,'LAC 102_Wkst'!$I$7:$I$2010,$C$9,'LAC 102_Wkst'!$E$7:$E$2010,$C86,'LAC 102_Wkst'!$G$7:$G$2010,$D86,'LAC 102_Wkst'!$L$7:$L$2010,"03",'LAC 102_Wkst'!$N$7:$N$2010,"P3")+SUMIFS('LAC 102_Wkst'!$AF$7:$AF$2010,'LAC 102_Wkst'!$D$7:$D$2010,$C$7,'LAC 102_Wkst'!$I$7:$I$2010,$C$9,'LAC 102_Wkst'!$E$7:$E$2010,$C86,'LAC 102_Wkst'!$G$7:$G$2010,$D86,'LAC 102_Wkst'!$L$7:$L$2010,"04",'LAC 102_Wkst'!$N$7:$N$2010,"P1")+SUMIFS('LAC 102_Wkst'!$AF$7:$AF$2010,'LAC 102_Wkst'!$D$7:$D$2010,$C$7,'LAC 102_Wkst'!$I$7:$I$2010,$C$9,'LAC 102_Wkst'!$E$7:$E$2010,$C86,'LAC 102_Wkst'!$G$7:$G$2010,$D86,'LAC 102_Wkst'!$L$7:$L$2010,"04",'LAC 102_Wkst'!$N$7:$N$2010,"P2")+SUMIFS('LAC 102_Wkst'!$AF$7:$AF$2010,'LAC 102_Wkst'!$D$7:$D$2010,$C$7,'LAC 102_Wkst'!$I$7:$I$2010,$C$9,'LAC 102_Wkst'!$E$7:$E$2010,$C86,'LAC 102_Wkst'!$G$7:$G$2010,$D86,'LAC 102_Wkst'!$L$7:$L$2010,"04",'LAC 102_Wkst'!$N$7:$N$2010,"P3")</f>
        <v>0</v>
      </c>
      <c r="N86" s="410">
        <f>SUMIFS('LAC 102_Wkst'!$Q$7:$Q$2010,'LAC 102_Wkst'!$D$7:$D$2010,$C$7,'LAC 102_Wkst'!$I$7:$I$2010,$C$9,'LAC 102_Wkst'!$E$7:$E$2010,$C86,'LAC 102_Wkst'!$G$7:$G$2010,$D86,'LAC 102_Wkst'!$L$7:$L$2010,"03",'LAC 102_Wkst'!$N$7:$N$2010,"P4")+SUMIFS('LAC 102_Wkst'!$Q$7:$Q$2010,'LAC 102_Wkst'!$D$7:$D$2010,$C$7,'LAC 102_Wkst'!$I$7:$I$2010,$C$9,'LAC 102_Wkst'!$E$7:$E$2010,$C86,'LAC 102_Wkst'!$G$7:$G$2010,$D86,'LAC 102_Wkst'!$L$7:$L$2010,"04",'LAC 102_Wkst'!$N$7:$N$2010,"P4")</f>
        <v>0</v>
      </c>
      <c r="O86" s="411">
        <f>SUMIFS('LAC 102_Wkst'!$AF$7:$AF$2010,'LAC 102_Wkst'!$D$7:$D$2010,$C$7,'LAC 102_Wkst'!$I$7:$I$2010,$C$9,'LAC 102_Wkst'!$E$7:$E$2010,$C86,'LAC 102_Wkst'!$G$7:$G$2010,$D86,'LAC 102_Wkst'!$L$7:$L$2010,"03",'LAC 102_Wkst'!$N$7:$N$2010,"P4")+SUMIFS('LAC 102_Wkst'!$AF$7:$AF$2010,'LAC 102_Wkst'!$D$7:$D$2010,$C$7,'LAC 102_Wkst'!$I$7:$I$2010,$C$9,'LAC 102_Wkst'!$E$7:$E$2010,$C86,'LAC 102_Wkst'!$G$7:$G$2010,$D86,'LAC 102_Wkst'!$L$7:$L$2010,"04",'LAC 102_Wkst'!$N$7:$N$2010,"P4")</f>
        <v>0</v>
      </c>
      <c r="P86" s="410">
        <f>SUMIFS('LAC 102_Wkst'!$Q$7:$Q$2010,'LAC 102_Wkst'!$D$7:$D$2010,$C$7,'LAC 102_Wkst'!$I$7:$I$2010,$C$9,'LAC 102_Wkst'!$E$7:$E$2010,$C86,'LAC 102_Wkst'!$G$7:$G$2010,$D86,'LAC 102_Wkst'!$L$7:$L$2010,"03",'LAC 102_Wkst'!$N$7:$N$2010,"P5")+SUMIFS('LAC 102_Wkst'!$Q$7:$Q$2010,'LAC 102_Wkst'!$D$7:$D$2010,$C$7,'LAC 102_Wkst'!$I$7:$I$2010,$C$9,'LAC 102_Wkst'!$E$7:$E$2010,$C86,'LAC 102_Wkst'!$G$7:$G$2010,$D86,'LAC 102_Wkst'!$L$7:$L$2010,"04",'LAC 102_Wkst'!$N$7:$N$2010,"P5")</f>
        <v>0</v>
      </c>
      <c r="Q86" s="411">
        <f>SUMIFS('LAC 102_Wkst'!$AF$7:$AF$2010,'LAC 102_Wkst'!$D$7:$D$2010,$C$7,'LAC 102_Wkst'!$I$7:$I$2010,$C$9,'LAC 102_Wkst'!$E$7:$E$2010,$C86,'LAC 102_Wkst'!$G$7:$G$2010,$D86,'LAC 102_Wkst'!$L$7:$L$2010,"03",'LAC 102_Wkst'!$N$7:$N$2010,"P5")+SUMIFS('LAC 102_Wkst'!$AF$7:$AF$2010,'LAC 102_Wkst'!$D$7:$D$2010,$C$7,'LAC 102_Wkst'!$I$7:$I$2010,$C$9,'LAC 102_Wkst'!$E$7:$E$2010,$C86,'LAC 102_Wkst'!$G$7:$G$2010,$D86,'LAC 102_Wkst'!$L$7:$L$2010,"04",'LAC 102_Wkst'!$N$7:$N$2010,"P5")</f>
        <v>0</v>
      </c>
      <c r="R86" s="412">
        <f>SUMIFS('LAC 102_Wkst'!$Q$7:$Q$2010,'LAC 102_Wkst'!$D$7:$D$2010,$C$7,'LAC 102_Wkst'!$I$7:$I$2010,$C$9,'LAC 102_Wkst'!$E$7:$E$2010,$C86,'LAC 102_Wkst'!$G$7:$G$2010,$D86,'LAC 102_Wkst'!$L$7:$L$2010,"05",'LAC 102_Wkst'!$N$7:$N$2010,"P1")+SUMIFS('LAC 102_Wkst'!$Q$7:$Q$2010,'LAC 102_Wkst'!$D$7:$D$2010,$C$7,'LAC 102_Wkst'!$I$7:$I$2010,$C$9,'LAC 102_Wkst'!$E$7:$E$2010,$C86,'LAC 102_Wkst'!$G$7:$G$2010,$D86,'LAC 102_Wkst'!$L$7:$L$2010,"06",'LAC 102_Wkst'!$N$7:$N$2010,"P1")</f>
        <v>0</v>
      </c>
      <c r="S86" s="411">
        <f>SUMIFS('LAC 102_Wkst'!$AF$7:$AF$2010,'LAC 102_Wkst'!$D$7:$D$2010,$C$7,'LAC 102_Wkst'!$I$7:$I$2010,$C$9,'LAC 102_Wkst'!$E$7:$E$2010,$C86,'LAC 102_Wkst'!$G$7:$G$2010,$D86,'LAC 102_Wkst'!$L$7:$L$2010,"05",'LAC 102_Wkst'!$N$7:$N$2010,"P1")+SUMIFS('LAC 102_Wkst'!$AF$7:$AF$2010,'LAC 102_Wkst'!$D$7:$D$2010,$C$7,'LAC 102_Wkst'!$I$7:$I$2010,$C$9,'LAC 102_Wkst'!$E$7:$E$2010,$C86,'LAC 102_Wkst'!$G$7:$G$2010,$D86,'LAC 102_Wkst'!$L$7:$L$2010,"06",'LAC 102_Wkst'!$N$7:$N$2010,"P1")</f>
        <v>0</v>
      </c>
      <c r="T86" s="410">
        <f>SUMIFS('LAC 102_Wkst'!$Q$7:$Q$2010,'LAC 102_Wkst'!$D$7:$D$2010,$C$7,'LAC 102_Wkst'!$I$7:$I$2010,$C$9,'LAC 102_Wkst'!$E$7:$E$2010,$C86,'LAC 102_Wkst'!$G$7:$G$2010,$D86,'LAC 102_Wkst'!$L$7:$L$2010,"05",'LAC 102_Wkst'!$N$7:$N$2010,"P2")+SUMIFS('LAC 102_Wkst'!$Q$7:$Q$2010,'LAC 102_Wkst'!$D$7:$D$2010,$C$7,'LAC 102_Wkst'!$I$7:$I$2010,$C$9,'LAC 102_Wkst'!$E$7:$E$2010,$C86,'LAC 102_Wkst'!$G$7:$G$2010,$D86,'LAC 102_Wkst'!$L$7:$L$2010,"06",'LAC 102_Wkst'!$N$7:$N$2010,"P2")+SUMIFS('LAC 102_Wkst'!$Q$7:$Q$2010,'LAC 102_Wkst'!$D$7:$D$2010,$C$7,'LAC 102_Wkst'!$I$7:$I$2010,$C$9,'LAC 102_Wkst'!$E$7:$E$2010,$C86,'LAC 102_Wkst'!$G$7:$G$2010,$D86,'LAC 102_Wkst'!$L$7:$L$2010,"05",'LAC 102_Wkst'!$N$7:$N$2010,"P3")+SUMIFS('LAC 102_Wkst'!$Q$7:$Q$2010,'LAC 102_Wkst'!$D$7:$D$2010,$C$7,'LAC 102_Wkst'!$I$7:$I$2010,$C$9,'LAC 102_Wkst'!$E$7:$E$2010,$C86,'LAC 102_Wkst'!$G$7:$G$2010,$D86,'LAC 102_Wkst'!$L$7:$L$2010,"06",'LAC 102_Wkst'!$N$7:$N$2010,"P3")</f>
        <v>0</v>
      </c>
      <c r="U86" s="411">
        <f>SUMIFS('LAC 102_Wkst'!$AF$7:$AF$2010,'LAC 102_Wkst'!$D$7:$D$2010,$C$7,'LAC 102_Wkst'!$I$7:$I$2010,$C$9,'LAC 102_Wkst'!$E$7:$E$2010,$C86,'LAC 102_Wkst'!$G$7:$G$2010,$D86,'LAC 102_Wkst'!$L$7:$L$2010,"05",'LAC 102_Wkst'!$N$7:$N$2010,"P2")+SUMIFS('LAC 102_Wkst'!$AF$7:$AF$2010,'LAC 102_Wkst'!$D$7:$D$2010,$C$7,'LAC 102_Wkst'!$I$7:$I$2010,$C$9,'LAC 102_Wkst'!$E$7:$E$2010,$C86,'LAC 102_Wkst'!$G$7:$G$2010,$D86,'LAC 102_Wkst'!$L$7:$L$2010,"06",'LAC 102_Wkst'!$N$7:$N$2010,"P2")+SUMIFS('LAC 102_Wkst'!$AF$7:$AF$2010,'LAC 102_Wkst'!$D$7:$D$2010,$C$7,'LAC 102_Wkst'!$I$7:$I$2010,$C$9,'LAC 102_Wkst'!$E$7:$E$2010,$C86,'LAC 102_Wkst'!$G$7:$G$2010,$D86,'LAC 102_Wkst'!$L$7:$L$2010,"05",'LAC 102_Wkst'!$N$7:$N$2010,"P3")+SUMIFS('LAC 102_Wkst'!$AF$7:$AF$2010,'LAC 102_Wkst'!$D$7:$D$2010,$C$7,'LAC 102_Wkst'!$I$7:$I$2010,$C$9,'LAC 102_Wkst'!$E$7:$E$2010,$C86,'LAC 102_Wkst'!$G$7:$G$2010,$D86,'LAC 102_Wkst'!$L$7:$L$2010,"06",'LAC 102_Wkst'!$N$7:$N$2010,"P3")</f>
        <v>0</v>
      </c>
      <c r="V86" s="410">
        <f>SUMIFS('LAC 102_Wkst'!$Q$7:$Q$2010,'LAC 102_Wkst'!$D$7:$D$2010,$C$7,'LAC 102_Wkst'!$I$7:$I$2010,$C$9,'LAC 102_Wkst'!$E$7:$E$2010,$C86,'LAC 102_Wkst'!$G$7:$G$2010,$D86,'LAC 102_Wkst'!$L$7:$L$2010,"05",'LAC 102_Wkst'!$N$7:$N$2010,"P4")+SUMIFS('LAC 102_Wkst'!$Q$7:$Q$2010,'LAC 102_Wkst'!$D$7:$D$2010,$C$7,'LAC 102_Wkst'!$I$7:$I$2010,$C$9,'LAC 102_Wkst'!$E$7:$E$2010,$C86,'LAC 102_Wkst'!$G$7:$G$2010,$D86,'LAC 102_Wkst'!$L$7:$L$2010,"06",'LAC 102_Wkst'!$N$7:$N$2010,"P4")</f>
        <v>0</v>
      </c>
      <c r="W86" s="411">
        <f>SUMIFS('LAC 102_Wkst'!$AF$7:$AF$2010,'LAC 102_Wkst'!$D$7:$D$2010,$C$7,'LAC 102_Wkst'!$I$7:$I$2010,$C$9,'LAC 102_Wkst'!$E$7:$E$2010,$C86,'LAC 102_Wkst'!$G$7:$G$2010,$D86,'LAC 102_Wkst'!$L$7:$L$2010,"05",'LAC 102_Wkst'!$N$7:$N$2010,"P4")+SUMIFS('LAC 102_Wkst'!$AF$7:$AF$2010,'LAC 102_Wkst'!$D$7:$D$2010,$C$7,'LAC 102_Wkst'!$I$7:$I$2010,$C$9,'LAC 102_Wkst'!$E$7:$E$2010,$C86,'LAC 102_Wkst'!$G$7:$G$2010,$D86,'LAC 102_Wkst'!$L$7:$L$2010,"06",'LAC 102_Wkst'!$N$7:$N$2010,"P4")</f>
        <v>0</v>
      </c>
      <c r="X86" s="410">
        <f>SUMIFS('LAC 102_Wkst'!$Q$7:$Q$2010,'LAC 102_Wkst'!$D$7:$D$2010,$C$7,'LAC 102_Wkst'!$I$7:$I$2010,$C$9,'LAC 102_Wkst'!$E$7:$E$2010,$C86,'LAC 102_Wkst'!$G$7:$G$2010,$D86,'LAC 102_Wkst'!$L$7:$L$2010,"05",'LAC 102_Wkst'!$N$7:$N$2010,"P5")+SUMIFS('LAC 102_Wkst'!$Q$7:$Q$2010,'LAC 102_Wkst'!$D$7:$D$2010,$C$7,'LAC 102_Wkst'!$I$7:$I$2010,$C$9,'LAC 102_Wkst'!$E$7:$E$2010,$C86,'LAC 102_Wkst'!$G$7:$G$2010,$D86,'LAC 102_Wkst'!$L$7:$L$2010,"06",'LAC 102_Wkst'!$N$7:$N$2010,"P5")</f>
        <v>0</v>
      </c>
      <c r="Y86" s="411">
        <f>SUMIFS('LAC 102_Wkst'!$AF$7:$AF$2010,'LAC 102_Wkst'!$D$7:$D$2010,$C$7,'LAC 102_Wkst'!$I$7:$I$2010,$C$9,'LAC 102_Wkst'!$E$7:$E$2010,$C86,'LAC 102_Wkst'!$G$7:$G$2010,$D86,'LAC 102_Wkst'!$L$7:$L$2010,"05",'LAC 102_Wkst'!$N$7:$N$2010,"P5")+SUMIFS('LAC 102_Wkst'!$AF$7:$AF$2010,'LAC 102_Wkst'!$D$7:$D$2010,$C$7,'LAC 102_Wkst'!$I$7:$I$2010,$C$9,'LAC 102_Wkst'!$E$7:$E$2010,$C86,'LAC 102_Wkst'!$G$7:$G$2010,$D86,'LAC 102_Wkst'!$L$7:$L$2010,"06",'LAC 102_Wkst'!$N$7:$N$2010,"P5")</f>
        <v>0</v>
      </c>
      <c r="Z86" s="410">
        <f>SUMIFS('LAC 102_Wkst'!$Q$7:$Q$2010,'LAC 102_Wkst'!$D$7:$D$2010,$C$7,'LAC 102_Wkst'!$I$7:$I$2010,$C$9,'LAC 102_Wkst'!$E$7:$E$2010,$C86,'LAC 102_Wkst'!$G$7:$G$2010,$D86,'LAC 102_Wkst'!$L$7:$L$2010,"07",'LAC 102_Wkst'!$N$7:$N$2010,"P1")+SUMIFS('LAC 102_Wkst'!$Q$7:$Q$2010,'LAC 102_Wkst'!$D$7:$D$2010,$C$7,'LAC 102_Wkst'!$I$7:$I$2010,$C$9,'LAC 102_Wkst'!$E$7:$E$2010,$C86,'LAC 102_Wkst'!$G$7:$G$2010,$D86,'LAC 102_Wkst'!$L$7:$L$2010,"07",'LAC 102_Wkst'!$N$7:$N$2010,"P2")+SUMIFS('LAC 102_Wkst'!$Q$7:$Q$2010,'LAC 102_Wkst'!$D$7:$D$2010,$C$7,'LAC 102_Wkst'!$I$7:$I$2010,$C$9,'LAC 102_Wkst'!$E$7:$E$2010,$C86,'LAC 102_Wkst'!$G$7:$G$2010,$D86,'LAC 102_Wkst'!$L$7:$L$2010,"07",'LAC 102_Wkst'!$N$7:$N$2010,"P3")</f>
        <v>0</v>
      </c>
      <c r="AA86" s="411">
        <f>SUMIFS('LAC 102_Wkst'!$AF$7:$AF$2010,'LAC 102_Wkst'!$D$7:$D$2010,$C$7,'LAC 102_Wkst'!$I$7:$I$2010,$C$9,'LAC 102_Wkst'!$E$7:$E$2010,$C86,'LAC 102_Wkst'!$G$7:$G$2010,$D86,'LAC 102_Wkst'!$L$7:$L$2010,"07",'LAC 102_Wkst'!$N$7:$N$2010,"P1")+SUMIFS('LAC 102_Wkst'!$AF$7:$AF$2010,'LAC 102_Wkst'!$D$7:$D$2010,$C$7,'LAC 102_Wkst'!$I$7:$I$2010,$C$9,'LAC 102_Wkst'!$E$7:$E$2010,$C86,'LAC 102_Wkst'!$G$7:$G$2010,$D86,'LAC 102_Wkst'!$L$7:$L$2010,"07",'LAC 102_Wkst'!$N$7:$N$2010,"P2")+SUMIFS('LAC 102_Wkst'!$AF$7:$AF$2010,'LAC 102_Wkst'!$D$7:$D$2010,$C$7,'LAC 102_Wkst'!$I$7:$I$2010,$C$9,'LAC 102_Wkst'!$E$7:$E$2010,$C86,'LAC 102_Wkst'!$G$7:$G$2010,$D86,'LAC 102_Wkst'!$L$7:$L$2010,"07",'LAC 102_Wkst'!$N$7:$N$2010,"P3")</f>
        <v>0</v>
      </c>
      <c r="AB86" s="410">
        <f>SUMIFS('LAC 102_Wkst'!$Q$7:$Q$2010,'LAC 102_Wkst'!$D$7:$D$2010,$C$7,'LAC 102_Wkst'!$I$7:$I$2010,$C$9,'LAC 102_Wkst'!$E$7:$E$2010,$C86,'LAC 102_Wkst'!$G$7:$G$2010,$D86,'LAC 102_Wkst'!$L$7:$L$2010,"07",'LAC 102_Wkst'!$N$7:$N$2010,"P4")</f>
        <v>0</v>
      </c>
      <c r="AC86" s="411">
        <f>SUMIFS('LAC 102_Wkst'!$AF$7:$AF$2010,'LAC 102_Wkst'!$D$7:$D$2010,$C$7,'LAC 102_Wkst'!$I$7:$I$2010,$C$9,'LAC 102_Wkst'!$E$7:$E$2010,$C86,'LAC 102_Wkst'!$G$7:$G$2010,$D86,'LAC 102_Wkst'!$L$7:$L$2010,"07",'LAC 102_Wkst'!$N$7:$N$2010,"P4")</f>
        <v>0</v>
      </c>
      <c r="AD86" s="410">
        <f>SUMIFS('LAC 102_Wkst'!$Q$7:$Q$2010,'LAC 102_Wkst'!$D$7:$D$2010,$C$7,'LAC 102_Wkst'!$I$7:$I$2010,$C$9,'LAC 102_Wkst'!$E$7:$E$2010,$C86,'LAC 102_Wkst'!$G$7:$G$2010,$D86,'LAC 102_Wkst'!$L$7:$L$2010,"07",'LAC 102_Wkst'!$N$7:$N$2010,"P5")</f>
        <v>0</v>
      </c>
      <c r="AE86" s="411">
        <f>SUMIFS('LAC 102_Wkst'!$AF$7:$AF$2010,'LAC 102_Wkst'!$D$7:$D$2010,$C$7,'LAC 102_Wkst'!$I$7:$I$2010,$C$9,'LAC 102_Wkst'!$E$7:$E$2010,$C86,'LAC 102_Wkst'!$G$7:$G$2010,$D86,'LAC 102_Wkst'!$L$7:$L$2010,"07",'LAC 102_Wkst'!$N$7:$N$2010,"P5")</f>
        <v>0</v>
      </c>
      <c r="AF86" s="410">
        <f>SUMIFS('LAC 102_Wkst'!$Q$7:$Q$2010,'LAC 102_Wkst'!$D$7:$D$2010,$C$7,'LAC 102_Wkst'!$I$7:$I$2010,$C$9,'LAC 102_Wkst'!$E$7:$E$2010,$C86,'LAC 102_Wkst'!$G$7:$G$2010,$D86,'LAC 102_Wkst'!$L$7:$L$2010,"08",'LAC 102_Wkst'!$N$7:$N$2010,"P1")+SUMIFS('LAC 102_Wkst'!$Q$7:$Q$2010,'LAC 102_Wkst'!$D$7:$D$2010,$C$7,'LAC 102_Wkst'!$I$7:$I$2010,$C$9,'LAC 102_Wkst'!$E$7:$E$2010,$C86,'LAC 102_Wkst'!$G$7:$G$2010,$D86,'LAC 102_Wkst'!$L$7:$L$2010,"08",'LAC 102_Wkst'!$N$7:$N$2010,"P2")+SUMIFS('LAC 102_Wkst'!$Q$7:$Q$2010,'LAC 102_Wkst'!$D$7:$D$2010,$C$7,'LAC 102_Wkst'!$I$7:$I$2010,$C$9,'LAC 102_Wkst'!$E$7:$E$2010,$C86,'LAC 102_Wkst'!$G$7:$G$2010,$D86,'LAC 102_Wkst'!$L$7:$L$2010,"08",'LAC 102_Wkst'!$N$7:$N$2010,"P3")</f>
        <v>0</v>
      </c>
      <c r="AG86" s="411">
        <f>SUMIFS('LAC 102_Wkst'!$AF$7:$AF$2010,'LAC 102_Wkst'!$D$7:$D$2010,$C$7,'LAC 102_Wkst'!$I$7:$I$2010,$C$9,'LAC 102_Wkst'!$E$7:$E$2010,$C86,'LAC 102_Wkst'!$G$7:$G$2010,$D86,'LAC 102_Wkst'!$L$7:$L$2010,"08",'LAC 102_Wkst'!$N$7:$N$2010,"P1")+SUMIFS('LAC 102_Wkst'!$AF$7:$AF$2010,'LAC 102_Wkst'!$D$7:$D$2010,$C$7,'LAC 102_Wkst'!$I$7:$I$2010,$C$9,'LAC 102_Wkst'!$E$7:$E$2010,$C86,'LAC 102_Wkst'!$G$7:$G$2010,$D86,'LAC 102_Wkst'!$L$7:$L$2010,"08",'LAC 102_Wkst'!$N$7:$N$2010,"P2")+SUMIFS('LAC 102_Wkst'!$AF$7:$AF$2010,'LAC 102_Wkst'!$D$7:$D$2010,$C$7,'LAC 102_Wkst'!$I$7:$I$2010,$C$9,'LAC 102_Wkst'!$E$7:$E$2010,$C86,'LAC 102_Wkst'!$G$7:$G$2010,$D86,'LAC 102_Wkst'!$L$7:$L$2010,"08",'LAC 102_Wkst'!$N$7:$N$2010,"P3")</f>
        <v>0</v>
      </c>
      <c r="AH86" s="410">
        <f>SUMIFS('LAC 102_Wkst'!$Q$7:$Q$2010,'LAC 102_Wkst'!$D$7:$D$2010,$C$7,'LAC 102_Wkst'!$I$7:$I$2010,$C$9,'LAC 102_Wkst'!$E$7:$E$2010,$C86,'LAC 102_Wkst'!$G$7:$G$2010,$D86,'LAC 102_Wkst'!$L$7:$L$2010,"08",'LAC 102_Wkst'!$N$7:$N$2010,"P4")</f>
        <v>0</v>
      </c>
      <c r="AI86" s="411">
        <f>SUMIFS('LAC 102_Wkst'!$AF$7:$AF$2010,'LAC 102_Wkst'!$D$7:$D$2010,$C$7,'LAC 102_Wkst'!$I$7:$I$2010,$C$9,'LAC 102_Wkst'!$E$7:$E$2010,$C86,'LAC 102_Wkst'!$G$7:$G$2010,$D86,'LAC 102_Wkst'!$L$7:$L$2010,"08",'LAC 102_Wkst'!$N$7:$N$2010,"P4")</f>
        <v>0</v>
      </c>
      <c r="AJ86" s="410">
        <f>SUMIFS('LAC 102_Wkst'!$Q$7:$Q$2010,'LAC 102_Wkst'!$D$7:$D$2010,$C$7,'LAC 102_Wkst'!$I$7:$I$2010,$C$9,'LAC 102_Wkst'!$E$7:$E$2010,$C86,'LAC 102_Wkst'!$G$7:$G$2010,$D86,'LAC 102_Wkst'!$L$7:$L$2010,"08",'LAC 102_Wkst'!$N$7:$N$2010,"P5")</f>
        <v>0</v>
      </c>
      <c r="AK86" s="411">
        <f>SUMIFS('LAC 102_Wkst'!$AF$7:$AF$2010,'LAC 102_Wkst'!$D$7:$D$2010,$C$7,'LAC 102_Wkst'!$I$7:$I$2010,$C$9,'LAC 102_Wkst'!$E$7:$E$2010,$C86,'LAC 102_Wkst'!$G$7:$G$2010,$D86,'LAC 102_Wkst'!$L$7:$L$2010,"08",'LAC 102_Wkst'!$N$7:$N$2010,"P5")</f>
        <v>0</v>
      </c>
      <c r="AL86" s="410">
        <f>SUMIFS('LAC 102_Wkst'!$Q$7:$Q$2010,'LAC 102_Wkst'!$D$7:$D$2010,$C$7,'LAC 102_Wkst'!$I$7:$I$2010,$C$9,'LAC 102_Wkst'!$E$7:$E$2010,$C86,'LAC 102_Wkst'!$G$7:$G$2010,$D86,'LAC 102_Wkst'!$L$7:$L$2010,"09",'LAC 102_Wkst'!$N$7:$N$2010,"P1")+SUMIFS('LAC 102_Wkst'!$Q$7:$Q$2010,'LAC 102_Wkst'!$D$7:$D$2010,$C$7,'LAC 102_Wkst'!$I$7:$I$2010,$C$9,'LAC 102_Wkst'!$E$7:$E$2010,$C86,'LAC 102_Wkst'!$G$7:$G$2010,$D86,'LAC 102_Wkst'!$L$7:$L$2010,"09",'LAC 102_Wkst'!$N$7:$N$2010,"P2")+SUMIFS('LAC 102_Wkst'!$Q$7:$Q$2010,'LAC 102_Wkst'!$D$7:$D$2010,$C$7,'LAC 102_Wkst'!$I$7:$I$2010,$C$9,'LAC 102_Wkst'!$E$7:$E$2010,$C86,'LAC 102_Wkst'!$G$7:$G$2010,$D86,'LAC 102_Wkst'!$L$7:$L$2010,"09",'LAC 102_Wkst'!$N$7:$N$2010,"P3")+SUMIFS('LAC 102_Wkst'!$Q$7:$Q$2010,'LAC 102_Wkst'!$D$7:$D$2010,$C$7,'LAC 102_Wkst'!$I$7:$I$2010,$C$9,'LAC 102_Wkst'!$E$7:$E$2010,$C86,'LAC 102_Wkst'!$G$7:$G$2010,$D86,'LAC 102_Wkst'!$L$7:$L$2010,"09",'LAC 102_Wkst'!$N$7:$N$2010,"P4")</f>
        <v>0</v>
      </c>
      <c r="AM86" s="411">
        <f>SUMIFS('LAC 102_Wkst'!$AF$7:$AF$2010,'LAC 102_Wkst'!$D$7:$D$2010,$C$7,'LAC 102_Wkst'!$I$7:$I$2010,$C$9,'LAC 102_Wkst'!$E$7:$E$2010,$C86,'LAC 102_Wkst'!$G$7:$G$2010,$D86,'LAC 102_Wkst'!$L$7:$L$2010,"09",'LAC 102_Wkst'!$N$7:$N$2010,"P1")+SUMIFS('LAC 102_Wkst'!$AF$7:$AF$2010,'LAC 102_Wkst'!$D$7:$D$2010,$C$7,'LAC 102_Wkst'!$I$7:$I$2010,$C$9,'LAC 102_Wkst'!$E$7:$E$2010,$C86,'LAC 102_Wkst'!$G$7:$G$2010,$D86,'LAC 102_Wkst'!$L$7:$L$2010,"09",'LAC 102_Wkst'!$N$7:$N$2010,"P2")+SUMIFS('LAC 102_Wkst'!$AF$7:$AF$2010,'LAC 102_Wkst'!$D$7:$D$2010,$C$7,'LAC 102_Wkst'!$I$7:$I$2010,$C$9,'LAC 102_Wkst'!$E$7:$E$2010,$C86,'LAC 102_Wkst'!$G$7:$G$2010,$D86,'LAC 102_Wkst'!$L$7:$L$2010,"09",'LAC 102_Wkst'!$N$7:$N$2010,"P3")+SUMIFS('LAC 102_Wkst'!$AF$7:$AF$2010,'LAC 102_Wkst'!$D$7:$D$2010,$C$7,'LAC 102_Wkst'!$I$7:$I$2010,$C$9,'LAC 102_Wkst'!$E$7:$E$2010,$C86,'LAC 102_Wkst'!$G$7:$G$2010,$D86,'LAC 102_Wkst'!$L$7:$L$2010,"09",'LAC 102_Wkst'!$N$7:$N$2010,"P4")</f>
        <v>0</v>
      </c>
      <c r="AN86" s="410">
        <f>SUMIFS('LAC 102_Wkst'!$Q$7:$Q$2010,'LAC 102_Wkst'!$D$7:$D$2010,$C$7,'LAC 102_Wkst'!$I$7:$I$2010,$C$9,'LAC 102_Wkst'!$E$7:$E$2010,$C86,'LAC 102_Wkst'!$G$7:$G$2010,$D86,'LAC 102_Wkst'!$L$7:$L$2010,"09",'LAC 102_Wkst'!$N$7:$N$2010,"P5")</f>
        <v>0</v>
      </c>
      <c r="AO86" s="411">
        <f>SUMIFS('LAC 102_Wkst'!$AF$7:$AF$2010,'LAC 102_Wkst'!$D$7:$D$2010,$C$7,'LAC 102_Wkst'!$I$7:$I$2010,$C$9,'LAC 102_Wkst'!$E$7:$E$2010,$C86,'LAC 102_Wkst'!$G$7:$G$2010,$D86,'LAC 102_Wkst'!$L$7:$L$2010,"09",'LAC 102_Wkst'!$N$7:$N$2010,"P5")</f>
        <v>0</v>
      </c>
      <c r="AP86" s="410">
        <f>SUMIFS('LAC 102_Wkst'!$Q$7:$Q$2010,'LAC 102_Wkst'!$D$7:$D$2010,$C$7,'LAC 102_Wkst'!$I$7:$I$2010,$C$9,'LAC 102_Wkst'!$E$7:$E$2010,$C86,'LAC 102_Wkst'!$G$7:$G$2010,$D86,'LAC 102_Wkst'!$L$7:$L$2010,"10",'LAC 102_Wkst'!$N$7:$N$2010,"P1")+SUMIFS('LAC 102_Wkst'!$Q$7:$Q$2010,'LAC 102_Wkst'!$D$7:$D$2010,$C$7,'LAC 102_Wkst'!$I$7:$I$2010,$C$9,'LAC 102_Wkst'!$E$7:$E$2010,$C86,'LAC 102_Wkst'!$G$7:$G$2010,$D86,'LAC 102_Wkst'!$L$7:$L$2010,"10",'LAC 102_Wkst'!$N$7:$N$2010,"P2")+SUMIFS('LAC 102_Wkst'!$Q$7:$Q$2010,'LAC 102_Wkst'!$D$7:$D$2010,$C$7,'LAC 102_Wkst'!$I$7:$I$2010,$C$9,'LAC 102_Wkst'!$E$7:$E$2010,$C86,'LAC 102_Wkst'!$G$7:$G$2010,$D86,'LAC 102_Wkst'!$L$7:$L$2010,"10",'LAC 102_Wkst'!$N$7:$N$2010,"P3")+SUMIFS('LAC 102_Wkst'!$Q$7:$Q$2010,'LAC 102_Wkst'!$D$7:$D$2010,$C$7,'LAC 102_Wkst'!$I$7:$I$2010,$C$9,'LAC 102_Wkst'!$E$7:$E$2010,$C86,'LAC 102_Wkst'!$G$7:$G$2010,$D86,'LAC 102_Wkst'!$L$7:$L$2010,"10",'LAC 102_Wkst'!$N$7:$N$2010,"P4")</f>
        <v>0</v>
      </c>
      <c r="AQ86" s="411">
        <f>SUMIFS('LAC 102_Wkst'!$AF$7:$AF$2010,'LAC 102_Wkst'!$D$7:$D$2010,$C$7,'LAC 102_Wkst'!$I$7:$I$2010,$C$9,'LAC 102_Wkst'!$E$7:$E$2010,$C86,'LAC 102_Wkst'!$G$7:$G$2010,$D86,'LAC 102_Wkst'!$L$7:$L$2010,"10",'LAC 102_Wkst'!$N$7:$N$2010,"P1")+SUMIFS('LAC 102_Wkst'!$AF$7:$AF$2010,'LAC 102_Wkst'!$D$7:$D$2010,$C$7,'LAC 102_Wkst'!$I$7:$I$2010,$C$9,'LAC 102_Wkst'!$E$7:$E$2010,$C86,'LAC 102_Wkst'!$G$7:$G$2010,$D86,'LAC 102_Wkst'!$L$7:$L$2010,"10",'LAC 102_Wkst'!$N$7:$N$2010,"P2")+SUMIFS('LAC 102_Wkst'!$AF$7:$AF$2010,'LAC 102_Wkst'!$D$7:$D$2010,$C$7,'LAC 102_Wkst'!$I$7:$I$2010,$C$9,'LAC 102_Wkst'!$E$7:$E$2010,$C86,'LAC 102_Wkst'!$G$7:$G$2010,$D86,'LAC 102_Wkst'!$L$7:$L$2010,"10",'LAC 102_Wkst'!$N$7:$N$2010,"P3")+SUMIFS('LAC 102_Wkst'!$AF$7:$AF$2010,'LAC 102_Wkst'!$D$7:$D$2010,$C$7,'LAC 102_Wkst'!$I$7:$I$2010,$C$9,'LAC 102_Wkst'!$E$7:$E$2010,$C86,'LAC 102_Wkst'!$G$7:$G$2010,$D86,'LAC 102_Wkst'!$L$7:$L$2010,"10",'LAC 102_Wkst'!$N$7:$N$2010,"P4")</f>
        <v>0</v>
      </c>
      <c r="AR86" s="410">
        <f>SUMIFS('LAC 102_Wkst'!$Q$7:$Q$2010,'LAC 102_Wkst'!$D$7:$D$2010,$C$7,'LAC 102_Wkst'!$I$7:$I$2010,$C$9,'LAC 102_Wkst'!$E$7:$E$2010,$C86,'LAC 102_Wkst'!$G$7:$G$2010,$D86,'LAC 102_Wkst'!$L$7:$L$2010,"10",'LAC 102_Wkst'!$N$7:$N$2010,"P5")</f>
        <v>0</v>
      </c>
      <c r="AS86" s="411">
        <f>SUMIFS('LAC 102_Wkst'!$AF$7:$AF$2010,'LAC 102_Wkst'!$D$7:$D$2010,$C$7,'LAC 102_Wkst'!$I$7:$I$2010,$C$9,'LAC 102_Wkst'!$E$7:$E$2010,$C86,'LAC 102_Wkst'!$G$7:$G$2010,$D86,'LAC 102_Wkst'!$L$7:$L$2010,"10",'LAC 102_Wkst'!$N$7:$N$2010,"P5")</f>
        <v>0</v>
      </c>
      <c r="AT86" s="410">
        <f>SUMIFS('LAC 102_Wkst'!$Q$7:$Q$2010,'LAC 102_Wkst'!$D$7:$D$2010,$C$7,'LAC 102_Wkst'!$I$7:$I$2010,$C$9,'LAC 102_Wkst'!$E$7:$E$2010,$C86,'LAC 102_Wkst'!$G$7:$G$2010,$D86,'LAC 102_Wkst'!$L$7:$L$2010,"11",'LAC 102_Wkst'!$N$7:$N$2010,"P1")+SUMIFS('LAC 102_Wkst'!$Q$7:$Q$2010,'LAC 102_Wkst'!$D$7:$D$2010,$C$7,'LAC 102_Wkst'!$I$7:$I$2010,$C$9,'LAC 102_Wkst'!$E$7:$E$2010,$C86,'LAC 102_Wkst'!$G$7:$G$2010,$D86,'LAC 102_Wkst'!$L$7:$L$2010,"12",'LAC 102_Wkst'!$N$7:$N$2010,"P1")</f>
        <v>0</v>
      </c>
      <c r="AU86" s="411">
        <f>SUMIFS('LAC 102_Wkst'!$Q$7:$Q$2010,'LAC 102_Wkst'!$D$7:$D$2010,$C$7,'LAC 102_Wkst'!$I$7:$I$2010,$C$9,'LAC 102_Wkst'!$E$7:$E$2010,$C86,'LAC 102_Wkst'!$G$7:$G$2010,$D86,'LAC 102_Wkst'!$L$7:$L$2010,"13",'LAC 102_Wkst'!$N$7:$N$2010,"P5")</f>
        <v>0</v>
      </c>
      <c r="AV86" s="410">
        <f>SUMIFS('LAC 102_Wkst'!$Q$7:$Q$2010,'LAC 102_Wkst'!$D$7:$D$2010,$C$7,'LAC 102_Wkst'!$I$7:$I$2010,$C$9,'LAC 102_Wkst'!$E$7:$E$2010,$C86,'LAC 102_Wkst'!$G$7:$G$2010,$D86,'LAC 102_Wkst'!$L$7:$L$2010,"11",'LAC 102_Wkst'!$N$7:$N$2010,"P2")+SUMIFS('LAC 102_Wkst'!$Q$7:$Q$2010,'LAC 102_Wkst'!$D$7:$D$2010,$C$7,'LAC 102_Wkst'!$I$7:$I$2010,$C$9,'LAC 102_Wkst'!$E$7:$E$2010,$C86,'LAC 102_Wkst'!$G$7:$G$2010,$D86,'LAC 102_Wkst'!$L$7:$L$2010,"12",'LAC 102_Wkst'!$N$7:$N$2010,"P2")+SUMIFS('LAC 102_Wkst'!$Q$7:$Q$2010,'LAC 102_Wkst'!$D$7:$D$2010,$C$7,'LAC 102_Wkst'!$I$7:$I$2010,$C$9,'LAC 102_Wkst'!$E$7:$E$2010,$C86,'LAC 102_Wkst'!$G$7:$G$2010,$D86,'LAC 102_Wkst'!$L$7:$L$2010,"11",'LAC 102_Wkst'!$N$7:$N$2010,"P3")+SUMIFS('LAC 102_Wkst'!$Q$7:$Q$2010,'LAC 102_Wkst'!$D$7:$D$2010,$C$7,'LAC 102_Wkst'!$I$7:$I$2010,$C$9,'LAC 102_Wkst'!$E$7:$E$2010,$C86,'LAC 102_Wkst'!$G$7:$G$2010,$D86,'LAC 102_Wkst'!$L$7:$L$2010,"12",'LAC 102_Wkst'!$N$7:$N$2010,"P3")</f>
        <v>0</v>
      </c>
      <c r="AW86" s="411">
        <f>SUMIFS('LAC 102_Wkst'!$AF$7:$AF$2010,'LAC 102_Wkst'!$D$7:$D$2010,$C$7,'LAC 102_Wkst'!$I$7:$I$2010,$C$9,'LAC 102_Wkst'!$E$7:$E$2010,$C86,'LAC 102_Wkst'!$G$7:$G$2010,$D86,'LAC 102_Wkst'!$L$7:$L$2010,"11",'LAC 102_Wkst'!$N$7:$N$2010,"P2")+SUMIFS('LAC 102_Wkst'!$AF$7:$AF$2010,'LAC 102_Wkst'!$D$7:$D$2010,$C$7,'LAC 102_Wkst'!$I$7:$I$2010,$C$9,'LAC 102_Wkst'!$E$7:$E$2010,$C86,'LAC 102_Wkst'!$G$7:$G$2010,$D86,'LAC 102_Wkst'!$L$7:$L$2010,"12",'LAC 102_Wkst'!$N$7:$N$2010,"P2")+SUMIFS('LAC 102_Wkst'!$AF$7:$AF$2010,'LAC 102_Wkst'!$D$7:$D$2010,$C$7,'LAC 102_Wkst'!$I$7:$I$2010,$C$9,'LAC 102_Wkst'!$E$7:$E$2010,$C86,'LAC 102_Wkst'!$G$7:$G$2010,$D86,'LAC 102_Wkst'!$L$7:$L$2010,"11",'LAC 102_Wkst'!$N$7:$N$2010,"P3")+SUMIFS('LAC 102_Wkst'!$AF$7:$AF$2010,'LAC 102_Wkst'!$D$7:$D$2010,$C$7,'LAC 102_Wkst'!$I$7:$I$2010,$C$9,'LAC 102_Wkst'!$E$7:$E$2010,$C86,'LAC 102_Wkst'!$G$7:$G$2010,$D86,'LAC 102_Wkst'!$L$7:$L$2010,"12",'LAC 102_Wkst'!$N$7:$N$2010,"P3")</f>
        <v>0</v>
      </c>
      <c r="AX86" s="410">
        <f>SUMIFS('LAC 102_Wkst'!$Q$7:$Q$2010,'LAC 102_Wkst'!$D$7:$D$2010,$C$7,'LAC 102_Wkst'!$I$7:$I$2010,$C$9,'LAC 102_Wkst'!$E$7:$E$2010,$C86,'LAC 102_Wkst'!$G$7:$G$2010,$D86,'LAC 102_Wkst'!$L$7:$L$2010,"11",'LAC 102_Wkst'!$N$7:$N$2010,"P4")+SUMIFS('LAC 102_Wkst'!$Q$7:$Q$2010,'LAC 102_Wkst'!$D$7:$D$2010,$C$7,'LAC 102_Wkst'!$I$7:$I$2010,$C$9,'LAC 102_Wkst'!$E$7:$E$2010,$C86,'LAC 102_Wkst'!$G$7:$G$2010,$D86,'LAC 102_Wkst'!$L$7:$L$2010,"12",'LAC 102_Wkst'!$N$7:$N$2010,"P4")</f>
        <v>0</v>
      </c>
      <c r="AY86" s="411">
        <f>SUMIFS('LAC 102_Wkst'!$AF$7:$AF$2010,'LAC 102_Wkst'!$D$7:$D$2010,$C$7,'LAC 102_Wkst'!$I$7:$I$2010,$C$9,'LAC 102_Wkst'!$E$7:$E$2010,$C86,'LAC 102_Wkst'!$G$7:$G$2010,$D86,'LAC 102_Wkst'!$L$7:$L$2010,"11",'LAC 102_Wkst'!$N$7:$N$2010,"P4")+SUMIFS('LAC 102_Wkst'!$AF$7:$AF$2010,'LAC 102_Wkst'!$D$7:$D$2010,$C$7,'LAC 102_Wkst'!$I$7:$I$2010,$C$9,'LAC 102_Wkst'!$E$7:$E$2010,$C86,'LAC 102_Wkst'!$G$7:$G$2010,$D86,'LAC 102_Wkst'!$L$7:$L$2010,"12",'LAC 102_Wkst'!$N$7:$N$2010,"P4")</f>
        <v>0</v>
      </c>
      <c r="AZ86" s="410">
        <f>SUMIFS('LAC 102_Wkst'!$Q$7:$Q$2010,'LAC 102_Wkst'!$D$7:$D$2010,$C$7,'LAC 102_Wkst'!$I$7:$I$2010,$C$9,'LAC 102_Wkst'!$E$7:$E$2010,$C86,'LAC 102_Wkst'!$G$7:$G$2010,$D86,'LAC 102_Wkst'!$L$7:$L$2010,"11",'LAC 102_Wkst'!$N$7:$N$2010,"P5")+SUMIFS('LAC 102_Wkst'!$Q$7:$Q$2010,'LAC 102_Wkst'!$D$7:$D$2010,$C$7,'LAC 102_Wkst'!$I$7:$I$2010,$C$9,'LAC 102_Wkst'!$E$7:$E$2010,$C86,'LAC 102_Wkst'!$G$7:$G$2010,$D86,'LAC 102_Wkst'!$L$7:$L$2010,"12",'LAC 102_Wkst'!$N$7:$N$2010,"P5")</f>
        <v>0</v>
      </c>
      <c r="BA86" s="411">
        <f>SUMIFS('LAC 102_Wkst'!$AF$7:$AF$2010,'LAC 102_Wkst'!$D$7:$D$2010,$C$7,'LAC 102_Wkst'!$I$7:$I$2010,$C$9,'LAC 102_Wkst'!$E$7:$E$2010,$C86,'LAC 102_Wkst'!$G$7:$G$2010,$D86,'LAC 102_Wkst'!$L$7:$L$2010,"11",'LAC 102_Wkst'!$N$7:$N$2010,"P5")+SUMIFS('LAC 102_Wkst'!$AF$7:$AF$2010,'LAC 102_Wkst'!$D$7:$D$2010,$C$7,'LAC 102_Wkst'!$I$7:$I$2010,$C$9,'LAC 102_Wkst'!$E$7:$E$2010,$C86,'LAC 102_Wkst'!$G$7:$G$2010,$D86,'LAC 102_Wkst'!$L$7:$L$2010,"12",'LAC 102_Wkst'!$N$7:$N$2010,"P5")</f>
        <v>0</v>
      </c>
      <c r="BB86" s="410">
        <f>SUMIFS('LAC 102_Wkst'!$Q$7:$Q$2010,'LAC 102_Wkst'!$D$7:$D$2010,$C$7,'LAC 102_Wkst'!$I$7:$I$2010,$C$9,'LAC 102_Wkst'!$E$7:$E$2010,$C86,'LAC 102_Wkst'!$G$7:$G$2010,$D86,'LAC 102_Wkst'!$L$7:$L$2010,"13",'LAC 102_Wkst'!$N$7:$N$2010,"P1")+SUMIFS('LAC 102_Wkst'!$Q$7:$Q$2010,'LAC 102_Wkst'!$D$7:$D$2010,$C$7,'LAC 102_Wkst'!$I$7:$I$2010,$C$9,'LAC 102_Wkst'!$E$7:$E$2010,$C86,'LAC 102_Wkst'!$G$7:$G$2010,$D86,'LAC 102_Wkst'!$L$7:$L$2010,"13",'LAC 102_Wkst'!$N$7:$N$2010,"P2")+SUMIFS('LAC 102_Wkst'!$Q$7:$Q$2010,'LAC 102_Wkst'!$D$7:$D$2010,$C$7,'LAC 102_Wkst'!$I$7:$I$2010,$C$9,'LAC 102_Wkst'!$E$7:$E$2010,$C86,'LAC 102_Wkst'!$G$7:$G$2010,$D86,'LAC 102_Wkst'!$L$7:$L$2010,"13",'LAC 102_Wkst'!$N$7:$N$2010,"P3")+SUMIFS('LAC 102_Wkst'!$Q$7:$Q$2010,'LAC 102_Wkst'!$D$7:$D$2010,$C$7,'LAC 102_Wkst'!$I$7:$I$2010,$C$9,'LAC 102_Wkst'!$E$7:$E$2010,$C86,'LAC 102_Wkst'!$G$7:$G$2010,$D86,'LAC 102_Wkst'!$L$7:$L$2010,"13",'LAC 102_Wkst'!$N$7:$N$2010,"P4")</f>
        <v>0</v>
      </c>
      <c r="BC86" s="411">
        <f>SUMIFS('LAC 102_Wkst'!$AF$7:$AF$2010,'LAC 102_Wkst'!$D$7:$D$2010,$C$7,'LAC 102_Wkst'!$I$7:$I$2010,$C$9,'LAC 102_Wkst'!$E$7:$E$2010,$C86,'LAC 102_Wkst'!$G$7:$G$2010,$D86,'LAC 102_Wkst'!$L$7:$L$2010,"13",'LAC 102_Wkst'!$N$7:$N$2010,"P1")+SUMIFS('LAC 102_Wkst'!$AF$7:$AF$2010,'LAC 102_Wkst'!$D$7:$D$2010,$C$7,'LAC 102_Wkst'!$I$7:$I$2010,$C$9,'LAC 102_Wkst'!$E$7:$E$2010,$C86,'LAC 102_Wkst'!$G$7:$G$2010,$D86,'LAC 102_Wkst'!$L$7:$L$2010,"13",'LAC 102_Wkst'!$N$7:$N$2010,"P2")+SUMIFS('LAC 102_Wkst'!$AF$7:$AF$2010,'LAC 102_Wkst'!$D$7:$D$2010,$C$7,'LAC 102_Wkst'!$I$7:$I$2010,$C$9,'LAC 102_Wkst'!$E$7:$E$2010,$C86,'LAC 102_Wkst'!$G$7:$G$2010,$D86,'LAC 102_Wkst'!$L$7:$L$2010,"13",'LAC 102_Wkst'!$N$7:$N$2010,"P3")+SUMIFS('LAC 102_Wkst'!$AF$7:$AF$2010,'LAC 102_Wkst'!$D$7:$D$2010,$C$7,'LAC 102_Wkst'!$I$7:$I$2010,$C$9,'LAC 102_Wkst'!$E$7:$E$2010,$C86,'LAC 102_Wkst'!$G$7:$G$2010,$D86,'LAC 102_Wkst'!$L$7:$L$2010,"13",'LAC 102_Wkst'!$N$7:$N$2010,"P4")</f>
        <v>0</v>
      </c>
      <c r="BD86" s="410">
        <f>SUMIFS('LAC 102_Wkst'!$Q$7:$Q$2010,'LAC 102_Wkst'!$D$7:$D$2010,$C$7,'LAC 102_Wkst'!$I$7:$I$2010,$C$9,'LAC 102_Wkst'!$E$7:$E$2010,$C86,'LAC 102_Wkst'!$G$7:$G$2010,$D86,'LAC 102_Wkst'!$L$7:$L$2010,"13",'LAC 102_Wkst'!$N$7:$N$2010,"P5")</f>
        <v>0</v>
      </c>
      <c r="BE86" s="411">
        <f>SUMIFS('LAC 102_Wkst'!$AF$7:$AF$2010,'LAC 102_Wkst'!$D$7:$D$2010,$C$7,'LAC 102_Wkst'!$I$7:$I$2010,$C$9,'LAC 102_Wkst'!$E$7:$E$2010,$C86,'LAC 102_Wkst'!$G$7:$G$2010,$D86,'LAC 102_Wkst'!$L$7:$L$2010,"13",'LAC 102_Wkst'!$N$7:$N$2010,"P5")</f>
        <v>0</v>
      </c>
      <c r="BF86" s="407">
        <f t="shared" si="4"/>
        <v>0</v>
      </c>
      <c r="BG86" s="1654">
        <f>SUMIFS('LAC 102_Wkst'!$AF$7:$AF$2010,'LAC 102_Wkst'!$D$7:$D$2010,$C$7,'LAC 102_Wkst'!$I$7:$I$2010,$C$9,'LAC 102_Wkst'!$E$7:$E$2010,$C86,'LAC 102_Wkst'!$G$7:$G$2010,$D86,'LAC 102_Wkst'!$L$7:$L$2010,"14")</f>
        <v>0</v>
      </c>
    </row>
    <row r="87" spans="1:59" x14ac:dyDescent="0.2">
      <c r="A87" s="401">
        <v>65</v>
      </c>
      <c r="B87" s="1678" t="str">
        <f>IF(Schedule_B!B$84="","",Schedule_B!B$84)</f>
        <v/>
      </c>
      <c r="C87" s="1674" t="str">
        <f>IF(Schedule_B!C$84=""," ",Schedule_B!C$84)</f>
        <v xml:space="preserve"> </v>
      </c>
      <c r="D87" s="1675" t="str">
        <f>IF(Schedule_B!D$84=""," ",Schedule_B!D$84)</f>
        <v xml:space="preserve"> </v>
      </c>
      <c r="E87" s="1221">
        <f>SUMIFS('LAC 102_Wkst'!$Q$7:$Q$2010,'LAC 102_Wkst'!$D$7:$D$2010,$C$7,'LAC 102_Wkst'!$I$7:$I$2010,$C$9,'LAC 102_Wkst'!$E$7:$E$2010,$C87,'LAC 102_Wkst'!$G$7:$G$2010,$D87)</f>
        <v>0</v>
      </c>
      <c r="F87" s="408">
        <f>SUMIFS('LAC 102_Wkst'!$Q$7:$Q$2010,'LAC 102_Wkst'!$D$7:$D$2010,$C$7,'LAC 102_Wkst'!$I$7:$I$2010,$C$9,'LAC 102_Wkst'!$E$7:$E$2010,$C87,'LAC 102_Wkst'!$G$7:$G$2010,$D87,'LAC 102_Wkst'!$L$7:$L$2010,"01",'LAC 102_Wkst'!$N$7:$N$2010,"P1")+SUMIFS('LAC 102_Wkst'!$Q$7:$Q$2010,'LAC 102_Wkst'!$D$7:$D$2010,$C$7,'LAC 102_Wkst'!$I$7:$I$2010,$C$9,'LAC 102_Wkst'!$E$7:$E$2010,$C87,'LAC 102_Wkst'!$G$7:$G$2010,$D87,'LAC 102_Wkst'!$L$7:$L$2010,"01",'LAC 102_Wkst'!$N$7:$N$2010,"P2")+SUMIFS('LAC 102_Wkst'!$Q$7:$Q$2010,'LAC 102_Wkst'!$D$7:$D$2010,$C$7,'LAC 102_Wkst'!$I$7:$I$2010,$C$9,'LAC 102_Wkst'!$E$7:$E$2010,$C87,'LAC 102_Wkst'!$G$7:$G$2010,$D87,'LAC 102_Wkst'!$L$7:$L$2010,"01",'LAC 102_Wkst'!$N$7:$N$2010,"P3")+SUMIFS('LAC 102_Wkst'!$Q$7:$Q$2010,'LAC 102_Wkst'!$D$7:$D$2010,$C$7,'LAC 102_Wkst'!$I$7:$I$2010,$C$9,'LAC 102_Wkst'!$E$7:$E$2010,$C87,'LAC 102_Wkst'!$G$7:$G$2010,$D87,'LAC 102_Wkst'!$L$7:$L$2010,"02",'LAC 102_Wkst'!$N$7:$N$2010,"P1")+SUMIFS('LAC 102_Wkst'!$Q$7:$Q$2010,'LAC 102_Wkst'!$D$7:$D$2010,$C$7,'LAC 102_Wkst'!$I$7:$I$2010,$C$9,'LAC 102_Wkst'!$E$7:$E$2010,$C87,'LAC 102_Wkst'!$G$7:$G$2010,$D87,'LAC 102_Wkst'!$L$7:$L$2010,"02",'LAC 102_Wkst'!$N$7:$N$2010,"P2")+SUMIFS('LAC 102_Wkst'!$Q$7:$Q$2010,'LAC 102_Wkst'!$D$7:$D$2010,$C$7,'LAC 102_Wkst'!$I$7:$I$2010,$C$9,'LAC 102_Wkst'!$E$7:$E$2010,$C87,'LAC 102_Wkst'!$G$7:$G$2010,$D87,'LAC 102_Wkst'!$L$7:$L$2010,"02",'LAC 102_Wkst'!$N$7:$N$2010,"P3")</f>
        <v>0</v>
      </c>
      <c r="G87" s="409">
        <f>SUMIFS('LAC 102_Wkst'!$AF$7:$AF$2010,'LAC 102_Wkst'!$D$7:$D$2010,$C$7,'LAC 102_Wkst'!$I$7:$I$2010,$C$9,'LAC 102_Wkst'!$E$7:$E$2010,$C87,'LAC 102_Wkst'!$G$7:$G$2010,$D87,'LAC 102_Wkst'!$L$7:$L$2010,"01",'LAC 102_Wkst'!$N$7:$N$2010,"P1")+SUMIFS('LAC 102_Wkst'!$AF$7:$AF$2010,'LAC 102_Wkst'!$D$7:$D$2010,$C$7,'LAC 102_Wkst'!$I$7:$I$2010,$C$9,'LAC 102_Wkst'!$E$7:$E$2010,$C87,'LAC 102_Wkst'!$G$7:$G$2010,$D87,'LAC 102_Wkst'!$L$7:$L$2010,"01",'LAC 102_Wkst'!$N$7:$N$2010,"P2")+SUMIFS('LAC 102_Wkst'!$AF$7:$AF$2010,'LAC 102_Wkst'!$D$7:$D$2010,$C$7,'LAC 102_Wkst'!$I$7:$I$2010,$C$9,'LAC 102_Wkst'!$E$7:$E$2010,$C87,'LAC 102_Wkst'!$G$7:$G$2010,$D87,'LAC 102_Wkst'!$L$7:$L$2010,"01",'LAC 102_Wkst'!$N$7:$N$2010,"P3")+SUMIFS('LAC 102_Wkst'!$AF$7:$AF$2010,'LAC 102_Wkst'!$D$7:$D$2010,$C$7,'LAC 102_Wkst'!$I$7:$I$2010,$C$9,'LAC 102_Wkst'!$E$7:$E$2010,$C87,'LAC 102_Wkst'!$G$7:$G$2010,$D87,'LAC 102_Wkst'!$L$7:$L$2010,"02",'LAC 102_Wkst'!$N$7:$N$2010,"P1")+SUMIFS('LAC 102_Wkst'!$AF$7:$AF$2010,'LAC 102_Wkst'!$D$7:$D$2010,$C$7,'LAC 102_Wkst'!$I$7:$I$2010,$C$9,'LAC 102_Wkst'!$E$7:$E$2010,$C87,'LAC 102_Wkst'!$G$7:$G$2010,$D87,'LAC 102_Wkst'!$L$7:$L$2010,"02",'LAC 102_Wkst'!$N$7:$N$2010,"P2")+SUMIFS('LAC 102_Wkst'!$AF$7:$AF$2010,'LAC 102_Wkst'!$D$7:$D$2010,$C$7,'LAC 102_Wkst'!$I$7:$I$2010,$C$9,'LAC 102_Wkst'!$E$7:$E$2010,$C87,'LAC 102_Wkst'!$G$7:$G$2010,$D87,'LAC 102_Wkst'!$L$7:$L$2010,"02",'LAC 102_Wkst'!$N$7:$N$2010,"P3")</f>
        <v>0</v>
      </c>
      <c r="H87" s="410">
        <f>SUMIFS('LAC 102_Wkst'!$Q$7:$Q$2010,'LAC 102_Wkst'!$D$7:$D$2010,$C$7,'LAC 102_Wkst'!$I$7:$I$2010,$C$9,'LAC 102_Wkst'!$E$7:$E$2010,$C87,'LAC 102_Wkst'!$G$7:$G$2010,$D87,'LAC 102_Wkst'!$L$7:$L$2010,"01",'LAC 102_Wkst'!$N$7:$N$2010,"P4")+SUMIFS('LAC 102_Wkst'!$Q$7:$Q$2010,'LAC 102_Wkst'!$D$7:$D$2010,$C$7,'LAC 102_Wkst'!$I$7:$I$2010,$C$9,'LAC 102_Wkst'!$E$7:$E$2010,$C87,'LAC 102_Wkst'!$G$7:$G$2010,$D87,'LAC 102_Wkst'!$L$7:$L$2010,"02",'LAC 102_Wkst'!$N$7:$N$2010,"P4")</f>
        <v>0</v>
      </c>
      <c r="I87" s="411">
        <f>SUMIFS('LAC 102_Wkst'!$AF$7:$AF$2010,'LAC 102_Wkst'!$D$7:$D$2010,$C$7,'LAC 102_Wkst'!$I$7:$I$2010,$C$9,'LAC 102_Wkst'!$E$7:$E$2010,$C87,'LAC 102_Wkst'!$G$7:$G$2010,$D87,'LAC 102_Wkst'!$L$7:$L$2010,"01",'LAC 102_Wkst'!$N$7:$N$2010,"P4")+SUMIFS('LAC 102_Wkst'!$AF$7:$AF$2010,'LAC 102_Wkst'!$D$7:$D$2010,$C$7,'LAC 102_Wkst'!$I$7:$I$2010,$C$9,'LAC 102_Wkst'!$E$7:$E$2010,$C87,'LAC 102_Wkst'!$G$7:$G$2010,$D87,'LAC 102_Wkst'!$L$7:$L$2010,"02",'LAC 102_Wkst'!$N$7:$N$2010,"P4")</f>
        <v>0</v>
      </c>
      <c r="J87" s="410">
        <f>SUMIFS('LAC 102_Wkst'!$Q$7:$Q$2010,'LAC 102_Wkst'!$D$7:$D$2010,$C$7,'LAC 102_Wkst'!$I$7:$I$2010,$C$9,'LAC 102_Wkst'!$E$7:$E$2010,$C87,'LAC 102_Wkst'!$G$7:$G$2010,$D87,'LAC 102_Wkst'!$L$7:$L$2010,"01",'LAC 102_Wkst'!$N$7:$N$2010,"P5")+SUMIFS('LAC 102_Wkst'!$Q$7:$Q$2010,'LAC 102_Wkst'!$D$7:$D$2010,$C$7,'LAC 102_Wkst'!$I$7:$I$2010,$C$9,'LAC 102_Wkst'!$E$7:$E$2010,$C87,'LAC 102_Wkst'!$G$7:$G$2010,$D87,'LAC 102_Wkst'!$L$7:$L$2010,"02",'LAC 102_Wkst'!$N$7:$N$2010,"P5")</f>
        <v>0</v>
      </c>
      <c r="K87" s="411">
        <f>SUMIFS('LAC 102_Wkst'!$AF$7:$AF$2010,'LAC 102_Wkst'!$D$7:$D$2010,$C$7,'LAC 102_Wkst'!$I$7:$I$2010,$C$9,'LAC 102_Wkst'!$E$7:$E$2010,$C87,'LAC 102_Wkst'!$G$7:$G$2010,$D87,'LAC 102_Wkst'!$L$7:$L$2010,"01",'LAC 102_Wkst'!$N$7:$N$2010,"P5")+SUMIFS('LAC 102_Wkst'!$AF$7:$AF$2010,'LAC 102_Wkst'!$D$7:$D$2010,$C$7,'LAC 102_Wkst'!$I$7:$I$2010,$C$9,'LAC 102_Wkst'!$E$7:$E$2010,$C87,'LAC 102_Wkst'!$G$7:$G$2010,$D87,'LAC 102_Wkst'!$L$7:$L$2010,"02",'LAC 102_Wkst'!$N$7:$N$2010,"P5")</f>
        <v>0</v>
      </c>
      <c r="L87" s="410">
        <f>SUMIFS('LAC 102_Wkst'!$Q$7:$Q$2010,'LAC 102_Wkst'!$D$7:$D$2010,$C$7,'LAC 102_Wkst'!$I$7:$I$2010,$C$9,'LAC 102_Wkst'!$E$7:$E$2010,$C87,'LAC 102_Wkst'!$G$7:$G$2010,$D87,'LAC 102_Wkst'!$L$7:$L$2010,"03",'LAC 102_Wkst'!$N$7:$N$2010,"P1")+SUMIFS('LAC 102_Wkst'!$Q$7:$Q$2010,'LAC 102_Wkst'!$D$7:$D$2010,$C$7,'LAC 102_Wkst'!$I$7:$I$2010,$C$9,'LAC 102_Wkst'!$E$7:$E$2010,$C87,'LAC 102_Wkst'!$G$7:$G$2010,$D87,'LAC 102_Wkst'!$L$7:$L$2010,"03",'LAC 102_Wkst'!$N$7:$N$2010,"P2")+SUMIFS('LAC 102_Wkst'!$Q$7:$Q$2010,'LAC 102_Wkst'!$D$7:$D$2010,$C$7,'LAC 102_Wkst'!$I$7:$I$2010,$C$9,'LAC 102_Wkst'!$E$7:$E$2010,$C87,'LAC 102_Wkst'!$G$7:$G$2010,$D87,'LAC 102_Wkst'!$L$7:$L$2010,"03",'LAC 102_Wkst'!$N$7:$N$2010,"P3")+SUMIFS('LAC 102_Wkst'!$Q$7:$Q$2010,'LAC 102_Wkst'!$D$7:$D$2010,$C$7,'LAC 102_Wkst'!$I$7:$I$2010,$C$9,'LAC 102_Wkst'!$E$7:$E$2010,$C87,'LAC 102_Wkst'!$G$7:$G$2010,$D87,'LAC 102_Wkst'!$L$7:$L$2010,"04",'LAC 102_Wkst'!$N$7:$N$2010,"P1")+SUMIFS('LAC 102_Wkst'!$Q$7:$Q$2010,'LAC 102_Wkst'!$D$7:$D$2010,$C$7,'LAC 102_Wkst'!$I$7:$I$2010,$C$9,'LAC 102_Wkst'!$E$7:$E$2010,$C87,'LAC 102_Wkst'!$G$7:$G$2010,$D87,'LAC 102_Wkst'!$L$7:$L$2010,"04",'LAC 102_Wkst'!$N$7:$N$2010,"P2")+SUMIFS('LAC 102_Wkst'!$Q$7:$Q$2010,'LAC 102_Wkst'!$D$7:$D$2010,$C$7,'LAC 102_Wkst'!$I$7:$I$2010,$C$9,'LAC 102_Wkst'!$E$7:$E$2010,$C87,'LAC 102_Wkst'!$G$7:$G$2010,$D87,'LAC 102_Wkst'!$L$7:$L$2010,"04",'LAC 102_Wkst'!$N$7:$N$2010,"P3")</f>
        <v>0</v>
      </c>
      <c r="M87" s="411">
        <f>SUMIFS('LAC 102_Wkst'!$AF$7:$AF$2010,'LAC 102_Wkst'!$D$7:$D$2010,$C$7,'LAC 102_Wkst'!$I$7:$I$2010,$C$9,'LAC 102_Wkst'!$E$7:$E$2010,$C87,'LAC 102_Wkst'!$G$7:$G$2010,$D87,'LAC 102_Wkst'!$L$7:$L$2010,"03",'LAC 102_Wkst'!$N$7:$N$2010,"P1")+SUMIFS('LAC 102_Wkst'!$AF$7:$AF$2010,'LAC 102_Wkst'!$D$7:$D$2010,$C$7,'LAC 102_Wkst'!$I$7:$I$2010,$C$9,'LAC 102_Wkst'!$E$7:$E$2010,$C87,'LAC 102_Wkst'!$G$7:$G$2010,$D87,'LAC 102_Wkst'!$L$7:$L$2010,"03",'LAC 102_Wkst'!$N$7:$N$2010,"P2")+SUMIFS('LAC 102_Wkst'!$AF$7:$AF$2010,'LAC 102_Wkst'!$D$7:$D$2010,$C$7,'LAC 102_Wkst'!$I$7:$I$2010,$C$9,'LAC 102_Wkst'!$E$7:$E$2010,$C87,'LAC 102_Wkst'!$G$7:$G$2010,$D87,'LAC 102_Wkst'!$L$7:$L$2010,"03",'LAC 102_Wkst'!$N$7:$N$2010,"P3")+SUMIFS('LAC 102_Wkst'!$AF$7:$AF$2010,'LAC 102_Wkst'!$D$7:$D$2010,$C$7,'LAC 102_Wkst'!$I$7:$I$2010,$C$9,'LAC 102_Wkst'!$E$7:$E$2010,$C87,'LAC 102_Wkst'!$G$7:$G$2010,$D87,'LAC 102_Wkst'!$L$7:$L$2010,"04",'LAC 102_Wkst'!$N$7:$N$2010,"P1")+SUMIFS('LAC 102_Wkst'!$AF$7:$AF$2010,'LAC 102_Wkst'!$D$7:$D$2010,$C$7,'LAC 102_Wkst'!$I$7:$I$2010,$C$9,'LAC 102_Wkst'!$E$7:$E$2010,$C87,'LAC 102_Wkst'!$G$7:$G$2010,$D87,'LAC 102_Wkst'!$L$7:$L$2010,"04",'LAC 102_Wkst'!$N$7:$N$2010,"P2")+SUMIFS('LAC 102_Wkst'!$AF$7:$AF$2010,'LAC 102_Wkst'!$D$7:$D$2010,$C$7,'LAC 102_Wkst'!$I$7:$I$2010,$C$9,'LAC 102_Wkst'!$E$7:$E$2010,$C87,'LAC 102_Wkst'!$G$7:$G$2010,$D87,'LAC 102_Wkst'!$L$7:$L$2010,"04",'LAC 102_Wkst'!$N$7:$N$2010,"P3")</f>
        <v>0</v>
      </c>
      <c r="N87" s="410">
        <f>SUMIFS('LAC 102_Wkst'!$Q$7:$Q$2010,'LAC 102_Wkst'!$D$7:$D$2010,$C$7,'LAC 102_Wkst'!$I$7:$I$2010,$C$9,'LAC 102_Wkst'!$E$7:$E$2010,$C87,'LAC 102_Wkst'!$G$7:$G$2010,$D87,'LAC 102_Wkst'!$L$7:$L$2010,"03",'LAC 102_Wkst'!$N$7:$N$2010,"P4")+SUMIFS('LAC 102_Wkst'!$Q$7:$Q$2010,'LAC 102_Wkst'!$D$7:$D$2010,$C$7,'LAC 102_Wkst'!$I$7:$I$2010,$C$9,'LAC 102_Wkst'!$E$7:$E$2010,$C87,'LAC 102_Wkst'!$G$7:$G$2010,$D87,'LAC 102_Wkst'!$L$7:$L$2010,"04",'LAC 102_Wkst'!$N$7:$N$2010,"P4")</f>
        <v>0</v>
      </c>
      <c r="O87" s="411">
        <f>SUMIFS('LAC 102_Wkst'!$AF$7:$AF$2010,'LAC 102_Wkst'!$D$7:$D$2010,$C$7,'LAC 102_Wkst'!$I$7:$I$2010,$C$9,'LAC 102_Wkst'!$E$7:$E$2010,$C87,'LAC 102_Wkst'!$G$7:$G$2010,$D87,'LAC 102_Wkst'!$L$7:$L$2010,"03",'LAC 102_Wkst'!$N$7:$N$2010,"P4")+SUMIFS('LAC 102_Wkst'!$AF$7:$AF$2010,'LAC 102_Wkst'!$D$7:$D$2010,$C$7,'LAC 102_Wkst'!$I$7:$I$2010,$C$9,'LAC 102_Wkst'!$E$7:$E$2010,$C87,'LAC 102_Wkst'!$G$7:$G$2010,$D87,'LAC 102_Wkst'!$L$7:$L$2010,"04",'LAC 102_Wkst'!$N$7:$N$2010,"P4")</f>
        <v>0</v>
      </c>
      <c r="P87" s="410">
        <f>SUMIFS('LAC 102_Wkst'!$Q$7:$Q$2010,'LAC 102_Wkst'!$D$7:$D$2010,$C$7,'LAC 102_Wkst'!$I$7:$I$2010,$C$9,'LAC 102_Wkst'!$E$7:$E$2010,$C87,'LAC 102_Wkst'!$G$7:$G$2010,$D87,'LAC 102_Wkst'!$L$7:$L$2010,"03",'LAC 102_Wkst'!$N$7:$N$2010,"P5")+SUMIFS('LAC 102_Wkst'!$Q$7:$Q$2010,'LAC 102_Wkst'!$D$7:$D$2010,$C$7,'LAC 102_Wkst'!$I$7:$I$2010,$C$9,'LAC 102_Wkst'!$E$7:$E$2010,$C87,'LAC 102_Wkst'!$G$7:$G$2010,$D87,'LAC 102_Wkst'!$L$7:$L$2010,"04",'LAC 102_Wkst'!$N$7:$N$2010,"P5")</f>
        <v>0</v>
      </c>
      <c r="Q87" s="411">
        <f>SUMIFS('LAC 102_Wkst'!$AF$7:$AF$2010,'LAC 102_Wkst'!$D$7:$D$2010,$C$7,'LAC 102_Wkst'!$I$7:$I$2010,$C$9,'LAC 102_Wkst'!$E$7:$E$2010,$C87,'LAC 102_Wkst'!$G$7:$G$2010,$D87,'LAC 102_Wkst'!$L$7:$L$2010,"03",'LAC 102_Wkst'!$N$7:$N$2010,"P5")+SUMIFS('LAC 102_Wkst'!$AF$7:$AF$2010,'LAC 102_Wkst'!$D$7:$D$2010,$C$7,'LAC 102_Wkst'!$I$7:$I$2010,$C$9,'LAC 102_Wkst'!$E$7:$E$2010,$C87,'LAC 102_Wkst'!$G$7:$G$2010,$D87,'LAC 102_Wkst'!$L$7:$L$2010,"04",'LAC 102_Wkst'!$N$7:$N$2010,"P5")</f>
        <v>0</v>
      </c>
      <c r="R87" s="412">
        <f>SUMIFS('LAC 102_Wkst'!$Q$7:$Q$2010,'LAC 102_Wkst'!$D$7:$D$2010,$C$7,'LAC 102_Wkst'!$I$7:$I$2010,$C$9,'LAC 102_Wkst'!$E$7:$E$2010,$C87,'LAC 102_Wkst'!$G$7:$G$2010,$D87,'LAC 102_Wkst'!$L$7:$L$2010,"05",'LAC 102_Wkst'!$N$7:$N$2010,"P1")+SUMIFS('LAC 102_Wkst'!$Q$7:$Q$2010,'LAC 102_Wkst'!$D$7:$D$2010,$C$7,'LAC 102_Wkst'!$I$7:$I$2010,$C$9,'LAC 102_Wkst'!$E$7:$E$2010,$C87,'LAC 102_Wkst'!$G$7:$G$2010,$D87,'LAC 102_Wkst'!$L$7:$L$2010,"06",'LAC 102_Wkst'!$N$7:$N$2010,"P1")</f>
        <v>0</v>
      </c>
      <c r="S87" s="411">
        <f>SUMIFS('LAC 102_Wkst'!$AF$7:$AF$2010,'LAC 102_Wkst'!$D$7:$D$2010,$C$7,'LAC 102_Wkst'!$I$7:$I$2010,$C$9,'LAC 102_Wkst'!$E$7:$E$2010,$C87,'LAC 102_Wkst'!$G$7:$G$2010,$D87,'LAC 102_Wkst'!$L$7:$L$2010,"05",'LAC 102_Wkst'!$N$7:$N$2010,"P1")+SUMIFS('LAC 102_Wkst'!$AF$7:$AF$2010,'LAC 102_Wkst'!$D$7:$D$2010,$C$7,'LAC 102_Wkst'!$I$7:$I$2010,$C$9,'LAC 102_Wkst'!$E$7:$E$2010,$C87,'LAC 102_Wkst'!$G$7:$G$2010,$D87,'LAC 102_Wkst'!$L$7:$L$2010,"06",'LAC 102_Wkst'!$N$7:$N$2010,"P1")</f>
        <v>0</v>
      </c>
      <c r="T87" s="410">
        <f>SUMIFS('LAC 102_Wkst'!$Q$7:$Q$2010,'LAC 102_Wkst'!$D$7:$D$2010,$C$7,'LAC 102_Wkst'!$I$7:$I$2010,$C$9,'LAC 102_Wkst'!$E$7:$E$2010,$C87,'LAC 102_Wkst'!$G$7:$G$2010,$D87,'LAC 102_Wkst'!$L$7:$L$2010,"05",'LAC 102_Wkst'!$N$7:$N$2010,"P2")+SUMIFS('LAC 102_Wkst'!$Q$7:$Q$2010,'LAC 102_Wkst'!$D$7:$D$2010,$C$7,'LAC 102_Wkst'!$I$7:$I$2010,$C$9,'LAC 102_Wkst'!$E$7:$E$2010,$C87,'LAC 102_Wkst'!$G$7:$G$2010,$D87,'LAC 102_Wkst'!$L$7:$L$2010,"06",'LAC 102_Wkst'!$N$7:$N$2010,"P2")+SUMIFS('LAC 102_Wkst'!$Q$7:$Q$2010,'LAC 102_Wkst'!$D$7:$D$2010,$C$7,'LAC 102_Wkst'!$I$7:$I$2010,$C$9,'LAC 102_Wkst'!$E$7:$E$2010,$C87,'LAC 102_Wkst'!$G$7:$G$2010,$D87,'LAC 102_Wkst'!$L$7:$L$2010,"05",'LAC 102_Wkst'!$N$7:$N$2010,"P3")+SUMIFS('LAC 102_Wkst'!$Q$7:$Q$2010,'LAC 102_Wkst'!$D$7:$D$2010,$C$7,'LAC 102_Wkst'!$I$7:$I$2010,$C$9,'LAC 102_Wkst'!$E$7:$E$2010,$C87,'LAC 102_Wkst'!$G$7:$G$2010,$D87,'LAC 102_Wkst'!$L$7:$L$2010,"06",'LAC 102_Wkst'!$N$7:$N$2010,"P3")</f>
        <v>0</v>
      </c>
      <c r="U87" s="411">
        <f>SUMIFS('LAC 102_Wkst'!$AF$7:$AF$2010,'LAC 102_Wkst'!$D$7:$D$2010,$C$7,'LAC 102_Wkst'!$I$7:$I$2010,$C$9,'LAC 102_Wkst'!$E$7:$E$2010,$C87,'LAC 102_Wkst'!$G$7:$G$2010,$D87,'LAC 102_Wkst'!$L$7:$L$2010,"05",'LAC 102_Wkst'!$N$7:$N$2010,"P2")+SUMIFS('LAC 102_Wkst'!$AF$7:$AF$2010,'LAC 102_Wkst'!$D$7:$D$2010,$C$7,'LAC 102_Wkst'!$I$7:$I$2010,$C$9,'LAC 102_Wkst'!$E$7:$E$2010,$C87,'LAC 102_Wkst'!$G$7:$G$2010,$D87,'LAC 102_Wkst'!$L$7:$L$2010,"06",'LAC 102_Wkst'!$N$7:$N$2010,"P2")+SUMIFS('LAC 102_Wkst'!$AF$7:$AF$2010,'LAC 102_Wkst'!$D$7:$D$2010,$C$7,'LAC 102_Wkst'!$I$7:$I$2010,$C$9,'LAC 102_Wkst'!$E$7:$E$2010,$C87,'LAC 102_Wkst'!$G$7:$G$2010,$D87,'LAC 102_Wkst'!$L$7:$L$2010,"05",'LAC 102_Wkst'!$N$7:$N$2010,"P3")+SUMIFS('LAC 102_Wkst'!$AF$7:$AF$2010,'LAC 102_Wkst'!$D$7:$D$2010,$C$7,'LAC 102_Wkst'!$I$7:$I$2010,$C$9,'LAC 102_Wkst'!$E$7:$E$2010,$C87,'LAC 102_Wkst'!$G$7:$G$2010,$D87,'LAC 102_Wkst'!$L$7:$L$2010,"06",'LAC 102_Wkst'!$N$7:$N$2010,"P3")</f>
        <v>0</v>
      </c>
      <c r="V87" s="410">
        <f>SUMIFS('LAC 102_Wkst'!$Q$7:$Q$2010,'LAC 102_Wkst'!$D$7:$D$2010,$C$7,'LAC 102_Wkst'!$I$7:$I$2010,$C$9,'LAC 102_Wkst'!$E$7:$E$2010,$C87,'LAC 102_Wkst'!$G$7:$G$2010,$D87,'LAC 102_Wkst'!$L$7:$L$2010,"05",'LAC 102_Wkst'!$N$7:$N$2010,"P4")+SUMIFS('LAC 102_Wkst'!$Q$7:$Q$2010,'LAC 102_Wkst'!$D$7:$D$2010,$C$7,'LAC 102_Wkst'!$I$7:$I$2010,$C$9,'LAC 102_Wkst'!$E$7:$E$2010,$C87,'LAC 102_Wkst'!$G$7:$G$2010,$D87,'LAC 102_Wkst'!$L$7:$L$2010,"06",'LAC 102_Wkst'!$N$7:$N$2010,"P4")</f>
        <v>0</v>
      </c>
      <c r="W87" s="411">
        <f>SUMIFS('LAC 102_Wkst'!$AF$7:$AF$2010,'LAC 102_Wkst'!$D$7:$D$2010,$C$7,'LAC 102_Wkst'!$I$7:$I$2010,$C$9,'LAC 102_Wkst'!$E$7:$E$2010,$C87,'LAC 102_Wkst'!$G$7:$G$2010,$D87,'LAC 102_Wkst'!$L$7:$L$2010,"05",'LAC 102_Wkst'!$N$7:$N$2010,"P4")+SUMIFS('LAC 102_Wkst'!$AF$7:$AF$2010,'LAC 102_Wkst'!$D$7:$D$2010,$C$7,'LAC 102_Wkst'!$I$7:$I$2010,$C$9,'LAC 102_Wkst'!$E$7:$E$2010,$C87,'LAC 102_Wkst'!$G$7:$G$2010,$D87,'LAC 102_Wkst'!$L$7:$L$2010,"06",'LAC 102_Wkst'!$N$7:$N$2010,"P4")</f>
        <v>0</v>
      </c>
      <c r="X87" s="410">
        <f>SUMIFS('LAC 102_Wkst'!$Q$7:$Q$2010,'LAC 102_Wkst'!$D$7:$D$2010,$C$7,'LAC 102_Wkst'!$I$7:$I$2010,$C$9,'LAC 102_Wkst'!$E$7:$E$2010,$C87,'LAC 102_Wkst'!$G$7:$G$2010,$D87,'LAC 102_Wkst'!$L$7:$L$2010,"05",'LAC 102_Wkst'!$N$7:$N$2010,"P5")+SUMIFS('LAC 102_Wkst'!$Q$7:$Q$2010,'LAC 102_Wkst'!$D$7:$D$2010,$C$7,'LAC 102_Wkst'!$I$7:$I$2010,$C$9,'LAC 102_Wkst'!$E$7:$E$2010,$C87,'LAC 102_Wkst'!$G$7:$G$2010,$D87,'LAC 102_Wkst'!$L$7:$L$2010,"06",'LAC 102_Wkst'!$N$7:$N$2010,"P5")</f>
        <v>0</v>
      </c>
      <c r="Y87" s="411">
        <f>SUMIFS('LAC 102_Wkst'!$AF$7:$AF$2010,'LAC 102_Wkst'!$D$7:$D$2010,$C$7,'LAC 102_Wkst'!$I$7:$I$2010,$C$9,'LAC 102_Wkst'!$E$7:$E$2010,$C87,'LAC 102_Wkst'!$G$7:$G$2010,$D87,'LAC 102_Wkst'!$L$7:$L$2010,"05",'LAC 102_Wkst'!$N$7:$N$2010,"P5")+SUMIFS('LAC 102_Wkst'!$AF$7:$AF$2010,'LAC 102_Wkst'!$D$7:$D$2010,$C$7,'LAC 102_Wkst'!$I$7:$I$2010,$C$9,'LAC 102_Wkst'!$E$7:$E$2010,$C87,'LAC 102_Wkst'!$G$7:$G$2010,$D87,'LAC 102_Wkst'!$L$7:$L$2010,"06",'LAC 102_Wkst'!$N$7:$N$2010,"P5")</f>
        <v>0</v>
      </c>
      <c r="Z87" s="410">
        <f>SUMIFS('LAC 102_Wkst'!$Q$7:$Q$2010,'LAC 102_Wkst'!$D$7:$D$2010,$C$7,'LAC 102_Wkst'!$I$7:$I$2010,$C$9,'LAC 102_Wkst'!$E$7:$E$2010,$C87,'LAC 102_Wkst'!$G$7:$G$2010,$D87,'LAC 102_Wkst'!$L$7:$L$2010,"07",'LAC 102_Wkst'!$N$7:$N$2010,"P1")+SUMIFS('LAC 102_Wkst'!$Q$7:$Q$2010,'LAC 102_Wkst'!$D$7:$D$2010,$C$7,'LAC 102_Wkst'!$I$7:$I$2010,$C$9,'LAC 102_Wkst'!$E$7:$E$2010,$C87,'LAC 102_Wkst'!$G$7:$G$2010,$D87,'LAC 102_Wkst'!$L$7:$L$2010,"07",'LAC 102_Wkst'!$N$7:$N$2010,"P2")+SUMIFS('LAC 102_Wkst'!$Q$7:$Q$2010,'LAC 102_Wkst'!$D$7:$D$2010,$C$7,'LAC 102_Wkst'!$I$7:$I$2010,$C$9,'LAC 102_Wkst'!$E$7:$E$2010,$C87,'LAC 102_Wkst'!$G$7:$G$2010,$D87,'LAC 102_Wkst'!$L$7:$L$2010,"07",'LAC 102_Wkst'!$N$7:$N$2010,"P3")</f>
        <v>0</v>
      </c>
      <c r="AA87" s="411">
        <f>SUMIFS('LAC 102_Wkst'!$AF$7:$AF$2010,'LAC 102_Wkst'!$D$7:$D$2010,$C$7,'LAC 102_Wkst'!$I$7:$I$2010,$C$9,'LAC 102_Wkst'!$E$7:$E$2010,$C87,'LAC 102_Wkst'!$G$7:$G$2010,$D87,'LAC 102_Wkst'!$L$7:$L$2010,"07",'LAC 102_Wkst'!$N$7:$N$2010,"P1")+SUMIFS('LAC 102_Wkst'!$AF$7:$AF$2010,'LAC 102_Wkst'!$D$7:$D$2010,$C$7,'LAC 102_Wkst'!$I$7:$I$2010,$C$9,'LAC 102_Wkst'!$E$7:$E$2010,$C87,'LAC 102_Wkst'!$G$7:$G$2010,$D87,'LAC 102_Wkst'!$L$7:$L$2010,"07",'LAC 102_Wkst'!$N$7:$N$2010,"P2")+SUMIFS('LAC 102_Wkst'!$AF$7:$AF$2010,'LAC 102_Wkst'!$D$7:$D$2010,$C$7,'LAC 102_Wkst'!$I$7:$I$2010,$C$9,'LAC 102_Wkst'!$E$7:$E$2010,$C87,'LAC 102_Wkst'!$G$7:$G$2010,$D87,'LAC 102_Wkst'!$L$7:$L$2010,"07",'LAC 102_Wkst'!$N$7:$N$2010,"P3")</f>
        <v>0</v>
      </c>
      <c r="AB87" s="410">
        <f>SUMIFS('LAC 102_Wkst'!$Q$7:$Q$2010,'LAC 102_Wkst'!$D$7:$D$2010,$C$7,'LAC 102_Wkst'!$I$7:$I$2010,$C$9,'LAC 102_Wkst'!$E$7:$E$2010,$C87,'LAC 102_Wkst'!$G$7:$G$2010,$D87,'LAC 102_Wkst'!$L$7:$L$2010,"07",'LAC 102_Wkst'!$N$7:$N$2010,"P4")</f>
        <v>0</v>
      </c>
      <c r="AC87" s="411">
        <f>SUMIFS('LAC 102_Wkst'!$AF$7:$AF$2010,'LAC 102_Wkst'!$D$7:$D$2010,$C$7,'LAC 102_Wkst'!$I$7:$I$2010,$C$9,'LAC 102_Wkst'!$E$7:$E$2010,$C87,'LAC 102_Wkst'!$G$7:$G$2010,$D87,'LAC 102_Wkst'!$L$7:$L$2010,"07",'LAC 102_Wkst'!$N$7:$N$2010,"P4")</f>
        <v>0</v>
      </c>
      <c r="AD87" s="410">
        <f>SUMIFS('LAC 102_Wkst'!$Q$7:$Q$2010,'LAC 102_Wkst'!$D$7:$D$2010,$C$7,'LAC 102_Wkst'!$I$7:$I$2010,$C$9,'LAC 102_Wkst'!$E$7:$E$2010,$C87,'LAC 102_Wkst'!$G$7:$G$2010,$D87,'LAC 102_Wkst'!$L$7:$L$2010,"07",'LAC 102_Wkst'!$N$7:$N$2010,"P5")</f>
        <v>0</v>
      </c>
      <c r="AE87" s="411">
        <f>SUMIFS('LAC 102_Wkst'!$AF$7:$AF$2010,'LAC 102_Wkst'!$D$7:$D$2010,$C$7,'LAC 102_Wkst'!$I$7:$I$2010,$C$9,'LAC 102_Wkst'!$E$7:$E$2010,$C87,'LAC 102_Wkst'!$G$7:$G$2010,$D87,'LAC 102_Wkst'!$L$7:$L$2010,"07",'LAC 102_Wkst'!$N$7:$N$2010,"P5")</f>
        <v>0</v>
      </c>
      <c r="AF87" s="410">
        <f>SUMIFS('LAC 102_Wkst'!$Q$7:$Q$2010,'LAC 102_Wkst'!$D$7:$D$2010,$C$7,'LAC 102_Wkst'!$I$7:$I$2010,$C$9,'LAC 102_Wkst'!$E$7:$E$2010,$C87,'LAC 102_Wkst'!$G$7:$G$2010,$D87,'LAC 102_Wkst'!$L$7:$L$2010,"08",'LAC 102_Wkst'!$N$7:$N$2010,"P1")+SUMIFS('LAC 102_Wkst'!$Q$7:$Q$2010,'LAC 102_Wkst'!$D$7:$D$2010,$C$7,'LAC 102_Wkst'!$I$7:$I$2010,$C$9,'LAC 102_Wkst'!$E$7:$E$2010,$C87,'LAC 102_Wkst'!$G$7:$G$2010,$D87,'LAC 102_Wkst'!$L$7:$L$2010,"08",'LAC 102_Wkst'!$N$7:$N$2010,"P2")+SUMIFS('LAC 102_Wkst'!$Q$7:$Q$2010,'LAC 102_Wkst'!$D$7:$D$2010,$C$7,'LAC 102_Wkst'!$I$7:$I$2010,$C$9,'LAC 102_Wkst'!$E$7:$E$2010,$C87,'LAC 102_Wkst'!$G$7:$G$2010,$D87,'LAC 102_Wkst'!$L$7:$L$2010,"08",'LAC 102_Wkst'!$N$7:$N$2010,"P3")</f>
        <v>0</v>
      </c>
      <c r="AG87" s="411">
        <f>SUMIFS('LAC 102_Wkst'!$AF$7:$AF$2010,'LAC 102_Wkst'!$D$7:$D$2010,$C$7,'LAC 102_Wkst'!$I$7:$I$2010,$C$9,'LAC 102_Wkst'!$E$7:$E$2010,$C87,'LAC 102_Wkst'!$G$7:$G$2010,$D87,'LAC 102_Wkst'!$L$7:$L$2010,"08",'LAC 102_Wkst'!$N$7:$N$2010,"P1")+SUMIFS('LAC 102_Wkst'!$AF$7:$AF$2010,'LAC 102_Wkst'!$D$7:$D$2010,$C$7,'LAC 102_Wkst'!$I$7:$I$2010,$C$9,'LAC 102_Wkst'!$E$7:$E$2010,$C87,'LAC 102_Wkst'!$G$7:$G$2010,$D87,'LAC 102_Wkst'!$L$7:$L$2010,"08",'LAC 102_Wkst'!$N$7:$N$2010,"P2")+SUMIFS('LAC 102_Wkst'!$AF$7:$AF$2010,'LAC 102_Wkst'!$D$7:$D$2010,$C$7,'LAC 102_Wkst'!$I$7:$I$2010,$C$9,'LAC 102_Wkst'!$E$7:$E$2010,$C87,'LAC 102_Wkst'!$G$7:$G$2010,$D87,'LAC 102_Wkst'!$L$7:$L$2010,"08",'LAC 102_Wkst'!$N$7:$N$2010,"P3")</f>
        <v>0</v>
      </c>
      <c r="AH87" s="410">
        <f>SUMIFS('LAC 102_Wkst'!$Q$7:$Q$2010,'LAC 102_Wkst'!$D$7:$D$2010,$C$7,'LAC 102_Wkst'!$I$7:$I$2010,$C$9,'LAC 102_Wkst'!$E$7:$E$2010,$C87,'LAC 102_Wkst'!$G$7:$G$2010,$D87,'LAC 102_Wkst'!$L$7:$L$2010,"08",'LAC 102_Wkst'!$N$7:$N$2010,"P4")</f>
        <v>0</v>
      </c>
      <c r="AI87" s="411">
        <f>SUMIFS('LAC 102_Wkst'!$AF$7:$AF$2010,'LAC 102_Wkst'!$D$7:$D$2010,$C$7,'LAC 102_Wkst'!$I$7:$I$2010,$C$9,'LAC 102_Wkst'!$E$7:$E$2010,$C87,'LAC 102_Wkst'!$G$7:$G$2010,$D87,'LAC 102_Wkst'!$L$7:$L$2010,"08",'LAC 102_Wkst'!$N$7:$N$2010,"P4")</f>
        <v>0</v>
      </c>
      <c r="AJ87" s="410">
        <f>SUMIFS('LAC 102_Wkst'!$Q$7:$Q$2010,'LAC 102_Wkst'!$D$7:$D$2010,$C$7,'LAC 102_Wkst'!$I$7:$I$2010,$C$9,'LAC 102_Wkst'!$E$7:$E$2010,$C87,'LAC 102_Wkst'!$G$7:$G$2010,$D87,'LAC 102_Wkst'!$L$7:$L$2010,"08",'LAC 102_Wkst'!$N$7:$N$2010,"P5")</f>
        <v>0</v>
      </c>
      <c r="AK87" s="411">
        <f>SUMIFS('LAC 102_Wkst'!$AF$7:$AF$2010,'LAC 102_Wkst'!$D$7:$D$2010,$C$7,'LAC 102_Wkst'!$I$7:$I$2010,$C$9,'LAC 102_Wkst'!$E$7:$E$2010,$C87,'LAC 102_Wkst'!$G$7:$G$2010,$D87,'LAC 102_Wkst'!$L$7:$L$2010,"08",'LAC 102_Wkst'!$N$7:$N$2010,"P5")</f>
        <v>0</v>
      </c>
      <c r="AL87" s="410">
        <f>SUMIFS('LAC 102_Wkst'!$Q$7:$Q$2010,'LAC 102_Wkst'!$D$7:$D$2010,$C$7,'LAC 102_Wkst'!$I$7:$I$2010,$C$9,'LAC 102_Wkst'!$E$7:$E$2010,$C87,'LAC 102_Wkst'!$G$7:$G$2010,$D87,'LAC 102_Wkst'!$L$7:$L$2010,"09",'LAC 102_Wkst'!$N$7:$N$2010,"P1")+SUMIFS('LAC 102_Wkst'!$Q$7:$Q$2010,'LAC 102_Wkst'!$D$7:$D$2010,$C$7,'LAC 102_Wkst'!$I$7:$I$2010,$C$9,'LAC 102_Wkst'!$E$7:$E$2010,$C87,'LAC 102_Wkst'!$G$7:$G$2010,$D87,'LAC 102_Wkst'!$L$7:$L$2010,"09",'LAC 102_Wkst'!$N$7:$N$2010,"P2")+SUMIFS('LAC 102_Wkst'!$Q$7:$Q$2010,'LAC 102_Wkst'!$D$7:$D$2010,$C$7,'LAC 102_Wkst'!$I$7:$I$2010,$C$9,'LAC 102_Wkst'!$E$7:$E$2010,$C87,'LAC 102_Wkst'!$G$7:$G$2010,$D87,'LAC 102_Wkst'!$L$7:$L$2010,"09",'LAC 102_Wkst'!$N$7:$N$2010,"P3")+SUMIFS('LAC 102_Wkst'!$Q$7:$Q$2010,'LAC 102_Wkst'!$D$7:$D$2010,$C$7,'LAC 102_Wkst'!$I$7:$I$2010,$C$9,'LAC 102_Wkst'!$E$7:$E$2010,$C87,'LAC 102_Wkst'!$G$7:$G$2010,$D87,'LAC 102_Wkst'!$L$7:$L$2010,"09",'LAC 102_Wkst'!$N$7:$N$2010,"P4")</f>
        <v>0</v>
      </c>
      <c r="AM87" s="411">
        <f>SUMIFS('LAC 102_Wkst'!$AF$7:$AF$2010,'LAC 102_Wkst'!$D$7:$D$2010,$C$7,'LAC 102_Wkst'!$I$7:$I$2010,$C$9,'LAC 102_Wkst'!$E$7:$E$2010,$C87,'LAC 102_Wkst'!$G$7:$G$2010,$D87,'LAC 102_Wkst'!$L$7:$L$2010,"09",'LAC 102_Wkst'!$N$7:$N$2010,"P1")+SUMIFS('LAC 102_Wkst'!$AF$7:$AF$2010,'LAC 102_Wkst'!$D$7:$D$2010,$C$7,'LAC 102_Wkst'!$I$7:$I$2010,$C$9,'LAC 102_Wkst'!$E$7:$E$2010,$C87,'LAC 102_Wkst'!$G$7:$G$2010,$D87,'LAC 102_Wkst'!$L$7:$L$2010,"09",'LAC 102_Wkst'!$N$7:$N$2010,"P2")+SUMIFS('LAC 102_Wkst'!$AF$7:$AF$2010,'LAC 102_Wkst'!$D$7:$D$2010,$C$7,'LAC 102_Wkst'!$I$7:$I$2010,$C$9,'LAC 102_Wkst'!$E$7:$E$2010,$C87,'LAC 102_Wkst'!$G$7:$G$2010,$D87,'LAC 102_Wkst'!$L$7:$L$2010,"09",'LAC 102_Wkst'!$N$7:$N$2010,"P3")+SUMIFS('LAC 102_Wkst'!$AF$7:$AF$2010,'LAC 102_Wkst'!$D$7:$D$2010,$C$7,'LAC 102_Wkst'!$I$7:$I$2010,$C$9,'LAC 102_Wkst'!$E$7:$E$2010,$C87,'LAC 102_Wkst'!$G$7:$G$2010,$D87,'LAC 102_Wkst'!$L$7:$L$2010,"09",'LAC 102_Wkst'!$N$7:$N$2010,"P4")</f>
        <v>0</v>
      </c>
      <c r="AN87" s="410">
        <f>SUMIFS('LAC 102_Wkst'!$Q$7:$Q$2010,'LAC 102_Wkst'!$D$7:$D$2010,$C$7,'LAC 102_Wkst'!$I$7:$I$2010,$C$9,'LAC 102_Wkst'!$E$7:$E$2010,$C87,'LAC 102_Wkst'!$G$7:$G$2010,$D87,'LAC 102_Wkst'!$L$7:$L$2010,"09",'LAC 102_Wkst'!$N$7:$N$2010,"P5")</f>
        <v>0</v>
      </c>
      <c r="AO87" s="411">
        <f>SUMIFS('LAC 102_Wkst'!$AF$7:$AF$2010,'LAC 102_Wkst'!$D$7:$D$2010,$C$7,'LAC 102_Wkst'!$I$7:$I$2010,$C$9,'LAC 102_Wkst'!$E$7:$E$2010,$C87,'LAC 102_Wkst'!$G$7:$G$2010,$D87,'LAC 102_Wkst'!$L$7:$L$2010,"09",'LAC 102_Wkst'!$N$7:$N$2010,"P5")</f>
        <v>0</v>
      </c>
      <c r="AP87" s="410">
        <f>SUMIFS('LAC 102_Wkst'!$Q$7:$Q$2010,'LAC 102_Wkst'!$D$7:$D$2010,$C$7,'LAC 102_Wkst'!$I$7:$I$2010,$C$9,'LAC 102_Wkst'!$E$7:$E$2010,$C87,'LAC 102_Wkst'!$G$7:$G$2010,$D87,'LAC 102_Wkst'!$L$7:$L$2010,"10",'LAC 102_Wkst'!$N$7:$N$2010,"P1")+SUMIFS('LAC 102_Wkst'!$Q$7:$Q$2010,'LAC 102_Wkst'!$D$7:$D$2010,$C$7,'LAC 102_Wkst'!$I$7:$I$2010,$C$9,'LAC 102_Wkst'!$E$7:$E$2010,$C87,'LAC 102_Wkst'!$G$7:$G$2010,$D87,'LAC 102_Wkst'!$L$7:$L$2010,"10",'LAC 102_Wkst'!$N$7:$N$2010,"P2")+SUMIFS('LAC 102_Wkst'!$Q$7:$Q$2010,'LAC 102_Wkst'!$D$7:$D$2010,$C$7,'LAC 102_Wkst'!$I$7:$I$2010,$C$9,'LAC 102_Wkst'!$E$7:$E$2010,$C87,'LAC 102_Wkst'!$G$7:$G$2010,$D87,'LAC 102_Wkst'!$L$7:$L$2010,"10",'LAC 102_Wkst'!$N$7:$N$2010,"P3")+SUMIFS('LAC 102_Wkst'!$Q$7:$Q$2010,'LAC 102_Wkst'!$D$7:$D$2010,$C$7,'LAC 102_Wkst'!$I$7:$I$2010,$C$9,'LAC 102_Wkst'!$E$7:$E$2010,$C87,'LAC 102_Wkst'!$G$7:$G$2010,$D87,'LAC 102_Wkst'!$L$7:$L$2010,"10",'LAC 102_Wkst'!$N$7:$N$2010,"P4")</f>
        <v>0</v>
      </c>
      <c r="AQ87" s="411">
        <f>SUMIFS('LAC 102_Wkst'!$AF$7:$AF$2010,'LAC 102_Wkst'!$D$7:$D$2010,$C$7,'LAC 102_Wkst'!$I$7:$I$2010,$C$9,'LAC 102_Wkst'!$E$7:$E$2010,$C87,'LAC 102_Wkst'!$G$7:$G$2010,$D87,'LAC 102_Wkst'!$L$7:$L$2010,"10",'LAC 102_Wkst'!$N$7:$N$2010,"P1")+SUMIFS('LAC 102_Wkst'!$AF$7:$AF$2010,'LAC 102_Wkst'!$D$7:$D$2010,$C$7,'LAC 102_Wkst'!$I$7:$I$2010,$C$9,'LAC 102_Wkst'!$E$7:$E$2010,$C87,'LAC 102_Wkst'!$G$7:$G$2010,$D87,'LAC 102_Wkst'!$L$7:$L$2010,"10",'LAC 102_Wkst'!$N$7:$N$2010,"P2")+SUMIFS('LAC 102_Wkst'!$AF$7:$AF$2010,'LAC 102_Wkst'!$D$7:$D$2010,$C$7,'LAC 102_Wkst'!$I$7:$I$2010,$C$9,'LAC 102_Wkst'!$E$7:$E$2010,$C87,'LAC 102_Wkst'!$G$7:$G$2010,$D87,'LAC 102_Wkst'!$L$7:$L$2010,"10",'LAC 102_Wkst'!$N$7:$N$2010,"P3")+SUMIFS('LAC 102_Wkst'!$AF$7:$AF$2010,'LAC 102_Wkst'!$D$7:$D$2010,$C$7,'LAC 102_Wkst'!$I$7:$I$2010,$C$9,'LAC 102_Wkst'!$E$7:$E$2010,$C87,'LAC 102_Wkst'!$G$7:$G$2010,$D87,'LAC 102_Wkst'!$L$7:$L$2010,"10",'LAC 102_Wkst'!$N$7:$N$2010,"P4")</f>
        <v>0</v>
      </c>
      <c r="AR87" s="410">
        <f>SUMIFS('LAC 102_Wkst'!$Q$7:$Q$2010,'LAC 102_Wkst'!$D$7:$D$2010,$C$7,'LAC 102_Wkst'!$I$7:$I$2010,$C$9,'LAC 102_Wkst'!$E$7:$E$2010,$C87,'LAC 102_Wkst'!$G$7:$G$2010,$D87,'LAC 102_Wkst'!$L$7:$L$2010,"10",'LAC 102_Wkst'!$N$7:$N$2010,"P5")</f>
        <v>0</v>
      </c>
      <c r="AS87" s="411">
        <f>SUMIFS('LAC 102_Wkst'!$AF$7:$AF$2010,'LAC 102_Wkst'!$D$7:$D$2010,$C$7,'LAC 102_Wkst'!$I$7:$I$2010,$C$9,'LAC 102_Wkst'!$E$7:$E$2010,$C87,'LAC 102_Wkst'!$G$7:$G$2010,$D87,'LAC 102_Wkst'!$L$7:$L$2010,"10",'LAC 102_Wkst'!$N$7:$N$2010,"P5")</f>
        <v>0</v>
      </c>
      <c r="AT87" s="410">
        <f>SUMIFS('LAC 102_Wkst'!$Q$7:$Q$2010,'LAC 102_Wkst'!$D$7:$D$2010,$C$7,'LAC 102_Wkst'!$I$7:$I$2010,$C$9,'LAC 102_Wkst'!$E$7:$E$2010,$C87,'LAC 102_Wkst'!$G$7:$G$2010,$D87,'LAC 102_Wkst'!$L$7:$L$2010,"11",'LAC 102_Wkst'!$N$7:$N$2010,"P1")+SUMIFS('LAC 102_Wkst'!$Q$7:$Q$2010,'LAC 102_Wkst'!$D$7:$D$2010,$C$7,'LAC 102_Wkst'!$I$7:$I$2010,$C$9,'LAC 102_Wkst'!$E$7:$E$2010,$C87,'LAC 102_Wkst'!$G$7:$G$2010,$D87,'LAC 102_Wkst'!$L$7:$L$2010,"12",'LAC 102_Wkst'!$N$7:$N$2010,"P1")</f>
        <v>0</v>
      </c>
      <c r="AU87" s="411">
        <f>SUMIFS('LAC 102_Wkst'!$Q$7:$Q$2010,'LAC 102_Wkst'!$D$7:$D$2010,$C$7,'LAC 102_Wkst'!$I$7:$I$2010,$C$9,'LAC 102_Wkst'!$E$7:$E$2010,$C87,'LAC 102_Wkst'!$G$7:$G$2010,$D87,'LAC 102_Wkst'!$L$7:$L$2010,"13",'LAC 102_Wkst'!$N$7:$N$2010,"P5")</f>
        <v>0</v>
      </c>
      <c r="AV87" s="410">
        <f>SUMIFS('LAC 102_Wkst'!$Q$7:$Q$2010,'LAC 102_Wkst'!$D$7:$D$2010,$C$7,'LAC 102_Wkst'!$I$7:$I$2010,$C$9,'LAC 102_Wkst'!$E$7:$E$2010,$C87,'LAC 102_Wkst'!$G$7:$G$2010,$D87,'LAC 102_Wkst'!$L$7:$L$2010,"11",'LAC 102_Wkst'!$N$7:$N$2010,"P2")+SUMIFS('LAC 102_Wkst'!$Q$7:$Q$2010,'LAC 102_Wkst'!$D$7:$D$2010,$C$7,'LAC 102_Wkst'!$I$7:$I$2010,$C$9,'LAC 102_Wkst'!$E$7:$E$2010,$C87,'LAC 102_Wkst'!$G$7:$G$2010,$D87,'LAC 102_Wkst'!$L$7:$L$2010,"12",'LAC 102_Wkst'!$N$7:$N$2010,"P2")+SUMIFS('LAC 102_Wkst'!$Q$7:$Q$2010,'LAC 102_Wkst'!$D$7:$D$2010,$C$7,'LAC 102_Wkst'!$I$7:$I$2010,$C$9,'LAC 102_Wkst'!$E$7:$E$2010,$C87,'LAC 102_Wkst'!$G$7:$G$2010,$D87,'LAC 102_Wkst'!$L$7:$L$2010,"11",'LAC 102_Wkst'!$N$7:$N$2010,"P3")+SUMIFS('LAC 102_Wkst'!$Q$7:$Q$2010,'LAC 102_Wkst'!$D$7:$D$2010,$C$7,'LAC 102_Wkst'!$I$7:$I$2010,$C$9,'LAC 102_Wkst'!$E$7:$E$2010,$C87,'LAC 102_Wkst'!$G$7:$G$2010,$D87,'LAC 102_Wkst'!$L$7:$L$2010,"12",'LAC 102_Wkst'!$N$7:$N$2010,"P3")</f>
        <v>0</v>
      </c>
      <c r="AW87" s="411">
        <f>SUMIFS('LAC 102_Wkst'!$AF$7:$AF$2010,'LAC 102_Wkst'!$D$7:$D$2010,$C$7,'LAC 102_Wkst'!$I$7:$I$2010,$C$9,'LAC 102_Wkst'!$E$7:$E$2010,$C87,'LAC 102_Wkst'!$G$7:$G$2010,$D87,'LAC 102_Wkst'!$L$7:$L$2010,"11",'LAC 102_Wkst'!$N$7:$N$2010,"P2")+SUMIFS('LAC 102_Wkst'!$AF$7:$AF$2010,'LAC 102_Wkst'!$D$7:$D$2010,$C$7,'LAC 102_Wkst'!$I$7:$I$2010,$C$9,'LAC 102_Wkst'!$E$7:$E$2010,$C87,'LAC 102_Wkst'!$G$7:$G$2010,$D87,'LAC 102_Wkst'!$L$7:$L$2010,"12",'LAC 102_Wkst'!$N$7:$N$2010,"P2")+SUMIFS('LAC 102_Wkst'!$AF$7:$AF$2010,'LAC 102_Wkst'!$D$7:$D$2010,$C$7,'LAC 102_Wkst'!$I$7:$I$2010,$C$9,'LAC 102_Wkst'!$E$7:$E$2010,$C87,'LAC 102_Wkst'!$G$7:$G$2010,$D87,'LAC 102_Wkst'!$L$7:$L$2010,"11",'LAC 102_Wkst'!$N$7:$N$2010,"P3")+SUMIFS('LAC 102_Wkst'!$AF$7:$AF$2010,'LAC 102_Wkst'!$D$7:$D$2010,$C$7,'LAC 102_Wkst'!$I$7:$I$2010,$C$9,'LAC 102_Wkst'!$E$7:$E$2010,$C87,'LAC 102_Wkst'!$G$7:$G$2010,$D87,'LAC 102_Wkst'!$L$7:$L$2010,"12",'LAC 102_Wkst'!$N$7:$N$2010,"P3")</f>
        <v>0</v>
      </c>
      <c r="AX87" s="410">
        <f>SUMIFS('LAC 102_Wkst'!$Q$7:$Q$2010,'LAC 102_Wkst'!$D$7:$D$2010,$C$7,'LAC 102_Wkst'!$I$7:$I$2010,$C$9,'LAC 102_Wkst'!$E$7:$E$2010,$C87,'LAC 102_Wkst'!$G$7:$G$2010,$D87,'LAC 102_Wkst'!$L$7:$L$2010,"11",'LAC 102_Wkst'!$N$7:$N$2010,"P4")+SUMIFS('LAC 102_Wkst'!$Q$7:$Q$2010,'LAC 102_Wkst'!$D$7:$D$2010,$C$7,'LAC 102_Wkst'!$I$7:$I$2010,$C$9,'LAC 102_Wkst'!$E$7:$E$2010,$C87,'LAC 102_Wkst'!$G$7:$G$2010,$D87,'LAC 102_Wkst'!$L$7:$L$2010,"12",'LAC 102_Wkst'!$N$7:$N$2010,"P4")</f>
        <v>0</v>
      </c>
      <c r="AY87" s="411">
        <f>SUMIFS('LAC 102_Wkst'!$AF$7:$AF$2010,'LAC 102_Wkst'!$D$7:$D$2010,$C$7,'LAC 102_Wkst'!$I$7:$I$2010,$C$9,'LAC 102_Wkst'!$E$7:$E$2010,$C87,'LAC 102_Wkst'!$G$7:$G$2010,$D87,'LAC 102_Wkst'!$L$7:$L$2010,"11",'LAC 102_Wkst'!$N$7:$N$2010,"P4")+SUMIFS('LAC 102_Wkst'!$AF$7:$AF$2010,'LAC 102_Wkst'!$D$7:$D$2010,$C$7,'LAC 102_Wkst'!$I$7:$I$2010,$C$9,'LAC 102_Wkst'!$E$7:$E$2010,$C87,'LAC 102_Wkst'!$G$7:$G$2010,$D87,'LAC 102_Wkst'!$L$7:$L$2010,"12",'LAC 102_Wkst'!$N$7:$N$2010,"P4")</f>
        <v>0</v>
      </c>
      <c r="AZ87" s="410">
        <f>SUMIFS('LAC 102_Wkst'!$Q$7:$Q$2010,'LAC 102_Wkst'!$D$7:$D$2010,$C$7,'LAC 102_Wkst'!$I$7:$I$2010,$C$9,'LAC 102_Wkst'!$E$7:$E$2010,$C87,'LAC 102_Wkst'!$G$7:$G$2010,$D87,'LAC 102_Wkst'!$L$7:$L$2010,"11",'LAC 102_Wkst'!$N$7:$N$2010,"P5")+SUMIFS('LAC 102_Wkst'!$Q$7:$Q$2010,'LAC 102_Wkst'!$D$7:$D$2010,$C$7,'LAC 102_Wkst'!$I$7:$I$2010,$C$9,'LAC 102_Wkst'!$E$7:$E$2010,$C87,'LAC 102_Wkst'!$G$7:$G$2010,$D87,'LAC 102_Wkst'!$L$7:$L$2010,"12",'LAC 102_Wkst'!$N$7:$N$2010,"P5")</f>
        <v>0</v>
      </c>
      <c r="BA87" s="411">
        <f>SUMIFS('LAC 102_Wkst'!$AF$7:$AF$2010,'LAC 102_Wkst'!$D$7:$D$2010,$C$7,'LAC 102_Wkst'!$I$7:$I$2010,$C$9,'LAC 102_Wkst'!$E$7:$E$2010,$C87,'LAC 102_Wkst'!$G$7:$G$2010,$D87,'LAC 102_Wkst'!$L$7:$L$2010,"11",'LAC 102_Wkst'!$N$7:$N$2010,"P5")+SUMIFS('LAC 102_Wkst'!$AF$7:$AF$2010,'LAC 102_Wkst'!$D$7:$D$2010,$C$7,'LAC 102_Wkst'!$I$7:$I$2010,$C$9,'LAC 102_Wkst'!$E$7:$E$2010,$C87,'LAC 102_Wkst'!$G$7:$G$2010,$D87,'LAC 102_Wkst'!$L$7:$L$2010,"12",'LAC 102_Wkst'!$N$7:$N$2010,"P5")</f>
        <v>0</v>
      </c>
      <c r="BB87" s="410">
        <f>SUMIFS('LAC 102_Wkst'!$Q$7:$Q$2010,'LAC 102_Wkst'!$D$7:$D$2010,$C$7,'LAC 102_Wkst'!$I$7:$I$2010,$C$9,'LAC 102_Wkst'!$E$7:$E$2010,$C87,'LAC 102_Wkst'!$G$7:$G$2010,$D87,'LAC 102_Wkst'!$L$7:$L$2010,"13",'LAC 102_Wkst'!$N$7:$N$2010,"P1")+SUMIFS('LAC 102_Wkst'!$Q$7:$Q$2010,'LAC 102_Wkst'!$D$7:$D$2010,$C$7,'LAC 102_Wkst'!$I$7:$I$2010,$C$9,'LAC 102_Wkst'!$E$7:$E$2010,$C87,'LAC 102_Wkst'!$G$7:$G$2010,$D87,'LAC 102_Wkst'!$L$7:$L$2010,"13",'LAC 102_Wkst'!$N$7:$N$2010,"P2")+SUMIFS('LAC 102_Wkst'!$Q$7:$Q$2010,'LAC 102_Wkst'!$D$7:$D$2010,$C$7,'LAC 102_Wkst'!$I$7:$I$2010,$C$9,'LAC 102_Wkst'!$E$7:$E$2010,$C87,'LAC 102_Wkst'!$G$7:$G$2010,$D87,'LAC 102_Wkst'!$L$7:$L$2010,"13",'LAC 102_Wkst'!$N$7:$N$2010,"P3")+SUMIFS('LAC 102_Wkst'!$Q$7:$Q$2010,'LAC 102_Wkst'!$D$7:$D$2010,$C$7,'LAC 102_Wkst'!$I$7:$I$2010,$C$9,'LAC 102_Wkst'!$E$7:$E$2010,$C87,'LAC 102_Wkst'!$G$7:$G$2010,$D87,'LAC 102_Wkst'!$L$7:$L$2010,"13",'LAC 102_Wkst'!$N$7:$N$2010,"P4")</f>
        <v>0</v>
      </c>
      <c r="BC87" s="411">
        <f>SUMIFS('LAC 102_Wkst'!$AF$7:$AF$2010,'LAC 102_Wkst'!$D$7:$D$2010,$C$7,'LAC 102_Wkst'!$I$7:$I$2010,$C$9,'LAC 102_Wkst'!$E$7:$E$2010,$C87,'LAC 102_Wkst'!$G$7:$G$2010,$D87,'LAC 102_Wkst'!$L$7:$L$2010,"13",'LAC 102_Wkst'!$N$7:$N$2010,"P1")+SUMIFS('LAC 102_Wkst'!$AF$7:$AF$2010,'LAC 102_Wkst'!$D$7:$D$2010,$C$7,'LAC 102_Wkst'!$I$7:$I$2010,$C$9,'LAC 102_Wkst'!$E$7:$E$2010,$C87,'LAC 102_Wkst'!$G$7:$G$2010,$D87,'LAC 102_Wkst'!$L$7:$L$2010,"13",'LAC 102_Wkst'!$N$7:$N$2010,"P2")+SUMIFS('LAC 102_Wkst'!$AF$7:$AF$2010,'LAC 102_Wkst'!$D$7:$D$2010,$C$7,'LAC 102_Wkst'!$I$7:$I$2010,$C$9,'LAC 102_Wkst'!$E$7:$E$2010,$C87,'LAC 102_Wkst'!$G$7:$G$2010,$D87,'LAC 102_Wkst'!$L$7:$L$2010,"13",'LAC 102_Wkst'!$N$7:$N$2010,"P3")+SUMIFS('LAC 102_Wkst'!$AF$7:$AF$2010,'LAC 102_Wkst'!$D$7:$D$2010,$C$7,'LAC 102_Wkst'!$I$7:$I$2010,$C$9,'LAC 102_Wkst'!$E$7:$E$2010,$C87,'LAC 102_Wkst'!$G$7:$G$2010,$D87,'LAC 102_Wkst'!$L$7:$L$2010,"13",'LAC 102_Wkst'!$N$7:$N$2010,"P4")</f>
        <v>0</v>
      </c>
      <c r="BD87" s="410">
        <f>SUMIFS('LAC 102_Wkst'!$Q$7:$Q$2010,'LAC 102_Wkst'!$D$7:$D$2010,$C$7,'LAC 102_Wkst'!$I$7:$I$2010,$C$9,'LAC 102_Wkst'!$E$7:$E$2010,$C87,'LAC 102_Wkst'!$G$7:$G$2010,$D87,'LAC 102_Wkst'!$L$7:$L$2010,"13",'LAC 102_Wkst'!$N$7:$N$2010,"P5")</f>
        <v>0</v>
      </c>
      <c r="BE87" s="411">
        <f>SUMIFS('LAC 102_Wkst'!$AF$7:$AF$2010,'LAC 102_Wkst'!$D$7:$D$2010,$C$7,'LAC 102_Wkst'!$I$7:$I$2010,$C$9,'LAC 102_Wkst'!$E$7:$E$2010,$C87,'LAC 102_Wkst'!$G$7:$G$2010,$D87,'LAC 102_Wkst'!$L$7:$L$2010,"13",'LAC 102_Wkst'!$N$7:$N$2010,"P5")</f>
        <v>0</v>
      </c>
      <c r="BF87" s="407">
        <f t="shared" si="4"/>
        <v>0</v>
      </c>
      <c r="BG87" s="1654">
        <f>SUMIFS('LAC 102_Wkst'!$AF$7:$AF$2010,'LAC 102_Wkst'!$D$7:$D$2010,$C$7,'LAC 102_Wkst'!$I$7:$I$2010,$C$9,'LAC 102_Wkst'!$E$7:$E$2010,$C87,'LAC 102_Wkst'!$G$7:$G$2010,$D87,'LAC 102_Wkst'!$L$7:$L$2010,"14")</f>
        <v>0</v>
      </c>
    </row>
    <row r="88" spans="1:59" x14ac:dyDescent="0.2">
      <c r="A88" s="401">
        <v>66</v>
      </c>
      <c r="B88" s="1678" t="str">
        <f>IF(Schedule_B!B$85="","",Schedule_B!B$85)</f>
        <v/>
      </c>
      <c r="C88" s="1674" t="str">
        <f>IF(Schedule_B!C$85=""," ",Schedule_B!C$85)</f>
        <v xml:space="preserve"> </v>
      </c>
      <c r="D88" s="1675" t="str">
        <f>IF(Schedule_B!D$85=""," ",Schedule_B!D$85)</f>
        <v xml:space="preserve"> </v>
      </c>
      <c r="E88" s="1221">
        <f>SUMIFS('LAC 102_Wkst'!$Q$7:$Q$2010,'LAC 102_Wkst'!$D$7:$D$2010,$C$7,'LAC 102_Wkst'!$I$7:$I$2010,$C$9,'LAC 102_Wkst'!$E$7:$E$2010,$C88,'LAC 102_Wkst'!$G$7:$G$2010,$D88)</f>
        <v>0</v>
      </c>
      <c r="F88" s="408">
        <f>SUMIFS('LAC 102_Wkst'!$Q$7:$Q$2010,'LAC 102_Wkst'!$D$7:$D$2010,$C$7,'LAC 102_Wkst'!$I$7:$I$2010,$C$9,'LAC 102_Wkst'!$E$7:$E$2010,$C88,'LAC 102_Wkst'!$G$7:$G$2010,$D88,'LAC 102_Wkst'!$L$7:$L$2010,"01",'LAC 102_Wkst'!$N$7:$N$2010,"P1")+SUMIFS('LAC 102_Wkst'!$Q$7:$Q$2010,'LAC 102_Wkst'!$D$7:$D$2010,$C$7,'LAC 102_Wkst'!$I$7:$I$2010,$C$9,'LAC 102_Wkst'!$E$7:$E$2010,$C88,'LAC 102_Wkst'!$G$7:$G$2010,$D88,'LAC 102_Wkst'!$L$7:$L$2010,"01",'LAC 102_Wkst'!$N$7:$N$2010,"P2")+SUMIFS('LAC 102_Wkst'!$Q$7:$Q$2010,'LAC 102_Wkst'!$D$7:$D$2010,$C$7,'LAC 102_Wkst'!$I$7:$I$2010,$C$9,'LAC 102_Wkst'!$E$7:$E$2010,$C88,'LAC 102_Wkst'!$G$7:$G$2010,$D88,'LAC 102_Wkst'!$L$7:$L$2010,"01",'LAC 102_Wkst'!$N$7:$N$2010,"P3")+SUMIFS('LAC 102_Wkst'!$Q$7:$Q$2010,'LAC 102_Wkst'!$D$7:$D$2010,$C$7,'LAC 102_Wkst'!$I$7:$I$2010,$C$9,'LAC 102_Wkst'!$E$7:$E$2010,$C88,'LAC 102_Wkst'!$G$7:$G$2010,$D88,'LAC 102_Wkst'!$L$7:$L$2010,"02",'LAC 102_Wkst'!$N$7:$N$2010,"P1")+SUMIFS('LAC 102_Wkst'!$Q$7:$Q$2010,'LAC 102_Wkst'!$D$7:$D$2010,$C$7,'LAC 102_Wkst'!$I$7:$I$2010,$C$9,'LAC 102_Wkst'!$E$7:$E$2010,$C88,'LAC 102_Wkst'!$G$7:$G$2010,$D88,'LAC 102_Wkst'!$L$7:$L$2010,"02",'LAC 102_Wkst'!$N$7:$N$2010,"P2")+SUMIFS('LAC 102_Wkst'!$Q$7:$Q$2010,'LAC 102_Wkst'!$D$7:$D$2010,$C$7,'LAC 102_Wkst'!$I$7:$I$2010,$C$9,'LAC 102_Wkst'!$E$7:$E$2010,$C88,'LAC 102_Wkst'!$G$7:$G$2010,$D88,'LAC 102_Wkst'!$L$7:$L$2010,"02",'LAC 102_Wkst'!$N$7:$N$2010,"P3")</f>
        <v>0</v>
      </c>
      <c r="G88" s="409">
        <f>SUMIFS('LAC 102_Wkst'!$AF$7:$AF$2010,'LAC 102_Wkst'!$D$7:$D$2010,$C$7,'LAC 102_Wkst'!$I$7:$I$2010,$C$9,'LAC 102_Wkst'!$E$7:$E$2010,$C88,'LAC 102_Wkst'!$G$7:$G$2010,$D88,'LAC 102_Wkst'!$L$7:$L$2010,"01",'LAC 102_Wkst'!$N$7:$N$2010,"P1")+SUMIFS('LAC 102_Wkst'!$AF$7:$AF$2010,'LAC 102_Wkst'!$D$7:$D$2010,$C$7,'LAC 102_Wkst'!$I$7:$I$2010,$C$9,'LAC 102_Wkst'!$E$7:$E$2010,$C88,'LAC 102_Wkst'!$G$7:$G$2010,$D88,'LAC 102_Wkst'!$L$7:$L$2010,"01",'LAC 102_Wkst'!$N$7:$N$2010,"P2")+SUMIFS('LAC 102_Wkst'!$AF$7:$AF$2010,'LAC 102_Wkst'!$D$7:$D$2010,$C$7,'LAC 102_Wkst'!$I$7:$I$2010,$C$9,'LAC 102_Wkst'!$E$7:$E$2010,$C88,'LAC 102_Wkst'!$G$7:$G$2010,$D88,'LAC 102_Wkst'!$L$7:$L$2010,"01",'LAC 102_Wkst'!$N$7:$N$2010,"P3")+SUMIFS('LAC 102_Wkst'!$AF$7:$AF$2010,'LAC 102_Wkst'!$D$7:$D$2010,$C$7,'LAC 102_Wkst'!$I$7:$I$2010,$C$9,'LAC 102_Wkst'!$E$7:$E$2010,$C88,'LAC 102_Wkst'!$G$7:$G$2010,$D88,'LAC 102_Wkst'!$L$7:$L$2010,"02",'LAC 102_Wkst'!$N$7:$N$2010,"P1")+SUMIFS('LAC 102_Wkst'!$AF$7:$AF$2010,'LAC 102_Wkst'!$D$7:$D$2010,$C$7,'LAC 102_Wkst'!$I$7:$I$2010,$C$9,'LAC 102_Wkst'!$E$7:$E$2010,$C88,'LAC 102_Wkst'!$G$7:$G$2010,$D88,'LAC 102_Wkst'!$L$7:$L$2010,"02",'LAC 102_Wkst'!$N$7:$N$2010,"P2")+SUMIFS('LAC 102_Wkst'!$AF$7:$AF$2010,'LAC 102_Wkst'!$D$7:$D$2010,$C$7,'LAC 102_Wkst'!$I$7:$I$2010,$C$9,'LAC 102_Wkst'!$E$7:$E$2010,$C88,'LAC 102_Wkst'!$G$7:$G$2010,$D88,'LAC 102_Wkst'!$L$7:$L$2010,"02",'LAC 102_Wkst'!$N$7:$N$2010,"P3")</f>
        <v>0</v>
      </c>
      <c r="H88" s="410">
        <f>SUMIFS('LAC 102_Wkst'!$Q$7:$Q$2010,'LAC 102_Wkst'!$D$7:$D$2010,$C$7,'LAC 102_Wkst'!$I$7:$I$2010,$C$9,'LAC 102_Wkst'!$E$7:$E$2010,$C88,'LAC 102_Wkst'!$G$7:$G$2010,$D88,'LAC 102_Wkst'!$L$7:$L$2010,"01",'LAC 102_Wkst'!$N$7:$N$2010,"P4")+SUMIFS('LAC 102_Wkst'!$Q$7:$Q$2010,'LAC 102_Wkst'!$D$7:$D$2010,$C$7,'LAC 102_Wkst'!$I$7:$I$2010,$C$9,'LAC 102_Wkst'!$E$7:$E$2010,$C88,'LAC 102_Wkst'!$G$7:$G$2010,$D88,'LAC 102_Wkst'!$L$7:$L$2010,"02",'LAC 102_Wkst'!$N$7:$N$2010,"P4")</f>
        <v>0</v>
      </c>
      <c r="I88" s="411">
        <f>SUMIFS('LAC 102_Wkst'!$AF$7:$AF$2010,'LAC 102_Wkst'!$D$7:$D$2010,$C$7,'LAC 102_Wkst'!$I$7:$I$2010,$C$9,'LAC 102_Wkst'!$E$7:$E$2010,$C88,'LAC 102_Wkst'!$G$7:$G$2010,$D88,'LAC 102_Wkst'!$L$7:$L$2010,"01",'LAC 102_Wkst'!$N$7:$N$2010,"P4")+SUMIFS('LAC 102_Wkst'!$AF$7:$AF$2010,'LAC 102_Wkst'!$D$7:$D$2010,$C$7,'LAC 102_Wkst'!$I$7:$I$2010,$C$9,'LAC 102_Wkst'!$E$7:$E$2010,$C88,'LAC 102_Wkst'!$G$7:$G$2010,$D88,'LAC 102_Wkst'!$L$7:$L$2010,"02",'LAC 102_Wkst'!$N$7:$N$2010,"P4")</f>
        <v>0</v>
      </c>
      <c r="J88" s="410">
        <f>SUMIFS('LAC 102_Wkst'!$Q$7:$Q$2010,'LAC 102_Wkst'!$D$7:$D$2010,$C$7,'LAC 102_Wkst'!$I$7:$I$2010,$C$9,'LAC 102_Wkst'!$E$7:$E$2010,$C88,'LAC 102_Wkst'!$G$7:$G$2010,$D88,'LAC 102_Wkst'!$L$7:$L$2010,"01",'LAC 102_Wkst'!$N$7:$N$2010,"P5")+SUMIFS('LAC 102_Wkst'!$Q$7:$Q$2010,'LAC 102_Wkst'!$D$7:$D$2010,$C$7,'LAC 102_Wkst'!$I$7:$I$2010,$C$9,'LAC 102_Wkst'!$E$7:$E$2010,$C88,'LAC 102_Wkst'!$G$7:$G$2010,$D88,'LAC 102_Wkst'!$L$7:$L$2010,"02",'LAC 102_Wkst'!$N$7:$N$2010,"P5")</f>
        <v>0</v>
      </c>
      <c r="K88" s="411">
        <f>SUMIFS('LAC 102_Wkst'!$AF$7:$AF$2010,'LAC 102_Wkst'!$D$7:$D$2010,$C$7,'LAC 102_Wkst'!$I$7:$I$2010,$C$9,'LAC 102_Wkst'!$E$7:$E$2010,$C88,'LAC 102_Wkst'!$G$7:$G$2010,$D88,'LAC 102_Wkst'!$L$7:$L$2010,"01",'LAC 102_Wkst'!$N$7:$N$2010,"P5")+SUMIFS('LAC 102_Wkst'!$AF$7:$AF$2010,'LAC 102_Wkst'!$D$7:$D$2010,$C$7,'LAC 102_Wkst'!$I$7:$I$2010,$C$9,'LAC 102_Wkst'!$E$7:$E$2010,$C88,'LAC 102_Wkst'!$G$7:$G$2010,$D88,'LAC 102_Wkst'!$L$7:$L$2010,"02",'LAC 102_Wkst'!$N$7:$N$2010,"P5")</f>
        <v>0</v>
      </c>
      <c r="L88" s="410">
        <f>SUMIFS('LAC 102_Wkst'!$Q$7:$Q$2010,'LAC 102_Wkst'!$D$7:$D$2010,$C$7,'LAC 102_Wkst'!$I$7:$I$2010,$C$9,'LAC 102_Wkst'!$E$7:$E$2010,$C88,'LAC 102_Wkst'!$G$7:$G$2010,$D88,'LAC 102_Wkst'!$L$7:$L$2010,"03",'LAC 102_Wkst'!$N$7:$N$2010,"P1")+SUMIFS('LAC 102_Wkst'!$Q$7:$Q$2010,'LAC 102_Wkst'!$D$7:$D$2010,$C$7,'LAC 102_Wkst'!$I$7:$I$2010,$C$9,'LAC 102_Wkst'!$E$7:$E$2010,$C88,'LAC 102_Wkst'!$G$7:$G$2010,$D88,'LAC 102_Wkst'!$L$7:$L$2010,"03",'LAC 102_Wkst'!$N$7:$N$2010,"P2")+SUMIFS('LAC 102_Wkst'!$Q$7:$Q$2010,'LAC 102_Wkst'!$D$7:$D$2010,$C$7,'LAC 102_Wkst'!$I$7:$I$2010,$C$9,'LAC 102_Wkst'!$E$7:$E$2010,$C88,'LAC 102_Wkst'!$G$7:$G$2010,$D88,'LAC 102_Wkst'!$L$7:$L$2010,"03",'LAC 102_Wkst'!$N$7:$N$2010,"P3")+SUMIFS('LAC 102_Wkst'!$Q$7:$Q$2010,'LAC 102_Wkst'!$D$7:$D$2010,$C$7,'LAC 102_Wkst'!$I$7:$I$2010,$C$9,'LAC 102_Wkst'!$E$7:$E$2010,$C88,'LAC 102_Wkst'!$G$7:$G$2010,$D88,'LAC 102_Wkst'!$L$7:$L$2010,"04",'LAC 102_Wkst'!$N$7:$N$2010,"P1")+SUMIFS('LAC 102_Wkst'!$Q$7:$Q$2010,'LAC 102_Wkst'!$D$7:$D$2010,$C$7,'LAC 102_Wkst'!$I$7:$I$2010,$C$9,'LAC 102_Wkst'!$E$7:$E$2010,$C88,'LAC 102_Wkst'!$G$7:$G$2010,$D88,'LAC 102_Wkst'!$L$7:$L$2010,"04",'LAC 102_Wkst'!$N$7:$N$2010,"P2")+SUMIFS('LAC 102_Wkst'!$Q$7:$Q$2010,'LAC 102_Wkst'!$D$7:$D$2010,$C$7,'LAC 102_Wkst'!$I$7:$I$2010,$C$9,'LAC 102_Wkst'!$E$7:$E$2010,$C88,'LAC 102_Wkst'!$G$7:$G$2010,$D88,'LAC 102_Wkst'!$L$7:$L$2010,"04",'LAC 102_Wkst'!$N$7:$N$2010,"P3")</f>
        <v>0</v>
      </c>
      <c r="M88" s="411">
        <f>SUMIFS('LAC 102_Wkst'!$AF$7:$AF$2010,'LAC 102_Wkst'!$D$7:$D$2010,$C$7,'LAC 102_Wkst'!$I$7:$I$2010,$C$9,'LAC 102_Wkst'!$E$7:$E$2010,$C88,'LAC 102_Wkst'!$G$7:$G$2010,$D88,'LAC 102_Wkst'!$L$7:$L$2010,"03",'LAC 102_Wkst'!$N$7:$N$2010,"P1")+SUMIFS('LAC 102_Wkst'!$AF$7:$AF$2010,'LAC 102_Wkst'!$D$7:$D$2010,$C$7,'LAC 102_Wkst'!$I$7:$I$2010,$C$9,'LAC 102_Wkst'!$E$7:$E$2010,$C88,'LAC 102_Wkst'!$G$7:$G$2010,$D88,'LAC 102_Wkst'!$L$7:$L$2010,"03",'LAC 102_Wkst'!$N$7:$N$2010,"P2")+SUMIFS('LAC 102_Wkst'!$AF$7:$AF$2010,'LAC 102_Wkst'!$D$7:$D$2010,$C$7,'LAC 102_Wkst'!$I$7:$I$2010,$C$9,'LAC 102_Wkst'!$E$7:$E$2010,$C88,'LAC 102_Wkst'!$G$7:$G$2010,$D88,'LAC 102_Wkst'!$L$7:$L$2010,"03",'LAC 102_Wkst'!$N$7:$N$2010,"P3")+SUMIFS('LAC 102_Wkst'!$AF$7:$AF$2010,'LAC 102_Wkst'!$D$7:$D$2010,$C$7,'LAC 102_Wkst'!$I$7:$I$2010,$C$9,'LAC 102_Wkst'!$E$7:$E$2010,$C88,'LAC 102_Wkst'!$G$7:$G$2010,$D88,'LAC 102_Wkst'!$L$7:$L$2010,"04",'LAC 102_Wkst'!$N$7:$N$2010,"P1")+SUMIFS('LAC 102_Wkst'!$AF$7:$AF$2010,'LAC 102_Wkst'!$D$7:$D$2010,$C$7,'LAC 102_Wkst'!$I$7:$I$2010,$C$9,'LAC 102_Wkst'!$E$7:$E$2010,$C88,'LAC 102_Wkst'!$G$7:$G$2010,$D88,'LAC 102_Wkst'!$L$7:$L$2010,"04",'LAC 102_Wkst'!$N$7:$N$2010,"P2")+SUMIFS('LAC 102_Wkst'!$AF$7:$AF$2010,'LAC 102_Wkst'!$D$7:$D$2010,$C$7,'LAC 102_Wkst'!$I$7:$I$2010,$C$9,'LAC 102_Wkst'!$E$7:$E$2010,$C88,'LAC 102_Wkst'!$G$7:$G$2010,$D88,'LAC 102_Wkst'!$L$7:$L$2010,"04",'LAC 102_Wkst'!$N$7:$N$2010,"P3")</f>
        <v>0</v>
      </c>
      <c r="N88" s="410">
        <f>SUMIFS('LAC 102_Wkst'!$Q$7:$Q$2010,'LAC 102_Wkst'!$D$7:$D$2010,$C$7,'LAC 102_Wkst'!$I$7:$I$2010,$C$9,'LAC 102_Wkst'!$E$7:$E$2010,$C88,'LAC 102_Wkst'!$G$7:$G$2010,$D88,'LAC 102_Wkst'!$L$7:$L$2010,"03",'LAC 102_Wkst'!$N$7:$N$2010,"P4")+SUMIFS('LAC 102_Wkst'!$Q$7:$Q$2010,'LAC 102_Wkst'!$D$7:$D$2010,$C$7,'LAC 102_Wkst'!$I$7:$I$2010,$C$9,'LAC 102_Wkst'!$E$7:$E$2010,$C88,'LAC 102_Wkst'!$G$7:$G$2010,$D88,'LAC 102_Wkst'!$L$7:$L$2010,"04",'LAC 102_Wkst'!$N$7:$N$2010,"P4")</f>
        <v>0</v>
      </c>
      <c r="O88" s="411">
        <f>SUMIFS('LAC 102_Wkst'!$AF$7:$AF$2010,'LAC 102_Wkst'!$D$7:$D$2010,$C$7,'LAC 102_Wkst'!$I$7:$I$2010,$C$9,'LAC 102_Wkst'!$E$7:$E$2010,$C88,'LAC 102_Wkst'!$G$7:$G$2010,$D88,'LAC 102_Wkst'!$L$7:$L$2010,"03",'LAC 102_Wkst'!$N$7:$N$2010,"P4")+SUMIFS('LAC 102_Wkst'!$AF$7:$AF$2010,'LAC 102_Wkst'!$D$7:$D$2010,$C$7,'LAC 102_Wkst'!$I$7:$I$2010,$C$9,'LAC 102_Wkst'!$E$7:$E$2010,$C88,'LAC 102_Wkst'!$G$7:$G$2010,$D88,'LAC 102_Wkst'!$L$7:$L$2010,"04",'LAC 102_Wkst'!$N$7:$N$2010,"P4")</f>
        <v>0</v>
      </c>
      <c r="P88" s="410">
        <f>SUMIFS('LAC 102_Wkst'!$Q$7:$Q$2010,'LAC 102_Wkst'!$D$7:$D$2010,$C$7,'LAC 102_Wkst'!$I$7:$I$2010,$C$9,'LAC 102_Wkst'!$E$7:$E$2010,$C88,'LAC 102_Wkst'!$G$7:$G$2010,$D88,'LAC 102_Wkst'!$L$7:$L$2010,"03",'LAC 102_Wkst'!$N$7:$N$2010,"P5")+SUMIFS('LAC 102_Wkst'!$Q$7:$Q$2010,'LAC 102_Wkst'!$D$7:$D$2010,$C$7,'LAC 102_Wkst'!$I$7:$I$2010,$C$9,'LAC 102_Wkst'!$E$7:$E$2010,$C88,'LAC 102_Wkst'!$G$7:$G$2010,$D88,'LAC 102_Wkst'!$L$7:$L$2010,"04",'LAC 102_Wkst'!$N$7:$N$2010,"P5")</f>
        <v>0</v>
      </c>
      <c r="Q88" s="411">
        <f>SUMIFS('LAC 102_Wkst'!$AF$7:$AF$2010,'LAC 102_Wkst'!$D$7:$D$2010,$C$7,'LAC 102_Wkst'!$I$7:$I$2010,$C$9,'LAC 102_Wkst'!$E$7:$E$2010,$C88,'LAC 102_Wkst'!$G$7:$G$2010,$D88,'LAC 102_Wkst'!$L$7:$L$2010,"03",'LAC 102_Wkst'!$N$7:$N$2010,"P5")+SUMIFS('LAC 102_Wkst'!$AF$7:$AF$2010,'LAC 102_Wkst'!$D$7:$D$2010,$C$7,'LAC 102_Wkst'!$I$7:$I$2010,$C$9,'LAC 102_Wkst'!$E$7:$E$2010,$C88,'LAC 102_Wkst'!$G$7:$G$2010,$D88,'LAC 102_Wkst'!$L$7:$L$2010,"04",'LAC 102_Wkst'!$N$7:$N$2010,"P5")</f>
        <v>0</v>
      </c>
      <c r="R88" s="412">
        <f>SUMIFS('LAC 102_Wkst'!$Q$7:$Q$2010,'LAC 102_Wkst'!$D$7:$D$2010,$C$7,'LAC 102_Wkst'!$I$7:$I$2010,$C$9,'LAC 102_Wkst'!$E$7:$E$2010,$C88,'LAC 102_Wkst'!$G$7:$G$2010,$D88,'LAC 102_Wkst'!$L$7:$L$2010,"05",'LAC 102_Wkst'!$N$7:$N$2010,"P1")+SUMIFS('LAC 102_Wkst'!$Q$7:$Q$2010,'LAC 102_Wkst'!$D$7:$D$2010,$C$7,'LAC 102_Wkst'!$I$7:$I$2010,$C$9,'LAC 102_Wkst'!$E$7:$E$2010,$C88,'LAC 102_Wkst'!$G$7:$G$2010,$D88,'LAC 102_Wkst'!$L$7:$L$2010,"06",'LAC 102_Wkst'!$N$7:$N$2010,"P1")</f>
        <v>0</v>
      </c>
      <c r="S88" s="411">
        <f>SUMIFS('LAC 102_Wkst'!$AF$7:$AF$2010,'LAC 102_Wkst'!$D$7:$D$2010,$C$7,'LAC 102_Wkst'!$I$7:$I$2010,$C$9,'LAC 102_Wkst'!$E$7:$E$2010,$C88,'LAC 102_Wkst'!$G$7:$G$2010,$D88,'LAC 102_Wkst'!$L$7:$L$2010,"05",'LAC 102_Wkst'!$N$7:$N$2010,"P1")+SUMIFS('LAC 102_Wkst'!$AF$7:$AF$2010,'LAC 102_Wkst'!$D$7:$D$2010,$C$7,'LAC 102_Wkst'!$I$7:$I$2010,$C$9,'LAC 102_Wkst'!$E$7:$E$2010,$C88,'LAC 102_Wkst'!$G$7:$G$2010,$D88,'LAC 102_Wkst'!$L$7:$L$2010,"06",'LAC 102_Wkst'!$N$7:$N$2010,"P1")</f>
        <v>0</v>
      </c>
      <c r="T88" s="410">
        <f>SUMIFS('LAC 102_Wkst'!$Q$7:$Q$2010,'LAC 102_Wkst'!$D$7:$D$2010,$C$7,'LAC 102_Wkst'!$I$7:$I$2010,$C$9,'LAC 102_Wkst'!$E$7:$E$2010,$C88,'LAC 102_Wkst'!$G$7:$G$2010,$D88,'LAC 102_Wkst'!$L$7:$L$2010,"05",'LAC 102_Wkst'!$N$7:$N$2010,"P2")+SUMIFS('LAC 102_Wkst'!$Q$7:$Q$2010,'LAC 102_Wkst'!$D$7:$D$2010,$C$7,'LAC 102_Wkst'!$I$7:$I$2010,$C$9,'LAC 102_Wkst'!$E$7:$E$2010,$C88,'LAC 102_Wkst'!$G$7:$G$2010,$D88,'LAC 102_Wkst'!$L$7:$L$2010,"06",'LAC 102_Wkst'!$N$7:$N$2010,"P2")+SUMIFS('LAC 102_Wkst'!$Q$7:$Q$2010,'LAC 102_Wkst'!$D$7:$D$2010,$C$7,'LAC 102_Wkst'!$I$7:$I$2010,$C$9,'LAC 102_Wkst'!$E$7:$E$2010,$C88,'LAC 102_Wkst'!$G$7:$G$2010,$D88,'LAC 102_Wkst'!$L$7:$L$2010,"05",'LAC 102_Wkst'!$N$7:$N$2010,"P3")+SUMIFS('LAC 102_Wkst'!$Q$7:$Q$2010,'LAC 102_Wkst'!$D$7:$D$2010,$C$7,'LAC 102_Wkst'!$I$7:$I$2010,$C$9,'LAC 102_Wkst'!$E$7:$E$2010,$C88,'LAC 102_Wkst'!$G$7:$G$2010,$D88,'LAC 102_Wkst'!$L$7:$L$2010,"06",'LAC 102_Wkst'!$N$7:$N$2010,"P3")</f>
        <v>0</v>
      </c>
      <c r="U88" s="411">
        <f>SUMIFS('LAC 102_Wkst'!$AF$7:$AF$2010,'LAC 102_Wkst'!$D$7:$D$2010,$C$7,'LAC 102_Wkst'!$I$7:$I$2010,$C$9,'LAC 102_Wkst'!$E$7:$E$2010,$C88,'LAC 102_Wkst'!$G$7:$G$2010,$D88,'LAC 102_Wkst'!$L$7:$L$2010,"05",'LAC 102_Wkst'!$N$7:$N$2010,"P2")+SUMIFS('LAC 102_Wkst'!$AF$7:$AF$2010,'LAC 102_Wkst'!$D$7:$D$2010,$C$7,'LAC 102_Wkst'!$I$7:$I$2010,$C$9,'LAC 102_Wkst'!$E$7:$E$2010,$C88,'LAC 102_Wkst'!$G$7:$G$2010,$D88,'LAC 102_Wkst'!$L$7:$L$2010,"06",'LAC 102_Wkst'!$N$7:$N$2010,"P2")+SUMIFS('LAC 102_Wkst'!$AF$7:$AF$2010,'LAC 102_Wkst'!$D$7:$D$2010,$C$7,'LAC 102_Wkst'!$I$7:$I$2010,$C$9,'LAC 102_Wkst'!$E$7:$E$2010,$C88,'LAC 102_Wkst'!$G$7:$G$2010,$D88,'LAC 102_Wkst'!$L$7:$L$2010,"05",'LAC 102_Wkst'!$N$7:$N$2010,"P3")+SUMIFS('LAC 102_Wkst'!$AF$7:$AF$2010,'LAC 102_Wkst'!$D$7:$D$2010,$C$7,'LAC 102_Wkst'!$I$7:$I$2010,$C$9,'LAC 102_Wkst'!$E$7:$E$2010,$C88,'LAC 102_Wkst'!$G$7:$G$2010,$D88,'LAC 102_Wkst'!$L$7:$L$2010,"06",'LAC 102_Wkst'!$N$7:$N$2010,"P3")</f>
        <v>0</v>
      </c>
      <c r="V88" s="410">
        <f>SUMIFS('LAC 102_Wkst'!$Q$7:$Q$2010,'LAC 102_Wkst'!$D$7:$D$2010,$C$7,'LAC 102_Wkst'!$I$7:$I$2010,$C$9,'LAC 102_Wkst'!$E$7:$E$2010,$C88,'LAC 102_Wkst'!$G$7:$G$2010,$D88,'LAC 102_Wkst'!$L$7:$L$2010,"05",'LAC 102_Wkst'!$N$7:$N$2010,"P4")+SUMIFS('LAC 102_Wkst'!$Q$7:$Q$2010,'LAC 102_Wkst'!$D$7:$D$2010,$C$7,'LAC 102_Wkst'!$I$7:$I$2010,$C$9,'LAC 102_Wkst'!$E$7:$E$2010,$C88,'LAC 102_Wkst'!$G$7:$G$2010,$D88,'LAC 102_Wkst'!$L$7:$L$2010,"06",'LAC 102_Wkst'!$N$7:$N$2010,"P4")</f>
        <v>0</v>
      </c>
      <c r="W88" s="411">
        <f>SUMIFS('LAC 102_Wkst'!$AF$7:$AF$2010,'LAC 102_Wkst'!$D$7:$D$2010,$C$7,'LAC 102_Wkst'!$I$7:$I$2010,$C$9,'LAC 102_Wkst'!$E$7:$E$2010,$C88,'LAC 102_Wkst'!$G$7:$G$2010,$D88,'LAC 102_Wkst'!$L$7:$L$2010,"05",'LAC 102_Wkst'!$N$7:$N$2010,"P4")+SUMIFS('LAC 102_Wkst'!$AF$7:$AF$2010,'LAC 102_Wkst'!$D$7:$D$2010,$C$7,'LAC 102_Wkst'!$I$7:$I$2010,$C$9,'LAC 102_Wkst'!$E$7:$E$2010,$C88,'LAC 102_Wkst'!$G$7:$G$2010,$D88,'LAC 102_Wkst'!$L$7:$L$2010,"06",'LAC 102_Wkst'!$N$7:$N$2010,"P4")</f>
        <v>0</v>
      </c>
      <c r="X88" s="410">
        <f>SUMIFS('LAC 102_Wkst'!$Q$7:$Q$2010,'LAC 102_Wkst'!$D$7:$D$2010,$C$7,'LAC 102_Wkst'!$I$7:$I$2010,$C$9,'LAC 102_Wkst'!$E$7:$E$2010,$C88,'LAC 102_Wkst'!$G$7:$G$2010,$D88,'LAC 102_Wkst'!$L$7:$L$2010,"05",'LAC 102_Wkst'!$N$7:$N$2010,"P5")+SUMIFS('LAC 102_Wkst'!$Q$7:$Q$2010,'LAC 102_Wkst'!$D$7:$D$2010,$C$7,'LAC 102_Wkst'!$I$7:$I$2010,$C$9,'LAC 102_Wkst'!$E$7:$E$2010,$C88,'LAC 102_Wkst'!$G$7:$G$2010,$D88,'LAC 102_Wkst'!$L$7:$L$2010,"06",'LAC 102_Wkst'!$N$7:$N$2010,"P5")</f>
        <v>0</v>
      </c>
      <c r="Y88" s="411">
        <f>SUMIFS('LAC 102_Wkst'!$AF$7:$AF$2010,'LAC 102_Wkst'!$D$7:$D$2010,$C$7,'LAC 102_Wkst'!$I$7:$I$2010,$C$9,'LAC 102_Wkst'!$E$7:$E$2010,$C88,'LAC 102_Wkst'!$G$7:$G$2010,$D88,'LAC 102_Wkst'!$L$7:$L$2010,"05",'LAC 102_Wkst'!$N$7:$N$2010,"P5")+SUMIFS('LAC 102_Wkst'!$AF$7:$AF$2010,'LAC 102_Wkst'!$D$7:$D$2010,$C$7,'LAC 102_Wkst'!$I$7:$I$2010,$C$9,'LAC 102_Wkst'!$E$7:$E$2010,$C88,'LAC 102_Wkst'!$G$7:$G$2010,$D88,'LAC 102_Wkst'!$L$7:$L$2010,"06",'LAC 102_Wkst'!$N$7:$N$2010,"P5")</f>
        <v>0</v>
      </c>
      <c r="Z88" s="410">
        <f>SUMIFS('LAC 102_Wkst'!$Q$7:$Q$2010,'LAC 102_Wkst'!$D$7:$D$2010,$C$7,'LAC 102_Wkst'!$I$7:$I$2010,$C$9,'LAC 102_Wkst'!$E$7:$E$2010,$C88,'LAC 102_Wkst'!$G$7:$G$2010,$D88,'LAC 102_Wkst'!$L$7:$L$2010,"07",'LAC 102_Wkst'!$N$7:$N$2010,"P1")+SUMIFS('LAC 102_Wkst'!$Q$7:$Q$2010,'LAC 102_Wkst'!$D$7:$D$2010,$C$7,'LAC 102_Wkst'!$I$7:$I$2010,$C$9,'LAC 102_Wkst'!$E$7:$E$2010,$C88,'LAC 102_Wkst'!$G$7:$G$2010,$D88,'LAC 102_Wkst'!$L$7:$L$2010,"07",'LAC 102_Wkst'!$N$7:$N$2010,"P2")+SUMIFS('LAC 102_Wkst'!$Q$7:$Q$2010,'LAC 102_Wkst'!$D$7:$D$2010,$C$7,'LAC 102_Wkst'!$I$7:$I$2010,$C$9,'LAC 102_Wkst'!$E$7:$E$2010,$C88,'LAC 102_Wkst'!$G$7:$G$2010,$D88,'LAC 102_Wkst'!$L$7:$L$2010,"07",'LAC 102_Wkst'!$N$7:$N$2010,"P3")</f>
        <v>0</v>
      </c>
      <c r="AA88" s="411">
        <f>SUMIFS('LAC 102_Wkst'!$AF$7:$AF$2010,'LAC 102_Wkst'!$D$7:$D$2010,$C$7,'LAC 102_Wkst'!$I$7:$I$2010,$C$9,'LAC 102_Wkst'!$E$7:$E$2010,$C88,'LAC 102_Wkst'!$G$7:$G$2010,$D88,'LAC 102_Wkst'!$L$7:$L$2010,"07",'LAC 102_Wkst'!$N$7:$N$2010,"P1")+SUMIFS('LAC 102_Wkst'!$AF$7:$AF$2010,'LAC 102_Wkst'!$D$7:$D$2010,$C$7,'LAC 102_Wkst'!$I$7:$I$2010,$C$9,'LAC 102_Wkst'!$E$7:$E$2010,$C88,'LAC 102_Wkst'!$G$7:$G$2010,$D88,'LAC 102_Wkst'!$L$7:$L$2010,"07",'LAC 102_Wkst'!$N$7:$N$2010,"P2")+SUMIFS('LAC 102_Wkst'!$AF$7:$AF$2010,'LAC 102_Wkst'!$D$7:$D$2010,$C$7,'LAC 102_Wkst'!$I$7:$I$2010,$C$9,'LAC 102_Wkst'!$E$7:$E$2010,$C88,'LAC 102_Wkst'!$G$7:$G$2010,$D88,'LAC 102_Wkst'!$L$7:$L$2010,"07",'LAC 102_Wkst'!$N$7:$N$2010,"P3")</f>
        <v>0</v>
      </c>
      <c r="AB88" s="410">
        <f>SUMIFS('LAC 102_Wkst'!$Q$7:$Q$2010,'LAC 102_Wkst'!$D$7:$D$2010,$C$7,'LAC 102_Wkst'!$I$7:$I$2010,$C$9,'LAC 102_Wkst'!$E$7:$E$2010,$C88,'LAC 102_Wkst'!$G$7:$G$2010,$D88,'LAC 102_Wkst'!$L$7:$L$2010,"07",'LAC 102_Wkst'!$N$7:$N$2010,"P4")</f>
        <v>0</v>
      </c>
      <c r="AC88" s="411">
        <f>SUMIFS('LAC 102_Wkst'!$AF$7:$AF$2010,'LAC 102_Wkst'!$D$7:$D$2010,$C$7,'LAC 102_Wkst'!$I$7:$I$2010,$C$9,'LAC 102_Wkst'!$E$7:$E$2010,$C88,'LAC 102_Wkst'!$G$7:$G$2010,$D88,'LAC 102_Wkst'!$L$7:$L$2010,"07",'LAC 102_Wkst'!$N$7:$N$2010,"P4")</f>
        <v>0</v>
      </c>
      <c r="AD88" s="410">
        <f>SUMIFS('LAC 102_Wkst'!$Q$7:$Q$2010,'LAC 102_Wkst'!$D$7:$D$2010,$C$7,'LAC 102_Wkst'!$I$7:$I$2010,$C$9,'LAC 102_Wkst'!$E$7:$E$2010,$C88,'LAC 102_Wkst'!$G$7:$G$2010,$D88,'LAC 102_Wkst'!$L$7:$L$2010,"07",'LAC 102_Wkst'!$N$7:$N$2010,"P5")</f>
        <v>0</v>
      </c>
      <c r="AE88" s="411">
        <f>SUMIFS('LAC 102_Wkst'!$AF$7:$AF$2010,'LAC 102_Wkst'!$D$7:$D$2010,$C$7,'LAC 102_Wkst'!$I$7:$I$2010,$C$9,'LAC 102_Wkst'!$E$7:$E$2010,$C88,'LAC 102_Wkst'!$G$7:$G$2010,$D88,'LAC 102_Wkst'!$L$7:$L$2010,"07",'LAC 102_Wkst'!$N$7:$N$2010,"P5")</f>
        <v>0</v>
      </c>
      <c r="AF88" s="410">
        <f>SUMIFS('LAC 102_Wkst'!$Q$7:$Q$2010,'LAC 102_Wkst'!$D$7:$D$2010,$C$7,'LAC 102_Wkst'!$I$7:$I$2010,$C$9,'LAC 102_Wkst'!$E$7:$E$2010,$C88,'LAC 102_Wkst'!$G$7:$G$2010,$D88,'LAC 102_Wkst'!$L$7:$L$2010,"08",'LAC 102_Wkst'!$N$7:$N$2010,"P1")+SUMIFS('LAC 102_Wkst'!$Q$7:$Q$2010,'LAC 102_Wkst'!$D$7:$D$2010,$C$7,'LAC 102_Wkst'!$I$7:$I$2010,$C$9,'LAC 102_Wkst'!$E$7:$E$2010,$C88,'LAC 102_Wkst'!$G$7:$G$2010,$D88,'LAC 102_Wkst'!$L$7:$L$2010,"08",'LAC 102_Wkst'!$N$7:$N$2010,"P2")+SUMIFS('LAC 102_Wkst'!$Q$7:$Q$2010,'LAC 102_Wkst'!$D$7:$D$2010,$C$7,'LAC 102_Wkst'!$I$7:$I$2010,$C$9,'LAC 102_Wkst'!$E$7:$E$2010,$C88,'LAC 102_Wkst'!$G$7:$G$2010,$D88,'LAC 102_Wkst'!$L$7:$L$2010,"08",'LAC 102_Wkst'!$N$7:$N$2010,"P3")</f>
        <v>0</v>
      </c>
      <c r="AG88" s="411">
        <f>SUMIFS('LAC 102_Wkst'!$AF$7:$AF$2010,'LAC 102_Wkst'!$D$7:$D$2010,$C$7,'LAC 102_Wkst'!$I$7:$I$2010,$C$9,'LAC 102_Wkst'!$E$7:$E$2010,$C88,'LAC 102_Wkst'!$G$7:$G$2010,$D88,'LAC 102_Wkst'!$L$7:$L$2010,"08",'LAC 102_Wkst'!$N$7:$N$2010,"P1")+SUMIFS('LAC 102_Wkst'!$AF$7:$AF$2010,'LAC 102_Wkst'!$D$7:$D$2010,$C$7,'LAC 102_Wkst'!$I$7:$I$2010,$C$9,'LAC 102_Wkst'!$E$7:$E$2010,$C88,'LAC 102_Wkst'!$G$7:$G$2010,$D88,'LAC 102_Wkst'!$L$7:$L$2010,"08",'LAC 102_Wkst'!$N$7:$N$2010,"P2")+SUMIFS('LAC 102_Wkst'!$AF$7:$AF$2010,'LAC 102_Wkst'!$D$7:$D$2010,$C$7,'LAC 102_Wkst'!$I$7:$I$2010,$C$9,'LAC 102_Wkst'!$E$7:$E$2010,$C88,'LAC 102_Wkst'!$G$7:$G$2010,$D88,'LAC 102_Wkst'!$L$7:$L$2010,"08",'LAC 102_Wkst'!$N$7:$N$2010,"P3")</f>
        <v>0</v>
      </c>
      <c r="AH88" s="410">
        <f>SUMIFS('LAC 102_Wkst'!$Q$7:$Q$2010,'LAC 102_Wkst'!$D$7:$D$2010,$C$7,'LAC 102_Wkst'!$I$7:$I$2010,$C$9,'LAC 102_Wkst'!$E$7:$E$2010,$C88,'LAC 102_Wkst'!$G$7:$G$2010,$D88,'LAC 102_Wkst'!$L$7:$L$2010,"08",'LAC 102_Wkst'!$N$7:$N$2010,"P4")</f>
        <v>0</v>
      </c>
      <c r="AI88" s="411">
        <f>SUMIFS('LAC 102_Wkst'!$AF$7:$AF$2010,'LAC 102_Wkst'!$D$7:$D$2010,$C$7,'LAC 102_Wkst'!$I$7:$I$2010,$C$9,'LAC 102_Wkst'!$E$7:$E$2010,$C88,'LAC 102_Wkst'!$G$7:$G$2010,$D88,'LAC 102_Wkst'!$L$7:$L$2010,"08",'LAC 102_Wkst'!$N$7:$N$2010,"P4")</f>
        <v>0</v>
      </c>
      <c r="AJ88" s="410">
        <f>SUMIFS('LAC 102_Wkst'!$Q$7:$Q$2010,'LAC 102_Wkst'!$D$7:$D$2010,$C$7,'LAC 102_Wkst'!$I$7:$I$2010,$C$9,'LAC 102_Wkst'!$E$7:$E$2010,$C88,'LAC 102_Wkst'!$G$7:$G$2010,$D88,'LAC 102_Wkst'!$L$7:$L$2010,"08",'LAC 102_Wkst'!$N$7:$N$2010,"P5")</f>
        <v>0</v>
      </c>
      <c r="AK88" s="411">
        <f>SUMIFS('LAC 102_Wkst'!$AF$7:$AF$2010,'LAC 102_Wkst'!$D$7:$D$2010,$C$7,'LAC 102_Wkst'!$I$7:$I$2010,$C$9,'LAC 102_Wkst'!$E$7:$E$2010,$C88,'LAC 102_Wkst'!$G$7:$G$2010,$D88,'LAC 102_Wkst'!$L$7:$L$2010,"08",'LAC 102_Wkst'!$N$7:$N$2010,"P5")</f>
        <v>0</v>
      </c>
      <c r="AL88" s="410">
        <f>SUMIFS('LAC 102_Wkst'!$Q$7:$Q$2010,'LAC 102_Wkst'!$D$7:$D$2010,$C$7,'LAC 102_Wkst'!$I$7:$I$2010,$C$9,'LAC 102_Wkst'!$E$7:$E$2010,$C88,'LAC 102_Wkst'!$G$7:$G$2010,$D88,'LAC 102_Wkst'!$L$7:$L$2010,"09",'LAC 102_Wkst'!$N$7:$N$2010,"P1")+SUMIFS('LAC 102_Wkst'!$Q$7:$Q$2010,'LAC 102_Wkst'!$D$7:$D$2010,$C$7,'LAC 102_Wkst'!$I$7:$I$2010,$C$9,'LAC 102_Wkst'!$E$7:$E$2010,$C88,'LAC 102_Wkst'!$G$7:$G$2010,$D88,'LAC 102_Wkst'!$L$7:$L$2010,"09",'LAC 102_Wkst'!$N$7:$N$2010,"P2")+SUMIFS('LAC 102_Wkst'!$Q$7:$Q$2010,'LAC 102_Wkst'!$D$7:$D$2010,$C$7,'LAC 102_Wkst'!$I$7:$I$2010,$C$9,'LAC 102_Wkst'!$E$7:$E$2010,$C88,'LAC 102_Wkst'!$G$7:$G$2010,$D88,'LAC 102_Wkst'!$L$7:$L$2010,"09",'LAC 102_Wkst'!$N$7:$N$2010,"P3")+SUMIFS('LAC 102_Wkst'!$Q$7:$Q$2010,'LAC 102_Wkst'!$D$7:$D$2010,$C$7,'LAC 102_Wkst'!$I$7:$I$2010,$C$9,'LAC 102_Wkst'!$E$7:$E$2010,$C88,'LAC 102_Wkst'!$G$7:$G$2010,$D88,'LAC 102_Wkst'!$L$7:$L$2010,"09",'LAC 102_Wkst'!$N$7:$N$2010,"P4")</f>
        <v>0</v>
      </c>
      <c r="AM88" s="411">
        <f>SUMIFS('LAC 102_Wkst'!$AF$7:$AF$2010,'LAC 102_Wkst'!$D$7:$D$2010,$C$7,'LAC 102_Wkst'!$I$7:$I$2010,$C$9,'LAC 102_Wkst'!$E$7:$E$2010,$C88,'LAC 102_Wkst'!$G$7:$G$2010,$D88,'LAC 102_Wkst'!$L$7:$L$2010,"09",'LAC 102_Wkst'!$N$7:$N$2010,"P1")+SUMIFS('LAC 102_Wkst'!$AF$7:$AF$2010,'LAC 102_Wkst'!$D$7:$D$2010,$C$7,'LAC 102_Wkst'!$I$7:$I$2010,$C$9,'LAC 102_Wkst'!$E$7:$E$2010,$C88,'LAC 102_Wkst'!$G$7:$G$2010,$D88,'LAC 102_Wkst'!$L$7:$L$2010,"09",'LAC 102_Wkst'!$N$7:$N$2010,"P2")+SUMIFS('LAC 102_Wkst'!$AF$7:$AF$2010,'LAC 102_Wkst'!$D$7:$D$2010,$C$7,'LAC 102_Wkst'!$I$7:$I$2010,$C$9,'LAC 102_Wkst'!$E$7:$E$2010,$C88,'LAC 102_Wkst'!$G$7:$G$2010,$D88,'LAC 102_Wkst'!$L$7:$L$2010,"09",'LAC 102_Wkst'!$N$7:$N$2010,"P3")+SUMIFS('LAC 102_Wkst'!$AF$7:$AF$2010,'LAC 102_Wkst'!$D$7:$D$2010,$C$7,'LAC 102_Wkst'!$I$7:$I$2010,$C$9,'LAC 102_Wkst'!$E$7:$E$2010,$C88,'LAC 102_Wkst'!$G$7:$G$2010,$D88,'LAC 102_Wkst'!$L$7:$L$2010,"09",'LAC 102_Wkst'!$N$7:$N$2010,"P4")</f>
        <v>0</v>
      </c>
      <c r="AN88" s="410">
        <f>SUMIFS('LAC 102_Wkst'!$Q$7:$Q$2010,'LAC 102_Wkst'!$D$7:$D$2010,$C$7,'LAC 102_Wkst'!$I$7:$I$2010,$C$9,'LAC 102_Wkst'!$E$7:$E$2010,$C88,'LAC 102_Wkst'!$G$7:$G$2010,$D88,'LAC 102_Wkst'!$L$7:$L$2010,"09",'LAC 102_Wkst'!$N$7:$N$2010,"P5")</f>
        <v>0</v>
      </c>
      <c r="AO88" s="411">
        <f>SUMIFS('LAC 102_Wkst'!$AF$7:$AF$2010,'LAC 102_Wkst'!$D$7:$D$2010,$C$7,'LAC 102_Wkst'!$I$7:$I$2010,$C$9,'LAC 102_Wkst'!$E$7:$E$2010,$C88,'LAC 102_Wkst'!$G$7:$G$2010,$D88,'LAC 102_Wkst'!$L$7:$L$2010,"09",'LAC 102_Wkst'!$N$7:$N$2010,"P5")</f>
        <v>0</v>
      </c>
      <c r="AP88" s="410">
        <f>SUMIFS('LAC 102_Wkst'!$Q$7:$Q$2010,'LAC 102_Wkst'!$D$7:$D$2010,$C$7,'LAC 102_Wkst'!$I$7:$I$2010,$C$9,'LAC 102_Wkst'!$E$7:$E$2010,$C88,'LAC 102_Wkst'!$G$7:$G$2010,$D88,'LAC 102_Wkst'!$L$7:$L$2010,"10",'LAC 102_Wkst'!$N$7:$N$2010,"P1")+SUMIFS('LAC 102_Wkst'!$Q$7:$Q$2010,'LAC 102_Wkst'!$D$7:$D$2010,$C$7,'LAC 102_Wkst'!$I$7:$I$2010,$C$9,'LAC 102_Wkst'!$E$7:$E$2010,$C88,'LAC 102_Wkst'!$G$7:$G$2010,$D88,'LAC 102_Wkst'!$L$7:$L$2010,"10",'LAC 102_Wkst'!$N$7:$N$2010,"P2")+SUMIFS('LAC 102_Wkst'!$Q$7:$Q$2010,'LAC 102_Wkst'!$D$7:$D$2010,$C$7,'LAC 102_Wkst'!$I$7:$I$2010,$C$9,'LAC 102_Wkst'!$E$7:$E$2010,$C88,'LAC 102_Wkst'!$G$7:$G$2010,$D88,'LAC 102_Wkst'!$L$7:$L$2010,"10",'LAC 102_Wkst'!$N$7:$N$2010,"P3")+SUMIFS('LAC 102_Wkst'!$Q$7:$Q$2010,'LAC 102_Wkst'!$D$7:$D$2010,$C$7,'LAC 102_Wkst'!$I$7:$I$2010,$C$9,'LAC 102_Wkst'!$E$7:$E$2010,$C88,'LAC 102_Wkst'!$G$7:$G$2010,$D88,'LAC 102_Wkst'!$L$7:$L$2010,"10",'LAC 102_Wkst'!$N$7:$N$2010,"P4")</f>
        <v>0</v>
      </c>
      <c r="AQ88" s="411">
        <f>SUMIFS('LAC 102_Wkst'!$AF$7:$AF$2010,'LAC 102_Wkst'!$D$7:$D$2010,$C$7,'LAC 102_Wkst'!$I$7:$I$2010,$C$9,'LAC 102_Wkst'!$E$7:$E$2010,$C88,'LAC 102_Wkst'!$G$7:$G$2010,$D88,'LAC 102_Wkst'!$L$7:$L$2010,"10",'LAC 102_Wkst'!$N$7:$N$2010,"P1")+SUMIFS('LAC 102_Wkst'!$AF$7:$AF$2010,'LAC 102_Wkst'!$D$7:$D$2010,$C$7,'LAC 102_Wkst'!$I$7:$I$2010,$C$9,'LAC 102_Wkst'!$E$7:$E$2010,$C88,'LAC 102_Wkst'!$G$7:$G$2010,$D88,'LAC 102_Wkst'!$L$7:$L$2010,"10",'LAC 102_Wkst'!$N$7:$N$2010,"P2")+SUMIFS('LAC 102_Wkst'!$AF$7:$AF$2010,'LAC 102_Wkst'!$D$7:$D$2010,$C$7,'LAC 102_Wkst'!$I$7:$I$2010,$C$9,'LAC 102_Wkst'!$E$7:$E$2010,$C88,'LAC 102_Wkst'!$G$7:$G$2010,$D88,'LAC 102_Wkst'!$L$7:$L$2010,"10",'LAC 102_Wkst'!$N$7:$N$2010,"P3")+SUMIFS('LAC 102_Wkst'!$AF$7:$AF$2010,'LAC 102_Wkst'!$D$7:$D$2010,$C$7,'LAC 102_Wkst'!$I$7:$I$2010,$C$9,'LAC 102_Wkst'!$E$7:$E$2010,$C88,'LAC 102_Wkst'!$G$7:$G$2010,$D88,'LAC 102_Wkst'!$L$7:$L$2010,"10",'LAC 102_Wkst'!$N$7:$N$2010,"P4")</f>
        <v>0</v>
      </c>
      <c r="AR88" s="410">
        <f>SUMIFS('LAC 102_Wkst'!$Q$7:$Q$2010,'LAC 102_Wkst'!$D$7:$D$2010,$C$7,'LAC 102_Wkst'!$I$7:$I$2010,$C$9,'LAC 102_Wkst'!$E$7:$E$2010,$C88,'LAC 102_Wkst'!$G$7:$G$2010,$D88,'LAC 102_Wkst'!$L$7:$L$2010,"10",'LAC 102_Wkst'!$N$7:$N$2010,"P5")</f>
        <v>0</v>
      </c>
      <c r="AS88" s="411">
        <f>SUMIFS('LAC 102_Wkst'!$AF$7:$AF$2010,'LAC 102_Wkst'!$D$7:$D$2010,$C$7,'LAC 102_Wkst'!$I$7:$I$2010,$C$9,'LAC 102_Wkst'!$E$7:$E$2010,$C88,'LAC 102_Wkst'!$G$7:$G$2010,$D88,'LAC 102_Wkst'!$L$7:$L$2010,"10",'LAC 102_Wkst'!$N$7:$N$2010,"P5")</f>
        <v>0</v>
      </c>
      <c r="AT88" s="410">
        <f>SUMIFS('LAC 102_Wkst'!$Q$7:$Q$2010,'LAC 102_Wkst'!$D$7:$D$2010,$C$7,'LAC 102_Wkst'!$I$7:$I$2010,$C$9,'LAC 102_Wkst'!$E$7:$E$2010,$C88,'LAC 102_Wkst'!$G$7:$G$2010,$D88,'LAC 102_Wkst'!$L$7:$L$2010,"11",'LAC 102_Wkst'!$N$7:$N$2010,"P1")+SUMIFS('LAC 102_Wkst'!$Q$7:$Q$2010,'LAC 102_Wkst'!$D$7:$D$2010,$C$7,'LAC 102_Wkst'!$I$7:$I$2010,$C$9,'LAC 102_Wkst'!$E$7:$E$2010,$C88,'LAC 102_Wkst'!$G$7:$G$2010,$D88,'LAC 102_Wkst'!$L$7:$L$2010,"12",'LAC 102_Wkst'!$N$7:$N$2010,"P1")</f>
        <v>0</v>
      </c>
      <c r="AU88" s="411">
        <f>SUMIFS('LAC 102_Wkst'!$Q$7:$Q$2010,'LAC 102_Wkst'!$D$7:$D$2010,$C$7,'LAC 102_Wkst'!$I$7:$I$2010,$C$9,'LAC 102_Wkst'!$E$7:$E$2010,$C88,'LAC 102_Wkst'!$G$7:$G$2010,$D88,'LAC 102_Wkst'!$L$7:$L$2010,"13",'LAC 102_Wkst'!$N$7:$N$2010,"P5")</f>
        <v>0</v>
      </c>
      <c r="AV88" s="410">
        <f>SUMIFS('LAC 102_Wkst'!$Q$7:$Q$2010,'LAC 102_Wkst'!$D$7:$D$2010,$C$7,'LAC 102_Wkst'!$I$7:$I$2010,$C$9,'LAC 102_Wkst'!$E$7:$E$2010,$C88,'LAC 102_Wkst'!$G$7:$G$2010,$D88,'LAC 102_Wkst'!$L$7:$L$2010,"11",'LAC 102_Wkst'!$N$7:$N$2010,"P2")+SUMIFS('LAC 102_Wkst'!$Q$7:$Q$2010,'LAC 102_Wkst'!$D$7:$D$2010,$C$7,'LAC 102_Wkst'!$I$7:$I$2010,$C$9,'LAC 102_Wkst'!$E$7:$E$2010,$C88,'LAC 102_Wkst'!$G$7:$G$2010,$D88,'LAC 102_Wkst'!$L$7:$L$2010,"12",'LAC 102_Wkst'!$N$7:$N$2010,"P2")+SUMIFS('LAC 102_Wkst'!$Q$7:$Q$2010,'LAC 102_Wkst'!$D$7:$D$2010,$C$7,'LAC 102_Wkst'!$I$7:$I$2010,$C$9,'LAC 102_Wkst'!$E$7:$E$2010,$C88,'LAC 102_Wkst'!$G$7:$G$2010,$D88,'LAC 102_Wkst'!$L$7:$L$2010,"11",'LAC 102_Wkst'!$N$7:$N$2010,"P3")+SUMIFS('LAC 102_Wkst'!$Q$7:$Q$2010,'LAC 102_Wkst'!$D$7:$D$2010,$C$7,'LAC 102_Wkst'!$I$7:$I$2010,$C$9,'LAC 102_Wkst'!$E$7:$E$2010,$C88,'LAC 102_Wkst'!$G$7:$G$2010,$D88,'LAC 102_Wkst'!$L$7:$L$2010,"12",'LAC 102_Wkst'!$N$7:$N$2010,"P3")</f>
        <v>0</v>
      </c>
      <c r="AW88" s="411">
        <f>SUMIFS('LAC 102_Wkst'!$AF$7:$AF$2010,'LAC 102_Wkst'!$D$7:$D$2010,$C$7,'LAC 102_Wkst'!$I$7:$I$2010,$C$9,'LAC 102_Wkst'!$E$7:$E$2010,$C88,'LAC 102_Wkst'!$G$7:$G$2010,$D88,'LAC 102_Wkst'!$L$7:$L$2010,"11",'LAC 102_Wkst'!$N$7:$N$2010,"P2")+SUMIFS('LAC 102_Wkst'!$AF$7:$AF$2010,'LAC 102_Wkst'!$D$7:$D$2010,$C$7,'LAC 102_Wkst'!$I$7:$I$2010,$C$9,'LAC 102_Wkst'!$E$7:$E$2010,$C88,'LAC 102_Wkst'!$G$7:$G$2010,$D88,'LAC 102_Wkst'!$L$7:$L$2010,"12",'LAC 102_Wkst'!$N$7:$N$2010,"P2")+SUMIFS('LAC 102_Wkst'!$AF$7:$AF$2010,'LAC 102_Wkst'!$D$7:$D$2010,$C$7,'LAC 102_Wkst'!$I$7:$I$2010,$C$9,'LAC 102_Wkst'!$E$7:$E$2010,$C88,'LAC 102_Wkst'!$G$7:$G$2010,$D88,'LAC 102_Wkst'!$L$7:$L$2010,"11",'LAC 102_Wkst'!$N$7:$N$2010,"P3")+SUMIFS('LAC 102_Wkst'!$AF$7:$AF$2010,'LAC 102_Wkst'!$D$7:$D$2010,$C$7,'LAC 102_Wkst'!$I$7:$I$2010,$C$9,'LAC 102_Wkst'!$E$7:$E$2010,$C88,'LAC 102_Wkst'!$G$7:$G$2010,$D88,'LAC 102_Wkst'!$L$7:$L$2010,"12",'LAC 102_Wkst'!$N$7:$N$2010,"P3")</f>
        <v>0</v>
      </c>
      <c r="AX88" s="410">
        <f>SUMIFS('LAC 102_Wkst'!$Q$7:$Q$2010,'LAC 102_Wkst'!$D$7:$D$2010,$C$7,'LAC 102_Wkst'!$I$7:$I$2010,$C$9,'LAC 102_Wkst'!$E$7:$E$2010,$C88,'LAC 102_Wkst'!$G$7:$G$2010,$D88,'LAC 102_Wkst'!$L$7:$L$2010,"11",'LAC 102_Wkst'!$N$7:$N$2010,"P4")+SUMIFS('LAC 102_Wkst'!$Q$7:$Q$2010,'LAC 102_Wkst'!$D$7:$D$2010,$C$7,'LAC 102_Wkst'!$I$7:$I$2010,$C$9,'LAC 102_Wkst'!$E$7:$E$2010,$C88,'LAC 102_Wkst'!$G$7:$G$2010,$D88,'LAC 102_Wkst'!$L$7:$L$2010,"12",'LAC 102_Wkst'!$N$7:$N$2010,"P4")</f>
        <v>0</v>
      </c>
      <c r="AY88" s="411">
        <f>SUMIFS('LAC 102_Wkst'!$AF$7:$AF$2010,'LAC 102_Wkst'!$D$7:$D$2010,$C$7,'LAC 102_Wkst'!$I$7:$I$2010,$C$9,'LAC 102_Wkst'!$E$7:$E$2010,$C88,'LAC 102_Wkst'!$G$7:$G$2010,$D88,'LAC 102_Wkst'!$L$7:$L$2010,"11",'LAC 102_Wkst'!$N$7:$N$2010,"P4")+SUMIFS('LAC 102_Wkst'!$AF$7:$AF$2010,'LAC 102_Wkst'!$D$7:$D$2010,$C$7,'LAC 102_Wkst'!$I$7:$I$2010,$C$9,'LAC 102_Wkst'!$E$7:$E$2010,$C88,'LAC 102_Wkst'!$G$7:$G$2010,$D88,'LAC 102_Wkst'!$L$7:$L$2010,"12",'LAC 102_Wkst'!$N$7:$N$2010,"P4")</f>
        <v>0</v>
      </c>
      <c r="AZ88" s="410">
        <f>SUMIFS('LAC 102_Wkst'!$Q$7:$Q$2010,'LAC 102_Wkst'!$D$7:$D$2010,$C$7,'LAC 102_Wkst'!$I$7:$I$2010,$C$9,'LAC 102_Wkst'!$E$7:$E$2010,$C88,'LAC 102_Wkst'!$G$7:$G$2010,$D88,'LAC 102_Wkst'!$L$7:$L$2010,"11",'LAC 102_Wkst'!$N$7:$N$2010,"P5")+SUMIFS('LAC 102_Wkst'!$Q$7:$Q$2010,'LAC 102_Wkst'!$D$7:$D$2010,$C$7,'LAC 102_Wkst'!$I$7:$I$2010,$C$9,'LAC 102_Wkst'!$E$7:$E$2010,$C88,'LAC 102_Wkst'!$G$7:$G$2010,$D88,'LAC 102_Wkst'!$L$7:$L$2010,"12",'LAC 102_Wkst'!$N$7:$N$2010,"P5")</f>
        <v>0</v>
      </c>
      <c r="BA88" s="411">
        <f>SUMIFS('LAC 102_Wkst'!$AF$7:$AF$2010,'LAC 102_Wkst'!$D$7:$D$2010,$C$7,'LAC 102_Wkst'!$I$7:$I$2010,$C$9,'LAC 102_Wkst'!$E$7:$E$2010,$C88,'LAC 102_Wkst'!$G$7:$G$2010,$D88,'LAC 102_Wkst'!$L$7:$L$2010,"11",'LAC 102_Wkst'!$N$7:$N$2010,"P5")+SUMIFS('LAC 102_Wkst'!$AF$7:$AF$2010,'LAC 102_Wkst'!$D$7:$D$2010,$C$7,'LAC 102_Wkst'!$I$7:$I$2010,$C$9,'LAC 102_Wkst'!$E$7:$E$2010,$C88,'LAC 102_Wkst'!$G$7:$G$2010,$D88,'LAC 102_Wkst'!$L$7:$L$2010,"12",'LAC 102_Wkst'!$N$7:$N$2010,"P5")</f>
        <v>0</v>
      </c>
      <c r="BB88" s="410">
        <f>SUMIFS('LAC 102_Wkst'!$Q$7:$Q$2010,'LAC 102_Wkst'!$D$7:$D$2010,$C$7,'LAC 102_Wkst'!$I$7:$I$2010,$C$9,'LAC 102_Wkst'!$E$7:$E$2010,$C88,'LAC 102_Wkst'!$G$7:$G$2010,$D88,'LAC 102_Wkst'!$L$7:$L$2010,"13",'LAC 102_Wkst'!$N$7:$N$2010,"P1")+SUMIFS('LAC 102_Wkst'!$Q$7:$Q$2010,'LAC 102_Wkst'!$D$7:$D$2010,$C$7,'LAC 102_Wkst'!$I$7:$I$2010,$C$9,'LAC 102_Wkst'!$E$7:$E$2010,$C88,'LAC 102_Wkst'!$G$7:$G$2010,$D88,'LAC 102_Wkst'!$L$7:$L$2010,"13",'LAC 102_Wkst'!$N$7:$N$2010,"P2")+SUMIFS('LAC 102_Wkst'!$Q$7:$Q$2010,'LAC 102_Wkst'!$D$7:$D$2010,$C$7,'LAC 102_Wkst'!$I$7:$I$2010,$C$9,'LAC 102_Wkst'!$E$7:$E$2010,$C88,'LAC 102_Wkst'!$G$7:$G$2010,$D88,'LAC 102_Wkst'!$L$7:$L$2010,"13",'LAC 102_Wkst'!$N$7:$N$2010,"P3")+SUMIFS('LAC 102_Wkst'!$Q$7:$Q$2010,'LAC 102_Wkst'!$D$7:$D$2010,$C$7,'LAC 102_Wkst'!$I$7:$I$2010,$C$9,'LAC 102_Wkst'!$E$7:$E$2010,$C88,'LAC 102_Wkst'!$G$7:$G$2010,$D88,'LAC 102_Wkst'!$L$7:$L$2010,"13",'LAC 102_Wkst'!$N$7:$N$2010,"P4")</f>
        <v>0</v>
      </c>
      <c r="BC88" s="411">
        <f>SUMIFS('LAC 102_Wkst'!$AF$7:$AF$2010,'LAC 102_Wkst'!$D$7:$D$2010,$C$7,'LAC 102_Wkst'!$I$7:$I$2010,$C$9,'LAC 102_Wkst'!$E$7:$E$2010,$C88,'LAC 102_Wkst'!$G$7:$G$2010,$D88,'LAC 102_Wkst'!$L$7:$L$2010,"13",'LAC 102_Wkst'!$N$7:$N$2010,"P1")+SUMIFS('LAC 102_Wkst'!$AF$7:$AF$2010,'LAC 102_Wkst'!$D$7:$D$2010,$C$7,'LAC 102_Wkst'!$I$7:$I$2010,$C$9,'LAC 102_Wkst'!$E$7:$E$2010,$C88,'LAC 102_Wkst'!$G$7:$G$2010,$D88,'LAC 102_Wkst'!$L$7:$L$2010,"13",'LAC 102_Wkst'!$N$7:$N$2010,"P2")+SUMIFS('LAC 102_Wkst'!$AF$7:$AF$2010,'LAC 102_Wkst'!$D$7:$D$2010,$C$7,'LAC 102_Wkst'!$I$7:$I$2010,$C$9,'LAC 102_Wkst'!$E$7:$E$2010,$C88,'LAC 102_Wkst'!$G$7:$G$2010,$D88,'LAC 102_Wkst'!$L$7:$L$2010,"13",'LAC 102_Wkst'!$N$7:$N$2010,"P3")+SUMIFS('LAC 102_Wkst'!$AF$7:$AF$2010,'LAC 102_Wkst'!$D$7:$D$2010,$C$7,'LAC 102_Wkst'!$I$7:$I$2010,$C$9,'LAC 102_Wkst'!$E$7:$E$2010,$C88,'LAC 102_Wkst'!$G$7:$G$2010,$D88,'LAC 102_Wkst'!$L$7:$L$2010,"13",'LAC 102_Wkst'!$N$7:$N$2010,"P4")</f>
        <v>0</v>
      </c>
      <c r="BD88" s="410">
        <f>SUMIFS('LAC 102_Wkst'!$Q$7:$Q$2010,'LAC 102_Wkst'!$D$7:$D$2010,$C$7,'LAC 102_Wkst'!$I$7:$I$2010,$C$9,'LAC 102_Wkst'!$E$7:$E$2010,$C88,'LAC 102_Wkst'!$G$7:$G$2010,$D88,'LAC 102_Wkst'!$L$7:$L$2010,"13",'LAC 102_Wkst'!$N$7:$N$2010,"P5")</f>
        <v>0</v>
      </c>
      <c r="BE88" s="411">
        <f>SUMIFS('LAC 102_Wkst'!$AF$7:$AF$2010,'LAC 102_Wkst'!$D$7:$D$2010,$C$7,'LAC 102_Wkst'!$I$7:$I$2010,$C$9,'LAC 102_Wkst'!$E$7:$E$2010,$C88,'LAC 102_Wkst'!$G$7:$G$2010,$D88,'LAC 102_Wkst'!$L$7:$L$2010,"13",'LAC 102_Wkst'!$N$7:$N$2010,"P5")</f>
        <v>0</v>
      </c>
      <c r="BF88" s="407">
        <f t="shared" ref="BF88:BF106" si="5">E88-F88-H88-J88-L88-N88-P88-R88-T88-V88-X88-Z88-AB88-AD88-AF88-AH88-AJ88-AL88-AN88-AP88-AR88-AV88-AX88-AZ88-BB88-BD88</f>
        <v>0</v>
      </c>
      <c r="BG88" s="1654">
        <f>SUMIFS('LAC 102_Wkst'!$AF$7:$AF$2010,'LAC 102_Wkst'!$D$7:$D$2010,$C$7,'LAC 102_Wkst'!$I$7:$I$2010,$C$9,'LAC 102_Wkst'!$E$7:$E$2010,$C88,'LAC 102_Wkst'!$G$7:$G$2010,$D88,'LAC 102_Wkst'!$L$7:$L$2010,"14")</f>
        <v>0</v>
      </c>
    </row>
    <row r="89" spans="1:59" x14ac:dyDescent="0.2">
      <c r="A89" s="401">
        <v>67</v>
      </c>
      <c r="B89" s="1678" t="str">
        <f>IF(Schedule_B!B$86="","",Schedule_B!B$86)</f>
        <v/>
      </c>
      <c r="C89" s="1674" t="str">
        <f>IF(Schedule_B!C$86=""," ",Schedule_B!C$86)</f>
        <v xml:space="preserve"> </v>
      </c>
      <c r="D89" s="1675" t="str">
        <f>IF(Schedule_B!D$86=""," ",Schedule_B!D$86)</f>
        <v xml:space="preserve"> </v>
      </c>
      <c r="E89" s="1221">
        <f>SUMIFS('LAC 102_Wkst'!$Q$7:$Q$2010,'LAC 102_Wkst'!$D$7:$D$2010,$C$7,'LAC 102_Wkst'!$I$7:$I$2010,$C$9,'LAC 102_Wkst'!$E$7:$E$2010,$C89,'LAC 102_Wkst'!$G$7:$G$2010,$D89)</f>
        <v>0</v>
      </c>
      <c r="F89" s="408">
        <f>SUMIFS('LAC 102_Wkst'!$Q$7:$Q$2010,'LAC 102_Wkst'!$D$7:$D$2010,$C$7,'LAC 102_Wkst'!$I$7:$I$2010,$C$9,'LAC 102_Wkst'!$E$7:$E$2010,$C89,'LAC 102_Wkst'!$G$7:$G$2010,$D89,'LAC 102_Wkst'!$L$7:$L$2010,"01",'LAC 102_Wkst'!$N$7:$N$2010,"P1")+SUMIFS('LAC 102_Wkst'!$Q$7:$Q$2010,'LAC 102_Wkst'!$D$7:$D$2010,$C$7,'LAC 102_Wkst'!$I$7:$I$2010,$C$9,'LAC 102_Wkst'!$E$7:$E$2010,$C89,'LAC 102_Wkst'!$G$7:$G$2010,$D89,'LAC 102_Wkst'!$L$7:$L$2010,"01",'LAC 102_Wkst'!$N$7:$N$2010,"P2")+SUMIFS('LAC 102_Wkst'!$Q$7:$Q$2010,'LAC 102_Wkst'!$D$7:$D$2010,$C$7,'LAC 102_Wkst'!$I$7:$I$2010,$C$9,'LAC 102_Wkst'!$E$7:$E$2010,$C89,'LAC 102_Wkst'!$G$7:$G$2010,$D89,'LAC 102_Wkst'!$L$7:$L$2010,"01",'LAC 102_Wkst'!$N$7:$N$2010,"P3")+SUMIFS('LAC 102_Wkst'!$Q$7:$Q$2010,'LAC 102_Wkst'!$D$7:$D$2010,$C$7,'LAC 102_Wkst'!$I$7:$I$2010,$C$9,'LAC 102_Wkst'!$E$7:$E$2010,$C89,'LAC 102_Wkst'!$G$7:$G$2010,$D89,'LAC 102_Wkst'!$L$7:$L$2010,"02",'LAC 102_Wkst'!$N$7:$N$2010,"P1")+SUMIFS('LAC 102_Wkst'!$Q$7:$Q$2010,'LAC 102_Wkst'!$D$7:$D$2010,$C$7,'LAC 102_Wkst'!$I$7:$I$2010,$C$9,'LAC 102_Wkst'!$E$7:$E$2010,$C89,'LAC 102_Wkst'!$G$7:$G$2010,$D89,'LAC 102_Wkst'!$L$7:$L$2010,"02",'LAC 102_Wkst'!$N$7:$N$2010,"P2")+SUMIFS('LAC 102_Wkst'!$Q$7:$Q$2010,'LAC 102_Wkst'!$D$7:$D$2010,$C$7,'LAC 102_Wkst'!$I$7:$I$2010,$C$9,'LAC 102_Wkst'!$E$7:$E$2010,$C89,'LAC 102_Wkst'!$G$7:$G$2010,$D89,'LAC 102_Wkst'!$L$7:$L$2010,"02",'LAC 102_Wkst'!$N$7:$N$2010,"P3")</f>
        <v>0</v>
      </c>
      <c r="G89" s="409">
        <f>SUMIFS('LAC 102_Wkst'!$AF$7:$AF$2010,'LAC 102_Wkst'!$D$7:$D$2010,$C$7,'LAC 102_Wkst'!$I$7:$I$2010,$C$9,'LAC 102_Wkst'!$E$7:$E$2010,$C89,'LAC 102_Wkst'!$G$7:$G$2010,$D89,'LAC 102_Wkst'!$L$7:$L$2010,"01",'LAC 102_Wkst'!$N$7:$N$2010,"P1")+SUMIFS('LAC 102_Wkst'!$AF$7:$AF$2010,'LAC 102_Wkst'!$D$7:$D$2010,$C$7,'LAC 102_Wkst'!$I$7:$I$2010,$C$9,'LAC 102_Wkst'!$E$7:$E$2010,$C89,'LAC 102_Wkst'!$G$7:$G$2010,$D89,'LAC 102_Wkst'!$L$7:$L$2010,"01",'LAC 102_Wkst'!$N$7:$N$2010,"P2")+SUMIFS('LAC 102_Wkst'!$AF$7:$AF$2010,'LAC 102_Wkst'!$D$7:$D$2010,$C$7,'LAC 102_Wkst'!$I$7:$I$2010,$C$9,'LAC 102_Wkst'!$E$7:$E$2010,$C89,'LAC 102_Wkst'!$G$7:$G$2010,$D89,'LAC 102_Wkst'!$L$7:$L$2010,"01",'LAC 102_Wkst'!$N$7:$N$2010,"P3")+SUMIFS('LAC 102_Wkst'!$AF$7:$AF$2010,'LAC 102_Wkst'!$D$7:$D$2010,$C$7,'LAC 102_Wkst'!$I$7:$I$2010,$C$9,'LAC 102_Wkst'!$E$7:$E$2010,$C89,'LAC 102_Wkst'!$G$7:$G$2010,$D89,'LAC 102_Wkst'!$L$7:$L$2010,"02",'LAC 102_Wkst'!$N$7:$N$2010,"P1")+SUMIFS('LAC 102_Wkst'!$AF$7:$AF$2010,'LAC 102_Wkst'!$D$7:$D$2010,$C$7,'LAC 102_Wkst'!$I$7:$I$2010,$C$9,'LAC 102_Wkst'!$E$7:$E$2010,$C89,'LAC 102_Wkst'!$G$7:$G$2010,$D89,'LAC 102_Wkst'!$L$7:$L$2010,"02",'LAC 102_Wkst'!$N$7:$N$2010,"P2")+SUMIFS('LAC 102_Wkst'!$AF$7:$AF$2010,'LAC 102_Wkst'!$D$7:$D$2010,$C$7,'LAC 102_Wkst'!$I$7:$I$2010,$C$9,'LAC 102_Wkst'!$E$7:$E$2010,$C89,'LAC 102_Wkst'!$G$7:$G$2010,$D89,'LAC 102_Wkst'!$L$7:$L$2010,"02",'LAC 102_Wkst'!$N$7:$N$2010,"P3")</f>
        <v>0</v>
      </c>
      <c r="H89" s="410">
        <f>SUMIFS('LAC 102_Wkst'!$Q$7:$Q$2010,'LAC 102_Wkst'!$D$7:$D$2010,$C$7,'LAC 102_Wkst'!$I$7:$I$2010,$C$9,'LAC 102_Wkst'!$E$7:$E$2010,$C89,'LAC 102_Wkst'!$G$7:$G$2010,$D89,'LAC 102_Wkst'!$L$7:$L$2010,"01",'LAC 102_Wkst'!$N$7:$N$2010,"P4")+SUMIFS('LAC 102_Wkst'!$Q$7:$Q$2010,'LAC 102_Wkst'!$D$7:$D$2010,$C$7,'LAC 102_Wkst'!$I$7:$I$2010,$C$9,'LAC 102_Wkst'!$E$7:$E$2010,$C89,'LAC 102_Wkst'!$G$7:$G$2010,$D89,'LAC 102_Wkst'!$L$7:$L$2010,"02",'LAC 102_Wkst'!$N$7:$N$2010,"P4")</f>
        <v>0</v>
      </c>
      <c r="I89" s="411">
        <f>SUMIFS('LAC 102_Wkst'!$AF$7:$AF$2010,'LAC 102_Wkst'!$D$7:$D$2010,$C$7,'LAC 102_Wkst'!$I$7:$I$2010,$C$9,'LAC 102_Wkst'!$E$7:$E$2010,$C89,'LAC 102_Wkst'!$G$7:$G$2010,$D89,'LAC 102_Wkst'!$L$7:$L$2010,"01",'LAC 102_Wkst'!$N$7:$N$2010,"P4")+SUMIFS('LAC 102_Wkst'!$AF$7:$AF$2010,'LAC 102_Wkst'!$D$7:$D$2010,$C$7,'LAC 102_Wkst'!$I$7:$I$2010,$C$9,'LAC 102_Wkst'!$E$7:$E$2010,$C89,'LAC 102_Wkst'!$G$7:$G$2010,$D89,'LAC 102_Wkst'!$L$7:$L$2010,"02",'LAC 102_Wkst'!$N$7:$N$2010,"P4")</f>
        <v>0</v>
      </c>
      <c r="J89" s="410">
        <f>SUMIFS('LAC 102_Wkst'!$Q$7:$Q$2010,'LAC 102_Wkst'!$D$7:$D$2010,$C$7,'LAC 102_Wkst'!$I$7:$I$2010,$C$9,'LAC 102_Wkst'!$E$7:$E$2010,$C89,'LAC 102_Wkst'!$G$7:$G$2010,$D89,'LAC 102_Wkst'!$L$7:$L$2010,"01",'LAC 102_Wkst'!$N$7:$N$2010,"P5")+SUMIFS('LAC 102_Wkst'!$Q$7:$Q$2010,'LAC 102_Wkst'!$D$7:$D$2010,$C$7,'LAC 102_Wkst'!$I$7:$I$2010,$C$9,'LAC 102_Wkst'!$E$7:$E$2010,$C89,'LAC 102_Wkst'!$G$7:$G$2010,$D89,'LAC 102_Wkst'!$L$7:$L$2010,"02",'LAC 102_Wkst'!$N$7:$N$2010,"P5")</f>
        <v>0</v>
      </c>
      <c r="K89" s="411">
        <f>SUMIFS('LAC 102_Wkst'!$AF$7:$AF$2010,'LAC 102_Wkst'!$D$7:$D$2010,$C$7,'LAC 102_Wkst'!$I$7:$I$2010,$C$9,'LAC 102_Wkst'!$E$7:$E$2010,$C89,'LAC 102_Wkst'!$G$7:$G$2010,$D89,'LAC 102_Wkst'!$L$7:$L$2010,"01",'LAC 102_Wkst'!$N$7:$N$2010,"P5")+SUMIFS('LAC 102_Wkst'!$AF$7:$AF$2010,'LAC 102_Wkst'!$D$7:$D$2010,$C$7,'LAC 102_Wkst'!$I$7:$I$2010,$C$9,'LAC 102_Wkst'!$E$7:$E$2010,$C89,'LAC 102_Wkst'!$G$7:$G$2010,$D89,'LAC 102_Wkst'!$L$7:$L$2010,"02",'LAC 102_Wkst'!$N$7:$N$2010,"P5")</f>
        <v>0</v>
      </c>
      <c r="L89" s="410">
        <f>SUMIFS('LAC 102_Wkst'!$Q$7:$Q$2010,'LAC 102_Wkst'!$D$7:$D$2010,$C$7,'LAC 102_Wkst'!$I$7:$I$2010,$C$9,'LAC 102_Wkst'!$E$7:$E$2010,$C89,'LAC 102_Wkst'!$G$7:$G$2010,$D89,'LAC 102_Wkst'!$L$7:$L$2010,"03",'LAC 102_Wkst'!$N$7:$N$2010,"P1")+SUMIFS('LAC 102_Wkst'!$Q$7:$Q$2010,'LAC 102_Wkst'!$D$7:$D$2010,$C$7,'LAC 102_Wkst'!$I$7:$I$2010,$C$9,'LAC 102_Wkst'!$E$7:$E$2010,$C89,'LAC 102_Wkst'!$G$7:$G$2010,$D89,'LAC 102_Wkst'!$L$7:$L$2010,"03",'LAC 102_Wkst'!$N$7:$N$2010,"P2")+SUMIFS('LAC 102_Wkst'!$Q$7:$Q$2010,'LAC 102_Wkst'!$D$7:$D$2010,$C$7,'LAC 102_Wkst'!$I$7:$I$2010,$C$9,'LAC 102_Wkst'!$E$7:$E$2010,$C89,'LAC 102_Wkst'!$G$7:$G$2010,$D89,'LAC 102_Wkst'!$L$7:$L$2010,"03",'LAC 102_Wkst'!$N$7:$N$2010,"P3")+SUMIFS('LAC 102_Wkst'!$Q$7:$Q$2010,'LAC 102_Wkst'!$D$7:$D$2010,$C$7,'LAC 102_Wkst'!$I$7:$I$2010,$C$9,'LAC 102_Wkst'!$E$7:$E$2010,$C89,'LAC 102_Wkst'!$G$7:$G$2010,$D89,'LAC 102_Wkst'!$L$7:$L$2010,"04",'LAC 102_Wkst'!$N$7:$N$2010,"P1")+SUMIFS('LAC 102_Wkst'!$Q$7:$Q$2010,'LAC 102_Wkst'!$D$7:$D$2010,$C$7,'LAC 102_Wkst'!$I$7:$I$2010,$C$9,'LAC 102_Wkst'!$E$7:$E$2010,$C89,'LAC 102_Wkst'!$G$7:$G$2010,$D89,'LAC 102_Wkst'!$L$7:$L$2010,"04",'LAC 102_Wkst'!$N$7:$N$2010,"P2")+SUMIFS('LAC 102_Wkst'!$Q$7:$Q$2010,'LAC 102_Wkst'!$D$7:$D$2010,$C$7,'LAC 102_Wkst'!$I$7:$I$2010,$C$9,'LAC 102_Wkst'!$E$7:$E$2010,$C89,'LAC 102_Wkst'!$G$7:$G$2010,$D89,'LAC 102_Wkst'!$L$7:$L$2010,"04",'LAC 102_Wkst'!$N$7:$N$2010,"P3")</f>
        <v>0</v>
      </c>
      <c r="M89" s="411">
        <f>SUMIFS('LAC 102_Wkst'!$AF$7:$AF$2010,'LAC 102_Wkst'!$D$7:$D$2010,$C$7,'LAC 102_Wkst'!$I$7:$I$2010,$C$9,'LAC 102_Wkst'!$E$7:$E$2010,$C89,'LAC 102_Wkst'!$G$7:$G$2010,$D89,'LAC 102_Wkst'!$L$7:$L$2010,"03",'LAC 102_Wkst'!$N$7:$N$2010,"P1")+SUMIFS('LAC 102_Wkst'!$AF$7:$AF$2010,'LAC 102_Wkst'!$D$7:$D$2010,$C$7,'LAC 102_Wkst'!$I$7:$I$2010,$C$9,'LAC 102_Wkst'!$E$7:$E$2010,$C89,'LAC 102_Wkst'!$G$7:$G$2010,$D89,'LAC 102_Wkst'!$L$7:$L$2010,"03",'LAC 102_Wkst'!$N$7:$N$2010,"P2")+SUMIFS('LAC 102_Wkst'!$AF$7:$AF$2010,'LAC 102_Wkst'!$D$7:$D$2010,$C$7,'LAC 102_Wkst'!$I$7:$I$2010,$C$9,'LAC 102_Wkst'!$E$7:$E$2010,$C89,'LAC 102_Wkst'!$G$7:$G$2010,$D89,'LAC 102_Wkst'!$L$7:$L$2010,"03",'LAC 102_Wkst'!$N$7:$N$2010,"P3")+SUMIFS('LAC 102_Wkst'!$AF$7:$AF$2010,'LAC 102_Wkst'!$D$7:$D$2010,$C$7,'LAC 102_Wkst'!$I$7:$I$2010,$C$9,'LAC 102_Wkst'!$E$7:$E$2010,$C89,'LAC 102_Wkst'!$G$7:$G$2010,$D89,'LAC 102_Wkst'!$L$7:$L$2010,"04",'LAC 102_Wkst'!$N$7:$N$2010,"P1")+SUMIFS('LAC 102_Wkst'!$AF$7:$AF$2010,'LAC 102_Wkst'!$D$7:$D$2010,$C$7,'LAC 102_Wkst'!$I$7:$I$2010,$C$9,'LAC 102_Wkst'!$E$7:$E$2010,$C89,'LAC 102_Wkst'!$G$7:$G$2010,$D89,'LAC 102_Wkst'!$L$7:$L$2010,"04",'LAC 102_Wkst'!$N$7:$N$2010,"P2")+SUMIFS('LAC 102_Wkst'!$AF$7:$AF$2010,'LAC 102_Wkst'!$D$7:$D$2010,$C$7,'LAC 102_Wkst'!$I$7:$I$2010,$C$9,'LAC 102_Wkst'!$E$7:$E$2010,$C89,'LAC 102_Wkst'!$G$7:$G$2010,$D89,'LAC 102_Wkst'!$L$7:$L$2010,"04",'LAC 102_Wkst'!$N$7:$N$2010,"P3")</f>
        <v>0</v>
      </c>
      <c r="N89" s="410">
        <f>SUMIFS('LAC 102_Wkst'!$Q$7:$Q$2010,'LAC 102_Wkst'!$D$7:$D$2010,$C$7,'LAC 102_Wkst'!$I$7:$I$2010,$C$9,'LAC 102_Wkst'!$E$7:$E$2010,$C89,'LAC 102_Wkst'!$G$7:$G$2010,$D89,'LAC 102_Wkst'!$L$7:$L$2010,"03",'LAC 102_Wkst'!$N$7:$N$2010,"P4")+SUMIFS('LAC 102_Wkst'!$Q$7:$Q$2010,'LAC 102_Wkst'!$D$7:$D$2010,$C$7,'LAC 102_Wkst'!$I$7:$I$2010,$C$9,'LAC 102_Wkst'!$E$7:$E$2010,$C89,'LAC 102_Wkst'!$G$7:$G$2010,$D89,'LAC 102_Wkst'!$L$7:$L$2010,"04",'LAC 102_Wkst'!$N$7:$N$2010,"P4")</f>
        <v>0</v>
      </c>
      <c r="O89" s="411">
        <f>SUMIFS('LAC 102_Wkst'!$AF$7:$AF$2010,'LAC 102_Wkst'!$D$7:$D$2010,$C$7,'LAC 102_Wkst'!$I$7:$I$2010,$C$9,'LAC 102_Wkst'!$E$7:$E$2010,$C89,'LAC 102_Wkst'!$G$7:$G$2010,$D89,'LAC 102_Wkst'!$L$7:$L$2010,"03",'LAC 102_Wkst'!$N$7:$N$2010,"P4")+SUMIFS('LAC 102_Wkst'!$AF$7:$AF$2010,'LAC 102_Wkst'!$D$7:$D$2010,$C$7,'LAC 102_Wkst'!$I$7:$I$2010,$C$9,'LAC 102_Wkst'!$E$7:$E$2010,$C89,'LAC 102_Wkst'!$G$7:$G$2010,$D89,'LAC 102_Wkst'!$L$7:$L$2010,"04",'LAC 102_Wkst'!$N$7:$N$2010,"P4")</f>
        <v>0</v>
      </c>
      <c r="P89" s="410">
        <f>SUMIFS('LAC 102_Wkst'!$Q$7:$Q$2010,'LAC 102_Wkst'!$D$7:$D$2010,$C$7,'LAC 102_Wkst'!$I$7:$I$2010,$C$9,'LAC 102_Wkst'!$E$7:$E$2010,$C89,'LAC 102_Wkst'!$G$7:$G$2010,$D89,'LAC 102_Wkst'!$L$7:$L$2010,"03",'LAC 102_Wkst'!$N$7:$N$2010,"P5")+SUMIFS('LAC 102_Wkst'!$Q$7:$Q$2010,'LAC 102_Wkst'!$D$7:$D$2010,$C$7,'LAC 102_Wkst'!$I$7:$I$2010,$C$9,'LAC 102_Wkst'!$E$7:$E$2010,$C89,'LAC 102_Wkst'!$G$7:$G$2010,$D89,'LAC 102_Wkst'!$L$7:$L$2010,"04",'LAC 102_Wkst'!$N$7:$N$2010,"P5")</f>
        <v>0</v>
      </c>
      <c r="Q89" s="411">
        <f>SUMIFS('LAC 102_Wkst'!$AF$7:$AF$2010,'LAC 102_Wkst'!$D$7:$D$2010,$C$7,'LAC 102_Wkst'!$I$7:$I$2010,$C$9,'LAC 102_Wkst'!$E$7:$E$2010,$C89,'LAC 102_Wkst'!$G$7:$G$2010,$D89,'LAC 102_Wkst'!$L$7:$L$2010,"03",'LAC 102_Wkst'!$N$7:$N$2010,"P5")+SUMIFS('LAC 102_Wkst'!$AF$7:$AF$2010,'LAC 102_Wkst'!$D$7:$D$2010,$C$7,'LAC 102_Wkst'!$I$7:$I$2010,$C$9,'LAC 102_Wkst'!$E$7:$E$2010,$C89,'LAC 102_Wkst'!$G$7:$G$2010,$D89,'LAC 102_Wkst'!$L$7:$L$2010,"04",'LAC 102_Wkst'!$N$7:$N$2010,"P5")</f>
        <v>0</v>
      </c>
      <c r="R89" s="412">
        <f>SUMIFS('LAC 102_Wkst'!$Q$7:$Q$2010,'LAC 102_Wkst'!$D$7:$D$2010,$C$7,'LAC 102_Wkst'!$I$7:$I$2010,$C$9,'LAC 102_Wkst'!$E$7:$E$2010,$C89,'LAC 102_Wkst'!$G$7:$G$2010,$D89,'LAC 102_Wkst'!$L$7:$L$2010,"05",'LAC 102_Wkst'!$N$7:$N$2010,"P1")+SUMIFS('LAC 102_Wkst'!$Q$7:$Q$2010,'LAC 102_Wkst'!$D$7:$D$2010,$C$7,'LAC 102_Wkst'!$I$7:$I$2010,$C$9,'LAC 102_Wkst'!$E$7:$E$2010,$C89,'LAC 102_Wkst'!$G$7:$G$2010,$D89,'LAC 102_Wkst'!$L$7:$L$2010,"06",'LAC 102_Wkst'!$N$7:$N$2010,"P1")</f>
        <v>0</v>
      </c>
      <c r="S89" s="411">
        <f>SUMIFS('LAC 102_Wkst'!$AF$7:$AF$2010,'LAC 102_Wkst'!$D$7:$D$2010,$C$7,'LAC 102_Wkst'!$I$7:$I$2010,$C$9,'LAC 102_Wkst'!$E$7:$E$2010,$C89,'LAC 102_Wkst'!$G$7:$G$2010,$D89,'LAC 102_Wkst'!$L$7:$L$2010,"05",'LAC 102_Wkst'!$N$7:$N$2010,"P1")+SUMIFS('LAC 102_Wkst'!$AF$7:$AF$2010,'LAC 102_Wkst'!$D$7:$D$2010,$C$7,'LAC 102_Wkst'!$I$7:$I$2010,$C$9,'LAC 102_Wkst'!$E$7:$E$2010,$C89,'LAC 102_Wkst'!$G$7:$G$2010,$D89,'LAC 102_Wkst'!$L$7:$L$2010,"06",'LAC 102_Wkst'!$N$7:$N$2010,"P1")</f>
        <v>0</v>
      </c>
      <c r="T89" s="410">
        <f>SUMIFS('LAC 102_Wkst'!$Q$7:$Q$2010,'LAC 102_Wkst'!$D$7:$D$2010,$C$7,'LAC 102_Wkst'!$I$7:$I$2010,$C$9,'LAC 102_Wkst'!$E$7:$E$2010,$C89,'LAC 102_Wkst'!$G$7:$G$2010,$D89,'LAC 102_Wkst'!$L$7:$L$2010,"05",'LAC 102_Wkst'!$N$7:$N$2010,"P2")+SUMIFS('LAC 102_Wkst'!$Q$7:$Q$2010,'LAC 102_Wkst'!$D$7:$D$2010,$C$7,'LAC 102_Wkst'!$I$7:$I$2010,$C$9,'LAC 102_Wkst'!$E$7:$E$2010,$C89,'LAC 102_Wkst'!$G$7:$G$2010,$D89,'LAC 102_Wkst'!$L$7:$L$2010,"06",'LAC 102_Wkst'!$N$7:$N$2010,"P2")+SUMIFS('LAC 102_Wkst'!$Q$7:$Q$2010,'LAC 102_Wkst'!$D$7:$D$2010,$C$7,'LAC 102_Wkst'!$I$7:$I$2010,$C$9,'LAC 102_Wkst'!$E$7:$E$2010,$C89,'LAC 102_Wkst'!$G$7:$G$2010,$D89,'LAC 102_Wkst'!$L$7:$L$2010,"05",'LAC 102_Wkst'!$N$7:$N$2010,"P3")+SUMIFS('LAC 102_Wkst'!$Q$7:$Q$2010,'LAC 102_Wkst'!$D$7:$D$2010,$C$7,'LAC 102_Wkst'!$I$7:$I$2010,$C$9,'LAC 102_Wkst'!$E$7:$E$2010,$C89,'LAC 102_Wkst'!$G$7:$G$2010,$D89,'LAC 102_Wkst'!$L$7:$L$2010,"06",'LAC 102_Wkst'!$N$7:$N$2010,"P3")</f>
        <v>0</v>
      </c>
      <c r="U89" s="411">
        <f>SUMIFS('LAC 102_Wkst'!$AF$7:$AF$2010,'LAC 102_Wkst'!$D$7:$D$2010,$C$7,'LAC 102_Wkst'!$I$7:$I$2010,$C$9,'LAC 102_Wkst'!$E$7:$E$2010,$C89,'LAC 102_Wkst'!$G$7:$G$2010,$D89,'LAC 102_Wkst'!$L$7:$L$2010,"05",'LAC 102_Wkst'!$N$7:$N$2010,"P2")+SUMIFS('LAC 102_Wkst'!$AF$7:$AF$2010,'LAC 102_Wkst'!$D$7:$D$2010,$C$7,'LAC 102_Wkst'!$I$7:$I$2010,$C$9,'LAC 102_Wkst'!$E$7:$E$2010,$C89,'LAC 102_Wkst'!$G$7:$G$2010,$D89,'LAC 102_Wkst'!$L$7:$L$2010,"06",'LAC 102_Wkst'!$N$7:$N$2010,"P2")+SUMIFS('LAC 102_Wkst'!$AF$7:$AF$2010,'LAC 102_Wkst'!$D$7:$D$2010,$C$7,'LAC 102_Wkst'!$I$7:$I$2010,$C$9,'LAC 102_Wkst'!$E$7:$E$2010,$C89,'LAC 102_Wkst'!$G$7:$G$2010,$D89,'LAC 102_Wkst'!$L$7:$L$2010,"05",'LAC 102_Wkst'!$N$7:$N$2010,"P3")+SUMIFS('LAC 102_Wkst'!$AF$7:$AF$2010,'LAC 102_Wkst'!$D$7:$D$2010,$C$7,'LAC 102_Wkst'!$I$7:$I$2010,$C$9,'LAC 102_Wkst'!$E$7:$E$2010,$C89,'LAC 102_Wkst'!$G$7:$G$2010,$D89,'LAC 102_Wkst'!$L$7:$L$2010,"06",'LAC 102_Wkst'!$N$7:$N$2010,"P3")</f>
        <v>0</v>
      </c>
      <c r="V89" s="410">
        <f>SUMIFS('LAC 102_Wkst'!$Q$7:$Q$2010,'LAC 102_Wkst'!$D$7:$D$2010,$C$7,'LAC 102_Wkst'!$I$7:$I$2010,$C$9,'LAC 102_Wkst'!$E$7:$E$2010,$C89,'LAC 102_Wkst'!$G$7:$G$2010,$D89,'LAC 102_Wkst'!$L$7:$L$2010,"05",'LAC 102_Wkst'!$N$7:$N$2010,"P4")+SUMIFS('LAC 102_Wkst'!$Q$7:$Q$2010,'LAC 102_Wkst'!$D$7:$D$2010,$C$7,'LAC 102_Wkst'!$I$7:$I$2010,$C$9,'LAC 102_Wkst'!$E$7:$E$2010,$C89,'LAC 102_Wkst'!$G$7:$G$2010,$D89,'LAC 102_Wkst'!$L$7:$L$2010,"06",'LAC 102_Wkst'!$N$7:$N$2010,"P4")</f>
        <v>0</v>
      </c>
      <c r="W89" s="411">
        <f>SUMIFS('LAC 102_Wkst'!$AF$7:$AF$2010,'LAC 102_Wkst'!$D$7:$D$2010,$C$7,'LAC 102_Wkst'!$I$7:$I$2010,$C$9,'LAC 102_Wkst'!$E$7:$E$2010,$C89,'LAC 102_Wkst'!$G$7:$G$2010,$D89,'LAC 102_Wkst'!$L$7:$L$2010,"05",'LAC 102_Wkst'!$N$7:$N$2010,"P4")+SUMIFS('LAC 102_Wkst'!$AF$7:$AF$2010,'LAC 102_Wkst'!$D$7:$D$2010,$C$7,'LAC 102_Wkst'!$I$7:$I$2010,$C$9,'LAC 102_Wkst'!$E$7:$E$2010,$C89,'LAC 102_Wkst'!$G$7:$G$2010,$D89,'LAC 102_Wkst'!$L$7:$L$2010,"06",'LAC 102_Wkst'!$N$7:$N$2010,"P4")</f>
        <v>0</v>
      </c>
      <c r="X89" s="410">
        <f>SUMIFS('LAC 102_Wkst'!$Q$7:$Q$2010,'LAC 102_Wkst'!$D$7:$D$2010,$C$7,'LAC 102_Wkst'!$I$7:$I$2010,$C$9,'LAC 102_Wkst'!$E$7:$E$2010,$C89,'LAC 102_Wkst'!$G$7:$G$2010,$D89,'LAC 102_Wkst'!$L$7:$L$2010,"05",'LAC 102_Wkst'!$N$7:$N$2010,"P5")+SUMIFS('LAC 102_Wkst'!$Q$7:$Q$2010,'LAC 102_Wkst'!$D$7:$D$2010,$C$7,'LAC 102_Wkst'!$I$7:$I$2010,$C$9,'LAC 102_Wkst'!$E$7:$E$2010,$C89,'LAC 102_Wkst'!$G$7:$G$2010,$D89,'LAC 102_Wkst'!$L$7:$L$2010,"06",'LAC 102_Wkst'!$N$7:$N$2010,"P5")</f>
        <v>0</v>
      </c>
      <c r="Y89" s="411">
        <f>SUMIFS('LAC 102_Wkst'!$AF$7:$AF$2010,'LAC 102_Wkst'!$D$7:$D$2010,$C$7,'LAC 102_Wkst'!$I$7:$I$2010,$C$9,'LAC 102_Wkst'!$E$7:$E$2010,$C89,'LAC 102_Wkst'!$G$7:$G$2010,$D89,'LAC 102_Wkst'!$L$7:$L$2010,"05",'LAC 102_Wkst'!$N$7:$N$2010,"P5")+SUMIFS('LAC 102_Wkst'!$AF$7:$AF$2010,'LAC 102_Wkst'!$D$7:$D$2010,$C$7,'LAC 102_Wkst'!$I$7:$I$2010,$C$9,'LAC 102_Wkst'!$E$7:$E$2010,$C89,'LAC 102_Wkst'!$G$7:$G$2010,$D89,'LAC 102_Wkst'!$L$7:$L$2010,"06",'LAC 102_Wkst'!$N$7:$N$2010,"P5")</f>
        <v>0</v>
      </c>
      <c r="Z89" s="410">
        <f>SUMIFS('LAC 102_Wkst'!$Q$7:$Q$2010,'LAC 102_Wkst'!$D$7:$D$2010,$C$7,'LAC 102_Wkst'!$I$7:$I$2010,$C$9,'LAC 102_Wkst'!$E$7:$E$2010,$C89,'LAC 102_Wkst'!$G$7:$G$2010,$D89,'LAC 102_Wkst'!$L$7:$L$2010,"07",'LAC 102_Wkst'!$N$7:$N$2010,"P1")+SUMIFS('LAC 102_Wkst'!$Q$7:$Q$2010,'LAC 102_Wkst'!$D$7:$D$2010,$C$7,'LAC 102_Wkst'!$I$7:$I$2010,$C$9,'LAC 102_Wkst'!$E$7:$E$2010,$C89,'LAC 102_Wkst'!$G$7:$G$2010,$D89,'LAC 102_Wkst'!$L$7:$L$2010,"07",'LAC 102_Wkst'!$N$7:$N$2010,"P2")+SUMIFS('LAC 102_Wkst'!$Q$7:$Q$2010,'LAC 102_Wkst'!$D$7:$D$2010,$C$7,'LAC 102_Wkst'!$I$7:$I$2010,$C$9,'LAC 102_Wkst'!$E$7:$E$2010,$C89,'LAC 102_Wkst'!$G$7:$G$2010,$D89,'LAC 102_Wkst'!$L$7:$L$2010,"07",'LAC 102_Wkst'!$N$7:$N$2010,"P3")</f>
        <v>0</v>
      </c>
      <c r="AA89" s="411">
        <f>SUMIFS('LAC 102_Wkst'!$AF$7:$AF$2010,'LAC 102_Wkst'!$D$7:$D$2010,$C$7,'LAC 102_Wkst'!$I$7:$I$2010,$C$9,'LAC 102_Wkst'!$E$7:$E$2010,$C89,'LAC 102_Wkst'!$G$7:$G$2010,$D89,'LAC 102_Wkst'!$L$7:$L$2010,"07",'LAC 102_Wkst'!$N$7:$N$2010,"P1")+SUMIFS('LAC 102_Wkst'!$AF$7:$AF$2010,'LAC 102_Wkst'!$D$7:$D$2010,$C$7,'LAC 102_Wkst'!$I$7:$I$2010,$C$9,'LAC 102_Wkst'!$E$7:$E$2010,$C89,'LAC 102_Wkst'!$G$7:$G$2010,$D89,'LAC 102_Wkst'!$L$7:$L$2010,"07",'LAC 102_Wkst'!$N$7:$N$2010,"P2")+SUMIFS('LAC 102_Wkst'!$AF$7:$AF$2010,'LAC 102_Wkst'!$D$7:$D$2010,$C$7,'LAC 102_Wkst'!$I$7:$I$2010,$C$9,'LAC 102_Wkst'!$E$7:$E$2010,$C89,'LAC 102_Wkst'!$G$7:$G$2010,$D89,'LAC 102_Wkst'!$L$7:$L$2010,"07",'LAC 102_Wkst'!$N$7:$N$2010,"P3")</f>
        <v>0</v>
      </c>
      <c r="AB89" s="410">
        <f>SUMIFS('LAC 102_Wkst'!$Q$7:$Q$2010,'LAC 102_Wkst'!$D$7:$D$2010,$C$7,'LAC 102_Wkst'!$I$7:$I$2010,$C$9,'LAC 102_Wkst'!$E$7:$E$2010,$C89,'LAC 102_Wkst'!$G$7:$G$2010,$D89,'LAC 102_Wkst'!$L$7:$L$2010,"07",'LAC 102_Wkst'!$N$7:$N$2010,"P4")</f>
        <v>0</v>
      </c>
      <c r="AC89" s="411">
        <f>SUMIFS('LAC 102_Wkst'!$AF$7:$AF$2010,'LAC 102_Wkst'!$D$7:$D$2010,$C$7,'LAC 102_Wkst'!$I$7:$I$2010,$C$9,'LAC 102_Wkst'!$E$7:$E$2010,$C89,'LAC 102_Wkst'!$G$7:$G$2010,$D89,'LAC 102_Wkst'!$L$7:$L$2010,"07",'LAC 102_Wkst'!$N$7:$N$2010,"P4")</f>
        <v>0</v>
      </c>
      <c r="AD89" s="410">
        <f>SUMIFS('LAC 102_Wkst'!$Q$7:$Q$2010,'LAC 102_Wkst'!$D$7:$D$2010,$C$7,'LAC 102_Wkst'!$I$7:$I$2010,$C$9,'LAC 102_Wkst'!$E$7:$E$2010,$C89,'LAC 102_Wkst'!$G$7:$G$2010,$D89,'LAC 102_Wkst'!$L$7:$L$2010,"07",'LAC 102_Wkst'!$N$7:$N$2010,"P5")</f>
        <v>0</v>
      </c>
      <c r="AE89" s="411">
        <f>SUMIFS('LAC 102_Wkst'!$AF$7:$AF$2010,'LAC 102_Wkst'!$D$7:$D$2010,$C$7,'LAC 102_Wkst'!$I$7:$I$2010,$C$9,'LAC 102_Wkst'!$E$7:$E$2010,$C89,'LAC 102_Wkst'!$G$7:$G$2010,$D89,'LAC 102_Wkst'!$L$7:$L$2010,"07",'LAC 102_Wkst'!$N$7:$N$2010,"P5")</f>
        <v>0</v>
      </c>
      <c r="AF89" s="410">
        <f>SUMIFS('LAC 102_Wkst'!$Q$7:$Q$2010,'LAC 102_Wkst'!$D$7:$D$2010,$C$7,'LAC 102_Wkst'!$I$7:$I$2010,$C$9,'LAC 102_Wkst'!$E$7:$E$2010,$C89,'LAC 102_Wkst'!$G$7:$G$2010,$D89,'LAC 102_Wkst'!$L$7:$L$2010,"08",'LAC 102_Wkst'!$N$7:$N$2010,"P1")+SUMIFS('LAC 102_Wkst'!$Q$7:$Q$2010,'LAC 102_Wkst'!$D$7:$D$2010,$C$7,'LAC 102_Wkst'!$I$7:$I$2010,$C$9,'LAC 102_Wkst'!$E$7:$E$2010,$C89,'LAC 102_Wkst'!$G$7:$G$2010,$D89,'LAC 102_Wkst'!$L$7:$L$2010,"08",'LAC 102_Wkst'!$N$7:$N$2010,"P2")+SUMIFS('LAC 102_Wkst'!$Q$7:$Q$2010,'LAC 102_Wkst'!$D$7:$D$2010,$C$7,'LAC 102_Wkst'!$I$7:$I$2010,$C$9,'LAC 102_Wkst'!$E$7:$E$2010,$C89,'LAC 102_Wkst'!$G$7:$G$2010,$D89,'LAC 102_Wkst'!$L$7:$L$2010,"08",'LAC 102_Wkst'!$N$7:$N$2010,"P3")</f>
        <v>0</v>
      </c>
      <c r="AG89" s="411">
        <f>SUMIFS('LAC 102_Wkst'!$AF$7:$AF$2010,'LAC 102_Wkst'!$D$7:$D$2010,$C$7,'LAC 102_Wkst'!$I$7:$I$2010,$C$9,'LAC 102_Wkst'!$E$7:$E$2010,$C89,'LAC 102_Wkst'!$G$7:$G$2010,$D89,'LAC 102_Wkst'!$L$7:$L$2010,"08",'LAC 102_Wkst'!$N$7:$N$2010,"P1")+SUMIFS('LAC 102_Wkst'!$AF$7:$AF$2010,'LAC 102_Wkst'!$D$7:$D$2010,$C$7,'LAC 102_Wkst'!$I$7:$I$2010,$C$9,'LAC 102_Wkst'!$E$7:$E$2010,$C89,'LAC 102_Wkst'!$G$7:$G$2010,$D89,'LAC 102_Wkst'!$L$7:$L$2010,"08",'LAC 102_Wkst'!$N$7:$N$2010,"P2")+SUMIFS('LAC 102_Wkst'!$AF$7:$AF$2010,'LAC 102_Wkst'!$D$7:$D$2010,$C$7,'LAC 102_Wkst'!$I$7:$I$2010,$C$9,'LAC 102_Wkst'!$E$7:$E$2010,$C89,'LAC 102_Wkst'!$G$7:$G$2010,$D89,'LAC 102_Wkst'!$L$7:$L$2010,"08",'LAC 102_Wkst'!$N$7:$N$2010,"P3")</f>
        <v>0</v>
      </c>
      <c r="AH89" s="410">
        <f>SUMIFS('LAC 102_Wkst'!$Q$7:$Q$2010,'LAC 102_Wkst'!$D$7:$D$2010,$C$7,'LAC 102_Wkst'!$I$7:$I$2010,$C$9,'LAC 102_Wkst'!$E$7:$E$2010,$C89,'LAC 102_Wkst'!$G$7:$G$2010,$D89,'LAC 102_Wkst'!$L$7:$L$2010,"08",'LAC 102_Wkst'!$N$7:$N$2010,"P4")</f>
        <v>0</v>
      </c>
      <c r="AI89" s="411">
        <f>SUMIFS('LAC 102_Wkst'!$AF$7:$AF$2010,'LAC 102_Wkst'!$D$7:$D$2010,$C$7,'LAC 102_Wkst'!$I$7:$I$2010,$C$9,'LAC 102_Wkst'!$E$7:$E$2010,$C89,'LAC 102_Wkst'!$G$7:$G$2010,$D89,'LAC 102_Wkst'!$L$7:$L$2010,"08",'LAC 102_Wkst'!$N$7:$N$2010,"P4")</f>
        <v>0</v>
      </c>
      <c r="AJ89" s="410">
        <f>SUMIFS('LAC 102_Wkst'!$Q$7:$Q$2010,'LAC 102_Wkst'!$D$7:$D$2010,$C$7,'LAC 102_Wkst'!$I$7:$I$2010,$C$9,'LAC 102_Wkst'!$E$7:$E$2010,$C89,'LAC 102_Wkst'!$G$7:$G$2010,$D89,'LAC 102_Wkst'!$L$7:$L$2010,"08",'LAC 102_Wkst'!$N$7:$N$2010,"P5")</f>
        <v>0</v>
      </c>
      <c r="AK89" s="411">
        <f>SUMIFS('LAC 102_Wkst'!$AF$7:$AF$2010,'LAC 102_Wkst'!$D$7:$D$2010,$C$7,'LAC 102_Wkst'!$I$7:$I$2010,$C$9,'LAC 102_Wkst'!$E$7:$E$2010,$C89,'LAC 102_Wkst'!$G$7:$G$2010,$D89,'LAC 102_Wkst'!$L$7:$L$2010,"08",'LAC 102_Wkst'!$N$7:$N$2010,"P5")</f>
        <v>0</v>
      </c>
      <c r="AL89" s="410">
        <f>SUMIFS('LAC 102_Wkst'!$Q$7:$Q$2010,'LAC 102_Wkst'!$D$7:$D$2010,$C$7,'LAC 102_Wkst'!$I$7:$I$2010,$C$9,'LAC 102_Wkst'!$E$7:$E$2010,$C89,'LAC 102_Wkst'!$G$7:$G$2010,$D89,'LAC 102_Wkst'!$L$7:$L$2010,"09",'LAC 102_Wkst'!$N$7:$N$2010,"P1")+SUMIFS('LAC 102_Wkst'!$Q$7:$Q$2010,'LAC 102_Wkst'!$D$7:$D$2010,$C$7,'LAC 102_Wkst'!$I$7:$I$2010,$C$9,'LAC 102_Wkst'!$E$7:$E$2010,$C89,'LAC 102_Wkst'!$G$7:$G$2010,$D89,'LAC 102_Wkst'!$L$7:$L$2010,"09",'LAC 102_Wkst'!$N$7:$N$2010,"P2")+SUMIFS('LAC 102_Wkst'!$Q$7:$Q$2010,'LAC 102_Wkst'!$D$7:$D$2010,$C$7,'LAC 102_Wkst'!$I$7:$I$2010,$C$9,'LAC 102_Wkst'!$E$7:$E$2010,$C89,'LAC 102_Wkst'!$G$7:$G$2010,$D89,'LAC 102_Wkst'!$L$7:$L$2010,"09",'LAC 102_Wkst'!$N$7:$N$2010,"P3")+SUMIFS('LAC 102_Wkst'!$Q$7:$Q$2010,'LAC 102_Wkst'!$D$7:$D$2010,$C$7,'LAC 102_Wkst'!$I$7:$I$2010,$C$9,'LAC 102_Wkst'!$E$7:$E$2010,$C89,'LAC 102_Wkst'!$G$7:$G$2010,$D89,'LAC 102_Wkst'!$L$7:$L$2010,"09",'LAC 102_Wkst'!$N$7:$N$2010,"P4")</f>
        <v>0</v>
      </c>
      <c r="AM89" s="411">
        <f>SUMIFS('LAC 102_Wkst'!$AF$7:$AF$2010,'LAC 102_Wkst'!$D$7:$D$2010,$C$7,'LAC 102_Wkst'!$I$7:$I$2010,$C$9,'LAC 102_Wkst'!$E$7:$E$2010,$C89,'LAC 102_Wkst'!$G$7:$G$2010,$D89,'LAC 102_Wkst'!$L$7:$L$2010,"09",'LAC 102_Wkst'!$N$7:$N$2010,"P1")+SUMIFS('LAC 102_Wkst'!$AF$7:$AF$2010,'LAC 102_Wkst'!$D$7:$D$2010,$C$7,'LAC 102_Wkst'!$I$7:$I$2010,$C$9,'LAC 102_Wkst'!$E$7:$E$2010,$C89,'LAC 102_Wkst'!$G$7:$G$2010,$D89,'LAC 102_Wkst'!$L$7:$L$2010,"09",'LAC 102_Wkst'!$N$7:$N$2010,"P2")+SUMIFS('LAC 102_Wkst'!$AF$7:$AF$2010,'LAC 102_Wkst'!$D$7:$D$2010,$C$7,'LAC 102_Wkst'!$I$7:$I$2010,$C$9,'LAC 102_Wkst'!$E$7:$E$2010,$C89,'LAC 102_Wkst'!$G$7:$G$2010,$D89,'LAC 102_Wkst'!$L$7:$L$2010,"09",'LAC 102_Wkst'!$N$7:$N$2010,"P3")+SUMIFS('LAC 102_Wkst'!$AF$7:$AF$2010,'LAC 102_Wkst'!$D$7:$D$2010,$C$7,'LAC 102_Wkst'!$I$7:$I$2010,$C$9,'LAC 102_Wkst'!$E$7:$E$2010,$C89,'LAC 102_Wkst'!$G$7:$G$2010,$D89,'LAC 102_Wkst'!$L$7:$L$2010,"09",'LAC 102_Wkst'!$N$7:$N$2010,"P4")</f>
        <v>0</v>
      </c>
      <c r="AN89" s="410">
        <f>SUMIFS('LAC 102_Wkst'!$Q$7:$Q$2010,'LAC 102_Wkst'!$D$7:$D$2010,$C$7,'LAC 102_Wkst'!$I$7:$I$2010,$C$9,'LAC 102_Wkst'!$E$7:$E$2010,$C89,'LAC 102_Wkst'!$G$7:$G$2010,$D89,'LAC 102_Wkst'!$L$7:$L$2010,"09",'LAC 102_Wkst'!$N$7:$N$2010,"P5")</f>
        <v>0</v>
      </c>
      <c r="AO89" s="411">
        <f>SUMIFS('LAC 102_Wkst'!$AF$7:$AF$2010,'LAC 102_Wkst'!$D$7:$D$2010,$C$7,'LAC 102_Wkst'!$I$7:$I$2010,$C$9,'LAC 102_Wkst'!$E$7:$E$2010,$C89,'LAC 102_Wkst'!$G$7:$G$2010,$D89,'LAC 102_Wkst'!$L$7:$L$2010,"09",'LAC 102_Wkst'!$N$7:$N$2010,"P5")</f>
        <v>0</v>
      </c>
      <c r="AP89" s="410">
        <f>SUMIFS('LAC 102_Wkst'!$Q$7:$Q$2010,'LAC 102_Wkst'!$D$7:$D$2010,$C$7,'LAC 102_Wkst'!$I$7:$I$2010,$C$9,'LAC 102_Wkst'!$E$7:$E$2010,$C89,'LAC 102_Wkst'!$G$7:$G$2010,$D89,'LAC 102_Wkst'!$L$7:$L$2010,"10",'LAC 102_Wkst'!$N$7:$N$2010,"P1")+SUMIFS('LAC 102_Wkst'!$Q$7:$Q$2010,'LAC 102_Wkst'!$D$7:$D$2010,$C$7,'LAC 102_Wkst'!$I$7:$I$2010,$C$9,'LAC 102_Wkst'!$E$7:$E$2010,$C89,'LAC 102_Wkst'!$G$7:$G$2010,$D89,'LAC 102_Wkst'!$L$7:$L$2010,"10",'LAC 102_Wkst'!$N$7:$N$2010,"P2")+SUMIFS('LAC 102_Wkst'!$Q$7:$Q$2010,'LAC 102_Wkst'!$D$7:$D$2010,$C$7,'LAC 102_Wkst'!$I$7:$I$2010,$C$9,'LAC 102_Wkst'!$E$7:$E$2010,$C89,'LAC 102_Wkst'!$G$7:$G$2010,$D89,'LAC 102_Wkst'!$L$7:$L$2010,"10",'LAC 102_Wkst'!$N$7:$N$2010,"P3")+SUMIFS('LAC 102_Wkst'!$Q$7:$Q$2010,'LAC 102_Wkst'!$D$7:$D$2010,$C$7,'LAC 102_Wkst'!$I$7:$I$2010,$C$9,'LAC 102_Wkst'!$E$7:$E$2010,$C89,'LAC 102_Wkst'!$G$7:$G$2010,$D89,'LAC 102_Wkst'!$L$7:$L$2010,"10",'LAC 102_Wkst'!$N$7:$N$2010,"P4")</f>
        <v>0</v>
      </c>
      <c r="AQ89" s="411">
        <f>SUMIFS('LAC 102_Wkst'!$AF$7:$AF$2010,'LAC 102_Wkst'!$D$7:$D$2010,$C$7,'LAC 102_Wkst'!$I$7:$I$2010,$C$9,'LAC 102_Wkst'!$E$7:$E$2010,$C89,'LAC 102_Wkst'!$G$7:$G$2010,$D89,'LAC 102_Wkst'!$L$7:$L$2010,"10",'LAC 102_Wkst'!$N$7:$N$2010,"P1")+SUMIFS('LAC 102_Wkst'!$AF$7:$AF$2010,'LAC 102_Wkst'!$D$7:$D$2010,$C$7,'LAC 102_Wkst'!$I$7:$I$2010,$C$9,'LAC 102_Wkst'!$E$7:$E$2010,$C89,'LAC 102_Wkst'!$G$7:$G$2010,$D89,'LAC 102_Wkst'!$L$7:$L$2010,"10",'LAC 102_Wkst'!$N$7:$N$2010,"P2")+SUMIFS('LAC 102_Wkst'!$AF$7:$AF$2010,'LAC 102_Wkst'!$D$7:$D$2010,$C$7,'LAC 102_Wkst'!$I$7:$I$2010,$C$9,'LAC 102_Wkst'!$E$7:$E$2010,$C89,'LAC 102_Wkst'!$G$7:$G$2010,$D89,'LAC 102_Wkst'!$L$7:$L$2010,"10",'LAC 102_Wkst'!$N$7:$N$2010,"P3")+SUMIFS('LAC 102_Wkst'!$AF$7:$AF$2010,'LAC 102_Wkst'!$D$7:$D$2010,$C$7,'LAC 102_Wkst'!$I$7:$I$2010,$C$9,'LAC 102_Wkst'!$E$7:$E$2010,$C89,'LAC 102_Wkst'!$G$7:$G$2010,$D89,'LAC 102_Wkst'!$L$7:$L$2010,"10",'LAC 102_Wkst'!$N$7:$N$2010,"P4")</f>
        <v>0</v>
      </c>
      <c r="AR89" s="410">
        <f>SUMIFS('LAC 102_Wkst'!$Q$7:$Q$2010,'LAC 102_Wkst'!$D$7:$D$2010,$C$7,'LAC 102_Wkst'!$I$7:$I$2010,$C$9,'LAC 102_Wkst'!$E$7:$E$2010,$C89,'LAC 102_Wkst'!$G$7:$G$2010,$D89,'LAC 102_Wkst'!$L$7:$L$2010,"10",'LAC 102_Wkst'!$N$7:$N$2010,"P5")</f>
        <v>0</v>
      </c>
      <c r="AS89" s="411">
        <f>SUMIFS('LAC 102_Wkst'!$AF$7:$AF$2010,'LAC 102_Wkst'!$D$7:$D$2010,$C$7,'LAC 102_Wkst'!$I$7:$I$2010,$C$9,'LAC 102_Wkst'!$E$7:$E$2010,$C89,'LAC 102_Wkst'!$G$7:$G$2010,$D89,'LAC 102_Wkst'!$L$7:$L$2010,"10",'LAC 102_Wkst'!$N$7:$N$2010,"P5")</f>
        <v>0</v>
      </c>
      <c r="AT89" s="410">
        <f>SUMIFS('LAC 102_Wkst'!$Q$7:$Q$2010,'LAC 102_Wkst'!$D$7:$D$2010,$C$7,'LAC 102_Wkst'!$I$7:$I$2010,$C$9,'LAC 102_Wkst'!$E$7:$E$2010,$C89,'LAC 102_Wkst'!$G$7:$G$2010,$D89,'LAC 102_Wkst'!$L$7:$L$2010,"11",'LAC 102_Wkst'!$N$7:$N$2010,"P1")+SUMIFS('LAC 102_Wkst'!$Q$7:$Q$2010,'LAC 102_Wkst'!$D$7:$D$2010,$C$7,'LAC 102_Wkst'!$I$7:$I$2010,$C$9,'LAC 102_Wkst'!$E$7:$E$2010,$C89,'LAC 102_Wkst'!$G$7:$G$2010,$D89,'LAC 102_Wkst'!$L$7:$L$2010,"12",'LAC 102_Wkst'!$N$7:$N$2010,"P1")</f>
        <v>0</v>
      </c>
      <c r="AU89" s="411">
        <f>SUMIFS('LAC 102_Wkst'!$Q$7:$Q$2010,'LAC 102_Wkst'!$D$7:$D$2010,$C$7,'LAC 102_Wkst'!$I$7:$I$2010,$C$9,'LAC 102_Wkst'!$E$7:$E$2010,$C89,'LAC 102_Wkst'!$G$7:$G$2010,$D89,'LAC 102_Wkst'!$L$7:$L$2010,"13",'LAC 102_Wkst'!$N$7:$N$2010,"P5")</f>
        <v>0</v>
      </c>
      <c r="AV89" s="410">
        <f>SUMIFS('LAC 102_Wkst'!$Q$7:$Q$2010,'LAC 102_Wkst'!$D$7:$D$2010,$C$7,'LAC 102_Wkst'!$I$7:$I$2010,$C$9,'LAC 102_Wkst'!$E$7:$E$2010,$C89,'LAC 102_Wkst'!$G$7:$G$2010,$D89,'LAC 102_Wkst'!$L$7:$L$2010,"11",'LAC 102_Wkst'!$N$7:$N$2010,"P2")+SUMIFS('LAC 102_Wkst'!$Q$7:$Q$2010,'LAC 102_Wkst'!$D$7:$D$2010,$C$7,'LAC 102_Wkst'!$I$7:$I$2010,$C$9,'LAC 102_Wkst'!$E$7:$E$2010,$C89,'LAC 102_Wkst'!$G$7:$G$2010,$D89,'LAC 102_Wkst'!$L$7:$L$2010,"12",'LAC 102_Wkst'!$N$7:$N$2010,"P2")+SUMIFS('LAC 102_Wkst'!$Q$7:$Q$2010,'LAC 102_Wkst'!$D$7:$D$2010,$C$7,'LAC 102_Wkst'!$I$7:$I$2010,$C$9,'LAC 102_Wkst'!$E$7:$E$2010,$C89,'LAC 102_Wkst'!$G$7:$G$2010,$D89,'LAC 102_Wkst'!$L$7:$L$2010,"11",'LAC 102_Wkst'!$N$7:$N$2010,"P3")+SUMIFS('LAC 102_Wkst'!$Q$7:$Q$2010,'LAC 102_Wkst'!$D$7:$D$2010,$C$7,'LAC 102_Wkst'!$I$7:$I$2010,$C$9,'LAC 102_Wkst'!$E$7:$E$2010,$C89,'LAC 102_Wkst'!$G$7:$G$2010,$D89,'LAC 102_Wkst'!$L$7:$L$2010,"12",'LAC 102_Wkst'!$N$7:$N$2010,"P3")</f>
        <v>0</v>
      </c>
      <c r="AW89" s="411">
        <f>SUMIFS('LAC 102_Wkst'!$AF$7:$AF$2010,'LAC 102_Wkst'!$D$7:$D$2010,$C$7,'LAC 102_Wkst'!$I$7:$I$2010,$C$9,'LAC 102_Wkst'!$E$7:$E$2010,$C89,'LAC 102_Wkst'!$G$7:$G$2010,$D89,'LAC 102_Wkst'!$L$7:$L$2010,"11",'LAC 102_Wkst'!$N$7:$N$2010,"P2")+SUMIFS('LAC 102_Wkst'!$AF$7:$AF$2010,'LAC 102_Wkst'!$D$7:$D$2010,$C$7,'LAC 102_Wkst'!$I$7:$I$2010,$C$9,'LAC 102_Wkst'!$E$7:$E$2010,$C89,'LAC 102_Wkst'!$G$7:$G$2010,$D89,'LAC 102_Wkst'!$L$7:$L$2010,"12",'LAC 102_Wkst'!$N$7:$N$2010,"P2")+SUMIFS('LAC 102_Wkst'!$AF$7:$AF$2010,'LAC 102_Wkst'!$D$7:$D$2010,$C$7,'LAC 102_Wkst'!$I$7:$I$2010,$C$9,'LAC 102_Wkst'!$E$7:$E$2010,$C89,'LAC 102_Wkst'!$G$7:$G$2010,$D89,'LAC 102_Wkst'!$L$7:$L$2010,"11",'LAC 102_Wkst'!$N$7:$N$2010,"P3")+SUMIFS('LAC 102_Wkst'!$AF$7:$AF$2010,'LAC 102_Wkst'!$D$7:$D$2010,$C$7,'LAC 102_Wkst'!$I$7:$I$2010,$C$9,'LAC 102_Wkst'!$E$7:$E$2010,$C89,'LAC 102_Wkst'!$G$7:$G$2010,$D89,'LAC 102_Wkst'!$L$7:$L$2010,"12",'LAC 102_Wkst'!$N$7:$N$2010,"P3")</f>
        <v>0</v>
      </c>
      <c r="AX89" s="410">
        <f>SUMIFS('LAC 102_Wkst'!$Q$7:$Q$2010,'LAC 102_Wkst'!$D$7:$D$2010,$C$7,'LAC 102_Wkst'!$I$7:$I$2010,$C$9,'LAC 102_Wkst'!$E$7:$E$2010,$C89,'LAC 102_Wkst'!$G$7:$G$2010,$D89,'LAC 102_Wkst'!$L$7:$L$2010,"11",'LAC 102_Wkst'!$N$7:$N$2010,"P4")+SUMIFS('LAC 102_Wkst'!$Q$7:$Q$2010,'LAC 102_Wkst'!$D$7:$D$2010,$C$7,'LAC 102_Wkst'!$I$7:$I$2010,$C$9,'LAC 102_Wkst'!$E$7:$E$2010,$C89,'LAC 102_Wkst'!$G$7:$G$2010,$D89,'LAC 102_Wkst'!$L$7:$L$2010,"12",'LAC 102_Wkst'!$N$7:$N$2010,"P4")</f>
        <v>0</v>
      </c>
      <c r="AY89" s="411">
        <f>SUMIFS('LAC 102_Wkst'!$AF$7:$AF$2010,'LAC 102_Wkst'!$D$7:$D$2010,$C$7,'LAC 102_Wkst'!$I$7:$I$2010,$C$9,'LAC 102_Wkst'!$E$7:$E$2010,$C89,'LAC 102_Wkst'!$G$7:$G$2010,$D89,'LAC 102_Wkst'!$L$7:$L$2010,"11",'LAC 102_Wkst'!$N$7:$N$2010,"P4")+SUMIFS('LAC 102_Wkst'!$AF$7:$AF$2010,'LAC 102_Wkst'!$D$7:$D$2010,$C$7,'LAC 102_Wkst'!$I$7:$I$2010,$C$9,'LAC 102_Wkst'!$E$7:$E$2010,$C89,'LAC 102_Wkst'!$G$7:$G$2010,$D89,'LAC 102_Wkst'!$L$7:$L$2010,"12",'LAC 102_Wkst'!$N$7:$N$2010,"P4")</f>
        <v>0</v>
      </c>
      <c r="AZ89" s="410">
        <f>SUMIFS('LAC 102_Wkst'!$Q$7:$Q$2010,'LAC 102_Wkst'!$D$7:$D$2010,$C$7,'LAC 102_Wkst'!$I$7:$I$2010,$C$9,'LAC 102_Wkst'!$E$7:$E$2010,$C89,'LAC 102_Wkst'!$G$7:$G$2010,$D89,'LAC 102_Wkst'!$L$7:$L$2010,"11",'LAC 102_Wkst'!$N$7:$N$2010,"P5")+SUMIFS('LAC 102_Wkst'!$Q$7:$Q$2010,'LAC 102_Wkst'!$D$7:$D$2010,$C$7,'LAC 102_Wkst'!$I$7:$I$2010,$C$9,'LAC 102_Wkst'!$E$7:$E$2010,$C89,'LAC 102_Wkst'!$G$7:$G$2010,$D89,'LAC 102_Wkst'!$L$7:$L$2010,"12",'LAC 102_Wkst'!$N$7:$N$2010,"P5")</f>
        <v>0</v>
      </c>
      <c r="BA89" s="411">
        <f>SUMIFS('LAC 102_Wkst'!$AF$7:$AF$2010,'LAC 102_Wkst'!$D$7:$D$2010,$C$7,'LAC 102_Wkst'!$I$7:$I$2010,$C$9,'LAC 102_Wkst'!$E$7:$E$2010,$C89,'LAC 102_Wkst'!$G$7:$G$2010,$D89,'LAC 102_Wkst'!$L$7:$L$2010,"11",'LAC 102_Wkst'!$N$7:$N$2010,"P5")+SUMIFS('LAC 102_Wkst'!$AF$7:$AF$2010,'LAC 102_Wkst'!$D$7:$D$2010,$C$7,'LAC 102_Wkst'!$I$7:$I$2010,$C$9,'LAC 102_Wkst'!$E$7:$E$2010,$C89,'LAC 102_Wkst'!$G$7:$G$2010,$D89,'LAC 102_Wkst'!$L$7:$L$2010,"12",'LAC 102_Wkst'!$N$7:$N$2010,"P5")</f>
        <v>0</v>
      </c>
      <c r="BB89" s="410">
        <f>SUMIFS('LAC 102_Wkst'!$Q$7:$Q$2010,'LAC 102_Wkst'!$D$7:$D$2010,$C$7,'LAC 102_Wkst'!$I$7:$I$2010,$C$9,'LAC 102_Wkst'!$E$7:$E$2010,$C89,'LAC 102_Wkst'!$G$7:$G$2010,$D89,'LAC 102_Wkst'!$L$7:$L$2010,"13",'LAC 102_Wkst'!$N$7:$N$2010,"P1")+SUMIFS('LAC 102_Wkst'!$Q$7:$Q$2010,'LAC 102_Wkst'!$D$7:$D$2010,$C$7,'LAC 102_Wkst'!$I$7:$I$2010,$C$9,'LAC 102_Wkst'!$E$7:$E$2010,$C89,'LAC 102_Wkst'!$G$7:$G$2010,$D89,'LAC 102_Wkst'!$L$7:$L$2010,"13",'LAC 102_Wkst'!$N$7:$N$2010,"P2")+SUMIFS('LAC 102_Wkst'!$Q$7:$Q$2010,'LAC 102_Wkst'!$D$7:$D$2010,$C$7,'LAC 102_Wkst'!$I$7:$I$2010,$C$9,'LAC 102_Wkst'!$E$7:$E$2010,$C89,'LAC 102_Wkst'!$G$7:$G$2010,$D89,'LAC 102_Wkst'!$L$7:$L$2010,"13",'LAC 102_Wkst'!$N$7:$N$2010,"P3")+SUMIFS('LAC 102_Wkst'!$Q$7:$Q$2010,'LAC 102_Wkst'!$D$7:$D$2010,$C$7,'LAC 102_Wkst'!$I$7:$I$2010,$C$9,'LAC 102_Wkst'!$E$7:$E$2010,$C89,'LAC 102_Wkst'!$G$7:$G$2010,$D89,'LAC 102_Wkst'!$L$7:$L$2010,"13",'LAC 102_Wkst'!$N$7:$N$2010,"P4")</f>
        <v>0</v>
      </c>
      <c r="BC89" s="411">
        <f>SUMIFS('LAC 102_Wkst'!$AF$7:$AF$2010,'LAC 102_Wkst'!$D$7:$D$2010,$C$7,'LAC 102_Wkst'!$I$7:$I$2010,$C$9,'LAC 102_Wkst'!$E$7:$E$2010,$C89,'LAC 102_Wkst'!$G$7:$G$2010,$D89,'LAC 102_Wkst'!$L$7:$L$2010,"13",'LAC 102_Wkst'!$N$7:$N$2010,"P1")+SUMIFS('LAC 102_Wkst'!$AF$7:$AF$2010,'LAC 102_Wkst'!$D$7:$D$2010,$C$7,'LAC 102_Wkst'!$I$7:$I$2010,$C$9,'LAC 102_Wkst'!$E$7:$E$2010,$C89,'LAC 102_Wkst'!$G$7:$G$2010,$D89,'LAC 102_Wkst'!$L$7:$L$2010,"13",'LAC 102_Wkst'!$N$7:$N$2010,"P2")+SUMIFS('LAC 102_Wkst'!$AF$7:$AF$2010,'LAC 102_Wkst'!$D$7:$D$2010,$C$7,'LAC 102_Wkst'!$I$7:$I$2010,$C$9,'LAC 102_Wkst'!$E$7:$E$2010,$C89,'LAC 102_Wkst'!$G$7:$G$2010,$D89,'LAC 102_Wkst'!$L$7:$L$2010,"13",'LAC 102_Wkst'!$N$7:$N$2010,"P3")+SUMIFS('LAC 102_Wkst'!$AF$7:$AF$2010,'LAC 102_Wkst'!$D$7:$D$2010,$C$7,'LAC 102_Wkst'!$I$7:$I$2010,$C$9,'LAC 102_Wkst'!$E$7:$E$2010,$C89,'LAC 102_Wkst'!$G$7:$G$2010,$D89,'LAC 102_Wkst'!$L$7:$L$2010,"13",'LAC 102_Wkst'!$N$7:$N$2010,"P4")</f>
        <v>0</v>
      </c>
      <c r="BD89" s="410">
        <f>SUMIFS('LAC 102_Wkst'!$Q$7:$Q$2010,'LAC 102_Wkst'!$D$7:$D$2010,$C$7,'LAC 102_Wkst'!$I$7:$I$2010,$C$9,'LAC 102_Wkst'!$E$7:$E$2010,$C89,'LAC 102_Wkst'!$G$7:$G$2010,$D89,'LAC 102_Wkst'!$L$7:$L$2010,"13",'LAC 102_Wkst'!$N$7:$N$2010,"P5")</f>
        <v>0</v>
      </c>
      <c r="BE89" s="411">
        <f>SUMIFS('LAC 102_Wkst'!$AF$7:$AF$2010,'LAC 102_Wkst'!$D$7:$D$2010,$C$7,'LAC 102_Wkst'!$I$7:$I$2010,$C$9,'LAC 102_Wkst'!$E$7:$E$2010,$C89,'LAC 102_Wkst'!$G$7:$G$2010,$D89,'LAC 102_Wkst'!$L$7:$L$2010,"13",'LAC 102_Wkst'!$N$7:$N$2010,"P5")</f>
        <v>0</v>
      </c>
      <c r="BF89" s="407">
        <f t="shared" si="5"/>
        <v>0</v>
      </c>
      <c r="BG89" s="1654">
        <f>SUMIFS('LAC 102_Wkst'!$AF$7:$AF$2010,'LAC 102_Wkst'!$D$7:$D$2010,$C$7,'LAC 102_Wkst'!$I$7:$I$2010,$C$9,'LAC 102_Wkst'!$E$7:$E$2010,$C89,'LAC 102_Wkst'!$G$7:$G$2010,$D89,'LAC 102_Wkst'!$L$7:$L$2010,"14")</f>
        <v>0</v>
      </c>
    </row>
    <row r="90" spans="1:59" x14ac:dyDescent="0.2">
      <c r="A90" s="401">
        <v>68</v>
      </c>
      <c r="B90" s="1678" t="str">
        <f>IF(Schedule_B!B$87="","",Schedule_B!B$87)</f>
        <v/>
      </c>
      <c r="C90" s="1674" t="str">
        <f>IF(Schedule_B!C$87=""," ",Schedule_B!C$87)</f>
        <v xml:space="preserve"> </v>
      </c>
      <c r="D90" s="1675" t="str">
        <f>IF(Schedule_B!D$87=""," ",Schedule_B!D$87)</f>
        <v xml:space="preserve"> </v>
      </c>
      <c r="E90" s="1221">
        <f>SUMIFS('LAC 102_Wkst'!$Q$7:$Q$2010,'LAC 102_Wkst'!$D$7:$D$2010,$C$7,'LAC 102_Wkst'!$I$7:$I$2010,$C$9,'LAC 102_Wkst'!$E$7:$E$2010,$C90,'LAC 102_Wkst'!$G$7:$G$2010,$D90)</f>
        <v>0</v>
      </c>
      <c r="F90" s="408">
        <f>SUMIFS('LAC 102_Wkst'!$Q$7:$Q$2010,'LAC 102_Wkst'!$D$7:$D$2010,$C$7,'LAC 102_Wkst'!$I$7:$I$2010,$C$9,'LAC 102_Wkst'!$E$7:$E$2010,$C90,'LAC 102_Wkst'!$G$7:$G$2010,$D90,'LAC 102_Wkst'!$L$7:$L$2010,"01",'LAC 102_Wkst'!$N$7:$N$2010,"P1")+SUMIFS('LAC 102_Wkst'!$Q$7:$Q$2010,'LAC 102_Wkst'!$D$7:$D$2010,$C$7,'LAC 102_Wkst'!$I$7:$I$2010,$C$9,'LAC 102_Wkst'!$E$7:$E$2010,$C90,'LAC 102_Wkst'!$G$7:$G$2010,$D90,'LAC 102_Wkst'!$L$7:$L$2010,"01",'LAC 102_Wkst'!$N$7:$N$2010,"P2")+SUMIFS('LAC 102_Wkst'!$Q$7:$Q$2010,'LAC 102_Wkst'!$D$7:$D$2010,$C$7,'LAC 102_Wkst'!$I$7:$I$2010,$C$9,'LAC 102_Wkst'!$E$7:$E$2010,$C90,'LAC 102_Wkst'!$G$7:$G$2010,$D90,'LAC 102_Wkst'!$L$7:$L$2010,"01",'LAC 102_Wkst'!$N$7:$N$2010,"P3")+SUMIFS('LAC 102_Wkst'!$Q$7:$Q$2010,'LAC 102_Wkst'!$D$7:$D$2010,$C$7,'LAC 102_Wkst'!$I$7:$I$2010,$C$9,'LAC 102_Wkst'!$E$7:$E$2010,$C90,'LAC 102_Wkst'!$G$7:$G$2010,$D90,'LAC 102_Wkst'!$L$7:$L$2010,"02",'LAC 102_Wkst'!$N$7:$N$2010,"P1")+SUMIFS('LAC 102_Wkst'!$Q$7:$Q$2010,'LAC 102_Wkst'!$D$7:$D$2010,$C$7,'LAC 102_Wkst'!$I$7:$I$2010,$C$9,'LAC 102_Wkst'!$E$7:$E$2010,$C90,'LAC 102_Wkst'!$G$7:$G$2010,$D90,'LAC 102_Wkst'!$L$7:$L$2010,"02",'LAC 102_Wkst'!$N$7:$N$2010,"P2")+SUMIFS('LAC 102_Wkst'!$Q$7:$Q$2010,'LAC 102_Wkst'!$D$7:$D$2010,$C$7,'LAC 102_Wkst'!$I$7:$I$2010,$C$9,'LAC 102_Wkst'!$E$7:$E$2010,$C90,'LAC 102_Wkst'!$G$7:$G$2010,$D90,'LAC 102_Wkst'!$L$7:$L$2010,"02",'LAC 102_Wkst'!$N$7:$N$2010,"P3")</f>
        <v>0</v>
      </c>
      <c r="G90" s="409">
        <f>SUMIFS('LAC 102_Wkst'!$AF$7:$AF$2010,'LAC 102_Wkst'!$D$7:$D$2010,$C$7,'LAC 102_Wkst'!$I$7:$I$2010,$C$9,'LAC 102_Wkst'!$E$7:$E$2010,$C90,'LAC 102_Wkst'!$G$7:$G$2010,$D90,'LAC 102_Wkst'!$L$7:$L$2010,"01",'LAC 102_Wkst'!$N$7:$N$2010,"P1")+SUMIFS('LAC 102_Wkst'!$AF$7:$AF$2010,'LAC 102_Wkst'!$D$7:$D$2010,$C$7,'LAC 102_Wkst'!$I$7:$I$2010,$C$9,'LAC 102_Wkst'!$E$7:$E$2010,$C90,'LAC 102_Wkst'!$G$7:$G$2010,$D90,'LAC 102_Wkst'!$L$7:$L$2010,"01",'LAC 102_Wkst'!$N$7:$N$2010,"P2")+SUMIFS('LAC 102_Wkst'!$AF$7:$AF$2010,'LAC 102_Wkst'!$D$7:$D$2010,$C$7,'LAC 102_Wkst'!$I$7:$I$2010,$C$9,'LAC 102_Wkst'!$E$7:$E$2010,$C90,'LAC 102_Wkst'!$G$7:$G$2010,$D90,'LAC 102_Wkst'!$L$7:$L$2010,"01",'LAC 102_Wkst'!$N$7:$N$2010,"P3")+SUMIFS('LAC 102_Wkst'!$AF$7:$AF$2010,'LAC 102_Wkst'!$D$7:$D$2010,$C$7,'LAC 102_Wkst'!$I$7:$I$2010,$C$9,'LAC 102_Wkst'!$E$7:$E$2010,$C90,'LAC 102_Wkst'!$G$7:$G$2010,$D90,'LAC 102_Wkst'!$L$7:$L$2010,"02",'LAC 102_Wkst'!$N$7:$N$2010,"P1")+SUMIFS('LAC 102_Wkst'!$AF$7:$AF$2010,'LAC 102_Wkst'!$D$7:$D$2010,$C$7,'LAC 102_Wkst'!$I$7:$I$2010,$C$9,'LAC 102_Wkst'!$E$7:$E$2010,$C90,'LAC 102_Wkst'!$G$7:$G$2010,$D90,'LAC 102_Wkst'!$L$7:$L$2010,"02",'LAC 102_Wkst'!$N$7:$N$2010,"P2")+SUMIFS('LAC 102_Wkst'!$AF$7:$AF$2010,'LAC 102_Wkst'!$D$7:$D$2010,$C$7,'LAC 102_Wkst'!$I$7:$I$2010,$C$9,'LAC 102_Wkst'!$E$7:$E$2010,$C90,'LAC 102_Wkst'!$G$7:$G$2010,$D90,'LAC 102_Wkst'!$L$7:$L$2010,"02",'LAC 102_Wkst'!$N$7:$N$2010,"P3")</f>
        <v>0</v>
      </c>
      <c r="H90" s="410">
        <f>SUMIFS('LAC 102_Wkst'!$Q$7:$Q$2010,'LAC 102_Wkst'!$D$7:$D$2010,$C$7,'LAC 102_Wkst'!$I$7:$I$2010,$C$9,'LAC 102_Wkst'!$E$7:$E$2010,$C90,'LAC 102_Wkst'!$G$7:$G$2010,$D90,'LAC 102_Wkst'!$L$7:$L$2010,"01",'LAC 102_Wkst'!$N$7:$N$2010,"P4")+SUMIFS('LAC 102_Wkst'!$Q$7:$Q$2010,'LAC 102_Wkst'!$D$7:$D$2010,$C$7,'LAC 102_Wkst'!$I$7:$I$2010,$C$9,'LAC 102_Wkst'!$E$7:$E$2010,$C90,'LAC 102_Wkst'!$G$7:$G$2010,$D90,'LAC 102_Wkst'!$L$7:$L$2010,"02",'LAC 102_Wkst'!$N$7:$N$2010,"P4")</f>
        <v>0</v>
      </c>
      <c r="I90" s="411">
        <f>SUMIFS('LAC 102_Wkst'!$AF$7:$AF$2010,'LAC 102_Wkst'!$D$7:$D$2010,$C$7,'LAC 102_Wkst'!$I$7:$I$2010,$C$9,'LAC 102_Wkst'!$E$7:$E$2010,$C90,'LAC 102_Wkst'!$G$7:$G$2010,$D90,'LAC 102_Wkst'!$L$7:$L$2010,"01",'LAC 102_Wkst'!$N$7:$N$2010,"P4")+SUMIFS('LAC 102_Wkst'!$AF$7:$AF$2010,'LAC 102_Wkst'!$D$7:$D$2010,$C$7,'LAC 102_Wkst'!$I$7:$I$2010,$C$9,'LAC 102_Wkst'!$E$7:$E$2010,$C90,'LAC 102_Wkst'!$G$7:$G$2010,$D90,'LAC 102_Wkst'!$L$7:$L$2010,"02",'LAC 102_Wkst'!$N$7:$N$2010,"P4")</f>
        <v>0</v>
      </c>
      <c r="J90" s="410">
        <f>SUMIFS('LAC 102_Wkst'!$Q$7:$Q$2010,'LAC 102_Wkst'!$D$7:$D$2010,$C$7,'LAC 102_Wkst'!$I$7:$I$2010,$C$9,'LAC 102_Wkst'!$E$7:$E$2010,$C90,'LAC 102_Wkst'!$G$7:$G$2010,$D90,'LAC 102_Wkst'!$L$7:$L$2010,"01",'LAC 102_Wkst'!$N$7:$N$2010,"P5")+SUMIFS('LAC 102_Wkst'!$Q$7:$Q$2010,'LAC 102_Wkst'!$D$7:$D$2010,$C$7,'LAC 102_Wkst'!$I$7:$I$2010,$C$9,'LAC 102_Wkst'!$E$7:$E$2010,$C90,'LAC 102_Wkst'!$G$7:$G$2010,$D90,'LAC 102_Wkst'!$L$7:$L$2010,"02",'LAC 102_Wkst'!$N$7:$N$2010,"P5")</f>
        <v>0</v>
      </c>
      <c r="K90" s="411">
        <f>SUMIFS('LAC 102_Wkst'!$AF$7:$AF$2010,'LAC 102_Wkst'!$D$7:$D$2010,$C$7,'LAC 102_Wkst'!$I$7:$I$2010,$C$9,'LAC 102_Wkst'!$E$7:$E$2010,$C90,'LAC 102_Wkst'!$G$7:$G$2010,$D90,'LAC 102_Wkst'!$L$7:$L$2010,"01",'LAC 102_Wkst'!$N$7:$N$2010,"P5")+SUMIFS('LAC 102_Wkst'!$AF$7:$AF$2010,'LAC 102_Wkst'!$D$7:$D$2010,$C$7,'LAC 102_Wkst'!$I$7:$I$2010,$C$9,'LAC 102_Wkst'!$E$7:$E$2010,$C90,'LAC 102_Wkst'!$G$7:$G$2010,$D90,'LAC 102_Wkst'!$L$7:$L$2010,"02",'LAC 102_Wkst'!$N$7:$N$2010,"P5")</f>
        <v>0</v>
      </c>
      <c r="L90" s="410">
        <f>SUMIFS('LAC 102_Wkst'!$Q$7:$Q$2010,'LAC 102_Wkst'!$D$7:$D$2010,$C$7,'LAC 102_Wkst'!$I$7:$I$2010,$C$9,'LAC 102_Wkst'!$E$7:$E$2010,$C90,'LAC 102_Wkst'!$G$7:$G$2010,$D90,'LAC 102_Wkst'!$L$7:$L$2010,"03",'LAC 102_Wkst'!$N$7:$N$2010,"P1")+SUMIFS('LAC 102_Wkst'!$Q$7:$Q$2010,'LAC 102_Wkst'!$D$7:$D$2010,$C$7,'LAC 102_Wkst'!$I$7:$I$2010,$C$9,'LAC 102_Wkst'!$E$7:$E$2010,$C90,'LAC 102_Wkst'!$G$7:$G$2010,$D90,'LAC 102_Wkst'!$L$7:$L$2010,"03",'LAC 102_Wkst'!$N$7:$N$2010,"P2")+SUMIFS('LAC 102_Wkst'!$Q$7:$Q$2010,'LAC 102_Wkst'!$D$7:$D$2010,$C$7,'LAC 102_Wkst'!$I$7:$I$2010,$C$9,'LAC 102_Wkst'!$E$7:$E$2010,$C90,'LAC 102_Wkst'!$G$7:$G$2010,$D90,'LAC 102_Wkst'!$L$7:$L$2010,"03",'LAC 102_Wkst'!$N$7:$N$2010,"P3")+SUMIFS('LAC 102_Wkst'!$Q$7:$Q$2010,'LAC 102_Wkst'!$D$7:$D$2010,$C$7,'LAC 102_Wkst'!$I$7:$I$2010,$C$9,'LAC 102_Wkst'!$E$7:$E$2010,$C90,'LAC 102_Wkst'!$G$7:$G$2010,$D90,'LAC 102_Wkst'!$L$7:$L$2010,"04",'LAC 102_Wkst'!$N$7:$N$2010,"P1")+SUMIFS('LAC 102_Wkst'!$Q$7:$Q$2010,'LAC 102_Wkst'!$D$7:$D$2010,$C$7,'LAC 102_Wkst'!$I$7:$I$2010,$C$9,'LAC 102_Wkst'!$E$7:$E$2010,$C90,'LAC 102_Wkst'!$G$7:$G$2010,$D90,'LAC 102_Wkst'!$L$7:$L$2010,"04",'LAC 102_Wkst'!$N$7:$N$2010,"P2")+SUMIFS('LAC 102_Wkst'!$Q$7:$Q$2010,'LAC 102_Wkst'!$D$7:$D$2010,$C$7,'LAC 102_Wkst'!$I$7:$I$2010,$C$9,'LAC 102_Wkst'!$E$7:$E$2010,$C90,'LAC 102_Wkst'!$G$7:$G$2010,$D90,'LAC 102_Wkst'!$L$7:$L$2010,"04",'LAC 102_Wkst'!$N$7:$N$2010,"P3")</f>
        <v>0</v>
      </c>
      <c r="M90" s="411">
        <f>SUMIFS('LAC 102_Wkst'!$AF$7:$AF$2010,'LAC 102_Wkst'!$D$7:$D$2010,$C$7,'LAC 102_Wkst'!$I$7:$I$2010,$C$9,'LAC 102_Wkst'!$E$7:$E$2010,$C90,'LAC 102_Wkst'!$G$7:$G$2010,$D90,'LAC 102_Wkst'!$L$7:$L$2010,"03",'LAC 102_Wkst'!$N$7:$N$2010,"P1")+SUMIFS('LAC 102_Wkst'!$AF$7:$AF$2010,'LAC 102_Wkst'!$D$7:$D$2010,$C$7,'LAC 102_Wkst'!$I$7:$I$2010,$C$9,'LAC 102_Wkst'!$E$7:$E$2010,$C90,'LAC 102_Wkst'!$G$7:$G$2010,$D90,'LAC 102_Wkst'!$L$7:$L$2010,"03",'LAC 102_Wkst'!$N$7:$N$2010,"P2")+SUMIFS('LAC 102_Wkst'!$AF$7:$AF$2010,'LAC 102_Wkst'!$D$7:$D$2010,$C$7,'LAC 102_Wkst'!$I$7:$I$2010,$C$9,'LAC 102_Wkst'!$E$7:$E$2010,$C90,'LAC 102_Wkst'!$G$7:$G$2010,$D90,'LAC 102_Wkst'!$L$7:$L$2010,"03",'LAC 102_Wkst'!$N$7:$N$2010,"P3")+SUMIFS('LAC 102_Wkst'!$AF$7:$AF$2010,'LAC 102_Wkst'!$D$7:$D$2010,$C$7,'LAC 102_Wkst'!$I$7:$I$2010,$C$9,'LAC 102_Wkst'!$E$7:$E$2010,$C90,'LAC 102_Wkst'!$G$7:$G$2010,$D90,'LAC 102_Wkst'!$L$7:$L$2010,"04",'LAC 102_Wkst'!$N$7:$N$2010,"P1")+SUMIFS('LAC 102_Wkst'!$AF$7:$AF$2010,'LAC 102_Wkst'!$D$7:$D$2010,$C$7,'LAC 102_Wkst'!$I$7:$I$2010,$C$9,'LAC 102_Wkst'!$E$7:$E$2010,$C90,'LAC 102_Wkst'!$G$7:$G$2010,$D90,'LAC 102_Wkst'!$L$7:$L$2010,"04",'LAC 102_Wkst'!$N$7:$N$2010,"P2")+SUMIFS('LAC 102_Wkst'!$AF$7:$AF$2010,'LAC 102_Wkst'!$D$7:$D$2010,$C$7,'LAC 102_Wkst'!$I$7:$I$2010,$C$9,'LAC 102_Wkst'!$E$7:$E$2010,$C90,'LAC 102_Wkst'!$G$7:$G$2010,$D90,'LAC 102_Wkst'!$L$7:$L$2010,"04",'LAC 102_Wkst'!$N$7:$N$2010,"P3")</f>
        <v>0</v>
      </c>
      <c r="N90" s="410">
        <f>SUMIFS('LAC 102_Wkst'!$Q$7:$Q$2010,'LAC 102_Wkst'!$D$7:$D$2010,$C$7,'LAC 102_Wkst'!$I$7:$I$2010,$C$9,'LAC 102_Wkst'!$E$7:$E$2010,$C90,'LAC 102_Wkst'!$G$7:$G$2010,$D90,'LAC 102_Wkst'!$L$7:$L$2010,"03",'LAC 102_Wkst'!$N$7:$N$2010,"P4")+SUMIFS('LAC 102_Wkst'!$Q$7:$Q$2010,'LAC 102_Wkst'!$D$7:$D$2010,$C$7,'LAC 102_Wkst'!$I$7:$I$2010,$C$9,'LAC 102_Wkst'!$E$7:$E$2010,$C90,'LAC 102_Wkst'!$G$7:$G$2010,$D90,'LAC 102_Wkst'!$L$7:$L$2010,"04",'LAC 102_Wkst'!$N$7:$N$2010,"P4")</f>
        <v>0</v>
      </c>
      <c r="O90" s="411">
        <f>SUMIFS('LAC 102_Wkst'!$AF$7:$AF$2010,'LAC 102_Wkst'!$D$7:$D$2010,$C$7,'LAC 102_Wkst'!$I$7:$I$2010,$C$9,'LAC 102_Wkst'!$E$7:$E$2010,$C90,'LAC 102_Wkst'!$G$7:$G$2010,$D90,'LAC 102_Wkst'!$L$7:$L$2010,"03",'LAC 102_Wkst'!$N$7:$N$2010,"P4")+SUMIFS('LAC 102_Wkst'!$AF$7:$AF$2010,'LAC 102_Wkst'!$D$7:$D$2010,$C$7,'LAC 102_Wkst'!$I$7:$I$2010,$C$9,'LAC 102_Wkst'!$E$7:$E$2010,$C90,'LAC 102_Wkst'!$G$7:$G$2010,$D90,'LAC 102_Wkst'!$L$7:$L$2010,"04",'LAC 102_Wkst'!$N$7:$N$2010,"P4")</f>
        <v>0</v>
      </c>
      <c r="P90" s="410">
        <f>SUMIFS('LAC 102_Wkst'!$Q$7:$Q$2010,'LAC 102_Wkst'!$D$7:$D$2010,$C$7,'LAC 102_Wkst'!$I$7:$I$2010,$C$9,'LAC 102_Wkst'!$E$7:$E$2010,$C90,'LAC 102_Wkst'!$G$7:$G$2010,$D90,'LAC 102_Wkst'!$L$7:$L$2010,"03",'LAC 102_Wkst'!$N$7:$N$2010,"P5")+SUMIFS('LAC 102_Wkst'!$Q$7:$Q$2010,'LAC 102_Wkst'!$D$7:$D$2010,$C$7,'LAC 102_Wkst'!$I$7:$I$2010,$C$9,'LAC 102_Wkst'!$E$7:$E$2010,$C90,'LAC 102_Wkst'!$G$7:$G$2010,$D90,'LAC 102_Wkst'!$L$7:$L$2010,"04",'LAC 102_Wkst'!$N$7:$N$2010,"P5")</f>
        <v>0</v>
      </c>
      <c r="Q90" s="411">
        <f>SUMIFS('LAC 102_Wkst'!$AF$7:$AF$2010,'LAC 102_Wkst'!$D$7:$D$2010,$C$7,'LAC 102_Wkst'!$I$7:$I$2010,$C$9,'LAC 102_Wkst'!$E$7:$E$2010,$C90,'LAC 102_Wkst'!$G$7:$G$2010,$D90,'LAC 102_Wkst'!$L$7:$L$2010,"03",'LAC 102_Wkst'!$N$7:$N$2010,"P5")+SUMIFS('LAC 102_Wkst'!$AF$7:$AF$2010,'LAC 102_Wkst'!$D$7:$D$2010,$C$7,'LAC 102_Wkst'!$I$7:$I$2010,$C$9,'LAC 102_Wkst'!$E$7:$E$2010,$C90,'LAC 102_Wkst'!$G$7:$G$2010,$D90,'LAC 102_Wkst'!$L$7:$L$2010,"04",'LAC 102_Wkst'!$N$7:$N$2010,"P5")</f>
        <v>0</v>
      </c>
      <c r="R90" s="412">
        <f>SUMIFS('LAC 102_Wkst'!$Q$7:$Q$2010,'LAC 102_Wkst'!$D$7:$D$2010,$C$7,'LAC 102_Wkst'!$I$7:$I$2010,$C$9,'LAC 102_Wkst'!$E$7:$E$2010,$C90,'LAC 102_Wkst'!$G$7:$G$2010,$D90,'LAC 102_Wkst'!$L$7:$L$2010,"05",'LAC 102_Wkst'!$N$7:$N$2010,"P1")+SUMIFS('LAC 102_Wkst'!$Q$7:$Q$2010,'LAC 102_Wkst'!$D$7:$D$2010,$C$7,'LAC 102_Wkst'!$I$7:$I$2010,$C$9,'LAC 102_Wkst'!$E$7:$E$2010,$C90,'LAC 102_Wkst'!$G$7:$G$2010,$D90,'LAC 102_Wkst'!$L$7:$L$2010,"06",'LAC 102_Wkst'!$N$7:$N$2010,"P1")</f>
        <v>0</v>
      </c>
      <c r="S90" s="411">
        <f>SUMIFS('LAC 102_Wkst'!$AF$7:$AF$2010,'LAC 102_Wkst'!$D$7:$D$2010,$C$7,'LAC 102_Wkst'!$I$7:$I$2010,$C$9,'LAC 102_Wkst'!$E$7:$E$2010,$C90,'LAC 102_Wkst'!$G$7:$G$2010,$D90,'LAC 102_Wkst'!$L$7:$L$2010,"05",'LAC 102_Wkst'!$N$7:$N$2010,"P1")+SUMIFS('LAC 102_Wkst'!$AF$7:$AF$2010,'LAC 102_Wkst'!$D$7:$D$2010,$C$7,'LAC 102_Wkst'!$I$7:$I$2010,$C$9,'LAC 102_Wkst'!$E$7:$E$2010,$C90,'LAC 102_Wkst'!$G$7:$G$2010,$D90,'LAC 102_Wkst'!$L$7:$L$2010,"06",'LAC 102_Wkst'!$N$7:$N$2010,"P1")</f>
        <v>0</v>
      </c>
      <c r="T90" s="410">
        <f>SUMIFS('LAC 102_Wkst'!$Q$7:$Q$2010,'LAC 102_Wkst'!$D$7:$D$2010,$C$7,'LAC 102_Wkst'!$I$7:$I$2010,$C$9,'LAC 102_Wkst'!$E$7:$E$2010,$C90,'LAC 102_Wkst'!$G$7:$G$2010,$D90,'LAC 102_Wkst'!$L$7:$L$2010,"05",'LAC 102_Wkst'!$N$7:$N$2010,"P2")+SUMIFS('LAC 102_Wkst'!$Q$7:$Q$2010,'LAC 102_Wkst'!$D$7:$D$2010,$C$7,'LAC 102_Wkst'!$I$7:$I$2010,$C$9,'LAC 102_Wkst'!$E$7:$E$2010,$C90,'LAC 102_Wkst'!$G$7:$G$2010,$D90,'LAC 102_Wkst'!$L$7:$L$2010,"06",'LAC 102_Wkst'!$N$7:$N$2010,"P2")+SUMIFS('LAC 102_Wkst'!$Q$7:$Q$2010,'LAC 102_Wkst'!$D$7:$D$2010,$C$7,'LAC 102_Wkst'!$I$7:$I$2010,$C$9,'LAC 102_Wkst'!$E$7:$E$2010,$C90,'LAC 102_Wkst'!$G$7:$G$2010,$D90,'LAC 102_Wkst'!$L$7:$L$2010,"05",'LAC 102_Wkst'!$N$7:$N$2010,"P3")+SUMIFS('LAC 102_Wkst'!$Q$7:$Q$2010,'LAC 102_Wkst'!$D$7:$D$2010,$C$7,'LAC 102_Wkst'!$I$7:$I$2010,$C$9,'LAC 102_Wkst'!$E$7:$E$2010,$C90,'LAC 102_Wkst'!$G$7:$G$2010,$D90,'LAC 102_Wkst'!$L$7:$L$2010,"06",'LAC 102_Wkst'!$N$7:$N$2010,"P3")</f>
        <v>0</v>
      </c>
      <c r="U90" s="411">
        <f>SUMIFS('LAC 102_Wkst'!$AF$7:$AF$2010,'LAC 102_Wkst'!$D$7:$D$2010,$C$7,'LAC 102_Wkst'!$I$7:$I$2010,$C$9,'LAC 102_Wkst'!$E$7:$E$2010,$C90,'LAC 102_Wkst'!$G$7:$G$2010,$D90,'LAC 102_Wkst'!$L$7:$L$2010,"05",'LAC 102_Wkst'!$N$7:$N$2010,"P2")+SUMIFS('LAC 102_Wkst'!$AF$7:$AF$2010,'LAC 102_Wkst'!$D$7:$D$2010,$C$7,'LAC 102_Wkst'!$I$7:$I$2010,$C$9,'LAC 102_Wkst'!$E$7:$E$2010,$C90,'LAC 102_Wkst'!$G$7:$G$2010,$D90,'LAC 102_Wkst'!$L$7:$L$2010,"06",'LAC 102_Wkst'!$N$7:$N$2010,"P2")+SUMIFS('LAC 102_Wkst'!$AF$7:$AF$2010,'LAC 102_Wkst'!$D$7:$D$2010,$C$7,'LAC 102_Wkst'!$I$7:$I$2010,$C$9,'LAC 102_Wkst'!$E$7:$E$2010,$C90,'LAC 102_Wkst'!$G$7:$G$2010,$D90,'LAC 102_Wkst'!$L$7:$L$2010,"05",'LAC 102_Wkst'!$N$7:$N$2010,"P3")+SUMIFS('LAC 102_Wkst'!$AF$7:$AF$2010,'LAC 102_Wkst'!$D$7:$D$2010,$C$7,'LAC 102_Wkst'!$I$7:$I$2010,$C$9,'LAC 102_Wkst'!$E$7:$E$2010,$C90,'LAC 102_Wkst'!$G$7:$G$2010,$D90,'LAC 102_Wkst'!$L$7:$L$2010,"06",'LAC 102_Wkst'!$N$7:$N$2010,"P3")</f>
        <v>0</v>
      </c>
      <c r="V90" s="410">
        <f>SUMIFS('LAC 102_Wkst'!$Q$7:$Q$2010,'LAC 102_Wkst'!$D$7:$D$2010,$C$7,'LAC 102_Wkst'!$I$7:$I$2010,$C$9,'LAC 102_Wkst'!$E$7:$E$2010,$C90,'LAC 102_Wkst'!$G$7:$G$2010,$D90,'LAC 102_Wkst'!$L$7:$L$2010,"05",'LAC 102_Wkst'!$N$7:$N$2010,"P4")+SUMIFS('LAC 102_Wkst'!$Q$7:$Q$2010,'LAC 102_Wkst'!$D$7:$D$2010,$C$7,'LAC 102_Wkst'!$I$7:$I$2010,$C$9,'LAC 102_Wkst'!$E$7:$E$2010,$C90,'LAC 102_Wkst'!$G$7:$G$2010,$D90,'LAC 102_Wkst'!$L$7:$L$2010,"06",'LAC 102_Wkst'!$N$7:$N$2010,"P4")</f>
        <v>0</v>
      </c>
      <c r="W90" s="411">
        <f>SUMIFS('LAC 102_Wkst'!$AF$7:$AF$2010,'LAC 102_Wkst'!$D$7:$D$2010,$C$7,'LAC 102_Wkst'!$I$7:$I$2010,$C$9,'LAC 102_Wkst'!$E$7:$E$2010,$C90,'LAC 102_Wkst'!$G$7:$G$2010,$D90,'LAC 102_Wkst'!$L$7:$L$2010,"05",'LAC 102_Wkst'!$N$7:$N$2010,"P4")+SUMIFS('LAC 102_Wkst'!$AF$7:$AF$2010,'LAC 102_Wkst'!$D$7:$D$2010,$C$7,'LAC 102_Wkst'!$I$7:$I$2010,$C$9,'LAC 102_Wkst'!$E$7:$E$2010,$C90,'LAC 102_Wkst'!$G$7:$G$2010,$D90,'LAC 102_Wkst'!$L$7:$L$2010,"06",'LAC 102_Wkst'!$N$7:$N$2010,"P4")</f>
        <v>0</v>
      </c>
      <c r="X90" s="410">
        <f>SUMIFS('LAC 102_Wkst'!$Q$7:$Q$2010,'LAC 102_Wkst'!$D$7:$D$2010,$C$7,'LAC 102_Wkst'!$I$7:$I$2010,$C$9,'LAC 102_Wkst'!$E$7:$E$2010,$C90,'LAC 102_Wkst'!$G$7:$G$2010,$D90,'LAC 102_Wkst'!$L$7:$L$2010,"05",'LAC 102_Wkst'!$N$7:$N$2010,"P5")+SUMIFS('LAC 102_Wkst'!$Q$7:$Q$2010,'LAC 102_Wkst'!$D$7:$D$2010,$C$7,'LAC 102_Wkst'!$I$7:$I$2010,$C$9,'LAC 102_Wkst'!$E$7:$E$2010,$C90,'LAC 102_Wkst'!$G$7:$G$2010,$D90,'LAC 102_Wkst'!$L$7:$L$2010,"06",'LAC 102_Wkst'!$N$7:$N$2010,"P5")</f>
        <v>0</v>
      </c>
      <c r="Y90" s="411">
        <f>SUMIFS('LAC 102_Wkst'!$AF$7:$AF$2010,'LAC 102_Wkst'!$D$7:$D$2010,$C$7,'LAC 102_Wkst'!$I$7:$I$2010,$C$9,'LAC 102_Wkst'!$E$7:$E$2010,$C90,'LAC 102_Wkst'!$G$7:$G$2010,$D90,'LAC 102_Wkst'!$L$7:$L$2010,"05",'LAC 102_Wkst'!$N$7:$N$2010,"P5")+SUMIFS('LAC 102_Wkst'!$AF$7:$AF$2010,'LAC 102_Wkst'!$D$7:$D$2010,$C$7,'LAC 102_Wkst'!$I$7:$I$2010,$C$9,'LAC 102_Wkst'!$E$7:$E$2010,$C90,'LAC 102_Wkst'!$G$7:$G$2010,$D90,'LAC 102_Wkst'!$L$7:$L$2010,"06",'LAC 102_Wkst'!$N$7:$N$2010,"P5")</f>
        <v>0</v>
      </c>
      <c r="Z90" s="410">
        <f>SUMIFS('LAC 102_Wkst'!$Q$7:$Q$2010,'LAC 102_Wkst'!$D$7:$D$2010,$C$7,'LAC 102_Wkst'!$I$7:$I$2010,$C$9,'LAC 102_Wkst'!$E$7:$E$2010,$C90,'LAC 102_Wkst'!$G$7:$G$2010,$D90,'LAC 102_Wkst'!$L$7:$L$2010,"07",'LAC 102_Wkst'!$N$7:$N$2010,"P1")+SUMIFS('LAC 102_Wkst'!$Q$7:$Q$2010,'LAC 102_Wkst'!$D$7:$D$2010,$C$7,'LAC 102_Wkst'!$I$7:$I$2010,$C$9,'LAC 102_Wkst'!$E$7:$E$2010,$C90,'LAC 102_Wkst'!$G$7:$G$2010,$D90,'LAC 102_Wkst'!$L$7:$L$2010,"07",'LAC 102_Wkst'!$N$7:$N$2010,"P2")+SUMIFS('LAC 102_Wkst'!$Q$7:$Q$2010,'LAC 102_Wkst'!$D$7:$D$2010,$C$7,'LAC 102_Wkst'!$I$7:$I$2010,$C$9,'LAC 102_Wkst'!$E$7:$E$2010,$C90,'LAC 102_Wkst'!$G$7:$G$2010,$D90,'LAC 102_Wkst'!$L$7:$L$2010,"07",'LAC 102_Wkst'!$N$7:$N$2010,"P3")</f>
        <v>0</v>
      </c>
      <c r="AA90" s="411">
        <f>SUMIFS('LAC 102_Wkst'!$AF$7:$AF$2010,'LAC 102_Wkst'!$D$7:$D$2010,$C$7,'LAC 102_Wkst'!$I$7:$I$2010,$C$9,'LAC 102_Wkst'!$E$7:$E$2010,$C90,'LAC 102_Wkst'!$G$7:$G$2010,$D90,'LAC 102_Wkst'!$L$7:$L$2010,"07",'LAC 102_Wkst'!$N$7:$N$2010,"P1")+SUMIFS('LAC 102_Wkst'!$AF$7:$AF$2010,'LAC 102_Wkst'!$D$7:$D$2010,$C$7,'LAC 102_Wkst'!$I$7:$I$2010,$C$9,'LAC 102_Wkst'!$E$7:$E$2010,$C90,'LAC 102_Wkst'!$G$7:$G$2010,$D90,'LAC 102_Wkst'!$L$7:$L$2010,"07",'LAC 102_Wkst'!$N$7:$N$2010,"P2")+SUMIFS('LAC 102_Wkst'!$AF$7:$AF$2010,'LAC 102_Wkst'!$D$7:$D$2010,$C$7,'LAC 102_Wkst'!$I$7:$I$2010,$C$9,'LAC 102_Wkst'!$E$7:$E$2010,$C90,'LAC 102_Wkst'!$G$7:$G$2010,$D90,'LAC 102_Wkst'!$L$7:$L$2010,"07",'LAC 102_Wkst'!$N$7:$N$2010,"P3")</f>
        <v>0</v>
      </c>
      <c r="AB90" s="410">
        <f>SUMIFS('LAC 102_Wkst'!$Q$7:$Q$2010,'LAC 102_Wkst'!$D$7:$D$2010,$C$7,'LAC 102_Wkst'!$I$7:$I$2010,$C$9,'LAC 102_Wkst'!$E$7:$E$2010,$C90,'LAC 102_Wkst'!$G$7:$G$2010,$D90,'LAC 102_Wkst'!$L$7:$L$2010,"07",'LAC 102_Wkst'!$N$7:$N$2010,"P4")</f>
        <v>0</v>
      </c>
      <c r="AC90" s="411">
        <f>SUMIFS('LAC 102_Wkst'!$AF$7:$AF$2010,'LAC 102_Wkst'!$D$7:$D$2010,$C$7,'LAC 102_Wkst'!$I$7:$I$2010,$C$9,'LAC 102_Wkst'!$E$7:$E$2010,$C90,'LAC 102_Wkst'!$G$7:$G$2010,$D90,'LAC 102_Wkst'!$L$7:$L$2010,"07",'LAC 102_Wkst'!$N$7:$N$2010,"P4")</f>
        <v>0</v>
      </c>
      <c r="AD90" s="410">
        <f>SUMIFS('LAC 102_Wkst'!$Q$7:$Q$2010,'LAC 102_Wkst'!$D$7:$D$2010,$C$7,'LAC 102_Wkst'!$I$7:$I$2010,$C$9,'LAC 102_Wkst'!$E$7:$E$2010,$C90,'LAC 102_Wkst'!$G$7:$G$2010,$D90,'LAC 102_Wkst'!$L$7:$L$2010,"07",'LAC 102_Wkst'!$N$7:$N$2010,"P5")</f>
        <v>0</v>
      </c>
      <c r="AE90" s="411">
        <f>SUMIFS('LAC 102_Wkst'!$AF$7:$AF$2010,'LAC 102_Wkst'!$D$7:$D$2010,$C$7,'LAC 102_Wkst'!$I$7:$I$2010,$C$9,'LAC 102_Wkst'!$E$7:$E$2010,$C90,'LAC 102_Wkst'!$G$7:$G$2010,$D90,'LAC 102_Wkst'!$L$7:$L$2010,"07",'LAC 102_Wkst'!$N$7:$N$2010,"P5")</f>
        <v>0</v>
      </c>
      <c r="AF90" s="410">
        <f>SUMIFS('LAC 102_Wkst'!$Q$7:$Q$2010,'LAC 102_Wkst'!$D$7:$D$2010,$C$7,'LAC 102_Wkst'!$I$7:$I$2010,$C$9,'LAC 102_Wkst'!$E$7:$E$2010,$C90,'LAC 102_Wkst'!$G$7:$G$2010,$D90,'LAC 102_Wkst'!$L$7:$L$2010,"08",'LAC 102_Wkst'!$N$7:$N$2010,"P1")+SUMIFS('LAC 102_Wkst'!$Q$7:$Q$2010,'LAC 102_Wkst'!$D$7:$D$2010,$C$7,'LAC 102_Wkst'!$I$7:$I$2010,$C$9,'LAC 102_Wkst'!$E$7:$E$2010,$C90,'LAC 102_Wkst'!$G$7:$G$2010,$D90,'LAC 102_Wkst'!$L$7:$L$2010,"08",'LAC 102_Wkst'!$N$7:$N$2010,"P2")+SUMIFS('LAC 102_Wkst'!$Q$7:$Q$2010,'LAC 102_Wkst'!$D$7:$D$2010,$C$7,'LAC 102_Wkst'!$I$7:$I$2010,$C$9,'LAC 102_Wkst'!$E$7:$E$2010,$C90,'LAC 102_Wkst'!$G$7:$G$2010,$D90,'LAC 102_Wkst'!$L$7:$L$2010,"08",'LAC 102_Wkst'!$N$7:$N$2010,"P3")</f>
        <v>0</v>
      </c>
      <c r="AG90" s="411">
        <f>SUMIFS('LAC 102_Wkst'!$AF$7:$AF$2010,'LAC 102_Wkst'!$D$7:$D$2010,$C$7,'LAC 102_Wkst'!$I$7:$I$2010,$C$9,'LAC 102_Wkst'!$E$7:$E$2010,$C90,'LAC 102_Wkst'!$G$7:$G$2010,$D90,'LAC 102_Wkst'!$L$7:$L$2010,"08",'LAC 102_Wkst'!$N$7:$N$2010,"P1")+SUMIFS('LAC 102_Wkst'!$AF$7:$AF$2010,'LAC 102_Wkst'!$D$7:$D$2010,$C$7,'LAC 102_Wkst'!$I$7:$I$2010,$C$9,'LAC 102_Wkst'!$E$7:$E$2010,$C90,'LAC 102_Wkst'!$G$7:$G$2010,$D90,'LAC 102_Wkst'!$L$7:$L$2010,"08",'LAC 102_Wkst'!$N$7:$N$2010,"P2")+SUMIFS('LAC 102_Wkst'!$AF$7:$AF$2010,'LAC 102_Wkst'!$D$7:$D$2010,$C$7,'LAC 102_Wkst'!$I$7:$I$2010,$C$9,'LAC 102_Wkst'!$E$7:$E$2010,$C90,'LAC 102_Wkst'!$G$7:$G$2010,$D90,'LAC 102_Wkst'!$L$7:$L$2010,"08",'LAC 102_Wkst'!$N$7:$N$2010,"P3")</f>
        <v>0</v>
      </c>
      <c r="AH90" s="410">
        <f>SUMIFS('LAC 102_Wkst'!$Q$7:$Q$2010,'LAC 102_Wkst'!$D$7:$D$2010,$C$7,'LAC 102_Wkst'!$I$7:$I$2010,$C$9,'LAC 102_Wkst'!$E$7:$E$2010,$C90,'LAC 102_Wkst'!$G$7:$G$2010,$D90,'LAC 102_Wkst'!$L$7:$L$2010,"08",'LAC 102_Wkst'!$N$7:$N$2010,"P4")</f>
        <v>0</v>
      </c>
      <c r="AI90" s="411">
        <f>SUMIFS('LAC 102_Wkst'!$AF$7:$AF$2010,'LAC 102_Wkst'!$D$7:$D$2010,$C$7,'LAC 102_Wkst'!$I$7:$I$2010,$C$9,'LAC 102_Wkst'!$E$7:$E$2010,$C90,'LAC 102_Wkst'!$G$7:$G$2010,$D90,'LAC 102_Wkst'!$L$7:$L$2010,"08",'LAC 102_Wkst'!$N$7:$N$2010,"P4")</f>
        <v>0</v>
      </c>
      <c r="AJ90" s="410">
        <f>SUMIFS('LAC 102_Wkst'!$Q$7:$Q$2010,'LAC 102_Wkst'!$D$7:$D$2010,$C$7,'LAC 102_Wkst'!$I$7:$I$2010,$C$9,'LAC 102_Wkst'!$E$7:$E$2010,$C90,'LAC 102_Wkst'!$G$7:$G$2010,$D90,'LAC 102_Wkst'!$L$7:$L$2010,"08",'LAC 102_Wkst'!$N$7:$N$2010,"P5")</f>
        <v>0</v>
      </c>
      <c r="AK90" s="411">
        <f>SUMIFS('LAC 102_Wkst'!$AF$7:$AF$2010,'LAC 102_Wkst'!$D$7:$D$2010,$C$7,'LAC 102_Wkst'!$I$7:$I$2010,$C$9,'LAC 102_Wkst'!$E$7:$E$2010,$C90,'LAC 102_Wkst'!$G$7:$G$2010,$D90,'LAC 102_Wkst'!$L$7:$L$2010,"08",'LAC 102_Wkst'!$N$7:$N$2010,"P5")</f>
        <v>0</v>
      </c>
      <c r="AL90" s="410">
        <f>SUMIFS('LAC 102_Wkst'!$Q$7:$Q$2010,'LAC 102_Wkst'!$D$7:$D$2010,$C$7,'LAC 102_Wkst'!$I$7:$I$2010,$C$9,'LAC 102_Wkst'!$E$7:$E$2010,$C90,'LAC 102_Wkst'!$G$7:$G$2010,$D90,'LAC 102_Wkst'!$L$7:$L$2010,"09",'LAC 102_Wkst'!$N$7:$N$2010,"P1")+SUMIFS('LAC 102_Wkst'!$Q$7:$Q$2010,'LAC 102_Wkst'!$D$7:$D$2010,$C$7,'LAC 102_Wkst'!$I$7:$I$2010,$C$9,'LAC 102_Wkst'!$E$7:$E$2010,$C90,'LAC 102_Wkst'!$G$7:$G$2010,$D90,'LAC 102_Wkst'!$L$7:$L$2010,"09",'LAC 102_Wkst'!$N$7:$N$2010,"P2")+SUMIFS('LAC 102_Wkst'!$Q$7:$Q$2010,'LAC 102_Wkst'!$D$7:$D$2010,$C$7,'LAC 102_Wkst'!$I$7:$I$2010,$C$9,'LAC 102_Wkst'!$E$7:$E$2010,$C90,'LAC 102_Wkst'!$G$7:$G$2010,$D90,'LAC 102_Wkst'!$L$7:$L$2010,"09",'LAC 102_Wkst'!$N$7:$N$2010,"P3")+SUMIFS('LAC 102_Wkst'!$Q$7:$Q$2010,'LAC 102_Wkst'!$D$7:$D$2010,$C$7,'LAC 102_Wkst'!$I$7:$I$2010,$C$9,'LAC 102_Wkst'!$E$7:$E$2010,$C90,'LAC 102_Wkst'!$G$7:$G$2010,$D90,'LAC 102_Wkst'!$L$7:$L$2010,"09",'LAC 102_Wkst'!$N$7:$N$2010,"P4")</f>
        <v>0</v>
      </c>
      <c r="AM90" s="411">
        <f>SUMIFS('LAC 102_Wkst'!$AF$7:$AF$2010,'LAC 102_Wkst'!$D$7:$D$2010,$C$7,'LAC 102_Wkst'!$I$7:$I$2010,$C$9,'LAC 102_Wkst'!$E$7:$E$2010,$C90,'LAC 102_Wkst'!$G$7:$G$2010,$D90,'LAC 102_Wkst'!$L$7:$L$2010,"09",'LAC 102_Wkst'!$N$7:$N$2010,"P1")+SUMIFS('LAC 102_Wkst'!$AF$7:$AF$2010,'LAC 102_Wkst'!$D$7:$D$2010,$C$7,'LAC 102_Wkst'!$I$7:$I$2010,$C$9,'LAC 102_Wkst'!$E$7:$E$2010,$C90,'LAC 102_Wkst'!$G$7:$G$2010,$D90,'LAC 102_Wkst'!$L$7:$L$2010,"09",'LAC 102_Wkst'!$N$7:$N$2010,"P2")+SUMIFS('LAC 102_Wkst'!$AF$7:$AF$2010,'LAC 102_Wkst'!$D$7:$D$2010,$C$7,'LAC 102_Wkst'!$I$7:$I$2010,$C$9,'LAC 102_Wkst'!$E$7:$E$2010,$C90,'LAC 102_Wkst'!$G$7:$G$2010,$D90,'LAC 102_Wkst'!$L$7:$L$2010,"09",'LAC 102_Wkst'!$N$7:$N$2010,"P3")+SUMIFS('LAC 102_Wkst'!$AF$7:$AF$2010,'LAC 102_Wkst'!$D$7:$D$2010,$C$7,'LAC 102_Wkst'!$I$7:$I$2010,$C$9,'LAC 102_Wkst'!$E$7:$E$2010,$C90,'LAC 102_Wkst'!$G$7:$G$2010,$D90,'LAC 102_Wkst'!$L$7:$L$2010,"09",'LAC 102_Wkst'!$N$7:$N$2010,"P4")</f>
        <v>0</v>
      </c>
      <c r="AN90" s="410">
        <f>SUMIFS('LAC 102_Wkst'!$Q$7:$Q$2010,'LAC 102_Wkst'!$D$7:$D$2010,$C$7,'LAC 102_Wkst'!$I$7:$I$2010,$C$9,'LAC 102_Wkst'!$E$7:$E$2010,$C90,'LAC 102_Wkst'!$G$7:$G$2010,$D90,'LAC 102_Wkst'!$L$7:$L$2010,"09",'LAC 102_Wkst'!$N$7:$N$2010,"P5")</f>
        <v>0</v>
      </c>
      <c r="AO90" s="411">
        <f>SUMIFS('LAC 102_Wkst'!$AF$7:$AF$2010,'LAC 102_Wkst'!$D$7:$D$2010,$C$7,'LAC 102_Wkst'!$I$7:$I$2010,$C$9,'LAC 102_Wkst'!$E$7:$E$2010,$C90,'LAC 102_Wkst'!$G$7:$G$2010,$D90,'LAC 102_Wkst'!$L$7:$L$2010,"09",'LAC 102_Wkst'!$N$7:$N$2010,"P5")</f>
        <v>0</v>
      </c>
      <c r="AP90" s="410">
        <f>SUMIFS('LAC 102_Wkst'!$Q$7:$Q$2010,'LAC 102_Wkst'!$D$7:$D$2010,$C$7,'LAC 102_Wkst'!$I$7:$I$2010,$C$9,'LAC 102_Wkst'!$E$7:$E$2010,$C90,'LAC 102_Wkst'!$G$7:$G$2010,$D90,'LAC 102_Wkst'!$L$7:$L$2010,"10",'LAC 102_Wkst'!$N$7:$N$2010,"P1")+SUMIFS('LAC 102_Wkst'!$Q$7:$Q$2010,'LAC 102_Wkst'!$D$7:$D$2010,$C$7,'LAC 102_Wkst'!$I$7:$I$2010,$C$9,'LAC 102_Wkst'!$E$7:$E$2010,$C90,'LAC 102_Wkst'!$G$7:$G$2010,$D90,'LAC 102_Wkst'!$L$7:$L$2010,"10",'LAC 102_Wkst'!$N$7:$N$2010,"P2")+SUMIFS('LAC 102_Wkst'!$Q$7:$Q$2010,'LAC 102_Wkst'!$D$7:$D$2010,$C$7,'LAC 102_Wkst'!$I$7:$I$2010,$C$9,'LAC 102_Wkst'!$E$7:$E$2010,$C90,'LAC 102_Wkst'!$G$7:$G$2010,$D90,'LAC 102_Wkst'!$L$7:$L$2010,"10",'LAC 102_Wkst'!$N$7:$N$2010,"P3")+SUMIFS('LAC 102_Wkst'!$Q$7:$Q$2010,'LAC 102_Wkst'!$D$7:$D$2010,$C$7,'LAC 102_Wkst'!$I$7:$I$2010,$C$9,'LAC 102_Wkst'!$E$7:$E$2010,$C90,'LAC 102_Wkst'!$G$7:$G$2010,$D90,'LAC 102_Wkst'!$L$7:$L$2010,"10",'LAC 102_Wkst'!$N$7:$N$2010,"P4")</f>
        <v>0</v>
      </c>
      <c r="AQ90" s="411">
        <f>SUMIFS('LAC 102_Wkst'!$AF$7:$AF$2010,'LAC 102_Wkst'!$D$7:$D$2010,$C$7,'LAC 102_Wkst'!$I$7:$I$2010,$C$9,'LAC 102_Wkst'!$E$7:$E$2010,$C90,'LAC 102_Wkst'!$G$7:$G$2010,$D90,'LAC 102_Wkst'!$L$7:$L$2010,"10",'LAC 102_Wkst'!$N$7:$N$2010,"P1")+SUMIFS('LAC 102_Wkst'!$AF$7:$AF$2010,'LAC 102_Wkst'!$D$7:$D$2010,$C$7,'LAC 102_Wkst'!$I$7:$I$2010,$C$9,'LAC 102_Wkst'!$E$7:$E$2010,$C90,'LAC 102_Wkst'!$G$7:$G$2010,$D90,'LAC 102_Wkst'!$L$7:$L$2010,"10",'LAC 102_Wkst'!$N$7:$N$2010,"P2")+SUMIFS('LAC 102_Wkst'!$AF$7:$AF$2010,'LAC 102_Wkst'!$D$7:$D$2010,$C$7,'LAC 102_Wkst'!$I$7:$I$2010,$C$9,'LAC 102_Wkst'!$E$7:$E$2010,$C90,'LAC 102_Wkst'!$G$7:$G$2010,$D90,'LAC 102_Wkst'!$L$7:$L$2010,"10",'LAC 102_Wkst'!$N$7:$N$2010,"P3")+SUMIFS('LAC 102_Wkst'!$AF$7:$AF$2010,'LAC 102_Wkst'!$D$7:$D$2010,$C$7,'LAC 102_Wkst'!$I$7:$I$2010,$C$9,'LAC 102_Wkst'!$E$7:$E$2010,$C90,'LAC 102_Wkst'!$G$7:$G$2010,$D90,'LAC 102_Wkst'!$L$7:$L$2010,"10",'LAC 102_Wkst'!$N$7:$N$2010,"P4")</f>
        <v>0</v>
      </c>
      <c r="AR90" s="410">
        <f>SUMIFS('LAC 102_Wkst'!$Q$7:$Q$2010,'LAC 102_Wkst'!$D$7:$D$2010,$C$7,'LAC 102_Wkst'!$I$7:$I$2010,$C$9,'LAC 102_Wkst'!$E$7:$E$2010,$C90,'LAC 102_Wkst'!$G$7:$G$2010,$D90,'LAC 102_Wkst'!$L$7:$L$2010,"10",'LAC 102_Wkst'!$N$7:$N$2010,"P5")</f>
        <v>0</v>
      </c>
      <c r="AS90" s="411">
        <f>SUMIFS('LAC 102_Wkst'!$AF$7:$AF$2010,'LAC 102_Wkst'!$D$7:$D$2010,$C$7,'LAC 102_Wkst'!$I$7:$I$2010,$C$9,'LAC 102_Wkst'!$E$7:$E$2010,$C90,'LAC 102_Wkst'!$G$7:$G$2010,$D90,'LAC 102_Wkst'!$L$7:$L$2010,"10",'LAC 102_Wkst'!$N$7:$N$2010,"P5")</f>
        <v>0</v>
      </c>
      <c r="AT90" s="410">
        <f>SUMIFS('LAC 102_Wkst'!$Q$7:$Q$2010,'LAC 102_Wkst'!$D$7:$D$2010,$C$7,'LAC 102_Wkst'!$I$7:$I$2010,$C$9,'LAC 102_Wkst'!$E$7:$E$2010,$C90,'LAC 102_Wkst'!$G$7:$G$2010,$D90,'LAC 102_Wkst'!$L$7:$L$2010,"11",'LAC 102_Wkst'!$N$7:$N$2010,"P1")+SUMIFS('LAC 102_Wkst'!$Q$7:$Q$2010,'LAC 102_Wkst'!$D$7:$D$2010,$C$7,'LAC 102_Wkst'!$I$7:$I$2010,$C$9,'LAC 102_Wkst'!$E$7:$E$2010,$C90,'LAC 102_Wkst'!$G$7:$G$2010,$D90,'LAC 102_Wkst'!$L$7:$L$2010,"12",'LAC 102_Wkst'!$N$7:$N$2010,"P1")</f>
        <v>0</v>
      </c>
      <c r="AU90" s="411">
        <f>SUMIFS('LAC 102_Wkst'!$Q$7:$Q$2010,'LAC 102_Wkst'!$D$7:$D$2010,$C$7,'LAC 102_Wkst'!$I$7:$I$2010,$C$9,'LAC 102_Wkst'!$E$7:$E$2010,$C90,'LAC 102_Wkst'!$G$7:$G$2010,$D90,'LAC 102_Wkst'!$L$7:$L$2010,"13",'LAC 102_Wkst'!$N$7:$N$2010,"P5")</f>
        <v>0</v>
      </c>
      <c r="AV90" s="410">
        <f>SUMIFS('LAC 102_Wkst'!$Q$7:$Q$2010,'LAC 102_Wkst'!$D$7:$D$2010,$C$7,'LAC 102_Wkst'!$I$7:$I$2010,$C$9,'LAC 102_Wkst'!$E$7:$E$2010,$C90,'LAC 102_Wkst'!$G$7:$G$2010,$D90,'LAC 102_Wkst'!$L$7:$L$2010,"11",'LAC 102_Wkst'!$N$7:$N$2010,"P2")+SUMIFS('LAC 102_Wkst'!$Q$7:$Q$2010,'LAC 102_Wkst'!$D$7:$D$2010,$C$7,'LAC 102_Wkst'!$I$7:$I$2010,$C$9,'LAC 102_Wkst'!$E$7:$E$2010,$C90,'LAC 102_Wkst'!$G$7:$G$2010,$D90,'LAC 102_Wkst'!$L$7:$L$2010,"12",'LAC 102_Wkst'!$N$7:$N$2010,"P2")+SUMIFS('LAC 102_Wkst'!$Q$7:$Q$2010,'LAC 102_Wkst'!$D$7:$D$2010,$C$7,'LAC 102_Wkst'!$I$7:$I$2010,$C$9,'LAC 102_Wkst'!$E$7:$E$2010,$C90,'LAC 102_Wkst'!$G$7:$G$2010,$D90,'LAC 102_Wkst'!$L$7:$L$2010,"11",'LAC 102_Wkst'!$N$7:$N$2010,"P3")+SUMIFS('LAC 102_Wkst'!$Q$7:$Q$2010,'LAC 102_Wkst'!$D$7:$D$2010,$C$7,'LAC 102_Wkst'!$I$7:$I$2010,$C$9,'LAC 102_Wkst'!$E$7:$E$2010,$C90,'LAC 102_Wkst'!$G$7:$G$2010,$D90,'LAC 102_Wkst'!$L$7:$L$2010,"12",'LAC 102_Wkst'!$N$7:$N$2010,"P3")</f>
        <v>0</v>
      </c>
      <c r="AW90" s="411">
        <f>SUMIFS('LAC 102_Wkst'!$AF$7:$AF$2010,'LAC 102_Wkst'!$D$7:$D$2010,$C$7,'LAC 102_Wkst'!$I$7:$I$2010,$C$9,'LAC 102_Wkst'!$E$7:$E$2010,$C90,'LAC 102_Wkst'!$G$7:$G$2010,$D90,'LAC 102_Wkst'!$L$7:$L$2010,"11",'LAC 102_Wkst'!$N$7:$N$2010,"P2")+SUMIFS('LAC 102_Wkst'!$AF$7:$AF$2010,'LAC 102_Wkst'!$D$7:$D$2010,$C$7,'LAC 102_Wkst'!$I$7:$I$2010,$C$9,'LAC 102_Wkst'!$E$7:$E$2010,$C90,'LAC 102_Wkst'!$G$7:$G$2010,$D90,'LAC 102_Wkst'!$L$7:$L$2010,"12",'LAC 102_Wkst'!$N$7:$N$2010,"P2")+SUMIFS('LAC 102_Wkst'!$AF$7:$AF$2010,'LAC 102_Wkst'!$D$7:$D$2010,$C$7,'LAC 102_Wkst'!$I$7:$I$2010,$C$9,'LAC 102_Wkst'!$E$7:$E$2010,$C90,'LAC 102_Wkst'!$G$7:$G$2010,$D90,'LAC 102_Wkst'!$L$7:$L$2010,"11",'LAC 102_Wkst'!$N$7:$N$2010,"P3")+SUMIFS('LAC 102_Wkst'!$AF$7:$AF$2010,'LAC 102_Wkst'!$D$7:$D$2010,$C$7,'LAC 102_Wkst'!$I$7:$I$2010,$C$9,'LAC 102_Wkst'!$E$7:$E$2010,$C90,'LAC 102_Wkst'!$G$7:$G$2010,$D90,'LAC 102_Wkst'!$L$7:$L$2010,"12",'LAC 102_Wkst'!$N$7:$N$2010,"P3")</f>
        <v>0</v>
      </c>
      <c r="AX90" s="410">
        <f>SUMIFS('LAC 102_Wkst'!$Q$7:$Q$2010,'LAC 102_Wkst'!$D$7:$D$2010,$C$7,'LAC 102_Wkst'!$I$7:$I$2010,$C$9,'LAC 102_Wkst'!$E$7:$E$2010,$C90,'LAC 102_Wkst'!$G$7:$G$2010,$D90,'LAC 102_Wkst'!$L$7:$L$2010,"11",'LAC 102_Wkst'!$N$7:$N$2010,"P4")+SUMIFS('LAC 102_Wkst'!$Q$7:$Q$2010,'LAC 102_Wkst'!$D$7:$D$2010,$C$7,'LAC 102_Wkst'!$I$7:$I$2010,$C$9,'LAC 102_Wkst'!$E$7:$E$2010,$C90,'LAC 102_Wkst'!$G$7:$G$2010,$D90,'LAC 102_Wkst'!$L$7:$L$2010,"12",'LAC 102_Wkst'!$N$7:$N$2010,"P4")</f>
        <v>0</v>
      </c>
      <c r="AY90" s="411">
        <f>SUMIFS('LAC 102_Wkst'!$AF$7:$AF$2010,'LAC 102_Wkst'!$D$7:$D$2010,$C$7,'LAC 102_Wkst'!$I$7:$I$2010,$C$9,'LAC 102_Wkst'!$E$7:$E$2010,$C90,'LAC 102_Wkst'!$G$7:$G$2010,$D90,'LAC 102_Wkst'!$L$7:$L$2010,"11",'LAC 102_Wkst'!$N$7:$N$2010,"P4")+SUMIFS('LAC 102_Wkst'!$AF$7:$AF$2010,'LAC 102_Wkst'!$D$7:$D$2010,$C$7,'LAC 102_Wkst'!$I$7:$I$2010,$C$9,'LAC 102_Wkst'!$E$7:$E$2010,$C90,'LAC 102_Wkst'!$G$7:$G$2010,$D90,'LAC 102_Wkst'!$L$7:$L$2010,"12",'LAC 102_Wkst'!$N$7:$N$2010,"P4")</f>
        <v>0</v>
      </c>
      <c r="AZ90" s="410">
        <f>SUMIFS('LAC 102_Wkst'!$Q$7:$Q$2010,'LAC 102_Wkst'!$D$7:$D$2010,$C$7,'LAC 102_Wkst'!$I$7:$I$2010,$C$9,'LAC 102_Wkst'!$E$7:$E$2010,$C90,'LAC 102_Wkst'!$G$7:$G$2010,$D90,'LAC 102_Wkst'!$L$7:$L$2010,"11",'LAC 102_Wkst'!$N$7:$N$2010,"P5")+SUMIFS('LAC 102_Wkst'!$Q$7:$Q$2010,'LAC 102_Wkst'!$D$7:$D$2010,$C$7,'LAC 102_Wkst'!$I$7:$I$2010,$C$9,'LAC 102_Wkst'!$E$7:$E$2010,$C90,'LAC 102_Wkst'!$G$7:$G$2010,$D90,'LAC 102_Wkst'!$L$7:$L$2010,"12",'LAC 102_Wkst'!$N$7:$N$2010,"P5")</f>
        <v>0</v>
      </c>
      <c r="BA90" s="411">
        <f>SUMIFS('LAC 102_Wkst'!$AF$7:$AF$2010,'LAC 102_Wkst'!$D$7:$D$2010,$C$7,'LAC 102_Wkst'!$I$7:$I$2010,$C$9,'LAC 102_Wkst'!$E$7:$E$2010,$C90,'LAC 102_Wkst'!$G$7:$G$2010,$D90,'LAC 102_Wkst'!$L$7:$L$2010,"11",'LAC 102_Wkst'!$N$7:$N$2010,"P5")+SUMIFS('LAC 102_Wkst'!$AF$7:$AF$2010,'LAC 102_Wkst'!$D$7:$D$2010,$C$7,'LAC 102_Wkst'!$I$7:$I$2010,$C$9,'LAC 102_Wkst'!$E$7:$E$2010,$C90,'LAC 102_Wkst'!$G$7:$G$2010,$D90,'LAC 102_Wkst'!$L$7:$L$2010,"12",'LAC 102_Wkst'!$N$7:$N$2010,"P5")</f>
        <v>0</v>
      </c>
      <c r="BB90" s="410">
        <f>SUMIFS('LAC 102_Wkst'!$Q$7:$Q$2010,'LAC 102_Wkst'!$D$7:$D$2010,$C$7,'LAC 102_Wkst'!$I$7:$I$2010,$C$9,'LAC 102_Wkst'!$E$7:$E$2010,$C90,'LAC 102_Wkst'!$G$7:$G$2010,$D90,'LAC 102_Wkst'!$L$7:$L$2010,"13",'LAC 102_Wkst'!$N$7:$N$2010,"P1")+SUMIFS('LAC 102_Wkst'!$Q$7:$Q$2010,'LAC 102_Wkst'!$D$7:$D$2010,$C$7,'LAC 102_Wkst'!$I$7:$I$2010,$C$9,'LAC 102_Wkst'!$E$7:$E$2010,$C90,'LAC 102_Wkst'!$G$7:$G$2010,$D90,'LAC 102_Wkst'!$L$7:$L$2010,"13",'LAC 102_Wkst'!$N$7:$N$2010,"P2")+SUMIFS('LAC 102_Wkst'!$Q$7:$Q$2010,'LAC 102_Wkst'!$D$7:$D$2010,$C$7,'LAC 102_Wkst'!$I$7:$I$2010,$C$9,'LAC 102_Wkst'!$E$7:$E$2010,$C90,'LAC 102_Wkst'!$G$7:$G$2010,$D90,'LAC 102_Wkst'!$L$7:$L$2010,"13",'LAC 102_Wkst'!$N$7:$N$2010,"P3")+SUMIFS('LAC 102_Wkst'!$Q$7:$Q$2010,'LAC 102_Wkst'!$D$7:$D$2010,$C$7,'LAC 102_Wkst'!$I$7:$I$2010,$C$9,'LAC 102_Wkst'!$E$7:$E$2010,$C90,'LAC 102_Wkst'!$G$7:$G$2010,$D90,'LAC 102_Wkst'!$L$7:$L$2010,"13",'LAC 102_Wkst'!$N$7:$N$2010,"P4")</f>
        <v>0</v>
      </c>
      <c r="BC90" s="411">
        <f>SUMIFS('LAC 102_Wkst'!$AF$7:$AF$2010,'LAC 102_Wkst'!$D$7:$D$2010,$C$7,'LAC 102_Wkst'!$I$7:$I$2010,$C$9,'LAC 102_Wkst'!$E$7:$E$2010,$C90,'LAC 102_Wkst'!$G$7:$G$2010,$D90,'LAC 102_Wkst'!$L$7:$L$2010,"13",'LAC 102_Wkst'!$N$7:$N$2010,"P1")+SUMIFS('LAC 102_Wkst'!$AF$7:$AF$2010,'LAC 102_Wkst'!$D$7:$D$2010,$C$7,'LAC 102_Wkst'!$I$7:$I$2010,$C$9,'LAC 102_Wkst'!$E$7:$E$2010,$C90,'LAC 102_Wkst'!$G$7:$G$2010,$D90,'LAC 102_Wkst'!$L$7:$L$2010,"13",'LAC 102_Wkst'!$N$7:$N$2010,"P2")+SUMIFS('LAC 102_Wkst'!$AF$7:$AF$2010,'LAC 102_Wkst'!$D$7:$D$2010,$C$7,'LAC 102_Wkst'!$I$7:$I$2010,$C$9,'LAC 102_Wkst'!$E$7:$E$2010,$C90,'LAC 102_Wkst'!$G$7:$G$2010,$D90,'LAC 102_Wkst'!$L$7:$L$2010,"13",'LAC 102_Wkst'!$N$7:$N$2010,"P3")+SUMIFS('LAC 102_Wkst'!$AF$7:$AF$2010,'LAC 102_Wkst'!$D$7:$D$2010,$C$7,'LAC 102_Wkst'!$I$7:$I$2010,$C$9,'LAC 102_Wkst'!$E$7:$E$2010,$C90,'LAC 102_Wkst'!$G$7:$G$2010,$D90,'LAC 102_Wkst'!$L$7:$L$2010,"13",'LAC 102_Wkst'!$N$7:$N$2010,"P4")</f>
        <v>0</v>
      </c>
      <c r="BD90" s="410">
        <f>SUMIFS('LAC 102_Wkst'!$Q$7:$Q$2010,'LAC 102_Wkst'!$D$7:$D$2010,$C$7,'LAC 102_Wkst'!$I$7:$I$2010,$C$9,'LAC 102_Wkst'!$E$7:$E$2010,$C90,'LAC 102_Wkst'!$G$7:$G$2010,$D90,'LAC 102_Wkst'!$L$7:$L$2010,"13",'LAC 102_Wkst'!$N$7:$N$2010,"P5")</f>
        <v>0</v>
      </c>
      <c r="BE90" s="411">
        <f>SUMIFS('LAC 102_Wkst'!$AF$7:$AF$2010,'LAC 102_Wkst'!$D$7:$D$2010,$C$7,'LAC 102_Wkst'!$I$7:$I$2010,$C$9,'LAC 102_Wkst'!$E$7:$E$2010,$C90,'LAC 102_Wkst'!$G$7:$G$2010,$D90,'LAC 102_Wkst'!$L$7:$L$2010,"13",'LAC 102_Wkst'!$N$7:$N$2010,"P5")</f>
        <v>0</v>
      </c>
      <c r="BF90" s="407">
        <f t="shared" si="5"/>
        <v>0</v>
      </c>
      <c r="BG90" s="1654">
        <f>SUMIFS('LAC 102_Wkst'!$AF$7:$AF$2010,'LAC 102_Wkst'!$D$7:$D$2010,$C$7,'LAC 102_Wkst'!$I$7:$I$2010,$C$9,'LAC 102_Wkst'!$E$7:$E$2010,$C90,'LAC 102_Wkst'!$G$7:$G$2010,$D90,'LAC 102_Wkst'!$L$7:$L$2010,"14")</f>
        <v>0</v>
      </c>
    </row>
    <row r="91" spans="1:59" x14ac:dyDescent="0.2">
      <c r="A91" s="401">
        <v>69</v>
      </c>
      <c r="B91" s="1678" t="str">
        <f>IF(Schedule_B!B$88="","",Schedule_B!B$88)</f>
        <v/>
      </c>
      <c r="C91" s="1674" t="str">
        <f>IF(Schedule_B!C$88=""," ",Schedule_B!C$88)</f>
        <v xml:space="preserve"> </v>
      </c>
      <c r="D91" s="1675" t="str">
        <f>IF(Schedule_B!D$88=""," ",Schedule_B!D$88)</f>
        <v xml:space="preserve"> </v>
      </c>
      <c r="E91" s="1221">
        <f>SUMIFS('LAC 102_Wkst'!$Q$7:$Q$2010,'LAC 102_Wkst'!$D$7:$D$2010,$C$7,'LAC 102_Wkst'!$I$7:$I$2010,$C$9,'LAC 102_Wkst'!$E$7:$E$2010,$C91,'LAC 102_Wkst'!$G$7:$G$2010,$D91)</f>
        <v>0</v>
      </c>
      <c r="F91" s="408">
        <f>SUMIFS('LAC 102_Wkst'!$Q$7:$Q$2010,'LAC 102_Wkst'!$D$7:$D$2010,$C$7,'LAC 102_Wkst'!$I$7:$I$2010,$C$9,'LAC 102_Wkst'!$E$7:$E$2010,$C91,'LAC 102_Wkst'!$G$7:$G$2010,$D91,'LAC 102_Wkst'!$L$7:$L$2010,"01",'LAC 102_Wkst'!$N$7:$N$2010,"P1")+SUMIFS('LAC 102_Wkst'!$Q$7:$Q$2010,'LAC 102_Wkst'!$D$7:$D$2010,$C$7,'LAC 102_Wkst'!$I$7:$I$2010,$C$9,'LAC 102_Wkst'!$E$7:$E$2010,$C91,'LAC 102_Wkst'!$G$7:$G$2010,$D91,'LAC 102_Wkst'!$L$7:$L$2010,"01",'LAC 102_Wkst'!$N$7:$N$2010,"P2")+SUMIFS('LAC 102_Wkst'!$Q$7:$Q$2010,'LAC 102_Wkst'!$D$7:$D$2010,$C$7,'LAC 102_Wkst'!$I$7:$I$2010,$C$9,'LAC 102_Wkst'!$E$7:$E$2010,$C91,'LAC 102_Wkst'!$G$7:$G$2010,$D91,'LAC 102_Wkst'!$L$7:$L$2010,"01",'LAC 102_Wkst'!$N$7:$N$2010,"P3")+SUMIFS('LAC 102_Wkst'!$Q$7:$Q$2010,'LAC 102_Wkst'!$D$7:$D$2010,$C$7,'LAC 102_Wkst'!$I$7:$I$2010,$C$9,'LAC 102_Wkst'!$E$7:$E$2010,$C91,'LAC 102_Wkst'!$G$7:$G$2010,$D91,'LAC 102_Wkst'!$L$7:$L$2010,"02",'LAC 102_Wkst'!$N$7:$N$2010,"P1")+SUMIFS('LAC 102_Wkst'!$Q$7:$Q$2010,'LAC 102_Wkst'!$D$7:$D$2010,$C$7,'LAC 102_Wkst'!$I$7:$I$2010,$C$9,'LAC 102_Wkst'!$E$7:$E$2010,$C91,'LAC 102_Wkst'!$G$7:$G$2010,$D91,'LAC 102_Wkst'!$L$7:$L$2010,"02",'LAC 102_Wkst'!$N$7:$N$2010,"P2")+SUMIFS('LAC 102_Wkst'!$Q$7:$Q$2010,'LAC 102_Wkst'!$D$7:$D$2010,$C$7,'LAC 102_Wkst'!$I$7:$I$2010,$C$9,'LAC 102_Wkst'!$E$7:$E$2010,$C91,'LAC 102_Wkst'!$G$7:$G$2010,$D91,'LAC 102_Wkst'!$L$7:$L$2010,"02",'LAC 102_Wkst'!$N$7:$N$2010,"P3")</f>
        <v>0</v>
      </c>
      <c r="G91" s="409">
        <f>SUMIFS('LAC 102_Wkst'!$AF$7:$AF$2010,'LAC 102_Wkst'!$D$7:$D$2010,$C$7,'LAC 102_Wkst'!$I$7:$I$2010,$C$9,'LAC 102_Wkst'!$E$7:$E$2010,$C91,'LAC 102_Wkst'!$G$7:$G$2010,$D91,'LAC 102_Wkst'!$L$7:$L$2010,"01",'LAC 102_Wkst'!$N$7:$N$2010,"P1")+SUMIFS('LAC 102_Wkst'!$AF$7:$AF$2010,'LAC 102_Wkst'!$D$7:$D$2010,$C$7,'LAC 102_Wkst'!$I$7:$I$2010,$C$9,'LAC 102_Wkst'!$E$7:$E$2010,$C91,'LAC 102_Wkst'!$G$7:$G$2010,$D91,'LAC 102_Wkst'!$L$7:$L$2010,"01",'LAC 102_Wkst'!$N$7:$N$2010,"P2")+SUMIFS('LAC 102_Wkst'!$AF$7:$AF$2010,'LAC 102_Wkst'!$D$7:$D$2010,$C$7,'LAC 102_Wkst'!$I$7:$I$2010,$C$9,'LAC 102_Wkst'!$E$7:$E$2010,$C91,'LAC 102_Wkst'!$G$7:$G$2010,$D91,'LAC 102_Wkst'!$L$7:$L$2010,"01",'LAC 102_Wkst'!$N$7:$N$2010,"P3")+SUMIFS('LAC 102_Wkst'!$AF$7:$AF$2010,'LAC 102_Wkst'!$D$7:$D$2010,$C$7,'LAC 102_Wkst'!$I$7:$I$2010,$C$9,'LAC 102_Wkst'!$E$7:$E$2010,$C91,'LAC 102_Wkst'!$G$7:$G$2010,$D91,'LAC 102_Wkst'!$L$7:$L$2010,"02",'LAC 102_Wkst'!$N$7:$N$2010,"P1")+SUMIFS('LAC 102_Wkst'!$AF$7:$AF$2010,'LAC 102_Wkst'!$D$7:$D$2010,$C$7,'LAC 102_Wkst'!$I$7:$I$2010,$C$9,'LAC 102_Wkst'!$E$7:$E$2010,$C91,'LAC 102_Wkst'!$G$7:$G$2010,$D91,'LAC 102_Wkst'!$L$7:$L$2010,"02",'LAC 102_Wkst'!$N$7:$N$2010,"P2")+SUMIFS('LAC 102_Wkst'!$AF$7:$AF$2010,'LAC 102_Wkst'!$D$7:$D$2010,$C$7,'LAC 102_Wkst'!$I$7:$I$2010,$C$9,'LAC 102_Wkst'!$E$7:$E$2010,$C91,'LAC 102_Wkst'!$G$7:$G$2010,$D91,'LAC 102_Wkst'!$L$7:$L$2010,"02",'LAC 102_Wkst'!$N$7:$N$2010,"P3")</f>
        <v>0</v>
      </c>
      <c r="H91" s="410">
        <f>SUMIFS('LAC 102_Wkst'!$Q$7:$Q$2010,'LAC 102_Wkst'!$D$7:$D$2010,$C$7,'LAC 102_Wkst'!$I$7:$I$2010,$C$9,'LAC 102_Wkst'!$E$7:$E$2010,$C91,'LAC 102_Wkst'!$G$7:$G$2010,$D91,'LAC 102_Wkst'!$L$7:$L$2010,"01",'LAC 102_Wkst'!$N$7:$N$2010,"P4")+SUMIFS('LAC 102_Wkst'!$Q$7:$Q$2010,'LAC 102_Wkst'!$D$7:$D$2010,$C$7,'LAC 102_Wkst'!$I$7:$I$2010,$C$9,'LAC 102_Wkst'!$E$7:$E$2010,$C91,'LAC 102_Wkst'!$G$7:$G$2010,$D91,'LAC 102_Wkst'!$L$7:$L$2010,"02",'LAC 102_Wkst'!$N$7:$N$2010,"P4")</f>
        <v>0</v>
      </c>
      <c r="I91" s="411">
        <f>SUMIFS('LAC 102_Wkst'!$AF$7:$AF$2010,'LAC 102_Wkst'!$D$7:$D$2010,$C$7,'LAC 102_Wkst'!$I$7:$I$2010,$C$9,'LAC 102_Wkst'!$E$7:$E$2010,$C91,'LAC 102_Wkst'!$G$7:$G$2010,$D91,'LAC 102_Wkst'!$L$7:$L$2010,"01",'LAC 102_Wkst'!$N$7:$N$2010,"P4")+SUMIFS('LAC 102_Wkst'!$AF$7:$AF$2010,'LAC 102_Wkst'!$D$7:$D$2010,$C$7,'LAC 102_Wkst'!$I$7:$I$2010,$C$9,'LAC 102_Wkst'!$E$7:$E$2010,$C91,'LAC 102_Wkst'!$G$7:$G$2010,$D91,'LAC 102_Wkst'!$L$7:$L$2010,"02",'LAC 102_Wkst'!$N$7:$N$2010,"P4")</f>
        <v>0</v>
      </c>
      <c r="J91" s="410">
        <f>SUMIFS('LAC 102_Wkst'!$Q$7:$Q$2010,'LAC 102_Wkst'!$D$7:$D$2010,$C$7,'LAC 102_Wkst'!$I$7:$I$2010,$C$9,'LAC 102_Wkst'!$E$7:$E$2010,$C91,'LAC 102_Wkst'!$G$7:$G$2010,$D91,'LAC 102_Wkst'!$L$7:$L$2010,"01",'LAC 102_Wkst'!$N$7:$N$2010,"P5")+SUMIFS('LAC 102_Wkst'!$Q$7:$Q$2010,'LAC 102_Wkst'!$D$7:$D$2010,$C$7,'LAC 102_Wkst'!$I$7:$I$2010,$C$9,'LAC 102_Wkst'!$E$7:$E$2010,$C91,'LAC 102_Wkst'!$G$7:$G$2010,$D91,'LAC 102_Wkst'!$L$7:$L$2010,"02",'LAC 102_Wkst'!$N$7:$N$2010,"P5")</f>
        <v>0</v>
      </c>
      <c r="K91" s="411">
        <f>SUMIFS('LAC 102_Wkst'!$AF$7:$AF$2010,'LAC 102_Wkst'!$D$7:$D$2010,$C$7,'LAC 102_Wkst'!$I$7:$I$2010,$C$9,'LAC 102_Wkst'!$E$7:$E$2010,$C91,'LAC 102_Wkst'!$G$7:$G$2010,$D91,'LAC 102_Wkst'!$L$7:$L$2010,"01",'LAC 102_Wkst'!$N$7:$N$2010,"P5")+SUMIFS('LAC 102_Wkst'!$AF$7:$AF$2010,'LAC 102_Wkst'!$D$7:$D$2010,$C$7,'LAC 102_Wkst'!$I$7:$I$2010,$C$9,'LAC 102_Wkst'!$E$7:$E$2010,$C91,'LAC 102_Wkst'!$G$7:$G$2010,$D91,'LAC 102_Wkst'!$L$7:$L$2010,"02",'LAC 102_Wkst'!$N$7:$N$2010,"P5")</f>
        <v>0</v>
      </c>
      <c r="L91" s="410">
        <f>SUMIFS('LAC 102_Wkst'!$Q$7:$Q$2010,'LAC 102_Wkst'!$D$7:$D$2010,$C$7,'LAC 102_Wkst'!$I$7:$I$2010,$C$9,'LAC 102_Wkst'!$E$7:$E$2010,$C91,'LAC 102_Wkst'!$G$7:$G$2010,$D91,'LAC 102_Wkst'!$L$7:$L$2010,"03",'LAC 102_Wkst'!$N$7:$N$2010,"P1")+SUMIFS('LAC 102_Wkst'!$Q$7:$Q$2010,'LAC 102_Wkst'!$D$7:$D$2010,$C$7,'LAC 102_Wkst'!$I$7:$I$2010,$C$9,'LAC 102_Wkst'!$E$7:$E$2010,$C91,'LAC 102_Wkst'!$G$7:$G$2010,$D91,'LAC 102_Wkst'!$L$7:$L$2010,"03",'LAC 102_Wkst'!$N$7:$N$2010,"P2")+SUMIFS('LAC 102_Wkst'!$Q$7:$Q$2010,'LAC 102_Wkst'!$D$7:$D$2010,$C$7,'LAC 102_Wkst'!$I$7:$I$2010,$C$9,'LAC 102_Wkst'!$E$7:$E$2010,$C91,'LAC 102_Wkst'!$G$7:$G$2010,$D91,'LAC 102_Wkst'!$L$7:$L$2010,"03",'LAC 102_Wkst'!$N$7:$N$2010,"P3")+SUMIFS('LAC 102_Wkst'!$Q$7:$Q$2010,'LAC 102_Wkst'!$D$7:$D$2010,$C$7,'LAC 102_Wkst'!$I$7:$I$2010,$C$9,'LAC 102_Wkst'!$E$7:$E$2010,$C91,'LAC 102_Wkst'!$G$7:$G$2010,$D91,'LAC 102_Wkst'!$L$7:$L$2010,"04",'LAC 102_Wkst'!$N$7:$N$2010,"P1")+SUMIFS('LAC 102_Wkst'!$Q$7:$Q$2010,'LAC 102_Wkst'!$D$7:$D$2010,$C$7,'LAC 102_Wkst'!$I$7:$I$2010,$C$9,'LAC 102_Wkst'!$E$7:$E$2010,$C91,'LAC 102_Wkst'!$G$7:$G$2010,$D91,'LAC 102_Wkst'!$L$7:$L$2010,"04",'LAC 102_Wkst'!$N$7:$N$2010,"P2")+SUMIFS('LAC 102_Wkst'!$Q$7:$Q$2010,'LAC 102_Wkst'!$D$7:$D$2010,$C$7,'LAC 102_Wkst'!$I$7:$I$2010,$C$9,'LAC 102_Wkst'!$E$7:$E$2010,$C91,'LAC 102_Wkst'!$G$7:$G$2010,$D91,'LAC 102_Wkst'!$L$7:$L$2010,"04",'LAC 102_Wkst'!$N$7:$N$2010,"P3")</f>
        <v>0</v>
      </c>
      <c r="M91" s="411">
        <f>SUMIFS('LAC 102_Wkst'!$AF$7:$AF$2010,'LAC 102_Wkst'!$D$7:$D$2010,$C$7,'LAC 102_Wkst'!$I$7:$I$2010,$C$9,'LAC 102_Wkst'!$E$7:$E$2010,$C91,'LAC 102_Wkst'!$G$7:$G$2010,$D91,'LAC 102_Wkst'!$L$7:$L$2010,"03",'LAC 102_Wkst'!$N$7:$N$2010,"P1")+SUMIFS('LAC 102_Wkst'!$AF$7:$AF$2010,'LAC 102_Wkst'!$D$7:$D$2010,$C$7,'LAC 102_Wkst'!$I$7:$I$2010,$C$9,'LAC 102_Wkst'!$E$7:$E$2010,$C91,'LAC 102_Wkst'!$G$7:$G$2010,$D91,'LAC 102_Wkst'!$L$7:$L$2010,"03",'LAC 102_Wkst'!$N$7:$N$2010,"P2")+SUMIFS('LAC 102_Wkst'!$AF$7:$AF$2010,'LAC 102_Wkst'!$D$7:$D$2010,$C$7,'LAC 102_Wkst'!$I$7:$I$2010,$C$9,'LAC 102_Wkst'!$E$7:$E$2010,$C91,'LAC 102_Wkst'!$G$7:$G$2010,$D91,'LAC 102_Wkst'!$L$7:$L$2010,"03",'LAC 102_Wkst'!$N$7:$N$2010,"P3")+SUMIFS('LAC 102_Wkst'!$AF$7:$AF$2010,'LAC 102_Wkst'!$D$7:$D$2010,$C$7,'LAC 102_Wkst'!$I$7:$I$2010,$C$9,'LAC 102_Wkst'!$E$7:$E$2010,$C91,'LAC 102_Wkst'!$G$7:$G$2010,$D91,'LAC 102_Wkst'!$L$7:$L$2010,"04",'LAC 102_Wkst'!$N$7:$N$2010,"P1")+SUMIFS('LAC 102_Wkst'!$AF$7:$AF$2010,'LAC 102_Wkst'!$D$7:$D$2010,$C$7,'LAC 102_Wkst'!$I$7:$I$2010,$C$9,'LAC 102_Wkst'!$E$7:$E$2010,$C91,'LAC 102_Wkst'!$G$7:$G$2010,$D91,'LAC 102_Wkst'!$L$7:$L$2010,"04",'LAC 102_Wkst'!$N$7:$N$2010,"P2")+SUMIFS('LAC 102_Wkst'!$AF$7:$AF$2010,'LAC 102_Wkst'!$D$7:$D$2010,$C$7,'LAC 102_Wkst'!$I$7:$I$2010,$C$9,'LAC 102_Wkst'!$E$7:$E$2010,$C91,'LAC 102_Wkst'!$G$7:$G$2010,$D91,'LAC 102_Wkst'!$L$7:$L$2010,"04",'LAC 102_Wkst'!$N$7:$N$2010,"P3")</f>
        <v>0</v>
      </c>
      <c r="N91" s="410">
        <f>SUMIFS('LAC 102_Wkst'!$Q$7:$Q$2010,'LAC 102_Wkst'!$D$7:$D$2010,$C$7,'LAC 102_Wkst'!$I$7:$I$2010,$C$9,'LAC 102_Wkst'!$E$7:$E$2010,$C91,'LAC 102_Wkst'!$G$7:$G$2010,$D91,'LAC 102_Wkst'!$L$7:$L$2010,"03",'LAC 102_Wkst'!$N$7:$N$2010,"P4")+SUMIFS('LAC 102_Wkst'!$Q$7:$Q$2010,'LAC 102_Wkst'!$D$7:$D$2010,$C$7,'LAC 102_Wkst'!$I$7:$I$2010,$C$9,'LAC 102_Wkst'!$E$7:$E$2010,$C91,'LAC 102_Wkst'!$G$7:$G$2010,$D91,'LAC 102_Wkst'!$L$7:$L$2010,"04",'LAC 102_Wkst'!$N$7:$N$2010,"P4")</f>
        <v>0</v>
      </c>
      <c r="O91" s="411">
        <f>SUMIFS('LAC 102_Wkst'!$AF$7:$AF$2010,'LAC 102_Wkst'!$D$7:$D$2010,$C$7,'LAC 102_Wkst'!$I$7:$I$2010,$C$9,'LAC 102_Wkst'!$E$7:$E$2010,$C91,'LAC 102_Wkst'!$G$7:$G$2010,$D91,'LAC 102_Wkst'!$L$7:$L$2010,"03",'LAC 102_Wkst'!$N$7:$N$2010,"P4")+SUMIFS('LAC 102_Wkst'!$AF$7:$AF$2010,'LAC 102_Wkst'!$D$7:$D$2010,$C$7,'LAC 102_Wkst'!$I$7:$I$2010,$C$9,'LAC 102_Wkst'!$E$7:$E$2010,$C91,'LAC 102_Wkst'!$G$7:$G$2010,$D91,'LAC 102_Wkst'!$L$7:$L$2010,"04",'LAC 102_Wkst'!$N$7:$N$2010,"P4")</f>
        <v>0</v>
      </c>
      <c r="P91" s="410">
        <f>SUMIFS('LAC 102_Wkst'!$Q$7:$Q$2010,'LAC 102_Wkst'!$D$7:$D$2010,$C$7,'LAC 102_Wkst'!$I$7:$I$2010,$C$9,'LAC 102_Wkst'!$E$7:$E$2010,$C91,'LAC 102_Wkst'!$G$7:$G$2010,$D91,'LAC 102_Wkst'!$L$7:$L$2010,"03",'LAC 102_Wkst'!$N$7:$N$2010,"P5")+SUMIFS('LAC 102_Wkst'!$Q$7:$Q$2010,'LAC 102_Wkst'!$D$7:$D$2010,$C$7,'LAC 102_Wkst'!$I$7:$I$2010,$C$9,'LAC 102_Wkst'!$E$7:$E$2010,$C91,'LAC 102_Wkst'!$G$7:$G$2010,$D91,'LAC 102_Wkst'!$L$7:$L$2010,"04",'LAC 102_Wkst'!$N$7:$N$2010,"P5")</f>
        <v>0</v>
      </c>
      <c r="Q91" s="411">
        <f>SUMIFS('LAC 102_Wkst'!$AF$7:$AF$2010,'LAC 102_Wkst'!$D$7:$D$2010,$C$7,'LAC 102_Wkst'!$I$7:$I$2010,$C$9,'LAC 102_Wkst'!$E$7:$E$2010,$C91,'LAC 102_Wkst'!$G$7:$G$2010,$D91,'LAC 102_Wkst'!$L$7:$L$2010,"03",'LAC 102_Wkst'!$N$7:$N$2010,"P5")+SUMIFS('LAC 102_Wkst'!$AF$7:$AF$2010,'LAC 102_Wkst'!$D$7:$D$2010,$C$7,'LAC 102_Wkst'!$I$7:$I$2010,$C$9,'LAC 102_Wkst'!$E$7:$E$2010,$C91,'LAC 102_Wkst'!$G$7:$G$2010,$D91,'LAC 102_Wkst'!$L$7:$L$2010,"04",'LAC 102_Wkst'!$N$7:$N$2010,"P5")</f>
        <v>0</v>
      </c>
      <c r="R91" s="412">
        <f>SUMIFS('LAC 102_Wkst'!$Q$7:$Q$2010,'LAC 102_Wkst'!$D$7:$D$2010,$C$7,'LAC 102_Wkst'!$I$7:$I$2010,$C$9,'LAC 102_Wkst'!$E$7:$E$2010,$C91,'LAC 102_Wkst'!$G$7:$G$2010,$D91,'LAC 102_Wkst'!$L$7:$L$2010,"05",'LAC 102_Wkst'!$N$7:$N$2010,"P1")+SUMIFS('LAC 102_Wkst'!$Q$7:$Q$2010,'LAC 102_Wkst'!$D$7:$D$2010,$C$7,'LAC 102_Wkst'!$I$7:$I$2010,$C$9,'LAC 102_Wkst'!$E$7:$E$2010,$C91,'LAC 102_Wkst'!$G$7:$G$2010,$D91,'LAC 102_Wkst'!$L$7:$L$2010,"06",'LAC 102_Wkst'!$N$7:$N$2010,"P1")</f>
        <v>0</v>
      </c>
      <c r="S91" s="411">
        <f>SUMIFS('LAC 102_Wkst'!$AF$7:$AF$2010,'LAC 102_Wkst'!$D$7:$D$2010,$C$7,'LAC 102_Wkst'!$I$7:$I$2010,$C$9,'LAC 102_Wkst'!$E$7:$E$2010,$C91,'LAC 102_Wkst'!$G$7:$G$2010,$D91,'LAC 102_Wkst'!$L$7:$L$2010,"05",'LAC 102_Wkst'!$N$7:$N$2010,"P1")+SUMIFS('LAC 102_Wkst'!$AF$7:$AF$2010,'LAC 102_Wkst'!$D$7:$D$2010,$C$7,'LAC 102_Wkst'!$I$7:$I$2010,$C$9,'LAC 102_Wkst'!$E$7:$E$2010,$C91,'LAC 102_Wkst'!$G$7:$G$2010,$D91,'LAC 102_Wkst'!$L$7:$L$2010,"06",'LAC 102_Wkst'!$N$7:$N$2010,"P1")</f>
        <v>0</v>
      </c>
      <c r="T91" s="410">
        <f>SUMIFS('LAC 102_Wkst'!$Q$7:$Q$2010,'LAC 102_Wkst'!$D$7:$D$2010,$C$7,'LAC 102_Wkst'!$I$7:$I$2010,$C$9,'LAC 102_Wkst'!$E$7:$E$2010,$C91,'LAC 102_Wkst'!$G$7:$G$2010,$D91,'LAC 102_Wkst'!$L$7:$L$2010,"05",'LAC 102_Wkst'!$N$7:$N$2010,"P2")+SUMIFS('LAC 102_Wkst'!$Q$7:$Q$2010,'LAC 102_Wkst'!$D$7:$D$2010,$C$7,'LAC 102_Wkst'!$I$7:$I$2010,$C$9,'LAC 102_Wkst'!$E$7:$E$2010,$C91,'LAC 102_Wkst'!$G$7:$G$2010,$D91,'LAC 102_Wkst'!$L$7:$L$2010,"06",'LAC 102_Wkst'!$N$7:$N$2010,"P2")+SUMIFS('LAC 102_Wkst'!$Q$7:$Q$2010,'LAC 102_Wkst'!$D$7:$D$2010,$C$7,'LAC 102_Wkst'!$I$7:$I$2010,$C$9,'LAC 102_Wkst'!$E$7:$E$2010,$C91,'LAC 102_Wkst'!$G$7:$G$2010,$D91,'LAC 102_Wkst'!$L$7:$L$2010,"05",'LAC 102_Wkst'!$N$7:$N$2010,"P3")+SUMIFS('LAC 102_Wkst'!$Q$7:$Q$2010,'LAC 102_Wkst'!$D$7:$D$2010,$C$7,'LAC 102_Wkst'!$I$7:$I$2010,$C$9,'LAC 102_Wkst'!$E$7:$E$2010,$C91,'LAC 102_Wkst'!$G$7:$G$2010,$D91,'LAC 102_Wkst'!$L$7:$L$2010,"06",'LAC 102_Wkst'!$N$7:$N$2010,"P3")</f>
        <v>0</v>
      </c>
      <c r="U91" s="411">
        <f>SUMIFS('LAC 102_Wkst'!$AF$7:$AF$2010,'LAC 102_Wkst'!$D$7:$D$2010,$C$7,'LAC 102_Wkst'!$I$7:$I$2010,$C$9,'LAC 102_Wkst'!$E$7:$E$2010,$C91,'LAC 102_Wkst'!$G$7:$G$2010,$D91,'LAC 102_Wkst'!$L$7:$L$2010,"05",'LAC 102_Wkst'!$N$7:$N$2010,"P2")+SUMIFS('LAC 102_Wkst'!$AF$7:$AF$2010,'LAC 102_Wkst'!$D$7:$D$2010,$C$7,'LAC 102_Wkst'!$I$7:$I$2010,$C$9,'LAC 102_Wkst'!$E$7:$E$2010,$C91,'LAC 102_Wkst'!$G$7:$G$2010,$D91,'LAC 102_Wkst'!$L$7:$L$2010,"06",'LAC 102_Wkst'!$N$7:$N$2010,"P2")+SUMIFS('LAC 102_Wkst'!$AF$7:$AF$2010,'LAC 102_Wkst'!$D$7:$D$2010,$C$7,'LAC 102_Wkst'!$I$7:$I$2010,$C$9,'LAC 102_Wkst'!$E$7:$E$2010,$C91,'LAC 102_Wkst'!$G$7:$G$2010,$D91,'LAC 102_Wkst'!$L$7:$L$2010,"05",'LAC 102_Wkst'!$N$7:$N$2010,"P3")+SUMIFS('LAC 102_Wkst'!$AF$7:$AF$2010,'LAC 102_Wkst'!$D$7:$D$2010,$C$7,'LAC 102_Wkst'!$I$7:$I$2010,$C$9,'LAC 102_Wkst'!$E$7:$E$2010,$C91,'LAC 102_Wkst'!$G$7:$G$2010,$D91,'LAC 102_Wkst'!$L$7:$L$2010,"06",'LAC 102_Wkst'!$N$7:$N$2010,"P3")</f>
        <v>0</v>
      </c>
      <c r="V91" s="410">
        <f>SUMIFS('LAC 102_Wkst'!$Q$7:$Q$2010,'LAC 102_Wkst'!$D$7:$D$2010,$C$7,'LAC 102_Wkst'!$I$7:$I$2010,$C$9,'LAC 102_Wkst'!$E$7:$E$2010,$C91,'LAC 102_Wkst'!$G$7:$G$2010,$D91,'LAC 102_Wkst'!$L$7:$L$2010,"05",'LAC 102_Wkst'!$N$7:$N$2010,"P4")+SUMIFS('LAC 102_Wkst'!$Q$7:$Q$2010,'LAC 102_Wkst'!$D$7:$D$2010,$C$7,'LAC 102_Wkst'!$I$7:$I$2010,$C$9,'LAC 102_Wkst'!$E$7:$E$2010,$C91,'LAC 102_Wkst'!$G$7:$G$2010,$D91,'LAC 102_Wkst'!$L$7:$L$2010,"06",'LAC 102_Wkst'!$N$7:$N$2010,"P4")</f>
        <v>0</v>
      </c>
      <c r="W91" s="411">
        <f>SUMIFS('LAC 102_Wkst'!$AF$7:$AF$2010,'LAC 102_Wkst'!$D$7:$D$2010,$C$7,'LAC 102_Wkst'!$I$7:$I$2010,$C$9,'LAC 102_Wkst'!$E$7:$E$2010,$C91,'LAC 102_Wkst'!$G$7:$G$2010,$D91,'LAC 102_Wkst'!$L$7:$L$2010,"05",'LAC 102_Wkst'!$N$7:$N$2010,"P4")+SUMIFS('LAC 102_Wkst'!$AF$7:$AF$2010,'LAC 102_Wkst'!$D$7:$D$2010,$C$7,'LAC 102_Wkst'!$I$7:$I$2010,$C$9,'LAC 102_Wkst'!$E$7:$E$2010,$C91,'LAC 102_Wkst'!$G$7:$G$2010,$D91,'LAC 102_Wkst'!$L$7:$L$2010,"06",'LAC 102_Wkst'!$N$7:$N$2010,"P4")</f>
        <v>0</v>
      </c>
      <c r="X91" s="410">
        <f>SUMIFS('LAC 102_Wkst'!$Q$7:$Q$2010,'LAC 102_Wkst'!$D$7:$D$2010,$C$7,'LAC 102_Wkst'!$I$7:$I$2010,$C$9,'LAC 102_Wkst'!$E$7:$E$2010,$C91,'LAC 102_Wkst'!$G$7:$G$2010,$D91,'LAC 102_Wkst'!$L$7:$L$2010,"05",'LAC 102_Wkst'!$N$7:$N$2010,"P5")+SUMIFS('LAC 102_Wkst'!$Q$7:$Q$2010,'LAC 102_Wkst'!$D$7:$D$2010,$C$7,'LAC 102_Wkst'!$I$7:$I$2010,$C$9,'LAC 102_Wkst'!$E$7:$E$2010,$C91,'LAC 102_Wkst'!$G$7:$G$2010,$D91,'LAC 102_Wkst'!$L$7:$L$2010,"06",'LAC 102_Wkst'!$N$7:$N$2010,"P5")</f>
        <v>0</v>
      </c>
      <c r="Y91" s="411">
        <f>SUMIFS('LAC 102_Wkst'!$AF$7:$AF$2010,'LAC 102_Wkst'!$D$7:$D$2010,$C$7,'LAC 102_Wkst'!$I$7:$I$2010,$C$9,'LAC 102_Wkst'!$E$7:$E$2010,$C91,'LAC 102_Wkst'!$G$7:$G$2010,$D91,'LAC 102_Wkst'!$L$7:$L$2010,"05",'LAC 102_Wkst'!$N$7:$N$2010,"P5")+SUMIFS('LAC 102_Wkst'!$AF$7:$AF$2010,'LAC 102_Wkst'!$D$7:$D$2010,$C$7,'LAC 102_Wkst'!$I$7:$I$2010,$C$9,'LAC 102_Wkst'!$E$7:$E$2010,$C91,'LAC 102_Wkst'!$G$7:$G$2010,$D91,'LAC 102_Wkst'!$L$7:$L$2010,"06",'LAC 102_Wkst'!$N$7:$N$2010,"P5")</f>
        <v>0</v>
      </c>
      <c r="Z91" s="410">
        <f>SUMIFS('LAC 102_Wkst'!$Q$7:$Q$2010,'LAC 102_Wkst'!$D$7:$D$2010,$C$7,'LAC 102_Wkst'!$I$7:$I$2010,$C$9,'LAC 102_Wkst'!$E$7:$E$2010,$C91,'LAC 102_Wkst'!$G$7:$G$2010,$D91,'LAC 102_Wkst'!$L$7:$L$2010,"07",'LAC 102_Wkst'!$N$7:$N$2010,"P1")+SUMIFS('LAC 102_Wkst'!$Q$7:$Q$2010,'LAC 102_Wkst'!$D$7:$D$2010,$C$7,'LAC 102_Wkst'!$I$7:$I$2010,$C$9,'LAC 102_Wkst'!$E$7:$E$2010,$C91,'LAC 102_Wkst'!$G$7:$G$2010,$D91,'LAC 102_Wkst'!$L$7:$L$2010,"07",'LAC 102_Wkst'!$N$7:$N$2010,"P2")+SUMIFS('LAC 102_Wkst'!$Q$7:$Q$2010,'LAC 102_Wkst'!$D$7:$D$2010,$C$7,'LAC 102_Wkst'!$I$7:$I$2010,$C$9,'LAC 102_Wkst'!$E$7:$E$2010,$C91,'LAC 102_Wkst'!$G$7:$G$2010,$D91,'LAC 102_Wkst'!$L$7:$L$2010,"07",'LAC 102_Wkst'!$N$7:$N$2010,"P3")</f>
        <v>0</v>
      </c>
      <c r="AA91" s="411">
        <f>SUMIFS('LAC 102_Wkst'!$AF$7:$AF$2010,'LAC 102_Wkst'!$D$7:$D$2010,$C$7,'LAC 102_Wkst'!$I$7:$I$2010,$C$9,'LAC 102_Wkst'!$E$7:$E$2010,$C91,'LAC 102_Wkst'!$G$7:$G$2010,$D91,'LAC 102_Wkst'!$L$7:$L$2010,"07",'LAC 102_Wkst'!$N$7:$N$2010,"P1")+SUMIFS('LAC 102_Wkst'!$AF$7:$AF$2010,'LAC 102_Wkst'!$D$7:$D$2010,$C$7,'LAC 102_Wkst'!$I$7:$I$2010,$C$9,'LAC 102_Wkst'!$E$7:$E$2010,$C91,'LAC 102_Wkst'!$G$7:$G$2010,$D91,'LAC 102_Wkst'!$L$7:$L$2010,"07",'LAC 102_Wkst'!$N$7:$N$2010,"P2")+SUMIFS('LAC 102_Wkst'!$AF$7:$AF$2010,'LAC 102_Wkst'!$D$7:$D$2010,$C$7,'LAC 102_Wkst'!$I$7:$I$2010,$C$9,'LAC 102_Wkst'!$E$7:$E$2010,$C91,'LAC 102_Wkst'!$G$7:$G$2010,$D91,'LAC 102_Wkst'!$L$7:$L$2010,"07",'LAC 102_Wkst'!$N$7:$N$2010,"P3")</f>
        <v>0</v>
      </c>
      <c r="AB91" s="410">
        <f>SUMIFS('LAC 102_Wkst'!$Q$7:$Q$2010,'LAC 102_Wkst'!$D$7:$D$2010,$C$7,'LAC 102_Wkst'!$I$7:$I$2010,$C$9,'LAC 102_Wkst'!$E$7:$E$2010,$C91,'LAC 102_Wkst'!$G$7:$G$2010,$D91,'LAC 102_Wkst'!$L$7:$L$2010,"07",'LAC 102_Wkst'!$N$7:$N$2010,"P4")</f>
        <v>0</v>
      </c>
      <c r="AC91" s="411">
        <f>SUMIFS('LAC 102_Wkst'!$AF$7:$AF$2010,'LAC 102_Wkst'!$D$7:$D$2010,$C$7,'LAC 102_Wkst'!$I$7:$I$2010,$C$9,'LAC 102_Wkst'!$E$7:$E$2010,$C91,'LAC 102_Wkst'!$G$7:$G$2010,$D91,'LAC 102_Wkst'!$L$7:$L$2010,"07",'LAC 102_Wkst'!$N$7:$N$2010,"P4")</f>
        <v>0</v>
      </c>
      <c r="AD91" s="410">
        <f>SUMIFS('LAC 102_Wkst'!$Q$7:$Q$2010,'LAC 102_Wkst'!$D$7:$D$2010,$C$7,'LAC 102_Wkst'!$I$7:$I$2010,$C$9,'LAC 102_Wkst'!$E$7:$E$2010,$C91,'LAC 102_Wkst'!$G$7:$G$2010,$D91,'LAC 102_Wkst'!$L$7:$L$2010,"07",'LAC 102_Wkst'!$N$7:$N$2010,"P5")</f>
        <v>0</v>
      </c>
      <c r="AE91" s="411">
        <f>SUMIFS('LAC 102_Wkst'!$AF$7:$AF$2010,'LAC 102_Wkst'!$D$7:$D$2010,$C$7,'LAC 102_Wkst'!$I$7:$I$2010,$C$9,'LAC 102_Wkst'!$E$7:$E$2010,$C91,'LAC 102_Wkst'!$G$7:$G$2010,$D91,'LAC 102_Wkst'!$L$7:$L$2010,"07",'LAC 102_Wkst'!$N$7:$N$2010,"P5")</f>
        <v>0</v>
      </c>
      <c r="AF91" s="410">
        <f>SUMIFS('LAC 102_Wkst'!$Q$7:$Q$2010,'LAC 102_Wkst'!$D$7:$D$2010,$C$7,'LAC 102_Wkst'!$I$7:$I$2010,$C$9,'LAC 102_Wkst'!$E$7:$E$2010,$C91,'LAC 102_Wkst'!$G$7:$G$2010,$D91,'LAC 102_Wkst'!$L$7:$L$2010,"08",'LAC 102_Wkst'!$N$7:$N$2010,"P1")+SUMIFS('LAC 102_Wkst'!$Q$7:$Q$2010,'LAC 102_Wkst'!$D$7:$D$2010,$C$7,'LAC 102_Wkst'!$I$7:$I$2010,$C$9,'LAC 102_Wkst'!$E$7:$E$2010,$C91,'LAC 102_Wkst'!$G$7:$G$2010,$D91,'LAC 102_Wkst'!$L$7:$L$2010,"08",'LAC 102_Wkst'!$N$7:$N$2010,"P2")+SUMIFS('LAC 102_Wkst'!$Q$7:$Q$2010,'LAC 102_Wkst'!$D$7:$D$2010,$C$7,'LAC 102_Wkst'!$I$7:$I$2010,$C$9,'LAC 102_Wkst'!$E$7:$E$2010,$C91,'LAC 102_Wkst'!$G$7:$G$2010,$D91,'LAC 102_Wkst'!$L$7:$L$2010,"08",'LAC 102_Wkst'!$N$7:$N$2010,"P3")</f>
        <v>0</v>
      </c>
      <c r="AG91" s="411">
        <f>SUMIFS('LAC 102_Wkst'!$AF$7:$AF$2010,'LAC 102_Wkst'!$D$7:$D$2010,$C$7,'LAC 102_Wkst'!$I$7:$I$2010,$C$9,'LAC 102_Wkst'!$E$7:$E$2010,$C91,'LAC 102_Wkst'!$G$7:$G$2010,$D91,'LAC 102_Wkst'!$L$7:$L$2010,"08",'LAC 102_Wkst'!$N$7:$N$2010,"P1")+SUMIFS('LAC 102_Wkst'!$AF$7:$AF$2010,'LAC 102_Wkst'!$D$7:$D$2010,$C$7,'LAC 102_Wkst'!$I$7:$I$2010,$C$9,'LAC 102_Wkst'!$E$7:$E$2010,$C91,'LAC 102_Wkst'!$G$7:$G$2010,$D91,'LAC 102_Wkst'!$L$7:$L$2010,"08",'LAC 102_Wkst'!$N$7:$N$2010,"P2")+SUMIFS('LAC 102_Wkst'!$AF$7:$AF$2010,'LAC 102_Wkst'!$D$7:$D$2010,$C$7,'LAC 102_Wkst'!$I$7:$I$2010,$C$9,'LAC 102_Wkst'!$E$7:$E$2010,$C91,'LAC 102_Wkst'!$G$7:$G$2010,$D91,'LAC 102_Wkst'!$L$7:$L$2010,"08",'LAC 102_Wkst'!$N$7:$N$2010,"P3")</f>
        <v>0</v>
      </c>
      <c r="AH91" s="410">
        <f>SUMIFS('LAC 102_Wkst'!$Q$7:$Q$2010,'LAC 102_Wkst'!$D$7:$D$2010,$C$7,'LAC 102_Wkst'!$I$7:$I$2010,$C$9,'LAC 102_Wkst'!$E$7:$E$2010,$C91,'LAC 102_Wkst'!$G$7:$G$2010,$D91,'LAC 102_Wkst'!$L$7:$L$2010,"08",'LAC 102_Wkst'!$N$7:$N$2010,"P4")</f>
        <v>0</v>
      </c>
      <c r="AI91" s="411">
        <f>SUMIFS('LAC 102_Wkst'!$AF$7:$AF$2010,'LAC 102_Wkst'!$D$7:$D$2010,$C$7,'LAC 102_Wkst'!$I$7:$I$2010,$C$9,'LAC 102_Wkst'!$E$7:$E$2010,$C91,'LAC 102_Wkst'!$G$7:$G$2010,$D91,'LAC 102_Wkst'!$L$7:$L$2010,"08",'LAC 102_Wkst'!$N$7:$N$2010,"P4")</f>
        <v>0</v>
      </c>
      <c r="AJ91" s="410">
        <f>SUMIFS('LAC 102_Wkst'!$Q$7:$Q$2010,'LAC 102_Wkst'!$D$7:$D$2010,$C$7,'LAC 102_Wkst'!$I$7:$I$2010,$C$9,'LAC 102_Wkst'!$E$7:$E$2010,$C91,'LAC 102_Wkst'!$G$7:$G$2010,$D91,'LAC 102_Wkst'!$L$7:$L$2010,"08",'LAC 102_Wkst'!$N$7:$N$2010,"P5")</f>
        <v>0</v>
      </c>
      <c r="AK91" s="411">
        <f>SUMIFS('LAC 102_Wkst'!$AF$7:$AF$2010,'LAC 102_Wkst'!$D$7:$D$2010,$C$7,'LAC 102_Wkst'!$I$7:$I$2010,$C$9,'LAC 102_Wkst'!$E$7:$E$2010,$C91,'LAC 102_Wkst'!$G$7:$G$2010,$D91,'LAC 102_Wkst'!$L$7:$L$2010,"08",'LAC 102_Wkst'!$N$7:$N$2010,"P5")</f>
        <v>0</v>
      </c>
      <c r="AL91" s="410">
        <f>SUMIFS('LAC 102_Wkst'!$Q$7:$Q$2010,'LAC 102_Wkst'!$D$7:$D$2010,$C$7,'LAC 102_Wkst'!$I$7:$I$2010,$C$9,'LAC 102_Wkst'!$E$7:$E$2010,$C91,'LAC 102_Wkst'!$G$7:$G$2010,$D91,'LAC 102_Wkst'!$L$7:$L$2010,"09",'LAC 102_Wkst'!$N$7:$N$2010,"P1")+SUMIFS('LAC 102_Wkst'!$Q$7:$Q$2010,'LAC 102_Wkst'!$D$7:$D$2010,$C$7,'LAC 102_Wkst'!$I$7:$I$2010,$C$9,'LAC 102_Wkst'!$E$7:$E$2010,$C91,'LAC 102_Wkst'!$G$7:$G$2010,$D91,'LAC 102_Wkst'!$L$7:$L$2010,"09",'LAC 102_Wkst'!$N$7:$N$2010,"P2")+SUMIFS('LAC 102_Wkst'!$Q$7:$Q$2010,'LAC 102_Wkst'!$D$7:$D$2010,$C$7,'LAC 102_Wkst'!$I$7:$I$2010,$C$9,'LAC 102_Wkst'!$E$7:$E$2010,$C91,'LAC 102_Wkst'!$G$7:$G$2010,$D91,'LAC 102_Wkst'!$L$7:$L$2010,"09",'LAC 102_Wkst'!$N$7:$N$2010,"P3")+SUMIFS('LAC 102_Wkst'!$Q$7:$Q$2010,'LAC 102_Wkst'!$D$7:$D$2010,$C$7,'LAC 102_Wkst'!$I$7:$I$2010,$C$9,'LAC 102_Wkst'!$E$7:$E$2010,$C91,'LAC 102_Wkst'!$G$7:$G$2010,$D91,'LAC 102_Wkst'!$L$7:$L$2010,"09",'LAC 102_Wkst'!$N$7:$N$2010,"P4")</f>
        <v>0</v>
      </c>
      <c r="AM91" s="411">
        <f>SUMIFS('LAC 102_Wkst'!$AF$7:$AF$2010,'LAC 102_Wkst'!$D$7:$D$2010,$C$7,'LAC 102_Wkst'!$I$7:$I$2010,$C$9,'LAC 102_Wkst'!$E$7:$E$2010,$C91,'LAC 102_Wkst'!$G$7:$G$2010,$D91,'LAC 102_Wkst'!$L$7:$L$2010,"09",'LAC 102_Wkst'!$N$7:$N$2010,"P1")+SUMIFS('LAC 102_Wkst'!$AF$7:$AF$2010,'LAC 102_Wkst'!$D$7:$D$2010,$C$7,'LAC 102_Wkst'!$I$7:$I$2010,$C$9,'LAC 102_Wkst'!$E$7:$E$2010,$C91,'LAC 102_Wkst'!$G$7:$G$2010,$D91,'LAC 102_Wkst'!$L$7:$L$2010,"09",'LAC 102_Wkst'!$N$7:$N$2010,"P2")+SUMIFS('LAC 102_Wkst'!$AF$7:$AF$2010,'LAC 102_Wkst'!$D$7:$D$2010,$C$7,'LAC 102_Wkst'!$I$7:$I$2010,$C$9,'LAC 102_Wkst'!$E$7:$E$2010,$C91,'LAC 102_Wkst'!$G$7:$G$2010,$D91,'LAC 102_Wkst'!$L$7:$L$2010,"09",'LAC 102_Wkst'!$N$7:$N$2010,"P3")+SUMIFS('LAC 102_Wkst'!$AF$7:$AF$2010,'LAC 102_Wkst'!$D$7:$D$2010,$C$7,'LAC 102_Wkst'!$I$7:$I$2010,$C$9,'LAC 102_Wkst'!$E$7:$E$2010,$C91,'LAC 102_Wkst'!$G$7:$G$2010,$D91,'LAC 102_Wkst'!$L$7:$L$2010,"09",'LAC 102_Wkst'!$N$7:$N$2010,"P4")</f>
        <v>0</v>
      </c>
      <c r="AN91" s="410">
        <f>SUMIFS('LAC 102_Wkst'!$Q$7:$Q$2010,'LAC 102_Wkst'!$D$7:$D$2010,$C$7,'LAC 102_Wkst'!$I$7:$I$2010,$C$9,'LAC 102_Wkst'!$E$7:$E$2010,$C91,'LAC 102_Wkst'!$G$7:$G$2010,$D91,'LAC 102_Wkst'!$L$7:$L$2010,"09",'LAC 102_Wkst'!$N$7:$N$2010,"P5")</f>
        <v>0</v>
      </c>
      <c r="AO91" s="411">
        <f>SUMIFS('LAC 102_Wkst'!$AF$7:$AF$2010,'LAC 102_Wkst'!$D$7:$D$2010,$C$7,'LAC 102_Wkst'!$I$7:$I$2010,$C$9,'LAC 102_Wkst'!$E$7:$E$2010,$C91,'LAC 102_Wkst'!$G$7:$G$2010,$D91,'LAC 102_Wkst'!$L$7:$L$2010,"09",'LAC 102_Wkst'!$N$7:$N$2010,"P5")</f>
        <v>0</v>
      </c>
      <c r="AP91" s="410">
        <f>SUMIFS('LAC 102_Wkst'!$Q$7:$Q$2010,'LAC 102_Wkst'!$D$7:$D$2010,$C$7,'LAC 102_Wkst'!$I$7:$I$2010,$C$9,'LAC 102_Wkst'!$E$7:$E$2010,$C91,'LAC 102_Wkst'!$G$7:$G$2010,$D91,'LAC 102_Wkst'!$L$7:$L$2010,"10",'LAC 102_Wkst'!$N$7:$N$2010,"P1")+SUMIFS('LAC 102_Wkst'!$Q$7:$Q$2010,'LAC 102_Wkst'!$D$7:$D$2010,$C$7,'LAC 102_Wkst'!$I$7:$I$2010,$C$9,'LAC 102_Wkst'!$E$7:$E$2010,$C91,'LAC 102_Wkst'!$G$7:$G$2010,$D91,'LAC 102_Wkst'!$L$7:$L$2010,"10",'LAC 102_Wkst'!$N$7:$N$2010,"P2")+SUMIFS('LAC 102_Wkst'!$Q$7:$Q$2010,'LAC 102_Wkst'!$D$7:$D$2010,$C$7,'LAC 102_Wkst'!$I$7:$I$2010,$C$9,'LAC 102_Wkst'!$E$7:$E$2010,$C91,'LAC 102_Wkst'!$G$7:$G$2010,$D91,'LAC 102_Wkst'!$L$7:$L$2010,"10",'LAC 102_Wkst'!$N$7:$N$2010,"P3")+SUMIFS('LAC 102_Wkst'!$Q$7:$Q$2010,'LAC 102_Wkst'!$D$7:$D$2010,$C$7,'LAC 102_Wkst'!$I$7:$I$2010,$C$9,'LAC 102_Wkst'!$E$7:$E$2010,$C91,'LAC 102_Wkst'!$G$7:$G$2010,$D91,'LAC 102_Wkst'!$L$7:$L$2010,"10",'LAC 102_Wkst'!$N$7:$N$2010,"P4")</f>
        <v>0</v>
      </c>
      <c r="AQ91" s="411">
        <f>SUMIFS('LAC 102_Wkst'!$AF$7:$AF$2010,'LAC 102_Wkst'!$D$7:$D$2010,$C$7,'LAC 102_Wkst'!$I$7:$I$2010,$C$9,'LAC 102_Wkst'!$E$7:$E$2010,$C91,'LAC 102_Wkst'!$G$7:$G$2010,$D91,'LAC 102_Wkst'!$L$7:$L$2010,"10",'LAC 102_Wkst'!$N$7:$N$2010,"P1")+SUMIFS('LAC 102_Wkst'!$AF$7:$AF$2010,'LAC 102_Wkst'!$D$7:$D$2010,$C$7,'LAC 102_Wkst'!$I$7:$I$2010,$C$9,'LAC 102_Wkst'!$E$7:$E$2010,$C91,'LAC 102_Wkst'!$G$7:$G$2010,$D91,'LAC 102_Wkst'!$L$7:$L$2010,"10",'LAC 102_Wkst'!$N$7:$N$2010,"P2")+SUMIFS('LAC 102_Wkst'!$AF$7:$AF$2010,'LAC 102_Wkst'!$D$7:$D$2010,$C$7,'LAC 102_Wkst'!$I$7:$I$2010,$C$9,'LAC 102_Wkst'!$E$7:$E$2010,$C91,'LAC 102_Wkst'!$G$7:$G$2010,$D91,'LAC 102_Wkst'!$L$7:$L$2010,"10",'LAC 102_Wkst'!$N$7:$N$2010,"P3")+SUMIFS('LAC 102_Wkst'!$AF$7:$AF$2010,'LAC 102_Wkst'!$D$7:$D$2010,$C$7,'LAC 102_Wkst'!$I$7:$I$2010,$C$9,'LAC 102_Wkst'!$E$7:$E$2010,$C91,'LAC 102_Wkst'!$G$7:$G$2010,$D91,'LAC 102_Wkst'!$L$7:$L$2010,"10",'LAC 102_Wkst'!$N$7:$N$2010,"P4")</f>
        <v>0</v>
      </c>
      <c r="AR91" s="410">
        <f>SUMIFS('LAC 102_Wkst'!$Q$7:$Q$2010,'LAC 102_Wkst'!$D$7:$D$2010,$C$7,'LAC 102_Wkst'!$I$7:$I$2010,$C$9,'LAC 102_Wkst'!$E$7:$E$2010,$C91,'LAC 102_Wkst'!$G$7:$G$2010,$D91,'LAC 102_Wkst'!$L$7:$L$2010,"10",'LAC 102_Wkst'!$N$7:$N$2010,"P5")</f>
        <v>0</v>
      </c>
      <c r="AS91" s="411">
        <f>SUMIFS('LAC 102_Wkst'!$AF$7:$AF$2010,'LAC 102_Wkst'!$D$7:$D$2010,$C$7,'LAC 102_Wkst'!$I$7:$I$2010,$C$9,'LAC 102_Wkst'!$E$7:$E$2010,$C91,'LAC 102_Wkst'!$G$7:$G$2010,$D91,'LAC 102_Wkst'!$L$7:$L$2010,"10",'LAC 102_Wkst'!$N$7:$N$2010,"P5")</f>
        <v>0</v>
      </c>
      <c r="AT91" s="410">
        <f>SUMIFS('LAC 102_Wkst'!$Q$7:$Q$2010,'LAC 102_Wkst'!$D$7:$D$2010,$C$7,'LAC 102_Wkst'!$I$7:$I$2010,$C$9,'LAC 102_Wkst'!$E$7:$E$2010,$C91,'LAC 102_Wkst'!$G$7:$G$2010,$D91,'LAC 102_Wkst'!$L$7:$L$2010,"11",'LAC 102_Wkst'!$N$7:$N$2010,"P1")+SUMIFS('LAC 102_Wkst'!$Q$7:$Q$2010,'LAC 102_Wkst'!$D$7:$D$2010,$C$7,'LAC 102_Wkst'!$I$7:$I$2010,$C$9,'LAC 102_Wkst'!$E$7:$E$2010,$C91,'LAC 102_Wkst'!$G$7:$G$2010,$D91,'LAC 102_Wkst'!$L$7:$L$2010,"12",'LAC 102_Wkst'!$N$7:$N$2010,"P1")</f>
        <v>0</v>
      </c>
      <c r="AU91" s="411">
        <f>SUMIFS('LAC 102_Wkst'!$Q$7:$Q$2010,'LAC 102_Wkst'!$D$7:$D$2010,$C$7,'LAC 102_Wkst'!$I$7:$I$2010,$C$9,'LAC 102_Wkst'!$E$7:$E$2010,$C91,'LAC 102_Wkst'!$G$7:$G$2010,$D91,'LAC 102_Wkst'!$L$7:$L$2010,"13",'LAC 102_Wkst'!$N$7:$N$2010,"P5")</f>
        <v>0</v>
      </c>
      <c r="AV91" s="410">
        <f>SUMIFS('LAC 102_Wkst'!$Q$7:$Q$2010,'LAC 102_Wkst'!$D$7:$D$2010,$C$7,'LAC 102_Wkst'!$I$7:$I$2010,$C$9,'LAC 102_Wkst'!$E$7:$E$2010,$C91,'LAC 102_Wkst'!$G$7:$G$2010,$D91,'LAC 102_Wkst'!$L$7:$L$2010,"11",'LAC 102_Wkst'!$N$7:$N$2010,"P2")+SUMIFS('LAC 102_Wkst'!$Q$7:$Q$2010,'LAC 102_Wkst'!$D$7:$D$2010,$C$7,'LAC 102_Wkst'!$I$7:$I$2010,$C$9,'LAC 102_Wkst'!$E$7:$E$2010,$C91,'LAC 102_Wkst'!$G$7:$G$2010,$D91,'LAC 102_Wkst'!$L$7:$L$2010,"12",'LAC 102_Wkst'!$N$7:$N$2010,"P2")+SUMIFS('LAC 102_Wkst'!$Q$7:$Q$2010,'LAC 102_Wkst'!$D$7:$D$2010,$C$7,'LAC 102_Wkst'!$I$7:$I$2010,$C$9,'LAC 102_Wkst'!$E$7:$E$2010,$C91,'LAC 102_Wkst'!$G$7:$G$2010,$D91,'LAC 102_Wkst'!$L$7:$L$2010,"11",'LAC 102_Wkst'!$N$7:$N$2010,"P3")+SUMIFS('LAC 102_Wkst'!$Q$7:$Q$2010,'LAC 102_Wkst'!$D$7:$D$2010,$C$7,'LAC 102_Wkst'!$I$7:$I$2010,$C$9,'LAC 102_Wkst'!$E$7:$E$2010,$C91,'LAC 102_Wkst'!$G$7:$G$2010,$D91,'LAC 102_Wkst'!$L$7:$L$2010,"12",'LAC 102_Wkst'!$N$7:$N$2010,"P3")</f>
        <v>0</v>
      </c>
      <c r="AW91" s="411">
        <f>SUMIFS('LAC 102_Wkst'!$AF$7:$AF$2010,'LAC 102_Wkst'!$D$7:$D$2010,$C$7,'LAC 102_Wkst'!$I$7:$I$2010,$C$9,'LAC 102_Wkst'!$E$7:$E$2010,$C91,'LAC 102_Wkst'!$G$7:$G$2010,$D91,'LAC 102_Wkst'!$L$7:$L$2010,"11",'LAC 102_Wkst'!$N$7:$N$2010,"P2")+SUMIFS('LAC 102_Wkst'!$AF$7:$AF$2010,'LAC 102_Wkst'!$D$7:$D$2010,$C$7,'LAC 102_Wkst'!$I$7:$I$2010,$C$9,'LAC 102_Wkst'!$E$7:$E$2010,$C91,'LAC 102_Wkst'!$G$7:$G$2010,$D91,'LAC 102_Wkst'!$L$7:$L$2010,"12",'LAC 102_Wkst'!$N$7:$N$2010,"P2")+SUMIFS('LAC 102_Wkst'!$AF$7:$AF$2010,'LAC 102_Wkst'!$D$7:$D$2010,$C$7,'LAC 102_Wkst'!$I$7:$I$2010,$C$9,'LAC 102_Wkst'!$E$7:$E$2010,$C91,'LAC 102_Wkst'!$G$7:$G$2010,$D91,'LAC 102_Wkst'!$L$7:$L$2010,"11",'LAC 102_Wkst'!$N$7:$N$2010,"P3")+SUMIFS('LAC 102_Wkst'!$AF$7:$AF$2010,'LAC 102_Wkst'!$D$7:$D$2010,$C$7,'LAC 102_Wkst'!$I$7:$I$2010,$C$9,'LAC 102_Wkst'!$E$7:$E$2010,$C91,'LAC 102_Wkst'!$G$7:$G$2010,$D91,'LAC 102_Wkst'!$L$7:$L$2010,"12",'LAC 102_Wkst'!$N$7:$N$2010,"P3")</f>
        <v>0</v>
      </c>
      <c r="AX91" s="410">
        <f>SUMIFS('LAC 102_Wkst'!$Q$7:$Q$2010,'LAC 102_Wkst'!$D$7:$D$2010,$C$7,'LAC 102_Wkst'!$I$7:$I$2010,$C$9,'LAC 102_Wkst'!$E$7:$E$2010,$C91,'LAC 102_Wkst'!$G$7:$G$2010,$D91,'LAC 102_Wkst'!$L$7:$L$2010,"11",'LAC 102_Wkst'!$N$7:$N$2010,"P4")+SUMIFS('LAC 102_Wkst'!$Q$7:$Q$2010,'LAC 102_Wkst'!$D$7:$D$2010,$C$7,'LAC 102_Wkst'!$I$7:$I$2010,$C$9,'LAC 102_Wkst'!$E$7:$E$2010,$C91,'LAC 102_Wkst'!$G$7:$G$2010,$D91,'LAC 102_Wkst'!$L$7:$L$2010,"12",'LAC 102_Wkst'!$N$7:$N$2010,"P4")</f>
        <v>0</v>
      </c>
      <c r="AY91" s="411">
        <f>SUMIFS('LAC 102_Wkst'!$AF$7:$AF$2010,'LAC 102_Wkst'!$D$7:$D$2010,$C$7,'LAC 102_Wkst'!$I$7:$I$2010,$C$9,'LAC 102_Wkst'!$E$7:$E$2010,$C91,'LAC 102_Wkst'!$G$7:$G$2010,$D91,'LAC 102_Wkst'!$L$7:$L$2010,"11",'LAC 102_Wkst'!$N$7:$N$2010,"P4")+SUMIFS('LAC 102_Wkst'!$AF$7:$AF$2010,'LAC 102_Wkst'!$D$7:$D$2010,$C$7,'LAC 102_Wkst'!$I$7:$I$2010,$C$9,'LAC 102_Wkst'!$E$7:$E$2010,$C91,'LAC 102_Wkst'!$G$7:$G$2010,$D91,'LAC 102_Wkst'!$L$7:$L$2010,"12",'LAC 102_Wkst'!$N$7:$N$2010,"P4")</f>
        <v>0</v>
      </c>
      <c r="AZ91" s="410">
        <f>SUMIFS('LAC 102_Wkst'!$Q$7:$Q$2010,'LAC 102_Wkst'!$D$7:$D$2010,$C$7,'LAC 102_Wkst'!$I$7:$I$2010,$C$9,'LAC 102_Wkst'!$E$7:$E$2010,$C91,'LAC 102_Wkst'!$G$7:$G$2010,$D91,'LAC 102_Wkst'!$L$7:$L$2010,"11",'LAC 102_Wkst'!$N$7:$N$2010,"P5")+SUMIFS('LAC 102_Wkst'!$Q$7:$Q$2010,'LAC 102_Wkst'!$D$7:$D$2010,$C$7,'LAC 102_Wkst'!$I$7:$I$2010,$C$9,'LAC 102_Wkst'!$E$7:$E$2010,$C91,'LAC 102_Wkst'!$G$7:$G$2010,$D91,'LAC 102_Wkst'!$L$7:$L$2010,"12",'LAC 102_Wkst'!$N$7:$N$2010,"P5")</f>
        <v>0</v>
      </c>
      <c r="BA91" s="411">
        <f>SUMIFS('LAC 102_Wkst'!$AF$7:$AF$2010,'LAC 102_Wkst'!$D$7:$D$2010,$C$7,'LAC 102_Wkst'!$I$7:$I$2010,$C$9,'LAC 102_Wkst'!$E$7:$E$2010,$C91,'LAC 102_Wkst'!$G$7:$G$2010,$D91,'LAC 102_Wkst'!$L$7:$L$2010,"11",'LAC 102_Wkst'!$N$7:$N$2010,"P5")+SUMIFS('LAC 102_Wkst'!$AF$7:$AF$2010,'LAC 102_Wkst'!$D$7:$D$2010,$C$7,'LAC 102_Wkst'!$I$7:$I$2010,$C$9,'LAC 102_Wkst'!$E$7:$E$2010,$C91,'LAC 102_Wkst'!$G$7:$G$2010,$D91,'LAC 102_Wkst'!$L$7:$L$2010,"12",'LAC 102_Wkst'!$N$7:$N$2010,"P5")</f>
        <v>0</v>
      </c>
      <c r="BB91" s="410">
        <f>SUMIFS('LAC 102_Wkst'!$Q$7:$Q$2010,'LAC 102_Wkst'!$D$7:$D$2010,$C$7,'LAC 102_Wkst'!$I$7:$I$2010,$C$9,'LAC 102_Wkst'!$E$7:$E$2010,$C91,'LAC 102_Wkst'!$G$7:$G$2010,$D91,'LAC 102_Wkst'!$L$7:$L$2010,"13",'LAC 102_Wkst'!$N$7:$N$2010,"P1")+SUMIFS('LAC 102_Wkst'!$Q$7:$Q$2010,'LAC 102_Wkst'!$D$7:$D$2010,$C$7,'LAC 102_Wkst'!$I$7:$I$2010,$C$9,'LAC 102_Wkst'!$E$7:$E$2010,$C91,'LAC 102_Wkst'!$G$7:$G$2010,$D91,'LAC 102_Wkst'!$L$7:$L$2010,"13",'LAC 102_Wkst'!$N$7:$N$2010,"P2")+SUMIFS('LAC 102_Wkst'!$Q$7:$Q$2010,'LAC 102_Wkst'!$D$7:$D$2010,$C$7,'LAC 102_Wkst'!$I$7:$I$2010,$C$9,'LAC 102_Wkst'!$E$7:$E$2010,$C91,'LAC 102_Wkst'!$G$7:$G$2010,$D91,'LAC 102_Wkst'!$L$7:$L$2010,"13",'LAC 102_Wkst'!$N$7:$N$2010,"P3")+SUMIFS('LAC 102_Wkst'!$Q$7:$Q$2010,'LAC 102_Wkst'!$D$7:$D$2010,$C$7,'LAC 102_Wkst'!$I$7:$I$2010,$C$9,'LAC 102_Wkst'!$E$7:$E$2010,$C91,'LAC 102_Wkst'!$G$7:$G$2010,$D91,'LAC 102_Wkst'!$L$7:$L$2010,"13",'LAC 102_Wkst'!$N$7:$N$2010,"P4")</f>
        <v>0</v>
      </c>
      <c r="BC91" s="411">
        <f>SUMIFS('LAC 102_Wkst'!$AF$7:$AF$2010,'LAC 102_Wkst'!$D$7:$D$2010,$C$7,'LAC 102_Wkst'!$I$7:$I$2010,$C$9,'LAC 102_Wkst'!$E$7:$E$2010,$C91,'LAC 102_Wkst'!$G$7:$G$2010,$D91,'LAC 102_Wkst'!$L$7:$L$2010,"13",'LAC 102_Wkst'!$N$7:$N$2010,"P1")+SUMIFS('LAC 102_Wkst'!$AF$7:$AF$2010,'LAC 102_Wkst'!$D$7:$D$2010,$C$7,'LAC 102_Wkst'!$I$7:$I$2010,$C$9,'LAC 102_Wkst'!$E$7:$E$2010,$C91,'LAC 102_Wkst'!$G$7:$G$2010,$D91,'LAC 102_Wkst'!$L$7:$L$2010,"13",'LAC 102_Wkst'!$N$7:$N$2010,"P2")+SUMIFS('LAC 102_Wkst'!$AF$7:$AF$2010,'LAC 102_Wkst'!$D$7:$D$2010,$C$7,'LAC 102_Wkst'!$I$7:$I$2010,$C$9,'LAC 102_Wkst'!$E$7:$E$2010,$C91,'LAC 102_Wkst'!$G$7:$G$2010,$D91,'LAC 102_Wkst'!$L$7:$L$2010,"13",'LAC 102_Wkst'!$N$7:$N$2010,"P3")+SUMIFS('LAC 102_Wkst'!$AF$7:$AF$2010,'LAC 102_Wkst'!$D$7:$D$2010,$C$7,'LAC 102_Wkst'!$I$7:$I$2010,$C$9,'LAC 102_Wkst'!$E$7:$E$2010,$C91,'LAC 102_Wkst'!$G$7:$G$2010,$D91,'LAC 102_Wkst'!$L$7:$L$2010,"13",'LAC 102_Wkst'!$N$7:$N$2010,"P4")</f>
        <v>0</v>
      </c>
      <c r="BD91" s="410">
        <f>SUMIFS('LAC 102_Wkst'!$Q$7:$Q$2010,'LAC 102_Wkst'!$D$7:$D$2010,$C$7,'LAC 102_Wkst'!$I$7:$I$2010,$C$9,'LAC 102_Wkst'!$E$7:$E$2010,$C91,'LAC 102_Wkst'!$G$7:$G$2010,$D91,'LAC 102_Wkst'!$L$7:$L$2010,"13",'LAC 102_Wkst'!$N$7:$N$2010,"P5")</f>
        <v>0</v>
      </c>
      <c r="BE91" s="411">
        <f>SUMIFS('LAC 102_Wkst'!$AF$7:$AF$2010,'LAC 102_Wkst'!$D$7:$D$2010,$C$7,'LAC 102_Wkst'!$I$7:$I$2010,$C$9,'LAC 102_Wkst'!$E$7:$E$2010,$C91,'LAC 102_Wkst'!$G$7:$G$2010,$D91,'LAC 102_Wkst'!$L$7:$L$2010,"13",'LAC 102_Wkst'!$N$7:$N$2010,"P5")</f>
        <v>0</v>
      </c>
      <c r="BF91" s="407">
        <f t="shared" si="5"/>
        <v>0</v>
      </c>
      <c r="BG91" s="1654">
        <f>SUMIFS('LAC 102_Wkst'!$AF$7:$AF$2010,'LAC 102_Wkst'!$D$7:$D$2010,$C$7,'LAC 102_Wkst'!$I$7:$I$2010,$C$9,'LAC 102_Wkst'!$E$7:$E$2010,$C91,'LAC 102_Wkst'!$G$7:$G$2010,$D91,'LAC 102_Wkst'!$L$7:$L$2010,"14")</f>
        <v>0</v>
      </c>
    </row>
    <row r="92" spans="1:59" x14ac:dyDescent="0.2">
      <c r="A92" s="401">
        <v>70</v>
      </c>
      <c r="B92" s="1678" t="str">
        <f>IF(Schedule_B!B$89="","",Schedule_B!B$89)</f>
        <v/>
      </c>
      <c r="C92" s="1674" t="str">
        <f>IF(Schedule_B!C$89=""," ",Schedule_B!C$89)</f>
        <v xml:space="preserve"> </v>
      </c>
      <c r="D92" s="1675" t="str">
        <f>IF(Schedule_B!D$89=""," ",Schedule_B!D$89)</f>
        <v xml:space="preserve"> </v>
      </c>
      <c r="E92" s="1221">
        <f>SUMIFS('LAC 102_Wkst'!$Q$7:$Q$2010,'LAC 102_Wkst'!$D$7:$D$2010,$C$7,'LAC 102_Wkst'!$I$7:$I$2010,$C$9,'LAC 102_Wkst'!$E$7:$E$2010,$C92,'LAC 102_Wkst'!$G$7:$G$2010,$D92)</f>
        <v>0</v>
      </c>
      <c r="F92" s="408">
        <f>SUMIFS('LAC 102_Wkst'!$Q$7:$Q$2010,'LAC 102_Wkst'!$D$7:$D$2010,$C$7,'LAC 102_Wkst'!$I$7:$I$2010,$C$9,'LAC 102_Wkst'!$E$7:$E$2010,$C92,'LAC 102_Wkst'!$G$7:$G$2010,$D92,'LAC 102_Wkst'!$L$7:$L$2010,"01",'LAC 102_Wkst'!$N$7:$N$2010,"P1")+SUMIFS('LAC 102_Wkst'!$Q$7:$Q$2010,'LAC 102_Wkst'!$D$7:$D$2010,$C$7,'LAC 102_Wkst'!$I$7:$I$2010,$C$9,'LAC 102_Wkst'!$E$7:$E$2010,$C92,'LAC 102_Wkst'!$G$7:$G$2010,$D92,'LAC 102_Wkst'!$L$7:$L$2010,"01",'LAC 102_Wkst'!$N$7:$N$2010,"P2")+SUMIFS('LAC 102_Wkst'!$Q$7:$Q$2010,'LAC 102_Wkst'!$D$7:$D$2010,$C$7,'LAC 102_Wkst'!$I$7:$I$2010,$C$9,'LAC 102_Wkst'!$E$7:$E$2010,$C92,'LAC 102_Wkst'!$G$7:$G$2010,$D92,'LAC 102_Wkst'!$L$7:$L$2010,"01",'LAC 102_Wkst'!$N$7:$N$2010,"P3")+SUMIFS('LAC 102_Wkst'!$Q$7:$Q$2010,'LAC 102_Wkst'!$D$7:$D$2010,$C$7,'LAC 102_Wkst'!$I$7:$I$2010,$C$9,'LAC 102_Wkst'!$E$7:$E$2010,$C92,'LAC 102_Wkst'!$G$7:$G$2010,$D92,'LAC 102_Wkst'!$L$7:$L$2010,"02",'LAC 102_Wkst'!$N$7:$N$2010,"P1")+SUMIFS('LAC 102_Wkst'!$Q$7:$Q$2010,'LAC 102_Wkst'!$D$7:$D$2010,$C$7,'LAC 102_Wkst'!$I$7:$I$2010,$C$9,'LAC 102_Wkst'!$E$7:$E$2010,$C92,'LAC 102_Wkst'!$G$7:$G$2010,$D92,'LAC 102_Wkst'!$L$7:$L$2010,"02",'LAC 102_Wkst'!$N$7:$N$2010,"P2")+SUMIFS('LAC 102_Wkst'!$Q$7:$Q$2010,'LAC 102_Wkst'!$D$7:$D$2010,$C$7,'LAC 102_Wkst'!$I$7:$I$2010,$C$9,'LAC 102_Wkst'!$E$7:$E$2010,$C92,'LAC 102_Wkst'!$G$7:$G$2010,$D92,'LAC 102_Wkst'!$L$7:$L$2010,"02",'LAC 102_Wkst'!$N$7:$N$2010,"P3")</f>
        <v>0</v>
      </c>
      <c r="G92" s="409">
        <f>SUMIFS('LAC 102_Wkst'!$AF$7:$AF$2010,'LAC 102_Wkst'!$D$7:$D$2010,$C$7,'LAC 102_Wkst'!$I$7:$I$2010,$C$9,'LAC 102_Wkst'!$E$7:$E$2010,$C92,'LAC 102_Wkst'!$G$7:$G$2010,$D92,'LAC 102_Wkst'!$L$7:$L$2010,"01",'LAC 102_Wkst'!$N$7:$N$2010,"P1")+SUMIFS('LAC 102_Wkst'!$AF$7:$AF$2010,'LAC 102_Wkst'!$D$7:$D$2010,$C$7,'LAC 102_Wkst'!$I$7:$I$2010,$C$9,'LAC 102_Wkst'!$E$7:$E$2010,$C92,'LAC 102_Wkst'!$G$7:$G$2010,$D92,'LAC 102_Wkst'!$L$7:$L$2010,"01",'LAC 102_Wkst'!$N$7:$N$2010,"P2")+SUMIFS('LAC 102_Wkst'!$AF$7:$AF$2010,'LAC 102_Wkst'!$D$7:$D$2010,$C$7,'LAC 102_Wkst'!$I$7:$I$2010,$C$9,'LAC 102_Wkst'!$E$7:$E$2010,$C92,'LAC 102_Wkst'!$G$7:$G$2010,$D92,'LAC 102_Wkst'!$L$7:$L$2010,"01",'LAC 102_Wkst'!$N$7:$N$2010,"P3")+SUMIFS('LAC 102_Wkst'!$AF$7:$AF$2010,'LAC 102_Wkst'!$D$7:$D$2010,$C$7,'LAC 102_Wkst'!$I$7:$I$2010,$C$9,'LAC 102_Wkst'!$E$7:$E$2010,$C92,'LAC 102_Wkst'!$G$7:$G$2010,$D92,'LAC 102_Wkst'!$L$7:$L$2010,"02",'LAC 102_Wkst'!$N$7:$N$2010,"P1")+SUMIFS('LAC 102_Wkst'!$AF$7:$AF$2010,'LAC 102_Wkst'!$D$7:$D$2010,$C$7,'LAC 102_Wkst'!$I$7:$I$2010,$C$9,'LAC 102_Wkst'!$E$7:$E$2010,$C92,'LAC 102_Wkst'!$G$7:$G$2010,$D92,'LAC 102_Wkst'!$L$7:$L$2010,"02",'LAC 102_Wkst'!$N$7:$N$2010,"P2")+SUMIFS('LAC 102_Wkst'!$AF$7:$AF$2010,'LAC 102_Wkst'!$D$7:$D$2010,$C$7,'LAC 102_Wkst'!$I$7:$I$2010,$C$9,'LAC 102_Wkst'!$E$7:$E$2010,$C92,'LAC 102_Wkst'!$G$7:$G$2010,$D92,'LAC 102_Wkst'!$L$7:$L$2010,"02",'LAC 102_Wkst'!$N$7:$N$2010,"P3")</f>
        <v>0</v>
      </c>
      <c r="H92" s="410">
        <f>SUMIFS('LAC 102_Wkst'!$Q$7:$Q$2010,'LAC 102_Wkst'!$D$7:$D$2010,$C$7,'LAC 102_Wkst'!$I$7:$I$2010,$C$9,'LAC 102_Wkst'!$E$7:$E$2010,$C92,'LAC 102_Wkst'!$G$7:$G$2010,$D92,'LAC 102_Wkst'!$L$7:$L$2010,"01",'LAC 102_Wkst'!$N$7:$N$2010,"P4")+SUMIFS('LAC 102_Wkst'!$Q$7:$Q$2010,'LAC 102_Wkst'!$D$7:$D$2010,$C$7,'LAC 102_Wkst'!$I$7:$I$2010,$C$9,'LAC 102_Wkst'!$E$7:$E$2010,$C92,'LAC 102_Wkst'!$G$7:$G$2010,$D92,'LAC 102_Wkst'!$L$7:$L$2010,"02",'LAC 102_Wkst'!$N$7:$N$2010,"P4")</f>
        <v>0</v>
      </c>
      <c r="I92" s="411">
        <f>SUMIFS('LAC 102_Wkst'!$AF$7:$AF$2010,'LAC 102_Wkst'!$D$7:$D$2010,$C$7,'LAC 102_Wkst'!$I$7:$I$2010,$C$9,'LAC 102_Wkst'!$E$7:$E$2010,$C92,'LAC 102_Wkst'!$G$7:$G$2010,$D92,'LAC 102_Wkst'!$L$7:$L$2010,"01",'LAC 102_Wkst'!$N$7:$N$2010,"P4")+SUMIFS('LAC 102_Wkst'!$AF$7:$AF$2010,'LAC 102_Wkst'!$D$7:$D$2010,$C$7,'LAC 102_Wkst'!$I$7:$I$2010,$C$9,'LAC 102_Wkst'!$E$7:$E$2010,$C92,'LAC 102_Wkst'!$G$7:$G$2010,$D92,'LAC 102_Wkst'!$L$7:$L$2010,"02",'LAC 102_Wkst'!$N$7:$N$2010,"P4")</f>
        <v>0</v>
      </c>
      <c r="J92" s="410">
        <f>SUMIFS('LAC 102_Wkst'!$Q$7:$Q$2010,'LAC 102_Wkst'!$D$7:$D$2010,$C$7,'LAC 102_Wkst'!$I$7:$I$2010,$C$9,'LAC 102_Wkst'!$E$7:$E$2010,$C92,'LAC 102_Wkst'!$G$7:$G$2010,$D92,'LAC 102_Wkst'!$L$7:$L$2010,"01",'LAC 102_Wkst'!$N$7:$N$2010,"P5")+SUMIFS('LAC 102_Wkst'!$Q$7:$Q$2010,'LAC 102_Wkst'!$D$7:$D$2010,$C$7,'LAC 102_Wkst'!$I$7:$I$2010,$C$9,'LAC 102_Wkst'!$E$7:$E$2010,$C92,'LAC 102_Wkst'!$G$7:$G$2010,$D92,'LAC 102_Wkst'!$L$7:$L$2010,"02",'LAC 102_Wkst'!$N$7:$N$2010,"P5")</f>
        <v>0</v>
      </c>
      <c r="K92" s="411">
        <f>SUMIFS('LAC 102_Wkst'!$AF$7:$AF$2010,'LAC 102_Wkst'!$D$7:$D$2010,$C$7,'LAC 102_Wkst'!$I$7:$I$2010,$C$9,'LAC 102_Wkst'!$E$7:$E$2010,$C92,'LAC 102_Wkst'!$G$7:$G$2010,$D92,'LAC 102_Wkst'!$L$7:$L$2010,"01",'LAC 102_Wkst'!$N$7:$N$2010,"P5")+SUMIFS('LAC 102_Wkst'!$AF$7:$AF$2010,'LAC 102_Wkst'!$D$7:$D$2010,$C$7,'LAC 102_Wkst'!$I$7:$I$2010,$C$9,'LAC 102_Wkst'!$E$7:$E$2010,$C92,'LAC 102_Wkst'!$G$7:$G$2010,$D92,'LAC 102_Wkst'!$L$7:$L$2010,"02",'LAC 102_Wkst'!$N$7:$N$2010,"P5")</f>
        <v>0</v>
      </c>
      <c r="L92" s="410">
        <f>SUMIFS('LAC 102_Wkst'!$Q$7:$Q$2010,'LAC 102_Wkst'!$D$7:$D$2010,$C$7,'LAC 102_Wkst'!$I$7:$I$2010,$C$9,'LAC 102_Wkst'!$E$7:$E$2010,$C92,'LAC 102_Wkst'!$G$7:$G$2010,$D92,'LAC 102_Wkst'!$L$7:$L$2010,"03",'LAC 102_Wkst'!$N$7:$N$2010,"P1")+SUMIFS('LAC 102_Wkst'!$Q$7:$Q$2010,'LAC 102_Wkst'!$D$7:$D$2010,$C$7,'LAC 102_Wkst'!$I$7:$I$2010,$C$9,'LAC 102_Wkst'!$E$7:$E$2010,$C92,'LAC 102_Wkst'!$G$7:$G$2010,$D92,'LAC 102_Wkst'!$L$7:$L$2010,"03",'LAC 102_Wkst'!$N$7:$N$2010,"P2")+SUMIFS('LAC 102_Wkst'!$Q$7:$Q$2010,'LAC 102_Wkst'!$D$7:$D$2010,$C$7,'LAC 102_Wkst'!$I$7:$I$2010,$C$9,'LAC 102_Wkst'!$E$7:$E$2010,$C92,'LAC 102_Wkst'!$G$7:$G$2010,$D92,'LAC 102_Wkst'!$L$7:$L$2010,"03",'LAC 102_Wkst'!$N$7:$N$2010,"P3")+SUMIFS('LAC 102_Wkst'!$Q$7:$Q$2010,'LAC 102_Wkst'!$D$7:$D$2010,$C$7,'LAC 102_Wkst'!$I$7:$I$2010,$C$9,'LAC 102_Wkst'!$E$7:$E$2010,$C92,'LAC 102_Wkst'!$G$7:$G$2010,$D92,'LAC 102_Wkst'!$L$7:$L$2010,"04",'LAC 102_Wkst'!$N$7:$N$2010,"P1")+SUMIFS('LAC 102_Wkst'!$Q$7:$Q$2010,'LAC 102_Wkst'!$D$7:$D$2010,$C$7,'LAC 102_Wkst'!$I$7:$I$2010,$C$9,'LAC 102_Wkst'!$E$7:$E$2010,$C92,'LAC 102_Wkst'!$G$7:$G$2010,$D92,'LAC 102_Wkst'!$L$7:$L$2010,"04",'LAC 102_Wkst'!$N$7:$N$2010,"P2")+SUMIFS('LAC 102_Wkst'!$Q$7:$Q$2010,'LAC 102_Wkst'!$D$7:$D$2010,$C$7,'LAC 102_Wkst'!$I$7:$I$2010,$C$9,'LAC 102_Wkst'!$E$7:$E$2010,$C92,'LAC 102_Wkst'!$G$7:$G$2010,$D92,'LAC 102_Wkst'!$L$7:$L$2010,"04",'LAC 102_Wkst'!$N$7:$N$2010,"P3")</f>
        <v>0</v>
      </c>
      <c r="M92" s="411">
        <f>SUMIFS('LAC 102_Wkst'!$AF$7:$AF$2010,'LAC 102_Wkst'!$D$7:$D$2010,$C$7,'LAC 102_Wkst'!$I$7:$I$2010,$C$9,'LAC 102_Wkst'!$E$7:$E$2010,$C92,'LAC 102_Wkst'!$G$7:$G$2010,$D92,'LAC 102_Wkst'!$L$7:$L$2010,"03",'LAC 102_Wkst'!$N$7:$N$2010,"P1")+SUMIFS('LAC 102_Wkst'!$AF$7:$AF$2010,'LAC 102_Wkst'!$D$7:$D$2010,$C$7,'LAC 102_Wkst'!$I$7:$I$2010,$C$9,'LAC 102_Wkst'!$E$7:$E$2010,$C92,'LAC 102_Wkst'!$G$7:$G$2010,$D92,'LAC 102_Wkst'!$L$7:$L$2010,"03",'LAC 102_Wkst'!$N$7:$N$2010,"P2")+SUMIFS('LAC 102_Wkst'!$AF$7:$AF$2010,'LAC 102_Wkst'!$D$7:$D$2010,$C$7,'LAC 102_Wkst'!$I$7:$I$2010,$C$9,'LAC 102_Wkst'!$E$7:$E$2010,$C92,'LAC 102_Wkst'!$G$7:$G$2010,$D92,'LAC 102_Wkst'!$L$7:$L$2010,"03",'LAC 102_Wkst'!$N$7:$N$2010,"P3")+SUMIFS('LAC 102_Wkst'!$AF$7:$AF$2010,'LAC 102_Wkst'!$D$7:$D$2010,$C$7,'LAC 102_Wkst'!$I$7:$I$2010,$C$9,'LAC 102_Wkst'!$E$7:$E$2010,$C92,'LAC 102_Wkst'!$G$7:$G$2010,$D92,'LAC 102_Wkst'!$L$7:$L$2010,"04",'LAC 102_Wkst'!$N$7:$N$2010,"P1")+SUMIFS('LAC 102_Wkst'!$AF$7:$AF$2010,'LAC 102_Wkst'!$D$7:$D$2010,$C$7,'LAC 102_Wkst'!$I$7:$I$2010,$C$9,'LAC 102_Wkst'!$E$7:$E$2010,$C92,'LAC 102_Wkst'!$G$7:$G$2010,$D92,'LAC 102_Wkst'!$L$7:$L$2010,"04",'LAC 102_Wkst'!$N$7:$N$2010,"P2")+SUMIFS('LAC 102_Wkst'!$AF$7:$AF$2010,'LAC 102_Wkst'!$D$7:$D$2010,$C$7,'LAC 102_Wkst'!$I$7:$I$2010,$C$9,'LAC 102_Wkst'!$E$7:$E$2010,$C92,'LAC 102_Wkst'!$G$7:$G$2010,$D92,'LAC 102_Wkst'!$L$7:$L$2010,"04",'LAC 102_Wkst'!$N$7:$N$2010,"P3")</f>
        <v>0</v>
      </c>
      <c r="N92" s="410">
        <f>SUMIFS('LAC 102_Wkst'!$Q$7:$Q$2010,'LAC 102_Wkst'!$D$7:$D$2010,$C$7,'LAC 102_Wkst'!$I$7:$I$2010,$C$9,'LAC 102_Wkst'!$E$7:$E$2010,$C92,'LAC 102_Wkst'!$G$7:$G$2010,$D92,'LAC 102_Wkst'!$L$7:$L$2010,"03",'LAC 102_Wkst'!$N$7:$N$2010,"P4")+SUMIFS('LAC 102_Wkst'!$Q$7:$Q$2010,'LAC 102_Wkst'!$D$7:$D$2010,$C$7,'LAC 102_Wkst'!$I$7:$I$2010,$C$9,'LAC 102_Wkst'!$E$7:$E$2010,$C92,'LAC 102_Wkst'!$G$7:$G$2010,$D92,'LAC 102_Wkst'!$L$7:$L$2010,"04",'LAC 102_Wkst'!$N$7:$N$2010,"P4")</f>
        <v>0</v>
      </c>
      <c r="O92" s="411">
        <f>SUMIFS('LAC 102_Wkst'!$AF$7:$AF$2010,'LAC 102_Wkst'!$D$7:$D$2010,$C$7,'LAC 102_Wkst'!$I$7:$I$2010,$C$9,'LAC 102_Wkst'!$E$7:$E$2010,$C92,'LAC 102_Wkst'!$G$7:$G$2010,$D92,'LAC 102_Wkst'!$L$7:$L$2010,"03",'LAC 102_Wkst'!$N$7:$N$2010,"P4")+SUMIFS('LAC 102_Wkst'!$AF$7:$AF$2010,'LAC 102_Wkst'!$D$7:$D$2010,$C$7,'LAC 102_Wkst'!$I$7:$I$2010,$C$9,'LAC 102_Wkst'!$E$7:$E$2010,$C92,'LAC 102_Wkst'!$G$7:$G$2010,$D92,'LAC 102_Wkst'!$L$7:$L$2010,"04",'LAC 102_Wkst'!$N$7:$N$2010,"P4")</f>
        <v>0</v>
      </c>
      <c r="P92" s="410">
        <f>SUMIFS('LAC 102_Wkst'!$Q$7:$Q$2010,'LAC 102_Wkst'!$D$7:$D$2010,$C$7,'LAC 102_Wkst'!$I$7:$I$2010,$C$9,'LAC 102_Wkst'!$E$7:$E$2010,$C92,'LAC 102_Wkst'!$G$7:$G$2010,$D92,'LAC 102_Wkst'!$L$7:$L$2010,"03",'LAC 102_Wkst'!$N$7:$N$2010,"P5")+SUMIFS('LAC 102_Wkst'!$Q$7:$Q$2010,'LAC 102_Wkst'!$D$7:$D$2010,$C$7,'LAC 102_Wkst'!$I$7:$I$2010,$C$9,'LAC 102_Wkst'!$E$7:$E$2010,$C92,'LAC 102_Wkst'!$G$7:$G$2010,$D92,'LAC 102_Wkst'!$L$7:$L$2010,"04",'LAC 102_Wkst'!$N$7:$N$2010,"P5")</f>
        <v>0</v>
      </c>
      <c r="Q92" s="411">
        <f>SUMIFS('LAC 102_Wkst'!$AF$7:$AF$2010,'LAC 102_Wkst'!$D$7:$D$2010,$C$7,'LAC 102_Wkst'!$I$7:$I$2010,$C$9,'LAC 102_Wkst'!$E$7:$E$2010,$C92,'LAC 102_Wkst'!$G$7:$G$2010,$D92,'LAC 102_Wkst'!$L$7:$L$2010,"03",'LAC 102_Wkst'!$N$7:$N$2010,"P5")+SUMIFS('LAC 102_Wkst'!$AF$7:$AF$2010,'LAC 102_Wkst'!$D$7:$D$2010,$C$7,'LAC 102_Wkst'!$I$7:$I$2010,$C$9,'LAC 102_Wkst'!$E$7:$E$2010,$C92,'LAC 102_Wkst'!$G$7:$G$2010,$D92,'LAC 102_Wkst'!$L$7:$L$2010,"04",'LAC 102_Wkst'!$N$7:$N$2010,"P5")</f>
        <v>0</v>
      </c>
      <c r="R92" s="412">
        <f>SUMIFS('LAC 102_Wkst'!$Q$7:$Q$2010,'LAC 102_Wkst'!$D$7:$D$2010,$C$7,'LAC 102_Wkst'!$I$7:$I$2010,$C$9,'LAC 102_Wkst'!$E$7:$E$2010,$C92,'LAC 102_Wkst'!$G$7:$G$2010,$D92,'LAC 102_Wkst'!$L$7:$L$2010,"05",'LAC 102_Wkst'!$N$7:$N$2010,"P1")+SUMIFS('LAC 102_Wkst'!$Q$7:$Q$2010,'LAC 102_Wkst'!$D$7:$D$2010,$C$7,'LAC 102_Wkst'!$I$7:$I$2010,$C$9,'LAC 102_Wkst'!$E$7:$E$2010,$C92,'LAC 102_Wkst'!$G$7:$G$2010,$D92,'LAC 102_Wkst'!$L$7:$L$2010,"06",'LAC 102_Wkst'!$N$7:$N$2010,"P1")</f>
        <v>0</v>
      </c>
      <c r="S92" s="411">
        <f>SUMIFS('LAC 102_Wkst'!$AF$7:$AF$2010,'LAC 102_Wkst'!$D$7:$D$2010,$C$7,'LAC 102_Wkst'!$I$7:$I$2010,$C$9,'LAC 102_Wkst'!$E$7:$E$2010,$C92,'LAC 102_Wkst'!$G$7:$G$2010,$D92,'LAC 102_Wkst'!$L$7:$L$2010,"05",'LAC 102_Wkst'!$N$7:$N$2010,"P1")+SUMIFS('LAC 102_Wkst'!$AF$7:$AF$2010,'LAC 102_Wkst'!$D$7:$D$2010,$C$7,'LAC 102_Wkst'!$I$7:$I$2010,$C$9,'LAC 102_Wkst'!$E$7:$E$2010,$C92,'LAC 102_Wkst'!$G$7:$G$2010,$D92,'LAC 102_Wkst'!$L$7:$L$2010,"06",'LAC 102_Wkst'!$N$7:$N$2010,"P1")</f>
        <v>0</v>
      </c>
      <c r="T92" s="410">
        <f>SUMIFS('LAC 102_Wkst'!$Q$7:$Q$2010,'LAC 102_Wkst'!$D$7:$D$2010,$C$7,'LAC 102_Wkst'!$I$7:$I$2010,$C$9,'LAC 102_Wkst'!$E$7:$E$2010,$C92,'LAC 102_Wkst'!$G$7:$G$2010,$D92,'LAC 102_Wkst'!$L$7:$L$2010,"05",'LAC 102_Wkst'!$N$7:$N$2010,"P2")+SUMIFS('LAC 102_Wkst'!$Q$7:$Q$2010,'LAC 102_Wkst'!$D$7:$D$2010,$C$7,'LAC 102_Wkst'!$I$7:$I$2010,$C$9,'LAC 102_Wkst'!$E$7:$E$2010,$C92,'LAC 102_Wkst'!$G$7:$G$2010,$D92,'LAC 102_Wkst'!$L$7:$L$2010,"06",'LAC 102_Wkst'!$N$7:$N$2010,"P2")+SUMIFS('LAC 102_Wkst'!$Q$7:$Q$2010,'LAC 102_Wkst'!$D$7:$D$2010,$C$7,'LAC 102_Wkst'!$I$7:$I$2010,$C$9,'LAC 102_Wkst'!$E$7:$E$2010,$C92,'LAC 102_Wkst'!$G$7:$G$2010,$D92,'LAC 102_Wkst'!$L$7:$L$2010,"05",'LAC 102_Wkst'!$N$7:$N$2010,"P3")+SUMIFS('LAC 102_Wkst'!$Q$7:$Q$2010,'LAC 102_Wkst'!$D$7:$D$2010,$C$7,'LAC 102_Wkst'!$I$7:$I$2010,$C$9,'LAC 102_Wkst'!$E$7:$E$2010,$C92,'LAC 102_Wkst'!$G$7:$G$2010,$D92,'LAC 102_Wkst'!$L$7:$L$2010,"06",'LAC 102_Wkst'!$N$7:$N$2010,"P3")</f>
        <v>0</v>
      </c>
      <c r="U92" s="411">
        <f>SUMIFS('LAC 102_Wkst'!$AF$7:$AF$2010,'LAC 102_Wkst'!$D$7:$D$2010,$C$7,'LAC 102_Wkst'!$I$7:$I$2010,$C$9,'LAC 102_Wkst'!$E$7:$E$2010,$C92,'LAC 102_Wkst'!$G$7:$G$2010,$D92,'LAC 102_Wkst'!$L$7:$L$2010,"05",'LAC 102_Wkst'!$N$7:$N$2010,"P2")+SUMIFS('LAC 102_Wkst'!$AF$7:$AF$2010,'LAC 102_Wkst'!$D$7:$D$2010,$C$7,'LAC 102_Wkst'!$I$7:$I$2010,$C$9,'LAC 102_Wkst'!$E$7:$E$2010,$C92,'LAC 102_Wkst'!$G$7:$G$2010,$D92,'LAC 102_Wkst'!$L$7:$L$2010,"06",'LAC 102_Wkst'!$N$7:$N$2010,"P2")+SUMIFS('LAC 102_Wkst'!$AF$7:$AF$2010,'LAC 102_Wkst'!$D$7:$D$2010,$C$7,'LAC 102_Wkst'!$I$7:$I$2010,$C$9,'LAC 102_Wkst'!$E$7:$E$2010,$C92,'LAC 102_Wkst'!$G$7:$G$2010,$D92,'LAC 102_Wkst'!$L$7:$L$2010,"05",'LAC 102_Wkst'!$N$7:$N$2010,"P3")+SUMIFS('LAC 102_Wkst'!$AF$7:$AF$2010,'LAC 102_Wkst'!$D$7:$D$2010,$C$7,'LAC 102_Wkst'!$I$7:$I$2010,$C$9,'LAC 102_Wkst'!$E$7:$E$2010,$C92,'LAC 102_Wkst'!$G$7:$G$2010,$D92,'LAC 102_Wkst'!$L$7:$L$2010,"06",'LAC 102_Wkst'!$N$7:$N$2010,"P3")</f>
        <v>0</v>
      </c>
      <c r="V92" s="410">
        <f>SUMIFS('LAC 102_Wkst'!$Q$7:$Q$2010,'LAC 102_Wkst'!$D$7:$D$2010,$C$7,'LAC 102_Wkst'!$I$7:$I$2010,$C$9,'LAC 102_Wkst'!$E$7:$E$2010,$C92,'LAC 102_Wkst'!$G$7:$G$2010,$D92,'LAC 102_Wkst'!$L$7:$L$2010,"05",'LAC 102_Wkst'!$N$7:$N$2010,"P4")+SUMIFS('LAC 102_Wkst'!$Q$7:$Q$2010,'LAC 102_Wkst'!$D$7:$D$2010,$C$7,'LAC 102_Wkst'!$I$7:$I$2010,$C$9,'LAC 102_Wkst'!$E$7:$E$2010,$C92,'LAC 102_Wkst'!$G$7:$G$2010,$D92,'LAC 102_Wkst'!$L$7:$L$2010,"06",'LAC 102_Wkst'!$N$7:$N$2010,"P4")</f>
        <v>0</v>
      </c>
      <c r="W92" s="411">
        <f>SUMIFS('LAC 102_Wkst'!$AF$7:$AF$2010,'LAC 102_Wkst'!$D$7:$D$2010,$C$7,'LAC 102_Wkst'!$I$7:$I$2010,$C$9,'LAC 102_Wkst'!$E$7:$E$2010,$C92,'LAC 102_Wkst'!$G$7:$G$2010,$D92,'LAC 102_Wkst'!$L$7:$L$2010,"05",'LAC 102_Wkst'!$N$7:$N$2010,"P4")+SUMIFS('LAC 102_Wkst'!$AF$7:$AF$2010,'LAC 102_Wkst'!$D$7:$D$2010,$C$7,'LAC 102_Wkst'!$I$7:$I$2010,$C$9,'LAC 102_Wkst'!$E$7:$E$2010,$C92,'LAC 102_Wkst'!$G$7:$G$2010,$D92,'LAC 102_Wkst'!$L$7:$L$2010,"06",'LAC 102_Wkst'!$N$7:$N$2010,"P4")</f>
        <v>0</v>
      </c>
      <c r="X92" s="410">
        <f>SUMIFS('LAC 102_Wkst'!$Q$7:$Q$2010,'LAC 102_Wkst'!$D$7:$D$2010,$C$7,'LAC 102_Wkst'!$I$7:$I$2010,$C$9,'LAC 102_Wkst'!$E$7:$E$2010,$C92,'LAC 102_Wkst'!$G$7:$G$2010,$D92,'LAC 102_Wkst'!$L$7:$L$2010,"05",'LAC 102_Wkst'!$N$7:$N$2010,"P5")+SUMIFS('LAC 102_Wkst'!$Q$7:$Q$2010,'LAC 102_Wkst'!$D$7:$D$2010,$C$7,'LAC 102_Wkst'!$I$7:$I$2010,$C$9,'LAC 102_Wkst'!$E$7:$E$2010,$C92,'LAC 102_Wkst'!$G$7:$G$2010,$D92,'LAC 102_Wkst'!$L$7:$L$2010,"06",'LAC 102_Wkst'!$N$7:$N$2010,"P5")</f>
        <v>0</v>
      </c>
      <c r="Y92" s="411">
        <f>SUMIFS('LAC 102_Wkst'!$AF$7:$AF$2010,'LAC 102_Wkst'!$D$7:$D$2010,$C$7,'LAC 102_Wkst'!$I$7:$I$2010,$C$9,'LAC 102_Wkst'!$E$7:$E$2010,$C92,'LAC 102_Wkst'!$G$7:$G$2010,$D92,'LAC 102_Wkst'!$L$7:$L$2010,"05",'LAC 102_Wkst'!$N$7:$N$2010,"P5")+SUMIFS('LAC 102_Wkst'!$AF$7:$AF$2010,'LAC 102_Wkst'!$D$7:$D$2010,$C$7,'LAC 102_Wkst'!$I$7:$I$2010,$C$9,'LAC 102_Wkst'!$E$7:$E$2010,$C92,'LAC 102_Wkst'!$G$7:$G$2010,$D92,'LAC 102_Wkst'!$L$7:$L$2010,"06",'LAC 102_Wkst'!$N$7:$N$2010,"P5")</f>
        <v>0</v>
      </c>
      <c r="Z92" s="410">
        <f>SUMIFS('LAC 102_Wkst'!$Q$7:$Q$2010,'LAC 102_Wkst'!$D$7:$D$2010,$C$7,'LAC 102_Wkst'!$I$7:$I$2010,$C$9,'LAC 102_Wkst'!$E$7:$E$2010,$C92,'LAC 102_Wkst'!$G$7:$G$2010,$D92,'LAC 102_Wkst'!$L$7:$L$2010,"07",'LAC 102_Wkst'!$N$7:$N$2010,"P1")+SUMIFS('LAC 102_Wkst'!$Q$7:$Q$2010,'LAC 102_Wkst'!$D$7:$D$2010,$C$7,'LAC 102_Wkst'!$I$7:$I$2010,$C$9,'LAC 102_Wkst'!$E$7:$E$2010,$C92,'LAC 102_Wkst'!$G$7:$G$2010,$D92,'LAC 102_Wkst'!$L$7:$L$2010,"07",'LAC 102_Wkst'!$N$7:$N$2010,"P2")+SUMIFS('LAC 102_Wkst'!$Q$7:$Q$2010,'LAC 102_Wkst'!$D$7:$D$2010,$C$7,'LAC 102_Wkst'!$I$7:$I$2010,$C$9,'LAC 102_Wkst'!$E$7:$E$2010,$C92,'LAC 102_Wkst'!$G$7:$G$2010,$D92,'LAC 102_Wkst'!$L$7:$L$2010,"07",'LAC 102_Wkst'!$N$7:$N$2010,"P3")</f>
        <v>0</v>
      </c>
      <c r="AA92" s="411">
        <f>SUMIFS('LAC 102_Wkst'!$AF$7:$AF$2010,'LAC 102_Wkst'!$D$7:$D$2010,$C$7,'LAC 102_Wkst'!$I$7:$I$2010,$C$9,'LAC 102_Wkst'!$E$7:$E$2010,$C92,'LAC 102_Wkst'!$G$7:$G$2010,$D92,'LAC 102_Wkst'!$L$7:$L$2010,"07",'LAC 102_Wkst'!$N$7:$N$2010,"P1")+SUMIFS('LAC 102_Wkst'!$AF$7:$AF$2010,'LAC 102_Wkst'!$D$7:$D$2010,$C$7,'LAC 102_Wkst'!$I$7:$I$2010,$C$9,'LAC 102_Wkst'!$E$7:$E$2010,$C92,'LAC 102_Wkst'!$G$7:$G$2010,$D92,'LAC 102_Wkst'!$L$7:$L$2010,"07",'LAC 102_Wkst'!$N$7:$N$2010,"P2")+SUMIFS('LAC 102_Wkst'!$AF$7:$AF$2010,'LAC 102_Wkst'!$D$7:$D$2010,$C$7,'LAC 102_Wkst'!$I$7:$I$2010,$C$9,'LAC 102_Wkst'!$E$7:$E$2010,$C92,'LAC 102_Wkst'!$G$7:$G$2010,$D92,'LAC 102_Wkst'!$L$7:$L$2010,"07",'LAC 102_Wkst'!$N$7:$N$2010,"P3")</f>
        <v>0</v>
      </c>
      <c r="AB92" s="410">
        <f>SUMIFS('LAC 102_Wkst'!$Q$7:$Q$2010,'LAC 102_Wkst'!$D$7:$D$2010,$C$7,'LAC 102_Wkst'!$I$7:$I$2010,$C$9,'LAC 102_Wkst'!$E$7:$E$2010,$C92,'LAC 102_Wkst'!$G$7:$G$2010,$D92,'LAC 102_Wkst'!$L$7:$L$2010,"07",'LAC 102_Wkst'!$N$7:$N$2010,"P4")</f>
        <v>0</v>
      </c>
      <c r="AC92" s="411">
        <f>SUMIFS('LAC 102_Wkst'!$AF$7:$AF$2010,'LAC 102_Wkst'!$D$7:$D$2010,$C$7,'LAC 102_Wkst'!$I$7:$I$2010,$C$9,'LAC 102_Wkst'!$E$7:$E$2010,$C92,'LAC 102_Wkst'!$G$7:$G$2010,$D92,'LAC 102_Wkst'!$L$7:$L$2010,"07",'LAC 102_Wkst'!$N$7:$N$2010,"P4")</f>
        <v>0</v>
      </c>
      <c r="AD92" s="410">
        <f>SUMIFS('LAC 102_Wkst'!$Q$7:$Q$2010,'LAC 102_Wkst'!$D$7:$D$2010,$C$7,'LAC 102_Wkst'!$I$7:$I$2010,$C$9,'LAC 102_Wkst'!$E$7:$E$2010,$C92,'LAC 102_Wkst'!$G$7:$G$2010,$D92,'LAC 102_Wkst'!$L$7:$L$2010,"07",'LAC 102_Wkst'!$N$7:$N$2010,"P5")</f>
        <v>0</v>
      </c>
      <c r="AE92" s="411">
        <f>SUMIFS('LAC 102_Wkst'!$AF$7:$AF$2010,'LAC 102_Wkst'!$D$7:$D$2010,$C$7,'LAC 102_Wkst'!$I$7:$I$2010,$C$9,'LAC 102_Wkst'!$E$7:$E$2010,$C92,'LAC 102_Wkst'!$G$7:$G$2010,$D92,'LAC 102_Wkst'!$L$7:$L$2010,"07",'LAC 102_Wkst'!$N$7:$N$2010,"P5")</f>
        <v>0</v>
      </c>
      <c r="AF92" s="410">
        <f>SUMIFS('LAC 102_Wkst'!$Q$7:$Q$2010,'LAC 102_Wkst'!$D$7:$D$2010,$C$7,'LAC 102_Wkst'!$I$7:$I$2010,$C$9,'LAC 102_Wkst'!$E$7:$E$2010,$C92,'LAC 102_Wkst'!$G$7:$G$2010,$D92,'LAC 102_Wkst'!$L$7:$L$2010,"08",'LAC 102_Wkst'!$N$7:$N$2010,"P1")+SUMIFS('LAC 102_Wkst'!$Q$7:$Q$2010,'LAC 102_Wkst'!$D$7:$D$2010,$C$7,'LAC 102_Wkst'!$I$7:$I$2010,$C$9,'LAC 102_Wkst'!$E$7:$E$2010,$C92,'LAC 102_Wkst'!$G$7:$G$2010,$D92,'LAC 102_Wkst'!$L$7:$L$2010,"08",'LAC 102_Wkst'!$N$7:$N$2010,"P2")+SUMIFS('LAC 102_Wkst'!$Q$7:$Q$2010,'LAC 102_Wkst'!$D$7:$D$2010,$C$7,'LAC 102_Wkst'!$I$7:$I$2010,$C$9,'LAC 102_Wkst'!$E$7:$E$2010,$C92,'LAC 102_Wkst'!$G$7:$G$2010,$D92,'LAC 102_Wkst'!$L$7:$L$2010,"08",'LAC 102_Wkst'!$N$7:$N$2010,"P3")</f>
        <v>0</v>
      </c>
      <c r="AG92" s="411">
        <f>SUMIFS('LAC 102_Wkst'!$AF$7:$AF$2010,'LAC 102_Wkst'!$D$7:$D$2010,$C$7,'LAC 102_Wkst'!$I$7:$I$2010,$C$9,'LAC 102_Wkst'!$E$7:$E$2010,$C92,'LAC 102_Wkst'!$G$7:$G$2010,$D92,'LAC 102_Wkst'!$L$7:$L$2010,"08",'LAC 102_Wkst'!$N$7:$N$2010,"P1")+SUMIFS('LAC 102_Wkst'!$AF$7:$AF$2010,'LAC 102_Wkst'!$D$7:$D$2010,$C$7,'LAC 102_Wkst'!$I$7:$I$2010,$C$9,'LAC 102_Wkst'!$E$7:$E$2010,$C92,'LAC 102_Wkst'!$G$7:$G$2010,$D92,'LAC 102_Wkst'!$L$7:$L$2010,"08",'LAC 102_Wkst'!$N$7:$N$2010,"P2")+SUMIFS('LAC 102_Wkst'!$AF$7:$AF$2010,'LAC 102_Wkst'!$D$7:$D$2010,$C$7,'LAC 102_Wkst'!$I$7:$I$2010,$C$9,'LAC 102_Wkst'!$E$7:$E$2010,$C92,'LAC 102_Wkst'!$G$7:$G$2010,$D92,'LAC 102_Wkst'!$L$7:$L$2010,"08",'LAC 102_Wkst'!$N$7:$N$2010,"P3")</f>
        <v>0</v>
      </c>
      <c r="AH92" s="410">
        <f>SUMIFS('LAC 102_Wkst'!$Q$7:$Q$2010,'LAC 102_Wkst'!$D$7:$D$2010,$C$7,'LAC 102_Wkst'!$I$7:$I$2010,$C$9,'LAC 102_Wkst'!$E$7:$E$2010,$C92,'LAC 102_Wkst'!$G$7:$G$2010,$D92,'LAC 102_Wkst'!$L$7:$L$2010,"08",'LAC 102_Wkst'!$N$7:$N$2010,"P4")</f>
        <v>0</v>
      </c>
      <c r="AI92" s="411">
        <f>SUMIFS('LAC 102_Wkst'!$AF$7:$AF$2010,'LAC 102_Wkst'!$D$7:$D$2010,$C$7,'LAC 102_Wkst'!$I$7:$I$2010,$C$9,'LAC 102_Wkst'!$E$7:$E$2010,$C92,'LAC 102_Wkst'!$G$7:$G$2010,$D92,'LAC 102_Wkst'!$L$7:$L$2010,"08",'LAC 102_Wkst'!$N$7:$N$2010,"P4")</f>
        <v>0</v>
      </c>
      <c r="AJ92" s="410">
        <f>SUMIFS('LAC 102_Wkst'!$Q$7:$Q$2010,'LAC 102_Wkst'!$D$7:$D$2010,$C$7,'LAC 102_Wkst'!$I$7:$I$2010,$C$9,'LAC 102_Wkst'!$E$7:$E$2010,$C92,'LAC 102_Wkst'!$G$7:$G$2010,$D92,'LAC 102_Wkst'!$L$7:$L$2010,"08",'LAC 102_Wkst'!$N$7:$N$2010,"P5")</f>
        <v>0</v>
      </c>
      <c r="AK92" s="411">
        <f>SUMIFS('LAC 102_Wkst'!$AF$7:$AF$2010,'LAC 102_Wkst'!$D$7:$D$2010,$C$7,'LAC 102_Wkst'!$I$7:$I$2010,$C$9,'LAC 102_Wkst'!$E$7:$E$2010,$C92,'LAC 102_Wkst'!$G$7:$G$2010,$D92,'LAC 102_Wkst'!$L$7:$L$2010,"08",'LAC 102_Wkst'!$N$7:$N$2010,"P5")</f>
        <v>0</v>
      </c>
      <c r="AL92" s="410">
        <f>SUMIFS('LAC 102_Wkst'!$Q$7:$Q$2010,'LAC 102_Wkst'!$D$7:$D$2010,$C$7,'LAC 102_Wkst'!$I$7:$I$2010,$C$9,'LAC 102_Wkst'!$E$7:$E$2010,$C92,'LAC 102_Wkst'!$G$7:$G$2010,$D92,'LAC 102_Wkst'!$L$7:$L$2010,"09",'LAC 102_Wkst'!$N$7:$N$2010,"P1")+SUMIFS('LAC 102_Wkst'!$Q$7:$Q$2010,'LAC 102_Wkst'!$D$7:$D$2010,$C$7,'LAC 102_Wkst'!$I$7:$I$2010,$C$9,'LAC 102_Wkst'!$E$7:$E$2010,$C92,'LAC 102_Wkst'!$G$7:$G$2010,$D92,'LAC 102_Wkst'!$L$7:$L$2010,"09",'LAC 102_Wkst'!$N$7:$N$2010,"P2")+SUMIFS('LAC 102_Wkst'!$Q$7:$Q$2010,'LAC 102_Wkst'!$D$7:$D$2010,$C$7,'LAC 102_Wkst'!$I$7:$I$2010,$C$9,'LAC 102_Wkst'!$E$7:$E$2010,$C92,'LAC 102_Wkst'!$G$7:$G$2010,$D92,'LAC 102_Wkst'!$L$7:$L$2010,"09",'LAC 102_Wkst'!$N$7:$N$2010,"P3")+SUMIFS('LAC 102_Wkst'!$Q$7:$Q$2010,'LAC 102_Wkst'!$D$7:$D$2010,$C$7,'LAC 102_Wkst'!$I$7:$I$2010,$C$9,'LAC 102_Wkst'!$E$7:$E$2010,$C92,'LAC 102_Wkst'!$G$7:$G$2010,$D92,'LAC 102_Wkst'!$L$7:$L$2010,"09",'LAC 102_Wkst'!$N$7:$N$2010,"P4")</f>
        <v>0</v>
      </c>
      <c r="AM92" s="411">
        <f>SUMIFS('LAC 102_Wkst'!$AF$7:$AF$2010,'LAC 102_Wkst'!$D$7:$D$2010,$C$7,'LAC 102_Wkst'!$I$7:$I$2010,$C$9,'LAC 102_Wkst'!$E$7:$E$2010,$C92,'LAC 102_Wkst'!$G$7:$G$2010,$D92,'LAC 102_Wkst'!$L$7:$L$2010,"09",'LAC 102_Wkst'!$N$7:$N$2010,"P1")+SUMIFS('LAC 102_Wkst'!$AF$7:$AF$2010,'LAC 102_Wkst'!$D$7:$D$2010,$C$7,'LAC 102_Wkst'!$I$7:$I$2010,$C$9,'LAC 102_Wkst'!$E$7:$E$2010,$C92,'LAC 102_Wkst'!$G$7:$G$2010,$D92,'LAC 102_Wkst'!$L$7:$L$2010,"09",'LAC 102_Wkst'!$N$7:$N$2010,"P2")+SUMIFS('LAC 102_Wkst'!$AF$7:$AF$2010,'LAC 102_Wkst'!$D$7:$D$2010,$C$7,'LAC 102_Wkst'!$I$7:$I$2010,$C$9,'LAC 102_Wkst'!$E$7:$E$2010,$C92,'LAC 102_Wkst'!$G$7:$G$2010,$D92,'LAC 102_Wkst'!$L$7:$L$2010,"09",'LAC 102_Wkst'!$N$7:$N$2010,"P3")+SUMIFS('LAC 102_Wkst'!$AF$7:$AF$2010,'LAC 102_Wkst'!$D$7:$D$2010,$C$7,'LAC 102_Wkst'!$I$7:$I$2010,$C$9,'LAC 102_Wkst'!$E$7:$E$2010,$C92,'LAC 102_Wkst'!$G$7:$G$2010,$D92,'LAC 102_Wkst'!$L$7:$L$2010,"09",'LAC 102_Wkst'!$N$7:$N$2010,"P4")</f>
        <v>0</v>
      </c>
      <c r="AN92" s="410">
        <f>SUMIFS('LAC 102_Wkst'!$Q$7:$Q$2010,'LAC 102_Wkst'!$D$7:$D$2010,$C$7,'LAC 102_Wkst'!$I$7:$I$2010,$C$9,'LAC 102_Wkst'!$E$7:$E$2010,$C92,'LAC 102_Wkst'!$G$7:$G$2010,$D92,'LAC 102_Wkst'!$L$7:$L$2010,"09",'LAC 102_Wkst'!$N$7:$N$2010,"P5")</f>
        <v>0</v>
      </c>
      <c r="AO92" s="411">
        <f>SUMIFS('LAC 102_Wkst'!$AF$7:$AF$2010,'LAC 102_Wkst'!$D$7:$D$2010,$C$7,'LAC 102_Wkst'!$I$7:$I$2010,$C$9,'LAC 102_Wkst'!$E$7:$E$2010,$C92,'LAC 102_Wkst'!$G$7:$G$2010,$D92,'LAC 102_Wkst'!$L$7:$L$2010,"09",'LAC 102_Wkst'!$N$7:$N$2010,"P5")</f>
        <v>0</v>
      </c>
      <c r="AP92" s="410">
        <f>SUMIFS('LAC 102_Wkst'!$Q$7:$Q$2010,'LAC 102_Wkst'!$D$7:$D$2010,$C$7,'LAC 102_Wkst'!$I$7:$I$2010,$C$9,'LAC 102_Wkst'!$E$7:$E$2010,$C92,'LAC 102_Wkst'!$G$7:$G$2010,$D92,'LAC 102_Wkst'!$L$7:$L$2010,"10",'LAC 102_Wkst'!$N$7:$N$2010,"P1")+SUMIFS('LAC 102_Wkst'!$Q$7:$Q$2010,'LAC 102_Wkst'!$D$7:$D$2010,$C$7,'LAC 102_Wkst'!$I$7:$I$2010,$C$9,'LAC 102_Wkst'!$E$7:$E$2010,$C92,'LAC 102_Wkst'!$G$7:$G$2010,$D92,'LAC 102_Wkst'!$L$7:$L$2010,"10",'LAC 102_Wkst'!$N$7:$N$2010,"P2")+SUMIFS('LAC 102_Wkst'!$Q$7:$Q$2010,'LAC 102_Wkst'!$D$7:$D$2010,$C$7,'LAC 102_Wkst'!$I$7:$I$2010,$C$9,'LAC 102_Wkst'!$E$7:$E$2010,$C92,'LAC 102_Wkst'!$G$7:$G$2010,$D92,'LAC 102_Wkst'!$L$7:$L$2010,"10",'LAC 102_Wkst'!$N$7:$N$2010,"P3")+SUMIFS('LAC 102_Wkst'!$Q$7:$Q$2010,'LAC 102_Wkst'!$D$7:$D$2010,$C$7,'LAC 102_Wkst'!$I$7:$I$2010,$C$9,'LAC 102_Wkst'!$E$7:$E$2010,$C92,'LAC 102_Wkst'!$G$7:$G$2010,$D92,'LAC 102_Wkst'!$L$7:$L$2010,"10",'LAC 102_Wkst'!$N$7:$N$2010,"P4")</f>
        <v>0</v>
      </c>
      <c r="AQ92" s="411">
        <f>SUMIFS('LAC 102_Wkst'!$AF$7:$AF$2010,'LAC 102_Wkst'!$D$7:$D$2010,$C$7,'LAC 102_Wkst'!$I$7:$I$2010,$C$9,'LAC 102_Wkst'!$E$7:$E$2010,$C92,'LAC 102_Wkst'!$G$7:$G$2010,$D92,'LAC 102_Wkst'!$L$7:$L$2010,"10",'LAC 102_Wkst'!$N$7:$N$2010,"P1")+SUMIFS('LAC 102_Wkst'!$AF$7:$AF$2010,'LAC 102_Wkst'!$D$7:$D$2010,$C$7,'LAC 102_Wkst'!$I$7:$I$2010,$C$9,'LAC 102_Wkst'!$E$7:$E$2010,$C92,'LAC 102_Wkst'!$G$7:$G$2010,$D92,'LAC 102_Wkst'!$L$7:$L$2010,"10",'LAC 102_Wkst'!$N$7:$N$2010,"P2")+SUMIFS('LAC 102_Wkst'!$AF$7:$AF$2010,'LAC 102_Wkst'!$D$7:$D$2010,$C$7,'LAC 102_Wkst'!$I$7:$I$2010,$C$9,'LAC 102_Wkst'!$E$7:$E$2010,$C92,'LAC 102_Wkst'!$G$7:$G$2010,$D92,'LAC 102_Wkst'!$L$7:$L$2010,"10",'LAC 102_Wkst'!$N$7:$N$2010,"P3")+SUMIFS('LAC 102_Wkst'!$AF$7:$AF$2010,'LAC 102_Wkst'!$D$7:$D$2010,$C$7,'LAC 102_Wkst'!$I$7:$I$2010,$C$9,'LAC 102_Wkst'!$E$7:$E$2010,$C92,'LAC 102_Wkst'!$G$7:$G$2010,$D92,'LAC 102_Wkst'!$L$7:$L$2010,"10",'LAC 102_Wkst'!$N$7:$N$2010,"P4")</f>
        <v>0</v>
      </c>
      <c r="AR92" s="410">
        <f>SUMIFS('LAC 102_Wkst'!$Q$7:$Q$2010,'LAC 102_Wkst'!$D$7:$D$2010,$C$7,'LAC 102_Wkst'!$I$7:$I$2010,$C$9,'LAC 102_Wkst'!$E$7:$E$2010,$C92,'LAC 102_Wkst'!$G$7:$G$2010,$D92,'LAC 102_Wkst'!$L$7:$L$2010,"10",'LAC 102_Wkst'!$N$7:$N$2010,"P5")</f>
        <v>0</v>
      </c>
      <c r="AS92" s="411">
        <f>SUMIFS('LAC 102_Wkst'!$AF$7:$AF$2010,'LAC 102_Wkst'!$D$7:$D$2010,$C$7,'LAC 102_Wkst'!$I$7:$I$2010,$C$9,'LAC 102_Wkst'!$E$7:$E$2010,$C92,'LAC 102_Wkst'!$G$7:$G$2010,$D92,'LAC 102_Wkst'!$L$7:$L$2010,"10",'LAC 102_Wkst'!$N$7:$N$2010,"P5")</f>
        <v>0</v>
      </c>
      <c r="AT92" s="410">
        <f>SUMIFS('LAC 102_Wkst'!$Q$7:$Q$2010,'LAC 102_Wkst'!$D$7:$D$2010,$C$7,'LAC 102_Wkst'!$I$7:$I$2010,$C$9,'LAC 102_Wkst'!$E$7:$E$2010,$C92,'LAC 102_Wkst'!$G$7:$G$2010,$D92,'LAC 102_Wkst'!$L$7:$L$2010,"11",'LAC 102_Wkst'!$N$7:$N$2010,"P1")+SUMIFS('LAC 102_Wkst'!$Q$7:$Q$2010,'LAC 102_Wkst'!$D$7:$D$2010,$C$7,'LAC 102_Wkst'!$I$7:$I$2010,$C$9,'LAC 102_Wkst'!$E$7:$E$2010,$C92,'LAC 102_Wkst'!$G$7:$G$2010,$D92,'LAC 102_Wkst'!$L$7:$L$2010,"12",'LAC 102_Wkst'!$N$7:$N$2010,"P1")</f>
        <v>0</v>
      </c>
      <c r="AU92" s="411">
        <f>SUMIFS('LAC 102_Wkst'!$Q$7:$Q$2010,'LAC 102_Wkst'!$D$7:$D$2010,$C$7,'LAC 102_Wkst'!$I$7:$I$2010,$C$9,'LAC 102_Wkst'!$E$7:$E$2010,$C92,'LAC 102_Wkst'!$G$7:$G$2010,$D92,'LAC 102_Wkst'!$L$7:$L$2010,"13",'LAC 102_Wkst'!$N$7:$N$2010,"P5")</f>
        <v>0</v>
      </c>
      <c r="AV92" s="410">
        <f>SUMIFS('LAC 102_Wkst'!$Q$7:$Q$2010,'LAC 102_Wkst'!$D$7:$D$2010,$C$7,'LAC 102_Wkst'!$I$7:$I$2010,$C$9,'LAC 102_Wkst'!$E$7:$E$2010,$C92,'LAC 102_Wkst'!$G$7:$G$2010,$D92,'LAC 102_Wkst'!$L$7:$L$2010,"11",'LAC 102_Wkst'!$N$7:$N$2010,"P2")+SUMIFS('LAC 102_Wkst'!$Q$7:$Q$2010,'LAC 102_Wkst'!$D$7:$D$2010,$C$7,'LAC 102_Wkst'!$I$7:$I$2010,$C$9,'LAC 102_Wkst'!$E$7:$E$2010,$C92,'LAC 102_Wkst'!$G$7:$G$2010,$D92,'LAC 102_Wkst'!$L$7:$L$2010,"12",'LAC 102_Wkst'!$N$7:$N$2010,"P2")+SUMIFS('LAC 102_Wkst'!$Q$7:$Q$2010,'LAC 102_Wkst'!$D$7:$D$2010,$C$7,'LAC 102_Wkst'!$I$7:$I$2010,$C$9,'LAC 102_Wkst'!$E$7:$E$2010,$C92,'LAC 102_Wkst'!$G$7:$G$2010,$D92,'LAC 102_Wkst'!$L$7:$L$2010,"11",'LAC 102_Wkst'!$N$7:$N$2010,"P3")+SUMIFS('LAC 102_Wkst'!$Q$7:$Q$2010,'LAC 102_Wkst'!$D$7:$D$2010,$C$7,'LAC 102_Wkst'!$I$7:$I$2010,$C$9,'LAC 102_Wkst'!$E$7:$E$2010,$C92,'LAC 102_Wkst'!$G$7:$G$2010,$D92,'LAC 102_Wkst'!$L$7:$L$2010,"12",'LAC 102_Wkst'!$N$7:$N$2010,"P3")</f>
        <v>0</v>
      </c>
      <c r="AW92" s="411">
        <f>SUMIFS('LAC 102_Wkst'!$AF$7:$AF$2010,'LAC 102_Wkst'!$D$7:$D$2010,$C$7,'LAC 102_Wkst'!$I$7:$I$2010,$C$9,'LAC 102_Wkst'!$E$7:$E$2010,$C92,'LAC 102_Wkst'!$G$7:$G$2010,$D92,'LAC 102_Wkst'!$L$7:$L$2010,"11",'LAC 102_Wkst'!$N$7:$N$2010,"P2")+SUMIFS('LAC 102_Wkst'!$AF$7:$AF$2010,'LAC 102_Wkst'!$D$7:$D$2010,$C$7,'LAC 102_Wkst'!$I$7:$I$2010,$C$9,'LAC 102_Wkst'!$E$7:$E$2010,$C92,'LAC 102_Wkst'!$G$7:$G$2010,$D92,'LAC 102_Wkst'!$L$7:$L$2010,"12",'LAC 102_Wkst'!$N$7:$N$2010,"P2")+SUMIFS('LAC 102_Wkst'!$AF$7:$AF$2010,'LAC 102_Wkst'!$D$7:$D$2010,$C$7,'LAC 102_Wkst'!$I$7:$I$2010,$C$9,'LAC 102_Wkst'!$E$7:$E$2010,$C92,'LAC 102_Wkst'!$G$7:$G$2010,$D92,'LAC 102_Wkst'!$L$7:$L$2010,"11",'LAC 102_Wkst'!$N$7:$N$2010,"P3")+SUMIFS('LAC 102_Wkst'!$AF$7:$AF$2010,'LAC 102_Wkst'!$D$7:$D$2010,$C$7,'LAC 102_Wkst'!$I$7:$I$2010,$C$9,'LAC 102_Wkst'!$E$7:$E$2010,$C92,'LAC 102_Wkst'!$G$7:$G$2010,$D92,'LAC 102_Wkst'!$L$7:$L$2010,"12",'LAC 102_Wkst'!$N$7:$N$2010,"P3")</f>
        <v>0</v>
      </c>
      <c r="AX92" s="410">
        <f>SUMIFS('LAC 102_Wkst'!$Q$7:$Q$2010,'LAC 102_Wkst'!$D$7:$D$2010,$C$7,'LAC 102_Wkst'!$I$7:$I$2010,$C$9,'LAC 102_Wkst'!$E$7:$E$2010,$C92,'LAC 102_Wkst'!$G$7:$G$2010,$D92,'LAC 102_Wkst'!$L$7:$L$2010,"11",'LAC 102_Wkst'!$N$7:$N$2010,"P4")+SUMIFS('LAC 102_Wkst'!$Q$7:$Q$2010,'LAC 102_Wkst'!$D$7:$D$2010,$C$7,'LAC 102_Wkst'!$I$7:$I$2010,$C$9,'LAC 102_Wkst'!$E$7:$E$2010,$C92,'LAC 102_Wkst'!$G$7:$G$2010,$D92,'LAC 102_Wkst'!$L$7:$L$2010,"12",'LAC 102_Wkst'!$N$7:$N$2010,"P4")</f>
        <v>0</v>
      </c>
      <c r="AY92" s="411">
        <f>SUMIFS('LAC 102_Wkst'!$AF$7:$AF$2010,'LAC 102_Wkst'!$D$7:$D$2010,$C$7,'LAC 102_Wkst'!$I$7:$I$2010,$C$9,'LAC 102_Wkst'!$E$7:$E$2010,$C92,'LAC 102_Wkst'!$G$7:$G$2010,$D92,'LAC 102_Wkst'!$L$7:$L$2010,"11",'LAC 102_Wkst'!$N$7:$N$2010,"P4")+SUMIFS('LAC 102_Wkst'!$AF$7:$AF$2010,'LAC 102_Wkst'!$D$7:$D$2010,$C$7,'LAC 102_Wkst'!$I$7:$I$2010,$C$9,'LAC 102_Wkst'!$E$7:$E$2010,$C92,'LAC 102_Wkst'!$G$7:$G$2010,$D92,'LAC 102_Wkst'!$L$7:$L$2010,"12",'LAC 102_Wkst'!$N$7:$N$2010,"P4")</f>
        <v>0</v>
      </c>
      <c r="AZ92" s="410">
        <f>SUMIFS('LAC 102_Wkst'!$Q$7:$Q$2010,'LAC 102_Wkst'!$D$7:$D$2010,$C$7,'LAC 102_Wkst'!$I$7:$I$2010,$C$9,'LAC 102_Wkst'!$E$7:$E$2010,$C92,'LAC 102_Wkst'!$G$7:$G$2010,$D92,'LAC 102_Wkst'!$L$7:$L$2010,"11",'LAC 102_Wkst'!$N$7:$N$2010,"P5")+SUMIFS('LAC 102_Wkst'!$Q$7:$Q$2010,'LAC 102_Wkst'!$D$7:$D$2010,$C$7,'LAC 102_Wkst'!$I$7:$I$2010,$C$9,'LAC 102_Wkst'!$E$7:$E$2010,$C92,'LAC 102_Wkst'!$G$7:$G$2010,$D92,'LAC 102_Wkst'!$L$7:$L$2010,"12",'LAC 102_Wkst'!$N$7:$N$2010,"P5")</f>
        <v>0</v>
      </c>
      <c r="BA92" s="411">
        <f>SUMIFS('LAC 102_Wkst'!$AF$7:$AF$2010,'LAC 102_Wkst'!$D$7:$D$2010,$C$7,'LAC 102_Wkst'!$I$7:$I$2010,$C$9,'LAC 102_Wkst'!$E$7:$E$2010,$C92,'LAC 102_Wkst'!$G$7:$G$2010,$D92,'LAC 102_Wkst'!$L$7:$L$2010,"11",'LAC 102_Wkst'!$N$7:$N$2010,"P5")+SUMIFS('LAC 102_Wkst'!$AF$7:$AF$2010,'LAC 102_Wkst'!$D$7:$D$2010,$C$7,'LAC 102_Wkst'!$I$7:$I$2010,$C$9,'LAC 102_Wkst'!$E$7:$E$2010,$C92,'LAC 102_Wkst'!$G$7:$G$2010,$D92,'LAC 102_Wkst'!$L$7:$L$2010,"12",'LAC 102_Wkst'!$N$7:$N$2010,"P5")</f>
        <v>0</v>
      </c>
      <c r="BB92" s="410">
        <f>SUMIFS('LAC 102_Wkst'!$Q$7:$Q$2010,'LAC 102_Wkst'!$D$7:$D$2010,$C$7,'LAC 102_Wkst'!$I$7:$I$2010,$C$9,'LAC 102_Wkst'!$E$7:$E$2010,$C92,'LAC 102_Wkst'!$G$7:$G$2010,$D92,'LAC 102_Wkst'!$L$7:$L$2010,"13",'LAC 102_Wkst'!$N$7:$N$2010,"P1")+SUMIFS('LAC 102_Wkst'!$Q$7:$Q$2010,'LAC 102_Wkst'!$D$7:$D$2010,$C$7,'LAC 102_Wkst'!$I$7:$I$2010,$C$9,'LAC 102_Wkst'!$E$7:$E$2010,$C92,'LAC 102_Wkst'!$G$7:$G$2010,$D92,'LAC 102_Wkst'!$L$7:$L$2010,"13",'LAC 102_Wkst'!$N$7:$N$2010,"P2")+SUMIFS('LAC 102_Wkst'!$Q$7:$Q$2010,'LAC 102_Wkst'!$D$7:$D$2010,$C$7,'LAC 102_Wkst'!$I$7:$I$2010,$C$9,'LAC 102_Wkst'!$E$7:$E$2010,$C92,'LAC 102_Wkst'!$G$7:$G$2010,$D92,'LAC 102_Wkst'!$L$7:$L$2010,"13",'LAC 102_Wkst'!$N$7:$N$2010,"P3")+SUMIFS('LAC 102_Wkst'!$Q$7:$Q$2010,'LAC 102_Wkst'!$D$7:$D$2010,$C$7,'LAC 102_Wkst'!$I$7:$I$2010,$C$9,'LAC 102_Wkst'!$E$7:$E$2010,$C92,'LAC 102_Wkst'!$G$7:$G$2010,$D92,'LAC 102_Wkst'!$L$7:$L$2010,"13",'LAC 102_Wkst'!$N$7:$N$2010,"P4")</f>
        <v>0</v>
      </c>
      <c r="BC92" s="411">
        <f>SUMIFS('LAC 102_Wkst'!$AF$7:$AF$2010,'LAC 102_Wkst'!$D$7:$D$2010,$C$7,'LAC 102_Wkst'!$I$7:$I$2010,$C$9,'LAC 102_Wkst'!$E$7:$E$2010,$C92,'LAC 102_Wkst'!$G$7:$G$2010,$D92,'LAC 102_Wkst'!$L$7:$L$2010,"13",'LAC 102_Wkst'!$N$7:$N$2010,"P1")+SUMIFS('LAC 102_Wkst'!$AF$7:$AF$2010,'LAC 102_Wkst'!$D$7:$D$2010,$C$7,'LAC 102_Wkst'!$I$7:$I$2010,$C$9,'LAC 102_Wkst'!$E$7:$E$2010,$C92,'LAC 102_Wkst'!$G$7:$G$2010,$D92,'LAC 102_Wkst'!$L$7:$L$2010,"13",'LAC 102_Wkst'!$N$7:$N$2010,"P2")+SUMIFS('LAC 102_Wkst'!$AF$7:$AF$2010,'LAC 102_Wkst'!$D$7:$D$2010,$C$7,'LAC 102_Wkst'!$I$7:$I$2010,$C$9,'LAC 102_Wkst'!$E$7:$E$2010,$C92,'LAC 102_Wkst'!$G$7:$G$2010,$D92,'LAC 102_Wkst'!$L$7:$L$2010,"13",'LAC 102_Wkst'!$N$7:$N$2010,"P3")+SUMIFS('LAC 102_Wkst'!$AF$7:$AF$2010,'LAC 102_Wkst'!$D$7:$D$2010,$C$7,'LAC 102_Wkst'!$I$7:$I$2010,$C$9,'LAC 102_Wkst'!$E$7:$E$2010,$C92,'LAC 102_Wkst'!$G$7:$G$2010,$D92,'LAC 102_Wkst'!$L$7:$L$2010,"13",'LAC 102_Wkst'!$N$7:$N$2010,"P4")</f>
        <v>0</v>
      </c>
      <c r="BD92" s="410">
        <f>SUMIFS('LAC 102_Wkst'!$Q$7:$Q$2010,'LAC 102_Wkst'!$D$7:$D$2010,$C$7,'LAC 102_Wkst'!$I$7:$I$2010,$C$9,'LAC 102_Wkst'!$E$7:$E$2010,$C92,'LAC 102_Wkst'!$G$7:$G$2010,$D92,'LAC 102_Wkst'!$L$7:$L$2010,"13",'LAC 102_Wkst'!$N$7:$N$2010,"P5")</f>
        <v>0</v>
      </c>
      <c r="BE92" s="411">
        <f>SUMIFS('LAC 102_Wkst'!$AF$7:$AF$2010,'LAC 102_Wkst'!$D$7:$D$2010,$C$7,'LAC 102_Wkst'!$I$7:$I$2010,$C$9,'LAC 102_Wkst'!$E$7:$E$2010,$C92,'LAC 102_Wkst'!$G$7:$G$2010,$D92,'LAC 102_Wkst'!$L$7:$L$2010,"13",'LAC 102_Wkst'!$N$7:$N$2010,"P5")</f>
        <v>0</v>
      </c>
      <c r="BF92" s="407">
        <f t="shared" si="5"/>
        <v>0</v>
      </c>
      <c r="BG92" s="1654">
        <f>SUMIFS('LAC 102_Wkst'!$AF$7:$AF$2010,'LAC 102_Wkst'!$D$7:$D$2010,$C$7,'LAC 102_Wkst'!$I$7:$I$2010,$C$9,'LAC 102_Wkst'!$E$7:$E$2010,$C92,'LAC 102_Wkst'!$G$7:$G$2010,$D92,'LAC 102_Wkst'!$L$7:$L$2010,"14")</f>
        <v>0</v>
      </c>
    </row>
    <row r="93" spans="1:59" x14ac:dyDescent="0.2">
      <c r="A93" s="401">
        <v>71</v>
      </c>
      <c r="B93" s="1678" t="str">
        <f>IF(Schedule_B!B$90="","",Schedule_B!B$90)</f>
        <v/>
      </c>
      <c r="C93" s="1674" t="str">
        <f>IF(Schedule_B!C$90=""," ",Schedule_B!C$90)</f>
        <v xml:space="preserve"> </v>
      </c>
      <c r="D93" s="1675" t="str">
        <f>IF(Schedule_B!D$90=""," ",Schedule_B!D$90)</f>
        <v xml:space="preserve"> </v>
      </c>
      <c r="E93" s="1221">
        <f>SUMIFS('LAC 102_Wkst'!$Q$7:$Q$2010,'LAC 102_Wkst'!$D$7:$D$2010,$C$7,'LAC 102_Wkst'!$I$7:$I$2010,$C$9,'LAC 102_Wkst'!$E$7:$E$2010,$C93,'LAC 102_Wkst'!$G$7:$G$2010,$D93)</f>
        <v>0</v>
      </c>
      <c r="F93" s="408">
        <f>SUMIFS('LAC 102_Wkst'!$Q$7:$Q$2010,'LAC 102_Wkst'!$D$7:$D$2010,$C$7,'LAC 102_Wkst'!$I$7:$I$2010,$C$9,'LAC 102_Wkst'!$E$7:$E$2010,$C93,'LAC 102_Wkst'!$G$7:$G$2010,$D93,'LAC 102_Wkst'!$L$7:$L$2010,"01",'LAC 102_Wkst'!$N$7:$N$2010,"P1")+SUMIFS('LAC 102_Wkst'!$Q$7:$Q$2010,'LAC 102_Wkst'!$D$7:$D$2010,$C$7,'LAC 102_Wkst'!$I$7:$I$2010,$C$9,'LAC 102_Wkst'!$E$7:$E$2010,$C93,'LAC 102_Wkst'!$G$7:$G$2010,$D93,'LAC 102_Wkst'!$L$7:$L$2010,"01",'LAC 102_Wkst'!$N$7:$N$2010,"P2")+SUMIFS('LAC 102_Wkst'!$Q$7:$Q$2010,'LAC 102_Wkst'!$D$7:$D$2010,$C$7,'LAC 102_Wkst'!$I$7:$I$2010,$C$9,'LAC 102_Wkst'!$E$7:$E$2010,$C93,'LAC 102_Wkst'!$G$7:$G$2010,$D93,'LAC 102_Wkst'!$L$7:$L$2010,"01",'LAC 102_Wkst'!$N$7:$N$2010,"P3")+SUMIFS('LAC 102_Wkst'!$Q$7:$Q$2010,'LAC 102_Wkst'!$D$7:$D$2010,$C$7,'LAC 102_Wkst'!$I$7:$I$2010,$C$9,'LAC 102_Wkst'!$E$7:$E$2010,$C93,'LAC 102_Wkst'!$G$7:$G$2010,$D93,'LAC 102_Wkst'!$L$7:$L$2010,"02",'LAC 102_Wkst'!$N$7:$N$2010,"P1")+SUMIFS('LAC 102_Wkst'!$Q$7:$Q$2010,'LAC 102_Wkst'!$D$7:$D$2010,$C$7,'LAC 102_Wkst'!$I$7:$I$2010,$C$9,'LAC 102_Wkst'!$E$7:$E$2010,$C93,'LAC 102_Wkst'!$G$7:$G$2010,$D93,'LAC 102_Wkst'!$L$7:$L$2010,"02",'LAC 102_Wkst'!$N$7:$N$2010,"P2")+SUMIFS('LAC 102_Wkst'!$Q$7:$Q$2010,'LAC 102_Wkst'!$D$7:$D$2010,$C$7,'LAC 102_Wkst'!$I$7:$I$2010,$C$9,'LAC 102_Wkst'!$E$7:$E$2010,$C93,'LAC 102_Wkst'!$G$7:$G$2010,$D93,'LAC 102_Wkst'!$L$7:$L$2010,"02",'LAC 102_Wkst'!$N$7:$N$2010,"P3")</f>
        <v>0</v>
      </c>
      <c r="G93" s="409">
        <f>SUMIFS('LAC 102_Wkst'!$AF$7:$AF$2010,'LAC 102_Wkst'!$D$7:$D$2010,$C$7,'LAC 102_Wkst'!$I$7:$I$2010,$C$9,'LAC 102_Wkst'!$E$7:$E$2010,$C93,'LAC 102_Wkst'!$G$7:$G$2010,$D93,'LAC 102_Wkst'!$L$7:$L$2010,"01",'LAC 102_Wkst'!$N$7:$N$2010,"P1")+SUMIFS('LAC 102_Wkst'!$AF$7:$AF$2010,'LAC 102_Wkst'!$D$7:$D$2010,$C$7,'LAC 102_Wkst'!$I$7:$I$2010,$C$9,'LAC 102_Wkst'!$E$7:$E$2010,$C93,'LAC 102_Wkst'!$G$7:$G$2010,$D93,'LAC 102_Wkst'!$L$7:$L$2010,"01",'LAC 102_Wkst'!$N$7:$N$2010,"P2")+SUMIFS('LAC 102_Wkst'!$AF$7:$AF$2010,'LAC 102_Wkst'!$D$7:$D$2010,$C$7,'LAC 102_Wkst'!$I$7:$I$2010,$C$9,'LAC 102_Wkst'!$E$7:$E$2010,$C93,'LAC 102_Wkst'!$G$7:$G$2010,$D93,'LAC 102_Wkst'!$L$7:$L$2010,"01",'LAC 102_Wkst'!$N$7:$N$2010,"P3")+SUMIFS('LAC 102_Wkst'!$AF$7:$AF$2010,'LAC 102_Wkst'!$D$7:$D$2010,$C$7,'LAC 102_Wkst'!$I$7:$I$2010,$C$9,'LAC 102_Wkst'!$E$7:$E$2010,$C93,'LAC 102_Wkst'!$G$7:$G$2010,$D93,'LAC 102_Wkst'!$L$7:$L$2010,"02",'LAC 102_Wkst'!$N$7:$N$2010,"P1")+SUMIFS('LAC 102_Wkst'!$AF$7:$AF$2010,'LAC 102_Wkst'!$D$7:$D$2010,$C$7,'LAC 102_Wkst'!$I$7:$I$2010,$C$9,'LAC 102_Wkst'!$E$7:$E$2010,$C93,'LAC 102_Wkst'!$G$7:$G$2010,$D93,'LAC 102_Wkst'!$L$7:$L$2010,"02",'LAC 102_Wkst'!$N$7:$N$2010,"P2")+SUMIFS('LAC 102_Wkst'!$AF$7:$AF$2010,'LAC 102_Wkst'!$D$7:$D$2010,$C$7,'LAC 102_Wkst'!$I$7:$I$2010,$C$9,'LAC 102_Wkst'!$E$7:$E$2010,$C93,'LAC 102_Wkst'!$G$7:$G$2010,$D93,'LAC 102_Wkst'!$L$7:$L$2010,"02",'LAC 102_Wkst'!$N$7:$N$2010,"P3")</f>
        <v>0</v>
      </c>
      <c r="H93" s="410">
        <f>SUMIFS('LAC 102_Wkst'!$Q$7:$Q$2010,'LAC 102_Wkst'!$D$7:$D$2010,$C$7,'LAC 102_Wkst'!$I$7:$I$2010,$C$9,'LAC 102_Wkst'!$E$7:$E$2010,$C93,'LAC 102_Wkst'!$G$7:$G$2010,$D93,'LAC 102_Wkst'!$L$7:$L$2010,"01",'LAC 102_Wkst'!$N$7:$N$2010,"P4")+SUMIFS('LAC 102_Wkst'!$Q$7:$Q$2010,'LAC 102_Wkst'!$D$7:$D$2010,$C$7,'LAC 102_Wkst'!$I$7:$I$2010,$C$9,'LAC 102_Wkst'!$E$7:$E$2010,$C93,'LAC 102_Wkst'!$G$7:$G$2010,$D93,'LAC 102_Wkst'!$L$7:$L$2010,"02",'LAC 102_Wkst'!$N$7:$N$2010,"P4")</f>
        <v>0</v>
      </c>
      <c r="I93" s="411">
        <f>SUMIFS('LAC 102_Wkst'!$AF$7:$AF$2010,'LAC 102_Wkst'!$D$7:$D$2010,$C$7,'LAC 102_Wkst'!$I$7:$I$2010,$C$9,'LAC 102_Wkst'!$E$7:$E$2010,$C93,'LAC 102_Wkst'!$G$7:$G$2010,$D93,'LAC 102_Wkst'!$L$7:$L$2010,"01",'LAC 102_Wkst'!$N$7:$N$2010,"P4")+SUMIFS('LAC 102_Wkst'!$AF$7:$AF$2010,'LAC 102_Wkst'!$D$7:$D$2010,$C$7,'LAC 102_Wkst'!$I$7:$I$2010,$C$9,'LAC 102_Wkst'!$E$7:$E$2010,$C93,'LAC 102_Wkst'!$G$7:$G$2010,$D93,'LAC 102_Wkst'!$L$7:$L$2010,"02",'LAC 102_Wkst'!$N$7:$N$2010,"P4")</f>
        <v>0</v>
      </c>
      <c r="J93" s="410">
        <f>SUMIFS('LAC 102_Wkst'!$Q$7:$Q$2010,'LAC 102_Wkst'!$D$7:$D$2010,$C$7,'LAC 102_Wkst'!$I$7:$I$2010,$C$9,'LAC 102_Wkst'!$E$7:$E$2010,$C93,'LAC 102_Wkst'!$G$7:$G$2010,$D93,'LAC 102_Wkst'!$L$7:$L$2010,"01",'LAC 102_Wkst'!$N$7:$N$2010,"P5")+SUMIFS('LAC 102_Wkst'!$Q$7:$Q$2010,'LAC 102_Wkst'!$D$7:$D$2010,$C$7,'LAC 102_Wkst'!$I$7:$I$2010,$C$9,'LAC 102_Wkst'!$E$7:$E$2010,$C93,'LAC 102_Wkst'!$G$7:$G$2010,$D93,'LAC 102_Wkst'!$L$7:$L$2010,"02",'LAC 102_Wkst'!$N$7:$N$2010,"P5")</f>
        <v>0</v>
      </c>
      <c r="K93" s="411">
        <f>SUMIFS('LAC 102_Wkst'!$AF$7:$AF$2010,'LAC 102_Wkst'!$D$7:$D$2010,$C$7,'LAC 102_Wkst'!$I$7:$I$2010,$C$9,'LAC 102_Wkst'!$E$7:$E$2010,$C93,'LAC 102_Wkst'!$G$7:$G$2010,$D93,'LAC 102_Wkst'!$L$7:$L$2010,"01",'LAC 102_Wkst'!$N$7:$N$2010,"P5")+SUMIFS('LAC 102_Wkst'!$AF$7:$AF$2010,'LAC 102_Wkst'!$D$7:$D$2010,$C$7,'LAC 102_Wkst'!$I$7:$I$2010,$C$9,'LAC 102_Wkst'!$E$7:$E$2010,$C93,'LAC 102_Wkst'!$G$7:$G$2010,$D93,'LAC 102_Wkst'!$L$7:$L$2010,"02",'LAC 102_Wkst'!$N$7:$N$2010,"P5")</f>
        <v>0</v>
      </c>
      <c r="L93" s="410">
        <f>SUMIFS('LAC 102_Wkst'!$Q$7:$Q$2010,'LAC 102_Wkst'!$D$7:$D$2010,$C$7,'LAC 102_Wkst'!$I$7:$I$2010,$C$9,'LAC 102_Wkst'!$E$7:$E$2010,$C93,'LAC 102_Wkst'!$G$7:$G$2010,$D93,'LAC 102_Wkst'!$L$7:$L$2010,"03",'LAC 102_Wkst'!$N$7:$N$2010,"P1")+SUMIFS('LAC 102_Wkst'!$Q$7:$Q$2010,'LAC 102_Wkst'!$D$7:$D$2010,$C$7,'LAC 102_Wkst'!$I$7:$I$2010,$C$9,'LAC 102_Wkst'!$E$7:$E$2010,$C93,'LAC 102_Wkst'!$G$7:$G$2010,$D93,'LAC 102_Wkst'!$L$7:$L$2010,"03",'LAC 102_Wkst'!$N$7:$N$2010,"P2")+SUMIFS('LAC 102_Wkst'!$Q$7:$Q$2010,'LAC 102_Wkst'!$D$7:$D$2010,$C$7,'LAC 102_Wkst'!$I$7:$I$2010,$C$9,'LAC 102_Wkst'!$E$7:$E$2010,$C93,'LAC 102_Wkst'!$G$7:$G$2010,$D93,'LAC 102_Wkst'!$L$7:$L$2010,"03",'LAC 102_Wkst'!$N$7:$N$2010,"P3")+SUMIFS('LAC 102_Wkst'!$Q$7:$Q$2010,'LAC 102_Wkst'!$D$7:$D$2010,$C$7,'LAC 102_Wkst'!$I$7:$I$2010,$C$9,'LAC 102_Wkst'!$E$7:$E$2010,$C93,'LAC 102_Wkst'!$G$7:$G$2010,$D93,'LAC 102_Wkst'!$L$7:$L$2010,"04",'LAC 102_Wkst'!$N$7:$N$2010,"P1")+SUMIFS('LAC 102_Wkst'!$Q$7:$Q$2010,'LAC 102_Wkst'!$D$7:$D$2010,$C$7,'LAC 102_Wkst'!$I$7:$I$2010,$C$9,'LAC 102_Wkst'!$E$7:$E$2010,$C93,'LAC 102_Wkst'!$G$7:$G$2010,$D93,'LAC 102_Wkst'!$L$7:$L$2010,"04",'LAC 102_Wkst'!$N$7:$N$2010,"P2")+SUMIFS('LAC 102_Wkst'!$Q$7:$Q$2010,'LAC 102_Wkst'!$D$7:$D$2010,$C$7,'LAC 102_Wkst'!$I$7:$I$2010,$C$9,'LAC 102_Wkst'!$E$7:$E$2010,$C93,'LAC 102_Wkst'!$G$7:$G$2010,$D93,'LAC 102_Wkst'!$L$7:$L$2010,"04",'LAC 102_Wkst'!$N$7:$N$2010,"P3")</f>
        <v>0</v>
      </c>
      <c r="M93" s="411">
        <f>SUMIFS('LAC 102_Wkst'!$AF$7:$AF$2010,'LAC 102_Wkst'!$D$7:$D$2010,$C$7,'LAC 102_Wkst'!$I$7:$I$2010,$C$9,'LAC 102_Wkst'!$E$7:$E$2010,$C93,'LAC 102_Wkst'!$G$7:$G$2010,$D93,'LAC 102_Wkst'!$L$7:$L$2010,"03",'LAC 102_Wkst'!$N$7:$N$2010,"P1")+SUMIFS('LAC 102_Wkst'!$AF$7:$AF$2010,'LAC 102_Wkst'!$D$7:$D$2010,$C$7,'LAC 102_Wkst'!$I$7:$I$2010,$C$9,'LAC 102_Wkst'!$E$7:$E$2010,$C93,'LAC 102_Wkst'!$G$7:$G$2010,$D93,'LAC 102_Wkst'!$L$7:$L$2010,"03",'LAC 102_Wkst'!$N$7:$N$2010,"P2")+SUMIFS('LAC 102_Wkst'!$AF$7:$AF$2010,'LAC 102_Wkst'!$D$7:$D$2010,$C$7,'LAC 102_Wkst'!$I$7:$I$2010,$C$9,'LAC 102_Wkst'!$E$7:$E$2010,$C93,'LAC 102_Wkst'!$G$7:$G$2010,$D93,'LAC 102_Wkst'!$L$7:$L$2010,"03",'LAC 102_Wkst'!$N$7:$N$2010,"P3")+SUMIFS('LAC 102_Wkst'!$AF$7:$AF$2010,'LAC 102_Wkst'!$D$7:$D$2010,$C$7,'LAC 102_Wkst'!$I$7:$I$2010,$C$9,'LAC 102_Wkst'!$E$7:$E$2010,$C93,'LAC 102_Wkst'!$G$7:$G$2010,$D93,'LAC 102_Wkst'!$L$7:$L$2010,"04",'LAC 102_Wkst'!$N$7:$N$2010,"P1")+SUMIFS('LAC 102_Wkst'!$AF$7:$AF$2010,'LAC 102_Wkst'!$D$7:$D$2010,$C$7,'LAC 102_Wkst'!$I$7:$I$2010,$C$9,'LAC 102_Wkst'!$E$7:$E$2010,$C93,'LAC 102_Wkst'!$G$7:$G$2010,$D93,'LAC 102_Wkst'!$L$7:$L$2010,"04",'LAC 102_Wkst'!$N$7:$N$2010,"P2")+SUMIFS('LAC 102_Wkst'!$AF$7:$AF$2010,'LAC 102_Wkst'!$D$7:$D$2010,$C$7,'LAC 102_Wkst'!$I$7:$I$2010,$C$9,'LAC 102_Wkst'!$E$7:$E$2010,$C93,'LAC 102_Wkst'!$G$7:$G$2010,$D93,'LAC 102_Wkst'!$L$7:$L$2010,"04",'LAC 102_Wkst'!$N$7:$N$2010,"P3")</f>
        <v>0</v>
      </c>
      <c r="N93" s="410">
        <f>SUMIFS('LAC 102_Wkst'!$Q$7:$Q$2010,'LAC 102_Wkst'!$D$7:$D$2010,$C$7,'LAC 102_Wkst'!$I$7:$I$2010,$C$9,'LAC 102_Wkst'!$E$7:$E$2010,$C93,'LAC 102_Wkst'!$G$7:$G$2010,$D93,'LAC 102_Wkst'!$L$7:$L$2010,"03",'LAC 102_Wkst'!$N$7:$N$2010,"P4")+SUMIFS('LAC 102_Wkst'!$Q$7:$Q$2010,'LAC 102_Wkst'!$D$7:$D$2010,$C$7,'LAC 102_Wkst'!$I$7:$I$2010,$C$9,'LAC 102_Wkst'!$E$7:$E$2010,$C93,'LAC 102_Wkst'!$G$7:$G$2010,$D93,'LAC 102_Wkst'!$L$7:$L$2010,"04",'LAC 102_Wkst'!$N$7:$N$2010,"P4")</f>
        <v>0</v>
      </c>
      <c r="O93" s="411">
        <f>SUMIFS('LAC 102_Wkst'!$AF$7:$AF$2010,'LAC 102_Wkst'!$D$7:$D$2010,$C$7,'LAC 102_Wkst'!$I$7:$I$2010,$C$9,'LAC 102_Wkst'!$E$7:$E$2010,$C93,'LAC 102_Wkst'!$G$7:$G$2010,$D93,'LAC 102_Wkst'!$L$7:$L$2010,"03",'LAC 102_Wkst'!$N$7:$N$2010,"P4")+SUMIFS('LAC 102_Wkst'!$AF$7:$AF$2010,'LAC 102_Wkst'!$D$7:$D$2010,$C$7,'LAC 102_Wkst'!$I$7:$I$2010,$C$9,'LAC 102_Wkst'!$E$7:$E$2010,$C93,'LAC 102_Wkst'!$G$7:$G$2010,$D93,'LAC 102_Wkst'!$L$7:$L$2010,"04",'LAC 102_Wkst'!$N$7:$N$2010,"P4")</f>
        <v>0</v>
      </c>
      <c r="P93" s="410">
        <f>SUMIFS('LAC 102_Wkst'!$Q$7:$Q$2010,'LAC 102_Wkst'!$D$7:$D$2010,$C$7,'LAC 102_Wkst'!$I$7:$I$2010,$C$9,'LAC 102_Wkst'!$E$7:$E$2010,$C93,'LAC 102_Wkst'!$G$7:$G$2010,$D93,'LAC 102_Wkst'!$L$7:$L$2010,"03",'LAC 102_Wkst'!$N$7:$N$2010,"P5")+SUMIFS('LAC 102_Wkst'!$Q$7:$Q$2010,'LAC 102_Wkst'!$D$7:$D$2010,$C$7,'LAC 102_Wkst'!$I$7:$I$2010,$C$9,'LAC 102_Wkst'!$E$7:$E$2010,$C93,'LAC 102_Wkst'!$G$7:$G$2010,$D93,'LAC 102_Wkst'!$L$7:$L$2010,"04",'LAC 102_Wkst'!$N$7:$N$2010,"P5")</f>
        <v>0</v>
      </c>
      <c r="Q93" s="411">
        <f>SUMIFS('LAC 102_Wkst'!$AF$7:$AF$2010,'LAC 102_Wkst'!$D$7:$D$2010,$C$7,'LAC 102_Wkst'!$I$7:$I$2010,$C$9,'LAC 102_Wkst'!$E$7:$E$2010,$C93,'LAC 102_Wkst'!$G$7:$G$2010,$D93,'LAC 102_Wkst'!$L$7:$L$2010,"03",'LAC 102_Wkst'!$N$7:$N$2010,"P5")+SUMIFS('LAC 102_Wkst'!$AF$7:$AF$2010,'LAC 102_Wkst'!$D$7:$D$2010,$C$7,'LAC 102_Wkst'!$I$7:$I$2010,$C$9,'LAC 102_Wkst'!$E$7:$E$2010,$C93,'LAC 102_Wkst'!$G$7:$G$2010,$D93,'LAC 102_Wkst'!$L$7:$L$2010,"04",'LAC 102_Wkst'!$N$7:$N$2010,"P5")</f>
        <v>0</v>
      </c>
      <c r="R93" s="412">
        <f>SUMIFS('LAC 102_Wkst'!$Q$7:$Q$2010,'LAC 102_Wkst'!$D$7:$D$2010,$C$7,'LAC 102_Wkst'!$I$7:$I$2010,$C$9,'LAC 102_Wkst'!$E$7:$E$2010,$C93,'LAC 102_Wkst'!$G$7:$G$2010,$D93,'LAC 102_Wkst'!$L$7:$L$2010,"05",'LAC 102_Wkst'!$N$7:$N$2010,"P1")+SUMIFS('LAC 102_Wkst'!$Q$7:$Q$2010,'LAC 102_Wkst'!$D$7:$D$2010,$C$7,'LAC 102_Wkst'!$I$7:$I$2010,$C$9,'LAC 102_Wkst'!$E$7:$E$2010,$C93,'LAC 102_Wkst'!$G$7:$G$2010,$D93,'LAC 102_Wkst'!$L$7:$L$2010,"06",'LAC 102_Wkst'!$N$7:$N$2010,"P1")</f>
        <v>0</v>
      </c>
      <c r="S93" s="411">
        <f>SUMIFS('LAC 102_Wkst'!$AF$7:$AF$2010,'LAC 102_Wkst'!$D$7:$D$2010,$C$7,'LAC 102_Wkst'!$I$7:$I$2010,$C$9,'LAC 102_Wkst'!$E$7:$E$2010,$C93,'LAC 102_Wkst'!$G$7:$G$2010,$D93,'LAC 102_Wkst'!$L$7:$L$2010,"05",'LAC 102_Wkst'!$N$7:$N$2010,"P1")+SUMIFS('LAC 102_Wkst'!$AF$7:$AF$2010,'LAC 102_Wkst'!$D$7:$D$2010,$C$7,'LAC 102_Wkst'!$I$7:$I$2010,$C$9,'LAC 102_Wkst'!$E$7:$E$2010,$C93,'LAC 102_Wkst'!$G$7:$G$2010,$D93,'LAC 102_Wkst'!$L$7:$L$2010,"06",'LAC 102_Wkst'!$N$7:$N$2010,"P1")</f>
        <v>0</v>
      </c>
      <c r="T93" s="410">
        <f>SUMIFS('LAC 102_Wkst'!$Q$7:$Q$2010,'LAC 102_Wkst'!$D$7:$D$2010,$C$7,'LAC 102_Wkst'!$I$7:$I$2010,$C$9,'LAC 102_Wkst'!$E$7:$E$2010,$C93,'LAC 102_Wkst'!$G$7:$G$2010,$D93,'LAC 102_Wkst'!$L$7:$L$2010,"05",'LAC 102_Wkst'!$N$7:$N$2010,"P2")+SUMIFS('LAC 102_Wkst'!$Q$7:$Q$2010,'LAC 102_Wkst'!$D$7:$D$2010,$C$7,'LAC 102_Wkst'!$I$7:$I$2010,$C$9,'LAC 102_Wkst'!$E$7:$E$2010,$C93,'LAC 102_Wkst'!$G$7:$G$2010,$D93,'LAC 102_Wkst'!$L$7:$L$2010,"06",'LAC 102_Wkst'!$N$7:$N$2010,"P2")+SUMIFS('LAC 102_Wkst'!$Q$7:$Q$2010,'LAC 102_Wkst'!$D$7:$D$2010,$C$7,'LAC 102_Wkst'!$I$7:$I$2010,$C$9,'LAC 102_Wkst'!$E$7:$E$2010,$C93,'LAC 102_Wkst'!$G$7:$G$2010,$D93,'LAC 102_Wkst'!$L$7:$L$2010,"05",'LAC 102_Wkst'!$N$7:$N$2010,"P3")+SUMIFS('LAC 102_Wkst'!$Q$7:$Q$2010,'LAC 102_Wkst'!$D$7:$D$2010,$C$7,'LAC 102_Wkst'!$I$7:$I$2010,$C$9,'LAC 102_Wkst'!$E$7:$E$2010,$C93,'LAC 102_Wkst'!$G$7:$G$2010,$D93,'LAC 102_Wkst'!$L$7:$L$2010,"06",'LAC 102_Wkst'!$N$7:$N$2010,"P3")</f>
        <v>0</v>
      </c>
      <c r="U93" s="411">
        <f>SUMIFS('LAC 102_Wkst'!$AF$7:$AF$2010,'LAC 102_Wkst'!$D$7:$D$2010,$C$7,'LAC 102_Wkst'!$I$7:$I$2010,$C$9,'LAC 102_Wkst'!$E$7:$E$2010,$C93,'LAC 102_Wkst'!$G$7:$G$2010,$D93,'LAC 102_Wkst'!$L$7:$L$2010,"05",'LAC 102_Wkst'!$N$7:$N$2010,"P2")+SUMIFS('LAC 102_Wkst'!$AF$7:$AF$2010,'LAC 102_Wkst'!$D$7:$D$2010,$C$7,'LAC 102_Wkst'!$I$7:$I$2010,$C$9,'LAC 102_Wkst'!$E$7:$E$2010,$C93,'LAC 102_Wkst'!$G$7:$G$2010,$D93,'LAC 102_Wkst'!$L$7:$L$2010,"06",'LAC 102_Wkst'!$N$7:$N$2010,"P2")+SUMIFS('LAC 102_Wkst'!$AF$7:$AF$2010,'LAC 102_Wkst'!$D$7:$D$2010,$C$7,'LAC 102_Wkst'!$I$7:$I$2010,$C$9,'LAC 102_Wkst'!$E$7:$E$2010,$C93,'LAC 102_Wkst'!$G$7:$G$2010,$D93,'LAC 102_Wkst'!$L$7:$L$2010,"05",'LAC 102_Wkst'!$N$7:$N$2010,"P3")+SUMIFS('LAC 102_Wkst'!$AF$7:$AF$2010,'LAC 102_Wkst'!$D$7:$D$2010,$C$7,'LAC 102_Wkst'!$I$7:$I$2010,$C$9,'LAC 102_Wkst'!$E$7:$E$2010,$C93,'LAC 102_Wkst'!$G$7:$G$2010,$D93,'LAC 102_Wkst'!$L$7:$L$2010,"06",'LAC 102_Wkst'!$N$7:$N$2010,"P3")</f>
        <v>0</v>
      </c>
      <c r="V93" s="410">
        <f>SUMIFS('LAC 102_Wkst'!$Q$7:$Q$2010,'LAC 102_Wkst'!$D$7:$D$2010,$C$7,'LAC 102_Wkst'!$I$7:$I$2010,$C$9,'LAC 102_Wkst'!$E$7:$E$2010,$C93,'LAC 102_Wkst'!$G$7:$G$2010,$D93,'LAC 102_Wkst'!$L$7:$L$2010,"05",'LAC 102_Wkst'!$N$7:$N$2010,"P4")+SUMIFS('LAC 102_Wkst'!$Q$7:$Q$2010,'LAC 102_Wkst'!$D$7:$D$2010,$C$7,'LAC 102_Wkst'!$I$7:$I$2010,$C$9,'LAC 102_Wkst'!$E$7:$E$2010,$C93,'LAC 102_Wkst'!$G$7:$G$2010,$D93,'LAC 102_Wkst'!$L$7:$L$2010,"06",'LAC 102_Wkst'!$N$7:$N$2010,"P4")</f>
        <v>0</v>
      </c>
      <c r="W93" s="411">
        <f>SUMIFS('LAC 102_Wkst'!$AF$7:$AF$2010,'LAC 102_Wkst'!$D$7:$D$2010,$C$7,'LAC 102_Wkst'!$I$7:$I$2010,$C$9,'LAC 102_Wkst'!$E$7:$E$2010,$C93,'LAC 102_Wkst'!$G$7:$G$2010,$D93,'LAC 102_Wkst'!$L$7:$L$2010,"05",'LAC 102_Wkst'!$N$7:$N$2010,"P4")+SUMIFS('LAC 102_Wkst'!$AF$7:$AF$2010,'LAC 102_Wkst'!$D$7:$D$2010,$C$7,'LAC 102_Wkst'!$I$7:$I$2010,$C$9,'LAC 102_Wkst'!$E$7:$E$2010,$C93,'LAC 102_Wkst'!$G$7:$G$2010,$D93,'LAC 102_Wkst'!$L$7:$L$2010,"06",'LAC 102_Wkst'!$N$7:$N$2010,"P4")</f>
        <v>0</v>
      </c>
      <c r="X93" s="410">
        <f>SUMIFS('LAC 102_Wkst'!$Q$7:$Q$2010,'LAC 102_Wkst'!$D$7:$D$2010,$C$7,'LAC 102_Wkst'!$I$7:$I$2010,$C$9,'LAC 102_Wkst'!$E$7:$E$2010,$C93,'LAC 102_Wkst'!$G$7:$G$2010,$D93,'LAC 102_Wkst'!$L$7:$L$2010,"05",'LAC 102_Wkst'!$N$7:$N$2010,"P5")+SUMIFS('LAC 102_Wkst'!$Q$7:$Q$2010,'LAC 102_Wkst'!$D$7:$D$2010,$C$7,'LAC 102_Wkst'!$I$7:$I$2010,$C$9,'LAC 102_Wkst'!$E$7:$E$2010,$C93,'LAC 102_Wkst'!$G$7:$G$2010,$D93,'LAC 102_Wkst'!$L$7:$L$2010,"06",'LAC 102_Wkst'!$N$7:$N$2010,"P5")</f>
        <v>0</v>
      </c>
      <c r="Y93" s="411">
        <f>SUMIFS('LAC 102_Wkst'!$AF$7:$AF$2010,'LAC 102_Wkst'!$D$7:$D$2010,$C$7,'LAC 102_Wkst'!$I$7:$I$2010,$C$9,'LAC 102_Wkst'!$E$7:$E$2010,$C93,'LAC 102_Wkst'!$G$7:$G$2010,$D93,'LAC 102_Wkst'!$L$7:$L$2010,"05",'LAC 102_Wkst'!$N$7:$N$2010,"P5")+SUMIFS('LAC 102_Wkst'!$AF$7:$AF$2010,'LAC 102_Wkst'!$D$7:$D$2010,$C$7,'LAC 102_Wkst'!$I$7:$I$2010,$C$9,'LAC 102_Wkst'!$E$7:$E$2010,$C93,'LAC 102_Wkst'!$G$7:$G$2010,$D93,'LAC 102_Wkst'!$L$7:$L$2010,"06",'LAC 102_Wkst'!$N$7:$N$2010,"P5")</f>
        <v>0</v>
      </c>
      <c r="Z93" s="410">
        <f>SUMIFS('LAC 102_Wkst'!$Q$7:$Q$2010,'LAC 102_Wkst'!$D$7:$D$2010,$C$7,'LAC 102_Wkst'!$I$7:$I$2010,$C$9,'LAC 102_Wkst'!$E$7:$E$2010,$C93,'LAC 102_Wkst'!$G$7:$G$2010,$D93,'LAC 102_Wkst'!$L$7:$L$2010,"07",'LAC 102_Wkst'!$N$7:$N$2010,"P1")+SUMIFS('LAC 102_Wkst'!$Q$7:$Q$2010,'LAC 102_Wkst'!$D$7:$D$2010,$C$7,'LAC 102_Wkst'!$I$7:$I$2010,$C$9,'LAC 102_Wkst'!$E$7:$E$2010,$C93,'LAC 102_Wkst'!$G$7:$G$2010,$D93,'LAC 102_Wkst'!$L$7:$L$2010,"07",'LAC 102_Wkst'!$N$7:$N$2010,"P2")+SUMIFS('LAC 102_Wkst'!$Q$7:$Q$2010,'LAC 102_Wkst'!$D$7:$D$2010,$C$7,'LAC 102_Wkst'!$I$7:$I$2010,$C$9,'LAC 102_Wkst'!$E$7:$E$2010,$C93,'LAC 102_Wkst'!$G$7:$G$2010,$D93,'LAC 102_Wkst'!$L$7:$L$2010,"07",'LAC 102_Wkst'!$N$7:$N$2010,"P3")</f>
        <v>0</v>
      </c>
      <c r="AA93" s="411">
        <f>SUMIFS('LAC 102_Wkst'!$AF$7:$AF$2010,'LAC 102_Wkst'!$D$7:$D$2010,$C$7,'LAC 102_Wkst'!$I$7:$I$2010,$C$9,'LAC 102_Wkst'!$E$7:$E$2010,$C93,'LAC 102_Wkst'!$G$7:$G$2010,$D93,'LAC 102_Wkst'!$L$7:$L$2010,"07",'LAC 102_Wkst'!$N$7:$N$2010,"P1")+SUMIFS('LAC 102_Wkst'!$AF$7:$AF$2010,'LAC 102_Wkst'!$D$7:$D$2010,$C$7,'LAC 102_Wkst'!$I$7:$I$2010,$C$9,'LAC 102_Wkst'!$E$7:$E$2010,$C93,'LAC 102_Wkst'!$G$7:$G$2010,$D93,'LAC 102_Wkst'!$L$7:$L$2010,"07",'LAC 102_Wkst'!$N$7:$N$2010,"P2")+SUMIFS('LAC 102_Wkst'!$AF$7:$AF$2010,'LAC 102_Wkst'!$D$7:$D$2010,$C$7,'LAC 102_Wkst'!$I$7:$I$2010,$C$9,'LAC 102_Wkst'!$E$7:$E$2010,$C93,'LAC 102_Wkst'!$G$7:$G$2010,$D93,'LAC 102_Wkst'!$L$7:$L$2010,"07",'LAC 102_Wkst'!$N$7:$N$2010,"P3")</f>
        <v>0</v>
      </c>
      <c r="AB93" s="410">
        <f>SUMIFS('LAC 102_Wkst'!$Q$7:$Q$2010,'LAC 102_Wkst'!$D$7:$D$2010,$C$7,'LAC 102_Wkst'!$I$7:$I$2010,$C$9,'LAC 102_Wkst'!$E$7:$E$2010,$C93,'LAC 102_Wkst'!$G$7:$G$2010,$D93,'LAC 102_Wkst'!$L$7:$L$2010,"07",'LAC 102_Wkst'!$N$7:$N$2010,"P4")</f>
        <v>0</v>
      </c>
      <c r="AC93" s="411">
        <f>SUMIFS('LAC 102_Wkst'!$AF$7:$AF$2010,'LAC 102_Wkst'!$D$7:$D$2010,$C$7,'LAC 102_Wkst'!$I$7:$I$2010,$C$9,'LAC 102_Wkst'!$E$7:$E$2010,$C93,'LAC 102_Wkst'!$G$7:$G$2010,$D93,'LAC 102_Wkst'!$L$7:$L$2010,"07",'LAC 102_Wkst'!$N$7:$N$2010,"P4")</f>
        <v>0</v>
      </c>
      <c r="AD93" s="410">
        <f>SUMIFS('LAC 102_Wkst'!$Q$7:$Q$2010,'LAC 102_Wkst'!$D$7:$D$2010,$C$7,'LAC 102_Wkst'!$I$7:$I$2010,$C$9,'LAC 102_Wkst'!$E$7:$E$2010,$C93,'LAC 102_Wkst'!$G$7:$G$2010,$D93,'LAC 102_Wkst'!$L$7:$L$2010,"07",'LAC 102_Wkst'!$N$7:$N$2010,"P5")</f>
        <v>0</v>
      </c>
      <c r="AE93" s="411">
        <f>SUMIFS('LAC 102_Wkst'!$AF$7:$AF$2010,'LAC 102_Wkst'!$D$7:$D$2010,$C$7,'LAC 102_Wkst'!$I$7:$I$2010,$C$9,'LAC 102_Wkst'!$E$7:$E$2010,$C93,'LAC 102_Wkst'!$G$7:$G$2010,$D93,'LAC 102_Wkst'!$L$7:$L$2010,"07",'LAC 102_Wkst'!$N$7:$N$2010,"P5")</f>
        <v>0</v>
      </c>
      <c r="AF93" s="410">
        <f>SUMIFS('LAC 102_Wkst'!$Q$7:$Q$2010,'LAC 102_Wkst'!$D$7:$D$2010,$C$7,'LAC 102_Wkst'!$I$7:$I$2010,$C$9,'LAC 102_Wkst'!$E$7:$E$2010,$C93,'LAC 102_Wkst'!$G$7:$G$2010,$D93,'LAC 102_Wkst'!$L$7:$L$2010,"08",'LAC 102_Wkst'!$N$7:$N$2010,"P1")+SUMIFS('LAC 102_Wkst'!$Q$7:$Q$2010,'LAC 102_Wkst'!$D$7:$D$2010,$C$7,'LAC 102_Wkst'!$I$7:$I$2010,$C$9,'LAC 102_Wkst'!$E$7:$E$2010,$C93,'LAC 102_Wkst'!$G$7:$G$2010,$D93,'LAC 102_Wkst'!$L$7:$L$2010,"08",'LAC 102_Wkst'!$N$7:$N$2010,"P2")+SUMIFS('LAC 102_Wkst'!$Q$7:$Q$2010,'LAC 102_Wkst'!$D$7:$D$2010,$C$7,'LAC 102_Wkst'!$I$7:$I$2010,$C$9,'LAC 102_Wkst'!$E$7:$E$2010,$C93,'LAC 102_Wkst'!$G$7:$G$2010,$D93,'LAC 102_Wkst'!$L$7:$L$2010,"08",'LAC 102_Wkst'!$N$7:$N$2010,"P3")</f>
        <v>0</v>
      </c>
      <c r="AG93" s="411">
        <f>SUMIFS('LAC 102_Wkst'!$AF$7:$AF$2010,'LAC 102_Wkst'!$D$7:$D$2010,$C$7,'LAC 102_Wkst'!$I$7:$I$2010,$C$9,'LAC 102_Wkst'!$E$7:$E$2010,$C93,'LAC 102_Wkst'!$G$7:$G$2010,$D93,'LAC 102_Wkst'!$L$7:$L$2010,"08",'LAC 102_Wkst'!$N$7:$N$2010,"P1")+SUMIFS('LAC 102_Wkst'!$AF$7:$AF$2010,'LAC 102_Wkst'!$D$7:$D$2010,$C$7,'LAC 102_Wkst'!$I$7:$I$2010,$C$9,'LAC 102_Wkst'!$E$7:$E$2010,$C93,'LAC 102_Wkst'!$G$7:$G$2010,$D93,'LAC 102_Wkst'!$L$7:$L$2010,"08",'LAC 102_Wkst'!$N$7:$N$2010,"P2")+SUMIFS('LAC 102_Wkst'!$AF$7:$AF$2010,'LAC 102_Wkst'!$D$7:$D$2010,$C$7,'LAC 102_Wkst'!$I$7:$I$2010,$C$9,'LAC 102_Wkst'!$E$7:$E$2010,$C93,'LAC 102_Wkst'!$G$7:$G$2010,$D93,'LAC 102_Wkst'!$L$7:$L$2010,"08",'LAC 102_Wkst'!$N$7:$N$2010,"P3")</f>
        <v>0</v>
      </c>
      <c r="AH93" s="410">
        <f>SUMIFS('LAC 102_Wkst'!$Q$7:$Q$2010,'LAC 102_Wkst'!$D$7:$D$2010,$C$7,'LAC 102_Wkst'!$I$7:$I$2010,$C$9,'LAC 102_Wkst'!$E$7:$E$2010,$C93,'LAC 102_Wkst'!$G$7:$G$2010,$D93,'LAC 102_Wkst'!$L$7:$L$2010,"08",'LAC 102_Wkst'!$N$7:$N$2010,"P4")</f>
        <v>0</v>
      </c>
      <c r="AI93" s="411">
        <f>SUMIFS('LAC 102_Wkst'!$AF$7:$AF$2010,'LAC 102_Wkst'!$D$7:$D$2010,$C$7,'LAC 102_Wkst'!$I$7:$I$2010,$C$9,'LAC 102_Wkst'!$E$7:$E$2010,$C93,'LAC 102_Wkst'!$G$7:$G$2010,$D93,'LAC 102_Wkst'!$L$7:$L$2010,"08",'LAC 102_Wkst'!$N$7:$N$2010,"P4")</f>
        <v>0</v>
      </c>
      <c r="AJ93" s="410">
        <f>SUMIFS('LAC 102_Wkst'!$Q$7:$Q$2010,'LAC 102_Wkst'!$D$7:$D$2010,$C$7,'LAC 102_Wkst'!$I$7:$I$2010,$C$9,'LAC 102_Wkst'!$E$7:$E$2010,$C93,'LAC 102_Wkst'!$G$7:$G$2010,$D93,'LAC 102_Wkst'!$L$7:$L$2010,"08",'LAC 102_Wkst'!$N$7:$N$2010,"P5")</f>
        <v>0</v>
      </c>
      <c r="AK93" s="411">
        <f>SUMIFS('LAC 102_Wkst'!$AF$7:$AF$2010,'LAC 102_Wkst'!$D$7:$D$2010,$C$7,'LAC 102_Wkst'!$I$7:$I$2010,$C$9,'LAC 102_Wkst'!$E$7:$E$2010,$C93,'LAC 102_Wkst'!$G$7:$G$2010,$D93,'LAC 102_Wkst'!$L$7:$L$2010,"08",'LAC 102_Wkst'!$N$7:$N$2010,"P5")</f>
        <v>0</v>
      </c>
      <c r="AL93" s="410">
        <f>SUMIFS('LAC 102_Wkst'!$Q$7:$Q$2010,'LAC 102_Wkst'!$D$7:$D$2010,$C$7,'LAC 102_Wkst'!$I$7:$I$2010,$C$9,'LAC 102_Wkst'!$E$7:$E$2010,$C93,'LAC 102_Wkst'!$G$7:$G$2010,$D93,'LAC 102_Wkst'!$L$7:$L$2010,"09",'LAC 102_Wkst'!$N$7:$N$2010,"P1")+SUMIFS('LAC 102_Wkst'!$Q$7:$Q$2010,'LAC 102_Wkst'!$D$7:$D$2010,$C$7,'LAC 102_Wkst'!$I$7:$I$2010,$C$9,'LAC 102_Wkst'!$E$7:$E$2010,$C93,'LAC 102_Wkst'!$G$7:$G$2010,$D93,'LAC 102_Wkst'!$L$7:$L$2010,"09",'LAC 102_Wkst'!$N$7:$N$2010,"P2")+SUMIFS('LAC 102_Wkst'!$Q$7:$Q$2010,'LAC 102_Wkst'!$D$7:$D$2010,$C$7,'LAC 102_Wkst'!$I$7:$I$2010,$C$9,'LAC 102_Wkst'!$E$7:$E$2010,$C93,'LAC 102_Wkst'!$G$7:$G$2010,$D93,'LAC 102_Wkst'!$L$7:$L$2010,"09",'LAC 102_Wkst'!$N$7:$N$2010,"P3")+SUMIFS('LAC 102_Wkst'!$Q$7:$Q$2010,'LAC 102_Wkst'!$D$7:$D$2010,$C$7,'LAC 102_Wkst'!$I$7:$I$2010,$C$9,'LAC 102_Wkst'!$E$7:$E$2010,$C93,'LAC 102_Wkst'!$G$7:$G$2010,$D93,'LAC 102_Wkst'!$L$7:$L$2010,"09",'LAC 102_Wkst'!$N$7:$N$2010,"P4")</f>
        <v>0</v>
      </c>
      <c r="AM93" s="411">
        <f>SUMIFS('LAC 102_Wkst'!$AF$7:$AF$2010,'LAC 102_Wkst'!$D$7:$D$2010,$C$7,'LAC 102_Wkst'!$I$7:$I$2010,$C$9,'LAC 102_Wkst'!$E$7:$E$2010,$C93,'LAC 102_Wkst'!$G$7:$G$2010,$D93,'LAC 102_Wkst'!$L$7:$L$2010,"09",'LAC 102_Wkst'!$N$7:$N$2010,"P1")+SUMIFS('LAC 102_Wkst'!$AF$7:$AF$2010,'LAC 102_Wkst'!$D$7:$D$2010,$C$7,'LAC 102_Wkst'!$I$7:$I$2010,$C$9,'LAC 102_Wkst'!$E$7:$E$2010,$C93,'LAC 102_Wkst'!$G$7:$G$2010,$D93,'LAC 102_Wkst'!$L$7:$L$2010,"09",'LAC 102_Wkst'!$N$7:$N$2010,"P2")+SUMIFS('LAC 102_Wkst'!$AF$7:$AF$2010,'LAC 102_Wkst'!$D$7:$D$2010,$C$7,'LAC 102_Wkst'!$I$7:$I$2010,$C$9,'LAC 102_Wkst'!$E$7:$E$2010,$C93,'LAC 102_Wkst'!$G$7:$G$2010,$D93,'LAC 102_Wkst'!$L$7:$L$2010,"09",'LAC 102_Wkst'!$N$7:$N$2010,"P3")+SUMIFS('LAC 102_Wkst'!$AF$7:$AF$2010,'LAC 102_Wkst'!$D$7:$D$2010,$C$7,'LAC 102_Wkst'!$I$7:$I$2010,$C$9,'LAC 102_Wkst'!$E$7:$E$2010,$C93,'LAC 102_Wkst'!$G$7:$G$2010,$D93,'LAC 102_Wkst'!$L$7:$L$2010,"09",'LAC 102_Wkst'!$N$7:$N$2010,"P4")</f>
        <v>0</v>
      </c>
      <c r="AN93" s="410">
        <f>SUMIFS('LAC 102_Wkst'!$Q$7:$Q$2010,'LAC 102_Wkst'!$D$7:$D$2010,$C$7,'LAC 102_Wkst'!$I$7:$I$2010,$C$9,'LAC 102_Wkst'!$E$7:$E$2010,$C93,'LAC 102_Wkst'!$G$7:$G$2010,$D93,'LAC 102_Wkst'!$L$7:$L$2010,"09",'LAC 102_Wkst'!$N$7:$N$2010,"P5")</f>
        <v>0</v>
      </c>
      <c r="AO93" s="411">
        <f>SUMIFS('LAC 102_Wkst'!$AF$7:$AF$2010,'LAC 102_Wkst'!$D$7:$D$2010,$C$7,'LAC 102_Wkst'!$I$7:$I$2010,$C$9,'LAC 102_Wkst'!$E$7:$E$2010,$C93,'LAC 102_Wkst'!$G$7:$G$2010,$D93,'LAC 102_Wkst'!$L$7:$L$2010,"09",'LAC 102_Wkst'!$N$7:$N$2010,"P5")</f>
        <v>0</v>
      </c>
      <c r="AP93" s="410">
        <f>SUMIFS('LAC 102_Wkst'!$Q$7:$Q$2010,'LAC 102_Wkst'!$D$7:$D$2010,$C$7,'LAC 102_Wkst'!$I$7:$I$2010,$C$9,'LAC 102_Wkst'!$E$7:$E$2010,$C93,'LAC 102_Wkst'!$G$7:$G$2010,$D93,'LAC 102_Wkst'!$L$7:$L$2010,"10",'LAC 102_Wkst'!$N$7:$N$2010,"P1")+SUMIFS('LAC 102_Wkst'!$Q$7:$Q$2010,'LAC 102_Wkst'!$D$7:$D$2010,$C$7,'LAC 102_Wkst'!$I$7:$I$2010,$C$9,'LAC 102_Wkst'!$E$7:$E$2010,$C93,'LAC 102_Wkst'!$G$7:$G$2010,$D93,'LAC 102_Wkst'!$L$7:$L$2010,"10",'LAC 102_Wkst'!$N$7:$N$2010,"P2")+SUMIFS('LAC 102_Wkst'!$Q$7:$Q$2010,'LAC 102_Wkst'!$D$7:$D$2010,$C$7,'LAC 102_Wkst'!$I$7:$I$2010,$C$9,'LAC 102_Wkst'!$E$7:$E$2010,$C93,'LAC 102_Wkst'!$G$7:$G$2010,$D93,'LAC 102_Wkst'!$L$7:$L$2010,"10",'LAC 102_Wkst'!$N$7:$N$2010,"P3")+SUMIFS('LAC 102_Wkst'!$Q$7:$Q$2010,'LAC 102_Wkst'!$D$7:$D$2010,$C$7,'LAC 102_Wkst'!$I$7:$I$2010,$C$9,'LAC 102_Wkst'!$E$7:$E$2010,$C93,'LAC 102_Wkst'!$G$7:$G$2010,$D93,'LAC 102_Wkst'!$L$7:$L$2010,"10",'LAC 102_Wkst'!$N$7:$N$2010,"P4")</f>
        <v>0</v>
      </c>
      <c r="AQ93" s="411">
        <f>SUMIFS('LAC 102_Wkst'!$AF$7:$AF$2010,'LAC 102_Wkst'!$D$7:$D$2010,$C$7,'LAC 102_Wkst'!$I$7:$I$2010,$C$9,'LAC 102_Wkst'!$E$7:$E$2010,$C93,'LAC 102_Wkst'!$G$7:$G$2010,$D93,'LAC 102_Wkst'!$L$7:$L$2010,"10",'LAC 102_Wkst'!$N$7:$N$2010,"P1")+SUMIFS('LAC 102_Wkst'!$AF$7:$AF$2010,'LAC 102_Wkst'!$D$7:$D$2010,$C$7,'LAC 102_Wkst'!$I$7:$I$2010,$C$9,'LAC 102_Wkst'!$E$7:$E$2010,$C93,'LAC 102_Wkst'!$G$7:$G$2010,$D93,'LAC 102_Wkst'!$L$7:$L$2010,"10",'LAC 102_Wkst'!$N$7:$N$2010,"P2")+SUMIFS('LAC 102_Wkst'!$AF$7:$AF$2010,'LAC 102_Wkst'!$D$7:$D$2010,$C$7,'LAC 102_Wkst'!$I$7:$I$2010,$C$9,'LAC 102_Wkst'!$E$7:$E$2010,$C93,'LAC 102_Wkst'!$G$7:$G$2010,$D93,'LAC 102_Wkst'!$L$7:$L$2010,"10",'LAC 102_Wkst'!$N$7:$N$2010,"P3")+SUMIFS('LAC 102_Wkst'!$AF$7:$AF$2010,'LAC 102_Wkst'!$D$7:$D$2010,$C$7,'LAC 102_Wkst'!$I$7:$I$2010,$C$9,'LAC 102_Wkst'!$E$7:$E$2010,$C93,'LAC 102_Wkst'!$G$7:$G$2010,$D93,'LAC 102_Wkst'!$L$7:$L$2010,"10",'LAC 102_Wkst'!$N$7:$N$2010,"P4")</f>
        <v>0</v>
      </c>
      <c r="AR93" s="410">
        <f>SUMIFS('LAC 102_Wkst'!$Q$7:$Q$2010,'LAC 102_Wkst'!$D$7:$D$2010,$C$7,'LAC 102_Wkst'!$I$7:$I$2010,$C$9,'LAC 102_Wkst'!$E$7:$E$2010,$C93,'LAC 102_Wkst'!$G$7:$G$2010,$D93,'LAC 102_Wkst'!$L$7:$L$2010,"10",'LAC 102_Wkst'!$N$7:$N$2010,"P5")</f>
        <v>0</v>
      </c>
      <c r="AS93" s="411">
        <f>SUMIFS('LAC 102_Wkst'!$AF$7:$AF$2010,'LAC 102_Wkst'!$D$7:$D$2010,$C$7,'LAC 102_Wkst'!$I$7:$I$2010,$C$9,'LAC 102_Wkst'!$E$7:$E$2010,$C93,'LAC 102_Wkst'!$G$7:$G$2010,$D93,'LAC 102_Wkst'!$L$7:$L$2010,"10",'LAC 102_Wkst'!$N$7:$N$2010,"P5")</f>
        <v>0</v>
      </c>
      <c r="AT93" s="410">
        <f>SUMIFS('LAC 102_Wkst'!$Q$7:$Q$2010,'LAC 102_Wkst'!$D$7:$D$2010,$C$7,'LAC 102_Wkst'!$I$7:$I$2010,$C$9,'LAC 102_Wkst'!$E$7:$E$2010,$C93,'LAC 102_Wkst'!$G$7:$G$2010,$D93,'LAC 102_Wkst'!$L$7:$L$2010,"11",'LAC 102_Wkst'!$N$7:$N$2010,"P1")+SUMIFS('LAC 102_Wkst'!$Q$7:$Q$2010,'LAC 102_Wkst'!$D$7:$D$2010,$C$7,'LAC 102_Wkst'!$I$7:$I$2010,$C$9,'LAC 102_Wkst'!$E$7:$E$2010,$C93,'LAC 102_Wkst'!$G$7:$G$2010,$D93,'LAC 102_Wkst'!$L$7:$L$2010,"12",'LAC 102_Wkst'!$N$7:$N$2010,"P1")</f>
        <v>0</v>
      </c>
      <c r="AU93" s="411">
        <f>SUMIFS('LAC 102_Wkst'!$Q$7:$Q$2010,'LAC 102_Wkst'!$D$7:$D$2010,$C$7,'LAC 102_Wkst'!$I$7:$I$2010,$C$9,'LAC 102_Wkst'!$E$7:$E$2010,$C93,'LAC 102_Wkst'!$G$7:$G$2010,$D93,'LAC 102_Wkst'!$L$7:$L$2010,"13",'LAC 102_Wkst'!$N$7:$N$2010,"P5")</f>
        <v>0</v>
      </c>
      <c r="AV93" s="410">
        <f>SUMIFS('LAC 102_Wkst'!$Q$7:$Q$2010,'LAC 102_Wkst'!$D$7:$D$2010,$C$7,'LAC 102_Wkst'!$I$7:$I$2010,$C$9,'LAC 102_Wkst'!$E$7:$E$2010,$C93,'LAC 102_Wkst'!$G$7:$G$2010,$D93,'LAC 102_Wkst'!$L$7:$L$2010,"11",'LAC 102_Wkst'!$N$7:$N$2010,"P2")+SUMIFS('LAC 102_Wkst'!$Q$7:$Q$2010,'LAC 102_Wkst'!$D$7:$D$2010,$C$7,'LAC 102_Wkst'!$I$7:$I$2010,$C$9,'LAC 102_Wkst'!$E$7:$E$2010,$C93,'LAC 102_Wkst'!$G$7:$G$2010,$D93,'LAC 102_Wkst'!$L$7:$L$2010,"12",'LAC 102_Wkst'!$N$7:$N$2010,"P2")+SUMIFS('LAC 102_Wkst'!$Q$7:$Q$2010,'LAC 102_Wkst'!$D$7:$D$2010,$C$7,'LAC 102_Wkst'!$I$7:$I$2010,$C$9,'LAC 102_Wkst'!$E$7:$E$2010,$C93,'LAC 102_Wkst'!$G$7:$G$2010,$D93,'LAC 102_Wkst'!$L$7:$L$2010,"11",'LAC 102_Wkst'!$N$7:$N$2010,"P3")+SUMIFS('LAC 102_Wkst'!$Q$7:$Q$2010,'LAC 102_Wkst'!$D$7:$D$2010,$C$7,'LAC 102_Wkst'!$I$7:$I$2010,$C$9,'LAC 102_Wkst'!$E$7:$E$2010,$C93,'LAC 102_Wkst'!$G$7:$G$2010,$D93,'LAC 102_Wkst'!$L$7:$L$2010,"12",'LAC 102_Wkst'!$N$7:$N$2010,"P3")</f>
        <v>0</v>
      </c>
      <c r="AW93" s="411">
        <f>SUMIFS('LAC 102_Wkst'!$AF$7:$AF$2010,'LAC 102_Wkst'!$D$7:$D$2010,$C$7,'LAC 102_Wkst'!$I$7:$I$2010,$C$9,'LAC 102_Wkst'!$E$7:$E$2010,$C93,'LAC 102_Wkst'!$G$7:$G$2010,$D93,'LAC 102_Wkst'!$L$7:$L$2010,"11",'LAC 102_Wkst'!$N$7:$N$2010,"P2")+SUMIFS('LAC 102_Wkst'!$AF$7:$AF$2010,'LAC 102_Wkst'!$D$7:$D$2010,$C$7,'LAC 102_Wkst'!$I$7:$I$2010,$C$9,'LAC 102_Wkst'!$E$7:$E$2010,$C93,'LAC 102_Wkst'!$G$7:$G$2010,$D93,'LAC 102_Wkst'!$L$7:$L$2010,"12",'LAC 102_Wkst'!$N$7:$N$2010,"P2")+SUMIFS('LAC 102_Wkst'!$AF$7:$AF$2010,'LAC 102_Wkst'!$D$7:$D$2010,$C$7,'LAC 102_Wkst'!$I$7:$I$2010,$C$9,'LAC 102_Wkst'!$E$7:$E$2010,$C93,'LAC 102_Wkst'!$G$7:$G$2010,$D93,'LAC 102_Wkst'!$L$7:$L$2010,"11",'LAC 102_Wkst'!$N$7:$N$2010,"P3")+SUMIFS('LAC 102_Wkst'!$AF$7:$AF$2010,'LAC 102_Wkst'!$D$7:$D$2010,$C$7,'LAC 102_Wkst'!$I$7:$I$2010,$C$9,'LAC 102_Wkst'!$E$7:$E$2010,$C93,'LAC 102_Wkst'!$G$7:$G$2010,$D93,'LAC 102_Wkst'!$L$7:$L$2010,"12",'LAC 102_Wkst'!$N$7:$N$2010,"P3")</f>
        <v>0</v>
      </c>
      <c r="AX93" s="410">
        <f>SUMIFS('LAC 102_Wkst'!$Q$7:$Q$2010,'LAC 102_Wkst'!$D$7:$D$2010,$C$7,'LAC 102_Wkst'!$I$7:$I$2010,$C$9,'LAC 102_Wkst'!$E$7:$E$2010,$C93,'LAC 102_Wkst'!$G$7:$G$2010,$D93,'LAC 102_Wkst'!$L$7:$L$2010,"11",'LAC 102_Wkst'!$N$7:$N$2010,"P4")+SUMIFS('LAC 102_Wkst'!$Q$7:$Q$2010,'LAC 102_Wkst'!$D$7:$D$2010,$C$7,'LAC 102_Wkst'!$I$7:$I$2010,$C$9,'LAC 102_Wkst'!$E$7:$E$2010,$C93,'LAC 102_Wkst'!$G$7:$G$2010,$D93,'LAC 102_Wkst'!$L$7:$L$2010,"12",'LAC 102_Wkst'!$N$7:$N$2010,"P4")</f>
        <v>0</v>
      </c>
      <c r="AY93" s="411">
        <f>SUMIFS('LAC 102_Wkst'!$AF$7:$AF$2010,'LAC 102_Wkst'!$D$7:$D$2010,$C$7,'LAC 102_Wkst'!$I$7:$I$2010,$C$9,'LAC 102_Wkst'!$E$7:$E$2010,$C93,'LAC 102_Wkst'!$G$7:$G$2010,$D93,'LAC 102_Wkst'!$L$7:$L$2010,"11",'LAC 102_Wkst'!$N$7:$N$2010,"P4")+SUMIFS('LAC 102_Wkst'!$AF$7:$AF$2010,'LAC 102_Wkst'!$D$7:$D$2010,$C$7,'LAC 102_Wkst'!$I$7:$I$2010,$C$9,'LAC 102_Wkst'!$E$7:$E$2010,$C93,'LAC 102_Wkst'!$G$7:$G$2010,$D93,'LAC 102_Wkst'!$L$7:$L$2010,"12",'LAC 102_Wkst'!$N$7:$N$2010,"P4")</f>
        <v>0</v>
      </c>
      <c r="AZ93" s="410">
        <f>SUMIFS('LAC 102_Wkst'!$Q$7:$Q$2010,'LAC 102_Wkst'!$D$7:$D$2010,$C$7,'LAC 102_Wkst'!$I$7:$I$2010,$C$9,'LAC 102_Wkst'!$E$7:$E$2010,$C93,'LAC 102_Wkst'!$G$7:$G$2010,$D93,'LAC 102_Wkst'!$L$7:$L$2010,"11",'LAC 102_Wkst'!$N$7:$N$2010,"P5")+SUMIFS('LAC 102_Wkst'!$Q$7:$Q$2010,'LAC 102_Wkst'!$D$7:$D$2010,$C$7,'LAC 102_Wkst'!$I$7:$I$2010,$C$9,'LAC 102_Wkst'!$E$7:$E$2010,$C93,'LAC 102_Wkst'!$G$7:$G$2010,$D93,'LAC 102_Wkst'!$L$7:$L$2010,"12",'LAC 102_Wkst'!$N$7:$N$2010,"P5")</f>
        <v>0</v>
      </c>
      <c r="BA93" s="411">
        <f>SUMIFS('LAC 102_Wkst'!$AF$7:$AF$2010,'LAC 102_Wkst'!$D$7:$D$2010,$C$7,'LAC 102_Wkst'!$I$7:$I$2010,$C$9,'LAC 102_Wkst'!$E$7:$E$2010,$C93,'LAC 102_Wkst'!$G$7:$G$2010,$D93,'LAC 102_Wkst'!$L$7:$L$2010,"11",'LAC 102_Wkst'!$N$7:$N$2010,"P5")+SUMIFS('LAC 102_Wkst'!$AF$7:$AF$2010,'LAC 102_Wkst'!$D$7:$D$2010,$C$7,'LAC 102_Wkst'!$I$7:$I$2010,$C$9,'LAC 102_Wkst'!$E$7:$E$2010,$C93,'LAC 102_Wkst'!$G$7:$G$2010,$D93,'LAC 102_Wkst'!$L$7:$L$2010,"12",'LAC 102_Wkst'!$N$7:$N$2010,"P5")</f>
        <v>0</v>
      </c>
      <c r="BB93" s="410">
        <f>SUMIFS('LAC 102_Wkst'!$Q$7:$Q$2010,'LAC 102_Wkst'!$D$7:$D$2010,$C$7,'LAC 102_Wkst'!$I$7:$I$2010,$C$9,'LAC 102_Wkst'!$E$7:$E$2010,$C93,'LAC 102_Wkst'!$G$7:$G$2010,$D93,'LAC 102_Wkst'!$L$7:$L$2010,"13",'LAC 102_Wkst'!$N$7:$N$2010,"P1")+SUMIFS('LAC 102_Wkst'!$Q$7:$Q$2010,'LAC 102_Wkst'!$D$7:$D$2010,$C$7,'LAC 102_Wkst'!$I$7:$I$2010,$C$9,'LAC 102_Wkst'!$E$7:$E$2010,$C93,'LAC 102_Wkst'!$G$7:$G$2010,$D93,'LAC 102_Wkst'!$L$7:$L$2010,"13",'LAC 102_Wkst'!$N$7:$N$2010,"P2")+SUMIFS('LAC 102_Wkst'!$Q$7:$Q$2010,'LAC 102_Wkst'!$D$7:$D$2010,$C$7,'LAC 102_Wkst'!$I$7:$I$2010,$C$9,'LAC 102_Wkst'!$E$7:$E$2010,$C93,'LAC 102_Wkst'!$G$7:$G$2010,$D93,'LAC 102_Wkst'!$L$7:$L$2010,"13",'LAC 102_Wkst'!$N$7:$N$2010,"P3")+SUMIFS('LAC 102_Wkst'!$Q$7:$Q$2010,'LAC 102_Wkst'!$D$7:$D$2010,$C$7,'LAC 102_Wkst'!$I$7:$I$2010,$C$9,'LAC 102_Wkst'!$E$7:$E$2010,$C93,'LAC 102_Wkst'!$G$7:$G$2010,$D93,'LAC 102_Wkst'!$L$7:$L$2010,"13",'LAC 102_Wkst'!$N$7:$N$2010,"P4")</f>
        <v>0</v>
      </c>
      <c r="BC93" s="411">
        <f>SUMIFS('LAC 102_Wkst'!$AF$7:$AF$2010,'LAC 102_Wkst'!$D$7:$D$2010,$C$7,'LAC 102_Wkst'!$I$7:$I$2010,$C$9,'LAC 102_Wkst'!$E$7:$E$2010,$C93,'LAC 102_Wkst'!$G$7:$G$2010,$D93,'LAC 102_Wkst'!$L$7:$L$2010,"13",'LAC 102_Wkst'!$N$7:$N$2010,"P1")+SUMIFS('LAC 102_Wkst'!$AF$7:$AF$2010,'LAC 102_Wkst'!$D$7:$D$2010,$C$7,'LAC 102_Wkst'!$I$7:$I$2010,$C$9,'LAC 102_Wkst'!$E$7:$E$2010,$C93,'LAC 102_Wkst'!$G$7:$G$2010,$D93,'LAC 102_Wkst'!$L$7:$L$2010,"13",'LAC 102_Wkst'!$N$7:$N$2010,"P2")+SUMIFS('LAC 102_Wkst'!$AF$7:$AF$2010,'LAC 102_Wkst'!$D$7:$D$2010,$C$7,'LAC 102_Wkst'!$I$7:$I$2010,$C$9,'LAC 102_Wkst'!$E$7:$E$2010,$C93,'LAC 102_Wkst'!$G$7:$G$2010,$D93,'LAC 102_Wkst'!$L$7:$L$2010,"13",'LAC 102_Wkst'!$N$7:$N$2010,"P3")+SUMIFS('LAC 102_Wkst'!$AF$7:$AF$2010,'LAC 102_Wkst'!$D$7:$D$2010,$C$7,'LAC 102_Wkst'!$I$7:$I$2010,$C$9,'LAC 102_Wkst'!$E$7:$E$2010,$C93,'LAC 102_Wkst'!$G$7:$G$2010,$D93,'LAC 102_Wkst'!$L$7:$L$2010,"13",'LAC 102_Wkst'!$N$7:$N$2010,"P4")</f>
        <v>0</v>
      </c>
      <c r="BD93" s="410">
        <f>SUMIFS('LAC 102_Wkst'!$Q$7:$Q$2010,'LAC 102_Wkst'!$D$7:$D$2010,$C$7,'LAC 102_Wkst'!$I$7:$I$2010,$C$9,'LAC 102_Wkst'!$E$7:$E$2010,$C93,'LAC 102_Wkst'!$G$7:$G$2010,$D93,'LAC 102_Wkst'!$L$7:$L$2010,"13",'LAC 102_Wkst'!$N$7:$N$2010,"P5")</f>
        <v>0</v>
      </c>
      <c r="BE93" s="411">
        <f>SUMIFS('LAC 102_Wkst'!$AF$7:$AF$2010,'LAC 102_Wkst'!$D$7:$D$2010,$C$7,'LAC 102_Wkst'!$I$7:$I$2010,$C$9,'LAC 102_Wkst'!$E$7:$E$2010,$C93,'LAC 102_Wkst'!$G$7:$G$2010,$D93,'LAC 102_Wkst'!$L$7:$L$2010,"13",'LAC 102_Wkst'!$N$7:$N$2010,"P5")</f>
        <v>0</v>
      </c>
      <c r="BF93" s="407">
        <f t="shared" si="5"/>
        <v>0</v>
      </c>
      <c r="BG93" s="1654">
        <f>SUMIFS('LAC 102_Wkst'!$AF$7:$AF$2010,'LAC 102_Wkst'!$D$7:$D$2010,$C$7,'LAC 102_Wkst'!$I$7:$I$2010,$C$9,'LAC 102_Wkst'!$E$7:$E$2010,$C93,'LAC 102_Wkst'!$G$7:$G$2010,$D93,'LAC 102_Wkst'!$L$7:$L$2010,"14")</f>
        <v>0</v>
      </c>
    </row>
    <row r="94" spans="1:59" x14ac:dyDescent="0.2">
      <c r="A94" s="401">
        <v>72</v>
      </c>
      <c r="B94" s="1678" t="str">
        <f>IF(Schedule_B!B$91="","",Schedule_B!B$91)</f>
        <v/>
      </c>
      <c r="C94" s="1674" t="str">
        <f>IF(Schedule_B!C$91=""," ",Schedule_B!C$91)</f>
        <v xml:space="preserve"> </v>
      </c>
      <c r="D94" s="1675" t="str">
        <f>IF(Schedule_B!D$91=""," ",Schedule_B!D$91)</f>
        <v xml:space="preserve"> </v>
      </c>
      <c r="E94" s="1221">
        <f>SUMIFS('LAC 102_Wkst'!$Q$7:$Q$2010,'LAC 102_Wkst'!$D$7:$D$2010,$C$7,'LAC 102_Wkst'!$I$7:$I$2010,$C$9,'LAC 102_Wkst'!$E$7:$E$2010,$C94,'LAC 102_Wkst'!$G$7:$G$2010,$D94)</f>
        <v>0</v>
      </c>
      <c r="F94" s="408">
        <f>SUMIFS('LAC 102_Wkst'!$Q$7:$Q$2010,'LAC 102_Wkst'!$D$7:$D$2010,$C$7,'LAC 102_Wkst'!$I$7:$I$2010,$C$9,'LAC 102_Wkst'!$E$7:$E$2010,$C94,'LAC 102_Wkst'!$G$7:$G$2010,$D94,'LAC 102_Wkst'!$L$7:$L$2010,"01",'LAC 102_Wkst'!$N$7:$N$2010,"P1")+SUMIFS('LAC 102_Wkst'!$Q$7:$Q$2010,'LAC 102_Wkst'!$D$7:$D$2010,$C$7,'LAC 102_Wkst'!$I$7:$I$2010,$C$9,'LAC 102_Wkst'!$E$7:$E$2010,$C94,'LAC 102_Wkst'!$G$7:$G$2010,$D94,'LAC 102_Wkst'!$L$7:$L$2010,"01",'LAC 102_Wkst'!$N$7:$N$2010,"P2")+SUMIFS('LAC 102_Wkst'!$Q$7:$Q$2010,'LAC 102_Wkst'!$D$7:$D$2010,$C$7,'LAC 102_Wkst'!$I$7:$I$2010,$C$9,'LAC 102_Wkst'!$E$7:$E$2010,$C94,'LAC 102_Wkst'!$G$7:$G$2010,$D94,'LAC 102_Wkst'!$L$7:$L$2010,"01",'LAC 102_Wkst'!$N$7:$N$2010,"P3")+SUMIFS('LAC 102_Wkst'!$Q$7:$Q$2010,'LAC 102_Wkst'!$D$7:$D$2010,$C$7,'LAC 102_Wkst'!$I$7:$I$2010,$C$9,'LAC 102_Wkst'!$E$7:$E$2010,$C94,'LAC 102_Wkst'!$G$7:$G$2010,$D94,'LAC 102_Wkst'!$L$7:$L$2010,"02",'LAC 102_Wkst'!$N$7:$N$2010,"P1")+SUMIFS('LAC 102_Wkst'!$Q$7:$Q$2010,'LAC 102_Wkst'!$D$7:$D$2010,$C$7,'LAC 102_Wkst'!$I$7:$I$2010,$C$9,'LAC 102_Wkst'!$E$7:$E$2010,$C94,'LAC 102_Wkst'!$G$7:$G$2010,$D94,'LAC 102_Wkst'!$L$7:$L$2010,"02",'LAC 102_Wkst'!$N$7:$N$2010,"P2")+SUMIFS('LAC 102_Wkst'!$Q$7:$Q$2010,'LAC 102_Wkst'!$D$7:$D$2010,$C$7,'LAC 102_Wkst'!$I$7:$I$2010,$C$9,'LAC 102_Wkst'!$E$7:$E$2010,$C94,'LAC 102_Wkst'!$G$7:$G$2010,$D94,'LAC 102_Wkst'!$L$7:$L$2010,"02",'LAC 102_Wkst'!$N$7:$N$2010,"P3")</f>
        <v>0</v>
      </c>
      <c r="G94" s="409">
        <f>SUMIFS('LAC 102_Wkst'!$AF$7:$AF$2010,'LAC 102_Wkst'!$D$7:$D$2010,$C$7,'LAC 102_Wkst'!$I$7:$I$2010,$C$9,'LAC 102_Wkst'!$E$7:$E$2010,$C94,'LAC 102_Wkst'!$G$7:$G$2010,$D94,'LAC 102_Wkst'!$L$7:$L$2010,"01",'LAC 102_Wkst'!$N$7:$N$2010,"P1")+SUMIFS('LAC 102_Wkst'!$AF$7:$AF$2010,'LAC 102_Wkst'!$D$7:$D$2010,$C$7,'LAC 102_Wkst'!$I$7:$I$2010,$C$9,'LAC 102_Wkst'!$E$7:$E$2010,$C94,'LAC 102_Wkst'!$G$7:$G$2010,$D94,'LAC 102_Wkst'!$L$7:$L$2010,"01",'LAC 102_Wkst'!$N$7:$N$2010,"P2")+SUMIFS('LAC 102_Wkst'!$AF$7:$AF$2010,'LAC 102_Wkst'!$D$7:$D$2010,$C$7,'LAC 102_Wkst'!$I$7:$I$2010,$C$9,'LAC 102_Wkst'!$E$7:$E$2010,$C94,'LAC 102_Wkst'!$G$7:$G$2010,$D94,'LAC 102_Wkst'!$L$7:$L$2010,"01",'LAC 102_Wkst'!$N$7:$N$2010,"P3")+SUMIFS('LAC 102_Wkst'!$AF$7:$AF$2010,'LAC 102_Wkst'!$D$7:$D$2010,$C$7,'LAC 102_Wkst'!$I$7:$I$2010,$C$9,'LAC 102_Wkst'!$E$7:$E$2010,$C94,'LAC 102_Wkst'!$G$7:$G$2010,$D94,'LAC 102_Wkst'!$L$7:$L$2010,"02",'LAC 102_Wkst'!$N$7:$N$2010,"P1")+SUMIFS('LAC 102_Wkst'!$AF$7:$AF$2010,'LAC 102_Wkst'!$D$7:$D$2010,$C$7,'LAC 102_Wkst'!$I$7:$I$2010,$C$9,'LAC 102_Wkst'!$E$7:$E$2010,$C94,'LAC 102_Wkst'!$G$7:$G$2010,$D94,'LAC 102_Wkst'!$L$7:$L$2010,"02",'LAC 102_Wkst'!$N$7:$N$2010,"P2")+SUMIFS('LAC 102_Wkst'!$AF$7:$AF$2010,'LAC 102_Wkst'!$D$7:$D$2010,$C$7,'LAC 102_Wkst'!$I$7:$I$2010,$C$9,'LAC 102_Wkst'!$E$7:$E$2010,$C94,'LAC 102_Wkst'!$G$7:$G$2010,$D94,'LAC 102_Wkst'!$L$7:$L$2010,"02",'LAC 102_Wkst'!$N$7:$N$2010,"P3")</f>
        <v>0</v>
      </c>
      <c r="H94" s="410">
        <f>SUMIFS('LAC 102_Wkst'!$Q$7:$Q$2010,'LAC 102_Wkst'!$D$7:$D$2010,$C$7,'LAC 102_Wkst'!$I$7:$I$2010,$C$9,'LAC 102_Wkst'!$E$7:$E$2010,$C94,'LAC 102_Wkst'!$G$7:$G$2010,$D94,'LAC 102_Wkst'!$L$7:$L$2010,"01",'LAC 102_Wkst'!$N$7:$N$2010,"P4")+SUMIFS('LAC 102_Wkst'!$Q$7:$Q$2010,'LAC 102_Wkst'!$D$7:$D$2010,$C$7,'LAC 102_Wkst'!$I$7:$I$2010,$C$9,'LAC 102_Wkst'!$E$7:$E$2010,$C94,'LAC 102_Wkst'!$G$7:$G$2010,$D94,'LAC 102_Wkst'!$L$7:$L$2010,"02",'LAC 102_Wkst'!$N$7:$N$2010,"P4")</f>
        <v>0</v>
      </c>
      <c r="I94" s="411">
        <f>SUMIFS('LAC 102_Wkst'!$AF$7:$AF$2010,'LAC 102_Wkst'!$D$7:$D$2010,$C$7,'LAC 102_Wkst'!$I$7:$I$2010,$C$9,'LAC 102_Wkst'!$E$7:$E$2010,$C94,'LAC 102_Wkst'!$G$7:$G$2010,$D94,'LAC 102_Wkst'!$L$7:$L$2010,"01",'LAC 102_Wkst'!$N$7:$N$2010,"P4")+SUMIFS('LAC 102_Wkst'!$AF$7:$AF$2010,'LAC 102_Wkst'!$D$7:$D$2010,$C$7,'LAC 102_Wkst'!$I$7:$I$2010,$C$9,'LAC 102_Wkst'!$E$7:$E$2010,$C94,'LAC 102_Wkst'!$G$7:$G$2010,$D94,'LAC 102_Wkst'!$L$7:$L$2010,"02",'LAC 102_Wkst'!$N$7:$N$2010,"P4")</f>
        <v>0</v>
      </c>
      <c r="J94" s="410">
        <f>SUMIFS('LAC 102_Wkst'!$Q$7:$Q$2010,'LAC 102_Wkst'!$D$7:$D$2010,$C$7,'LAC 102_Wkst'!$I$7:$I$2010,$C$9,'LAC 102_Wkst'!$E$7:$E$2010,$C94,'LAC 102_Wkst'!$G$7:$G$2010,$D94,'LAC 102_Wkst'!$L$7:$L$2010,"01",'LAC 102_Wkst'!$N$7:$N$2010,"P5")+SUMIFS('LAC 102_Wkst'!$Q$7:$Q$2010,'LAC 102_Wkst'!$D$7:$D$2010,$C$7,'LAC 102_Wkst'!$I$7:$I$2010,$C$9,'LAC 102_Wkst'!$E$7:$E$2010,$C94,'LAC 102_Wkst'!$G$7:$G$2010,$D94,'LAC 102_Wkst'!$L$7:$L$2010,"02",'LAC 102_Wkst'!$N$7:$N$2010,"P5")</f>
        <v>0</v>
      </c>
      <c r="K94" s="411">
        <f>SUMIFS('LAC 102_Wkst'!$AF$7:$AF$2010,'LAC 102_Wkst'!$D$7:$D$2010,$C$7,'LAC 102_Wkst'!$I$7:$I$2010,$C$9,'LAC 102_Wkst'!$E$7:$E$2010,$C94,'LAC 102_Wkst'!$G$7:$G$2010,$D94,'LAC 102_Wkst'!$L$7:$L$2010,"01",'LAC 102_Wkst'!$N$7:$N$2010,"P5")+SUMIFS('LAC 102_Wkst'!$AF$7:$AF$2010,'LAC 102_Wkst'!$D$7:$D$2010,$C$7,'LAC 102_Wkst'!$I$7:$I$2010,$C$9,'LAC 102_Wkst'!$E$7:$E$2010,$C94,'LAC 102_Wkst'!$G$7:$G$2010,$D94,'LAC 102_Wkst'!$L$7:$L$2010,"02",'LAC 102_Wkst'!$N$7:$N$2010,"P5")</f>
        <v>0</v>
      </c>
      <c r="L94" s="410">
        <f>SUMIFS('LAC 102_Wkst'!$Q$7:$Q$2010,'LAC 102_Wkst'!$D$7:$D$2010,$C$7,'LAC 102_Wkst'!$I$7:$I$2010,$C$9,'LAC 102_Wkst'!$E$7:$E$2010,$C94,'LAC 102_Wkst'!$G$7:$G$2010,$D94,'LAC 102_Wkst'!$L$7:$L$2010,"03",'LAC 102_Wkst'!$N$7:$N$2010,"P1")+SUMIFS('LAC 102_Wkst'!$Q$7:$Q$2010,'LAC 102_Wkst'!$D$7:$D$2010,$C$7,'LAC 102_Wkst'!$I$7:$I$2010,$C$9,'LAC 102_Wkst'!$E$7:$E$2010,$C94,'LAC 102_Wkst'!$G$7:$G$2010,$D94,'LAC 102_Wkst'!$L$7:$L$2010,"03",'LAC 102_Wkst'!$N$7:$N$2010,"P2")+SUMIFS('LAC 102_Wkst'!$Q$7:$Q$2010,'LAC 102_Wkst'!$D$7:$D$2010,$C$7,'LAC 102_Wkst'!$I$7:$I$2010,$C$9,'LAC 102_Wkst'!$E$7:$E$2010,$C94,'LAC 102_Wkst'!$G$7:$G$2010,$D94,'LAC 102_Wkst'!$L$7:$L$2010,"03",'LAC 102_Wkst'!$N$7:$N$2010,"P3")+SUMIFS('LAC 102_Wkst'!$Q$7:$Q$2010,'LAC 102_Wkst'!$D$7:$D$2010,$C$7,'LAC 102_Wkst'!$I$7:$I$2010,$C$9,'LAC 102_Wkst'!$E$7:$E$2010,$C94,'LAC 102_Wkst'!$G$7:$G$2010,$D94,'LAC 102_Wkst'!$L$7:$L$2010,"04",'LAC 102_Wkst'!$N$7:$N$2010,"P1")+SUMIFS('LAC 102_Wkst'!$Q$7:$Q$2010,'LAC 102_Wkst'!$D$7:$D$2010,$C$7,'LAC 102_Wkst'!$I$7:$I$2010,$C$9,'LAC 102_Wkst'!$E$7:$E$2010,$C94,'LAC 102_Wkst'!$G$7:$G$2010,$D94,'LAC 102_Wkst'!$L$7:$L$2010,"04",'LAC 102_Wkst'!$N$7:$N$2010,"P2")+SUMIFS('LAC 102_Wkst'!$Q$7:$Q$2010,'LAC 102_Wkst'!$D$7:$D$2010,$C$7,'LAC 102_Wkst'!$I$7:$I$2010,$C$9,'LAC 102_Wkst'!$E$7:$E$2010,$C94,'LAC 102_Wkst'!$G$7:$G$2010,$D94,'LAC 102_Wkst'!$L$7:$L$2010,"04",'LAC 102_Wkst'!$N$7:$N$2010,"P3")</f>
        <v>0</v>
      </c>
      <c r="M94" s="411">
        <f>SUMIFS('LAC 102_Wkst'!$AF$7:$AF$2010,'LAC 102_Wkst'!$D$7:$D$2010,$C$7,'LAC 102_Wkst'!$I$7:$I$2010,$C$9,'LAC 102_Wkst'!$E$7:$E$2010,$C94,'LAC 102_Wkst'!$G$7:$G$2010,$D94,'LAC 102_Wkst'!$L$7:$L$2010,"03",'LAC 102_Wkst'!$N$7:$N$2010,"P1")+SUMIFS('LAC 102_Wkst'!$AF$7:$AF$2010,'LAC 102_Wkst'!$D$7:$D$2010,$C$7,'LAC 102_Wkst'!$I$7:$I$2010,$C$9,'LAC 102_Wkst'!$E$7:$E$2010,$C94,'LAC 102_Wkst'!$G$7:$G$2010,$D94,'LAC 102_Wkst'!$L$7:$L$2010,"03",'LAC 102_Wkst'!$N$7:$N$2010,"P2")+SUMIFS('LAC 102_Wkst'!$AF$7:$AF$2010,'LAC 102_Wkst'!$D$7:$D$2010,$C$7,'LAC 102_Wkst'!$I$7:$I$2010,$C$9,'LAC 102_Wkst'!$E$7:$E$2010,$C94,'LAC 102_Wkst'!$G$7:$G$2010,$D94,'LAC 102_Wkst'!$L$7:$L$2010,"03",'LAC 102_Wkst'!$N$7:$N$2010,"P3")+SUMIFS('LAC 102_Wkst'!$AF$7:$AF$2010,'LAC 102_Wkst'!$D$7:$D$2010,$C$7,'LAC 102_Wkst'!$I$7:$I$2010,$C$9,'LAC 102_Wkst'!$E$7:$E$2010,$C94,'LAC 102_Wkst'!$G$7:$G$2010,$D94,'LAC 102_Wkst'!$L$7:$L$2010,"04",'LAC 102_Wkst'!$N$7:$N$2010,"P1")+SUMIFS('LAC 102_Wkst'!$AF$7:$AF$2010,'LAC 102_Wkst'!$D$7:$D$2010,$C$7,'LAC 102_Wkst'!$I$7:$I$2010,$C$9,'LAC 102_Wkst'!$E$7:$E$2010,$C94,'LAC 102_Wkst'!$G$7:$G$2010,$D94,'LAC 102_Wkst'!$L$7:$L$2010,"04",'LAC 102_Wkst'!$N$7:$N$2010,"P2")+SUMIFS('LAC 102_Wkst'!$AF$7:$AF$2010,'LAC 102_Wkst'!$D$7:$D$2010,$C$7,'LAC 102_Wkst'!$I$7:$I$2010,$C$9,'LAC 102_Wkst'!$E$7:$E$2010,$C94,'LAC 102_Wkst'!$G$7:$G$2010,$D94,'LAC 102_Wkst'!$L$7:$L$2010,"04",'LAC 102_Wkst'!$N$7:$N$2010,"P3")</f>
        <v>0</v>
      </c>
      <c r="N94" s="410">
        <f>SUMIFS('LAC 102_Wkst'!$Q$7:$Q$2010,'LAC 102_Wkst'!$D$7:$D$2010,$C$7,'LAC 102_Wkst'!$I$7:$I$2010,$C$9,'LAC 102_Wkst'!$E$7:$E$2010,$C94,'LAC 102_Wkst'!$G$7:$G$2010,$D94,'LAC 102_Wkst'!$L$7:$L$2010,"03",'LAC 102_Wkst'!$N$7:$N$2010,"P4")+SUMIFS('LAC 102_Wkst'!$Q$7:$Q$2010,'LAC 102_Wkst'!$D$7:$D$2010,$C$7,'LAC 102_Wkst'!$I$7:$I$2010,$C$9,'LAC 102_Wkst'!$E$7:$E$2010,$C94,'LAC 102_Wkst'!$G$7:$G$2010,$D94,'LAC 102_Wkst'!$L$7:$L$2010,"04",'LAC 102_Wkst'!$N$7:$N$2010,"P4")</f>
        <v>0</v>
      </c>
      <c r="O94" s="411">
        <f>SUMIFS('LAC 102_Wkst'!$AF$7:$AF$2010,'LAC 102_Wkst'!$D$7:$D$2010,$C$7,'LAC 102_Wkst'!$I$7:$I$2010,$C$9,'LAC 102_Wkst'!$E$7:$E$2010,$C94,'LAC 102_Wkst'!$G$7:$G$2010,$D94,'LAC 102_Wkst'!$L$7:$L$2010,"03",'LAC 102_Wkst'!$N$7:$N$2010,"P4")+SUMIFS('LAC 102_Wkst'!$AF$7:$AF$2010,'LAC 102_Wkst'!$D$7:$D$2010,$C$7,'LAC 102_Wkst'!$I$7:$I$2010,$C$9,'LAC 102_Wkst'!$E$7:$E$2010,$C94,'LAC 102_Wkst'!$G$7:$G$2010,$D94,'LAC 102_Wkst'!$L$7:$L$2010,"04",'LAC 102_Wkst'!$N$7:$N$2010,"P4")</f>
        <v>0</v>
      </c>
      <c r="P94" s="410">
        <f>SUMIFS('LAC 102_Wkst'!$Q$7:$Q$2010,'LAC 102_Wkst'!$D$7:$D$2010,$C$7,'LAC 102_Wkst'!$I$7:$I$2010,$C$9,'LAC 102_Wkst'!$E$7:$E$2010,$C94,'LAC 102_Wkst'!$G$7:$G$2010,$D94,'LAC 102_Wkst'!$L$7:$L$2010,"03",'LAC 102_Wkst'!$N$7:$N$2010,"P5")+SUMIFS('LAC 102_Wkst'!$Q$7:$Q$2010,'LAC 102_Wkst'!$D$7:$D$2010,$C$7,'LAC 102_Wkst'!$I$7:$I$2010,$C$9,'LAC 102_Wkst'!$E$7:$E$2010,$C94,'LAC 102_Wkst'!$G$7:$G$2010,$D94,'LAC 102_Wkst'!$L$7:$L$2010,"04",'LAC 102_Wkst'!$N$7:$N$2010,"P5")</f>
        <v>0</v>
      </c>
      <c r="Q94" s="411">
        <f>SUMIFS('LAC 102_Wkst'!$AF$7:$AF$2010,'LAC 102_Wkst'!$D$7:$D$2010,$C$7,'LAC 102_Wkst'!$I$7:$I$2010,$C$9,'LAC 102_Wkst'!$E$7:$E$2010,$C94,'LAC 102_Wkst'!$G$7:$G$2010,$D94,'LAC 102_Wkst'!$L$7:$L$2010,"03",'LAC 102_Wkst'!$N$7:$N$2010,"P5")+SUMIFS('LAC 102_Wkst'!$AF$7:$AF$2010,'LAC 102_Wkst'!$D$7:$D$2010,$C$7,'LAC 102_Wkst'!$I$7:$I$2010,$C$9,'LAC 102_Wkst'!$E$7:$E$2010,$C94,'LAC 102_Wkst'!$G$7:$G$2010,$D94,'LAC 102_Wkst'!$L$7:$L$2010,"04",'LAC 102_Wkst'!$N$7:$N$2010,"P5")</f>
        <v>0</v>
      </c>
      <c r="R94" s="412">
        <f>SUMIFS('LAC 102_Wkst'!$Q$7:$Q$2010,'LAC 102_Wkst'!$D$7:$D$2010,$C$7,'LAC 102_Wkst'!$I$7:$I$2010,$C$9,'LAC 102_Wkst'!$E$7:$E$2010,$C94,'LAC 102_Wkst'!$G$7:$G$2010,$D94,'LAC 102_Wkst'!$L$7:$L$2010,"05",'LAC 102_Wkst'!$N$7:$N$2010,"P1")+SUMIFS('LAC 102_Wkst'!$Q$7:$Q$2010,'LAC 102_Wkst'!$D$7:$D$2010,$C$7,'LAC 102_Wkst'!$I$7:$I$2010,$C$9,'LAC 102_Wkst'!$E$7:$E$2010,$C94,'LAC 102_Wkst'!$G$7:$G$2010,$D94,'LAC 102_Wkst'!$L$7:$L$2010,"06",'LAC 102_Wkst'!$N$7:$N$2010,"P1")</f>
        <v>0</v>
      </c>
      <c r="S94" s="411">
        <f>SUMIFS('LAC 102_Wkst'!$AF$7:$AF$2010,'LAC 102_Wkst'!$D$7:$D$2010,$C$7,'LAC 102_Wkst'!$I$7:$I$2010,$C$9,'LAC 102_Wkst'!$E$7:$E$2010,$C94,'LAC 102_Wkst'!$G$7:$G$2010,$D94,'LAC 102_Wkst'!$L$7:$L$2010,"05",'LAC 102_Wkst'!$N$7:$N$2010,"P1")+SUMIFS('LAC 102_Wkst'!$AF$7:$AF$2010,'LAC 102_Wkst'!$D$7:$D$2010,$C$7,'LAC 102_Wkst'!$I$7:$I$2010,$C$9,'LAC 102_Wkst'!$E$7:$E$2010,$C94,'LAC 102_Wkst'!$G$7:$G$2010,$D94,'LAC 102_Wkst'!$L$7:$L$2010,"06",'LAC 102_Wkst'!$N$7:$N$2010,"P1")</f>
        <v>0</v>
      </c>
      <c r="T94" s="410">
        <f>SUMIFS('LAC 102_Wkst'!$Q$7:$Q$2010,'LAC 102_Wkst'!$D$7:$D$2010,$C$7,'LAC 102_Wkst'!$I$7:$I$2010,$C$9,'LAC 102_Wkst'!$E$7:$E$2010,$C94,'LAC 102_Wkst'!$G$7:$G$2010,$D94,'LAC 102_Wkst'!$L$7:$L$2010,"05",'LAC 102_Wkst'!$N$7:$N$2010,"P2")+SUMIFS('LAC 102_Wkst'!$Q$7:$Q$2010,'LAC 102_Wkst'!$D$7:$D$2010,$C$7,'LAC 102_Wkst'!$I$7:$I$2010,$C$9,'LAC 102_Wkst'!$E$7:$E$2010,$C94,'LAC 102_Wkst'!$G$7:$G$2010,$D94,'LAC 102_Wkst'!$L$7:$L$2010,"06",'LAC 102_Wkst'!$N$7:$N$2010,"P2")+SUMIFS('LAC 102_Wkst'!$Q$7:$Q$2010,'LAC 102_Wkst'!$D$7:$D$2010,$C$7,'LAC 102_Wkst'!$I$7:$I$2010,$C$9,'LAC 102_Wkst'!$E$7:$E$2010,$C94,'LAC 102_Wkst'!$G$7:$G$2010,$D94,'LAC 102_Wkst'!$L$7:$L$2010,"05",'LAC 102_Wkst'!$N$7:$N$2010,"P3")+SUMIFS('LAC 102_Wkst'!$Q$7:$Q$2010,'LAC 102_Wkst'!$D$7:$D$2010,$C$7,'LAC 102_Wkst'!$I$7:$I$2010,$C$9,'LAC 102_Wkst'!$E$7:$E$2010,$C94,'LAC 102_Wkst'!$G$7:$G$2010,$D94,'LAC 102_Wkst'!$L$7:$L$2010,"06",'LAC 102_Wkst'!$N$7:$N$2010,"P3")</f>
        <v>0</v>
      </c>
      <c r="U94" s="411">
        <f>SUMIFS('LAC 102_Wkst'!$AF$7:$AF$2010,'LAC 102_Wkst'!$D$7:$D$2010,$C$7,'LAC 102_Wkst'!$I$7:$I$2010,$C$9,'LAC 102_Wkst'!$E$7:$E$2010,$C94,'LAC 102_Wkst'!$G$7:$G$2010,$D94,'LAC 102_Wkst'!$L$7:$L$2010,"05",'LAC 102_Wkst'!$N$7:$N$2010,"P2")+SUMIFS('LAC 102_Wkst'!$AF$7:$AF$2010,'LAC 102_Wkst'!$D$7:$D$2010,$C$7,'LAC 102_Wkst'!$I$7:$I$2010,$C$9,'LAC 102_Wkst'!$E$7:$E$2010,$C94,'LAC 102_Wkst'!$G$7:$G$2010,$D94,'LAC 102_Wkst'!$L$7:$L$2010,"06",'LAC 102_Wkst'!$N$7:$N$2010,"P2")+SUMIFS('LAC 102_Wkst'!$AF$7:$AF$2010,'LAC 102_Wkst'!$D$7:$D$2010,$C$7,'LAC 102_Wkst'!$I$7:$I$2010,$C$9,'LAC 102_Wkst'!$E$7:$E$2010,$C94,'LAC 102_Wkst'!$G$7:$G$2010,$D94,'LAC 102_Wkst'!$L$7:$L$2010,"05",'LAC 102_Wkst'!$N$7:$N$2010,"P3")+SUMIFS('LAC 102_Wkst'!$AF$7:$AF$2010,'LAC 102_Wkst'!$D$7:$D$2010,$C$7,'LAC 102_Wkst'!$I$7:$I$2010,$C$9,'LAC 102_Wkst'!$E$7:$E$2010,$C94,'LAC 102_Wkst'!$G$7:$G$2010,$D94,'LAC 102_Wkst'!$L$7:$L$2010,"06",'LAC 102_Wkst'!$N$7:$N$2010,"P3")</f>
        <v>0</v>
      </c>
      <c r="V94" s="410">
        <f>SUMIFS('LAC 102_Wkst'!$Q$7:$Q$2010,'LAC 102_Wkst'!$D$7:$D$2010,$C$7,'LAC 102_Wkst'!$I$7:$I$2010,$C$9,'LAC 102_Wkst'!$E$7:$E$2010,$C94,'LAC 102_Wkst'!$G$7:$G$2010,$D94,'LAC 102_Wkst'!$L$7:$L$2010,"05",'LAC 102_Wkst'!$N$7:$N$2010,"P4")+SUMIFS('LAC 102_Wkst'!$Q$7:$Q$2010,'LAC 102_Wkst'!$D$7:$D$2010,$C$7,'LAC 102_Wkst'!$I$7:$I$2010,$C$9,'LAC 102_Wkst'!$E$7:$E$2010,$C94,'LAC 102_Wkst'!$G$7:$G$2010,$D94,'LAC 102_Wkst'!$L$7:$L$2010,"06",'LAC 102_Wkst'!$N$7:$N$2010,"P4")</f>
        <v>0</v>
      </c>
      <c r="W94" s="411">
        <f>SUMIFS('LAC 102_Wkst'!$AF$7:$AF$2010,'LAC 102_Wkst'!$D$7:$D$2010,$C$7,'LAC 102_Wkst'!$I$7:$I$2010,$C$9,'LAC 102_Wkst'!$E$7:$E$2010,$C94,'LAC 102_Wkst'!$G$7:$G$2010,$D94,'LAC 102_Wkst'!$L$7:$L$2010,"05",'LAC 102_Wkst'!$N$7:$N$2010,"P4")+SUMIFS('LAC 102_Wkst'!$AF$7:$AF$2010,'LAC 102_Wkst'!$D$7:$D$2010,$C$7,'LAC 102_Wkst'!$I$7:$I$2010,$C$9,'LAC 102_Wkst'!$E$7:$E$2010,$C94,'LAC 102_Wkst'!$G$7:$G$2010,$D94,'LAC 102_Wkst'!$L$7:$L$2010,"06",'LAC 102_Wkst'!$N$7:$N$2010,"P4")</f>
        <v>0</v>
      </c>
      <c r="X94" s="410">
        <f>SUMIFS('LAC 102_Wkst'!$Q$7:$Q$2010,'LAC 102_Wkst'!$D$7:$D$2010,$C$7,'LAC 102_Wkst'!$I$7:$I$2010,$C$9,'LAC 102_Wkst'!$E$7:$E$2010,$C94,'LAC 102_Wkst'!$G$7:$G$2010,$D94,'LAC 102_Wkst'!$L$7:$L$2010,"05",'LAC 102_Wkst'!$N$7:$N$2010,"P5")+SUMIFS('LAC 102_Wkst'!$Q$7:$Q$2010,'LAC 102_Wkst'!$D$7:$D$2010,$C$7,'LAC 102_Wkst'!$I$7:$I$2010,$C$9,'LAC 102_Wkst'!$E$7:$E$2010,$C94,'LAC 102_Wkst'!$G$7:$G$2010,$D94,'LAC 102_Wkst'!$L$7:$L$2010,"06",'LAC 102_Wkst'!$N$7:$N$2010,"P5")</f>
        <v>0</v>
      </c>
      <c r="Y94" s="411">
        <f>SUMIFS('LAC 102_Wkst'!$AF$7:$AF$2010,'LAC 102_Wkst'!$D$7:$D$2010,$C$7,'LAC 102_Wkst'!$I$7:$I$2010,$C$9,'LAC 102_Wkst'!$E$7:$E$2010,$C94,'LAC 102_Wkst'!$G$7:$G$2010,$D94,'LAC 102_Wkst'!$L$7:$L$2010,"05",'LAC 102_Wkst'!$N$7:$N$2010,"P5")+SUMIFS('LAC 102_Wkst'!$AF$7:$AF$2010,'LAC 102_Wkst'!$D$7:$D$2010,$C$7,'LAC 102_Wkst'!$I$7:$I$2010,$C$9,'LAC 102_Wkst'!$E$7:$E$2010,$C94,'LAC 102_Wkst'!$G$7:$G$2010,$D94,'LAC 102_Wkst'!$L$7:$L$2010,"06",'LAC 102_Wkst'!$N$7:$N$2010,"P5")</f>
        <v>0</v>
      </c>
      <c r="Z94" s="410">
        <f>SUMIFS('LAC 102_Wkst'!$Q$7:$Q$2010,'LAC 102_Wkst'!$D$7:$D$2010,$C$7,'LAC 102_Wkst'!$I$7:$I$2010,$C$9,'LAC 102_Wkst'!$E$7:$E$2010,$C94,'LAC 102_Wkst'!$G$7:$G$2010,$D94,'LAC 102_Wkst'!$L$7:$L$2010,"07",'LAC 102_Wkst'!$N$7:$N$2010,"P1")+SUMIFS('LAC 102_Wkst'!$Q$7:$Q$2010,'LAC 102_Wkst'!$D$7:$D$2010,$C$7,'LAC 102_Wkst'!$I$7:$I$2010,$C$9,'LAC 102_Wkst'!$E$7:$E$2010,$C94,'LAC 102_Wkst'!$G$7:$G$2010,$D94,'LAC 102_Wkst'!$L$7:$L$2010,"07",'LAC 102_Wkst'!$N$7:$N$2010,"P2")+SUMIFS('LAC 102_Wkst'!$Q$7:$Q$2010,'LAC 102_Wkst'!$D$7:$D$2010,$C$7,'LAC 102_Wkst'!$I$7:$I$2010,$C$9,'LAC 102_Wkst'!$E$7:$E$2010,$C94,'LAC 102_Wkst'!$G$7:$G$2010,$D94,'LAC 102_Wkst'!$L$7:$L$2010,"07",'LAC 102_Wkst'!$N$7:$N$2010,"P3")</f>
        <v>0</v>
      </c>
      <c r="AA94" s="411">
        <f>SUMIFS('LAC 102_Wkst'!$AF$7:$AF$2010,'LAC 102_Wkst'!$D$7:$D$2010,$C$7,'LAC 102_Wkst'!$I$7:$I$2010,$C$9,'LAC 102_Wkst'!$E$7:$E$2010,$C94,'LAC 102_Wkst'!$G$7:$G$2010,$D94,'LAC 102_Wkst'!$L$7:$L$2010,"07",'LAC 102_Wkst'!$N$7:$N$2010,"P1")+SUMIFS('LAC 102_Wkst'!$AF$7:$AF$2010,'LAC 102_Wkst'!$D$7:$D$2010,$C$7,'LAC 102_Wkst'!$I$7:$I$2010,$C$9,'LAC 102_Wkst'!$E$7:$E$2010,$C94,'LAC 102_Wkst'!$G$7:$G$2010,$D94,'LAC 102_Wkst'!$L$7:$L$2010,"07",'LAC 102_Wkst'!$N$7:$N$2010,"P2")+SUMIFS('LAC 102_Wkst'!$AF$7:$AF$2010,'LAC 102_Wkst'!$D$7:$D$2010,$C$7,'LAC 102_Wkst'!$I$7:$I$2010,$C$9,'LAC 102_Wkst'!$E$7:$E$2010,$C94,'LAC 102_Wkst'!$G$7:$G$2010,$D94,'LAC 102_Wkst'!$L$7:$L$2010,"07",'LAC 102_Wkst'!$N$7:$N$2010,"P3")</f>
        <v>0</v>
      </c>
      <c r="AB94" s="410">
        <f>SUMIFS('LAC 102_Wkst'!$Q$7:$Q$2010,'LAC 102_Wkst'!$D$7:$D$2010,$C$7,'LAC 102_Wkst'!$I$7:$I$2010,$C$9,'LAC 102_Wkst'!$E$7:$E$2010,$C94,'LAC 102_Wkst'!$G$7:$G$2010,$D94,'LAC 102_Wkst'!$L$7:$L$2010,"07",'LAC 102_Wkst'!$N$7:$N$2010,"P4")</f>
        <v>0</v>
      </c>
      <c r="AC94" s="411">
        <f>SUMIFS('LAC 102_Wkst'!$AF$7:$AF$2010,'LAC 102_Wkst'!$D$7:$D$2010,$C$7,'LAC 102_Wkst'!$I$7:$I$2010,$C$9,'LAC 102_Wkst'!$E$7:$E$2010,$C94,'LAC 102_Wkst'!$G$7:$G$2010,$D94,'LAC 102_Wkst'!$L$7:$L$2010,"07",'LAC 102_Wkst'!$N$7:$N$2010,"P4")</f>
        <v>0</v>
      </c>
      <c r="AD94" s="410">
        <f>SUMIFS('LAC 102_Wkst'!$Q$7:$Q$2010,'LAC 102_Wkst'!$D$7:$D$2010,$C$7,'LAC 102_Wkst'!$I$7:$I$2010,$C$9,'LAC 102_Wkst'!$E$7:$E$2010,$C94,'LAC 102_Wkst'!$G$7:$G$2010,$D94,'LAC 102_Wkst'!$L$7:$L$2010,"07",'LAC 102_Wkst'!$N$7:$N$2010,"P5")</f>
        <v>0</v>
      </c>
      <c r="AE94" s="411">
        <f>SUMIFS('LAC 102_Wkst'!$AF$7:$AF$2010,'LAC 102_Wkst'!$D$7:$D$2010,$C$7,'LAC 102_Wkst'!$I$7:$I$2010,$C$9,'LAC 102_Wkst'!$E$7:$E$2010,$C94,'LAC 102_Wkst'!$G$7:$G$2010,$D94,'LAC 102_Wkst'!$L$7:$L$2010,"07",'LAC 102_Wkst'!$N$7:$N$2010,"P5")</f>
        <v>0</v>
      </c>
      <c r="AF94" s="410">
        <f>SUMIFS('LAC 102_Wkst'!$Q$7:$Q$2010,'LAC 102_Wkst'!$D$7:$D$2010,$C$7,'LAC 102_Wkst'!$I$7:$I$2010,$C$9,'LAC 102_Wkst'!$E$7:$E$2010,$C94,'LAC 102_Wkst'!$G$7:$G$2010,$D94,'LAC 102_Wkst'!$L$7:$L$2010,"08",'LAC 102_Wkst'!$N$7:$N$2010,"P1")+SUMIFS('LAC 102_Wkst'!$Q$7:$Q$2010,'LAC 102_Wkst'!$D$7:$D$2010,$C$7,'LAC 102_Wkst'!$I$7:$I$2010,$C$9,'LAC 102_Wkst'!$E$7:$E$2010,$C94,'LAC 102_Wkst'!$G$7:$G$2010,$D94,'LAC 102_Wkst'!$L$7:$L$2010,"08",'LAC 102_Wkst'!$N$7:$N$2010,"P2")+SUMIFS('LAC 102_Wkst'!$Q$7:$Q$2010,'LAC 102_Wkst'!$D$7:$D$2010,$C$7,'LAC 102_Wkst'!$I$7:$I$2010,$C$9,'LAC 102_Wkst'!$E$7:$E$2010,$C94,'LAC 102_Wkst'!$G$7:$G$2010,$D94,'LAC 102_Wkst'!$L$7:$L$2010,"08",'LAC 102_Wkst'!$N$7:$N$2010,"P3")</f>
        <v>0</v>
      </c>
      <c r="AG94" s="411">
        <f>SUMIFS('LAC 102_Wkst'!$AF$7:$AF$2010,'LAC 102_Wkst'!$D$7:$D$2010,$C$7,'LAC 102_Wkst'!$I$7:$I$2010,$C$9,'LAC 102_Wkst'!$E$7:$E$2010,$C94,'LAC 102_Wkst'!$G$7:$G$2010,$D94,'LAC 102_Wkst'!$L$7:$L$2010,"08",'LAC 102_Wkst'!$N$7:$N$2010,"P1")+SUMIFS('LAC 102_Wkst'!$AF$7:$AF$2010,'LAC 102_Wkst'!$D$7:$D$2010,$C$7,'LAC 102_Wkst'!$I$7:$I$2010,$C$9,'LAC 102_Wkst'!$E$7:$E$2010,$C94,'LAC 102_Wkst'!$G$7:$G$2010,$D94,'LAC 102_Wkst'!$L$7:$L$2010,"08",'LAC 102_Wkst'!$N$7:$N$2010,"P2")+SUMIFS('LAC 102_Wkst'!$AF$7:$AF$2010,'LAC 102_Wkst'!$D$7:$D$2010,$C$7,'LAC 102_Wkst'!$I$7:$I$2010,$C$9,'LAC 102_Wkst'!$E$7:$E$2010,$C94,'LAC 102_Wkst'!$G$7:$G$2010,$D94,'LAC 102_Wkst'!$L$7:$L$2010,"08",'LAC 102_Wkst'!$N$7:$N$2010,"P3")</f>
        <v>0</v>
      </c>
      <c r="AH94" s="410">
        <f>SUMIFS('LAC 102_Wkst'!$Q$7:$Q$2010,'LAC 102_Wkst'!$D$7:$D$2010,$C$7,'LAC 102_Wkst'!$I$7:$I$2010,$C$9,'LAC 102_Wkst'!$E$7:$E$2010,$C94,'LAC 102_Wkst'!$G$7:$G$2010,$D94,'LAC 102_Wkst'!$L$7:$L$2010,"08",'LAC 102_Wkst'!$N$7:$N$2010,"P4")</f>
        <v>0</v>
      </c>
      <c r="AI94" s="411">
        <f>SUMIFS('LAC 102_Wkst'!$AF$7:$AF$2010,'LAC 102_Wkst'!$D$7:$D$2010,$C$7,'LAC 102_Wkst'!$I$7:$I$2010,$C$9,'LAC 102_Wkst'!$E$7:$E$2010,$C94,'LAC 102_Wkst'!$G$7:$G$2010,$D94,'LAC 102_Wkst'!$L$7:$L$2010,"08",'LAC 102_Wkst'!$N$7:$N$2010,"P4")</f>
        <v>0</v>
      </c>
      <c r="AJ94" s="410">
        <f>SUMIFS('LAC 102_Wkst'!$Q$7:$Q$2010,'LAC 102_Wkst'!$D$7:$D$2010,$C$7,'LAC 102_Wkst'!$I$7:$I$2010,$C$9,'LAC 102_Wkst'!$E$7:$E$2010,$C94,'LAC 102_Wkst'!$G$7:$G$2010,$D94,'LAC 102_Wkst'!$L$7:$L$2010,"08",'LAC 102_Wkst'!$N$7:$N$2010,"P5")</f>
        <v>0</v>
      </c>
      <c r="AK94" s="411">
        <f>SUMIFS('LAC 102_Wkst'!$AF$7:$AF$2010,'LAC 102_Wkst'!$D$7:$D$2010,$C$7,'LAC 102_Wkst'!$I$7:$I$2010,$C$9,'LAC 102_Wkst'!$E$7:$E$2010,$C94,'LAC 102_Wkst'!$G$7:$G$2010,$D94,'LAC 102_Wkst'!$L$7:$L$2010,"08",'LAC 102_Wkst'!$N$7:$N$2010,"P5")</f>
        <v>0</v>
      </c>
      <c r="AL94" s="410">
        <f>SUMIFS('LAC 102_Wkst'!$Q$7:$Q$2010,'LAC 102_Wkst'!$D$7:$D$2010,$C$7,'LAC 102_Wkst'!$I$7:$I$2010,$C$9,'LAC 102_Wkst'!$E$7:$E$2010,$C94,'LAC 102_Wkst'!$G$7:$G$2010,$D94,'LAC 102_Wkst'!$L$7:$L$2010,"09",'LAC 102_Wkst'!$N$7:$N$2010,"P1")+SUMIFS('LAC 102_Wkst'!$Q$7:$Q$2010,'LAC 102_Wkst'!$D$7:$D$2010,$C$7,'LAC 102_Wkst'!$I$7:$I$2010,$C$9,'LAC 102_Wkst'!$E$7:$E$2010,$C94,'LAC 102_Wkst'!$G$7:$G$2010,$D94,'LAC 102_Wkst'!$L$7:$L$2010,"09",'LAC 102_Wkst'!$N$7:$N$2010,"P2")+SUMIFS('LAC 102_Wkst'!$Q$7:$Q$2010,'LAC 102_Wkst'!$D$7:$D$2010,$C$7,'LAC 102_Wkst'!$I$7:$I$2010,$C$9,'LAC 102_Wkst'!$E$7:$E$2010,$C94,'LAC 102_Wkst'!$G$7:$G$2010,$D94,'LAC 102_Wkst'!$L$7:$L$2010,"09",'LAC 102_Wkst'!$N$7:$N$2010,"P3")+SUMIFS('LAC 102_Wkst'!$Q$7:$Q$2010,'LAC 102_Wkst'!$D$7:$D$2010,$C$7,'LAC 102_Wkst'!$I$7:$I$2010,$C$9,'LAC 102_Wkst'!$E$7:$E$2010,$C94,'LAC 102_Wkst'!$G$7:$G$2010,$D94,'LAC 102_Wkst'!$L$7:$L$2010,"09",'LAC 102_Wkst'!$N$7:$N$2010,"P4")</f>
        <v>0</v>
      </c>
      <c r="AM94" s="411">
        <f>SUMIFS('LAC 102_Wkst'!$AF$7:$AF$2010,'LAC 102_Wkst'!$D$7:$D$2010,$C$7,'LAC 102_Wkst'!$I$7:$I$2010,$C$9,'LAC 102_Wkst'!$E$7:$E$2010,$C94,'LAC 102_Wkst'!$G$7:$G$2010,$D94,'LAC 102_Wkst'!$L$7:$L$2010,"09",'LAC 102_Wkst'!$N$7:$N$2010,"P1")+SUMIFS('LAC 102_Wkst'!$AF$7:$AF$2010,'LAC 102_Wkst'!$D$7:$D$2010,$C$7,'LAC 102_Wkst'!$I$7:$I$2010,$C$9,'LAC 102_Wkst'!$E$7:$E$2010,$C94,'LAC 102_Wkst'!$G$7:$G$2010,$D94,'LAC 102_Wkst'!$L$7:$L$2010,"09",'LAC 102_Wkst'!$N$7:$N$2010,"P2")+SUMIFS('LAC 102_Wkst'!$AF$7:$AF$2010,'LAC 102_Wkst'!$D$7:$D$2010,$C$7,'LAC 102_Wkst'!$I$7:$I$2010,$C$9,'LAC 102_Wkst'!$E$7:$E$2010,$C94,'LAC 102_Wkst'!$G$7:$G$2010,$D94,'LAC 102_Wkst'!$L$7:$L$2010,"09",'LAC 102_Wkst'!$N$7:$N$2010,"P3")+SUMIFS('LAC 102_Wkst'!$AF$7:$AF$2010,'LAC 102_Wkst'!$D$7:$D$2010,$C$7,'LAC 102_Wkst'!$I$7:$I$2010,$C$9,'LAC 102_Wkst'!$E$7:$E$2010,$C94,'LAC 102_Wkst'!$G$7:$G$2010,$D94,'LAC 102_Wkst'!$L$7:$L$2010,"09",'LAC 102_Wkst'!$N$7:$N$2010,"P4")</f>
        <v>0</v>
      </c>
      <c r="AN94" s="410">
        <f>SUMIFS('LAC 102_Wkst'!$Q$7:$Q$2010,'LAC 102_Wkst'!$D$7:$D$2010,$C$7,'LAC 102_Wkst'!$I$7:$I$2010,$C$9,'LAC 102_Wkst'!$E$7:$E$2010,$C94,'LAC 102_Wkst'!$G$7:$G$2010,$D94,'LAC 102_Wkst'!$L$7:$L$2010,"09",'LAC 102_Wkst'!$N$7:$N$2010,"P5")</f>
        <v>0</v>
      </c>
      <c r="AO94" s="411">
        <f>SUMIFS('LAC 102_Wkst'!$AF$7:$AF$2010,'LAC 102_Wkst'!$D$7:$D$2010,$C$7,'LAC 102_Wkst'!$I$7:$I$2010,$C$9,'LAC 102_Wkst'!$E$7:$E$2010,$C94,'LAC 102_Wkst'!$G$7:$G$2010,$D94,'LAC 102_Wkst'!$L$7:$L$2010,"09",'LAC 102_Wkst'!$N$7:$N$2010,"P5")</f>
        <v>0</v>
      </c>
      <c r="AP94" s="410">
        <f>SUMIFS('LAC 102_Wkst'!$Q$7:$Q$2010,'LAC 102_Wkst'!$D$7:$D$2010,$C$7,'LAC 102_Wkst'!$I$7:$I$2010,$C$9,'LAC 102_Wkst'!$E$7:$E$2010,$C94,'LAC 102_Wkst'!$G$7:$G$2010,$D94,'LAC 102_Wkst'!$L$7:$L$2010,"10",'LAC 102_Wkst'!$N$7:$N$2010,"P1")+SUMIFS('LAC 102_Wkst'!$Q$7:$Q$2010,'LAC 102_Wkst'!$D$7:$D$2010,$C$7,'LAC 102_Wkst'!$I$7:$I$2010,$C$9,'LAC 102_Wkst'!$E$7:$E$2010,$C94,'LAC 102_Wkst'!$G$7:$G$2010,$D94,'LAC 102_Wkst'!$L$7:$L$2010,"10",'LAC 102_Wkst'!$N$7:$N$2010,"P2")+SUMIFS('LAC 102_Wkst'!$Q$7:$Q$2010,'LAC 102_Wkst'!$D$7:$D$2010,$C$7,'LAC 102_Wkst'!$I$7:$I$2010,$C$9,'LAC 102_Wkst'!$E$7:$E$2010,$C94,'LAC 102_Wkst'!$G$7:$G$2010,$D94,'LAC 102_Wkst'!$L$7:$L$2010,"10",'LAC 102_Wkst'!$N$7:$N$2010,"P3")+SUMIFS('LAC 102_Wkst'!$Q$7:$Q$2010,'LAC 102_Wkst'!$D$7:$D$2010,$C$7,'LAC 102_Wkst'!$I$7:$I$2010,$C$9,'LAC 102_Wkst'!$E$7:$E$2010,$C94,'LAC 102_Wkst'!$G$7:$G$2010,$D94,'LAC 102_Wkst'!$L$7:$L$2010,"10",'LAC 102_Wkst'!$N$7:$N$2010,"P4")</f>
        <v>0</v>
      </c>
      <c r="AQ94" s="411">
        <f>SUMIFS('LAC 102_Wkst'!$AF$7:$AF$2010,'LAC 102_Wkst'!$D$7:$D$2010,$C$7,'LAC 102_Wkst'!$I$7:$I$2010,$C$9,'LAC 102_Wkst'!$E$7:$E$2010,$C94,'LAC 102_Wkst'!$G$7:$G$2010,$D94,'LAC 102_Wkst'!$L$7:$L$2010,"10",'LAC 102_Wkst'!$N$7:$N$2010,"P1")+SUMIFS('LAC 102_Wkst'!$AF$7:$AF$2010,'LAC 102_Wkst'!$D$7:$D$2010,$C$7,'LAC 102_Wkst'!$I$7:$I$2010,$C$9,'LAC 102_Wkst'!$E$7:$E$2010,$C94,'LAC 102_Wkst'!$G$7:$G$2010,$D94,'LAC 102_Wkst'!$L$7:$L$2010,"10",'LAC 102_Wkst'!$N$7:$N$2010,"P2")+SUMIFS('LAC 102_Wkst'!$AF$7:$AF$2010,'LAC 102_Wkst'!$D$7:$D$2010,$C$7,'LAC 102_Wkst'!$I$7:$I$2010,$C$9,'LAC 102_Wkst'!$E$7:$E$2010,$C94,'LAC 102_Wkst'!$G$7:$G$2010,$D94,'LAC 102_Wkst'!$L$7:$L$2010,"10",'LAC 102_Wkst'!$N$7:$N$2010,"P3")+SUMIFS('LAC 102_Wkst'!$AF$7:$AF$2010,'LAC 102_Wkst'!$D$7:$D$2010,$C$7,'LAC 102_Wkst'!$I$7:$I$2010,$C$9,'LAC 102_Wkst'!$E$7:$E$2010,$C94,'LAC 102_Wkst'!$G$7:$G$2010,$D94,'LAC 102_Wkst'!$L$7:$L$2010,"10",'LAC 102_Wkst'!$N$7:$N$2010,"P4")</f>
        <v>0</v>
      </c>
      <c r="AR94" s="410">
        <f>SUMIFS('LAC 102_Wkst'!$Q$7:$Q$2010,'LAC 102_Wkst'!$D$7:$D$2010,$C$7,'LAC 102_Wkst'!$I$7:$I$2010,$C$9,'LAC 102_Wkst'!$E$7:$E$2010,$C94,'LAC 102_Wkst'!$G$7:$G$2010,$D94,'LAC 102_Wkst'!$L$7:$L$2010,"10",'LAC 102_Wkst'!$N$7:$N$2010,"P5")</f>
        <v>0</v>
      </c>
      <c r="AS94" s="411">
        <f>SUMIFS('LAC 102_Wkst'!$AF$7:$AF$2010,'LAC 102_Wkst'!$D$7:$D$2010,$C$7,'LAC 102_Wkst'!$I$7:$I$2010,$C$9,'LAC 102_Wkst'!$E$7:$E$2010,$C94,'LAC 102_Wkst'!$G$7:$G$2010,$D94,'LAC 102_Wkst'!$L$7:$L$2010,"10",'LAC 102_Wkst'!$N$7:$N$2010,"P5")</f>
        <v>0</v>
      </c>
      <c r="AT94" s="410">
        <f>SUMIFS('LAC 102_Wkst'!$Q$7:$Q$2010,'LAC 102_Wkst'!$D$7:$D$2010,$C$7,'LAC 102_Wkst'!$I$7:$I$2010,$C$9,'LAC 102_Wkst'!$E$7:$E$2010,$C94,'LAC 102_Wkst'!$G$7:$G$2010,$D94,'LAC 102_Wkst'!$L$7:$L$2010,"11",'LAC 102_Wkst'!$N$7:$N$2010,"P1")+SUMIFS('LAC 102_Wkst'!$Q$7:$Q$2010,'LAC 102_Wkst'!$D$7:$D$2010,$C$7,'LAC 102_Wkst'!$I$7:$I$2010,$C$9,'LAC 102_Wkst'!$E$7:$E$2010,$C94,'LAC 102_Wkst'!$G$7:$G$2010,$D94,'LAC 102_Wkst'!$L$7:$L$2010,"12",'LAC 102_Wkst'!$N$7:$N$2010,"P1")</f>
        <v>0</v>
      </c>
      <c r="AU94" s="411">
        <f>SUMIFS('LAC 102_Wkst'!$Q$7:$Q$2010,'LAC 102_Wkst'!$D$7:$D$2010,$C$7,'LAC 102_Wkst'!$I$7:$I$2010,$C$9,'LAC 102_Wkst'!$E$7:$E$2010,$C94,'LAC 102_Wkst'!$G$7:$G$2010,$D94,'LAC 102_Wkst'!$L$7:$L$2010,"13",'LAC 102_Wkst'!$N$7:$N$2010,"P5")</f>
        <v>0</v>
      </c>
      <c r="AV94" s="410">
        <f>SUMIFS('LAC 102_Wkst'!$Q$7:$Q$2010,'LAC 102_Wkst'!$D$7:$D$2010,$C$7,'LAC 102_Wkst'!$I$7:$I$2010,$C$9,'LAC 102_Wkst'!$E$7:$E$2010,$C94,'LAC 102_Wkst'!$G$7:$G$2010,$D94,'LAC 102_Wkst'!$L$7:$L$2010,"11",'LAC 102_Wkst'!$N$7:$N$2010,"P2")+SUMIFS('LAC 102_Wkst'!$Q$7:$Q$2010,'LAC 102_Wkst'!$D$7:$D$2010,$C$7,'LAC 102_Wkst'!$I$7:$I$2010,$C$9,'LAC 102_Wkst'!$E$7:$E$2010,$C94,'LAC 102_Wkst'!$G$7:$G$2010,$D94,'LAC 102_Wkst'!$L$7:$L$2010,"12",'LAC 102_Wkst'!$N$7:$N$2010,"P2")+SUMIFS('LAC 102_Wkst'!$Q$7:$Q$2010,'LAC 102_Wkst'!$D$7:$D$2010,$C$7,'LAC 102_Wkst'!$I$7:$I$2010,$C$9,'LAC 102_Wkst'!$E$7:$E$2010,$C94,'LAC 102_Wkst'!$G$7:$G$2010,$D94,'LAC 102_Wkst'!$L$7:$L$2010,"11",'LAC 102_Wkst'!$N$7:$N$2010,"P3")+SUMIFS('LAC 102_Wkst'!$Q$7:$Q$2010,'LAC 102_Wkst'!$D$7:$D$2010,$C$7,'LAC 102_Wkst'!$I$7:$I$2010,$C$9,'LAC 102_Wkst'!$E$7:$E$2010,$C94,'LAC 102_Wkst'!$G$7:$G$2010,$D94,'LAC 102_Wkst'!$L$7:$L$2010,"12",'LAC 102_Wkst'!$N$7:$N$2010,"P3")</f>
        <v>0</v>
      </c>
      <c r="AW94" s="411">
        <f>SUMIFS('LAC 102_Wkst'!$AF$7:$AF$2010,'LAC 102_Wkst'!$D$7:$D$2010,$C$7,'LAC 102_Wkst'!$I$7:$I$2010,$C$9,'LAC 102_Wkst'!$E$7:$E$2010,$C94,'LAC 102_Wkst'!$G$7:$G$2010,$D94,'LAC 102_Wkst'!$L$7:$L$2010,"11",'LAC 102_Wkst'!$N$7:$N$2010,"P2")+SUMIFS('LAC 102_Wkst'!$AF$7:$AF$2010,'LAC 102_Wkst'!$D$7:$D$2010,$C$7,'LAC 102_Wkst'!$I$7:$I$2010,$C$9,'LAC 102_Wkst'!$E$7:$E$2010,$C94,'LAC 102_Wkst'!$G$7:$G$2010,$D94,'LAC 102_Wkst'!$L$7:$L$2010,"12",'LAC 102_Wkst'!$N$7:$N$2010,"P2")+SUMIFS('LAC 102_Wkst'!$AF$7:$AF$2010,'LAC 102_Wkst'!$D$7:$D$2010,$C$7,'LAC 102_Wkst'!$I$7:$I$2010,$C$9,'LAC 102_Wkst'!$E$7:$E$2010,$C94,'LAC 102_Wkst'!$G$7:$G$2010,$D94,'LAC 102_Wkst'!$L$7:$L$2010,"11",'LAC 102_Wkst'!$N$7:$N$2010,"P3")+SUMIFS('LAC 102_Wkst'!$AF$7:$AF$2010,'LAC 102_Wkst'!$D$7:$D$2010,$C$7,'LAC 102_Wkst'!$I$7:$I$2010,$C$9,'LAC 102_Wkst'!$E$7:$E$2010,$C94,'LAC 102_Wkst'!$G$7:$G$2010,$D94,'LAC 102_Wkst'!$L$7:$L$2010,"12",'LAC 102_Wkst'!$N$7:$N$2010,"P3")</f>
        <v>0</v>
      </c>
      <c r="AX94" s="410">
        <f>SUMIFS('LAC 102_Wkst'!$Q$7:$Q$2010,'LAC 102_Wkst'!$D$7:$D$2010,$C$7,'LAC 102_Wkst'!$I$7:$I$2010,$C$9,'LAC 102_Wkst'!$E$7:$E$2010,$C94,'LAC 102_Wkst'!$G$7:$G$2010,$D94,'LAC 102_Wkst'!$L$7:$L$2010,"11",'LAC 102_Wkst'!$N$7:$N$2010,"P4")+SUMIFS('LAC 102_Wkst'!$Q$7:$Q$2010,'LAC 102_Wkst'!$D$7:$D$2010,$C$7,'LAC 102_Wkst'!$I$7:$I$2010,$C$9,'LAC 102_Wkst'!$E$7:$E$2010,$C94,'LAC 102_Wkst'!$G$7:$G$2010,$D94,'LAC 102_Wkst'!$L$7:$L$2010,"12",'LAC 102_Wkst'!$N$7:$N$2010,"P4")</f>
        <v>0</v>
      </c>
      <c r="AY94" s="411">
        <f>SUMIFS('LAC 102_Wkst'!$AF$7:$AF$2010,'LAC 102_Wkst'!$D$7:$D$2010,$C$7,'LAC 102_Wkst'!$I$7:$I$2010,$C$9,'LAC 102_Wkst'!$E$7:$E$2010,$C94,'LAC 102_Wkst'!$G$7:$G$2010,$D94,'LAC 102_Wkst'!$L$7:$L$2010,"11",'LAC 102_Wkst'!$N$7:$N$2010,"P4")+SUMIFS('LAC 102_Wkst'!$AF$7:$AF$2010,'LAC 102_Wkst'!$D$7:$D$2010,$C$7,'LAC 102_Wkst'!$I$7:$I$2010,$C$9,'LAC 102_Wkst'!$E$7:$E$2010,$C94,'LAC 102_Wkst'!$G$7:$G$2010,$D94,'LAC 102_Wkst'!$L$7:$L$2010,"12",'LAC 102_Wkst'!$N$7:$N$2010,"P4")</f>
        <v>0</v>
      </c>
      <c r="AZ94" s="410">
        <f>SUMIFS('LAC 102_Wkst'!$Q$7:$Q$2010,'LAC 102_Wkst'!$D$7:$D$2010,$C$7,'LAC 102_Wkst'!$I$7:$I$2010,$C$9,'LAC 102_Wkst'!$E$7:$E$2010,$C94,'LAC 102_Wkst'!$G$7:$G$2010,$D94,'LAC 102_Wkst'!$L$7:$L$2010,"11",'LAC 102_Wkst'!$N$7:$N$2010,"P5")+SUMIFS('LAC 102_Wkst'!$Q$7:$Q$2010,'LAC 102_Wkst'!$D$7:$D$2010,$C$7,'LAC 102_Wkst'!$I$7:$I$2010,$C$9,'LAC 102_Wkst'!$E$7:$E$2010,$C94,'LAC 102_Wkst'!$G$7:$G$2010,$D94,'LAC 102_Wkst'!$L$7:$L$2010,"12",'LAC 102_Wkst'!$N$7:$N$2010,"P5")</f>
        <v>0</v>
      </c>
      <c r="BA94" s="411">
        <f>SUMIFS('LAC 102_Wkst'!$AF$7:$AF$2010,'LAC 102_Wkst'!$D$7:$D$2010,$C$7,'LAC 102_Wkst'!$I$7:$I$2010,$C$9,'LAC 102_Wkst'!$E$7:$E$2010,$C94,'LAC 102_Wkst'!$G$7:$G$2010,$D94,'LAC 102_Wkst'!$L$7:$L$2010,"11",'LAC 102_Wkst'!$N$7:$N$2010,"P5")+SUMIFS('LAC 102_Wkst'!$AF$7:$AF$2010,'LAC 102_Wkst'!$D$7:$D$2010,$C$7,'LAC 102_Wkst'!$I$7:$I$2010,$C$9,'LAC 102_Wkst'!$E$7:$E$2010,$C94,'LAC 102_Wkst'!$G$7:$G$2010,$D94,'LAC 102_Wkst'!$L$7:$L$2010,"12",'LAC 102_Wkst'!$N$7:$N$2010,"P5")</f>
        <v>0</v>
      </c>
      <c r="BB94" s="410">
        <f>SUMIFS('LAC 102_Wkst'!$Q$7:$Q$2010,'LAC 102_Wkst'!$D$7:$D$2010,$C$7,'LAC 102_Wkst'!$I$7:$I$2010,$C$9,'LAC 102_Wkst'!$E$7:$E$2010,$C94,'LAC 102_Wkst'!$G$7:$G$2010,$D94,'LAC 102_Wkst'!$L$7:$L$2010,"13",'LAC 102_Wkst'!$N$7:$N$2010,"P1")+SUMIFS('LAC 102_Wkst'!$Q$7:$Q$2010,'LAC 102_Wkst'!$D$7:$D$2010,$C$7,'LAC 102_Wkst'!$I$7:$I$2010,$C$9,'LAC 102_Wkst'!$E$7:$E$2010,$C94,'LAC 102_Wkst'!$G$7:$G$2010,$D94,'LAC 102_Wkst'!$L$7:$L$2010,"13",'LAC 102_Wkst'!$N$7:$N$2010,"P2")+SUMIFS('LAC 102_Wkst'!$Q$7:$Q$2010,'LAC 102_Wkst'!$D$7:$D$2010,$C$7,'LAC 102_Wkst'!$I$7:$I$2010,$C$9,'LAC 102_Wkst'!$E$7:$E$2010,$C94,'LAC 102_Wkst'!$G$7:$G$2010,$D94,'LAC 102_Wkst'!$L$7:$L$2010,"13",'LAC 102_Wkst'!$N$7:$N$2010,"P3")+SUMIFS('LAC 102_Wkst'!$Q$7:$Q$2010,'LAC 102_Wkst'!$D$7:$D$2010,$C$7,'LAC 102_Wkst'!$I$7:$I$2010,$C$9,'LAC 102_Wkst'!$E$7:$E$2010,$C94,'LAC 102_Wkst'!$G$7:$G$2010,$D94,'LAC 102_Wkst'!$L$7:$L$2010,"13",'LAC 102_Wkst'!$N$7:$N$2010,"P4")</f>
        <v>0</v>
      </c>
      <c r="BC94" s="411">
        <f>SUMIFS('LAC 102_Wkst'!$AF$7:$AF$2010,'LAC 102_Wkst'!$D$7:$D$2010,$C$7,'LAC 102_Wkst'!$I$7:$I$2010,$C$9,'LAC 102_Wkst'!$E$7:$E$2010,$C94,'LAC 102_Wkst'!$G$7:$G$2010,$D94,'LAC 102_Wkst'!$L$7:$L$2010,"13",'LAC 102_Wkst'!$N$7:$N$2010,"P1")+SUMIFS('LAC 102_Wkst'!$AF$7:$AF$2010,'LAC 102_Wkst'!$D$7:$D$2010,$C$7,'LAC 102_Wkst'!$I$7:$I$2010,$C$9,'LAC 102_Wkst'!$E$7:$E$2010,$C94,'LAC 102_Wkst'!$G$7:$G$2010,$D94,'LAC 102_Wkst'!$L$7:$L$2010,"13",'LAC 102_Wkst'!$N$7:$N$2010,"P2")+SUMIFS('LAC 102_Wkst'!$AF$7:$AF$2010,'LAC 102_Wkst'!$D$7:$D$2010,$C$7,'LAC 102_Wkst'!$I$7:$I$2010,$C$9,'LAC 102_Wkst'!$E$7:$E$2010,$C94,'LAC 102_Wkst'!$G$7:$G$2010,$D94,'LAC 102_Wkst'!$L$7:$L$2010,"13",'LAC 102_Wkst'!$N$7:$N$2010,"P3")+SUMIFS('LAC 102_Wkst'!$AF$7:$AF$2010,'LAC 102_Wkst'!$D$7:$D$2010,$C$7,'LAC 102_Wkst'!$I$7:$I$2010,$C$9,'LAC 102_Wkst'!$E$7:$E$2010,$C94,'LAC 102_Wkst'!$G$7:$G$2010,$D94,'LAC 102_Wkst'!$L$7:$L$2010,"13",'LAC 102_Wkst'!$N$7:$N$2010,"P4")</f>
        <v>0</v>
      </c>
      <c r="BD94" s="410">
        <f>SUMIFS('LAC 102_Wkst'!$Q$7:$Q$2010,'LAC 102_Wkst'!$D$7:$D$2010,$C$7,'LAC 102_Wkst'!$I$7:$I$2010,$C$9,'LAC 102_Wkst'!$E$7:$E$2010,$C94,'LAC 102_Wkst'!$G$7:$G$2010,$D94,'LAC 102_Wkst'!$L$7:$L$2010,"13",'LAC 102_Wkst'!$N$7:$N$2010,"P5")</f>
        <v>0</v>
      </c>
      <c r="BE94" s="411">
        <f>SUMIFS('LAC 102_Wkst'!$AF$7:$AF$2010,'LAC 102_Wkst'!$D$7:$D$2010,$C$7,'LAC 102_Wkst'!$I$7:$I$2010,$C$9,'LAC 102_Wkst'!$E$7:$E$2010,$C94,'LAC 102_Wkst'!$G$7:$G$2010,$D94,'LAC 102_Wkst'!$L$7:$L$2010,"13",'LAC 102_Wkst'!$N$7:$N$2010,"P5")</f>
        <v>0</v>
      </c>
      <c r="BF94" s="407">
        <f t="shared" si="5"/>
        <v>0</v>
      </c>
      <c r="BG94" s="1654">
        <f>SUMIFS('LAC 102_Wkst'!$AF$7:$AF$2010,'LAC 102_Wkst'!$D$7:$D$2010,$C$7,'LAC 102_Wkst'!$I$7:$I$2010,$C$9,'LAC 102_Wkst'!$E$7:$E$2010,$C94,'LAC 102_Wkst'!$G$7:$G$2010,$D94,'LAC 102_Wkst'!$L$7:$L$2010,"14")</f>
        <v>0</v>
      </c>
    </row>
    <row r="95" spans="1:59" x14ac:dyDescent="0.2">
      <c r="A95" s="401">
        <v>73</v>
      </c>
      <c r="B95" s="1678" t="str">
        <f>IF(Schedule_B!B$92="","",Schedule_B!B$92)</f>
        <v/>
      </c>
      <c r="C95" s="1674" t="str">
        <f>IF(Schedule_B!C$92=""," ",Schedule_B!C$92)</f>
        <v xml:space="preserve"> </v>
      </c>
      <c r="D95" s="1675" t="str">
        <f>IF(Schedule_B!D$92=""," ",Schedule_B!D$92)</f>
        <v xml:space="preserve"> </v>
      </c>
      <c r="E95" s="1221">
        <f>SUMIFS('LAC 102_Wkst'!$Q$7:$Q$2010,'LAC 102_Wkst'!$D$7:$D$2010,$C$7,'LAC 102_Wkst'!$I$7:$I$2010,$C$9,'LAC 102_Wkst'!$E$7:$E$2010,$C95,'LAC 102_Wkst'!$G$7:$G$2010,$D95)</f>
        <v>0</v>
      </c>
      <c r="F95" s="408">
        <f>SUMIFS('LAC 102_Wkst'!$Q$7:$Q$2010,'LAC 102_Wkst'!$D$7:$D$2010,$C$7,'LAC 102_Wkst'!$I$7:$I$2010,$C$9,'LAC 102_Wkst'!$E$7:$E$2010,$C95,'LAC 102_Wkst'!$G$7:$G$2010,$D95,'LAC 102_Wkst'!$L$7:$L$2010,"01",'LAC 102_Wkst'!$N$7:$N$2010,"P1")+SUMIFS('LAC 102_Wkst'!$Q$7:$Q$2010,'LAC 102_Wkst'!$D$7:$D$2010,$C$7,'LAC 102_Wkst'!$I$7:$I$2010,$C$9,'LAC 102_Wkst'!$E$7:$E$2010,$C95,'LAC 102_Wkst'!$G$7:$G$2010,$D95,'LAC 102_Wkst'!$L$7:$L$2010,"01",'LAC 102_Wkst'!$N$7:$N$2010,"P2")+SUMIFS('LAC 102_Wkst'!$Q$7:$Q$2010,'LAC 102_Wkst'!$D$7:$D$2010,$C$7,'LAC 102_Wkst'!$I$7:$I$2010,$C$9,'LAC 102_Wkst'!$E$7:$E$2010,$C95,'LAC 102_Wkst'!$G$7:$G$2010,$D95,'LAC 102_Wkst'!$L$7:$L$2010,"01",'LAC 102_Wkst'!$N$7:$N$2010,"P3")+SUMIFS('LAC 102_Wkst'!$Q$7:$Q$2010,'LAC 102_Wkst'!$D$7:$D$2010,$C$7,'LAC 102_Wkst'!$I$7:$I$2010,$C$9,'LAC 102_Wkst'!$E$7:$E$2010,$C95,'LAC 102_Wkst'!$G$7:$G$2010,$D95,'LAC 102_Wkst'!$L$7:$L$2010,"02",'LAC 102_Wkst'!$N$7:$N$2010,"P1")+SUMIFS('LAC 102_Wkst'!$Q$7:$Q$2010,'LAC 102_Wkst'!$D$7:$D$2010,$C$7,'LAC 102_Wkst'!$I$7:$I$2010,$C$9,'LAC 102_Wkst'!$E$7:$E$2010,$C95,'LAC 102_Wkst'!$G$7:$G$2010,$D95,'LAC 102_Wkst'!$L$7:$L$2010,"02",'LAC 102_Wkst'!$N$7:$N$2010,"P2")+SUMIFS('LAC 102_Wkst'!$Q$7:$Q$2010,'LAC 102_Wkst'!$D$7:$D$2010,$C$7,'LAC 102_Wkst'!$I$7:$I$2010,$C$9,'LAC 102_Wkst'!$E$7:$E$2010,$C95,'LAC 102_Wkst'!$G$7:$G$2010,$D95,'LAC 102_Wkst'!$L$7:$L$2010,"02",'LAC 102_Wkst'!$N$7:$N$2010,"P3")</f>
        <v>0</v>
      </c>
      <c r="G95" s="409">
        <f>SUMIFS('LAC 102_Wkst'!$AF$7:$AF$2010,'LAC 102_Wkst'!$D$7:$D$2010,$C$7,'LAC 102_Wkst'!$I$7:$I$2010,$C$9,'LAC 102_Wkst'!$E$7:$E$2010,$C95,'LAC 102_Wkst'!$G$7:$G$2010,$D95,'LAC 102_Wkst'!$L$7:$L$2010,"01",'LAC 102_Wkst'!$N$7:$N$2010,"P1")+SUMIFS('LAC 102_Wkst'!$AF$7:$AF$2010,'LAC 102_Wkst'!$D$7:$D$2010,$C$7,'LAC 102_Wkst'!$I$7:$I$2010,$C$9,'LAC 102_Wkst'!$E$7:$E$2010,$C95,'LAC 102_Wkst'!$G$7:$G$2010,$D95,'LAC 102_Wkst'!$L$7:$L$2010,"01",'LAC 102_Wkst'!$N$7:$N$2010,"P2")+SUMIFS('LAC 102_Wkst'!$AF$7:$AF$2010,'LAC 102_Wkst'!$D$7:$D$2010,$C$7,'LAC 102_Wkst'!$I$7:$I$2010,$C$9,'LAC 102_Wkst'!$E$7:$E$2010,$C95,'LAC 102_Wkst'!$G$7:$G$2010,$D95,'LAC 102_Wkst'!$L$7:$L$2010,"01",'LAC 102_Wkst'!$N$7:$N$2010,"P3")+SUMIFS('LAC 102_Wkst'!$AF$7:$AF$2010,'LAC 102_Wkst'!$D$7:$D$2010,$C$7,'LAC 102_Wkst'!$I$7:$I$2010,$C$9,'LAC 102_Wkst'!$E$7:$E$2010,$C95,'LAC 102_Wkst'!$G$7:$G$2010,$D95,'LAC 102_Wkst'!$L$7:$L$2010,"02",'LAC 102_Wkst'!$N$7:$N$2010,"P1")+SUMIFS('LAC 102_Wkst'!$AF$7:$AF$2010,'LAC 102_Wkst'!$D$7:$D$2010,$C$7,'LAC 102_Wkst'!$I$7:$I$2010,$C$9,'LAC 102_Wkst'!$E$7:$E$2010,$C95,'LAC 102_Wkst'!$G$7:$G$2010,$D95,'LAC 102_Wkst'!$L$7:$L$2010,"02",'LAC 102_Wkst'!$N$7:$N$2010,"P2")+SUMIFS('LAC 102_Wkst'!$AF$7:$AF$2010,'LAC 102_Wkst'!$D$7:$D$2010,$C$7,'LAC 102_Wkst'!$I$7:$I$2010,$C$9,'LAC 102_Wkst'!$E$7:$E$2010,$C95,'LAC 102_Wkst'!$G$7:$G$2010,$D95,'LAC 102_Wkst'!$L$7:$L$2010,"02",'LAC 102_Wkst'!$N$7:$N$2010,"P3")</f>
        <v>0</v>
      </c>
      <c r="H95" s="410">
        <f>SUMIFS('LAC 102_Wkst'!$Q$7:$Q$2010,'LAC 102_Wkst'!$D$7:$D$2010,$C$7,'LAC 102_Wkst'!$I$7:$I$2010,$C$9,'LAC 102_Wkst'!$E$7:$E$2010,$C95,'LAC 102_Wkst'!$G$7:$G$2010,$D95,'LAC 102_Wkst'!$L$7:$L$2010,"01",'LAC 102_Wkst'!$N$7:$N$2010,"P4")+SUMIFS('LAC 102_Wkst'!$Q$7:$Q$2010,'LAC 102_Wkst'!$D$7:$D$2010,$C$7,'LAC 102_Wkst'!$I$7:$I$2010,$C$9,'LAC 102_Wkst'!$E$7:$E$2010,$C95,'LAC 102_Wkst'!$G$7:$G$2010,$D95,'LAC 102_Wkst'!$L$7:$L$2010,"02",'LAC 102_Wkst'!$N$7:$N$2010,"P4")</f>
        <v>0</v>
      </c>
      <c r="I95" s="411">
        <f>SUMIFS('LAC 102_Wkst'!$AF$7:$AF$2010,'LAC 102_Wkst'!$D$7:$D$2010,$C$7,'LAC 102_Wkst'!$I$7:$I$2010,$C$9,'LAC 102_Wkst'!$E$7:$E$2010,$C95,'LAC 102_Wkst'!$G$7:$G$2010,$D95,'LAC 102_Wkst'!$L$7:$L$2010,"01",'LAC 102_Wkst'!$N$7:$N$2010,"P4")+SUMIFS('LAC 102_Wkst'!$AF$7:$AF$2010,'LAC 102_Wkst'!$D$7:$D$2010,$C$7,'LAC 102_Wkst'!$I$7:$I$2010,$C$9,'LAC 102_Wkst'!$E$7:$E$2010,$C95,'LAC 102_Wkst'!$G$7:$G$2010,$D95,'LAC 102_Wkst'!$L$7:$L$2010,"02",'LAC 102_Wkst'!$N$7:$N$2010,"P4")</f>
        <v>0</v>
      </c>
      <c r="J95" s="410">
        <f>SUMIFS('LAC 102_Wkst'!$Q$7:$Q$2010,'LAC 102_Wkst'!$D$7:$D$2010,$C$7,'LAC 102_Wkst'!$I$7:$I$2010,$C$9,'LAC 102_Wkst'!$E$7:$E$2010,$C95,'LAC 102_Wkst'!$G$7:$G$2010,$D95,'LAC 102_Wkst'!$L$7:$L$2010,"01",'LAC 102_Wkst'!$N$7:$N$2010,"P5")+SUMIFS('LAC 102_Wkst'!$Q$7:$Q$2010,'LAC 102_Wkst'!$D$7:$D$2010,$C$7,'LAC 102_Wkst'!$I$7:$I$2010,$C$9,'LAC 102_Wkst'!$E$7:$E$2010,$C95,'LAC 102_Wkst'!$G$7:$G$2010,$D95,'LAC 102_Wkst'!$L$7:$L$2010,"02",'LAC 102_Wkst'!$N$7:$N$2010,"P5")</f>
        <v>0</v>
      </c>
      <c r="K95" s="411">
        <f>SUMIFS('LAC 102_Wkst'!$AF$7:$AF$2010,'LAC 102_Wkst'!$D$7:$D$2010,$C$7,'LAC 102_Wkst'!$I$7:$I$2010,$C$9,'LAC 102_Wkst'!$E$7:$E$2010,$C95,'LAC 102_Wkst'!$G$7:$G$2010,$D95,'LAC 102_Wkst'!$L$7:$L$2010,"01",'LAC 102_Wkst'!$N$7:$N$2010,"P5")+SUMIFS('LAC 102_Wkst'!$AF$7:$AF$2010,'LAC 102_Wkst'!$D$7:$D$2010,$C$7,'LAC 102_Wkst'!$I$7:$I$2010,$C$9,'LAC 102_Wkst'!$E$7:$E$2010,$C95,'LAC 102_Wkst'!$G$7:$G$2010,$D95,'LAC 102_Wkst'!$L$7:$L$2010,"02",'LAC 102_Wkst'!$N$7:$N$2010,"P5")</f>
        <v>0</v>
      </c>
      <c r="L95" s="410">
        <f>SUMIFS('LAC 102_Wkst'!$Q$7:$Q$2010,'LAC 102_Wkst'!$D$7:$D$2010,$C$7,'LAC 102_Wkst'!$I$7:$I$2010,$C$9,'LAC 102_Wkst'!$E$7:$E$2010,$C95,'LAC 102_Wkst'!$G$7:$G$2010,$D95,'LAC 102_Wkst'!$L$7:$L$2010,"03",'LAC 102_Wkst'!$N$7:$N$2010,"P1")+SUMIFS('LAC 102_Wkst'!$Q$7:$Q$2010,'LAC 102_Wkst'!$D$7:$D$2010,$C$7,'LAC 102_Wkst'!$I$7:$I$2010,$C$9,'LAC 102_Wkst'!$E$7:$E$2010,$C95,'LAC 102_Wkst'!$G$7:$G$2010,$D95,'LAC 102_Wkst'!$L$7:$L$2010,"03",'LAC 102_Wkst'!$N$7:$N$2010,"P2")+SUMIFS('LAC 102_Wkst'!$Q$7:$Q$2010,'LAC 102_Wkst'!$D$7:$D$2010,$C$7,'LAC 102_Wkst'!$I$7:$I$2010,$C$9,'LAC 102_Wkst'!$E$7:$E$2010,$C95,'LAC 102_Wkst'!$G$7:$G$2010,$D95,'LAC 102_Wkst'!$L$7:$L$2010,"03",'LAC 102_Wkst'!$N$7:$N$2010,"P3")+SUMIFS('LAC 102_Wkst'!$Q$7:$Q$2010,'LAC 102_Wkst'!$D$7:$D$2010,$C$7,'LAC 102_Wkst'!$I$7:$I$2010,$C$9,'LAC 102_Wkst'!$E$7:$E$2010,$C95,'LAC 102_Wkst'!$G$7:$G$2010,$D95,'LAC 102_Wkst'!$L$7:$L$2010,"04",'LAC 102_Wkst'!$N$7:$N$2010,"P1")+SUMIFS('LAC 102_Wkst'!$Q$7:$Q$2010,'LAC 102_Wkst'!$D$7:$D$2010,$C$7,'LAC 102_Wkst'!$I$7:$I$2010,$C$9,'LAC 102_Wkst'!$E$7:$E$2010,$C95,'LAC 102_Wkst'!$G$7:$G$2010,$D95,'LAC 102_Wkst'!$L$7:$L$2010,"04",'LAC 102_Wkst'!$N$7:$N$2010,"P2")+SUMIFS('LAC 102_Wkst'!$Q$7:$Q$2010,'LAC 102_Wkst'!$D$7:$D$2010,$C$7,'LAC 102_Wkst'!$I$7:$I$2010,$C$9,'LAC 102_Wkst'!$E$7:$E$2010,$C95,'LAC 102_Wkst'!$G$7:$G$2010,$D95,'LAC 102_Wkst'!$L$7:$L$2010,"04",'LAC 102_Wkst'!$N$7:$N$2010,"P3")</f>
        <v>0</v>
      </c>
      <c r="M95" s="411">
        <f>SUMIFS('LAC 102_Wkst'!$AF$7:$AF$2010,'LAC 102_Wkst'!$D$7:$D$2010,$C$7,'LAC 102_Wkst'!$I$7:$I$2010,$C$9,'LAC 102_Wkst'!$E$7:$E$2010,$C95,'LAC 102_Wkst'!$G$7:$G$2010,$D95,'LAC 102_Wkst'!$L$7:$L$2010,"03",'LAC 102_Wkst'!$N$7:$N$2010,"P1")+SUMIFS('LAC 102_Wkst'!$AF$7:$AF$2010,'LAC 102_Wkst'!$D$7:$D$2010,$C$7,'LAC 102_Wkst'!$I$7:$I$2010,$C$9,'LAC 102_Wkst'!$E$7:$E$2010,$C95,'LAC 102_Wkst'!$G$7:$G$2010,$D95,'LAC 102_Wkst'!$L$7:$L$2010,"03",'LAC 102_Wkst'!$N$7:$N$2010,"P2")+SUMIFS('LAC 102_Wkst'!$AF$7:$AF$2010,'LAC 102_Wkst'!$D$7:$D$2010,$C$7,'LAC 102_Wkst'!$I$7:$I$2010,$C$9,'LAC 102_Wkst'!$E$7:$E$2010,$C95,'LAC 102_Wkst'!$G$7:$G$2010,$D95,'LAC 102_Wkst'!$L$7:$L$2010,"03",'LAC 102_Wkst'!$N$7:$N$2010,"P3")+SUMIFS('LAC 102_Wkst'!$AF$7:$AF$2010,'LAC 102_Wkst'!$D$7:$D$2010,$C$7,'LAC 102_Wkst'!$I$7:$I$2010,$C$9,'LAC 102_Wkst'!$E$7:$E$2010,$C95,'LAC 102_Wkst'!$G$7:$G$2010,$D95,'LAC 102_Wkst'!$L$7:$L$2010,"04",'LAC 102_Wkst'!$N$7:$N$2010,"P1")+SUMIFS('LAC 102_Wkst'!$AF$7:$AF$2010,'LAC 102_Wkst'!$D$7:$D$2010,$C$7,'LAC 102_Wkst'!$I$7:$I$2010,$C$9,'LAC 102_Wkst'!$E$7:$E$2010,$C95,'LAC 102_Wkst'!$G$7:$G$2010,$D95,'LAC 102_Wkst'!$L$7:$L$2010,"04",'LAC 102_Wkst'!$N$7:$N$2010,"P2")+SUMIFS('LAC 102_Wkst'!$AF$7:$AF$2010,'LAC 102_Wkst'!$D$7:$D$2010,$C$7,'LAC 102_Wkst'!$I$7:$I$2010,$C$9,'LAC 102_Wkst'!$E$7:$E$2010,$C95,'LAC 102_Wkst'!$G$7:$G$2010,$D95,'LAC 102_Wkst'!$L$7:$L$2010,"04",'LAC 102_Wkst'!$N$7:$N$2010,"P3")</f>
        <v>0</v>
      </c>
      <c r="N95" s="410">
        <f>SUMIFS('LAC 102_Wkst'!$Q$7:$Q$2010,'LAC 102_Wkst'!$D$7:$D$2010,$C$7,'LAC 102_Wkst'!$I$7:$I$2010,$C$9,'LAC 102_Wkst'!$E$7:$E$2010,$C95,'LAC 102_Wkst'!$G$7:$G$2010,$D95,'LAC 102_Wkst'!$L$7:$L$2010,"03",'LAC 102_Wkst'!$N$7:$N$2010,"P4")+SUMIFS('LAC 102_Wkst'!$Q$7:$Q$2010,'LAC 102_Wkst'!$D$7:$D$2010,$C$7,'LAC 102_Wkst'!$I$7:$I$2010,$C$9,'LAC 102_Wkst'!$E$7:$E$2010,$C95,'LAC 102_Wkst'!$G$7:$G$2010,$D95,'LAC 102_Wkst'!$L$7:$L$2010,"04",'LAC 102_Wkst'!$N$7:$N$2010,"P4")</f>
        <v>0</v>
      </c>
      <c r="O95" s="411">
        <f>SUMIFS('LAC 102_Wkst'!$AF$7:$AF$2010,'LAC 102_Wkst'!$D$7:$D$2010,$C$7,'LAC 102_Wkst'!$I$7:$I$2010,$C$9,'LAC 102_Wkst'!$E$7:$E$2010,$C95,'LAC 102_Wkst'!$G$7:$G$2010,$D95,'LAC 102_Wkst'!$L$7:$L$2010,"03",'LAC 102_Wkst'!$N$7:$N$2010,"P4")+SUMIFS('LAC 102_Wkst'!$AF$7:$AF$2010,'LAC 102_Wkst'!$D$7:$D$2010,$C$7,'LAC 102_Wkst'!$I$7:$I$2010,$C$9,'LAC 102_Wkst'!$E$7:$E$2010,$C95,'LAC 102_Wkst'!$G$7:$G$2010,$D95,'LAC 102_Wkst'!$L$7:$L$2010,"04",'LAC 102_Wkst'!$N$7:$N$2010,"P4")</f>
        <v>0</v>
      </c>
      <c r="P95" s="410">
        <f>SUMIFS('LAC 102_Wkst'!$Q$7:$Q$2010,'LAC 102_Wkst'!$D$7:$D$2010,$C$7,'LAC 102_Wkst'!$I$7:$I$2010,$C$9,'LAC 102_Wkst'!$E$7:$E$2010,$C95,'LAC 102_Wkst'!$G$7:$G$2010,$D95,'LAC 102_Wkst'!$L$7:$L$2010,"03",'LAC 102_Wkst'!$N$7:$N$2010,"P5")+SUMIFS('LAC 102_Wkst'!$Q$7:$Q$2010,'LAC 102_Wkst'!$D$7:$D$2010,$C$7,'LAC 102_Wkst'!$I$7:$I$2010,$C$9,'LAC 102_Wkst'!$E$7:$E$2010,$C95,'LAC 102_Wkst'!$G$7:$G$2010,$D95,'LAC 102_Wkst'!$L$7:$L$2010,"04",'LAC 102_Wkst'!$N$7:$N$2010,"P5")</f>
        <v>0</v>
      </c>
      <c r="Q95" s="411">
        <f>SUMIFS('LAC 102_Wkst'!$AF$7:$AF$2010,'LAC 102_Wkst'!$D$7:$D$2010,$C$7,'LAC 102_Wkst'!$I$7:$I$2010,$C$9,'LAC 102_Wkst'!$E$7:$E$2010,$C95,'LAC 102_Wkst'!$G$7:$G$2010,$D95,'LAC 102_Wkst'!$L$7:$L$2010,"03",'LAC 102_Wkst'!$N$7:$N$2010,"P5")+SUMIFS('LAC 102_Wkst'!$AF$7:$AF$2010,'LAC 102_Wkst'!$D$7:$D$2010,$C$7,'LAC 102_Wkst'!$I$7:$I$2010,$C$9,'LAC 102_Wkst'!$E$7:$E$2010,$C95,'LAC 102_Wkst'!$G$7:$G$2010,$D95,'LAC 102_Wkst'!$L$7:$L$2010,"04",'LAC 102_Wkst'!$N$7:$N$2010,"P5")</f>
        <v>0</v>
      </c>
      <c r="R95" s="412">
        <f>SUMIFS('LAC 102_Wkst'!$Q$7:$Q$2010,'LAC 102_Wkst'!$D$7:$D$2010,$C$7,'LAC 102_Wkst'!$I$7:$I$2010,$C$9,'LAC 102_Wkst'!$E$7:$E$2010,$C95,'LAC 102_Wkst'!$G$7:$G$2010,$D95,'LAC 102_Wkst'!$L$7:$L$2010,"05",'LAC 102_Wkst'!$N$7:$N$2010,"P1")+SUMIFS('LAC 102_Wkst'!$Q$7:$Q$2010,'LAC 102_Wkst'!$D$7:$D$2010,$C$7,'LAC 102_Wkst'!$I$7:$I$2010,$C$9,'LAC 102_Wkst'!$E$7:$E$2010,$C95,'LAC 102_Wkst'!$G$7:$G$2010,$D95,'LAC 102_Wkst'!$L$7:$L$2010,"06",'LAC 102_Wkst'!$N$7:$N$2010,"P1")</f>
        <v>0</v>
      </c>
      <c r="S95" s="411">
        <f>SUMIFS('LAC 102_Wkst'!$AF$7:$AF$2010,'LAC 102_Wkst'!$D$7:$D$2010,$C$7,'LAC 102_Wkst'!$I$7:$I$2010,$C$9,'LAC 102_Wkst'!$E$7:$E$2010,$C95,'LAC 102_Wkst'!$G$7:$G$2010,$D95,'LAC 102_Wkst'!$L$7:$L$2010,"05",'LAC 102_Wkst'!$N$7:$N$2010,"P1")+SUMIFS('LAC 102_Wkst'!$AF$7:$AF$2010,'LAC 102_Wkst'!$D$7:$D$2010,$C$7,'LAC 102_Wkst'!$I$7:$I$2010,$C$9,'LAC 102_Wkst'!$E$7:$E$2010,$C95,'LAC 102_Wkst'!$G$7:$G$2010,$D95,'LAC 102_Wkst'!$L$7:$L$2010,"06",'LAC 102_Wkst'!$N$7:$N$2010,"P1")</f>
        <v>0</v>
      </c>
      <c r="T95" s="410">
        <f>SUMIFS('LAC 102_Wkst'!$Q$7:$Q$2010,'LAC 102_Wkst'!$D$7:$D$2010,$C$7,'LAC 102_Wkst'!$I$7:$I$2010,$C$9,'LAC 102_Wkst'!$E$7:$E$2010,$C95,'LAC 102_Wkst'!$G$7:$G$2010,$D95,'LAC 102_Wkst'!$L$7:$L$2010,"05",'LAC 102_Wkst'!$N$7:$N$2010,"P2")+SUMIFS('LAC 102_Wkst'!$Q$7:$Q$2010,'LAC 102_Wkst'!$D$7:$D$2010,$C$7,'LAC 102_Wkst'!$I$7:$I$2010,$C$9,'LAC 102_Wkst'!$E$7:$E$2010,$C95,'LAC 102_Wkst'!$G$7:$G$2010,$D95,'LAC 102_Wkst'!$L$7:$L$2010,"06",'LAC 102_Wkst'!$N$7:$N$2010,"P2")+SUMIFS('LAC 102_Wkst'!$Q$7:$Q$2010,'LAC 102_Wkst'!$D$7:$D$2010,$C$7,'LAC 102_Wkst'!$I$7:$I$2010,$C$9,'LAC 102_Wkst'!$E$7:$E$2010,$C95,'LAC 102_Wkst'!$G$7:$G$2010,$D95,'LAC 102_Wkst'!$L$7:$L$2010,"05",'LAC 102_Wkst'!$N$7:$N$2010,"P3")+SUMIFS('LAC 102_Wkst'!$Q$7:$Q$2010,'LAC 102_Wkst'!$D$7:$D$2010,$C$7,'LAC 102_Wkst'!$I$7:$I$2010,$C$9,'LAC 102_Wkst'!$E$7:$E$2010,$C95,'LAC 102_Wkst'!$G$7:$G$2010,$D95,'LAC 102_Wkst'!$L$7:$L$2010,"06",'LAC 102_Wkst'!$N$7:$N$2010,"P3")</f>
        <v>0</v>
      </c>
      <c r="U95" s="411">
        <f>SUMIFS('LAC 102_Wkst'!$AF$7:$AF$2010,'LAC 102_Wkst'!$D$7:$D$2010,$C$7,'LAC 102_Wkst'!$I$7:$I$2010,$C$9,'LAC 102_Wkst'!$E$7:$E$2010,$C95,'LAC 102_Wkst'!$G$7:$G$2010,$D95,'LAC 102_Wkst'!$L$7:$L$2010,"05",'LAC 102_Wkst'!$N$7:$N$2010,"P2")+SUMIFS('LAC 102_Wkst'!$AF$7:$AF$2010,'LAC 102_Wkst'!$D$7:$D$2010,$C$7,'LAC 102_Wkst'!$I$7:$I$2010,$C$9,'LAC 102_Wkst'!$E$7:$E$2010,$C95,'LAC 102_Wkst'!$G$7:$G$2010,$D95,'LAC 102_Wkst'!$L$7:$L$2010,"06",'LAC 102_Wkst'!$N$7:$N$2010,"P2")+SUMIFS('LAC 102_Wkst'!$AF$7:$AF$2010,'LAC 102_Wkst'!$D$7:$D$2010,$C$7,'LAC 102_Wkst'!$I$7:$I$2010,$C$9,'LAC 102_Wkst'!$E$7:$E$2010,$C95,'LAC 102_Wkst'!$G$7:$G$2010,$D95,'LAC 102_Wkst'!$L$7:$L$2010,"05",'LAC 102_Wkst'!$N$7:$N$2010,"P3")+SUMIFS('LAC 102_Wkst'!$AF$7:$AF$2010,'LAC 102_Wkst'!$D$7:$D$2010,$C$7,'LAC 102_Wkst'!$I$7:$I$2010,$C$9,'LAC 102_Wkst'!$E$7:$E$2010,$C95,'LAC 102_Wkst'!$G$7:$G$2010,$D95,'LAC 102_Wkst'!$L$7:$L$2010,"06",'LAC 102_Wkst'!$N$7:$N$2010,"P3")</f>
        <v>0</v>
      </c>
      <c r="V95" s="410">
        <f>SUMIFS('LAC 102_Wkst'!$Q$7:$Q$2010,'LAC 102_Wkst'!$D$7:$D$2010,$C$7,'LAC 102_Wkst'!$I$7:$I$2010,$C$9,'LAC 102_Wkst'!$E$7:$E$2010,$C95,'LAC 102_Wkst'!$G$7:$G$2010,$D95,'LAC 102_Wkst'!$L$7:$L$2010,"05",'LAC 102_Wkst'!$N$7:$N$2010,"P4")+SUMIFS('LAC 102_Wkst'!$Q$7:$Q$2010,'LAC 102_Wkst'!$D$7:$D$2010,$C$7,'LAC 102_Wkst'!$I$7:$I$2010,$C$9,'LAC 102_Wkst'!$E$7:$E$2010,$C95,'LAC 102_Wkst'!$G$7:$G$2010,$D95,'LAC 102_Wkst'!$L$7:$L$2010,"06",'LAC 102_Wkst'!$N$7:$N$2010,"P4")</f>
        <v>0</v>
      </c>
      <c r="W95" s="411">
        <f>SUMIFS('LAC 102_Wkst'!$AF$7:$AF$2010,'LAC 102_Wkst'!$D$7:$D$2010,$C$7,'LAC 102_Wkst'!$I$7:$I$2010,$C$9,'LAC 102_Wkst'!$E$7:$E$2010,$C95,'LAC 102_Wkst'!$G$7:$G$2010,$D95,'LAC 102_Wkst'!$L$7:$L$2010,"05",'LAC 102_Wkst'!$N$7:$N$2010,"P4")+SUMIFS('LAC 102_Wkst'!$AF$7:$AF$2010,'LAC 102_Wkst'!$D$7:$D$2010,$C$7,'LAC 102_Wkst'!$I$7:$I$2010,$C$9,'LAC 102_Wkst'!$E$7:$E$2010,$C95,'LAC 102_Wkst'!$G$7:$G$2010,$D95,'LAC 102_Wkst'!$L$7:$L$2010,"06",'LAC 102_Wkst'!$N$7:$N$2010,"P4")</f>
        <v>0</v>
      </c>
      <c r="X95" s="410">
        <f>SUMIFS('LAC 102_Wkst'!$Q$7:$Q$2010,'LAC 102_Wkst'!$D$7:$D$2010,$C$7,'LAC 102_Wkst'!$I$7:$I$2010,$C$9,'LAC 102_Wkst'!$E$7:$E$2010,$C95,'LAC 102_Wkst'!$G$7:$G$2010,$D95,'LAC 102_Wkst'!$L$7:$L$2010,"05",'LAC 102_Wkst'!$N$7:$N$2010,"P5")+SUMIFS('LAC 102_Wkst'!$Q$7:$Q$2010,'LAC 102_Wkst'!$D$7:$D$2010,$C$7,'LAC 102_Wkst'!$I$7:$I$2010,$C$9,'LAC 102_Wkst'!$E$7:$E$2010,$C95,'LAC 102_Wkst'!$G$7:$G$2010,$D95,'LAC 102_Wkst'!$L$7:$L$2010,"06",'LAC 102_Wkst'!$N$7:$N$2010,"P5")</f>
        <v>0</v>
      </c>
      <c r="Y95" s="411">
        <f>SUMIFS('LAC 102_Wkst'!$AF$7:$AF$2010,'LAC 102_Wkst'!$D$7:$D$2010,$C$7,'LAC 102_Wkst'!$I$7:$I$2010,$C$9,'LAC 102_Wkst'!$E$7:$E$2010,$C95,'LAC 102_Wkst'!$G$7:$G$2010,$D95,'LAC 102_Wkst'!$L$7:$L$2010,"05",'LAC 102_Wkst'!$N$7:$N$2010,"P5")+SUMIFS('LAC 102_Wkst'!$AF$7:$AF$2010,'LAC 102_Wkst'!$D$7:$D$2010,$C$7,'LAC 102_Wkst'!$I$7:$I$2010,$C$9,'LAC 102_Wkst'!$E$7:$E$2010,$C95,'LAC 102_Wkst'!$G$7:$G$2010,$D95,'LAC 102_Wkst'!$L$7:$L$2010,"06",'LAC 102_Wkst'!$N$7:$N$2010,"P5")</f>
        <v>0</v>
      </c>
      <c r="Z95" s="410">
        <f>SUMIFS('LAC 102_Wkst'!$Q$7:$Q$2010,'LAC 102_Wkst'!$D$7:$D$2010,$C$7,'LAC 102_Wkst'!$I$7:$I$2010,$C$9,'LAC 102_Wkst'!$E$7:$E$2010,$C95,'LAC 102_Wkst'!$G$7:$G$2010,$D95,'LAC 102_Wkst'!$L$7:$L$2010,"07",'LAC 102_Wkst'!$N$7:$N$2010,"P1")+SUMIFS('LAC 102_Wkst'!$Q$7:$Q$2010,'LAC 102_Wkst'!$D$7:$D$2010,$C$7,'LAC 102_Wkst'!$I$7:$I$2010,$C$9,'LAC 102_Wkst'!$E$7:$E$2010,$C95,'LAC 102_Wkst'!$G$7:$G$2010,$D95,'LAC 102_Wkst'!$L$7:$L$2010,"07",'LAC 102_Wkst'!$N$7:$N$2010,"P2")+SUMIFS('LAC 102_Wkst'!$Q$7:$Q$2010,'LAC 102_Wkst'!$D$7:$D$2010,$C$7,'LAC 102_Wkst'!$I$7:$I$2010,$C$9,'LAC 102_Wkst'!$E$7:$E$2010,$C95,'LAC 102_Wkst'!$G$7:$G$2010,$D95,'LAC 102_Wkst'!$L$7:$L$2010,"07",'LAC 102_Wkst'!$N$7:$N$2010,"P3")</f>
        <v>0</v>
      </c>
      <c r="AA95" s="411">
        <f>SUMIFS('LAC 102_Wkst'!$AF$7:$AF$2010,'LAC 102_Wkst'!$D$7:$D$2010,$C$7,'LAC 102_Wkst'!$I$7:$I$2010,$C$9,'LAC 102_Wkst'!$E$7:$E$2010,$C95,'LAC 102_Wkst'!$G$7:$G$2010,$D95,'LAC 102_Wkst'!$L$7:$L$2010,"07",'LAC 102_Wkst'!$N$7:$N$2010,"P1")+SUMIFS('LAC 102_Wkst'!$AF$7:$AF$2010,'LAC 102_Wkst'!$D$7:$D$2010,$C$7,'LAC 102_Wkst'!$I$7:$I$2010,$C$9,'LAC 102_Wkst'!$E$7:$E$2010,$C95,'LAC 102_Wkst'!$G$7:$G$2010,$D95,'LAC 102_Wkst'!$L$7:$L$2010,"07",'LAC 102_Wkst'!$N$7:$N$2010,"P2")+SUMIFS('LAC 102_Wkst'!$AF$7:$AF$2010,'LAC 102_Wkst'!$D$7:$D$2010,$C$7,'LAC 102_Wkst'!$I$7:$I$2010,$C$9,'LAC 102_Wkst'!$E$7:$E$2010,$C95,'LAC 102_Wkst'!$G$7:$G$2010,$D95,'LAC 102_Wkst'!$L$7:$L$2010,"07",'LAC 102_Wkst'!$N$7:$N$2010,"P3")</f>
        <v>0</v>
      </c>
      <c r="AB95" s="410">
        <f>SUMIFS('LAC 102_Wkst'!$Q$7:$Q$2010,'LAC 102_Wkst'!$D$7:$D$2010,$C$7,'LAC 102_Wkst'!$I$7:$I$2010,$C$9,'LAC 102_Wkst'!$E$7:$E$2010,$C95,'LAC 102_Wkst'!$G$7:$G$2010,$D95,'LAC 102_Wkst'!$L$7:$L$2010,"07",'LAC 102_Wkst'!$N$7:$N$2010,"P4")</f>
        <v>0</v>
      </c>
      <c r="AC95" s="411">
        <f>SUMIFS('LAC 102_Wkst'!$AF$7:$AF$2010,'LAC 102_Wkst'!$D$7:$D$2010,$C$7,'LAC 102_Wkst'!$I$7:$I$2010,$C$9,'LAC 102_Wkst'!$E$7:$E$2010,$C95,'LAC 102_Wkst'!$G$7:$G$2010,$D95,'LAC 102_Wkst'!$L$7:$L$2010,"07",'LAC 102_Wkst'!$N$7:$N$2010,"P4")</f>
        <v>0</v>
      </c>
      <c r="AD95" s="410">
        <f>SUMIFS('LAC 102_Wkst'!$Q$7:$Q$2010,'LAC 102_Wkst'!$D$7:$D$2010,$C$7,'LAC 102_Wkst'!$I$7:$I$2010,$C$9,'LAC 102_Wkst'!$E$7:$E$2010,$C95,'LAC 102_Wkst'!$G$7:$G$2010,$D95,'LAC 102_Wkst'!$L$7:$L$2010,"07",'LAC 102_Wkst'!$N$7:$N$2010,"P5")</f>
        <v>0</v>
      </c>
      <c r="AE95" s="411">
        <f>SUMIFS('LAC 102_Wkst'!$AF$7:$AF$2010,'LAC 102_Wkst'!$D$7:$D$2010,$C$7,'LAC 102_Wkst'!$I$7:$I$2010,$C$9,'LAC 102_Wkst'!$E$7:$E$2010,$C95,'LAC 102_Wkst'!$G$7:$G$2010,$D95,'LAC 102_Wkst'!$L$7:$L$2010,"07",'LAC 102_Wkst'!$N$7:$N$2010,"P5")</f>
        <v>0</v>
      </c>
      <c r="AF95" s="410">
        <f>SUMIFS('LAC 102_Wkst'!$Q$7:$Q$2010,'LAC 102_Wkst'!$D$7:$D$2010,$C$7,'LAC 102_Wkst'!$I$7:$I$2010,$C$9,'LAC 102_Wkst'!$E$7:$E$2010,$C95,'LAC 102_Wkst'!$G$7:$G$2010,$D95,'LAC 102_Wkst'!$L$7:$L$2010,"08",'LAC 102_Wkst'!$N$7:$N$2010,"P1")+SUMIFS('LAC 102_Wkst'!$Q$7:$Q$2010,'LAC 102_Wkst'!$D$7:$D$2010,$C$7,'LAC 102_Wkst'!$I$7:$I$2010,$C$9,'LAC 102_Wkst'!$E$7:$E$2010,$C95,'LAC 102_Wkst'!$G$7:$G$2010,$D95,'LAC 102_Wkst'!$L$7:$L$2010,"08",'LAC 102_Wkst'!$N$7:$N$2010,"P2")+SUMIFS('LAC 102_Wkst'!$Q$7:$Q$2010,'LAC 102_Wkst'!$D$7:$D$2010,$C$7,'LAC 102_Wkst'!$I$7:$I$2010,$C$9,'LAC 102_Wkst'!$E$7:$E$2010,$C95,'LAC 102_Wkst'!$G$7:$G$2010,$D95,'LAC 102_Wkst'!$L$7:$L$2010,"08",'LAC 102_Wkst'!$N$7:$N$2010,"P3")</f>
        <v>0</v>
      </c>
      <c r="AG95" s="411">
        <f>SUMIFS('LAC 102_Wkst'!$AF$7:$AF$2010,'LAC 102_Wkst'!$D$7:$D$2010,$C$7,'LAC 102_Wkst'!$I$7:$I$2010,$C$9,'LAC 102_Wkst'!$E$7:$E$2010,$C95,'LAC 102_Wkst'!$G$7:$G$2010,$D95,'LAC 102_Wkst'!$L$7:$L$2010,"08",'LAC 102_Wkst'!$N$7:$N$2010,"P1")+SUMIFS('LAC 102_Wkst'!$AF$7:$AF$2010,'LAC 102_Wkst'!$D$7:$D$2010,$C$7,'LAC 102_Wkst'!$I$7:$I$2010,$C$9,'LAC 102_Wkst'!$E$7:$E$2010,$C95,'LAC 102_Wkst'!$G$7:$G$2010,$D95,'LAC 102_Wkst'!$L$7:$L$2010,"08",'LAC 102_Wkst'!$N$7:$N$2010,"P2")+SUMIFS('LAC 102_Wkst'!$AF$7:$AF$2010,'LAC 102_Wkst'!$D$7:$D$2010,$C$7,'LAC 102_Wkst'!$I$7:$I$2010,$C$9,'LAC 102_Wkst'!$E$7:$E$2010,$C95,'LAC 102_Wkst'!$G$7:$G$2010,$D95,'LAC 102_Wkst'!$L$7:$L$2010,"08",'LAC 102_Wkst'!$N$7:$N$2010,"P3")</f>
        <v>0</v>
      </c>
      <c r="AH95" s="410">
        <f>SUMIFS('LAC 102_Wkst'!$Q$7:$Q$2010,'LAC 102_Wkst'!$D$7:$D$2010,$C$7,'LAC 102_Wkst'!$I$7:$I$2010,$C$9,'LAC 102_Wkst'!$E$7:$E$2010,$C95,'LAC 102_Wkst'!$G$7:$G$2010,$D95,'LAC 102_Wkst'!$L$7:$L$2010,"08",'LAC 102_Wkst'!$N$7:$N$2010,"P4")</f>
        <v>0</v>
      </c>
      <c r="AI95" s="411">
        <f>SUMIFS('LAC 102_Wkst'!$AF$7:$AF$2010,'LAC 102_Wkst'!$D$7:$D$2010,$C$7,'LAC 102_Wkst'!$I$7:$I$2010,$C$9,'LAC 102_Wkst'!$E$7:$E$2010,$C95,'LAC 102_Wkst'!$G$7:$G$2010,$D95,'LAC 102_Wkst'!$L$7:$L$2010,"08",'LAC 102_Wkst'!$N$7:$N$2010,"P4")</f>
        <v>0</v>
      </c>
      <c r="AJ95" s="410">
        <f>SUMIFS('LAC 102_Wkst'!$Q$7:$Q$2010,'LAC 102_Wkst'!$D$7:$D$2010,$C$7,'LAC 102_Wkst'!$I$7:$I$2010,$C$9,'LAC 102_Wkst'!$E$7:$E$2010,$C95,'LAC 102_Wkst'!$G$7:$G$2010,$D95,'LAC 102_Wkst'!$L$7:$L$2010,"08",'LAC 102_Wkst'!$N$7:$N$2010,"P5")</f>
        <v>0</v>
      </c>
      <c r="AK95" s="411">
        <f>SUMIFS('LAC 102_Wkst'!$AF$7:$AF$2010,'LAC 102_Wkst'!$D$7:$D$2010,$C$7,'LAC 102_Wkst'!$I$7:$I$2010,$C$9,'LAC 102_Wkst'!$E$7:$E$2010,$C95,'LAC 102_Wkst'!$G$7:$G$2010,$D95,'LAC 102_Wkst'!$L$7:$L$2010,"08",'LAC 102_Wkst'!$N$7:$N$2010,"P5")</f>
        <v>0</v>
      </c>
      <c r="AL95" s="410">
        <f>SUMIFS('LAC 102_Wkst'!$Q$7:$Q$2010,'LAC 102_Wkst'!$D$7:$D$2010,$C$7,'LAC 102_Wkst'!$I$7:$I$2010,$C$9,'LAC 102_Wkst'!$E$7:$E$2010,$C95,'LAC 102_Wkst'!$G$7:$G$2010,$D95,'LAC 102_Wkst'!$L$7:$L$2010,"09",'LAC 102_Wkst'!$N$7:$N$2010,"P1")+SUMIFS('LAC 102_Wkst'!$Q$7:$Q$2010,'LAC 102_Wkst'!$D$7:$D$2010,$C$7,'LAC 102_Wkst'!$I$7:$I$2010,$C$9,'LAC 102_Wkst'!$E$7:$E$2010,$C95,'LAC 102_Wkst'!$G$7:$G$2010,$D95,'LAC 102_Wkst'!$L$7:$L$2010,"09",'LAC 102_Wkst'!$N$7:$N$2010,"P2")+SUMIFS('LAC 102_Wkst'!$Q$7:$Q$2010,'LAC 102_Wkst'!$D$7:$D$2010,$C$7,'LAC 102_Wkst'!$I$7:$I$2010,$C$9,'LAC 102_Wkst'!$E$7:$E$2010,$C95,'LAC 102_Wkst'!$G$7:$G$2010,$D95,'LAC 102_Wkst'!$L$7:$L$2010,"09",'LAC 102_Wkst'!$N$7:$N$2010,"P3")+SUMIFS('LAC 102_Wkst'!$Q$7:$Q$2010,'LAC 102_Wkst'!$D$7:$D$2010,$C$7,'LAC 102_Wkst'!$I$7:$I$2010,$C$9,'LAC 102_Wkst'!$E$7:$E$2010,$C95,'LAC 102_Wkst'!$G$7:$G$2010,$D95,'LAC 102_Wkst'!$L$7:$L$2010,"09",'LAC 102_Wkst'!$N$7:$N$2010,"P4")</f>
        <v>0</v>
      </c>
      <c r="AM95" s="411">
        <f>SUMIFS('LAC 102_Wkst'!$AF$7:$AF$2010,'LAC 102_Wkst'!$D$7:$D$2010,$C$7,'LAC 102_Wkst'!$I$7:$I$2010,$C$9,'LAC 102_Wkst'!$E$7:$E$2010,$C95,'LAC 102_Wkst'!$G$7:$G$2010,$D95,'LAC 102_Wkst'!$L$7:$L$2010,"09",'LAC 102_Wkst'!$N$7:$N$2010,"P1")+SUMIFS('LAC 102_Wkst'!$AF$7:$AF$2010,'LAC 102_Wkst'!$D$7:$D$2010,$C$7,'LAC 102_Wkst'!$I$7:$I$2010,$C$9,'LAC 102_Wkst'!$E$7:$E$2010,$C95,'LAC 102_Wkst'!$G$7:$G$2010,$D95,'LAC 102_Wkst'!$L$7:$L$2010,"09",'LAC 102_Wkst'!$N$7:$N$2010,"P2")+SUMIFS('LAC 102_Wkst'!$AF$7:$AF$2010,'LAC 102_Wkst'!$D$7:$D$2010,$C$7,'LAC 102_Wkst'!$I$7:$I$2010,$C$9,'LAC 102_Wkst'!$E$7:$E$2010,$C95,'LAC 102_Wkst'!$G$7:$G$2010,$D95,'LAC 102_Wkst'!$L$7:$L$2010,"09",'LAC 102_Wkst'!$N$7:$N$2010,"P3")+SUMIFS('LAC 102_Wkst'!$AF$7:$AF$2010,'LAC 102_Wkst'!$D$7:$D$2010,$C$7,'LAC 102_Wkst'!$I$7:$I$2010,$C$9,'LAC 102_Wkst'!$E$7:$E$2010,$C95,'LAC 102_Wkst'!$G$7:$G$2010,$D95,'LAC 102_Wkst'!$L$7:$L$2010,"09",'LAC 102_Wkst'!$N$7:$N$2010,"P4")</f>
        <v>0</v>
      </c>
      <c r="AN95" s="410">
        <f>SUMIFS('LAC 102_Wkst'!$Q$7:$Q$2010,'LAC 102_Wkst'!$D$7:$D$2010,$C$7,'LAC 102_Wkst'!$I$7:$I$2010,$C$9,'LAC 102_Wkst'!$E$7:$E$2010,$C95,'LAC 102_Wkst'!$G$7:$G$2010,$D95,'LAC 102_Wkst'!$L$7:$L$2010,"09",'LAC 102_Wkst'!$N$7:$N$2010,"P5")</f>
        <v>0</v>
      </c>
      <c r="AO95" s="411">
        <f>SUMIFS('LAC 102_Wkst'!$AF$7:$AF$2010,'LAC 102_Wkst'!$D$7:$D$2010,$C$7,'LAC 102_Wkst'!$I$7:$I$2010,$C$9,'LAC 102_Wkst'!$E$7:$E$2010,$C95,'LAC 102_Wkst'!$G$7:$G$2010,$D95,'LAC 102_Wkst'!$L$7:$L$2010,"09",'LAC 102_Wkst'!$N$7:$N$2010,"P5")</f>
        <v>0</v>
      </c>
      <c r="AP95" s="410">
        <f>SUMIFS('LAC 102_Wkst'!$Q$7:$Q$2010,'LAC 102_Wkst'!$D$7:$D$2010,$C$7,'LAC 102_Wkst'!$I$7:$I$2010,$C$9,'LAC 102_Wkst'!$E$7:$E$2010,$C95,'LAC 102_Wkst'!$G$7:$G$2010,$D95,'LAC 102_Wkst'!$L$7:$L$2010,"10",'LAC 102_Wkst'!$N$7:$N$2010,"P1")+SUMIFS('LAC 102_Wkst'!$Q$7:$Q$2010,'LAC 102_Wkst'!$D$7:$D$2010,$C$7,'LAC 102_Wkst'!$I$7:$I$2010,$C$9,'LAC 102_Wkst'!$E$7:$E$2010,$C95,'LAC 102_Wkst'!$G$7:$G$2010,$D95,'LAC 102_Wkst'!$L$7:$L$2010,"10",'LAC 102_Wkst'!$N$7:$N$2010,"P2")+SUMIFS('LAC 102_Wkst'!$Q$7:$Q$2010,'LAC 102_Wkst'!$D$7:$D$2010,$C$7,'LAC 102_Wkst'!$I$7:$I$2010,$C$9,'LAC 102_Wkst'!$E$7:$E$2010,$C95,'LAC 102_Wkst'!$G$7:$G$2010,$D95,'LAC 102_Wkst'!$L$7:$L$2010,"10",'LAC 102_Wkst'!$N$7:$N$2010,"P3")+SUMIFS('LAC 102_Wkst'!$Q$7:$Q$2010,'LAC 102_Wkst'!$D$7:$D$2010,$C$7,'LAC 102_Wkst'!$I$7:$I$2010,$C$9,'LAC 102_Wkst'!$E$7:$E$2010,$C95,'LAC 102_Wkst'!$G$7:$G$2010,$D95,'LAC 102_Wkst'!$L$7:$L$2010,"10",'LAC 102_Wkst'!$N$7:$N$2010,"P4")</f>
        <v>0</v>
      </c>
      <c r="AQ95" s="411">
        <f>SUMIFS('LAC 102_Wkst'!$AF$7:$AF$2010,'LAC 102_Wkst'!$D$7:$D$2010,$C$7,'LAC 102_Wkst'!$I$7:$I$2010,$C$9,'LAC 102_Wkst'!$E$7:$E$2010,$C95,'LAC 102_Wkst'!$G$7:$G$2010,$D95,'LAC 102_Wkst'!$L$7:$L$2010,"10",'LAC 102_Wkst'!$N$7:$N$2010,"P1")+SUMIFS('LAC 102_Wkst'!$AF$7:$AF$2010,'LAC 102_Wkst'!$D$7:$D$2010,$C$7,'LAC 102_Wkst'!$I$7:$I$2010,$C$9,'LAC 102_Wkst'!$E$7:$E$2010,$C95,'LAC 102_Wkst'!$G$7:$G$2010,$D95,'LAC 102_Wkst'!$L$7:$L$2010,"10",'LAC 102_Wkst'!$N$7:$N$2010,"P2")+SUMIFS('LAC 102_Wkst'!$AF$7:$AF$2010,'LAC 102_Wkst'!$D$7:$D$2010,$C$7,'LAC 102_Wkst'!$I$7:$I$2010,$C$9,'LAC 102_Wkst'!$E$7:$E$2010,$C95,'LAC 102_Wkst'!$G$7:$G$2010,$D95,'LAC 102_Wkst'!$L$7:$L$2010,"10",'LAC 102_Wkst'!$N$7:$N$2010,"P3")+SUMIFS('LAC 102_Wkst'!$AF$7:$AF$2010,'LAC 102_Wkst'!$D$7:$D$2010,$C$7,'LAC 102_Wkst'!$I$7:$I$2010,$C$9,'LAC 102_Wkst'!$E$7:$E$2010,$C95,'LAC 102_Wkst'!$G$7:$G$2010,$D95,'LAC 102_Wkst'!$L$7:$L$2010,"10",'LAC 102_Wkst'!$N$7:$N$2010,"P4")</f>
        <v>0</v>
      </c>
      <c r="AR95" s="410">
        <f>SUMIFS('LAC 102_Wkst'!$Q$7:$Q$2010,'LAC 102_Wkst'!$D$7:$D$2010,$C$7,'LAC 102_Wkst'!$I$7:$I$2010,$C$9,'LAC 102_Wkst'!$E$7:$E$2010,$C95,'LAC 102_Wkst'!$G$7:$G$2010,$D95,'LAC 102_Wkst'!$L$7:$L$2010,"10",'LAC 102_Wkst'!$N$7:$N$2010,"P5")</f>
        <v>0</v>
      </c>
      <c r="AS95" s="411">
        <f>SUMIFS('LAC 102_Wkst'!$AF$7:$AF$2010,'LAC 102_Wkst'!$D$7:$D$2010,$C$7,'LAC 102_Wkst'!$I$7:$I$2010,$C$9,'LAC 102_Wkst'!$E$7:$E$2010,$C95,'LAC 102_Wkst'!$G$7:$G$2010,$D95,'LAC 102_Wkst'!$L$7:$L$2010,"10",'LAC 102_Wkst'!$N$7:$N$2010,"P5")</f>
        <v>0</v>
      </c>
      <c r="AT95" s="410">
        <f>SUMIFS('LAC 102_Wkst'!$Q$7:$Q$2010,'LAC 102_Wkst'!$D$7:$D$2010,$C$7,'LAC 102_Wkst'!$I$7:$I$2010,$C$9,'LAC 102_Wkst'!$E$7:$E$2010,$C95,'LAC 102_Wkst'!$G$7:$G$2010,$D95,'LAC 102_Wkst'!$L$7:$L$2010,"11",'LAC 102_Wkst'!$N$7:$N$2010,"P1")+SUMIFS('LAC 102_Wkst'!$Q$7:$Q$2010,'LAC 102_Wkst'!$D$7:$D$2010,$C$7,'LAC 102_Wkst'!$I$7:$I$2010,$C$9,'LAC 102_Wkst'!$E$7:$E$2010,$C95,'LAC 102_Wkst'!$G$7:$G$2010,$D95,'LAC 102_Wkst'!$L$7:$L$2010,"12",'LAC 102_Wkst'!$N$7:$N$2010,"P1")</f>
        <v>0</v>
      </c>
      <c r="AU95" s="411">
        <f>SUMIFS('LAC 102_Wkst'!$Q$7:$Q$2010,'LAC 102_Wkst'!$D$7:$D$2010,$C$7,'LAC 102_Wkst'!$I$7:$I$2010,$C$9,'LAC 102_Wkst'!$E$7:$E$2010,$C95,'LAC 102_Wkst'!$G$7:$G$2010,$D95,'LAC 102_Wkst'!$L$7:$L$2010,"13",'LAC 102_Wkst'!$N$7:$N$2010,"P5")</f>
        <v>0</v>
      </c>
      <c r="AV95" s="410">
        <f>SUMIFS('LAC 102_Wkst'!$Q$7:$Q$2010,'LAC 102_Wkst'!$D$7:$D$2010,$C$7,'LAC 102_Wkst'!$I$7:$I$2010,$C$9,'LAC 102_Wkst'!$E$7:$E$2010,$C95,'LAC 102_Wkst'!$G$7:$G$2010,$D95,'LAC 102_Wkst'!$L$7:$L$2010,"11",'LAC 102_Wkst'!$N$7:$N$2010,"P2")+SUMIFS('LAC 102_Wkst'!$Q$7:$Q$2010,'LAC 102_Wkst'!$D$7:$D$2010,$C$7,'LAC 102_Wkst'!$I$7:$I$2010,$C$9,'LAC 102_Wkst'!$E$7:$E$2010,$C95,'LAC 102_Wkst'!$G$7:$G$2010,$D95,'LAC 102_Wkst'!$L$7:$L$2010,"12",'LAC 102_Wkst'!$N$7:$N$2010,"P2")+SUMIFS('LAC 102_Wkst'!$Q$7:$Q$2010,'LAC 102_Wkst'!$D$7:$D$2010,$C$7,'LAC 102_Wkst'!$I$7:$I$2010,$C$9,'LAC 102_Wkst'!$E$7:$E$2010,$C95,'LAC 102_Wkst'!$G$7:$G$2010,$D95,'LAC 102_Wkst'!$L$7:$L$2010,"11",'LAC 102_Wkst'!$N$7:$N$2010,"P3")+SUMIFS('LAC 102_Wkst'!$Q$7:$Q$2010,'LAC 102_Wkst'!$D$7:$D$2010,$C$7,'LAC 102_Wkst'!$I$7:$I$2010,$C$9,'LAC 102_Wkst'!$E$7:$E$2010,$C95,'LAC 102_Wkst'!$G$7:$G$2010,$D95,'LAC 102_Wkst'!$L$7:$L$2010,"12",'LAC 102_Wkst'!$N$7:$N$2010,"P3")</f>
        <v>0</v>
      </c>
      <c r="AW95" s="411">
        <f>SUMIFS('LAC 102_Wkst'!$AF$7:$AF$2010,'LAC 102_Wkst'!$D$7:$D$2010,$C$7,'LAC 102_Wkst'!$I$7:$I$2010,$C$9,'LAC 102_Wkst'!$E$7:$E$2010,$C95,'LAC 102_Wkst'!$G$7:$G$2010,$D95,'LAC 102_Wkst'!$L$7:$L$2010,"11",'LAC 102_Wkst'!$N$7:$N$2010,"P2")+SUMIFS('LAC 102_Wkst'!$AF$7:$AF$2010,'LAC 102_Wkst'!$D$7:$D$2010,$C$7,'LAC 102_Wkst'!$I$7:$I$2010,$C$9,'LAC 102_Wkst'!$E$7:$E$2010,$C95,'LAC 102_Wkst'!$G$7:$G$2010,$D95,'LAC 102_Wkst'!$L$7:$L$2010,"12",'LAC 102_Wkst'!$N$7:$N$2010,"P2")+SUMIFS('LAC 102_Wkst'!$AF$7:$AF$2010,'LAC 102_Wkst'!$D$7:$D$2010,$C$7,'LAC 102_Wkst'!$I$7:$I$2010,$C$9,'LAC 102_Wkst'!$E$7:$E$2010,$C95,'LAC 102_Wkst'!$G$7:$G$2010,$D95,'LAC 102_Wkst'!$L$7:$L$2010,"11",'LAC 102_Wkst'!$N$7:$N$2010,"P3")+SUMIFS('LAC 102_Wkst'!$AF$7:$AF$2010,'LAC 102_Wkst'!$D$7:$D$2010,$C$7,'LAC 102_Wkst'!$I$7:$I$2010,$C$9,'LAC 102_Wkst'!$E$7:$E$2010,$C95,'LAC 102_Wkst'!$G$7:$G$2010,$D95,'LAC 102_Wkst'!$L$7:$L$2010,"12",'LAC 102_Wkst'!$N$7:$N$2010,"P3")</f>
        <v>0</v>
      </c>
      <c r="AX95" s="410">
        <f>SUMIFS('LAC 102_Wkst'!$Q$7:$Q$2010,'LAC 102_Wkst'!$D$7:$D$2010,$C$7,'LAC 102_Wkst'!$I$7:$I$2010,$C$9,'LAC 102_Wkst'!$E$7:$E$2010,$C95,'LAC 102_Wkst'!$G$7:$G$2010,$D95,'LAC 102_Wkst'!$L$7:$L$2010,"11",'LAC 102_Wkst'!$N$7:$N$2010,"P4")+SUMIFS('LAC 102_Wkst'!$Q$7:$Q$2010,'LAC 102_Wkst'!$D$7:$D$2010,$C$7,'LAC 102_Wkst'!$I$7:$I$2010,$C$9,'LAC 102_Wkst'!$E$7:$E$2010,$C95,'LAC 102_Wkst'!$G$7:$G$2010,$D95,'LAC 102_Wkst'!$L$7:$L$2010,"12",'LAC 102_Wkst'!$N$7:$N$2010,"P4")</f>
        <v>0</v>
      </c>
      <c r="AY95" s="411">
        <f>SUMIFS('LAC 102_Wkst'!$AF$7:$AF$2010,'LAC 102_Wkst'!$D$7:$D$2010,$C$7,'LAC 102_Wkst'!$I$7:$I$2010,$C$9,'LAC 102_Wkst'!$E$7:$E$2010,$C95,'LAC 102_Wkst'!$G$7:$G$2010,$D95,'LAC 102_Wkst'!$L$7:$L$2010,"11",'LAC 102_Wkst'!$N$7:$N$2010,"P4")+SUMIFS('LAC 102_Wkst'!$AF$7:$AF$2010,'LAC 102_Wkst'!$D$7:$D$2010,$C$7,'LAC 102_Wkst'!$I$7:$I$2010,$C$9,'LAC 102_Wkst'!$E$7:$E$2010,$C95,'LAC 102_Wkst'!$G$7:$G$2010,$D95,'LAC 102_Wkst'!$L$7:$L$2010,"12",'LAC 102_Wkst'!$N$7:$N$2010,"P4")</f>
        <v>0</v>
      </c>
      <c r="AZ95" s="410">
        <f>SUMIFS('LAC 102_Wkst'!$Q$7:$Q$2010,'LAC 102_Wkst'!$D$7:$D$2010,$C$7,'LAC 102_Wkst'!$I$7:$I$2010,$C$9,'LAC 102_Wkst'!$E$7:$E$2010,$C95,'LAC 102_Wkst'!$G$7:$G$2010,$D95,'LAC 102_Wkst'!$L$7:$L$2010,"11",'LAC 102_Wkst'!$N$7:$N$2010,"P5")+SUMIFS('LAC 102_Wkst'!$Q$7:$Q$2010,'LAC 102_Wkst'!$D$7:$D$2010,$C$7,'LAC 102_Wkst'!$I$7:$I$2010,$C$9,'LAC 102_Wkst'!$E$7:$E$2010,$C95,'LAC 102_Wkst'!$G$7:$G$2010,$D95,'LAC 102_Wkst'!$L$7:$L$2010,"12",'LAC 102_Wkst'!$N$7:$N$2010,"P5")</f>
        <v>0</v>
      </c>
      <c r="BA95" s="411">
        <f>SUMIFS('LAC 102_Wkst'!$AF$7:$AF$2010,'LAC 102_Wkst'!$D$7:$D$2010,$C$7,'LAC 102_Wkst'!$I$7:$I$2010,$C$9,'LAC 102_Wkst'!$E$7:$E$2010,$C95,'LAC 102_Wkst'!$G$7:$G$2010,$D95,'LAC 102_Wkst'!$L$7:$L$2010,"11",'LAC 102_Wkst'!$N$7:$N$2010,"P5")+SUMIFS('LAC 102_Wkst'!$AF$7:$AF$2010,'LAC 102_Wkst'!$D$7:$D$2010,$C$7,'LAC 102_Wkst'!$I$7:$I$2010,$C$9,'LAC 102_Wkst'!$E$7:$E$2010,$C95,'LAC 102_Wkst'!$G$7:$G$2010,$D95,'LAC 102_Wkst'!$L$7:$L$2010,"12",'LAC 102_Wkst'!$N$7:$N$2010,"P5")</f>
        <v>0</v>
      </c>
      <c r="BB95" s="410">
        <f>SUMIFS('LAC 102_Wkst'!$Q$7:$Q$2010,'LAC 102_Wkst'!$D$7:$D$2010,$C$7,'LAC 102_Wkst'!$I$7:$I$2010,$C$9,'LAC 102_Wkst'!$E$7:$E$2010,$C95,'LAC 102_Wkst'!$G$7:$G$2010,$D95,'LAC 102_Wkst'!$L$7:$L$2010,"13",'LAC 102_Wkst'!$N$7:$N$2010,"P1")+SUMIFS('LAC 102_Wkst'!$Q$7:$Q$2010,'LAC 102_Wkst'!$D$7:$D$2010,$C$7,'LAC 102_Wkst'!$I$7:$I$2010,$C$9,'LAC 102_Wkst'!$E$7:$E$2010,$C95,'LAC 102_Wkst'!$G$7:$G$2010,$D95,'LAC 102_Wkst'!$L$7:$L$2010,"13",'LAC 102_Wkst'!$N$7:$N$2010,"P2")+SUMIFS('LAC 102_Wkst'!$Q$7:$Q$2010,'LAC 102_Wkst'!$D$7:$D$2010,$C$7,'LAC 102_Wkst'!$I$7:$I$2010,$C$9,'LAC 102_Wkst'!$E$7:$E$2010,$C95,'LAC 102_Wkst'!$G$7:$G$2010,$D95,'LAC 102_Wkst'!$L$7:$L$2010,"13",'LAC 102_Wkst'!$N$7:$N$2010,"P3")+SUMIFS('LAC 102_Wkst'!$Q$7:$Q$2010,'LAC 102_Wkst'!$D$7:$D$2010,$C$7,'LAC 102_Wkst'!$I$7:$I$2010,$C$9,'LAC 102_Wkst'!$E$7:$E$2010,$C95,'LAC 102_Wkst'!$G$7:$G$2010,$D95,'LAC 102_Wkst'!$L$7:$L$2010,"13",'LAC 102_Wkst'!$N$7:$N$2010,"P4")</f>
        <v>0</v>
      </c>
      <c r="BC95" s="411">
        <f>SUMIFS('LAC 102_Wkst'!$AF$7:$AF$2010,'LAC 102_Wkst'!$D$7:$D$2010,$C$7,'LAC 102_Wkst'!$I$7:$I$2010,$C$9,'LAC 102_Wkst'!$E$7:$E$2010,$C95,'LAC 102_Wkst'!$G$7:$G$2010,$D95,'LAC 102_Wkst'!$L$7:$L$2010,"13",'LAC 102_Wkst'!$N$7:$N$2010,"P1")+SUMIFS('LAC 102_Wkst'!$AF$7:$AF$2010,'LAC 102_Wkst'!$D$7:$D$2010,$C$7,'LAC 102_Wkst'!$I$7:$I$2010,$C$9,'LAC 102_Wkst'!$E$7:$E$2010,$C95,'LAC 102_Wkst'!$G$7:$G$2010,$D95,'LAC 102_Wkst'!$L$7:$L$2010,"13",'LAC 102_Wkst'!$N$7:$N$2010,"P2")+SUMIFS('LAC 102_Wkst'!$AF$7:$AF$2010,'LAC 102_Wkst'!$D$7:$D$2010,$C$7,'LAC 102_Wkst'!$I$7:$I$2010,$C$9,'LAC 102_Wkst'!$E$7:$E$2010,$C95,'LAC 102_Wkst'!$G$7:$G$2010,$D95,'LAC 102_Wkst'!$L$7:$L$2010,"13",'LAC 102_Wkst'!$N$7:$N$2010,"P3")+SUMIFS('LAC 102_Wkst'!$AF$7:$AF$2010,'LAC 102_Wkst'!$D$7:$D$2010,$C$7,'LAC 102_Wkst'!$I$7:$I$2010,$C$9,'LAC 102_Wkst'!$E$7:$E$2010,$C95,'LAC 102_Wkst'!$G$7:$G$2010,$D95,'LAC 102_Wkst'!$L$7:$L$2010,"13",'LAC 102_Wkst'!$N$7:$N$2010,"P4")</f>
        <v>0</v>
      </c>
      <c r="BD95" s="410">
        <f>SUMIFS('LAC 102_Wkst'!$Q$7:$Q$2010,'LAC 102_Wkst'!$D$7:$D$2010,$C$7,'LAC 102_Wkst'!$I$7:$I$2010,$C$9,'LAC 102_Wkst'!$E$7:$E$2010,$C95,'LAC 102_Wkst'!$G$7:$G$2010,$D95,'LAC 102_Wkst'!$L$7:$L$2010,"13",'LAC 102_Wkst'!$N$7:$N$2010,"P5")</f>
        <v>0</v>
      </c>
      <c r="BE95" s="411">
        <f>SUMIFS('LAC 102_Wkst'!$AF$7:$AF$2010,'LAC 102_Wkst'!$D$7:$D$2010,$C$7,'LAC 102_Wkst'!$I$7:$I$2010,$C$9,'LAC 102_Wkst'!$E$7:$E$2010,$C95,'LAC 102_Wkst'!$G$7:$G$2010,$D95,'LAC 102_Wkst'!$L$7:$L$2010,"13",'LAC 102_Wkst'!$N$7:$N$2010,"P5")</f>
        <v>0</v>
      </c>
      <c r="BF95" s="407">
        <f t="shared" si="5"/>
        <v>0</v>
      </c>
      <c r="BG95" s="1654">
        <f>SUMIFS('LAC 102_Wkst'!$AF$7:$AF$2010,'LAC 102_Wkst'!$D$7:$D$2010,$C$7,'LAC 102_Wkst'!$I$7:$I$2010,$C$9,'LAC 102_Wkst'!$E$7:$E$2010,$C95,'LAC 102_Wkst'!$G$7:$G$2010,$D95,'LAC 102_Wkst'!$L$7:$L$2010,"14")</f>
        <v>0</v>
      </c>
    </row>
    <row r="96" spans="1:59" x14ac:dyDescent="0.2">
      <c r="A96" s="401">
        <v>74</v>
      </c>
      <c r="B96" s="1678" t="str">
        <f>IF(Schedule_B!B$93="","",Schedule_B!B$93)</f>
        <v/>
      </c>
      <c r="C96" s="1674" t="str">
        <f>IF(Schedule_B!C$93=""," ",Schedule_B!C$93)</f>
        <v xml:space="preserve"> </v>
      </c>
      <c r="D96" s="1675" t="str">
        <f>IF(Schedule_B!D$93=""," ",Schedule_B!D$93)</f>
        <v xml:space="preserve"> </v>
      </c>
      <c r="E96" s="1221">
        <f>SUMIFS('LAC 102_Wkst'!$Q$7:$Q$2010,'LAC 102_Wkst'!$D$7:$D$2010,$C$7,'LAC 102_Wkst'!$I$7:$I$2010,$C$9,'LAC 102_Wkst'!$E$7:$E$2010,$C96,'LAC 102_Wkst'!$G$7:$G$2010,$D96)</f>
        <v>0</v>
      </c>
      <c r="F96" s="408">
        <f>SUMIFS('LAC 102_Wkst'!$Q$7:$Q$2010,'LAC 102_Wkst'!$D$7:$D$2010,$C$7,'LAC 102_Wkst'!$I$7:$I$2010,$C$9,'LAC 102_Wkst'!$E$7:$E$2010,$C96,'LAC 102_Wkst'!$G$7:$G$2010,$D96,'LAC 102_Wkst'!$L$7:$L$2010,"01",'LAC 102_Wkst'!$N$7:$N$2010,"P1")+SUMIFS('LAC 102_Wkst'!$Q$7:$Q$2010,'LAC 102_Wkst'!$D$7:$D$2010,$C$7,'LAC 102_Wkst'!$I$7:$I$2010,$C$9,'LAC 102_Wkst'!$E$7:$E$2010,$C96,'LAC 102_Wkst'!$G$7:$G$2010,$D96,'LAC 102_Wkst'!$L$7:$L$2010,"01",'LAC 102_Wkst'!$N$7:$N$2010,"P2")+SUMIFS('LAC 102_Wkst'!$Q$7:$Q$2010,'LAC 102_Wkst'!$D$7:$D$2010,$C$7,'LAC 102_Wkst'!$I$7:$I$2010,$C$9,'LAC 102_Wkst'!$E$7:$E$2010,$C96,'LAC 102_Wkst'!$G$7:$G$2010,$D96,'LAC 102_Wkst'!$L$7:$L$2010,"01",'LAC 102_Wkst'!$N$7:$N$2010,"P3")+SUMIFS('LAC 102_Wkst'!$Q$7:$Q$2010,'LAC 102_Wkst'!$D$7:$D$2010,$C$7,'LAC 102_Wkst'!$I$7:$I$2010,$C$9,'LAC 102_Wkst'!$E$7:$E$2010,$C96,'LAC 102_Wkst'!$G$7:$G$2010,$D96,'LAC 102_Wkst'!$L$7:$L$2010,"02",'LAC 102_Wkst'!$N$7:$N$2010,"P1")+SUMIFS('LAC 102_Wkst'!$Q$7:$Q$2010,'LAC 102_Wkst'!$D$7:$D$2010,$C$7,'LAC 102_Wkst'!$I$7:$I$2010,$C$9,'LAC 102_Wkst'!$E$7:$E$2010,$C96,'LAC 102_Wkst'!$G$7:$G$2010,$D96,'LAC 102_Wkst'!$L$7:$L$2010,"02",'LAC 102_Wkst'!$N$7:$N$2010,"P2")+SUMIFS('LAC 102_Wkst'!$Q$7:$Q$2010,'LAC 102_Wkst'!$D$7:$D$2010,$C$7,'LAC 102_Wkst'!$I$7:$I$2010,$C$9,'LAC 102_Wkst'!$E$7:$E$2010,$C96,'LAC 102_Wkst'!$G$7:$G$2010,$D96,'LAC 102_Wkst'!$L$7:$L$2010,"02",'LAC 102_Wkst'!$N$7:$N$2010,"P3")</f>
        <v>0</v>
      </c>
      <c r="G96" s="409">
        <f>SUMIFS('LAC 102_Wkst'!$AF$7:$AF$2010,'LAC 102_Wkst'!$D$7:$D$2010,$C$7,'LAC 102_Wkst'!$I$7:$I$2010,$C$9,'LAC 102_Wkst'!$E$7:$E$2010,$C96,'LAC 102_Wkst'!$G$7:$G$2010,$D96,'LAC 102_Wkst'!$L$7:$L$2010,"01",'LAC 102_Wkst'!$N$7:$N$2010,"P1")+SUMIFS('LAC 102_Wkst'!$AF$7:$AF$2010,'LAC 102_Wkst'!$D$7:$D$2010,$C$7,'LAC 102_Wkst'!$I$7:$I$2010,$C$9,'LAC 102_Wkst'!$E$7:$E$2010,$C96,'LAC 102_Wkst'!$G$7:$G$2010,$D96,'LAC 102_Wkst'!$L$7:$L$2010,"01",'LAC 102_Wkst'!$N$7:$N$2010,"P2")+SUMIFS('LAC 102_Wkst'!$AF$7:$AF$2010,'LAC 102_Wkst'!$D$7:$D$2010,$C$7,'LAC 102_Wkst'!$I$7:$I$2010,$C$9,'LAC 102_Wkst'!$E$7:$E$2010,$C96,'LAC 102_Wkst'!$G$7:$G$2010,$D96,'LAC 102_Wkst'!$L$7:$L$2010,"01",'LAC 102_Wkst'!$N$7:$N$2010,"P3")+SUMIFS('LAC 102_Wkst'!$AF$7:$AF$2010,'LAC 102_Wkst'!$D$7:$D$2010,$C$7,'LAC 102_Wkst'!$I$7:$I$2010,$C$9,'LAC 102_Wkst'!$E$7:$E$2010,$C96,'LAC 102_Wkst'!$G$7:$G$2010,$D96,'LAC 102_Wkst'!$L$7:$L$2010,"02",'LAC 102_Wkst'!$N$7:$N$2010,"P1")+SUMIFS('LAC 102_Wkst'!$AF$7:$AF$2010,'LAC 102_Wkst'!$D$7:$D$2010,$C$7,'LAC 102_Wkst'!$I$7:$I$2010,$C$9,'LAC 102_Wkst'!$E$7:$E$2010,$C96,'LAC 102_Wkst'!$G$7:$G$2010,$D96,'LAC 102_Wkst'!$L$7:$L$2010,"02",'LAC 102_Wkst'!$N$7:$N$2010,"P2")+SUMIFS('LAC 102_Wkst'!$AF$7:$AF$2010,'LAC 102_Wkst'!$D$7:$D$2010,$C$7,'LAC 102_Wkst'!$I$7:$I$2010,$C$9,'LAC 102_Wkst'!$E$7:$E$2010,$C96,'LAC 102_Wkst'!$G$7:$G$2010,$D96,'LAC 102_Wkst'!$L$7:$L$2010,"02",'LAC 102_Wkst'!$N$7:$N$2010,"P3")</f>
        <v>0</v>
      </c>
      <c r="H96" s="410">
        <f>SUMIFS('LAC 102_Wkst'!$Q$7:$Q$2010,'LAC 102_Wkst'!$D$7:$D$2010,$C$7,'LAC 102_Wkst'!$I$7:$I$2010,$C$9,'LAC 102_Wkst'!$E$7:$E$2010,$C96,'LAC 102_Wkst'!$G$7:$G$2010,$D96,'LAC 102_Wkst'!$L$7:$L$2010,"01",'LAC 102_Wkst'!$N$7:$N$2010,"P4")+SUMIFS('LAC 102_Wkst'!$Q$7:$Q$2010,'LAC 102_Wkst'!$D$7:$D$2010,$C$7,'LAC 102_Wkst'!$I$7:$I$2010,$C$9,'LAC 102_Wkst'!$E$7:$E$2010,$C96,'LAC 102_Wkst'!$G$7:$G$2010,$D96,'LAC 102_Wkst'!$L$7:$L$2010,"02",'LAC 102_Wkst'!$N$7:$N$2010,"P4")</f>
        <v>0</v>
      </c>
      <c r="I96" s="411">
        <f>SUMIFS('LAC 102_Wkst'!$AF$7:$AF$2010,'LAC 102_Wkst'!$D$7:$D$2010,$C$7,'LAC 102_Wkst'!$I$7:$I$2010,$C$9,'LAC 102_Wkst'!$E$7:$E$2010,$C96,'LAC 102_Wkst'!$G$7:$G$2010,$D96,'LAC 102_Wkst'!$L$7:$L$2010,"01",'LAC 102_Wkst'!$N$7:$N$2010,"P4")+SUMIFS('LAC 102_Wkst'!$AF$7:$AF$2010,'LAC 102_Wkst'!$D$7:$D$2010,$C$7,'LAC 102_Wkst'!$I$7:$I$2010,$C$9,'LAC 102_Wkst'!$E$7:$E$2010,$C96,'LAC 102_Wkst'!$G$7:$G$2010,$D96,'LAC 102_Wkst'!$L$7:$L$2010,"02",'LAC 102_Wkst'!$N$7:$N$2010,"P4")</f>
        <v>0</v>
      </c>
      <c r="J96" s="410">
        <f>SUMIFS('LAC 102_Wkst'!$Q$7:$Q$2010,'LAC 102_Wkst'!$D$7:$D$2010,$C$7,'LAC 102_Wkst'!$I$7:$I$2010,$C$9,'LAC 102_Wkst'!$E$7:$E$2010,$C96,'LAC 102_Wkst'!$G$7:$G$2010,$D96,'LAC 102_Wkst'!$L$7:$L$2010,"01",'LAC 102_Wkst'!$N$7:$N$2010,"P5")+SUMIFS('LAC 102_Wkst'!$Q$7:$Q$2010,'LAC 102_Wkst'!$D$7:$D$2010,$C$7,'LAC 102_Wkst'!$I$7:$I$2010,$C$9,'LAC 102_Wkst'!$E$7:$E$2010,$C96,'LAC 102_Wkst'!$G$7:$G$2010,$D96,'LAC 102_Wkst'!$L$7:$L$2010,"02",'LAC 102_Wkst'!$N$7:$N$2010,"P5")</f>
        <v>0</v>
      </c>
      <c r="K96" s="411">
        <f>SUMIFS('LAC 102_Wkst'!$AF$7:$AF$2010,'LAC 102_Wkst'!$D$7:$D$2010,$C$7,'LAC 102_Wkst'!$I$7:$I$2010,$C$9,'LAC 102_Wkst'!$E$7:$E$2010,$C96,'LAC 102_Wkst'!$G$7:$G$2010,$D96,'LAC 102_Wkst'!$L$7:$L$2010,"01",'LAC 102_Wkst'!$N$7:$N$2010,"P5")+SUMIFS('LAC 102_Wkst'!$AF$7:$AF$2010,'LAC 102_Wkst'!$D$7:$D$2010,$C$7,'LAC 102_Wkst'!$I$7:$I$2010,$C$9,'LAC 102_Wkst'!$E$7:$E$2010,$C96,'LAC 102_Wkst'!$G$7:$G$2010,$D96,'LAC 102_Wkst'!$L$7:$L$2010,"02",'LAC 102_Wkst'!$N$7:$N$2010,"P5")</f>
        <v>0</v>
      </c>
      <c r="L96" s="410">
        <f>SUMIFS('LAC 102_Wkst'!$Q$7:$Q$2010,'LAC 102_Wkst'!$D$7:$D$2010,$C$7,'LAC 102_Wkst'!$I$7:$I$2010,$C$9,'LAC 102_Wkst'!$E$7:$E$2010,$C96,'LAC 102_Wkst'!$G$7:$G$2010,$D96,'LAC 102_Wkst'!$L$7:$L$2010,"03",'LAC 102_Wkst'!$N$7:$N$2010,"P1")+SUMIFS('LAC 102_Wkst'!$Q$7:$Q$2010,'LAC 102_Wkst'!$D$7:$D$2010,$C$7,'LAC 102_Wkst'!$I$7:$I$2010,$C$9,'LAC 102_Wkst'!$E$7:$E$2010,$C96,'LAC 102_Wkst'!$G$7:$G$2010,$D96,'LAC 102_Wkst'!$L$7:$L$2010,"03",'LAC 102_Wkst'!$N$7:$N$2010,"P2")+SUMIFS('LAC 102_Wkst'!$Q$7:$Q$2010,'LAC 102_Wkst'!$D$7:$D$2010,$C$7,'LAC 102_Wkst'!$I$7:$I$2010,$C$9,'LAC 102_Wkst'!$E$7:$E$2010,$C96,'LAC 102_Wkst'!$G$7:$G$2010,$D96,'LAC 102_Wkst'!$L$7:$L$2010,"03",'LAC 102_Wkst'!$N$7:$N$2010,"P3")+SUMIFS('LAC 102_Wkst'!$Q$7:$Q$2010,'LAC 102_Wkst'!$D$7:$D$2010,$C$7,'LAC 102_Wkst'!$I$7:$I$2010,$C$9,'LAC 102_Wkst'!$E$7:$E$2010,$C96,'LAC 102_Wkst'!$G$7:$G$2010,$D96,'LAC 102_Wkst'!$L$7:$L$2010,"04",'LAC 102_Wkst'!$N$7:$N$2010,"P1")+SUMIFS('LAC 102_Wkst'!$Q$7:$Q$2010,'LAC 102_Wkst'!$D$7:$D$2010,$C$7,'LAC 102_Wkst'!$I$7:$I$2010,$C$9,'LAC 102_Wkst'!$E$7:$E$2010,$C96,'LAC 102_Wkst'!$G$7:$G$2010,$D96,'LAC 102_Wkst'!$L$7:$L$2010,"04",'LAC 102_Wkst'!$N$7:$N$2010,"P2")+SUMIFS('LAC 102_Wkst'!$Q$7:$Q$2010,'LAC 102_Wkst'!$D$7:$D$2010,$C$7,'LAC 102_Wkst'!$I$7:$I$2010,$C$9,'LAC 102_Wkst'!$E$7:$E$2010,$C96,'LAC 102_Wkst'!$G$7:$G$2010,$D96,'LAC 102_Wkst'!$L$7:$L$2010,"04",'LAC 102_Wkst'!$N$7:$N$2010,"P3")</f>
        <v>0</v>
      </c>
      <c r="M96" s="411">
        <f>SUMIFS('LAC 102_Wkst'!$AF$7:$AF$2010,'LAC 102_Wkst'!$D$7:$D$2010,$C$7,'LAC 102_Wkst'!$I$7:$I$2010,$C$9,'LAC 102_Wkst'!$E$7:$E$2010,$C96,'LAC 102_Wkst'!$G$7:$G$2010,$D96,'LAC 102_Wkst'!$L$7:$L$2010,"03",'LAC 102_Wkst'!$N$7:$N$2010,"P1")+SUMIFS('LAC 102_Wkst'!$AF$7:$AF$2010,'LAC 102_Wkst'!$D$7:$D$2010,$C$7,'LAC 102_Wkst'!$I$7:$I$2010,$C$9,'LAC 102_Wkst'!$E$7:$E$2010,$C96,'LAC 102_Wkst'!$G$7:$G$2010,$D96,'LAC 102_Wkst'!$L$7:$L$2010,"03",'LAC 102_Wkst'!$N$7:$N$2010,"P2")+SUMIFS('LAC 102_Wkst'!$AF$7:$AF$2010,'LAC 102_Wkst'!$D$7:$D$2010,$C$7,'LAC 102_Wkst'!$I$7:$I$2010,$C$9,'LAC 102_Wkst'!$E$7:$E$2010,$C96,'LAC 102_Wkst'!$G$7:$G$2010,$D96,'LAC 102_Wkst'!$L$7:$L$2010,"03",'LAC 102_Wkst'!$N$7:$N$2010,"P3")+SUMIFS('LAC 102_Wkst'!$AF$7:$AF$2010,'LAC 102_Wkst'!$D$7:$D$2010,$C$7,'LAC 102_Wkst'!$I$7:$I$2010,$C$9,'LAC 102_Wkst'!$E$7:$E$2010,$C96,'LAC 102_Wkst'!$G$7:$G$2010,$D96,'LAC 102_Wkst'!$L$7:$L$2010,"04",'LAC 102_Wkst'!$N$7:$N$2010,"P1")+SUMIFS('LAC 102_Wkst'!$AF$7:$AF$2010,'LAC 102_Wkst'!$D$7:$D$2010,$C$7,'LAC 102_Wkst'!$I$7:$I$2010,$C$9,'LAC 102_Wkst'!$E$7:$E$2010,$C96,'LAC 102_Wkst'!$G$7:$G$2010,$D96,'LAC 102_Wkst'!$L$7:$L$2010,"04",'LAC 102_Wkst'!$N$7:$N$2010,"P2")+SUMIFS('LAC 102_Wkst'!$AF$7:$AF$2010,'LAC 102_Wkst'!$D$7:$D$2010,$C$7,'LAC 102_Wkst'!$I$7:$I$2010,$C$9,'LAC 102_Wkst'!$E$7:$E$2010,$C96,'LAC 102_Wkst'!$G$7:$G$2010,$D96,'LAC 102_Wkst'!$L$7:$L$2010,"04",'LAC 102_Wkst'!$N$7:$N$2010,"P3")</f>
        <v>0</v>
      </c>
      <c r="N96" s="410">
        <f>SUMIFS('LAC 102_Wkst'!$Q$7:$Q$2010,'LAC 102_Wkst'!$D$7:$D$2010,$C$7,'LAC 102_Wkst'!$I$7:$I$2010,$C$9,'LAC 102_Wkst'!$E$7:$E$2010,$C96,'LAC 102_Wkst'!$G$7:$G$2010,$D96,'LAC 102_Wkst'!$L$7:$L$2010,"03",'LAC 102_Wkst'!$N$7:$N$2010,"P4")+SUMIFS('LAC 102_Wkst'!$Q$7:$Q$2010,'LAC 102_Wkst'!$D$7:$D$2010,$C$7,'LAC 102_Wkst'!$I$7:$I$2010,$C$9,'LAC 102_Wkst'!$E$7:$E$2010,$C96,'LAC 102_Wkst'!$G$7:$G$2010,$D96,'LAC 102_Wkst'!$L$7:$L$2010,"04",'LAC 102_Wkst'!$N$7:$N$2010,"P4")</f>
        <v>0</v>
      </c>
      <c r="O96" s="411">
        <f>SUMIFS('LAC 102_Wkst'!$AF$7:$AF$2010,'LAC 102_Wkst'!$D$7:$D$2010,$C$7,'LAC 102_Wkst'!$I$7:$I$2010,$C$9,'LAC 102_Wkst'!$E$7:$E$2010,$C96,'LAC 102_Wkst'!$G$7:$G$2010,$D96,'LAC 102_Wkst'!$L$7:$L$2010,"03",'LAC 102_Wkst'!$N$7:$N$2010,"P4")+SUMIFS('LAC 102_Wkst'!$AF$7:$AF$2010,'LAC 102_Wkst'!$D$7:$D$2010,$C$7,'LAC 102_Wkst'!$I$7:$I$2010,$C$9,'LAC 102_Wkst'!$E$7:$E$2010,$C96,'LAC 102_Wkst'!$G$7:$G$2010,$D96,'LAC 102_Wkst'!$L$7:$L$2010,"04",'LAC 102_Wkst'!$N$7:$N$2010,"P4")</f>
        <v>0</v>
      </c>
      <c r="P96" s="410">
        <f>SUMIFS('LAC 102_Wkst'!$Q$7:$Q$2010,'LAC 102_Wkst'!$D$7:$D$2010,$C$7,'LAC 102_Wkst'!$I$7:$I$2010,$C$9,'LAC 102_Wkst'!$E$7:$E$2010,$C96,'LAC 102_Wkst'!$G$7:$G$2010,$D96,'LAC 102_Wkst'!$L$7:$L$2010,"03",'LAC 102_Wkst'!$N$7:$N$2010,"P5")+SUMIFS('LAC 102_Wkst'!$Q$7:$Q$2010,'LAC 102_Wkst'!$D$7:$D$2010,$C$7,'LAC 102_Wkst'!$I$7:$I$2010,$C$9,'LAC 102_Wkst'!$E$7:$E$2010,$C96,'LAC 102_Wkst'!$G$7:$G$2010,$D96,'LAC 102_Wkst'!$L$7:$L$2010,"04",'LAC 102_Wkst'!$N$7:$N$2010,"P5")</f>
        <v>0</v>
      </c>
      <c r="Q96" s="411">
        <f>SUMIFS('LAC 102_Wkst'!$AF$7:$AF$2010,'LAC 102_Wkst'!$D$7:$D$2010,$C$7,'LAC 102_Wkst'!$I$7:$I$2010,$C$9,'LAC 102_Wkst'!$E$7:$E$2010,$C96,'LAC 102_Wkst'!$G$7:$G$2010,$D96,'LAC 102_Wkst'!$L$7:$L$2010,"03",'LAC 102_Wkst'!$N$7:$N$2010,"P5")+SUMIFS('LAC 102_Wkst'!$AF$7:$AF$2010,'LAC 102_Wkst'!$D$7:$D$2010,$C$7,'LAC 102_Wkst'!$I$7:$I$2010,$C$9,'LAC 102_Wkst'!$E$7:$E$2010,$C96,'LAC 102_Wkst'!$G$7:$G$2010,$D96,'LAC 102_Wkst'!$L$7:$L$2010,"04",'LAC 102_Wkst'!$N$7:$N$2010,"P5")</f>
        <v>0</v>
      </c>
      <c r="R96" s="412">
        <f>SUMIFS('LAC 102_Wkst'!$Q$7:$Q$2010,'LAC 102_Wkst'!$D$7:$D$2010,$C$7,'LAC 102_Wkst'!$I$7:$I$2010,$C$9,'LAC 102_Wkst'!$E$7:$E$2010,$C96,'LAC 102_Wkst'!$G$7:$G$2010,$D96,'LAC 102_Wkst'!$L$7:$L$2010,"05",'LAC 102_Wkst'!$N$7:$N$2010,"P1")+SUMIFS('LAC 102_Wkst'!$Q$7:$Q$2010,'LAC 102_Wkst'!$D$7:$D$2010,$C$7,'LAC 102_Wkst'!$I$7:$I$2010,$C$9,'LAC 102_Wkst'!$E$7:$E$2010,$C96,'LAC 102_Wkst'!$G$7:$G$2010,$D96,'LAC 102_Wkst'!$L$7:$L$2010,"06",'LAC 102_Wkst'!$N$7:$N$2010,"P1")</f>
        <v>0</v>
      </c>
      <c r="S96" s="411">
        <f>SUMIFS('LAC 102_Wkst'!$AF$7:$AF$2010,'LAC 102_Wkst'!$D$7:$D$2010,$C$7,'LAC 102_Wkst'!$I$7:$I$2010,$C$9,'LAC 102_Wkst'!$E$7:$E$2010,$C96,'LAC 102_Wkst'!$G$7:$G$2010,$D96,'LAC 102_Wkst'!$L$7:$L$2010,"05",'LAC 102_Wkst'!$N$7:$N$2010,"P1")+SUMIFS('LAC 102_Wkst'!$AF$7:$AF$2010,'LAC 102_Wkst'!$D$7:$D$2010,$C$7,'LAC 102_Wkst'!$I$7:$I$2010,$C$9,'LAC 102_Wkst'!$E$7:$E$2010,$C96,'LAC 102_Wkst'!$G$7:$G$2010,$D96,'LAC 102_Wkst'!$L$7:$L$2010,"06",'LAC 102_Wkst'!$N$7:$N$2010,"P1")</f>
        <v>0</v>
      </c>
      <c r="T96" s="410">
        <f>SUMIFS('LAC 102_Wkst'!$Q$7:$Q$2010,'LAC 102_Wkst'!$D$7:$D$2010,$C$7,'LAC 102_Wkst'!$I$7:$I$2010,$C$9,'LAC 102_Wkst'!$E$7:$E$2010,$C96,'LAC 102_Wkst'!$G$7:$G$2010,$D96,'LAC 102_Wkst'!$L$7:$L$2010,"05",'LAC 102_Wkst'!$N$7:$N$2010,"P2")+SUMIFS('LAC 102_Wkst'!$Q$7:$Q$2010,'LAC 102_Wkst'!$D$7:$D$2010,$C$7,'LAC 102_Wkst'!$I$7:$I$2010,$C$9,'LAC 102_Wkst'!$E$7:$E$2010,$C96,'LAC 102_Wkst'!$G$7:$G$2010,$D96,'LAC 102_Wkst'!$L$7:$L$2010,"06",'LAC 102_Wkst'!$N$7:$N$2010,"P2")+SUMIFS('LAC 102_Wkst'!$Q$7:$Q$2010,'LAC 102_Wkst'!$D$7:$D$2010,$C$7,'LAC 102_Wkst'!$I$7:$I$2010,$C$9,'LAC 102_Wkst'!$E$7:$E$2010,$C96,'LAC 102_Wkst'!$G$7:$G$2010,$D96,'LAC 102_Wkst'!$L$7:$L$2010,"05",'LAC 102_Wkst'!$N$7:$N$2010,"P3")+SUMIFS('LAC 102_Wkst'!$Q$7:$Q$2010,'LAC 102_Wkst'!$D$7:$D$2010,$C$7,'LAC 102_Wkst'!$I$7:$I$2010,$C$9,'LAC 102_Wkst'!$E$7:$E$2010,$C96,'LAC 102_Wkst'!$G$7:$G$2010,$D96,'LAC 102_Wkst'!$L$7:$L$2010,"06",'LAC 102_Wkst'!$N$7:$N$2010,"P3")</f>
        <v>0</v>
      </c>
      <c r="U96" s="411">
        <f>SUMIFS('LAC 102_Wkst'!$AF$7:$AF$2010,'LAC 102_Wkst'!$D$7:$D$2010,$C$7,'LAC 102_Wkst'!$I$7:$I$2010,$C$9,'LAC 102_Wkst'!$E$7:$E$2010,$C96,'LAC 102_Wkst'!$G$7:$G$2010,$D96,'LAC 102_Wkst'!$L$7:$L$2010,"05",'LAC 102_Wkst'!$N$7:$N$2010,"P2")+SUMIFS('LAC 102_Wkst'!$AF$7:$AF$2010,'LAC 102_Wkst'!$D$7:$D$2010,$C$7,'LAC 102_Wkst'!$I$7:$I$2010,$C$9,'LAC 102_Wkst'!$E$7:$E$2010,$C96,'LAC 102_Wkst'!$G$7:$G$2010,$D96,'LAC 102_Wkst'!$L$7:$L$2010,"06",'LAC 102_Wkst'!$N$7:$N$2010,"P2")+SUMIFS('LAC 102_Wkst'!$AF$7:$AF$2010,'LAC 102_Wkst'!$D$7:$D$2010,$C$7,'LAC 102_Wkst'!$I$7:$I$2010,$C$9,'LAC 102_Wkst'!$E$7:$E$2010,$C96,'LAC 102_Wkst'!$G$7:$G$2010,$D96,'LAC 102_Wkst'!$L$7:$L$2010,"05",'LAC 102_Wkst'!$N$7:$N$2010,"P3")+SUMIFS('LAC 102_Wkst'!$AF$7:$AF$2010,'LAC 102_Wkst'!$D$7:$D$2010,$C$7,'LAC 102_Wkst'!$I$7:$I$2010,$C$9,'LAC 102_Wkst'!$E$7:$E$2010,$C96,'LAC 102_Wkst'!$G$7:$G$2010,$D96,'LAC 102_Wkst'!$L$7:$L$2010,"06",'LAC 102_Wkst'!$N$7:$N$2010,"P3")</f>
        <v>0</v>
      </c>
      <c r="V96" s="410">
        <f>SUMIFS('LAC 102_Wkst'!$Q$7:$Q$2010,'LAC 102_Wkst'!$D$7:$D$2010,$C$7,'LAC 102_Wkst'!$I$7:$I$2010,$C$9,'LAC 102_Wkst'!$E$7:$E$2010,$C96,'LAC 102_Wkst'!$G$7:$G$2010,$D96,'LAC 102_Wkst'!$L$7:$L$2010,"05",'LAC 102_Wkst'!$N$7:$N$2010,"P4")+SUMIFS('LAC 102_Wkst'!$Q$7:$Q$2010,'LAC 102_Wkst'!$D$7:$D$2010,$C$7,'LAC 102_Wkst'!$I$7:$I$2010,$C$9,'LAC 102_Wkst'!$E$7:$E$2010,$C96,'LAC 102_Wkst'!$G$7:$G$2010,$D96,'LAC 102_Wkst'!$L$7:$L$2010,"06",'LAC 102_Wkst'!$N$7:$N$2010,"P4")</f>
        <v>0</v>
      </c>
      <c r="W96" s="411">
        <f>SUMIFS('LAC 102_Wkst'!$AF$7:$AF$2010,'LAC 102_Wkst'!$D$7:$D$2010,$C$7,'LAC 102_Wkst'!$I$7:$I$2010,$C$9,'LAC 102_Wkst'!$E$7:$E$2010,$C96,'LAC 102_Wkst'!$G$7:$G$2010,$D96,'LAC 102_Wkst'!$L$7:$L$2010,"05",'LAC 102_Wkst'!$N$7:$N$2010,"P4")+SUMIFS('LAC 102_Wkst'!$AF$7:$AF$2010,'LAC 102_Wkst'!$D$7:$D$2010,$C$7,'LAC 102_Wkst'!$I$7:$I$2010,$C$9,'LAC 102_Wkst'!$E$7:$E$2010,$C96,'LAC 102_Wkst'!$G$7:$G$2010,$D96,'LAC 102_Wkst'!$L$7:$L$2010,"06",'LAC 102_Wkst'!$N$7:$N$2010,"P4")</f>
        <v>0</v>
      </c>
      <c r="X96" s="410">
        <f>SUMIFS('LAC 102_Wkst'!$Q$7:$Q$2010,'LAC 102_Wkst'!$D$7:$D$2010,$C$7,'LAC 102_Wkst'!$I$7:$I$2010,$C$9,'LAC 102_Wkst'!$E$7:$E$2010,$C96,'LAC 102_Wkst'!$G$7:$G$2010,$D96,'LAC 102_Wkst'!$L$7:$L$2010,"05",'LAC 102_Wkst'!$N$7:$N$2010,"P5")+SUMIFS('LAC 102_Wkst'!$Q$7:$Q$2010,'LAC 102_Wkst'!$D$7:$D$2010,$C$7,'LAC 102_Wkst'!$I$7:$I$2010,$C$9,'LAC 102_Wkst'!$E$7:$E$2010,$C96,'LAC 102_Wkst'!$G$7:$G$2010,$D96,'LAC 102_Wkst'!$L$7:$L$2010,"06",'LAC 102_Wkst'!$N$7:$N$2010,"P5")</f>
        <v>0</v>
      </c>
      <c r="Y96" s="411">
        <f>SUMIFS('LAC 102_Wkst'!$AF$7:$AF$2010,'LAC 102_Wkst'!$D$7:$D$2010,$C$7,'LAC 102_Wkst'!$I$7:$I$2010,$C$9,'LAC 102_Wkst'!$E$7:$E$2010,$C96,'LAC 102_Wkst'!$G$7:$G$2010,$D96,'LAC 102_Wkst'!$L$7:$L$2010,"05",'LAC 102_Wkst'!$N$7:$N$2010,"P5")+SUMIFS('LAC 102_Wkst'!$AF$7:$AF$2010,'LAC 102_Wkst'!$D$7:$D$2010,$C$7,'LAC 102_Wkst'!$I$7:$I$2010,$C$9,'LAC 102_Wkst'!$E$7:$E$2010,$C96,'LAC 102_Wkst'!$G$7:$G$2010,$D96,'LAC 102_Wkst'!$L$7:$L$2010,"06",'LAC 102_Wkst'!$N$7:$N$2010,"P5")</f>
        <v>0</v>
      </c>
      <c r="Z96" s="410">
        <f>SUMIFS('LAC 102_Wkst'!$Q$7:$Q$2010,'LAC 102_Wkst'!$D$7:$D$2010,$C$7,'LAC 102_Wkst'!$I$7:$I$2010,$C$9,'LAC 102_Wkst'!$E$7:$E$2010,$C96,'LAC 102_Wkst'!$G$7:$G$2010,$D96,'LAC 102_Wkst'!$L$7:$L$2010,"07",'LAC 102_Wkst'!$N$7:$N$2010,"P1")+SUMIFS('LAC 102_Wkst'!$Q$7:$Q$2010,'LAC 102_Wkst'!$D$7:$D$2010,$C$7,'LAC 102_Wkst'!$I$7:$I$2010,$C$9,'LAC 102_Wkst'!$E$7:$E$2010,$C96,'LAC 102_Wkst'!$G$7:$G$2010,$D96,'LAC 102_Wkst'!$L$7:$L$2010,"07",'LAC 102_Wkst'!$N$7:$N$2010,"P2")+SUMIFS('LAC 102_Wkst'!$Q$7:$Q$2010,'LAC 102_Wkst'!$D$7:$D$2010,$C$7,'LAC 102_Wkst'!$I$7:$I$2010,$C$9,'LAC 102_Wkst'!$E$7:$E$2010,$C96,'LAC 102_Wkst'!$G$7:$G$2010,$D96,'LAC 102_Wkst'!$L$7:$L$2010,"07",'LAC 102_Wkst'!$N$7:$N$2010,"P3")</f>
        <v>0</v>
      </c>
      <c r="AA96" s="411">
        <f>SUMIFS('LAC 102_Wkst'!$AF$7:$AF$2010,'LAC 102_Wkst'!$D$7:$D$2010,$C$7,'LAC 102_Wkst'!$I$7:$I$2010,$C$9,'LAC 102_Wkst'!$E$7:$E$2010,$C96,'LAC 102_Wkst'!$G$7:$G$2010,$D96,'LAC 102_Wkst'!$L$7:$L$2010,"07",'LAC 102_Wkst'!$N$7:$N$2010,"P1")+SUMIFS('LAC 102_Wkst'!$AF$7:$AF$2010,'LAC 102_Wkst'!$D$7:$D$2010,$C$7,'LAC 102_Wkst'!$I$7:$I$2010,$C$9,'LAC 102_Wkst'!$E$7:$E$2010,$C96,'LAC 102_Wkst'!$G$7:$G$2010,$D96,'LAC 102_Wkst'!$L$7:$L$2010,"07",'LAC 102_Wkst'!$N$7:$N$2010,"P2")+SUMIFS('LAC 102_Wkst'!$AF$7:$AF$2010,'LAC 102_Wkst'!$D$7:$D$2010,$C$7,'LAC 102_Wkst'!$I$7:$I$2010,$C$9,'LAC 102_Wkst'!$E$7:$E$2010,$C96,'LAC 102_Wkst'!$G$7:$G$2010,$D96,'LAC 102_Wkst'!$L$7:$L$2010,"07",'LAC 102_Wkst'!$N$7:$N$2010,"P3")</f>
        <v>0</v>
      </c>
      <c r="AB96" s="410">
        <f>SUMIFS('LAC 102_Wkst'!$Q$7:$Q$2010,'LAC 102_Wkst'!$D$7:$D$2010,$C$7,'LAC 102_Wkst'!$I$7:$I$2010,$C$9,'LAC 102_Wkst'!$E$7:$E$2010,$C96,'LAC 102_Wkst'!$G$7:$G$2010,$D96,'LAC 102_Wkst'!$L$7:$L$2010,"07",'LAC 102_Wkst'!$N$7:$N$2010,"P4")</f>
        <v>0</v>
      </c>
      <c r="AC96" s="411">
        <f>SUMIFS('LAC 102_Wkst'!$AF$7:$AF$2010,'LAC 102_Wkst'!$D$7:$D$2010,$C$7,'LAC 102_Wkst'!$I$7:$I$2010,$C$9,'LAC 102_Wkst'!$E$7:$E$2010,$C96,'LAC 102_Wkst'!$G$7:$G$2010,$D96,'LAC 102_Wkst'!$L$7:$L$2010,"07",'LAC 102_Wkst'!$N$7:$N$2010,"P4")</f>
        <v>0</v>
      </c>
      <c r="AD96" s="410">
        <f>SUMIFS('LAC 102_Wkst'!$Q$7:$Q$2010,'LAC 102_Wkst'!$D$7:$D$2010,$C$7,'LAC 102_Wkst'!$I$7:$I$2010,$C$9,'LAC 102_Wkst'!$E$7:$E$2010,$C96,'LAC 102_Wkst'!$G$7:$G$2010,$D96,'LAC 102_Wkst'!$L$7:$L$2010,"07",'LAC 102_Wkst'!$N$7:$N$2010,"P5")</f>
        <v>0</v>
      </c>
      <c r="AE96" s="411">
        <f>SUMIFS('LAC 102_Wkst'!$AF$7:$AF$2010,'LAC 102_Wkst'!$D$7:$D$2010,$C$7,'LAC 102_Wkst'!$I$7:$I$2010,$C$9,'LAC 102_Wkst'!$E$7:$E$2010,$C96,'LAC 102_Wkst'!$G$7:$G$2010,$D96,'LAC 102_Wkst'!$L$7:$L$2010,"07",'LAC 102_Wkst'!$N$7:$N$2010,"P5")</f>
        <v>0</v>
      </c>
      <c r="AF96" s="410">
        <f>SUMIFS('LAC 102_Wkst'!$Q$7:$Q$2010,'LAC 102_Wkst'!$D$7:$D$2010,$C$7,'LAC 102_Wkst'!$I$7:$I$2010,$C$9,'LAC 102_Wkst'!$E$7:$E$2010,$C96,'LAC 102_Wkst'!$G$7:$G$2010,$D96,'LAC 102_Wkst'!$L$7:$L$2010,"08",'LAC 102_Wkst'!$N$7:$N$2010,"P1")+SUMIFS('LAC 102_Wkst'!$Q$7:$Q$2010,'LAC 102_Wkst'!$D$7:$D$2010,$C$7,'LAC 102_Wkst'!$I$7:$I$2010,$C$9,'LAC 102_Wkst'!$E$7:$E$2010,$C96,'LAC 102_Wkst'!$G$7:$G$2010,$D96,'LAC 102_Wkst'!$L$7:$L$2010,"08",'LAC 102_Wkst'!$N$7:$N$2010,"P2")+SUMIFS('LAC 102_Wkst'!$Q$7:$Q$2010,'LAC 102_Wkst'!$D$7:$D$2010,$C$7,'LAC 102_Wkst'!$I$7:$I$2010,$C$9,'LAC 102_Wkst'!$E$7:$E$2010,$C96,'LAC 102_Wkst'!$G$7:$G$2010,$D96,'LAC 102_Wkst'!$L$7:$L$2010,"08",'LAC 102_Wkst'!$N$7:$N$2010,"P3")</f>
        <v>0</v>
      </c>
      <c r="AG96" s="411">
        <f>SUMIFS('LAC 102_Wkst'!$AF$7:$AF$2010,'LAC 102_Wkst'!$D$7:$D$2010,$C$7,'LAC 102_Wkst'!$I$7:$I$2010,$C$9,'LAC 102_Wkst'!$E$7:$E$2010,$C96,'LAC 102_Wkst'!$G$7:$G$2010,$D96,'LAC 102_Wkst'!$L$7:$L$2010,"08",'LAC 102_Wkst'!$N$7:$N$2010,"P1")+SUMIFS('LAC 102_Wkst'!$AF$7:$AF$2010,'LAC 102_Wkst'!$D$7:$D$2010,$C$7,'LAC 102_Wkst'!$I$7:$I$2010,$C$9,'LAC 102_Wkst'!$E$7:$E$2010,$C96,'LAC 102_Wkst'!$G$7:$G$2010,$D96,'LAC 102_Wkst'!$L$7:$L$2010,"08",'LAC 102_Wkst'!$N$7:$N$2010,"P2")+SUMIFS('LAC 102_Wkst'!$AF$7:$AF$2010,'LAC 102_Wkst'!$D$7:$D$2010,$C$7,'LAC 102_Wkst'!$I$7:$I$2010,$C$9,'LAC 102_Wkst'!$E$7:$E$2010,$C96,'LAC 102_Wkst'!$G$7:$G$2010,$D96,'LAC 102_Wkst'!$L$7:$L$2010,"08",'LAC 102_Wkst'!$N$7:$N$2010,"P3")</f>
        <v>0</v>
      </c>
      <c r="AH96" s="410">
        <f>SUMIFS('LAC 102_Wkst'!$Q$7:$Q$2010,'LAC 102_Wkst'!$D$7:$D$2010,$C$7,'LAC 102_Wkst'!$I$7:$I$2010,$C$9,'LAC 102_Wkst'!$E$7:$E$2010,$C96,'LAC 102_Wkst'!$G$7:$G$2010,$D96,'LAC 102_Wkst'!$L$7:$L$2010,"08",'LAC 102_Wkst'!$N$7:$N$2010,"P4")</f>
        <v>0</v>
      </c>
      <c r="AI96" s="411">
        <f>SUMIFS('LAC 102_Wkst'!$AF$7:$AF$2010,'LAC 102_Wkst'!$D$7:$D$2010,$C$7,'LAC 102_Wkst'!$I$7:$I$2010,$C$9,'LAC 102_Wkst'!$E$7:$E$2010,$C96,'LAC 102_Wkst'!$G$7:$G$2010,$D96,'LAC 102_Wkst'!$L$7:$L$2010,"08",'LAC 102_Wkst'!$N$7:$N$2010,"P4")</f>
        <v>0</v>
      </c>
      <c r="AJ96" s="410">
        <f>SUMIFS('LAC 102_Wkst'!$Q$7:$Q$2010,'LAC 102_Wkst'!$D$7:$D$2010,$C$7,'LAC 102_Wkst'!$I$7:$I$2010,$C$9,'LAC 102_Wkst'!$E$7:$E$2010,$C96,'LAC 102_Wkst'!$G$7:$G$2010,$D96,'LAC 102_Wkst'!$L$7:$L$2010,"08",'LAC 102_Wkst'!$N$7:$N$2010,"P5")</f>
        <v>0</v>
      </c>
      <c r="AK96" s="411">
        <f>SUMIFS('LAC 102_Wkst'!$AF$7:$AF$2010,'LAC 102_Wkst'!$D$7:$D$2010,$C$7,'LAC 102_Wkst'!$I$7:$I$2010,$C$9,'LAC 102_Wkst'!$E$7:$E$2010,$C96,'LAC 102_Wkst'!$G$7:$G$2010,$D96,'LAC 102_Wkst'!$L$7:$L$2010,"08",'LAC 102_Wkst'!$N$7:$N$2010,"P5")</f>
        <v>0</v>
      </c>
      <c r="AL96" s="410">
        <f>SUMIFS('LAC 102_Wkst'!$Q$7:$Q$2010,'LAC 102_Wkst'!$D$7:$D$2010,$C$7,'LAC 102_Wkst'!$I$7:$I$2010,$C$9,'LAC 102_Wkst'!$E$7:$E$2010,$C96,'LAC 102_Wkst'!$G$7:$G$2010,$D96,'LAC 102_Wkst'!$L$7:$L$2010,"09",'LAC 102_Wkst'!$N$7:$N$2010,"P1")+SUMIFS('LAC 102_Wkst'!$Q$7:$Q$2010,'LAC 102_Wkst'!$D$7:$D$2010,$C$7,'LAC 102_Wkst'!$I$7:$I$2010,$C$9,'LAC 102_Wkst'!$E$7:$E$2010,$C96,'LAC 102_Wkst'!$G$7:$G$2010,$D96,'LAC 102_Wkst'!$L$7:$L$2010,"09",'LAC 102_Wkst'!$N$7:$N$2010,"P2")+SUMIFS('LAC 102_Wkst'!$Q$7:$Q$2010,'LAC 102_Wkst'!$D$7:$D$2010,$C$7,'LAC 102_Wkst'!$I$7:$I$2010,$C$9,'LAC 102_Wkst'!$E$7:$E$2010,$C96,'LAC 102_Wkst'!$G$7:$G$2010,$D96,'LAC 102_Wkst'!$L$7:$L$2010,"09",'LAC 102_Wkst'!$N$7:$N$2010,"P3")+SUMIFS('LAC 102_Wkst'!$Q$7:$Q$2010,'LAC 102_Wkst'!$D$7:$D$2010,$C$7,'LAC 102_Wkst'!$I$7:$I$2010,$C$9,'LAC 102_Wkst'!$E$7:$E$2010,$C96,'LAC 102_Wkst'!$G$7:$G$2010,$D96,'LAC 102_Wkst'!$L$7:$L$2010,"09",'LAC 102_Wkst'!$N$7:$N$2010,"P4")</f>
        <v>0</v>
      </c>
      <c r="AM96" s="411">
        <f>SUMIFS('LAC 102_Wkst'!$AF$7:$AF$2010,'LAC 102_Wkst'!$D$7:$D$2010,$C$7,'LAC 102_Wkst'!$I$7:$I$2010,$C$9,'LAC 102_Wkst'!$E$7:$E$2010,$C96,'LAC 102_Wkst'!$G$7:$G$2010,$D96,'LAC 102_Wkst'!$L$7:$L$2010,"09",'LAC 102_Wkst'!$N$7:$N$2010,"P1")+SUMIFS('LAC 102_Wkst'!$AF$7:$AF$2010,'LAC 102_Wkst'!$D$7:$D$2010,$C$7,'LAC 102_Wkst'!$I$7:$I$2010,$C$9,'LAC 102_Wkst'!$E$7:$E$2010,$C96,'LAC 102_Wkst'!$G$7:$G$2010,$D96,'LAC 102_Wkst'!$L$7:$L$2010,"09",'LAC 102_Wkst'!$N$7:$N$2010,"P2")+SUMIFS('LAC 102_Wkst'!$AF$7:$AF$2010,'LAC 102_Wkst'!$D$7:$D$2010,$C$7,'LAC 102_Wkst'!$I$7:$I$2010,$C$9,'LAC 102_Wkst'!$E$7:$E$2010,$C96,'LAC 102_Wkst'!$G$7:$G$2010,$D96,'LAC 102_Wkst'!$L$7:$L$2010,"09",'LAC 102_Wkst'!$N$7:$N$2010,"P3")+SUMIFS('LAC 102_Wkst'!$AF$7:$AF$2010,'LAC 102_Wkst'!$D$7:$D$2010,$C$7,'LAC 102_Wkst'!$I$7:$I$2010,$C$9,'LAC 102_Wkst'!$E$7:$E$2010,$C96,'LAC 102_Wkst'!$G$7:$G$2010,$D96,'LAC 102_Wkst'!$L$7:$L$2010,"09",'LAC 102_Wkst'!$N$7:$N$2010,"P4")</f>
        <v>0</v>
      </c>
      <c r="AN96" s="410">
        <f>SUMIFS('LAC 102_Wkst'!$Q$7:$Q$2010,'LAC 102_Wkst'!$D$7:$D$2010,$C$7,'LAC 102_Wkst'!$I$7:$I$2010,$C$9,'LAC 102_Wkst'!$E$7:$E$2010,$C96,'LAC 102_Wkst'!$G$7:$G$2010,$D96,'LAC 102_Wkst'!$L$7:$L$2010,"09",'LAC 102_Wkst'!$N$7:$N$2010,"P5")</f>
        <v>0</v>
      </c>
      <c r="AO96" s="411">
        <f>SUMIFS('LAC 102_Wkst'!$AF$7:$AF$2010,'LAC 102_Wkst'!$D$7:$D$2010,$C$7,'LAC 102_Wkst'!$I$7:$I$2010,$C$9,'LAC 102_Wkst'!$E$7:$E$2010,$C96,'LAC 102_Wkst'!$G$7:$G$2010,$D96,'LAC 102_Wkst'!$L$7:$L$2010,"09",'LAC 102_Wkst'!$N$7:$N$2010,"P5")</f>
        <v>0</v>
      </c>
      <c r="AP96" s="410">
        <f>SUMIFS('LAC 102_Wkst'!$Q$7:$Q$2010,'LAC 102_Wkst'!$D$7:$D$2010,$C$7,'LAC 102_Wkst'!$I$7:$I$2010,$C$9,'LAC 102_Wkst'!$E$7:$E$2010,$C96,'LAC 102_Wkst'!$G$7:$G$2010,$D96,'LAC 102_Wkst'!$L$7:$L$2010,"10",'LAC 102_Wkst'!$N$7:$N$2010,"P1")+SUMIFS('LAC 102_Wkst'!$Q$7:$Q$2010,'LAC 102_Wkst'!$D$7:$D$2010,$C$7,'LAC 102_Wkst'!$I$7:$I$2010,$C$9,'LAC 102_Wkst'!$E$7:$E$2010,$C96,'LAC 102_Wkst'!$G$7:$G$2010,$D96,'LAC 102_Wkst'!$L$7:$L$2010,"10",'LAC 102_Wkst'!$N$7:$N$2010,"P2")+SUMIFS('LAC 102_Wkst'!$Q$7:$Q$2010,'LAC 102_Wkst'!$D$7:$D$2010,$C$7,'LAC 102_Wkst'!$I$7:$I$2010,$C$9,'LAC 102_Wkst'!$E$7:$E$2010,$C96,'LAC 102_Wkst'!$G$7:$G$2010,$D96,'LAC 102_Wkst'!$L$7:$L$2010,"10",'LAC 102_Wkst'!$N$7:$N$2010,"P3")+SUMIFS('LAC 102_Wkst'!$Q$7:$Q$2010,'LAC 102_Wkst'!$D$7:$D$2010,$C$7,'LAC 102_Wkst'!$I$7:$I$2010,$C$9,'LAC 102_Wkst'!$E$7:$E$2010,$C96,'LAC 102_Wkst'!$G$7:$G$2010,$D96,'LAC 102_Wkst'!$L$7:$L$2010,"10",'LAC 102_Wkst'!$N$7:$N$2010,"P4")</f>
        <v>0</v>
      </c>
      <c r="AQ96" s="411">
        <f>SUMIFS('LAC 102_Wkst'!$AF$7:$AF$2010,'LAC 102_Wkst'!$D$7:$D$2010,$C$7,'LAC 102_Wkst'!$I$7:$I$2010,$C$9,'LAC 102_Wkst'!$E$7:$E$2010,$C96,'LAC 102_Wkst'!$G$7:$G$2010,$D96,'LAC 102_Wkst'!$L$7:$L$2010,"10",'LAC 102_Wkst'!$N$7:$N$2010,"P1")+SUMIFS('LAC 102_Wkst'!$AF$7:$AF$2010,'LAC 102_Wkst'!$D$7:$D$2010,$C$7,'LAC 102_Wkst'!$I$7:$I$2010,$C$9,'LAC 102_Wkst'!$E$7:$E$2010,$C96,'LAC 102_Wkst'!$G$7:$G$2010,$D96,'LAC 102_Wkst'!$L$7:$L$2010,"10",'LAC 102_Wkst'!$N$7:$N$2010,"P2")+SUMIFS('LAC 102_Wkst'!$AF$7:$AF$2010,'LAC 102_Wkst'!$D$7:$D$2010,$C$7,'LAC 102_Wkst'!$I$7:$I$2010,$C$9,'LAC 102_Wkst'!$E$7:$E$2010,$C96,'LAC 102_Wkst'!$G$7:$G$2010,$D96,'LAC 102_Wkst'!$L$7:$L$2010,"10",'LAC 102_Wkst'!$N$7:$N$2010,"P3")+SUMIFS('LAC 102_Wkst'!$AF$7:$AF$2010,'LAC 102_Wkst'!$D$7:$D$2010,$C$7,'LAC 102_Wkst'!$I$7:$I$2010,$C$9,'LAC 102_Wkst'!$E$7:$E$2010,$C96,'LAC 102_Wkst'!$G$7:$G$2010,$D96,'LAC 102_Wkst'!$L$7:$L$2010,"10",'LAC 102_Wkst'!$N$7:$N$2010,"P4")</f>
        <v>0</v>
      </c>
      <c r="AR96" s="410">
        <f>SUMIFS('LAC 102_Wkst'!$Q$7:$Q$2010,'LAC 102_Wkst'!$D$7:$D$2010,$C$7,'LAC 102_Wkst'!$I$7:$I$2010,$C$9,'LAC 102_Wkst'!$E$7:$E$2010,$C96,'LAC 102_Wkst'!$G$7:$G$2010,$D96,'LAC 102_Wkst'!$L$7:$L$2010,"10",'LAC 102_Wkst'!$N$7:$N$2010,"P5")</f>
        <v>0</v>
      </c>
      <c r="AS96" s="411">
        <f>SUMIFS('LAC 102_Wkst'!$AF$7:$AF$2010,'LAC 102_Wkst'!$D$7:$D$2010,$C$7,'LAC 102_Wkst'!$I$7:$I$2010,$C$9,'LAC 102_Wkst'!$E$7:$E$2010,$C96,'LAC 102_Wkst'!$G$7:$G$2010,$D96,'LAC 102_Wkst'!$L$7:$L$2010,"10",'LAC 102_Wkst'!$N$7:$N$2010,"P5")</f>
        <v>0</v>
      </c>
      <c r="AT96" s="410">
        <f>SUMIFS('LAC 102_Wkst'!$Q$7:$Q$2010,'LAC 102_Wkst'!$D$7:$D$2010,$C$7,'LAC 102_Wkst'!$I$7:$I$2010,$C$9,'LAC 102_Wkst'!$E$7:$E$2010,$C96,'LAC 102_Wkst'!$G$7:$G$2010,$D96,'LAC 102_Wkst'!$L$7:$L$2010,"11",'LAC 102_Wkst'!$N$7:$N$2010,"P1")+SUMIFS('LAC 102_Wkst'!$Q$7:$Q$2010,'LAC 102_Wkst'!$D$7:$D$2010,$C$7,'LAC 102_Wkst'!$I$7:$I$2010,$C$9,'LAC 102_Wkst'!$E$7:$E$2010,$C96,'LAC 102_Wkst'!$G$7:$G$2010,$D96,'LAC 102_Wkst'!$L$7:$L$2010,"12",'LAC 102_Wkst'!$N$7:$N$2010,"P1")</f>
        <v>0</v>
      </c>
      <c r="AU96" s="411">
        <f>SUMIFS('LAC 102_Wkst'!$Q$7:$Q$2010,'LAC 102_Wkst'!$D$7:$D$2010,$C$7,'LAC 102_Wkst'!$I$7:$I$2010,$C$9,'LAC 102_Wkst'!$E$7:$E$2010,$C96,'LAC 102_Wkst'!$G$7:$G$2010,$D96,'LAC 102_Wkst'!$L$7:$L$2010,"13",'LAC 102_Wkst'!$N$7:$N$2010,"P5")</f>
        <v>0</v>
      </c>
      <c r="AV96" s="410">
        <f>SUMIFS('LAC 102_Wkst'!$Q$7:$Q$2010,'LAC 102_Wkst'!$D$7:$D$2010,$C$7,'LAC 102_Wkst'!$I$7:$I$2010,$C$9,'LAC 102_Wkst'!$E$7:$E$2010,$C96,'LAC 102_Wkst'!$G$7:$G$2010,$D96,'LAC 102_Wkst'!$L$7:$L$2010,"11",'LAC 102_Wkst'!$N$7:$N$2010,"P2")+SUMIFS('LAC 102_Wkst'!$Q$7:$Q$2010,'LAC 102_Wkst'!$D$7:$D$2010,$C$7,'LAC 102_Wkst'!$I$7:$I$2010,$C$9,'LAC 102_Wkst'!$E$7:$E$2010,$C96,'LAC 102_Wkst'!$G$7:$G$2010,$D96,'LAC 102_Wkst'!$L$7:$L$2010,"12",'LAC 102_Wkst'!$N$7:$N$2010,"P2")+SUMIFS('LAC 102_Wkst'!$Q$7:$Q$2010,'LAC 102_Wkst'!$D$7:$D$2010,$C$7,'LAC 102_Wkst'!$I$7:$I$2010,$C$9,'LAC 102_Wkst'!$E$7:$E$2010,$C96,'LAC 102_Wkst'!$G$7:$G$2010,$D96,'LAC 102_Wkst'!$L$7:$L$2010,"11",'LAC 102_Wkst'!$N$7:$N$2010,"P3")+SUMIFS('LAC 102_Wkst'!$Q$7:$Q$2010,'LAC 102_Wkst'!$D$7:$D$2010,$C$7,'LAC 102_Wkst'!$I$7:$I$2010,$C$9,'LAC 102_Wkst'!$E$7:$E$2010,$C96,'LAC 102_Wkst'!$G$7:$G$2010,$D96,'LAC 102_Wkst'!$L$7:$L$2010,"12",'LAC 102_Wkst'!$N$7:$N$2010,"P3")</f>
        <v>0</v>
      </c>
      <c r="AW96" s="411">
        <f>SUMIFS('LAC 102_Wkst'!$AF$7:$AF$2010,'LAC 102_Wkst'!$D$7:$D$2010,$C$7,'LAC 102_Wkst'!$I$7:$I$2010,$C$9,'LAC 102_Wkst'!$E$7:$E$2010,$C96,'LAC 102_Wkst'!$G$7:$G$2010,$D96,'LAC 102_Wkst'!$L$7:$L$2010,"11",'LAC 102_Wkst'!$N$7:$N$2010,"P2")+SUMIFS('LAC 102_Wkst'!$AF$7:$AF$2010,'LAC 102_Wkst'!$D$7:$D$2010,$C$7,'LAC 102_Wkst'!$I$7:$I$2010,$C$9,'LAC 102_Wkst'!$E$7:$E$2010,$C96,'LAC 102_Wkst'!$G$7:$G$2010,$D96,'LAC 102_Wkst'!$L$7:$L$2010,"12",'LAC 102_Wkst'!$N$7:$N$2010,"P2")+SUMIFS('LAC 102_Wkst'!$AF$7:$AF$2010,'LAC 102_Wkst'!$D$7:$D$2010,$C$7,'LAC 102_Wkst'!$I$7:$I$2010,$C$9,'LAC 102_Wkst'!$E$7:$E$2010,$C96,'LAC 102_Wkst'!$G$7:$G$2010,$D96,'LAC 102_Wkst'!$L$7:$L$2010,"11",'LAC 102_Wkst'!$N$7:$N$2010,"P3")+SUMIFS('LAC 102_Wkst'!$AF$7:$AF$2010,'LAC 102_Wkst'!$D$7:$D$2010,$C$7,'LAC 102_Wkst'!$I$7:$I$2010,$C$9,'LAC 102_Wkst'!$E$7:$E$2010,$C96,'LAC 102_Wkst'!$G$7:$G$2010,$D96,'LAC 102_Wkst'!$L$7:$L$2010,"12",'LAC 102_Wkst'!$N$7:$N$2010,"P3")</f>
        <v>0</v>
      </c>
      <c r="AX96" s="410">
        <f>SUMIFS('LAC 102_Wkst'!$Q$7:$Q$2010,'LAC 102_Wkst'!$D$7:$D$2010,$C$7,'LAC 102_Wkst'!$I$7:$I$2010,$C$9,'LAC 102_Wkst'!$E$7:$E$2010,$C96,'LAC 102_Wkst'!$G$7:$G$2010,$D96,'LAC 102_Wkst'!$L$7:$L$2010,"11",'LAC 102_Wkst'!$N$7:$N$2010,"P4")+SUMIFS('LAC 102_Wkst'!$Q$7:$Q$2010,'LAC 102_Wkst'!$D$7:$D$2010,$C$7,'LAC 102_Wkst'!$I$7:$I$2010,$C$9,'LAC 102_Wkst'!$E$7:$E$2010,$C96,'LAC 102_Wkst'!$G$7:$G$2010,$D96,'LAC 102_Wkst'!$L$7:$L$2010,"12",'LAC 102_Wkst'!$N$7:$N$2010,"P4")</f>
        <v>0</v>
      </c>
      <c r="AY96" s="411">
        <f>SUMIFS('LAC 102_Wkst'!$AF$7:$AF$2010,'LAC 102_Wkst'!$D$7:$D$2010,$C$7,'LAC 102_Wkst'!$I$7:$I$2010,$C$9,'LAC 102_Wkst'!$E$7:$E$2010,$C96,'LAC 102_Wkst'!$G$7:$G$2010,$D96,'LAC 102_Wkst'!$L$7:$L$2010,"11",'LAC 102_Wkst'!$N$7:$N$2010,"P4")+SUMIFS('LAC 102_Wkst'!$AF$7:$AF$2010,'LAC 102_Wkst'!$D$7:$D$2010,$C$7,'LAC 102_Wkst'!$I$7:$I$2010,$C$9,'LAC 102_Wkst'!$E$7:$E$2010,$C96,'LAC 102_Wkst'!$G$7:$G$2010,$D96,'LAC 102_Wkst'!$L$7:$L$2010,"12",'LAC 102_Wkst'!$N$7:$N$2010,"P4")</f>
        <v>0</v>
      </c>
      <c r="AZ96" s="410">
        <f>SUMIFS('LAC 102_Wkst'!$Q$7:$Q$2010,'LAC 102_Wkst'!$D$7:$D$2010,$C$7,'LAC 102_Wkst'!$I$7:$I$2010,$C$9,'LAC 102_Wkst'!$E$7:$E$2010,$C96,'LAC 102_Wkst'!$G$7:$G$2010,$D96,'LAC 102_Wkst'!$L$7:$L$2010,"11",'LAC 102_Wkst'!$N$7:$N$2010,"P5")+SUMIFS('LAC 102_Wkst'!$Q$7:$Q$2010,'LAC 102_Wkst'!$D$7:$D$2010,$C$7,'LAC 102_Wkst'!$I$7:$I$2010,$C$9,'LAC 102_Wkst'!$E$7:$E$2010,$C96,'LAC 102_Wkst'!$G$7:$G$2010,$D96,'LAC 102_Wkst'!$L$7:$L$2010,"12",'LAC 102_Wkst'!$N$7:$N$2010,"P5")</f>
        <v>0</v>
      </c>
      <c r="BA96" s="411">
        <f>SUMIFS('LAC 102_Wkst'!$AF$7:$AF$2010,'LAC 102_Wkst'!$D$7:$D$2010,$C$7,'LAC 102_Wkst'!$I$7:$I$2010,$C$9,'LAC 102_Wkst'!$E$7:$E$2010,$C96,'LAC 102_Wkst'!$G$7:$G$2010,$D96,'LAC 102_Wkst'!$L$7:$L$2010,"11",'LAC 102_Wkst'!$N$7:$N$2010,"P5")+SUMIFS('LAC 102_Wkst'!$AF$7:$AF$2010,'LAC 102_Wkst'!$D$7:$D$2010,$C$7,'LAC 102_Wkst'!$I$7:$I$2010,$C$9,'LAC 102_Wkst'!$E$7:$E$2010,$C96,'LAC 102_Wkst'!$G$7:$G$2010,$D96,'LAC 102_Wkst'!$L$7:$L$2010,"12",'LAC 102_Wkst'!$N$7:$N$2010,"P5")</f>
        <v>0</v>
      </c>
      <c r="BB96" s="410">
        <f>SUMIFS('LAC 102_Wkst'!$Q$7:$Q$2010,'LAC 102_Wkst'!$D$7:$D$2010,$C$7,'LAC 102_Wkst'!$I$7:$I$2010,$C$9,'LAC 102_Wkst'!$E$7:$E$2010,$C96,'LAC 102_Wkst'!$G$7:$G$2010,$D96,'LAC 102_Wkst'!$L$7:$L$2010,"13",'LAC 102_Wkst'!$N$7:$N$2010,"P1")+SUMIFS('LAC 102_Wkst'!$Q$7:$Q$2010,'LAC 102_Wkst'!$D$7:$D$2010,$C$7,'LAC 102_Wkst'!$I$7:$I$2010,$C$9,'LAC 102_Wkst'!$E$7:$E$2010,$C96,'LAC 102_Wkst'!$G$7:$G$2010,$D96,'LAC 102_Wkst'!$L$7:$L$2010,"13",'LAC 102_Wkst'!$N$7:$N$2010,"P2")+SUMIFS('LAC 102_Wkst'!$Q$7:$Q$2010,'LAC 102_Wkst'!$D$7:$D$2010,$C$7,'LAC 102_Wkst'!$I$7:$I$2010,$C$9,'LAC 102_Wkst'!$E$7:$E$2010,$C96,'LAC 102_Wkst'!$G$7:$G$2010,$D96,'LAC 102_Wkst'!$L$7:$L$2010,"13",'LAC 102_Wkst'!$N$7:$N$2010,"P3")+SUMIFS('LAC 102_Wkst'!$Q$7:$Q$2010,'LAC 102_Wkst'!$D$7:$D$2010,$C$7,'LAC 102_Wkst'!$I$7:$I$2010,$C$9,'LAC 102_Wkst'!$E$7:$E$2010,$C96,'LAC 102_Wkst'!$G$7:$G$2010,$D96,'LAC 102_Wkst'!$L$7:$L$2010,"13",'LAC 102_Wkst'!$N$7:$N$2010,"P4")</f>
        <v>0</v>
      </c>
      <c r="BC96" s="411">
        <f>SUMIFS('LAC 102_Wkst'!$AF$7:$AF$2010,'LAC 102_Wkst'!$D$7:$D$2010,$C$7,'LAC 102_Wkst'!$I$7:$I$2010,$C$9,'LAC 102_Wkst'!$E$7:$E$2010,$C96,'LAC 102_Wkst'!$G$7:$G$2010,$D96,'LAC 102_Wkst'!$L$7:$L$2010,"13",'LAC 102_Wkst'!$N$7:$N$2010,"P1")+SUMIFS('LAC 102_Wkst'!$AF$7:$AF$2010,'LAC 102_Wkst'!$D$7:$D$2010,$C$7,'LAC 102_Wkst'!$I$7:$I$2010,$C$9,'LAC 102_Wkst'!$E$7:$E$2010,$C96,'LAC 102_Wkst'!$G$7:$G$2010,$D96,'LAC 102_Wkst'!$L$7:$L$2010,"13",'LAC 102_Wkst'!$N$7:$N$2010,"P2")+SUMIFS('LAC 102_Wkst'!$AF$7:$AF$2010,'LAC 102_Wkst'!$D$7:$D$2010,$C$7,'LAC 102_Wkst'!$I$7:$I$2010,$C$9,'LAC 102_Wkst'!$E$7:$E$2010,$C96,'LAC 102_Wkst'!$G$7:$G$2010,$D96,'LAC 102_Wkst'!$L$7:$L$2010,"13",'LAC 102_Wkst'!$N$7:$N$2010,"P3")+SUMIFS('LAC 102_Wkst'!$AF$7:$AF$2010,'LAC 102_Wkst'!$D$7:$D$2010,$C$7,'LAC 102_Wkst'!$I$7:$I$2010,$C$9,'LAC 102_Wkst'!$E$7:$E$2010,$C96,'LAC 102_Wkst'!$G$7:$G$2010,$D96,'LAC 102_Wkst'!$L$7:$L$2010,"13",'LAC 102_Wkst'!$N$7:$N$2010,"P4")</f>
        <v>0</v>
      </c>
      <c r="BD96" s="410">
        <f>SUMIFS('LAC 102_Wkst'!$Q$7:$Q$2010,'LAC 102_Wkst'!$D$7:$D$2010,$C$7,'LAC 102_Wkst'!$I$7:$I$2010,$C$9,'LAC 102_Wkst'!$E$7:$E$2010,$C96,'LAC 102_Wkst'!$G$7:$G$2010,$D96,'LAC 102_Wkst'!$L$7:$L$2010,"13",'LAC 102_Wkst'!$N$7:$N$2010,"P5")</f>
        <v>0</v>
      </c>
      <c r="BE96" s="411">
        <f>SUMIFS('LAC 102_Wkst'!$AF$7:$AF$2010,'LAC 102_Wkst'!$D$7:$D$2010,$C$7,'LAC 102_Wkst'!$I$7:$I$2010,$C$9,'LAC 102_Wkst'!$E$7:$E$2010,$C96,'LAC 102_Wkst'!$G$7:$G$2010,$D96,'LAC 102_Wkst'!$L$7:$L$2010,"13",'LAC 102_Wkst'!$N$7:$N$2010,"P5")</f>
        <v>0</v>
      </c>
      <c r="BF96" s="407">
        <f t="shared" si="5"/>
        <v>0</v>
      </c>
      <c r="BG96" s="1654">
        <f>SUMIFS('LAC 102_Wkst'!$AF$7:$AF$2010,'LAC 102_Wkst'!$D$7:$D$2010,$C$7,'LAC 102_Wkst'!$I$7:$I$2010,$C$9,'LAC 102_Wkst'!$E$7:$E$2010,$C96,'LAC 102_Wkst'!$G$7:$G$2010,$D96,'LAC 102_Wkst'!$L$7:$L$2010,"14")</f>
        <v>0</v>
      </c>
    </row>
    <row r="97" spans="1:59" x14ac:dyDescent="0.2">
      <c r="A97" s="401">
        <v>75</v>
      </c>
      <c r="B97" s="1678" t="str">
        <f>IF(Schedule_B!B$94="","",Schedule_B!B$94)</f>
        <v/>
      </c>
      <c r="C97" s="1674" t="str">
        <f>IF(Schedule_B!C$94=""," ",Schedule_B!C$94)</f>
        <v xml:space="preserve"> </v>
      </c>
      <c r="D97" s="1675" t="str">
        <f>IF(Schedule_B!D$94=""," ",Schedule_B!D$94)</f>
        <v xml:space="preserve"> </v>
      </c>
      <c r="E97" s="1221">
        <f>SUMIFS('LAC 102_Wkst'!$Q$7:$Q$2010,'LAC 102_Wkst'!$D$7:$D$2010,$C$7,'LAC 102_Wkst'!$I$7:$I$2010,$C$9,'LAC 102_Wkst'!$E$7:$E$2010,$C97,'LAC 102_Wkst'!$G$7:$G$2010,$D97)</f>
        <v>0</v>
      </c>
      <c r="F97" s="408">
        <f>SUMIFS('LAC 102_Wkst'!$Q$7:$Q$2010,'LAC 102_Wkst'!$D$7:$D$2010,$C$7,'LAC 102_Wkst'!$I$7:$I$2010,$C$9,'LAC 102_Wkst'!$E$7:$E$2010,$C97,'LAC 102_Wkst'!$G$7:$G$2010,$D97,'LAC 102_Wkst'!$L$7:$L$2010,"01",'LAC 102_Wkst'!$N$7:$N$2010,"P1")+SUMIFS('LAC 102_Wkst'!$Q$7:$Q$2010,'LAC 102_Wkst'!$D$7:$D$2010,$C$7,'LAC 102_Wkst'!$I$7:$I$2010,$C$9,'LAC 102_Wkst'!$E$7:$E$2010,$C97,'LAC 102_Wkst'!$G$7:$G$2010,$D97,'LAC 102_Wkst'!$L$7:$L$2010,"01",'LAC 102_Wkst'!$N$7:$N$2010,"P2")+SUMIFS('LAC 102_Wkst'!$Q$7:$Q$2010,'LAC 102_Wkst'!$D$7:$D$2010,$C$7,'LAC 102_Wkst'!$I$7:$I$2010,$C$9,'LAC 102_Wkst'!$E$7:$E$2010,$C97,'LAC 102_Wkst'!$G$7:$G$2010,$D97,'LAC 102_Wkst'!$L$7:$L$2010,"01",'LAC 102_Wkst'!$N$7:$N$2010,"P3")+SUMIFS('LAC 102_Wkst'!$Q$7:$Q$2010,'LAC 102_Wkst'!$D$7:$D$2010,$C$7,'LAC 102_Wkst'!$I$7:$I$2010,$C$9,'LAC 102_Wkst'!$E$7:$E$2010,$C97,'LAC 102_Wkst'!$G$7:$G$2010,$D97,'LAC 102_Wkst'!$L$7:$L$2010,"02",'LAC 102_Wkst'!$N$7:$N$2010,"P1")+SUMIFS('LAC 102_Wkst'!$Q$7:$Q$2010,'LAC 102_Wkst'!$D$7:$D$2010,$C$7,'LAC 102_Wkst'!$I$7:$I$2010,$C$9,'LAC 102_Wkst'!$E$7:$E$2010,$C97,'LAC 102_Wkst'!$G$7:$G$2010,$D97,'LAC 102_Wkst'!$L$7:$L$2010,"02",'LAC 102_Wkst'!$N$7:$N$2010,"P2")+SUMIFS('LAC 102_Wkst'!$Q$7:$Q$2010,'LAC 102_Wkst'!$D$7:$D$2010,$C$7,'LAC 102_Wkst'!$I$7:$I$2010,$C$9,'LAC 102_Wkst'!$E$7:$E$2010,$C97,'LAC 102_Wkst'!$G$7:$G$2010,$D97,'LAC 102_Wkst'!$L$7:$L$2010,"02",'LAC 102_Wkst'!$N$7:$N$2010,"P3")</f>
        <v>0</v>
      </c>
      <c r="G97" s="409">
        <f>SUMIFS('LAC 102_Wkst'!$AF$7:$AF$2010,'LAC 102_Wkst'!$D$7:$D$2010,$C$7,'LAC 102_Wkst'!$I$7:$I$2010,$C$9,'LAC 102_Wkst'!$E$7:$E$2010,$C97,'LAC 102_Wkst'!$G$7:$G$2010,$D97,'LAC 102_Wkst'!$L$7:$L$2010,"01",'LAC 102_Wkst'!$N$7:$N$2010,"P1")+SUMIFS('LAC 102_Wkst'!$AF$7:$AF$2010,'LAC 102_Wkst'!$D$7:$D$2010,$C$7,'LAC 102_Wkst'!$I$7:$I$2010,$C$9,'LAC 102_Wkst'!$E$7:$E$2010,$C97,'LAC 102_Wkst'!$G$7:$G$2010,$D97,'LAC 102_Wkst'!$L$7:$L$2010,"01",'LAC 102_Wkst'!$N$7:$N$2010,"P2")+SUMIFS('LAC 102_Wkst'!$AF$7:$AF$2010,'LAC 102_Wkst'!$D$7:$D$2010,$C$7,'LAC 102_Wkst'!$I$7:$I$2010,$C$9,'LAC 102_Wkst'!$E$7:$E$2010,$C97,'LAC 102_Wkst'!$G$7:$G$2010,$D97,'LAC 102_Wkst'!$L$7:$L$2010,"01",'LAC 102_Wkst'!$N$7:$N$2010,"P3")+SUMIFS('LAC 102_Wkst'!$AF$7:$AF$2010,'LAC 102_Wkst'!$D$7:$D$2010,$C$7,'LAC 102_Wkst'!$I$7:$I$2010,$C$9,'LAC 102_Wkst'!$E$7:$E$2010,$C97,'LAC 102_Wkst'!$G$7:$G$2010,$D97,'LAC 102_Wkst'!$L$7:$L$2010,"02",'LAC 102_Wkst'!$N$7:$N$2010,"P1")+SUMIFS('LAC 102_Wkst'!$AF$7:$AF$2010,'LAC 102_Wkst'!$D$7:$D$2010,$C$7,'LAC 102_Wkst'!$I$7:$I$2010,$C$9,'LAC 102_Wkst'!$E$7:$E$2010,$C97,'LAC 102_Wkst'!$G$7:$G$2010,$D97,'LAC 102_Wkst'!$L$7:$L$2010,"02",'LAC 102_Wkst'!$N$7:$N$2010,"P2")+SUMIFS('LAC 102_Wkst'!$AF$7:$AF$2010,'LAC 102_Wkst'!$D$7:$D$2010,$C$7,'LAC 102_Wkst'!$I$7:$I$2010,$C$9,'LAC 102_Wkst'!$E$7:$E$2010,$C97,'LAC 102_Wkst'!$G$7:$G$2010,$D97,'LAC 102_Wkst'!$L$7:$L$2010,"02",'LAC 102_Wkst'!$N$7:$N$2010,"P3")</f>
        <v>0</v>
      </c>
      <c r="H97" s="410">
        <f>SUMIFS('LAC 102_Wkst'!$Q$7:$Q$2010,'LAC 102_Wkst'!$D$7:$D$2010,$C$7,'LAC 102_Wkst'!$I$7:$I$2010,$C$9,'LAC 102_Wkst'!$E$7:$E$2010,$C97,'LAC 102_Wkst'!$G$7:$G$2010,$D97,'LAC 102_Wkst'!$L$7:$L$2010,"01",'LAC 102_Wkst'!$N$7:$N$2010,"P4")+SUMIFS('LAC 102_Wkst'!$Q$7:$Q$2010,'LAC 102_Wkst'!$D$7:$D$2010,$C$7,'LAC 102_Wkst'!$I$7:$I$2010,$C$9,'LAC 102_Wkst'!$E$7:$E$2010,$C97,'LAC 102_Wkst'!$G$7:$G$2010,$D97,'LAC 102_Wkst'!$L$7:$L$2010,"02",'LAC 102_Wkst'!$N$7:$N$2010,"P4")</f>
        <v>0</v>
      </c>
      <c r="I97" s="411">
        <f>SUMIFS('LAC 102_Wkst'!$AF$7:$AF$2010,'LAC 102_Wkst'!$D$7:$D$2010,$C$7,'LAC 102_Wkst'!$I$7:$I$2010,$C$9,'LAC 102_Wkst'!$E$7:$E$2010,$C97,'LAC 102_Wkst'!$G$7:$G$2010,$D97,'LAC 102_Wkst'!$L$7:$L$2010,"01",'LAC 102_Wkst'!$N$7:$N$2010,"P4")+SUMIFS('LAC 102_Wkst'!$AF$7:$AF$2010,'LAC 102_Wkst'!$D$7:$D$2010,$C$7,'LAC 102_Wkst'!$I$7:$I$2010,$C$9,'LAC 102_Wkst'!$E$7:$E$2010,$C97,'LAC 102_Wkst'!$G$7:$G$2010,$D97,'LAC 102_Wkst'!$L$7:$L$2010,"02",'LAC 102_Wkst'!$N$7:$N$2010,"P4")</f>
        <v>0</v>
      </c>
      <c r="J97" s="410">
        <f>SUMIFS('LAC 102_Wkst'!$Q$7:$Q$2010,'LAC 102_Wkst'!$D$7:$D$2010,$C$7,'LAC 102_Wkst'!$I$7:$I$2010,$C$9,'LAC 102_Wkst'!$E$7:$E$2010,$C97,'LAC 102_Wkst'!$G$7:$G$2010,$D97,'LAC 102_Wkst'!$L$7:$L$2010,"01",'LAC 102_Wkst'!$N$7:$N$2010,"P5")+SUMIFS('LAC 102_Wkst'!$Q$7:$Q$2010,'LAC 102_Wkst'!$D$7:$D$2010,$C$7,'LAC 102_Wkst'!$I$7:$I$2010,$C$9,'LAC 102_Wkst'!$E$7:$E$2010,$C97,'LAC 102_Wkst'!$G$7:$G$2010,$D97,'LAC 102_Wkst'!$L$7:$L$2010,"02",'LAC 102_Wkst'!$N$7:$N$2010,"P5")</f>
        <v>0</v>
      </c>
      <c r="K97" s="411">
        <f>SUMIFS('LAC 102_Wkst'!$AF$7:$AF$2010,'LAC 102_Wkst'!$D$7:$D$2010,$C$7,'LAC 102_Wkst'!$I$7:$I$2010,$C$9,'LAC 102_Wkst'!$E$7:$E$2010,$C97,'LAC 102_Wkst'!$G$7:$G$2010,$D97,'LAC 102_Wkst'!$L$7:$L$2010,"01",'LAC 102_Wkst'!$N$7:$N$2010,"P5")+SUMIFS('LAC 102_Wkst'!$AF$7:$AF$2010,'LAC 102_Wkst'!$D$7:$D$2010,$C$7,'LAC 102_Wkst'!$I$7:$I$2010,$C$9,'LAC 102_Wkst'!$E$7:$E$2010,$C97,'LAC 102_Wkst'!$G$7:$G$2010,$D97,'LAC 102_Wkst'!$L$7:$L$2010,"02",'LAC 102_Wkst'!$N$7:$N$2010,"P5")</f>
        <v>0</v>
      </c>
      <c r="L97" s="410">
        <f>SUMIFS('LAC 102_Wkst'!$Q$7:$Q$2010,'LAC 102_Wkst'!$D$7:$D$2010,$C$7,'LAC 102_Wkst'!$I$7:$I$2010,$C$9,'LAC 102_Wkst'!$E$7:$E$2010,$C97,'LAC 102_Wkst'!$G$7:$G$2010,$D97,'LAC 102_Wkst'!$L$7:$L$2010,"03",'LAC 102_Wkst'!$N$7:$N$2010,"P1")+SUMIFS('LAC 102_Wkst'!$Q$7:$Q$2010,'LAC 102_Wkst'!$D$7:$D$2010,$C$7,'LAC 102_Wkst'!$I$7:$I$2010,$C$9,'LAC 102_Wkst'!$E$7:$E$2010,$C97,'LAC 102_Wkst'!$G$7:$G$2010,$D97,'LAC 102_Wkst'!$L$7:$L$2010,"03",'LAC 102_Wkst'!$N$7:$N$2010,"P2")+SUMIFS('LAC 102_Wkst'!$Q$7:$Q$2010,'LAC 102_Wkst'!$D$7:$D$2010,$C$7,'LAC 102_Wkst'!$I$7:$I$2010,$C$9,'LAC 102_Wkst'!$E$7:$E$2010,$C97,'LAC 102_Wkst'!$G$7:$G$2010,$D97,'LAC 102_Wkst'!$L$7:$L$2010,"03",'LAC 102_Wkst'!$N$7:$N$2010,"P3")+SUMIFS('LAC 102_Wkst'!$Q$7:$Q$2010,'LAC 102_Wkst'!$D$7:$D$2010,$C$7,'LAC 102_Wkst'!$I$7:$I$2010,$C$9,'LAC 102_Wkst'!$E$7:$E$2010,$C97,'LAC 102_Wkst'!$G$7:$G$2010,$D97,'LAC 102_Wkst'!$L$7:$L$2010,"04",'LAC 102_Wkst'!$N$7:$N$2010,"P1")+SUMIFS('LAC 102_Wkst'!$Q$7:$Q$2010,'LAC 102_Wkst'!$D$7:$D$2010,$C$7,'LAC 102_Wkst'!$I$7:$I$2010,$C$9,'LAC 102_Wkst'!$E$7:$E$2010,$C97,'LAC 102_Wkst'!$G$7:$G$2010,$D97,'LAC 102_Wkst'!$L$7:$L$2010,"04",'LAC 102_Wkst'!$N$7:$N$2010,"P2")+SUMIFS('LAC 102_Wkst'!$Q$7:$Q$2010,'LAC 102_Wkst'!$D$7:$D$2010,$C$7,'LAC 102_Wkst'!$I$7:$I$2010,$C$9,'LAC 102_Wkst'!$E$7:$E$2010,$C97,'LAC 102_Wkst'!$G$7:$G$2010,$D97,'LAC 102_Wkst'!$L$7:$L$2010,"04",'LAC 102_Wkst'!$N$7:$N$2010,"P3")</f>
        <v>0</v>
      </c>
      <c r="M97" s="411">
        <f>SUMIFS('LAC 102_Wkst'!$AF$7:$AF$2010,'LAC 102_Wkst'!$D$7:$D$2010,$C$7,'LAC 102_Wkst'!$I$7:$I$2010,$C$9,'LAC 102_Wkst'!$E$7:$E$2010,$C97,'LAC 102_Wkst'!$G$7:$G$2010,$D97,'LAC 102_Wkst'!$L$7:$L$2010,"03",'LAC 102_Wkst'!$N$7:$N$2010,"P1")+SUMIFS('LAC 102_Wkst'!$AF$7:$AF$2010,'LAC 102_Wkst'!$D$7:$D$2010,$C$7,'LAC 102_Wkst'!$I$7:$I$2010,$C$9,'LAC 102_Wkst'!$E$7:$E$2010,$C97,'LAC 102_Wkst'!$G$7:$G$2010,$D97,'LAC 102_Wkst'!$L$7:$L$2010,"03",'LAC 102_Wkst'!$N$7:$N$2010,"P2")+SUMIFS('LAC 102_Wkst'!$AF$7:$AF$2010,'LAC 102_Wkst'!$D$7:$D$2010,$C$7,'LAC 102_Wkst'!$I$7:$I$2010,$C$9,'LAC 102_Wkst'!$E$7:$E$2010,$C97,'LAC 102_Wkst'!$G$7:$G$2010,$D97,'LAC 102_Wkst'!$L$7:$L$2010,"03",'LAC 102_Wkst'!$N$7:$N$2010,"P3")+SUMIFS('LAC 102_Wkst'!$AF$7:$AF$2010,'LAC 102_Wkst'!$D$7:$D$2010,$C$7,'LAC 102_Wkst'!$I$7:$I$2010,$C$9,'LAC 102_Wkst'!$E$7:$E$2010,$C97,'LAC 102_Wkst'!$G$7:$G$2010,$D97,'LAC 102_Wkst'!$L$7:$L$2010,"04",'LAC 102_Wkst'!$N$7:$N$2010,"P1")+SUMIFS('LAC 102_Wkst'!$AF$7:$AF$2010,'LAC 102_Wkst'!$D$7:$D$2010,$C$7,'LAC 102_Wkst'!$I$7:$I$2010,$C$9,'LAC 102_Wkst'!$E$7:$E$2010,$C97,'LAC 102_Wkst'!$G$7:$G$2010,$D97,'LAC 102_Wkst'!$L$7:$L$2010,"04",'LAC 102_Wkst'!$N$7:$N$2010,"P2")+SUMIFS('LAC 102_Wkst'!$AF$7:$AF$2010,'LAC 102_Wkst'!$D$7:$D$2010,$C$7,'LAC 102_Wkst'!$I$7:$I$2010,$C$9,'LAC 102_Wkst'!$E$7:$E$2010,$C97,'LAC 102_Wkst'!$G$7:$G$2010,$D97,'LAC 102_Wkst'!$L$7:$L$2010,"04",'LAC 102_Wkst'!$N$7:$N$2010,"P3")</f>
        <v>0</v>
      </c>
      <c r="N97" s="410">
        <f>SUMIFS('LAC 102_Wkst'!$Q$7:$Q$2010,'LAC 102_Wkst'!$D$7:$D$2010,$C$7,'LAC 102_Wkst'!$I$7:$I$2010,$C$9,'LAC 102_Wkst'!$E$7:$E$2010,$C97,'LAC 102_Wkst'!$G$7:$G$2010,$D97,'LAC 102_Wkst'!$L$7:$L$2010,"03",'LAC 102_Wkst'!$N$7:$N$2010,"P4")+SUMIFS('LAC 102_Wkst'!$Q$7:$Q$2010,'LAC 102_Wkst'!$D$7:$D$2010,$C$7,'LAC 102_Wkst'!$I$7:$I$2010,$C$9,'LAC 102_Wkst'!$E$7:$E$2010,$C97,'LAC 102_Wkst'!$G$7:$G$2010,$D97,'LAC 102_Wkst'!$L$7:$L$2010,"04",'LAC 102_Wkst'!$N$7:$N$2010,"P4")</f>
        <v>0</v>
      </c>
      <c r="O97" s="411">
        <f>SUMIFS('LAC 102_Wkst'!$AF$7:$AF$2010,'LAC 102_Wkst'!$D$7:$D$2010,$C$7,'LAC 102_Wkst'!$I$7:$I$2010,$C$9,'LAC 102_Wkst'!$E$7:$E$2010,$C97,'LAC 102_Wkst'!$G$7:$G$2010,$D97,'LAC 102_Wkst'!$L$7:$L$2010,"03",'LAC 102_Wkst'!$N$7:$N$2010,"P4")+SUMIFS('LAC 102_Wkst'!$AF$7:$AF$2010,'LAC 102_Wkst'!$D$7:$D$2010,$C$7,'LAC 102_Wkst'!$I$7:$I$2010,$C$9,'LAC 102_Wkst'!$E$7:$E$2010,$C97,'LAC 102_Wkst'!$G$7:$G$2010,$D97,'LAC 102_Wkst'!$L$7:$L$2010,"04",'LAC 102_Wkst'!$N$7:$N$2010,"P4")</f>
        <v>0</v>
      </c>
      <c r="P97" s="410">
        <f>SUMIFS('LAC 102_Wkst'!$Q$7:$Q$2010,'LAC 102_Wkst'!$D$7:$D$2010,$C$7,'LAC 102_Wkst'!$I$7:$I$2010,$C$9,'LAC 102_Wkst'!$E$7:$E$2010,$C97,'LAC 102_Wkst'!$G$7:$G$2010,$D97,'LAC 102_Wkst'!$L$7:$L$2010,"03",'LAC 102_Wkst'!$N$7:$N$2010,"P5")+SUMIFS('LAC 102_Wkst'!$Q$7:$Q$2010,'LAC 102_Wkst'!$D$7:$D$2010,$C$7,'LAC 102_Wkst'!$I$7:$I$2010,$C$9,'LAC 102_Wkst'!$E$7:$E$2010,$C97,'LAC 102_Wkst'!$G$7:$G$2010,$D97,'LAC 102_Wkst'!$L$7:$L$2010,"04",'LAC 102_Wkst'!$N$7:$N$2010,"P5")</f>
        <v>0</v>
      </c>
      <c r="Q97" s="411">
        <f>SUMIFS('LAC 102_Wkst'!$AF$7:$AF$2010,'LAC 102_Wkst'!$D$7:$D$2010,$C$7,'LAC 102_Wkst'!$I$7:$I$2010,$C$9,'LAC 102_Wkst'!$E$7:$E$2010,$C97,'LAC 102_Wkst'!$G$7:$G$2010,$D97,'LAC 102_Wkst'!$L$7:$L$2010,"03",'LAC 102_Wkst'!$N$7:$N$2010,"P5")+SUMIFS('LAC 102_Wkst'!$AF$7:$AF$2010,'LAC 102_Wkst'!$D$7:$D$2010,$C$7,'LAC 102_Wkst'!$I$7:$I$2010,$C$9,'LAC 102_Wkst'!$E$7:$E$2010,$C97,'LAC 102_Wkst'!$G$7:$G$2010,$D97,'LAC 102_Wkst'!$L$7:$L$2010,"04",'LAC 102_Wkst'!$N$7:$N$2010,"P5")</f>
        <v>0</v>
      </c>
      <c r="R97" s="412">
        <f>SUMIFS('LAC 102_Wkst'!$Q$7:$Q$2010,'LAC 102_Wkst'!$D$7:$D$2010,$C$7,'LAC 102_Wkst'!$I$7:$I$2010,$C$9,'LAC 102_Wkst'!$E$7:$E$2010,$C97,'LAC 102_Wkst'!$G$7:$G$2010,$D97,'LAC 102_Wkst'!$L$7:$L$2010,"05",'LAC 102_Wkst'!$N$7:$N$2010,"P1")+SUMIFS('LAC 102_Wkst'!$Q$7:$Q$2010,'LAC 102_Wkst'!$D$7:$D$2010,$C$7,'LAC 102_Wkst'!$I$7:$I$2010,$C$9,'LAC 102_Wkst'!$E$7:$E$2010,$C97,'LAC 102_Wkst'!$G$7:$G$2010,$D97,'LAC 102_Wkst'!$L$7:$L$2010,"06",'LAC 102_Wkst'!$N$7:$N$2010,"P1")</f>
        <v>0</v>
      </c>
      <c r="S97" s="411">
        <f>SUMIFS('LAC 102_Wkst'!$AF$7:$AF$2010,'LAC 102_Wkst'!$D$7:$D$2010,$C$7,'LAC 102_Wkst'!$I$7:$I$2010,$C$9,'LAC 102_Wkst'!$E$7:$E$2010,$C97,'LAC 102_Wkst'!$G$7:$G$2010,$D97,'LAC 102_Wkst'!$L$7:$L$2010,"05",'LAC 102_Wkst'!$N$7:$N$2010,"P1")+SUMIFS('LAC 102_Wkst'!$AF$7:$AF$2010,'LAC 102_Wkst'!$D$7:$D$2010,$C$7,'LAC 102_Wkst'!$I$7:$I$2010,$C$9,'LAC 102_Wkst'!$E$7:$E$2010,$C97,'LAC 102_Wkst'!$G$7:$G$2010,$D97,'LAC 102_Wkst'!$L$7:$L$2010,"06",'LAC 102_Wkst'!$N$7:$N$2010,"P1")</f>
        <v>0</v>
      </c>
      <c r="T97" s="410">
        <f>SUMIFS('LAC 102_Wkst'!$Q$7:$Q$2010,'LAC 102_Wkst'!$D$7:$D$2010,$C$7,'LAC 102_Wkst'!$I$7:$I$2010,$C$9,'LAC 102_Wkst'!$E$7:$E$2010,$C97,'LAC 102_Wkst'!$G$7:$G$2010,$D97,'LAC 102_Wkst'!$L$7:$L$2010,"05",'LAC 102_Wkst'!$N$7:$N$2010,"P2")+SUMIFS('LAC 102_Wkst'!$Q$7:$Q$2010,'LAC 102_Wkst'!$D$7:$D$2010,$C$7,'LAC 102_Wkst'!$I$7:$I$2010,$C$9,'LAC 102_Wkst'!$E$7:$E$2010,$C97,'LAC 102_Wkst'!$G$7:$G$2010,$D97,'LAC 102_Wkst'!$L$7:$L$2010,"06",'LAC 102_Wkst'!$N$7:$N$2010,"P2")+SUMIFS('LAC 102_Wkst'!$Q$7:$Q$2010,'LAC 102_Wkst'!$D$7:$D$2010,$C$7,'LAC 102_Wkst'!$I$7:$I$2010,$C$9,'LAC 102_Wkst'!$E$7:$E$2010,$C97,'LAC 102_Wkst'!$G$7:$G$2010,$D97,'LAC 102_Wkst'!$L$7:$L$2010,"05",'LAC 102_Wkst'!$N$7:$N$2010,"P3")+SUMIFS('LAC 102_Wkst'!$Q$7:$Q$2010,'LAC 102_Wkst'!$D$7:$D$2010,$C$7,'LAC 102_Wkst'!$I$7:$I$2010,$C$9,'LAC 102_Wkst'!$E$7:$E$2010,$C97,'LAC 102_Wkst'!$G$7:$G$2010,$D97,'LAC 102_Wkst'!$L$7:$L$2010,"06",'LAC 102_Wkst'!$N$7:$N$2010,"P3")</f>
        <v>0</v>
      </c>
      <c r="U97" s="411">
        <f>SUMIFS('LAC 102_Wkst'!$AF$7:$AF$2010,'LAC 102_Wkst'!$D$7:$D$2010,$C$7,'LAC 102_Wkst'!$I$7:$I$2010,$C$9,'LAC 102_Wkst'!$E$7:$E$2010,$C97,'LAC 102_Wkst'!$G$7:$G$2010,$D97,'LAC 102_Wkst'!$L$7:$L$2010,"05",'LAC 102_Wkst'!$N$7:$N$2010,"P2")+SUMIFS('LAC 102_Wkst'!$AF$7:$AF$2010,'LAC 102_Wkst'!$D$7:$D$2010,$C$7,'LAC 102_Wkst'!$I$7:$I$2010,$C$9,'LAC 102_Wkst'!$E$7:$E$2010,$C97,'LAC 102_Wkst'!$G$7:$G$2010,$D97,'LAC 102_Wkst'!$L$7:$L$2010,"06",'LAC 102_Wkst'!$N$7:$N$2010,"P2")+SUMIFS('LAC 102_Wkst'!$AF$7:$AF$2010,'LAC 102_Wkst'!$D$7:$D$2010,$C$7,'LAC 102_Wkst'!$I$7:$I$2010,$C$9,'LAC 102_Wkst'!$E$7:$E$2010,$C97,'LAC 102_Wkst'!$G$7:$G$2010,$D97,'LAC 102_Wkst'!$L$7:$L$2010,"05",'LAC 102_Wkst'!$N$7:$N$2010,"P3")+SUMIFS('LAC 102_Wkst'!$AF$7:$AF$2010,'LAC 102_Wkst'!$D$7:$D$2010,$C$7,'LAC 102_Wkst'!$I$7:$I$2010,$C$9,'LAC 102_Wkst'!$E$7:$E$2010,$C97,'LAC 102_Wkst'!$G$7:$G$2010,$D97,'LAC 102_Wkst'!$L$7:$L$2010,"06",'LAC 102_Wkst'!$N$7:$N$2010,"P3")</f>
        <v>0</v>
      </c>
      <c r="V97" s="410">
        <f>SUMIFS('LAC 102_Wkst'!$Q$7:$Q$2010,'LAC 102_Wkst'!$D$7:$D$2010,$C$7,'LAC 102_Wkst'!$I$7:$I$2010,$C$9,'LAC 102_Wkst'!$E$7:$E$2010,$C97,'LAC 102_Wkst'!$G$7:$G$2010,$D97,'LAC 102_Wkst'!$L$7:$L$2010,"05",'LAC 102_Wkst'!$N$7:$N$2010,"P4")+SUMIFS('LAC 102_Wkst'!$Q$7:$Q$2010,'LAC 102_Wkst'!$D$7:$D$2010,$C$7,'LAC 102_Wkst'!$I$7:$I$2010,$C$9,'LAC 102_Wkst'!$E$7:$E$2010,$C97,'LAC 102_Wkst'!$G$7:$G$2010,$D97,'LAC 102_Wkst'!$L$7:$L$2010,"06",'LAC 102_Wkst'!$N$7:$N$2010,"P4")</f>
        <v>0</v>
      </c>
      <c r="W97" s="411">
        <f>SUMIFS('LAC 102_Wkst'!$AF$7:$AF$2010,'LAC 102_Wkst'!$D$7:$D$2010,$C$7,'LAC 102_Wkst'!$I$7:$I$2010,$C$9,'LAC 102_Wkst'!$E$7:$E$2010,$C97,'LAC 102_Wkst'!$G$7:$G$2010,$D97,'LAC 102_Wkst'!$L$7:$L$2010,"05",'LAC 102_Wkst'!$N$7:$N$2010,"P4")+SUMIFS('LAC 102_Wkst'!$AF$7:$AF$2010,'LAC 102_Wkst'!$D$7:$D$2010,$C$7,'LAC 102_Wkst'!$I$7:$I$2010,$C$9,'LAC 102_Wkst'!$E$7:$E$2010,$C97,'LAC 102_Wkst'!$G$7:$G$2010,$D97,'LAC 102_Wkst'!$L$7:$L$2010,"06",'LAC 102_Wkst'!$N$7:$N$2010,"P4")</f>
        <v>0</v>
      </c>
      <c r="X97" s="410">
        <f>SUMIFS('LAC 102_Wkst'!$Q$7:$Q$2010,'LAC 102_Wkst'!$D$7:$D$2010,$C$7,'LAC 102_Wkst'!$I$7:$I$2010,$C$9,'LAC 102_Wkst'!$E$7:$E$2010,$C97,'LAC 102_Wkst'!$G$7:$G$2010,$D97,'LAC 102_Wkst'!$L$7:$L$2010,"05",'LAC 102_Wkst'!$N$7:$N$2010,"P5")+SUMIFS('LAC 102_Wkst'!$Q$7:$Q$2010,'LAC 102_Wkst'!$D$7:$D$2010,$C$7,'LAC 102_Wkst'!$I$7:$I$2010,$C$9,'LAC 102_Wkst'!$E$7:$E$2010,$C97,'LAC 102_Wkst'!$G$7:$G$2010,$D97,'LAC 102_Wkst'!$L$7:$L$2010,"06",'LAC 102_Wkst'!$N$7:$N$2010,"P5")</f>
        <v>0</v>
      </c>
      <c r="Y97" s="411">
        <f>SUMIFS('LAC 102_Wkst'!$AF$7:$AF$2010,'LAC 102_Wkst'!$D$7:$D$2010,$C$7,'LAC 102_Wkst'!$I$7:$I$2010,$C$9,'LAC 102_Wkst'!$E$7:$E$2010,$C97,'LAC 102_Wkst'!$G$7:$G$2010,$D97,'LAC 102_Wkst'!$L$7:$L$2010,"05",'LAC 102_Wkst'!$N$7:$N$2010,"P5")+SUMIFS('LAC 102_Wkst'!$AF$7:$AF$2010,'LAC 102_Wkst'!$D$7:$D$2010,$C$7,'LAC 102_Wkst'!$I$7:$I$2010,$C$9,'LAC 102_Wkst'!$E$7:$E$2010,$C97,'LAC 102_Wkst'!$G$7:$G$2010,$D97,'LAC 102_Wkst'!$L$7:$L$2010,"06",'LAC 102_Wkst'!$N$7:$N$2010,"P5")</f>
        <v>0</v>
      </c>
      <c r="Z97" s="410">
        <f>SUMIFS('LAC 102_Wkst'!$Q$7:$Q$2010,'LAC 102_Wkst'!$D$7:$D$2010,$C$7,'LAC 102_Wkst'!$I$7:$I$2010,$C$9,'LAC 102_Wkst'!$E$7:$E$2010,$C97,'LAC 102_Wkst'!$G$7:$G$2010,$D97,'LAC 102_Wkst'!$L$7:$L$2010,"07",'LAC 102_Wkst'!$N$7:$N$2010,"P1")+SUMIFS('LAC 102_Wkst'!$Q$7:$Q$2010,'LAC 102_Wkst'!$D$7:$D$2010,$C$7,'LAC 102_Wkst'!$I$7:$I$2010,$C$9,'LAC 102_Wkst'!$E$7:$E$2010,$C97,'LAC 102_Wkst'!$G$7:$G$2010,$D97,'LAC 102_Wkst'!$L$7:$L$2010,"07",'LAC 102_Wkst'!$N$7:$N$2010,"P2")+SUMIFS('LAC 102_Wkst'!$Q$7:$Q$2010,'LAC 102_Wkst'!$D$7:$D$2010,$C$7,'LAC 102_Wkst'!$I$7:$I$2010,$C$9,'LAC 102_Wkst'!$E$7:$E$2010,$C97,'LAC 102_Wkst'!$G$7:$G$2010,$D97,'LAC 102_Wkst'!$L$7:$L$2010,"07",'LAC 102_Wkst'!$N$7:$N$2010,"P3")</f>
        <v>0</v>
      </c>
      <c r="AA97" s="411">
        <f>SUMIFS('LAC 102_Wkst'!$AF$7:$AF$2010,'LAC 102_Wkst'!$D$7:$D$2010,$C$7,'LAC 102_Wkst'!$I$7:$I$2010,$C$9,'LAC 102_Wkst'!$E$7:$E$2010,$C97,'LAC 102_Wkst'!$G$7:$G$2010,$D97,'LAC 102_Wkst'!$L$7:$L$2010,"07",'LAC 102_Wkst'!$N$7:$N$2010,"P1")+SUMIFS('LAC 102_Wkst'!$AF$7:$AF$2010,'LAC 102_Wkst'!$D$7:$D$2010,$C$7,'LAC 102_Wkst'!$I$7:$I$2010,$C$9,'LAC 102_Wkst'!$E$7:$E$2010,$C97,'LAC 102_Wkst'!$G$7:$G$2010,$D97,'LAC 102_Wkst'!$L$7:$L$2010,"07",'LAC 102_Wkst'!$N$7:$N$2010,"P2")+SUMIFS('LAC 102_Wkst'!$AF$7:$AF$2010,'LAC 102_Wkst'!$D$7:$D$2010,$C$7,'LAC 102_Wkst'!$I$7:$I$2010,$C$9,'LAC 102_Wkst'!$E$7:$E$2010,$C97,'LAC 102_Wkst'!$G$7:$G$2010,$D97,'LAC 102_Wkst'!$L$7:$L$2010,"07",'LAC 102_Wkst'!$N$7:$N$2010,"P3")</f>
        <v>0</v>
      </c>
      <c r="AB97" s="410">
        <f>SUMIFS('LAC 102_Wkst'!$Q$7:$Q$2010,'LAC 102_Wkst'!$D$7:$D$2010,$C$7,'LAC 102_Wkst'!$I$7:$I$2010,$C$9,'LAC 102_Wkst'!$E$7:$E$2010,$C97,'LAC 102_Wkst'!$G$7:$G$2010,$D97,'LAC 102_Wkst'!$L$7:$L$2010,"07",'LAC 102_Wkst'!$N$7:$N$2010,"P4")</f>
        <v>0</v>
      </c>
      <c r="AC97" s="411">
        <f>SUMIFS('LAC 102_Wkst'!$AF$7:$AF$2010,'LAC 102_Wkst'!$D$7:$D$2010,$C$7,'LAC 102_Wkst'!$I$7:$I$2010,$C$9,'LAC 102_Wkst'!$E$7:$E$2010,$C97,'LAC 102_Wkst'!$G$7:$G$2010,$D97,'LAC 102_Wkst'!$L$7:$L$2010,"07",'LAC 102_Wkst'!$N$7:$N$2010,"P4")</f>
        <v>0</v>
      </c>
      <c r="AD97" s="410">
        <f>SUMIFS('LAC 102_Wkst'!$Q$7:$Q$2010,'LAC 102_Wkst'!$D$7:$D$2010,$C$7,'LAC 102_Wkst'!$I$7:$I$2010,$C$9,'LAC 102_Wkst'!$E$7:$E$2010,$C97,'LAC 102_Wkst'!$G$7:$G$2010,$D97,'LAC 102_Wkst'!$L$7:$L$2010,"07",'LAC 102_Wkst'!$N$7:$N$2010,"P5")</f>
        <v>0</v>
      </c>
      <c r="AE97" s="411">
        <f>SUMIFS('LAC 102_Wkst'!$AF$7:$AF$2010,'LAC 102_Wkst'!$D$7:$D$2010,$C$7,'LAC 102_Wkst'!$I$7:$I$2010,$C$9,'LAC 102_Wkst'!$E$7:$E$2010,$C97,'LAC 102_Wkst'!$G$7:$G$2010,$D97,'LAC 102_Wkst'!$L$7:$L$2010,"07",'LAC 102_Wkst'!$N$7:$N$2010,"P5")</f>
        <v>0</v>
      </c>
      <c r="AF97" s="410">
        <f>SUMIFS('LAC 102_Wkst'!$Q$7:$Q$2010,'LAC 102_Wkst'!$D$7:$D$2010,$C$7,'LAC 102_Wkst'!$I$7:$I$2010,$C$9,'LAC 102_Wkst'!$E$7:$E$2010,$C97,'LAC 102_Wkst'!$G$7:$G$2010,$D97,'LAC 102_Wkst'!$L$7:$L$2010,"08",'LAC 102_Wkst'!$N$7:$N$2010,"P1")+SUMIFS('LAC 102_Wkst'!$Q$7:$Q$2010,'LAC 102_Wkst'!$D$7:$D$2010,$C$7,'LAC 102_Wkst'!$I$7:$I$2010,$C$9,'LAC 102_Wkst'!$E$7:$E$2010,$C97,'LAC 102_Wkst'!$G$7:$G$2010,$D97,'LAC 102_Wkst'!$L$7:$L$2010,"08",'LAC 102_Wkst'!$N$7:$N$2010,"P2")+SUMIFS('LAC 102_Wkst'!$Q$7:$Q$2010,'LAC 102_Wkst'!$D$7:$D$2010,$C$7,'LAC 102_Wkst'!$I$7:$I$2010,$C$9,'LAC 102_Wkst'!$E$7:$E$2010,$C97,'LAC 102_Wkst'!$G$7:$G$2010,$D97,'LAC 102_Wkst'!$L$7:$L$2010,"08",'LAC 102_Wkst'!$N$7:$N$2010,"P3")</f>
        <v>0</v>
      </c>
      <c r="AG97" s="411">
        <f>SUMIFS('LAC 102_Wkst'!$AF$7:$AF$2010,'LAC 102_Wkst'!$D$7:$D$2010,$C$7,'LAC 102_Wkst'!$I$7:$I$2010,$C$9,'LAC 102_Wkst'!$E$7:$E$2010,$C97,'LAC 102_Wkst'!$G$7:$G$2010,$D97,'LAC 102_Wkst'!$L$7:$L$2010,"08",'LAC 102_Wkst'!$N$7:$N$2010,"P1")+SUMIFS('LAC 102_Wkst'!$AF$7:$AF$2010,'LAC 102_Wkst'!$D$7:$D$2010,$C$7,'LAC 102_Wkst'!$I$7:$I$2010,$C$9,'LAC 102_Wkst'!$E$7:$E$2010,$C97,'LAC 102_Wkst'!$G$7:$G$2010,$D97,'LAC 102_Wkst'!$L$7:$L$2010,"08",'LAC 102_Wkst'!$N$7:$N$2010,"P2")+SUMIFS('LAC 102_Wkst'!$AF$7:$AF$2010,'LAC 102_Wkst'!$D$7:$D$2010,$C$7,'LAC 102_Wkst'!$I$7:$I$2010,$C$9,'LAC 102_Wkst'!$E$7:$E$2010,$C97,'LAC 102_Wkst'!$G$7:$G$2010,$D97,'LAC 102_Wkst'!$L$7:$L$2010,"08",'LAC 102_Wkst'!$N$7:$N$2010,"P3")</f>
        <v>0</v>
      </c>
      <c r="AH97" s="410">
        <f>SUMIFS('LAC 102_Wkst'!$Q$7:$Q$2010,'LAC 102_Wkst'!$D$7:$D$2010,$C$7,'LAC 102_Wkst'!$I$7:$I$2010,$C$9,'LAC 102_Wkst'!$E$7:$E$2010,$C97,'LAC 102_Wkst'!$G$7:$G$2010,$D97,'LAC 102_Wkst'!$L$7:$L$2010,"08",'LAC 102_Wkst'!$N$7:$N$2010,"P4")</f>
        <v>0</v>
      </c>
      <c r="AI97" s="411">
        <f>SUMIFS('LAC 102_Wkst'!$AF$7:$AF$2010,'LAC 102_Wkst'!$D$7:$D$2010,$C$7,'LAC 102_Wkst'!$I$7:$I$2010,$C$9,'LAC 102_Wkst'!$E$7:$E$2010,$C97,'LAC 102_Wkst'!$G$7:$G$2010,$D97,'LAC 102_Wkst'!$L$7:$L$2010,"08",'LAC 102_Wkst'!$N$7:$N$2010,"P4")</f>
        <v>0</v>
      </c>
      <c r="AJ97" s="410">
        <f>SUMIFS('LAC 102_Wkst'!$Q$7:$Q$2010,'LAC 102_Wkst'!$D$7:$D$2010,$C$7,'LAC 102_Wkst'!$I$7:$I$2010,$C$9,'LAC 102_Wkst'!$E$7:$E$2010,$C97,'LAC 102_Wkst'!$G$7:$G$2010,$D97,'LAC 102_Wkst'!$L$7:$L$2010,"08",'LAC 102_Wkst'!$N$7:$N$2010,"P5")</f>
        <v>0</v>
      </c>
      <c r="AK97" s="411">
        <f>SUMIFS('LAC 102_Wkst'!$AF$7:$AF$2010,'LAC 102_Wkst'!$D$7:$D$2010,$C$7,'LAC 102_Wkst'!$I$7:$I$2010,$C$9,'LAC 102_Wkst'!$E$7:$E$2010,$C97,'LAC 102_Wkst'!$G$7:$G$2010,$D97,'LAC 102_Wkst'!$L$7:$L$2010,"08",'LAC 102_Wkst'!$N$7:$N$2010,"P5")</f>
        <v>0</v>
      </c>
      <c r="AL97" s="410">
        <f>SUMIFS('LAC 102_Wkst'!$Q$7:$Q$2010,'LAC 102_Wkst'!$D$7:$D$2010,$C$7,'LAC 102_Wkst'!$I$7:$I$2010,$C$9,'LAC 102_Wkst'!$E$7:$E$2010,$C97,'LAC 102_Wkst'!$G$7:$G$2010,$D97,'LAC 102_Wkst'!$L$7:$L$2010,"09",'LAC 102_Wkst'!$N$7:$N$2010,"P1")+SUMIFS('LAC 102_Wkst'!$Q$7:$Q$2010,'LAC 102_Wkst'!$D$7:$D$2010,$C$7,'LAC 102_Wkst'!$I$7:$I$2010,$C$9,'LAC 102_Wkst'!$E$7:$E$2010,$C97,'LAC 102_Wkst'!$G$7:$G$2010,$D97,'LAC 102_Wkst'!$L$7:$L$2010,"09",'LAC 102_Wkst'!$N$7:$N$2010,"P2")+SUMIFS('LAC 102_Wkst'!$Q$7:$Q$2010,'LAC 102_Wkst'!$D$7:$D$2010,$C$7,'LAC 102_Wkst'!$I$7:$I$2010,$C$9,'LAC 102_Wkst'!$E$7:$E$2010,$C97,'LAC 102_Wkst'!$G$7:$G$2010,$D97,'LAC 102_Wkst'!$L$7:$L$2010,"09",'LAC 102_Wkst'!$N$7:$N$2010,"P3")+SUMIFS('LAC 102_Wkst'!$Q$7:$Q$2010,'LAC 102_Wkst'!$D$7:$D$2010,$C$7,'LAC 102_Wkst'!$I$7:$I$2010,$C$9,'LAC 102_Wkst'!$E$7:$E$2010,$C97,'LAC 102_Wkst'!$G$7:$G$2010,$D97,'LAC 102_Wkst'!$L$7:$L$2010,"09",'LAC 102_Wkst'!$N$7:$N$2010,"P4")</f>
        <v>0</v>
      </c>
      <c r="AM97" s="411">
        <f>SUMIFS('LAC 102_Wkst'!$AF$7:$AF$2010,'LAC 102_Wkst'!$D$7:$D$2010,$C$7,'LAC 102_Wkst'!$I$7:$I$2010,$C$9,'LAC 102_Wkst'!$E$7:$E$2010,$C97,'LAC 102_Wkst'!$G$7:$G$2010,$D97,'LAC 102_Wkst'!$L$7:$L$2010,"09",'LAC 102_Wkst'!$N$7:$N$2010,"P1")+SUMIFS('LAC 102_Wkst'!$AF$7:$AF$2010,'LAC 102_Wkst'!$D$7:$D$2010,$C$7,'LAC 102_Wkst'!$I$7:$I$2010,$C$9,'LAC 102_Wkst'!$E$7:$E$2010,$C97,'LAC 102_Wkst'!$G$7:$G$2010,$D97,'LAC 102_Wkst'!$L$7:$L$2010,"09",'LAC 102_Wkst'!$N$7:$N$2010,"P2")+SUMIFS('LAC 102_Wkst'!$AF$7:$AF$2010,'LAC 102_Wkst'!$D$7:$D$2010,$C$7,'LAC 102_Wkst'!$I$7:$I$2010,$C$9,'LAC 102_Wkst'!$E$7:$E$2010,$C97,'LAC 102_Wkst'!$G$7:$G$2010,$D97,'LAC 102_Wkst'!$L$7:$L$2010,"09",'LAC 102_Wkst'!$N$7:$N$2010,"P3")+SUMIFS('LAC 102_Wkst'!$AF$7:$AF$2010,'LAC 102_Wkst'!$D$7:$D$2010,$C$7,'LAC 102_Wkst'!$I$7:$I$2010,$C$9,'LAC 102_Wkst'!$E$7:$E$2010,$C97,'LAC 102_Wkst'!$G$7:$G$2010,$D97,'LAC 102_Wkst'!$L$7:$L$2010,"09",'LAC 102_Wkst'!$N$7:$N$2010,"P4")</f>
        <v>0</v>
      </c>
      <c r="AN97" s="410">
        <f>SUMIFS('LAC 102_Wkst'!$Q$7:$Q$2010,'LAC 102_Wkst'!$D$7:$D$2010,$C$7,'LAC 102_Wkst'!$I$7:$I$2010,$C$9,'LAC 102_Wkst'!$E$7:$E$2010,$C97,'LAC 102_Wkst'!$G$7:$G$2010,$D97,'LAC 102_Wkst'!$L$7:$L$2010,"09",'LAC 102_Wkst'!$N$7:$N$2010,"P5")</f>
        <v>0</v>
      </c>
      <c r="AO97" s="411">
        <f>SUMIFS('LAC 102_Wkst'!$AF$7:$AF$2010,'LAC 102_Wkst'!$D$7:$D$2010,$C$7,'LAC 102_Wkst'!$I$7:$I$2010,$C$9,'LAC 102_Wkst'!$E$7:$E$2010,$C97,'LAC 102_Wkst'!$G$7:$G$2010,$D97,'LAC 102_Wkst'!$L$7:$L$2010,"09",'LAC 102_Wkst'!$N$7:$N$2010,"P5")</f>
        <v>0</v>
      </c>
      <c r="AP97" s="410">
        <f>SUMIFS('LAC 102_Wkst'!$Q$7:$Q$2010,'LAC 102_Wkst'!$D$7:$D$2010,$C$7,'LAC 102_Wkst'!$I$7:$I$2010,$C$9,'LAC 102_Wkst'!$E$7:$E$2010,$C97,'LAC 102_Wkst'!$G$7:$G$2010,$D97,'LAC 102_Wkst'!$L$7:$L$2010,"10",'LAC 102_Wkst'!$N$7:$N$2010,"P1")+SUMIFS('LAC 102_Wkst'!$Q$7:$Q$2010,'LAC 102_Wkst'!$D$7:$D$2010,$C$7,'LAC 102_Wkst'!$I$7:$I$2010,$C$9,'LAC 102_Wkst'!$E$7:$E$2010,$C97,'LAC 102_Wkst'!$G$7:$G$2010,$D97,'LAC 102_Wkst'!$L$7:$L$2010,"10",'LAC 102_Wkst'!$N$7:$N$2010,"P2")+SUMIFS('LAC 102_Wkst'!$Q$7:$Q$2010,'LAC 102_Wkst'!$D$7:$D$2010,$C$7,'LAC 102_Wkst'!$I$7:$I$2010,$C$9,'LAC 102_Wkst'!$E$7:$E$2010,$C97,'LAC 102_Wkst'!$G$7:$G$2010,$D97,'LAC 102_Wkst'!$L$7:$L$2010,"10",'LAC 102_Wkst'!$N$7:$N$2010,"P3")+SUMIFS('LAC 102_Wkst'!$Q$7:$Q$2010,'LAC 102_Wkst'!$D$7:$D$2010,$C$7,'LAC 102_Wkst'!$I$7:$I$2010,$C$9,'LAC 102_Wkst'!$E$7:$E$2010,$C97,'LAC 102_Wkst'!$G$7:$G$2010,$D97,'LAC 102_Wkst'!$L$7:$L$2010,"10",'LAC 102_Wkst'!$N$7:$N$2010,"P4")</f>
        <v>0</v>
      </c>
      <c r="AQ97" s="411">
        <f>SUMIFS('LAC 102_Wkst'!$AF$7:$AF$2010,'LAC 102_Wkst'!$D$7:$D$2010,$C$7,'LAC 102_Wkst'!$I$7:$I$2010,$C$9,'LAC 102_Wkst'!$E$7:$E$2010,$C97,'LAC 102_Wkst'!$G$7:$G$2010,$D97,'LAC 102_Wkst'!$L$7:$L$2010,"10",'LAC 102_Wkst'!$N$7:$N$2010,"P1")+SUMIFS('LAC 102_Wkst'!$AF$7:$AF$2010,'LAC 102_Wkst'!$D$7:$D$2010,$C$7,'LAC 102_Wkst'!$I$7:$I$2010,$C$9,'LAC 102_Wkst'!$E$7:$E$2010,$C97,'LAC 102_Wkst'!$G$7:$G$2010,$D97,'LAC 102_Wkst'!$L$7:$L$2010,"10",'LAC 102_Wkst'!$N$7:$N$2010,"P2")+SUMIFS('LAC 102_Wkst'!$AF$7:$AF$2010,'LAC 102_Wkst'!$D$7:$D$2010,$C$7,'LAC 102_Wkst'!$I$7:$I$2010,$C$9,'LAC 102_Wkst'!$E$7:$E$2010,$C97,'LAC 102_Wkst'!$G$7:$G$2010,$D97,'LAC 102_Wkst'!$L$7:$L$2010,"10",'LAC 102_Wkst'!$N$7:$N$2010,"P3")+SUMIFS('LAC 102_Wkst'!$AF$7:$AF$2010,'LAC 102_Wkst'!$D$7:$D$2010,$C$7,'LAC 102_Wkst'!$I$7:$I$2010,$C$9,'LAC 102_Wkst'!$E$7:$E$2010,$C97,'LAC 102_Wkst'!$G$7:$G$2010,$D97,'LAC 102_Wkst'!$L$7:$L$2010,"10",'LAC 102_Wkst'!$N$7:$N$2010,"P4")</f>
        <v>0</v>
      </c>
      <c r="AR97" s="410">
        <f>SUMIFS('LAC 102_Wkst'!$Q$7:$Q$2010,'LAC 102_Wkst'!$D$7:$D$2010,$C$7,'LAC 102_Wkst'!$I$7:$I$2010,$C$9,'LAC 102_Wkst'!$E$7:$E$2010,$C97,'LAC 102_Wkst'!$G$7:$G$2010,$D97,'LAC 102_Wkst'!$L$7:$L$2010,"10",'LAC 102_Wkst'!$N$7:$N$2010,"P5")</f>
        <v>0</v>
      </c>
      <c r="AS97" s="411">
        <f>SUMIFS('LAC 102_Wkst'!$AF$7:$AF$2010,'LAC 102_Wkst'!$D$7:$D$2010,$C$7,'LAC 102_Wkst'!$I$7:$I$2010,$C$9,'LAC 102_Wkst'!$E$7:$E$2010,$C97,'LAC 102_Wkst'!$G$7:$G$2010,$D97,'LAC 102_Wkst'!$L$7:$L$2010,"10",'LAC 102_Wkst'!$N$7:$N$2010,"P5")</f>
        <v>0</v>
      </c>
      <c r="AT97" s="410">
        <f>SUMIFS('LAC 102_Wkst'!$Q$7:$Q$2010,'LAC 102_Wkst'!$D$7:$D$2010,$C$7,'LAC 102_Wkst'!$I$7:$I$2010,$C$9,'LAC 102_Wkst'!$E$7:$E$2010,$C97,'LAC 102_Wkst'!$G$7:$G$2010,$D97,'LAC 102_Wkst'!$L$7:$L$2010,"11",'LAC 102_Wkst'!$N$7:$N$2010,"P1")+SUMIFS('LAC 102_Wkst'!$Q$7:$Q$2010,'LAC 102_Wkst'!$D$7:$D$2010,$C$7,'LAC 102_Wkst'!$I$7:$I$2010,$C$9,'LAC 102_Wkst'!$E$7:$E$2010,$C97,'LAC 102_Wkst'!$G$7:$G$2010,$D97,'LAC 102_Wkst'!$L$7:$L$2010,"12",'LAC 102_Wkst'!$N$7:$N$2010,"P1")</f>
        <v>0</v>
      </c>
      <c r="AU97" s="411">
        <f>SUMIFS('LAC 102_Wkst'!$Q$7:$Q$2010,'LAC 102_Wkst'!$D$7:$D$2010,$C$7,'LAC 102_Wkst'!$I$7:$I$2010,$C$9,'LAC 102_Wkst'!$E$7:$E$2010,$C97,'LAC 102_Wkst'!$G$7:$G$2010,$D97,'LAC 102_Wkst'!$L$7:$L$2010,"13",'LAC 102_Wkst'!$N$7:$N$2010,"P5")</f>
        <v>0</v>
      </c>
      <c r="AV97" s="410">
        <f>SUMIFS('LAC 102_Wkst'!$Q$7:$Q$2010,'LAC 102_Wkst'!$D$7:$D$2010,$C$7,'LAC 102_Wkst'!$I$7:$I$2010,$C$9,'LAC 102_Wkst'!$E$7:$E$2010,$C97,'LAC 102_Wkst'!$G$7:$G$2010,$D97,'LAC 102_Wkst'!$L$7:$L$2010,"11",'LAC 102_Wkst'!$N$7:$N$2010,"P2")+SUMIFS('LAC 102_Wkst'!$Q$7:$Q$2010,'LAC 102_Wkst'!$D$7:$D$2010,$C$7,'LAC 102_Wkst'!$I$7:$I$2010,$C$9,'LAC 102_Wkst'!$E$7:$E$2010,$C97,'LAC 102_Wkst'!$G$7:$G$2010,$D97,'LAC 102_Wkst'!$L$7:$L$2010,"12",'LAC 102_Wkst'!$N$7:$N$2010,"P2")+SUMIFS('LAC 102_Wkst'!$Q$7:$Q$2010,'LAC 102_Wkst'!$D$7:$D$2010,$C$7,'LAC 102_Wkst'!$I$7:$I$2010,$C$9,'LAC 102_Wkst'!$E$7:$E$2010,$C97,'LAC 102_Wkst'!$G$7:$G$2010,$D97,'LAC 102_Wkst'!$L$7:$L$2010,"11",'LAC 102_Wkst'!$N$7:$N$2010,"P3")+SUMIFS('LAC 102_Wkst'!$Q$7:$Q$2010,'LAC 102_Wkst'!$D$7:$D$2010,$C$7,'LAC 102_Wkst'!$I$7:$I$2010,$C$9,'LAC 102_Wkst'!$E$7:$E$2010,$C97,'LAC 102_Wkst'!$G$7:$G$2010,$D97,'LAC 102_Wkst'!$L$7:$L$2010,"12",'LAC 102_Wkst'!$N$7:$N$2010,"P3")</f>
        <v>0</v>
      </c>
      <c r="AW97" s="411">
        <f>SUMIFS('LAC 102_Wkst'!$AF$7:$AF$2010,'LAC 102_Wkst'!$D$7:$D$2010,$C$7,'LAC 102_Wkst'!$I$7:$I$2010,$C$9,'LAC 102_Wkst'!$E$7:$E$2010,$C97,'LAC 102_Wkst'!$G$7:$G$2010,$D97,'LAC 102_Wkst'!$L$7:$L$2010,"11",'LAC 102_Wkst'!$N$7:$N$2010,"P2")+SUMIFS('LAC 102_Wkst'!$AF$7:$AF$2010,'LAC 102_Wkst'!$D$7:$D$2010,$C$7,'LAC 102_Wkst'!$I$7:$I$2010,$C$9,'LAC 102_Wkst'!$E$7:$E$2010,$C97,'LAC 102_Wkst'!$G$7:$G$2010,$D97,'LAC 102_Wkst'!$L$7:$L$2010,"12",'LAC 102_Wkst'!$N$7:$N$2010,"P2")+SUMIFS('LAC 102_Wkst'!$AF$7:$AF$2010,'LAC 102_Wkst'!$D$7:$D$2010,$C$7,'LAC 102_Wkst'!$I$7:$I$2010,$C$9,'LAC 102_Wkst'!$E$7:$E$2010,$C97,'LAC 102_Wkst'!$G$7:$G$2010,$D97,'LAC 102_Wkst'!$L$7:$L$2010,"11",'LAC 102_Wkst'!$N$7:$N$2010,"P3")+SUMIFS('LAC 102_Wkst'!$AF$7:$AF$2010,'LAC 102_Wkst'!$D$7:$D$2010,$C$7,'LAC 102_Wkst'!$I$7:$I$2010,$C$9,'LAC 102_Wkst'!$E$7:$E$2010,$C97,'LAC 102_Wkst'!$G$7:$G$2010,$D97,'LAC 102_Wkst'!$L$7:$L$2010,"12",'LAC 102_Wkst'!$N$7:$N$2010,"P3")</f>
        <v>0</v>
      </c>
      <c r="AX97" s="410">
        <f>SUMIFS('LAC 102_Wkst'!$Q$7:$Q$2010,'LAC 102_Wkst'!$D$7:$D$2010,$C$7,'LAC 102_Wkst'!$I$7:$I$2010,$C$9,'LAC 102_Wkst'!$E$7:$E$2010,$C97,'LAC 102_Wkst'!$G$7:$G$2010,$D97,'LAC 102_Wkst'!$L$7:$L$2010,"11",'LAC 102_Wkst'!$N$7:$N$2010,"P4")+SUMIFS('LAC 102_Wkst'!$Q$7:$Q$2010,'LAC 102_Wkst'!$D$7:$D$2010,$C$7,'LAC 102_Wkst'!$I$7:$I$2010,$C$9,'LAC 102_Wkst'!$E$7:$E$2010,$C97,'LAC 102_Wkst'!$G$7:$G$2010,$D97,'LAC 102_Wkst'!$L$7:$L$2010,"12",'LAC 102_Wkst'!$N$7:$N$2010,"P4")</f>
        <v>0</v>
      </c>
      <c r="AY97" s="411">
        <f>SUMIFS('LAC 102_Wkst'!$AF$7:$AF$2010,'LAC 102_Wkst'!$D$7:$D$2010,$C$7,'LAC 102_Wkst'!$I$7:$I$2010,$C$9,'LAC 102_Wkst'!$E$7:$E$2010,$C97,'LAC 102_Wkst'!$G$7:$G$2010,$D97,'LAC 102_Wkst'!$L$7:$L$2010,"11",'LAC 102_Wkst'!$N$7:$N$2010,"P4")+SUMIFS('LAC 102_Wkst'!$AF$7:$AF$2010,'LAC 102_Wkst'!$D$7:$D$2010,$C$7,'LAC 102_Wkst'!$I$7:$I$2010,$C$9,'LAC 102_Wkst'!$E$7:$E$2010,$C97,'LAC 102_Wkst'!$G$7:$G$2010,$D97,'LAC 102_Wkst'!$L$7:$L$2010,"12",'LAC 102_Wkst'!$N$7:$N$2010,"P4")</f>
        <v>0</v>
      </c>
      <c r="AZ97" s="410">
        <f>SUMIFS('LAC 102_Wkst'!$Q$7:$Q$2010,'LAC 102_Wkst'!$D$7:$D$2010,$C$7,'LAC 102_Wkst'!$I$7:$I$2010,$C$9,'LAC 102_Wkst'!$E$7:$E$2010,$C97,'LAC 102_Wkst'!$G$7:$G$2010,$D97,'LAC 102_Wkst'!$L$7:$L$2010,"11",'LAC 102_Wkst'!$N$7:$N$2010,"P5")+SUMIFS('LAC 102_Wkst'!$Q$7:$Q$2010,'LAC 102_Wkst'!$D$7:$D$2010,$C$7,'LAC 102_Wkst'!$I$7:$I$2010,$C$9,'LAC 102_Wkst'!$E$7:$E$2010,$C97,'LAC 102_Wkst'!$G$7:$G$2010,$D97,'LAC 102_Wkst'!$L$7:$L$2010,"12",'LAC 102_Wkst'!$N$7:$N$2010,"P5")</f>
        <v>0</v>
      </c>
      <c r="BA97" s="411">
        <f>SUMIFS('LAC 102_Wkst'!$AF$7:$AF$2010,'LAC 102_Wkst'!$D$7:$D$2010,$C$7,'LAC 102_Wkst'!$I$7:$I$2010,$C$9,'LAC 102_Wkst'!$E$7:$E$2010,$C97,'LAC 102_Wkst'!$G$7:$G$2010,$D97,'LAC 102_Wkst'!$L$7:$L$2010,"11",'LAC 102_Wkst'!$N$7:$N$2010,"P5")+SUMIFS('LAC 102_Wkst'!$AF$7:$AF$2010,'LAC 102_Wkst'!$D$7:$D$2010,$C$7,'LAC 102_Wkst'!$I$7:$I$2010,$C$9,'LAC 102_Wkst'!$E$7:$E$2010,$C97,'LAC 102_Wkst'!$G$7:$G$2010,$D97,'LAC 102_Wkst'!$L$7:$L$2010,"12",'LAC 102_Wkst'!$N$7:$N$2010,"P5")</f>
        <v>0</v>
      </c>
      <c r="BB97" s="410">
        <f>SUMIFS('LAC 102_Wkst'!$Q$7:$Q$2010,'LAC 102_Wkst'!$D$7:$D$2010,$C$7,'LAC 102_Wkst'!$I$7:$I$2010,$C$9,'LAC 102_Wkst'!$E$7:$E$2010,$C97,'LAC 102_Wkst'!$G$7:$G$2010,$D97,'LAC 102_Wkst'!$L$7:$L$2010,"13",'LAC 102_Wkst'!$N$7:$N$2010,"P1")+SUMIFS('LAC 102_Wkst'!$Q$7:$Q$2010,'LAC 102_Wkst'!$D$7:$D$2010,$C$7,'LAC 102_Wkst'!$I$7:$I$2010,$C$9,'LAC 102_Wkst'!$E$7:$E$2010,$C97,'LAC 102_Wkst'!$G$7:$G$2010,$D97,'LAC 102_Wkst'!$L$7:$L$2010,"13",'LAC 102_Wkst'!$N$7:$N$2010,"P2")+SUMIFS('LAC 102_Wkst'!$Q$7:$Q$2010,'LAC 102_Wkst'!$D$7:$D$2010,$C$7,'LAC 102_Wkst'!$I$7:$I$2010,$C$9,'LAC 102_Wkst'!$E$7:$E$2010,$C97,'LAC 102_Wkst'!$G$7:$G$2010,$D97,'LAC 102_Wkst'!$L$7:$L$2010,"13",'LAC 102_Wkst'!$N$7:$N$2010,"P3")+SUMIFS('LAC 102_Wkst'!$Q$7:$Q$2010,'LAC 102_Wkst'!$D$7:$D$2010,$C$7,'LAC 102_Wkst'!$I$7:$I$2010,$C$9,'LAC 102_Wkst'!$E$7:$E$2010,$C97,'LAC 102_Wkst'!$G$7:$G$2010,$D97,'LAC 102_Wkst'!$L$7:$L$2010,"13",'LAC 102_Wkst'!$N$7:$N$2010,"P4")</f>
        <v>0</v>
      </c>
      <c r="BC97" s="411">
        <f>SUMIFS('LAC 102_Wkst'!$AF$7:$AF$2010,'LAC 102_Wkst'!$D$7:$D$2010,$C$7,'LAC 102_Wkst'!$I$7:$I$2010,$C$9,'LAC 102_Wkst'!$E$7:$E$2010,$C97,'LAC 102_Wkst'!$G$7:$G$2010,$D97,'LAC 102_Wkst'!$L$7:$L$2010,"13",'LAC 102_Wkst'!$N$7:$N$2010,"P1")+SUMIFS('LAC 102_Wkst'!$AF$7:$AF$2010,'LAC 102_Wkst'!$D$7:$D$2010,$C$7,'LAC 102_Wkst'!$I$7:$I$2010,$C$9,'LAC 102_Wkst'!$E$7:$E$2010,$C97,'LAC 102_Wkst'!$G$7:$G$2010,$D97,'LAC 102_Wkst'!$L$7:$L$2010,"13",'LAC 102_Wkst'!$N$7:$N$2010,"P2")+SUMIFS('LAC 102_Wkst'!$AF$7:$AF$2010,'LAC 102_Wkst'!$D$7:$D$2010,$C$7,'LAC 102_Wkst'!$I$7:$I$2010,$C$9,'LAC 102_Wkst'!$E$7:$E$2010,$C97,'LAC 102_Wkst'!$G$7:$G$2010,$D97,'LAC 102_Wkst'!$L$7:$L$2010,"13",'LAC 102_Wkst'!$N$7:$N$2010,"P3")+SUMIFS('LAC 102_Wkst'!$AF$7:$AF$2010,'LAC 102_Wkst'!$D$7:$D$2010,$C$7,'LAC 102_Wkst'!$I$7:$I$2010,$C$9,'LAC 102_Wkst'!$E$7:$E$2010,$C97,'LAC 102_Wkst'!$G$7:$G$2010,$D97,'LAC 102_Wkst'!$L$7:$L$2010,"13",'LAC 102_Wkst'!$N$7:$N$2010,"P4")</f>
        <v>0</v>
      </c>
      <c r="BD97" s="410">
        <f>SUMIFS('LAC 102_Wkst'!$Q$7:$Q$2010,'LAC 102_Wkst'!$D$7:$D$2010,$C$7,'LAC 102_Wkst'!$I$7:$I$2010,$C$9,'LAC 102_Wkst'!$E$7:$E$2010,$C97,'LAC 102_Wkst'!$G$7:$G$2010,$D97,'LAC 102_Wkst'!$L$7:$L$2010,"13",'LAC 102_Wkst'!$N$7:$N$2010,"P5")</f>
        <v>0</v>
      </c>
      <c r="BE97" s="411">
        <f>SUMIFS('LAC 102_Wkst'!$AF$7:$AF$2010,'LAC 102_Wkst'!$D$7:$D$2010,$C$7,'LAC 102_Wkst'!$I$7:$I$2010,$C$9,'LAC 102_Wkst'!$E$7:$E$2010,$C97,'LAC 102_Wkst'!$G$7:$G$2010,$D97,'LAC 102_Wkst'!$L$7:$L$2010,"13",'LAC 102_Wkst'!$N$7:$N$2010,"P5")</f>
        <v>0</v>
      </c>
      <c r="BF97" s="407">
        <f t="shared" si="5"/>
        <v>0</v>
      </c>
      <c r="BG97" s="1654">
        <f>SUMIFS('LAC 102_Wkst'!$AF$7:$AF$2010,'LAC 102_Wkst'!$D$7:$D$2010,$C$7,'LAC 102_Wkst'!$I$7:$I$2010,$C$9,'LAC 102_Wkst'!$E$7:$E$2010,$C97,'LAC 102_Wkst'!$G$7:$G$2010,$D97,'LAC 102_Wkst'!$L$7:$L$2010,"14")</f>
        <v>0</v>
      </c>
    </row>
    <row r="98" spans="1:59" x14ac:dyDescent="0.2">
      <c r="A98" s="401">
        <v>76</v>
      </c>
      <c r="B98" s="1678" t="str">
        <f>IF(Schedule_B!B$95="","",Schedule_B!B$95)</f>
        <v/>
      </c>
      <c r="C98" s="1674" t="str">
        <f>IF(Schedule_B!C$95=""," ",Schedule_B!C$95)</f>
        <v xml:space="preserve"> </v>
      </c>
      <c r="D98" s="1675" t="str">
        <f>IF(Schedule_B!D$95=""," ",Schedule_B!D$95)</f>
        <v xml:space="preserve"> </v>
      </c>
      <c r="E98" s="1221">
        <f>SUMIFS('LAC 102_Wkst'!$Q$7:$Q$2010,'LAC 102_Wkst'!$D$7:$D$2010,$C$7,'LAC 102_Wkst'!$I$7:$I$2010,$C$9,'LAC 102_Wkst'!$E$7:$E$2010,$C98,'LAC 102_Wkst'!$G$7:$G$2010,$D98)</f>
        <v>0</v>
      </c>
      <c r="F98" s="408">
        <f>SUMIFS('LAC 102_Wkst'!$Q$7:$Q$2010,'LAC 102_Wkst'!$D$7:$D$2010,$C$7,'LAC 102_Wkst'!$I$7:$I$2010,$C$9,'LAC 102_Wkst'!$E$7:$E$2010,$C98,'LAC 102_Wkst'!$G$7:$G$2010,$D98,'LAC 102_Wkst'!$L$7:$L$2010,"01",'LAC 102_Wkst'!$N$7:$N$2010,"P1")+SUMIFS('LAC 102_Wkst'!$Q$7:$Q$2010,'LAC 102_Wkst'!$D$7:$D$2010,$C$7,'LAC 102_Wkst'!$I$7:$I$2010,$C$9,'LAC 102_Wkst'!$E$7:$E$2010,$C98,'LAC 102_Wkst'!$G$7:$G$2010,$D98,'LAC 102_Wkst'!$L$7:$L$2010,"01",'LAC 102_Wkst'!$N$7:$N$2010,"P2")+SUMIFS('LAC 102_Wkst'!$Q$7:$Q$2010,'LAC 102_Wkst'!$D$7:$D$2010,$C$7,'LAC 102_Wkst'!$I$7:$I$2010,$C$9,'LAC 102_Wkst'!$E$7:$E$2010,$C98,'LAC 102_Wkst'!$G$7:$G$2010,$D98,'LAC 102_Wkst'!$L$7:$L$2010,"01",'LAC 102_Wkst'!$N$7:$N$2010,"P3")+SUMIFS('LAC 102_Wkst'!$Q$7:$Q$2010,'LAC 102_Wkst'!$D$7:$D$2010,$C$7,'LAC 102_Wkst'!$I$7:$I$2010,$C$9,'LAC 102_Wkst'!$E$7:$E$2010,$C98,'LAC 102_Wkst'!$G$7:$G$2010,$D98,'LAC 102_Wkst'!$L$7:$L$2010,"02",'LAC 102_Wkst'!$N$7:$N$2010,"P1")+SUMIFS('LAC 102_Wkst'!$Q$7:$Q$2010,'LAC 102_Wkst'!$D$7:$D$2010,$C$7,'LAC 102_Wkst'!$I$7:$I$2010,$C$9,'LAC 102_Wkst'!$E$7:$E$2010,$C98,'LAC 102_Wkst'!$G$7:$G$2010,$D98,'LAC 102_Wkst'!$L$7:$L$2010,"02",'LAC 102_Wkst'!$N$7:$N$2010,"P2")+SUMIFS('LAC 102_Wkst'!$Q$7:$Q$2010,'LAC 102_Wkst'!$D$7:$D$2010,$C$7,'LAC 102_Wkst'!$I$7:$I$2010,$C$9,'LAC 102_Wkst'!$E$7:$E$2010,$C98,'LAC 102_Wkst'!$G$7:$G$2010,$D98,'LAC 102_Wkst'!$L$7:$L$2010,"02",'LAC 102_Wkst'!$N$7:$N$2010,"P3")</f>
        <v>0</v>
      </c>
      <c r="G98" s="409">
        <f>SUMIFS('LAC 102_Wkst'!$AF$7:$AF$2010,'LAC 102_Wkst'!$D$7:$D$2010,$C$7,'LAC 102_Wkst'!$I$7:$I$2010,$C$9,'LAC 102_Wkst'!$E$7:$E$2010,$C98,'LAC 102_Wkst'!$G$7:$G$2010,$D98,'LAC 102_Wkst'!$L$7:$L$2010,"01",'LAC 102_Wkst'!$N$7:$N$2010,"P1")+SUMIFS('LAC 102_Wkst'!$AF$7:$AF$2010,'LAC 102_Wkst'!$D$7:$D$2010,$C$7,'LAC 102_Wkst'!$I$7:$I$2010,$C$9,'LAC 102_Wkst'!$E$7:$E$2010,$C98,'LAC 102_Wkst'!$G$7:$G$2010,$D98,'LAC 102_Wkst'!$L$7:$L$2010,"01",'LAC 102_Wkst'!$N$7:$N$2010,"P2")+SUMIFS('LAC 102_Wkst'!$AF$7:$AF$2010,'LAC 102_Wkst'!$D$7:$D$2010,$C$7,'LAC 102_Wkst'!$I$7:$I$2010,$C$9,'LAC 102_Wkst'!$E$7:$E$2010,$C98,'LAC 102_Wkst'!$G$7:$G$2010,$D98,'LAC 102_Wkst'!$L$7:$L$2010,"01",'LAC 102_Wkst'!$N$7:$N$2010,"P3")+SUMIFS('LAC 102_Wkst'!$AF$7:$AF$2010,'LAC 102_Wkst'!$D$7:$D$2010,$C$7,'LAC 102_Wkst'!$I$7:$I$2010,$C$9,'LAC 102_Wkst'!$E$7:$E$2010,$C98,'LAC 102_Wkst'!$G$7:$G$2010,$D98,'LAC 102_Wkst'!$L$7:$L$2010,"02",'LAC 102_Wkst'!$N$7:$N$2010,"P1")+SUMIFS('LAC 102_Wkst'!$AF$7:$AF$2010,'LAC 102_Wkst'!$D$7:$D$2010,$C$7,'LAC 102_Wkst'!$I$7:$I$2010,$C$9,'LAC 102_Wkst'!$E$7:$E$2010,$C98,'LAC 102_Wkst'!$G$7:$G$2010,$D98,'LAC 102_Wkst'!$L$7:$L$2010,"02",'LAC 102_Wkst'!$N$7:$N$2010,"P2")+SUMIFS('LAC 102_Wkst'!$AF$7:$AF$2010,'LAC 102_Wkst'!$D$7:$D$2010,$C$7,'LAC 102_Wkst'!$I$7:$I$2010,$C$9,'LAC 102_Wkst'!$E$7:$E$2010,$C98,'LAC 102_Wkst'!$G$7:$G$2010,$D98,'LAC 102_Wkst'!$L$7:$L$2010,"02",'LAC 102_Wkst'!$N$7:$N$2010,"P3")</f>
        <v>0</v>
      </c>
      <c r="H98" s="410">
        <f>SUMIFS('LAC 102_Wkst'!$Q$7:$Q$2010,'LAC 102_Wkst'!$D$7:$D$2010,$C$7,'LAC 102_Wkst'!$I$7:$I$2010,$C$9,'LAC 102_Wkst'!$E$7:$E$2010,$C98,'LAC 102_Wkst'!$G$7:$G$2010,$D98,'LAC 102_Wkst'!$L$7:$L$2010,"01",'LAC 102_Wkst'!$N$7:$N$2010,"P4")+SUMIFS('LAC 102_Wkst'!$Q$7:$Q$2010,'LAC 102_Wkst'!$D$7:$D$2010,$C$7,'LAC 102_Wkst'!$I$7:$I$2010,$C$9,'LAC 102_Wkst'!$E$7:$E$2010,$C98,'LAC 102_Wkst'!$G$7:$G$2010,$D98,'LAC 102_Wkst'!$L$7:$L$2010,"02",'LAC 102_Wkst'!$N$7:$N$2010,"P4")</f>
        <v>0</v>
      </c>
      <c r="I98" s="411">
        <f>SUMIFS('LAC 102_Wkst'!$AF$7:$AF$2010,'LAC 102_Wkst'!$D$7:$D$2010,$C$7,'LAC 102_Wkst'!$I$7:$I$2010,$C$9,'LAC 102_Wkst'!$E$7:$E$2010,$C98,'LAC 102_Wkst'!$G$7:$G$2010,$D98,'LAC 102_Wkst'!$L$7:$L$2010,"01",'LAC 102_Wkst'!$N$7:$N$2010,"P4")+SUMIFS('LAC 102_Wkst'!$AF$7:$AF$2010,'LAC 102_Wkst'!$D$7:$D$2010,$C$7,'LAC 102_Wkst'!$I$7:$I$2010,$C$9,'LAC 102_Wkst'!$E$7:$E$2010,$C98,'LAC 102_Wkst'!$G$7:$G$2010,$D98,'LAC 102_Wkst'!$L$7:$L$2010,"02",'LAC 102_Wkst'!$N$7:$N$2010,"P4")</f>
        <v>0</v>
      </c>
      <c r="J98" s="410">
        <f>SUMIFS('LAC 102_Wkst'!$Q$7:$Q$2010,'LAC 102_Wkst'!$D$7:$D$2010,$C$7,'LAC 102_Wkst'!$I$7:$I$2010,$C$9,'LAC 102_Wkst'!$E$7:$E$2010,$C98,'LAC 102_Wkst'!$G$7:$G$2010,$D98,'LAC 102_Wkst'!$L$7:$L$2010,"01",'LAC 102_Wkst'!$N$7:$N$2010,"P5")+SUMIFS('LAC 102_Wkst'!$Q$7:$Q$2010,'LAC 102_Wkst'!$D$7:$D$2010,$C$7,'LAC 102_Wkst'!$I$7:$I$2010,$C$9,'LAC 102_Wkst'!$E$7:$E$2010,$C98,'LAC 102_Wkst'!$G$7:$G$2010,$D98,'LAC 102_Wkst'!$L$7:$L$2010,"02",'LAC 102_Wkst'!$N$7:$N$2010,"P5")</f>
        <v>0</v>
      </c>
      <c r="K98" s="411">
        <f>SUMIFS('LAC 102_Wkst'!$AF$7:$AF$2010,'LAC 102_Wkst'!$D$7:$D$2010,$C$7,'LAC 102_Wkst'!$I$7:$I$2010,$C$9,'LAC 102_Wkst'!$E$7:$E$2010,$C98,'LAC 102_Wkst'!$G$7:$G$2010,$D98,'LAC 102_Wkst'!$L$7:$L$2010,"01",'LAC 102_Wkst'!$N$7:$N$2010,"P5")+SUMIFS('LAC 102_Wkst'!$AF$7:$AF$2010,'LAC 102_Wkst'!$D$7:$D$2010,$C$7,'LAC 102_Wkst'!$I$7:$I$2010,$C$9,'LAC 102_Wkst'!$E$7:$E$2010,$C98,'LAC 102_Wkst'!$G$7:$G$2010,$D98,'LAC 102_Wkst'!$L$7:$L$2010,"02",'LAC 102_Wkst'!$N$7:$N$2010,"P5")</f>
        <v>0</v>
      </c>
      <c r="L98" s="410">
        <f>SUMIFS('LAC 102_Wkst'!$Q$7:$Q$2010,'LAC 102_Wkst'!$D$7:$D$2010,$C$7,'LAC 102_Wkst'!$I$7:$I$2010,$C$9,'LAC 102_Wkst'!$E$7:$E$2010,$C98,'LAC 102_Wkst'!$G$7:$G$2010,$D98,'LAC 102_Wkst'!$L$7:$L$2010,"03",'LAC 102_Wkst'!$N$7:$N$2010,"P1")+SUMIFS('LAC 102_Wkst'!$Q$7:$Q$2010,'LAC 102_Wkst'!$D$7:$D$2010,$C$7,'LAC 102_Wkst'!$I$7:$I$2010,$C$9,'LAC 102_Wkst'!$E$7:$E$2010,$C98,'LAC 102_Wkst'!$G$7:$G$2010,$D98,'LAC 102_Wkst'!$L$7:$L$2010,"03",'LAC 102_Wkst'!$N$7:$N$2010,"P2")+SUMIFS('LAC 102_Wkst'!$Q$7:$Q$2010,'LAC 102_Wkst'!$D$7:$D$2010,$C$7,'LAC 102_Wkst'!$I$7:$I$2010,$C$9,'LAC 102_Wkst'!$E$7:$E$2010,$C98,'LAC 102_Wkst'!$G$7:$G$2010,$D98,'LAC 102_Wkst'!$L$7:$L$2010,"03",'LAC 102_Wkst'!$N$7:$N$2010,"P3")+SUMIFS('LAC 102_Wkst'!$Q$7:$Q$2010,'LAC 102_Wkst'!$D$7:$D$2010,$C$7,'LAC 102_Wkst'!$I$7:$I$2010,$C$9,'LAC 102_Wkst'!$E$7:$E$2010,$C98,'LAC 102_Wkst'!$G$7:$G$2010,$D98,'LAC 102_Wkst'!$L$7:$L$2010,"04",'LAC 102_Wkst'!$N$7:$N$2010,"P1")+SUMIFS('LAC 102_Wkst'!$Q$7:$Q$2010,'LAC 102_Wkst'!$D$7:$D$2010,$C$7,'LAC 102_Wkst'!$I$7:$I$2010,$C$9,'LAC 102_Wkst'!$E$7:$E$2010,$C98,'LAC 102_Wkst'!$G$7:$G$2010,$D98,'LAC 102_Wkst'!$L$7:$L$2010,"04",'LAC 102_Wkst'!$N$7:$N$2010,"P2")+SUMIFS('LAC 102_Wkst'!$Q$7:$Q$2010,'LAC 102_Wkst'!$D$7:$D$2010,$C$7,'LAC 102_Wkst'!$I$7:$I$2010,$C$9,'LAC 102_Wkst'!$E$7:$E$2010,$C98,'LAC 102_Wkst'!$G$7:$G$2010,$D98,'LAC 102_Wkst'!$L$7:$L$2010,"04",'LAC 102_Wkst'!$N$7:$N$2010,"P3")</f>
        <v>0</v>
      </c>
      <c r="M98" s="411">
        <f>SUMIFS('LAC 102_Wkst'!$AF$7:$AF$2010,'LAC 102_Wkst'!$D$7:$D$2010,$C$7,'LAC 102_Wkst'!$I$7:$I$2010,$C$9,'LAC 102_Wkst'!$E$7:$E$2010,$C98,'LAC 102_Wkst'!$G$7:$G$2010,$D98,'LAC 102_Wkst'!$L$7:$L$2010,"03",'LAC 102_Wkst'!$N$7:$N$2010,"P1")+SUMIFS('LAC 102_Wkst'!$AF$7:$AF$2010,'LAC 102_Wkst'!$D$7:$D$2010,$C$7,'LAC 102_Wkst'!$I$7:$I$2010,$C$9,'LAC 102_Wkst'!$E$7:$E$2010,$C98,'LAC 102_Wkst'!$G$7:$G$2010,$D98,'LAC 102_Wkst'!$L$7:$L$2010,"03",'LAC 102_Wkst'!$N$7:$N$2010,"P2")+SUMIFS('LAC 102_Wkst'!$AF$7:$AF$2010,'LAC 102_Wkst'!$D$7:$D$2010,$C$7,'LAC 102_Wkst'!$I$7:$I$2010,$C$9,'LAC 102_Wkst'!$E$7:$E$2010,$C98,'LAC 102_Wkst'!$G$7:$G$2010,$D98,'LAC 102_Wkst'!$L$7:$L$2010,"03",'LAC 102_Wkst'!$N$7:$N$2010,"P3")+SUMIFS('LAC 102_Wkst'!$AF$7:$AF$2010,'LAC 102_Wkst'!$D$7:$D$2010,$C$7,'LAC 102_Wkst'!$I$7:$I$2010,$C$9,'LAC 102_Wkst'!$E$7:$E$2010,$C98,'LAC 102_Wkst'!$G$7:$G$2010,$D98,'LAC 102_Wkst'!$L$7:$L$2010,"04",'LAC 102_Wkst'!$N$7:$N$2010,"P1")+SUMIFS('LAC 102_Wkst'!$AF$7:$AF$2010,'LAC 102_Wkst'!$D$7:$D$2010,$C$7,'LAC 102_Wkst'!$I$7:$I$2010,$C$9,'LAC 102_Wkst'!$E$7:$E$2010,$C98,'LAC 102_Wkst'!$G$7:$G$2010,$D98,'LAC 102_Wkst'!$L$7:$L$2010,"04",'LAC 102_Wkst'!$N$7:$N$2010,"P2")+SUMIFS('LAC 102_Wkst'!$AF$7:$AF$2010,'LAC 102_Wkst'!$D$7:$D$2010,$C$7,'LAC 102_Wkst'!$I$7:$I$2010,$C$9,'LAC 102_Wkst'!$E$7:$E$2010,$C98,'LAC 102_Wkst'!$G$7:$G$2010,$D98,'LAC 102_Wkst'!$L$7:$L$2010,"04",'LAC 102_Wkst'!$N$7:$N$2010,"P3")</f>
        <v>0</v>
      </c>
      <c r="N98" s="410">
        <f>SUMIFS('LAC 102_Wkst'!$Q$7:$Q$2010,'LAC 102_Wkst'!$D$7:$D$2010,$C$7,'LAC 102_Wkst'!$I$7:$I$2010,$C$9,'LAC 102_Wkst'!$E$7:$E$2010,$C98,'LAC 102_Wkst'!$G$7:$G$2010,$D98,'LAC 102_Wkst'!$L$7:$L$2010,"03",'LAC 102_Wkst'!$N$7:$N$2010,"P4")+SUMIFS('LAC 102_Wkst'!$Q$7:$Q$2010,'LAC 102_Wkst'!$D$7:$D$2010,$C$7,'LAC 102_Wkst'!$I$7:$I$2010,$C$9,'LAC 102_Wkst'!$E$7:$E$2010,$C98,'LAC 102_Wkst'!$G$7:$G$2010,$D98,'LAC 102_Wkst'!$L$7:$L$2010,"04",'LAC 102_Wkst'!$N$7:$N$2010,"P4")</f>
        <v>0</v>
      </c>
      <c r="O98" s="411">
        <f>SUMIFS('LAC 102_Wkst'!$AF$7:$AF$2010,'LAC 102_Wkst'!$D$7:$D$2010,$C$7,'LAC 102_Wkst'!$I$7:$I$2010,$C$9,'LAC 102_Wkst'!$E$7:$E$2010,$C98,'LAC 102_Wkst'!$G$7:$G$2010,$D98,'LAC 102_Wkst'!$L$7:$L$2010,"03",'LAC 102_Wkst'!$N$7:$N$2010,"P4")+SUMIFS('LAC 102_Wkst'!$AF$7:$AF$2010,'LAC 102_Wkst'!$D$7:$D$2010,$C$7,'LAC 102_Wkst'!$I$7:$I$2010,$C$9,'LAC 102_Wkst'!$E$7:$E$2010,$C98,'LAC 102_Wkst'!$G$7:$G$2010,$D98,'LAC 102_Wkst'!$L$7:$L$2010,"04",'LAC 102_Wkst'!$N$7:$N$2010,"P4")</f>
        <v>0</v>
      </c>
      <c r="P98" s="410">
        <f>SUMIFS('LAC 102_Wkst'!$Q$7:$Q$2010,'LAC 102_Wkst'!$D$7:$D$2010,$C$7,'LAC 102_Wkst'!$I$7:$I$2010,$C$9,'LAC 102_Wkst'!$E$7:$E$2010,$C98,'LAC 102_Wkst'!$G$7:$G$2010,$D98,'LAC 102_Wkst'!$L$7:$L$2010,"03",'LAC 102_Wkst'!$N$7:$N$2010,"P5")+SUMIFS('LAC 102_Wkst'!$Q$7:$Q$2010,'LAC 102_Wkst'!$D$7:$D$2010,$C$7,'LAC 102_Wkst'!$I$7:$I$2010,$C$9,'LAC 102_Wkst'!$E$7:$E$2010,$C98,'LAC 102_Wkst'!$G$7:$G$2010,$D98,'LAC 102_Wkst'!$L$7:$L$2010,"04",'LAC 102_Wkst'!$N$7:$N$2010,"P5")</f>
        <v>0</v>
      </c>
      <c r="Q98" s="411">
        <f>SUMIFS('LAC 102_Wkst'!$AF$7:$AF$2010,'LAC 102_Wkst'!$D$7:$D$2010,$C$7,'LAC 102_Wkst'!$I$7:$I$2010,$C$9,'LAC 102_Wkst'!$E$7:$E$2010,$C98,'LAC 102_Wkst'!$G$7:$G$2010,$D98,'LAC 102_Wkst'!$L$7:$L$2010,"03",'LAC 102_Wkst'!$N$7:$N$2010,"P5")+SUMIFS('LAC 102_Wkst'!$AF$7:$AF$2010,'LAC 102_Wkst'!$D$7:$D$2010,$C$7,'LAC 102_Wkst'!$I$7:$I$2010,$C$9,'LAC 102_Wkst'!$E$7:$E$2010,$C98,'LAC 102_Wkst'!$G$7:$G$2010,$D98,'LAC 102_Wkst'!$L$7:$L$2010,"04",'LAC 102_Wkst'!$N$7:$N$2010,"P5")</f>
        <v>0</v>
      </c>
      <c r="R98" s="412">
        <f>SUMIFS('LAC 102_Wkst'!$Q$7:$Q$2010,'LAC 102_Wkst'!$D$7:$D$2010,$C$7,'LAC 102_Wkst'!$I$7:$I$2010,$C$9,'LAC 102_Wkst'!$E$7:$E$2010,$C98,'LAC 102_Wkst'!$G$7:$G$2010,$D98,'LAC 102_Wkst'!$L$7:$L$2010,"05",'LAC 102_Wkst'!$N$7:$N$2010,"P1")+SUMIFS('LAC 102_Wkst'!$Q$7:$Q$2010,'LAC 102_Wkst'!$D$7:$D$2010,$C$7,'LAC 102_Wkst'!$I$7:$I$2010,$C$9,'LAC 102_Wkst'!$E$7:$E$2010,$C98,'LAC 102_Wkst'!$G$7:$G$2010,$D98,'LAC 102_Wkst'!$L$7:$L$2010,"06",'LAC 102_Wkst'!$N$7:$N$2010,"P1")</f>
        <v>0</v>
      </c>
      <c r="S98" s="411">
        <f>SUMIFS('LAC 102_Wkst'!$AF$7:$AF$2010,'LAC 102_Wkst'!$D$7:$D$2010,$C$7,'LAC 102_Wkst'!$I$7:$I$2010,$C$9,'LAC 102_Wkst'!$E$7:$E$2010,$C98,'LAC 102_Wkst'!$G$7:$G$2010,$D98,'LAC 102_Wkst'!$L$7:$L$2010,"05",'LAC 102_Wkst'!$N$7:$N$2010,"P1")+SUMIFS('LAC 102_Wkst'!$AF$7:$AF$2010,'LAC 102_Wkst'!$D$7:$D$2010,$C$7,'LAC 102_Wkst'!$I$7:$I$2010,$C$9,'LAC 102_Wkst'!$E$7:$E$2010,$C98,'LAC 102_Wkst'!$G$7:$G$2010,$D98,'LAC 102_Wkst'!$L$7:$L$2010,"06",'LAC 102_Wkst'!$N$7:$N$2010,"P1")</f>
        <v>0</v>
      </c>
      <c r="T98" s="410">
        <f>SUMIFS('LAC 102_Wkst'!$Q$7:$Q$2010,'LAC 102_Wkst'!$D$7:$D$2010,$C$7,'LAC 102_Wkst'!$I$7:$I$2010,$C$9,'LAC 102_Wkst'!$E$7:$E$2010,$C98,'LAC 102_Wkst'!$G$7:$G$2010,$D98,'LAC 102_Wkst'!$L$7:$L$2010,"05",'LAC 102_Wkst'!$N$7:$N$2010,"P2")+SUMIFS('LAC 102_Wkst'!$Q$7:$Q$2010,'LAC 102_Wkst'!$D$7:$D$2010,$C$7,'LAC 102_Wkst'!$I$7:$I$2010,$C$9,'LAC 102_Wkst'!$E$7:$E$2010,$C98,'LAC 102_Wkst'!$G$7:$G$2010,$D98,'LAC 102_Wkst'!$L$7:$L$2010,"06",'LAC 102_Wkst'!$N$7:$N$2010,"P2")+SUMIFS('LAC 102_Wkst'!$Q$7:$Q$2010,'LAC 102_Wkst'!$D$7:$D$2010,$C$7,'LAC 102_Wkst'!$I$7:$I$2010,$C$9,'LAC 102_Wkst'!$E$7:$E$2010,$C98,'LAC 102_Wkst'!$G$7:$G$2010,$D98,'LAC 102_Wkst'!$L$7:$L$2010,"05",'LAC 102_Wkst'!$N$7:$N$2010,"P3")+SUMIFS('LAC 102_Wkst'!$Q$7:$Q$2010,'LAC 102_Wkst'!$D$7:$D$2010,$C$7,'LAC 102_Wkst'!$I$7:$I$2010,$C$9,'LAC 102_Wkst'!$E$7:$E$2010,$C98,'LAC 102_Wkst'!$G$7:$G$2010,$D98,'LAC 102_Wkst'!$L$7:$L$2010,"06",'LAC 102_Wkst'!$N$7:$N$2010,"P3")</f>
        <v>0</v>
      </c>
      <c r="U98" s="411">
        <f>SUMIFS('LAC 102_Wkst'!$AF$7:$AF$2010,'LAC 102_Wkst'!$D$7:$D$2010,$C$7,'LAC 102_Wkst'!$I$7:$I$2010,$C$9,'LAC 102_Wkst'!$E$7:$E$2010,$C98,'LAC 102_Wkst'!$G$7:$G$2010,$D98,'LAC 102_Wkst'!$L$7:$L$2010,"05",'LAC 102_Wkst'!$N$7:$N$2010,"P2")+SUMIFS('LAC 102_Wkst'!$AF$7:$AF$2010,'LAC 102_Wkst'!$D$7:$D$2010,$C$7,'LAC 102_Wkst'!$I$7:$I$2010,$C$9,'LAC 102_Wkst'!$E$7:$E$2010,$C98,'LAC 102_Wkst'!$G$7:$G$2010,$D98,'LAC 102_Wkst'!$L$7:$L$2010,"06",'LAC 102_Wkst'!$N$7:$N$2010,"P2")+SUMIFS('LAC 102_Wkst'!$AF$7:$AF$2010,'LAC 102_Wkst'!$D$7:$D$2010,$C$7,'LAC 102_Wkst'!$I$7:$I$2010,$C$9,'LAC 102_Wkst'!$E$7:$E$2010,$C98,'LAC 102_Wkst'!$G$7:$G$2010,$D98,'LAC 102_Wkst'!$L$7:$L$2010,"05",'LAC 102_Wkst'!$N$7:$N$2010,"P3")+SUMIFS('LAC 102_Wkst'!$AF$7:$AF$2010,'LAC 102_Wkst'!$D$7:$D$2010,$C$7,'LAC 102_Wkst'!$I$7:$I$2010,$C$9,'LAC 102_Wkst'!$E$7:$E$2010,$C98,'LAC 102_Wkst'!$G$7:$G$2010,$D98,'LAC 102_Wkst'!$L$7:$L$2010,"06",'LAC 102_Wkst'!$N$7:$N$2010,"P3")</f>
        <v>0</v>
      </c>
      <c r="V98" s="410">
        <f>SUMIFS('LAC 102_Wkst'!$Q$7:$Q$2010,'LAC 102_Wkst'!$D$7:$D$2010,$C$7,'LAC 102_Wkst'!$I$7:$I$2010,$C$9,'LAC 102_Wkst'!$E$7:$E$2010,$C98,'LAC 102_Wkst'!$G$7:$G$2010,$D98,'LAC 102_Wkst'!$L$7:$L$2010,"05",'LAC 102_Wkst'!$N$7:$N$2010,"P4")+SUMIFS('LAC 102_Wkst'!$Q$7:$Q$2010,'LAC 102_Wkst'!$D$7:$D$2010,$C$7,'LAC 102_Wkst'!$I$7:$I$2010,$C$9,'LAC 102_Wkst'!$E$7:$E$2010,$C98,'LAC 102_Wkst'!$G$7:$G$2010,$D98,'LAC 102_Wkst'!$L$7:$L$2010,"06",'LAC 102_Wkst'!$N$7:$N$2010,"P4")</f>
        <v>0</v>
      </c>
      <c r="W98" s="411">
        <f>SUMIFS('LAC 102_Wkst'!$AF$7:$AF$2010,'LAC 102_Wkst'!$D$7:$D$2010,$C$7,'LAC 102_Wkst'!$I$7:$I$2010,$C$9,'LAC 102_Wkst'!$E$7:$E$2010,$C98,'LAC 102_Wkst'!$G$7:$G$2010,$D98,'LAC 102_Wkst'!$L$7:$L$2010,"05",'LAC 102_Wkst'!$N$7:$N$2010,"P4")+SUMIFS('LAC 102_Wkst'!$AF$7:$AF$2010,'LAC 102_Wkst'!$D$7:$D$2010,$C$7,'LAC 102_Wkst'!$I$7:$I$2010,$C$9,'LAC 102_Wkst'!$E$7:$E$2010,$C98,'LAC 102_Wkst'!$G$7:$G$2010,$D98,'LAC 102_Wkst'!$L$7:$L$2010,"06",'LAC 102_Wkst'!$N$7:$N$2010,"P4")</f>
        <v>0</v>
      </c>
      <c r="X98" s="410">
        <f>SUMIFS('LAC 102_Wkst'!$Q$7:$Q$2010,'LAC 102_Wkst'!$D$7:$D$2010,$C$7,'LAC 102_Wkst'!$I$7:$I$2010,$C$9,'LAC 102_Wkst'!$E$7:$E$2010,$C98,'LAC 102_Wkst'!$G$7:$G$2010,$D98,'LAC 102_Wkst'!$L$7:$L$2010,"05",'LAC 102_Wkst'!$N$7:$N$2010,"P5")+SUMIFS('LAC 102_Wkst'!$Q$7:$Q$2010,'LAC 102_Wkst'!$D$7:$D$2010,$C$7,'LAC 102_Wkst'!$I$7:$I$2010,$C$9,'LAC 102_Wkst'!$E$7:$E$2010,$C98,'LAC 102_Wkst'!$G$7:$G$2010,$D98,'LAC 102_Wkst'!$L$7:$L$2010,"06",'LAC 102_Wkst'!$N$7:$N$2010,"P5")</f>
        <v>0</v>
      </c>
      <c r="Y98" s="411">
        <f>SUMIFS('LAC 102_Wkst'!$AF$7:$AF$2010,'LAC 102_Wkst'!$D$7:$D$2010,$C$7,'LAC 102_Wkst'!$I$7:$I$2010,$C$9,'LAC 102_Wkst'!$E$7:$E$2010,$C98,'LAC 102_Wkst'!$G$7:$G$2010,$D98,'LAC 102_Wkst'!$L$7:$L$2010,"05",'LAC 102_Wkst'!$N$7:$N$2010,"P5")+SUMIFS('LAC 102_Wkst'!$AF$7:$AF$2010,'LAC 102_Wkst'!$D$7:$D$2010,$C$7,'LAC 102_Wkst'!$I$7:$I$2010,$C$9,'LAC 102_Wkst'!$E$7:$E$2010,$C98,'LAC 102_Wkst'!$G$7:$G$2010,$D98,'LAC 102_Wkst'!$L$7:$L$2010,"06",'LAC 102_Wkst'!$N$7:$N$2010,"P5")</f>
        <v>0</v>
      </c>
      <c r="Z98" s="410">
        <f>SUMIFS('LAC 102_Wkst'!$Q$7:$Q$2010,'LAC 102_Wkst'!$D$7:$D$2010,$C$7,'LAC 102_Wkst'!$I$7:$I$2010,$C$9,'LAC 102_Wkst'!$E$7:$E$2010,$C98,'LAC 102_Wkst'!$G$7:$G$2010,$D98,'LAC 102_Wkst'!$L$7:$L$2010,"07",'LAC 102_Wkst'!$N$7:$N$2010,"P1")+SUMIFS('LAC 102_Wkst'!$Q$7:$Q$2010,'LAC 102_Wkst'!$D$7:$D$2010,$C$7,'LAC 102_Wkst'!$I$7:$I$2010,$C$9,'LAC 102_Wkst'!$E$7:$E$2010,$C98,'LAC 102_Wkst'!$G$7:$G$2010,$D98,'LAC 102_Wkst'!$L$7:$L$2010,"07",'LAC 102_Wkst'!$N$7:$N$2010,"P2")+SUMIFS('LAC 102_Wkst'!$Q$7:$Q$2010,'LAC 102_Wkst'!$D$7:$D$2010,$C$7,'LAC 102_Wkst'!$I$7:$I$2010,$C$9,'LAC 102_Wkst'!$E$7:$E$2010,$C98,'LAC 102_Wkst'!$G$7:$G$2010,$D98,'LAC 102_Wkst'!$L$7:$L$2010,"07",'LAC 102_Wkst'!$N$7:$N$2010,"P3")</f>
        <v>0</v>
      </c>
      <c r="AA98" s="411">
        <f>SUMIFS('LAC 102_Wkst'!$AF$7:$AF$2010,'LAC 102_Wkst'!$D$7:$D$2010,$C$7,'LAC 102_Wkst'!$I$7:$I$2010,$C$9,'LAC 102_Wkst'!$E$7:$E$2010,$C98,'LAC 102_Wkst'!$G$7:$G$2010,$D98,'LAC 102_Wkst'!$L$7:$L$2010,"07",'LAC 102_Wkst'!$N$7:$N$2010,"P1")+SUMIFS('LAC 102_Wkst'!$AF$7:$AF$2010,'LAC 102_Wkst'!$D$7:$D$2010,$C$7,'LAC 102_Wkst'!$I$7:$I$2010,$C$9,'LAC 102_Wkst'!$E$7:$E$2010,$C98,'LAC 102_Wkst'!$G$7:$G$2010,$D98,'LAC 102_Wkst'!$L$7:$L$2010,"07",'LAC 102_Wkst'!$N$7:$N$2010,"P2")+SUMIFS('LAC 102_Wkst'!$AF$7:$AF$2010,'LAC 102_Wkst'!$D$7:$D$2010,$C$7,'LAC 102_Wkst'!$I$7:$I$2010,$C$9,'LAC 102_Wkst'!$E$7:$E$2010,$C98,'LAC 102_Wkst'!$G$7:$G$2010,$D98,'LAC 102_Wkst'!$L$7:$L$2010,"07",'LAC 102_Wkst'!$N$7:$N$2010,"P3")</f>
        <v>0</v>
      </c>
      <c r="AB98" s="410">
        <f>SUMIFS('LAC 102_Wkst'!$Q$7:$Q$2010,'LAC 102_Wkst'!$D$7:$D$2010,$C$7,'LAC 102_Wkst'!$I$7:$I$2010,$C$9,'LAC 102_Wkst'!$E$7:$E$2010,$C98,'LAC 102_Wkst'!$G$7:$G$2010,$D98,'LAC 102_Wkst'!$L$7:$L$2010,"07",'LAC 102_Wkst'!$N$7:$N$2010,"P4")</f>
        <v>0</v>
      </c>
      <c r="AC98" s="411">
        <f>SUMIFS('LAC 102_Wkst'!$AF$7:$AF$2010,'LAC 102_Wkst'!$D$7:$D$2010,$C$7,'LAC 102_Wkst'!$I$7:$I$2010,$C$9,'LAC 102_Wkst'!$E$7:$E$2010,$C98,'LAC 102_Wkst'!$G$7:$G$2010,$D98,'LAC 102_Wkst'!$L$7:$L$2010,"07",'LAC 102_Wkst'!$N$7:$N$2010,"P4")</f>
        <v>0</v>
      </c>
      <c r="AD98" s="410">
        <f>SUMIFS('LAC 102_Wkst'!$Q$7:$Q$2010,'LAC 102_Wkst'!$D$7:$D$2010,$C$7,'LAC 102_Wkst'!$I$7:$I$2010,$C$9,'LAC 102_Wkst'!$E$7:$E$2010,$C98,'LAC 102_Wkst'!$G$7:$G$2010,$D98,'LAC 102_Wkst'!$L$7:$L$2010,"07",'LAC 102_Wkst'!$N$7:$N$2010,"P5")</f>
        <v>0</v>
      </c>
      <c r="AE98" s="411">
        <f>SUMIFS('LAC 102_Wkst'!$AF$7:$AF$2010,'LAC 102_Wkst'!$D$7:$D$2010,$C$7,'LAC 102_Wkst'!$I$7:$I$2010,$C$9,'LAC 102_Wkst'!$E$7:$E$2010,$C98,'LAC 102_Wkst'!$G$7:$G$2010,$D98,'LAC 102_Wkst'!$L$7:$L$2010,"07",'LAC 102_Wkst'!$N$7:$N$2010,"P5")</f>
        <v>0</v>
      </c>
      <c r="AF98" s="410">
        <f>SUMIFS('LAC 102_Wkst'!$Q$7:$Q$2010,'LAC 102_Wkst'!$D$7:$D$2010,$C$7,'LAC 102_Wkst'!$I$7:$I$2010,$C$9,'LAC 102_Wkst'!$E$7:$E$2010,$C98,'LAC 102_Wkst'!$G$7:$G$2010,$D98,'LAC 102_Wkst'!$L$7:$L$2010,"08",'LAC 102_Wkst'!$N$7:$N$2010,"P1")+SUMIFS('LAC 102_Wkst'!$Q$7:$Q$2010,'LAC 102_Wkst'!$D$7:$D$2010,$C$7,'LAC 102_Wkst'!$I$7:$I$2010,$C$9,'LAC 102_Wkst'!$E$7:$E$2010,$C98,'LAC 102_Wkst'!$G$7:$G$2010,$D98,'LAC 102_Wkst'!$L$7:$L$2010,"08",'LAC 102_Wkst'!$N$7:$N$2010,"P2")+SUMIFS('LAC 102_Wkst'!$Q$7:$Q$2010,'LAC 102_Wkst'!$D$7:$D$2010,$C$7,'LAC 102_Wkst'!$I$7:$I$2010,$C$9,'LAC 102_Wkst'!$E$7:$E$2010,$C98,'LAC 102_Wkst'!$G$7:$G$2010,$D98,'LAC 102_Wkst'!$L$7:$L$2010,"08",'LAC 102_Wkst'!$N$7:$N$2010,"P3")</f>
        <v>0</v>
      </c>
      <c r="AG98" s="411">
        <f>SUMIFS('LAC 102_Wkst'!$AF$7:$AF$2010,'LAC 102_Wkst'!$D$7:$D$2010,$C$7,'LAC 102_Wkst'!$I$7:$I$2010,$C$9,'LAC 102_Wkst'!$E$7:$E$2010,$C98,'LAC 102_Wkst'!$G$7:$G$2010,$D98,'LAC 102_Wkst'!$L$7:$L$2010,"08",'LAC 102_Wkst'!$N$7:$N$2010,"P1")+SUMIFS('LAC 102_Wkst'!$AF$7:$AF$2010,'LAC 102_Wkst'!$D$7:$D$2010,$C$7,'LAC 102_Wkst'!$I$7:$I$2010,$C$9,'LAC 102_Wkst'!$E$7:$E$2010,$C98,'LAC 102_Wkst'!$G$7:$G$2010,$D98,'LAC 102_Wkst'!$L$7:$L$2010,"08",'LAC 102_Wkst'!$N$7:$N$2010,"P2")+SUMIFS('LAC 102_Wkst'!$AF$7:$AF$2010,'LAC 102_Wkst'!$D$7:$D$2010,$C$7,'LAC 102_Wkst'!$I$7:$I$2010,$C$9,'LAC 102_Wkst'!$E$7:$E$2010,$C98,'LAC 102_Wkst'!$G$7:$G$2010,$D98,'LAC 102_Wkst'!$L$7:$L$2010,"08",'LAC 102_Wkst'!$N$7:$N$2010,"P3")</f>
        <v>0</v>
      </c>
      <c r="AH98" s="410">
        <f>SUMIFS('LAC 102_Wkst'!$Q$7:$Q$2010,'LAC 102_Wkst'!$D$7:$D$2010,$C$7,'LAC 102_Wkst'!$I$7:$I$2010,$C$9,'LAC 102_Wkst'!$E$7:$E$2010,$C98,'LAC 102_Wkst'!$G$7:$G$2010,$D98,'LAC 102_Wkst'!$L$7:$L$2010,"08",'LAC 102_Wkst'!$N$7:$N$2010,"P4")</f>
        <v>0</v>
      </c>
      <c r="AI98" s="411">
        <f>SUMIFS('LAC 102_Wkst'!$AF$7:$AF$2010,'LAC 102_Wkst'!$D$7:$D$2010,$C$7,'LAC 102_Wkst'!$I$7:$I$2010,$C$9,'LAC 102_Wkst'!$E$7:$E$2010,$C98,'LAC 102_Wkst'!$G$7:$G$2010,$D98,'LAC 102_Wkst'!$L$7:$L$2010,"08",'LAC 102_Wkst'!$N$7:$N$2010,"P4")</f>
        <v>0</v>
      </c>
      <c r="AJ98" s="410">
        <f>SUMIFS('LAC 102_Wkst'!$Q$7:$Q$2010,'LAC 102_Wkst'!$D$7:$D$2010,$C$7,'LAC 102_Wkst'!$I$7:$I$2010,$C$9,'LAC 102_Wkst'!$E$7:$E$2010,$C98,'LAC 102_Wkst'!$G$7:$G$2010,$D98,'LAC 102_Wkst'!$L$7:$L$2010,"08",'LAC 102_Wkst'!$N$7:$N$2010,"P5")</f>
        <v>0</v>
      </c>
      <c r="AK98" s="411">
        <f>SUMIFS('LAC 102_Wkst'!$AF$7:$AF$2010,'LAC 102_Wkst'!$D$7:$D$2010,$C$7,'LAC 102_Wkst'!$I$7:$I$2010,$C$9,'LAC 102_Wkst'!$E$7:$E$2010,$C98,'LAC 102_Wkst'!$G$7:$G$2010,$D98,'LAC 102_Wkst'!$L$7:$L$2010,"08",'LAC 102_Wkst'!$N$7:$N$2010,"P5")</f>
        <v>0</v>
      </c>
      <c r="AL98" s="410">
        <f>SUMIFS('LAC 102_Wkst'!$Q$7:$Q$2010,'LAC 102_Wkst'!$D$7:$D$2010,$C$7,'LAC 102_Wkst'!$I$7:$I$2010,$C$9,'LAC 102_Wkst'!$E$7:$E$2010,$C98,'LAC 102_Wkst'!$G$7:$G$2010,$D98,'LAC 102_Wkst'!$L$7:$L$2010,"09",'LAC 102_Wkst'!$N$7:$N$2010,"P1")+SUMIFS('LAC 102_Wkst'!$Q$7:$Q$2010,'LAC 102_Wkst'!$D$7:$D$2010,$C$7,'LAC 102_Wkst'!$I$7:$I$2010,$C$9,'LAC 102_Wkst'!$E$7:$E$2010,$C98,'LAC 102_Wkst'!$G$7:$G$2010,$D98,'LAC 102_Wkst'!$L$7:$L$2010,"09",'LAC 102_Wkst'!$N$7:$N$2010,"P2")+SUMIFS('LAC 102_Wkst'!$Q$7:$Q$2010,'LAC 102_Wkst'!$D$7:$D$2010,$C$7,'LAC 102_Wkst'!$I$7:$I$2010,$C$9,'LAC 102_Wkst'!$E$7:$E$2010,$C98,'LAC 102_Wkst'!$G$7:$G$2010,$D98,'LAC 102_Wkst'!$L$7:$L$2010,"09",'LAC 102_Wkst'!$N$7:$N$2010,"P3")+SUMIFS('LAC 102_Wkst'!$Q$7:$Q$2010,'LAC 102_Wkst'!$D$7:$D$2010,$C$7,'LAC 102_Wkst'!$I$7:$I$2010,$C$9,'LAC 102_Wkst'!$E$7:$E$2010,$C98,'LAC 102_Wkst'!$G$7:$G$2010,$D98,'LAC 102_Wkst'!$L$7:$L$2010,"09",'LAC 102_Wkst'!$N$7:$N$2010,"P4")</f>
        <v>0</v>
      </c>
      <c r="AM98" s="411">
        <f>SUMIFS('LAC 102_Wkst'!$AF$7:$AF$2010,'LAC 102_Wkst'!$D$7:$D$2010,$C$7,'LAC 102_Wkst'!$I$7:$I$2010,$C$9,'LAC 102_Wkst'!$E$7:$E$2010,$C98,'LAC 102_Wkst'!$G$7:$G$2010,$D98,'LAC 102_Wkst'!$L$7:$L$2010,"09",'LAC 102_Wkst'!$N$7:$N$2010,"P1")+SUMIFS('LAC 102_Wkst'!$AF$7:$AF$2010,'LAC 102_Wkst'!$D$7:$D$2010,$C$7,'LAC 102_Wkst'!$I$7:$I$2010,$C$9,'LAC 102_Wkst'!$E$7:$E$2010,$C98,'LAC 102_Wkst'!$G$7:$G$2010,$D98,'LAC 102_Wkst'!$L$7:$L$2010,"09",'LAC 102_Wkst'!$N$7:$N$2010,"P2")+SUMIFS('LAC 102_Wkst'!$AF$7:$AF$2010,'LAC 102_Wkst'!$D$7:$D$2010,$C$7,'LAC 102_Wkst'!$I$7:$I$2010,$C$9,'LAC 102_Wkst'!$E$7:$E$2010,$C98,'LAC 102_Wkst'!$G$7:$G$2010,$D98,'LAC 102_Wkst'!$L$7:$L$2010,"09",'LAC 102_Wkst'!$N$7:$N$2010,"P3")+SUMIFS('LAC 102_Wkst'!$AF$7:$AF$2010,'LAC 102_Wkst'!$D$7:$D$2010,$C$7,'LAC 102_Wkst'!$I$7:$I$2010,$C$9,'LAC 102_Wkst'!$E$7:$E$2010,$C98,'LAC 102_Wkst'!$G$7:$G$2010,$D98,'LAC 102_Wkst'!$L$7:$L$2010,"09",'LAC 102_Wkst'!$N$7:$N$2010,"P4")</f>
        <v>0</v>
      </c>
      <c r="AN98" s="410">
        <f>SUMIFS('LAC 102_Wkst'!$Q$7:$Q$2010,'LAC 102_Wkst'!$D$7:$D$2010,$C$7,'LAC 102_Wkst'!$I$7:$I$2010,$C$9,'LAC 102_Wkst'!$E$7:$E$2010,$C98,'LAC 102_Wkst'!$G$7:$G$2010,$D98,'LAC 102_Wkst'!$L$7:$L$2010,"09",'LAC 102_Wkst'!$N$7:$N$2010,"P5")</f>
        <v>0</v>
      </c>
      <c r="AO98" s="411">
        <f>SUMIFS('LAC 102_Wkst'!$AF$7:$AF$2010,'LAC 102_Wkst'!$D$7:$D$2010,$C$7,'LAC 102_Wkst'!$I$7:$I$2010,$C$9,'LAC 102_Wkst'!$E$7:$E$2010,$C98,'LAC 102_Wkst'!$G$7:$G$2010,$D98,'LAC 102_Wkst'!$L$7:$L$2010,"09",'LAC 102_Wkst'!$N$7:$N$2010,"P5")</f>
        <v>0</v>
      </c>
      <c r="AP98" s="410">
        <f>SUMIFS('LAC 102_Wkst'!$Q$7:$Q$2010,'LAC 102_Wkst'!$D$7:$D$2010,$C$7,'LAC 102_Wkst'!$I$7:$I$2010,$C$9,'LAC 102_Wkst'!$E$7:$E$2010,$C98,'LAC 102_Wkst'!$G$7:$G$2010,$D98,'LAC 102_Wkst'!$L$7:$L$2010,"10",'LAC 102_Wkst'!$N$7:$N$2010,"P1")+SUMIFS('LAC 102_Wkst'!$Q$7:$Q$2010,'LAC 102_Wkst'!$D$7:$D$2010,$C$7,'LAC 102_Wkst'!$I$7:$I$2010,$C$9,'LAC 102_Wkst'!$E$7:$E$2010,$C98,'LAC 102_Wkst'!$G$7:$G$2010,$D98,'LAC 102_Wkst'!$L$7:$L$2010,"10",'LAC 102_Wkst'!$N$7:$N$2010,"P2")+SUMIFS('LAC 102_Wkst'!$Q$7:$Q$2010,'LAC 102_Wkst'!$D$7:$D$2010,$C$7,'LAC 102_Wkst'!$I$7:$I$2010,$C$9,'LAC 102_Wkst'!$E$7:$E$2010,$C98,'LAC 102_Wkst'!$G$7:$G$2010,$D98,'LAC 102_Wkst'!$L$7:$L$2010,"10",'LAC 102_Wkst'!$N$7:$N$2010,"P3")+SUMIFS('LAC 102_Wkst'!$Q$7:$Q$2010,'LAC 102_Wkst'!$D$7:$D$2010,$C$7,'LAC 102_Wkst'!$I$7:$I$2010,$C$9,'LAC 102_Wkst'!$E$7:$E$2010,$C98,'LAC 102_Wkst'!$G$7:$G$2010,$D98,'LAC 102_Wkst'!$L$7:$L$2010,"10",'LAC 102_Wkst'!$N$7:$N$2010,"P4")</f>
        <v>0</v>
      </c>
      <c r="AQ98" s="411">
        <f>SUMIFS('LAC 102_Wkst'!$AF$7:$AF$2010,'LAC 102_Wkst'!$D$7:$D$2010,$C$7,'LAC 102_Wkst'!$I$7:$I$2010,$C$9,'LAC 102_Wkst'!$E$7:$E$2010,$C98,'LAC 102_Wkst'!$G$7:$G$2010,$D98,'LAC 102_Wkst'!$L$7:$L$2010,"10",'LAC 102_Wkst'!$N$7:$N$2010,"P1")+SUMIFS('LAC 102_Wkst'!$AF$7:$AF$2010,'LAC 102_Wkst'!$D$7:$D$2010,$C$7,'LAC 102_Wkst'!$I$7:$I$2010,$C$9,'LAC 102_Wkst'!$E$7:$E$2010,$C98,'LAC 102_Wkst'!$G$7:$G$2010,$D98,'LAC 102_Wkst'!$L$7:$L$2010,"10",'LAC 102_Wkst'!$N$7:$N$2010,"P2")+SUMIFS('LAC 102_Wkst'!$AF$7:$AF$2010,'LAC 102_Wkst'!$D$7:$D$2010,$C$7,'LAC 102_Wkst'!$I$7:$I$2010,$C$9,'LAC 102_Wkst'!$E$7:$E$2010,$C98,'LAC 102_Wkst'!$G$7:$G$2010,$D98,'LAC 102_Wkst'!$L$7:$L$2010,"10",'LAC 102_Wkst'!$N$7:$N$2010,"P3")+SUMIFS('LAC 102_Wkst'!$AF$7:$AF$2010,'LAC 102_Wkst'!$D$7:$D$2010,$C$7,'LAC 102_Wkst'!$I$7:$I$2010,$C$9,'LAC 102_Wkst'!$E$7:$E$2010,$C98,'LAC 102_Wkst'!$G$7:$G$2010,$D98,'LAC 102_Wkst'!$L$7:$L$2010,"10",'LAC 102_Wkst'!$N$7:$N$2010,"P4")</f>
        <v>0</v>
      </c>
      <c r="AR98" s="410">
        <f>SUMIFS('LAC 102_Wkst'!$Q$7:$Q$2010,'LAC 102_Wkst'!$D$7:$D$2010,$C$7,'LAC 102_Wkst'!$I$7:$I$2010,$C$9,'LAC 102_Wkst'!$E$7:$E$2010,$C98,'LAC 102_Wkst'!$G$7:$G$2010,$D98,'LAC 102_Wkst'!$L$7:$L$2010,"10",'LAC 102_Wkst'!$N$7:$N$2010,"P5")</f>
        <v>0</v>
      </c>
      <c r="AS98" s="411">
        <f>SUMIFS('LAC 102_Wkst'!$AF$7:$AF$2010,'LAC 102_Wkst'!$D$7:$D$2010,$C$7,'LAC 102_Wkst'!$I$7:$I$2010,$C$9,'LAC 102_Wkst'!$E$7:$E$2010,$C98,'LAC 102_Wkst'!$G$7:$G$2010,$D98,'LAC 102_Wkst'!$L$7:$L$2010,"10",'LAC 102_Wkst'!$N$7:$N$2010,"P5")</f>
        <v>0</v>
      </c>
      <c r="AT98" s="410">
        <f>SUMIFS('LAC 102_Wkst'!$Q$7:$Q$2010,'LAC 102_Wkst'!$D$7:$D$2010,$C$7,'LAC 102_Wkst'!$I$7:$I$2010,$C$9,'LAC 102_Wkst'!$E$7:$E$2010,$C98,'LAC 102_Wkst'!$G$7:$G$2010,$D98,'LAC 102_Wkst'!$L$7:$L$2010,"11",'LAC 102_Wkst'!$N$7:$N$2010,"P1")+SUMIFS('LAC 102_Wkst'!$Q$7:$Q$2010,'LAC 102_Wkst'!$D$7:$D$2010,$C$7,'LAC 102_Wkst'!$I$7:$I$2010,$C$9,'LAC 102_Wkst'!$E$7:$E$2010,$C98,'LAC 102_Wkst'!$G$7:$G$2010,$D98,'LAC 102_Wkst'!$L$7:$L$2010,"12",'LAC 102_Wkst'!$N$7:$N$2010,"P1")</f>
        <v>0</v>
      </c>
      <c r="AU98" s="411">
        <f>SUMIFS('LAC 102_Wkst'!$Q$7:$Q$2010,'LAC 102_Wkst'!$D$7:$D$2010,$C$7,'LAC 102_Wkst'!$I$7:$I$2010,$C$9,'LAC 102_Wkst'!$E$7:$E$2010,$C98,'LAC 102_Wkst'!$G$7:$G$2010,$D98,'LAC 102_Wkst'!$L$7:$L$2010,"13",'LAC 102_Wkst'!$N$7:$N$2010,"P5")</f>
        <v>0</v>
      </c>
      <c r="AV98" s="410">
        <f>SUMIFS('LAC 102_Wkst'!$Q$7:$Q$2010,'LAC 102_Wkst'!$D$7:$D$2010,$C$7,'LAC 102_Wkst'!$I$7:$I$2010,$C$9,'LAC 102_Wkst'!$E$7:$E$2010,$C98,'LAC 102_Wkst'!$G$7:$G$2010,$D98,'LAC 102_Wkst'!$L$7:$L$2010,"11",'LAC 102_Wkst'!$N$7:$N$2010,"P2")+SUMIFS('LAC 102_Wkst'!$Q$7:$Q$2010,'LAC 102_Wkst'!$D$7:$D$2010,$C$7,'LAC 102_Wkst'!$I$7:$I$2010,$C$9,'LAC 102_Wkst'!$E$7:$E$2010,$C98,'LAC 102_Wkst'!$G$7:$G$2010,$D98,'LAC 102_Wkst'!$L$7:$L$2010,"12",'LAC 102_Wkst'!$N$7:$N$2010,"P2")+SUMIFS('LAC 102_Wkst'!$Q$7:$Q$2010,'LAC 102_Wkst'!$D$7:$D$2010,$C$7,'LAC 102_Wkst'!$I$7:$I$2010,$C$9,'LAC 102_Wkst'!$E$7:$E$2010,$C98,'LAC 102_Wkst'!$G$7:$G$2010,$D98,'LAC 102_Wkst'!$L$7:$L$2010,"11",'LAC 102_Wkst'!$N$7:$N$2010,"P3")+SUMIFS('LAC 102_Wkst'!$Q$7:$Q$2010,'LAC 102_Wkst'!$D$7:$D$2010,$C$7,'LAC 102_Wkst'!$I$7:$I$2010,$C$9,'LAC 102_Wkst'!$E$7:$E$2010,$C98,'LAC 102_Wkst'!$G$7:$G$2010,$D98,'LAC 102_Wkst'!$L$7:$L$2010,"12",'LAC 102_Wkst'!$N$7:$N$2010,"P3")</f>
        <v>0</v>
      </c>
      <c r="AW98" s="411">
        <f>SUMIFS('LAC 102_Wkst'!$AF$7:$AF$2010,'LAC 102_Wkst'!$D$7:$D$2010,$C$7,'LAC 102_Wkst'!$I$7:$I$2010,$C$9,'LAC 102_Wkst'!$E$7:$E$2010,$C98,'LAC 102_Wkst'!$G$7:$G$2010,$D98,'LAC 102_Wkst'!$L$7:$L$2010,"11",'LAC 102_Wkst'!$N$7:$N$2010,"P2")+SUMIFS('LAC 102_Wkst'!$AF$7:$AF$2010,'LAC 102_Wkst'!$D$7:$D$2010,$C$7,'LAC 102_Wkst'!$I$7:$I$2010,$C$9,'LAC 102_Wkst'!$E$7:$E$2010,$C98,'LAC 102_Wkst'!$G$7:$G$2010,$D98,'LAC 102_Wkst'!$L$7:$L$2010,"12",'LAC 102_Wkst'!$N$7:$N$2010,"P2")+SUMIFS('LAC 102_Wkst'!$AF$7:$AF$2010,'LAC 102_Wkst'!$D$7:$D$2010,$C$7,'LAC 102_Wkst'!$I$7:$I$2010,$C$9,'LAC 102_Wkst'!$E$7:$E$2010,$C98,'LAC 102_Wkst'!$G$7:$G$2010,$D98,'LAC 102_Wkst'!$L$7:$L$2010,"11",'LAC 102_Wkst'!$N$7:$N$2010,"P3")+SUMIFS('LAC 102_Wkst'!$AF$7:$AF$2010,'LAC 102_Wkst'!$D$7:$D$2010,$C$7,'LAC 102_Wkst'!$I$7:$I$2010,$C$9,'LAC 102_Wkst'!$E$7:$E$2010,$C98,'LAC 102_Wkst'!$G$7:$G$2010,$D98,'LAC 102_Wkst'!$L$7:$L$2010,"12",'LAC 102_Wkst'!$N$7:$N$2010,"P3")</f>
        <v>0</v>
      </c>
      <c r="AX98" s="410">
        <f>SUMIFS('LAC 102_Wkst'!$Q$7:$Q$2010,'LAC 102_Wkst'!$D$7:$D$2010,$C$7,'LAC 102_Wkst'!$I$7:$I$2010,$C$9,'LAC 102_Wkst'!$E$7:$E$2010,$C98,'LAC 102_Wkst'!$G$7:$G$2010,$D98,'LAC 102_Wkst'!$L$7:$L$2010,"11",'LAC 102_Wkst'!$N$7:$N$2010,"P4")+SUMIFS('LAC 102_Wkst'!$Q$7:$Q$2010,'LAC 102_Wkst'!$D$7:$D$2010,$C$7,'LAC 102_Wkst'!$I$7:$I$2010,$C$9,'LAC 102_Wkst'!$E$7:$E$2010,$C98,'LAC 102_Wkst'!$G$7:$G$2010,$D98,'LAC 102_Wkst'!$L$7:$L$2010,"12",'LAC 102_Wkst'!$N$7:$N$2010,"P4")</f>
        <v>0</v>
      </c>
      <c r="AY98" s="411">
        <f>SUMIFS('LAC 102_Wkst'!$AF$7:$AF$2010,'LAC 102_Wkst'!$D$7:$D$2010,$C$7,'LAC 102_Wkst'!$I$7:$I$2010,$C$9,'LAC 102_Wkst'!$E$7:$E$2010,$C98,'LAC 102_Wkst'!$G$7:$G$2010,$D98,'LAC 102_Wkst'!$L$7:$L$2010,"11",'LAC 102_Wkst'!$N$7:$N$2010,"P4")+SUMIFS('LAC 102_Wkst'!$AF$7:$AF$2010,'LAC 102_Wkst'!$D$7:$D$2010,$C$7,'LAC 102_Wkst'!$I$7:$I$2010,$C$9,'LAC 102_Wkst'!$E$7:$E$2010,$C98,'LAC 102_Wkst'!$G$7:$G$2010,$D98,'LAC 102_Wkst'!$L$7:$L$2010,"12",'LAC 102_Wkst'!$N$7:$N$2010,"P4")</f>
        <v>0</v>
      </c>
      <c r="AZ98" s="410">
        <f>SUMIFS('LAC 102_Wkst'!$Q$7:$Q$2010,'LAC 102_Wkst'!$D$7:$D$2010,$C$7,'LAC 102_Wkst'!$I$7:$I$2010,$C$9,'LAC 102_Wkst'!$E$7:$E$2010,$C98,'LAC 102_Wkst'!$G$7:$G$2010,$D98,'LAC 102_Wkst'!$L$7:$L$2010,"11",'LAC 102_Wkst'!$N$7:$N$2010,"P5")+SUMIFS('LAC 102_Wkst'!$Q$7:$Q$2010,'LAC 102_Wkst'!$D$7:$D$2010,$C$7,'LAC 102_Wkst'!$I$7:$I$2010,$C$9,'LAC 102_Wkst'!$E$7:$E$2010,$C98,'LAC 102_Wkst'!$G$7:$G$2010,$D98,'LAC 102_Wkst'!$L$7:$L$2010,"12",'LAC 102_Wkst'!$N$7:$N$2010,"P5")</f>
        <v>0</v>
      </c>
      <c r="BA98" s="411">
        <f>SUMIFS('LAC 102_Wkst'!$AF$7:$AF$2010,'LAC 102_Wkst'!$D$7:$D$2010,$C$7,'LAC 102_Wkst'!$I$7:$I$2010,$C$9,'LAC 102_Wkst'!$E$7:$E$2010,$C98,'LAC 102_Wkst'!$G$7:$G$2010,$D98,'LAC 102_Wkst'!$L$7:$L$2010,"11",'LAC 102_Wkst'!$N$7:$N$2010,"P5")+SUMIFS('LAC 102_Wkst'!$AF$7:$AF$2010,'LAC 102_Wkst'!$D$7:$D$2010,$C$7,'LAC 102_Wkst'!$I$7:$I$2010,$C$9,'LAC 102_Wkst'!$E$7:$E$2010,$C98,'LAC 102_Wkst'!$G$7:$G$2010,$D98,'LAC 102_Wkst'!$L$7:$L$2010,"12",'LAC 102_Wkst'!$N$7:$N$2010,"P5")</f>
        <v>0</v>
      </c>
      <c r="BB98" s="410">
        <f>SUMIFS('LAC 102_Wkst'!$Q$7:$Q$2010,'LAC 102_Wkst'!$D$7:$D$2010,$C$7,'LAC 102_Wkst'!$I$7:$I$2010,$C$9,'LAC 102_Wkst'!$E$7:$E$2010,$C98,'LAC 102_Wkst'!$G$7:$G$2010,$D98,'LAC 102_Wkst'!$L$7:$L$2010,"13",'LAC 102_Wkst'!$N$7:$N$2010,"P1")+SUMIFS('LAC 102_Wkst'!$Q$7:$Q$2010,'LAC 102_Wkst'!$D$7:$D$2010,$C$7,'LAC 102_Wkst'!$I$7:$I$2010,$C$9,'LAC 102_Wkst'!$E$7:$E$2010,$C98,'LAC 102_Wkst'!$G$7:$G$2010,$D98,'LAC 102_Wkst'!$L$7:$L$2010,"13",'LAC 102_Wkst'!$N$7:$N$2010,"P2")+SUMIFS('LAC 102_Wkst'!$Q$7:$Q$2010,'LAC 102_Wkst'!$D$7:$D$2010,$C$7,'LAC 102_Wkst'!$I$7:$I$2010,$C$9,'LAC 102_Wkst'!$E$7:$E$2010,$C98,'LAC 102_Wkst'!$G$7:$G$2010,$D98,'LAC 102_Wkst'!$L$7:$L$2010,"13",'LAC 102_Wkst'!$N$7:$N$2010,"P3")+SUMIFS('LAC 102_Wkst'!$Q$7:$Q$2010,'LAC 102_Wkst'!$D$7:$D$2010,$C$7,'LAC 102_Wkst'!$I$7:$I$2010,$C$9,'LAC 102_Wkst'!$E$7:$E$2010,$C98,'LAC 102_Wkst'!$G$7:$G$2010,$D98,'LAC 102_Wkst'!$L$7:$L$2010,"13",'LAC 102_Wkst'!$N$7:$N$2010,"P4")</f>
        <v>0</v>
      </c>
      <c r="BC98" s="411">
        <f>SUMIFS('LAC 102_Wkst'!$AF$7:$AF$2010,'LAC 102_Wkst'!$D$7:$D$2010,$C$7,'LAC 102_Wkst'!$I$7:$I$2010,$C$9,'LAC 102_Wkst'!$E$7:$E$2010,$C98,'LAC 102_Wkst'!$G$7:$G$2010,$D98,'LAC 102_Wkst'!$L$7:$L$2010,"13",'LAC 102_Wkst'!$N$7:$N$2010,"P1")+SUMIFS('LAC 102_Wkst'!$AF$7:$AF$2010,'LAC 102_Wkst'!$D$7:$D$2010,$C$7,'LAC 102_Wkst'!$I$7:$I$2010,$C$9,'LAC 102_Wkst'!$E$7:$E$2010,$C98,'LAC 102_Wkst'!$G$7:$G$2010,$D98,'LAC 102_Wkst'!$L$7:$L$2010,"13",'LAC 102_Wkst'!$N$7:$N$2010,"P2")+SUMIFS('LAC 102_Wkst'!$AF$7:$AF$2010,'LAC 102_Wkst'!$D$7:$D$2010,$C$7,'LAC 102_Wkst'!$I$7:$I$2010,$C$9,'LAC 102_Wkst'!$E$7:$E$2010,$C98,'LAC 102_Wkst'!$G$7:$G$2010,$D98,'LAC 102_Wkst'!$L$7:$L$2010,"13",'LAC 102_Wkst'!$N$7:$N$2010,"P3")+SUMIFS('LAC 102_Wkst'!$AF$7:$AF$2010,'LAC 102_Wkst'!$D$7:$D$2010,$C$7,'LAC 102_Wkst'!$I$7:$I$2010,$C$9,'LAC 102_Wkst'!$E$7:$E$2010,$C98,'LAC 102_Wkst'!$G$7:$G$2010,$D98,'LAC 102_Wkst'!$L$7:$L$2010,"13",'LAC 102_Wkst'!$N$7:$N$2010,"P4")</f>
        <v>0</v>
      </c>
      <c r="BD98" s="410">
        <f>SUMIFS('LAC 102_Wkst'!$Q$7:$Q$2010,'LAC 102_Wkst'!$D$7:$D$2010,$C$7,'LAC 102_Wkst'!$I$7:$I$2010,$C$9,'LAC 102_Wkst'!$E$7:$E$2010,$C98,'LAC 102_Wkst'!$G$7:$G$2010,$D98,'LAC 102_Wkst'!$L$7:$L$2010,"13",'LAC 102_Wkst'!$N$7:$N$2010,"P5")</f>
        <v>0</v>
      </c>
      <c r="BE98" s="411">
        <f>SUMIFS('LAC 102_Wkst'!$AF$7:$AF$2010,'LAC 102_Wkst'!$D$7:$D$2010,$C$7,'LAC 102_Wkst'!$I$7:$I$2010,$C$9,'LAC 102_Wkst'!$E$7:$E$2010,$C98,'LAC 102_Wkst'!$G$7:$G$2010,$D98,'LAC 102_Wkst'!$L$7:$L$2010,"13",'LAC 102_Wkst'!$N$7:$N$2010,"P5")</f>
        <v>0</v>
      </c>
      <c r="BF98" s="407">
        <f t="shared" si="5"/>
        <v>0</v>
      </c>
      <c r="BG98" s="1654">
        <f>SUMIFS('LAC 102_Wkst'!$AF$7:$AF$2010,'LAC 102_Wkst'!$D$7:$D$2010,$C$7,'LAC 102_Wkst'!$I$7:$I$2010,$C$9,'LAC 102_Wkst'!$E$7:$E$2010,$C98,'LAC 102_Wkst'!$G$7:$G$2010,$D98,'LAC 102_Wkst'!$L$7:$L$2010,"14")</f>
        <v>0</v>
      </c>
    </row>
    <row r="99" spans="1:59" x14ac:dyDescent="0.2">
      <c r="A99" s="401">
        <v>77</v>
      </c>
      <c r="B99" s="1678" t="str">
        <f>IF(Schedule_B!B$96="","",Schedule_B!B$96)</f>
        <v/>
      </c>
      <c r="C99" s="1674" t="str">
        <f>IF(Schedule_B!C$96=""," ",Schedule_B!C$96)</f>
        <v xml:space="preserve"> </v>
      </c>
      <c r="D99" s="1675" t="str">
        <f>IF(Schedule_B!D$96=""," ",Schedule_B!D$96)</f>
        <v xml:space="preserve"> </v>
      </c>
      <c r="E99" s="1221">
        <f>SUMIFS('LAC 102_Wkst'!$Q$7:$Q$2010,'LAC 102_Wkst'!$D$7:$D$2010,$C$7,'LAC 102_Wkst'!$I$7:$I$2010,$C$9,'LAC 102_Wkst'!$E$7:$E$2010,$C99,'LAC 102_Wkst'!$G$7:$G$2010,$D99)</f>
        <v>0</v>
      </c>
      <c r="F99" s="408">
        <f>SUMIFS('LAC 102_Wkst'!$Q$7:$Q$2010,'LAC 102_Wkst'!$D$7:$D$2010,$C$7,'LAC 102_Wkst'!$I$7:$I$2010,$C$9,'LAC 102_Wkst'!$E$7:$E$2010,$C99,'LAC 102_Wkst'!$G$7:$G$2010,$D99,'LAC 102_Wkst'!$L$7:$L$2010,"01",'LAC 102_Wkst'!$N$7:$N$2010,"P1")+SUMIFS('LAC 102_Wkst'!$Q$7:$Q$2010,'LAC 102_Wkst'!$D$7:$D$2010,$C$7,'LAC 102_Wkst'!$I$7:$I$2010,$C$9,'LAC 102_Wkst'!$E$7:$E$2010,$C99,'LAC 102_Wkst'!$G$7:$G$2010,$D99,'LAC 102_Wkst'!$L$7:$L$2010,"01",'LAC 102_Wkst'!$N$7:$N$2010,"P2")+SUMIFS('LAC 102_Wkst'!$Q$7:$Q$2010,'LAC 102_Wkst'!$D$7:$D$2010,$C$7,'LAC 102_Wkst'!$I$7:$I$2010,$C$9,'LAC 102_Wkst'!$E$7:$E$2010,$C99,'LAC 102_Wkst'!$G$7:$G$2010,$D99,'LAC 102_Wkst'!$L$7:$L$2010,"01",'LAC 102_Wkst'!$N$7:$N$2010,"P3")+SUMIFS('LAC 102_Wkst'!$Q$7:$Q$2010,'LAC 102_Wkst'!$D$7:$D$2010,$C$7,'LAC 102_Wkst'!$I$7:$I$2010,$C$9,'LAC 102_Wkst'!$E$7:$E$2010,$C99,'LAC 102_Wkst'!$G$7:$G$2010,$D99,'LAC 102_Wkst'!$L$7:$L$2010,"02",'LAC 102_Wkst'!$N$7:$N$2010,"P1")+SUMIFS('LAC 102_Wkst'!$Q$7:$Q$2010,'LAC 102_Wkst'!$D$7:$D$2010,$C$7,'LAC 102_Wkst'!$I$7:$I$2010,$C$9,'LAC 102_Wkst'!$E$7:$E$2010,$C99,'LAC 102_Wkst'!$G$7:$G$2010,$D99,'LAC 102_Wkst'!$L$7:$L$2010,"02",'LAC 102_Wkst'!$N$7:$N$2010,"P2")+SUMIFS('LAC 102_Wkst'!$Q$7:$Q$2010,'LAC 102_Wkst'!$D$7:$D$2010,$C$7,'LAC 102_Wkst'!$I$7:$I$2010,$C$9,'LAC 102_Wkst'!$E$7:$E$2010,$C99,'LAC 102_Wkst'!$G$7:$G$2010,$D99,'LAC 102_Wkst'!$L$7:$L$2010,"02",'LAC 102_Wkst'!$N$7:$N$2010,"P3")</f>
        <v>0</v>
      </c>
      <c r="G99" s="409">
        <f>SUMIFS('LAC 102_Wkst'!$AF$7:$AF$2010,'LAC 102_Wkst'!$D$7:$D$2010,$C$7,'LAC 102_Wkst'!$I$7:$I$2010,$C$9,'LAC 102_Wkst'!$E$7:$E$2010,$C99,'LAC 102_Wkst'!$G$7:$G$2010,$D99,'LAC 102_Wkst'!$L$7:$L$2010,"01",'LAC 102_Wkst'!$N$7:$N$2010,"P1")+SUMIFS('LAC 102_Wkst'!$AF$7:$AF$2010,'LAC 102_Wkst'!$D$7:$D$2010,$C$7,'LAC 102_Wkst'!$I$7:$I$2010,$C$9,'LAC 102_Wkst'!$E$7:$E$2010,$C99,'LAC 102_Wkst'!$G$7:$G$2010,$D99,'LAC 102_Wkst'!$L$7:$L$2010,"01",'LAC 102_Wkst'!$N$7:$N$2010,"P2")+SUMIFS('LAC 102_Wkst'!$AF$7:$AF$2010,'LAC 102_Wkst'!$D$7:$D$2010,$C$7,'LAC 102_Wkst'!$I$7:$I$2010,$C$9,'LAC 102_Wkst'!$E$7:$E$2010,$C99,'LAC 102_Wkst'!$G$7:$G$2010,$D99,'LAC 102_Wkst'!$L$7:$L$2010,"01",'LAC 102_Wkst'!$N$7:$N$2010,"P3")+SUMIFS('LAC 102_Wkst'!$AF$7:$AF$2010,'LAC 102_Wkst'!$D$7:$D$2010,$C$7,'LAC 102_Wkst'!$I$7:$I$2010,$C$9,'LAC 102_Wkst'!$E$7:$E$2010,$C99,'LAC 102_Wkst'!$G$7:$G$2010,$D99,'LAC 102_Wkst'!$L$7:$L$2010,"02",'LAC 102_Wkst'!$N$7:$N$2010,"P1")+SUMIFS('LAC 102_Wkst'!$AF$7:$AF$2010,'LAC 102_Wkst'!$D$7:$D$2010,$C$7,'LAC 102_Wkst'!$I$7:$I$2010,$C$9,'LAC 102_Wkst'!$E$7:$E$2010,$C99,'LAC 102_Wkst'!$G$7:$G$2010,$D99,'LAC 102_Wkst'!$L$7:$L$2010,"02",'LAC 102_Wkst'!$N$7:$N$2010,"P2")+SUMIFS('LAC 102_Wkst'!$AF$7:$AF$2010,'LAC 102_Wkst'!$D$7:$D$2010,$C$7,'LAC 102_Wkst'!$I$7:$I$2010,$C$9,'LAC 102_Wkst'!$E$7:$E$2010,$C99,'LAC 102_Wkst'!$G$7:$G$2010,$D99,'LAC 102_Wkst'!$L$7:$L$2010,"02",'LAC 102_Wkst'!$N$7:$N$2010,"P3")</f>
        <v>0</v>
      </c>
      <c r="H99" s="410">
        <f>SUMIFS('LAC 102_Wkst'!$Q$7:$Q$2010,'LAC 102_Wkst'!$D$7:$D$2010,$C$7,'LAC 102_Wkst'!$I$7:$I$2010,$C$9,'LAC 102_Wkst'!$E$7:$E$2010,$C99,'LAC 102_Wkst'!$G$7:$G$2010,$D99,'LAC 102_Wkst'!$L$7:$L$2010,"01",'LAC 102_Wkst'!$N$7:$N$2010,"P4")+SUMIFS('LAC 102_Wkst'!$Q$7:$Q$2010,'LAC 102_Wkst'!$D$7:$D$2010,$C$7,'LAC 102_Wkst'!$I$7:$I$2010,$C$9,'LAC 102_Wkst'!$E$7:$E$2010,$C99,'LAC 102_Wkst'!$G$7:$G$2010,$D99,'LAC 102_Wkst'!$L$7:$L$2010,"02",'LAC 102_Wkst'!$N$7:$N$2010,"P4")</f>
        <v>0</v>
      </c>
      <c r="I99" s="411">
        <f>SUMIFS('LAC 102_Wkst'!$AF$7:$AF$2010,'LAC 102_Wkst'!$D$7:$D$2010,$C$7,'LAC 102_Wkst'!$I$7:$I$2010,$C$9,'LAC 102_Wkst'!$E$7:$E$2010,$C99,'LAC 102_Wkst'!$G$7:$G$2010,$D99,'LAC 102_Wkst'!$L$7:$L$2010,"01",'LAC 102_Wkst'!$N$7:$N$2010,"P4")+SUMIFS('LAC 102_Wkst'!$AF$7:$AF$2010,'LAC 102_Wkst'!$D$7:$D$2010,$C$7,'LAC 102_Wkst'!$I$7:$I$2010,$C$9,'LAC 102_Wkst'!$E$7:$E$2010,$C99,'LAC 102_Wkst'!$G$7:$G$2010,$D99,'LAC 102_Wkst'!$L$7:$L$2010,"02",'LAC 102_Wkst'!$N$7:$N$2010,"P4")</f>
        <v>0</v>
      </c>
      <c r="J99" s="410">
        <f>SUMIFS('LAC 102_Wkst'!$Q$7:$Q$2010,'LAC 102_Wkst'!$D$7:$D$2010,$C$7,'LAC 102_Wkst'!$I$7:$I$2010,$C$9,'LAC 102_Wkst'!$E$7:$E$2010,$C99,'LAC 102_Wkst'!$G$7:$G$2010,$D99,'LAC 102_Wkst'!$L$7:$L$2010,"01",'LAC 102_Wkst'!$N$7:$N$2010,"P5")+SUMIFS('LAC 102_Wkst'!$Q$7:$Q$2010,'LAC 102_Wkst'!$D$7:$D$2010,$C$7,'LAC 102_Wkst'!$I$7:$I$2010,$C$9,'LAC 102_Wkst'!$E$7:$E$2010,$C99,'LAC 102_Wkst'!$G$7:$G$2010,$D99,'LAC 102_Wkst'!$L$7:$L$2010,"02",'LAC 102_Wkst'!$N$7:$N$2010,"P5")</f>
        <v>0</v>
      </c>
      <c r="K99" s="411">
        <f>SUMIFS('LAC 102_Wkst'!$AF$7:$AF$2010,'LAC 102_Wkst'!$D$7:$D$2010,$C$7,'LAC 102_Wkst'!$I$7:$I$2010,$C$9,'LAC 102_Wkst'!$E$7:$E$2010,$C99,'LAC 102_Wkst'!$G$7:$G$2010,$D99,'LAC 102_Wkst'!$L$7:$L$2010,"01",'LAC 102_Wkst'!$N$7:$N$2010,"P5")+SUMIFS('LAC 102_Wkst'!$AF$7:$AF$2010,'LAC 102_Wkst'!$D$7:$D$2010,$C$7,'LAC 102_Wkst'!$I$7:$I$2010,$C$9,'LAC 102_Wkst'!$E$7:$E$2010,$C99,'LAC 102_Wkst'!$G$7:$G$2010,$D99,'LAC 102_Wkst'!$L$7:$L$2010,"02",'LAC 102_Wkst'!$N$7:$N$2010,"P5")</f>
        <v>0</v>
      </c>
      <c r="L99" s="410">
        <f>SUMIFS('LAC 102_Wkst'!$Q$7:$Q$2010,'LAC 102_Wkst'!$D$7:$D$2010,$C$7,'LAC 102_Wkst'!$I$7:$I$2010,$C$9,'LAC 102_Wkst'!$E$7:$E$2010,$C99,'LAC 102_Wkst'!$G$7:$G$2010,$D99,'LAC 102_Wkst'!$L$7:$L$2010,"03",'LAC 102_Wkst'!$N$7:$N$2010,"P1")+SUMIFS('LAC 102_Wkst'!$Q$7:$Q$2010,'LAC 102_Wkst'!$D$7:$D$2010,$C$7,'LAC 102_Wkst'!$I$7:$I$2010,$C$9,'LAC 102_Wkst'!$E$7:$E$2010,$C99,'LAC 102_Wkst'!$G$7:$G$2010,$D99,'LAC 102_Wkst'!$L$7:$L$2010,"03",'LAC 102_Wkst'!$N$7:$N$2010,"P2")+SUMIFS('LAC 102_Wkst'!$Q$7:$Q$2010,'LAC 102_Wkst'!$D$7:$D$2010,$C$7,'LAC 102_Wkst'!$I$7:$I$2010,$C$9,'LAC 102_Wkst'!$E$7:$E$2010,$C99,'LAC 102_Wkst'!$G$7:$G$2010,$D99,'LAC 102_Wkst'!$L$7:$L$2010,"03",'LAC 102_Wkst'!$N$7:$N$2010,"P3")+SUMIFS('LAC 102_Wkst'!$Q$7:$Q$2010,'LAC 102_Wkst'!$D$7:$D$2010,$C$7,'LAC 102_Wkst'!$I$7:$I$2010,$C$9,'LAC 102_Wkst'!$E$7:$E$2010,$C99,'LAC 102_Wkst'!$G$7:$G$2010,$D99,'LAC 102_Wkst'!$L$7:$L$2010,"04",'LAC 102_Wkst'!$N$7:$N$2010,"P1")+SUMIFS('LAC 102_Wkst'!$Q$7:$Q$2010,'LAC 102_Wkst'!$D$7:$D$2010,$C$7,'LAC 102_Wkst'!$I$7:$I$2010,$C$9,'LAC 102_Wkst'!$E$7:$E$2010,$C99,'LAC 102_Wkst'!$G$7:$G$2010,$D99,'LAC 102_Wkst'!$L$7:$L$2010,"04",'LAC 102_Wkst'!$N$7:$N$2010,"P2")+SUMIFS('LAC 102_Wkst'!$Q$7:$Q$2010,'LAC 102_Wkst'!$D$7:$D$2010,$C$7,'LAC 102_Wkst'!$I$7:$I$2010,$C$9,'LAC 102_Wkst'!$E$7:$E$2010,$C99,'LAC 102_Wkst'!$G$7:$G$2010,$D99,'LAC 102_Wkst'!$L$7:$L$2010,"04",'LAC 102_Wkst'!$N$7:$N$2010,"P3")</f>
        <v>0</v>
      </c>
      <c r="M99" s="411">
        <f>SUMIFS('LAC 102_Wkst'!$AF$7:$AF$2010,'LAC 102_Wkst'!$D$7:$D$2010,$C$7,'LAC 102_Wkst'!$I$7:$I$2010,$C$9,'LAC 102_Wkst'!$E$7:$E$2010,$C99,'LAC 102_Wkst'!$G$7:$G$2010,$D99,'LAC 102_Wkst'!$L$7:$L$2010,"03",'LAC 102_Wkst'!$N$7:$N$2010,"P1")+SUMIFS('LAC 102_Wkst'!$AF$7:$AF$2010,'LAC 102_Wkst'!$D$7:$D$2010,$C$7,'LAC 102_Wkst'!$I$7:$I$2010,$C$9,'LAC 102_Wkst'!$E$7:$E$2010,$C99,'LAC 102_Wkst'!$G$7:$G$2010,$D99,'LAC 102_Wkst'!$L$7:$L$2010,"03",'LAC 102_Wkst'!$N$7:$N$2010,"P2")+SUMIFS('LAC 102_Wkst'!$AF$7:$AF$2010,'LAC 102_Wkst'!$D$7:$D$2010,$C$7,'LAC 102_Wkst'!$I$7:$I$2010,$C$9,'LAC 102_Wkst'!$E$7:$E$2010,$C99,'LAC 102_Wkst'!$G$7:$G$2010,$D99,'LAC 102_Wkst'!$L$7:$L$2010,"03",'LAC 102_Wkst'!$N$7:$N$2010,"P3")+SUMIFS('LAC 102_Wkst'!$AF$7:$AF$2010,'LAC 102_Wkst'!$D$7:$D$2010,$C$7,'LAC 102_Wkst'!$I$7:$I$2010,$C$9,'LAC 102_Wkst'!$E$7:$E$2010,$C99,'LAC 102_Wkst'!$G$7:$G$2010,$D99,'LAC 102_Wkst'!$L$7:$L$2010,"04",'LAC 102_Wkst'!$N$7:$N$2010,"P1")+SUMIFS('LAC 102_Wkst'!$AF$7:$AF$2010,'LAC 102_Wkst'!$D$7:$D$2010,$C$7,'LAC 102_Wkst'!$I$7:$I$2010,$C$9,'LAC 102_Wkst'!$E$7:$E$2010,$C99,'LAC 102_Wkst'!$G$7:$G$2010,$D99,'LAC 102_Wkst'!$L$7:$L$2010,"04",'LAC 102_Wkst'!$N$7:$N$2010,"P2")+SUMIFS('LAC 102_Wkst'!$AF$7:$AF$2010,'LAC 102_Wkst'!$D$7:$D$2010,$C$7,'LAC 102_Wkst'!$I$7:$I$2010,$C$9,'LAC 102_Wkst'!$E$7:$E$2010,$C99,'LAC 102_Wkst'!$G$7:$G$2010,$D99,'LAC 102_Wkst'!$L$7:$L$2010,"04",'LAC 102_Wkst'!$N$7:$N$2010,"P3")</f>
        <v>0</v>
      </c>
      <c r="N99" s="410">
        <f>SUMIFS('LAC 102_Wkst'!$Q$7:$Q$2010,'LAC 102_Wkst'!$D$7:$D$2010,$C$7,'LAC 102_Wkst'!$I$7:$I$2010,$C$9,'LAC 102_Wkst'!$E$7:$E$2010,$C99,'LAC 102_Wkst'!$G$7:$G$2010,$D99,'LAC 102_Wkst'!$L$7:$L$2010,"03",'LAC 102_Wkst'!$N$7:$N$2010,"P4")+SUMIFS('LAC 102_Wkst'!$Q$7:$Q$2010,'LAC 102_Wkst'!$D$7:$D$2010,$C$7,'LAC 102_Wkst'!$I$7:$I$2010,$C$9,'LAC 102_Wkst'!$E$7:$E$2010,$C99,'LAC 102_Wkst'!$G$7:$G$2010,$D99,'LAC 102_Wkst'!$L$7:$L$2010,"04",'LAC 102_Wkst'!$N$7:$N$2010,"P4")</f>
        <v>0</v>
      </c>
      <c r="O99" s="411">
        <f>SUMIFS('LAC 102_Wkst'!$AF$7:$AF$2010,'LAC 102_Wkst'!$D$7:$D$2010,$C$7,'LAC 102_Wkst'!$I$7:$I$2010,$C$9,'LAC 102_Wkst'!$E$7:$E$2010,$C99,'LAC 102_Wkst'!$G$7:$G$2010,$D99,'LAC 102_Wkst'!$L$7:$L$2010,"03",'LAC 102_Wkst'!$N$7:$N$2010,"P4")+SUMIFS('LAC 102_Wkst'!$AF$7:$AF$2010,'LAC 102_Wkst'!$D$7:$D$2010,$C$7,'LAC 102_Wkst'!$I$7:$I$2010,$C$9,'LAC 102_Wkst'!$E$7:$E$2010,$C99,'LAC 102_Wkst'!$G$7:$G$2010,$D99,'LAC 102_Wkst'!$L$7:$L$2010,"04",'LAC 102_Wkst'!$N$7:$N$2010,"P4")</f>
        <v>0</v>
      </c>
      <c r="P99" s="410">
        <f>SUMIFS('LAC 102_Wkst'!$Q$7:$Q$2010,'LAC 102_Wkst'!$D$7:$D$2010,$C$7,'LAC 102_Wkst'!$I$7:$I$2010,$C$9,'LAC 102_Wkst'!$E$7:$E$2010,$C99,'LAC 102_Wkst'!$G$7:$G$2010,$D99,'LAC 102_Wkst'!$L$7:$L$2010,"03",'LAC 102_Wkst'!$N$7:$N$2010,"P5")+SUMIFS('LAC 102_Wkst'!$Q$7:$Q$2010,'LAC 102_Wkst'!$D$7:$D$2010,$C$7,'LAC 102_Wkst'!$I$7:$I$2010,$C$9,'LAC 102_Wkst'!$E$7:$E$2010,$C99,'LAC 102_Wkst'!$G$7:$G$2010,$D99,'LAC 102_Wkst'!$L$7:$L$2010,"04",'LAC 102_Wkst'!$N$7:$N$2010,"P5")</f>
        <v>0</v>
      </c>
      <c r="Q99" s="411">
        <f>SUMIFS('LAC 102_Wkst'!$AF$7:$AF$2010,'LAC 102_Wkst'!$D$7:$D$2010,$C$7,'LAC 102_Wkst'!$I$7:$I$2010,$C$9,'LAC 102_Wkst'!$E$7:$E$2010,$C99,'LAC 102_Wkst'!$G$7:$G$2010,$D99,'LAC 102_Wkst'!$L$7:$L$2010,"03",'LAC 102_Wkst'!$N$7:$N$2010,"P5")+SUMIFS('LAC 102_Wkst'!$AF$7:$AF$2010,'LAC 102_Wkst'!$D$7:$D$2010,$C$7,'LAC 102_Wkst'!$I$7:$I$2010,$C$9,'LAC 102_Wkst'!$E$7:$E$2010,$C99,'LAC 102_Wkst'!$G$7:$G$2010,$D99,'LAC 102_Wkst'!$L$7:$L$2010,"04",'LAC 102_Wkst'!$N$7:$N$2010,"P5")</f>
        <v>0</v>
      </c>
      <c r="R99" s="412">
        <f>SUMIFS('LAC 102_Wkst'!$Q$7:$Q$2010,'LAC 102_Wkst'!$D$7:$D$2010,$C$7,'LAC 102_Wkst'!$I$7:$I$2010,$C$9,'LAC 102_Wkst'!$E$7:$E$2010,$C99,'LAC 102_Wkst'!$G$7:$G$2010,$D99,'LAC 102_Wkst'!$L$7:$L$2010,"05",'LAC 102_Wkst'!$N$7:$N$2010,"P1")+SUMIFS('LAC 102_Wkst'!$Q$7:$Q$2010,'LAC 102_Wkst'!$D$7:$D$2010,$C$7,'LAC 102_Wkst'!$I$7:$I$2010,$C$9,'LAC 102_Wkst'!$E$7:$E$2010,$C99,'LAC 102_Wkst'!$G$7:$G$2010,$D99,'LAC 102_Wkst'!$L$7:$L$2010,"06",'LAC 102_Wkst'!$N$7:$N$2010,"P1")</f>
        <v>0</v>
      </c>
      <c r="S99" s="411">
        <f>SUMIFS('LAC 102_Wkst'!$AF$7:$AF$2010,'LAC 102_Wkst'!$D$7:$D$2010,$C$7,'LAC 102_Wkst'!$I$7:$I$2010,$C$9,'LAC 102_Wkst'!$E$7:$E$2010,$C99,'LAC 102_Wkst'!$G$7:$G$2010,$D99,'LAC 102_Wkst'!$L$7:$L$2010,"05",'LAC 102_Wkst'!$N$7:$N$2010,"P1")+SUMIFS('LAC 102_Wkst'!$AF$7:$AF$2010,'LAC 102_Wkst'!$D$7:$D$2010,$C$7,'LAC 102_Wkst'!$I$7:$I$2010,$C$9,'LAC 102_Wkst'!$E$7:$E$2010,$C99,'LAC 102_Wkst'!$G$7:$G$2010,$D99,'LAC 102_Wkst'!$L$7:$L$2010,"06",'LAC 102_Wkst'!$N$7:$N$2010,"P1")</f>
        <v>0</v>
      </c>
      <c r="T99" s="410">
        <f>SUMIFS('LAC 102_Wkst'!$Q$7:$Q$2010,'LAC 102_Wkst'!$D$7:$D$2010,$C$7,'LAC 102_Wkst'!$I$7:$I$2010,$C$9,'LAC 102_Wkst'!$E$7:$E$2010,$C99,'LAC 102_Wkst'!$G$7:$G$2010,$D99,'LAC 102_Wkst'!$L$7:$L$2010,"05",'LAC 102_Wkst'!$N$7:$N$2010,"P2")+SUMIFS('LAC 102_Wkst'!$Q$7:$Q$2010,'LAC 102_Wkst'!$D$7:$D$2010,$C$7,'LAC 102_Wkst'!$I$7:$I$2010,$C$9,'LAC 102_Wkst'!$E$7:$E$2010,$C99,'LAC 102_Wkst'!$G$7:$G$2010,$D99,'LAC 102_Wkst'!$L$7:$L$2010,"06",'LAC 102_Wkst'!$N$7:$N$2010,"P2")+SUMIFS('LAC 102_Wkst'!$Q$7:$Q$2010,'LAC 102_Wkst'!$D$7:$D$2010,$C$7,'LAC 102_Wkst'!$I$7:$I$2010,$C$9,'LAC 102_Wkst'!$E$7:$E$2010,$C99,'LAC 102_Wkst'!$G$7:$G$2010,$D99,'LAC 102_Wkst'!$L$7:$L$2010,"05",'LAC 102_Wkst'!$N$7:$N$2010,"P3")+SUMIFS('LAC 102_Wkst'!$Q$7:$Q$2010,'LAC 102_Wkst'!$D$7:$D$2010,$C$7,'LAC 102_Wkst'!$I$7:$I$2010,$C$9,'LAC 102_Wkst'!$E$7:$E$2010,$C99,'LAC 102_Wkst'!$G$7:$G$2010,$D99,'LAC 102_Wkst'!$L$7:$L$2010,"06",'LAC 102_Wkst'!$N$7:$N$2010,"P3")</f>
        <v>0</v>
      </c>
      <c r="U99" s="411">
        <f>SUMIFS('LAC 102_Wkst'!$AF$7:$AF$2010,'LAC 102_Wkst'!$D$7:$D$2010,$C$7,'LAC 102_Wkst'!$I$7:$I$2010,$C$9,'LAC 102_Wkst'!$E$7:$E$2010,$C99,'LAC 102_Wkst'!$G$7:$G$2010,$D99,'LAC 102_Wkst'!$L$7:$L$2010,"05",'LAC 102_Wkst'!$N$7:$N$2010,"P2")+SUMIFS('LAC 102_Wkst'!$AF$7:$AF$2010,'LAC 102_Wkst'!$D$7:$D$2010,$C$7,'LAC 102_Wkst'!$I$7:$I$2010,$C$9,'LAC 102_Wkst'!$E$7:$E$2010,$C99,'LAC 102_Wkst'!$G$7:$G$2010,$D99,'LAC 102_Wkst'!$L$7:$L$2010,"06",'LAC 102_Wkst'!$N$7:$N$2010,"P2")+SUMIFS('LAC 102_Wkst'!$AF$7:$AF$2010,'LAC 102_Wkst'!$D$7:$D$2010,$C$7,'LAC 102_Wkst'!$I$7:$I$2010,$C$9,'LAC 102_Wkst'!$E$7:$E$2010,$C99,'LAC 102_Wkst'!$G$7:$G$2010,$D99,'LAC 102_Wkst'!$L$7:$L$2010,"05",'LAC 102_Wkst'!$N$7:$N$2010,"P3")+SUMIFS('LAC 102_Wkst'!$AF$7:$AF$2010,'LAC 102_Wkst'!$D$7:$D$2010,$C$7,'LAC 102_Wkst'!$I$7:$I$2010,$C$9,'LAC 102_Wkst'!$E$7:$E$2010,$C99,'LAC 102_Wkst'!$G$7:$G$2010,$D99,'LAC 102_Wkst'!$L$7:$L$2010,"06",'LAC 102_Wkst'!$N$7:$N$2010,"P3")</f>
        <v>0</v>
      </c>
      <c r="V99" s="410">
        <f>SUMIFS('LAC 102_Wkst'!$Q$7:$Q$2010,'LAC 102_Wkst'!$D$7:$D$2010,$C$7,'LAC 102_Wkst'!$I$7:$I$2010,$C$9,'LAC 102_Wkst'!$E$7:$E$2010,$C99,'LAC 102_Wkst'!$G$7:$G$2010,$D99,'LAC 102_Wkst'!$L$7:$L$2010,"05",'LAC 102_Wkst'!$N$7:$N$2010,"P4")+SUMIFS('LAC 102_Wkst'!$Q$7:$Q$2010,'LAC 102_Wkst'!$D$7:$D$2010,$C$7,'LAC 102_Wkst'!$I$7:$I$2010,$C$9,'LAC 102_Wkst'!$E$7:$E$2010,$C99,'LAC 102_Wkst'!$G$7:$G$2010,$D99,'LAC 102_Wkst'!$L$7:$L$2010,"06",'LAC 102_Wkst'!$N$7:$N$2010,"P4")</f>
        <v>0</v>
      </c>
      <c r="W99" s="411">
        <f>SUMIFS('LAC 102_Wkst'!$AF$7:$AF$2010,'LAC 102_Wkst'!$D$7:$D$2010,$C$7,'LAC 102_Wkst'!$I$7:$I$2010,$C$9,'LAC 102_Wkst'!$E$7:$E$2010,$C99,'LAC 102_Wkst'!$G$7:$G$2010,$D99,'LAC 102_Wkst'!$L$7:$L$2010,"05",'LAC 102_Wkst'!$N$7:$N$2010,"P4")+SUMIFS('LAC 102_Wkst'!$AF$7:$AF$2010,'LAC 102_Wkst'!$D$7:$D$2010,$C$7,'LAC 102_Wkst'!$I$7:$I$2010,$C$9,'LAC 102_Wkst'!$E$7:$E$2010,$C99,'LAC 102_Wkst'!$G$7:$G$2010,$D99,'LAC 102_Wkst'!$L$7:$L$2010,"06",'LAC 102_Wkst'!$N$7:$N$2010,"P4")</f>
        <v>0</v>
      </c>
      <c r="X99" s="410">
        <f>SUMIFS('LAC 102_Wkst'!$Q$7:$Q$2010,'LAC 102_Wkst'!$D$7:$D$2010,$C$7,'LAC 102_Wkst'!$I$7:$I$2010,$C$9,'LAC 102_Wkst'!$E$7:$E$2010,$C99,'LAC 102_Wkst'!$G$7:$G$2010,$D99,'LAC 102_Wkst'!$L$7:$L$2010,"05",'LAC 102_Wkst'!$N$7:$N$2010,"P5")+SUMIFS('LAC 102_Wkst'!$Q$7:$Q$2010,'LAC 102_Wkst'!$D$7:$D$2010,$C$7,'LAC 102_Wkst'!$I$7:$I$2010,$C$9,'LAC 102_Wkst'!$E$7:$E$2010,$C99,'LAC 102_Wkst'!$G$7:$G$2010,$D99,'LAC 102_Wkst'!$L$7:$L$2010,"06",'LAC 102_Wkst'!$N$7:$N$2010,"P5")</f>
        <v>0</v>
      </c>
      <c r="Y99" s="411">
        <f>SUMIFS('LAC 102_Wkst'!$AF$7:$AF$2010,'LAC 102_Wkst'!$D$7:$D$2010,$C$7,'LAC 102_Wkst'!$I$7:$I$2010,$C$9,'LAC 102_Wkst'!$E$7:$E$2010,$C99,'LAC 102_Wkst'!$G$7:$G$2010,$D99,'LAC 102_Wkst'!$L$7:$L$2010,"05",'LAC 102_Wkst'!$N$7:$N$2010,"P5")+SUMIFS('LAC 102_Wkst'!$AF$7:$AF$2010,'LAC 102_Wkst'!$D$7:$D$2010,$C$7,'LAC 102_Wkst'!$I$7:$I$2010,$C$9,'LAC 102_Wkst'!$E$7:$E$2010,$C99,'LAC 102_Wkst'!$G$7:$G$2010,$D99,'LAC 102_Wkst'!$L$7:$L$2010,"06",'LAC 102_Wkst'!$N$7:$N$2010,"P5")</f>
        <v>0</v>
      </c>
      <c r="Z99" s="410">
        <f>SUMIFS('LAC 102_Wkst'!$Q$7:$Q$2010,'LAC 102_Wkst'!$D$7:$D$2010,$C$7,'LAC 102_Wkst'!$I$7:$I$2010,$C$9,'LAC 102_Wkst'!$E$7:$E$2010,$C99,'LAC 102_Wkst'!$G$7:$G$2010,$D99,'LAC 102_Wkst'!$L$7:$L$2010,"07",'LAC 102_Wkst'!$N$7:$N$2010,"P1")+SUMIFS('LAC 102_Wkst'!$Q$7:$Q$2010,'LAC 102_Wkst'!$D$7:$D$2010,$C$7,'LAC 102_Wkst'!$I$7:$I$2010,$C$9,'LAC 102_Wkst'!$E$7:$E$2010,$C99,'LAC 102_Wkst'!$G$7:$G$2010,$D99,'LAC 102_Wkst'!$L$7:$L$2010,"07",'LAC 102_Wkst'!$N$7:$N$2010,"P2")+SUMIFS('LAC 102_Wkst'!$Q$7:$Q$2010,'LAC 102_Wkst'!$D$7:$D$2010,$C$7,'LAC 102_Wkst'!$I$7:$I$2010,$C$9,'LAC 102_Wkst'!$E$7:$E$2010,$C99,'LAC 102_Wkst'!$G$7:$G$2010,$D99,'LAC 102_Wkst'!$L$7:$L$2010,"07",'LAC 102_Wkst'!$N$7:$N$2010,"P3")</f>
        <v>0</v>
      </c>
      <c r="AA99" s="411">
        <f>SUMIFS('LAC 102_Wkst'!$AF$7:$AF$2010,'LAC 102_Wkst'!$D$7:$D$2010,$C$7,'LAC 102_Wkst'!$I$7:$I$2010,$C$9,'LAC 102_Wkst'!$E$7:$E$2010,$C99,'LAC 102_Wkst'!$G$7:$G$2010,$D99,'LAC 102_Wkst'!$L$7:$L$2010,"07",'LAC 102_Wkst'!$N$7:$N$2010,"P1")+SUMIFS('LAC 102_Wkst'!$AF$7:$AF$2010,'LAC 102_Wkst'!$D$7:$D$2010,$C$7,'LAC 102_Wkst'!$I$7:$I$2010,$C$9,'LAC 102_Wkst'!$E$7:$E$2010,$C99,'LAC 102_Wkst'!$G$7:$G$2010,$D99,'LAC 102_Wkst'!$L$7:$L$2010,"07",'LAC 102_Wkst'!$N$7:$N$2010,"P2")+SUMIFS('LAC 102_Wkst'!$AF$7:$AF$2010,'LAC 102_Wkst'!$D$7:$D$2010,$C$7,'LAC 102_Wkst'!$I$7:$I$2010,$C$9,'LAC 102_Wkst'!$E$7:$E$2010,$C99,'LAC 102_Wkst'!$G$7:$G$2010,$D99,'LAC 102_Wkst'!$L$7:$L$2010,"07",'LAC 102_Wkst'!$N$7:$N$2010,"P3")</f>
        <v>0</v>
      </c>
      <c r="AB99" s="410">
        <f>SUMIFS('LAC 102_Wkst'!$Q$7:$Q$2010,'LAC 102_Wkst'!$D$7:$D$2010,$C$7,'LAC 102_Wkst'!$I$7:$I$2010,$C$9,'LAC 102_Wkst'!$E$7:$E$2010,$C99,'LAC 102_Wkst'!$G$7:$G$2010,$D99,'LAC 102_Wkst'!$L$7:$L$2010,"07",'LAC 102_Wkst'!$N$7:$N$2010,"P4")</f>
        <v>0</v>
      </c>
      <c r="AC99" s="411">
        <f>SUMIFS('LAC 102_Wkst'!$AF$7:$AF$2010,'LAC 102_Wkst'!$D$7:$D$2010,$C$7,'LAC 102_Wkst'!$I$7:$I$2010,$C$9,'LAC 102_Wkst'!$E$7:$E$2010,$C99,'LAC 102_Wkst'!$G$7:$G$2010,$D99,'LAC 102_Wkst'!$L$7:$L$2010,"07",'LAC 102_Wkst'!$N$7:$N$2010,"P4")</f>
        <v>0</v>
      </c>
      <c r="AD99" s="410">
        <f>SUMIFS('LAC 102_Wkst'!$Q$7:$Q$2010,'LAC 102_Wkst'!$D$7:$D$2010,$C$7,'LAC 102_Wkst'!$I$7:$I$2010,$C$9,'LAC 102_Wkst'!$E$7:$E$2010,$C99,'LAC 102_Wkst'!$G$7:$G$2010,$D99,'LAC 102_Wkst'!$L$7:$L$2010,"07",'LAC 102_Wkst'!$N$7:$N$2010,"P5")</f>
        <v>0</v>
      </c>
      <c r="AE99" s="411">
        <f>SUMIFS('LAC 102_Wkst'!$AF$7:$AF$2010,'LAC 102_Wkst'!$D$7:$D$2010,$C$7,'LAC 102_Wkst'!$I$7:$I$2010,$C$9,'LAC 102_Wkst'!$E$7:$E$2010,$C99,'LAC 102_Wkst'!$G$7:$G$2010,$D99,'LAC 102_Wkst'!$L$7:$L$2010,"07",'LAC 102_Wkst'!$N$7:$N$2010,"P5")</f>
        <v>0</v>
      </c>
      <c r="AF99" s="410">
        <f>SUMIFS('LAC 102_Wkst'!$Q$7:$Q$2010,'LAC 102_Wkst'!$D$7:$D$2010,$C$7,'LAC 102_Wkst'!$I$7:$I$2010,$C$9,'LAC 102_Wkst'!$E$7:$E$2010,$C99,'LAC 102_Wkst'!$G$7:$G$2010,$D99,'LAC 102_Wkst'!$L$7:$L$2010,"08",'LAC 102_Wkst'!$N$7:$N$2010,"P1")+SUMIFS('LAC 102_Wkst'!$Q$7:$Q$2010,'LAC 102_Wkst'!$D$7:$D$2010,$C$7,'LAC 102_Wkst'!$I$7:$I$2010,$C$9,'LAC 102_Wkst'!$E$7:$E$2010,$C99,'LAC 102_Wkst'!$G$7:$G$2010,$D99,'LAC 102_Wkst'!$L$7:$L$2010,"08",'LAC 102_Wkst'!$N$7:$N$2010,"P2")+SUMIFS('LAC 102_Wkst'!$Q$7:$Q$2010,'LAC 102_Wkst'!$D$7:$D$2010,$C$7,'LAC 102_Wkst'!$I$7:$I$2010,$C$9,'LAC 102_Wkst'!$E$7:$E$2010,$C99,'LAC 102_Wkst'!$G$7:$G$2010,$D99,'LAC 102_Wkst'!$L$7:$L$2010,"08",'LAC 102_Wkst'!$N$7:$N$2010,"P3")</f>
        <v>0</v>
      </c>
      <c r="AG99" s="411">
        <f>SUMIFS('LAC 102_Wkst'!$AF$7:$AF$2010,'LAC 102_Wkst'!$D$7:$D$2010,$C$7,'LAC 102_Wkst'!$I$7:$I$2010,$C$9,'LAC 102_Wkst'!$E$7:$E$2010,$C99,'LAC 102_Wkst'!$G$7:$G$2010,$D99,'LAC 102_Wkst'!$L$7:$L$2010,"08",'LAC 102_Wkst'!$N$7:$N$2010,"P1")+SUMIFS('LAC 102_Wkst'!$AF$7:$AF$2010,'LAC 102_Wkst'!$D$7:$D$2010,$C$7,'LAC 102_Wkst'!$I$7:$I$2010,$C$9,'LAC 102_Wkst'!$E$7:$E$2010,$C99,'LAC 102_Wkst'!$G$7:$G$2010,$D99,'LAC 102_Wkst'!$L$7:$L$2010,"08",'LAC 102_Wkst'!$N$7:$N$2010,"P2")+SUMIFS('LAC 102_Wkst'!$AF$7:$AF$2010,'LAC 102_Wkst'!$D$7:$D$2010,$C$7,'LAC 102_Wkst'!$I$7:$I$2010,$C$9,'LAC 102_Wkst'!$E$7:$E$2010,$C99,'LAC 102_Wkst'!$G$7:$G$2010,$D99,'LAC 102_Wkst'!$L$7:$L$2010,"08",'LAC 102_Wkst'!$N$7:$N$2010,"P3")</f>
        <v>0</v>
      </c>
      <c r="AH99" s="410">
        <f>SUMIFS('LAC 102_Wkst'!$Q$7:$Q$2010,'LAC 102_Wkst'!$D$7:$D$2010,$C$7,'LAC 102_Wkst'!$I$7:$I$2010,$C$9,'LAC 102_Wkst'!$E$7:$E$2010,$C99,'LAC 102_Wkst'!$G$7:$G$2010,$D99,'LAC 102_Wkst'!$L$7:$L$2010,"08",'LAC 102_Wkst'!$N$7:$N$2010,"P4")</f>
        <v>0</v>
      </c>
      <c r="AI99" s="411">
        <f>SUMIFS('LAC 102_Wkst'!$AF$7:$AF$2010,'LAC 102_Wkst'!$D$7:$D$2010,$C$7,'LAC 102_Wkst'!$I$7:$I$2010,$C$9,'LAC 102_Wkst'!$E$7:$E$2010,$C99,'LAC 102_Wkst'!$G$7:$G$2010,$D99,'LAC 102_Wkst'!$L$7:$L$2010,"08",'LAC 102_Wkst'!$N$7:$N$2010,"P4")</f>
        <v>0</v>
      </c>
      <c r="AJ99" s="410">
        <f>SUMIFS('LAC 102_Wkst'!$Q$7:$Q$2010,'LAC 102_Wkst'!$D$7:$D$2010,$C$7,'LAC 102_Wkst'!$I$7:$I$2010,$C$9,'LAC 102_Wkst'!$E$7:$E$2010,$C99,'LAC 102_Wkst'!$G$7:$G$2010,$D99,'LAC 102_Wkst'!$L$7:$L$2010,"08",'LAC 102_Wkst'!$N$7:$N$2010,"P5")</f>
        <v>0</v>
      </c>
      <c r="AK99" s="411">
        <f>SUMIFS('LAC 102_Wkst'!$AF$7:$AF$2010,'LAC 102_Wkst'!$D$7:$D$2010,$C$7,'LAC 102_Wkst'!$I$7:$I$2010,$C$9,'LAC 102_Wkst'!$E$7:$E$2010,$C99,'LAC 102_Wkst'!$G$7:$G$2010,$D99,'LAC 102_Wkst'!$L$7:$L$2010,"08",'LAC 102_Wkst'!$N$7:$N$2010,"P5")</f>
        <v>0</v>
      </c>
      <c r="AL99" s="410">
        <f>SUMIFS('LAC 102_Wkst'!$Q$7:$Q$2010,'LAC 102_Wkst'!$D$7:$D$2010,$C$7,'LAC 102_Wkst'!$I$7:$I$2010,$C$9,'LAC 102_Wkst'!$E$7:$E$2010,$C99,'LAC 102_Wkst'!$G$7:$G$2010,$D99,'LAC 102_Wkst'!$L$7:$L$2010,"09",'LAC 102_Wkst'!$N$7:$N$2010,"P1")+SUMIFS('LAC 102_Wkst'!$Q$7:$Q$2010,'LAC 102_Wkst'!$D$7:$D$2010,$C$7,'LAC 102_Wkst'!$I$7:$I$2010,$C$9,'LAC 102_Wkst'!$E$7:$E$2010,$C99,'LAC 102_Wkst'!$G$7:$G$2010,$D99,'LAC 102_Wkst'!$L$7:$L$2010,"09",'LAC 102_Wkst'!$N$7:$N$2010,"P2")+SUMIFS('LAC 102_Wkst'!$Q$7:$Q$2010,'LAC 102_Wkst'!$D$7:$D$2010,$C$7,'LAC 102_Wkst'!$I$7:$I$2010,$C$9,'LAC 102_Wkst'!$E$7:$E$2010,$C99,'LAC 102_Wkst'!$G$7:$G$2010,$D99,'LAC 102_Wkst'!$L$7:$L$2010,"09",'LAC 102_Wkst'!$N$7:$N$2010,"P3")+SUMIFS('LAC 102_Wkst'!$Q$7:$Q$2010,'LAC 102_Wkst'!$D$7:$D$2010,$C$7,'LAC 102_Wkst'!$I$7:$I$2010,$C$9,'LAC 102_Wkst'!$E$7:$E$2010,$C99,'LAC 102_Wkst'!$G$7:$G$2010,$D99,'LAC 102_Wkst'!$L$7:$L$2010,"09",'LAC 102_Wkst'!$N$7:$N$2010,"P4")</f>
        <v>0</v>
      </c>
      <c r="AM99" s="411">
        <f>SUMIFS('LAC 102_Wkst'!$AF$7:$AF$2010,'LAC 102_Wkst'!$D$7:$D$2010,$C$7,'LAC 102_Wkst'!$I$7:$I$2010,$C$9,'LAC 102_Wkst'!$E$7:$E$2010,$C99,'LAC 102_Wkst'!$G$7:$G$2010,$D99,'LAC 102_Wkst'!$L$7:$L$2010,"09",'LAC 102_Wkst'!$N$7:$N$2010,"P1")+SUMIFS('LAC 102_Wkst'!$AF$7:$AF$2010,'LAC 102_Wkst'!$D$7:$D$2010,$C$7,'LAC 102_Wkst'!$I$7:$I$2010,$C$9,'LAC 102_Wkst'!$E$7:$E$2010,$C99,'LAC 102_Wkst'!$G$7:$G$2010,$D99,'LAC 102_Wkst'!$L$7:$L$2010,"09",'LAC 102_Wkst'!$N$7:$N$2010,"P2")+SUMIFS('LAC 102_Wkst'!$AF$7:$AF$2010,'LAC 102_Wkst'!$D$7:$D$2010,$C$7,'LAC 102_Wkst'!$I$7:$I$2010,$C$9,'LAC 102_Wkst'!$E$7:$E$2010,$C99,'LAC 102_Wkst'!$G$7:$G$2010,$D99,'LAC 102_Wkst'!$L$7:$L$2010,"09",'LAC 102_Wkst'!$N$7:$N$2010,"P3")+SUMIFS('LAC 102_Wkst'!$AF$7:$AF$2010,'LAC 102_Wkst'!$D$7:$D$2010,$C$7,'LAC 102_Wkst'!$I$7:$I$2010,$C$9,'LAC 102_Wkst'!$E$7:$E$2010,$C99,'LAC 102_Wkst'!$G$7:$G$2010,$D99,'LAC 102_Wkst'!$L$7:$L$2010,"09",'LAC 102_Wkst'!$N$7:$N$2010,"P4")</f>
        <v>0</v>
      </c>
      <c r="AN99" s="410">
        <f>SUMIFS('LAC 102_Wkst'!$Q$7:$Q$2010,'LAC 102_Wkst'!$D$7:$D$2010,$C$7,'LAC 102_Wkst'!$I$7:$I$2010,$C$9,'LAC 102_Wkst'!$E$7:$E$2010,$C99,'LAC 102_Wkst'!$G$7:$G$2010,$D99,'LAC 102_Wkst'!$L$7:$L$2010,"09",'LAC 102_Wkst'!$N$7:$N$2010,"P5")</f>
        <v>0</v>
      </c>
      <c r="AO99" s="411">
        <f>SUMIFS('LAC 102_Wkst'!$AF$7:$AF$2010,'LAC 102_Wkst'!$D$7:$D$2010,$C$7,'LAC 102_Wkst'!$I$7:$I$2010,$C$9,'LAC 102_Wkst'!$E$7:$E$2010,$C99,'LAC 102_Wkst'!$G$7:$G$2010,$D99,'LAC 102_Wkst'!$L$7:$L$2010,"09",'LAC 102_Wkst'!$N$7:$N$2010,"P5")</f>
        <v>0</v>
      </c>
      <c r="AP99" s="410">
        <f>SUMIFS('LAC 102_Wkst'!$Q$7:$Q$2010,'LAC 102_Wkst'!$D$7:$D$2010,$C$7,'LAC 102_Wkst'!$I$7:$I$2010,$C$9,'LAC 102_Wkst'!$E$7:$E$2010,$C99,'LAC 102_Wkst'!$G$7:$G$2010,$D99,'LAC 102_Wkst'!$L$7:$L$2010,"10",'LAC 102_Wkst'!$N$7:$N$2010,"P1")+SUMIFS('LAC 102_Wkst'!$Q$7:$Q$2010,'LAC 102_Wkst'!$D$7:$D$2010,$C$7,'LAC 102_Wkst'!$I$7:$I$2010,$C$9,'LAC 102_Wkst'!$E$7:$E$2010,$C99,'LAC 102_Wkst'!$G$7:$G$2010,$D99,'LAC 102_Wkst'!$L$7:$L$2010,"10",'LAC 102_Wkst'!$N$7:$N$2010,"P2")+SUMIFS('LAC 102_Wkst'!$Q$7:$Q$2010,'LAC 102_Wkst'!$D$7:$D$2010,$C$7,'LAC 102_Wkst'!$I$7:$I$2010,$C$9,'LAC 102_Wkst'!$E$7:$E$2010,$C99,'LAC 102_Wkst'!$G$7:$G$2010,$D99,'LAC 102_Wkst'!$L$7:$L$2010,"10",'LAC 102_Wkst'!$N$7:$N$2010,"P3")+SUMIFS('LAC 102_Wkst'!$Q$7:$Q$2010,'LAC 102_Wkst'!$D$7:$D$2010,$C$7,'LAC 102_Wkst'!$I$7:$I$2010,$C$9,'LAC 102_Wkst'!$E$7:$E$2010,$C99,'LAC 102_Wkst'!$G$7:$G$2010,$D99,'LAC 102_Wkst'!$L$7:$L$2010,"10",'LAC 102_Wkst'!$N$7:$N$2010,"P4")</f>
        <v>0</v>
      </c>
      <c r="AQ99" s="411">
        <f>SUMIFS('LAC 102_Wkst'!$AF$7:$AF$2010,'LAC 102_Wkst'!$D$7:$D$2010,$C$7,'LAC 102_Wkst'!$I$7:$I$2010,$C$9,'LAC 102_Wkst'!$E$7:$E$2010,$C99,'LAC 102_Wkst'!$G$7:$G$2010,$D99,'LAC 102_Wkst'!$L$7:$L$2010,"10",'LAC 102_Wkst'!$N$7:$N$2010,"P1")+SUMIFS('LAC 102_Wkst'!$AF$7:$AF$2010,'LAC 102_Wkst'!$D$7:$D$2010,$C$7,'LAC 102_Wkst'!$I$7:$I$2010,$C$9,'LAC 102_Wkst'!$E$7:$E$2010,$C99,'LAC 102_Wkst'!$G$7:$G$2010,$D99,'LAC 102_Wkst'!$L$7:$L$2010,"10",'LAC 102_Wkst'!$N$7:$N$2010,"P2")+SUMIFS('LAC 102_Wkst'!$AF$7:$AF$2010,'LAC 102_Wkst'!$D$7:$D$2010,$C$7,'LAC 102_Wkst'!$I$7:$I$2010,$C$9,'LAC 102_Wkst'!$E$7:$E$2010,$C99,'LAC 102_Wkst'!$G$7:$G$2010,$D99,'LAC 102_Wkst'!$L$7:$L$2010,"10",'LAC 102_Wkst'!$N$7:$N$2010,"P3")+SUMIFS('LAC 102_Wkst'!$AF$7:$AF$2010,'LAC 102_Wkst'!$D$7:$D$2010,$C$7,'LAC 102_Wkst'!$I$7:$I$2010,$C$9,'LAC 102_Wkst'!$E$7:$E$2010,$C99,'LAC 102_Wkst'!$G$7:$G$2010,$D99,'LAC 102_Wkst'!$L$7:$L$2010,"10",'LAC 102_Wkst'!$N$7:$N$2010,"P4")</f>
        <v>0</v>
      </c>
      <c r="AR99" s="410">
        <f>SUMIFS('LAC 102_Wkst'!$Q$7:$Q$2010,'LAC 102_Wkst'!$D$7:$D$2010,$C$7,'LAC 102_Wkst'!$I$7:$I$2010,$C$9,'LAC 102_Wkst'!$E$7:$E$2010,$C99,'LAC 102_Wkst'!$G$7:$G$2010,$D99,'LAC 102_Wkst'!$L$7:$L$2010,"10",'LAC 102_Wkst'!$N$7:$N$2010,"P5")</f>
        <v>0</v>
      </c>
      <c r="AS99" s="411">
        <f>SUMIFS('LAC 102_Wkst'!$AF$7:$AF$2010,'LAC 102_Wkst'!$D$7:$D$2010,$C$7,'LAC 102_Wkst'!$I$7:$I$2010,$C$9,'LAC 102_Wkst'!$E$7:$E$2010,$C99,'LAC 102_Wkst'!$G$7:$G$2010,$D99,'LAC 102_Wkst'!$L$7:$L$2010,"10",'LAC 102_Wkst'!$N$7:$N$2010,"P5")</f>
        <v>0</v>
      </c>
      <c r="AT99" s="410">
        <f>SUMIFS('LAC 102_Wkst'!$Q$7:$Q$2010,'LAC 102_Wkst'!$D$7:$D$2010,$C$7,'LAC 102_Wkst'!$I$7:$I$2010,$C$9,'LAC 102_Wkst'!$E$7:$E$2010,$C99,'LAC 102_Wkst'!$G$7:$G$2010,$D99,'LAC 102_Wkst'!$L$7:$L$2010,"11",'LAC 102_Wkst'!$N$7:$N$2010,"P1")+SUMIFS('LAC 102_Wkst'!$Q$7:$Q$2010,'LAC 102_Wkst'!$D$7:$D$2010,$C$7,'LAC 102_Wkst'!$I$7:$I$2010,$C$9,'LAC 102_Wkst'!$E$7:$E$2010,$C99,'LAC 102_Wkst'!$G$7:$G$2010,$D99,'LAC 102_Wkst'!$L$7:$L$2010,"12",'LAC 102_Wkst'!$N$7:$N$2010,"P1")</f>
        <v>0</v>
      </c>
      <c r="AU99" s="411">
        <f>SUMIFS('LAC 102_Wkst'!$Q$7:$Q$2010,'LAC 102_Wkst'!$D$7:$D$2010,$C$7,'LAC 102_Wkst'!$I$7:$I$2010,$C$9,'LAC 102_Wkst'!$E$7:$E$2010,$C99,'LAC 102_Wkst'!$G$7:$G$2010,$D99,'LAC 102_Wkst'!$L$7:$L$2010,"13",'LAC 102_Wkst'!$N$7:$N$2010,"P5")</f>
        <v>0</v>
      </c>
      <c r="AV99" s="410">
        <f>SUMIFS('LAC 102_Wkst'!$Q$7:$Q$2010,'LAC 102_Wkst'!$D$7:$D$2010,$C$7,'LAC 102_Wkst'!$I$7:$I$2010,$C$9,'LAC 102_Wkst'!$E$7:$E$2010,$C99,'LAC 102_Wkst'!$G$7:$G$2010,$D99,'LAC 102_Wkst'!$L$7:$L$2010,"11",'LAC 102_Wkst'!$N$7:$N$2010,"P2")+SUMIFS('LAC 102_Wkst'!$Q$7:$Q$2010,'LAC 102_Wkst'!$D$7:$D$2010,$C$7,'LAC 102_Wkst'!$I$7:$I$2010,$C$9,'LAC 102_Wkst'!$E$7:$E$2010,$C99,'LAC 102_Wkst'!$G$7:$G$2010,$D99,'LAC 102_Wkst'!$L$7:$L$2010,"12",'LAC 102_Wkst'!$N$7:$N$2010,"P2")+SUMIFS('LAC 102_Wkst'!$Q$7:$Q$2010,'LAC 102_Wkst'!$D$7:$D$2010,$C$7,'LAC 102_Wkst'!$I$7:$I$2010,$C$9,'LAC 102_Wkst'!$E$7:$E$2010,$C99,'LAC 102_Wkst'!$G$7:$G$2010,$D99,'LAC 102_Wkst'!$L$7:$L$2010,"11",'LAC 102_Wkst'!$N$7:$N$2010,"P3")+SUMIFS('LAC 102_Wkst'!$Q$7:$Q$2010,'LAC 102_Wkst'!$D$7:$D$2010,$C$7,'LAC 102_Wkst'!$I$7:$I$2010,$C$9,'LAC 102_Wkst'!$E$7:$E$2010,$C99,'LAC 102_Wkst'!$G$7:$G$2010,$D99,'LAC 102_Wkst'!$L$7:$L$2010,"12",'LAC 102_Wkst'!$N$7:$N$2010,"P3")</f>
        <v>0</v>
      </c>
      <c r="AW99" s="411">
        <f>SUMIFS('LAC 102_Wkst'!$AF$7:$AF$2010,'LAC 102_Wkst'!$D$7:$D$2010,$C$7,'LAC 102_Wkst'!$I$7:$I$2010,$C$9,'LAC 102_Wkst'!$E$7:$E$2010,$C99,'LAC 102_Wkst'!$G$7:$G$2010,$D99,'LAC 102_Wkst'!$L$7:$L$2010,"11",'LAC 102_Wkst'!$N$7:$N$2010,"P2")+SUMIFS('LAC 102_Wkst'!$AF$7:$AF$2010,'LAC 102_Wkst'!$D$7:$D$2010,$C$7,'LAC 102_Wkst'!$I$7:$I$2010,$C$9,'LAC 102_Wkst'!$E$7:$E$2010,$C99,'LAC 102_Wkst'!$G$7:$G$2010,$D99,'LAC 102_Wkst'!$L$7:$L$2010,"12",'LAC 102_Wkst'!$N$7:$N$2010,"P2")+SUMIFS('LAC 102_Wkst'!$AF$7:$AF$2010,'LAC 102_Wkst'!$D$7:$D$2010,$C$7,'LAC 102_Wkst'!$I$7:$I$2010,$C$9,'LAC 102_Wkst'!$E$7:$E$2010,$C99,'LAC 102_Wkst'!$G$7:$G$2010,$D99,'LAC 102_Wkst'!$L$7:$L$2010,"11",'LAC 102_Wkst'!$N$7:$N$2010,"P3")+SUMIFS('LAC 102_Wkst'!$AF$7:$AF$2010,'LAC 102_Wkst'!$D$7:$D$2010,$C$7,'LAC 102_Wkst'!$I$7:$I$2010,$C$9,'LAC 102_Wkst'!$E$7:$E$2010,$C99,'LAC 102_Wkst'!$G$7:$G$2010,$D99,'LAC 102_Wkst'!$L$7:$L$2010,"12",'LAC 102_Wkst'!$N$7:$N$2010,"P3")</f>
        <v>0</v>
      </c>
      <c r="AX99" s="410">
        <f>SUMIFS('LAC 102_Wkst'!$Q$7:$Q$2010,'LAC 102_Wkst'!$D$7:$D$2010,$C$7,'LAC 102_Wkst'!$I$7:$I$2010,$C$9,'LAC 102_Wkst'!$E$7:$E$2010,$C99,'LAC 102_Wkst'!$G$7:$G$2010,$D99,'LAC 102_Wkst'!$L$7:$L$2010,"11",'LAC 102_Wkst'!$N$7:$N$2010,"P4")+SUMIFS('LAC 102_Wkst'!$Q$7:$Q$2010,'LAC 102_Wkst'!$D$7:$D$2010,$C$7,'LAC 102_Wkst'!$I$7:$I$2010,$C$9,'LAC 102_Wkst'!$E$7:$E$2010,$C99,'LAC 102_Wkst'!$G$7:$G$2010,$D99,'LAC 102_Wkst'!$L$7:$L$2010,"12",'LAC 102_Wkst'!$N$7:$N$2010,"P4")</f>
        <v>0</v>
      </c>
      <c r="AY99" s="411">
        <f>SUMIFS('LAC 102_Wkst'!$AF$7:$AF$2010,'LAC 102_Wkst'!$D$7:$D$2010,$C$7,'LAC 102_Wkst'!$I$7:$I$2010,$C$9,'LAC 102_Wkst'!$E$7:$E$2010,$C99,'LAC 102_Wkst'!$G$7:$G$2010,$D99,'LAC 102_Wkst'!$L$7:$L$2010,"11",'LAC 102_Wkst'!$N$7:$N$2010,"P4")+SUMIFS('LAC 102_Wkst'!$AF$7:$AF$2010,'LAC 102_Wkst'!$D$7:$D$2010,$C$7,'LAC 102_Wkst'!$I$7:$I$2010,$C$9,'LAC 102_Wkst'!$E$7:$E$2010,$C99,'LAC 102_Wkst'!$G$7:$G$2010,$D99,'LAC 102_Wkst'!$L$7:$L$2010,"12",'LAC 102_Wkst'!$N$7:$N$2010,"P4")</f>
        <v>0</v>
      </c>
      <c r="AZ99" s="410">
        <f>SUMIFS('LAC 102_Wkst'!$Q$7:$Q$2010,'LAC 102_Wkst'!$D$7:$D$2010,$C$7,'LAC 102_Wkst'!$I$7:$I$2010,$C$9,'LAC 102_Wkst'!$E$7:$E$2010,$C99,'LAC 102_Wkst'!$G$7:$G$2010,$D99,'LAC 102_Wkst'!$L$7:$L$2010,"11",'LAC 102_Wkst'!$N$7:$N$2010,"P5")+SUMIFS('LAC 102_Wkst'!$Q$7:$Q$2010,'LAC 102_Wkst'!$D$7:$D$2010,$C$7,'LAC 102_Wkst'!$I$7:$I$2010,$C$9,'LAC 102_Wkst'!$E$7:$E$2010,$C99,'LAC 102_Wkst'!$G$7:$G$2010,$D99,'LAC 102_Wkst'!$L$7:$L$2010,"12",'LAC 102_Wkst'!$N$7:$N$2010,"P5")</f>
        <v>0</v>
      </c>
      <c r="BA99" s="411">
        <f>SUMIFS('LAC 102_Wkst'!$AF$7:$AF$2010,'LAC 102_Wkst'!$D$7:$D$2010,$C$7,'LAC 102_Wkst'!$I$7:$I$2010,$C$9,'LAC 102_Wkst'!$E$7:$E$2010,$C99,'LAC 102_Wkst'!$G$7:$G$2010,$D99,'LAC 102_Wkst'!$L$7:$L$2010,"11",'LAC 102_Wkst'!$N$7:$N$2010,"P5")+SUMIFS('LAC 102_Wkst'!$AF$7:$AF$2010,'LAC 102_Wkst'!$D$7:$D$2010,$C$7,'LAC 102_Wkst'!$I$7:$I$2010,$C$9,'LAC 102_Wkst'!$E$7:$E$2010,$C99,'LAC 102_Wkst'!$G$7:$G$2010,$D99,'LAC 102_Wkst'!$L$7:$L$2010,"12",'LAC 102_Wkst'!$N$7:$N$2010,"P5")</f>
        <v>0</v>
      </c>
      <c r="BB99" s="410">
        <f>SUMIFS('LAC 102_Wkst'!$Q$7:$Q$2010,'LAC 102_Wkst'!$D$7:$D$2010,$C$7,'LAC 102_Wkst'!$I$7:$I$2010,$C$9,'LAC 102_Wkst'!$E$7:$E$2010,$C99,'LAC 102_Wkst'!$G$7:$G$2010,$D99,'LAC 102_Wkst'!$L$7:$L$2010,"13",'LAC 102_Wkst'!$N$7:$N$2010,"P1")+SUMIFS('LAC 102_Wkst'!$Q$7:$Q$2010,'LAC 102_Wkst'!$D$7:$D$2010,$C$7,'LAC 102_Wkst'!$I$7:$I$2010,$C$9,'LAC 102_Wkst'!$E$7:$E$2010,$C99,'LAC 102_Wkst'!$G$7:$G$2010,$D99,'LAC 102_Wkst'!$L$7:$L$2010,"13",'LAC 102_Wkst'!$N$7:$N$2010,"P2")+SUMIFS('LAC 102_Wkst'!$Q$7:$Q$2010,'LAC 102_Wkst'!$D$7:$D$2010,$C$7,'LAC 102_Wkst'!$I$7:$I$2010,$C$9,'LAC 102_Wkst'!$E$7:$E$2010,$C99,'LAC 102_Wkst'!$G$7:$G$2010,$D99,'LAC 102_Wkst'!$L$7:$L$2010,"13",'LAC 102_Wkst'!$N$7:$N$2010,"P3")+SUMIFS('LAC 102_Wkst'!$Q$7:$Q$2010,'LAC 102_Wkst'!$D$7:$D$2010,$C$7,'LAC 102_Wkst'!$I$7:$I$2010,$C$9,'LAC 102_Wkst'!$E$7:$E$2010,$C99,'LAC 102_Wkst'!$G$7:$G$2010,$D99,'LAC 102_Wkst'!$L$7:$L$2010,"13",'LAC 102_Wkst'!$N$7:$N$2010,"P4")</f>
        <v>0</v>
      </c>
      <c r="BC99" s="411">
        <f>SUMIFS('LAC 102_Wkst'!$AF$7:$AF$2010,'LAC 102_Wkst'!$D$7:$D$2010,$C$7,'LAC 102_Wkst'!$I$7:$I$2010,$C$9,'LAC 102_Wkst'!$E$7:$E$2010,$C99,'LAC 102_Wkst'!$G$7:$G$2010,$D99,'LAC 102_Wkst'!$L$7:$L$2010,"13",'LAC 102_Wkst'!$N$7:$N$2010,"P1")+SUMIFS('LAC 102_Wkst'!$AF$7:$AF$2010,'LAC 102_Wkst'!$D$7:$D$2010,$C$7,'LAC 102_Wkst'!$I$7:$I$2010,$C$9,'LAC 102_Wkst'!$E$7:$E$2010,$C99,'LAC 102_Wkst'!$G$7:$G$2010,$D99,'LAC 102_Wkst'!$L$7:$L$2010,"13",'LAC 102_Wkst'!$N$7:$N$2010,"P2")+SUMIFS('LAC 102_Wkst'!$AF$7:$AF$2010,'LAC 102_Wkst'!$D$7:$D$2010,$C$7,'LAC 102_Wkst'!$I$7:$I$2010,$C$9,'LAC 102_Wkst'!$E$7:$E$2010,$C99,'LAC 102_Wkst'!$G$7:$G$2010,$D99,'LAC 102_Wkst'!$L$7:$L$2010,"13",'LAC 102_Wkst'!$N$7:$N$2010,"P3")+SUMIFS('LAC 102_Wkst'!$AF$7:$AF$2010,'LAC 102_Wkst'!$D$7:$D$2010,$C$7,'LAC 102_Wkst'!$I$7:$I$2010,$C$9,'LAC 102_Wkst'!$E$7:$E$2010,$C99,'LAC 102_Wkst'!$G$7:$G$2010,$D99,'LAC 102_Wkst'!$L$7:$L$2010,"13",'LAC 102_Wkst'!$N$7:$N$2010,"P4")</f>
        <v>0</v>
      </c>
      <c r="BD99" s="410">
        <f>SUMIFS('LAC 102_Wkst'!$Q$7:$Q$2010,'LAC 102_Wkst'!$D$7:$D$2010,$C$7,'LAC 102_Wkst'!$I$7:$I$2010,$C$9,'LAC 102_Wkst'!$E$7:$E$2010,$C99,'LAC 102_Wkst'!$G$7:$G$2010,$D99,'LAC 102_Wkst'!$L$7:$L$2010,"13",'LAC 102_Wkst'!$N$7:$N$2010,"P5")</f>
        <v>0</v>
      </c>
      <c r="BE99" s="411">
        <f>SUMIFS('LAC 102_Wkst'!$AF$7:$AF$2010,'LAC 102_Wkst'!$D$7:$D$2010,$C$7,'LAC 102_Wkst'!$I$7:$I$2010,$C$9,'LAC 102_Wkst'!$E$7:$E$2010,$C99,'LAC 102_Wkst'!$G$7:$G$2010,$D99,'LAC 102_Wkst'!$L$7:$L$2010,"13",'LAC 102_Wkst'!$N$7:$N$2010,"P5")</f>
        <v>0</v>
      </c>
      <c r="BF99" s="407">
        <f t="shared" si="5"/>
        <v>0</v>
      </c>
      <c r="BG99" s="1654">
        <f>SUMIFS('LAC 102_Wkst'!$AF$7:$AF$2010,'LAC 102_Wkst'!$D$7:$D$2010,$C$7,'LAC 102_Wkst'!$I$7:$I$2010,$C$9,'LAC 102_Wkst'!$E$7:$E$2010,$C99,'LAC 102_Wkst'!$G$7:$G$2010,$D99,'LAC 102_Wkst'!$L$7:$L$2010,"14")</f>
        <v>0</v>
      </c>
    </row>
    <row r="100" spans="1:59" x14ac:dyDescent="0.2">
      <c r="A100" s="401">
        <v>78</v>
      </c>
      <c r="B100" s="1678" t="str">
        <f>IF(Schedule_B!B$97="","",Schedule_B!B$97)</f>
        <v/>
      </c>
      <c r="C100" s="1674" t="str">
        <f>IF(Schedule_B!C$97=""," ",Schedule_B!C$97)</f>
        <v xml:space="preserve"> </v>
      </c>
      <c r="D100" s="1675" t="str">
        <f>IF(Schedule_B!D$97=""," ",Schedule_B!D$97)</f>
        <v xml:space="preserve"> </v>
      </c>
      <c r="E100" s="1221">
        <f>SUMIFS('LAC 102_Wkst'!$Q$7:$Q$2010,'LAC 102_Wkst'!$D$7:$D$2010,$C$7,'LAC 102_Wkst'!$I$7:$I$2010,$C$9,'LAC 102_Wkst'!$E$7:$E$2010,$C100,'LAC 102_Wkst'!$G$7:$G$2010,$D100)</f>
        <v>0</v>
      </c>
      <c r="F100" s="408">
        <f>SUMIFS('LAC 102_Wkst'!$Q$7:$Q$2010,'LAC 102_Wkst'!$D$7:$D$2010,$C$7,'LAC 102_Wkst'!$I$7:$I$2010,$C$9,'LAC 102_Wkst'!$E$7:$E$2010,$C100,'LAC 102_Wkst'!$G$7:$G$2010,$D100,'LAC 102_Wkst'!$L$7:$L$2010,"01",'LAC 102_Wkst'!$N$7:$N$2010,"P1")+SUMIFS('LAC 102_Wkst'!$Q$7:$Q$2010,'LAC 102_Wkst'!$D$7:$D$2010,$C$7,'LAC 102_Wkst'!$I$7:$I$2010,$C$9,'LAC 102_Wkst'!$E$7:$E$2010,$C100,'LAC 102_Wkst'!$G$7:$G$2010,$D100,'LAC 102_Wkst'!$L$7:$L$2010,"01",'LAC 102_Wkst'!$N$7:$N$2010,"P2")+SUMIFS('LAC 102_Wkst'!$Q$7:$Q$2010,'LAC 102_Wkst'!$D$7:$D$2010,$C$7,'LAC 102_Wkst'!$I$7:$I$2010,$C$9,'LAC 102_Wkst'!$E$7:$E$2010,$C100,'LAC 102_Wkst'!$G$7:$G$2010,$D100,'LAC 102_Wkst'!$L$7:$L$2010,"01",'LAC 102_Wkst'!$N$7:$N$2010,"P3")+SUMIFS('LAC 102_Wkst'!$Q$7:$Q$2010,'LAC 102_Wkst'!$D$7:$D$2010,$C$7,'LAC 102_Wkst'!$I$7:$I$2010,$C$9,'LAC 102_Wkst'!$E$7:$E$2010,$C100,'LAC 102_Wkst'!$G$7:$G$2010,$D100,'LAC 102_Wkst'!$L$7:$L$2010,"02",'LAC 102_Wkst'!$N$7:$N$2010,"P1")+SUMIFS('LAC 102_Wkst'!$Q$7:$Q$2010,'LAC 102_Wkst'!$D$7:$D$2010,$C$7,'LAC 102_Wkst'!$I$7:$I$2010,$C$9,'LAC 102_Wkst'!$E$7:$E$2010,$C100,'LAC 102_Wkst'!$G$7:$G$2010,$D100,'LAC 102_Wkst'!$L$7:$L$2010,"02",'LAC 102_Wkst'!$N$7:$N$2010,"P2")+SUMIFS('LAC 102_Wkst'!$Q$7:$Q$2010,'LAC 102_Wkst'!$D$7:$D$2010,$C$7,'LAC 102_Wkst'!$I$7:$I$2010,$C$9,'LAC 102_Wkst'!$E$7:$E$2010,$C100,'LAC 102_Wkst'!$G$7:$G$2010,$D100,'LAC 102_Wkst'!$L$7:$L$2010,"02",'LAC 102_Wkst'!$N$7:$N$2010,"P3")</f>
        <v>0</v>
      </c>
      <c r="G100" s="409">
        <f>SUMIFS('LAC 102_Wkst'!$AF$7:$AF$2010,'LAC 102_Wkst'!$D$7:$D$2010,$C$7,'LAC 102_Wkst'!$I$7:$I$2010,$C$9,'LAC 102_Wkst'!$E$7:$E$2010,$C100,'LAC 102_Wkst'!$G$7:$G$2010,$D100,'LAC 102_Wkst'!$L$7:$L$2010,"01",'LAC 102_Wkst'!$N$7:$N$2010,"P1")+SUMIFS('LAC 102_Wkst'!$AF$7:$AF$2010,'LAC 102_Wkst'!$D$7:$D$2010,$C$7,'LAC 102_Wkst'!$I$7:$I$2010,$C$9,'LAC 102_Wkst'!$E$7:$E$2010,$C100,'LAC 102_Wkst'!$G$7:$G$2010,$D100,'LAC 102_Wkst'!$L$7:$L$2010,"01",'LAC 102_Wkst'!$N$7:$N$2010,"P2")+SUMIFS('LAC 102_Wkst'!$AF$7:$AF$2010,'LAC 102_Wkst'!$D$7:$D$2010,$C$7,'LAC 102_Wkst'!$I$7:$I$2010,$C$9,'LAC 102_Wkst'!$E$7:$E$2010,$C100,'LAC 102_Wkst'!$G$7:$G$2010,$D100,'LAC 102_Wkst'!$L$7:$L$2010,"01",'LAC 102_Wkst'!$N$7:$N$2010,"P3")+SUMIFS('LAC 102_Wkst'!$AF$7:$AF$2010,'LAC 102_Wkst'!$D$7:$D$2010,$C$7,'LAC 102_Wkst'!$I$7:$I$2010,$C$9,'LAC 102_Wkst'!$E$7:$E$2010,$C100,'LAC 102_Wkst'!$G$7:$G$2010,$D100,'LAC 102_Wkst'!$L$7:$L$2010,"02",'LAC 102_Wkst'!$N$7:$N$2010,"P1")+SUMIFS('LAC 102_Wkst'!$AF$7:$AF$2010,'LAC 102_Wkst'!$D$7:$D$2010,$C$7,'LAC 102_Wkst'!$I$7:$I$2010,$C$9,'LAC 102_Wkst'!$E$7:$E$2010,$C100,'LAC 102_Wkst'!$G$7:$G$2010,$D100,'LAC 102_Wkst'!$L$7:$L$2010,"02",'LAC 102_Wkst'!$N$7:$N$2010,"P2")+SUMIFS('LAC 102_Wkst'!$AF$7:$AF$2010,'LAC 102_Wkst'!$D$7:$D$2010,$C$7,'LAC 102_Wkst'!$I$7:$I$2010,$C$9,'LAC 102_Wkst'!$E$7:$E$2010,$C100,'LAC 102_Wkst'!$G$7:$G$2010,$D100,'LAC 102_Wkst'!$L$7:$L$2010,"02",'LAC 102_Wkst'!$N$7:$N$2010,"P3")</f>
        <v>0</v>
      </c>
      <c r="H100" s="410">
        <f>SUMIFS('LAC 102_Wkst'!$Q$7:$Q$2010,'LAC 102_Wkst'!$D$7:$D$2010,$C$7,'LAC 102_Wkst'!$I$7:$I$2010,$C$9,'LAC 102_Wkst'!$E$7:$E$2010,$C100,'LAC 102_Wkst'!$G$7:$G$2010,$D100,'LAC 102_Wkst'!$L$7:$L$2010,"01",'LAC 102_Wkst'!$N$7:$N$2010,"P4")+SUMIFS('LAC 102_Wkst'!$Q$7:$Q$2010,'LAC 102_Wkst'!$D$7:$D$2010,$C$7,'LAC 102_Wkst'!$I$7:$I$2010,$C$9,'LAC 102_Wkst'!$E$7:$E$2010,$C100,'LAC 102_Wkst'!$G$7:$G$2010,$D100,'LAC 102_Wkst'!$L$7:$L$2010,"02",'LAC 102_Wkst'!$N$7:$N$2010,"P4")</f>
        <v>0</v>
      </c>
      <c r="I100" s="411">
        <f>SUMIFS('LAC 102_Wkst'!$AF$7:$AF$2010,'LAC 102_Wkst'!$D$7:$D$2010,$C$7,'LAC 102_Wkst'!$I$7:$I$2010,$C$9,'LAC 102_Wkst'!$E$7:$E$2010,$C100,'LAC 102_Wkst'!$G$7:$G$2010,$D100,'LAC 102_Wkst'!$L$7:$L$2010,"01",'LAC 102_Wkst'!$N$7:$N$2010,"P4")+SUMIFS('LAC 102_Wkst'!$AF$7:$AF$2010,'LAC 102_Wkst'!$D$7:$D$2010,$C$7,'LAC 102_Wkst'!$I$7:$I$2010,$C$9,'LAC 102_Wkst'!$E$7:$E$2010,$C100,'LAC 102_Wkst'!$G$7:$G$2010,$D100,'LAC 102_Wkst'!$L$7:$L$2010,"02",'LAC 102_Wkst'!$N$7:$N$2010,"P4")</f>
        <v>0</v>
      </c>
      <c r="J100" s="410">
        <f>SUMIFS('LAC 102_Wkst'!$Q$7:$Q$2010,'LAC 102_Wkst'!$D$7:$D$2010,$C$7,'LAC 102_Wkst'!$I$7:$I$2010,$C$9,'LAC 102_Wkst'!$E$7:$E$2010,$C100,'LAC 102_Wkst'!$G$7:$G$2010,$D100,'LAC 102_Wkst'!$L$7:$L$2010,"01",'LAC 102_Wkst'!$N$7:$N$2010,"P5")+SUMIFS('LAC 102_Wkst'!$Q$7:$Q$2010,'LAC 102_Wkst'!$D$7:$D$2010,$C$7,'LAC 102_Wkst'!$I$7:$I$2010,$C$9,'LAC 102_Wkst'!$E$7:$E$2010,$C100,'LAC 102_Wkst'!$G$7:$G$2010,$D100,'LAC 102_Wkst'!$L$7:$L$2010,"02",'LAC 102_Wkst'!$N$7:$N$2010,"P5")</f>
        <v>0</v>
      </c>
      <c r="K100" s="411">
        <f>SUMIFS('LAC 102_Wkst'!$AF$7:$AF$2010,'LAC 102_Wkst'!$D$7:$D$2010,$C$7,'LAC 102_Wkst'!$I$7:$I$2010,$C$9,'LAC 102_Wkst'!$E$7:$E$2010,$C100,'LAC 102_Wkst'!$G$7:$G$2010,$D100,'LAC 102_Wkst'!$L$7:$L$2010,"01",'LAC 102_Wkst'!$N$7:$N$2010,"P5")+SUMIFS('LAC 102_Wkst'!$AF$7:$AF$2010,'LAC 102_Wkst'!$D$7:$D$2010,$C$7,'LAC 102_Wkst'!$I$7:$I$2010,$C$9,'LAC 102_Wkst'!$E$7:$E$2010,$C100,'LAC 102_Wkst'!$G$7:$G$2010,$D100,'LAC 102_Wkst'!$L$7:$L$2010,"02",'LAC 102_Wkst'!$N$7:$N$2010,"P5")</f>
        <v>0</v>
      </c>
      <c r="L100" s="410">
        <f>SUMIFS('LAC 102_Wkst'!$Q$7:$Q$2010,'LAC 102_Wkst'!$D$7:$D$2010,$C$7,'LAC 102_Wkst'!$I$7:$I$2010,$C$9,'LAC 102_Wkst'!$E$7:$E$2010,$C100,'LAC 102_Wkst'!$G$7:$G$2010,$D100,'LAC 102_Wkst'!$L$7:$L$2010,"03",'LAC 102_Wkst'!$N$7:$N$2010,"P1")+SUMIFS('LAC 102_Wkst'!$Q$7:$Q$2010,'LAC 102_Wkst'!$D$7:$D$2010,$C$7,'LAC 102_Wkst'!$I$7:$I$2010,$C$9,'LAC 102_Wkst'!$E$7:$E$2010,$C100,'LAC 102_Wkst'!$G$7:$G$2010,$D100,'LAC 102_Wkst'!$L$7:$L$2010,"03",'LAC 102_Wkst'!$N$7:$N$2010,"P2")+SUMIFS('LAC 102_Wkst'!$Q$7:$Q$2010,'LAC 102_Wkst'!$D$7:$D$2010,$C$7,'LAC 102_Wkst'!$I$7:$I$2010,$C$9,'LAC 102_Wkst'!$E$7:$E$2010,$C100,'LAC 102_Wkst'!$G$7:$G$2010,$D100,'LAC 102_Wkst'!$L$7:$L$2010,"03",'LAC 102_Wkst'!$N$7:$N$2010,"P3")+SUMIFS('LAC 102_Wkst'!$Q$7:$Q$2010,'LAC 102_Wkst'!$D$7:$D$2010,$C$7,'LAC 102_Wkst'!$I$7:$I$2010,$C$9,'LAC 102_Wkst'!$E$7:$E$2010,$C100,'LAC 102_Wkst'!$G$7:$G$2010,$D100,'LAC 102_Wkst'!$L$7:$L$2010,"04",'LAC 102_Wkst'!$N$7:$N$2010,"P1")+SUMIFS('LAC 102_Wkst'!$Q$7:$Q$2010,'LAC 102_Wkst'!$D$7:$D$2010,$C$7,'LAC 102_Wkst'!$I$7:$I$2010,$C$9,'LAC 102_Wkst'!$E$7:$E$2010,$C100,'LAC 102_Wkst'!$G$7:$G$2010,$D100,'LAC 102_Wkst'!$L$7:$L$2010,"04",'LAC 102_Wkst'!$N$7:$N$2010,"P2")+SUMIFS('LAC 102_Wkst'!$Q$7:$Q$2010,'LAC 102_Wkst'!$D$7:$D$2010,$C$7,'LAC 102_Wkst'!$I$7:$I$2010,$C$9,'LAC 102_Wkst'!$E$7:$E$2010,$C100,'LAC 102_Wkst'!$G$7:$G$2010,$D100,'LAC 102_Wkst'!$L$7:$L$2010,"04",'LAC 102_Wkst'!$N$7:$N$2010,"P3")</f>
        <v>0</v>
      </c>
      <c r="M100" s="411">
        <f>SUMIFS('LAC 102_Wkst'!$AF$7:$AF$2010,'LAC 102_Wkst'!$D$7:$D$2010,$C$7,'LAC 102_Wkst'!$I$7:$I$2010,$C$9,'LAC 102_Wkst'!$E$7:$E$2010,$C100,'LAC 102_Wkst'!$G$7:$G$2010,$D100,'LAC 102_Wkst'!$L$7:$L$2010,"03",'LAC 102_Wkst'!$N$7:$N$2010,"P1")+SUMIFS('LAC 102_Wkst'!$AF$7:$AF$2010,'LAC 102_Wkst'!$D$7:$D$2010,$C$7,'LAC 102_Wkst'!$I$7:$I$2010,$C$9,'LAC 102_Wkst'!$E$7:$E$2010,$C100,'LAC 102_Wkst'!$G$7:$G$2010,$D100,'LAC 102_Wkst'!$L$7:$L$2010,"03",'LAC 102_Wkst'!$N$7:$N$2010,"P2")+SUMIFS('LAC 102_Wkst'!$AF$7:$AF$2010,'LAC 102_Wkst'!$D$7:$D$2010,$C$7,'LAC 102_Wkst'!$I$7:$I$2010,$C$9,'LAC 102_Wkst'!$E$7:$E$2010,$C100,'LAC 102_Wkst'!$G$7:$G$2010,$D100,'LAC 102_Wkst'!$L$7:$L$2010,"03",'LAC 102_Wkst'!$N$7:$N$2010,"P3")+SUMIFS('LAC 102_Wkst'!$AF$7:$AF$2010,'LAC 102_Wkst'!$D$7:$D$2010,$C$7,'LAC 102_Wkst'!$I$7:$I$2010,$C$9,'LAC 102_Wkst'!$E$7:$E$2010,$C100,'LAC 102_Wkst'!$G$7:$G$2010,$D100,'LAC 102_Wkst'!$L$7:$L$2010,"04",'LAC 102_Wkst'!$N$7:$N$2010,"P1")+SUMIFS('LAC 102_Wkst'!$AF$7:$AF$2010,'LAC 102_Wkst'!$D$7:$D$2010,$C$7,'LAC 102_Wkst'!$I$7:$I$2010,$C$9,'LAC 102_Wkst'!$E$7:$E$2010,$C100,'LAC 102_Wkst'!$G$7:$G$2010,$D100,'LAC 102_Wkst'!$L$7:$L$2010,"04",'LAC 102_Wkst'!$N$7:$N$2010,"P2")+SUMIFS('LAC 102_Wkst'!$AF$7:$AF$2010,'LAC 102_Wkst'!$D$7:$D$2010,$C$7,'LAC 102_Wkst'!$I$7:$I$2010,$C$9,'LAC 102_Wkst'!$E$7:$E$2010,$C100,'LAC 102_Wkst'!$G$7:$G$2010,$D100,'LAC 102_Wkst'!$L$7:$L$2010,"04",'LAC 102_Wkst'!$N$7:$N$2010,"P3")</f>
        <v>0</v>
      </c>
      <c r="N100" s="410">
        <f>SUMIFS('LAC 102_Wkst'!$Q$7:$Q$2010,'LAC 102_Wkst'!$D$7:$D$2010,$C$7,'LAC 102_Wkst'!$I$7:$I$2010,$C$9,'LAC 102_Wkst'!$E$7:$E$2010,$C100,'LAC 102_Wkst'!$G$7:$G$2010,$D100,'LAC 102_Wkst'!$L$7:$L$2010,"03",'LAC 102_Wkst'!$N$7:$N$2010,"P4")+SUMIFS('LAC 102_Wkst'!$Q$7:$Q$2010,'LAC 102_Wkst'!$D$7:$D$2010,$C$7,'LAC 102_Wkst'!$I$7:$I$2010,$C$9,'LAC 102_Wkst'!$E$7:$E$2010,$C100,'LAC 102_Wkst'!$G$7:$G$2010,$D100,'LAC 102_Wkst'!$L$7:$L$2010,"04",'LAC 102_Wkst'!$N$7:$N$2010,"P4")</f>
        <v>0</v>
      </c>
      <c r="O100" s="411">
        <f>SUMIFS('LAC 102_Wkst'!$AF$7:$AF$2010,'LAC 102_Wkst'!$D$7:$D$2010,$C$7,'LAC 102_Wkst'!$I$7:$I$2010,$C$9,'LAC 102_Wkst'!$E$7:$E$2010,$C100,'LAC 102_Wkst'!$G$7:$G$2010,$D100,'LAC 102_Wkst'!$L$7:$L$2010,"03",'LAC 102_Wkst'!$N$7:$N$2010,"P4")+SUMIFS('LAC 102_Wkst'!$AF$7:$AF$2010,'LAC 102_Wkst'!$D$7:$D$2010,$C$7,'LAC 102_Wkst'!$I$7:$I$2010,$C$9,'LAC 102_Wkst'!$E$7:$E$2010,$C100,'LAC 102_Wkst'!$G$7:$G$2010,$D100,'LAC 102_Wkst'!$L$7:$L$2010,"04",'LAC 102_Wkst'!$N$7:$N$2010,"P4")</f>
        <v>0</v>
      </c>
      <c r="P100" s="410">
        <f>SUMIFS('LAC 102_Wkst'!$Q$7:$Q$2010,'LAC 102_Wkst'!$D$7:$D$2010,$C$7,'LAC 102_Wkst'!$I$7:$I$2010,$C$9,'LAC 102_Wkst'!$E$7:$E$2010,$C100,'LAC 102_Wkst'!$G$7:$G$2010,$D100,'LAC 102_Wkst'!$L$7:$L$2010,"03",'LAC 102_Wkst'!$N$7:$N$2010,"P5")+SUMIFS('LAC 102_Wkst'!$Q$7:$Q$2010,'LAC 102_Wkst'!$D$7:$D$2010,$C$7,'LAC 102_Wkst'!$I$7:$I$2010,$C$9,'LAC 102_Wkst'!$E$7:$E$2010,$C100,'LAC 102_Wkst'!$G$7:$G$2010,$D100,'LAC 102_Wkst'!$L$7:$L$2010,"04",'LAC 102_Wkst'!$N$7:$N$2010,"P5")</f>
        <v>0</v>
      </c>
      <c r="Q100" s="411">
        <f>SUMIFS('LAC 102_Wkst'!$AF$7:$AF$2010,'LAC 102_Wkst'!$D$7:$D$2010,$C$7,'LAC 102_Wkst'!$I$7:$I$2010,$C$9,'LAC 102_Wkst'!$E$7:$E$2010,$C100,'LAC 102_Wkst'!$G$7:$G$2010,$D100,'LAC 102_Wkst'!$L$7:$L$2010,"03",'LAC 102_Wkst'!$N$7:$N$2010,"P5")+SUMIFS('LAC 102_Wkst'!$AF$7:$AF$2010,'LAC 102_Wkst'!$D$7:$D$2010,$C$7,'LAC 102_Wkst'!$I$7:$I$2010,$C$9,'LAC 102_Wkst'!$E$7:$E$2010,$C100,'LAC 102_Wkst'!$G$7:$G$2010,$D100,'LAC 102_Wkst'!$L$7:$L$2010,"04",'LAC 102_Wkst'!$N$7:$N$2010,"P5")</f>
        <v>0</v>
      </c>
      <c r="R100" s="412">
        <f>SUMIFS('LAC 102_Wkst'!$Q$7:$Q$2010,'LAC 102_Wkst'!$D$7:$D$2010,$C$7,'LAC 102_Wkst'!$I$7:$I$2010,$C$9,'LAC 102_Wkst'!$E$7:$E$2010,$C100,'LAC 102_Wkst'!$G$7:$G$2010,$D100,'LAC 102_Wkst'!$L$7:$L$2010,"05",'LAC 102_Wkst'!$N$7:$N$2010,"P1")+SUMIFS('LAC 102_Wkst'!$Q$7:$Q$2010,'LAC 102_Wkst'!$D$7:$D$2010,$C$7,'LAC 102_Wkst'!$I$7:$I$2010,$C$9,'LAC 102_Wkst'!$E$7:$E$2010,$C100,'LAC 102_Wkst'!$G$7:$G$2010,$D100,'LAC 102_Wkst'!$L$7:$L$2010,"06",'LAC 102_Wkst'!$N$7:$N$2010,"P1")</f>
        <v>0</v>
      </c>
      <c r="S100" s="411">
        <f>SUMIFS('LAC 102_Wkst'!$AF$7:$AF$2010,'LAC 102_Wkst'!$D$7:$D$2010,$C$7,'LAC 102_Wkst'!$I$7:$I$2010,$C$9,'LAC 102_Wkst'!$E$7:$E$2010,$C100,'LAC 102_Wkst'!$G$7:$G$2010,$D100,'LAC 102_Wkst'!$L$7:$L$2010,"05",'LAC 102_Wkst'!$N$7:$N$2010,"P1")+SUMIFS('LAC 102_Wkst'!$AF$7:$AF$2010,'LAC 102_Wkst'!$D$7:$D$2010,$C$7,'LAC 102_Wkst'!$I$7:$I$2010,$C$9,'LAC 102_Wkst'!$E$7:$E$2010,$C100,'LAC 102_Wkst'!$G$7:$G$2010,$D100,'LAC 102_Wkst'!$L$7:$L$2010,"06",'LAC 102_Wkst'!$N$7:$N$2010,"P1")</f>
        <v>0</v>
      </c>
      <c r="T100" s="410">
        <f>SUMIFS('LAC 102_Wkst'!$Q$7:$Q$2010,'LAC 102_Wkst'!$D$7:$D$2010,$C$7,'LAC 102_Wkst'!$I$7:$I$2010,$C$9,'LAC 102_Wkst'!$E$7:$E$2010,$C100,'LAC 102_Wkst'!$G$7:$G$2010,$D100,'LAC 102_Wkst'!$L$7:$L$2010,"05",'LAC 102_Wkst'!$N$7:$N$2010,"P2")+SUMIFS('LAC 102_Wkst'!$Q$7:$Q$2010,'LAC 102_Wkst'!$D$7:$D$2010,$C$7,'LAC 102_Wkst'!$I$7:$I$2010,$C$9,'LAC 102_Wkst'!$E$7:$E$2010,$C100,'LAC 102_Wkst'!$G$7:$G$2010,$D100,'LAC 102_Wkst'!$L$7:$L$2010,"06",'LAC 102_Wkst'!$N$7:$N$2010,"P2")+SUMIFS('LAC 102_Wkst'!$Q$7:$Q$2010,'LAC 102_Wkst'!$D$7:$D$2010,$C$7,'LAC 102_Wkst'!$I$7:$I$2010,$C$9,'LAC 102_Wkst'!$E$7:$E$2010,$C100,'LAC 102_Wkst'!$G$7:$G$2010,$D100,'LAC 102_Wkst'!$L$7:$L$2010,"05",'LAC 102_Wkst'!$N$7:$N$2010,"P3")+SUMIFS('LAC 102_Wkst'!$Q$7:$Q$2010,'LAC 102_Wkst'!$D$7:$D$2010,$C$7,'LAC 102_Wkst'!$I$7:$I$2010,$C$9,'LAC 102_Wkst'!$E$7:$E$2010,$C100,'LAC 102_Wkst'!$G$7:$G$2010,$D100,'LAC 102_Wkst'!$L$7:$L$2010,"06",'LAC 102_Wkst'!$N$7:$N$2010,"P3")</f>
        <v>0</v>
      </c>
      <c r="U100" s="411">
        <f>SUMIFS('LAC 102_Wkst'!$AF$7:$AF$2010,'LAC 102_Wkst'!$D$7:$D$2010,$C$7,'LAC 102_Wkst'!$I$7:$I$2010,$C$9,'LAC 102_Wkst'!$E$7:$E$2010,$C100,'LAC 102_Wkst'!$G$7:$G$2010,$D100,'LAC 102_Wkst'!$L$7:$L$2010,"05",'LAC 102_Wkst'!$N$7:$N$2010,"P2")+SUMIFS('LAC 102_Wkst'!$AF$7:$AF$2010,'LAC 102_Wkst'!$D$7:$D$2010,$C$7,'LAC 102_Wkst'!$I$7:$I$2010,$C$9,'LAC 102_Wkst'!$E$7:$E$2010,$C100,'LAC 102_Wkst'!$G$7:$G$2010,$D100,'LAC 102_Wkst'!$L$7:$L$2010,"06",'LAC 102_Wkst'!$N$7:$N$2010,"P2")+SUMIFS('LAC 102_Wkst'!$AF$7:$AF$2010,'LAC 102_Wkst'!$D$7:$D$2010,$C$7,'LAC 102_Wkst'!$I$7:$I$2010,$C$9,'LAC 102_Wkst'!$E$7:$E$2010,$C100,'LAC 102_Wkst'!$G$7:$G$2010,$D100,'LAC 102_Wkst'!$L$7:$L$2010,"05",'LAC 102_Wkst'!$N$7:$N$2010,"P3")+SUMIFS('LAC 102_Wkst'!$AF$7:$AF$2010,'LAC 102_Wkst'!$D$7:$D$2010,$C$7,'LAC 102_Wkst'!$I$7:$I$2010,$C$9,'LAC 102_Wkst'!$E$7:$E$2010,$C100,'LAC 102_Wkst'!$G$7:$G$2010,$D100,'LAC 102_Wkst'!$L$7:$L$2010,"06",'LAC 102_Wkst'!$N$7:$N$2010,"P3")</f>
        <v>0</v>
      </c>
      <c r="V100" s="410">
        <f>SUMIFS('LAC 102_Wkst'!$Q$7:$Q$2010,'LAC 102_Wkst'!$D$7:$D$2010,$C$7,'LAC 102_Wkst'!$I$7:$I$2010,$C$9,'LAC 102_Wkst'!$E$7:$E$2010,$C100,'LAC 102_Wkst'!$G$7:$G$2010,$D100,'LAC 102_Wkst'!$L$7:$L$2010,"05",'LAC 102_Wkst'!$N$7:$N$2010,"P4")+SUMIFS('LAC 102_Wkst'!$Q$7:$Q$2010,'LAC 102_Wkst'!$D$7:$D$2010,$C$7,'LAC 102_Wkst'!$I$7:$I$2010,$C$9,'LAC 102_Wkst'!$E$7:$E$2010,$C100,'LAC 102_Wkst'!$G$7:$G$2010,$D100,'LAC 102_Wkst'!$L$7:$L$2010,"06",'LAC 102_Wkst'!$N$7:$N$2010,"P4")</f>
        <v>0</v>
      </c>
      <c r="W100" s="411">
        <f>SUMIFS('LAC 102_Wkst'!$AF$7:$AF$2010,'LAC 102_Wkst'!$D$7:$D$2010,$C$7,'LAC 102_Wkst'!$I$7:$I$2010,$C$9,'LAC 102_Wkst'!$E$7:$E$2010,$C100,'LAC 102_Wkst'!$G$7:$G$2010,$D100,'LAC 102_Wkst'!$L$7:$L$2010,"05",'LAC 102_Wkst'!$N$7:$N$2010,"P4")+SUMIFS('LAC 102_Wkst'!$AF$7:$AF$2010,'LAC 102_Wkst'!$D$7:$D$2010,$C$7,'LAC 102_Wkst'!$I$7:$I$2010,$C$9,'LAC 102_Wkst'!$E$7:$E$2010,$C100,'LAC 102_Wkst'!$G$7:$G$2010,$D100,'LAC 102_Wkst'!$L$7:$L$2010,"06",'LAC 102_Wkst'!$N$7:$N$2010,"P4")</f>
        <v>0</v>
      </c>
      <c r="X100" s="410">
        <f>SUMIFS('LAC 102_Wkst'!$Q$7:$Q$2010,'LAC 102_Wkst'!$D$7:$D$2010,$C$7,'LAC 102_Wkst'!$I$7:$I$2010,$C$9,'LAC 102_Wkst'!$E$7:$E$2010,$C100,'LAC 102_Wkst'!$G$7:$G$2010,$D100,'LAC 102_Wkst'!$L$7:$L$2010,"05",'LAC 102_Wkst'!$N$7:$N$2010,"P5")+SUMIFS('LAC 102_Wkst'!$Q$7:$Q$2010,'LAC 102_Wkst'!$D$7:$D$2010,$C$7,'LAC 102_Wkst'!$I$7:$I$2010,$C$9,'LAC 102_Wkst'!$E$7:$E$2010,$C100,'LAC 102_Wkst'!$G$7:$G$2010,$D100,'LAC 102_Wkst'!$L$7:$L$2010,"06",'LAC 102_Wkst'!$N$7:$N$2010,"P5")</f>
        <v>0</v>
      </c>
      <c r="Y100" s="411">
        <f>SUMIFS('LAC 102_Wkst'!$AF$7:$AF$2010,'LAC 102_Wkst'!$D$7:$D$2010,$C$7,'LAC 102_Wkst'!$I$7:$I$2010,$C$9,'LAC 102_Wkst'!$E$7:$E$2010,$C100,'LAC 102_Wkst'!$G$7:$G$2010,$D100,'LAC 102_Wkst'!$L$7:$L$2010,"05",'LAC 102_Wkst'!$N$7:$N$2010,"P5")+SUMIFS('LAC 102_Wkst'!$AF$7:$AF$2010,'LAC 102_Wkst'!$D$7:$D$2010,$C$7,'LAC 102_Wkst'!$I$7:$I$2010,$C$9,'LAC 102_Wkst'!$E$7:$E$2010,$C100,'LAC 102_Wkst'!$G$7:$G$2010,$D100,'LAC 102_Wkst'!$L$7:$L$2010,"06",'LAC 102_Wkst'!$N$7:$N$2010,"P5")</f>
        <v>0</v>
      </c>
      <c r="Z100" s="410">
        <f>SUMIFS('LAC 102_Wkst'!$Q$7:$Q$2010,'LAC 102_Wkst'!$D$7:$D$2010,$C$7,'LAC 102_Wkst'!$I$7:$I$2010,$C$9,'LAC 102_Wkst'!$E$7:$E$2010,$C100,'LAC 102_Wkst'!$G$7:$G$2010,$D100,'LAC 102_Wkst'!$L$7:$L$2010,"07",'LAC 102_Wkst'!$N$7:$N$2010,"P1")+SUMIFS('LAC 102_Wkst'!$Q$7:$Q$2010,'LAC 102_Wkst'!$D$7:$D$2010,$C$7,'LAC 102_Wkst'!$I$7:$I$2010,$C$9,'LAC 102_Wkst'!$E$7:$E$2010,$C100,'LAC 102_Wkst'!$G$7:$G$2010,$D100,'LAC 102_Wkst'!$L$7:$L$2010,"07",'LAC 102_Wkst'!$N$7:$N$2010,"P2")+SUMIFS('LAC 102_Wkst'!$Q$7:$Q$2010,'LAC 102_Wkst'!$D$7:$D$2010,$C$7,'LAC 102_Wkst'!$I$7:$I$2010,$C$9,'LAC 102_Wkst'!$E$7:$E$2010,$C100,'LAC 102_Wkst'!$G$7:$G$2010,$D100,'LAC 102_Wkst'!$L$7:$L$2010,"07",'LAC 102_Wkst'!$N$7:$N$2010,"P3")</f>
        <v>0</v>
      </c>
      <c r="AA100" s="411">
        <f>SUMIFS('LAC 102_Wkst'!$AF$7:$AF$2010,'LAC 102_Wkst'!$D$7:$D$2010,$C$7,'LAC 102_Wkst'!$I$7:$I$2010,$C$9,'LAC 102_Wkst'!$E$7:$E$2010,$C100,'LAC 102_Wkst'!$G$7:$G$2010,$D100,'LAC 102_Wkst'!$L$7:$L$2010,"07",'LAC 102_Wkst'!$N$7:$N$2010,"P1")+SUMIFS('LAC 102_Wkst'!$AF$7:$AF$2010,'LAC 102_Wkst'!$D$7:$D$2010,$C$7,'LAC 102_Wkst'!$I$7:$I$2010,$C$9,'LAC 102_Wkst'!$E$7:$E$2010,$C100,'LAC 102_Wkst'!$G$7:$G$2010,$D100,'LAC 102_Wkst'!$L$7:$L$2010,"07",'LAC 102_Wkst'!$N$7:$N$2010,"P2")+SUMIFS('LAC 102_Wkst'!$AF$7:$AF$2010,'LAC 102_Wkst'!$D$7:$D$2010,$C$7,'LAC 102_Wkst'!$I$7:$I$2010,$C$9,'LAC 102_Wkst'!$E$7:$E$2010,$C100,'LAC 102_Wkst'!$G$7:$G$2010,$D100,'LAC 102_Wkst'!$L$7:$L$2010,"07",'LAC 102_Wkst'!$N$7:$N$2010,"P3")</f>
        <v>0</v>
      </c>
      <c r="AB100" s="410">
        <f>SUMIFS('LAC 102_Wkst'!$Q$7:$Q$2010,'LAC 102_Wkst'!$D$7:$D$2010,$C$7,'LAC 102_Wkst'!$I$7:$I$2010,$C$9,'LAC 102_Wkst'!$E$7:$E$2010,$C100,'LAC 102_Wkst'!$G$7:$G$2010,$D100,'LAC 102_Wkst'!$L$7:$L$2010,"07",'LAC 102_Wkst'!$N$7:$N$2010,"P4")</f>
        <v>0</v>
      </c>
      <c r="AC100" s="411">
        <f>SUMIFS('LAC 102_Wkst'!$AF$7:$AF$2010,'LAC 102_Wkst'!$D$7:$D$2010,$C$7,'LAC 102_Wkst'!$I$7:$I$2010,$C$9,'LAC 102_Wkst'!$E$7:$E$2010,$C100,'LAC 102_Wkst'!$G$7:$G$2010,$D100,'LAC 102_Wkst'!$L$7:$L$2010,"07",'LAC 102_Wkst'!$N$7:$N$2010,"P4")</f>
        <v>0</v>
      </c>
      <c r="AD100" s="410">
        <f>SUMIFS('LAC 102_Wkst'!$Q$7:$Q$2010,'LAC 102_Wkst'!$D$7:$D$2010,$C$7,'LAC 102_Wkst'!$I$7:$I$2010,$C$9,'LAC 102_Wkst'!$E$7:$E$2010,$C100,'LAC 102_Wkst'!$G$7:$G$2010,$D100,'LAC 102_Wkst'!$L$7:$L$2010,"07",'LAC 102_Wkst'!$N$7:$N$2010,"P5")</f>
        <v>0</v>
      </c>
      <c r="AE100" s="411">
        <f>SUMIFS('LAC 102_Wkst'!$AF$7:$AF$2010,'LAC 102_Wkst'!$D$7:$D$2010,$C$7,'LAC 102_Wkst'!$I$7:$I$2010,$C$9,'LAC 102_Wkst'!$E$7:$E$2010,$C100,'LAC 102_Wkst'!$G$7:$G$2010,$D100,'LAC 102_Wkst'!$L$7:$L$2010,"07",'LAC 102_Wkst'!$N$7:$N$2010,"P5")</f>
        <v>0</v>
      </c>
      <c r="AF100" s="410">
        <f>SUMIFS('LAC 102_Wkst'!$Q$7:$Q$2010,'LAC 102_Wkst'!$D$7:$D$2010,$C$7,'LAC 102_Wkst'!$I$7:$I$2010,$C$9,'LAC 102_Wkst'!$E$7:$E$2010,$C100,'LAC 102_Wkst'!$G$7:$G$2010,$D100,'LAC 102_Wkst'!$L$7:$L$2010,"08",'LAC 102_Wkst'!$N$7:$N$2010,"P1")+SUMIFS('LAC 102_Wkst'!$Q$7:$Q$2010,'LAC 102_Wkst'!$D$7:$D$2010,$C$7,'LAC 102_Wkst'!$I$7:$I$2010,$C$9,'LAC 102_Wkst'!$E$7:$E$2010,$C100,'LAC 102_Wkst'!$G$7:$G$2010,$D100,'LAC 102_Wkst'!$L$7:$L$2010,"08",'LAC 102_Wkst'!$N$7:$N$2010,"P2")+SUMIFS('LAC 102_Wkst'!$Q$7:$Q$2010,'LAC 102_Wkst'!$D$7:$D$2010,$C$7,'LAC 102_Wkst'!$I$7:$I$2010,$C$9,'LAC 102_Wkst'!$E$7:$E$2010,$C100,'LAC 102_Wkst'!$G$7:$G$2010,$D100,'LAC 102_Wkst'!$L$7:$L$2010,"08",'LAC 102_Wkst'!$N$7:$N$2010,"P3")</f>
        <v>0</v>
      </c>
      <c r="AG100" s="411">
        <f>SUMIFS('LAC 102_Wkst'!$AF$7:$AF$2010,'LAC 102_Wkst'!$D$7:$D$2010,$C$7,'LAC 102_Wkst'!$I$7:$I$2010,$C$9,'LAC 102_Wkst'!$E$7:$E$2010,$C100,'LAC 102_Wkst'!$G$7:$G$2010,$D100,'LAC 102_Wkst'!$L$7:$L$2010,"08",'LAC 102_Wkst'!$N$7:$N$2010,"P1")+SUMIFS('LAC 102_Wkst'!$AF$7:$AF$2010,'LAC 102_Wkst'!$D$7:$D$2010,$C$7,'LAC 102_Wkst'!$I$7:$I$2010,$C$9,'LAC 102_Wkst'!$E$7:$E$2010,$C100,'LAC 102_Wkst'!$G$7:$G$2010,$D100,'LAC 102_Wkst'!$L$7:$L$2010,"08",'LAC 102_Wkst'!$N$7:$N$2010,"P2")+SUMIFS('LAC 102_Wkst'!$AF$7:$AF$2010,'LAC 102_Wkst'!$D$7:$D$2010,$C$7,'LAC 102_Wkst'!$I$7:$I$2010,$C$9,'LAC 102_Wkst'!$E$7:$E$2010,$C100,'LAC 102_Wkst'!$G$7:$G$2010,$D100,'LAC 102_Wkst'!$L$7:$L$2010,"08",'LAC 102_Wkst'!$N$7:$N$2010,"P3")</f>
        <v>0</v>
      </c>
      <c r="AH100" s="410">
        <f>SUMIFS('LAC 102_Wkst'!$Q$7:$Q$2010,'LAC 102_Wkst'!$D$7:$D$2010,$C$7,'LAC 102_Wkst'!$I$7:$I$2010,$C$9,'LAC 102_Wkst'!$E$7:$E$2010,$C100,'LAC 102_Wkst'!$G$7:$G$2010,$D100,'LAC 102_Wkst'!$L$7:$L$2010,"08",'LAC 102_Wkst'!$N$7:$N$2010,"P4")</f>
        <v>0</v>
      </c>
      <c r="AI100" s="411">
        <f>SUMIFS('LAC 102_Wkst'!$AF$7:$AF$2010,'LAC 102_Wkst'!$D$7:$D$2010,$C$7,'LAC 102_Wkst'!$I$7:$I$2010,$C$9,'LAC 102_Wkst'!$E$7:$E$2010,$C100,'LAC 102_Wkst'!$G$7:$G$2010,$D100,'LAC 102_Wkst'!$L$7:$L$2010,"08",'LAC 102_Wkst'!$N$7:$N$2010,"P4")</f>
        <v>0</v>
      </c>
      <c r="AJ100" s="410">
        <f>SUMIFS('LAC 102_Wkst'!$Q$7:$Q$2010,'LAC 102_Wkst'!$D$7:$D$2010,$C$7,'LAC 102_Wkst'!$I$7:$I$2010,$C$9,'LAC 102_Wkst'!$E$7:$E$2010,$C100,'LAC 102_Wkst'!$G$7:$G$2010,$D100,'LAC 102_Wkst'!$L$7:$L$2010,"08",'LAC 102_Wkst'!$N$7:$N$2010,"P5")</f>
        <v>0</v>
      </c>
      <c r="AK100" s="411">
        <f>SUMIFS('LAC 102_Wkst'!$AF$7:$AF$2010,'LAC 102_Wkst'!$D$7:$D$2010,$C$7,'LAC 102_Wkst'!$I$7:$I$2010,$C$9,'LAC 102_Wkst'!$E$7:$E$2010,$C100,'LAC 102_Wkst'!$G$7:$G$2010,$D100,'LAC 102_Wkst'!$L$7:$L$2010,"08",'LAC 102_Wkst'!$N$7:$N$2010,"P5")</f>
        <v>0</v>
      </c>
      <c r="AL100" s="410">
        <f>SUMIFS('LAC 102_Wkst'!$Q$7:$Q$2010,'LAC 102_Wkst'!$D$7:$D$2010,$C$7,'LAC 102_Wkst'!$I$7:$I$2010,$C$9,'LAC 102_Wkst'!$E$7:$E$2010,$C100,'LAC 102_Wkst'!$G$7:$G$2010,$D100,'LAC 102_Wkst'!$L$7:$L$2010,"09",'LAC 102_Wkst'!$N$7:$N$2010,"P1")+SUMIFS('LAC 102_Wkst'!$Q$7:$Q$2010,'LAC 102_Wkst'!$D$7:$D$2010,$C$7,'LAC 102_Wkst'!$I$7:$I$2010,$C$9,'LAC 102_Wkst'!$E$7:$E$2010,$C100,'LAC 102_Wkst'!$G$7:$G$2010,$D100,'LAC 102_Wkst'!$L$7:$L$2010,"09",'LAC 102_Wkst'!$N$7:$N$2010,"P2")+SUMIFS('LAC 102_Wkst'!$Q$7:$Q$2010,'LAC 102_Wkst'!$D$7:$D$2010,$C$7,'LAC 102_Wkst'!$I$7:$I$2010,$C$9,'LAC 102_Wkst'!$E$7:$E$2010,$C100,'LAC 102_Wkst'!$G$7:$G$2010,$D100,'LAC 102_Wkst'!$L$7:$L$2010,"09",'LAC 102_Wkst'!$N$7:$N$2010,"P3")+SUMIFS('LAC 102_Wkst'!$Q$7:$Q$2010,'LAC 102_Wkst'!$D$7:$D$2010,$C$7,'LAC 102_Wkst'!$I$7:$I$2010,$C$9,'LAC 102_Wkst'!$E$7:$E$2010,$C100,'LAC 102_Wkst'!$G$7:$G$2010,$D100,'LAC 102_Wkst'!$L$7:$L$2010,"09",'LAC 102_Wkst'!$N$7:$N$2010,"P4")</f>
        <v>0</v>
      </c>
      <c r="AM100" s="411">
        <f>SUMIFS('LAC 102_Wkst'!$AF$7:$AF$2010,'LAC 102_Wkst'!$D$7:$D$2010,$C$7,'LAC 102_Wkst'!$I$7:$I$2010,$C$9,'LAC 102_Wkst'!$E$7:$E$2010,$C100,'LAC 102_Wkst'!$G$7:$G$2010,$D100,'LAC 102_Wkst'!$L$7:$L$2010,"09",'LAC 102_Wkst'!$N$7:$N$2010,"P1")+SUMIFS('LAC 102_Wkst'!$AF$7:$AF$2010,'LAC 102_Wkst'!$D$7:$D$2010,$C$7,'LAC 102_Wkst'!$I$7:$I$2010,$C$9,'LAC 102_Wkst'!$E$7:$E$2010,$C100,'LAC 102_Wkst'!$G$7:$G$2010,$D100,'LAC 102_Wkst'!$L$7:$L$2010,"09",'LAC 102_Wkst'!$N$7:$N$2010,"P2")+SUMIFS('LAC 102_Wkst'!$AF$7:$AF$2010,'LAC 102_Wkst'!$D$7:$D$2010,$C$7,'LAC 102_Wkst'!$I$7:$I$2010,$C$9,'LAC 102_Wkst'!$E$7:$E$2010,$C100,'LAC 102_Wkst'!$G$7:$G$2010,$D100,'LAC 102_Wkst'!$L$7:$L$2010,"09",'LAC 102_Wkst'!$N$7:$N$2010,"P3")+SUMIFS('LAC 102_Wkst'!$AF$7:$AF$2010,'LAC 102_Wkst'!$D$7:$D$2010,$C$7,'LAC 102_Wkst'!$I$7:$I$2010,$C$9,'LAC 102_Wkst'!$E$7:$E$2010,$C100,'LAC 102_Wkst'!$G$7:$G$2010,$D100,'LAC 102_Wkst'!$L$7:$L$2010,"09",'LAC 102_Wkst'!$N$7:$N$2010,"P4")</f>
        <v>0</v>
      </c>
      <c r="AN100" s="410">
        <f>SUMIFS('LAC 102_Wkst'!$Q$7:$Q$2010,'LAC 102_Wkst'!$D$7:$D$2010,$C$7,'LAC 102_Wkst'!$I$7:$I$2010,$C$9,'LAC 102_Wkst'!$E$7:$E$2010,$C100,'LAC 102_Wkst'!$G$7:$G$2010,$D100,'LAC 102_Wkst'!$L$7:$L$2010,"09",'LAC 102_Wkst'!$N$7:$N$2010,"P5")</f>
        <v>0</v>
      </c>
      <c r="AO100" s="411">
        <f>SUMIFS('LAC 102_Wkst'!$AF$7:$AF$2010,'LAC 102_Wkst'!$D$7:$D$2010,$C$7,'LAC 102_Wkst'!$I$7:$I$2010,$C$9,'LAC 102_Wkst'!$E$7:$E$2010,$C100,'LAC 102_Wkst'!$G$7:$G$2010,$D100,'LAC 102_Wkst'!$L$7:$L$2010,"09",'LAC 102_Wkst'!$N$7:$N$2010,"P5")</f>
        <v>0</v>
      </c>
      <c r="AP100" s="410">
        <f>SUMIFS('LAC 102_Wkst'!$Q$7:$Q$2010,'LAC 102_Wkst'!$D$7:$D$2010,$C$7,'LAC 102_Wkst'!$I$7:$I$2010,$C$9,'LAC 102_Wkst'!$E$7:$E$2010,$C100,'LAC 102_Wkst'!$G$7:$G$2010,$D100,'LAC 102_Wkst'!$L$7:$L$2010,"10",'LAC 102_Wkst'!$N$7:$N$2010,"P1")+SUMIFS('LAC 102_Wkst'!$Q$7:$Q$2010,'LAC 102_Wkst'!$D$7:$D$2010,$C$7,'LAC 102_Wkst'!$I$7:$I$2010,$C$9,'LAC 102_Wkst'!$E$7:$E$2010,$C100,'LAC 102_Wkst'!$G$7:$G$2010,$D100,'LAC 102_Wkst'!$L$7:$L$2010,"10",'LAC 102_Wkst'!$N$7:$N$2010,"P2")+SUMIFS('LAC 102_Wkst'!$Q$7:$Q$2010,'LAC 102_Wkst'!$D$7:$D$2010,$C$7,'LAC 102_Wkst'!$I$7:$I$2010,$C$9,'LAC 102_Wkst'!$E$7:$E$2010,$C100,'LAC 102_Wkst'!$G$7:$G$2010,$D100,'LAC 102_Wkst'!$L$7:$L$2010,"10",'LAC 102_Wkst'!$N$7:$N$2010,"P3")+SUMIFS('LAC 102_Wkst'!$Q$7:$Q$2010,'LAC 102_Wkst'!$D$7:$D$2010,$C$7,'LAC 102_Wkst'!$I$7:$I$2010,$C$9,'LAC 102_Wkst'!$E$7:$E$2010,$C100,'LAC 102_Wkst'!$G$7:$G$2010,$D100,'LAC 102_Wkst'!$L$7:$L$2010,"10",'LAC 102_Wkst'!$N$7:$N$2010,"P4")</f>
        <v>0</v>
      </c>
      <c r="AQ100" s="411">
        <f>SUMIFS('LAC 102_Wkst'!$AF$7:$AF$2010,'LAC 102_Wkst'!$D$7:$D$2010,$C$7,'LAC 102_Wkst'!$I$7:$I$2010,$C$9,'LAC 102_Wkst'!$E$7:$E$2010,$C100,'LAC 102_Wkst'!$G$7:$G$2010,$D100,'LAC 102_Wkst'!$L$7:$L$2010,"10",'LAC 102_Wkst'!$N$7:$N$2010,"P1")+SUMIFS('LAC 102_Wkst'!$AF$7:$AF$2010,'LAC 102_Wkst'!$D$7:$D$2010,$C$7,'LAC 102_Wkst'!$I$7:$I$2010,$C$9,'LAC 102_Wkst'!$E$7:$E$2010,$C100,'LAC 102_Wkst'!$G$7:$G$2010,$D100,'LAC 102_Wkst'!$L$7:$L$2010,"10",'LAC 102_Wkst'!$N$7:$N$2010,"P2")+SUMIFS('LAC 102_Wkst'!$AF$7:$AF$2010,'LAC 102_Wkst'!$D$7:$D$2010,$C$7,'LAC 102_Wkst'!$I$7:$I$2010,$C$9,'LAC 102_Wkst'!$E$7:$E$2010,$C100,'LAC 102_Wkst'!$G$7:$G$2010,$D100,'LAC 102_Wkst'!$L$7:$L$2010,"10",'LAC 102_Wkst'!$N$7:$N$2010,"P3")+SUMIFS('LAC 102_Wkst'!$AF$7:$AF$2010,'LAC 102_Wkst'!$D$7:$D$2010,$C$7,'LAC 102_Wkst'!$I$7:$I$2010,$C$9,'LAC 102_Wkst'!$E$7:$E$2010,$C100,'LAC 102_Wkst'!$G$7:$G$2010,$D100,'LAC 102_Wkst'!$L$7:$L$2010,"10",'LAC 102_Wkst'!$N$7:$N$2010,"P4")</f>
        <v>0</v>
      </c>
      <c r="AR100" s="410">
        <f>SUMIFS('LAC 102_Wkst'!$Q$7:$Q$2010,'LAC 102_Wkst'!$D$7:$D$2010,$C$7,'LAC 102_Wkst'!$I$7:$I$2010,$C$9,'LAC 102_Wkst'!$E$7:$E$2010,$C100,'LAC 102_Wkst'!$G$7:$G$2010,$D100,'LAC 102_Wkst'!$L$7:$L$2010,"10",'LAC 102_Wkst'!$N$7:$N$2010,"P5")</f>
        <v>0</v>
      </c>
      <c r="AS100" s="411">
        <f>SUMIFS('LAC 102_Wkst'!$AF$7:$AF$2010,'LAC 102_Wkst'!$D$7:$D$2010,$C$7,'LAC 102_Wkst'!$I$7:$I$2010,$C$9,'LAC 102_Wkst'!$E$7:$E$2010,$C100,'LAC 102_Wkst'!$G$7:$G$2010,$D100,'LAC 102_Wkst'!$L$7:$L$2010,"10",'LAC 102_Wkst'!$N$7:$N$2010,"P5")</f>
        <v>0</v>
      </c>
      <c r="AT100" s="410">
        <f>SUMIFS('LAC 102_Wkst'!$Q$7:$Q$2010,'LAC 102_Wkst'!$D$7:$D$2010,$C$7,'LAC 102_Wkst'!$I$7:$I$2010,$C$9,'LAC 102_Wkst'!$E$7:$E$2010,$C100,'LAC 102_Wkst'!$G$7:$G$2010,$D100,'LAC 102_Wkst'!$L$7:$L$2010,"11",'LAC 102_Wkst'!$N$7:$N$2010,"P1")+SUMIFS('LAC 102_Wkst'!$Q$7:$Q$2010,'LAC 102_Wkst'!$D$7:$D$2010,$C$7,'LAC 102_Wkst'!$I$7:$I$2010,$C$9,'LAC 102_Wkst'!$E$7:$E$2010,$C100,'LAC 102_Wkst'!$G$7:$G$2010,$D100,'LAC 102_Wkst'!$L$7:$L$2010,"12",'LAC 102_Wkst'!$N$7:$N$2010,"P1")</f>
        <v>0</v>
      </c>
      <c r="AU100" s="411">
        <f>SUMIFS('LAC 102_Wkst'!$Q$7:$Q$2010,'LAC 102_Wkst'!$D$7:$D$2010,$C$7,'LAC 102_Wkst'!$I$7:$I$2010,$C$9,'LAC 102_Wkst'!$E$7:$E$2010,$C100,'LAC 102_Wkst'!$G$7:$G$2010,$D100,'LAC 102_Wkst'!$L$7:$L$2010,"13",'LAC 102_Wkst'!$N$7:$N$2010,"P5")</f>
        <v>0</v>
      </c>
      <c r="AV100" s="410">
        <f>SUMIFS('LAC 102_Wkst'!$Q$7:$Q$2010,'LAC 102_Wkst'!$D$7:$D$2010,$C$7,'LAC 102_Wkst'!$I$7:$I$2010,$C$9,'LAC 102_Wkst'!$E$7:$E$2010,$C100,'LAC 102_Wkst'!$G$7:$G$2010,$D100,'LAC 102_Wkst'!$L$7:$L$2010,"11",'LAC 102_Wkst'!$N$7:$N$2010,"P2")+SUMIFS('LAC 102_Wkst'!$Q$7:$Q$2010,'LAC 102_Wkst'!$D$7:$D$2010,$C$7,'LAC 102_Wkst'!$I$7:$I$2010,$C$9,'LAC 102_Wkst'!$E$7:$E$2010,$C100,'LAC 102_Wkst'!$G$7:$G$2010,$D100,'LAC 102_Wkst'!$L$7:$L$2010,"12",'LAC 102_Wkst'!$N$7:$N$2010,"P2")+SUMIFS('LAC 102_Wkst'!$Q$7:$Q$2010,'LAC 102_Wkst'!$D$7:$D$2010,$C$7,'LAC 102_Wkst'!$I$7:$I$2010,$C$9,'LAC 102_Wkst'!$E$7:$E$2010,$C100,'LAC 102_Wkst'!$G$7:$G$2010,$D100,'LAC 102_Wkst'!$L$7:$L$2010,"11",'LAC 102_Wkst'!$N$7:$N$2010,"P3")+SUMIFS('LAC 102_Wkst'!$Q$7:$Q$2010,'LAC 102_Wkst'!$D$7:$D$2010,$C$7,'LAC 102_Wkst'!$I$7:$I$2010,$C$9,'LAC 102_Wkst'!$E$7:$E$2010,$C100,'LAC 102_Wkst'!$G$7:$G$2010,$D100,'LAC 102_Wkst'!$L$7:$L$2010,"12",'LAC 102_Wkst'!$N$7:$N$2010,"P3")</f>
        <v>0</v>
      </c>
      <c r="AW100" s="411">
        <f>SUMIFS('LAC 102_Wkst'!$AF$7:$AF$2010,'LAC 102_Wkst'!$D$7:$D$2010,$C$7,'LAC 102_Wkst'!$I$7:$I$2010,$C$9,'LAC 102_Wkst'!$E$7:$E$2010,$C100,'LAC 102_Wkst'!$G$7:$G$2010,$D100,'LAC 102_Wkst'!$L$7:$L$2010,"11",'LAC 102_Wkst'!$N$7:$N$2010,"P2")+SUMIFS('LAC 102_Wkst'!$AF$7:$AF$2010,'LAC 102_Wkst'!$D$7:$D$2010,$C$7,'LAC 102_Wkst'!$I$7:$I$2010,$C$9,'LAC 102_Wkst'!$E$7:$E$2010,$C100,'LAC 102_Wkst'!$G$7:$G$2010,$D100,'LAC 102_Wkst'!$L$7:$L$2010,"12",'LAC 102_Wkst'!$N$7:$N$2010,"P2")+SUMIFS('LAC 102_Wkst'!$AF$7:$AF$2010,'LAC 102_Wkst'!$D$7:$D$2010,$C$7,'LAC 102_Wkst'!$I$7:$I$2010,$C$9,'LAC 102_Wkst'!$E$7:$E$2010,$C100,'LAC 102_Wkst'!$G$7:$G$2010,$D100,'LAC 102_Wkst'!$L$7:$L$2010,"11",'LAC 102_Wkst'!$N$7:$N$2010,"P3")+SUMIFS('LAC 102_Wkst'!$AF$7:$AF$2010,'LAC 102_Wkst'!$D$7:$D$2010,$C$7,'LAC 102_Wkst'!$I$7:$I$2010,$C$9,'LAC 102_Wkst'!$E$7:$E$2010,$C100,'LAC 102_Wkst'!$G$7:$G$2010,$D100,'LAC 102_Wkst'!$L$7:$L$2010,"12",'LAC 102_Wkst'!$N$7:$N$2010,"P3")</f>
        <v>0</v>
      </c>
      <c r="AX100" s="410">
        <f>SUMIFS('LAC 102_Wkst'!$Q$7:$Q$2010,'LAC 102_Wkst'!$D$7:$D$2010,$C$7,'LAC 102_Wkst'!$I$7:$I$2010,$C$9,'LAC 102_Wkst'!$E$7:$E$2010,$C100,'LAC 102_Wkst'!$G$7:$G$2010,$D100,'LAC 102_Wkst'!$L$7:$L$2010,"11",'LAC 102_Wkst'!$N$7:$N$2010,"P4")+SUMIFS('LAC 102_Wkst'!$Q$7:$Q$2010,'LAC 102_Wkst'!$D$7:$D$2010,$C$7,'LAC 102_Wkst'!$I$7:$I$2010,$C$9,'LAC 102_Wkst'!$E$7:$E$2010,$C100,'LAC 102_Wkst'!$G$7:$G$2010,$D100,'LAC 102_Wkst'!$L$7:$L$2010,"12",'LAC 102_Wkst'!$N$7:$N$2010,"P4")</f>
        <v>0</v>
      </c>
      <c r="AY100" s="411">
        <f>SUMIFS('LAC 102_Wkst'!$AF$7:$AF$2010,'LAC 102_Wkst'!$D$7:$D$2010,$C$7,'LAC 102_Wkst'!$I$7:$I$2010,$C$9,'LAC 102_Wkst'!$E$7:$E$2010,$C100,'LAC 102_Wkst'!$G$7:$G$2010,$D100,'LAC 102_Wkst'!$L$7:$L$2010,"11",'LAC 102_Wkst'!$N$7:$N$2010,"P4")+SUMIFS('LAC 102_Wkst'!$AF$7:$AF$2010,'LAC 102_Wkst'!$D$7:$D$2010,$C$7,'LAC 102_Wkst'!$I$7:$I$2010,$C$9,'LAC 102_Wkst'!$E$7:$E$2010,$C100,'LAC 102_Wkst'!$G$7:$G$2010,$D100,'LAC 102_Wkst'!$L$7:$L$2010,"12",'LAC 102_Wkst'!$N$7:$N$2010,"P4")</f>
        <v>0</v>
      </c>
      <c r="AZ100" s="410">
        <f>SUMIFS('LAC 102_Wkst'!$Q$7:$Q$2010,'LAC 102_Wkst'!$D$7:$D$2010,$C$7,'LAC 102_Wkst'!$I$7:$I$2010,$C$9,'LAC 102_Wkst'!$E$7:$E$2010,$C100,'LAC 102_Wkst'!$G$7:$G$2010,$D100,'LAC 102_Wkst'!$L$7:$L$2010,"11",'LAC 102_Wkst'!$N$7:$N$2010,"P5")+SUMIFS('LAC 102_Wkst'!$Q$7:$Q$2010,'LAC 102_Wkst'!$D$7:$D$2010,$C$7,'LAC 102_Wkst'!$I$7:$I$2010,$C$9,'LAC 102_Wkst'!$E$7:$E$2010,$C100,'LAC 102_Wkst'!$G$7:$G$2010,$D100,'LAC 102_Wkst'!$L$7:$L$2010,"12",'LAC 102_Wkst'!$N$7:$N$2010,"P5")</f>
        <v>0</v>
      </c>
      <c r="BA100" s="411">
        <f>SUMIFS('LAC 102_Wkst'!$AF$7:$AF$2010,'LAC 102_Wkst'!$D$7:$D$2010,$C$7,'LAC 102_Wkst'!$I$7:$I$2010,$C$9,'LAC 102_Wkst'!$E$7:$E$2010,$C100,'LAC 102_Wkst'!$G$7:$G$2010,$D100,'LAC 102_Wkst'!$L$7:$L$2010,"11",'LAC 102_Wkst'!$N$7:$N$2010,"P5")+SUMIFS('LAC 102_Wkst'!$AF$7:$AF$2010,'LAC 102_Wkst'!$D$7:$D$2010,$C$7,'LAC 102_Wkst'!$I$7:$I$2010,$C$9,'LAC 102_Wkst'!$E$7:$E$2010,$C100,'LAC 102_Wkst'!$G$7:$G$2010,$D100,'LAC 102_Wkst'!$L$7:$L$2010,"12",'LAC 102_Wkst'!$N$7:$N$2010,"P5")</f>
        <v>0</v>
      </c>
      <c r="BB100" s="410">
        <f>SUMIFS('LAC 102_Wkst'!$Q$7:$Q$2010,'LAC 102_Wkst'!$D$7:$D$2010,$C$7,'LAC 102_Wkst'!$I$7:$I$2010,$C$9,'LAC 102_Wkst'!$E$7:$E$2010,$C100,'LAC 102_Wkst'!$G$7:$G$2010,$D100,'LAC 102_Wkst'!$L$7:$L$2010,"13",'LAC 102_Wkst'!$N$7:$N$2010,"P1")+SUMIFS('LAC 102_Wkst'!$Q$7:$Q$2010,'LAC 102_Wkst'!$D$7:$D$2010,$C$7,'LAC 102_Wkst'!$I$7:$I$2010,$C$9,'LAC 102_Wkst'!$E$7:$E$2010,$C100,'LAC 102_Wkst'!$G$7:$G$2010,$D100,'LAC 102_Wkst'!$L$7:$L$2010,"13",'LAC 102_Wkst'!$N$7:$N$2010,"P2")+SUMIFS('LAC 102_Wkst'!$Q$7:$Q$2010,'LAC 102_Wkst'!$D$7:$D$2010,$C$7,'LAC 102_Wkst'!$I$7:$I$2010,$C$9,'LAC 102_Wkst'!$E$7:$E$2010,$C100,'LAC 102_Wkst'!$G$7:$G$2010,$D100,'LAC 102_Wkst'!$L$7:$L$2010,"13",'LAC 102_Wkst'!$N$7:$N$2010,"P3")+SUMIFS('LAC 102_Wkst'!$Q$7:$Q$2010,'LAC 102_Wkst'!$D$7:$D$2010,$C$7,'LAC 102_Wkst'!$I$7:$I$2010,$C$9,'LAC 102_Wkst'!$E$7:$E$2010,$C100,'LAC 102_Wkst'!$G$7:$G$2010,$D100,'LAC 102_Wkst'!$L$7:$L$2010,"13",'LAC 102_Wkst'!$N$7:$N$2010,"P4")</f>
        <v>0</v>
      </c>
      <c r="BC100" s="411">
        <f>SUMIFS('LAC 102_Wkst'!$AF$7:$AF$2010,'LAC 102_Wkst'!$D$7:$D$2010,$C$7,'LAC 102_Wkst'!$I$7:$I$2010,$C$9,'LAC 102_Wkst'!$E$7:$E$2010,$C100,'LAC 102_Wkst'!$G$7:$G$2010,$D100,'LAC 102_Wkst'!$L$7:$L$2010,"13",'LAC 102_Wkst'!$N$7:$N$2010,"P1")+SUMIFS('LAC 102_Wkst'!$AF$7:$AF$2010,'LAC 102_Wkst'!$D$7:$D$2010,$C$7,'LAC 102_Wkst'!$I$7:$I$2010,$C$9,'LAC 102_Wkst'!$E$7:$E$2010,$C100,'LAC 102_Wkst'!$G$7:$G$2010,$D100,'LAC 102_Wkst'!$L$7:$L$2010,"13",'LAC 102_Wkst'!$N$7:$N$2010,"P2")+SUMIFS('LAC 102_Wkst'!$AF$7:$AF$2010,'LAC 102_Wkst'!$D$7:$D$2010,$C$7,'LAC 102_Wkst'!$I$7:$I$2010,$C$9,'LAC 102_Wkst'!$E$7:$E$2010,$C100,'LAC 102_Wkst'!$G$7:$G$2010,$D100,'LAC 102_Wkst'!$L$7:$L$2010,"13",'LAC 102_Wkst'!$N$7:$N$2010,"P3")+SUMIFS('LAC 102_Wkst'!$AF$7:$AF$2010,'LAC 102_Wkst'!$D$7:$D$2010,$C$7,'LAC 102_Wkst'!$I$7:$I$2010,$C$9,'LAC 102_Wkst'!$E$7:$E$2010,$C100,'LAC 102_Wkst'!$G$7:$G$2010,$D100,'LAC 102_Wkst'!$L$7:$L$2010,"13",'LAC 102_Wkst'!$N$7:$N$2010,"P4")</f>
        <v>0</v>
      </c>
      <c r="BD100" s="410">
        <f>SUMIFS('LAC 102_Wkst'!$Q$7:$Q$2010,'LAC 102_Wkst'!$D$7:$D$2010,$C$7,'LAC 102_Wkst'!$I$7:$I$2010,$C$9,'LAC 102_Wkst'!$E$7:$E$2010,$C100,'LAC 102_Wkst'!$G$7:$G$2010,$D100,'LAC 102_Wkst'!$L$7:$L$2010,"13",'LAC 102_Wkst'!$N$7:$N$2010,"P5")</f>
        <v>0</v>
      </c>
      <c r="BE100" s="411">
        <f>SUMIFS('LAC 102_Wkst'!$AF$7:$AF$2010,'LAC 102_Wkst'!$D$7:$D$2010,$C$7,'LAC 102_Wkst'!$I$7:$I$2010,$C$9,'LAC 102_Wkst'!$E$7:$E$2010,$C100,'LAC 102_Wkst'!$G$7:$G$2010,$D100,'LAC 102_Wkst'!$L$7:$L$2010,"13",'LAC 102_Wkst'!$N$7:$N$2010,"P5")</f>
        <v>0</v>
      </c>
      <c r="BF100" s="407">
        <f t="shared" si="5"/>
        <v>0</v>
      </c>
      <c r="BG100" s="1654">
        <f>SUMIFS('LAC 102_Wkst'!$AF$7:$AF$2010,'LAC 102_Wkst'!$D$7:$D$2010,$C$7,'LAC 102_Wkst'!$I$7:$I$2010,$C$9,'LAC 102_Wkst'!$E$7:$E$2010,$C100,'LAC 102_Wkst'!$G$7:$G$2010,$D100,'LAC 102_Wkst'!$L$7:$L$2010,"14")</f>
        <v>0</v>
      </c>
    </row>
    <row r="101" spans="1:59" x14ac:dyDescent="0.2">
      <c r="A101" s="401">
        <v>79</v>
      </c>
      <c r="B101" s="1678" t="str">
        <f>IF(Schedule_B!B$98="","",Schedule_B!B$98)</f>
        <v/>
      </c>
      <c r="C101" s="1674" t="str">
        <f>IF(Schedule_B!C$98=""," ",Schedule_B!C$98)</f>
        <v xml:space="preserve"> </v>
      </c>
      <c r="D101" s="1675" t="str">
        <f>IF(Schedule_B!D$98=""," ",Schedule_B!D$98)</f>
        <v xml:space="preserve"> </v>
      </c>
      <c r="E101" s="1221">
        <f>SUMIFS('LAC 102_Wkst'!$Q$7:$Q$2010,'LAC 102_Wkst'!$D$7:$D$2010,$C$7,'LAC 102_Wkst'!$I$7:$I$2010,$C$9,'LAC 102_Wkst'!$E$7:$E$2010,$C101,'LAC 102_Wkst'!$G$7:$G$2010,$D101)</f>
        <v>0</v>
      </c>
      <c r="F101" s="408">
        <f>SUMIFS('LAC 102_Wkst'!$Q$7:$Q$2010,'LAC 102_Wkst'!$D$7:$D$2010,$C$7,'LAC 102_Wkst'!$I$7:$I$2010,$C$9,'LAC 102_Wkst'!$E$7:$E$2010,$C101,'LAC 102_Wkst'!$G$7:$G$2010,$D101,'LAC 102_Wkst'!$L$7:$L$2010,"01",'LAC 102_Wkst'!$N$7:$N$2010,"P1")+SUMIFS('LAC 102_Wkst'!$Q$7:$Q$2010,'LAC 102_Wkst'!$D$7:$D$2010,$C$7,'LAC 102_Wkst'!$I$7:$I$2010,$C$9,'LAC 102_Wkst'!$E$7:$E$2010,$C101,'LAC 102_Wkst'!$G$7:$G$2010,$D101,'LAC 102_Wkst'!$L$7:$L$2010,"01",'LAC 102_Wkst'!$N$7:$N$2010,"P2")+SUMIFS('LAC 102_Wkst'!$Q$7:$Q$2010,'LAC 102_Wkst'!$D$7:$D$2010,$C$7,'LAC 102_Wkst'!$I$7:$I$2010,$C$9,'LAC 102_Wkst'!$E$7:$E$2010,$C101,'LAC 102_Wkst'!$G$7:$G$2010,$D101,'LAC 102_Wkst'!$L$7:$L$2010,"01",'LAC 102_Wkst'!$N$7:$N$2010,"P3")+SUMIFS('LAC 102_Wkst'!$Q$7:$Q$2010,'LAC 102_Wkst'!$D$7:$D$2010,$C$7,'LAC 102_Wkst'!$I$7:$I$2010,$C$9,'LAC 102_Wkst'!$E$7:$E$2010,$C101,'LAC 102_Wkst'!$G$7:$G$2010,$D101,'LAC 102_Wkst'!$L$7:$L$2010,"02",'LAC 102_Wkst'!$N$7:$N$2010,"P1")+SUMIFS('LAC 102_Wkst'!$Q$7:$Q$2010,'LAC 102_Wkst'!$D$7:$D$2010,$C$7,'LAC 102_Wkst'!$I$7:$I$2010,$C$9,'LAC 102_Wkst'!$E$7:$E$2010,$C101,'LAC 102_Wkst'!$G$7:$G$2010,$D101,'LAC 102_Wkst'!$L$7:$L$2010,"02",'LAC 102_Wkst'!$N$7:$N$2010,"P2")+SUMIFS('LAC 102_Wkst'!$Q$7:$Q$2010,'LAC 102_Wkst'!$D$7:$D$2010,$C$7,'LAC 102_Wkst'!$I$7:$I$2010,$C$9,'LAC 102_Wkst'!$E$7:$E$2010,$C101,'LAC 102_Wkst'!$G$7:$G$2010,$D101,'LAC 102_Wkst'!$L$7:$L$2010,"02",'LAC 102_Wkst'!$N$7:$N$2010,"P3")</f>
        <v>0</v>
      </c>
      <c r="G101" s="409">
        <f>SUMIFS('LAC 102_Wkst'!$AF$7:$AF$2010,'LAC 102_Wkst'!$D$7:$D$2010,$C$7,'LAC 102_Wkst'!$I$7:$I$2010,$C$9,'LAC 102_Wkst'!$E$7:$E$2010,$C101,'LAC 102_Wkst'!$G$7:$G$2010,$D101,'LAC 102_Wkst'!$L$7:$L$2010,"01",'LAC 102_Wkst'!$N$7:$N$2010,"P1")+SUMIFS('LAC 102_Wkst'!$AF$7:$AF$2010,'LAC 102_Wkst'!$D$7:$D$2010,$C$7,'LAC 102_Wkst'!$I$7:$I$2010,$C$9,'LAC 102_Wkst'!$E$7:$E$2010,$C101,'LAC 102_Wkst'!$G$7:$G$2010,$D101,'LAC 102_Wkst'!$L$7:$L$2010,"01",'LAC 102_Wkst'!$N$7:$N$2010,"P2")+SUMIFS('LAC 102_Wkst'!$AF$7:$AF$2010,'LAC 102_Wkst'!$D$7:$D$2010,$C$7,'LAC 102_Wkst'!$I$7:$I$2010,$C$9,'LAC 102_Wkst'!$E$7:$E$2010,$C101,'LAC 102_Wkst'!$G$7:$G$2010,$D101,'LAC 102_Wkst'!$L$7:$L$2010,"01",'LAC 102_Wkst'!$N$7:$N$2010,"P3")+SUMIFS('LAC 102_Wkst'!$AF$7:$AF$2010,'LAC 102_Wkst'!$D$7:$D$2010,$C$7,'LAC 102_Wkst'!$I$7:$I$2010,$C$9,'LAC 102_Wkst'!$E$7:$E$2010,$C101,'LAC 102_Wkst'!$G$7:$G$2010,$D101,'LAC 102_Wkst'!$L$7:$L$2010,"02",'LAC 102_Wkst'!$N$7:$N$2010,"P1")+SUMIFS('LAC 102_Wkst'!$AF$7:$AF$2010,'LAC 102_Wkst'!$D$7:$D$2010,$C$7,'LAC 102_Wkst'!$I$7:$I$2010,$C$9,'LAC 102_Wkst'!$E$7:$E$2010,$C101,'LAC 102_Wkst'!$G$7:$G$2010,$D101,'LAC 102_Wkst'!$L$7:$L$2010,"02",'LAC 102_Wkst'!$N$7:$N$2010,"P2")+SUMIFS('LAC 102_Wkst'!$AF$7:$AF$2010,'LAC 102_Wkst'!$D$7:$D$2010,$C$7,'LAC 102_Wkst'!$I$7:$I$2010,$C$9,'LAC 102_Wkst'!$E$7:$E$2010,$C101,'LAC 102_Wkst'!$G$7:$G$2010,$D101,'LAC 102_Wkst'!$L$7:$L$2010,"02",'LAC 102_Wkst'!$N$7:$N$2010,"P3")</f>
        <v>0</v>
      </c>
      <c r="H101" s="410">
        <f>SUMIFS('LAC 102_Wkst'!$Q$7:$Q$2010,'LAC 102_Wkst'!$D$7:$D$2010,$C$7,'LAC 102_Wkst'!$I$7:$I$2010,$C$9,'LAC 102_Wkst'!$E$7:$E$2010,$C101,'LAC 102_Wkst'!$G$7:$G$2010,$D101,'LAC 102_Wkst'!$L$7:$L$2010,"01",'LAC 102_Wkst'!$N$7:$N$2010,"P4")+SUMIFS('LAC 102_Wkst'!$Q$7:$Q$2010,'LAC 102_Wkst'!$D$7:$D$2010,$C$7,'LAC 102_Wkst'!$I$7:$I$2010,$C$9,'LAC 102_Wkst'!$E$7:$E$2010,$C101,'LAC 102_Wkst'!$G$7:$G$2010,$D101,'LAC 102_Wkst'!$L$7:$L$2010,"02",'LAC 102_Wkst'!$N$7:$N$2010,"P4")</f>
        <v>0</v>
      </c>
      <c r="I101" s="411">
        <f>SUMIFS('LAC 102_Wkst'!$AF$7:$AF$2010,'LAC 102_Wkst'!$D$7:$D$2010,$C$7,'LAC 102_Wkst'!$I$7:$I$2010,$C$9,'LAC 102_Wkst'!$E$7:$E$2010,$C101,'LAC 102_Wkst'!$G$7:$G$2010,$D101,'LAC 102_Wkst'!$L$7:$L$2010,"01",'LAC 102_Wkst'!$N$7:$N$2010,"P4")+SUMIFS('LAC 102_Wkst'!$AF$7:$AF$2010,'LAC 102_Wkst'!$D$7:$D$2010,$C$7,'LAC 102_Wkst'!$I$7:$I$2010,$C$9,'LAC 102_Wkst'!$E$7:$E$2010,$C101,'LAC 102_Wkst'!$G$7:$G$2010,$D101,'LAC 102_Wkst'!$L$7:$L$2010,"02",'LAC 102_Wkst'!$N$7:$N$2010,"P4")</f>
        <v>0</v>
      </c>
      <c r="J101" s="410">
        <f>SUMIFS('LAC 102_Wkst'!$Q$7:$Q$2010,'LAC 102_Wkst'!$D$7:$D$2010,$C$7,'LAC 102_Wkst'!$I$7:$I$2010,$C$9,'LAC 102_Wkst'!$E$7:$E$2010,$C101,'LAC 102_Wkst'!$G$7:$G$2010,$D101,'LAC 102_Wkst'!$L$7:$L$2010,"01",'LAC 102_Wkst'!$N$7:$N$2010,"P5")+SUMIFS('LAC 102_Wkst'!$Q$7:$Q$2010,'LAC 102_Wkst'!$D$7:$D$2010,$C$7,'LAC 102_Wkst'!$I$7:$I$2010,$C$9,'LAC 102_Wkst'!$E$7:$E$2010,$C101,'LAC 102_Wkst'!$G$7:$G$2010,$D101,'LAC 102_Wkst'!$L$7:$L$2010,"02",'LAC 102_Wkst'!$N$7:$N$2010,"P5")</f>
        <v>0</v>
      </c>
      <c r="K101" s="411">
        <f>SUMIFS('LAC 102_Wkst'!$AF$7:$AF$2010,'LAC 102_Wkst'!$D$7:$D$2010,$C$7,'LAC 102_Wkst'!$I$7:$I$2010,$C$9,'LAC 102_Wkst'!$E$7:$E$2010,$C101,'LAC 102_Wkst'!$G$7:$G$2010,$D101,'LAC 102_Wkst'!$L$7:$L$2010,"01",'LAC 102_Wkst'!$N$7:$N$2010,"P5")+SUMIFS('LAC 102_Wkst'!$AF$7:$AF$2010,'LAC 102_Wkst'!$D$7:$D$2010,$C$7,'LAC 102_Wkst'!$I$7:$I$2010,$C$9,'LAC 102_Wkst'!$E$7:$E$2010,$C101,'LAC 102_Wkst'!$G$7:$G$2010,$D101,'LAC 102_Wkst'!$L$7:$L$2010,"02",'LAC 102_Wkst'!$N$7:$N$2010,"P5")</f>
        <v>0</v>
      </c>
      <c r="L101" s="410">
        <f>SUMIFS('LAC 102_Wkst'!$Q$7:$Q$2010,'LAC 102_Wkst'!$D$7:$D$2010,$C$7,'LAC 102_Wkst'!$I$7:$I$2010,$C$9,'LAC 102_Wkst'!$E$7:$E$2010,$C101,'LAC 102_Wkst'!$G$7:$G$2010,$D101,'LAC 102_Wkst'!$L$7:$L$2010,"03",'LAC 102_Wkst'!$N$7:$N$2010,"P1")+SUMIFS('LAC 102_Wkst'!$Q$7:$Q$2010,'LAC 102_Wkst'!$D$7:$D$2010,$C$7,'LAC 102_Wkst'!$I$7:$I$2010,$C$9,'LAC 102_Wkst'!$E$7:$E$2010,$C101,'LAC 102_Wkst'!$G$7:$G$2010,$D101,'LAC 102_Wkst'!$L$7:$L$2010,"03",'LAC 102_Wkst'!$N$7:$N$2010,"P2")+SUMIFS('LAC 102_Wkst'!$Q$7:$Q$2010,'LAC 102_Wkst'!$D$7:$D$2010,$C$7,'LAC 102_Wkst'!$I$7:$I$2010,$C$9,'LAC 102_Wkst'!$E$7:$E$2010,$C101,'LAC 102_Wkst'!$G$7:$G$2010,$D101,'LAC 102_Wkst'!$L$7:$L$2010,"03",'LAC 102_Wkst'!$N$7:$N$2010,"P3")+SUMIFS('LAC 102_Wkst'!$Q$7:$Q$2010,'LAC 102_Wkst'!$D$7:$D$2010,$C$7,'LAC 102_Wkst'!$I$7:$I$2010,$C$9,'LAC 102_Wkst'!$E$7:$E$2010,$C101,'LAC 102_Wkst'!$G$7:$G$2010,$D101,'LAC 102_Wkst'!$L$7:$L$2010,"04",'LAC 102_Wkst'!$N$7:$N$2010,"P1")+SUMIFS('LAC 102_Wkst'!$Q$7:$Q$2010,'LAC 102_Wkst'!$D$7:$D$2010,$C$7,'LAC 102_Wkst'!$I$7:$I$2010,$C$9,'LAC 102_Wkst'!$E$7:$E$2010,$C101,'LAC 102_Wkst'!$G$7:$G$2010,$D101,'LAC 102_Wkst'!$L$7:$L$2010,"04",'LAC 102_Wkst'!$N$7:$N$2010,"P2")+SUMIFS('LAC 102_Wkst'!$Q$7:$Q$2010,'LAC 102_Wkst'!$D$7:$D$2010,$C$7,'LAC 102_Wkst'!$I$7:$I$2010,$C$9,'LAC 102_Wkst'!$E$7:$E$2010,$C101,'LAC 102_Wkst'!$G$7:$G$2010,$D101,'LAC 102_Wkst'!$L$7:$L$2010,"04",'LAC 102_Wkst'!$N$7:$N$2010,"P3")</f>
        <v>0</v>
      </c>
      <c r="M101" s="411">
        <f>SUMIFS('LAC 102_Wkst'!$AF$7:$AF$2010,'LAC 102_Wkst'!$D$7:$D$2010,$C$7,'LAC 102_Wkst'!$I$7:$I$2010,$C$9,'LAC 102_Wkst'!$E$7:$E$2010,$C101,'LAC 102_Wkst'!$G$7:$G$2010,$D101,'LAC 102_Wkst'!$L$7:$L$2010,"03",'LAC 102_Wkst'!$N$7:$N$2010,"P1")+SUMIFS('LAC 102_Wkst'!$AF$7:$AF$2010,'LAC 102_Wkst'!$D$7:$D$2010,$C$7,'LAC 102_Wkst'!$I$7:$I$2010,$C$9,'LAC 102_Wkst'!$E$7:$E$2010,$C101,'LAC 102_Wkst'!$G$7:$G$2010,$D101,'LAC 102_Wkst'!$L$7:$L$2010,"03",'LAC 102_Wkst'!$N$7:$N$2010,"P2")+SUMIFS('LAC 102_Wkst'!$AF$7:$AF$2010,'LAC 102_Wkst'!$D$7:$D$2010,$C$7,'LAC 102_Wkst'!$I$7:$I$2010,$C$9,'LAC 102_Wkst'!$E$7:$E$2010,$C101,'LAC 102_Wkst'!$G$7:$G$2010,$D101,'LAC 102_Wkst'!$L$7:$L$2010,"03",'LAC 102_Wkst'!$N$7:$N$2010,"P3")+SUMIFS('LAC 102_Wkst'!$AF$7:$AF$2010,'LAC 102_Wkst'!$D$7:$D$2010,$C$7,'LAC 102_Wkst'!$I$7:$I$2010,$C$9,'LAC 102_Wkst'!$E$7:$E$2010,$C101,'LAC 102_Wkst'!$G$7:$G$2010,$D101,'LAC 102_Wkst'!$L$7:$L$2010,"04",'LAC 102_Wkst'!$N$7:$N$2010,"P1")+SUMIFS('LAC 102_Wkst'!$AF$7:$AF$2010,'LAC 102_Wkst'!$D$7:$D$2010,$C$7,'LAC 102_Wkst'!$I$7:$I$2010,$C$9,'LAC 102_Wkst'!$E$7:$E$2010,$C101,'LAC 102_Wkst'!$G$7:$G$2010,$D101,'LAC 102_Wkst'!$L$7:$L$2010,"04",'LAC 102_Wkst'!$N$7:$N$2010,"P2")+SUMIFS('LAC 102_Wkst'!$AF$7:$AF$2010,'LAC 102_Wkst'!$D$7:$D$2010,$C$7,'LAC 102_Wkst'!$I$7:$I$2010,$C$9,'LAC 102_Wkst'!$E$7:$E$2010,$C101,'LAC 102_Wkst'!$G$7:$G$2010,$D101,'LAC 102_Wkst'!$L$7:$L$2010,"04",'LAC 102_Wkst'!$N$7:$N$2010,"P3")</f>
        <v>0</v>
      </c>
      <c r="N101" s="410">
        <f>SUMIFS('LAC 102_Wkst'!$Q$7:$Q$2010,'LAC 102_Wkst'!$D$7:$D$2010,$C$7,'LAC 102_Wkst'!$I$7:$I$2010,$C$9,'LAC 102_Wkst'!$E$7:$E$2010,$C101,'LAC 102_Wkst'!$G$7:$G$2010,$D101,'LAC 102_Wkst'!$L$7:$L$2010,"03",'LAC 102_Wkst'!$N$7:$N$2010,"P4")+SUMIFS('LAC 102_Wkst'!$Q$7:$Q$2010,'LAC 102_Wkst'!$D$7:$D$2010,$C$7,'LAC 102_Wkst'!$I$7:$I$2010,$C$9,'LAC 102_Wkst'!$E$7:$E$2010,$C101,'LAC 102_Wkst'!$G$7:$G$2010,$D101,'LAC 102_Wkst'!$L$7:$L$2010,"04",'LAC 102_Wkst'!$N$7:$N$2010,"P4")</f>
        <v>0</v>
      </c>
      <c r="O101" s="411">
        <f>SUMIFS('LAC 102_Wkst'!$AF$7:$AF$2010,'LAC 102_Wkst'!$D$7:$D$2010,$C$7,'LAC 102_Wkst'!$I$7:$I$2010,$C$9,'LAC 102_Wkst'!$E$7:$E$2010,$C101,'LAC 102_Wkst'!$G$7:$G$2010,$D101,'LAC 102_Wkst'!$L$7:$L$2010,"03",'LAC 102_Wkst'!$N$7:$N$2010,"P4")+SUMIFS('LAC 102_Wkst'!$AF$7:$AF$2010,'LAC 102_Wkst'!$D$7:$D$2010,$C$7,'LAC 102_Wkst'!$I$7:$I$2010,$C$9,'LAC 102_Wkst'!$E$7:$E$2010,$C101,'LAC 102_Wkst'!$G$7:$G$2010,$D101,'LAC 102_Wkst'!$L$7:$L$2010,"04",'LAC 102_Wkst'!$N$7:$N$2010,"P4")</f>
        <v>0</v>
      </c>
      <c r="P101" s="410">
        <f>SUMIFS('LAC 102_Wkst'!$Q$7:$Q$2010,'LAC 102_Wkst'!$D$7:$D$2010,$C$7,'LAC 102_Wkst'!$I$7:$I$2010,$C$9,'LAC 102_Wkst'!$E$7:$E$2010,$C101,'LAC 102_Wkst'!$G$7:$G$2010,$D101,'LAC 102_Wkst'!$L$7:$L$2010,"03",'LAC 102_Wkst'!$N$7:$N$2010,"P5")+SUMIFS('LAC 102_Wkst'!$Q$7:$Q$2010,'LAC 102_Wkst'!$D$7:$D$2010,$C$7,'LAC 102_Wkst'!$I$7:$I$2010,$C$9,'LAC 102_Wkst'!$E$7:$E$2010,$C101,'LAC 102_Wkst'!$G$7:$G$2010,$D101,'LAC 102_Wkst'!$L$7:$L$2010,"04",'LAC 102_Wkst'!$N$7:$N$2010,"P5")</f>
        <v>0</v>
      </c>
      <c r="Q101" s="411">
        <f>SUMIFS('LAC 102_Wkst'!$AF$7:$AF$2010,'LAC 102_Wkst'!$D$7:$D$2010,$C$7,'LAC 102_Wkst'!$I$7:$I$2010,$C$9,'LAC 102_Wkst'!$E$7:$E$2010,$C101,'LAC 102_Wkst'!$G$7:$G$2010,$D101,'LAC 102_Wkst'!$L$7:$L$2010,"03",'LAC 102_Wkst'!$N$7:$N$2010,"P5")+SUMIFS('LAC 102_Wkst'!$AF$7:$AF$2010,'LAC 102_Wkst'!$D$7:$D$2010,$C$7,'LAC 102_Wkst'!$I$7:$I$2010,$C$9,'LAC 102_Wkst'!$E$7:$E$2010,$C101,'LAC 102_Wkst'!$G$7:$G$2010,$D101,'LAC 102_Wkst'!$L$7:$L$2010,"04",'LAC 102_Wkst'!$N$7:$N$2010,"P5")</f>
        <v>0</v>
      </c>
      <c r="R101" s="412">
        <f>SUMIFS('LAC 102_Wkst'!$Q$7:$Q$2010,'LAC 102_Wkst'!$D$7:$D$2010,$C$7,'LAC 102_Wkst'!$I$7:$I$2010,$C$9,'LAC 102_Wkst'!$E$7:$E$2010,$C101,'LAC 102_Wkst'!$G$7:$G$2010,$D101,'LAC 102_Wkst'!$L$7:$L$2010,"05",'LAC 102_Wkst'!$N$7:$N$2010,"P1")+SUMIFS('LAC 102_Wkst'!$Q$7:$Q$2010,'LAC 102_Wkst'!$D$7:$D$2010,$C$7,'LAC 102_Wkst'!$I$7:$I$2010,$C$9,'LAC 102_Wkst'!$E$7:$E$2010,$C101,'LAC 102_Wkst'!$G$7:$G$2010,$D101,'LAC 102_Wkst'!$L$7:$L$2010,"06",'LAC 102_Wkst'!$N$7:$N$2010,"P1")</f>
        <v>0</v>
      </c>
      <c r="S101" s="411">
        <f>SUMIFS('LAC 102_Wkst'!$AF$7:$AF$2010,'LAC 102_Wkst'!$D$7:$D$2010,$C$7,'LAC 102_Wkst'!$I$7:$I$2010,$C$9,'LAC 102_Wkst'!$E$7:$E$2010,$C101,'LAC 102_Wkst'!$G$7:$G$2010,$D101,'LAC 102_Wkst'!$L$7:$L$2010,"05",'LAC 102_Wkst'!$N$7:$N$2010,"P1")+SUMIFS('LAC 102_Wkst'!$AF$7:$AF$2010,'LAC 102_Wkst'!$D$7:$D$2010,$C$7,'LAC 102_Wkst'!$I$7:$I$2010,$C$9,'LAC 102_Wkst'!$E$7:$E$2010,$C101,'LAC 102_Wkst'!$G$7:$G$2010,$D101,'LAC 102_Wkst'!$L$7:$L$2010,"06",'LAC 102_Wkst'!$N$7:$N$2010,"P1")</f>
        <v>0</v>
      </c>
      <c r="T101" s="410">
        <f>SUMIFS('LAC 102_Wkst'!$Q$7:$Q$2010,'LAC 102_Wkst'!$D$7:$D$2010,$C$7,'LAC 102_Wkst'!$I$7:$I$2010,$C$9,'LAC 102_Wkst'!$E$7:$E$2010,$C101,'LAC 102_Wkst'!$G$7:$G$2010,$D101,'LAC 102_Wkst'!$L$7:$L$2010,"05",'LAC 102_Wkst'!$N$7:$N$2010,"P2")+SUMIFS('LAC 102_Wkst'!$Q$7:$Q$2010,'LAC 102_Wkst'!$D$7:$D$2010,$C$7,'LAC 102_Wkst'!$I$7:$I$2010,$C$9,'LAC 102_Wkst'!$E$7:$E$2010,$C101,'LAC 102_Wkst'!$G$7:$G$2010,$D101,'LAC 102_Wkst'!$L$7:$L$2010,"06",'LAC 102_Wkst'!$N$7:$N$2010,"P2")+SUMIFS('LAC 102_Wkst'!$Q$7:$Q$2010,'LAC 102_Wkst'!$D$7:$D$2010,$C$7,'LAC 102_Wkst'!$I$7:$I$2010,$C$9,'LAC 102_Wkst'!$E$7:$E$2010,$C101,'LAC 102_Wkst'!$G$7:$G$2010,$D101,'LAC 102_Wkst'!$L$7:$L$2010,"05",'LAC 102_Wkst'!$N$7:$N$2010,"P3")+SUMIFS('LAC 102_Wkst'!$Q$7:$Q$2010,'LAC 102_Wkst'!$D$7:$D$2010,$C$7,'LAC 102_Wkst'!$I$7:$I$2010,$C$9,'LAC 102_Wkst'!$E$7:$E$2010,$C101,'LAC 102_Wkst'!$G$7:$G$2010,$D101,'LAC 102_Wkst'!$L$7:$L$2010,"06",'LAC 102_Wkst'!$N$7:$N$2010,"P3")</f>
        <v>0</v>
      </c>
      <c r="U101" s="411">
        <f>SUMIFS('LAC 102_Wkst'!$AF$7:$AF$2010,'LAC 102_Wkst'!$D$7:$D$2010,$C$7,'LAC 102_Wkst'!$I$7:$I$2010,$C$9,'LAC 102_Wkst'!$E$7:$E$2010,$C101,'LAC 102_Wkst'!$G$7:$G$2010,$D101,'LAC 102_Wkst'!$L$7:$L$2010,"05",'LAC 102_Wkst'!$N$7:$N$2010,"P2")+SUMIFS('LAC 102_Wkst'!$AF$7:$AF$2010,'LAC 102_Wkst'!$D$7:$D$2010,$C$7,'LAC 102_Wkst'!$I$7:$I$2010,$C$9,'LAC 102_Wkst'!$E$7:$E$2010,$C101,'LAC 102_Wkst'!$G$7:$G$2010,$D101,'LAC 102_Wkst'!$L$7:$L$2010,"06",'LAC 102_Wkst'!$N$7:$N$2010,"P2")+SUMIFS('LAC 102_Wkst'!$AF$7:$AF$2010,'LAC 102_Wkst'!$D$7:$D$2010,$C$7,'LAC 102_Wkst'!$I$7:$I$2010,$C$9,'LAC 102_Wkst'!$E$7:$E$2010,$C101,'LAC 102_Wkst'!$G$7:$G$2010,$D101,'LAC 102_Wkst'!$L$7:$L$2010,"05",'LAC 102_Wkst'!$N$7:$N$2010,"P3")+SUMIFS('LAC 102_Wkst'!$AF$7:$AF$2010,'LAC 102_Wkst'!$D$7:$D$2010,$C$7,'LAC 102_Wkst'!$I$7:$I$2010,$C$9,'LAC 102_Wkst'!$E$7:$E$2010,$C101,'LAC 102_Wkst'!$G$7:$G$2010,$D101,'LAC 102_Wkst'!$L$7:$L$2010,"06",'LAC 102_Wkst'!$N$7:$N$2010,"P3")</f>
        <v>0</v>
      </c>
      <c r="V101" s="410">
        <f>SUMIFS('LAC 102_Wkst'!$Q$7:$Q$2010,'LAC 102_Wkst'!$D$7:$D$2010,$C$7,'LAC 102_Wkst'!$I$7:$I$2010,$C$9,'LAC 102_Wkst'!$E$7:$E$2010,$C101,'LAC 102_Wkst'!$G$7:$G$2010,$D101,'LAC 102_Wkst'!$L$7:$L$2010,"05",'LAC 102_Wkst'!$N$7:$N$2010,"P4")+SUMIFS('LAC 102_Wkst'!$Q$7:$Q$2010,'LAC 102_Wkst'!$D$7:$D$2010,$C$7,'LAC 102_Wkst'!$I$7:$I$2010,$C$9,'LAC 102_Wkst'!$E$7:$E$2010,$C101,'LAC 102_Wkst'!$G$7:$G$2010,$D101,'LAC 102_Wkst'!$L$7:$L$2010,"06",'LAC 102_Wkst'!$N$7:$N$2010,"P4")</f>
        <v>0</v>
      </c>
      <c r="W101" s="411">
        <f>SUMIFS('LAC 102_Wkst'!$AF$7:$AF$2010,'LAC 102_Wkst'!$D$7:$D$2010,$C$7,'LAC 102_Wkst'!$I$7:$I$2010,$C$9,'LAC 102_Wkst'!$E$7:$E$2010,$C101,'LAC 102_Wkst'!$G$7:$G$2010,$D101,'LAC 102_Wkst'!$L$7:$L$2010,"05",'LAC 102_Wkst'!$N$7:$N$2010,"P4")+SUMIFS('LAC 102_Wkst'!$AF$7:$AF$2010,'LAC 102_Wkst'!$D$7:$D$2010,$C$7,'LAC 102_Wkst'!$I$7:$I$2010,$C$9,'LAC 102_Wkst'!$E$7:$E$2010,$C101,'LAC 102_Wkst'!$G$7:$G$2010,$D101,'LAC 102_Wkst'!$L$7:$L$2010,"06",'LAC 102_Wkst'!$N$7:$N$2010,"P4")</f>
        <v>0</v>
      </c>
      <c r="X101" s="410">
        <f>SUMIFS('LAC 102_Wkst'!$Q$7:$Q$2010,'LAC 102_Wkst'!$D$7:$D$2010,$C$7,'LAC 102_Wkst'!$I$7:$I$2010,$C$9,'LAC 102_Wkst'!$E$7:$E$2010,$C101,'LAC 102_Wkst'!$G$7:$G$2010,$D101,'LAC 102_Wkst'!$L$7:$L$2010,"05",'LAC 102_Wkst'!$N$7:$N$2010,"P5")+SUMIFS('LAC 102_Wkst'!$Q$7:$Q$2010,'LAC 102_Wkst'!$D$7:$D$2010,$C$7,'LAC 102_Wkst'!$I$7:$I$2010,$C$9,'LAC 102_Wkst'!$E$7:$E$2010,$C101,'LAC 102_Wkst'!$G$7:$G$2010,$D101,'LAC 102_Wkst'!$L$7:$L$2010,"06",'LAC 102_Wkst'!$N$7:$N$2010,"P5")</f>
        <v>0</v>
      </c>
      <c r="Y101" s="411">
        <f>SUMIFS('LAC 102_Wkst'!$AF$7:$AF$2010,'LAC 102_Wkst'!$D$7:$D$2010,$C$7,'LAC 102_Wkst'!$I$7:$I$2010,$C$9,'LAC 102_Wkst'!$E$7:$E$2010,$C101,'LAC 102_Wkst'!$G$7:$G$2010,$D101,'LAC 102_Wkst'!$L$7:$L$2010,"05",'LAC 102_Wkst'!$N$7:$N$2010,"P5")+SUMIFS('LAC 102_Wkst'!$AF$7:$AF$2010,'LAC 102_Wkst'!$D$7:$D$2010,$C$7,'LAC 102_Wkst'!$I$7:$I$2010,$C$9,'LAC 102_Wkst'!$E$7:$E$2010,$C101,'LAC 102_Wkst'!$G$7:$G$2010,$D101,'LAC 102_Wkst'!$L$7:$L$2010,"06",'LAC 102_Wkst'!$N$7:$N$2010,"P5")</f>
        <v>0</v>
      </c>
      <c r="Z101" s="410">
        <f>SUMIFS('LAC 102_Wkst'!$Q$7:$Q$2010,'LAC 102_Wkst'!$D$7:$D$2010,$C$7,'LAC 102_Wkst'!$I$7:$I$2010,$C$9,'LAC 102_Wkst'!$E$7:$E$2010,$C101,'LAC 102_Wkst'!$G$7:$G$2010,$D101,'LAC 102_Wkst'!$L$7:$L$2010,"07",'LAC 102_Wkst'!$N$7:$N$2010,"P1")+SUMIFS('LAC 102_Wkst'!$Q$7:$Q$2010,'LAC 102_Wkst'!$D$7:$D$2010,$C$7,'LAC 102_Wkst'!$I$7:$I$2010,$C$9,'LAC 102_Wkst'!$E$7:$E$2010,$C101,'LAC 102_Wkst'!$G$7:$G$2010,$D101,'LAC 102_Wkst'!$L$7:$L$2010,"07",'LAC 102_Wkst'!$N$7:$N$2010,"P2")+SUMIFS('LAC 102_Wkst'!$Q$7:$Q$2010,'LAC 102_Wkst'!$D$7:$D$2010,$C$7,'LAC 102_Wkst'!$I$7:$I$2010,$C$9,'LAC 102_Wkst'!$E$7:$E$2010,$C101,'LAC 102_Wkst'!$G$7:$G$2010,$D101,'LAC 102_Wkst'!$L$7:$L$2010,"07",'LAC 102_Wkst'!$N$7:$N$2010,"P3")</f>
        <v>0</v>
      </c>
      <c r="AA101" s="411">
        <f>SUMIFS('LAC 102_Wkst'!$AF$7:$AF$2010,'LAC 102_Wkst'!$D$7:$D$2010,$C$7,'LAC 102_Wkst'!$I$7:$I$2010,$C$9,'LAC 102_Wkst'!$E$7:$E$2010,$C101,'LAC 102_Wkst'!$G$7:$G$2010,$D101,'LAC 102_Wkst'!$L$7:$L$2010,"07",'LAC 102_Wkst'!$N$7:$N$2010,"P1")+SUMIFS('LAC 102_Wkst'!$AF$7:$AF$2010,'LAC 102_Wkst'!$D$7:$D$2010,$C$7,'LAC 102_Wkst'!$I$7:$I$2010,$C$9,'LAC 102_Wkst'!$E$7:$E$2010,$C101,'LAC 102_Wkst'!$G$7:$G$2010,$D101,'LAC 102_Wkst'!$L$7:$L$2010,"07",'LAC 102_Wkst'!$N$7:$N$2010,"P2")+SUMIFS('LAC 102_Wkst'!$AF$7:$AF$2010,'LAC 102_Wkst'!$D$7:$D$2010,$C$7,'LAC 102_Wkst'!$I$7:$I$2010,$C$9,'LAC 102_Wkst'!$E$7:$E$2010,$C101,'LAC 102_Wkst'!$G$7:$G$2010,$D101,'LAC 102_Wkst'!$L$7:$L$2010,"07",'LAC 102_Wkst'!$N$7:$N$2010,"P3")</f>
        <v>0</v>
      </c>
      <c r="AB101" s="410">
        <f>SUMIFS('LAC 102_Wkst'!$Q$7:$Q$2010,'LAC 102_Wkst'!$D$7:$D$2010,$C$7,'LAC 102_Wkst'!$I$7:$I$2010,$C$9,'LAC 102_Wkst'!$E$7:$E$2010,$C101,'LAC 102_Wkst'!$G$7:$G$2010,$D101,'LAC 102_Wkst'!$L$7:$L$2010,"07",'LAC 102_Wkst'!$N$7:$N$2010,"P4")</f>
        <v>0</v>
      </c>
      <c r="AC101" s="411">
        <f>SUMIFS('LAC 102_Wkst'!$AF$7:$AF$2010,'LAC 102_Wkst'!$D$7:$D$2010,$C$7,'LAC 102_Wkst'!$I$7:$I$2010,$C$9,'LAC 102_Wkst'!$E$7:$E$2010,$C101,'LAC 102_Wkst'!$G$7:$G$2010,$D101,'LAC 102_Wkst'!$L$7:$L$2010,"07",'LAC 102_Wkst'!$N$7:$N$2010,"P4")</f>
        <v>0</v>
      </c>
      <c r="AD101" s="410">
        <f>SUMIFS('LAC 102_Wkst'!$Q$7:$Q$2010,'LAC 102_Wkst'!$D$7:$D$2010,$C$7,'LAC 102_Wkst'!$I$7:$I$2010,$C$9,'LAC 102_Wkst'!$E$7:$E$2010,$C101,'LAC 102_Wkst'!$G$7:$G$2010,$D101,'LAC 102_Wkst'!$L$7:$L$2010,"07",'LAC 102_Wkst'!$N$7:$N$2010,"P5")</f>
        <v>0</v>
      </c>
      <c r="AE101" s="411">
        <f>SUMIFS('LAC 102_Wkst'!$AF$7:$AF$2010,'LAC 102_Wkst'!$D$7:$D$2010,$C$7,'LAC 102_Wkst'!$I$7:$I$2010,$C$9,'LAC 102_Wkst'!$E$7:$E$2010,$C101,'LAC 102_Wkst'!$G$7:$G$2010,$D101,'LAC 102_Wkst'!$L$7:$L$2010,"07",'LAC 102_Wkst'!$N$7:$N$2010,"P5")</f>
        <v>0</v>
      </c>
      <c r="AF101" s="410">
        <f>SUMIFS('LAC 102_Wkst'!$Q$7:$Q$2010,'LAC 102_Wkst'!$D$7:$D$2010,$C$7,'LAC 102_Wkst'!$I$7:$I$2010,$C$9,'LAC 102_Wkst'!$E$7:$E$2010,$C101,'LAC 102_Wkst'!$G$7:$G$2010,$D101,'LAC 102_Wkst'!$L$7:$L$2010,"08",'LAC 102_Wkst'!$N$7:$N$2010,"P1")+SUMIFS('LAC 102_Wkst'!$Q$7:$Q$2010,'LAC 102_Wkst'!$D$7:$D$2010,$C$7,'LAC 102_Wkst'!$I$7:$I$2010,$C$9,'LAC 102_Wkst'!$E$7:$E$2010,$C101,'LAC 102_Wkst'!$G$7:$G$2010,$D101,'LAC 102_Wkst'!$L$7:$L$2010,"08",'LAC 102_Wkst'!$N$7:$N$2010,"P2")+SUMIFS('LAC 102_Wkst'!$Q$7:$Q$2010,'LAC 102_Wkst'!$D$7:$D$2010,$C$7,'LAC 102_Wkst'!$I$7:$I$2010,$C$9,'LAC 102_Wkst'!$E$7:$E$2010,$C101,'LAC 102_Wkst'!$G$7:$G$2010,$D101,'LAC 102_Wkst'!$L$7:$L$2010,"08",'LAC 102_Wkst'!$N$7:$N$2010,"P3")</f>
        <v>0</v>
      </c>
      <c r="AG101" s="411">
        <f>SUMIFS('LAC 102_Wkst'!$AF$7:$AF$2010,'LAC 102_Wkst'!$D$7:$D$2010,$C$7,'LAC 102_Wkst'!$I$7:$I$2010,$C$9,'LAC 102_Wkst'!$E$7:$E$2010,$C101,'LAC 102_Wkst'!$G$7:$G$2010,$D101,'LAC 102_Wkst'!$L$7:$L$2010,"08",'LAC 102_Wkst'!$N$7:$N$2010,"P1")+SUMIFS('LAC 102_Wkst'!$AF$7:$AF$2010,'LAC 102_Wkst'!$D$7:$D$2010,$C$7,'LAC 102_Wkst'!$I$7:$I$2010,$C$9,'LAC 102_Wkst'!$E$7:$E$2010,$C101,'LAC 102_Wkst'!$G$7:$G$2010,$D101,'LAC 102_Wkst'!$L$7:$L$2010,"08",'LAC 102_Wkst'!$N$7:$N$2010,"P2")+SUMIFS('LAC 102_Wkst'!$AF$7:$AF$2010,'LAC 102_Wkst'!$D$7:$D$2010,$C$7,'LAC 102_Wkst'!$I$7:$I$2010,$C$9,'LAC 102_Wkst'!$E$7:$E$2010,$C101,'LAC 102_Wkst'!$G$7:$G$2010,$D101,'LAC 102_Wkst'!$L$7:$L$2010,"08",'LAC 102_Wkst'!$N$7:$N$2010,"P3")</f>
        <v>0</v>
      </c>
      <c r="AH101" s="410">
        <f>SUMIFS('LAC 102_Wkst'!$Q$7:$Q$2010,'LAC 102_Wkst'!$D$7:$D$2010,$C$7,'LAC 102_Wkst'!$I$7:$I$2010,$C$9,'LAC 102_Wkst'!$E$7:$E$2010,$C101,'LAC 102_Wkst'!$G$7:$G$2010,$D101,'LAC 102_Wkst'!$L$7:$L$2010,"08",'LAC 102_Wkst'!$N$7:$N$2010,"P4")</f>
        <v>0</v>
      </c>
      <c r="AI101" s="411">
        <f>SUMIFS('LAC 102_Wkst'!$AF$7:$AF$2010,'LAC 102_Wkst'!$D$7:$D$2010,$C$7,'LAC 102_Wkst'!$I$7:$I$2010,$C$9,'LAC 102_Wkst'!$E$7:$E$2010,$C101,'LAC 102_Wkst'!$G$7:$G$2010,$D101,'LAC 102_Wkst'!$L$7:$L$2010,"08",'LAC 102_Wkst'!$N$7:$N$2010,"P4")</f>
        <v>0</v>
      </c>
      <c r="AJ101" s="410">
        <f>SUMIFS('LAC 102_Wkst'!$Q$7:$Q$2010,'LAC 102_Wkst'!$D$7:$D$2010,$C$7,'LAC 102_Wkst'!$I$7:$I$2010,$C$9,'LAC 102_Wkst'!$E$7:$E$2010,$C101,'LAC 102_Wkst'!$G$7:$G$2010,$D101,'LAC 102_Wkst'!$L$7:$L$2010,"08",'LAC 102_Wkst'!$N$7:$N$2010,"P5")</f>
        <v>0</v>
      </c>
      <c r="AK101" s="411">
        <f>SUMIFS('LAC 102_Wkst'!$AF$7:$AF$2010,'LAC 102_Wkst'!$D$7:$D$2010,$C$7,'LAC 102_Wkst'!$I$7:$I$2010,$C$9,'LAC 102_Wkst'!$E$7:$E$2010,$C101,'LAC 102_Wkst'!$G$7:$G$2010,$D101,'LAC 102_Wkst'!$L$7:$L$2010,"08",'LAC 102_Wkst'!$N$7:$N$2010,"P5")</f>
        <v>0</v>
      </c>
      <c r="AL101" s="410">
        <f>SUMIFS('LAC 102_Wkst'!$Q$7:$Q$2010,'LAC 102_Wkst'!$D$7:$D$2010,$C$7,'LAC 102_Wkst'!$I$7:$I$2010,$C$9,'LAC 102_Wkst'!$E$7:$E$2010,$C101,'LAC 102_Wkst'!$G$7:$G$2010,$D101,'LAC 102_Wkst'!$L$7:$L$2010,"09",'LAC 102_Wkst'!$N$7:$N$2010,"P1")+SUMIFS('LAC 102_Wkst'!$Q$7:$Q$2010,'LAC 102_Wkst'!$D$7:$D$2010,$C$7,'LAC 102_Wkst'!$I$7:$I$2010,$C$9,'LAC 102_Wkst'!$E$7:$E$2010,$C101,'LAC 102_Wkst'!$G$7:$G$2010,$D101,'LAC 102_Wkst'!$L$7:$L$2010,"09",'LAC 102_Wkst'!$N$7:$N$2010,"P2")+SUMIFS('LAC 102_Wkst'!$Q$7:$Q$2010,'LAC 102_Wkst'!$D$7:$D$2010,$C$7,'LAC 102_Wkst'!$I$7:$I$2010,$C$9,'LAC 102_Wkst'!$E$7:$E$2010,$C101,'LAC 102_Wkst'!$G$7:$G$2010,$D101,'LAC 102_Wkst'!$L$7:$L$2010,"09",'LAC 102_Wkst'!$N$7:$N$2010,"P3")+SUMIFS('LAC 102_Wkst'!$Q$7:$Q$2010,'LAC 102_Wkst'!$D$7:$D$2010,$C$7,'LAC 102_Wkst'!$I$7:$I$2010,$C$9,'LAC 102_Wkst'!$E$7:$E$2010,$C101,'LAC 102_Wkst'!$G$7:$G$2010,$D101,'LAC 102_Wkst'!$L$7:$L$2010,"09",'LAC 102_Wkst'!$N$7:$N$2010,"P4")</f>
        <v>0</v>
      </c>
      <c r="AM101" s="411">
        <f>SUMIFS('LAC 102_Wkst'!$AF$7:$AF$2010,'LAC 102_Wkst'!$D$7:$D$2010,$C$7,'LAC 102_Wkst'!$I$7:$I$2010,$C$9,'LAC 102_Wkst'!$E$7:$E$2010,$C101,'LAC 102_Wkst'!$G$7:$G$2010,$D101,'LAC 102_Wkst'!$L$7:$L$2010,"09",'LAC 102_Wkst'!$N$7:$N$2010,"P1")+SUMIFS('LAC 102_Wkst'!$AF$7:$AF$2010,'LAC 102_Wkst'!$D$7:$D$2010,$C$7,'LAC 102_Wkst'!$I$7:$I$2010,$C$9,'LAC 102_Wkst'!$E$7:$E$2010,$C101,'LAC 102_Wkst'!$G$7:$G$2010,$D101,'LAC 102_Wkst'!$L$7:$L$2010,"09",'LAC 102_Wkst'!$N$7:$N$2010,"P2")+SUMIFS('LAC 102_Wkst'!$AF$7:$AF$2010,'LAC 102_Wkst'!$D$7:$D$2010,$C$7,'LAC 102_Wkst'!$I$7:$I$2010,$C$9,'LAC 102_Wkst'!$E$7:$E$2010,$C101,'LAC 102_Wkst'!$G$7:$G$2010,$D101,'LAC 102_Wkst'!$L$7:$L$2010,"09",'LAC 102_Wkst'!$N$7:$N$2010,"P3")+SUMIFS('LAC 102_Wkst'!$AF$7:$AF$2010,'LAC 102_Wkst'!$D$7:$D$2010,$C$7,'LAC 102_Wkst'!$I$7:$I$2010,$C$9,'LAC 102_Wkst'!$E$7:$E$2010,$C101,'LAC 102_Wkst'!$G$7:$G$2010,$D101,'LAC 102_Wkst'!$L$7:$L$2010,"09",'LAC 102_Wkst'!$N$7:$N$2010,"P4")</f>
        <v>0</v>
      </c>
      <c r="AN101" s="410">
        <f>SUMIFS('LAC 102_Wkst'!$Q$7:$Q$2010,'LAC 102_Wkst'!$D$7:$D$2010,$C$7,'LAC 102_Wkst'!$I$7:$I$2010,$C$9,'LAC 102_Wkst'!$E$7:$E$2010,$C101,'LAC 102_Wkst'!$G$7:$G$2010,$D101,'LAC 102_Wkst'!$L$7:$L$2010,"09",'LAC 102_Wkst'!$N$7:$N$2010,"P5")</f>
        <v>0</v>
      </c>
      <c r="AO101" s="411">
        <f>SUMIFS('LAC 102_Wkst'!$AF$7:$AF$2010,'LAC 102_Wkst'!$D$7:$D$2010,$C$7,'LAC 102_Wkst'!$I$7:$I$2010,$C$9,'LAC 102_Wkst'!$E$7:$E$2010,$C101,'LAC 102_Wkst'!$G$7:$G$2010,$D101,'LAC 102_Wkst'!$L$7:$L$2010,"09",'LAC 102_Wkst'!$N$7:$N$2010,"P5")</f>
        <v>0</v>
      </c>
      <c r="AP101" s="410">
        <f>SUMIFS('LAC 102_Wkst'!$Q$7:$Q$2010,'LAC 102_Wkst'!$D$7:$D$2010,$C$7,'LAC 102_Wkst'!$I$7:$I$2010,$C$9,'LAC 102_Wkst'!$E$7:$E$2010,$C101,'LAC 102_Wkst'!$G$7:$G$2010,$D101,'LAC 102_Wkst'!$L$7:$L$2010,"10",'LAC 102_Wkst'!$N$7:$N$2010,"P1")+SUMIFS('LAC 102_Wkst'!$Q$7:$Q$2010,'LAC 102_Wkst'!$D$7:$D$2010,$C$7,'LAC 102_Wkst'!$I$7:$I$2010,$C$9,'LAC 102_Wkst'!$E$7:$E$2010,$C101,'LAC 102_Wkst'!$G$7:$G$2010,$D101,'LAC 102_Wkst'!$L$7:$L$2010,"10",'LAC 102_Wkst'!$N$7:$N$2010,"P2")+SUMIFS('LAC 102_Wkst'!$Q$7:$Q$2010,'LAC 102_Wkst'!$D$7:$D$2010,$C$7,'LAC 102_Wkst'!$I$7:$I$2010,$C$9,'LAC 102_Wkst'!$E$7:$E$2010,$C101,'LAC 102_Wkst'!$G$7:$G$2010,$D101,'LAC 102_Wkst'!$L$7:$L$2010,"10",'LAC 102_Wkst'!$N$7:$N$2010,"P3")+SUMIFS('LAC 102_Wkst'!$Q$7:$Q$2010,'LAC 102_Wkst'!$D$7:$D$2010,$C$7,'LAC 102_Wkst'!$I$7:$I$2010,$C$9,'LAC 102_Wkst'!$E$7:$E$2010,$C101,'LAC 102_Wkst'!$G$7:$G$2010,$D101,'LAC 102_Wkst'!$L$7:$L$2010,"10",'LAC 102_Wkst'!$N$7:$N$2010,"P4")</f>
        <v>0</v>
      </c>
      <c r="AQ101" s="411">
        <f>SUMIFS('LAC 102_Wkst'!$AF$7:$AF$2010,'LAC 102_Wkst'!$D$7:$D$2010,$C$7,'LAC 102_Wkst'!$I$7:$I$2010,$C$9,'LAC 102_Wkst'!$E$7:$E$2010,$C101,'LAC 102_Wkst'!$G$7:$G$2010,$D101,'LAC 102_Wkst'!$L$7:$L$2010,"10",'LAC 102_Wkst'!$N$7:$N$2010,"P1")+SUMIFS('LAC 102_Wkst'!$AF$7:$AF$2010,'LAC 102_Wkst'!$D$7:$D$2010,$C$7,'LAC 102_Wkst'!$I$7:$I$2010,$C$9,'LAC 102_Wkst'!$E$7:$E$2010,$C101,'LAC 102_Wkst'!$G$7:$G$2010,$D101,'LAC 102_Wkst'!$L$7:$L$2010,"10",'LAC 102_Wkst'!$N$7:$N$2010,"P2")+SUMIFS('LAC 102_Wkst'!$AF$7:$AF$2010,'LAC 102_Wkst'!$D$7:$D$2010,$C$7,'LAC 102_Wkst'!$I$7:$I$2010,$C$9,'LAC 102_Wkst'!$E$7:$E$2010,$C101,'LAC 102_Wkst'!$G$7:$G$2010,$D101,'LAC 102_Wkst'!$L$7:$L$2010,"10",'LAC 102_Wkst'!$N$7:$N$2010,"P3")+SUMIFS('LAC 102_Wkst'!$AF$7:$AF$2010,'LAC 102_Wkst'!$D$7:$D$2010,$C$7,'LAC 102_Wkst'!$I$7:$I$2010,$C$9,'LAC 102_Wkst'!$E$7:$E$2010,$C101,'LAC 102_Wkst'!$G$7:$G$2010,$D101,'LAC 102_Wkst'!$L$7:$L$2010,"10",'LAC 102_Wkst'!$N$7:$N$2010,"P4")</f>
        <v>0</v>
      </c>
      <c r="AR101" s="410">
        <f>SUMIFS('LAC 102_Wkst'!$Q$7:$Q$2010,'LAC 102_Wkst'!$D$7:$D$2010,$C$7,'LAC 102_Wkst'!$I$7:$I$2010,$C$9,'LAC 102_Wkst'!$E$7:$E$2010,$C101,'LAC 102_Wkst'!$G$7:$G$2010,$D101,'LAC 102_Wkst'!$L$7:$L$2010,"10",'LAC 102_Wkst'!$N$7:$N$2010,"P5")</f>
        <v>0</v>
      </c>
      <c r="AS101" s="411">
        <f>SUMIFS('LAC 102_Wkst'!$AF$7:$AF$2010,'LAC 102_Wkst'!$D$7:$D$2010,$C$7,'LAC 102_Wkst'!$I$7:$I$2010,$C$9,'LAC 102_Wkst'!$E$7:$E$2010,$C101,'LAC 102_Wkst'!$G$7:$G$2010,$D101,'LAC 102_Wkst'!$L$7:$L$2010,"10",'LAC 102_Wkst'!$N$7:$N$2010,"P5")</f>
        <v>0</v>
      </c>
      <c r="AT101" s="410">
        <f>SUMIFS('LAC 102_Wkst'!$Q$7:$Q$2010,'LAC 102_Wkst'!$D$7:$D$2010,$C$7,'LAC 102_Wkst'!$I$7:$I$2010,$C$9,'LAC 102_Wkst'!$E$7:$E$2010,$C101,'LAC 102_Wkst'!$G$7:$G$2010,$D101,'LAC 102_Wkst'!$L$7:$L$2010,"11",'LAC 102_Wkst'!$N$7:$N$2010,"P1")+SUMIFS('LAC 102_Wkst'!$Q$7:$Q$2010,'LAC 102_Wkst'!$D$7:$D$2010,$C$7,'LAC 102_Wkst'!$I$7:$I$2010,$C$9,'LAC 102_Wkst'!$E$7:$E$2010,$C101,'LAC 102_Wkst'!$G$7:$G$2010,$D101,'LAC 102_Wkst'!$L$7:$L$2010,"12",'LAC 102_Wkst'!$N$7:$N$2010,"P1")</f>
        <v>0</v>
      </c>
      <c r="AU101" s="411">
        <f>SUMIFS('LAC 102_Wkst'!$Q$7:$Q$2010,'LAC 102_Wkst'!$D$7:$D$2010,$C$7,'LAC 102_Wkst'!$I$7:$I$2010,$C$9,'LAC 102_Wkst'!$E$7:$E$2010,$C101,'LAC 102_Wkst'!$G$7:$G$2010,$D101,'LAC 102_Wkst'!$L$7:$L$2010,"13",'LAC 102_Wkst'!$N$7:$N$2010,"P5")</f>
        <v>0</v>
      </c>
      <c r="AV101" s="410">
        <f>SUMIFS('LAC 102_Wkst'!$Q$7:$Q$2010,'LAC 102_Wkst'!$D$7:$D$2010,$C$7,'LAC 102_Wkst'!$I$7:$I$2010,$C$9,'LAC 102_Wkst'!$E$7:$E$2010,$C101,'LAC 102_Wkst'!$G$7:$G$2010,$D101,'LAC 102_Wkst'!$L$7:$L$2010,"11",'LAC 102_Wkst'!$N$7:$N$2010,"P2")+SUMIFS('LAC 102_Wkst'!$Q$7:$Q$2010,'LAC 102_Wkst'!$D$7:$D$2010,$C$7,'LAC 102_Wkst'!$I$7:$I$2010,$C$9,'LAC 102_Wkst'!$E$7:$E$2010,$C101,'LAC 102_Wkst'!$G$7:$G$2010,$D101,'LAC 102_Wkst'!$L$7:$L$2010,"12",'LAC 102_Wkst'!$N$7:$N$2010,"P2")+SUMIFS('LAC 102_Wkst'!$Q$7:$Q$2010,'LAC 102_Wkst'!$D$7:$D$2010,$C$7,'LAC 102_Wkst'!$I$7:$I$2010,$C$9,'LAC 102_Wkst'!$E$7:$E$2010,$C101,'LAC 102_Wkst'!$G$7:$G$2010,$D101,'LAC 102_Wkst'!$L$7:$L$2010,"11",'LAC 102_Wkst'!$N$7:$N$2010,"P3")+SUMIFS('LAC 102_Wkst'!$Q$7:$Q$2010,'LAC 102_Wkst'!$D$7:$D$2010,$C$7,'LAC 102_Wkst'!$I$7:$I$2010,$C$9,'LAC 102_Wkst'!$E$7:$E$2010,$C101,'LAC 102_Wkst'!$G$7:$G$2010,$D101,'LAC 102_Wkst'!$L$7:$L$2010,"12",'LAC 102_Wkst'!$N$7:$N$2010,"P3")</f>
        <v>0</v>
      </c>
      <c r="AW101" s="411">
        <f>SUMIFS('LAC 102_Wkst'!$AF$7:$AF$2010,'LAC 102_Wkst'!$D$7:$D$2010,$C$7,'LAC 102_Wkst'!$I$7:$I$2010,$C$9,'LAC 102_Wkst'!$E$7:$E$2010,$C101,'LAC 102_Wkst'!$G$7:$G$2010,$D101,'LAC 102_Wkst'!$L$7:$L$2010,"11",'LAC 102_Wkst'!$N$7:$N$2010,"P2")+SUMIFS('LAC 102_Wkst'!$AF$7:$AF$2010,'LAC 102_Wkst'!$D$7:$D$2010,$C$7,'LAC 102_Wkst'!$I$7:$I$2010,$C$9,'LAC 102_Wkst'!$E$7:$E$2010,$C101,'LAC 102_Wkst'!$G$7:$G$2010,$D101,'LAC 102_Wkst'!$L$7:$L$2010,"12",'LAC 102_Wkst'!$N$7:$N$2010,"P2")+SUMIFS('LAC 102_Wkst'!$AF$7:$AF$2010,'LAC 102_Wkst'!$D$7:$D$2010,$C$7,'LAC 102_Wkst'!$I$7:$I$2010,$C$9,'LAC 102_Wkst'!$E$7:$E$2010,$C101,'LAC 102_Wkst'!$G$7:$G$2010,$D101,'LAC 102_Wkst'!$L$7:$L$2010,"11",'LAC 102_Wkst'!$N$7:$N$2010,"P3")+SUMIFS('LAC 102_Wkst'!$AF$7:$AF$2010,'LAC 102_Wkst'!$D$7:$D$2010,$C$7,'LAC 102_Wkst'!$I$7:$I$2010,$C$9,'LAC 102_Wkst'!$E$7:$E$2010,$C101,'LAC 102_Wkst'!$G$7:$G$2010,$D101,'LAC 102_Wkst'!$L$7:$L$2010,"12",'LAC 102_Wkst'!$N$7:$N$2010,"P3")</f>
        <v>0</v>
      </c>
      <c r="AX101" s="410">
        <f>SUMIFS('LAC 102_Wkst'!$Q$7:$Q$2010,'LAC 102_Wkst'!$D$7:$D$2010,$C$7,'LAC 102_Wkst'!$I$7:$I$2010,$C$9,'LAC 102_Wkst'!$E$7:$E$2010,$C101,'LAC 102_Wkst'!$G$7:$G$2010,$D101,'LAC 102_Wkst'!$L$7:$L$2010,"11",'LAC 102_Wkst'!$N$7:$N$2010,"P4")+SUMIFS('LAC 102_Wkst'!$Q$7:$Q$2010,'LAC 102_Wkst'!$D$7:$D$2010,$C$7,'LAC 102_Wkst'!$I$7:$I$2010,$C$9,'LAC 102_Wkst'!$E$7:$E$2010,$C101,'LAC 102_Wkst'!$G$7:$G$2010,$D101,'LAC 102_Wkst'!$L$7:$L$2010,"12",'LAC 102_Wkst'!$N$7:$N$2010,"P4")</f>
        <v>0</v>
      </c>
      <c r="AY101" s="411">
        <f>SUMIFS('LAC 102_Wkst'!$AF$7:$AF$2010,'LAC 102_Wkst'!$D$7:$D$2010,$C$7,'LAC 102_Wkst'!$I$7:$I$2010,$C$9,'LAC 102_Wkst'!$E$7:$E$2010,$C101,'LAC 102_Wkst'!$G$7:$G$2010,$D101,'LAC 102_Wkst'!$L$7:$L$2010,"11",'LAC 102_Wkst'!$N$7:$N$2010,"P4")+SUMIFS('LAC 102_Wkst'!$AF$7:$AF$2010,'LAC 102_Wkst'!$D$7:$D$2010,$C$7,'LAC 102_Wkst'!$I$7:$I$2010,$C$9,'LAC 102_Wkst'!$E$7:$E$2010,$C101,'LAC 102_Wkst'!$G$7:$G$2010,$D101,'LAC 102_Wkst'!$L$7:$L$2010,"12",'LAC 102_Wkst'!$N$7:$N$2010,"P4")</f>
        <v>0</v>
      </c>
      <c r="AZ101" s="410">
        <f>SUMIFS('LAC 102_Wkst'!$Q$7:$Q$2010,'LAC 102_Wkst'!$D$7:$D$2010,$C$7,'LAC 102_Wkst'!$I$7:$I$2010,$C$9,'LAC 102_Wkst'!$E$7:$E$2010,$C101,'LAC 102_Wkst'!$G$7:$G$2010,$D101,'LAC 102_Wkst'!$L$7:$L$2010,"11",'LAC 102_Wkst'!$N$7:$N$2010,"P5")+SUMIFS('LAC 102_Wkst'!$Q$7:$Q$2010,'LAC 102_Wkst'!$D$7:$D$2010,$C$7,'LAC 102_Wkst'!$I$7:$I$2010,$C$9,'LAC 102_Wkst'!$E$7:$E$2010,$C101,'LAC 102_Wkst'!$G$7:$G$2010,$D101,'LAC 102_Wkst'!$L$7:$L$2010,"12",'LAC 102_Wkst'!$N$7:$N$2010,"P5")</f>
        <v>0</v>
      </c>
      <c r="BA101" s="411">
        <f>SUMIFS('LAC 102_Wkst'!$AF$7:$AF$2010,'LAC 102_Wkst'!$D$7:$D$2010,$C$7,'LAC 102_Wkst'!$I$7:$I$2010,$C$9,'LAC 102_Wkst'!$E$7:$E$2010,$C101,'LAC 102_Wkst'!$G$7:$G$2010,$D101,'LAC 102_Wkst'!$L$7:$L$2010,"11",'LAC 102_Wkst'!$N$7:$N$2010,"P5")+SUMIFS('LAC 102_Wkst'!$AF$7:$AF$2010,'LAC 102_Wkst'!$D$7:$D$2010,$C$7,'LAC 102_Wkst'!$I$7:$I$2010,$C$9,'LAC 102_Wkst'!$E$7:$E$2010,$C101,'LAC 102_Wkst'!$G$7:$G$2010,$D101,'LAC 102_Wkst'!$L$7:$L$2010,"12",'LAC 102_Wkst'!$N$7:$N$2010,"P5")</f>
        <v>0</v>
      </c>
      <c r="BB101" s="410">
        <f>SUMIFS('LAC 102_Wkst'!$Q$7:$Q$2010,'LAC 102_Wkst'!$D$7:$D$2010,$C$7,'LAC 102_Wkst'!$I$7:$I$2010,$C$9,'LAC 102_Wkst'!$E$7:$E$2010,$C101,'LAC 102_Wkst'!$G$7:$G$2010,$D101,'LAC 102_Wkst'!$L$7:$L$2010,"13",'LAC 102_Wkst'!$N$7:$N$2010,"P1")+SUMIFS('LAC 102_Wkst'!$Q$7:$Q$2010,'LAC 102_Wkst'!$D$7:$D$2010,$C$7,'LAC 102_Wkst'!$I$7:$I$2010,$C$9,'LAC 102_Wkst'!$E$7:$E$2010,$C101,'LAC 102_Wkst'!$G$7:$G$2010,$D101,'LAC 102_Wkst'!$L$7:$L$2010,"13",'LAC 102_Wkst'!$N$7:$N$2010,"P2")+SUMIFS('LAC 102_Wkst'!$Q$7:$Q$2010,'LAC 102_Wkst'!$D$7:$D$2010,$C$7,'LAC 102_Wkst'!$I$7:$I$2010,$C$9,'LAC 102_Wkst'!$E$7:$E$2010,$C101,'LAC 102_Wkst'!$G$7:$G$2010,$D101,'LAC 102_Wkst'!$L$7:$L$2010,"13",'LAC 102_Wkst'!$N$7:$N$2010,"P3")+SUMIFS('LAC 102_Wkst'!$Q$7:$Q$2010,'LAC 102_Wkst'!$D$7:$D$2010,$C$7,'LAC 102_Wkst'!$I$7:$I$2010,$C$9,'LAC 102_Wkst'!$E$7:$E$2010,$C101,'LAC 102_Wkst'!$G$7:$G$2010,$D101,'LAC 102_Wkst'!$L$7:$L$2010,"13",'LAC 102_Wkst'!$N$7:$N$2010,"P4")</f>
        <v>0</v>
      </c>
      <c r="BC101" s="411">
        <f>SUMIFS('LAC 102_Wkst'!$AF$7:$AF$2010,'LAC 102_Wkst'!$D$7:$D$2010,$C$7,'LAC 102_Wkst'!$I$7:$I$2010,$C$9,'LAC 102_Wkst'!$E$7:$E$2010,$C101,'LAC 102_Wkst'!$G$7:$G$2010,$D101,'LAC 102_Wkst'!$L$7:$L$2010,"13",'LAC 102_Wkst'!$N$7:$N$2010,"P1")+SUMIFS('LAC 102_Wkst'!$AF$7:$AF$2010,'LAC 102_Wkst'!$D$7:$D$2010,$C$7,'LAC 102_Wkst'!$I$7:$I$2010,$C$9,'LAC 102_Wkst'!$E$7:$E$2010,$C101,'LAC 102_Wkst'!$G$7:$G$2010,$D101,'LAC 102_Wkst'!$L$7:$L$2010,"13",'LAC 102_Wkst'!$N$7:$N$2010,"P2")+SUMIFS('LAC 102_Wkst'!$AF$7:$AF$2010,'LAC 102_Wkst'!$D$7:$D$2010,$C$7,'LAC 102_Wkst'!$I$7:$I$2010,$C$9,'LAC 102_Wkst'!$E$7:$E$2010,$C101,'LAC 102_Wkst'!$G$7:$G$2010,$D101,'LAC 102_Wkst'!$L$7:$L$2010,"13",'LAC 102_Wkst'!$N$7:$N$2010,"P3")+SUMIFS('LAC 102_Wkst'!$AF$7:$AF$2010,'LAC 102_Wkst'!$D$7:$D$2010,$C$7,'LAC 102_Wkst'!$I$7:$I$2010,$C$9,'LAC 102_Wkst'!$E$7:$E$2010,$C101,'LAC 102_Wkst'!$G$7:$G$2010,$D101,'LAC 102_Wkst'!$L$7:$L$2010,"13",'LAC 102_Wkst'!$N$7:$N$2010,"P4")</f>
        <v>0</v>
      </c>
      <c r="BD101" s="410">
        <f>SUMIFS('LAC 102_Wkst'!$Q$7:$Q$2010,'LAC 102_Wkst'!$D$7:$D$2010,$C$7,'LAC 102_Wkst'!$I$7:$I$2010,$C$9,'LAC 102_Wkst'!$E$7:$E$2010,$C101,'LAC 102_Wkst'!$G$7:$G$2010,$D101,'LAC 102_Wkst'!$L$7:$L$2010,"13",'LAC 102_Wkst'!$N$7:$N$2010,"P5")</f>
        <v>0</v>
      </c>
      <c r="BE101" s="411">
        <f>SUMIFS('LAC 102_Wkst'!$AF$7:$AF$2010,'LAC 102_Wkst'!$D$7:$D$2010,$C$7,'LAC 102_Wkst'!$I$7:$I$2010,$C$9,'LAC 102_Wkst'!$E$7:$E$2010,$C101,'LAC 102_Wkst'!$G$7:$G$2010,$D101,'LAC 102_Wkst'!$L$7:$L$2010,"13",'LAC 102_Wkst'!$N$7:$N$2010,"P5")</f>
        <v>0</v>
      </c>
      <c r="BF101" s="407">
        <f t="shared" si="5"/>
        <v>0</v>
      </c>
      <c r="BG101" s="1654">
        <f>SUMIFS('LAC 102_Wkst'!$AF$7:$AF$2010,'LAC 102_Wkst'!$D$7:$D$2010,$C$7,'LAC 102_Wkst'!$I$7:$I$2010,$C$9,'LAC 102_Wkst'!$E$7:$E$2010,$C101,'LAC 102_Wkst'!$G$7:$G$2010,$D101,'LAC 102_Wkst'!$L$7:$L$2010,"14")</f>
        <v>0</v>
      </c>
    </row>
    <row r="102" spans="1:59" x14ac:dyDescent="0.2">
      <c r="A102" s="401">
        <v>80</v>
      </c>
      <c r="B102" s="1678" t="str">
        <f>IF(Schedule_B!B$99="","",Schedule_B!B$99)</f>
        <v/>
      </c>
      <c r="C102" s="1674" t="str">
        <f>IF(Schedule_B!C$99=""," ",Schedule_B!C$99)</f>
        <v xml:space="preserve"> </v>
      </c>
      <c r="D102" s="1675" t="str">
        <f>IF(Schedule_B!D$99=""," ",Schedule_B!D$99)</f>
        <v xml:space="preserve"> </v>
      </c>
      <c r="E102" s="1221">
        <f>SUMIFS('LAC 102_Wkst'!$Q$7:$Q$2010,'LAC 102_Wkst'!$D$7:$D$2010,$C$7,'LAC 102_Wkst'!$I$7:$I$2010,$C$9,'LAC 102_Wkst'!$E$7:$E$2010,$C102,'LAC 102_Wkst'!$G$7:$G$2010,$D102)</f>
        <v>0</v>
      </c>
      <c r="F102" s="408">
        <f>SUMIFS('LAC 102_Wkst'!$Q$7:$Q$2010,'LAC 102_Wkst'!$D$7:$D$2010,$C$7,'LAC 102_Wkst'!$I$7:$I$2010,$C$9,'LAC 102_Wkst'!$E$7:$E$2010,$C102,'LAC 102_Wkst'!$G$7:$G$2010,$D102,'LAC 102_Wkst'!$L$7:$L$2010,"01",'LAC 102_Wkst'!$N$7:$N$2010,"P1")+SUMIFS('LAC 102_Wkst'!$Q$7:$Q$2010,'LAC 102_Wkst'!$D$7:$D$2010,$C$7,'LAC 102_Wkst'!$I$7:$I$2010,$C$9,'LAC 102_Wkst'!$E$7:$E$2010,$C102,'LAC 102_Wkst'!$G$7:$G$2010,$D102,'LAC 102_Wkst'!$L$7:$L$2010,"01",'LAC 102_Wkst'!$N$7:$N$2010,"P2")+SUMIFS('LAC 102_Wkst'!$Q$7:$Q$2010,'LAC 102_Wkst'!$D$7:$D$2010,$C$7,'LAC 102_Wkst'!$I$7:$I$2010,$C$9,'LAC 102_Wkst'!$E$7:$E$2010,$C102,'LAC 102_Wkst'!$G$7:$G$2010,$D102,'LAC 102_Wkst'!$L$7:$L$2010,"01",'LAC 102_Wkst'!$N$7:$N$2010,"P3")+SUMIFS('LAC 102_Wkst'!$Q$7:$Q$2010,'LAC 102_Wkst'!$D$7:$D$2010,$C$7,'LAC 102_Wkst'!$I$7:$I$2010,$C$9,'LAC 102_Wkst'!$E$7:$E$2010,$C102,'LAC 102_Wkst'!$G$7:$G$2010,$D102,'LAC 102_Wkst'!$L$7:$L$2010,"02",'LAC 102_Wkst'!$N$7:$N$2010,"P1")+SUMIFS('LAC 102_Wkst'!$Q$7:$Q$2010,'LAC 102_Wkst'!$D$7:$D$2010,$C$7,'LAC 102_Wkst'!$I$7:$I$2010,$C$9,'LAC 102_Wkst'!$E$7:$E$2010,$C102,'LAC 102_Wkst'!$G$7:$G$2010,$D102,'LAC 102_Wkst'!$L$7:$L$2010,"02",'LAC 102_Wkst'!$N$7:$N$2010,"P2")+SUMIFS('LAC 102_Wkst'!$Q$7:$Q$2010,'LAC 102_Wkst'!$D$7:$D$2010,$C$7,'LAC 102_Wkst'!$I$7:$I$2010,$C$9,'LAC 102_Wkst'!$E$7:$E$2010,$C102,'LAC 102_Wkst'!$G$7:$G$2010,$D102,'LAC 102_Wkst'!$L$7:$L$2010,"02",'LAC 102_Wkst'!$N$7:$N$2010,"P3")</f>
        <v>0</v>
      </c>
      <c r="G102" s="409">
        <f>SUMIFS('LAC 102_Wkst'!$AF$7:$AF$2010,'LAC 102_Wkst'!$D$7:$D$2010,$C$7,'LAC 102_Wkst'!$I$7:$I$2010,$C$9,'LAC 102_Wkst'!$E$7:$E$2010,$C102,'LAC 102_Wkst'!$G$7:$G$2010,$D102,'LAC 102_Wkst'!$L$7:$L$2010,"01",'LAC 102_Wkst'!$N$7:$N$2010,"P1")+SUMIFS('LAC 102_Wkst'!$AF$7:$AF$2010,'LAC 102_Wkst'!$D$7:$D$2010,$C$7,'LAC 102_Wkst'!$I$7:$I$2010,$C$9,'LAC 102_Wkst'!$E$7:$E$2010,$C102,'LAC 102_Wkst'!$G$7:$G$2010,$D102,'LAC 102_Wkst'!$L$7:$L$2010,"01",'LAC 102_Wkst'!$N$7:$N$2010,"P2")+SUMIFS('LAC 102_Wkst'!$AF$7:$AF$2010,'LAC 102_Wkst'!$D$7:$D$2010,$C$7,'LAC 102_Wkst'!$I$7:$I$2010,$C$9,'LAC 102_Wkst'!$E$7:$E$2010,$C102,'LAC 102_Wkst'!$G$7:$G$2010,$D102,'LAC 102_Wkst'!$L$7:$L$2010,"01",'LAC 102_Wkst'!$N$7:$N$2010,"P3")+SUMIFS('LAC 102_Wkst'!$AF$7:$AF$2010,'LAC 102_Wkst'!$D$7:$D$2010,$C$7,'LAC 102_Wkst'!$I$7:$I$2010,$C$9,'LAC 102_Wkst'!$E$7:$E$2010,$C102,'LAC 102_Wkst'!$G$7:$G$2010,$D102,'LAC 102_Wkst'!$L$7:$L$2010,"02",'LAC 102_Wkst'!$N$7:$N$2010,"P1")+SUMIFS('LAC 102_Wkst'!$AF$7:$AF$2010,'LAC 102_Wkst'!$D$7:$D$2010,$C$7,'LAC 102_Wkst'!$I$7:$I$2010,$C$9,'LAC 102_Wkst'!$E$7:$E$2010,$C102,'LAC 102_Wkst'!$G$7:$G$2010,$D102,'LAC 102_Wkst'!$L$7:$L$2010,"02",'LAC 102_Wkst'!$N$7:$N$2010,"P2")+SUMIFS('LAC 102_Wkst'!$AF$7:$AF$2010,'LAC 102_Wkst'!$D$7:$D$2010,$C$7,'LAC 102_Wkst'!$I$7:$I$2010,$C$9,'LAC 102_Wkst'!$E$7:$E$2010,$C102,'LAC 102_Wkst'!$G$7:$G$2010,$D102,'LAC 102_Wkst'!$L$7:$L$2010,"02",'LAC 102_Wkst'!$N$7:$N$2010,"P3")</f>
        <v>0</v>
      </c>
      <c r="H102" s="410">
        <f>SUMIFS('LAC 102_Wkst'!$Q$7:$Q$2010,'LAC 102_Wkst'!$D$7:$D$2010,$C$7,'LAC 102_Wkst'!$I$7:$I$2010,$C$9,'LAC 102_Wkst'!$E$7:$E$2010,$C102,'LAC 102_Wkst'!$G$7:$G$2010,$D102,'LAC 102_Wkst'!$L$7:$L$2010,"01",'LAC 102_Wkst'!$N$7:$N$2010,"P4")+SUMIFS('LAC 102_Wkst'!$Q$7:$Q$2010,'LAC 102_Wkst'!$D$7:$D$2010,$C$7,'LAC 102_Wkst'!$I$7:$I$2010,$C$9,'LAC 102_Wkst'!$E$7:$E$2010,$C102,'LAC 102_Wkst'!$G$7:$G$2010,$D102,'LAC 102_Wkst'!$L$7:$L$2010,"02",'LAC 102_Wkst'!$N$7:$N$2010,"P4")</f>
        <v>0</v>
      </c>
      <c r="I102" s="411">
        <f>SUMIFS('LAC 102_Wkst'!$AF$7:$AF$2010,'LAC 102_Wkst'!$D$7:$D$2010,$C$7,'LAC 102_Wkst'!$I$7:$I$2010,$C$9,'LAC 102_Wkst'!$E$7:$E$2010,$C102,'LAC 102_Wkst'!$G$7:$G$2010,$D102,'LAC 102_Wkst'!$L$7:$L$2010,"01",'LAC 102_Wkst'!$N$7:$N$2010,"P4")+SUMIFS('LAC 102_Wkst'!$AF$7:$AF$2010,'LAC 102_Wkst'!$D$7:$D$2010,$C$7,'LAC 102_Wkst'!$I$7:$I$2010,$C$9,'LAC 102_Wkst'!$E$7:$E$2010,$C102,'LAC 102_Wkst'!$G$7:$G$2010,$D102,'LAC 102_Wkst'!$L$7:$L$2010,"02",'LAC 102_Wkst'!$N$7:$N$2010,"P4")</f>
        <v>0</v>
      </c>
      <c r="J102" s="410">
        <f>SUMIFS('LAC 102_Wkst'!$Q$7:$Q$2010,'LAC 102_Wkst'!$D$7:$D$2010,$C$7,'LAC 102_Wkst'!$I$7:$I$2010,$C$9,'LAC 102_Wkst'!$E$7:$E$2010,$C102,'LAC 102_Wkst'!$G$7:$G$2010,$D102,'LAC 102_Wkst'!$L$7:$L$2010,"01",'LAC 102_Wkst'!$N$7:$N$2010,"P5")+SUMIFS('LAC 102_Wkst'!$Q$7:$Q$2010,'LAC 102_Wkst'!$D$7:$D$2010,$C$7,'LAC 102_Wkst'!$I$7:$I$2010,$C$9,'LAC 102_Wkst'!$E$7:$E$2010,$C102,'LAC 102_Wkst'!$G$7:$G$2010,$D102,'LAC 102_Wkst'!$L$7:$L$2010,"02",'LAC 102_Wkst'!$N$7:$N$2010,"P5")</f>
        <v>0</v>
      </c>
      <c r="K102" s="411">
        <f>SUMIFS('LAC 102_Wkst'!$AF$7:$AF$2010,'LAC 102_Wkst'!$D$7:$D$2010,$C$7,'LAC 102_Wkst'!$I$7:$I$2010,$C$9,'LAC 102_Wkst'!$E$7:$E$2010,$C102,'LAC 102_Wkst'!$G$7:$G$2010,$D102,'LAC 102_Wkst'!$L$7:$L$2010,"01",'LAC 102_Wkst'!$N$7:$N$2010,"P5")+SUMIFS('LAC 102_Wkst'!$AF$7:$AF$2010,'LAC 102_Wkst'!$D$7:$D$2010,$C$7,'LAC 102_Wkst'!$I$7:$I$2010,$C$9,'LAC 102_Wkst'!$E$7:$E$2010,$C102,'LAC 102_Wkst'!$G$7:$G$2010,$D102,'LAC 102_Wkst'!$L$7:$L$2010,"02",'LAC 102_Wkst'!$N$7:$N$2010,"P5")</f>
        <v>0</v>
      </c>
      <c r="L102" s="410">
        <f>SUMIFS('LAC 102_Wkst'!$Q$7:$Q$2010,'LAC 102_Wkst'!$D$7:$D$2010,$C$7,'LAC 102_Wkst'!$I$7:$I$2010,$C$9,'LAC 102_Wkst'!$E$7:$E$2010,$C102,'LAC 102_Wkst'!$G$7:$G$2010,$D102,'LAC 102_Wkst'!$L$7:$L$2010,"03",'LAC 102_Wkst'!$N$7:$N$2010,"P1")+SUMIFS('LAC 102_Wkst'!$Q$7:$Q$2010,'LAC 102_Wkst'!$D$7:$D$2010,$C$7,'LAC 102_Wkst'!$I$7:$I$2010,$C$9,'LAC 102_Wkst'!$E$7:$E$2010,$C102,'LAC 102_Wkst'!$G$7:$G$2010,$D102,'LAC 102_Wkst'!$L$7:$L$2010,"03",'LAC 102_Wkst'!$N$7:$N$2010,"P2")+SUMIFS('LAC 102_Wkst'!$Q$7:$Q$2010,'LAC 102_Wkst'!$D$7:$D$2010,$C$7,'LAC 102_Wkst'!$I$7:$I$2010,$C$9,'LAC 102_Wkst'!$E$7:$E$2010,$C102,'LAC 102_Wkst'!$G$7:$G$2010,$D102,'LAC 102_Wkst'!$L$7:$L$2010,"03",'LAC 102_Wkst'!$N$7:$N$2010,"P3")+SUMIFS('LAC 102_Wkst'!$Q$7:$Q$2010,'LAC 102_Wkst'!$D$7:$D$2010,$C$7,'LAC 102_Wkst'!$I$7:$I$2010,$C$9,'LAC 102_Wkst'!$E$7:$E$2010,$C102,'LAC 102_Wkst'!$G$7:$G$2010,$D102,'LAC 102_Wkst'!$L$7:$L$2010,"04",'LAC 102_Wkst'!$N$7:$N$2010,"P1")+SUMIFS('LAC 102_Wkst'!$Q$7:$Q$2010,'LAC 102_Wkst'!$D$7:$D$2010,$C$7,'LAC 102_Wkst'!$I$7:$I$2010,$C$9,'LAC 102_Wkst'!$E$7:$E$2010,$C102,'LAC 102_Wkst'!$G$7:$G$2010,$D102,'LAC 102_Wkst'!$L$7:$L$2010,"04",'LAC 102_Wkst'!$N$7:$N$2010,"P2")+SUMIFS('LAC 102_Wkst'!$Q$7:$Q$2010,'LAC 102_Wkst'!$D$7:$D$2010,$C$7,'LAC 102_Wkst'!$I$7:$I$2010,$C$9,'LAC 102_Wkst'!$E$7:$E$2010,$C102,'LAC 102_Wkst'!$G$7:$G$2010,$D102,'LAC 102_Wkst'!$L$7:$L$2010,"04",'LAC 102_Wkst'!$N$7:$N$2010,"P3")</f>
        <v>0</v>
      </c>
      <c r="M102" s="411">
        <f>SUMIFS('LAC 102_Wkst'!$AF$7:$AF$2010,'LAC 102_Wkst'!$D$7:$D$2010,$C$7,'LAC 102_Wkst'!$I$7:$I$2010,$C$9,'LAC 102_Wkst'!$E$7:$E$2010,$C102,'LAC 102_Wkst'!$G$7:$G$2010,$D102,'LAC 102_Wkst'!$L$7:$L$2010,"03",'LAC 102_Wkst'!$N$7:$N$2010,"P1")+SUMIFS('LAC 102_Wkst'!$AF$7:$AF$2010,'LAC 102_Wkst'!$D$7:$D$2010,$C$7,'LAC 102_Wkst'!$I$7:$I$2010,$C$9,'LAC 102_Wkst'!$E$7:$E$2010,$C102,'LAC 102_Wkst'!$G$7:$G$2010,$D102,'LAC 102_Wkst'!$L$7:$L$2010,"03",'LAC 102_Wkst'!$N$7:$N$2010,"P2")+SUMIFS('LAC 102_Wkst'!$AF$7:$AF$2010,'LAC 102_Wkst'!$D$7:$D$2010,$C$7,'LAC 102_Wkst'!$I$7:$I$2010,$C$9,'LAC 102_Wkst'!$E$7:$E$2010,$C102,'LAC 102_Wkst'!$G$7:$G$2010,$D102,'LAC 102_Wkst'!$L$7:$L$2010,"03",'LAC 102_Wkst'!$N$7:$N$2010,"P3")+SUMIFS('LAC 102_Wkst'!$AF$7:$AF$2010,'LAC 102_Wkst'!$D$7:$D$2010,$C$7,'LAC 102_Wkst'!$I$7:$I$2010,$C$9,'LAC 102_Wkst'!$E$7:$E$2010,$C102,'LAC 102_Wkst'!$G$7:$G$2010,$D102,'LAC 102_Wkst'!$L$7:$L$2010,"04",'LAC 102_Wkst'!$N$7:$N$2010,"P1")+SUMIFS('LAC 102_Wkst'!$AF$7:$AF$2010,'LAC 102_Wkst'!$D$7:$D$2010,$C$7,'LAC 102_Wkst'!$I$7:$I$2010,$C$9,'LAC 102_Wkst'!$E$7:$E$2010,$C102,'LAC 102_Wkst'!$G$7:$G$2010,$D102,'LAC 102_Wkst'!$L$7:$L$2010,"04",'LAC 102_Wkst'!$N$7:$N$2010,"P2")+SUMIFS('LAC 102_Wkst'!$AF$7:$AF$2010,'LAC 102_Wkst'!$D$7:$D$2010,$C$7,'LAC 102_Wkst'!$I$7:$I$2010,$C$9,'LAC 102_Wkst'!$E$7:$E$2010,$C102,'LAC 102_Wkst'!$G$7:$G$2010,$D102,'LAC 102_Wkst'!$L$7:$L$2010,"04",'LAC 102_Wkst'!$N$7:$N$2010,"P3")</f>
        <v>0</v>
      </c>
      <c r="N102" s="410">
        <f>SUMIFS('LAC 102_Wkst'!$Q$7:$Q$2010,'LAC 102_Wkst'!$D$7:$D$2010,$C$7,'LAC 102_Wkst'!$I$7:$I$2010,$C$9,'LAC 102_Wkst'!$E$7:$E$2010,$C102,'LAC 102_Wkst'!$G$7:$G$2010,$D102,'LAC 102_Wkst'!$L$7:$L$2010,"03",'LAC 102_Wkst'!$N$7:$N$2010,"P4")+SUMIFS('LAC 102_Wkst'!$Q$7:$Q$2010,'LAC 102_Wkst'!$D$7:$D$2010,$C$7,'LAC 102_Wkst'!$I$7:$I$2010,$C$9,'LAC 102_Wkst'!$E$7:$E$2010,$C102,'LAC 102_Wkst'!$G$7:$G$2010,$D102,'LAC 102_Wkst'!$L$7:$L$2010,"04",'LAC 102_Wkst'!$N$7:$N$2010,"P4")</f>
        <v>0</v>
      </c>
      <c r="O102" s="411">
        <f>SUMIFS('LAC 102_Wkst'!$AF$7:$AF$2010,'LAC 102_Wkst'!$D$7:$D$2010,$C$7,'LAC 102_Wkst'!$I$7:$I$2010,$C$9,'LAC 102_Wkst'!$E$7:$E$2010,$C102,'LAC 102_Wkst'!$G$7:$G$2010,$D102,'LAC 102_Wkst'!$L$7:$L$2010,"03",'LAC 102_Wkst'!$N$7:$N$2010,"P4")+SUMIFS('LAC 102_Wkst'!$AF$7:$AF$2010,'LAC 102_Wkst'!$D$7:$D$2010,$C$7,'LAC 102_Wkst'!$I$7:$I$2010,$C$9,'LAC 102_Wkst'!$E$7:$E$2010,$C102,'LAC 102_Wkst'!$G$7:$G$2010,$D102,'LAC 102_Wkst'!$L$7:$L$2010,"04",'LAC 102_Wkst'!$N$7:$N$2010,"P4")</f>
        <v>0</v>
      </c>
      <c r="P102" s="410">
        <f>SUMIFS('LAC 102_Wkst'!$Q$7:$Q$2010,'LAC 102_Wkst'!$D$7:$D$2010,$C$7,'LAC 102_Wkst'!$I$7:$I$2010,$C$9,'LAC 102_Wkst'!$E$7:$E$2010,$C102,'LAC 102_Wkst'!$G$7:$G$2010,$D102,'LAC 102_Wkst'!$L$7:$L$2010,"03",'LAC 102_Wkst'!$N$7:$N$2010,"P5")+SUMIFS('LAC 102_Wkst'!$Q$7:$Q$2010,'LAC 102_Wkst'!$D$7:$D$2010,$C$7,'LAC 102_Wkst'!$I$7:$I$2010,$C$9,'LAC 102_Wkst'!$E$7:$E$2010,$C102,'LAC 102_Wkst'!$G$7:$G$2010,$D102,'LAC 102_Wkst'!$L$7:$L$2010,"04",'LAC 102_Wkst'!$N$7:$N$2010,"P5")</f>
        <v>0</v>
      </c>
      <c r="Q102" s="411">
        <f>SUMIFS('LAC 102_Wkst'!$AF$7:$AF$2010,'LAC 102_Wkst'!$D$7:$D$2010,$C$7,'LAC 102_Wkst'!$I$7:$I$2010,$C$9,'LAC 102_Wkst'!$E$7:$E$2010,$C102,'LAC 102_Wkst'!$G$7:$G$2010,$D102,'LAC 102_Wkst'!$L$7:$L$2010,"03",'LAC 102_Wkst'!$N$7:$N$2010,"P5")+SUMIFS('LAC 102_Wkst'!$AF$7:$AF$2010,'LAC 102_Wkst'!$D$7:$D$2010,$C$7,'LAC 102_Wkst'!$I$7:$I$2010,$C$9,'LAC 102_Wkst'!$E$7:$E$2010,$C102,'LAC 102_Wkst'!$G$7:$G$2010,$D102,'LAC 102_Wkst'!$L$7:$L$2010,"04",'LAC 102_Wkst'!$N$7:$N$2010,"P5")</f>
        <v>0</v>
      </c>
      <c r="R102" s="412">
        <f>SUMIFS('LAC 102_Wkst'!$Q$7:$Q$2010,'LAC 102_Wkst'!$D$7:$D$2010,$C$7,'LAC 102_Wkst'!$I$7:$I$2010,$C$9,'LAC 102_Wkst'!$E$7:$E$2010,$C102,'LAC 102_Wkst'!$G$7:$G$2010,$D102,'LAC 102_Wkst'!$L$7:$L$2010,"05",'LAC 102_Wkst'!$N$7:$N$2010,"P1")+SUMIFS('LAC 102_Wkst'!$Q$7:$Q$2010,'LAC 102_Wkst'!$D$7:$D$2010,$C$7,'LAC 102_Wkst'!$I$7:$I$2010,$C$9,'LAC 102_Wkst'!$E$7:$E$2010,$C102,'LAC 102_Wkst'!$G$7:$G$2010,$D102,'LAC 102_Wkst'!$L$7:$L$2010,"06",'LAC 102_Wkst'!$N$7:$N$2010,"P1")</f>
        <v>0</v>
      </c>
      <c r="S102" s="411">
        <f>SUMIFS('LAC 102_Wkst'!$AF$7:$AF$2010,'LAC 102_Wkst'!$D$7:$D$2010,$C$7,'LAC 102_Wkst'!$I$7:$I$2010,$C$9,'LAC 102_Wkst'!$E$7:$E$2010,$C102,'LAC 102_Wkst'!$G$7:$G$2010,$D102,'LAC 102_Wkst'!$L$7:$L$2010,"05",'LAC 102_Wkst'!$N$7:$N$2010,"P1")+SUMIFS('LAC 102_Wkst'!$AF$7:$AF$2010,'LAC 102_Wkst'!$D$7:$D$2010,$C$7,'LAC 102_Wkst'!$I$7:$I$2010,$C$9,'LAC 102_Wkst'!$E$7:$E$2010,$C102,'LAC 102_Wkst'!$G$7:$G$2010,$D102,'LAC 102_Wkst'!$L$7:$L$2010,"06",'LAC 102_Wkst'!$N$7:$N$2010,"P1")</f>
        <v>0</v>
      </c>
      <c r="T102" s="410">
        <f>SUMIFS('LAC 102_Wkst'!$Q$7:$Q$2010,'LAC 102_Wkst'!$D$7:$D$2010,$C$7,'LAC 102_Wkst'!$I$7:$I$2010,$C$9,'LAC 102_Wkst'!$E$7:$E$2010,$C102,'LAC 102_Wkst'!$G$7:$G$2010,$D102,'LAC 102_Wkst'!$L$7:$L$2010,"05",'LAC 102_Wkst'!$N$7:$N$2010,"P2")+SUMIFS('LAC 102_Wkst'!$Q$7:$Q$2010,'LAC 102_Wkst'!$D$7:$D$2010,$C$7,'LAC 102_Wkst'!$I$7:$I$2010,$C$9,'LAC 102_Wkst'!$E$7:$E$2010,$C102,'LAC 102_Wkst'!$G$7:$G$2010,$D102,'LAC 102_Wkst'!$L$7:$L$2010,"06",'LAC 102_Wkst'!$N$7:$N$2010,"P2")+SUMIFS('LAC 102_Wkst'!$Q$7:$Q$2010,'LAC 102_Wkst'!$D$7:$D$2010,$C$7,'LAC 102_Wkst'!$I$7:$I$2010,$C$9,'LAC 102_Wkst'!$E$7:$E$2010,$C102,'LAC 102_Wkst'!$G$7:$G$2010,$D102,'LAC 102_Wkst'!$L$7:$L$2010,"05",'LAC 102_Wkst'!$N$7:$N$2010,"P3")+SUMIFS('LAC 102_Wkst'!$Q$7:$Q$2010,'LAC 102_Wkst'!$D$7:$D$2010,$C$7,'LAC 102_Wkst'!$I$7:$I$2010,$C$9,'LAC 102_Wkst'!$E$7:$E$2010,$C102,'LAC 102_Wkst'!$G$7:$G$2010,$D102,'LAC 102_Wkst'!$L$7:$L$2010,"06",'LAC 102_Wkst'!$N$7:$N$2010,"P3")</f>
        <v>0</v>
      </c>
      <c r="U102" s="411">
        <f>SUMIFS('LAC 102_Wkst'!$AF$7:$AF$2010,'LAC 102_Wkst'!$D$7:$D$2010,$C$7,'LAC 102_Wkst'!$I$7:$I$2010,$C$9,'LAC 102_Wkst'!$E$7:$E$2010,$C102,'LAC 102_Wkst'!$G$7:$G$2010,$D102,'LAC 102_Wkst'!$L$7:$L$2010,"05",'LAC 102_Wkst'!$N$7:$N$2010,"P2")+SUMIFS('LAC 102_Wkst'!$AF$7:$AF$2010,'LAC 102_Wkst'!$D$7:$D$2010,$C$7,'LAC 102_Wkst'!$I$7:$I$2010,$C$9,'LAC 102_Wkst'!$E$7:$E$2010,$C102,'LAC 102_Wkst'!$G$7:$G$2010,$D102,'LAC 102_Wkst'!$L$7:$L$2010,"06",'LAC 102_Wkst'!$N$7:$N$2010,"P2")+SUMIFS('LAC 102_Wkst'!$AF$7:$AF$2010,'LAC 102_Wkst'!$D$7:$D$2010,$C$7,'LAC 102_Wkst'!$I$7:$I$2010,$C$9,'LAC 102_Wkst'!$E$7:$E$2010,$C102,'LAC 102_Wkst'!$G$7:$G$2010,$D102,'LAC 102_Wkst'!$L$7:$L$2010,"05",'LAC 102_Wkst'!$N$7:$N$2010,"P3")+SUMIFS('LAC 102_Wkst'!$AF$7:$AF$2010,'LAC 102_Wkst'!$D$7:$D$2010,$C$7,'LAC 102_Wkst'!$I$7:$I$2010,$C$9,'LAC 102_Wkst'!$E$7:$E$2010,$C102,'LAC 102_Wkst'!$G$7:$G$2010,$D102,'LAC 102_Wkst'!$L$7:$L$2010,"06",'LAC 102_Wkst'!$N$7:$N$2010,"P3")</f>
        <v>0</v>
      </c>
      <c r="V102" s="410">
        <f>SUMIFS('LAC 102_Wkst'!$Q$7:$Q$2010,'LAC 102_Wkst'!$D$7:$D$2010,$C$7,'LAC 102_Wkst'!$I$7:$I$2010,$C$9,'LAC 102_Wkst'!$E$7:$E$2010,$C102,'LAC 102_Wkst'!$G$7:$G$2010,$D102,'LAC 102_Wkst'!$L$7:$L$2010,"05",'LAC 102_Wkst'!$N$7:$N$2010,"P4")+SUMIFS('LAC 102_Wkst'!$Q$7:$Q$2010,'LAC 102_Wkst'!$D$7:$D$2010,$C$7,'LAC 102_Wkst'!$I$7:$I$2010,$C$9,'LAC 102_Wkst'!$E$7:$E$2010,$C102,'LAC 102_Wkst'!$G$7:$G$2010,$D102,'LAC 102_Wkst'!$L$7:$L$2010,"06",'LAC 102_Wkst'!$N$7:$N$2010,"P4")</f>
        <v>0</v>
      </c>
      <c r="W102" s="411">
        <f>SUMIFS('LAC 102_Wkst'!$AF$7:$AF$2010,'LAC 102_Wkst'!$D$7:$D$2010,$C$7,'LAC 102_Wkst'!$I$7:$I$2010,$C$9,'LAC 102_Wkst'!$E$7:$E$2010,$C102,'LAC 102_Wkst'!$G$7:$G$2010,$D102,'LAC 102_Wkst'!$L$7:$L$2010,"05",'LAC 102_Wkst'!$N$7:$N$2010,"P4")+SUMIFS('LAC 102_Wkst'!$AF$7:$AF$2010,'LAC 102_Wkst'!$D$7:$D$2010,$C$7,'LAC 102_Wkst'!$I$7:$I$2010,$C$9,'LAC 102_Wkst'!$E$7:$E$2010,$C102,'LAC 102_Wkst'!$G$7:$G$2010,$D102,'LAC 102_Wkst'!$L$7:$L$2010,"06",'LAC 102_Wkst'!$N$7:$N$2010,"P4")</f>
        <v>0</v>
      </c>
      <c r="X102" s="410">
        <f>SUMIFS('LAC 102_Wkst'!$Q$7:$Q$2010,'LAC 102_Wkst'!$D$7:$D$2010,$C$7,'LAC 102_Wkst'!$I$7:$I$2010,$C$9,'LAC 102_Wkst'!$E$7:$E$2010,$C102,'LAC 102_Wkst'!$G$7:$G$2010,$D102,'LAC 102_Wkst'!$L$7:$L$2010,"05",'LAC 102_Wkst'!$N$7:$N$2010,"P5")+SUMIFS('LAC 102_Wkst'!$Q$7:$Q$2010,'LAC 102_Wkst'!$D$7:$D$2010,$C$7,'LAC 102_Wkst'!$I$7:$I$2010,$C$9,'LAC 102_Wkst'!$E$7:$E$2010,$C102,'LAC 102_Wkst'!$G$7:$G$2010,$D102,'LAC 102_Wkst'!$L$7:$L$2010,"06",'LAC 102_Wkst'!$N$7:$N$2010,"P5")</f>
        <v>0</v>
      </c>
      <c r="Y102" s="411">
        <f>SUMIFS('LAC 102_Wkst'!$AF$7:$AF$2010,'LAC 102_Wkst'!$D$7:$D$2010,$C$7,'LAC 102_Wkst'!$I$7:$I$2010,$C$9,'LAC 102_Wkst'!$E$7:$E$2010,$C102,'LAC 102_Wkst'!$G$7:$G$2010,$D102,'LAC 102_Wkst'!$L$7:$L$2010,"05",'LAC 102_Wkst'!$N$7:$N$2010,"P5")+SUMIFS('LAC 102_Wkst'!$AF$7:$AF$2010,'LAC 102_Wkst'!$D$7:$D$2010,$C$7,'LAC 102_Wkst'!$I$7:$I$2010,$C$9,'LAC 102_Wkst'!$E$7:$E$2010,$C102,'LAC 102_Wkst'!$G$7:$G$2010,$D102,'LAC 102_Wkst'!$L$7:$L$2010,"06",'LAC 102_Wkst'!$N$7:$N$2010,"P5")</f>
        <v>0</v>
      </c>
      <c r="Z102" s="410">
        <f>SUMIFS('LAC 102_Wkst'!$Q$7:$Q$2010,'LAC 102_Wkst'!$D$7:$D$2010,$C$7,'LAC 102_Wkst'!$I$7:$I$2010,$C$9,'LAC 102_Wkst'!$E$7:$E$2010,$C102,'LAC 102_Wkst'!$G$7:$G$2010,$D102,'LAC 102_Wkst'!$L$7:$L$2010,"07",'LAC 102_Wkst'!$N$7:$N$2010,"P1")+SUMIFS('LAC 102_Wkst'!$Q$7:$Q$2010,'LAC 102_Wkst'!$D$7:$D$2010,$C$7,'LAC 102_Wkst'!$I$7:$I$2010,$C$9,'LAC 102_Wkst'!$E$7:$E$2010,$C102,'LAC 102_Wkst'!$G$7:$G$2010,$D102,'LAC 102_Wkst'!$L$7:$L$2010,"07",'LAC 102_Wkst'!$N$7:$N$2010,"P2")+SUMIFS('LAC 102_Wkst'!$Q$7:$Q$2010,'LAC 102_Wkst'!$D$7:$D$2010,$C$7,'LAC 102_Wkst'!$I$7:$I$2010,$C$9,'LAC 102_Wkst'!$E$7:$E$2010,$C102,'LAC 102_Wkst'!$G$7:$G$2010,$D102,'LAC 102_Wkst'!$L$7:$L$2010,"07",'LAC 102_Wkst'!$N$7:$N$2010,"P3")</f>
        <v>0</v>
      </c>
      <c r="AA102" s="411">
        <f>SUMIFS('LAC 102_Wkst'!$AF$7:$AF$2010,'LAC 102_Wkst'!$D$7:$D$2010,$C$7,'LAC 102_Wkst'!$I$7:$I$2010,$C$9,'LAC 102_Wkst'!$E$7:$E$2010,$C102,'LAC 102_Wkst'!$G$7:$G$2010,$D102,'LAC 102_Wkst'!$L$7:$L$2010,"07",'LAC 102_Wkst'!$N$7:$N$2010,"P1")+SUMIFS('LAC 102_Wkst'!$AF$7:$AF$2010,'LAC 102_Wkst'!$D$7:$D$2010,$C$7,'LAC 102_Wkst'!$I$7:$I$2010,$C$9,'LAC 102_Wkst'!$E$7:$E$2010,$C102,'LAC 102_Wkst'!$G$7:$G$2010,$D102,'LAC 102_Wkst'!$L$7:$L$2010,"07",'LAC 102_Wkst'!$N$7:$N$2010,"P2")+SUMIFS('LAC 102_Wkst'!$AF$7:$AF$2010,'LAC 102_Wkst'!$D$7:$D$2010,$C$7,'LAC 102_Wkst'!$I$7:$I$2010,$C$9,'LAC 102_Wkst'!$E$7:$E$2010,$C102,'LAC 102_Wkst'!$G$7:$G$2010,$D102,'LAC 102_Wkst'!$L$7:$L$2010,"07",'LAC 102_Wkst'!$N$7:$N$2010,"P3")</f>
        <v>0</v>
      </c>
      <c r="AB102" s="410">
        <f>SUMIFS('LAC 102_Wkst'!$Q$7:$Q$2010,'LAC 102_Wkst'!$D$7:$D$2010,$C$7,'LAC 102_Wkst'!$I$7:$I$2010,$C$9,'LAC 102_Wkst'!$E$7:$E$2010,$C102,'LAC 102_Wkst'!$G$7:$G$2010,$D102,'LAC 102_Wkst'!$L$7:$L$2010,"07",'LAC 102_Wkst'!$N$7:$N$2010,"P4")</f>
        <v>0</v>
      </c>
      <c r="AC102" s="411">
        <f>SUMIFS('LAC 102_Wkst'!$AF$7:$AF$2010,'LAC 102_Wkst'!$D$7:$D$2010,$C$7,'LAC 102_Wkst'!$I$7:$I$2010,$C$9,'LAC 102_Wkst'!$E$7:$E$2010,$C102,'LAC 102_Wkst'!$G$7:$G$2010,$D102,'LAC 102_Wkst'!$L$7:$L$2010,"07",'LAC 102_Wkst'!$N$7:$N$2010,"P4")</f>
        <v>0</v>
      </c>
      <c r="AD102" s="410">
        <f>SUMIFS('LAC 102_Wkst'!$Q$7:$Q$2010,'LAC 102_Wkst'!$D$7:$D$2010,$C$7,'LAC 102_Wkst'!$I$7:$I$2010,$C$9,'LAC 102_Wkst'!$E$7:$E$2010,$C102,'LAC 102_Wkst'!$G$7:$G$2010,$D102,'LAC 102_Wkst'!$L$7:$L$2010,"07",'LAC 102_Wkst'!$N$7:$N$2010,"P5")</f>
        <v>0</v>
      </c>
      <c r="AE102" s="411">
        <f>SUMIFS('LAC 102_Wkst'!$AF$7:$AF$2010,'LAC 102_Wkst'!$D$7:$D$2010,$C$7,'LAC 102_Wkst'!$I$7:$I$2010,$C$9,'LAC 102_Wkst'!$E$7:$E$2010,$C102,'LAC 102_Wkst'!$G$7:$G$2010,$D102,'LAC 102_Wkst'!$L$7:$L$2010,"07",'LAC 102_Wkst'!$N$7:$N$2010,"P5")</f>
        <v>0</v>
      </c>
      <c r="AF102" s="410">
        <f>SUMIFS('LAC 102_Wkst'!$Q$7:$Q$2010,'LAC 102_Wkst'!$D$7:$D$2010,$C$7,'LAC 102_Wkst'!$I$7:$I$2010,$C$9,'LAC 102_Wkst'!$E$7:$E$2010,$C102,'LAC 102_Wkst'!$G$7:$G$2010,$D102,'LAC 102_Wkst'!$L$7:$L$2010,"08",'LAC 102_Wkst'!$N$7:$N$2010,"P1")+SUMIFS('LAC 102_Wkst'!$Q$7:$Q$2010,'LAC 102_Wkst'!$D$7:$D$2010,$C$7,'LAC 102_Wkst'!$I$7:$I$2010,$C$9,'LAC 102_Wkst'!$E$7:$E$2010,$C102,'LAC 102_Wkst'!$G$7:$G$2010,$D102,'LAC 102_Wkst'!$L$7:$L$2010,"08",'LAC 102_Wkst'!$N$7:$N$2010,"P2")+SUMIFS('LAC 102_Wkst'!$Q$7:$Q$2010,'LAC 102_Wkst'!$D$7:$D$2010,$C$7,'LAC 102_Wkst'!$I$7:$I$2010,$C$9,'LAC 102_Wkst'!$E$7:$E$2010,$C102,'LAC 102_Wkst'!$G$7:$G$2010,$D102,'LAC 102_Wkst'!$L$7:$L$2010,"08",'LAC 102_Wkst'!$N$7:$N$2010,"P3")</f>
        <v>0</v>
      </c>
      <c r="AG102" s="411">
        <f>SUMIFS('LAC 102_Wkst'!$AF$7:$AF$2010,'LAC 102_Wkst'!$D$7:$D$2010,$C$7,'LAC 102_Wkst'!$I$7:$I$2010,$C$9,'LAC 102_Wkst'!$E$7:$E$2010,$C102,'LAC 102_Wkst'!$G$7:$G$2010,$D102,'LAC 102_Wkst'!$L$7:$L$2010,"08",'LAC 102_Wkst'!$N$7:$N$2010,"P1")+SUMIFS('LAC 102_Wkst'!$AF$7:$AF$2010,'LAC 102_Wkst'!$D$7:$D$2010,$C$7,'LAC 102_Wkst'!$I$7:$I$2010,$C$9,'LAC 102_Wkst'!$E$7:$E$2010,$C102,'LAC 102_Wkst'!$G$7:$G$2010,$D102,'LAC 102_Wkst'!$L$7:$L$2010,"08",'LAC 102_Wkst'!$N$7:$N$2010,"P2")+SUMIFS('LAC 102_Wkst'!$AF$7:$AF$2010,'LAC 102_Wkst'!$D$7:$D$2010,$C$7,'LAC 102_Wkst'!$I$7:$I$2010,$C$9,'LAC 102_Wkst'!$E$7:$E$2010,$C102,'LAC 102_Wkst'!$G$7:$G$2010,$D102,'LAC 102_Wkst'!$L$7:$L$2010,"08",'LAC 102_Wkst'!$N$7:$N$2010,"P3")</f>
        <v>0</v>
      </c>
      <c r="AH102" s="410">
        <f>SUMIFS('LAC 102_Wkst'!$Q$7:$Q$2010,'LAC 102_Wkst'!$D$7:$D$2010,$C$7,'LAC 102_Wkst'!$I$7:$I$2010,$C$9,'LAC 102_Wkst'!$E$7:$E$2010,$C102,'LAC 102_Wkst'!$G$7:$G$2010,$D102,'LAC 102_Wkst'!$L$7:$L$2010,"08",'LAC 102_Wkst'!$N$7:$N$2010,"P4")</f>
        <v>0</v>
      </c>
      <c r="AI102" s="411">
        <f>SUMIFS('LAC 102_Wkst'!$AF$7:$AF$2010,'LAC 102_Wkst'!$D$7:$D$2010,$C$7,'LAC 102_Wkst'!$I$7:$I$2010,$C$9,'LAC 102_Wkst'!$E$7:$E$2010,$C102,'LAC 102_Wkst'!$G$7:$G$2010,$D102,'LAC 102_Wkst'!$L$7:$L$2010,"08",'LAC 102_Wkst'!$N$7:$N$2010,"P4")</f>
        <v>0</v>
      </c>
      <c r="AJ102" s="410">
        <f>SUMIFS('LAC 102_Wkst'!$Q$7:$Q$2010,'LAC 102_Wkst'!$D$7:$D$2010,$C$7,'LAC 102_Wkst'!$I$7:$I$2010,$C$9,'LAC 102_Wkst'!$E$7:$E$2010,$C102,'LAC 102_Wkst'!$G$7:$G$2010,$D102,'LAC 102_Wkst'!$L$7:$L$2010,"08",'LAC 102_Wkst'!$N$7:$N$2010,"P5")</f>
        <v>0</v>
      </c>
      <c r="AK102" s="411">
        <f>SUMIFS('LAC 102_Wkst'!$AF$7:$AF$2010,'LAC 102_Wkst'!$D$7:$D$2010,$C$7,'LAC 102_Wkst'!$I$7:$I$2010,$C$9,'LAC 102_Wkst'!$E$7:$E$2010,$C102,'LAC 102_Wkst'!$G$7:$G$2010,$D102,'LAC 102_Wkst'!$L$7:$L$2010,"08",'LAC 102_Wkst'!$N$7:$N$2010,"P5")</f>
        <v>0</v>
      </c>
      <c r="AL102" s="410">
        <f>SUMIFS('LAC 102_Wkst'!$Q$7:$Q$2010,'LAC 102_Wkst'!$D$7:$D$2010,$C$7,'LAC 102_Wkst'!$I$7:$I$2010,$C$9,'LAC 102_Wkst'!$E$7:$E$2010,$C102,'LAC 102_Wkst'!$G$7:$G$2010,$D102,'LAC 102_Wkst'!$L$7:$L$2010,"09",'LAC 102_Wkst'!$N$7:$N$2010,"P1")+SUMIFS('LAC 102_Wkst'!$Q$7:$Q$2010,'LAC 102_Wkst'!$D$7:$D$2010,$C$7,'LAC 102_Wkst'!$I$7:$I$2010,$C$9,'LAC 102_Wkst'!$E$7:$E$2010,$C102,'LAC 102_Wkst'!$G$7:$G$2010,$D102,'LAC 102_Wkst'!$L$7:$L$2010,"09",'LAC 102_Wkst'!$N$7:$N$2010,"P2")+SUMIFS('LAC 102_Wkst'!$Q$7:$Q$2010,'LAC 102_Wkst'!$D$7:$D$2010,$C$7,'LAC 102_Wkst'!$I$7:$I$2010,$C$9,'LAC 102_Wkst'!$E$7:$E$2010,$C102,'LAC 102_Wkst'!$G$7:$G$2010,$D102,'LAC 102_Wkst'!$L$7:$L$2010,"09",'LAC 102_Wkst'!$N$7:$N$2010,"P3")+SUMIFS('LAC 102_Wkst'!$Q$7:$Q$2010,'LAC 102_Wkst'!$D$7:$D$2010,$C$7,'LAC 102_Wkst'!$I$7:$I$2010,$C$9,'LAC 102_Wkst'!$E$7:$E$2010,$C102,'LAC 102_Wkst'!$G$7:$G$2010,$D102,'LAC 102_Wkst'!$L$7:$L$2010,"09",'LAC 102_Wkst'!$N$7:$N$2010,"P4")</f>
        <v>0</v>
      </c>
      <c r="AM102" s="411">
        <f>SUMIFS('LAC 102_Wkst'!$AF$7:$AF$2010,'LAC 102_Wkst'!$D$7:$D$2010,$C$7,'LAC 102_Wkst'!$I$7:$I$2010,$C$9,'LAC 102_Wkst'!$E$7:$E$2010,$C102,'LAC 102_Wkst'!$G$7:$G$2010,$D102,'LAC 102_Wkst'!$L$7:$L$2010,"09",'LAC 102_Wkst'!$N$7:$N$2010,"P1")+SUMIFS('LAC 102_Wkst'!$AF$7:$AF$2010,'LAC 102_Wkst'!$D$7:$D$2010,$C$7,'LAC 102_Wkst'!$I$7:$I$2010,$C$9,'LAC 102_Wkst'!$E$7:$E$2010,$C102,'LAC 102_Wkst'!$G$7:$G$2010,$D102,'LAC 102_Wkst'!$L$7:$L$2010,"09",'LAC 102_Wkst'!$N$7:$N$2010,"P2")+SUMIFS('LAC 102_Wkst'!$AF$7:$AF$2010,'LAC 102_Wkst'!$D$7:$D$2010,$C$7,'LAC 102_Wkst'!$I$7:$I$2010,$C$9,'LAC 102_Wkst'!$E$7:$E$2010,$C102,'LAC 102_Wkst'!$G$7:$G$2010,$D102,'LAC 102_Wkst'!$L$7:$L$2010,"09",'LAC 102_Wkst'!$N$7:$N$2010,"P3")+SUMIFS('LAC 102_Wkst'!$AF$7:$AF$2010,'LAC 102_Wkst'!$D$7:$D$2010,$C$7,'LAC 102_Wkst'!$I$7:$I$2010,$C$9,'LAC 102_Wkst'!$E$7:$E$2010,$C102,'LAC 102_Wkst'!$G$7:$G$2010,$D102,'LAC 102_Wkst'!$L$7:$L$2010,"09",'LAC 102_Wkst'!$N$7:$N$2010,"P4")</f>
        <v>0</v>
      </c>
      <c r="AN102" s="410">
        <f>SUMIFS('LAC 102_Wkst'!$Q$7:$Q$2010,'LAC 102_Wkst'!$D$7:$D$2010,$C$7,'LAC 102_Wkst'!$I$7:$I$2010,$C$9,'LAC 102_Wkst'!$E$7:$E$2010,$C102,'LAC 102_Wkst'!$G$7:$G$2010,$D102,'LAC 102_Wkst'!$L$7:$L$2010,"09",'LAC 102_Wkst'!$N$7:$N$2010,"P5")</f>
        <v>0</v>
      </c>
      <c r="AO102" s="411">
        <f>SUMIFS('LAC 102_Wkst'!$AF$7:$AF$2010,'LAC 102_Wkst'!$D$7:$D$2010,$C$7,'LAC 102_Wkst'!$I$7:$I$2010,$C$9,'LAC 102_Wkst'!$E$7:$E$2010,$C102,'LAC 102_Wkst'!$G$7:$G$2010,$D102,'LAC 102_Wkst'!$L$7:$L$2010,"09",'LAC 102_Wkst'!$N$7:$N$2010,"P5")</f>
        <v>0</v>
      </c>
      <c r="AP102" s="410">
        <f>SUMIFS('LAC 102_Wkst'!$Q$7:$Q$2010,'LAC 102_Wkst'!$D$7:$D$2010,$C$7,'LAC 102_Wkst'!$I$7:$I$2010,$C$9,'LAC 102_Wkst'!$E$7:$E$2010,$C102,'LAC 102_Wkst'!$G$7:$G$2010,$D102,'LAC 102_Wkst'!$L$7:$L$2010,"10",'LAC 102_Wkst'!$N$7:$N$2010,"P1")+SUMIFS('LAC 102_Wkst'!$Q$7:$Q$2010,'LAC 102_Wkst'!$D$7:$D$2010,$C$7,'LAC 102_Wkst'!$I$7:$I$2010,$C$9,'LAC 102_Wkst'!$E$7:$E$2010,$C102,'LAC 102_Wkst'!$G$7:$G$2010,$D102,'LAC 102_Wkst'!$L$7:$L$2010,"10",'LAC 102_Wkst'!$N$7:$N$2010,"P2")+SUMIFS('LAC 102_Wkst'!$Q$7:$Q$2010,'LAC 102_Wkst'!$D$7:$D$2010,$C$7,'LAC 102_Wkst'!$I$7:$I$2010,$C$9,'LAC 102_Wkst'!$E$7:$E$2010,$C102,'LAC 102_Wkst'!$G$7:$G$2010,$D102,'LAC 102_Wkst'!$L$7:$L$2010,"10",'LAC 102_Wkst'!$N$7:$N$2010,"P3")+SUMIFS('LAC 102_Wkst'!$Q$7:$Q$2010,'LAC 102_Wkst'!$D$7:$D$2010,$C$7,'LAC 102_Wkst'!$I$7:$I$2010,$C$9,'LAC 102_Wkst'!$E$7:$E$2010,$C102,'LAC 102_Wkst'!$G$7:$G$2010,$D102,'LAC 102_Wkst'!$L$7:$L$2010,"10",'LAC 102_Wkst'!$N$7:$N$2010,"P4")</f>
        <v>0</v>
      </c>
      <c r="AQ102" s="411">
        <f>SUMIFS('LAC 102_Wkst'!$AF$7:$AF$2010,'LAC 102_Wkst'!$D$7:$D$2010,$C$7,'LAC 102_Wkst'!$I$7:$I$2010,$C$9,'LAC 102_Wkst'!$E$7:$E$2010,$C102,'LAC 102_Wkst'!$G$7:$G$2010,$D102,'LAC 102_Wkst'!$L$7:$L$2010,"10",'LAC 102_Wkst'!$N$7:$N$2010,"P1")+SUMIFS('LAC 102_Wkst'!$AF$7:$AF$2010,'LAC 102_Wkst'!$D$7:$D$2010,$C$7,'LAC 102_Wkst'!$I$7:$I$2010,$C$9,'LAC 102_Wkst'!$E$7:$E$2010,$C102,'LAC 102_Wkst'!$G$7:$G$2010,$D102,'LAC 102_Wkst'!$L$7:$L$2010,"10",'LAC 102_Wkst'!$N$7:$N$2010,"P2")+SUMIFS('LAC 102_Wkst'!$AF$7:$AF$2010,'LAC 102_Wkst'!$D$7:$D$2010,$C$7,'LAC 102_Wkst'!$I$7:$I$2010,$C$9,'LAC 102_Wkst'!$E$7:$E$2010,$C102,'LAC 102_Wkst'!$G$7:$G$2010,$D102,'LAC 102_Wkst'!$L$7:$L$2010,"10",'LAC 102_Wkst'!$N$7:$N$2010,"P3")+SUMIFS('LAC 102_Wkst'!$AF$7:$AF$2010,'LAC 102_Wkst'!$D$7:$D$2010,$C$7,'LAC 102_Wkst'!$I$7:$I$2010,$C$9,'LAC 102_Wkst'!$E$7:$E$2010,$C102,'LAC 102_Wkst'!$G$7:$G$2010,$D102,'LAC 102_Wkst'!$L$7:$L$2010,"10",'LAC 102_Wkst'!$N$7:$N$2010,"P4")</f>
        <v>0</v>
      </c>
      <c r="AR102" s="410">
        <f>SUMIFS('LAC 102_Wkst'!$Q$7:$Q$2010,'LAC 102_Wkst'!$D$7:$D$2010,$C$7,'LAC 102_Wkst'!$I$7:$I$2010,$C$9,'LAC 102_Wkst'!$E$7:$E$2010,$C102,'LAC 102_Wkst'!$G$7:$G$2010,$D102,'LAC 102_Wkst'!$L$7:$L$2010,"10",'LAC 102_Wkst'!$N$7:$N$2010,"P5")</f>
        <v>0</v>
      </c>
      <c r="AS102" s="411">
        <f>SUMIFS('LAC 102_Wkst'!$AF$7:$AF$2010,'LAC 102_Wkst'!$D$7:$D$2010,$C$7,'LAC 102_Wkst'!$I$7:$I$2010,$C$9,'LAC 102_Wkst'!$E$7:$E$2010,$C102,'LAC 102_Wkst'!$G$7:$G$2010,$D102,'LAC 102_Wkst'!$L$7:$L$2010,"10",'LAC 102_Wkst'!$N$7:$N$2010,"P5")</f>
        <v>0</v>
      </c>
      <c r="AT102" s="410">
        <f>SUMIFS('LAC 102_Wkst'!$Q$7:$Q$2010,'LAC 102_Wkst'!$D$7:$D$2010,$C$7,'LAC 102_Wkst'!$I$7:$I$2010,$C$9,'LAC 102_Wkst'!$E$7:$E$2010,$C102,'LAC 102_Wkst'!$G$7:$G$2010,$D102,'LAC 102_Wkst'!$L$7:$L$2010,"11",'LAC 102_Wkst'!$N$7:$N$2010,"P1")+SUMIFS('LAC 102_Wkst'!$Q$7:$Q$2010,'LAC 102_Wkst'!$D$7:$D$2010,$C$7,'LAC 102_Wkst'!$I$7:$I$2010,$C$9,'LAC 102_Wkst'!$E$7:$E$2010,$C102,'LAC 102_Wkst'!$G$7:$G$2010,$D102,'LAC 102_Wkst'!$L$7:$L$2010,"12",'LAC 102_Wkst'!$N$7:$N$2010,"P1")</f>
        <v>0</v>
      </c>
      <c r="AU102" s="411">
        <f>SUMIFS('LAC 102_Wkst'!$Q$7:$Q$2010,'LAC 102_Wkst'!$D$7:$D$2010,$C$7,'LAC 102_Wkst'!$I$7:$I$2010,$C$9,'LAC 102_Wkst'!$E$7:$E$2010,$C102,'LAC 102_Wkst'!$G$7:$G$2010,$D102,'LAC 102_Wkst'!$L$7:$L$2010,"13",'LAC 102_Wkst'!$N$7:$N$2010,"P5")</f>
        <v>0</v>
      </c>
      <c r="AV102" s="410">
        <f>SUMIFS('LAC 102_Wkst'!$Q$7:$Q$2010,'LAC 102_Wkst'!$D$7:$D$2010,$C$7,'LAC 102_Wkst'!$I$7:$I$2010,$C$9,'LAC 102_Wkst'!$E$7:$E$2010,$C102,'LAC 102_Wkst'!$G$7:$G$2010,$D102,'LAC 102_Wkst'!$L$7:$L$2010,"11",'LAC 102_Wkst'!$N$7:$N$2010,"P2")+SUMIFS('LAC 102_Wkst'!$Q$7:$Q$2010,'LAC 102_Wkst'!$D$7:$D$2010,$C$7,'LAC 102_Wkst'!$I$7:$I$2010,$C$9,'LAC 102_Wkst'!$E$7:$E$2010,$C102,'LAC 102_Wkst'!$G$7:$G$2010,$D102,'LAC 102_Wkst'!$L$7:$L$2010,"12",'LAC 102_Wkst'!$N$7:$N$2010,"P2")+SUMIFS('LAC 102_Wkst'!$Q$7:$Q$2010,'LAC 102_Wkst'!$D$7:$D$2010,$C$7,'LAC 102_Wkst'!$I$7:$I$2010,$C$9,'LAC 102_Wkst'!$E$7:$E$2010,$C102,'LAC 102_Wkst'!$G$7:$G$2010,$D102,'LAC 102_Wkst'!$L$7:$L$2010,"11",'LAC 102_Wkst'!$N$7:$N$2010,"P3")+SUMIFS('LAC 102_Wkst'!$Q$7:$Q$2010,'LAC 102_Wkst'!$D$7:$D$2010,$C$7,'LAC 102_Wkst'!$I$7:$I$2010,$C$9,'LAC 102_Wkst'!$E$7:$E$2010,$C102,'LAC 102_Wkst'!$G$7:$G$2010,$D102,'LAC 102_Wkst'!$L$7:$L$2010,"12",'LAC 102_Wkst'!$N$7:$N$2010,"P3")</f>
        <v>0</v>
      </c>
      <c r="AW102" s="411">
        <f>SUMIFS('LAC 102_Wkst'!$AF$7:$AF$2010,'LAC 102_Wkst'!$D$7:$D$2010,$C$7,'LAC 102_Wkst'!$I$7:$I$2010,$C$9,'LAC 102_Wkst'!$E$7:$E$2010,$C102,'LAC 102_Wkst'!$G$7:$G$2010,$D102,'LAC 102_Wkst'!$L$7:$L$2010,"11",'LAC 102_Wkst'!$N$7:$N$2010,"P2")+SUMIFS('LAC 102_Wkst'!$AF$7:$AF$2010,'LAC 102_Wkst'!$D$7:$D$2010,$C$7,'LAC 102_Wkst'!$I$7:$I$2010,$C$9,'LAC 102_Wkst'!$E$7:$E$2010,$C102,'LAC 102_Wkst'!$G$7:$G$2010,$D102,'LAC 102_Wkst'!$L$7:$L$2010,"12",'LAC 102_Wkst'!$N$7:$N$2010,"P2")+SUMIFS('LAC 102_Wkst'!$AF$7:$AF$2010,'LAC 102_Wkst'!$D$7:$D$2010,$C$7,'LAC 102_Wkst'!$I$7:$I$2010,$C$9,'LAC 102_Wkst'!$E$7:$E$2010,$C102,'LAC 102_Wkst'!$G$7:$G$2010,$D102,'LAC 102_Wkst'!$L$7:$L$2010,"11",'LAC 102_Wkst'!$N$7:$N$2010,"P3")+SUMIFS('LAC 102_Wkst'!$AF$7:$AF$2010,'LAC 102_Wkst'!$D$7:$D$2010,$C$7,'LAC 102_Wkst'!$I$7:$I$2010,$C$9,'LAC 102_Wkst'!$E$7:$E$2010,$C102,'LAC 102_Wkst'!$G$7:$G$2010,$D102,'LAC 102_Wkst'!$L$7:$L$2010,"12",'LAC 102_Wkst'!$N$7:$N$2010,"P3")</f>
        <v>0</v>
      </c>
      <c r="AX102" s="410">
        <f>SUMIFS('LAC 102_Wkst'!$Q$7:$Q$2010,'LAC 102_Wkst'!$D$7:$D$2010,$C$7,'LAC 102_Wkst'!$I$7:$I$2010,$C$9,'LAC 102_Wkst'!$E$7:$E$2010,$C102,'LAC 102_Wkst'!$G$7:$G$2010,$D102,'LAC 102_Wkst'!$L$7:$L$2010,"11",'LAC 102_Wkst'!$N$7:$N$2010,"P4")+SUMIFS('LAC 102_Wkst'!$Q$7:$Q$2010,'LAC 102_Wkst'!$D$7:$D$2010,$C$7,'LAC 102_Wkst'!$I$7:$I$2010,$C$9,'LAC 102_Wkst'!$E$7:$E$2010,$C102,'LAC 102_Wkst'!$G$7:$G$2010,$D102,'LAC 102_Wkst'!$L$7:$L$2010,"12",'LAC 102_Wkst'!$N$7:$N$2010,"P4")</f>
        <v>0</v>
      </c>
      <c r="AY102" s="411">
        <f>SUMIFS('LAC 102_Wkst'!$AF$7:$AF$2010,'LAC 102_Wkst'!$D$7:$D$2010,$C$7,'LAC 102_Wkst'!$I$7:$I$2010,$C$9,'LAC 102_Wkst'!$E$7:$E$2010,$C102,'LAC 102_Wkst'!$G$7:$G$2010,$D102,'LAC 102_Wkst'!$L$7:$L$2010,"11",'LAC 102_Wkst'!$N$7:$N$2010,"P4")+SUMIFS('LAC 102_Wkst'!$AF$7:$AF$2010,'LAC 102_Wkst'!$D$7:$D$2010,$C$7,'LAC 102_Wkst'!$I$7:$I$2010,$C$9,'LAC 102_Wkst'!$E$7:$E$2010,$C102,'LAC 102_Wkst'!$G$7:$G$2010,$D102,'LAC 102_Wkst'!$L$7:$L$2010,"12",'LAC 102_Wkst'!$N$7:$N$2010,"P4")</f>
        <v>0</v>
      </c>
      <c r="AZ102" s="410">
        <f>SUMIFS('LAC 102_Wkst'!$Q$7:$Q$2010,'LAC 102_Wkst'!$D$7:$D$2010,$C$7,'LAC 102_Wkst'!$I$7:$I$2010,$C$9,'LAC 102_Wkst'!$E$7:$E$2010,$C102,'LAC 102_Wkst'!$G$7:$G$2010,$D102,'LAC 102_Wkst'!$L$7:$L$2010,"11",'LAC 102_Wkst'!$N$7:$N$2010,"P5")+SUMIFS('LAC 102_Wkst'!$Q$7:$Q$2010,'LAC 102_Wkst'!$D$7:$D$2010,$C$7,'LAC 102_Wkst'!$I$7:$I$2010,$C$9,'LAC 102_Wkst'!$E$7:$E$2010,$C102,'LAC 102_Wkst'!$G$7:$G$2010,$D102,'LAC 102_Wkst'!$L$7:$L$2010,"12",'LAC 102_Wkst'!$N$7:$N$2010,"P5")</f>
        <v>0</v>
      </c>
      <c r="BA102" s="411">
        <f>SUMIFS('LAC 102_Wkst'!$AF$7:$AF$2010,'LAC 102_Wkst'!$D$7:$D$2010,$C$7,'LAC 102_Wkst'!$I$7:$I$2010,$C$9,'LAC 102_Wkst'!$E$7:$E$2010,$C102,'LAC 102_Wkst'!$G$7:$G$2010,$D102,'LAC 102_Wkst'!$L$7:$L$2010,"11",'LAC 102_Wkst'!$N$7:$N$2010,"P5")+SUMIFS('LAC 102_Wkst'!$AF$7:$AF$2010,'LAC 102_Wkst'!$D$7:$D$2010,$C$7,'LAC 102_Wkst'!$I$7:$I$2010,$C$9,'LAC 102_Wkst'!$E$7:$E$2010,$C102,'LAC 102_Wkst'!$G$7:$G$2010,$D102,'LAC 102_Wkst'!$L$7:$L$2010,"12",'LAC 102_Wkst'!$N$7:$N$2010,"P5")</f>
        <v>0</v>
      </c>
      <c r="BB102" s="410">
        <f>SUMIFS('LAC 102_Wkst'!$Q$7:$Q$2010,'LAC 102_Wkst'!$D$7:$D$2010,$C$7,'LAC 102_Wkst'!$I$7:$I$2010,$C$9,'LAC 102_Wkst'!$E$7:$E$2010,$C102,'LAC 102_Wkst'!$G$7:$G$2010,$D102,'LAC 102_Wkst'!$L$7:$L$2010,"13",'LAC 102_Wkst'!$N$7:$N$2010,"P1")+SUMIFS('LAC 102_Wkst'!$Q$7:$Q$2010,'LAC 102_Wkst'!$D$7:$D$2010,$C$7,'LAC 102_Wkst'!$I$7:$I$2010,$C$9,'LAC 102_Wkst'!$E$7:$E$2010,$C102,'LAC 102_Wkst'!$G$7:$G$2010,$D102,'LAC 102_Wkst'!$L$7:$L$2010,"13",'LAC 102_Wkst'!$N$7:$N$2010,"P2")+SUMIFS('LAC 102_Wkst'!$Q$7:$Q$2010,'LAC 102_Wkst'!$D$7:$D$2010,$C$7,'LAC 102_Wkst'!$I$7:$I$2010,$C$9,'LAC 102_Wkst'!$E$7:$E$2010,$C102,'LAC 102_Wkst'!$G$7:$G$2010,$D102,'LAC 102_Wkst'!$L$7:$L$2010,"13",'LAC 102_Wkst'!$N$7:$N$2010,"P3")+SUMIFS('LAC 102_Wkst'!$Q$7:$Q$2010,'LAC 102_Wkst'!$D$7:$D$2010,$C$7,'LAC 102_Wkst'!$I$7:$I$2010,$C$9,'LAC 102_Wkst'!$E$7:$E$2010,$C102,'LAC 102_Wkst'!$G$7:$G$2010,$D102,'LAC 102_Wkst'!$L$7:$L$2010,"13",'LAC 102_Wkst'!$N$7:$N$2010,"P4")</f>
        <v>0</v>
      </c>
      <c r="BC102" s="411">
        <f>SUMIFS('LAC 102_Wkst'!$AF$7:$AF$2010,'LAC 102_Wkst'!$D$7:$D$2010,$C$7,'LAC 102_Wkst'!$I$7:$I$2010,$C$9,'LAC 102_Wkst'!$E$7:$E$2010,$C102,'LAC 102_Wkst'!$G$7:$G$2010,$D102,'LAC 102_Wkst'!$L$7:$L$2010,"13",'LAC 102_Wkst'!$N$7:$N$2010,"P1")+SUMIFS('LAC 102_Wkst'!$AF$7:$AF$2010,'LAC 102_Wkst'!$D$7:$D$2010,$C$7,'LAC 102_Wkst'!$I$7:$I$2010,$C$9,'LAC 102_Wkst'!$E$7:$E$2010,$C102,'LAC 102_Wkst'!$G$7:$G$2010,$D102,'LAC 102_Wkst'!$L$7:$L$2010,"13",'LAC 102_Wkst'!$N$7:$N$2010,"P2")+SUMIFS('LAC 102_Wkst'!$AF$7:$AF$2010,'LAC 102_Wkst'!$D$7:$D$2010,$C$7,'LAC 102_Wkst'!$I$7:$I$2010,$C$9,'LAC 102_Wkst'!$E$7:$E$2010,$C102,'LAC 102_Wkst'!$G$7:$G$2010,$D102,'LAC 102_Wkst'!$L$7:$L$2010,"13",'LAC 102_Wkst'!$N$7:$N$2010,"P3")+SUMIFS('LAC 102_Wkst'!$AF$7:$AF$2010,'LAC 102_Wkst'!$D$7:$D$2010,$C$7,'LAC 102_Wkst'!$I$7:$I$2010,$C$9,'LAC 102_Wkst'!$E$7:$E$2010,$C102,'LAC 102_Wkst'!$G$7:$G$2010,$D102,'LAC 102_Wkst'!$L$7:$L$2010,"13",'LAC 102_Wkst'!$N$7:$N$2010,"P4")</f>
        <v>0</v>
      </c>
      <c r="BD102" s="410">
        <f>SUMIFS('LAC 102_Wkst'!$Q$7:$Q$2010,'LAC 102_Wkst'!$D$7:$D$2010,$C$7,'LAC 102_Wkst'!$I$7:$I$2010,$C$9,'LAC 102_Wkst'!$E$7:$E$2010,$C102,'LAC 102_Wkst'!$G$7:$G$2010,$D102,'LAC 102_Wkst'!$L$7:$L$2010,"13",'LAC 102_Wkst'!$N$7:$N$2010,"P5")</f>
        <v>0</v>
      </c>
      <c r="BE102" s="411">
        <f>SUMIFS('LAC 102_Wkst'!$AF$7:$AF$2010,'LAC 102_Wkst'!$D$7:$D$2010,$C$7,'LAC 102_Wkst'!$I$7:$I$2010,$C$9,'LAC 102_Wkst'!$E$7:$E$2010,$C102,'LAC 102_Wkst'!$G$7:$G$2010,$D102,'LAC 102_Wkst'!$L$7:$L$2010,"13",'LAC 102_Wkst'!$N$7:$N$2010,"P5")</f>
        <v>0</v>
      </c>
      <c r="BF102" s="407">
        <f t="shared" si="5"/>
        <v>0</v>
      </c>
      <c r="BG102" s="1654">
        <f>SUMIFS('LAC 102_Wkst'!$AF$7:$AF$2010,'LAC 102_Wkst'!$D$7:$D$2010,$C$7,'LAC 102_Wkst'!$I$7:$I$2010,$C$9,'LAC 102_Wkst'!$E$7:$E$2010,$C102,'LAC 102_Wkst'!$G$7:$G$2010,$D102,'LAC 102_Wkst'!$L$7:$L$2010,"14")</f>
        <v>0</v>
      </c>
    </row>
    <row r="103" spans="1:59" x14ac:dyDescent="0.2">
      <c r="A103" s="401">
        <v>81</v>
      </c>
      <c r="B103" s="1678" t="str">
        <f>IF(Schedule_B!B$100="","",Schedule_B!B$100)</f>
        <v/>
      </c>
      <c r="C103" s="1674" t="str">
        <f>IF(Schedule_B!C$100=""," ",Schedule_B!C$100)</f>
        <v xml:space="preserve"> </v>
      </c>
      <c r="D103" s="1675" t="str">
        <f>IF(Schedule_B!D$100=""," ",Schedule_B!D$100)</f>
        <v xml:space="preserve"> </v>
      </c>
      <c r="E103" s="1221">
        <f>SUMIFS('LAC 102_Wkst'!$Q$7:$Q$2010,'LAC 102_Wkst'!$D$7:$D$2010,$C$7,'LAC 102_Wkst'!$I$7:$I$2010,$C$9,'LAC 102_Wkst'!$E$7:$E$2010,$C103,'LAC 102_Wkst'!$G$7:$G$2010,$D103)</f>
        <v>0</v>
      </c>
      <c r="F103" s="408">
        <f>SUMIFS('LAC 102_Wkst'!$Q$7:$Q$2010,'LAC 102_Wkst'!$D$7:$D$2010,$C$7,'LAC 102_Wkst'!$I$7:$I$2010,$C$9,'LAC 102_Wkst'!$E$7:$E$2010,$C103,'LAC 102_Wkst'!$G$7:$G$2010,$D103,'LAC 102_Wkst'!$L$7:$L$2010,"01",'LAC 102_Wkst'!$N$7:$N$2010,"P1")+SUMIFS('LAC 102_Wkst'!$Q$7:$Q$2010,'LAC 102_Wkst'!$D$7:$D$2010,$C$7,'LAC 102_Wkst'!$I$7:$I$2010,$C$9,'LAC 102_Wkst'!$E$7:$E$2010,$C103,'LAC 102_Wkst'!$G$7:$G$2010,$D103,'LAC 102_Wkst'!$L$7:$L$2010,"01",'LAC 102_Wkst'!$N$7:$N$2010,"P2")+SUMIFS('LAC 102_Wkst'!$Q$7:$Q$2010,'LAC 102_Wkst'!$D$7:$D$2010,$C$7,'LAC 102_Wkst'!$I$7:$I$2010,$C$9,'LAC 102_Wkst'!$E$7:$E$2010,$C103,'LAC 102_Wkst'!$G$7:$G$2010,$D103,'LAC 102_Wkst'!$L$7:$L$2010,"01",'LAC 102_Wkst'!$N$7:$N$2010,"P3")+SUMIFS('LAC 102_Wkst'!$Q$7:$Q$2010,'LAC 102_Wkst'!$D$7:$D$2010,$C$7,'LAC 102_Wkst'!$I$7:$I$2010,$C$9,'LAC 102_Wkst'!$E$7:$E$2010,$C103,'LAC 102_Wkst'!$G$7:$G$2010,$D103,'LAC 102_Wkst'!$L$7:$L$2010,"02",'LAC 102_Wkst'!$N$7:$N$2010,"P1")+SUMIFS('LAC 102_Wkst'!$Q$7:$Q$2010,'LAC 102_Wkst'!$D$7:$D$2010,$C$7,'LAC 102_Wkst'!$I$7:$I$2010,$C$9,'LAC 102_Wkst'!$E$7:$E$2010,$C103,'LAC 102_Wkst'!$G$7:$G$2010,$D103,'LAC 102_Wkst'!$L$7:$L$2010,"02",'LAC 102_Wkst'!$N$7:$N$2010,"P2")+SUMIFS('LAC 102_Wkst'!$Q$7:$Q$2010,'LAC 102_Wkst'!$D$7:$D$2010,$C$7,'LAC 102_Wkst'!$I$7:$I$2010,$C$9,'LAC 102_Wkst'!$E$7:$E$2010,$C103,'LAC 102_Wkst'!$G$7:$G$2010,$D103,'LAC 102_Wkst'!$L$7:$L$2010,"02",'LAC 102_Wkst'!$N$7:$N$2010,"P3")</f>
        <v>0</v>
      </c>
      <c r="G103" s="409">
        <f>SUMIFS('LAC 102_Wkst'!$AF$7:$AF$2010,'LAC 102_Wkst'!$D$7:$D$2010,$C$7,'LAC 102_Wkst'!$I$7:$I$2010,$C$9,'LAC 102_Wkst'!$E$7:$E$2010,$C103,'LAC 102_Wkst'!$G$7:$G$2010,$D103,'LAC 102_Wkst'!$L$7:$L$2010,"01",'LAC 102_Wkst'!$N$7:$N$2010,"P1")+SUMIFS('LAC 102_Wkst'!$AF$7:$AF$2010,'LAC 102_Wkst'!$D$7:$D$2010,$C$7,'LAC 102_Wkst'!$I$7:$I$2010,$C$9,'LAC 102_Wkst'!$E$7:$E$2010,$C103,'LAC 102_Wkst'!$G$7:$G$2010,$D103,'LAC 102_Wkst'!$L$7:$L$2010,"01",'LAC 102_Wkst'!$N$7:$N$2010,"P2")+SUMIFS('LAC 102_Wkst'!$AF$7:$AF$2010,'LAC 102_Wkst'!$D$7:$D$2010,$C$7,'LAC 102_Wkst'!$I$7:$I$2010,$C$9,'LAC 102_Wkst'!$E$7:$E$2010,$C103,'LAC 102_Wkst'!$G$7:$G$2010,$D103,'LAC 102_Wkst'!$L$7:$L$2010,"01",'LAC 102_Wkst'!$N$7:$N$2010,"P3")+SUMIFS('LAC 102_Wkst'!$AF$7:$AF$2010,'LAC 102_Wkst'!$D$7:$D$2010,$C$7,'LAC 102_Wkst'!$I$7:$I$2010,$C$9,'LAC 102_Wkst'!$E$7:$E$2010,$C103,'LAC 102_Wkst'!$G$7:$G$2010,$D103,'LAC 102_Wkst'!$L$7:$L$2010,"02",'LAC 102_Wkst'!$N$7:$N$2010,"P1")+SUMIFS('LAC 102_Wkst'!$AF$7:$AF$2010,'LAC 102_Wkst'!$D$7:$D$2010,$C$7,'LAC 102_Wkst'!$I$7:$I$2010,$C$9,'LAC 102_Wkst'!$E$7:$E$2010,$C103,'LAC 102_Wkst'!$G$7:$G$2010,$D103,'LAC 102_Wkst'!$L$7:$L$2010,"02",'LAC 102_Wkst'!$N$7:$N$2010,"P2")+SUMIFS('LAC 102_Wkst'!$AF$7:$AF$2010,'LAC 102_Wkst'!$D$7:$D$2010,$C$7,'LAC 102_Wkst'!$I$7:$I$2010,$C$9,'LAC 102_Wkst'!$E$7:$E$2010,$C103,'LAC 102_Wkst'!$G$7:$G$2010,$D103,'LAC 102_Wkst'!$L$7:$L$2010,"02",'LAC 102_Wkst'!$N$7:$N$2010,"P3")</f>
        <v>0</v>
      </c>
      <c r="H103" s="410">
        <f>SUMIFS('LAC 102_Wkst'!$Q$7:$Q$2010,'LAC 102_Wkst'!$D$7:$D$2010,$C$7,'LAC 102_Wkst'!$I$7:$I$2010,$C$9,'LAC 102_Wkst'!$E$7:$E$2010,$C103,'LAC 102_Wkst'!$G$7:$G$2010,$D103,'LAC 102_Wkst'!$L$7:$L$2010,"01",'LAC 102_Wkst'!$N$7:$N$2010,"P4")+SUMIFS('LAC 102_Wkst'!$Q$7:$Q$2010,'LAC 102_Wkst'!$D$7:$D$2010,$C$7,'LAC 102_Wkst'!$I$7:$I$2010,$C$9,'LAC 102_Wkst'!$E$7:$E$2010,$C103,'LAC 102_Wkst'!$G$7:$G$2010,$D103,'LAC 102_Wkst'!$L$7:$L$2010,"02",'LAC 102_Wkst'!$N$7:$N$2010,"P4")</f>
        <v>0</v>
      </c>
      <c r="I103" s="411">
        <f>SUMIFS('LAC 102_Wkst'!$AF$7:$AF$2010,'LAC 102_Wkst'!$D$7:$D$2010,$C$7,'LAC 102_Wkst'!$I$7:$I$2010,$C$9,'LAC 102_Wkst'!$E$7:$E$2010,$C103,'LAC 102_Wkst'!$G$7:$G$2010,$D103,'LAC 102_Wkst'!$L$7:$L$2010,"01",'LAC 102_Wkst'!$N$7:$N$2010,"P4")+SUMIFS('LAC 102_Wkst'!$AF$7:$AF$2010,'LAC 102_Wkst'!$D$7:$D$2010,$C$7,'LAC 102_Wkst'!$I$7:$I$2010,$C$9,'LAC 102_Wkst'!$E$7:$E$2010,$C103,'LAC 102_Wkst'!$G$7:$G$2010,$D103,'LAC 102_Wkst'!$L$7:$L$2010,"02",'LAC 102_Wkst'!$N$7:$N$2010,"P4")</f>
        <v>0</v>
      </c>
      <c r="J103" s="410">
        <f>SUMIFS('LAC 102_Wkst'!$Q$7:$Q$2010,'LAC 102_Wkst'!$D$7:$D$2010,$C$7,'LAC 102_Wkst'!$I$7:$I$2010,$C$9,'LAC 102_Wkst'!$E$7:$E$2010,$C103,'LAC 102_Wkst'!$G$7:$G$2010,$D103,'LAC 102_Wkst'!$L$7:$L$2010,"01",'LAC 102_Wkst'!$N$7:$N$2010,"P5")+SUMIFS('LAC 102_Wkst'!$Q$7:$Q$2010,'LAC 102_Wkst'!$D$7:$D$2010,$C$7,'LAC 102_Wkst'!$I$7:$I$2010,$C$9,'LAC 102_Wkst'!$E$7:$E$2010,$C103,'LAC 102_Wkst'!$G$7:$G$2010,$D103,'LAC 102_Wkst'!$L$7:$L$2010,"02",'LAC 102_Wkst'!$N$7:$N$2010,"P5")</f>
        <v>0</v>
      </c>
      <c r="K103" s="411">
        <f>SUMIFS('LAC 102_Wkst'!$AF$7:$AF$2010,'LAC 102_Wkst'!$D$7:$D$2010,$C$7,'LAC 102_Wkst'!$I$7:$I$2010,$C$9,'LAC 102_Wkst'!$E$7:$E$2010,$C103,'LAC 102_Wkst'!$G$7:$G$2010,$D103,'LAC 102_Wkst'!$L$7:$L$2010,"01",'LAC 102_Wkst'!$N$7:$N$2010,"P5")+SUMIFS('LAC 102_Wkst'!$AF$7:$AF$2010,'LAC 102_Wkst'!$D$7:$D$2010,$C$7,'LAC 102_Wkst'!$I$7:$I$2010,$C$9,'LAC 102_Wkst'!$E$7:$E$2010,$C103,'LAC 102_Wkst'!$G$7:$G$2010,$D103,'LAC 102_Wkst'!$L$7:$L$2010,"02",'LAC 102_Wkst'!$N$7:$N$2010,"P5")</f>
        <v>0</v>
      </c>
      <c r="L103" s="410">
        <f>SUMIFS('LAC 102_Wkst'!$Q$7:$Q$2010,'LAC 102_Wkst'!$D$7:$D$2010,$C$7,'LAC 102_Wkst'!$I$7:$I$2010,$C$9,'LAC 102_Wkst'!$E$7:$E$2010,$C103,'LAC 102_Wkst'!$G$7:$G$2010,$D103,'LAC 102_Wkst'!$L$7:$L$2010,"03",'LAC 102_Wkst'!$N$7:$N$2010,"P1")+SUMIFS('LAC 102_Wkst'!$Q$7:$Q$2010,'LAC 102_Wkst'!$D$7:$D$2010,$C$7,'LAC 102_Wkst'!$I$7:$I$2010,$C$9,'LAC 102_Wkst'!$E$7:$E$2010,$C103,'LAC 102_Wkst'!$G$7:$G$2010,$D103,'LAC 102_Wkst'!$L$7:$L$2010,"03",'LAC 102_Wkst'!$N$7:$N$2010,"P2")+SUMIFS('LAC 102_Wkst'!$Q$7:$Q$2010,'LAC 102_Wkst'!$D$7:$D$2010,$C$7,'LAC 102_Wkst'!$I$7:$I$2010,$C$9,'LAC 102_Wkst'!$E$7:$E$2010,$C103,'LAC 102_Wkst'!$G$7:$G$2010,$D103,'LAC 102_Wkst'!$L$7:$L$2010,"03",'LAC 102_Wkst'!$N$7:$N$2010,"P3")+SUMIFS('LAC 102_Wkst'!$Q$7:$Q$2010,'LAC 102_Wkst'!$D$7:$D$2010,$C$7,'LAC 102_Wkst'!$I$7:$I$2010,$C$9,'LAC 102_Wkst'!$E$7:$E$2010,$C103,'LAC 102_Wkst'!$G$7:$G$2010,$D103,'LAC 102_Wkst'!$L$7:$L$2010,"04",'LAC 102_Wkst'!$N$7:$N$2010,"P1")+SUMIFS('LAC 102_Wkst'!$Q$7:$Q$2010,'LAC 102_Wkst'!$D$7:$D$2010,$C$7,'LAC 102_Wkst'!$I$7:$I$2010,$C$9,'LAC 102_Wkst'!$E$7:$E$2010,$C103,'LAC 102_Wkst'!$G$7:$G$2010,$D103,'LAC 102_Wkst'!$L$7:$L$2010,"04",'LAC 102_Wkst'!$N$7:$N$2010,"P2")+SUMIFS('LAC 102_Wkst'!$Q$7:$Q$2010,'LAC 102_Wkst'!$D$7:$D$2010,$C$7,'LAC 102_Wkst'!$I$7:$I$2010,$C$9,'LAC 102_Wkst'!$E$7:$E$2010,$C103,'LAC 102_Wkst'!$G$7:$G$2010,$D103,'LAC 102_Wkst'!$L$7:$L$2010,"04",'LAC 102_Wkst'!$N$7:$N$2010,"P3")</f>
        <v>0</v>
      </c>
      <c r="M103" s="411">
        <f>SUMIFS('LAC 102_Wkst'!$AF$7:$AF$2010,'LAC 102_Wkst'!$D$7:$D$2010,$C$7,'LAC 102_Wkst'!$I$7:$I$2010,$C$9,'LAC 102_Wkst'!$E$7:$E$2010,$C103,'LAC 102_Wkst'!$G$7:$G$2010,$D103,'LAC 102_Wkst'!$L$7:$L$2010,"03",'LAC 102_Wkst'!$N$7:$N$2010,"P1")+SUMIFS('LAC 102_Wkst'!$AF$7:$AF$2010,'LAC 102_Wkst'!$D$7:$D$2010,$C$7,'LAC 102_Wkst'!$I$7:$I$2010,$C$9,'LAC 102_Wkst'!$E$7:$E$2010,$C103,'LAC 102_Wkst'!$G$7:$G$2010,$D103,'LAC 102_Wkst'!$L$7:$L$2010,"03",'LAC 102_Wkst'!$N$7:$N$2010,"P2")+SUMIFS('LAC 102_Wkst'!$AF$7:$AF$2010,'LAC 102_Wkst'!$D$7:$D$2010,$C$7,'LAC 102_Wkst'!$I$7:$I$2010,$C$9,'LAC 102_Wkst'!$E$7:$E$2010,$C103,'LAC 102_Wkst'!$G$7:$G$2010,$D103,'LAC 102_Wkst'!$L$7:$L$2010,"03",'LAC 102_Wkst'!$N$7:$N$2010,"P3")+SUMIFS('LAC 102_Wkst'!$AF$7:$AF$2010,'LAC 102_Wkst'!$D$7:$D$2010,$C$7,'LAC 102_Wkst'!$I$7:$I$2010,$C$9,'LAC 102_Wkst'!$E$7:$E$2010,$C103,'LAC 102_Wkst'!$G$7:$G$2010,$D103,'LAC 102_Wkst'!$L$7:$L$2010,"04",'LAC 102_Wkst'!$N$7:$N$2010,"P1")+SUMIFS('LAC 102_Wkst'!$AF$7:$AF$2010,'LAC 102_Wkst'!$D$7:$D$2010,$C$7,'LAC 102_Wkst'!$I$7:$I$2010,$C$9,'LAC 102_Wkst'!$E$7:$E$2010,$C103,'LAC 102_Wkst'!$G$7:$G$2010,$D103,'LAC 102_Wkst'!$L$7:$L$2010,"04",'LAC 102_Wkst'!$N$7:$N$2010,"P2")+SUMIFS('LAC 102_Wkst'!$AF$7:$AF$2010,'LAC 102_Wkst'!$D$7:$D$2010,$C$7,'LAC 102_Wkst'!$I$7:$I$2010,$C$9,'LAC 102_Wkst'!$E$7:$E$2010,$C103,'LAC 102_Wkst'!$G$7:$G$2010,$D103,'LAC 102_Wkst'!$L$7:$L$2010,"04",'LAC 102_Wkst'!$N$7:$N$2010,"P3")</f>
        <v>0</v>
      </c>
      <c r="N103" s="410">
        <f>SUMIFS('LAC 102_Wkst'!$Q$7:$Q$2010,'LAC 102_Wkst'!$D$7:$D$2010,$C$7,'LAC 102_Wkst'!$I$7:$I$2010,$C$9,'LAC 102_Wkst'!$E$7:$E$2010,$C103,'LAC 102_Wkst'!$G$7:$G$2010,$D103,'LAC 102_Wkst'!$L$7:$L$2010,"03",'LAC 102_Wkst'!$N$7:$N$2010,"P4")+SUMIFS('LAC 102_Wkst'!$Q$7:$Q$2010,'LAC 102_Wkst'!$D$7:$D$2010,$C$7,'LAC 102_Wkst'!$I$7:$I$2010,$C$9,'LAC 102_Wkst'!$E$7:$E$2010,$C103,'LAC 102_Wkst'!$G$7:$G$2010,$D103,'LAC 102_Wkst'!$L$7:$L$2010,"04",'LAC 102_Wkst'!$N$7:$N$2010,"P4")</f>
        <v>0</v>
      </c>
      <c r="O103" s="411">
        <f>SUMIFS('LAC 102_Wkst'!$AF$7:$AF$2010,'LAC 102_Wkst'!$D$7:$D$2010,$C$7,'LAC 102_Wkst'!$I$7:$I$2010,$C$9,'LAC 102_Wkst'!$E$7:$E$2010,$C103,'LAC 102_Wkst'!$G$7:$G$2010,$D103,'LAC 102_Wkst'!$L$7:$L$2010,"03",'LAC 102_Wkst'!$N$7:$N$2010,"P4")+SUMIFS('LAC 102_Wkst'!$AF$7:$AF$2010,'LAC 102_Wkst'!$D$7:$D$2010,$C$7,'LAC 102_Wkst'!$I$7:$I$2010,$C$9,'LAC 102_Wkst'!$E$7:$E$2010,$C103,'LAC 102_Wkst'!$G$7:$G$2010,$D103,'LAC 102_Wkst'!$L$7:$L$2010,"04",'LAC 102_Wkst'!$N$7:$N$2010,"P4")</f>
        <v>0</v>
      </c>
      <c r="P103" s="410">
        <f>SUMIFS('LAC 102_Wkst'!$Q$7:$Q$2010,'LAC 102_Wkst'!$D$7:$D$2010,$C$7,'LAC 102_Wkst'!$I$7:$I$2010,$C$9,'LAC 102_Wkst'!$E$7:$E$2010,$C103,'LAC 102_Wkst'!$G$7:$G$2010,$D103,'LAC 102_Wkst'!$L$7:$L$2010,"03",'LAC 102_Wkst'!$N$7:$N$2010,"P5")+SUMIFS('LAC 102_Wkst'!$Q$7:$Q$2010,'LAC 102_Wkst'!$D$7:$D$2010,$C$7,'LAC 102_Wkst'!$I$7:$I$2010,$C$9,'LAC 102_Wkst'!$E$7:$E$2010,$C103,'LAC 102_Wkst'!$G$7:$G$2010,$D103,'LAC 102_Wkst'!$L$7:$L$2010,"04",'LAC 102_Wkst'!$N$7:$N$2010,"P5")</f>
        <v>0</v>
      </c>
      <c r="Q103" s="411">
        <f>SUMIFS('LAC 102_Wkst'!$AF$7:$AF$2010,'LAC 102_Wkst'!$D$7:$D$2010,$C$7,'LAC 102_Wkst'!$I$7:$I$2010,$C$9,'LAC 102_Wkst'!$E$7:$E$2010,$C103,'LAC 102_Wkst'!$G$7:$G$2010,$D103,'LAC 102_Wkst'!$L$7:$L$2010,"03",'LAC 102_Wkst'!$N$7:$N$2010,"P5")+SUMIFS('LAC 102_Wkst'!$AF$7:$AF$2010,'LAC 102_Wkst'!$D$7:$D$2010,$C$7,'LAC 102_Wkst'!$I$7:$I$2010,$C$9,'LAC 102_Wkst'!$E$7:$E$2010,$C103,'LAC 102_Wkst'!$G$7:$G$2010,$D103,'LAC 102_Wkst'!$L$7:$L$2010,"04",'LAC 102_Wkst'!$N$7:$N$2010,"P5")</f>
        <v>0</v>
      </c>
      <c r="R103" s="412">
        <f>SUMIFS('LAC 102_Wkst'!$Q$7:$Q$2010,'LAC 102_Wkst'!$D$7:$D$2010,$C$7,'LAC 102_Wkst'!$I$7:$I$2010,$C$9,'LAC 102_Wkst'!$E$7:$E$2010,$C103,'LAC 102_Wkst'!$G$7:$G$2010,$D103,'LAC 102_Wkst'!$L$7:$L$2010,"05",'LAC 102_Wkst'!$N$7:$N$2010,"P1")+SUMIFS('LAC 102_Wkst'!$Q$7:$Q$2010,'LAC 102_Wkst'!$D$7:$D$2010,$C$7,'LAC 102_Wkst'!$I$7:$I$2010,$C$9,'LAC 102_Wkst'!$E$7:$E$2010,$C103,'LAC 102_Wkst'!$G$7:$G$2010,$D103,'LAC 102_Wkst'!$L$7:$L$2010,"06",'LAC 102_Wkst'!$N$7:$N$2010,"P1")</f>
        <v>0</v>
      </c>
      <c r="S103" s="411">
        <f>SUMIFS('LAC 102_Wkst'!$AF$7:$AF$2010,'LAC 102_Wkst'!$D$7:$D$2010,$C$7,'LAC 102_Wkst'!$I$7:$I$2010,$C$9,'LAC 102_Wkst'!$E$7:$E$2010,$C103,'LAC 102_Wkst'!$G$7:$G$2010,$D103,'LAC 102_Wkst'!$L$7:$L$2010,"05",'LAC 102_Wkst'!$N$7:$N$2010,"P1")+SUMIFS('LAC 102_Wkst'!$AF$7:$AF$2010,'LAC 102_Wkst'!$D$7:$D$2010,$C$7,'LAC 102_Wkst'!$I$7:$I$2010,$C$9,'LAC 102_Wkst'!$E$7:$E$2010,$C103,'LAC 102_Wkst'!$G$7:$G$2010,$D103,'LAC 102_Wkst'!$L$7:$L$2010,"06",'LAC 102_Wkst'!$N$7:$N$2010,"P1")</f>
        <v>0</v>
      </c>
      <c r="T103" s="410">
        <f>SUMIFS('LAC 102_Wkst'!$Q$7:$Q$2010,'LAC 102_Wkst'!$D$7:$D$2010,$C$7,'LAC 102_Wkst'!$I$7:$I$2010,$C$9,'LAC 102_Wkst'!$E$7:$E$2010,$C103,'LAC 102_Wkst'!$G$7:$G$2010,$D103,'LAC 102_Wkst'!$L$7:$L$2010,"05",'LAC 102_Wkst'!$N$7:$N$2010,"P2")+SUMIFS('LAC 102_Wkst'!$Q$7:$Q$2010,'LAC 102_Wkst'!$D$7:$D$2010,$C$7,'LAC 102_Wkst'!$I$7:$I$2010,$C$9,'LAC 102_Wkst'!$E$7:$E$2010,$C103,'LAC 102_Wkst'!$G$7:$G$2010,$D103,'LAC 102_Wkst'!$L$7:$L$2010,"06",'LAC 102_Wkst'!$N$7:$N$2010,"P2")+SUMIFS('LAC 102_Wkst'!$Q$7:$Q$2010,'LAC 102_Wkst'!$D$7:$D$2010,$C$7,'LAC 102_Wkst'!$I$7:$I$2010,$C$9,'LAC 102_Wkst'!$E$7:$E$2010,$C103,'LAC 102_Wkst'!$G$7:$G$2010,$D103,'LAC 102_Wkst'!$L$7:$L$2010,"05",'LAC 102_Wkst'!$N$7:$N$2010,"P3")+SUMIFS('LAC 102_Wkst'!$Q$7:$Q$2010,'LAC 102_Wkst'!$D$7:$D$2010,$C$7,'LAC 102_Wkst'!$I$7:$I$2010,$C$9,'LAC 102_Wkst'!$E$7:$E$2010,$C103,'LAC 102_Wkst'!$G$7:$G$2010,$D103,'LAC 102_Wkst'!$L$7:$L$2010,"06",'LAC 102_Wkst'!$N$7:$N$2010,"P3")</f>
        <v>0</v>
      </c>
      <c r="U103" s="411">
        <f>SUMIFS('LAC 102_Wkst'!$AF$7:$AF$2010,'LAC 102_Wkst'!$D$7:$D$2010,$C$7,'LAC 102_Wkst'!$I$7:$I$2010,$C$9,'LAC 102_Wkst'!$E$7:$E$2010,$C103,'LAC 102_Wkst'!$G$7:$G$2010,$D103,'LAC 102_Wkst'!$L$7:$L$2010,"05",'LAC 102_Wkst'!$N$7:$N$2010,"P2")+SUMIFS('LAC 102_Wkst'!$AF$7:$AF$2010,'LAC 102_Wkst'!$D$7:$D$2010,$C$7,'LAC 102_Wkst'!$I$7:$I$2010,$C$9,'LAC 102_Wkst'!$E$7:$E$2010,$C103,'LAC 102_Wkst'!$G$7:$G$2010,$D103,'LAC 102_Wkst'!$L$7:$L$2010,"06",'LAC 102_Wkst'!$N$7:$N$2010,"P2")+SUMIFS('LAC 102_Wkst'!$AF$7:$AF$2010,'LAC 102_Wkst'!$D$7:$D$2010,$C$7,'LAC 102_Wkst'!$I$7:$I$2010,$C$9,'LAC 102_Wkst'!$E$7:$E$2010,$C103,'LAC 102_Wkst'!$G$7:$G$2010,$D103,'LAC 102_Wkst'!$L$7:$L$2010,"05",'LAC 102_Wkst'!$N$7:$N$2010,"P3")+SUMIFS('LAC 102_Wkst'!$AF$7:$AF$2010,'LAC 102_Wkst'!$D$7:$D$2010,$C$7,'LAC 102_Wkst'!$I$7:$I$2010,$C$9,'LAC 102_Wkst'!$E$7:$E$2010,$C103,'LAC 102_Wkst'!$G$7:$G$2010,$D103,'LAC 102_Wkst'!$L$7:$L$2010,"06",'LAC 102_Wkst'!$N$7:$N$2010,"P3")</f>
        <v>0</v>
      </c>
      <c r="V103" s="410">
        <f>SUMIFS('LAC 102_Wkst'!$Q$7:$Q$2010,'LAC 102_Wkst'!$D$7:$D$2010,$C$7,'LAC 102_Wkst'!$I$7:$I$2010,$C$9,'LAC 102_Wkst'!$E$7:$E$2010,$C103,'LAC 102_Wkst'!$G$7:$G$2010,$D103,'LAC 102_Wkst'!$L$7:$L$2010,"05",'LAC 102_Wkst'!$N$7:$N$2010,"P4")+SUMIFS('LAC 102_Wkst'!$Q$7:$Q$2010,'LAC 102_Wkst'!$D$7:$D$2010,$C$7,'LAC 102_Wkst'!$I$7:$I$2010,$C$9,'LAC 102_Wkst'!$E$7:$E$2010,$C103,'LAC 102_Wkst'!$G$7:$G$2010,$D103,'LAC 102_Wkst'!$L$7:$L$2010,"06",'LAC 102_Wkst'!$N$7:$N$2010,"P4")</f>
        <v>0</v>
      </c>
      <c r="W103" s="411">
        <f>SUMIFS('LAC 102_Wkst'!$AF$7:$AF$2010,'LAC 102_Wkst'!$D$7:$D$2010,$C$7,'LAC 102_Wkst'!$I$7:$I$2010,$C$9,'LAC 102_Wkst'!$E$7:$E$2010,$C103,'LAC 102_Wkst'!$G$7:$G$2010,$D103,'LAC 102_Wkst'!$L$7:$L$2010,"05",'LAC 102_Wkst'!$N$7:$N$2010,"P4")+SUMIFS('LAC 102_Wkst'!$AF$7:$AF$2010,'LAC 102_Wkst'!$D$7:$D$2010,$C$7,'LAC 102_Wkst'!$I$7:$I$2010,$C$9,'LAC 102_Wkst'!$E$7:$E$2010,$C103,'LAC 102_Wkst'!$G$7:$G$2010,$D103,'LAC 102_Wkst'!$L$7:$L$2010,"06",'LAC 102_Wkst'!$N$7:$N$2010,"P4")</f>
        <v>0</v>
      </c>
      <c r="X103" s="410">
        <f>SUMIFS('LAC 102_Wkst'!$Q$7:$Q$2010,'LAC 102_Wkst'!$D$7:$D$2010,$C$7,'LAC 102_Wkst'!$I$7:$I$2010,$C$9,'LAC 102_Wkst'!$E$7:$E$2010,$C103,'LAC 102_Wkst'!$G$7:$G$2010,$D103,'LAC 102_Wkst'!$L$7:$L$2010,"05",'LAC 102_Wkst'!$N$7:$N$2010,"P5")+SUMIFS('LAC 102_Wkst'!$Q$7:$Q$2010,'LAC 102_Wkst'!$D$7:$D$2010,$C$7,'LAC 102_Wkst'!$I$7:$I$2010,$C$9,'LAC 102_Wkst'!$E$7:$E$2010,$C103,'LAC 102_Wkst'!$G$7:$G$2010,$D103,'LAC 102_Wkst'!$L$7:$L$2010,"06",'LAC 102_Wkst'!$N$7:$N$2010,"P5")</f>
        <v>0</v>
      </c>
      <c r="Y103" s="411">
        <f>SUMIFS('LAC 102_Wkst'!$AF$7:$AF$2010,'LAC 102_Wkst'!$D$7:$D$2010,$C$7,'LAC 102_Wkst'!$I$7:$I$2010,$C$9,'LAC 102_Wkst'!$E$7:$E$2010,$C103,'LAC 102_Wkst'!$G$7:$G$2010,$D103,'LAC 102_Wkst'!$L$7:$L$2010,"05",'LAC 102_Wkst'!$N$7:$N$2010,"P5")+SUMIFS('LAC 102_Wkst'!$AF$7:$AF$2010,'LAC 102_Wkst'!$D$7:$D$2010,$C$7,'LAC 102_Wkst'!$I$7:$I$2010,$C$9,'LAC 102_Wkst'!$E$7:$E$2010,$C103,'LAC 102_Wkst'!$G$7:$G$2010,$D103,'LAC 102_Wkst'!$L$7:$L$2010,"06",'LAC 102_Wkst'!$N$7:$N$2010,"P5")</f>
        <v>0</v>
      </c>
      <c r="Z103" s="410">
        <f>SUMIFS('LAC 102_Wkst'!$Q$7:$Q$2010,'LAC 102_Wkst'!$D$7:$D$2010,$C$7,'LAC 102_Wkst'!$I$7:$I$2010,$C$9,'LAC 102_Wkst'!$E$7:$E$2010,$C103,'LAC 102_Wkst'!$G$7:$G$2010,$D103,'LAC 102_Wkst'!$L$7:$L$2010,"07",'LAC 102_Wkst'!$N$7:$N$2010,"P1")+SUMIFS('LAC 102_Wkst'!$Q$7:$Q$2010,'LAC 102_Wkst'!$D$7:$D$2010,$C$7,'LAC 102_Wkst'!$I$7:$I$2010,$C$9,'LAC 102_Wkst'!$E$7:$E$2010,$C103,'LAC 102_Wkst'!$G$7:$G$2010,$D103,'LAC 102_Wkst'!$L$7:$L$2010,"07",'LAC 102_Wkst'!$N$7:$N$2010,"P2")+SUMIFS('LAC 102_Wkst'!$Q$7:$Q$2010,'LAC 102_Wkst'!$D$7:$D$2010,$C$7,'LAC 102_Wkst'!$I$7:$I$2010,$C$9,'LAC 102_Wkst'!$E$7:$E$2010,$C103,'LAC 102_Wkst'!$G$7:$G$2010,$D103,'LAC 102_Wkst'!$L$7:$L$2010,"07",'LAC 102_Wkst'!$N$7:$N$2010,"P3")</f>
        <v>0</v>
      </c>
      <c r="AA103" s="411">
        <f>SUMIFS('LAC 102_Wkst'!$AF$7:$AF$2010,'LAC 102_Wkst'!$D$7:$D$2010,$C$7,'LAC 102_Wkst'!$I$7:$I$2010,$C$9,'LAC 102_Wkst'!$E$7:$E$2010,$C103,'LAC 102_Wkst'!$G$7:$G$2010,$D103,'LAC 102_Wkst'!$L$7:$L$2010,"07",'LAC 102_Wkst'!$N$7:$N$2010,"P1")+SUMIFS('LAC 102_Wkst'!$AF$7:$AF$2010,'LAC 102_Wkst'!$D$7:$D$2010,$C$7,'LAC 102_Wkst'!$I$7:$I$2010,$C$9,'LAC 102_Wkst'!$E$7:$E$2010,$C103,'LAC 102_Wkst'!$G$7:$G$2010,$D103,'LAC 102_Wkst'!$L$7:$L$2010,"07",'LAC 102_Wkst'!$N$7:$N$2010,"P2")+SUMIFS('LAC 102_Wkst'!$AF$7:$AF$2010,'LAC 102_Wkst'!$D$7:$D$2010,$C$7,'LAC 102_Wkst'!$I$7:$I$2010,$C$9,'LAC 102_Wkst'!$E$7:$E$2010,$C103,'LAC 102_Wkst'!$G$7:$G$2010,$D103,'LAC 102_Wkst'!$L$7:$L$2010,"07",'LAC 102_Wkst'!$N$7:$N$2010,"P3")</f>
        <v>0</v>
      </c>
      <c r="AB103" s="410">
        <f>SUMIFS('LAC 102_Wkst'!$Q$7:$Q$2010,'LAC 102_Wkst'!$D$7:$D$2010,$C$7,'LAC 102_Wkst'!$I$7:$I$2010,$C$9,'LAC 102_Wkst'!$E$7:$E$2010,$C103,'LAC 102_Wkst'!$G$7:$G$2010,$D103,'LAC 102_Wkst'!$L$7:$L$2010,"07",'LAC 102_Wkst'!$N$7:$N$2010,"P4")</f>
        <v>0</v>
      </c>
      <c r="AC103" s="411">
        <f>SUMIFS('LAC 102_Wkst'!$AF$7:$AF$2010,'LAC 102_Wkst'!$D$7:$D$2010,$C$7,'LAC 102_Wkst'!$I$7:$I$2010,$C$9,'LAC 102_Wkst'!$E$7:$E$2010,$C103,'LAC 102_Wkst'!$G$7:$G$2010,$D103,'LAC 102_Wkst'!$L$7:$L$2010,"07",'LAC 102_Wkst'!$N$7:$N$2010,"P4")</f>
        <v>0</v>
      </c>
      <c r="AD103" s="410">
        <f>SUMIFS('LAC 102_Wkst'!$Q$7:$Q$2010,'LAC 102_Wkst'!$D$7:$D$2010,$C$7,'LAC 102_Wkst'!$I$7:$I$2010,$C$9,'LAC 102_Wkst'!$E$7:$E$2010,$C103,'LAC 102_Wkst'!$G$7:$G$2010,$D103,'LAC 102_Wkst'!$L$7:$L$2010,"07",'LAC 102_Wkst'!$N$7:$N$2010,"P5")</f>
        <v>0</v>
      </c>
      <c r="AE103" s="411">
        <f>SUMIFS('LAC 102_Wkst'!$AF$7:$AF$2010,'LAC 102_Wkst'!$D$7:$D$2010,$C$7,'LAC 102_Wkst'!$I$7:$I$2010,$C$9,'LAC 102_Wkst'!$E$7:$E$2010,$C103,'LAC 102_Wkst'!$G$7:$G$2010,$D103,'LAC 102_Wkst'!$L$7:$L$2010,"07",'LAC 102_Wkst'!$N$7:$N$2010,"P5")</f>
        <v>0</v>
      </c>
      <c r="AF103" s="410">
        <f>SUMIFS('LAC 102_Wkst'!$Q$7:$Q$2010,'LAC 102_Wkst'!$D$7:$D$2010,$C$7,'LAC 102_Wkst'!$I$7:$I$2010,$C$9,'LAC 102_Wkst'!$E$7:$E$2010,$C103,'LAC 102_Wkst'!$G$7:$G$2010,$D103,'LAC 102_Wkst'!$L$7:$L$2010,"08",'LAC 102_Wkst'!$N$7:$N$2010,"P1")+SUMIFS('LAC 102_Wkst'!$Q$7:$Q$2010,'LAC 102_Wkst'!$D$7:$D$2010,$C$7,'LAC 102_Wkst'!$I$7:$I$2010,$C$9,'LAC 102_Wkst'!$E$7:$E$2010,$C103,'LAC 102_Wkst'!$G$7:$G$2010,$D103,'LAC 102_Wkst'!$L$7:$L$2010,"08",'LAC 102_Wkst'!$N$7:$N$2010,"P2")+SUMIFS('LAC 102_Wkst'!$Q$7:$Q$2010,'LAC 102_Wkst'!$D$7:$D$2010,$C$7,'LAC 102_Wkst'!$I$7:$I$2010,$C$9,'LAC 102_Wkst'!$E$7:$E$2010,$C103,'LAC 102_Wkst'!$G$7:$G$2010,$D103,'LAC 102_Wkst'!$L$7:$L$2010,"08",'LAC 102_Wkst'!$N$7:$N$2010,"P3")</f>
        <v>0</v>
      </c>
      <c r="AG103" s="411">
        <f>SUMIFS('LAC 102_Wkst'!$AF$7:$AF$2010,'LAC 102_Wkst'!$D$7:$D$2010,$C$7,'LAC 102_Wkst'!$I$7:$I$2010,$C$9,'LAC 102_Wkst'!$E$7:$E$2010,$C103,'LAC 102_Wkst'!$G$7:$G$2010,$D103,'LAC 102_Wkst'!$L$7:$L$2010,"08",'LAC 102_Wkst'!$N$7:$N$2010,"P1")+SUMIFS('LAC 102_Wkst'!$AF$7:$AF$2010,'LAC 102_Wkst'!$D$7:$D$2010,$C$7,'LAC 102_Wkst'!$I$7:$I$2010,$C$9,'LAC 102_Wkst'!$E$7:$E$2010,$C103,'LAC 102_Wkst'!$G$7:$G$2010,$D103,'LAC 102_Wkst'!$L$7:$L$2010,"08",'LAC 102_Wkst'!$N$7:$N$2010,"P2")+SUMIFS('LAC 102_Wkst'!$AF$7:$AF$2010,'LAC 102_Wkst'!$D$7:$D$2010,$C$7,'LAC 102_Wkst'!$I$7:$I$2010,$C$9,'LAC 102_Wkst'!$E$7:$E$2010,$C103,'LAC 102_Wkst'!$G$7:$G$2010,$D103,'LAC 102_Wkst'!$L$7:$L$2010,"08",'LAC 102_Wkst'!$N$7:$N$2010,"P3")</f>
        <v>0</v>
      </c>
      <c r="AH103" s="410">
        <f>SUMIFS('LAC 102_Wkst'!$Q$7:$Q$2010,'LAC 102_Wkst'!$D$7:$D$2010,$C$7,'LAC 102_Wkst'!$I$7:$I$2010,$C$9,'LAC 102_Wkst'!$E$7:$E$2010,$C103,'LAC 102_Wkst'!$G$7:$G$2010,$D103,'LAC 102_Wkst'!$L$7:$L$2010,"08",'LAC 102_Wkst'!$N$7:$N$2010,"P4")</f>
        <v>0</v>
      </c>
      <c r="AI103" s="411">
        <f>SUMIFS('LAC 102_Wkst'!$AF$7:$AF$2010,'LAC 102_Wkst'!$D$7:$D$2010,$C$7,'LAC 102_Wkst'!$I$7:$I$2010,$C$9,'LAC 102_Wkst'!$E$7:$E$2010,$C103,'LAC 102_Wkst'!$G$7:$G$2010,$D103,'LAC 102_Wkst'!$L$7:$L$2010,"08",'LAC 102_Wkst'!$N$7:$N$2010,"P4")</f>
        <v>0</v>
      </c>
      <c r="AJ103" s="410">
        <f>SUMIFS('LAC 102_Wkst'!$Q$7:$Q$2010,'LAC 102_Wkst'!$D$7:$D$2010,$C$7,'LAC 102_Wkst'!$I$7:$I$2010,$C$9,'LAC 102_Wkst'!$E$7:$E$2010,$C103,'LAC 102_Wkst'!$G$7:$G$2010,$D103,'LAC 102_Wkst'!$L$7:$L$2010,"08",'LAC 102_Wkst'!$N$7:$N$2010,"P5")</f>
        <v>0</v>
      </c>
      <c r="AK103" s="411">
        <f>SUMIFS('LAC 102_Wkst'!$AF$7:$AF$2010,'LAC 102_Wkst'!$D$7:$D$2010,$C$7,'LAC 102_Wkst'!$I$7:$I$2010,$C$9,'LAC 102_Wkst'!$E$7:$E$2010,$C103,'LAC 102_Wkst'!$G$7:$G$2010,$D103,'LAC 102_Wkst'!$L$7:$L$2010,"08",'LAC 102_Wkst'!$N$7:$N$2010,"P5")</f>
        <v>0</v>
      </c>
      <c r="AL103" s="410">
        <f>SUMIFS('LAC 102_Wkst'!$Q$7:$Q$2010,'LAC 102_Wkst'!$D$7:$D$2010,$C$7,'LAC 102_Wkst'!$I$7:$I$2010,$C$9,'LAC 102_Wkst'!$E$7:$E$2010,$C103,'LAC 102_Wkst'!$G$7:$G$2010,$D103,'LAC 102_Wkst'!$L$7:$L$2010,"09",'LAC 102_Wkst'!$N$7:$N$2010,"P1")+SUMIFS('LAC 102_Wkst'!$Q$7:$Q$2010,'LAC 102_Wkst'!$D$7:$D$2010,$C$7,'LAC 102_Wkst'!$I$7:$I$2010,$C$9,'LAC 102_Wkst'!$E$7:$E$2010,$C103,'LAC 102_Wkst'!$G$7:$G$2010,$D103,'LAC 102_Wkst'!$L$7:$L$2010,"09",'LAC 102_Wkst'!$N$7:$N$2010,"P2")+SUMIFS('LAC 102_Wkst'!$Q$7:$Q$2010,'LAC 102_Wkst'!$D$7:$D$2010,$C$7,'LAC 102_Wkst'!$I$7:$I$2010,$C$9,'LAC 102_Wkst'!$E$7:$E$2010,$C103,'LAC 102_Wkst'!$G$7:$G$2010,$D103,'LAC 102_Wkst'!$L$7:$L$2010,"09",'LAC 102_Wkst'!$N$7:$N$2010,"P3")+SUMIFS('LAC 102_Wkst'!$Q$7:$Q$2010,'LAC 102_Wkst'!$D$7:$D$2010,$C$7,'LAC 102_Wkst'!$I$7:$I$2010,$C$9,'LAC 102_Wkst'!$E$7:$E$2010,$C103,'LAC 102_Wkst'!$G$7:$G$2010,$D103,'LAC 102_Wkst'!$L$7:$L$2010,"09",'LAC 102_Wkst'!$N$7:$N$2010,"P4")</f>
        <v>0</v>
      </c>
      <c r="AM103" s="411">
        <f>SUMIFS('LAC 102_Wkst'!$AF$7:$AF$2010,'LAC 102_Wkst'!$D$7:$D$2010,$C$7,'LAC 102_Wkst'!$I$7:$I$2010,$C$9,'LAC 102_Wkst'!$E$7:$E$2010,$C103,'LAC 102_Wkst'!$G$7:$G$2010,$D103,'LAC 102_Wkst'!$L$7:$L$2010,"09",'LAC 102_Wkst'!$N$7:$N$2010,"P1")+SUMIFS('LAC 102_Wkst'!$AF$7:$AF$2010,'LAC 102_Wkst'!$D$7:$D$2010,$C$7,'LAC 102_Wkst'!$I$7:$I$2010,$C$9,'LAC 102_Wkst'!$E$7:$E$2010,$C103,'LAC 102_Wkst'!$G$7:$G$2010,$D103,'LAC 102_Wkst'!$L$7:$L$2010,"09",'LAC 102_Wkst'!$N$7:$N$2010,"P2")+SUMIFS('LAC 102_Wkst'!$AF$7:$AF$2010,'LAC 102_Wkst'!$D$7:$D$2010,$C$7,'LAC 102_Wkst'!$I$7:$I$2010,$C$9,'LAC 102_Wkst'!$E$7:$E$2010,$C103,'LAC 102_Wkst'!$G$7:$G$2010,$D103,'LAC 102_Wkst'!$L$7:$L$2010,"09",'LAC 102_Wkst'!$N$7:$N$2010,"P3")+SUMIFS('LAC 102_Wkst'!$AF$7:$AF$2010,'LAC 102_Wkst'!$D$7:$D$2010,$C$7,'LAC 102_Wkst'!$I$7:$I$2010,$C$9,'LAC 102_Wkst'!$E$7:$E$2010,$C103,'LAC 102_Wkst'!$G$7:$G$2010,$D103,'LAC 102_Wkst'!$L$7:$L$2010,"09",'LAC 102_Wkst'!$N$7:$N$2010,"P4")</f>
        <v>0</v>
      </c>
      <c r="AN103" s="410">
        <f>SUMIFS('LAC 102_Wkst'!$Q$7:$Q$2010,'LAC 102_Wkst'!$D$7:$D$2010,$C$7,'LAC 102_Wkst'!$I$7:$I$2010,$C$9,'LAC 102_Wkst'!$E$7:$E$2010,$C103,'LAC 102_Wkst'!$G$7:$G$2010,$D103,'LAC 102_Wkst'!$L$7:$L$2010,"09",'LAC 102_Wkst'!$N$7:$N$2010,"P5")</f>
        <v>0</v>
      </c>
      <c r="AO103" s="411">
        <f>SUMIFS('LAC 102_Wkst'!$AF$7:$AF$2010,'LAC 102_Wkst'!$D$7:$D$2010,$C$7,'LAC 102_Wkst'!$I$7:$I$2010,$C$9,'LAC 102_Wkst'!$E$7:$E$2010,$C103,'LAC 102_Wkst'!$G$7:$G$2010,$D103,'LAC 102_Wkst'!$L$7:$L$2010,"09",'LAC 102_Wkst'!$N$7:$N$2010,"P5")</f>
        <v>0</v>
      </c>
      <c r="AP103" s="410">
        <f>SUMIFS('LAC 102_Wkst'!$Q$7:$Q$2010,'LAC 102_Wkst'!$D$7:$D$2010,$C$7,'LAC 102_Wkst'!$I$7:$I$2010,$C$9,'LAC 102_Wkst'!$E$7:$E$2010,$C103,'LAC 102_Wkst'!$G$7:$G$2010,$D103,'LAC 102_Wkst'!$L$7:$L$2010,"10",'LAC 102_Wkst'!$N$7:$N$2010,"P1")+SUMIFS('LAC 102_Wkst'!$Q$7:$Q$2010,'LAC 102_Wkst'!$D$7:$D$2010,$C$7,'LAC 102_Wkst'!$I$7:$I$2010,$C$9,'LAC 102_Wkst'!$E$7:$E$2010,$C103,'LAC 102_Wkst'!$G$7:$G$2010,$D103,'LAC 102_Wkst'!$L$7:$L$2010,"10",'LAC 102_Wkst'!$N$7:$N$2010,"P2")+SUMIFS('LAC 102_Wkst'!$Q$7:$Q$2010,'LAC 102_Wkst'!$D$7:$D$2010,$C$7,'LAC 102_Wkst'!$I$7:$I$2010,$C$9,'LAC 102_Wkst'!$E$7:$E$2010,$C103,'LAC 102_Wkst'!$G$7:$G$2010,$D103,'LAC 102_Wkst'!$L$7:$L$2010,"10",'LAC 102_Wkst'!$N$7:$N$2010,"P3")+SUMIFS('LAC 102_Wkst'!$Q$7:$Q$2010,'LAC 102_Wkst'!$D$7:$D$2010,$C$7,'LAC 102_Wkst'!$I$7:$I$2010,$C$9,'LAC 102_Wkst'!$E$7:$E$2010,$C103,'LAC 102_Wkst'!$G$7:$G$2010,$D103,'LAC 102_Wkst'!$L$7:$L$2010,"10",'LAC 102_Wkst'!$N$7:$N$2010,"P4")</f>
        <v>0</v>
      </c>
      <c r="AQ103" s="411">
        <f>SUMIFS('LAC 102_Wkst'!$AF$7:$AF$2010,'LAC 102_Wkst'!$D$7:$D$2010,$C$7,'LAC 102_Wkst'!$I$7:$I$2010,$C$9,'LAC 102_Wkst'!$E$7:$E$2010,$C103,'LAC 102_Wkst'!$G$7:$G$2010,$D103,'LAC 102_Wkst'!$L$7:$L$2010,"10",'LAC 102_Wkst'!$N$7:$N$2010,"P1")+SUMIFS('LAC 102_Wkst'!$AF$7:$AF$2010,'LAC 102_Wkst'!$D$7:$D$2010,$C$7,'LAC 102_Wkst'!$I$7:$I$2010,$C$9,'LAC 102_Wkst'!$E$7:$E$2010,$C103,'LAC 102_Wkst'!$G$7:$G$2010,$D103,'LAC 102_Wkst'!$L$7:$L$2010,"10",'LAC 102_Wkst'!$N$7:$N$2010,"P2")+SUMIFS('LAC 102_Wkst'!$AF$7:$AF$2010,'LAC 102_Wkst'!$D$7:$D$2010,$C$7,'LAC 102_Wkst'!$I$7:$I$2010,$C$9,'LAC 102_Wkst'!$E$7:$E$2010,$C103,'LAC 102_Wkst'!$G$7:$G$2010,$D103,'LAC 102_Wkst'!$L$7:$L$2010,"10",'LAC 102_Wkst'!$N$7:$N$2010,"P3")+SUMIFS('LAC 102_Wkst'!$AF$7:$AF$2010,'LAC 102_Wkst'!$D$7:$D$2010,$C$7,'LAC 102_Wkst'!$I$7:$I$2010,$C$9,'LAC 102_Wkst'!$E$7:$E$2010,$C103,'LAC 102_Wkst'!$G$7:$G$2010,$D103,'LAC 102_Wkst'!$L$7:$L$2010,"10",'LAC 102_Wkst'!$N$7:$N$2010,"P4")</f>
        <v>0</v>
      </c>
      <c r="AR103" s="410">
        <f>SUMIFS('LAC 102_Wkst'!$Q$7:$Q$2010,'LAC 102_Wkst'!$D$7:$D$2010,$C$7,'LAC 102_Wkst'!$I$7:$I$2010,$C$9,'LAC 102_Wkst'!$E$7:$E$2010,$C103,'LAC 102_Wkst'!$G$7:$G$2010,$D103,'LAC 102_Wkst'!$L$7:$L$2010,"10",'LAC 102_Wkst'!$N$7:$N$2010,"P5")</f>
        <v>0</v>
      </c>
      <c r="AS103" s="411">
        <f>SUMIFS('LAC 102_Wkst'!$AF$7:$AF$2010,'LAC 102_Wkst'!$D$7:$D$2010,$C$7,'LAC 102_Wkst'!$I$7:$I$2010,$C$9,'LAC 102_Wkst'!$E$7:$E$2010,$C103,'LAC 102_Wkst'!$G$7:$G$2010,$D103,'LAC 102_Wkst'!$L$7:$L$2010,"10",'LAC 102_Wkst'!$N$7:$N$2010,"P5")</f>
        <v>0</v>
      </c>
      <c r="AT103" s="410">
        <f>SUMIFS('LAC 102_Wkst'!$Q$7:$Q$2010,'LAC 102_Wkst'!$D$7:$D$2010,$C$7,'LAC 102_Wkst'!$I$7:$I$2010,$C$9,'LAC 102_Wkst'!$E$7:$E$2010,$C103,'LAC 102_Wkst'!$G$7:$G$2010,$D103,'LAC 102_Wkst'!$L$7:$L$2010,"11",'LAC 102_Wkst'!$N$7:$N$2010,"P1")+SUMIFS('LAC 102_Wkst'!$Q$7:$Q$2010,'LAC 102_Wkst'!$D$7:$D$2010,$C$7,'LAC 102_Wkst'!$I$7:$I$2010,$C$9,'LAC 102_Wkst'!$E$7:$E$2010,$C103,'LAC 102_Wkst'!$G$7:$G$2010,$D103,'LAC 102_Wkst'!$L$7:$L$2010,"12",'LAC 102_Wkst'!$N$7:$N$2010,"P1")</f>
        <v>0</v>
      </c>
      <c r="AU103" s="411">
        <f>SUMIFS('LAC 102_Wkst'!$Q$7:$Q$2010,'LAC 102_Wkst'!$D$7:$D$2010,$C$7,'LAC 102_Wkst'!$I$7:$I$2010,$C$9,'LAC 102_Wkst'!$E$7:$E$2010,$C103,'LAC 102_Wkst'!$G$7:$G$2010,$D103,'LAC 102_Wkst'!$L$7:$L$2010,"13",'LAC 102_Wkst'!$N$7:$N$2010,"P5")</f>
        <v>0</v>
      </c>
      <c r="AV103" s="410">
        <f>SUMIFS('LAC 102_Wkst'!$Q$7:$Q$2010,'LAC 102_Wkst'!$D$7:$D$2010,$C$7,'LAC 102_Wkst'!$I$7:$I$2010,$C$9,'LAC 102_Wkst'!$E$7:$E$2010,$C103,'LAC 102_Wkst'!$G$7:$G$2010,$D103,'LAC 102_Wkst'!$L$7:$L$2010,"11",'LAC 102_Wkst'!$N$7:$N$2010,"P2")+SUMIFS('LAC 102_Wkst'!$Q$7:$Q$2010,'LAC 102_Wkst'!$D$7:$D$2010,$C$7,'LAC 102_Wkst'!$I$7:$I$2010,$C$9,'LAC 102_Wkst'!$E$7:$E$2010,$C103,'LAC 102_Wkst'!$G$7:$G$2010,$D103,'LAC 102_Wkst'!$L$7:$L$2010,"12",'LAC 102_Wkst'!$N$7:$N$2010,"P2")+SUMIFS('LAC 102_Wkst'!$Q$7:$Q$2010,'LAC 102_Wkst'!$D$7:$D$2010,$C$7,'LAC 102_Wkst'!$I$7:$I$2010,$C$9,'LAC 102_Wkst'!$E$7:$E$2010,$C103,'LAC 102_Wkst'!$G$7:$G$2010,$D103,'LAC 102_Wkst'!$L$7:$L$2010,"11",'LAC 102_Wkst'!$N$7:$N$2010,"P3")+SUMIFS('LAC 102_Wkst'!$Q$7:$Q$2010,'LAC 102_Wkst'!$D$7:$D$2010,$C$7,'LAC 102_Wkst'!$I$7:$I$2010,$C$9,'LAC 102_Wkst'!$E$7:$E$2010,$C103,'LAC 102_Wkst'!$G$7:$G$2010,$D103,'LAC 102_Wkst'!$L$7:$L$2010,"12",'LAC 102_Wkst'!$N$7:$N$2010,"P3")</f>
        <v>0</v>
      </c>
      <c r="AW103" s="411">
        <f>SUMIFS('LAC 102_Wkst'!$AF$7:$AF$2010,'LAC 102_Wkst'!$D$7:$D$2010,$C$7,'LAC 102_Wkst'!$I$7:$I$2010,$C$9,'LAC 102_Wkst'!$E$7:$E$2010,$C103,'LAC 102_Wkst'!$G$7:$G$2010,$D103,'LAC 102_Wkst'!$L$7:$L$2010,"11",'LAC 102_Wkst'!$N$7:$N$2010,"P2")+SUMIFS('LAC 102_Wkst'!$AF$7:$AF$2010,'LAC 102_Wkst'!$D$7:$D$2010,$C$7,'LAC 102_Wkst'!$I$7:$I$2010,$C$9,'LAC 102_Wkst'!$E$7:$E$2010,$C103,'LAC 102_Wkst'!$G$7:$G$2010,$D103,'LAC 102_Wkst'!$L$7:$L$2010,"12",'LAC 102_Wkst'!$N$7:$N$2010,"P2")+SUMIFS('LAC 102_Wkst'!$AF$7:$AF$2010,'LAC 102_Wkst'!$D$7:$D$2010,$C$7,'LAC 102_Wkst'!$I$7:$I$2010,$C$9,'LAC 102_Wkst'!$E$7:$E$2010,$C103,'LAC 102_Wkst'!$G$7:$G$2010,$D103,'LAC 102_Wkst'!$L$7:$L$2010,"11",'LAC 102_Wkst'!$N$7:$N$2010,"P3")+SUMIFS('LAC 102_Wkst'!$AF$7:$AF$2010,'LAC 102_Wkst'!$D$7:$D$2010,$C$7,'LAC 102_Wkst'!$I$7:$I$2010,$C$9,'LAC 102_Wkst'!$E$7:$E$2010,$C103,'LAC 102_Wkst'!$G$7:$G$2010,$D103,'LAC 102_Wkst'!$L$7:$L$2010,"12",'LAC 102_Wkst'!$N$7:$N$2010,"P3")</f>
        <v>0</v>
      </c>
      <c r="AX103" s="410">
        <f>SUMIFS('LAC 102_Wkst'!$Q$7:$Q$2010,'LAC 102_Wkst'!$D$7:$D$2010,$C$7,'LAC 102_Wkst'!$I$7:$I$2010,$C$9,'LAC 102_Wkst'!$E$7:$E$2010,$C103,'LAC 102_Wkst'!$G$7:$G$2010,$D103,'LAC 102_Wkst'!$L$7:$L$2010,"11",'LAC 102_Wkst'!$N$7:$N$2010,"P4")+SUMIFS('LAC 102_Wkst'!$Q$7:$Q$2010,'LAC 102_Wkst'!$D$7:$D$2010,$C$7,'LAC 102_Wkst'!$I$7:$I$2010,$C$9,'LAC 102_Wkst'!$E$7:$E$2010,$C103,'LAC 102_Wkst'!$G$7:$G$2010,$D103,'LAC 102_Wkst'!$L$7:$L$2010,"12",'LAC 102_Wkst'!$N$7:$N$2010,"P4")</f>
        <v>0</v>
      </c>
      <c r="AY103" s="411">
        <f>SUMIFS('LAC 102_Wkst'!$AF$7:$AF$2010,'LAC 102_Wkst'!$D$7:$D$2010,$C$7,'LAC 102_Wkst'!$I$7:$I$2010,$C$9,'LAC 102_Wkst'!$E$7:$E$2010,$C103,'LAC 102_Wkst'!$G$7:$G$2010,$D103,'LAC 102_Wkst'!$L$7:$L$2010,"11",'LAC 102_Wkst'!$N$7:$N$2010,"P4")+SUMIFS('LAC 102_Wkst'!$AF$7:$AF$2010,'LAC 102_Wkst'!$D$7:$D$2010,$C$7,'LAC 102_Wkst'!$I$7:$I$2010,$C$9,'LAC 102_Wkst'!$E$7:$E$2010,$C103,'LAC 102_Wkst'!$G$7:$G$2010,$D103,'LAC 102_Wkst'!$L$7:$L$2010,"12",'LAC 102_Wkst'!$N$7:$N$2010,"P4")</f>
        <v>0</v>
      </c>
      <c r="AZ103" s="410">
        <f>SUMIFS('LAC 102_Wkst'!$Q$7:$Q$2010,'LAC 102_Wkst'!$D$7:$D$2010,$C$7,'LAC 102_Wkst'!$I$7:$I$2010,$C$9,'LAC 102_Wkst'!$E$7:$E$2010,$C103,'LAC 102_Wkst'!$G$7:$G$2010,$D103,'LAC 102_Wkst'!$L$7:$L$2010,"11",'LAC 102_Wkst'!$N$7:$N$2010,"P5")+SUMIFS('LAC 102_Wkst'!$Q$7:$Q$2010,'LAC 102_Wkst'!$D$7:$D$2010,$C$7,'LAC 102_Wkst'!$I$7:$I$2010,$C$9,'LAC 102_Wkst'!$E$7:$E$2010,$C103,'LAC 102_Wkst'!$G$7:$G$2010,$D103,'LAC 102_Wkst'!$L$7:$L$2010,"12",'LAC 102_Wkst'!$N$7:$N$2010,"P5")</f>
        <v>0</v>
      </c>
      <c r="BA103" s="411">
        <f>SUMIFS('LAC 102_Wkst'!$AF$7:$AF$2010,'LAC 102_Wkst'!$D$7:$D$2010,$C$7,'LAC 102_Wkst'!$I$7:$I$2010,$C$9,'LAC 102_Wkst'!$E$7:$E$2010,$C103,'LAC 102_Wkst'!$G$7:$G$2010,$D103,'LAC 102_Wkst'!$L$7:$L$2010,"11",'LAC 102_Wkst'!$N$7:$N$2010,"P5")+SUMIFS('LAC 102_Wkst'!$AF$7:$AF$2010,'LAC 102_Wkst'!$D$7:$D$2010,$C$7,'LAC 102_Wkst'!$I$7:$I$2010,$C$9,'LAC 102_Wkst'!$E$7:$E$2010,$C103,'LAC 102_Wkst'!$G$7:$G$2010,$D103,'LAC 102_Wkst'!$L$7:$L$2010,"12",'LAC 102_Wkst'!$N$7:$N$2010,"P5")</f>
        <v>0</v>
      </c>
      <c r="BB103" s="410">
        <f>SUMIFS('LAC 102_Wkst'!$Q$7:$Q$2010,'LAC 102_Wkst'!$D$7:$D$2010,$C$7,'LAC 102_Wkst'!$I$7:$I$2010,$C$9,'LAC 102_Wkst'!$E$7:$E$2010,$C103,'LAC 102_Wkst'!$G$7:$G$2010,$D103,'LAC 102_Wkst'!$L$7:$L$2010,"13",'LAC 102_Wkst'!$N$7:$N$2010,"P1")+SUMIFS('LAC 102_Wkst'!$Q$7:$Q$2010,'LAC 102_Wkst'!$D$7:$D$2010,$C$7,'LAC 102_Wkst'!$I$7:$I$2010,$C$9,'LAC 102_Wkst'!$E$7:$E$2010,$C103,'LAC 102_Wkst'!$G$7:$G$2010,$D103,'LAC 102_Wkst'!$L$7:$L$2010,"13",'LAC 102_Wkst'!$N$7:$N$2010,"P2")+SUMIFS('LAC 102_Wkst'!$Q$7:$Q$2010,'LAC 102_Wkst'!$D$7:$D$2010,$C$7,'LAC 102_Wkst'!$I$7:$I$2010,$C$9,'LAC 102_Wkst'!$E$7:$E$2010,$C103,'LAC 102_Wkst'!$G$7:$G$2010,$D103,'LAC 102_Wkst'!$L$7:$L$2010,"13",'LAC 102_Wkst'!$N$7:$N$2010,"P3")+SUMIFS('LAC 102_Wkst'!$Q$7:$Q$2010,'LAC 102_Wkst'!$D$7:$D$2010,$C$7,'LAC 102_Wkst'!$I$7:$I$2010,$C$9,'LAC 102_Wkst'!$E$7:$E$2010,$C103,'LAC 102_Wkst'!$G$7:$G$2010,$D103,'LAC 102_Wkst'!$L$7:$L$2010,"13",'LAC 102_Wkst'!$N$7:$N$2010,"P4")</f>
        <v>0</v>
      </c>
      <c r="BC103" s="411">
        <f>SUMIFS('LAC 102_Wkst'!$AF$7:$AF$2010,'LAC 102_Wkst'!$D$7:$D$2010,$C$7,'LAC 102_Wkst'!$I$7:$I$2010,$C$9,'LAC 102_Wkst'!$E$7:$E$2010,$C103,'LAC 102_Wkst'!$G$7:$G$2010,$D103,'LAC 102_Wkst'!$L$7:$L$2010,"13",'LAC 102_Wkst'!$N$7:$N$2010,"P1")+SUMIFS('LAC 102_Wkst'!$AF$7:$AF$2010,'LAC 102_Wkst'!$D$7:$D$2010,$C$7,'LAC 102_Wkst'!$I$7:$I$2010,$C$9,'LAC 102_Wkst'!$E$7:$E$2010,$C103,'LAC 102_Wkst'!$G$7:$G$2010,$D103,'LAC 102_Wkst'!$L$7:$L$2010,"13",'LAC 102_Wkst'!$N$7:$N$2010,"P2")+SUMIFS('LAC 102_Wkst'!$AF$7:$AF$2010,'LAC 102_Wkst'!$D$7:$D$2010,$C$7,'LAC 102_Wkst'!$I$7:$I$2010,$C$9,'LAC 102_Wkst'!$E$7:$E$2010,$C103,'LAC 102_Wkst'!$G$7:$G$2010,$D103,'LAC 102_Wkst'!$L$7:$L$2010,"13",'LAC 102_Wkst'!$N$7:$N$2010,"P3")+SUMIFS('LAC 102_Wkst'!$AF$7:$AF$2010,'LAC 102_Wkst'!$D$7:$D$2010,$C$7,'LAC 102_Wkst'!$I$7:$I$2010,$C$9,'LAC 102_Wkst'!$E$7:$E$2010,$C103,'LAC 102_Wkst'!$G$7:$G$2010,$D103,'LAC 102_Wkst'!$L$7:$L$2010,"13",'LAC 102_Wkst'!$N$7:$N$2010,"P4")</f>
        <v>0</v>
      </c>
      <c r="BD103" s="410">
        <f>SUMIFS('LAC 102_Wkst'!$Q$7:$Q$2010,'LAC 102_Wkst'!$D$7:$D$2010,$C$7,'LAC 102_Wkst'!$I$7:$I$2010,$C$9,'LAC 102_Wkst'!$E$7:$E$2010,$C103,'LAC 102_Wkst'!$G$7:$G$2010,$D103,'LAC 102_Wkst'!$L$7:$L$2010,"13",'LAC 102_Wkst'!$N$7:$N$2010,"P5")</f>
        <v>0</v>
      </c>
      <c r="BE103" s="411">
        <f>SUMIFS('LAC 102_Wkst'!$AF$7:$AF$2010,'LAC 102_Wkst'!$D$7:$D$2010,$C$7,'LAC 102_Wkst'!$I$7:$I$2010,$C$9,'LAC 102_Wkst'!$E$7:$E$2010,$C103,'LAC 102_Wkst'!$G$7:$G$2010,$D103,'LAC 102_Wkst'!$L$7:$L$2010,"13",'LAC 102_Wkst'!$N$7:$N$2010,"P5")</f>
        <v>0</v>
      </c>
      <c r="BF103" s="407">
        <f t="shared" si="5"/>
        <v>0</v>
      </c>
      <c r="BG103" s="1654">
        <f>SUMIFS('LAC 102_Wkst'!$AF$7:$AF$2010,'LAC 102_Wkst'!$D$7:$D$2010,$C$7,'LAC 102_Wkst'!$I$7:$I$2010,$C$9,'LAC 102_Wkst'!$E$7:$E$2010,$C103,'LAC 102_Wkst'!$G$7:$G$2010,$D103,'LAC 102_Wkst'!$L$7:$L$2010,"14")</f>
        <v>0</v>
      </c>
    </row>
    <row r="104" spans="1:59" x14ac:dyDescent="0.2">
      <c r="A104" s="401">
        <v>82</v>
      </c>
      <c r="B104" s="1678" t="str">
        <f>IF(Schedule_B!B$101="","",Schedule_B!B$101)</f>
        <v/>
      </c>
      <c r="C104" s="1674" t="str">
        <f>IF(Schedule_B!C$101=""," ",Schedule_B!C$101)</f>
        <v xml:space="preserve"> </v>
      </c>
      <c r="D104" s="1675" t="str">
        <f>IF(Schedule_B!D$101=""," ",Schedule_B!D$101)</f>
        <v xml:space="preserve"> </v>
      </c>
      <c r="E104" s="1221">
        <f>SUMIFS('LAC 102_Wkst'!$Q$7:$Q$2010,'LAC 102_Wkst'!$D$7:$D$2010,$C$7,'LAC 102_Wkst'!$I$7:$I$2010,$C$9,'LAC 102_Wkst'!$E$7:$E$2010,$C104,'LAC 102_Wkst'!$G$7:$G$2010,$D104)</f>
        <v>0</v>
      </c>
      <c r="F104" s="408">
        <f>SUMIFS('LAC 102_Wkst'!$Q$7:$Q$2010,'LAC 102_Wkst'!$D$7:$D$2010,$C$7,'LAC 102_Wkst'!$I$7:$I$2010,$C$9,'LAC 102_Wkst'!$E$7:$E$2010,$C104,'LAC 102_Wkst'!$G$7:$G$2010,$D104,'LAC 102_Wkst'!$L$7:$L$2010,"01",'LAC 102_Wkst'!$N$7:$N$2010,"P1")+SUMIFS('LAC 102_Wkst'!$Q$7:$Q$2010,'LAC 102_Wkst'!$D$7:$D$2010,$C$7,'LAC 102_Wkst'!$I$7:$I$2010,$C$9,'LAC 102_Wkst'!$E$7:$E$2010,$C104,'LAC 102_Wkst'!$G$7:$G$2010,$D104,'LAC 102_Wkst'!$L$7:$L$2010,"01",'LAC 102_Wkst'!$N$7:$N$2010,"P2")+SUMIFS('LAC 102_Wkst'!$Q$7:$Q$2010,'LAC 102_Wkst'!$D$7:$D$2010,$C$7,'LAC 102_Wkst'!$I$7:$I$2010,$C$9,'LAC 102_Wkst'!$E$7:$E$2010,$C104,'LAC 102_Wkst'!$G$7:$G$2010,$D104,'LAC 102_Wkst'!$L$7:$L$2010,"01",'LAC 102_Wkst'!$N$7:$N$2010,"P3")+SUMIFS('LAC 102_Wkst'!$Q$7:$Q$2010,'LAC 102_Wkst'!$D$7:$D$2010,$C$7,'LAC 102_Wkst'!$I$7:$I$2010,$C$9,'LAC 102_Wkst'!$E$7:$E$2010,$C104,'LAC 102_Wkst'!$G$7:$G$2010,$D104,'LAC 102_Wkst'!$L$7:$L$2010,"02",'LAC 102_Wkst'!$N$7:$N$2010,"P1")+SUMIFS('LAC 102_Wkst'!$Q$7:$Q$2010,'LAC 102_Wkst'!$D$7:$D$2010,$C$7,'LAC 102_Wkst'!$I$7:$I$2010,$C$9,'LAC 102_Wkst'!$E$7:$E$2010,$C104,'LAC 102_Wkst'!$G$7:$G$2010,$D104,'LAC 102_Wkst'!$L$7:$L$2010,"02",'LAC 102_Wkst'!$N$7:$N$2010,"P2")+SUMIFS('LAC 102_Wkst'!$Q$7:$Q$2010,'LAC 102_Wkst'!$D$7:$D$2010,$C$7,'LAC 102_Wkst'!$I$7:$I$2010,$C$9,'LAC 102_Wkst'!$E$7:$E$2010,$C104,'LAC 102_Wkst'!$G$7:$G$2010,$D104,'LAC 102_Wkst'!$L$7:$L$2010,"02",'LAC 102_Wkst'!$N$7:$N$2010,"P3")</f>
        <v>0</v>
      </c>
      <c r="G104" s="409">
        <f>SUMIFS('LAC 102_Wkst'!$AF$7:$AF$2010,'LAC 102_Wkst'!$D$7:$D$2010,$C$7,'LAC 102_Wkst'!$I$7:$I$2010,$C$9,'LAC 102_Wkst'!$E$7:$E$2010,$C104,'LAC 102_Wkst'!$G$7:$G$2010,$D104,'LAC 102_Wkst'!$L$7:$L$2010,"01",'LAC 102_Wkst'!$N$7:$N$2010,"P1")+SUMIFS('LAC 102_Wkst'!$AF$7:$AF$2010,'LAC 102_Wkst'!$D$7:$D$2010,$C$7,'LAC 102_Wkst'!$I$7:$I$2010,$C$9,'LAC 102_Wkst'!$E$7:$E$2010,$C104,'LAC 102_Wkst'!$G$7:$G$2010,$D104,'LAC 102_Wkst'!$L$7:$L$2010,"01",'LAC 102_Wkst'!$N$7:$N$2010,"P2")+SUMIFS('LAC 102_Wkst'!$AF$7:$AF$2010,'LAC 102_Wkst'!$D$7:$D$2010,$C$7,'LAC 102_Wkst'!$I$7:$I$2010,$C$9,'LAC 102_Wkst'!$E$7:$E$2010,$C104,'LAC 102_Wkst'!$G$7:$G$2010,$D104,'LAC 102_Wkst'!$L$7:$L$2010,"01",'LAC 102_Wkst'!$N$7:$N$2010,"P3")+SUMIFS('LAC 102_Wkst'!$AF$7:$AF$2010,'LAC 102_Wkst'!$D$7:$D$2010,$C$7,'LAC 102_Wkst'!$I$7:$I$2010,$C$9,'LAC 102_Wkst'!$E$7:$E$2010,$C104,'LAC 102_Wkst'!$G$7:$G$2010,$D104,'LAC 102_Wkst'!$L$7:$L$2010,"02",'LAC 102_Wkst'!$N$7:$N$2010,"P1")+SUMIFS('LAC 102_Wkst'!$AF$7:$AF$2010,'LAC 102_Wkst'!$D$7:$D$2010,$C$7,'LAC 102_Wkst'!$I$7:$I$2010,$C$9,'LAC 102_Wkst'!$E$7:$E$2010,$C104,'LAC 102_Wkst'!$G$7:$G$2010,$D104,'LAC 102_Wkst'!$L$7:$L$2010,"02",'LAC 102_Wkst'!$N$7:$N$2010,"P2")+SUMIFS('LAC 102_Wkst'!$AF$7:$AF$2010,'LAC 102_Wkst'!$D$7:$D$2010,$C$7,'LAC 102_Wkst'!$I$7:$I$2010,$C$9,'LAC 102_Wkst'!$E$7:$E$2010,$C104,'LAC 102_Wkst'!$G$7:$G$2010,$D104,'LAC 102_Wkst'!$L$7:$L$2010,"02",'LAC 102_Wkst'!$N$7:$N$2010,"P3")</f>
        <v>0</v>
      </c>
      <c r="H104" s="410">
        <f>SUMIFS('LAC 102_Wkst'!$Q$7:$Q$2010,'LAC 102_Wkst'!$D$7:$D$2010,$C$7,'LAC 102_Wkst'!$I$7:$I$2010,$C$9,'LAC 102_Wkst'!$E$7:$E$2010,$C104,'LAC 102_Wkst'!$G$7:$G$2010,$D104,'LAC 102_Wkst'!$L$7:$L$2010,"01",'LAC 102_Wkst'!$N$7:$N$2010,"P4")+SUMIFS('LAC 102_Wkst'!$Q$7:$Q$2010,'LAC 102_Wkst'!$D$7:$D$2010,$C$7,'LAC 102_Wkst'!$I$7:$I$2010,$C$9,'LAC 102_Wkst'!$E$7:$E$2010,$C104,'LAC 102_Wkst'!$G$7:$G$2010,$D104,'LAC 102_Wkst'!$L$7:$L$2010,"02",'LAC 102_Wkst'!$N$7:$N$2010,"P4")</f>
        <v>0</v>
      </c>
      <c r="I104" s="411">
        <f>SUMIFS('LAC 102_Wkst'!$AF$7:$AF$2010,'LAC 102_Wkst'!$D$7:$D$2010,$C$7,'LAC 102_Wkst'!$I$7:$I$2010,$C$9,'LAC 102_Wkst'!$E$7:$E$2010,$C104,'LAC 102_Wkst'!$G$7:$G$2010,$D104,'LAC 102_Wkst'!$L$7:$L$2010,"01",'LAC 102_Wkst'!$N$7:$N$2010,"P4")+SUMIFS('LAC 102_Wkst'!$AF$7:$AF$2010,'LAC 102_Wkst'!$D$7:$D$2010,$C$7,'LAC 102_Wkst'!$I$7:$I$2010,$C$9,'LAC 102_Wkst'!$E$7:$E$2010,$C104,'LAC 102_Wkst'!$G$7:$G$2010,$D104,'LAC 102_Wkst'!$L$7:$L$2010,"02",'LAC 102_Wkst'!$N$7:$N$2010,"P4")</f>
        <v>0</v>
      </c>
      <c r="J104" s="410">
        <f>SUMIFS('LAC 102_Wkst'!$Q$7:$Q$2010,'LAC 102_Wkst'!$D$7:$D$2010,$C$7,'LAC 102_Wkst'!$I$7:$I$2010,$C$9,'LAC 102_Wkst'!$E$7:$E$2010,$C104,'LAC 102_Wkst'!$G$7:$G$2010,$D104,'LAC 102_Wkst'!$L$7:$L$2010,"01",'LAC 102_Wkst'!$N$7:$N$2010,"P5")+SUMIFS('LAC 102_Wkst'!$Q$7:$Q$2010,'LAC 102_Wkst'!$D$7:$D$2010,$C$7,'LAC 102_Wkst'!$I$7:$I$2010,$C$9,'LAC 102_Wkst'!$E$7:$E$2010,$C104,'LAC 102_Wkst'!$G$7:$G$2010,$D104,'LAC 102_Wkst'!$L$7:$L$2010,"02",'LAC 102_Wkst'!$N$7:$N$2010,"P5")</f>
        <v>0</v>
      </c>
      <c r="K104" s="411">
        <f>SUMIFS('LAC 102_Wkst'!$AF$7:$AF$2010,'LAC 102_Wkst'!$D$7:$D$2010,$C$7,'LAC 102_Wkst'!$I$7:$I$2010,$C$9,'LAC 102_Wkst'!$E$7:$E$2010,$C104,'LAC 102_Wkst'!$G$7:$G$2010,$D104,'LAC 102_Wkst'!$L$7:$L$2010,"01",'LAC 102_Wkst'!$N$7:$N$2010,"P5")+SUMIFS('LAC 102_Wkst'!$AF$7:$AF$2010,'LAC 102_Wkst'!$D$7:$D$2010,$C$7,'LAC 102_Wkst'!$I$7:$I$2010,$C$9,'LAC 102_Wkst'!$E$7:$E$2010,$C104,'LAC 102_Wkst'!$G$7:$G$2010,$D104,'LAC 102_Wkst'!$L$7:$L$2010,"02",'LAC 102_Wkst'!$N$7:$N$2010,"P5")</f>
        <v>0</v>
      </c>
      <c r="L104" s="410">
        <f>SUMIFS('LAC 102_Wkst'!$Q$7:$Q$2010,'LAC 102_Wkst'!$D$7:$D$2010,$C$7,'LAC 102_Wkst'!$I$7:$I$2010,$C$9,'LAC 102_Wkst'!$E$7:$E$2010,$C104,'LAC 102_Wkst'!$G$7:$G$2010,$D104,'LAC 102_Wkst'!$L$7:$L$2010,"03",'LAC 102_Wkst'!$N$7:$N$2010,"P1")+SUMIFS('LAC 102_Wkst'!$Q$7:$Q$2010,'LAC 102_Wkst'!$D$7:$D$2010,$C$7,'LAC 102_Wkst'!$I$7:$I$2010,$C$9,'LAC 102_Wkst'!$E$7:$E$2010,$C104,'LAC 102_Wkst'!$G$7:$G$2010,$D104,'LAC 102_Wkst'!$L$7:$L$2010,"03",'LAC 102_Wkst'!$N$7:$N$2010,"P2")+SUMIFS('LAC 102_Wkst'!$Q$7:$Q$2010,'LAC 102_Wkst'!$D$7:$D$2010,$C$7,'LAC 102_Wkst'!$I$7:$I$2010,$C$9,'LAC 102_Wkst'!$E$7:$E$2010,$C104,'LAC 102_Wkst'!$G$7:$G$2010,$D104,'LAC 102_Wkst'!$L$7:$L$2010,"03",'LAC 102_Wkst'!$N$7:$N$2010,"P3")+SUMIFS('LAC 102_Wkst'!$Q$7:$Q$2010,'LAC 102_Wkst'!$D$7:$D$2010,$C$7,'LAC 102_Wkst'!$I$7:$I$2010,$C$9,'LAC 102_Wkst'!$E$7:$E$2010,$C104,'LAC 102_Wkst'!$G$7:$G$2010,$D104,'LAC 102_Wkst'!$L$7:$L$2010,"04",'LAC 102_Wkst'!$N$7:$N$2010,"P1")+SUMIFS('LAC 102_Wkst'!$Q$7:$Q$2010,'LAC 102_Wkst'!$D$7:$D$2010,$C$7,'LAC 102_Wkst'!$I$7:$I$2010,$C$9,'LAC 102_Wkst'!$E$7:$E$2010,$C104,'LAC 102_Wkst'!$G$7:$G$2010,$D104,'LAC 102_Wkst'!$L$7:$L$2010,"04",'LAC 102_Wkst'!$N$7:$N$2010,"P2")+SUMIFS('LAC 102_Wkst'!$Q$7:$Q$2010,'LAC 102_Wkst'!$D$7:$D$2010,$C$7,'LAC 102_Wkst'!$I$7:$I$2010,$C$9,'LAC 102_Wkst'!$E$7:$E$2010,$C104,'LAC 102_Wkst'!$G$7:$G$2010,$D104,'LAC 102_Wkst'!$L$7:$L$2010,"04",'LAC 102_Wkst'!$N$7:$N$2010,"P3")</f>
        <v>0</v>
      </c>
      <c r="M104" s="411">
        <f>SUMIFS('LAC 102_Wkst'!$AF$7:$AF$2010,'LAC 102_Wkst'!$D$7:$D$2010,$C$7,'LAC 102_Wkst'!$I$7:$I$2010,$C$9,'LAC 102_Wkst'!$E$7:$E$2010,$C104,'LAC 102_Wkst'!$G$7:$G$2010,$D104,'LAC 102_Wkst'!$L$7:$L$2010,"03",'LAC 102_Wkst'!$N$7:$N$2010,"P1")+SUMIFS('LAC 102_Wkst'!$AF$7:$AF$2010,'LAC 102_Wkst'!$D$7:$D$2010,$C$7,'LAC 102_Wkst'!$I$7:$I$2010,$C$9,'LAC 102_Wkst'!$E$7:$E$2010,$C104,'LAC 102_Wkst'!$G$7:$G$2010,$D104,'LAC 102_Wkst'!$L$7:$L$2010,"03",'LAC 102_Wkst'!$N$7:$N$2010,"P2")+SUMIFS('LAC 102_Wkst'!$AF$7:$AF$2010,'LAC 102_Wkst'!$D$7:$D$2010,$C$7,'LAC 102_Wkst'!$I$7:$I$2010,$C$9,'LAC 102_Wkst'!$E$7:$E$2010,$C104,'LAC 102_Wkst'!$G$7:$G$2010,$D104,'LAC 102_Wkst'!$L$7:$L$2010,"03",'LAC 102_Wkst'!$N$7:$N$2010,"P3")+SUMIFS('LAC 102_Wkst'!$AF$7:$AF$2010,'LAC 102_Wkst'!$D$7:$D$2010,$C$7,'LAC 102_Wkst'!$I$7:$I$2010,$C$9,'LAC 102_Wkst'!$E$7:$E$2010,$C104,'LAC 102_Wkst'!$G$7:$G$2010,$D104,'LAC 102_Wkst'!$L$7:$L$2010,"04",'LAC 102_Wkst'!$N$7:$N$2010,"P1")+SUMIFS('LAC 102_Wkst'!$AF$7:$AF$2010,'LAC 102_Wkst'!$D$7:$D$2010,$C$7,'LAC 102_Wkst'!$I$7:$I$2010,$C$9,'LAC 102_Wkst'!$E$7:$E$2010,$C104,'LAC 102_Wkst'!$G$7:$G$2010,$D104,'LAC 102_Wkst'!$L$7:$L$2010,"04",'LAC 102_Wkst'!$N$7:$N$2010,"P2")+SUMIFS('LAC 102_Wkst'!$AF$7:$AF$2010,'LAC 102_Wkst'!$D$7:$D$2010,$C$7,'LAC 102_Wkst'!$I$7:$I$2010,$C$9,'LAC 102_Wkst'!$E$7:$E$2010,$C104,'LAC 102_Wkst'!$G$7:$G$2010,$D104,'LAC 102_Wkst'!$L$7:$L$2010,"04",'LAC 102_Wkst'!$N$7:$N$2010,"P3")</f>
        <v>0</v>
      </c>
      <c r="N104" s="410">
        <f>SUMIFS('LAC 102_Wkst'!$Q$7:$Q$2010,'LAC 102_Wkst'!$D$7:$D$2010,$C$7,'LAC 102_Wkst'!$I$7:$I$2010,$C$9,'LAC 102_Wkst'!$E$7:$E$2010,$C104,'LAC 102_Wkst'!$G$7:$G$2010,$D104,'LAC 102_Wkst'!$L$7:$L$2010,"03",'LAC 102_Wkst'!$N$7:$N$2010,"P4")+SUMIFS('LAC 102_Wkst'!$Q$7:$Q$2010,'LAC 102_Wkst'!$D$7:$D$2010,$C$7,'LAC 102_Wkst'!$I$7:$I$2010,$C$9,'LAC 102_Wkst'!$E$7:$E$2010,$C104,'LAC 102_Wkst'!$G$7:$G$2010,$D104,'LAC 102_Wkst'!$L$7:$L$2010,"04",'LAC 102_Wkst'!$N$7:$N$2010,"P4")</f>
        <v>0</v>
      </c>
      <c r="O104" s="411">
        <f>SUMIFS('LAC 102_Wkst'!$AF$7:$AF$2010,'LAC 102_Wkst'!$D$7:$D$2010,$C$7,'LAC 102_Wkst'!$I$7:$I$2010,$C$9,'LAC 102_Wkst'!$E$7:$E$2010,$C104,'LAC 102_Wkst'!$G$7:$G$2010,$D104,'LAC 102_Wkst'!$L$7:$L$2010,"03",'LAC 102_Wkst'!$N$7:$N$2010,"P4")+SUMIFS('LAC 102_Wkst'!$AF$7:$AF$2010,'LAC 102_Wkst'!$D$7:$D$2010,$C$7,'LAC 102_Wkst'!$I$7:$I$2010,$C$9,'LAC 102_Wkst'!$E$7:$E$2010,$C104,'LAC 102_Wkst'!$G$7:$G$2010,$D104,'LAC 102_Wkst'!$L$7:$L$2010,"04",'LAC 102_Wkst'!$N$7:$N$2010,"P4")</f>
        <v>0</v>
      </c>
      <c r="P104" s="410">
        <f>SUMIFS('LAC 102_Wkst'!$Q$7:$Q$2010,'LAC 102_Wkst'!$D$7:$D$2010,$C$7,'LAC 102_Wkst'!$I$7:$I$2010,$C$9,'LAC 102_Wkst'!$E$7:$E$2010,$C104,'LAC 102_Wkst'!$G$7:$G$2010,$D104,'LAC 102_Wkst'!$L$7:$L$2010,"03",'LAC 102_Wkst'!$N$7:$N$2010,"P5")+SUMIFS('LAC 102_Wkst'!$Q$7:$Q$2010,'LAC 102_Wkst'!$D$7:$D$2010,$C$7,'LAC 102_Wkst'!$I$7:$I$2010,$C$9,'LAC 102_Wkst'!$E$7:$E$2010,$C104,'LAC 102_Wkst'!$G$7:$G$2010,$D104,'LAC 102_Wkst'!$L$7:$L$2010,"04",'LAC 102_Wkst'!$N$7:$N$2010,"P5")</f>
        <v>0</v>
      </c>
      <c r="Q104" s="411">
        <f>SUMIFS('LAC 102_Wkst'!$AF$7:$AF$2010,'LAC 102_Wkst'!$D$7:$D$2010,$C$7,'LAC 102_Wkst'!$I$7:$I$2010,$C$9,'LAC 102_Wkst'!$E$7:$E$2010,$C104,'LAC 102_Wkst'!$G$7:$G$2010,$D104,'LAC 102_Wkst'!$L$7:$L$2010,"03",'LAC 102_Wkst'!$N$7:$N$2010,"P5")+SUMIFS('LAC 102_Wkst'!$AF$7:$AF$2010,'LAC 102_Wkst'!$D$7:$D$2010,$C$7,'LAC 102_Wkst'!$I$7:$I$2010,$C$9,'LAC 102_Wkst'!$E$7:$E$2010,$C104,'LAC 102_Wkst'!$G$7:$G$2010,$D104,'LAC 102_Wkst'!$L$7:$L$2010,"04",'LAC 102_Wkst'!$N$7:$N$2010,"P5")</f>
        <v>0</v>
      </c>
      <c r="R104" s="412">
        <f>SUMIFS('LAC 102_Wkst'!$Q$7:$Q$2010,'LAC 102_Wkst'!$D$7:$D$2010,$C$7,'LAC 102_Wkst'!$I$7:$I$2010,$C$9,'LAC 102_Wkst'!$E$7:$E$2010,$C104,'LAC 102_Wkst'!$G$7:$G$2010,$D104,'LAC 102_Wkst'!$L$7:$L$2010,"05",'LAC 102_Wkst'!$N$7:$N$2010,"P1")+SUMIFS('LAC 102_Wkst'!$Q$7:$Q$2010,'LAC 102_Wkst'!$D$7:$D$2010,$C$7,'LAC 102_Wkst'!$I$7:$I$2010,$C$9,'LAC 102_Wkst'!$E$7:$E$2010,$C104,'LAC 102_Wkst'!$G$7:$G$2010,$D104,'LAC 102_Wkst'!$L$7:$L$2010,"06",'LAC 102_Wkst'!$N$7:$N$2010,"P1")</f>
        <v>0</v>
      </c>
      <c r="S104" s="411">
        <f>SUMIFS('LAC 102_Wkst'!$AF$7:$AF$2010,'LAC 102_Wkst'!$D$7:$D$2010,$C$7,'LAC 102_Wkst'!$I$7:$I$2010,$C$9,'LAC 102_Wkst'!$E$7:$E$2010,$C104,'LAC 102_Wkst'!$G$7:$G$2010,$D104,'LAC 102_Wkst'!$L$7:$L$2010,"05",'LAC 102_Wkst'!$N$7:$N$2010,"P1")+SUMIFS('LAC 102_Wkst'!$AF$7:$AF$2010,'LAC 102_Wkst'!$D$7:$D$2010,$C$7,'LAC 102_Wkst'!$I$7:$I$2010,$C$9,'LAC 102_Wkst'!$E$7:$E$2010,$C104,'LAC 102_Wkst'!$G$7:$G$2010,$D104,'LAC 102_Wkst'!$L$7:$L$2010,"06",'LAC 102_Wkst'!$N$7:$N$2010,"P1")</f>
        <v>0</v>
      </c>
      <c r="T104" s="410">
        <f>SUMIFS('LAC 102_Wkst'!$Q$7:$Q$2010,'LAC 102_Wkst'!$D$7:$D$2010,$C$7,'LAC 102_Wkst'!$I$7:$I$2010,$C$9,'LAC 102_Wkst'!$E$7:$E$2010,$C104,'LAC 102_Wkst'!$G$7:$G$2010,$D104,'LAC 102_Wkst'!$L$7:$L$2010,"05",'LAC 102_Wkst'!$N$7:$N$2010,"P2")+SUMIFS('LAC 102_Wkst'!$Q$7:$Q$2010,'LAC 102_Wkst'!$D$7:$D$2010,$C$7,'LAC 102_Wkst'!$I$7:$I$2010,$C$9,'LAC 102_Wkst'!$E$7:$E$2010,$C104,'LAC 102_Wkst'!$G$7:$G$2010,$D104,'LAC 102_Wkst'!$L$7:$L$2010,"06",'LAC 102_Wkst'!$N$7:$N$2010,"P2")+SUMIFS('LAC 102_Wkst'!$Q$7:$Q$2010,'LAC 102_Wkst'!$D$7:$D$2010,$C$7,'LAC 102_Wkst'!$I$7:$I$2010,$C$9,'LAC 102_Wkst'!$E$7:$E$2010,$C104,'LAC 102_Wkst'!$G$7:$G$2010,$D104,'LAC 102_Wkst'!$L$7:$L$2010,"05",'LAC 102_Wkst'!$N$7:$N$2010,"P3")+SUMIFS('LAC 102_Wkst'!$Q$7:$Q$2010,'LAC 102_Wkst'!$D$7:$D$2010,$C$7,'LAC 102_Wkst'!$I$7:$I$2010,$C$9,'LAC 102_Wkst'!$E$7:$E$2010,$C104,'LAC 102_Wkst'!$G$7:$G$2010,$D104,'LAC 102_Wkst'!$L$7:$L$2010,"06",'LAC 102_Wkst'!$N$7:$N$2010,"P3")</f>
        <v>0</v>
      </c>
      <c r="U104" s="411">
        <f>SUMIFS('LAC 102_Wkst'!$AF$7:$AF$2010,'LAC 102_Wkst'!$D$7:$D$2010,$C$7,'LAC 102_Wkst'!$I$7:$I$2010,$C$9,'LAC 102_Wkst'!$E$7:$E$2010,$C104,'LAC 102_Wkst'!$G$7:$G$2010,$D104,'LAC 102_Wkst'!$L$7:$L$2010,"05",'LAC 102_Wkst'!$N$7:$N$2010,"P2")+SUMIFS('LAC 102_Wkst'!$AF$7:$AF$2010,'LAC 102_Wkst'!$D$7:$D$2010,$C$7,'LAC 102_Wkst'!$I$7:$I$2010,$C$9,'LAC 102_Wkst'!$E$7:$E$2010,$C104,'LAC 102_Wkst'!$G$7:$G$2010,$D104,'LAC 102_Wkst'!$L$7:$L$2010,"06",'LAC 102_Wkst'!$N$7:$N$2010,"P2")+SUMIFS('LAC 102_Wkst'!$AF$7:$AF$2010,'LAC 102_Wkst'!$D$7:$D$2010,$C$7,'LAC 102_Wkst'!$I$7:$I$2010,$C$9,'LAC 102_Wkst'!$E$7:$E$2010,$C104,'LAC 102_Wkst'!$G$7:$G$2010,$D104,'LAC 102_Wkst'!$L$7:$L$2010,"05",'LAC 102_Wkst'!$N$7:$N$2010,"P3")+SUMIFS('LAC 102_Wkst'!$AF$7:$AF$2010,'LAC 102_Wkst'!$D$7:$D$2010,$C$7,'LAC 102_Wkst'!$I$7:$I$2010,$C$9,'LAC 102_Wkst'!$E$7:$E$2010,$C104,'LAC 102_Wkst'!$G$7:$G$2010,$D104,'LAC 102_Wkst'!$L$7:$L$2010,"06",'LAC 102_Wkst'!$N$7:$N$2010,"P3")</f>
        <v>0</v>
      </c>
      <c r="V104" s="410">
        <f>SUMIFS('LAC 102_Wkst'!$Q$7:$Q$2010,'LAC 102_Wkst'!$D$7:$D$2010,$C$7,'LAC 102_Wkst'!$I$7:$I$2010,$C$9,'LAC 102_Wkst'!$E$7:$E$2010,$C104,'LAC 102_Wkst'!$G$7:$G$2010,$D104,'LAC 102_Wkst'!$L$7:$L$2010,"05",'LAC 102_Wkst'!$N$7:$N$2010,"P4")+SUMIFS('LAC 102_Wkst'!$Q$7:$Q$2010,'LAC 102_Wkst'!$D$7:$D$2010,$C$7,'LAC 102_Wkst'!$I$7:$I$2010,$C$9,'LAC 102_Wkst'!$E$7:$E$2010,$C104,'LAC 102_Wkst'!$G$7:$G$2010,$D104,'LAC 102_Wkst'!$L$7:$L$2010,"06",'LAC 102_Wkst'!$N$7:$N$2010,"P4")</f>
        <v>0</v>
      </c>
      <c r="W104" s="411">
        <f>SUMIFS('LAC 102_Wkst'!$AF$7:$AF$2010,'LAC 102_Wkst'!$D$7:$D$2010,$C$7,'LAC 102_Wkst'!$I$7:$I$2010,$C$9,'LAC 102_Wkst'!$E$7:$E$2010,$C104,'LAC 102_Wkst'!$G$7:$G$2010,$D104,'LAC 102_Wkst'!$L$7:$L$2010,"05",'LAC 102_Wkst'!$N$7:$N$2010,"P4")+SUMIFS('LAC 102_Wkst'!$AF$7:$AF$2010,'LAC 102_Wkst'!$D$7:$D$2010,$C$7,'LAC 102_Wkst'!$I$7:$I$2010,$C$9,'LAC 102_Wkst'!$E$7:$E$2010,$C104,'LAC 102_Wkst'!$G$7:$G$2010,$D104,'LAC 102_Wkst'!$L$7:$L$2010,"06",'LAC 102_Wkst'!$N$7:$N$2010,"P4")</f>
        <v>0</v>
      </c>
      <c r="X104" s="410">
        <f>SUMIFS('LAC 102_Wkst'!$Q$7:$Q$2010,'LAC 102_Wkst'!$D$7:$D$2010,$C$7,'LAC 102_Wkst'!$I$7:$I$2010,$C$9,'LAC 102_Wkst'!$E$7:$E$2010,$C104,'LAC 102_Wkst'!$G$7:$G$2010,$D104,'LAC 102_Wkst'!$L$7:$L$2010,"05",'LAC 102_Wkst'!$N$7:$N$2010,"P5")+SUMIFS('LAC 102_Wkst'!$Q$7:$Q$2010,'LAC 102_Wkst'!$D$7:$D$2010,$C$7,'LAC 102_Wkst'!$I$7:$I$2010,$C$9,'LAC 102_Wkst'!$E$7:$E$2010,$C104,'LAC 102_Wkst'!$G$7:$G$2010,$D104,'LAC 102_Wkst'!$L$7:$L$2010,"06",'LAC 102_Wkst'!$N$7:$N$2010,"P5")</f>
        <v>0</v>
      </c>
      <c r="Y104" s="411">
        <f>SUMIFS('LAC 102_Wkst'!$AF$7:$AF$2010,'LAC 102_Wkst'!$D$7:$D$2010,$C$7,'LAC 102_Wkst'!$I$7:$I$2010,$C$9,'LAC 102_Wkst'!$E$7:$E$2010,$C104,'LAC 102_Wkst'!$G$7:$G$2010,$D104,'LAC 102_Wkst'!$L$7:$L$2010,"05",'LAC 102_Wkst'!$N$7:$N$2010,"P5")+SUMIFS('LAC 102_Wkst'!$AF$7:$AF$2010,'LAC 102_Wkst'!$D$7:$D$2010,$C$7,'LAC 102_Wkst'!$I$7:$I$2010,$C$9,'LAC 102_Wkst'!$E$7:$E$2010,$C104,'LAC 102_Wkst'!$G$7:$G$2010,$D104,'LAC 102_Wkst'!$L$7:$L$2010,"06",'LAC 102_Wkst'!$N$7:$N$2010,"P5")</f>
        <v>0</v>
      </c>
      <c r="Z104" s="410">
        <f>SUMIFS('LAC 102_Wkst'!$Q$7:$Q$2010,'LAC 102_Wkst'!$D$7:$D$2010,$C$7,'LAC 102_Wkst'!$I$7:$I$2010,$C$9,'LAC 102_Wkst'!$E$7:$E$2010,$C104,'LAC 102_Wkst'!$G$7:$G$2010,$D104,'LAC 102_Wkst'!$L$7:$L$2010,"07",'LAC 102_Wkst'!$N$7:$N$2010,"P1")+SUMIFS('LAC 102_Wkst'!$Q$7:$Q$2010,'LAC 102_Wkst'!$D$7:$D$2010,$C$7,'LAC 102_Wkst'!$I$7:$I$2010,$C$9,'LAC 102_Wkst'!$E$7:$E$2010,$C104,'LAC 102_Wkst'!$G$7:$G$2010,$D104,'LAC 102_Wkst'!$L$7:$L$2010,"07",'LAC 102_Wkst'!$N$7:$N$2010,"P2")+SUMIFS('LAC 102_Wkst'!$Q$7:$Q$2010,'LAC 102_Wkst'!$D$7:$D$2010,$C$7,'LAC 102_Wkst'!$I$7:$I$2010,$C$9,'LAC 102_Wkst'!$E$7:$E$2010,$C104,'LAC 102_Wkst'!$G$7:$G$2010,$D104,'LAC 102_Wkst'!$L$7:$L$2010,"07",'LAC 102_Wkst'!$N$7:$N$2010,"P3")</f>
        <v>0</v>
      </c>
      <c r="AA104" s="411">
        <f>SUMIFS('LAC 102_Wkst'!$AF$7:$AF$2010,'LAC 102_Wkst'!$D$7:$D$2010,$C$7,'LAC 102_Wkst'!$I$7:$I$2010,$C$9,'LAC 102_Wkst'!$E$7:$E$2010,$C104,'LAC 102_Wkst'!$G$7:$G$2010,$D104,'LAC 102_Wkst'!$L$7:$L$2010,"07",'LAC 102_Wkst'!$N$7:$N$2010,"P1")+SUMIFS('LAC 102_Wkst'!$AF$7:$AF$2010,'LAC 102_Wkst'!$D$7:$D$2010,$C$7,'LAC 102_Wkst'!$I$7:$I$2010,$C$9,'LAC 102_Wkst'!$E$7:$E$2010,$C104,'LAC 102_Wkst'!$G$7:$G$2010,$D104,'LAC 102_Wkst'!$L$7:$L$2010,"07",'LAC 102_Wkst'!$N$7:$N$2010,"P2")+SUMIFS('LAC 102_Wkst'!$AF$7:$AF$2010,'LAC 102_Wkst'!$D$7:$D$2010,$C$7,'LAC 102_Wkst'!$I$7:$I$2010,$C$9,'LAC 102_Wkst'!$E$7:$E$2010,$C104,'LAC 102_Wkst'!$G$7:$G$2010,$D104,'LAC 102_Wkst'!$L$7:$L$2010,"07",'LAC 102_Wkst'!$N$7:$N$2010,"P3")</f>
        <v>0</v>
      </c>
      <c r="AB104" s="410">
        <f>SUMIFS('LAC 102_Wkst'!$Q$7:$Q$2010,'LAC 102_Wkst'!$D$7:$D$2010,$C$7,'LAC 102_Wkst'!$I$7:$I$2010,$C$9,'LAC 102_Wkst'!$E$7:$E$2010,$C104,'LAC 102_Wkst'!$G$7:$G$2010,$D104,'LAC 102_Wkst'!$L$7:$L$2010,"07",'LAC 102_Wkst'!$N$7:$N$2010,"P4")</f>
        <v>0</v>
      </c>
      <c r="AC104" s="411">
        <f>SUMIFS('LAC 102_Wkst'!$AF$7:$AF$2010,'LAC 102_Wkst'!$D$7:$D$2010,$C$7,'LAC 102_Wkst'!$I$7:$I$2010,$C$9,'LAC 102_Wkst'!$E$7:$E$2010,$C104,'LAC 102_Wkst'!$G$7:$G$2010,$D104,'LAC 102_Wkst'!$L$7:$L$2010,"07",'LAC 102_Wkst'!$N$7:$N$2010,"P4")</f>
        <v>0</v>
      </c>
      <c r="AD104" s="410">
        <f>SUMIFS('LAC 102_Wkst'!$Q$7:$Q$2010,'LAC 102_Wkst'!$D$7:$D$2010,$C$7,'LAC 102_Wkst'!$I$7:$I$2010,$C$9,'LAC 102_Wkst'!$E$7:$E$2010,$C104,'LAC 102_Wkst'!$G$7:$G$2010,$D104,'LAC 102_Wkst'!$L$7:$L$2010,"07",'LAC 102_Wkst'!$N$7:$N$2010,"P5")</f>
        <v>0</v>
      </c>
      <c r="AE104" s="411">
        <f>SUMIFS('LAC 102_Wkst'!$AF$7:$AF$2010,'LAC 102_Wkst'!$D$7:$D$2010,$C$7,'LAC 102_Wkst'!$I$7:$I$2010,$C$9,'LAC 102_Wkst'!$E$7:$E$2010,$C104,'LAC 102_Wkst'!$G$7:$G$2010,$D104,'LAC 102_Wkst'!$L$7:$L$2010,"07",'LAC 102_Wkst'!$N$7:$N$2010,"P5")</f>
        <v>0</v>
      </c>
      <c r="AF104" s="410">
        <f>SUMIFS('LAC 102_Wkst'!$Q$7:$Q$2010,'LAC 102_Wkst'!$D$7:$D$2010,$C$7,'LAC 102_Wkst'!$I$7:$I$2010,$C$9,'LAC 102_Wkst'!$E$7:$E$2010,$C104,'LAC 102_Wkst'!$G$7:$G$2010,$D104,'LAC 102_Wkst'!$L$7:$L$2010,"08",'LAC 102_Wkst'!$N$7:$N$2010,"P1")+SUMIFS('LAC 102_Wkst'!$Q$7:$Q$2010,'LAC 102_Wkst'!$D$7:$D$2010,$C$7,'LAC 102_Wkst'!$I$7:$I$2010,$C$9,'LAC 102_Wkst'!$E$7:$E$2010,$C104,'LAC 102_Wkst'!$G$7:$G$2010,$D104,'LAC 102_Wkst'!$L$7:$L$2010,"08",'LAC 102_Wkst'!$N$7:$N$2010,"P2")+SUMIFS('LAC 102_Wkst'!$Q$7:$Q$2010,'LAC 102_Wkst'!$D$7:$D$2010,$C$7,'LAC 102_Wkst'!$I$7:$I$2010,$C$9,'LAC 102_Wkst'!$E$7:$E$2010,$C104,'LAC 102_Wkst'!$G$7:$G$2010,$D104,'LAC 102_Wkst'!$L$7:$L$2010,"08",'LAC 102_Wkst'!$N$7:$N$2010,"P3")</f>
        <v>0</v>
      </c>
      <c r="AG104" s="411">
        <f>SUMIFS('LAC 102_Wkst'!$AF$7:$AF$2010,'LAC 102_Wkst'!$D$7:$D$2010,$C$7,'LAC 102_Wkst'!$I$7:$I$2010,$C$9,'LAC 102_Wkst'!$E$7:$E$2010,$C104,'LAC 102_Wkst'!$G$7:$G$2010,$D104,'LAC 102_Wkst'!$L$7:$L$2010,"08",'LAC 102_Wkst'!$N$7:$N$2010,"P1")+SUMIFS('LAC 102_Wkst'!$AF$7:$AF$2010,'LAC 102_Wkst'!$D$7:$D$2010,$C$7,'LAC 102_Wkst'!$I$7:$I$2010,$C$9,'LAC 102_Wkst'!$E$7:$E$2010,$C104,'LAC 102_Wkst'!$G$7:$G$2010,$D104,'LAC 102_Wkst'!$L$7:$L$2010,"08",'LAC 102_Wkst'!$N$7:$N$2010,"P2")+SUMIFS('LAC 102_Wkst'!$AF$7:$AF$2010,'LAC 102_Wkst'!$D$7:$D$2010,$C$7,'LAC 102_Wkst'!$I$7:$I$2010,$C$9,'LAC 102_Wkst'!$E$7:$E$2010,$C104,'LAC 102_Wkst'!$G$7:$G$2010,$D104,'LAC 102_Wkst'!$L$7:$L$2010,"08",'LAC 102_Wkst'!$N$7:$N$2010,"P3")</f>
        <v>0</v>
      </c>
      <c r="AH104" s="410">
        <f>SUMIFS('LAC 102_Wkst'!$Q$7:$Q$2010,'LAC 102_Wkst'!$D$7:$D$2010,$C$7,'LAC 102_Wkst'!$I$7:$I$2010,$C$9,'LAC 102_Wkst'!$E$7:$E$2010,$C104,'LAC 102_Wkst'!$G$7:$G$2010,$D104,'LAC 102_Wkst'!$L$7:$L$2010,"08",'LAC 102_Wkst'!$N$7:$N$2010,"P4")</f>
        <v>0</v>
      </c>
      <c r="AI104" s="411">
        <f>SUMIFS('LAC 102_Wkst'!$AF$7:$AF$2010,'LAC 102_Wkst'!$D$7:$D$2010,$C$7,'LAC 102_Wkst'!$I$7:$I$2010,$C$9,'LAC 102_Wkst'!$E$7:$E$2010,$C104,'LAC 102_Wkst'!$G$7:$G$2010,$D104,'LAC 102_Wkst'!$L$7:$L$2010,"08",'LAC 102_Wkst'!$N$7:$N$2010,"P4")</f>
        <v>0</v>
      </c>
      <c r="AJ104" s="410">
        <f>SUMIFS('LAC 102_Wkst'!$Q$7:$Q$2010,'LAC 102_Wkst'!$D$7:$D$2010,$C$7,'LAC 102_Wkst'!$I$7:$I$2010,$C$9,'LAC 102_Wkst'!$E$7:$E$2010,$C104,'LAC 102_Wkst'!$G$7:$G$2010,$D104,'LAC 102_Wkst'!$L$7:$L$2010,"08",'LAC 102_Wkst'!$N$7:$N$2010,"P5")</f>
        <v>0</v>
      </c>
      <c r="AK104" s="411">
        <f>SUMIFS('LAC 102_Wkst'!$AF$7:$AF$2010,'LAC 102_Wkst'!$D$7:$D$2010,$C$7,'LAC 102_Wkst'!$I$7:$I$2010,$C$9,'LAC 102_Wkst'!$E$7:$E$2010,$C104,'LAC 102_Wkst'!$G$7:$G$2010,$D104,'LAC 102_Wkst'!$L$7:$L$2010,"08",'LAC 102_Wkst'!$N$7:$N$2010,"P5")</f>
        <v>0</v>
      </c>
      <c r="AL104" s="410">
        <f>SUMIFS('LAC 102_Wkst'!$Q$7:$Q$2010,'LAC 102_Wkst'!$D$7:$D$2010,$C$7,'LAC 102_Wkst'!$I$7:$I$2010,$C$9,'LAC 102_Wkst'!$E$7:$E$2010,$C104,'LAC 102_Wkst'!$G$7:$G$2010,$D104,'LAC 102_Wkst'!$L$7:$L$2010,"09",'LAC 102_Wkst'!$N$7:$N$2010,"P1")+SUMIFS('LAC 102_Wkst'!$Q$7:$Q$2010,'LAC 102_Wkst'!$D$7:$D$2010,$C$7,'LAC 102_Wkst'!$I$7:$I$2010,$C$9,'LAC 102_Wkst'!$E$7:$E$2010,$C104,'LAC 102_Wkst'!$G$7:$G$2010,$D104,'LAC 102_Wkst'!$L$7:$L$2010,"09",'LAC 102_Wkst'!$N$7:$N$2010,"P2")+SUMIFS('LAC 102_Wkst'!$Q$7:$Q$2010,'LAC 102_Wkst'!$D$7:$D$2010,$C$7,'LAC 102_Wkst'!$I$7:$I$2010,$C$9,'LAC 102_Wkst'!$E$7:$E$2010,$C104,'LAC 102_Wkst'!$G$7:$G$2010,$D104,'LAC 102_Wkst'!$L$7:$L$2010,"09",'LAC 102_Wkst'!$N$7:$N$2010,"P3")+SUMIFS('LAC 102_Wkst'!$Q$7:$Q$2010,'LAC 102_Wkst'!$D$7:$D$2010,$C$7,'LAC 102_Wkst'!$I$7:$I$2010,$C$9,'LAC 102_Wkst'!$E$7:$E$2010,$C104,'LAC 102_Wkst'!$G$7:$G$2010,$D104,'LAC 102_Wkst'!$L$7:$L$2010,"09",'LAC 102_Wkst'!$N$7:$N$2010,"P4")</f>
        <v>0</v>
      </c>
      <c r="AM104" s="411">
        <f>SUMIFS('LAC 102_Wkst'!$AF$7:$AF$2010,'LAC 102_Wkst'!$D$7:$D$2010,$C$7,'LAC 102_Wkst'!$I$7:$I$2010,$C$9,'LAC 102_Wkst'!$E$7:$E$2010,$C104,'LAC 102_Wkst'!$G$7:$G$2010,$D104,'LAC 102_Wkst'!$L$7:$L$2010,"09",'LAC 102_Wkst'!$N$7:$N$2010,"P1")+SUMIFS('LAC 102_Wkst'!$AF$7:$AF$2010,'LAC 102_Wkst'!$D$7:$D$2010,$C$7,'LAC 102_Wkst'!$I$7:$I$2010,$C$9,'LAC 102_Wkst'!$E$7:$E$2010,$C104,'LAC 102_Wkst'!$G$7:$G$2010,$D104,'LAC 102_Wkst'!$L$7:$L$2010,"09",'LAC 102_Wkst'!$N$7:$N$2010,"P2")+SUMIFS('LAC 102_Wkst'!$AF$7:$AF$2010,'LAC 102_Wkst'!$D$7:$D$2010,$C$7,'LAC 102_Wkst'!$I$7:$I$2010,$C$9,'LAC 102_Wkst'!$E$7:$E$2010,$C104,'LAC 102_Wkst'!$G$7:$G$2010,$D104,'LAC 102_Wkst'!$L$7:$L$2010,"09",'LAC 102_Wkst'!$N$7:$N$2010,"P3")+SUMIFS('LAC 102_Wkst'!$AF$7:$AF$2010,'LAC 102_Wkst'!$D$7:$D$2010,$C$7,'LAC 102_Wkst'!$I$7:$I$2010,$C$9,'LAC 102_Wkst'!$E$7:$E$2010,$C104,'LAC 102_Wkst'!$G$7:$G$2010,$D104,'LAC 102_Wkst'!$L$7:$L$2010,"09",'LAC 102_Wkst'!$N$7:$N$2010,"P4")</f>
        <v>0</v>
      </c>
      <c r="AN104" s="410">
        <f>SUMIFS('LAC 102_Wkst'!$Q$7:$Q$2010,'LAC 102_Wkst'!$D$7:$D$2010,$C$7,'LAC 102_Wkst'!$I$7:$I$2010,$C$9,'LAC 102_Wkst'!$E$7:$E$2010,$C104,'LAC 102_Wkst'!$G$7:$G$2010,$D104,'LAC 102_Wkst'!$L$7:$L$2010,"09",'LAC 102_Wkst'!$N$7:$N$2010,"P5")</f>
        <v>0</v>
      </c>
      <c r="AO104" s="411">
        <f>SUMIFS('LAC 102_Wkst'!$AF$7:$AF$2010,'LAC 102_Wkst'!$D$7:$D$2010,$C$7,'LAC 102_Wkst'!$I$7:$I$2010,$C$9,'LAC 102_Wkst'!$E$7:$E$2010,$C104,'LAC 102_Wkst'!$G$7:$G$2010,$D104,'LAC 102_Wkst'!$L$7:$L$2010,"09",'LAC 102_Wkst'!$N$7:$N$2010,"P5")</f>
        <v>0</v>
      </c>
      <c r="AP104" s="410">
        <f>SUMIFS('LAC 102_Wkst'!$Q$7:$Q$2010,'LAC 102_Wkst'!$D$7:$D$2010,$C$7,'LAC 102_Wkst'!$I$7:$I$2010,$C$9,'LAC 102_Wkst'!$E$7:$E$2010,$C104,'LAC 102_Wkst'!$G$7:$G$2010,$D104,'LAC 102_Wkst'!$L$7:$L$2010,"10",'LAC 102_Wkst'!$N$7:$N$2010,"P1")+SUMIFS('LAC 102_Wkst'!$Q$7:$Q$2010,'LAC 102_Wkst'!$D$7:$D$2010,$C$7,'LAC 102_Wkst'!$I$7:$I$2010,$C$9,'LAC 102_Wkst'!$E$7:$E$2010,$C104,'LAC 102_Wkst'!$G$7:$G$2010,$D104,'LAC 102_Wkst'!$L$7:$L$2010,"10",'LAC 102_Wkst'!$N$7:$N$2010,"P2")+SUMIFS('LAC 102_Wkst'!$Q$7:$Q$2010,'LAC 102_Wkst'!$D$7:$D$2010,$C$7,'LAC 102_Wkst'!$I$7:$I$2010,$C$9,'LAC 102_Wkst'!$E$7:$E$2010,$C104,'LAC 102_Wkst'!$G$7:$G$2010,$D104,'LAC 102_Wkst'!$L$7:$L$2010,"10",'LAC 102_Wkst'!$N$7:$N$2010,"P3")+SUMIFS('LAC 102_Wkst'!$Q$7:$Q$2010,'LAC 102_Wkst'!$D$7:$D$2010,$C$7,'LAC 102_Wkst'!$I$7:$I$2010,$C$9,'LAC 102_Wkst'!$E$7:$E$2010,$C104,'LAC 102_Wkst'!$G$7:$G$2010,$D104,'LAC 102_Wkst'!$L$7:$L$2010,"10",'LAC 102_Wkst'!$N$7:$N$2010,"P4")</f>
        <v>0</v>
      </c>
      <c r="AQ104" s="411">
        <f>SUMIFS('LAC 102_Wkst'!$AF$7:$AF$2010,'LAC 102_Wkst'!$D$7:$D$2010,$C$7,'LAC 102_Wkst'!$I$7:$I$2010,$C$9,'LAC 102_Wkst'!$E$7:$E$2010,$C104,'LAC 102_Wkst'!$G$7:$G$2010,$D104,'LAC 102_Wkst'!$L$7:$L$2010,"10",'LAC 102_Wkst'!$N$7:$N$2010,"P1")+SUMIFS('LAC 102_Wkst'!$AF$7:$AF$2010,'LAC 102_Wkst'!$D$7:$D$2010,$C$7,'LAC 102_Wkst'!$I$7:$I$2010,$C$9,'LAC 102_Wkst'!$E$7:$E$2010,$C104,'LAC 102_Wkst'!$G$7:$G$2010,$D104,'LAC 102_Wkst'!$L$7:$L$2010,"10",'LAC 102_Wkst'!$N$7:$N$2010,"P2")+SUMIFS('LAC 102_Wkst'!$AF$7:$AF$2010,'LAC 102_Wkst'!$D$7:$D$2010,$C$7,'LAC 102_Wkst'!$I$7:$I$2010,$C$9,'LAC 102_Wkst'!$E$7:$E$2010,$C104,'LAC 102_Wkst'!$G$7:$G$2010,$D104,'LAC 102_Wkst'!$L$7:$L$2010,"10",'LAC 102_Wkst'!$N$7:$N$2010,"P3")+SUMIFS('LAC 102_Wkst'!$AF$7:$AF$2010,'LAC 102_Wkst'!$D$7:$D$2010,$C$7,'LAC 102_Wkst'!$I$7:$I$2010,$C$9,'LAC 102_Wkst'!$E$7:$E$2010,$C104,'LAC 102_Wkst'!$G$7:$G$2010,$D104,'LAC 102_Wkst'!$L$7:$L$2010,"10",'LAC 102_Wkst'!$N$7:$N$2010,"P4")</f>
        <v>0</v>
      </c>
      <c r="AR104" s="410">
        <f>SUMIFS('LAC 102_Wkst'!$Q$7:$Q$2010,'LAC 102_Wkst'!$D$7:$D$2010,$C$7,'LAC 102_Wkst'!$I$7:$I$2010,$C$9,'LAC 102_Wkst'!$E$7:$E$2010,$C104,'LAC 102_Wkst'!$G$7:$G$2010,$D104,'LAC 102_Wkst'!$L$7:$L$2010,"10",'LAC 102_Wkst'!$N$7:$N$2010,"P5")</f>
        <v>0</v>
      </c>
      <c r="AS104" s="411">
        <f>SUMIFS('LAC 102_Wkst'!$AF$7:$AF$2010,'LAC 102_Wkst'!$D$7:$D$2010,$C$7,'LAC 102_Wkst'!$I$7:$I$2010,$C$9,'LAC 102_Wkst'!$E$7:$E$2010,$C104,'LAC 102_Wkst'!$G$7:$G$2010,$D104,'LAC 102_Wkst'!$L$7:$L$2010,"10",'LAC 102_Wkst'!$N$7:$N$2010,"P5")</f>
        <v>0</v>
      </c>
      <c r="AT104" s="410">
        <f>SUMIFS('LAC 102_Wkst'!$Q$7:$Q$2010,'LAC 102_Wkst'!$D$7:$D$2010,$C$7,'LAC 102_Wkst'!$I$7:$I$2010,$C$9,'LAC 102_Wkst'!$E$7:$E$2010,$C104,'LAC 102_Wkst'!$G$7:$G$2010,$D104,'LAC 102_Wkst'!$L$7:$L$2010,"11",'LAC 102_Wkst'!$N$7:$N$2010,"P1")+SUMIFS('LAC 102_Wkst'!$Q$7:$Q$2010,'LAC 102_Wkst'!$D$7:$D$2010,$C$7,'LAC 102_Wkst'!$I$7:$I$2010,$C$9,'LAC 102_Wkst'!$E$7:$E$2010,$C104,'LAC 102_Wkst'!$G$7:$G$2010,$D104,'LAC 102_Wkst'!$L$7:$L$2010,"12",'LAC 102_Wkst'!$N$7:$N$2010,"P1")</f>
        <v>0</v>
      </c>
      <c r="AU104" s="411">
        <f>SUMIFS('LAC 102_Wkst'!$Q$7:$Q$2010,'LAC 102_Wkst'!$D$7:$D$2010,$C$7,'LAC 102_Wkst'!$I$7:$I$2010,$C$9,'LAC 102_Wkst'!$E$7:$E$2010,$C104,'LAC 102_Wkst'!$G$7:$G$2010,$D104,'LAC 102_Wkst'!$L$7:$L$2010,"13",'LAC 102_Wkst'!$N$7:$N$2010,"P5")</f>
        <v>0</v>
      </c>
      <c r="AV104" s="410">
        <f>SUMIFS('LAC 102_Wkst'!$Q$7:$Q$2010,'LAC 102_Wkst'!$D$7:$D$2010,$C$7,'LAC 102_Wkst'!$I$7:$I$2010,$C$9,'LAC 102_Wkst'!$E$7:$E$2010,$C104,'LAC 102_Wkst'!$G$7:$G$2010,$D104,'LAC 102_Wkst'!$L$7:$L$2010,"11",'LAC 102_Wkst'!$N$7:$N$2010,"P2")+SUMIFS('LAC 102_Wkst'!$Q$7:$Q$2010,'LAC 102_Wkst'!$D$7:$D$2010,$C$7,'LAC 102_Wkst'!$I$7:$I$2010,$C$9,'LAC 102_Wkst'!$E$7:$E$2010,$C104,'LAC 102_Wkst'!$G$7:$G$2010,$D104,'LAC 102_Wkst'!$L$7:$L$2010,"12",'LAC 102_Wkst'!$N$7:$N$2010,"P2")+SUMIFS('LAC 102_Wkst'!$Q$7:$Q$2010,'LAC 102_Wkst'!$D$7:$D$2010,$C$7,'LAC 102_Wkst'!$I$7:$I$2010,$C$9,'LAC 102_Wkst'!$E$7:$E$2010,$C104,'LAC 102_Wkst'!$G$7:$G$2010,$D104,'LAC 102_Wkst'!$L$7:$L$2010,"11",'LAC 102_Wkst'!$N$7:$N$2010,"P3")+SUMIFS('LAC 102_Wkst'!$Q$7:$Q$2010,'LAC 102_Wkst'!$D$7:$D$2010,$C$7,'LAC 102_Wkst'!$I$7:$I$2010,$C$9,'LAC 102_Wkst'!$E$7:$E$2010,$C104,'LAC 102_Wkst'!$G$7:$G$2010,$D104,'LAC 102_Wkst'!$L$7:$L$2010,"12",'LAC 102_Wkst'!$N$7:$N$2010,"P3")</f>
        <v>0</v>
      </c>
      <c r="AW104" s="411">
        <f>SUMIFS('LAC 102_Wkst'!$AF$7:$AF$2010,'LAC 102_Wkst'!$D$7:$D$2010,$C$7,'LAC 102_Wkst'!$I$7:$I$2010,$C$9,'LAC 102_Wkst'!$E$7:$E$2010,$C104,'LAC 102_Wkst'!$G$7:$G$2010,$D104,'LAC 102_Wkst'!$L$7:$L$2010,"11",'LAC 102_Wkst'!$N$7:$N$2010,"P2")+SUMIFS('LAC 102_Wkst'!$AF$7:$AF$2010,'LAC 102_Wkst'!$D$7:$D$2010,$C$7,'LAC 102_Wkst'!$I$7:$I$2010,$C$9,'LAC 102_Wkst'!$E$7:$E$2010,$C104,'LAC 102_Wkst'!$G$7:$G$2010,$D104,'LAC 102_Wkst'!$L$7:$L$2010,"12",'LAC 102_Wkst'!$N$7:$N$2010,"P2")+SUMIFS('LAC 102_Wkst'!$AF$7:$AF$2010,'LAC 102_Wkst'!$D$7:$D$2010,$C$7,'LAC 102_Wkst'!$I$7:$I$2010,$C$9,'LAC 102_Wkst'!$E$7:$E$2010,$C104,'LAC 102_Wkst'!$G$7:$G$2010,$D104,'LAC 102_Wkst'!$L$7:$L$2010,"11",'LAC 102_Wkst'!$N$7:$N$2010,"P3")+SUMIFS('LAC 102_Wkst'!$AF$7:$AF$2010,'LAC 102_Wkst'!$D$7:$D$2010,$C$7,'LAC 102_Wkst'!$I$7:$I$2010,$C$9,'LAC 102_Wkst'!$E$7:$E$2010,$C104,'LAC 102_Wkst'!$G$7:$G$2010,$D104,'LAC 102_Wkst'!$L$7:$L$2010,"12",'LAC 102_Wkst'!$N$7:$N$2010,"P3")</f>
        <v>0</v>
      </c>
      <c r="AX104" s="410">
        <f>SUMIFS('LAC 102_Wkst'!$Q$7:$Q$2010,'LAC 102_Wkst'!$D$7:$D$2010,$C$7,'LAC 102_Wkst'!$I$7:$I$2010,$C$9,'LAC 102_Wkst'!$E$7:$E$2010,$C104,'LAC 102_Wkst'!$G$7:$G$2010,$D104,'LAC 102_Wkst'!$L$7:$L$2010,"11",'LAC 102_Wkst'!$N$7:$N$2010,"P4")+SUMIFS('LAC 102_Wkst'!$Q$7:$Q$2010,'LAC 102_Wkst'!$D$7:$D$2010,$C$7,'LAC 102_Wkst'!$I$7:$I$2010,$C$9,'LAC 102_Wkst'!$E$7:$E$2010,$C104,'LAC 102_Wkst'!$G$7:$G$2010,$D104,'LAC 102_Wkst'!$L$7:$L$2010,"12",'LAC 102_Wkst'!$N$7:$N$2010,"P4")</f>
        <v>0</v>
      </c>
      <c r="AY104" s="411">
        <f>SUMIFS('LAC 102_Wkst'!$AF$7:$AF$2010,'LAC 102_Wkst'!$D$7:$D$2010,$C$7,'LAC 102_Wkst'!$I$7:$I$2010,$C$9,'LAC 102_Wkst'!$E$7:$E$2010,$C104,'LAC 102_Wkst'!$G$7:$G$2010,$D104,'LAC 102_Wkst'!$L$7:$L$2010,"11",'LAC 102_Wkst'!$N$7:$N$2010,"P4")+SUMIFS('LAC 102_Wkst'!$AF$7:$AF$2010,'LAC 102_Wkst'!$D$7:$D$2010,$C$7,'LAC 102_Wkst'!$I$7:$I$2010,$C$9,'LAC 102_Wkst'!$E$7:$E$2010,$C104,'LAC 102_Wkst'!$G$7:$G$2010,$D104,'LAC 102_Wkst'!$L$7:$L$2010,"12",'LAC 102_Wkst'!$N$7:$N$2010,"P4")</f>
        <v>0</v>
      </c>
      <c r="AZ104" s="410">
        <f>SUMIFS('LAC 102_Wkst'!$Q$7:$Q$2010,'LAC 102_Wkst'!$D$7:$D$2010,$C$7,'LAC 102_Wkst'!$I$7:$I$2010,$C$9,'LAC 102_Wkst'!$E$7:$E$2010,$C104,'LAC 102_Wkst'!$G$7:$G$2010,$D104,'LAC 102_Wkst'!$L$7:$L$2010,"11",'LAC 102_Wkst'!$N$7:$N$2010,"P5")+SUMIFS('LAC 102_Wkst'!$Q$7:$Q$2010,'LAC 102_Wkst'!$D$7:$D$2010,$C$7,'LAC 102_Wkst'!$I$7:$I$2010,$C$9,'LAC 102_Wkst'!$E$7:$E$2010,$C104,'LAC 102_Wkst'!$G$7:$G$2010,$D104,'LAC 102_Wkst'!$L$7:$L$2010,"12",'LAC 102_Wkst'!$N$7:$N$2010,"P5")</f>
        <v>0</v>
      </c>
      <c r="BA104" s="411">
        <f>SUMIFS('LAC 102_Wkst'!$AF$7:$AF$2010,'LAC 102_Wkst'!$D$7:$D$2010,$C$7,'LAC 102_Wkst'!$I$7:$I$2010,$C$9,'LAC 102_Wkst'!$E$7:$E$2010,$C104,'LAC 102_Wkst'!$G$7:$G$2010,$D104,'LAC 102_Wkst'!$L$7:$L$2010,"11",'LAC 102_Wkst'!$N$7:$N$2010,"P5")+SUMIFS('LAC 102_Wkst'!$AF$7:$AF$2010,'LAC 102_Wkst'!$D$7:$D$2010,$C$7,'LAC 102_Wkst'!$I$7:$I$2010,$C$9,'LAC 102_Wkst'!$E$7:$E$2010,$C104,'LAC 102_Wkst'!$G$7:$G$2010,$D104,'LAC 102_Wkst'!$L$7:$L$2010,"12",'LAC 102_Wkst'!$N$7:$N$2010,"P5")</f>
        <v>0</v>
      </c>
      <c r="BB104" s="410">
        <f>SUMIFS('LAC 102_Wkst'!$Q$7:$Q$2010,'LAC 102_Wkst'!$D$7:$D$2010,$C$7,'LAC 102_Wkst'!$I$7:$I$2010,$C$9,'LAC 102_Wkst'!$E$7:$E$2010,$C104,'LAC 102_Wkst'!$G$7:$G$2010,$D104,'LAC 102_Wkst'!$L$7:$L$2010,"13",'LAC 102_Wkst'!$N$7:$N$2010,"P1")+SUMIFS('LAC 102_Wkst'!$Q$7:$Q$2010,'LAC 102_Wkst'!$D$7:$D$2010,$C$7,'LAC 102_Wkst'!$I$7:$I$2010,$C$9,'LAC 102_Wkst'!$E$7:$E$2010,$C104,'LAC 102_Wkst'!$G$7:$G$2010,$D104,'LAC 102_Wkst'!$L$7:$L$2010,"13",'LAC 102_Wkst'!$N$7:$N$2010,"P2")+SUMIFS('LAC 102_Wkst'!$Q$7:$Q$2010,'LAC 102_Wkst'!$D$7:$D$2010,$C$7,'LAC 102_Wkst'!$I$7:$I$2010,$C$9,'LAC 102_Wkst'!$E$7:$E$2010,$C104,'LAC 102_Wkst'!$G$7:$G$2010,$D104,'LAC 102_Wkst'!$L$7:$L$2010,"13",'LAC 102_Wkst'!$N$7:$N$2010,"P3")+SUMIFS('LAC 102_Wkst'!$Q$7:$Q$2010,'LAC 102_Wkst'!$D$7:$D$2010,$C$7,'LAC 102_Wkst'!$I$7:$I$2010,$C$9,'LAC 102_Wkst'!$E$7:$E$2010,$C104,'LAC 102_Wkst'!$G$7:$G$2010,$D104,'LAC 102_Wkst'!$L$7:$L$2010,"13",'LAC 102_Wkst'!$N$7:$N$2010,"P4")</f>
        <v>0</v>
      </c>
      <c r="BC104" s="411">
        <f>SUMIFS('LAC 102_Wkst'!$AF$7:$AF$2010,'LAC 102_Wkst'!$D$7:$D$2010,$C$7,'LAC 102_Wkst'!$I$7:$I$2010,$C$9,'LAC 102_Wkst'!$E$7:$E$2010,$C104,'LAC 102_Wkst'!$G$7:$G$2010,$D104,'LAC 102_Wkst'!$L$7:$L$2010,"13",'LAC 102_Wkst'!$N$7:$N$2010,"P1")+SUMIFS('LAC 102_Wkst'!$AF$7:$AF$2010,'LAC 102_Wkst'!$D$7:$D$2010,$C$7,'LAC 102_Wkst'!$I$7:$I$2010,$C$9,'LAC 102_Wkst'!$E$7:$E$2010,$C104,'LAC 102_Wkst'!$G$7:$G$2010,$D104,'LAC 102_Wkst'!$L$7:$L$2010,"13",'LAC 102_Wkst'!$N$7:$N$2010,"P2")+SUMIFS('LAC 102_Wkst'!$AF$7:$AF$2010,'LAC 102_Wkst'!$D$7:$D$2010,$C$7,'LAC 102_Wkst'!$I$7:$I$2010,$C$9,'LAC 102_Wkst'!$E$7:$E$2010,$C104,'LAC 102_Wkst'!$G$7:$G$2010,$D104,'LAC 102_Wkst'!$L$7:$L$2010,"13",'LAC 102_Wkst'!$N$7:$N$2010,"P3")+SUMIFS('LAC 102_Wkst'!$AF$7:$AF$2010,'LAC 102_Wkst'!$D$7:$D$2010,$C$7,'LAC 102_Wkst'!$I$7:$I$2010,$C$9,'LAC 102_Wkst'!$E$7:$E$2010,$C104,'LAC 102_Wkst'!$G$7:$G$2010,$D104,'LAC 102_Wkst'!$L$7:$L$2010,"13",'LAC 102_Wkst'!$N$7:$N$2010,"P4")</f>
        <v>0</v>
      </c>
      <c r="BD104" s="410">
        <f>SUMIFS('LAC 102_Wkst'!$Q$7:$Q$2010,'LAC 102_Wkst'!$D$7:$D$2010,$C$7,'LAC 102_Wkst'!$I$7:$I$2010,$C$9,'LAC 102_Wkst'!$E$7:$E$2010,$C104,'LAC 102_Wkst'!$G$7:$G$2010,$D104,'LAC 102_Wkst'!$L$7:$L$2010,"13",'LAC 102_Wkst'!$N$7:$N$2010,"P5")</f>
        <v>0</v>
      </c>
      <c r="BE104" s="411">
        <f>SUMIFS('LAC 102_Wkst'!$AF$7:$AF$2010,'LAC 102_Wkst'!$D$7:$D$2010,$C$7,'LAC 102_Wkst'!$I$7:$I$2010,$C$9,'LAC 102_Wkst'!$E$7:$E$2010,$C104,'LAC 102_Wkst'!$G$7:$G$2010,$D104,'LAC 102_Wkst'!$L$7:$L$2010,"13",'LAC 102_Wkst'!$N$7:$N$2010,"P5")</f>
        <v>0</v>
      </c>
      <c r="BF104" s="407">
        <f t="shared" si="5"/>
        <v>0</v>
      </c>
      <c r="BG104" s="1654">
        <f>SUMIFS('LAC 102_Wkst'!$AF$7:$AF$2010,'LAC 102_Wkst'!$D$7:$D$2010,$C$7,'LAC 102_Wkst'!$I$7:$I$2010,$C$9,'LAC 102_Wkst'!$E$7:$E$2010,$C104,'LAC 102_Wkst'!$G$7:$G$2010,$D104,'LAC 102_Wkst'!$L$7:$L$2010,"14")</f>
        <v>0</v>
      </c>
    </row>
    <row r="105" spans="1:59" x14ac:dyDescent="0.2">
      <c r="A105" s="401">
        <v>83</v>
      </c>
      <c r="B105" s="1678" t="str">
        <f>IF(Schedule_B!B$102="","",Schedule_B!B$102)</f>
        <v/>
      </c>
      <c r="C105" s="1674" t="str">
        <f>IF(Schedule_B!C$102=""," ",Schedule_B!C$102)</f>
        <v xml:space="preserve"> </v>
      </c>
      <c r="D105" s="1675" t="str">
        <f>IF(Schedule_B!D$102=""," ",Schedule_B!D$102)</f>
        <v xml:space="preserve"> </v>
      </c>
      <c r="E105" s="1221">
        <f>SUMIFS('LAC 102_Wkst'!$Q$7:$Q$2010,'LAC 102_Wkst'!$D$7:$D$2010,$C$7,'LAC 102_Wkst'!$I$7:$I$2010,$C$9,'LAC 102_Wkst'!$E$7:$E$2010,$C105,'LAC 102_Wkst'!$G$7:$G$2010,$D105)</f>
        <v>0</v>
      </c>
      <c r="F105" s="408">
        <f>SUMIFS('LAC 102_Wkst'!$Q$7:$Q$2010,'LAC 102_Wkst'!$D$7:$D$2010,$C$7,'LAC 102_Wkst'!$I$7:$I$2010,$C$9,'LAC 102_Wkst'!$E$7:$E$2010,$C105,'LAC 102_Wkst'!$G$7:$G$2010,$D105,'LAC 102_Wkst'!$L$7:$L$2010,"01",'LAC 102_Wkst'!$N$7:$N$2010,"P1")+SUMIFS('LAC 102_Wkst'!$Q$7:$Q$2010,'LAC 102_Wkst'!$D$7:$D$2010,$C$7,'LAC 102_Wkst'!$I$7:$I$2010,$C$9,'LAC 102_Wkst'!$E$7:$E$2010,$C105,'LAC 102_Wkst'!$G$7:$G$2010,$D105,'LAC 102_Wkst'!$L$7:$L$2010,"01",'LAC 102_Wkst'!$N$7:$N$2010,"P2")+SUMIFS('LAC 102_Wkst'!$Q$7:$Q$2010,'LAC 102_Wkst'!$D$7:$D$2010,$C$7,'LAC 102_Wkst'!$I$7:$I$2010,$C$9,'LAC 102_Wkst'!$E$7:$E$2010,$C105,'LAC 102_Wkst'!$G$7:$G$2010,$D105,'LAC 102_Wkst'!$L$7:$L$2010,"01",'LAC 102_Wkst'!$N$7:$N$2010,"P3")+SUMIFS('LAC 102_Wkst'!$Q$7:$Q$2010,'LAC 102_Wkst'!$D$7:$D$2010,$C$7,'LAC 102_Wkst'!$I$7:$I$2010,$C$9,'LAC 102_Wkst'!$E$7:$E$2010,$C105,'LAC 102_Wkst'!$G$7:$G$2010,$D105,'LAC 102_Wkst'!$L$7:$L$2010,"02",'LAC 102_Wkst'!$N$7:$N$2010,"P1")+SUMIFS('LAC 102_Wkst'!$Q$7:$Q$2010,'LAC 102_Wkst'!$D$7:$D$2010,$C$7,'LAC 102_Wkst'!$I$7:$I$2010,$C$9,'LAC 102_Wkst'!$E$7:$E$2010,$C105,'LAC 102_Wkst'!$G$7:$G$2010,$D105,'LAC 102_Wkst'!$L$7:$L$2010,"02",'LAC 102_Wkst'!$N$7:$N$2010,"P2")+SUMIFS('LAC 102_Wkst'!$Q$7:$Q$2010,'LAC 102_Wkst'!$D$7:$D$2010,$C$7,'LAC 102_Wkst'!$I$7:$I$2010,$C$9,'LAC 102_Wkst'!$E$7:$E$2010,$C105,'LAC 102_Wkst'!$G$7:$G$2010,$D105,'LAC 102_Wkst'!$L$7:$L$2010,"02",'LAC 102_Wkst'!$N$7:$N$2010,"P3")</f>
        <v>0</v>
      </c>
      <c r="G105" s="409">
        <f>SUMIFS('LAC 102_Wkst'!$AF$7:$AF$2010,'LAC 102_Wkst'!$D$7:$D$2010,$C$7,'LAC 102_Wkst'!$I$7:$I$2010,$C$9,'LAC 102_Wkst'!$E$7:$E$2010,$C105,'LAC 102_Wkst'!$G$7:$G$2010,$D105,'LAC 102_Wkst'!$L$7:$L$2010,"01",'LAC 102_Wkst'!$N$7:$N$2010,"P1")+SUMIFS('LAC 102_Wkst'!$AF$7:$AF$2010,'LAC 102_Wkst'!$D$7:$D$2010,$C$7,'LAC 102_Wkst'!$I$7:$I$2010,$C$9,'LAC 102_Wkst'!$E$7:$E$2010,$C105,'LAC 102_Wkst'!$G$7:$G$2010,$D105,'LAC 102_Wkst'!$L$7:$L$2010,"01",'LAC 102_Wkst'!$N$7:$N$2010,"P2")+SUMIFS('LAC 102_Wkst'!$AF$7:$AF$2010,'LAC 102_Wkst'!$D$7:$D$2010,$C$7,'LAC 102_Wkst'!$I$7:$I$2010,$C$9,'LAC 102_Wkst'!$E$7:$E$2010,$C105,'LAC 102_Wkst'!$G$7:$G$2010,$D105,'LAC 102_Wkst'!$L$7:$L$2010,"01",'LAC 102_Wkst'!$N$7:$N$2010,"P3")+SUMIFS('LAC 102_Wkst'!$AF$7:$AF$2010,'LAC 102_Wkst'!$D$7:$D$2010,$C$7,'LAC 102_Wkst'!$I$7:$I$2010,$C$9,'LAC 102_Wkst'!$E$7:$E$2010,$C105,'LAC 102_Wkst'!$G$7:$G$2010,$D105,'LAC 102_Wkst'!$L$7:$L$2010,"02",'LAC 102_Wkst'!$N$7:$N$2010,"P1")+SUMIFS('LAC 102_Wkst'!$AF$7:$AF$2010,'LAC 102_Wkst'!$D$7:$D$2010,$C$7,'LAC 102_Wkst'!$I$7:$I$2010,$C$9,'LAC 102_Wkst'!$E$7:$E$2010,$C105,'LAC 102_Wkst'!$G$7:$G$2010,$D105,'LAC 102_Wkst'!$L$7:$L$2010,"02",'LAC 102_Wkst'!$N$7:$N$2010,"P2")+SUMIFS('LAC 102_Wkst'!$AF$7:$AF$2010,'LAC 102_Wkst'!$D$7:$D$2010,$C$7,'LAC 102_Wkst'!$I$7:$I$2010,$C$9,'LAC 102_Wkst'!$E$7:$E$2010,$C105,'LAC 102_Wkst'!$G$7:$G$2010,$D105,'LAC 102_Wkst'!$L$7:$L$2010,"02",'LAC 102_Wkst'!$N$7:$N$2010,"P3")</f>
        <v>0</v>
      </c>
      <c r="H105" s="410">
        <f>SUMIFS('LAC 102_Wkst'!$Q$7:$Q$2010,'LAC 102_Wkst'!$D$7:$D$2010,$C$7,'LAC 102_Wkst'!$I$7:$I$2010,$C$9,'LAC 102_Wkst'!$E$7:$E$2010,$C105,'LAC 102_Wkst'!$G$7:$G$2010,$D105,'LAC 102_Wkst'!$L$7:$L$2010,"01",'LAC 102_Wkst'!$N$7:$N$2010,"P4")+SUMIFS('LAC 102_Wkst'!$Q$7:$Q$2010,'LAC 102_Wkst'!$D$7:$D$2010,$C$7,'LAC 102_Wkst'!$I$7:$I$2010,$C$9,'LAC 102_Wkst'!$E$7:$E$2010,$C105,'LAC 102_Wkst'!$G$7:$G$2010,$D105,'LAC 102_Wkst'!$L$7:$L$2010,"02",'LAC 102_Wkst'!$N$7:$N$2010,"P4")</f>
        <v>0</v>
      </c>
      <c r="I105" s="411">
        <f>SUMIFS('LAC 102_Wkst'!$AF$7:$AF$2010,'LAC 102_Wkst'!$D$7:$D$2010,$C$7,'LAC 102_Wkst'!$I$7:$I$2010,$C$9,'LAC 102_Wkst'!$E$7:$E$2010,$C105,'LAC 102_Wkst'!$G$7:$G$2010,$D105,'LAC 102_Wkst'!$L$7:$L$2010,"01",'LAC 102_Wkst'!$N$7:$N$2010,"P4")+SUMIFS('LAC 102_Wkst'!$AF$7:$AF$2010,'LAC 102_Wkst'!$D$7:$D$2010,$C$7,'LAC 102_Wkst'!$I$7:$I$2010,$C$9,'LAC 102_Wkst'!$E$7:$E$2010,$C105,'LAC 102_Wkst'!$G$7:$G$2010,$D105,'LAC 102_Wkst'!$L$7:$L$2010,"02",'LAC 102_Wkst'!$N$7:$N$2010,"P4")</f>
        <v>0</v>
      </c>
      <c r="J105" s="410">
        <f>SUMIFS('LAC 102_Wkst'!$Q$7:$Q$2010,'LAC 102_Wkst'!$D$7:$D$2010,$C$7,'LAC 102_Wkst'!$I$7:$I$2010,$C$9,'LAC 102_Wkst'!$E$7:$E$2010,$C105,'LAC 102_Wkst'!$G$7:$G$2010,$D105,'LAC 102_Wkst'!$L$7:$L$2010,"01",'LAC 102_Wkst'!$N$7:$N$2010,"P5")+SUMIFS('LAC 102_Wkst'!$Q$7:$Q$2010,'LAC 102_Wkst'!$D$7:$D$2010,$C$7,'LAC 102_Wkst'!$I$7:$I$2010,$C$9,'LAC 102_Wkst'!$E$7:$E$2010,$C105,'LAC 102_Wkst'!$G$7:$G$2010,$D105,'LAC 102_Wkst'!$L$7:$L$2010,"02",'LAC 102_Wkst'!$N$7:$N$2010,"P5")</f>
        <v>0</v>
      </c>
      <c r="K105" s="411">
        <f>SUMIFS('LAC 102_Wkst'!$AF$7:$AF$2010,'LAC 102_Wkst'!$D$7:$D$2010,$C$7,'LAC 102_Wkst'!$I$7:$I$2010,$C$9,'LAC 102_Wkst'!$E$7:$E$2010,$C105,'LAC 102_Wkst'!$G$7:$G$2010,$D105,'LAC 102_Wkst'!$L$7:$L$2010,"01",'LAC 102_Wkst'!$N$7:$N$2010,"P5")+SUMIFS('LAC 102_Wkst'!$AF$7:$AF$2010,'LAC 102_Wkst'!$D$7:$D$2010,$C$7,'LAC 102_Wkst'!$I$7:$I$2010,$C$9,'LAC 102_Wkst'!$E$7:$E$2010,$C105,'LAC 102_Wkst'!$G$7:$G$2010,$D105,'LAC 102_Wkst'!$L$7:$L$2010,"02",'LAC 102_Wkst'!$N$7:$N$2010,"P5")</f>
        <v>0</v>
      </c>
      <c r="L105" s="410">
        <f>SUMIFS('LAC 102_Wkst'!$Q$7:$Q$2010,'LAC 102_Wkst'!$D$7:$D$2010,$C$7,'LAC 102_Wkst'!$I$7:$I$2010,$C$9,'LAC 102_Wkst'!$E$7:$E$2010,$C105,'LAC 102_Wkst'!$G$7:$G$2010,$D105,'LAC 102_Wkst'!$L$7:$L$2010,"03",'LAC 102_Wkst'!$N$7:$N$2010,"P1")+SUMIFS('LAC 102_Wkst'!$Q$7:$Q$2010,'LAC 102_Wkst'!$D$7:$D$2010,$C$7,'LAC 102_Wkst'!$I$7:$I$2010,$C$9,'LAC 102_Wkst'!$E$7:$E$2010,$C105,'LAC 102_Wkst'!$G$7:$G$2010,$D105,'LAC 102_Wkst'!$L$7:$L$2010,"03",'LAC 102_Wkst'!$N$7:$N$2010,"P2")+SUMIFS('LAC 102_Wkst'!$Q$7:$Q$2010,'LAC 102_Wkst'!$D$7:$D$2010,$C$7,'LAC 102_Wkst'!$I$7:$I$2010,$C$9,'LAC 102_Wkst'!$E$7:$E$2010,$C105,'LAC 102_Wkst'!$G$7:$G$2010,$D105,'LAC 102_Wkst'!$L$7:$L$2010,"03",'LAC 102_Wkst'!$N$7:$N$2010,"P3")+SUMIFS('LAC 102_Wkst'!$Q$7:$Q$2010,'LAC 102_Wkst'!$D$7:$D$2010,$C$7,'LAC 102_Wkst'!$I$7:$I$2010,$C$9,'LAC 102_Wkst'!$E$7:$E$2010,$C105,'LAC 102_Wkst'!$G$7:$G$2010,$D105,'LAC 102_Wkst'!$L$7:$L$2010,"04",'LAC 102_Wkst'!$N$7:$N$2010,"P1")+SUMIFS('LAC 102_Wkst'!$Q$7:$Q$2010,'LAC 102_Wkst'!$D$7:$D$2010,$C$7,'LAC 102_Wkst'!$I$7:$I$2010,$C$9,'LAC 102_Wkst'!$E$7:$E$2010,$C105,'LAC 102_Wkst'!$G$7:$G$2010,$D105,'LAC 102_Wkst'!$L$7:$L$2010,"04",'LAC 102_Wkst'!$N$7:$N$2010,"P2")+SUMIFS('LAC 102_Wkst'!$Q$7:$Q$2010,'LAC 102_Wkst'!$D$7:$D$2010,$C$7,'LAC 102_Wkst'!$I$7:$I$2010,$C$9,'LAC 102_Wkst'!$E$7:$E$2010,$C105,'LAC 102_Wkst'!$G$7:$G$2010,$D105,'LAC 102_Wkst'!$L$7:$L$2010,"04",'LAC 102_Wkst'!$N$7:$N$2010,"P3")</f>
        <v>0</v>
      </c>
      <c r="M105" s="411">
        <f>SUMIFS('LAC 102_Wkst'!$AF$7:$AF$2010,'LAC 102_Wkst'!$D$7:$D$2010,$C$7,'LAC 102_Wkst'!$I$7:$I$2010,$C$9,'LAC 102_Wkst'!$E$7:$E$2010,$C105,'LAC 102_Wkst'!$G$7:$G$2010,$D105,'LAC 102_Wkst'!$L$7:$L$2010,"03",'LAC 102_Wkst'!$N$7:$N$2010,"P1")+SUMIFS('LAC 102_Wkst'!$AF$7:$AF$2010,'LAC 102_Wkst'!$D$7:$D$2010,$C$7,'LAC 102_Wkst'!$I$7:$I$2010,$C$9,'LAC 102_Wkst'!$E$7:$E$2010,$C105,'LAC 102_Wkst'!$G$7:$G$2010,$D105,'LAC 102_Wkst'!$L$7:$L$2010,"03",'LAC 102_Wkst'!$N$7:$N$2010,"P2")+SUMIFS('LAC 102_Wkst'!$AF$7:$AF$2010,'LAC 102_Wkst'!$D$7:$D$2010,$C$7,'LAC 102_Wkst'!$I$7:$I$2010,$C$9,'LAC 102_Wkst'!$E$7:$E$2010,$C105,'LAC 102_Wkst'!$G$7:$G$2010,$D105,'LAC 102_Wkst'!$L$7:$L$2010,"03",'LAC 102_Wkst'!$N$7:$N$2010,"P3")+SUMIFS('LAC 102_Wkst'!$AF$7:$AF$2010,'LAC 102_Wkst'!$D$7:$D$2010,$C$7,'LAC 102_Wkst'!$I$7:$I$2010,$C$9,'LAC 102_Wkst'!$E$7:$E$2010,$C105,'LAC 102_Wkst'!$G$7:$G$2010,$D105,'LAC 102_Wkst'!$L$7:$L$2010,"04",'LAC 102_Wkst'!$N$7:$N$2010,"P1")+SUMIFS('LAC 102_Wkst'!$AF$7:$AF$2010,'LAC 102_Wkst'!$D$7:$D$2010,$C$7,'LAC 102_Wkst'!$I$7:$I$2010,$C$9,'LAC 102_Wkst'!$E$7:$E$2010,$C105,'LAC 102_Wkst'!$G$7:$G$2010,$D105,'LAC 102_Wkst'!$L$7:$L$2010,"04",'LAC 102_Wkst'!$N$7:$N$2010,"P2")+SUMIFS('LAC 102_Wkst'!$AF$7:$AF$2010,'LAC 102_Wkst'!$D$7:$D$2010,$C$7,'LAC 102_Wkst'!$I$7:$I$2010,$C$9,'LAC 102_Wkst'!$E$7:$E$2010,$C105,'LAC 102_Wkst'!$G$7:$G$2010,$D105,'LAC 102_Wkst'!$L$7:$L$2010,"04",'LAC 102_Wkst'!$N$7:$N$2010,"P3")</f>
        <v>0</v>
      </c>
      <c r="N105" s="410">
        <f>SUMIFS('LAC 102_Wkst'!$Q$7:$Q$2010,'LAC 102_Wkst'!$D$7:$D$2010,$C$7,'LAC 102_Wkst'!$I$7:$I$2010,$C$9,'LAC 102_Wkst'!$E$7:$E$2010,$C105,'LAC 102_Wkst'!$G$7:$G$2010,$D105,'LAC 102_Wkst'!$L$7:$L$2010,"03",'LAC 102_Wkst'!$N$7:$N$2010,"P4")+SUMIFS('LAC 102_Wkst'!$Q$7:$Q$2010,'LAC 102_Wkst'!$D$7:$D$2010,$C$7,'LAC 102_Wkst'!$I$7:$I$2010,$C$9,'LAC 102_Wkst'!$E$7:$E$2010,$C105,'LAC 102_Wkst'!$G$7:$G$2010,$D105,'LAC 102_Wkst'!$L$7:$L$2010,"04",'LAC 102_Wkst'!$N$7:$N$2010,"P4")</f>
        <v>0</v>
      </c>
      <c r="O105" s="411">
        <f>SUMIFS('LAC 102_Wkst'!$AF$7:$AF$2010,'LAC 102_Wkst'!$D$7:$D$2010,$C$7,'LAC 102_Wkst'!$I$7:$I$2010,$C$9,'LAC 102_Wkst'!$E$7:$E$2010,$C105,'LAC 102_Wkst'!$G$7:$G$2010,$D105,'LAC 102_Wkst'!$L$7:$L$2010,"03",'LAC 102_Wkst'!$N$7:$N$2010,"P4")+SUMIFS('LAC 102_Wkst'!$AF$7:$AF$2010,'LAC 102_Wkst'!$D$7:$D$2010,$C$7,'LAC 102_Wkst'!$I$7:$I$2010,$C$9,'LAC 102_Wkst'!$E$7:$E$2010,$C105,'LAC 102_Wkst'!$G$7:$G$2010,$D105,'LAC 102_Wkst'!$L$7:$L$2010,"04",'LAC 102_Wkst'!$N$7:$N$2010,"P4")</f>
        <v>0</v>
      </c>
      <c r="P105" s="410">
        <f>SUMIFS('LAC 102_Wkst'!$Q$7:$Q$2010,'LAC 102_Wkst'!$D$7:$D$2010,$C$7,'LAC 102_Wkst'!$I$7:$I$2010,$C$9,'LAC 102_Wkst'!$E$7:$E$2010,$C105,'LAC 102_Wkst'!$G$7:$G$2010,$D105,'LAC 102_Wkst'!$L$7:$L$2010,"03",'LAC 102_Wkst'!$N$7:$N$2010,"P5")+SUMIFS('LAC 102_Wkst'!$Q$7:$Q$2010,'LAC 102_Wkst'!$D$7:$D$2010,$C$7,'LAC 102_Wkst'!$I$7:$I$2010,$C$9,'LAC 102_Wkst'!$E$7:$E$2010,$C105,'LAC 102_Wkst'!$G$7:$G$2010,$D105,'LAC 102_Wkst'!$L$7:$L$2010,"04",'LAC 102_Wkst'!$N$7:$N$2010,"P5")</f>
        <v>0</v>
      </c>
      <c r="Q105" s="411">
        <f>SUMIFS('LAC 102_Wkst'!$AF$7:$AF$2010,'LAC 102_Wkst'!$D$7:$D$2010,$C$7,'LAC 102_Wkst'!$I$7:$I$2010,$C$9,'LAC 102_Wkst'!$E$7:$E$2010,$C105,'LAC 102_Wkst'!$G$7:$G$2010,$D105,'LAC 102_Wkst'!$L$7:$L$2010,"03",'LAC 102_Wkst'!$N$7:$N$2010,"P5")+SUMIFS('LAC 102_Wkst'!$AF$7:$AF$2010,'LAC 102_Wkst'!$D$7:$D$2010,$C$7,'LAC 102_Wkst'!$I$7:$I$2010,$C$9,'LAC 102_Wkst'!$E$7:$E$2010,$C105,'LAC 102_Wkst'!$G$7:$G$2010,$D105,'LAC 102_Wkst'!$L$7:$L$2010,"04",'LAC 102_Wkst'!$N$7:$N$2010,"P5")</f>
        <v>0</v>
      </c>
      <c r="R105" s="412">
        <f>SUMIFS('LAC 102_Wkst'!$Q$7:$Q$2010,'LAC 102_Wkst'!$D$7:$D$2010,$C$7,'LAC 102_Wkst'!$I$7:$I$2010,$C$9,'LAC 102_Wkst'!$E$7:$E$2010,$C105,'LAC 102_Wkst'!$G$7:$G$2010,$D105,'LAC 102_Wkst'!$L$7:$L$2010,"05",'LAC 102_Wkst'!$N$7:$N$2010,"P1")+SUMIFS('LAC 102_Wkst'!$Q$7:$Q$2010,'LAC 102_Wkst'!$D$7:$D$2010,$C$7,'LAC 102_Wkst'!$I$7:$I$2010,$C$9,'LAC 102_Wkst'!$E$7:$E$2010,$C105,'LAC 102_Wkst'!$G$7:$G$2010,$D105,'LAC 102_Wkst'!$L$7:$L$2010,"06",'LAC 102_Wkst'!$N$7:$N$2010,"P1")</f>
        <v>0</v>
      </c>
      <c r="S105" s="411">
        <f>SUMIFS('LAC 102_Wkst'!$AF$7:$AF$2010,'LAC 102_Wkst'!$D$7:$D$2010,$C$7,'LAC 102_Wkst'!$I$7:$I$2010,$C$9,'LAC 102_Wkst'!$E$7:$E$2010,$C105,'LAC 102_Wkst'!$G$7:$G$2010,$D105,'LAC 102_Wkst'!$L$7:$L$2010,"05",'LAC 102_Wkst'!$N$7:$N$2010,"P1")+SUMIFS('LAC 102_Wkst'!$AF$7:$AF$2010,'LAC 102_Wkst'!$D$7:$D$2010,$C$7,'LAC 102_Wkst'!$I$7:$I$2010,$C$9,'LAC 102_Wkst'!$E$7:$E$2010,$C105,'LAC 102_Wkst'!$G$7:$G$2010,$D105,'LAC 102_Wkst'!$L$7:$L$2010,"06",'LAC 102_Wkst'!$N$7:$N$2010,"P1")</f>
        <v>0</v>
      </c>
      <c r="T105" s="410">
        <f>SUMIFS('LAC 102_Wkst'!$Q$7:$Q$2010,'LAC 102_Wkst'!$D$7:$D$2010,$C$7,'LAC 102_Wkst'!$I$7:$I$2010,$C$9,'LAC 102_Wkst'!$E$7:$E$2010,$C105,'LAC 102_Wkst'!$G$7:$G$2010,$D105,'LAC 102_Wkst'!$L$7:$L$2010,"05",'LAC 102_Wkst'!$N$7:$N$2010,"P2")+SUMIFS('LAC 102_Wkst'!$Q$7:$Q$2010,'LAC 102_Wkst'!$D$7:$D$2010,$C$7,'LAC 102_Wkst'!$I$7:$I$2010,$C$9,'LAC 102_Wkst'!$E$7:$E$2010,$C105,'LAC 102_Wkst'!$G$7:$G$2010,$D105,'LAC 102_Wkst'!$L$7:$L$2010,"06",'LAC 102_Wkst'!$N$7:$N$2010,"P2")+SUMIFS('LAC 102_Wkst'!$Q$7:$Q$2010,'LAC 102_Wkst'!$D$7:$D$2010,$C$7,'LAC 102_Wkst'!$I$7:$I$2010,$C$9,'LAC 102_Wkst'!$E$7:$E$2010,$C105,'LAC 102_Wkst'!$G$7:$G$2010,$D105,'LAC 102_Wkst'!$L$7:$L$2010,"05",'LAC 102_Wkst'!$N$7:$N$2010,"P3")+SUMIFS('LAC 102_Wkst'!$Q$7:$Q$2010,'LAC 102_Wkst'!$D$7:$D$2010,$C$7,'LAC 102_Wkst'!$I$7:$I$2010,$C$9,'LAC 102_Wkst'!$E$7:$E$2010,$C105,'LAC 102_Wkst'!$G$7:$G$2010,$D105,'LAC 102_Wkst'!$L$7:$L$2010,"06",'LAC 102_Wkst'!$N$7:$N$2010,"P3")</f>
        <v>0</v>
      </c>
      <c r="U105" s="411">
        <f>SUMIFS('LAC 102_Wkst'!$AF$7:$AF$2010,'LAC 102_Wkst'!$D$7:$D$2010,$C$7,'LAC 102_Wkst'!$I$7:$I$2010,$C$9,'LAC 102_Wkst'!$E$7:$E$2010,$C105,'LAC 102_Wkst'!$G$7:$G$2010,$D105,'LAC 102_Wkst'!$L$7:$L$2010,"05",'LAC 102_Wkst'!$N$7:$N$2010,"P2")+SUMIFS('LAC 102_Wkst'!$AF$7:$AF$2010,'LAC 102_Wkst'!$D$7:$D$2010,$C$7,'LAC 102_Wkst'!$I$7:$I$2010,$C$9,'LAC 102_Wkst'!$E$7:$E$2010,$C105,'LAC 102_Wkst'!$G$7:$G$2010,$D105,'LAC 102_Wkst'!$L$7:$L$2010,"06",'LAC 102_Wkst'!$N$7:$N$2010,"P2")+SUMIFS('LAC 102_Wkst'!$AF$7:$AF$2010,'LAC 102_Wkst'!$D$7:$D$2010,$C$7,'LAC 102_Wkst'!$I$7:$I$2010,$C$9,'LAC 102_Wkst'!$E$7:$E$2010,$C105,'LAC 102_Wkst'!$G$7:$G$2010,$D105,'LAC 102_Wkst'!$L$7:$L$2010,"05",'LAC 102_Wkst'!$N$7:$N$2010,"P3")+SUMIFS('LAC 102_Wkst'!$AF$7:$AF$2010,'LAC 102_Wkst'!$D$7:$D$2010,$C$7,'LAC 102_Wkst'!$I$7:$I$2010,$C$9,'LAC 102_Wkst'!$E$7:$E$2010,$C105,'LAC 102_Wkst'!$G$7:$G$2010,$D105,'LAC 102_Wkst'!$L$7:$L$2010,"06",'LAC 102_Wkst'!$N$7:$N$2010,"P3")</f>
        <v>0</v>
      </c>
      <c r="V105" s="410">
        <f>SUMIFS('LAC 102_Wkst'!$Q$7:$Q$2010,'LAC 102_Wkst'!$D$7:$D$2010,$C$7,'LAC 102_Wkst'!$I$7:$I$2010,$C$9,'LAC 102_Wkst'!$E$7:$E$2010,$C105,'LAC 102_Wkst'!$G$7:$G$2010,$D105,'LAC 102_Wkst'!$L$7:$L$2010,"05",'LAC 102_Wkst'!$N$7:$N$2010,"P4")+SUMIFS('LAC 102_Wkst'!$Q$7:$Q$2010,'LAC 102_Wkst'!$D$7:$D$2010,$C$7,'LAC 102_Wkst'!$I$7:$I$2010,$C$9,'LAC 102_Wkst'!$E$7:$E$2010,$C105,'LAC 102_Wkst'!$G$7:$G$2010,$D105,'LAC 102_Wkst'!$L$7:$L$2010,"06",'LAC 102_Wkst'!$N$7:$N$2010,"P4")</f>
        <v>0</v>
      </c>
      <c r="W105" s="411">
        <f>SUMIFS('LAC 102_Wkst'!$AF$7:$AF$2010,'LAC 102_Wkst'!$D$7:$D$2010,$C$7,'LAC 102_Wkst'!$I$7:$I$2010,$C$9,'LAC 102_Wkst'!$E$7:$E$2010,$C105,'LAC 102_Wkst'!$G$7:$G$2010,$D105,'LAC 102_Wkst'!$L$7:$L$2010,"05",'LAC 102_Wkst'!$N$7:$N$2010,"P4")+SUMIFS('LAC 102_Wkst'!$AF$7:$AF$2010,'LAC 102_Wkst'!$D$7:$D$2010,$C$7,'LAC 102_Wkst'!$I$7:$I$2010,$C$9,'LAC 102_Wkst'!$E$7:$E$2010,$C105,'LAC 102_Wkst'!$G$7:$G$2010,$D105,'LAC 102_Wkst'!$L$7:$L$2010,"06",'LAC 102_Wkst'!$N$7:$N$2010,"P4")</f>
        <v>0</v>
      </c>
      <c r="X105" s="410">
        <f>SUMIFS('LAC 102_Wkst'!$Q$7:$Q$2010,'LAC 102_Wkst'!$D$7:$D$2010,$C$7,'LAC 102_Wkst'!$I$7:$I$2010,$C$9,'LAC 102_Wkst'!$E$7:$E$2010,$C105,'LAC 102_Wkst'!$G$7:$G$2010,$D105,'LAC 102_Wkst'!$L$7:$L$2010,"05",'LAC 102_Wkst'!$N$7:$N$2010,"P5")+SUMIFS('LAC 102_Wkst'!$Q$7:$Q$2010,'LAC 102_Wkst'!$D$7:$D$2010,$C$7,'LAC 102_Wkst'!$I$7:$I$2010,$C$9,'LAC 102_Wkst'!$E$7:$E$2010,$C105,'LAC 102_Wkst'!$G$7:$G$2010,$D105,'LAC 102_Wkst'!$L$7:$L$2010,"06",'LAC 102_Wkst'!$N$7:$N$2010,"P5")</f>
        <v>0</v>
      </c>
      <c r="Y105" s="411">
        <f>SUMIFS('LAC 102_Wkst'!$AF$7:$AF$2010,'LAC 102_Wkst'!$D$7:$D$2010,$C$7,'LAC 102_Wkst'!$I$7:$I$2010,$C$9,'LAC 102_Wkst'!$E$7:$E$2010,$C105,'LAC 102_Wkst'!$G$7:$G$2010,$D105,'LAC 102_Wkst'!$L$7:$L$2010,"05",'LAC 102_Wkst'!$N$7:$N$2010,"P5")+SUMIFS('LAC 102_Wkst'!$AF$7:$AF$2010,'LAC 102_Wkst'!$D$7:$D$2010,$C$7,'LAC 102_Wkst'!$I$7:$I$2010,$C$9,'LAC 102_Wkst'!$E$7:$E$2010,$C105,'LAC 102_Wkst'!$G$7:$G$2010,$D105,'LAC 102_Wkst'!$L$7:$L$2010,"06",'LAC 102_Wkst'!$N$7:$N$2010,"P5")</f>
        <v>0</v>
      </c>
      <c r="Z105" s="410">
        <f>SUMIFS('LAC 102_Wkst'!$Q$7:$Q$2010,'LAC 102_Wkst'!$D$7:$D$2010,$C$7,'LAC 102_Wkst'!$I$7:$I$2010,$C$9,'LAC 102_Wkst'!$E$7:$E$2010,$C105,'LAC 102_Wkst'!$G$7:$G$2010,$D105,'LAC 102_Wkst'!$L$7:$L$2010,"07",'LAC 102_Wkst'!$N$7:$N$2010,"P1")+SUMIFS('LAC 102_Wkst'!$Q$7:$Q$2010,'LAC 102_Wkst'!$D$7:$D$2010,$C$7,'LAC 102_Wkst'!$I$7:$I$2010,$C$9,'LAC 102_Wkst'!$E$7:$E$2010,$C105,'LAC 102_Wkst'!$G$7:$G$2010,$D105,'LAC 102_Wkst'!$L$7:$L$2010,"07",'LAC 102_Wkst'!$N$7:$N$2010,"P2")+SUMIFS('LAC 102_Wkst'!$Q$7:$Q$2010,'LAC 102_Wkst'!$D$7:$D$2010,$C$7,'LAC 102_Wkst'!$I$7:$I$2010,$C$9,'LAC 102_Wkst'!$E$7:$E$2010,$C105,'LAC 102_Wkst'!$G$7:$G$2010,$D105,'LAC 102_Wkst'!$L$7:$L$2010,"07",'LAC 102_Wkst'!$N$7:$N$2010,"P3")</f>
        <v>0</v>
      </c>
      <c r="AA105" s="411">
        <f>SUMIFS('LAC 102_Wkst'!$AF$7:$AF$2010,'LAC 102_Wkst'!$D$7:$D$2010,$C$7,'LAC 102_Wkst'!$I$7:$I$2010,$C$9,'LAC 102_Wkst'!$E$7:$E$2010,$C105,'LAC 102_Wkst'!$G$7:$G$2010,$D105,'LAC 102_Wkst'!$L$7:$L$2010,"07",'LAC 102_Wkst'!$N$7:$N$2010,"P1")+SUMIFS('LAC 102_Wkst'!$AF$7:$AF$2010,'LAC 102_Wkst'!$D$7:$D$2010,$C$7,'LAC 102_Wkst'!$I$7:$I$2010,$C$9,'LAC 102_Wkst'!$E$7:$E$2010,$C105,'LAC 102_Wkst'!$G$7:$G$2010,$D105,'LAC 102_Wkst'!$L$7:$L$2010,"07",'LAC 102_Wkst'!$N$7:$N$2010,"P2")+SUMIFS('LAC 102_Wkst'!$AF$7:$AF$2010,'LAC 102_Wkst'!$D$7:$D$2010,$C$7,'LAC 102_Wkst'!$I$7:$I$2010,$C$9,'LAC 102_Wkst'!$E$7:$E$2010,$C105,'LAC 102_Wkst'!$G$7:$G$2010,$D105,'LAC 102_Wkst'!$L$7:$L$2010,"07",'LAC 102_Wkst'!$N$7:$N$2010,"P3")</f>
        <v>0</v>
      </c>
      <c r="AB105" s="410">
        <f>SUMIFS('LAC 102_Wkst'!$Q$7:$Q$2010,'LAC 102_Wkst'!$D$7:$D$2010,$C$7,'LAC 102_Wkst'!$I$7:$I$2010,$C$9,'LAC 102_Wkst'!$E$7:$E$2010,$C105,'LAC 102_Wkst'!$G$7:$G$2010,$D105,'LAC 102_Wkst'!$L$7:$L$2010,"07",'LAC 102_Wkst'!$N$7:$N$2010,"P4")</f>
        <v>0</v>
      </c>
      <c r="AC105" s="411">
        <f>SUMIFS('LAC 102_Wkst'!$AF$7:$AF$2010,'LAC 102_Wkst'!$D$7:$D$2010,$C$7,'LAC 102_Wkst'!$I$7:$I$2010,$C$9,'LAC 102_Wkst'!$E$7:$E$2010,$C105,'LAC 102_Wkst'!$G$7:$G$2010,$D105,'LAC 102_Wkst'!$L$7:$L$2010,"07",'LAC 102_Wkst'!$N$7:$N$2010,"P4")</f>
        <v>0</v>
      </c>
      <c r="AD105" s="410">
        <f>SUMIFS('LAC 102_Wkst'!$Q$7:$Q$2010,'LAC 102_Wkst'!$D$7:$D$2010,$C$7,'LAC 102_Wkst'!$I$7:$I$2010,$C$9,'LAC 102_Wkst'!$E$7:$E$2010,$C105,'LAC 102_Wkst'!$G$7:$G$2010,$D105,'LAC 102_Wkst'!$L$7:$L$2010,"07",'LAC 102_Wkst'!$N$7:$N$2010,"P5")</f>
        <v>0</v>
      </c>
      <c r="AE105" s="411">
        <f>SUMIFS('LAC 102_Wkst'!$AF$7:$AF$2010,'LAC 102_Wkst'!$D$7:$D$2010,$C$7,'LAC 102_Wkst'!$I$7:$I$2010,$C$9,'LAC 102_Wkst'!$E$7:$E$2010,$C105,'LAC 102_Wkst'!$G$7:$G$2010,$D105,'LAC 102_Wkst'!$L$7:$L$2010,"07",'LAC 102_Wkst'!$N$7:$N$2010,"P5")</f>
        <v>0</v>
      </c>
      <c r="AF105" s="410">
        <f>SUMIFS('LAC 102_Wkst'!$Q$7:$Q$2010,'LAC 102_Wkst'!$D$7:$D$2010,$C$7,'LAC 102_Wkst'!$I$7:$I$2010,$C$9,'LAC 102_Wkst'!$E$7:$E$2010,$C105,'LAC 102_Wkst'!$G$7:$G$2010,$D105,'LAC 102_Wkst'!$L$7:$L$2010,"08",'LAC 102_Wkst'!$N$7:$N$2010,"P1")+SUMIFS('LAC 102_Wkst'!$Q$7:$Q$2010,'LAC 102_Wkst'!$D$7:$D$2010,$C$7,'LAC 102_Wkst'!$I$7:$I$2010,$C$9,'LAC 102_Wkst'!$E$7:$E$2010,$C105,'LAC 102_Wkst'!$G$7:$G$2010,$D105,'LAC 102_Wkst'!$L$7:$L$2010,"08",'LAC 102_Wkst'!$N$7:$N$2010,"P2")+SUMIFS('LAC 102_Wkst'!$Q$7:$Q$2010,'LAC 102_Wkst'!$D$7:$D$2010,$C$7,'LAC 102_Wkst'!$I$7:$I$2010,$C$9,'LAC 102_Wkst'!$E$7:$E$2010,$C105,'LAC 102_Wkst'!$G$7:$G$2010,$D105,'LAC 102_Wkst'!$L$7:$L$2010,"08",'LAC 102_Wkst'!$N$7:$N$2010,"P3")</f>
        <v>0</v>
      </c>
      <c r="AG105" s="411">
        <f>SUMIFS('LAC 102_Wkst'!$AF$7:$AF$2010,'LAC 102_Wkst'!$D$7:$D$2010,$C$7,'LAC 102_Wkst'!$I$7:$I$2010,$C$9,'LAC 102_Wkst'!$E$7:$E$2010,$C105,'LAC 102_Wkst'!$G$7:$G$2010,$D105,'LAC 102_Wkst'!$L$7:$L$2010,"08",'LAC 102_Wkst'!$N$7:$N$2010,"P1")+SUMIFS('LAC 102_Wkst'!$AF$7:$AF$2010,'LAC 102_Wkst'!$D$7:$D$2010,$C$7,'LAC 102_Wkst'!$I$7:$I$2010,$C$9,'LAC 102_Wkst'!$E$7:$E$2010,$C105,'LAC 102_Wkst'!$G$7:$G$2010,$D105,'LAC 102_Wkst'!$L$7:$L$2010,"08",'LAC 102_Wkst'!$N$7:$N$2010,"P2")+SUMIFS('LAC 102_Wkst'!$AF$7:$AF$2010,'LAC 102_Wkst'!$D$7:$D$2010,$C$7,'LAC 102_Wkst'!$I$7:$I$2010,$C$9,'LAC 102_Wkst'!$E$7:$E$2010,$C105,'LAC 102_Wkst'!$G$7:$G$2010,$D105,'LAC 102_Wkst'!$L$7:$L$2010,"08",'LAC 102_Wkst'!$N$7:$N$2010,"P3")</f>
        <v>0</v>
      </c>
      <c r="AH105" s="410">
        <f>SUMIFS('LAC 102_Wkst'!$Q$7:$Q$2010,'LAC 102_Wkst'!$D$7:$D$2010,$C$7,'LAC 102_Wkst'!$I$7:$I$2010,$C$9,'LAC 102_Wkst'!$E$7:$E$2010,$C105,'LAC 102_Wkst'!$G$7:$G$2010,$D105,'LAC 102_Wkst'!$L$7:$L$2010,"08",'LAC 102_Wkst'!$N$7:$N$2010,"P4")</f>
        <v>0</v>
      </c>
      <c r="AI105" s="411">
        <f>SUMIFS('LAC 102_Wkst'!$AF$7:$AF$2010,'LAC 102_Wkst'!$D$7:$D$2010,$C$7,'LAC 102_Wkst'!$I$7:$I$2010,$C$9,'LAC 102_Wkst'!$E$7:$E$2010,$C105,'LAC 102_Wkst'!$G$7:$G$2010,$D105,'LAC 102_Wkst'!$L$7:$L$2010,"08",'LAC 102_Wkst'!$N$7:$N$2010,"P4")</f>
        <v>0</v>
      </c>
      <c r="AJ105" s="410">
        <f>SUMIFS('LAC 102_Wkst'!$Q$7:$Q$2010,'LAC 102_Wkst'!$D$7:$D$2010,$C$7,'LAC 102_Wkst'!$I$7:$I$2010,$C$9,'LAC 102_Wkst'!$E$7:$E$2010,$C105,'LAC 102_Wkst'!$G$7:$G$2010,$D105,'LAC 102_Wkst'!$L$7:$L$2010,"08",'LAC 102_Wkst'!$N$7:$N$2010,"P5")</f>
        <v>0</v>
      </c>
      <c r="AK105" s="411">
        <f>SUMIFS('LAC 102_Wkst'!$AF$7:$AF$2010,'LAC 102_Wkst'!$D$7:$D$2010,$C$7,'LAC 102_Wkst'!$I$7:$I$2010,$C$9,'LAC 102_Wkst'!$E$7:$E$2010,$C105,'LAC 102_Wkst'!$G$7:$G$2010,$D105,'LAC 102_Wkst'!$L$7:$L$2010,"08",'LAC 102_Wkst'!$N$7:$N$2010,"P5")</f>
        <v>0</v>
      </c>
      <c r="AL105" s="410">
        <f>SUMIFS('LAC 102_Wkst'!$Q$7:$Q$2010,'LAC 102_Wkst'!$D$7:$D$2010,$C$7,'LAC 102_Wkst'!$I$7:$I$2010,$C$9,'LAC 102_Wkst'!$E$7:$E$2010,$C105,'LAC 102_Wkst'!$G$7:$G$2010,$D105,'LAC 102_Wkst'!$L$7:$L$2010,"09",'LAC 102_Wkst'!$N$7:$N$2010,"P1")+SUMIFS('LAC 102_Wkst'!$Q$7:$Q$2010,'LAC 102_Wkst'!$D$7:$D$2010,$C$7,'LAC 102_Wkst'!$I$7:$I$2010,$C$9,'LAC 102_Wkst'!$E$7:$E$2010,$C105,'LAC 102_Wkst'!$G$7:$G$2010,$D105,'LAC 102_Wkst'!$L$7:$L$2010,"09",'LAC 102_Wkst'!$N$7:$N$2010,"P2")+SUMIFS('LAC 102_Wkst'!$Q$7:$Q$2010,'LAC 102_Wkst'!$D$7:$D$2010,$C$7,'LAC 102_Wkst'!$I$7:$I$2010,$C$9,'LAC 102_Wkst'!$E$7:$E$2010,$C105,'LAC 102_Wkst'!$G$7:$G$2010,$D105,'LAC 102_Wkst'!$L$7:$L$2010,"09",'LAC 102_Wkst'!$N$7:$N$2010,"P3")+SUMIFS('LAC 102_Wkst'!$Q$7:$Q$2010,'LAC 102_Wkst'!$D$7:$D$2010,$C$7,'LAC 102_Wkst'!$I$7:$I$2010,$C$9,'LAC 102_Wkst'!$E$7:$E$2010,$C105,'LAC 102_Wkst'!$G$7:$G$2010,$D105,'LAC 102_Wkst'!$L$7:$L$2010,"09",'LAC 102_Wkst'!$N$7:$N$2010,"P4")</f>
        <v>0</v>
      </c>
      <c r="AM105" s="411">
        <f>SUMIFS('LAC 102_Wkst'!$AF$7:$AF$2010,'LAC 102_Wkst'!$D$7:$D$2010,$C$7,'LAC 102_Wkst'!$I$7:$I$2010,$C$9,'LAC 102_Wkst'!$E$7:$E$2010,$C105,'LAC 102_Wkst'!$G$7:$G$2010,$D105,'LAC 102_Wkst'!$L$7:$L$2010,"09",'LAC 102_Wkst'!$N$7:$N$2010,"P1")+SUMIFS('LAC 102_Wkst'!$AF$7:$AF$2010,'LAC 102_Wkst'!$D$7:$D$2010,$C$7,'LAC 102_Wkst'!$I$7:$I$2010,$C$9,'LAC 102_Wkst'!$E$7:$E$2010,$C105,'LAC 102_Wkst'!$G$7:$G$2010,$D105,'LAC 102_Wkst'!$L$7:$L$2010,"09",'LAC 102_Wkst'!$N$7:$N$2010,"P2")+SUMIFS('LAC 102_Wkst'!$AF$7:$AF$2010,'LAC 102_Wkst'!$D$7:$D$2010,$C$7,'LAC 102_Wkst'!$I$7:$I$2010,$C$9,'LAC 102_Wkst'!$E$7:$E$2010,$C105,'LAC 102_Wkst'!$G$7:$G$2010,$D105,'LAC 102_Wkst'!$L$7:$L$2010,"09",'LAC 102_Wkst'!$N$7:$N$2010,"P3")+SUMIFS('LAC 102_Wkst'!$AF$7:$AF$2010,'LAC 102_Wkst'!$D$7:$D$2010,$C$7,'LAC 102_Wkst'!$I$7:$I$2010,$C$9,'LAC 102_Wkst'!$E$7:$E$2010,$C105,'LAC 102_Wkst'!$G$7:$G$2010,$D105,'LAC 102_Wkst'!$L$7:$L$2010,"09",'LAC 102_Wkst'!$N$7:$N$2010,"P4")</f>
        <v>0</v>
      </c>
      <c r="AN105" s="410">
        <f>SUMIFS('LAC 102_Wkst'!$Q$7:$Q$2010,'LAC 102_Wkst'!$D$7:$D$2010,$C$7,'LAC 102_Wkst'!$I$7:$I$2010,$C$9,'LAC 102_Wkst'!$E$7:$E$2010,$C105,'LAC 102_Wkst'!$G$7:$G$2010,$D105,'LAC 102_Wkst'!$L$7:$L$2010,"09",'LAC 102_Wkst'!$N$7:$N$2010,"P5")</f>
        <v>0</v>
      </c>
      <c r="AO105" s="411">
        <f>SUMIFS('LAC 102_Wkst'!$AF$7:$AF$2010,'LAC 102_Wkst'!$D$7:$D$2010,$C$7,'LAC 102_Wkst'!$I$7:$I$2010,$C$9,'LAC 102_Wkst'!$E$7:$E$2010,$C105,'LAC 102_Wkst'!$G$7:$G$2010,$D105,'LAC 102_Wkst'!$L$7:$L$2010,"09",'LAC 102_Wkst'!$N$7:$N$2010,"P5")</f>
        <v>0</v>
      </c>
      <c r="AP105" s="410">
        <f>SUMIFS('LAC 102_Wkst'!$Q$7:$Q$2010,'LAC 102_Wkst'!$D$7:$D$2010,$C$7,'LAC 102_Wkst'!$I$7:$I$2010,$C$9,'LAC 102_Wkst'!$E$7:$E$2010,$C105,'LAC 102_Wkst'!$G$7:$G$2010,$D105,'LAC 102_Wkst'!$L$7:$L$2010,"10",'LAC 102_Wkst'!$N$7:$N$2010,"P1")+SUMIFS('LAC 102_Wkst'!$Q$7:$Q$2010,'LAC 102_Wkst'!$D$7:$D$2010,$C$7,'LAC 102_Wkst'!$I$7:$I$2010,$C$9,'LAC 102_Wkst'!$E$7:$E$2010,$C105,'LAC 102_Wkst'!$G$7:$G$2010,$D105,'LAC 102_Wkst'!$L$7:$L$2010,"10",'LAC 102_Wkst'!$N$7:$N$2010,"P2")+SUMIFS('LAC 102_Wkst'!$Q$7:$Q$2010,'LAC 102_Wkst'!$D$7:$D$2010,$C$7,'LAC 102_Wkst'!$I$7:$I$2010,$C$9,'LAC 102_Wkst'!$E$7:$E$2010,$C105,'LAC 102_Wkst'!$G$7:$G$2010,$D105,'LAC 102_Wkst'!$L$7:$L$2010,"10",'LAC 102_Wkst'!$N$7:$N$2010,"P3")+SUMIFS('LAC 102_Wkst'!$Q$7:$Q$2010,'LAC 102_Wkst'!$D$7:$D$2010,$C$7,'LAC 102_Wkst'!$I$7:$I$2010,$C$9,'LAC 102_Wkst'!$E$7:$E$2010,$C105,'LAC 102_Wkst'!$G$7:$G$2010,$D105,'LAC 102_Wkst'!$L$7:$L$2010,"10",'LAC 102_Wkst'!$N$7:$N$2010,"P4")</f>
        <v>0</v>
      </c>
      <c r="AQ105" s="411">
        <f>SUMIFS('LAC 102_Wkst'!$AF$7:$AF$2010,'LAC 102_Wkst'!$D$7:$D$2010,$C$7,'LAC 102_Wkst'!$I$7:$I$2010,$C$9,'LAC 102_Wkst'!$E$7:$E$2010,$C105,'LAC 102_Wkst'!$G$7:$G$2010,$D105,'LAC 102_Wkst'!$L$7:$L$2010,"10",'LAC 102_Wkst'!$N$7:$N$2010,"P1")+SUMIFS('LAC 102_Wkst'!$AF$7:$AF$2010,'LAC 102_Wkst'!$D$7:$D$2010,$C$7,'LAC 102_Wkst'!$I$7:$I$2010,$C$9,'LAC 102_Wkst'!$E$7:$E$2010,$C105,'LAC 102_Wkst'!$G$7:$G$2010,$D105,'LAC 102_Wkst'!$L$7:$L$2010,"10",'LAC 102_Wkst'!$N$7:$N$2010,"P2")+SUMIFS('LAC 102_Wkst'!$AF$7:$AF$2010,'LAC 102_Wkst'!$D$7:$D$2010,$C$7,'LAC 102_Wkst'!$I$7:$I$2010,$C$9,'LAC 102_Wkst'!$E$7:$E$2010,$C105,'LAC 102_Wkst'!$G$7:$G$2010,$D105,'LAC 102_Wkst'!$L$7:$L$2010,"10",'LAC 102_Wkst'!$N$7:$N$2010,"P3")+SUMIFS('LAC 102_Wkst'!$AF$7:$AF$2010,'LAC 102_Wkst'!$D$7:$D$2010,$C$7,'LAC 102_Wkst'!$I$7:$I$2010,$C$9,'LAC 102_Wkst'!$E$7:$E$2010,$C105,'LAC 102_Wkst'!$G$7:$G$2010,$D105,'LAC 102_Wkst'!$L$7:$L$2010,"10",'LAC 102_Wkst'!$N$7:$N$2010,"P4")</f>
        <v>0</v>
      </c>
      <c r="AR105" s="410">
        <f>SUMIFS('LAC 102_Wkst'!$Q$7:$Q$2010,'LAC 102_Wkst'!$D$7:$D$2010,$C$7,'LAC 102_Wkst'!$I$7:$I$2010,$C$9,'LAC 102_Wkst'!$E$7:$E$2010,$C105,'LAC 102_Wkst'!$G$7:$G$2010,$D105,'LAC 102_Wkst'!$L$7:$L$2010,"10",'LAC 102_Wkst'!$N$7:$N$2010,"P5")</f>
        <v>0</v>
      </c>
      <c r="AS105" s="411">
        <f>SUMIFS('LAC 102_Wkst'!$AF$7:$AF$2010,'LAC 102_Wkst'!$D$7:$D$2010,$C$7,'LAC 102_Wkst'!$I$7:$I$2010,$C$9,'LAC 102_Wkst'!$E$7:$E$2010,$C105,'LAC 102_Wkst'!$G$7:$G$2010,$D105,'LAC 102_Wkst'!$L$7:$L$2010,"10",'LAC 102_Wkst'!$N$7:$N$2010,"P5")</f>
        <v>0</v>
      </c>
      <c r="AT105" s="410">
        <f>SUMIFS('LAC 102_Wkst'!$Q$7:$Q$2010,'LAC 102_Wkst'!$D$7:$D$2010,$C$7,'LAC 102_Wkst'!$I$7:$I$2010,$C$9,'LAC 102_Wkst'!$E$7:$E$2010,$C105,'LAC 102_Wkst'!$G$7:$G$2010,$D105,'LAC 102_Wkst'!$L$7:$L$2010,"11",'LAC 102_Wkst'!$N$7:$N$2010,"P1")+SUMIFS('LAC 102_Wkst'!$Q$7:$Q$2010,'LAC 102_Wkst'!$D$7:$D$2010,$C$7,'LAC 102_Wkst'!$I$7:$I$2010,$C$9,'LAC 102_Wkst'!$E$7:$E$2010,$C105,'LAC 102_Wkst'!$G$7:$G$2010,$D105,'LAC 102_Wkst'!$L$7:$L$2010,"12",'LAC 102_Wkst'!$N$7:$N$2010,"P1")</f>
        <v>0</v>
      </c>
      <c r="AU105" s="411">
        <f>SUMIFS('LAC 102_Wkst'!$Q$7:$Q$2010,'LAC 102_Wkst'!$D$7:$D$2010,$C$7,'LAC 102_Wkst'!$I$7:$I$2010,$C$9,'LAC 102_Wkst'!$E$7:$E$2010,$C105,'LAC 102_Wkst'!$G$7:$G$2010,$D105,'LAC 102_Wkst'!$L$7:$L$2010,"13",'LAC 102_Wkst'!$N$7:$N$2010,"P5")</f>
        <v>0</v>
      </c>
      <c r="AV105" s="410">
        <f>SUMIFS('LAC 102_Wkst'!$Q$7:$Q$2010,'LAC 102_Wkst'!$D$7:$D$2010,$C$7,'LAC 102_Wkst'!$I$7:$I$2010,$C$9,'LAC 102_Wkst'!$E$7:$E$2010,$C105,'LAC 102_Wkst'!$G$7:$G$2010,$D105,'LAC 102_Wkst'!$L$7:$L$2010,"11",'LAC 102_Wkst'!$N$7:$N$2010,"P2")+SUMIFS('LAC 102_Wkst'!$Q$7:$Q$2010,'LAC 102_Wkst'!$D$7:$D$2010,$C$7,'LAC 102_Wkst'!$I$7:$I$2010,$C$9,'LAC 102_Wkst'!$E$7:$E$2010,$C105,'LAC 102_Wkst'!$G$7:$G$2010,$D105,'LAC 102_Wkst'!$L$7:$L$2010,"12",'LAC 102_Wkst'!$N$7:$N$2010,"P2")+SUMIFS('LAC 102_Wkst'!$Q$7:$Q$2010,'LAC 102_Wkst'!$D$7:$D$2010,$C$7,'LAC 102_Wkst'!$I$7:$I$2010,$C$9,'LAC 102_Wkst'!$E$7:$E$2010,$C105,'LAC 102_Wkst'!$G$7:$G$2010,$D105,'LAC 102_Wkst'!$L$7:$L$2010,"11",'LAC 102_Wkst'!$N$7:$N$2010,"P3")+SUMIFS('LAC 102_Wkst'!$Q$7:$Q$2010,'LAC 102_Wkst'!$D$7:$D$2010,$C$7,'LAC 102_Wkst'!$I$7:$I$2010,$C$9,'LAC 102_Wkst'!$E$7:$E$2010,$C105,'LAC 102_Wkst'!$G$7:$G$2010,$D105,'LAC 102_Wkst'!$L$7:$L$2010,"12",'LAC 102_Wkst'!$N$7:$N$2010,"P3")</f>
        <v>0</v>
      </c>
      <c r="AW105" s="411">
        <f>SUMIFS('LAC 102_Wkst'!$AF$7:$AF$2010,'LAC 102_Wkst'!$D$7:$D$2010,$C$7,'LAC 102_Wkst'!$I$7:$I$2010,$C$9,'LAC 102_Wkst'!$E$7:$E$2010,$C105,'LAC 102_Wkst'!$G$7:$G$2010,$D105,'LAC 102_Wkst'!$L$7:$L$2010,"11",'LAC 102_Wkst'!$N$7:$N$2010,"P2")+SUMIFS('LAC 102_Wkst'!$AF$7:$AF$2010,'LAC 102_Wkst'!$D$7:$D$2010,$C$7,'LAC 102_Wkst'!$I$7:$I$2010,$C$9,'LAC 102_Wkst'!$E$7:$E$2010,$C105,'LAC 102_Wkst'!$G$7:$G$2010,$D105,'LAC 102_Wkst'!$L$7:$L$2010,"12",'LAC 102_Wkst'!$N$7:$N$2010,"P2")+SUMIFS('LAC 102_Wkst'!$AF$7:$AF$2010,'LAC 102_Wkst'!$D$7:$D$2010,$C$7,'LAC 102_Wkst'!$I$7:$I$2010,$C$9,'LAC 102_Wkst'!$E$7:$E$2010,$C105,'LAC 102_Wkst'!$G$7:$G$2010,$D105,'LAC 102_Wkst'!$L$7:$L$2010,"11",'LAC 102_Wkst'!$N$7:$N$2010,"P3")+SUMIFS('LAC 102_Wkst'!$AF$7:$AF$2010,'LAC 102_Wkst'!$D$7:$D$2010,$C$7,'LAC 102_Wkst'!$I$7:$I$2010,$C$9,'LAC 102_Wkst'!$E$7:$E$2010,$C105,'LAC 102_Wkst'!$G$7:$G$2010,$D105,'LAC 102_Wkst'!$L$7:$L$2010,"12",'LAC 102_Wkst'!$N$7:$N$2010,"P3")</f>
        <v>0</v>
      </c>
      <c r="AX105" s="410">
        <f>SUMIFS('LAC 102_Wkst'!$Q$7:$Q$2010,'LAC 102_Wkst'!$D$7:$D$2010,$C$7,'LAC 102_Wkst'!$I$7:$I$2010,$C$9,'LAC 102_Wkst'!$E$7:$E$2010,$C105,'LAC 102_Wkst'!$G$7:$G$2010,$D105,'LAC 102_Wkst'!$L$7:$L$2010,"11",'LAC 102_Wkst'!$N$7:$N$2010,"P4")+SUMIFS('LAC 102_Wkst'!$Q$7:$Q$2010,'LAC 102_Wkst'!$D$7:$D$2010,$C$7,'LAC 102_Wkst'!$I$7:$I$2010,$C$9,'LAC 102_Wkst'!$E$7:$E$2010,$C105,'LAC 102_Wkst'!$G$7:$G$2010,$D105,'LAC 102_Wkst'!$L$7:$L$2010,"12",'LAC 102_Wkst'!$N$7:$N$2010,"P4")</f>
        <v>0</v>
      </c>
      <c r="AY105" s="411">
        <f>SUMIFS('LAC 102_Wkst'!$AF$7:$AF$2010,'LAC 102_Wkst'!$D$7:$D$2010,$C$7,'LAC 102_Wkst'!$I$7:$I$2010,$C$9,'LAC 102_Wkst'!$E$7:$E$2010,$C105,'LAC 102_Wkst'!$G$7:$G$2010,$D105,'LAC 102_Wkst'!$L$7:$L$2010,"11",'LAC 102_Wkst'!$N$7:$N$2010,"P4")+SUMIFS('LAC 102_Wkst'!$AF$7:$AF$2010,'LAC 102_Wkst'!$D$7:$D$2010,$C$7,'LAC 102_Wkst'!$I$7:$I$2010,$C$9,'LAC 102_Wkst'!$E$7:$E$2010,$C105,'LAC 102_Wkst'!$G$7:$G$2010,$D105,'LAC 102_Wkst'!$L$7:$L$2010,"12",'LAC 102_Wkst'!$N$7:$N$2010,"P4")</f>
        <v>0</v>
      </c>
      <c r="AZ105" s="410">
        <f>SUMIFS('LAC 102_Wkst'!$Q$7:$Q$2010,'LAC 102_Wkst'!$D$7:$D$2010,$C$7,'LAC 102_Wkst'!$I$7:$I$2010,$C$9,'LAC 102_Wkst'!$E$7:$E$2010,$C105,'LAC 102_Wkst'!$G$7:$G$2010,$D105,'LAC 102_Wkst'!$L$7:$L$2010,"11",'LAC 102_Wkst'!$N$7:$N$2010,"P5")+SUMIFS('LAC 102_Wkst'!$Q$7:$Q$2010,'LAC 102_Wkst'!$D$7:$D$2010,$C$7,'LAC 102_Wkst'!$I$7:$I$2010,$C$9,'LAC 102_Wkst'!$E$7:$E$2010,$C105,'LAC 102_Wkst'!$G$7:$G$2010,$D105,'LAC 102_Wkst'!$L$7:$L$2010,"12",'LAC 102_Wkst'!$N$7:$N$2010,"P5")</f>
        <v>0</v>
      </c>
      <c r="BA105" s="411">
        <f>SUMIFS('LAC 102_Wkst'!$AF$7:$AF$2010,'LAC 102_Wkst'!$D$7:$D$2010,$C$7,'LAC 102_Wkst'!$I$7:$I$2010,$C$9,'LAC 102_Wkst'!$E$7:$E$2010,$C105,'LAC 102_Wkst'!$G$7:$G$2010,$D105,'LAC 102_Wkst'!$L$7:$L$2010,"11",'LAC 102_Wkst'!$N$7:$N$2010,"P5")+SUMIFS('LAC 102_Wkst'!$AF$7:$AF$2010,'LAC 102_Wkst'!$D$7:$D$2010,$C$7,'LAC 102_Wkst'!$I$7:$I$2010,$C$9,'LAC 102_Wkst'!$E$7:$E$2010,$C105,'LAC 102_Wkst'!$G$7:$G$2010,$D105,'LAC 102_Wkst'!$L$7:$L$2010,"12",'LAC 102_Wkst'!$N$7:$N$2010,"P5")</f>
        <v>0</v>
      </c>
      <c r="BB105" s="410">
        <f>SUMIFS('LAC 102_Wkst'!$Q$7:$Q$2010,'LAC 102_Wkst'!$D$7:$D$2010,$C$7,'LAC 102_Wkst'!$I$7:$I$2010,$C$9,'LAC 102_Wkst'!$E$7:$E$2010,$C105,'LAC 102_Wkst'!$G$7:$G$2010,$D105,'LAC 102_Wkst'!$L$7:$L$2010,"13",'LAC 102_Wkst'!$N$7:$N$2010,"P1")+SUMIFS('LAC 102_Wkst'!$Q$7:$Q$2010,'LAC 102_Wkst'!$D$7:$D$2010,$C$7,'LAC 102_Wkst'!$I$7:$I$2010,$C$9,'LAC 102_Wkst'!$E$7:$E$2010,$C105,'LAC 102_Wkst'!$G$7:$G$2010,$D105,'LAC 102_Wkst'!$L$7:$L$2010,"13",'LAC 102_Wkst'!$N$7:$N$2010,"P2")+SUMIFS('LAC 102_Wkst'!$Q$7:$Q$2010,'LAC 102_Wkst'!$D$7:$D$2010,$C$7,'LAC 102_Wkst'!$I$7:$I$2010,$C$9,'LAC 102_Wkst'!$E$7:$E$2010,$C105,'LAC 102_Wkst'!$G$7:$G$2010,$D105,'LAC 102_Wkst'!$L$7:$L$2010,"13",'LAC 102_Wkst'!$N$7:$N$2010,"P3")+SUMIFS('LAC 102_Wkst'!$Q$7:$Q$2010,'LAC 102_Wkst'!$D$7:$D$2010,$C$7,'LAC 102_Wkst'!$I$7:$I$2010,$C$9,'LAC 102_Wkst'!$E$7:$E$2010,$C105,'LAC 102_Wkst'!$G$7:$G$2010,$D105,'LAC 102_Wkst'!$L$7:$L$2010,"13",'LAC 102_Wkst'!$N$7:$N$2010,"P4")</f>
        <v>0</v>
      </c>
      <c r="BC105" s="411">
        <f>SUMIFS('LAC 102_Wkst'!$AF$7:$AF$2010,'LAC 102_Wkst'!$D$7:$D$2010,$C$7,'LAC 102_Wkst'!$I$7:$I$2010,$C$9,'LAC 102_Wkst'!$E$7:$E$2010,$C105,'LAC 102_Wkst'!$G$7:$G$2010,$D105,'LAC 102_Wkst'!$L$7:$L$2010,"13",'LAC 102_Wkst'!$N$7:$N$2010,"P1")+SUMIFS('LAC 102_Wkst'!$AF$7:$AF$2010,'LAC 102_Wkst'!$D$7:$D$2010,$C$7,'LAC 102_Wkst'!$I$7:$I$2010,$C$9,'LAC 102_Wkst'!$E$7:$E$2010,$C105,'LAC 102_Wkst'!$G$7:$G$2010,$D105,'LAC 102_Wkst'!$L$7:$L$2010,"13",'LAC 102_Wkst'!$N$7:$N$2010,"P2")+SUMIFS('LAC 102_Wkst'!$AF$7:$AF$2010,'LAC 102_Wkst'!$D$7:$D$2010,$C$7,'LAC 102_Wkst'!$I$7:$I$2010,$C$9,'LAC 102_Wkst'!$E$7:$E$2010,$C105,'LAC 102_Wkst'!$G$7:$G$2010,$D105,'LAC 102_Wkst'!$L$7:$L$2010,"13",'LAC 102_Wkst'!$N$7:$N$2010,"P3")+SUMIFS('LAC 102_Wkst'!$AF$7:$AF$2010,'LAC 102_Wkst'!$D$7:$D$2010,$C$7,'LAC 102_Wkst'!$I$7:$I$2010,$C$9,'LAC 102_Wkst'!$E$7:$E$2010,$C105,'LAC 102_Wkst'!$G$7:$G$2010,$D105,'LAC 102_Wkst'!$L$7:$L$2010,"13",'LAC 102_Wkst'!$N$7:$N$2010,"P4")</f>
        <v>0</v>
      </c>
      <c r="BD105" s="410">
        <f>SUMIFS('LAC 102_Wkst'!$Q$7:$Q$2010,'LAC 102_Wkst'!$D$7:$D$2010,$C$7,'LAC 102_Wkst'!$I$7:$I$2010,$C$9,'LAC 102_Wkst'!$E$7:$E$2010,$C105,'LAC 102_Wkst'!$G$7:$G$2010,$D105,'LAC 102_Wkst'!$L$7:$L$2010,"13",'LAC 102_Wkst'!$N$7:$N$2010,"P5")</f>
        <v>0</v>
      </c>
      <c r="BE105" s="411">
        <f>SUMIFS('LAC 102_Wkst'!$AF$7:$AF$2010,'LAC 102_Wkst'!$D$7:$D$2010,$C$7,'LAC 102_Wkst'!$I$7:$I$2010,$C$9,'LAC 102_Wkst'!$E$7:$E$2010,$C105,'LAC 102_Wkst'!$G$7:$G$2010,$D105,'LAC 102_Wkst'!$L$7:$L$2010,"13",'LAC 102_Wkst'!$N$7:$N$2010,"P5")</f>
        <v>0</v>
      </c>
      <c r="BF105" s="407">
        <f t="shared" si="5"/>
        <v>0</v>
      </c>
      <c r="BG105" s="1654">
        <f>SUMIFS('LAC 102_Wkst'!$AF$7:$AF$2010,'LAC 102_Wkst'!$D$7:$D$2010,$C$7,'LAC 102_Wkst'!$I$7:$I$2010,$C$9,'LAC 102_Wkst'!$E$7:$E$2010,$C105,'LAC 102_Wkst'!$G$7:$G$2010,$D105,'LAC 102_Wkst'!$L$7:$L$2010,"14")</f>
        <v>0</v>
      </c>
    </row>
    <row r="106" spans="1:59" ht="15.75" thickBot="1" x14ac:dyDescent="0.25">
      <c r="A106" s="401">
        <v>84</v>
      </c>
      <c r="B106" s="1679" t="str">
        <f>IF(Schedule_B!B$103="","",Schedule_B!B$103)</f>
        <v/>
      </c>
      <c r="C106" s="1674" t="str">
        <f>IF(Schedule_B!C$103=""," ",Schedule_B!C$103)</f>
        <v xml:space="preserve"> </v>
      </c>
      <c r="D106" s="1677" t="str">
        <f>IF(Schedule_B!D$103=""," ",Schedule_B!D$103)</f>
        <v xml:space="preserve"> </v>
      </c>
      <c r="E106" s="1223">
        <f>SUMIFS('LAC 102_Wkst'!$Q$7:$Q$2010,'LAC 102_Wkst'!$D$7:$D$2010,$C$7,'LAC 102_Wkst'!$I$7:$I$2010,$C$9,'LAC 102_Wkst'!$E$7:$E$2010,$C106,'LAC 102_Wkst'!$G$7:$G$2010,$D106)</f>
        <v>0</v>
      </c>
      <c r="F106" s="417">
        <f>SUMIFS('LAC 102_Wkst'!$Q$7:$Q$2010,'LAC 102_Wkst'!$D$7:$D$2010,$C$7,'LAC 102_Wkst'!$I$7:$I$2010,$C$9,'LAC 102_Wkst'!$E$7:$E$2010,$C106,'LAC 102_Wkst'!$G$7:$G$2010,$D106,'LAC 102_Wkst'!$L$7:$L$2010,"01",'LAC 102_Wkst'!$N$7:$N$2010,"P1")+SUMIFS('LAC 102_Wkst'!$Q$7:$Q$2010,'LAC 102_Wkst'!$D$7:$D$2010,$C$7,'LAC 102_Wkst'!$I$7:$I$2010,$C$9,'LAC 102_Wkst'!$E$7:$E$2010,$C106,'LAC 102_Wkst'!$G$7:$G$2010,$D106,'LAC 102_Wkst'!$L$7:$L$2010,"01",'LAC 102_Wkst'!$N$7:$N$2010,"P2")+SUMIFS('LAC 102_Wkst'!$Q$7:$Q$2010,'LAC 102_Wkst'!$D$7:$D$2010,$C$7,'LAC 102_Wkst'!$I$7:$I$2010,$C$9,'LAC 102_Wkst'!$E$7:$E$2010,$C106,'LAC 102_Wkst'!$G$7:$G$2010,$D106,'LAC 102_Wkst'!$L$7:$L$2010,"01",'LAC 102_Wkst'!$N$7:$N$2010,"P3")+SUMIFS('LAC 102_Wkst'!$Q$7:$Q$2010,'LAC 102_Wkst'!$D$7:$D$2010,$C$7,'LAC 102_Wkst'!$I$7:$I$2010,$C$9,'LAC 102_Wkst'!$E$7:$E$2010,$C106,'LAC 102_Wkst'!$G$7:$G$2010,$D106,'LAC 102_Wkst'!$L$7:$L$2010,"02",'LAC 102_Wkst'!$N$7:$N$2010,"P1")+SUMIFS('LAC 102_Wkst'!$Q$7:$Q$2010,'LAC 102_Wkst'!$D$7:$D$2010,$C$7,'LAC 102_Wkst'!$I$7:$I$2010,$C$9,'LAC 102_Wkst'!$E$7:$E$2010,$C106,'LAC 102_Wkst'!$G$7:$G$2010,$D106,'LAC 102_Wkst'!$L$7:$L$2010,"02",'LAC 102_Wkst'!$N$7:$N$2010,"P2")+SUMIFS('LAC 102_Wkst'!$Q$7:$Q$2010,'LAC 102_Wkst'!$D$7:$D$2010,$C$7,'LAC 102_Wkst'!$I$7:$I$2010,$C$9,'LAC 102_Wkst'!$E$7:$E$2010,$C106,'LAC 102_Wkst'!$G$7:$G$2010,$D106,'LAC 102_Wkst'!$L$7:$L$2010,"02",'LAC 102_Wkst'!$N$7:$N$2010,"P3")</f>
        <v>0</v>
      </c>
      <c r="G106" s="418">
        <f>SUMIFS('LAC 102_Wkst'!$AF$7:$AF$2010,'LAC 102_Wkst'!$D$7:$D$2010,$C$7,'LAC 102_Wkst'!$I$7:$I$2010,$C$9,'LAC 102_Wkst'!$E$7:$E$2010,$C106,'LAC 102_Wkst'!$G$7:$G$2010,$D106,'LAC 102_Wkst'!$L$7:$L$2010,"01",'LAC 102_Wkst'!$N$7:$N$2010,"P1")+SUMIFS('LAC 102_Wkst'!$AF$7:$AF$2010,'LAC 102_Wkst'!$D$7:$D$2010,$C$7,'LAC 102_Wkst'!$I$7:$I$2010,$C$9,'LAC 102_Wkst'!$E$7:$E$2010,$C106,'LAC 102_Wkst'!$G$7:$G$2010,$D106,'LAC 102_Wkst'!$L$7:$L$2010,"01",'LAC 102_Wkst'!$N$7:$N$2010,"P2")+SUMIFS('LAC 102_Wkst'!$AF$7:$AF$2010,'LAC 102_Wkst'!$D$7:$D$2010,$C$7,'LAC 102_Wkst'!$I$7:$I$2010,$C$9,'LAC 102_Wkst'!$E$7:$E$2010,$C106,'LAC 102_Wkst'!$G$7:$G$2010,$D106,'LAC 102_Wkst'!$L$7:$L$2010,"01",'LAC 102_Wkst'!$N$7:$N$2010,"P3")+SUMIFS('LAC 102_Wkst'!$AF$7:$AF$2010,'LAC 102_Wkst'!$D$7:$D$2010,$C$7,'LAC 102_Wkst'!$I$7:$I$2010,$C$9,'LAC 102_Wkst'!$E$7:$E$2010,$C106,'LAC 102_Wkst'!$G$7:$G$2010,$D106,'LAC 102_Wkst'!$L$7:$L$2010,"02",'LAC 102_Wkst'!$N$7:$N$2010,"P1")+SUMIFS('LAC 102_Wkst'!$AF$7:$AF$2010,'LAC 102_Wkst'!$D$7:$D$2010,$C$7,'LAC 102_Wkst'!$I$7:$I$2010,$C$9,'LAC 102_Wkst'!$E$7:$E$2010,$C106,'LAC 102_Wkst'!$G$7:$G$2010,$D106,'LAC 102_Wkst'!$L$7:$L$2010,"02",'LAC 102_Wkst'!$N$7:$N$2010,"P2")+SUMIFS('LAC 102_Wkst'!$AF$7:$AF$2010,'LAC 102_Wkst'!$D$7:$D$2010,$C$7,'LAC 102_Wkst'!$I$7:$I$2010,$C$9,'LAC 102_Wkst'!$E$7:$E$2010,$C106,'LAC 102_Wkst'!$G$7:$G$2010,$D106,'LAC 102_Wkst'!$L$7:$L$2010,"02",'LAC 102_Wkst'!$N$7:$N$2010,"P3")</f>
        <v>0</v>
      </c>
      <c r="H106" s="419">
        <f>SUMIFS('LAC 102_Wkst'!$Q$7:$Q$2010,'LAC 102_Wkst'!$D$7:$D$2010,$C$7,'LAC 102_Wkst'!$I$7:$I$2010,$C$9,'LAC 102_Wkst'!$E$7:$E$2010,$C106,'LAC 102_Wkst'!$G$7:$G$2010,$D106,'LAC 102_Wkst'!$L$7:$L$2010,"01",'LAC 102_Wkst'!$N$7:$N$2010,"P4")+SUMIFS('LAC 102_Wkst'!$Q$7:$Q$2010,'LAC 102_Wkst'!$D$7:$D$2010,$C$7,'LAC 102_Wkst'!$I$7:$I$2010,$C$9,'LAC 102_Wkst'!$E$7:$E$2010,$C106,'LAC 102_Wkst'!$G$7:$G$2010,$D106,'LAC 102_Wkst'!$L$7:$L$2010,"02",'LAC 102_Wkst'!$N$7:$N$2010,"P4")</f>
        <v>0</v>
      </c>
      <c r="I106" s="420">
        <f>SUMIFS('LAC 102_Wkst'!$AF$7:$AF$2010,'LAC 102_Wkst'!$D$7:$D$2010,$C$7,'LAC 102_Wkst'!$I$7:$I$2010,$C$9,'LAC 102_Wkst'!$E$7:$E$2010,$C106,'LAC 102_Wkst'!$G$7:$G$2010,$D106,'LAC 102_Wkst'!$L$7:$L$2010,"01",'LAC 102_Wkst'!$N$7:$N$2010,"P4")+SUMIFS('LAC 102_Wkst'!$AF$7:$AF$2010,'LAC 102_Wkst'!$D$7:$D$2010,$C$7,'LAC 102_Wkst'!$I$7:$I$2010,$C$9,'LAC 102_Wkst'!$E$7:$E$2010,$C106,'LAC 102_Wkst'!$G$7:$G$2010,$D106,'LAC 102_Wkst'!$L$7:$L$2010,"02",'LAC 102_Wkst'!$N$7:$N$2010,"P4")</f>
        <v>0</v>
      </c>
      <c r="J106" s="419">
        <f>SUMIFS('LAC 102_Wkst'!$Q$7:$Q$2010,'LAC 102_Wkst'!$D$7:$D$2010,$C$7,'LAC 102_Wkst'!$I$7:$I$2010,$C$9,'LAC 102_Wkst'!$E$7:$E$2010,$C106,'LAC 102_Wkst'!$G$7:$G$2010,$D106,'LAC 102_Wkst'!$L$7:$L$2010,"01",'LAC 102_Wkst'!$N$7:$N$2010,"P5")+SUMIFS('LAC 102_Wkst'!$Q$7:$Q$2010,'LAC 102_Wkst'!$D$7:$D$2010,$C$7,'LAC 102_Wkst'!$I$7:$I$2010,$C$9,'LAC 102_Wkst'!$E$7:$E$2010,$C106,'LAC 102_Wkst'!$G$7:$G$2010,$D106,'LAC 102_Wkst'!$L$7:$L$2010,"02",'LAC 102_Wkst'!$N$7:$N$2010,"P5")</f>
        <v>0</v>
      </c>
      <c r="K106" s="420">
        <f>SUMIFS('LAC 102_Wkst'!$AF$7:$AF$2010,'LAC 102_Wkst'!$D$7:$D$2010,$C$7,'LAC 102_Wkst'!$I$7:$I$2010,$C$9,'LAC 102_Wkst'!$E$7:$E$2010,$C106,'LAC 102_Wkst'!$G$7:$G$2010,$D106,'LAC 102_Wkst'!$L$7:$L$2010,"01",'LAC 102_Wkst'!$N$7:$N$2010,"P5")+SUMIFS('LAC 102_Wkst'!$AF$7:$AF$2010,'LAC 102_Wkst'!$D$7:$D$2010,$C$7,'LAC 102_Wkst'!$I$7:$I$2010,$C$9,'LAC 102_Wkst'!$E$7:$E$2010,$C106,'LAC 102_Wkst'!$G$7:$G$2010,$D106,'LAC 102_Wkst'!$L$7:$L$2010,"02",'LAC 102_Wkst'!$N$7:$N$2010,"P5")</f>
        <v>0</v>
      </c>
      <c r="L106" s="419">
        <f>SUMIFS('LAC 102_Wkst'!$Q$7:$Q$2010,'LAC 102_Wkst'!$D$7:$D$2010,$C$7,'LAC 102_Wkst'!$I$7:$I$2010,$C$9,'LAC 102_Wkst'!$E$7:$E$2010,$C106,'LAC 102_Wkst'!$G$7:$G$2010,$D106,'LAC 102_Wkst'!$L$7:$L$2010,"03",'LAC 102_Wkst'!$N$7:$N$2010,"P1")+SUMIFS('LAC 102_Wkst'!$Q$7:$Q$2010,'LAC 102_Wkst'!$D$7:$D$2010,$C$7,'LAC 102_Wkst'!$I$7:$I$2010,$C$9,'LAC 102_Wkst'!$E$7:$E$2010,$C106,'LAC 102_Wkst'!$G$7:$G$2010,$D106,'LAC 102_Wkst'!$L$7:$L$2010,"03",'LAC 102_Wkst'!$N$7:$N$2010,"P2")+SUMIFS('LAC 102_Wkst'!$Q$7:$Q$2010,'LAC 102_Wkst'!$D$7:$D$2010,$C$7,'LAC 102_Wkst'!$I$7:$I$2010,$C$9,'LAC 102_Wkst'!$E$7:$E$2010,$C106,'LAC 102_Wkst'!$G$7:$G$2010,$D106,'LAC 102_Wkst'!$L$7:$L$2010,"03",'LAC 102_Wkst'!$N$7:$N$2010,"P3")+SUMIFS('LAC 102_Wkst'!$Q$7:$Q$2010,'LAC 102_Wkst'!$D$7:$D$2010,$C$7,'LAC 102_Wkst'!$I$7:$I$2010,$C$9,'LAC 102_Wkst'!$E$7:$E$2010,$C106,'LAC 102_Wkst'!$G$7:$G$2010,$D106,'LAC 102_Wkst'!$L$7:$L$2010,"04",'LAC 102_Wkst'!$N$7:$N$2010,"P1")+SUMIFS('LAC 102_Wkst'!$Q$7:$Q$2010,'LAC 102_Wkst'!$D$7:$D$2010,$C$7,'LAC 102_Wkst'!$I$7:$I$2010,$C$9,'LAC 102_Wkst'!$E$7:$E$2010,$C106,'LAC 102_Wkst'!$G$7:$G$2010,$D106,'LAC 102_Wkst'!$L$7:$L$2010,"04",'LAC 102_Wkst'!$N$7:$N$2010,"P2")+SUMIFS('LAC 102_Wkst'!$Q$7:$Q$2010,'LAC 102_Wkst'!$D$7:$D$2010,$C$7,'LAC 102_Wkst'!$I$7:$I$2010,$C$9,'LAC 102_Wkst'!$E$7:$E$2010,$C106,'LAC 102_Wkst'!$G$7:$G$2010,$D106,'LAC 102_Wkst'!$L$7:$L$2010,"04",'LAC 102_Wkst'!$N$7:$N$2010,"P3")</f>
        <v>0</v>
      </c>
      <c r="M106" s="420">
        <f>SUMIFS('LAC 102_Wkst'!$AF$7:$AF$2010,'LAC 102_Wkst'!$D$7:$D$2010,$C$7,'LAC 102_Wkst'!$I$7:$I$2010,$C$9,'LAC 102_Wkst'!$E$7:$E$2010,$C106,'LAC 102_Wkst'!$G$7:$G$2010,$D106,'LAC 102_Wkst'!$L$7:$L$2010,"03",'LAC 102_Wkst'!$N$7:$N$2010,"P1")+SUMIFS('LAC 102_Wkst'!$AF$7:$AF$2010,'LAC 102_Wkst'!$D$7:$D$2010,$C$7,'LAC 102_Wkst'!$I$7:$I$2010,$C$9,'LAC 102_Wkst'!$E$7:$E$2010,$C106,'LAC 102_Wkst'!$G$7:$G$2010,$D106,'LAC 102_Wkst'!$L$7:$L$2010,"03",'LAC 102_Wkst'!$N$7:$N$2010,"P2")+SUMIFS('LAC 102_Wkst'!$AF$7:$AF$2010,'LAC 102_Wkst'!$D$7:$D$2010,$C$7,'LAC 102_Wkst'!$I$7:$I$2010,$C$9,'LAC 102_Wkst'!$E$7:$E$2010,$C106,'LAC 102_Wkst'!$G$7:$G$2010,$D106,'LAC 102_Wkst'!$L$7:$L$2010,"03",'LAC 102_Wkst'!$N$7:$N$2010,"P3")+SUMIFS('LAC 102_Wkst'!$AF$7:$AF$2010,'LAC 102_Wkst'!$D$7:$D$2010,$C$7,'LAC 102_Wkst'!$I$7:$I$2010,$C$9,'LAC 102_Wkst'!$E$7:$E$2010,$C106,'LAC 102_Wkst'!$G$7:$G$2010,$D106,'LAC 102_Wkst'!$L$7:$L$2010,"04",'LAC 102_Wkst'!$N$7:$N$2010,"P1")+SUMIFS('LAC 102_Wkst'!$AF$7:$AF$2010,'LAC 102_Wkst'!$D$7:$D$2010,$C$7,'LAC 102_Wkst'!$I$7:$I$2010,$C$9,'LAC 102_Wkst'!$E$7:$E$2010,$C106,'LAC 102_Wkst'!$G$7:$G$2010,$D106,'LAC 102_Wkst'!$L$7:$L$2010,"04",'LAC 102_Wkst'!$N$7:$N$2010,"P2")+SUMIFS('LAC 102_Wkst'!$AF$7:$AF$2010,'LAC 102_Wkst'!$D$7:$D$2010,$C$7,'LAC 102_Wkst'!$I$7:$I$2010,$C$9,'LAC 102_Wkst'!$E$7:$E$2010,$C106,'LAC 102_Wkst'!$G$7:$G$2010,$D106,'LAC 102_Wkst'!$L$7:$L$2010,"04",'LAC 102_Wkst'!$N$7:$N$2010,"P3")</f>
        <v>0</v>
      </c>
      <c r="N106" s="419">
        <f>SUMIFS('LAC 102_Wkst'!$Q$7:$Q$2010,'LAC 102_Wkst'!$D$7:$D$2010,$C$7,'LAC 102_Wkst'!$I$7:$I$2010,$C$9,'LAC 102_Wkst'!$E$7:$E$2010,$C106,'LAC 102_Wkst'!$G$7:$G$2010,$D106,'LAC 102_Wkst'!$L$7:$L$2010,"03",'LAC 102_Wkst'!$N$7:$N$2010,"P4")+SUMIFS('LAC 102_Wkst'!$Q$7:$Q$2010,'LAC 102_Wkst'!$D$7:$D$2010,$C$7,'LAC 102_Wkst'!$I$7:$I$2010,$C$9,'LAC 102_Wkst'!$E$7:$E$2010,$C106,'LAC 102_Wkst'!$G$7:$G$2010,$D106,'LAC 102_Wkst'!$L$7:$L$2010,"04",'LAC 102_Wkst'!$N$7:$N$2010,"P4")</f>
        <v>0</v>
      </c>
      <c r="O106" s="420">
        <f>SUMIFS('LAC 102_Wkst'!$AF$7:$AF$2010,'LAC 102_Wkst'!$D$7:$D$2010,$C$7,'LAC 102_Wkst'!$I$7:$I$2010,$C$9,'LAC 102_Wkst'!$E$7:$E$2010,$C106,'LAC 102_Wkst'!$G$7:$G$2010,$D106,'LAC 102_Wkst'!$L$7:$L$2010,"03",'LAC 102_Wkst'!$N$7:$N$2010,"P4")+SUMIFS('LAC 102_Wkst'!$AF$7:$AF$2010,'LAC 102_Wkst'!$D$7:$D$2010,$C$7,'LAC 102_Wkst'!$I$7:$I$2010,$C$9,'LAC 102_Wkst'!$E$7:$E$2010,$C106,'LAC 102_Wkst'!$G$7:$G$2010,$D106,'LAC 102_Wkst'!$L$7:$L$2010,"04",'LAC 102_Wkst'!$N$7:$N$2010,"P4")</f>
        <v>0</v>
      </c>
      <c r="P106" s="419">
        <f>SUMIFS('LAC 102_Wkst'!$Q$7:$Q$2010,'LAC 102_Wkst'!$D$7:$D$2010,$C$7,'LAC 102_Wkst'!$I$7:$I$2010,$C$9,'LAC 102_Wkst'!$E$7:$E$2010,$C106,'LAC 102_Wkst'!$G$7:$G$2010,$D106,'LAC 102_Wkst'!$L$7:$L$2010,"03",'LAC 102_Wkst'!$N$7:$N$2010,"P5")+SUMIFS('LAC 102_Wkst'!$Q$7:$Q$2010,'LAC 102_Wkst'!$D$7:$D$2010,$C$7,'LAC 102_Wkst'!$I$7:$I$2010,$C$9,'LAC 102_Wkst'!$E$7:$E$2010,$C106,'LAC 102_Wkst'!$G$7:$G$2010,$D106,'LAC 102_Wkst'!$L$7:$L$2010,"04",'LAC 102_Wkst'!$N$7:$N$2010,"P5")</f>
        <v>0</v>
      </c>
      <c r="Q106" s="420">
        <f>SUMIFS('LAC 102_Wkst'!$AF$7:$AF$2010,'LAC 102_Wkst'!$D$7:$D$2010,$C$7,'LAC 102_Wkst'!$I$7:$I$2010,$C$9,'LAC 102_Wkst'!$E$7:$E$2010,$C106,'LAC 102_Wkst'!$G$7:$G$2010,$D106,'LAC 102_Wkst'!$L$7:$L$2010,"03",'LAC 102_Wkst'!$N$7:$N$2010,"P5")+SUMIFS('LAC 102_Wkst'!$AF$7:$AF$2010,'LAC 102_Wkst'!$D$7:$D$2010,$C$7,'LAC 102_Wkst'!$I$7:$I$2010,$C$9,'LAC 102_Wkst'!$E$7:$E$2010,$C106,'LAC 102_Wkst'!$G$7:$G$2010,$D106,'LAC 102_Wkst'!$L$7:$L$2010,"04",'LAC 102_Wkst'!$N$7:$N$2010,"P5")</f>
        <v>0</v>
      </c>
      <c r="R106" s="421">
        <f>SUMIFS('LAC 102_Wkst'!$Q$7:$Q$2010,'LAC 102_Wkst'!$D$7:$D$2010,$C$7,'LAC 102_Wkst'!$I$7:$I$2010,$C$9,'LAC 102_Wkst'!$E$7:$E$2010,$C106,'LAC 102_Wkst'!$G$7:$G$2010,$D106,'LAC 102_Wkst'!$L$7:$L$2010,"05",'LAC 102_Wkst'!$N$7:$N$2010,"P1")+SUMIFS('LAC 102_Wkst'!$Q$7:$Q$2010,'LAC 102_Wkst'!$D$7:$D$2010,$C$7,'LAC 102_Wkst'!$I$7:$I$2010,$C$9,'LAC 102_Wkst'!$E$7:$E$2010,$C106,'LAC 102_Wkst'!$G$7:$G$2010,$D106,'LAC 102_Wkst'!$L$7:$L$2010,"06",'LAC 102_Wkst'!$N$7:$N$2010,"P1")</f>
        <v>0</v>
      </c>
      <c r="S106" s="420">
        <f>SUMIFS('LAC 102_Wkst'!$AF$7:$AF$2010,'LAC 102_Wkst'!$D$7:$D$2010,$C$7,'LAC 102_Wkst'!$I$7:$I$2010,$C$9,'LAC 102_Wkst'!$E$7:$E$2010,$C106,'LAC 102_Wkst'!$G$7:$G$2010,$D106,'LAC 102_Wkst'!$L$7:$L$2010,"05",'LAC 102_Wkst'!$N$7:$N$2010,"P1")+SUMIFS('LAC 102_Wkst'!$AF$7:$AF$2010,'LAC 102_Wkst'!$D$7:$D$2010,$C$7,'LAC 102_Wkst'!$I$7:$I$2010,$C$9,'LAC 102_Wkst'!$E$7:$E$2010,$C106,'LAC 102_Wkst'!$G$7:$G$2010,$D106,'LAC 102_Wkst'!$L$7:$L$2010,"06",'LAC 102_Wkst'!$N$7:$N$2010,"P1")</f>
        <v>0</v>
      </c>
      <c r="T106" s="419">
        <f>SUMIFS('LAC 102_Wkst'!$Q$7:$Q$2010,'LAC 102_Wkst'!$D$7:$D$2010,$C$7,'LAC 102_Wkst'!$I$7:$I$2010,$C$9,'LAC 102_Wkst'!$E$7:$E$2010,$C106,'LAC 102_Wkst'!$G$7:$G$2010,$D106,'LAC 102_Wkst'!$L$7:$L$2010,"05",'LAC 102_Wkst'!$N$7:$N$2010,"P2")+SUMIFS('LAC 102_Wkst'!$Q$7:$Q$2010,'LAC 102_Wkst'!$D$7:$D$2010,$C$7,'LAC 102_Wkst'!$I$7:$I$2010,$C$9,'LAC 102_Wkst'!$E$7:$E$2010,$C106,'LAC 102_Wkst'!$G$7:$G$2010,$D106,'LAC 102_Wkst'!$L$7:$L$2010,"06",'LAC 102_Wkst'!$N$7:$N$2010,"P2")+SUMIFS('LAC 102_Wkst'!$Q$7:$Q$2010,'LAC 102_Wkst'!$D$7:$D$2010,$C$7,'LAC 102_Wkst'!$I$7:$I$2010,$C$9,'LAC 102_Wkst'!$E$7:$E$2010,$C106,'LAC 102_Wkst'!$G$7:$G$2010,$D106,'LAC 102_Wkst'!$L$7:$L$2010,"05",'LAC 102_Wkst'!$N$7:$N$2010,"P3")+SUMIFS('LAC 102_Wkst'!$Q$7:$Q$2010,'LAC 102_Wkst'!$D$7:$D$2010,$C$7,'LAC 102_Wkst'!$I$7:$I$2010,$C$9,'LAC 102_Wkst'!$E$7:$E$2010,$C106,'LAC 102_Wkst'!$G$7:$G$2010,$D106,'LAC 102_Wkst'!$L$7:$L$2010,"06",'LAC 102_Wkst'!$N$7:$N$2010,"P3")</f>
        <v>0</v>
      </c>
      <c r="U106" s="420">
        <f>SUMIFS('LAC 102_Wkst'!$AF$7:$AF$2010,'LAC 102_Wkst'!$D$7:$D$2010,$C$7,'LAC 102_Wkst'!$I$7:$I$2010,$C$9,'LAC 102_Wkst'!$E$7:$E$2010,$C106,'LAC 102_Wkst'!$G$7:$G$2010,$D106,'LAC 102_Wkst'!$L$7:$L$2010,"05",'LAC 102_Wkst'!$N$7:$N$2010,"P2")+SUMIFS('LAC 102_Wkst'!$AF$7:$AF$2010,'LAC 102_Wkst'!$D$7:$D$2010,$C$7,'LAC 102_Wkst'!$I$7:$I$2010,$C$9,'LAC 102_Wkst'!$E$7:$E$2010,$C106,'LAC 102_Wkst'!$G$7:$G$2010,$D106,'LAC 102_Wkst'!$L$7:$L$2010,"06",'LAC 102_Wkst'!$N$7:$N$2010,"P2")+SUMIFS('LAC 102_Wkst'!$AF$7:$AF$2010,'LAC 102_Wkst'!$D$7:$D$2010,$C$7,'LAC 102_Wkst'!$I$7:$I$2010,$C$9,'LAC 102_Wkst'!$E$7:$E$2010,$C106,'LAC 102_Wkst'!$G$7:$G$2010,$D106,'LAC 102_Wkst'!$L$7:$L$2010,"05",'LAC 102_Wkst'!$N$7:$N$2010,"P3")+SUMIFS('LAC 102_Wkst'!$AF$7:$AF$2010,'LAC 102_Wkst'!$D$7:$D$2010,$C$7,'LAC 102_Wkst'!$I$7:$I$2010,$C$9,'LAC 102_Wkst'!$E$7:$E$2010,$C106,'LAC 102_Wkst'!$G$7:$G$2010,$D106,'LAC 102_Wkst'!$L$7:$L$2010,"06",'LAC 102_Wkst'!$N$7:$N$2010,"P3")</f>
        <v>0</v>
      </c>
      <c r="V106" s="419">
        <f>SUMIFS('LAC 102_Wkst'!$Q$7:$Q$2010,'LAC 102_Wkst'!$D$7:$D$2010,$C$7,'LAC 102_Wkst'!$I$7:$I$2010,$C$9,'LAC 102_Wkst'!$E$7:$E$2010,$C106,'LAC 102_Wkst'!$G$7:$G$2010,$D106,'LAC 102_Wkst'!$L$7:$L$2010,"05",'LAC 102_Wkst'!$N$7:$N$2010,"P4")+SUMIFS('LAC 102_Wkst'!$Q$7:$Q$2010,'LAC 102_Wkst'!$D$7:$D$2010,$C$7,'LAC 102_Wkst'!$I$7:$I$2010,$C$9,'LAC 102_Wkst'!$E$7:$E$2010,$C106,'LAC 102_Wkst'!$G$7:$G$2010,$D106,'LAC 102_Wkst'!$L$7:$L$2010,"06",'LAC 102_Wkst'!$N$7:$N$2010,"P4")</f>
        <v>0</v>
      </c>
      <c r="W106" s="420">
        <f>SUMIFS('LAC 102_Wkst'!$AF$7:$AF$2010,'LAC 102_Wkst'!$D$7:$D$2010,$C$7,'LAC 102_Wkst'!$I$7:$I$2010,$C$9,'LAC 102_Wkst'!$E$7:$E$2010,$C106,'LAC 102_Wkst'!$G$7:$G$2010,$D106,'LAC 102_Wkst'!$L$7:$L$2010,"05",'LAC 102_Wkst'!$N$7:$N$2010,"P4")+SUMIFS('LAC 102_Wkst'!$AF$7:$AF$2010,'LAC 102_Wkst'!$D$7:$D$2010,$C$7,'LAC 102_Wkst'!$I$7:$I$2010,$C$9,'LAC 102_Wkst'!$E$7:$E$2010,$C106,'LAC 102_Wkst'!$G$7:$G$2010,$D106,'LAC 102_Wkst'!$L$7:$L$2010,"06",'LAC 102_Wkst'!$N$7:$N$2010,"P4")</f>
        <v>0</v>
      </c>
      <c r="X106" s="419">
        <f>SUMIFS('LAC 102_Wkst'!$Q$7:$Q$2010,'LAC 102_Wkst'!$D$7:$D$2010,$C$7,'LAC 102_Wkst'!$I$7:$I$2010,$C$9,'LAC 102_Wkst'!$E$7:$E$2010,$C106,'LAC 102_Wkst'!$G$7:$G$2010,$D106,'LAC 102_Wkst'!$L$7:$L$2010,"05",'LAC 102_Wkst'!$N$7:$N$2010,"P5")+SUMIFS('LAC 102_Wkst'!$Q$7:$Q$2010,'LAC 102_Wkst'!$D$7:$D$2010,$C$7,'LAC 102_Wkst'!$I$7:$I$2010,$C$9,'LAC 102_Wkst'!$E$7:$E$2010,$C106,'LAC 102_Wkst'!$G$7:$G$2010,$D106,'LAC 102_Wkst'!$L$7:$L$2010,"06",'LAC 102_Wkst'!$N$7:$N$2010,"P5")</f>
        <v>0</v>
      </c>
      <c r="Y106" s="420">
        <f>SUMIFS('LAC 102_Wkst'!$AF$7:$AF$2010,'LAC 102_Wkst'!$D$7:$D$2010,$C$7,'LAC 102_Wkst'!$I$7:$I$2010,$C$9,'LAC 102_Wkst'!$E$7:$E$2010,$C106,'LAC 102_Wkst'!$G$7:$G$2010,$D106,'LAC 102_Wkst'!$L$7:$L$2010,"05",'LAC 102_Wkst'!$N$7:$N$2010,"P5")+SUMIFS('LAC 102_Wkst'!$AF$7:$AF$2010,'LAC 102_Wkst'!$D$7:$D$2010,$C$7,'LAC 102_Wkst'!$I$7:$I$2010,$C$9,'LAC 102_Wkst'!$E$7:$E$2010,$C106,'LAC 102_Wkst'!$G$7:$G$2010,$D106,'LAC 102_Wkst'!$L$7:$L$2010,"06",'LAC 102_Wkst'!$N$7:$N$2010,"P5")</f>
        <v>0</v>
      </c>
      <c r="Z106" s="419">
        <f>SUMIFS('LAC 102_Wkst'!$Q$7:$Q$2010,'LAC 102_Wkst'!$D$7:$D$2010,$C$7,'LAC 102_Wkst'!$I$7:$I$2010,$C$9,'LAC 102_Wkst'!$E$7:$E$2010,$C106,'LAC 102_Wkst'!$G$7:$G$2010,$D106,'LAC 102_Wkst'!$L$7:$L$2010,"07",'LAC 102_Wkst'!$N$7:$N$2010,"P1")+SUMIFS('LAC 102_Wkst'!$Q$7:$Q$2010,'LAC 102_Wkst'!$D$7:$D$2010,$C$7,'LAC 102_Wkst'!$I$7:$I$2010,$C$9,'LAC 102_Wkst'!$E$7:$E$2010,$C106,'LAC 102_Wkst'!$G$7:$G$2010,$D106,'LAC 102_Wkst'!$L$7:$L$2010,"07",'LAC 102_Wkst'!$N$7:$N$2010,"P2")+SUMIFS('LAC 102_Wkst'!$Q$7:$Q$2010,'LAC 102_Wkst'!$D$7:$D$2010,$C$7,'LAC 102_Wkst'!$I$7:$I$2010,$C$9,'LAC 102_Wkst'!$E$7:$E$2010,$C106,'LAC 102_Wkst'!$G$7:$G$2010,$D106,'LAC 102_Wkst'!$L$7:$L$2010,"07",'LAC 102_Wkst'!$N$7:$N$2010,"P3")</f>
        <v>0</v>
      </c>
      <c r="AA106" s="420">
        <f>SUMIFS('LAC 102_Wkst'!$AF$7:$AF$2010,'LAC 102_Wkst'!$D$7:$D$2010,$C$7,'LAC 102_Wkst'!$I$7:$I$2010,$C$9,'LAC 102_Wkst'!$E$7:$E$2010,$C106,'LAC 102_Wkst'!$G$7:$G$2010,$D106,'LAC 102_Wkst'!$L$7:$L$2010,"07",'LAC 102_Wkst'!$N$7:$N$2010,"P1")+SUMIFS('LAC 102_Wkst'!$AF$7:$AF$2010,'LAC 102_Wkst'!$D$7:$D$2010,$C$7,'LAC 102_Wkst'!$I$7:$I$2010,$C$9,'LAC 102_Wkst'!$E$7:$E$2010,$C106,'LAC 102_Wkst'!$G$7:$G$2010,$D106,'LAC 102_Wkst'!$L$7:$L$2010,"07",'LAC 102_Wkst'!$N$7:$N$2010,"P2")+SUMIFS('LAC 102_Wkst'!$AF$7:$AF$2010,'LAC 102_Wkst'!$D$7:$D$2010,$C$7,'LAC 102_Wkst'!$I$7:$I$2010,$C$9,'LAC 102_Wkst'!$E$7:$E$2010,$C106,'LAC 102_Wkst'!$G$7:$G$2010,$D106,'LAC 102_Wkst'!$L$7:$L$2010,"07",'LAC 102_Wkst'!$N$7:$N$2010,"P3")</f>
        <v>0</v>
      </c>
      <c r="AB106" s="419">
        <f>SUMIFS('LAC 102_Wkst'!$Q$7:$Q$2010,'LAC 102_Wkst'!$D$7:$D$2010,$C$7,'LAC 102_Wkst'!$I$7:$I$2010,$C$9,'LAC 102_Wkst'!$E$7:$E$2010,$C106,'LAC 102_Wkst'!$G$7:$G$2010,$D106,'LAC 102_Wkst'!$L$7:$L$2010,"07",'LAC 102_Wkst'!$N$7:$N$2010,"P4")</f>
        <v>0</v>
      </c>
      <c r="AC106" s="420">
        <f>SUMIFS('LAC 102_Wkst'!$AF$7:$AF$2010,'LAC 102_Wkst'!$D$7:$D$2010,$C$7,'LAC 102_Wkst'!$I$7:$I$2010,$C$9,'LAC 102_Wkst'!$E$7:$E$2010,$C106,'LAC 102_Wkst'!$G$7:$G$2010,$D106,'LAC 102_Wkst'!$L$7:$L$2010,"07",'LAC 102_Wkst'!$N$7:$N$2010,"P4")</f>
        <v>0</v>
      </c>
      <c r="AD106" s="419">
        <f>SUMIFS('LAC 102_Wkst'!$Q$7:$Q$2010,'LAC 102_Wkst'!$D$7:$D$2010,$C$7,'LAC 102_Wkst'!$I$7:$I$2010,$C$9,'LAC 102_Wkst'!$E$7:$E$2010,$C106,'LAC 102_Wkst'!$G$7:$G$2010,$D106,'LAC 102_Wkst'!$L$7:$L$2010,"07",'LAC 102_Wkst'!$N$7:$N$2010,"P5")</f>
        <v>0</v>
      </c>
      <c r="AE106" s="420">
        <f>SUMIFS('LAC 102_Wkst'!$AF$7:$AF$2010,'LAC 102_Wkst'!$D$7:$D$2010,$C$7,'LAC 102_Wkst'!$I$7:$I$2010,$C$9,'LAC 102_Wkst'!$E$7:$E$2010,$C106,'LAC 102_Wkst'!$G$7:$G$2010,$D106,'LAC 102_Wkst'!$L$7:$L$2010,"07",'LAC 102_Wkst'!$N$7:$N$2010,"P5")</f>
        <v>0</v>
      </c>
      <c r="AF106" s="419">
        <f>SUMIFS('LAC 102_Wkst'!$Q$7:$Q$2010,'LAC 102_Wkst'!$D$7:$D$2010,$C$7,'LAC 102_Wkst'!$I$7:$I$2010,$C$9,'LAC 102_Wkst'!$E$7:$E$2010,$C106,'LAC 102_Wkst'!$G$7:$G$2010,$D106,'LAC 102_Wkst'!$L$7:$L$2010,"08",'LAC 102_Wkst'!$N$7:$N$2010,"P1")+SUMIFS('LAC 102_Wkst'!$Q$7:$Q$2010,'LAC 102_Wkst'!$D$7:$D$2010,$C$7,'LAC 102_Wkst'!$I$7:$I$2010,$C$9,'LAC 102_Wkst'!$E$7:$E$2010,$C106,'LAC 102_Wkst'!$G$7:$G$2010,$D106,'LAC 102_Wkst'!$L$7:$L$2010,"08",'LAC 102_Wkst'!$N$7:$N$2010,"P2")+SUMIFS('LAC 102_Wkst'!$Q$7:$Q$2010,'LAC 102_Wkst'!$D$7:$D$2010,$C$7,'LAC 102_Wkst'!$I$7:$I$2010,$C$9,'LAC 102_Wkst'!$E$7:$E$2010,$C106,'LAC 102_Wkst'!$G$7:$G$2010,$D106,'LAC 102_Wkst'!$L$7:$L$2010,"08",'LAC 102_Wkst'!$N$7:$N$2010,"P3")</f>
        <v>0</v>
      </c>
      <c r="AG106" s="420">
        <f>SUMIFS('LAC 102_Wkst'!$AF$7:$AF$2010,'LAC 102_Wkst'!$D$7:$D$2010,$C$7,'LAC 102_Wkst'!$I$7:$I$2010,$C$9,'LAC 102_Wkst'!$E$7:$E$2010,$C106,'LAC 102_Wkst'!$G$7:$G$2010,$D106,'LAC 102_Wkst'!$L$7:$L$2010,"08",'LAC 102_Wkst'!$N$7:$N$2010,"P1")+SUMIFS('LAC 102_Wkst'!$AF$7:$AF$2010,'LAC 102_Wkst'!$D$7:$D$2010,$C$7,'LAC 102_Wkst'!$I$7:$I$2010,$C$9,'LAC 102_Wkst'!$E$7:$E$2010,$C106,'LAC 102_Wkst'!$G$7:$G$2010,$D106,'LAC 102_Wkst'!$L$7:$L$2010,"08",'LAC 102_Wkst'!$N$7:$N$2010,"P2")+SUMIFS('LAC 102_Wkst'!$AF$7:$AF$2010,'LAC 102_Wkst'!$D$7:$D$2010,$C$7,'LAC 102_Wkst'!$I$7:$I$2010,$C$9,'LAC 102_Wkst'!$E$7:$E$2010,$C106,'LAC 102_Wkst'!$G$7:$G$2010,$D106,'LAC 102_Wkst'!$L$7:$L$2010,"08",'LAC 102_Wkst'!$N$7:$N$2010,"P3")</f>
        <v>0</v>
      </c>
      <c r="AH106" s="419">
        <f>SUMIFS('LAC 102_Wkst'!$Q$7:$Q$2010,'LAC 102_Wkst'!$D$7:$D$2010,$C$7,'LAC 102_Wkst'!$I$7:$I$2010,$C$9,'LAC 102_Wkst'!$E$7:$E$2010,$C106,'LAC 102_Wkst'!$G$7:$G$2010,$D106,'LAC 102_Wkst'!$L$7:$L$2010,"08",'LAC 102_Wkst'!$N$7:$N$2010,"P4")</f>
        <v>0</v>
      </c>
      <c r="AI106" s="420">
        <f>SUMIFS('LAC 102_Wkst'!$AF$7:$AF$2010,'LAC 102_Wkst'!$D$7:$D$2010,$C$7,'LAC 102_Wkst'!$I$7:$I$2010,$C$9,'LAC 102_Wkst'!$E$7:$E$2010,$C106,'LAC 102_Wkst'!$G$7:$G$2010,$D106,'LAC 102_Wkst'!$L$7:$L$2010,"08",'LAC 102_Wkst'!$N$7:$N$2010,"P4")</f>
        <v>0</v>
      </c>
      <c r="AJ106" s="419">
        <f>SUMIFS('LAC 102_Wkst'!$Q$7:$Q$2010,'LAC 102_Wkst'!$D$7:$D$2010,$C$7,'LAC 102_Wkst'!$I$7:$I$2010,$C$9,'LAC 102_Wkst'!$E$7:$E$2010,$C106,'LAC 102_Wkst'!$G$7:$G$2010,$D106,'LAC 102_Wkst'!$L$7:$L$2010,"08",'LAC 102_Wkst'!$N$7:$N$2010,"P5")</f>
        <v>0</v>
      </c>
      <c r="AK106" s="420">
        <f>SUMIFS('LAC 102_Wkst'!$AF$7:$AF$2010,'LAC 102_Wkst'!$D$7:$D$2010,$C$7,'LAC 102_Wkst'!$I$7:$I$2010,$C$9,'LAC 102_Wkst'!$E$7:$E$2010,$C106,'LAC 102_Wkst'!$G$7:$G$2010,$D106,'LAC 102_Wkst'!$L$7:$L$2010,"08",'LAC 102_Wkst'!$N$7:$N$2010,"P5")</f>
        <v>0</v>
      </c>
      <c r="AL106" s="419">
        <f>SUMIFS('LAC 102_Wkst'!$Q$7:$Q$2010,'LAC 102_Wkst'!$D$7:$D$2010,$C$7,'LAC 102_Wkst'!$I$7:$I$2010,$C$9,'LAC 102_Wkst'!$E$7:$E$2010,$C106,'LAC 102_Wkst'!$G$7:$G$2010,$D106,'LAC 102_Wkst'!$L$7:$L$2010,"09",'LAC 102_Wkst'!$N$7:$N$2010,"P1")+SUMIFS('LAC 102_Wkst'!$Q$7:$Q$2010,'LAC 102_Wkst'!$D$7:$D$2010,$C$7,'LAC 102_Wkst'!$I$7:$I$2010,$C$9,'LAC 102_Wkst'!$E$7:$E$2010,$C106,'LAC 102_Wkst'!$G$7:$G$2010,$D106,'LAC 102_Wkst'!$L$7:$L$2010,"09",'LAC 102_Wkst'!$N$7:$N$2010,"P2")+SUMIFS('LAC 102_Wkst'!$Q$7:$Q$2010,'LAC 102_Wkst'!$D$7:$D$2010,$C$7,'LAC 102_Wkst'!$I$7:$I$2010,$C$9,'LAC 102_Wkst'!$E$7:$E$2010,$C106,'LAC 102_Wkst'!$G$7:$G$2010,$D106,'LAC 102_Wkst'!$L$7:$L$2010,"09",'LAC 102_Wkst'!$N$7:$N$2010,"P3")+SUMIFS('LAC 102_Wkst'!$Q$7:$Q$2010,'LAC 102_Wkst'!$D$7:$D$2010,$C$7,'LAC 102_Wkst'!$I$7:$I$2010,$C$9,'LAC 102_Wkst'!$E$7:$E$2010,$C106,'LAC 102_Wkst'!$G$7:$G$2010,$D106,'LAC 102_Wkst'!$L$7:$L$2010,"09",'LAC 102_Wkst'!$N$7:$N$2010,"P4")</f>
        <v>0</v>
      </c>
      <c r="AM106" s="420">
        <f>SUMIFS('LAC 102_Wkst'!$AF$7:$AF$2010,'LAC 102_Wkst'!$D$7:$D$2010,$C$7,'LAC 102_Wkst'!$I$7:$I$2010,$C$9,'LAC 102_Wkst'!$E$7:$E$2010,$C106,'LAC 102_Wkst'!$G$7:$G$2010,$D106,'LAC 102_Wkst'!$L$7:$L$2010,"09",'LAC 102_Wkst'!$N$7:$N$2010,"P1")+SUMIFS('LAC 102_Wkst'!$AF$7:$AF$2010,'LAC 102_Wkst'!$D$7:$D$2010,$C$7,'LAC 102_Wkst'!$I$7:$I$2010,$C$9,'LAC 102_Wkst'!$E$7:$E$2010,$C106,'LAC 102_Wkst'!$G$7:$G$2010,$D106,'LAC 102_Wkst'!$L$7:$L$2010,"09",'LAC 102_Wkst'!$N$7:$N$2010,"P2")+SUMIFS('LAC 102_Wkst'!$AF$7:$AF$2010,'LAC 102_Wkst'!$D$7:$D$2010,$C$7,'LAC 102_Wkst'!$I$7:$I$2010,$C$9,'LAC 102_Wkst'!$E$7:$E$2010,$C106,'LAC 102_Wkst'!$G$7:$G$2010,$D106,'LAC 102_Wkst'!$L$7:$L$2010,"09",'LAC 102_Wkst'!$N$7:$N$2010,"P3")+SUMIFS('LAC 102_Wkst'!$AF$7:$AF$2010,'LAC 102_Wkst'!$D$7:$D$2010,$C$7,'LAC 102_Wkst'!$I$7:$I$2010,$C$9,'LAC 102_Wkst'!$E$7:$E$2010,$C106,'LAC 102_Wkst'!$G$7:$G$2010,$D106,'LAC 102_Wkst'!$L$7:$L$2010,"09",'LAC 102_Wkst'!$N$7:$N$2010,"P4")</f>
        <v>0</v>
      </c>
      <c r="AN106" s="419">
        <f>SUMIFS('LAC 102_Wkst'!$Q$7:$Q$2010,'LAC 102_Wkst'!$D$7:$D$2010,$C$7,'LAC 102_Wkst'!$I$7:$I$2010,$C$9,'LAC 102_Wkst'!$E$7:$E$2010,$C106,'LAC 102_Wkst'!$G$7:$G$2010,$D106,'LAC 102_Wkst'!$L$7:$L$2010,"09",'LAC 102_Wkst'!$N$7:$N$2010,"P5")</f>
        <v>0</v>
      </c>
      <c r="AO106" s="420">
        <f>SUMIFS('LAC 102_Wkst'!$AF$7:$AF$2010,'LAC 102_Wkst'!$D$7:$D$2010,$C$7,'LAC 102_Wkst'!$I$7:$I$2010,$C$9,'LAC 102_Wkst'!$E$7:$E$2010,$C106,'LAC 102_Wkst'!$G$7:$G$2010,$D106,'LAC 102_Wkst'!$L$7:$L$2010,"09",'LAC 102_Wkst'!$N$7:$N$2010,"P5")</f>
        <v>0</v>
      </c>
      <c r="AP106" s="419">
        <f>SUMIFS('LAC 102_Wkst'!$Q$7:$Q$2010,'LAC 102_Wkst'!$D$7:$D$2010,$C$7,'LAC 102_Wkst'!$I$7:$I$2010,$C$9,'LAC 102_Wkst'!$E$7:$E$2010,$C106,'LAC 102_Wkst'!$G$7:$G$2010,$D106,'LAC 102_Wkst'!$L$7:$L$2010,"10",'LAC 102_Wkst'!$N$7:$N$2010,"P1")+SUMIFS('LAC 102_Wkst'!$Q$7:$Q$2010,'LAC 102_Wkst'!$D$7:$D$2010,$C$7,'LAC 102_Wkst'!$I$7:$I$2010,$C$9,'LAC 102_Wkst'!$E$7:$E$2010,$C106,'LAC 102_Wkst'!$G$7:$G$2010,$D106,'LAC 102_Wkst'!$L$7:$L$2010,"10",'LAC 102_Wkst'!$N$7:$N$2010,"P2")+SUMIFS('LAC 102_Wkst'!$Q$7:$Q$2010,'LAC 102_Wkst'!$D$7:$D$2010,$C$7,'LAC 102_Wkst'!$I$7:$I$2010,$C$9,'LAC 102_Wkst'!$E$7:$E$2010,$C106,'LAC 102_Wkst'!$G$7:$G$2010,$D106,'LAC 102_Wkst'!$L$7:$L$2010,"10",'LAC 102_Wkst'!$N$7:$N$2010,"P3")+SUMIFS('LAC 102_Wkst'!$Q$7:$Q$2010,'LAC 102_Wkst'!$D$7:$D$2010,$C$7,'LAC 102_Wkst'!$I$7:$I$2010,$C$9,'LAC 102_Wkst'!$E$7:$E$2010,$C106,'LAC 102_Wkst'!$G$7:$G$2010,$D106,'LAC 102_Wkst'!$L$7:$L$2010,"10",'LAC 102_Wkst'!$N$7:$N$2010,"P4")</f>
        <v>0</v>
      </c>
      <c r="AQ106" s="420">
        <f>SUMIFS('LAC 102_Wkst'!$AF$7:$AF$2010,'LAC 102_Wkst'!$D$7:$D$2010,$C$7,'LAC 102_Wkst'!$I$7:$I$2010,$C$9,'LAC 102_Wkst'!$E$7:$E$2010,$C106,'LAC 102_Wkst'!$G$7:$G$2010,$D106,'LAC 102_Wkst'!$L$7:$L$2010,"10",'LAC 102_Wkst'!$N$7:$N$2010,"P1")+SUMIFS('LAC 102_Wkst'!$AF$7:$AF$2010,'LAC 102_Wkst'!$D$7:$D$2010,$C$7,'LAC 102_Wkst'!$I$7:$I$2010,$C$9,'LAC 102_Wkst'!$E$7:$E$2010,$C106,'LAC 102_Wkst'!$G$7:$G$2010,$D106,'LAC 102_Wkst'!$L$7:$L$2010,"10",'LAC 102_Wkst'!$N$7:$N$2010,"P2")+SUMIFS('LAC 102_Wkst'!$AF$7:$AF$2010,'LAC 102_Wkst'!$D$7:$D$2010,$C$7,'LAC 102_Wkst'!$I$7:$I$2010,$C$9,'LAC 102_Wkst'!$E$7:$E$2010,$C106,'LAC 102_Wkst'!$G$7:$G$2010,$D106,'LAC 102_Wkst'!$L$7:$L$2010,"10",'LAC 102_Wkst'!$N$7:$N$2010,"P3")+SUMIFS('LAC 102_Wkst'!$AF$7:$AF$2010,'LAC 102_Wkst'!$D$7:$D$2010,$C$7,'LAC 102_Wkst'!$I$7:$I$2010,$C$9,'LAC 102_Wkst'!$E$7:$E$2010,$C106,'LAC 102_Wkst'!$G$7:$G$2010,$D106,'LAC 102_Wkst'!$L$7:$L$2010,"10",'LAC 102_Wkst'!$N$7:$N$2010,"P4")</f>
        <v>0</v>
      </c>
      <c r="AR106" s="419">
        <f>SUMIFS('LAC 102_Wkst'!$Q$7:$Q$2010,'LAC 102_Wkst'!$D$7:$D$2010,$C$7,'LAC 102_Wkst'!$I$7:$I$2010,$C$9,'LAC 102_Wkst'!$E$7:$E$2010,$C106,'LAC 102_Wkst'!$G$7:$G$2010,$D106,'LAC 102_Wkst'!$L$7:$L$2010,"10",'LAC 102_Wkst'!$N$7:$N$2010,"P5")</f>
        <v>0</v>
      </c>
      <c r="AS106" s="420">
        <f>SUMIFS('LAC 102_Wkst'!$AF$7:$AF$2010,'LAC 102_Wkst'!$D$7:$D$2010,$C$7,'LAC 102_Wkst'!$I$7:$I$2010,$C$9,'LAC 102_Wkst'!$E$7:$E$2010,$C106,'LAC 102_Wkst'!$G$7:$G$2010,$D106,'LAC 102_Wkst'!$L$7:$L$2010,"10",'LAC 102_Wkst'!$N$7:$N$2010,"P5")</f>
        <v>0</v>
      </c>
      <c r="AT106" s="419">
        <f>SUMIFS('LAC 102_Wkst'!$Q$7:$Q$2010,'LAC 102_Wkst'!$D$7:$D$2010,$C$7,'LAC 102_Wkst'!$I$7:$I$2010,$C$9,'LAC 102_Wkst'!$E$7:$E$2010,$C106,'LAC 102_Wkst'!$G$7:$G$2010,$D106,'LAC 102_Wkst'!$L$7:$L$2010,"11",'LAC 102_Wkst'!$N$7:$N$2010,"P1")+SUMIFS('LAC 102_Wkst'!$Q$7:$Q$2010,'LAC 102_Wkst'!$D$7:$D$2010,$C$7,'LAC 102_Wkst'!$I$7:$I$2010,$C$9,'LAC 102_Wkst'!$E$7:$E$2010,$C106,'LAC 102_Wkst'!$G$7:$G$2010,$D106,'LAC 102_Wkst'!$L$7:$L$2010,"12",'LAC 102_Wkst'!$N$7:$N$2010,"P1")</f>
        <v>0</v>
      </c>
      <c r="AU106" s="420">
        <f>SUMIFS('LAC 102_Wkst'!$Q$7:$Q$2010,'LAC 102_Wkst'!$D$7:$D$2010,$C$7,'LAC 102_Wkst'!$I$7:$I$2010,$C$9,'LAC 102_Wkst'!$E$7:$E$2010,$C106,'LAC 102_Wkst'!$G$7:$G$2010,$D106,'LAC 102_Wkst'!$L$7:$L$2010,"13",'LAC 102_Wkst'!$N$7:$N$2010,"P5")</f>
        <v>0</v>
      </c>
      <c r="AV106" s="419">
        <f>SUMIFS('LAC 102_Wkst'!$Q$7:$Q$2010,'LAC 102_Wkst'!$D$7:$D$2010,$C$7,'LAC 102_Wkst'!$I$7:$I$2010,$C$9,'LAC 102_Wkst'!$E$7:$E$2010,$C106,'LAC 102_Wkst'!$G$7:$G$2010,$D106,'LAC 102_Wkst'!$L$7:$L$2010,"11",'LAC 102_Wkst'!$N$7:$N$2010,"P2")+SUMIFS('LAC 102_Wkst'!$Q$7:$Q$2010,'LAC 102_Wkst'!$D$7:$D$2010,$C$7,'LAC 102_Wkst'!$I$7:$I$2010,$C$9,'LAC 102_Wkst'!$E$7:$E$2010,$C106,'LAC 102_Wkst'!$G$7:$G$2010,$D106,'LAC 102_Wkst'!$L$7:$L$2010,"12",'LAC 102_Wkst'!$N$7:$N$2010,"P2")+SUMIFS('LAC 102_Wkst'!$Q$7:$Q$2010,'LAC 102_Wkst'!$D$7:$D$2010,$C$7,'LAC 102_Wkst'!$I$7:$I$2010,$C$9,'LAC 102_Wkst'!$E$7:$E$2010,$C106,'LAC 102_Wkst'!$G$7:$G$2010,$D106,'LAC 102_Wkst'!$L$7:$L$2010,"11",'LAC 102_Wkst'!$N$7:$N$2010,"P3")+SUMIFS('LAC 102_Wkst'!$Q$7:$Q$2010,'LAC 102_Wkst'!$D$7:$D$2010,$C$7,'LAC 102_Wkst'!$I$7:$I$2010,$C$9,'LAC 102_Wkst'!$E$7:$E$2010,$C106,'LAC 102_Wkst'!$G$7:$G$2010,$D106,'LAC 102_Wkst'!$L$7:$L$2010,"12",'LAC 102_Wkst'!$N$7:$N$2010,"P3")</f>
        <v>0</v>
      </c>
      <c r="AW106" s="420">
        <f>SUMIFS('LAC 102_Wkst'!$AF$7:$AF$2010,'LAC 102_Wkst'!$D$7:$D$2010,$C$7,'LAC 102_Wkst'!$I$7:$I$2010,$C$9,'LAC 102_Wkst'!$E$7:$E$2010,$C106,'LAC 102_Wkst'!$G$7:$G$2010,$D106,'LAC 102_Wkst'!$L$7:$L$2010,"11",'LAC 102_Wkst'!$N$7:$N$2010,"P2")+SUMIFS('LAC 102_Wkst'!$AF$7:$AF$2010,'LAC 102_Wkst'!$D$7:$D$2010,$C$7,'LAC 102_Wkst'!$I$7:$I$2010,$C$9,'LAC 102_Wkst'!$E$7:$E$2010,$C106,'LAC 102_Wkst'!$G$7:$G$2010,$D106,'LAC 102_Wkst'!$L$7:$L$2010,"12",'LAC 102_Wkst'!$N$7:$N$2010,"P2")+SUMIFS('LAC 102_Wkst'!$AF$7:$AF$2010,'LAC 102_Wkst'!$D$7:$D$2010,$C$7,'LAC 102_Wkst'!$I$7:$I$2010,$C$9,'LAC 102_Wkst'!$E$7:$E$2010,$C106,'LAC 102_Wkst'!$G$7:$G$2010,$D106,'LAC 102_Wkst'!$L$7:$L$2010,"11",'LAC 102_Wkst'!$N$7:$N$2010,"P3")+SUMIFS('LAC 102_Wkst'!$AF$7:$AF$2010,'LAC 102_Wkst'!$D$7:$D$2010,$C$7,'LAC 102_Wkst'!$I$7:$I$2010,$C$9,'LAC 102_Wkst'!$E$7:$E$2010,$C106,'LAC 102_Wkst'!$G$7:$G$2010,$D106,'LAC 102_Wkst'!$L$7:$L$2010,"12",'LAC 102_Wkst'!$N$7:$N$2010,"P3")</f>
        <v>0</v>
      </c>
      <c r="AX106" s="419">
        <f>SUMIFS('LAC 102_Wkst'!$Q$7:$Q$2010,'LAC 102_Wkst'!$D$7:$D$2010,$C$7,'LAC 102_Wkst'!$I$7:$I$2010,$C$9,'LAC 102_Wkst'!$E$7:$E$2010,$C106,'LAC 102_Wkst'!$G$7:$G$2010,$D106,'LAC 102_Wkst'!$L$7:$L$2010,"11",'LAC 102_Wkst'!$N$7:$N$2010,"P4")+SUMIFS('LAC 102_Wkst'!$Q$7:$Q$2010,'LAC 102_Wkst'!$D$7:$D$2010,$C$7,'LAC 102_Wkst'!$I$7:$I$2010,$C$9,'LAC 102_Wkst'!$E$7:$E$2010,$C106,'LAC 102_Wkst'!$G$7:$G$2010,$D106,'LAC 102_Wkst'!$L$7:$L$2010,"12",'LAC 102_Wkst'!$N$7:$N$2010,"P4")</f>
        <v>0</v>
      </c>
      <c r="AY106" s="420">
        <f>SUMIFS('LAC 102_Wkst'!$AF$7:$AF$2010,'LAC 102_Wkst'!$D$7:$D$2010,$C$7,'LAC 102_Wkst'!$I$7:$I$2010,$C$9,'LAC 102_Wkst'!$E$7:$E$2010,$C106,'LAC 102_Wkst'!$G$7:$G$2010,$D106,'LAC 102_Wkst'!$L$7:$L$2010,"11",'LAC 102_Wkst'!$N$7:$N$2010,"P4")+SUMIFS('LAC 102_Wkst'!$AF$7:$AF$2010,'LAC 102_Wkst'!$D$7:$D$2010,$C$7,'LAC 102_Wkst'!$I$7:$I$2010,$C$9,'LAC 102_Wkst'!$E$7:$E$2010,$C106,'LAC 102_Wkst'!$G$7:$G$2010,$D106,'LAC 102_Wkst'!$L$7:$L$2010,"12",'LAC 102_Wkst'!$N$7:$N$2010,"P4")</f>
        <v>0</v>
      </c>
      <c r="AZ106" s="419">
        <f>SUMIFS('LAC 102_Wkst'!$Q$7:$Q$2010,'LAC 102_Wkst'!$D$7:$D$2010,$C$7,'LAC 102_Wkst'!$I$7:$I$2010,$C$9,'LAC 102_Wkst'!$E$7:$E$2010,$C106,'LAC 102_Wkst'!$G$7:$G$2010,$D106,'LAC 102_Wkst'!$L$7:$L$2010,"11",'LAC 102_Wkst'!$N$7:$N$2010,"P5")+SUMIFS('LAC 102_Wkst'!$Q$7:$Q$2010,'LAC 102_Wkst'!$D$7:$D$2010,$C$7,'LAC 102_Wkst'!$I$7:$I$2010,$C$9,'LAC 102_Wkst'!$E$7:$E$2010,$C106,'LAC 102_Wkst'!$G$7:$G$2010,$D106,'LAC 102_Wkst'!$L$7:$L$2010,"12",'LAC 102_Wkst'!$N$7:$N$2010,"P5")</f>
        <v>0</v>
      </c>
      <c r="BA106" s="420">
        <f>SUMIFS('LAC 102_Wkst'!$AF$7:$AF$2010,'LAC 102_Wkst'!$D$7:$D$2010,$C$7,'LAC 102_Wkst'!$I$7:$I$2010,$C$9,'LAC 102_Wkst'!$E$7:$E$2010,$C106,'LAC 102_Wkst'!$G$7:$G$2010,$D106,'LAC 102_Wkst'!$L$7:$L$2010,"11",'LAC 102_Wkst'!$N$7:$N$2010,"P5")+SUMIFS('LAC 102_Wkst'!$AF$7:$AF$2010,'LAC 102_Wkst'!$D$7:$D$2010,$C$7,'LAC 102_Wkst'!$I$7:$I$2010,$C$9,'LAC 102_Wkst'!$E$7:$E$2010,$C106,'LAC 102_Wkst'!$G$7:$G$2010,$D106,'LAC 102_Wkst'!$L$7:$L$2010,"12",'LAC 102_Wkst'!$N$7:$N$2010,"P5")</f>
        <v>0</v>
      </c>
      <c r="BB106" s="419">
        <f>SUMIFS('LAC 102_Wkst'!$Q$7:$Q$2010,'LAC 102_Wkst'!$D$7:$D$2010,$C$7,'LAC 102_Wkst'!$I$7:$I$2010,$C$9,'LAC 102_Wkst'!$E$7:$E$2010,$C106,'LAC 102_Wkst'!$G$7:$G$2010,$D106,'LAC 102_Wkst'!$L$7:$L$2010,"13",'LAC 102_Wkst'!$N$7:$N$2010,"P1")+SUMIFS('LAC 102_Wkst'!$Q$7:$Q$2010,'LAC 102_Wkst'!$D$7:$D$2010,$C$7,'LAC 102_Wkst'!$I$7:$I$2010,$C$9,'LAC 102_Wkst'!$E$7:$E$2010,$C106,'LAC 102_Wkst'!$G$7:$G$2010,$D106,'LAC 102_Wkst'!$L$7:$L$2010,"13",'LAC 102_Wkst'!$N$7:$N$2010,"P2")+SUMIFS('LAC 102_Wkst'!$Q$7:$Q$2010,'LAC 102_Wkst'!$D$7:$D$2010,$C$7,'LAC 102_Wkst'!$I$7:$I$2010,$C$9,'LAC 102_Wkst'!$E$7:$E$2010,$C106,'LAC 102_Wkst'!$G$7:$G$2010,$D106,'LAC 102_Wkst'!$L$7:$L$2010,"13",'LAC 102_Wkst'!$N$7:$N$2010,"P3")+SUMIFS('LAC 102_Wkst'!$Q$7:$Q$2010,'LAC 102_Wkst'!$D$7:$D$2010,$C$7,'LAC 102_Wkst'!$I$7:$I$2010,$C$9,'LAC 102_Wkst'!$E$7:$E$2010,$C106,'LAC 102_Wkst'!$G$7:$G$2010,$D106,'LAC 102_Wkst'!$L$7:$L$2010,"13",'LAC 102_Wkst'!$N$7:$N$2010,"P4")</f>
        <v>0</v>
      </c>
      <c r="BC106" s="420">
        <f>SUMIFS('LAC 102_Wkst'!$AF$7:$AF$2010,'LAC 102_Wkst'!$D$7:$D$2010,$C$7,'LAC 102_Wkst'!$I$7:$I$2010,$C$9,'LAC 102_Wkst'!$E$7:$E$2010,$C106,'LAC 102_Wkst'!$G$7:$G$2010,$D106,'LAC 102_Wkst'!$L$7:$L$2010,"13",'LAC 102_Wkst'!$N$7:$N$2010,"P1")+SUMIFS('LAC 102_Wkst'!$AF$7:$AF$2010,'LAC 102_Wkst'!$D$7:$D$2010,$C$7,'LAC 102_Wkst'!$I$7:$I$2010,$C$9,'LAC 102_Wkst'!$E$7:$E$2010,$C106,'LAC 102_Wkst'!$G$7:$G$2010,$D106,'LAC 102_Wkst'!$L$7:$L$2010,"13",'LAC 102_Wkst'!$N$7:$N$2010,"P2")+SUMIFS('LAC 102_Wkst'!$AF$7:$AF$2010,'LAC 102_Wkst'!$D$7:$D$2010,$C$7,'LAC 102_Wkst'!$I$7:$I$2010,$C$9,'LAC 102_Wkst'!$E$7:$E$2010,$C106,'LAC 102_Wkst'!$G$7:$G$2010,$D106,'LAC 102_Wkst'!$L$7:$L$2010,"13",'LAC 102_Wkst'!$N$7:$N$2010,"P3")+SUMIFS('LAC 102_Wkst'!$AF$7:$AF$2010,'LAC 102_Wkst'!$D$7:$D$2010,$C$7,'LAC 102_Wkst'!$I$7:$I$2010,$C$9,'LAC 102_Wkst'!$E$7:$E$2010,$C106,'LAC 102_Wkst'!$G$7:$G$2010,$D106,'LAC 102_Wkst'!$L$7:$L$2010,"13",'LAC 102_Wkst'!$N$7:$N$2010,"P4")</f>
        <v>0</v>
      </c>
      <c r="BD106" s="419">
        <f>SUMIFS('LAC 102_Wkst'!$Q$7:$Q$2010,'LAC 102_Wkst'!$D$7:$D$2010,$C$7,'LAC 102_Wkst'!$I$7:$I$2010,$C$9,'LAC 102_Wkst'!$E$7:$E$2010,$C106,'LAC 102_Wkst'!$G$7:$G$2010,$D106,'LAC 102_Wkst'!$L$7:$L$2010,"13",'LAC 102_Wkst'!$N$7:$N$2010,"P5")</f>
        <v>0</v>
      </c>
      <c r="BE106" s="422">
        <f>SUMIFS('LAC 102_Wkst'!$AF$7:$AF$2010,'LAC 102_Wkst'!$D$7:$D$2010,$C$7,'LAC 102_Wkst'!$I$7:$I$2010,$C$9,'LAC 102_Wkst'!$E$7:$E$2010,$C106,'LAC 102_Wkst'!$G$7:$G$2010,$D106,'LAC 102_Wkst'!$L$7:$L$2010,"13",'LAC 102_Wkst'!$N$7:$N$2010,"P5")</f>
        <v>0</v>
      </c>
      <c r="BF106" s="423">
        <f t="shared" si="5"/>
        <v>0</v>
      </c>
      <c r="BG106" s="1655">
        <f>SUMIFS('LAC 102_Wkst'!$AF$7:$AF$2010,'LAC 102_Wkst'!$D$7:$D$2010,$C$7,'LAC 102_Wkst'!$I$7:$I$2010,$C$9,'LAC 102_Wkst'!$E$7:$E$2010,$C106,'LAC 102_Wkst'!$G$7:$G$2010,$D106,'LAC 102_Wkst'!$L$7:$L$2010,"14")</f>
        <v>0</v>
      </c>
    </row>
    <row r="107" spans="1:59" ht="15.75" thickTop="1" x14ac:dyDescent="0.2">
      <c r="A107" s="424" t="s">
        <v>231</v>
      </c>
      <c r="B107" s="425" t="str">
        <f>$B$23</f>
        <v>CR</v>
      </c>
      <c r="C107" s="426"/>
      <c r="D107" s="426"/>
      <c r="E107" s="427">
        <f>SUM(E23:E106)</f>
        <v>560410</v>
      </c>
      <c r="F107" s="428">
        <f>SUM(F23:F106)</f>
        <v>457061</v>
      </c>
      <c r="G107" s="429">
        <f t="shared" ref="G107:BF107" si="6">SUM(G23:G106)</f>
        <v>1418087.4178959741</v>
      </c>
      <c r="H107" s="428">
        <f t="shared" si="6"/>
        <v>0</v>
      </c>
      <c r="I107" s="430">
        <f t="shared" si="6"/>
        <v>0</v>
      </c>
      <c r="J107" s="428">
        <f t="shared" si="6"/>
        <v>0</v>
      </c>
      <c r="K107" s="430">
        <f t="shared" si="6"/>
        <v>0</v>
      </c>
      <c r="L107" s="428">
        <f t="shared" si="6"/>
        <v>0</v>
      </c>
      <c r="M107" s="430">
        <f t="shared" si="6"/>
        <v>0</v>
      </c>
      <c r="N107" s="428">
        <f t="shared" si="6"/>
        <v>0</v>
      </c>
      <c r="O107" s="430">
        <f t="shared" si="6"/>
        <v>0</v>
      </c>
      <c r="P107" s="428">
        <f t="shared" si="6"/>
        <v>0</v>
      </c>
      <c r="Q107" s="430">
        <f t="shared" si="6"/>
        <v>0</v>
      </c>
      <c r="R107" s="427">
        <f t="shared" si="6"/>
        <v>517</v>
      </c>
      <c r="S107" s="430">
        <f t="shared" si="6"/>
        <v>1658.2310234518211</v>
      </c>
      <c r="T107" s="428">
        <f t="shared" si="6"/>
        <v>0</v>
      </c>
      <c r="U107" s="430">
        <f t="shared" si="6"/>
        <v>0</v>
      </c>
      <c r="V107" s="428">
        <f t="shared" si="6"/>
        <v>0</v>
      </c>
      <c r="W107" s="430">
        <f t="shared" si="6"/>
        <v>0</v>
      </c>
      <c r="X107" s="428">
        <f t="shared" si="6"/>
        <v>0</v>
      </c>
      <c r="Y107" s="430">
        <f t="shared" si="6"/>
        <v>0</v>
      </c>
      <c r="Z107" s="427">
        <f t="shared" si="6"/>
        <v>0</v>
      </c>
      <c r="AA107" s="430">
        <f t="shared" si="6"/>
        <v>0</v>
      </c>
      <c r="AB107" s="428">
        <f t="shared" si="6"/>
        <v>0</v>
      </c>
      <c r="AC107" s="430">
        <f t="shared" si="6"/>
        <v>0</v>
      </c>
      <c r="AD107" s="428">
        <f t="shared" si="6"/>
        <v>0</v>
      </c>
      <c r="AE107" s="430">
        <f t="shared" si="6"/>
        <v>0</v>
      </c>
      <c r="AF107" s="428">
        <f t="shared" si="6"/>
        <v>0</v>
      </c>
      <c r="AG107" s="430">
        <f t="shared" si="6"/>
        <v>0</v>
      </c>
      <c r="AH107" s="428">
        <f t="shared" si="6"/>
        <v>0</v>
      </c>
      <c r="AI107" s="430">
        <f t="shared" si="6"/>
        <v>0</v>
      </c>
      <c r="AJ107" s="431">
        <f t="shared" si="6"/>
        <v>0</v>
      </c>
      <c r="AK107" s="430">
        <f t="shared" si="6"/>
        <v>0</v>
      </c>
      <c r="AL107" s="428">
        <f t="shared" si="6"/>
        <v>0</v>
      </c>
      <c r="AM107" s="430">
        <f t="shared" si="6"/>
        <v>0</v>
      </c>
      <c r="AN107" s="428">
        <f t="shared" si="6"/>
        <v>0</v>
      </c>
      <c r="AO107" s="430">
        <f t="shared" si="6"/>
        <v>0</v>
      </c>
      <c r="AP107" s="428">
        <f t="shared" si="6"/>
        <v>45241</v>
      </c>
      <c r="AQ107" s="430">
        <f t="shared" si="6"/>
        <v>138295.36286869308</v>
      </c>
      <c r="AR107" s="428">
        <f t="shared" si="6"/>
        <v>0</v>
      </c>
      <c r="AS107" s="430">
        <f t="shared" si="6"/>
        <v>0</v>
      </c>
      <c r="AT107" s="428">
        <f t="shared" si="6"/>
        <v>0</v>
      </c>
      <c r="AU107" s="430">
        <f t="shared" si="6"/>
        <v>0</v>
      </c>
      <c r="AV107" s="428">
        <f t="shared" si="6"/>
        <v>0</v>
      </c>
      <c r="AW107" s="430">
        <f t="shared" si="6"/>
        <v>0</v>
      </c>
      <c r="AX107" s="428">
        <f t="shared" si="6"/>
        <v>0</v>
      </c>
      <c r="AY107" s="430">
        <f t="shared" si="6"/>
        <v>0</v>
      </c>
      <c r="AZ107" s="432">
        <f t="shared" si="6"/>
        <v>0</v>
      </c>
      <c r="BA107" s="430">
        <f t="shared" si="6"/>
        <v>0</v>
      </c>
      <c r="BB107" s="777">
        <f t="shared" si="6"/>
        <v>18611</v>
      </c>
      <c r="BC107" s="430">
        <f t="shared" si="6"/>
        <v>57498.710666129002</v>
      </c>
      <c r="BD107" s="428">
        <f t="shared" si="6"/>
        <v>0</v>
      </c>
      <c r="BE107" s="433">
        <f t="shared" si="6"/>
        <v>0</v>
      </c>
      <c r="BF107" s="1656">
        <f t="shared" si="6"/>
        <v>38980</v>
      </c>
      <c r="BG107" s="1657">
        <f t="shared" ref="BG107" si="7">SUM(BG23:BG106)</f>
        <v>123243.27178180675</v>
      </c>
    </row>
    <row r="108" spans="1:59" ht="15.75" x14ac:dyDescent="0.25">
      <c r="A108" s="378"/>
      <c r="B108" s="1622" t="str">
        <f t="shared" ref="B108:B109" si="8">$B$23</f>
        <v>CR</v>
      </c>
      <c r="C108" s="378"/>
      <c r="D108" s="1624" t="s">
        <v>2003</v>
      </c>
      <c r="E108" s="1224">
        <f>SUMIFS('LAC 102_Wkst'!$Q$7:$Q$2010,'LAC 102_Wkst'!$D$7:$D$2010,$C$7,'LAC 102_Wkst'!$I$7:$I$2010,$C$9)</f>
        <v>560410</v>
      </c>
      <c r="F108" s="1224">
        <f>SUMIFS('LAC 102_Wkst'!$Q$7:$Q$2010,'LAC 102_Wkst'!$D$7:$D$2010,$C$7,'LAC 102_Wkst'!$I$7:$I$2010,$C$9,'LAC 102_Wkst'!$L$7:$L$2010,"01",'LAC 102_Wkst'!$N$7:$N$2010,"P1")+SUMIFS('LAC 102_Wkst'!$Q$7:$Q$2010,'LAC 102_Wkst'!$D$7:$D$2010,$C$7,'LAC 102_Wkst'!$I$7:$I$2010,$C$9,'LAC 102_Wkst'!$L$7:$L$2010,"01",'LAC 102_Wkst'!$N$7:$N$2010,"P2")+SUMIFS('LAC 102_Wkst'!$Q$7:$Q$2010,'LAC 102_Wkst'!$D$7:$D$2010,$C$7,'LAC 102_Wkst'!$I$7:$I$2010,$C$9,'LAC 102_Wkst'!$L$7:$L$2010,"01",'LAC 102_Wkst'!$N$7:$N$2010,"P3")+SUMIFS('LAC 102_Wkst'!$Q$7:$Q$2010,'LAC 102_Wkst'!$D$7:$D$2010,$C$7,'LAC 102_Wkst'!$I$7:$I$2010,$C$9,'LAC 102_Wkst'!$L$7:$L$2010,"02",'LAC 102_Wkst'!$N$7:$N$2010,"P1")+SUMIFS('LAC 102_Wkst'!$Q$7:$Q$2010,'LAC 102_Wkst'!$D$7:$D$2010,$C$7,'LAC 102_Wkst'!$I$7:$I$2010,$C$9,'LAC 102_Wkst'!$L$7:$L$2010,"02",'LAC 102_Wkst'!$N$7:$N$2010,"P2")+SUMIFS('LAC 102_Wkst'!$Q$7:$Q$2010,'LAC 102_Wkst'!$D$7:$D$2010,$C$7,'LAC 102_Wkst'!$I$7:$I$2010,$C$9,'LAC 102_Wkst'!$L$7:$L$2010,"02",'LAC 102_Wkst'!$N$7:$N$2010,"P3")</f>
        <v>457061</v>
      </c>
      <c r="G108" s="1225">
        <f>SUMIFS('LAC 102_Wkst'!$AF$7:$AF$2010,'LAC 102_Wkst'!$D$7:$D$2010,$C$7,'LAC 102_Wkst'!$I$7:$I$2010,$C$9,'LAC 102_Wkst'!$L$7:$L$2010,"01",'LAC 102_Wkst'!$N$7:$N$2010,"P1")+SUMIFS('LAC 102_Wkst'!$AF$7:$AF$2010,'LAC 102_Wkst'!$D$7:$D$2010,$C$7,'LAC 102_Wkst'!$I$7:$I$2010,$C$9,'LAC 102_Wkst'!$L$7:$L$2010,"01",'LAC 102_Wkst'!$N$7:$N$2010,"P2")+SUMIFS('LAC 102_Wkst'!$AF$7:$AF$2010,'LAC 102_Wkst'!$D$7:$D$2010,$C$7,'LAC 102_Wkst'!$I$7:$I$2010,$C$9,'LAC 102_Wkst'!$L$7:$L$2010,"01",'LAC 102_Wkst'!$N$7:$N$2010,"P3")+SUMIFS('LAC 102_Wkst'!$AF$7:$AF$2010,'LAC 102_Wkst'!$D$7:$D$2010,$C$7,'LAC 102_Wkst'!$I$7:$I$2010,$C$9,'LAC 102_Wkst'!$L$7:$L$2010,"02",'LAC 102_Wkst'!$N$7:$N$2010,"P1")+SUMIFS('LAC 102_Wkst'!$AF$7:$AF$2010,'LAC 102_Wkst'!$D$7:$D$2010,$C$7,'LAC 102_Wkst'!$I$7:$I$2010,$C$9,'LAC 102_Wkst'!$L$7:$L$2010,"02",'LAC 102_Wkst'!$N$7:$N$2010,"P2")+SUMIFS('LAC 102_Wkst'!$AF$7:$AF$2010,'LAC 102_Wkst'!$D$7:$D$2010,$C$7,'LAC 102_Wkst'!$I$7:$I$2010,$C$9,'LAC 102_Wkst'!$L$7:$L$2010,"02",'LAC 102_Wkst'!$N$7:$N$2010,"P3")</f>
        <v>1418087.4178959739</v>
      </c>
      <c r="H108" s="1224">
        <f>SUMIFS('LAC 102_Wkst'!$Q$7:$Q$2010,'LAC 102_Wkst'!$D$7:$D$2010,$C$7,'LAC 102_Wkst'!$I$7:$I$2010,$C$9,'LAC 102_Wkst'!$L$7:$L$2010,"01",'LAC 102_Wkst'!$N$7:$N$2010,"P4")+SUMIFS('LAC 102_Wkst'!$Q$7:$Q$2010,'LAC 102_Wkst'!$D$7:$D$2010,$C$7,'LAC 102_Wkst'!$I$7:$I$2010,$C$9,'LAC 102_Wkst'!$L$7:$L$2010,"02",'LAC 102_Wkst'!$N$7:$N$2010,"P4")</f>
        <v>0</v>
      </c>
      <c r="I108" s="1274">
        <f>SUMIFS('LAC 102_Wkst'!$AF$7:$AF$2010,'LAC 102_Wkst'!$D$7:$D$2010,$C$7,'LAC 102_Wkst'!$I$7:$I$2010,$C$9,'LAC 102_Wkst'!$L$7:$L$2010,"01",'LAC 102_Wkst'!$N$7:$N$2010,"P4")+SUMIFS('LAC 102_Wkst'!$AF$7:$AF$2010,'LAC 102_Wkst'!$D$7:$D$2010,$C$7,'LAC 102_Wkst'!$I$7:$I$2010,$C$9,'LAC 102_Wkst'!$L$7:$L$2010,"02",'LAC 102_Wkst'!$N$7:$N$2010,"P4")</f>
        <v>0</v>
      </c>
      <c r="J108" s="1224">
        <f>SUMIFS('LAC 102_Wkst'!$Q$7:$Q$2010,'LAC 102_Wkst'!$D$7:$D$2010,$C$7,'LAC 102_Wkst'!$I$7:$I$2010,$C$9,'LAC 102_Wkst'!$L$7:$L$2010,"01",'LAC 102_Wkst'!$N$7:$N$2010,"P5")+SUMIFS('LAC 102_Wkst'!$Q$7:$Q$2010,'LAC 102_Wkst'!$D$7:$D$2010,$C$7,'LAC 102_Wkst'!$I$7:$I$2010,$C$9,'LAC 102_Wkst'!$L$7:$L$2010,"02",'LAC 102_Wkst'!$N$7:$N$2010,"P5")</f>
        <v>0</v>
      </c>
      <c r="K108" s="1274">
        <f>SUMIFS('LAC 102_Wkst'!$AF$7:$AF$2010,'LAC 102_Wkst'!$D$7:$D$2010,$C$7,'LAC 102_Wkst'!$I$7:$I$2010,$C$9,'LAC 102_Wkst'!$L$7:$L$2010,"01",'LAC 102_Wkst'!$N$7:$N$2010,"P5")+SUMIFS('LAC 102_Wkst'!$AF$7:$AF$2010,'LAC 102_Wkst'!$D$7:$D$2010,$C$7,'LAC 102_Wkst'!$I$7:$I$2010,$C$9,'LAC 102_Wkst'!$L$7:$L$2010,"02",'LAC 102_Wkst'!$N$7:$N$2010,"P5")</f>
        <v>0</v>
      </c>
      <c r="L108" s="1225">
        <f>SUMIFS('LAC 102_Wkst'!$Q$7:$Q$2010,'LAC 102_Wkst'!$D$7:$D$2010,$C$7,'LAC 102_Wkst'!$I$7:$I$2010,$C$9,'LAC 102_Wkst'!$L$7:$L$2010,"03",'LAC 102_Wkst'!$N$7:$N$2010,"P1")+SUMIFS('LAC 102_Wkst'!$Q$7:$Q$2010,'LAC 102_Wkst'!$D$7:$D$2010,$C$7,'LAC 102_Wkst'!$I$7:$I$2010,$C$9,'LAC 102_Wkst'!$L$7:$L$2010,"03",'LAC 102_Wkst'!$N$7:$N$2010,"P2")+SUMIFS('LAC 102_Wkst'!$Q$7:$Q$2010,'LAC 102_Wkst'!$D$7:$D$2010,$C$7,'LAC 102_Wkst'!$I$7:$I$2010,$C$9,'LAC 102_Wkst'!$L$7:$L$2010,"03",'LAC 102_Wkst'!$N$7:$N$2010,"P3")+SUMIFS('LAC 102_Wkst'!$Q$7:$Q$2010,'LAC 102_Wkst'!$D$7:$D$2010,$C$7,'LAC 102_Wkst'!$I$7:$I$2010,$C$9,'LAC 102_Wkst'!$L$7:$L$2010,"04",'LAC 102_Wkst'!$N$7:$N$2010,"P1")+SUMIFS('LAC 102_Wkst'!$Q$7:$Q$2010,'LAC 102_Wkst'!$D$7:$D$2010,$C$7,'LAC 102_Wkst'!$I$7:$I$2010,$C$9,'LAC 102_Wkst'!$L$7:$L$2010,"04",'LAC 102_Wkst'!$N$7:$N$2010,"P2")+SUMIFS('LAC 102_Wkst'!$Q$7:$Q$2010,'LAC 102_Wkst'!$D$7:$D$2010,$C$7,'LAC 102_Wkst'!$I$7:$I$2010,$C$9,'LAC 102_Wkst'!$L$7:$L$2010,"04",'LAC 102_Wkst'!$N$7:$N$2010,"P3")</f>
        <v>0</v>
      </c>
      <c r="M108" s="1274">
        <f>SUMIFS('LAC 102_Wkst'!$AF$7:$AF$2010,'LAC 102_Wkst'!$D$7:$D$2010,$C$7,'LAC 102_Wkst'!$I$7:$I$2010,$C$9,'LAC 102_Wkst'!$L$7:$L$2010,"03",'LAC 102_Wkst'!$N$7:$N$2010,"P1")+SUMIFS('LAC 102_Wkst'!$AF$7:$AF$2010,'LAC 102_Wkst'!$D$7:$D$2010,$C$7,'LAC 102_Wkst'!$I$7:$I$2010,$C$9,'LAC 102_Wkst'!$L$7:$L$2010,"03",'LAC 102_Wkst'!$N$7:$N$2010,"P2")+SUMIFS('LAC 102_Wkst'!$AF$7:$AF$2010,'LAC 102_Wkst'!$D$7:$D$2010,$C$7,'LAC 102_Wkst'!$I$7:$I$2010,$C$9,'LAC 102_Wkst'!$L$7:$L$2010,"03",'LAC 102_Wkst'!$N$7:$N$2010,"P3")+SUMIFS('LAC 102_Wkst'!$AF$7:$AF$2010,'LAC 102_Wkst'!$D$7:$D$2010,$C$7,'LAC 102_Wkst'!$I$7:$I$2010,$C$9,'LAC 102_Wkst'!$L$7:$L$2010,"04",'LAC 102_Wkst'!$N$7:$N$2010,"P1")+SUMIFS('LAC 102_Wkst'!$AF$7:$AF$2010,'LAC 102_Wkst'!$D$7:$D$2010,$C$7,'LAC 102_Wkst'!$I$7:$I$2010,$C$9,'LAC 102_Wkst'!$L$7:$L$2010,"04",'LAC 102_Wkst'!$N$7:$N$2010,"P2")+SUMIFS('LAC 102_Wkst'!$AF$7:$AF$2010,'LAC 102_Wkst'!$D$7:$D$2010,$C$7,'LAC 102_Wkst'!$I$7:$I$2010,$C$9,'LAC 102_Wkst'!$L$7:$L$2010,"04",'LAC 102_Wkst'!$N$7:$N$2010,"P3")</f>
        <v>0</v>
      </c>
      <c r="N108" s="1224">
        <f>SUMIFS('LAC 102_Wkst'!$Q$7:$Q$2010,'LAC 102_Wkst'!$D$7:$D$2010,$C$7,'LAC 102_Wkst'!$I$7:$I$2010,$C$9,'LAC 102_Wkst'!$L$7:$L$2010,"03",'LAC 102_Wkst'!$N$7:$N$2010,"P4")+SUMIFS('LAC 102_Wkst'!$Q$7:$Q$2010,'LAC 102_Wkst'!$D$7:$D$2010,$C$7,'LAC 102_Wkst'!$I$7:$I$2010,$C$9,'LAC 102_Wkst'!$L$7:$L$2010,"04",'LAC 102_Wkst'!$N$7:$N$2010,"P4")</f>
        <v>0</v>
      </c>
      <c r="O108" s="1274">
        <f>SUMIFS('LAC 102_Wkst'!$AF$7:$AF$2010,'LAC 102_Wkst'!$D$7:$D$2010,$C$7,'LAC 102_Wkst'!$I$7:$I$2010,$C$9,'LAC 102_Wkst'!$L$7:$L$2010,"03",'LAC 102_Wkst'!$N$7:$N$2010,"P4")+SUMIFS('LAC 102_Wkst'!$AF$7:$AF$2010,'LAC 102_Wkst'!$D$7:$D$2010,$C$7,'LAC 102_Wkst'!$I$7:$I$2010,$C$9,'LAC 102_Wkst'!$L$7:$L$2010,"04",'LAC 102_Wkst'!$N$7:$N$2010,"P4")</f>
        <v>0</v>
      </c>
      <c r="P108" s="1224">
        <f>SUMIFS('LAC 102_Wkst'!$Q$7:$Q$2010,'LAC 102_Wkst'!$D$7:$D$2010,$C$7,'LAC 102_Wkst'!$I$7:$I$2010,$C$9,'LAC 102_Wkst'!$L$7:$L$2010,"03",'LAC 102_Wkst'!$N$7:$N$2010,"P5")+SUMIFS('LAC 102_Wkst'!$Q$7:$Q$2010,'LAC 102_Wkst'!$D$7:$D$2010,$C$7,'LAC 102_Wkst'!$I$7:$I$2010,$C$9,'LAC 102_Wkst'!$L$7:$L$2010,"04",'LAC 102_Wkst'!$N$7:$N$2010,"P5")</f>
        <v>0</v>
      </c>
      <c r="Q108" s="1274">
        <f>SUMIFS('LAC 102_Wkst'!$AF$7:$AF$2010,'LAC 102_Wkst'!$D$7:$D$2010,$C$7,'LAC 102_Wkst'!$I$7:$I$2010,$C$9,'LAC 102_Wkst'!$L$7:$L$2010,"03",'LAC 102_Wkst'!$N$7:$N$2010,"P5")+SUMIFS('LAC 102_Wkst'!$AF$7:$AF$2010,'LAC 102_Wkst'!$D$7:$D$2010,$C$7,'LAC 102_Wkst'!$I$7:$I$2010,$C$9,'LAC 102_Wkst'!$L$7:$L$2010,"04",'LAC 102_Wkst'!$N$7:$N$2010,"P5")</f>
        <v>0</v>
      </c>
      <c r="R108" s="1224">
        <f>SUMIFS('LAC 102_Wkst'!$Q$7:$Q$2010,'LAC 102_Wkst'!$D$7:$D$2010,$C$7,'LAC 102_Wkst'!$I$7:$I$2010,$C$9,'LAC 102_Wkst'!$L$7:$L$2010,"05",'LAC 102_Wkst'!$N$7:$N$2010,"P1")+SUMIFS('LAC 102_Wkst'!$Q$7:$Q$2010,'LAC 102_Wkst'!$D$7:$D$2010,$C$7,'LAC 102_Wkst'!$I$7:$I$2010,$C$9,'LAC 102_Wkst'!$L$7:$L$2010,"06",'LAC 102_Wkst'!$N$7:$N$2010,"P1")</f>
        <v>517</v>
      </c>
      <c r="S108" s="1225">
        <f>SUMIFS('LAC 102_Wkst'!$AF$7:$AF$2010,'LAC 102_Wkst'!$D$7:$D$2010,$C$7,'LAC 102_Wkst'!$I$7:$I$2010,$C$9,'LAC 102_Wkst'!$L$7:$L$2010,"05",'LAC 102_Wkst'!$N$7:$N$2010,"P1")+SUMIFS('LAC 102_Wkst'!$AF$7:$AF$2010,'LAC 102_Wkst'!$D$7:$D$2010,$C$7,'LAC 102_Wkst'!$I$7:$I$2010,$C$9,'LAC 102_Wkst'!$L$7:$L$2010,"06",'LAC 102_Wkst'!$N$7:$N$2010,"P1")</f>
        <v>1658.2310234518211</v>
      </c>
      <c r="T108" s="1224">
        <f>SUMIFS('LAC 102_Wkst'!$Q$7:$Q$2010,'LAC 102_Wkst'!$D$7:$D$2010,$C$7,'LAC 102_Wkst'!$I$7:$I$2010,$C$9,'LAC 102_Wkst'!$L$7:$L$2010,"05",'LAC 102_Wkst'!$N$7:$N$2010,"P2")+SUMIFS('LAC 102_Wkst'!$Q$7:$Q$2010,'LAC 102_Wkst'!$D$7:$D$2010,$C$7,'LAC 102_Wkst'!$I$7:$I$2010,$C$9,'LAC 102_Wkst'!$L$7:$L$2010,"06",'LAC 102_Wkst'!$N$7:$N$2010,"P2")+SUMIFS('LAC 102_Wkst'!$Q$7:$Q$2010,'LAC 102_Wkst'!$D$7:$D$2010,$C$7,'LAC 102_Wkst'!$I$7:$I$2010,$C$9,'LAC 102_Wkst'!$L$7:$L$2010,"05",'LAC 102_Wkst'!$N$7:$N$2010,"P3")+SUMIFS('LAC 102_Wkst'!$Q$7:$Q$2010,'LAC 102_Wkst'!$D$7:$D$2010,$C$7,'LAC 102_Wkst'!$I$7:$I$2010,$C$9,'LAC 102_Wkst'!$L$7:$L$2010,"06",'LAC 102_Wkst'!$N$7:$N$2010,"P3")</f>
        <v>0</v>
      </c>
      <c r="U108" s="1274">
        <f>SUMIFS('LAC 102_Wkst'!$AF$7:$AF$2010,'LAC 102_Wkst'!$D$7:$D$2010,$C$7,'LAC 102_Wkst'!$I$7:$I$2010,$C$9,'LAC 102_Wkst'!$L$7:$L$2010,"05",'LAC 102_Wkst'!$N$7:$N$2010,"P2")+SUMIFS('LAC 102_Wkst'!$AF$7:$AF$2010,'LAC 102_Wkst'!$D$7:$D$2010,$C$7,'LAC 102_Wkst'!$I$7:$I$2010,$C$9,'LAC 102_Wkst'!$L$7:$L$2010,"06",'LAC 102_Wkst'!$N$7:$N$2010,"P2")+SUMIFS('LAC 102_Wkst'!$AF$7:$AF$2010,'LAC 102_Wkst'!$D$7:$D$2010,$C$7,'LAC 102_Wkst'!$I$7:$I$2010,$C$9,'LAC 102_Wkst'!$L$7:$L$2010,"05",'LAC 102_Wkst'!$N$7:$N$2010,"P3")+SUMIFS('LAC 102_Wkst'!$AF$7:$AF$2010,'LAC 102_Wkst'!$D$7:$D$2010,$C$7,'LAC 102_Wkst'!$I$7:$I$2010,$C$9,'LAC 102_Wkst'!$L$7:$L$2010,"06",'LAC 102_Wkst'!$N$7:$N$2010,"P3")</f>
        <v>0</v>
      </c>
      <c r="V108" s="1224">
        <f>SUMIFS('LAC 102_Wkst'!$Q$7:$Q$2010,'LAC 102_Wkst'!$D$7:$D$2010,$C$7,'LAC 102_Wkst'!$I$7:$I$2010,$C$9,'LAC 102_Wkst'!$L$7:$L$2010,"05",'LAC 102_Wkst'!$N$7:$N$2010,"P4")+SUMIFS('LAC 102_Wkst'!$Q$7:$Q$2010,'LAC 102_Wkst'!$D$7:$D$2010,$C$7,'LAC 102_Wkst'!$I$7:$I$2010,$C$9,'LAC 102_Wkst'!$L$7:$L$2010,"06",'LAC 102_Wkst'!$N$7:$N$2010,"P4")</f>
        <v>0</v>
      </c>
      <c r="W108" s="1274">
        <f>SUMIFS('LAC 102_Wkst'!$AF$7:$AF$2010,'LAC 102_Wkst'!$D$7:$D$2010,$C$7,'LAC 102_Wkst'!$I$7:$I$2010,$C$9,'LAC 102_Wkst'!$L$7:$L$2010,"05",'LAC 102_Wkst'!$N$7:$N$2010,"P4")+SUMIFS('LAC 102_Wkst'!$AF$7:$AF$2010,'LAC 102_Wkst'!$D$7:$D$2010,$C$7,'LAC 102_Wkst'!$I$7:$I$2010,$C$9,'LAC 102_Wkst'!$L$7:$L$2010,"06",'LAC 102_Wkst'!$N$7:$N$2010,"P4")</f>
        <v>0</v>
      </c>
      <c r="X108" s="1224">
        <f>SUMIFS('LAC 102_Wkst'!$Q$7:$Q$2010,'LAC 102_Wkst'!$D$7:$D$2010,$C$7,'LAC 102_Wkst'!$I$7:$I$2010,$C$9,'LAC 102_Wkst'!$L$7:$L$2010,"05",'LAC 102_Wkst'!$N$7:$N$2010,"P5")+SUMIFS('LAC 102_Wkst'!$Q$7:$Q$2010,'LAC 102_Wkst'!$D$7:$D$2010,$C$7,'LAC 102_Wkst'!$I$7:$I$2010,$C$9,'LAC 102_Wkst'!$L$7:$L$2010,"06",'LAC 102_Wkst'!$N$7:$N$2010,"P5")</f>
        <v>0</v>
      </c>
      <c r="Y108" s="1274">
        <f>SUMIFS('LAC 102_Wkst'!$AF$7:$AF$2010,'LAC 102_Wkst'!$D$7:$D$2010,$C$7,'LAC 102_Wkst'!$I$7:$I$2010,$C$9,'LAC 102_Wkst'!$L$7:$L$2010,"05",'LAC 102_Wkst'!$N$7:$N$2010,"P5")+SUMIFS('LAC 102_Wkst'!$AF$7:$AF$2010,'LAC 102_Wkst'!$D$7:$D$2010,$C$7,'LAC 102_Wkst'!$I$7:$I$2010,$C$9,'LAC 102_Wkst'!$L$7:$L$2010,"06",'LAC 102_Wkst'!$N$7:$N$2010,"P5")</f>
        <v>0</v>
      </c>
      <c r="Z108" s="1224">
        <f>SUMIFS('LAC 102_Wkst'!$Q$7:$Q$2010,'LAC 102_Wkst'!$D$7:$D$2010,$C$7,'LAC 102_Wkst'!$I$7:$I$2010,$C$9,'LAC 102_Wkst'!$L$7:$L$2010,"07",'LAC 102_Wkst'!$N$7:$N$2010,"P1")+SUMIFS('LAC 102_Wkst'!$Q$7:$Q$2010,'LAC 102_Wkst'!$D$7:$D$2010,$C$7,'LAC 102_Wkst'!$I$7:$I$2010,$C$9,'LAC 102_Wkst'!$L$7:$L$2010,"07",'LAC 102_Wkst'!$N$7:$N$2010,"P2")+SUMIFS('LAC 102_Wkst'!$Q$7:$Q$2010,'LAC 102_Wkst'!$D$7:$D$2010,$C$7,'LAC 102_Wkst'!$I$7:$I$2010,$C$9,'LAC 102_Wkst'!$L$7:$L$2010,"07",'LAC 102_Wkst'!$N$7:$N$2010,"P3")</f>
        <v>0</v>
      </c>
      <c r="AA108" s="1274">
        <f>SUMIFS('LAC 102_Wkst'!$AF$7:$AF$2010,'LAC 102_Wkst'!$D$7:$D$2010,$C$7,'LAC 102_Wkst'!$I$7:$I$2010,$C$9,'LAC 102_Wkst'!$L$7:$L$2010,"07",'LAC 102_Wkst'!$N$7:$N$2010,"P1")+SUMIFS('LAC 102_Wkst'!$AF$7:$AF$2010,'LAC 102_Wkst'!$D$7:$D$2010,$C$7,'LAC 102_Wkst'!$I$7:$I$2010,$C$9,'LAC 102_Wkst'!$L$7:$L$2010,"07",'LAC 102_Wkst'!$N$7:$N$2010,"P2")+SUMIFS('LAC 102_Wkst'!$AF$7:$AF$2010,'LAC 102_Wkst'!$D$7:$D$2010,$C$7,'LAC 102_Wkst'!$I$7:$I$2010,$C$9,'LAC 102_Wkst'!$L$7:$L$2010,"07",'LAC 102_Wkst'!$N$7:$N$2010,"P3")</f>
        <v>0</v>
      </c>
      <c r="AB108" s="1224">
        <f>SUMIFS('LAC 102_Wkst'!$Q$7:$Q$2010,'LAC 102_Wkst'!$D$7:$D$2010,$C$7,'LAC 102_Wkst'!$I$7:$I$2010,$C$9,'LAC 102_Wkst'!$L$7:$L$2010,"07",'LAC 102_Wkst'!$N$7:$N$2010,"P4")</f>
        <v>0</v>
      </c>
      <c r="AC108" s="1274">
        <f>SUMIFS('LAC 102_Wkst'!$AF$7:$AF$2010,'LAC 102_Wkst'!$D$7:$D$2010,$C$7,'LAC 102_Wkst'!$I$7:$I$2010,$C$9,'LAC 102_Wkst'!$L$7:$L$2010,"07",'LAC 102_Wkst'!$N$7:$N$2010,"P4")</f>
        <v>0</v>
      </c>
      <c r="AD108" s="1224">
        <f>SUMIFS('LAC 102_Wkst'!$Q$7:$Q$2010,'LAC 102_Wkst'!$D$7:$D$2010,$C$7,'LAC 102_Wkst'!$I$7:$I$2010,$C$9,'LAC 102_Wkst'!$L$7:$L$2010,"07",'LAC 102_Wkst'!$N$7:$N$2010,"P5")</f>
        <v>0</v>
      </c>
      <c r="AE108" s="1274">
        <f>SUMIFS('LAC 102_Wkst'!$AF$7:$AF$2010,'LAC 102_Wkst'!$D$7:$D$2010,$C$7,'LAC 102_Wkst'!$I$7:$I$2010,$C$9,'LAC 102_Wkst'!$L$7:$L$2010,"07",'LAC 102_Wkst'!$N$7:$N$2010,"P5")</f>
        <v>0</v>
      </c>
      <c r="AF108" s="1224">
        <f>SUMIFS('LAC 102_Wkst'!$Q$7:$Q$2010,'LAC 102_Wkst'!$D$7:$D$2010,$C$7,'LAC 102_Wkst'!$I$7:$I$2010,$C$9,'LAC 102_Wkst'!$L$7:$L$2010,"08",'LAC 102_Wkst'!$N$7:$N$2010,"P1")+SUMIFS('LAC 102_Wkst'!$Q$7:$Q$2010,'LAC 102_Wkst'!$D$7:$D$2010,$C$7,'LAC 102_Wkst'!$I$7:$I$2010,$C$9,'LAC 102_Wkst'!$L$7:$L$2010,"08",'LAC 102_Wkst'!$N$7:$N$2010,"P2")+SUMIFS('LAC 102_Wkst'!$Q$7:$Q$2010,'LAC 102_Wkst'!$D$7:$D$2010,$C$7,'LAC 102_Wkst'!$I$7:$I$2010,$C$9,'LAC 102_Wkst'!$L$7:$L$2010,"08",'LAC 102_Wkst'!$N$7:$N$2010,"P3")</f>
        <v>0</v>
      </c>
      <c r="AG108" s="1274">
        <f>SUMIFS('LAC 102_Wkst'!$AF$7:$AF$2010,'LAC 102_Wkst'!$D$7:$D$2010,$C$7,'LAC 102_Wkst'!$I$7:$I$2010,$C$9,'LAC 102_Wkst'!$L$7:$L$2010,"08",'LAC 102_Wkst'!$N$7:$N$2010,"P1")+SUMIFS('LAC 102_Wkst'!$AF$7:$AF$2010,'LAC 102_Wkst'!$D$7:$D$2010,$C$7,'LAC 102_Wkst'!$I$7:$I$2010,$C$9,'LAC 102_Wkst'!$L$7:$L$2010,"08",'LAC 102_Wkst'!$N$7:$N$2010,"P2")+SUMIFS('LAC 102_Wkst'!$AF$7:$AF$2010,'LAC 102_Wkst'!$D$7:$D$2010,$C$7,'LAC 102_Wkst'!$I$7:$I$2010,$C$9,'LAC 102_Wkst'!$L$7:$L$2010,"08",'LAC 102_Wkst'!$N$7:$N$2010,"P3")</f>
        <v>0</v>
      </c>
      <c r="AH108" s="1224">
        <f>SUMIFS('LAC 102_Wkst'!$Q$7:$Q$2010,'LAC 102_Wkst'!$D$7:$D$2010,$C$7,'LAC 102_Wkst'!$I$7:$I$2010,$C$9,'LAC 102_Wkst'!$L$7:$L$2010,"08",'LAC 102_Wkst'!$N$7:$N$2010,"P4")</f>
        <v>0</v>
      </c>
      <c r="AI108" s="1274">
        <f>SUMIFS('LAC 102_Wkst'!$AF$7:$AF$2010,'LAC 102_Wkst'!$D$7:$D$2010,$C$7,'LAC 102_Wkst'!$I$7:$I$2010,$C$9,'LAC 102_Wkst'!$L$7:$L$2010,"08",'LAC 102_Wkst'!$N$7:$N$2010,"P4")</f>
        <v>0</v>
      </c>
      <c r="AJ108" s="1224">
        <f>SUMIFS('LAC 102_Wkst'!$Q$7:$Q$2010,'LAC 102_Wkst'!$D$7:$D$2010,$C$7,'LAC 102_Wkst'!$I$7:$I$2010,$C$9,'LAC 102_Wkst'!$L$7:$L$2010,"08",'LAC 102_Wkst'!$N$7:$N$2010,"P5")</f>
        <v>0</v>
      </c>
      <c r="AK108" s="1274">
        <f>SUMIFS('LAC 102_Wkst'!$AF$7:$AF$2010,'LAC 102_Wkst'!$D$7:$D$2010,$C$7,'LAC 102_Wkst'!$I$7:$I$2010,$C$9,'LAC 102_Wkst'!$L$7:$L$2010,"08",'LAC 102_Wkst'!$N$7:$N$2010,"P5")</f>
        <v>0</v>
      </c>
      <c r="AL108" s="1224">
        <f>SUMIFS('LAC 102_Wkst'!$Q$7:$Q$2010,'LAC 102_Wkst'!$D$7:$D$2010,$C$7,'LAC 102_Wkst'!$I$7:$I$2010,$C$9,'LAC 102_Wkst'!$L$7:$L$2010,"09",'LAC 102_Wkst'!$N$7:$N$2010,"P1")+SUMIFS('LAC 102_Wkst'!$Q$7:$Q$2010,'LAC 102_Wkst'!$D$7:$D$2010,$C$7,'LAC 102_Wkst'!$I$7:$I$2010,$C$9,'LAC 102_Wkst'!$L$7:$L$2010,"09",'LAC 102_Wkst'!$N$7:$N$2010,"P2")+SUMIFS('LAC 102_Wkst'!$Q$7:$Q$2010,'LAC 102_Wkst'!$D$7:$D$2010,$C$7,'LAC 102_Wkst'!$I$7:$I$2010,$C$9,'LAC 102_Wkst'!$L$7:$L$2010,"09",'LAC 102_Wkst'!$N$7:$N$2010,"P3")+SUMIFS('LAC 102_Wkst'!$Q$7:$Q$2010,'LAC 102_Wkst'!$D$7:$D$2010,$C$7,'LAC 102_Wkst'!$I$7:$I$2010,$C$9,'LAC 102_Wkst'!$L$7:$L$2010,"09",'LAC 102_Wkst'!$N$7:$N$2010,"P4")</f>
        <v>0</v>
      </c>
      <c r="AM108" s="1274">
        <f>SUMIFS('LAC 102_Wkst'!$AF$7:$AF$2010,'LAC 102_Wkst'!$D$7:$D$2010,$C$7,'LAC 102_Wkst'!$I$7:$I$2010,$C$9,'LAC 102_Wkst'!$L$7:$L$2010,"09",'LAC 102_Wkst'!$N$7:$N$2010,"P1")+SUMIFS('LAC 102_Wkst'!$AF$7:$AF$2010,'LAC 102_Wkst'!$D$7:$D$2010,$C$7,'LAC 102_Wkst'!$I$7:$I$2010,$C$9,'LAC 102_Wkst'!$L$7:$L$2010,"09",'LAC 102_Wkst'!$N$7:$N$2010,"P2")+SUMIFS('LAC 102_Wkst'!$AF$7:$AF$2010,'LAC 102_Wkst'!$D$7:$D$2010,$C$7,'LAC 102_Wkst'!$I$7:$I$2010,$C$9,'LAC 102_Wkst'!$L$7:$L$2010,"09",'LAC 102_Wkst'!$N$7:$N$2010,"P3")+SUMIFS('LAC 102_Wkst'!$AF$7:$AF$2010,'LAC 102_Wkst'!$D$7:$D$2010,$C$7,'LAC 102_Wkst'!$I$7:$I$2010,$C$9,'LAC 102_Wkst'!$L$7:$L$2010,"09",'LAC 102_Wkst'!$N$7:$N$2010,"P4")</f>
        <v>0</v>
      </c>
      <c r="AN108" s="1224">
        <f>SUMIFS('LAC 102_Wkst'!$Q$7:$Q$2010,'LAC 102_Wkst'!$D$7:$D$2010,$C$7,'LAC 102_Wkst'!$I$7:$I$2010,$C$9,'LAC 102_Wkst'!$L$7:$L$2010,"09",'LAC 102_Wkst'!$N$7:$N$2010,"P5")</f>
        <v>0</v>
      </c>
      <c r="AO108" s="1274">
        <f>SUMIFS('LAC 102_Wkst'!$AF$7:$AF$2010,'LAC 102_Wkst'!$D$7:$D$2010,$C$7,'LAC 102_Wkst'!$I$7:$I$2010,$C$9,'LAC 102_Wkst'!$L$7:$L$2010,"09",'LAC 102_Wkst'!$N$7:$N$2010,"P5")</f>
        <v>0</v>
      </c>
      <c r="AP108" s="1224">
        <f>SUMIFS('LAC 102_Wkst'!$Q$7:$Q$2010,'LAC 102_Wkst'!$D$7:$D$2010,$C$7,'LAC 102_Wkst'!$I$7:$I$2010,$C$9,'LAC 102_Wkst'!$L$7:$L$2010,"10",'LAC 102_Wkst'!$N$7:$N$2010,"P1")+SUMIFS('LAC 102_Wkst'!$Q$7:$Q$2010,'LAC 102_Wkst'!$D$7:$D$2010,$C$7,'LAC 102_Wkst'!$I$7:$I$2010,$C$9,'LAC 102_Wkst'!$L$7:$L$2010,"10",'LAC 102_Wkst'!$N$7:$N$2010,"P2")+SUMIFS('LAC 102_Wkst'!$Q$7:$Q$2010,'LAC 102_Wkst'!$D$7:$D$2010,$C$7,'LAC 102_Wkst'!$I$7:$I$2010,$C$9,'LAC 102_Wkst'!$L$7:$L$2010,"10",'LAC 102_Wkst'!$N$7:$N$2010,"P3")+SUMIFS('LAC 102_Wkst'!$Q$7:$Q$2010,'LAC 102_Wkst'!$D$7:$D$2010,$C$7,'LAC 102_Wkst'!$I$7:$I$2010,$C$9,'LAC 102_Wkst'!$L$7:$L$2010,"10",'LAC 102_Wkst'!$N$7:$N$2010,"P4")</f>
        <v>45241</v>
      </c>
      <c r="AQ108" s="1274">
        <f>SUMIFS('LAC 102_Wkst'!$AF$7:$AF$2010,'LAC 102_Wkst'!$D$7:$D$2010,$C$7,'LAC 102_Wkst'!$I$7:$I$2010,$C$9,'LAC 102_Wkst'!$L$7:$L$2010,"10",'LAC 102_Wkst'!$N$7:$N$2010,"P1")+SUMIFS('LAC 102_Wkst'!$AF$7:$AF$2010,'LAC 102_Wkst'!$D$7:$D$2010,$C$7,'LAC 102_Wkst'!$I$7:$I$2010,$C$9,'LAC 102_Wkst'!$L$7:$L$2010,"10",'LAC 102_Wkst'!$N$7:$N$2010,"P2")+SUMIFS('LAC 102_Wkst'!$AF$7:$AF$2010,'LAC 102_Wkst'!$D$7:$D$2010,$C$7,'LAC 102_Wkst'!$I$7:$I$2010,$C$9,'LAC 102_Wkst'!$L$7:$L$2010,"10",'LAC 102_Wkst'!$N$7:$N$2010,"P3")+SUMIFS('LAC 102_Wkst'!$AF$7:$AF$2010,'LAC 102_Wkst'!$D$7:$D$2010,$C$7,'LAC 102_Wkst'!$I$7:$I$2010,$C$9,'LAC 102_Wkst'!$L$7:$L$2010,"10",'LAC 102_Wkst'!$N$7:$N$2010,"P4")</f>
        <v>138295.36286869305</v>
      </c>
      <c r="AR108" s="1224">
        <f>SUMIFS('LAC 102_Wkst'!$Q$7:$Q$2010,'LAC 102_Wkst'!$D$7:$D$2010,$C$7,'LAC 102_Wkst'!$I$7:$I$2010,$C$9,'LAC 102_Wkst'!$L$7:$L$2010,"10",'LAC 102_Wkst'!$N$7:$N$2010,"P5")</f>
        <v>0</v>
      </c>
      <c r="AS108" s="1274">
        <f>SUMIFS('LAC 102_Wkst'!$AF$7:$AF$2010,'LAC 102_Wkst'!$D$7:$D$2010,$C$7,'LAC 102_Wkst'!$I$7:$I$2010,$C$9,'LAC 102_Wkst'!$L$7:$L$2010,"10",'LAC 102_Wkst'!$N$7:$N$2010,"P5")</f>
        <v>0</v>
      </c>
      <c r="AT108" s="1224">
        <f>SUMIFS('LAC 102_Wkst'!$Q$7:$Q$2010,'LAC 102_Wkst'!$D$7:$D$2010,$C$7,'LAC 102_Wkst'!$I$7:$I$2010,$C$9,'LAC 102_Wkst'!$L$7:$L$2010,"11",'LAC 102_Wkst'!$N$7:$N$2010,"P1")+SUMIFS('LAC 102_Wkst'!$Q$7:$Q$2010,'LAC 102_Wkst'!$D$7:$D$2010,$C$7,'LAC 102_Wkst'!$I$7:$I$2010,$C$9,'LAC 102_Wkst'!$L$7:$L$2010,"12",'LAC 102_Wkst'!$N$7:$N$2010,"P1")</f>
        <v>0</v>
      </c>
      <c r="AU108" s="1274">
        <f>SUMIFS('LAC 102_Wkst'!$AF$7:$AF$2010,'LAC 102_Wkst'!$D$7:$D$2010,$C$7,'LAC 102_Wkst'!$I$7:$I$2010,$C$9,'LAC 102_Wkst'!$L$7:$L$2010,"13",'LAC 102_Wkst'!$N$7:$N$2010,"P5")</f>
        <v>0</v>
      </c>
      <c r="AV108" s="1224">
        <f>SUMIFS('LAC 102_Wkst'!$Q$7:$Q$2010,'LAC 102_Wkst'!$D$7:$D$2010,$C$7,'LAC 102_Wkst'!$I$7:$I$2010,$C$9,'LAC 102_Wkst'!$L$7:$L$2010,"11",'LAC 102_Wkst'!$N$7:$N$2010,"P2")+SUMIFS('LAC 102_Wkst'!$Q$7:$Q$2010,'LAC 102_Wkst'!$D$7:$D$2010,$C$7,'LAC 102_Wkst'!$I$7:$I$2010,$C$9,'LAC 102_Wkst'!$L$7:$L$2010,"12",'LAC 102_Wkst'!$N$7:$N$2010,"P2")+SUMIFS('LAC 102_Wkst'!$Q$7:$Q$2010,'LAC 102_Wkst'!$D$7:$D$2010,$C$7,'LAC 102_Wkst'!$I$7:$I$2010,$C$9,'LAC 102_Wkst'!$L$7:$L$2010,"11",'LAC 102_Wkst'!$N$7:$N$2010,"P3")+SUMIFS('LAC 102_Wkst'!$Q$7:$Q$2010,'LAC 102_Wkst'!$D$7:$D$2010,$C$7,'LAC 102_Wkst'!$I$7:$I$2010,$C$9,'LAC 102_Wkst'!$L$7:$L$2010,"12",'LAC 102_Wkst'!$N$7:$N$2010,"P3")</f>
        <v>0</v>
      </c>
      <c r="AW108" s="1274">
        <f>SUMIFS('LAC 102_Wkst'!$AF$7:$AF$2010,'LAC 102_Wkst'!$D$7:$D$2010,$C$7,'LAC 102_Wkst'!$I$7:$I$2010,$C$9,'LAC 102_Wkst'!$L$7:$L$2010,"11",'LAC 102_Wkst'!$N$7:$N$2010,"P2")+SUMIFS('LAC 102_Wkst'!$AF$7:$AF$2010,'LAC 102_Wkst'!$D$7:$D$2010,$C$7,'LAC 102_Wkst'!$I$7:$I$2010,$C$9,'LAC 102_Wkst'!$L$7:$L$2010,"12",'LAC 102_Wkst'!$N$7:$N$2010,"P2")+SUMIFS('LAC 102_Wkst'!$AF$7:$AF$2010,'LAC 102_Wkst'!$D$7:$D$2010,$C$7,'LAC 102_Wkst'!$I$7:$I$2010,$C$9,'LAC 102_Wkst'!$L$7:$L$2010,"11",'LAC 102_Wkst'!$N$7:$N$2010,"P3")+SUMIFS('LAC 102_Wkst'!$AF$7:$AF$2010,'LAC 102_Wkst'!$D$7:$D$2010,$C$7,'LAC 102_Wkst'!$I$7:$I$2010,$C$9,'LAC 102_Wkst'!$L$7:$L$2010,"12",'LAC 102_Wkst'!$N$7:$N$2010,"P3")</f>
        <v>0</v>
      </c>
      <c r="AX108" s="1224">
        <f>SUMIFS('LAC 102_Wkst'!$Q$7:$Q$2010,'LAC 102_Wkst'!$D$7:$D$2010,$C$7,'LAC 102_Wkst'!$I$7:$I$2010,$C$9,'LAC 102_Wkst'!$L$7:$L$2010,"11",'LAC 102_Wkst'!$N$7:$N$2010,"P4")+SUMIFS('LAC 102_Wkst'!$Q$7:$Q$2010,'LAC 102_Wkst'!$D$7:$D$2010,$C$7,'LAC 102_Wkst'!$I$7:$I$2010,$C$9,'LAC 102_Wkst'!$L$7:$L$2010,"12",'LAC 102_Wkst'!$N$7:$N$2010,"P4")</f>
        <v>0</v>
      </c>
      <c r="AY108" s="1274">
        <f>SUMIFS('LAC 102_Wkst'!$AF$7:$AF$2010,'LAC 102_Wkst'!$D$7:$D$2010,$C$7,'LAC 102_Wkst'!$I$7:$I$2010,$C$9,'LAC 102_Wkst'!$L$7:$L$2010,"11",'LAC 102_Wkst'!$N$7:$N$2010,"P4")+SUMIFS('LAC 102_Wkst'!$AF$7:$AF$2010,'LAC 102_Wkst'!$D$7:$D$2010,$C$7,'LAC 102_Wkst'!$I$7:$I$2010,$C$9,'LAC 102_Wkst'!$L$7:$L$2010,"12",'LAC 102_Wkst'!$N$7:$N$2010,"P4")</f>
        <v>0</v>
      </c>
      <c r="AZ108" s="1224">
        <f>SUMIFS('LAC 102_Wkst'!$Q$7:$Q$2010,'LAC 102_Wkst'!$D$7:$D$2010,$C$7,'LAC 102_Wkst'!$I$7:$I$2010,$C$9,'LAC 102_Wkst'!$L$7:$L$2010,"11",'LAC 102_Wkst'!$N$7:$N$2010,"P5")+SUMIFS('LAC 102_Wkst'!$Q$7:$Q$2010,'LAC 102_Wkst'!$D$7:$D$2010,$C$7,'LAC 102_Wkst'!$I$7:$I$2010,$C$9,'LAC 102_Wkst'!$L$7:$L$2010,"12",'LAC 102_Wkst'!$N$7:$N$2010,"P5")</f>
        <v>0</v>
      </c>
      <c r="BA108" s="1274">
        <f>SUMIFS('LAC 102_Wkst'!$AF$7:$AF$2010,'LAC 102_Wkst'!$D$7:$D$2010,$C$7,'LAC 102_Wkst'!$I$7:$I$2010,$C$9,'LAC 102_Wkst'!$L$7:$L$2010,"11",'LAC 102_Wkst'!$N$7:$N$2010,"P5")+SUMIFS('LAC 102_Wkst'!$AF$7:$AF$2010,'LAC 102_Wkst'!$D$7:$D$2010,$C$7,'LAC 102_Wkst'!$I$7:$I$2010,$C$9,'LAC 102_Wkst'!$L$7:$L$2010,"12",'LAC 102_Wkst'!$N$7:$N$2010,"P5")</f>
        <v>0</v>
      </c>
      <c r="BB108" s="1224">
        <f>SUMIFS('LAC 102_Wkst'!$Q$7:$Q$2010,'LAC 102_Wkst'!$D$7:$D$2010,$C$7,'LAC 102_Wkst'!$I$7:$I$2010,$C$9,'LAC 102_Wkst'!$L$7:$L$2010,"13",'LAC 102_Wkst'!$N$7:$N$2010,"P1")+SUMIFS('LAC 102_Wkst'!$Q$7:$Q$2010,'LAC 102_Wkst'!$D$7:$D$2010,$C$7,'LAC 102_Wkst'!$I$7:$I$2010,$C$9,'LAC 102_Wkst'!$L$7:$L$2010,"13",'LAC 102_Wkst'!$N$7:$N$2010,"P2")+SUMIFS('LAC 102_Wkst'!$Q$7:$Q$2010,'LAC 102_Wkst'!$D$7:$D$2010,$C$7,'LAC 102_Wkst'!$I$7:$I$2010,$C$9,'LAC 102_Wkst'!$L$7:$L$2010,"13",'LAC 102_Wkst'!$N$7:$N$2010,"P3")+SUMIFS('LAC 102_Wkst'!$Q$7:$Q$2010,'LAC 102_Wkst'!$D$7:$D$2010,$C$7,'LAC 102_Wkst'!$I$7:$I$2010,$C$9,'LAC 102_Wkst'!$L$7:$L$2010,"13",'LAC 102_Wkst'!$N$7:$N$2010,"P4")</f>
        <v>18611</v>
      </c>
      <c r="BC108" s="1274">
        <f>SUMIFS('LAC 102_Wkst'!$AF$7:$AF$2010,'LAC 102_Wkst'!$D$7:$D$2010,$C$7,'LAC 102_Wkst'!$I$7:$I$2010,$C$9,'LAC 102_Wkst'!$L$7:$L$2010,"13",'LAC 102_Wkst'!$N$7:$N$2010,"P1")+SUMIFS('LAC 102_Wkst'!$AF$7:$AF$2010,'LAC 102_Wkst'!$D$7:$D$2010,$C$7,'LAC 102_Wkst'!$I$7:$I$2010,$C$9,'LAC 102_Wkst'!$L$7:$L$2010,"13",'LAC 102_Wkst'!$N$7:$N$2010,"P2")+SUMIFS('LAC 102_Wkst'!$AF$7:$AF$2010,'LAC 102_Wkst'!$D$7:$D$2010,$C$7,'LAC 102_Wkst'!$I$7:$I$2010,$C$9,'LAC 102_Wkst'!$L$7:$L$2010,"13",'LAC 102_Wkst'!$N$7:$N$2010,"P3")+SUMIFS('LAC 102_Wkst'!$AF$7:$AF$2010,'LAC 102_Wkst'!$D$7:$D$2010,$C$7,'LAC 102_Wkst'!$I$7:$I$2010,$C$9,'LAC 102_Wkst'!$L$7:$L$2010,"13",'LAC 102_Wkst'!$N$7:$N$2010,"P4")</f>
        <v>57498.710666129009</v>
      </c>
      <c r="BD108" s="1224">
        <f>SUMIFS('LAC 102_Wkst'!$Q$7:$Q$2010,'LAC 102_Wkst'!$D$7:$D$2010,$C$7,'LAC 102_Wkst'!$I$7:$I$2010,$C$9,'LAC 102_Wkst'!$L$7:$L$2010,"13",'LAC 102_Wkst'!$N$7:$N$2010,"P5")</f>
        <v>0</v>
      </c>
      <c r="BE108" s="1274">
        <f>SUMIFS('LAC 102_Wkst'!$AF$7:$AF$2010,'LAC 102_Wkst'!$D$7:$D$2010,$C$7,'LAC 102_Wkst'!$I$7:$I$2010,$C$9,'LAC 102_Wkst'!$L$7:$L$2010,"13",'LAC 102_Wkst'!$N$7:$N$2010,"P5")</f>
        <v>0</v>
      </c>
      <c r="BF108" s="1224">
        <f>SUMIFS('LAC 102_Wkst'!$Q$7:$Q$2010,'LAC 102_Wkst'!$D$7:$D$2010,$C$7,'LAC 102_Wkst'!$I$7:$I$2010,$C$9,'LAC 102_Wkst'!$L$7:$L$2010,"14")</f>
        <v>38980</v>
      </c>
      <c r="BG108" s="1274">
        <f>SUMIFS('LAC 102_Wkst'!$AF$7:$AF$2010,'LAC 102_Wkst'!$D$7:$D$2010,$C$7,'LAC 102_Wkst'!$I$7:$I$2010,$C$9,'LAC 102_Wkst'!$L$7:$L$2010,"14")</f>
        <v>123243.27178180673</v>
      </c>
    </row>
    <row r="109" spans="1:59" ht="15.75" x14ac:dyDescent="0.25">
      <c r="A109" s="378"/>
      <c r="B109" s="1623" t="str">
        <f t="shared" si="8"/>
        <v>CR</v>
      </c>
      <c r="C109" s="782"/>
      <c r="D109" s="1624" t="s">
        <v>2005</v>
      </c>
      <c r="E109" s="378" t="b">
        <f>E107=E108</f>
        <v>1</v>
      </c>
      <c r="F109" s="378" t="b">
        <f t="shared" ref="F109:BE109" si="9">F107=F108</f>
        <v>1</v>
      </c>
      <c r="G109" s="378" t="b">
        <f t="shared" si="9"/>
        <v>1</v>
      </c>
      <c r="H109" s="378" t="b">
        <f t="shared" si="9"/>
        <v>1</v>
      </c>
      <c r="I109" s="378" t="b">
        <f t="shared" si="9"/>
        <v>1</v>
      </c>
      <c r="J109" s="378" t="b">
        <f t="shared" si="9"/>
        <v>1</v>
      </c>
      <c r="K109" s="378" t="b">
        <f t="shared" si="9"/>
        <v>1</v>
      </c>
      <c r="L109" s="378" t="b">
        <f t="shared" si="9"/>
        <v>1</v>
      </c>
      <c r="M109" s="378" t="b">
        <f t="shared" si="9"/>
        <v>1</v>
      </c>
      <c r="N109" s="378" t="b">
        <f t="shared" si="9"/>
        <v>1</v>
      </c>
      <c r="O109" s="378" t="b">
        <f t="shared" si="9"/>
        <v>1</v>
      </c>
      <c r="P109" s="378" t="b">
        <f t="shared" si="9"/>
        <v>1</v>
      </c>
      <c r="Q109" s="378" t="b">
        <f t="shared" si="9"/>
        <v>1</v>
      </c>
      <c r="R109" s="378" t="b">
        <f t="shared" si="9"/>
        <v>1</v>
      </c>
      <c r="S109" s="378" t="b">
        <f t="shared" si="9"/>
        <v>1</v>
      </c>
      <c r="T109" s="378" t="b">
        <f t="shared" si="9"/>
        <v>1</v>
      </c>
      <c r="U109" s="378" t="b">
        <f t="shared" si="9"/>
        <v>1</v>
      </c>
      <c r="V109" s="378" t="b">
        <f t="shared" si="9"/>
        <v>1</v>
      </c>
      <c r="W109" s="378" t="b">
        <f t="shared" si="9"/>
        <v>1</v>
      </c>
      <c r="X109" s="378" t="b">
        <f t="shared" si="9"/>
        <v>1</v>
      </c>
      <c r="Y109" s="378" t="b">
        <f t="shared" si="9"/>
        <v>1</v>
      </c>
      <c r="Z109" s="378" t="b">
        <f t="shared" si="9"/>
        <v>1</v>
      </c>
      <c r="AA109" s="378" t="b">
        <f t="shared" si="9"/>
        <v>1</v>
      </c>
      <c r="AB109" s="378" t="b">
        <f t="shared" si="9"/>
        <v>1</v>
      </c>
      <c r="AC109" s="378" t="b">
        <f t="shared" si="9"/>
        <v>1</v>
      </c>
      <c r="AD109" s="378" t="b">
        <f t="shared" si="9"/>
        <v>1</v>
      </c>
      <c r="AE109" s="378" t="b">
        <f t="shared" si="9"/>
        <v>1</v>
      </c>
      <c r="AF109" s="378" t="b">
        <f t="shared" si="9"/>
        <v>1</v>
      </c>
      <c r="AG109" s="378" t="b">
        <f t="shared" si="9"/>
        <v>1</v>
      </c>
      <c r="AH109" s="378" t="b">
        <f t="shared" si="9"/>
        <v>1</v>
      </c>
      <c r="AI109" s="378" t="b">
        <f t="shared" si="9"/>
        <v>1</v>
      </c>
      <c r="AJ109" s="378" t="b">
        <f t="shared" si="9"/>
        <v>1</v>
      </c>
      <c r="AK109" s="378" t="b">
        <f t="shared" si="9"/>
        <v>1</v>
      </c>
      <c r="AL109" s="378" t="b">
        <f t="shared" si="9"/>
        <v>1</v>
      </c>
      <c r="AM109" s="378" t="b">
        <f t="shared" si="9"/>
        <v>1</v>
      </c>
      <c r="AN109" s="378" t="b">
        <f t="shared" si="9"/>
        <v>1</v>
      </c>
      <c r="AO109" s="378" t="b">
        <f t="shared" si="9"/>
        <v>1</v>
      </c>
      <c r="AP109" s="378" t="b">
        <f t="shared" si="9"/>
        <v>1</v>
      </c>
      <c r="AQ109" s="378" t="b">
        <f t="shared" si="9"/>
        <v>1</v>
      </c>
      <c r="AR109" s="378" t="b">
        <f t="shared" si="9"/>
        <v>1</v>
      </c>
      <c r="AS109" s="378" t="b">
        <f t="shared" si="9"/>
        <v>1</v>
      </c>
      <c r="AT109" s="378" t="b">
        <f t="shared" si="9"/>
        <v>1</v>
      </c>
      <c r="AU109" s="378" t="b">
        <f t="shared" si="9"/>
        <v>1</v>
      </c>
      <c r="AV109" s="378" t="b">
        <f t="shared" si="9"/>
        <v>1</v>
      </c>
      <c r="AW109" s="378" t="b">
        <f t="shared" si="9"/>
        <v>1</v>
      </c>
      <c r="AX109" s="378" t="b">
        <f t="shared" si="9"/>
        <v>1</v>
      </c>
      <c r="AY109" s="378" t="b">
        <f t="shared" si="9"/>
        <v>1</v>
      </c>
      <c r="AZ109" s="378" t="b">
        <f t="shared" si="9"/>
        <v>1</v>
      </c>
      <c r="BA109" s="378" t="b">
        <f t="shared" si="9"/>
        <v>1</v>
      </c>
      <c r="BB109" s="378" t="b">
        <f t="shared" si="9"/>
        <v>1</v>
      </c>
      <c r="BC109" s="378" t="b">
        <f t="shared" si="9"/>
        <v>1</v>
      </c>
      <c r="BD109" s="378" t="b">
        <f t="shared" si="9"/>
        <v>1</v>
      </c>
      <c r="BE109" s="378" t="b">
        <f t="shared" si="9"/>
        <v>1</v>
      </c>
      <c r="BF109" s="378" t="b">
        <f t="shared" ref="BF109:BG109" si="10">BF107=BF108</f>
        <v>1</v>
      </c>
      <c r="BG109" s="378" t="b">
        <f t="shared" si="10"/>
        <v>1</v>
      </c>
    </row>
    <row r="110" spans="1:59" x14ac:dyDescent="0.2">
      <c r="A110" s="376"/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6"/>
      <c r="T110" s="376"/>
      <c r="U110" s="376"/>
      <c r="V110" s="376"/>
      <c r="W110" s="376"/>
      <c r="X110" s="376"/>
      <c r="Y110" s="376"/>
      <c r="Z110" s="376"/>
      <c r="AA110" s="376"/>
      <c r="AB110" s="376"/>
      <c r="AC110" s="376"/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6"/>
      <c r="AS110" s="376"/>
      <c r="AT110" s="376"/>
      <c r="AU110" s="376"/>
      <c r="AV110" s="376"/>
      <c r="AW110" s="376"/>
      <c r="AX110" s="376"/>
      <c r="AY110" s="376"/>
      <c r="AZ110" s="376"/>
      <c r="BA110" s="376"/>
      <c r="BB110" s="376"/>
      <c r="BC110" s="376"/>
      <c r="BD110" s="376"/>
      <c r="BE110" s="376"/>
    </row>
    <row r="111" spans="1:59" x14ac:dyDescent="0.2">
      <c r="A111" s="376"/>
      <c r="B111" s="376"/>
      <c r="C111" s="376"/>
      <c r="D111" s="376"/>
      <c r="E111" s="376"/>
      <c r="F111" s="376"/>
      <c r="G111" s="376"/>
      <c r="H111" s="376"/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6"/>
      <c r="T111" s="376"/>
      <c r="U111" s="376"/>
      <c r="V111" s="376"/>
      <c r="W111" s="376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  <c r="AQ111" s="376"/>
      <c r="AR111" s="376"/>
      <c r="AS111" s="376"/>
      <c r="AT111" s="376"/>
      <c r="AU111" s="376"/>
      <c r="AV111" s="376"/>
      <c r="AW111" s="376"/>
      <c r="AX111" s="376"/>
      <c r="AY111" s="376"/>
      <c r="AZ111" s="376"/>
      <c r="BA111" s="376"/>
      <c r="BB111" s="376"/>
      <c r="BC111" s="376"/>
      <c r="BD111" s="376"/>
      <c r="BE111" s="376"/>
    </row>
    <row r="112" spans="1:59" x14ac:dyDescent="0.2">
      <c r="A112" s="376"/>
      <c r="B112" s="376"/>
      <c r="C112" s="376"/>
      <c r="D112" s="376"/>
      <c r="E112" s="376"/>
      <c r="F112" s="376"/>
      <c r="G112" s="376"/>
      <c r="H112" s="376"/>
      <c r="I112" s="376"/>
      <c r="J112" s="376"/>
      <c r="K112" s="376"/>
      <c r="L112" s="376"/>
      <c r="M112" s="376"/>
      <c r="N112" s="376"/>
      <c r="O112" s="376"/>
      <c r="P112" s="376"/>
      <c r="Q112" s="376"/>
      <c r="R112" s="376"/>
      <c r="S112" s="376"/>
      <c r="T112" s="376"/>
      <c r="U112" s="376"/>
      <c r="V112" s="376"/>
      <c r="W112" s="376"/>
      <c r="X112" s="376"/>
      <c r="Y112" s="376"/>
      <c r="Z112" s="376"/>
      <c r="AA112" s="376"/>
      <c r="AB112" s="376"/>
      <c r="AC112" s="376"/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  <c r="AQ112" s="376"/>
      <c r="AR112" s="376"/>
      <c r="AS112" s="376"/>
      <c r="AT112" s="376"/>
      <c r="AU112" s="376"/>
      <c r="AV112" s="376"/>
      <c r="AW112" s="376"/>
      <c r="AX112" s="376"/>
      <c r="AY112" s="376"/>
      <c r="AZ112" s="376"/>
      <c r="BA112" s="376"/>
      <c r="BB112" s="376"/>
      <c r="BC112" s="376"/>
      <c r="BD112" s="376"/>
      <c r="BE112" s="376"/>
    </row>
    <row r="113" spans="1:57" x14ac:dyDescent="0.2">
      <c r="A113" s="376"/>
      <c r="B113" s="376"/>
      <c r="C113" s="376"/>
      <c r="D113" s="376"/>
      <c r="E113" s="376"/>
      <c r="F113" s="376"/>
      <c r="G113" s="376"/>
      <c r="H113" s="376"/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  <c r="Z113" s="376"/>
      <c r="AA113" s="376"/>
      <c r="AB113" s="376"/>
      <c r="AC113" s="376"/>
      <c r="AD113" s="376"/>
      <c r="AE113" s="376"/>
      <c r="AF113" s="376"/>
      <c r="AG113" s="376"/>
      <c r="AH113" s="376"/>
      <c r="AI113" s="376"/>
      <c r="AJ113" s="376"/>
      <c r="AK113" s="376"/>
      <c r="AL113" s="376"/>
      <c r="AM113" s="376"/>
      <c r="AN113" s="376"/>
      <c r="AO113" s="376"/>
      <c r="AP113" s="376"/>
      <c r="AQ113" s="376"/>
      <c r="AR113" s="376"/>
      <c r="AS113" s="376"/>
      <c r="AT113" s="376"/>
      <c r="AU113" s="376"/>
      <c r="AV113" s="376"/>
      <c r="AW113" s="376"/>
      <c r="AX113" s="376"/>
      <c r="AY113" s="376"/>
      <c r="AZ113" s="376"/>
      <c r="BA113" s="376"/>
      <c r="BB113" s="376"/>
      <c r="BC113" s="376"/>
      <c r="BD113" s="376"/>
      <c r="BE113" s="376"/>
    </row>
    <row r="114" spans="1:57" x14ac:dyDescent="0.2">
      <c r="A114" s="376"/>
      <c r="B114" s="376"/>
      <c r="C114" s="376"/>
      <c r="D114" s="376"/>
      <c r="E114" s="376"/>
      <c r="F114" s="376"/>
      <c r="G114" s="376"/>
      <c r="H114" s="376"/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6"/>
      <c r="T114" s="376"/>
      <c r="U114" s="376"/>
      <c r="V114" s="376"/>
      <c r="W114" s="376"/>
      <c r="X114" s="376"/>
      <c r="Y114" s="376"/>
      <c r="Z114" s="376"/>
      <c r="AA114" s="376"/>
      <c r="AB114" s="376"/>
      <c r="AC114" s="376"/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6"/>
      <c r="AQ114" s="376"/>
      <c r="AR114" s="376"/>
      <c r="AS114" s="376"/>
      <c r="AT114" s="376"/>
      <c r="AU114" s="376"/>
      <c r="AV114" s="376"/>
      <c r="AW114" s="376"/>
      <c r="AX114" s="376"/>
      <c r="AY114" s="376"/>
      <c r="AZ114" s="376"/>
      <c r="BA114" s="376"/>
      <c r="BB114" s="376"/>
      <c r="BC114" s="376"/>
      <c r="BD114" s="376"/>
      <c r="BE114" s="376"/>
    </row>
  </sheetData>
  <sheetProtection algorithmName="SHA-512" hashValue="XzWWLfOA7+msFqGW4LzuGBYNI8AsEIYr1s37yKzoF6kpRgbUa14IP3y1zayIiRk39c0k3b0mYKepveb5IbH8dg==" saltValue="ss1aY0ZnDh5RGfOvhwpNhw==" spinCount="100000" sheet="1" objects="1" scenarios="1" autoFilter="0"/>
  <autoFilter ref="A22:BG22" xr:uid="{7B4F8306-7DE5-468A-A05E-5B65E087C839}"/>
  <mergeCells count="30">
    <mergeCell ref="P9:Q9"/>
    <mergeCell ref="AN21:AO21"/>
    <mergeCell ref="BD21:BE21"/>
    <mergeCell ref="AR21:AS21"/>
    <mergeCell ref="AT21:AU21"/>
    <mergeCell ref="AV21:AW21"/>
    <mergeCell ref="AX21:AY21"/>
    <mergeCell ref="AZ21:BA21"/>
    <mergeCell ref="BB21:BC21"/>
    <mergeCell ref="AD21:AE21"/>
    <mergeCell ref="AF21:AG21"/>
    <mergeCell ref="AH21:AI21"/>
    <mergeCell ref="AJ21:AK21"/>
    <mergeCell ref="AL21:AM21"/>
    <mergeCell ref="BF21:BG21"/>
    <mergeCell ref="C8:G8"/>
    <mergeCell ref="R21:S21"/>
    <mergeCell ref="B21:E21"/>
    <mergeCell ref="F21:G21"/>
    <mergeCell ref="H21:I21"/>
    <mergeCell ref="J21:K21"/>
    <mergeCell ref="L21:M21"/>
    <mergeCell ref="N21:O21"/>
    <mergeCell ref="P21:Q21"/>
    <mergeCell ref="AP21:AQ21"/>
    <mergeCell ref="T21:U21"/>
    <mergeCell ref="V21:W21"/>
    <mergeCell ref="X21:Y21"/>
    <mergeCell ref="Z21:AA21"/>
    <mergeCell ref="AB21:AC21"/>
  </mergeCell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CA88088-42B2-4427-9E94-C81E766941CB}">
          <x14:formula1>
            <xm:f>'Drop List'!$E$2:$E$7</xm:f>
          </x14:formula1>
          <xm:sqref>C7</xm:sqref>
        </x14:dataValidation>
        <x14:dataValidation type="list" allowBlank="1" showInputMessage="1" showErrorMessage="1" xr:uid="{2DFAE24F-4963-4FDC-96A4-158EB3D9F89B}">
          <x14:formula1>
            <xm:f>'Drop List'!$O$56:$O$91</xm:f>
          </x14:formula1>
          <xm:sqref>C8:G8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A1F5-D86E-4898-8040-AAFE0FD943AC}">
  <sheetPr>
    <pageSetUpPr fitToPage="1"/>
  </sheetPr>
  <dimension ref="A1"/>
  <sheetViews>
    <sheetView workbookViewId="0">
      <selection activeCell="P30" sqref="P30"/>
    </sheetView>
  </sheetViews>
  <sheetFormatPr defaultRowHeight="15.75" x14ac:dyDescent="0.25"/>
  <sheetData/>
  <pageMargins left="0.7" right="0.7" top="0.75" bottom="0.75" header="0.3" footer="0.3"/>
  <pageSetup scale="8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</vt:i4>
      </vt:variant>
    </vt:vector>
  </HeadingPairs>
  <TitlesOfParts>
    <vt:vector size="23" baseType="lpstr">
      <vt:lpstr>Info</vt:lpstr>
      <vt:lpstr>Schedule_A</vt:lpstr>
      <vt:lpstr>Schedule_B</vt:lpstr>
      <vt:lpstr>LAC101</vt:lpstr>
      <vt:lpstr>Schedule_C</vt:lpstr>
      <vt:lpstr>LAC 103</vt:lpstr>
      <vt:lpstr>LAC 102_Wkst</vt:lpstr>
      <vt:lpstr>LAC 102_Funded Program</vt:lpstr>
      <vt:lpstr>FMAP</vt:lpstr>
      <vt:lpstr>LAC CMA</vt:lpstr>
      <vt:lpstr>1961</vt:lpstr>
      <vt:lpstr>1962</vt:lpstr>
      <vt:lpstr>1969_Inst</vt:lpstr>
      <vt:lpstr>1969 (Optional)</vt:lpstr>
      <vt:lpstr>1968</vt:lpstr>
      <vt:lpstr>9A</vt:lpstr>
      <vt:lpstr>Drop List</vt:lpstr>
      <vt:lpstr>Final Shift Worksheet</vt:lpstr>
      <vt:lpstr>Contract Listing</vt:lpstr>
      <vt:lpstr>'Contract Listing'!k</vt:lpstr>
      <vt:lpstr>'9A'!Print_Area</vt:lpstr>
      <vt:lpstr>'Contract Listing'!Print_Area</vt:lpstr>
      <vt:lpstr>'9A'!Print_Titles</vt:lpstr>
    </vt:vector>
  </TitlesOfParts>
  <Company>LA County DMH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T Namkung</dc:creator>
  <cp:lastModifiedBy>Marilou Nguyen</cp:lastModifiedBy>
  <cp:lastPrinted>2023-10-06T22:59:16Z</cp:lastPrinted>
  <dcterms:created xsi:type="dcterms:W3CDTF">2023-09-11T21:15:32Z</dcterms:created>
  <dcterms:modified xsi:type="dcterms:W3CDTF">2023-10-16T22:21:39Z</dcterms:modified>
</cp:coreProperties>
</file>